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840" windowWidth="15360" windowHeight="7305" tabRatio="883" firstSheet="1" activeTab="1"/>
  </bookViews>
  <sheets>
    <sheet name="__FDSCACHE__" sheetId="39" state="veryHidden" r:id="rId1"/>
    <sheet name="ImportantDisclosures" sheetId="105" r:id="rId2"/>
    <sheet name="SheetVisibilityStatus" sheetId="109" state="veryHidden" r:id="rId3"/>
    <sheet name="CircularReferenceAlert" sheetId="108" r:id="rId4"/>
    <sheet name="Cover" sheetId="62" state="veryHidden" r:id="rId5"/>
    <sheet name="Valuation" sheetId="73" state="veryHidden" r:id="rId6"/>
    <sheet name="Financial" sheetId="71" state="veryHidden" r:id="rId7"/>
    <sheet name="EXC" sheetId="46" state="veryHidden" r:id="rId8"/>
    <sheet name="ExGen" sheetId="80" state="veryHidden" r:id="rId9"/>
    <sheet name="ComEd" sheetId="79" state="veryHidden" r:id="rId10"/>
    <sheet name="PECO" sheetId="78" state="veryHidden" r:id="rId11"/>
    <sheet name="BGE" sheetId="77" state="veryHidden" r:id="rId12"/>
    <sheet name="Pepco" sheetId="98" state="veryHidden" r:id="rId13"/>
    <sheet name="DPL" sheetId="99" state="veryHidden" r:id="rId14"/>
    <sheet name="ACE" sheetId="100" state="veryHidden" r:id="rId15"/>
    <sheet name="Parent" sheetId="51" state="veryHidden" r:id="rId16"/>
    <sheet name="Debt" sheetId="59" state="veryHidden" r:id="rId17"/>
    <sheet name="Market Prices" sheetId="97" state="veryHidden" r:id="rId18"/>
    <sheet name="IndexInformation" sheetId="106" state="veryHidden" r:id="rId19"/>
    <sheet name="ModPubIndex" sheetId="107" state="veryHidden" r:id="rId20"/>
    <sheet name="MW-Cache" sheetId="23" state="veryHidden" r:id="rId21"/>
    <sheet name="Chart Data" sheetId="84" state="veryHidden" r:id="rId22"/>
  </sheets>
  <externalReferences>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__FDS_HYPERLINK_TOGGLE_STATE__" hidden="1">"ON"</definedName>
    <definedName name="__FDS_UNIQUE_RANGE_ID_GENERATOR_COUNTER" hidden="1">1</definedName>
    <definedName name="__FDS_USED_FOR_REUSING_RANGE_IDS_RECYCLE" localSheetId="9" hidden="1">{1,1,1,1,1,1,1,1,1,1,1,1,1,1,1,1,1,1,1,1,1,1,1,1,1,1,1,1,1,1}</definedName>
    <definedName name="__FDS_USED_FOR_REUSING_RANGE_IDS_RECYCLE" localSheetId="4" hidden="1">{1,1,1,1,1,1,1,1,1,1,1,1,1,1,1,1,1,1,1,1,1,1,1,1,1,1,1,1,1,1}</definedName>
    <definedName name="__FDS_USED_FOR_REUSING_RANGE_IDS_RECYCLE" localSheetId="16" hidden="1">{1,1,1,1,1,1,1,1,1,1,1,1,1,1,1,1,1,1,1,1,1,1,1,1,1,1,1,1,1,1}</definedName>
    <definedName name="__FDS_USED_FOR_REUSING_RANGE_IDS_RECYCLE" localSheetId="17" hidden="1">{1,1,1,1,1,1,1,1,1,1,1,1,1,1,1,1,1,1,1,1,1,1,1,1,1,1,1,1,1,1}</definedName>
    <definedName name="__FDS_USED_FOR_REUSING_RANGE_IDS_RECYCLE" localSheetId="10" hidden="1">{1,1,1,1,1,1,1,1,1,1,1,1,1,1,1,1,1,1,1,1,1,1,1,1,1,1,1,1,1,1}</definedName>
    <definedName name="__FDS_USED_FOR_REUSING_RANGE_IDS_RECYCLE" hidden="1">{1,1,1,1,1,1,1,1,1,1,1,1,1,1,1,1,1,1,1,1,1,1,1,1,1,1,1,1,1,1}</definedName>
    <definedName name="_1__FDSAUDITLINK__" localSheetId="11"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9"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4"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6"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8"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6"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7"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10"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localSheetId="5"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__FDSAUDITLINK__" hidden="1">{"fdsup://directions/FAT Viewer?action=UPDATE&amp;creator=factset&amp;DYN_ARGS=TRUE&amp;DOC_NAME=FAT:FQL_AUDITING_CLIENT_TEMPLATE.FAT&amp;display_string=Audit&amp;VAR:KEY=NEPKPEBABG&amp;VAR:QUERY=RkZfRUJJVERBX0lCKEFOTiwyMDA4KQ==&amp;WINDOW=FIRST_POPUP&amp;HEIGHT=450&amp;WIDTH=450&amp;START_MAXIMI","ZED=FALSE&amp;VAR:CALENDAR=FIVEDAY&amp;VAR:SYMBOL=PFE&amp;VAR:INDEX=0"}</definedName>
    <definedName name="_10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9"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4"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8"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10"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0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9"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4"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8"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10"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1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1"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9"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4"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6"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8"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6"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7"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10"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localSheetId="5"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2__FDSAUDITLINK__" hidden="1">{"fdsup://directions/FAT%20Viewer?VAR:PED=20071231&amp;VAR:PERIOD=FIXED&amp;VAR:V=10.315862&amp;VAR:AUDIT_ID=00000117&amp;VAR:DATE=20100309&amp;action=UPDATE&amp;creator=factset&amp;DOC_NAME=FAT:FMA_audit_DETAIL.fat&amp;DISPLAY_STRING=Display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1"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9"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4"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6"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8"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6"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7"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10"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localSheetId="5"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3__FDSAUDITLINK__" hidden="1">{"fdsup://directions/FAT%20Viewer?VAR:PED=20071231&amp;VAR:PERIOD=FIXED&amp;VAR:V=5.958505&amp;VAR:AUDIT_ID=71692910&amp;VAR:DATE=20100322&amp;action=UPDATE&amp;creator=factset&amp;DOC_NAME=FAT:FMA_audit_DETAIL.fat&amp;DISPLAY_STRING=Display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1"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9"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4"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6"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8"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6"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7"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10"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localSheetId="5"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4__FDSAUDITLINK__" hidden="1">{"fdsup://directions/FAT%20Viewer?VAR:PED=20071231&amp;VAR:PERIOD=FIXED&amp;VAR:V=10.299100&amp;VAR:AUDIT_ID=00000117&amp;VAR:DATE=20100322&amp;action=UPDATE&amp;creator=factset&amp;DOC_NAME=FAT:FMA_audit_DETAIL.fat&amp;DISPLAY_STRING=Display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1"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9"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4"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6"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8"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6"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7"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10"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localSheetId="5"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5__FDSAUDITLINK__" hidden="1">{"fdsup://directions/FAT%20Viewer?VAR:PED=20071231&amp;VAR:PERIOD=FIXED&amp;VAR:V=5.913890&amp;VAR:AUDIT_ID=71692910&amp;VAR:DATE=20100409&amp;action=UPDATE&amp;creator=factset&amp;DOC_NAME=FAT:FMA_audit_DETAIL.fat&amp;DISPLAY_STRING=Display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1"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9"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4"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6"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8"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6"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7"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10"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localSheetId="5"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6__FDSAUDITLINK__" hidden="1">{"fdsup://directions/FAT%20Viewer?VAR:PED=20071231&amp;VAR:PERIOD=FIXED&amp;VAR:V=10.288388&amp;VAR:AUDIT_ID=00000117&amp;VAR:DATE=20100409&amp;action=UPDATE&amp;creator=factset&amp;DOC_NAME=FAT:FMA_audit_DETAIL.fat&amp;DISPLAY_STRING=Display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7__FDSAUDITLINK__" localSheetId="11"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9"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4"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6"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8"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6"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7"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10"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localSheetId="5"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7__FDSAUDITLINK__" hidden="1">{"fdsup://directions/FAT Viewer?action=UPDATE&amp;creator=factset&amp;DYN_ARGS=TRUE&amp;DOC_NAME=FAT:FQL_AUDITING_CLIENT_TEMPLATE.FAT&amp;display_string=Audit&amp;VAR:KEY=UFWJGFSHUJ&amp;VAR:QUERY=RkZfRUJJVERBX0lCKCdBTk4nLDIwMDYp&amp;WINDOW=FIRST_POPUP&amp;HEIGHT=450&amp;WIDTH=450&amp;START_MAXIMI","ZED=FALSE&amp;VAR:CALENDAR=FIVEDAY&amp;VAR:SYMBOL=PFE&amp;VAR:INDEX=0"}</definedName>
    <definedName name="_18__FDSAUDITLINK__" localSheetId="11"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9"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4"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6"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8"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6"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7"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10"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localSheetId="5"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8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1"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9"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4"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6"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8"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6"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7"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10"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localSheetId="5"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19__FDSAUDITLINK__" hidden="1">{"fdsup://directions/FAT%20Viewer?VAR:PED=20071231&amp;VAR:PERIOD=FIXED&amp;VAR:V=5.937205&amp;VAR:AUDIT_ID=71692910&amp;VAR:DATE=20100419&amp;action=UPDATE&amp;creator=factset&amp;DOC_NAME=FAT:FMA_audit_DETAIL.fat&amp;DISPLAY_STRING=Display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__FDSAUDITLINK__" localSheetId="11"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9"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4"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6"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8"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6"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7"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10"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localSheetId="5"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__FDSAUDITLINK__" hidden="1">{"fdsup://directions/FAT Viewer?action=UPDATE&amp;creator=factset&amp;DYN_ARGS=TRUE&amp;DOC_NAME=FAT:FQL_AUDITING_CLIENT_TEMPLATE.FAT&amp;display_string=Audit&amp;VAR:KEY=DCPCRGJOXS&amp;VAR:QUERY=RkZfRUJJVERBX0lCKEFOTiwyMDA3KQ==&amp;WINDOW=FIRST_POPUP&amp;HEIGHT=450&amp;WIDTH=450&amp;START_MAXIMI","ZED=FALSE&amp;VAR:CALENDAR=FIVEDAY&amp;VAR:SYMBOL=PFE&amp;VAR:INDEX=0"}</definedName>
    <definedName name="_20__FDSAUDITLINK__" localSheetId="11"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9"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4"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6"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8"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6"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7"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10"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localSheetId="5"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0__FDSAUDITLINK__" hidden="1">{"fdsup://directions/FAT%20Viewer?VAR:PED=20071231&amp;VAR:PERIOD=FIXED&amp;VAR:V=10.293473&amp;VAR:AUDIT_ID=00000117&amp;VAR:DATE=20100419&amp;action=UPDATE&amp;creator=factset&amp;DOC_NAME=FAT:FMA_audit_DETAIL.fat&amp;DISPLAY_STRING=Display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1"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9"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4"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6"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8"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6"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7"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10"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localSheetId="5"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1__FDSAUDITLINK__" hidden="1">{"fdsup://directions/FAT%20Viewer?VAR:PED=20071231&amp;VAR:PERIOD=FIXED&amp;VAR:V=5.940494&amp;VAR:PCT=N&amp;VAR:AUDIT_ID=71692910&amp;VAR:DATE=20100616&amp;action=UPDATE&amp;creator=factset&amp;DOC_NAME=FAT:FMA_audit_DETAIL.fat&amp;DISPLAY_STRING=Display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1"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9"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4"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6"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8"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6"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7"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10"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localSheetId="5"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2__FDSAUDITLINK__" hidden="1">{"fdsup://directions/FAT%20Viewer?VAR:PED=20071231&amp;VAR:PERIOD=FIXED&amp;VAR:V=10.501677&amp;VAR:PCT=N&amp;VAR:AUDIT_ID=00000117&amp;VAR:DATE=20100616&amp;action=UPDATE&amp;creator=factset&amp;DOC_NAME=FAT:FMA_audit_DETAIL.fat&amp;DISPLAY_STRING=Display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1"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9"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4"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6"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8"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6"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7"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10"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localSheetId="5"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3__FDSAUDITLINK__" hidden="1">{"fdsup://directions/FAT%20Viewer?VAR:PED=20071231&amp;VAR:PERIOD=FIXED&amp;VAR:V=6.031065&amp;VAR:PCT=N&amp;VAR:AUDIT_ID=71692910&amp;VAR:DATE=20100706&amp;action=UPDATE&amp;creator=factset&amp;DOC_NAME=FAT:FMA_audit_DETAIL.fat&amp;DISPLAY_STRING=Display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1"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9"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4"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6"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8"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6"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7"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10"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localSheetId="5"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4__FDSAUDITLINK__" hidden="1">{"fdsup://directions/FAT%20Viewer?VAR:PED=20071231&amp;VAR:PERIOD=FIXED&amp;VAR:V=10.466925&amp;VAR:PCT=N&amp;VAR:AUDIT_ID=00000117&amp;VAR:DATE=20100706&amp;action=UPDATE&amp;creator=factset&amp;DOC_NAME=FAT:FMA_audit_DETAIL.fat&amp;DISPLAY_STRING=Display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1"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9"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4"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6"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8"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6"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7"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10"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localSheetId="5"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5__FDSAUDITLINK__" hidden="1">{"fdsup://directions/FAT%20Viewer?VAR:PED=20071231&amp;VAR:PERIOD=FIXED&amp;VAR:V=5.602277&amp;VAR:PCT=N&amp;VAR:AUDIT_ID=71692910&amp;VAR:DATE=20100804&amp;action=UPDATE&amp;creator=factset&amp;DOC_NAME=FAT:FMA_audit_DETAIL.fat&amp;DISPLAY_STRING=Display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1"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9"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4"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6"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8"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6"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7"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10"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localSheetId="5"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6__FDSAUDITLINK__" hidden="1">{"fdsup://directions/FAT%20Viewer?VAR:PED=20071231&amp;VAR:PERIOD=FIXED&amp;VAR:V=10.555395&amp;VAR:PCT=N&amp;VAR:AUDIT_ID=00000117&amp;VAR:DATE=20100804&amp;action=UPDATE&amp;creator=factset&amp;DOC_NAME=FAT:FMA_audit_DETAIL.fat&amp;DISPLAY_STRING=Display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1"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9"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4"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6"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8"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6"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7"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10"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localSheetId="5"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7__FDSAUDITLINK__" hidden="1">{"fdsup://directions/FAT%20Viewer?VAR:PED=20071231&amp;VAR:PERIOD=FIXED&amp;VAR:V=5.617591&amp;VAR:PCT=N&amp;VAR:AUDIT_ID=71692910&amp;VAR:DATE=20100817&amp;action=UPDATE&amp;creator=factset&amp;DOC_NAME=FAT:FMA_audit_DETAIL.fat&amp;DISPLAY_STRING=Display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1"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9"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4"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6"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8"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6"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7"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10"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localSheetId="5"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28__FDSAUDITLINK__" hidden="1">{"fdsup://directions/FAT%20Viewer?VAR:PED=20071231&amp;VAR:PERIOD=FIXED&amp;VAR:V=10.494746&amp;VAR:PCT=N&amp;VAR:AUDIT_ID=00000117&amp;VAR:DATE=20100817&amp;action=UPDATE&amp;creator=factset&amp;DOC_NAME=FAT:FMA_audit_DETAIL.fat&amp;DISPLAY_STRING=Display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3__FDSAUDITLINK__" localSheetId="11"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9"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4"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6"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8"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6"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7"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10"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localSheetId="5"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3__FDSAUDITLINK__" hidden="1">{"fdsup://directions/FAT Viewer?action=UPDATE&amp;creator=factset&amp;DYN_ARGS=TRUE&amp;DOC_NAME=FAT:FQL_AUDITING_CLIENT_TEMPLATE.FAT&amp;display_string=Audit&amp;VAR:KEY=ZYZAZOHSNG&amp;VAR:QUERY=RkZfRUJJVERBX0lCKEFOTiwyMDA2KQ==&amp;WINDOW=FIRST_POPUP&amp;HEIGHT=450&amp;WIDTH=450&amp;START_MAXIMI","ZED=FALSE&amp;VAR:CALENDAR=FIVEDAY&amp;VAR:SYMBOL=PFE&amp;VAR:INDEX=0"}</definedName>
    <definedName name="_4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9"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4"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8"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10"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4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9"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4"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8"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10"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5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9"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4"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8"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10"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6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9"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4"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8"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10"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7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1"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9"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4"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8"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6"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7"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10"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localSheetId="5"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8__FDSAUDITLINK__" hidden="1">{"fdsup://directions/FAT%20Viewer?VAR:PED=20071231&amp;VAR:PERIOD=FIXED&amp;VAR:V=5.636408&amp;VAR:PCT=N&amp;VAR:AUDIT_ID=71692910&amp;VAR:DATE=20101102&amp;action=UPDATE&amp;creator=factset&amp;DOC_NAME=FAT:FMA_audit_DETAIL.fat&amp;DISPLAY_STRING=Display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1"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9"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4"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8"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6"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7"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10"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localSheetId="5"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9__FDSAUDITLINK__" hidden="1">{"fdsup://directions/FAT%20Viewer?VAR:PED=20071231&amp;VAR:PERIOD=FIXED&amp;VAR:V=10.600984&amp;VAR:PCT=N&amp;VAR:AUDIT_ID=00000117&amp;VAR:DATE=20101102&amp;action=UPDATE&amp;creator=factset&amp;DOC_NAME=FAT:FMA_audit_DETAIL.fat&amp;DISPLAY_STRING=Display Audit for EPS LTG&amp;DYN_ARGS=TRUE&amp;WIND","OW=first_popup&amp;START_MAXIMIZED=FALSE&amp;width=910&amp;height=525&amp;TITLEBAR=FactSet Market Aggregates&amp;VAR:MEASURE=LTG_EPS&amp;VAR:CALC_MODE=PORTFOLIO&amp;VAR:CHGPERIOD=NA&amp;VAR:FQLFORMULA=FMA_LTG_EPS&amp;VAR:CURRENCY=USD&amp;VAR:P=NA&amp;VAR:THRESH=||||&amp;VAR:null=.html"}</definedName>
    <definedName name="_bdm.02E29E7B1053433EA3CCCBE4E5141596.edm" hidden="1">[1]Sheet1!$A:$IV</definedName>
    <definedName name="_bdm.261112BAE8204F8280374C78A1E02552.edm" hidden="1" xml:space="preserve"> '[2]Capex Chart'!$A:$IV</definedName>
    <definedName name="_bdm.48BD514DC04A4AB4891E926213491EC9.edm" localSheetId="6">Financial!$A$5:$CI$62</definedName>
    <definedName name="_bdm.530488839E8A407C8F1C1B550BFC2836.edm" localSheetId="6">Financial!$A$5:$CI$60</definedName>
    <definedName name="_bdm.5C8302ADDFAB47CFA0BC58B537A8ADEE.edm" localSheetId="6" hidden="1">Financial!$B$5:$DE$64</definedName>
    <definedName name="_bdm.6AFA43F0E39A44E1A1138F4D6AB6937E.edm" hidden="1">'[3]Financial Summary'!$A:$IV</definedName>
    <definedName name="_bdm.7264DC3258CD40029D96B7569D540AD9.edm" localSheetId="6">Financial!$A$5:$CI$62</definedName>
    <definedName name="_bdm.95D97703F0B44275930D649261210A38.edm" hidden="1">'[2]Capex Chart'!$A:$IV</definedName>
    <definedName name="_bdm.9CF1EC782CA246C5B743B60E78EFF75A.edm" localSheetId="17" hidden="1">'[4]New Resources'!$A:$IV</definedName>
    <definedName name="_bdm.9CF1EC782CA246C5B743B60E78EFF75A.edm" hidden="1">'[4]New Resources'!$A:$IV</definedName>
    <definedName name="_bdm.A552EFC7BDCB4B65921447ED0EB2DE33.edm" hidden="1">Financial!$1:$1048576</definedName>
    <definedName name="_bdm.BB11A2CB11314C6E9BE7E6722D945EB9.edm" hidden="1">'[2]FCF-Div. Working Chart'!$A:$IV</definedName>
    <definedName name="_bdm.E967D92EDBF846E2B7B774FBF88F28E1.edm" localSheetId="6">Financial!$B$6:$CH$60</definedName>
    <definedName name="_bdm.F7E901476B1C4A78A8384B81CD6FDDBF.edm" hidden="1">'[2]MWA RR'!$A:$IV</definedName>
    <definedName name="_Order1" hidden="1">255</definedName>
    <definedName name="AdditionalInstructions">IndexInformation!$B$42</definedName>
    <definedName name="Address" localSheetId="1">ImportantDisclosures!$A$2:$A$2</definedName>
    <definedName name="ANA" localSheetId="19">ModPubIndex!$A$7</definedName>
    <definedName name="Analyst_Detail" localSheetId="11">'[5]Income Statement'!$O$1</definedName>
    <definedName name="Analyst_Detail" localSheetId="9">'[5]Income Statement'!$O$1</definedName>
    <definedName name="Analyst_Detail" localSheetId="8">'[5]Income Statement'!$O$1</definedName>
    <definedName name="Analyst_Detail" localSheetId="6">'[5]Income Statement'!$O$1</definedName>
    <definedName name="Analyst_Detail" localSheetId="17">'[5]Income Statement'!$O$1</definedName>
    <definedName name="Analyst_Detail" localSheetId="10">'[5]Income Statement'!$O$1</definedName>
    <definedName name="Analyst_Detail">'[5]Income Statement'!$O$1</definedName>
    <definedName name="anscount" hidden="1">1</definedName>
    <definedName name="Authors" localSheetId="1">ImportantDisclosures!$A$7</definedName>
    <definedName name="Authors" localSheetId="18">IndexInformation!$B$18</definedName>
    <definedName name="Average_Cost_of_Total_Debt" localSheetId="11">'[6]Fin Stats'!$B$59:$M$59</definedName>
    <definedName name="Average_Cost_of_Total_Debt" localSheetId="9">'[6]Fin Stats'!$B$59:$M$59</definedName>
    <definedName name="Average_Cost_of_Total_Debt" localSheetId="8">'[6]Fin Stats'!$B$59:$M$59</definedName>
    <definedName name="Average_Cost_of_Total_Debt" localSheetId="6">'[6]Fin Stats'!$B$59:$M$59</definedName>
    <definedName name="Average_Cost_of_Total_Debt" localSheetId="17">'[6]Fin Stats'!$B$59:$M$59</definedName>
    <definedName name="Average_Cost_of_Total_Debt" localSheetId="10">'[6]Fin Stats'!$B$59:$M$59</definedName>
    <definedName name="Average_Cost_of_Total_Debt">'[6]Fin Stats'!$B$59:$M$59</definedName>
    <definedName name="basept">Valuation!$BY$22</definedName>
    <definedName name="bearpt">Valuation!$BX$22</definedName>
    <definedName name="BRO" localSheetId="19">ModPubIndex!$A$1</definedName>
    <definedName name="bullpt">Valuation!$BZ$22</definedName>
    <definedName name="Buttons" localSheetId="3">CircularReferenceAlert!$B$13:$B$15</definedName>
    <definedName name="Capital_Expenditures" localSheetId="11">'[6]Fin Stats'!$B$111:$M$111</definedName>
    <definedName name="Capital_Expenditures" localSheetId="9">'[6]Fin Stats'!$B$111:$M$111</definedName>
    <definedName name="Capital_Expenditures" localSheetId="8">'[6]Fin Stats'!$B$111:$M$111</definedName>
    <definedName name="Capital_Expenditures" localSheetId="6">'[6]Fin Stats'!$B$111:$M$111</definedName>
    <definedName name="Capital_Expenditures" localSheetId="17">'[6]Fin Stats'!$B$111:$M$111</definedName>
    <definedName name="Capital_Expenditures" localSheetId="10">'[6]Fin Stats'!$B$111:$M$111</definedName>
    <definedName name="Capital_Expenditures">'[6]Fin Stats'!$B$111:$M$111</definedName>
    <definedName name="Cash_Flow" localSheetId="11">'[6]Fin Stats'!$B$113:$M$113</definedName>
    <definedName name="Cash_Flow" localSheetId="9">'[6]Fin Stats'!$B$113:$M$113</definedName>
    <definedName name="Cash_Flow" localSheetId="8">'[6]Fin Stats'!$B$113:$M$113</definedName>
    <definedName name="Cash_Flow" localSheetId="6">'[6]Fin Stats'!$B$113:$M$113</definedName>
    <definedName name="Cash_Flow" localSheetId="17">'[6]Fin Stats'!$B$113:$M$113</definedName>
    <definedName name="Cash_Flow" localSheetId="10">'[6]Fin Stats'!$B$113:$M$113</definedName>
    <definedName name="Cash_Flow">'[6]Fin Stats'!$B$113:$M$113</definedName>
    <definedName name="Cash_Flow_per_Share" localSheetId="11">'[6]Fin Stats'!$B$116:$M$116</definedName>
    <definedName name="Cash_Flow_per_Share" localSheetId="9">'[6]Fin Stats'!$B$116:$M$116</definedName>
    <definedName name="Cash_Flow_per_Share" localSheetId="8">'[6]Fin Stats'!$B$116:$M$116</definedName>
    <definedName name="Cash_Flow_per_Share" localSheetId="6">'[6]Fin Stats'!$B$116:$M$116</definedName>
    <definedName name="Cash_Flow_per_Share" localSheetId="17">'[6]Fin Stats'!$B$116:$M$116</definedName>
    <definedName name="Cash_Flow_per_Share" localSheetId="10">'[6]Fin Stats'!$B$116:$M$116</definedName>
    <definedName name="Cash_Flow_per_Share">'[6]Fin Stats'!$B$116:$M$116</definedName>
    <definedName name="CFO_Assets" localSheetId="11">'[6]Fin Stats'!$B$67:$M$67</definedName>
    <definedName name="CFO_Assets" localSheetId="9">'[6]Fin Stats'!$B$67:$M$67</definedName>
    <definedName name="CFO_Assets" localSheetId="8">'[6]Fin Stats'!$B$67:$M$67</definedName>
    <definedName name="CFO_Assets" localSheetId="6">'[6]Fin Stats'!$B$67:$M$67</definedName>
    <definedName name="CFO_Assets" localSheetId="17">'[6]Fin Stats'!$B$67:$M$67</definedName>
    <definedName name="CFO_Assets" localSheetId="10">'[6]Fin Stats'!$B$67:$M$67</definedName>
    <definedName name="CFO_Assets">'[6]Fin Stats'!$B$67:$M$67</definedName>
    <definedName name="CFO_Total_Debt" localSheetId="11">'[6]Fin Stats'!$B$78:$M$78</definedName>
    <definedName name="CFO_Total_Debt" localSheetId="9">'[6]Fin Stats'!$B$78:$M$78</definedName>
    <definedName name="CFO_Total_Debt" localSheetId="8">'[6]Fin Stats'!$B$78:$M$78</definedName>
    <definedName name="CFO_Total_Debt" localSheetId="6">'[6]Fin Stats'!$B$78:$M$78</definedName>
    <definedName name="CFO_Total_Debt" localSheetId="17">'[6]Fin Stats'!$B$78:$M$78</definedName>
    <definedName name="CFO_Total_Debt" localSheetId="10">'[6]Fin Stats'!$B$78:$M$78</definedName>
    <definedName name="CFO_Total_Debt">'[6]Fin Stats'!$B$78:$M$78</definedName>
    <definedName name="Common_equity" localSheetId="11">'[6]Fin Stats'!$B$38:$M$38</definedName>
    <definedName name="Common_equity" localSheetId="9">'[6]Fin Stats'!$B$38:$M$38</definedName>
    <definedName name="Common_equity" localSheetId="8">'[6]Fin Stats'!$B$38:$M$38</definedName>
    <definedName name="Common_equity" localSheetId="6">'[6]Fin Stats'!$B$38:$M$38</definedName>
    <definedName name="Common_equity" localSheetId="17">'[6]Fin Stats'!$B$38:$M$38</definedName>
    <definedName name="Common_equity" localSheetId="10">'[6]Fin Stats'!$B$38:$M$38</definedName>
    <definedName name="Common_equity">'[6]Fin Stats'!$B$38:$M$38</definedName>
    <definedName name="Company_Name" localSheetId="11">'[7]Income Statement'!$A$1</definedName>
    <definedName name="Company_Name" localSheetId="9">'[7]Income Statement'!$A$1</definedName>
    <definedName name="Company_Name" localSheetId="8">'[7]Income Statement'!$A$1</definedName>
    <definedName name="Company_Name" localSheetId="6">'[7]Income Statement'!$A$1</definedName>
    <definedName name="Company_Name" localSheetId="17">'[7]Income Statement'!$A$1</definedName>
    <definedName name="Company_Name" localSheetId="10">'[7]Income Statement'!$A$1</definedName>
    <definedName name="Company_Name">'[7]Income Statement'!$A$1</definedName>
    <definedName name="CopyrightStamp">ImportantDisclosures!$A$27</definedName>
    <definedName name="COU" localSheetId="19">ModPubIndex!$A$5</definedName>
    <definedName name="CQEnd" localSheetId="18">IndexInformation!$B$31</definedName>
    <definedName name="Currency" localSheetId="18">IndexInformation!$B$24</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SIP" localSheetId="18">IndexInformation!$B$20</definedName>
    <definedName name="CYEnd" localSheetId="18">IndexInformation!$B$30</definedName>
    <definedName name="dataseries1" localSheetId="17">#N/A</definedName>
    <definedName name="dataseries4">OFFSET([8]c1!$G$12,0,0,COUNTA([8]c1!$G$12:$G$31),1)</definedName>
    <definedName name="Date" localSheetId="1">ImportantDisclosures!$A$8</definedName>
    <definedName name="Debt_Equity" localSheetId="11">'[6]Fin Stats'!$B$60:$M$60</definedName>
    <definedName name="Debt_Equity" localSheetId="9">'[6]Fin Stats'!$B$60:$M$60</definedName>
    <definedName name="Debt_Equity" localSheetId="8">'[6]Fin Stats'!$B$60:$M$60</definedName>
    <definedName name="Debt_Equity" localSheetId="6">'[6]Fin Stats'!$B$60:$M$60</definedName>
    <definedName name="Debt_Equity" localSheetId="17">'[6]Fin Stats'!$B$60:$M$60</definedName>
    <definedName name="Debt_Equity" localSheetId="10">'[6]Fin Stats'!$B$60:$M$60</definedName>
    <definedName name="Debt_Equity">'[6]Fin Stats'!$B$60:$M$60</definedName>
    <definedName name="Debt_Total_Capital" localSheetId="11">'[6]Fin Stats'!$B$61:$M$61</definedName>
    <definedName name="Debt_Total_Capital" localSheetId="9">'[6]Fin Stats'!$B$61:$M$61</definedName>
    <definedName name="Debt_Total_Capital" localSheetId="8">'[6]Fin Stats'!$B$61:$M$61</definedName>
    <definedName name="Debt_Total_Capital" localSheetId="6">'[6]Fin Stats'!$B$61:$M$61</definedName>
    <definedName name="Debt_Total_Capital" localSheetId="17">'[6]Fin Stats'!$B$61:$M$61</definedName>
    <definedName name="Debt_Total_Capital" localSheetId="10">'[6]Fin Stats'!$B$61:$M$61</definedName>
    <definedName name="Debt_Total_Capital">'[6]Fin Stats'!$B$61:$M$61</definedName>
    <definedName name="Deleted" localSheetId="18">IndexInformation!$B$27</definedName>
    <definedName name="Depreciation__D___A" localSheetId="11">'[6]Fin Stats'!$B$110:$M$110</definedName>
    <definedName name="Depreciation__D___A" localSheetId="9">'[6]Fin Stats'!$B$110:$M$110</definedName>
    <definedName name="Depreciation__D___A" localSheetId="8">'[6]Fin Stats'!$B$110:$M$110</definedName>
    <definedName name="Depreciation__D___A" localSheetId="6">'[6]Fin Stats'!$B$110:$M$110</definedName>
    <definedName name="Depreciation__D___A" localSheetId="17">'[6]Fin Stats'!$B$110:$M$110</definedName>
    <definedName name="Depreciation__D___A" localSheetId="10">'[6]Fin Stats'!$B$110:$M$110</definedName>
    <definedName name="Depreciation__D___A">'[6]Fin Stats'!$B$110:$M$110</definedName>
    <definedName name="Description" localSheetId="18">IndexInformation!$B$7</definedName>
    <definedName name="Discipline" localSheetId="18">IndexInformation!$B$3</definedName>
    <definedName name="DISCIPLINE" localSheetId="19">ModPubIndex!$A$12</definedName>
    <definedName name="DisclosuresText">ImportantDisclosures!$A$22</definedName>
    <definedName name="Distribution" localSheetId="18">IndexInformation!$B$26</definedName>
    <definedName name="DistTable" localSheetId="1">ImportantDisclosures!#REF!</definedName>
    <definedName name="DistTablePreamble" localSheetId="1">ImportantDisclosures!#REF!</definedName>
    <definedName name="Dividends_per_Share" localSheetId="11">'[6]Fin Stats'!$B$118:$M$118</definedName>
    <definedName name="Dividends_per_Share" localSheetId="9">'[6]Fin Stats'!$B$118:$M$118</definedName>
    <definedName name="Dividends_per_Share" localSheetId="8">'[6]Fin Stats'!$B$118:$M$118</definedName>
    <definedName name="Dividends_per_Share" localSheetId="6">'[6]Fin Stats'!$B$118:$M$118</definedName>
    <definedName name="Dividends_per_Share" localSheetId="17">'[6]Fin Stats'!$B$118:$M$118</definedName>
    <definedName name="Dividends_per_Share" localSheetId="10">'[6]Fin Stats'!$B$118:$M$118</definedName>
    <definedName name="Dividends_per_Share">'[6]Fin Stats'!$B$118:$M$118</definedName>
    <definedName name="DOCDAT" localSheetId="19">ModPubIndex!$A$2</definedName>
    <definedName name="DOCTIME" localSheetId="19">ModPubIndex!$A$3</definedName>
    <definedName name="DocType" localSheetId="18">IndexInformation!$B$5</definedName>
    <definedName name="Earnings" localSheetId="11">'[6]Fin Stats'!$B$106:$M$106</definedName>
    <definedName name="Earnings" localSheetId="9">'[6]Fin Stats'!$B$106:$M$106</definedName>
    <definedName name="Earnings" localSheetId="8">'[6]Fin Stats'!$B$106:$M$106</definedName>
    <definedName name="Earnings" localSheetId="6">'[6]Fin Stats'!$B$106:$M$106</definedName>
    <definedName name="Earnings" localSheetId="17">'[6]Fin Stats'!$B$106:$M$106</definedName>
    <definedName name="Earnings" localSheetId="10">'[6]Fin Stats'!$B$106:$M$106</definedName>
    <definedName name="Earnings">'[6]Fin Stats'!$B$106:$M$106</definedName>
    <definedName name="Earnings_per_Share" localSheetId="11">'[6]Fin Stats'!$B$107:$M$107</definedName>
    <definedName name="Earnings_per_Share" localSheetId="9">'[6]Fin Stats'!$B$107:$M$107</definedName>
    <definedName name="Earnings_per_Share" localSheetId="8">'[6]Fin Stats'!$B$107:$M$107</definedName>
    <definedName name="Earnings_per_Share" localSheetId="6">'[6]Fin Stats'!$B$107:$M$107</definedName>
    <definedName name="Earnings_per_Share" localSheetId="17">'[6]Fin Stats'!$B$107:$M$107</definedName>
    <definedName name="Earnings_per_Share" localSheetId="10">'[6]Fin Stats'!$B$107:$M$107</definedName>
    <definedName name="Earnings_per_Share">'[6]Fin Stats'!$B$107:$M$107</definedName>
    <definedName name="EBIT" localSheetId="11">'[6]Fin Stats'!$B$101:$M$101</definedName>
    <definedName name="EBIT" localSheetId="9">'[6]Fin Stats'!$B$101:$M$101</definedName>
    <definedName name="EBIT" localSheetId="8">'[6]Fin Stats'!$B$101:$M$101</definedName>
    <definedName name="EBIT" localSheetId="6">'[6]Fin Stats'!$B$101:$M$101</definedName>
    <definedName name="EBIT" localSheetId="17">'[6]Fin Stats'!$B$101:$M$101</definedName>
    <definedName name="EBIT" localSheetId="10">'[6]Fin Stats'!$B$101:$M$101</definedName>
    <definedName name="EBIT">'[6]Fin Stats'!$B$101:$M$101</definedName>
    <definedName name="EBIT_Assets" localSheetId="11">'[6]Fin Stats'!$B$66:$M$66</definedName>
    <definedName name="EBIT_Assets" localSheetId="9">'[6]Fin Stats'!$B$66:$M$66</definedName>
    <definedName name="EBIT_Assets" localSheetId="8">'[6]Fin Stats'!$B$66:$M$66</definedName>
    <definedName name="EBIT_Assets" localSheetId="6">'[6]Fin Stats'!$B$66:$M$66</definedName>
    <definedName name="EBIT_Assets" localSheetId="17">'[6]Fin Stats'!$B$66:$M$66</definedName>
    <definedName name="EBIT_Assets" localSheetId="10">'[6]Fin Stats'!$B$66:$M$66</definedName>
    <definedName name="EBIT_Assets">'[6]Fin Stats'!$B$66:$M$66</definedName>
    <definedName name="EBIT_Margin" localSheetId="11">'[6]Fin Stats'!$B$24:$M$24</definedName>
    <definedName name="EBIT_Margin" localSheetId="9">'[6]Fin Stats'!$B$24:$M$24</definedName>
    <definedName name="EBIT_Margin" localSheetId="8">'[6]Fin Stats'!$B$24:$M$24</definedName>
    <definedName name="EBIT_Margin" localSheetId="6">'[6]Fin Stats'!$B$24:$M$24</definedName>
    <definedName name="EBIT_Margin" localSheetId="17">'[6]Fin Stats'!$B$24:$M$24</definedName>
    <definedName name="EBIT_Margin" localSheetId="10">'[6]Fin Stats'!$B$24:$M$24</definedName>
    <definedName name="EBIT_Margin">'[6]Fin Stats'!$B$24:$M$24</definedName>
    <definedName name="EBIT_to_Interest_Expense" localSheetId="11">'[6]Fin Stats'!$B$45:$M$45</definedName>
    <definedName name="EBIT_to_Interest_Expense" localSheetId="9">'[6]Fin Stats'!$B$45:$M$45</definedName>
    <definedName name="EBIT_to_Interest_Expense" localSheetId="8">'[6]Fin Stats'!$B$45:$M$45</definedName>
    <definedName name="EBIT_to_Interest_Expense" localSheetId="6">'[6]Fin Stats'!$B$45:$M$45</definedName>
    <definedName name="EBIT_to_Interest_Expense" localSheetId="17">'[6]Fin Stats'!$B$45:$M$45</definedName>
    <definedName name="EBIT_to_Interest_Expense" localSheetId="10">'[6]Fin Stats'!$B$45:$M$45</definedName>
    <definedName name="EBIT_to_Interest_Expense">'[6]Fin Stats'!$B$45:$M$45</definedName>
    <definedName name="EBITDA" localSheetId="11">'[6]Fin Stats'!$B$100:$M$100</definedName>
    <definedName name="EBITDA" localSheetId="9">'[6]Fin Stats'!$B$100:$M$100</definedName>
    <definedName name="EBITDA" localSheetId="8">'[6]Fin Stats'!$B$100:$M$100</definedName>
    <definedName name="EBITDA" localSheetId="6">'[6]Fin Stats'!$B$100:$M$100</definedName>
    <definedName name="EBITDA" localSheetId="17">'[6]Fin Stats'!$B$100:$M$100</definedName>
    <definedName name="EBITDA" localSheetId="10">'[6]Fin Stats'!$B$100:$M$100</definedName>
    <definedName name="EBITDA">'[6]Fin Stats'!$B$100:$M$100</definedName>
    <definedName name="EBITDA_Interest" localSheetId="11">'[6]Fin Stats'!$B$75:$M$75</definedName>
    <definedName name="EBITDA_Interest" localSheetId="9">'[6]Fin Stats'!$B$75:$M$75</definedName>
    <definedName name="EBITDA_Interest" localSheetId="8">'[6]Fin Stats'!$B$75:$M$75</definedName>
    <definedName name="EBITDA_Interest" localSheetId="6">'[6]Fin Stats'!$B$75:$M$75</definedName>
    <definedName name="EBITDA_Interest" localSheetId="17">'[6]Fin Stats'!$B$75:$M$75</definedName>
    <definedName name="EBITDA_Interest" localSheetId="10">'[6]Fin Stats'!$B$75:$M$75</definedName>
    <definedName name="EBITDA_Interest">'[6]Fin Stats'!$B$75:$M$75</definedName>
    <definedName name="EMAIL_ALERT" localSheetId="19">ModPubIndex!$A$10</definedName>
    <definedName name="EmailAlert" localSheetId="18">IndexInformation!$B$28</definedName>
    <definedName name="Energy">[9]Data!$P$9:$Q$29</definedName>
    <definedName name="EnergyGrowth">[9]Data!$U$58:$X$76</definedName>
    <definedName name="Enterprise_Value" localSheetId="11">'[6]Fin Stats'!$B$57:$M$57</definedName>
    <definedName name="Enterprise_Value" localSheetId="9">'[6]Fin Stats'!$B$57:$M$57</definedName>
    <definedName name="Enterprise_Value" localSheetId="8">'[6]Fin Stats'!$B$57:$M$57</definedName>
    <definedName name="Enterprise_Value" localSheetId="6">'[6]Fin Stats'!$B$57:$M$57</definedName>
    <definedName name="Enterprise_Value" localSheetId="17">'[6]Fin Stats'!$B$57:$M$57</definedName>
    <definedName name="Enterprise_Value" localSheetId="10">'[6]Fin Stats'!$B$57:$M$57</definedName>
    <definedName name="Enterprise_Value">'[6]Fin Stats'!$B$57:$M$57</definedName>
    <definedName name="EPS">EXC!$N$53:$BX$53</definedName>
    <definedName name="Equity_to_Capital" localSheetId="11">'[6]Fin Stats'!$B$43:$M$43</definedName>
    <definedName name="Equity_to_Capital" localSheetId="9">'[6]Fin Stats'!$B$43:$M$43</definedName>
    <definedName name="Equity_to_Capital" localSheetId="8">'[6]Fin Stats'!$B$43:$M$43</definedName>
    <definedName name="Equity_to_Capital" localSheetId="6">'[6]Fin Stats'!$B$43:$M$43</definedName>
    <definedName name="Equity_to_Capital" localSheetId="17">'[6]Fin Stats'!$B$43:$M$43</definedName>
    <definedName name="Equity_to_Capital" localSheetId="10">'[6]Fin Stats'!$B$43:$M$43</definedName>
    <definedName name="Equity_to_Capital">'[6]Fin Stats'!$B$43:$M$43</definedName>
    <definedName name="ev.Calculation" hidden="1">-4105</definedName>
    <definedName name="ev.Initialized" hidden="1">FALSE</definedName>
    <definedName name="EV_EBITDA_Current_Year" localSheetId="11">'[6]Fin Stats'!$B$85:$M$85</definedName>
    <definedName name="EV_EBITDA_Current_Year" localSheetId="9">'[6]Fin Stats'!$B$85:$M$85</definedName>
    <definedName name="EV_EBITDA_Current_Year" localSheetId="8">'[6]Fin Stats'!$B$85:$M$85</definedName>
    <definedName name="EV_EBITDA_Current_Year" localSheetId="6">'[6]Fin Stats'!$B$85:$M$85</definedName>
    <definedName name="EV_EBITDA_Current_Year" localSheetId="17">'[6]Fin Stats'!$B$85:$M$85</definedName>
    <definedName name="EV_EBITDA_Current_Year" localSheetId="10">'[6]Fin Stats'!$B$85:$M$85</definedName>
    <definedName name="EV_EBITDA_Current_Year">'[6]Fin Stats'!$B$85:$M$85</definedName>
    <definedName name="EV_EBITDA_Forward_Year" localSheetId="11">'[6]Fin Stats'!$B$86:$M$86</definedName>
    <definedName name="EV_EBITDA_Forward_Year" localSheetId="9">'[6]Fin Stats'!$B$86:$M$86</definedName>
    <definedName name="EV_EBITDA_Forward_Year" localSheetId="8">'[6]Fin Stats'!$B$86:$M$86</definedName>
    <definedName name="EV_EBITDA_Forward_Year" localSheetId="6">'[6]Fin Stats'!$B$86:$M$86</definedName>
    <definedName name="EV_EBITDA_Forward_Year" localSheetId="17">'[6]Fin Stats'!$B$86:$M$86</definedName>
    <definedName name="EV_EBITDA_Forward_Year" localSheetId="10">'[6]Fin Stats'!$B$86:$M$86</definedName>
    <definedName name="EV_EBITDA_Forward_Year">'[6]Fin Stats'!$B$86:$M$86</definedName>
    <definedName name="EV_Sales_Current_Year" localSheetId="11">'[6]Fin Stats'!$B$82:$M$82</definedName>
    <definedName name="EV_Sales_Current_Year" localSheetId="9">'[6]Fin Stats'!$B$82:$M$82</definedName>
    <definedName name="EV_Sales_Current_Year" localSheetId="8">'[6]Fin Stats'!$B$82:$M$82</definedName>
    <definedName name="EV_Sales_Current_Year" localSheetId="6">'[6]Fin Stats'!$B$82:$M$82</definedName>
    <definedName name="EV_Sales_Current_Year" localSheetId="17">'[6]Fin Stats'!$B$82:$M$82</definedName>
    <definedName name="EV_Sales_Current_Year" localSheetId="10">'[6]Fin Stats'!$B$82:$M$82</definedName>
    <definedName name="EV_Sales_Current_Year">'[6]Fin Stats'!$B$82:$M$82</definedName>
    <definedName name="EV_Sales_Forward_Year" localSheetId="11">'[6]Fin Stats'!$B$83:$M$83</definedName>
    <definedName name="EV_Sales_Forward_Year" localSheetId="9">'[6]Fin Stats'!$B$83:$M$83</definedName>
    <definedName name="EV_Sales_Forward_Year" localSheetId="8">'[6]Fin Stats'!$B$83:$M$83</definedName>
    <definedName name="EV_Sales_Forward_Year" localSheetId="6">'[6]Fin Stats'!$B$83:$M$83</definedName>
    <definedName name="EV_Sales_Forward_Year" localSheetId="17">'[6]Fin Stats'!$B$83:$M$83</definedName>
    <definedName name="EV_Sales_Forward_Year" localSheetId="10">'[6]Fin Stats'!$B$83:$M$83</definedName>
    <definedName name="EV_Sales_Forward_Year">'[6]Fin Stats'!$B$83:$M$83</definedName>
    <definedName name="FFO_Coverage" localSheetId="11">'[6]Fin Stats'!$B$76:$M$76</definedName>
    <definedName name="FFO_Coverage" localSheetId="9">'[6]Fin Stats'!$B$76:$M$76</definedName>
    <definedName name="FFO_Coverage" localSheetId="8">'[6]Fin Stats'!$B$76:$M$76</definedName>
    <definedName name="FFO_Coverage" localSheetId="6">'[6]Fin Stats'!$B$76:$M$76</definedName>
    <definedName name="FFO_Coverage" localSheetId="17">'[6]Fin Stats'!$B$76:$M$76</definedName>
    <definedName name="FFO_Coverage" localSheetId="10">'[6]Fin Stats'!$B$76:$M$76</definedName>
    <definedName name="FFO_Coverage">'[6]Fin Stats'!$B$76:$M$76</definedName>
    <definedName name="FFO_Total_Debt" localSheetId="11">'[6]Fin Stats'!$B$77:$M$77</definedName>
    <definedName name="FFO_Total_Debt" localSheetId="9">'[6]Fin Stats'!$B$77:$M$77</definedName>
    <definedName name="FFO_Total_Debt" localSheetId="8">'[6]Fin Stats'!$B$77:$M$77</definedName>
    <definedName name="FFO_Total_Debt" localSheetId="6">'[6]Fin Stats'!$B$77:$M$77</definedName>
    <definedName name="FFO_Total_Debt" localSheetId="17">'[6]Fin Stats'!$B$77:$M$77</definedName>
    <definedName name="FFO_Total_Debt" localSheetId="10">'[6]Fin Stats'!$B$77:$M$77</definedName>
    <definedName name="FFO_Total_Debt">'[6]Fin Stats'!$B$77:$M$77</definedName>
    <definedName name="FiveYearGrowthRate" localSheetId="18">IndexInformation!$B$16</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Free_Cash_Flow" localSheetId="11">'[6]Fin Stats'!$B$114:$M$114</definedName>
    <definedName name="Free_Cash_Flow" localSheetId="9">'[6]Fin Stats'!$B$114:$M$114</definedName>
    <definedName name="Free_Cash_Flow" localSheetId="8">'[6]Fin Stats'!$B$114:$M$114</definedName>
    <definedName name="Free_Cash_Flow" localSheetId="6">'[6]Fin Stats'!$B$114:$M$114</definedName>
    <definedName name="Free_Cash_Flow" localSheetId="17">'[6]Fin Stats'!$B$114:$M$114</definedName>
    <definedName name="Free_Cash_Flow" localSheetId="10">'[6]Fin Stats'!$B$114:$M$114</definedName>
    <definedName name="Free_Cash_Flow">'[6]Fin Stats'!$B$114:$M$114</definedName>
    <definedName name="GasPaste" localSheetId="11">[10]Gas!$D$7</definedName>
    <definedName name="GasPaste" localSheetId="9">[10]Gas!$D$7</definedName>
    <definedName name="GasPaste" localSheetId="4">[10]Gas!$D$7</definedName>
    <definedName name="GasPaste" localSheetId="8">[10]Gas!$D$7</definedName>
    <definedName name="GasPaste" localSheetId="6">[10]Gas!$D$7</definedName>
    <definedName name="GasPaste" localSheetId="17">[10]Gas!$D$7</definedName>
    <definedName name="GasPaste" localSheetId="10">[10]Gas!$D$7</definedName>
    <definedName name="GasPaste">[11]Gas!$D$7</definedName>
    <definedName name="GenCo">Valuation!$BY$17</definedName>
    <definedName name="Generation">[9]Data!$P$34:$Q$54</definedName>
    <definedName name="Gross_Margin" localSheetId="11">'[6]Fin Stats'!$B$22:$M$22</definedName>
    <definedName name="Gross_Margin" localSheetId="9">'[6]Fin Stats'!$B$22:$M$22</definedName>
    <definedName name="Gross_Margin" localSheetId="8">'[6]Fin Stats'!$B$22:$M$22</definedName>
    <definedName name="Gross_Margin" localSheetId="6">'[6]Fin Stats'!$B$22:$M$22</definedName>
    <definedName name="Gross_Margin" localSheetId="17">'[6]Fin Stats'!$B$22:$M$22</definedName>
    <definedName name="Gross_Margin" localSheetId="10">'[6]Fin Stats'!$B$22:$M$22</definedName>
    <definedName name="Gross_Margin">'[6]Fin Stats'!$B$22:$M$22</definedName>
    <definedName name="Growth_ROIC" localSheetId="11">OFFSET(BGE!XRange,10,0)</definedName>
    <definedName name="Growth_ROIC" localSheetId="9">OFFSET(ComEd!XRange,10,0)</definedName>
    <definedName name="Growth_ROIC" localSheetId="4">OFFSET([0]!XRange,10,0)</definedName>
    <definedName name="Growth_ROIC" localSheetId="16">OFFSET(Debt!XRange,10,0)</definedName>
    <definedName name="Growth_ROIC" localSheetId="13">OFFSET(DPL!XRange,10,0)</definedName>
    <definedName name="Growth_ROIC" localSheetId="8">OFFSET(ExGen!XRange,10,0)</definedName>
    <definedName name="Growth_ROIC" localSheetId="6">OFFSET([0]!XRange,10,0)</definedName>
    <definedName name="Growth_ROIC" localSheetId="17">OFFSET([0]!XRange,10,0)</definedName>
    <definedName name="Growth_ROIC" localSheetId="10">OFFSET(PECO!XRange,10,0)</definedName>
    <definedName name="Growth_ROIC" localSheetId="5">OFFSET(Valuation!XRange,10,0)</definedName>
    <definedName name="Growth_ROIC">OFFSET([0]!XRange,10,0)</definedName>
    <definedName name="highmid_gas_cf" localSheetId="17">'[4]Valuation Summary'!$AQ$28</definedName>
    <definedName name="highmid_gas_cf">'[4]Valuation Summary'!$AQ$28</definedName>
    <definedName name="highmidmargin" localSheetId="17">'[4]Valuation Summary'!$AN$28</definedName>
    <definedName name="highmidmargin">'[4]Valuation Summary'!$AN$28</definedName>
    <definedName name="HL" localSheetId="19">ModPubIndex!$A$8</definedName>
    <definedName name="hn.ExtDb" hidden="1">FALSE</definedName>
    <definedName name="hn.ModelType" hidden="1">"DEAL"</definedName>
    <definedName name="hn.ModelVersion" hidden="1">1</definedName>
    <definedName name="hn.NoUpload" hidden="1">0</definedName>
    <definedName name="huge_gas_cf" localSheetId="17">'[4]Valuation Summary'!$AQ$27</definedName>
    <definedName name="huge_gas_cf">'[4]Valuation Summary'!$AQ$27</definedName>
    <definedName name="hugemargin" localSheetId="17">'[4]Valuation Summary'!$AN$27</definedName>
    <definedName name="hugemargin">'[4]Valuation Summary'!$AN$27</definedName>
    <definedName name="Img_ML_7g5e5e2b" hidden="1">"IMG_12"</definedName>
    <definedName name="IND" localSheetId="19">ModPubIndex!$A$9</definedName>
    <definedName name="Industry" localSheetId="1">ImportantDisclosures!$A$12</definedName>
    <definedName name="IndustryId" localSheetId="18">IndexInformation!$B$40</definedName>
    <definedName name="IndustryId" localSheetId="17">[12]IndexInformation!$B$40</definedName>
    <definedName name="IndustryId">[12]IndexInformation!$B$40</definedName>
    <definedName name="IndustryRating" localSheetId="1">ImportantDisclosures!$A$13</definedName>
    <definedName name="Interest_Expense" localSheetId="11">'[6]Fin Stats'!$B$103:$M$103</definedName>
    <definedName name="Interest_Expense" localSheetId="9">'[6]Fin Stats'!$B$103:$M$103</definedName>
    <definedName name="Interest_Expense" localSheetId="8">'[6]Fin Stats'!$B$103:$M$103</definedName>
    <definedName name="Interest_Expense" localSheetId="6">'[6]Fin Stats'!$B$103:$M$103</definedName>
    <definedName name="Interest_Expense" localSheetId="17">'[6]Fin Stats'!$B$103:$M$103</definedName>
    <definedName name="Interest_Expense" localSheetId="10">'[6]Fin Stats'!$B$103:$M$103</definedName>
    <definedName name="Interest_Expense">'[6]Fin Stats'!$B$103:$M$103</definedName>
    <definedName name="InvestCapGrowth" localSheetId="11">OFFSET(BGE!XRange2,4,0)</definedName>
    <definedName name="InvestCapGrowth" localSheetId="9">OFFSET(ComEd!XRange2,4,0)</definedName>
    <definedName name="InvestCapGrowth" localSheetId="4">OFFSET([0]!XRange2,4,0)</definedName>
    <definedName name="InvestCapGrowth" localSheetId="16">OFFSET(Debt!XRange2,4,0)</definedName>
    <definedName name="InvestCapGrowth" localSheetId="13">OFFSET(DPL!XRange2,4,0)</definedName>
    <definedName name="InvestCapGrowth" localSheetId="8">OFFSET(ExGen!XRange2,4,0)</definedName>
    <definedName name="InvestCapGrowth" localSheetId="6">OFFSET([0]!XRange2,4,0)</definedName>
    <definedName name="InvestCapGrowth" localSheetId="17">OFFSET([0]!XRange2,4,0)</definedName>
    <definedName name="InvestCapGrowth" localSheetId="10">OFFSET(PECO!XRange2,4,0)</definedName>
    <definedName name="InvestCapGrowth" localSheetId="5">OFFSET(Valuation!XRange2,4,0)</definedName>
    <definedName name="InvestCapGrowth">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MES_REVISION_DATE_" hidden="1">41905.7138541667</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39177.4967361111</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ShowHideColumns" hidden="1">"iQShowAll"</definedName>
    <definedName name="KeepVersions" localSheetId="18">IndexInformation!$B$8</definedName>
    <definedName name="LanguageCode" localSheetId="18">IndexInformation!$B$38</definedName>
    <definedName name="LanguageCode" localSheetId="17">[12]IndexInformation!$B$38</definedName>
    <definedName name="LanguageCode">[12]IndexInformation!$B$38</definedName>
    <definedName name="LastCell" localSheetId="1">ImportantDisclosures!$A$22</definedName>
    <definedName name="Linking_1">Financial!$B$4:$ED$72</definedName>
    <definedName name="Linking_Range_1" localSheetId="6">Financial!$B$5:$DE$64</definedName>
    <definedName name="Linking_Range_10">'Chart Data'!$N$7:$R$18</definedName>
    <definedName name="Linking_Range_11">'Chart Data'!$C$29:$F$34</definedName>
    <definedName name="Linking_Range_12">'Chart Data'!$C$37:$D$58</definedName>
    <definedName name="Linking_Range_13">'Chart Data'!$C$15:$D$25</definedName>
    <definedName name="Linking_Range_14">Financial!$B$5:$DE$66</definedName>
    <definedName name="Linking_Range_15">Financial!$B$4:$DE$66</definedName>
    <definedName name="Linking_Range_16">'Chart Data'!$N$6:$R$20</definedName>
    <definedName name="Linking_Range_17" localSheetId="17">'[13]Chart Data'!$N$7:$R$20</definedName>
    <definedName name="Linking_Range_17">'Chart Data'!$N$7:$R$20</definedName>
    <definedName name="Linking_Range_18" localSheetId="17">'[13]Chart Data'!$H$21:$L$26</definedName>
    <definedName name="Linking_Range_18">'Chart Data'!$H$21:$L$26</definedName>
    <definedName name="Linking_Range_19" localSheetId="17">'[13]Chart Data'!$N$52:$R$63</definedName>
    <definedName name="Linking_Range_19">'Chart Data'!$N$52:$R$63</definedName>
    <definedName name="Linking_Range_20">Financial!$B$5:$DT$72</definedName>
    <definedName name="Linking_Range_21">Financial!$B$4:$DT$72</definedName>
    <definedName name="Linking_Range_7">'Chart Data'!$H$7:$L$16</definedName>
    <definedName name="Linking_Range_8">'Chart Data'!$H$22:$L$26</definedName>
    <definedName name="Linking_Range_9">'Chart Data'!$C$16:$D$25</definedName>
    <definedName name="Long_term_debt" localSheetId="11">'[6]Fin Stats'!$B$36:$M$36</definedName>
    <definedName name="Long_term_debt" localSheetId="9">'[6]Fin Stats'!$B$36:$M$36</definedName>
    <definedName name="Long_term_debt" localSheetId="8">'[6]Fin Stats'!$B$36:$M$36</definedName>
    <definedName name="Long_term_debt" localSheetId="6">'[6]Fin Stats'!$B$36:$M$36</definedName>
    <definedName name="Long_term_debt" localSheetId="17">'[6]Fin Stats'!$B$36:$M$36</definedName>
    <definedName name="Long_term_debt" localSheetId="10">'[6]Fin Stats'!$B$36:$M$36</definedName>
    <definedName name="Long_term_debt">'[6]Fin Stats'!$B$36:$M$36</definedName>
    <definedName name="Long_term_Debt_to_Capital" localSheetId="11">'[6]Fin Stats'!$B$41:$M$41</definedName>
    <definedName name="Long_term_Debt_to_Capital" localSheetId="9">'[6]Fin Stats'!$B$41:$M$41</definedName>
    <definedName name="Long_term_Debt_to_Capital" localSheetId="8">'[6]Fin Stats'!$B$41:$M$41</definedName>
    <definedName name="Long_term_Debt_to_Capital" localSheetId="6">'[6]Fin Stats'!$B$41:$M$41</definedName>
    <definedName name="Long_term_Debt_to_Capital" localSheetId="17">'[6]Fin Stats'!$B$41:$M$41</definedName>
    <definedName name="Long_term_Debt_to_Capital" localSheetId="10">'[6]Fin Stats'!$B$41:$M$41</definedName>
    <definedName name="Long_term_Debt_to_Capital">'[6]Fin Stats'!$B$41:$M$41</definedName>
    <definedName name="lowmid_gas_cf" localSheetId="17">'[4]Valuation Summary'!$AQ$29</definedName>
    <definedName name="lowmid_gas_cf">'[4]Valuation Summary'!$AQ$29</definedName>
    <definedName name="lowmidmargin" localSheetId="17">'[4]Valuation Summary'!$AN$29</definedName>
    <definedName name="lowmidmargin">'[4]Valuation Summary'!$AN$29</definedName>
    <definedName name="MacroVersion" localSheetId="18">IndexInformation!$B$1</definedName>
    <definedName name="Market_Value" localSheetId="11">'[6]Fin Stats'!$B$56:$M$56</definedName>
    <definedName name="Market_Value" localSheetId="9">'[6]Fin Stats'!$B$56:$M$56</definedName>
    <definedName name="Market_Value" localSheetId="8">'[6]Fin Stats'!$B$56:$M$56</definedName>
    <definedName name="Market_Value" localSheetId="6">'[6]Fin Stats'!$B$56:$M$56</definedName>
    <definedName name="Market_Value" localSheetId="17">'[6]Fin Stats'!$B$56:$M$56</definedName>
    <definedName name="Market_Value" localSheetId="10">'[6]Fin Stats'!$B$56:$M$56</definedName>
    <definedName name="Market_Value">'[6]Fin Stats'!$B$56:$M$56</definedName>
    <definedName name="MaxChange" localSheetId="3">CircularReferenceAlert!$B$9</definedName>
    <definedName name="MaxIterations" localSheetId="3">CircularReferenceAlert!$B$8</definedName>
    <definedName name="Minority_Interest" localSheetId="11">'[6]Fin Stats'!$B$53:$M$53</definedName>
    <definedName name="Minority_Interest" localSheetId="9">'[6]Fin Stats'!$B$53:$M$53</definedName>
    <definedName name="Minority_Interest" localSheetId="8">'[6]Fin Stats'!$B$53:$M$53</definedName>
    <definedName name="Minority_Interest" localSheetId="6">'[6]Fin Stats'!$B$53:$M$53</definedName>
    <definedName name="Minority_Interest" localSheetId="17">'[6]Fin Stats'!$B$53:$M$53</definedName>
    <definedName name="Minority_Interest" localSheetId="10">'[6]Fin Stats'!$B$53:$M$53</definedName>
    <definedName name="Minority_Interest">'[6]Fin Stats'!$B$53:$M$53</definedName>
    <definedName name="ModelPrice" localSheetId="1">ImportantDisclosures!$A$14</definedName>
    <definedName name="Multiplier" localSheetId="18">IndexInformation!$B$35</definedName>
    <definedName name="Net_Debt" localSheetId="11">'[6]Fin Stats'!$B$51:$M$51</definedName>
    <definedName name="Net_Debt" localSheetId="9">'[6]Fin Stats'!$B$51:$M$51</definedName>
    <definedName name="Net_Debt" localSheetId="8">'[6]Fin Stats'!$B$51:$M$51</definedName>
    <definedName name="Net_Debt" localSheetId="6">'[6]Fin Stats'!$B$51:$M$51</definedName>
    <definedName name="Net_Debt" localSheetId="17">'[6]Fin Stats'!$B$51:$M$51</definedName>
    <definedName name="Net_Debt" localSheetId="10">'[6]Fin Stats'!$B$51:$M$51</definedName>
    <definedName name="Net_Debt">'[6]Fin Stats'!$B$51:$M$51</definedName>
    <definedName name="Net_Income_Margin" localSheetId="11">'[6]Fin Stats'!$B$26:$M$26</definedName>
    <definedName name="Net_Income_Margin" localSheetId="9">'[6]Fin Stats'!$B$26:$M$26</definedName>
    <definedName name="Net_Income_Margin" localSheetId="8">'[6]Fin Stats'!$B$26:$M$26</definedName>
    <definedName name="Net_Income_Margin" localSheetId="6">'[6]Fin Stats'!$B$26:$M$26</definedName>
    <definedName name="Net_Income_Margin" localSheetId="17">'[6]Fin Stats'!$B$26:$M$26</definedName>
    <definedName name="Net_Income_Margin" localSheetId="10">'[6]Fin Stats'!$B$26:$M$26</definedName>
    <definedName name="Net_Income_Margin">'[6]Fin Stats'!$B$26:$M$26</definedName>
    <definedName name="NextYearEPS" localSheetId="18">IndexInformation!$B$13</definedName>
    <definedName name="NextYearTotalRevenue" localSheetId="18">IndexInformation!$B$12</definedName>
    <definedName name="NextYearTotalRevenueActual" localSheetId="18">IndexInformation!$B$33</definedName>
    <definedName name="NM">"NM"</definedName>
    <definedName name="ObjectType" localSheetId="18">IndexInformation!$B$37</definedName>
    <definedName name="ObjectType" localSheetId="17">[12]IndexInformation!$B$37</definedName>
    <definedName name="ObjectType">[12]IndexInformation!$B$37</definedName>
    <definedName name="Operating_Margin" localSheetId="11">'[6]Fin Stats'!$B$23:$M$23</definedName>
    <definedName name="Operating_Margin" localSheetId="9">'[6]Fin Stats'!$B$23:$M$23</definedName>
    <definedName name="Operating_Margin" localSheetId="8">'[6]Fin Stats'!$B$23:$M$23</definedName>
    <definedName name="Operating_Margin" localSheetId="6">'[6]Fin Stats'!$B$23:$M$23</definedName>
    <definedName name="Operating_Margin" localSheetId="17">'[6]Fin Stats'!$B$23:$M$23</definedName>
    <definedName name="Operating_Margin" localSheetId="10">'[6]Fin Stats'!$B$23:$M$23</definedName>
    <definedName name="Operating_Margin">'[6]Fin Stats'!$B$23:$M$23</definedName>
    <definedName name="OPkPaste" localSheetId="11">'[10]Off Peak'!$D$7</definedName>
    <definedName name="OPkPaste" localSheetId="9">'[10]Off Peak'!$D$7</definedName>
    <definedName name="OPkPaste" localSheetId="4">'[10]Off Peak'!$D$7</definedName>
    <definedName name="OPkPaste" localSheetId="8">'[10]Off Peak'!$D$7</definedName>
    <definedName name="OPkPaste" localSheetId="6">'[10]Off Peak'!$D$7</definedName>
    <definedName name="OPkPaste" localSheetId="17">'[10]Off Peak'!$D$7</definedName>
    <definedName name="OPkPaste" localSheetId="10">'[10]Off Peak'!$D$7</definedName>
    <definedName name="OPkPaste">'[11]Off Peak'!$D$7</definedName>
    <definedName name="OpMargin" localSheetId="11">OFFSET(BGE!XRange2,5,0)</definedName>
    <definedName name="OpMargin" localSheetId="9">OFFSET(ComEd!XRange2,5,0)</definedName>
    <definedName name="OpMargin" localSheetId="4">OFFSET([0]!XRange2,5,0)</definedName>
    <definedName name="OpMargin" localSheetId="16">OFFSET(Debt!XRange2,5,0)</definedName>
    <definedName name="OpMargin" localSheetId="13">OFFSET(DPL!XRange2,5,0)</definedName>
    <definedName name="OpMargin" localSheetId="8">OFFSET(ExGen!XRange2,5,0)</definedName>
    <definedName name="OpMargin" localSheetId="6">OFFSET([0]!XRange2,5,0)</definedName>
    <definedName name="OpMargin" localSheetId="17">OFFSET([0]!XRange2,5,0)</definedName>
    <definedName name="OpMargin" localSheetId="10">OFFSET(PECO!XRange2,5,0)</definedName>
    <definedName name="OpMargin" localSheetId="5">OFFSET(Valuation!XRange2,5,0)</definedName>
    <definedName name="OpMargin">OFFSET([0]!XRange2,5,0)</definedName>
    <definedName name="PANA" localSheetId="19">ModPubIndex!$A$11</definedName>
    <definedName name="PathName" localSheetId="18">IndexInformation!$B$25</definedName>
    <definedName name="Payout_ratio" localSheetId="11">'[6]Fin Stats'!$B$119:$M$119</definedName>
    <definedName name="Payout_ratio" localSheetId="9">'[6]Fin Stats'!$B$119:$M$119</definedName>
    <definedName name="Payout_ratio" localSheetId="8">'[6]Fin Stats'!$B$119:$M$119</definedName>
    <definedName name="Payout_ratio" localSheetId="6">'[6]Fin Stats'!$B$119:$M$119</definedName>
    <definedName name="Payout_ratio" localSheetId="17">'[6]Fin Stats'!$B$119:$M$119</definedName>
    <definedName name="Payout_ratio" localSheetId="10">'[6]Fin Stats'!$B$119:$M$119</definedName>
    <definedName name="Payout_ratio">'[6]Fin Stats'!$B$119:$M$119</definedName>
    <definedName name="PeakGrowth">[9]Data!$P$56:$S$74</definedName>
    <definedName name="Phase1NPVFCF" localSheetId="11">OFFSET(BGE!XRange,39,0)</definedName>
    <definedName name="Phase1NPVFCF" localSheetId="9">OFFSET(ComEd!XRange,39,0)</definedName>
    <definedName name="Phase1NPVFCF" localSheetId="4">OFFSET([0]!XRange,39,0)</definedName>
    <definedName name="Phase1NPVFCF" localSheetId="16">OFFSET(Debt!XRange,39,0)</definedName>
    <definedName name="Phase1NPVFCF" localSheetId="13">OFFSET(DPL!XRange,39,0)</definedName>
    <definedName name="Phase1NPVFCF" localSheetId="8">OFFSET(ExGen!XRange,39,0)</definedName>
    <definedName name="Phase1NPVFCF" localSheetId="6">OFFSET([0]!XRange,39,0)</definedName>
    <definedName name="Phase1NPVFCF" localSheetId="17">OFFSET([0]!XRange,39,0)</definedName>
    <definedName name="Phase1NPVFCF" localSheetId="10">OFFSET(PECO!XRange,39,0)</definedName>
    <definedName name="Phase1NPVFCF" localSheetId="5">OFFSET(Valuation!XRange,39,0)</definedName>
    <definedName name="Phase1NPVFCF">OFFSET([0]!XRange,39,0)</definedName>
    <definedName name="Phase2NPVFCF" localSheetId="11">OFFSET(BGE!XRange,40,0)</definedName>
    <definedName name="Phase2NPVFCF" localSheetId="9">OFFSET(ComEd!XRange,40,0)</definedName>
    <definedName name="Phase2NPVFCF" localSheetId="4">OFFSET([0]!XRange,40,0)</definedName>
    <definedName name="Phase2NPVFCF" localSheetId="16">OFFSET(Debt!XRange,40,0)</definedName>
    <definedName name="Phase2NPVFCF" localSheetId="13">OFFSET(DPL!XRange,40,0)</definedName>
    <definedName name="Phase2NPVFCF" localSheetId="8">OFFSET(ExGen!XRange,40,0)</definedName>
    <definedName name="Phase2NPVFCF" localSheetId="6">OFFSET([0]!XRange,40,0)</definedName>
    <definedName name="Phase2NPVFCF" localSheetId="17">OFFSET([0]!XRange,40,0)</definedName>
    <definedName name="Phase2NPVFCF" localSheetId="10">OFFSET(PECO!XRange,40,0)</definedName>
    <definedName name="Phase2NPVFCF" localSheetId="5">OFFSET(Valuation!XRange,40,0)</definedName>
    <definedName name="Phase2NPVFCF">OFFSET([0]!XRange,40,0)</definedName>
    <definedName name="Phase3NPVFCF" localSheetId="11">OFFSET(BGE!XRange,41,0)</definedName>
    <definedName name="Phase3NPVFCF" localSheetId="9">OFFSET(ComEd!XRange,41,0)</definedName>
    <definedName name="Phase3NPVFCF" localSheetId="4">OFFSET([0]!XRange,41,0)</definedName>
    <definedName name="Phase3NPVFCF" localSheetId="16">OFFSET(Debt!XRange,41,0)</definedName>
    <definedName name="Phase3NPVFCF" localSheetId="13">OFFSET(DPL!XRange,41,0)</definedName>
    <definedName name="Phase3NPVFCF" localSheetId="8">OFFSET(ExGen!XRange,41,0)</definedName>
    <definedName name="Phase3NPVFCF" localSheetId="6">OFFSET([0]!XRange,41,0)</definedName>
    <definedName name="Phase3NPVFCF" localSheetId="17">OFFSET([0]!XRange,41,0)</definedName>
    <definedName name="Phase3NPVFCF" localSheetId="10">OFFSET(PECO!XRange,41,0)</definedName>
    <definedName name="Phase3NPVFCF" localSheetId="5">OFFSET(Valuation!XRange,41,0)</definedName>
    <definedName name="Phase3NPVFCF">OFFSET([0]!XRange,41,0)</definedName>
    <definedName name="PkPaste" localSheetId="11">[10]Peak!$D$7</definedName>
    <definedName name="PkPaste" localSheetId="9">[10]Peak!$D$7</definedName>
    <definedName name="PkPaste" localSheetId="4">[10]Peak!$D$7</definedName>
    <definedName name="PkPaste" localSheetId="8">[10]Peak!$D$7</definedName>
    <definedName name="PkPaste" localSheetId="6">[10]Peak!$D$7</definedName>
    <definedName name="PkPaste" localSheetId="17">[10]Peak!$D$7</definedName>
    <definedName name="PkPaste" localSheetId="10">[10]Peak!$D$7</definedName>
    <definedName name="PkPaste">[11]Peak!$D$7</definedName>
    <definedName name="Preferred_Equity" localSheetId="11">'[6]Fin Stats'!$B$52:$M$52</definedName>
    <definedName name="Preferred_Equity" localSheetId="9">'[6]Fin Stats'!$B$52:$M$52</definedName>
    <definedName name="Preferred_Equity" localSheetId="8">'[6]Fin Stats'!$B$52:$M$52</definedName>
    <definedName name="Preferred_Equity" localSheetId="6">'[6]Fin Stats'!$B$52:$M$52</definedName>
    <definedName name="Preferred_Equity" localSheetId="17">'[6]Fin Stats'!$B$52:$M$52</definedName>
    <definedName name="Preferred_Equity" localSheetId="10">'[6]Fin Stats'!$B$52:$M$52</definedName>
    <definedName name="Preferred_Equity">'[6]Fin Stats'!$B$52:$M$52</definedName>
    <definedName name="Preferred_stock" localSheetId="11">'[6]Fin Stats'!$B$37:$M$37</definedName>
    <definedName name="Preferred_stock" localSheetId="9">'[6]Fin Stats'!$B$37:$M$37</definedName>
    <definedName name="Preferred_stock" localSheetId="8">'[6]Fin Stats'!$B$37:$M$37</definedName>
    <definedName name="Preferred_stock" localSheetId="6">'[6]Fin Stats'!$B$37:$M$37</definedName>
    <definedName name="Preferred_stock" localSheetId="17">'[6]Fin Stats'!$B$37:$M$37</definedName>
    <definedName name="Preferred_stock" localSheetId="10">'[6]Fin Stats'!$B$37:$M$37</definedName>
    <definedName name="Preferred_stock">'[6]Fin Stats'!$B$37:$M$37</definedName>
    <definedName name="Preferred_to_Capital" localSheetId="11">'[6]Fin Stats'!$B$44:$M$44</definedName>
    <definedName name="Preferred_to_Capital" localSheetId="9">'[6]Fin Stats'!$B$44:$M$44</definedName>
    <definedName name="Preferred_to_Capital" localSheetId="8">'[6]Fin Stats'!$B$44:$M$44</definedName>
    <definedName name="Preferred_to_Capital" localSheetId="6">'[6]Fin Stats'!$B$44:$M$44</definedName>
    <definedName name="Preferred_to_Capital" localSheetId="17">'[6]Fin Stats'!$B$44:$M$44</definedName>
    <definedName name="Preferred_to_Capital" localSheetId="10">'[6]Fin Stats'!$B$44:$M$44</definedName>
    <definedName name="Preferred_to_Capital">'[6]Fin Stats'!$B$44:$M$44</definedName>
    <definedName name="Premium">Valuation!$BY$13</definedName>
    <definedName name="Pretax_Income" localSheetId="11">'[6]Fin Stats'!$B$104:$M$104</definedName>
    <definedName name="Pretax_Income" localSheetId="9">'[6]Fin Stats'!$B$104:$M$104</definedName>
    <definedName name="Pretax_Income" localSheetId="8">'[6]Fin Stats'!$B$104:$M$104</definedName>
    <definedName name="Pretax_Income" localSheetId="6">'[6]Fin Stats'!$B$104:$M$104</definedName>
    <definedName name="Pretax_Income" localSheetId="17">'[6]Fin Stats'!$B$104:$M$104</definedName>
    <definedName name="Pretax_Income" localSheetId="10">'[6]Fin Stats'!$B$104:$M$104</definedName>
    <definedName name="Pretax_Income">'[6]Fin Stats'!$B$104:$M$104</definedName>
    <definedName name="Pretax_Margin" localSheetId="11">'[6]Fin Stats'!$B$25:$M$25</definedName>
    <definedName name="Pretax_Margin" localSheetId="9">'[6]Fin Stats'!$B$25:$M$25</definedName>
    <definedName name="Pretax_Margin" localSheetId="8">'[6]Fin Stats'!$B$25:$M$25</definedName>
    <definedName name="Pretax_Margin" localSheetId="6">'[6]Fin Stats'!$B$25:$M$25</definedName>
    <definedName name="Pretax_Margin" localSheetId="17">'[6]Fin Stats'!$B$25:$M$25</definedName>
    <definedName name="Pretax_Margin" localSheetId="10">'[6]Fin Stats'!$B$25:$M$25</definedName>
    <definedName name="Pretax_Margin">'[6]Fin Stats'!$B$25:$M$25</definedName>
    <definedName name="Price_Book" localSheetId="11">'[6]Fin Stats'!$B$94:$M$94</definedName>
    <definedName name="Price_Book" localSheetId="9">'[6]Fin Stats'!$B$94:$M$94</definedName>
    <definedName name="Price_Book" localSheetId="8">'[6]Fin Stats'!$B$94:$M$94</definedName>
    <definedName name="Price_Book" localSheetId="6">'[6]Fin Stats'!$B$94:$M$94</definedName>
    <definedName name="Price_Book" localSheetId="17">'[6]Fin Stats'!$B$94:$M$94</definedName>
    <definedName name="Price_Book" localSheetId="10">'[6]Fin Stats'!$B$94:$M$94</definedName>
    <definedName name="Price_Book">'[6]Fin Stats'!$B$94:$M$94</definedName>
    <definedName name="Price_Cash_Flow" localSheetId="11">'[6]Fin Stats'!$B$88:$M$88</definedName>
    <definedName name="Price_Cash_Flow" localSheetId="9">'[6]Fin Stats'!$B$88:$M$88</definedName>
    <definedName name="Price_Cash_Flow" localSheetId="8">'[6]Fin Stats'!$B$88:$M$88</definedName>
    <definedName name="Price_Cash_Flow" localSheetId="6">'[6]Fin Stats'!$B$88:$M$88</definedName>
    <definedName name="Price_Cash_Flow" localSheetId="17">'[6]Fin Stats'!$B$88:$M$88</definedName>
    <definedName name="Price_Cash_Flow" localSheetId="10">'[6]Fin Stats'!$B$88:$M$88</definedName>
    <definedName name="Price_Cash_Flow">'[6]Fin Stats'!$B$88:$M$88</definedName>
    <definedName name="Price_Earnings" localSheetId="11">'[6]Fin Stats'!$B$91:$M$91</definedName>
    <definedName name="Price_Earnings" localSheetId="9">'[6]Fin Stats'!$B$91:$M$91</definedName>
    <definedName name="Price_Earnings" localSheetId="8">'[6]Fin Stats'!$B$91:$M$91</definedName>
    <definedName name="Price_Earnings" localSheetId="6">'[6]Fin Stats'!$B$91:$M$91</definedName>
    <definedName name="Price_Earnings" localSheetId="17">'[6]Fin Stats'!$B$91:$M$91</definedName>
    <definedName name="Price_Earnings" localSheetId="10">'[6]Fin Stats'!$B$91:$M$91</definedName>
    <definedName name="Price_Earnings">'[6]Fin Stats'!$B$91:$M$91</definedName>
    <definedName name="_xlnm.Print_Area" localSheetId="16">Debt!$B$7:$J$130</definedName>
    <definedName name="_xlnm.Print_Area" localSheetId="7">EXC!$B$2:$BU$261</definedName>
    <definedName name="_xlnm.Print_Area" localSheetId="8">ExGen!$A$1:$AX$902</definedName>
    <definedName name="_xlnm.Print_Area" localSheetId="6">Financial!$A$1:$DE$62</definedName>
    <definedName name="_xlnm.Print_Area" localSheetId="15">Parent!$A$2:$AR$76</definedName>
    <definedName name="_xlnm.Print_Area" localSheetId="5">Valuation!$B$1:$CA$95</definedName>
    <definedName name="_xlnm.Print_Area">#REF!</definedName>
    <definedName name="_xlnm.Print_Titles">#REF!</definedName>
    <definedName name="PRODUCT" localSheetId="19">ModPubIndex!$A$6</definedName>
    <definedName name="ProjectName" localSheetId="11">{"Client Name or Project Name"}</definedName>
    <definedName name="ProjectName" localSheetId="9">{"Client Name or Project Name"}</definedName>
    <definedName name="ProjectName" localSheetId="4">{"Client Name or Project Name"}</definedName>
    <definedName name="ProjectName" localSheetId="16">{"Client Name or Project Name"}</definedName>
    <definedName name="ProjectName" localSheetId="13">{"Client Name or Project Name"}</definedName>
    <definedName name="ProjectName" localSheetId="8">{"Client Name or Project Name"}</definedName>
    <definedName name="ProjectName" localSheetId="6">{"Client Name or Project Name"}</definedName>
    <definedName name="ProjectName" localSheetId="17">{"Client Name or Project Name"}</definedName>
    <definedName name="ProjectName" localSheetId="10">{"Client Name or Project Name"}</definedName>
    <definedName name="ProjectName" localSheetId="12">{"Cereva Networks, Inc"}</definedName>
    <definedName name="ProjectName" localSheetId="5">{"Client Name or Project Name"}</definedName>
    <definedName name="ProjectName">{"Client Name or Project Name"}</definedName>
    <definedName name="ProjectName_1" localSheetId="11">{"Client Name or Project Name"}</definedName>
    <definedName name="ProjectName_1" localSheetId="9">{"Client Name or Project Name"}</definedName>
    <definedName name="ProjectName_1" localSheetId="4">{"Client Name or Project Name"}</definedName>
    <definedName name="ProjectName_1" localSheetId="13">{"Client Name or Project Name"}</definedName>
    <definedName name="ProjectName_1" localSheetId="8">{"Client Name or Project Name"}</definedName>
    <definedName name="ProjectName_1" localSheetId="6">{"Client Name or Project Name"}</definedName>
    <definedName name="ProjectName_1" localSheetId="17">{"Client Name or Project Name"}</definedName>
    <definedName name="ProjectName_1" localSheetId="10">{"Client Name or Project Name"}</definedName>
    <definedName name="ProjectName_1" localSheetId="12">{"Client Name or Project Name"}</definedName>
    <definedName name="ProjectName_1" localSheetId="5">{"Client Name or Project Name"}</definedName>
    <definedName name="ProjectName_1">{"Client Name or Project Name"}</definedName>
    <definedName name="PSYM" localSheetId="19">ModPubIndex!$A$4</definedName>
    <definedName name="PublishDate" localSheetId="18">IndexInformation!$B$2</definedName>
    <definedName name="Rate_Case_2004" localSheetId="11">'[6]Income Statement'!$K$1</definedName>
    <definedName name="Rate_Case_2004" localSheetId="9">'[6]Income Statement'!$K$1</definedName>
    <definedName name="Rate_Case_2004" localSheetId="8">'[6]Income Statement'!$K$1</definedName>
    <definedName name="Rate_Case_2004" localSheetId="6">'[6]Income Statement'!$K$1</definedName>
    <definedName name="Rate_Case_2004" localSheetId="17">'[6]Income Statement'!$K$1</definedName>
    <definedName name="Rate_Case_2004" localSheetId="10">'[6]Income Statement'!$K$1</definedName>
    <definedName name="Rate_Case_2004">'[6]Income Statement'!$K$1</definedName>
    <definedName name="Rate_Case_2005" localSheetId="11">'[6]Income Statement'!$K$2</definedName>
    <definedName name="Rate_Case_2005" localSheetId="9">'[6]Income Statement'!$K$2</definedName>
    <definedName name="Rate_Case_2005" localSheetId="8">'[6]Income Statement'!$K$2</definedName>
    <definedName name="Rate_Case_2005" localSheetId="6">'[6]Income Statement'!$K$2</definedName>
    <definedName name="Rate_Case_2005" localSheetId="17">'[6]Income Statement'!$K$2</definedName>
    <definedName name="Rate_Case_2005" localSheetId="10">'[6]Income Statement'!$K$2</definedName>
    <definedName name="Rate_Case_2005">'[6]Income Statement'!$K$2</definedName>
    <definedName name="Rating" localSheetId="18">IndexInformation!$B$9</definedName>
    <definedName name="RatingsDefined" localSheetId="1">ImportantDisclosures!$A$21</definedName>
    <definedName name="RatingsDefs" localSheetId="1">ImportantDisclosures!#REF!</definedName>
    <definedName name="RCF_Total_Debt" localSheetId="11">'[6]Fin Stats'!$B$79:$M$79</definedName>
    <definedName name="RCF_Total_Debt" localSheetId="9">'[6]Fin Stats'!$B$79:$M$79</definedName>
    <definedName name="RCF_Total_Debt" localSheetId="8">'[6]Fin Stats'!$B$79:$M$79</definedName>
    <definedName name="RCF_Total_Debt" localSheetId="6">'[6]Fin Stats'!$B$79:$M$79</definedName>
    <definedName name="RCF_Total_Debt" localSheetId="17">'[6]Fin Stats'!$B$79:$M$79</definedName>
    <definedName name="RCF_Total_Debt" localSheetId="10">'[6]Fin Stats'!$B$79:$M$79</definedName>
    <definedName name="RCF_Total_Debt">'[6]Fin Stats'!$B$79:$M$79</definedName>
    <definedName name="RegACDisclosure" localSheetId="1">ImportantDisclosures!#REF!</definedName>
    <definedName name="RegPct" localSheetId="6">Financial!$D$11</definedName>
    <definedName name="Rem_Bus_ROIC" localSheetId="11">OFFSET(BGE!XRange,11,0)</definedName>
    <definedName name="Rem_Bus_ROIC" localSheetId="9">OFFSET(ComEd!XRange,11,0)</definedName>
    <definedName name="Rem_Bus_ROIC" localSheetId="4">OFFSET([0]!XRange,11,0)</definedName>
    <definedName name="Rem_Bus_ROIC" localSheetId="16">OFFSET(Debt!XRange,11,0)</definedName>
    <definedName name="Rem_Bus_ROIC" localSheetId="13">OFFSET(DPL!XRange,11,0)</definedName>
    <definedName name="Rem_Bus_ROIC" localSheetId="8">OFFSET(ExGen!XRange,11,0)</definedName>
    <definedName name="Rem_Bus_ROIC" localSheetId="6">OFFSET([0]!XRange,11,0)</definedName>
    <definedName name="Rem_Bus_ROIC" localSheetId="17">OFFSET([0]!XRange,11,0)</definedName>
    <definedName name="Rem_Bus_ROIC" localSheetId="10">OFFSET(PECO!XRange,11,0)</definedName>
    <definedName name="Rem_Bus_ROIC" localSheetId="5">OFFSET(Valuation!XRange,11,0)</definedName>
    <definedName name="Rem_Bus_ROIC">OFFSET([0]!XRange,11,0)</definedName>
    <definedName name="ResearchTopic" localSheetId="18">IndexInformation!$B$4</definedName>
    <definedName name="Return_on_Assets" localSheetId="11">'[6]Fin Stats'!$B$29:$M$29</definedName>
    <definedName name="Return_on_Assets" localSheetId="9">'[6]Fin Stats'!$B$29:$M$29</definedName>
    <definedName name="Return_on_Assets" localSheetId="8">'[6]Fin Stats'!$B$29:$M$29</definedName>
    <definedName name="Return_on_Assets" localSheetId="6">'[6]Fin Stats'!$B$29:$M$29</definedName>
    <definedName name="Return_on_Assets" localSheetId="17">'[6]Fin Stats'!$B$29:$M$29</definedName>
    <definedName name="Return_on_Assets" localSheetId="10">'[6]Fin Stats'!$B$29:$M$29</definedName>
    <definedName name="Return_on_Assets">'[6]Fin Stats'!$B$29:$M$29</definedName>
    <definedName name="Return_on_Equity" localSheetId="11">'[6]Fin Stats'!$B$30:$M$30</definedName>
    <definedName name="Return_on_Equity" localSheetId="9">'[6]Fin Stats'!$B$30:$M$30</definedName>
    <definedName name="Return_on_Equity" localSheetId="8">'[6]Fin Stats'!$B$30:$M$30</definedName>
    <definedName name="Return_on_Equity" localSheetId="6">'[6]Fin Stats'!$B$30:$M$30</definedName>
    <definedName name="Return_on_Equity" localSheetId="17">'[6]Fin Stats'!$B$30:$M$30</definedName>
    <definedName name="Return_on_Equity" localSheetId="10">'[6]Fin Stats'!$B$30:$M$30</definedName>
    <definedName name="Return_on_Equity">'[6]Fin Stats'!$B$30:$M$30</definedName>
    <definedName name="Return_on_Invested_Capital" localSheetId="11">'[6]Fin Stats'!$B$31:$M$31</definedName>
    <definedName name="Return_on_Invested_Capital" localSheetId="9">'[6]Fin Stats'!$B$31:$M$31</definedName>
    <definedName name="Return_on_Invested_Capital" localSheetId="8">'[6]Fin Stats'!$B$31:$M$31</definedName>
    <definedName name="Return_on_Invested_Capital" localSheetId="6">'[6]Fin Stats'!$B$31:$M$31</definedName>
    <definedName name="Return_on_Invested_Capital" localSheetId="17">'[6]Fin Stats'!$B$31:$M$31</definedName>
    <definedName name="Return_on_Invested_Capital" localSheetId="10">'[6]Fin Stats'!$B$31:$M$31</definedName>
    <definedName name="Return_on_Invested_Capital">'[6]Fin Stats'!$B$31:$M$31</definedName>
    <definedName name="Return_Relative_to_S_P_500" localSheetId="11">'[6]Fin Stats'!$B$133:$M$133</definedName>
    <definedName name="Return_Relative_to_S_P_500" localSheetId="9">'[6]Fin Stats'!$B$133:$M$133</definedName>
    <definedName name="Return_Relative_to_S_P_500" localSheetId="8">'[6]Fin Stats'!$B$133:$M$133</definedName>
    <definedName name="Return_Relative_to_S_P_500" localSheetId="6">'[6]Fin Stats'!$B$133:$M$133</definedName>
    <definedName name="Return_Relative_to_S_P_500" localSheetId="17">'[6]Fin Stats'!$B$133:$M$133</definedName>
    <definedName name="Return_Relative_to_S_P_500" localSheetId="10">'[6]Fin Stats'!$B$133:$M$133</definedName>
    <definedName name="Return_Relative_to_S_P_500">'[6]Fin Stats'!$B$133:$M$133</definedName>
    <definedName name="Revenues" localSheetId="11">'[6]Fin Stats'!$B$99:$M$99</definedName>
    <definedName name="Revenues" localSheetId="9">'[6]Fin Stats'!$B$99:$M$99</definedName>
    <definedName name="Revenues" localSheetId="8">'[6]Fin Stats'!$B$99:$M$99</definedName>
    <definedName name="Revenues" localSheetId="6">'[6]Fin Stats'!$B$99:$M$99</definedName>
    <definedName name="Revenues" localSheetId="17">'[6]Fin Stats'!$B$99:$M$99</definedName>
    <definedName name="Revenues" localSheetId="10">'[6]Fin Stats'!$B$99:$M$99</definedName>
    <definedName name="Revenues">'[6]Fin Stats'!$B$99:$M$99</definedName>
    <definedName name="RIC" localSheetId="18">IndexInformation!$B$21</definedName>
    <definedName name="SECSettlement" localSheetId="1">ImportantDisclosures!#REF!</definedName>
    <definedName name="SEDOL" localSheetId="18">IndexInformation!$B$22</definedName>
    <definedName name="Shareholder_Return" localSheetId="11">'[6]Fin Stats'!$B$32:$M$32</definedName>
    <definedName name="Shareholder_Return" localSheetId="9">'[6]Fin Stats'!$B$32:$M$32</definedName>
    <definedName name="Shareholder_Return" localSheetId="8">'[6]Fin Stats'!$B$32:$M$32</definedName>
    <definedName name="Shareholder_Return" localSheetId="6">'[6]Fin Stats'!$B$32:$M$32</definedName>
    <definedName name="Shareholder_Return" localSheetId="17">'[6]Fin Stats'!$B$32:$M$32</definedName>
    <definedName name="Shareholder_Return" localSheetId="10">'[6]Fin Stats'!$B$32:$M$32</definedName>
    <definedName name="Shareholder_Return">'[6]Fin Stats'!$B$32:$M$32</definedName>
    <definedName name="SharePrice" localSheetId="11">'[14]Valuation Summary'!$BO$11</definedName>
    <definedName name="SharePrice" localSheetId="9">'[14]Valuation Summary'!$BO$11</definedName>
    <definedName name="SharePrice" localSheetId="8">'[14]Valuation Summary'!$BO$11</definedName>
    <definedName name="SharePrice" localSheetId="6">'[14]Valuation Summary'!$BO$11</definedName>
    <definedName name="SharePrice" localSheetId="17">'[14]Valuation Summary'!$BO$11</definedName>
    <definedName name="SharePrice" localSheetId="10">'[14]Valuation Summary'!$BO$11</definedName>
    <definedName name="Shares_Outstanding" localSheetId="11">'[6]Fin Stats'!$B$54:$M$54</definedName>
    <definedName name="Shares_Outstanding" localSheetId="9">'[6]Fin Stats'!$B$54:$M$54</definedName>
    <definedName name="Shares_Outstanding" localSheetId="8">'[6]Fin Stats'!$B$54:$M$54</definedName>
    <definedName name="Shares_Outstanding" localSheetId="6">'[6]Fin Stats'!$B$54:$M$54</definedName>
    <definedName name="Shares_Outstanding" localSheetId="17">'[6]Fin Stats'!$B$54:$M$54</definedName>
    <definedName name="Shares_Outstanding" localSheetId="10">'[6]Fin Stats'!$B$54:$M$54</definedName>
    <definedName name="Shares_Outstanding">'[6]Fin Stats'!$B$54:$M$54</definedName>
    <definedName name="Short_term_debt" localSheetId="11">'[6]Fin Stats'!$B$35:$M$35</definedName>
    <definedName name="Short_term_debt" localSheetId="9">'[6]Fin Stats'!$B$35:$M$35</definedName>
    <definedName name="Short_term_debt" localSheetId="8">'[6]Fin Stats'!$B$35:$M$35</definedName>
    <definedName name="Short_term_debt" localSheetId="6">'[6]Fin Stats'!$B$35:$M$35</definedName>
    <definedName name="Short_term_debt" localSheetId="17">'[6]Fin Stats'!$B$35:$M$35</definedName>
    <definedName name="Short_term_debt" localSheetId="10">'[6]Fin Stats'!$B$35:$M$35</definedName>
    <definedName name="Short_term_debt">'[6]Fin Stats'!$B$35:$M$35</definedName>
    <definedName name="SO" localSheetId="6">Financial!$AH$39</definedName>
    <definedName name="SourceDefined" localSheetId="1">ImportantDisclosures!$A$19</definedName>
    <definedName name="SPWS_WBID">"AB974E08-D2D4-47A3-BC27-DEDF1C76035D"</definedName>
    <definedName name="StockRating" localSheetId="1">ImportantDisclosures!$A$11</definedName>
    <definedName name="SubjectCode" localSheetId="18">IndexInformation!$B$6</definedName>
    <definedName name="SubmitterUserId" localSheetId="18">IndexInformation!$B$39</definedName>
    <definedName name="SubmitterUserId" localSheetId="17">[12]IndexInformation!$B$39</definedName>
    <definedName name="SubmitterUserId">[12]IndexInformation!$B$39</definedName>
    <definedName name="Subs" localSheetId="6">Financial!$C$11</definedName>
    <definedName name="SUPPRESSED" localSheetId="19">ModPubIndex!$A$13</definedName>
    <definedName name="TargetPrice" localSheetId="1">ImportantDisclosures!$A$15</definedName>
    <definedName name="Tax" localSheetId="11">'[14]Valuation Summary'!$BO$8</definedName>
    <definedName name="Tax" localSheetId="9">'[14]Valuation Summary'!$BO$8</definedName>
    <definedName name="Tax" localSheetId="8">'[14]Valuation Summary'!$BO$8</definedName>
    <definedName name="Tax" localSheetId="6">'[14]Valuation Summary'!$BO$8</definedName>
    <definedName name="Tax" localSheetId="17">'[14]Valuation Summary'!$BO$8</definedName>
    <definedName name="Tax" localSheetId="10">'[14]Valuation Summary'!$BO$8</definedName>
    <definedName name="TemplateRegion" localSheetId="18">IndexInformation!$B$36</definedName>
    <definedName name="TemplateRegion" localSheetId="17">[12]IndexInformation!$B$36</definedName>
    <definedName name="TemplateRegion">[12]IndexInformation!$B$36</definedName>
    <definedName name="Ticker" localSheetId="1">ImportantDisclosures!$A$10</definedName>
    <definedName name="ticker" localSheetId="5">Valuation!$N$2</definedName>
    <definedName name="TickerRegion" localSheetId="18">IndexInformation!$B$41</definedName>
    <definedName name="TickerRegion">1</definedName>
    <definedName name="Tickers" localSheetId="18">IndexInformation!$B$19</definedName>
    <definedName name="Total_Bus_ROIC" localSheetId="11">OFFSET(BGE!XRange,12,0)</definedName>
    <definedName name="Total_Bus_ROIC" localSheetId="9">OFFSET(ComEd!XRange,12,0)</definedName>
    <definedName name="Total_Bus_ROIC" localSheetId="4">OFFSET([0]!XRange,12,0)</definedName>
    <definedName name="Total_Bus_ROIC" localSheetId="16">OFFSET(Debt!XRange,12,0)</definedName>
    <definedName name="Total_Bus_ROIC" localSheetId="13">OFFSET(DPL!XRange,12,0)</definedName>
    <definedName name="Total_Bus_ROIC" localSheetId="8">OFFSET(ExGen!XRange,12,0)</definedName>
    <definedName name="Total_Bus_ROIC" localSheetId="6">OFFSET([0]!XRange,12,0)</definedName>
    <definedName name="Total_Bus_ROIC" localSheetId="17">OFFSET([0]!XRange,12,0)</definedName>
    <definedName name="Total_Bus_ROIC" localSheetId="10">OFFSET(PECO!XRange,12,0)</definedName>
    <definedName name="Total_Bus_ROIC" localSheetId="5">OFFSET(Valuation!XRange,12,0)</definedName>
    <definedName name="Total_Bus_ROIC">OFFSET([0]!XRange,12,0)</definedName>
    <definedName name="Total_Capital" localSheetId="11">'[6]Fin Stats'!$B$39:$M$39</definedName>
    <definedName name="Total_Capital" localSheetId="9">'[6]Fin Stats'!$B$39:$M$39</definedName>
    <definedName name="Total_Capital" localSheetId="8">'[6]Fin Stats'!$B$39:$M$39</definedName>
    <definedName name="Total_Capital" localSheetId="6">'[6]Fin Stats'!$B$39:$M$39</definedName>
    <definedName name="Total_Capital" localSheetId="17">'[6]Fin Stats'!$B$39:$M$39</definedName>
    <definedName name="Total_Capital" localSheetId="10">'[6]Fin Stats'!$B$39:$M$39</definedName>
    <definedName name="Total_Capital">'[6]Fin Stats'!$B$39:$M$39</definedName>
    <definedName name="Total_Debt_EBITDA" localSheetId="11">'[6]Fin Stats'!$B$74:$M$74</definedName>
    <definedName name="Total_Debt_EBITDA" localSheetId="9">'[6]Fin Stats'!$B$74:$M$74</definedName>
    <definedName name="Total_Debt_EBITDA" localSheetId="8">'[6]Fin Stats'!$B$74:$M$74</definedName>
    <definedName name="Total_Debt_EBITDA" localSheetId="6">'[6]Fin Stats'!$B$74:$M$74</definedName>
    <definedName name="Total_Debt_EBITDA" localSheetId="17">'[6]Fin Stats'!$B$74:$M$74</definedName>
    <definedName name="Total_Debt_EBITDA" localSheetId="10">'[6]Fin Stats'!$B$74:$M$74</definedName>
    <definedName name="Total_Debt_EBITDA">'[6]Fin Stats'!$B$74:$M$74</definedName>
    <definedName name="Total_Debt_Outstanding" localSheetId="11">'[6]Fin Stats'!$B$50:$M$50</definedName>
    <definedName name="Total_Debt_Outstanding" localSheetId="9">'[6]Fin Stats'!$B$50:$M$50</definedName>
    <definedName name="Total_Debt_Outstanding" localSheetId="8">'[6]Fin Stats'!$B$50:$M$50</definedName>
    <definedName name="Total_Debt_Outstanding" localSheetId="6">'[6]Fin Stats'!$B$50:$M$50</definedName>
    <definedName name="Total_Debt_Outstanding" localSheetId="17">'[6]Fin Stats'!$B$50:$M$50</definedName>
    <definedName name="Total_Debt_Outstanding" localSheetId="10">'[6]Fin Stats'!$B$50:$M$50</definedName>
    <definedName name="Total_Debt_Outstanding">'[6]Fin Stats'!$B$50:$M$50</definedName>
    <definedName name="Total_Debt_to_Capital" localSheetId="11">'[6]Fin Stats'!$B$42:$M$42</definedName>
    <definedName name="Total_Debt_to_Capital" localSheetId="9">'[6]Fin Stats'!$B$42:$M$42</definedName>
    <definedName name="Total_Debt_to_Capital" localSheetId="8">'[6]Fin Stats'!$B$42:$M$42</definedName>
    <definedName name="Total_Debt_to_Capital" localSheetId="6">'[6]Fin Stats'!$B$42:$M$42</definedName>
    <definedName name="Total_Debt_to_Capital" localSheetId="17">'[6]Fin Stats'!$B$42:$M$42</definedName>
    <definedName name="Total_Debt_to_Capital" localSheetId="10">'[6]Fin Stats'!$B$42:$M$42</definedName>
    <definedName name="Total_Debt_to_Capital">'[6]Fin Stats'!$B$42:$M$42</definedName>
    <definedName name="Total_Debt_Total_Market_Cap" localSheetId="11">'[6]Fin Stats'!$B$62:$M$62</definedName>
    <definedName name="Total_Debt_Total_Market_Cap" localSheetId="9">'[6]Fin Stats'!$B$62:$M$62</definedName>
    <definedName name="Total_Debt_Total_Market_Cap" localSheetId="8">'[6]Fin Stats'!$B$62:$M$62</definedName>
    <definedName name="Total_Debt_Total_Market_Cap" localSheetId="6">'[6]Fin Stats'!$B$62:$M$62</definedName>
    <definedName name="Total_Debt_Total_Market_Cap" localSheetId="17">'[6]Fin Stats'!$B$62:$M$62</definedName>
    <definedName name="Total_Debt_Total_Market_Cap" localSheetId="10">'[6]Fin Stats'!$B$62:$M$62</definedName>
    <definedName name="Total_Debt_Total_Market_Cap">'[6]Fin Stats'!$B$62:$M$62</definedName>
    <definedName name="trc_XLS_DATASHEET_ProtectDate" localSheetId="11">36879.7503587963</definedName>
    <definedName name="trc_XLS_DATASHEET_ProtectDate" localSheetId="9">36879.7503587963</definedName>
    <definedName name="trc_XLS_DATASHEET_ProtectDate" localSheetId="4">36879.7503587963</definedName>
    <definedName name="trc_XLS_DATASHEET_ProtectDate" localSheetId="8">36879.7503587963</definedName>
    <definedName name="trc_XLS_DATASHEET_ProtectDate" localSheetId="6">36879.7503587963</definedName>
    <definedName name="trc_XLS_DATASHEET_ProtectDate" localSheetId="17">36879.7503587963</definedName>
    <definedName name="trc_XLS_DATASHEET_ProtectDate" localSheetId="10">36879.7503587963</definedName>
    <definedName name="trc_XLS_DATASHEET_ProtectDate" localSheetId="5">36879.7503587963</definedName>
    <definedName name="trc_XLS_DATASHEET_ProtectDate">36879.7503587963</definedName>
    <definedName name="trc_XLS_DATASHEET_ProtectDate_1">36879.7503587963</definedName>
    <definedName name="Update_This">[15]!Update_This</definedName>
    <definedName name="UpdateReason" localSheetId="18">IndexInformation!$B$17</definedName>
    <definedName name="Uplift" localSheetId="17">'Market Prices'!$D$4</definedName>
    <definedName name="USRegDisclosures" localSheetId="1">ImportantDisclosures!#REF!</definedName>
    <definedName name="UtilityEPS">Valuation!$BY$10</definedName>
    <definedName name="UtilityPE">Valuation!$BY$12</definedName>
    <definedName name="Version">"June 29, 2004"</definedName>
    <definedName name="WACC" localSheetId="11">OFFSET(BGE!XRange,13,0)</definedName>
    <definedName name="WACC" localSheetId="9">OFFSET(ComEd!XRange,13,0)</definedName>
    <definedName name="WACC" localSheetId="4">OFFSET([0]!XRange,13,0)</definedName>
    <definedName name="WACC" localSheetId="16">OFFSET(Debt!XRange,13,0)</definedName>
    <definedName name="WACC" localSheetId="13">OFFSET(DPL!XRange,13,0)</definedName>
    <definedName name="WACC" localSheetId="8">OFFSET(ExGen!XRange,13,0)</definedName>
    <definedName name="WACC" localSheetId="6">OFFSET([0]!XRange,13,0)</definedName>
    <definedName name="WACC" localSheetId="17">OFFSET([0]!XRange,13,0)</definedName>
    <definedName name="WACC" localSheetId="10">OFFSET(PECO!XRange,13,0)</definedName>
    <definedName name="WACC" localSheetId="5">OFFSET(Valuation!XRange,13,0)</definedName>
    <definedName name="WACC">OFFSET([0]!XRange,13,0)</definedName>
    <definedName name="wrn.Earnings._.Model." localSheetId="11"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9"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8"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6"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7"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localSheetId="10"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xaxis">#N/A</definedName>
    <definedName name="Year_End_Market_Price" localSheetId="11">'[6]Fin Stats'!$B$55:$M$55</definedName>
    <definedName name="Year_End_Market_Price" localSheetId="9">'[6]Fin Stats'!$B$55:$M$55</definedName>
    <definedName name="Year_End_Market_Price" localSheetId="8">'[6]Fin Stats'!$B$55:$M$55</definedName>
    <definedName name="Year_End_Market_Price" localSheetId="6">'[6]Fin Stats'!$B$55:$M$55</definedName>
    <definedName name="Year_End_Market_Price" localSheetId="17">'[6]Fin Stats'!$B$55:$M$55</definedName>
    <definedName name="Year_End_Market_Price" localSheetId="10">'[6]Fin Stats'!$B$55:$M$55</definedName>
    <definedName name="Year_End_Market_Price">'[6]Fin Stats'!$B$55:$M$55</definedName>
  </definedNames>
  <calcPr calcId="145621"/>
</workbook>
</file>

<file path=xl/calcChain.xml><?xml version="1.0" encoding="utf-8"?>
<calcChain xmlns="http://schemas.openxmlformats.org/spreadsheetml/2006/main">
  <c r="BX24" i="73" l="1"/>
  <c r="BZ24" i="73"/>
  <c r="BY24" i="73" l="1"/>
  <c r="BG54" i="78" l="1"/>
  <c r="AU46" i="100" l="1"/>
  <c r="AT46" i="100"/>
  <c r="AS46" i="100"/>
  <c r="AW53" i="99"/>
  <c r="AS53" i="99"/>
  <c r="AT53" i="99"/>
  <c r="AU53" i="99"/>
  <c r="AV53" i="99"/>
  <c r="AX53" i="99"/>
  <c r="AW47" i="98"/>
  <c r="BC54" i="78"/>
  <c r="AX54" i="78"/>
  <c r="AY54" i="78"/>
  <c r="BD54" i="78"/>
  <c r="AX55" i="77"/>
  <c r="AY55" i="77"/>
  <c r="AY52" i="77"/>
  <c r="AX52" i="77"/>
  <c r="AS46" i="98" l="1"/>
  <c r="AT46" i="98"/>
  <c r="BQ243" i="79"/>
  <c r="BL243" i="79"/>
  <c r="BG243" i="79"/>
  <c r="BB243" i="79"/>
  <c r="AW56" i="99" l="1"/>
  <c r="AW54" i="99"/>
  <c r="BQ54" i="77"/>
  <c r="BQ53" i="77"/>
  <c r="BL140" i="79" l="1"/>
  <c r="BG140" i="79"/>
  <c r="BB140" i="79"/>
  <c r="BG170" i="78"/>
  <c r="BQ170" i="78"/>
  <c r="BQ168" i="78"/>
  <c r="BL168" i="78"/>
  <c r="BL170" i="78" s="1"/>
  <c r="BG168" i="78"/>
  <c r="BB168" i="78"/>
  <c r="BB170" i="78" s="1"/>
  <c r="BB167" i="77"/>
  <c r="BQ167" i="77"/>
  <c r="BL167" i="77"/>
  <c r="BL113" i="98"/>
  <c r="BG113" i="98"/>
  <c r="BB113" i="98"/>
  <c r="AW113" i="98"/>
  <c r="BL117" i="100"/>
  <c r="BG117" i="100"/>
  <c r="BB117" i="100"/>
  <c r="AW117" i="100"/>
  <c r="AZ53" i="79" l="1"/>
  <c r="AV758" i="80" l="1"/>
  <c r="AH130" i="100" l="1"/>
  <c r="AH129" i="100"/>
  <c r="AC129" i="100" s="1"/>
  <c r="AC130" i="100"/>
  <c r="X130" i="100" s="1"/>
  <c r="AM130" i="100"/>
  <c r="AM129" i="100"/>
  <c r="AR129" i="100"/>
  <c r="AR130" i="100"/>
  <c r="AR120" i="100"/>
  <c r="AR121" i="100" s="1"/>
  <c r="AQ120" i="100"/>
  <c r="AR117" i="100"/>
  <c r="AQ117" i="100"/>
  <c r="AR109" i="100"/>
  <c r="AQ109" i="100"/>
  <c r="AQ108" i="100"/>
  <c r="AQ110" i="100" s="1"/>
  <c r="AQ112" i="100" s="1"/>
  <c r="AR90" i="100"/>
  <c r="AR91" i="100" s="1"/>
  <c r="AR51" i="100" s="1"/>
  <c r="AQ90" i="100"/>
  <c r="AQ91" i="100" s="1"/>
  <c r="AQ51" i="100" s="1"/>
  <c r="AR86" i="100"/>
  <c r="AR85" i="100"/>
  <c r="AQ85" i="100"/>
  <c r="AQ87" i="100" s="1"/>
  <c r="AQ66" i="100"/>
  <c r="AR66" i="100"/>
  <c r="AR68" i="100" s="1"/>
  <c r="AR44" i="100" s="1"/>
  <c r="AQ68" i="100"/>
  <c r="AQ44" i="100" s="1"/>
  <c r="AQ71" i="100"/>
  <c r="AR71" i="100"/>
  <c r="AR72" i="100" s="1"/>
  <c r="AQ72" i="100"/>
  <c r="AQ74" i="100"/>
  <c r="AR74" i="100"/>
  <c r="AR75" i="100" s="1"/>
  <c r="AQ75" i="100"/>
  <c r="AQ79" i="100"/>
  <c r="AR79" i="100"/>
  <c r="AR81" i="100" s="1"/>
  <c r="AQ81" i="100"/>
  <c r="AR54" i="100"/>
  <c r="AQ54" i="100"/>
  <c r="AR53" i="100"/>
  <c r="AQ53" i="100"/>
  <c r="AR161" i="99"/>
  <c r="AQ161" i="99"/>
  <c r="AR160" i="99"/>
  <c r="AQ160" i="99"/>
  <c r="AR154" i="99"/>
  <c r="AR155" i="99" s="1"/>
  <c r="AR150" i="99"/>
  <c r="AQ150" i="99"/>
  <c r="AR140" i="99"/>
  <c r="AR142" i="99" s="1"/>
  <c r="AR144" i="99" s="1"/>
  <c r="AQ140" i="99"/>
  <c r="AQ142" i="99" s="1"/>
  <c r="AQ144" i="99" s="1"/>
  <c r="AR122" i="99"/>
  <c r="AR123" i="99" s="1"/>
  <c r="AR59" i="99" s="1"/>
  <c r="AQ122" i="99"/>
  <c r="AQ123" i="99" s="1"/>
  <c r="AQ59" i="99" s="1"/>
  <c r="AR118" i="99"/>
  <c r="AR117" i="99"/>
  <c r="AQ117" i="99"/>
  <c r="AQ119" i="99" s="1"/>
  <c r="AR109" i="99"/>
  <c r="AQ109" i="99"/>
  <c r="AQ110" i="99" s="1"/>
  <c r="AQ102" i="99"/>
  <c r="AR100" i="99"/>
  <c r="AR102" i="99" s="1"/>
  <c r="AR51" i="99" s="1"/>
  <c r="AQ100" i="99"/>
  <c r="AR79" i="99"/>
  <c r="AR80" i="99" s="1"/>
  <c r="AQ79" i="99"/>
  <c r="AQ82" i="99" s="1"/>
  <c r="AR74" i="99"/>
  <c r="AR76" i="99" s="1"/>
  <c r="AR50" i="99" s="1"/>
  <c r="AQ74" i="99"/>
  <c r="AQ80" i="99" s="1"/>
  <c r="AR64" i="99"/>
  <c r="AQ64" i="99"/>
  <c r="AR62" i="99"/>
  <c r="AQ62" i="99"/>
  <c r="AR61" i="99"/>
  <c r="AQ61" i="99"/>
  <c r="AQ51" i="99"/>
  <c r="AR219" i="98"/>
  <c r="AQ219" i="98"/>
  <c r="AR213" i="98"/>
  <c r="AR212" i="98"/>
  <c r="AQ212" i="98"/>
  <c r="AR211" i="98"/>
  <c r="AQ211" i="98"/>
  <c r="AQ213" i="98" s="1"/>
  <c r="AQ209" i="98"/>
  <c r="AR209" i="98" s="1"/>
  <c r="AR128" i="98"/>
  <c r="AQ128" i="98"/>
  <c r="AR127" i="98"/>
  <c r="AQ127" i="98"/>
  <c r="AR117" i="98"/>
  <c r="AQ117" i="98"/>
  <c r="AP117" i="98"/>
  <c r="AO117" i="98"/>
  <c r="AN117" i="98"/>
  <c r="AN103" i="98"/>
  <c r="AR109" i="98"/>
  <c r="AR111" i="98" s="1"/>
  <c r="AQ109" i="98"/>
  <c r="AR107" i="98"/>
  <c r="AQ107" i="98"/>
  <c r="AR104" i="98"/>
  <c r="AQ104" i="98"/>
  <c r="AR90" i="98"/>
  <c r="AR91" i="98" s="1"/>
  <c r="AR52" i="98" s="1"/>
  <c r="AQ90" i="98"/>
  <c r="AQ91" i="98" s="1"/>
  <c r="AQ52" i="98" s="1"/>
  <c r="AR86" i="98"/>
  <c r="AR85" i="98"/>
  <c r="AQ85" i="98"/>
  <c r="AQ87" i="98" s="1"/>
  <c r="AQ71" i="98"/>
  <c r="AQ72" i="98" s="1"/>
  <c r="AR66" i="98"/>
  <c r="AR68" i="98" s="1"/>
  <c r="AR44" i="98" s="1"/>
  <c r="AQ66" i="98"/>
  <c r="AQ68" i="98" s="1"/>
  <c r="AQ44" i="98" s="1"/>
  <c r="AQ62" i="98"/>
  <c r="AR62" i="98" s="1"/>
  <c r="AR57" i="98"/>
  <c r="AR55" i="98"/>
  <c r="AQ55" i="98"/>
  <c r="AR54" i="98"/>
  <c r="AQ54" i="98"/>
  <c r="AW178" i="77"/>
  <c r="AV178" i="77"/>
  <c r="AW177" i="77"/>
  <c r="AV177" i="77"/>
  <c r="AW171" i="77"/>
  <c r="AW172" i="77" s="1"/>
  <c r="AV171" i="77"/>
  <c r="AV172" i="77" s="1"/>
  <c r="AW132" i="77"/>
  <c r="AW133" i="77" s="1"/>
  <c r="AV132" i="77"/>
  <c r="AV133" i="77" s="1"/>
  <c r="AW92" i="77"/>
  <c r="AW93" i="77" s="1"/>
  <c r="AV92" i="77"/>
  <c r="AV93" i="77" s="1"/>
  <c r="AW63" i="77"/>
  <c r="AV63" i="77"/>
  <c r="AW61" i="77"/>
  <c r="AV61" i="77"/>
  <c r="AW60" i="77"/>
  <c r="AV60" i="77"/>
  <c r="AW58" i="77"/>
  <c r="AV58" i="77"/>
  <c r="AW13" i="77"/>
  <c r="AW181" i="78"/>
  <c r="AV181" i="78"/>
  <c r="AW180" i="78"/>
  <c r="AV180" i="78"/>
  <c r="AV174" i="78"/>
  <c r="AV175" i="78" s="1"/>
  <c r="AW170" i="78"/>
  <c r="AV170" i="78"/>
  <c r="AW163" i="78"/>
  <c r="AV163" i="78"/>
  <c r="AW162" i="78"/>
  <c r="AV162" i="78"/>
  <c r="AW146" i="78"/>
  <c r="AW147" i="78" s="1"/>
  <c r="AW59" i="78" s="1"/>
  <c r="AV146" i="78"/>
  <c r="AV147" i="78" s="1"/>
  <c r="AV59" i="78" s="1"/>
  <c r="AV143" i="78"/>
  <c r="AV144" i="78" s="1"/>
  <c r="AV58" i="78" s="1"/>
  <c r="AW142" i="78"/>
  <c r="AW141" i="78"/>
  <c r="AV141" i="78"/>
  <c r="AW134" i="78"/>
  <c r="AW133" i="78"/>
  <c r="AW136" i="78" s="1"/>
  <c r="AW137" i="78" s="1"/>
  <c r="AV133" i="78"/>
  <c r="AV134" i="78" s="1"/>
  <c r="AW126" i="78"/>
  <c r="AV126" i="78"/>
  <c r="AW124" i="78"/>
  <c r="AV124" i="78"/>
  <c r="AV52" i="78" s="1"/>
  <c r="AW93" i="78"/>
  <c r="AW94" i="78" s="1"/>
  <c r="AV93" i="78"/>
  <c r="AV94" i="78" s="1"/>
  <c r="AW86" i="78"/>
  <c r="AV86" i="78"/>
  <c r="AW84" i="78"/>
  <c r="AW51" i="78" s="1"/>
  <c r="AV84" i="78"/>
  <c r="AV51" i="78" s="1"/>
  <c r="AW64" i="78"/>
  <c r="AV64" i="78"/>
  <c r="AW62" i="78"/>
  <c r="AV62" i="78"/>
  <c r="AW61" i="78"/>
  <c r="AV61" i="78"/>
  <c r="AW52" i="78"/>
  <c r="AW13" i="78"/>
  <c r="AW152" i="79"/>
  <c r="AV152" i="79"/>
  <c r="AW151" i="79"/>
  <c r="AV151" i="79"/>
  <c r="AW145" i="79"/>
  <c r="AW146" i="79" s="1"/>
  <c r="AV145" i="79"/>
  <c r="AV146" i="79" s="1"/>
  <c r="AW141" i="79"/>
  <c r="AV141" i="79"/>
  <c r="AW136" i="79"/>
  <c r="AV136" i="79"/>
  <c r="AW135" i="79"/>
  <c r="AV135" i="79"/>
  <c r="AW120" i="79"/>
  <c r="AW121" i="79" s="1"/>
  <c r="AW57" i="79" s="1"/>
  <c r="AV120" i="79"/>
  <c r="AV121" i="79" s="1"/>
  <c r="AV57" i="79" s="1"/>
  <c r="AW116" i="79"/>
  <c r="AW115" i="79"/>
  <c r="AV115" i="79"/>
  <c r="AV117" i="79" s="1"/>
  <c r="AV110" i="79"/>
  <c r="AW62" i="79"/>
  <c r="AV62" i="79"/>
  <c r="AW60" i="79"/>
  <c r="AV60" i="79"/>
  <c r="AW59" i="79"/>
  <c r="AV59" i="79"/>
  <c r="AW50" i="79"/>
  <c r="AV50" i="79"/>
  <c r="AW26" i="79"/>
  <c r="AW12" i="79"/>
  <c r="AW796" i="80"/>
  <c r="AV796" i="80"/>
  <c r="AN772" i="80"/>
  <c r="AS772" i="80"/>
  <c r="AV764" i="80"/>
  <c r="AW763" i="80"/>
  <c r="AW764" i="80" s="1"/>
  <c r="AV763" i="80"/>
  <c r="AV759" i="80"/>
  <c r="AV760" i="80"/>
  <c r="AV761" i="80" s="1"/>
  <c r="AV757" i="80"/>
  <c r="AW757" i="80" s="1"/>
  <c r="AW12" i="80"/>
  <c r="AW9" i="80"/>
  <c r="AW66" i="46"/>
  <c r="AV66" i="46"/>
  <c r="AW64" i="46"/>
  <c r="AV64" i="46"/>
  <c r="AW9" i="46"/>
  <c r="AS103" i="46"/>
  <c r="AS102" i="46"/>
  <c r="AV102" i="46"/>
  <c r="AR108" i="100" l="1"/>
  <c r="AR110" i="100" s="1"/>
  <c r="AR112" i="100" s="1"/>
  <c r="AQ88" i="100"/>
  <c r="AQ50" i="100" s="1"/>
  <c r="AR87" i="100"/>
  <c r="AR88" i="100" s="1"/>
  <c r="AR50" i="100" s="1"/>
  <c r="AQ120" i="99"/>
  <c r="AQ58" i="99" s="1"/>
  <c r="AR119" i="99"/>
  <c r="AR120" i="99" s="1"/>
  <c r="AR58" i="99" s="1"/>
  <c r="AR110" i="99"/>
  <c r="AQ83" i="99"/>
  <c r="AQ85" i="99"/>
  <c r="AQ89" i="99" s="1"/>
  <c r="AR82" i="99"/>
  <c r="AQ76" i="99"/>
  <c r="AQ50" i="99" s="1"/>
  <c r="AQ220" i="98"/>
  <c r="AQ222" i="98"/>
  <c r="AQ223" i="98" s="1"/>
  <c r="AR222" i="98"/>
  <c r="AR220" i="98" s="1"/>
  <c r="AQ88" i="98"/>
  <c r="AQ51" i="98" s="1"/>
  <c r="AR87" i="98"/>
  <c r="AR88" i="98" s="1"/>
  <c r="AR51" i="98" s="1"/>
  <c r="AQ74" i="98"/>
  <c r="AR71" i="98"/>
  <c r="AV135" i="77"/>
  <c r="AV136" i="77" s="1"/>
  <c r="AW135" i="77"/>
  <c r="AW136" i="77" s="1"/>
  <c r="AV95" i="77"/>
  <c r="AV96" i="77" s="1"/>
  <c r="AW95" i="77"/>
  <c r="AW96" i="77" s="1"/>
  <c r="AW174" i="78"/>
  <c r="AW175" i="78" s="1"/>
  <c r="AV136" i="78"/>
  <c r="AV137" i="78" s="1"/>
  <c r="AW143" i="78"/>
  <c r="AW144" i="78" s="1"/>
  <c r="AW58" i="78" s="1"/>
  <c r="AV96" i="78"/>
  <c r="AV97" i="78" s="1"/>
  <c r="AW96" i="78"/>
  <c r="AW97" i="78" s="1"/>
  <c r="AV118" i="79"/>
  <c r="AV56" i="79" s="1"/>
  <c r="AW117" i="79"/>
  <c r="AW118" i="79" s="1"/>
  <c r="AW56" i="79" s="1"/>
  <c r="AR83" i="99" l="1"/>
  <c r="AR85" i="99"/>
  <c r="AR89" i="99" s="1"/>
  <c r="AQ214" i="98"/>
  <c r="AR214" i="98"/>
  <c r="AR223" i="98"/>
  <c r="AR72" i="98"/>
  <c r="AR74" i="98"/>
  <c r="AQ75" i="98"/>
  <c r="AQ77" i="98"/>
  <c r="AQ81" i="98" s="1"/>
  <c r="BB61" i="71"/>
  <c r="BB68" i="71"/>
  <c r="BB69" i="71"/>
  <c r="BB70" i="71"/>
  <c r="BG61" i="71"/>
  <c r="BG68" i="71"/>
  <c r="BG69" i="71"/>
  <c r="BG70" i="71"/>
  <c r="BL61" i="71"/>
  <c r="BL68" i="71"/>
  <c r="BL69" i="71"/>
  <c r="BL70" i="71"/>
  <c r="BQ61" i="71"/>
  <c r="BQ68" i="71"/>
  <c r="BQ69" i="71"/>
  <c r="BQ70" i="71"/>
  <c r="AR75" i="98" l="1"/>
  <c r="AR77" i="98"/>
  <c r="AR81" i="98" s="1"/>
  <c r="CY250" i="59"/>
  <c r="CX250" i="59"/>
  <c r="CW250" i="59"/>
  <c r="CV250" i="59"/>
  <c r="CT250" i="59"/>
  <c r="CS250" i="59"/>
  <c r="CR250" i="59"/>
  <c r="CQ250" i="59"/>
  <c r="BZ250" i="59"/>
  <c r="BY250" i="59"/>
  <c r="BX250" i="59"/>
  <c r="BW250" i="59"/>
  <c r="BU250" i="59"/>
  <c r="BT250" i="59"/>
  <c r="BS250" i="59"/>
  <c r="BR250" i="59"/>
  <c r="BP250" i="59"/>
  <c r="BO250" i="59"/>
  <c r="BN250" i="59"/>
  <c r="BM250" i="59"/>
  <c r="BK250" i="59"/>
  <c r="BJ250" i="59"/>
  <c r="BI250" i="59"/>
  <c r="BH250" i="59"/>
  <c r="BG250" i="59"/>
  <c r="BE250" i="59"/>
  <c r="BC250" i="59"/>
  <c r="BA250" i="59"/>
  <c r="AZ250" i="59"/>
  <c r="AX250" i="59" s="1"/>
  <c r="AU250" i="59"/>
  <c r="AQ250" i="59"/>
  <c r="AK250" i="59"/>
  <c r="AG250" i="59"/>
  <c r="AF250" i="59"/>
  <c r="AD250" i="59" s="1"/>
  <c r="AB250" i="59"/>
  <c r="AA250" i="59"/>
  <c r="Y250" i="59"/>
  <c r="V250" i="59"/>
  <c r="T250" i="59" s="1"/>
  <c r="Q250" i="59"/>
  <c r="L250" i="59"/>
  <c r="AP250" i="59"/>
  <c r="CY93" i="59"/>
  <c r="CX93" i="59"/>
  <c r="CW93" i="59"/>
  <c r="CV93" i="59"/>
  <c r="CT93" i="59"/>
  <c r="CS93" i="59"/>
  <c r="CR93" i="59"/>
  <c r="CQ93" i="59"/>
  <c r="BZ93" i="59"/>
  <c r="BY93" i="59"/>
  <c r="BX93" i="59"/>
  <c r="BW93" i="59"/>
  <c r="BU93" i="59"/>
  <c r="BT93" i="59"/>
  <c r="BS93" i="59"/>
  <c r="BR93" i="59"/>
  <c r="BP93" i="59"/>
  <c r="BO93" i="59"/>
  <c r="BN93" i="59"/>
  <c r="BM93" i="59"/>
  <c r="BK93" i="59"/>
  <c r="BJ93" i="59"/>
  <c r="BI93" i="59"/>
  <c r="BH93" i="59"/>
  <c r="BG93" i="59"/>
  <c r="BL93" i="59" s="1"/>
  <c r="BQ93" i="59" s="1"/>
  <c r="BV93" i="59" s="1"/>
  <c r="CA93" i="59" s="1"/>
  <c r="BE93" i="59"/>
  <c r="BD93" i="59" s="1"/>
  <c r="AZ93" i="59"/>
  <c r="AY93" i="59" s="1"/>
  <c r="AU93" i="59"/>
  <c r="AT93" i="59" s="1"/>
  <c r="AK93" i="59"/>
  <c r="AJ93" i="59" s="1"/>
  <c r="AF93" i="59"/>
  <c r="AE93" i="59" s="1"/>
  <c r="AA93" i="59"/>
  <c r="Z93" i="59" s="1"/>
  <c r="V93" i="59"/>
  <c r="U93" i="59" s="1"/>
  <c r="Q93" i="59"/>
  <c r="P93" i="59" s="1"/>
  <c r="L93" i="59"/>
  <c r="AP93" i="59"/>
  <c r="AN104" i="100"/>
  <c r="AN136" i="99"/>
  <c r="AS154" i="77"/>
  <c r="AW150" i="77"/>
  <c r="AW221" i="78"/>
  <c r="AS156" i="78"/>
  <c r="AU146" i="79"/>
  <c r="AS146" i="79"/>
  <c r="AU145" i="79"/>
  <c r="AT145" i="79"/>
  <c r="AT146" i="79" s="1"/>
  <c r="AS145" i="79"/>
  <c r="AS129" i="79"/>
  <c r="AS774" i="80"/>
  <c r="AN774" i="80"/>
  <c r="AO774" i="80" s="1"/>
  <c r="AP774" i="80" s="1"/>
  <c r="W250" i="59" l="1"/>
  <c r="AS250" i="59"/>
  <c r="BB250" i="59"/>
  <c r="BD250" i="59"/>
  <c r="M250" i="59"/>
  <c r="R250" i="59"/>
  <c r="AI250" i="59"/>
  <c r="AR250" i="59"/>
  <c r="AT250" i="59"/>
  <c r="AV250" i="59"/>
  <c r="O250" i="59"/>
  <c r="N250" i="59"/>
  <c r="P250" i="59"/>
  <c r="U250" i="59"/>
  <c r="X250" i="59"/>
  <c r="Z250" i="59"/>
  <c r="AE250" i="59"/>
  <c r="AH250" i="59"/>
  <c r="AJ250" i="59"/>
  <c r="AY250" i="59"/>
  <c r="BL250" i="59"/>
  <c r="AO250" i="59"/>
  <c r="AM250" i="59"/>
  <c r="AN250" i="59"/>
  <c r="AL250" i="59"/>
  <c r="CN250" i="59"/>
  <c r="CL250" i="59"/>
  <c r="CO250" i="59"/>
  <c r="CM250" i="59"/>
  <c r="S250" i="59"/>
  <c r="AC250" i="59"/>
  <c r="AW250" i="59"/>
  <c r="M93" i="59"/>
  <c r="AG93" i="59"/>
  <c r="BA93" i="59"/>
  <c r="O93" i="59"/>
  <c r="R93" i="59"/>
  <c r="W93" i="59"/>
  <c r="AI93" i="59"/>
  <c r="AQ93" i="59"/>
  <c r="BC93" i="59"/>
  <c r="CF93" i="59"/>
  <c r="Y93" i="59"/>
  <c r="AB93" i="59"/>
  <c r="AS93" i="59"/>
  <c r="BB93" i="59"/>
  <c r="T93" i="59"/>
  <c r="AD93" i="59"/>
  <c r="AR93" i="59"/>
  <c r="AV93" i="59"/>
  <c r="N93" i="59"/>
  <c r="X93" i="59"/>
  <c r="AH93" i="59"/>
  <c r="AX93" i="59"/>
  <c r="AO93" i="59"/>
  <c r="AM93" i="59"/>
  <c r="AN93" i="59"/>
  <c r="AL93" i="59"/>
  <c r="CN93" i="59"/>
  <c r="CL93" i="59"/>
  <c r="CO93" i="59"/>
  <c r="CM93" i="59"/>
  <c r="CI93" i="59"/>
  <c r="S93" i="59"/>
  <c r="AC93" i="59"/>
  <c r="AW93" i="59"/>
  <c r="BQ250" i="59" l="1"/>
  <c r="CC93" i="59"/>
  <c r="CG93" i="59"/>
  <c r="CH93" i="59"/>
  <c r="CE93" i="59"/>
  <c r="CJ93" i="59"/>
  <c r="CK93" i="59"/>
  <c r="CD93" i="59"/>
  <c r="CB93" i="59"/>
  <c r="CY118" i="59"/>
  <c r="CX118" i="59"/>
  <c r="CW118" i="59"/>
  <c r="CV118" i="59"/>
  <c r="CT118" i="59"/>
  <c r="CS118" i="59"/>
  <c r="CR118" i="59"/>
  <c r="CQ118" i="59"/>
  <c r="CO118" i="59"/>
  <c r="CN118" i="59"/>
  <c r="CM118" i="59"/>
  <c r="CL118" i="59"/>
  <c r="CJ118" i="59"/>
  <c r="CI118" i="59"/>
  <c r="CH118" i="59"/>
  <c r="CG118" i="59"/>
  <c r="CE118" i="59"/>
  <c r="CD118" i="59"/>
  <c r="CC118" i="59"/>
  <c r="CB118" i="59"/>
  <c r="BZ118" i="59"/>
  <c r="BY118" i="59"/>
  <c r="BX118" i="59"/>
  <c r="BW118" i="59"/>
  <c r="BU118" i="59"/>
  <c r="BT118" i="59"/>
  <c r="BS118" i="59"/>
  <c r="BR118" i="59"/>
  <c r="BP118" i="59"/>
  <c r="BO118" i="59"/>
  <c r="BN118" i="59"/>
  <c r="BM118" i="59"/>
  <c r="BK118" i="59"/>
  <c r="BJ118" i="59"/>
  <c r="BI118" i="59"/>
  <c r="BH118" i="59"/>
  <c r="BG118" i="59"/>
  <c r="BL118" i="59" s="1"/>
  <c r="BQ118" i="59" s="1"/>
  <c r="BV118" i="59" s="1"/>
  <c r="CA118" i="59" s="1"/>
  <c r="CF118" i="59" s="1"/>
  <c r="CK118" i="59" s="1"/>
  <c r="CP118" i="59" s="1"/>
  <c r="CU118" i="59" s="1"/>
  <c r="CZ118" i="59" s="1"/>
  <c r="BE118" i="59"/>
  <c r="BC118" i="59" s="1"/>
  <c r="AZ118" i="59"/>
  <c r="AY118" i="59" s="1"/>
  <c r="AU118" i="59"/>
  <c r="AS118" i="59" s="1"/>
  <c r="AP118" i="59"/>
  <c r="AM118" i="59" s="1"/>
  <c r="AK118" i="59"/>
  <c r="AI118" i="59" s="1"/>
  <c r="AF118" i="59"/>
  <c r="AE118" i="59" s="1"/>
  <c r="AA118" i="59"/>
  <c r="Y118" i="59" s="1"/>
  <c r="V118" i="59"/>
  <c r="S118" i="59" s="1"/>
  <c r="Q118" i="59"/>
  <c r="O118" i="59" s="1"/>
  <c r="L118" i="59"/>
  <c r="E118" i="59"/>
  <c r="CY57" i="59"/>
  <c r="CX57" i="59"/>
  <c r="CW57" i="59"/>
  <c r="CV57" i="59"/>
  <c r="CT57" i="59"/>
  <c r="CS57" i="59"/>
  <c r="CR57" i="59"/>
  <c r="CQ57" i="59"/>
  <c r="CO57" i="59"/>
  <c r="CN57" i="59"/>
  <c r="CM57" i="59"/>
  <c r="CL57" i="59"/>
  <c r="CJ57" i="59"/>
  <c r="CI57" i="59"/>
  <c r="CH57" i="59"/>
  <c r="CG57" i="59"/>
  <c r="CE57" i="59"/>
  <c r="CD57" i="59"/>
  <c r="CC57" i="59"/>
  <c r="CB57" i="59"/>
  <c r="BZ57" i="59"/>
  <c r="BY57" i="59"/>
  <c r="BX57" i="59"/>
  <c r="BW57" i="59"/>
  <c r="BU57" i="59"/>
  <c r="BT57" i="59"/>
  <c r="BS57" i="59"/>
  <c r="BR57" i="59"/>
  <c r="BP57" i="59"/>
  <c r="BO57" i="59"/>
  <c r="BN57" i="59"/>
  <c r="BM57" i="59"/>
  <c r="BK57" i="59"/>
  <c r="BJ57" i="59"/>
  <c r="BI57" i="59"/>
  <c r="BH57" i="59"/>
  <c r="BG57" i="59"/>
  <c r="BL57" i="59" s="1"/>
  <c r="BQ57" i="59" s="1"/>
  <c r="BV57" i="59" s="1"/>
  <c r="CA57" i="59" s="1"/>
  <c r="CF57" i="59" s="1"/>
  <c r="CK57" i="59" s="1"/>
  <c r="CP57" i="59" s="1"/>
  <c r="CU57" i="59" s="1"/>
  <c r="CZ57" i="59" s="1"/>
  <c r="BE57" i="59"/>
  <c r="BC57" i="59" s="1"/>
  <c r="AZ57" i="59"/>
  <c r="AY57" i="59" s="1"/>
  <c r="AU57" i="59"/>
  <c r="AT57" i="59" s="1"/>
  <c r="AP57" i="59"/>
  <c r="AM57" i="59" s="1"/>
  <c r="AK57" i="59"/>
  <c r="AI57" i="59" s="1"/>
  <c r="AF57" i="59"/>
  <c r="AE57" i="59" s="1"/>
  <c r="AA57" i="59"/>
  <c r="Y57" i="59" s="1"/>
  <c r="V57" i="59"/>
  <c r="S57" i="59" s="1"/>
  <c r="Q57" i="59"/>
  <c r="O57" i="59" s="1"/>
  <c r="L57" i="59"/>
  <c r="E57" i="59"/>
  <c r="F300" i="59"/>
  <c r="BV250" i="59" l="1"/>
  <c r="CP93" i="59"/>
  <c r="AW57" i="59"/>
  <c r="Z118" i="59"/>
  <c r="AO118" i="59"/>
  <c r="W118" i="59"/>
  <c r="AQ118" i="59"/>
  <c r="BD118" i="59"/>
  <c r="X118" i="59"/>
  <c r="BA118" i="59"/>
  <c r="AJ118" i="59"/>
  <c r="AL118" i="59"/>
  <c r="M118" i="59"/>
  <c r="T118" i="59"/>
  <c r="AG118" i="59"/>
  <c r="AN118" i="59"/>
  <c r="R118" i="59"/>
  <c r="AT118" i="59"/>
  <c r="BB118" i="59"/>
  <c r="P118" i="59"/>
  <c r="U118" i="59"/>
  <c r="AR118" i="59"/>
  <c r="AV118" i="59"/>
  <c r="AC118" i="59"/>
  <c r="AW118" i="59"/>
  <c r="AB118" i="59"/>
  <c r="N118" i="59"/>
  <c r="AD118" i="59"/>
  <c r="AH118" i="59"/>
  <c r="AX118" i="59"/>
  <c r="BB57" i="59"/>
  <c r="AQ57" i="59"/>
  <c r="AS57" i="59"/>
  <c r="U57" i="59"/>
  <c r="W57" i="59"/>
  <c r="AO57" i="59"/>
  <c r="R57" i="59"/>
  <c r="M57" i="59"/>
  <c r="Z57" i="59"/>
  <c r="AD57" i="59"/>
  <c r="AL57" i="59"/>
  <c r="AR57" i="59"/>
  <c r="AV57" i="59"/>
  <c r="BA57" i="59"/>
  <c r="X57" i="59"/>
  <c r="AB57" i="59"/>
  <c r="AG57" i="59"/>
  <c r="AX57" i="59"/>
  <c r="AC57" i="59"/>
  <c r="P57" i="59"/>
  <c r="T57" i="59"/>
  <c r="AJ57" i="59"/>
  <c r="AN57" i="59"/>
  <c r="BD57" i="59"/>
  <c r="N57" i="59"/>
  <c r="AH57" i="59"/>
  <c r="CA250" i="59" l="1"/>
  <c r="CU93" i="59"/>
  <c r="CF250" i="59" l="1"/>
  <c r="CZ93" i="59"/>
  <c r="CE250" i="59" l="1"/>
  <c r="CC250" i="59"/>
  <c r="CD250" i="59"/>
  <c r="CB250" i="59"/>
  <c r="CI250" i="59"/>
  <c r="CH250" i="59"/>
  <c r="CG250" i="59"/>
  <c r="CJ250" i="59"/>
  <c r="CK250" i="59"/>
  <c r="CP250" i="59" l="1"/>
  <c r="BP281" i="97"/>
  <c r="BO281" i="97"/>
  <c r="BN281" i="97"/>
  <c r="BM281" i="97"/>
  <c r="BL281" i="97"/>
  <c r="BK281" i="97"/>
  <c r="BJ281" i="97"/>
  <c r="BI281" i="97"/>
  <c r="BH281" i="97"/>
  <c r="BP280" i="97"/>
  <c r="BO280" i="97"/>
  <c r="BN280" i="97"/>
  <c r="BM280" i="97"/>
  <c r="BL280" i="97"/>
  <c r="BK280" i="97"/>
  <c r="BJ280" i="97"/>
  <c r="BI280" i="97"/>
  <c r="BH280" i="97"/>
  <c r="BP279" i="97"/>
  <c r="BO279" i="97"/>
  <c r="BN279" i="97"/>
  <c r="BM279" i="97"/>
  <c r="BL279" i="97"/>
  <c r="BK279" i="97"/>
  <c r="BJ279" i="97"/>
  <c r="BI279" i="97"/>
  <c r="BH279" i="97"/>
  <c r="BP278" i="97"/>
  <c r="BO278" i="97"/>
  <c r="BN278" i="97"/>
  <c r="BM278" i="97"/>
  <c r="BL278" i="97"/>
  <c r="BK278" i="97"/>
  <c r="BJ278" i="97"/>
  <c r="BI278" i="97"/>
  <c r="BH278" i="97"/>
  <c r="BP277" i="97"/>
  <c r="BO277" i="97"/>
  <c r="BN277" i="97"/>
  <c r="BM277" i="97"/>
  <c r="BL277" i="97"/>
  <c r="BK277" i="97"/>
  <c r="BJ277" i="97"/>
  <c r="BI277" i="97"/>
  <c r="BH277" i="97"/>
  <c r="BP276" i="97"/>
  <c r="BO276" i="97"/>
  <c r="BN276" i="97"/>
  <c r="BM276" i="97"/>
  <c r="BL276" i="97"/>
  <c r="BK276" i="97"/>
  <c r="BJ276" i="97"/>
  <c r="BI276" i="97"/>
  <c r="BH276" i="97"/>
  <c r="BP275" i="97"/>
  <c r="BO275" i="97"/>
  <c r="BN275" i="97"/>
  <c r="BM275" i="97"/>
  <c r="BL275" i="97"/>
  <c r="BK275" i="97"/>
  <c r="BJ275" i="97"/>
  <c r="BI275" i="97"/>
  <c r="BH275" i="97"/>
  <c r="BP271" i="97"/>
  <c r="BO271" i="97"/>
  <c r="BN271" i="97"/>
  <c r="BM271" i="97"/>
  <c r="BL271" i="97"/>
  <c r="BK271" i="97"/>
  <c r="BJ271" i="97"/>
  <c r="BI271" i="97"/>
  <c r="BH271" i="97"/>
  <c r="BG271" i="97"/>
  <c r="BP270" i="97"/>
  <c r="BO270" i="97"/>
  <c r="BN270" i="97"/>
  <c r="BM270" i="97"/>
  <c r="BL270" i="97"/>
  <c r="BK270" i="97"/>
  <c r="BJ270" i="97"/>
  <c r="BI270" i="97"/>
  <c r="BH270" i="97"/>
  <c r="BG270" i="97"/>
  <c r="BP269" i="97"/>
  <c r="BO269" i="97"/>
  <c r="BN269" i="97"/>
  <c r="BM269" i="97"/>
  <c r="BL269" i="97"/>
  <c r="BK269" i="97"/>
  <c r="BJ269" i="97"/>
  <c r="BI269" i="97"/>
  <c r="BH269" i="97"/>
  <c r="BG269" i="97"/>
  <c r="BP268" i="97"/>
  <c r="BO268" i="97"/>
  <c r="BN268" i="97"/>
  <c r="BM268" i="97"/>
  <c r="BL268" i="97"/>
  <c r="BK268" i="97"/>
  <c r="BJ268" i="97"/>
  <c r="BI268" i="97"/>
  <c r="BH268" i="97"/>
  <c r="BG268" i="97"/>
  <c r="BP267" i="97"/>
  <c r="BO267" i="97"/>
  <c r="BN267" i="97"/>
  <c r="BM267" i="97"/>
  <c r="BL267" i="97"/>
  <c r="BK267" i="97"/>
  <c r="BJ267" i="97"/>
  <c r="BI267" i="97"/>
  <c r="BH267" i="97"/>
  <c r="BG267" i="97"/>
  <c r="BP266" i="97"/>
  <c r="BO266" i="97"/>
  <c r="BN266" i="97"/>
  <c r="BM266" i="97"/>
  <c r="BL266" i="97"/>
  <c r="BK266" i="97"/>
  <c r="BJ266" i="97"/>
  <c r="BI266" i="97"/>
  <c r="BH266" i="97"/>
  <c r="BG266" i="97"/>
  <c r="BP265" i="97"/>
  <c r="BO265" i="97"/>
  <c r="BN265" i="97"/>
  <c r="BM265" i="97"/>
  <c r="BL265" i="97"/>
  <c r="BK265" i="97"/>
  <c r="BJ265" i="97"/>
  <c r="BI265" i="97"/>
  <c r="BH265" i="97"/>
  <c r="BG265" i="97"/>
  <c r="BP264" i="97"/>
  <c r="BO264" i="97"/>
  <c r="BN264" i="97"/>
  <c r="BM264" i="97"/>
  <c r="BL264" i="97"/>
  <c r="BK264" i="97"/>
  <c r="BJ264" i="97"/>
  <c r="BI264" i="97"/>
  <c r="BH264" i="97"/>
  <c r="BG264" i="97"/>
  <c r="BP263" i="97"/>
  <c r="BO263" i="97"/>
  <c r="BN263" i="97"/>
  <c r="BM263" i="97"/>
  <c r="BL263" i="97"/>
  <c r="BK263" i="97"/>
  <c r="BJ263" i="97"/>
  <c r="BI263" i="97"/>
  <c r="BH263" i="97"/>
  <c r="BG263" i="97"/>
  <c r="BP262" i="97"/>
  <c r="BO262" i="97"/>
  <c r="BN262" i="97"/>
  <c r="BM262" i="97"/>
  <c r="BL262" i="97"/>
  <c r="BK262" i="97"/>
  <c r="BJ262" i="97"/>
  <c r="BI262" i="97"/>
  <c r="BH262" i="97"/>
  <c r="BG262" i="97"/>
  <c r="BP261" i="97"/>
  <c r="BO261" i="97"/>
  <c r="BN261" i="97"/>
  <c r="BM261" i="97"/>
  <c r="BL261" i="97"/>
  <c r="BK261" i="97"/>
  <c r="BJ261" i="97"/>
  <c r="BI261" i="97"/>
  <c r="BH261" i="97"/>
  <c r="BG261" i="97"/>
  <c r="BP260" i="97"/>
  <c r="BO260" i="97"/>
  <c r="BN260" i="97"/>
  <c r="BM260" i="97"/>
  <c r="BL260" i="97"/>
  <c r="BK260" i="97"/>
  <c r="BJ260" i="97"/>
  <c r="BI260" i="97"/>
  <c r="BH260" i="97"/>
  <c r="BG260" i="97"/>
  <c r="BP259" i="97"/>
  <c r="BO259" i="97"/>
  <c r="BN259" i="97"/>
  <c r="BM259" i="97"/>
  <c r="BL259" i="97"/>
  <c r="BK259" i="97"/>
  <c r="BJ259" i="97"/>
  <c r="BI259" i="97"/>
  <c r="BH259" i="97"/>
  <c r="BG259" i="97"/>
  <c r="BP258" i="97"/>
  <c r="BO258" i="97"/>
  <c r="BN258" i="97"/>
  <c r="BM258" i="97"/>
  <c r="BL258" i="97"/>
  <c r="BK258" i="97"/>
  <c r="BJ258" i="97"/>
  <c r="BI258" i="97"/>
  <c r="BH258" i="97"/>
  <c r="BG258" i="97"/>
  <c r="BP257" i="97"/>
  <c r="BO257" i="97"/>
  <c r="BN257" i="97"/>
  <c r="BM257" i="97"/>
  <c r="BL257" i="97"/>
  <c r="BK257" i="97"/>
  <c r="BJ257" i="97"/>
  <c r="BI257" i="97"/>
  <c r="BH257" i="97"/>
  <c r="BG257" i="97"/>
  <c r="BP254" i="97"/>
  <c r="BO254" i="97"/>
  <c r="BN254" i="97"/>
  <c r="BM254" i="97"/>
  <c r="BL254" i="97"/>
  <c r="BK254" i="97"/>
  <c r="BJ254" i="97"/>
  <c r="BI254" i="97"/>
  <c r="BH254" i="97"/>
  <c r="BG254" i="97"/>
  <c r="BF254" i="97"/>
  <c r="BE254" i="97"/>
  <c r="BP253" i="97"/>
  <c r="BO253" i="97"/>
  <c r="BN253" i="97"/>
  <c r="BM253" i="97"/>
  <c r="BL253" i="97"/>
  <c r="BK253" i="97"/>
  <c r="BJ253" i="97"/>
  <c r="BI253" i="97"/>
  <c r="BH253" i="97"/>
  <c r="BG253" i="97"/>
  <c r="BF253" i="97"/>
  <c r="BE253" i="97"/>
  <c r="BP252" i="97"/>
  <c r="BO252" i="97"/>
  <c r="BN252" i="97"/>
  <c r="BM252" i="97"/>
  <c r="BL252" i="97"/>
  <c r="BK252" i="97"/>
  <c r="BJ252" i="97"/>
  <c r="BI252" i="97"/>
  <c r="BH252" i="97"/>
  <c r="BG252" i="97"/>
  <c r="BF252" i="97"/>
  <c r="BE252" i="97"/>
  <c r="BP251" i="97"/>
  <c r="BO251" i="97"/>
  <c r="BN251" i="97"/>
  <c r="BM251" i="97"/>
  <c r="BL251" i="97"/>
  <c r="BK251" i="97"/>
  <c r="BJ251" i="97"/>
  <c r="BI251" i="97"/>
  <c r="BH251" i="97"/>
  <c r="BG251" i="97"/>
  <c r="BF251" i="97"/>
  <c r="BE251" i="97"/>
  <c r="BP250" i="97"/>
  <c r="BO250" i="97"/>
  <c r="BN250" i="97"/>
  <c r="BM250" i="97"/>
  <c r="BL250" i="97"/>
  <c r="BK250" i="97"/>
  <c r="BJ250" i="97"/>
  <c r="BI250" i="97"/>
  <c r="BH250" i="97"/>
  <c r="BG250" i="97"/>
  <c r="BF250" i="97"/>
  <c r="BE250" i="97"/>
  <c r="BP249" i="97"/>
  <c r="BO249" i="97"/>
  <c r="BN249" i="97"/>
  <c r="BM249" i="97"/>
  <c r="BL249" i="97"/>
  <c r="BK249" i="97"/>
  <c r="BJ249" i="97"/>
  <c r="BI249" i="97"/>
  <c r="BH249" i="97"/>
  <c r="BG249" i="97"/>
  <c r="BF249" i="97"/>
  <c r="BE249" i="97"/>
  <c r="BP248" i="97"/>
  <c r="BO248" i="97"/>
  <c r="BN248" i="97"/>
  <c r="BM248" i="97"/>
  <c r="BL248" i="97"/>
  <c r="BK248" i="97"/>
  <c r="BJ248" i="97"/>
  <c r="BI248" i="97"/>
  <c r="BH248" i="97"/>
  <c r="BG248" i="97"/>
  <c r="BF248" i="97"/>
  <c r="BE248" i="97"/>
  <c r="BP247" i="97"/>
  <c r="BO247" i="97"/>
  <c r="BN247" i="97"/>
  <c r="BM247" i="97"/>
  <c r="BL247" i="97"/>
  <c r="BK247" i="97"/>
  <c r="BJ247" i="97"/>
  <c r="BI247" i="97"/>
  <c r="BH247" i="97"/>
  <c r="BG247" i="97"/>
  <c r="BF247" i="97"/>
  <c r="BE247" i="97"/>
  <c r="BP246" i="97"/>
  <c r="BO246" i="97"/>
  <c r="BN246" i="97"/>
  <c r="BM246" i="97"/>
  <c r="BL246" i="97"/>
  <c r="BK246" i="97"/>
  <c r="BJ246" i="97"/>
  <c r="BI246" i="97"/>
  <c r="BH246" i="97"/>
  <c r="BG246" i="97"/>
  <c r="BF246" i="97"/>
  <c r="BE246" i="97"/>
  <c r="BP245" i="97"/>
  <c r="BO245" i="97"/>
  <c r="BN245" i="97"/>
  <c r="BM245" i="97"/>
  <c r="BL245" i="97"/>
  <c r="BK245" i="97"/>
  <c r="BJ245" i="97"/>
  <c r="BI245" i="97"/>
  <c r="BH245" i="97"/>
  <c r="BG245" i="97"/>
  <c r="BF245" i="97"/>
  <c r="BE245" i="97"/>
  <c r="BP244" i="97"/>
  <c r="BO244" i="97"/>
  <c r="BN244" i="97"/>
  <c r="BM244" i="97"/>
  <c r="BL244" i="97"/>
  <c r="BK244" i="97"/>
  <c r="BJ244" i="97"/>
  <c r="BI244" i="97"/>
  <c r="BH244" i="97"/>
  <c r="BG244" i="97"/>
  <c r="BF244" i="97"/>
  <c r="BE244" i="97"/>
  <c r="BP243" i="97"/>
  <c r="BO243" i="97"/>
  <c r="BN243" i="97"/>
  <c r="BM243" i="97"/>
  <c r="BL243" i="97"/>
  <c r="BK243" i="97"/>
  <c r="BJ243" i="97"/>
  <c r="BI243" i="97"/>
  <c r="BH243" i="97"/>
  <c r="BG243" i="97"/>
  <c r="BF243" i="97"/>
  <c r="BE243" i="97"/>
  <c r="BP242" i="97"/>
  <c r="BO242" i="97"/>
  <c r="BN242" i="97"/>
  <c r="BM242" i="97"/>
  <c r="BL242" i="97"/>
  <c r="BK242" i="97"/>
  <c r="BJ242" i="97"/>
  <c r="BI242" i="97"/>
  <c r="BH242" i="97"/>
  <c r="BG242" i="97"/>
  <c r="BF242" i="97"/>
  <c r="BE242" i="97"/>
  <c r="BP241" i="97"/>
  <c r="BO241" i="97"/>
  <c r="BN241" i="97"/>
  <c r="BM241" i="97"/>
  <c r="BL241" i="97"/>
  <c r="BK241" i="97"/>
  <c r="BJ241" i="97"/>
  <c r="BI241" i="97"/>
  <c r="BH241" i="97"/>
  <c r="BG241" i="97"/>
  <c r="BF241" i="97"/>
  <c r="BE241" i="97"/>
  <c r="BP240" i="97"/>
  <c r="BO240" i="97"/>
  <c r="BN240" i="97"/>
  <c r="BM240" i="97"/>
  <c r="BL240" i="97"/>
  <c r="BK240" i="97"/>
  <c r="BJ240" i="97"/>
  <c r="BI240" i="97"/>
  <c r="BH240" i="97"/>
  <c r="BG240" i="97"/>
  <c r="BF240" i="97"/>
  <c r="BE240" i="97"/>
  <c r="BP239" i="97"/>
  <c r="BO239" i="97"/>
  <c r="BN239" i="97"/>
  <c r="BM239" i="97"/>
  <c r="BL239" i="97"/>
  <c r="BK239" i="97"/>
  <c r="BJ239" i="97"/>
  <c r="BI239" i="97"/>
  <c r="BH239" i="97"/>
  <c r="BG239" i="97"/>
  <c r="BF239" i="97"/>
  <c r="BE239" i="97"/>
  <c r="BP236" i="97"/>
  <c r="BO236" i="97"/>
  <c r="BN236" i="97"/>
  <c r="BM236" i="97"/>
  <c r="BL236" i="97"/>
  <c r="BK236" i="97"/>
  <c r="BJ236" i="97"/>
  <c r="BI236" i="97"/>
  <c r="BH236" i="97"/>
  <c r="BG236" i="97"/>
  <c r="BF236" i="97"/>
  <c r="BE236" i="97"/>
  <c r="BP235" i="97"/>
  <c r="BO235" i="97"/>
  <c r="BN235" i="97"/>
  <c r="BM235" i="97"/>
  <c r="BL235" i="97"/>
  <c r="BK235" i="97"/>
  <c r="BJ235" i="97"/>
  <c r="BI235" i="97"/>
  <c r="BH235" i="97"/>
  <c r="BG235" i="97"/>
  <c r="BF235" i="97"/>
  <c r="BE235" i="97"/>
  <c r="BP234" i="97"/>
  <c r="BO234" i="97"/>
  <c r="BN234" i="97"/>
  <c r="BM234" i="97"/>
  <c r="BL234" i="97"/>
  <c r="BK234" i="97"/>
  <c r="BJ234" i="97"/>
  <c r="BI234" i="97"/>
  <c r="BH234" i="97"/>
  <c r="BG234" i="97"/>
  <c r="BF234" i="97"/>
  <c r="BE234" i="97"/>
  <c r="BP233" i="97"/>
  <c r="BO233" i="97"/>
  <c r="BN233" i="97"/>
  <c r="BM233" i="97"/>
  <c r="BL233" i="97"/>
  <c r="BK233" i="97"/>
  <c r="BJ233" i="97"/>
  <c r="BI233" i="97"/>
  <c r="BH233" i="97"/>
  <c r="BG233" i="97"/>
  <c r="BF233" i="97"/>
  <c r="BE233" i="97"/>
  <c r="BP232" i="97"/>
  <c r="BO232" i="97"/>
  <c r="BN232" i="97"/>
  <c r="BM232" i="97"/>
  <c r="BL232" i="97"/>
  <c r="BK232" i="97"/>
  <c r="BJ232" i="97"/>
  <c r="BI232" i="97"/>
  <c r="BH232" i="97"/>
  <c r="BG232" i="97"/>
  <c r="BF232" i="97"/>
  <c r="BE232" i="97"/>
  <c r="BP231" i="97"/>
  <c r="BO231" i="97"/>
  <c r="BN231" i="97"/>
  <c r="BM231" i="97"/>
  <c r="BL231" i="97"/>
  <c r="BK231" i="97"/>
  <c r="BJ231" i="97"/>
  <c r="BI231" i="97"/>
  <c r="BH231" i="97"/>
  <c r="BG231" i="97"/>
  <c r="BF231" i="97"/>
  <c r="BE231" i="97"/>
  <c r="BP230" i="97"/>
  <c r="BO230" i="97"/>
  <c r="BN230" i="97"/>
  <c r="BM230" i="97"/>
  <c r="BL230" i="97"/>
  <c r="BK230" i="97"/>
  <c r="BJ230" i="97"/>
  <c r="BI230" i="97"/>
  <c r="BH230" i="97"/>
  <c r="BG230" i="97"/>
  <c r="BF230" i="97"/>
  <c r="BE230" i="97"/>
  <c r="BP229" i="97"/>
  <c r="BO229" i="97"/>
  <c r="BN229" i="97"/>
  <c r="BM229" i="97"/>
  <c r="BL229" i="97"/>
  <c r="BK229" i="97"/>
  <c r="BJ229" i="97"/>
  <c r="BI229" i="97"/>
  <c r="BH229" i="97"/>
  <c r="BG229" i="97"/>
  <c r="BF229" i="97"/>
  <c r="BE229" i="97"/>
  <c r="BP228" i="97"/>
  <c r="BO228" i="97"/>
  <c r="BN228" i="97"/>
  <c r="BM228" i="97"/>
  <c r="BL228" i="97"/>
  <c r="BK228" i="97"/>
  <c r="BJ228" i="97"/>
  <c r="BI228" i="97"/>
  <c r="BH228" i="97"/>
  <c r="BG228" i="97"/>
  <c r="BF228" i="97"/>
  <c r="BE228" i="97"/>
  <c r="BP227" i="97"/>
  <c r="BO227" i="97"/>
  <c r="BN227" i="97"/>
  <c r="BM227" i="97"/>
  <c r="BL227" i="97"/>
  <c r="BK227" i="97"/>
  <c r="BJ227" i="97"/>
  <c r="BI227" i="97"/>
  <c r="BH227" i="97"/>
  <c r="BG227" i="97"/>
  <c r="BF227" i="97"/>
  <c r="BE227" i="97"/>
  <c r="BP226" i="97"/>
  <c r="BO226" i="97"/>
  <c r="BN226" i="97"/>
  <c r="BM226" i="97"/>
  <c r="BL226" i="97"/>
  <c r="BK226" i="97"/>
  <c r="BJ226" i="97"/>
  <c r="BI226" i="97"/>
  <c r="BH226" i="97"/>
  <c r="BG226" i="97"/>
  <c r="BF226" i="97"/>
  <c r="BE226" i="97"/>
  <c r="BP225" i="97"/>
  <c r="BO225" i="97"/>
  <c r="BN225" i="97"/>
  <c r="BM225" i="97"/>
  <c r="BL225" i="97"/>
  <c r="BK225" i="97"/>
  <c r="BJ225" i="97"/>
  <c r="BI225" i="97"/>
  <c r="BH225" i="97"/>
  <c r="BG225" i="97"/>
  <c r="BF225" i="97"/>
  <c r="BE225" i="97"/>
  <c r="BP224" i="97"/>
  <c r="BO224" i="97"/>
  <c r="BN224" i="97"/>
  <c r="BM224" i="97"/>
  <c r="BL224" i="97"/>
  <c r="BK224" i="97"/>
  <c r="BJ224" i="97"/>
  <c r="BI224" i="97"/>
  <c r="BH224" i="97"/>
  <c r="BG224" i="97"/>
  <c r="BF224" i="97"/>
  <c r="BE224" i="97"/>
  <c r="BP223" i="97"/>
  <c r="BO223" i="97"/>
  <c r="BN223" i="97"/>
  <c r="BM223" i="97"/>
  <c r="BL223" i="97"/>
  <c r="BK223" i="97"/>
  <c r="BJ223" i="97"/>
  <c r="BI223" i="97"/>
  <c r="BH223" i="97"/>
  <c r="BG223" i="97"/>
  <c r="BF223" i="97"/>
  <c r="BE223" i="97"/>
  <c r="BP222" i="97"/>
  <c r="BO222" i="97"/>
  <c r="BN222" i="97"/>
  <c r="BM222" i="97"/>
  <c r="BL222" i="97"/>
  <c r="BK222" i="97"/>
  <c r="BJ222" i="97"/>
  <c r="BI222" i="97"/>
  <c r="BH222" i="97"/>
  <c r="BG222" i="97"/>
  <c r="BF222" i="97"/>
  <c r="BE222" i="97"/>
  <c r="BP221" i="97"/>
  <c r="BO221" i="97"/>
  <c r="BN221" i="97"/>
  <c r="BM221" i="97"/>
  <c r="BL221" i="97"/>
  <c r="BK221" i="97"/>
  <c r="BJ221" i="97"/>
  <c r="BI221" i="97"/>
  <c r="BH221" i="97"/>
  <c r="BG221" i="97"/>
  <c r="BF221" i="97"/>
  <c r="BE221" i="97"/>
  <c r="BP217" i="97"/>
  <c r="BO217" i="97"/>
  <c r="BN217" i="97"/>
  <c r="BM217" i="97"/>
  <c r="BL217" i="97"/>
  <c r="BK217" i="97"/>
  <c r="BJ217" i="97"/>
  <c r="BI217" i="97"/>
  <c r="BH217" i="97"/>
  <c r="BG217" i="97"/>
  <c r="BF217" i="97"/>
  <c r="BE217" i="97"/>
  <c r="BP216" i="97"/>
  <c r="BO216" i="97"/>
  <c r="BN216" i="97"/>
  <c r="BM216" i="97"/>
  <c r="BL216" i="97"/>
  <c r="BK216" i="97"/>
  <c r="BJ216" i="97"/>
  <c r="BI216" i="97"/>
  <c r="BH216" i="97"/>
  <c r="BG216" i="97"/>
  <c r="BF216" i="97"/>
  <c r="BE216" i="97"/>
  <c r="BP215" i="97"/>
  <c r="BO215" i="97"/>
  <c r="BN215" i="97"/>
  <c r="BM215" i="97"/>
  <c r="BL215" i="97"/>
  <c r="BK215" i="97"/>
  <c r="BJ215" i="97"/>
  <c r="BI215" i="97"/>
  <c r="BH215" i="97"/>
  <c r="BG215" i="97"/>
  <c r="BF215" i="97"/>
  <c r="BE215" i="97"/>
  <c r="BP211" i="97"/>
  <c r="BO211" i="97"/>
  <c r="BN211" i="97"/>
  <c r="BM211" i="97"/>
  <c r="BL211" i="97"/>
  <c r="BK211" i="97"/>
  <c r="BJ211" i="97"/>
  <c r="BI211" i="97"/>
  <c r="BH211" i="97"/>
  <c r="BG211" i="97"/>
  <c r="BF211" i="97"/>
  <c r="BE211" i="97"/>
  <c r="BP210" i="97"/>
  <c r="BO210" i="97"/>
  <c r="BN210" i="97"/>
  <c r="BM210" i="97"/>
  <c r="BL210" i="97"/>
  <c r="BK210" i="97"/>
  <c r="BJ210" i="97"/>
  <c r="BI210" i="97"/>
  <c r="BH210" i="97"/>
  <c r="BG210" i="97"/>
  <c r="BF210" i="97"/>
  <c r="BE210" i="97"/>
  <c r="BP209" i="97"/>
  <c r="BO209" i="97"/>
  <c r="BN209" i="97"/>
  <c r="BM209" i="97"/>
  <c r="BL209" i="97"/>
  <c r="BK209" i="97"/>
  <c r="BJ209" i="97"/>
  <c r="BI209" i="97"/>
  <c r="BH209" i="97"/>
  <c r="BG209" i="97"/>
  <c r="BF209" i="97"/>
  <c r="BE209" i="97"/>
  <c r="BP208" i="97"/>
  <c r="BO208" i="97"/>
  <c r="BN208" i="97"/>
  <c r="BM208" i="97"/>
  <c r="BL208" i="97"/>
  <c r="BK208" i="97"/>
  <c r="BJ208" i="97"/>
  <c r="BI208" i="97"/>
  <c r="BH208" i="97"/>
  <c r="BG208" i="97"/>
  <c r="BF208" i="97"/>
  <c r="BE208" i="97"/>
  <c r="BP207" i="97"/>
  <c r="BO207" i="97"/>
  <c r="BN207" i="97"/>
  <c r="BM207" i="97"/>
  <c r="BL207" i="97"/>
  <c r="BK207" i="97"/>
  <c r="BJ207" i="97"/>
  <c r="BI207" i="97"/>
  <c r="BH207" i="97"/>
  <c r="BG207" i="97"/>
  <c r="BF207" i="97"/>
  <c r="BE207" i="97"/>
  <c r="BP206" i="97"/>
  <c r="BO206" i="97"/>
  <c r="BN206" i="97"/>
  <c r="BM206" i="97"/>
  <c r="BL206" i="97"/>
  <c r="BK206" i="97"/>
  <c r="BJ206" i="97"/>
  <c r="BI206" i="97"/>
  <c r="BH206" i="97"/>
  <c r="BG206" i="97"/>
  <c r="BF206" i="97"/>
  <c r="BE206" i="97"/>
  <c r="BP205" i="97"/>
  <c r="BO205" i="97"/>
  <c r="BN205" i="97"/>
  <c r="BM205" i="97"/>
  <c r="BL205" i="97"/>
  <c r="BK205" i="97"/>
  <c r="BJ205" i="97"/>
  <c r="BI205" i="97"/>
  <c r="BH205" i="97"/>
  <c r="BG205" i="97"/>
  <c r="BF205" i="97"/>
  <c r="BE205" i="97"/>
  <c r="BP204" i="97"/>
  <c r="BO204" i="97"/>
  <c r="BN204" i="97"/>
  <c r="BM204" i="97"/>
  <c r="BL204" i="97"/>
  <c r="BK204" i="97"/>
  <c r="BJ204" i="97"/>
  <c r="BI204" i="97"/>
  <c r="BH204" i="97"/>
  <c r="BG204" i="97"/>
  <c r="BF204" i="97"/>
  <c r="BE204" i="97"/>
  <c r="BP203" i="97"/>
  <c r="BO203" i="97"/>
  <c r="BN203" i="97"/>
  <c r="BM203" i="97"/>
  <c r="BL203" i="97"/>
  <c r="BK203" i="97"/>
  <c r="BJ203" i="97"/>
  <c r="BI203" i="97"/>
  <c r="BH203" i="97"/>
  <c r="BG203" i="97"/>
  <c r="BF203" i="97"/>
  <c r="BE203" i="97"/>
  <c r="BP202" i="97"/>
  <c r="BO202" i="97"/>
  <c r="BN202" i="97"/>
  <c r="BM202" i="97"/>
  <c r="BL202" i="97"/>
  <c r="BK202" i="97"/>
  <c r="BJ202" i="97"/>
  <c r="BI202" i="97"/>
  <c r="BH202" i="97"/>
  <c r="BG202" i="97"/>
  <c r="BF202" i="97"/>
  <c r="BE202" i="97"/>
  <c r="BP201" i="97"/>
  <c r="BO201" i="97"/>
  <c r="BN201" i="97"/>
  <c r="BM201" i="97"/>
  <c r="BL201" i="97"/>
  <c r="BK201" i="97"/>
  <c r="BJ201" i="97"/>
  <c r="BI201" i="97"/>
  <c r="BH201" i="97"/>
  <c r="BG201" i="97"/>
  <c r="BF201" i="97"/>
  <c r="BE201" i="97"/>
  <c r="BP200" i="97"/>
  <c r="BO200" i="97"/>
  <c r="BN200" i="97"/>
  <c r="BM200" i="97"/>
  <c r="BL200" i="97"/>
  <c r="BK200" i="97"/>
  <c r="BJ200" i="97"/>
  <c r="BI200" i="97"/>
  <c r="BH200" i="97"/>
  <c r="BG200" i="97"/>
  <c r="BF200" i="97"/>
  <c r="BE200" i="97"/>
  <c r="BP199" i="97"/>
  <c r="BO199" i="97"/>
  <c r="BN199" i="97"/>
  <c r="BM199" i="97"/>
  <c r="BL199" i="97"/>
  <c r="BK199" i="97"/>
  <c r="BJ199" i="97"/>
  <c r="BI199" i="97"/>
  <c r="BH199" i="97"/>
  <c r="BG199" i="97"/>
  <c r="BF199" i="97"/>
  <c r="BE199" i="97"/>
  <c r="BP198" i="97"/>
  <c r="BO198" i="97"/>
  <c r="BN198" i="97"/>
  <c r="BM198" i="97"/>
  <c r="BL198" i="97"/>
  <c r="BK198" i="97"/>
  <c r="BJ198" i="97"/>
  <c r="BI198" i="97"/>
  <c r="BH198" i="97"/>
  <c r="BG198" i="97"/>
  <c r="BF198" i="97"/>
  <c r="BE198" i="97"/>
  <c r="BP197" i="97"/>
  <c r="BO197" i="97"/>
  <c r="BN197" i="97"/>
  <c r="BM197" i="97"/>
  <c r="BL197" i="97"/>
  <c r="BK197" i="97"/>
  <c r="BJ197" i="97"/>
  <c r="BI197" i="97"/>
  <c r="BH197" i="97"/>
  <c r="BG197" i="97"/>
  <c r="BF197" i="97"/>
  <c r="BE197" i="97"/>
  <c r="BP196" i="97"/>
  <c r="BO196" i="97"/>
  <c r="BN196" i="97"/>
  <c r="BM196" i="97"/>
  <c r="BL196" i="97"/>
  <c r="BK196" i="97"/>
  <c r="BJ196" i="97"/>
  <c r="BI196" i="97"/>
  <c r="BH196" i="97"/>
  <c r="BG196" i="97"/>
  <c r="BF196" i="97"/>
  <c r="BE196" i="97"/>
  <c r="BP192" i="97"/>
  <c r="BO192" i="97"/>
  <c r="BN192" i="97"/>
  <c r="BM192" i="97"/>
  <c r="BL192" i="97"/>
  <c r="BK192" i="97"/>
  <c r="BJ192" i="97"/>
  <c r="BI192" i="97"/>
  <c r="BH192" i="97"/>
  <c r="BG192" i="97"/>
  <c r="BF192" i="97"/>
  <c r="BE192" i="97"/>
  <c r="BP191" i="97"/>
  <c r="BO191" i="97"/>
  <c r="BN191" i="97"/>
  <c r="BM191" i="97"/>
  <c r="BL191" i="97"/>
  <c r="BK191" i="97"/>
  <c r="BJ191" i="97"/>
  <c r="BI191" i="97"/>
  <c r="BH191" i="97"/>
  <c r="BG191" i="97"/>
  <c r="BF191" i="97"/>
  <c r="BE191" i="97"/>
  <c r="BP190" i="97"/>
  <c r="BO190" i="97"/>
  <c r="BN190" i="97"/>
  <c r="BM190" i="97"/>
  <c r="BL190" i="97"/>
  <c r="BK190" i="97"/>
  <c r="BJ190" i="97"/>
  <c r="BI190" i="97"/>
  <c r="BH190" i="97"/>
  <c r="BG190" i="97"/>
  <c r="BF190" i="97"/>
  <c r="BE190" i="97"/>
  <c r="BP189" i="97"/>
  <c r="BO189" i="97"/>
  <c r="BN189" i="97"/>
  <c r="BM189" i="97"/>
  <c r="BL189" i="97"/>
  <c r="BK189" i="97"/>
  <c r="BJ189" i="97"/>
  <c r="BI189" i="97"/>
  <c r="BH189" i="97"/>
  <c r="BG189" i="97"/>
  <c r="BF189" i="97"/>
  <c r="BE189" i="97"/>
  <c r="BP188" i="97"/>
  <c r="BO188" i="97"/>
  <c r="BN188" i="97"/>
  <c r="BM188" i="97"/>
  <c r="BL188" i="97"/>
  <c r="BK188" i="97"/>
  <c r="BJ188" i="97"/>
  <c r="BI188" i="97"/>
  <c r="BH188" i="97"/>
  <c r="BG188" i="97"/>
  <c r="BF188" i="97"/>
  <c r="BE188" i="97"/>
  <c r="BP187" i="97"/>
  <c r="BO187" i="97"/>
  <c r="BN187" i="97"/>
  <c r="BM187" i="97"/>
  <c r="BL187" i="97"/>
  <c r="BK187" i="97"/>
  <c r="BJ187" i="97"/>
  <c r="BI187" i="97"/>
  <c r="BH187" i="97"/>
  <c r="BG187" i="97"/>
  <c r="BF187" i="97"/>
  <c r="BE187" i="97"/>
  <c r="BP186" i="97"/>
  <c r="BO186" i="97"/>
  <c r="BN186" i="97"/>
  <c r="BM186" i="97"/>
  <c r="BL186" i="97"/>
  <c r="BK186" i="97"/>
  <c r="BJ186" i="97"/>
  <c r="BI186" i="97"/>
  <c r="BH186" i="97"/>
  <c r="BG186" i="97"/>
  <c r="BF186" i="97"/>
  <c r="BE186" i="97"/>
  <c r="BP185" i="97"/>
  <c r="BO185" i="97"/>
  <c r="BN185" i="97"/>
  <c r="BM185" i="97"/>
  <c r="BL185" i="97"/>
  <c r="BK185" i="97"/>
  <c r="BJ185" i="97"/>
  <c r="BI185" i="97"/>
  <c r="BH185" i="97"/>
  <c r="BG185" i="97"/>
  <c r="BF185" i="97"/>
  <c r="BE185" i="97"/>
  <c r="BP184" i="97"/>
  <c r="BO184" i="97"/>
  <c r="BN184" i="97"/>
  <c r="BM184" i="97"/>
  <c r="BL184" i="97"/>
  <c r="BK184" i="97"/>
  <c r="BJ184" i="97"/>
  <c r="BI184" i="97"/>
  <c r="BH184" i="97"/>
  <c r="BG184" i="97"/>
  <c r="BF184" i="97"/>
  <c r="BE184" i="97"/>
  <c r="BP183" i="97"/>
  <c r="BO183" i="97"/>
  <c r="BN183" i="97"/>
  <c r="BM183" i="97"/>
  <c r="BL183" i="97"/>
  <c r="BK183" i="97"/>
  <c r="BJ183" i="97"/>
  <c r="BI183" i="97"/>
  <c r="BH183" i="97"/>
  <c r="BG183" i="97"/>
  <c r="BF183" i="97"/>
  <c r="BE183" i="97"/>
  <c r="BP182" i="97"/>
  <c r="BO182" i="97"/>
  <c r="BN182" i="97"/>
  <c r="BM182" i="97"/>
  <c r="BL182" i="97"/>
  <c r="BK182" i="97"/>
  <c r="BJ182" i="97"/>
  <c r="BI182" i="97"/>
  <c r="BH182" i="97"/>
  <c r="BG182" i="97"/>
  <c r="BF182" i="97"/>
  <c r="BE182" i="97"/>
  <c r="BP181" i="97"/>
  <c r="BO181" i="97"/>
  <c r="BN181" i="97"/>
  <c r="BM181" i="97"/>
  <c r="BL181" i="97"/>
  <c r="BK181" i="97"/>
  <c r="BJ181" i="97"/>
  <c r="BI181" i="97"/>
  <c r="BH181" i="97"/>
  <c r="BG181" i="97"/>
  <c r="BF181" i="97"/>
  <c r="BE181" i="97"/>
  <c r="BP180" i="97"/>
  <c r="BO180" i="97"/>
  <c r="BN180" i="97"/>
  <c r="BM180" i="97"/>
  <c r="BL180" i="97"/>
  <c r="BK180" i="97"/>
  <c r="BJ180" i="97"/>
  <c r="BI180" i="97"/>
  <c r="BH180" i="97"/>
  <c r="BG180" i="97"/>
  <c r="BF180" i="97"/>
  <c r="BE180" i="97"/>
  <c r="BP179" i="97"/>
  <c r="BO179" i="97"/>
  <c r="BN179" i="97"/>
  <c r="BM179" i="97"/>
  <c r="BL179" i="97"/>
  <c r="BK179" i="97"/>
  <c r="BJ179" i="97"/>
  <c r="BI179" i="97"/>
  <c r="BH179" i="97"/>
  <c r="BG179" i="97"/>
  <c r="BF179" i="97"/>
  <c r="BE179" i="97"/>
  <c r="BP178" i="97"/>
  <c r="BO178" i="97"/>
  <c r="BN178" i="97"/>
  <c r="BM178" i="97"/>
  <c r="BL178" i="97"/>
  <c r="BK178" i="97"/>
  <c r="BJ178" i="97"/>
  <c r="BI178" i="97"/>
  <c r="BH178" i="97"/>
  <c r="BG178" i="97"/>
  <c r="BF178" i="97"/>
  <c r="BE178" i="97"/>
  <c r="BP177" i="97"/>
  <c r="BO177" i="97"/>
  <c r="BN177" i="97"/>
  <c r="BM177" i="97"/>
  <c r="BL177" i="97"/>
  <c r="BK177" i="97"/>
  <c r="BJ177" i="97"/>
  <c r="BI177" i="97"/>
  <c r="BH177" i="97"/>
  <c r="BG177" i="97"/>
  <c r="BF177" i="97"/>
  <c r="BE177" i="97"/>
  <c r="BP174" i="97"/>
  <c r="BO174" i="97"/>
  <c r="BN174" i="97"/>
  <c r="BM174" i="97"/>
  <c r="BL174" i="97"/>
  <c r="BK174" i="97"/>
  <c r="BJ174" i="97"/>
  <c r="BI174" i="97"/>
  <c r="BH174" i="97"/>
  <c r="BG174" i="97"/>
  <c r="BF174" i="97"/>
  <c r="BE174" i="97"/>
  <c r="BP173" i="97"/>
  <c r="BO173" i="97"/>
  <c r="BN173" i="97"/>
  <c r="BM173" i="97"/>
  <c r="BL173" i="97"/>
  <c r="BK173" i="97"/>
  <c r="BJ173" i="97"/>
  <c r="BI173" i="97"/>
  <c r="BH173" i="97"/>
  <c r="BG173" i="97"/>
  <c r="BF173" i="97"/>
  <c r="BE173" i="97"/>
  <c r="BP172" i="97"/>
  <c r="BO172" i="97"/>
  <c r="BN172" i="97"/>
  <c r="BM172" i="97"/>
  <c r="BL172" i="97"/>
  <c r="BK172" i="97"/>
  <c r="BJ172" i="97"/>
  <c r="BI172" i="97"/>
  <c r="BH172" i="97"/>
  <c r="BG172" i="97"/>
  <c r="BF172" i="97"/>
  <c r="BE172" i="97"/>
  <c r="BP171" i="97"/>
  <c r="BO171" i="97"/>
  <c r="BN171" i="97"/>
  <c r="BM171" i="97"/>
  <c r="BL171" i="97"/>
  <c r="BK171" i="97"/>
  <c r="BJ171" i="97"/>
  <c r="BI171" i="97"/>
  <c r="BH171" i="97"/>
  <c r="BG171" i="97"/>
  <c r="BF171" i="97"/>
  <c r="BE171" i="97"/>
  <c r="BP170" i="97"/>
  <c r="BO170" i="97"/>
  <c r="BN170" i="97"/>
  <c r="BM170" i="97"/>
  <c r="BL170" i="97"/>
  <c r="BK170" i="97"/>
  <c r="BJ170" i="97"/>
  <c r="BI170" i="97"/>
  <c r="BH170" i="97"/>
  <c r="BG170" i="97"/>
  <c r="BF170" i="97"/>
  <c r="BE170" i="97"/>
  <c r="BP169" i="97"/>
  <c r="BO169" i="97"/>
  <c r="BN169" i="97"/>
  <c r="BM169" i="97"/>
  <c r="BL169" i="97"/>
  <c r="BK169" i="97"/>
  <c r="BJ169" i="97"/>
  <c r="BI169" i="97"/>
  <c r="BH169" i="97"/>
  <c r="BG169" i="97"/>
  <c r="BF169" i="97"/>
  <c r="BE169" i="97"/>
  <c r="BP168" i="97"/>
  <c r="BO168" i="97"/>
  <c r="BN168" i="97"/>
  <c r="BM168" i="97"/>
  <c r="BL168" i="97"/>
  <c r="BK168" i="97"/>
  <c r="BJ168" i="97"/>
  <c r="BI168" i="97"/>
  <c r="BH168" i="97"/>
  <c r="BG168" i="97"/>
  <c r="BF168" i="97"/>
  <c r="BE168" i="97"/>
  <c r="BP167" i="97"/>
  <c r="BO167" i="97"/>
  <c r="BN167" i="97"/>
  <c r="BM167" i="97"/>
  <c r="BL167" i="97"/>
  <c r="BK167" i="97"/>
  <c r="BJ167" i="97"/>
  <c r="BI167" i="97"/>
  <c r="BH167" i="97"/>
  <c r="BG167" i="97"/>
  <c r="BF167" i="97"/>
  <c r="BE167" i="97"/>
  <c r="BP166" i="97"/>
  <c r="BO166" i="97"/>
  <c r="BN166" i="97"/>
  <c r="BM166" i="97"/>
  <c r="BL166" i="97"/>
  <c r="BK166" i="97"/>
  <c r="BJ166" i="97"/>
  <c r="BI166" i="97"/>
  <c r="BH166" i="97"/>
  <c r="BG166" i="97"/>
  <c r="BF166" i="97"/>
  <c r="BE166" i="97"/>
  <c r="BP165" i="97"/>
  <c r="BO165" i="97"/>
  <c r="BN165" i="97"/>
  <c r="BM165" i="97"/>
  <c r="BL165" i="97"/>
  <c r="BK165" i="97"/>
  <c r="BJ165" i="97"/>
  <c r="BI165" i="97"/>
  <c r="BH165" i="97"/>
  <c r="BG165" i="97"/>
  <c r="BF165" i="97"/>
  <c r="BE165" i="97"/>
  <c r="BP164" i="97"/>
  <c r="BO164" i="97"/>
  <c r="BN164" i="97"/>
  <c r="BM164" i="97"/>
  <c r="BL164" i="97"/>
  <c r="BK164" i="97"/>
  <c r="BJ164" i="97"/>
  <c r="BI164" i="97"/>
  <c r="BH164" i="97"/>
  <c r="BG164" i="97"/>
  <c r="BF164" i="97"/>
  <c r="BE164" i="97"/>
  <c r="BP163" i="97"/>
  <c r="BO163" i="97"/>
  <c r="BN163" i="97"/>
  <c r="BM163" i="97"/>
  <c r="BL163" i="97"/>
  <c r="BK163" i="97"/>
  <c r="BJ163" i="97"/>
  <c r="BI163" i="97"/>
  <c r="BH163" i="97"/>
  <c r="BG163" i="97"/>
  <c r="BF163" i="97"/>
  <c r="BE163" i="97"/>
  <c r="BP162" i="97"/>
  <c r="BO162" i="97"/>
  <c r="BN162" i="97"/>
  <c r="BM162" i="97"/>
  <c r="BL162" i="97"/>
  <c r="BK162" i="97"/>
  <c r="BJ162" i="97"/>
  <c r="BI162" i="97"/>
  <c r="BH162" i="97"/>
  <c r="BG162" i="97"/>
  <c r="BF162" i="97"/>
  <c r="BE162" i="97"/>
  <c r="BP161" i="97"/>
  <c r="BO161" i="97"/>
  <c r="BN161" i="97"/>
  <c r="BM161" i="97"/>
  <c r="BL161" i="97"/>
  <c r="BK161" i="97"/>
  <c r="BJ161" i="97"/>
  <c r="BI161" i="97"/>
  <c r="BH161" i="97"/>
  <c r="BG161" i="97"/>
  <c r="BF161" i="97"/>
  <c r="BE161" i="97"/>
  <c r="BP160" i="97"/>
  <c r="BO160" i="97"/>
  <c r="BN160" i="97"/>
  <c r="BM160" i="97"/>
  <c r="BL160" i="97"/>
  <c r="BK160" i="97"/>
  <c r="BJ160" i="97"/>
  <c r="BI160" i="97"/>
  <c r="BH160" i="97"/>
  <c r="BG160" i="97"/>
  <c r="BF160" i="97"/>
  <c r="BE160" i="97"/>
  <c r="BP159" i="97"/>
  <c r="BO159" i="97"/>
  <c r="BN159" i="97"/>
  <c r="BM159" i="97"/>
  <c r="BL159" i="97"/>
  <c r="BK159" i="97"/>
  <c r="BJ159" i="97"/>
  <c r="BI159" i="97"/>
  <c r="BH159" i="97"/>
  <c r="BG159" i="97"/>
  <c r="BF159" i="97"/>
  <c r="BE159" i="97"/>
  <c r="BP155" i="97"/>
  <c r="BO155" i="97"/>
  <c r="BN155" i="97"/>
  <c r="BM155" i="97"/>
  <c r="BL155" i="97"/>
  <c r="BK155" i="97"/>
  <c r="BJ155" i="97"/>
  <c r="BI155" i="97"/>
  <c r="BH155" i="97"/>
  <c r="BG155" i="97"/>
  <c r="BF155" i="97"/>
  <c r="BE155" i="97"/>
  <c r="BP154" i="97"/>
  <c r="BO154" i="97"/>
  <c r="BN154" i="97"/>
  <c r="BM154" i="97"/>
  <c r="BL154" i="97"/>
  <c r="BK154" i="97"/>
  <c r="BJ154" i="97"/>
  <c r="BI154" i="97"/>
  <c r="BH154" i="97"/>
  <c r="BG154" i="97"/>
  <c r="BF154" i="97"/>
  <c r="BE154" i="97"/>
  <c r="BP153" i="97"/>
  <c r="BO153" i="97"/>
  <c r="BN153" i="97"/>
  <c r="BM153" i="97"/>
  <c r="BL153" i="97"/>
  <c r="BK153" i="97"/>
  <c r="BJ153" i="97"/>
  <c r="BI153" i="97"/>
  <c r="BH153" i="97"/>
  <c r="BG153" i="97"/>
  <c r="BF153" i="97"/>
  <c r="BE153" i="97"/>
  <c r="BP152" i="97"/>
  <c r="BO152" i="97"/>
  <c r="BN152" i="97"/>
  <c r="BM152" i="97"/>
  <c r="BL152" i="97"/>
  <c r="BK152" i="97"/>
  <c r="BJ152" i="97"/>
  <c r="BI152" i="97"/>
  <c r="BH152" i="97"/>
  <c r="BG152" i="97"/>
  <c r="BF152" i="97"/>
  <c r="BE152" i="97"/>
  <c r="BP151" i="97"/>
  <c r="BO151" i="97"/>
  <c r="BN151" i="97"/>
  <c r="BM151" i="97"/>
  <c r="BL151" i="97"/>
  <c r="BK151" i="97"/>
  <c r="BJ151" i="97"/>
  <c r="BI151" i="97"/>
  <c r="BH151" i="97"/>
  <c r="BG151" i="97"/>
  <c r="BF151" i="97"/>
  <c r="BE151" i="97"/>
  <c r="AP142" i="97"/>
  <c r="AO142" i="97"/>
  <c r="AN142" i="97"/>
  <c r="AM142" i="97"/>
  <c r="AL142" i="97"/>
  <c r="AK142" i="97"/>
  <c r="AJ142" i="97"/>
  <c r="AI142" i="97"/>
  <c r="AH142" i="97"/>
  <c r="AG142" i="97"/>
  <c r="AF142" i="97"/>
  <c r="AE142" i="97"/>
  <c r="AD142" i="97"/>
  <c r="AC142" i="97"/>
  <c r="AB142" i="97"/>
  <c r="AA142" i="97"/>
  <c r="Z142" i="97"/>
  <c r="Y142" i="97"/>
  <c r="X142" i="97"/>
  <c r="W142" i="97"/>
  <c r="V142" i="97"/>
  <c r="U142" i="97"/>
  <c r="T142" i="97"/>
  <c r="S142" i="97"/>
  <c r="R142" i="97"/>
  <c r="Q142" i="97"/>
  <c r="P142" i="97"/>
  <c r="O142" i="97"/>
  <c r="N142" i="97"/>
  <c r="M142" i="97"/>
  <c r="L142" i="97"/>
  <c r="K142" i="97"/>
  <c r="J142" i="97"/>
  <c r="I142" i="97"/>
  <c r="H142" i="97"/>
  <c r="G142" i="97"/>
  <c r="AP141" i="97"/>
  <c r="AO141" i="97"/>
  <c r="AN141" i="97"/>
  <c r="AM141" i="97"/>
  <c r="AL141" i="97"/>
  <c r="AK141" i="97"/>
  <c r="AJ141" i="97"/>
  <c r="AI141" i="97"/>
  <c r="AH141" i="97"/>
  <c r="AG141" i="97"/>
  <c r="AF141" i="97"/>
  <c r="AE141" i="97"/>
  <c r="AD141" i="97"/>
  <c r="AC141" i="97"/>
  <c r="AB141" i="97"/>
  <c r="AA141" i="97"/>
  <c r="Z141" i="97"/>
  <c r="Y141" i="97"/>
  <c r="X141" i="97"/>
  <c r="W141" i="97"/>
  <c r="V141" i="97"/>
  <c r="U141" i="97"/>
  <c r="T141" i="97"/>
  <c r="S141" i="97"/>
  <c r="R141" i="97"/>
  <c r="Q141" i="97"/>
  <c r="P141" i="97"/>
  <c r="O141" i="97"/>
  <c r="N141" i="97"/>
  <c r="M141" i="97"/>
  <c r="L141" i="97"/>
  <c r="K141" i="97"/>
  <c r="J141" i="97"/>
  <c r="I141" i="97"/>
  <c r="H141" i="97"/>
  <c r="G141" i="97"/>
  <c r="AP140" i="97"/>
  <c r="AO140" i="97"/>
  <c r="AN140" i="97"/>
  <c r="AM140" i="97"/>
  <c r="AL140" i="97"/>
  <c r="AK140" i="97"/>
  <c r="AJ140" i="97"/>
  <c r="AI140" i="97"/>
  <c r="AH140" i="97"/>
  <c r="AG140" i="97"/>
  <c r="AF140" i="97"/>
  <c r="AE140" i="97"/>
  <c r="AD140" i="97"/>
  <c r="AC140" i="97"/>
  <c r="AB140" i="97"/>
  <c r="AA140" i="97"/>
  <c r="Z140" i="97"/>
  <c r="Y140" i="97"/>
  <c r="X140" i="97"/>
  <c r="W140" i="97"/>
  <c r="V140" i="97"/>
  <c r="U140" i="97"/>
  <c r="T140" i="97"/>
  <c r="S140" i="97"/>
  <c r="R140" i="97"/>
  <c r="Q140" i="97"/>
  <c r="P140" i="97"/>
  <c r="O140" i="97"/>
  <c r="N140" i="97"/>
  <c r="M140" i="97"/>
  <c r="L140" i="97"/>
  <c r="K140" i="97"/>
  <c r="J140" i="97"/>
  <c r="I140" i="97"/>
  <c r="H140" i="97"/>
  <c r="G140" i="97"/>
  <c r="AP139" i="97"/>
  <c r="AO139" i="97"/>
  <c r="AN139" i="97"/>
  <c r="AM139" i="97"/>
  <c r="AL139" i="97"/>
  <c r="AK139" i="97"/>
  <c r="AJ139" i="97"/>
  <c r="AI139" i="97"/>
  <c r="AH139" i="97"/>
  <c r="AG139" i="97"/>
  <c r="AF139" i="97"/>
  <c r="AE139" i="97"/>
  <c r="AD139" i="97"/>
  <c r="AC139" i="97"/>
  <c r="AB139" i="97"/>
  <c r="AA139" i="97"/>
  <c r="Z139" i="97"/>
  <c r="Y139" i="97"/>
  <c r="X139" i="97"/>
  <c r="W139" i="97"/>
  <c r="V139" i="97"/>
  <c r="U139" i="97"/>
  <c r="T139" i="97"/>
  <c r="S139" i="97"/>
  <c r="R139" i="97"/>
  <c r="Q139" i="97"/>
  <c r="P139" i="97"/>
  <c r="O139" i="97"/>
  <c r="N139" i="97"/>
  <c r="M139" i="97"/>
  <c r="L139" i="97"/>
  <c r="K139" i="97"/>
  <c r="J139" i="97"/>
  <c r="I139" i="97"/>
  <c r="H139" i="97"/>
  <c r="G139" i="97"/>
  <c r="E142" i="97"/>
  <c r="D142" i="97"/>
  <c r="C142" i="97"/>
  <c r="E141" i="97"/>
  <c r="D141" i="97"/>
  <c r="C141" i="97"/>
  <c r="E140" i="97"/>
  <c r="D140" i="97"/>
  <c r="C140" i="97"/>
  <c r="E139" i="97"/>
  <c r="D139" i="97"/>
  <c r="C139" i="97"/>
  <c r="E138" i="97"/>
  <c r="D138" i="97"/>
  <c r="C138" i="97"/>
  <c r="E137" i="97"/>
  <c r="D137" i="97"/>
  <c r="C137" i="97"/>
  <c r="E136" i="97"/>
  <c r="D136" i="97"/>
  <c r="C136" i="97"/>
  <c r="E135" i="97"/>
  <c r="D135" i="97"/>
  <c r="C135" i="97"/>
  <c r="E134" i="97"/>
  <c r="D134" i="97"/>
  <c r="C134" i="97"/>
  <c r="E133" i="97"/>
  <c r="D133" i="97"/>
  <c r="C133" i="97"/>
  <c r="E132" i="97"/>
  <c r="D132" i="97"/>
  <c r="C132" i="97"/>
  <c r="E131" i="97"/>
  <c r="D131" i="97"/>
  <c r="C131" i="97"/>
  <c r="BB138" i="97"/>
  <c r="BA138" i="97"/>
  <c r="AZ138" i="97"/>
  <c r="AY138" i="97"/>
  <c r="AX138" i="97"/>
  <c r="AW138" i="97"/>
  <c r="AV138" i="97"/>
  <c r="AU138" i="97"/>
  <c r="AT138" i="97"/>
  <c r="AS138" i="97"/>
  <c r="AR138" i="97"/>
  <c r="AQ138" i="97"/>
  <c r="AP138" i="97"/>
  <c r="AO138" i="97"/>
  <c r="AN138" i="97"/>
  <c r="AM138" i="97"/>
  <c r="AL138" i="97"/>
  <c r="AK138" i="97"/>
  <c r="AJ138" i="97"/>
  <c r="AI138" i="97"/>
  <c r="AH138" i="97"/>
  <c r="AG138" i="97"/>
  <c r="AF138" i="97"/>
  <c r="AE138" i="97"/>
  <c r="AD138" i="97"/>
  <c r="AC138" i="97"/>
  <c r="AB138" i="97"/>
  <c r="AA138" i="97"/>
  <c r="Z138" i="97"/>
  <c r="Y138" i="97"/>
  <c r="X138" i="97"/>
  <c r="W138" i="97"/>
  <c r="V138" i="97"/>
  <c r="U138" i="97"/>
  <c r="T138" i="97"/>
  <c r="S138" i="97"/>
  <c r="R138" i="97"/>
  <c r="Q138" i="97"/>
  <c r="P138" i="97"/>
  <c r="O138" i="97"/>
  <c r="N138" i="97"/>
  <c r="M138" i="97"/>
  <c r="L138" i="97"/>
  <c r="K138" i="97"/>
  <c r="J138" i="97"/>
  <c r="I138" i="97"/>
  <c r="H138" i="97"/>
  <c r="G138" i="97"/>
  <c r="BB137" i="97"/>
  <c r="BA137" i="97"/>
  <c r="AZ137" i="97"/>
  <c r="AY137" i="97"/>
  <c r="AX137" i="97"/>
  <c r="AW137" i="97"/>
  <c r="AV137" i="97"/>
  <c r="AU137" i="97"/>
  <c r="AT137" i="97"/>
  <c r="AS137" i="97"/>
  <c r="AR137" i="97"/>
  <c r="AQ137" i="97"/>
  <c r="AP137" i="97"/>
  <c r="AO137" i="97"/>
  <c r="AN137" i="97"/>
  <c r="AM137" i="97"/>
  <c r="AL137" i="97"/>
  <c r="AK137" i="97"/>
  <c r="AJ137" i="97"/>
  <c r="AI137" i="97"/>
  <c r="AH137" i="97"/>
  <c r="AG137" i="97"/>
  <c r="AF137" i="97"/>
  <c r="AE137" i="97"/>
  <c r="AD137" i="97"/>
  <c r="AC137" i="97"/>
  <c r="AB137" i="97"/>
  <c r="AA137" i="97"/>
  <c r="Z137" i="97"/>
  <c r="Y137" i="97"/>
  <c r="X137" i="97"/>
  <c r="W137" i="97"/>
  <c r="V137" i="97"/>
  <c r="U137" i="97"/>
  <c r="T137" i="97"/>
  <c r="S137" i="97"/>
  <c r="R137" i="97"/>
  <c r="Q137" i="97"/>
  <c r="P137" i="97"/>
  <c r="O137" i="97"/>
  <c r="N137" i="97"/>
  <c r="M137" i="97"/>
  <c r="L137" i="97"/>
  <c r="K137" i="97"/>
  <c r="J137" i="97"/>
  <c r="I137" i="97"/>
  <c r="H137" i="97"/>
  <c r="G137" i="97"/>
  <c r="BB136" i="97"/>
  <c r="BA136" i="97"/>
  <c r="AZ136" i="97"/>
  <c r="AY136" i="97"/>
  <c r="AX136" i="97"/>
  <c r="AW136" i="97"/>
  <c r="AV136" i="97"/>
  <c r="AU136" i="97"/>
  <c r="AT136" i="97"/>
  <c r="AS136" i="97"/>
  <c r="AR136" i="97"/>
  <c r="AQ136" i="97"/>
  <c r="AP136" i="97"/>
  <c r="AO136" i="97"/>
  <c r="AN136" i="97"/>
  <c r="AM136" i="97"/>
  <c r="AL136" i="97"/>
  <c r="AK136" i="97"/>
  <c r="AJ136" i="97"/>
  <c r="AI136" i="97"/>
  <c r="AH136" i="97"/>
  <c r="AG136" i="97"/>
  <c r="AF136" i="97"/>
  <c r="AE136" i="97"/>
  <c r="AD136" i="97"/>
  <c r="AC136" i="97"/>
  <c r="AB136" i="97"/>
  <c r="AA136" i="97"/>
  <c r="Z136" i="97"/>
  <c r="Y136" i="97"/>
  <c r="X136" i="97"/>
  <c r="W136" i="97"/>
  <c r="V136" i="97"/>
  <c r="U136" i="97"/>
  <c r="T136" i="97"/>
  <c r="S136" i="97"/>
  <c r="R136" i="97"/>
  <c r="Q136" i="97"/>
  <c r="P136" i="97"/>
  <c r="O136" i="97"/>
  <c r="N136" i="97"/>
  <c r="M136" i="97"/>
  <c r="L136" i="97"/>
  <c r="K136" i="97"/>
  <c r="J136" i="97"/>
  <c r="I136" i="97"/>
  <c r="H136" i="97"/>
  <c r="G136" i="97"/>
  <c r="BB135" i="97"/>
  <c r="BA135" i="97"/>
  <c r="AZ135" i="97"/>
  <c r="AY135" i="97"/>
  <c r="AX135" i="97"/>
  <c r="AW135" i="97"/>
  <c r="AV135" i="97"/>
  <c r="AU135" i="97"/>
  <c r="AT135" i="97"/>
  <c r="AS135" i="97"/>
  <c r="AR135" i="97"/>
  <c r="AQ135" i="97"/>
  <c r="AP135" i="97"/>
  <c r="AO135" i="97"/>
  <c r="AN135" i="97"/>
  <c r="AM135" i="97"/>
  <c r="AL135" i="97"/>
  <c r="AK135" i="97"/>
  <c r="AJ135" i="97"/>
  <c r="AI135" i="97"/>
  <c r="AH135" i="97"/>
  <c r="AG135" i="97"/>
  <c r="AF135" i="97"/>
  <c r="AE135" i="97"/>
  <c r="AD135" i="97"/>
  <c r="AC135" i="97"/>
  <c r="AB135" i="97"/>
  <c r="AA135" i="97"/>
  <c r="Z135" i="97"/>
  <c r="Y135" i="97"/>
  <c r="X135" i="97"/>
  <c r="W135" i="97"/>
  <c r="V135" i="97"/>
  <c r="U135" i="97"/>
  <c r="T135" i="97"/>
  <c r="S135" i="97"/>
  <c r="R135" i="97"/>
  <c r="Q135" i="97"/>
  <c r="P135" i="97"/>
  <c r="O135" i="97"/>
  <c r="N135" i="97"/>
  <c r="M135" i="97"/>
  <c r="L135" i="97"/>
  <c r="K135" i="97"/>
  <c r="J135" i="97"/>
  <c r="I135" i="97"/>
  <c r="H135" i="97"/>
  <c r="G135" i="97"/>
  <c r="BB134" i="97"/>
  <c r="BA134" i="97"/>
  <c r="AZ134" i="97"/>
  <c r="AY134" i="97"/>
  <c r="AX134" i="97"/>
  <c r="AW134" i="97"/>
  <c r="AV134" i="97"/>
  <c r="AU134" i="97"/>
  <c r="AT134" i="97"/>
  <c r="AS134" i="97"/>
  <c r="AR134" i="97"/>
  <c r="AQ134" i="97"/>
  <c r="AP134" i="97"/>
  <c r="AO134" i="97"/>
  <c r="AN134" i="97"/>
  <c r="AM134" i="97"/>
  <c r="AL134" i="97"/>
  <c r="AK134" i="97"/>
  <c r="AJ134" i="97"/>
  <c r="AI134" i="97"/>
  <c r="AH134" i="97"/>
  <c r="AG134" i="97"/>
  <c r="AF134" i="97"/>
  <c r="AE134" i="97"/>
  <c r="AD134" i="97"/>
  <c r="AC134" i="97"/>
  <c r="AB134" i="97"/>
  <c r="AA134" i="97"/>
  <c r="Z134" i="97"/>
  <c r="Y134" i="97"/>
  <c r="X134" i="97"/>
  <c r="W134" i="97"/>
  <c r="V134" i="97"/>
  <c r="U134" i="97"/>
  <c r="T134" i="97"/>
  <c r="S134" i="97"/>
  <c r="R134" i="97"/>
  <c r="Q134" i="97"/>
  <c r="P134" i="97"/>
  <c r="O134" i="97"/>
  <c r="N134" i="97"/>
  <c r="M134" i="97"/>
  <c r="L134" i="97"/>
  <c r="K134" i="97"/>
  <c r="J134" i="97"/>
  <c r="I134" i="97"/>
  <c r="H134" i="97"/>
  <c r="G134" i="97"/>
  <c r="BB133" i="97"/>
  <c r="BA133" i="97"/>
  <c r="AZ133" i="97"/>
  <c r="AY133" i="97"/>
  <c r="AX133" i="97"/>
  <c r="AW133" i="97"/>
  <c r="AV133" i="97"/>
  <c r="AU133" i="97"/>
  <c r="AT133" i="97"/>
  <c r="AS133" i="97"/>
  <c r="AR133" i="97"/>
  <c r="AQ133" i="97"/>
  <c r="AP133" i="97"/>
  <c r="AO133" i="97"/>
  <c r="AN133" i="97"/>
  <c r="AM133" i="97"/>
  <c r="AL133" i="97"/>
  <c r="AK133" i="97"/>
  <c r="AJ133" i="97"/>
  <c r="AI133" i="97"/>
  <c r="AH133" i="97"/>
  <c r="AG133" i="97"/>
  <c r="AF133" i="97"/>
  <c r="AE133" i="97"/>
  <c r="AD133" i="97"/>
  <c r="AC133" i="97"/>
  <c r="AB133" i="97"/>
  <c r="AA133" i="97"/>
  <c r="Z133" i="97"/>
  <c r="Y133" i="97"/>
  <c r="X133" i="97"/>
  <c r="W133" i="97"/>
  <c r="V133" i="97"/>
  <c r="U133" i="97"/>
  <c r="T133" i="97"/>
  <c r="S133" i="97"/>
  <c r="R133" i="97"/>
  <c r="Q133" i="97"/>
  <c r="P133" i="97"/>
  <c r="O133" i="97"/>
  <c r="N133" i="97"/>
  <c r="M133" i="97"/>
  <c r="L133" i="97"/>
  <c r="K133" i="97"/>
  <c r="J133" i="97"/>
  <c r="I133" i="97"/>
  <c r="H133" i="97"/>
  <c r="G133" i="97"/>
  <c r="BB132" i="97"/>
  <c r="BA132" i="97"/>
  <c r="AZ132" i="97"/>
  <c r="AY132" i="97"/>
  <c r="AX132" i="97"/>
  <c r="AW132" i="97"/>
  <c r="AV132" i="97"/>
  <c r="AU132" i="97"/>
  <c r="AT132" i="97"/>
  <c r="AS132" i="97"/>
  <c r="AR132" i="97"/>
  <c r="AQ132" i="97"/>
  <c r="AP132" i="97"/>
  <c r="AO132" i="97"/>
  <c r="AN132" i="97"/>
  <c r="AM132" i="97"/>
  <c r="AL132" i="97"/>
  <c r="AK132" i="97"/>
  <c r="AJ132" i="97"/>
  <c r="AI132" i="97"/>
  <c r="AH132" i="97"/>
  <c r="AG132" i="97"/>
  <c r="AF132" i="97"/>
  <c r="AE132" i="97"/>
  <c r="AD132" i="97"/>
  <c r="AC132" i="97"/>
  <c r="AB132" i="97"/>
  <c r="AA132" i="97"/>
  <c r="Z132" i="97"/>
  <c r="Y132" i="97"/>
  <c r="X132" i="97"/>
  <c r="W132" i="97"/>
  <c r="V132" i="97"/>
  <c r="U132" i="97"/>
  <c r="T132" i="97"/>
  <c r="S132" i="97"/>
  <c r="R132" i="97"/>
  <c r="Q132" i="97"/>
  <c r="P132" i="97"/>
  <c r="O132" i="97"/>
  <c r="N132" i="97"/>
  <c r="M132" i="97"/>
  <c r="L132" i="97"/>
  <c r="K132" i="97"/>
  <c r="J132" i="97"/>
  <c r="I132" i="97"/>
  <c r="H132" i="97"/>
  <c r="G132" i="97"/>
  <c r="BB131" i="97"/>
  <c r="BA131" i="97"/>
  <c r="AZ131" i="97"/>
  <c r="AY131" i="97"/>
  <c r="AX131" i="97"/>
  <c r="AW131" i="97"/>
  <c r="AV131" i="97"/>
  <c r="AU131" i="97"/>
  <c r="AT131" i="97"/>
  <c r="AS131" i="97"/>
  <c r="AR131" i="97"/>
  <c r="AQ131" i="97"/>
  <c r="AP131" i="97"/>
  <c r="AO131" i="97"/>
  <c r="AN131" i="97"/>
  <c r="AM131" i="97"/>
  <c r="AL131" i="97"/>
  <c r="AK131" i="97"/>
  <c r="AJ131" i="97"/>
  <c r="AI131" i="97"/>
  <c r="AH131" i="97"/>
  <c r="AG131" i="97"/>
  <c r="AF131" i="97"/>
  <c r="AE131" i="97"/>
  <c r="AD131" i="97"/>
  <c r="AC131" i="97"/>
  <c r="AB131" i="97"/>
  <c r="AA131" i="97"/>
  <c r="Z131" i="97"/>
  <c r="Y131" i="97"/>
  <c r="X131" i="97"/>
  <c r="W131" i="97"/>
  <c r="V131" i="97"/>
  <c r="U131" i="97"/>
  <c r="T131" i="97"/>
  <c r="S131" i="97"/>
  <c r="R131" i="97"/>
  <c r="Q131" i="97"/>
  <c r="P131" i="97"/>
  <c r="O131" i="97"/>
  <c r="N131" i="97"/>
  <c r="M131" i="97"/>
  <c r="L131" i="97"/>
  <c r="K131" i="97"/>
  <c r="J131" i="97"/>
  <c r="I131" i="97"/>
  <c r="H131" i="97"/>
  <c r="G131" i="97"/>
  <c r="BB130" i="97"/>
  <c r="BA130" i="97"/>
  <c r="AZ130" i="97"/>
  <c r="AY130" i="97"/>
  <c r="AX130" i="97"/>
  <c r="AW130" i="97"/>
  <c r="AV130" i="97"/>
  <c r="AU130" i="97"/>
  <c r="AT130" i="97"/>
  <c r="AS130" i="97"/>
  <c r="AR130" i="97"/>
  <c r="AQ130" i="97"/>
  <c r="AP130" i="97"/>
  <c r="AO130" i="97"/>
  <c r="AN130" i="97"/>
  <c r="AM130" i="97"/>
  <c r="AL130" i="97"/>
  <c r="AK130" i="97"/>
  <c r="AJ130" i="97"/>
  <c r="AI130" i="97"/>
  <c r="AH130" i="97"/>
  <c r="AG130" i="97"/>
  <c r="AF130" i="97"/>
  <c r="AE130" i="97"/>
  <c r="AD130" i="97"/>
  <c r="AC130" i="97"/>
  <c r="AB130" i="97"/>
  <c r="AA130" i="97"/>
  <c r="Z130" i="97"/>
  <c r="Y130" i="97"/>
  <c r="X130" i="97"/>
  <c r="W130" i="97"/>
  <c r="V130" i="97"/>
  <c r="U130" i="97"/>
  <c r="T130" i="97"/>
  <c r="S130" i="97"/>
  <c r="R130" i="97"/>
  <c r="Q130" i="97"/>
  <c r="P130" i="97"/>
  <c r="O130" i="97"/>
  <c r="N130" i="97"/>
  <c r="M130" i="97"/>
  <c r="L130" i="97"/>
  <c r="K130" i="97"/>
  <c r="J130" i="97"/>
  <c r="I130" i="97"/>
  <c r="H130" i="97"/>
  <c r="G130" i="97"/>
  <c r="N129" i="97"/>
  <c r="M129" i="97"/>
  <c r="L129" i="97"/>
  <c r="K129" i="97"/>
  <c r="J129" i="97"/>
  <c r="I129" i="97"/>
  <c r="H129" i="97"/>
  <c r="G129" i="97"/>
  <c r="BB128" i="97"/>
  <c r="BA128" i="97"/>
  <c r="AZ128" i="97"/>
  <c r="AY128" i="97"/>
  <c r="AX128" i="97"/>
  <c r="AW128" i="97"/>
  <c r="AV128" i="97"/>
  <c r="AU128" i="97"/>
  <c r="AT128" i="97"/>
  <c r="AS128" i="97"/>
  <c r="AR128" i="97"/>
  <c r="AQ128" i="97"/>
  <c r="AP128" i="97"/>
  <c r="AO128" i="97"/>
  <c r="AN128" i="97"/>
  <c r="AM128" i="97"/>
  <c r="AL128" i="97"/>
  <c r="AK128" i="97"/>
  <c r="AJ128" i="97"/>
  <c r="AI128" i="97"/>
  <c r="AH128" i="97"/>
  <c r="AG128" i="97"/>
  <c r="AF128" i="97"/>
  <c r="AE128" i="97"/>
  <c r="AD128" i="97"/>
  <c r="AC128" i="97"/>
  <c r="AB128" i="97"/>
  <c r="AA128" i="97"/>
  <c r="Z128" i="97"/>
  <c r="Y128" i="97"/>
  <c r="X128" i="97"/>
  <c r="W128" i="97"/>
  <c r="V128" i="97"/>
  <c r="U128" i="97"/>
  <c r="T128" i="97"/>
  <c r="S128" i="97"/>
  <c r="R128" i="97"/>
  <c r="Q128" i="97"/>
  <c r="P128" i="97"/>
  <c r="O128" i="97"/>
  <c r="N128" i="97"/>
  <c r="M128" i="97"/>
  <c r="L128" i="97"/>
  <c r="K128" i="97"/>
  <c r="J128" i="97"/>
  <c r="I128" i="97"/>
  <c r="H128" i="97"/>
  <c r="G128" i="97"/>
  <c r="BB127" i="97"/>
  <c r="BA127" i="97"/>
  <c r="AZ127" i="97"/>
  <c r="AY127" i="97"/>
  <c r="AX127" i="97"/>
  <c r="AW127" i="97"/>
  <c r="AV127" i="97"/>
  <c r="AU127" i="97"/>
  <c r="AT127" i="97"/>
  <c r="AS127" i="97"/>
  <c r="AR127" i="97"/>
  <c r="AQ127" i="97"/>
  <c r="AP127" i="97"/>
  <c r="AO127" i="97"/>
  <c r="AN127" i="97"/>
  <c r="AM127" i="97"/>
  <c r="AL127" i="97"/>
  <c r="AK127" i="97"/>
  <c r="AJ127" i="97"/>
  <c r="AI127" i="97"/>
  <c r="AH127" i="97"/>
  <c r="AG127" i="97"/>
  <c r="AF127" i="97"/>
  <c r="AE127" i="97"/>
  <c r="AD127" i="97"/>
  <c r="AC127" i="97"/>
  <c r="AB127" i="97"/>
  <c r="AA127" i="97"/>
  <c r="Z127" i="97"/>
  <c r="Y127" i="97"/>
  <c r="X127" i="97"/>
  <c r="W127" i="97"/>
  <c r="V127" i="97"/>
  <c r="U127" i="97"/>
  <c r="T127" i="97"/>
  <c r="S127" i="97"/>
  <c r="R127" i="97"/>
  <c r="Q127" i="97"/>
  <c r="P127" i="97"/>
  <c r="O127" i="97"/>
  <c r="N127" i="97"/>
  <c r="M127" i="97"/>
  <c r="L127" i="97"/>
  <c r="K127" i="97"/>
  <c r="J127" i="97"/>
  <c r="I127" i="97"/>
  <c r="H127" i="97"/>
  <c r="G127" i="97"/>
  <c r="BB126" i="97"/>
  <c r="BA126" i="97"/>
  <c r="AZ126" i="97"/>
  <c r="AY126" i="97"/>
  <c r="AX126" i="97"/>
  <c r="AW126" i="97"/>
  <c r="AV126" i="97"/>
  <c r="AU126" i="97"/>
  <c r="AT126" i="97"/>
  <c r="AS126" i="97"/>
  <c r="AR126" i="97"/>
  <c r="AQ126" i="97"/>
  <c r="AP126" i="97"/>
  <c r="AO126" i="97"/>
  <c r="AN126" i="97"/>
  <c r="AM126" i="97"/>
  <c r="AL126" i="97"/>
  <c r="AK126" i="97"/>
  <c r="AJ126" i="97"/>
  <c r="AI126" i="97"/>
  <c r="AH126" i="97"/>
  <c r="AG126" i="97"/>
  <c r="AF126" i="97"/>
  <c r="AE126" i="97"/>
  <c r="AD126" i="97"/>
  <c r="AC126" i="97"/>
  <c r="AB126" i="97"/>
  <c r="AA126" i="97"/>
  <c r="Z126" i="97"/>
  <c r="Y126" i="97"/>
  <c r="X126" i="97"/>
  <c r="W126" i="97"/>
  <c r="V126" i="97"/>
  <c r="U126" i="97"/>
  <c r="T126" i="97"/>
  <c r="S126" i="97"/>
  <c r="R126" i="97"/>
  <c r="Q126" i="97"/>
  <c r="P126" i="97"/>
  <c r="O126" i="97"/>
  <c r="N126" i="97"/>
  <c r="M126" i="97"/>
  <c r="L126" i="97"/>
  <c r="K126" i="97"/>
  <c r="J126" i="97"/>
  <c r="I126" i="97"/>
  <c r="H126" i="97"/>
  <c r="G126" i="97"/>
  <c r="BB125" i="97"/>
  <c r="BA125" i="97"/>
  <c r="AZ125" i="97"/>
  <c r="AY125" i="97"/>
  <c r="AX125" i="97"/>
  <c r="AW125" i="97"/>
  <c r="AV125" i="97"/>
  <c r="AU125" i="97"/>
  <c r="AT125" i="97"/>
  <c r="AS125" i="97"/>
  <c r="AR125" i="97"/>
  <c r="AQ125" i="97"/>
  <c r="AP125" i="97"/>
  <c r="AO125" i="97"/>
  <c r="AN125" i="97"/>
  <c r="AM125" i="97"/>
  <c r="AL125" i="97"/>
  <c r="AK125" i="97"/>
  <c r="AJ125" i="97"/>
  <c r="AI125" i="97"/>
  <c r="AH125" i="97"/>
  <c r="AG125" i="97"/>
  <c r="AF125" i="97"/>
  <c r="AE125" i="97"/>
  <c r="AD125" i="97"/>
  <c r="AC125" i="97"/>
  <c r="AB125" i="97"/>
  <c r="AA125" i="97"/>
  <c r="Z125" i="97"/>
  <c r="Y125" i="97"/>
  <c r="X125" i="97"/>
  <c r="W125" i="97"/>
  <c r="V125" i="97"/>
  <c r="U125" i="97"/>
  <c r="T125" i="97"/>
  <c r="S125" i="97"/>
  <c r="R125" i="97"/>
  <c r="Q125" i="97"/>
  <c r="P125" i="97"/>
  <c r="O125" i="97"/>
  <c r="N125" i="97"/>
  <c r="M125" i="97"/>
  <c r="L125" i="97"/>
  <c r="K125" i="97"/>
  <c r="J125" i="97"/>
  <c r="I125" i="97"/>
  <c r="H125" i="97"/>
  <c r="G125" i="97"/>
  <c r="BB124" i="97"/>
  <c r="BA124" i="97"/>
  <c r="AZ124" i="97"/>
  <c r="AY124" i="97"/>
  <c r="AX124" i="97"/>
  <c r="AW124" i="97"/>
  <c r="AV124" i="97"/>
  <c r="AU124" i="97"/>
  <c r="AT124" i="97"/>
  <c r="AS124" i="97"/>
  <c r="AR124" i="97"/>
  <c r="AQ124" i="97"/>
  <c r="AP124" i="97"/>
  <c r="AO124" i="97"/>
  <c r="AN124" i="97"/>
  <c r="AM124" i="97"/>
  <c r="AL124" i="97"/>
  <c r="AK124" i="97"/>
  <c r="AJ124" i="97"/>
  <c r="AI124" i="97"/>
  <c r="AH124" i="97"/>
  <c r="AG124" i="97"/>
  <c r="AF124" i="97"/>
  <c r="AE124" i="97"/>
  <c r="AD124" i="97"/>
  <c r="AC124" i="97"/>
  <c r="AB124" i="97"/>
  <c r="AA124" i="97"/>
  <c r="Z124" i="97"/>
  <c r="Y124" i="97"/>
  <c r="X124" i="97"/>
  <c r="W124" i="97"/>
  <c r="V124" i="97"/>
  <c r="U124" i="97"/>
  <c r="T124" i="97"/>
  <c r="S124" i="97"/>
  <c r="R124" i="97"/>
  <c r="Q124" i="97"/>
  <c r="P124" i="97"/>
  <c r="O124" i="97"/>
  <c r="N124" i="97"/>
  <c r="M124" i="97"/>
  <c r="L124" i="97"/>
  <c r="K124" i="97"/>
  <c r="J124" i="97"/>
  <c r="I124" i="97"/>
  <c r="H124" i="97"/>
  <c r="G124" i="97"/>
  <c r="BB123" i="97"/>
  <c r="BB129" i="97" s="1"/>
  <c r="BA123" i="97"/>
  <c r="BA129" i="97" s="1"/>
  <c r="AZ123" i="97"/>
  <c r="AZ129" i="97" s="1"/>
  <c r="AY123" i="97"/>
  <c r="AY129" i="97" s="1"/>
  <c r="AX123" i="97"/>
  <c r="AX129" i="97" s="1"/>
  <c r="AW123" i="97"/>
  <c r="AW129" i="97" s="1"/>
  <c r="AV123" i="97"/>
  <c r="AV129" i="97" s="1"/>
  <c r="AU123" i="97"/>
  <c r="AU129" i="97" s="1"/>
  <c r="AT123" i="97"/>
  <c r="AT129" i="97" s="1"/>
  <c r="AS123" i="97"/>
  <c r="AS129" i="97" s="1"/>
  <c r="AR123" i="97"/>
  <c r="AR129" i="97" s="1"/>
  <c r="AQ123" i="97"/>
  <c r="AQ129" i="97" s="1"/>
  <c r="AP123" i="97"/>
  <c r="AP129" i="97" s="1"/>
  <c r="AO123" i="97"/>
  <c r="AO129" i="97" s="1"/>
  <c r="AN123" i="97"/>
  <c r="AN129" i="97" s="1"/>
  <c r="AM123" i="97"/>
  <c r="AM129" i="97" s="1"/>
  <c r="AL123" i="97"/>
  <c r="AL129" i="97" s="1"/>
  <c r="AK123" i="97"/>
  <c r="AK129" i="97" s="1"/>
  <c r="AJ123" i="97"/>
  <c r="AJ129" i="97" s="1"/>
  <c r="AI123" i="97"/>
  <c r="AI129" i="97" s="1"/>
  <c r="AH123" i="97"/>
  <c r="AH129" i="97" s="1"/>
  <c r="AG123" i="97"/>
  <c r="AG129" i="97" s="1"/>
  <c r="AF123" i="97"/>
  <c r="AF129" i="97" s="1"/>
  <c r="AE123" i="97"/>
  <c r="AE129" i="97" s="1"/>
  <c r="AD123" i="97"/>
  <c r="AD129" i="97" s="1"/>
  <c r="AC123" i="97"/>
  <c r="AC129" i="97" s="1"/>
  <c r="AB123" i="97"/>
  <c r="AB129" i="97" s="1"/>
  <c r="AA123" i="97"/>
  <c r="AA129" i="97" s="1"/>
  <c r="Z123" i="97"/>
  <c r="Z129" i="97" s="1"/>
  <c r="Y123" i="97"/>
  <c r="Y129" i="97" s="1"/>
  <c r="X123" i="97"/>
  <c r="X129" i="97" s="1"/>
  <c r="W123" i="97"/>
  <c r="W129" i="97" s="1"/>
  <c r="V123" i="97"/>
  <c r="V129" i="97" s="1"/>
  <c r="U123" i="97"/>
  <c r="U129" i="97" s="1"/>
  <c r="T123" i="97"/>
  <c r="T129" i="97" s="1"/>
  <c r="S123" i="97"/>
  <c r="S129" i="97" s="1"/>
  <c r="R123" i="97"/>
  <c r="R129" i="97" s="1"/>
  <c r="Q123" i="97"/>
  <c r="Q129" i="97" s="1"/>
  <c r="P123" i="97"/>
  <c r="P129" i="97" s="1"/>
  <c r="O123" i="97"/>
  <c r="O129" i="97" s="1"/>
  <c r="N123" i="97"/>
  <c r="M123" i="97"/>
  <c r="L123" i="97"/>
  <c r="K123" i="97"/>
  <c r="J123" i="97"/>
  <c r="I123" i="97"/>
  <c r="H123" i="97"/>
  <c r="G123" i="97"/>
  <c r="BB122" i="97"/>
  <c r="BA122" i="97"/>
  <c r="AZ122" i="97"/>
  <c r="AY122" i="97"/>
  <c r="AX122" i="97"/>
  <c r="AW122" i="97"/>
  <c r="AV122" i="97"/>
  <c r="AU122" i="97"/>
  <c r="AT122" i="97"/>
  <c r="AS122" i="97"/>
  <c r="AR122" i="97"/>
  <c r="AQ122" i="97"/>
  <c r="AP122" i="97"/>
  <c r="AO122" i="97"/>
  <c r="AN122" i="97"/>
  <c r="AM122" i="97"/>
  <c r="AL122" i="97"/>
  <c r="AK122" i="97"/>
  <c r="AJ122" i="97"/>
  <c r="AI122" i="97"/>
  <c r="AH122" i="97"/>
  <c r="AG122" i="97"/>
  <c r="AF122" i="97"/>
  <c r="AE122" i="97"/>
  <c r="AD122" i="97"/>
  <c r="AC122" i="97"/>
  <c r="AB122" i="97"/>
  <c r="AA122" i="97"/>
  <c r="Z122" i="97"/>
  <c r="Y122" i="97"/>
  <c r="X122" i="97"/>
  <c r="W122" i="97"/>
  <c r="V122" i="97"/>
  <c r="U122" i="97"/>
  <c r="T122" i="97"/>
  <c r="S122" i="97"/>
  <c r="R122" i="97"/>
  <c r="Q122" i="97"/>
  <c r="P122" i="97"/>
  <c r="O122" i="97"/>
  <c r="N122" i="97"/>
  <c r="M122" i="97"/>
  <c r="L122" i="97"/>
  <c r="K122" i="97"/>
  <c r="J122" i="97"/>
  <c r="I122" i="97"/>
  <c r="H122" i="97"/>
  <c r="G122" i="97"/>
  <c r="BB121" i="97"/>
  <c r="BA121" i="97"/>
  <c r="AZ121" i="97"/>
  <c r="AY121" i="97"/>
  <c r="AX121" i="97"/>
  <c r="AW121" i="97"/>
  <c r="AV121" i="97"/>
  <c r="AU121" i="97"/>
  <c r="AT121" i="97"/>
  <c r="AS121" i="97"/>
  <c r="AR121" i="97"/>
  <c r="AQ121" i="97"/>
  <c r="AP121" i="97"/>
  <c r="AO121" i="97"/>
  <c r="AN121" i="97"/>
  <c r="AM121" i="97"/>
  <c r="AL121" i="97"/>
  <c r="AK121" i="97"/>
  <c r="AJ121" i="97"/>
  <c r="AI121" i="97"/>
  <c r="AH121" i="97"/>
  <c r="AG121" i="97"/>
  <c r="AF121" i="97"/>
  <c r="AE121" i="97"/>
  <c r="AD121" i="97"/>
  <c r="AC121" i="97"/>
  <c r="AB121" i="97"/>
  <c r="AA121" i="97"/>
  <c r="Z121" i="97"/>
  <c r="Y121" i="97"/>
  <c r="X121" i="97"/>
  <c r="W121" i="97"/>
  <c r="V121" i="97"/>
  <c r="U121" i="97"/>
  <c r="T121" i="97"/>
  <c r="S121" i="97"/>
  <c r="R121" i="97"/>
  <c r="Q121" i="97"/>
  <c r="P121" i="97"/>
  <c r="O121" i="97"/>
  <c r="N121" i="97"/>
  <c r="M121" i="97"/>
  <c r="L121" i="97"/>
  <c r="K121" i="97"/>
  <c r="J121" i="97"/>
  <c r="I121" i="97"/>
  <c r="H121" i="97"/>
  <c r="G121" i="97"/>
  <c r="BB120" i="97"/>
  <c r="BA120" i="97"/>
  <c r="AZ120" i="97"/>
  <c r="AY120" i="97"/>
  <c r="AX120" i="97"/>
  <c r="AW120" i="97"/>
  <c r="AV120" i="97"/>
  <c r="AU120" i="97"/>
  <c r="AT120" i="97"/>
  <c r="AS120" i="97"/>
  <c r="AR120" i="97"/>
  <c r="AQ120" i="97"/>
  <c r="AP120" i="97"/>
  <c r="AO120" i="97"/>
  <c r="AN120" i="97"/>
  <c r="AM120" i="97"/>
  <c r="AL120" i="97"/>
  <c r="AK120" i="97"/>
  <c r="AJ120" i="97"/>
  <c r="AI120" i="97"/>
  <c r="AH120" i="97"/>
  <c r="AG120" i="97"/>
  <c r="AF120" i="97"/>
  <c r="AE120" i="97"/>
  <c r="AD120" i="97"/>
  <c r="AC120" i="97"/>
  <c r="AB120" i="97"/>
  <c r="AA120" i="97"/>
  <c r="Z120" i="97"/>
  <c r="Y120" i="97"/>
  <c r="X120" i="97"/>
  <c r="W120" i="97"/>
  <c r="V120" i="97"/>
  <c r="U120" i="97"/>
  <c r="T120" i="97"/>
  <c r="S120" i="97"/>
  <c r="R120" i="97"/>
  <c r="Q120" i="97"/>
  <c r="P120" i="97"/>
  <c r="O120" i="97"/>
  <c r="N120" i="97"/>
  <c r="M120" i="97"/>
  <c r="L120" i="97"/>
  <c r="K120" i="97"/>
  <c r="J120" i="97"/>
  <c r="I120" i="97"/>
  <c r="H120" i="97"/>
  <c r="G120" i="97"/>
  <c r="BB119" i="97"/>
  <c r="BA119" i="97"/>
  <c r="AZ119" i="97"/>
  <c r="AY119" i="97"/>
  <c r="AX119" i="97"/>
  <c r="AW119" i="97"/>
  <c r="AV119" i="97"/>
  <c r="AU119" i="97"/>
  <c r="AT119" i="97"/>
  <c r="AS119" i="97"/>
  <c r="AR119" i="97"/>
  <c r="AQ119" i="97"/>
  <c r="AP119" i="97"/>
  <c r="AO119" i="97"/>
  <c r="AN119" i="97"/>
  <c r="AM119" i="97"/>
  <c r="AL119" i="97"/>
  <c r="AK119" i="97"/>
  <c r="AJ119" i="97"/>
  <c r="AI119" i="97"/>
  <c r="AH119" i="97"/>
  <c r="AG119" i="97"/>
  <c r="AF119" i="97"/>
  <c r="AE119" i="97"/>
  <c r="AD119" i="97"/>
  <c r="AC119" i="97"/>
  <c r="AB119" i="97"/>
  <c r="AA119" i="97"/>
  <c r="Z119" i="97"/>
  <c r="Y119" i="97"/>
  <c r="X119" i="97"/>
  <c r="W119" i="97"/>
  <c r="V119" i="97"/>
  <c r="U119" i="97"/>
  <c r="T119" i="97"/>
  <c r="S119" i="97"/>
  <c r="R119" i="97"/>
  <c r="Q119" i="97"/>
  <c r="P119" i="97"/>
  <c r="O119" i="97"/>
  <c r="N119" i="97"/>
  <c r="M119" i="97"/>
  <c r="L119" i="97"/>
  <c r="K119" i="97"/>
  <c r="J119" i="97"/>
  <c r="I119" i="97"/>
  <c r="H119" i="97"/>
  <c r="G119" i="97"/>
  <c r="BB118" i="97"/>
  <c r="BA118" i="97"/>
  <c r="AZ118" i="97"/>
  <c r="AY118" i="97"/>
  <c r="AX118" i="97"/>
  <c r="AW118" i="97"/>
  <c r="AV118" i="97"/>
  <c r="AU118" i="97"/>
  <c r="AT118" i="97"/>
  <c r="AS118" i="97"/>
  <c r="AR118" i="97"/>
  <c r="AQ118" i="97"/>
  <c r="AP118" i="97"/>
  <c r="AO118" i="97"/>
  <c r="AN118" i="97"/>
  <c r="AM118" i="97"/>
  <c r="AL118" i="97"/>
  <c r="AK118" i="97"/>
  <c r="AJ118" i="97"/>
  <c r="AI118" i="97"/>
  <c r="AH118" i="97"/>
  <c r="AG118" i="97"/>
  <c r="AF118" i="97"/>
  <c r="AE118" i="97"/>
  <c r="AD118" i="97"/>
  <c r="AC118" i="97"/>
  <c r="AB118" i="97"/>
  <c r="AA118" i="97"/>
  <c r="Z118" i="97"/>
  <c r="Y118" i="97"/>
  <c r="X118" i="97"/>
  <c r="W118" i="97"/>
  <c r="V118" i="97"/>
  <c r="U118" i="97"/>
  <c r="T118" i="97"/>
  <c r="S118" i="97"/>
  <c r="R118" i="97"/>
  <c r="Q118" i="97"/>
  <c r="P118" i="97"/>
  <c r="O118" i="97"/>
  <c r="N118" i="97"/>
  <c r="M118" i="97"/>
  <c r="L118" i="97"/>
  <c r="K118" i="97"/>
  <c r="J118" i="97"/>
  <c r="I118" i="97"/>
  <c r="H118" i="97"/>
  <c r="G118" i="97"/>
  <c r="BB117" i="97"/>
  <c r="BA117" i="97"/>
  <c r="AZ117" i="97"/>
  <c r="AY117" i="97"/>
  <c r="AX117" i="97"/>
  <c r="AW117" i="97"/>
  <c r="AV117" i="97"/>
  <c r="AU117" i="97"/>
  <c r="AT117" i="97"/>
  <c r="AS117" i="97"/>
  <c r="AR117" i="97"/>
  <c r="AQ117" i="97"/>
  <c r="AP117" i="97"/>
  <c r="AO117" i="97"/>
  <c r="AN117" i="97"/>
  <c r="AM117" i="97"/>
  <c r="AL117" i="97"/>
  <c r="AK117" i="97"/>
  <c r="AJ117" i="97"/>
  <c r="AI117" i="97"/>
  <c r="AH117" i="97"/>
  <c r="AG117" i="97"/>
  <c r="AF117" i="97"/>
  <c r="AE117" i="97"/>
  <c r="AD117" i="97"/>
  <c r="AC117" i="97"/>
  <c r="AB117" i="97"/>
  <c r="AA117" i="97"/>
  <c r="Z117" i="97"/>
  <c r="Y117" i="97"/>
  <c r="X117" i="97"/>
  <c r="W117" i="97"/>
  <c r="V117" i="97"/>
  <c r="U117" i="97"/>
  <c r="T117" i="97"/>
  <c r="S117" i="97"/>
  <c r="R117" i="97"/>
  <c r="Q117" i="97"/>
  <c r="P117" i="97"/>
  <c r="O117" i="97"/>
  <c r="N117" i="97"/>
  <c r="M117" i="97"/>
  <c r="L117" i="97"/>
  <c r="K117" i="97"/>
  <c r="J117" i="97"/>
  <c r="I117" i="97"/>
  <c r="H117" i="97"/>
  <c r="G117" i="97"/>
  <c r="BB116" i="97"/>
  <c r="BA116" i="97"/>
  <c r="AZ116" i="97"/>
  <c r="AY116" i="97"/>
  <c r="AX116" i="97"/>
  <c r="AW116" i="97"/>
  <c r="AV116" i="97"/>
  <c r="AU116" i="97"/>
  <c r="AT116" i="97"/>
  <c r="AS116" i="97"/>
  <c r="AR116" i="97"/>
  <c r="AQ116" i="97"/>
  <c r="AP116" i="97"/>
  <c r="AO116" i="97"/>
  <c r="AN116" i="97"/>
  <c r="AM116" i="97"/>
  <c r="AL116" i="97"/>
  <c r="AK116" i="97"/>
  <c r="AJ116" i="97"/>
  <c r="AI116" i="97"/>
  <c r="AH116" i="97"/>
  <c r="AG116" i="97"/>
  <c r="AF116" i="97"/>
  <c r="AE116" i="97"/>
  <c r="AD116" i="97"/>
  <c r="AC116" i="97"/>
  <c r="AB116" i="97"/>
  <c r="AA116" i="97"/>
  <c r="Z116" i="97"/>
  <c r="Y116" i="97"/>
  <c r="X116" i="97"/>
  <c r="W116" i="97"/>
  <c r="V116" i="97"/>
  <c r="U116" i="97"/>
  <c r="T116" i="97"/>
  <c r="S116" i="97"/>
  <c r="R116" i="97"/>
  <c r="Q116" i="97"/>
  <c r="P116" i="97"/>
  <c r="O116" i="97"/>
  <c r="N116" i="97"/>
  <c r="M116" i="97"/>
  <c r="L116" i="97"/>
  <c r="K116" i="97"/>
  <c r="J116" i="97"/>
  <c r="I116" i="97"/>
  <c r="H116" i="97"/>
  <c r="G116" i="97"/>
  <c r="BB115" i="97"/>
  <c r="BA115" i="97"/>
  <c r="AZ115" i="97"/>
  <c r="AY115" i="97"/>
  <c r="AX115" i="97"/>
  <c r="AW115" i="97"/>
  <c r="AV115" i="97"/>
  <c r="AU115" i="97"/>
  <c r="AT115" i="97"/>
  <c r="AS115" i="97"/>
  <c r="AR115" i="97"/>
  <c r="AQ115" i="97"/>
  <c r="AP115" i="97"/>
  <c r="AO115" i="97"/>
  <c r="AN115" i="97"/>
  <c r="AM115" i="97"/>
  <c r="AL115" i="97"/>
  <c r="AK115" i="97"/>
  <c r="AJ115" i="97"/>
  <c r="AI115" i="97"/>
  <c r="AH115" i="97"/>
  <c r="AG115" i="97"/>
  <c r="AF115" i="97"/>
  <c r="AE115" i="97"/>
  <c r="AD115" i="97"/>
  <c r="AC115" i="97"/>
  <c r="AB115" i="97"/>
  <c r="AA115" i="97"/>
  <c r="Z115" i="97"/>
  <c r="Y115" i="97"/>
  <c r="X115" i="97"/>
  <c r="W115" i="97"/>
  <c r="V115" i="97"/>
  <c r="U115" i="97"/>
  <c r="T115" i="97"/>
  <c r="S115" i="97"/>
  <c r="R115" i="97"/>
  <c r="Q115" i="97"/>
  <c r="P115" i="97"/>
  <c r="O115" i="97"/>
  <c r="N115" i="97"/>
  <c r="M115" i="97"/>
  <c r="L115" i="97"/>
  <c r="K115" i="97"/>
  <c r="J115" i="97"/>
  <c r="I115" i="97"/>
  <c r="H115" i="97"/>
  <c r="G115" i="97"/>
  <c r="BB114" i="97"/>
  <c r="BA114" i="97"/>
  <c r="AZ114" i="97"/>
  <c r="AY114" i="97"/>
  <c r="AX114" i="97"/>
  <c r="AW114" i="97"/>
  <c r="AV114" i="97"/>
  <c r="AU114" i="97"/>
  <c r="AT114" i="97"/>
  <c r="AS114" i="97"/>
  <c r="AR114" i="97"/>
  <c r="AQ114" i="97"/>
  <c r="AP114" i="97"/>
  <c r="AO114" i="97"/>
  <c r="AN114" i="97"/>
  <c r="AM114" i="97"/>
  <c r="AL114" i="97"/>
  <c r="AK114" i="97"/>
  <c r="AJ114" i="97"/>
  <c r="AI114" i="97"/>
  <c r="AH114" i="97"/>
  <c r="AG114" i="97"/>
  <c r="AF114" i="97"/>
  <c r="AE114" i="97"/>
  <c r="AD114" i="97"/>
  <c r="AC114" i="97"/>
  <c r="AB114" i="97"/>
  <c r="AA114" i="97"/>
  <c r="Z114" i="97"/>
  <c r="Y114" i="97"/>
  <c r="X114" i="97"/>
  <c r="W114" i="97"/>
  <c r="V114" i="97"/>
  <c r="U114" i="97"/>
  <c r="T114" i="97"/>
  <c r="S114" i="97"/>
  <c r="R114" i="97"/>
  <c r="Q114" i="97"/>
  <c r="P114" i="97"/>
  <c r="O114" i="97"/>
  <c r="N114" i="97"/>
  <c r="M114" i="97"/>
  <c r="L114" i="97"/>
  <c r="K114" i="97"/>
  <c r="J114" i="97"/>
  <c r="I114" i="97"/>
  <c r="H114" i="97"/>
  <c r="G114" i="97"/>
  <c r="BB113" i="97"/>
  <c r="BA113" i="97"/>
  <c r="AZ113" i="97"/>
  <c r="AY113" i="97"/>
  <c r="AX113" i="97"/>
  <c r="AW113" i="97"/>
  <c r="AV113" i="97"/>
  <c r="AU113" i="97"/>
  <c r="AT113" i="97"/>
  <c r="AS113" i="97"/>
  <c r="AR113" i="97"/>
  <c r="AQ113" i="97"/>
  <c r="AP113" i="97"/>
  <c r="AO113" i="97"/>
  <c r="AN113" i="97"/>
  <c r="AM113" i="97"/>
  <c r="AL113" i="97"/>
  <c r="AK113" i="97"/>
  <c r="AJ113" i="97"/>
  <c r="AI113" i="97"/>
  <c r="AH113" i="97"/>
  <c r="AG113" i="97"/>
  <c r="AF113" i="97"/>
  <c r="AE113" i="97"/>
  <c r="AD113" i="97"/>
  <c r="AC113" i="97"/>
  <c r="AB113" i="97"/>
  <c r="AA113" i="97"/>
  <c r="Z113" i="97"/>
  <c r="Y113" i="97"/>
  <c r="X113" i="97"/>
  <c r="W113" i="97"/>
  <c r="V113" i="97"/>
  <c r="U113" i="97"/>
  <c r="T113" i="97"/>
  <c r="S113" i="97"/>
  <c r="R113" i="97"/>
  <c r="Q113" i="97"/>
  <c r="P113" i="97"/>
  <c r="O113" i="97"/>
  <c r="N113" i="97"/>
  <c r="M113" i="97"/>
  <c r="L113" i="97"/>
  <c r="K113" i="97"/>
  <c r="J113" i="97"/>
  <c r="I113" i="97"/>
  <c r="H113" i="97"/>
  <c r="G113" i="97"/>
  <c r="BB112" i="97"/>
  <c r="BA112" i="97"/>
  <c r="AZ112" i="97"/>
  <c r="AY112" i="97"/>
  <c r="AX112" i="97"/>
  <c r="AW112" i="97"/>
  <c r="AV112" i="97"/>
  <c r="AU112" i="97"/>
  <c r="AT112" i="97"/>
  <c r="AS112" i="97"/>
  <c r="AR112" i="97"/>
  <c r="AQ112" i="97"/>
  <c r="AP112" i="97"/>
  <c r="AO112" i="97"/>
  <c r="AN112" i="97"/>
  <c r="AM112" i="97"/>
  <c r="AL112" i="97"/>
  <c r="AK112" i="97"/>
  <c r="AJ112" i="97"/>
  <c r="AI112" i="97"/>
  <c r="AH112" i="97"/>
  <c r="AG112" i="97"/>
  <c r="AF112" i="97"/>
  <c r="AE112" i="97"/>
  <c r="AD112" i="97"/>
  <c r="AC112" i="97"/>
  <c r="AB112" i="97"/>
  <c r="AA112" i="97"/>
  <c r="Z112" i="97"/>
  <c r="Y112" i="97"/>
  <c r="X112" i="97"/>
  <c r="W112" i="97"/>
  <c r="V112" i="97"/>
  <c r="U112" i="97"/>
  <c r="T112" i="97"/>
  <c r="S112" i="97"/>
  <c r="R112" i="97"/>
  <c r="Q112" i="97"/>
  <c r="P112" i="97"/>
  <c r="O112" i="97"/>
  <c r="N112" i="97"/>
  <c r="M112" i="97"/>
  <c r="L112" i="97"/>
  <c r="K112" i="97"/>
  <c r="J112" i="97"/>
  <c r="I112" i="97"/>
  <c r="H112" i="97"/>
  <c r="G112" i="97"/>
  <c r="BB111" i="97"/>
  <c r="BA111" i="97"/>
  <c r="AZ111" i="97"/>
  <c r="AY111" i="97"/>
  <c r="AX111" i="97"/>
  <c r="AW111" i="97"/>
  <c r="AV111" i="97"/>
  <c r="AU111" i="97"/>
  <c r="AT111" i="97"/>
  <c r="AS111" i="97"/>
  <c r="AR111" i="97"/>
  <c r="AQ111" i="97"/>
  <c r="AP111" i="97"/>
  <c r="AO111" i="97"/>
  <c r="AN111" i="97"/>
  <c r="AM111" i="97"/>
  <c r="AL111" i="97"/>
  <c r="AK111" i="97"/>
  <c r="AJ111" i="97"/>
  <c r="AI111" i="97"/>
  <c r="AH111" i="97"/>
  <c r="AG111" i="97"/>
  <c r="AF111" i="97"/>
  <c r="AE111" i="97"/>
  <c r="AD111" i="97"/>
  <c r="AC111" i="97"/>
  <c r="AB111" i="97"/>
  <c r="AA111" i="97"/>
  <c r="Z111" i="97"/>
  <c r="Y111" i="97"/>
  <c r="X111" i="97"/>
  <c r="W111" i="97"/>
  <c r="V111" i="97"/>
  <c r="U111" i="97"/>
  <c r="T111" i="97"/>
  <c r="S111" i="97"/>
  <c r="R111" i="97"/>
  <c r="Q111" i="97"/>
  <c r="P111" i="97"/>
  <c r="O111" i="97"/>
  <c r="N111" i="97"/>
  <c r="M111" i="97"/>
  <c r="L111" i="97"/>
  <c r="K111" i="97"/>
  <c r="J111" i="97"/>
  <c r="I111" i="97"/>
  <c r="H111" i="97"/>
  <c r="G111" i="97"/>
  <c r="BB110" i="97"/>
  <c r="BA110" i="97"/>
  <c r="AZ110" i="97"/>
  <c r="AY110" i="97"/>
  <c r="AX110" i="97"/>
  <c r="AW110" i="97"/>
  <c r="AV110" i="97"/>
  <c r="AU110" i="97"/>
  <c r="AT110" i="97"/>
  <c r="AS110" i="97"/>
  <c r="AR110" i="97"/>
  <c r="AQ110" i="97"/>
  <c r="AP110" i="97"/>
  <c r="AO110" i="97"/>
  <c r="AN110" i="97"/>
  <c r="AM110" i="97"/>
  <c r="AL110" i="97"/>
  <c r="AK110" i="97"/>
  <c r="AJ110" i="97"/>
  <c r="AI110" i="97"/>
  <c r="AH110" i="97"/>
  <c r="AG110" i="97"/>
  <c r="AF110" i="97"/>
  <c r="AE110" i="97"/>
  <c r="AD110" i="97"/>
  <c r="AC110" i="97"/>
  <c r="AB110" i="97"/>
  <c r="AA110" i="97"/>
  <c r="Z110" i="97"/>
  <c r="Y110" i="97"/>
  <c r="X110" i="97"/>
  <c r="W110" i="97"/>
  <c r="V110" i="97"/>
  <c r="U110" i="97"/>
  <c r="T110" i="97"/>
  <c r="S110" i="97"/>
  <c r="R110" i="97"/>
  <c r="Q110" i="97"/>
  <c r="P110" i="97"/>
  <c r="O110" i="97"/>
  <c r="N110" i="97"/>
  <c r="M110" i="97"/>
  <c r="L110" i="97"/>
  <c r="K110" i="97"/>
  <c r="J110" i="97"/>
  <c r="I110" i="97"/>
  <c r="H110" i="97"/>
  <c r="G110" i="97"/>
  <c r="BB109" i="97"/>
  <c r="BA109" i="97"/>
  <c r="AZ109" i="97"/>
  <c r="AY109" i="97"/>
  <c r="AX109" i="97"/>
  <c r="AW109" i="97"/>
  <c r="AV109" i="97"/>
  <c r="AU109" i="97"/>
  <c r="AT109" i="97"/>
  <c r="AS109" i="97"/>
  <c r="AR109" i="97"/>
  <c r="AQ109" i="97"/>
  <c r="AP109" i="97"/>
  <c r="AO109" i="97"/>
  <c r="AN109" i="97"/>
  <c r="AM109" i="97"/>
  <c r="AL109" i="97"/>
  <c r="AK109" i="97"/>
  <c r="AJ109" i="97"/>
  <c r="AI109" i="97"/>
  <c r="AH109" i="97"/>
  <c r="AG109" i="97"/>
  <c r="AF109" i="97"/>
  <c r="AE109" i="97"/>
  <c r="AD109" i="97"/>
  <c r="AC109" i="97"/>
  <c r="AB109" i="97"/>
  <c r="AA109" i="97"/>
  <c r="Z109" i="97"/>
  <c r="Y109" i="97"/>
  <c r="X109" i="97"/>
  <c r="W109" i="97"/>
  <c r="V109" i="97"/>
  <c r="U109" i="97"/>
  <c r="T109" i="97"/>
  <c r="S109" i="97"/>
  <c r="R109" i="97"/>
  <c r="Q109" i="97"/>
  <c r="P109" i="97"/>
  <c r="O109" i="97"/>
  <c r="N109" i="97"/>
  <c r="M109" i="97"/>
  <c r="L109" i="97"/>
  <c r="K109" i="97"/>
  <c r="J109" i="97"/>
  <c r="I109" i="97"/>
  <c r="H109" i="97"/>
  <c r="G109" i="97"/>
  <c r="BB108" i="97"/>
  <c r="BA108" i="97"/>
  <c r="AZ108" i="97"/>
  <c r="AY108" i="97"/>
  <c r="AX108" i="97"/>
  <c r="AW108" i="97"/>
  <c r="AV108" i="97"/>
  <c r="AU108" i="97"/>
  <c r="AT108" i="97"/>
  <c r="AS108" i="97"/>
  <c r="AR108" i="97"/>
  <c r="AQ108" i="97"/>
  <c r="AP108" i="97"/>
  <c r="AO108" i="97"/>
  <c r="AN108" i="97"/>
  <c r="AM108" i="97"/>
  <c r="AL108" i="97"/>
  <c r="AK108" i="97"/>
  <c r="AJ108" i="97"/>
  <c r="AI108" i="97"/>
  <c r="AH108" i="97"/>
  <c r="AG108" i="97"/>
  <c r="AF108" i="97"/>
  <c r="AE108" i="97"/>
  <c r="AD108" i="97"/>
  <c r="AC108" i="97"/>
  <c r="AB108" i="97"/>
  <c r="AA108" i="97"/>
  <c r="Z108" i="97"/>
  <c r="Y108" i="97"/>
  <c r="X108" i="97"/>
  <c r="W108" i="97"/>
  <c r="V108" i="97"/>
  <c r="U108" i="97"/>
  <c r="T108" i="97"/>
  <c r="S108" i="97"/>
  <c r="R108" i="97"/>
  <c r="Q108" i="97"/>
  <c r="P108" i="97"/>
  <c r="O108" i="97"/>
  <c r="N108" i="97"/>
  <c r="M108" i="97"/>
  <c r="L108" i="97"/>
  <c r="K108" i="97"/>
  <c r="J108" i="97"/>
  <c r="I108" i="97"/>
  <c r="H108" i="97"/>
  <c r="G108" i="97"/>
  <c r="AX107" i="97"/>
  <c r="AW107" i="97"/>
  <c r="AV107" i="97"/>
  <c r="AU107" i="97"/>
  <c r="AT107" i="97"/>
  <c r="AS107" i="97"/>
  <c r="AR107" i="97"/>
  <c r="AQ107" i="97"/>
  <c r="AP107" i="97"/>
  <c r="AO107" i="97"/>
  <c r="AN107" i="97"/>
  <c r="AM107" i="97"/>
  <c r="AL107" i="97"/>
  <c r="AK107" i="97"/>
  <c r="AJ107" i="97"/>
  <c r="AI107" i="97"/>
  <c r="AH107" i="97"/>
  <c r="AG107" i="97"/>
  <c r="AF107" i="97"/>
  <c r="AE107" i="97"/>
  <c r="AD107" i="97"/>
  <c r="AC107" i="97"/>
  <c r="AB107" i="97"/>
  <c r="AA107" i="97"/>
  <c r="Z107" i="97"/>
  <c r="Y107" i="97"/>
  <c r="X107" i="97"/>
  <c r="W107" i="97"/>
  <c r="V107" i="97"/>
  <c r="U107" i="97"/>
  <c r="T107" i="97"/>
  <c r="S107" i="97"/>
  <c r="R107" i="97"/>
  <c r="Q107" i="97"/>
  <c r="P107" i="97"/>
  <c r="O107" i="97"/>
  <c r="N107" i="97"/>
  <c r="M107" i="97"/>
  <c r="L107" i="97"/>
  <c r="K107" i="97"/>
  <c r="J107" i="97"/>
  <c r="I107" i="97"/>
  <c r="H107" i="97"/>
  <c r="G107" i="97"/>
  <c r="AX106" i="97"/>
  <c r="AW106" i="97"/>
  <c r="AV106" i="97"/>
  <c r="AU106" i="97"/>
  <c r="AT106" i="97"/>
  <c r="AS106" i="97"/>
  <c r="AR106" i="97"/>
  <c r="AQ106" i="97"/>
  <c r="AP106" i="97"/>
  <c r="AO106" i="97"/>
  <c r="AN106" i="97"/>
  <c r="AM106" i="97"/>
  <c r="AL106" i="97"/>
  <c r="AK106" i="97"/>
  <c r="AJ106" i="97"/>
  <c r="AI106" i="97"/>
  <c r="AH106" i="97"/>
  <c r="AG106" i="97"/>
  <c r="AF106" i="97"/>
  <c r="AE106" i="97"/>
  <c r="AD106" i="97"/>
  <c r="AC106" i="97"/>
  <c r="AB106" i="97"/>
  <c r="AA106" i="97"/>
  <c r="Z106" i="97"/>
  <c r="Y106" i="97"/>
  <c r="X106" i="97"/>
  <c r="W106" i="97"/>
  <c r="V106" i="97"/>
  <c r="U106" i="97"/>
  <c r="T106" i="97"/>
  <c r="S106" i="97"/>
  <c r="R106" i="97"/>
  <c r="Q106" i="97"/>
  <c r="P106" i="97"/>
  <c r="O106" i="97"/>
  <c r="N106" i="97"/>
  <c r="M106" i="97"/>
  <c r="L106" i="97"/>
  <c r="K106" i="97"/>
  <c r="J106" i="97"/>
  <c r="I106" i="97"/>
  <c r="H106" i="97"/>
  <c r="G106" i="97"/>
  <c r="AX105" i="97"/>
  <c r="AW105" i="97"/>
  <c r="AV105" i="97"/>
  <c r="AU105" i="97"/>
  <c r="AT105" i="97"/>
  <c r="AS105" i="97"/>
  <c r="AR105" i="97"/>
  <c r="AQ105" i="97"/>
  <c r="AP105" i="97"/>
  <c r="AO105" i="97"/>
  <c r="AN105" i="97"/>
  <c r="AM105" i="97"/>
  <c r="AL105" i="97"/>
  <c r="AK105" i="97"/>
  <c r="AJ105" i="97"/>
  <c r="AI105" i="97"/>
  <c r="AH105" i="97"/>
  <c r="AG105" i="97"/>
  <c r="AF105" i="97"/>
  <c r="AE105" i="97"/>
  <c r="AD105" i="97"/>
  <c r="AC105" i="97"/>
  <c r="AB105" i="97"/>
  <c r="AA105" i="97"/>
  <c r="Z105" i="97"/>
  <c r="Y105" i="97"/>
  <c r="X105" i="97"/>
  <c r="W105" i="97"/>
  <c r="V105" i="97"/>
  <c r="U105" i="97"/>
  <c r="T105" i="97"/>
  <c r="S105" i="97"/>
  <c r="R105" i="97"/>
  <c r="Q105" i="97"/>
  <c r="P105" i="97"/>
  <c r="O105" i="97"/>
  <c r="N105" i="97"/>
  <c r="M105" i="97"/>
  <c r="L105" i="97"/>
  <c r="K105" i="97"/>
  <c r="J105" i="97"/>
  <c r="I105" i="97"/>
  <c r="H105" i="97"/>
  <c r="G105" i="97"/>
  <c r="AX104" i="97"/>
  <c r="AW104" i="97"/>
  <c r="AV104" i="97"/>
  <c r="AU104" i="97"/>
  <c r="AT104" i="97"/>
  <c r="AS104" i="97"/>
  <c r="AR104" i="97"/>
  <c r="AQ104" i="97"/>
  <c r="AP104" i="97"/>
  <c r="AO104" i="97"/>
  <c r="AN104" i="97"/>
  <c r="AM104" i="97"/>
  <c r="AL104" i="97"/>
  <c r="AK104" i="97"/>
  <c r="AJ104" i="97"/>
  <c r="AI104" i="97"/>
  <c r="AH104" i="97"/>
  <c r="AG104" i="97"/>
  <c r="AF104" i="97"/>
  <c r="AE104" i="97"/>
  <c r="AD104" i="97"/>
  <c r="AC104" i="97"/>
  <c r="AB104" i="97"/>
  <c r="AA104" i="97"/>
  <c r="Z104" i="97"/>
  <c r="Y104" i="97"/>
  <c r="X104" i="97"/>
  <c r="W104" i="97"/>
  <c r="V104" i="97"/>
  <c r="U104" i="97"/>
  <c r="T104" i="97"/>
  <c r="S104" i="97"/>
  <c r="R104" i="97"/>
  <c r="Q104" i="97"/>
  <c r="P104" i="97"/>
  <c r="O104" i="97"/>
  <c r="N104" i="97"/>
  <c r="M104" i="97"/>
  <c r="L104" i="97"/>
  <c r="K104" i="97"/>
  <c r="J104" i="97"/>
  <c r="I104" i="97"/>
  <c r="H104" i="97"/>
  <c r="G104" i="97"/>
  <c r="AX103" i="97"/>
  <c r="AW103" i="97"/>
  <c r="AV103" i="97"/>
  <c r="AU103" i="97"/>
  <c r="AT103" i="97"/>
  <c r="AS103" i="97"/>
  <c r="AR103" i="97"/>
  <c r="AQ103" i="97"/>
  <c r="AP103" i="97"/>
  <c r="AO103" i="97"/>
  <c r="AN103" i="97"/>
  <c r="AM103" i="97"/>
  <c r="AL103" i="97"/>
  <c r="AK103" i="97"/>
  <c r="AJ103" i="97"/>
  <c r="AI103" i="97"/>
  <c r="AH103" i="97"/>
  <c r="AG103" i="97"/>
  <c r="AF103" i="97"/>
  <c r="AE103" i="97"/>
  <c r="AD103" i="97"/>
  <c r="AC103" i="97"/>
  <c r="AB103" i="97"/>
  <c r="AA103" i="97"/>
  <c r="Z103" i="97"/>
  <c r="Y103" i="97"/>
  <c r="X103" i="97"/>
  <c r="W103" i="97"/>
  <c r="V103" i="97"/>
  <c r="U103" i="97"/>
  <c r="T103" i="97"/>
  <c r="S103" i="97"/>
  <c r="R103" i="97"/>
  <c r="Q103" i="97"/>
  <c r="P103" i="97"/>
  <c r="O103" i="97"/>
  <c r="N103" i="97"/>
  <c r="M103" i="97"/>
  <c r="L103" i="97"/>
  <c r="K103" i="97"/>
  <c r="J103" i="97"/>
  <c r="I103" i="97"/>
  <c r="H103" i="97"/>
  <c r="G103" i="97"/>
  <c r="AX102" i="97"/>
  <c r="AW102" i="97"/>
  <c r="AV102" i="97"/>
  <c r="AU102" i="97"/>
  <c r="AT102" i="97"/>
  <c r="AS102" i="97"/>
  <c r="AR102" i="97"/>
  <c r="AQ102" i="97"/>
  <c r="AP102" i="97"/>
  <c r="AO102" i="97"/>
  <c r="AN102" i="97"/>
  <c r="AM102" i="97"/>
  <c r="AL102" i="97"/>
  <c r="AK102" i="97"/>
  <c r="AJ102" i="97"/>
  <c r="AI102" i="97"/>
  <c r="AH102" i="97"/>
  <c r="AG102" i="97"/>
  <c r="AF102" i="97"/>
  <c r="AE102" i="97"/>
  <c r="AD102" i="97"/>
  <c r="AC102" i="97"/>
  <c r="AB102" i="97"/>
  <c r="AA102" i="97"/>
  <c r="Z102" i="97"/>
  <c r="Y102" i="97"/>
  <c r="X102" i="97"/>
  <c r="W102" i="97"/>
  <c r="V102" i="97"/>
  <c r="U102" i="97"/>
  <c r="T102" i="97"/>
  <c r="S102" i="97"/>
  <c r="R102" i="97"/>
  <c r="Q102" i="97"/>
  <c r="P102" i="97"/>
  <c r="O102" i="97"/>
  <c r="N102" i="97"/>
  <c r="M102" i="97"/>
  <c r="L102" i="97"/>
  <c r="K102" i="97"/>
  <c r="J102" i="97"/>
  <c r="I102" i="97"/>
  <c r="H102" i="97"/>
  <c r="G102" i="97"/>
  <c r="AX101" i="97"/>
  <c r="AW101" i="97"/>
  <c r="AV101" i="97"/>
  <c r="AU101" i="97"/>
  <c r="AT101" i="97"/>
  <c r="AS101" i="97"/>
  <c r="AR101" i="97"/>
  <c r="AQ101" i="97"/>
  <c r="AP101" i="97"/>
  <c r="AO101" i="97"/>
  <c r="AN101" i="97"/>
  <c r="AM101" i="97"/>
  <c r="AL101" i="97"/>
  <c r="AK101" i="97"/>
  <c r="AJ101" i="97"/>
  <c r="AI101" i="97"/>
  <c r="AH101" i="97"/>
  <c r="AG101" i="97"/>
  <c r="AF101" i="97"/>
  <c r="AE101" i="97"/>
  <c r="AD101" i="97"/>
  <c r="AC101" i="97"/>
  <c r="AB101" i="97"/>
  <c r="AA101" i="97"/>
  <c r="Z101" i="97"/>
  <c r="Y101" i="97"/>
  <c r="X101" i="97"/>
  <c r="W101" i="97"/>
  <c r="V101" i="97"/>
  <c r="U101" i="97"/>
  <c r="T101" i="97"/>
  <c r="S101" i="97"/>
  <c r="R101" i="97"/>
  <c r="Q101" i="97"/>
  <c r="P101" i="97"/>
  <c r="O101" i="97"/>
  <c r="N101" i="97"/>
  <c r="M101" i="97"/>
  <c r="L101" i="97"/>
  <c r="K101" i="97"/>
  <c r="J101" i="97"/>
  <c r="I101" i="97"/>
  <c r="H101" i="97"/>
  <c r="G101" i="97"/>
  <c r="AX100" i="97"/>
  <c r="AW100" i="97"/>
  <c r="AV100" i="97"/>
  <c r="AU100" i="97"/>
  <c r="AT100" i="97"/>
  <c r="AS100" i="97"/>
  <c r="AR100" i="97"/>
  <c r="AQ100" i="97"/>
  <c r="AP100" i="97"/>
  <c r="AO100" i="97"/>
  <c r="AN100" i="97"/>
  <c r="AM100" i="97"/>
  <c r="AL100" i="97"/>
  <c r="AK100" i="97"/>
  <c r="AJ100" i="97"/>
  <c r="AI100" i="97"/>
  <c r="AH100" i="97"/>
  <c r="AG100" i="97"/>
  <c r="AF100" i="97"/>
  <c r="AE100" i="97"/>
  <c r="AD100" i="97"/>
  <c r="AC100" i="97"/>
  <c r="AB100" i="97"/>
  <c r="AA100" i="97"/>
  <c r="Z100" i="97"/>
  <c r="Y100" i="97"/>
  <c r="X100" i="97"/>
  <c r="W100" i="97"/>
  <c r="V100" i="97"/>
  <c r="U100" i="97"/>
  <c r="T100" i="97"/>
  <c r="S100" i="97"/>
  <c r="R100" i="97"/>
  <c r="Q100" i="97"/>
  <c r="P100" i="97"/>
  <c r="O100" i="97"/>
  <c r="N100" i="97"/>
  <c r="M100" i="97"/>
  <c r="L100" i="97"/>
  <c r="K100" i="97"/>
  <c r="J100" i="97"/>
  <c r="I100" i="97"/>
  <c r="H100" i="97"/>
  <c r="G100" i="97"/>
  <c r="BB99" i="97"/>
  <c r="BA99" i="97"/>
  <c r="AZ99" i="97"/>
  <c r="AY99" i="97"/>
  <c r="AX99" i="97"/>
  <c r="AW99" i="97"/>
  <c r="AV99" i="97"/>
  <c r="AU99" i="97"/>
  <c r="AT99" i="97"/>
  <c r="AS99" i="97"/>
  <c r="AR99" i="97"/>
  <c r="AQ99" i="97"/>
  <c r="AP99" i="97"/>
  <c r="AO99" i="97"/>
  <c r="AN99" i="97"/>
  <c r="AM99" i="97"/>
  <c r="AL99" i="97"/>
  <c r="AK99" i="97"/>
  <c r="AJ99" i="97"/>
  <c r="AI99" i="97"/>
  <c r="AH99" i="97"/>
  <c r="AG99" i="97"/>
  <c r="AF99" i="97"/>
  <c r="AE99" i="97"/>
  <c r="AD99" i="97"/>
  <c r="AC99" i="97"/>
  <c r="AB99" i="97"/>
  <c r="AA99" i="97"/>
  <c r="Z99" i="97"/>
  <c r="Y99" i="97"/>
  <c r="X99" i="97"/>
  <c r="W99" i="97"/>
  <c r="V99" i="97"/>
  <c r="U99" i="97"/>
  <c r="T99" i="97"/>
  <c r="S99" i="97"/>
  <c r="R99" i="97"/>
  <c r="Q99" i="97"/>
  <c r="P99" i="97"/>
  <c r="O99" i="97"/>
  <c r="N99" i="97"/>
  <c r="M99" i="97"/>
  <c r="L99" i="97"/>
  <c r="K99" i="97"/>
  <c r="J99" i="97"/>
  <c r="I99" i="97"/>
  <c r="H99" i="97"/>
  <c r="G99" i="97"/>
  <c r="BB98" i="97"/>
  <c r="BA98" i="97"/>
  <c r="AZ98" i="97"/>
  <c r="AY98" i="97"/>
  <c r="AX98" i="97"/>
  <c r="AW98" i="97"/>
  <c r="AV98" i="97"/>
  <c r="AU98" i="97"/>
  <c r="AT98" i="97"/>
  <c r="AS98" i="97"/>
  <c r="AR98" i="97"/>
  <c r="AQ98" i="97"/>
  <c r="AP98" i="97"/>
  <c r="AO98" i="97"/>
  <c r="AN98" i="97"/>
  <c r="AM98" i="97"/>
  <c r="AL98" i="97"/>
  <c r="AK98" i="97"/>
  <c r="AJ98" i="97"/>
  <c r="AI98" i="97"/>
  <c r="AH98" i="97"/>
  <c r="AG98" i="97"/>
  <c r="AF98" i="97"/>
  <c r="AE98" i="97"/>
  <c r="AD98" i="97"/>
  <c r="AC98" i="97"/>
  <c r="AB98" i="97"/>
  <c r="AA98" i="97"/>
  <c r="Z98" i="97"/>
  <c r="Y98" i="97"/>
  <c r="X98" i="97"/>
  <c r="W98" i="97"/>
  <c r="V98" i="97"/>
  <c r="U98" i="97"/>
  <c r="T98" i="97"/>
  <c r="S98" i="97"/>
  <c r="R98" i="97"/>
  <c r="Q98" i="97"/>
  <c r="P98" i="97"/>
  <c r="O98" i="97"/>
  <c r="N98" i="97"/>
  <c r="M98" i="97"/>
  <c r="L98" i="97"/>
  <c r="K98" i="97"/>
  <c r="J98" i="97"/>
  <c r="I98" i="97"/>
  <c r="H98" i="97"/>
  <c r="G98" i="97"/>
  <c r="BB97" i="97"/>
  <c r="BA97" i="97"/>
  <c r="AZ97" i="97"/>
  <c r="AY97" i="97"/>
  <c r="AX97" i="97"/>
  <c r="AW97" i="97"/>
  <c r="AV97" i="97"/>
  <c r="AU97" i="97"/>
  <c r="AT97" i="97"/>
  <c r="AS97" i="97"/>
  <c r="AR97" i="97"/>
  <c r="AQ97" i="97"/>
  <c r="AP97" i="97"/>
  <c r="AO97" i="97"/>
  <c r="AN97" i="97"/>
  <c r="AM97" i="97"/>
  <c r="AL97" i="97"/>
  <c r="AK97" i="97"/>
  <c r="AJ97" i="97"/>
  <c r="AI97" i="97"/>
  <c r="AH97" i="97"/>
  <c r="AG97" i="97"/>
  <c r="AF97" i="97"/>
  <c r="AE97" i="97"/>
  <c r="AD97" i="97"/>
  <c r="AC97" i="97"/>
  <c r="AB97" i="97"/>
  <c r="AA97" i="97"/>
  <c r="Z97" i="97"/>
  <c r="Y97" i="97"/>
  <c r="X97" i="97"/>
  <c r="W97" i="97"/>
  <c r="V97" i="97"/>
  <c r="U97" i="97"/>
  <c r="T97" i="97"/>
  <c r="S97" i="97"/>
  <c r="R97" i="97"/>
  <c r="Q97" i="97"/>
  <c r="P97" i="97"/>
  <c r="O97" i="97"/>
  <c r="N97" i="97"/>
  <c r="M97" i="97"/>
  <c r="L97" i="97"/>
  <c r="K97" i="97"/>
  <c r="J97" i="97"/>
  <c r="I97" i="97"/>
  <c r="H97" i="97"/>
  <c r="G97" i="97"/>
  <c r="BB96" i="97"/>
  <c r="BA96" i="97"/>
  <c r="AZ96" i="97"/>
  <c r="AY96" i="97"/>
  <c r="AX96" i="97"/>
  <c r="AW96" i="97"/>
  <c r="AV96" i="97"/>
  <c r="AU96" i="97"/>
  <c r="AT96" i="97"/>
  <c r="AS96" i="97"/>
  <c r="AR96" i="97"/>
  <c r="AQ96" i="97"/>
  <c r="AP96" i="97"/>
  <c r="AO96" i="97"/>
  <c r="AN96" i="97"/>
  <c r="AM96" i="97"/>
  <c r="AL96" i="97"/>
  <c r="AK96" i="97"/>
  <c r="AJ96" i="97"/>
  <c r="AI96" i="97"/>
  <c r="AH96" i="97"/>
  <c r="AG96" i="97"/>
  <c r="AF96" i="97"/>
  <c r="AE96" i="97"/>
  <c r="AD96" i="97"/>
  <c r="AC96" i="97"/>
  <c r="AB96" i="97"/>
  <c r="AA96" i="97"/>
  <c r="Z96" i="97"/>
  <c r="Y96" i="97"/>
  <c r="X96" i="97"/>
  <c r="W96" i="97"/>
  <c r="V96" i="97"/>
  <c r="U96" i="97"/>
  <c r="T96" i="97"/>
  <c r="S96" i="97"/>
  <c r="R96" i="97"/>
  <c r="Q96" i="97"/>
  <c r="P96" i="97"/>
  <c r="O96" i="97"/>
  <c r="N96" i="97"/>
  <c r="M96" i="97"/>
  <c r="L96" i="97"/>
  <c r="K96" i="97"/>
  <c r="J96" i="97"/>
  <c r="I96" i="97"/>
  <c r="H96" i="97"/>
  <c r="G96" i="97"/>
  <c r="BB95" i="97"/>
  <c r="BA95" i="97"/>
  <c r="AZ95" i="97"/>
  <c r="AY95" i="97"/>
  <c r="AX95" i="97"/>
  <c r="AW95" i="97"/>
  <c r="AV95" i="97"/>
  <c r="AU95" i="97"/>
  <c r="AT95" i="97"/>
  <c r="AS95" i="97"/>
  <c r="AR95" i="97"/>
  <c r="AQ95" i="97"/>
  <c r="AP95" i="97"/>
  <c r="AO95" i="97"/>
  <c r="AN95" i="97"/>
  <c r="AM95" i="97"/>
  <c r="AL95" i="97"/>
  <c r="AK95" i="97"/>
  <c r="AJ95" i="97"/>
  <c r="AI95" i="97"/>
  <c r="AH95" i="97"/>
  <c r="AG95" i="97"/>
  <c r="AF95" i="97"/>
  <c r="AE95" i="97"/>
  <c r="AD95" i="97"/>
  <c r="AC95" i="97"/>
  <c r="AB95" i="97"/>
  <c r="AA95" i="97"/>
  <c r="Z95" i="97"/>
  <c r="Y95" i="97"/>
  <c r="X95" i="97"/>
  <c r="W95" i="97"/>
  <c r="V95" i="97"/>
  <c r="U95" i="97"/>
  <c r="T95" i="97"/>
  <c r="S95" i="97"/>
  <c r="R95" i="97"/>
  <c r="Q95" i="97"/>
  <c r="P95" i="97"/>
  <c r="O95" i="97"/>
  <c r="N95" i="97"/>
  <c r="M95" i="97"/>
  <c r="L95" i="97"/>
  <c r="K95" i="97"/>
  <c r="J95" i="97"/>
  <c r="I95" i="97"/>
  <c r="H95" i="97"/>
  <c r="G95" i="97"/>
  <c r="BB94" i="97"/>
  <c r="BA94" i="97"/>
  <c r="AZ94" i="97"/>
  <c r="AY94" i="97"/>
  <c r="AX94" i="97"/>
  <c r="AW94" i="97"/>
  <c r="AV94" i="97"/>
  <c r="AU94" i="97"/>
  <c r="AT94" i="97"/>
  <c r="AS94" i="97"/>
  <c r="AR94" i="97"/>
  <c r="AQ94" i="97"/>
  <c r="AP94" i="97"/>
  <c r="AO94" i="97"/>
  <c r="AN94" i="97"/>
  <c r="AM94" i="97"/>
  <c r="AL94" i="97"/>
  <c r="AK94" i="97"/>
  <c r="AJ94" i="97"/>
  <c r="AI94" i="97"/>
  <c r="AH94" i="97"/>
  <c r="AG94" i="97"/>
  <c r="AF94" i="97"/>
  <c r="AE94" i="97"/>
  <c r="AD94" i="97"/>
  <c r="AC94" i="97"/>
  <c r="AB94" i="97"/>
  <c r="AA94" i="97"/>
  <c r="Z94" i="97"/>
  <c r="Y94" i="97"/>
  <c r="X94" i="97"/>
  <c r="W94" i="97"/>
  <c r="V94" i="97"/>
  <c r="U94" i="97"/>
  <c r="T94" i="97"/>
  <c r="S94" i="97"/>
  <c r="R94" i="97"/>
  <c r="Q94" i="97"/>
  <c r="P94" i="97"/>
  <c r="O94" i="97"/>
  <c r="N94" i="97"/>
  <c r="M94" i="97"/>
  <c r="L94" i="97"/>
  <c r="K94" i="97"/>
  <c r="J94" i="97"/>
  <c r="I94" i="97"/>
  <c r="H94" i="97"/>
  <c r="G94" i="97"/>
  <c r="BB93" i="97"/>
  <c r="BA93" i="97"/>
  <c r="AZ93" i="97"/>
  <c r="AY93" i="97"/>
  <c r="AX93" i="97"/>
  <c r="AW93" i="97"/>
  <c r="AV93" i="97"/>
  <c r="AU93" i="97"/>
  <c r="AT93" i="97"/>
  <c r="AS93" i="97"/>
  <c r="AR93" i="97"/>
  <c r="AQ93" i="97"/>
  <c r="AP93" i="97"/>
  <c r="AO93" i="97"/>
  <c r="AN93" i="97"/>
  <c r="AM93" i="97"/>
  <c r="AL93" i="97"/>
  <c r="AK93" i="97"/>
  <c r="AJ93" i="97"/>
  <c r="AI93" i="97"/>
  <c r="AH93" i="97"/>
  <c r="AG93" i="97"/>
  <c r="AF93" i="97"/>
  <c r="AE93" i="97"/>
  <c r="AD93" i="97"/>
  <c r="AC93" i="97"/>
  <c r="AB93" i="97"/>
  <c r="AA93" i="97"/>
  <c r="Z93" i="97"/>
  <c r="Y93" i="97"/>
  <c r="X93" i="97"/>
  <c r="W93" i="97"/>
  <c r="V93" i="97"/>
  <c r="U93" i="97"/>
  <c r="T93" i="97"/>
  <c r="S93" i="97"/>
  <c r="R93" i="97"/>
  <c r="Q93" i="97"/>
  <c r="P93" i="97"/>
  <c r="O93" i="97"/>
  <c r="N93" i="97"/>
  <c r="M93" i="97"/>
  <c r="L93" i="97"/>
  <c r="K93" i="97"/>
  <c r="J93" i="97"/>
  <c r="I93" i="97"/>
  <c r="H93" i="97"/>
  <c r="G93" i="97"/>
  <c r="BB92" i="97"/>
  <c r="BA92" i="97"/>
  <c r="AZ92" i="97"/>
  <c r="AY92" i="97"/>
  <c r="AX92" i="97"/>
  <c r="AW92" i="97"/>
  <c r="AV92" i="97"/>
  <c r="AU92" i="97"/>
  <c r="AT92" i="97"/>
  <c r="AS92" i="97"/>
  <c r="AR92" i="97"/>
  <c r="AQ92" i="97"/>
  <c r="AP92" i="97"/>
  <c r="AO92" i="97"/>
  <c r="AN92" i="97"/>
  <c r="AM92" i="97"/>
  <c r="AL92" i="97"/>
  <c r="AK92" i="97"/>
  <c r="AJ92" i="97"/>
  <c r="AI92" i="97"/>
  <c r="AH92" i="97"/>
  <c r="AG92" i="97"/>
  <c r="AF92" i="97"/>
  <c r="AE92" i="97"/>
  <c r="AD92" i="97"/>
  <c r="AC92" i="97"/>
  <c r="AB92" i="97"/>
  <c r="AA92" i="97"/>
  <c r="Z92" i="97"/>
  <c r="Y92" i="97"/>
  <c r="X92" i="97"/>
  <c r="W92" i="97"/>
  <c r="V92" i="97"/>
  <c r="U92" i="97"/>
  <c r="T92" i="97"/>
  <c r="S92" i="97"/>
  <c r="R92" i="97"/>
  <c r="Q92" i="97"/>
  <c r="P92" i="97"/>
  <c r="O92" i="97"/>
  <c r="N92" i="97"/>
  <c r="M92" i="97"/>
  <c r="L92" i="97"/>
  <c r="K92" i="97"/>
  <c r="J92" i="97"/>
  <c r="I92" i="97"/>
  <c r="H92" i="97"/>
  <c r="G92" i="97"/>
  <c r="BB91" i="97"/>
  <c r="BA91" i="97"/>
  <c r="AZ91" i="97"/>
  <c r="AY91" i="97"/>
  <c r="AX91" i="97"/>
  <c r="AW91" i="97"/>
  <c r="AV91" i="97"/>
  <c r="AU91" i="97"/>
  <c r="AT91" i="97"/>
  <c r="AS91" i="97"/>
  <c r="AR91" i="97"/>
  <c r="AQ91" i="97"/>
  <c r="AP91" i="97"/>
  <c r="AO91" i="97"/>
  <c r="AN91" i="97"/>
  <c r="AM91" i="97"/>
  <c r="AL91" i="97"/>
  <c r="AK91" i="97"/>
  <c r="AJ91" i="97"/>
  <c r="AI91" i="97"/>
  <c r="AH91" i="97"/>
  <c r="AG91" i="97"/>
  <c r="AF91" i="97"/>
  <c r="AE91" i="97"/>
  <c r="AD91" i="97"/>
  <c r="AC91" i="97"/>
  <c r="AB91" i="97"/>
  <c r="AA91" i="97"/>
  <c r="Z91" i="97"/>
  <c r="Y91" i="97"/>
  <c r="X91" i="97"/>
  <c r="W91" i="97"/>
  <c r="V91" i="97"/>
  <c r="U91" i="97"/>
  <c r="T91" i="97"/>
  <c r="S91" i="97"/>
  <c r="R91" i="97"/>
  <c r="Q91" i="97"/>
  <c r="P91" i="97"/>
  <c r="O91" i="97"/>
  <c r="N91" i="97"/>
  <c r="M91" i="97"/>
  <c r="L91" i="97"/>
  <c r="K91" i="97"/>
  <c r="J91" i="97"/>
  <c r="I91" i="97"/>
  <c r="H91" i="97"/>
  <c r="G91" i="97"/>
  <c r="BB90" i="97"/>
  <c r="BA90" i="97"/>
  <c r="AZ90" i="97"/>
  <c r="AY90" i="97"/>
  <c r="AX90" i="97"/>
  <c r="AW90" i="97"/>
  <c r="AV90" i="97"/>
  <c r="AU90" i="97"/>
  <c r="AT90" i="97"/>
  <c r="AS90" i="97"/>
  <c r="AR90" i="97"/>
  <c r="AQ90" i="97"/>
  <c r="AP90" i="97"/>
  <c r="AO90" i="97"/>
  <c r="AN90" i="97"/>
  <c r="AM90" i="97"/>
  <c r="AL90" i="97"/>
  <c r="AK90" i="97"/>
  <c r="AJ90" i="97"/>
  <c r="AI90" i="97"/>
  <c r="AH90" i="97"/>
  <c r="AG90" i="97"/>
  <c r="AF90" i="97"/>
  <c r="AE90" i="97"/>
  <c r="AD90" i="97"/>
  <c r="AC90" i="97"/>
  <c r="AB90" i="97"/>
  <c r="AA90" i="97"/>
  <c r="Z90" i="97"/>
  <c r="Y90" i="97"/>
  <c r="X90" i="97"/>
  <c r="W90" i="97"/>
  <c r="V90" i="97"/>
  <c r="U90" i="97"/>
  <c r="T90" i="97"/>
  <c r="S90" i="97"/>
  <c r="R90" i="97"/>
  <c r="Q90" i="97"/>
  <c r="P90" i="97"/>
  <c r="O90" i="97"/>
  <c r="N90" i="97"/>
  <c r="M90" i="97"/>
  <c r="L90" i="97"/>
  <c r="K90" i="97"/>
  <c r="J90" i="97"/>
  <c r="I90" i="97"/>
  <c r="H90" i="97"/>
  <c r="G90" i="97"/>
  <c r="AX89" i="97"/>
  <c r="AW89" i="97"/>
  <c r="AV89" i="97"/>
  <c r="AU89" i="97"/>
  <c r="AT89" i="97"/>
  <c r="AS89" i="97"/>
  <c r="AR89" i="97"/>
  <c r="AQ89" i="97"/>
  <c r="AP89" i="97"/>
  <c r="AO89" i="97"/>
  <c r="AN89" i="97"/>
  <c r="AM89" i="97"/>
  <c r="AL89" i="97"/>
  <c r="AK89" i="97"/>
  <c r="AJ89" i="97"/>
  <c r="AI89" i="97"/>
  <c r="AH89" i="97"/>
  <c r="AG89" i="97"/>
  <c r="AF89" i="97"/>
  <c r="AE89" i="97"/>
  <c r="AD89" i="97"/>
  <c r="AC89" i="97"/>
  <c r="AB89" i="97"/>
  <c r="AA89" i="97"/>
  <c r="Z89" i="97"/>
  <c r="Y89" i="97"/>
  <c r="X89" i="97"/>
  <c r="W89" i="97"/>
  <c r="V89" i="97"/>
  <c r="U89" i="97"/>
  <c r="T89" i="97"/>
  <c r="S89" i="97"/>
  <c r="R89" i="97"/>
  <c r="Q89" i="97"/>
  <c r="P89" i="97"/>
  <c r="O89" i="97"/>
  <c r="N89" i="97"/>
  <c r="M89" i="97"/>
  <c r="L89" i="97"/>
  <c r="K89" i="97"/>
  <c r="J89" i="97"/>
  <c r="I89" i="97"/>
  <c r="H89" i="97"/>
  <c r="G89" i="97"/>
  <c r="AX88" i="97"/>
  <c r="AW88" i="97"/>
  <c r="AV88" i="97"/>
  <c r="AU88" i="97"/>
  <c r="AT88" i="97"/>
  <c r="AS88" i="97"/>
  <c r="AR88" i="97"/>
  <c r="AQ88" i="97"/>
  <c r="AP88" i="97"/>
  <c r="AO88" i="97"/>
  <c r="AN88" i="97"/>
  <c r="AM88" i="97"/>
  <c r="AL88" i="97"/>
  <c r="AK88" i="97"/>
  <c r="AJ88" i="97"/>
  <c r="AI88" i="97"/>
  <c r="AH88" i="97"/>
  <c r="AG88" i="97"/>
  <c r="AF88" i="97"/>
  <c r="AE88" i="97"/>
  <c r="AD88" i="97"/>
  <c r="AC88" i="97"/>
  <c r="AB88" i="97"/>
  <c r="AA88" i="97"/>
  <c r="Z88" i="97"/>
  <c r="Y88" i="97"/>
  <c r="X88" i="97"/>
  <c r="W88" i="97"/>
  <c r="V88" i="97"/>
  <c r="U88" i="97"/>
  <c r="T88" i="97"/>
  <c r="S88" i="97"/>
  <c r="R88" i="97"/>
  <c r="Q88" i="97"/>
  <c r="P88" i="97"/>
  <c r="O88" i="97"/>
  <c r="N88" i="97"/>
  <c r="M88" i="97"/>
  <c r="L88" i="97"/>
  <c r="K88" i="97"/>
  <c r="J88" i="97"/>
  <c r="I88" i="97"/>
  <c r="H88" i="97"/>
  <c r="G88" i="97"/>
  <c r="AX87" i="97"/>
  <c r="AW87" i="97"/>
  <c r="AV87" i="97"/>
  <c r="AU87" i="97"/>
  <c r="AT87" i="97"/>
  <c r="AS87" i="97"/>
  <c r="AR87" i="97"/>
  <c r="AQ87" i="97"/>
  <c r="AP87" i="97"/>
  <c r="AO87" i="97"/>
  <c r="AN87" i="97"/>
  <c r="AM87" i="97"/>
  <c r="AL87" i="97"/>
  <c r="AK87" i="97"/>
  <c r="AJ87" i="97"/>
  <c r="AI87" i="97"/>
  <c r="AH87" i="97"/>
  <c r="AG87" i="97"/>
  <c r="AF87" i="97"/>
  <c r="AE87" i="97"/>
  <c r="AD87" i="97"/>
  <c r="AC87" i="97"/>
  <c r="AB87" i="97"/>
  <c r="AA87" i="97"/>
  <c r="Z87" i="97"/>
  <c r="Y87" i="97"/>
  <c r="X87" i="97"/>
  <c r="W87" i="97"/>
  <c r="V87" i="97"/>
  <c r="U87" i="97"/>
  <c r="T87" i="97"/>
  <c r="S87" i="97"/>
  <c r="R87" i="97"/>
  <c r="Q87" i="97"/>
  <c r="P87" i="97"/>
  <c r="O87" i="97"/>
  <c r="N87" i="97"/>
  <c r="M87" i="97"/>
  <c r="L87" i="97"/>
  <c r="K87" i="97"/>
  <c r="J87" i="97"/>
  <c r="I87" i="97"/>
  <c r="H87" i="97"/>
  <c r="G87" i="97"/>
  <c r="AX86" i="97"/>
  <c r="AW86" i="97"/>
  <c r="AV86" i="97"/>
  <c r="AU86" i="97"/>
  <c r="AT86" i="97"/>
  <c r="AS86" i="97"/>
  <c r="AR86" i="97"/>
  <c r="AQ86" i="97"/>
  <c r="AP86" i="97"/>
  <c r="AO86" i="97"/>
  <c r="AN86" i="97"/>
  <c r="AM86" i="97"/>
  <c r="AL86" i="97"/>
  <c r="AK86" i="97"/>
  <c r="AJ86" i="97"/>
  <c r="AI86" i="97"/>
  <c r="AH86" i="97"/>
  <c r="AG86" i="97"/>
  <c r="AF86" i="97"/>
  <c r="AE86" i="97"/>
  <c r="AD86" i="97"/>
  <c r="AC86" i="97"/>
  <c r="AB86" i="97"/>
  <c r="AA86" i="97"/>
  <c r="Z86" i="97"/>
  <c r="Y86" i="97"/>
  <c r="X86" i="97"/>
  <c r="W86" i="97"/>
  <c r="V86" i="97"/>
  <c r="U86" i="97"/>
  <c r="T86" i="97"/>
  <c r="S86" i="97"/>
  <c r="R86" i="97"/>
  <c r="Q86" i="97"/>
  <c r="P86" i="97"/>
  <c r="O86" i="97"/>
  <c r="N86" i="97"/>
  <c r="M86" i="97"/>
  <c r="L86" i="97"/>
  <c r="K86" i="97"/>
  <c r="J86" i="97"/>
  <c r="I86" i="97"/>
  <c r="H86" i="97"/>
  <c r="G86" i="97"/>
  <c r="AX85" i="97"/>
  <c r="AW85" i="97"/>
  <c r="AV85" i="97"/>
  <c r="AU85" i="97"/>
  <c r="AT85" i="97"/>
  <c r="AS85" i="97"/>
  <c r="AR85" i="97"/>
  <c r="AQ85" i="97"/>
  <c r="AP85" i="97"/>
  <c r="AO85" i="97"/>
  <c r="AN85" i="97"/>
  <c r="AM85" i="97"/>
  <c r="AL85" i="97"/>
  <c r="AK85" i="97"/>
  <c r="AJ85" i="97"/>
  <c r="AI85" i="97"/>
  <c r="AH85" i="97"/>
  <c r="AG85" i="97"/>
  <c r="AF85" i="97"/>
  <c r="AE85" i="97"/>
  <c r="AD85" i="97"/>
  <c r="AC85" i="97"/>
  <c r="AB85" i="97"/>
  <c r="AA85" i="97"/>
  <c r="Z85" i="97"/>
  <c r="Y85" i="97"/>
  <c r="X85" i="97"/>
  <c r="W85" i="97"/>
  <c r="V85" i="97"/>
  <c r="U85" i="97"/>
  <c r="T85" i="97"/>
  <c r="S85" i="97"/>
  <c r="R85" i="97"/>
  <c r="Q85" i="97"/>
  <c r="P85" i="97"/>
  <c r="O85" i="97"/>
  <c r="N85" i="97"/>
  <c r="M85" i="97"/>
  <c r="L85" i="97"/>
  <c r="K85" i="97"/>
  <c r="J85" i="97"/>
  <c r="I85" i="97"/>
  <c r="H85" i="97"/>
  <c r="G85" i="97"/>
  <c r="AX84" i="97"/>
  <c r="AW84" i="97"/>
  <c r="AV84" i="97"/>
  <c r="AU84" i="97"/>
  <c r="AT84" i="97"/>
  <c r="AS84" i="97"/>
  <c r="AR84" i="97"/>
  <c r="AQ84" i="97"/>
  <c r="AP84" i="97"/>
  <c r="AO84" i="97"/>
  <c r="AN84" i="97"/>
  <c r="AM84" i="97"/>
  <c r="AL84" i="97"/>
  <c r="AK84" i="97"/>
  <c r="AJ84" i="97"/>
  <c r="AI84" i="97"/>
  <c r="AH84" i="97"/>
  <c r="AG84" i="97"/>
  <c r="AF84" i="97"/>
  <c r="AE84" i="97"/>
  <c r="AD84" i="97"/>
  <c r="AC84" i="97"/>
  <c r="AB84" i="97"/>
  <c r="AA84" i="97"/>
  <c r="Z84" i="97"/>
  <c r="Y84" i="97"/>
  <c r="X84" i="97"/>
  <c r="W84" i="97"/>
  <c r="V84" i="97"/>
  <c r="U84" i="97"/>
  <c r="T84" i="97"/>
  <c r="S84" i="97"/>
  <c r="R84" i="97"/>
  <c r="Q84" i="97"/>
  <c r="P84" i="97"/>
  <c r="O84" i="97"/>
  <c r="N84" i="97"/>
  <c r="M84" i="97"/>
  <c r="L84" i="97"/>
  <c r="K84" i="97"/>
  <c r="J84" i="97"/>
  <c r="I84" i="97"/>
  <c r="H84" i="97"/>
  <c r="G84" i="97"/>
  <c r="AX83" i="97"/>
  <c r="AW83" i="97"/>
  <c r="AV83" i="97"/>
  <c r="AU83" i="97"/>
  <c r="AT83" i="97"/>
  <c r="AS83" i="97"/>
  <c r="AR83" i="97"/>
  <c r="AQ83" i="97"/>
  <c r="AP83" i="97"/>
  <c r="AO83" i="97"/>
  <c r="AN83" i="97"/>
  <c r="AM83" i="97"/>
  <c r="AL83" i="97"/>
  <c r="AK83" i="97"/>
  <c r="AJ83" i="97"/>
  <c r="AI83" i="97"/>
  <c r="AH83" i="97"/>
  <c r="AG83" i="97"/>
  <c r="AF83" i="97"/>
  <c r="AE83" i="97"/>
  <c r="AD83" i="97"/>
  <c r="AC83" i="97"/>
  <c r="AB83" i="97"/>
  <c r="AA83" i="97"/>
  <c r="Z83" i="97"/>
  <c r="Y83" i="97"/>
  <c r="X83" i="97"/>
  <c r="W83" i="97"/>
  <c r="V83" i="97"/>
  <c r="U83" i="97"/>
  <c r="T83" i="97"/>
  <c r="S83" i="97"/>
  <c r="R83" i="97"/>
  <c r="Q83" i="97"/>
  <c r="P83" i="97"/>
  <c r="O83" i="97"/>
  <c r="N83" i="97"/>
  <c r="M83" i="97"/>
  <c r="L83" i="97"/>
  <c r="K83" i="97"/>
  <c r="J83" i="97"/>
  <c r="I83" i="97"/>
  <c r="H83" i="97"/>
  <c r="G83" i="97"/>
  <c r="AX82" i="97"/>
  <c r="AW82" i="97"/>
  <c r="AV82" i="97"/>
  <c r="AU82" i="97"/>
  <c r="AT82" i="97"/>
  <c r="AS82" i="97"/>
  <c r="AR82" i="97"/>
  <c r="AQ82" i="97"/>
  <c r="AP82" i="97"/>
  <c r="AO82" i="97"/>
  <c r="AN82" i="97"/>
  <c r="AM82" i="97"/>
  <c r="AL82" i="97"/>
  <c r="AK82" i="97"/>
  <c r="AJ82" i="97"/>
  <c r="AI82" i="97"/>
  <c r="AH82" i="97"/>
  <c r="AG82" i="97"/>
  <c r="AF82" i="97"/>
  <c r="AE82" i="97"/>
  <c r="AD82" i="97"/>
  <c r="AC82" i="97"/>
  <c r="AB82" i="97"/>
  <c r="AA82" i="97"/>
  <c r="Z82" i="97"/>
  <c r="Y82" i="97"/>
  <c r="X82" i="97"/>
  <c r="W82" i="97"/>
  <c r="V82" i="97"/>
  <c r="U82" i="97"/>
  <c r="T82" i="97"/>
  <c r="S82" i="97"/>
  <c r="R82" i="97"/>
  <c r="Q82" i="97"/>
  <c r="P82" i="97"/>
  <c r="O82" i="97"/>
  <c r="N82" i="97"/>
  <c r="M82" i="97"/>
  <c r="L82" i="97"/>
  <c r="K82" i="97"/>
  <c r="J82" i="97"/>
  <c r="I82" i="97"/>
  <c r="H82" i="97"/>
  <c r="G82" i="97"/>
  <c r="BB81" i="97"/>
  <c r="BA81" i="97"/>
  <c r="AZ81" i="97"/>
  <c r="AY81" i="97"/>
  <c r="AX81" i="97"/>
  <c r="AW81" i="97"/>
  <c r="AV81" i="97"/>
  <c r="AU81" i="97"/>
  <c r="AT81" i="97"/>
  <c r="AS81" i="97"/>
  <c r="AR81" i="97"/>
  <c r="AQ81" i="97"/>
  <c r="AP81" i="97"/>
  <c r="AO81" i="97"/>
  <c r="AN81" i="97"/>
  <c r="AM81" i="97"/>
  <c r="AL81" i="97"/>
  <c r="AK81" i="97"/>
  <c r="AJ81" i="97"/>
  <c r="AI81" i="97"/>
  <c r="AH81" i="97"/>
  <c r="AG81" i="97"/>
  <c r="AF81" i="97"/>
  <c r="AE81" i="97"/>
  <c r="AD81" i="97"/>
  <c r="AC81" i="97"/>
  <c r="AB81" i="97"/>
  <c r="AA81" i="97"/>
  <c r="Z81" i="97"/>
  <c r="Y81" i="97"/>
  <c r="X81" i="97"/>
  <c r="W81" i="97"/>
  <c r="V81" i="97"/>
  <c r="U81" i="97"/>
  <c r="T81" i="97"/>
  <c r="S81" i="97"/>
  <c r="R81" i="97"/>
  <c r="Q81" i="97"/>
  <c r="P81" i="97"/>
  <c r="O81" i="97"/>
  <c r="N81" i="97"/>
  <c r="M81" i="97"/>
  <c r="L81" i="97"/>
  <c r="K81" i="97"/>
  <c r="J81" i="97"/>
  <c r="I81" i="97"/>
  <c r="H81" i="97"/>
  <c r="G81" i="97"/>
  <c r="BB80" i="97"/>
  <c r="BA80" i="97"/>
  <c r="AZ80" i="97"/>
  <c r="AY80" i="97"/>
  <c r="AX80" i="97"/>
  <c r="AW80" i="97"/>
  <c r="AV80" i="97"/>
  <c r="AU80" i="97"/>
  <c r="AT80" i="97"/>
  <c r="AS80" i="97"/>
  <c r="AR80" i="97"/>
  <c r="AQ80" i="97"/>
  <c r="AP80" i="97"/>
  <c r="AO80" i="97"/>
  <c r="AN80" i="97"/>
  <c r="AM80" i="97"/>
  <c r="AL80" i="97"/>
  <c r="AK80" i="97"/>
  <c r="AJ80" i="97"/>
  <c r="AI80" i="97"/>
  <c r="AH80" i="97"/>
  <c r="AG80" i="97"/>
  <c r="AF80" i="97"/>
  <c r="AE80" i="97"/>
  <c r="AD80" i="97"/>
  <c r="AC80" i="97"/>
  <c r="AB80" i="97"/>
  <c r="AA80" i="97"/>
  <c r="Z80" i="97"/>
  <c r="Y80" i="97"/>
  <c r="X80" i="97"/>
  <c r="W80" i="97"/>
  <c r="V80" i="97"/>
  <c r="U80" i="97"/>
  <c r="T80" i="97"/>
  <c r="S80" i="97"/>
  <c r="R80" i="97"/>
  <c r="Q80" i="97"/>
  <c r="P80" i="97"/>
  <c r="O80" i="97"/>
  <c r="N80" i="97"/>
  <c r="M80" i="97"/>
  <c r="L80" i="97"/>
  <c r="K80" i="97"/>
  <c r="J80" i="97"/>
  <c r="I80" i="97"/>
  <c r="H80" i="97"/>
  <c r="G80" i="97"/>
  <c r="BB79" i="97"/>
  <c r="BA79" i="97"/>
  <c r="AZ79" i="97"/>
  <c r="AY79" i="97"/>
  <c r="AX79" i="97"/>
  <c r="AW79" i="97"/>
  <c r="AV79" i="97"/>
  <c r="AU79" i="97"/>
  <c r="AT79" i="97"/>
  <c r="AS79" i="97"/>
  <c r="AR79" i="97"/>
  <c r="AQ79" i="97"/>
  <c r="AP79" i="97"/>
  <c r="AO79" i="97"/>
  <c r="AN79" i="97"/>
  <c r="AM79" i="97"/>
  <c r="AL79" i="97"/>
  <c r="AK79" i="97"/>
  <c r="AJ79" i="97"/>
  <c r="AI79" i="97"/>
  <c r="AH79" i="97"/>
  <c r="AG79" i="97"/>
  <c r="AF79" i="97"/>
  <c r="AE79" i="97"/>
  <c r="AD79" i="97"/>
  <c r="AC79" i="97"/>
  <c r="AB79" i="97"/>
  <c r="AA79" i="97"/>
  <c r="Z79" i="97"/>
  <c r="Y79" i="97"/>
  <c r="X79" i="97"/>
  <c r="W79" i="97"/>
  <c r="V79" i="97"/>
  <c r="U79" i="97"/>
  <c r="T79" i="97"/>
  <c r="S79" i="97"/>
  <c r="R79" i="97"/>
  <c r="Q79" i="97"/>
  <c r="P79" i="97"/>
  <c r="O79" i="97"/>
  <c r="N79" i="97"/>
  <c r="M79" i="97"/>
  <c r="L79" i="97"/>
  <c r="K79" i="97"/>
  <c r="J79" i="97"/>
  <c r="I79" i="97"/>
  <c r="H79" i="97"/>
  <c r="G79" i="97"/>
  <c r="BB78" i="97"/>
  <c r="BA78" i="97"/>
  <c r="AZ78" i="97"/>
  <c r="AY78" i="97"/>
  <c r="AX78" i="97"/>
  <c r="AW78" i="97"/>
  <c r="AV78" i="97"/>
  <c r="AU78" i="97"/>
  <c r="AT78" i="97"/>
  <c r="AS78" i="97"/>
  <c r="AR78" i="97"/>
  <c r="AQ78" i="97"/>
  <c r="AP78" i="97"/>
  <c r="AO78" i="97"/>
  <c r="AN78" i="97"/>
  <c r="AM78" i="97"/>
  <c r="AL78" i="97"/>
  <c r="AK78" i="97"/>
  <c r="AJ78" i="97"/>
  <c r="AI78" i="97"/>
  <c r="AH78" i="97"/>
  <c r="AG78" i="97"/>
  <c r="AF78" i="97"/>
  <c r="AE78" i="97"/>
  <c r="AD78" i="97"/>
  <c r="AC78" i="97"/>
  <c r="AB78" i="97"/>
  <c r="AA78" i="97"/>
  <c r="Z78" i="97"/>
  <c r="Y78" i="97"/>
  <c r="X78" i="97"/>
  <c r="W78" i="97"/>
  <c r="V78" i="97"/>
  <c r="U78" i="97"/>
  <c r="T78" i="97"/>
  <c r="S78" i="97"/>
  <c r="R78" i="97"/>
  <c r="Q78" i="97"/>
  <c r="P78" i="97"/>
  <c r="O78" i="97"/>
  <c r="N78" i="97"/>
  <c r="M78" i="97"/>
  <c r="L78" i="97"/>
  <c r="K78" i="97"/>
  <c r="J78" i="97"/>
  <c r="I78" i="97"/>
  <c r="H78" i="97"/>
  <c r="G78" i="97"/>
  <c r="BB77" i="97"/>
  <c r="BA77" i="97"/>
  <c r="AZ77" i="97"/>
  <c r="AY77" i="97"/>
  <c r="AX77" i="97"/>
  <c r="AW77" i="97"/>
  <c r="AV77" i="97"/>
  <c r="AU77" i="97"/>
  <c r="AT77" i="97"/>
  <c r="AS77" i="97"/>
  <c r="AR77" i="97"/>
  <c r="AQ77" i="97"/>
  <c r="AP77" i="97"/>
  <c r="AO77" i="97"/>
  <c r="AN77" i="97"/>
  <c r="AM77" i="97"/>
  <c r="AL77" i="97"/>
  <c r="AK77" i="97"/>
  <c r="AJ77" i="97"/>
  <c r="AI77" i="97"/>
  <c r="AH77" i="97"/>
  <c r="AG77" i="97"/>
  <c r="AF77" i="97"/>
  <c r="AE77" i="97"/>
  <c r="AD77" i="97"/>
  <c r="AC77" i="97"/>
  <c r="AB77" i="97"/>
  <c r="AA77" i="97"/>
  <c r="Z77" i="97"/>
  <c r="Y77" i="97"/>
  <c r="X77" i="97"/>
  <c r="W77" i="97"/>
  <c r="V77" i="97"/>
  <c r="U77" i="97"/>
  <c r="T77" i="97"/>
  <c r="S77" i="97"/>
  <c r="R77" i="97"/>
  <c r="Q77" i="97"/>
  <c r="P77" i="97"/>
  <c r="O77" i="97"/>
  <c r="N77" i="97"/>
  <c r="M77" i="97"/>
  <c r="L77" i="97"/>
  <c r="K77" i="97"/>
  <c r="J77" i="97"/>
  <c r="I77" i="97"/>
  <c r="H77" i="97"/>
  <c r="G77" i="97"/>
  <c r="BB76" i="97"/>
  <c r="BA76" i="97"/>
  <c r="AZ76" i="97"/>
  <c r="AY76" i="97"/>
  <c r="AX76" i="97"/>
  <c r="AW76" i="97"/>
  <c r="AV76" i="97"/>
  <c r="AU76" i="97"/>
  <c r="AT76" i="97"/>
  <c r="AS76" i="97"/>
  <c r="AR76" i="97"/>
  <c r="AQ76" i="97"/>
  <c r="AP76" i="97"/>
  <c r="AO76" i="97"/>
  <c r="AN76" i="97"/>
  <c r="AM76" i="97"/>
  <c r="AL76" i="97"/>
  <c r="AK76" i="97"/>
  <c r="AJ76" i="97"/>
  <c r="AI76" i="97"/>
  <c r="AH76" i="97"/>
  <c r="AG76" i="97"/>
  <c r="AF76" i="97"/>
  <c r="AE76" i="97"/>
  <c r="AD76" i="97"/>
  <c r="AC76" i="97"/>
  <c r="AB76" i="97"/>
  <c r="AA76" i="97"/>
  <c r="Z76" i="97"/>
  <c r="Y76" i="97"/>
  <c r="X76" i="97"/>
  <c r="W76" i="97"/>
  <c r="V76" i="97"/>
  <c r="U76" i="97"/>
  <c r="T76" i="97"/>
  <c r="S76" i="97"/>
  <c r="R76" i="97"/>
  <c r="Q76" i="97"/>
  <c r="P76" i="97"/>
  <c r="O76" i="97"/>
  <c r="N76" i="97"/>
  <c r="M76" i="97"/>
  <c r="L76" i="97"/>
  <c r="K76" i="97"/>
  <c r="J76" i="97"/>
  <c r="I76" i="97"/>
  <c r="H76" i="97"/>
  <c r="G76" i="97"/>
  <c r="BB75" i="97"/>
  <c r="BA75" i="97"/>
  <c r="AZ75" i="97"/>
  <c r="AY75" i="97"/>
  <c r="AX75" i="97"/>
  <c r="AW75" i="97"/>
  <c r="AV75" i="97"/>
  <c r="AU75" i="97"/>
  <c r="AT75" i="97"/>
  <c r="AS75" i="97"/>
  <c r="AR75" i="97"/>
  <c r="AQ75" i="97"/>
  <c r="AP75" i="97"/>
  <c r="AO75" i="97"/>
  <c r="AN75" i="97"/>
  <c r="AM75" i="97"/>
  <c r="AL75" i="97"/>
  <c r="AK75" i="97"/>
  <c r="AJ75" i="97"/>
  <c r="AI75" i="97"/>
  <c r="AH75" i="97"/>
  <c r="AG75" i="97"/>
  <c r="AF75" i="97"/>
  <c r="AE75" i="97"/>
  <c r="AD75" i="97"/>
  <c r="AC75" i="97"/>
  <c r="AB75" i="97"/>
  <c r="AA75" i="97"/>
  <c r="Z75" i="97"/>
  <c r="Y75" i="97"/>
  <c r="X75" i="97"/>
  <c r="W75" i="97"/>
  <c r="V75" i="97"/>
  <c r="U75" i="97"/>
  <c r="T75" i="97"/>
  <c r="S75" i="97"/>
  <c r="R75" i="97"/>
  <c r="Q75" i="97"/>
  <c r="P75" i="97"/>
  <c r="O75" i="97"/>
  <c r="N75" i="97"/>
  <c r="M75" i="97"/>
  <c r="L75" i="97"/>
  <c r="K75" i="97"/>
  <c r="J75" i="97"/>
  <c r="I75" i="97"/>
  <c r="H75" i="97"/>
  <c r="G75" i="97"/>
  <c r="BB74" i="97"/>
  <c r="BA74" i="97"/>
  <c r="AZ74" i="97"/>
  <c r="AY74" i="97"/>
  <c r="AX74" i="97"/>
  <c r="AW74" i="97"/>
  <c r="AV74" i="97"/>
  <c r="AU74" i="97"/>
  <c r="AT74" i="97"/>
  <c r="AS74" i="97"/>
  <c r="AR74" i="97"/>
  <c r="AQ74" i="97"/>
  <c r="AP74" i="97"/>
  <c r="AO74" i="97"/>
  <c r="AN74" i="97"/>
  <c r="AM74" i="97"/>
  <c r="AL74" i="97"/>
  <c r="AK74" i="97"/>
  <c r="AJ74" i="97"/>
  <c r="AI74" i="97"/>
  <c r="AH74" i="97"/>
  <c r="AG74" i="97"/>
  <c r="AF74" i="97"/>
  <c r="AE74" i="97"/>
  <c r="AD74" i="97"/>
  <c r="AC74" i="97"/>
  <c r="AB74" i="97"/>
  <c r="AA74" i="97"/>
  <c r="Z74" i="97"/>
  <c r="Y74" i="97"/>
  <c r="X74" i="97"/>
  <c r="W74" i="97"/>
  <c r="V74" i="97"/>
  <c r="U74" i="97"/>
  <c r="T74" i="97"/>
  <c r="S74" i="97"/>
  <c r="R74" i="97"/>
  <c r="Q74" i="97"/>
  <c r="P74" i="97"/>
  <c r="O74" i="97"/>
  <c r="N74" i="97"/>
  <c r="M74" i="97"/>
  <c r="L74" i="97"/>
  <c r="K74" i="97"/>
  <c r="J74" i="97"/>
  <c r="I74" i="97"/>
  <c r="H74" i="97"/>
  <c r="G74" i="97"/>
  <c r="BB73" i="97"/>
  <c r="BA73" i="97"/>
  <c r="AZ73" i="97"/>
  <c r="AY73" i="97"/>
  <c r="AX73" i="97"/>
  <c r="AW73" i="97"/>
  <c r="AV73" i="97"/>
  <c r="AU73" i="97"/>
  <c r="AT73" i="97"/>
  <c r="AS73" i="97"/>
  <c r="AR73" i="97"/>
  <c r="AQ73" i="97"/>
  <c r="AP73" i="97"/>
  <c r="AO73" i="97"/>
  <c r="AN73" i="97"/>
  <c r="AM73" i="97"/>
  <c r="AL73" i="97"/>
  <c r="AK73" i="97"/>
  <c r="AJ73" i="97"/>
  <c r="AI73" i="97"/>
  <c r="AH73" i="97"/>
  <c r="AG73" i="97"/>
  <c r="AF73" i="97"/>
  <c r="AE73" i="97"/>
  <c r="AD73" i="97"/>
  <c r="AC73" i="97"/>
  <c r="AB73" i="97"/>
  <c r="AA73" i="97"/>
  <c r="Z73" i="97"/>
  <c r="Y73" i="97"/>
  <c r="X73" i="97"/>
  <c r="W73" i="97"/>
  <c r="V73" i="97"/>
  <c r="U73" i="97"/>
  <c r="T73" i="97"/>
  <c r="S73" i="97"/>
  <c r="R73" i="97"/>
  <c r="Q73" i="97"/>
  <c r="P73" i="97"/>
  <c r="O73" i="97"/>
  <c r="N73" i="97"/>
  <c r="M73" i="97"/>
  <c r="L73" i="97"/>
  <c r="K73" i="97"/>
  <c r="J73" i="97"/>
  <c r="I73" i="97"/>
  <c r="H73" i="97"/>
  <c r="G73" i="97"/>
  <c r="BB72" i="97"/>
  <c r="BA72" i="97"/>
  <c r="AZ72" i="97"/>
  <c r="AY72" i="97"/>
  <c r="AX72" i="97"/>
  <c r="AW72" i="97"/>
  <c r="AV72" i="97"/>
  <c r="AU72" i="97"/>
  <c r="AT72" i="97"/>
  <c r="AS72" i="97"/>
  <c r="AR72" i="97"/>
  <c r="AQ72" i="97"/>
  <c r="AP72" i="97"/>
  <c r="AO72" i="97"/>
  <c r="AN72" i="97"/>
  <c r="AM72" i="97"/>
  <c r="AL72" i="97"/>
  <c r="AK72" i="97"/>
  <c r="AJ72" i="97"/>
  <c r="AI72" i="97"/>
  <c r="AH72" i="97"/>
  <c r="AG72" i="97"/>
  <c r="AF72" i="97"/>
  <c r="AE72" i="97"/>
  <c r="AD72" i="97"/>
  <c r="AC72" i="97"/>
  <c r="AB72" i="97"/>
  <c r="AA72" i="97"/>
  <c r="Z72" i="97"/>
  <c r="Y72" i="97"/>
  <c r="X72" i="97"/>
  <c r="W72" i="97"/>
  <c r="V72" i="97"/>
  <c r="U72" i="97"/>
  <c r="T72" i="97"/>
  <c r="S72" i="97"/>
  <c r="R72" i="97"/>
  <c r="Q72" i="97"/>
  <c r="P72" i="97"/>
  <c r="O72" i="97"/>
  <c r="N72" i="97"/>
  <c r="M72" i="97"/>
  <c r="L72" i="97"/>
  <c r="K72" i="97"/>
  <c r="J72" i="97"/>
  <c r="I72" i="97"/>
  <c r="H72" i="97"/>
  <c r="G72" i="97"/>
  <c r="BB71" i="97"/>
  <c r="BA71" i="97"/>
  <c r="AZ71" i="97"/>
  <c r="AY71" i="97"/>
  <c r="AX71" i="97"/>
  <c r="AW71" i="97"/>
  <c r="AV71" i="97"/>
  <c r="AU71" i="97"/>
  <c r="AT71" i="97"/>
  <c r="AS71" i="97"/>
  <c r="AR71" i="97"/>
  <c r="AQ71" i="97"/>
  <c r="AP71" i="97"/>
  <c r="AO71" i="97"/>
  <c r="AN71" i="97"/>
  <c r="AM71" i="97"/>
  <c r="AL71" i="97"/>
  <c r="AK71" i="97"/>
  <c r="AJ71" i="97"/>
  <c r="AI71" i="97"/>
  <c r="AH71" i="97"/>
  <c r="AG71" i="97"/>
  <c r="AF71" i="97"/>
  <c r="AE71" i="97"/>
  <c r="AD71" i="97"/>
  <c r="AC71" i="97"/>
  <c r="AB71" i="97"/>
  <c r="AA71" i="97"/>
  <c r="Z71" i="97"/>
  <c r="Y71" i="97"/>
  <c r="X71" i="97"/>
  <c r="W71" i="97"/>
  <c r="V71" i="97"/>
  <c r="U71" i="97"/>
  <c r="T71" i="97"/>
  <c r="S71" i="97"/>
  <c r="R71" i="97"/>
  <c r="Q71" i="97"/>
  <c r="P71" i="97"/>
  <c r="O71" i="97"/>
  <c r="N71" i="97"/>
  <c r="M71" i="97"/>
  <c r="L71" i="97"/>
  <c r="K71" i="97"/>
  <c r="J71" i="97"/>
  <c r="I71" i="97"/>
  <c r="H71" i="97"/>
  <c r="G71" i="97"/>
  <c r="BB70" i="97"/>
  <c r="BA70" i="97"/>
  <c r="AZ70" i="97"/>
  <c r="AY70" i="97"/>
  <c r="AX70" i="97"/>
  <c r="AW70" i="97"/>
  <c r="AV70" i="97"/>
  <c r="AU70" i="97"/>
  <c r="AT70" i="97"/>
  <c r="AS70" i="97"/>
  <c r="AR70" i="97"/>
  <c r="AQ70" i="97"/>
  <c r="AP70" i="97"/>
  <c r="AO70" i="97"/>
  <c r="AN70" i="97"/>
  <c r="AM70" i="97"/>
  <c r="AL70" i="97"/>
  <c r="AK70" i="97"/>
  <c r="AJ70" i="97"/>
  <c r="AI70" i="97"/>
  <c r="AH70" i="97"/>
  <c r="AG70" i="97"/>
  <c r="AF70" i="97"/>
  <c r="AE70" i="97"/>
  <c r="AD70" i="97"/>
  <c r="AC70" i="97"/>
  <c r="AB70" i="97"/>
  <c r="AA70" i="97"/>
  <c r="Z70" i="97"/>
  <c r="Y70" i="97"/>
  <c r="X70" i="97"/>
  <c r="W70" i="97"/>
  <c r="V70" i="97"/>
  <c r="U70" i="97"/>
  <c r="T70" i="97"/>
  <c r="S70" i="97"/>
  <c r="R70" i="97"/>
  <c r="Q70" i="97"/>
  <c r="P70" i="97"/>
  <c r="O70" i="97"/>
  <c r="N70" i="97"/>
  <c r="M70" i="97"/>
  <c r="L70" i="97"/>
  <c r="K70" i="97"/>
  <c r="J70" i="97"/>
  <c r="I70" i="97"/>
  <c r="H70" i="97"/>
  <c r="G70" i="97"/>
  <c r="BB69" i="97"/>
  <c r="BA69" i="97"/>
  <c r="AZ69" i="97"/>
  <c r="AY69" i="97"/>
  <c r="AX69" i="97"/>
  <c r="AW69" i="97"/>
  <c r="AV69" i="97"/>
  <c r="AU69" i="97"/>
  <c r="AT69" i="97"/>
  <c r="AS69" i="97"/>
  <c r="AR69" i="97"/>
  <c r="AQ69" i="97"/>
  <c r="AP69" i="97"/>
  <c r="AO69" i="97"/>
  <c r="AN69" i="97"/>
  <c r="AM69" i="97"/>
  <c r="AL69" i="97"/>
  <c r="AK69" i="97"/>
  <c r="AJ69" i="97"/>
  <c r="AI69" i="97"/>
  <c r="AH69" i="97"/>
  <c r="AG69" i="97"/>
  <c r="AF69" i="97"/>
  <c r="AE69" i="97"/>
  <c r="AD69" i="97"/>
  <c r="AC69" i="97"/>
  <c r="AB69" i="97"/>
  <c r="AA69" i="97"/>
  <c r="Z69" i="97"/>
  <c r="Y69" i="97"/>
  <c r="X69" i="97"/>
  <c r="W69" i="97"/>
  <c r="V69" i="97"/>
  <c r="U69" i="97"/>
  <c r="T69" i="97"/>
  <c r="S69" i="97"/>
  <c r="R69" i="97"/>
  <c r="Q69" i="97"/>
  <c r="P69" i="97"/>
  <c r="O69" i="97"/>
  <c r="N69" i="97"/>
  <c r="M69" i="97"/>
  <c r="L69" i="97"/>
  <c r="K69" i="97"/>
  <c r="J69" i="97"/>
  <c r="I69" i="97"/>
  <c r="H69" i="97"/>
  <c r="G69" i="97"/>
  <c r="BB68" i="97"/>
  <c r="BA68" i="97"/>
  <c r="AZ68" i="97"/>
  <c r="AY68" i="97"/>
  <c r="AX68" i="97"/>
  <c r="AW68" i="97"/>
  <c r="AV68" i="97"/>
  <c r="AU68" i="97"/>
  <c r="AT68" i="97"/>
  <c r="AS68" i="97"/>
  <c r="AR68" i="97"/>
  <c r="AQ68" i="97"/>
  <c r="AP68" i="97"/>
  <c r="AO68" i="97"/>
  <c r="AN68" i="97"/>
  <c r="AM68" i="97"/>
  <c r="AL68" i="97"/>
  <c r="AK68" i="97"/>
  <c r="AJ68" i="97"/>
  <c r="AI68" i="97"/>
  <c r="AH68" i="97"/>
  <c r="AG68" i="97"/>
  <c r="AF68" i="97"/>
  <c r="AE68" i="97"/>
  <c r="AD68" i="97"/>
  <c r="AC68" i="97"/>
  <c r="AB68" i="97"/>
  <c r="AA68" i="97"/>
  <c r="Z68" i="97"/>
  <c r="Y68" i="97"/>
  <c r="X68" i="97"/>
  <c r="W68" i="97"/>
  <c r="V68" i="97"/>
  <c r="U68" i="97"/>
  <c r="T68" i="97"/>
  <c r="S68" i="97"/>
  <c r="R68" i="97"/>
  <c r="Q68" i="97"/>
  <c r="P68" i="97"/>
  <c r="O68" i="97"/>
  <c r="N68" i="97"/>
  <c r="M68" i="97"/>
  <c r="L68" i="97"/>
  <c r="K68" i="97"/>
  <c r="J68" i="97"/>
  <c r="I68" i="97"/>
  <c r="H68" i="97"/>
  <c r="G68" i="97"/>
  <c r="BB67" i="97"/>
  <c r="BA67" i="97"/>
  <c r="AZ67" i="97"/>
  <c r="AY67" i="97"/>
  <c r="AX67" i="97"/>
  <c r="AW67" i="97"/>
  <c r="AV67" i="97"/>
  <c r="AU67" i="97"/>
  <c r="AT67" i="97"/>
  <c r="AS67" i="97"/>
  <c r="AR67" i="97"/>
  <c r="AQ67" i="97"/>
  <c r="AP67" i="97"/>
  <c r="AO67" i="97"/>
  <c r="AN67" i="97"/>
  <c r="AM67" i="97"/>
  <c r="AL67" i="97"/>
  <c r="AK67" i="97"/>
  <c r="AJ67" i="97"/>
  <c r="AI67" i="97"/>
  <c r="AH67" i="97"/>
  <c r="AG67" i="97"/>
  <c r="AF67" i="97"/>
  <c r="AE67" i="97"/>
  <c r="AD67" i="97"/>
  <c r="AC67" i="97"/>
  <c r="AB67" i="97"/>
  <c r="AA67" i="97"/>
  <c r="Z67" i="97"/>
  <c r="Y67" i="97"/>
  <c r="X67" i="97"/>
  <c r="W67" i="97"/>
  <c r="V67" i="97"/>
  <c r="U67" i="97"/>
  <c r="T67" i="97"/>
  <c r="S67" i="97"/>
  <c r="R67" i="97"/>
  <c r="Q67" i="97"/>
  <c r="P67" i="97"/>
  <c r="O67" i="97"/>
  <c r="N67" i="97"/>
  <c r="M67" i="97"/>
  <c r="L67" i="97"/>
  <c r="K67" i="97"/>
  <c r="J67" i="97"/>
  <c r="I67" i="97"/>
  <c r="H67" i="97"/>
  <c r="G67" i="97"/>
  <c r="BB66" i="97"/>
  <c r="BA66" i="97"/>
  <c r="AZ66" i="97"/>
  <c r="AY66" i="97"/>
  <c r="AX66" i="97"/>
  <c r="AW66" i="97"/>
  <c r="AV66" i="97"/>
  <c r="AU66" i="97"/>
  <c r="AT66" i="97"/>
  <c r="AS66" i="97"/>
  <c r="AR66" i="97"/>
  <c r="AQ66" i="97"/>
  <c r="AP66" i="97"/>
  <c r="AO66" i="97"/>
  <c r="AN66" i="97"/>
  <c r="AM66" i="97"/>
  <c r="AL66" i="97"/>
  <c r="AK66" i="97"/>
  <c r="AJ66" i="97"/>
  <c r="AI66" i="97"/>
  <c r="AH66" i="97"/>
  <c r="AG66" i="97"/>
  <c r="AF66" i="97"/>
  <c r="AE66" i="97"/>
  <c r="AD66" i="97"/>
  <c r="AC66" i="97"/>
  <c r="AB66" i="97"/>
  <c r="AA66" i="97"/>
  <c r="Z66" i="97"/>
  <c r="Y66" i="97"/>
  <c r="X66" i="97"/>
  <c r="W66" i="97"/>
  <c r="V66" i="97"/>
  <c r="U66" i="97"/>
  <c r="T66" i="97"/>
  <c r="S66" i="97"/>
  <c r="R66" i="97"/>
  <c r="Q66" i="97"/>
  <c r="P66" i="97"/>
  <c r="O66" i="97"/>
  <c r="N66" i="97"/>
  <c r="M66" i="97"/>
  <c r="L66" i="97"/>
  <c r="K66" i="97"/>
  <c r="J66" i="97"/>
  <c r="I66" i="97"/>
  <c r="H66" i="97"/>
  <c r="G66" i="97"/>
  <c r="BB65" i="97"/>
  <c r="BA65" i="97"/>
  <c r="AZ65" i="97"/>
  <c r="AY65" i="97"/>
  <c r="AX65" i="97"/>
  <c r="AW65" i="97"/>
  <c r="AV65" i="97"/>
  <c r="AU65" i="97"/>
  <c r="AT65" i="97"/>
  <c r="AS65" i="97"/>
  <c r="AR65" i="97"/>
  <c r="AQ65" i="97"/>
  <c r="AP65" i="97"/>
  <c r="AO65" i="97"/>
  <c r="AN65" i="97"/>
  <c r="AM65" i="97"/>
  <c r="AL65" i="97"/>
  <c r="AK65" i="97"/>
  <c r="AJ65" i="97"/>
  <c r="AI65" i="97"/>
  <c r="AH65" i="97"/>
  <c r="AG65" i="97"/>
  <c r="AF65" i="97"/>
  <c r="AE65" i="97"/>
  <c r="AD65" i="97"/>
  <c r="AC65" i="97"/>
  <c r="AB65" i="97"/>
  <c r="AA65" i="97"/>
  <c r="Z65" i="97"/>
  <c r="Y65" i="97"/>
  <c r="X65" i="97"/>
  <c r="W65" i="97"/>
  <c r="V65" i="97"/>
  <c r="U65" i="97"/>
  <c r="T65" i="97"/>
  <c r="S65" i="97"/>
  <c r="R65" i="97"/>
  <c r="Q65" i="97"/>
  <c r="P65" i="97"/>
  <c r="O65" i="97"/>
  <c r="N65" i="97"/>
  <c r="M65" i="97"/>
  <c r="L65" i="97"/>
  <c r="K65" i="97"/>
  <c r="J65" i="97"/>
  <c r="I65" i="97"/>
  <c r="H65" i="97"/>
  <c r="G65" i="97"/>
  <c r="BB64" i="97"/>
  <c r="BA64" i="97"/>
  <c r="AZ64" i="97"/>
  <c r="AY64" i="97"/>
  <c r="AX64" i="97"/>
  <c r="AW64" i="97"/>
  <c r="AV64" i="97"/>
  <c r="AU64" i="97"/>
  <c r="AT64" i="97"/>
  <c r="AS64" i="97"/>
  <c r="AR64" i="97"/>
  <c r="AQ64" i="97"/>
  <c r="AP64" i="97"/>
  <c r="AO64" i="97"/>
  <c r="AN64" i="97"/>
  <c r="AM64" i="97"/>
  <c r="AL64" i="97"/>
  <c r="AK64" i="97"/>
  <c r="AJ64" i="97"/>
  <c r="AI64" i="97"/>
  <c r="AH64" i="97"/>
  <c r="AG64" i="97"/>
  <c r="AF64" i="97"/>
  <c r="AE64" i="97"/>
  <c r="AD64" i="97"/>
  <c r="AC64" i="97"/>
  <c r="AB64" i="97"/>
  <c r="AA64" i="97"/>
  <c r="Z64" i="97"/>
  <c r="Y64" i="97"/>
  <c r="X64" i="97"/>
  <c r="W64" i="97"/>
  <c r="V64" i="97"/>
  <c r="U64" i="97"/>
  <c r="T64" i="97"/>
  <c r="S64" i="97"/>
  <c r="R64" i="97"/>
  <c r="Q64" i="97"/>
  <c r="P64" i="97"/>
  <c r="O64" i="97"/>
  <c r="N64" i="97"/>
  <c r="M64" i="97"/>
  <c r="L64" i="97"/>
  <c r="K64" i="97"/>
  <c r="J64" i="97"/>
  <c r="I64" i="97"/>
  <c r="H64" i="97"/>
  <c r="G64" i="97"/>
  <c r="BB63" i="97"/>
  <c r="BA63" i="97"/>
  <c r="AZ63" i="97"/>
  <c r="AY63" i="97"/>
  <c r="AX63" i="97"/>
  <c r="AW63" i="97"/>
  <c r="AV63" i="97"/>
  <c r="AU63" i="97"/>
  <c r="AT63" i="97"/>
  <c r="AS63" i="97"/>
  <c r="AR63" i="97"/>
  <c r="AQ63" i="97"/>
  <c r="AP63" i="97"/>
  <c r="AO63" i="97"/>
  <c r="AN63" i="97"/>
  <c r="AM63" i="97"/>
  <c r="AL63" i="97"/>
  <c r="AK63" i="97"/>
  <c r="AJ63" i="97"/>
  <c r="AI63" i="97"/>
  <c r="AH63" i="97"/>
  <c r="AG63" i="97"/>
  <c r="AF63" i="97"/>
  <c r="AE63" i="97"/>
  <c r="AD63" i="97"/>
  <c r="AC63" i="97"/>
  <c r="AB63" i="97"/>
  <c r="AA63" i="97"/>
  <c r="Z63" i="97"/>
  <c r="Y63" i="97"/>
  <c r="X63" i="97"/>
  <c r="W63" i="97"/>
  <c r="V63" i="97"/>
  <c r="U63" i="97"/>
  <c r="T63" i="97"/>
  <c r="S63" i="97"/>
  <c r="R63" i="97"/>
  <c r="Q63" i="97"/>
  <c r="P63" i="97"/>
  <c r="O63" i="97"/>
  <c r="N63" i="97"/>
  <c r="M63" i="97"/>
  <c r="L63" i="97"/>
  <c r="K63" i="97"/>
  <c r="J63" i="97"/>
  <c r="I63" i="97"/>
  <c r="H63" i="97"/>
  <c r="G63" i="97"/>
  <c r="BB62" i="97"/>
  <c r="BA62" i="97"/>
  <c r="AZ62" i="97"/>
  <c r="AY62" i="97"/>
  <c r="AX62" i="97"/>
  <c r="AW62" i="97"/>
  <c r="AV62" i="97"/>
  <c r="AU62" i="97"/>
  <c r="AT62" i="97"/>
  <c r="AS62" i="97"/>
  <c r="AR62" i="97"/>
  <c r="AQ62" i="97"/>
  <c r="AP62" i="97"/>
  <c r="AO62" i="97"/>
  <c r="AN62" i="97"/>
  <c r="AM62" i="97"/>
  <c r="AL62" i="97"/>
  <c r="AK62" i="97"/>
  <c r="AJ62" i="97"/>
  <c r="AI62" i="97"/>
  <c r="AH62" i="97"/>
  <c r="AG62" i="97"/>
  <c r="AF62" i="97"/>
  <c r="AE62" i="97"/>
  <c r="AD62" i="97"/>
  <c r="AC62" i="97"/>
  <c r="AB62" i="97"/>
  <c r="AA62" i="97"/>
  <c r="Z62" i="97"/>
  <c r="Y62" i="97"/>
  <c r="X62" i="97"/>
  <c r="W62" i="97"/>
  <c r="V62" i="97"/>
  <c r="U62" i="97"/>
  <c r="T62" i="97"/>
  <c r="S62" i="97"/>
  <c r="R62" i="97"/>
  <c r="Q62" i="97"/>
  <c r="P62" i="97"/>
  <c r="O62" i="97"/>
  <c r="N62" i="97"/>
  <c r="M62" i="97"/>
  <c r="L62" i="97"/>
  <c r="K62" i="97"/>
  <c r="J62" i="97"/>
  <c r="I62" i="97"/>
  <c r="H62" i="97"/>
  <c r="G62" i="97"/>
  <c r="BB61" i="97"/>
  <c r="BA61" i="97"/>
  <c r="AZ61" i="97"/>
  <c r="AY61" i="97"/>
  <c r="AX61" i="97"/>
  <c r="AW61" i="97"/>
  <c r="AV61" i="97"/>
  <c r="AU61" i="97"/>
  <c r="AT61" i="97"/>
  <c r="AS61" i="97"/>
  <c r="AR61" i="97"/>
  <c r="AQ61" i="97"/>
  <c r="AP61" i="97"/>
  <c r="AO61" i="97"/>
  <c r="AN61" i="97"/>
  <c r="AM61" i="97"/>
  <c r="AL61" i="97"/>
  <c r="AK61" i="97"/>
  <c r="AJ61" i="97"/>
  <c r="AI61" i="97"/>
  <c r="AH61" i="97"/>
  <c r="AG61" i="97"/>
  <c r="AF61" i="97"/>
  <c r="AE61" i="97"/>
  <c r="AD61" i="97"/>
  <c r="AC61" i="97"/>
  <c r="AB61" i="97"/>
  <c r="AA61" i="97"/>
  <c r="Z61" i="97"/>
  <c r="Y61" i="97"/>
  <c r="X61" i="97"/>
  <c r="W61" i="97"/>
  <c r="V61" i="97"/>
  <c r="U61" i="97"/>
  <c r="T61" i="97"/>
  <c r="S61" i="97"/>
  <c r="R61" i="97"/>
  <c r="Q61" i="97"/>
  <c r="P61" i="97"/>
  <c r="O61" i="97"/>
  <c r="N61" i="97"/>
  <c r="M61" i="97"/>
  <c r="L61" i="97"/>
  <c r="K61" i="97"/>
  <c r="J61" i="97"/>
  <c r="I61" i="97"/>
  <c r="H61" i="97"/>
  <c r="G61" i="97"/>
  <c r="BB60" i="97"/>
  <c r="BA60" i="97"/>
  <c r="AZ60" i="97"/>
  <c r="AY60" i="97"/>
  <c r="AX60" i="97"/>
  <c r="AW60" i="97"/>
  <c r="AV60" i="97"/>
  <c r="AU60" i="97"/>
  <c r="AT60" i="97"/>
  <c r="AS60" i="97"/>
  <c r="AR60" i="97"/>
  <c r="AQ60" i="97"/>
  <c r="AP60" i="97"/>
  <c r="AO60" i="97"/>
  <c r="AN60" i="97"/>
  <c r="AM60" i="97"/>
  <c r="AL60" i="97"/>
  <c r="AK60" i="97"/>
  <c r="AJ60" i="97"/>
  <c r="AI60" i="97"/>
  <c r="AH60" i="97"/>
  <c r="AG60" i="97"/>
  <c r="AF60" i="97"/>
  <c r="AE60" i="97"/>
  <c r="AD60" i="97"/>
  <c r="AC60" i="97"/>
  <c r="AB60" i="97"/>
  <c r="AA60" i="97"/>
  <c r="Z60" i="97"/>
  <c r="Y60" i="97"/>
  <c r="X60" i="97"/>
  <c r="W60" i="97"/>
  <c r="V60" i="97"/>
  <c r="U60" i="97"/>
  <c r="T60" i="97"/>
  <c r="S60" i="97"/>
  <c r="R60" i="97"/>
  <c r="Q60" i="97"/>
  <c r="P60" i="97"/>
  <c r="O60" i="97"/>
  <c r="N60" i="97"/>
  <c r="M60" i="97"/>
  <c r="L60" i="97"/>
  <c r="K60" i="97"/>
  <c r="J60" i="97"/>
  <c r="I60" i="97"/>
  <c r="H60" i="97"/>
  <c r="G60" i="97"/>
  <c r="AX59" i="97"/>
  <c r="AW59" i="97"/>
  <c r="AV59" i="97"/>
  <c r="AU59" i="97"/>
  <c r="AT59" i="97"/>
  <c r="AS59" i="97"/>
  <c r="AR59" i="97"/>
  <c r="AQ59" i="97"/>
  <c r="AP59" i="97"/>
  <c r="AO59" i="97"/>
  <c r="AN59" i="97"/>
  <c r="AM59" i="97"/>
  <c r="AL59" i="97"/>
  <c r="AK59" i="97"/>
  <c r="AJ59" i="97"/>
  <c r="AI59" i="97"/>
  <c r="AH59" i="97"/>
  <c r="AG59" i="97"/>
  <c r="AF59" i="97"/>
  <c r="AE59" i="97"/>
  <c r="AD59" i="97"/>
  <c r="AC59" i="97"/>
  <c r="AB59" i="97"/>
  <c r="AA59" i="97"/>
  <c r="Z59" i="97"/>
  <c r="Y59" i="97"/>
  <c r="X59" i="97"/>
  <c r="W59" i="97"/>
  <c r="V59" i="97"/>
  <c r="U59" i="97"/>
  <c r="T59" i="97"/>
  <c r="S59" i="97"/>
  <c r="R59" i="97"/>
  <c r="Q59" i="97"/>
  <c r="P59" i="97"/>
  <c r="O59" i="97"/>
  <c r="N59" i="97"/>
  <c r="M59" i="97"/>
  <c r="L59" i="97"/>
  <c r="K59" i="97"/>
  <c r="J59" i="97"/>
  <c r="I59" i="97"/>
  <c r="H59" i="97"/>
  <c r="G59" i="97"/>
  <c r="AX58" i="97"/>
  <c r="AW58" i="97"/>
  <c r="AV58" i="97"/>
  <c r="AU58" i="97"/>
  <c r="AT58" i="97"/>
  <c r="AS58" i="97"/>
  <c r="AR58" i="97"/>
  <c r="AQ58" i="97"/>
  <c r="AP58" i="97"/>
  <c r="AO58" i="97"/>
  <c r="AN58" i="97"/>
  <c r="AM58" i="97"/>
  <c r="AL58" i="97"/>
  <c r="AK58" i="97"/>
  <c r="AJ58" i="97"/>
  <c r="AI58" i="97"/>
  <c r="AH58" i="97"/>
  <c r="AG58" i="97"/>
  <c r="AF58" i="97"/>
  <c r="AE58" i="97"/>
  <c r="AD58" i="97"/>
  <c r="AC58" i="97"/>
  <c r="AB58" i="97"/>
  <c r="AA58" i="97"/>
  <c r="Z58" i="97"/>
  <c r="Y58" i="97"/>
  <c r="X58" i="97"/>
  <c r="W58" i="97"/>
  <c r="V58" i="97"/>
  <c r="U58" i="97"/>
  <c r="T58" i="97"/>
  <c r="S58" i="97"/>
  <c r="R58" i="97"/>
  <c r="Q58" i="97"/>
  <c r="P58" i="97"/>
  <c r="O58" i="97"/>
  <c r="N58" i="97"/>
  <c r="M58" i="97"/>
  <c r="L58" i="97"/>
  <c r="K58" i="97"/>
  <c r="J58" i="97"/>
  <c r="I58" i="97"/>
  <c r="H58" i="97"/>
  <c r="G58" i="97"/>
  <c r="AX57" i="97"/>
  <c r="AW57" i="97"/>
  <c r="AV57" i="97"/>
  <c r="AU57" i="97"/>
  <c r="AT57" i="97"/>
  <c r="AS57" i="97"/>
  <c r="AR57" i="97"/>
  <c r="AQ57" i="97"/>
  <c r="AP57" i="97"/>
  <c r="AO57" i="97"/>
  <c r="AN57" i="97"/>
  <c r="AM57" i="97"/>
  <c r="AL57" i="97"/>
  <c r="AK57" i="97"/>
  <c r="AJ57" i="97"/>
  <c r="AI57" i="97"/>
  <c r="AH57" i="97"/>
  <c r="AG57" i="97"/>
  <c r="AF57" i="97"/>
  <c r="AE57" i="97"/>
  <c r="AD57" i="97"/>
  <c r="AC57" i="97"/>
  <c r="AB57" i="97"/>
  <c r="AA57" i="97"/>
  <c r="Z57" i="97"/>
  <c r="Y57" i="97"/>
  <c r="X57" i="97"/>
  <c r="W57" i="97"/>
  <c r="V57" i="97"/>
  <c r="U57" i="97"/>
  <c r="T57" i="97"/>
  <c r="S57" i="97"/>
  <c r="R57" i="97"/>
  <c r="Q57" i="97"/>
  <c r="P57" i="97"/>
  <c r="O57" i="97"/>
  <c r="N57" i="97"/>
  <c r="M57" i="97"/>
  <c r="L57" i="97"/>
  <c r="K57" i="97"/>
  <c r="J57" i="97"/>
  <c r="I57" i="97"/>
  <c r="H57" i="97"/>
  <c r="G57" i="97"/>
  <c r="BB56" i="97"/>
  <c r="BA56" i="97"/>
  <c r="AZ56" i="97"/>
  <c r="AY56" i="97"/>
  <c r="AX56" i="97"/>
  <c r="AW56" i="97"/>
  <c r="AV56" i="97"/>
  <c r="AU56" i="97"/>
  <c r="AT56" i="97"/>
  <c r="AS56" i="97"/>
  <c r="AR56" i="97"/>
  <c r="AQ56" i="97"/>
  <c r="AP56" i="97"/>
  <c r="AO56" i="97"/>
  <c r="AN56" i="97"/>
  <c r="AM56" i="97"/>
  <c r="AL56" i="97"/>
  <c r="AK56" i="97"/>
  <c r="AJ56" i="97"/>
  <c r="AI56" i="97"/>
  <c r="AH56" i="97"/>
  <c r="AG56" i="97"/>
  <c r="AF56" i="97"/>
  <c r="AE56" i="97"/>
  <c r="AD56" i="97"/>
  <c r="AC56" i="97"/>
  <c r="AB56" i="97"/>
  <c r="AA56" i="97"/>
  <c r="Z56" i="97"/>
  <c r="Y56" i="97"/>
  <c r="X56" i="97"/>
  <c r="W56" i="97"/>
  <c r="V56" i="97"/>
  <c r="U56" i="97"/>
  <c r="T56" i="97"/>
  <c r="S56" i="97"/>
  <c r="R56" i="97"/>
  <c r="Q56" i="97"/>
  <c r="P56" i="97"/>
  <c r="O56" i="97"/>
  <c r="N56" i="97"/>
  <c r="M56" i="97"/>
  <c r="L56" i="97"/>
  <c r="K56" i="97"/>
  <c r="J56" i="97"/>
  <c r="I56" i="97"/>
  <c r="H56" i="97"/>
  <c r="G56" i="97"/>
  <c r="BB55" i="97"/>
  <c r="BA55" i="97"/>
  <c r="AZ55" i="97"/>
  <c r="AY55" i="97"/>
  <c r="AX55" i="97"/>
  <c r="AW55" i="97"/>
  <c r="AV55" i="97"/>
  <c r="AU55" i="97"/>
  <c r="AT55" i="97"/>
  <c r="AS55" i="97"/>
  <c r="AR55" i="97"/>
  <c r="AQ55" i="97"/>
  <c r="AP55" i="97"/>
  <c r="AO55" i="97"/>
  <c r="AN55" i="97"/>
  <c r="AM55" i="97"/>
  <c r="AL55" i="97"/>
  <c r="AK55" i="97"/>
  <c r="AJ55" i="97"/>
  <c r="AI55" i="97"/>
  <c r="AH55" i="97"/>
  <c r="AG55" i="97"/>
  <c r="AF55" i="97"/>
  <c r="AE55" i="97"/>
  <c r="AD55" i="97"/>
  <c r="AC55" i="97"/>
  <c r="AB55" i="97"/>
  <c r="AA55" i="97"/>
  <c r="Z55" i="97"/>
  <c r="Y55" i="97"/>
  <c r="X55" i="97"/>
  <c r="W55" i="97"/>
  <c r="V55" i="97"/>
  <c r="U55" i="97"/>
  <c r="T55" i="97"/>
  <c r="S55" i="97"/>
  <c r="R55" i="97"/>
  <c r="Q55" i="97"/>
  <c r="P55" i="97"/>
  <c r="O55" i="97"/>
  <c r="N55" i="97"/>
  <c r="M55" i="97"/>
  <c r="L55" i="97"/>
  <c r="K55" i="97"/>
  <c r="J55" i="97"/>
  <c r="I55" i="97"/>
  <c r="H55" i="97"/>
  <c r="G55" i="97"/>
  <c r="BB54" i="97"/>
  <c r="BA54" i="97"/>
  <c r="AZ54" i="97"/>
  <c r="AY54" i="97"/>
  <c r="AX54" i="97"/>
  <c r="AW54" i="97"/>
  <c r="AV54" i="97"/>
  <c r="AU54" i="97"/>
  <c r="AT54" i="97"/>
  <c r="AS54" i="97"/>
  <c r="AR54" i="97"/>
  <c r="AQ54" i="97"/>
  <c r="AP54" i="97"/>
  <c r="AO54" i="97"/>
  <c r="AN54" i="97"/>
  <c r="AM54" i="97"/>
  <c r="AL54" i="97"/>
  <c r="AK54" i="97"/>
  <c r="AJ54" i="97"/>
  <c r="AI54" i="97"/>
  <c r="AH54" i="97"/>
  <c r="AG54" i="97"/>
  <c r="AF54" i="97"/>
  <c r="AE54" i="97"/>
  <c r="AD54" i="97"/>
  <c r="AC54" i="97"/>
  <c r="AB54" i="97"/>
  <c r="AA54" i="97"/>
  <c r="BJ54" i="97" s="1"/>
  <c r="Z54" i="97"/>
  <c r="Y54" i="97"/>
  <c r="X54" i="97"/>
  <c r="W54" i="97"/>
  <c r="V54" i="97"/>
  <c r="U54" i="97"/>
  <c r="T54" i="97"/>
  <c r="S54" i="97"/>
  <c r="R54" i="97"/>
  <c r="Q54" i="97"/>
  <c r="P54" i="97"/>
  <c r="O54" i="97"/>
  <c r="N54" i="97"/>
  <c r="M54" i="97"/>
  <c r="L54" i="97"/>
  <c r="K54" i="97"/>
  <c r="J54" i="97"/>
  <c r="I54" i="97"/>
  <c r="H54" i="97"/>
  <c r="G54" i="97"/>
  <c r="BB53" i="97"/>
  <c r="BA53" i="97"/>
  <c r="AZ53" i="97"/>
  <c r="AY53" i="97"/>
  <c r="BP53" i="97" s="1"/>
  <c r="BQ58" i="80" s="1"/>
  <c r="BP58" i="80" s="1"/>
  <c r="BO58" i="80" s="1"/>
  <c r="BN58" i="80" s="1"/>
  <c r="BM58" i="80" s="1"/>
  <c r="AX53" i="97"/>
  <c r="AW53" i="97"/>
  <c r="AV53" i="97"/>
  <c r="AU53" i="97"/>
  <c r="AT53" i="97"/>
  <c r="AS53" i="97"/>
  <c r="AR53" i="97"/>
  <c r="AQ53" i="97"/>
  <c r="AP53" i="97"/>
  <c r="AO53" i="97"/>
  <c r="AN53" i="97"/>
  <c r="AM53" i="97"/>
  <c r="AL53" i="97"/>
  <c r="AK53" i="97"/>
  <c r="AJ53" i="97"/>
  <c r="AI53" i="97"/>
  <c r="AH53" i="97"/>
  <c r="AG53" i="97"/>
  <c r="AF53" i="97"/>
  <c r="AE53" i="97"/>
  <c r="BK53" i="97" s="1"/>
  <c r="AD53" i="97"/>
  <c r="AC53" i="97"/>
  <c r="AB53" i="97"/>
  <c r="AA53" i="97"/>
  <c r="Z53" i="97"/>
  <c r="Y53" i="97"/>
  <c r="X53" i="97"/>
  <c r="W53" i="97"/>
  <c r="V53" i="97"/>
  <c r="U53" i="97"/>
  <c r="T53" i="97"/>
  <c r="S53" i="97"/>
  <c r="R53" i="97"/>
  <c r="Q53" i="97"/>
  <c r="P53" i="97"/>
  <c r="O53" i="97"/>
  <c r="N53" i="97"/>
  <c r="M53" i="97"/>
  <c r="L53" i="97"/>
  <c r="K53" i="97"/>
  <c r="BF53" i="97" s="1"/>
  <c r="J53" i="97"/>
  <c r="I53" i="97"/>
  <c r="H53" i="97"/>
  <c r="G53" i="97"/>
  <c r="BB52" i="97"/>
  <c r="BA52" i="97"/>
  <c r="AZ52" i="97"/>
  <c r="AY52" i="97"/>
  <c r="AX52" i="97"/>
  <c r="AW52" i="97"/>
  <c r="AV52" i="97"/>
  <c r="AU52" i="97"/>
  <c r="AT52" i="97"/>
  <c r="AS52" i="97"/>
  <c r="AR52" i="97"/>
  <c r="AQ52" i="97"/>
  <c r="AP52" i="97"/>
  <c r="AO52" i="97"/>
  <c r="AN52" i="97"/>
  <c r="AM52" i="97"/>
  <c r="AL52" i="97"/>
  <c r="AK52" i="97"/>
  <c r="AJ52" i="97"/>
  <c r="AI52" i="97"/>
  <c r="AH52" i="97"/>
  <c r="AG52" i="97"/>
  <c r="AF52" i="97"/>
  <c r="AE52" i="97"/>
  <c r="AD52" i="97"/>
  <c r="AC52" i="97"/>
  <c r="AB52" i="97"/>
  <c r="AA52" i="97"/>
  <c r="Z52" i="97"/>
  <c r="Y52" i="97"/>
  <c r="X52" i="97"/>
  <c r="W52" i="97"/>
  <c r="V52" i="97"/>
  <c r="U52" i="97"/>
  <c r="T52" i="97"/>
  <c r="S52" i="97"/>
  <c r="R52" i="97"/>
  <c r="Q52" i="97"/>
  <c r="P52" i="97"/>
  <c r="O52" i="97"/>
  <c r="N52" i="97"/>
  <c r="M52" i="97"/>
  <c r="L52" i="97"/>
  <c r="K52" i="97"/>
  <c r="J52" i="97"/>
  <c r="I52" i="97"/>
  <c r="H52" i="97"/>
  <c r="G52" i="97"/>
  <c r="F129" i="97"/>
  <c r="E129" i="97"/>
  <c r="D129" i="97"/>
  <c r="BP129" i="97"/>
  <c r="BM129" i="97"/>
  <c r="BL129" i="97"/>
  <c r="BI129" i="97"/>
  <c r="BH129" i="97"/>
  <c r="BP128" i="97"/>
  <c r="BO128" i="97"/>
  <c r="BN128" i="97"/>
  <c r="BM128" i="97"/>
  <c r="BL128" i="97"/>
  <c r="BK128" i="97"/>
  <c r="BJ128" i="97"/>
  <c r="BI128" i="97"/>
  <c r="BH128" i="97"/>
  <c r="BG128" i="97"/>
  <c r="BP127" i="97"/>
  <c r="BO127" i="97"/>
  <c r="BN127" i="97"/>
  <c r="BM127" i="97"/>
  <c r="BL127" i="97"/>
  <c r="BK127" i="97"/>
  <c r="BJ127" i="97"/>
  <c r="BI127" i="97"/>
  <c r="BH127" i="97"/>
  <c r="BG127" i="97"/>
  <c r="BP126" i="97"/>
  <c r="BO126" i="97"/>
  <c r="BN126" i="97"/>
  <c r="BM126" i="97"/>
  <c r="BL126" i="97"/>
  <c r="BK126" i="97"/>
  <c r="BJ126" i="97"/>
  <c r="BI126" i="97"/>
  <c r="BH126" i="97"/>
  <c r="BG126" i="97"/>
  <c r="BP125" i="97"/>
  <c r="BO125" i="97"/>
  <c r="BN125" i="97"/>
  <c r="BM125" i="97"/>
  <c r="BL125" i="97"/>
  <c r="BK125" i="97"/>
  <c r="BJ125" i="97"/>
  <c r="BI125" i="97"/>
  <c r="BH125" i="97"/>
  <c r="BG125" i="97"/>
  <c r="BP124" i="97"/>
  <c r="BO124" i="97"/>
  <c r="BN124" i="97"/>
  <c r="BM124" i="97"/>
  <c r="BL124" i="97"/>
  <c r="BK124" i="97"/>
  <c r="BJ124" i="97"/>
  <c r="BI124" i="97"/>
  <c r="BH124" i="97"/>
  <c r="BG124" i="97"/>
  <c r="BP123" i="97"/>
  <c r="BO123" i="97"/>
  <c r="BN123" i="97"/>
  <c r="BM123" i="97"/>
  <c r="BL123" i="97"/>
  <c r="BK123" i="97"/>
  <c r="BJ123" i="97"/>
  <c r="BI123" i="97"/>
  <c r="BH123" i="97"/>
  <c r="BG123" i="97"/>
  <c r="BP122" i="97"/>
  <c r="BO122" i="97"/>
  <c r="BN122" i="97"/>
  <c r="BM122" i="97"/>
  <c r="BL122" i="97"/>
  <c r="BK122" i="97"/>
  <c r="BJ122" i="97"/>
  <c r="BI122" i="97"/>
  <c r="BH122" i="97"/>
  <c r="BG122" i="97"/>
  <c r="BP121" i="97"/>
  <c r="BO121" i="97"/>
  <c r="BN121" i="97"/>
  <c r="BM121" i="97"/>
  <c r="BL121" i="97"/>
  <c r="BK121" i="97"/>
  <c r="BJ121" i="97"/>
  <c r="BI121" i="97"/>
  <c r="BH121" i="97"/>
  <c r="BG121" i="97"/>
  <c r="BP120" i="97"/>
  <c r="BO120" i="97"/>
  <c r="BN120" i="97"/>
  <c r="BM120" i="97"/>
  <c r="BL120" i="97"/>
  <c r="BK120" i="97"/>
  <c r="BJ120" i="97"/>
  <c r="BI120" i="97"/>
  <c r="BH120" i="97"/>
  <c r="BG120" i="97"/>
  <c r="BP119" i="97"/>
  <c r="BO119" i="97"/>
  <c r="BN119" i="97"/>
  <c r="BM119" i="97"/>
  <c r="BL119" i="97"/>
  <c r="BK119" i="97"/>
  <c r="BJ119" i="97"/>
  <c r="BI119" i="97"/>
  <c r="BH119" i="97"/>
  <c r="BG119" i="97"/>
  <c r="BP118" i="97"/>
  <c r="BO118" i="97"/>
  <c r="BN118" i="97"/>
  <c r="BM118" i="97"/>
  <c r="BL118" i="97"/>
  <c r="BK118" i="97"/>
  <c r="BJ118" i="97"/>
  <c r="BI118" i="97"/>
  <c r="BH118" i="97"/>
  <c r="BG118" i="97"/>
  <c r="BP117" i="97"/>
  <c r="BO117" i="97"/>
  <c r="BN117" i="97"/>
  <c r="BM117" i="97"/>
  <c r="BL117" i="97"/>
  <c r="BK117" i="97"/>
  <c r="BJ117" i="97"/>
  <c r="BI117" i="97"/>
  <c r="BH117" i="97"/>
  <c r="BG117" i="97"/>
  <c r="BP116" i="97"/>
  <c r="BO116" i="97"/>
  <c r="BN116" i="97"/>
  <c r="BM116" i="97"/>
  <c r="BL116" i="97"/>
  <c r="BK116" i="97"/>
  <c r="BJ116" i="97"/>
  <c r="BI116" i="97"/>
  <c r="BH116" i="97"/>
  <c r="BG116" i="97"/>
  <c r="BP115" i="97"/>
  <c r="BO115" i="97"/>
  <c r="BN115" i="97"/>
  <c r="BM115" i="97"/>
  <c r="BL115" i="97"/>
  <c r="BK115" i="97"/>
  <c r="BJ115" i="97"/>
  <c r="BI115" i="97"/>
  <c r="BH115" i="97"/>
  <c r="BG115" i="97"/>
  <c r="BP114" i="97"/>
  <c r="BO114" i="97"/>
  <c r="BN114" i="97"/>
  <c r="BM114" i="97"/>
  <c r="BL114" i="97"/>
  <c r="BK114" i="97"/>
  <c r="BJ114" i="97"/>
  <c r="BI114" i="97"/>
  <c r="BH114" i="97"/>
  <c r="BG114" i="97"/>
  <c r="E128" i="97"/>
  <c r="D128" i="97"/>
  <c r="C128" i="97"/>
  <c r="E127" i="97"/>
  <c r="D127" i="97"/>
  <c r="C127" i="97"/>
  <c r="E126" i="97"/>
  <c r="D126" i="97"/>
  <c r="C126" i="97"/>
  <c r="E125" i="97"/>
  <c r="D125" i="97"/>
  <c r="C125" i="97"/>
  <c r="E124" i="97"/>
  <c r="D124" i="97"/>
  <c r="C124" i="97"/>
  <c r="E123" i="97"/>
  <c r="D123" i="97"/>
  <c r="C123" i="97"/>
  <c r="E122" i="97"/>
  <c r="D122" i="97"/>
  <c r="C122" i="97"/>
  <c r="E121" i="97"/>
  <c r="D121" i="97"/>
  <c r="C121" i="97"/>
  <c r="E120" i="97"/>
  <c r="D120" i="97"/>
  <c r="C120" i="97"/>
  <c r="E119" i="97"/>
  <c r="D119" i="97"/>
  <c r="C119" i="97"/>
  <c r="E118" i="97"/>
  <c r="D118" i="97"/>
  <c r="C118" i="97"/>
  <c r="E117" i="97"/>
  <c r="D117" i="97"/>
  <c r="C117" i="97"/>
  <c r="E116" i="97"/>
  <c r="D116" i="97"/>
  <c r="C116" i="97"/>
  <c r="E115" i="97"/>
  <c r="D115" i="97"/>
  <c r="C115" i="97"/>
  <c r="E114" i="97"/>
  <c r="D114" i="97"/>
  <c r="C114" i="97"/>
  <c r="E113" i="97"/>
  <c r="D113" i="97"/>
  <c r="C113" i="97"/>
  <c r="C111" i="97"/>
  <c r="C110" i="97"/>
  <c r="C109" i="97"/>
  <c r="C108" i="97"/>
  <c r="C107" i="97"/>
  <c r="C106" i="97"/>
  <c r="C105" i="97"/>
  <c r="C104" i="97"/>
  <c r="C103" i="97"/>
  <c r="C102" i="97"/>
  <c r="C101" i="97"/>
  <c r="C100" i="97"/>
  <c r="C99" i="97"/>
  <c r="C98" i="97"/>
  <c r="C97" i="97"/>
  <c r="C96" i="97"/>
  <c r="C95" i="97"/>
  <c r="CF102" i="97"/>
  <c r="CG102" i="97" s="1"/>
  <c r="CH102" i="97" s="1"/>
  <c r="CI102" i="97" s="1"/>
  <c r="CJ102" i="97" s="1"/>
  <c r="CK102" i="97" s="1"/>
  <c r="CL102" i="97" s="1"/>
  <c r="CM102" i="97" s="1"/>
  <c r="CN102" i="97" s="1"/>
  <c r="CO102" i="97" s="1"/>
  <c r="CP102" i="97" s="1"/>
  <c r="CQ102" i="97" s="1"/>
  <c r="CR102" i="97" s="1"/>
  <c r="CS102" i="97" s="1"/>
  <c r="CT102" i="97" s="1"/>
  <c r="CU102" i="97" s="1"/>
  <c r="CD102" i="97"/>
  <c r="CC102" i="97" s="1"/>
  <c r="CB102" i="97" s="1"/>
  <c r="CA102" i="97" s="1"/>
  <c r="BZ102" i="97" s="1"/>
  <c r="BY102" i="97" s="1"/>
  <c r="BX102" i="97" s="1"/>
  <c r="BW102" i="97" s="1"/>
  <c r="BP111" i="97"/>
  <c r="BO111" i="97"/>
  <c r="BN111" i="97"/>
  <c r="BM111" i="97"/>
  <c r="BL111" i="97"/>
  <c r="BK111" i="97"/>
  <c r="BJ111" i="97"/>
  <c r="BI111" i="97"/>
  <c r="BH111" i="97"/>
  <c r="BG111" i="97"/>
  <c r="BF111" i="97"/>
  <c r="BE111" i="97"/>
  <c r="BP110" i="97"/>
  <c r="BO110" i="97"/>
  <c r="BN110" i="97"/>
  <c r="BM110" i="97"/>
  <c r="BL110" i="97"/>
  <c r="BK110" i="97"/>
  <c r="BJ110" i="97"/>
  <c r="BI110" i="97"/>
  <c r="BH110" i="97"/>
  <c r="BG110" i="97"/>
  <c r="BF110" i="97"/>
  <c r="BE110" i="97"/>
  <c r="BP109" i="97"/>
  <c r="BO109" i="97"/>
  <c r="BN109" i="97"/>
  <c r="BM109" i="97"/>
  <c r="BL109" i="97"/>
  <c r="BK109" i="97"/>
  <c r="BJ109" i="97"/>
  <c r="BI109" i="97"/>
  <c r="BH109" i="97"/>
  <c r="BG109" i="97"/>
  <c r="BF109" i="97"/>
  <c r="BE109" i="97"/>
  <c r="BP108" i="97"/>
  <c r="BO108" i="97"/>
  <c r="BN108" i="97"/>
  <c r="BM108" i="97"/>
  <c r="BL108" i="97"/>
  <c r="BK108" i="97"/>
  <c r="BJ108" i="97"/>
  <c r="BI108" i="97"/>
  <c r="BH108" i="97"/>
  <c r="BG108" i="97"/>
  <c r="BF108" i="97"/>
  <c r="BE108" i="97"/>
  <c r="BO107" i="97"/>
  <c r="BN107" i="97"/>
  <c r="BM107" i="97"/>
  <c r="BL107" i="97"/>
  <c r="BK107" i="97"/>
  <c r="BJ107" i="97"/>
  <c r="BI107" i="97"/>
  <c r="BH107" i="97"/>
  <c r="BG107" i="97"/>
  <c r="BF107" i="97"/>
  <c r="BE107" i="97"/>
  <c r="BO106" i="97"/>
  <c r="BN106" i="97"/>
  <c r="BM106" i="97"/>
  <c r="BL106" i="97"/>
  <c r="BK106" i="97"/>
  <c r="BJ106" i="97"/>
  <c r="BI106" i="97"/>
  <c r="BH106" i="97"/>
  <c r="BG106" i="97"/>
  <c r="BF106" i="97"/>
  <c r="BE106" i="97"/>
  <c r="BO105" i="97"/>
  <c r="BN105" i="97"/>
  <c r="BM105" i="97"/>
  <c r="BL105" i="97"/>
  <c r="BK105" i="97"/>
  <c r="BJ105" i="97"/>
  <c r="BI105" i="97"/>
  <c r="BH105" i="97"/>
  <c r="BG105" i="97"/>
  <c r="BF105" i="97"/>
  <c r="BE105" i="97"/>
  <c r="BO104" i="97"/>
  <c r="BN104" i="97"/>
  <c r="BM104" i="97"/>
  <c r="BL104" i="97"/>
  <c r="BK104" i="97"/>
  <c r="BJ104" i="97"/>
  <c r="BI104" i="97"/>
  <c r="BH104" i="97"/>
  <c r="BG104" i="97"/>
  <c r="BF104" i="97"/>
  <c r="BE104" i="97"/>
  <c r="BO103" i="97"/>
  <c r="BN103" i="97"/>
  <c r="BM103" i="97"/>
  <c r="BL103" i="97"/>
  <c r="BK103" i="97"/>
  <c r="BJ103" i="97"/>
  <c r="BI103" i="97"/>
  <c r="BH103" i="97"/>
  <c r="BG103" i="97"/>
  <c r="BF103" i="97"/>
  <c r="BE103" i="97"/>
  <c r="BO102" i="97"/>
  <c r="BN102" i="97"/>
  <c r="BM102" i="97"/>
  <c r="BL102" i="97"/>
  <c r="BK102" i="97"/>
  <c r="BJ102" i="97"/>
  <c r="BI102" i="97"/>
  <c r="BH102" i="97"/>
  <c r="BG102" i="97"/>
  <c r="BF102" i="97"/>
  <c r="BE102" i="97"/>
  <c r="BO101" i="97"/>
  <c r="BN101" i="97"/>
  <c r="BM101" i="97"/>
  <c r="BL101" i="97"/>
  <c r="BK101" i="97"/>
  <c r="BJ101" i="97"/>
  <c r="BI101" i="97"/>
  <c r="BH101" i="97"/>
  <c r="BG101" i="97"/>
  <c r="BF101" i="97"/>
  <c r="BE101" i="97"/>
  <c r="BO100" i="97"/>
  <c r="BN100" i="97"/>
  <c r="BM100" i="97"/>
  <c r="BL100" i="97"/>
  <c r="BK100" i="97"/>
  <c r="BJ100" i="97"/>
  <c r="BI100" i="97"/>
  <c r="BH100" i="97"/>
  <c r="BG100" i="97"/>
  <c r="BF100" i="97"/>
  <c r="BE100" i="97"/>
  <c r="BP99" i="97"/>
  <c r="BO99" i="97"/>
  <c r="BN99" i="97"/>
  <c r="BM99" i="97"/>
  <c r="BL99" i="97"/>
  <c r="BK99" i="97"/>
  <c r="BJ99" i="97"/>
  <c r="BI99" i="97"/>
  <c r="BH99" i="97"/>
  <c r="BG99" i="97"/>
  <c r="BF99" i="97"/>
  <c r="BE99" i="97"/>
  <c r="BP98" i="97"/>
  <c r="BO98" i="97"/>
  <c r="BN98" i="97"/>
  <c r="BM98" i="97"/>
  <c r="BL98" i="97"/>
  <c r="BK98" i="97"/>
  <c r="BJ98" i="97"/>
  <c r="BI98" i="97"/>
  <c r="BH98" i="97"/>
  <c r="BG98" i="97"/>
  <c r="BF98" i="97"/>
  <c r="BE98" i="97"/>
  <c r="BP97" i="97"/>
  <c r="BO97" i="97"/>
  <c r="BN97" i="97"/>
  <c r="BM97" i="97"/>
  <c r="BL97" i="97"/>
  <c r="BK97" i="97"/>
  <c r="BJ97" i="97"/>
  <c r="BI97" i="97"/>
  <c r="BH97" i="97"/>
  <c r="BG97" i="97"/>
  <c r="BF97" i="97"/>
  <c r="BE97" i="97"/>
  <c r="BP96" i="97"/>
  <c r="BO96" i="97"/>
  <c r="BN96" i="97"/>
  <c r="BM96" i="97"/>
  <c r="BL96" i="97"/>
  <c r="BK96" i="97"/>
  <c r="BJ96" i="97"/>
  <c r="BI96" i="97"/>
  <c r="BH96" i="97"/>
  <c r="BG96" i="97"/>
  <c r="BF96" i="97"/>
  <c r="BE96" i="97"/>
  <c r="CF95" i="97"/>
  <c r="CG95" i="97" s="1"/>
  <c r="CH95" i="97" s="1"/>
  <c r="CI95" i="97" s="1"/>
  <c r="CJ95" i="97" s="1"/>
  <c r="CK95" i="97" s="1"/>
  <c r="CL95" i="97" s="1"/>
  <c r="CM95" i="97" s="1"/>
  <c r="CN95" i="97" s="1"/>
  <c r="CO95" i="97" s="1"/>
  <c r="CP95" i="97" s="1"/>
  <c r="CQ95" i="97" s="1"/>
  <c r="CR95" i="97" s="1"/>
  <c r="CS95" i="97" s="1"/>
  <c r="CT95" i="97" s="1"/>
  <c r="CU95" i="97" s="1"/>
  <c r="CD95" i="97"/>
  <c r="CC95" i="97" s="1"/>
  <c r="CB95" i="97" s="1"/>
  <c r="CA95" i="97" s="1"/>
  <c r="BZ95" i="97" s="1"/>
  <c r="BY95" i="97" s="1"/>
  <c r="BX95" i="97" s="1"/>
  <c r="BW95" i="97" s="1"/>
  <c r="C93" i="97"/>
  <c r="C92" i="97"/>
  <c r="C91" i="97"/>
  <c r="C90" i="97"/>
  <c r="C89" i="97"/>
  <c r="C88" i="97"/>
  <c r="C87" i="97"/>
  <c r="C86" i="97"/>
  <c r="C85" i="97"/>
  <c r="C84" i="97"/>
  <c r="C83" i="97"/>
  <c r="C82" i="97"/>
  <c r="C81" i="97"/>
  <c r="C80" i="97"/>
  <c r="C79" i="97"/>
  <c r="C78" i="97"/>
  <c r="C77" i="97"/>
  <c r="BW92" i="97"/>
  <c r="BX94" i="97" s="1"/>
  <c r="BZ88" i="97"/>
  <c r="BZ87" i="97"/>
  <c r="BZ86" i="97"/>
  <c r="BZ85" i="97"/>
  <c r="BZ84" i="97"/>
  <c r="BV80" i="97"/>
  <c r="BP93" i="97"/>
  <c r="BO93" i="97"/>
  <c r="BN93" i="97"/>
  <c r="BM93" i="97"/>
  <c r="BL93" i="97"/>
  <c r="BK93" i="97"/>
  <c r="BJ93" i="97"/>
  <c r="BI93" i="97"/>
  <c r="BH93" i="97"/>
  <c r="BG93" i="97"/>
  <c r="BF93" i="97"/>
  <c r="BE93" i="97"/>
  <c r="BP92" i="97"/>
  <c r="BO92" i="97"/>
  <c r="BN92" i="97"/>
  <c r="BM92" i="97"/>
  <c r="BL92" i="97"/>
  <c r="BK92" i="97"/>
  <c r="BJ92" i="97"/>
  <c r="BI92" i="97"/>
  <c r="BH92" i="97"/>
  <c r="BG92" i="97"/>
  <c r="BF92" i="97"/>
  <c r="BE92" i="97"/>
  <c r="BP91" i="97"/>
  <c r="BO91" i="97"/>
  <c r="BN91" i="97"/>
  <c r="BM91" i="97"/>
  <c r="BL91" i="97"/>
  <c r="BK91" i="97"/>
  <c r="BJ91" i="97"/>
  <c r="BI91" i="97"/>
  <c r="BH91" i="97"/>
  <c r="BG91" i="97"/>
  <c r="BF91" i="97"/>
  <c r="BE91" i="97"/>
  <c r="BP90" i="97"/>
  <c r="BO90" i="97"/>
  <c r="BN90" i="97"/>
  <c r="BM90" i="97"/>
  <c r="BL90" i="97"/>
  <c r="BK90" i="97"/>
  <c r="BJ90" i="97"/>
  <c r="BI90" i="97"/>
  <c r="BH90" i="97"/>
  <c r="BG90" i="97"/>
  <c r="BF90" i="97"/>
  <c r="BE90" i="97"/>
  <c r="BO89" i="97"/>
  <c r="BN89" i="97"/>
  <c r="BM89" i="97"/>
  <c r="BL89" i="97"/>
  <c r="BK89" i="97"/>
  <c r="BJ89" i="97"/>
  <c r="BI89" i="97"/>
  <c r="BH89" i="97"/>
  <c r="BG89" i="97"/>
  <c r="BF89" i="97"/>
  <c r="BE89" i="97"/>
  <c r="BO88" i="97"/>
  <c r="BN88" i="97"/>
  <c r="BM88" i="97"/>
  <c r="BL88" i="97"/>
  <c r="BK88" i="97"/>
  <c r="BJ88" i="97"/>
  <c r="BI88" i="97"/>
  <c r="BH88" i="97"/>
  <c r="BG88" i="97"/>
  <c r="BF88" i="97"/>
  <c r="BE88" i="97"/>
  <c r="BO87" i="97"/>
  <c r="BN87" i="97"/>
  <c r="BM87" i="97"/>
  <c r="BL87" i="97"/>
  <c r="BK87" i="97"/>
  <c r="BJ87" i="97"/>
  <c r="BI87" i="97"/>
  <c r="BH87" i="97"/>
  <c r="BG87" i="97"/>
  <c r="BF87" i="97"/>
  <c r="BE87" i="97"/>
  <c r="BO86" i="97"/>
  <c r="BN86" i="97"/>
  <c r="BM86" i="97"/>
  <c r="BL86" i="97"/>
  <c r="BK86" i="97"/>
  <c r="BJ86" i="97"/>
  <c r="BI86" i="97"/>
  <c r="BH86" i="97"/>
  <c r="BG86" i="97"/>
  <c r="BF86" i="97"/>
  <c r="BE86" i="97"/>
  <c r="BO85" i="97"/>
  <c r="BN85" i="97"/>
  <c r="BM85" i="97"/>
  <c r="BL85" i="97"/>
  <c r="BK85" i="97"/>
  <c r="BJ85" i="97"/>
  <c r="BI85" i="97"/>
  <c r="BH85" i="97"/>
  <c r="BG85" i="97"/>
  <c r="BF85" i="97"/>
  <c r="BE85" i="97"/>
  <c r="BO84" i="97"/>
  <c r="BN84" i="97"/>
  <c r="BM84" i="97"/>
  <c r="BL84" i="97"/>
  <c r="BK84" i="97"/>
  <c r="BJ84" i="97"/>
  <c r="BI84" i="97"/>
  <c r="BH84" i="97"/>
  <c r="BG84" i="97"/>
  <c r="BF84" i="97"/>
  <c r="BE84" i="97"/>
  <c r="BO83" i="97"/>
  <c r="BN83" i="97"/>
  <c r="BM83" i="97"/>
  <c r="BL83" i="97"/>
  <c r="BK83" i="97"/>
  <c r="BJ83" i="97"/>
  <c r="BI83" i="97"/>
  <c r="BH83" i="97"/>
  <c r="BG83" i="97"/>
  <c r="BF83" i="97"/>
  <c r="BE83" i="97"/>
  <c r="BO82" i="97"/>
  <c r="BN82" i="97"/>
  <c r="BM82" i="97"/>
  <c r="BL82" i="97"/>
  <c r="BK82" i="97"/>
  <c r="BJ82" i="97"/>
  <c r="BI82" i="97"/>
  <c r="BH82" i="97"/>
  <c r="BG82" i="97"/>
  <c r="BF82" i="97"/>
  <c r="BE82" i="97"/>
  <c r="BP81" i="97"/>
  <c r="BO81" i="97"/>
  <c r="BN81" i="97"/>
  <c r="BM81" i="97"/>
  <c r="BL81" i="97"/>
  <c r="BK81" i="97"/>
  <c r="BJ81" i="97"/>
  <c r="BI81" i="97"/>
  <c r="BH81" i="97"/>
  <c r="BG81" i="97"/>
  <c r="BF81" i="97"/>
  <c r="BE81" i="97"/>
  <c r="BP80" i="97"/>
  <c r="BO80" i="97"/>
  <c r="BN80" i="97"/>
  <c r="BM80" i="97"/>
  <c r="BL80" i="97"/>
  <c r="BK80" i="97"/>
  <c r="BJ80" i="97"/>
  <c r="BI80" i="97"/>
  <c r="BH80" i="97"/>
  <c r="BG80" i="97"/>
  <c r="BF80" i="97"/>
  <c r="BE80" i="97"/>
  <c r="BP79" i="97"/>
  <c r="BO79" i="97"/>
  <c r="BN79" i="97"/>
  <c r="BM79" i="97"/>
  <c r="BL79" i="97"/>
  <c r="BK79" i="97"/>
  <c r="BJ79" i="97"/>
  <c r="BI79" i="97"/>
  <c r="BH79" i="97"/>
  <c r="BG79" i="97"/>
  <c r="BF79" i="97"/>
  <c r="BE79" i="97"/>
  <c r="BP78" i="97"/>
  <c r="BO78" i="97"/>
  <c r="BN78" i="97"/>
  <c r="BM78" i="97"/>
  <c r="BL78" i="97"/>
  <c r="BK78" i="97"/>
  <c r="BJ78" i="97"/>
  <c r="BI78" i="97"/>
  <c r="BH78" i="97"/>
  <c r="BG78" i="97"/>
  <c r="BF78" i="97"/>
  <c r="BE78" i="97"/>
  <c r="E112" i="97"/>
  <c r="D112" i="97"/>
  <c r="E111" i="97"/>
  <c r="D111" i="97"/>
  <c r="E110" i="97"/>
  <c r="D110" i="97"/>
  <c r="E109" i="97"/>
  <c r="D109" i="97"/>
  <c r="E108" i="97"/>
  <c r="D108" i="97"/>
  <c r="E107" i="97"/>
  <c r="D107" i="97"/>
  <c r="E106" i="97"/>
  <c r="D106" i="97"/>
  <c r="E105" i="97"/>
  <c r="D105" i="97"/>
  <c r="E104" i="97"/>
  <c r="D104" i="97"/>
  <c r="E103" i="97"/>
  <c r="D103" i="97"/>
  <c r="E102" i="97"/>
  <c r="D102" i="97"/>
  <c r="E101" i="97"/>
  <c r="D101" i="97"/>
  <c r="E100" i="97"/>
  <c r="D100" i="97"/>
  <c r="E99" i="97"/>
  <c r="D99" i="97"/>
  <c r="E98" i="97"/>
  <c r="D98" i="97"/>
  <c r="E97" i="97"/>
  <c r="D97" i="97"/>
  <c r="E96" i="97"/>
  <c r="D96" i="97"/>
  <c r="E95" i="97"/>
  <c r="D95" i="97"/>
  <c r="E94" i="97"/>
  <c r="D94" i="97"/>
  <c r="E93" i="97"/>
  <c r="D93" i="97"/>
  <c r="E92" i="97"/>
  <c r="D92" i="97"/>
  <c r="E91" i="97"/>
  <c r="D91" i="97"/>
  <c r="E90" i="97"/>
  <c r="D90" i="97"/>
  <c r="E89" i="97"/>
  <c r="D89" i="97"/>
  <c r="E88" i="97"/>
  <c r="D88" i="97"/>
  <c r="E87" i="97"/>
  <c r="D87" i="97"/>
  <c r="E86" i="97"/>
  <c r="D86" i="97"/>
  <c r="E85" i="97"/>
  <c r="D85" i="97"/>
  <c r="E84" i="97"/>
  <c r="D84" i="97"/>
  <c r="E83" i="97"/>
  <c r="D83" i="97"/>
  <c r="E82" i="97"/>
  <c r="D82" i="97"/>
  <c r="E81" i="97"/>
  <c r="D81" i="97"/>
  <c r="E80" i="97"/>
  <c r="D80" i="97"/>
  <c r="E79" i="97"/>
  <c r="D79" i="97"/>
  <c r="E78" i="97"/>
  <c r="D78" i="97"/>
  <c r="E77" i="97"/>
  <c r="D77" i="97"/>
  <c r="BP74" i="97"/>
  <c r="BO74" i="97"/>
  <c r="BM74" i="97"/>
  <c r="BL74" i="97"/>
  <c r="BK74" i="97"/>
  <c r="BI74" i="97"/>
  <c r="BH74" i="97"/>
  <c r="BG74" i="97"/>
  <c r="BE74" i="97"/>
  <c r="BP73" i="97"/>
  <c r="BO73" i="97"/>
  <c r="BM73" i="97"/>
  <c r="BL73" i="97"/>
  <c r="BK73" i="97"/>
  <c r="BI73" i="97"/>
  <c r="BH73" i="97"/>
  <c r="BG73" i="97"/>
  <c r="BE73" i="97"/>
  <c r="BP72" i="97"/>
  <c r="BO72" i="97"/>
  <c r="BM72" i="97"/>
  <c r="BL72" i="97"/>
  <c r="BK72" i="97"/>
  <c r="BI72" i="97"/>
  <c r="BH72" i="97"/>
  <c r="BG72" i="97"/>
  <c r="BE72" i="97"/>
  <c r="E75" i="97"/>
  <c r="D75" i="97"/>
  <c r="C75" i="97"/>
  <c r="E74" i="97"/>
  <c r="D74" i="97"/>
  <c r="C74" i="97"/>
  <c r="E73" i="97"/>
  <c r="D73" i="97"/>
  <c r="C73" i="97"/>
  <c r="E72" i="97"/>
  <c r="D72" i="97"/>
  <c r="C72" i="97"/>
  <c r="E71" i="97"/>
  <c r="D71" i="97"/>
  <c r="C71" i="97"/>
  <c r="BV76" i="97"/>
  <c r="BV75" i="97"/>
  <c r="BV74" i="97"/>
  <c r="BV73" i="97"/>
  <c r="BV72" i="97"/>
  <c r="BV71" i="97"/>
  <c r="BV70" i="97"/>
  <c r="BV69" i="97"/>
  <c r="C68" i="97"/>
  <c r="C67" i="97"/>
  <c r="C66" i="97"/>
  <c r="C65" i="97"/>
  <c r="C64" i="97"/>
  <c r="C63" i="97"/>
  <c r="C62" i="97"/>
  <c r="C61" i="97"/>
  <c r="C60" i="97"/>
  <c r="BX64" i="97"/>
  <c r="BX61" i="97"/>
  <c r="BX59" i="97"/>
  <c r="BX58" i="97"/>
  <c r="AZ59" i="97" s="1"/>
  <c r="C58" i="97"/>
  <c r="BV79" i="97" s="1"/>
  <c r="C57" i="97"/>
  <c r="BV78" i="97" s="1"/>
  <c r="C56" i="97"/>
  <c r="C55" i="97"/>
  <c r="C54" i="97"/>
  <c r="C53" i="97"/>
  <c r="C52" i="97"/>
  <c r="C51" i="97"/>
  <c r="CZ58" i="97"/>
  <c r="CY58" i="97"/>
  <c r="CX58" i="97"/>
  <c r="CW58" i="97"/>
  <c r="CV58" i="97"/>
  <c r="CU58" i="97"/>
  <c r="CT58" i="97"/>
  <c r="CS58" i="97"/>
  <c r="CR58" i="97"/>
  <c r="CQ58" i="97"/>
  <c r="CP58" i="97"/>
  <c r="CO58" i="97"/>
  <c r="CN58" i="97"/>
  <c r="CM58" i="97"/>
  <c r="CL58" i="97"/>
  <c r="CK58" i="97"/>
  <c r="CJ58" i="97"/>
  <c r="CI58" i="97"/>
  <c r="CH58" i="97"/>
  <c r="CG58" i="97"/>
  <c r="CF58" i="97"/>
  <c r="CE58" i="97"/>
  <c r="CD58" i="97"/>
  <c r="CC58" i="97"/>
  <c r="CB58" i="97"/>
  <c r="CZ57" i="97"/>
  <c r="CY57" i="97"/>
  <c r="CX57" i="97"/>
  <c r="CW57" i="97"/>
  <c r="CV57" i="97"/>
  <c r="CU57" i="97"/>
  <c r="CT57" i="97"/>
  <c r="CS57" i="97"/>
  <c r="CR57" i="97"/>
  <c r="CQ57" i="97"/>
  <c r="CP57" i="97"/>
  <c r="CO57" i="97"/>
  <c r="CN57" i="97"/>
  <c r="CM57" i="97"/>
  <c r="CL57" i="97"/>
  <c r="CK57" i="97"/>
  <c r="CJ57" i="97"/>
  <c r="CI57" i="97"/>
  <c r="CH57" i="97"/>
  <c r="CG57" i="97"/>
  <c r="CF57" i="97"/>
  <c r="CE57" i="97"/>
  <c r="CD57" i="97"/>
  <c r="CC57" i="97"/>
  <c r="CB57" i="97"/>
  <c r="CZ56" i="97"/>
  <c r="CY56" i="97"/>
  <c r="CX56" i="97"/>
  <c r="CW56" i="97"/>
  <c r="CV56" i="97"/>
  <c r="CU56" i="97"/>
  <c r="CT56" i="97"/>
  <c r="CS56" i="97"/>
  <c r="CR56" i="97"/>
  <c r="CQ56" i="97"/>
  <c r="CP56" i="97"/>
  <c r="CO56" i="97"/>
  <c r="CN56" i="97"/>
  <c r="CM56" i="97"/>
  <c r="CL56" i="97"/>
  <c r="CK56" i="97"/>
  <c r="CJ56" i="97"/>
  <c r="CI56" i="97"/>
  <c r="CH56" i="97"/>
  <c r="CG56" i="97"/>
  <c r="CF56" i="97"/>
  <c r="CE56" i="97"/>
  <c r="CD56" i="97"/>
  <c r="CC56" i="97"/>
  <c r="CB56" i="97"/>
  <c r="CZ55" i="97"/>
  <c r="CY55" i="97"/>
  <c r="CX55" i="97"/>
  <c r="CW55" i="97"/>
  <c r="CV55" i="97"/>
  <c r="CU55" i="97"/>
  <c r="CT55" i="97"/>
  <c r="CS55" i="97"/>
  <c r="CR55" i="97"/>
  <c r="CQ55" i="97"/>
  <c r="CP55" i="97"/>
  <c r="CO55" i="97"/>
  <c r="CN55" i="97"/>
  <c r="CM55" i="97"/>
  <c r="CL55" i="97"/>
  <c r="CK55" i="97"/>
  <c r="CJ55" i="97"/>
  <c r="CI55" i="97"/>
  <c r="CH55" i="97"/>
  <c r="CG55" i="97"/>
  <c r="CF55" i="97"/>
  <c r="CE55" i="97"/>
  <c r="CD55" i="97"/>
  <c r="CC55" i="97"/>
  <c r="CB55" i="97"/>
  <c r="CZ54" i="97"/>
  <c r="CY54" i="97"/>
  <c r="CX54" i="97"/>
  <c r="CW54" i="97"/>
  <c r="CV54" i="97"/>
  <c r="CU54" i="97"/>
  <c r="CT54" i="97"/>
  <c r="CS54" i="97"/>
  <c r="CR54" i="97"/>
  <c r="CQ54" i="97"/>
  <c r="CP54" i="97"/>
  <c r="CO54" i="97"/>
  <c r="CN54" i="97"/>
  <c r="CM54" i="97"/>
  <c r="CL54" i="97"/>
  <c r="CK54" i="97"/>
  <c r="CJ54" i="97"/>
  <c r="CI54" i="97"/>
  <c r="CH54" i="97"/>
  <c r="CG54" i="97"/>
  <c r="CF54" i="97"/>
  <c r="CE54" i="97"/>
  <c r="CD54" i="97"/>
  <c r="CC54" i="97"/>
  <c r="CB54" i="97"/>
  <c r="CM53" i="97"/>
  <c r="CN53" i="97" s="1"/>
  <c r="CO53" i="97" s="1"/>
  <c r="CP53" i="97" s="1"/>
  <c r="CQ53" i="97" s="1"/>
  <c r="CR53" i="97" s="1"/>
  <c r="CS53" i="97" s="1"/>
  <c r="CT53" i="97" s="1"/>
  <c r="CU53" i="97" s="1"/>
  <c r="CV53" i="97" s="1"/>
  <c r="CW53" i="97" s="1"/>
  <c r="CX53" i="97" s="1"/>
  <c r="CY53" i="97" s="1"/>
  <c r="CZ53" i="97" s="1"/>
  <c r="CL53" i="97"/>
  <c r="CK53" i="97"/>
  <c r="CI53" i="97"/>
  <c r="CH53" i="97"/>
  <c r="CG53" i="97" s="1"/>
  <c r="CF53" i="97" s="1"/>
  <c r="CE53" i="97" s="1"/>
  <c r="CD53" i="97" s="1"/>
  <c r="CC53" i="97" s="1"/>
  <c r="CB53" i="97" s="1"/>
  <c r="BO68" i="97"/>
  <c r="BM68" i="97"/>
  <c r="BK68" i="97"/>
  <c r="BJ68" i="97"/>
  <c r="BG68" i="97"/>
  <c r="BF68" i="97"/>
  <c r="BE68" i="97"/>
  <c r="BN67" i="97"/>
  <c r="BM67" i="97"/>
  <c r="BK67" i="97"/>
  <c r="BI67" i="97"/>
  <c r="BG67" i="97"/>
  <c r="BF67" i="97"/>
  <c r="BO66" i="97"/>
  <c r="BN66" i="97"/>
  <c r="BM66" i="97"/>
  <c r="BJ66" i="97"/>
  <c r="BI66" i="97"/>
  <c r="BG66" i="97"/>
  <c r="BE66" i="97"/>
  <c r="BO65" i="97"/>
  <c r="BN65" i="97"/>
  <c r="BK65" i="97"/>
  <c r="BJ65" i="97"/>
  <c r="BI65" i="97"/>
  <c r="BF65" i="97"/>
  <c r="BE65" i="97"/>
  <c r="BO64" i="97"/>
  <c r="BM64" i="97"/>
  <c r="BK64" i="97"/>
  <c r="BJ64" i="97"/>
  <c r="BG64" i="97"/>
  <c r="BF64" i="97"/>
  <c r="BE64" i="97"/>
  <c r="BN63" i="97"/>
  <c r="BM63" i="97"/>
  <c r="BK63" i="97"/>
  <c r="BI63" i="97"/>
  <c r="BG63" i="97"/>
  <c r="BF63" i="97"/>
  <c r="BO62" i="97"/>
  <c r="BN62" i="97"/>
  <c r="BM62" i="97"/>
  <c r="BJ62" i="97"/>
  <c r="BI62" i="97"/>
  <c r="BG62" i="97"/>
  <c r="BE62" i="97"/>
  <c r="BO61" i="97"/>
  <c r="BN61" i="97"/>
  <c r="BK61" i="97"/>
  <c r="BJ61" i="97"/>
  <c r="BI61" i="97"/>
  <c r="BF61" i="97"/>
  <c r="BE61" i="97"/>
  <c r="BO60" i="97"/>
  <c r="BM60" i="97"/>
  <c r="BK60" i="97"/>
  <c r="BJ60" i="97"/>
  <c r="BG60" i="97"/>
  <c r="BF60" i="97"/>
  <c r="BE60" i="97"/>
  <c r="BN59" i="97"/>
  <c r="BM59" i="97"/>
  <c r="BL59" i="97"/>
  <c r="BJ59" i="97"/>
  <c r="BI59" i="97"/>
  <c r="BH59" i="97"/>
  <c r="BF59" i="97"/>
  <c r="BE59" i="97"/>
  <c r="BO58" i="97"/>
  <c r="BM58" i="97"/>
  <c r="BL58" i="97"/>
  <c r="BK58" i="97"/>
  <c r="BI58" i="97"/>
  <c r="BH58" i="97"/>
  <c r="BG58" i="97"/>
  <c r="BE58" i="97"/>
  <c r="BO57" i="97"/>
  <c r="BN57" i="97"/>
  <c r="BL57" i="97"/>
  <c r="BK57" i="97"/>
  <c r="BJ57" i="97"/>
  <c r="BH57" i="97"/>
  <c r="BG57" i="97"/>
  <c r="BF57" i="97"/>
  <c r="BP56" i="97"/>
  <c r="BO56" i="97"/>
  <c r="BN56" i="97"/>
  <c r="BL56" i="97"/>
  <c r="BK56" i="97"/>
  <c r="BJ56" i="97"/>
  <c r="BH56" i="97"/>
  <c r="BG56" i="97"/>
  <c r="BF56" i="97"/>
  <c r="BP55" i="97"/>
  <c r="BO55" i="97"/>
  <c r="BN55" i="97"/>
  <c r="BL55" i="97"/>
  <c r="BK55" i="97"/>
  <c r="BJ55" i="97"/>
  <c r="BH55" i="97"/>
  <c r="BG55" i="97"/>
  <c r="BF55" i="97"/>
  <c r="BP54" i="97"/>
  <c r="BO54" i="97"/>
  <c r="BN54" i="97"/>
  <c r="BL54" i="97"/>
  <c r="BK54" i="97"/>
  <c r="BH54" i="97"/>
  <c r="BG54" i="97"/>
  <c r="BF54" i="97"/>
  <c r="BO53" i="97"/>
  <c r="BN53" i="97"/>
  <c r="BL53" i="97"/>
  <c r="BJ53" i="97"/>
  <c r="BH53" i="97"/>
  <c r="BG53" i="97"/>
  <c r="BB51" i="97"/>
  <c r="BB50" i="97"/>
  <c r="BB49" i="97"/>
  <c r="BB48" i="97"/>
  <c r="BB47" i="97"/>
  <c r="BB46" i="97"/>
  <c r="BB37" i="97"/>
  <c r="BB36" i="97"/>
  <c r="BB35" i="97"/>
  <c r="BB34" i="97"/>
  <c r="BB33" i="97"/>
  <c r="BB32" i="97"/>
  <c r="BB31" i="97"/>
  <c r="BB30" i="97"/>
  <c r="BB29" i="97"/>
  <c r="BB28" i="97"/>
  <c r="BB19" i="97"/>
  <c r="BB18" i="97"/>
  <c r="BB17" i="97"/>
  <c r="BB16" i="97"/>
  <c r="BB15" i="97"/>
  <c r="BB14" i="97"/>
  <c r="BB13" i="97"/>
  <c r="BB12" i="97"/>
  <c r="BB11" i="97"/>
  <c r="BB10" i="97"/>
  <c r="BB9" i="97"/>
  <c r="BB8" i="97"/>
  <c r="AX51" i="97"/>
  <c r="AX50" i="97"/>
  <c r="AX49" i="97"/>
  <c r="AX48" i="97"/>
  <c r="AX47" i="97"/>
  <c r="AX46" i="97"/>
  <c r="AX45" i="97"/>
  <c r="AX44" i="97"/>
  <c r="AX43" i="97"/>
  <c r="AX42" i="97"/>
  <c r="AX41" i="97"/>
  <c r="AX40" i="97"/>
  <c r="AX39" i="97"/>
  <c r="AX38" i="97"/>
  <c r="AX37" i="97"/>
  <c r="AX36" i="97"/>
  <c r="AX35" i="97"/>
  <c r="AX34" i="97"/>
  <c r="AX33" i="97"/>
  <c r="AX32" i="97"/>
  <c r="AX31" i="97"/>
  <c r="AX30" i="97"/>
  <c r="AX29" i="97"/>
  <c r="AX28" i="97"/>
  <c r="AX27" i="97"/>
  <c r="AX26" i="97"/>
  <c r="AX25" i="97"/>
  <c r="AX24" i="97"/>
  <c r="AX23" i="97"/>
  <c r="AX22" i="97"/>
  <c r="AX21" i="97"/>
  <c r="AX20" i="97"/>
  <c r="AX19" i="97"/>
  <c r="AX18" i="97"/>
  <c r="AX17" i="97"/>
  <c r="AX16" i="97"/>
  <c r="AX15" i="97"/>
  <c r="AX14" i="97"/>
  <c r="AX13" i="97"/>
  <c r="AX12" i="97"/>
  <c r="AX11" i="97"/>
  <c r="AX10" i="97"/>
  <c r="AX9" i="97"/>
  <c r="AX8" i="97"/>
  <c r="AT51" i="97"/>
  <c r="AT50" i="97"/>
  <c r="AT49" i="97"/>
  <c r="AT48" i="97"/>
  <c r="AT47" i="97"/>
  <c r="AT46" i="97"/>
  <c r="AT45" i="97"/>
  <c r="AT44" i="97"/>
  <c r="AT43" i="97"/>
  <c r="AT42" i="97"/>
  <c r="AT41" i="97"/>
  <c r="AT40" i="97"/>
  <c r="AT39" i="97"/>
  <c r="AT38" i="97"/>
  <c r="AT37" i="97"/>
  <c r="AT36" i="97"/>
  <c r="AT35" i="97"/>
  <c r="AT34" i="97"/>
  <c r="AT33" i="97"/>
  <c r="AT32" i="97"/>
  <c r="AT31" i="97"/>
  <c r="AT30" i="97"/>
  <c r="AT29" i="97"/>
  <c r="AT28" i="97"/>
  <c r="AT27" i="97"/>
  <c r="AT26" i="97"/>
  <c r="AT25" i="97"/>
  <c r="AT24" i="97"/>
  <c r="AT23" i="97"/>
  <c r="AT22" i="97"/>
  <c r="AT21" i="97"/>
  <c r="AT20" i="97"/>
  <c r="AT19" i="97"/>
  <c r="AT18" i="97"/>
  <c r="AT17" i="97"/>
  <c r="AT16" i="97"/>
  <c r="AT15" i="97"/>
  <c r="AT14" i="97"/>
  <c r="AT13" i="97"/>
  <c r="AT12" i="97"/>
  <c r="AT11" i="97"/>
  <c r="AT10" i="97"/>
  <c r="AT9" i="97"/>
  <c r="AT8" i="97"/>
  <c r="AP51" i="97"/>
  <c r="AP50" i="97"/>
  <c r="AP49" i="97"/>
  <c r="AP48" i="97"/>
  <c r="AP47" i="97"/>
  <c r="AP46" i="97"/>
  <c r="AP45" i="97"/>
  <c r="AP44" i="97"/>
  <c r="AP43" i="97"/>
  <c r="AP42" i="97"/>
  <c r="AP41" i="97"/>
  <c r="AP40" i="97"/>
  <c r="AP39" i="97"/>
  <c r="AP38" i="97"/>
  <c r="AP37" i="97"/>
  <c r="AP36" i="97"/>
  <c r="AP35" i="97"/>
  <c r="AP34" i="97"/>
  <c r="AP33" i="97"/>
  <c r="AP32" i="97"/>
  <c r="AP31" i="97"/>
  <c r="AP30" i="97"/>
  <c r="AP29" i="97"/>
  <c r="AP28" i="97"/>
  <c r="AP27" i="97"/>
  <c r="AP26" i="97"/>
  <c r="AP25" i="97"/>
  <c r="AP24" i="97"/>
  <c r="AP23" i="97"/>
  <c r="AP22" i="97"/>
  <c r="AP21" i="97"/>
  <c r="AP20" i="97"/>
  <c r="AP19" i="97"/>
  <c r="AP18" i="97"/>
  <c r="AP17" i="97"/>
  <c r="AP16" i="97"/>
  <c r="AP15" i="97"/>
  <c r="AP14" i="97"/>
  <c r="AP13" i="97"/>
  <c r="AP12" i="97"/>
  <c r="AP11" i="97"/>
  <c r="AP10" i="97"/>
  <c r="AP9" i="97"/>
  <c r="AP8" i="97"/>
  <c r="AP7" i="97"/>
  <c r="AP6" i="97"/>
  <c r="AL51" i="97"/>
  <c r="AL50" i="97"/>
  <c r="AL49" i="97"/>
  <c r="AL48" i="97"/>
  <c r="AL47" i="97"/>
  <c r="AL46" i="97"/>
  <c r="AL45" i="97"/>
  <c r="AL44" i="97"/>
  <c r="AL43" i="97"/>
  <c r="AL42" i="97"/>
  <c r="AL41" i="97"/>
  <c r="AL40" i="97"/>
  <c r="AL39" i="97"/>
  <c r="AL38" i="97"/>
  <c r="AL37" i="97"/>
  <c r="AL36" i="97"/>
  <c r="AL35" i="97"/>
  <c r="AL34" i="97"/>
  <c r="AL33" i="97"/>
  <c r="AL32" i="97"/>
  <c r="AL31" i="97"/>
  <c r="AL30" i="97"/>
  <c r="AL29" i="97"/>
  <c r="AL28" i="97"/>
  <c r="AL27" i="97"/>
  <c r="AL26" i="97"/>
  <c r="AL25" i="97"/>
  <c r="AL24" i="97"/>
  <c r="AL23" i="97"/>
  <c r="AL22" i="97"/>
  <c r="AL21" i="97"/>
  <c r="AL20" i="97"/>
  <c r="AL19" i="97"/>
  <c r="AL18" i="97"/>
  <c r="AL17" i="97"/>
  <c r="AL16" i="97"/>
  <c r="AL15" i="97"/>
  <c r="AL14" i="97"/>
  <c r="AL13" i="97"/>
  <c r="AL12" i="97"/>
  <c r="AL11" i="97"/>
  <c r="AL10" i="97"/>
  <c r="AL9" i="97"/>
  <c r="AL8" i="97"/>
  <c r="AL7" i="97"/>
  <c r="AL6" i="97"/>
  <c r="G51" i="97"/>
  <c r="G50" i="97"/>
  <c r="G49" i="97"/>
  <c r="G48" i="97"/>
  <c r="G47" i="97"/>
  <c r="G46" i="97"/>
  <c r="G45" i="97"/>
  <c r="G44" i="97"/>
  <c r="G43" i="97"/>
  <c r="G42" i="97"/>
  <c r="G41" i="97"/>
  <c r="G40" i="97"/>
  <c r="G39" i="97"/>
  <c r="G38" i="97"/>
  <c r="G37" i="97"/>
  <c r="G36" i="97"/>
  <c r="G35" i="97"/>
  <c r="G34" i="97"/>
  <c r="G33" i="97"/>
  <c r="G32" i="97"/>
  <c r="G31" i="97"/>
  <c r="G30" i="97"/>
  <c r="G29" i="97"/>
  <c r="G28" i="97"/>
  <c r="G27" i="97"/>
  <c r="G26" i="97"/>
  <c r="G25" i="97"/>
  <c r="G24" i="97"/>
  <c r="G23" i="97"/>
  <c r="G22" i="97"/>
  <c r="G21" i="97"/>
  <c r="G20" i="97"/>
  <c r="G19" i="97"/>
  <c r="G18" i="97"/>
  <c r="G17" i="97"/>
  <c r="G16" i="97"/>
  <c r="G15" i="97"/>
  <c r="G14" i="97"/>
  <c r="G13" i="97"/>
  <c r="G12" i="97"/>
  <c r="G11" i="97"/>
  <c r="G10" i="97"/>
  <c r="G9" i="97"/>
  <c r="G8" i="97"/>
  <c r="G7" i="97"/>
  <c r="G6" i="97"/>
  <c r="C49" i="97"/>
  <c r="C48" i="97"/>
  <c r="C47" i="97"/>
  <c r="C46" i="97"/>
  <c r="C45" i="97"/>
  <c r="C44" i="97"/>
  <c r="C43" i="97"/>
  <c r="C42" i="97"/>
  <c r="C41" i="97"/>
  <c r="C40" i="97"/>
  <c r="C39" i="97"/>
  <c r="C38" i="97"/>
  <c r="C37" i="97"/>
  <c r="C36" i="97"/>
  <c r="C35" i="97"/>
  <c r="C34" i="97"/>
  <c r="C33" i="97"/>
  <c r="BX47" i="97"/>
  <c r="BX46" i="97"/>
  <c r="BX45" i="97"/>
  <c r="BX44" i="97"/>
  <c r="BX43" i="97"/>
  <c r="CN45" i="97"/>
  <c r="CO45" i="97" s="1"/>
  <c r="CP45" i="97" s="1"/>
  <c r="CQ45" i="97" s="1"/>
  <c r="CR45" i="97" s="1"/>
  <c r="CS45" i="97" s="1"/>
  <c r="CT45" i="97" s="1"/>
  <c r="CU45" i="97" s="1"/>
  <c r="CV45" i="97" s="1"/>
  <c r="CW45" i="97" s="1"/>
  <c r="CX45" i="97" s="1"/>
  <c r="CY45" i="97" s="1"/>
  <c r="CZ45" i="97" s="1"/>
  <c r="CM45" i="97"/>
  <c r="CL45" i="97"/>
  <c r="CK45" i="97"/>
  <c r="CI45" i="97"/>
  <c r="CH45" i="97" s="1"/>
  <c r="CG45" i="97" s="1"/>
  <c r="CF45" i="97" s="1"/>
  <c r="CE45" i="97" s="1"/>
  <c r="CD45" i="97" s="1"/>
  <c r="CC45" i="97" s="1"/>
  <c r="CB45" i="97" s="1"/>
  <c r="AK50" i="97"/>
  <c r="AJ50" i="97"/>
  <c r="AI50" i="97"/>
  <c r="AH50" i="97"/>
  <c r="AG50" i="97"/>
  <c r="AF50" i="97"/>
  <c r="AE50" i="97"/>
  <c r="AD50" i="97"/>
  <c r="AC50" i="97"/>
  <c r="AB50" i="97"/>
  <c r="AA50" i="97"/>
  <c r="Z50" i="97"/>
  <c r="Y50" i="97"/>
  <c r="X50" i="97"/>
  <c r="W50" i="97"/>
  <c r="V50" i="97"/>
  <c r="U50" i="97"/>
  <c r="T50" i="97"/>
  <c r="S50" i="97"/>
  <c r="R50" i="97"/>
  <c r="Q50" i="97"/>
  <c r="P50" i="97"/>
  <c r="O50" i="97"/>
  <c r="N50" i="97"/>
  <c r="M50" i="97"/>
  <c r="L50" i="97"/>
  <c r="K50" i="97"/>
  <c r="J50" i="97"/>
  <c r="I50" i="97"/>
  <c r="H50" i="97"/>
  <c r="AK49" i="97"/>
  <c r="AJ49" i="97"/>
  <c r="AI49" i="97"/>
  <c r="AH49" i="97"/>
  <c r="AG49" i="97"/>
  <c r="AF49" i="97"/>
  <c r="AE49" i="97"/>
  <c r="AD49" i="97"/>
  <c r="AC49" i="97"/>
  <c r="AB49" i="97"/>
  <c r="AA49" i="97"/>
  <c r="Z49" i="97"/>
  <c r="Y49" i="97"/>
  <c r="X49" i="97"/>
  <c r="W49" i="97"/>
  <c r="V49" i="97"/>
  <c r="U49" i="97"/>
  <c r="T49" i="97"/>
  <c r="S49" i="97"/>
  <c r="R49" i="97"/>
  <c r="Q49" i="97"/>
  <c r="P49" i="97"/>
  <c r="O49" i="97"/>
  <c r="N49" i="97"/>
  <c r="M49" i="97"/>
  <c r="L49" i="97"/>
  <c r="K49" i="97"/>
  <c r="J49" i="97"/>
  <c r="I49" i="97"/>
  <c r="H49" i="97"/>
  <c r="AK48" i="97"/>
  <c r="AJ48" i="97"/>
  <c r="AI48" i="97"/>
  <c r="AH48" i="97"/>
  <c r="AG48" i="97"/>
  <c r="AF48" i="97"/>
  <c r="AE48" i="97"/>
  <c r="AD48" i="97"/>
  <c r="AC48" i="97"/>
  <c r="AB48" i="97"/>
  <c r="AA48" i="97"/>
  <c r="Z48" i="97"/>
  <c r="Y48" i="97"/>
  <c r="X48" i="97"/>
  <c r="W48" i="97"/>
  <c r="V48" i="97"/>
  <c r="U48" i="97"/>
  <c r="T48" i="97"/>
  <c r="S48" i="97"/>
  <c r="R48" i="97"/>
  <c r="Q48" i="97"/>
  <c r="P48" i="97"/>
  <c r="O48" i="97"/>
  <c r="N48" i="97"/>
  <c r="M48" i="97"/>
  <c r="L48" i="97"/>
  <c r="K48" i="97"/>
  <c r="J48" i="97"/>
  <c r="I48" i="97"/>
  <c r="H48" i="97"/>
  <c r="AK47" i="97"/>
  <c r="AJ47" i="97"/>
  <c r="AI47" i="97"/>
  <c r="AH47" i="97"/>
  <c r="AG47" i="97"/>
  <c r="AF47" i="97"/>
  <c r="AE47" i="97"/>
  <c r="AD47" i="97"/>
  <c r="AC47" i="97"/>
  <c r="AB47" i="97"/>
  <c r="AA47" i="97"/>
  <c r="Z47" i="97"/>
  <c r="Y47" i="97"/>
  <c r="X47" i="97"/>
  <c r="W47" i="97"/>
  <c r="V47" i="97"/>
  <c r="U47" i="97"/>
  <c r="T47" i="97"/>
  <c r="S47" i="97"/>
  <c r="R47" i="97"/>
  <c r="Q47" i="97"/>
  <c r="P47" i="97"/>
  <c r="O47" i="97"/>
  <c r="N47" i="97"/>
  <c r="M47" i="97"/>
  <c r="L47" i="97"/>
  <c r="K47" i="97"/>
  <c r="J47" i="97"/>
  <c r="I47" i="97"/>
  <c r="H47" i="97"/>
  <c r="AK46" i="97"/>
  <c r="AJ46" i="97"/>
  <c r="AI46" i="97"/>
  <c r="AH46" i="97"/>
  <c r="AG46" i="97"/>
  <c r="AF46" i="97"/>
  <c r="AE46" i="97"/>
  <c r="AD46" i="97"/>
  <c r="AC46" i="97"/>
  <c r="AB46" i="97"/>
  <c r="AA46" i="97"/>
  <c r="Z46" i="97"/>
  <c r="Y46" i="97"/>
  <c r="X46" i="97"/>
  <c r="W46" i="97"/>
  <c r="V46" i="97"/>
  <c r="U46" i="97"/>
  <c r="T46" i="97"/>
  <c r="S46" i="97"/>
  <c r="R46" i="97"/>
  <c r="Q46" i="97"/>
  <c r="P46" i="97"/>
  <c r="O46" i="97"/>
  <c r="N46" i="97"/>
  <c r="M46" i="97"/>
  <c r="L46" i="97"/>
  <c r="K46" i="97"/>
  <c r="J46" i="97"/>
  <c r="I46" i="97"/>
  <c r="H46" i="97"/>
  <c r="AK45" i="97"/>
  <c r="AJ45" i="97"/>
  <c r="AI45" i="97"/>
  <c r="AH45" i="97"/>
  <c r="AG45" i="97"/>
  <c r="AF45" i="97"/>
  <c r="AE45" i="97"/>
  <c r="AD45" i="97"/>
  <c r="AC45" i="97"/>
  <c r="AB45" i="97"/>
  <c r="AA45" i="97"/>
  <c r="Z45" i="97"/>
  <c r="Y45" i="97"/>
  <c r="X45" i="97"/>
  <c r="W45" i="97"/>
  <c r="V45" i="97"/>
  <c r="U45" i="97"/>
  <c r="T45" i="97"/>
  <c r="S45" i="97"/>
  <c r="R45" i="97"/>
  <c r="Q45" i="97"/>
  <c r="P45" i="97"/>
  <c r="O45" i="97"/>
  <c r="N45" i="97"/>
  <c r="M45" i="97"/>
  <c r="L45" i="97"/>
  <c r="K45" i="97"/>
  <c r="J45" i="97"/>
  <c r="I45" i="97"/>
  <c r="H45" i="97"/>
  <c r="AK44" i="97"/>
  <c r="AJ44" i="97"/>
  <c r="AI44" i="97"/>
  <c r="AH44" i="97"/>
  <c r="AG44" i="97"/>
  <c r="AF44" i="97"/>
  <c r="AE44" i="97"/>
  <c r="AD44" i="97"/>
  <c r="AC44" i="97"/>
  <c r="AB44" i="97"/>
  <c r="AA44" i="97"/>
  <c r="Z44" i="97"/>
  <c r="Y44" i="97"/>
  <c r="X44" i="97"/>
  <c r="W44" i="97"/>
  <c r="V44" i="97"/>
  <c r="U44" i="97"/>
  <c r="T44" i="97"/>
  <c r="S44" i="97"/>
  <c r="R44" i="97"/>
  <c r="Q44" i="97"/>
  <c r="P44" i="97"/>
  <c r="O44" i="97"/>
  <c r="N44" i="97"/>
  <c r="M44" i="97"/>
  <c r="L44" i="97"/>
  <c r="K44" i="97"/>
  <c r="J44" i="97"/>
  <c r="I44" i="97"/>
  <c r="H44" i="97"/>
  <c r="AK43" i="97"/>
  <c r="AJ43" i="97"/>
  <c r="AI43" i="97"/>
  <c r="AH43" i="97"/>
  <c r="AG43" i="97"/>
  <c r="AF43" i="97"/>
  <c r="AE43" i="97"/>
  <c r="AD43" i="97"/>
  <c r="AC43" i="97"/>
  <c r="AB43" i="97"/>
  <c r="AA43" i="97"/>
  <c r="Z43" i="97"/>
  <c r="Y43" i="97"/>
  <c r="X43" i="97"/>
  <c r="W43" i="97"/>
  <c r="V43" i="97"/>
  <c r="U43" i="97"/>
  <c r="T43" i="97"/>
  <c r="S43" i="97"/>
  <c r="R43" i="97"/>
  <c r="Q43" i="97"/>
  <c r="P43" i="97"/>
  <c r="O43" i="97"/>
  <c r="N43" i="97"/>
  <c r="M43" i="97"/>
  <c r="L43" i="97"/>
  <c r="K43" i="97"/>
  <c r="J43" i="97"/>
  <c r="I43" i="97"/>
  <c r="H43" i="97"/>
  <c r="AK42" i="97"/>
  <c r="AJ42" i="97"/>
  <c r="AI42" i="97"/>
  <c r="AH42" i="97"/>
  <c r="AG42" i="97"/>
  <c r="AF42" i="97"/>
  <c r="AE42" i="97"/>
  <c r="AD42" i="97"/>
  <c r="AC42" i="97"/>
  <c r="AB42" i="97"/>
  <c r="AA42" i="97"/>
  <c r="Z42" i="97"/>
  <c r="Y42" i="97"/>
  <c r="X42" i="97"/>
  <c r="W42" i="97"/>
  <c r="V42" i="97"/>
  <c r="U42" i="97"/>
  <c r="T42" i="97"/>
  <c r="S42" i="97"/>
  <c r="R42" i="97"/>
  <c r="Q42" i="97"/>
  <c r="P42" i="97"/>
  <c r="O42" i="97"/>
  <c r="N42" i="97"/>
  <c r="M42" i="97"/>
  <c r="L42" i="97"/>
  <c r="K42" i="97"/>
  <c r="J42" i="97"/>
  <c r="I42" i="97"/>
  <c r="H42" i="97"/>
  <c r="AK41" i="97"/>
  <c r="AJ41" i="97"/>
  <c r="AI41" i="97"/>
  <c r="AH41" i="97"/>
  <c r="AG41" i="97"/>
  <c r="AF41" i="97"/>
  <c r="AE41" i="97"/>
  <c r="AD41" i="97"/>
  <c r="AC41" i="97"/>
  <c r="AB41" i="97"/>
  <c r="AA41" i="97"/>
  <c r="Z41" i="97"/>
  <c r="Y41" i="97"/>
  <c r="X41" i="97"/>
  <c r="W41" i="97"/>
  <c r="V41" i="97"/>
  <c r="U41" i="97"/>
  <c r="T41" i="97"/>
  <c r="S41" i="97"/>
  <c r="R41" i="97"/>
  <c r="Q41" i="97"/>
  <c r="P41" i="97"/>
  <c r="O41" i="97"/>
  <c r="N41" i="97"/>
  <c r="M41" i="97"/>
  <c r="L41" i="97"/>
  <c r="K41" i="97"/>
  <c r="J41" i="97"/>
  <c r="I41" i="97"/>
  <c r="H41" i="97"/>
  <c r="AK40" i="97"/>
  <c r="AJ40" i="97"/>
  <c r="AI40" i="97"/>
  <c r="AH40" i="97"/>
  <c r="AG40" i="97"/>
  <c r="AF40" i="97"/>
  <c r="AE40" i="97"/>
  <c r="AD40" i="97"/>
  <c r="AC40" i="97"/>
  <c r="AB40" i="97"/>
  <c r="AA40" i="97"/>
  <c r="Z40" i="97"/>
  <c r="Y40" i="97"/>
  <c r="X40" i="97"/>
  <c r="W40" i="97"/>
  <c r="V40" i="97"/>
  <c r="U40" i="97"/>
  <c r="T40" i="97"/>
  <c r="S40" i="97"/>
  <c r="R40" i="97"/>
  <c r="Q40" i="97"/>
  <c r="P40" i="97"/>
  <c r="O40" i="97"/>
  <c r="N40" i="97"/>
  <c r="M40" i="97"/>
  <c r="L40" i="97"/>
  <c r="K40" i="97"/>
  <c r="J40" i="97"/>
  <c r="I40" i="97"/>
  <c r="H40" i="97"/>
  <c r="AK39" i="97"/>
  <c r="AJ39" i="97"/>
  <c r="AI39" i="97"/>
  <c r="AH39" i="97"/>
  <c r="AG39" i="97"/>
  <c r="AF39" i="97"/>
  <c r="AE39" i="97"/>
  <c r="AD39" i="97"/>
  <c r="AC39" i="97"/>
  <c r="AB39" i="97"/>
  <c r="AA39" i="97"/>
  <c r="Z39" i="97"/>
  <c r="Y39" i="97"/>
  <c r="X39" i="97"/>
  <c r="W39" i="97"/>
  <c r="V39" i="97"/>
  <c r="U39" i="97"/>
  <c r="T39" i="97"/>
  <c r="S39" i="97"/>
  <c r="R39" i="97"/>
  <c r="Q39" i="97"/>
  <c r="P39" i="97"/>
  <c r="O39" i="97"/>
  <c r="N39" i="97"/>
  <c r="M39" i="97"/>
  <c r="L39" i="97"/>
  <c r="K39" i="97"/>
  <c r="J39" i="97"/>
  <c r="I39" i="97"/>
  <c r="H39" i="97"/>
  <c r="AK38" i="97"/>
  <c r="AJ38" i="97"/>
  <c r="AI38" i="97"/>
  <c r="AH38" i="97"/>
  <c r="AG38" i="97"/>
  <c r="AF38" i="97"/>
  <c r="AE38" i="97"/>
  <c r="AD38" i="97"/>
  <c r="AC38" i="97"/>
  <c r="AB38" i="97"/>
  <c r="AA38" i="97"/>
  <c r="Z38" i="97"/>
  <c r="Y38" i="97"/>
  <c r="X38" i="97"/>
  <c r="W38" i="97"/>
  <c r="V38" i="97"/>
  <c r="U38" i="97"/>
  <c r="T38" i="97"/>
  <c r="S38" i="97"/>
  <c r="R38" i="97"/>
  <c r="Q38" i="97"/>
  <c r="P38" i="97"/>
  <c r="O38" i="97"/>
  <c r="N38" i="97"/>
  <c r="M38" i="97"/>
  <c r="L38" i="97"/>
  <c r="K38" i="97"/>
  <c r="J38" i="97"/>
  <c r="I38" i="97"/>
  <c r="H38" i="97"/>
  <c r="AK37" i="97"/>
  <c r="AJ37" i="97"/>
  <c r="AI37" i="97"/>
  <c r="AH37" i="97"/>
  <c r="AG37" i="97"/>
  <c r="AF37" i="97"/>
  <c r="AE37" i="97"/>
  <c r="AD37" i="97"/>
  <c r="AC37" i="97"/>
  <c r="AB37" i="97"/>
  <c r="AA37" i="97"/>
  <c r="Z37" i="97"/>
  <c r="Y37" i="97"/>
  <c r="X37" i="97"/>
  <c r="W37" i="97"/>
  <c r="V37" i="97"/>
  <c r="U37" i="97"/>
  <c r="T37" i="97"/>
  <c r="S37" i="97"/>
  <c r="R37" i="97"/>
  <c r="Q37" i="97"/>
  <c r="P37" i="97"/>
  <c r="O37" i="97"/>
  <c r="N37" i="97"/>
  <c r="M37" i="97"/>
  <c r="L37" i="97"/>
  <c r="K37" i="97"/>
  <c r="J37" i="97"/>
  <c r="I37" i="97"/>
  <c r="H37" i="97"/>
  <c r="AK36" i="97"/>
  <c r="AJ36" i="97"/>
  <c r="AI36" i="97"/>
  <c r="AH36" i="97"/>
  <c r="AG36" i="97"/>
  <c r="AF36" i="97"/>
  <c r="AE36" i="97"/>
  <c r="AD36" i="97"/>
  <c r="AC36" i="97"/>
  <c r="AB36" i="97"/>
  <c r="AA36" i="97"/>
  <c r="Z36" i="97"/>
  <c r="Y36" i="97"/>
  <c r="X36" i="97"/>
  <c r="W36" i="97"/>
  <c r="V36" i="97"/>
  <c r="U36" i="97"/>
  <c r="T36" i="97"/>
  <c r="S36" i="97"/>
  <c r="R36" i="97"/>
  <c r="Q36" i="97"/>
  <c r="P36" i="97"/>
  <c r="O36" i="97"/>
  <c r="N36" i="97"/>
  <c r="M36" i="97"/>
  <c r="L36" i="97"/>
  <c r="K36" i="97"/>
  <c r="J36" i="97"/>
  <c r="I36" i="97"/>
  <c r="H36" i="97"/>
  <c r="AK35" i="97"/>
  <c r="AJ35" i="97"/>
  <c r="AI35" i="97"/>
  <c r="AH35" i="97"/>
  <c r="AG35" i="97"/>
  <c r="AF35" i="97"/>
  <c r="AE35" i="97"/>
  <c r="AD35" i="97"/>
  <c r="AC35" i="97"/>
  <c r="AB35" i="97"/>
  <c r="AA35" i="97"/>
  <c r="Z35" i="97"/>
  <c r="Y35" i="97"/>
  <c r="X35" i="97"/>
  <c r="W35" i="97"/>
  <c r="V35" i="97"/>
  <c r="U35" i="97"/>
  <c r="T35" i="97"/>
  <c r="S35" i="97"/>
  <c r="R35" i="97"/>
  <c r="Q35" i="97"/>
  <c r="P35" i="97"/>
  <c r="O35" i="97"/>
  <c r="N35" i="97"/>
  <c r="M35" i="97"/>
  <c r="L35" i="97"/>
  <c r="K35" i="97"/>
  <c r="J35" i="97"/>
  <c r="I35" i="97"/>
  <c r="H35" i="97"/>
  <c r="AK34" i="97"/>
  <c r="AJ34" i="97"/>
  <c r="AI34" i="97"/>
  <c r="AH34" i="97"/>
  <c r="AG34" i="97"/>
  <c r="AF34" i="97"/>
  <c r="AE34" i="97"/>
  <c r="AD34" i="97"/>
  <c r="AC34" i="97"/>
  <c r="AB34" i="97"/>
  <c r="AA34" i="97"/>
  <c r="Z34" i="97"/>
  <c r="Y34" i="97"/>
  <c r="X34" i="97"/>
  <c r="W34" i="97"/>
  <c r="V34" i="97"/>
  <c r="U34" i="97"/>
  <c r="T34" i="97"/>
  <c r="S34" i="97"/>
  <c r="R34" i="97"/>
  <c r="Q34" i="97"/>
  <c r="P34" i="97"/>
  <c r="O34" i="97"/>
  <c r="N34" i="97"/>
  <c r="M34" i="97"/>
  <c r="L34" i="97"/>
  <c r="K34" i="97"/>
  <c r="J34" i="97"/>
  <c r="I34" i="97"/>
  <c r="H34" i="97"/>
  <c r="AK33" i="97"/>
  <c r="AJ33" i="97"/>
  <c r="AI33" i="97"/>
  <c r="AH33" i="97"/>
  <c r="AG33" i="97"/>
  <c r="AF33" i="97"/>
  <c r="AE33" i="97"/>
  <c r="AD33" i="97"/>
  <c r="AC33" i="97"/>
  <c r="AB33" i="97"/>
  <c r="AA33" i="97"/>
  <c r="Z33" i="97"/>
  <c r="Y33" i="97"/>
  <c r="X33" i="97"/>
  <c r="W33" i="97"/>
  <c r="V33" i="97"/>
  <c r="U33" i="97"/>
  <c r="T33" i="97"/>
  <c r="S33" i="97"/>
  <c r="R33" i="97"/>
  <c r="Q33" i="97"/>
  <c r="P33" i="97"/>
  <c r="O33" i="97"/>
  <c r="N33" i="97"/>
  <c r="M33" i="97"/>
  <c r="L33" i="97"/>
  <c r="K33" i="97"/>
  <c r="J33" i="97"/>
  <c r="I33" i="97"/>
  <c r="H33" i="97"/>
  <c r="Z32" i="97"/>
  <c r="Y32" i="97"/>
  <c r="X32" i="97"/>
  <c r="W32" i="97"/>
  <c r="V32" i="97"/>
  <c r="U32" i="97"/>
  <c r="T32" i="97"/>
  <c r="S32" i="97"/>
  <c r="R32" i="97"/>
  <c r="Q32" i="97"/>
  <c r="P32" i="97"/>
  <c r="O32" i="97"/>
  <c r="N32" i="97"/>
  <c r="M32" i="97"/>
  <c r="L32" i="97"/>
  <c r="K32" i="97"/>
  <c r="J32" i="97"/>
  <c r="I32" i="97"/>
  <c r="H32" i="97"/>
  <c r="C31" i="97"/>
  <c r="C30" i="97"/>
  <c r="C29" i="97"/>
  <c r="C28" i="97"/>
  <c r="C27" i="97"/>
  <c r="C26" i="97"/>
  <c r="C25" i="97"/>
  <c r="C24" i="97"/>
  <c r="C23" i="97"/>
  <c r="C22" i="97"/>
  <c r="C21" i="97"/>
  <c r="C20" i="97"/>
  <c r="C19" i="97"/>
  <c r="C18" i="97"/>
  <c r="C17" i="97"/>
  <c r="C16" i="97"/>
  <c r="C15" i="97"/>
  <c r="BX16" i="97"/>
  <c r="E69" i="97"/>
  <c r="D69" i="97"/>
  <c r="E68" i="97"/>
  <c r="D68" i="97"/>
  <c r="E67" i="97"/>
  <c r="D67" i="97"/>
  <c r="E66" i="97"/>
  <c r="D66" i="97"/>
  <c r="E65" i="97"/>
  <c r="D65" i="97"/>
  <c r="E64" i="97"/>
  <c r="D64" i="97"/>
  <c r="E63" i="97"/>
  <c r="D63" i="97"/>
  <c r="E62" i="97"/>
  <c r="D62" i="97"/>
  <c r="E61" i="97"/>
  <c r="D61" i="97"/>
  <c r="E60" i="97"/>
  <c r="D60" i="97"/>
  <c r="E59" i="97"/>
  <c r="D59" i="97"/>
  <c r="E58" i="97"/>
  <c r="D58" i="97"/>
  <c r="E57" i="97"/>
  <c r="D57" i="97"/>
  <c r="E56" i="97"/>
  <c r="D56" i="97"/>
  <c r="E55" i="97"/>
  <c r="D55" i="97"/>
  <c r="E54" i="97"/>
  <c r="D54" i="97"/>
  <c r="E53" i="97"/>
  <c r="D53" i="97"/>
  <c r="E52" i="97"/>
  <c r="D52" i="97"/>
  <c r="E51" i="97"/>
  <c r="D51" i="97"/>
  <c r="E50" i="97"/>
  <c r="D50" i="97"/>
  <c r="E49" i="97"/>
  <c r="D49" i="97"/>
  <c r="E48" i="97"/>
  <c r="D48" i="97"/>
  <c r="E47" i="97"/>
  <c r="D47" i="97"/>
  <c r="E46" i="97"/>
  <c r="D46" i="97"/>
  <c r="E45" i="97"/>
  <c r="D45" i="97"/>
  <c r="E44" i="97"/>
  <c r="D44" i="97"/>
  <c r="E43" i="97"/>
  <c r="D43" i="97"/>
  <c r="E42" i="97"/>
  <c r="D42" i="97"/>
  <c r="E41" i="97"/>
  <c r="D41" i="97"/>
  <c r="E40" i="97"/>
  <c r="D40" i="97"/>
  <c r="E39" i="97"/>
  <c r="D39" i="97"/>
  <c r="E38" i="97"/>
  <c r="D38" i="97"/>
  <c r="E37" i="97"/>
  <c r="D37" i="97"/>
  <c r="E36" i="97"/>
  <c r="D36" i="97"/>
  <c r="E35" i="97"/>
  <c r="D35" i="97"/>
  <c r="E34" i="97"/>
  <c r="D34" i="97"/>
  <c r="E33" i="97"/>
  <c r="D33" i="97"/>
  <c r="E32" i="97"/>
  <c r="D32" i="97"/>
  <c r="E31" i="97"/>
  <c r="D31" i="97"/>
  <c r="E30" i="97"/>
  <c r="D30" i="97"/>
  <c r="E29" i="97"/>
  <c r="D29" i="97"/>
  <c r="E28" i="97"/>
  <c r="D28" i="97"/>
  <c r="E27" i="97"/>
  <c r="D27" i="97"/>
  <c r="E26" i="97"/>
  <c r="D26" i="97"/>
  <c r="E25" i="97"/>
  <c r="D25" i="97"/>
  <c r="E24" i="97"/>
  <c r="D24" i="97"/>
  <c r="E23" i="97"/>
  <c r="D23" i="97"/>
  <c r="E22" i="97"/>
  <c r="D22" i="97"/>
  <c r="E21" i="97"/>
  <c r="D21" i="97"/>
  <c r="E20" i="97"/>
  <c r="D20" i="97"/>
  <c r="E19" i="97"/>
  <c r="D19" i="97"/>
  <c r="E18" i="97"/>
  <c r="D18" i="97"/>
  <c r="E17" i="97"/>
  <c r="D17" i="97"/>
  <c r="E16" i="97"/>
  <c r="D16" i="97"/>
  <c r="E15" i="97"/>
  <c r="D15" i="97"/>
  <c r="BW8" i="97"/>
  <c r="BA50" i="97"/>
  <c r="AZ50" i="97"/>
  <c r="AY50" i="97"/>
  <c r="BA49" i="97"/>
  <c r="AZ49" i="97"/>
  <c r="AY49" i="97"/>
  <c r="BA48" i="97"/>
  <c r="AZ48" i="97"/>
  <c r="AY48" i="97"/>
  <c r="BA47" i="97"/>
  <c r="AZ47" i="97"/>
  <c r="AY47" i="97"/>
  <c r="BA46" i="97"/>
  <c r="AZ46" i="97"/>
  <c r="AY46" i="97"/>
  <c r="BA37" i="97"/>
  <c r="AZ37" i="97"/>
  <c r="AY37" i="97"/>
  <c r="BA36" i="97"/>
  <c r="AZ36" i="97"/>
  <c r="AY36" i="97"/>
  <c r="BA35" i="97"/>
  <c r="AZ35" i="97"/>
  <c r="AY35" i="97"/>
  <c r="BA34" i="97"/>
  <c r="AZ34" i="97"/>
  <c r="AY34" i="97"/>
  <c r="BA33" i="97"/>
  <c r="AZ33" i="97"/>
  <c r="AY33" i="97"/>
  <c r="BA32" i="97"/>
  <c r="AZ32" i="97"/>
  <c r="AY32" i="97"/>
  <c r="BA31" i="97"/>
  <c r="AZ31" i="97"/>
  <c r="AY31" i="97"/>
  <c r="BA30" i="97"/>
  <c r="AZ30" i="97"/>
  <c r="AY30" i="97"/>
  <c r="BA29" i="97"/>
  <c r="AZ29" i="97"/>
  <c r="AY29" i="97"/>
  <c r="BA28" i="97"/>
  <c r="AZ28" i="97"/>
  <c r="AY28" i="97"/>
  <c r="BA19" i="97"/>
  <c r="AZ19" i="97"/>
  <c r="AY19" i="97"/>
  <c r="BA18" i="97"/>
  <c r="AZ18" i="97"/>
  <c r="AY18" i="97"/>
  <c r="BA17" i="97"/>
  <c r="AZ17" i="97"/>
  <c r="AY17" i="97"/>
  <c r="BA16" i="97"/>
  <c r="AZ16" i="97"/>
  <c r="AY16" i="97"/>
  <c r="BA15" i="97"/>
  <c r="AZ15" i="97"/>
  <c r="AY15" i="97"/>
  <c r="BA14" i="97"/>
  <c r="AZ14" i="97"/>
  <c r="AY14" i="97"/>
  <c r="BA13" i="97"/>
  <c r="AZ13" i="97"/>
  <c r="AY13" i="97"/>
  <c r="BA12" i="97"/>
  <c r="AZ12" i="97"/>
  <c r="AY12" i="97"/>
  <c r="BA11" i="97"/>
  <c r="AZ11" i="97"/>
  <c r="AY11" i="97"/>
  <c r="BA10" i="97"/>
  <c r="AZ10" i="97"/>
  <c r="AY10" i="97"/>
  <c r="BA9" i="97"/>
  <c r="AZ9" i="97"/>
  <c r="AY9" i="97"/>
  <c r="BA8" i="97"/>
  <c r="AZ8" i="97"/>
  <c r="AY8" i="97"/>
  <c r="AW50" i="97"/>
  <c r="AV50" i="97"/>
  <c r="AU50" i="97"/>
  <c r="AW49" i="97"/>
  <c r="AV49" i="97"/>
  <c r="AU49" i="97"/>
  <c r="AW48" i="97"/>
  <c r="AV48" i="97"/>
  <c r="AU48" i="97"/>
  <c r="AW47" i="97"/>
  <c r="AV47" i="97"/>
  <c r="AU47" i="97"/>
  <c r="AW46" i="97"/>
  <c r="AV46" i="97"/>
  <c r="AU46" i="97"/>
  <c r="AW45" i="97"/>
  <c r="AV45" i="97"/>
  <c r="AU45" i="97"/>
  <c r="AW44" i="97"/>
  <c r="AV44" i="97"/>
  <c r="AU44" i="97"/>
  <c r="AW43" i="97"/>
  <c r="AV43" i="97"/>
  <c r="AU43" i="97"/>
  <c r="AW42" i="97"/>
  <c r="AV42" i="97"/>
  <c r="AU42" i="97"/>
  <c r="AW41" i="97"/>
  <c r="AV41" i="97"/>
  <c r="AU41" i="97"/>
  <c r="AW40" i="97"/>
  <c r="AV40" i="97"/>
  <c r="AU40" i="97"/>
  <c r="AW39" i="97"/>
  <c r="AV39" i="97"/>
  <c r="AU39" i="97"/>
  <c r="AW38" i="97"/>
  <c r="AV38" i="97"/>
  <c r="AU38" i="97"/>
  <c r="AW37" i="97"/>
  <c r="AV37" i="97"/>
  <c r="AU37" i="97"/>
  <c r="AW36" i="97"/>
  <c r="AV36" i="97"/>
  <c r="AU36" i="97"/>
  <c r="AW35" i="97"/>
  <c r="AV35" i="97"/>
  <c r="AU35" i="97"/>
  <c r="AW34" i="97"/>
  <c r="AV34" i="97"/>
  <c r="AU34" i="97"/>
  <c r="AW33" i="97"/>
  <c r="AV33" i="97"/>
  <c r="AU33" i="97"/>
  <c r="AW32" i="97"/>
  <c r="AV32" i="97"/>
  <c r="AU32" i="97"/>
  <c r="AW31" i="97"/>
  <c r="AV31" i="97"/>
  <c r="AU31" i="97"/>
  <c r="AW30" i="97"/>
  <c r="AV30" i="97"/>
  <c r="AU30" i="97"/>
  <c r="AW29" i="97"/>
  <c r="AV29" i="97"/>
  <c r="AU29" i="97"/>
  <c r="AW28" i="97"/>
  <c r="AV28" i="97"/>
  <c r="AU28" i="97"/>
  <c r="AW27" i="97"/>
  <c r="AV27" i="97"/>
  <c r="AU27" i="97"/>
  <c r="AW26" i="97"/>
  <c r="AV26" i="97"/>
  <c r="AU26" i="97"/>
  <c r="AW25" i="97"/>
  <c r="AV25" i="97"/>
  <c r="AU25" i="97"/>
  <c r="AW24" i="97"/>
  <c r="AV24" i="97"/>
  <c r="AU24" i="97"/>
  <c r="AW23" i="97"/>
  <c r="AV23" i="97"/>
  <c r="AU23" i="97"/>
  <c r="BO23" i="97" s="1"/>
  <c r="AW22" i="97"/>
  <c r="AV22" i="97"/>
  <c r="AU22" i="97"/>
  <c r="AW21" i="97"/>
  <c r="AV21" i="97"/>
  <c r="AU21" i="97"/>
  <c r="AW20" i="97"/>
  <c r="AV20" i="97"/>
  <c r="AU20" i="97"/>
  <c r="AW19" i="97"/>
  <c r="AV19" i="97"/>
  <c r="AU19" i="97"/>
  <c r="BO19" i="97" s="1"/>
  <c r="AW18" i="97"/>
  <c r="AV18" i="97"/>
  <c r="AU18" i="97"/>
  <c r="AW17" i="97"/>
  <c r="AV17" i="97"/>
  <c r="AU17" i="97"/>
  <c r="AW16" i="97"/>
  <c r="AV16" i="97"/>
  <c r="AU16" i="97"/>
  <c r="AW15" i="97"/>
  <c r="AV15" i="97"/>
  <c r="AU15" i="97"/>
  <c r="AW14" i="97"/>
  <c r="AV14" i="97"/>
  <c r="AU14" i="97"/>
  <c r="AW13" i="97"/>
  <c r="AV13" i="97"/>
  <c r="AU13" i="97"/>
  <c r="AW12" i="97"/>
  <c r="AV12" i="97"/>
  <c r="AU12" i="97"/>
  <c r="AW11" i="97"/>
  <c r="AV11" i="97"/>
  <c r="AU11" i="97"/>
  <c r="BO11" i="97" s="1"/>
  <c r="AW10" i="97"/>
  <c r="AV10" i="97"/>
  <c r="AU10" i="97"/>
  <c r="AW9" i="97"/>
  <c r="AV9" i="97"/>
  <c r="AU9" i="97"/>
  <c r="AW8" i="97"/>
  <c r="AV8" i="97"/>
  <c r="AU8" i="97"/>
  <c r="AS50" i="97"/>
  <c r="AR50" i="97"/>
  <c r="AQ50" i="97"/>
  <c r="AS49" i="97"/>
  <c r="AR49" i="97"/>
  <c r="AQ49" i="97"/>
  <c r="AS48" i="97"/>
  <c r="AR48" i="97"/>
  <c r="AQ48" i="97"/>
  <c r="AS47" i="97"/>
  <c r="AR47" i="97"/>
  <c r="AQ47" i="97"/>
  <c r="AS46" i="97"/>
  <c r="AR46" i="97"/>
  <c r="AQ46" i="97"/>
  <c r="AS45" i="97"/>
  <c r="AR45" i="97"/>
  <c r="AQ45" i="97"/>
  <c r="AS44" i="97"/>
  <c r="AR44" i="97"/>
  <c r="AQ44" i="97"/>
  <c r="AS43" i="97"/>
  <c r="AR43" i="97"/>
  <c r="AQ43" i="97"/>
  <c r="AS42" i="97"/>
  <c r="AR42" i="97"/>
  <c r="AQ42" i="97"/>
  <c r="AS41" i="97"/>
  <c r="AR41" i="97"/>
  <c r="AQ41" i="97"/>
  <c r="AS40" i="97"/>
  <c r="AR40" i="97"/>
  <c r="AQ40" i="97"/>
  <c r="AS39" i="97"/>
  <c r="AR39" i="97"/>
  <c r="AQ39" i="97"/>
  <c r="AS38" i="97"/>
  <c r="AR38" i="97"/>
  <c r="AQ38" i="97"/>
  <c r="AS37" i="97"/>
  <c r="AR37" i="97"/>
  <c r="AQ37" i="97"/>
  <c r="AS36" i="97"/>
  <c r="AR36" i="97"/>
  <c r="AQ36" i="97"/>
  <c r="AS35" i="97"/>
  <c r="AR35" i="97"/>
  <c r="AQ35" i="97"/>
  <c r="AS34" i="97"/>
  <c r="AR34" i="97"/>
  <c r="AQ34" i="97"/>
  <c r="AS33" i="97"/>
  <c r="AR33" i="97"/>
  <c r="AQ33" i="97"/>
  <c r="AS32" i="97"/>
  <c r="AR32" i="97"/>
  <c r="AQ32" i="97"/>
  <c r="AS31" i="97"/>
  <c r="AR31" i="97"/>
  <c r="AQ31" i="97"/>
  <c r="AS30" i="97"/>
  <c r="AR30" i="97"/>
  <c r="AQ30" i="97"/>
  <c r="BN30" i="97" s="1"/>
  <c r="AS29" i="97"/>
  <c r="AR29" i="97"/>
  <c r="AQ29" i="97"/>
  <c r="AS28" i="97"/>
  <c r="AR28" i="97"/>
  <c r="AQ28" i="97"/>
  <c r="AS27" i="97"/>
  <c r="AR27" i="97"/>
  <c r="AQ27" i="97"/>
  <c r="AS26" i="97"/>
  <c r="AR26" i="97"/>
  <c r="AQ26" i="97"/>
  <c r="BN26" i="97" s="1"/>
  <c r="AS25" i="97"/>
  <c r="AR25" i="97"/>
  <c r="AQ25" i="97"/>
  <c r="AS24" i="97"/>
  <c r="AR24" i="97"/>
  <c r="AQ24" i="97"/>
  <c r="AS23" i="97"/>
  <c r="AR23" i="97"/>
  <c r="AQ23" i="97"/>
  <c r="AS22" i="97"/>
  <c r="AR22" i="97"/>
  <c r="AQ22" i="97"/>
  <c r="BN22" i="97" s="1"/>
  <c r="AS21" i="97"/>
  <c r="AR21" i="97"/>
  <c r="AQ21" i="97"/>
  <c r="AS20" i="97"/>
  <c r="AR20" i="97"/>
  <c r="AQ20" i="97"/>
  <c r="AS19" i="97"/>
  <c r="AR19" i="97"/>
  <c r="AQ19" i="97"/>
  <c r="AS18" i="97"/>
  <c r="AR18" i="97"/>
  <c r="AQ18" i="97"/>
  <c r="BN18" i="97" s="1"/>
  <c r="AS17" i="97"/>
  <c r="AR17" i="97"/>
  <c r="AQ17" i="97"/>
  <c r="AS16" i="97"/>
  <c r="AR16" i="97"/>
  <c r="AQ16" i="97"/>
  <c r="AS15" i="97"/>
  <c r="AR15" i="97"/>
  <c r="AQ15" i="97"/>
  <c r="AS14" i="97"/>
  <c r="AR14" i="97"/>
  <c r="AQ14" i="97"/>
  <c r="AS13" i="97"/>
  <c r="AR13" i="97"/>
  <c r="AQ13" i="97"/>
  <c r="AS12" i="97"/>
  <c r="AR12" i="97"/>
  <c r="AQ12" i="97"/>
  <c r="AS11" i="97"/>
  <c r="AR11" i="97"/>
  <c r="AQ11" i="97"/>
  <c r="AS10" i="97"/>
  <c r="AR10" i="97"/>
  <c r="AQ10" i="97"/>
  <c r="BN10" i="97" s="1"/>
  <c r="AS9" i="97"/>
  <c r="AR9" i="97"/>
  <c r="AQ9" i="97"/>
  <c r="AS8" i="97"/>
  <c r="AR8" i="97"/>
  <c r="AQ8" i="97"/>
  <c r="E13" i="97"/>
  <c r="D13" i="97"/>
  <c r="C13" i="97"/>
  <c r="E12" i="97"/>
  <c r="D12" i="97"/>
  <c r="C12" i="97"/>
  <c r="E11" i="97"/>
  <c r="D11" i="97"/>
  <c r="C11" i="97"/>
  <c r="E10" i="97"/>
  <c r="D10" i="97"/>
  <c r="C10" i="97"/>
  <c r="E9" i="97"/>
  <c r="D9" i="97"/>
  <c r="C9" i="97"/>
  <c r="E8" i="97"/>
  <c r="D8" i="97"/>
  <c r="C8" i="97"/>
  <c r="E7" i="97"/>
  <c r="D7" i="97"/>
  <c r="C7" i="97"/>
  <c r="AO50" i="97"/>
  <c r="AN50" i="97"/>
  <c r="AM50" i="97"/>
  <c r="AO49" i="97"/>
  <c r="AN49" i="97"/>
  <c r="AM49" i="97"/>
  <c r="AO48" i="97"/>
  <c r="AN48" i="97"/>
  <c r="AM48" i="97"/>
  <c r="AO47" i="97"/>
  <c r="AN47" i="97"/>
  <c r="AM47" i="97"/>
  <c r="AO46" i="97"/>
  <c r="AN46" i="97"/>
  <c r="AM46" i="97"/>
  <c r="AO45" i="97"/>
  <c r="AN45" i="97"/>
  <c r="AM45" i="97"/>
  <c r="AO44" i="97"/>
  <c r="AN44" i="97"/>
  <c r="AM44" i="97"/>
  <c r="AO43" i="97"/>
  <c r="AN43" i="97"/>
  <c r="AM43" i="97"/>
  <c r="AO42" i="97"/>
  <c r="AN42" i="97"/>
  <c r="AM42" i="97"/>
  <c r="AO41" i="97"/>
  <c r="AN41" i="97"/>
  <c r="AM41" i="97"/>
  <c r="AO40" i="97"/>
  <c r="AN40" i="97"/>
  <c r="AM40" i="97"/>
  <c r="AO39" i="97"/>
  <c r="AN39" i="97"/>
  <c r="AM39" i="97"/>
  <c r="AO38" i="97"/>
  <c r="AN38" i="97"/>
  <c r="AM38" i="97"/>
  <c r="AO37" i="97"/>
  <c r="AN37" i="97"/>
  <c r="AM37" i="97"/>
  <c r="AO36" i="97"/>
  <c r="AN36" i="97"/>
  <c r="AM36" i="97"/>
  <c r="AO35" i="97"/>
  <c r="AN35" i="97"/>
  <c r="AM35" i="97"/>
  <c r="AO34" i="97"/>
  <c r="AN34" i="97"/>
  <c r="AM34" i="97"/>
  <c r="AO33" i="97"/>
  <c r="AN33" i="97"/>
  <c r="AM33" i="97"/>
  <c r="AO32" i="97"/>
  <c r="AN32" i="97"/>
  <c r="AM32" i="97"/>
  <c r="AO31" i="97"/>
  <c r="AN31" i="97"/>
  <c r="AM31" i="97"/>
  <c r="AO30" i="97"/>
  <c r="AN30" i="97"/>
  <c r="AM30" i="97"/>
  <c r="AO29" i="97"/>
  <c r="AN29" i="97"/>
  <c r="AM29" i="97"/>
  <c r="AO28" i="97"/>
  <c r="AN28" i="97"/>
  <c r="AM28" i="97"/>
  <c r="BM28" i="97" s="1"/>
  <c r="AO27" i="97"/>
  <c r="AN27" i="97"/>
  <c r="AM27" i="97"/>
  <c r="AO26" i="97"/>
  <c r="AN26" i="97"/>
  <c r="AM26" i="97"/>
  <c r="AO25" i="97"/>
  <c r="AN25" i="97"/>
  <c r="AM25" i="97"/>
  <c r="AO24" i="97"/>
  <c r="AN24" i="97"/>
  <c r="AM24" i="97"/>
  <c r="BM24" i="97" s="1"/>
  <c r="AO23" i="97"/>
  <c r="AN23" i="97"/>
  <c r="AM23" i="97"/>
  <c r="AO22" i="97"/>
  <c r="AN22" i="97"/>
  <c r="AM22" i="97"/>
  <c r="AO21" i="97"/>
  <c r="AN21" i="97"/>
  <c r="AM21" i="97"/>
  <c r="AO20" i="97"/>
  <c r="AN20" i="97"/>
  <c r="AM20" i="97"/>
  <c r="BM20" i="97" s="1"/>
  <c r="AO19" i="97"/>
  <c r="AN19" i="97"/>
  <c r="AM19" i="97"/>
  <c r="AO18" i="97"/>
  <c r="AN18" i="97"/>
  <c r="AM18" i="97"/>
  <c r="AO17" i="97"/>
  <c r="AN17" i="97"/>
  <c r="AM17" i="97"/>
  <c r="AO16" i="97"/>
  <c r="AN16" i="97"/>
  <c r="AM16" i="97"/>
  <c r="BM16" i="97" s="1"/>
  <c r="AO15" i="97"/>
  <c r="AN15" i="97"/>
  <c r="AM15" i="97"/>
  <c r="AO14" i="97"/>
  <c r="AN14" i="97"/>
  <c r="AM14" i="97"/>
  <c r="AO13" i="97"/>
  <c r="AN13" i="97"/>
  <c r="AM13" i="97"/>
  <c r="AO12" i="97"/>
  <c r="AN12" i="97"/>
  <c r="AM12" i="97"/>
  <c r="AO11" i="97"/>
  <c r="AN11" i="97"/>
  <c r="AM11" i="97"/>
  <c r="AO10" i="97"/>
  <c r="AN10" i="97"/>
  <c r="AM10" i="97"/>
  <c r="AO9" i="97"/>
  <c r="AN9" i="97"/>
  <c r="AM9" i="97"/>
  <c r="AO8" i="97"/>
  <c r="AN8" i="97"/>
  <c r="AM8" i="97"/>
  <c r="AO7" i="97"/>
  <c r="AN7" i="97"/>
  <c r="AM7" i="97"/>
  <c r="AO6" i="97"/>
  <c r="AN6" i="97"/>
  <c r="AM6" i="97"/>
  <c r="AK32" i="97"/>
  <c r="AJ32" i="97"/>
  <c r="AI32" i="97"/>
  <c r="AH32" i="97"/>
  <c r="AG32" i="97"/>
  <c r="AF32" i="97"/>
  <c r="AE32" i="97"/>
  <c r="AK31" i="97"/>
  <c r="AJ31" i="97"/>
  <c r="AI31" i="97"/>
  <c r="AH31" i="97"/>
  <c r="AG31" i="97"/>
  <c r="AF31" i="97"/>
  <c r="AE31" i="97"/>
  <c r="AK30" i="97"/>
  <c r="AJ30" i="97"/>
  <c r="AI30" i="97"/>
  <c r="AH30" i="97"/>
  <c r="AG30" i="97"/>
  <c r="AF30" i="97"/>
  <c r="AE30" i="97"/>
  <c r="AK29" i="97"/>
  <c r="AJ29" i="97"/>
  <c r="AI29" i="97"/>
  <c r="AH29" i="97"/>
  <c r="AG29" i="97"/>
  <c r="AF29" i="97"/>
  <c r="AE29" i="97"/>
  <c r="AK28" i="97"/>
  <c r="AJ28" i="97"/>
  <c r="AI28" i="97"/>
  <c r="AH28" i="97"/>
  <c r="AG28" i="97"/>
  <c r="AF28" i="97"/>
  <c r="AE28" i="97"/>
  <c r="AK27" i="97"/>
  <c r="AJ27" i="97"/>
  <c r="AI27" i="97"/>
  <c r="AH27" i="97"/>
  <c r="AG27" i="97"/>
  <c r="AF27" i="97"/>
  <c r="AE27" i="97"/>
  <c r="AK26" i="97"/>
  <c r="AJ26" i="97"/>
  <c r="AI26" i="97"/>
  <c r="AH26" i="97"/>
  <c r="AG26" i="97"/>
  <c r="AF26" i="97"/>
  <c r="AE26" i="97"/>
  <c r="AK25" i="97"/>
  <c r="AJ25" i="97"/>
  <c r="AI25" i="97"/>
  <c r="AH25" i="97"/>
  <c r="AG25" i="97"/>
  <c r="AF25" i="97"/>
  <c r="AE25" i="97"/>
  <c r="AK24" i="97"/>
  <c r="AJ24" i="97"/>
  <c r="AI24" i="97"/>
  <c r="AH24" i="97"/>
  <c r="AG24" i="97"/>
  <c r="AF24" i="97"/>
  <c r="AE24" i="97"/>
  <c r="AK23" i="97"/>
  <c r="AJ23" i="97"/>
  <c r="AI23" i="97"/>
  <c r="AH23" i="97"/>
  <c r="AG23" i="97"/>
  <c r="AF23" i="97"/>
  <c r="AE23" i="97"/>
  <c r="BK23" i="97" s="1"/>
  <c r="AK22" i="97"/>
  <c r="AJ22" i="97"/>
  <c r="AI22" i="97"/>
  <c r="AH22" i="97"/>
  <c r="AG22" i="97"/>
  <c r="AF22" i="97"/>
  <c r="AE22" i="97"/>
  <c r="AK21" i="97"/>
  <c r="AJ21" i="97"/>
  <c r="AI21" i="97"/>
  <c r="AH21" i="97"/>
  <c r="AG21" i="97"/>
  <c r="AF21" i="97"/>
  <c r="AE21" i="97"/>
  <c r="AK20" i="97"/>
  <c r="AJ20" i="97"/>
  <c r="AI20" i="97"/>
  <c r="AH20" i="97"/>
  <c r="AG20" i="97"/>
  <c r="AF20" i="97"/>
  <c r="AE20" i="97"/>
  <c r="AK19" i="97"/>
  <c r="AJ19" i="97"/>
  <c r="AI19" i="97"/>
  <c r="AH19" i="97"/>
  <c r="AG19" i="97"/>
  <c r="AF19" i="97"/>
  <c r="AE19" i="97"/>
  <c r="BK19" i="97" s="1"/>
  <c r="AK18" i="97"/>
  <c r="AJ18" i="97"/>
  <c r="AI18" i="97"/>
  <c r="AH18" i="97"/>
  <c r="AG18" i="97"/>
  <c r="AF18" i="97"/>
  <c r="AE18" i="97"/>
  <c r="AK17" i="97"/>
  <c r="AJ17" i="97"/>
  <c r="AI17" i="97"/>
  <c r="AH17" i="97"/>
  <c r="AG17" i="97"/>
  <c r="AF17" i="97"/>
  <c r="AE17" i="97"/>
  <c r="AK16" i="97"/>
  <c r="AJ16" i="97"/>
  <c r="AI16" i="97"/>
  <c r="AH16" i="97"/>
  <c r="AG16" i="97"/>
  <c r="AF16" i="97"/>
  <c r="AE16" i="97"/>
  <c r="AK15" i="97"/>
  <c r="AJ15" i="97"/>
  <c r="AI15" i="97"/>
  <c r="AH15" i="97"/>
  <c r="AG15" i="97"/>
  <c r="AF15" i="97"/>
  <c r="AE15" i="97"/>
  <c r="AK14" i="97"/>
  <c r="AJ14" i="97"/>
  <c r="AI14" i="97"/>
  <c r="AH14" i="97"/>
  <c r="AG14" i="97"/>
  <c r="AF14" i="97"/>
  <c r="AE14" i="97"/>
  <c r="AK13" i="97"/>
  <c r="AJ13" i="97"/>
  <c r="AI13" i="97"/>
  <c r="AH13" i="97"/>
  <c r="AG13" i="97"/>
  <c r="AF13" i="97"/>
  <c r="AE13" i="97"/>
  <c r="AK12" i="97"/>
  <c r="AJ12" i="97"/>
  <c r="AI12" i="97"/>
  <c r="AH12" i="97"/>
  <c r="AG12" i="97"/>
  <c r="AF12" i="97"/>
  <c r="AE12" i="97"/>
  <c r="AK11" i="97"/>
  <c r="AJ11" i="97"/>
  <c r="AI11" i="97"/>
  <c r="BL11" i="97" s="1"/>
  <c r="AH11" i="97"/>
  <c r="AG11" i="97"/>
  <c r="AF11" i="97"/>
  <c r="AE11" i="97"/>
  <c r="BK11" i="97" s="1"/>
  <c r="AK10" i="97"/>
  <c r="AJ10" i="97"/>
  <c r="AI10" i="97"/>
  <c r="AH10" i="97"/>
  <c r="AG10" i="97"/>
  <c r="AF10" i="97"/>
  <c r="AE10" i="97"/>
  <c r="AK9" i="97"/>
  <c r="AJ9" i="97"/>
  <c r="AI9" i="97"/>
  <c r="AH9" i="97"/>
  <c r="AG9" i="97"/>
  <c r="AF9" i="97"/>
  <c r="AE9" i="97"/>
  <c r="AK8" i="97"/>
  <c r="AJ8" i="97"/>
  <c r="AI8" i="97"/>
  <c r="AH8" i="97"/>
  <c r="AG8" i="97"/>
  <c r="AF8" i="97"/>
  <c r="AE8" i="97"/>
  <c r="AK7" i="97"/>
  <c r="AJ7" i="97"/>
  <c r="AI7" i="97"/>
  <c r="AH7" i="97"/>
  <c r="AG7" i="97"/>
  <c r="AF7" i="97"/>
  <c r="AE7" i="97"/>
  <c r="AK6" i="97"/>
  <c r="AJ6" i="97"/>
  <c r="AI6" i="97"/>
  <c r="AH6" i="97"/>
  <c r="AG6" i="97"/>
  <c r="AF6" i="97"/>
  <c r="AE6" i="97"/>
  <c r="AD31" i="97"/>
  <c r="AC31" i="97"/>
  <c r="AB31" i="97"/>
  <c r="AA31" i="97"/>
  <c r="Z31" i="97"/>
  <c r="Y31" i="97"/>
  <c r="X31" i="97"/>
  <c r="W31" i="97"/>
  <c r="V31" i="97"/>
  <c r="U31" i="97"/>
  <c r="T31" i="97"/>
  <c r="S31" i="97"/>
  <c r="R31" i="97"/>
  <c r="Q31" i="97"/>
  <c r="P31" i="97"/>
  <c r="O31" i="97"/>
  <c r="N31" i="97"/>
  <c r="M31" i="97"/>
  <c r="L31" i="97"/>
  <c r="K31" i="97"/>
  <c r="J31" i="97"/>
  <c r="I31" i="97"/>
  <c r="H31" i="97"/>
  <c r="AD30" i="97"/>
  <c r="AC30" i="97"/>
  <c r="AB30" i="97"/>
  <c r="AA30" i="97"/>
  <c r="Z30" i="97"/>
  <c r="Y30" i="97"/>
  <c r="X30" i="97"/>
  <c r="W30" i="97"/>
  <c r="V30" i="97"/>
  <c r="U30" i="97"/>
  <c r="T30" i="97"/>
  <c r="S30" i="97"/>
  <c r="R30" i="97"/>
  <c r="Q30" i="97"/>
  <c r="P30" i="97"/>
  <c r="O30" i="97"/>
  <c r="N30" i="97"/>
  <c r="M30" i="97"/>
  <c r="L30" i="97"/>
  <c r="K30" i="97"/>
  <c r="J30" i="97"/>
  <c r="I30" i="97"/>
  <c r="H30" i="97"/>
  <c r="AD29" i="97"/>
  <c r="AC29" i="97"/>
  <c r="AB29" i="97"/>
  <c r="AA29" i="97"/>
  <c r="Z29" i="97"/>
  <c r="Y29" i="97"/>
  <c r="X29" i="97"/>
  <c r="W29" i="97"/>
  <c r="V29" i="97"/>
  <c r="U29" i="97"/>
  <c r="T29" i="97"/>
  <c r="S29" i="97"/>
  <c r="R29" i="97"/>
  <c r="Q29" i="97"/>
  <c r="P29" i="97"/>
  <c r="O29" i="97"/>
  <c r="N29" i="97"/>
  <c r="M29" i="97"/>
  <c r="L29" i="97"/>
  <c r="K29" i="97"/>
  <c r="J29" i="97"/>
  <c r="I29" i="97"/>
  <c r="H29" i="97"/>
  <c r="BE29" i="97" s="1"/>
  <c r="AD28" i="97"/>
  <c r="AC28" i="97"/>
  <c r="AB28" i="97"/>
  <c r="AA28" i="97"/>
  <c r="BJ28" i="97" s="1"/>
  <c r="Z28" i="97"/>
  <c r="Y28" i="97"/>
  <c r="X28" i="97"/>
  <c r="W28" i="97"/>
  <c r="BI28" i="97" s="1"/>
  <c r="V28" i="97"/>
  <c r="U28" i="97"/>
  <c r="T28" i="97"/>
  <c r="S28" i="97"/>
  <c r="R28" i="97"/>
  <c r="Q28" i="97"/>
  <c r="P28" i="97"/>
  <c r="O28" i="97"/>
  <c r="N28" i="97"/>
  <c r="M28" i="97"/>
  <c r="L28" i="97"/>
  <c r="K28" i="97"/>
  <c r="BF28" i="97" s="1"/>
  <c r="J28" i="97"/>
  <c r="I28" i="97"/>
  <c r="H28" i="97"/>
  <c r="AD27" i="97"/>
  <c r="AC27" i="97"/>
  <c r="AB27" i="97"/>
  <c r="AA27" i="97"/>
  <c r="Z27" i="97"/>
  <c r="Y27" i="97"/>
  <c r="X27" i="97"/>
  <c r="W27" i="97"/>
  <c r="V27" i="97"/>
  <c r="U27" i="97"/>
  <c r="T27" i="97"/>
  <c r="S27" i="97"/>
  <c r="R27" i="97"/>
  <c r="Q27" i="97"/>
  <c r="P27" i="97"/>
  <c r="O27" i="97"/>
  <c r="N27" i="97"/>
  <c r="M27" i="97"/>
  <c r="L27" i="97"/>
  <c r="K27" i="97"/>
  <c r="J27" i="97"/>
  <c r="I27" i="97"/>
  <c r="H27" i="97"/>
  <c r="AD26" i="97"/>
  <c r="AC26" i="97"/>
  <c r="AB26" i="97"/>
  <c r="AA26" i="97"/>
  <c r="Z26" i="97"/>
  <c r="Y26" i="97"/>
  <c r="X26" i="97"/>
  <c r="W26" i="97"/>
  <c r="V26" i="97"/>
  <c r="U26" i="97"/>
  <c r="T26" i="97"/>
  <c r="S26" i="97"/>
  <c r="R26" i="97"/>
  <c r="Q26" i="97"/>
  <c r="P26" i="97"/>
  <c r="O26" i="97"/>
  <c r="N26" i="97"/>
  <c r="M26" i="97"/>
  <c r="L26" i="97"/>
  <c r="K26" i="97"/>
  <c r="J26" i="97"/>
  <c r="I26" i="97"/>
  <c r="H26" i="97"/>
  <c r="AD25" i="97"/>
  <c r="AC25" i="97"/>
  <c r="AB25" i="97"/>
  <c r="AA25" i="97"/>
  <c r="Z25" i="97"/>
  <c r="Y25" i="97"/>
  <c r="X25" i="97"/>
  <c r="W25" i="97"/>
  <c r="V25" i="97"/>
  <c r="U25" i="97"/>
  <c r="T25" i="97"/>
  <c r="S25" i="97"/>
  <c r="R25" i="97"/>
  <c r="Q25" i="97"/>
  <c r="P25" i="97"/>
  <c r="O25" i="97"/>
  <c r="N25" i="97"/>
  <c r="M25" i="97"/>
  <c r="L25" i="97"/>
  <c r="K25" i="97"/>
  <c r="J25" i="97"/>
  <c r="I25" i="97"/>
  <c r="H25" i="97"/>
  <c r="BE25" i="97" s="1"/>
  <c r="AD24" i="97"/>
  <c r="AC24" i="97"/>
  <c r="AB24" i="97"/>
  <c r="AA24" i="97"/>
  <c r="BJ24" i="97" s="1"/>
  <c r="Z24" i="97"/>
  <c r="Y24" i="97"/>
  <c r="X24" i="97"/>
  <c r="W24" i="97"/>
  <c r="BI24" i="97" s="1"/>
  <c r="V24" i="97"/>
  <c r="U24" i="97"/>
  <c r="T24" i="97"/>
  <c r="S24" i="97"/>
  <c r="R24" i="97"/>
  <c r="Q24" i="97"/>
  <c r="P24" i="97"/>
  <c r="O24" i="97"/>
  <c r="N24" i="97"/>
  <c r="M24" i="97"/>
  <c r="L24" i="97"/>
  <c r="K24" i="97"/>
  <c r="BF24" i="97" s="1"/>
  <c r="J24" i="97"/>
  <c r="I24" i="97"/>
  <c r="H24" i="97"/>
  <c r="AD23" i="97"/>
  <c r="AC23" i="97"/>
  <c r="AB23" i="97"/>
  <c r="AA23" i="97"/>
  <c r="Z23" i="97"/>
  <c r="Y23" i="97"/>
  <c r="X23" i="97"/>
  <c r="W23" i="97"/>
  <c r="V23" i="97"/>
  <c r="U23" i="97"/>
  <c r="T23" i="97"/>
  <c r="S23" i="97"/>
  <c r="R23" i="97"/>
  <c r="Q23" i="97"/>
  <c r="P23" i="97"/>
  <c r="O23" i="97"/>
  <c r="N23" i="97"/>
  <c r="M23" i="97"/>
  <c r="L23" i="97"/>
  <c r="K23" i="97"/>
  <c r="J23" i="97"/>
  <c r="I23" i="97"/>
  <c r="H23" i="97"/>
  <c r="AD22" i="97"/>
  <c r="AC22" i="97"/>
  <c r="AB22" i="97"/>
  <c r="AA22" i="97"/>
  <c r="Z22" i="97"/>
  <c r="Y22" i="97"/>
  <c r="X22" i="97"/>
  <c r="W22" i="97"/>
  <c r="V22" i="97"/>
  <c r="U22" i="97"/>
  <c r="T22" i="97"/>
  <c r="S22" i="97"/>
  <c r="R22" i="97"/>
  <c r="Q22" i="97"/>
  <c r="P22" i="97"/>
  <c r="O22" i="97"/>
  <c r="N22" i="97"/>
  <c r="M22" i="97"/>
  <c r="L22" i="97"/>
  <c r="K22" i="97"/>
  <c r="J22" i="97"/>
  <c r="I22" i="97"/>
  <c r="H22" i="97"/>
  <c r="AD21" i="97"/>
  <c r="AC21" i="97"/>
  <c r="AB21" i="97"/>
  <c r="AA21" i="97"/>
  <c r="Z21" i="97"/>
  <c r="Y21" i="97"/>
  <c r="X21" i="97"/>
  <c r="W21" i="97"/>
  <c r="V21" i="97"/>
  <c r="U21" i="97"/>
  <c r="T21" i="97"/>
  <c r="S21" i="97"/>
  <c r="R21" i="97"/>
  <c r="Q21" i="97"/>
  <c r="P21" i="97"/>
  <c r="O21" i="97"/>
  <c r="N21" i="97"/>
  <c r="M21" i="97"/>
  <c r="L21" i="97"/>
  <c r="K21" i="97"/>
  <c r="J21" i="97"/>
  <c r="I21" i="97"/>
  <c r="H21" i="97"/>
  <c r="BE21" i="97" s="1"/>
  <c r="AD20" i="97"/>
  <c r="AC20" i="97"/>
  <c r="AB20" i="97"/>
  <c r="AA20" i="97"/>
  <c r="BJ20" i="97" s="1"/>
  <c r="Z20" i="97"/>
  <c r="Y20" i="97"/>
  <c r="X20" i="97"/>
  <c r="W20" i="97"/>
  <c r="BI20" i="97" s="1"/>
  <c r="V20" i="97"/>
  <c r="U20" i="97"/>
  <c r="T20" i="97"/>
  <c r="S20" i="97"/>
  <c r="R20" i="97"/>
  <c r="Q20" i="97"/>
  <c r="P20" i="97"/>
  <c r="O20" i="97"/>
  <c r="BG20" i="97" s="1"/>
  <c r="N20" i="97"/>
  <c r="M20" i="97"/>
  <c r="L20" i="97"/>
  <c r="K20" i="97"/>
  <c r="BF20" i="97" s="1"/>
  <c r="J20" i="97"/>
  <c r="I20" i="97"/>
  <c r="H20" i="97"/>
  <c r="AD19" i="97"/>
  <c r="AC19" i="97"/>
  <c r="AB19" i="97"/>
  <c r="AA19" i="97"/>
  <c r="Z19" i="97"/>
  <c r="Y19" i="97"/>
  <c r="X19" i="97"/>
  <c r="W19" i="97"/>
  <c r="V19" i="97"/>
  <c r="U19" i="97"/>
  <c r="T19" i="97"/>
  <c r="S19" i="97"/>
  <c r="R19" i="97"/>
  <c r="Q19" i="97"/>
  <c r="P19" i="97"/>
  <c r="O19" i="97"/>
  <c r="N19" i="97"/>
  <c r="M19" i="97"/>
  <c r="L19" i="97"/>
  <c r="K19" i="97"/>
  <c r="J19" i="97"/>
  <c r="I19" i="97"/>
  <c r="H19" i="97"/>
  <c r="AD18" i="97"/>
  <c r="AC18" i="97"/>
  <c r="AB18" i="97"/>
  <c r="AA18" i="97"/>
  <c r="Z18" i="97"/>
  <c r="Y18" i="97"/>
  <c r="X18" i="97"/>
  <c r="W18" i="97"/>
  <c r="V18" i="97"/>
  <c r="U18" i="97"/>
  <c r="T18" i="97"/>
  <c r="S18" i="97"/>
  <c r="R18" i="97"/>
  <c r="Q18" i="97"/>
  <c r="P18" i="97"/>
  <c r="O18" i="97"/>
  <c r="N18" i="97"/>
  <c r="M18" i="97"/>
  <c r="L18" i="97"/>
  <c r="K18" i="97"/>
  <c r="J18" i="97"/>
  <c r="I18" i="97"/>
  <c r="H18" i="97"/>
  <c r="AD17" i="97"/>
  <c r="AC17" i="97"/>
  <c r="AB17" i="97"/>
  <c r="AA17" i="97"/>
  <c r="Z17" i="97"/>
  <c r="Y17" i="97"/>
  <c r="X17" i="97"/>
  <c r="W17" i="97"/>
  <c r="V17" i="97"/>
  <c r="U17" i="97"/>
  <c r="T17" i="97"/>
  <c r="S17" i="97"/>
  <c r="R17" i="97"/>
  <c r="Q17" i="97"/>
  <c r="P17" i="97"/>
  <c r="O17" i="97"/>
  <c r="N17" i="97"/>
  <c r="M17" i="97"/>
  <c r="L17" i="97"/>
  <c r="K17" i="97"/>
  <c r="J17" i="97"/>
  <c r="I17" i="97"/>
  <c r="H17" i="97"/>
  <c r="BE17" i="97" s="1"/>
  <c r="AD16" i="97"/>
  <c r="AC16" i="97"/>
  <c r="AB16" i="97"/>
  <c r="AA16" i="97"/>
  <c r="BJ16" i="97" s="1"/>
  <c r="Z16" i="97"/>
  <c r="Y16" i="97"/>
  <c r="X16" i="97"/>
  <c r="W16" i="97"/>
  <c r="BI16" i="97" s="1"/>
  <c r="V16" i="97"/>
  <c r="U16" i="97"/>
  <c r="T16" i="97"/>
  <c r="S16" i="97"/>
  <c r="R16" i="97"/>
  <c r="Q16" i="97"/>
  <c r="P16" i="97"/>
  <c r="O16" i="97"/>
  <c r="BG16" i="97" s="1"/>
  <c r="N16" i="97"/>
  <c r="M16" i="97"/>
  <c r="L16" i="97"/>
  <c r="K16" i="97"/>
  <c r="BF16" i="97" s="1"/>
  <c r="J16" i="97"/>
  <c r="I16" i="97"/>
  <c r="H16" i="97"/>
  <c r="AD15" i="97"/>
  <c r="AC15" i="97"/>
  <c r="AB15" i="97"/>
  <c r="AA15" i="97"/>
  <c r="Z15" i="97"/>
  <c r="Y15" i="97"/>
  <c r="X15" i="97"/>
  <c r="W15" i="97"/>
  <c r="V15" i="97"/>
  <c r="U15" i="97"/>
  <c r="T15" i="97"/>
  <c r="S15" i="97"/>
  <c r="R15" i="97"/>
  <c r="Q15" i="97"/>
  <c r="P15" i="97"/>
  <c r="O15" i="97"/>
  <c r="N15" i="97"/>
  <c r="M15" i="97"/>
  <c r="L15" i="97"/>
  <c r="K15" i="97"/>
  <c r="J15" i="97"/>
  <c r="I15" i="97"/>
  <c r="H15" i="97"/>
  <c r="AD14" i="97"/>
  <c r="AC14" i="97"/>
  <c r="AB14" i="97"/>
  <c r="AA14" i="97"/>
  <c r="Z14" i="97"/>
  <c r="Y14" i="97"/>
  <c r="X14" i="97"/>
  <c r="W14" i="97"/>
  <c r="V14" i="97"/>
  <c r="U14" i="97"/>
  <c r="T14" i="97"/>
  <c r="S14" i="97"/>
  <c r="R14" i="97"/>
  <c r="Q14" i="97"/>
  <c r="P14" i="97"/>
  <c r="O14" i="97"/>
  <c r="N14" i="97"/>
  <c r="M14" i="97"/>
  <c r="L14" i="97"/>
  <c r="K14" i="97"/>
  <c r="J14" i="97"/>
  <c r="I14" i="97"/>
  <c r="H14" i="97"/>
  <c r="AD13" i="97"/>
  <c r="AC13" i="97"/>
  <c r="AB13" i="97"/>
  <c r="AA13" i="97"/>
  <c r="Z13" i="97"/>
  <c r="Y13" i="97"/>
  <c r="X13" i="97"/>
  <c r="W13" i="97"/>
  <c r="V13" i="97"/>
  <c r="U13" i="97"/>
  <c r="T13" i="97"/>
  <c r="S13" i="97"/>
  <c r="R13" i="97"/>
  <c r="Q13" i="97"/>
  <c r="P13" i="97"/>
  <c r="O13" i="97"/>
  <c r="N13" i="97"/>
  <c r="M13" i="97"/>
  <c r="L13" i="97"/>
  <c r="K13" i="97"/>
  <c r="J13" i="97"/>
  <c r="I13" i="97"/>
  <c r="H13" i="97"/>
  <c r="AD12" i="97"/>
  <c r="AC12" i="97"/>
  <c r="AB12" i="97"/>
  <c r="AA12" i="97"/>
  <c r="BJ12" i="97" s="1"/>
  <c r="Z12" i="97"/>
  <c r="Y12" i="97"/>
  <c r="X12" i="97"/>
  <c r="W12" i="97"/>
  <c r="V12" i="97"/>
  <c r="U12" i="97"/>
  <c r="T12" i="97"/>
  <c r="S12" i="97"/>
  <c r="BH12" i="97" s="1"/>
  <c r="R12" i="97"/>
  <c r="Q12" i="97"/>
  <c r="P12" i="97"/>
  <c r="O12" i="97"/>
  <c r="BG12" i="97" s="1"/>
  <c r="N12" i="97"/>
  <c r="M12" i="97"/>
  <c r="L12" i="97"/>
  <c r="K12" i="97"/>
  <c r="BF12" i="97" s="1"/>
  <c r="J12" i="97"/>
  <c r="I12" i="97"/>
  <c r="H12" i="97"/>
  <c r="AD11" i="97"/>
  <c r="AC11" i="97"/>
  <c r="AB11" i="97"/>
  <c r="AA11" i="97"/>
  <c r="Z11" i="97"/>
  <c r="Y11" i="97"/>
  <c r="X11" i="97"/>
  <c r="W11" i="97"/>
  <c r="V11" i="97"/>
  <c r="U11" i="97"/>
  <c r="T11" i="97"/>
  <c r="S11" i="97"/>
  <c r="R11" i="97"/>
  <c r="Q11" i="97"/>
  <c r="P11" i="97"/>
  <c r="O11" i="97"/>
  <c r="N11" i="97"/>
  <c r="M11" i="97"/>
  <c r="L11" i="97"/>
  <c r="K11" i="97"/>
  <c r="J11" i="97"/>
  <c r="I11" i="97"/>
  <c r="H11" i="97"/>
  <c r="AD10" i="97"/>
  <c r="AC10" i="97"/>
  <c r="AB10" i="97"/>
  <c r="AA10" i="97"/>
  <c r="Z10" i="97"/>
  <c r="Y10" i="97"/>
  <c r="X10" i="97"/>
  <c r="W10" i="97"/>
  <c r="V10" i="97"/>
  <c r="U10" i="97"/>
  <c r="T10" i="97"/>
  <c r="S10" i="97"/>
  <c r="R10" i="97"/>
  <c r="Q10" i="97"/>
  <c r="P10" i="97"/>
  <c r="O10" i="97"/>
  <c r="N10" i="97"/>
  <c r="M10" i="97"/>
  <c r="L10" i="97"/>
  <c r="K10" i="97"/>
  <c r="J10" i="97"/>
  <c r="I10" i="97"/>
  <c r="H10" i="97"/>
  <c r="AD9" i="97"/>
  <c r="AC9" i="97"/>
  <c r="AB9" i="97"/>
  <c r="AA9" i="97"/>
  <c r="Z9" i="97"/>
  <c r="Y9" i="97"/>
  <c r="X9" i="97"/>
  <c r="W9" i="97"/>
  <c r="V9" i="97"/>
  <c r="U9" i="97"/>
  <c r="T9" i="97"/>
  <c r="S9" i="97"/>
  <c r="R9" i="97"/>
  <c r="Q9" i="97"/>
  <c r="P9" i="97"/>
  <c r="O9" i="97"/>
  <c r="N9" i="97"/>
  <c r="M9" i="97"/>
  <c r="L9" i="97"/>
  <c r="K9" i="97"/>
  <c r="J9" i="97"/>
  <c r="I9" i="97"/>
  <c r="H9" i="97"/>
  <c r="AD8" i="97"/>
  <c r="AC8" i="97"/>
  <c r="AB8" i="97"/>
  <c r="AA8" i="97"/>
  <c r="BJ8" i="97" s="1"/>
  <c r="Z8" i="97"/>
  <c r="Y8" i="97"/>
  <c r="X8" i="97"/>
  <c r="W8" i="97"/>
  <c r="V8" i="97"/>
  <c r="U8" i="97"/>
  <c r="T8" i="97"/>
  <c r="S8" i="97"/>
  <c r="BH8" i="97" s="1"/>
  <c r="R8" i="97"/>
  <c r="Q8" i="97"/>
  <c r="P8" i="97"/>
  <c r="O8" i="97"/>
  <c r="BG8" i="97" s="1"/>
  <c r="N8" i="97"/>
  <c r="M8" i="97"/>
  <c r="L8" i="97"/>
  <c r="K8" i="97"/>
  <c r="BF8" i="97" s="1"/>
  <c r="J8" i="97"/>
  <c r="I8" i="97"/>
  <c r="H8" i="97"/>
  <c r="AD7" i="97"/>
  <c r="AC7" i="97"/>
  <c r="AB7" i="97"/>
  <c r="AA7" i="97"/>
  <c r="Z7" i="97"/>
  <c r="Y7" i="97"/>
  <c r="X7" i="97"/>
  <c r="W7" i="97"/>
  <c r="V7" i="97"/>
  <c r="U7" i="97"/>
  <c r="T7" i="97"/>
  <c r="S7" i="97"/>
  <c r="R7" i="97"/>
  <c r="Q7" i="97"/>
  <c r="P7" i="97"/>
  <c r="O7" i="97"/>
  <c r="N7" i="97"/>
  <c r="M7" i="97"/>
  <c r="L7" i="97"/>
  <c r="K7" i="97"/>
  <c r="J7" i="97"/>
  <c r="I7" i="97"/>
  <c r="H7" i="97"/>
  <c r="AD6" i="97"/>
  <c r="AC6" i="97"/>
  <c r="AB6" i="97"/>
  <c r="AA6" i="97"/>
  <c r="Z6" i="97"/>
  <c r="Y6" i="97"/>
  <c r="X6" i="97"/>
  <c r="W6" i="97"/>
  <c r="V6" i="97"/>
  <c r="U6" i="97"/>
  <c r="T6" i="97"/>
  <c r="S6" i="97"/>
  <c r="R6" i="97"/>
  <c r="Q6" i="97"/>
  <c r="P6" i="97"/>
  <c r="O6" i="97"/>
  <c r="N6" i="97"/>
  <c r="M6" i="97"/>
  <c r="L6" i="97"/>
  <c r="K6" i="97"/>
  <c r="J6" i="97"/>
  <c r="I6" i="97"/>
  <c r="H6" i="97"/>
  <c r="F6" i="97"/>
  <c r="E6" i="97"/>
  <c r="D6" i="97"/>
  <c r="C6" i="97"/>
  <c r="BG4" i="97"/>
  <c r="BH4" i="97" s="1"/>
  <c r="BI4" i="97" s="1"/>
  <c r="BJ4" i="97" s="1"/>
  <c r="BK4" i="97" s="1"/>
  <c r="BL4" i="97" s="1"/>
  <c r="BM4" i="97" s="1"/>
  <c r="BN4" i="97" s="1"/>
  <c r="BO4" i="97" s="1"/>
  <c r="BP4" i="97" s="1"/>
  <c r="E317" i="59"/>
  <c r="BE317" i="59" s="1"/>
  <c r="BD317" i="59" s="1"/>
  <c r="E316" i="59"/>
  <c r="E315" i="59"/>
  <c r="AU315" i="59" s="1"/>
  <c r="AQ315" i="59" s="1"/>
  <c r="E314" i="59"/>
  <c r="CT317" i="59"/>
  <c r="CS317" i="59"/>
  <c r="CR317" i="59"/>
  <c r="CQ317" i="59"/>
  <c r="CO317" i="59"/>
  <c r="CN317" i="59"/>
  <c r="CM317" i="59"/>
  <c r="CL317" i="59"/>
  <c r="CJ317" i="59"/>
  <c r="CI317" i="59"/>
  <c r="CH317" i="59"/>
  <c r="CG317" i="59"/>
  <c r="CE317" i="59"/>
  <c r="CD317" i="59"/>
  <c r="CC317" i="59"/>
  <c r="CB317" i="59"/>
  <c r="BZ317" i="59"/>
  <c r="BY317" i="59"/>
  <c r="BX317" i="59"/>
  <c r="BW317" i="59"/>
  <c r="BU317" i="59"/>
  <c r="BT317" i="59"/>
  <c r="BS317" i="59"/>
  <c r="BR317" i="59"/>
  <c r="BP317" i="59"/>
  <c r="BO317" i="59"/>
  <c r="BN317" i="59"/>
  <c r="BM317" i="59"/>
  <c r="BK317" i="59"/>
  <c r="BJ317" i="59"/>
  <c r="BI317" i="59"/>
  <c r="BH317" i="59"/>
  <c r="BG317" i="59"/>
  <c r="BL317" i="59" s="1"/>
  <c r="BQ317" i="59" s="1"/>
  <c r="BV317" i="59" s="1"/>
  <c r="CA317" i="59" s="1"/>
  <c r="CF317" i="59" s="1"/>
  <c r="CK317" i="59" s="1"/>
  <c r="CP317" i="59" s="1"/>
  <c r="CU317" i="59" s="1"/>
  <c r="CZ317" i="59" s="1"/>
  <c r="CO316" i="59"/>
  <c r="CN316" i="59"/>
  <c r="CM316" i="59"/>
  <c r="CL316" i="59"/>
  <c r="CJ316" i="59"/>
  <c r="CI316" i="59"/>
  <c r="CH316" i="59"/>
  <c r="CG316" i="59"/>
  <c r="CE316" i="59"/>
  <c r="CD316" i="59"/>
  <c r="CC316" i="59"/>
  <c r="CB316" i="59"/>
  <c r="BZ316" i="59"/>
  <c r="BY316" i="59"/>
  <c r="BX316" i="59"/>
  <c r="BW316" i="59"/>
  <c r="BU316" i="59"/>
  <c r="BT316" i="59"/>
  <c r="BS316" i="59"/>
  <c r="BR316" i="59"/>
  <c r="BP316" i="59"/>
  <c r="BO316" i="59"/>
  <c r="BN316" i="59"/>
  <c r="BM316" i="59"/>
  <c r="BK316" i="59"/>
  <c r="BJ316" i="59"/>
  <c r="BI316" i="59"/>
  <c r="BH316" i="59"/>
  <c r="BG316" i="59"/>
  <c r="BL316" i="59" s="1"/>
  <c r="BQ316" i="59" s="1"/>
  <c r="BV316" i="59" s="1"/>
  <c r="CA316" i="59" s="1"/>
  <c r="CF316" i="59" s="1"/>
  <c r="CK316" i="59" s="1"/>
  <c r="CP316" i="59" s="1"/>
  <c r="CU316" i="59" s="1"/>
  <c r="CY315" i="59"/>
  <c r="CX315" i="59"/>
  <c r="CW315" i="59"/>
  <c r="CV315" i="59"/>
  <c r="CJ315" i="59"/>
  <c r="CI315" i="59"/>
  <c r="CH315" i="59"/>
  <c r="CG315" i="59"/>
  <c r="CE315" i="59"/>
  <c r="CD315" i="59"/>
  <c r="CC315" i="59"/>
  <c r="CB315" i="59"/>
  <c r="BZ315" i="59"/>
  <c r="BY315" i="59"/>
  <c r="BX315" i="59"/>
  <c r="BW315" i="59"/>
  <c r="BU315" i="59"/>
  <c r="BT315" i="59"/>
  <c r="BS315" i="59"/>
  <c r="BR315" i="59"/>
  <c r="BP315" i="59"/>
  <c r="BO315" i="59"/>
  <c r="BN315" i="59"/>
  <c r="BM315" i="59"/>
  <c r="BK315" i="59"/>
  <c r="BJ315" i="59"/>
  <c r="BI315" i="59"/>
  <c r="BH315" i="59"/>
  <c r="BG315" i="59"/>
  <c r="BL315" i="59" s="1"/>
  <c r="BQ315" i="59" s="1"/>
  <c r="BV315" i="59" s="1"/>
  <c r="CA315" i="59" s="1"/>
  <c r="CF315" i="59" s="1"/>
  <c r="CK315" i="59" s="1"/>
  <c r="CP315" i="59" s="1"/>
  <c r="CY314" i="59"/>
  <c r="CX314" i="59"/>
  <c r="CW314" i="59"/>
  <c r="CV314" i="59"/>
  <c r="CT314" i="59"/>
  <c r="CS314" i="59"/>
  <c r="CR314" i="59"/>
  <c r="CQ314" i="59"/>
  <c r="CE314" i="59"/>
  <c r="CD314" i="59"/>
  <c r="CC314" i="59"/>
  <c r="CB314" i="59"/>
  <c r="BZ314" i="59"/>
  <c r="BY314" i="59"/>
  <c r="BX314" i="59"/>
  <c r="BW314" i="59"/>
  <c r="BU314" i="59"/>
  <c r="BT314" i="59"/>
  <c r="BS314" i="59"/>
  <c r="BR314" i="59"/>
  <c r="BP314" i="59"/>
  <c r="BO314" i="59"/>
  <c r="BN314" i="59"/>
  <c r="BM314" i="59"/>
  <c r="BK314" i="59"/>
  <c r="BJ314" i="59"/>
  <c r="BI314" i="59"/>
  <c r="BH314" i="59"/>
  <c r="BG314" i="59"/>
  <c r="BL314" i="59" s="1"/>
  <c r="BQ314" i="59" s="1"/>
  <c r="BV314" i="59" s="1"/>
  <c r="CA314" i="59" s="1"/>
  <c r="CF314" i="59" s="1"/>
  <c r="CK314" i="59" s="1"/>
  <c r="AZ317" i="59"/>
  <c r="AY317" i="59" s="1"/>
  <c r="AU317" i="59"/>
  <c r="AT317" i="59" s="1"/>
  <c r="AP317" i="59"/>
  <c r="AK317" i="59"/>
  <c r="AH317" i="59" s="1"/>
  <c r="AF317" i="59"/>
  <c r="AE317" i="59" s="1"/>
  <c r="AA317" i="59"/>
  <c r="Z317" i="59" s="1"/>
  <c r="V317" i="59"/>
  <c r="S317" i="59" s="1"/>
  <c r="Q317" i="59"/>
  <c r="O317" i="59" s="1"/>
  <c r="L317" i="59"/>
  <c r="BE316" i="59"/>
  <c r="BB316" i="59" s="1"/>
  <c r="AZ316" i="59"/>
  <c r="AW316" i="59" s="1"/>
  <c r="AU316" i="59"/>
  <c r="AS316" i="59" s="1"/>
  <c r="AP316" i="59"/>
  <c r="AO316" i="59" s="1"/>
  <c r="AK316" i="59"/>
  <c r="AI316" i="59" s="1"/>
  <c r="AF316" i="59"/>
  <c r="AC316" i="59" s="1"/>
  <c r="AA316" i="59"/>
  <c r="Y316" i="59" s="1"/>
  <c r="V316" i="59"/>
  <c r="U316" i="59" s="1"/>
  <c r="Q316" i="59"/>
  <c r="O316" i="59" s="1"/>
  <c r="L316" i="59"/>
  <c r="BE315" i="59"/>
  <c r="AZ315" i="59"/>
  <c r="AP315" i="59"/>
  <c r="AN315" i="59" s="1"/>
  <c r="AK315" i="59"/>
  <c r="AG315" i="59" s="1"/>
  <c r="AF315" i="59"/>
  <c r="AC315" i="59" s="1"/>
  <c r="AA315" i="59"/>
  <c r="X315" i="59" s="1"/>
  <c r="V315" i="59"/>
  <c r="T315" i="59" s="1"/>
  <c r="Q315" i="59"/>
  <c r="L315" i="59"/>
  <c r="BE314" i="59"/>
  <c r="BB314" i="59" s="1"/>
  <c r="AZ314" i="59"/>
  <c r="AX314" i="59" s="1"/>
  <c r="AU314" i="59"/>
  <c r="AQ314" i="59" s="1"/>
  <c r="AP314" i="59"/>
  <c r="AO314" i="59" s="1"/>
  <c r="AK314" i="59"/>
  <c r="AH314" i="59" s="1"/>
  <c r="AF314" i="59"/>
  <c r="AD314" i="59" s="1"/>
  <c r="AA314" i="59"/>
  <c r="W314" i="59" s="1"/>
  <c r="V314" i="59"/>
  <c r="S314" i="59" s="1"/>
  <c r="Q314" i="59"/>
  <c r="N314" i="59" s="1"/>
  <c r="L314" i="59"/>
  <c r="G311" i="59"/>
  <c r="F311" i="59"/>
  <c r="E309" i="59"/>
  <c r="E306" i="59"/>
  <c r="E305" i="59"/>
  <c r="AU305" i="59" s="1"/>
  <c r="AS305" i="59" s="1"/>
  <c r="E304" i="59"/>
  <c r="AP304" i="59" s="1"/>
  <c r="AM304" i="59" s="1"/>
  <c r="E303" i="59"/>
  <c r="AK303" i="59" s="1"/>
  <c r="AI303" i="59" s="1"/>
  <c r="CY309" i="59"/>
  <c r="CX309" i="59"/>
  <c r="CW309" i="59"/>
  <c r="CV309" i="59"/>
  <c r="CT309" i="59"/>
  <c r="CS309" i="59"/>
  <c r="CR309" i="59"/>
  <c r="CQ309" i="59"/>
  <c r="CO309" i="59"/>
  <c r="CN309" i="59"/>
  <c r="CM309" i="59"/>
  <c r="CL309" i="59"/>
  <c r="CJ309" i="59"/>
  <c r="CI309" i="59"/>
  <c r="CH309" i="59"/>
  <c r="CG309" i="59"/>
  <c r="CE309" i="59"/>
  <c r="CD309" i="59"/>
  <c r="CC309" i="59"/>
  <c r="CB309" i="59"/>
  <c r="BZ309" i="59"/>
  <c r="BY309" i="59"/>
  <c r="BX309" i="59"/>
  <c r="BW309" i="59"/>
  <c r="BU309" i="59"/>
  <c r="BT309" i="59"/>
  <c r="BS309" i="59"/>
  <c r="BR309" i="59"/>
  <c r="BP309" i="59"/>
  <c r="BO309" i="59"/>
  <c r="BN309" i="59"/>
  <c r="BM309" i="59"/>
  <c r="BK309" i="59"/>
  <c r="BJ309" i="59"/>
  <c r="BI309" i="59"/>
  <c r="BH309" i="59"/>
  <c r="BG309" i="59"/>
  <c r="BL309" i="59" s="1"/>
  <c r="BQ309" i="59" s="1"/>
  <c r="BV309" i="59" s="1"/>
  <c r="CA309" i="59" s="1"/>
  <c r="CF309" i="59" s="1"/>
  <c r="CK309" i="59" s="1"/>
  <c r="CP309" i="59" s="1"/>
  <c r="CU309" i="59" s="1"/>
  <c r="CZ309" i="59" s="1"/>
  <c r="CY308" i="59"/>
  <c r="CX308" i="59"/>
  <c r="CW308" i="59"/>
  <c r="CV308" i="59"/>
  <c r="CT308" i="59"/>
  <c r="CS308" i="59"/>
  <c r="CR308" i="59"/>
  <c r="CQ308" i="59"/>
  <c r="CO308" i="59"/>
  <c r="CN308" i="59"/>
  <c r="CM308" i="59"/>
  <c r="CL308" i="59"/>
  <c r="CJ308" i="59"/>
  <c r="CI308" i="59"/>
  <c r="CH308" i="59"/>
  <c r="CG308" i="59"/>
  <c r="CE308" i="59"/>
  <c r="CD308" i="59"/>
  <c r="CC308" i="59"/>
  <c r="CB308" i="59"/>
  <c r="BZ308" i="59"/>
  <c r="BY308" i="59"/>
  <c r="BX308" i="59"/>
  <c r="BW308" i="59"/>
  <c r="BU308" i="59"/>
  <c r="BT308" i="59"/>
  <c r="BS308" i="59"/>
  <c r="BR308" i="59"/>
  <c r="BP308" i="59"/>
  <c r="BO308" i="59"/>
  <c r="BN308" i="59"/>
  <c r="BM308" i="59"/>
  <c r="BK308" i="59"/>
  <c r="BJ308" i="59"/>
  <c r="BI308" i="59"/>
  <c r="BH308" i="59"/>
  <c r="BG308" i="59"/>
  <c r="BL308" i="59" s="1"/>
  <c r="BQ308" i="59" s="1"/>
  <c r="BV308" i="59" s="1"/>
  <c r="CA308" i="59" s="1"/>
  <c r="CF308" i="59" s="1"/>
  <c r="CK308" i="59" s="1"/>
  <c r="CP308" i="59" s="1"/>
  <c r="CU308" i="59" s="1"/>
  <c r="CZ308" i="59" s="1"/>
  <c r="CY307" i="59"/>
  <c r="CX307" i="59"/>
  <c r="CW307" i="59"/>
  <c r="CV307" i="59"/>
  <c r="CT307" i="59"/>
  <c r="CS307" i="59"/>
  <c r="CR307" i="59"/>
  <c r="CQ307" i="59"/>
  <c r="CO307" i="59"/>
  <c r="CN307" i="59"/>
  <c r="CM307" i="59"/>
  <c r="CL307" i="59"/>
  <c r="CJ307" i="59"/>
  <c r="CI307" i="59"/>
  <c r="CH307" i="59"/>
  <c r="CG307" i="59"/>
  <c r="CE307" i="59"/>
  <c r="CD307" i="59"/>
  <c r="CC307" i="59"/>
  <c r="CB307" i="59"/>
  <c r="BZ307" i="59"/>
  <c r="BY307" i="59"/>
  <c r="BX307" i="59"/>
  <c r="BW307" i="59"/>
  <c r="BU307" i="59"/>
  <c r="BT307" i="59"/>
  <c r="BS307" i="59"/>
  <c r="BR307" i="59"/>
  <c r="BP307" i="59"/>
  <c r="BO307" i="59"/>
  <c r="BN307" i="59"/>
  <c r="BM307" i="59"/>
  <c r="BK307" i="59"/>
  <c r="BJ307" i="59"/>
  <c r="BI307" i="59"/>
  <c r="BH307" i="59"/>
  <c r="BG307" i="59"/>
  <c r="BL307" i="59" s="1"/>
  <c r="BQ307" i="59" s="1"/>
  <c r="BV307" i="59" s="1"/>
  <c r="CA307" i="59" s="1"/>
  <c r="CF307" i="59" s="1"/>
  <c r="CK307" i="59" s="1"/>
  <c r="CP307" i="59" s="1"/>
  <c r="CU307" i="59" s="1"/>
  <c r="CZ307" i="59" s="1"/>
  <c r="CY306" i="59"/>
  <c r="CX306" i="59"/>
  <c r="CW306" i="59"/>
  <c r="CV306" i="59"/>
  <c r="CT306" i="59"/>
  <c r="CS306" i="59"/>
  <c r="CR306" i="59"/>
  <c r="CQ306" i="59"/>
  <c r="CO306" i="59"/>
  <c r="CN306" i="59"/>
  <c r="CM306" i="59"/>
  <c r="CL306" i="59"/>
  <c r="CJ306" i="59"/>
  <c r="CI306" i="59"/>
  <c r="CH306" i="59"/>
  <c r="CG306" i="59"/>
  <c r="CE306" i="59"/>
  <c r="CD306" i="59"/>
  <c r="CC306" i="59"/>
  <c r="CB306" i="59"/>
  <c r="BZ306" i="59"/>
  <c r="BY306" i="59"/>
  <c r="BX306" i="59"/>
  <c r="BW306" i="59"/>
  <c r="BU306" i="59"/>
  <c r="BT306" i="59"/>
  <c r="BS306" i="59"/>
  <c r="BR306" i="59"/>
  <c r="BP306" i="59"/>
  <c r="BO306" i="59"/>
  <c r="BN306" i="59"/>
  <c r="BM306" i="59"/>
  <c r="BK306" i="59"/>
  <c r="BJ306" i="59"/>
  <c r="BI306" i="59"/>
  <c r="BH306" i="59"/>
  <c r="BG306" i="59"/>
  <c r="BL306" i="59" s="1"/>
  <c r="BQ306" i="59" s="1"/>
  <c r="BV306" i="59" s="1"/>
  <c r="CA306" i="59" s="1"/>
  <c r="CF306" i="59" s="1"/>
  <c r="CK306" i="59" s="1"/>
  <c r="CP306" i="59" s="1"/>
  <c r="CU306" i="59" s="1"/>
  <c r="CZ306" i="59" s="1"/>
  <c r="CY305" i="59"/>
  <c r="CX305" i="59"/>
  <c r="CW305" i="59"/>
  <c r="CV305" i="59"/>
  <c r="CJ305" i="59"/>
  <c r="CI305" i="59"/>
  <c r="CH305" i="59"/>
  <c r="CG305" i="59"/>
  <c r="CE305" i="59"/>
  <c r="CD305" i="59"/>
  <c r="CC305" i="59"/>
  <c r="CB305" i="59"/>
  <c r="BZ305" i="59"/>
  <c r="BY305" i="59"/>
  <c r="BX305" i="59"/>
  <c r="BW305" i="59"/>
  <c r="BU305" i="59"/>
  <c r="BT305" i="59"/>
  <c r="BS305" i="59"/>
  <c r="BR305" i="59"/>
  <c r="BP305" i="59"/>
  <c r="BO305" i="59"/>
  <c r="BN305" i="59"/>
  <c r="BM305" i="59"/>
  <c r="BK305" i="59"/>
  <c r="BJ305" i="59"/>
  <c r="BI305" i="59"/>
  <c r="BH305" i="59"/>
  <c r="BG305" i="59"/>
  <c r="BL305" i="59" s="1"/>
  <c r="BQ305" i="59" s="1"/>
  <c r="BV305" i="59" s="1"/>
  <c r="CA305" i="59" s="1"/>
  <c r="CF305" i="59" s="1"/>
  <c r="CK305" i="59" s="1"/>
  <c r="CY304" i="59"/>
  <c r="CX304" i="59"/>
  <c r="CW304" i="59"/>
  <c r="CV304" i="59"/>
  <c r="CT304" i="59"/>
  <c r="CS304" i="59"/>
  <c r="CR304" i="59"/>
  <c r="CQ304" i="59"/>
  <c r="CE304" i="59"/>
  <c r="CD304" i="59"/>
  <c r="CC304" i="59"/>
  <c r="CB304" i="59"/>
  <c r="BZ304" i="59"/>
  <c r="BY304" i="59"/>
  <c r="BX304" i="59"/>
  <c r="BW304" i="59"/>
  <c r="BU304" i="59"/>
  <c r="BT304" i="59"/>
  <c r="BS304" i="59"/>
  <c r="BR304" i="59"/>
  <c r="BP304" i="59"/>
  <c r="BO304" i="59"/>
  <c r="BN304" i="59"/>
  <c r="BM304" i="59"/>
  <c r="BK304" i="59"/>
  <c r="BJ304" i="59"/>
  <c r="BI304" i="59"/>
  <c r="BH304" i="59"/>
  <c r="BG304" i="59"/>
  <c r="BL304" i="59" s="1"/>
  <c r="BQ304" i="59" s="1"/>
  <c r="BV304" i="59" s="1"/>
  <c r="CA304" i="59" s="1"/>
  <c r="CF304" i="59" s="1"/>
  <c r="CY303" i="59"/>
  <c r="CX303" i="59"/>
  <c r="CW303" i="59"/>
  <c r="CV303" i="59"/>
  <c r="CT303" i="59"/>
  <c r="CS303" i="59"/>
  <c r="CR303" i="59"/>
  <c r="CQ303" i="59"/>
  <c r="CO303" i="59"/>
  <c r="CN303" i="59"/>
  <c r="CM303" i="59"/>
  <c r="CL303" i="59"/>
  <c r="BZ303" i="59"/>
  <c r="BY303" i="59"/>
  <c r="BX303" i="59"/>
  <c r="BW303" i="59"/>
  <c r="BU303" i="59"/>
  <c r="BT303" i="59"/>
  <c r="BS303" i="59"/>
  <c r="BR303" i="59"/>
  <c r="BP303" i="59"/>
  <c r="BO303" i="59"/>
  <c r="BN303" i="59"/>
  <c r="BM303" i="59"/>
  <c r="BK303" i="59"/>
  <c r="BJ303" i="59"/>
  <c r="BI303" i="59"/>
  <c r="BH303" i="59"/>
  <c r="BG303" i="59"/>
  <c r="BL303" i="59" s="1"/>
  <c r="BQ303" i="59" s="1"/>
  <c r="BV303" i="59" s="1"/>
  <c r="CA303" i="59" s="1"/>
  <c r="BE309" i="59"/>
  <c r="BB309" i="59" s="1"/>
  <c r="AZ309" i="59"/>
  <c r="AW309" i="59" s="1"/>
  <c r="AU309" i="59"/>
  <c r="AS309" i="59" s="1"/>
  <c r="AP309" i="59"/>
  <c r="AL309" i="59" s="1"/>
  <c r="AK309" i="59"/>
  <c r="AJ309" i="59" s="1"/>
  <c r="AF309" i="59"/>
  <c r="AC309" i="59" s="1"/>
  <c r="AA309" i="59"/>
  <c r="Y309" i="59" s="1"/>
  <c r="V309" i="59"/>
  <c r="R309" i="59" s="1"/>
  <c r="Q309" i="59"/>
  <c r="P309" i="59" s="1"/>
  <c r="L309" i="59"/>
  <c r="BE308" i="59"/>
  <c r="BC308" i="59" s="1"/>
  <c r="AZ308" i="59"/>
  <c r="AV308" i="59" s="1"/>
  <c r="AU308" i="59"/>
  <c r="AT308" i="59" s="1"/>
  <c r="AP308" i="59"/>
  <c r="AM308" i="59" s="1"/>
  <c r="AK308" i="59"/>
  <c r="AI308" i="59" s="1"/>
  <c r="AF308" i="59"/>
  <c r="AB308" i="59" s="1"/>
  <c r="AA308" i="59"/>
  <c r="X308" i="59" s="1"/>
  <c r="V308" i="59"/>
  <c r="S308" i="59" s="1"/>
  <c r="Q308" i="59"/>
  <c r="O308" i="59" s="1"/>
  <c r="L308" i="59"/>
  <c r="BE307" i="59"/>
  <c r="BC307" i="59" s="1"/>
  <c r="AZ307" i="59"/>
  <c r="AW307" i="59" s="1"/>
  <c r="AU307" i="59"/>
  <c r="AS307" i="59" s="1"/>
  <c r="AP307" i="59"/>
  <c r="AL307" i="59" s="1"/>
  <c r="AK307" i="59"/>
  <c r="AJ307" i="59" s="1"/>
  <c r="AF307" i="59"/>
  <c r="AC307" i="59" s="1"/>
  <c r="AA307" i="59"/>
  <c r="Y307" i="59" s="1"/>
  <c r="V307" i="59"/>
  <c r="Q307" i="59"/>
  <c r="O307" i="59" s="1"/>
  <c r="L307" i="59"/>
  <c r="BE306" i="59"/>
  <c r="BC306" i="59" s="1"/>
  <c r="AZ306" i="59"/>
  <c r="AU306" i="59"/>
  <c r="AT306" i="59" s="1"/>
  <c r="AP306" i="59"/>
  <c r="AM306" i="59" s="1"/>
  <c r="AK306" i="59"/>
  <c r="AI306" i="59" s="1"/>
  <c r="AF306" i="59"/>
  <c r="AB306" i="59" s="1"/>
  <c r="AA306" i="59"/>
  <c r="X306" i="59" s="1"/>
  <c r="V306" i="59"/>
  <c r="S306" i="59" s="1"/>
  <c r="Q306" i="59"/>
  <c r="O306" i="59" s="1"/>
  <c r="L306" i="59"/>
  <c r="BE305" i="59"/>
  <c r="BB305" i="59" s="1"/>
  <c r="AZ305" i="59"/>
  <c r="AW305" i="59" s="1"/>
  <c r="AP305" i="59"/>
  <c r="AL305" i="59" s="1"/>
  <c r="AK305" i="59"/>
  <c r="AI305" i="59" s="1"/>
  <c r="AF305" i="59"/>
  <c r="AC305" i="59" s="1"/>
  <c r="AA305" i="59"/>
  <c r="Y305" i="59" s="1"/>
  <c r="V305" i="59"/>
  <c r="R305" i="59" s="1"/>
  <c r="Q305" i="59"/>
  <c r="N305" i="59" s="1"/>
  <c r="L305" i="59"/>
  <c r="BE304" i="59"/>
  <c r="BC304" i="59" s="1"/>
  <c r="AZ304" i="59"/>
  <c r="AV304" i="59" s="1"/>
  <c r="AU304" i="59"/>
  <c r="AR304" i="59" s="1"/>
  <c r="AK304" i="59"/>
  <c r="AI304" i="59" s="1"/>
  <c r="AF304" i="59"/>
  <c r="AB304" i="59" s="1"/>
  <c r="AA304" i="59"/>
  <c r="X304" i="59" s="1"/>
  <c r="V304" i="59"/>
  <c r="S304" i="59" s="1"/>
  <c r="Q304" i="59"/>
  <c r="O304" i="59" s="1"/>
  <c r="L304" i="59"/>
  <c r="BE303" i="59"/>
  <c r="BD303" i="59" s="1"/>
  <c r="AZ303" i="59"/>
  <c r="AW303" i="59" s="1"/>
  <c r="AU303" i="59"/>
  <c r="AS303" i="59" s="1"/>
  <c r="AP303" i="59"/>
  <c r="AF303" i="59"/>
  <c r="AC303" i="59" s="1"/>
  <c r="AA303" i="59"/>
  <c r="Y303" i="59" s="1"/>
  <c r="V303" i="59"/>
  <c r="R303" i="59" s="1"/>
  <c r="Q303" i="59"/>
  <c r="N303" i="59" s="1"/>
  <c r="L303" i="59"/>
  <c r="I303" i="59"/>
  <c r="E300" i="59"/>
  <c r="E299" i="59"/>
  <c r="E298" i="59"/>
  <c r="CY300" i="59"/>
  <c r="CX300" i="59"/>
  <c r="CW300" i="59"/>
  <c r="CV300" i="59"/>
  <c r="CT300" i="59"/>
  <c r="CS300" i="59"/>
  <c r="CR300" i="59"/>
  <c r="CQ300" i="59"/>
  <c r="CO300" i="59"/>
  <c r="CN300" i="59"/>
  <c r="CM300" i="59"/>
  <c r="CL300" i="59"/>
  <c r="CJ300" i="59"/>
  <c r="CI300" i="59"/>
  <c r="CH300" i="59"/>
  <c r="CG300" i="59"/>
  <c r="CE300" i="59"/>
  <c r="CD300" i="59"/>
  <c r="CC300" i="59"/>
  <c r="CB300" i="59"/>
  <c r="BZ300" i="59"/>
  <c r="BY300" i="59"/>
  <c r="BX300" i="59"/>
  <c r="BW300" i="59"/>
  <c r="BU300" i="59"/>
  <c r="BT300" i="59"/>
  <c r="BS300" i="59"/>
  <c r="BR300" i="59"/>
  <c r="BP300" i="59"/>
  <c r="BO300" i="59"/>
  <c r="BN300" i="59"/>
  <c r="BM300" i="59"/>
  <c r="BK300" i="59"/>
  <c r="BJ300" i="59"/>
  <c r="BI300" i="59"/>
  <c r="BH300" i="59"/>
  <c r="BG300" i="59"/>
  <c r="BL300" i="59" s="1"/>
  <c r="BQ300" i="59" s="1"/>
  <c r="BV300" i="59" s="1"/>
  <c r="CA300" i="59" s="1"/>
  <c r="CF300" i="59" s="1"/>
  <c r="CK300" i="59" s="1"/>
  <c r="CP300" i="59" s="1"/>
  <c r="CU300" i="59" s="1"/>
  <c r="CZ300" i="59" s="1"/>
  <c r="CY299" i="59"/>
  <c r="CX299" i="59"/>
  <c r="CW299" i="59"/>
  <c r="CV299" i="59"/>
  <c r="CT299" i="59"/>
  <c r="CS299" i="59"/>
  <c r="CR299" i="59"/>
  <c r="CQ299" i="59"/>
  <c r="CO299" i="59"/>
  <c r="CN299" i="59"/>
  <c r="CM299" i="59"/>
  <c r="CL299" i="59"/>
  <c r="CJ299" i="59"/>
  <c r="CI299" i="59"/>
  <c r="CH299" i="59"/>
  <c r="CG299" i="59"/>
  <c r="CE299" i="59"/>
  <c r="CD299" i="59"/>
  <c r="CC299" i="59"/>
  <c r="CB299" i="59"/>
  <c r="BZ299" i="59"/>
  <c r="BY299" i="59"/>
  <c r="BX299" i="59"/>
  <c r="BW299" i="59"/>
  <c r="BU299" i="59"/>
  <c r="BT299" i="59"/>
  <c r="BS299" i="59"/>
  <c r="BR299" i="59"/>
  <c r="BP299" i="59"/>
  <c r="BO299" i="59"/>
  <c r="BN299" i="59"/>
  <c r="BM299" i="59"/>
  <c r="BK299" i="59"/>
  <c r="BJ299" i="59"/>
  <c r="BI299" i="59"/>
  <c r="BH299" i="59"/>
  <c r="BG299" i="59"/>
  <c r="BL299" i="59" s="1"/>
  <c r="BQ299" i="59" s="1"/>
  <c r="BV299" i="59" s="1"/>
  <c r="CA299" i="59" s="1"/>
  <c r="CF299" i="59" s="1"/>
  <c r="CK299" i="59" s="1"/>
  <c r="CP299" i="59" s="1"/>
  <c r="CU299" i="59" s="1"/>
  <c r="CZ299" i="59" s="1"/>
  <c r="CY298" i="59"/>
  <c r="CX298" i="59"/>
  <c r="CW298" i="59"/>
  <c r="CV298" i="59"/>
  <c r="CT298" i="59"/>
  <c r="CS298" i="59"/>
  <c r="CR298" i="59"/>
  <c r="CQ298" i="59"/>
  <c r="CO298" i="59"/>
  <c r="CN298" i="59"/>
  <c r="CM298" i="59"/>
  <c r="CL298" i="59"/>
  <c r="CJ298" i="59"/>
  <c r="CI298" i="59"/>
  <c r="CH298" i="59"/>
  <c r="CG298" i="59"/>
  <c r="CE298" i="59"/>
  <c r="CD298" i="59"/>
  <c r="CC298" i="59"/>
  <c r="CB298" i="59"/>
  <c r="BZ298" i="59"/>
  <c r="BY298" i="59"/>
  <c r="BX298" i="59"/>
  <c r="BW298" i="59"/>
  <c r="BU298" i="59"/>
  <c r="BT298" i="59"/>
  <c r="BS298" i="59"/>
  <c r="BR298" i="59"/>
  <c r="BP298" i="59"/>
  <c r="BO298" i="59"/>
  <c r="BN298" i="59"/>
  <c r="BM298" i="59"/>
  <c r="BK298" i="59"/>
  <c r="BJ298" i="59"/>
  <c r="BI298" i="59"/>
  <c r="BH298" i="59"/>
  <c r="BG298" i="59"/>
  <c r="BL298" i="59" s="1"/>
  <c r="BQ298" i="59" s="1"/>
  <c r="BV298" i="59" s="1"/>
  <c r="CA298" i="59" s="1"/>
  <c r="CF298" i="59" s="1"/>
  <c r="CK298" i="59" s="1"/>
  <c r="CP298" i="59" s="1"/>
  <c r="CU298" i="59" s="1"/>
  <c r="CZ298" i="59" s="1"/>
  <c r="BE300" i="59"/>
  <c r="BC300" i="59" s="1"/>
  <c r="AZ300" i="59"/>
  <c r="AV300" i="59" s="1"/>
  <c r="AU300" i="59"/>
  <c r="AS300" i="59" s="1"/>
  <c r="AP300" i="59"/>
  <c r="AN300" i="59" s="1"/>
  <c r="AK300" i="59"/>
  <c r="AF300" i="59"/>
  <c r="AC300" i="59" s="1"/>
  <c r="AA300" i="59"/>
  <c r="V300" i="59"/>
  <c r="U300" i="59" s="1"/>
  <c r="Q300" i="59"/>
  <c r="M300" i="59" s="1"/>
  <c r="L300" i="59"/>
  <c r="BE299" i="59"/>
  <c r="BA299" i="59" s="1"/>
  <c r="AZ299" i="59"/>
  <c r="AW299" i="59" s="1"/>
  <c r="AU299" i="59"/>
  <c r="AR299" i="59" s="1"/>
  <c r="AP299" i="59"/>
  <c r="AO299" i="59" s="1"/>
  <c r="AK299" i="59"/>
  <c r="AH299" i="59" s="1"/>
  <c r="AF299" i="59"/>
  <c r="AC299" i="59" s="1"/>
  <c r="AA299" i="59"/>
  <c r="Y299" i="59" s="1"/>
  <c r="V299" i="59"/>
  <c r="S299" i="59" s="1"/>
  <c r="Q299" i="59"/>
  <c r="L299" i="59"/>
  <c r="BE298" i="59"/>
  <c r="BD298" i="59" s="1"/>
  <c r="AZ298" i="59"/>
  <c r="AX298" i="59" s="1"/>
  <c r="AU298" i="59"/>
  <c r="AS298" i="59" s="1"/>
  <c r="AP298" i="59"/>
  <c r="AM298" i="59" s="1"/>
  <c r="AK298" i="59"/>
  <c r="AH298" i="59" s="1"/>
  <c r="AF298" i="59"/>
  <c r="AE298" i="59" s="1"/>
  <c r="AA298" i="59"/>
  <c r="X298" i="59" s="1"/>
  <c r="V298" i="59"/>
  <c r="S298" i="59" s="1"/>
  <c r="Q298" i="59"/>
  <c r="O298" i="59" s="1"/>
  <c r="L298" i="59"/>
  <c r="E287" i="59"/>
  <c r="E286" i="59"/>
  <c r="E285" i="59"/>
  <c r="AU285" i="59" s="1"/>
  <c r="E284" i="59"/>
  <c r="AP284" i="59" s="1"/>
  <c r="AN284" i="59" s="1"/>
  <c r="CT287" i="59"/>
  <c r="CS287" i="59"/>
  <c r="CR287" i="59"/>
  <c r="CQ287" i="59"/>
  <c r="CO287" i="59"/>
  <c r="CN287" i="59"/>
  <c r="CM287" i="59"/>
  <c r="CL287" i="59"/>
  <c r="CJ287" i="59"/>
  <c r="CI287" i="59"/>
  <c r="CH287" i="59"/>
  <c r="CG287" i="59"/>
  <c r="CE287" i="59"/>
  <c r="CD287" i="59"/>
  <c r="CC287" i="59"/>
  <c r="CB287" i="59"/>
  <c r="BZ287" i="59"/>
  <c r="BY287" i="59"/>
  <c r="BX287" i="59"/>
  <c r="BW287" i="59"/>
  <c r="BU287" i="59"/>
  <c r="BT287" i="59"/>
  <c r="BS287" i="59"/>
  <c r="BR287" i="59"/>
  <c r="BP287" i="59"/>
  <c r="BO287" i="59"/>
  <c r="BN287" i="59"/>
  <c r="BM287" i="59"/>
  <c r="BK287" i="59"/>
  <c r="BJ287" i="59"/>
  <c r="BI287" i="59"/>
  <c r="BH287" i="59"/>
  <c r="BG287" i="59"/>
  <c r="BL287" i="59" s="1"/>
  <c r="BQ287" i="59" s="1"/>
  <c r="BV287" i="59" s="1"/>
  <c r="CA287" i="59" s="1"/>
  <c r="CF287" i="59" s="1"/>
  <c r="CK287" i="59" s="1"/>
  <c r="CP287" i="59" s="1"/>
  <c r="CU287" i="59" s="1"/>
  <c r="CZ287" i="59" s="1"/>
  <c r="CW287" i="59" s="1"/>
  <c r="CO286" i="59"/>
  <c r="CN286" i="59"/>
  <c r="CM286" i="59"/>
  <c r="CL286" i="59"/>
  <c r="CJ286" i="59"/>
  <c r="CI286" i="59"/>
  <c r="CH286" i="59"/>
  <c r="CG286" i="59"/>
  <c r="CE286" i="59"/>
  <c r="CD286" i="59"/>
  <c r="CC286" i="59"/>
  <c r="CB286" i="59"/>
  <c r="BZ286" i="59"/>
  <c r="BY286" i="59"/>
  <c r="BX286" i="59"/>
  <c r="BW286" i="59"/>
  <c r="BU286" i="59"/>
  <c r="BT286" i="59"/>
  <c r="BS286" i="59"/>
  <c r="BR286" i="59"/>
  <c r="BP286" i="59"/>
  <c r="BO286" i="59"/>
  <c r="BN286" i="59"/>
  <c r="BM286" i="59"/>
  <c r="BK286" i="59"/>
  <c r="BJ286" i="59"/>
  <c r="BI286" i="59"/>
  <c r="BH286" i="59"/>
  <c r="BG286" i="59"/>
  <c r="BL286" i="59" s="1"/>
  <c r="BQ286" i="59" s="1"/>
  <c r="BV286" i="59" s="1"/>
  <c r="CA286" i="59" s="1"/>
  <c r="CF286" i="59" s="1"/>
  <c r="CK286" i="59" s="1"/>
  <c r="CP286" i="59" s="1"/>
  <c r="CU286" i="59" s="1"/>
  <c r="CY285" i="59"/>
  <c r="CX285" i="59"/>
  <c r="CW285" i="59"/>
  <c r="CV285" i="59"/>
  <c r="CJ285" i="59"/>
  <c r="CI285" i="59"/>
  <c r="CH285" i="59"/>
  <c r="CG285" i="59"/>
  <c r="CE285" i="59"/>
  <c r="CD285" i="59"/>
  <c r="CC285" i="59"/>
  <c r="CB285" i="59"/>
  <c r="BZ285" i="59"/>
  <c r="BY285" i="59"/>
  <c r="BX285" i="59"/>
  <c r="BW285" i="59"/>
  <c r="BU285" i="59"/>
  <c r="BT285" i="59"/>
  <c r="BS285" i="59"/>
  <c r="BR285" i="59"/>
  <c r="BP285" i="59"/>
  <c r="BO285" i="59"/>
  <c r="BN285" i="59"/>
  <c r="BM285" i="59"/>
  <c r="BK285" i="59"/>
  <c r="BJ285" i="59"/>
  <c r="BI285" i="59"/>
  <c r="BH285" i="59"/>
  <c r="BG285" i="59"/>
  <c r="BL285" i="59" s="1"/>
  <c r="BQ285" i="59" s="1"/>
  <c r="BV285" i="59" s="1"/>
  <c r="CA285" i="59" s="1"/>
  <c r="CF285" i="59" s="1"/>
  <c r="CK285" i="59" s="1"/>
  <c r="CP285" i="59" s="1"/>
  <c r="CY284" i="59"/>
  <c r="CX284" i="59"/>
  <c r="CW284" i="59"/>
  <c r="CV284" i="59"/>
  <c r="CT284" i="59"/>
  <c r="CS284" i="59"/>
  <c r="CR284" i="59"/>
  <c r="CQ284" i="59"/>
  <c r="CE284" i="59"/>
  <c r="CD284" i="59"/>
  <c r="CC284" i="59"/>
  <c r="CB284" i="59"/>
  <c r="BZ284" i="59"/>
  <c r="BY284" i="59"/>
  <c r="BX284" i="59"/>
  <c r="BW284" i="59"/>
  <c r="BU284" i="59"/>
  <c r="BT284" i="59"/>
  <c r="BS284" i="59"/>
  <c r="BR284" i="59"/>
  <c r="BP284" i="59"/>
  <c r="BO284" i="59"/>
  <c r="BN284" i="59"/>
  <c r="BM284" i="59"/>
  <c r="BK284" i="59"/>
  <c r="BJ284" i="59"/>
  <c r="BI284" i="59"/>
  <c r="BH284" i="59"/>
  <c r="BG284" i="59"/>
  <c r="BE287" i="59"/>
  <c r="AZ287" i="59"/>
  <c r="AX287" i="59" s="1"/>
  <c r="AU287" i="59"/>
  <c r="AR287" i="59" s="1"/>
  <c r="AP287" i="59"/>
  <c r="AN287" i="59" s="1"/>
  <c r="AK287" i="59"/>
  <c r="AG287" i="59" s="1"/>
  <c r="AF287" i="59"/>
  <c r="AE287" i="59" s="1"/>
  <c r="AA287" i="59"/>
  <c r="X287" i="59" s="1"/>
  <c r="V287" i="59"/>
  <c r="T287" i="59" s="1"/>
  <c r="Q287" i="59"/>
  <c r="L287" i="59"/>
  <c r="BE286" i="59"/>
  <c r="BB286" i="59" s="1"/>
  <c r="AZ286" i="59"/>
  <c r="AX286" i="59" s="1"/>
  <c r="AU286" i="59"/>
  <c r="AQ286" i="59" s="1"/>
  <c r="AP286" i="59"/>
  <c r="AN286" i="59" s="1"/>
  <c r="AK286" i="59"/>
  <c r="AH286" i="59" s="1"/>
  <c r="AF286" i="59"/>
  <c r="AD286" i="59" s="1"/>
  <c r="AA286" i="59"/>
  <c r="V286" i="59"/>
  <c r="T286" i="59" s="1"/>
  <c r="Q286" i="59"/>
  <c r="N286" i="59" s="1"/>
  <c r="L286" i="59"/>
  <c r="BE285" i="59"/>
  <c r="AZ285" i="59"/>
  <c r="AX285" i="59" s="1"/>
  <c r="AP285" i="59"/>
  <c r="AN285" i="59" s="1"/>
  <c r="AK285" i="59"/>
  <c r="AG285" i="59" s="1"/>
  <c r="AF285" i="59"/>
  <c r="AD285" i="59" s="1"/>
  <c r="AA285" i="59"/>
  <c r="X285" i="59" s="1"/>
  <c r="V285" i="59"/>
  <c r="T285" i="59" s="1"/>
  <c r="Q285" i="59"/>
  <c r="L285" i="59"/>
  <c r="BE284" i="59"/>
  <c r="BC284" i="59" s="1"/>
  <c r="AZ284" i="59"/>
  <c r="AV284" i="59" s="1"/>
  <c r="AU284" i="59"/>
  <c r="AQ284" i="59" s="1"/>
  <c r="AK284" i="59"/>
  <c r="AI284" i="59" s="1"/>
  <c r="AF284" i="59"/>
  <c r="AA284" i="59"/>
  <c r="V284" i="59"/>
  <c r="T284" i="59" s="1"/>
  <c r="Q284" i="59"/>
  <c r="O284" i="59" s="1"/>
  <c r="L284" i="59"/>
  <c r="G279" i="59"/>
  <c r="G281" i="59" s="1"/>
  <c r="F279" i="59"/>
  <c r="F281" i="59" s="1"/>
  <c r="E278" i="59"/>
  <c r="AZ278" i="59" s="1"/>
  <c r="E277" i="59"/>
  <c r="AU277" i="59" s="1"/>
  <c r="E276" i="59"/>
  <c r="AP276" i="59" s="1"/>
  <c r="AL276" i="59" s="1"/>
  <c r="E275" i="59"/>
  <c r="AK275" i="59" s="1"/>
  <c r="AI275" i="59" s="1"/>
  <c r="I278" i="59"/>
  <c r="J277" i="59"/>
  <c r="J278" i="59" s="1"/>
  <c r="I277" i="59"/>
  <c r="I276" i="59"/>
  <c r="I275" i="59"/>
  <c r="E272" i="59"/>
  <c r="E271" i="59"/>
  <c r="E270" i="59"/>
  <c r="E269" i="59"/>
  <c r="E268" i="59"/>
  <c r="E267" i="59"/>
  <c r="BE267" i="59" s="1"/>
  <c r="BC267" i="59" s="1"/>
  <c r="E266" i="59"/>
  <c r="BE266" i="59" s="1"/>
  <c r="E265" i="59"/>
  <c r="CY279" i="59"/>
  <c r="CX279" i="59"/>
  <c r="CW279" i="59"/>
  <c r="CV279" i="59"/>
  <c r="CT279" i="59"/>
  <c r="CS279" i="59"/>
  <c r="CR279" i="59"/>
  <c r="CQ279" i="59"/>
  <c r="CO279" i="59"/>
  <c r="CN279" i="59"/>
  <c r="CM279" i="59"/>
  <c r="CL279" i="59"/>
  <c r="CJ279" i="59"/>
  <c r="CI279" i="59"/>
  <c r="CH279" i="59"/>
  <c r="CG279" i="59"/>
  <c r="CE279" i="59"/>
  <c r="CD279" i="59"/>
  <c r="CC279" i="59"/>
  <c r="CB279" i="59"/>
  <c r="BZ279" i="59"/>
  <c r="BY279" i="59"/>
  <c r="BX279" i="59"/>
  <c r="BW279" i="59"/>
  <c r="BU279" i="59"/>
  <c r="BT279" i="59"/>
  <c r="BS279" i="59"/>
  <c r="BR279" i="59"/>
  <c r="BP279" i="59"/>
  <c r="BO279" i="59"/>
  <c r="BN279" i="59"/>
  <c r="BM279" i="59"/>
  <c r="BK279" i="59"/>
  <c r="BJ279" i="59"/>
  <c r="BI279" i="59"/>
  <c r="BH279" i="59"/>
  <c r="BG279" i="59"/>
  <c r="BL279" i="59" s="1"/>
  <c r="BQ279" i="59" s="1"/>
  <c r="BV279" i="59" s="1"/>
  <c r="CA279" i="59" s="1"/>
  <c r="CF279" i="59" s="1"/>
  <c r="CK279" i="59" s="1"/>
  <c r="CP279" i="59" s="1"/>
  <c r="CU279" i="59" s="1"/>
  <c r="CZ279" i="59" s="1"/>
  <c r="CO278" i="59"/>
  <c r="CN278" i="59"/>
  <c r="CM278" i="59"/>
  <c r="CL278" i="59"/>
  <c r="CJ278" i="59"/>
  <c r="CI278" i="59"/>
  <c r="CH278" i="59"/>
  <c r="CG278" i="59"/>
  <c r="CE278" i="59"/>
  <c r="CD278" i="59"/>
  <c r="CC278" i="59"/>
  <c r="CB278" i="59"/>
  <c r="BZ278" i="59"/>
  <c r="BY278" i="59"/>
  <c r="BX278" i="59"/>
  <c r="BW278" i="59"/>
  <c r="BU278" i="59"/>
  <c r="BT278" i="59"/>
  <c r="BS278" i="59"/>
  <c r="BR278" i="59"/>
  <c r="BP278" i="59"/>
  <c r="BO278" i="59"/>
  <c r="BN278" i="59"/>
  <c r="BM278" i="59"/>
  <c r="BK278" i="59"/>
  <c r="BJ278" i="59"/>
  <c r="BI278" i="59"/>
  <c r="BH278" i="59"/>
  <c r="BG278" i="59"/>
  <c r="BL278" i="59" s="1"/>
  <c r="BQ278" i="59" s="1"/>
  <c r="BV278" i="59" s="1"/>
  <c r="CA278" i="59" s="1"/>
  <c r="CF278" i="59" s="1"/>
  <c r="CK278" i="59" s="1"/>
  <c r="CP278" i="59" s="1"/>
  <c r="CY277" i="59"/>
  <c r="CX277" i="59"/>
  <c r="CW277" i="59"/>
  <c r="CV277" i="59"/>
  <c r="CJ277" i="59"/>
  <c r="CI277" i="59"/>
  <c r="CH277" i="59"/>
  <c r="CG277" i="59"/>
  <c r="CE277" i="59"/>
  <c r="CD277" i="59"/>
  <c r="CC277" i="59"/>
  <c r="CB277" i="59"/>
  <c r="BZ277" i="59"/>
  <c r="BY277" i="59"/>
  <c r="BX277" i="59"/>
  <c r="BW277" i="59"/>
  <c r="BU277" i="59"/>
  <c r="BT277" i="59"/>
  <c r="BS277" i="59"/>
  <c r="BR277" i="59"/>
  <c r="BP277" i="59"/>
  <c r="BO277" i="59"/>
  <c r="BN277" i="59"/>
  <c r="BM277" i="59"/>
  <c r="BK277" i="59"/>
  <c r="BJ277" i="59"/>
  <c r="BI277" i="59"/>
  <c r="BH277" i="59"/>
  <c r="BG277" i="59"/>
  <c r="BL277" i="59" s="1"/>
  <c r="BQ277" i="59" s="1"/>
  <c r="BV277" i="59" s="1"/>
  <c r="CA277" i="59" s="1"/>
  <c r="CF277" i="59" s="1"/>
  <c r="CK277" i="59" s="1"/>
  <c r="CY276" i="59"/>
  <c r="CX276" i="59"/>
  <c r="CW276" i="59"/>
  <c r="CV276" i="59"/>
  <c r="CT276" i="59"/>
  <c r="CS276" i="59"/>
  <c r="CR276" i="59"/>
  <c r="CQ276" i="59"/>
  <c r="CE276" i="59"/>
  <c r="CD276" i="59"/>
  <c r="CC276" i="59"/>
  <c r="CB276" i="59"/>
  <c r="BZ276" i="59"/>
  <c r="BY276" i="59"/>
  <c r="BX276" i="59"/>
  <c r="BW276" i="59"/>
  <c r="BU276" i="59"/>
  <c r="BT276" i="59"/>
  <c r="BS276" i="59"/>
  <c r="BR276" i="59"/>
  <c r="BP276" i="59"/>
  <c r="BO276" i="59"/>
  <c r="BN276" i="59"/>
  <c r="BM276" i="59"/>
  <c r="BK276" i="59"/>
  <c r="BJ276" i="59"/>
  <c r="BI276" i="59"/>
  <c r="BH276" i="59"/>
  <c r="BG276" i="59"/>
  <c r="BL276" i="59" s="1"/>
  <c r="BQ276" i="59" s="1"/>
  <c r="BV276" i="59" s="1"/>
  <c r="CA276" i="59" s="1"/>
  <c r="CF276" i="59" s="1"/>
  <c r="CY275" i="59"/>
  <c r="CX275" i="59"/>
  <c r="CW275" i="59"/>
  <c r="CV275" i="59"/>
  <c r="CT275" i="59"/>
  <c r="CS275" i="59"/>
  <c r="CR275" i="59"/>
  <c r="CQ275" i="59"/>
  <c r="CO275" i="59"/>
  <c r="CN275" i="59"/>
  <c r="CM275" i="59"/>
  <c r="CL275" i="59"/>
  <c r="BZ275" i="59"/>
  <c r="BY275" i="59"/>
  <c r="BX275" i="59"/>
  <c r="BW275" i="59"/>
  <c r="BU275" i="59"/>
  <c r="BT275" i="59"/>
  <c r="BS275" i="59"/>
  <c r="BR275" i="59"/>
  <c r="BP275" i="59"/>
  <c r="BO275" i="59"/>
  <c r="BN275" i="59"/>
  <c r="BM275" i="59"/>
  <c r="BK275" i="59"/>
  <c r="BJ275" i="59"/>
  <c r="BI275" i="59"/>
  <c r="BH275" i="59"/>
  <c r="BG275" i="59"/>
  <c r="BL275" i="59" s="1"/>
  <c r="BQ275" i="59" s="1"/>
  <c r="BV275" i="59" s="1"/>
  <c r="CA275" i="59" s="1"/>
  <c r="CY274" i="59"/>
  <c r="CX274" i="59"/>
  <c r="CW274" i="59"/>
  <c r="CV274" i="59"/>
  <c r="CT274" i="59"/>
  <c r="CS274" i="59"/>
  <c r="CR274" i="59"/>
  <c r="CQ274" i="59"/>
  <c r="CO274" i="59"/>
  <c r="CN274" i="59"/>
  <c r="CM274" i="59"/>
  <c r="CL274" i="59"/>
  <c r="CJ274" i="59"/>
  <c r="CI274" i="59"/>
  <c r="CH274" i="59"/>
  <c r="CG274" i="59"/>
  <c r="CE274" i="59"/>
  <c r="CD274" i="59"/>
  <c r="CC274" i="59"/>
  <c r="CB274" i="59"/>
  <c r="BZ274" i="59"/>
  <c r="BY274" i="59"/>
  <c r="BX274" i="59"/>
  <c r="BW274" i="59"/>
  <c r="BU274" i="59"/>
  <c r="BT274" i="59"/>
  <c r="BS274" i="59"/>
  <c r="BR274" i="59"/>
  <c r="BP274" i="59"/>
  <c r="BO274" i="59"/>
  <c r="BN274" i="59"/>
  <c r="BM274" i="59"/>
  <c r="BK274" i="59"/>
  <c r="BJ274" i="59"/>
  <c r="BI274" i="59"/>
  <c r="BH274" i="59"/>
  <c r="BG274" i="59"/>
  <c r="BL274" i="59" s="1"/>
  <c r="BQ274" i="59" s="1"/>
  <c r="BV274" i="59" s="1"/>
  <c r="CA274" i="59" s="1"/>
  <c r="CF274" i="59" s="1"/>
  <c r="CK274" i="59" s="1"/>
  <c r="CP274" i="59" s="1"/>
  <c r="CU274" i="59" s="1"/>
  <c r="CZ274" i="59" s="1"/>
  <c r="CY273" i="59"/>
  <c r="CX273" i="59"/>
  <c r="CW273" i="59"/>
  <c r="CV273" i="59"/>
  <c r="CT273" i="59"/>
  <c r="CS273" i="59"/>
  <c r="CR273" i="59"/>
  <c r="CQ273" i="59"/>
  <c r="CO273" i="59"/>
  <c r="CN273" i="59"/>
  <c r="CM273" i="59"/>
  <c r="CL273" i="59"/>
  <c r="CJ273" i="59"/>
  <c r="CI273" i="59"/>
  <c r="CH273" i="59"/>
  <c r="CG273" i="59"/>
  <c r="CE273" i="59"/>
  <c r="CD273" i="59"/>
  <c r="CC273" i="59"/>
  <c r="CB273" i="59"/>
  <c r="BZ273" i="59"/>
  <c r="BY273" i="59"/>
  <c r="BX273" i="59"/>
  <c r="BW273" i="59"/>
  <c r="BU273" i="59"/>
  <c r="BT273" i="59"/>
  <c r="BS273" i="59"/>
  <c r="BR273" i="59"/>
  <c r="BP273" i="59"/>
  <c r="BO273" i="59"/>
  <c r="BN273" i="59"/>
  <c r="BM273" i="59"/>
  <c r="BK273" i="59"/>
  <c r="BJ273" i="59"/>
  <c r="BI273" i="59"/>
  <c r="BH273" i="59"/>
  <c r="BG273" i="59"/>
  <c r="BL273" i="59" s="1"/>
  <c r="BQ273" i="59" s="1"/>
  <c r="BV273" i="59" s="1"/>
  <c r="CA273" i="59" s="1"/>
  <c r="CF273" i="59" s="1"/>
  <c r="CK273" i="59" s="1"/>
  <c r="CP273" i="59" s="1"/>
  <c r="CU273" i="59" s="1"/>
  <c r="CZ273" i="59" s="1"/>
  <c r="CY272" i="59"/>
  <c r="CX272" i="59"/>
  <c r="CW272" i="59"/>
  <c r="CV272" i="59"/>
  <c r="CT272" i="59"/>
  <c r="CS272" i="59"/>
  <c r="CR272" i="59"/>
  <c r="CQ272" i="59"/>
  <c r="CO272" i="59"/>
  <c r="CN272" i="59"/>
  <c r="CM272" i="59"/>
  <c r="CL272" i="59"/>
  <c r="CJ272" i="59"/>
  <c r="CI272" i="59"/>
  <c r="CH272" i="59"/>
  <c r="CG272" i="59"/>
  <c r="CE272" i="59"/>
  <c r="CD272" i="59"/>
  <c r="CC272" i="59"/>
  <c r="CB272" i="59"/>
  <c r="BZ272" i="59"/>
  <c r="BY272" i="59"/>
  <c r="BX272" i="59"/>
  <c r="BW272" i="59"/>
  <c r="BU272" i="59"/>
  <c r="BT272" i="59"/>
  <c r="BS272" i="59"/>
  <c r="BR272" i="59"/>
  <c r="BP272" i="59"/>
  <c r="BO272" i="59"/>
  <c r="BN272" i="59"/>
  <c r="BM272" i="59"/>
  <c r="BK272" i="59"/>
  <c r="BJ272" i="59"/>
  <c r="BI272" i="59"/>
  <c r="BH272" i="59"/>
  <c r="BG272" i="59"/>
  <c r="BL272" i="59" s="1"/>
  <c r="BQ272" i="59" s="1"/>
  <c r="BV272" i="59" s="1"/>
  <c r="CA272" i="59" s="1"/>
  <c r="CF272" i="59" s="1"/>
  <c r="CK272" i="59" s="1"/>
  <c r="CP272" i="59" s="1"/>
  <c r="CU272" i="59" s="1"/>
  <c r="CZ272" i="59" s="1"/>
  <c r="CY271" i="59"/>
  <c r="CX271" i="59"/>
  <c r="CW271" i="59"/>
  <c r="CV271" i="59"/>
  <c r="CT271" i="59"/>
  <c r="CS271" i="59"/>
  <c r="CR271" i="59"/>
  <c r="CQ271" i="59"/>
  <c r="CO271" i="59"/>
  <c r="CN271" i="59"/>
  <c r="CM271" i="59"/>
  <c r="CL271" i="59"/>
  <c r="CJ271" i="59"/>
  <c r="CI271" i="59"/>
  <c r="CH271" i="59"/>
  <c r="CG271" i="59"/>
  <c r="CE271" i="59"/>
  <c r="CD271" i="59"/>
  <c r="CC271" i="59"/>
  <c r="CB271" i="59"/>
  <c r="BZ271" i="59"/>
  <c r="BY271" i="59"/>
  <c r="BX271" i="59"/>
  <c r="BW271" i="59"/>
  <c r="BU271" i="59"/>
  <c r="BT271" i="59"/>
  <c r="BS271" i="59"/>
  <c r="BR271" i="59"/>
  <c r="BP271" i="59"/>
  <c r="BO271" i="59"/>
  <c r="BN271" i="59"/>
  <c r="BM271" i="59"/>
  <c r="BK271" i="59"/>
  <c r="BJ271" i="59"/>
  <c r="BI271" i="59"/>
  <c r="BH271" i="59"/>
  <c r="BG271" i="59"/>
  <c r="BL271" i="59" s="1"/>
  <c r="BQ271" i="59" s="1"/>
  <c r="BV271" i="59" s="1"/>
  <c r="CA271" i="59" s="1"/>
  <c r="CF271" i="59" s="1"/>
  <c r="CK271" i="59" s="1"/>
  <c r="CP271" i="59" s="1"/>
  <c r="CU271" i="59" s="1"/>
  <c r="CZ271" i="59" s="1"/>
  <c r="CY270" i="59"/>
  <c r="CX270" i="59"/>
  <c r="CW270" i="59"/>
  <c r="CV270" i="59"/>
  <c r="CT270" i="59"/>
  <c r="CS270" i="59"/>
  <c r="CR270" i="59"/>
  <c r="CQ270" i="59"/>
  <c r="CO270" i="59"/>
  <c r="CN270" i="59"/>
  <c r="CM270" i="59"/>
  <c r="CL270" i="59"/>
  <c r="CJ270" i="59"/>
  <c r="CI270" i="59"/>
  <c r="CH270" i="59"/>
  <c r="CG270" i="59"/>
  <c r="CE270" i="59"/>
  <c r="CD270" i="59"/>
  <c r="CC270" i="59"/>
  <c r="CB270" i="59"/>
  <c r="BZ270" i="59"/>
  <c r="BY270" i="59"/>
  <c r="BX270" i="59"/>
  <c r="BW270" i="59"/>
  <c r="BU270" i="59"/>
  <c r="BT270" i="59"/>
  <c r="BS270" i="59"/>
  <c r="BR270" i="59"/>
  <c r="BP270" i="59"/>
  <c r="BO270" i="59"/>
  <c r="BN270" i="59"/>
  <c r="BM270" i="59"/>
  <c r="BK270" i="59"/>
  <c r="BJ270" i="59"/>
  <c r="BI270" i="59"/>
  <c r="BH270" i="59"/>
  <c r="BG270" i="59"/>
  <c r="BL270" i="59" s="1"/>
  <c r="BQ270" i="59" s="1"/>
  <c r="BV270" i="59" s="1"/>
  <c r="CA270" i="59" s="1"/>
  <c r="CF270" i="59" s="1"/>
  <c r="CK270" i="59" s="1"/>
  <c r="CP270" i="59" s="1"/>
  <c r="CU270" i="59" s="1"/>
  <c r="CZ270" i="59" s="1"/>
  <c r="CY269" i="59"/>
  <c r="CX269" i="59"/>
  <c r="CW269" i="59"/>
  <c r="CV269" i="59"/>
  <c r="CT269" i="59"/>
  <c r="CS269" i="59"/>
  <c r="CR269" i="59"/>
  <c r="CQ269" i="59"/>
  <c r="CO269" i="59"/>
  <c r="CN269" i="59"/>
  <c r="CM269" i="59"/>
  <c r="CL269" i="59"/>
  <c r="CJ269" i="59"/>
  <c r="CI269" i="59"/>
  <c r="CH269" i="59"/>
  <c r="CG269" i="59"/>
  <c r="CE269" i="59"/>
  <c r="CD269" i="59"/>
  <c r="CC269" i="59"/>
  <c r="CB269" i="59"/>
  <c r="BZ269" i="59"/>
  <c r="BY269" i="59"/>
  <c r="BX269" i="59"/>
  <c r="BW269" i="59"/>
  <c r="BU269" i="59"/>
  <c r="BT269" i="59"/>
  <c r="BS269" i="59"/>
  <c r="BR269" i="59"/>
  <c r="BP269" i="59"/>
  <c r="BO269" i="59"/>
  <c r="BN269" i="59"/>
  <c r="BM269" i="59"/>
  <c r="BK269" i="59"/>
  <c r="BJ269" i="59"/>
  <c r="BI269" i="59"/>
  <c r="BH269" i="59"/>
  <c r="BG269" i="59"/>
  <c r="BL269" i="59" s="1"/>
  <c r="BQ269" i="59" s="1"/>
  <c r="BV269" i="59" s="1"/>
  <c r="CA269" i="59" s="1"/>
  <c r="CF269" i="59" s="1"/>
  <c r="CK269" i="59" s="1"/>
  <c r="CP269" i="59" s="1"/>
  <c r="CU269" i="59" s="1"/>
  <c r="CZ269" i="59" s="1"/>
  <c r="CY268" i="59"/>
  <c r="CX268" i="59"/>
  <c r="CW268" i="59"/>
  <c r="CV268" i="59"/>
  <c r="CT268" i="59"/>
  <c r="CS268" i="59"/>
  <c r="CR268" i="59"/>
  <c r="CQ268" i="59"/>
  <c r="CO268" i="59"/>
  <c r="CN268" i="59"/>
  <c r="CM268" i="59"/>
  <c r="CL268" i="59"/>
  <c r="CJ268" i="59"/>
  <c r="CI268" i="59"/>
  <c r="CH268" i="59"/>
  <c r="CG268" i="59"/>
  <c r="CE268" i="59"/>
  <c r="CD268" i="59"/>
  <c r="CC268" i="59"/>
  <c r="CB268" i="59"/>
  <c r="BZ268" i="59"/>
  <c r="BY268" i="59"/>
  <c r="BX268" i="59"/>
  <c r="BW268" i="59"/>
  <c r="BU268" i="59"/>
  <c r="BT268" i="59"/>
  <c r="BS268" i="59"/>
  <c r="BR268" i="59"/>
  <c r="BP268" i="59"/>
  <c r="BO268" i="59"/>
  <c r="BN268" i="59"/>
  <c r="BM268" i="59"/>
  <c r="BK268" i="59"/>
  <c r="BJ268" i="59"/>
  <c r="BI268" i="59"/>
  <c r="BH268" i="59"/>
  <c r="BG268" i="59"/>
  <c r="BL268" i="59" s="1"/>
  <c r="BQ268" i="59" s="1"/>
  <c r="BV268" i="59" s="1"/>
  <c r="CA268" i="59" s="1"/>
  <c r="CF268" i="59" s="1"/>
  <c r="CK268" i="59" s="1"/>
  <c r="CP268" i="59" s="1"/>
  <c r="CU268" i="59" s="1"/>
  <c r="CZ268" i="59" s="1"/>
  <c r="CT267" i="59"/>
  <c r="CS267" i="59"/>
  <c r="CR267" i="59"/>
  <c r="CQ267" i="59"/>
  <c r="CO267" i="59"/>
  <c r="CN267" i="59"/>
  <c r="CM267" i="59"/>
  <c r="CL267" i="59"/>
  <c r="CJ267" i="59"/>
  <c r="CI267" i="59"/>
  <c r="CH267" i="59"/>
  <c r="CG267" i="59"/>
  <c r="CE267" i="59"/>
  <c r="CD267" i="59"/>
  <c r="CC267" i="59"/>
  <c r="CB267" i="59"/>
  <c r="BZ267" i="59"/>
  <c r="BY267" i="59"/>
  <c r="BX267" i="59"/>
  <c r="BW267" i="59"/>
  <c r="BU267" i="59"/>
  <c r="BT267" i="59"/>
  <c r="BS267" i="59"/>
  <c r="BR267" i="59"/>
  <c r="BP267" i="59"/>
  <c r="BO267" i="59"/>
  <c r="BN267" i="59"/>
  <c r="BM267" i="59"/>
  <c r="BK267" i="59"/>
  <c r="BJ267" i="59"/>
  <c r="BI267" i="59"/>
  <c r="BH267" i="59"/>
  <c r="BG267" i="59"/>
  <c r="BL267" i="59" s="1"/>
  <c r="BQ267" i="59" s="1"/>
  <c r="BV267" i="59" s="1"/>
  <c r="CA267" i="59" s="1"/>
  <c r="CF267" i="59" s="1"/>
  <c r="CK267" i="59" s="1"/>
  <c r="CP267" i="59" s="1"/>
  <c r="CU267" i="59" s="1"/>
  <c r="CT266" i="59"/>
  <c r="CS266" i="59"/>
  <c r="CR266" i="59"/>
  <c r="CQ266" i="59"/>
  <c r="CO266" i="59"/>
  <c r="CN266" i="59"/>
  <c r="CM266" i="59"/>
  <c r="CL266" i="59"/>
  <c r="CJ266" i="59"/>
  <c r="CI266" i="59"/>
  <c r="CH266" i="59"/>
  <c r="CG266" i="59"/>
  <c r="CE266" i="59"/>
  <c r="CD266" i="59"/>
  <c r="CC266" i="59"/>
  <c r="CB266" i="59"/>
  <c r="BZ266" i="59"/>
  <c r="BY266" i="59"/>
  <c r="BX266" i="59"/>
  <c r="BW266" i="59"/>
  <c r="BU266" i="59"/>
  <c r="BT266" i="59"/>
  <c r="BS266" i="59"/>
  <c r="BR266" i="59"/>
  <c r="BP266" i="59"/>
  <c r="BO266" i="59"/>
  <c r="BN266" i="59"/>
  <c r="BM266" i="59"/>
  <c r="BK266" i="59"/>
  <c r="BJ266" i="59"/>
  <c r="BI266" i="59"/>
  <c r="BH266" i="59"/>
  <c r="BG266" i="59"/>
  <c r="BL266" i="59" s="1"/>
  <c r="BQ266" i="59" s="1"/>
  <c r="BV266" i="59" s="1"/>
  <c r="CA266" i="59" s="1"/>
  <c r="CF266" i="59" s="1"/>
  <c r="CK266" i="59" s="1"/>
  <c r="CP266" i="59" s="1"/>
  <c r="CU266" i="59" s="1"/>
  <c r="CY265" i="59"/>
  <c r="CX265" i="59"/>
  <c r="CW265" i="59"/>
  <c r="CV265" i="59"/>
  <c r="CT265" i="59"/>
  <c r="CS265" i="59"/>
  <c r="CR265" i="59"/>
  <c r="CQ265" i="59"/>
  <c r="CE265" i="59"/>
  <c r="CD265" i="59"/>
  <c r="CC265" i="59"/>
  <c r="CB265" i="59"/>
  <c r="BZ265" i="59"/>
  <c r="BY265" i="59"/>
  <c r="BX265" i="59"/>
  <c r="BW265" i="59"/>
  <c r="BU265" i="59"/>
  <c r="BT265" i="59"/>
  <c r="BS265" i="59"/>
  <c r="BR265" i="59"/>
  <c r="BP265" i="59"/>
  <c r="BO265" i="59"/>
  <c r="BN265" i="59"/>
  <c r="BM265" i="59"/>
  <c r="BK265" i="59"/>
  <c r="BJ265" i="59"/>
  <c r="BI265" i="59"/>
  <c r="BH265" i="59"/>
  <c r="BG265" i="59"/>
  <c r="BL265" i="59" s="1"/>
  <c r="BQ265" i="59" s="1"/>
  <c r="BE279" i="59"/>
  <c r="BB279" i="59" s="1"/>
  <c r="AZ279" i="59"/>
  <c r="AV279" i="59" s="1"/>
  <c r="AU279" i="59"/>
  <c r="AP279" i="59"/>
  <c r="AM279" i="59" s="1"/>
  <c r="AK279" i="59"/>
  <c r="AI279" i="59" s="1"/>
  <c r="AF279" i="59"/>
  <c r="AA279" i="59"/>
  <c r="X279" i="59" s="1"/>
  <c r="V279" i="59"/>
  <c r="S279" i="59" s="1"/>
  <c r="Q279" i="59"/>
  <c r="L279" i="59"/>
  <c r="BE278" i="59"/>
  <c r="BD278" i="59" s="1"/>
  <c r="AU278" i="59"/>
  <c r="AQ278" i="59" s="1"/>
  <c r="AP278" i="59"/>
  <c r="AL278" i="59" s="1"/>
  <c r="AK278" i="59"/>
  <c r="AF278" i="59"/>
  <c r="AC278" i="59" s="1"/>
  <c r="AA278" i="59"/>
  <c r="Y278" i="59" s="1"/>
  <c r="V278" i="59"/>
  <c r="R278" i="59" s="1"/>
  <c r="Q278" i="59"/>
  <c r="N278" i="59" s="1"/>
  <c r="L278" i="59"/>
  <c r="BE277" i="59"/>
  <c r="BD277" i="59" s="1"/>
  <c r="AZ277" i="59"/>
  <c r="AV277" i="59" s="1"/>
  <c r="AP277" i="59"/>
  <c r="AM277" i="59" s="1"/>
  <c r="AK277" i="59"/>
  <c r="AH277" i="59" s="1"/>
  <c r="AF277" i="59"/>
  <c r="AB277" i="59" s="1"/>
  <c r="AA277" i="59"/>
  <c r="Z277" i="59" s="1"/>
  <c r="V277" i="59"/>
  <c r="R277" i="59" s="1"/>
  <c r="Q277" i="59"/>
  <c r="O277" i="59" s="1"/>
  <c r="L277" i="59"/>
  <c r="BE276" i="59"/>
  <c r="BB276" i="59" s="1"/>
  <c r="AZ276" i="59"/>
  <c r="AX276" i="59" s="1"/>
  <c r="AU276" i="59"/>
  <c r="AR276" i="59" s="1"/>
  <c r="AK276" i="59"/>
  <c r="AG276" i="59" s="1"/>
  <c r="AF276" i="59"/>
  <c r="AC276" i="59" s="1"/>
  <c r="AA276" i="59"/>
  <c r="X276" i="59" s="1"/>
  <c r="V276" i="59"/>
  <c r="Q276" i="59"/>
  <c r="L276" i="59"/>
  <c r="BE275" i="59"/>
  <c r="BA275" i="59" s="1"/>
  <c r="AZ275" i="59"/>
  <c r="AU275" i="59"/>
  <c r="AQ275" i="59" s="1"/>
  <c r="AP275" i="59"/>
  <c r="AM275" i="59" s="1"/>
  <c r="AF275" i="59"/>
  <c r="AB275" i="59" s="1"/>
  <c r="AA275" i="59"/>
  <c r="Y275" i="59" s="1"/>
  <c r="V275" i="59"/>
  <c r="S275" i="59" s="1"/>
  <c r="Q275" i="59"/>
  <c r="O275" i="59" s="1"/>
  <c r="L275" i="59"/>
  <c r="BE274" i="59"/>
  <c r="BD274" i="59" s="1"/>
  <c r="AZ274" i="59"/>
  <c r="AW274" i="59" s="1"/>
  <c r="AU274" i="59"/>
  <c r="AP274" i="59"/>
  <c r="AL274" i="59" s="1"/>
  <c r="AK274" i="59"/>
  <c r="AI274" i="59" s="1"/>
  <c r="AF274" i="59"/>
  <c r="AB274" i="59" s="1"/>
  <c r="AA274" i="59"/>
  <c r="W274" i="59" s="1"/>
  <c r="V274" i="59"/>
  <c r="R274" i="59" s="1"/>
  <c r="Q274" i="59"/>
  <c r="O274" i="59" s="1"/>
  <c r="L274" i="59"/>
  <c r="BE273" i="59"/>
  <c r="BA273" i="59" s="1"/>
  <c r="AZ273" i="59"/>
  <c r="AV273" i="59" s="1"/>
  <c r="AU273" i="59"/>
  <c r="AS273" i="59" s="1"/>
  <c r="AP273" i="59"/>
  <c r="AM273" i="59" s="1"/>
  <c r="AK273" i="59"/>
  <c r="AI273" i="59" s="1"/>
  <c r="AF273" i="59"/>
  <c r="AB273" i="59" s="1"/>
  <c r="AA273" i="59"/>
  <c r="X273" i="59" s="1"/>
  <c r="V273" i="59"/>
  <c r="S273" i="59" s="1"/>
  <c r="Q273" i="59"/>
  <c r="O273" i="59" s="1"/>
  <c r="L273" i="59"/>
  <c r="BE272" i="59"/>
  <c r="AZ272" i="59"/>
  <c r="AU272" i="59"/>
  <c r="AQ272" i="59" s="1"/>
  <c r="AP272" i="59"/>
  <c r="AK272" i="59"/>
  <c r="AH272" i="59" s="1"/>
  <c r="AF272" i="59"/>
  <c r="AC272" i="59" s="1"/>
  <c r="AA272" i="59"/>
  <c r="V272" i="59"/>
  <c r="R272" i="59" s="1"/>
  <c r="Q272" i="59"/>
  <c r="L272" i="59"/>
  <c r="BE271" i="59"/>
  <c r="BC271" i="59" s="1"/>
  <c r="AZ271" i="59"/>
  <c r="AV271" i="59" s="1"/>
  <c r="AU271" i="59"/>
  <c r="AS271" i="59" s="1"/>
  <c r="AP271" i="59"/>
  <c r="AM271" i="59" s="1"/>
  <c r="AK271" i="59"/>
  <c r="AJ271" i="59" s="1"/>
  <c r="AF271" i="59"/>
  <c r="AA271" i="59"/>
  <c r="Y271" i="59" s="1"/>
  <c r="V271" i="59"/>
  <c r="S271" i="59" s="1"/>
  <c r="Q271" i="59"/>
  <c r="O271" i="59" s="1"/>
  <c r="L271" i="59"/>
  <c r="BE270" i="59"/>
  <c r="BA270" i="59" s="1"/>
  <c r="AZ270" i="59"/>
  <c r="AX270" i="59" s="1"/>
  <c r="AU270" i="59"/>
  <c r="AS270" i="59" s="1"/>
  <c r="AP270" i="59"/>
  <c r="AL270" i="59" s="1"/>
  <c r="AK270" i="59"/>
  <c r="AF270" i="59"/>
  <c r="AC270" i="59" s="1"/>
  <c r="AA270" i="59"/>
  <c r="Y270" i="59" s="1"/>
  <c r="V270" i="59"/>
  <c r="R270" i="59" s="1"/>
  <c r="Q270" i="59"/>
  <c r="O270" i="59" s="1"/>
  <c r="L270" i="59"/>
  <c r="BE269" i="59"/>
  <c r="BC269" i="59" s="1"/>
  <c r="AZ269" i="59"/>
  <c r="AV269" i="59" s="1"/>
  <c r="AU269" i="59"/>
  <c r="AS269" i="59" s="1"/>
  <c r="AP269" i="59"/>
  <c r="AM269" i="59" s="1"/>
  <c r="AK269" i="59"/>
  <c r="AJ269" i="59" s="1"/>
  <c r="AF269" i="59"/>
  <c r="AB269" i="59" s="1"/>
  <c r="AA269" i="59"/>
  <c r="Z269" i="59" s="1"/>
  <c r="V269" i="59"/>
  <c r="S269" i="59" s="1"/>
  <c r="Q269" i="59"/>
  <c r="O269" i="59" s="1"/>
  <c r="L269" i="59"/>
  <c r="BE268" i="59"/>
  <c r="AZ268" i="59"/>
  <c r="AW268" i="59" s="1"/>
  <c r="AU268" i="59"/>
  <c r="AS268" i="59" s="1"/>
  <c r="AP268" i="59"/>
  <c r="AL268" i="59" s="1"/>
  <c r="AK268" i="59"/>
  <c r="AH268" i="59" s="1"/>
  <c r="AF268" i="59"/>
  <c r="AC268" i="59" s="1"/>
  <c r="AA268" i="59"/>
  <c r="Y268" i="59" s="1"/>
  <c r="V268" i="59"/>
  <c r="Q268" i="59"/>
  <c r="O268" i="59" s="1"/>
  <c r="L268" i="59"/>
  <c r="AZ267" i="59"/>
  <c r="AX267" i="59" s="1"/>
  <c r="AU267" i="59"/>
  <c r="AS267" i="59" s="1"/>
  <c r="AP267" i="59"/>
  <c r="AN267" i="59" s="1"/>
  <c r="AK267" i="59"/>
  <c r="AI267" i="59" s="1"/>
  <c r="AF267" i="59"/>
  <c r="AA267" i="59"/>
  <c r="Y267" i="59" s="1"/>
  <c r="V267" i="59"/>
  <c r="Q267" i="59"/>
  <c r="L267" i="59"/>
  <c r="AZ266" i="59"/>
  <c r="AV266" i="59" s="1"/>
  <c r="AU266" i="59"/>
  <c r="AS266" i="59" s="1"/>
  <c r="AP266" i="59"/>
  <c r="AO266" i="59" s="1"/>
  <c r="AK266" i="59"/>
  <c r="AI266" i="59" s="1"/>
  <c r="AF266" i="59"/>
  <c r="AC266" i="59" s="1"/>
  <c r="AA266" i="59"/>
  <c r="Y266" i="59" s="1"/>
  <c r="V266" i="59"/>
  <c r="Q266" i="59"/>
  <c r="P266" i="59" s="1"/>
  <c r="L266" i="59"/>
  <c r="BE265" i="59"/>
  <c r="BC265" i="59" s="1"/>
  <c r="AZ265" i="59"/>
  <c r="AX265" i="59" s="1"/>
  <c r="AU265" i="59"/>
  <c r="AR265" i="59" s="1"/>
  <c r="AK265" i="59"/>
  <c r="AI265" i="59" s="1"/>
  <c r="AF265" i="59"/>
  <c r="AD265" i="59" s="1"/>
  <c r="AA265" i="59"/>
  <c r="Y265" i="59" s="1"/>
  <c r="V265" i="59"/>
  <c r="R265" i="59" s="1"/>
  <c r="Q265" i="59"/>
  <c r="O265" i="59" s="1"/>
  <c r="L265" i="59"/>
  <c r="E254" i="59"/>
  <c r="BE254" i="59" s="1"/>
  <c r="E253" i="59"/>
  <c r="AZ253" i="59" s="1"/>
  <c r="AW253" i="59" s="1"/>
  <c r="E252" i="59"/>
  <c r="AU252" i="59" s="1"/>
  <c r="AS252" i="59" s="1"/>
  <c r="E251" i="59"/>
  <c r="CT254" i="59"/>
  <c r="CS254" i="59"/>
  <c r="CR254" i="59"/>
  <c r="CQ254" i="59"/>
  <c r="CO254" i="59"/>
  <c r="CN254" i="59"/>
  <c r="CM254" i="59"/>
  <c r="CL254" i="59"/>
  <c r="CJ254" i="59"/>
  <c r="CI254" i="59"/>
  <c r="CH254" i="59"/>
  <c r="CG254" i="59"/>
  <c r="CE254" i="59"/>
  <c r="CD254" i="59"/>
  <c r="CC254" i="59"/>
  <c r="CB254" i="59"/>
  <c r="BZ254" i="59"/>
  <c r="BY254" i="59"/>
  <c r="BX254" i="59"/>
  <c r="BW254" i="59"/>
  <c r="BU254" i="59"/>
  <c r="BT254" i="59"/>
  <c r="BS254" i="59"/>
  <c r="BR254" i="59"/>
  <c r="BP254" i="59"/>
  <c r="BO254" i="59"/>
  <c r="BN254" i="59"/>
  <c r="BM254" i="59"/>
  <c r="BK254" i="59"/>
  <c r="BJ254" i="59"/>
  <c r="BI254" i="59"/>
  <c r="BH254" i="59"/>
  <c r="BG254" i="59"/>
  <c r="BL254" i="59" s="1"/>
  <c r="BQ254" i="59" s="1"/>
  <c r="BV254" i="59" s="1"/>
  <c r="CA254" i="59" s="1"/>
  <c r="CF254" i="59" s="1"/>
  <c r="CK254" i="59" s="1"/>
  <c r="CP254" i="59" s="1"/>
  <c r="CU254" i="59" s="1"/>
  <c r="CO253" i="59"/>
  <c r="CN253" i="59"/>
  <c r="CM253" i="59"/>
  <c r="CL253" i="59"/>
  <c r="CJ253" i="59"/>
  <c r="CI253" i="59"/>
  <c r="CH253" i="59"/>
  <c r="CG253" i="59"/>
  <c r="CE253" i="59"/>
  <c r="CD253" i="59"/>
  <c r="CC253" i="59"/>
  <c r="CB253" i="59"/>
  <c r="BZ253" i="59"/>
  <c r="BY253" i="59"/>
  <c r="BX253" i="59"/>
  <c r="BW253" i="59"/>
  <c r="BU253" i="59"/>
  <c r="BT253" i="59"/>
  <c r="BS253" i="59"/>
  <c r="BR253" i="59"/>
  <c r="BP253" i="59"/>
  <c r="BO253" i="59"/>
  <c r="BN253" i="59"/>
  <c r="BM253" i="59"/>
  <c r="BK253" i="59"/>
  <c r="BJ253" i="59"/>
  <c r="BI253" i="59"/>
  <c r="BH253" i="59"/>
  <c r="BG253" i="59"/>
  <c r="BL253" i="59" s="1"/>
  <c r="BQ253" i="59" s="1"/>
  <c r="BV253" i="59" s="1"/>
  <c r="CA253" i="59" s="1"/>
  <c r="CF253" i="59" s="1"/>
  <c r="CK253" i="59" s="1"/>
  <c r="CP253" i="59" s="1"/>
  <c r="CY252" i="59"/>
  <c r="CX252" i="59"/>
  <c r="CW252" i="59"/>
  <c r="CV252" i="59"/>
  <c r="CJ252" i="59"/>
  <c r="CI252" i="59"/>
  <c r="CH252" i="59"/>
  <c r="CG252" i="59"/>
  <c r="CE252" i="59"/>
  <c r="CD252" i="59"/>
  <c r="CC252" i="59"/>
  <c r="CB252" i="59"/>
  <c r="BZ252" i="59"/>
  <c r="BY252" i="59"/>
  <c r="BX252" i="59"/>
  <c r="BW252" i="59"/>
  <c r="BU252" i="59"/>
  <c r="BT252" i="59"/>
  <c r="BS252" i="59"/>
  <c r="BR252" i="59"/>
  <c r="BP252" i="59"/>
  <c r="BO252" i="59"/>
  <c r="BN252" i="59"/>
  <c r="BM252" i="59"/>
  <c r="BK252" i="59"/>
  <c r="BJ252" i="59"/>
  <c r="BI252" i="59"/>
  <c r="BH252" i="59"/>
  <c r="BG252" i="59"/>
  <c r="BL252" i="59" s="1"/>
  <c r="BQ252" i="59" s="1"/>
  <c r="BV252" i="59" s="1"/>
  <c r="CA252" i="59" s="1"/>
  <c r="CF252" i="59" s="1"/>
  <c r="CK252" i="59" s="1"/>
  <c r="CY251" i="59"/>
  <c r="CX251" i="59"/>
  <c r="CW251" i="59"/>
  <c r="CV251" i="59"/>
  <c r="CT251" i="59"/>
  <c r="CS251" i="59"/>
  <c r="CR251" i="59"/>
  <c r="CQ251" i="59"/>
  <c r="CE251" i="59"/>
  <c r="CE256" i="59" s="1"/>
  <c r="CD251" i="59"/>
  <c r="CC251" i="59"/>
  <c r="CB251" i="59"/>
  <c r="BZ251" i="59"/>
  <c r="BZ256" i="59" s="1"/>
  <c r="BY251" i="59"/>
  <c r="BX251" i="59"/>
  <c r="BW251" i="59"/>
  <c r="BU251" i="59"/>
  <c r="BU256" i="59" s="1"/>
  <c r="BT251" i="59"/>
  <c r="BS251" i="59"/>
  <c r="BR251" i="59"/>
  <c r="BP251" i="59"/>
  <c r="BO251" i="59"/>
  <c r="BN251" i="59"/>
  <c r="BM251" i="59"/>
  <c r="BK251" i="59"/>
  <c r="BK256" i="59" s="1"/>
  <c r="BJ251" i="59"/>
  <c r="BI251" i="59"/>
  <c r="BH251" i="59"/>
  <c r="BG251" i="59"/>
  <c r="AZ254" i="59"/>
  <c r="AX254" i="59" s="1"/>
  <c r="AU254" i="59"/>
  <c r="AR254" i="59" s="1"/>
  <c r="AP254" i="59"/>
  <c r="AM254" i="59" s="1"/>
  <c r="AK254" i="59"/>
  <c r="AG254" i="59" s="1"/>
  <c r="AF254" i="59"/>
  <c r="AB254" i="59" s="1"/>
  <c r="AA254" i="59"/>
  <c r="V254" i="59"/>
  <c r="R254" i="59" s="1"/>
  <c r="Q254" i="59"/>
  <c r="L254" i="59"/>
  <c r="BE253" i="59"/>
  <c r="BB253" i="59" s="1"/>
  <c r="AU253" i="59"/>
  <c r="AQ253" i="59" s="1"/>
  <c r="AP253" i="59"/>
  <c r="AL253" i="59" s="1"/>
  <c r="AK253" i="59"/>
  <c r="AG253" i="59" s="1"/>
  <c r="AF253" i="59"/>
  <c r="AD253" i="59" s="1"/>
  <c r="AA253" i="59"/>
  <c r="W253" i="59" s="1"/>
  <c r="V253" i="59"/>
  <c r="S253" i="59" s="1"/>
  <c r="Q253" i="59"/>
  <c r="N253" i="59" s="1"/>
  <c r="L253" i="59"/>
  <c r="BE252" i="59"/>
  <c r="BA252" i="59" s="1"/>
  <c r="AZ252" i="59"/>
  <c r="AW252" i="59" s="1"/>
  <c r="AP252" i="59"/>
  <c r="AN252" i="59" s="1"/>
  <c r="AK252" i="59"/>
  <c r="AG252" i="59" s="1"/>
  <c r="AF252" i="59"/>
  <c r="AB252" i="59" s="1"/>
  <c r="AA252" i="59"/>
  <c r="W252" i="59" s="1"/>
  <c r="V252" i="59"/>
  <c r="T252" i="59" s="1"/>
  <c r="Q252" i="59"/>
  <c r="M252" i="59" s="1"/>
  <c r="L252" i="59"/>
  <c r="BE251" i="59"/>
  <c r="AZ251" i="59"/>
  <c r="AU251" i="59"/>
  <c r="AK251" i="59"/>
  <c r="AF251" i="59"/>
  <c r="AA251" i="59"/>
  <c r="V251" i="59"/>
  <c r="Q251" i="59"/>
  <c r="L251" i="59"/>
  <c r="G247" i="59"/>
  <c r="F247" i="59"/>
  <c r="E244" i="59"/>
  <c r="E243" i="59"/>
  <c r="E242" i="59"/>
  <c r="CY244" i="59"/>
  <c r="CX244" i="59"/>
  <c r="CW244" i="59"/>
  <c r="CV244" i="59"/>
  <c r="CT244" i="59"/>
  <c r="CS244" i="59"/>
  <c r="CR244" i="59"/>
  <c r="CQ244" i="59"/>
  <c r="CO244" i="59"/>
  <c r="CN244" i="59"/>
  <c r="CM244" i="59"/>
  <c r="CL244" i="59"/>
  <c r="CJ244" i="59"/>
  <c r="CI244" i="59"/>
  <c r="CH244" i="59"/>
  <c r="CG244" i="59"/>
  <c r="CE244" i="59"/>
  <c r="CD244" i="59"/>
  <c r="CC244" i="59"/>
  <c r="CB244" i="59"/>
  <c r="BZ244" i="59"/>
  <c r="BY244" i="59"/>
  <c r="BX244" i="59"/>
  <c r="BW244" i="59"/>
  <c r="BU244" i="59"/>
  <c r="BT244" i="59"/>
  <c r="BS244" i="59"/>
  <c r="BR244" i="59"/>
  <c r="BP244" i="59"/>
  <c r="BO244" i="59"/>
  <c r="BN244" i="59"/>
  <c r="BM244" i="59"/>
  <c r="BK244" i="59"/>
  <c r="BJ244" i="59"/>
  <c r="BI244" i="59"/>
  <c r="BH244" i="59"/>
  <c r="BG244" i="59"/>
  <c r="BL244" i="59" s="1"/>
  <c r="BQ244" i="59" s="1"/>
  <c r="BV244" i="59" s="1"/>
  <c r="CA244" i="59" s="1"/>
  <c r="CF244" i="59" s="1"/>
  <c r="CK244" i="59" s="1"/>
  <c r="CP244" i="59" s="1"/>
  <c r="CU244" i="59" s="1"/>
  <c r="CZ244" i="59" s="1"/>
  <c r="CY243" i="59"/>
  <c r="CX243" i="59"/>
  <c r="CW243" i="59"/>
  <c r="CV243" i="59"/>
  <c r="CT243" i="59"/>
  <c r="CS243" i="59"/>
  <c r="CR243" i="59"/>
  <c r="CQ243" i="59"/>
  <c r="CO243" i="59"/>
  <c r="CN243" i="59"/>
  <c r="CM243" i="59"/>
  <c r="CL243" i="59"/>
  <c r="CJ243" i="59"/>
  <c r="CI243" i="59"/>
  <c r="CH243" i="59"/>
  <c r="CG243" i="59"/>
  <c r="CE243" i="59"/>
  <c r="CD243" i="59"/>
  <c r="CC243" i="59"/>
  <c r="CB243" i="59"/>
  <c r="BZ243" i="59"/>
  <c r="BY243" i="59"/>
  <c r="BX243" i="59"/>
  <c r="BW243" i="59"/>
  <c r="BU243" i="59"/>
  <c r="BT243" i="59"/>
  <c r="BS243" i="59"/>
  <c r="BR243" i="59"/>
  <c r="BP243" i="59"/>
  <c r="BO243" i="59"/>
  <c r="BN243" i="59"/>
  <c r="BM243" i="59"/>
  <c r="BK243" i="59"/>
  <c r="BJ243" i="59"/>
  <c r="BI243" i="59"/>
  <c r="BH243" i="59"/>
  <c r="BG243" i="59"/>
  <c r="BL243" i="59" s="1"/>
  <c r="BQ243" i="59" s="1"/>
  <c r="BV243" i="59" s="1"/>
  <c r="CA243" i="59" s="1"/>
  <c r="CF243" i="59" s="1"/>
  <c r="CK243" i="59" s="1"/>
  <c r="CP243" i="59" s="1"/>
  <c r="CU243" i="59" s="1"/>
  <c r="CZ243" i="59" s="1"/>
  <c r="CY242" i="59"/>
  <c r="CX242" i="59"/>
  <c r="CW242" i="59"/>
  <c r="CV242" i="59"/>
  <c r="CT242" i="59"/>
  <c r="CS242" i="59"/>
  <c r="CR242" i="59"/>
  <c r="CQ242" i="59"/>
  <c r="CO242" i="59"/>
  <c r="CN242" i="59"/>
  <c r="CM242" i="59"/>
  <c r="CL242" i="59"/>
  <c r="CJ242" i="59"/>
  <c r="CI242" i="59"/>
  <c r="CH242" i="59"/>
  <c r="CG242" i="59"/>
  <c r="CE242" i="59"/>
  <c r="CD242" i="59"/>
  <c r="CC242" i="59"/>
  <c r="CB242" i="59"/>
  <c r="BZ242" i="59"/>
  <c r="BY242" i="59"/>
  <c r="BX242" i="59"/>
  <c r="BW242" i="59"/>
  <c r="BU242" i="59"/>
  <c r="BT242" i="59"/>
  <c r="BS242" i="59"/>
  <c r="BR242" i="59"/>
  <c r="BP242" i="59"/>
  <c r="BO242" i="59"/>
  <c r="BN242" i="59"/>
  <c r="BM242" i="59"/>
  <c r="BK242" i="59"/>
  <c r="BJ242" i="59"/>
  <c r="BI242" i="59"/>
  <c r="BH242" i="59"/>
  <c r="BG242" i="59"/>
  <c r="BL242" i="59" s="1"/>
  <c r="BQ242" i="59" s="1"/>
  <c r="BV242" i="59" s="1"/>
  <c r="CA242" i="59" s="1"/>
  <c r="CF242" i="59" s="1"/>
  <c r="CK242" i="59" s="1"/>
  <c r="CP242" i="59" s="1"/>
  <c r="CU242" i="59" s="1"/>
  <c r="CZ242" i="59" s="1"/>
  <c r="CY241" i="59"/>
  <c r="CX241" i="59"/>
  <c r="CW241" i="59"/>
  <c r="CV241" i="59"/>
  <c r="CT241" i="59"/>
  <c r="CS241" i="59"/>
  <c r="CR241" i="59"/>
  <c r="CQ241" i="59"/>
  <c r="CO241" i="59"/>
  <c r="CN241" i="59"/>
  <c r="CM241" i="59"/>
  <c r="CL241" i="59"/>
  <c r="CJ241" i="59"/>
  <c r="CI241" i="59"/>
  <c r="CH241" i="59"/>
  <c r="CG241" i="59"/>
  <c r="CE241" i="59"/>
  <c r="CD241" i="59"/>
  <c r="CC241" i="59"/>
  <c r="CB241" i="59"/>
  <c r="BZ241" i="59"/>
  <c r="BY241" i="59"/>
  <c r="BX241" i="59"/>
  <c r="BW241" i="59"/>
  <c r="BU241" i="59"/>
  <c r="BT241" i="59"/>
  <c r="BS241" i="59"/>
  <c r="BR241" i="59"/>
  <c r="BP241" i="59"/>
  <c r="BO241" i="59"/>
  <c r="BN241" i="59"/>
  <c r="BM241" i="59"/>
  <c r="BK241" i="59"/>
  <c r="BJ241" i="59"/>
  <c r="BI241" i="59"/>
  <c r="BH241" i="59"/>
  <c r="BG241" i="59"/>
  <c r="BL241" i="59" s="1"/>
  <c r="BQ241" i="59" s="1"/>
  <c r="BV241" i="59" s="1"/>
  <c r="CA241" i="59" s="1"/>
  <c r="CF241" i="59" s="1"/>
  <c r="CK241" i="59" s="1"/>
  <c r="CP241" i="59" s="1"/>
  <c r="CU241" i="59" s="1"/>
  <c r="CZ241" i="59" s="1"/>
  <c r="CY240" i="59"/>
  <c r="CX240" i="59"/>
  <c r="CW240" i="59"/>
  <c r="CV240" i="59"/>
  <c r="CT240" i="59"/>
  <c r="CS240" i="59"/>
  <c r="CR240" i="59"/>
  <c r="CQ240" i="59"/>
  <c r="CO240" i="59"/>
  <c r="CN240" i="59"/>
  <c r="CM240" i="59"/>
  <c r="CL240" i="59"/>
  <c r="CJ240" i="59"/>
  <c r="CI240" i="59"/>
  <c r="CH240" i="59"/>
  <c r="CG240" i="59"/>
  <c r="CE240" i="59"/>
  <c r="CD240" i="59"/>
  <c r="CC240" i="59"/>
  <c r="CB240" i="59"/>
  <c r="BZ240" i="59"/>
  <c r="BY240" i="59"/>
  <c r="BX240" i="59"/>
  <c r="BW240" i="59"/>
  <c r="BU240" i="59"/>
  <c r="BT240" i="59"/>
  <c r="BS240" i="59"/>
  <c r="BR240" i="59"/>
  <c r="BP240" i="59"/>
  <c r="BO240" i="59"/>
  <c r="BN240" i="59"/>
  <c r="BM240" i="59"/>
  <c r="BK240" i="59"/>
  <c r="BJ240" i="59"/>
  <c r="BI240" i="59"/>
  <c r="BH240" i="59"/>
  <c r="BG240" i="59"/>
  <c r="BL240" i="59" s="1"/>
  <c r="BQ240" i="59" s="1"/>
  <c r="BV240" i="59" s="1"/>
  <c r="CA240" i="59" s="1"/>
  <c r="CF240" i="59" s="1"/>
  <c r="CK240" i="59" s="1"/>
  <c r="CP240" i="59" s="1"/>
  <c r="CU240" i="59" s="1"/>
  <c r="CZ240" i="59" s="1"/>
  <c r="CY239" i="59"/>
  <c r="CX239" i="59"/>
  <c r="CW239" i="59"/>
  <c r="CV239" i="59"/>
  <c r="CT239" i="59"/>
  <c r="CS239" i="59"/>
  <c r="CR239" i="59"/>
  <c r="CQ239" i="59"/>
  <c r="CO239" i="59"/>
  <c r="CN239" i="59"/>
  <c r="CM239" i="59"/>
  <c r="CL239" i="59"/>
  <c r="CJ239" i="59"/>
  <c r="CI239" i="59"/>
  <c r="CH239" i="59"/>
  <c r="CG239" i="59"/>
  <c r="CE239" i="59"/>
  <c r="CD239" i="59"/>
  <c r="CC239" i="59"/>
  <c r="CB239" i="59"/>
  <c r="BZ239" i="59"/>
  <c r="BY239" i="59"/>
  <c r="BX239" i="59"/>
  <c r="BW239" i="59"/>
  <c r="BU239" i="59"/>
  <c r="BT239" i="59"/>
  <c r="BS239" i="59"/>
  <c r="BR239" i="59"/>
  <c r="BP239" i="59"/>
  <c r="BO239" i="59"/>
  <c r="BN239" i="59"/>
  <c r="BM239" i="59"/>
  <c r="BK239" i="59"/>
  <c r="BJ239" i="59"/>
  <c r="BI239" i="59"/>
  <c r="BH239" i="59"/>
  <c r="BG239" i="59"/>
  <c r="BL239" i="59" s="1"/>
  <c r="BQ239" i="59" s="1"/>
  <c r="BV239" i="59" s="1"/>
  <c r="CA239" i="59" s="1"/>
  <c r="CF239" i="59" s="1"/>
  <c r="CK239" i="59" s="1"/>
  <c r="CP239" i="59" s="1"/>
  <c r="CU239" i="59" s="1"/>
  <c r="CZ239" i="59" s="1"/>
  <c r="CY238" i="59"/>
  <c r="CX238" i="59"/>
  <c r="CW238" i="59"/>
  <c r="CV238" i="59"/>
  <c r="CT238" i="59"/>
  <c r="CS238" i="59"/>
  <c r="CR238" i="59"/>
  <c r="CQ238" i="59"/>
  <c r="CO238" i="59"/>
  <c r="CN238" i="59"/>
  <c r="CM238" i="59"/>
  <c r="CL238" i="59"/>
  <c r="CJ238" i="59"/>
  <c r="CI238" i="59"/>
  <c r="CH238" i="59"/>
  <c r="CG238" i="59"/>
  <c r="CE238" i="59"/>
  <c r="CD238" i="59"/>
  <c r="CC238" i="59"/>
  <c r="CB238" i="59"/>
  <c r="BZ238" i="59"/>
  <c r="BY238" i="59"/>
  <c r="BX238" i="59"/>
  <c r="BW238" i="59"/>
  <c r="BU238" i="59"/>
  <c r="BT238" i="59"/>
  <c r="BS238" i="59"/>
  <c r="BR238" i="59"/>
  <c r="BP238" i="59"/>
  <c r="BO238" i="59"/>
  <c r="BN238" i="59"/>
  <c r="BM238" i="59"/>
  <c r="BK238" i="59"/>
  <c r="BJ238" i="59"/>
  <c r="BI238" i="59"/>
  <c r="BH238" i="59"/>
  <c r="BG238" i="59"/>
  <c r="BL238" i="59" s="1"/>
  <c r="BQ238" i="59" s="1"/>
  <c r="BV238" i="59" s="1"/>
  <c r="CA238" i="59" s="1"/>
  <c r="CF238" i="59" s="1"/>
  <c r="CK238" i="59" s="1"/>
  <c r="CP238" i="59" s="1"/>
  <c r="CU238" i="59" s="1"/>
  <c r="CZ238" i="59" s="1"/>
  <c r="CY237" i="59"/>
  <c r="CX237" i="59"/>
  <c r="CW237" i="59"/>
  <c r="CV237" i="59"/>
  <c r="CT237" i="59"/>
  <c r="CS237" i="59"/>
  <c r="CR237" i="59"/>
  <c r="CQ237" i="59"/>
  <c r="CO237" i="59"/>
  <c r="CN237" i="59"/>
  <c r="CM237" i="59"/>
  <c r="CL237" i="59"/>
  <c r="CJ237" i="59"/>
  <c r="CI237" i="59"/>
  <c r="CH237" i="59"/>
  <c r="CG237" i="59"/>
  <c r="CE237" i="59"/>
  <c r="CD237" i="59"/>
  <c r="CC237" i="59"/>
  <c r="CB237" i="59"/>
  <c r="BZ237" i="59"/>
  <c r="BY237" i="59"/>
  <c r="BX237" i="59"/>
  <c r="BW237" i="59"/>
  <c r="BU237" i="59"/>
  <c r="BT237" i="59"/>
  <c r="BS237" i="59"/>
  <c r="BR237" i="59"/>
  <c r="BP237" i="59"/>
  <c r="BO237" i="59"/>
  <c r="BN237" i="59"/>
  <c r="BM237" i="59"/>
  <c r="BK237" i="59"/>
  <c r="BJ237" i="59"/>
  <c r="BI237" i="59"/>
  <c r="BH237" i="59"/>
  <c r="BG237" i="59"/>
  <c r="BL237" i="59" s="1"/>
  <c r="BQ237" i="59" s="1"/>
  <c r="BV237" i="59" s="1"/>
  <c r="CA237" i="59" s="1"/>
  <c r="CF237" i="59" s="1"/>
  <c r="CK237" i="59" s="1"/>
  <c r="CP237" i="59" s="1"/>
  <c r="CU237" i="59" s="1"/>
  <c r="CZ237" i="59" s="1"/>
  <c r="CY236" i="59"/>
  <c r="CX236" i="59"/>
  <c r="CW236" i="59"/>
  <c r="CV236" i="59"/>
  <c r="CT236" i="59"/>
  <c r="CS236" i="59"/>
  <c r="CR236" i="59"/>
  <c r="CQ236" i="59"/>
  <c r="CO236" i="59"/>
  <c r="CN236" i="59"/>
  <c r="CM236" i="59"/>
  <c r="CL236" i="59"/>
  <c r="CJ236" i="59"/>
  <c r="CI236" i="59"/>
  <c r="CH236" i="59"/>
  <c r="CG236" i="59"/>
  <c r="CE236" i="59"/>
  <c r="CD236" i="59"/>
  <c r="CC236" i="59"/>
  <c r="CB236" i="59"/>
  <c r="BZ236" i="59"/>
  <c r="BY236" i="59"/>
  <c r="BX236" i="59"/>
  <c r="BW236" i="59"/>
  <c r="BU236" i="59"/>
  <c r="BT236" i="59"/>
  <c r="BS236" i="59"/>
  <c r="BR236" i="59"/>
  <c r="BP236" i="59"/>
  <c r="BO236" i="59"/>
  <c r="BN236" i="59"/>
  <c r="BM236" i="59"/>
  <c r="BK236" i="59"/>
  <c r="BJ236" i="59"/>
  <c r="BI236" i="59"/>
  <c r="BH236" i="59"/>
  <c r="BG236" i="59"/>
  <c r="BL236" i="59" s="1"/>
  <c r="BQ236" i="59" s="1"/>
  <c r="BV236" i="59" s="1"/>
  <c r="CA236" i="59" s="1"/>
  <c r="CF236" i="59" s="1"/>
  <c r="CK236" i="59" s="1"/>
  <c r="CP236" i="59" s="1"/>
  <c r="CU236" i="59" s="1"/>
  <c r="CZ236" i="59" s="1"/>
  <c r="CY235" i="59"/>
  <c r="CX235" i="59"/>
  <c r="CW235" i="59"/>
  <c r="CV235" i="59"/>
  <c r="CT235" i="59"/>
  <c r="CS235" i="59"/>
  <c r="CR235" i="59"/>
  <c r="CQ235" i="59"/>
  <c r="CO235" i="59"/>
  <c r="CN235" i="59"/>
  <c r="CM235" i="59"/>
  <c r="CL235" i="59"/>
  <c r="CJ235" i="59"/>
  <c r="CI235" i="59"/>
  <c r="CH235" i="59"/>
  <c r="CG235" i="59"/>
  <c r="CE235" i="59"/>
  <c r="CD235" i="59"/>
  <c r="CC235" i="59"/>
  <c r="CB235" i="59"/>
  <c r="BZ235" i="59"/>
  <c r="BY235" i="59"/>
  <c r="BX235" i="59"/>
  <c r="BW235" i="59"/>
  <c r="BU235" i="59"/>
  <c r="BT235" i="59"/>
  <c r="BS235" i="59"/>
  <c r="BR235" i="59"/>
  <c r="BP235" i="59"/>
  <c r="BO235" i="59"/>
  <c r="BN235" i="59"/>
  <c r="BM235" i="59"/>
  <c r="BK235" i="59"/>
  <c r="BJ235" i="59"/>
  <c r="BI235" i="59"/>
  <c r="BH235" i="59"/>
  <c r="BG235" i="59"/>
  <c r="BE244" i="59"/>
  <c r="BD244" i="59" s="1"/>
  <c r="AZ244" i="59"/>
  <c r="AX244" i="59" s="1"/>
  <c r="AU244" i="59"/>
  <c r="AP244" i="59"/>
  <c r="AK244" i="59"/>
  <c r="AF244" i="59"/>
  <c r="AD244" i="59" s="1"/>
  <c r="AA244" i="59"/>
  <c r="X244" i="59" s="1"/>
  <c r="V244" i="59"/>
  <c r="T244" i="59" s="1"/>
  <c r="Q244" i="59"/>
  <c r="P244" i="59" s="1"/>
  <c r="L244" i="59"/>
  <c r="BE243" i="59"/>
  <c r="AZ243" i="59"/>
  <c r="AX243" i="59" s="1"/>
  <c r="AU243" i="59"/>
  <c r="AT243" i="59" s="1"/>
  <c r="AP243" i="59"/>
  <c r="AM243" i="59" s="1"/>
  <c r="AK243" i="59"/>
  <c r="AH243" i="59" s="1"/>
  <c r="AF243" i="59"/>
  <c r="AD243" i="59" s="1"/>
  <c r="AA243" i="59"/>
  <c r="Z243" i="59" s="1"/>
  <c r="V243" i="59"/>
  <c r="Q243" i="59"/>
  <c r="L243" i="59"/>
  <c r="BE242" i="59"/>
  <c r="AZ242" i="59"/>
  <c r="AY242" i="59" s="1"/>
  <c r="AU242" i="59"/>
  <c r="AP242" i="59"/>
  <c r="AK242" i="59"/>
  <c r="AJ242" i="59" s="1"/>
  <c r="AF242" i="59"/>
  <c r="AC242" i="59" s="1"/>
  <c r="AA242" i="59"/>
  <c r="X242" i="59" s="1"/>
  <c r="V242" i="59"/>
  <c r="T242" i="59" s="1"/>
  <c r="Q242" i="59"/>
  <c r="P242" i="59" s="1"/>
  <c r="L242" i="59"/>
  <c r="BE241" i="59"/>
  <c r="BC241" i="59" s="1"/>
  <c r="AZ241" i="59"/>
  <c r="AV241" i="59" s="1"/>
  <c r="AU241" i="59"/>
  <c r="AR241" i="59" s="1"/>
  <c r="AP241" i="59"/>
  <c r="AK241" i="59"/>
  <c r="AF241" i="59"/>
  <c r="AB241" i="59" s="1"/>
  <c r="AA241" i="59"/>
  <c r="Z241" i="59" s="1"/>
  <c r="V241" i="59"/>
  <c r="S241" i="59" s="1"/>
  <c r="Q241" i="59"/>
  <c r="O241" i="59" s="1"/>
  <c r="L241" i="59"/>
  <c r="BE240" i="59"/>
  <c r="AZ240" i="59"/>
  <c r="AW240" i="59" s="1"/>
  <c r="AU240" i="59"/>
  <c r="AP240" i="59"/>
  <c r="AK240" i="59"/>
  <c r="AJ240" i="59" s="1"/>
  <c r="AF240" i="59"/>
  <c r="AA240" i="59"/>
  <c r="V240" i="59"/>
  <c r="R240" i="59" s="1"/>
  <c r="Q240" i="59"/>
  <c r="M240" i="59" s="1"/>
  <c r="L240" i="59"/>
  <c r="BE239" i="59"/>
  <c r="BD239" i="59" s="1"/>
  <c r="AZ239" i="59"/>
  <c r="AV239" i="59" s="1"/>
  <c r="AU239" i="59"/>
  <c r="AT239" i="59" s="1"/>
  <c r="AP239" i="59"/>
  <c r="AK239" i="59"/>
  <c r="AF239" i="59"/>
  <c r="AB239" i="59" s="1"/>
  <c r="AA239" i="59"/>
  <c r="Z239" i="59" s="1"/>
  <c r="V239" i="59"/>
  <c r="S239" i="59" s="1"/>
  <c r="Q239" i="59"/>
  <c r="O239" i="59" s="1"/>
  <c r="L239" i="59"/>
  <c r="BE238" i="59"/>
  <c r="BC238" i="59" s="1"/>
  <c r="AZ238" i="59"/>
  <c r="AU238" i="59"/>
  <c r="AS238" i="59" s="1"/>
  <c r="AP238" i="59"/>
  <c r="AL238" i="59" s="1"/>
  <c r="AK238" i="59"/>
  <c r="AH238" i="59" s="1"/>
  <c r="AF238" i="59"/>
  <c r="AA238" i="59"/>
  <c r="V238" i="59"/>
  <c r="Q238" i="59"/>
  <c r="M238" i="59" s="1"/>
  <c r="L238" i="59"/>
  <c r="BE237" i="59"/>
  <c r="BC237" i="59" s="1"/>
  <c r="AZ237" i="59"/>
  <c r="AV237" i="59" s="1"/>
  <c r="AU237" i="59"/>
  <c r="AR237" i="59" s="1"/>
  <c r="AP237" i="59"/>
  <c r="AK237" i="59"/>
  <c r="AF237" i="59"/>
  <c r="AB237" i="59" s="1"/>
  <c r="AA237" i="59"/>
  <c r="W237" i="59" s="1"/>
  <c r="V237" i="59"/>
  <c r="R237" i="59" s="1"/>
  <c r="Q237" i="59"/>
  <c r="P237" i="59" s="1"/>
  <c r="L237" i="59"/>
  <c r="BE236" i="59"/>
  <c r="BC236" i="59" s="1"/>
  <c r="AZ236" i="59"/>
  <c r="AU236" i="59"/>
  <c r="AS236" i="59" s="1"/>
  <c r="AP236" i="59"/>
  <c r="AK236" i="59"/>
  <c r="AF236" i="59"/>
  <c r="AA236" i="59"/>
  <c r="V236" i="59"/>
  <c r="R236" i="59" s="1"/>
  <c r="Q236" i="59"/>
  <c r="M236" i="59" s="1"/>
  <c r="L236" i="59"/>
  <c r="BE235" i="59"/>
  <c r="BC235" i="59" s="1"/>
  <c r="AZ235" i="59"/>
  <c r="AV235" i="59" s="1"/>
  <c r="AU235" i="59"/>
  <c r="AR235" i="59" s="1"/>
  <c r="AP235" i="59"/>
  <c r="AK235" i="59"/>
  <c r="AF235" i="59"/>
  <c r="AB235" i="59" s="1"/>
  <c r="AA235" i="59"/>
  <c r="Y235" i="59" s="1"/>
  <c r="V235" i="59"/>
  <c r="R235" i="59" s="1"/>
  <c r="Q235" i="59"/>
  <c r="O235" i="59" s="1"/>
  <c r="L235" i="59"/>
  <c r="E240" i="59"/>
  <c r="E239" i="59"/>
  <c r="E238" i="59"/>
  <c r="E237" i="59"/>
  <c r="E236" i="59"/>
  <c r="E235" i="59"/>
  <c r="E224" i="59"/>
  <c r="CT222" i="59"/>
  <c r="CS222" i="59"/>
  <c r="CR222" i="59"/>
  <c r="CQ222" i="59"/>
  <c r="CO222" i="59"/>
  <c r="CN222" i="59"/>
  <c r="CM222" i="59"/>
  <c r="CL222" i="59"/>
  <c r="CJ222" i="59"/>
  <c r="CI222" i="59"/>
  <c r="CH222" i="59"/>
  <c r="CG222" i="59"/>
  <c r="CE222" i="59"/>
  <c r="CD222" i="59"/>
  <c r="CC222" i="59"/>
  <c r="CB222" i="59"/>
  <c r="BZ222" i="59"/>
  <c r="BY222" i="59"/>
  <c r="BX222" i="59"/>
  <c r="BW222" i="59"/>
  <c r="BU222" i="59"/>
  <c r="BT222" i="59"/>
  <c r="BS222" i="59"/>
  <c r="BR222" i="59"/>
  <c r="BP222" i="59"/>
  <c r="BO222" i="59"/>
  <c r="BN222" i="59"/>
  <c r="BM222" i="59"/>
  <c r="BK222" i="59"/>
  <c r="BJ222" i="59"/>
  <c r="BI222" i="59"/>
  <c r="BH222" i="59"/>
  <c r="BG222" i="59"/>
  <c r="BL222" i="59" s="1"/>
  <c r="BQ222" i="59" s="1"/>
  <c r="BV222" i="59" s="1"/>
  <c r="CA222" i="59" s="1"/>
  <c r="CF222" i="59" s="1"/>
  <c r="CK222" i="59" s="1"/>
  <c r="CP222" i="59" s="1"/>
  <c r="CU222" i="59" s="1"/>
  <c r="CZ222" i="59" s="1"/>
  <c r="CV222" i="59" s="1"/>
  <c r="CO221" i="59"/>
  <c r="CN221" i="59"/>
  <c r="CM221" i="59"/>
  <c r="CL221" i="59"/>
  <c r="CJ221" i="59"/>
  <c r="CI221" i="59"/>
  <c r="CH221" i="59"/>
  <c r="CG221" i="59"/>
  <c r="CE221" i="59"/>
  <c r="CD221" i="59"/>
  <c r="CC221" i="59"/>
  <c r="CB221" i="59"/>
  <c r="BZ221" i="59"/>
  <c r="BY221" i="59"/>
  <c r="BX221" i="59"/>
  <c r="BW221" i="59"/>
  <c r="BU221" i="59"/>
  <c r="BT221" i="59"/>
  <c r="BS221" i="59"/>
  <c r="BR221" i="59"/>
  <c r="BP221" i="59"/>
  <c r="BO221" i="59"/>
  <c r="BN221" i="59"/>
  <c r="BM221" i="59"/>
  <c r="BK221" i="59"/>
  <c r="BJ221" i="59"/>
  <c r="BI221" i="59"/>
  <c r="BH221" i="59"/>
  <c r="BG221" i="59"/>
  <c r="BL221" i="59" s="1"/>
  <c r="BQ221" i="59" s="1"/>
  <c r="BV221" i="59" s="1"/>
  <c r="CA221" i="59" s="1"/>
  <c r="CF221" i="59" s="1"/>
  <c r="CK221" i="59" s="1"/>
  <c r="CP221" i="59" s="1"/>
  <c r="CU221" i="59" s="1"/>
  <c r="CY220" i="59"/>
  <c r="CX220" i="59"/>
  <c r="CW220" i="59"/>
  <c r="CV220" i="59"/>
  <c r="CJ220" i="59"/>
  <c r="CI220" i="59"/>
  <c r="CH220" i="59"/>
  <c r="CG220" i="59"/>
  <c r="CE220" i="59"/>
  <c r="CD220" i="59"/>
  <c r="CC220" i="59"/>
  <c r="CB220" i="59"/>
  <c r="BZ220" i="59"/>
  <c r="BY220" i="59"/>
  <c r="BX220" i="59"/>
  <c r="BW220" i="59"/>
  <c r="BU220" i="59"/>
  <c r="BT220" i="59"/>
  <c r="BS220" i="59"/>
  <c r="BR220" i="59"/>
  <c r="BP220" i="59"/>
  <c r="BO220" i="59"/>
  <c r="BN220" i="59"/>
  <c r="BM220" i="59"/>
  <c r="BK220" i="59"/>
  <c r="BJ220" i="59"/>
  <c r="BI220" i="59"/>
  <c r="BH220" i="59"/>
  <c r="BG220" i="59"/>
  <c r="BL220" i="59" s="1"/>
  <c r="BQ220" i="59" s="1"/>
  <c r="BV220" i="59" s="1"/>
  <c r="CA220" i="59" s="1"/>
  <c r="CF220" i="59" s="1"/>
  <c r="CK220" i="59" s="1"/>
  <c r="CP220" i="59" s="1"/>
  <c r="CY219" i="59"/>
  <c r="CX219" i="59"/>
  <c r="CW219" i="59"/>
  <c r="CV219" i="59"/>
  <c r="CT219" i="59"/>
  <c r="CS219" i="59"/>
  <c r="CR219" i="59"/>
  <c r="CQ219" i="59"/>
  <c r="CE219" i="59"/>
  <c r="CD219" i="59"/>
  <c r="CC219" i="59"/>
  <c r="CB219" i="59"/>
  <c r="BZ219" i="59"/>
  <c r="BY219" i="59"/>
  <c r="BX219" i="59"/>
  <c r="BW219" i="59"/>
  <c r="BU219" i="59"/>
  <c r="BT219" i="59"/>
  <c r="BS219" i="59"/>
  <c r="BR219" i="59"/>
  <c r="BP219" i="59"/>
  <c r="BO219" i="59"/>
  <c r="BN219" i="59"/>
  <c r="BM219" i="59"/>
  <c r="BK219" i="59"/>
  <c r="BJ219" i="59"/>
  <c r="BI219" i="59"/>
  <c r="BH219" i="59"/>
  <c r="BG219" i="59"/>
  <c r="BL219" i="59" s="1"/>
  <c r="BQ219" i="59" s="1"/>
  <c r="BV219" i="59" s="1"/>
  <c r="CA219" i="59" s="1"/>
  <c r="CF219" i="59" s="1"/>
  <c r="CK219" i="59" s="1"/>
  <c r="BE222" i="59"/>
  <c r="BB222" i="59" s="1"/>
  <c r="AZ222" i="59"/>
  <c r="AX222" i="59" s="1"/>
  <c r="AU222" i="59"/>
  <c r="AQ222" i="59" s="1"/>
  <c r="AP222" i="59"/>
  <c r="AM222" i="59" s="1"/>
  <c r="AK222" i="59"/>
  <c r="AF222" i="59"/>
  <c r="AA222" i="59"/>
  <c r="W222" i="59" s="1"/>
  <c r="V222" i="59"/>
  <c r="U222" i="59" s="1"/>
  <c r="Q222" i="59"/>
  <c r="N222" i="59" s="1"/>
  <c r="L222" i="59"/>
  <c r="BE221" i="59"/>
  <c r="BA221" i="59" s="1"/>
  <c r="AZ221" i="59"/>
  <c r="AY221" i="59" s="1"/>
  <c r="AU221" i="59"/>
  <c r="AR221" i="59" s="1"/>
  <c r="AP221" i="59"/>
  <c r="AN221" i="59" s="1"/>
  <c r="AK221" i="59"/>
  <c r="AG221" i="59" s="1"/>
  <c r="AF221" i="59"/>
  <c r="AE221" i="59" s="1"/>
  <c r="AA221" i="59"/>
  <c r="W221" i="59" s="1"/>
  <c r="V221" i="59"/>
  <c r="Q221" i="59"/>
  <c r="M221" i="59" s="1"/>
  <c r="L221" i="59"/>
  <c r="BE220" i="59"/>
  <c r="BB220" i="59" s="1"/>
  <c r="AZ220" i="59"/>
  <c r="AX220" i="59" s="1"/>
  <c r="AU220" i="59"/>
  <c r="AQ220" i="59" s="1"/>
  <c r="AP220" i="59"/>
  <c r="AL220" i="59" s="1"/>
  <c r="AK220" i="59"/>
  <c r="AG220" i="59" s="1"/>
  <c r="AF220" i="59"/>
  <c r="AA220" i="59"/>
  <c r="W220" i="59" s="1"/>
  <c r="V220" i="59"/>
  <c r="U220" i="59" s="1"/>
  <c r="Q220" i="59"/>
  <c r="N220" i="59" s="1"/>
  <c r="L220" i="59"/>
  <c r="BE219" i="59"/>
  <c r="BA219" i="59" s="1"/>
  <c r="AZ219" i="59"/>
  <c r="AY219" i="59" s="1"/>
  <c r="AU219" i="59"/>
  <c r="AR219" i="59" s="1"/>
  <c r="AP219" i="59"/>
  <c r="AK219" i="59"/>
  <c r="AG219" i="59" s="1"/>
  <c r="AF219" i="59"/>
  <c r="AE219" i="59" s="1"/>
  <c r="AA219" i="59"/>
  <c r="W219" i="59" s="1"/>
  <c r="V219" i="59"/>
  <c r="Q219" i="59"/>
  <c r="M219" i="59" s="1"/>
  <c r="L219" i="59"/>
  <c r="G216" i="59"/>
  <c r="F216" i="59"/>
  <c r="E213" i="59"/>
  <c r="E212" i="59"/>
  <c r="AK212" i="59" s="1"/>
  <c r="E211" i="59"/>
  <c r="CY214" i="59"/>
  <c r="CX214" i="59"/>
  <c r="CW214" i="59"/>
  <c r="CV214" i="59"/>
  <c r="CT214" i="59"/>
  <c r="CS214" i="59"/>
  <c r="CR214" i="59"/>
  <c r="CQ214" i="59"/>
  <c r="CO214" i="59"/>
  <c r="CN214" i="59"/>
  <c r="CM214" i="59"/>
  <c r="CL214" i="59"/>
  <c r="CJ214" i="59"/>
  <c r="CI214" i="59"/>
  <c r="CH214" i="59"/>
  <c r="CG214" i="59"/>
  <c r="CE214" i="59"/>
  <c r="CD214" i="59"/>
  <c r="CC214" i="59"/>
  <c r="CB214" i="59"/>
  <c r="BZ214" i="59"/>
  <c r="BY214" i="59"/>
  <c r="BX214" i="59"/>
  <c r="BW214" i="59"/>
  <c r="BU214" i="59"/>
  <c r="BT214" i="59"/>
  <c r="BS214" i="59"/>
  <c r="BR214" i="59"/>
  <c r="BP214" i="59"/>
  <c r="BO214" i="59"/>
  <c r="BN214" i="59"/>
  <c r="BM214" i="59"/>
  <c r="BK214" i="59"/>
  <c r="BJ214" i="59"/>
  <c r="BI214" i="59"/>
  <c r="BH214" i="59"/>
  <c r="BG214" i="59"/>
  <c r="BL214" i="59" s="1"/>
  <c r="BQ214" i="59" s="1"/>
  <c r="BV214" i="59" s="1"/>
  <c r="CA214" i="59" s="1"/>
  <c r="CF214" i="59" s="1"/>
  <c r="CK214" i="59" s="1"/>
  <c r="CP214" i="59" s="1"/>
  <c r="CU214" i="59" s="1"/>
  <c r="CZ214" i="59" s="1"/>
  <c r="CY213" i="59"/>
  <c r="CX213" i="59"/>
  <c r="CW213" i="59"/>
  <c r="CV213" i="59"/>
  <c r="CT213" i="59"/>
  <c r="CS213" i="59"/>
  <c r="CR213" i="59"/>
  <c r="CQ213" i="59"/>
  <c r="CO213" i="59"/>
  <c r="CN213" i="59"/>
  <c r="CM213" i="59"/>
  <c r="CL213" i="59"/>
  <c r="CJ213" i="59"/>
  <c r="CI213" i="59"/>
  <c r="CH213" i="59"/>
  <c r="CG213" i="59"/>
  <c r="CE213" i="59"/>
  <c r="CD213" i="59"/>
  <c r="CC213" i="59"/>
  <c r="CB213" i="59"/>
  <c r="BZ213" i="59"/>
  <c r="BY213" i="59"/>
  <c r="BX213" i="59"/>
  <c r="BW213" i="59"/>
  <c r="BU213" i="59"/>
  <c r="BT213" i="59"/>
  <c r="BS213" i="59"/>
  <c r="BR213" i="59"/>
  <c r="BP213" i="59"/>
  <c r="BO213" i="59"/>
  <c r="BN213" i="59"/>
  <c r="BM213" i="59"/>
  <c r="BK213" i="59"/>
  <c r="BJ213" i="59"/>
  <c r="BI213" i="59"/>
  <c r="BH213" i="59"/>
  <c r="BG213" i="59"/>
  <c r="BL213" i="59" s="1"/>
  <c r="BQ213" i="59" s="1"/>
  <c r="BV213" i="59" s="1"/>
  <c r="CA213" i="59" s="1"/>
  <c r="CF213" i="59" s="1"/>
  <c r="CK213" i="59" s="1"/>
  <c r="CP213" i="59" s="1"/>
  <c r="CU213" i="59" s="1"/>
  <c r="CZ213" i="59" s="1"/>
  <c r="CY212" i="59"/>
  <c r="CX212" i="59"/>
  <c r="CW212" i="59"/>
  <c r="CV212" i="59"/>
  <c r="CT212" i="59"/>
  <c r="CS212" i="59"/>
  <c r="CR212" i="59"/>
  <c r="CQ212" i="59"/>
  <c r="CO212" i="59"/>
  <c r="CN212" i="59"/>
  <c r="CM212" i="59"/>
  <c r="CL212" i="59"/>
  <c r="BZ212" i="59"/>
  <c r="BY212" i="59"/>
  <c r="BX212" i="59"/>
  <c r="BW212" i="59"/>
  <c r="BU212" i="59"/>
  <c r="BT212" i="59"/>
  <c r="BS212" i="59"/>
  <c r="BR212" i="59"/>
  <c r="BP212" i="59"/>
  <c r="BO212" i="59"/>
  <c r="BN212" i="59"/>
  <c r="BM212" i="59"/>
  <c r="BK212" i="59"/>
  <c r="BJ212" i="59"/>
  <c r="BI212" i="59"/>
  <c r="BH212" i="59"/>
  <c r="BG212" i="59"/>
  <c r="BL212" i="59" s="1"/>
  <c r="BQ212" i="59" s="1"/>
  <c r="BV212" i="59" s="1"/>
  <c r="CA212" i="59" s="1"/>
  <c r="CF212" i="59" s="1"/>
  <c r="CY211" i="59"/>
  <c r="CX211" i="59"/>
  <c r="CW211" i="59"/>
  <c r="CV211" i="59"/>
  <c r="CT211" i="59"/>
  <c r="CS211" i="59"/>
  <c r="CR211" i="59"/>
  <c r="CQ211" i="59"/>
  <c r="CO211" i="59"/>
  <c r="CN211" i="59"/>
  <c r="CM211" i="59"/>
  <c r="CL211" i="59"/>
  <c r="BU211" i="59"/>
  <c r="BT211" i="59"/>
  <c r="BS211" i="59"/>
  <c r="BR211" i="59"/>
  <c r="BP211" i="59"/>
  <c r="BO211" i="59"/>
  <c r="BN211" i="59"/>
  <c r="BM211" i="59"/>
  <c r="BK211" i="59"/>
  <c r="BJ211" i="59"/>
  <c r="BI211" i="59"/>
  <c r="BH211" i="59"/>
  <c r="BG211" i="59"/>
  <c r="BL211" i="59" s="1"/>
  <c r="BQ211" i="59" s="1"/>
  <c r="BV211" i="59" s="1"/>
  <c r="BE214" i="59"/>
  <c r="AZ214" i="59"/>
  <c r="AU214" i="59"/>
  <c r="AP214" i="59"/>
  <c r="AN214" i="59" s="1"/>
  <c r="AK214" i="59"/>
  <c r="AG214" i="59" s="1"/>
  <c r="AF214" i="59"/>
  <c r="AE214" i="59" s="1"/>
  <c r="AA214" i="59"/>
  <c r="Z214" i="59" s="1"/>
  <c r="V214" i="59"/>
  <c r="R214" i="59" s="1"/>
  <c r="Q214" i="59"/>
  <c r="N214" i="59" s="1"/>
  <c r="L214" i="59"/>
  <c r="BE213" i="59"/>
  <c r="BD213" i="59" s="1"/>
  <c r="AZ213" i="59"/>
  <c r="AW213" i="59" s="1"/>
  <c r="AU213" i="59"/>
  <c r="AP213" i="59"/>
  <c r="AK213" i="59"/>
  <c r="AF213" i="59"/>
  <c r="AC213" i="59" s="1"/>
  <c r="AA213" i="59"/>
  <c r="X213" i="59" s="1"/>
  <c r="V213" i="59"/>
  <c r="T213" i="59" s="1"/>
  <c r="Q213" i="59"/>
  <c r="L213" i="59"/>
  <c r="BE212" i="59"/>
  <c r="BB212" i="59" s="1"/>
  <c r="AZ212" i="59"/>
  <c r="AX212" i="59" s="1"/>
  <c r="AU212" i="59"/>
  <c r="AT212" i="59" s="1"/>
  <c r="AP212" i="59"/>
  <c r="AN212" i="59" s="1"/>
  <c r="AF212" i="59"/>
  <c r="AD212" i="59" s="1"/>
  <c r="AA212" i="59"/>
  <c r="Z212" i="59" s="1"/>
  <c r="V212" i="59"/>
  <c r="T212" i="59" s="1"/>
  <c r="Q212" i="59"/>
  <c r="L212" i="59"/>
  <c r="BE211" i="59"/>
  <c r="BD211" i="59" s="1"/>
  <c r="AZ211" i="59"/>
  <c r="AV211" i="59" s="1"/>
  <c r="AU211" i="59"/>
  <c r="AR211" i="59" s="1"/>
  <c r="AP211" i="59"/>
  <c r="AO211" i="59" s="1"/>
  <c r="AF211" i="59"/>
  <c r="AA211" i="59"/>
  <c r="X211" i="59" s="1"/>
  <c r="V211" i="59"/>
  <c r="R211" i="59" s="1"/>
  <c r="Q211" i="59"/>
  <c r="P211" i="59" s="1"/>
  <c r="L211" i="59"/>
  <c r="E200" i="59"/>
  <c r="BE200" i="59" s="1"/>
  <c r="BA200" i="59" s="1"/>
  <c r="E199" i="59"/>
  <c r="AZ199" i="59" s="1"/>
  <c r="AX199" i="59" s="1"/>
  <c r="E198" i="59"/>
  <c r="AU198" i="59" s="1"/>
  <c r="E197" i="59"/>
  <c r="AP197" i="59" s="1"/>
  <c r="AM197" i="59" s="1"/>
  <c r="CY201" i="59"/>
  <c r="CX201" i="59"/>
  <c r="CW201" i="59"/>
  <c r="CV201" i="59"/>
  <c r="CT201" i="59"/>
  <c r="CS201" i="59"/>
  <c r="CR201" i="59"/>
  <c r="CQ201" i="59"/>
  <c r="CO201" i="59"/>
  <c r="CN201" i="59"/>
  <c r="CM201" i="59"/>
  <c r="CL201" i="59"/>
  <c r="CJ201" i="59"/>
  <c r="CI201" i="59"/>
  <c r="CH201" i="59"/>
  <c r="CG201" i="59"/>
  <c r="CE201" i="59"/>
  <c r="CD201" i="59"/>
  <c r="CC201" i="59"/>
  <c r="CB201" i="59"/>
  <c r="BZ201" i="59"/>
  <c r="BY201" i="59"/>
  <c r="BX201" i="59"/>
  <c r="BW201" i="59"/>
  <c r="BU201" i="59"/>
  <c r="BT201" i="59"/>
  <c r="BS201" i="59"/>
  <c r="BR201" i="59"/>
  <c r="BP201" i="59"/>
  <c r="BO201" i="59"/>
  <c r="BN201" i="59"/>
  <c r="BM201" i="59"/>
  <c r="BK201" i="59"/>
  <c r="BJ201" i="59"/>
  <c r="BI201" i="59"/>
  <c r="BH201" i="59"/>
  <c r="BG201" i="59"/>
  <c r="BL201" i="59" s="1"/>
  <c r="BQ201" i="59" s="1"/>
  <c r="BV201" i="59" s="1"/>
  <c r="CA201" i="59" s="1"/>
  <c r="CF201" i="59" s="1"/>
  <c r="CK201" i="59" s="1"/>
  <c r="CP201" i="59" s="1"/>
  <c r="CU201" i="59" s="1"/>
  <c r="CZ201" i="59" s="1"/>
  <c r="CT200" i="59"/>
  <c r="CS200" i="59"/>
  <c r="CR200" i="59"/>
  <c r="CQ200" i="59"/>
  <c r="CO200" i="59"/>
  <c r="CN200" i="59"/>
  <c r="CM200" i="59"/>
  <c r="CL200" i="59"/>
  <c r="CJ200" i="59"/>
  <c r="CI200" i="59"/>
  <c r="CH200" i="59"/>
  <c r="CG200" i="59"/>
  <c r="CE200" i="59"/>
  <c r="CD200" i="59"/>
  <c r="CC200" i="59"/>
  <c r="CB200" i="59"/>
  <c r="BZ200" i="59"/>
  <c r="BY200" i="59"/>
  <c r="BX200" i="59"/>
  <c r="BW200" i="59"/>
  <c r="BU200" i="59"/>
  <c r="BT200" i="59"/>
  <c r="BS200" i="59"/>
  <c r="BR200" i="59"/>
  <c r="BP200" i="59"/>
  <c r="BO200" i="59"/>
  <c r="BN200" i="59"/>
  <c r="BM200" i="59"/>
  <c r="BK200" i="59"/>
  <c r="BJ200" i="59"/>
  <c r="BI200" i="59"/>
  <c r="BH200" i="59"/>
  <c r="BG200" i="59"/>
  <c r="BL200" i="59" s="1"/>
  <c r="BQ200" i="59" s="1"/>
  <c r="BV200" i="59" s="1"/>
  <c r="CA200" i="59" s="1"/>
  <c r="CF200" i="59" s="1"/>
  <c r="CK200" i="59" s="1"/>
  <c r="CP200" i="59" s="1"/>
  <c r="CU200" i="59" s="1"/>
  <c r="CO199" i="59"/>
  <c r="CN199" i="59"/>
  <c r="CM199" i="59"/>
  <c r="CL199" i="59"/>
  <c r="CJ199" i="59"/>
  <c r="CI199" i="59"/>
  <c r="CH199" i="59"/>
  <c r="CG199" i="59"/>
  <c r="CE199" i="59"/>
  <c r="CD199" i="59"/>
  <c r="CC199" i="59"/>
  <c r="CB199" i="59"/>
  <c r="BZ199" i="59"/>
  <c r="BY199" i="59"/>
  <c r="BX199" i="59"/>
  <c r="BW199" i="59"/>
  <c r="BU199" i="59"/>
  <c r="BT199" i="59"/>
  <c r="BS199" i="59"/>
  <c r="BR199" i="59"/>
  <c r="BP199" i="59"/>
  <c r="BO199" i="59"/>
  <c r="BN199" i="59"/>
  <c r="BM199" i="59"/>
  <c r="BK199" i="59"/>
  <c r="BJ199" i="59"/>
  <c r="BI199" i="59"/>
  <c r="BH199" i="59"/>
  <c r="BG199" i="59"/>
  <c r="BL199" i="59" s="1"/>
  <c r="BQ199" i="59" s="1"/>
  <c r="BV199" i="59" s="1"/>
  <c r="CA199" i="59" s="1"/>
  <c r="CF199" i="59" s="1"/>
  <c r="CK199" i="59" s="1"/>
  <c r="CP199" i="59" s="1"/>
  <c r="CY198" i="59"/>
  <c r="CX198" i="59"/>
  <c r="CW198" i="59"/>
  <c r="CV198" i="59"/>
  <c r="CJ198" i="59"/>
  <c r="CI198" i="59"/>
  <c r="CH198" i="59"/>
  <c r="CG198" i="59"/>
  <c r="CE198" i="59"/>
  <c r="CD198" i="59"/>
  <c r="CC198" i="59"/>
  <c r="CB198" i="59"/>
  <c r="BZ198" i="59"/>
  <c r="BY198" i="59"/>
  <c r="BX198" i="59"/>
  <c r="BW198" i="59"/>
  <c r="BU198" i="59"/>
  <c r="BT198" i="59"/>
  <c r="BS198" i="59"/>
  <c r="BR198" i="59"/>
  <c r="BP198" i="59"/>
  <c r="BO198" i="59"/>
  <c r="BN198" i="59"/>
  <c r="BM198" i="59"/>
  <c r="BK198" i="59"/>
  <c r="BJ198" i="59"/>
  <c r="BI198" i="59"/>
  <c r="BH198" i="59"/>
  <c r="BG198" i="59"/>
  <c r="BL198" i="59" s="1"/>
  <c r="BQ198" i="59" s="1"/>
  <c r="BV198" i="59" s="1"/>
  <c r="CA198" i="59" s="1"/>
  <c r="CF198" i="59" s="1"/>
  <c r="CK198" i="59" s="1"/>
  <c r="CY197" i="59"/>
  <c r="CX197" i="59"/>
  <c r="CW197" i="59"/>
  <c r="CV197" i="59"/>
  <c r="CT197" i="59"/>
  <c r="CS197" i="59"/>
  <c r="CR197" i="59"/>
  <c r="CQ197" i="59"/>
  <c r="CE197" i="59"/>
  <c r="CD197" i="59"/>
  <c r="CC197" i="59"/>
  <c r="CB197" i="59"/>
  <c r="BZ197" i="59"/>
  <c r="BY197" i="59"/>
  <c r="BX197" i="59"/>
  <c r="BW197" i="59"/>
  <c r="BU197" i="59"/>
  <c r="BT197" i="59"/>
  <c r="BS197" i="59"/>
  <c r="BR197" i="59"/>
  <c r="BP197" i="59"/>
  <c r="BO197" i="59"/>
  <c r="BN197" i="59"/>
  <c r="BM197" i="59"/>
  <c r="BK197" i="59"/>
  <c r="BJ197" i="59"/>
  <c r="BI197" i="59"/>
  <c r="BH197" i="59"/>
  <c r="BG197" i="59"/>
  <c r="BL197" i="59" s="1"/>
  <c r="BQ197" i="59" s="1"/>
  <c r="BV197" i="59" s="1"/>
  <c r="CA197" i="59" s="1"/>
  <c r="CF197" i="59" s="1"/>
  <c r="CY196" i="59"/>
  <c r="CX196" i="59"/>
  <c r="CW196" i="59"/>
  <c r="CV196" i="59"/>
  <c r="CT196" i="59"/>
  <c r="CS196" i="59"/>
  <c r="CR196" i="59"/>
  <c r="CQ196" i="59"/>
  <c r="CO196" i="59"/>
  <c r="CN196" i="59"/>
  <c r="CM196" i="59"/>
  <c r="CL196" i="59"/>
  <c r="BZ196" i="59"/>
  <c r="BY196" i="59"/>
  <c r="BX196" i="59"/>
  <c r="BW196" i="59"/>
  <c r="BU196" i="59"/>
  <c r="BT196" i="59"/>
  <c r="BS196" i="59"/>
  <c r="BR196" i="59"/>
  <c r="BP196" i="59"/>
  <c r="BO196" i="59"/>
  <c r="BN196" i="59"/>
  <c r="BM196" i="59"/>
  <c r="BK196" i="59"/>
  <c r="BJ196" i="59"/>
  <c r="BI196" i="59"/>
  <c r="BH196" i="59"/>
  <c r="BG196" i="59"/>
  <c r="BL196" i="59" s="1"/>
  <c r="AZ200" i="59"/>
  <c r="AX200" i="59" s="1"/>
  <c r="AU200" i="59"/>
  <c r="AR200" i="59" s="1"/>
  <c r="AP200" i="59"/>
  <c r="AN200" i="59" s="1"/>
  <c r="AK200" i="59"/>
  <c r="AG200" i="59" s="1"/>
  <c r="AF200" i="59"/>
  <c r="AD200" i="59" s="1"/>
  <c r="AA200" i="59"/>
  <c r="X200" i="59" s="1"/>
  <c r="V200" i="59"/>
  <c r="T200" i="59" s="1"/>
  <c r="Q200" i="59"/>
  <c r="M200" i="59" s="1"/>
  <c r="L200" i="59"/>
  <c r="BE199" i="59"/>
  <c r="BB199" i="59" s="1"/>
  <c r="AU199" i="59"/>
  <c r="AQ199" i="59" s="1"/>
  <c r="AP199" i="59"/>
  <c r="AM199" i="59" s="1"/>
  <c r="AK199" i="59"/>
  <c r="AH199" i="59" s="1"/>
  <c r="AF199" i="59"/>
  <c r="AD199" i="59" s="1"/>
  <c r="AA199" i="59"/>
  <c r="W199" i="59" s="1"/>
  <c r="V199" i="59"/>
  <c r="T199" i="59" s="1"/>
  <c r="Q199" i="59"/>
  <c r="N199" i="59" s="1"/>
  <c r="L199" i="59"/>
  <c r="BE198" i="59"/>
  <c r="BA198" i="59" s="1"/>
  <c r="AZ198" i="59"/>
  <c r="AP198" i="59"/>
  <c r="AK198" i="59"/>
  <c r="AG198" i="59" s="1"/>
  <c r="AF198" i="59"/>
  <c r="AC198" i="59" s="1"/>
  <c r="AA198" i="59"/>
  <c r="X198" i="59" s="1"/>
  <c r="V198" i="59"/>
  <c r="T198" i="59" s="1"/>
  <c r="Q198" i="59"/>
  <c r="M198" i="59" s="1"/>
  <c r="L198" i="59"/>
  <c r="BE197" i="59"/>
  <c r="AZ197" i="59"/>
  <c r="AX197" i="59" s="1"/>
  <c r="AU197" i="59"/>
  <c r="AQ197" i="59" s="1"/>
  <c r="AK197" i="59"/>
  <c r="AH197" i="59" s="1"/>
  <c r="AF197" i="59"/>
  <c r="AD197" i="59" s="1"/>
  <c r="AA197" i="59"/>
  <c r="W197" i="59" s="1"/>
  <c r="V197" i="59"/>
  <c r="T197" i="59" s="1"/>
  <c r="Q197" i="59"/>
  <c r="N197" i="59" s="1"/>
  <c r="L197" i="59"/>
  <c r="BE196" i="59"/>
  <c r="BA196" i="59" s="1"/>
  <c r="AZ196" i="59"/>
  <c r="AU196" i="59"/>
  <c r="AP196" i="59"/>
  <c r="AO196" i="59" s="1"/>
  <c r="AK196" i="59"/>
  <c r="AG196" i="59" s="1"/>
  <c r="AF196" i="59"/>
  <c r="AA196" i="59"/>
  <c r="X196" i="59" s="1"/>
  <c r="V196" i="59"/>
  <c r="T196" i="59" s="1"/>
  <c r="Q196" i="59"/>
  <c r="M196" i="59" s="1"/>
  <c r="L196" i="59"/>
  <c r="F192" i="59"/>
  <c r="G192" i="59"/>
  <c r="E190" i="59"/>
  <c r="E189" i="59"/>
  <c r="E188" i="59"/>
  <c r="E187" i="59"/>
  <c r="E186" i="59"/>
  <c r="AK186" i="59" s="1"/>
  <c r="AH186" i="59" s="1"/>
  <c r="E185" i="59"/>
  <c r="E184" i="59"/>
  <c r="E183" i="59"/>
  <c r="BE183" i="59" s="1"/>
  <c r="BA183" i="59" s="1"/>
  <c r="E182" i="59"/>
  <c r="CY190" i="59"/>
  <c r="CX190" i="59"/>
  <c r="CW190" i="59"/>
  <c r="CV190" i="59"/>
  <c r="CT190" i="59"/>
  <c r="CS190" i="59"/>
  <c r="CR190" i="59"/>
  <c r="CQ190" i="59"/>
  <c r="CO190" i="59"/>
  <c r="CN190" i="59"/>
  <c r="CM190" i="59"/>
  <c r="CL190" i="59"/>
  <c r="CJ190" i="59"/>
  <c r="CI190" i="59"/>
  <c r="CH190" i="59"/>
  <c r="CG190" i="59"/>
  <c r="CE190" i="59"/>
  <c r="CD190" i="59"/>
  <c r="CC190" i="59"/>
  <c r="CB190" i="59"/>
  <c r="BZ190" i="59"/>
  <c r="BY190" i="59"/>
  <c r="BX190" i="59"/>
  <c r="BW190" i="59"/>
  <c r="BU190" i="59"/>
  <c r="BT190" i="59"/>
  <c r="BS190" i="59"/>
  <c r="BR190" i="59"/>
  <c r="BP190" i="59"/>
  <c r="BO190" i="59"/>
  <c r="BN190" i="59"/>
  <c r="BM190" i="59"/>
  <c r="BK190" i="59"/>
  <c r="BJ190" i="59"/>
  <c r="BI190" i="59"/>
  <c r="BH190" i="59"/>
  <c r="BG190" i="59"/>
  <c r="BL190" i="59" s="1"/>
  <c r="BQ190" i="59" s="1"/>
  <c r="BV190" i="59" s="1"/>
  <c r="CA190" i="59" s="1"/>
  <c r="CF190" i="59" s="1"/>
  <c r="CK190" i="59" s="1"/>
  <c r="CP190" i="59" s="1"/>
  <c r="CU190" i="59" s="1"/>
  <c r="CZ190" i="59" s="1"/>
  <c r="CY189" i="59"/>
  <c r="CX189" i="59"/>
  <c r="CW189" i="59"/>
  <c r="CV189" i="59"/>
  <c r="CT189" i="59"/>
  <c r="CS189" i="59"/>
  <c r="CR189" i="59"/>
  <c r="CQ189" i="59"/>
  <c r="CO189" i="59"/>
  <c r="CN189" i="59"/>
  <c r="CM189" i="59"/>
  <c r="CL189" i="59"/>
  <c r="CJ189" i="59"/>
  <c r="CI189" i="59"/>
  <c r="CH189" i="59"/>
  <c r="CG189" i="59"/>
  <c r="CE189" i="59"/>
  <c r="CD189" i="59"/>
  <c r="CC189" i="59"/>
  <c r="CB189" i="59"/>
  <c r="BZ189" i="59"/>
  <c r="BY189" i="59"/>
  <c r="BX189" i="59"/>
  <c r="BW189" i="59"/>
  <c r="BU189" i="59"/>
  <c r="BT189" i="59"/>
  <c r="BS189" i="59"/>
  <c r="BR189" i="59"/>
  <c r="BP189" i="59"/>
  <c r="BO189" i="59"/>
  <c r="BN189" i="59"/>
  <c r="BM189" i="59"/>
  <c r="BK189" i="59"/>
  <c r="BJ189" i="59"/>
  <c r="BI189" i="59"/>
  <c r="BH189" i="59"/>
  <c r="BG189" i="59"/>
  <c r="BL189" i="59" s="1"/>
  <c r="BQ189" i="59" s="1"/>
  <c r="BV189" i="59" s="1"/>
  <c r="CA189" i="59" s="1"/>
  <c r="CF189" i="59" s="1"/>
  <c r="CK189" i="59" s="1"/>
  <c r="CP189" i="59" s="1"/>
  <c r="CU189" i="59" s="1"/>
  <c r="CZ189" i="59" s="1"/>
  <c r="CY188" i="59"/>
  <c r="CX188" i="59"/>
  <c r="CW188" i="59"/>
  <c r="CV188" i="59"/>
  <c r="CT188" i="59"/>
  <c r="CS188" i="59"/>
  <c r="CR188" i="59"/>
  <c r="CQ188" i="59"/>
  <c r="CO188" i="59"/>
  <c r="CN188" i="59"/>
  <c r="CM188" i="59"/>
  <c r="CL188" i="59"/>
  <c r="CJ188" i="59"/>
  <c r="CI188" i="59"/>
  <c r="CH188" i="59"/>
  <c r="CG188" i="59"/>
  <c r="CE188" i="59"/>
  <c r="CD188" i="59"/>
  <c r="CC188" i="59"/>
  <c r="CB188" i="59"/>
  <c r="BZ188" i="59"/>
  <c r="BY188" i="59"/>
  <c r="BX188" i="59"/>
  <c r="BW188" i="59"/>
  <c r="BU188" i="59"/>
  <c r="BT188" i="59"/>
  <c r="BS188" i="59"/>
  <c r="BR188" i="59"/>
  <c r="BP188" i="59"/>
  <c r="BO188" i="59"/>
  <c r="BN188" i="59"/>
  <c r="BM188" i="59"/>
  <c r="BK188" i="59"/>
  <c r="BJ188" i="59"/>
  <c r="BI188" i="59"/>
  <c r="BH188" i="59"/>
  <c r="BG188" i="59"/>
  <c r="BL188" i="59" s="1"/>
  <c r="BQ188" i="59" s="1"/>
  <c r="BV188" i="59" s="1"/>
  <c r="CA188" i="59" s="1"/>
  <c r="CF188" i="59" s="1"/>
  <c r="CK188" i="59" s="1"/>
  <c r="CP188" i="59" s="1"/>
  <c r="CU188" i="59" s="1"/>
  <c r="CZ188" i="59" s="1"/>
  <c r="CY187" i="59"/>
  <c r="CX187" i="59"/>
  <c r="CW187" i="59"/>
  <c r="CV187" i="59"/>
  <c r="CT187" i="59"/>
  <c r="CS187" i="59"/>
  <c r="CR187" i="59"/>
  <c r="CQ187" i="59"/>
  <c r="CO187" i="59"/>
  <c r="CN187" i="59"/>
  <c r="CM187" i="59"/>
  <c r="CL187" i="59"/>
  <c r="CJ187" i="59"/>
  <c r="CI187" i="59"/>
  <c r="CH187" i="59"/>
  <c r="CG187" i="59"/>
  <c r="CE187" i="59"/>
  <c r="CD187" i="59"/>
  <c r="CC187" i="59"/>
  <c r="CB187" i="59"/>
  <c r="BZ187" i="59"/>
  <c r="BY187" i="59"/>
  <c r="BX187" i="59"/>
  <c r="BW187" i="59"/>
  <c r="BU187" i="59"/>
  <c r="BT187" i="59"/>
  <c r="BS187" i="59"/>
  <c r="BR187" i="59"/>
  <c r="BP187" i="59"/>
  <c r="BO187" i="59"/>
  <c r="BN187" i="59"/>
  <c r="BM187" i="59"/>
  <c r="BK187" i="59"/>
  <c r="BJ187" i="59"/>
  <c r="BI187" i="59"/>
  <c r="BH187" i="59"/>
  <c r="BG187" i="59"/>
  <c r="BL187" i="59" s="1"/>
  <c r="BQ187" i="59" s="1"/>
  <c r="BV187" i="59" s="1"/>
  <c r="CA187" i="59" s="1"/>
  <c r="CF187" i="59" s="1"/>
  <c r="CK187" i="59" s="1"/>
  <c r="CP187" i="59" s="1"/>
  <c r="CU187" i="59" s="1"/>
  <c r="CZ187" i="59" s="1"/>
  <c r="CY186" i="59"/>
  <c r="CX186" i="59"/>
  <c r="CW186" i="59"/>
  <c r="CV186" i="59"/>
  <c r="CT186" i="59"/>
  <c r="CS186" i="59"/>
  <c r="CR186" i="59"/>
  <c r="CQ186" i="59"/>
  <c r="CO186" i="59"/>
  <c r="CN186" i="59"/>
  <c r="CM186" i="59"/>
  <c r="CL186" i="59"/>
  <c r="BZ186" i="59"/>
  <c r="BY186" i="59"/>
  <c r="BX186" i="59"/>
  <c r="BW186" i="59"/>
  <c r="BU186" i="59"/>
  <c r="BT186" i="59"/>
  <c r="BS186" i="59"/>
  <c r="BR186" i="59"/>
  <c r="BP186" i="59"/>
  <c r="BO186" i="59"/>
  <c r="BN186" i="59"/>
  <c r="BM186" i="59"/>
  <c r="BK186" i="59"/>
  <c r="BJ186" i="59"/>
  <c r="BI186" i="59"/>
  <c r="BH186" i="59"/>
  <c r="BG186" i="59"/>
  <c r="BL186" i="59" s="1"/>
  <c r="BQ186" i="59" s="1"/>
  <c r="BV186" i="59" s="1"/>
  <c r="CA186" i="59" s="1"/>
  <c r="CY185" i="59"/>
  <c r="CX185" i="59"/>
  <c r="CW185" i="59"/>
  <c r="CV185" i="59"/>
  <c r="CT185" i="59"/>
  <c r="CS185" i="59"/>
  <c r="CR185" i="59"/>
  <c r="CQ185" i="59"/>
  <c r="CO185" i="59"/>
  <c r="CN185" i="59"/>
  <c r="CM185" i="59"/>
  <c r="CL185" i="59"/>
  <c r="CJ185" i="59"/>
  <c r="CI185" i="59"/>
  <c r="CH185" i="59"/>
  <c r="CG185" i="59"/>
  <c r="CE185" i="59"/>
  <c r="CD185" i="59"/>
  <c r="CC185" i="59"/>
  <c r="CB185" i="59"/>
  <c r="BZ185" i="59"/>
  <c r="BY185" i="59"/>
  <c r="BX185" i="59"/>
  <c r="BW185" i="59"/>
  <c r="BU185" i="59"/>
  <c r="BT185" i="59"/>
  <c r="BS185" i="59"/>
  <c r="BR185" i="59"/>
  <c r="BP185" i="59"/>
  <c r="BO185" i="59"/>
  <c r="BN185" i="59"/>
  <c r="BM185" i="59"/>
  <c r="BK185" i="59"/>
  <c r="BJ185" i="59"/>
  <c r="BI185" i="59"/>
  <c r="BH185" i="59"/>
  <c r="BG185" i="59"/>
  <c r="BL185" i="59" s="1"/>
  <c r="BQ185" i="59" s="1"/>
  <c r="BV185" i="59" s="1"/>
  <c r="CA185" i="59" s="1"/>
  <c r="CF185" i="59" s="1"/>
  <c r="CK185" i="59" s="1"/>
  <c r="CP185" i="59" s="1"/>
  <c r="CU185" i="59" s="1"/>
  <c r="CZ185" i="59" s="1"/>
  <c r="CY184" i="59"/>
  <c r="CX184" i="59"/>
  <c r="CW184" i="59"/>
  <c r="CV184" i="59"/>
  <c r="CT184" i="59"/>
  <c r="CS184" i="59"/>
  <c r="CR184" i="59"/>
  <c r="CQ184" i="59"/>
  <c r="CO184" i="59"/>
  <c r="CN184" i="59"/>
  <c r="CM184" i="59"/>
  <c r="CL184" i="59"/>
  <c r="CJ184" i="59"/>
  <c r="CI184" i="59"/>
  <c r="CH184" i="59"/>
  <c r="CG184" i="59"/>
  <c r="CE184" i="59"/>
  <c r="CD184" i="59"/>
  <c r="CC184" i="59"/>
  <c r="CB184" i="59"/>
  <c r="BZ184" i="59"/>
  <c r="BY184" i="59"/>
  <c r="BX184" i="59"/>
  <c r="BW184" i="59"/>
  <c r="BU184" i="59"/>
  <c r="BT184" i="59"/>
  <c r="BS184" i="59"/>
  <c r="BR184" i="59"/>
  <c r="BP184" i="59"/>
  <c r="BO184" i="59"/>
  <c r="BN184" i="59"/>
  <c r="BM184" i="59"/>
  <c r="BK184" i="59"/>
  <c r="BJ184" i="59"/>
  <c r="BI184" i="59"/>
  <c r="BH184" i="59"/>
  <c r="BG184" i="59"/>
  <c r="BL184" i="59" s="1"/>
  <c r="BQ184" i="59" s="1"/>
  <c r="BV184" i="59" s="1"/>
  <c r="CA184" i="59" s="1"/>
  <c r="CF184" i="59" s="1"/>
  <c r="CK184" i="59" s="1"/>
  <c r="CP184" i="59" s="1"/>
  <c r="CU184" i="59" s="1"/>
  <c r="CZ184" i="59" s="1"/>
  <c r="CT183" i="59"/>
  <c r="CS183" i="59"/>
  <c r="CR183" i="59"/>
  <c r="CQ183" i="59"/>
  <c r="CO183" i="59"/>
  <c r="CN183" i="59"/>
  <c r="CM183" i="59"/>
  <c r="CL183" i="59"/>
  <c r="CJ183" i="59"/>
  <c r="CI183" i="59"/>
  <c r="CH183" i="59"/>
  <c r="CG183" i="59"/>
  <c r="CE183" i="59"/>
  <c r="CD183" i="59"/>
  <c r="CC183" i="59"/>
  <c r="CB183" i="59"/>
  <c r="BZ183" i="59"/>
  <c r="BY183" i="59"/>
  <c r="BX183" i="59"/>
  <c r="BW183" i="59"/>
  <c r="BU183" i="59"/>
  <c r="BT183" i="59"/>
  <c r="BS183" i="59"/>
  <c r="BR183" i="59"/>
  <c r="BP183" i="59"/>
  <c r="BO183" i="59"/>
  <c r="BN183" i="59"/>
  <c r="BM183" i="59"/>
  <c r="BK183" i="59"/>
  <c r="BJ183" i="59"/>
  <c r="BI183" i="59"/>
  <c r="BH183" i="59"/>
  <c r="BG183" i="59"/>
  <c r="BL183" i="59" s="1"/>
  <c r="BQ183" i="59" s="1"/>
  <c r="BV183" i="59" s="1"/>
  <c r="CA183" i="59" s="1"/>
  <c r="CF183" i="59" s="1"/>
  <c r="CK183" i="59" s="1"/>
  <c r="CP183" i="59" s="1"/>
  <c r="CU183" i="59" s="1"/>
  <c r="CY182" i="59"/>
  <c r="CX182" i="59"/>
  <c r="CW182" i="59"/>
  <c r="CV182" i="59"/>
  <c r="CT182" i="59"/>
  <c r="CS182" i="59"/>
  <c r="CR182" i="59"/>
  <c r="CQ182" i="59"/>
  <c r="CO182" i="59"/>
  <c r="CN182" i="59"/>
  <c r="CM182" i="59"/>
  <c r="CL182" i="59"/>
  <c r="CJ182" i="59"/>
  <c r="CI182" i="59"/>
  <c r="CH182" i="59"/>
  <c r="CG182" i="59"/>
  <c r="CE182" i="59"/>
  <c r="CD182" i="59"/>
  <c r="CC182" i="59"/>
  <c r="CB182" i="59"/>
  <c r="BZ182" i="59"/>
  <c r="BY182" i="59"/>
  <c r="BX182" i="59"/>
  <c r="BW182" i="59"/>
  <c r="BU182" i="59"/>
  <c r="BT182" i="59"/>
  <c r="BS182" i="59"/>
  <c r="BR182" i="59"/>
  <c r="BP182" i="59"/>
  <c r="BO182" i="59"/>
  <c r="BN182" i="59"/>
  <c r="BM182" i="59"/>
  <c r="BK182" i="59"/>
  <c r="BJ182" i="59"/>
  <c r="BI182" i="59"/>
  <c r="BH182" i="59"/>
  <c r="BG182" i="59"/>
  <c r="BL182" i="59" s="1"/>
  <c r="BE190" i="59"/>
  <c r="BB190" i="59" s="1"/>
  <c r="AZ190" i="59"/>
  <c r="AX190" i="59" s="1"/>
  <c r="AU190" i="59"/>
  <c r="AQ190" i="59" s="1"/>
  <c r="AP190" i="59"/>
  <c r="AM190" i="59" s="1"/>
  <c r="AK190" i="59"/>
  <c r="AF190" i="59"/>
  <c r="AD190" i="59" s="1"/>
  <c r="AA190" i="59"/>
  <c r="W190" i="59" s="1"/>
  <c r="V190" i="59"/>
  <c r="T190" i="59" s="1"/>
  <c r="Q190" i="59"/>
  <c r="N190" i="59" s="1"/>
  <c r="L190" i="59"/>
  <c r="BE189" i="59"/>
  <c r="BA189" i="59" s="1"/>
  <c r="AZ189" i="59"/>
  <c r="AY189" i="59" s="1"/>
  <c r="AU189" i="59"/>
  <c r="AR189" i="59" s="1"/>
  <c r="AP189" i="59"/>
  <c r="AN189" i="59" s="1"/>
  <c r="AK189" i="59"/>
  <c r="AG189" i="59" s="1"/>
  <c r="AF189" i="59"/>
  <c r="AD189" i="59" s="1"/>
  <c r="AA189" i="59"/>
  <c r="X189" i="59" s="1"/>
  <c r="V189" i="59"/>
  <c r="T189" i="59" s="1"/>
  <c r="Q189" i="59"/>
  <c r="M189" i="59" s="1"/>
  <c r="L189" i="59"/>
  <c r="BE188" i="59"/>
  <c r="BB188" i="59" s="1"/>
  <c r="AZ188" i="59"/>
  <c r="AX188" i="59" s="1"/>
  <c r="AU188" i="59"/>
  <c r="AQ188" i="59" s="1"/>
  <c r="AP188" i="59"/>
  <c r="AL188" i="59" s="1"/>
  <c r="AK188" i="59"/>
  <c r="AF188" i="59"/>
  <c r="AD188" i="59" s="1"/>
  <c r="AA188" i="59"/>
  <c r="W188" i="59" s="1"/>
  <c r="V188" i="59"/>
  <c r="S188" i="59" s="1"/>
  <c r="Q188" i="59"/>
  <c r="N188" i="59" s="1"/>
  <c r="L188" i="59"/>
  <c r="BE187" i="59"/>
  <c r="BA187" i="59" s="1"/>
  <c r="AZ187" i="59"/>
  <c r="AX187" i="59" s="1"/>
  <c r="AU187" i="59"/>
  <c r="AR187" i="59" s="1"/>
  <c r="AP187" i="59"/>
  <c r="AN187" i="59" s="1"/>
  <c r="AK187" i="59"/>
  <c r="AG187" i="59" s="1"/>
  <c r="AF187" i="59"/>
  <c r="AB187" i="59" s="1"/>
  <c r="AA187" i="59"/>
  <c r="V187" i="59"/>
  <c r="T187" i="59" s="1"/>
  <c r="Q187" i="59"/>
  <c r="M187" i="59" s="1"/>
  <c r="L187" i="59"/>
  <c r="BE186" i="59"/>
  <c r="BB186" i="59" s="1"/>
  <c r="AZ186" i="59"/>
  <c r="AX186" i="59" s="1"/>
  <c r="AU186" i="59"/>
  <c r="AQ186" i="59" s="1"/>
  <c r="AP186" i="59"/>
  <c r="AO186" i="59" s="1"/>
  <c r="AF186" i="59"/>
  <c r="AA186" i="59"/>
  <c r="W186" i="59" s="1"/>
  <c r="V186" i="59"/>
  <c r="S186" i="59" s="1"/>
  <c r="Q186" i="59"/>
  <c r="N186" i="59" s="1"/>
  <c r="L186" i="59"/>
  <c r="BE185" i="59"/>
  <c r="BA185" i="59" s="1"/>
  <c r="AZ185" i="59"/>
  <c r="AW185" i="59" s="1"/>
  <c r="AU185" i="59"/>
  <c r="AP185" i="59"/>
  <c r="AN185" i="59" s="1"/>
  <c r="AK185" i="59"/>
  <c r="AG185" i="59" s="1"/>
  <c r="AF185" i="59"/>
  <c r="AC185" i="59" s="1"/>
  <c r="AA185" i="59"/>
  <c r="X185" i="59" s="1"/>
  <c r="V185" i="59"/>
  <c r="T185" i="59" s="1"/>
  <c r="Q185" i="59"/>
  <c r="M185" i="59" s="1"/>
  <c r="L185" i="59"/>
  <c r="BE184" i="59"/>
  <c r="AZ184" i="59"/>
  <c r="AX184" i="59" s="1"/>
  <c r="AU184" i="59"/>
  <c r="AQ184" i="59" s="1"/>
  <c r="AP184" i="59"/>
  <c r="AM184" i="59" s="1"/>
  <c r="AK184" i="59"/>
  <c r="AH184" i="59" s="1"/>
  <c r="AF184" i="59"/>
  <c r="AD184" i="59" s="1"/>
  <c r="AA184" i="59"/>
  <c r="W184" i="59" s="1"/>
  <c r="V184" i="59"/>
  <c r="U184" i="59" s="1"/>
  <c r="Q184" i="59"/>
  <c r="N184" i="59" s="1"/>
  <c r="L184" i="59"/>
  <c r="AZ183" i="59"/>
  <c r="AW183" i="59" s="1"/>
  <c r="AU183" i="59"/>
  <c r="AP183" i="59"/>
  <c r="AN183" i="59" s="1"/>
  <c r="AK183" i="59"/>
  <c r="AG183" i="59" s="1"/>
  <c r="AF183" i="59"/>
  <c r="AC183" i="59" s="1"/>
  <c r="AA183" i="59"/>
  <c r="X183" i="59" s="1"/>
  <c r="V183" i="59"/>
  <c r="T183" i="59" s="1"/>
  <c r="Q183" i="59"/>
  <c r="M183" i="59" s="1"/>
  <c r="L183" i="59"/>
  <c r="BE182" i="59"/>
  <c r="BA182" i="59" s="1"/>
  <c r="AZ182" i="59"/>
  <c r="AY182" i="59" s="1"/>
  <c r="AU182" i="59"/>
  <c r="AR182" i="59" s="1"/>
  <c r="AP182" i="59"/>
  <c r="AO182" i="59" s="1"/>
  <c r="AK182" i="59"/>
  <c r="AG182" i="59" s="1"/>
  <c r="AF182" i="59"/>
  <c r="AC182" i="59" s="1"/>
  <c r="AA182" i="59"/>
  <c r="X182" i="59" s="1"/>
  <c r="V182" i="59"/>
  <c r="U182" i="59" s="1"/>
  <c r="Q182" i="59"/>
  <c r="M182" i="59" s="1"/>
  <c r="L182" i="59"/>
  <c r="E172" i="59"/>
  <c r="BE172" i="59" s="1"/>
  <c r="BC172" i="59" s="1"/>
  <c r="E171" i="59"/>
  <c r="AZ171" i="59" s="1"/>
  <c r="AW171" i="59" s="1"/>
  <c r="E170" i="59"/>
  <c r="AU170" i="59" s="1"/>
  <c r="AS170" i="59" s="1"/>
  <c r="E169" i="59"/>
  <c r="AP169" i="59" s="1"/>
  <c r="CT172" i="59"/>
  <c r="CS172" i="59"/>
  <c r="CR172" i="59"/>
  <c r="CQ172" i="59"/>
  <c r="CO172" i="59"/>
  <c r="CN172" i="59"/>
  <c r="CM172" i="59"/>
  <c r="CL172" i="59"/>
  <c r="CJ172" i="59"/>
  <c r="CI172" i="59"/>
  <c r="CH172" i="59"/>
  <c r="CG172" i="59"/>
  <c r="CE172" i="59"/>
  <c r="CD172" i="59"/>
  <c r="CC172" i="59"/>
  <c r="CB172" i="59"/>
  <c r="BZ172" i="59"/>
  <c r="BY172" i="59"/>
  <c r="BX172" i="59"/>
  <c r="BW172" i="59"/>
  <c r="BU172" i="59"/>
  <c r="BT172" i="59"/>
  <c r="BS172" i="59"/>
  <c r="BR172" i="59"/>
  <c r="BP172" i="59"/>
  <c r="BO172" i="59"/>
  <c r="BN172" i="59"/>
  <c r="BM172" i="59"/>
  <c r="BK172" i="59"/>
  <c r="BJ172" i="59"/>
  <c r="BI172" i="59"/>
  <c r="BH172" i="59"/>
  <c r="BG172" i="59"/>
  <c r="BL172" i="59" s="1"/>
  <c r="BQ172" i="59" s="1"/>
  <c r="BV172" i="59" s="1"/>
  <c r="CA172" i="59" s="1"/>
  <c r="CF172" i="59" s="1"/>
  <c r="CK172" i="59" s="1"/>
  <c r="CP172" i="59" s="1"/>
  <c r="CU172" i="59" s="1"/>
  <c r="CZ172" i="59" s="1"/>
  <c r="CO171" i="59"/>
  <c r="CN171" i="59"/>
  <c r="CM171" i="59"/>
  <c r="CL171" i="59"/>
  <c r="CJ171" i="59"/>
  <c r="CI171" i="59"/>
  <c r="CH171" i="59"/>
  <c r="CG171" i="59"/>
  <c r="CE171" i="59"/>
  <c r="CD171" i="59"/>
  <c r="CC171" i="59"/>
  <c r="CB171" i="59"/>
  <c r="BZ171" i="59"/>
  <c r="BY171" i="59"/>
  <c r="BX171" i="59"/>
  <c r="BW171" i="59"/>
  <c r="BU171" i="59"/>
  <c r="BT171" i="59"/>
  <c r="BS171" i="59"/>
  <c r="BR171" i="59"/>
  <c r="BP171" i="59"/>
  <c r="BO171" i="59"/>
  <c r="BN171" i="59"/>
  <c r="BM171" i="59"/>
  <c r="BK171" i="59"/>
  <c r="BJ171" i="59"/>
  <c r="BI171" i="59"/>
  <c r="BH171" i="59"/>
  <c r="BG171" i="59"/>
  <c r="BL171" i="59" s="1"/>
  <c r="BQ171" i="59" s="1"/>
  <c r="BV171" i="59" s="1"/>
  <c r="CA171" i="59" s="1"/>
  <c r="CF171" i="59" s="1"/>
  <c r="CK171" i="59" s="1"/>
  <c r="CP171" i="59" s="1"/>
  <c r="CY170" i="59"/>
  <c r="CX170" i="59"/>
  <c r="CW170" i="59"/>
  <c r="CV170" i="59"/>
  <c r="CJ170" i="59"/>
  <c r="CI170" i="59"/>
  <c r="CH170" i="59"/>
  <c r="CG170" i="59"/>
  <c r="CE170" i="59"/>
  <c r="CD170" i="59"/>
  <c r="CC170" i="59"/>
  <c r="CB170" i="59"/>
  <c r="BZ170" i="59"/>
  <c r="BY170" i="59"/>
  <c r="BX170" i="59"/>
  <c r="BW170" i="59"/>
  <c r="BU170" i="59"/>
  <c r="BT170" i="59"/>
  <c r="BS170" i="59"/>
  <c r="BR170" i="59"/>
  <c r="BP170" i="59"/>
  <c r="BO170" i="59"/>
  <c r="BN170" i="59"/>
  <c r="BM170" i="59"/>
  <c r="BK170" i="59"/>
  <c r="BJ170" i="59"/>
  <c r="BI170" i="59"/>
  <c r="BH170" i="59"/>
  <c r="BG170" i="59"/>
  <c r="BL170" i="59" s="1"/>
  <c r="BQ170" i="59" s="1"/>
  <c r="BV170" i="59" s="1"/>
  <c r="CA170" i="59" s="1"/>
  <c r="CF170" i="59" s="1"/>
  <c r="CK170" i="59" s="1"/>
  <c r="CY169" i="59"/>
  <c r="CX169" i="59"/>
  <c r="CW169" i="59"/>
  <c r="CV169" i="59"/>
  <c r="CT169" i="59"/>
  <c r="CS169" i="59"/>
  <c r="CR169" i="59"/>
  <c r="CQ169" i="59"/>
  <c r="CE169" i="59"/>
  <c r="CD169" i="59"/>
  <c r="CC169" i="59"/>
  <c r="CB169" i="59"/>
  <c r="BZ169" i="59"/>
  <c r="BY169" i="59"/>
  <c r="BX169" i="59"/>
  <c r="BW169" i="59"/>
  <c r="BU169" i="59"/>
  <c r="BT169" i="59"/>
  <c r="BS169" i="59"/>
  <c r="BR169" i="59"/>
  <c r="BP169" i="59"/>
  <c r="BO169" i="59"/>
  <c r="BN169" i="59"/>
  <c r="BM169" i="59"/>
  <c r="BK169" i="59"/>
  <c r="BJ169" i="59"/>
  <c r="BI169" i="59"/>
  <c r="BH169" i="59"/>
  <c r="BG169" i="59"/>
  <c r="BL169" i="59" s="1"/>
  <c r="BQ169" i="59" s="1"/>
  <c r="BV169" i="59" s="1"/>
  <c r="CA169" i="59" s="1"/>
  <c r="CF169" i="59" s="1"/>
  <c r="CK169" i="59" s="1"/>
  <c r="CY168" i="59"/>
  <c r="CX168" i="59"/>
  <c r="CW168" i="59"/>
  <c r="CV168" i="59"/>
  <c r="CT168" i="59"/>
  <c r="CS168" i="59"/>
  <c r="CR168" i="59"/>
  <c r="CQ168" i="59"/>
  <c r="CO168" i="59"/>
  <c r="CN168" i="59"/>
  <c r="CM168" i="59"/>
  <c r="CL168" i="59"/>
  <c r="BZ168" i="59"/>
  <c r="BY168" i="59"/>
  <c r="BX168" i="59"/>
  <c r="BW168" i="59"/>
  <c r="BU168" i="59"/>
  <c r="BT168" i="59"/>
  <c r="BS168" i="59"/>
  <c r="BR168" i="59"/>
  <c r="BP168" i="59"/>
  <c r="BO168" i="59"/>
  <c r="BN168" i="59"/>
  <c r="BM168" i="59"/>
  <c r="BK168" i="59"/>
  <c r="BJ168" i="59"/>
  <c r="BI168" i="59"/>
  <c r="BH168" i="59"/>
  <c r="BG168" i="59"/>
  <c r="BL168" i="59" s="1"/>
  <c r="BQ168" i="59" s="1"/>
  <c r="BV168" i="59" s="1"/>
  <c r="CA168" i="59" s="1"/>
  <c r="CF168" i="59" s="1"/>
  <c r="CY167" i="59"/>
  <c r="CX167" i="59"/>
  <c r="CW167" i="59"/>
  <c r="CV167" i="59"/>
  <c r="CT167" i="59"/>
  <c r="CS167" i="59"/>
  <c r="CR167" i="59"/>
  <c r="CQ167" i="59"/>
  <c r="CO167" i="59"/>
  <c r="CN167" i="59"/>
  <c r="CM167" i="59"/>
  <c r="CL167" i="59"/>
  <c r="BZ167" i="59"/>
  <c r="BY167" i="59"/>
  <c r="BX167" i="59"/>
  <c r="BW167" i="59"/>
  <c r="BU167" i="59"/>
  <c r="BT167" i="59"/>
  <c r="BS167" i="59"/>
  <c r="BR167" i="59"/>
  <c r="BP167" i="59"/>
  <c r="BO167" i="59"/>
  <c r="BN167" i="59"/>
  <c r="BM167" i="59"/>
  <c r="BK167" i="59"/>
  <c r="BJ167" i="59"/>
  <c r="BI167" i="59"/>
  <c r="BH167" i="59"/>
  <c r="BG167" i="59"/>
  <c r="AZ172" i="59"/>
  <c r="AY172" i="59" s="1"/>
  <c r="AU172" i="59"/>
  <c r="AT172" i="59" s="1"/>
  <c r="AP172" i="59"/>
  <c r="AM172" i="59" s="1"/>
  <c r="AK172" i="59"/>
  <c r="AI172" i="59" s="1"/>
  <c r="AF172" i="59"/>
  <c r="AE172" i="59" s="1"/>
  <c r="AA172" i="59"/>
  <c r="X172" i="59" s="1"/>
  <c r="V172" i="59"/>
  <c r="S172" i="59" s="1"/>
  <c r="Q172" i="59"/>
  <c r="O172" i="59" s="1"/>
  <c r="L172" i="59"/>
  <c r="BE171" i="59"/>
  <c r="AU171" i="59"/>
  <c r="AS171" i="59" s="1"/>
  <c r="AP171" i="59"/>
  <c r="AO171" i="59" s="1"/>
  <c r="AK171" i="59"/>
  <c r="AI171" i="59" s="1"/>
  <c r="AF171" i="59"/>
  <c r="AC171" i="59" s="1"/>
  <c r="AA171" i="59"/>
  <c r="Y171" i="59" s="1"/>
  <c r="V171" i="59"/>
  <c r="U171" i="59" s="1"/>
  <c r="Q171" i="59"/>
  <c r="O171" i="59" s="1"/>
  <c r="L171" i="59"/>
  <c r="BE170" i="59"/>
  <c r="AZ170" i="59"/>
  <c r="AP170" i="59"/>
  <c r="AM170" i="59" s="1"/>
  <c r="AK170" i="59"/>
  <c r="AI170" i="59" s="1"/>
  <c r="AF170" i="59"/>
  <c r="AE170" i="59" s="1"/>
  <c r="AA170" i="59"/>
  <c r="Z170" i="59" s="1"/>
  <c r="V170" i="59"/>
  <c r="Q170" i="59"/>
  <c r="O170" i="59" s="1"/>
  <c r="L170" i="59"/>
  <c r="BE169" i="59"/>
  <c r="AZ169" i="59"/>
  <c r="AU169" i="59"/>
  <c r="AK169" i="59"/>
  <c r="AI169" i="59" s="1"/>
  <c r="AF169" i="59"/>
  <c r="AC169" i="59" s="1"/>
  <c r="AA169" i="59"/>
  <c r="Y169" i="59" s="1"/>
  <c r="V169" i="59"/>
  <c r="U169" i="59" s="1"/>
  <c r="Q169" i="59"/>
  <c r="P169" i="59" s="1"/>
  <c r="L169" i="59"/>
  <c r="BE168" i="59"/>
  <c r="BC168" i="59" s="1"/>
  <c r="AZ168" i="59"/>
  <c r="AY168" i="59" s="1"/>
  <c r="AU168" i="59"/>
  <c r="AS168" i="59" s="1"/>
  <c r="AP168" i="59"/>
  <c r="AK168" i="59"/>
  <c r="AF168" i="59"/>
  <c r="AA168" i="59"/>
  <c r="Y168" i="59" s="1"/>
  <c r="V168" i="59"/>
  <c r="S168" i="59" s="1"/>
  <c r="Q168" i="59"/>
  <c r="O168" i="59" s="1"/>
  <c r="L168" i="59"/>
  <c r="BE167" i="59"/>
  <c r="BC167" i="59" s="1"/>
  <c r="AZ167" i="59"/>
  <c r="AX167" i="59" s="1"/>
  <c r="AU167" i="59"/>
  <c r="AR167" i="59" s="1"/>
  <c r="AP167" i="59"/>
  <c r="AM167" i="59" s="1"/>
  <c r="AK167" i="59"/>
  <c r="AI167" i="59" s="1"/>
  <c r="AF167" i="59"/>
  <c r="AA167" i="59"/>
  <c r="V167" i="59"/>
  <c r="Q167" i="59"/>
  <c r="O167" i="59" s="1"/>
  <c r="L167" i="59"/>
  <c r="F163" i="59"/>
  <c r="E161" i="59"/>
  <c r="E159" i="59"/>
  <c r="E158" i="59"/>
  <c r="E157" i="59"/>
  <c r="E156" i="59"/>
  <c r="E155" i="59"/>
  <c r="E154" i="59"/>
  <c r="E153" i="59"/>
  <c r="E152" i="59"/>
  <c r="E151" i="59"/>
  <c r="CY161" i="59"/>
  <c r="CX161" i="59"/>
  <c r="CW161" i="59"/>
  <c r="CV161" i="59"/>
  <c r="CT161" i="59"/>
  <c r="CS161" i="59"/>
  <c r="CR161" i="59"/>
  <c r="CQ161" i="59"/>
  <c r="CO161" i="59"/>
  <c r="CN161" i="59"/>
  <c r="CM161" i="59"/>
  <c r="CL161" i="59"/>
  <c r="CJ161" i="59"/>
  <c r="CI161" i="59"/>
  <c r="CH161" i="59"/>
  <c r="CG161" i="59"/>
  <c r="CE161" i="59"/>
  <c r="CD161" i="59"/>
  <c r="CC161" i="59"/>
  <c r="CB161" i="59"/>
  <c r="BZ161" i="59"/>
  <c r="BY161" i="59"/>
  <c r="BX161" i="59"/>
  <c r="BW161" i="59"/>
  <c r="BU161" i="59"/>
  <c r="BT161" i="59"/>
  <c r="BS161" i="59"/>
  <c r="BR161" i="59"/>
  <c r="BP161" i="59"/>
  <c r="BO161" i="59"/>
  <c r="BN161" i="59"/>
  <c r="BM161" i="59"/>
  <c r="BK161" i="59"/>
  <c r="BJ161" i="59"/>
  <c r="BI161" i="59"/>
  <c r="BH161" i="59"/>
  <c r="BG161" i="59"/>
  <c r="BL161" i="59" s="1"/>
  <c r="BQ161" i="59" s="1"/>
  <c r="BV161" i="59" s="1"/>
  <c r="CA161" i="59" s="1"/>
  <c r="CF161" i="59" s="1"/>
  <c r="CK161" i="59" s="1"/>
  <c r="CP161" i="59" s="1"/>
  <c r="CU161" i="59" s="1"/>
  <c r="CZ161" i="59" s="1"/>
  <c r="CY160" i="59"/>
  <c r="CX160" i="59"/>
  <c r="CW160" i="59"/>
  <c r="CV160" i="59"/>
  <c r="CT160" i="59"/>
  <c r="CS160" i="59"/>
  <c r="CR160" i="59"/>
  <c r="CQ160" i="59"/>
  <c r="CO160" i="59"/>
  <c r="CN160" i="59"/>
  <c r="CM160" i="59"/>
  <c r="CL160" i="59"/>
  <c r="CJ160" i="59"/>
  <c r="CI160" i="59"/>
  <c r="CH160" i="59"/>
  <c r="CG160" i="59"/>
  <c r="CE160" i="59"/>
  <c r="CD160" i="59"/>
  <c r="CC160" i="59"/>
  <c r="CB160" i="59"/>
  <c r="BZ160" i="59"/>
  <c r="BY160" i="59"/>
  <c r="BX160" i="59"/>
  <c r="BW160" i="59"/>
  <c r="BU160" i="59"/>
  <c r="BT160" i="59"/>
  <c r="BS160" i="59"/>
  <c r="BR160" i="59"/>
  <c r="BP160" i="59"/>
  <c r="BO160" i="59"/>
  <c r="BN160" i="59"/>
  <c r="BM160" i="59"/>
  <c r="BK160" i="59"/>
  <c r="BJ160" i="59"/>
  <c r="BI160" i="59"/>
  <c r="BH160" i="59"/>
  <c r="BG160" i="59"/>
  <c r="BL160" i="59" s="1"/>
  <c r="BQ160" i="59" s="1"/>
  <c r="BV160" i="59" s="1"/>
  <c r="CA160" i="59" s="1"/>
  <c r="CF160" i="59" s="1"/>
  <c r="CK160" i="59" s="1"/>
  <c r="CP160" i="59" s="1"/>
  <c r="CU160" i="59" s="1"/>
  <c r="CZ160" i="59" s="1"/>
  <c r="CY159" i="59"/>
  <c r="CX159" i="59"/>
  <c r="CW159" i="59"/>
  <c r="CV159" i="59"/>
  <c r="CT159" i="59"/>
  <c r="CS159" i="59"/>
  <c r="CR159" i="59"/>
  <c r="CQ159" i="59"/>
  <c r="CO159" i="59"/>
  <c r="CN159" i="59"/>
  <c r="CM159" i="59"/>
  <c r="CL159" i="59"/>
  <c r="CJ159" i="59"/>
  <c r="CI159" i="59"/>
  <c r="CH159" i="59"/>
  <c r="CG159" i="59"/>
  <c r="CE159" i="59"/>
  <c r="CD159" i="59"/>
  <c r="CC159" i="59"/>
  <c r="CB159" i="59"/>
  <c r="BZ159" i="59"/>
  <c r="BY159" i="59"/>
  <c r="BX159" i="59"/>
  <c r="BW159" i="59"/>
  <c r="BU159" i="59"/>
  <c r="BT159" i="59"/>
  <c r="BS159" i="59"/>
  <c r="BR159" i="59"/>
  <c r="BP159" i="59"/>
  <c r="BO159" i="59"/>
  <c r="BN159" i="59"/>
  <c r="BM159" i="59"/>
  <c r="BK159" i="59"/>
  <c r="BJ159" i="59"/>
  <c r="BI159" i="59"/>
  <c r="BH159" i="59"/>
  <c r="BG159" i="59"/>
  <c r="BL159" i="59" s="1"/>
  <c r="BQ159" i="59" s="1"/>
  <c r="BV159" i="59" s="1"/>
  <c r="CA159" i="59" s="1"/>
  <c r="CF159" i="59" s="1"/>
  <c r="CK159" i="59" s="1"/>
  <c r="CP159" i="59" s="1"/>
  <c r="CU159" i="59" s="1"/>
  <c r="CZ159" i="59" s="1"/>
  <c r="CY158" i="59"/>
  <c r="CX158" i="59"/>
  <c r="CW158" i="59"/>
  <c r="CV158" i="59"/>
  <c r="CT158" i="59"/>
  <c r="CS158" i="59"/>
  <c r="CR158" i="59"/>
  <c r="CQ158" i="59"/>
  <c r="CO158" i="59"/>
  <c r="CN158" i="59"/>
  <c r="CM158" i="59"/>
  <c r="CL158" i="59"/>
  <c r="CJ158" i="59"/>
  <c r="CI158" i="59"/>
  <c r="CH158" i="59"/>
  <c r="CG158" i="59"/>
  <c r="CE158" i="59"/>
  <c r="CD158" i="59"/>
  <c r="CC158" i="59"/>
  <c r="CB158" i="59"/>
  <c r="BZ158" i="59"/>
  <c r="BY158" i="59"/>
  <c r="BX158" i="59"/>
  <c r="BW158" i="59"/>
  <c r="BU158" i="59"/>
  <c r="BT158" i="59"/>
  <c r="BS158" i="59"/>
  <c r="BR158" i="59"/>
  <c r="BP158" i="59"/>
  <c r="BO158" i="59"/>
  <c r="BN158" i="59"/>
  <c r="BM158" i="59"/>
  <c r="BK158" i="59"/>
  <c r="BJ158" i="59"/>
  <c r="BI158" i="59"/>
  <c r="BH158" i="59"/>
  <c r="BG158" i="59"/>
  <c r="BL158" i="59" s="1"/>
  <c r="BQ158" i="59" s="1"/>
  <c r="BV158" i="59" s="1"/>
  <c r="CA158" i="59" s="1"/>
  <c r="CF158" i="59" s="1"/>
  <c r="CK158" i="59" s="1"/>
  <c r="CP158" i="59" s="1"/>
  <c r="CU158" i="59" s="1"/>
  <c r="CZ158" i="59" s="1"/>
  <c r="CY157" i="59"/>
  <c r="CX157" i="59"/>
  <c r="CW157" i="59"/>
  <c r="CV157" i="59"/>
  <c r="CT157" i="59"/>
  <c r="CS157" i="59"/>
  <c r="CR157" i="59"/>
  <c r="CQ157" i="59"/>
  <c r="CO157" i="59"/>
  <c r="CN157" i="59"/>
  <c r="CM157" i="59"/>
  <c r="CL157" i="59"/>
  <c r="CJ157" i="59"/>
  <c r="CI157" i="59"/>
  <c r="CH157" i="59"/>
  <c r="CG157" i="59"/>
  <c r="CE157" i="59"/>
  <c r="CD157" i="59"/>
  <c r="CC157" i="59"/>
  <c r="CB157" i="59"/>
  <c r="BZ157" i="59"/>
  <c r="BY157" i="59"/>
  <c r="BX157" i="59"/>
  <c r="BW157" i="59"/>
  <c r="BU157" i="59"/>
  <c r="BT157" i="59"/>
  <c r="BS157" i="59"/>
  <c r="BR157" i="59"/>
  <c r="BP157" i="59"/>
  <c r="BO157" i="59"/>
  <c r="BN157" i="59"/>
  <c r="BM157" i="59"/>
  <c r="BK157" i="59"/>
  <c r="BJ157" i="59"/>
  <c r="BI157" i="59"/>
  <c r="BH157" i="59"/>
  <c r="BG157" i="59"/>
  <c r="BL157" i="59" s="1"/>
  <c r="BQ157" i="59" s="1"/>
  <c r="BV157" i="59" s="1"/>
  <c r="CA157" i="59" s="1"/>
  <c r="CF157" i="59" s="1"/>
  <c r="CK157" i="59" s="1"/>
  <c r="CP157" i="59" s="1"/>
  <c r="CU157" i="59" s="1"/>
  <c r="CZ157" i="59" s="1"/>
  <c r="CY156" i="59"/>
  <c r="CX156" i="59"/>
  <c r="CW156" i="59"/>
  <c r="CV156" i="59"/>
  <c r="CT156" i="59"/>
  <c r="CS156" i="59"/>
  <c r="CR156" i="59"/>
  <c r="CQ156" i="59"/>
  <c r="CO156" i="59"/>
  <c r="CN156" i="59"/>
  <c r="CM156" i="59"/>
  <c r="CL156" i="59"/>
  <c r="CJ156" i="59"/>
  <c r="CI156" i="59"/>
  <c r="CH156" i="59"/>
  <c r="CG156" i="59"/>
  <c r="CE156" i="59"/>
  <c r="CD156" i="59"/>
  <c r="CC156" i="59"/>
  <c r="CB156" i="59"/>
  <c r="BZ156" i="59"/>
  <c r="BY156" i="59"/>
  <c r="BX156" i="59"/>
  <c r="BW156" i="59"/>
  <c r="BU156" i="59"/>
  <c r="BT156" i="59"/>
  <c r="BS156" i="59"/>
  <c r="BR156" i="59"/>
  <c r="BP156" i="59"/>
  <c r="BO156" i="59"/>
  <c r="BN156" i="59"/>
  <c r="BM156" i="59"/>
  <c r="BK156" i="59"/>
  <c r="BJ156" i="59"/>
  <c r="BI156" i="59"/>
  <c r="BH156" i="59"/>
  <c r="BG156" i="59"/>
  <c r="BL156" i="59" s="1"/>
  <c r="BQ156" i="59" s="1"/>
  <c r="BV156" i="59" s="1"/>
  <c r="CA156" i="59" s="1"/>
  <c r="CF156" i="59" s="1"/>
  <c r="CK156" i="59" s="1"/>
  <c r="CP156" i="59" s="1"/>
  <c r="CU156" i="59" s="1"/>
  <c r="CZ156" i="59" s="1"/>
  <c r="CY155" i="59"/>
  <c r="CX155" i="59"/>
  <c r="CW155" i="59"/>
  <c r="CV155" i="59"/>
  <c r="CT155" i="59"/>
  <c r="CS155" i="59"/>
  <c r="CR155" i="59"/>
  <c r="CQ155" i="59"/>
  <c r="CO155" i="59"/>
  <c r="CN155" i="59"/>
  <c r="CM155" i="59"/>
  <c r="CL155" i="59"/>
  <c r="CJ155" i="59"/>
  <c r="CI155" i="59"/>
  <c r="CH155" i="59"/>
  <c r="CG155" i="59"/>
  <c r="CE155" i="59"/>
  <c r="CD155" i="59"/>
  <c r="CC155" i="59"/>
  <c r="CB155" i="59"/>
  <c r="BZ155" i="59"/>
  <c r="BY155" i="59"/>
  <c r="BX155" i="59"/>
  <c r="BW155" i="59"/>
  <c r="BU155" i="59"/>
  <c r="BT155" i="59"/>
  <c r="BS155" i="59"/>
  <c r="BR155" i="59"/>
  <c r="BP155" i="59"/>
  <c r="BO155" i="59"/>
  <c r="BN155" i="59"/>
  <c r="BM155" i="59"/>
  <c r="BK155" i="59"/>
  <c r="BJ155" i="59"/>
  <c r="BI155" i="59"/>
  <c r="BH155" i="59"/>
  <c r="BG155" i="59"/>
  <c r="BL155" i="59" s="1"/>
  <c r="BQ155" i="59" s="1"/>
  <c r="BV155" i="59" s="1"/>
  <c r="CA155" i="59" s="1"/>
  <c r="CF155" i="59" s="1"/>
  <c r="CK155" i="59" s="1"/>
  <c r="CP155" i="59" s="1"/>
  <c r="CU155" i="59" s="1"/>
  <c r="CZ155" i="59" s="1"/>
  <c r="CY154" i="59"/>
  <c r="CX154" i="59"/>
  <c r="CW154" i="59"/>
  <c r="CV154" i="59"/>
  <c r="CT154" i="59"/>
  <c r="CS154" i="59"/>
  <c r="CR154" i="59"/>
  <c r="CQ154" i="59"/>
  <c r="CO154" i="59"/>
  <c r="CN154" i="59"/>
  <c r="CM154" i="59"/>
  <c r="CL154" i="59"/>
  <c r="CJ154" i="59"/>
  <c r="CI154" i="59"/>
  <c r="CH154" i="59"/>
  <c r="CG154" i="59"/>
  <c r="CE154" i="59"/>
  <c r="CD154" i="59"/>
  <c r="CC154" i="59"/>
  <c r="CB154" i="59"/>
  <c r="BZ154" i="59"/>
  <c r="BY154" i="59"/>
  <c r="BX154" i="59"/>
  <c r="BW154" i="59"/>
  <c r="BU154" i="59"/>
  <c r="BT154" i="59"/>
  <c r="BS154" i="59"/>
  <c r="BR154" i="59"/>
  <c r="BP154" i="59"/>
  <c r="BO154" i="59"/>
  <c r="BN154" i="59"/>
  <c r="BM154" i="59"/>
  <c r="BK154" i="59"/>
  <c r="BJ154" i="59"/>
  <c r="BI154" i="59"/>
  <c r="BH154" i="59"/>
  <c r="BG154" i="59"/>
  <c r="BL154" i="59" s="1"/>
  <c r="BQ154" i="59" s="1"/>
  <c r="BV154" i="59" s="1"/>
  <c r="CA154" i="59" s="1"/>
  <c r="CF154" i="59" s="1"/>
  <c r="CK154" i="59" s="1"/>
  <c r="CP154" i="59" s="1"/>
  <c r="CU154" i="59" s="1"/>
  <c r="CZ154" i="59" s="1"/>
  <c r="CY153" i="59"/>
  <c r="CX153" i="59"/>
  <c r="CW153" i="59"/>
  <c r="CV153" i="59"/>
  <c r="CT153" i="59"/>
  <c r="CS153" i="59"/>
  <c r="CR153" i="59"/>
  <c r="CQ153" i="59"/>
  <c r="CO153" i="59"/>
  <c r="CN153" i="59"/>
  <c r="CM153" i="59"/>
  <c r="CL153" i="59"/>
  <c r="CJ153" i="59"/>
  <c r="CI153" i="59"/>
  <c r="CH153" i="59"/>
  <c r="CG153" i="59"/>
  <c r="CE153" i="59"/>
  <c r="CD153" i="59"/>
  <c r="CC153" i="59"/>
  <c r="CB153" i="59"/>
  <c r="BZ153" i="59"/>
  <c r="BY153" i="59"/>
  <c r="BX153" i="59"/>
  <c r="BW153" i="59"/>
  <c r="BU153" i="59"/>
  <c r="BT153" i="59"/>
  <c r="BS153" i="59"/>
  <c r="BR153" i="59"/>
  <c r="BP153" i="59"/>
  <c r="BO153" i="59"/>
  <c r="BN153" i="59"/>
  <c r="BM153" i="59"/>
  <c r="BK153" i="59"/>
  <c r="BJ153" i="59"/>
  <c r="BI153" i="59"/>
  <c r="BH153" i="59"/>
  <c r="BG153" i="59"/>
  <c r="BL153" i="59" s="1"/>
  <c r="BQ153" i="59" s="1"/>
  <c r="BV153" i="59" s="1"/>
  <c r="CA153" i="59" s="1"/>
  <c r="CF153" i="59" s="1"/>
  <c r="CK153" i="59" s="1"/>
  <c r="CP153" i="59" s="1"/>
  <c r="CU153" i="59" s="1"/>
  <c r="CZ153" i="59" s="1"/>
  <c r="CY152" i="59"/>
  <c r="CX152" i="59"/>
  <c r="CW152" i="59"/>
  <c r="CV152" i="59"/>
  <c r="CT152" i="59"/>
  <c r="CS152" i="59"/>
  <c r="CR152" i="59"/>
  <c r="CQ152" i="59"/>
  <c r="CO152" i="59"/>
  <c r="CN152" i="59"/>
  <c r="CM152" i="59"/>
  <c r="CL152" i="59"/>
  <c r="CJ152" i="59"/>
  <c r="CI152" i="59"/>
  <c r="CH152" i="59"/>
  <c r="CG152" i="59"/>
  <c r="CE152" i="59"/>
  <c r="CD152" i="59"/>
  <c r="CC152" i="59"/>
  <c r="CB152" i="59"/>
  <c r="BZ152" i="59"/>
  <c r="BY152" i="59"/>
  <c r="BX152" i="59"/>
  <c r="BW152" i="59"/>
  <c r="BU152" i="59"/>
  <c r="BT152" i="59"/>
  <c r="BS152" i="59"/>
  <c r="BR152" i="59"/>
  <c r="BP152" i="59"/>
  <c r="BO152" i="59"/>
  <c r="BN152" i="59"/>
  <c r="BM152" i="59"/>
  <c r="BK152" i="59"/>
  <c r="BJ152" i="59"/>
  <c r="BI152" i="59"/>
  <c r="BH152" i="59"/>
  <c r="BG152" i="59"/>
  <c r="BL152" i="59" s="1"/>
  <c r="BQ152" i="59" s="1"/>
  <c r="BV152" i="59" s="1"/>
  <c r="CA152" i="59" s="1"/>
  <c r="CF152" i="59" s="1"/>
  <c r="CK152" i="59" s="1"/>
  <c r="CP152" i="59" s="1"/>
  <c r="CU152" i="59" s="1"/>
  <c r="CZ152" i="59" s="1"/>
  <c r="BE161" i="59"/>
  <c r="BA161" i="59" s="1"/>
  <c r="AZ161" i="59"/>
  <c r="AX161" i="59" s="1"/>
  <c r="AU161" i="59"/>
  <c r="AR161" i="59" s="1"/>
  <c r="AP161" i="59"/>
  <c r="AM161" i="59" s="1"/>
  <c r="AK161" i="59"/>
  <c r="AG161" i="59" s="1"/>
  <c r="AF161" i="59"/>
  <c r="AD161" i="59" s="1"/>
  <c r="AA161" i="59"/>
  <c r="X161" i="59" s="1"/>
  <c r="V161" i="59"/>
  <c r="S161" i="59" s="1"/>
  <c r="Q161" i="59"/>
  <c r="M161" i="59" s="1"/>
  <c r="L161" i="59"/>
  <c r="BE160" i="59"/>
  <c r="BB160" i="59" s="1"/>
  <c r="AZ160" i="59"/>
  <c r="AY160" i="59" s="1"/>
  <c r="AU160" i="59"/>
  <c r="AQ160" i="59" s="1"/>
  <c r="AP160" i="59"/>
  <c r="AK160" i="59"/>
  <c r="AF160" i="59"/>
  <c r="AC160" i="59" s="1"/>
  <c r="AA160" i="59"/>
  <c r="V160" i="59"/>
  <c r="T160" i="59" s="1"/>
  <c r="Q160" i="59"/>
  <c r="N160" i="59" s="1"/>
  <c r="L160" i="59"/>
  <c r="BE159" i="59"/>
  <c r="BA159" i="59" s="1"/>
  <c r="AZ159" i="59"/>
  <c r="AX159" i="59" s="1"/>
  <c r="AU159" i="59"/>
  <c r="AR159" i="59" s="1"/>
  <c r="AP159" i="59"/>
  <c r="AK159" i="59"/>
  <c r="AF159" i="59"/>
  <c r="AA159" i="59"/>
  <c r="V159" i="59"/>
  <c r="S159" i="59" s="1"/>
  <c r="Q159" i="59"/>
  <c r="M159" i="59" s="1"/>
  <c r="L159" i="59"/>
  <c r="BE158" i="59"/>
  <c r="BB158" i="59" s="1"/>
  <c r="AZ158" i="59"/>
  <c r="AW158" i="59" s="1"/>
  <c r="AU158" i="59"/>
  <c r="AQ158" i="59" s="1"/>
  <c r="AP158" i="59"/>
  <c r="AN158" i="59" s="1"/>
  <c r="AK158" i="59"/>
  <c r="AH158" i="59" s="1"/>
  <c r="AF158" i="59"/>
  <c r="AB158" i="59" s="1"/>
  <c r="AA158" i="59"/>
  <c r="W158" i="59" s="1"/>
  <c r="V158" i="59"/>
  <c r="T158" i="59" s="1"/>
  <c r="Q158" i="59"/>
  <c r="N158" i="59" s="1"/>
  <c r="L158" i="59"/>
  <c r="BE157" i="59"/>
  <c r="BA157" i="59" s="1"/>
  <c r="AZ157" i="59"/>
  <c r="AX157" i="59" s="1"/>
  <c r="AU157" i="59"/>
  <c r="AR157" i="59" s="1"/>
  <c r="AP157" i="59"/>
  <c r="AL157" i="59" s="1"/>
  <c r="AK157" i="59"/>
  <c r="AG157" i="59" s="1"/>
  <c r="AF157" i="59"/>
  <c r="AD157" i="59" s="1"/>
  <c r="AA157" i="59"/>
  <c r="X157" i="59" s="1"/>
  <c r="V157" i="59"/>
  <c r="T157" i="59" s="1"/>
  <c r="Q157" i="59"/>
  <c r="M157" i="59" s="1"/>
  <c r="L157" i="59"/>
  <c r="BE156" i="59"/>
  <c r="BB156" i="59" s="1"/>
  <c r="AZ156" i="59"/>
  <c r="AY156" i="59" s="1"/>
  <c r="AU156" i="59"/>
  <c r="AP156" i="59"/>
  <c r="AN156" i="59" s="1"/>
  <c r="AK156" i="59"/>
  <c r="AH156" i="59" s="1"/>
  <c r="AF156" i="59"/>
  <c r="AD156" i="59" s="1"/>
  <c r="AA156" i="59"/>
  <c r="W156" i="59" s="1"/>
  <c r="V156" i="59"/>
  <c r="R156" i="59" s="1"/>
  <c r="Q156" i="59"/>
  <c r="L156" i="59"/>
  <c r="BE155" i="59"/>
  <c r="AZ155" i="59"/>
  <c r="AX155" i="59" s="1"/>
  <c r="AU155" i="59"/>
  <c r="AR155" i="59" s="1"/>
  <c r="AP155" i="59"/>
  <c r="AL155" i="59" s="1"/>
  <c r="AK155" i="59"/>
  <c r="AG155" i="59" s="1"/>
  <c r="AF155" i="59"/>
  <c r="AA155" i="59"/>
  <c r="Y155" i="59" s="1"/>
  <c r="V155" i="59"/>
  <c r="S155" i="59" s="1"/>
  <c r="Q155" i="59"/>
  <c r="L155" i="59"/>
  <c r="BE154" i="59"/>
  <c r="BB154" i="59" s="1"/>
  <c r="AZ154" i="59"/>
  <c r="AW154" i="59" s="1"/>
  <c r="AU154" i="59"/>
  <c r="AQ154" i="59" s="1"/>
  <c r="AP154" i="59"/>
  <c r="AO154" i="59" s="1"/>
  <c r="AK154" i="59"/>
  <c r="AF154" i="59"/>
  <c r="AC154" i="59" s="1"/>
  <c r="AA154" i="59"/>
  <c r="W154" i="59" s="1"/>
  <c r="V154" i="59"/>
  <c r="T154" i="59" s="1"/>
  <c r="Q154" i="59"/>
  <c r="N154" i="59" s="1"/>
  <c r="L154" i="59"/>
  <c r="BE153" i="59"/>
  <c r="BA153" i="59" s="1"/>
  <c r="AZ153" i="59"/>
  <c r="AY153" i="59" s="1"/>
  <c r="AU153" i="59"/>
  <c r="AP153" i="59"/>
  <c r="AM153" i="59" s="1"/>
  <c r="AK153" i="59"/>
  <c r="AG153" i="59" s="1"/>
  <c r="AF153" i="59"/>
  <c r="AD153" i="59" s="1"/>
  <c r="AA153" i="59"/>
  <c r="X153" i="59" s="1"/>
  <c r="V153" i="59"/>
  <c r="U153" i="59" s="1"/>
  <c r="Q153" i="59"/>
  <c r="M153" i="59" s="1"/>
  <c r="L153" i="59"/>
  <c r="BE152" i="59"/>
  <c r="BA152" i="59" s="1"/>
  <c r="AZ152" i="59"/>
  <c r="AX152" i="59" s="1"/>
  <c r="AU152" i="59"/>
  <c r="AQ152" i="59" s="1"/>
  <c r="AP152" i="59"/>
  <c r="AO152" i="59" s="1"/>
  <c r="AK152" i="59"/>
  <c r="AH152" i="59" s="1"/>
  <c r="AF152" i="59"/>
  <c r="AC152" i="59" s="1"/>
  <c r="AA152" i="59"/>
  <c r="V152" i="59"/>
  <c r="U152" i="59" s="1"/>
  <c r="Q152" i="59"/>
  <c r="N152" i="59" s="1"/>
  <c r="L152" i="59"/>
  <c r="E149" i="59"/>
  <c r="E148" i="59"/>
  <c r="E147" i="59"/>
  <c r="E146" i="59"/>
  <c r="E145" i="59"/>
  <c r="E144" i="59"/>
  <c r="E143" i="59"/>
  <c r="BE143" i="59" s="1"/>
  <c r="E142" i="59"/>
  <c r="AZ142" i="59" s="1"/>
  <c r="E141" i="59"/>
  <c r="E139" i="59"/>
  <c r="G140" i="59"/>
  <c r="G163" i="59" s="1"/>
  <c r="CY150" i="59"/>
  <c r="CX150" i="59"/>
  <c r="CW150" i="59"/>
  <c r="CV150" i="59"/>
  <c r="CT150" i="59"/>
  <c r="CS150" i="59"/>
  <c r="CR150" i="59"/>
  <c r="CQ150" i="59"/>
  <c r="CO150" i="59"/>
  <c r="CN150" i="59"/>
  <c r="CM150" i="59"/>
  <c r="CL150" i="59"/>
  <c r="CJ150" i="59"/>
  <c r="CI150" i="59"/>
  <c r="CH150" i="59"/>
  <c r="CG150" i="59"/>
  <c r="CE150" i="59"/>
  <c r="CD150" i="59"/>
  <c r="CC150" i="59"/>
  <c r="CB150" i="59"/>
  <c r="BZ150" i="59"/>
  <c r="BY150" i="59"/>
  <c r="BX150" i="59"/>
  <c r="BW150" i="59"/>
  <c r="BU150" i="59"/>
  <c r="BT150" i="59"/>
  <c r="BS150" i="59"/>
  <c r="BR150" i="59"/>
  <c r="BP150" i="59"/>
  <c r="BO150" i="59"/>
  <c r="BN150" i="59"/>
  <c r="BM150" i="59"/>
  <c r="BK150" i="59"/>
  <c r="BJ150" i="59"/>
  <c r="BI150" i="59"/>
  <c r="BH150" i="59"/>
  <c r="BG150" i="59"/>
  <c r="BL150" i="59" s="1"/>
  <c r="BQ150" i="59" s="1"/>
  <c r="BV150" i="59" s="1"/>
  <c r="CA150" i="59" s="1"/>
  <c r="CF150" i="59" s="1"/>
  <c r="CK150" i="59" s="1"/>
  <c r="CP150" i="59" s="1"/>
  <c r="CU150" i="59" s="1"/>
  <c r="CZ150" i="59" s="1"/>
  <c r="CY149" i="59"/>
  <c r="CX149" i="59"/>
  <c r="CW149" i="59"/>
  <c r="CV149" i="59"/>
  <c r="CT149" i="59"/>
  <c r="CS149" i="59"/>
  <c r="CR149" i="59"/>
  <c r="CQ149" i="59"/>
  <c r="CO149" i="59"/>
  <c r="CN149" i="59"/>
  <c r="CM149" i="59"/>
  <c r="CL149" i="59"/>
  <c r="CJ149" i="59"/>
  <c r="CI149" i="59"/>
  <c r="CH149" i="59"/>
  <c r="CG149" i="59"/>
  <c r="CE149" i="59"/>
  <c r="CD149" i="59"/>
  <c r="CC149" i="59"/>
  <c r="CB149" i="59"/>
  <c r="BZ149" i="59"/>
  <c r="BY149" i="59"/>
  <c r="BX149" i="59"/>
  <c r="BW149" i="59"/>
  <c r="BU149" i="59"/>
  <c r="BT149" i="59"/>
  <c r="BS149" i="59"/>
  <c r="BR149" i="59"/>
  <c r="BP149" i="59"/>
  <c r="BO149" i="59"/>
  <c r="BN149" i="59"/>
  <c r="BM149" i="59"/>
  <c r="BK149" i="59"/>
  <c r="BJ149" i="59"/>
  <c r="BI149" i="59"/>
  <c r="BH149" i="59"/>
  <c r="BG149" i="59"/>
  <c r="BL149" i="59" s="1"/>
  <c r="BQ149" i="59" s="1"/>
  <c r="BV149" i="59" s="1"/>
  <c r="CA149" i="59" s="1"/>
  <c r="CF149" i="59" s="1"/>
  <c r="CK149" i="59" s="1"/>
  <c r="CP149" i="59" s="1"/>
  <c r="CU149" i="59" s="1"/>
  <c r="CZ149" i="59" s="1"/>
  <c r="CY148" i="59"/>
  <c r="CX148" i="59"/>
  <c r="CW148" i="59"/>
  <c r="CV148" i="59"/>
  <c r="CT148" i="59"/>
  <c r="CS148" i="59"/>
  <c r="CR148" i="59"/>
  <c r="CQ148" i="59"/>
  <c r="CO148" i="59"/>
  <c r="CN148" i="59"/>
  <c r="CM148" i="59"/>
  <c r="CL148" i="59"/>
  <c r="CJ148" i="59"/>
  <c r="CI148" i="59"/>
  <c r="CH148" i="59"/>
  <c r="CG148" i="59"/>
  <c r="CE148" i="59"/>
  <c r="CD148" i="59"/>
  <c r="CC148" i="59"/>
  <c r="CB148" i="59"/>
  <c r="BZ148" i="59"/>
  <c r="BY148" i="59"/>
  <c r="BX148" i="59"/>
  <c r="BW148" i="59"/>
  <c r="BU148" i="59"/>
  <c r="BT148" i="59"/>
  <c r="BS148" i="59"/>
  <c r="BR148" i="59"/>
  <c r="BP148" i="59"/>
  <c r="BO148" i="59"/>
  <c r="BN148" i="59"/>
  <c r="BM148" i="59"/>
  <c r="BK148" i="59"/>
  <c r="BJ148" i="59"/>
  <c r="BI148" i="59"/>
  <c r="BH148" i="59"/>
  <c r="BG148" i="59"/>
  <c r="BL148" i="59" s="1"/>
  <c r="BQ148" i="59" s="1"/>
  <c r="BV148" i="59" s="1"/>
  <c r="CA148" i="59" s="1"/>
  <c r="CF148" i="59" s="1"/>
  <c r="CK148" i="59" s="1"/>
  <c r="CP148" i="59" s="1"/>
  <c r="CU148" i="59" s="1"/>
  <c r="CZ148" i="59" s="1"/>
  <c r="CY147" i="59"/>
  <c r="CX147" i="59"/>
  <c r="CW147" i="59"/>
  <c r="CV147" i="59"/>
  <c r="CT147" i="59"/>
  <c r="CS147" i="59"/>
  <c r="CR147" i="59"/>
  <c r="CQ147" i="59"/>
  <c r="CE147" i="59"/>
  <c r="CD147" i="59"/>
  <c r="CC147" i="59"/>
  <c r="CB147" i="59"/>
  <c r="BZ147" i="59"/>
  <c r="BY147" i="59"/>
  <c r="BX147" i="59"/>
  <c r="BW147" i="59"/>
  <c r="BU147" i="59"/>
  <c r="BT147" i="59"/>
  <c r="BS147" i="59"/>
  <c r="BR147" i="59"/>
  <c r="BP147" i="59"/>
  <c r="BO147" i="59"/>
  <c r="BN147" i="59"/>
  <c r="BM147" i="59"/>
  <c r="BK147" i="59"/>
  <c r="BJ147" i="59"/>
  <c r="BI147" i="59"/>
  <c r="BH147" i="59"/>
  <c r="BG147" i="59"/>
  <c r="BL147" i="59" s="1"/>
  <c r="BQ147" i="59" s="1"/>
  <c r="BV147" i="59" s="1"/>
  <c r="CA147" i="59" s="1"/>
  <c r="CF147" i="59" s="1"/>
  <c r="CY146" i="59"/>
  <c r="CX146" i="59"/>
  <c r="CW146" i="59"/>
  <c r="CV146" i="59"/>
  <c r="CT146" i="59"/>
  <c r="CS146" i="59"/>
  <c r="CR146" i="59"/>
  <c r="CQ146" i="59"/>
  <c r="CO146" i="59"/>
  <c r="CN146" i="59"/>
  <c r="CM146" i="59"/>
  <c r="CL146" i="59"/>
  <c r="CJ146" i="59"/>
  <c r="CI146" i="59"/>
  <c r="CH146" i="59"/>
  <c r="CG146" i="59"/>
  <c r="CE146" i="59"/>
  <c r="CD146" i="59"/>
  <c r="CC146" i="59"/>
  <c r="CB146" i="59"/>
  <c r="BZ146" i="59"/>
  <c r="BY146" i="59"/>
  <c r="BX146" i="59"/>
  <c r="BW146" i="59"/>
  <c r="BU146" i="59"/>
  <c r="BT146" i="59"/>
  <c r="BS146" i="59"/>
  <c r="BR146" i="59"/>
  <c r="BP146" i="59"/>
  <c r="BO146" i="59"/>
  <c r="BN146" i="59"/>
  <c r="BM146" i="59"/>
  <c r="BK146" i="59"/>
  <c r="BJ146" i="59"/>
  <c r="BI146" i="59"/>
  <c r="BH146" i="59"/>
  <c r="BG146" i="59"/>
  <c r="BL146" i="59" s="1"/>
  <c r="BQ146" i="59" s="1"/>
  <c r="BV146" i="59" s="1"/>
  <c r="CA146" i="59" s="1"/>
  <c r="CF146" i="59" s="1"/>
  <c r="CK146" i="59" s="1"/>
  <c r="CP146" i="59" s="1"/>
  <c r="CU146" i="59" s="1"/>
  <c r="CZ146" i="59" s="1"/>
  <c r="CY145" i="59"/>
  <c r="CX145" i="59"/>
  <c r="CW145" i="59"/>
  <c r="CV145" i="59"/>
  <c r="CT145" i="59"/>
  <c r="CS145" i="59"/>
  <c r="CR145" i="59"/>
  <c r="CQ145" i="59"/>
  <c r="CO145" i="59"/>
  <c r="CN145" i="59"/>
  <c r="CM145" i="59"/>
  <c r="CL145" i="59"/>
  <c r="CJ145" i="59"/>
  <c r="CI145" i="59"/>
  <c r="CH145" i="59"/>
  <c r="CG145" i="59"/>
  <c r="CE145" i="59"/>
  <c r="CD145" i="59"/>
  <c r="CC145" i="59"/>
  <c r="CB145" i="59"/>
  <c r="BZ145" i="59"/>
  <c r="BY145" i="59"/>
  <c r="BX145" i="59"/>
  <c r="BW145" i="59"/>
  <c r="BU145" i="59"/>
  <c r="BT145" i="59"/>
  <c r="BS145" i="59"/>
  <c r="BR145" i="59"/>
  <c r="BP145" i="59"/>
  <c r="BO145" i="59"/>
  <c r="BN145" i="59"/>
  <c r="BM145" i="59"/>
  <c r="BK145" i="59"/>
  <c r="BJ145" i="59"/>
  <c r="BI145" i="59"/>
  <c r="BH145" i="59"/>
  <c r="BG145" i="59"/>
  <c r="BL145" i="59" s="1"/>
  <c r="BQ145" i="59" s="1"/>
  <c r="BV145" i="59" s="1"/>
  <c r="CA145" i="59" s="1"/>
  <c r="CF145" i="59" s="1"/>
  <c r="CK145" i="59" s="1"/>
  <c r="CP145" i="59" s="1"/>
  <c r="CU145" i="59" s="1"/>
  <c r="CZ145" i="59" s="1"/>
  <c r="CY144" i="59"/>
  <c r="CX144" i="59"/>
  <c r="CW144" i="59"/>
  <c r="CV144" i="59"/>
  <c r="CT144" i="59"/>
  <c r="CS144" i="59"/>
  <c r="CR144" i="59"/>
  <c r="CQ144" i="59"/>
  <c r="CO144" i="59"/>
  <c r="CN144" i="59"/>
  <c r="CM144" i="59"/>
  <c r="CL144" i="59"/>
  <c r="CJ144" i="59"/>
  <c r="CI144" i="59"/>
  <c r="CH144" i="59"/>
  <c r="CG144" i="59"/>
  <c r="CE144" i="59"/>
  <c r="CD144" i="59"/>
  <c r="CC144" i="59"/>
  <c r="CB144" i="59"/>
  <c r="BZ144" i="59"/>
  <c r="BY144" i="59"/>
  <c r="BX144" i="59"/>
  <c r="BW144" i="59"/>
  <c r="BU144" i="59"/>
  <c r="BT144" i="59"/>
  <c r="BS144" i="59"/>
  <c r="BR144" i="59"/>
  <c r="BP144" i="59"/>
  <c r="BO144" i="59"/>
  <c r="BN144" i="59"/>
  <c r="BM144" i="59"/>
  <c r="BK144" i="59"/>
  <c r="BJ144" i="59"/>
  <c r="BI144" i="59"/>
  <c r="BH144" i="59"/>
  <c r="BG144" i="59"/>
  <c r="BL144" i="59" s="1"/>
  <c r="BQ144" i="59" s="1"/>
  <c r="BV144" i="59" s="1"/>
  <c r="CA144" i="59" s="1"/>
  <c r="CF144" i="59" s="1"/>
  <c r="CK144" i="59" s="1"/>
  <c r="CP144" i="59" s="1"/>
  <c r="CU144" i="59" s="1"/>
  <c r="CZ144" i="59" s="1"/>
  <c r="CT143" i="59"/>
  <c r="CS143" i="59"/>
  <c r="CR143" i="59"/>
  <c r="CQ143" i="59"/>
  <c r="CO143" i="59"/>
  <c r="CN143" i="59"/>
  <c r="CM143" i="59"/>
  <c r="CL143" i="59"/>
  <c r="CJ143" i="59"/>
  <c r="CI143" i="59"/>
  <c r="CH143" i="59"/>
  <c r="CG143" i="59"/>
  <c r="CE143" i="59"/>
  <c r="CD143" i="59"/>
  <c r="CC143" i="59"/>
  <c r="CB143" i="59"/>
  <c r="BZ143" i="59"/>
  <c r="BY143" i="59"/>
  <c r="BX143" i="59"/>
  <c r="BW143" i="59"/>
  <c r="BU143" i="59"/>
  <c r="BT143" i="59"/>
  <c r="BS143" i="59"/>
  <c r="BR143" i="59"/>
  <c r="BP143" i="59"/>
  <c r="BO143" i="59"/>
  <c r="BN143" i="59"/>
  <c r="BM143" i="59"/>
  <c r="BK143" i="59"/>
  <c r="BJ143" i="59"/>
  <c r="BI143" i="59"/>
  <c r="BH143" i="59"/>
  <c r="BG143" i="59"/>
  <c r="BL143" i="59" s="1"/>
  <c r="BQ143" i="59" s="1"/>
  <c r="BV143" i="59" s="1"/>
  <c r="CA143" i="59" s="1"/>
  <c r="CF143" i="59" s="1"/>
  <c r="CK143" i="59" s="1"/>
  <c r="CP143" i="59" s="1"/>
  <c r="CU143" i="59" s="1"/>
  <c r="CO142" i="59"/>
  <c r="CN142" i="59"/>
  <c r="CM142" i="59"/>
  <c r="CL142" i="59"/>
  <c r="CJ142" i="59"/>
  <c r="CI142" i="59"/>
  <c r="CH142" i="59"/>
  <c r="CG142" i="59"/>
  <c r="CE142" i="59"/>
  <c r="CD142" i="59"/>
  <c r="CC142" i="59"/>
  <c r="CB142" i="59"/>
  <c r="BZ142" i="59"/>
  <c r="BY142" i="59"/>
  <c r="BX142" i="59"/>
  <c r="BW142" i="59"/>
  <c r="BU142" i="59"/>
  <c r="BT142" i="59"/>
  <c r="BS142" i="59"/>
  <c r="BR142" i="59"/>
  <c r="BP142" i="59"/>
  <c r="BO142" i="59"/>
  <c r="BN142" i="59"/>
  <c r="BM142" i="59"/>
  <c r="BK142" i="59"/>
  <c r="BJ142" i="59"/>
  <c r="BI142" i="59"/>
  <c r="BH142" i="59"/>
  <c r="BG142" i="59"/>
  <c r="BL142" i="59" s="1"/>
  <c r="BQ142" i="59" s="1"/>
  <c r="BV142" i="59" s="1"/>
  <c r="CA142" i="59" s="1"/>
  <c r="CF142" i="59" s="1"/>
  <c r="CK142" i="59" s="1"/>
  <c r="CP142" i="59" s="1"/>
  <c r="CU142" i="59" s="1"/>
  <c r="CY141" i="59"/>
  <c r="CX141" i="59"/>
  <c r="CW141" i="59"/>
  <c r="CV141" i="59"/>
  <c r="CT141" i="59"/>
  <c r="CS141" i="59"/>
  <c r="CR141" i="59"/>
  <c r="CQ141" i="59"/>
  <c r="CE141" i="59"/>
  <c r="CD141" i="59"/>
  <c r="CC141" i="59"/>
  <c r="CB141" i="59"/>
  <c r="BZ141" i="59"/>
  <c r="BY141" i="59"/>
  <c r="BX141" i="59"/>
  <c r="BW141" i="59"/>
  <c r="BU141" i="59"/>
  <c r="BT141" i="59"/>
  <c r="BS141" i="59"/>
  <c r="BR141" i="59"/>
  <c r="BP141" i="59"/>
  <c r="BO141" i="59"/>
  <c r="BN141" i="59"/>
  <c r="BM141" i="59"/>
  <c r="BK141" i="59"/>
  <c r="BJ141" i="59"/>
  <c r="BI141" i="59"/>
  <c r="BH141" i="59"/>
  <c r="BG141" i="59"/>
  <c r="BL141" i="59" s="1"/>
  <c r="BQ141" i="59" s="1"/>
  <c r="BV141" i="59" s="1"/>
  <c r="CA141" i="59" s="1"/>
  <c r="CF141" i="59" s="1"/>
  <c r="CK141" i="59" s="1"/>
  <c r="CL141" i="59" s="1"/>
  <c r="CY140" i="59"/>
  <c r="CX140" i="59"/>
  <c r="CW140" i="59"/>
  <c r="CV140" i="59"/>
  <c r="CT140" i="59"/>
  <c r="CS140" i="59"/>
  <c r="CR140" i="59"/>
  <c r="CQ140" i="59"/>
  <c r="CO140" i="59"/>
  <c r="CN140" i="59"/>
  <c r="CM140" i="59"/>
  <c r="CL140" i="59"/>
  <c r="BZ140" i="59"/>
  <c r="BY140" i="59"/>
  <c r="BX140" i="59"/>
  <c r="BW140" i="59"/>
  <c r="BU140" i="59"/>
  <c r="BT140" i="59"/>
  <c r="BS140" i="59"/>
  <c r="BR140" i="59"/>
  <c r="BP140" i="59"/>
  <c r="BO140" i="59"/>
  <c r="BN140" i="59"/>
  <c r="BM140" i="59"/>
  <c r="BK140" i="59"/>
  <c r="BJ140" i="59"/>
  <c r="BI140" i="59"/>
  <c r="BH140" i="59"/>
  <c r="BG140" i="59"/>
  <c r="BL140" i="59" s="1"/>
  <c r="BQ140" i="59" s="1"/>
  <c r="BV140" i="59" s="1"/>
  <c r="CA140" i="59" s="1"/>
  <c r="CY139" i="59"/>
  <c r="CX139" i="59"/>
  <c r="CW139" i="59"/>
  <c r="CV139" i="59"/>
  <c r="CT139" i="59"/>
  <c r="CS139" i="59"/>
  <c r="CR139" i="59"/>
  <c r="CQ139" i="59"/>
  <c r="CO139" i="59"/>
  <c r="CN139" i="59"/>
  <c r="CM139" i="59"/>
  <c r="CL139" i="59"/>
  <c r="CJ139" i="59"/>
  <c r="CI139" i="59"/>
  <c r="CH139" i="59"/>
  <c r="CG139" i="59"/>
  <c r="CE139" i="59"/>
  <c r="CD139" i="59"/>
  <c r="CC139" i="59"/>
  <c r="CB139" i="59"/>
  <c r="BZ139" i="59"/>
  <c r="BY139" i="59"/>
  <c r="BX139" i="59"/>
  <c r="BW139" i="59"/>
  <c r="BU139" i="59"/>
  <c r="BT139" i="59"/>
  <c r="BS139" i="59"/>
  <c r="BR139" i="59"/>
  <c r="BP139" i="59"/>
  <c r="BO139" i="59"/>
  <c r="BN139" i="59"/>
  <c r="BM139" i="59"/>
  <c r="BK139" i="59"/>
  <c r="BJ139" i="59"/>
  <c r="BI139" i="59"/>
  <c r="BH139" i="59"/>
  <c r="BG139" i="59"/>
  <c r="BL139" i="59" s="1"/>
  <c r="BQ139" i="59" s="1"/>
  <c r="BV139" i="59" s="1"/>
  <c r="CA139" i="59" s="1"/>
  <c r="CF139" i="59" s="1"/>
  <c r="CK139" i="59" s="1"/>
  <c r="CP139" i="59" s="1"/>
  <c r="CU139" i="59" s="1"/>
  <c r="CZ139" i="59" s="1"/>
  <c r="BE150" i="59"/>
  <c r="BC150" i="59" s="1"/>
  <c r="AZ150" i="59"/>
  <c r="AX150" i="59" s="1"/>
  <c r="AU150" i="59"/>
  <c r="AS150" i="59" s="1"/>
  <c r="AP150" i="59"/>
  <c r="AN150" i="59" s="1"/>
  <c r="AK150" i="59"/>
  <c r="AG150" i="59" s="1"/>
  <c r="AF150" i="59"/>
  <c r="AE150" i="59" s="1"/>
  <c r="AA150" i="59"/>
  <c r="W150" i="59" s="1"/>
  <c r="V150" i="59"/>
  <c r="T150" i="59" s="1"/>
  <c r="Q150" i="59"/>
  <c r="M150" i="59" s="1"/>
  <c r="L150" i="59"/>
  <c r="BE149" i="59"/>
  <c r="BA149" i="59" s="1"/>
  <c r="AZ149" i="59"/>
  <c r="AX149" i="59" s="1"/>
  <c r="AU149" i="59"/>
  <c r="AP149" i="59"/>
  <c r="AK149" i="59"/>
  <c r="AF149" i="59"/>
  <c r="AA149" i="59"/>
  <c r="Y149" i="59" s="1"/>
  <c r="V149" i="59"/>
  <c r="Q149" i="59"/>
  <c r="O149" i="59" s="1"/>
  <c r="L149" i="59"/>
  <c r="BE148" i="59"/>
  <c r="BC148" i="59" s="1"/>
  <c r="AZ148" i="59"/>
  <c r="AY148" i="59" s="1"/>
  <c r="AU148" i="59"/>
  <c r="AP148" i="59"/>
  <c r="AK148" i="59"/>
  <c r="AG148" i="59" s="1"/>
  <c r="AF148" i="59"/>
  <c r="AA148" i="59"/>
  <c r="W148" i="59" s="1"/>
  <c r="V148" i="59"/>
  <c r="T148" i="59" s="1"/>
  <c r="Q148" i="59"/>
  <c r="M148" i="59" s="1"/>
  <c r="L148" i="59"/>
  <c r="BE147" i="59"/>
  <c r="BA147" i="59" s="1"/>
  <c r="AZ147" i="59"/>
  <c r="AX147" i="59" s="1"/>
  <c r="AU147" i="59"/>
  <c r="AP147" i="59"/>
  <c r="AO147" i="59" s="1"/>
  <c r="AK147" i="59"/>
  <c r="AF147" i="59"/>
  <c r="AE147" i="59" s="1"/>
  <c r="AA147" i="59"/>
  <c r="Y147" i="59" s="1"/>
  <c r="V147" i="59"/>
  <c r="R147" i="59" s="1"/>
  <c r="Q147" i="59"/>
  <c r="M147" i="59" s="1"/>
  <c r="L147" i="59"/>
  <c r="BE146" i="59"/>
  <c r="AZ146" i="59"/>
  <c r="AU146" i="59"/>
  <c r="AR146" i="59" s="1"/>
  <c r="AP146" i="59"/>
  <c r="AN146" i="59" s="1"/>
  <c r="AK146" i="59"/>
  <c r="AJ146" i="59" s="1"/>
  <c r="AF146" i="59"/>
  <c r="AB146" i="59" s="1"/>
  <c r="AA146" i="59"/>
  <c r="Z146" i="59" s="1"/>
  <c r="V146" i="59"/>
  <c r="Q146" i="59"/>
  <c r="O146" i="59" s="1"/>
  <c r="L146" i="59"/>
  <c r="BE145" i="59"/>
  <c r="BA145" i="59" s="1"/>
  <c r="AZ145" i="59"/>
  <c r="AV145" i="59" s="1"/>
  <c r="AU145" i="59"/>
  <c r="AQ145" i="59" s="1"/>
  <c r="AP145" i="59"/>
  <c r="AK145" i="59"/>
  <c r="AH145" i="59" s="1"/>
  <c r="AF145" i="59"/>
  <c r="AA145" i="59"/>
  <c r="V145" i="59"/>
  <c r="U145" i="59" s="1"/>
  <c r="Q145" i="59"/>
  <c r="N145" i="59" s="1"/>
  <c r="L145" i="59"/>
  <c r="BE144" i="59"/>
  <c r="BC144" i="59" s="1"/>
  <c r="AZ144" i="59"/>
  <c r="AY144" i="59" s="1"/>
  <c r="AU144" i="59"/>
  <c r="AQ144" i="59" s="1"/>
  <c r="AP144" i="59"/>
  <c r="AK144" i="59"/>
  <c r="AI144" i="59" s="1"/>
  <c r="AF144" i="59"/>
  <c r="AD144" i="59" s="1"/>
  <c r="AA144" i="59"/>
  <c r="Y144" i="59" s="1"/>
  <c r="V144" i="59"/>
  <c r="S144" i="59" s="1"/>
  <c r="Q144" i="59"/>
  <c r="N144" i="59" s="1"/>
  <c r="L144" i="59"/>
  <c r="AZ143" i="59"/>
  <c r="AX143" i="59" s="1"/>
  <c r="AU143" i="59"/>
  <c r="AT143" i="59" s="1"/>
  <c r="AP143" i="59"/>
  <c r="AM143" i="59" s="1"/>
  <c r="AK143" i="59"/>
  <c r="AJ143" i="59" s="1"/>
  <c r="AF143" i="59"/>
  <c r="AA143" i="59"/>
  <c r="X143" i="59" s="1"/>
  <c r="V143" i="59"/>
  <c r="T143" i="59" s="1"/>
  <c r="Q143" i="59"/>
  <c r="P143" i="59" s="1"/>
  <c r="L143" i="59"/>
  <c r="BE142" i="59"/>
  <c r="BD142" i="59" s="1"/>
  <c r="AU142" i="59"/>
  <c r="AS142" i="59" s="1"/>
  <c r="AP142" i="59"/>
  <c r="AO142" i="59" s="1"/>
  <c r="AK142" i="59"/>
  <c r="AG142" i="59" s="1"/>
  <c r="AF142" i="59"/>
  <c r="AC142" i="59" s="1"/>
  <c r="AA142" i="59"/>
  <c r="Y142" i="59" s="1"/>
  <c r="V142" i="59"/>
  <c r="U142" i="59" s="1"/>
  <c r="Q142" i="59"/>
  <c r="P142" i="59" s="1"/>
  <c r="L142" i="59"/>
  <c r="BE141" i="59"/>
  <c r="AZ141" i="59"/>
  <c r="AY141" i="59" s="1"/>
  <c r="AU141" i="59"/>
  <c r="AP141" i="59"/>
  <c r="AM141" i="59" s="1"/>
  <c r="AK141" i="59"/>
  <c r="AI141" i="59" s="1"/>
  <c r="AF141" i="59"/>
  <c r="AE141" i="59" s="1"/>
  <c r="AA141" i="59"/>
  <c r="V141" i="59"/>
  <c r="U141" i="59" s="1"/>
  <c r="Q141" i="59"/>
  <c r="L141" i="59"/>
  <c r="BE140" i="59"/>
  <c r="BD140" i="59" s="1"/>
  <c r="AZ140" i="59"/>
  <c r="AU140" i="59"/>
  <c r="AS140" i="59" s="1"/>
  <c r="AP140" i="59"/>
  <c r="AF140" i="59"/>
  <c r="AC140" i="59" s="1"/>
  <c r="AA140" i="59"/>
  <c r="Y140" i="59" s="1"/>
  <c r="V140" i="59"/>
  <c r="Q140" i="59"/>
  <c r="L140" i="59"/>
  <c r="BE139" i="59"/>
  <c r="BC139" i="59" s="1"/>
  <c r="AZ139" i="59"/>
  <c r="AY139" i="59" s="1"/>
  <c r="AU139" i="59"/>
  <c r="AT139" i="59" s="1"/>
  <c r="AP139" i="59"/>
  <c r="AM139" i="59" s="1"/>
  <c r="AK139" i="59"/>
  <c r="AF139" i="59"/>
  <c r="AE139" i="59" s="1"/>
  <c r="AA139" i="59"/>
  <c r="Z139" i="59" s="1"/>
  <c r="V139" i="59"/>
  <c r="Q139" i="59"/>
  <c r="O139" i="59" s="1"/>
  <c r="L139" i="59"/>
  <c r="E129" i="59"/>
  <c r="BE129" i="59" s="1"/>
  <c r="BC129" i="59" s="1"/>
  <c r="E128" i="59"/>
  <c r="AZ128" i="59" s="1"/>
  <c r="AW128" i="59" s="1"/>
  <c r="E127" i="59"/>
  <c r="AU127" i="59" s="1"/>
  <c r="E126" i="59"/>
  <c r="AP126" i="59" s="1"/>
  <c r="AO126" i="59" s="1"/>
  <c r="CT129" i="59"/>
  <c r="CS129" i="59"/>
  <c r="CR129" i="59"/>
  <c r="CQ129" i="59"/>
  <c r="CO129" i="59"/>
  <c r="CN129" i="59"/>
  <c r="CM129" i="59"/>
  <c r="CL129" i="59"/>
  <c r="CJ129" i="59"/>
  <c r="CI129" i="59"/>
  <c r="CH129" i="59"/>
  <c r="CG129" i="59"/>
  <c r="CE129" i="59"/>
  <c r="CD129" i="59"/>
  <c r="CC129" i="59"/>
  <c r="CB129" i="59"/>
  <c r="BZ129" i="59"/>
  <c r="BY129" i="59"/>
  <c r="BX129" i="59"/>
  <c r="BW129" i="59"/>
  <c r="BU129" i="59"/>
  <c r="BT129" i="59"/>
  <c r="BS129" i="59"/>
  <c r="BR129" i="59"/>
  <c r="BP129" i="59"/>
  <c r="BO129" i="59"/>
  <c r="BN129" i="59"/>
  <c r="BM129" i="59"/>
  <c r="BK129" i="59"/>
  <c r="BJ129" i="59"/>
  <c r="BI129" i="59"/>
  <c r="BH129" i="59"/>
  <c r="BG129" i="59"/>
  <c r="BL129" i="59" s="1"/>
  <c r="BQ129" i="59" s="1"/>
  <c r="BV129" i="59" s="1"/>
  <c r="CA129" i="59" s="1"/>
  <c r="CF129" i="59" s="1"/>
  <c r="CK129" i="59" s="1"/>
  <c r="CP129" i="59" s="1"/>
  <c r="CU129" i="59" s="1"/>
  <c r="CO128" i="59"/>
  <c r="CN128" i="59"/>
  <c r="CM128" i="59"/>
  <c r="CL128" i="59"/>
  <c r="CJ128" i="59"/>
  <c r="CI128" i="59"/>
  <c r="CH128" i="59"/>
  <c r="CG128" i="59"/>
  <c r="CE128" i="59"/>
  <c r="CD128" i="59"/>
  <c r="CC128" i="59"/>
  <c r="CB128" i="59"/>
  <c r="BZ128" i="59"/>
  <c r="BY128" i="59"/>
  <c r="BX128" i="59"/>
  <c r="BW128" i="59"/>
  <c r="BU128" i="59"/>
  <c r="BT128" i="59"/>
  <c r="BS128" i="59"/>
  <c r="BR128" i="59"/>
  <c r="BP128" i="59"/>
  <c r="BO128" i="59"/>
  <c r="BN128" i="59"/>
  <c r="BM128" i="59"/>
  <c r="BK128" i="59"/>
  <c r="BJ128" i="59"/>
  <c r="BI128" i="59"/>
  <c r="BH128" i="59"/>
  <c r="BG128" i="59"/>
  <c r="BL128" i="59" s="1"/>
  <c r="BQ128" i="59" s="1"/>
  <c r="BV128" i="59" s="1"/>
  <c r="CA128" i="59" s="1"/>
  <c r="CF128" i="59" s="1"/>
  <c r="CK128" i="59" s="1"/>
  <c r="CP128" i="59" s="1"/>
  <c r="CY127" i="59"/>
  <c r="CX127" i="59"/>
  <c r="CW127" i="59"/>
  <c r="CV127" i="59"/>
  <c r="CJ127" i="59"/>
  <c r="CI127" i="59"/>
  <c r="CH127" i="59"/>
  <c r="CG127" i="59"/>
  <c r="CE127" i="59"/>
  <c r="CD127" i="59"/>
  <c r="CC127" i="59"/>
  <c r="CB127" i="59"/>
  <c r="BZ127" i="59"/>
  <c r="BY127" i="59"/>
  <c r="BX127" i="59"/>
  <c r="BW127" i="59"/>
  <c r="BU127" i="59"/>
  <c r="BT127" i="59"/>
  <c r="BS127" i="59"/>
  <c r="BR127" i="59"/>
  <c r="BP127" i="59"/>
  <c r="BO127" i="59"/>
  <c r="BN127" i="59"/>
  <c r="BM127" i="59"/>
  <c r="BK127" i="59"/>
  <c r="BJ127" i="59"/>
  <c r="BI127" i="59"/>
  <c r="BH127" i="59"/>
  <c r="BG127" i="59"/>
  <c r="BL127" i="59" s="1"/>
  <c r="BQ127" i="59" s="1"/>
  <c r="BV127" i="59" s="1"/>
  <c r="CA127" i="59" s="1"/>
  <c r="CF127" i="59" s="1"/>
  <c r="CK127" i="59" s="1"/>
  <c r="CY126" i="59"/>
  <c r="CX126" i="59"/>
  <c r="CW126" i="59"/>
  <c r="CV126" i="59"/>
  <c r="CT126" i="59"/>
  <c r="CS126" i="59"/>
  <c r="CR126" i="59"/>
  <c r="CQ126" i="59"/>
  <c r="CE126" i="59"/>
  <c r="CD126" i="59"/>
  <c r="CC126" i="59"/>
  <c r="CB126" i="59"/>
  <c r="BZ126" i="59"/>
  <c r="BY126" i="59"/>
  <c r="BX126" i="59"/>
  <c r="BW126" i="59"/>
  <c r="BU126" i="59"/>
  <c r="BT126" i="59"/>
  <c r="BS126" i="59"/>
  <c r="BR126" i="59"/>
  <c r="BP126" i="59"/>
  <c r="BO126" i="59"/>
  <c r="BN126" i="59"/>
  <c r="BM126" i="59"/>
  <c r="BK126" i="59"/>
  <c r="BJ126" i="59"/>
  <c r="BI126" i="59"/>
  <c r="BH126" i="59"/>
  <c r="BG126" i="59"/>
  <c r="BL126" i="59" s="1"/>
  <c r="BQ126" i="59" s="1"/>
  <c r="BV126" i="59" s="1"/>
  <c r="CA126" i="59" s="1"/>
  <c r="CF126" i="59" s="1"/>
  <c r="CY125" i="59"/>
  <c r="CX125" i="59"/>
  <c r="CW125" i="59"/>
  <c r="CV125" i="59"/>
  <c r="CT125" i="59"/>
  <c r="CS125" i="59"/>
  <c r="CR125" i="59"/>
  <c r="CQ125" i="59"/>
  <c r="CO125" i="59"/>
  <c r="CN125" i="59"/>
  <c r="CM125" i="59"/>
  <c r="CL125" i="59"/>
  <c r="BU125" i="59"/>
  <c r="BT125" i="59"/>
  <c r="BS125" i="59"/>
  <c r="BR125" i="59"/>
  <c r="BP125" i="59"/>
  <c r="BO125" i="59"/>
  <c r="BN125" i="59"/>
  <c r="BM125" i="59"/>
  <c r="BK125" i="59"/>
  <c r="BJ125" i="59"/>
  <c r="BI125" i="59"/>
  <c r="BH125" i="59"/>
  <c r="BG125" i="59"/>
  <c r="BL125" i="59" s="1"/>
  <c r="AZ129" i="59"/>
  <c r="AY129" i="59" s="1"/>
  <c r="AU129" i="59"/>
  <c r="AQ129" i="59" s="1"/>
  <c r="AP129" i="59"/>
  <c r="AK129" i="59"/>
  <c r="AJ129" i="59" s="1"/>
  <c r="AF129" i="59"/>
  <c r="AE129" i="59" s="1"/>
  <c r="AA129" i="59"/>
  <c r="Y129" i="59" s="1"/>
  <c r="V129" i="59"/>
  <c r="S129" i="59" s="1"/>
  <c r="Q129" i="59"/>
  <c r="O129" i="59" s="1"/>
  <c r="L129" i="59"/>
  <c r="BE128" i="59"/>
  <c r="AU128" i="59"/>
  <c r="AP128" i="59"/>
  <c r="AO128" i="59" s="1"/>
  <c r="AK128" i="59"/>
  <c r="AH128" i="59" s="1"/>
  <c r="AF128" i="59"/>
  <c r="AC128" i="59" s="1"/>
  <c r="AA128" i="59"/>
  <c r="Y128" i="59" s="1"/>
  <c r="V128" i="59"/>
  <c r="U128" i="59" s="1"/>
  <c r="Q128" i="59"/>
  <c r="P128" i="59" s="1"/>
  <c r="L128" i="59"/>
  <c r="BE127" i="59"/>
  <c r="BC127" i="59" s="1"/>
  <c r="AZ127" i="59"/>
  <c r="AY127" i="59" s="1"/>
  <c r="AP127" i="59"/>
  <c r="AM127" i="59" s="1"/>
  <c r="AK127" i="59"/>
  <c r="AI127" i="59" s="1"/>
  <c r="AF127" i="59"/>
  <c r="AA127" i="59"/>
  <c r="Y127" i="59" s="1"/>
  <c r="V127" i="59"/>
  <c r="S127" i="59" s="1"/>
  <c r="Q127" i="59"/>
  <c r="O127" i="59" s="1"/>
  <c r="L127" i="59"/>
  <c r="BE126" i="59"/>
  <c r="BB126" i="59" s="1"/>
  <c r="AZ126" i="59"/>
  <c r="AW126" i="59" s="1"/>
  <c r="AU126" i="59"/>
  <c r="AS126" i="59" s="1"/>
  <c r="AK126" i="59"/>
  <c r="AF126" i="59"/>
  <c r="AC126" i="59" s="1"/>
  <c r="AA126" i="59"/>
  <c r="Y126" i="59" s="1"/>
  <c r="V126" i="59"/>
  <c r="U126" i="59" s="1"/>
  <c r="Q126" i="59"/>
  <c r="N126" i="59" s="1"/>
  <c r="L126" i="59"/>
  <c r="BE125" i="59"/>
  <c r="AZ125" i="59"/>
  <c r="AW125" i="59" s="1"/>
  <c r="AU125" i="59"/>
  <c r="AT125" i="59" s="1"/>
  <c r="AP125" i="59"/>
  <c r="AO125" i="59" s="1"/>
  <c r="AK125" i="59"/>
  <c r="AG125" i="59" s="1"/>
  <c r="AF125" i="59"/>
  <c r="AC125" i="59" s="1"/>
  <c r="AA125" i="59"/>
  <c r="V125" i="59"/>
  <c r="U125" i="59" s="1"/>
  <c r="Q125" i="59"/>
  <c r="P125" i="59" s="1"/>
  <c r="L125" i="59"/>
  <c r="G121" i="59"/>
  <c r="F121" i="59"/>
  <c r="E117" i="59"/>
  <c r="E116" i="59"/>
  <c r="E115" i="59"/>
  <c r="E114" i="59"/>
  <c r="E113" i="59"/>
  <c r="E112" i="59"/>
  <c r="AP112" i="59" s="1"/>
  <c r="E111" i="59"/>
  <c r="E110" i="59"/>
  <c r="E109" i="59"/>
  <c r="E108" i="59"/>
  <c r="E107" i="59"/>
  <c r="BE107" i="59" s="1"/>
  <c r="BB107" i="59" s="1"/>
  <c r="CY117" i="59"/>
  <c r="CX117" i="59"/>
  <c r="CW117" i="59"/>
  <c r="CV117" i="59"/>
  <c r="CT117" i="59"/>
  <c r="CS117" i="59"/>
  <c r="CR117" i="59"/>
  <c r="CQ117" i="59"/>
  <c r="CO117" i="59"/>
  <c r="CN117" i="59"/>
  <c r="CM117" i="59"/>
  <c r="CL117" i="59"/>
  <c r="CJ117" i="59"/>
  <c r="CI117" i="59"/>
  <c r="CH117" i="59"/>
  <c r="CG117" i="59"/>
  <c r="CE117" i="59"/>
  <c r="CD117" i="59"/>
  <c r="CC117" i="59"/>
  <c r="CB117" i="59"/>
  <c r="BZ117" i="59"/>
  <c r="BY117" i="59"/>
  <c r="BX117" i="59"/>
  <c r="BW117" i="59"/>
  <c r="BU117" i="59"/>
  <c r="BT117" i="59"/>
  <c r="BS117" i="59"/>
  <c r="BR117" i="59"/>
  <c r="BP117" i="59"/>
  <c r="BO117" i="59"/>
  <c r="BN117" i="59"/>
  <c r="BM117" i="59"/>
  <c r="BK117" i="59"/>
  <c r="BJ117" i="59"/>
  <c r="BI117" i="59"/>
  <c r="BH117" i="59"/>
  <c r="BG117" i="59"/>
  <c r="BL117" i="59" s="1"/>
  <c r="BQ117" i="59" s="1"/>
  <c r="BV117" i="59" s="1"/>
  <c r="CA117" i="59" s="1"/>
  <c r="CF117" i="59" s="1"/>
  <c r="CK117" i="59" s="1"/>
  <c r="CP117" i="59" s="1"/>
  <c r="CU117" i="59" s="1"/>
  <c r="CZ117" i="59" s="1"/>
  <c r="CY116" i="59"/>
  <c r="CX116" i="59"/>
  <c r="CW116" i="59"/>
  <c r="CV116" i="59"/>
  <c r="CT116" i="59"/>
  <c r="CS116" i="59"/>
  <c r="CR116" i="59"/>
  <c r="CQ116" i="59"/>
  <c r="CO116" i="59"/>
  <c r="CN116" i="59"/>
  <c r="CM116" i="59"/>
  <c r="CL116" i="59"/>
  <c r="CJ116" i="59"/>
  <c r="CI116" i="59"/>
  <c r="CH116" i="59"/>
  <c r="CG116" i="59"/>
  <c r="CE116" i="59"/>
  <c r="CD116" i="59"/>
  <c r="CC116" i="59"/>
  <c r="CB116" i="59"/>
  <c r="BZ116" i="59"/>
  <c r="BY116" i="59"/>
  <c r="BX116" i="59"/>
  <c r="BW116" i="59"/>
  <c r="BU116" i="59"/>
  <c r="BT116" i="59"/>
  <c r="BS116" i="59"/>
  <c r="BR116" i="59"/>
  <c r="BP116" i="59"/>
  <c r="BO116" i="59"/>
  <c r="BN116" i="59"/>
  <c r="BM116" i="59"/>
  <c r="BK116" i="59"/>
  <c r="BJ116" i="59"/>
  <c r="BI116" i="59"/>
  <c r="BH116" i="59"/>
  <c r="BG116" i="59"/>
  <c r="BL116" i="59" s="1"/>
  <c r="BQ116" i="59" s="1"/>
  <c r="BV116" i="59" s="1"/>
  <c r="CA116" i="59" s="1"/>
  <c r="CF116" i="59" s="1"/>
  <c r="CK116" i="59" s="1"/>
  <c r="CP116" i="59" s="1"/>
  <c r="CU116" i="59" s="1"/>
  <c r="CZ116" i="59" s="1"/>
  <c r="CY115" i="59"/>
  <c r="CX115" i="59"/>
  <c r="CW115" i="59"/>
  <c r="CV115" i="59"/>
  <c r="CT115" i="59"/>
  <c r="CS115" i="59"/>
  <c r="CR115" i="59"/>
  <c r="CQ115" i="59"/>
  <c r="CO115" i="59"/>
  <c r="CN115" i="59"/>
  <c r="CM115" i="59"/>
  <c r="CL115" i="59"/>
  <c r="CJ115" i="59"/>
  <c r="CI115" i="59"/>
  <c r="CH115" i="59"/>
  <c r="CG115" i="59"/>
  <c r="CE115" i="59"/>
  <c r="CD115" i="59"/>
  <c r="CC115" i="59"/>
  <c r="CB115" i="59"/>
  <c r="BZ115" i="59"/>
  <c r="BY115" i="59"/>
  <c r="BX115" i="59"/>
  <c r="BW115" i="59"/>
  <c r="BU115" i="59"/>
  <c r="BT115" i="59"/>
  <c r="BS115" i="59"/>
  <c r="BR115" i="59"/>
  <c r="BP115" i="59"/>
  <c r="BO115" i="59"/>
  <c r="BN115" i="59"/>
  <c r="BM115" i="59"/>
  <c r="BK115" i="59"/>
  <c r="BJ115" i="59"/>
  <c r="BI115" i="59"/>
  <c r="BH115" i="59"/>
  <c r="BG115" i="59"/>
  <c r="BL115" i="59" s="1"/>
  <c r="BQ115" i="59" s="1"/>
  <c r="BV115" i="59" s="1"/>
  <c r="CA115" i="59" s="1"/>
  <c r="CF115" i="59" s="1"/>
  <c r="CK115" i="59" s="1"/>
  <c r="CP115" i="59" s="1"/>
  <c r="CU115" i="59" s="1"/>
  <c r="CZ115" i="59" s="1"/>
  <c r="CY114" i="59"/>
  <c r="CX114" i="59"/>
  <c r="CW114" i="59"/>
  <c r="CV114" i="59"/>
  <c r="CT114" i="59"/>
  <c r="CS114" i="59"/>
  <c r="CR114" i="59"/>
  <c r="CQ114" i="59"/>
  <c r="CO114" i="59"/>
  <c r="CN114" i="59"/>
  <c r="CM114" i="59"/>
  <c r="CL114" i="59"/>
  <c r="CJ114" i="59"/>
  <c r="CI114" i="59"/>
  <c r="CH114" i="59"/>
  <c r="CG114" i="59"/>
  <c r="CE114" i="59"/>
  <c r="CD114" i="59"/>
  <c r="CC114" i="59"/>
  <c r="CB114" i="59"/>
  <c r="BZ114" i="59"/>
  <c r="BY114" i="59"/>
  <c r="BX114" i="59"/>
  <c r="BW114" i="59"/>
  <c r="BU114" i="59"/>
  <c r="BT114" i="59"/>
  <c r="BS114" i="59"/>
  <c r="BR114" i="59"/>
  <c r="BP114" i="59"/>
  <c r="BO114" i="59"/>
  <c r="BN114" i="59"/>
  <c r="BM114" i="59"/>
  <c r="BK114" i="59"/>
  <c r="BJ114" i="59"/>
  <c r="BI114" i="59"/>
  <c r="BH114" i="59"/>
  <c r="BG114" i="59"/>
  <c r="BL114" i="59" s="1"/>
  <c r="BQ114" i="59" s="1"/>
  <c r="BV114" i="59" s="1"/>
  <c r="CA114" i="59" s="1"/>
  <c r="CF114" i="59" s="1"/>
  <c r="CK114" i="59" s="1"/>
  <c r="CP114" i="59" s="1"/>
  <c r="CU114" i="59" s="1"/>
  <c r="CZ114" i="59" s="1"/>
  <c r="CY113" i="59"/>
  <c r="CX113" i="59"/>
  <c r="CW113" i="59"/>
  <c r="CV113" i="59"/>
  <c r="CT113" i="59"/>
  <c r="CS113" i="59"/>
  <c r="CR113" i="59"/>
  <c r="CQ113" i="59"/>
  <c r="CO113" i="59"/>
  <c r="CN113" i="59"/>
  <c r="CM113" i="59"/>
  <c r="CL113" i="59"/>
  <c r="CJ113" i="59"/>
  <c r="CI113" i="59"/>
  <c r="CH113" i="59"/>
  <c r="CG113" i="59"/>
  <c r="CE113" i="59"/>
  <c r="CD113" i="59"/>
  <c r="CC113" i="59"/>
  <c r="CB113" i="59"/>
  <c r="BZ113" i="59"/>
  <c r="BY113" i="59"/>
  <c r="BX113" i="59"/>
  <c r="BW113" i="59"/>
  <c r="BU113" i="59"/>
  <c r="BT113" i="59"/>
  <c r="BS113" i="59"/>
  <c r="BR113" i="59"/>
  <c r="BP113" i="59"/>
  <c r="BO113" i="59"/>
  <c r="BN113" i="59"/>
  <c r="BM113" i="59"/>
  <c r="BK113" i="59"/>
  <c r="BJ113" i="59"/>
  <c r="BI113" i="59"/>
  <c r="BH113" i="59"/>
  <c r="BG113" i="59"/>
  <c r="BL113" i="59" s="1"/>
  <c r="BQ113" i="59" s="1"/>
  <c r="BV113" i="59" s="1"/>
  <c r="CA113" i="59" s="1"/>
  <c r="CF113" i="59" s="1"/>
  <c r="CK113" i="59" s="1"/>
  <c r="CP113" i="59" s="1"/>
  <c r="CU113" i="59" s="1"/>
  <c r="CZ113" i="59" s="1"/>
  <c r="CY112" i="59"/>
  <c r="CX112" i="59"/>
  <c r="CW112" i="59"/>
  <c r="CV112" i="59"/>
  <c r="CT112" i="59"/>
  <c r="CS112" i="59"/>
  <c r="CR112" i="59"/>
  <c r="CQ112" i="59"/>
  <c r="CE112" i="59"/>
  <c r="CD112" i="59"/>
  <c r="CC112" i="59"/>
  <c r="CB112" i="59"/>
  <c r="BZ112" i="59"/>
  <c r="BY112" i="59"/>
  <c r="BX112" i="59"/>
  <c r="BW112" i="59"/>
  <c r="BU112" i="59"/>
  <c r="BT112" i="59"/>
  <c r="BS112" i="59"/>
  <c r="BR112" i="59"/>
  <c r="BP112" i="59"/>
  <c r="BO112" i="59"/>
  <c r="BN112" i="59"/>
  <c r="BM112" i="59"/>
  <c r="BK112" i="59"/>
  <c r="BJ112" i="59"/>
  <c r="BI112" i="59"/>
  <c r="BH112" i="59"/>
  <c r="BG112" i="59"/>
  <c r="BL112" i="59" s="1"/>
  <c r="BQ112" i="59" s="1"/>
  <c r="BV112" i="59" s="1"/>
  <c r="CA112" i="59" s="1"/>
  <c r="CF112" i="59" s="1"/>
  <c r="CY111" i="59"/>
  <c r="CX111" i="59"/>
  <c r="CW111" i="59"/>
  <c r="CV111" i="59"/>
  <c r="CT111" i="59"/>
  <c r="CS111" i="59"/>
  <c r="CR111" i="59"/>
  <c r="CQ111" i="59"/>
  <c r="CO111" i="59"/>
  <c r="CN111" i="59"/>
  <c r="CM111" i="59"/>
  <c r="CL111" i="59"/>
  <c r="CJ111" i="59"/>
  <c r="CI111" i="59"/>
  <c r="CH111" i="59"/>
  <c r="CG111" i="59"/>
  <c r="CE111" i="59"/>
  <c r="CD111" i="59"/>
  <c r="CC111" i="59"/>
  <c r="CB111" i="59"/>
  <c r="BZ111" i="59"/>
  <c r="BY111" i="59"/>
  <c r="BX111" i="59"/>
  <c r="BW111" i="59"/>
  <c r="BU111" i="59"/>
  <c r="BT111" i="59"/>
  <c r="BS111" i="59"/>
  <c r="BR111" i="59"/>
  <c r="BP111" i="59"/>
  <c r="BO111" i="59"/>
  <c r="BN111" i="59"/>
  <c r="BM111" i="59"/>
  <c r="BK111" i="59"/>
  <c r="BJ111" i="59"/>
  <c r="BI111" i="59"/>
  <c r="BH111" i="59"/>
  <c r="BG111" i="59"/>
  <c r="BL111" i="59" s="1"/>
  <c r="BQ111" i="59" s="1"/>
  <c r="BV111" i="59" s="1"/>
  <c r="CA111" i="59" s="1"/>
  <c r="CF111" i="59" s="1"/>
  <c r="CK111" i="59" s="1"/>
  <c r="CP111" i="59" s="1"/>
  <c r="CU111" i="59" s="1"/>
  <c r="CZ111" i="59" s="1"/>
  <c r="CY110" i="59"/>
  <c r="CX110" i="59"/>
  <c r="CW110" i="59"/>
  <c r="CV110" i="59"/>
  <c r="CT110" i="59"/>
  <c r="CS110" i="59"/>
  <c r="CR110" i="59"/>
  <c r="CQ110" i="59"/>
  <c r="CO110" i="59"/>
  <c r="CN110" i="59"/>
  <c r="CM110" i="59"/>
  <c r="CL110" i="59"/>
  <c r="CJ110" i="59"/>
  <c r="CI110" i="59"/>
  <c r="CH110" i="59"/>
  <c r="CG110" i="59"/>
  <c r="CE110" i="59"/>
  <c r="CD110" i="59"/>
  <c r="CC110" i="59"/>
  <c r="CB110" i="59"/>
  <c r="BZ110" i="59"/>
  <c r="BY110" i="59"/>
  <c r="BX110" i="59"/>
  <c r="BW110" i="59"/>
  <c r="BU110" i="59"/>
  <c r="BT110" i="59"/>
  <c r="BS110" i="59"/>
  <c r="BR110" i="59"/>
  <c r="BP110" i="59"/>
  <c r="BO110" i="59"/>
  <c r="BN110" i="59"/>
  <c r="BM110" i="59"/>
  <c r="BK110" i="59"/>
  <c r="BJ110" i="59"/>
  <c r="BI110" i="59"/>
  <c r="BH110" i="59"/>
  <c r="BG110" i="59"/>
  <c r="BL110" i="59" s="1"/>
  <c r="BQ110" i="59" s="1"/>
  <c r="BV110" i="59" s="1"/>
  <c r="CA110" i="59" s="1"/>
  <c r="CF110" i="59" s="1"/>
  <c r="CK110" i="59" s="1"/>
  <c r="CP110" i="59" s="1"/>
  <c r="CU110" i="59" s="1"/>
  <c r="CZ110" i="59" s="1"/>
  <c r="CY109" i="59"/>
  <c r="CX109" i="59"/>
  <c r="CW109" i="59"/>
  <c r="CV109" i="59"/>
  <c r="CT109" i="59"/>
  <c r="CS109" i="59"/>
  <c r="CR109" i="59"/>
  <c r="CQ109" i="59"/>
  <c r="CO109" i="59"/>
  <c r="CN109" i="59"/>
  <c r="CM109" i="59"/>
  <c r="CL109" i="59"/>
  <c r="CJ109" i="59"/>
  <c r="CI109" i="59"/>
  <c r="CH109" i="59"/>
  <c r="CG109" i="59"/>
  <c r="CE109" i="59"/>
  <c r="CD109" i="59"/>
  <c r="CC109" i="59"/>
  <c r="CB109" i="59"/>
  <c r="BZ109" i="59"/>
  <c r="BY109" i="59"/>
  <c r="BX109" i="59"/>
  <c r="BW109" i="59"/>
  <c r="BU109" i="59"/>
  <c r="BT109" i="59"/>
  <c r="BS109" i="59"/>
  <c r="BR109" i="59"/>
  <c r="BP109" i="59"/>
  <c r="BO109" i="59"/>
  <c r="BN109" i="59"/>
  <c r="BM109" i="59"/>
  <c r="BK109" i="59"/>
  <c r="BJ109" i="59"/>
  <c r="BI109" i="59"/>
  <c r="BH109" i="59"/>
  <c r="BG109" i="59"/>
  <c r="BL109" i="59" s="1"/>
  <c r="BQ109" i="59" s="1"/>
  <c r="BV109" i="59" s="1"/>
  <c r="CA109" i="59" s="1"/>
  <c r="CF109" i="59" s="1"/>
  <c r="CK109" i="59" s="1"/>
  <c r="CP109" i="59" s="1"/>
  <c r="CU109" i="59" s="1"/>
  <c r="CZ109" i="59" s="1"/>
  <c r="CY108" i="59"/>
  <c r="CX108" i="59"/>
  <c r="CW108" i="59"/>
  <c r="CV108" i="59"/>
  <c r="CT108" i="59"/>
  <c r="CS108" i="59"/>
  <c r="CR108" i="59"/>
  <c r="CQ108" i="59"/>
  <c r="CO108" i="59"/>
  <c r="CN108" i="59"/>
  <c r="CM108" i="59"/>
  <c r="CL108" i="59"/>
  <c r="CJ108" i="59"/>
  <c r="CI108" i="59"/>
  <c r="CH108" i="59"/>
  <c r="CG108" i="59"/>
  <c r="CE108" i="59"/>
  <c r="CD108" i="59"/>
  <c r="CC108" i="59"/>
  <c r="CB108" i="59"/>
  <c r="BZ108" i="59"/>
  <c r="BY108" i="59"/>
  <c r="BX108" i="59"/>
  <c r="BW108" i="59"/>
  <c r="BU108" i="59"/>
  <c r="BT108" i="59"/>
  <c r="BS108" i="59"/>
  <c r="BR108" i="59"/>
  <c r="BP108" i="59"/>
  <c r="BO108" i="59"/>
  <c r="BN108" i="59"/>
  <c r="BM108" i="59"/>
  <c r="BK108" i="59"/>
  <c r="BJ108" i="59"/>
  <c r="BI108" i="59"/>
  <c r="BH108" i="59"/>
  <c r="BG108" i="59"/>
  <c r="BL108" i="59" s="1"/>
  <c r="BQ108" i="59" s="1"/>
  <c r="BV108" i="59" s="1"/>
  <c r="CA108" i="59" s="1"/>
  <c r="CF108" i="59" s="1"/>
  <c r="CK108" i="59" s="1"/>
  <c r="CP108" i="59" s="1"/>
  <c r="CU108" i="59" s="1"/>
  <c r="CZ108" i="59" s="1"/>
  <c r="CT107" i="59"/>
  <c r="CS107" i="59"/>
  <c r="CR107" i="59"/>
  <c r="CQ107" i="59"/>
  <c r="CO107" i="59"/>
  <c r="CN107" i="59"/>
  <c r="CM107" i="59"/>
  <c r="CL107" i="59"/>
  <c r="CJ107" i="59"/>
  <c r="CI107" i="59"/>
  <c r="CH107" i="59"/>
  <c r="CG107" i="59"/>
  <c r="CE107" i="59"/>
  <c r="CD107" i="59"/>
  <c r="CC107" i="59"/>
  <c r="CB107" i="59"/>
  <c r="BZ107" i="59"/>
  <c r="BY107" i="59"/>
  <c r="BX107" i="59"/>
  <c r="BW107" i="59"/>
  <c r="BU107" i="59"/>
  <c r="BT107" i="59"/>
  <c r="BS107" i="59"/>
  <c r="BR107" i="59"/>
  <c r="BP107" i="59"/>
  <c r="BO107" i="59"/>
  <c r="BN107" i="59"/>
  <c r="BM107" i="59"/>
  <c r="BK107" i="59"/>
  <c r="BJ107" i="59"/>
  <c r="BI107" i="59"/>
  <c r="BH107" i="59"/>
  <c r="BG107" i="59"/>
  <c r="BE117" i="59"/>
  <c r="BD117" i="59" s="1"/>
  <c r="AZ117" i="59"/>
  <c r="AX117" i="59" s="1"/>
  <c r="AU117" i="59"/>
  <c r="AT117" i="59" s="1"/>
  <c r="AP117" i="59"/>
  <c r="AM117" i="59" s="1"/>
  <c r="AK117" i="59"/>
  <c r="AH117" i="59" s="1"/>
  <c r="AF117" i="59"/>
  <c r="AD117" i="59" s="1"/>
  <c r="AA117" i="59"/>
  <c r="X117" i="59" s="1"/>
  <c r="V117" i="59"/>
  <c r="S117" i="59" s="1"/>
  <c r="Q117" i="59"/>
  <c r="L117" i="59"/>
  <c r="BE116" i="59"/>
  <c r="AZ116" i="59"/>
  <c r="AU116" i="59"/>
  <c r="AQ116" i="59" s="1"/>
  <c r="AP116" i="59"/>
  <c r="AK116" i="59"/>
  <c r="AJ116" i="59" s="1"/>
  <c r="AF116" i="59"/>
  <c r="AD116" i="59" s="1"/>
  <c r="AA116" i="59"/>
  <c r="X116" i="59" s="1"/>
  <c r="V116" i="59"/>
  <c r="T116" i="59" s="1"/>
  <c r="Q116" i="59"/>
  <c r="L116" i="59"/>
  <c r="BE115" i="59"/>
  <c r="BD115" i="59" s="1"/>
  <c r="AZ115" i="59"/>
  <c r="AW115" i="59" s="1"/>
  <c r="AU115" i="59"/>
  <c r="AR115" i="59" s="1"/>
  <c r="AP115" i="59"/>
  <c r="AN115" i="59" s="1"/>
  <c r="AK115" i="59"/>
  <c r="AF115" i="59"/>
  <c r="AC115" i="59" s="1"/>
  <c r="AA115" i="59"/>
  <c r="Z115" i="59" s="1"/>
  <c r="V115" i="59"/>
  <c r="T115" i="59" s="1"/>
  <c r="Q115" i="59"/>
  <c r="P115" i="59" s="1"/>
  <c r="L115" i="59"/>
  <c r="BE114" i="59"/>
  <c r="BB114" i="59" s="1"/>
  <c r="AZ114" i="59"/>
  <c r="AX114" i="59" s="1"/>
  <c r="AU114" i="59"/>
  <c r="AP114" i="59"/>
  <c r="AM114" i="59" s="1"/>
  <c r="AK114" i="59"/>
  <c r="AJ114" i="59" s="1"/>
  <c r="AF114" i="59"/>
  <c r="AD114" i="59" s="1"/>
  <c r="AA114" i="59"/>
  <c r="Z114" i="59" s="1"/>
  <c r="V114" i="59"/>
  <c r="Q114" i="59"/>
  <c r="N114" i="59" s="1"/>
  <c r="L114" i="59"/>
  <c r="BE113" i="59"/>
  <c r="BD113" i="59" s="1"/>
  <c r="AZ113" i="59"/>
  <c r="AW113" i="59" s="1"/>
  <c r="AU113" i="59"/>
  <c r="AR113" i="59" s="1"/>
  <c r="AP113" i="59"/>
  <c r="AN113" i="59" s="1"/>
  <c r="AK113" i="59"/>
  <c r="AF113" i="59"/>
  <c r="AD113" i="59" s="1"/>
  <c r="AA113" i="59"/>
  <c r="Y113" i="59" s="1"/>
  <c r="V113" i="59"/>
  <c r="Q113" i="59"/>
  <c r="P113" i="59" s="1"/>
  <c r="L113" i="59"/>
  <c r="BE112" i="59"/>
  <c r="BD112" i="59" s="1"/>
  <c r="AZ112" i="59"/>
  <c r="AX112" i="59" s="1"/>
  <c r="AU112" i="59"/>
  <c r="AK112" i="59"/>
  <c r="AI112" i="59" s="1"/>
  <c r="AF112" i="59"/>
  <c r="AA112" i="59"/>
  <c r="W112" i="59" s="1"/>
  <c r="V112" i="59"/>
  <c r="U112" i="59" s="1"/>
  <c r="Q112" i="59"/>
  <c r="L112" i="59"/>
  <c r="BE111" i="59"/>
  <c r="BB111" i="59" s="1"/>
  <c r="AZ111" i="59"/>
  <c r="AW111" i="59" s="1"/>
  <c r="AU111" i="59"/>
  <c r="AP111" i="59"/>
  <c r="AN111" i="59" s="1"/>
  <c r="AK111" i="59"/>
  <c r="AJ111" i="59" s="1"/>
  <c r="AF111" i="59"/>
  <c r="AE111" i="59" s="1"/>
  <c r="AA111" i="59"/>
  <c r="X111" i="59" s="1"/>
  <c r="V111" i="59"/>
  <c r="T111" i="59" s="1"/>
  <c r="Q111" i="59"/>
  <c r="N111" i="59" s="1"/>
  <c r="L111" i="59"/>
  <c r="BE110" i="59"/>
  <c r="BD110" i="59" s="1"/>
  <c r="AZ110" i="59"/>
  <c r="AX110" i="59" s="1"/>
  <c r="AU110" i="59"/>
  <c r="AT110" i="59" s="1"/>
  <c r="AP110" i="59"/>
  <c r="AO110" i="59" s="1"/>
  <c r="AK110" i="59"/>
  <c r="AH110" i="59" s="1"/>
  <c r="AF110" i="59"/>
  <c r="AA110" i="59"/>
  <c r="X110" i="59" s="1"/>
  <c r="V110" i="59"/>
  <c r="S110" i="59" s="1"/>
  <c r="Q110" i="59"/>
  <c r="P110" i="59" s="1"/>
  <c r="L110" i="59"/>
  <c r="BE109" i="59"/>
  <c r="BA109" i="59" s="1"/>
  <c r="AZ109" i="59"/>
  <c r="AX109" i="59" s="1"/>
  <c r="AU109" i="59"/>
  <c r="AS109" i="59" s="1"/>
  <c r="AP109" i="59"/>
  <c r="AL109" i="59" s="1"/>
  <c r="AK109" i="59"/>
  <c r="AF109" i="59"/>
  <c r="AE109" i="59" s="1"/>
  <c r="AA109" i="59"/>
  <c r="X109" i="59" s="1"/>
  <c r="V109" i="59"/>
  <c r="R109" i="59" s="1"/>
  <c r="Q109" i="59"/>
  <c r="L109" i="59"/>
  <c r="BE108" i="59"/>
  <c r="BD108" i="59" s="1"/>
  <c r="AZ108" i="59"/>
  <c r="AV108" i="59" s="1"/>
  <c r="AU108" i="59"/>
  <c r="AQ108" i="59" s="1"/>
  <c r="AP108" i="59"/>
  <c r="AN108" i="59" s="1"/>
  <c r="AK108" i="59"/>
  <c r="AI108" i="59" s="1"/>
  <c r="AF108" i="59"/>
  <c r="AB108" i="59" s="1"/>
  <c r="AA108" i="59"/>
  <c r="Z108" i="59" s="1"/>
  <c r="V108" i="59"/>
  <c r="Q108" i="59"/>
  <c r="P108" i="59" s="1"/>
  <c r="L108" i="59"/>
  <c r="AZ107" i="59"/>
  <c r="AY107" i="59" s="1"/>
  <c r="AU107" i="59"/>
  <c r="AT107" i="59" s="1"/>
  <c r="AP107" i="59"/>
  <c r="AL107" i="59" s="1"/>
  <c r="AK107" i="59"/>
  <c r="AG107" i="59" s="1"/>
  <c r="AF107" i="59"/>
  <c r="AE107" i="59" s="1"/>
  <c r="AA107" i="59"/>
  <c r="Y107" i="59" s="1"/>
  <c r="V107" i="59"/>
  <c r="Q107" i="59"/>
  <c r="M107" i="59" s="1"/>
  <c r="L107" i="59"/>
  <c r="E97" i="59"/>
  <c r="BE97" i="59" s="1"/>
  <c r="E96" i="59"/>
  <c r="AZ96" i="59" s="1"/>
  <c r="AY96" i="59" s="1"/>
  <c r="E95" i="59"/>
  <c r="AU95" i="59" s="1"/>
  <c r="AT95" i="59" s="1"/>
  <c r="E94" i="59"/>
  <c r="CT97" i="59"/>
  <c r="CS97" i="59"/>
  <c r="CR97" i="59"/>
  <c r="CQ97" i="59"/>
  <c r="CO97" i="59"/>
  <c r="CN97" i="59"/>
  <c r="CM97" i="59"/>
  <c r="CL97" i="59"/>
  <c r="CJ97" i="59"/>
  <c r="CI97" i="59"/>
  <c r="CH97" i="59"/>
  <c r="CG97" i="59"/>
  <c r="CE97" i="59"/>
  <c r="CD97" i="59"/>
  <c r="CC97" i="59"/>
  <c r="CB97" i="59"/>
  <c r="BZ97" i="59"/>
  <c r="BY97" i="59"/>
  <c r="BX97" i="59"/>
  <c r="BW97" i="59"/>
  <c r="BU97" i="59"/>
  <c r="BT97" i="59"/>
  <c r="BS97" i="59"/>
  <c r="BR97" i="59"/>
  <c r="BP97" i="59"/>
  <c r="BO97" i="59"/>
  <c r="BN97" i="59"/>
  <c r="BM97" i="59"/>
  <c r="BK97" i="59"/>
  <c r="BJ97" i="59"/>
  <c r="BI97" i="59"/>
  <c r="BH97" i="59"/>
  <c r="BG97" i="59"/>
  <c r="BL97" i="59" s="1"/>
  <c r="BQ97" i="59" s="1"/>
  <c r="BV97" i="59" s="1"/>
  <c r="CA97" i="59" s="1"/>
  <c r="CF97" i="59" s="1"/>
  <c r="CK97" i="59" s="1"/>
  <c r="CP97" i="59" s="1"/>
  <c r="CU97" i="59" s="1"/>
  <c r="CO96" i="59"/>
  <c r="CN96" i="59"/>
  <c r="CM96" i="59"/>
  <c r="CL96" i="59"/>
  <c r="CJ96" i="59"/>
  <c r="CI96" i="59"/>
  <c r="CH96" i="59"/>
  <c r="CG96" i="59"/>
  <c r="CE96" i="59"/>
  <c r="CD96" i="59"/>
  <c r="CC96" i="59"/>
  <c r="CB96" i="59"/>
  <c r="BZ96" i="59"/>
  <c r="BY96" i="59"/>
  <c r="BX96" i="59"/>
  <c r="BW96" i="59"/>
  <c r="BU96" i="59"/>
  <c r="BT96" i="59"/>
  <c r="BS96" i="59"/>
  <c r="BR96" i="59"/>
  <c r="BP96" i="59"/>
  <c r="BO96" i="59"/>
  <c r="BN96" i="59"/>
  <c r="BM96" i="59"/>
  <c r="BK96" i="59"/>
  <c r="BJ96" i="59"/>
  <c r="BI96" i="59"/>
  <c r="BH96" i="59"/>
  <c r="BG96" i="59"/>
  <c r="BL96" i="59" s="1"/>
  <c r="BQ96" i="59" s="1"/>
  <c r="BV96" i="59" s="1"/>
  <c r="CA96" i="59" s="1"/>
  <c r="CF96" i="59" s="1"/>
  <c r="CK96" i="59" s="1"/>
  <c r="CP96" i="59" s="1"/>
  <c r="CY95" i="59"/>
  <c r="CX95" i="59"/>
  <c r="CW95" i="59"/>
  <c r="CV95" i="59"/>
  <c r="CJ95" i="59"/>
  <c r="CI95" i="59"/>
  <c r="CH95" i="59"/>
  <c r="CG95" i="59"/>
  <c r="CE95" i="59"/>
  <c r="CD95" i="59"/>
  <c r="CC95" i="59"/>
  <c r="CB95" i="59"/>
  <c r="BZ95" i="59"/>
  <c r="BY95" i="59"/>
  <c r="BX95" i="59"/>
  <c r="BW95" i="59"/>
  <c r="BU95" i="59"/>
  <c r="BT95" i="59"/>
  <c r="BS95" i="59"/>
  <c r="BR95" i="59"/>
  <c r="BP95" i="59"/>
  <c r="BO95" i="59"/>
  <c r="BN95" i="59"/>
  <c r="BM95" i="59"/>
  <c r="BK95" i="59"/>
  <c r="BJ95" i="59"/>
  <c r="BI95" i="59"/>
  <c r="BH95" i="59"/>
  <c r="BG95" i="59"/>
  <c r="BL95" i="59" s="1"/>
  <c r="BQ95" i="59" s="1"/>
  <c r="BV95" i="59" s="1"/>
  <c r="CA95" i="59" s="1"/>
  <c r="CF95" i="59" s="1"/>
  <c r="CK95" i="59" s="1"/>
  <c r="CY94" i="59"/>
  <c r="CX94" i="59"/>
  <c r="CW94" i="59"/>
  <c r="CV94" i="59"/>
  <c r="CT94" i="59"/>
  <c r="CS94" i="59"/>
  <c r="CR94" i="59"/>
  <c r="CQ94" i="59"/>
  <c r="CE94" i="59"/>
  <c r="CD94" i="59"/>
  <c r="CD99" i="59" s="1"/>
  <c r="AZ811" i="80" s="1"/>
  <c r="CC94" i="59"/>
  <c r="CB94" i="59"/>
  <c r="BZ94" i="59"/>
  <c r="BY94" i="59"/>
  <c r="BY99" i="59" s="1"/>
  <c r="BX94" i="59"/>
  <c r="BW94" i="59"/>
  <c r="BU94" i="59"/>
  <c r="BT94" i="59"/>
  <c r="BT99" i="59" s="1"/>
  <c r="BS94" i="59"/>
  <c r="BR94" i="59"/>
  <c r="BP94" i="59"/>
  <c r="BO94" i="59"/>
  <c r="BO99" i="59" s="1"/>
  <c r="BN94" i="59"/>
  <c r="BM94" i="59"/>
  <c r="BK94" i="59"/>
  <c r="BJ94" i="59"/>
  <c r="BJ99" i="59" s="1"/>
  <c r="BI94" i="59"/>
  <c r="BH94" i="59"/>
  <c r="BG94" i="59"/>
  <c r="AZ97" i="59"/>
  <c r="AV97" i="59" s="1"/>
  <c r="AU97" i="59"/>
  <c r="AQ97" i="59" s="1"/>
  <c r="AP97" i="59"/>
  <c r="AO97" i="59" s="1"/>
  <c r="AK97" i="59"/>
  <c r="AH97" i="59" s="1"/>
  <c r="AF97" i="59"/>
  <c r="AB97" i="59" s="1"/>
  <c r="AA97" i="59"/>
  <c r="Z97" i="59" s="1"/>
  <c r="V97" i="59"/>
  <c r="U97" i="59" s="1"/>
  <c r="Q97" i="59"/>
  <c r="O97" i="59" s="1"/>
  <c r="L97" i="59"/>
  <c r="BE96" i="59"/>
  <c r="BD96" i="59" s="1"/>
  <c r="AU96" i="59"/>
  <c r="AP96" i="59"/>
  <c r="AK96" i="59"/>
  <c r="AG96" i="59" s="1"/>
  <c r="AF96" i="59"/>
  <c r="AA96" i="59"/>
  <c r="W96" i="59" s="1"/>
  <c r="V96" i="59"/>
  <c r="R96" i="59" s="1"/>
  <c r="Q96" i="59"/>
  <c r="L96" i="59"/>
  <c r="BE95" i="59"/>
  <c r="BC95" i="59" s="1"/>
  <c r="AZ95" i="59"/>
  <c r="AV95" i="59" s="1"/>
  <c r="AP95" i="59"/>
  <c r="AL95" i="59" s="1"/>
  <c r="AK95" i="59"/>
  <c r="AJ95" i="59" s="1"/>
  <c r="AF95" i="59"/>
  <c r="AB95" i="59" s="1"/>
  <c r="AA95" i="59"/>
  <c r="Z95" i="59" s="1"/>
  <c r="V95" i="59"/>
  <c r="Q95" i="59"/>
  <c r="M95" i="59" s="1"/>
  <c r="L95" i="59"/>
  <c r="BE94" i="59"/>
  <c r="AZ94" i="59"/>
  <c r="AU94" i="59"/>
  <c r="AK94" i="59"/>
  <c r="AF94" i="59"/>
  <c r="AA94" i="59"/>
  <c r="V94" i="59"/>
  <c r="Q94" i="59"/>
  <c r="L94" i="59"/>
  <c r="E88" i="59"/>
  <c r="E86" i="59"/>
  <c r="AP86" i="59" s="1"/>
  <c r="E84" i="59"/>
  <c r="AU84" i="59" s="1"/>
  <c r="AQ84" i="59" s="1"/>
  <c r="E83" i="59"/>
  <c r="E82" i="59"/>
  <c r="AP82" i="59" s="1"/>
  <c r="AM82" i="59" s="1"/>
  <c r="E81" i="59"/>
  <c r="AP81" i="59" s="1"/>
  <c r="E80" i="59"/>
  <c r="AP80" i="59" s="1"/>
  <c r="AN80" i="59" s="1"/>
  <c r="E79" i="59"/>
  <c r="E78" i="59"/>
  <c r="E76" i="59"/>
  <c r="BE76" i="59" s="1"/>
  <c r="BB76" i="59" s="1"/>
  <c r="E75" i="59"/>
  <c r="E74" i="59"/>
  <c r="G77" i="59"/>
  <c r="F77" i="59"/>
  <c r="E77" i="59" s="1"/>
  <c r="BE77" i="59" s="1"/>
  <c r="CY88" i="59"/>
  <c r="CX88" i="59"/>
  <c r="CW88" i="59"/>
  <c r="CV88" i="59"/>
  <c r="CT88" i="59"/>
  <c r="CS88" i="59"/>
  <c r="CR88" i="59"/>
  <c r="CQ88" i="59"/>
  <c r="CO88" i="59"/>
  <c r="CN88" i="59"/>
  <c r="CM88" i="59"/>
  <c r="CL88" i="59"/>
  <c r="CJ88" i="59"/>
  <c r="CI88" i="59"/>
  <c r="CH88" i="59"/>
  <c r="CG88" i="59"/>
  <c r="CE88" i="59"/>
  <c r="CD88" i="59"/>
  <c r="CC88" i="59"/>
  <c r="CB88" i="59"/>
  <c r="BZ88" i="59"/>
  <c r="BY88" i="59"/>
  <c r="BX88" i="59"/>
  <c r="BW88" i="59"/>
  <c r="BU88" i="59"/>
  <c r="BT88" i="59"/>
  <c r="BS88" i="59"/>
  <c r="BR88" i="59"/>
  <c r="BP88" i="59"/>
  <c r="BO88" i="59"/>
  <c r="BN88" i="59"/>
  <c r="BM88" i="59"/>
  <c r="BK88" i="59"/>
  <c r="BJ88" i="59"/>
  <c r="BI88" i="59"/>
  <c r="BH88" i="59"/>
  <c r="BG88" i="59"/>
  <c r="BL88" i="59" s="1"/>
  <c r="BQ88" i="59" s="1"/>
  <c r="BV88" i="59" s="1"/>
  <c r="CA88" i="59" s="1"/>
  <c r="CF88" i="59" s="1"/>
  <c r="CK88" i="59" s="1"/>
  <c r="CP88" i="59" s="1"/>
  <c r="CU88" i="59" s="1"/>
  <c r="CZ88" i="59" s="1"/>
  <c r="CY87" i="59"/>
  <c r="CX87" i="59"/>
  <c r="CW87" i="59"/>
  <c r="CV87" i="59"/>
  <c r="CT87" i="59"/>
  <c r="CS87" i="59"/>
  <c r="CR87" i="59"/>
  <c r="CQ87" i="59"/>
  <c r="CO87" i="59"/>
  <c r="CN87" i="59"/>
  <c r="CM87" i="59"/>
  <c r="CL87" i="59"/>
  <c r="CJ87" i="59"/>
  <c r="CI87" i="59"/>
  <c r="CH87" i="59"/>
  <c r="CG87" i="59"/>
  <c r="CE87" i="59"/>
  <c r="CD87" i="59"/>
  <c r="CC87" i="59"/>
  <c r="CB87" i="59"/>
  <c r="BZ87" i="59"/>
  <c r="BY87" i="59"/>
  <c r="BX87" i="59"/>
  <c r="BW87" i="59"/>
  <c r="BU87" i="59"/>
  <c r="BT87" i="59"/>
  <c r="BS87" i="59"/>
  <c r="BR87" i="59"/>
  <c r="BP87" i="59"/>
  <c r="BO87" i="59"/>
  <c r="BN87" i="59"/>
  <c r="BM87" i="59"/>
  <c r="BK87" i="59"/>
  <c r="BJ87" i="59"/>
  <c r="BI87" i="59"/>
  <c r="BH87" i="59"/>
  <c r="BG87" i="59"/>
  <c r="BL87" i="59" s="1"/>
  <c r="BQ87" i="59" s="1"/>
  <c r="BV87" i="59" s="1"/>
  <c r="CA87" i="59" s="1"/>
  <c r="CF87" i="59" s="1"/>
  <c r="CK87" i="59" s="1"/>
  <c r="CP87" i="59" s="1"/>
  <c r="CU87" i="59" s="1"/>
  <c r="CZ87" i="59" s="1"/>
  <c r="CY86" i="59"/>
  <c r="CX86" i="59"/>
  <c r="CW86" i="59"/>
  <c r="CV86" i="59"/>
  <c r="CT86" i="59"/>
  <c r="CS86" i="59"/>
  <c r="CR86" i="59"/>
  <c r="CQ86" i="59"/>
  <c r="CE86" i="59"/>
  <c r="CD86" i="59"/>
  <c r="CC86" i="59"/>
  <c r="CB86" i="59"/>
  <c r="BZ86" i="59"/>
  <c r="BY86" i="59"/>
  <c r="BX86" i="59"/>
  <c r="BW86" i="59"/>
  <c r="BU86" i="59"/>
  <c r="BT86" i="59"/>
  <c r="BS86" i="59"/>
  <c r="BR86" i="59"/>
  <c r="BP86" i="59"/>
  <c r="BO86" i="59"/>
  <c r="BN86" i="59"/>
  <c r="BM86" i="59"/>
  <c r="BK86" i="59"/>
  <c r="BJ86" i="59"/>
  <c r="BI86" i="59"/>
  <c r="BH86" i="59"/>
  <c r="BG86" i="59"/>
  <c r="BL86" i="59" s="1"/>
  <c r="BQ86" i="59" s="1"/>
  <c r="BV86" i="59" s="1"/>
  <c r="CA86" i="59" s="1"/>
  <c r="CF86" i="59" s="1"/>
  <c r="CY85" i="59"/>
  <c r="CX85" i="59"/>
  <c r="CW85" i="59"/>
  <c r="CV85" i="59"/>
  <c r="CT85" i="59"/>
  <c r="CS85" i="59"/>
  <c r="CR85" i="59"/>
  <c r="CQ85" i="59"/>
  <c r="CO85" i="59"/>
  <c r="CN85" i="59"/>
  <c r="CM85" i="59"/>
  <c r="CL85" i="59"/>
  <c r="CJ85" i="59"/>
  <c r="CI85" i="59"/>
  <c r="CH85" i="59"/>
  <c r="CG85" i="59"/>
  <c r="CE85" i="59"/>
  <c r="CD85" i="59"/>
  <c r="CC85" i="59"/>
  <c r="CB85" i="59"/>
  <c r="BZ85" i="59"/>
  <c r="BY85" i="59"/>
  <c r="BX85" i="59"/>
  <c r="BW85" i="59"/>
  <c r="BU85" i="59"/>
  <c r="BT85" i="59"/>
  <c r="BS85" i="59"/>
  <c r="BR85" i="59"/>
  <c r="BP85" i="59"/>
  <c r="BO85" i="59"/>
  <c r="BN85" i="59"/>
  <c r="BM85" i="59"/>
  <c r="BK85" i="59"/>
  <c r="BJ85" i="59"/>
  <c r="BI85" i="59"/>
  <c r="BH85" i="59"/>
  <c r="BG85" i="59"/>
  <c r="BL85" i="59" s="1"/>
  <c r="BQ85" i="59" s="1"/>
  <c r="BV85" i="59" s="1"/>
  <c r="CA85" i="59" s="1"/>
  <c r="CF85" i="59" s="1"/>
  <c r="CK85" i="59" s="1"/>
  <c r="CP85" i="59" s="1"/>
  <c r="CU85" i="59" s="1"/>
  <c r="CZ85" i="59" s="1"/>
  <c r="CY84" i="59"/>
  <c r="CX84" i="59"/>
  <c r="CW84" i="59"/>
  <c r="CV84" i="59"/>
  <c r="CJ84" i="59"/>
  <c r="CI84" i="59"/>
  <c r="CH84" i="59"/>
  <c r="CG84" i="59"/>
  <c r="CE84" i="59"/>
  <c r="CD84" i="59"/>
  <c r="CC84" i="59"/>
  <c r="CB84" i="59"/>
  <c r="BZ84" i="59"/>
  <c r="BY84" i="59"/>
  <c r="BX84" i="59"/>
  <c r="BW84" i="59"/>
  <c r="BU84" i="59"/>
  <c r="BT84" i="59"/>
  <c r="BS84" i="59"/>
  <c r="BR84" i="59"/>
  <c r="BP84" i="59"/>
  <c r="BO84" i="59"/>
  <c r="BN84" i="59"/>
  <c r="BM84" i="59"/>
  <c r="BK84" i="59"/>
  <c r="BJ84" i="59"/>
  <c r="BI84" i="59"/>
  <c r="BH84" i="59"/>
  <c r="BG84" i="59"/>
  <c r="BL84" i="59" s="1"/>
  <c r="BQ84" i="59" s="1"/>
  <c r="BV84" i="59" s="1"/>
  <c r="CA84" i="59" s="1"/>
  <c r="CF84" i="59" s="1"/>
  <c r="CK84" i="59" s="1"/>
  <c r="CP84" i="59" s="1"/>
  <c r="CY83" i="59"/>
  <c r="CX83" i="59"/>
  <c r="CW83" i="59"/>
  <c r="CV83" i="59"/>
  <c r="CT83" i="59"/>
  <c r="CS83" i="59"/>
  <c r="CR83" i="59"/>
  <c r="CQ83" i="59"/>
  <c r="CO83" i="59"/>
  <c r="CN83" i="59"/>
  <c r="CM83" i="59"/>
  <c r="CL83" i="59"/>
  <c r="CJ83" i="59"/>
  <c r="CI83" i="59"/>
  <c r="CH83" i="59"/>
  <c r="CG83" i="59"/>
  <c r="CE83" i="59"/>
  <c r="CD83" i="59"/>
  <c r="CC83" i="59"/>
  <c r="CB83" i="59"/>
  <c r="BZ83" i="59"/>
  <c r="BY83" i="59"/>
  <c r="BX83" i="59"/>
  <c r="BW83" i="59"/>
  <c r="BU83" i="59"/>
  <c r="BT83" i="59"/>
  <c r="BS83" i="59"/>
  <c r="BR83" i="59"/>
  <c r="BP83" i="59"/>
  <c r="BO83" i="59"/>
  <c r="BN83" i="59"/>
  <c r="BM83" i="59"/>
  <c r="BK83" i="59"/>
  <c r="BJ83" i="59"/>
  <c r="BI83" i="59"/>
  <c r="BH83" i="59"/>
  <c r="BG83" i="59"/>
  <c r="BL83" i="59" s="1"/>
  <c r="BQ83" i="59" s="1"/>
  <c r="BV83" i="59" s="1"/>
  <c r="CA83" i="59" s="1"/>
  <c r="CF83" i="59" s="1"/>
  <c r="CK83" i="59" s="1"/>
  <c r="CP83" i="59" s="1"/>
  <c r="CU83" i="59" s="1"/>
  <c r="CZ83" i="59" s="1"/>
  <c r="CY82" i="59"/>
  <c r="CX82" i="59"/>
  <c r="CW82" i="59"/>
  <c r="CV82" i="59"/>
  <c r="CT82" i="59"/>
  <c r="CS82" i="59"/>
  <c r="CR82" i="59"/>
  <c r="CQ82" i="59"/>
  <c r="CE82" i="59"/>
  <c r="CD82" i="59"/>
  <c r="CC82" i="59"/>
  <c r="CB82" i="59"/>
  <c r="BZ82" i="59"/>
  <c r="BY82" i="59"/>
  <c r="BX82" i="59"/>
  <c r="BW82" i="59"/>
  <c r="BU82" i="59"/>
  <c r="BT82" i="59"/>
  <c r="BS82" i="59"/>
  <c r="BR82" i="59"/>
  <c r="BP82" i="59"/>
  <c r="BO82" i="59"/>
  <c r="BN82" i="59"/>
  <c r="BM82" i="59"/>
  <c r="BK82" i="59"/>
  <c r="BJ82" i="59"/>
  <c r="BI82" i="59"/>
  <c r="BH82" i="59"/>
  <c r="BG82" i="59"/>
  <c r="BL82" i="59" s="1"/>
  <c r="BQ82" i="59" s="1"/>
  <c r="BV82" i="59" s="1"/>
  <c r="CA82" i="59" s="1"/>
  <c r="CF82" i="59" s="1"/>
  <c r="CK82" i="59" s="1"/>
  <c r="CY81" i="59"/>
  <c r="CX81" i="59"/>
  <c r="CW81" i="59"/>
  <c r="CV81" i="59"/>
  <c r="CT81" i="59"/>
  <c r="CS81" i="59"/>
  <c r="CR81" i="59"/>
  <c r="CQ81" i="59"/>
  <c r="CE81" i="59"/>
  <c r="CD81" i="59"/>
  <c r="CC81" i="59"/>
  <c r="CB81" i="59"/>
  <c r="BZ81" i="59"/>
  <c r="BY81" i="59"/>
  <c r="BX81" i="59"/>
  <c r="BW81" i="59"/>
  <c r="BU81" i="59"/>
  <c r="BT81" i="59"/>
  <c r="BS81" i="59"/>
  <c r="BR81" i="59"/>
  <c r="BP81" i="59"/>
  <c r="BO81" i="59"/>
  <c r="BN81" i="59"/>
  <c r="BM81" i="59"/>
  <c r="BK81" i="59"/>
  <c r="BJ81" i="59"/>
  <c r="BI81" i="59"/>
  <c r="BH81" i="59"/>
  <c r="BG81" i="59"/>
  <c r="BL81" i="59" s="1"/>
  <c r="BQ81" i="59" s="1"/>
  <c r="BV81" i="59" s="1"/>
  <c r="CA81" i="59" s="1"/>
  <c r="CF81" i="59" s="1"/>
  <c r="CY80" i="59"/>
  <c r="CX80" i="59"/>
  <c r="CW80" i="59"/>
  <c r="CV80" i="59"/>
  <c r="CT80" i="59"/>
  <c r="CS80" i="59"/>
  <c r="CR80" i="59"/>
  <c r="CQ80" i="59"/>
  <c r="CE80" i="59"/>
  <c r="CD80" i="59"/>
  <c r="CC80" i="59"/>
  <c r="CB80" i="59"/>
  <c r="BZ80" i="59"/>
  <c r="BY80" i="59"/>
  <c r="BX80" i="59"/>
  <c r="BW80" i="59"/>
  <c r="BU80" i="59"/>
  <c r="BT80" i="59"/>
  <c r="BS80" i="59"/>
  <c r="BR80" i="59"/>
  <c r="BP80" i="59"/>
  <c r="BO80" i="59"/>
  <c r="BN80" i="59"/>
  <c r="BM80" i="59"/>
  <c r="BK80" i="59"/>
  <c r="BJ80" i="59"/>
  <c r="BI80" i="59"/>
  <c r="BH80" i="59"/>
  <c r="BG80" i="59"/>
  <c r="BL80" i="59" s="1"/>
  <c r="BQ80" i="59" s="1"/>
  <c r="BV80" i="59" s="1"/>
  <c r="CA80" i="59" s="1"/>
  <c r="CF80" i="59" s="1"/>
  <c r="CK80" i="59" s="1"/>
  <c r="CY79" i="59"/>
  <c r="CX79" i="59"/>
  <c r="CW79" i="59"/>
  <c r="CV79" i="59"/>
  <c r="CT79" i="59"/>
  <c r="CS79" i="59"/>
  <c r="CR79" i="59"/>
  <c r="CQ79" i="59"/>
  <c r="CO79" i="59"/>
  <c r="CN79" i="59"/>
  <c r="CM79" i="59"/>
  <c r="CL79" i="59"/>
  <c r="CJ79" i="59"/>
  <c r="CI79" i="59"/>
  <c r="CH79" i="59"/>
  <c r="CG79" i="59"/>
  <c r="CE79" i="59"/>
  <c r="CD79" i="59"/>
  <c r="CC79" i="59"/>
  <c r="CB79" i="59"/>
  <c r="BZ79" i="59"/>
  <c r="BY79" i="59"/>
  <c r="BX79" i="59"/>
  <c r="BW79" i="59"/>
  <c r="BU79" i="59"/>
  <c r="BT79" i="59"/>
  <c r="BS79" i="59"/>
  <c r="BR79" i="59"/>
  <c r="BP79" i="59"/>
  <c r="BO79" i="59"/>
  <c r="BN79" i="59"/>
  <c r="BM79" i="59"/>
  <c r="BK79" i="59"/>
  <c r="BJ79" i="59"/>
  <c r="BI79" i="59"/>
  <c r="BH79" i="59"/>
  <c r="BG79" i="59"/>
  <c r="BL79" i="59" s="1"/>
  <c r="BQ79" i="59" s="1"/>
  <c r="BV79" i="59" s="1"/>
  <c r="CA79" i="59" s="1"/>
  <c r="CF79" i="59" s="1"/>
  <c r="CK79" i="59" s="1"/>
  <c r="CP79" i="59" s="1"/>
  <c r="CU79" i="59" s="1"/>
  <c r="CZ79" i="59" s="1"/>
  <c r="CY78" i="59"/>
  <c r="CX78" i="59"/>
  <c r="CW78" i="59"/>
  <c r="CV78" i="59"/>
  <c r="CT78" i="59"/>
  <c r="CS78" i="59"/>
  <c r="CR78" i="59"/>
  <c r="CQ78" i="59"/>
  <c r="CO78" i="59"/>
  <c r="CN78" i="59"/>
  <c r="CM78" i="59"/>
  <c r="CL78" i="59"/>
  <c r="CJ78" i="59"/>
  <c r="CI78" i="59"/>
  <c r="CH78" i="59"/>
  <c r="CG78" i="59"/>
  <c r="CE78" i="59"/>
  <c r="CD78" i="59"/>
  <c r="CC78" i="59"/>
  <c r="CB78" i="59"/>
  <c r="BZ78" i="59"/>
  <c r="BY78" i="59"/>
  <c r="BX78" i="59"/>
  <c r="BW78" i="59"/>
  <c r="BU78" i="59"/>
  <c r="BT78" i="59"/>
  <c r="BS78" i="59"/>
  <c r="BR78" i="59"/>
  <c r="BP78" i="59"/>
  <c r="BO78" i="59"/>
  <c r="BN78" i="59"/>
  <c r="BM78" i="59"/>
  <c r="BK78" i="59"/>
  <c r="BJ78" i="59"/>
  <c r="BI78" i="59"/>
  <c r="BH78" i="59"/>
  <c r="BG78" i="59"/>
  <c r="BL78" i="59" s="1"/>
  <c r="BQ78" i="59" s="1"/>
  <c r="BV78" i="59" s="1"/>
  <c r="CA78" i="59" s="1"/>
  <c r="CF78" i="59" s="1"/>
  <c r="CK78" i="59" s="1"/>
  <c r="CP78" i="59" s="1"/>
  <c r="CU78" i="59" s="1"/>
  <c r="CZ78" i="59" s="1"/>
  <c r="CT77" i="59"/>
  <c r="CS77" i="59"/>
  <c r="CR77" i="59"/>
  <c r="CQ77" i="59"/>
  <c r="CO77" i="59"/>
  <c r="CN77" i="59"/>
  <c r="CM77" i="59"/>
  <c r="CL77" i="59"/>
  <c r="CJ77" i="59"/>
  <c r="CI77" i="59"/>
  <c r="CH77" i="59"/>
  <c r="CG77" i="59"/>
  <c r="CE77" i="59"/>
  <c r="CD77" i="59"/>
  <c r="CC77" i="59"/>
  <c r="CB77" i="59"/>
  <c r="BZ77" i="59"/>
  <c r="BY77" i="59"/>
  <c r="BX77" i="59"/>
  <c r="BW77" i="59"/>
  <c r="BU77" i="59"/>
  <c r="BT77" i="59"/>
  <c r="BS77" i="59"/>
  <c r="BR77" i="59"/>
  <c r="BP77" i="59"/>
  <c r="BO77" i="59"/>
  <c r="BN77" i="59"/>
  <c r="BM77" i="59"/>
  <c r="BK77" i="59"/>
  <c r="BJ77" i="59"/>
  <c r="BI77" i="59"/>
  <c r="BH77" i="59"/>
  <c r="BG77" i="59"/>
  <c r="BL77" i="59" s="1"/>
  <c r="BQ77" i="59" s="1"/>
  <c r="BV77" i="59" s="1"/>
  <c r="CA77" i="59" s="1"/>
  <c r="CF77" i="59" s="1"/>
  <c r="CK77" i="59" s="1"/>
  <c r="CP77" i="59" s="1"/>
  <c r="CU77" i="59" s="1"/>
  <c r="CT76" i="59"/>
  <c r="CS76" i="59"/>
  <c r="CR76" i="59"/>
  <c r="CQ76" i="59"/>
  <c r="CO76" i="59"/>
  <c r="CN76" i="59"/>
  <c r="CM76" i="59"/>
  <c r="CL76" i="59"/>
  <c r="CJ76" i="59"/>
  <c r="CI76" i="59"/>
  <c r="CH76" i="59"/>
  <c r="CG76" i="59"/>
  <c r="CE76" i="59"/>
  <c r="CD76" i="59"/>
  <c r="CC76" i="59"/>
  <c r="CB76" i="59"/>
  <c r="BZ76" i="59"/>
  <c r="BY76" i="59"/>
  <c r="BX76" i="59"/>
  <c r="BW76" i="59"/>
  <c r="BU76" i="59"/>
  <c r="BT76" i="59"/>
  <c r="BS76" i="59"/>
  <c r="BR76" i="59"/>
  <c r="BP76" i="59"/>
  <c r="BO76" i="59"/>
  <c r="BN76" i="59"/>
  <c r="BM76" i="59"/>
  <c r="BK76" i="59"/>
  <c r="BJ76" i="59"/>
  <c r="BI76" i="59"/>
  <c r="BH76" i="59"/>
  <c r="BG76" i="59"/>
  <c r="BL76" i="59" s="1"/>
  <c r="BQ76" i="59" s="1"/>
  <c r="BV76" i="59" s="1"/>
  <c r="CA76" i="59" s="1"/>
  <c r="CF76" i="59" s="1"/>
  <c r="CK76" i="59" s="1"/>
  <c r="CP76" i="59" s="1"/>
  <c r="CU76" i="59" s="1"/>
  <c r="CY75" i="59"/>
  <c r="CX75" i="59"/>
  <c r="CW75" i="59"/>
  <c r="CV75" i="59"/>
  <c r="CT75" i="59"/>
  <c r="CS75" i="59"/>
  <c r="CR75" i="59"/>
  <c r="CQ75" i="59"/>
  <c r="CO75" i="59"/>
  <c r="CN75" i="59"/>
  <c r="CM75" i="59"/>
  <c r="CL75" i="59"/>
  <c r="CJ75" i="59"/>
  <c r="CI75" i="59"/>
  <c r="CH75" i="59"/>
  <c r="CG75" i="59"/>
  <c r="CE75" i="59"/>
  <c r="CD75" i="59"/>
  <c r="CC75" i="59"/>
  <c r="CB75" i="59"/>
  <c r="BZ75" i="59"/>
  <c r="BY75" i="59"/>
  <c r="BX75" i="59"/>
  <c r="BW75" i="59"/>
  <c r="BU75" i="59"/>
  <c r="BT75" i="59"/>
  <c r="BS75" i="59"/>
  <c r="BR75" i="59"/>
  <c r="BP75" i="59"/>
  <c r="BO75" i="59"/>
  <c r="BN75" i="59"/>
  <c r="BM75" i="59"/>
  <c r="BK75" i="59"/>
  <c r="BJ75" i="59"/>
  <c r="BI75" i="59"/>
  <c r="BH75" i="59"/>
  <c r="BG75" i="59"/>
  <c r="BL75" i="59" s="1"/>
  <c r="BQ75" i="59" s="1"/>
  <c r="BV75" i="59" s="1"/>
  <c r="CA75" i="59" s="1"/>
  <c r="CF75" i="59" s="1"/>
  <c r="CK75" i="59" s="1"/>
  <c r="CP75" i="59" s="1"/>
  <c r="CU75" i="59" s="1"/>
  <c r="CZ75" i="59" s="1"/>
  <c r="CY74" i="59"/>
  <c r="CX74" i="59"/>
  <c r="CW74" i="59"/>
  <c r="CV74" i="59"/>
  <c r="CT74" i="59"/>
  <c r="CS74" i="59"/>
  <c r="CR74" i="59"/>
  <c r="CQ74" i="59"/>
  <c r="CO74" i="59"/>
  <c r="CN74" i="59"/>
  <c r="CM74" i="59"/>
  <c r="CL74" i="59"/>
  <c r="CJ74" i="59"/>
  <c r="CI74" i="59"/>
  <c r="CH74" i="59"/>
  <c r="CG74" i="59"/>
  <c r="CE74" i="59"/>
  <c r="CD74" i="59"/>
  <c r="CC74" i="59"/>
  <c r="CB74" i="59"/>
  <c r="BZ74" i="59"/>
  <c r="BY74" i="59"/>
  <c r="BX74" i="59"/>
  <c r="BW74" i="59"/>
  <c r="BU74" i="59"/>
  <c r="BT74" i="59"/>
  <c r="BS74" i="59"/>
  <c r="BR74" i="59"/>
  <c r="BP74" i="59"/>
  <c r="BO74" i="59"/>
  <c r="BN74" i="59"/>
  <c r="BM74" i="59"/>
  <c r="BK74" i="59"/>
  <c r="BJ74" i="59"/>
  <c r="BI74" i="59"/>
  <c r="BH74" i="59"/>
  <c r="BG74" i="59"/>
  <c r="BL74" i="59" s="1"/>
  <c r="BQ74" i="59" s="1"/>
  <c r="BV74" i="59" s="1"/>
  <c r="CA74" i="59" s="1"/>
  <c r="CF74" i="59" s="1"/>
  <c r="CK74" i="59" s="1"/>
  <c r="CP74" i="59" s="1"/>
  <c r="CU74" i="59" s="1"/>
  <c r="CZ74" i="59" s="1"/>
  <c r="BE88" i="59"/>
  <c r="BB88" i="59" s="1"/>
  <c r="AZ88" i="59"/>
  <c r="AY88" i="59" s="1"/>
  <c r="AU88" i="59"/>
  <c r="AQ88" i="59" s="1"/>
  <c r="AP88" i="59"/>
  <c r="AL88" i="59" s="1"/>
  <c r="AK88" i="59"/>
  <c r="AH88" i="59" s="1"/>
  <c r="AF88" i="59"/>
  <c r="AE88" i="59" s="1"/>
  <c r="AA88" i="59"/>
  <c r="W88" i="59" s="1"/>
  <c r="V88" i="59"/>
  <c r="Q88" i="59"/>
  <c r="N88" i="59" s="1"/>
  <c r="L88" i="59"/>
  <c r="BE87" i="59"/>
  <c r="BA87" i="59" s="1"/>
  <c r="AZ87" i="59"/>
  <c r="AW87" i="59" s="1"/>
  <c r="AU87" i="59"/>
  <c r="AR87" i="59" s="1"/>
  <c r="AP87" i="59"/>
  <c r="AO87" i="59" s="1"/>
  <c r="AK87" i="59"/>
  <c r="AG87" i="59" s="1"/>
  <c r="AF87" i="59"/>
  <c r="AD87" i="59" s="1"/>
  <c r="AA87" i="59"/>
  <c r="X87" i="59" s="1"/>
  <c r="V87" i="59"/>
  <c r="S87" i="59" s="1"/>
  <c r="Q87" i="59"/>
  <c r="M87" i="59" s="1"/>
  <c r="L87" i="59"/>
  <c r="BE86" i="59"/>
  <c r="BB86" i="59" s="1"/>
  <c r="AZ86" i="59"/>
  <c r="AY86" i="59" s="1"/>
  <c r="AU86" i="59"/>
  <c r="AK86" i="59"/>
  <c r="AH86" i="59" s="1"/>
  <c r="AF86" i="59"/>
  <c r="AC86" i="59" s="1"/>
  <c r="AA86" i="59"/>
  <c r="W86" i="59" s="1"/>
  <c r="V86" i="59"/>
  <c r="T86" i="59" s="1"/>
  <c r="Q86" i="59"/>
  <c r="N86" i="59" s="1"/>
  <c r="L86" i="59"/>
  <c r="BE85" i="59"/>
  <c r="AZ85" i="59"/>
  <c r="AX85" i="59" s="1"/>
  <c r="AU85" i="59"/>
  <c r="AR85" i="59" s="1"/>
  <c r="AP85" i="59"/>
  <c r="AO85" i="59" s="1"/>
  <c r="AK85" i="59"/>
  <c r="AG85" i="59" s="1"/>
  <c r="AF85" i="59"/>
  <c r="AD85" i="59" s="1"/>
  <c r="AA85" i="59"/>
  <c r="X85" i="59" s="1"/>
  <c r="V85" i="59"/>
  <c r="U85" i="59" s="1"/>
  <c r="Q85" i="59"/>
  <c r="L85" i="59"/>
  <c r="BE84" i="59"/>
  <c r="BB84" i="59" s="1"/>
  <c r="AZ84" i="59"/>
  <c r="AX84" i="59" s="1"/>
  <c r="AP84" i="59"/>
  <c r="AN84" i="59" s="1"/>
  <c r="AK84" i="59"/>
  <c r="AH84" i="59" s="1"/>
  <c r="AF84" i="59"/>
  <c r="AE84" i="59" s="1"/>
  <c r="AA84" i="59"/>
  <c r="W84" i="59" s="1"/>
  <c r="V84" i="59"/>
  <c r="T84" i="59" s="1"/>
  <c r="Q84" i="59"/>
  <c r="N84" i="59" s="1"/>
  <c r="L84" i="59"/>
  <c r="BE83" i="59"/>
  <c r="BA83" i="59" s="1"/>
  <c r="AZ83" i="59"/>
  <c r="AW83" i="59" s="1"/>
  <c r="AU83" i="59"/>
  <c r="AQ83" i="59" s="1"/>
  <c r="AP83" i="59"/>
  <c r="AO83" i="59" s="1"/>
  <c r="AK83" i="59"/>
  <c r="AG83" i="59" s="1"/>
  <c r="AF83" i="59"/>
  <c r="AD83" i="59" s="1"/>
  <c r="AA83" i="59"/>
  <c r="X83" i="59" s="1"/>
  <c r="V83" i="59"/>
  <c r="T83" i="59" s="1"/>
  <c r="Q83" i="59"/>
  <c r="M83" i="59" s="1"/>
  <c r="L83" i="59"/>
  <c r="BE82" i="59"/>
  <c r="BB82" i="59" s="1"/>
  <c r="AZ82" i="59"/>
  <c r="AX82" i="59" s="1"/>
  <c r="AU82" i="59"/>
  <c r="AQ82" i="59" s="1"/>
  <c r="AK82" i="59"/>
  <c r="AH82" i="59" s="1"/>
  <c r="AF82" i="59"/>
  <c r="AE82" i="59" s="1"/>
  <c r="AA82" i="59"/>
  <c r="W82" i="59" s="1"/>
  <c r="V82" i="59"/>
  <c r="T82" i="59" s="1"/>
  <c r="Q82" i="59"/>
  <c r="N82" i="59" s="1"/>
  <c r="L82" i="59"/>
  <c r="BE81" i="59"/>
  <c r="BA81" i="59" s="1"/>
  <c r="AZ81" i="59"/>
  <c r="AX81" i="59" s="1"/>
  <c r="AU81" i="59"/>
  <c r="AR81" i="59" s="1"/>
  <c r="AK81" i="59"/>
  <c r="AG81" i="59" s="1"/>
  <c r="AF81" i="59"/>
  <c r="AD81" i="59" s="1"/>
  <c r="AA81" i="59"/>
  <c r="X81" i="59" s="1"/>
  <c r="V81" i="59"/>
  <c r="U81" i="59" s="1"/>
  <c r="Q81" i="59"/>
  <c r="M81" i="59" s="1"/>
  <c r="L81" i="59"/>
  <c r="BE80" i="59"/>
  <c r="BB80" i="59" s="1"/>
  <c r="AZ80" i="59"/>
  <c r="AY80" i="59" s="1"/>
  <c r="AU80" i="59"/>
  <c r="AQ80" i="59" s="1"/>
  <c r="AK80" i="59"/>
  <c r="AH80" i="59" s="1"/>
  <c r="AF80" i="59"/>
  <c r="AE80" i="59" s="1"/>
  <c r="AA80" i="59"/>
  <c r="V80" i="59"/>
  <c r="T80" i="59" s="1"/>
  <c r="Q80" i="59"/>
  <c r="N80" i="59" s="1"/>
  <c r="L80" i="59"/>
  <c r="BE79" i="59"/>
  <c r="BA79" i="59" s="1"/>
  <c r="AZ79" i="59"/>
  <c r="AX79" i="59" s="1"/>
  <c r="AU79" i="59"/>
  <c r="AR79" i="59" s="1"/>
  <c r="AP79" i="59"/>
  <c r="AO79" i="59" s="1"/>
  <c r="AK79" i="59"/>
  <c r="AF79" i="59"/>
  <c r="AD79" i="59" s="1"/>
  <c r="AA79" i="59"/>
  <c r="X79" i="59" s="1"/>
  <c r="V79" i="59"/>
  <c r="U79" i="59" s="1"/>
  <c r="Q79" i="59"/>
  <c r="M79" i="59" s="1"/>
  <c r="L79" i="59"/>
  <c r="BE78" i="59"/>
  <c r="BB78" i="59" s="1"/>
  <c r="AZ78" i="59"/>
  <c r="AX78" i="59" s="1"/>
  <c r="AU78" i="59"/>
  <c r="AQ78" i="59" s="1"/>
  <c r="AP78" i="59"/>
  <c r="AN78" i="59" s="1"/>
  <c r="AK78" i="59"/>
  <c r="AH78" i="59" s="1"/>
  <c r="AF78" i="59"/>
  <c r="AE78" i="59" s="1"/>
  <c r="AA78" i="59"/>
  <c r="W78" i="59" s="1"/>
  <c r="V78" i="59"/>
  <c r="T78" i="59" s="1"/>
  <c r="Q78" i="59"/>
  <c r="N78" i="59" s="1"/>
  <c r="L78" i="59"/>
  <c r="AZ77" i="59"/>
  <c r="AX77" i="59" s="1"/>
  <c r="AU77" i="59"/>
  <c r="AR77" i="59" s="1"/>
  <c r="AP77" i="59"/>
  <c r="AN77" i="59" s="1"/>
  <c r="AK77" i="59"/>
  <c r="AG77" i="59" s="1"/>
  <c r="AF77" i="59"/>
  <c r="AC77" i="59" s="1"/>
  <c r="AA77" i="59"/>
  <c r="X77" i="59" s="1"/>
  <c r="V77" i="59"/>
  <c r="T77" i="59" s="1"/>
  <c r="Q77" i="59"/>
  <c r="M77" i="59" s="1"/>
  <c r="L77" i="59"/>
  <c r="AZ76" i="59"/>
  <c r="AX76" i="59" s="1"/>
  <c r="AU76" i="59"/>
  <c r="AQ76" i="59" s="1"/>
  <c r="AP76" i="59"/>
  <c r="AO76" i="59" s="1"/>
  <c r="AK76" i="59"/>
  <c r="AH76" i="59" s="1"/>
  <c r="AF76" i="59"/>
  <c r="AD76" i="59" s="1"/>
  <c r="AA76" i="59"/>
  <c r="W76" i="59" s="1"/>
  <c r="V76" i="59"/>
  <c r="U76" i="59" s="1"/>
  <c r="Q76" i="59"/>
  <c r="N76" i="59" s="1"/>
  <c r="L76" i="59"/>
  <c r="BE75" i="59"/>
  <c r="AZ75" i="59"/>
  <c r="AU75" i="59"/>
  <c r="AR75" i="59" s="1"/>
  <c r="AP75" i="59"/>
  <c r="AN75" i="59" s="1"/>
  <c r="AK75" i="59"/>
  <c r="AG75" i="59" s="1"/>
  <c r="AF75" i="59"/>
  <c r="AD75" i="59" s="1"/>
  <c r="AA75" i="59"/>
  <c r="X75" i="59" s="1"/>
  <c r="V75" i="59"/>
  <c r="T75" i="59" s="1"/>
  <c r="Q75" i="59"/>
  <c r="L75" i="59"/>
  <c r="BE74" i="59"/>
  <c r="BB74" i="59" s="1"/>
  <c r="AZ74" i="59"/>
  <c r="AX74" i="59" s="1"/>
  <c r="AU74" i="59"/>
  <c r="AQ74" i="59" s="1"/>
  <c r="AP74" i="59"/>
  <c r="AO74" i="59" s="1"/>
  <c r="AK74" i="59"/>
  <c r="AH74" i="59" s="1"/>
  <c r="AF74" i="59"/>
  <c r="AD74" i="59" s="1"/>
  <c r="AA74" i="59"/>
  <c r="V74" i="59"/>
  <c r="S74" i="59" s="1"/>
  <c r="Q74" i="59"/>
  <c r="N74" i="59" s="1"/>
  <c r="L74" i="59"/>
  <c r="E73" i="59"/>
  <c r="G71" i="59"/>
  <c r="G70" i="59" s="1"/>
  <c r="E69" i="59"/>
  <c r="AK69" i="59" s="1"/>
  <c r="AG69" i="59" s="1"/>
  <c r="E67" i="59"/>
  <c r="AF67" i="59" s="1"/>
  <c r="AC67" i="59" s="1"/>
  <c r="E66" i="59"/>
  <c r="E64" i="59"/>
  <c r="E63" i="59"/>
  <c r="E62" i="59"/>
  <c r="I68" i="59"/>
  <c r="G68" i="59"/>
  <c r="F68" i="59"/>
  <c r="E68" i="59" s="1"/>
  <c r="I65" i="59"/>
  <c r="G65" i="59"/>
  <c r="F65" i="59"/>
  <c r="E65" i="59" s="1"/>
  <c r="CY72" i="59"/>
  <c r="CX72" i="59"/>
  <c r="CW72" i="59"/>
  <c r="CV72" i="59"/>
  <c r="CT72" i="59"/>
  <c r="CS72" i="59"/>
  <c r="CR72" i="59"/>
  <c r="CQ72" i="59"/>
  <c r="CO72" i="59"/>
  <c r="CN72" i="59"/>
  <c r="CM72" i="59"/>
  <c r="CL72" i="59"/>
  <c r="CJ72" i="59"/>
  <c r="CI72" i="59"/>
  <c r="CH72" i="59"/>
  <c r="CG72" i="59"/>
  <c r="CE72" i="59"/>
  <c r="CD72" i="59"/>
  <c r="CC72" i="59"/>
  <c r="CB72" i="59"/>
  <c r="BZ72" i="59"/>
  <c r="BY72" i="59"/>
  <c r="BX72" i="59"/>
  <c r="BW72" i="59"/>
  <c r="BU72" i="59"/>
  <c r="BT72" i="59"/>
  <c r="BS72" i="59"/>
  <c r="BR72" i="59"/>
  <c r="BP72" i="59"/>
  <c r="BO72" i="59"/>
  <c r="BN72" i="59"/>
  <c r="BM72" i="59"/>
  <c r="BK72" i="59"/>
  <c r="BJ72" i="59"/>
  <c r="BI72" i="59"/>
  <c r="BH72" i="59"/>
  <c r="BG72" i="59"/>
  <c r="BL72" i="59" s="1"/>
  <c r="BQ72" i="59" s="1"/>
  <c r="BV72" i="59" s="1"/>
  <c r="CA72" i="59" s="1"/>
  <c r="CF72" i="59" s="1"/>
  <c r="CK72" i="59" s="1"/>
  <c r="CP72" i="59" s="1"/>
  <c r="CU72" i="59" s="1"/>
  <c r="CZ72" i="59" s="1"/>
  <c r="CY71" i="59"/>
  <c r="CX71" i="59"/>
  <c r="CW71" i="59"/>
  <c r="CV71" i="59"/>
  <c r="CT71" i="59"/>
  <c r="CS71" i="59"/>
  <c r="CR71" i="59"/>
  <c r="CQ71" i="59"/>
  <c r="CO71" i="59"/>
  <c r="CN71" i="59"/>
  <c r="CM71" i="59"/>
  <c r="CL71" i="59"/>
  <c r="BZ71" i="59"/>
  <c r="BY71" i="59"/>
  <c r="BX71" i="59"/>
  <c r="BW71" i="59"/>
  <c r="BU71" i="59"/>
  <c r="BT71" i="59"/>
  <c r="BS71" i="59"/>
  <c r="BR71" i="59"/>
  <c r="BP71" i="59"/>
  <c r="BO71" i="59"/>
  <c r="BN71" i="59"/>
  <c r="BM71" i="59"/>
  <c r="BK71" i="59"/>
  <c r="BJ71" i="59"/>
  <c r="BI71" i="59"/>
  <c r="BH71" i="59"/>
  <c r="BG71" i="59"/>
  <c r="BL71" i="59" s="1"/>
  <c r="BQ71" i="59" s="1"/>
  <c r="BV71" i="59" s="1"/>
  <c r="CA71" i="59" s="1"/>
  <c r="CY70" i="59"/>
  <c r="CX70" i="59"/>
  <c r="CW70" i="59"/>
  <c r="CV70" i="59"/>
  <c r="CT70" i="59"/>
  <c r="CS70" i="59"/>
  <c r="CR70" i="59"/>
  <c r="CQ70" i="59"/>
  <c r="CO70" i="59"/>
  <c r="CN70" i="59"/>
  <c r="CM70" i="59"/>
  <c r="CL70" i="59"/>
  <c r="BZ70" i="59"/>
  <c r="BY70" i="59"/>
  <c r="BX70" i="59"/>
  <c r="BW70" i="59"/>
  <c r="BU70" i="59"/>
  <c r="BT70" i="59"/>
  <c r="BS70" i="59"/>
  <c r="BR70" i="59"/>
  <c r="BP70" i="59"/>
  <c r="BO70" i="59"/>
  <c r="BN70" i="59"/>
  <c r="BM70" i="59"/>
  <c r="BK70" i="59"/>
  <c r="BJ70" i="59"/>
  <c r="BI70" i="59"/>
  <c r="BH70" i="59"/>
  <c r="BG70" i="59"/>
  <c r="BL70" i="59" s="1"/>
  <c r="BQ70" i="59" s="1"/>
  <c r="BV70" i="59" s="1"/>
  <c r="CA70" i="59" s="1"/>
  <c r="CY69" i="59"/>
  <c r="CX69" i="59"/>
  <c r="CW69" i="59"/>
  <c r="CV69" i="59"/>
  <c r="CT69" i="59"/>
  <c r="CS69" i="59"/>
  <c r="CR69" i="59"/>
  <c r="CQ69" i="59"/>
  <c r="CO69" i="59"/>
  <c r="CN69" i="59"/>
  <c r="CM69" i="59"/>
  <c r="CL69" i="59"/>
  <c r="BZ69" i="59"/>
  <c r="BY69" i="59"/>
  <c r="BX69" i="59"/>
  <c r="BW69" i="59"/>
  <c r="BU69" i="59"/>
  <c r="BT69" i="59"/>
  <c r="BS69" i="59"/>
  <c r="BR69" i="59"/>
  <c r="BP69" i="59"/>
  <c r="BO69" i="59"/>
  <c r="BN69" i="59"/>
  <c r="BM69" i="59"/>
  <c r="BK69" i="59"/>
  <c r="BJ69" i="59"/>
  <c r="BI69" i="59"/>
  <c r="BH69" i="59"/>
  <c r="BG69" i="59"/>
  <c r="BL69" i="59" s="1"/>
  <c r="BQ69" i="59" s="1"/>
  <c r="BV69" i="59" s="1"/>
  <c r="CA69" i="59" s="1"/>
  <c r="CY68" i="59"/>
  <c r="CX68" i="59"/>
  <c r="CW68" i="59"/>
  <c r="CV68" i="59"/>
  <c r="CT68" i="59"/>
  <c r="CS68" i="59"/>
  <c r="CR68" i="59"/>
  <c r="CQ68" i="59"/>
  <c r="CO68" i="59"/>
  <c r="CN68" i="59"/>
  <c r="CM68" i="59"/>
  <c r="CL68" i="59"/>
  <c r="CJ68" i="59"/>
  <c r="CI68" i="59"/>
  <c r="CH68" i="59"/>
  <c r="CG68" i="59"/>
  <c r="CE68" i="59"/>
  <c r="CD68" i="59"/>
  <c r="CC68" i="59"/>
  <c r="CB68" i="59"/>
  <c r="BZ68" i="59"/>
  <c r="BY68" i="59"/>
  <c r="BX68" i="59"/>
  <c r="BW68" i="59"/>
  <c r="BU68" i="59"/>
  <c r="BT68" i="59"/>
  <c r="BS68" i="59"/>
  <c r="BR68" i="59"/>
  <c r="BP68" i="59"/>
  <c r="BO68" i="59"/>
  <c r="BN68" i="59"/>
  <c r="BM68" i="59"/>
  <c r="BK68" i="59"/>
  <c r="BJ68" i="59"/>
  <c r="BI68" i="59"/>
  <c r="BH68" i="59"/>
  <c r="BG68" i="59"/>
  <c r="BL68" i="59" s="1"/>
  <c r="BQ68" i="59" s="1"/>
  <c r="BV68" i="59" s="1"/>
  <c r="CA68" i="59" s="1"/>
  <c r="CF68" i="59" s="1"/>
  <c r="CK68" i="59" s="1"/>
  <c r="CP68" i="59" s="1"/>
  <c r="CU68" i="59" s="1"/>
  <c r="CZ68" i="59" s="1"/>
  <c r="CY67" i="59"/>
  <c r="CX67" i="59"/>
  <c r="CW67" i="59"/>
  <c r="CV67" i="59"/>
  <c r="CT67" i="59"/>
  <c r="CS67" i="59"/>
  <c r="CR67" i="59"/>
  <c r="CQ67" i="59"/>
  <c r="CB67" i="59"/>
  <c r="BX67" i="59"/>
  <c r="BU67" i="59"/>
  <c r="BT67" i="59"/>
  <c r="BS67" i="59"/>
  <c r="BR67" i="59"/>
  <c r="BP67" i="59"/>
  <c r="BO67" i="59"/>
  <c r="BN67" i="59"/>
  <c r="BM67" i="59"/>
  <c r="BK67" i="59"/>
  <c r="BJ67" i="59"/>
  <c r="BI67" i="59"/>
  <c r="BH67" i="59"/>
  <c r="BG67" i="59"/>
  <c r="BL67" i="59" s="1"/>
  <c r="BQ67" i="59" s="1"/>
  <c r="BV67" i="59" s="1"/>
  <c r="CA67" i="59" s="1"/>
  <c r="CF67" i="59" s="1"/>
  <c r="CY66" i="59"/>
  <c r="CX66" i="59"/>
  <c r="CW66" i="59"/>
  <c r="CV66" i="59"/>
  <c r="CT66" i="59"/>
  <c r="CS66" i="59"/>
  <c r="CR66" i="59"/>
  <c r="CQ66" i="59"/>
  <c r="CO66" i="59"/>
  <c r="CN66" i="59"/>
  <c r="CM66" i="59"/>
  <c r="CL66" i="59"/>
  <c r="CJ66" i="59"/>
  <c r="CI66" i="59"/>
  <c r="CH66" i="59"/>
  <c r="CG66" i="59"/>
  <c r="CE66" i="59"/>
  <c r="CD66" i="59"/>
  <c r="CC66" i="59"/>
  <c r="CB66" i="59"/>
  <c r="BZ66" i="59"/>
  <c r="BY66" i="59"/>
  <c r="BX66" i="59"/>
  <c r="BW66" i="59"/>
  <c r="BU66" i="59"/>
  <c r="BT66" i="59"/>
  <c r="BS66" i="59"/>
  <c r="BR66" i="59"/>
  <c r="BP66" i="59"/>
  <c r="BO66" i="59"/>
  <c r="BN66" i="59"/>
  <c r="BM66" i="59"/>
  <c r="BK66" i="59"/>
  <c r="BJ66" i="59"/>
  <c r="BI66" i="59"/>
  <c r="BH66" i="59"/>
  <c r="BG66" i="59"/>
  <c r="BL66" i="59" s="1"/>
  <c r="BQ66" i="59" s="1"/>
  <c r="BV66" i="59" s="1"/>
  <c r="CA66" i="59" s="1"/>
  <c r="CF66" i="59" s="1"/>
  <c r="CK66" i="59" s="1"/>
  <c r="CP66" i="59" s="1"/>
  <c r="CU66" i="59" s="1"/>
  <c r="CZ66" i="59" s="1"/>
  <c r="CY65" i="59"/>
  <c r="CX65" i="59"/>
  <c r="CW65" i="59"/>
  <c r="CV65" i="59"/>
  <c r="CT65" i="59"/>
  <c r="CS65" i="59"/>
  <c r="CR65" i="59"/>
  <c r="CQ65" i="59"/>
  <c r="CO65" i="59"/>
  <c r="CN65" i="59"/>
  <c r="CM65" i="59"/>
  <c r="CL65" i="59"/>
  <c r="CJ65" i="59"/>
  <c r="CI65" i="59"/>
  <c r="CH65" i="59"/>
  <c r="CG65" i="59"/>
  <c r="CE65" i="59"/>
  <c r="CD65" i="59"/>
  <c r="CC65" i="59"/>
  <c r="CB65" i="59"/>
  <c r="BZ65" i="59"/>
  <c r="BY65" i="59"/>
  <c r="BX65" i="59"/>
  <c r="BW65" i="59"/>
  <c r="BU65" i="59"/>
  <c r="BT65" i="59"/>
  <c r="BS65" i="59"/>
  <c r="BR65" i="59"/>
  <c r="BP65" i="59"/>
  <c r="BO65" i="59"/>
  <c r="BN65" i="59"/>
  <c r="BM65" i="59"/>
  <c r="BK65" i="59"/>
  <c r="BJ65" i="59"/>
  <c r="BI65" i="59"/>
  <c r="BH65" i="59"/>
  <c r="BG65" i="59"/>
  <c r="BL65" i="59" s="1"/>
  <c r="BQ65" i="59" s="1"/>
  <c r="BV65" i="59" s="1"/>
  <c r="CA65" i="59" s="1"/>
  <c r="CF65" i="59" s="1"/>
  <c r="CK65" i="59" s="1"/>
  <c r="CP65" i="59" s="1"/>
  <c r="CU65" i="59" s="1"/>
  <c r="CZ65" i="59" s="1"/>
  <c r="CY64" i="59"/>
  <c r="CX64" i="59"/>
  <c r="CW64" i="59"/>
  <c r="CV64" i="59"/>
  <c r="CT64" i="59"/>
  <c r="CS64" i="59"/>
  <c r="CR64" i="59"/>
  <c r="CQ64" i="59"/>
  <c r="CO64" i="59"/>
  <c r="CN64" i="59"/>
  <c r="CM64" i="59"/>
  <c r="CL64" i="59"/>
  <c r="CJ64" i="59"/>
  <c r="CI64" i="59"/>
  <c r="CH64" i="59"/>
  <c r="CG64" i="59"/>
  <c r="CE64" i="59"/>
  <c r="CD64" i="59"/>
  <c r="CC64" i="59"/>
  <c r="CB64" i="59"/>
  <c r="BZ64" i="59"/>
  <c r="BY64" i="59"/>
  <c r="BX64" i="59"/>
  <c r="BW64" i="59"/>
  <c r="BU64" i="59"/>
  <c r="BT64" i="59"/>
  <c r="BS64" i="59"/>
  <c r="BR64" i="59"/>
  <c r="BP64" i="59"/>
  <c r="BO64" i="59"/>
  <c r="BN64" i="59"/>
  <c r="BM64" i="59"/>
  <c r="BK64" i="59"/>
  <c r="BJ64" i="59"/>
  <c r="BI64" i="59"/>
  <c r="BH64" i="59"/>
  <c r="BG64" i="59"/>
  <c r="BL64" i="59" s="1"/>
  <c r="BQ64" i="59" s="1"/>
  <c r="BV64" i="59" s="1"/>
  <c r="CA64" i="59" s="1"/>
  <c r="CF64" i="59" s="1"/>
  <c r="CK64" i="59" s="1"/>
  <c r="CP64" i="59" s="1"/>
  <c r="CU64" i="59" s="1"/>
  <c r="CZ64" i="59" s="1"/>
  <c r="BE72" i="59"/>
  <c r="BB72" i="59" s="1"/>
  <c r="AZ72" i="59"/>
  <c r="AX72" i="59" s="1"/>
  <c r="AU72" i="59"/>
  <c r="AQ72" i="59" s="1"/>
  <c r="AP72" i="59"/>
  <c r="AO72" i="59" s="1"/>
  <c r="AK72" i="59"/>
  <c r="AF72" i="59"/>
  <c r="AD72" i="59" s="1"/>
  <c r="AA72" i="59"/>
  <c r="W72" i="59" s="1"/>
  <c r="V72" i="59"/>
  <c r="Q72" i="59"/>
  <c r="N72" i="59" s="1"/>
  <c r="L72" i="59"/>
  <c r="BE71" i="59"/>
  <c r="BA71" i="59" s="1"/>
  <c r="AZ71" i="59"/>
  <c r="AY71" i="59" s="1"/>
  <c r="AU71" i="59"/>
  <c r="AR71" i="59" s="1"/>
  <c r="AP71" i="59"/>
  <c r="AN71" i="59" s="1"/>
  <c r="AF71" i="59"/>
  <c r="AD71" i="59" s="1"/>
  <c r="AA71" i="59"/>
  <c r="X71" i="59" s="1"/>
  <c r="V71" i="59"/>
  <c r="T71" i="59" s="1"/>
  <c r="Q71" i="59"/>
  <c r="M71" i="59" s="1"/>
  <c r="L71" i="59"/>
  <c r="BE70" i="59"/>
  <c r="BB70" i="59" s="1"/>
  <c r="AZ70" i="59"/>
  <c r="AX70" i="59" s="1"/>
  <c r="AU70" i="59"/>
  <c r="AP70" i="59"/>
  <c r="AO70" i="59" s="1"/>
  <c r="AF70" i="59"/>
  <c r="AD70" i="59" s="1"/>
  <c r="AA70" i="59"/>
  <c r="V70" i="59"/>
  <c r="U70" i="59" s="1"/>
  <c r="Q70" i="59"/>
  <c r="N70" i="59" s="1"/>
  <c r="L70" i="59"/>
  <c r="BE69" i="59"/>
  <c r="BA69" i="59" s="1"/>
  <c r="AZ69" i="59"/>
  <c r="AX69" i="59" s="1"/>
  <c r="AU69" i="59"/>
  <c r="AR69" i="59" s="1"/>
  <c r="AP69" i="59"/>
  <c r="AN69" i="59" s="1"/>
  <c r="AF69" i="59"/>
  <c r="AE69" i="59" s="1"/>
  <c r="AA69" i="59"/>
  <c r="V69" i="59"/>
  <c r="T69" i="59" s="1"/>
  <c r="Q69" i="59"/>
  <c r="M69" i="59" s="1"/>
  <c r="L69" i="59"/>
  <c r="BE68" i="59"/>
  <c r="BB68" i="59" s="1"/>
  <c r="AZ68" i="59"/>
  <c r="AX68" i="59" s="1"/>
  <c r="AU68" i="59"/>
  <c r="AQ68" i="59" s="1"/>
  <c r="AP68" i="59"/>
  <c r="AO68" i="59" s="1"/>
  <c r="AK68" i="59"/>
  <c r="AH68" i="59" s="1"/>
  <c r="AF68" i="59"/>
  <c r="AD68" i="59" s="1"/>
  <c r="AA68" i="59"/>
  <c r="W68" i="59" s="1"/>
  <c r="V68" i="59"/>
  <c r="T68" i="59" s="1"/>
  <c r="Q68" i="59"/>
  <c r="N68" i="59" s="1"/>
  <c r="L68" i="59"/>
  <c r="BE67" i="59"/>
  <c r="BA67" i="59" s="1"/>
  <c r="AZ67" i="59"/>
  <c r="AW67" i="59" s="1"/>
  <c r="AU67" i="59"/>
  <c r="AR67" i="59" s="1"/>
  <c r="AK67" i="59"/>
  <c r="AA67" i="59"/>
  <c r="X67" i="59" s="1"/>
  <c r="V67" i="59"/>
  <c r="T67" i="59" s="1"/>
  <c r="Q67" i="59"/>
  <c r="M67" i="59" s="1"/>
  <c r="L67" i="59"/>
  <c r="BE66" i="59"/>
  <c r="BB66" i="59" s="1"/>
  <c r="AZ66" i="59"/>
  <c r="AX66" i="59" s="1"/>
  <c r="AU66" i="59"/>
  <c r="AP66" i="59"/>
  <c r="AO66" i="59" s="1"/>
  <c r="AK66" i="59"/>
  <c r="AH66" i="59" s="1"/>
  <c r="AF66" i="59"/>
  <c r="AD66" i="59" s="1"/>
  <c r="AA66" i="59"/>
  <c r="W66" i="59" s="1"/>
  <c r="V66" i="59"/>
  <c r="U66" i="59" s="1"/>
  <c r="Q66" i="59"/>
  <c r="N66" i="59" s="1"/>
  <c r="L66" i="59"/>
  <c r="BE65" i="59"/>
  <c r="BA65" i="59" s="1"/>
  <c r="AZ65" i="59"/>
  <c r="AX65" i="59" s="1"/>
  <c r="AU65" i="59"/>
  <c r="AR65" i="59" s="1"/>
  <c r="AP65" i="59"/>
  <c r="AN65" i="59" s="1"/>
  <c r="AK65" i="59"/>
  <c r="AG65" i="59" s="1"/>
  <c r="AF65" i="59"/>
  <c r="AE65" i="59" s="1"/>
  <c r="AA65" i="59"/>
  <c r="X65" i="59" s="1"/>
  <c r="V65" i="59"/>
  <c r="T65" i="59" s="1"/>
  <c r="Q65" i="59"/>
  <c r="M65" i="59" s="1"/>
  <c r="L65" i="59"/>
  <c r="BE64" i="59"/>
  <c r="BB64" i="59" s="1"/>
  <c r="AZ64" i="59"/>
  <c r="AX64" i="59" s="1"/>
  <c r="AU64" i="59"/>
  <c r="AQ64" i="59" s="1"/>
  <c r="AP64" i="59"/>
  <c r="AO64" i="59" s="1"/>
  <c r="AK64" i="59"/>
  <c r="AH64" i="59" s="1"/>
  <c r="AF64" i="59"/>
  <c r="AD64" i="59" s="1"/>
  <c r="AA64" i="59"/>
  <c r="W64" i="59" s="1"/>
  <c r="V64" i="59"/>
  <c r="T64" i="59" s="1"/>
  <c r="Q64" i="59"/>
  <c r="N64" i="59" s="1"/>
  <c r="L64" i="59"/>
  <c r="CY62" i="59"/>
  <c r="CX62" i="59"/>
  <c r="CW62" i="59"/>
  <c r="CV62" i="59"/>
  <c r="CT62" i="59"/>
  <c r="CS62" i="59"/>
  <c r="CR62" i="59"/>
  <c r="CQ62" i="59"/>
  <c r="CO62" i="59"/>
  <c r="CN62" i="59"/>
  <c r="CM62" i="59"/>
  <c r="CL62" i="59"/>
  <c r="CJ62" i="59"/>
  <c r="CI62" i="59"/>
  <c r="CH62" i="59"/>
  <c r="CG62" i="59"/>
  <c r="CE62" i="59"/>
  <c r="CD62" i="59"/>
  <c r="CC62" i="59"/>
  <c r="CB62" i="59"/>
  <c r="BZ62" i="59"/>
  <c r="BY62" i="59"/>
  <c r="BX62" i="59"/>
  <c r="BW62" i="59"/>
  <c r="BU62" i="59"/>
  <c r="BT62" i="59"/>
  <c r="BS62" i="59"/>
  <c r="BR62" i="59"/>
  <c r="BP62" i="59"/>
  <c r="BO62" i="59"/>
  <c r="BN62" i="59"/>
  <c r="BM62" i="59"/>
  <c r="BK62" i="59"/>
  <c r="BJ62" i="59"/>
  <c r="BI62" i="59"/>
  <c r="BH62" i="59"/>
  <c r="BG62" i="59"/>
  <c r="BL62" i="59" s="1"/>
  <c r="BQ62" i="59" s="1"/>
  <c r="BV62" i="59" s="1"/>
  <c r="CA62" i="59" s="1"/>
  <c r="CF62" i="59" s="1"/>
  <c r="CK62" i="59" s="1"/>
  <c r="CP62" i="59" s="1"/>
  <c r="CU62" i="59" s="1"/>
  <c r="CZ62" i="59" s="1"/>
  <c r="BE62" i="59"/>
  <c r="BB62" i="59" s="1"/>
  <c r="AZ62" i="59"/>
  <c r="AX62" i="59" s="1"/>
  <c r="AU62" i="59"/>
  <c r="AQ62" i="59" s="1"/>
  <c r="AP62" i="59"/>
  <c r="AN62" i="59" s="1"/>
  <c r="AK62" i="59"/>
  <c r="AH62" i="59" s="1"/>
  <c r="AF62" i="59"/>
  <c r="AD62" i="59" s="1"/>
  <c r="AA62" i="59"/>
  <c r="W62" i="59" s="1"/>
  <c r="V62" i="59"/>
  <c r="U62" i="59" s="1"/>
  <c r="Q62" i="59"/>
  <c r="N62" i="59" s="1"/>
  <c r="L62" i="59"/>
  <c r="E60" i="59"/>
  <c r="E56" i="59"/>
  <c r="E55" i="59"/>
  <c r="AZ55" i="59" s="1"/>
  <c r="AX55" i="59" s="1"/>
  <c r="E54" i="59"/>
  <c r="AZ54" i="59" s="1"/>
  <c r="AX54" i="59" s="1"/>
  <c r="E53" i="59"/>
  <c r="AU53" i="59" s="1"/>
  <c r="E52" i="59"/>
  <c r="E51" i="59"/>
  <c r="E49" i="59"/>
  <c r="AK49" i="59" s="1"/>
  <c r="E48" i="59"/>
  <c r="E47" i="59"/>
  <c r="AZ47" i="59" s="1"/>
  <c r="I54" i="59"/>
  <c r="G50" i="59"/>
  <c r="F50" i="59"/>
  <c r="E50" i="59" s="1"/>
  <c r="CY59" i="59"/>
  <c r="CX59" i="59"/>
  <c r="CW59" i="59"/>
  <c r="CV59" i="59"/>
  <c r="CT59" i="59"/>
  <c r="CS59" i="59"/>
  <c r="CR59" i="59"/>
  <c r="CQ59" i="59"/>
  <c r="CO59" i="59"/>
  <c r="CN59" i="59"/>
  <c r="CM59" i="59"/>
  <c r="CL59" i="59"/>
  <c r="CJ59" i="59"/>
  <c r="CI59" i="59"/>
  <c r="CH59" i="59"/>
  <c r="CG59" i="59"/>
  <c r="CE59" i="59"/>
  <c r="CD59" i="59"/>
  <c r="CC59" i="59"/>
  <c r="CB59" i="59"/>
  <c r="BZ59" i="59"/>
  <c r="BY59" i="59"/>
  <c r="BX59" i="59"/>
  <c r="BW59" i="59"/>
  <c r="BU59" i="59"/>
  <c r="BT59" i="59"/>
  <c r="BS59" i="59"/>
  <c r="BR59" i="59"/>
  <c r="BP59" i="59"/>
  <c r="BO59" i="59"/>
  <c r="BN59" i="59"/>
  <c r="BM59" i="59"/>
  <c r="BK59" i="59"/>
  <c r="BJ59" i="59"/>
  <c r="BI59" i="59"/>
  <c r="BH59" i="59"/>
  <c r="BG59" i="59"/>
  <c r="BL59" i="59" s="1"/>
  <c r="BQ59" i="59" s="1"/>
  <c r="BV59" i="59" s="1"/>
  <c r="CA59" i="59" s="1"/>
  <c r="CF59" i="59" s="1"/>
  <c r="CK59" i="59" s="1"/>
  <c r="CP59" i="59" s="1"/>
  <c r="CU59" i="59" s="1"/>
  <c r="CZ59" i="59" s="1"/>
  <c r="CY58" i="59"/>
  <c r="CX58" i="59"/>
  <c r="CW58" i="59"/>
  <c r="CV58" i="59"/>
  <c r="CT58" i="59"/>
  <c r="CS58" i="59"/>
  <c r="CR58" i="59"/>
  <c r="CQ58" i="59"/>
  <c r="CO58" i="59"/>
  <c r="CN58" i="59"/>
  <c r="CM58" i="59"/>
  <c r="CL58" i="59"/>
  <c r="CJ58" i="59"/>
  <c r="CI58" i="59"/>
  <c r="CH58" i="59"/>
  <c r="CG58" i="59"/>
  <c r="CE58" i="59"/>
  <c r="CD58" i="59"/>
  <c r="CC58" i="59"/>
  <c r="CB58" i="59"/>
  <c r="BZ58" i="59"/>
  <c r="BY58" i="59"/>
  <c r="BX58" i="59"/>
  <c r="BW58" i="59"/>
  <c r="BU58" i="59"/>
  <c r="BT58" i="59"/>
  <c r="BS58" i="59"/>
  <c r="BR58" i="59"/>
  <c r="BP58" i="59"/>
  <c r="BO58" i="59"/>
  <c r="BN58" i="59"/>
  <c r="BM58" i="59"/>
  <c r="BK58" i="59"/>
  <c r="BJ58" i="59"/>
  <c r="BI58" i="59"/>
  <c r="BH58" i="59"/>
  <c r="BG58" i="59"/>
  <c r="BL58" i="59" s="1"/>
  <c r="BQ58" i="59" s="1"/>
  <c r="BV58" i="59" s="1"/>
  <c r="CA58" i="59" s="1"/>
  <c r="CF58" i="59" s="1"/>
  <c r="CK58" i="59" s="1"/>
  <c r="CP58" i="59" s="1"/>
  <c r="CU58" i="59" s="1"/>
  <c r="CZ58" i="59" s="1"/>
  <c r="CY56" i="59"/>
  <c r="CX56" i="59"/>
  <c r="CW56" i="59"/>
  <c r="CV56" i="59"/>
  <c r="CT56" i="59"/>
  <c r="CS56" i="59"/>
  <c r="CR56" i="59"/>
  <c r="CQ56" i="59"/>
  <c r="CO56" i="59"/>
  <c r="CN56" i="59"/>
  <c r="CM56" i="59"/>
  <c r="CL56" i="59"/>
  <c r="CJ56" i="59"/>
  <c r="CI56" i="59"/>
  <c r="CH56" i="59"/>
  <c r="CG56" i="59"/>
  <c r="CE56" i="59"/>
  <c r="CD56" i="59"/>
  <c r="CC56" i="59"/>
  <c r="CB56" i="59"/>
  <c r="BZ56" i="59"/>
  <c r="BY56" i="59"/>
  <c r="BX56" i="59"/>
  <c r="BW56" i="59"/>
  <c r="BU56" i="59"/>
  <c r="BT56" i="59"/>
  <c r="BS56" i="59"/>
  <c r="BR56" i="59"/>
  <c r="BP56" i="59"/>
  <c r="BO56" i="59"/>
  <c r="BN56" i="59"/>
  <c r="BM56" i="59"/>
  <c r="BK56" i="59"/>
  <c r="BJ56" i="59"/>
  <c r="BI56" i="59"/>
  <c r="BH56" i="59"/>
  <c r="BG56" i="59"/>
  <c r="BL56" i="59" s="1"/>
  <c r="BQ56" i="59" s="1"/>
  <c r="BV56" i="59" s="1"/>
  <c r="CA56" i="59" s="1"/>
  <c r="CF56" i="59" s="1"/>
  <c r="CK56" i="59" s="1"/>
  <c r="CP56" i="59" s="1"/>
  <c r="CU56" i="59" s="1"/>
  <c r="CZ56" i="59" s="1"/>
  <c r="CO55" i="59"/>
  <c r="CN55" i="59"/>
  <c r="CM55" i="59"/>
  <c r="CL55" i="59"/>
  <c r="CJ55" i="59"/>
  <c r="CI55" i="59"/>
  <c r="CH55" i="59"/>
  <c r="CG55" i="59"/>
  <c r="CE55" i="59"/>
  <c r="CD55" i="59"/>
  <c r="CC55" i="59"/>
  <c r="CB55" i="59"/>
  <c r="BZ55" i="59"/>
  <c r="BY55" i="59"/>
  <c r="BX55" i="59"/>
  <c r="BW55" i="59"/>
  <c r="BU55" i="59"/>
  <c r="BT55" i="59"/>
  <c r="BS55" i="59"/>
  <c r="BR55" i="59"/>
  <c r="BP55" i="59"/>
  <c r="BO55" i="59"/>
  <c r="BN55" i="59"/>
  <c r="BM55" i="59"/>
  <c r="BK55" i="59"/>
  <c r="BJ55" i="59"/>
  <c r="BI55" i="59"/>
  <c r="BH55" i="59"/>
  <c r="BG55" i="59"/>
  <c r="BL55" i="59" s="1"/>
  <c r="BQ55" i="59" s="1"/>
  <c r="BV55" i="59" s="1"/>
  <c r="CA55" i="59" s="1"/>
  <c r="CF55" i="59" s="1"/>
  <c r="CK55" i="59" s="1"/>
  <c r="CP55" i="59" s="1"/>
  <c r="CO54" i="59"/>
  <c r="CN54" i="59"/>
  <c r="CM54" i="59"/>
  <c r="CL54" i="59"/>
  <c r="CJ54" i="59"/>
  <c r="CI54" i="59"/>
  <c r="CH54" i="59"/>
  <c r="CG54" i="59"/>
  <c r="CE54" i="59"/>
  <c r="CD54" i="59"/>
  <c r="CC54" i="59"/>
  <c r="CB54" i="59"/>
  <c r="BZ54" i="59"/>
  <c r="BY54" i="59"/>
  <c r="BX54" i="59"/>
  <c r="BW54" i="59"/>
  <c r="BU54" i="59"/>
  <c r="BT54" i="59"/>
  <c r="BS54" i="59"/>
  <c r="BR54" i="59"/>
  <c r="BP54" i="59"/>
  <c r="BO54" i="59"/>
  <c r="BN54" i="59"/>
  <c r="BM54" i="59"/>
  <c r="BK54" i="59"/>
  <c r="BJ54" i="59"/>
  <c r="BI54" i="59"/>
  <c r="BH54" i="59"/>
  <c r="BG54" i="59"/>
  <c r="BL54" i="59" s="1"/>
  <c r="BQ54" i="59" s="1"/>
  <c r="BV54" i="59" s="1"/>
  <c r="CA54" i="59" s="1"/>
  <c r="CF54" i="59" s="1"/>
  <c r="CK54" i="59" s="1"/>
  <c r="CP54" i="59" s="1"/>
  <c r="CY53" i="59"/>
  <c r="CX53" i="59"/>
  <c r="CW53" i="59"/>
  <c r="CV53" i="59"/>
  <c r="CJ53" i="59"/>
  <c r="CI53" i="59"/>
  <c r="CH53" i="59"/>
  <c r="CG53" i="59"/>
  <c r="CE53" i="59"/>
  <c r="CD53" i="59"/>
  <c r="CC53" i="59"/>
  <c r="CB53" i="59"/>
  <c r="BZ53" i="59"/>
  <c r="BY53" i="59"/>
  <c r="BX53" i="59"/>
  <c r="BW53" i="59"/>
  <c r="BU53" i="59"/>
  <c r="BT53" i="59"/>
  <c r="BS53" i="59"/>
  <c r="BR53" i="59"/>
  <c r="BP53" i="59"/>
  <c r="BO53" i="59"/>
  <c r="BN53" i="59"/>
  <c r="BM53" i="59"/>
  <c r="BK53" i="59"/>
  <c r="BJ53" i="59"/>
  <c r="BI53" i="59"/>
  <c r="BH53" i="59"/>
  <c r="BG53" i="59"/>
  <c r="BL53" i="59" s="1"/>
  <c r="BQ53" i="59" s="1"/>
  <c r="BV53" i="59" s="1"/>
  <c r="CA53" i="59" s="1"/>
  <c r="CF53" i="59" s="1"/>
  <c r="CK53" i="59" s="1"/>
  <c r="CY52" i="59"/>
  <c r="CX52" i="59"/>
  <c r="CW52" i="59"/>
  <c r="CV52" i="59"/>
  <c r="CT52" i="59"/>
  <c r="CS52" i="59"/>
  <c r="CR52" i="59"/>
  <c r="CQ52" i="59"/>
  <c r="CO52" i="59"/>
  <c r="CN52" i="59"/>
  <c r="CM52" i="59"/>
  <c r="CL52" i="59"/>
  <c r="CJ52" i="59"/>
  <c r="CI52" i="59"/>
  <c r="CH52" i="59"/>
  <c r="CG52" i="59"/>
  <c r="CE52" i="59"/>
  <c r="CD52" i="59"/>
  <c r="CC52" i="59"/>
  <c r="CB52" i="59"/>
  <c r="BZ52" i="59"/>
  <c r="BY52" i="59"/>
  <c r="BX52" i="59"/>
  <c r="BW52" i="59"/>
  <c r="BU52" i="59"/>
  <c r="BT52" i="59"/>
  <c r="BS52" i="59"/>
  <c r="BR52" i="59"/>
  <c r="BP52" i="59"/>
  <c r="BO52" i="59"/>
  <c r="BN52" i="59"/>
  <c r="BM52" i="59"/>
  <c r="BK52" i="59"/>
  <c r="BJ52" i="59"/>
  <c r="BI52" i="59"/>
  <c r="BH52" i="59"/>
  <c r="BG52" i="59"/>
  <c r="BL52" i="59" s="1"/>
  <c r="BQ52" i="59" s="1"/>
  <c r="BV52" i="59" s="1"/>
  <c r="CA52" i="59" s="1"/>
  <c r="CF52" i="59" s="1"/>
  <c r="CK52" i="59" s="1"/>
  <c r="CP52" i="59" s="1"/>
  <c r="CU52" i="59" s="1"/>
  <c r="CZ52" i="59" s="1"/>
  <c r="CY51" i="59"/>
  <c r="CX51" i="59"/>
  <c r="CW51" i="59"/>
  <c r="CV51" i="59"/>
  <c r="CT51" i="59"/>
  <c r="CS51" i="59"/>
  <c r="CR51" i="59"/>
  <c r="CQ51" i="59"/>
  <c r="CO51" i="59"/>
  <c r="CN51" i="59"/>
  <c r="CM51" i="59"/>
  <c r="CL51" i="59"/>
  <c r="CJ51" i="59"/>
  <c r="CI51" i="59"/>
  <c r="CH51" i="59"/>
  <c r="CG51" i="59"/>
  <c r="CE51" i="59"/>
  <c r="CD51" i="59"/>
  <c r="CC51" i="59"/>
  <c r="CB51" i="59"/>
  <c r="BZ51" i="59"/>
  <c r="BY51" i="59"/>
  <c r="BX51" i="59"/>
  <c r="BW51" i="59"/>
  <c r="BU51" i="59"/>
  <c r="BT51" i="59"/>
  <c r="BS51" i="59"/>
  <c r="BR51" i="59"/>
  <c r="BP51" i="59"/>
  <c r="BO51" i="59"/>
  <c r="BN51" i="59"/>
  <c r="BM51" i="59"/>
  <c r="BK51" i="59"/>
  <c r="BJ51" i="59"/>
  <c r="BI51" i="59"/>
  <c r="BH51" i="59"/>
  <c r="BG51" i="59"/>
  <c r="BL51" i="59" s="1"/>
  <c r="BQ51" i="59" s="1"/>
  <c r="BV51" i="59" s="1"/>
  <c r="CA51" i="59" s="1"/>
  <c r="CF51" i="59" s="1"/>
  <c r="CK51" i="59" s="1"/>
  <c r="CP51" i="59" s="1"/>
  <c r="CU51" i="59" s="1"/>
  <c r="CZ51" i="59" s="1"/>
  <c r="CY50" i="59"/>
  <c r="CX50" i="59"/>
  <c r="CW50" i="59"/>
  <c r="CV50" i="59"/>
  <c r="CT50" i="59"/>
  <c r="CS50" i="59"/>
  <c r="CR50" i="59"/>
  <c r="CQ50" i="59"/>
  <c r="CO50" i="59"/>
  <c r="CN50" i="59"/>
  <c r="CM50" i="59"/>
  <c r="CL50" i="59"/>
  <c r="CJ50" i="59"/>
  <c r="CI50" i="59"/>
  <c r="CH50" i="59"/>
  <c r="CG50" i="59"/>
  <c r="CE50" i="59"/>
  <c r="CD50" i="59"/>
  <c r="CC50" i="59"/>
  <c r="CB50" i="59"/>
  <c r="BZ50" i="59"/>
  <c r="BY50" i="59"/>
  <c r="BX50" i="59"/>
  <c r="BW50" i="59"/>
  <c r="BU50" i="59"/>
  <c r="BT50" i="59"/>
  <c r="BS50" i="59"/>
  <c r="BR50" i="59"/>
  <c r="BP50" i="59"/>
  <c r="BO50" i="59"/>
  <c r="BN50" i="59"/>
  <c r="BM50" i="59"/>
  <c r="BK50" i="59"/>
  <c r="BJ50" i="59"/>
  <c r="BI50" i="59"/>
  <c r="BH50" i="59"/>
  <c r="BG50" i="59"/>
  <c r="BL50" i="59" s="1"/>
  <c r="BQ50" i="59" s="1"/>
  <c r="BV50" i="59" s="1"/>
  <c r="CA50" i="59" s="1"/>
  <c r="CF50" i="59" s="1"/>
  <c r="CK50" i="59" s="1"/>
  <c r="CP50" i="59" s="1"/>
  <c r="CU50" i="59" s="1"/>
  <c r="CZ50" i="59" s="1"/>
  <c r="CY49" i="59"/>
  <c r="CX49" i="59"/>
  <c r="CW49" i="59"/>
  <c r="CV49" i="59"/>
  <c r="CT49" i="59"/>
  <c r="CS49" i="59"/>
  <c r="CR49" i="59"/>
  <c r="CQ49" i="59"/>
  <c r="CO49" i="59"/>
  <c r="CN49" i="59"/>
  <c r="CM49" i="59"/>
  <c r="CL49" i="59"/>
  <c r="BZ49" i="59"/>
  <c r="BY49" i="59"/>
  <c r="BX49" i="59"/>
  <c r="BW49" i="59"/>
  <c r="BU49" i="59"/>
  <c r="BT49" i="59"/>
  <c r="BS49" i="59"/>
  <c r="BR49" i="59"/>
  <c r="BP49" i="59"/>
  <c r="BO49" i="59"/>
  <c r="BN49" i="59"/>
  <c r="BM49" i="59"/>
  <c r="BK49" i="59"/>
  <c r="BJ49" i="59"/>
  <c r="BI49" i="59"/>
  <c r="BH49" i="59"/>
  <c r="BG49" i="59"/>
  <c r="BL49" i="59" s="1"/>
  <c r="BQ49" i="59" s="1"/>
  <c r="BV49" i="59" s="1"/>
  <c r="CA49" i="59" s="1"/>
  <c r="CY48" i="59"/>
  <c r="CX48" i="59"/>
  <c r="CW48" i="59"/>
  <c r="CV48" i="59"/>
  <c r="CT48" i="59"/>
  <c r="CS48" i="59"/>
  <c r="CR48" i="59"/>
  <c r="CQ48" i="59"/>
  <c r="CO48" i="59"/>
  <c r="CN48" i="59"/>
  <c r="CM48" i="59"/>
  <c r="CL48" i="59"/>
  <c r="CJ48" i="59"/>
  <c r="CI48" i="59"/>
  <c r="CH48" i="59"/>
  <c r="CG48" i="59"/>
  <c r="CE48" i="59"/>
  <c r="CD48" i="59"/>
  <c r="CC48" i="59"/>
  <c r="CB48" i="59"/>
  <c r="BZ48" i="59"/>
  <c r="BY48" i="59"/>
  <c r="BX48" i="59"/>
  <c r="BW48" i="59"/>
  <c r="BU48" i="59"/>
  <c r="BT48" i="59"/>
  <c r="BS48" i="59"/>
  <c r="BR48" i="59"/>
  <c r="BP48" i="59"/>
  <c r="BO48" i="59"/>
  <c r="BN48" i="59"/>
  <c r="BM48" i="59"/>
  <c r="BK48" i="59"/>
  <c r="BJ48" i="59"/>
  <c r="BI48" i="59"/>
  <c r="BH48" i="59"/>
  <c r="BG48" i="59"/>
  <c r="BL48" i="59" s="1"/>
  <c r="BQ48" i="59" s="1"/>
  <c r="BV48" i="59" s="1"/>
  <c r="CA48" i="59" s="1"/>
  <c r="CF48" i="59" s="1"/>
  <c r="CK48" i="59" s="1"/>
  <c r="CP48" i="59" s="1"/>
  <c r="CU48" i="59" s="1"/>
  <c r="CZ48" i="59" s="1"/>
  <c r="CO47" i="59"/>
  <c r="CN47" i="59"/>
  <c r="CM47" i="59"/>
  <c r="CL47" i="59"/>
  <c r="CJ47" i="59"/>
  <c r="CI47" i="59"/>
  <c r="CH47" i="59"/>
  <c r="CG47" i="59"/>
  <c r="CE47" i="59"/>
  <c r="CD47" i="59"/>
  <c r="CC47" i="59"/>
  <c r="CB47" i="59"/>
  <c r="BZ47" i="59"/>
  <c r="BY47" i="59"/>
  <c r="BX47" i="59"/>
  <c r="BW47" i="59"/>
  <c r="BU47" i="59"/>
  <c r="BT47" i="59"/>
  <c r="BS47" i="59"/>
  <c r="BR47" i="59"/>
  <c r="BP47" i="59"/>
  <c r="BO47" i="59"/>
  <c r="BN47" i="59"/>
  <c r="BM47" i="59"/>
  <c r="BK47" i="59"/>
  <c r="BJ47" i="59"/>
  <c r="BI47" i="59"/>
  <c r="BH47" i="59"/>
  <c r="BG47" i="59"/>
  <c r="BE59" i="59"/>
  <c r="AZ59" i="59"/>
  <c r="AX59" i="59" s="1"/>
  <c r="AU59" i="59"/>
  <c r="AQ59" i="59" s="1"/>
  <c r="AP59" i="59"/>
  <c r="AK59" i="59"/>
  <c r="AH59" i="59" s="1"/>
  <c r="AF59" i="59"/>
  <c r="AA59" i="59"/>
  <c r="W59" i="59" s="1"/>
  <c r="V59" i="59"/>
  <c r="S59" i="59" s="1"/>
  <c r="Q59" i="59"/>
  <c r="N59" i="59" s="1"/>
  <c r="L59" i="59"/>
  <c r="BE58" i="59"/>
  <c r="AZ58" i="59"/>
  <c r="AV58" i="59" s="1"/>
  <c r="AU58" i="59"/>
  <c r="AR58" i="59" s="1"/>
  <c r="AP58" i="59"/>
  <c r="AK58" i="59"/>
  <c r="AG58" i="59" s="1"/>
  <c r="AF58" i="59"/>
  <c r="AB58" i="59" s="1"/>
  <c r="AA58" i="59"/>
  <c r="X58" i="59" s="1"/>
  <c r="V58" i="59"/>
  <c r="T58" i="59" s="1"/>
  <c r="Q58" i="59"/>
  <c r="L58" i="59"/>
  <c r="BE56" i="59"/>
  <c r="BB56" i="59" s="1"/>
  <c r="AZ56" i="59"/>
  <c r="AX56" i="59" s="1"/>
  <c r="AU56" i="59"/>
  <c r="AQ56" i="59" s="1"/>
  <c r="AP56" i="59"/>
  <c r="AN56" i="59" s="1"/>
  <c r="AK56" i="59"/>
  <c r="AF56" i="59"/>
  <c r="AD56" i="59" s="1"/>
  <c r="AA56" i="59"/>
  <c r="V56" i="59"/>
  <c r="R56" i="59" s="1"/>
  <c r="Q56" i="59"/>
  <c r="N56" i="59" s="1"/>
  <c r="L56" i="59"/>
  <c r="BE55" i="59"/>
  <c r="BA55" i="59" s="1"/>
  <c r="AU55" i="59"/>
  <c r="AP55" i="59"/>
  <c r="AN55" i="59" s="1"/>
  <c r="AK55" i="59"/>
  <c r="AG55" i="59" s="1"/>
  <c r="AF55" i="59"/>
  <c r="AE55" i="59" s="1"/>
  <c r="AA55" i="59"/>
  <c r="X55" i="59" s="1"/>
  <c r="V55" i="59"/>
  <c r="T55" i="59" s="1"/>
  <c r="Q55" i="59"/>
  <c r="M55" i="59" s="1"/>
  <c r="L55" i="59"/>
  <c r="BE54" i="59"/>
  <c r="AU54" i="59"/>
  <c r="AQ54" i="59" s="1"/>
  <c r="AP54" i="59"/>
  <c r="AO54" i="59" s="1"/>
  <c r="AK54" i="59"/>
  <c r="AH54" i="59" s="1"/>
  <c r="AF54" i="59"/>
  <c r="AD54" i="59" s="1"/>
  <c r="AA54" i="59"/>
  <c r="W54" i="59" s="1"/>
  <c r="V54" i="59"/>
  <c r="T54" i="59" s="1"/>
  <c r="Q54" i="59"/>
  <c r="L54" i="59"/>
  <c r="BE53" i="59"/>
  <c r="BA53" i="59" s="1"/>
  <c r="AZ53" i="59"/>
  <c r="AY53" i="59" s="1"/>
  <c r="AP53" i="59"/>
  <c r="AN53" i="59" s="1"/>
  <c r="AK53" i="59"/>
  <c r="AG53" i="59" s="1"/>
  <c r="AF53" i="59"/>
  <c r="AD53" i="59" s="1"/>
  <c r="AA53" i="59"/>
  <c r="V53" i="59"/>
  <c r="T53" i="59" s="1"/>
  <c r="Q53" i="59"/>
  <c r="L53" i="59"/>
  <c r="BE52" i="59"/>
  <c r="BB52" i="59" s="1"/>
  <c r="AZ52" i="59"/>
  <c r="AU52" i="59"/>
  <c r="AQ52" i="59" s="1"/>
  <c r="AP52" i="59"/>
  <c r="AM52" i="59" s="1"/>
  <c r="AK52" i="59"/>
  <c r="AH52" i="59" s="1"/>
  <c r="AF52" i="59"/>
  <c r="AD52" i="59" s="1"/>
  <c r="AA52" i="59"/>
  <c r="V52" i="59"/>
  <c r="S52" i="59" s="1"/>
  <c r="Q52" i="59"/>
  <c r="N52" i="59" s="1"/>
  <c r="L52" i="59"/>
  <c r="BE51" i="59"/>
  <c r="BA51" i="59" s="1"/>
  <c r="AZ51" i="59"/>
  <c r="AY51" i="59" s="1"/>
  <c r="AU51" i="59"/>
  <c r="AR51" i="59" s="1"/>
  <c r="AP51" i="59"/>
  <c r="AN51" i="59" s="1"/>
  <c r="AK51" i="59"/>
  <c r="AG51" i="59" s="1"/>
  <c r="AF51" i="59"/>
  <c r="AD51" i="59" s="1"/>
  <c r="AA51" i="59"/>
  <c r="V51" i="59"/>
  <c r="T51" i="59" s="1"/>
  <c r="Q51" i="59"/>
  <c r="M51" i="59" s="1"/>
  <c r="L51" i="59"/>
  <c r="BE50" i="59"/>
  <c r="BB50" i="59" s="1"/>
  <c r="AZ50" i="59"/>
  <c r="AX50" i="59" s="1"/>
  <c r="AU50" i="59"/>
  <c r="AQ50" i="59" s="1"/>
  <c r="AP50" i="59"/>
  <c r="AL50" i="59" s="1"/>
  <c r="AK50" i="59"/>
  <c r="AF50" i="59"/>
  <c r="AE50" i="59" s="1"/>
  <c r="AA50" i="59"/>
  <c r="W50" i="59" s="1"/>
  <c r="V50" i="59"/>
  <c r="S50" i="59" s="1"/>
  <c r="Q50" i="59"/>
  <c r="N50" i="59" s="1"/>
  <c r="L50" i="59"/>
  <c r="BE49" i="59"/>
  <c r="BA49" i="59" s="1"/>
  <c r="AZ49" i="59"/>
  <c r="AW49" i="59" s="1"/>
  <c r="AU49" i="59"/>
  <c r="AR49" i="59" s="1"/>
  <c r="AP49" i="59"/>
  <c r="AF49" i="59"/>
  <c r="AD49" i="59" s="1"/>
  <c r="AA49" i="59"/>
  <c r="Y49" i="59" s="1"/>
  <c r="V49" i="59"/>
  <c r="T49" i="59" s="1"/>
  <c r="Q49" i="59"/>
  <c r="M49" i="59" s="1"/>
  <c r="L49" i="59"/>
  <c r="BE48" i="59"/>
  <c r="BC48" i="59" s="1"/>
  <c r="AZ48" i="59"/>
  <c r="AX48" i="59" s="1"/>
  <c r="AU48" i="59"/>
  <c r="AP48" i="59"/>
  <c r="AK48" i="59"/>
  <c r="AF48" i="59"/>
  <c r="AA48" i="59"/>
  <c r="W48" i="59" s="1"/>
  <c r="V48" i="59"/>
  <c r="R48" i="59" s="1"/>
  <c r="Q48" i="59"/>
  <c r="N48" i="59" s="1"/>
  <c r="L48" i="59"/>
  <c r="BE47" i="59"/>
  <c r="BA47" i="59" s="1"/>
  <c r="AU47" i="59"/>
  <c r="AP47" i="59"/>
  <c r="AK47" i="59"/>
  <c r="AG47" i="59" s="1"/>
  <c r="AF47" i="59"/>
  <c r="AC47" i="59" s="1"/>
  <c r="AA47" i="59"/>
  <c r="W47" i="59" s="1"/>
  <c r="V47" i="59"/>
  <c r="T47" i="59" s="1"/>
  <c r="Q47" i="59"/>
  <c r="M47" i="59" s="1"/>
  <c r="L47" i="59"/>
  <c r="E36" i="59"/>
  <c r="AZ36" i="59" s="1"/>
  <c r="AY36" i="59" s="1"/>
  <c r="E35" i="59"/>
  <c r="AU35" i="59" s="1"/>
  <c r="E34" i="59"/>
  <c r="AP34" i="59" s="1"/>
  <c r="CT37" i="59"/>
  <c r="CS37" i="59"/>
  <c r="CR37" i="59"/>
  <c r="CQ37" i="59"/>
  <c r="CO37" i="59"/>
  <c r="CN37" i="59"/>
  <c r="CM37" i="59"/>
  <c r="CL37" i="59"/>
  <c r="CJ37" i="59"/>
  <c r="CI37" i="59"/>
  <c r="CH37" i="59"/>
  <c r="CG37" i="59"/>
  <c r="CE37" i="59"/>
  <c r="CD37" i="59"/>
  <c r="CC37" i="59"/>
  <c r="CB37" i="59"/>
  <c r="BZ37" i="59"/>
  <c r="BY37" i="59"/>
  <c r="BX37" i="59"/>
  <c r="BW37" i="59"/>
  <c r="BU37" i="59"/>
  <c r="BT37" i="59"/>
  <c r="BS37" i="59"/>
  <c r="BR37" i="59"/>
  <c r="BP37" i="59"/>
  <c r="BO37" i="59"/>
  <c r="BN37" i="59"/>
  <c r="BM37" i="59"/>
  <c r="BK37" i="59"/>
  <c r="BJ37" i="59"/>
  <c r="BI37" i="59"/>
  <c r="BH37" i="59"/>
  <c r="BG37" i="59"/>
  <c r="BL37" i="59" s="1"/>
  <c r="BQ37" i="59" s="1"/>
  <c r="BV37" i="59" s="1"/>
  <c r="CA37" i="59" s="1"/>
  <c r="CF37" i="59" s="1"/>
  <c r="CK37" i="59" s="1"/>
  <c r="CP37" i="59" s="1"/>
  <c r="CU37" i="59" s="1"/>
  <c r="CO36" i="59"/>
  <c r="CN36" i="59"/>
  <c r="CM36" i="59"/>
  <c r="CL36" i="59"/>
  <c r="CJ36" i="59"/>
  <c r="CI36" i="59"/>
  <c r="CH36" i="59"/>
  <c r="CG36" i="59"/>
  <c r="CE36" i="59"/>
  <c r="CD36" i="59"/>
  <c r="CC36" i="59"/>
  <c r="CB36" i="59"/>
  <c r="BZ36" i="59"/>
  <c r="BY36" i="59"/>
  <c r="BX36" i="59"/>
  <c r="BW36" i="59"/>
  <c r="BU36" i="59"/>
  <c r="BT36" i="59"/>
  <c r="BS36" i="59"/>
  <c r="BR36" i="59"/>
  <c r="BP36" i="59"/>
  <c r="BO36" i="59"/>
  <c r="BN36" i="59"/>
  <c r="BM36" i="59"/>
  <c r="BK36" i="59"/>
  <c r="BJ36" i="59"/>
  <c r="BI36" i="59"/>
  <c r="BH36" i="59"/>
  <c r="BG36" i="59"/>
  <c r="BL36" i="59" s="1"/>
  <c r="BQ36" i="59" s="1"/>
  <c r="BV36" i="59" s="1"/>
  <c r="CA36" i="59" s="1"/>
  <c r="CF36" i="59" s="1"/>
  <c r="CK36" i="59" s="1"/>
  <c r="CP36" i="59" s="1"/>
  <c r="CY35" i="59"/>
  <c r="CX35" i="59"/>
  <c r="CW35" i="59"/>
  <c r="CV35" i="59"/>
  <c r="CJ35" i="59"/>
  <c r="CI35" i="59"/>
  <c r="CH35" i="59"/>
  <c r="CG35" i="59"/>
  <c r="CE35" i="59"/>
  <c r="CD35" i="59"/>
  <c r="CC35" i="59"/>
  <c r="CB35" i="59"/>
  <c r="BZ35" i="59"/>
  <c r="BY35" i="59"/>
  <c r="BX35" i="59"/>
  <c r="BW35" i="59"/>
  <c r="BU35" i="59"/>
  <c r="BT35" i="59"/>
  <c r="BS35" i="59"/>
  <c r="BR35" i="59"/>
  <c r="BP35" i="59"/>
  <c r="BO35" i="59"/>
  <c r="BN35" i="59"/>
  <c r="BM35" i="59"/>
  <c r="BK35" i="59"/>
  <c r="BJ35" i="59"/>
  <c r="BI35" i="59"/>
  <c r="BH35" i="59"/>
  <c r="BG35" i="59"/>
  <c r="BL35" i="59" s="1"/>
  <c r="BQ35" i="59" s="1"/>
  <c r="BV35" i="59" s="1"/>
  <c r="CA35" i="59" s="1"/>
  <c r="CF35" i="59" s="1"/>
  <c r="CK35" i="59" s="1"/>
  <c r="CP35" i="59" s="1"/>
  <c r="CY34" i="59"/>
  <c r="CX34" i="59"/>
  <c r="CW34" i="59"/>
  <c r="CV34" i="59"/>
  <c r="CT34" i="59"/>
  <c r="CS34" i="59"/>
  <c r="CR34" i="59"/>
  <c r="CQ34" i="59"/>
  <c r="CE34" i="59"/>
  <c r="CD34" i="59"/>
  <c r="CC34" i="59"/>
  <c r="CB34" i="59"/>
  <c r="BZ34" i="59"/>
  <c r="BY34" i="59"/>
  <c r="BX34" i="59"/>
  <c r="BW34" i="59"/>
  <c r="BU34" i="59"/>
  <c r="BT34" i="59"/>
  <c r="BS34" i="59"/>
  <c r="BR34" i="59"/>
  <c r="BP34" i="59"/>
  <c r="BO34" i="59"/>
  <c r="BN34" i="59"/>
  <c r="BM34" i="59"/>
  <c r="BK34" i="59"/>
  <c r="BJ34" i="59"/>
  <c r="BI34" i="59"/>
  <c r="BH34" i="59"/>
  <c r="BG34" i="59"/>
  <c r="BL34" i="59" s="1"/>
  <c r="BQ34" i="59" s="1"/>
  <c r="BV34" i="59" s="1"/>
  <c r="CA34" i="59" s="1"/>
  <c r="CF34" i="59" s="1"/>
  <c r="AZ37" i="59"/>
  <c r="AW37" i="59" s="1"/>
  <c r="AU37" i="59"/>
  <c r="AS37" i="59" s="1"/>
  <c r="AP37" i="59"/>
  <c r="AN37" i="59" s="1"/>
  <c r="AK37" i="59"/>
  <c r="AF37" i="59"/>
  <c r="AA37" i="59"/>
  <c r="V37" i="59"/>
  <c r="Q37" i="59"/>
  <c r="M37" i="59" s="1"/>
  <c r="L37" i="59"/>
  <c r="BE36" i="59"/>
  <c r="BB36" i="59" s="1"/>
  <c r="AU36" i="59"/>
  <c r="AQ36" i="59" s="1"/>
  <c r="AP36" i="59"/>
  <c r="AO36" i="59" s="1"/>
  <c r="AK36" i="59"/>
  <c r="AF36" i="59"/>
  <c r="AE36" i="59" s="1"/>
  <c r="AA36" i="59"/>
  <c r="W36" i="59" s="1"/>
  <c r="V36" i="59"/>
  <c r="S36" i="59" s="1"/>
  <c r="Q36" i="59"/>
  <c r="N36" i="59" s="1"/>
  <c r="L36" i="59"/>
  <c r="BE35" i="59"/>
  <c r="BA35" i="59" s="1"/>
  <c r="AZ35" i="59"/>
  <c r="AP35" i="59"/>
  <c r="AK35" i="59"/>
  <c r="AF35" i="59"/>
  <c r="AB35" i="59" s="1"/>
  <c r="AA35" i="59"/>
  <c r="X35" i="59" s="1"/>
  <c r="V35" i="59"/>
  <c r="R35" i="59" s="1"/>
  <c r="Q35" i="59"/>
  <c r="M35" i="59" s="1"/>
  <c r="L35" i="59"/>
  <c r="BE34" i="59"/>
  <c r="BB34" i="59" s="1"/>
  <c r="AZ34" i="59"/>
  <c r="AX34" i="59" s="1"/>
  <c r="AU34" i="59"/>
  <c r="AK34" i="59"/>
  <c r="AI34" i="59" s="1"/>
  <c r="AF34" i="59"/>
  <c r="AD34" i="59" s="1"/>
  <c r="AA34" i="59"/>
  <c r="W34" i="59" s="1"/>
  <c r="V34" i="59"/>
  <c r="U34" i="59" s="1"/>
  <c r="Q34" i="59"/>
  <c r="L34" i="59"/>
  <c r="G31" i="59"/>
  <c r="F31" i="59"/>
  <c r="E29" i="59"/>
  <c r="E28" i="59"/>
  <c r="E27" i="59"/>
  <c r="AZ27" i="59" s="1"/>
  <c r="E26" i="59"/>
  <c r="BE26" i="59" s="1"/>
  <c r="BD26" i="59" s="1"/>
  <c r="E25" i="59"/>
  <c r="E24" i="59"/>
  <c r="AZ24" i="59" s="1"/>
  <c r="E23" i="59"/>
  <c r="AK23" i="59" s="1"/>
  <c r="AH23" i="59" s="1"/>
  <c r="E22" i="59"/>
  <c r="E21" i="59"/>
  <c r="E20" i="59"/>
  <c r="E19" i="59"/>
  <c r="AK19" i="59" s="1"/>
  <c r="AH19" i="59" s="1"/>
  <c r="E18" i="59"/>
  <c r="CY29" i="59"/>
  <c r="CX29" i="59"/>
  <c r="CW29" i="59"/>
  <c r="CV29" i="59"/>
  <c r="CT29" i="59"/>
  <c r="CS29" i="59"/>
  <c r="CR29" i="59"/>
  <c r="CQ29" i="59"/>
  <c r="CO29" i="59"/>
  <c r="CN29" i="59"/>
  <c r="CM29" i="59"/>
  <c r="CL29" i="59"/>
  <c r="CJ29" i="59"/>
  <c r="CI29" i="59"/>
  <c r="CH29" i="59"/>
  <c r="CG29" i="59"/>
  <c r="CE29" i="59"/>
  <c r="CD29" i="59"/>
  <c r="CC29" i="59"/>
  <c r="CB29" i="59"/>
  <c r="BZ29" i="59"/>
  <c r="BY29" i="59"/>
  <c r="BX29" i="59"/>
  <c r="BW29" i="59"/>
  <c r="BU29" i="59"/>
  <c r="BT29" i="59"/>
  <c r="BS29" i="59"/>
  <c r="BR29" i="59"/>
  <c r="BP29" i="59"/>
  <c r="BO29" i="59"/>
  <c r="BN29" i="59"/>
  <c r="BM29" i="59"/>
  <c r="BK29" i="59"/>
  <c r="BJ29" i="59"/>
  <c r="BI29" i="59"/>
  <c r="BH29" i="59"/>
  <c r="BG29" i="59"/>
  <c r="BL29" i="59" s="1"/>
  <c r="BQ29" i="59" s="1"/>
  <c r="BV29" i="59" s="1"/>
  <c r="CA29" i="59" s="1"/>
  <c r="CF29" i="59" s="1"/>
  <c r="CK29" i="59" s="1"/>
  <c r="CP29" i="59" s="1"/>
  <c r="CU29" i="59" s="1"/>
  <c r="CZ29" i="59" s="1"/>
  <c r="CY28" i="59"/>
  <c r="CX28" i="59"/>
  <c r="CW28" i="59"/>
  <c r="CV28" i="59"/>
  <c r="CT28" i="59"/>
  <c r="CS28" i="59"/>
  <c r="CR28" i="59"/>
  <c r="CQ28" i="59"/>
  <c r="CO28" i="59"/>
  <c r="CN28" i="59"/>
  <c r="CM28" i="59"/>
  <c r="CL28" i="59"/>
  <c r="CJ28" i="59"/>
  <c r="CI28" i="59"/>
  <c r="CH28" i="59"/>
  <c r="CG28" i="59"/>
  <c r="CE28" i="59"/>
  <c r="CD28" i="59"/>
  <c r="CC28" i="59"/>
  <c r="CB28" i="59"/>
  <c r="BZ28" i="59"/>
  <c r="BY28" i="59"/>
  <c r="BX28" i="59"/>
  <c r="BW28" i="59"/>
  <c r="BU28" i="59"/>
  <c r="BT28" i="59"/>
  <c r="BS28" i="59"/>
  <c r="BR28" i="59"/>
  <c r="BP28" i="59"/>
  <c r="BO28" i="59"/>
  <c r="BN28" i="59"/>
  <c r="BM28" i="59"/>
  <c r="BK28" i="59"/>
  <c r="BJ28" i="59"/>
  <c r="BI28" i="59"/>
  <c r="BH28" i="59"/>
  <c r="BG28" i="59"/>
  <c r="BL28" i="59" s="1"/>
  <c r="BQ28" i="59" s="1"/>
  <c r="BV28" i="59" s="1"/>
  <c r="CA28" i="59" s="1"/>
  <c r="CF28" i="59" s="1"/>
  <c r="CK28" i="59" s="1"/>
  <c r="CP28" i="59" s="1"/>
  <c r="CU28" i="59" s="1"/>
  <c r="CZ28" i="59" s="1"/>
  <c r="CO27" i="59"/>
  <c r="CN27" i="59"/>
  <c r="CM27" i="59"/>
  <c r="CL27" i="59"/>
  <c r="CJ27" i="59"/>
  <c r="CI27" i="59"/>
  <c r="CH27" i="59"/>
  <c r="CG27" i="59"/>
  <c r="CE27" i="59"/>
  <c r="CD27" i="59"/>
  <c r="CC27" i="59"/>
  <c r="CB27" i="59"/>
  <c r="BZ27" i="59"/>
  <c r="BY27" i="59"/>
  <c r="BX27" i="59"/>
  <c r="BW27" i="59"/>
  <c r="BU27" i="59"/>
  <c r="BT27" i="59"/>
  <c r="BS27" i="59"/>
  <c r="BR27" i="59"/>
  <c r="BP27" i="59"/>
  <c r="BO27" i="59"/>
  <c r="BN27" i="59"/>
  <c r="BM27" i="59"/>
  <c r="BK27" i="59"/>
  <c r="BJ27" i="59"/>
  <c r="BI27" i="59"/>
  <c r="BH27" i="59"/>
  <c r="BG27" i="59"/>
  <c r="BL27" i="59" s="1"/>
  <c r="BQ27" i="59" s="1"/>
  <c r="BV27" i="59" s="1"/>
  <c r="CA27" i="59" s="1"/>
  <c r="CF27" i="59" s="1"/>
  <c r="CK27" i="59" s="1"/>
  <c r="CP27" i="59" s="1"/>
  <c r="CU27" i="59" s="1"/>
  <c r="CT26" i="59"/>
  <c r="CS26" i="59"/>
  <c r="CR26" i="59"/>
  <c r="CQ26" i="59"/>
  <c r="CO26" i="59"/>
  <c r="CN26" i="59"/>
  <c r="CM26" i="59"/>
  <c r="CL26" i="59"/>
  <c r="CJ26" i="59"/>
  <c r="CI26" i="59"/>
  <c r="CH26" i="59"/>
  <c r="CG26" i="59"/>
  <c r="CE26" i="59"/>
  <c r="CD26" i="59"/>
  <c r="CC26" i="59"/>
  <c r="CB26" i="59"/>
  <c r="BZ26" i="59"/>
  <c r="BY26" i="59"/>
  <c r="BX26" i="59"/>
  <c r="BW26" i="59"/>
  <c r="BU26" i="59"/>
  <c r="BT26" i="59"/>
  <c r="BS26" i="59"/>
  <c r="BR26" i="59"/>
  <c r="BP26" i="59"/>
  <c r="BO26" i="59"/>
  <c r="BN26" i="59"/>
  <c r="BM26" i="59"/>
  <c r="BK26" i="59"/>
  <c r="BJ26" i="59"/>
  <c r="BI26" i="59"/>
  <c r="BH26" i="59"/>
  <c r="BG26" i="59"/>
  <c r="BL26" i="59" s="1"/>
  <c r="BQ26" i="59" s="1"/>
  <c r="BV26" i="59" s="1"/>
  <c r="CA26" i="59" s="1"/>
  <c r="CF26" i="59" s="1"/>
  <c r="CK26" i="59" s="1"/>
  <c r="CP26" i="59" s="1"/>
  <c r="CU26" i="59" s="1"/>
  <c r="CZ26" i="59" s="1"/>
  <c r="CY25" i="59"/>
  <c r="CX25" i="59"/>
  <c r="CW25" i="59"/>
  <c r="CV25" i="59"/>
  <c r="CT25" i="59"/>
  <c r="CS25" i="59"/>
  <c r="CR25" i="59"/>
  <c r="CQ25" i="59"/>
  <c r="CO25" i="59"/>
  <c r="CN25" i="59"/>
  <c r="CM25" i="59"/>
  <c r="CL25" i="59"/>
  <c r="CJ25" i="59"/>
  <c r="CI25" i="59"/>
  <c r="CH25" i="59"/>
  <c r="CG25" i="59"/>
  <c r="CE25" i="59"/>
  <c r="CD25" i="59"/>
  <c r="CC25" i="59"/>
  <c r="CB25" i="59"/>
  <c r="BZ25" i="59"/>
  <c r="BY25" i="59"/>
  <c r="BX25" i="59"/>
  <c r="BW25" i="59"/>
  <c r="BU25" i="59"/>
  <c r="BT25" i="59"/>
  <c r="BS25" i="59"/>
  <c r="BR25" i="59"/>
  <c r="BP25" i="59"/>
  <c r="BO25" i="59"/>
  <c r="BN25" i="59"/>
  <c r="BM25" i="59"/>
  <c r="BK25" i="59"/>
  <c r="BJ25" i="59"/>
  <c r="BI25" i="59"/>
  <c r="BH25" i="59"/>
  <c r="BG25" i="59"/>
  <c r="BL25" i="59" s="1"/>
  <c r="BQ25" i="59" s="1"/>
  <c r="BV25" i="59" s="1"/>
  <c r="CA25" i="59" s="1"/>
  <c r="CF25" i="59" s="1"/>
  <c r="CK25" i="59" s="1"/>
  <c r="CP25" i="59" s="1"/>
  <c r="CU25" i="59" s="1"/>
  <c r="CZ25" i="59" s="1"/>
  <c r="CO24" i="59"/>
  <c r="CN24" i="59"/>
  <c r="CM24" i="59"/>
  <c r="CL24" i="59"/>
  <c r="CJ24" i="59"/>
  <c r="CI24" i="59"/>
  <c r="CH24" i="59"/>
  <c r="CG24" i="59"/>
  <c r="CE24" i="59"/>
  <c r="CD24" i="59"/>
  <c r="CC24" i="59"/>
  <c r="CB24" i="59"/>
  <c r="BZ24" i="59"/>
  <c r="BY24" i="59"/>
  <c r="BX24" i="59"/>
  <c r="BW24" i="59"/>
  <c r="BU24" i="59"/>
  <c r="BT24" i="59"/>
  <c r="BS24" i="59"/>
  <c r="BR24" i="59"/>
  <c r="BP24" i="59"/>
  <c r="BO24" i="59"/>
  <c r="BN24" i="59"/>
  <c r="BM24" i="59"/>
  <c r="BK24" i="59"/>
  <c r="BJ24" i="59"/>
  <c r="BI24" i="59"/>
  <c r="BH24" i="59"/>
  <c r="BG24" i="59"/>
  <c r="BL24" i="59" s="1"/>
  <c r="BQ24" i="59" s="1"/>
  <c r="BV24" i="59" s="1"/>
  <c r="CA24" i="59" s="1"/>
  <c r="CF24" i="59" s="1"/>
  <c r="CK24" i="59" s="1"/>
  <c r="CP24" i="59" s="1"/>
  <c r="CU24" i="59" s="1"/>
  <c r="CY23" i="59"/>
  <c r="CX23" i="59"/>
  <c r="CW23" i="59"/>
  <c r="CV23" i="59"/>
  <c r="CT23" i="59"/>
  <c r="CS23" i="59"/>
  <c r="CR23" i="59"/>
  <c r="CQ23" i="59"/>
  <c r="CO23" i="59"/>
  <c r="CN23" i="59"/>
  <c r="CM23" i="59"/>
  <c r="CL23" i="59"/>
  <c r="BZ23" i="59"/>
  <c r="BY23" i="59"/>
  <c r="BX23" i="59"/>
  <c r="BW23" i="59"/>
  <c r="BU23" i="59"/>
  <c r="BT23" i="59"/>
  <c r="BS23" i="59"/>
  <c r="BR23" i="59"/>
  <c r="BP23" i="59"/>
  <c r="BO23" i="59"/>
  <c r="BN23" i="59"/>
  <c r="BM23" i="59"/>
  <c r="BK23" i="59"/>
  <c r="BJ23" i="59"/>
  <c r="BI23" i="59"/>
  <c r="BH23" i="59"/>
  <c r="BG23" i="59"/>
  <c r="BL23" i="59" s="1"/>
  <c r="BQ23" i="59" s="1"/>
  <c r="BV23" i="59" s="1"/>
  <c r="CA23" i="59" s="1"/>
  <c r="CF23" i="59" s="1"/>
  <c r="CY22" i="59"/>
  <c r="CX22" i="59"/>
  <c r="CW22" i="59"/>
  <c r="CV22" i="59"/>
  <c r="CT22" i="59"/>
  <c r="CS22" i="59"/>
  <c r="CR22" i="59"/>
  <c r="CQ22" i="59"/>
  <c r="CO22" i="59"/>
  <c r="CN22" i="59"/>
  <c r="CM22" i="59"/>
  <c r="CL22" i="59"/>
  <c r="CJ22" i="59"/>
  <c r="CI22" i="59"/>
  <c r="CH22" i="59"/>
  <c r="CG22" i="59"/>
  <c r="CE22" i="59"/>
  <c r="CD22" i="59"/>
  <c r="CC22" i="59"/>
  <c r="CB22" i="59"/>
  <c r="BZ22" i="59"/>
  <c r="BY22" i="59"/>
  <c r="BX22" i="59"/>
  <c r="BW22" i="59"/>
  <c r="BU22" i="59"/>
  <c r="BT22" i="59"/>
  <c r="BS22" i="59"/>
  <c r="BR22" i="59"/>
  <c r="BP22" i="59"/>
  <c r="BO22" i="59"/>
  <c r="BN22" i="59"/>
  <c r="BM22" i="59"/>
  <c r="BK22" i="59"/>
  <c r="BJ22" i="59"/>
  <c r="BI22" i="59"/>
  <c r="BH22" i="59"/>
  <c r="BG22" i="59"/>
  <c r="BL22" i="59" s="1"/>
  <c r="BQ22" i="59" s="1"/>
  <c r="BV22" i="59" s="1"/>
  <c r="CA22" i="59" s="1"/>
  <c r="CF22" i="59" s="1"/>
  <c r="CK22" i="59" s="1"/>
  <c r="CP22" i="59" s="1"/>
  <c r="CU22" i="59" s="1"/>
  <c r="CZ22" i="59" s="1"/>
  <c r="CY21" i="59"/>
  <c r="CX21" i="59"/>
  <c r="CW21" i="59"/>
  <c r="CV21" i="59"/>
  <c r="CT21" i="59"/>
  <c r="CS21" i="59"/>
  <c r="CR21" i="59"/>
  <c r="CQ21" i="59"/>
  <c r="CO21" i="59"/>
  <c r="CN21" i="59"/>
  <c r="CM21" i="59"/>
  <c r="CL21" i="59"/>
  <c r="CJ21" i="59"/>
  <c r="CI21" i="59"/>
  <c r="CH21" i="59"/>
  <c r="CG21" i="59"/>
  <c r="CE21" i="59"/>
  <c r="CD21" i="59"/>
  <c r="CC21" i="59"/>
  <c r="CB21" i="59"/>
  <c r="BZ21" i="59"/>
  <c r="BY21" i="59"/>
  <c r="BX21" i="59"/>
  <c r="BW21" i="59"/>
  <c r="BU21" i="59"/>
  <c r="BT21" i="59"/>
  <c r="BS21" i="59"/>
  <c r="BR21" i="59"/>
  <c r="BP21" i="59"/>
  <c r="BO21" i="59"/>
  <c r="BN21" i="59"/>
  <c r="BM21" i="59"/>
  <c r="BK21" i="59"/>
  <c r="BJ21" i="59"/>
  <c r="BI21" i="59"/>
  <c r="BH21" i="59"/>
  <c r="BG21" i="59"/>
  <c r="BL21" i="59" s="1"/>
  <c r="BQ21" i="59" s="1"/>
  <c r="BV21" i="59" s="1"/>
  <c r="CA21" i="59" s="1"/>
  <c r="CF21" i="59" s="1"/>
  <c r="CK21" i="59" s="1"/>
  <c r="CP21" i="59" s="1"/>
  <c r="CU21" i="59" s="1"/>
  <c r="CZ21" i="59" s="1"/>
  <c r="CY20" i="59"/>
  <c r="CX20" i="59"/>
  <c r="CW20" i="59"/>
  <c r="CV20" i="59"/>
  <c r="CT20" i="59"/>
  <c r="CS20" i="59"/>
  <c r="CR20" i="59"/>
  <c r="CQ20" i="59"/>
  <c r="CO20" i="59"/>
  <c r="CN20" i="59"/>
  <c r="CM20" i="59"/>
  <c r="CL20" i="59"/>
  <c r="CJ20" i="59"/>
  <c r="CI20" i="59"/>
  <c r="CH20" i="59"/>
  <c r="CG20" i="59"/>
  <c r="CE20" i="59"/>
  <c r="CD20" i="59"/>
  <c r="CC20" i="59"/>
  <c r="CB20" i="59"/>
  <c r="BZ20" i="59"/>
  <c r="BY20" i="59"/>
  <c r="BX20" i="59"/>
  <c r="BW20" i="59"/>
  <c r="BU20" i="59"/>
  <c r="BT20" i="59"/>
  <c r="BS20" i="59"/>
  <c r="BR20" i="59"/>
  <c r="BP20" i="59"/>
  <c r="BO20" i="59"/>
  <c r="BN20" i="59"/>
  <c r="BM20" i="59"/>
  <c r="BK20" i="59"/>
  <c r="BJ20" i="59"/>
  <c r="BI20" i="59"/>
  <c r="BH20" i="59"/>
  <c r="BG20" i="59"/>
  <c r="BL20" i="59" s="1"/>
  <c r="BQ20" i="59" s="1"/>
  <c r="BV20" i="59" s="1"/>
  <c r="CA20" i="59" s="1"/>
  <c r="CF20" i="59" s="1"/>
  <c r="CK20" i="59" s="1"/>
  <c r="CP20" i="59" s="1"/>
  <c r="CU20" i="59" s="1"/>
  <c r="CZ20" i="59" s="1"/>
  <c r="CY19" i="59"/>
  <c r="CX19" i="59"/>
  <c r="CW19" i="59"/>
  <c r="CV19" i="59"/>
  <c r="CT19" i="59"/>
  <c r="CS19" i="59"/>
  <c r="CR19" i="59"/>
  <c r="CQ19" i="59"/>
  <c r="CO19" i="59"/>
  <c r="CN19" i="59"/>
  <c r="CM19" i="59"/>
  <c r="CL19" i="59"/>
  <c r="BZ19" i="59"/>
  <c r="BY19" i="59"/>
  <c r="BX19" i="59"/>
  <c r="BW19" i="59"/>
  <c r="BU19" i="59"/>
  <c r="BT19" i="59"/>
  <c r="BS19" i="59"/>
  <c r="BR19" i="59"/>
  <c r="BP19" i="59"/>
  <c r="BO19" i="59"/>
  <c r="BN19" i="59"/>
  <c r="BM19" i="59"/>
  <c r="BK19" i="59"/>
  <c r="BJ19" i="59"/>
  <c r="BI19" i="59"/>
  <c r="BH19" i="59"/>
  <c r="BG19" i="59"/>
  <c r="BL19" i="59" s="1"/>
  <c r="BQ19" i="59" s="1"/>
  <c r="BV19" i="59" s="1"/>
  <c r="CA19" i="59" s="1"/>
  <c r="CF19" i="59" s="1"/>
  <c r="CY18" i="59"/>
  <c r="CX18" i="59"/>
  <c r="CW18" i="59"/>
  <c r="CV18" i="59"/>
  <c r="CT18" i="59"/>
  <c r="CS18" i="59"/>
  <c r="CR18" i="59"/>
  <c r="CQ18" i="59"/>
  <c r="CO18" i="59"/>
  <c r="CN18" i="59"/>
  <c r="CM18" i="59"/>
  <c r="CL18" i="59"/>
  <c r="CJ18" i="59"/>
  <c r="CI18" i="59"/>
  <c r="CH18" i="59"/>
  <c r="CG18" i="59"/>
  <c r="CE18" i="59"/>
  <c r="CD18" i="59"/>
  <c r="CC18" i="59"/>
  <c r="CB18" i="59"/>
  <c r="BZ18" i="59"/>
  <c r="BY18" i="59"/>
  <c r="BX18" i="59"/>
  <c r="BW18" i="59"/>
  <c r="BU18" i="59"/>
  <c r="BT18" i="59"/>
  <c r="BS18" i="59"/>
  <c r="BR18" i="59"/>
  <c r="BP18" i="59"/>
  <c r="BO18" i="59"/>
  <c r="BN18" i="59"/>
  <c r="BM18" i="59"/>
  <c r="BK18" i="59"/>
  <c r="BJ18" i="59"/>
  <c r="BI18" i="59"/>
  <c r="BH18" i="59"/>
  <c r="BG18" i="59"/>
  <c r="BL18" i="59" s="1"/>
  <c r="BE29" i="59"/>
  <c r="BB29" i="59" s="1"/>
  <c r="AZ29" i="59"/>
  <c r="AU29" i="59"/>
  <c r="AT29" i="59" s="1"/>
  <c r="AP29" i="59"/>
  <c r="AN29" i="59" s="1"/>
  <c r="AK29" i="59"/>
  <c r="AH29" i="59" s="1"/>
  <c r="AF29" i="59"/>
  <c r="AD29" i="59" s="1"/>
  <c r="AA29" i="59"/>
  <c r="Z29" i="59" s="1"/>
  <c r="V29" i="59"/>
  <c r="S29" i="59" s="1"/>
  <c r="Q29" i="59"/>
  <c r="N29" i="59" s="1"/>
  <c r="L29" i="59"/>
  <c r="BE28" i="59"/>
  <c r="BD28" i="59" s="1"/>
  <c r="AZ28" i="59"/>
  <c r="AV28" i="59" s="1"/>
  <c r="AU28" i="59"/>
  <c r="AR28" i="59" s="1"/>
  <c r="AP28" i="59"/>
  <c r="AK28" i="59"/>
  <c r="AJ28" i="59" s="1"/>
  <c r="AF28" i="59"/>
  <c r="AD28" i="59" s="1"/>
  <c r="AA28" i="59"/>
  <c r="X28" i="59" s="1"/>
  <c r="V28" i="59"/>
  <c r="T28" i="59" s="1"/>
  <c r="Q28" i="59"/>
  <c r="P28" i="59" s="1"/>
  <c r="L28" i="59"/>
  <c r="BE27" i="59"/>
  <c r="BB27" i="59" s="1"/>
  <c r="AU27" i="59"/>
  <c r="AT27" i="59" s="1"/>
  <c r="AP27" i="59"/>
  <c r="AO27" i="59" s="1"/>
  <c r="AK27" i="59"/>
  <c r="AH27" i="59" s="1"/>
  <c r="AF27" i="59"/>
  <c r="AA27" i="59"/>
  <c r="Z27" i="59" s="1"/>
  <c r="V27" i="59"/>
  <c r="Q27" i="59"/>
  <c r="N27" i="59" s="1"/>
  <c r="L27" i="59"/>
  <c r="AZ26" i="59"/>
  <c r="AW26" i="59" s="1"/>
  <c r="AU26" i="59"/>
  <c r="AP26" i="59"/>
  <c r="AN26" i="59" s="1"/>
  <c r="AK26" i="59"/>
  <c r="AJ26" i="59" s="1"/>
  <c r="AF26" i="59"/>
  <c r="AB26" i="59" s="1"/>
  <c r="AA26" i="59"/>
  <c r="X26" i="59" s="1"/>
  <c r="V26" i="59"/>
  <c r="Q26" i="59"/>
  <c r="L26" i="59"/>
  <c r="BE25" i="59"/>
  <c r="BB25" i="59" s="1"/>
  <c r="AZ25" i="59"/>
  <c r="AX25" i="59" s="1"/>
  <c r="AU25" i="59"/>
  <c r="AT25" i="59" s="1"/>
  <c r="AP25" i="59"/>
  <c r="AM25" i="59" s="1"/>
  <c r="AK25" i="59"/>
  <c r="AF25" i="59"/>
  <c r="AD25" i="59" s="1"/>
  <c r="AA25" i="59"/>
  <c r="Z25" i="59" s="1"/>
  <c r="V25" i="59"/>
  <c r="R25" i="59" s="1"/>
  <c r="Q25" i="59"/>
  <c r="N25" i="59" s="1"/>
  <c r="L25" i="59"/>
  <c r="BE24" i="59"/>
  <c r="BD24" i="59" s="1"/>
  <c r="AU24" i="59"/>
  <c r="AR24" i="59" s="1"/>
  <c r="AP24" i="59"/>
  <c r="AN24" i="59" s="1"/>
  <c r="AK24" i="59"/>
  <c r="AJ24" i="59" s="1"/>
  <c r="AF24" i="59"/>
  <c r="AE24" i="59" s="1"/>
  <c r="AA24" i="59"/>
  <c r="V24" i="59"/>
  <c r="T24" i="59" s="1"/>
  <c r="Q24" i="59"/>
  <c r="P24" i="59" s="1"/>
  <c r="L24" i="59"/>
  <c r="BE23" i="59"/>
  <c r="BB23" i="59" s="1"/>
  <c r="AZ23" i="59"/>
  <c r="AX23" i="59" s="1"/>
  <c r="AU23" i="59"/>
  <c r="AT23" i="59" s="1"/>
  <c r="AP23" i="59"/>
  <c r="AN23" i="59" s="1"/>
  <c r="AF23" i="59"/>
  <c r="AA23" i="59"/>
  <c r="Z23" i="59" s="1"/>
  <c r="V23" i="59"/>
  <c r="U23" i="59" s="1"/>
  <c r="Q23" i="59"/>
  <c r="N23" i="59" s="1"/>
  <c r="L23" i="59"/>
  <c r="BE22" i="59"/>
  <c r="BD22" i="59" s="1"/>
  <c r="AZ22" i="59"/>
  <c r="AW22" i="59" s="1"/>
  <c r="AU22" i="59"/>
  <c r="AR22" i="59" s="1"/>
  <c r="AP22" i="59"/>
  <c r="AN22" i="59" s="1"/>
  <c r="AK22" i="59"/>
  <c r="AJ22" i="59" s="1"/>
  <c r="AF22" i="59"/>
  <c r="AE22" i="59" s="1"/>
  <c r="AA22" i="59"/>
  <c r="V22" i="59"/>
  <c r="T22" i="59" s="1"/>
  <c r="Q22" i="59"/>
  <c r="P22" i="59" s="1"/>
  <c r="L22" i="59"/>
  <c r="BE21" i="59"/>
  <c r="BB21" i="59" s="1"/>
  <c r="AZ21" i="59"/>
  <c r="AU21" i="59"/>
  <c r="AT21" i="59" s="1"/>
  <c r="AP21" i="59"/>
  <c r="AN21" i="59" s="1"/>
  <c r="AK21" i="59"/>
  <c r="AH21" i="59" s="1"/>
  <c r="AF21" i="59"/>
  <c r="AD21" i="59" s="1"/>
  <c r="AA21" i="59"/>
  <c r="Z21" i="59" s="1"/>
  <c r="V21" i="59"/>
  <c r="S21" i="59" s="1"/>
  <c r="Q21" i="59"/>
  <c r="L21" i="59"/>
  <c r="BE20" i="59"/>
  <c r="BD20" i="59" s="1"/>
  <c r="AZ20" i="59"/>
  <c r="AX20" i="59" s="1"/>
  <c r="AU20" i="59"/>
  <c r="AR20" i="59" s="1"/>
  <c r="AP20" i="59"/>
  <c r="AN20" i="59" s="1"/>
  <c r="AK20" i="59"/>
  <c r="AJ20" i="59" s="1"/>
  <c r="AF20" i="59"/>
  <c r="AC20" i="59" s="1"/>
  <c r="AA20" i="59"/>
  <c r="X20" i="59" s="1"/>
  <c r="V20" i="59"/>
  <c r="T20" i="59" s="1"/>
  <c r="Q20" i="59"/>
  <c r="P20" i="59" s="1"/>
  <c r="L20" i="59"/>
  <c r="BE19" i="59"/>
  <c r="AZ19" i="59"/>
  <c r="AX19" i="59" s="1"/>
  <c r="AU19" i="59"/>
  <c r="AT19" i="59" s="1"/>
  <c r="AP19" i="59"/>
  <c r="AL19" i="59" s="1"/>
  <c r="AF19" i="59"/>
  <c r="AA19" i="59"/>
  <c r="Z19" i="59" s="1"/>
  <c r="V19" i="59"/>
  <c r="T19" i="59" s="1"/>
  <c r="Q19" i="59"/>
  <c r="N19" i="59" s="1"/>
  <c r="L19" i="59"/>
  <c r="BE18" i="59"/>
  <c r="BD18" i="59" s="1"/>
  <c r="AZ18" i="59"/>
  <c r="AX18" i="59" s="1"/>
  <c r="AU18" i="59"/>
  <c r="AP18" i="59"/>
  <c r="AM18" i="59" s="1"/>
  <c r="AK18" i="59"/>
  <c r="AJ18" i="59" s="1"/>
  <c r="AF18" i="59"/>
  <c r="AD18" i="59" s="1"/>
  <c r="AA18" i="59"/>
  <c r="X18" i="59" s="1"/>
  <c r="V18" i="59"/>
  <c r="S18" i="59" s="1"/>
  <c r="Q18" i="59"/>
  <c r="P18" i="59" s="1"/>
  <c r="L18" i="59"/>
  <c r="B2" i="59"/>
  <c r="BQ72" i="51"/>
  <c r="BL72" i="51"/>
  <c r="BG72" i="51"/>
  <c r="BB72" i="51"/>
  <c r="AV72" i="51"/>
  <c r="AU72" i="51"/>
  <c r="AT72" i="51"/>
  <c r="AS72" i="51"/>
  <c r="AW72" i="51" s="1"/>
  <c r="AQ72" i="51"/>
  <c r="AP72" i="51"/>
  <c r="AO72" i="51"/>
  <c r="AN72" i="51"/>
  <c r="AR72" i="51" s="1"/>
  <c r="AM72" i="51"/>
  <c r="AL72" i="51"/>
  <c r="AK72" i="51"/>
  <c r="AJ72" i="51"/>
  <c r="AI72" i="51"/>
  <c r="AH72" i="51"/>
  <c r="AG72" i="51"/>
  <c r="AF72" i="51"/>
  <c r="AE72" i="51"/>
  <c r="AD72" i="51"/>
  <c r="AC72" i="51"/>
  <c r="AB72" i="51"/>
  <c r="AA72" i="51"/>
  <c r="Z72" i="51"/>
  <c r="Y72" i="51"/>
  <c r="X72" i="51"/>
  <c r="W72" i="51"/>
  <c r="V72" i="51"/>
  <c r="U72" i="51"/>
  <c r="T72" i="51"/>
  <c r="S72" i="51"/>
  <c r="R72" i="51"/>
  <c r="Q72" i="51"/>
  <c r="P72" i="51"/>
  <c r="O72" i="51"/>
  <c r="N72" i="51"/>
  <c r="M72" i="51"/>
  <c r="L72" i="51"/>
  <c r="K72" i="51"/>
  <c r="J72" i="51"/>
  <c r="I72" i="51"/>
  <c r="H72" i="51"/>
  <c r="G72" i="51"/>
  <c r="F72" i="51"/>
  <c r="E72" i="51"/>
  <c r="AV71" i="51"/>
  <c r="AU71" i="51"/>
  <c r="AT71" i="51"/>
  <c r="AS71" i="51"/>
  <c r="AW71" i="51" s="1"/>
  <c r="AQ71" i="51"/>
  <c r="AP71" i="51"/>
  <c r="AO71" i="51"/>
  <c r="AN71" i="51"/>
  <c r="AR71" i="51" s="1"/>
  <c r="AM71" i="51"/>
  <c r="AL71" i="51"/>
  <c r="AK71" i="51"/>
  <c r="AJ71" i="51"/>
  <c r="AI71" i="51"/>
  <c r="AH71" i="51"/>
  <c r="AG71" i="51"/>
  <c r="AF71" i="51"/>
  <c r="AE71" i="51"/>
  <c r="AD71" i="51"/>
  <c r="AC71" i="51"/>
  <c r="AB71" i="51"/>
  <c r="AA71" i="51"/>
  <c r="Z71" i="51"/>
  <c r="Y71" i="51"/>
  <c r="X71" i="51"/>
  <c r="W71" i="51"/>
  <c r="V71" i="51"/>
  <c r="U71" i="51"/>
  <c r="T71" i="51"/>
  <c r="S71" i="51"/>
  <c r="R71" i="51"/>
  <c r="Q71" i="51"/>
  <c r="P71" i="51"/>
  <c r="O71" i="51"/>
  <c r="N71" i="51"/>
  <c r="M71" i="51"/>
  <c r="L71" i="51"/>
  <c r="K71" i="51"/>
  <c r="J71" i="51"/>
  <c r="I71" i="51"/>
  <c r="H71" i="51"/>
  <c r="G71" i="51"/>
  <c r="F71" i="51"/>
  <c r="E71" i="51"/>
  <c r="AV70" i="51"/>
  <c r="AU70" i="51"/>
  <c r="AT70" i="51"/>
  <c r="AS70" i="51"/>
  <c r="AW70" i="51" s="1"/>
  <c r="AQ70" i="51"/>
  <c r="AP70" i="51"/>
  <c r="AO70" i="51"/>
  <c r="AN70" i="51"/>
  <c r="AR70" i="51" s="1"/>
  <c r="AM70" i="51"/>
  <c r="AL70" i="51"/>
  <c r="AK70" i="51"/>
  <c r="AJ70" i="51"/>
  <c r="AI70" i="51"/>
  <c r="AH70" i="51"/>
  <c r="AG70" i="51"/>
  <c r="AF70" i="51"/>
  <c r="AE70" i="51"/>
  <c r="AD70" i="51"/>
  <c r="AC70" i="51"/>
  <c r="AB70" i="51"/>
  <c r="AA70" i="51"/>
  <c r="Z70" i="51"/>
  <c r="Y70" i="51"/>
  <c r="X70" i="51"/>
  <c r="W70" i="51"/>
  <c r="V70" i="51"/>
  <c r="U70" i="51"/>
  <c r="T70" i="51"/>
  <c r="S70" i="51"/>
  <c r="R70" i="51"/>
  <c r="Q70" i="51"/>
  <c r="P70" i="51"/>
  <c r="O70" i="51"/>
  <c r="N70" i="51"/>
  <c r="M70" i="51"/>
  <c r="L70" i="51"/>
  <c r="K70" i="51"/>
  <c r="J70" i="51"/>
  <c r="I70" i="51"/>
  <c r="H70" i="51"/>
  <c r="G70" i="51"/>
  <c r="F70" i="51"/>
  <c r="E70" i="51"/>
  <c r="AV69" i="51"/>
  <c r="AU69" i="51"/>
  <c r="AT69" i="51"/>
  <c r="AS69" i="51"/>
  <c r="AW69" i="51" s="1"/>
  <c r="AQ69" i="51"/>
  <c r="AP69" i="51"/>
  <c r="AO69" i="51"/>
  <c r="AN69" i="51"/>
  <c r="AR69" i="51" s="1"/>
  <c r="AM69" i="51"/>
  <c r="AL69" i="51"/>
  <c r="AK69" i="51"/>
  <c r="AJ69" i="51"/>
  <c r="AI69" i="51"/>
  <c r="AH69" i="51"/>
  <c r="AG69" i="51"/>
  <c r="AF69" i="51"/>
  <c r="AE69" i="51"/>
  <c r="AD69" i="51"/>
  <c r="AC69" i="51"/>
  <c r="AB69" i="51"/>
  <c r="AA69" i="51"/>
  <c r="Z69" i="51"/>
  <c r="Y69" i="51"/>
  <c r="X69" i="51"/>
  <c r="W69" i="51"/>
  <c r="V69" i="51"/>
  <c r="U69" i="51"/>
  <c r="T69" i="51"/>
  <c r="S69" i="51"/>
  <c r="R69" i="51"/>
  <c r="Q69" i="51"/>
  <c r="P69" i="51"/>
  <c r="O69" i="51"/>
  <c r="N69" i="51"/>
  <c r="M69" i="51"/>
  <c r="L69" i="51"/>
  <c r="K69" i="51"/>
  <c r="J69" i="51"/>
  <c r="I69" i="51"/>
  <c r="H69" i="51"/>
  <c r="G69" i="51"/>
  <c r="F69" i="51"/>
  <c r="E69" i="51"/>
  <c r="AV68" i="51"/>
  <c r="AV73" i="51" s="1"/>
  <c r="AU68" i="51"/>
  <c r="AU73" i="51" s="1"/>
  <c r="AT68" i="51"/>
  <c r="AT73" i="51" s="1"/>
  <c r="AS68" i="51"/>
  <c r="AS73" i="51" s="1"/>
  <c r="AQ68" i="51"/>
  <c r="AQ73" i="51" s="1"/>
  <c r="AP68" i="51"/>
  <c r="AP73" i="51" s="1"/>
  <c r="AO68" i="51"/>
  <c r="AO73" i="51" s="1"/>
  <c r="AN68" i="51"/>
  <c r="AN73" i="51" s="1"/>
  <c r="AM68" i="51"/>
  <c r="AM73" i="51" s="1"/>
  <c r="AL68" i="51"/>
  <c r="AL73" i="51" s="1"/>
  <c r="AK68" i="51"/>
  <c r="AK73" i="51" s="1"/>
  <c r="AJ68" i="51"/>
  <c r="AJ73" i="51" s="1"/>
  <c r="AI68" i="51"/>
  <c r="AI73" i="51" s="1"/>
  <c r="AH68" i="51"/>
  <c r="AH73" i="51" s="1"/>
  <c r="AG68" i="51"/>
  <c r="AG73" i="51" s="1"/>
  <c r="AF68" i="51"/>
  <c r="AF73" i="51" s="1"/>
  <c r="AE68" i="51"/>
  <c r="AE73" i="51" s="1"/>
  <c r="AD68" i="51"/>
  <c r="AD73" i="51" s="1"/>
  <c r="AC68" i="51"/>
  <c r="AC73" i="51" s="1"/>
  <c r="AB68" i="51"/>
  <c r="AB73" i="51" s="1"/>
  <c r="AA68" i="51"/>
  <c r="AA73" i="51" s="1"/>
  <c r="Z68" i="51"/>
  <c r="Z73" i="51" s="1"/>
  <c r="Y68" i="51"/>
  <c r="Y73" i="51" s="1"/>
  <c r="X68" i="51"/>
  <c r="X73" i="51" s="1"/>
  <c r="W68" i="51"/>
  <c r="W73" i="51" s="1"/>
  <c r="V68" i="51"/>
  <c r="V73" i="51" s="1"/>
  <c r="U68" i="51"/>
  <c r="U73" i="51" s="1"/>
  <c r="T68" i="51"/>
  <c r="T73" i="51" s="1"/>
  <c r="S68" i="51"/>
  <c r="S73" i="51" s="1"/>
  <c r="R68" i="51"/>
  <c r="R73" i="51" s="1"/>
  <c r="Q68" i="51"/>
  <c r="Q73" i="51" s="1"/>
  <c r="P68" i="51"/>
  <c r="P73" i="51" s="1"/>
  <c r="O68" i="51"/>
  <c r="O73" i="51" s="1"/>
  <c r="N68" i="51"/>
  <c r="N73" i="51" s="1"/>
  <c r="M68" i="51"/>
  <c r="M73" i="51" s="1"/>
  <c r="L68" i="51"/>
  <c r="L73" i="51" s="1"/>
  <c r="K68" i="51"/>
  <c r="K73" i="51" s="1"/>
  <c r="J68" i="51"/>
  <c r="J73" i="51" s="1"/>
  <c r="I68" i="51"/>
  <c r="I73" i="51" s="1"/>
  <c r="H68" i="51"/>
  <c r="H73" i="51" s="1"/>
  <c r="G68" i="51"/>
  <c r="G73" i="51" s="1"/>
  <c r="F68" i="51"/>
  <c r="F73" i="51" s="1"/>
  <c r="E68" i="51"/>
  <c r="E73" i="51" s="1"/>
  <c r="BP66" i="51"/>
  <c r="BO66" i="51"/>
  <c r="BN66" i="51"/>
  <c r="BM66" i="51"/>
  <c r="BK66" i="51"/>
  <c r="BJ66" i="51"/>
  <c r="BI66" i="51"/>
  <c r="BH66" i="51"/>
  <c r="BF66" i="51"/>
  <c r="BE66" i="51"/>
  <c r="BD66" i="51"/>
  <c r="BC66" i="51"/>
  <c r="BA66" i="51"/>
  <c r="AZ66" i="51"/>
  <c r="AY66" i="51"/>
  <c r="AX66" i="51"/>
  <c r="BQ65" i="51"/>
  <c r="BQ64" i="51"/>
  <c r="BQ63" i="51"/>
  <c r="BQ66" i="51" s="1"/>
  <c r="BL65" i="51"/>
  <c r="BL64" i="51"/>
  <c r="BL63" i="51"/>
  <c r="BL66" i="51" s="1"/>
  <c r="BG65" i="51"/>
  <c r="BG64" i="51"/>
  <c r="BG63" i="51"/>
  <c r="BG66" i="51" s="1"/>
  <c r="BB65" i="51"/>
  <c r="BB64" i="51"/>
  <c r="BB63" i="51"/>
  <c r="BB66" i="51" s="1"/>
  <c r="AV65" i="51"/>
  <c r="AU65" i="51"/>
  <c r="AT65" i="51"/>
  <c r="AS65" i="51"/>
  <c r="AW65" i="51" s="1"/>
  <c r="AQ65" i="51"/>
  <c r="AP65" i="51"/>
  <c r="AO65" i="51"/>
  <c r="AN65" i="51"/>
  <c r="AR65" i="51" s="1"/>
  <c r="AM65" i="51"/>
  <c r="AL65" i="51"/>
  <c r="AK65" i="51"/>
  <c r="AJ65" i="51"/>
  <c r="AI65" i="51"/>
  <c r="AH65" i="51"/>
  <c r="AG65" i="51"/>
  <c r="AF65" i="51"/>
  <c r="AE65" i="51"/>
  <c r="AD65" i="51"/>
  <c r="AC65" i="51"/>
  <c r="AB65" i="51"/>
  <c r="AA65" i="51"/>
  <c r="Z65" i="51"/>
  <c r="Y65" i="51"/>
  <c r="X65" i="51"/>
  <c r="W65" i="51"/>
  <c r="V65" i="51"/>
  <c r="U65" i="51"/>
  <c r="T65" i="51"/>
  <c r="S65" i="51"/>
  <c r="R65" i="51"/>
  <c r="Q65" i="51"/>
  <c r="P65" i="51"/>
  <c r="O65" i="51"/>
  <c r="N65" i="51"/>
  <c r="M65" i="51"/>
  <c r="L65" i="51"/>
  <c r="K65" i="51"/>
  <c r="J65" i="51"/>
  <c r="I65" i="51"/>
  <c r="H65" i="51"/>
  <c r="G65" i="51"/>
  <c r="F65" i="51"/>
  <c r="E65" i="51"/>
  <c r="AV64" i="51"/>
  <c r="AU64" i="51"/>
  <c r="AT64" i="51"/>
  <c r="AS64" i="51"/>
  <c r="AW64" i="51" s="1"/>
  <c r="AQ64" i="51"/>
  <c r="AP64" i="51"/>
  <c r="AO64" i="51"/>
  <c r="AN64" i="51"/>
  <c r="AR64" i="51" s="1"/>
  <c r="AM64" i="51"/>
  <c r="AL64" i="51"/>
  <c r="AK64" i="51"/>
  <c r="AJ64" i="51"/>
  <c r="AI64" i="51"/>
  <c r="AH64" i="51"/>
  <c r="AG64" i="51"/>
  <c r="AF64" i="51"/>
  <c r="AE64" i="51"/>
  <c r="AD64" i="51"/>
  <c r="AC64" i="51"/>
  <c r="AB64" i="51"/>
  <c r="AA64" i="51"/>
  <c r="Z64" i="51"/>
  <c r="Y64" i="51"/>
  <c r="X64" i="51"/>
  <c r="W64" i="51"/>
  <c r="V64" i="51"/>
  <c r="U64" i="51"/>
  <c r="T64" i="51"/>
  <c r="S64" i="51"/>
  <c r="R64" i="51"/>
  <c r="Q64" i="51"/>
  <c r="P64" i="51"/>
  <c r="O64" i="51"/>
  <c r="N64" i="51"/>
  <c r="M64" i="51"/>
  <c r="L64" i="51"/>
  <c r="K64" i="51"/>
  <c r="J64" i="51"/>
  <c r="I64" i="51"/>
  <c r="H64" i="51"/>
  <c r="G64" i="51"/>
  <c r="F64" i="51"/>
  <c r="E64" i="51"/>
  <c r="AV63" i="51"/>
  <c r="AV66" i="51" s="1"/>
  <c r="AU63" i="51"/>
  <c r="AU66" i="51" s="1"/>
  <c r="AT63" i="51"/>
  <c r="AT66" i="51" s="1"/>
  <c r="AS63" i="51"/>
  <c r="AW63" i="51" s="1"/>
  <c r="AQ63" i="51"/>
  <c r="AQ66" i="51" s="1"/>
  <c r="AP63" i="51"/>
  <c r="AP66" i="51" s="1"/>
  <c r="AO63" i="51"/>
  <c r="AO66" i="51" s="1"/>
  <c r="AN63" i="51"/>
  <c r="AN66" i="51" s="1"/>
  <c r="AM63" i="51"/>
  <c r="AM66" i="51" s="1"/>
  <c r="AL63" i="51"/>
  <c r="AL66" i="51" s="1"/>
  <c r="AK63" i="51"/>
  <c r="AK66" i="51" s="1"/>
  <c r="AJ63" i="51"/>
  <c r="AJ66" i="51" s="1"/>
  <c r="AI63" i="51"/>
  <c r="AI66" i="51" s="1"/>
  <c r="AH63" i="51"/>
  <c r="AH66" i="51" s="1"/>
  <c r="AG63" i="51"/>
  <c r="AG66" i="51" s="1"/>
  <c r="AF63" i="51"/>
  <c r="AF66" i="51" s="1"/>
  <c r="AE63" i="51"/>
  <c r="AE66" i="51" s="1"/>
  <c r="AD63" i="51"/>
  <c r="AD66" i="51" s="1"/>
  <c r="AC63" i="51"/>
  <c r="AC66" i="51" s="1"/>
  <c r="AB63" i="51"/>
  <c r="AB66" i="51" s="1"/>
  <c r="AA63" i="51"/>
  <c r="AA66" i="51" s="1"/>
  <c r="Z63" i="51"/>
  <c r="Z66" i="51" s="1"/>
  <c r="Y63" i="51"/>
  <c r="Y66" i="51" s="1"/>
  <c r="X63" i="51"/>
  <c r="X66" i="51" s="1"/>
  <c r="W63" i="51"/>
  <c r="W66" i="51" s="1"/>
  <c r="V63" i="51"/>
  <c r="V66" i="51" s="1"/>
  <c r="U63" i="51"/>
  <c r="U66" i="51" s="1"/>
  <c r="T63" i="51"/>
  <c r="T66" i="51" s="1"/>
  <c r="S63" i="51"/>
  <c r="S66" i="51" s="1"/>
  <c r="R63" i="51"/>
  <c r="R66" i="51" s="1"/>
  <c r="Q63" i="51"/>
  <c r="Q66" i="51" s="1"/>
  <c r="P63" i="51"/>
  <c r="P66" i="51" s="1"/>
  <c r="O63" i="51"/>
  <c r="O66" i="51" s="1"/>
  <c r="N63" i="51"/>
  <c r="N66" i="51" s="1"/>
  <c r="M63" i="51"/>
  <c r="M66" i="51" s="1"/>
  <c r="L63" i="51"/>
  <c r="L66" i="51" s="1"/>
  <c r="K63" i="51"/>
  <c r="K66" i="51" s="1"/>
  <c r="J63" i="51"/>
  <c r="J66" i="51" s="1"/>
  <c r="I63" i="51"/>
  <c r="I66" i="51" s="1"/>
  <c r="H63" i="51"/>
  <c r="H66" i="51" s="1"/>
  <c r="G63" i="51"/>
  <c r="G66" i="51" s="1"/>
  <c r="F63" i="51"/>
  <c r="F66" i="51" s="1"/>
  <c r="E63" i="51"/>
  <c r="E66" i="51" s="1"/>
  <c r="BQ60" i="51"/>
  <c r="BQ59" i="51"/>
  <c r="BQ58" i="51"/>
  <c r="BQ56" i="51"/>
  <c r="BL60" i="51"/>
  <c r="BL59" i="51"/>
  <c r="BL58" i="51"/>
  <c r="BL56" i="51"/>
  <c r="BG60" i="51"/>
  <c r="BG59" i="51"/>
  <c r="BG58" i="51"/>
  <c r="BG56" i="51"/>
  <c r="BB60" i="51"/>
  <c r="BB59" i="51"/>
  <c r="BB58" i="51"/>
  <c r="BB56" i="51"/>
  <c r="AV60" i="51"/>
  <c r="AU60" i="51"/>
  <c r="AT60" i="51"/>
  <c r="AS60" i="51"/>
  <c r="AW60" i="51" s="1"/>
  <c r="AQ60" i="51"/>
  <c r="AP60" i="51"/>
  <c r="AO60" i="51"/>
  <c r="AN60" i="51"/>
  <c r="AR60" i="51" s="1"/>
  <c r="AM60" i="51"/>
  <c r="AL60" i="51"/>
  <c r="AK60" i="51"/>
  <c r="AJ60" i="51"/>
  <c r="AI60" i="51"/>
  <c r="AH60" i="51"/>
  <c r="AG60" i="51"/>
  <c r="AF60" i="51"/>
  <c r="AE60" i="51"/>
  <c r="AD60" i="51"/>
  <c r="AC60" i="51"/>
  <c r="AB60" i="51"/>
  <c r="AA60" i="51"/>
  <c r="Z60" i="51"/>
  <c r="Y60" i="51"/>
  <c r="X60" i="51"/>
  <c r="W60" i="51"/>
  <c r="V60" i="51"/>
  <c r="U60" i="51"/>
  <c r="T60" i="51"/>
  <c r="S60" i="51"/>
  <c r="R60" i="51"/>
  <c r="Q60" i="51"/>
  <c r="P60" i="51"/>
  <c r="O60" i="51"/>
  <c r="N60" i="51"/>
  <c r="M60" i="51"/>
  <c r="L60" i="51"/>
  <c r="K60" i="51"/>
  <c r="J60" i="51"/>
  <c r="I60" i="51"/>
  <c r="H60" i="51"/>
  <c r="G60" i="51"/>
  <c r="F60" i="51"/>
  <c r="E60" i="51"/>
  <c r="AV59" i="51"/>
  <c r="AU59" i="51"/>
  <c r="AT59" i="51"/>
  <c r="AS59" i="51"/>
  <c r="AW59" i="51" s="1"/>
  <c r="AQ59" i="51"/>
  <c r="AP59" i="51"/>
  <c r="AO59" i="51"/>
  <c r="AN59" i="51"/>
  <c r="AR59" i="51" s="1"/>
  <c r="AM59" i="51"/>
  <c r="AL59" i="51"/>
  <c r="AK59" i="51"/>
  <c r="AJ59" i="51"/>
  <c r="AI59" i="51"/>
  <c r="AH59" i="51"/>
  <c r="AG59" i="51"/>
  <c r="AF59" i="51"/>
  <c r="AE59" i="51"/>
  <c r="AD59" i="51"/>
  <c r="AC59" i="51"/>
  <c r="AB59" i="51"/>
  <c r="AA59" i="51"/>
  <c r="Z59" i="51"/>
  <c r="Y59" i="51"/>
  <c r="X59" i="51"/>
  <c r="W59" i="51"/>
  <c r="V59" i="51"/>
  <c r="U59" i="51"/>
  <c r="T59" i="51"/>
  <c r="S59" i="51"/>
  <c r="R59" i="51"/>
  <c r="Q59" i="51"/>
  <c r="P59" i="51"/>
  <c r="O59" i="51"/>
  <c r="N59" i="51"/>
  <c r="M59" i="51"/>
  <c r="L59" i="51"/>
  <c r="K59" i="51"/>
  <c r="J59" i="51"/>
  <c r="I59" i="51"/>
  <c r="H59" i="51"/>
  <c r="G59" i="51"/>
  <c r="F59" i="51"/>
  <c r="E59" i="51"/>
  <c r="AV58" i="51"/>
  <c r="AU58" i="51"/>
  <c r="AT58" i="51"/>
  <c r="AS58" i="51"/>
  <c r="AW58" i="51" s="1"/>
  <c r="AQ58" i="51"/>
  <c r="AP58" i="51"/>
  <c r="AO58" i="51"/>
  <c r="AN58" i="51"/>
  <c r="AR58" i="51" s="1"/>
  <c r="AM58" i="51"/>
  <c r="AL58" i="51"/>
  <c r="AK58" i="51"/>
  <c r="AJ58" i="51"/>
  <c r="AI58" i="51"/>
  <c r="AH58" i="51"/>
  <c r="AG58" i="51"/>
  <c r="AF58" i="51"/>
  <c r="AE58" i="51"/>
  <c r="AD58" i="51"/>
  <c r="AC58" i="51"/>
  <c r="AB58" i="51"/>
  <c r="AA58" i="51"/>
  <c r="Z58" i="51"/>
  <c r="Y58" i="51"/>
  <c r="X58" i="51"/>
  <c r="W58" i="51"/>
  <c r="V58" i="51"/>
  <c r="U58" i="51"/>
  <c r="T58" i="51"/>
  <c r="S58" i="51"/>
  <c r="R58" i="51"/>
  <c r="Q58" i="51"/>
  <c r="P58" i="51"/>
  <c r="O58" i="51"/>
  <c r="N58" i="51"/>
  <c r="M58" i="51"/>
  <c r="L58" i="51"/>
  <c r="K58" i="51"/>
  <c r="J58" i="51"/>
  <c r="I58" i="51"/>
  <c r="H58" i="51"/>
  <c r="G58" i="51"/>
  <c r="F58" i="51"/>
  <c r="E58" i="51"/>
  <c r="AV57" i="51"/>
  <c r="AU57" i="51"/>
  <c r="AT57" i="51"/>
  <c r="AS57" i="51"/>
  <c r="AW57" i="51" s="1"/>
  <c r="AQ57" i="51"/>
  <c r="AP57" i="51"/>
  <c r="AO57" i="51"/>
  <c r="AN57" i="51"/>
  <c r="AR57" i="51" s="1"/>
  <c r="AM57" i="51"/>
  <c r="AL57" i="51"/>
  <c r="AK57" i="51"/>
  <c r="AJ57" i="51"/>
  <c r="AI57" i="51"/>
  <c r="AH57" i="51"/>
  <c r="AG57" i="51"/>
  <c r="AF57" i="51"/>
  <c r="AE57" i="51"/>
  <c r="AD57" i="51"/>
  <c r="AC57" i="51"/>
  <c r="AB57" i="51"/>
  <c r="AA57" i="51"/>
  <c r="Z57" i="51"/>
  <c r="Y57" i="51"/>
  <c r="X57" i="51"/>
  <c r="W57" i="51"/>
  <c r="V57" i="51"/>
  <c r="U57" i="51"/>
  <c r="T57" i="51"/>
  <c r="S57" i="51"/>
  <c r="R57" i="51"/>
  <c r="Q57" i="51"/>
  <c r="P57" i="51"/>
  <c r="O57" i="51"/>
  <c r="N57" i="51"/>
  <c r="M57" i="51"/>
  <c r="L57" i="51"/>
  <c r="K57" i="51"/>
  <c r="J57" i="51"/>
  <c r="I57" i="51"/>
  <c r="H57" i="51"/>
  <c r="G57" i="51"/>
  <c r="F57" i="51"/>
  <c r="E57" i="51"/>
  <c r="AV56" i="51"/>
  <c r="AU56" i="51"/>
  <c r="AT56" i="51"/>
  <c r="AS56" i="51"/>
  <c r="AW56" i="51" s="1"/>
  <c r="AQ56" i="51"/>
  <c r="AP56" i="51"/>
  <c r="AO56" i="51"/>
  <c r="AN56" i="51"/>
  <c r="AR56" i="51" s="1"/>
  <c r="AM56" i="51"/>
  <c r="AL56" i="51"/>
  <c r="AK56" i="51"/>
  <c r="AJ56" i="51"/>
  <c r="AI56" i="51"/>
  <c r="AH56" i="51"/>
  <c r="AG56" i="51"/>
  <c r="AF56" i="51"/>
  <c r="AE56" i="51"/>
  <c r="AD56" i="51"/>
  <c r="AC56" i="51"/>
  <c r="AB56" i="51"/>
  <c r="AA56" i="51"/>
  <c r="Z56" i="51"/>
  <c r="Y56" i="51"/>
  <c r="X56" i="51"/>
  <c r="W56" i="51"/>
  <c r="V56" i="51"/>
  <c r="U56" i="51"/>
  <c r="T56" i="51"/>
  <c r="S56" i="51"/>
  <c r="R56" i="51"/>
  <c r="Q56" i="51"/>
  <c r="P56" i="51"/>
  <c r="O56" i="51"/>
  <c r="N56" i="51"/>
  <c r="M56" i="51"/>
  <c r="L56" i="51"/>
  <c r="K56" i="51"/>
  <c r="J56" i="51"/>
  <c r="I56" i="51"/>
  <c r="H56" i="51"/>
  <c r="G56" i="51"/>
  <c r="F56" i="51"/>
  <c r="E56" i="51"/>
  <c r="AV55" i="51"/>
  <c r="AU55" i="51"/>
  <c r="AT55" i="51"/>
  <c r="AS55" i="51"/>
  <c r="AW55" i="51" s="1"/>
  <c r="AQ55" i="51"/>
  <c r="AP55" i="51"/>
  <c r="AO55" i="51"/>
  <c r="AN55" i="51"/>
  <c r="AR55" i="51" s="1"/>
  <c r="AM55" i="51"/>
  <c r="AL55" i="51"/>
  <c r="AK55" i="51"/>
  <c r="AJ55" i="51"/>
  <c r="AI55" i="51"/>
  <c r="AH55" i="51"/>
  <c r="AG55" i="51"/>
  <c r="AF55" i="51"/>
  <c r="AE55" i="51"/>
  <c r="AD55" i="51"/>
  <c r="AC55" i="51"/>
  <c r="AB55" i="51"/>
  <c r="AA55" i="51"/>
  <c r="Z55" i="51"/>
  <c r="Y55" i="51"/>
  <c r="X55" i="51"/>
  <c r="W55" i="51"/>
  <c r="V55" i="51"/>
  <c r="U55" i="51"/>
  <c r="T55" i="51"/>
  <c r="S55" i="51"/>
  <c r="R55" i="51"/>
  <c r="Q55" i="51"/>
  <c r="P55" i="51"/>
  <c r="O55" i="51"/>
  <c r="N55" i="51"/>
  <c r="M55" i="51"/>
  <c r="L55" i="51"/>
  <c r="K55" i="51"/>
  <c r="J55" i="51"/>
  <c r="I55" i="51"/>
  <c r="H55" i="51"/>
  <c r="G55" i="51"/>
  <c r="F55" i="51"/>
  <c r="E55" i="51"/>
  <c r="AU54" i="51"/>
  <c r="AU61" i="51" s="1"/>
  <c r="AU75" i="51" s="1"/>
  <c r="AT54" i="51"/>
  <c r="AT61" i="51" s="1"/>
  <c r="AT75" i="51" s="1"/>
  <c r="AS54" i="51"/>
  <c r="AS61" i="51" s="1"/>
  <c r="AQ54" i="51"/>
  <c r="AQ61" i="51" s="1"/>
  <c r="AQ75" i="51" s="1"/>
  <c r="AP54" i="51"/>
  <c r="AP61" i="51" s="1"/>
  <c r="AP75" i="51" s="1"/>
  <c r="AO54" i="51"/>
  <c r="AO61" i="51" s="1"/>
  <c r="AO75" i="51" s="1"/>
  <c r="AN54" i="51"/>
  <c r="AN61" i="51" s="1"/>
  <c r="AN75" i="51" s="1"/>
  <c r="AM54" i="51"/>
  <c r="AM61" i="51" s="1"/>
  <c r="AM75" i="51" s="1"/>
  <c r="AL54" i="51"/>
  <c r="AL61" i="51" s="1"/>
  <c r="AL75" i="51" s="1"/>
  <c r="AK54" i="51"/>
  <c r="AK61" i="51" s="1"/>
  <c r="AK75" i="51" s="1"/>
  <c r="AJ54" i="51"/>
  <c r="AJ61" i="51" s="1"/>
  <c r="AJ75" i="51" s="1"/>
  <c r="AI54" i="51"/>
  <c r="AI61" i="51" s="1"/>
  <c r="AI75" i="51" s="1"/>
  <c r="AH54" i="51"/>
  <c r="AH61" i="51" s="1"/>
  <c r="AH75" i="51" s="1"/>
  <c r="AG54" i="51"/>
  <c r="AG61" i="51" s="1"/>
  <c r="AG75" i="51" s="1"/>
  <c r="AF54" i="51"/>
  <c r="AF61" i="51" s="1"/>
  <c r="AF75" i="51" s="1"/>
  <c r="AE54" i="51"/>
  <c r="AE61" i="51" s="1"/>
  <c r="AE75" i="51" s="1"/>
  <c r="AD54" i="51"/>
  <c r="AD61" i="51" s="1"/>
  <c r="AD75" i="51" s="1"/>
  <c r="AC54" i="51"/>
  <c r="AC61" i="51" s="1"/>
  <c r="AC75" i="51" s="1"/>
  <c r="AB54" i="51"/>
  <c r="AB61" i="51" s="1"/>
  <c r="AB75" i="51" s="1"/>
  <c r="AA54" i="51"/>
  <c r="AA61" i="51" s="1"/>
  <c r="AA75" i="51" s="1"/>
  <c r="Z54" i="51"/>
  <c r="Z61" i="51" s="1"/>
  <c r="Z75" i="51" s="1"/>
  <c r="Y54" i="51"/>
  <c r="Y61" i="51" s="1"/>
  <c r="Y75" i="51" s="1"/>
  <c r="X54" i="51"/>
  <c r="X61" i="51" s="1"/>
  <c r="X75" i="51" s="1"/>
  <c r="W54" i="51"/>
  <c r="W61" i="51" s="1"/>
  <c r="W75" i="51" s="1"/>
  <c r="V54" i="51"/>
  <c r="V61" i="51" s="1"/>
  <c r="V75" i="51" s="1"/>
  <c r="U54" i="51"/>
  <c r="U61" i="51" s="1"/>
  <c r="U75" i="51" s="1"/>
  <c r="T54" i="51"/>
  <c r="T61" i="51" s="1"/>
  <c r="T75" i="51" s="1"/>
  <c r="S54" i="51"/>
  <c r="S61" i="51" s="1"/>
  <c r="S75" i="51" s="1"/>
  <c r="R54" i="51"/>
  <c r="R61" i="51" s="1"/>
  <c r="R75" i="51" s="1"/>
  <c r="Q54" i="51"/>
  <c r="Q61" i="51" s="1"/>
  <c r="Q75" i="51" s="1"/>
  <c r="P54" i="51"/>
  <c r="P61" i="51" s="1"/>
  <c r="P75" i="51" s="1"/>
  <c r="O54" i="51"/>
  <c r="O61" i="51" s="1"/>
  <c r="O75" i="51" s="1"/>
  <c r="N54" i="51"/>
  <c r="N61" i="51" s="1"/>
  <c r="N75" i="51" s="1"/>
  <c r="M54" i="51"/>
  <c r="M61" i="51" s="1"/>
  <c r="M75" i="51" s="1"/>
  <c r="L54" i="51"/>
  <c r="L61" i="51" s="1"/>
  <c r="L75" i="51" s="1"/>
  <c r="K54" i="51"/>
  <c r="K61" i="51" s="1"/>
  <c r="K75" i="51" s="1"/>
  <c r="J54" i="51"/>
  <c r="J61" i="51" s="1"/>
  <c r="J75" i="51" s="1"/>
  <c r="I54" i="51"/>
  <c r="I61" i="51" s="1"/>
  <c r="I75" i="51" s="1"/>
  <c r="H54" i="51"/>
  <c r="H61" i="51" s="1"/>
  <c r="H75" i="51" s="1"/>
  <c r="G54" i="51"/>
  <c r="G61" i="51" s="1"/>
  <c r="G75" i="51" s="1"/>
  <c r="F54" i="51"/>
  <c r="F61" i="51" s="1"/>
  <c r="F75" i="51" s="1"/>
  <c r="E54" i="51"/>
  <c r="E61" i="51" s="1"/>
  <c r="E75" i="51" s="1"/>
  <c r="AW49" i="51"/>
  <c r="AV49" i="51"/>
  <c r="AU49" i="51"/>
  <c r="AT49" i="51"/>
  <c r="AS49" i="51"/>
  <c r="AR49" i="51"/>
  <c r="AQ49" i="51"/>
  <c r="AP49" i="51"/>
  <c r="AO49" i="51"/>
  <c r="AN49" i="51"/>
  <c r="AM49" i="51"/>
  <c r="AL49" i="51"/>
  <c r="AK49" i="51"/>
  <c r="AJ49" i="51"/>
  <c r="AI49" i="51"/>
  <c r="AH49" i="51"/>
  <c r="AG49" i="51"/>
  <c r="AF49" i="51"/>
  <c r="AE49" i="51"/>
  <c r="AD49" i="51"/>
  <c r="AC49" i="51"/>
  <c r="AB49" i="51"/>
  <c r="AA49" i="51"/>
  <c r="Z49" i="51"/>
  <c r="Y49" i="51"/>
  <c r="X49" i="51"/>
  <c r="W49" i="51"/>
  <c r="V49" i="51"/>
  <c r="U49" i="51"/>
  <c r="T49" i="51"/>
  <c r="S49" i="51"/>
  <c r="R49" i="51"/>
  <c r="Q49" i="51"/>
  <c r="P49" i="51"/>
  <c r="O49" i="51"/>
  <c r="N49" i="51"/>
  <c r="M49" i="51"/>
  <c r="L49" i="51"/>
  <c r="K49" i="51"/>
  <c r="J49" i="51"/>
  <c r="I49" i="51"/>
  <c r="H49" i="51"/>
  <c r="G49" i="51"/>
  <c r="F49" i="51"/>
  <c r="E49" i="51"/>
  <c r="BQ48" i="51"/>
  <c r="E37" i="59" s="1"/>
  <c r="BE37" i="59" s="1"/>
  <c r="BA37" i="59" s="1"/>
  <c r="AV48" i="51"/>
  <c r="AU48" i="51"/>
  <c r="AT48" i="51"/>
  <c r="AS48" i="51"/>
  <c r="AQ48" i="51"/>
  <c r="AP48" i="51"/>
  <c r="AO48" i="51"/>
  <c r="AN48" i="51"/>
  <c r="AM48" i="51"/>
  <c r="AL48" i="51"/>
  <c r="AK48" i="51"/>
  <c r="AJ48" i="51"/>
  <c r="AI48" i="51"/>
  <c r="AH48" i="51"/>
  <c r="AG48" i="51"/>
  <c r="AF48" i="51"/>
  <c r="AE48" i="51"/>
  <c r="AD48" i="51"/>
  <c r="AC48" i="51"/>
  <c r="AB48" i="51"/>
  <c r="AA48" i="51"/>
  <c r="Z48" i="51"/>
  <c r="Y48" i="51"/>
  <c r="X48" i="51"/>
  <c r="W48" i="51"/>
  <c r="V48" i="51"/>
  <c r="U48" i="51"/>
  <c r="T48" i="51"/>
  <c r="S48" i="51"/>
  <c r="R48" i="51"/>
  <c r="Q48" i="51"/>
  <c r="P48" i="51"/>
  <c r="O48" i="51"/>
  <c r="N48" i="51"/>
  <c r="M48" i="51"/>
  <c r="L48" i="51"/>
  <c r="K48" i="51"/>
  <c r="J48" i="51"/>
  <c r="I48" i="51"/>
  <c r="H48" i="51"/>
  <c r="G48" i="51"/>
  <c r="F48" i="51"/>
  <c r="E48" i="51"/>
  <c r="AW40" i="51"/>
  <c r="AV40" i="51"/>
  <c r="AU40" i="51"/>
  <c r="AT40" i="51"/>
  <c r="AS40" i="51"/>
  <c r="AR40" i="51"/>
  <c r="AQ40" i="51"/>
  <c r="AP40" i="51"/>
  <c r="AO40" i="51"/>
  <c r="AN40" i="51"/>
  <c r="AM40" i="51"/>
  <c r="AL40" i="51"/>
  <c r="AK40" i="51"/>
  <c r="AJ40" i="51"/>
  <c r="AI40" i="51"/>
  <c r="AH40" i="51"/>
  <c r="AG40" i="51"/>
  <c r="AF40" i="51"/>
  <c r="AE40" i="51"/>
  <c r="AD40" i="51"/>
  <c r="AC40" i="51"/>
  <c r="AB40" i="51"/>
  <c r="AA40" i="51"/>
  <c r="Z40" i="51"/>
  <c r="Y40" i="51"/>
  <c r="X40" i="51"/>
  <c r="W40" i="51"/>
  <c r="V40" i="51"/>
  <c r="U40" i="51"/>
  <c r="T40" i="51"/>
  <c r="S40" i="51"/>
  <c r="R40" i="51"/>
  <c r="Q40" i="51"/>
  <c r="P40" i="51"/>
  <c r="O40" i="51"/>
  <c r="N40" i="51"/>
  <c r="M40" i="51"/>
  <c r="L40" i="51"/>
  <c r="K40" i="51"/>
  <c r="J40" i="51"/>
  <c r="I40" i="51"/>
  <c r="H40" i="51"/>
  <c r="G40" i="51"/>
  <c r="F40" i="51"/>
  <c r="E40" i="51"/>
  <c r="BQ39" i="51"/>
  <c r="BP39" i="51"/>
  <c r="BO39" i="51"/>
  <c r="BN39" i="51"/>
  <c r="BM39" i="51"/>
  <c r="BL39" i="51"/>
  <c r="BK39" i="51"/>
  <c r="BJ39" i="51"/>
  <c r="BI39" i="51"/>
  <c r="BH39" i="51"/>
  <c r="BG39" i="51"/>
  <c r="BF39" i="51"/>
  <c r="BE39" i="51"/>
  <c r="BD39" i="51"/>
  <c r="BC39" i="51"/>
  <c r="BB39" i="51"/>
  <c r="BA39" i="51"/>
  <c r="AZ39" i="51"/>
  <c r="AY39" i="51"/>
  <c r="AX39" i="51"/>
  <c r="AW39" i="51"/>
  <c r="AV39" i="51"/>
  <c r="AU39" i="51"/>
  <c r="AT39" i="51"/>
  <c r="AS39" i="51"/>
  <c r="AR39" i="51"/>
  <c r="AQ39" i="51"/>
  <c r="AP39" i="51"/>
  <c r="AO39" i="51"/>
  <c r="AN39" i="51"/>
  <c r="AM39" i="51"/>
  <c r="AL39" i="51"/>
  <c r="AK39" i="51"/>
  <c r="AJ39" i="51"/>
  <c r="AI39" i="51"/>
  <c r="AH39" i="51"/>
  <c r="AG39" i="51"/>
  <c r="AF39" i="51"/>
  <c r="AE39" i="51"/>
  <c r="AD39" i="51"/>
  <c r="AC39" i="51"/>
  <c r="AB39" i="51"/>
  <c r="AA39" i="51"/>
  <c r="Z39" i="51"/>
  <c r="Y39" i="51"/>
  <c r="X39" i="51"/>
  <c r="W39" i="51"/>
  <c r="V39" i="51"/>
  <c r="U39" i="51"/>
  <c r="T39" i="51"/>
  <c r="S39" i="51"/>
  <c r="R39" i="51"/>
  <c r="Q39" i="51"/>
  <c r="P39" i="51"/>
  <c r="O39" i="51"/>
  <c r="N39" i="51"/>
  <c r="M39" i="51"/>
  <c r="L39" i="51"/>
  <c r="K39" i="51"/>
  <c r="J39" i="51"/>
  <c r="I39" i="51"/>
  <c r="H39" i="51"/>
  <c r="G39" i="51"/>
  <c r="F39" i="51"/>
  <c r="E39" i="51"/>
  <c r="BQ36" i="51"/>
  <c r="BP36" i="51"/>
  <c r="BO36" i="51"/>
  <c r="BN36" i="51"/>
  <c r="BM36" i="51"/>
  <c r="BL36" i="51"/>
  <c r="BK36" i="51"/>
  <c r="BJ36" i="51"/>
  <c r="BI36" i="51"/>
  <c r="BH36" i="51"/>
  <c r="BG36" i="51"/>
  <c r="BF36" i="51"/>
  <c r="BE36" i="51"/>
  <c r="BD36" i="51"/>
  <c r="BC36" i="51"/>
  <c r="BB36" i="51"/>
  <c r="BA36" i="51"/>
  <c r="AZ36" i="51"/>
  <c r="AY36" i="51"/>
  <c r="AX36" i="51"/>
  <c r="AU36" i="51"/>
  <c r="AT36" i="51"/>
  <c r="AS36" i="51"/>
  <c r="AQ36" i="51"/>
  <c r="AP36" i="51"/>
  <c r="AO36" i="51"/>
  <c r="AN36" i="51"/>
  <c r="AR36" i="51" s="1"/>
  <c r="AM36" i="51"/>
  <c r="AL36" i="51"/>
  <c r="AK36" i="51"/>
  <c r="AJ36" i="51"/>
  <c r="AI36" i="51"/>
  <c r="AH36" i="51"/>
  <c r="AG36" i="51"/>
  <c r="AF36" i="51"/>
  <c r="AE36" i="51"/>
  <c r="AD36" i="51"/>
  <c r="AC36" i="51"/>
  <c r="AB36" i="51"/>
  <c r="AA36" i="51"/>
  <c r="Z36" i="51"/>
  <c r="Y36" i="51"/>
  <c r="X36" i="51"/>
  <c r="W36" i="51"/>
  <c r="V36" i="51"/>
  <c r="U36" i="51"/>
  <c r="T36" i="51"/>
  <c r="S36" i="51"/>
  <c r="R36" i="51"/>
  <c r="Q36" i="51"/>
  <c r="P36" i="51"/>
  <c r="O36" i="51"/>
  <c r="N36" i="51"/>
  <c r="M36" i="51"/>
  <c r="L36" i="51"/>
  <c r="K36" i="51"/>
  <c r="J36" i="51"/>
  <c r="I36" i="51"/>
  <c r="H36" i="51"/>
  <c r="G36" i="51"/>
  <c r="F36" i="51"/>
  <c r="E36" i="51"/>
  <c r="BQ33" i="51"/>
  <c r="BP33" i="51"/>
  <c r="BO33" i="51"/>
  <c r="BN33" i="51"/>
  <c r="BM33" i="51"/>
  <c r="BL33" i="51"/>
  <c r="BK33" i="51"/>
  <c r="BJ33" i="51"/>
  <c r="BI33" i="51"/>
  <c r="BH33" i="51"/>
  <c r="BG33" i="51"/>
  <c r="BF33" i="51"/>
  <c r="BE33" i="51"/>
  <c r="BD33" i="51"/>
  <c r="BC33" i="51"/>
  <c r="BB33" i="51"/>
  <c r="BA33" i="51"/>
  <c r="AZ33" i="51"/>
  <c r="AY33" i="51"/>
  <c r="AX33" i="51"/>
  <c r="AV33" i="51"/>
  <c r="AU33" i="51"/>
  <c r="AT33" i="51"/>
  <c r="AS33" i="51"/>
  <c r="AW33" i="51" s="1"/>
  <c r="AQ33" i="51"/>
  <c r="AP33" i="51"/>
  <c r="AO33" i="51"/>
  <c r="AN33" i="51"/>
  <c r="AR33" i="51" s="1"/>
  <c r="AM33" i="51"/>
  <c r="AL33" i="51"/>
  <c r="AK33" i="51"/>
  <c r="AJ33" i="51"/>
  <c r="AI33" i="51"/>
  <c r="AH33" i="51"/>
  <c r="AG33" i="51"/>
  <c r="AF33" i="51"/>
  <c r="AE33" i="51"/>
  <c r="AD33" i="51"/>
  <c r="AC33" i="51"/>
  <c r="AB33" i="51"/>
  <c r="AA33" i="51"/>
  <c r="Z33" i="51"/>
  <c r="Y33" i="51"/>
  <c r="X33" i="51"/>
  <c r="W33" i="51"/>
  <c r="V33" i="51"/>
  <c r="U33" i="51"/>
  <c r="T33" i="51"/>
  <c r="S33" i="51"/>
  <c r="R33" i="51"/>
  <c r="Q33" i="51"/>
  <c r="P33" i="51"/>
  <c r="O33" i="51"/>
  <c r="N33" i="51"/>
  <c r="M33" i="51"/>
  <c r="L33" i="51"/>
  <c r="K33" i="51"/>
  <c r="J33" i="51"/>
  <c r="I33" i="51"/>
  <c r="H33" i="51"/>
  <c r="G33" i="51"/>
  <c r="F33" i="51"/>
  <c r="E33" i="51"/>
  <c r="AV30" i="51"/>
  <c r="AU30" i="51"/>
  <c r="AT30" i="51"/>
  <c r="AS30" i="51"/>
  <c r="AW30" i="51" s="1"/>
  <c r="AQ30" i="51"/>
  <c r="AP30" i="51"/>
  <c r="AO30" i="51"/>
  <c r="AN30" i="51"/>
  <c r="AR30" i="51" s="1"/>
  <c r="AM30" i="51"/>
  <c r="AL30" i="51"/>
  <c r="AK30" i="51"/>
  <c r="AJ30" i="51"/>
  <c r="AI30" i="51"/>
  <c r="AH30" i="51"/>
  <c r="AG30" i="51"/>
  <c r="AF30" i="51"/>
  <c r="AE30" i="51"/>
  <c r="AD30" i="51"/>
  <c r="AC30" i="51"/>
  <c r="AB30" i="51"/>
  <c r="AA30" i="51"/>
  <c r="Z30" i="51"/>
  <c r="Y30" i="51"/>
  <c r="X30" i="51"/>
  <c r="W30" i="51"/>
  <c r="V30" i="51"/>
  <c r="U30" i="51"/>
  <c r="T30" i="51"/>
  <c r="S30" i="51"/>
  <c r="R30" i="51"/>
  <c r="Q30" i="51"/>
  <c r="P30" i="51"/>
  <c r="O30" i="51"/>
  <c r="N30" i="51"/>
  <c r="M30" i="51"/>
  <c r="L30" i="51"/>
  <c r="K30" i="51"/>
  <c r="J30" i="51"/>
  <c r="I30" i="51"/>
  <c r="H30" i="51"/>
  <c r="G30" i="51"/>
  <c r="F30" i="51"/>
  <c r="E30" i="51"/>
  <c r="AU26" i="51"/>
  <c r="AT26" i="51"/>
  <c r="AS26" i="51"/>
  <c r="AQ26" i="51"/>
  <c r="AP26" i="51"/>
  <c r="AO26" i="51"/>
  <c r="AN26" i="51"/>
  <c r="AR26" i="51" s="1"/>
  <c r="AM26" i="51"/>
  <c r="AL26" i="51"/>
  <c r="AK26" i="51"/>
  <c r="AJ26" i="51"/>
  <c r="AI26" i="51"/>
  <c r="AH26" i="51"/>
  <c r="AG26" i="51"/>
  <c r="AF26" i="51"/>
  <c r="AE26" i="51"/>
  <c r="AD26" i="51"/>
  <c r="AC26" i="51"/>
  <c r="AB26" i="51"/>
  <c r="AA26" i="51"/>
  <c r="Z26" i="51"/>
  <c r="Y26" i="51"/>
  <c r="X26" i="51"/>
  <c r="W26" i="51"/>
  <c r="V26" i="51"/>
  <c r="U26" i="51"/>
  <c r="T26" i="51"/>
  <c r="S26" i="51"/>
  <c r="R26" i="51"/>
  <c r="Q26" i="51"/>
  <c r="P26" i="51"/>
  <c r="O26" i="51"/>
  <c r="N26" i="51"/>
  <c r="M26" i="51"/>
  <c r="L26" i="51"/>
  <c r="K26" i="51"/>
  <c r="J26" i="51"/>
  <c r="I26" i="51"/>
  <c r="H26" i="51"/>
  <c r="G26" i="51"/>
  <c r="F26" i="51"/>
  <c r="E26" i="51"/>
  <c r="AV21" i="51"/>
  <c r="BA21" i="51" s="1"/>
  <c r="BF21" i="51" s="1"/>
  <c r="BK21" i="51" s="1"/>
  <c r="BP21" i="51" s="1"/>
  <c r="AU21" i="51"/>
  <c r="AZ21" i="51" s="1"/>
  <c r="BE21" i="51" s="1"/>
  <c r="BJ21" i="51" s="1"/>
  <c r="BO21" i="51" s="1"/>
  <c r="AT21" i="51"/>
  <c r="AY21" i="51" s="1"/>
  <c r="BD21" i="51" s="1"/>
  <c r="BI21" i="51" s="1"/>
  <c r="BN21" i="51" s="1"/>
  <c r="AS21" i="51"/>
  <c r="AX21" i="51" s="1"/>
  <c r="AQ21" i="51"/>
  <c r="AP21" i="51"/>
  <c r="AO21" i="51"/>
  <c r="AN21" i="51"/>
  <c r="AR21" i="51" s="1"/>
  <c r="AM21" i="51"/>
  <c r="AL21" i="51"/>
  <c r="AK21" i="51"/>
  <c r="AJ21" i="51"/>
  <c r="AI21" i="51"/>
  <c r="AH21" i="51"/>
  <c r="AG21" i="51"/>
  <c r="AF21" i="51"/>
  <c r="AE21" i="51"/>
  <c r="AD21" i="51"/>
  <c r="AC21" i="51"/>
  <c r="AB21" i="51"/>
  <c r="AA21" i="51"/>
  <c r="Z21" i="51"/>
  <c r="Y21" i="51"/>
  <c r="X21" i="51"/>
  <c r="W21" i="51"/>
  <c r="V21" i="51"/>
  <c r="U21" i="51"/>
  <c r="T21" i="51"/>
  <c r="S21" i="51"/>
  <c r="R21" i="51"/>
  <c r="Q21" i="51"/>
  <c r="P21" i="51"/>
  <c r="O21" i="51"/>
  <c r="N21" i="51"/>
  <c r="M21" i="51"/>
  <c r="L21" i="51"/>
  <c r="K21" i="51"/>
  <c r="J21" i="51"/>
  <c r="I21" i="51"/>
  <c r="H21" i="51"/>
  <c r="G21" i="51"/>
  <c r="F21" i="51"/>
  <c r="E21" i="51"/>
  <c r="BQ17" i="51"/>
  <c r="BL17" i="51"/>
  <c r="BG17" i="51"/>
  <c r="BB17" i="51"/>
  <c r="AV17" i="51"/>
  <c r="AU17" i="51"/>
  <c r="AT17" i="51"/>
  <c r="AS17" i="51"/>
  <c r="AW17" i="51" s="1"/>
  <c r="AQ17" i="51"/>
  <c r="AP17" i="51"/>
  <c r="AO17" i="51"/>
  <c r="AN17" i="51"/>
  <c r="AR17" i="51" s="1"/>
  <c r="AM17" i="51"/>
  <c r="AL17" i="51"/>
  <c r="AK17" i="51"/>
  <c r="AJ17" i="51"/>
  <c r="AI17" i="51"/>
  <c r="AH17" i="51"/>
  <c r="AG17" i="51"/>
  <c r="AF17" i="51"/>
  <c r="AE17" i="51"/>
  <c r="AD17" i="51"/>
  <c r="AC17" i="51"/>
  <c r="AB17" i="51"/>
  <c r="AA17" i="51"/>
  <c r="Z17" i="51"/>
  <c r="Y17" i="51"/>
  <c r="X17" i="51"/>
  <c r="W17" i="51"/>
  <c r="V17" i="51"/>
  <c r="U17" i="51"/>
  <c r="T17" i="51"/>
  <c r="S17" i="51"/>
  <c r="R17" i="51"/>
  <c r="Q17" i="51"/>
  <c r="P17" i="51"/>
  <c r="O17" i="51"/>
  <c r="N17" i="51"/>
  <c r="M17" i="51"/>
  <c r="L17" i="51"/>
  <c r="K17" i="51"/>
  <c r="J17" i="51"/>
  <c r="I17" i="51"/>
  <c r="H17" i="51"/>
  <c r="G17" i="51"/>
  <c r="F17" i="51"/>
  <c r="E17" i="51"/>
  <c r="AV14" i="51"/>
  <c r="BA14" i="51" s="1"/>
  <c r="BF14" i="51" s="1"/>
  <c r="BK14" i="51" s="1"/>
  <c r="BP14" i="51" s="1"/>
  <c r="AU14" i="51"/>
  <c r="AZ14" i="51" s="1"/>
  <c r="BE14" i="51" s="1"/>
  <c r="BJ14" i="51" s="1"/>
  <c r="BO14" i="51" s="1"/>
  <c r="AT14" i="51"/>
  <c r="AY14" i="51" s="1"/>
  <c r="BD14" i="51" s="1"/>
  <c r="BI14" i="51" s="1"/>
  <c r="BN14" i="51" s="1"/>
  <c r="AS14" i="51"/>
  <c r="AX14" i="51" s="1"/>
  <c r="AQ14" i="51"/>
  <c r="AP14" i="51"/>
  <c r="AO14" i="51"/>
  <c r="AN14" i="51"/>
  <c r="AR14" i="51" s="1"/>
  <c r="AM14" i="51"/>
  <c r="AL14" i="51"/>
  <c r="AK14" i="51"/>
  <c r="AJ14" i="51"/>
  <c r="AI14" i="51"/>
  <c r="AH14" i="51"/>
  <c r="AG14" i="51"/>
  <c r="AF14" i="51"/>
  <c r="AE14" i="51"/>
  <c r="AD14" i="51"/>
  <c r="AC14" i="51"/>
  <c r="AB14" i="51"/>
  <c r="AA14" i="51"/>
  <c r="Z14" i="51"/>
  <c r="Y14" i="51"/>
  <c r="X14" i="51"/>
  <c r="W14" i="51"/>
  <c r="V14" i="51"/>
  <c r="U14" i="51"/>
  <c r="T14" i="51"/>
  <c r="S14" i="51"/>
  <c r="R14" i="51"/>
  <c r="Q14" i="51"/>
  <c r="P14" i="51"/>
  <c r="O14" i="51"/>
  <c r="N14" i="51"/>
  <c r="M14" i="51"/>
  <c r="L14" i="51"/>
  <c r="K14" i="51"/>
  <c r="J14" i="51"/>
  <c r="I14" i="51"/>
  <c r="H14" i="51"/>
  <c r="G14" i="51"/>
  <c r="F14" i="51"/>
  <c r="E14" i="51"/>
  <c r="AV13" i="51"/>
  <c r="AX13" i="51" s="1"/>
  <c r="AU13" i="51"/>
  <c r="AZ13" i="51" s="1"/>
  <c r="AT13" i="51"/>
  <c r="AY13" i="51" s="1"/>
  <c r="AS13" i="51"/>
  <c r="AW13" i="51" s="1"/>
  <c r="AQ13" i="51"/>
  <c r="AP13" i="51"/>
  <c r="AO13" i="51"/>
  <c r="AN13" i="51"/>
  <c r="AR13" i="51" s="1"/>
  <c r="AM13" i="51"/>
  <c r="AL13" i="51"/>
  <c r="AK13" i="51"/>
  <c r="AJ13" i="51"/>
  <c r="AI13" i="51"/>
  <c r="AH13" i="51"/>
  <c r="AG13" i="51"/>
  <c r="AF13" i="51"/>
  <c r="AE13" i="51"/>
  <c r="AD13" i="51"/>
  <c r="AC13" i="51"/>
  <c r="AB13" i="51"/>
  <c r="AA13" i="51"/>
  <c r="Z13" i="51"/>
  <c r="Y13" i="51"/>
  <c r="X13" i="51"/>
  <c r="W13" i="51"/>
  <c r="V13" i="51"/>
  <c r="U13" i="51"/>
  <c r="T13" i="51"/>
  <c r="S13" i="51"/>
  <c r="R13" i="51"/>
  <c r="Q13" i="51"/>
  <c r="P13" i="51"/>
  <c r="O13" i="51"/>
  <c r="N13" i="51"/>
  <c r="M13" i="51"/>
  <c r="L13" i="51"/>
  <c r="K13" i="51"/>
  <c r="J13" i="51"/>
  <c r="I13" i="51"/>
  <c r="H13" i="51"/>
  <c r="G13" i="51"/>
  <c r="F13" i="51"/>
  <c r="E13" i="51"/>
  <c r="AU12" i="51"/>
  <c r="AZ12" i="51" s="1"/>
  <c r="AT12" i="51"/>
  <c r="AY12" i="51" s="1"/>
  <c r="AS12" i="51"/>
  <c r="AS15" i="51" s="1"/>
  <c r="AQ12" i="51"/>
  <c r="AQ15" i="51" s="1"/>
  <c r="AP12" i="51"/>
  <c r="AP15" i="51" s="1"/>
  <c r="AO12" i="51"/>
  <c r="AO15" i="51" s="1"/>
  <c r="AN12" i="51"/>
  <c r="AR12" i="51" s="1"/>
  <c r="AM12" i="51"/>
  <c r="AM15" i="51" s="1"/>
  <c r="AL12" i="51"/>
  <c r="AL15" i="51" s="1"/>
  <c r="AK12" i="51"/>
  <c r="AK15" i="51" s="1"/>
  <c r="AJ12" i="51"/>
  <c r="AJ15" i="51" s="1"/>
  <c r="AI12" i="51"/>
  <c r="AI15" i="51" s="1"/>
  <c r="AH12" i="51"/>
  <c r="AH15" i="51" s="1"/>
  <c r="AG12" i="51"/>
  <c r="AG15" i="51" s="1"/>
  <c r="AF12" i="51"/>
  <c r="AF15" i="51" s="1"/>
  <c r="AE12" i="51"/>
  <c r="AE15" i="51" s="1"/>
  <c r="AD12" i="51"/>
  <c r="AD15" i="51" s="1"/>
  <c r="AC12" i="51"/>
  <c r="AC15" i="51" s="1"/>
  <c r="AB12" i="51"/>
  <c r="AB15" i="51" s="1"/>
  <c r="AA12" i="51"/>
  <c r="AA15" i="51" s="1"/>
  <c r="Z12" i="51"/>
  <c r="Z15" i="51" s="1"/>
  <c r="Y12" i="51"/>
  <c r="Y15" i="51" s="1"/>
  <c r="X12" i="51"/>
  <c r="X15" i="51" s="1"/>
  <c r="W12" i="51"/>
  <c r="W15" i="51" s="1"/>
  <c r="V12" i="51"/>
  <c r="V15" i="51" s="1"/>
  <c r="U12" i="51"/>
  <c r="U15" i="51" s="1"/>
  <c r="T12" i="51"/>
  <c r="T15" i="51" s="1"/>
  <c r="S12" i="51"/>
  <c r="S15" i="51" s="1"/>
  <c r="R12" i="51"/>
  <c r="R15" i="51" s="1"/>
  <c r="Q12" i="51"/>
  <c r="Q15" i="51" s="1"/>
  <c r="P12" i="51"/>
  <c r="P15" i="51" s="1"/>
  <c r="O12" i="51"/>
  <c r="O15" i="51" s="1"/>
  <c r="N12" i="51"/>
  <c r="N15" i="51" s="1"/>
  <c r="M12" i="51"/>
  <c r="M15" i="51" s="1"/>
  <c r="L12" i="51"/>
  <c r="L15" i="51" s="1"/>
  <c r="K12" i="51"/>
  <c r="K15" i="51" s="1"/>
  <c r="J12" i="51"/>
  <c r="J15" i="51" s="1"/>
  <c r="I12" i="51"/>
  <c r="I15" i="51" s="1"/>
  <c r="H12" i="51"/>
  <c r="H15" i="51" s="1"/>
  <c r="G12" i="51"/>
  <c r="G15" i="51" s="1"/>
  <c r="F12" i="51"/>
  <c r="F15" i="51" s="1"/>
  <c r="E12" i="51"/>
  <c r="E15" i="51" s="1"/>
  <c r="BA10" i="51"/>
  <c r="AZ10" i="51"/>
  <c r="AY10" i="51"/>
  <c r="AX10" i="51"/>
  <c r="BQ9" i="51"/>
  <c r="BL9" i="51"/>
  <c r="BG9" i="51"/>
  <c r="BB9" i="51"/>
  <c r="BB8" i="51"/>
  <c r="BE10" i="51"/>
  <c r="BD10" i="51"/>
  <c r="AU9" i="51"/>
  <c r="AT9" i="51"/>
  <c r="AS9" i="51"/>
  <c r="AQ9" i="51"/>
  <c r="AP9" i="51"/>
  <c r="AO9" i="51"/>
  <c r="AN9" i="51"/>
  <c r="AR9" i="51" s="1"/>
  <c r="AM9" i="51"/>
  <c r="AL9" i="51"/>
  <c r="AK9" i="51"/>
  <c r="AJ9" i="51"/>
  <c r="AI9" i="51"/>
  <c r="AH9" i="51"/>
  <c r="AG9" i="51"/>
  <c r="AF9" i="51"/>
  <c r="AE9" i="51"/>
  <c r="AD9" i="51"/>
  <c r="AC9" i="51"/>
  <c r="AB9" i="51"/>
  <c r="AA9" i="51"/>
  <c r="Z9" i="51"/>
  <c r="Y9" i="51"/>
  <c r="X9" i="51"/>
  <c r="W9" i="51"/>
  <c r="V9" i="51"/>
  <c r="U9" i="51"/>
  <c r="T9" i="51"/>
  <c r="S9" i="51"/>
  <c r="R9" i="51"/>
  <c r="Q9" i="51"/>
  <c r="P9" i="51"/>
  <c r="O9" i="51"/>
  <c r="N9" i="51"/>
  <c r="M9" i="51"/>
  <c r="L9" i="51"/>
  <c r="K9" i="51"/>
  <c r="J9" i="51"/>
  <c r="I9" i="51"/>
  <c r="H9" i="51"/>
  <c r="G9" i="51"/>
  <c r="F9" i="51"/>
  <c r="E9" i="51"/>
  <c r="AV8" i="51"/>
  <c r="AU8" i="51"/>
  <c r="AT8" i="51"/>
  <c r="AS8" i="51"/>
  <c r="AS10" i="51" s="1"/>
  <c r="AQ8" i="51"/>
  <c r="AQ19" i="51" s="1"/>
  <c r="AQ23" i="51" s="1"/>
  <c r="AP8" i="51"/>
  <c r="AP19" i="51" s="1"/>
  <c r="AP23" i="51" s="1"/>
  <c r="AO8" i="51"/>
  <c r="AO10" i="51" s="1"/>
  <c r="AN8" i="51"/>
  <c r="AN10" i="51" s="1"/>
  <c r="AM8" i="51"/>
  <c r="AM19" i="51" s="1"/>
  <c r="AM23" i="51" s="1"/>
  <c r="AL8" i="51"/>
  <c r="AL19" i="51" s="1"/>
  <c r="AL23" i="51" s="1"/>
  <c r="AK8" i="51"/>
  <c r="AK10" i="51" s="1"/>
  <c r="AJ8" i="51"/>
  <c r="AJ10" i="51" s="1"/>
  <c r="AI8" i="51"/>
  <c r="AI19" i="51" s="1"/>
  <c r="AI23" i="51" s="1"/>
  <c r="AH8" i="51"/>
  <c r="AH19" i="51" s="1"/>
  <c r="AH23" i="51" s="1"/>
  <c r="AG8" i="51"/>
  <c r="AG10" i="51" s="1"/>
  <c r="AF8" i="51"/>
  <c r="AF10" i="51" s="1"/>
  <c r="AE8" i="51"/>
  <c r="AE19" i="51" s="1"/>
  <c r="AE23" i="51" s="1"/>
  <c r="AD8" i="51"/>
  <c r="AD19" i="51" s="1"/>
  <c r="AD23" i="51" s="1"/>
  <c r="AC8" i="51"/>
  <c r="AC10" i="51" s="1"/>
  <c r="AB8" i="51"/>
  <c r="AB10" i="51" s="1"/>
  <c r="AA8" i="51"/>
  <c r="AA19" i="51" s="1"/>
  <c r="AA23" i="51" s="1"/>
  <c r="Z8" i="51"/>
  <c r="Z19" i="51" s="1"/>
  <c r="Z23" i="51" s="1"/>
  <c r="Y8" i="51"/>
  <c r="Y10" i="51" s="1"/>
  <c r="X8" i="51"/>
  <c r="X10" i="51" s="1"/>
  <c r="W8" i="51"/>
  <c r="W19" i="51" s="1"/>
  <c r="W23" i="51" s="1"/>
  <c r="V8" i="51"/>
  <c r="V19" i="51" s="1"/>
  <c r="V23" i="51" s="1"/>
  <c r="U8" i="51"/>
  <c r="U10" i="51" s="1"/>
  <c r="T8" i="51"/>
  <c r="T10" i="51" s="1"/>
  <c r="S8" i="51"/>
  <c r="S19" i="51" s="1"/>
  <c r="S23" i="51" s="1"/>
  <c r="R8" i="51"/>
  <c r="R19" i="51" s="1"/>
  <c r="R23" i="51" s="1"/>
  <c r="Q8" i="51"/>
  <c r="Q10" i="51" s="1"/>
  <c r="P8" i="51"/>
  <c r="P10" i="51" s="1"/>
  <c r="O8" i="51"/>
  <c r="O19" i="51" s="1"/>
  <c r="N8" i="51"/>
  <c r="N19" i="51" s="1"/>
  <c r="N23" i="51" s="1"/>
  <c r="M8" i="51"/>
  <c r="M10" i="51" s="1"/>
  <c r="L8" i="51"/>
  <c r="L10" i="51" s="1"/>
  <c r="K8" i="51"/>
  <c r="K19" i="51" s="1"/>
  <c r="K23" i="51" s="1"/>
  <c r="J8" i="51"/>
  <c r="J19" i="51" s="1"/>
  <c r="J23" i="51" s="1"/>
  <c r="I8" i="51"/>
  <c r="I10" i="51" s="1"/>
  <c r="H8" i="51"/>
  <c r="H10" i="51" s="1"/>
  <c r="G8" i="51"/>
  <c r="G19" i="51" s="1"/>
  <c r="G23" i="51" s="1"/>
  <c r="F8" i="51"/>
  <c r="F19" i="51" s="1"/>
  <c r="F23" i="51" s="1"/>
  <c r="E8" i="51"/>
  <c r="E10" i="51" s="1"/>
  <c r="B2" i="51"/>
  <c r="AR261" i="100"/>
  <c r="AM261" i="100"/>
  <c r="AL257" i="100"/>
  <c r="AM257" i="100" s="1"/>
  <c r="AN257" i="100" s="1"/>
  <c r="AO257" i="100" s="1"/>
  <c r="AP257" i="100" s="1"/>
  <c r="AQ257" i="100" s="1"/>
  <c r="AR257" i="100" s="1"/>
  <c r="AS257" i="100" s="1"/>
  <c r="AT257" i="100" s="1"/>
  <c r="AU257" i="100" s="1"/>
  <c r="AV257" i="100" s="1"/>
  <c r="AW257" i="100" s="1"/>
  <c r="AX257" i="100" s="1"/>
  <c r="AY257" i="100" s="1"/>
  <c r="AZ257" i="100" s="1"/>
  <c r="BA257" i="100" s="1"/>
  <c r="BB257" i="100" s="1"/>
  <c r="BC257" i="100" s="1"/>
  <c r="BD257" i="100" s="1"/>
  <c r="BE257" i="100" s="1"/>
  <c r="BF257" i="100" s="1"/>
  <c r="BG257" i="100" s="1"/>
  <c r="S249" i="100"/>
  <c r="BL248" i="100"/>
  <c r="BG248" i="100"/>
  <c r="BB248" i="100"/>
  <c r="AW248" i="100"/>
  <c r="AR248" i="100"/>
  <c r="AM248" i="100"/>
  <c r="AH248" i="100"/>
  <c r="AC248" i="100"/>
  <c r="X248" i="100"/>
  <c r="X244" i="100"/>
  <c r="S248" i="100"/>
  <c r="N248" i="100"/>
  <c r="I248" i="100"/>
  <c r="I247" i="100"/>
  <c r="D246" i="100"/>
  <c r="I229" i="100"/>
  <c r="AR229" i="100"/>
  <c r="AM229" i="100"/>
  <c r="AH229" i="100"/>
  <c r="AC229" i="100"/>
  <c r="X229" i="100"/>
  <c r="S229" i="100"/>
  <c r="N229" i="100"/>
  <c r="R217" i="100"/>
  <c r="M217" i="100"/>
  <c r="BB215" i="100"/>
  <c r="BC215" i="100" s="1"/>
  <c r="BD215" i="100" s="1"/>
  <c r="BE215" i="100" s="1"/>
  <c r="BF215" i="100" s="1"/>
  <c r="BG215" i="100" s="1"/>
  <c r="BH215" i="100" s="1"/>
  <c r="BI215" i="100" s="1"/>
  <c r="BJ215" i="100" s="1"/>
  <c r="BK215" i="100" s="1"/>
  <c r="BL215" i="100" s="1"/>
  <c r="AX215" i="100"/>
  <c r="AY215" i="100" s="1"/>
  <c r="AZ215" i="100" s="1"/>
  <c r="BA215" i="100" s="1"/>
  <c r="AT215" i="100"/>
  <c r="AU215" i="100" s="1"/>
  <c r="AV215" i="100" s="1"/>
  <c r="AW215" i="100" s="1"/>
  <c r="AS215" i="100"/>
  <c r="R215" i="100"/>
  <c r="M215" i="100"/>
  <c r="S212" i="100"/>
  <c r="AQ211" i="100"/>
  <c r="AP211" i="100"/>
  <c r="AO211" i="100"/>
  <c r="AN211" i="100"/>
  <c r="AL211" i="100"/>
  <c r="AK211" i="100"/>
  <c r="AJ211" i="100"/>
  <c r="AI211" i="100"/>
  <c r="AG211" i="100"/>
  <c r="AF211" i="100"/>
  <c r="AE211" i="100"/>
  <c r="AD211" i="100"/>
  <c r="AB211" i="100"/>
  <c r="AA211" i="100"/>
  <c r="Z211" i="100"/>
  <c r="Y211" i="100"/>
  <c r="W211" i="100"/>
  <c r="V211" i="100"/>
  <c r="U211" i="100"/>
  <c r="T211" i="100"/>
  <c r="S211" i="100"/>
  <c r="Q211" i="100"/>
  <c r="Q212" i="100" s="1"/>
  <c r="P211" i="100"/>
  <c r="O211" i="100"/>
  <c r="O212" i="100" s="1"/>
  <c r="N211" i="100"/>
  <c r="M211" i="100"/>
  <c r="L211" i="100"/>
  <c r="K211" i="100"/>
  <c r="J211" i="100"/>
  <c r="I211" i="100"/>
  <c r="AQ210" i="100"/>
  <c r="AQ212" i="100" s="1"/>
  <c r="AP210" i="100"/>
  <c r="AP212" i="100" s="1"/>
  <c r="AO210" i="100"/>
  <c r="AO212" i="100" s="1"/>
  <c r="AN210" i="100"/>
  <c r="AN212" i="100" s="1"/>
  <c r="AL210" i="100"/>
  <c r="AL212" i="100" s="1"/>
  <c r="AK210" i="100"/>
  <c r="AK212" i="100" s="1"/>
  <c r="AJ210" i="100"/>
  <c r="AJ212" i="100" s="1"/>
  <c r="AI210" i="100"/>
  <c r="AI212" i="100" s="1"/>
  <c r="AG210" i="100"/>
  <c r="AG212" i="100" s="1"/>
  <c r="AF210" i="100"/>
  <c r="AF212" i="100" s="1"/>
  <c r="AE210" i="100"/>
  <c r="AE212" i="100" s="1"/>
  <c r="AD210" i="100"/>
  <c r="AD212" i="100" s="1"/>
  <c r="AB210" i="100"/>
  <c r="AB212" i="100" s="1"/>
  <c r="AA210" i="100"/>
  <c r="AA212" i="100" s="1"/>
  <c r="Z210" i="100"/>
  <c r="Z212" i="100" s="1"/>
  <c r="Y210" i="100"/>
  <c r="Y212" i="100" s="1"/>
  <c r="W210" i="100"/>
  <c r="W212" i="100" s="1"/>
  <c r="V210" i="100"/>
  <c r="V212" i="100" s="1"/>
  <c r="U210" i="100"/>
  <c r="U212" i="100" s="1"/>
  <c r="T210" i="100"/>
  <c r="T212" i="100" s="1"/>
  <c r="R210" i="100"/>
  <c r="M210" i="100"/>
  <c r="AQ208" i="100"/>
  <c r="AP208" i="100"/>
  <c r="AO208" i="100"/>
  <c r="AN208" i="100"/>
  <c r="AL208" i="100"/>
  <c r="AK208" i="100"/>
  <c r="AJ208" i="100"/>
  <c r="AI208" i="100"/>
  <c r="AG208" i="100"/>
  <c r="AF208" i="100"/>
  <c r="AE208" i="100"/>
  <c r="AD208" i="100"/>
  <c r="AB208" i="100"/>
  <c r="AA208" i="100"/>
  <c r="Z208" i="100"/>
  <c r="Y208" i="100"/>
  <c r="W208" i="100"/>
  <c r="V208" i="100"/>
  <c r="U208" i="100"/>
  <c r="T208" i="100"/>
  <c r="R208" i="100"/>
  <c r="M208" i="100"/>
  <c r="AQ201" i="100"/>
  <c r="AQ217" i="100" s="1"/>
  <c r="AP201" i="100"/>
  <c r="AP217" i="100" s="1"/>
  <c r="AO201" i="100"/>
  <c r="AN201" i="100"/>
  <c r="AN217" i="100" s="1"/>
  <c r="AM201" i="100"/>
  <c r="AM217" i="100" s="1"/>
  <c r="AL201" i="100"/>
  <c r="AL217" i="100" s="1"/>
  <c r="AK201" i="100"/>
  <c r="AJ201" i="100"/>
  <c r="AJ217" i="100" s="1"/>
  <c r="AI201" i="100"/>
  <c r="AI217" i="100" s="1"/>
  <c r="AH201" i="100"/>
  <c r="AH217" i="100" s="1"/>
  <c r="AG201" i="100"/>
  <c r="AG217" i="100" s="1"/>
  <c r="AF201" i="100"/>
  <c r="AF217" i="100" s="1"/>
  <c r="AE201" i="100"/>
  <c r="AE217" i="100" s="1"/>
  <c r="AD201" i="100"/>
  <c r="AD217" i="100" s="1"/>
  <c r="AB201" i="100"/>
  <c r="AC201" i="100" s="1"/>
  <c r="AA201" i="100"/>
  <c r="AA217" i="100" s="1"/>
  <c r="Z201" i="100"/>
  <c r="Z217" i="100" s="1"/>
  <c r="Y201" i="100"/>
  <c r="W201" i="100"/>
  <c r="W217" i="100" s="1"/>
  <c r="V201" i="100"/>
  <c r="V217" i="100" s="1"/>
  <c r="U201" i="100"/>
  <c r="T201" i="100"/>
  <c r="T217" i="100" s="1"/>
  <c r="AM200" i="100"/>
  <c r="AM199" i="100"/>
  <c r="AM198" i="100"/>
  <c r="AH200" i="100"/>
  <c r="AH199" i="100"/>
  <c r="AH198" i="100"/>
  <c r="AC200" i="100"/>
  <c r="AC199" i="100"/>
  <c r="AC198" i="100"/>
  <c r="X200" i="100"/>
  <c r="X199" i="100"/>
  <c r="X198" i="100"/>
  <c r="AR200" i="100"/>
  <c r="AS199" i="100"/>
  <c r="AT199" i="100" s="1"/>
  <c r="AU199" i="100" s="1"/>
  <c r="AV199" i="100" s="1"/>
  <c r="AW199" i="100" s="1"/>
  <c r="AX199" i="100" s="1"/>
  <c r="AY199" i="100" s="1"/>
  <c r="AZ199" i="100" s="1"/>
  <c r="BA199" i="100" s="1"/>
  <c r="BB199" i="100" s="1"/>
  <c r="BC199" i="100" s="1"/>
  <c r="BD199" i="100" s="1"/>
  <c r="BE199" i="100" s="1"/>
  <c r="BF199" i="100" s="1"/>
  <c r="BG199" i="100" s="1"/>
  <c r="BH199" i="100" s="1"/>
  <c r="BI199" i="100" s="1"/>
  <c r="BJ199" i="100" s="1"/>
  <c r="BK199" i="100" s="1"/>
  <c r="BL199" i="100" s="1"/>
  <c r="AR199" i="100"/>
  <c r="AT198" i="100"/>
  <c r="AU198" i="100" s="1"/>
  <c r="AS198" i="100"/>
  <c r="AR198" i="100"/>
  <c r="AR194" i="100"/>
  <c r="AS194" i="100" s="1"/>
  <c r="AT194" i="100" s="1"/>
  <c r="AU194" i="100" s="1"/>
  <c r="AV194" i="100" s="1"/>
  <c r="AW194" i="100" s="1"/>
  <c r="AX194" i="100" s="1"/>
  <c r="AY194" i="100" s="1"/>
  <c r="AZ194" i="100" s="1"/>
  <c r="BA194" i="100" s="1"/>
  <c r="BB194" i="100" s="1"/>
  <c r="BC194" i="100" s="1"/>
  <c r="BD194" i="100" s="1"/>
  <c r="BE194" i="100" s="1"/>
  <c r="BF194" i="100" s="1"/>
  <c r="BG194" i="100" s="1"/>
  <c r="BH194" i="100" s="1"/>
  <c r="BI194" i="100" s="1"/>
  <c r="BJ194" i="100" s="1"/>
  <c r="BK194" i="100" s="1"/>
  <c r="BL194" i="100" s="1"/>
  <c r="AQ194" i="100"/>
  <c r="AP194" i="100"/>
  <c r="AO194" i="100"/>
  <c r="AN194" i="100"/>
  <c r="AM194" i="100"/>
  <c r="AL194" i="100"/>
  <c r="AK194" i="100"/>
  <c r="AJ194" i="100"/>
  <c r="AJ196" i="100" s="1"/>
  <c r="AJ203" i="100" s="1"/>
  <c r="AI194" i="100"/>
  <c r="AG194" i="100"/>
  <c r="AF194" i="100"/>
  <c r="AE194" i="100"/>
  <c r="AD194" i="100"/>
  <c r="AB194" i="100"/>
  <c r="AA194" i="100"/>
  <c r="Z194" i="100"/>
  <c r="Y194" i="100"/>
  <c r="X194" i="100"/>
  <c r="W194" i="100"/>
  <c r="V194" i="100"/>
  <c r="U194" i="100"/>
  <c r="T194" i="100"/>
  <c r="AM193" i="100"/>
  <c r="AM192" i="100"/>
  <c r="AM191" i="100"/>
  <c r="AM190" i="100"/>
  <c r="AH193" i="100"/>
  <c r="AH192" i="100"/>
  <c r="AH191" i="100"/>
  <c r="AH190" i="100"/>
  <c r="AC193" i="100"/>
  <c r="AC192" i="100"/>
  <c r="AC191" i="100"/>
  <c r="AC190" i="100"/>
  <c r="X193" i="100"/>
  <c r="X192" i="100"/>
  <c r="X191" i="100"/>
  <c r="X190" i="100"/>
  <c r="AR193" i="100"/>
  <c r="AX192" i="100"/>
  <c r="AY192" i="100" s="1"/>
  <c r="AZ192" i="100" s="1"/>
  <c r="BA192" i="100" s="1"/>
  <c r="BB192" i="100" s="1"/>
  <c r="BC192" i="100" s="1"/>
  <c r="BD192" i="100" s="1"/>
  <c r="BE192" i="100" s="1"/>
  <c r="BF192" i="100" s="1"/>
  <c r="BG192" i="100" s="1"/>
  <c r="BH192" i="100" s="1"/>
  <c r="BI192" i="100" s="1"/>
  <c r="BJ192" i="100" s="1"/>
  <c r="BK192" i="100" s="1"/>
  <c r="BL192" i="100" s="1"/>
  <c r="AT192" i="100"/>
  <c r="AU192" i="100" s="1"/>
  <c r="AV192" i="100" s="1"/>
  <c r="AW192" i="100" s="1"/>
  <c r="AS192" i="100"/>
  <c r="AR192" i="100"/>
  <c r="AU191" i="100"/>
  <c r="AV191" i="100" s="1"/>
  <c r="AW191" i="100" s="1"/>
  <c r="AX191" i="100" s="1"/>
  <c r="AY191" i="100" s="1"/>
  <c r="AZ191" i="100" s="1"/>
  <c r="BA191" i="100" s="1"/>
  <c r="BB191" i="100" s="1"/>
  <c r="BC191" i="100" s="1"/>
  <c r="BD191" i="100" s="1"/>
  <c r="BE191" i="100" s="1"/>
  <c r="BF191" i="100" s="1"/>
  <c r="BG191" i="100" s="1"/>
  <c r="BH191" i="100" s="1"/>
  <c r="BI191" i="100" s="1"/>
  <c r="BJ191" i="100" s="1"/>
  <c r="BK191" i="100" s="1"/>
  <c r="BL191" i="100" s="1"/>
  <c r="AR191" i="100"/>
  <c r="AS191" i="100" s="1"/>
  <c r="AT191" i="100" s="1"/>
  <c r="AR190" i="100"/>
  <c r="AJ188" i="100"/>
  <c r="AG188" i="100"/>
  <c r="AF188" i="100"/>
  <c r="Y188" i="100"/>
  <c r="T188" i="100"/>
  <c r="AT187" i="100"/>
  <c r="AU187" i="100" s="1"/>
  <c r="AV187" i="100" s="1"/>
  <c r="AW187" i="100" s="1"/>
  <c r="AX187" i="100" s="1"/>
  <c r="AY187" i="100" s="1"/>
  <c r="AZ187" i="100" s="1"/>
  <c r="BA187" i="100" s="1"/>
  <c r="BB187" i="100" s="1"/>
  <c r="BC187" i="100" s="1"/>
  <c r="BD187" i="100" s="1"/>
  <c r="BE187" i="100" s="1"/>
  <c r="BF187" i="100" s="1"/>
  <c r="BG187" i="100" s="1"/>
  <c r="BH187" i="100" s="1"/>
  <c r="BI187" i="100" s="1"/>
  <c r="BJ187" i="100" s="1"/>
  <c r="BK187" i="100" s="1"/>
  <c r="BL187" i="100" s="1"/>
  <c r="AS187" i="100"/>
  <c r="AQ187" i="100"/>
  <c r="AR187" i="100" s="1"/>
  <c r="AP187" i="100"/>
  <c r="AO187" i="100"/>
  <c r="AO188" i="100" s="1"/>
  <c r="AN187" i="100"/>
  <c r="AL187" i="100"/>
  <c r="AM187" i="100" s="1"/>
  <c r="AK187" i="100"/>
  <c r="AK188" i="100" s="1"/>
  <c r="AJ187" i="100"/>
  <c r="AI187" i="100"/>
  <c r="AH187" i="100"/>
  <c r="AG187" i="100"/>
  <c r="AF187" i="100"/>
  <c r="AE187" i="100"/>
  <c r="AD187" i="100"/>
  <c r="AC187" i="100"/>
  <c r="AB187" i="100"/>
  <c r="AA187" i="100"/>
  <c r="Z187" i="100"/>
  <c r="Y187" i="100"/>
  <c r="W187" i="100"/>
  <c r="X187" i="100" s="1"/>
  <c r="V187" i="100"/>
  <c r="V188" i="100" s="1"/>
  <c r="V196" i="100" s="1"/>
  <c r="V203" i="100" s="1"/>
  <c r="U187" i="100"/>
  <c r="U188" i="100" s="1"/>
  <c r="T187" i="100"/>
  <c r="AQ186" i="100"/>
  <c r="AP186" i="100"/>
  <c r="AP188" i="100" s="1"/>
  <c r="AP196" i="100" s="1"/>
  <c r="AO186" i="100"/>
  <c r="AN186" i="100"/>
  <c r="AN188" i="100" s="1"/>
  <c r="AM186" i="100"/>
  <c r="AL186" i="100"/>
  <c r="AL188" i="100" s="1"/>
  <c r="AL196" i="100" s="1"/>
  <c r="AL203" i="100" s="1"/>
  <c r="AK186" i="100"/>
  <c r="AJ186" i="100"/>
  <c r="AI186" i="100"/>
  <c r="AI188" i="100" s="1"/>
  <c r="AI196" i="100" s="1"/>
  <c r="AH186" i="100"/>
  <c r="AG186" i="100"/>
  <c r="AF186" i="100"/>
  <c r="AE186" i="100"/>
  <c r="AE188" i="100" s="1"/>
  <c r="AE196" i="100" s="1"/>
  <c r="AD186" i="100"/>
  <c r="AD188" i="100" s="1"/>
  <c r="AD196" i="100" s="1"/>
  <c r="AB186" i="100"/>
  <c r="AC186" i="100" s="1"/>
  <c r="AA186" i="100"/>
  <c r="AA188" i="100" s="1"/>
  <c r="AA196" i="100" s="1"/>
  <c r="Z186" i="100"/>
  <c r="Z188" i="100" s="1"/>
  <c r="Z196" i="100" s="1"/>
  <c r="Y186" i="100"/>
  <c r="X186" i="100"/>
  <c r="W186" i="100"/>
  <c r="W188" i="100" s="1"/>
  <c r="W196" i="100" s="1"/>
  <c r="AM185" i="100"/>
  <c r="AM184" i="100"/>
  <c r="AH185" i="100"/>
  <c r="AH184" i="100"/>
  <c r="AC185" i="100"/>
  <c r="AC188" i="100" s="1"/>
  <c r="AC184" i="100"/>
  <c r="AC210" i="100" s="1"/>
  <c r="X185" i="100"/>
  <c r="X184" i="100"/>
  <c r="X210" i="100" s="1"/>
  <c r="AR185" i="100"/>
  <c r="AR184" i="100"/>
  <c r="AR210" i="100" s="1"/>
  <c r="AQ180" i="100"/>
  <c r="AR180" i="100" s="1"/>
  <c r="AP180" i="100"/>
  <c r="AO180" i="100"/>
  <c r="AN180" i="100"/>
  <c r="AM180" i="100"/>
  <c r="AL180" i="100"/>
  <c r="AK180" i="100"/>
  <c r="AJ180" i="100"/>
  <c r="AI180" i="100"/>
  <c r="AH180" i="100"/>
  <c r="AG180" i="100"/>
  <c r="AF180" i="100"/>
  <c r="AE180" i="100"/>
  <c r="AD180" i="100"/>
  <c r="AB180" i="100"/>
  <c r="AC180" i="100" s="1"/>
  <c r="AA180" i="100"/>
  <c r="Z180" i="100"/>
  <c r="Y180" i="100"/>
  <c r="W180" i="100"/>
  <c r="X180" i="100" s="1"/>
  <c r="V180" i="100"/>
  <c r="U180" i="100"/>
  <c r="T180" i="100"/>
  <c r="AR179" i="100"/>
  <c r="AS179" i="100" s="1"/>
  <c r="AT179" i="100" s="1"/>
  <c r="AU179" i="100" s="1"/>
  <c r="AV179" i="100" s="1"/>
  <c r="AW179" i="100" s="1"/>
  <c r="AX179" i="100" s="1"/>
  <c r="AY179" i="100" s="1"/>
  <c r="AZ179" i="100" s="1"/>
  <c r="BA179" i="100" s="1"/>
  <c r="BB179" i="100" s="1"/>
  <c r="BC179" i="100" s="1"/>
  <c r="BD179" i="100" s="1"/>
  <c r="BE179" i="100" s="1"/>
  <c r="BF179" i="100" s="1"/>
  <c r="BG179" i="100" s="1"/>
  <c r="BH179" i="100" s="1"/>
  <c r="BI179" i="100" s="1"/>
  <c r="BJ179" i="100" s="1"/>
  <c r="BK179" i="100" s="1"/>
  <c r="BL179" i="100" s="1"/>
  <c r="AM179" i="100"/>
  <c r="AH179" i="100"/>
  <c r="AC179" i="100"/>
  <c r="X179" i="100"/>
  <c r="AO177" i="100"/>
  <c r="AK177" i="100"/>
  <c r="AG177" i="100"/>
  <c r="AF177" i="100"/>
  <c r="AE177" i="100"/>
  <c r="AD177" i="100"/>
  <c r="AC177" i="100"/>
  <c r="AB177" i="100"/>
  <c r="AA177" i="100"/>
  <c r="Z177" i="100"/>
  <c r="Y177" i="100"/>
  <c r="W177" i="100"/>
  <c r="V177" i="100"/>
  <c r="U177" i="100"/>
  <c r="T177" i="100"/>
  <c r="AM176" i="100"/>
  <c r="AH176" i="100"/>
  <c r="AH175" i="100"/>
  <c r="AH177" i="100" s="1"/>
  <c r="AC176" i="100"/>
  <c r="AC175" i="100"/>
  <c r="X176" i="100"/>
  <c r="X175" i="100"/>
  <c r="X177" i="100" s="1"/>
  <c r="AR176" i="100"/>
  <c r="AQ175" i="100"/>
  <c r="AQ177" i="100" s="1"/>
  <c r="AP175" i="100"/>
  <c r="AP177" i="100" s="1"/>
  <c r="AO175" i="100"/>
  <c r="AN175" i="100"/>
  <c r="AN177" i="100" s="1"/>
  <c r="AL175" i="100"/>
  <c r="AL177" i="100" s="1"/>
  <c r="AK175" i="100"/>
  <c r="AJ175" i="100"/>
  <c r="AJ177" i="100" s="1"/>
  <c r="AI175" i="100"/>
  <c r="AI177" i="100" s="1"/>
  <c r="AN173" i="100"/>
  <c r="AN182" i="100" s="1"/>
  <c r="AF173" i="100"/>
  <c r="AF182" i="100" s="1"/>
  <c r="AE173" i="100"/>
  <c r="AE182" i="100" s="1"/>
  <c r="AB173" i="100"/>
  <c r="AB182" i="100" s="1"/>
  <c r="AA173" i="100"/>
  <c r="AA182" i="100" s="1"/>
  <c r="W173" i="100"/>
  <c r="W182" i="100" s="1"/>
  <c r="T173" i="100"/>
  <c r="T182" i="100" s="1"/>
  <c r="AR172" i="100"/>
  <c r="AQ172" i="100"/>
  <c r="AP172" i="100"/>
  <c r="AO172" i="100"/>
  <c r="AN172" i="100"/>
  <c r="AL172" i="100"/>
  <c r="AM172" i="100" s="1"/>
  <c r="AK172" i="100"/>
  <c r="AJ172" i="100"/>
  <c r="AI172" i="100"/>
  <c r="AG172" i="100"/>
  <c r="AG173" i="100" s="1"/>
  <c r="AG182" i="100" s="1"/>
  <c r="AF172" i="100"/>
  <c r="AE172" i="100"/>
  <c r="AD172" i="100"/>
  <c r="AD173" i="100" s="1"/>
  <c r="AD182" i="100" s="1"/>
  <c r="AC172" i="100"/>
  <c r="AB172" i="100"/>
  <c r="AA172" i="100"/>
  <c r="Z172" i="100"/>
  <c r="Z173" i="100" s="1"/>
  <c r="Z182" i="100" s="1"/>
  <c r="Y172" i="100"/>
  <c r="Y173" i="100" s="1"/>
  <c r="Y182" i="100" s="1"/>
  <c r="X172" i="100"/>
  <c r="W172" i="100"/>
  <c r="V172" i="100"/>
  <c r="V173" i="100" s="1"/>
  <c r="V182" i="100" s="1"/>
  <c r="V205" i="100" s="1"/>
  <c r="U172" i="100"/>
  <c r="U173" i="100" s="1"/>
  <c r="U182" i="100" s="1"/>
  <c r="T172" i="100"/>
  <c r="AM171" i="100"/>
  <c r="AM170" i="100"/>
  <c r="AM169" i="100"/>
  <c r="AH171" i="100"/>
  <c r="AH170" i="100"/>
  <c r="AH169" i="100"/>
  <c r="AH208" i="100" s="1"/>
  <c r="AC171" i="100"/>
  <c r="AC170" i="100"/>
  <c r="AC169" i="100"/>
  <c r="AC208" i="100" s="1"/>
  <c r="X171" i="100"/>
  <c r="X170" i="100"/>
  <c r="X173" i="100" s="1"/>
  <c r="X182" i="100" s="1"/>
  <c r="X169" i="100"/>
  <c r="X208" i="100" s="1"/>
  <c r="AQ170" i="100"/>
  <c r="AQ173" i="100" s="1"/>
  <c r="AP170" i="100"/>
  <c r="AP173" i="100" s="1"/>
  <c r="AP182" i="100" s="1"/>
  <c r="AO170" i="100"/>
  <c r="AO173" i="100" s="1"/>
  <c r="AO182" i="100" s="1"/>
  <c r="AN170" i="100"/>
  <c r="AL170" i="100"/>
  <c r="AL173" i="100" s="1"/>
  <c r="AK170" i="100"/>
  <c r="AK173" i="100" s="1"/>
  <c r="AK182" i="100" s="1"/>
  <c r="AJ170" i="100"/>
  <c r="AJ173" i="100" s="1"/>
  <c r="AJ182" i="100" s="1"/>
  <c r="AJ205" i="100" s="1"/>
  <c r="AI170" i="100"/>
  <c r="AI173" i="100" s="1"/>
  <c r="AI182" i="100" s="1"/>
  <c r="BB171" i="100"/>
  <c r="BC171" i="100" s="1"/>
  <c r="BD171" i="100" s="1"/>
  <c r="BE171" i="100" s="1"/>
  <c r="BF171" i="100" s="1"/>
  <c r="BG171" i="100" s="1"/>
  <c r="BH171" i="100" s="1"/>
  <c r="BI171" i="100" s="1"/>
  <c r="BJ171" i="100" s="1"/>
  <c r="BK171" i="100" s="1"/>
  <c r="BL171" i="100" s="1"/>
  <c r="AX171" i="100"/>
  <c r="AY171" i="100" s="1"/>
  <c r="AZ171" i="100" s="1"/>
  <c r="BA171" i="100" s="1"/>
  <c r="AT171" i="100"/>
  <c r="AU171" i="100" s="1"/>
  <c r="AV171" i="100" s="1"/>
  <c r="AW171" i="100" s="1"/>
  <c r="AS171" i="100"/>
  <c r="AR171" i="100"/>
  <c r="AY170" i="100"/>
  <c r="AZ170" i="100" s="1"/>
  <c r="BA170" i="100" s="1"/>
  <c r="BB170" i="100" s="1"/>
  <c r="BC170" i="100" s="1"/>
  <c r="BD170" i="100" s="1"/>
  <c r="BE170" i="100" s="1"/>
  <c r="BF170" i="100" s="1"/>
  <c r="BG170" i="100" s="1"/>
  <c r="BH170" i="100" s="1"/>
  <c r="BI170" i="100" s="1"/>
  <c r="BJ170" i="100" s="1"/>
  <c r="BK170" i="100" s="1"/>
  <c r="BL170" i="100" s="1"/>
  <c r="AU170" i="100"/>
  <c r="AV170" i="100" s="1"/>
  <c r="AW170" i="100" s="1"/>
  <c r="AX170" i="100" s="1"/>
  <c r="AR170" i="100"/>
  <c r="AS170" i="100" s="1"/>
  <c r="AT170" i="100" s="1"/>
  <c r="AR169" i="100"/>
  <c r="CJ163" i="100"/>
  <c r="CD163" i="100"/>
  <c r="CE163" i="100" s="1"/>
  <c r="CF163" i="100" s="1"/>
  <c r="CC163" i="100"/>
  <c r="I161" i="100"/>
  <c r="I158" i="100"/>
  <c r="I157" i="100"/>
  <c r="I156" i="100"/>
  <c r="I155" i="100"/>
  <c r="I154" i="100"/>
  <c r="I151" i="100"/>
  <c r="I150" i="100"/>
  <c r="I149" i="100"/>
  <c r="I146" i="100"/>
  <c r="I145" i="100"/>
  <c r="I144" i="100"/>
  <c r="I143" i="100"/>
  <c r="I142" i="100"/>
  <c r="DT160" i="100"/>
  <c r="DR160" i="100"/>
  <c r="DQ160" i="100"/>
  <c r="DP160" i="100"/>
  <c r="DK160" i="100"/>
  <c r="DH160" i="100"/>
  <c r="DG160" i="100"/>
  <c r="DF160" i="100"/>
  <c r="DB160" i="100"/>
  <c r="DA160" i="100"/>
  <c r="CX160" i="100"/>
  <c r="CW160" i="100"/>
  <c r="CV160" i="100"/>
  <c r="CU160" i="100"/>
  <c r="CS160" i="100"/>
  <c r="CR160" i="100"/>
  <c r="CQ160" i="100"/>
  <c r="CP160" i="100"/>
  <c r="CK160" i="100"/>
  <c r="I160" i="100" s="1"/>
  <c r="CI160" i="100"/>
  <c r="CH160" i="100"/>
  <c r="CG160" i="100"/>
  <c r="CF160" i="100"/>
  <c r="CD160" i="100"/>
  <c r="CC160" i="100"/>
  <c r="CB160" i="100"/>
  <c r="DS159" i="100"/>
  <c r="DS158" i="100"/>
  <c r="DS157" i="100"/>
  <c r="DS156" i="100"/>
  <c r="DS155" i="100"/>
  <c r="DS160" i="100" s="1"/>
  <c r="DN159" i="100"/>
  <c r="AL159" i="100" s="1"/>
  <c r="DN157" i="100"/>
  <c r="DN156" i="100"/>
  <c r="DN155" i="100"/>
  <c r="DI159" i="100"/>
  <c r="DI157" i="100"/>
  <c r="DI156" i="100"/>
  <c r="DI155" i="100"/>
  <c r="DI160" i="100" s="1"/>
  <c r="DD159" i="100"/>
  <c r="DD158" i="100"/>
  <c r="AB158" i="100" s="1"/>
  <c r="DD157" i="100"/>
  <c r="DD155" i="100"/>
  <c r="CY159" i="100"/>
  <c r="CY158" i="100"/>
  <c r="CY157" i="100"/>
  <c r="CY156" i="100"/>
  <c r="CY155" i="100"/>
  <c r="CY160" i="100" s="1"/>
  <c r="CT159" i="100"/>
  <c r="R159" i="100" s="1"/>
  <c r="CT158" i="100"/>
  <c r="CT157" i="100"/>
  <c r="CT156" i="100"/>
  <c r="CT155" i="100"/>
  <c r="CT160" i="100" s="1"/>
  <c r="CP159" i="100"/>
  <c r="CO159" i="100" s="1"/>
  <c r="M159" i="100" s="1"/>
  <c r="CN159" i="100"/>
  <c r="CN160" i="100" s="1"/>
  <c r="CM159" i="100"/>
  <c r="CM160" i="100" s="1"/>
  <c r="CL159" i="100"/>
  <c r="CL160" i="100" s="1"/>
  <c r="CK159" i="100"/>
  <c r="I159" i="100" s="1"/>
  <c r="CJ159" i="100"/>
  <c r="CE159" i="100"/>
  <c r="CE158" i="100"/>
  <c r="CE157" i="100"/>
  <c r="CE156" i="100"/>
  <c r="CE155" i="100"/>
  <c r="DO158" i="100"/>
  <c r="DO160" i="100" s="1"/>
  <c r="DM158" i="100"/>
  <c r="DM160" i="100" s="1"/>
  <c r="DL158" i="100"/>
  <c r="AJ158" i="100" s="1"/>
  <c r="DJ158" i="100"/>
  <c r="DI158" i="100" s="1"/>
  <c r="AG158" i="100" s="1"/>
  <c r="CZ158" i="100"/>
  <c r="CZ160" i="100" s="1"/>
  <c r="CX158" i="100"/>
  <c r="CO158" i="100"/>
  <c r="M158" i="100" s="1"/>
  <c r="CO157" i="100"/>
  <c r="CO156" i="100"/>
  <c r="CO155" i="100"/>
  <c r="CJ158" i="100"/>
  <c r="CJ157" i="100"/>
  <c r="CJ160" i="100" s="1"/>
  <c r="CJ156" i="100"/>
  <c r="CJ155" i="100"/>
  <c r="BJ159" i="100"/>
  <c r="BK159" i="100" s="1"/>
  <c r="BI159" i="100"/>
  <c r="BH159" i="100"/>
  <c r="BH158" i="100"/>
  <c r="BI158" i="100" s="1"/>
  <c r="BJ158" i="100" s="1"/>
  <c r="BK158" i="100" s="1"/>
  <c r="BE159" i="100"/>
  <c r="BF159" i="100" s="1"/>
  <c r="BD159" i="100"/>
  <c r="BC159" i="100"/>
  <c r="BC158" i="100"/>
  <c r="AZ159" i="100"/>
  <c r="BA159" i="100" s="1"/>
  <c r="AY159" i="100"/>
  <c r="AX159" i="100"/>
  <c r="AX158" i="100"/>
  <c r="AY158" i="100" s="1"/>
  <c r="AZ158" i="100" s="1"/>
  <c r="BA158" i="100" s="1"/>
  <c r="AU159" i="100"/>
  <c r="AV159" i="100" s="1"/>
  <c r="AT159" i="100"/>
  <c r="AS159" i="100"/>
  <c r="AR159" i="100"/>
  <c r="AQ159" i="100"/>
  <c r="AP159" i="100"/>
  <c r="AO159" i="100"/>
  <c r="AN159" i="100"/>
  <c r="AM159" i="100"/>
  <c r="AK159" i="100"/>
  <c r="AJ159" i="100"/>
  <c r="AI159" i="100"/>
  <c r="AH159" i="100"/>
  <c r="AG159" i="100"/>
  <c r="AF159" i="100"/>
  <c r="AE159" i="100"/>
  <c r="AD159" i="100"/>
  <c r="AC159" i="100"/>
  <c r="AB159" i="100"/>
  <c r="AA159" i="100"/>
  <c r="Z159" i="100"/>
  <c r="Y159" i="100"/>
  <c r="X159" i="100"/>
  <c r="W159" i="100"/>
  <c r="V159" i="100"/>
  <c r="U159" i="100"/>
  <c r="T159" i="100"/>
  <c r="S159" i="100"/>
  <c r="Q159" i="100"/>
  <c r="P159" i="100"/>
  <c r="O159" i="100"/>
  <c r="N159" i="100"/>
  <c r="L159" i="100"/>
  <c r="K159" i="100"/>
  <c r="J159" i="100"/>
  <c r="AS158" i="100"/>
  <c r="AT158" i="100" s="1"/>
  <c r="AU158" i="100" s="1"/>
  <c r="AR158" i="100"/>
  <c r="AQ158" i="100"/>
  <c r="AP158" i="100"/>
  <c r="AO158" i="100"/>
  <c r="AN158" i="100"/>
  <c r="AM158" i="100"/>
  <c r="AI158" i="100"/>
  <c r="AH158" i="100"/>
  <c r="AF158" i="100"/>
  <c r="AE158" i="100"/>
  <c r="AD158" i="100"/>
  <c r="AC158" i="100"/>
  <c r="AA158" i="100"/>
  <c r="Z158" i="100"/>
  <c r="Y158" i="100"/>
  <c r="X158" i="100"/>
  <c r="W158" i="100"/>
  <c r="V158" i="100"/>
  <c r="U158" i="100"/>
  <c r="T158" i="100"/>
  <c r="S158" i="100"/>
  <c r="R158" i="100"/>
  <c r="Q158" i="100"/>
  <c r="P158" i="100"/>
  <c r="O158" i="100"/>
  <c r="N158" i="100"/>
  <c r="L158" i="100"/>
  <c r="K158" i="100"/>
  <c r="J158" i="100"/>
  <c r="BL157" i="100"/>
  <c r="BG157" i="100"/>
  <c r="BB157" i="100"/>
  <c r="AW157" i="100"/>
  <c r="AR157" i="100"/>
  <c r="AQ157" i="100"/>
  <c r="AP157" i="100"/>
  <c r="AO157" i="100"/>
  <c r="AN157" i="100"/>
  <c r="AM157" i="100"/>
  <c r="AL157" i="100"/>
  <c r="AK157" i="100"/>
  <c r="AJ157" i="100"/>
  <c r="AI157" i="100"/>
  <c r="AH157" i="100"/>
  <c r="AG157" i="100"/>
  <c r="AF157" i="100"/>
  <c r="AE157" i="100"/>
  <c r="AD157" i="100"/>
  <c r="AC157" i="100"/>
  <c r="AB157" i="100"/>
  <c r="AA157" i="100"/>
  <c r="Z157" i="100"/>
  <c r="Y157" i="100"/>
  <c r="X157" i="100"/>
  <c r="W157" i="100"/>
  <c r="V157" i="100"/>
  <c r="U157" i="100"/>
  <c r="T157" i="100"/>
  <c r="S157" i="100"/>
  <c r="R157" i="100"/>
  <c r="Q157" i="100"/>
  <c r="P157" i="100"/>
  <c r="O157" i="100"/>
  <c r="N157" i="100"/>
  <c r="M157" i="100"/>
  <c r="L157" i="100"/>
  <c r="K157" i="100"/>
  <c r="J157" i="100"/>
  <c r="DE156" i="100"/>
  <c r="DE160" i="100" s="1"/>
  <c r="DC156" i="100"/>
  <c r="DC160" i="100" s="1"/>
  <c r="AR156" i="100"/>
  <c r="AQ156" i="100"/>
  <c r="AP156" i="100"/>
  <c r="AO156" i="100"/>
  <c r="AN156" i="100"/>
  <c r="AM156" i="100"/>
  <c r="AL156" i="100"/>
  <c r="AK156" i="100"/>
  <c r="AJ156" i="100"/>
  <c r="AI156" i="100"/>
  <c r="AH156" i="100"/>
  <c r="AG156" i="100"/>
  <c r="AF156" i="100"/>
  <c r="AE156" i="100"/>
  <c r="AD156" i="100"/>
  <c r="AA156" i="100"/>
  <c r="Z156" i="100"/>
  <c r="Y156" i="100"/>
  <c r="X156" i="100"/>
  <c r="W156" i="100"/>
  <c r="V156" i="100"/>
  <c r="U156" i="100"/>
  <c r="T156" i="100"/>
  <c r="S156" i="100"/>
  <c r="R156" i="100"/>
  <c r="Q156" i="100"/>
  <c r="P156" i="100"/>
  <c r="O156" i="100"/>
  <c r="N156" i="100"/>
  <c r="M156" i="100"/>
  <c r="L156" i="100"/>
  <c r="K156" i="100"/>
  <c r="J156" i="100"/>
  <c r="AR155" i="100"/>
  <c r="AR160" i="100" s="1"/>
  <c r="AP155" i="100"/>
  <c r="AP160" i="100" s="1"/>
  <c r="AO155" i="100"/>
  <c r="AO160" i="100" s="1"/>
  <c r="AN155" i="100"/>
  <c r="AN160" i="100" s="1"/>
  <c r="AM155" i="100"/>
  <c r="AM160" i="100" s="1"/>
  <c r="AL155" i="100"/>
  <c r="AK155" i="100"/>
  <c r="AJ155" i="100"/>
  <c r="AI155" i="100"/>
  <c r="AI160" i="100" s="1"/>
  <c r="AH155" i="100"/>
  <c r="AH160" i="100" s="1"/>
  <c r="AG155" i="100"/>
  <c r="AG160" i="100" s="1"/>
  <c r="AF155" i="100"/>
  <c r="AF160" i="100" s="1"/>
  <c r="AE155" i="100"/>
  <c r="AE160" i="100" s="1"/>
  <c r="AD155" i="100"/>
  <c r="AD160" i="100" s="1"/>
  <c r="AC155" i="100"/>
  <c r="AB155" i="100"/>
  <c r="AA155" i="100"/>
  <c r="AA160" i="100" s="1"/>
  <c r="Z155" i="100"/>
  <c r="Z160" i="100" s="1"/>
  <c r="Y155" i="100"/>
  <c r="Y160" i="100" s="1"/>
  <c r="X155" i="100"/>
  <c r="X160" i="100" s="1"/>
  <c r="V155" i="100"/>
  <c r="V160" i="100" s="1"/>
  <c r="U155" i="100"/>
  <c r="U160" i="100" s="1"/>
  <c r="T155" i="100"/>
  <c r="T160" i="100" s="1"/>
  <c r="S155" i="100"/>
  <c r="S160" i="100" s="1"/>
  <c r="R155" i="100"/>
  <c r="R160" i="100" s="1"/>
  <c r="Q155" i="100"/>
  <c r="Q160" i="100" s="1"/>
  <c r="P155" i="100"/>
  <c r="P160" i="100" s="1"/>
  <c r="O155" i="100"/>
  <c r="O160" i="100" s="1"/>
  <c r="N155" i="100"/>
  <c r="N160" i="100" s="1"/>
  <c r="M155" i="100"/>
  <c r="M160" i="100" s="1"/>
  <c r="L155" i="100"/>
  <c r="L160" i="100" s="1"/>
  <c r="K155" i="100"/>
  <c r="K160" i="100" s="1"/>
  <c r="J155" i="100"/>
  <c r="J160" i="100" s="1"/>
  <c r="DR153" i="100"/>
  <c r="DQ153" i="100"/>
  <c r="DP153" i="100"/>
  <c r="DM153" i="100"/>
  <c r="DL153" i="100"/>
  <c r="DK153" i="100"/>
  <c r="DJ153" i="100"/>
  <c r="DH153" i="100"/>
  <c r="DG153" i="100"/>
  <c r="DF153" i="100"/>
  <c r="DE153" i="100"/>
  <c r="DD153" i="100"/>
  <c r="DB153" i="100"/>
  <c r="DA153" i="100"/>
  <c r="CW153" i="100"/>
  <c r="CV153" i="100"/>
  <c r="CS153" i="100"/>
  <c r="CR153" i="100"/>
  <c r="CQ153" i="100"/>
  <c r="CN153" i="100"/>
  <c r="CM153" i="100"/>
  <c r="CI153" i="100"/>
  <c r="CH153" i="100"/>
  <c r="CG153" i="100"/>
  <c r="CF153" i="100"/>
  <c r="CD153" i="100"/>
  <c r="CC153" i="100"/>
  <c r="CB153" i="100"/>
  <c r="DT152" i="100"/>
  <c r="AR152" i="100" s="1"/>
  <c r="DP152" i="100"/>
  <c r="DO152" i="100"/>
  <c r="DO153" i="100" s="1"/>
  <c r="DN152" i="100"/>
  <c r="AL152" i="100" s="1"/>
  <c r="DM152" i="100"/>
  <c r="AK152" i="100" s="1"/>
  <c r="DL152" i="100"/>
  <c r="DI152" i="100"/>
  <c r="AG152" i="100" s="1"/>
  <c r="DI151" i="100"/>
  <c r="DI153" i="100" s="1"/>
  <c r="DI150" i="100"/>
  <c r="DD152" i="100"/>
  <c r="DC152" i="100"/>
  <c r="DC153" i="100" s="1"/>
  <c r="CZ152" i="100"/>
  <c r="X152" i="100" s="1"/>
  <c r="CX152" i="100"/>
  <c r="CX153" i="100" s="1"/>
  <c r="CU152" i="100"/>
  <c r="CU153" i="100" s="1"/>
  <c r="CT152" i="100"/>
  <c r="R152" i="100" s="1"/>
  <c r="CS152" i="100"/>
  <c r="Q152" i="100" s="1"/>
  <c r="CR152" i="100"/>
  <c r="CP152" i="100"/>
  <c r="CP153" i="100" s="1"/>
  <c r="CO152" i="100"/>
  <c r="M152" i="100" s="1"/>
  <c r="CN152" i="100"/>
  <c r="CM152" i="100"/>
  <c r="CL152" i="100"/>
  <c r="CL153" i="100" s="1"/>
  <c r="CK152" i="100"/>
  <c r="I152" i="100" s="1"/>
  <c r="CE152" i="100"/>
  <c r="CE151" i="100"/>
  <c r="CE150" i="100"/>
  <c r="CE153" i="100" s="1"/>
  <c r="DS151" i="100"/>
  <c r="DS150" i="100"/>
  <c r="DN151" i="100"/>
  <c r="DN150" i="100"/>
  <c r="DN153" i="100" s="1"/>
  <c r="DD151" i="100"/>
  <c r="AB151" i="100" s="1"/>
  <c r="DD150" i="100"/>
  <c r="CY151" i="100"/>
  <c r="CY150" i="100"/>
  <c r="W150" i="100" s="1"/>
  <c r="CT151" i="100"/>
  <c r="CT150" i="100"/>
  <c r="CT153" i="100" s="1"/>
  <c r="CO151" i="100"/>
  <c r="M151" i="100" s="1"/>
  <c r="CO150" i="100"/>
  <c r="CO153" i="100" s="1"/>
  <c r="CJ151" i="100"/>
  <c r="CJ150" i="100"/>
  <c r="BJ152" i="100"/>
  <c r="BK152" i="100" s="1"/>
  <c r="BI152" i="100"/>
  <c r="BH152" i="100"/>
  <c r="BJ151" i="100"/>
  <c r="BK151" i="100" s="1"/>
  <c r="BI151" i="100"/>
  <c r="BH151" i="100"/>
  <c r="BE152" i="100"/>
  <c r="BF152" i="100" s="1"/>
  <c r="BD152" i="100"/>
  <c r="BC152" i="100"/>
  <c r="BE151" i="100"/>
  <c r="BF151" i="100" s="1"/>
  <c r="BD151" i="100"/>
  <c r="BC151" i="100"/>
  <c r="AZ152" i="100"/>
  <c r="BA152" i="100" s="1"/>
  <c r="AY152" i="100"/>
  <c r="AX152" i="100"/>
  <c r="AZ151" i="100"/>
  <c r="BA151" i="100" s="1"/>
  <c r="AY151" i="100"/>
  <c r="AX151" i="100"/>
  <c r="AU152" i="100"/>
  <c r="AV152" i="100" s="1"/>
  <c r="AT152" i="100"/>
  <c r="AS152" i="100"/>
  <c r="AP152" i="100"/>
  <c r="AO152" i="100"/>
  <c r="AN152" i="100"/>
  <c r="AM152" i="100"/>
  <c r="AJ152" i="100"/>
  <c r="AI152" i="100"/>
  <c r="AH152" i="100"/>
  <c r="AF152" i="100"/>
  <c r="AE152" i="100"/>
  <c r="AD152" i="100"/>
  <c r="AC152" i="100"/>
  <c r="AB152" i="100"/>
  <c r="AA152" i="100"/>
  <c r="Z152" i="100"/>
  <c r="Y152" i="100"/>
  <c r="V152" i="100"/>
  <c r="U152" i="100"/>
  <c r="T152" i="100"/>
  <c r="S152" i="100"/>
  <c r="P152" i="100"/>
  <c r="O152" i="100"/>
  <c r="L152" i="100"/>
  <c r="K152" i="100"/>
  <c r="AT151" i="100"/>
  <c r="AU151" i="100" s="1"/>
  <c r="AS151" i="100"/>
  <c r="AR151" i="100"/>
  <c r="AQ151" i="100"/>
  <c r="AP151" i="100"/>
  <c r="AO151" i="100"/>
  <c r="AN151" i="100"/>
  <c r="AM151" i="100"/>
  <c r="AL151" i="100"/>
  <c r="AK151" i="100"/>
  <c r="AJ151" i="100"/>
  <c r="AI151" i="100"/>
  <c r="AH151" i="100"/>
  <c r="AF151" i="100"/>
  <c r="AE151" i="100"/>
  <c r="AD151" i="100"/>
  <c r="AC151" i="100"/>
  <c r="AA151" i="100"/>
  <c r="Z151" i="100"/>
  <c r="Y151" i="100"/>
  <c r="X151" i="100"/>
  <c r="W151" i="100"/>
  <c r="V151" i="100"/>
  <c r="U151" i="100"/>
  <c r="T151" i="100"/>
  <c r="S151" i="100"/>
  <c r="R151" i="100"/>
  <c r="Q151" i="100"/>
  <c r="P151" i="100"/>
  <c r="O151" i="100"/>
  <c r="N151" i="100"/>
  <c r="L151" i="100"/>
  <c r="K151" i="100"/>
  <c r="J151" i="100"/>
  <c r="AR150" i="100"/>
  <c r="AQ150" i="100"/>
  <c r="AP150" i="100"/>
  <c r="AP153" i="100" s="1"/>
  <c r="AO150" i="100"/>
  <c r="AO153" i="100" s="1"/>
  <c r="AN150" i="100"/>
  <c r="AN153" i="100" s="1"/>
  <c r="AM150" i="100"/>
  <c r="AM153" i="100" s="1"/>
  <c r="AK150" i="100"/>
  <c r="AK153" i="100" s="1"/>
  <c r="AJ150" i="100"/>
  <c r="AJ153" i="100" s="1"/>
  <c r="AI150" i="100"/>
  <c r="AI153" i="100" s="1"/>
  <c r="AH150" i="100"/>
  <c r="AH153" i="100" s="1"/>
  <c r="AG150" i="100"/>
  <c r="AF150" i="100"/>
  <c r="AF153" i="100" s="1"/>
  <c r="AE150" i="100"/>
  <c r="AE153" i="100" s="1"/>
  <c r="AD150" i="100"/>
  <c r="AD153" i="100" s="1"/>
  <c r="AC150" i="100"/>
  <c r="AC153" i="100" s="1"/>
  <c r="AB150" i="100"/>
  <c r="AB153" i="100" s="1"/>
  <c r="AA150" i="100"/>
  <c r="AA153" i="100" s="1"/>
  <c r="Z150" i="100"/>
  <c r="Z153" i="100" s="1"/>
  <c r="Y150" i="100"/>
  <c r="Y153" i="100" s="1"/>
  <c r="X150" i="100"/>
  <c r="X153" i="100" s="1"/>
  <c r="V150" i="100"/>
  <c r="V153" i="100" s="1"/>
  <c r="U150" i="100"/>
  <c r="U153" i="100" s="1"/>
  <c r="T150" i="100"/>
  <c r="T153" i="100" s="1"/>
  <c r="S150" i="100"/>
  <c r="S153" i="100" s="1"/>
  <c r="R150" i="100"/>
  <c r="R153" i="100" s="1"/>
  <c r="Q150" i="100"/>
  <c r="Q153" i="100" s="1"/>
  <c r="P150" i="100"/>
  <c r="P153" i="100" s="1"/>
  <c r="O150" i="100"/>
  <c r="O153" i="100" s="1"/>
  <c r="N150" i="100"/>
  <c r="M150" i="100"/>
  <c r="L150" i="100"/>
  <c r="L153" i="100" s="1"/>
  <c r="K150" i="100"/>
  <c r="K153" i="100" s="1"/>
  <c r="J150" i="100"/>
  <c r="CI148" i="100"/>
  <c r="CI162" i="100" s="1"/>
  <c r="CH148" i="100"/>
  <c r="CH162" i="100" s="1"/>
  <c r="CG148" i="100"/>
  <c r="CG162" i="100" s="1"/>
  <c r="CG165" i="100" s="1"/>
  <c r="CF148" i="100"/>
  <c r="CF162" i="100" s="1"/>
  <c r="CF165" i="100" s="1"/>
  <c r="CG163" i="100" s="1"/>
  <c r="CI163" i="100" s="1"/>
  <c r="CD148" i="100"/>
  <c r="CD162" i="100" s="1"/>
  <c r="CD165" i="100" s="1"/>
  <c r="CC148" i="100"/>
  <c r="CC162" i="100" s="1"/>
  <c r="CC165" i="100" s="1"/>
  <c r="CB148" i="100"/>
  <c r="CB162" i="100" s="1"/>
  <c r="CB165" i="100" s="1"/>
  <c r="DT147" i="100"/>
  <c r="DT148" i="100" s="1"/>
  <c r="DR147" i="100"/>
  <c r="DR148" i="100" s="1"/>
  <c r="DR162" i="100" s="1"/>
  <c r="DQ147" i="100"/>
  <c r="AP147" i="100" s="1"/>
  <c r="DP147" i="100"/>
  <c r="AO147" i="100" s="1"/>
  <c r="DO147" i="100"/>
  <c r="DN147" i="100" s="1"/>
  <c r="AL147" i="100" s="1"/>
  <c r="DM147" i="100"/>
  <c r="DM148" i="100" s="1"/>
  <c r="DM162" i="100" s="1"/>
  <c r="DL147" i="100"/>
  <c r="AK147" i="100" s="1"/>
  <c r="DK147" i="100"/>
  <c r="DK148" i="100" s="1"/>
  <c r="DK162" i="100" s="1"/>
  <c r="DJ147" i="100"/>
  <c r="DJ148" i="100" s="1"/>
  <c r="DI147" i="100"/>
  <c r="DH147" i="100"/>
  <c r="AG147" i="100" s="1"/>
  <c r="DG147" i="100"/>
  <c r="DG148" i="100" s="1"/>
  <c r="DG162" i="100" s="1"/>
  <c r="DF147" i="100"/>
  <c r="DF148" i="100" s="1"/>
  <c r="DF162" i="100" s="1"/>
  <c r="DE147" i="100"/>
  <c r="DE148" i="100" s="1"/>
  <c r="DE162" i="100" s="1"/>
  <c r="DD147" i="100"/>
  <c r="DC147" i="100"/>
  <c r="DC148" i="100" s="1"/>
  <c r="DC162" i="100" s="1"/>
  <c r="DB147" i="100"/>
  <c r="DB148" i="100" s="1"/>
  <c r="DB162" i="100" s="1"/>
  <c r="DA147" i="100"/>
  <c r="Z147" i="100" s="1"/>
  <c r="CZ147" i="100"/>
  <c r="CZ148" i="100" s="1"/>
  <c r="CX147" i="100"/>
  <c r="CX148" i="100" s="1"/>
  <c r="CX162" i="100" s="1"/>
  <c r="CW147" i="100"/>
  <c r="V147" i="100" s="1"/>
  <c r="CV147" i="100"/>
  <c r="U147" i="100" s="1"/>
  <c r="CU147" i="100"/>
  <c r="CT147" i="100" s="1"/>
  <c r="R147" i="100" s="1"/>
  <c r="CS147" i="100"/>
  <c r="CS148" i="100" s="1"/>
  <c r="CS162" i="100" s="1"/>
  <c r="CR147" i="100"/>
  <c r="Q147" i="100" s="1"/>
  <c r="CQ147" i="100"/>
  <c r="CQ148" i="100" s="1"/>
  <c r="CQ162" i="100" s="1"/>
  <c r="CP147" i="100"/>
  <c r="CP148" i="100" s="1"/>
  <c r="CP162" i="100" s="1"/>
  <c r="CO147" i="100"/>
  <c r="CN147" i="100"/>
  <c r="M147" i="100" s="1"/>
  <c r="CM147" i="100"/>
  <c r="CM148" i="100" s="1"/>
  <c r="CM162" i="100" s="1"/>
  <c r="CL147" i="100"/>
  <c r="CL148" i="100" s="1"/>
  <c r="CL162" i="100" s="1"/>
  <c r="CK147" i="100"/>
  <c r="I147" i="100" s="1"/>
  <c r="CJ147" i="100"/>
  <c r="CE147" i="100"/>
  <c r="CE146" i="100"/>
  <c r="CE145" i="100"/>
  <c r="CE144" i="100"/>
  <c r="CE143" i="100"/>
  <c r="CE148" i="100" s="1"/>
  <c r="CE142" i="100"/>
  <c r="DT146" i="100"/>
  <c r="DS146" i="100"/>
  <c r="DN146" i="100"/>
  <c r="DN145" i="100"/>
  <c r="DN144" i="100"/>
  <c r="DN143" i="100"/>
  <c r="DN142" i="100"/>
  <c r="DN148" i="100" s="1"/>
  <c r="DI146" i="100"/>
  <c r="DI145" i="100"/>
  <c r="DI144" i="100"/>
  <c r="AG144" i="100" s="1"/>
  <c r="DI143" i="100"/>
  <c r="DI148" i="100" s="1"/>
  <c r="DI162" i="100" s="1"/>
  <c r="DI142" i="100"/>
  <c r="DD146" i="100"/>
  <c r="DD145" i="100"/>
  <c r="DD148" i="100" s="1"/>
  <c r="DD144" i="100"/>
  <c r="DD143" i="100"/>
  <c r="DD142" i="100"/>
  <c r="CY146" i="100"/>
  <c r="CY145" i="100"/>
  <c r="CY144" i="100"/>
  <c r="CY143" i="100"/>
  <c r="CY142" i="100"/>
  <c r="W142" i="100" s="1"/>
  <c r="CT146" i="100"/>
  <c r="CT145" i="100"/>
  <c r="CT144" i="100"/>
  <c r="CT143" i="100"/>
  <c r="CT142" i="100"/>
  <c r="CO146" i="100"/>
  <c r="CO145" i="100"/>
  <c r="CO144" i="100"/>
  <c r="M144" i="100" s="1"/>
  <c r="CO143" i="100"/>
  <c r="CO148" i="100" s="1"/>
  <c r="CO142" i="100"/>
  <c r="CJ146" i="100"/>
  <c r="CJ145" i="100"/>
  <c r="CJ148" i="100" s="1"/>
  <c r="CJ144" i="100"/>
  <c r="CJ143" i="100"/>
  <c r="CJ142" i="100"/>
  <c r="AX147" i="100"/>
  <c r="AY147" i="100" s="1"/>
  <c r="AX146" i="100"/>
  <c r="AY146" i="100" s="1"/>
  <c r="AS147" i="100"/>
  <c r="AS172" i="100" s="1"/>
  <c r="AR147" i="100"/>
  <c r="AN147" i="100"/>
  <c r="AM147" i="100"/>
  <c r="AJ147" i="100"/>
  <c r="AI147" i="100"/>
  <c r="AH147" i="100"/>
  <c r="AF147" i="100"/>
  <c r="AE147" i="100"/>
  <c r="AD147" i="100"/>
  <c r="AC147" i="100"/>
  <c r="AB147" i="100"/>
  <c r="AA147" i="100"/>
  <c r="Y147" i="100"/>
  <c r="X147" i="100"/>
  <c r="T147" i="100"/>
  <c r="S147" i="100"/>
  <c r="P147" i="100"/>
  <c r="O147" i="100"/>
  <c r="N147" i="100"/>
  <c r="L147" i="100"/>
  <c r="K147" i="100"/>
  <c r="J147" i="100"/>
  <c r="AU146" i="100"/>
  <c r="AV146" i="100" s="1"/>
  <c r="AT146" i="100"/>
  <c r="AS146" i="100"/>
  <c r="AR146" i="100"/>
  <c r="AQ146" i="100"/>
  <c r="AP146" i="100"/>
  <c r="AO146" i="100"/>
  <c r="AN146" i="100"/>
  <c r="AM146" i="100"/>
  <c r="AL146" i="100"/>
  <c r="AK146" i="100"/>
  <c r="AJ146" i="100"/>
  <c r="AI146" i="100"/>
  <c r="AH146" i="100"/>
  <c r="AG146" i="100"/>
  <c r="AF146" i="100"/>
  <c r="AE146" i="100"/>
  <c r="AD146" i="100"/>
  <c r="AC146" i="100"/>
  <c r="AB146" i="100"/>
  <c r="AA146" i="100"/>
  <c r="Z146" i="100"/>
  <c r="Y146" i="100"/>
  <c r="X146" i="100"/>
  <c r="W146" i="100"/>
  <c r="V146" i="100"/>
  <c r="U146" i="100"/>
  <c r="T146" i="100"/>
  <c r="S146" i="100"/>
  <c r="R146" i="100"/>
  <c r="Q146" i="100"/>
  <c r="P146" i="100"/>
  <c r="O146" i="100"/>
  <c r="N146" i="100"/>
  <c r="M146" i="100"/>
  <c r="L146" i="100"/>
  <c r="K146" i="100"/>
  <c r="J146" i="100"/>
  <c r="DS145" i="100"/>
  <c r="DS144" i="100"/>
  <c r="DS143" i="100"/>
  <c r="AQ143" i="100" s="1"/>
  <c r="DS142" i="100"/>
  <c r="AQ142" i="100" s="1"/>
  <c r="BI147" i="100"/>
  <c r="BJ147" i="100" s="1"/>
  <c r="BH147" i="100"/>
  <c r="BK147" i="100" s="1"/>
  <c r="BI146" i="100"/>
  <c r="BJ146" i="100" s="1"/>
  <c r="BH146" i="100"/>
  <c r="BK146" i="100" s="1"/>
  <c r="BD147" i="100"/>
  <c r="BE147" i="100" s="1"/>
  <c r="BC147" i="100"/>
  <c r="BF147" i="100" s="1"/>
  <c r="BD146" i="100"/>
  <c r="BE146" i="100" s="1"/>
  <c r="BC146" i="100"/>
  <c r="AR145" i="100"/>
  <c r="AR247" i="100" s="1"/>
  <c r="AQ145" i="100"/>
  <c r="AQ247" i="100" s="1"/>
  <c r="AP145" i="100"/>
  <c r="AP247" i="100" s="1"/>
  <c r="AO145" i="100"/>
  <c r="AO247" i="100" s="1"/>
  <c r="AN145" i="100"/>
  <c r="AN247" i="100" s="1"/>
  <c r="AM145" i="100"/>
  <c r="AM247" i="100" s="1"/>
  <c r="AL145" i="100"/>
  <c r="AL247" i="100" s="1"/>
  <c r="AK145" i="100"/>
  <c r="AK247" i="100" s="1"/>
  <c r="AJ145" i="100"/>
  <c r="AJ247" i="100" s="1"/>
  <c r="AI145" i="100"/>
  <c r="AI247" i="100" s="1"/>
  <c r="AH145" i="100"/>
  <c r="AH247" i="100" s="1"/>
  <c r="AG145" i="100"/>
  <c r="AG247" i="100" s="1"/>
  <c r="AF145" i="100"/>
  <c r="AF247" i="100" s="1"/>
  <c r="AE145" i="100"/>
  <c r="AE247" i="100" s="1"/>
  <c r="AD145" i="100"/>
  <c r="AD247" i="100" s="1"/>
  <c r="AC145" i="100"/>
  <c r="AC247" i="100" s="1"/>
  <c r="AB145" i="100"/>
  <c r="AB247" i="100" s="1"/>
  <c r="AA145" i="100"/>
  <c r="AA247" i="100" s="1"/>
  <c r="Z145" i="100"/>
  <c r="Z247" i="100" s="1"/>
  <c r="Y145" i="100"/>
  <c r="Y247" i="100" s="1"/>
  <c r="X145" i="100"/>
  <c r="X247" i="100" s="1"/>
  <c r="W145" i="100"/>
  <c r="W247" i="100" s="1"/>
  <c r="V145" i="100"/>
  <c r="V247" i="100" s="1"/>
  <c r="U145" i="100"/>
  <c r="U247" i="100" s="1"/>
  <c r="T145" i="100"/>
  <c r="T247" i="100" s="1"/>
  <c r="S145" i="100"/>
  <c r="R145" i="100"/>
  <c r="R247" i="100" s="1"/>
  <c r="Q145" i="100"/>
  <c r="Q247" i="100" s="1"/>
  <c r="P145" i="100"/>
  <c r="P247" i="100" s="1"/>
  <c r="O145" i="100"/>
  <c r="O247" i="100" s="1"/>
  <c r="N145" i="100"/>
  <c r="M145" i="100"/>
  <c r="M247" i="100" s="1"/>
  <c r="L145" i="100"/>
  <c r="L247" i="100" s="1"/>
  <c r="K145" i="100"/>
  <c r="K247" i="100" s="1"/>
  <c r="J145" i="100"/>
  <c r="J247" i="100" s="1"/>
  <c r="AR144" i="100"/>
  <c r="AQ144" i="100"/>
  <c r="AP144" i="100"/>
  <c r="AO144" i="100"/>
  <c r="AN144" i="100"/>
  <c r="AM144" i="100"/>
  <c r="AL144" i="100"/>
  <c r="AK144" i="100"/>
  <c r="AJ144" i="100"/>
  <c r="AI144" i="100"/>
  <c r="AH144" i="100"/>
  <c r="AF144" i="100"/>
  <c r="AE144" i="100"/>
  <c r="AD144" i="100"/>
  <c r="AC144" i="100"/>
  <c r="AB144" i="100"/>
  <c r="AA144" i="100"/>
  <c r="Z144" i="100"/>
  <c r="Y144" i="100"/>
  <c r="X144" i="100"/>
  <c r="W144" i="100"/>
  <c r="V144" i="100"/>
  <c r="U144" i="100"/>
  <c r="T144" i="100"/>
  <c r="S144" i="100"/>
  <c r="R144" i="100"/>
  <c r="Q144" i="100"/>
  <c r="P144" i="100"/>
  <c r="O144" i="100"/>
  <c r="N144" i="100"/>
  <c r="L144" i="100"/>
  <c r="K144" i="100"/>
  <c r="J144" i="100"/>
  <c r="AR143" i="100"/>
  <c r="AP143" i="100"/>
  <c r="AO143" i="100"/>
  <c r="AN143" i="100"/>
  <c r="AM143" i="100"/>
  <c r="AL143" i="100"/>
  <c r="AK143" i="100"/>
  <c r="AJ143" i="100"/>
  <c r="AI143" i="100"/>
  <c r="AH143" i="100"/>
  <c r="AG143" i="100"/>
  <c r="AF143" i="100"/>
  <c r="AE143" i="100"/>
  <c r="AD143" i="100"/>
  <c r="AC143" i="100"/>
  <c r="AB143" i="100"/>
  <c r="AA143" i="100"/>
  <c r="Z143" i="100"/>
  <c r="Y143" i="100"/>
  <c r="X143" i="100"/>
  <c r="W143" i="100"/>
  <c r="V143" i="100"/>
  <c r="U143" i="100"/>
  <c r="T143" i="100"/>
  <c r="S143" i="100"/>
  <c r="R143" i="100"/>
  <c r="Q143" i="100"/>
  <c r="P143" i="100"/>
  <c r="O143" i="100"/>
  <c r="N143" i="100"/>
  <c r="M143" i="100"/>
  <c r="L143" i="100"/>
  <c r="K143" i="100"/>
  <c r="J143" i="100"/>
  <c r="AR142" i="100"/>
  <c r="AP142" i="100"/>
  <c r="AO142" i="100"/>
  <c r="AO148" i="100" s="1"/>
  <c r="AO162" i="100" s="1"/>
  <c r="AN142" i="100"/>
  <c r="AN148" i="100" s="1"/>
  <c r="AN162" i="100" s="1"/>
  <c r="AM142" i="100"/>
  <c r="AM148" i="100" s="1"/>
  <c r="AM162" i="100" s="1"/>
  <c r="AL142" i="100"/>
  <c r="AK142" i="100"/>
  <c r="AK148" i="100" s="1"/>
  <c r="AJ142" i="100"/>
  <c r="AJ148" i="100" s="1"/>
  <c r="AI142" i="100"/>
  <c r="AI148" i="100" s="1"/>
  <c r="AI162" i="100" s="1"/>
  <c r="AH142" i="100"/>
  <c r="AG142" i="100"/>
  <c r="AG148" i="100" s="1"/>
  <c r="AF142" i="100"/>
  <c r="AF148" i="100" s="1"/>
  <c r="AF162" i="100" s="1"/>
  <c r="AE142" i="100"/>
  <c r="AD142" i="100"/>
  <c r="AC142" i="100"/>
  <c r="AC148" i="100" s="1"/>
  <c r="AB142" i="100"/>
  <c r="AB148" i="100" s="1"/>
  <c r="AA142" i="100"/>
  <c r="Z142" i="100"/>
  <c r="Y142" i="100"/>
  <c r="Y148" i="100" s="1"/>
  <c r="Y162" i="100" s="1"/>
  <c r="X142" i="100"/>
  <c r="X148" i="100" s="1"/>
  <c r="X162" i="100" s="1"/>
  <c r="V142" i="100"/>
  <c r="U142" i="100"/>
  <c r="U148" i="100" s="1"/>
  <c r="U162" i="100" s="1"/>
  <c r="T142" i="100"/>
  <c r="T148" i="100" s="1"/>
  <c r="T162" i="100" s="1"/>
  <c r="S142" i="100"/>
  <c r="S148" i="100" s="1"/>
  <c r="S162" i="100" s="1"/>
  <c r="R142" i="100"/>
  <c r="Q142" i="100"/>
  <c r="Q148" i="100" s="1"/>
  <c r="Q162" i="100" s="1"/>
  <c r="P142" i="100"/>
  <c r="P148" i="100" s="1"/>
  <c r="P162" i="100" s="1"/>
  <c r="O142" i="100"/>
  <c r="O148" i="100" s="1"/>
  <c r="O162" i="100" s="1"/>
  <c r="N142" i="100"/>
  <c r="M142" i="100"/>
  <c r="M148" i="100" s="1"/>
  <c r="L142" i="100"/>
  <c r="L148" i="100" s="1"/>
  <c r="L162" i="100" s="1"/>
  <c r="K142" i="100"/>
  <c r="K148" i="100" s="1"/>
  <c r="K162" i="100" s="1"/>
  <c r="J142" i="100"/>
  <c r="BL138" i="100"/>
  <c r="BK138" i="100"/>
  <c r="BJ138" i="100"/>
  <c r="BI138" i="100"/>
  <c r="BH138" i="100"/>
  <c r="BG138" i="100"/>
  <c r="BF138" i="100"/>
  <c r="BE138" i="100"/>
  <c r="BD138" i="100"/>
  <c r="BC138" i="100"/>
  <c r="BB138" i="100"/>
  <c r="BA138" i="100"/>
  <c r="AZ138" i="100"/>
  <c r="AY138" i="100"/>
  <c r="AX138" i="100"/>
  <c r="AW138" i="100"/>
  <c r="AV138" i="100"/>
  <c r="AU138" i="100"/>
  <c r="AT138" i="100"/>
  <c r="AS138" i="100"/>
  <c r="Y130" i="100"/>
  <c r="Z130" i="100" s="1"/>
  <c r="AA130" i="100" s="1"/>
  <c r="T130" i="100"/>
  <c r="X129" i="100"/>
  <c r="S129" i="100" s="1"/>
  <c r="N129" i="100" s="1"/>
  <c r="I129" i="100" s="1"/>
  <c r="AR127" i="100"/>
  <c r="AQ127" i="100"/>
  <c r="AP127" i="100"/>
  <c r="AO127" i="100"/>
  <c r="AN127" i="100"/>
  <c r="AM127" i="100"/>
  <c r="AL127" i="100"/>
  <c r="AK127" i="100"/>
  <c r="AJ127" i="100"/>
  <c r="AI127" i="100"/>
  <c r="AH127" i="100"/>
  <c r="AG127" i="100"/>
  <c r="AF127" i="100"/>
  <c r="AE127" i="100"/>
  <c r="AD127" i="100"/>
  <c r="AA127" i="100"/>
  <c r="Z127" i="100"/>
  <c r="Y127" i="100"/>
  <c r="X127" i="100"/>
  <c r="W127" i="100"/>
  <c r="V127" i="100"/>
  <c r="U127" i="100"/>
  <c r="T127" i="100"/>
  <c r="S127" i="100"/>
  <c r="R127" i="100"/>
  <c r="Q127" i="100"/>
  <c r="P127" i="100"/>
  <c r="O127" i="100"/>
  <c r="N127" i="100"/>
  <c r="M127" i="100"/>
  <c r="L127" i="100"/>
  <c r="K127" i="100"/>
  <c r="J127" i="100"/>
  <c r="I127" i="100"/>
  <c r="AR126" i="100"/>
  <c r="AP126" i="100"/>
  <c r="AO126" i="100"/>
  <c r="AN126" i="100"/>
  <c r="AM126" i="100"/>
  <c r="AL126" i="100"/>
  <c r="AK126" i="100"/>
  <c r="AJ126" i="100"/>
  <c r="AI126" i="100"/>
  <c r="AH126" i="100"/>
  <c r="AG126" i="100"/>
  <c r="AF126" i="100"/>
  <c r="AE126" i="100"/>
  <c r="AD126" i="100"/>
  <c r="AC126" i="100"/>
  <c r="AB126" i="100"/>
  <c r="AA126" i="100"/>
  <c r="Z126" i="100"/>
  <c r="Y126" i="100"/>
  <c r="X126" i="100"/>
  <c r="V126" i="100"/>
  <c r="U126" i="100"/>
  <c r="T126" i="100"/>
  <c r="S126" i="100"/>
  <c r="R126" i="100"/>
  <c r="Q126" i="100"/>
  <c r="P126" i="100"/>
  <c r="O126" i="100"/>
  <c r="N126" i="100"/>
  <c r="M126" i="100"/>
  <c r="L126" i="100"/>
  <c r="K126" i="100"/>
  <c r="J126" i="100"/>
  <c r="I126" i="100"/>
  <c r="AN120" i="100"/>
  <c r="AM121" i="100"/>
  <c r="AM120" i="100"/>
  <c r="AH120" i="100"/>
  <c r="AH121" i="100" s="1"/>
  <c r="AC121" i="100"/>
  <c r="AC120" i="100"/>
  <c r="X120" i="100"/>
  <c r="X121" i="100" s="1"/>
  <c r="S121" i="100"/>
  <c r="S120" i="100"/>
  <c r="N120" i="100"/>
  <c r="N121" i="100" s="1"/>
  <c r="I121" i="100"/>
  <c r="I120" i="100"/>
  <c r="AP120" i="100"/>
  <c r="AL120" i="100"/>
  <c r="AK120" i="100"/>
  <c r="AJ120" i="100"/>
  <c r="AI120" i="100"/>
  <c r="BG245" i="100"/>
  <c r="BB245" i="100"/>
  <c r="AW245" i="100"/>
  <c r="AR245" i="100"/>
  <c r="AQ245" i="100"/>
  <c r="AP117" i="100"/>
  <c r="AP245" i="100" s="1"/>
  <c r="AO117" i="100"/>
  <c r="AO245" i="100" s="1"/>
  <c r="AN117" i="100"/>
  <c r="AN245" i="100" s="1"/>
  <c r="AM117" i="100"/>
  <c r="AM245" i="100" s="1"/>
  <c r="AK117" i="100"/>
  <c r="AK245" i="100" s="1"/>
  <c r="AJ117" i="100"/>
  <c r="AJ245" i="100" s="1"/>
  <c r="AI117" i="100"/>
  <c r="AI245" i="100" s="1"/>
  <c r="AH117" i="100"/>
  <c r="AH245" i="100" s="1"/>
  <c r="AG117" i="100"/>
  <c r="AG245" i="100" s="1"/>
  <c r="AF117" i="100"/>
  <c r="AF245" i="100" s="1"/>
  <c r="AE117" i="100"/>
  <c r="AE245" i="100" s="1"/>
  <c r="AD117" i="100"/>
  <c r="AD245" i="100" s="1"/>
  <c r="AC117" i="100"/>
  <c r="AC245" i="100" s="1"/>
  <c r="AB117" i="100"/>
  <c r="AB245" i="100" s="1"/>
  <c r="AA117" i="100"/>
  <c r="AA245" i="100" s="1"/>
  <c r="Z117" i="100"/>
  <c r="Z245" i="100" s="1"/>
  <c r="Y117" i="100"/>
  <c r="Y245" i="100" s="1"/>
  <c r="X117" i="100"/>
  <c r="X245" i="100" s="1"/>
  <c r="W117" i="100"/>
  <c r="W245" i="100" s="1"/>
  <c r="V117" i="100"/>
  <c r="V245" i="100" s="1"/>
  <c r="U117" i="100"/>
  <c r="U245" i="100" s="1"/>
  <c r="T117" i="100"/>
  <c r="T245" i="100" s="1"/>
  <c r="S117" i="100"/>
  <c r="S245" i="100" s="1"/>
  <c r="R117" i="100"/>
  <c r="R245" i="100" s="1"/>
  <c r="Q117" i="100"/>
  <c r="Q245" i="100" s="1"/>
  <c r="P117" i="100"/>
  <c r="P245" i="100" s="1"/>
  <c r="O117" i="100"/>
  <c r="O245" i="100" s="1"/>
  <c r="N117" i="100"/>
  <c r="N245" i="100" s="1"/>
  <c r="M117" i="100"/>
  <c r="M245" i="100" s="1"/>
  <c r="L117" i="100"/>
  <c r="L245" i="100" s="1"/>
  <c r="K117" i="100"/>
  <c r="K245" i="100" s="1"/>
  <c r="J117" i="100"/>
  <c r="J245" i="100" s="1"/>
  <c r="I117" i="100"/>
  <c r="I245" i="100" s="1"/>
  <c r="BL116" i="100"/>
  <c r="BH116" i="100" s="1"/>
  <c r="BH115" i="100"/>
  <c r="BH114" i="100"/>
  <c r="BC116" i="100"/>
  <c r="BC115" i="100"/>
  <c r="BC114" i="100"/>
  <c r="BC117" i="100" s="1"/>
  <c r="AY116" i="100"/>
  <c r="AZ116" i="100" s="1"/>
  <c r="AX116" i="100"/>
  <c r="AX115" i="100"/>
  <c r="AX114" i="100"/>
  <c r="AX117" i="100" s="1"/>
  <c r="AS116" i="100"/>
  <c r="AT116" i="100" s="1"/>
  <c r="AU116" i="100" s="1"/>
  <c r="AS115" i="100"/>
  <c r="AT115" i="100" s="1"/>
  <c r="AU115" i="100" s="1"/>
  <c r="AS114" i="100"/>
  <c r="AP108" i="100"/>
  <c r="AO108" i="100"/>
  <c r="AN108" i="100"/>
  <c r="AK108" i="100"/>
  <c r="AJ108" i="100"/>
  <c r="AI108" i="100"/>
  <c r="AF108" i="100"/>
  <c r="AE108" i="100"/>
  <c r="AD108" i="100"/>
  <c r="AA108" i="100"/>
  <c r="Z108" i="100"/>
  <c r="Y108" i="100"/>
  <c r="V108" i="100"/>
  <c r="U108" i="100"/>
  <c r="T108" i="100"/>
  <c r="S108" i="100"/>
  <c r="Q108" i="100"/>
  <c r="P108" i="100"/>
  <c r="O108" i="100"/>
  <c r="N108" i="100"/>
  <c r="L108" i="100"/>
  <c r="K108" i="100"/>
  <c r="J108" i="100"/>
  <c r="I108" i="100"/>
  <c r="I110" i="100" s="1"/>
  <c r="I246" i="100" s="1"/>
  <c r="AR105" i="100"/>
  <c r="AS105" i="100" s="1"/>
  <c r="AM105" i="100"/>
  <c r="AL105" i="100"/>
  <c r="AH105" i="100"/>
  <c r="AG105" i="100"/>
  <c r="AC105" i="100"/>
  <c r="X105" i="100"/>
  <c r="S105" i="100"/>
  <c r="N105" i="100"/>
  <c r="I105" i="100"/>
  <c r="AQ104" i="100"/>
  <c r="AQ105" i="100" s="1"/>
  <c r="AN100" i="100"/>
  <c r="AN102" i="100" s="1"/>
  <c r="AL104" i="100"/>
  <c r="AK104" i="100" s="1"/>
  <c r="AG104" i="100"/>
  <c r="AF104" i="100" s="1"/>
  <c r="AB104" i="100"/>
  <c r="AB105" i="100" s="1"/>
  <c r="Z104" i="100"/>
  <c r="Z105" i="100" s="1"/>
  <c r="Y104" i="100"/>
  <c r="AA104" i="100" s="1"/>
  <c r="W104" i="100"/>
  <c r="V104" i="100"/>
  <c r="U104" i="100"/>
  <c r="T104" i="100"/>
  <c r="T100" i="100" s="1"/>
  <c r="T102" i="100" s="1"/>
  <c r="R104" i="100"/>
  <c r="Q104" i="100"/>
  <c r="P104" i="100"/>
  <c r="O104" i="100"/>
  <c r="O100" i="100" s="1"/>
  <c r="M104" i="100"/>
  <c r="L104" i="100"/>
  <c r="K104" i="100"/>
  <c r="J104" i="100"/>
  <c r="J100" i="100" s="1"/>
  <c r="AC102" i="100"/>
  <c r="U102" i="100"/>
  <c r="I102" i="100"/>
  <c r="AQ101" i="100"/>
  <c r="AL101" i="100"/>
  <c r="AL100" i="100"/>
  <c r="AL102" i="100" s="1"/>
  <c r="AG101" i="100"/>
  <c r="AG99" i="100"/>
  <c r="AG98" i="100"/>
  <c r="AG97" i="100"/>
  <c r="AG96" i="100"/>
  <c r="AG100" i="100" s="1"/>
  <c r="AG102" i="100" s="1"/>
  <c r="AB101" i="100"/>
  <c r="AB99" i="100"/>
  <c r="AB98" i="100"/>
  <c r="AB97" i="100"/>
  <c r="AB96" i="100"/>
  <c r="AB100" i="100" s="1"/>
  <c r="AB102" i="100" s="1"/>
  <c r="W101" i="100"/>
  <c r="W99" i="100"/>
  <c r="W98" i="100"/>
  <c r="W97" i="100"/>
  <c r="W96" i="100"/>
  <c r="W100" i="100" s="1"/>
  <c r="W102" i="100" s="1"/>
  <c r="R101" i="100"/>
  <c r="R99" i="100"/>
  <c r="R98" i="100"/>
  <c r="R97" i="100"/>
  <c r="R96" i="100"/>
  <c r="R100" i="100" s="1"/>
  <c r="R102" i="100" s="1"/>
  <c r="M101" i="100"/>
  <c r="M99" i="100"/>
  <c r="M98" i="100"/>
  <c r="M97" i="100"/>
  <c r="M96" i="100"/>
  <c r="M100" i="100" s="1"/>
  <c r="M102" i="100" s="1"/>
  <c r="AR100" i="100"/>
  <c r="AQ100" i="100" s="1"/>
  <c r="AQ102" i="100" s="1"/>
  <c r="AM100" i="100"/>
  <c r="AM102" i="100" s="1"/>
  <c r="AH100" i="100"/>
  <c r="AH102" i="100" s="1"/>
  <c r="AC100" i="100"/>
  <c r="Z100" i="100"/>
  <c r="Z102" i="100" s="1"/>
  <c r="X100" i="100"/>
  <c r="X102" i="100" s="1"/>
  <c r="V100" i="100"/>
  <c r="V102" i="100" s="1"/>
  <c r="U100" i="100"/>
  <c r="S100" i="100"/>
  <c r="S102" i="100" s="1"/>
  <c r="Q100" i="100"/>
  <c r="Q102" i="100" s="1"/>
  <c r="P100" i="100"/>
  <c r="P102" i="100" s="1"/>
  <c r="N100" i="100"/>
  <c r="N102" i="100" s="1"/>
  <c r="L100" i="100"/>
  <c r="L102" i="100" s="1"/>
  <c r="K100" i="100"/>
  <c r="K102" i="100" s="1"/>
  <c r="I100" i="100"/>
  <c r="P91" i="100"/>
  <c r="AP90" i="100"/>
  <c r="AP91" i="100" s="1"/>
  <c r="AO90" i="100"/>
  <c r="AN90" i="100"/>
  <c r="AM90" i="100"/>
  <c r="AM91" i="100" s="1"/>
  <c r="AK90" i="100"/>
  <c r="AJ90" i="100"/>
  <c r="AO91" i="100" s="1"/>
  <c r="AI90" i="100"/>
  <c r="AI91" i="100" s="1"/>
  <c r="AH90" i="100"/>
  <c r="AH91" i="100" s="1"/>
  <c r="AF90" i="100"/>
  <c r="AK91" i="100" s="1"/>
  <c r="AE90" i="100"/>
  <c r="AE91" i="100" s="1"/>
  <c r="AD90" i="100"/>
  <c r="AD91" i="100" s="1"/>
  <c r="AC90" i="100"/>
  <c r="AA90" i="100"/>
  <c r="AA91" i="100" s="1"/>
  <c r="Z90" i="100"/>
  <c r="Z91" i="100" s="1"/>
  <c r="Y90" i="100"/>
  <c r="X90" i="100"/>
  <c r="AC91" i="100" s="1"/>
  <c r="V90" i="100"/>
  <c r="V91" i="100" s="1"/>
  <c r="U90" i="100"/>
  <c r="T90" i="100"/>
  <c r="Y91" i="100" s="1"/>
  <c r="S90" i="100"/>
  <c r="S91" i="100" s="1"/>
  <c r="Q90" i="100"/>
  <c r="P90" i="100"/>
  <c r="U91" i="100" s="1"/>
  <c r="O90" i="100"/>
  <c r="O91" i="100" s="1"/>
  <c r="N90" i="100"/>
  <c r="N91" i="100" s="1"/>
  <c r="L90" i="100"/>
  <c r="Q91" i="100" s="1"/>
  <c r="K90" i="100"/>
  <c r="J90" i="100"/>
  <c r="I90" i="100"/>
  <c r="O88" i="100"/>
  <c r="AD87" i="100"/>
  <c r="V87" i="100"/>
  <c r="J87" i="100"/>
  <c r="BL86" i="100"/>
  <c r="BG86" i="100"/>
  <c r="BB86" i="100"/>
  <c r="AW86" i="100"/>
  <c r="AM86" i="100"/>
  <c r="AH86" i="100"/>
  <c r="AH85" i="100"/>
  <c r="AC86" i="100"/>
  <c r="AC85" i="100"/>
  <c r="X86" i="100"/>
  <c r="X85" i="100"/>
  <c r="S86" i="100"/>
  <c r="S85" i="100"/>
  <c r="N86" i="100"/>
  <c r="N85" i="100"/>
  <c r="I86" i="100"/>
  <c r="I85" i="100"/>
  <c r="I87" i="100" s="1"/>
  <c r="AF85" i="100"/>
  <c r="AF87" i="100" s="1"/>
  <c r="AF88" i="100" s="1"/>
  <c r="AE85" i="100"/>
  <c r="AE87" i="100" s="1"/>
  <c r="AD85" i="100"/>
  <c r="AA85" i="100"/>
  <c r="AA87" i="100" s="1"/>
  <c r="AA88" i="100" s="1"/>
  <c r="AA50" i="100" s="1"/>
  <c r="Z85" i="100"/>
  <c r="Z87" i="100" s="1"/>
  <c r="Z88" i="100" s="1"/>
  <c r="Z50" i="100" s="1"/>
  <c r="Y85" i="100"/>
  <c r="Y87" i="100" s="1"/>
  <c r="V85" i="100"/>
  <c r="U85" i="100"/>
  <c r="U87" i="100" s="1"/>
  <c r="U88" i="100" s="1"/>
  <c r="T85" i="100"/>
  <c r="T87" i="100" s="1"/>
  <c r="Q85" i="100"/>
  <c r="Q87" i="100" s="1"/>
  <c r="Q88" i="100" s="1"/>
  <c r="P85" i="100"/>
  <c r="P87" i="100" s="1"/>
  <c r="O85" i="100"/>
  <c r="O87" i="100" s="1"/>
  <c r="L85" i="100"/>
  <c r="L87" i="100" s="1"/>
  <c r="K85" i="100"/>
  <c r="K87" i="100" s="1"/>
  <c r="J85" i="100"/>
  <c r="AH72" i="100"/>
  <c r="AD72" i="100"/>
  <c r="AC72" i="100"/>
  <c r="Q72" i="100"/>
  <c r="AH71" i="100"/>
  <c r="AF71" i="100"/>
  <c r="AE71" i="100"/>
  <c r="AD71" i="100"/>
  <c r="AC71" i="100"/>
  <c r="AA71" i="100"/>
  <c r="Z71" i="100"/>
  <c r="Y71" i="100"/>
  <c r="Y72" i="100" s="1"/>
  <c r="X71" i="100"/>
  <c r="X72" i="100" s="1"/>
  <c r="V71" i="100"/>
  <c r="V72" i="100" s="1"/>
  <c r="U71" i="100"/>
  <c r="T71" i="100"/>
  <c r="T72" i="100" s="1"/>
  <c r="S71" i="100"/>
  <c r="S72" i="100" s="1"/>
  <c r="Q71" i="100"/>
  <c r="P71" i="100"/>
  <c r="P72" i="100" s="1"/>
  <c r="O71" i="100"/>
  <c r="N71" i="100"/>
  <c r="N72" i="100" s="1"/>
  <c r="L71" i="100"/>
  <c r="K71" i="100"/>
  <c r="J71" i="100"/>
  <c r="J72" i="100" s="1"/>
  <c r="I71" i="100"/>
  <c r="AP68" i="100"/>
  <c r="AO68" i="100"/>
  <c r="AH68" i="100"/>
  <c r="AC68" i="100"/>
  <c r="X68" i="100"/>
  <c r="N68" i="100"/>
  <c r="AP66" i="100"/>
  <c r="AO66" i="100"/>
  <c r="AN66" i="100"/>
  <c r="AN68" i="100" s="1"/>
  <c r="AN44" i="100" s="1"/>
  <c r="AM66" i="100"/>
  <c r="AM68" i="100" s="1"/>
  <c r="AK66" i="100"/>
  <c r="AJ66" i="100"/>
  <c r="AI66" i="100"/>
  <c r="AI68" i="100" s="1"/>
  <c r="AH66" i="100"/>
  <c r="AD66" i="100"/>
  <c r="AC66" i="100"/>
  <c r="Y66" i="100"/>
  <c r="AD68" i="100" s="1"/>
  <c r="AD44" i="100" s="1"/>
  <c r="X66" i="100"/>
  <c r="T66" i="100"/>
  <c r="T68" i="100" s="1"/>
  <c r="T44" i="100" s="1"/>
  <c r="S66" i="100"/>
  <c r="S68" i="100" s="1"/>
  <c r="Q66" i="100"/>
  <c r="P66" i="100"/>
  <c r="P68" i="100" s="1"/>
  <c r="P44" i="100" s="1"/>
  <c r="O66" i="100"/>
  <c r="O68" i="100" s="1"/>
  <c r="N66" i="100"/>
  <c r="K66" i="100"/>
  <c r="J66" i="100"/>
  <c r="I66" i="100"/>
  <c r="I72" i="100" s="1"/>
  <c r="AQ65" i="100"/>
  <c r="AL65" i="100"/>
  <c r="AL66" i="100" s="1"/>
  <c r="AK65" i="100"/>
  <c r="AE65" i="100"/>
  <c r="AF65" i="100" s="1"/>
  <c r="AF66" i="100" s="1"/>
  <c r="AA65" i="100"/>
  <c r="AA66" i="100" s="1"/>
  <c r="AA68" i="100" s="1"/>
  <c r="AA44" i="100" s="1"/>
  <c r="Z65" i="100"/>
  <c r="U65" i="100"/>
  <c r="V65" i="100" s="1"/>
  <c r="V66" i="100" s="1"/>
  <c r="V68" i="100" s="1"/>
  <c r="V44" i="100" s="1"/>
  <c r="R65" i="100"/>
  <c r="R66" i="100" s="1"/>
  <c r="Q65" i="100"/>
  <c r="P65" i="100"/>
  <c r="L65" i="100"/>
  <c r="L66" i="100" s="1"/>
  <c r="L72" i="100" s="1"/>
  <c r="K65" i="100"/>
  <c r="AP62" i="100"/>
  <c r="AO62" i="100"/>
  <c r="AN62" i="100"/>
  <c r="AK62" i="100"/>
  <c r="AJ62" i="100"/>
  <c r="AI62" i="100"/>
  <c r="AM56" i="100"/>
  <c r="BK53" i="100"/>
  <c r="BJ53" i="100" s="1"/>
  <c r="BI53" i="100" s="1"/>
  <c r="BH53" i="100" s="1"/>
  <c r="BF53" i="100"/>
  <c r="BE53" i="100"/>
  <c r="BD53" i="100" s="1"/>
  <c r="BC53" i="100" s="1"/>
  <c r="BA53" i="100"/>
  <c r="AZ53" i="100" s="1"/>
  <c r="AY53" i="100" s="1"/>
  <c r="AX53" i="100" s="1"/>
  <c r="AV53" i="100"/>
  <c r="AU53" i="100" s="1"/>
  <c r="AT53" i="100" s="1"/>
  <c r="AS53" i="100" s="1"/>
  <c r="BL51" i="100"/>
  <c r="BK51" i="100"/>
  <c r="BK91" i="100" s="1"/>
  <c r="BJ51" i="100"/>
  <c r="BJ91" i="100" s="1"/>
  <c r="BK50" i="100"/>
  <c r="BK88" i="100" s="1"/>
  <c r="BF51" i="100"/>
  <c r="BF91" i="100" s="1"/>
  <c r="BF50" i="100"/>
  <c r="BF88" i="100" s="1"/>
  <c r="BA51" i="100"/>
  <c r="BA91" i="100" s="1"/>
  <c r="BA50" i="100"/>
  <c r="BA88" i="100" s="1"/>
  <c r="AV51" i="100"/>
  <c r="AV91" i="100" s="1"/>
  <c r="AU51" i="100"/>
  <c r="AU91" i="100" s="1"/>
  <c r="AU90" i="100" s="1"/>
  <c r="AP51" i="100"/>
  <c r="AO51" i="100"/>
  <c r="AM51" i="100"/>
  <c r="AK51" i="100"/>
  <c r="AI51" i="100"/>
  <c r="AH51" i="100"/>
  <c r="AE51" i="100"/>
  <c r="AD51" i="100"/>
  <c r="AC51" i="100"/>
  <c r="AA51" i="100"/>
  <c r="Z51" i="100"/>
  <c r="Y51" i="100"/>
  <c r="V51" i="100"/>
  <c r="U51" i="100"/>
  <c r="S51" i="100"/>
  <c r="Q51" i="100"/>
  <c r="P51" i="100"/>
  <c r="O51" i="100"/>
  <c r="N51" i="100"/>
  <c r="AV50" i="100"/>
  <c r="AV88" i="100" s="1"/>
  <c r="AF50" i="100"/>
  <c r="U50" i="100"/>
  <c r="Q50" i="100"/>
  <c r="O50" i="100"/>
  <c r="AW48" i="100"/>
  <c r="AU48" i="100" s="1"/>
  <c r="BL46" i="100"/>
  <c r="BK46" i="100"/>
  <c r="BJ46" i="100"/>
  <c r="BI46" i="100"/>
  <c r="BH46" i="100"/>
  <c r="BF46" i="100"/>
  <c r="BE46" i="100"/>
  <c r="BD46" i="100"/>
  <c r="BC46" i="100"/>
  <c r="BA46" i="100"/>
  <c r="AZ46" i="100"/>
  <c r="AV46" i="100"/>
  <c r="BL44" i="100"/>
  <c r="BI44" i="100" s="1"/>
  <c r="BK44" i="100"/>
  <c r="BJ44" i="100"/>
  <c r="BH44" i="100"/>
  <c r="BF44" i="100"/>
  <c r="BE44" i="100"/>
  <c r="BD44" i="100"/>
  <c r="BC44" i="100"/>
  <c r="BA44" i="100"/>
  <c r="AZ44" i="100"/>
  <c r="AY44" i="100"/>
  <c r="AX44" i="100"/>
  <c r="AV44" i="100"/>
  <c r="AV65" i="100" s="1"/>
  <c r="AU44" i="100"/>
  <c r="AU65" i="100" s="1"/>
  <c r="AT44" i="100"/>
  <c r="AT65" i="100" s="1"/>
  <c r="AT66" i="100" s="1"/>
  <c r="AT68" i="100" s="1"/>
  <c r="AS44" i="100"/>
  <c r="AS65" i="100" s="1"/>
  <c r="AP44" i="100"/>
  <c r="AO44" i="100"/>
  <c r="AM44" i="100"/>
  <c r="AI44" i="100"/>
  <c r="AH44" i="100"/>
  <c r="AC44" i="100"/>
  <c r="X44" i="100"/>
  <c r="S44" i="100"/>
  <c r="O44" i="100"/>
  <c r="N44" i="100"/>
  <c r="I44" i="100"/>
  <c r="AR37" i="100"/>
  <c r="AQ37" i="100"/>
  <c r="AP37" i="100"/>
  <c r="AO37" i="100"/>
  <c r="AN37" i="100"/>
  <c r="AM37" i="100"/>
  <c r="AL37" i="100"/>
  <c r="AK37" i="100"/>
  <c r="AJ37" i="100"/>
  <c r="AI37" i="100"/>
  <c r="AH37" i="100"/>
  <c r="AG37" i="100"/>
  <c r="AF37" i="100"/>
  <c r="AE37" i="100"/>
  <c r="AD37" i="100"/>
  <c r="AC37" i="100"/>
  <c r="AB37" i="100"/>
  <c r="AA37" i="100"/>
  <c r="Z37" i="100"/>
  <c r="Y37" i="100"/>
  <c r="X37" i="100"/>
  <c r="W37" i="100"/>
  <c r="V37" i="100"/>
  <c r="U37" i="100"/>
  <c r="T37" i="100"/>
  <c r="S37" i="100"/>
  <c r="R37" i="100"/>
  <c r="Q37" i="100"/>
  <c r="P37" i="100"/>
  <c r="O37" i="100"/>
  <c r="N37" i="100"/>
  <c r="M37" i="100"/>
  <c r="L37" i="100"/>
  <c r="K37" i="100"/>
  <c r="J37" i="100"/>
  <c r="I37" i="100"/>
  <c r="BL36" i="100"/>
  <c r="BK36" i="100"/>
  <c r="BJ36" i="100"/>
  <c r="BI36" i="100"/>
  <c r="BH36" i="100"/>
  <c r="BG36" i="100"/>
  <c r="BF36" i="100"/>
  <c r="BE36" i="100"/>
  <c r="BD36" i="100"/>
  <c r="BC36" i="100"/>
  <c r="BB36" i="100"/>
  <c r="BA36" i="100"/>
  <c r="AZ36" i="100"/>
  <c r="AY36" i="100"/>
  <c r="AX36" i="100"/>
  <c r="AW36" i="100"/>
  <c r="AV36" i="100"/>
  <c r="AU36" i="100"/>
  <c r="AT36" i="100"/>
  <c r="AS36" i="100"/>
  <c r="AR36" i="100"/>
  <c r="AQ36" i="100"/>
  <c r="AP36" i="100"/>
  <c r="AO36" i="100"/>
  <c r="AN36" i="100"/>
  <c r="AM36" i="100"/>
  <c r="AL36" i="100"/>
  <c r="AK36" i="100"/>
  <c r="AJ36" i="100"/>
  <c r="AI36" i="100"/>
  <c r="AH36" i="100"/>
  <c r="AG36" i="100"/>
  <c r="AF36" i="100"/>
  <c r="AE36" i="100"/>
  <c r="AD36" i="100"/>
  <c r="AC36" i="100"/>
  <c r="AB36" i="100"/>
  <c r="AA36" i="100"/>
  <c r="Z36" i="100"/>
  <c r="Y36" i="100"/>
  <c r="X36" i="100"/>
  <c r="W36" i="100"/>
  <c r="V36" i="100"/>
  <c r="U36" i="100"/>
  <c r="T36" i="100"/>
  <c r="S36" i="100"/>
  <c r="R36" i="100"/>
  <c r="Q36" i="100"/>
  <c r="P36" i="100"/>
  <c r="O36" i="100"/>
  <c r="N36" i="100"/>
  <c r="M36" i="100"/>
  <c r="L36" i="100"/>
  <c r="K36" i="100"/>
  <c r="J36" i="100"/>
  <c r="I36" i="100"/>
  <c r="BL33" i="100"/>
  <c r="BG33" i="100"/>
  <c r="BB33" i="100"/>
  <c r="AW33" i="100"/>
  <c r="AQ33" i="100"/>
  <c r="AL33" i="100"/>
  <c r="AG33" i="100"/>
  <c r="AB33" i="100"/>
  <c r="W33" i="100"/>
  <c r="R33" i="100"/>
  <c r="M33" i="100"/>
  <c r="AQ30" i="100"/>
  <c r="AL30" i="100"/>
  <c r="AG30" i="100"/>
  <c r="AB30" i="100"/>
  <c r="W30" i="100"/>
  <c r="R30" i="100"/>
  <c r="M30" i="100"/>
  <c r="AQ26" i="100"/>
  <c r="AQ229" i="100" s="1"/>
  <c r="AL26" i="100"/>
  <c r="AG26" i="100"/>
  <c r="AB26" i="100"/>
  <c r="W26" i="100"/>
  <c r="R26" i="100"/>
  <c r="M26" i="100"/>
  <c r="BL20" i="100"/>
  <c r="BG20" i="100"/>
  <c r="BB20" i="100"/>
  <c r="AW20" i="100"/>
  <c r="AR20" i="100"/>
  <c r="AR21" i="100" s="1"/>
  <c r="AP20" i="100"/>
  <c r="AP21" i="100" s="1"/>
  <c r="AO20" i="100"/>
  <c r="AO21" i="100" s="1"/>
  <c r="AM20" i="100"/>
  <c r="AH20" i="100"/>
  <c r="AC20" i="100"/>
  <c r="AC21" i="100" s="1"/>
  <c r="X20" i="100"/>
  <c r="S20" i="100"/>
  <c r="N20" i="100"/>
  <c r="L20" i="100"/>
  <c r="L21" i="100" s="1"/>
  <c r="I20" i="100"/>
  <c r="I21" i="100" s="1"/>
  <c r="AN19" i="100"/>
  <c r="AN20" i="100" s="1"/>
  <c r="AQ20" i="100" s="1"/>
  <c r="AJ19" i="100"/>
  <c r="AK19" i="100" s="1"/>
  <c r="AI19" i="100"/>
  <c r="AD19" i="100"/>
  <c r="Z19" i="100"/>
  <c r="Y19" i="100"/>
  <c r="T19" i="100"/>
  <c r="Q19" i="100"/>
  <c r="P19" i="100"/>
  <c r="O19" i="100"/>
  <c r="R19" i="100" s="1"/>
  <c r="L19" i="100"/>
  <c r="K19" i="100"/>
  <c r="K20" i="100" s="1"/>
  <c r="K21" i="100" s="1"/>
  <c r="J19" i="100"/>
  <c r="AH15" i="100"/>
  <c r="AF15" i="100"/>
  <c r="AE15" i="100"/>
  <c r="AD15" i="100"/>
  <c r="AC15" i="100"/>
  <c r="AA15" i="100"/>
  <c r="Z15" i="100"/>
  <c r="Y15" i="100"/>
  <c r="X15" i="100"/>
  <c r="V15" i="100"/>
  <c r="U15" i="100"/>
  <c r="T15" i="100"/>
  <c r="S15" i="100"/>
  <c r="Q15" i="100"/>
  <c r="P15" i="100"/>
  <c r="O15" i="100"/>
  <c r="N15" i="100"/>
  <c r="L15" i="100"/>
  <c r="K15" i="100"/>
  <c r="J15" i="100"/>
  <c r="I15" i="100"/>
  <c r="AQ14" i="100"/>
  <c r="AQ13" i="100"/>
  <c r="AL14" i="100"/>
  <c r="AL90" i="100" s="1"/>
  <c r="AL91" i="100" s="1"/>
  <c r="AL51" i="100" s="1"/>
  <c r="AL13" i="100"/>
  <c r="AL108" i="100" s="1"/>
  <c r="AG14" i="100"/>
  <c r="AG90" i="100" s="1"/>
  <c r="AG91" i="100" s="1"/>
  <c r="AG51" i="100" s="1"/>
  <c r="AG13" i="100"/>
  <c r="AG108" i="100" s="1"/>
  <c r="AG12" i="100"/>
  <c r="AG85" i="100" s="1"/>
  <c r="AG87" i="100" s="1"/>
  <c r="AG88" i="100" s="1"/>
  <c r="AG50" i="100" s="1"/>
  <c r="AB14" i="100"/>
  <c r="AB90" i="100" s="1"/>
  <c r="AB13" i="100"/>
  <c r="AB108" i="100" s="1"/>
  <c r="AB12" i="100"/>
  <c r="AB85" i="100" s="1"/>
  <c r="AB87" i="100" s="1"/>
  <c r="W14" i="100"/>
  <c r="W90" i="100" s="1"/>
  <c r="W91" i="100" s="1"/>
  <c r="W51" i="100" s="1"/>
  <c r="W13" i="100"/>
  <c r="W108" i="100" s="1"/>
  <c r="W12" i="100"/>
  <c r="R14" i="100"/>
  <c r="R90" i="100" s="1"/>
  <c r="R13" i="100"/>
  <c r="R108" i="100" s="1"/>
  <c r="R12" i="100"/>
  <c r="R85" i="100" s="1"/>
  <c r="R87" i="100" s="1"/>
  <c r="M14" i="100"/>
  <c r="M90" i="100" s="1"/>
  <c r="M13" i="100"/>
  <c r="M108" i="100" s="1"/>
  <c r="M12" i="100"/>
  <c r="M85" i="100" s="1"/>
  <c r="M87" i="100" s="1"/>
  <c r="AU14" i="100"/>
  <c r="AR12" i="100"/>
  <c r="AP12" i="100"/>
  <c r="AP85" i="100" s="1"/>
  <c r="AP87" i="100" s="1"/>
  <c r="AO12" i="100"/>
  <c r="AO85" i="100" s="1"/>
  <c r="AO87" i="100" s="1"/>
  <c r="AN12" i="100"/>
  <c r="AN85" i="100" s="1"/>
  <c r="AN87" i="100" s="1"/>
  <c r="AM12" i="100"/>
  <c r="AM85" i="100" s="1"/>
  <c r="AK12" i="100"/>
  <c r="AK85" i="100" s="1"/>
  <c r="AK87" i="100" s="1"/>
  <c r="AK88" i="100" s="1"/>
  <c r="AK50" i="100" s="1"/>
  <c r="AJ12" i="100"/>
  <c r="AJ85" i="100" s="1"/>
  <c r="AJ87" i="100" s="1"/>
  <c r="AJ88" i="100" s="1"/>
  <c r="AJ50" i="100" s="1"/>
  <c r="AI12" i="100"/>
  <c r="AM10" i="100"/>
  <c r="AH10" i="100"/>
  <c r="AC10" i="100"/>
  <c r="AA10" i="100"/>
  <c r="V10" i="100"/>
  <c r="Q10" i="100"/>
  <c r="AR9" i="100"/>
  <c r="AR15" i="100" s="1"/>
  <c r="AR17" i="100" s="1"/>
  <c r="AP9" i="100"/>
  <c r="AP71" i="100" s="1"/>
  <c r="AP72" i="100" s="1"/>
  <c r="AU72" i="100" s="1"/>
  <c r="AO9" i="100"/>
  <c r="AO71" i="100" s="1"/>
  <c r="AO72" i="100" s="1"/>
  <c r="AT72" i="100" s="1"/>
  <c r="AN9" i="100"/>
  <c r="AM9" i="100"/>
  <c r="AM71" i="100" s="1"/>
  <c r="AM72" i="100" s="1"/>
  <c r="AK9" i="100"/>
  <c r="AK71" i="100" s="1"/>
  <c r="AK72" i="100" s="1"/>
  <c r="AJ9" i="100"/>
  <c r="AI9" i="100"/>
  <c r="AI71" i="100" s="1"/>
  <c r="AI72" i="100" s="1"/>
  <c r="AG9" i="100"/>
  <c r="AG71" i="100" s="1"/>
  <c r="AB9" i="100"/>
  <c r="AB71" i="100" s="1"/>
  <c r="W9" i="100"/>
  <c r="W71" i="100" s="1"/>
  <c r="R9" i="100"/>
  <c r="R71" i="100" s="1"/>
  <c r="R72" i="100" s="1"/>
  <c r="M9" i="100"/>
  <c r="M71" i="100" s="1"/>
  <c r="AQ8" i="100"/>
  <c r="AL8" i="100"/>
  <c r="AL62" i="100" s="1"/>
  <c r="AH8" i="100"/>
  <c r="AG8" i="100" s="1"/>
  <c r="AF8" i="100"/>
  <c r="AE8" i="100"/>
  <c r="AE10" i="100" s="1"/>
  <c r="AD8" i="100"/>
  <c r="AD62" i="100" s="1"/>
  <c r="AC8" i="100"/>
  <c r="AC17" i="100" s="1"/>
  <c r="AC23" i="100" s="1"/>
  <c r="AA8" i="100"/>
  <c r="Z8" i="100"/>
  <c r="Z62" i="100" s="1"/>
  <c r="Z74" i="100" s="1"/>
  <c r="Y8" i="100"/>
  <c r="Y62" i="100" s="1"/>
  <c r="X8" i="100"/>
  <c r="V8" i="100"/>
  <c r="V62" i="100" s="1"/>
  <c r="V74" i="100" s="1"/>
  <c r="U8" i="100"/>
  <c r="U62" i="100" s="1"/>
  <c r="U74" i="100" s="1"/>
  <c r="T8" i="100"/>
  <c r="S8" i="100"/>
  <c r="S17" i="100" s="1"/>
  <c r="Q8" i="100"/>
  <c r="Q62" i="100" s="1"/>
  <c r="Q74" i="100" s="1"/>
  <c r="P8" i="100"/>
  <c r="O8" i="100"/>
  <c r="O10" i="100" s="1"/>
  <c r="N8" i="100"/>
  <c r="N10" i="100" s="1"/>
  <c r="L8" i="100"/>
  <c r="K8" i="100"/>
  <c r="K10" i="100" s="1"/>
  <c r="J8" i="100"/>
  <c r="J62" i="100" s="1"/>
  <c r="I8" i="100"/>
  <c r="I62" i="100" s="1"/>
  <c r="I74" i="100" s="1"/>
  <c r="I79" i="100" s="1"/>
  <c r="I81" i="100" s="1"/>
  <c r="B2" i="100"/>
  <c r="AQ294" i="99"/>
  <c r="AR294" i="99" s="1"/>
  <c r="AS294" i="99" s="1"/>
  <c r="AT294" i="99" s="1"/>
  <c r="AU294" i="99" s="1"/>
  <c r="AV294" i="99" s="1"/>
  <c r="AW294" i="99" s="1"/>
  <c r="AX294" i="99" s="1"/>
  <c r="AY294" i="99" s="1"/>
  <c r="AZ294" i="99" s="1"/>
  <c r="BA294" i="99" s="1"/>
  <c r="BB294" i="99" s="1"/>
  <c r="BC294" i="99" s="1"/>
  <c r="BD294" i="99" s="1"/>
  <c r="BE294" i="99" s="1"/>
  <c r="BF294" i="99" s="1"/>
  <c r="BG294" i="99" s="1"/>
  <c r="BH294" i="99" s="1"/>
  <c r="BI294" i="99" s="1"/>
  <c r="BJ294" i="99" s="1"/>
  <c r="BK294" i="99" s="1"/>
  <c r="BL294" i="99" s="1"/>
  <c r="BL290" i="99"/>
  <c r="X282" i="99"/>
  <c r="BL281" i="99"/>
  <c r="BG281" i="99"/>
  <c r="BB281" i="99"/>
  <c r="AW281" i="99"/>
  <c r="AR281" i="99"/>
  <c r="AR279" i="99"/>
  <c r="AM281" i="99"/>
  <c r="AM279" i="99"/>
  <c r="AH281" i="99"/>
  <c r="AH279" i="99"/>
  <c r="AC281" i="99"/>
  <c r="AC279" i="99"/>
  <c r="AC277" i="99"/>
  <c r="X281" i="99"/>
  <c r="X279" i="99"/>
  <c r="S281" i="99"/>
  <c r="S279" i="99"/>
  <c r="N281" i="99"/>
  <c r="N279" i="99"/>
  <c r="I281" i="99"/>
  <c r="I279" i="99"/>
  <c r="AP279" i="99"/>
  <c r="AO279" i="99"/>
  <c r="AN279" i="99"/>
  <c r="AK279" i="99"/>
  <c r="AJ279" i="99"/>
  <c r="AI279" i="99"/>
  <c r="AF279" i="99"/>
  <c r="AE279" i="99"/>
  <c r="AD279" i="99"/>
  <c r="AA279" i="99"/>
  <c r="Z279" i="99"/>
  <c r="Y279" i="99"/>
  <c r="Y277" i="99"/>
  <c r="V279" i="99"/>
  <c r="U279" i="99"/>
  <c r="T279" i="99"/>
  <c r="Q279" i="99"/>
  <c r="P279" i="99"/>
  <c r="O279" i="99"/>
  <c r="L279" i="99"/>
  <c r="K279" i="99"/>
  <c r="J279" i="99"/>
  <c r="AR262" i="99"/>
  <c r="AM262" i="99"/>
  <c r="AH262" i="99"/>
  <c r="AC262" i="99"/>
  <c r="X262" i="99"/>
  <c r="S262" i="99"/>
  <c r="N262" i="99"/>
  <c r="L262" i="99"/>
  <c r="K262" i="99"/>
  <c r="J262" i="99"/>
  <c r="I262" i="99"/>
  <c r="R251" i="99"/>
  <c r="M251" i="99"/>
  <c r="R248" i="99"/>
  <c r="M248" i="99"/>
  <c r="AL245" i="99"/>
  <c r="V245" i="99"/>
  <c r="Q245" i="99"/>
  <c r="P245" i="99"/>
  <c r="N245" i="99"/>
  <c r="J245" i="99"/>
  <c r="AQ244" i="99"/>
  <c r="AP244" i="99"/>
  <c r="AO244" i="99"/>
  <c r="AN244" i="99"/>
  <c r="AL244" i="99"/>
  <c r="AK244" i="99"/>
  <c r="AJ244" i="99"/>
  <c r="AI244" i="99"/>
  <c r="AG244" i="99"/>
  <c r="AF244" i="99"/>
  <c r="AE244" i="99"/>
  <c r="AD244" i="99"/>
  <c r="AB244" i="99"/>
  <c r="Z244" i="99"/>
  <c r="Y244" i="99"/>
  <c r="W244" i="99"/>
  <c r="V244" i="99"/>
  <c r="U244" i="99"/>
  <c r="T244" i="99"/>
  <c r="S244" i="99"/>
  <c r="O244" i="99"/>
  <c r="N244" i="99"/>
  <c r="M244" i="99"/>
  <c r="L244" i="99"/>
  <c r="K244" i="99"/>
  <c r="J244" i="99"/>
  <c r="I244" i="99"/>
  <c r="AQ243" i="99"/>
  <c r="AQ245" i="99" s="1"/>
  <c r="AP243" i="99"/>
  <c r="AO243" i="99"/>
  <c r="AO245" i="99" s="1"/>
  <c r="AN243" i="99"/>
  <c r="AN245" i="99" s="1"/>
  <c r="AL243" i="99"/>
  <c r="AK243" i="99"/>
  <c r="AK245" i="99" s="1"/>
  <c r="AJ243" i="99"/>
  <c r="AJ245" i="99" s="1"/>
  <c r="AI243" i="99"/>
  <c r="AI245" i="99" s="1"/>
  <c r="AG243" i="99"/>
  <c r="AG245" i="99" s="1"/>
  <c r="AF243" i="99"/>
  <c r="AF245" i="99" s="1"/>
  <c r="AE243" i="99"/>
  <c r="AE245" i="99" s="1"/>
  <c r="AD243" i="99"/>
  <c r="AB243" i="99"/>
  <c r="AB245" i="99" s="1"/>
  <c r="AA243" i="99"/>
  <c r="Z243" i="99"/>
  <c r="Y243" i="99"/>
  <c r="Y245" i="99" s="1"/>
  <c r="W243" i="99"/>
  <c r="W245" i="99" s="1"/>
  <c r="V243" i="99"/>
  <c r="U243" i="99"/>
  <c r="U245" i="99" s="1"/>
  <c r="T243" i="99"/>
  <c r="T245" i="99" s="1"/>
  <c r="R243" i="99"/>
  <c r="M243" i="99"/>
  <c r="AQ241" i="99"/>
  <c r="AP241" i="99"/>
  <c r="AO241" i="99"/>
  <c r="AN241" i="99"/>
  <c r="AL241" i="99"/>
  <c r="AK241" i="99"/>
  <c r="AJ241" i="99"/>
  <c r="AI241" i="99"/>
  <c r="AG241" i="99"/>
  <c r="AF241" i="99"/>
  <c r="AE241" i="99"/>
  <c r="AD241" i="99"/>
  <c r="AB241" i="99"/>
  <c r="AA241" i="99"/>
  <c r="Z241" i="99"/>
  <c r="Y241" i="99"/>
  <c r="W241" i="99"/>
  <c r="V241" i="99"/>
  <c r="U241" i="99"/>
  <c r="T241" i="99"/>
  <c r="R241" i="99"/>
  <c r="M241" i="99"/>
  <c r="AQ234" i="99"/>
  <c r="AQ251" i="99" s="1"/>
  <c r="AP234" i="99"/>
  <c r="AP251" i="99" s="1"/>
  <c r="AO234" i="99"/>
  <c r="AN234" i="99"/>
  <c r="AN251" i="99" s="1"/>
  <c r="AL234" i="99"/>
  <c r="AL251" i="99" s="1"/>
  <c r="AK234" i="99"/>
  <c r="AJ234" i="99"/>
  <c r="AJ251" i="99" s="1"/>
  <c r="AI234" i="99"/>
  <c r="AI251" i="99" s="1"/>
  <c r="AG234" i="99"/>
  <c r="AF234" i="99"/>
  <c r="AF251" i="99" s="1"/>
  <c r="AE234" i="99"/>
  <c r="AE251" i="99" s="1"/>
  <c r="AD234" i="99"/>
  <c r="AD251" i="99" s="1"/>
  <c r="AB234" i="99"/>
  <c r="AB251" i="99" s="1"/>
  <c r="AA234" i="99"/>
  <c r="AA251" i="99" s="1"/>
  <c r="Z234" i="99"/>
  <c r="Z251" i="99" s="1"/>
  <c r="Y234" i="99"/>
  <c r="W234" i="99"/>
  <c r="W251" i="99" s="1"/>
  <c r="V234" i="99"/>
  <c r="V251" i="99" s="1"/>
  <c r="U234" i="99"/>
  <c r="U251" i="99" s="1"/>
  <c r="T234" i="99"/>
  <c r="T251" i="99" s="1"/>
  <c r="AM233" i="99"/>
  <c r="AM232" i="99"/>
  <c r="AM231" i="99"/>
  <c r="AM234" i="99" s="1"/>
  <c r="AH233" i="99"/>
  <c r="AH232" i="99"/>
  <c r="AH231" i="99"/>
  <c r="AH234" i="99" s="1"/>
  <c r="AC233" i="99"/>
  <c r="AC232" i="99"/>
  <c r="AC231" i="99"/>
  <c r="AC234" i="99" s="1"/>
  <c r="X233" i="99"/>
  <c r="X232" i="99"/>
  <c r="X231" i="99"/>
  <c r="X234" i="99" s="1"/>
  <c r="AR233" i="99"/>
  <c r="AT232" i="99"/>
  <c r="AU232" i="99" s="1"/>
  <c r="AV232" i="99" s="1"/>
  <c r="AW232" i="99" s="1"/>
  <c r="AX232" i="99" s="1"/>
  <c r="AY232" i="99" s="1"/>
  <c r="AZ232" i="99" s="1"/>
  <c r="BA232" i="99" s="1"/>
  <c r="BB232" i="99" s="1"/>
  <c r="BC232" i="99" s="1"/>
  <c r="BD232" i="99" s="1"/>
  <c r="BE232" i="99" s="1"/>
  <c r="BF232" i="99" s="1"/>
  <c r="BG232" i="99" s="1"/>
  <c r="BH232" i="99" s="1"/>
  <c r="BI232" i="99" s="1"/>
  <c r="BJ232" i="99" s="1"/>
  <c r="BK232" i="99" s="1"/>
  <c r="BL232" i="99" s="1"/>
  <c r="AS232" i="99"/>
  <c r="AR232" i="99"/>
  <c r="AR231" i="99"/>
  <c r="AS231" i="99" s="1"/>
  <c r="T229" i="99"/>
  <c r="AS227" i="99"/>
  <c r="AT227" i="99" s="1"/>
  <c r="AU227" i="99" s="1"/>
  <c r="AV227" i="99" s="1"/>
  <c r="AW227" i="99" s="1"/>
  <c r="AX227" i="99" s="1"/>
  <c r="AY227" i="99" s="1"/>
  <c r="AZ227" i="99" s="1"/>
  <c r="BA227" i="99" s="1"/>
  <c r="BB227" i="99" s="1"/>
  <c r="BC227" i="99" s="1"/>
  <c r="BD227" i="99" s="1"/>
  <c r="BE227" i="99" s="1"/>
  <c r="BF227" i="99" s="1"/>
  <c r="BG227" i="99" s="1"/>
  <c r="BH227" i="99" s="1"/>
  <c r="BI227" i="99" s="1"/>
  <c r="BJ227" i="99" s="1"/>
  <c r="BK227" i="99" s="1"/>
  <c r="BL227" i="99" s="1"/>
  <c r="AR227" i="99"/>
  <c r="AQ227" i="99"/>
  <c r="AP227" i="99"/>
  <c r="AO227" i="99"/>
  <c r="AN227" i="99"/>
  <c r="AL227" i="99"/>
  <c r="AM227" i="99" s="1"/>
  <c r="AK227" i="99"/>
  <c r="AJ227" i="99"/>
  <c r="AI227" i="99"/>
  <c r="AG227" i="99"/>
  <c r="AH227" i="99" s="1"/>
  <c r="AF227" i="99"/>
  <c r="AE227" i="99"/>
  <c r="AD227" i="99"/>
  <c r="AC227" i="99"/>
  <c r="AB227" i="99"/>
  <c r="AA227" i="99"/>
  <c r="Z227" i="99"/>
  <c r="Y227" i="99"/>
  <c r="X227" i="99"/>
  <c r="W227" i="99"/>
  <c r="V227" i="99"/>
  <c r="U227" i="99"/>
  <c r="T227" i="99"/>
  <c r="AM226" i="99"/>
  <c r="AM225" i="99"/>
  <c r="AM224" i="99"/>
  <c r="AH226" i="99"/>
  <c r="AH225" i="99"/>
  <c r="AH224" i="99"/>
  <c r="AC226" i="99"/>
  <c r="AC225" i="99"/>
  <c r="AC224" i="99"/>
  <c r="X226" i="99"/>
  <c r="X225" i="99"/>
  <c r="X224" i="99"/>
  <c r="AT226" i="99"/>
  <c r="AU226" i="99" s="1"/>
  <c r="AV226" i="99" s="1"/>
  <c r="AW226" i="99" s="1"/>
  <c r="AX226" i="99" s="1"/>
  <c r="AY226" i="99" s="1"/>
  <c r="AZ226" i="99" s="1"/>
  <c r="BA226" i="99" s="1"/>
  <c r="BB226" i="99" s="1"/>
  <c r="BC226" i="99" s="1"/>
  <c r="BD226" i="99" s="1"/>
  <c r="BE226" i="99" s="1"/>
  <c r="BF226" i="99" s="1"/>
  <c r="BG226" i="99" s="1"/>
  <c r="BH226" i="99" s="1"/>
  <c r="BI226" i="99" s="1"/>
  <c r="BJ226" i="99" s="1"/>
  <c r="BK226" i="99" s="1"/>
  <c r="BL226" i="99" s="1"/>
  <c r="AS226" i="99"/>
  <c r="AR226" i="99"/>
  <c r="AY225" i="99"/>
  <c r="AZ225" i="99" s="1"/>
  <c r="BA225" i="99" s="1"/>
  <c r="BB225" i="99" s="1"/>
  <c r="BC225" i="99" s="1"/>
  <c r="BD225" i="99" s="1"/>
  <c r="BE225" i="99" s="1"/>
  <c r="BF225" i="99" s="1"/>
  <c r="BG225" i="99" s="1"/>
  <c r="BH225" i="99" s="1"/>
  <c r="BI225" i="99" s="1"/>
  <c r="BJ225" i="99" s="1"/>
  <c r="BK225" i="99" s="1"/>
  <c r="BL225" i="99" s="1"/>
  <c r="AU225" i="99"/>
  <c r="AV225" i="99" s="1"/>
  <c r="AW225" i="99" s="1"/>
  <c r="AX225" i="99" s="1"/>
  <c r="AR225" i="99"/>
  <c r="AS225" i="99" s="1"/>
  <c r="AT225" i="99" s="1"/>
  <c r="AR224" i="99"/>
  <c r="AO222" i="99"/>
  <c r="AO229" i="99" s="1"/>
  <c r="AK222" i="99"/>
  <c r="AK229" i="99" s="1"/>
  <c r="AG222" i="99"/>
  <c r="AG229" i="99" s="1"/>
  <c r="Y222" i="99"/>
  <c r="Y229" i="99" s="1"/>
  <c r="U222" i="99"/>
  <c r="U229" i="99" s="1"/>
  <c r="T222" i="99"/>
  <c r="AX221" i="99"/>
  <c r="AY221" i="99" s="1"/>
  <c r="AZ221" i="99" s="1"/>
  <c r="BA221" i="99" s="1"/>
  <c r="BB221" i="99" s="1"/>
  <c r="BC221" i="99" s="1"/>
  <c r="BD221" i="99" s="1"/>
  <c r="BE221" i="99" s="1"/>
  <c r="BF221" i="99" s="1"/>
  <c r="BG221" i="99" s="1"/>
  <c r="BH221" i="99" s="1"/>
  <c r="BI221" i="99" s="1"/>
  <c r="BJ221" i="99" s="1"/>
  <c r="BK221" i="99" s="1"/>
  <c r="BL221" i="99" s="1"/>
  <c r="AT221" i="99"/>
  <c r="AU221" i="99" s="1"/>
  <c r="AV221" i="99" s="1"/>
  <c r="AW221" i="99" s="1"/>
  <c r="AQ221" i="99"/>
  <c r="AR221" i="99" s="1"/>
  <c r="AS221" i="99" s="1"/>
  <c r="AP221" i="99"/>
  <c r="AO221" i="99"/>
  <c r="AN221" i="99"/>
  <c r="AL221" i="99"/>
  <c r="AM221" i="99" s="1"/>
  <c r="AK221" i="99"/>
  <c r="AJ221" i="99"/>
  <c r="AI221" i="99"/>
  <c r="AH221" i="99"/>
  <c r="AG221" i="99"/>
  <c r="AF221" i="99"/>
  <c r="AE221" i="99"/>
  <c r="AD221" i="99"/>
  <c r="AC221" i="99"/>
  <c r="AB221" i="99"/>
  <c r="AA221" i="99"/>
  <c r="Z221" i="99"/>
  <c r="Y221" i="99"/>
  <c r="W221" i="99"/>
  <c r="X221" i="99" s="1"/>
  <c r="V221" i="99"/>
  <c r="V222" i="99" s="1"/>
  <c r="V229" i="99" s="1"/>
  <c r="V236" i="99" s="1"/>
  <c r="U221" i="99"/>
  <c r="T221" i="99"/>
  <c r="AQ220" i="99"/>
  <c r="AP220" i="99"/>
  <c r="AO220" i="99"/>
  <c r="AN220" i="99"/>
  <c r="AN222" i="99" s="1"/>
  <c r="AN229" i="99" s="1"/>
  <c r="AM220" i="99"/>
  <c r="AL220" i="99"/>
  <c r="AL222" i="99" s="1"/>
  <c r="AL229" i="99" s="1"/>
  <c r="AL236" i="99" s="1"/>
  <c r="AK220" i="99"/>
  <c r="AJ220" i="99"/>
  <c r="AJ222" i="99" s="1"/>
  <c r="AJ229" i="99" s="1"/>
  <c r="AI220" i="99"/>
  <c r="AI222" i="99" s="1"/>
  <c r="AI229" i="99" s="1"/>
  <c r="AH220" i="99"/>
  <c r="AG220" i="99"/>
  <c r="AF220" i="99"/>
  <c r="AF222" i="99" s="1"/>
  <c r="AF229" i="99" s="1"/>
  <c r="AE220" i="99"/>
  <c r="AE222" i="99" s="1"/>
  <c r="AE229" i="99" s="1"/>
  <c r="AD220" i="99"/>
  <c r="AD222" i="99" s="1"/>
  <c r="AD229" i="99" s="1"/>
  <c r="AD236" i="99" s="1"/>
  <c r="AB220" i="99"/>
  <c r="AC220" i="99" s="1"/>
  <c r="AC222" i="99" s="1"/>
  <c r="AC229" i="99" s="1"/>
  <c r="AA220" i="99"/>
  <c r="AA222" i="99" s="1"/>
  <c r="AA229" i="99" s="1"/>
  <c r="Z220" i="99"/>
  <c r="Z222" i="99" s="1"/>
  <c r="Z229" i="99" s="1"/>
  <c r="Y220" i="99"/>
  <c r="W220" i="99"/>
  <c r="AM219" i="99"/>
  <c r="AM218" i="99"/>
  <c r="AM243" i="99" s="1"/>
  <c r="AH219" i="99"/>
  <c r="AH244" i="99" s="1"/>
  <c r="AH218" i="99"/>
  <c r="AC219" i="99"/>
  <c r="AC244" i="99" s="1"/>
  <c r="AC218" i="99"/>
  <c r="AC243" i="99" s="1"/>
  <c r="X219" i="99"/>
  <c r="X244" i="99" s="1"/>
  <c r="X218" i="99"/>
  <c r="AR219" i="99"/>
  <c r="AR218" i="99"/>
  <c r="AR243" i="99" s="1"/>
  <c r="AR214" i="99"/>
  <c r="AQ214" i="99"/>
  <c r="AP214" i="99"/>
  <c r="AO214" i="99"/>
  <c r="AN214" i="99"/>
  <c r="AM214" i="99"/>
  <c r="AL214" i="99"/>
  <c r="AK214" i="99"/>
  <c r="AJ214" i="99"/>
  <c r="AI214" i="99"/>
  <c r="AG214" i="99"/>
  <c r="AH214" i="99" s="1"/>
  <c r="AF214" i="99"/>
  <c r="AE214" i="99"/>
  <c r="AD214" i="99"/>
  <c r="AB214" i="99"/>
  <c r="AC214" i="99" s="1"/>
  <c r="AA214" i="99"/>
  <c r="Z214" i="99"/>
  <c r="Y214" i="99"/>
  <c r="X214" i="99"/>
  <c r="W214" i="99"/>
  <c r="V214" i="99"/>
  <c r="U214" i="99"/>
  <c r="T214" i="99"/>
  <c r="AM213" i="99"/>
  <c r="AM212" i="99"/>
  <c r="AH213" i="99"/>
  <c r="AH212" i="99"/>
  <c r="AC213" i="99"/>
  <c r="AC212" i="99"/>
  <c r="X213" i="99"/>
  <c r="X212" i="99"/>
  <c r="AR213" i="99"/>
  <c r="AS213" i="99" s="1"/>
  <c r="AT213" i="99" s="1"/>
  <c r="AU213" i="99" s="1"/>
  <c r="AV213" i="99" s="1"/>
  <c r="AW213" i="99" s="1"/>
  <c r="AX213" i="99" s="1"/>
  <c r="AY213" i="99" s="1"/>
  <c r="AZ213" i="99" s="1"/>
  <c r="BA213" i="99" s="1"/>
  <c r="BB213" i="99" s="1"/>
  <c r="BC213" i="99" s="1"/>
  <c r="BD213" i="99" s="1"/>
  <c r="BE213" i="99" s="1"/>
  <c r="BF213" i="99" s="1"/>
  <c r="BG213" i="99" s="1"/>
  <c r="BH213" i="99" s="1"/>
  <c r="BI213" i="99" s="1"/>
  <c r="BJ213" i="99" s="1"/>
  <c r="BK213" i="99" s="1"/>
  <c r="BL213" i="99" s="1"/>
  <c r="AS212" i="99"/>
  <c r="AT212" i="99" s="1"/>
  <c r="AU212" i="99" s="1"/>
  <c r="AV212" i="99" s="1"/>
  <c r="AW212" i="99" s="1"/>
  <c r="AX212" i="99" s="1"/>
  <c r="AY212" i="99" s="1"/>
  <c r="AZ212" i="99" s="1"/>
  <c r="BA212" i="99" s="1"/>
  <c r="BB212" i="99" s="1"/>
  <c r="BC212" i="99" s="1"/>
  <c r="BD212" i="99" s="1"/>
  <c r="BE212" i="99" s="1"/>
  <c r="BF212" i="99" s="1"/>
  <c r="BG212" i="99" s="1"/>
  <c r="BH212" i="99" s="1"/>
  <c r="BI212" i="99" s="1"/>
  <c r="BJ212" i="99" s="1"/>
  <c r="BK212" i="99" s="1"/>
  <c r="BL212" i="99" s="1"/>
  <c r="AR212" i="99"/>
  <c r="AR210" i="99"/>
  <c r="AQ210" i="99"/>
  <c r="AP210" i="99"/>
  <c r="AM210" i="99"/>
  <c r="AL210" i="99"/>
  <c r="AJ210" i="99"/>
  <c r="AH210" i="99"/>
  <c r="AG210" i="99"/>
  <c r="AF210" i="99"/>
  <c r="AE210" i="99"/>
  <c r="AD210" i="99"/>
  <c r="AB210" i="99"/>
  <c r="AA210" i="99"/>
  <c r="Z210" i="99"/>
  <c r="Y210" i="99"/>
  <c r="W210" i="99"/>
  <c r="V210" i="99"/>
  <c r="U210" i="99"/>
  <c r="T210" i="99"/>
  <c r="AM209" i="99"/>
  <c r="AM208" i="99"/>
  <c r="AH209" i="99"/>
  <c r="AH208" i="99"/>
  <c r="AC209" i="99"/>
  <c r="AC208" i="99"/>
  <c r="AC210" i="99" s="1"/>
  <c r="X209" i="99"/>
  <c r="X208" i="99"/>
  <c r="X210" i="99" s="1"/>
  <c r="AR209" i="99"/>
  <c r="AR208" i="99"/>
  <c r="AP208" i="99"/>
  <c r="AO208" i="99"/>
  <c r="AO210" i="99" s="1"/>
  <c r="AN208" i="99"/>
  <c r="AN210" i="99" s="1"/>
  <c r="AK208" i="99"/>
  <c r="AK210" i="99" s="1"/>
  <c r="AJ208" i="99"/>
  <c r="AI208" i="99"/>
  <c r="AI210" i="99" s="1"/>
  <c r="AQ206" i="99"/>
  <c r="AQ216" i="99" s="1"/>
  <c r="AP206" i="99"/>
  <c r="AP216" i="99" s="1"/>
  <c r="AE206" i="99"/>
  <c r="AE216" i="99" s="1"/>
  <c r="AD206" i="99"/>
  <c r="AD216" i="99" s="1"/>
  <c r="AD238" i="99" s="1"/>
  <c r="AA206" i="99"/>
  <c r="AA216" i="99" s="1"/>
  <c r="Z206" i="99"/>
  <c r="Z216" i="99" s="1"/>
  <c r="W206" i="99"/>
  <c r="W216" i="99" s="1"/>
  <c r="V206" i="99"/>
  <c r="V216" i="99" s="1"/>
  <c r="V238" i="99" s="1"/>
  <c r="AR205" i="99"/>
  <c r="AQ205" i="99"/>
  <c r="AP205" i="99"/>
  <c r="AO205" i="99"/>
  <c r="AN205" i="99"/>
  <c r="AM205" i="99"/>
  <c r="AL205" i="99"/>
  <c r="AK205" i="99"/>
  <c r="AJ205" i="99"/>
  <c r="AI205" i="99"/>
  <c r="AG205" i="99"/>
  <c r="AG206" i="99" s="1"/>
  <c r="AG216" i="99" s="1"/>
  <c r="AF205" i="99"/>
  <c r="AF206" i="99" s="1"/>
  <c r="AF216" i="99" s="1"/>
  <c r="AE205" i="99"/>
  <c r="AD205" i="99"/>
  <c r="AB205" i="99"/>
  <c r="AB206" i="99" s="1"/>
  <c r="AB216" i="99" s="1"/>
  <c r="AA205" i="99"/>
  <c r="Z205" i="99"/>
  <c r="Y205" i="99"/>
  <c r="Y206" i="99" s="1"/>
  <c r="Y216" i="99" s="1"/>
  <c r="X205" i="99"/>
  <c r="W205" i="99"/>
  <c r="V205" i="99"/>
  <c r="U205" i="99"/>
  <c r="U206" i="99" s="1"/>
  <c r="U216" i="99" s="1"/>
  <c r="T205" i="99"/>
  <c r="T206" i="99" s="1"/>
  <c r="T216" i="99" s="1"/>
  <c r="AM204" i="99"/>
  <c r="AM201" i="99"/>
  <c r="AM241" i="99" s="1"/>
  <c r="AH204" i="99"/>
  <c r="AH203" i="99"/>
  <c r="AH202" i="99"/>
  <c r="AH201" i="99"/>
  <c r="AH241" i="99" s="1"/>
  <c r="AC204" i="99"/>
  <c r="AC203" i="99"/>
  <c r="AC202" i="99"/>
  <c r="AC201" i="99"/>
  <c r="AC241" i="99" s="1"/>
  <c r="X204" i="99"/>
  <c r="X203" i="99"/>
  <c r="X202" i="99"/>
  <c r="X201" i="99"/>
  <c r="X241" i="99" s="1"/>
  <c r="AQ203" i="99"/>
  <c r="AR203" i="99" s="1"/>
  <c r="AS203" i="99" s="1"/>
  <c r="AT203" i="99" s="1"/>
  <c r="AU203" i="99" s="1"/>
  <c r="AV203" i="99" s="1"/>
  <c r="AW203" i="99" s="1"/>
  <c r="AX203" i="99" s="1"/>
  <c r="AY203" i="99" s="1"/>
  <c r="AZ203" i="99" s="1"/>
  <c r="BA203" i="99" s="1"/>
  <c r="BB203" i="99" s="1"/>
  <c r="BC203" i="99" s="1"/>
  <c r="BD203" i="99" s="1"/>
  <c r="BE203" i="99" s="1"/>
  <c r="BF203" i="99" s="1"/>
  <c r="BG203" i="99" s="1"/>
  <c r="BH203" i="99" s="1"/>
  <c r="BI203" i="99" s="1"/>
  <c r="BJ203" i="99" s="1"/>
  <c r="BK203" i="99" s="1"/>
  <c r="BL203" i="99" s="1"/>
  <c r="AP203" i="99"/>
  <c r="AO203" i="99"/>
  <c r="AN203" i="99"/>
  <c r="AQ202" i="99"/>
  <c r="AP202" i="99"/>
  <c r="AO202" i="99"/>
  <c r="AO206" i="99" s="1"/>
  <c r="AO216" i="99" s="1"/>
  <c r="AN202" i="99"/>
  <c r="AN206" i="99" s="1"/>
  <c r="AN216" i="99" s="1"/>
  <c r="AL203" i="99"/>
  <c r="AM203" i="99" s="1"/>
  <c r="AK203" i="99"/>
  <c r="AJ203" i="99"/>
  <c r="AI203" i="99"/>
  <c r="AL202" i="99"/>
  <c r="AM202" i="99" s="1"/>
  <c r="AK202" i="99"/>
  <c r="AK206" i="99" s="1"/>
  <c r="AK216" i="99" s="1"/>
  <c r="AJ202" i="99"/>
  <c r="AJ206" i="99" s="1"/>
  <c r="AJ216" i="99" s="1"/>
  <c r="AI202" i="99"/>
  <c r="AI206" i="99" s="1"/>
  <c r="AI216" i="99" s="1"/>
  <c r="AR204" i="99"/>
  <c r="AR202" i="99"/>
  <c r="AS202" i="99" s="1"/>
  <c r="AT202" i="99" s="1"/>
  <c r="AU202" i="99" s="1"/>
  <c r="AV202" i="99" s="1"/>
  <c r="AW202" i="99" s="1"/>
  <c r="AX202" i="99" s="1"/>
  <c r="AY202" i="99" s="1"/>
  <c r="AZ202" i="99" s="1"/>
  <c r="BA202" i="99" s="1"/>
  <c r="BB202" i="99" s="1"/>
  <c r="BC202" i="99" s="1"/>
  <c r="BD202" i="99" s="1"/>
  <c r="BE202" i="99" s="1"/>
  <c r="BF202" i="99" s="1"/>
  <c r="BG202" i="99" s="1"/>
  <c r="BH202" i="99" s="1"/>
  <c r="BI202" i="99" s="1"/>
  <c r="BJ202" i="99" s="1"/>
  <c r="BK202" i="99" s="1"/>
  <c r="BL202" i="99" s="1"/>
  <c r="AR201" i="99"/>
  <c r="AR241" i="99" s="1"/>
  <c r="CJ194" i="99"/>
  <c r="CD194" i="99"/>
  <c r="CE194" i="99" s="1"/>
  <c r="CF194" i="99" s="1"/>
  <c r="CC194" i="99"/>
  <c r="I192" i="99"/>
  <c r="I190" i="99"/>
  <c r="I189" i="99"/>
  <c r="I188" i="99"/>
  <c r="I187" i="99"/>
  <c r="I186" i="99"/>
  <c r="I185" i="99"/>
  <c r="I183" i="99"/>
  <c r="I182" i="99"/>
  <c r="I181" i="99"/>
  <c r="DT191" i="99"/>
  <c r="DR191" i="99"/>
  <c r="DQ191" i="99"/>
  <c r="DP191" i="99"/>
  <c r="DM191" i="99"/>
  <c r="DK191" i="99"/>
  <c r="DF191" i="99"/>
  <c r="DA191" i="99"/>
  <c r="CX191" i="99"/>
  <c r="CW191" i="99"/>
  <c r="CV191" i="99"/>
  <c r="CR191" i="99"/>
  <c r="CQ191" i="99"/>
  <c r="CP191" i="99"/>
  <c r="CN191" i="99"/>
  <c r="CM191" i="99"/>
  <c r="CL191" i="99"/>
  <c r="CK191" i="99"/>
  <c r="I191" i="99" s="1"/>
  <c r="CI191" i="99"/>
  <c r="CH191" i="99"/>
  <c r="CG191" i="99"/>
  <c r="CF191" i="99"/>
  <c r="CD191" i="99"/>
  <c r="CC191" i="99"/>
  <c r="CB191" i="99"/>
  <c r="DS190" i="99"/>
  <c r="DS189" i="99"/>
  <c r="DS188" i="99"/>
  <c r="DS187" i="99"/>
  <c r="DS186" i="99"/>
  <c r="DS191" i="99" s="1"/>
  <c r="DN190" i="99"/>
  <c r="DN188" i="99"/>
  <c r="DN187" i="99"/>
  <c r="DN186" i="99"/>
  <c r="DI190" i="99"/>
  <c r="DI188" i="99"/>
  <c r="DI187" i="99"/>
  <c r="DI186" i="99"/>
  <c r="CZ190" i="99"/>
  <c r="CY190" i="99"/>
  <c r="CU190" i="99"/>
  <c r="CU191" i="99" s="1"/>
  <c r="CT190" i="99"/>
  <c r="CS190" i="99"/>
  <c r="CS191" i="99" s="1"/>
  <c r="CO190" i="99"/>
  <c r="CO189" i="99"/>
  <c r="CO188" i="99"/>
  <c r="CO187" i="99"/>
  <c r="CO186" i="99"/>
  <c r="CO191" i="99" s="1"/>
  <c r="CK190" i="99"/>
  <c r="CJ190" i="99"/>
  <c r="CE190" i="99"/>
  <c r="CE189" i="99"/>
  <c r="CE188" i="99"/>
  <c r="CE187" i="99"/>
  <c r="CE186" i="99"/>
  <c r="DO189" i="99"/>
  <c r="DM189" i="99"/>
  <c r="DL189" i="99"/>
  <c r="DL191" i="99" s="1"/>
  <c r="DJ189" i="99"/>
  <c r="DJ191" i="99" s="1"/>
  <c r="DH189" i="99"/>
  <c r="DH191" i="99" s="1"/>
  <c r="DG189" i="99"/>
  <c r="DG191" i="99" s="1"/>
  <c r="DE190" i="99"/>
  <c r="DE191" i="99" s="1"/>
  <c r="DD190" i="99"/>
  <c r="DC190" i="99"/>
  <c r="AA190" i="99" s="1"/>
  <c r="DE189" i="99"/>
  <c r="DD189" i="99"/>
  <c r="DC189" i="99"/>
  <c r="DB189" i="99"/>
  <c r="DB191" i="99" s="1"/>
  <c r="CY189" i="99"/>
  <c r="CY188" i="99"/>
  <c r="CY187" i="99"/>
  <c r="CY186" i="99"/>
  <c r="CY191" i="99" s="1"/>
  <c r="CT189" i="99"/>
  <c r="CT188" i="99"/>
  <c r="CT187" i="99"/>
  <c r="CT186" i="99"/>
  <c r="CT191" i="99" s="1"/>
  <c r="CJ189" i="99"/>
  <c r="CJ188" i="99"/>
  <c r="CJ187" i="99"/>
  <c r="CJ186" i="99"/>
  <c r="CJ191" i="99" s="1"/>
  <c r="BH190" i="99"/>
  <c r="BH189" i="99"/>
  <c r="BI189" i="99" s="1"/>
  <c r="BJ189" i="99" s="1"/>
  <c r="BD190" i="99"/>
  <c r="BE190" i="99" s="1"/>
  <c r="BC190" i="99"/>
  <c r="BC189" i="99"/>
  <c r="AX190" i="99"/>
  <c r="AX189" i="99"/>
  <c r="AY189" i="99" s="1"/>
  <c r="AZ189" i="99" s="1"/>
  <c r="AT190" i="99"/>
  <c r="AU190" i="99" s="1"/>
  <c r="AS190" i="99"/>
  <c r="AR190" i="99"/>
  <c r="AQ190" i="99"/>
  <c r="AP190" i="99"/>
  <c r="AO190" i="99"/>
  <c r="AN190" i="99"/>
  <c r="AM190" i="99"/>
  <c r="AL190" i="99"/>
  <c r="AK190" i="99"/>
  <c r="AJ190" i="99"/>
  <c r="AI190" i="99"/>
  <c r="AH190" i="99"/>
  <c r="AG190" i="99"/>
  <c r="AF190" i="99"/>
  <c r="AE190" i="99"/>
  <c r="AD190" i="99"/>
  <c r="AC190" i="99"/>
  <c r="Z190" i="99"/>
  <c r="Y190" i="99"/>
  <c r="W190" i="99"/>
  <c r="V190" i="99"/>
  <c r="U190" i="99"/>
  <c r="T190" i="99"/>
  <c r="S190" i="99"/>
  <c r="R190" i="99"/>
  <c r="Q190" i="99"/>
  <c r="P190" i="99"/>
  <c r="O190" i="99"/>
  <c r="N190" i="99"/>
  <c r="M190" i="99"/>
  <c r="L190" i="99"/>
  <c r="K190" i="99"/>
  <c r="J190" i="99"/>
  <c r="AS189" i="99"/>
  <c r="AT189" i="99" s="1"/>
  <c r="AR189" i="99"/>
  <c r="AQ189" i="99"/>
  <c r="AP189" i="99"/>
  <c r="AO189" i="99"/>
  <c r="AN189" i="99"/>
  <c r="AK189" i="99"/>
  <c r="AJ189" i="99"/>
  <c r="AI189" i="99"/>
  <c r="AH189" i="99"/>
  <c r="AF189" i="99"/>
  <c r="AE189" i="99"/>
  <c r="AD189" i="99"/>
  <c r="AC189" i="99"/>
  <c r="AB189" i="99"/>
  <c r="Y189" i="99"/>
  <c r="X189" i="99"/>
  <c r="W189" i="99"/>
  <c r="V189" i="99"/>
  <c r="U189" i="99"/>
  <c r="T189" i="99"/>
  <c r="S189" i="99"/>
  <c r="R189" i="99"/>
  <c r="Q189" i="99"/>
  <c r="P189" i="99"/>
  <c r="O189" i="99"/>
  <c r="N189" i="99"/>
  <c r="M189" i="99"/>
  <c r="L189" i="99"/>
  <c r="K189" i="99"/>
  <c r="J189" i="99"/>
  <c r="DD188" i="99"/>
  <c r="DD187" i="99"/>
  <c r="DD186" i="99"/>
  <c r="BL188" i="99"/>
  <c r="BG188" i="99"/>
  <c r="BB188" i="99"/>
  <c r="AW188" i="99"/>
  <c r="AR188" i="99"/>
  <c r="AQ188" i="99"/>
  <c r="AP188" i="99"/>
  <c r="AO188" i="99"/>
  <c r="AN188" i="99"/>
  <c r="AM188" i="99"/>
  <c r="AL188" i="99"/>
  <c r="AK188" i="99"/>
  <c r="AJ188" i="99"/>
  <c r="AI188" i="99"/>
  <c r="AH188" i="99"/>
  <c r="AG188" i="99"/>
  <c r="AF188" i="99"/>
  <c r="AE188" i="99"/>
  <c r="AD188" i="99"/>
  <c r="AC188" i="99"/>
  <c r="AB188" i="99"/>
  <c r="AA188" i="99"/>
  <c r="Z188" i="99"/>
  <c r="Y188" i="99"/>
  <c r="X188" i="99"/>
  <c r="W188" i="99"/>
  <c r="V188" i="99"/>
  <c r="U188" i="99"/>
  <c r="T188" i="99"/>
  <c r="S188" i="99"/>
  <c r="R188" i="99"/>
  <c r="Q188" i="99"/>
  <c r="P188" i="99"/>
  <c r="O188" i="99"/>
  <c r="N188" i="99"/>
  <c r="M188" i="99"/>
  <c r="L188" i="99"/>
  <c r="K188" i="99"/>
  <c r="J188" i="99"/>
  <c r="AR187" i="99"/>
  <c r="AQ187" i="99"/>
  <c r="AP187" i="99"/>
  <c r="AO187" i="99"/>
  <c r="AN187" i="99"/>
  <c r="AM187" i="99"/>
  <c r="AL187" i="99"/>
  <c r="AK187" i="99"/>
  <c r="AJ187" i="99"/>
  <c r="AI187" i="99"/>
  <c r="AH187" i="99"/>
  <c r="AG187" i="99"/>
  <c r="AF187" i="99"/>
  <c r="AE187" i="99"/>
  <c r="AD187" i="99"/>
  <c r="AC187" i="99"/>
  <c r="AB187" i="99"/>
  <c r="AA187" i="99"/>
  <c r="Z187" i="99"/>
  <c r="Y187" i="99"/>
  <c r="X187" i="99"/>
  <c r="W187" i="99"/>
  <c r="V187" i="99"/>
  <c r="U187" i="99"/>
  <c r="T187" i="99"/>
  <c r="S187" i="99"/>
  <c r="R187" i="99"/>
  <c r="Q187" i="99"/>
  <c r="P187" i="99"/>
  <c r="O187" i="99"/>
  <c r="N187" i="99"/>
  <c r="M187" i="99"/>
  <c r="L187" i="99"/>
  <c r="K187" i="99"/>
  <c r="J187" i="99"/>
  <c r="AR186" i="99"/>
  <c r="AQ186" i="99"/>
  <c r="AQ191" i="99" s="1"/>
  <c r="AP186" i="99"/>
  <c r="AP191" i="99" s="1"/>
  <c r="AO186" i="99"/>
  <c r="AN186" i="99"/>
  <c r="AM186" i="99"/>
  <c r="AL186" i="99"/>
  <c r="AK186" i="99"/>
  <c r="AJ186" i="99"/>
  <c r="AI186" i="99"/>
  <c r="AI191" i="99" s="1"/>
  <c r="AH186" i="99"/>
  <c r="AH191" i="99" s="1"/>
  <c r="AG186" i="99"/>
  <c r="AF186" i="99"/>
  <c r="AE186" i="99"/>
  <c r="AE191" i="99" s="1"/>
  <c r="AD186" i="99"/>
  <c r="AD191" i="99" s="1"/>
  <c r="AC186" i="99"/>
  <c r="AC191" i="99" s="1"/>
  <c r="AB186" i="99"/>
  <c r="AA186" i="99"/>
  <c r="Z186" i="99"/>
  <c r="Y186" i="99"/>
  <c r="Y191" i="99" s="1"/>
  <c r="X186" i="99"/>
  <c r="W186" i="99"/>
  <c r="W191" i="99" s="1"/>
  <c r="V186" i="99"/>
  <c r="V191" i="99" s="1"/>
  <c r="U186" i="99"/>
  <c r="U191" i="99" s="1"/>
  <c r="T186" i="99"/>
  <c r="S186" i="99"/>
  <c r="S191" i="99" s="1"/>
  <c r="R186" i="99"/>
  <c r="R191" i="99" s="1"/>
  <c r="Q186" i="99"/>
  <c r="Q191" i="99" s="1"/>
  <c r="P186" i="99"/>
  <c r="O186" i="99"/>
  <c r="O191" i="99" s="1"/>
  <c r="N186" i="99"/>
  <c r="N191" i="99" s="1"/>
  <c r="M186" i="99"/>
  <c r="M191" i="99" s="1"/>
  <c r="L186" i="99"/>
  <c r="K186" i="99"/>
  <c r="K191" i="99" s="1"/>
  <c r="J186" i="99"/>
  <c r="J191" i="99" s="1"/>
  <c r="DT184" i="99"/>
  <c r="DR184" i="99"/>
  <c r="DQ184" i="99"/>
  <c r="DP184" i="99"/>
  <c r="DO184" i="99"/>
  <c r="DM184" i="99"/>
  <c r="DK184" i="99"/>
  <c r="DJ184" i="99"/>
  <c r="DE184" i="99"/>
  <c r="DC184" i="99"/>
  <c r="DA184" i="99"/>
  <c r="CZ184" i="99"/>
  <c r="CX184" i="99"/>
  <c r="CW184" i="99"/>
  <c r="CV184" i="99"/>
  <c r="CU184" i="99"/>
  <c r="CS184" i="99"/>
  <c r="CR184" i="99"/>
  <c r="CQ184" i="99"/>
  <c r="CP184" i="99"/>
  <c r="CN184" i="99"/>
  <c r="CM184" i="99"/>
  <c r="CL184" i="99"/>
  <c r="CK184" i="99"/>
  <c r="I184" i="99" s="1"/>
  <c r="CI184" i="99"/>
  <c r="CH184" i="99"/>
  <c r="CG184" i="99"/>
  <c r="CF184" i="99"/>
  <c r="CD184" i="99"/>
  <c r="CC184" i="99"/>
  <c r="CB184" i="99"/>
  <c r="DS183" i="99"/>
  <c r="DS182" i="99"/>
  <c r="DS181" i="99"/>
  <c r="AQ181" i="99" s="1"/>
  <c r="AQ184" i="99" s="1"/>
  <c r="DN183" i="99"/>
  <c r="DN182" i="99"/>
  <c r="DN181" i="99"/>
  <c r="DN184" i="99" s="1"/>
  <c r="DL183" i="99"/>
  <c r="DL184" i="99" s="1"/>
  <c r="DI183" i="99"/>
  <c r="AG183" i="99" s="1"/>
  <c r="DH183" i="99"/>
  <c r="DH184" i="99" s="1"/>
  <c r="DG183" i="99"/>
  <c r="DG184" i="99" s="1"/>
  <c r="DF183" i="99"/>
  <c r="DF184" i="99" s="1"/>
  <c r="DD183" i="99"/>
  <c r="DC183" i="99"/>
  <c r="DB183" i="99"/>
  <c r="DB184" i="99" s="1"/>
  <c r="CY183" i="99"/>
  <c r="CY182" i="99"/>
  <c r="CY184" i="99" s="1"/>
  <c r="CY181" i="99"/>
  <c r="CT183" i="99"/>
  <c r="R183" i="99" s="1"/>
  <c r="CT182" i="99"/>
  <c r="CT184" i="99" s="1"/>
  <c r="CT181" i="99"/>
  <c r="CO183" i="99"/>
  <c r="CO182" i="99"/>
  <c r="M182" i="99" s="1"/>
  <c r="CO181" i="99"/>
  <c r="CO184" i="99" s="1"/>
  <c r="CJ183" i="99"/>
  <c r="CJ182" i="99"/>
  <c r="CJ181" i="99"/>
  <c r="CJ184" i="99" s="1"/>
  <c r="CE183" i="99"/>
  <c r="CE184" i="99" s="1"/>
  <c r="CE182" i="99"/>
  <c r="CE181" i="99"/>
  <c r="BJ183" i="99"/>
  <c r="BK183" i="99" s="1"/>
  <c r="BI183" i="99"/>
  <c r="BH183" i="99"/>
  <c r="BE183" i="99"/>
  <c r="BF183" i="99" s="1"/>
  <c r="BD183" i="99"/>
  <c r="BC183" i="99"/>
  <c r="AZ183" i="99"/>
  <c r="BA183" i="99" s="1"/>
  <c r="AY183" i="99"/>
  <c r="AX183" i="99"/>
  <c r="AU183" i="99"/>
  <c r="AV183" i="99" s="1"/>
  <c r="AT183" i="99"/>
  <c r="AS183" i="99"/>
  <c r="AR183" i="99"/>
  <c r="AQ183" i="99"/>
  <c r="AP183" i="99"/>
  <c r="AO183" i="99"/>
  <c r="AN183" i="99"/>
  <c r="AM183" i="99"/>
  <c r="AL183" i="99"/>
  <c r="AI183" i="99"/>
  <c r="AH183" i="99"/>
  <c r="AF183" i="99"/>
  <c r="AE183" i="99"/>
  <c r="AC183" i="99"/>
  <c r="AB183" i="99"/>
  <c r="AA183" i="99"/>
  <c r="Y183" i="99"/>
  <c r="X183" i="99"/>
  <c r="W183" i="99"/>
  <c r="V183" i="99"/>
  <c r="U183" i="99"/>
  <c r="T183" i="99"/>
  <c r="S183" i="99"/>
  <c r="Q183" i="99"/>
  <c r="P183" i="99"/>
  <c r="O183" i="99"/>
  <c r="N183" i="99"/>
  <c r="M183" i="99"/>
  <c r="L183" i="99"/>
  <c r="K183" i="99"/>
  <c r="J183" i="99"/>
  <c r="DI182" i="99"/>
  <c r="DI181" i="99"/>
  <c r="DI184" i="99" s="1"/>
  <c r="DD182" i="99"/>
  <c r="AB182" i="99" s="1"/>
  <c r="DD181" i="99"/>
  <c r="DD184" i="99" s="1"/>
  <c r="AR182" i="99"/>
  <c r="AQ182" i="99"/>
  <c r="AP182" i="99"/>
  <c r="AO182" i="99"/>
  <c r="AN182" i="99"/>
  <c r="AM182" i="99"/>
  <c r="AM184" i="99" s="1"/>
  <c r="AL182" i="99"/>
  <c r="AK182" i="99"/>
  <c r="AJ182" i="99"/>
  <c r="AI182" i="99"/>
  <c r="AI184" i="99" s="1"/>
  <c r="AH182" i="99"/>
  <c r="AG182" i="99"/>
  <c r="AF182" i="99"/>
  <c r="AE182" i="99"/>
  <c r="AE184" i="99" s="1"/>
  <c r="AD182" i="99"/>
  <c r="AC182" i="99"/>
  <c r="AA182" i="99"/>
  <c r="AA184" i="99" s="1"/>
  <c r="Z182" i="99"/>
  <c r="Y182" i="99"/>
  <c r="X182" i="99"/>
  <c r="W182" i="99"/>
  <c r="W184" i="99" s="1"/>
  <c r="V182" i="99"/>
  <c r="U182" i="99"/>
  <c r="T182" i="99"/>
  <c r="S182" i="99"/>
  <c r="S184" i="99" s="1"/>
  <c r="R182" i="99"/>
  <c r="Q182" i="99"/>
  <c r="P182" i="99"/>
  <c r="O182" i="99"/>
  <c r="O184" i="99" s="1"/>
  <c r="N182" i="99"/>
  <c r="L182" i="99"/>
  <c r="K182" i="99"/>
  <c r="K184" i="99" s="1"/>
  <c r="J182" i="99"/>
  <c r="AR181" i="99"/>
  <c r="AR184" i="99" s="1"/>
  <c r="AP181" i="99"/>
  <c r="AP184" i="99" s="1"/>
  <c r="AO181" i="99"/>
  <c r="AO184" i="99" s="1"/>
  <c r="AN181" i="99"/>
  <c r="AN184" i="99" s="1"/>
  <c r="AM181" i="99"/>
  <c r="AL181" i="99"/>
  <c r="AL184" i="99" s="1"/>
  <c r="AK181" i="99"/>
  <c r="AJ181" i="99"/>
  <c r="AI181" i="99"/>
  <c r="AH181" i="99"/>
  <c r="AH184" i="99" s="1"/>
  <c r="AG181" i="99"/>
  <c r="AG184" i="99" s="1"/>
  <c r="AF181" i="99"/>
  <c r="AF184" i="99" s="1"/>
  <c r="AE181" i="99"/>
  <c r="AD181" i="99"/>
  <c r="AC181" i="99"/>
  <c r="AC184" i="99" s="1"/>
  <c r="AB181" i="99"/>
  <c r="AA181" i="99"/>
  <c r="Z181" i="99"/>
  <c r="Y181" i="99"/>
  <c r="Y184" i="99" s="1"/>
  <c r="X181" i="99"/>
  <c r="X184" i="99" s="1"/>
  <c r="W181" i="99"/>
  <c r="V181" i="99"/>
  <c r="V184" i="99" s="1"/>
  <c r="U181" i="99"/>
  <c r="U184" i="99" s="1"/>
  <c r="T181" i="99"/>
  <c r="T184" i="99" s="1"/>
  <c r="S181" i="99"/>
  <c r="R181" i="99"/>
  <c r="R184" i="99" s="1"/>
  <c r="Q181" i="99"/>
  <c r="Q184" i="99" s="1"/>
  <c r="P181" i="99"/>
  <c r="P184" i="99" s="1"/>
  <c r="O181" i="99"/>
  <c r="N181" i="99"/>
  <c r="N184" i="99" s="1"/>
  <c r="M181" i="99"/>
  <c r="M184" i="99" s="1"/>
  <c r="L181" i="99"/>
  <c r="L184" i="99" s="1"/>
  <c r="K181" i="99"/>
  <c r="J181" i="99"/>
  <c r="J184" i="99" s="1"/>
  <c r="DP179" i="99"/>
  <c r="DP193" i="99" s="1"/>
  <c r="DO179" i="99"/>
  <c r="DL179" i="99"/>
  <c r="DK179" i="99"/>
  <c r="DK193" i="99" s="1"/>
  <c r="DH179" i="99"/>
  <c r="DG179" i="99"/>
  <c r="DC179" i="99"/>
  <c r="CZ179" i="99"/>
  <c r="CV179" i="99"/>
  <c r="CV193" i="99" s="1"/>
  <c r="CU179" i="99"/>
  <c r="CU193" i="99" s="1"/>
  <c r="CR179" i="99"/>
  <c r="CR193" i="99" s="1"/>
  <c r="CQ179" i="99"/>
  <c r="CQ193" i="99" s="1"/>
  <c r="CN179" i="99"/>
  <c r="CN193" i="99" s="1"/>
  <c r="CM179" i="99"/>
  <c r="CM193" i="99" s="1"/>
  <c r="CI179" i="99"/>
  <c r="CI193" i="99" s="1"/>
  <c r="CH179" i="99"/>
  <c r="CG179" i="99"/>
  <c r="CG193" i="99" s="1"/>
  <c r="CG196" i="99" s="1"/>
  <c r="CF179" i="99"/>
  <c r="CF193" i="99" s="1"/>
  <c r="CF196" i="99" s="1"/>
  <c r="CG194" i="99" s="1"/>
  <c r="CI194" i="99" s="1"/>
  <c r="CD179" i="99"/>
  <c r="CC179" i="99"/>
  <c r="CC193" i="99" s="1"/>
  <c r="CC196" i="99" s="1"/>
  <c r="CB179" i="99"/>
  <c r="CB193" i="99" s="1"/>
  <c r="CB196" i="99" s="1"/>
  <c r="DT178" i="99"/>
  <c r="DS178" i="99" s="1"/>
  <c r="AQ178" i="99" s="1"/>
  <c r="DR178" i="99"/>
  <c r="DR179" i="99" s="1"/>
  <c r="DR193" i="99" s="1"/>
  <c r="DQ178" i="99"/>
  <c r="DQ179" i="99" s="1"/>
  <c r="DQ193" i="99" s="1"/>
  <c r="DP178" i="99"/>
  <c r="DO178" i="99"/>
  <c r="DN178" i="99"/>
  <c r="DM178" i="99"/>
  <c r="DM179" i="99" s="1"/>
  <c r="DM193" i="99" s="1"/>
  <c r="DL178" i="99"/>
  <c r="DK178" i="99"/>
  <c r="DJ178" i="99"/>
  <c r="DJ179" i="99" s="1"/>
  <c r="DJ193" i="99" s="1"/>
  <c r="DI178" i="99"/>
  <c r="DH178" i="99"/>
  <c r="DG178" i="99"/>
  <c r="DF178" i="99"/>
  <c r="DF179" i="99" s="1"/>
  <c r="DF193" i="99" s="1"/>
  <c r="DE178" i="99"/>
  <c r="DE179" i="99" s="1"/>
  <c r="DE193" i="99" s="1"/>
  <c r="DC178" i="99"/>
  <c r="DB178" i="99"/>
  <c r="DB179" i="99" s="1"/>
  <c r="DB193" i="99" s="1"/>
  <c r="DA178" i="99"/>
  <c r="DA179" i="99" s="1"/>
  <c r="DA193" i="99" s="1"/>
  <c r="CZ178" i="99"/>
  <c r="CY178" i="99" s="1"/>
  <c r="W178" i="99" s="1"/>
  <c r="CX178" i="99"/>
  <c r="CX179" i="99" s="1"/>
  <c r="CX193" i="99" s="1"/>
  <c r="CW178" i="99"/>
  <c r="CW179" i="99" s="1"/>
  <c r="CW193" i="99" s="1"/>
  <c r="CV178" i="99"/>
  <c r="CU178" i="99"/>
  <c r="CT178" i="99"/>
  <c r="CS178" i="99"/>
  <c r="CS179" i="99" s="1"/>
  <c r="CS193" i="99" s="1"/>
  <c r="CR178" i="99"/>
  <c r="CQ178" i="99"/>
  <c r="CP178" i="99"/>
  <c r="CP179" i="99" s="1"/>
  <c r="CP193" i="99" s="1"/>
  <c r="CO178" i="99"/>
  <c r="CN178" i="99"/>
  <c r="CM178" i="99"/>
  <c r="CL178" i="99"/>
  <c r="CL179" i="99" s="1"/>
  <c r="CL193" i="99" s="1"/>
  <c r="CK178" i="99"/>
  <c r="CK179" i="99" s="1"/>
  <c r="CE178" i="99"/>
  <c r="CE177" i="99"/>
  <c r="CE176" i="99"/>
  <c r="CE175" i="99"/>
  <c r="CE174" i="99"/>
  <c r="CE173" i="99"/>
  <c r="CE179" i="99" s="1"/>
  <c r="DT177" i="99"/>
  <c r="DT179" i="99" s="1"/>
  <c r="DT193" i="99" s="1"/>
  <c r="DN177" i="99"/>
  <c r="DN176" i="99"/>
  <c r="DN175" i="99"/>
  <c r="AL175" i="99" s="1"/>
  <c r="DN174" i="99"/>
  <c r="DN173" i="99"/>
  <c r="DN179" i="99" s="1"/>
  <c r="DI177" i="99"/>
  <c r="DI176" i="99"/>
  <c r="AG176" i="99" s="1"/>
  <c r="AG280" i="99" s="1"/>
  <c r="DI175" i="99"/>
  <c r="AG175" i="99" s="1"/>
  <c r="DI174" i="99"/>
  <c r="DI173" i="99"/>
  <c r="AG173" i="99" s="1"/>
  <c r="DD177" i="99"/>
  <c r="AB177" i="99" s="1"/>
  <c r="DD176" i="99"/>
  <c r="DD175" i="99"/>
  <c r="DD174" i="99"/>
  <c r="DD173" i="99"/>
  <c r="CY177" i="99"/>
  <c r="W177" i="99" s="1"/>
  <c r="CY176" i="99"/>
  <c r="CY175" i="99"/>
  <c r="CY174" i="99"/>
  <c r="CY173" i="99"/>
  <c r="CT177" i="99"/>
  <c r="CT176" i="99"/>
  <c r="CT175" i="99"/>
  <c r="R175" i="99" s="1"/>
  <c r="CT174" i="99"/>
  <c r="CT173" i="99"/>
  <c r="CT179" i="99" s="1"/>
  <c r="CT193" i="99" s="1"/>
  <c r="CO177" i="99"/>
  <c r="CO176" i="99"/>
  <c r="M176" i="99" s="1"/>
  <c r="M280" i="99" s="1"/>
  <c r="CO175" i="99"/>
  <c r="M175" i="99" s="1"/>
  <c r="CO174" i="99"/>
  <c r="CO173" i="99"/>
  <c r="M173" i="99" s="1"/>
  <c r="CJ177" i="99"/>
  <c r="CJ176" i="99"/>
  <c r="CJ175" i="99"/>
  <c r="CJ174" i="99"/>
  <c r="CJ173" i="99"/>
  <c r="AX178" i="99"/>
  <c r="AX177" i="99"/>
  <c r="AS178" i="99"/>
  <c r="AR178" i="99"/>
  <c r="AO178" i="99"/>
  <c r="AN178" i="99"/>
  <c r="AM178" i="99"/>
  <c r="AK178" i="99"/>
  <c r="AJ178" i="99"/>
  <c r="AI178" i="99"/>
  <c r="AH178" i="99"/>
  <c r="AG178" i="99"/>
  <c r="AF178" i="99"/>
  <c r="AD178" i="99"/>
  <c r="AC178" i="99"/>
  <c r="Y178" i="99"/>
  <c r="X178" i="99"/>
  <c r="U178" i="99"/>
  <c r="T178" i="99"/>
  <c r="S178" i="99"/>
  <c r="Q178" i="99"/>
  <c r="P178" i="99"/>
  <c r="O178" i="99"/>
  <c r="N178" i="99"/>
  <c r="M178" i="99"/>
  <c r="L178" i="99"/>
  <c r="J178" i="99"/>
  <c r="I178" i="99"/>
  <c r="AS177" i="99"/>
  <c r="AP177" i="99"/>
  <c r="AO177" i="99"/>
  <c r="AO179" i="99" s="1"/>
  <c r="AN177" i="99"/>
  <c r="AM177" i="99"/>
  <c r="AL177" i="99"/>
  <c r="AK177" i="99"/>
  <c r="AK179" i="99" s="1"/>
  <c r="AJ177" i="99"/>
  <c r="AI177" i="99"/>
  <c r="AH177" i="99"/>
  <c r="AG177" i="99"/>
  <c r="AF177" i="99"/>
  <c r="AE177" i="99"/>
  <c r="AD177" i="99"/>
  <c r="AC177" i="99"/>
  <c r="AC179" i="99" s="1"/>
  <c r="AC193" i="99" s="1"/>
  <c r="AA177" i="99"/>
  <c r="Z177" i="99"/>
  <c r="Y177" i="99"/>
  <c r="Y179" i="99" s="1"/>
  <c r="Y193" i="99" s="1"/>
  <c r="X177" i="99"/>
  <c r="V177" i="99"/>
  <c r="U177" i="99"/>
  <c r="U179" i="99" s="1"/>
  <c r="U193" i="99" s="1"/>
  <c r="T177" i="99"/>
  <c r="S177" i="99"/>
  <c r="R177" i="99"/>
  <c r="Q177" i="99"/>
  <c r="Q179" i="99" s="1"/>
  <c r="Q193" i="99" s="1"/>
  <c r="P177" i="99"/>
  <c r="O177" i="99"/>
  <c r="N177" i="99"/>
  <c r="M177" i="99"/>
  <c r="L177" i="99"/>
  <c r="K177" i="99"/>
  <c r="J177" i="99"/>
  <c r="I177" i="99"/>
  <c r="DS176" i="99"/>
  <c r="DS175" i="99"/>
  <c r="DS174" i="99"/>
  <c r="DS173" i="99"/>
  <c r="AR176" i="99"/>
  <c r="AR280" i="99" s="1"/>
  <c r="AQ176" i="99"/>
  <c r="AQ280" i="99" s="1"/>
  <c r="AP176" i="99"/>
  <c r="AP280" i="99" s="1"/>
  <c r="AO176" i="99"/>
  <c r="AO280" i="99" s="1"/>
  <c r="AN176" i="99"/>
  <c r="AN280" i="99" s="1"/>
  <c r="AM176" i="99"/>
  <c r="AM280" i="99" s="1"/>
  <c r="AL176" i="99"/>
  <c r="AL280" i="99" s="1"/>
  <c r="AK176" i="99"/>
  <c r="AK280" i="99" s="1"/>
  <c r="AJ176" i="99"/>
  <c r="AJ280" i="99" s="1"/>
  <c r="AI176" i="99"/>
  <c r="AI280" i="99" s="1"/>
  <c r="AH176" i="99"/>
  <c r="AH280" i="99" s="1"/>
  <c r="AF176" i="99"/>
  <c r="AF280" i="99" s="1"/>
  <c r="AE176" i="99"/>
  <c r="AE280" i="99" s="1"/>
  <c r="AD176" i="99"/>
  <c r="AD280" i="99" s="1"/>
  <c r="AC176" i="99"/>
  <c r="AC280" i="99" s="1"/>
  <c r="AB176" i="99"/>
  <c r="AB280" i="99" s="1"/>
  <c r="AA176" i="99"/>
  <c r="AA280" i="99" s="1"/>
  <c r="Z176" i="99"/>
  <c r="Z280" i="99" s="1"/>
  <c r="Y176" i="99"/>
  <c r="Y280" i="99" s="1"/>
  <c r="X176" i="99"/>
  <c r="W176" i="99"/>
  <c r="W280" i="99" s="1"/>
  <c r="V176" i="99"/>
  <c r="V280" i="99" s="1"/>
  <c r="U176" i="99"/>
  <c r="U280" i="99" s="1"/>
  <c r="T176" i="99"/>
  <c r="T280" i="99" s="1"/>
  <c r="S176" i="99"/>
  <c r="R176" i="99"/>
  <c r="R280" i="99" s="1"/>
  <c r="Q176" i="99"/>
  <c r="Q280" i="99" s="1"/>
  <c r="P176" i="99"/>
  <c r="P280" i="99" s="1"/>
  <c r="O176" i="99"/>
  <c r="O280" i="99" s="1"/>
  <c r="S280" i="99" s="1"/>
  <c r="N176" i="99"/>
  <c r="L176" i="99"/>
  <c r="L280" i="99" s="1"/>
  <c r="K176" i="99"/>
  <c r="K280" i="99" s="1"/>
  <c r="J176" i="99"/>
  <c r="J280" i="99" s="1"/>
  <c r="I176" i="99"/>
  <c r="I280" i="99" s="1"/>
  <c r="BJ178" i="99"/>
  <c r="BK178" i="99" s="1"/>
  <c r="BI178" i="99"/>
  <c r="BH178" i="99"/>
  <c r="BJ177" i="99"/>
  <c r="BK177" i="99" s="1"/>
  <c r="BI177" i="99"/>
  <c r="BH177" i="99"/>
  <c r="BJ175" i="99"/>
  <c r="BK175" i="99" s="1"/>
  <c r="BI175" i="99"/>
  <c r="BH175" i="99"/>
  <c r="BE178" i="99"/>
  <c r="BF178" i="99" s="1"/>
  <c r="BD178" i="99"/>
  <c r="BC178" i="99"/>
  <c r="BE177" i="99"/>
  <c r="BF177" i="99" s="1"/>
  <c r="BD177" i="99"/>
  <c r="BC177" i="99"/>
  <c r="BE175" i="99"/>
  <c r="BF175" i="99" s="1"/>
  <c r="BD175" i="99"/>
  <c r="BC175" i="99"/>
  <c r="AZ175" i="99"/>
  <c r="BA175" i="99" s="1"/>
  <c r="AY175" i="99"/>
  <c r="AX175" i="99"/>
  <c r="AU175" i="99"/>
  <c r="AV175" i="99" s="1"/>
  <c r="AT175" i="99"/>
  <c r="AS175" i="99"/>
  <c r="AS214" i="99" s="1"/>
  <c r="AR175" i="99"/>
  <c r="AQ175" i="99"/>
  <c r="AP175" i="99"/>
  <c r="AO175" i="99"/>
  <c r="AN175" i="99"/>
  <c r="AM175" i="99"/>
  <c r="AK175" i="99"/>
  <c r="AJ175" i="99"/>
  <c r="AI175" i="99"/>
  <c r="AH175" i="99"/>
  <c r="AF175" i="99"/>
  <c r="AE175" i="99"/>
  <c r="AD175" i="99"/>
  <c r="AC175" i="99"/>
  <c r="AB175" i="99"/>
  <c r="AA175" i="99"/>
  <c r="Z175" i="99"/>
  <c r="Y175" i="99"/>
  <c r="X175" i="99"/>
  <c r="W175" i="99"/>
  <c r="V175" i="99"/>
  <c r="U175" i="99"/>
  <c r="T175" i="99"/>
  <c r="S175" i="99"/>
  <c r="Q175" i="99"/>
  <c r="P175" i="99"/>
  <c r="O175" i="99"/>
  <c r="N175" i="99"/>
  <c r="L175" i="99"/>
  <c r="K175" i="99"/>
  <c r="J175" i="99"/>
  <c r="I175" i="99"/>
  <c r="AR174" i="99"/>
  <c r="AQ174" i="99"/>
  <c r="AP174" i="99"/>
  <c r="AO174" i="99"/>
  <c r="AN174" i="99"/>
  <c r="AM174" i="99"/>
  <c r="AL174" i="99"/>
  <c r="AK174" i="99"/>
  <c r="AJ174" i="99"/>
  <c r="AI174" i="99"/>
  <c r="AH174" i="99"/>
  <c r="AG174" i="99"/>
  <c r="AF174" i="99"/>
  <c r="AE174" i="99"/>
  <c r="AD174" i="99"/>
  <c r="AC174" i="99"/>
  <c r="AB174" i="99"/>
  <c r="AA174" i="99"/>
  <c r="Z174" i="99"/>
  <c r="Y174" i="99"/>
  <c r="X174" i="99"/>
  <c r="W174" i="99"/>
  <c r="V174" i="99"/>
  <c r="U174" i="99"/>
  <c r="T174" i="99"/>
  <c r="S174" i="99"/>
  <c r="R174" i="99"/>
  <c r="Q174" i="99"/>
  <c r="P174" i="99"/>
  <c r="O174" i="99"/>
  <c r="N174" i="99"/>
  <c r="M174" i="99"/>
  <c r="L174" i="99"/>
  <c r="K174" i="99"/>
  <c r="J174" i="99"/>
  <c r="I174" i="99"/>
  <c r="AR173" i="99"/>
  <c r="AQ173" i="99"/>
  <c r="AP173" i="99"/>
  <c r="AO173" i="99"/>
  <c r="AN173" i="99"/>
  <c r="AN179" i="99" s="1"/>
  <c r="AM173" i="99"/>
  <c r="AM179" i="99" s="1"/>
  <c r="AL173" i="99"/>
  <c r="AK173" i="99"/>
  <c r="AJ173" i="99"/>
  <c r="AJ179" i="99" s="1"/>
  <c r="AI173" i="99"/>
  <c r="AI179" i="99" s="1"/>
  <c r="AI193" i="99" s="1"/>
  <c r="AH173" i="99"/>
  <c r="AH179" i="99" s="1"/>
  <c r="AH193" i="99" s="1"/>
  <c r="AF173" i="99"/>
  <c r="AF179" i="99" s="1"/>
  <c r="AE173" i="99"/>
  <c r="AD173" i="99"/>
  <c r="AD179" i="99" s="1"/>
  <c r="AC173" i="99"/>
  <c r="AB173" i="99"/>
  <c r="AA173" i="99"/>
  <c r="Z173" i="99"/>
  <c r="Y173" i="99"/>
  <c r="X173" i="99"/>
  <c r="X179" i="99" s="1"/>
  <c r="W173" i="99"/>
  <c r="W179" i="99" s="1"/>
  <c r="W193" i="99" s="1"/>
  <c r="V173" i="99"/>
  <c r="U173" i="99"/>
  <c r="T173" i="99"/>
  <c r="T179" i="99" s="1"/>
  <c r="S173" i="99"/>
  <c r="S179" i="99" s="1"/>
  <c r="S193" i="99" s="1"/>
  <c r="R173" i="99"/>
  <c r="Q173" i="99"/>
  <c r="P173" i="99"/>
  <c r="P179" i="99" s="1"/>
  <c r="O173" i="99"/>
  <c r="O179" i="99" s="1"/>
  <c r="O193" i="99" s="1"/>
  <c r="N173" i="99"/>
  <c r="N179" i="99" s="1"/>
  <c r="N193" i="99" s="1"/>
  <c r="L173" i="99"/>
  <c r="L179" i="99" s="1"/>
  <c r="K173" i="99"/>
  <c r="J173" i="99"/>
  <c r="J179" i="99" s="1"/>
  <c r="J193" i="99" s="1"/>
  <c r="I173" i="99"/>
  <c r="BL169" i="99"/>
  <c r="BK169" i="99"/>
  <c r="BJ169" i="99"/>
  <c r="BI169" i="99"/>
  <c r="BH169" i="99"/>
  <c r="BG169" i="99"/>
  <c r="BF169" i="99"/>
  <c r="BE169" i="99"/>
  <c r="BD169" i="99"/>
  <c r="BC169" i="99"/>
  <c r="BB169" i="99"/>
  <c r="BA169" i="99"/>
  <c r="AZ169" i="99"/>
  <c r="AY169" i="99"/>
  <c r="AX169" i="99"/>
  <c r="AW169" i="99"/>
  <c r="AV169" i="99"/>
  <c r="AU169" i="99"/>
  <c r="AT169" i="99"/>
  <c r="AS169" i="99"/>
  <c r="AS164" i="99"/>
  <c r="AP161" i="99"/>
  <c r="AO161" i="99"/>
  <c r="AN161" i="99"/>
  <c r="AM161" i="99"/>
  <c r="AL161" i="99"/>
  <c r="AK161" i="99"/>
  <c r="AJ161" i="99"/>
  <c r="AI161" i="99"/>
  <c r="AH161" i="99"/>
  <c r="AG161" i="99"/>
  <c r="AF161" i="99"/>
  <c r="AE161" i="99"/>
  <c r="AD161" i="99"/>
  <c r="AC161" i="99"/>
  <c r="AB161" i="99"/>
  <c r="AA161" i="99"/>
  <c r="Z161" i="99"/>
  <c r="Y161" i="99"/>
  <c r="X161" i="99"/>
  <c r="W161" i="99"/>
  <c r="V161" i="99"/>
  <c r="U161" i="99"/>
  <c r="T161" i="99"/>
  <c r="S161" i="99"/>
  <c r="R161" i="99"/>
  <c r="Q161" i="99"/>
  <c r="P161" i="99"/>
  <c r="O161" i="99"/>
  <c r="N161" i="99"/>
  <c r="M161" i="99"/>
  <c r="L161" i="99"/>
  <c r="K161" i="99"/>
  <c r="J161" i="99"/>
  <c r="I161" i="99"/>
  <c r="AP160" i="99"/>
  <c r="AO160" i="99"/>
  <c r="AN160" i="99"/>
  <c r="AM160" i="99"/>
  <c r="AL160" i="99"/>
  <c r="AK160" i="99"/>
  <c r="AJ160" i="99"/>
  <c r="AI160" i="99"/>
  <c r="AH160" i="99"/>
  <c r="AG160" i="99"/>
  <c r="AF160" i="99"/>
  <c r="AE160" i="99"/>
  <c r="AD160" i="99"/>
  <c r="AC160" i="99"/>
  <c r="AB160" i="99"/>
  <c r="AA160" i="99"/>
  <c r="Z160" i="99"/>
  <c r="Y160" i="99"/>
  <c r="X160" i="99"/>
  <c r="W160" i="99"/>
  <c r="V160" i="99"/>
  <c r="U160" i="99"/>
  <c r="T160" i="99"/>
  <c r="S160" i="99"/>
  <c r="R160" i="99"/>
  <c r="Q160" i="99"/>
  <c r="P160" i="99"/>
  <c r="O160" i="99"/>
  <c r="N160" i="99"/>
  <c r="M160" i="99"/>
  <c r="L160" i="99"/>
  <c r="K160" i="99"/>
  <c r="J160" i="99"/>
  <c r="I160" i="99"/>
  <c r="AW155" i="99"/>
  <c r="AM155" i="99"/>
  <c r="AM154" i="99"/>
  <c r="AH154" i="99"/>
  <c r="AH155" i="99" s="1"/>
  <c r="AC155" i="99"/>
  <c r="AC154" i="99"/>
  <c r="X154" i="99"/>
  <c r="X155" i="99" s="1"/>
  <c r="S155" i="99"/>
  <c r="S154" i="99"/>
  <c r="N154" i="99"/>
  <c r="N155" i="99" s="1"/>
  <c r="I155" i="99"/>
  <c r="I154" i="99"/>
  <c r="BG150" i="99"/>
  <c r="BG278" i="99" s="1"/>
  <c r="BC150" i="99"/>
  <c r="BH95" i="46" s="1"/>
  <c r="BB150" i="99"/>
  <c r="BB278" i="99" s="1"/>
  <c r="AX150" i="99"/>
  <c r="AX278" i="99" s="1"/>
  <c r="AW150" i="99"/>
  <c r="AW278" i="99" s="1"/>
  <c r="AQ278" i="99"/>
  <c r="AP150" i="99"/>
  <c r="AP278" i="99" s="1"/>
  <c r="AO150" i="99"/>
  <c r="AO278" i="99" s="1"/>
  <c r="AN150" i="99"/>
  <c r="AN278" i="99" s="1"/>
  <c r="AM150" i="99"/>
  <c r="AM278" i="99" s="1"/>
  <c r="AL150" i="99"/>
  <c r="AL278" i="99" s="1"/>
  <c r="AK150" i="99"/>
  <c r="AK278" i="99" s="1"/>
  <c r="AJ150" i="99"/>
  <c r="AJ278" i="99" s="1"/>
  <c r="AI150" i="99"/>
  <c r="AI278" i="99" s="1"/>
  <c r="AH150" i="99"/>
  <c r="AH278" i="99" s="1"/>
  <c r="AG150" i="99"/>
  <c r="AG278" i="99" s="1"/>
  <c r="AF150" i="99"/>
  <c r="AF278" i="99" s="1"/>
  <c r="AE150" i="99"/>
  <c r="AE278" i="99" s="1"/>
  <c r="AD150" i="99"/>
  <c r="AD278" i="99" s="1"/>
  <c r="AC150" i="99"/>
  <c r="AC278" i="99" s="1"/>
  <c r="AB150" i="99"/>
  <c r="AB278" i="99" s="1"/>
  <c r="AA150" i="99"/>
  <c r="AA278" i="99" s="1"/>
  <c r="Z150" i="99"/>
  <c r="Z278" i="99" s="1"/>
  <c r="Y150" i="99"/>
  <c r="Y278" i="99" s="1"/>
  <c r="X150" i="99"/>
  <c r="W150" i="99"/>
  <c r="W278" i="99" s="1"/>
  <c r="V150" i="99"/>
  <c r="V278" i="99" s="1"/>
  <c r="U150" i="99"/>
  <c r="U278" i="99" s="1"/>
  <c r="T150" i="99"/>
  <c r="T278" i="99" s="1"/>
  <c r="S150" i="99"/>
  <c r="S278" i="99" s="1"/>
  <c r="R150" i="99"/>
  <c r="R278" i="99" s="1"/>
  <c r="Q150" i="99"/>
  <c r="Q278" i="99" s="1"/>
  <c r="P150" i="99"/>
  <c r="P278" i="99" s="1"/>
  <c r="O150" i="99"/>
  <c r="O278" i="99" s="1"/>
  <c r="N150" i="99"/>
  <c r="N278" i="99" s="1"/>
  <c r="M150" i="99"/>
  <c r="M278" i="99" s="1"/>
  <c r="L150" i="99"/>
  <c r="L278" i="99" s="1"/>
  <c r="K150" i="99"/>
  <c r="K278" i="99" s="1"/>
  <c r="J150" i="99"/>
  <c r="J278" i="99" s="1"/>
  <c r="I150" i="99"/>
  <c r="I278" i="99" s="1"/>
  <c r="BL149" i="99"/>
  <c r="BH149" i="99"/>
  <c r="BL148" i="99"/>
  <c r="BH148" i="99"/>
  <c r="BI147" i="99"/>
  <c r="BJ147" i="99" s="1"/>
  <c r="BH147" i="99"/>
  <c r="BI146" i="99"/>
  <c r="BH146" i="99"/>
  <c r="BF149" i="99"/>
  <c r="BE149" i="99"/>
  <c r="BD149" i="99"/>
  <c r="BC149" i="99"/>
  <c r="BF148" i="99"/>
  <c r="BE148" i="99"/>
  <c r="BD148" i="99"/>
  <c r="BC148" i="99"/>
  <c r="BD147" i="99"/>
  <c r="BC147" i="99"/>
  <c r="BF146" i="99"/>
  <c r="BE146" i="99"/>
  <c r="BD146" i="99"/>
  <c r="BC146" i="99"/>
  <c r="BA149" i="99"/>
  <c r="AZ149" i="99"/>
  <c r="AY149" i="99"/>
  <c r="AX149" i="99"/>
  <c r="BA148" i="99"/>
  <c r="AZ148" i="99"/>
  <c r="AY148" i="99"/>
  <c r="AX148" i="99"/>
  <c r="AY147" i="99"/>
  <c r="AX147" i="99"/>
  <c r="BA146" i="99"/>
  <c r="AZ146" i="99"/>
  <c r="AY146" i="99"/>
  <c r="AX146" i="99"/>
  <c r="AV149" i="99"/>
  <c r="AU149" i="99"/>
  <c r="AT149" i="99"/>
  <c r="AS149" i="99"/>
  <c r="AV148" i="99"/>
  <c r="AU148" i="99"/>
  <c r="AT148" i="99"/>
  <c r="AS148" i="99"/>
  <c r="AT147" i="99"/>
  <c r="AS147" i="99"/>
  <c r="AT146" i="99"/>
  <c r="AT150" i="99" s="1"/>
  <c r="AY95" i="46" s="1"/>
  <c r="AS146" i="99"/>
  <c r="AS150" i="99" s="1"/>
  <c r="AI142" i="99"/>
  <c r="AE142" i="99"/>
  <c r="AA142" i="99"/>
  <c r="Z142" i="99"/>
  <c r="V142" i="99"/>
  <c r="O142" i="99"/>
  <c r="N142" i="99"/>
  <c r="K142" i="99"/>
  <c r="J142" i="99"/>
  <c r="AP140" i="99"/>
  <c r="AP142" i="99" s="1"/>
  <c r="AO140" i="99"/>
  <c r="AO142" i="99" s="1"/>
  <c r="AN140" i="99"/>
  <c r="AN142" i="99" s="1"/>
  <c r="AM140" i="99"/>
  <c r="AM142" i="99" s="1"/>
  <c r="AK140" i="99"/>
  <c r="AK142" i="99" s="1"/>
  <c r="AJ140" i="99"/>
  <c r="AJ142" i="99" s="1"/>
  <c r="AI140" i="99"/>
  <c r="AH140" i="99"/>
  <c r="AH142" i="99" s="1"/>
  <c r="AF140" i="99"/>
  <c r="AF142" i="99" s="1"/>
  <c r="AF144" i="99" s="1"/>
  <c r="AE140" i="99"/>
  <c r="AD140" i="99"/>
  <c r="AD142" i="99" s="1"/>
  <c r="AC140" i="99"/>
  <c r="AC142" i="99" s="1"/>
  <c r="AA140" i="99"/>
  <c r="Z140" i="99"/>
  <c r="Y140" i="99"/>
  <c r="Y142" i="99" s="1"/>
  <c r="X140" i="99"/>
  <c r="X142" i="99" s="1"/>
  <c r="V140" i="99"/>
  <c r="U140" i="99"/>
  <c r="U142" i="99" s="1"/>
  <c r="T140" i="99"/>
  <c r="T142" i="99" s="1"/>
  <c r="S140" i="99"/>
  <c r="S142" i="99" s="1"/>
  <c r="Q140" i="99"/>
  <c r="Q142" i="99" s="1"/>
  <c r="P140" i="99"/>
  <c r="P142" i="99" s="1"/>
  <c r="O140" i="99"/>
  <c r="N140" i="99"/>
  <c r="L140" i="99"/>
  <c r="L142" i="99" s="1"/>
  <c r="K140" i="99"/>
  <c r="J140" i="99"/>
  <c r="I140" i="99"/>
  <c r="I142" i="99" s="1"/>
  <c r="AQ137" i="99"/>
  <c r="AL137" i="99"/>
  <c r="AH137" i="99"/>
  <c r="AG137" i="99"/>
  <c r="AE137" i="99"/>
  <c r="AC137" i="99"/>
  <c r="AA137" i="99"/>
  <c r="Z137" i="99"/>
  <c r="N137" i="99"/>
  <c r="I137" i="99"/>
  <c r="AQ136" i="99"/>
  <c r="AN137" i="99"/>
  <c r="AL136" i="99"/>
  <c r="AI136" i="99"/>
  <c r="AJ136" i="99" s="1"/>
  <c r="AG136" i="99"/>
  <c r="AF136" i="99"/>
  <c r="AF137" i="99" s="1"/>
  <c r="AE136" i="99"/>
  <c r="AE132" i="99" s="1"/>
  <c r="AD136" i="99"/>
  <c r="AD132" i="99" s="1"/>
  <c r="AD134" i="99" s="1"/>
  <c r="AE144" i="99" s="1"/>
  <c r="AB136" i="99"/>
  <c r="AB137" i="99" s="1"/>
  <c r="AA136" i="99"/>
  <c r="Z136" i="99"/>
  <c r="Z132" i="99" s="1"/>
  <c r="Y136" i="99"/>
  <c r="Y137" i="99" s="1"/>
  <c r="W136" i="99"/>
  <c r="V136" i="99"/>
  <c r="U136" i="99" s="1"/>
  <c r="R136" i="99"/>
  <c r="Q136" i="99"/>
  <c r="P136" i="99" s="1"/>
  <c r="M136" i="99"/>
  <c r="L136" i="99"/>
  <c r="K136" i="99" s="1"/>
  <c r="AE134" i="99"/>
  <c r="Z134" i="99"/>
  <c r="AQ133" i="99"/>
  <c r="AQ132" i="99"/>
  <c r="AQ134" i="99" s="1"/>
  <c r="AL133" i="99"/>
  <c r="AG133" i="99"/>
  <c r="AG131" i="99"/>
  <c r="AG130" i="99"/>
  <c r="AG129" i="99"/>
  <c r="AG128" i="99"/>
  <c r="AG132" i="99" s="1"/>
  <c r="AG134" i="99" s="1"/>
  <c r="AB133" i="99"/>
  <c r="AB131" i="99"/>
  <c r="AB130" i="99"/>
  <c r="AB129" i="99"/>
  <c r="AB128" i="99"/>
  <c r="AB132" i="99" s="1"/>
  <c r="AB134" i="99" s="1"/>
  <c r="W133" i="99"/>
  <c r="W131" i="99"/>
  <c r="W130" i="99"/>
  <c r="W129" i="99"/>
  <c r="W128" i="99"/>
  <c r="W132" i="99" s="1"/>
  <c r="W134" i="99" s="1"/>
  <c r="R133" i="99"/>
  <c r="R131" i="99"/>
  <c r="R130" i="99"/>
  <c r="R129" i="99"/>
  <c r="R128" i="99"/>
  <c r="R132" i="99" s="1"/>
  <c r="R134" i="99" s="1"/>
  <c r="M133" i="99"/>
  <c r="M131" i="99"/>
  <c r="M130" i="99"/>
  <c r="M129" i="99"/>
  <c r="M128" i="99"/>
  <c r="M132" i="99" s="1"/>
  <c r="M134" i="99" s="1"/>
  <c r="AR132" i="99"/>
  <c r="AR134" i="99" s="1"/>
  <c r="AN132" i="99"/>
  <c r="AN134" i="99" s="1"/>
  <c r="AM132" i="99"/>
  <c r="AM134" i="99" s="1"/>
  <c r="AI132" i="99"/>
  <c r="AI134" i="99" s="1"/>
  <c r="AH132" i="99"/>
  <c r="AH134" i="99" s="1"/>
  <c r="AF132" i="99"/>
  <c r="AF134" i="99" s="1"/>
  <c r="AC132" i="99"/>
  <c r="AC134" i="99" s="1"/>
  <c r="AA132" i="99"/>
  <c r="AA134" i="99" s="1"/>
  <c r="X132" i="99"/>
  <c r="X134" i="99" s="1"/>
  <c r="V132" i="99"/>
  <c r="V134" i="99" s="1"/>
  <c r="S132" i="99"/>
  <c r="S134" i="99" s="1"/>
  <c r="N132" i="99"/>
  <c r="N134" i="99" s="1"/>
  <c r="L132" i="99"/>
  <c r="L134" i="99" s="1"/>
  <c r="I132" i="99"/>
  <c r="I134" i="99" s="1"/>
  <c r="V123" i="99"/>
  <c r="N123" i="99"/>
  <c r="AP122" i="99"/>
  <c r="AO122" i="99"/>
  <c r="AO123" i="99" s="1"/>
  <c r="AN122" i="99"/>
  <c r="AN123" i="99" s="1"/>
  <c r="AM122" i="99"/>
  <c r="AM123" i="99" s="1"/>
  <c r="AK122" i="99"/>
  <c r="AP123" i="99" s="1"/>
  <c r="AJ122" i="99"/>
  <c r="AJ123" i="99" s="1"/>
  <c r="AI122" i="99"/>
  <c r="AI123" i="99" s="1"/>
  <c r="AH122" i="99"/>
  <c r="AF122" i="99"/>
  <c r="AF123" i="99" s="1"/>
  <c r="AE122" i="99"/>
  <c r="AE123" i="99" s="1"/>
  <c r="AD122" i="99"/>
  <c r="AC122" i="99"/>
  <c r="AH123" i="99" s="1"/>
  <c r="AA122" i="99"/>
  <c r="AA123" i="99" s="1"/>
  <c r="Z122" i="99"/>
  <c r="Y122" i="99"/>
  <c r="AD123" i="99" s="1"/>
  <c r="X122" i="99"/>
  <c r="X123" i="99" s="1"/>
  <c r="V122" i="99"/>
  <c r="U122" i="99"/>
  <c r="Z123" i="99" s="1"/>
  <c r="T122" i="99"/>
  <c r="T123" i="99" s="1"/>
  <c r="S122" i="99"/>
  <c r="S123" i="99" s="1"/>
  <c r="Q122" i="99"/>
  <c r="P122" i="99"/>
  <c r="P123" i="99" s="1"/>
  <c r="O122" i="99"/>
  <c r="O123" i="99" s="1"/>
  <c r="N122" i="99"/>
  <c r="L122" i="99"/>
  <c r="Q123" i="99" s="1"/>
  <c r="K122" i="99"/>
  <c r="J122" i="99"/>
  <c r="I122" i="99"/>
  <c r="AF119" i="99"/>
  <c r="V119" i="99"/>
  <c r="V120" i="99" s="1"/>
  <c r="Q119" i="99"/>
  <c r="Q120" i="99" s="1"/>
  <c r="L119" i="99"/>
  <c r="BL118" i="99"/>
  <c r="BG118" i="99"/>
  <c r="BB118" i="99"/>
  <c r="AW118" i="99"/>
  <c r="AM118" i="99"/>
  <c r="AH118" i="99"/>
  <c r="AH117" i="99"/>
  <c r="AC118" i="99"/>
  <c r="AC117" i="99"/>
  <c r="X118" i="99"/>
  <c r="X117" i="99"/>
  <c r="S118" i="99"/>
  <c r="S117" i="99"/>
  <c r="N118" i="99"/>
  <c r="N117" i="99"/>
  <c r="I118" i="99"/>
  <c r="I117" i="99"/>
  <c r="I119" i="99" s="1"/>
  <c r="AI117" i="99"/>
  <c r="AI119" i="99" s="1"/>
  <c r="AF117" i="99"/>
  <c r="AE117" i="99"/>
  <c r="AE119" i="99" s="1"/>
  <c r="AD117" i="99"/>
  <c r="AD119" i="99" s="1"/>
  <c r="AA117" i="99"/>
  <c r="AA119" i="99" s="1"/>
  <c r="AA120" i="99" s="1"/>
  <c r="Z117" i="99"/>
  <c r="Z119" i="99" s="1"/>
  <c r="Y117" i="99"/>
  <c r="Y119" i="99" s="1"/>
  <c r="V117" i="99"/>
  <c r="U117" i="99"/>
  <c r="U119" i="99" s="1"/>
  <c r="U120" i="99" s="1"/>
  <c r="T117" i="99"/>
  <c r="T119" i="99" s="1"/>
  <c r="Q117" i="99"/>
  <c r="P117" i="99"/>
  <c r="P119" i="99" s="1"/>
  <c r="P120" i="99" s="1"/>
  <c r="O117" i="99"/>
  <c r="O119" i="99" s="1"/>
  <c r="L117" i="99"/>
  <c r="K117" i="99"/>
  <c r="K119" i="99" s="1"/>
  <c r="J117" i="99"/>
  <c r="J119" i="99" s="1"/>
  <c r="U112" i="99"/>
  <c r="P110" i="99"/>
  <c r="I110" i="99"/>
  <c r="AP109" i="99"/>
  <c r="AO109" i="99"/>
  <c r="AO110" i="99" s="1"/>
  <c r="AT110" i="99" s="1"/>
  <c r="AN109" i="99"/>
  <c r="AM109" i="99"/>
  <c r="AK109" i="99"/>
  <c r="AK110" i="99" s="1"/>
  <c r="AJ109" i="99"/>
  <c r="AJ110" i="99" s="1"/>
  <c r="AI109" i="99"/>
  <c r="AI110" i="99" s="1"/>
  <c r="AH109" i="99"/>
  <c r="AF109" i="99"/>
  <c r="AE109" i="99"/>
  <c r="AD109" i="99"/>
  <c r="AC109" i="99"/>
  <c r="AC110" i="99" s="1"/>
  <c r="AA109" i="99"/>
  <c r="Z109" i="99"/>
  <c r="Y109" i="99"/>
  <c r="Y112" i="99" s="1"/>
  <c r="X109" i="99"/>
  <c r="X110" i="99" s="1"/>
  <c r="V109" i="99"/>
  <c r="U109" i="99"/>
  <c r="T109" i="99"/>
  <c r="T110" i="99" s="1"/>
  <c r="S109" i="99"/>
  <c r="Q109" i="99"/>
  <c r="Q112" i="99" s="1"/>
  <c r="P109" i="99"/>
  <c r="O109" i="99"/>
  <c r="N109" i="99"/>
  <c r="L109" i="99"/>
  <c r="K109" i="99"/>
  <c r="J109" i="99"/>
  <c r="I109" i="99"/>
  <c r="I112" i="99" s="1"/>
  <c r="Y104" i="99"/>
  <c r="I104" i="99"/>
  <c r="AO102" i="99"/>
  <c r="AN102" i="99"/>
  <c r="AP100" i="99"/>
  <c r="AP102" i="99" s="1"/>
  <c r="AO100" i="99"/>
  <c r="AN100" i="99"/>
  <c r="AM100" i="99"/>
  <c r="AL100" i="99"/>
  <c r="AK100" i="99"/>
  <c r="AJ100" i="99"/>
  <c r="AI100" i="99"/>
  <c r="AH100" i="99"/>
  <c r="AH102" i="99" s="1"/>
  <c r="AD100" i="99"/>
  <c r="AD102" i="99" s="1"/>
  <c r="AC100" i="99"/>
  <c r="Y100" i="99"/>
  <c r="X100" i="99"/>
  <c r="X102" i="99" s="1"/>
  <c r="T100" i="99"/>
  <c r="T102" i="99" s="1"/>
  <c r="S100" i="99"/>
  <c r="P100" i="99"/>
  <c r="O100" i="99"/>
  <c r="O102" i="99" s="1"/>
  <c r="N100" i="99"/>
  <c r="N102" i="99" s="1"/>
  <c r="J100" i="99"/>
  <c r="I100" i="99"/>
  <c r="AQ99" i="99"/>
  <c r="AQ98" i="99"/>
  <c r="AQ97" i="99"/>
  <c r="AL99" i="99"/>
  <c r="AL98" i="99"/>
  <c r="AL97" i="99"/>
  <c r="AG99" i="99"/>
  <c r="AE99" i="99"/>
  <c r="AF99" i="99" s="1"/>
  <c r="AF100" i="99" s="1"/>
  <c r="AG98" i="99"/>
  <c r="AF98" i="99"/>
  <c r="AE98" i="99"/>
  <c r="AG97" i="99"/>
  <c r="AF97" i="99"/>
  <c r="AE97" i="99"/>
  <c r="AA99" i="99"/>
  <c r="Z99" i="99"/>
  <c r="AB98" i="99"/>
  <c r="Z98" i="99"/>
  <c r="AA98" i="99" s="1"/>
  <c r="AB97" i="99"/>
  <c r="AA97" i="99"/>
  <c r="AA100" i="99" s="1"/>
  <c r="Z97" i="99"/>
  <c r="V99" i="99"/>
  <c r="U99" i="99"/>
  <c r="W99" i="99" s="1"/>
  <c r="V98" i="99"/>
  <c r="U98" i="99"/>
  <c r="U97" i="99"/>
  <c r="R99" i="99"/>
  <c r="Q99" i="99"/>
  <c r="Q98" i="99"/>
  <c r="R98" i="99" s="1"/>
  <c r="R97" i="99"/>
  <c r="R100" i="99" s="1"/>
  <c r="Q97" i="99"/>
  <c r="K99" i="99"/>
  <c r="M98" i="99"/>
  <c r="K98" i="99"/>
  <c r="L98" i="99" s="1"/>
  <c r="L97" i="99"/>
  <c r="M97" i="99" s="1"/>
  <c r="K97" i="99"/>
  <c r="AF94" i="99"/>
  <c r="AF112" i="99" s="1"/>
  <c r="AE94" i="99"/>
  <c r="AD94" i="99"/>
  <c r="AA94" i="99"/>
  <c r="Z94" i="99"/>
  <c r="Y94" i="99"/>
  <c r="V94" i="99"/>
  <c r="U94" i="99"/>
  <c r="T94" i="99"/>
  <c r="T112" i="99" s="1"/>
  <c r="Q94" i="99"/>
  <c r="P94" i="99"/>
  <c r="P112" i="99" s="1"/>
  <c r="O94" i="99"/>
  <c r="L94" i="99"/>
  <c r="L112" i="99" s="1"/>
  <c r="K94" i="99"/>
  <c r="J94" i="99"/>
  <c r="I94" i="99"/>
  <c r="AE82" i="99"/>
  <c r="AA82" i="99"/>
  <c r="K82" i="99"/>
  <c r="J80" i="99"/>
  <c r="AH79" i="99"/>
  <c r="AF79" i="99"/>
  <c r="AE79" i="99"/>
  <c r="AD79" i="99"/>
  <c r="AD80" i="99" s="1"/>
  <c r="AC79" i="99"/>
  <c r="AA79" i="99"/>
  <c r="Z79" i="99"/>
  <c r="Y79" i="99"/>
  <c r="Y80" i="99" s="1"/>
  <c r="X79" i="99"/>
  <c r="V79" i="99"/>
  <c r="V80" i="99" s="1"/>
  <c r="U79" i="99"/>
  <c r="T79" i="99"/>
  <c r="S79" i="99"/>
  <c r="Q79" i="99"/>
  <c r="P79" i="99"/>
  <c r="O79" i="99"/>
  <c r="O82" i="99" s="1"/>
  <c r="N79" i="99"/>
  <c r="L79" i="99"/>
  <c r="K79" i="99"/>
  <c r="J79" i="99"/>
  <c r="I79" i="99"/>
  <c r="I80" i="99" s="1"/>
  <c r="AP74" i="99"/>
  <c r="AO74" i="99"/>
  <c r="AN74" i="99"/>
  <c r="AJ74" i="99"/>
  <c r="AO76" i="99" s="1"/>
  <c r="AI74" i="99"/>
  <c r="AD74" i="99"/>
  <c r="AD76" i="99" s="1"/>
  <c r="Y74" i="99"/>
  <c r="T74" i="99"/>
  <c r="Y76" i="99" s="1"/>
  <c r="P74" i="99"/>
  <c r="O74" i="99"/>
  <c r="O80" i="99" s="1"/>
  <c r="J74" i="99"/>
  <c r="I74" i="99"/>
  <c r="AQ73" i="99"/>
  <c r="AV73" i="99" s="1"/>
  <c r="AL73" i="99"/>
  <c r="AL74" i="99" s="1"/>
  <c r="AK73" i="99"/>
  <c r="AK74" i="99" s="1"/>
  <c r="AE73" i="99"/>
  <c r="Z73" i="99"/>
  <c r="AA73" i="99" s="1"/>
  <c r="AA74" i="99" s="1"/>
  <c r="AA76" i="99" s="1"/>
  <c r="W73" i="99"/>
  <c r="W74" i="99" s="1"/>
  <c r="V73" i="99"/>
  <c r="V74" i="99" s="1"/>
  <c r="U73" i="99"/>
  <c r="U74" i="99" s="1"/>
  <c r="U76" i="99" s="1"/>
  <c r="Q73" i="99"/>
  <c r="Q74" i="99" s="1"/>
  <c r="P73" i="99"/>
  <c r="K73" i="99"/>
  <c r="AR70" i="99"/>
  <c r="AP70" i="99"/>
  <c r="AO70" i="99"/>
  <c r="AN70" i="99"/>
  <c r="AM70" i="99"/>
  <c r="AK70" i="99"/>
  <c r="AL70" i="99" s="1"/>
  <c r="AJ70" i="99"/>
  <c r="AI70" i="99"/>
  <c r="AH70" i="99"/>
  <c r="AH82" i="99" s="1"/>
  <c r="AG70" i="99"/>
  <c r="AF70" i="99"/>
  <c r="AF82" i="99" s="1"/>
  <c r="AF83" i="99" s="1"/>
  <c r="AE70" i="99"/>
  <c r="AD70" i="99"/>
  <c r="AD82" i="99" s="1"/>
  <c r="AC70" i="99"/>
  <c r="AC82" i="99" s="1"/>
  <c r="AA70" i="99"/>
  <c r="Z70" i="99"/>
  <c r="Z82" i="99" s="1"/>
  <c r="Y70" i="99"/>
  <c r="Y82" i="99" s="1"/>
  <c r="X70" i="99"/>
  <c r="X82" i="99" s="1"/>
  <c r="V70" i="99"/>
  <c r="V82" i="99" s="1"/>
  <c r="U70" i="99"/>
  <c r="U82" i="99" s="1"/>
  <c r="T70" i="99"/>
  <c r="T82" i="99" s="1"/>
  <c r="T83" i="99" s="1"/>
  <c r="S70" i="99"/>
  <c r="S82" i="99" s="1"/>
  <c r="Q70" i="99"/>
  <c r="R70" i="99" s="1"/>
  <c r="P70" i="99"/>
  <c r="P82" i="99" s="1"/>
  <c r="P83" i="99" s="1"/>
  <c r="O70" i="99"/>
  <c r="N70" i="99"/>
  <c r="N82" i="99" s="1"/>
  <c r="M70" i="99"/>
  <c r="L70" i="99"/>
  <c r="L82" i="99" s="1"/>
  <c r="K70" i="99"/>
  <c r="J70" i="99"/>
  <c r="J82" i="99" s="1"/>
  <c r="J85" i="99" s="1"/>
  <c r="J89" i="99" s="1"/>
  <c r="I70" i="99"/>
  <c r="I82" i="99" s="1"/>
  <c r="I85" i="99" s="1"/>
  <c r="I89" i="99" s="1"/>
  <c r="BL64" i="99"/>
  <c r="BK64" i="99"/>
  <c r="BJ64" i="99"/>
  <c r="BI64" i="99"/>
  <c r="BH64" i="99"/>
  <c r="BG64" i="99"/>
  <c r="BF64" i="99"/>
  <c r="BE64" i="99"/>
  <c r="BD64" i="99"/>
  <c r="BC64" i="99"/>
  <c r="BB64" i="99"/>
  <c r="BA64" i="99"/>
  <c r="AZ64" i="99"/>
  <c r="AY64" i="99"/>
  <c r="AX64" i="99"/>
  <c r="AW64" i="99"/>
  <c r="AV64" i="99"/>
  <c r="AU64" i="99"/>
  <c r="AT64" i="99"/>
  <c r="AS64" i="99"/>
  <c r="AP64" i="99"/>
  <c r="M64" i="99"/>
  <c r="L64" i="99"/>
  <c r="K64" i="99"/>
  <c r="J64" i="99"/>
  <c r="BF61" i="99"/>
  <c r="BE61" i="99" s="1"/>
  <c r="BK61" i="99"/>
  <c r="BJ61" i="99" s="1"/>
  <c r="AV61" i="99"/>
  <c r="AU61" i="99" s="1"/>
  <c r="AT61" i="99" s="1"/>
  <c r="AS61" i="99" s="1"/>
  <c r="BL59" i="99"/>
  <c r="BK59" i="99" s="1"/>
  <c r="BK58" i="99"/>
  <c r="BK120" i="99" s="1"/>
  <c r="BF59" i="99"/>
  <c r="BF123" i="99" s="1"/>
  <c r="BF58" i="99"/>
  <c r="BF120" i="99" s="1"/>
  <c r="BA59" i="99"/>
  <c r="BA123" i="99" s="1"/>
  <c r="BA58" i="99"/>
  <c r="BA120" i="99" s="1"/>
  <c r="AV59" i="99"/>
  <c r="AV123" i="99" s="1"/>
  <c r="AP59" i="99"/>
  <c r="AO59" i="99"/>
  <c r="AN59" i="99"/>
  <c r="AM59" i="99"/>
  <c r="AJ59" i="99"/>
  <c r="AI59" i="99"/>
  <c r="AH59" i="99"/>
  <c r="AF59" i="99"/>
  <c r="AE59" i="99"/>
  <c r="AD59" i="99"/>
  <c r="AA59" i="99"/>
  <c r="Z59" i="99"/>
  <c r="X59" i="99"/>
  <c r="V59" i="99"/>
  <c r="T59" i="99"/>
  <c r="S59" i="99"/>
  <c r="Q59" i="99"/>
  <c r="P59" i="99"/>
  <c r="O59" i="99"/>
  <c r="N59" i="99"/>
  <c r="AV58" i="99"/>
  <c r="AV120" i="99" s="1"/>
  <c r="AA58" i="99"/>
  <c r="V58" i="99"/>
  <c r="U58" i="99"/>
  <c r="Q58" i="99"/>
  <c r="P58" i="99"/>
  <c r="BK56" i="99"/>
  <c r="BK106" i="99" s="1"/>
  <c r="BJ56" i="99"/>
  <c r="BJ106" i="99" s="1"/>
  <c r="BI56" i="99"/>
  <c r="BI106" i="99" s="1"/>
  <c r="BH56" i="99"/>
  <c r="BH106" i="99" s="1"/>
  <c r="BL106" i="99" s="1"/>
  <c r="BF56" i="99"/>
  <c r="BF106" i="99" s="1"/>
  <c r="BE56" i="99"/>
  <c r="BE106" i="99" s="1"/>
  <c r="BD56" i="99"/>
  <c r="BD106" i="99" s="1"/>
  <c r="BC56" i="99"/>
  <c r="BC106" i="99" s="1"/>
  <c r="BA56" i="99"/>
  <c r="BA106" i="99" s="1"/>
  <c r="AZ56" i="99"/>
  <c r="AZ106" i="99" s="1"/>
  <c r="AX56" i="99"/>
  <c r="AX106" i="99" s="1"/>
  <c r="AT56" i="99"/>
  <c r="AT106" i="99" s="1"/>
  <c r="AS56" i="99"/>
  <c r="AS106" i="99" s="1"/>
  <c r="AW55" i="99"/>
  <c r="AT55" i="99" s="1"/>
  <c r="BK54" i="99"/>
  <c r="BJ54" i="99"/>
  <c r="BI54" i="99"/>
  <c r="BH54" i="99"/>
  <c r="BL53" i="99"/>
  <c r="BJ53" i="99" s="1"/>
  <c r="BI53" i="99"/>
  <c r="BH53" i="99"/>
  <c r="BF54" i="99"/>
  <c r="BE54" i="99"/>
  <c r="BD54" i="99"/>
  <c r="BC54" i="99"/>
  <c r="BF53" i="99"/>
  <c r="BE53" i="99"/>
  <c r="BD53" i="99"/>
  <c r="BC53" i="99"/>
  <c r="BA54" i="99"/>
  <c r="AZ54" i="99"/>
  <c r="AV54" i="99"/>
  <c r="AT54" i="99"/>
  <c r="AS54" i="99"/>
  <c r="BA53" i="99"/>
  <c r="AZ53" i="99"/>
  <c r="AY53" i="99"/>
  <c r="BB51" i="99"/>
  <c r="BA51" i="99" s="1"/>
  <c r="AZ51" i="99" s="1"/>
  <c r="AY51" i="99" s="1"/>
  <c r="AX51" i="99" s="1"/>
  <c r="BL50" i="99"/>
  <c r="BK50" i="99"/>
  <c r="BJ50" i="99"/>
  <c r="BI50" i="99"/>
  <c r="BH50" i="99"/>
  <c r="BF50" i="99"/>
  <c r="BE50" i="99"/>
  <c r="BD50" i="99"/>
  <c r="BC50" i="99"/>
  <c r="BA50" i="99"/>
  <c r="AZ50" i="99"/>
  <c r="AY50" i="99"/>
  <c r="AX50" i="99"/>
  <c r="AV51" i="99"/>
  <c r="AU51" i="99"/>
  <c r="AT51" i="99"/>
  <c r="AP51" i="99"/>
  <c r="AO51" i="99"/>
  <c r="AN51" i="99"/>
  <c r="AH51" i="99"/>
  <c r="AD51" i="99"/>
  <c r="X51" i="99"/>
  <c r="T51" i="99"/>
  <c r="O51" i="99"/>
  <c r="N51" i="99"/>
  <c r="AV50" i="99"/>
  <c r="AU50" i="99"/>
  <c r="AU73" i="99" s="1"/>
  <c r="AT50" i="99"/>
  <c r="AT73" i="99" s="1"/>
  <c r="AS50" i="99"/>
  <c r="AS73" i="99" s="1"/>
  <c r="AO50" i="99"/>
  <c r="AD50" i="99"/>
  <c r="AA50" i="99"/>
  <c r="Y50" i="99"/>
  <c r="U50" i="99"/>
  <c r="AR43" i="99"/>
  <c r="AQ43" i="99"/>
  <c r="AP43" i="99"/>
  <c r="AO43" i="99"/>
  <c r="AN43" i="99"/>
  <c r="AM43" i="99"/>
  <c r="AL43" i="99"/>
  <c r="AK43" i="99"/>
  <c r="AJ43" i="99"/>
  <c r="AI43" i="99"/>
  <c r="AH43" i="99"/>
  <c r="AG43" i="99"/>
  <c r="AF43" i="99"/>
  <c r="AE43" i="99"/>
  <c r="AD43" i="99"/>
  <c r="AC43" i="99"/>
  <c r="AB43" i="99"/>
  <c r="AA43" i="99"/>
  <c r="Z43" i="99"/>
  <c r="Y43" i="99"/>
  <c r="X43" i="99"/>
  <c r="W43" i="99"/>
  <c r="V43" i="99"/>
  <c r="U43" i="99"/>
  <c r="T43" i="99"/>
  <c r="S43" i="99"/>
  <c r="R43" i="99"/>
  <c r="Q43" i="99"/>
  <c r="P43" i="99"/>
  <c r="O43" i="99"/>
  <c r="N43" i="99"/>
  <c r="M43" i="99"/>
  <c r="L43" i="99"/>
  <c r="K43" i="99"/>
  <c r="J43" i="99"/>
  <c r="I43" i="99"/>
  <c r="BL42" i="99"/>
  <c r="BK42" i="99"/>
  <c r="BJ42" i="99"/>
  <c r="BI42" i="99"/>
  <c r="BH42" i="99"/>
  <c r="BG42" i="99"/>
  <c r="BF42" i="99"/>
  <c r="BE42" i="99"/>
  <c r="BD42" i="99"/>
  <c r="BC42" i="99"/>
  <c r="BB42" i="99"/>
  <c r="BA42" i="99"/>
  <c r="AZ42" i="99"/>
  <c r="AY42" i="99"/>
  <c r="AX42" i="99"/>
  <c r="AW42" i="99"/>
  <c r="AV42" i="99"/>
  <c r="AU42" i="99"/>
  <c r="AT42" i="99"/>
  <c r="AS42" i="99"/>
  <c r="AR42" i="99"/>
  <c r="AQ42" i="99"/>
  <c r="AP42" i="99"/>
  <c r="AO42" i="99"/>
  <c r="AN42" i="99"/>
  <c r="AM42" i="99"/>
  <c r="AL42" i="99"/>
  <c r="AK42" i="99"/>
  <c r="AJ42" i="99"/>
  <c r="AI42" i="99"/>
  <c r="AH42" i="99"/>
  <c r="AG42" i="99"/>
  <c r="AF42" i="99"/>
  <c r="AE42" i="99"/>
  <c r="AD42" i="99"/>
  <c r="AC42" i="99"/>
  <c r="AB42" i="99"/>
  <c r="AA42" i="99"/>
  <c r="Z42" i="99"/>
  <c r="Y42" i="99"/>
  <c r="X42" i="99"/>
  <c r="W42" i="99"/>
  <c r="V42" i="99"/>
  <c r="U42" i="99"/>
  <c r="T42" i="99"/>
  <c r="S42" i="99"/>
  <c r="R42" i="99"/>
  <c r="Q42" i="99"/>
  <c r="P42" i="99"/>
  <c r="O42" i="99"/>
  <c r="N42" i="99"/>
  <c r="M42" i="99"/>
  <c r="L42" i="99"/>
  <c r="K42" i="99"/>
  <c r="J42" i="99"/>
  <c r="I42" i="99"/>
  <c r="BL39" i="99"/>
  <c r="BG39" i="99"/>
  <c r="BB39" i="99"/>
  <c r="AW39" i="99"/>
  <c r="AQ39" i="99"/>
  <c r="AL39" i="99"/>
  <c r="AG39" i="99"/>
  <c r="AB39" i="99"/>
  <c r="W39" i="99"/>
  <c r="R39" i="99"/>
  <c r="M39" i="99"/>
  <c r="AQ36" i="99"/>
  <c r="AL36" i="99"/>
  <c r="AG36" i="99"/>
  <c r="AB36" i="99"/>
  <c r="W36" i="99"/>
  <c r="R36" i="99"/>
  <c r="M36" i="99"/>
  <c r="AQ32" i="99"/>
  <c r="AQ262" i="99" s="1"/>
  <c r="AL32" i="99"/>
  <c r="AG32" i="99"/>
  <c r="AB32" i="99"/>
  <c r="W32" i="99"/>
  <c r="R32" i="99"/>
  <c r="M32" i="99"/>
  <c r="AZ26" i="99"/>
  <c r="BE26" i="99" s="1"/>
  <c r="BJ26" i="99" s="1"/>
  <c r="AU26" i="99"/>
  <c r="AR26" i="99"/>
  <c r="AR27" i="99" s="1"/>
  <c r="AP26" i="99"/>
  <c r="AP27" i="99" s="1"/>
  <c r="AO26" i="99"/>
  <c r="AT26" i="99" s="1"/>
  <c r="AY26" i="99" s="1"/>
  <c r="BD26" i="99" s="1"/>
  <c r="BI26" i="99" s="1"/>
  <c r="AN26" i="99"/>
  <c r="AS26" i="99" s="1"/>
  <c r="AM26" i="99"/>
  <c r="AK26" i="99"/>
  <c r="AK27" i="99" s="1"/>
  <c r="AH26" i="99"/>
  <c r="AH27" i="99" s="1"/>
  <c r="AC26" i="99"/>
  <c r="AC27" i="99" s="1"/>
  <c r="X26" i="99"/>
  <c r="X27" i="99" s="1"/>
  <c r="S26" i="99"/>
  <c r="Q26" i="99"/>
  <c r="Q27" i="99" s="1"/>
  <c r="N26" i="99"/>
  <c r="N27" i="99" s="1"/>
  <c r="L26" i="99"/>
  <c r="L27" i="99" s="1"/>
  <c r="I26" i="99"/>
  <c r="I27" i="99" s="1"/>
  <c r="AQ25" i="99"/>
  <c r="AN25" i="99"/>
  <c r="AJ25" i="99"/>
  <c r="AI25" i="99"/>
  <c r="AL25" i="99" s="1"/>
  <c r="AE25" i="99"/>
  <c r="AF25" i="99" s="1"/>
  <c r="AD25" i="99"/>
  <c r="Z25" i="99"/>
  <c r="Y25" i="99"/>
  <c r="U25" i="99"/>
  <c r="V25" i="99" s="1"/>
  <c r="T25" i="99"/>
  <c r="Q25" i="99"/>
  <c r="P25" i="99"/>
  <c r="O25" i="99"/>
  <c r="L25" i="99"/>
  <c r="K25" i="99"/>
  <c r="J25" i="99"/>
  <c r="AQ20" i="99"/>
  <c r="AQ19" i="99"/>
  <c r="AL20" i="99"/>
  <c r="AL122" i="99" s="1"/>
  <c r="AL19" i="99"/>
  <c r="AG20" i="99"/>
  <c r="AG122" i="99" s="1"/>
  <c r="AG123" i="99" s="1"/>
  <c r="AG59" i="99" s="1"/>
  <c r="AG19" i="99"/>
  <c r="AG18" i="99"/>
  <c r="AG117" i="99" s="1"/>
  <c r="AG119" i="99" s="1"/>
  <c r="AB20" i="99"/>
  <c r="AB122" i="99" s="1"/>
  <c r="AB19" i="99"/>
  <c r="AB18" i="99"/>
  <c r="AB117" i="99" s="1"/>
  <c r="AB119" i="99" s="1"/>
  <c r="W20" i="99"/>
  <c r="W122" i="99" s="1"/>
  <c r="W19" i="99"/>
  <c r="W18" i="99"/>
  <c r="W117" i="99" s="1"/>
  <c r="W119" i="99" s="1"/>
  <c r="W120" i="99" s="1"/>
  <c r="W58" i="99" s="1"/>
  <c r="R20" i="99"/>
  <c r="R122" i="99" s="1"/>
  <c r="R19" i="99"/>
  <c r="R18" i="99"/>
  <c r="R117" i="99" s="1"/>
  <c r="R119" i="99" s="1"/>
  <c r="M20" i="99"/>
  <c r="M122" i="99" s="1"/>
  <c r="M19" i="99"/>
  <c r="M18" i="99"/>
  <c r="M117" i="99" s="1"/>
  <c r="M119" i="99" s="1"/>
  <c r="AR18" i="99"/>
  <c r="AP18" i="99"/>
  <c r="AP117" i="99" s="1"/>
  <c r="AP119" i="99" s="1"/>
  <c r="AO18" i="99"/>
  <c r="AO117" i="99" s="1"/>
  <c r="AO119" i="99" s="1"/>
  <c r="AN18" i="99"/>
  <c r="AN117" i="99" s="1"/>
  <c r="AN119" i="99" s="1"/>
  <c r="AM18" i="99"/>
  <c r="AM117" i="99" s="1"/>
  <c r="AK18" i="99"/>
  <c r="AK117" i="99" s="1"/>
  <c r="AK119" i="99" s="1"/>
  <c r="AK120" i="99" s="1"/>
  <c r="AK58" i="99" s="1"/>
  <c r="AJ18" i="99"/>
  <c r="AJ117" i="99" s="1"/>
  <c r="AJ119" i="99" s="1"/>
  <c r="AJ120" i="99" s="1"/>
  <c r="AJ58" i="99" s="1"/>
  <c r="AO14" i="99"/>
  <c r="AN14" i="99"/>
  <c r="AH14" i="99"/>
  <c r="AH21" i="99" s="1"/>
  <c r="AG14" i="99"/>
  <c r="AF14" i="99"/>
  <c r="AF21" i="99" s="1"/>
  <c r="AE14" i="99"/>
  <c r="AE21" i="99" s="1"/>
  <c r="AD14" i="99"/>
  <c r="AD21" i="99" s="1"/>
  <c r="AC14" i="99"/>
  <c r="AC21" i="99" s="1"/>
  <c r="AC23" i="99" s="1"/>
  <c r="AC29" i="99" s="1"/>
  <c r="AA14" i="99"/>
  <c r="AA21" i="99" s="1"/>
  <c r="Z14" i="99"/>
  <c r="Z21" i="99" s="1"/>
  <c r="Y14" i="99"/>
  <c r="Y21" i="99" s="1"/>
  <c r="Y23" i="99" s="1"/>
  <c r="X14" i="99"/>
  <c r="X21" i="99" s="1"/>
  <c r="V14" i="99"/>
  <c r="V21" i="99" s="1"/>
  <c r="U14" i="99"/>
  <c r="U21" i="99" s="1"/>
  <c r="U23" i="99" s="1"/>
  <c r="T14" i="99"/>
  <c r="T21" i="99" s="1"/>
  <c r="S14" i="99"/>
  <c r="S21" i="99" s="1"/>
  <c r="Q14" i="99"/>
  <c r="Q21" i="99" s="1"/>
  <c r="Q23" i="99" s="1"/>
  <c r="P14" i="99"/>
  <c r="P21" i="99" s="1"/>
  <c r="O14" i="99"/>
  <c r="O21" i="99" s="1"/>
  <c r="N14" i="99"/>
  <c r="N21" i="99" s="1"/>
  <c r="M14" i="99"/>
  <c r="L14" i="99"/>
  <c r="L21" i="99" s="1"/>
  <c r="K14" i="99"/>
  <c r="K21" i="99" s="1"/>
  <c r="J14" i="99"/>
  <c r="J21" i="99" s="1"/>
  <c r="I14" i="99"/>
  <c r="I21" i="99" s="1"/>
  <c r="I23" i="99" s="1"/>
  <c r="AQ13" i="99"/>
  <c r="AV110" i="99" s="1"/>
  <c r="AL13" i="99"/>
  <c r="AL109" i="99" s="1"/>
  <c r="AL110" i="99" s="1"/>
  <c r="AG13" i="99"/>
  <c r="AG109" i="99" s="1"/>
  <c r="AG12" i="99"/>
  <c r="AG79" i="99" s="1"/>
  <c r="AB13" i="99"/>
  <c r="AB109" i="99" s="1"/>
  <c r="AB12" i="99"/>
  <c r="AB79" i="99" s="1"/>
  <c r="W13" i="99"/>
  <c r="W109" i="99" s="1"/>
  <c r="W12" i="99"/>
  <c r="W79" i="99" s="1"/>
  <c r="W80" i="99" s="1"/>
  <c r="R13" i="99"/>
  <c r="R109" i="99" s="1"/>
  <c r="R110" i="99" s="1"/>
  <c r="R12" i="99"/>
  <c r="R79" i="99" s="1"/>
  <c r="M13" i="99"/>
  <c r="M109" i="99" s="1"/>
  <c r="M12" i="99"/>
  <c r="M79" i="99" s="1"/>
  <c r="AR12" i="99"/>
  <c r="AP12" i="99"/>
  <c r="AP79" i="99" s="1"/>
  <c r="AP80" i="99" s="1"/>
  <c r="AU80" i="99" s="1"/>
  <c r="AO12" i="99"/>
  <c r="AO79" i="99" s="1"/>
  <c r="AO80" i="99" s="1"/>
  <c r="AT80" i="99" s="1"/>
  <c r="AN12" i="99"/>
  <c r="AN79" i="99" s="1"/>
  <c r="AN80" i="99" s="1"/>
  <c r="AS80" i="99" s="1"/>
  <c r="AM12" i="99"/>
  <c r="AM79" i="99" s="1"/>
  <c r="AK12" i="99"/>
  <c r="AK79" i="99" s="1"/>
  <c r="AK80" i="99" s="1"/>
  <c r="AJ12" i="99"/>
  <c r="AJ79" i="99" s="1"/>
  <c r="AJ80" i="99" s="1"/>
  <c r="AI12" i="99"/>
  <c r="AI79" i="99" s="1"/>
  <c r="AI80" i="99" s="1"/>
  <c r="AH10" i="99"/>
  <c r="AH23" i="99" s="1"/>
  <c r="AH29" i="99" s="1"/>
  <c r="AF10" i="99"/>
  <c r="AF23" i="99" s="1"/>
  <c r="AE10" i="99"/>
  <c r="AD10" i="99"/>
  <c r="AC10" i="99"/>
  <c r="AA10" i="99"/>
  <c r="AA23" i="99" s="1"/>
  <c r="Z10" i="99"/>
  <c r="Y10" i="99"/>
  <c r="X10" i="99"/>
  <c r="X23" i="99" s="1"/>
  <c r="X29" i="99" s="1"/>
  <c r="W10" i="99"/>
  <c r="V10" i="99"/>
  <c r="V23" i="99" s="1"/>
  <c r="U10" i="99"/>
  <c r="T10" i="99"/>
  <c r="T23" i="99" s="1"/>
  <c r="S10" i="99"/>
  <c r="S23" i="99" s="1"/>
  <c r="Q10" i="99"/>
  <c r="P10" i="99"/>
  <c r="O10" i="99"/>
  <c r="O23" i="99" s="1"/>
  <c r="N10" i="99"/>
  <c r="N23" i="99" s="1"/>
  <c r="N29" i="99" s="1"/>
  <c r="L10" i="99"/>
  <c r="K10" i="99"/>
  <c r="J10" i="99"/>
  <c r="J23" i="99" s="1"/>
  <c r="I10" i="99"/>
  <c r="AR9" i="99"/>
  <c r="AR10" i="99" s="1"/>
  <c r="AP9" i="99"/>
  <c r="AP94" i="99" s="1"/>
  <c r="AO9" i="99"/>
  <c r="AO94" i="99" s="1"/>
  <c r="AN9" i="99"/>
  <c r="AN94" i="99" s="1"/>
  <c r="AM9" i="99"/>
  <c r="AM10" i="99" s="1"/>
  <c r="AK9" i="99"/>
  <c r="AK94" i="99" s="1"/>
  <c r="AJ9" i="99"/>
  <c r="AJ94" i="99" s="1"/>
  <c r="AI9" i="99"/>
  <c r="AI94" i="99" s="1"/>
  <c r="AG9" i="99"/>
  <c r="AG94" i="99" s="1"/>
  <c r="AG8" i="99"/>
  <c r="AG10" i="99" s="1"/>
  <c r="AB9" i="99"/>
  <c r="AB94" i="99" s="1"/>
  <c r="AB8" i="99"/>
  <c r="W9" i="99"/>
  <c r="W94" i="99" s="1"/>
  <c r="W8" i="99"/>
  <c r="R9" i="99"/>
  <c r="R94" i="99" s="1"/>
  <c r="R8" i="99"/>
  <c r="R10" i="99" s="1"/>
  <c r="M9" i="99"/>
  <c r="M94" i="99" s="1"/>
  <c r="M8" i="99"/>
  <c r="M10" i="99" s="1"/>
  <c r="AQ8" i="99"/>
  <c r="AL8" i="99"/>
  <c r="B2" i="99"/>
  <c r="AL262" i="98"/>
  <c r="AM262" i="98" s="1"/>
  <c r="AR262" i="98" s="1"/>
  <c r="AW262" i="98" s="1"/>
  <c r="BB262" i="98" s="1"/>
  <c r="BG262" i="98" s="1"/>
  <c r="BL262" i="98" s="1"/>
  <c r="BL258" i="98"/>
  <c r="X250" i="98"/>
  <c r="S249" i="98"/>
  <c r="S248" i="98"/>
  <c r="S247" i="98"/>
  <c r="N249" i="98"/>
  <c r="N248" i="98"/>
  <c r="N247" i="98"/>
  <c r="I249" i="98"/>
  <c r="I248" i="98"/>
  <c r="I247" i="98"/>
  <c r="BL249" i="98"/>
  <c r="BG249" i="98"/>
  <c r="BB249" i="98"/>
  <c r="AW249" i="98"/>
  <c r="AR249" i="98"/>
  <c r="AR247" i="98"/>
  <c r="AM249" i="98"/>
  <c r="AM247" i="98"/>
  <c r="AH249" i="98"/>
  <c r="AH247" i="98"/>
  <c r="AC249" i="98"/>
  <c r="AC247" i="98"/>
  <c r="AC245" i="98"/>
  <c r="X249" i="98"/>
  <c r="X248" i="98"/>
  <c r="X247" i="98"/>
  <c r="AP247" i="98"/>
  <c r="AO247" i="98"/>
  <c r="AN247" i="98"/>
  <c r="AK247" i="98"/>
  <c r="AJ247" i="98"/>
  <c r="AI247" i="98"/>
  <c r="AF247" i="98"/>
  <c r="AE247" i="98"/>
  <c r="AD247" i="98"/>
  <c r="AA247" i="98"/>
  <c r="Z247" i="98"/>
  <c r="Y247" i="98"/>
  <c r="Y245" i="98"/>
  <c r="AR230" i="98"/>
  <c r="AM230" i="98"/>
  <c r="AH230" i="98"/>
  <c r="AC230" i="98"/>
  <c r="X230" i="98"/>
  <c r="S230" i="98"/>
  <c r="N230" i="98"/>
  <c r="L230" i="98"/>
  <c r="K230" i="98"/>
  <c r="J230" i="98"/>
  <c r="I230" i="98"/>
  <c r="O223" i="98"/>
  <c r="O222" i="98"/>
  <c r="O234" i="98" s="1"/>
  <c r="K222" i="98"/>
  <c r="K234" i="98" s="1"/>
  <c r="O220" i="98"/>
  <c r="K220" i="98"/>
  <c r="R219" i="98"/>
  <c r="M219" i="98"/>
  <c r="AS216" i="98"/>
  <c r="AT216" i="98" s="1"/>
  <c r="AU216" i="98" s="1"/>
  <c r="AV216" i="98" s="1"/>
  <c r="AW216" i="98" s="1"/>
  <c r="AX216" i="98" s="1"/>
  <c r="AY216" i="98" s="1"/>
  <c r="AZ216" i="98" s="1"/>
  <c r="BA216" i="98" s="1"/>
  <c r="BB216" i="98" s="1"/>
  <c r="BC216" i="98" s="1"/>
  <c r="BD216" i="98" s="1"/>
  <c r="BE216" i="98" s="1"/>
  <c r="BF216" i="98" s="1"/>
  <c r="BG216" i="98" s="1"/>
  <c r="BH216" i="98" s="1"/>
  <c r="BI216" i="98" s="1"/>
  <c r="BJ216" i="98" s="1"/>
  <c r="BK216" i="98" s="1"/>
  <c r="BL216" i="98" s="1"/>
  <c r="R216" i="98"/>
  <c r="M216" i="98"/>
  <c r="Q213" i="98"/>
  <c r="P213" i="98"/>
  <c r="O213" i="98"/>
  <c r="N213" i="98"/>
  <c r="M213" i="98"/>
  <c r="L213" i="98"/>
  <c r="K213" i="98"/>
  <c r="J213" i="98"/>
  <c r="I213" i="98"/>
  <c r="AP212" i="98"/>
  <c r="AO212" i="98"/>
  <c r="AN212" i="98"/>
  <c r="AL212" i="98"/>
  <c r="AK212" i="98"/>
  <c r="AJ212" i="98"/>
  <c r="AI212" i="98"/>
  <c r="AG212" i="98"/>
  <c r="AF212" i="98"/>
  <c r="AE212" i="98"/>
  <c r="AD212" i="98"/>
  <c r="AB212" i="98"/>
  <c r="AA212" i="98"/>
  <c r="Z212" i="98"/>
  <c r="Y212" i="98"/>
  <c r="W212" i="98"/>
  <c r="V212" i="98"/>
  <c r="U212" i="98"/>
  <c r="T212" i="98"/>
  <c r="S212" i="98"/>
  <c r="M212" i="98"/>
  <c r="M211" i="98"/>
  <c r="AP211" i="98"/>
  <c r="AP213" i="98" s="1"/>
  <c r="AO211" i="98"/>
  <c r="AO213" i="98" s="1"/>
  <c r="AN211" i="98"/>
  <c r="AN213" i="98" s="1"/>
  <c r="AL211" i="98"/>
  <c r="AL213" i="98" s="1"/>
  <c r="AK211" i="98"/>
  <c r="AK213" i="98" s="1"/>
  <c r="AJ211" i="98"/>
  <c r="AJ213" i="98" s="1"/>
  <c r="AI211" i="98"/>
  <c r="AG211" i="98"/>
  <c r="AG213" i="98" s="1"/>
  <c r="AF211" i="98"/>
  <c r="AF213" i="98" s="1"/>
  <c r="AE211" i="98"/>
  <c r="AD211" i="98"/>
  <c r="AD213" i="98" s="1"/>
  <c r="AB211" i="98"/>
  <c r="AB213" i="98" s="1"/>
  <c r="AA211" i="98"/>
  <c r="Z211" i="98"/>
  <c r="Z213" i="98" s="1"/>
  <c r="Y211" i="98"/>
  <c r="Y213" i="98" s="1"/>
  <c r="W211" i="98"/>
  <c r="V211" i="98"/>
  <c r="V213" i="98" s="1"/>
  <c r="U211" i="98"/>
  <c r="U213" i="98" s="1"/>
  <c r="T211" i="98"/>
  <c r="T213" i="98" s="1"/>
  <c r="R211" i="98"/>
  <c r="X209" i="98"/>
  <c r="R209" i="98"/>
  <c r="M209" i="98"/>
  <c r="AQ202" i="98"/>
  <c r="AP202" i="98"/>
  <c r="AP219" i="98" s="1"/>
  <c r="AO202" i="98"/>
  <c r="AN202" i="98"/>
  <c r="AN219" i="98" s="1"/>
  <c r="AL202" i="98"/>
  <c r="AL219" i="98" s="1"/>
  <c r="AK202" i="98"/>
  <c r="AJ202" i="98"/>
  <c r="AJ219" i="98" s="1"/>
  <c r="AI202" i="98"/>
  <c r="AI219" i="98" s="1"/>
  <c r="AG202" i="98"/>
  <c r="AF202" i="98"/>
  <c r="AF219" i="98" s="1"/>
  <c r="AE202" i="98"/>
  <c r="AE219" i="98" s="1"/>
  <c r="AD202" i="98"/>
  <c r="AD219" i="98" s="1"/>
  <c r="AB202" i="98"/>
  <c r="AB219" i="98" s="1"/>
  <c r="AA202" i="98"/>
  <c r="AA219" i="98" s="1"/>
  <c r="Z202" i="98"/>
  <c r="Z219" i="98" s="1"/>
  <c r="Y202" i="98"/>
  <c r="W202" i="98"/>
  <c r="W219" i="98" s="1"/>
  <c r="V202" i="98"/>
  <c r="V219" i="98" s="1"/>
  <c r="U202" i="98"/>
  <c r="T202" i="98"/>
  <c r="T219" i="98" s="1"/>
  <c r="AM201" i="98"/>
  <c r="AM200" i="98"/>
  <c r="AM199" i="98"/>
  <c r="AM202" i="98" s="1"/>
  <c r="AH201" i="98"/>
  <c r="AH200" i="98"/>
  <c r="AH199" i="98"/>
  <c r="AC201" i="98"/>
  <c r="AC200" i="98"/>
  <c r="AC202" i="98" s="1"/>
  <c r="AC199" i="98"/>
  <c r="X201" i="98"/>
  <c r="X200" i="98"/>
  <c r="X199" i="98"/>
  <c r="X202" i="98" s="1"/>
  <c r="AR201" i="98"/>
  <c r="AT200" i="98"/>
  <c r="AU200" i="98" s="1"/>
  <c r="AV200" i="98" s="1"/>
  <c r="AW200" i="98" s="1"/>
  <c r="AX200" i="98" s="1"/>
  <c r="AY200" i="98" s="1"/>
  <c r="AZ200" i="98" s="1"/>
  <c r="BA200" i="98" s="1"/>
  <c r="BB200" i="98" s="1"/>
  <c r="BC200" i="98" s="1"/>
  <c r="BD200" i="98" s="1"/>
  <c r="BE200" i="98" s="1"/>
  <c r="BF200" i="98" s="1"/>
  <c r="BG200" i="98" s="1"/>
  <c r="BH200" i="98" s="1"/>
  <c r="BI200" i="98" s="1"/>
  <c r="BJ200" i="98" s="1"/>
  <c r="BK200" i="98" s="1"/>
  <c r="BL200" i="98" s="1"/>
  <c r="AS200" i="98"/>
  <c r="AR200" i="98"/>
  <c r="AR199" i="98"/>
  <c r="AS199" i="98" s="1"/>
  <c r="AS195" i="98"/>
  <c r="AT195" i="98" s="1"/>
  <c r="AU195" i="98" s="1"/>
  <c r="AV195" i="98" s="1"/>
  <c r="AW195" i="98" s="1"/>
  <c r="AX195" i="98" s="1"/>
  <c r="AY195" i="98" s="1"/>
  <c r="AZ195" i="98" s="1"/>
  <c r="BA195" i="98" s="1"/>
  <c r="BB195" i="98" s="1"/>
  <c r="BC195" i="98" s="1"/>
  <c r="BD195" i="98" s="1"/>
  <c r="BE195" i="98" s="1"/>
  <c r="BF195" i="98" s="1"/>
  <c r="BG195" i="98" s="1"/>
  <c r="BH195" i="98" s="1"/>
  <c r="BI195" i="98" s="1"/>
  <c r="BJ195" i="98" s="1"/>
  <c r="BK195" i="98" s="1"/>
  <c r="BL195" i="98" s="1"/>
  <c r="AR195" i="98"/>
  <c r="AQ195" i="98"/>
  <c r="AP195" i="98"/>
  <c r="AP197" i="98" s="1"/>
  <c r="AP204" i="98" s="1"/>
  <c r="AO195" i="98"/>
  <c r="AN195" i="98"/>
  <c r="AL195" i="98"/>
  <c r="AL197" i="98" s="1"/>
  <c r="AL204" i="98" s="1"/>
  <c r="AK195" i="98"/>
  <c r="AJ195" i="98"/>
  <c r="AI195" i="98"/>
  <c r="AG195" i="98"/>
  <c r="AF195" i="98"/>
  <c r="AE195" i="98"/>
  <c r="AD195" i="98"/>
  <c r="AD197" i="98" s="1"/>
  <c r="AD204" i="98" s="1"/>
  <c r="AC195" i="98"/>
  <c r="AB195" i="98"/>
  <c r="AA195" i="98"/>
  <c r="Z195" i="98"/>
  <c r="Z197" i="98" s="1"/>
  <c r="Z204" i="98" s="1"/>
  <c r="Y195" i="98"/>
  <c r="X195" i="98"/>
  <c r="W195" i="98"/>
  <c r="V195" i="98"/>
  <c r="V197" i="98" s="1"/>
  <c r="V204" i="98" s="1"/>
  <c r="U195" i="98"/>
  <c r="U197" i="98" s="1"/>
  <c r="T195" i="98"/>
  <c r="AM194" i="98"/>
  <c r="AM193" i="98"/>
  <c r="AM192" i="98"/>
  <c r="AM191" i="98"/>
  <c r="AH194" i="98"/>
  <c r="AH193" i="98"/>
  <c r="AH192" i="98"/>
  <c r="AH191" i="98"/>
  <c r="AC194" i="98"/>
  <c r="AC193" i="98"/>
  <c r="AC192" i="98"/>
  <c r="AC191" i="98"/>
  <c r="X194" i="98"/>
  <c r="X193" i="98"/>
  <c r="X192" i="98"/>
  <c r="X191" i="98"/>
  <c r="AT194" i="98"/>
  <c r="AU194" i="98" s="1"/>
  <c r="AV194" i="98" s="1"/>
  <c r="AW194" i="98" s="1"/>
  <c r="AX194" i="98" s="1"/>
  <c r="AY194" i="98" s="1"/>
  <c r="AZ194" i="98" s="1"/>
  <c r="BA194" i="98" s="1"/>
  <c r="BB194" i="98" s="1"/>
  <c r="BC194" i="98" s="1"/>
  <c r="BD194" i="98" s="1"/>
  <c r="BE194" i="98" s="1"/>
  <c r="BF194" i="98" s="1"/>
  <c r="BG194" i="98" s="1"/>
  <c r="BH194" i="98" s="1"/>
  <c r="BI194" i="98" s="1"/>
  <c r="BJ194" i="98" s="1"/>
  <c r="BK194" i="98" s="1"/>
  <c r="BL194" i="98" s="1"/>
  <c r="AS194" i="98"/>
  <c r="AR194" i="98"/>
  <c r="AR193" i="98"/>
  <c r="AR192" i="98"/>
  <c r="AS191" i="98"/>
  <c r="AR191" i="98"/>
  <c r="AP189" i="98"/>
  <c r="AL189" i="98"/>
  <c r="AD189" i="98"/>
  <c r="Z189" i="98"/>
  <c r="V189" i="98"/>
  <c r="U189" i="98"/>
  <c r="AU188" i="98"/>
  <c r="AV188" i="98" s="1"/>
  <c r="AW188" i="98" s="1"/>
  <c r="AX188" i="98" s="1"/>
  <c r="AY188" i="98" s="1"/>
  <c r="AZ188" i="98" s="1"/>
  <c r="BA188" i="98" s="1"/>
  <c r="BB188" i="98" s="1"/>
  <c r="BC188" i="98" s="1"/>
  <c r="BD188" i="98" s="1"/>
  <c r="BE188" i="98" s="1"/>
  <c r="BF188" i="98" s="1"/>
  <c r="BG188" i="98" s="1"/>
  <c r="BH188" i="98" s="1"/>
  <c r="BI188" i="98" s="1"/>
  <c r="BJ188" i="98" s="1"/>
  <c r="BK188" i="98" s="1"/>
  <c r="BL188" i="98" s="1"/>
  <c r="AQ188" i="98"/>
  <c r="AR188" i="98" s="1"/>
  <c r="AS188" i="98" s="1"/>
  <c r="AT188" i="98" s="1"/>
  <c r="AP188" i="98"/>
  <c r="AO188" i="98"/>
  <c r="AN188" i="98"/>
  <c r="AM188" i="98"/>
  <c r="AL188" i="98"/>
  <c r="AK188" i="98"/>
  <c r="AJ188" i="98"/>
  <c r="AI188" i="98"/>
  <c r="AH188" i="98"/>
  <c r="AG188" i="98"/>
  <c r="AF188" i="98"/>
  <c r="AE188" i="98"/>
  <c r="AD188" i="98"/>
  <c r="AB188" i="98"/>
  <c r="AC188" i="98" s="1"/>
  <c r="AA188" i="98"/>
  <c r="Z188" i="98"/>
  <c r="Y188" i="98"/>
  <c r="W188" i="98"/>
  <c r="X188" i="98" s="1"/>
  <c r="V188" i="98"/>
  <c r="U188" i="98"/>
  <c r="T188" i="98"/>
  <c r="T189" i="98" s="1"/>
  <c r="T197" i="98" s="1"/>
  <c r="AR187" i="98"/>
  <c r="AS187" i="98" s="1"/>
  <c r="AT187" i="98" s="1"/>
  <c r="AU187" i="98" s="1"/>
  <c r="AV187" i="98" s="1"/>
  <c r="AW187" i="98" s="1"/>
  <c r="AX187" i="98" s="1"/>
  <c r="AY187" i="98" s="1"/>
  <c r="AZ187" i="98" s="1"/>
  <c r="BA187" i="98" s="1"/>
  <c r="BB187" i="98" s="1"/>
  <c r="BC187" i="98" s="1"/>
  <c r="BD187" i="98" s="1"/>
  <c r="BE187" i="98" s="1"/>
  <c r="BF187" i="98" s="1"/>
  <c r="BG187" i="98" s="1"/>
  <c r="BH187" i="98" s="1"/>
  <c r="BI187" i="98" s="1"/>
  <c r="BJ187" i="98" s="1"/>
  <c r="BK187" i="98" s="1"/>
  <c r="BL187" i="98" s="1"/>
  <c r="AQ187" i="98"/>
  <c r="AQ189" i="98" s="1"/>
  <c r="AQ197" i="98" s="1"/>
  <c r="AQ204" i="98" s="1"/>
  <c r="AP187" i="98"/>
  <c r="AO187" i="98"/>
  <c r="AO189" i="98" s="1"/>
  <c r="AN187" i="98"/>
  <c r="AN189" i="98" s="1"/>
  <c r="AM187" i="98"/>
  <c r="AL187" i="98"/>
  <c r="AK187" i="98"/>
  <c r="AK189" i="98" s="1"/>
  <c r="AJ187" i="98"/>
  <c r="AJ189" i="98" s="1"/>
  <c r="AI187" i="98"/>
  <c r="AI189" i="98" s="1"/>
  <c r="AI197" i="98" s="1"/>
  <c r="AG187" i="98"/>
  <c r="AF187" i="98"/>
  <c r="AF189" i="98" s="1"/>
  <c r="AF197" i="98" s="1"/>
  <c r="AE187" i="98"/>
  <c r="AE189" i="98" s="1"/>
  <c r="AE197" i="98" s="1"/>
  <c r="AD187" i="98"/>
  <c r="AC187" i="98"/>
  <c r="AB187" i="98"/>
  <c r="AB189" i="98" s="1"/>
  <c r="AB197" i="98" s="1"/>
  <c r="AA187" i="98"/>
  <c r="AA189" i="98" s="1"/>
  <c r="AA197" i="98" s="1"/>
  <c r="Z187" i="98"/>
  <c r="Y187" i="98"/>
  <c r="Y189" i="98" s="1"/>
  <c r="X187" i="98"/>
  <c r="W187" i="98"/>
  <c r="W189" i="98" s="1"/>
  <c r="W197" i="98" s="1"/>
  <c r="AM186" i="98"/>
  <c r="AM185" i="98"/>
  <c r="AH186" i="98"/>
  <c r="AH212" i="98" s="1"/>
  <c r="AH185" i="98"/>
  <c r="AH211" i="98" s="1"/>
  <c r="AC186" i="98"/>
  <c r="AC185" i="98"/>
  <c r="X186" i="98"/>
  <c r="X212" i="98" s="1"/>
  <c r="X185" i="98"/>
  <c r="X211" i="98" s="1"/>
  <c r="AR186" i="98"/>
  <c r="AR185" i="98"/>
  <c r="AR181" i="98"/>
  <c r="AQ181" i="98"/>
  <c r="AP181" i="98"/>
  <c r="AO181" i="98"/>
  <c r="AN181" i="98"/>
  <c r="AL181" i="98"/>
  <c r="AM181" i="98" s="1"/>
  <c r="AK181" i="98"/>
  <c r="AJ181" i="98"/>
  <c r="AI181" i="98"/>
  <c r="AG181" i="98"/>
  <c r="AH181" i="98" s="1"/>
  <c r="AF181" i="98"/>
  <c r="AE181" i="98"/>
  <c r="AD181" i="98"/>
  <c r="AB181" i="98"/>
  <c r="AC181" i="98" s="1"/>
  <c r="AA181" i="98"/>
  <c r="Z181" i="98"/>
  <c r="Y181" i="98"/>
  <c r="X181" i="98"/>
  <c r="W181" i="98"/>
  <c r="V181" i="98"/>
  <c r="U181" i="98"/>
  <c r="T181" i="98"/>
  <c r="AS180" i="98"/>
  <c r="AT180" i="98" s="1"/>
  <c r="AU180" i="98" s="1"/>
  <c r="AV180" i="98" s="1"/>
  <c r="AW180" i="98" s="1"/>
  <c r="AX180" i="98" s="1"/>
  <c r="AY180" i="98" s="1"/>
  <c r="AZ180" i="98" s="1"/>
  <c r="BA180" i="98" s="1"/>
  <c r="BB180" i="98" s="1"/>
  <c r="BC180" i="98" s="1"/>
  <c r="BD180" i="98" s="1"/>
  <c r="BE180" i="98" s="1"/>
  <c r="BF180" i="98" s="1"/>
  <c r="BG180" i="98" s="1"/>
  <c r="BH180" i="98" s="1"/>
  <c r="BI180" i="98" s="1"/>
  <c r="BJ180" i="98" s="1"/>
  <c r="BK180" i="98" s="1"/>
  <c r="BL180" i="98" s="1"/>
  <c r="AR180" i="98"/>
  <c r="AM180" i="98"/>
  <c r="AH180" i="98"/>
  <c r="AC180" i="98"/>
  <c r="X180" i="98"/>
  <c r="AR178" i="98"/>
  <c r="AQ178" i="98"/>
  <c r="AN178" i="98"/>
  <c r="AM178" i="98"/>
  <c r="AL178" i="98"/>
  <c r="AI178" i="98"/>
  <c r="AH178" i="98"/>
  <c r="AG178" i="98"/>
  <c r="AF178" i="98"/>
  <c r="AE178" i="98"/>
  <c r="AD178" i="98"/>
  <c r="AB178" i="98"/>
  <c r="AA178" i="98"/>
  <c r="Z178" i="98"/>
  <c r="Y178" i="98"/>
  <c r="W178" i="98"/>
  <c r="V178" i="98"/>
  <c r="U178" i="98"/>
  <c r="T178" i="98"/>
  <c r="AM177" i="98"/>
  <c r="AM176" i="98"/>
  <c r="AI177" i="98"/>
  <c r="AH177" i="98"/>
  <c r="AC177" i="98"/>
  <c r="AC176" i="98"/>
  <c r="AC178" i="98" s="1"/>
  <c r="X177" i="98"/>
  <c r="X176" i="98"/>
  <c r="X178" i="98" s="1"/>
  <c r="AR177" i="98"/>
  <c r="AR176" i="98"/>
  <c r="AQ176" i="98"/>
  <c r="AP176" i="98"/>
  <c r="AP178" i="98" s="1"/>
  <c r="AO176" i="98"/>
  <c r="AO178" i="98" s="1"/>
  <c r="AN176" i="98"/>
  <c r="AL176" i="98"/>
  <c r="AK176" i="98"/>
  <c r="AK178" i="98" s="1"/>
  <c r="AJ176" i="98"/>
  <c r="AJ178" i="98" s="1"/>
  <c r="AI176" i="98"/>
  <c r="AH176" i="98"/>
  <c r="AP174" i="98"/>
  <c r="AD174" i="98"/>
  <c r="Z174" i="98"/>
  <c r="Z183" i="98" s="1"/>
  <c r="Z206" i="98" s="1"/>
  <c r="V174" i="98"/>
  <c r="V183" i="98" s="1"/>
  <c r="V206" i="98" s="1"/>
  <c r="T174" i="98"/>
  <c r="T183" i="98" s="1"/>
  <c r="AR173" i="98"/>
  <c r="AQ173" i="98"/>
  <c r="AP173" i="98"/>
  <c r="AO173" i="98"/>
  <c r="AN173" i="98"/>
  <c r="AM173" i="98"/>
  <c r="AL173" i="98"/>
  <c r="AK173" i="98"/>
  <c r="AJ173" i="98"/>
  <c r="AJ174" i="98" s="1"/>
  <c r="AJ183" i="98" s="1"/>
  <c r="AI173" i="98"/>
  <c r="AG173" i="98"/>
  <c r="AF173" i="98"/>
  <c r="AF174" i="98" s="1"/>
  <c r="AF183" i="98" s="1"/>
  <c r="AE173" i="98"/>
  <c r="AE174" i="98" s="1"/>
  <c r="AE183" i="98" s="1"/>
  <c r="AD173" i="98"/>
  <c r="AB173" i="98"/>
  <c r="AB174" i="98" s="1"/>
  <c r="AB183" i="98" s="1"/>
  <c r="AA173" i="98"/>
  <c r="AA174" i="98" s="1"/>
  <c r="AA183" i="98" s="1"/>
  <c r="Z173" i="98"/>
  <c r="Y173" i="98"/>
  <c r="Y174" i="98" s="1"/>
  <c r="Y183" i="98" s="1"/>
  <c r="W173" i="98"/>
  <c r="W174" i="98" s="1"/>
  <c r="W183" i="98" s="1"/>
  <c r="V173" i="98"/>
  <c r="U173" i="98"/>
  <c r="U174" i="98" s="1"/>
  <c r="U183" i="98" s="1"/>
  <c r="T173" i="98"/>
  <c r="AM172" i="98"/>
  <c r="AM171" i="98"/>
  <c r="AM169" i="98"/>
  <c r="AH172" i="98"/>
  <c r="AH171" i="98"/>
  <c r="AH170" i="98"/>
  <c r="AH169" i="98"/>
  <c r="AC172" i="98"/>
  <c r="AC171" i="98"/>
  <c r="AC170" i="98"/>
  <c r="AC169" i="98"/>
  <c r="X172" i="98"/>
  <c r="X171" i="98"/>
  <c r="X170" i="98"/>
  <c r="X169" i="98"/>
  <c r="AQ170" i="98"/>
  <c r="AQ174" i="98" s="1"/>
  <c r="AQ183" i="98" s="1"/>
  <c r="AQ206" i="98" s="1"/>
  <c r="AP170" i="98"/>
  <c r="AO170" i="98"/>
  <c r="AN170" i="98"/>
  <c r="AN174" i="98" s="1"/>
  <c r="AN183" i="98" s="1"/>
  <c r="AL170" i="98"/>
  <c r="AM170" i="98" s="1"/>
  <c r="AK170" i="98"/>
  <c r="AJ170" i="98"/>
  <c r="AI170" i="98"/>
  <c r="AI174" i="98" s="1"/>
  <c r="AI183" i="98" s="1"/>
  <c r="AR172" i="98"/>
  <c r="AS172" i="98" s="1"/>
  <c r="AT172" i="98" s="1"/>
  <c r="AU172" i="98" s="1"/>
  <c r="AV172" i="98" s="1"/>
  <c r="AW172" i="98" s="1"/>
  <c r="AX172" i="98" s="1"/>
  <c r="AY172" i="98" s="1"/>
  <c r="AZ172" i="98" s="1"/>
  <c r="BA172" i="98" s="1"/>
  <c r="BB172" i="98" s="1"/>
  <c r="BC172" i="98" s="1"/>
  <c r="BD172" i="98" s="1"/>
  <c r="BE172" i="98" s="1"/>
  <c r="BF172" i="98" s="1"/>
  <c r="BG172" i="98" s="1"/>
  <c r="BH172" i="98" s="1"/>
  <c r="BI172" i="98" s="1"/>
  <c r="BJ172" i="98" s="1"/>
  <c r="BK172" i="98" s="1"/>
  <c r="BL172" i="98" s="1"/>
  <c r="AS171" i="98"/>
  <c r="AT171" i="98" s="1"/>
  <c r="AU171" i="98" s="1"/>
  <c r="AV171" i="98" s="1"/>
  <c r="AW171" i="98" s="1"/>
  <c r="AX171" i="98" s="1"/>
  <c r="AY171" i="98" s="1"/>
  <c r="AZ171" i="98" s="1"/>
  <c r="BA171" i="98" s="1"/>
  <c r="BB171" i="98" s="1"/>
  <c r="BC171" i="98" s="1"/>
  <c r="BD171" i="98" s="1"/>
  <c r="BE171" i="98" s="1"/>
  <c r="BF171" i="98" s="1"/>
  <c r="BG171" i="98" s="1"/>
  <c r="BH171" i="98" s="1"/>
  <c r="BI171" i="98" s="1"/>
  <c r="BJ171" i="98" s="1"/>
  <c r="BK171" i="98" s="1"/>
  <c r="BL171" i="98" s="1"/>
  <c r="AR171" i="98"/>
  <c r="AR169" i="98"/>
  <c r="CJ163" i="98"/>
  <c r="CC163" i="98"/>
  <c r="CD163" i="98" s="1"/>
  <c r="CE163" i="98" s="1"/>
  <c r="CF163" i="98" s="1"/>
  <c r="I161" i="98"/>
  <c r="I160" i="98"/>
  <c r="I159" i="98"/>
  <c r="I158" i="98"/>
  <c r="I157" i="98"/>
  <c r="I156" i="98"/>
  <c r="I155" i="98"/>
  <c r="I154" i="98"/>
  <c r="I151" i="98"/>
  <c r="I150" i="98"/>
  <c r="I149" i="98"/>
  <c r="I145" i="98"/>
  <c r="I144" i="98"/>
  <c r="I143" i="98"/>
  <c r="DT160" i="98"/>
  <c r="DP160" i="98"/>
  <c r="DO160" i="98"/>
  <c r="DL160" i="98"/>
  <c r="DK160" i="98"/>
  <c r="DC160" i="98"/>
  <c r="CV160" i="98"/>
  <c r="CR160" i="98"/>
  <c r="CP160" i="98"/>
  <c r="CN160" i="98"/>
  <c r="CM160" i="98"/>
  <c r="CL160" i="98"/>
  <c r="CK160" i="98"/>
  <c r="CI160" i="98"/>
  <c r="CH160" i="98"/>
  <c r="CG160" i="98"/>
  <c r="CF160" i="98"/>
  <c r="CD160" i="98"/>
  <c r="CC160" i="98"/>
  <c r="CB160" i="98"/>
  <c r="DS159" i="98"/>
  <c r="DS158" i="98"/>
  <c r="DS157" i="98"/>
  <c r="DS160" i="98" s="1"/>
  <c r="DS156" i="98"/>
  <c r="DS155" i="98"/>
  <c r="DN159" i="98"/>
  <c r="AL159" i="98" s="1"/>
  <c r="DN158" i="98"/>
  <c r="DN157" i="98"/>
  <c r="DN156" i="98"/>
  <c r="DN155" i="98"/>
  <c r="DN160" i="98" s="1"/>
  <c r="DE159" i="98"/>
  <c r="DC159" i="98"/>
  <c r="DB159" i="98"/>
  <c r="DA159" i="98"/>
  <c r="Z159" i="98" s="1"/>
  <c r="CZ159" i="98"/>
  <c r="CY159" i="98"/>
  <c r="W159" i="98" s="1"/>
  <c r="CX159" i="98"/>
  <c r="CW159" i="98"/>
  <c r="U159" i="98" s="1"/>
  <c r="CV159" i="98"/>
  <c r="CU159" i="98"/>
  <c r="CT159" i="98" s="1"/>
  <c r="R159" i="98" s="1"/>
  <c r="CS159" i="98"/>
  <c r="CR159" i="98"/>
  <c r="CQ159" i="98"/>
  <c r="CQ160" i="98" s="1"/>
  <c r="CO159" i="98"/>
  <c r="M159" i="98" s="1"/>
  <c r="CO158" i="98"/>
  <c r="M158" i="98" s="1"/>
  <c r="CO157" i="98"/>
  <c r="CO156" i="98"/>
  <c r="CO155" i="98"/>
  <c r="CJ159" i="98"/>
  <c r="CJ158" i="98"/>
  <c r="CJ157" i="98"/>
  <c r="CJ156" i="98"/>
  <c r="CJ155" i="98"/>
  <c r="CJ160" i="98" s="1"/>
  <c r="CE159" i="98"/>
  <c r="CE158" i="98"/>
  <c r="CE157" i="98"/>
  <c r="CE156" i="98"/>
  <c r="CE160" i="98" s="1"/>
  <c r="CE155" i="98"/>
  <c r="DT158" i="98"/>
  <c r="AR158" i="98" s="1"/>
  <c r="DR158" i="98"/>
  <c r="DR160" i="98" s="1"/>
  <c r="DQ158" i="98"/>
  <c r="DQ160" i="98" s="1"/>
  <c r="DO158" i="98"/>
  <c r="DM158" i="98"/>
  <c r="DM160" i="98" s="1"/>
  <c r="DL158" i="98"/>
  <c r="AJ158" i="98" s="1"/>
  <c r="DJ159" i="98"/>
  <c r="DI159" i="98" s="1"/>
  <c r="AG159" i="98" s="1"/>
  <c r="DH159" i="98"/>
  <c r="DG159" i="98"/>
  <c r="DJ158" i="98"/>
  <c r="DH158" i="98"/>
  <c r="AF158" i="98" s="1"/>
  <c r="DG158" i="98"/>
  <c r="AE158" i="98" s="1"/>
  <c r="DE158" i="98"/>
  <c r="DC158" i="98"/>
  <c r="DB158" i="98"/>
  <c r="DB160" i="98" s="1"/>
  <c r="CZ158" i="98"/>
  <c r="CZ160" i="98" s="1"/>
  <c r="CX158" i="98"/>
  <c r="CX160" i="98" s="1"/>
  <c r="CW158" i="98"/>
  <c r="CU158" i="98"/>
  <c r="CT158" i="98" s="1"/>
  <c r="R158" i="98" s="1"/>
  <c r="BK159" i="98"/>
  <c r="BJ159" i="98"/>
  <c r="BI159" i="98"/>
  <c r="BH159" i="98"/>
  <c r="BH158" i="98"/>
  <c r="BI158" i="98" s="1"/>
  <c r="BF159" i="98"/>
  <c r="BE159" i="98"/>
  <c r="BD159" i="98"/>
  <c r="BC159" i="98"/>
  <c r="BC158" i="98"/>
  <c r="BD158" i="98" s="1"/>
  <c r="BA159" i="98"/>
  <c r="AZ159" i="98"/>
  <c r="AY159" i="98"/>
  <c r="AX159" i="98"/>
  <c r="AX158" i="98"/>
  <c r="AV159" i="98"/>
  <c r="AU159" i="98"/>
  <c r="AT159" i="98"/>
  <c r="AS159" i="98"/>
  <c r="AR159" i="98"/>
  <c r="AQ159" i="98"/>
  <c r="AP159" i="98"/>
  <c r="AO159" i="98"/>
  <c r="AN159" i="98"/>
  <c r="AM159" i="98"/>
  <c r="AK159" i="98"/>
  <c r="AJ159" i="98"/>
  <c r="AI159" i="98"/>
  <c r="AF159" i="98"/>
  <c r="AE159" i="98"/>
  <c r="AD159" i="98"/>
  <c r="AA159" i="98"/>
  <c r="X159" i="98"/>
  <c r="V159" i="98"/>
  <c r="T159" i="98"/>
  <c r="S159" i="98"/>
  <c r="P159" i="98"/>
  <c r="O159" i="98"/>
  <c r="N159" i="98"/>
  <c r="L159" i="98"/>
  <c r="K159" i="98"/>
  <c r="J159" i="98"/>
  <c r="AS158" i="98"/>
  <c r="AQ158" i="98"/>
  <c r="AN158" i="98"/>
  <c r="AM158" i="98"/>
  <c r="AL158" i="98"/>
  <c r="AI158" i="98"/>
  <c r="AH158" i="98"/>
  <c r="AD158" i="98"/>
  <c r="AC158" i="98"/>
  <c r="Y158" i="98"/>
  <c r="V158" i="98"/>
  <c r="U158" i="98"/>
  <c r="T158" i="98"/>
  <c r="Q158" i="98"/>
  <c r="P158" i="98"/>
  <c r="O158" i="98"/>
  <c r="N158" i="98"/>
  <c r="L158" i="98"/>
  <c r="K158" i="98"/>
  <c r="J158" i="98"/>
  <c r="DI157" i="98"/>
  <c r="DI156" i="98"/>
  <c r="DI155" i="98"/>
  <c r="DG157" i="98"/>
  <c r="DG160" i="98" s="1"/>
  <c r="DF157" i="98"/>
  <c r="DF160" i="98" s="1"/>
  <c r="DD157" i="98"/>
  <c r="DD156" i="98"/>
  <c r="DD155" i="98"/>
  <c r="CY157" i="98"/>
  <c r="CY156" i="98"/>
  <c r="CY155" i="98"/>
  <c r="CT157" i="98"/>
  <c r="CT156" i="98"/>
  <c r="CT155" i="98"/>
  <c r="BL157" i="98"/>
  <c r="BG157" i="98"/>
  <c r="BB157" i="98"/>
  <c r="AW157" i="98"/>
  <c r="AR157" i="98"/>
  <c r="AQ157" i="98"/>
  <c r="AP157" i="98"/>
  <c r="AO157" i="98"/>
  <c r="AN157" i="98"/>
  <c r="AM157" i="98"/>
  <c r="AL157" i="98"/>
  <c r="AK157" i="98"/>
  <c r="AJ157" i="98"/>
  <c r="AI157" i="98"/>
  <c r="AH157" i="98"/>
  <c r="AG157" i="98"/>
  <c r="AE157" i="98"/>
  <c r="AD157" i="98"/>
  <c r="AC157" i="98"/>
  <c r="AB157" i="98"/>
  <c r="AA157" i="98"/>
  <c r="Z157" i="98"/>
  <c r="Y157" i="98"/>
  <c r="X157" i="98"/>
  <c r="W157" i="98"/>
  <c r="V157" i="98"/>
  <c r="U157" i="98"/>
  <c r="T157" i="98"/>
  <c r="S157" i="98"/>
  <c r="R157" i="98"/>
  <c r="Q157" i="98"/>
  <c r="P157" i="98"/>
  <c r="O157" i="98"/>
  <c r="N157" i="98"/>
  <c r="M157" i="98"/>
  <c r="L157" i="98"/>
  <c r="K157" i="98"/>
  <c r="J157" i="98"/>
  <c r="AR156" i="98"/>
  <c r="AQ156" i="98"/>
  <c r="AP156" i="98"/>
  <c r="AO156" i="98"/>
  <c r="AN156" i="98"/>
  <c r="AM156" i="98"/>
  <c r="AL156" i="98"/>
  <c r="AK156" i="98"/>
  <c r="AJ156" i="98"/>
  <c r="AI156" i="98"/>
  <c r="AH156" i="98"/>
  <c r="AG156" i="98"/>
  <c r="AF156" i="98"/>
  <c r="AE156" i="98"/>
  <c r="AD156" i="98"/>
  <c r="AC156" i="98"/>
  <c r="AB156" i="98"/>
  <c r="AA156" i="98"/>
  <c r="Z156" i="98"/>
  <c r="Y156" i="98"/>
  <c r="X156" i="98"/>
  <c r="W156" i="98"/>
  <c r="V156" i="98"/>
  <c r="U156" i="98"/>
  <c r="T156" i="98"/>
  <c r="S156" i="98"/>
  <c r="R156" i="98"/>
  <c r="Q156" i="98"/>
  <c r="P156" i="98"/>
  <c r="O156" i="98"/>
  <c r="N156" i="98"/>
  <c r="M156" i="98"/>
  <c r="L156" i="98"/>
  <c r="K156" i="98"/>
  <c r="J156" i="98"/>
  <c r="AR155" i="98"/>
  <c r="AR160" i="98" s="1"/>
  <c r="AQ155" i="98"/>
  <c r="AQ160" i="98" s="1"/>
  <c r="AP155" i="98"/>
  <c r="AO155" i="98"/>
  <c r="AN155" i="98"/>
  <c r="AN160" i="98" s="1"/>
  <c r="AM155" i="98"/>
  <c r="AM160" i="98" s="1"/>
  <c r="AK155" i="98"/>
  <c r="AJ155" i="98"/>
  <c r="AJ160" i="98" s="1"/>
  <c r="AI155" i="98"/>
  <c r="AI160" i="98" s="1"/>
  <c r="AH155" i="98"/>
  <c r="AG155" i="98"/>
  <c r="AF155" i="98"/>
  <c r="AE155" i="98"/>
  <c r="AD155" i="98"/>
  <c r="AC155" i="98"/>
  <c r="AB155" i="98"/>
  <c r="AA155" i="98"/>
  <c r="Z155" i="98"/>
  <c r="Y155" i="98"/>
  <c r="X155" i="98"/>
  <c r="W155" i="98"/>
  <c r="V155" i="98"/>
  <c r="U155" i="98"/>
  <c r="U160" i="98" s="1"/>
  <c r="T155" i="98"/>
  <c r="T160" i="98" s="1"/>
  <c r="S155" i="98"/>
  <c r="R155" i="98"/>
  <c r="Q155" i="98"/>
  <c r="P155" i="98"/>
  <c r="P160" i="98" s="1"/>
  <c r="O155" i="98"/>
  <c r="O160" i="98" s="1"/>
  <c r="N155" i="98"/>
  <c r="M155" i="98"/>
  <c r="M160" i="98" s="1"/>
  <c r="L155" i="98"/>
  <c r="L160" i="98" s="1"/>
  <c r="K155" i="98"/>
  <c r="K160" i="98" s="1"/>
  <c r="J155" i="98"/>
  <c r="DR153" i="98"/>
  <c r="DP153" i="98"/>
  <c r="DO153" i="98"/>
  <c r="DK153" i="98"/>
  <c r="DG153" i="98"/>
  <c r="DC153" i="98"/>
  <c r="CU153" i="98"/>
  <c r="CQ153" i="98"/>
  <c r="CM153" i="98"/>
  <c r="CI153" i="98"/>
  <c r="CH153" i="98"/>
  <c r="CG153" i="98"/>
  <c r="CF153" i="98"/>
  <c r="CD153" i="98"/>
  <c r="CC153" i="98"/>
  <c r="CB153" i="98"/>
  <c r="DT152" i="98"/>
  <c r="DT153" i="98" s="1"/>
  <c r="DQ152" i="98"/>
  <c r="DQ153" i="98" s="1"/>
  <c r="DO152" i="98"/>
  <c r="DN152" i="98"/>
  <c r="DM152" i="98"/>
  <c r="DL152" i="98"/>
  <c r="DK152" i="98"/>
  <c r="DJ152" i="98"/>
  <c r="DI152" i="98" s="1"/>
  <c r="AG152" i="98" s="1"/>
  <c r="DH152" i="98"/>
  <c r="DH153" i="98" s="1"/>
  <c r="DG152" i="98"/>
  <c r="DF152" i="98"/>
  <c r="AE152" i="98" s="1"/>
  <c r="DE152" i="98"/>
  <c r="DE153" i="98" s="1"/>
  <c r="DC152" i="98"/>
  <c r="DB152" i="98"/>
  <c r="AA152" i="98" s="1"/>
  <c r="DA152" i="98"/>
  <c r="DA153" i="98" s="1"/>
  <c r="CZ152" i="98"/>
  <c r="CY152" i="98" s="1"/>
  <c r="W152" i="98" s="1"/>
  <c r="CX152" i="98"/>
  <c r="CX153" i="98" s="1"/>
  <c r="CW152" i="98"/>
  <c r="CW153" i="98" s="1"/>
  <c r="CV152" i="98"/>
  <c r="CV153" i="98" s="1"/>
  <c r="CU152" i="98"/>
  <c r="CT152" i="98"/>
  <c r="CS152" i="98"/>
  <c r="CS153" i="98" s="1"/>
  <c r="CR152" i="98"/>
  <c r="CR153" i="98" s="1"/>
  <c r="CQ152" i="98"/>
  <c r="CP152" i="98"/>
  <c r="CO152" i="98" s="1"/>
  <c r="M152" i="98" s="1"/>
  <c r="CN152" i="98"/>
  <c r="CN153" i="98" s="1"/>
  <c r="CM152" i="98"/>
  <c r="CL152" i="98"/>
  <c r="K152" i="98" s="1"/>
  <c r="CK152" i="98"/>
  <c r="I152" i="98" s="1"/>
  <c r="CE152" i="98"/>
  <c r="CE151" i="98"/>
  <c r="CE150" i="98"/>
  <c r="CE153" i="98" s="1"/>
  <c r="BI152" i="98"/>
  <c r="BH152" i="98"/>
  <c r="BJ152" i="98" s="1"/>
  <c r="BD152" i="98"/>
  <c r="BC152" i="98"/>
  <c r="BE152" i="98" s="1"/>
  <c r="AY152" i="98"/>
  <c r="AX152" i="98"/>
  <c r="AZ152" i="98" s="1"/>
  <c r="AT152" i="98"/>
  <c r="AS152" i="98"/>
  <c r="AS181" i="98" s="1"/>
  <c r="AP152" i="98"/>
  <c r="AO152" i="98"/>
  <c r="AN152" i="98"/>
  <c r="AN153" i="98" s="1"/>
  <c r="AM152" i="98"/>
  <c r="AL152" i="98"/>
  <c r="AK152" i="98"/>
  <c r="AJ152" i="98"/>
  <c r="AI152" i="98"/>
  <c r="AH152" i="98"/>
  <c r="AF152" i="98"/>
  <c r="AF153" i="98" s="1"/>
  <c r="AD152" i="98"/>
  <c r="AC152" i="98"/>
  <c r="Z152" i="98"/>
  <c r="Y152" i="98"/>
  <c r="X152" i="98"/>
  <c r="X153" i="98" s="1"/>
  <c r="V152" i="98"/>
  <c r="U152" i="98"/>
  <c r="T152" i="98"/>
  <c r="T153" i="98" s="1"/>
  <c r="S152" i="98"/>
  <c r="R152" i="98"/>
  <c r="Q152" i="98"/>
  <c r="P152" i="98"/>
  <c r="P153" i="98" s="1"/>
  <c r="O152" i="98"/>
  <c r="N152" i="98"/>
  <c r="L152" i="98"/>
  <c r="L153" i="98" s="1"/>
  <c r="J152" i="98"/>
  <c r="DS151" i="98"/>
  <c r="DS150" i="98"/>
  <c r="DO151" i="98"/>
  <c r="DN151" i="98"/>
  <c r="AL151" i="98" s="1"/>
  <c r="DM151" i="98"/>
  <c r="DM153" i="98" s="1"/>
  <c r="DL151" i="98"/>
  <c r="AJ151" i="98" s="1"/>
  <c r="AJ153" i="98" s="1"/>
  <c r="DI151" i="98"/>
  <c r="DI150" i="98"/>
  <c r="DI153" i="98" s="1"/>
  <c r="DD151" i="98"/>
  <c r="AB151" i="98" s="1"/>
  <c r="DD150" i="98"/>
  <c r="AB150" i="98" s="1"/>
  <c r="CY151" i="98"/>
  <c r="CY150" i="98"/>
  <c r="CY153" i="98" s="1"/>
  <c r="CT151" i="98"/>
  <c r="CT150" i="98"/>
  <c r="CT153" i="98" s="1"/>
  <c r="CO151" i="98"/>
  <c r="CO150" i="98"/>
  <c r="CO153" i="98" s="1"/>
  <c r="CJ151" i="98"/>
  <c r="CJ150" i="98"/>
  <c r="AR151" i="98"/>
  <c r="AQ151" i="98"/>
  <c r="AP151" i="98"/>
  <c r="AO151" i="98"/>
  <c r="AN151" i="98"/>
  <c r="AM151" i="98"/>
  <c r="AI151" i="98"/>
  <c r="AH151" i="98"/>
  <c r="AG151" i="98"/>
  <c r="AF151" i="98"/>
  <c r="AE151" i="98"/>
  <c r="AD151" i="98"/>
  <c r="AC151" i="98"/>
  <c r="AA151" i="98"/>
  <c r="Z151" i="98"/>
  <c r="Y151" i="98"/>
  <c r="X151" i="98"/>
  <c r="W151" i="98"/>
  <c r="V151" i="98"/>
  <c r="U151" i="98"/>
  <c r="T151" i="98"/>
  <c r="S151" i="98"/>
  <c r="R151" i="98"/>
  <c r="Q151" i="98"/>
  <c r="P151" i="98"/>
  <c r="O151" i="98"/>
  <c r="N151" i="98"/>
  <c r="M151" i="98"/>
  <c r="L151" i="98"/>
  <c r="K151" i="98"/>
  <c r="J151" i="98"/>
  <c r="DN150" i="98"/>
  <c r="DN153" i="98" s="1"/>
  <c r="AR150" i="98"/>
  <c r="AQ150" i="98"/>
  <c r="AP150" i="98"/>
  <c r="AP153" i="98" s="1"/>
  <c r="AO150" i="98"/>
  <c r="AO153" i="98" s="1"/>
  <c r="AN150" i="98"/>
  <c r="AM150" i="98"/>
  <c r="AM153" i="98" s="1"/>
  <c r="AL150" i="98"/>
  <c r="AK150" i="98"/>
  <c r="AJ150" i="98"/>
  <c r="AI150" i="98"/>
  <c r="AI153" i="98" s="1"/>
  <c r="AH150" i="98"/>
  <c r="AH153" i="98" s="1"/>
  <c r="AF150" i="98"/>
  <c r="AE150" i="98"/>
  <c r="AE153" i="98" s="1"/>
  <c r="AD150" i="98"/>
  <c r="AD153" i="98" s="1"/>
  <c r="AC150" i="98"/>
  <c r="AC153" i="98" s="1"/>
  <c r="AA150" i="98"/>
  <c r="AA153" i="98" s="1"/>
  <c r="Z150" i="98"/>
  <c r="Z153" i="98" s="1"/>
  <c r="Y150" i="98"/>
  <c r="Y153" i="98" s="1"/>
  <c r="X150" i="98"/>
  <c r="W150" i="98"/>
  <c r="W153" i="98" s="1"/>
  <c r="V150" i="98"/>
  <c r="V153" i="98" s="1"/>
  <c r="U150" i="98"/>
  <c r="U153" i="98" s="1"/>
  <c r="T150" i="98"/>
  <c r="S150" i="98"/>
  <c r="S153" i="98" s="1"/>
  <c r="R150" i="98"/>
  <c r="R153" i="98" s="1"/>
  <c r="Q150" i="98"/>
  <c r="Q153" i="98" s="1"/>
  <c r="P150" i="98"/>
  <c r="O150" i="98"/>
  <c r="O153" i="98" s="1"/>
  <c r="N150" i="98"/>
  <c r="N153" i="98" s="1"/>
  <c r="M150" i="98"/>
  <c r="M153" i="98" s="1"/>
  <c r="L150" i="98"/>
  <c r="K150" i="98"/>
  <c r="K153" i="98" s="1"/>
  <c r="J150" i="98"/>
  <c r="J153" i="98" s="1"/>
  <c r="CI148" i="98"/>
  <c r="CH148" i="98"/>
  <c r="CH162" i="98" s="1"/>
  <c r="CG148" i="98"/>
  <c r="CG162" i="98" s="1"/>
  <c r="CG165" i="98" s="1"/>
  <c r="CF148" i="98"/>
  <c r="CF162" i="98" s="1"/>
  <c r="CF165" i="98" s="1"/>
  <c r="CG163" i="98" s="1"/>
  <c r="CD148" i="98"/>
  <c r="CD162" i="98" s="1"/>
  <c r="CD165" i="98" s="1"/>
  <c r="CC148" i="98"/>
  <c r="CC162" i="98" s="1"/>
  <c r="CC165" i="98" s="1"/>
  <c r="CB148" i="98"/>
  <c r="CB162" i="98" s="1"/>
  <c r="CB165" i="98" s="1"/>
  <c r="DT147" i="98"/>
  <c r="DS147" i="98" s="1"/>
  <c r="AQ147" i="98" s="1"/>
  <c r="DR147" i="98"/>
  <c r="DR148" i="98" s="1"/>
  <c r="DR162" i="98" s="1"/>
  <c r="DQ147" i="98"/>
  <c r="DQ148" i="98" s="1"/>
  <c r="DP147" i="98"/>
  <c r="DP148" i="98" s="1"/>
  <c r="DP162" i="98" s="1"/>
  <c r="DO147" i="98"/>
  <c r="DN147" i="98"/>
  <c r="DM147" i="98"/>
  <c r="DM148" i="98" s="1"/>
  <c r="DM162" i="98" s="1"/>
  <c r="DL147" i="98"/>
  <c r="DL148" i="98" s="1"/>
  <c r="DK147" i="98"/>
  <c r="DK148" i="98" s="1"/>
  <c r="DK162" i="98" s="1"/>
  <c r="DJ147" i="98"/>
  <c r="DJ148" i="98" s="1"/>
  <c r="DH147" i="98"/>
  <c r="DH148" i="98" s="1"/>
  <c r="DG147" i="98"/>
  <c r="DG148" i="98" s="1"/>
  <c r="DG162" i="98" s="1"/>
  <c r="DF147" i="98"/>
  <c r="AE147" i="98" s="1"/>
  <c r="DE147" i="98"/>
  <c r="DE148" i="98" s="1"/>
  <c r="DC147" i="98"/>
  <c r="DC148" i="98" s="1"/>
  <c r="DC162" i="98" s="1"/>
  <c r="DB147" i="98"/>
  <c r="AA147" i="98" s="1"/>
  <c r="DA147" i="98"/>
  <c r="DA148" i="98" s="1"/>
  <c r="CZ147" i="98"/>
  <c r="CY147" i="98" s="1"/>
  <c r="W147" i="98" s="1"/>
  <c r="CX147" i="98"/>
  <c r="CX148" i="98" s="1"/>
  <c r="CX162" i="98" s="1"/>
  <c r="CW147" i="98"/>
  <c r="CW148" i="98" s="1"/>
  <c r="CV147" i="98"/>
  <c r="CV148" i="98" s="1"/>
  <c r="CV162" i="98" s="1"/>
  <c r="CU147" i="98"/>
  <c r="CU148" i="98" s="1"/>
  <c r="CT147" i="98"/>
  <c r="CS147" i="98"/>
  <c r="CS148" i="98" s="1"/>
  <c r="CR147" i="98"/>
  <c r="CR148" i="98" s="1"/>
  <c r="CR162" i="98" s="1"/>
  <c r="CQ147" i="98"/>
  <c r="CQ148" i="98" s="1"/>
  <c r="CQ162" i="98" s="1"/>
  <c r="CP147" i="98"/>
  <c r="CP148" i="98" s="1"/>
  <c r="CN147" i="98"/>
  <c r="CN148" i="98" s="1"/>
  <c r="CN162" i="98" s="1"/>
  <c r="CM147" i="98"/>
  <c r="CM148" i="98" s="1"/>
  <c r="CM162" i="98" s="1"/>
  <c r="CL147" i="98"/>
  <c r="K147" i="98" s="1"/>
  <c r="CK147" i="98"/>
  <c r="I147" i="98" s="1"/>
  <c r="CE147" i="98"/>
  <c r="CE146" i="98"/>
  <c r="CE145" i="98"/>
  <c r="CE144" i="98"/>
  <c r="CE143" i="98"/>
  <c r="CE148" i="98" s="1"/>
  <c r="CE162" i="98" s="1"/>
  <c r="CE165" i="98" s="1"/>
  <c r="DT146" i="98"/>
  <c r="DS146" i="98" s="1"/>
  <c r="AQ146" i="98" s="1"/>
  <c r="DO146" i="98"/>
  <c r="DO148" i="98" s="1"/>
  <c r="DO162" i="98" s="1"/>
  <c r="DI146" i="98"/>
  <c r="DI145" i="98"/>
  <c r="DI144" i="98"/>
  <c r="DI143" i="98"/>
  <c r="DD146" i="98"/>
  <c r="DD145" i="98"/>
  <c r="AB145" i="98" s="1"/>
  <c r="AB248" i="98" s="1"/>
  <c r="DD144" i="98"/>
  <c r="DD143" i="98"/>
  <c r="CY146" i="98"/>
  <c r="W146" i="98" s="1"/>
  <c r="CY145" i="98"/>
  <c r="CY144" i="98"/>
  <c r="W144" i="98" s="1"/>
  <c r="CY143" i="98"/>
  <c r="CY148" i="98" s="1"/>
  <c r="CT146" i="98"/>
  <c r="R146" i="98" s="1"/>
  <c r="CT145" i="98"/>
  <c r="CT144" i="98"/>
  <c r="CT148" i="98" s="1"/>
  <c r="CT143" i="98"/>
  <c r="CO146" i="98"/>
  <c r="CO145" i="98"/>
  <c r="CO144" i="98"/>
  <c r="CO143" i="98"/>
  <c r="CK146" i="98"/>
  <c r="I146" i="98" s="1"/>
  <c r="AY147" i="98"/>
  <c r="AX147" i="98"/>
  <c r="AZ147" i="98" s="1"/>
  <c r="AY146" i="98"/>
  <c r="AX146" i="98"/>
  <c r="AZ146" i="98" s="1"/>
  <c r="AT147" i="98"/>
  <c r="AS147" i="98"/>
  <c r="AU147" i="98" s="1"/>
  <c r="AR147" i="98"/>
  <c r="AP147" i="98"/>
  <c r="AO147" i="98"/>
  <c r="AN147" i="98"/>
  <c r="AM147" i="98"/>
  <c r="AL147" i="98"/>
  <c r="AK147" i="98"/>
  <c r="AJ147" i="98"/>
  <c r="AI147" i="98"/>
  <c r="AH147" i="98"/>
  <c r="AF147" i="98"/>
  <c r="AD147" i="98"/>
  <c r="AC147" i="98"/>
  <c r="Z147" i="98"/>
  <c r="Y147" i="98"/>
  <c r="X147" i="98"/>
  <c r="V147" i="98"/>
  <c r="U147" i="98"/>
  <c r="T147" i="98"/>
  <c r="S147" i="98"/>
  <c r="R147" i="98"/>
  <c r="Q147" i="98"/>
  <c r="P147" i="98"/>
  <c r="O147" i="98"/>
  <c r="N147" i="98"/>
  <c r="L147" i="98"/>
  <c r="J147" i="98"/>
  <c r="AS146" i="98"/>
  <c r="AT146" i="98" s="1"/>
  <c r="AR146" i="98"/>
  <c r="AP146" i="98"/>
  <c r="AO146" i="98"/>
  <c r="AN146" i="98"/>
  <c r="AM146" i="98"/>
  <c r="AK146" i="98"/>
  <c r="AJ146" i="98"/>
  <c r="AI146" i="98"/>
  <c r="AH146" i="98"/>
  <c r="AG146" i="98"/>
  <c r="AF146" i="98"/>
  <c r="AE146" i="98"/>
  <c r="AD146" i="98"/>
  <c r="AC146" i="98"/>
  <c r="AB146" i="98"/>
  <c r="AA146" i="98"/>
  <c r="Z146" i="98"/>
  <c r="Y146" i="98"/>
  <c r="X146" i="98"/>
  <c r="V146" i="98"/>
  <c r="U146" i="98"/>
  <c r="T146" i="98"/>
  <c r="S146" i="98"/>
  <c r="Q146" i="98"/>
  <c r="P146" i="98"/>
  <c r="O146" i="98"/>
  <c r="N146" i="98"/>
  <c r="M146" i="98"/>
  <c r="L146" i="98"/>
  <c r="K146" i="98"/>
  <c r="J146" i="98"/>
  <c r="DS145" i="98"/>
  <c r="DS144" i="98"/>
  <c r="AQ144" i="98" s="1"/>
  <c r="DS143" i="98"/>
  <c r="DN145" i="98"/>
  <c r="DN144" i="98"/>
  <c r="DN143" i="98"/>
  <c r="AL143" i="98" s="1"/>
  <c r="CJ145" i="98"/>
  <c r="CJ144" i="98"/>
  <c r="CJ143" i="98"/>
  <c r="BH147" i="98"/>
  <c r="BI147" i="98" s="1"/>
  <c r="BH146" i="98"/>
  <c r="BI146" i="98" s="1"/>
  <c r="BC147" i="98"/>
  <c r="BD147" i="98" s="1"/>
  <c r="BC146" i="98"/>
  <c r="BD146" i="98" s="1"/>
  <c r="AR145" i="98"/>
  <c r="AR248" i="98" s="1"/>
  <c r="AQ145" i="98"/>
  <c r="AQ248" i="98" s="1"/>
  <c r="AP145" i="98"/>
  <c r="AP248" i="98" s="1"/>
  <c r="AO145" i="98"/>
  <c r="AO248" i="98" s="1"/>
  <c r="AN145" i="98"/>
  <c r="AN248" i="98" s="1"/>
  <c r="AM145" i="98"/>
  <c r="AM248" i="98" s="1"/>
  <c r="AL145" i="98"/>
  <c r="AL248" i="98" s="1"/>
  <c r="AK145" i="98"/>
  <c r="AK248" i="98" s="1"/>
  <c r="AJ145" i="98"/>
  <c r="AJ248" i="98" s="1"/>
  <c r="AI145" i="98"/>
  <c r="AI248" i="98" s="1"/>
  <c r="AH145" i="98"/>
  <c r="AH248" i="98" s="1"/>
  <c r="AG145" i="98"/>
  <c r="AG248" i="98" s="1"/>
  <c r="AF145" i="98"/>
  <c r="AF248" i="98" s="1"/>
  <c r="AE145" i="98"/>
  <c r="AE248" i="98" s="1"/>
  <c r="AD145" i="98"/>
  <c r="AD248" i="98" s="1"/>
  <c r="AC145" i="98"/>
  <c r="AC248" i="98" s="1"/>
  <c r="AA145" i="98"/>
  <c r="AA248" i="98" s="1"/>
  <c r="Z145" i="98"/>
  <c r="Z248" i="98" s="1"/>
  <c r="Y145" i="98"/>
  <c r="Y248" i="98" s="1"/>
  <c r="X145" i="98"/>
  <c r="W145" i="98"/>
  <c r="V145" i="98"/>
  <c r="U145" i="98"/>
  <c r="T145" i="98"/>
  <c r="S145" i="98"/>
  <c r="R145" i="98"/>
  <c r="Q145" i="98"/>
  <c r="P145" i="98"/>
  <c r="O145" i="98"/>
  <c r="N145" i="98"/>
  <c r="M145" i="98"/>
  <c r="L145" i="98"/>
  <c r="K145" i="98"/>
  <c r="J145" i="98"/>
  <c r="AR144" i="98"/>
  <c r="AP144" i="98"/>
  <c r="AP148" i="98" s="1"/>
  <c r="AO144" i="98"/>
  <c r="AN144" i="98"/>
  <c r="AM144" i="98"/>
  <c r="AL144" i="98"/>
  <c r="AK144" i="98"/>
  <c r="AJ144" i="98"/>
  <c r="AI144" i="98"/>
  <c r="AH144" i="98"/>
  <c r="AH148" i="98" s="1"/>
  <c r="AG144" i="98"/>
  <c r="AF144" i="98"/>
  <c r="AE144" i="98"/>
  <c r="AD144" i="98"/>
  <c r="AD148" i="98" s="1"/>
  <c r="AC144" i="98"/>
  <c r="AB144" i="98"/>
  <c r="AA144" i="98"/>
  <c r="Z144" i="98"/>
  <c r="Z148" i="98" s="1"/>
  <c r="Y144" i="98"/>
  <c r="X144" i="98"/>
  <c r="V144" i="98"/>
  <c r="U144" i="98"/>
  <c r="T144" i="98"/>
  <c r="S144" i="98"/>
  <c r="R144" i="98"/>
  <c r="Q144" i="98"/>
  <c r="P144" i="98"/>
  <c r="O144" i="98"/>
  <c r="N144" i="98"/>
  <c r="M144" i="98"/>
  <c r="L144" i="98"/>
  <c r="K144" i="98"/>
  <c r="J144" i="98"/>
  <c r="AR143" i="98"/>
  <c r="AR148" i="98" s="1"/>
  <c r="AQ143" i="98"/>
  <c r="AP143" i="98"/>
  <c r="AO143" i="98"/>
  <c r="AO148" i="98" s="1"/>
  <c r="AN143" i="98"/>
  <c r="AN148" i="98" s="1"/>
  <c r="AN162" i="98" s="1"/>
  <c r="AM143" i="98"/>
  <c r="AK143" i="98"/>
  <c r="AK148" i="98" s="1"/>
  <c r="AJ143" i="98"/>
  <c r="AJ148" i="98" s="1"/>
  <c r="AJ162" i="98" s="1"/>
  <c r="AI143" i="98"/>
  <c r="AH143" i="98"/>
  <c r="AG143" i="98"/>
  <c r="AF143" i="98"/>
  <c r="AF148" i="98" s="1"/>
  <c r="AE143" i="98"/>
  <c r="AD143" i="98"/>
  <c r="AC143" i="98"/>
  <c r="AC148" i="98" s="1"/>
  <c r="AB143" i="98"/>
  <c r="AA143" i="98"/>
  <c r="AA148" i="98" s="1"/>
  <c r="Z143" i="98"/>
  <c r="Y143" i="98"/>
  <c r="Y148" i="98" s="1"/>
  <c r="X143" i="98"/>
  <c r="X148" i="98" s="1"/>
  <c r="W143" i="98"/>
  <c r="W148" i="98" s="1"/>
  <c r="V143" i="98"/>
  <c r="U143" i="98"/>
  <c r="U148" i="98" s="1"/>
  <c r="U162" i="98" s="1"/>
  <c r="T143" i="98"/>
  <c r="T148" i="98" s="1"/>
  <c r="T162" i="98" s="1"/>
  <c r="S143" i="98"/>
  <c r="S148" i="98" s="1"/>
  <c r="R143" i="98"/>
  <c r="Q143" i="98"/>
  <c r="Q148" i="98" s="1"/>
  <c r="P143" i="98"/>
  <c r="P148" i="98" s="1"/>
  <c r="P162" i="98" s="1"/>
  <c r="O143" i="98"/>
  <c r="O148" i="98" s="1"/>
  <c r="O162" i="98" s="1"/>
  <c r="N143" i="98"/>
  <c r="M143" i="98"/>
  <c r="L143" i="98"/>
  <c r="L148" i="98" s="1"/>
  <c r="L162" i="98" s="1"/>
  <c r="K143" i="98"/>
  <c r="K148" i="98" s="1"/>
  <c r="K162" i="98" s="1"/>
  <c r="J143" i="98"/>
  <c r="BL136" i="98"/>
  <c r="BK136" i="98"/>
  <c r="BJ136" i="98"/>
  <c r="BI136" i="98"/>
  <c r="BH136" i="98"/>
  <c r="BG136" i="98"/>
  <c r="BF136" i="98"/>
  <c r="BE136" i="98"/>
  <c r="BD136" i="98"/>
  <c r="BC136" i="98"/>
  <c r="BB136" i="98"/>
  <c r="BA136" i="98"/>
  <c r="AZ136" i="98"/>
  <c r="AY136" i="98"/>
  <c r="AX136" i="98"/>
  <c r="AW136" i="98"/>
  <c r="AV136" i="98"/>
  <c r="AU136" i="98"/>
  <c r="AT136" i="98"/>
  <c r="AS136" i="98"/>
  <c r="AP128" i="98"/>
  <c r="AO128" i="98"/>
  <c r="AN128" i="98"/>
  <c r="AM128" i="98"/>
  <c r="AL128" i="98"/>
  <c r="AK128" i="98"/>
  <c r="AJ128" i="98"/>
  <c r="AI128" i="98"/>
  <c r="AH128" i="98"/>
  <c r="AG128" i="98"/>
  <c r="AF128" i="98"/>
  <c r="AE128" i="98"/>
  <c r="AD128" i="98"/>
  <c r="AC128" i="98"/>
  <c r="AB128" i="98"/>
  <c r="AA128" i="98"/>
  <c r="Z128" i="98"/>
  <c r="Y128" i="98"/>
  <c r="X128" i="98"/>
  <c r="W128" i="98"/>
  <c r="V128" i="98"/>
  <c r="U128" i="98"/>
  <c r="T128" i="98"/>
  <c r="S128" i="98"/>
  <c r="R128" i="98"/>
  <c r="Q128" i="98"/>
  <c r="P128" i="98"/>
  <c r="O128" i="98"/>
  <c r="N128" i="98"/>
  <c r="M128" i="98"/>
  <c r="L128" i="98"/>
  <c r="K128" i="98"/>
  <c r="J128" i="98"/>
  <c r="I128" i="98"/>
  <c r="AP127" i="98"/>
  <c r="AO127" i="98"/>
  <c r="AN127" i="98"/>
  <c r="AM127" i="98"/>
  <c r="AK127" i="98"/>
  <c r="AJ127" i="98"/>
  <c r="AI127" i="98"/>
  <c r="AH127" i="98"/>
  <c r="AG127" i="98"/>
  <c r="AF127" i="98"/>
  <c r="AE127" i="98"/>
  <c r="AD127" i="98"/>
  <c r="AC127" i="98"/>
  <c r="AB127" i="98"/>
  <c r="AA127" i="98"/>
  <c r="Z127" i="98"/>
  <c r="Y127" i="98"/>
  <c r="X127" i="98"/>
  <c r="W127" i="98"/>
  <c r="V127" i="98"/>
  <c r="U127" i="98"/>
  <c r="T127" i="98"/>
  <c r="S127" i="98"/>
  <c r="R127" i="98"/>
  <c r="Q127" i="98"/>
  <c r="P127" i="98"/>
  <c r="O127" i="98"/>
  <c r="N127" i="98"/>
  <c r="M127" i="98"/>
  <c r="L127" i="98"/>
  <c r="K127" i="98"/>
  <c r="J127" i="98"/>
  <c r="I127" i="98"/>
  <c r="AR121" i="98"/>
  <c r="AR122" i="98" s="1"/>
  <c r="AW122" i="98" s="1"/>
  <c r="AM122" i="98"/>
  <c r="AM121" i="98"/>
  <c r="AH121" i="98"/>
  <c r="AH122" i="98" s="1"/>
  <c r="AC122" i="98"/>
  <c r="AC121" i="98"/>
  <c r="X121" i="98"/>
  <c r="X122" i="98" s="1"/>
  <c r="S122" i="98"/>
  <c r="S121" i="98"/>
  <c r="N121" i="98"/>
  <c r="N122" i="98" s="1"/>
  <c r="I122" i="98"/>
  <c r="I121" i="98"/>
  <c r="AR246" i="98"/>
  <c r="AQ246" i="98"/>
  <c r="AP246" i="98"/>
  <c r="AO246" i="98"/>
  <c r="AN246" i="98"/>
  <c r="AM117" i="98"/>
  <c r="AL117" i="98"/>
  <c r="AL246" i="98" s="1"/>
  <c r="AK117" i="98"/>
  <c r="AK246" i="98" s="1"/>
  <c r="AJ117" i="98"/>
  <c r="AJ246" i="98" s="1"/>
  <c r="AI117" i="98"/>
  <c r="AI246" i="98" s="1"/>
  <c r="AH117" i="98"/>
  <c r="AH246" i="98" s="1"/>
  <c r="AF117" i="98"/>
  <c r="AF246" i="98" s="1"/>
  <c r="AE117" i="98"/>
  <c r="AE246" i="98" s="1"/>
  <c r="AD117" i="98"/>
  <c r="AD246" i="98" s="1"/>
  <c r="AC117" i="98"/>
  <c r="AC246" i="98" s="1"/>
  <c r="AB117" i="98"/>
  <c r="AB246" i="98" s="1"/>
  <c r="AA117" i="98"/>
  <c r="AA246" i="98" s="1"/>
  <c r="Z117" i="98"/>
  <c r="Z246" i="98" s="1"/>
  <c r="Y117" i="98"/>
  <c r="Y246" i="98" s="1"/>
  <c r="X117" i="98"/>
  <c r="X246" i="98" s="1"/>
  <c r="W117" i="98"/>
  <c r="V117" i="98"/>
  <c r="U117" i="98"/>
  <c r="T117" i="98"/>
  <c r="S117" i="98"/>
  <c r="R117" i="98"/>
  <c r="Q117" i="98"/>
  <c r="P117" i="98"/>
  <c r="O117" i="98"/>
  <c r="N117" i="98"/>
  <c r="N246" i="98" s="1"/>
  <c r="M117" i="98"/>
  <c r="L117" i="98"/>
  <c r="K117" i="98"/>
  <c r="J117" i="98"/>
  <c r="I117" i="98"/>
  <c r="I246" i="98" s="1"/>
  <c r="BF116" i="98"/>
  <c r="BE116" i="98"/>
  <c r="BD116" i="98"/>
  <c r="BC116" i="98"/>
  <c r="BF115" i="98"/>
  <c r="BE115" i="98"/>
  <c r="BD115" i="98"/>
  <c r="BC115" i="98"/>
  <c r="BF114" i="98"/>
  <c r="BE114" i="98"/>
  <c r="BD114" i="98"/>
  <c r="BC114" i="98"/>
  <c r="BA116" i="98"/>
  <c r="AZ116" i="98"/>
  <c r="AY116" i="98"/>
  <c r="AX116" i="98"/>
  <c r="BA115" i="98"/>
  <c r="AZ115" i="98"/>
  <c r="AY115" i="98"/>
  <c r="AX115" i="98"/>
  <c r="BA114" i="98"/>
  <c r="AZ114" i="98"/>
  <c r="AY114" i="98"/>
  <c r="AX114" i="98"/>
  <c r="AV116" i="98"/>
  <c r="AU116" i="98"/>
  <c r="AT116" i="98"/>
  <c r="AS116" i="98"/>
  <c r="AV115" i="98"/>
  <c r="AU115" i="98"/>
  <c r="AT115" i="98"/>
  <c r="AS115" i="98"/>
  <c r="AV114" i="98"/>
  <c r="AU114" i="98"/>
  <c r="AT114" i="98"/>
  <c r="AS114" i="98"/>
  <c r="BL116" i="98"/>
  <c r="BL114" i="98"/>
  <c r="AO109" i="98"/>
  <c r="AN109" i="98"/>
  <c r="AJ109" i="98"/>
  <c r="AC109" i="98"/>
  <c r="Y109" i="98"/>
  <c r="X109" i="98"/>
  <c r="T109" i="98"/>
  <c r="AP107" i="98"/>
  <c r="AP109" i="98" s="1"/>
  <c r="AO107" i="98"/>
  <c r="AN107" i="98"/>
  <c r="AM107" i="98"/>
  <c r="AM109" i="98" s="1"/>
  <c r="AK107" i="98"/>
  <c r="AK109" i="98" s="1"/>
  <c r="AJ107" i="98"/>
  <c r="AI107" i="98"/>
  <c r="AI109" i="98" s="1"/>
  <c r="AH107" i="98"/>
  <c r="AH109" i="98" s="1"/>
  <c r="AF107" i="98"/>
  <c r="AF109" i="98" s="1"/>
  <c r="AE107" i="98"/>
  <c r="AE109" i="98" s="1"/>
  <c r="AD107" i="98"/>
  <c r="AD109" i="98" s="1"/>
  <c r="AC107" i="98"/>
  <c r="AA107" i="98"/>
  <c r="AA109" i="98" s="1"/>
  <c r="Z107" i="98"/>
  <c r="Z109" i="98" s="1"/>
  <c r="Y107" i="98"/>
  <c r="X107" i="98"/>
  <c r="V107" i="98"/>
  <c r="V109" i="98" s="1"/>
  <c r="U107" i="98"/>
  <c r="U109" i="98" s="1"/>
  <c r="T107" i="98"/>
  <c r="S107" i="98"/>
  <c r="S109" i="98" s="1"/>
  <c r="Q107" i="98"/>
  <c r="Q109" i="98" s="1"/>
  <c r="P107" i="98"/>
  <c r="P109" i="98" s="1"/>
  <c r="O107" i="98"/>
  <c r="O109" i="98" s="1"/>
  <c r="N107" i="98"/>
  <c r="N109" i="98" s="1"/>
  <c r="N111" i="98" s="1"/>
  <c r="L107" i="98"/>
  <c r="L109" i="98" s="1"/>
  <c r="L111" i="98" s="1"/>
  <c r="K107" i="98"/>
  <c r="K109" i="98" s="1"/>
  <c r="J107" i="98"/>
  <c r="J109" i="98" s="1"/>
  <c r="J111" i="98" s="1"/>
  <c r="I107" i="98"/>
  <c r="I109" i="98" s="1"/>
  <c r="AS104" i="98"/>
  <c r="AN104" i="98"/>
  <c r="AL104" i="98"/>
  <c r="AH104" i="98"/>
  <c r="AG104" i="98"/>
  <c r="AC104" i="98"/>
  <c r="AB104" i="98"/>
  <c r="Z104" i="98"/>
  <c r="X104" i="98"/>
  <c r="N104" i="98"/>
  <c r="AQ103" i="98"/>
  <c r="AO103" i="98"/>
  <c r="AO104" i="98" s="1"/>
  <c r="AL103" i="98"/>
  <c r="AI103" i="98"/>
  <c r="AG103" i="98"/>
  <c r="AF103" i="98"/>
  <c r="AF99" i="98" s="1"/>
  <c r="AE103" i="98"/>
  <c r="AE104" i="98" s="1"/>
  <c r="AD103" i="98"/>
  <c r="AD104" i="98" s="1"/>
  <c r="AB103" i="98"/>
  <c r="AA103" i="98"/>
  <c r="Z103" i="98"/>
  <c r="Y103" i="98"/>
  <c r="Y104" i="98" s="1"/>
  <c r="W103" i="98"/>
  <c r="V103" i="98"/>
  <c r="R103" i="98"/>
  <c r="Q103" i="98"/>
  <c r="AF101" i="98"/>
  <c r="L101" i="98"/>
  <c r="I101" i="98"/>
  <c r="AQ100" i="98"/>
  <c r="AL100" i="98"/>
  <c r="AG100" i="98"/>
  <c r="AG99" i="98"/>
  <c r="AG101" i="98" s="1"/>
  <c r="AG98" i="98"/>
  <c r="AG97" i="98"/>
  <c r="AG96" i="98"/>
  <c r="AB100" i="98"/>
  <c r="AB98" i="98"/>
  <c r="AB97" i="98"/>
  <c r="AB96" i="98"/>
  <c r="W100" i="98"/>
  <c r="W99" i="98"/>
  <c r="W101" i="98" s="1"/>
  <c r="W98" i="98"/>
  <c r="W97" i="98"/>
  <c r="W96" i="98"/>
  <c r="R100" i="98"/>
  <c r="R98" i="98"/>
  <c r="R97" i="98"/>
  <c r="R96" i="98"/>
  <c r="R99" i="98" s="1"/>
  <c r="R101" i="98" s="1"/>
  <c r="M100" i="98"/>
  <c r="M98" i="98"/>
  <c r="M97" i="98"/>
  <c r="M96" i="98"/>
  <c r="M99" i="98" s="1"/>
  <c r="M101" i="98" s="1"/>
  <c r="AR99" i="98"/>
  <c r="AR101" i="98" s="1"/>
  <c r="AO99" i="98"/>
  <c r="AO101" i="98" s="1"/>
  <c r="AN99" i="98"/>
  <c r="AN101" i="98" s="1"/>
  <c r="AM99" i="98"/>
  <c r="AM101" i="98" s="1"/>
  <c r="AI99" i="98"/>
  <c r="AI101" i="98" s="1"/>
  <c r="AH99" i="98"/>
  <c r="AH101" i="98" s="1"/>
  <c r="AE99" i="98"/>
  <c r="AE101" i="98" s="1"/>
  <c r="AD99" i="98"/>
  <c r="AD101" i="98" s="1"/>
  <c r="AC99" i="98"/>
  <c r="AC101" i="98" s="1"/>
  <c r="Z99" i="98"/>
  <c r="Z101" i="98" s="1"/>
  <c r="Y99" i="98"/>
  <c r="Y101" i="98" s="1"/>
  <c r="X99" i="98"/>
  <c r="X101" i="98" s="1"/>
  <c r="S99" i="98"/>
  <c r="S101" i="98" s="1"/>
  <c r="N99" i="98"/>
  <c r="N101" i="98" s="1"/>
  <c r="L99" i="98"/>
  <c r="K99" i="98"/>
  <c r="K101" i="98" s="1"/>
  <c r="J99" i="98"/>
  <c r="J101" i="98" s="1"/>
  <c r="K111" i="98" s="1"/>
  <c r="I99" i="98"/>
  <c r="BF91" i="98"/>
  <c r="BA91" i="98"/>
  <c r="AP91" i="98"/>
  <c r="AO91" i="98"/>
  <c r="AI91" i="98"/>
  <c r="AE91" i="98"/>
  <c r="AD91" i="98"/>
  <c r="Z91" i="98"/>
  <c r="Y91" i="98"/>
  <c r="U91" i="98"/>
  <c r="AP90" i="98"/>
  <c r="AO90" i="98"/>
  <c r="AN90" i="98"/>
  <c r="AN91" i="98" s="1"/>
  <c r="AN52" i="98" s="1"/>
  <c r="AM90" i="98"/>
  <c r="AK90" i="98"/>
  <c r="AJ90" i="98"/>
  <c r="AJ91" i="98" s="1"/>
  <c r="AJ52" i="98" s="1"/>
  <c r="AI90" i="98"/>
  <c r="AH90" i="98"/>
  <c r="AM91" i="98" s="1"/>
  <c r="AF90" i="98"/>
  <c r="AF91" i="98" s="1"/>
  <c r="AF52" i="98" s="1"/>
  <c r="AE90" i="98"/>
  <c r="AD90" i="98"/>
  <c r="AC90" i="98"/>
  <c r="AA90" i="98"/>
  <c r="Z90" i="98"/>
  <c r="Y90" i="98"/>
  <c r="X90" i="98"/>
  <c r="X91" i="98" s="1"/>
  <c r="X52" i="98" s="1"/>
  <c r="V90" i="98"/>
  <c r="AA91" i="98" s="1"/>
  <c r="U90" i="98"/>
  <c r="T90" i="98"/>
  <c r="T91" i="98" s="1"/>
  <c r="S90" i="98"/>
  <c r="Q90" i="98"/>
  <c r="Q91" i="98" s="1"/>
  <c r="P90" i="98"/>
  <c r="P91" i="98" s="1"/>
  <c r="O90" i="98"/>
  <c r="N90" i="98"/>
  <c r="S91" i="98" s="1"/>
  <c r="L90" i="98"/>
  <c r="K90" i="98"/>
  <c r="J90" i="98"/>
  <c r="O91" i="98" s="1"/>
  <c r="I90" i="98"/>
  <c r="AF87" i="98"/>
  <c r="V87" i="98"/>
  <c r="V88" i="98" s="1"/>
  <c r="U87" i="98"/>
  <c r="U88" i="98" s="1"/>
  <c r="Q87" i="98"/>
  <c r="Q88" i="98" s="1"/>
  <c r="L87" i="98"/>
  <c r="BL86" i="98"/>
  <c r="BG86" i="98"/>
  <c r="BB86" i="98"/>
  <c r="AW86" i="98"/>
  <c r="AM86" i="98"/>
  <c r="AH86" i="98"/>
  <c r="AH85" i="98"/>
  <c r="AC86" i="98"/>
  <c r="AC85" i="98"/>
  <c r="X86" i="98"/>
  <c r="X85" i="98"/>
  <c r="S86" i="98"/>
  <c r="S85" i="98"/>
  <c r="N86" i="98"/>
  <c r="N85" i="98"/>
  <c r="I86" i="98"/>
  <c r="I85" i="98"/>
  <c r="I87" i="98" s="1"/>
  <c r="AF85" i="98"/>
  <c r="AE85" i="98"/>
  <c r="AE87" i="98" s="1"/>
  <c r="AE88" i="98" s="1"/>
  <c r="AE51" i="98" s="1"/>
  <c r="AD85" i="98"/>
  <c r="AD87" i="98" s="1"/>
  <c r="AA85" i="98"/>
  <c r="AA87" i="98" s="1"/>
  <c r="AA88" i="98" s="1"/>
  <c r="AA51" i="98" s="1"/>
  <c r="Z85" i="98"/>
  <c r="Z87" i="98" s="1"/>
  <c r="Z88" i="98" s="1"/>
  <c r="Y85" i="98"/>
  <c r="Y87" i="98" s="1"/>
  <c r="V85" i="98"/>
  <c r="U85" i="98"/>
  <c r="T85" i="98"/>
  <c r="T87" i="98" s="1"/>
  <c r="Q85" i="98"/>
  <c r="P85" i="98"/>
  <c r="P87" i="98" s="1"/>
  <c r="O85" i="98"/>
  <c r="O87" i="98" s="1"/>
  <c r="L85" i="98"/>
  <c r="K85" i="98"/>
  <c r="K87" i="98" s="1"/>
  <c r="J85" i="98"/>
  <c r="J87" i="98" s="1"/>
  <c r="AF71" i="98"/>
  <c r="AE71" i="98"/>
  <c r="AD71" i="98"/>
  <c r="AA71" i="98"/>
  <c r="Z71" i="98"/>
  <c r="Y71" i="98"/>
  <c r="Y72" i="98" s="1"/>
  <c r="V71" i="98"/>
  <c r="U71" i="98"/>
  <c r="T71" i="98"/>
  <c r="T72" i="98" s="1"/>
  <c r="Q71" i="98"/>
  <c r="Q72" i="98" s="1"/>
  <c r="P71" i="98"/>
  <c r="O71" i="98"/>
  <c r="O72" i="98" s="1"/>
  <c r="L71" i="98"/>
  <c r="K71" i="98"/>
  <c r="J71" i="98"/>
  <c r="J72" i="98" s="1"/>
  <c r="I71" i="98"/>
  <c r="I72" i="98" s="1"/>
  <c r="AM68" i="98"/>
  <c r="AN66" i="98"/>
  <c r="AN68" i="98" s="1"/>
  <c r="AN44" i="98" s="1"/>
  <c r="AM66" i="98"/>
  <c r="AI66" i="98"/>
  <c r="AI68" i="98" s="1"/>
  <c r="AI44" i="98" s="1"/>
  <c r="AH66" i="98"/>
  <c r="AH68" i="98" s="1"/>
  <c r="AD66" i="98"/>
  <c r="AD68" i="98" s="1"/>
  <c r="AC66" i="98"/>
  <c r="Z66" i="98"/>
  <c r="Y66" i="98"/>
  <c r="X66" i="98"/>
  <c r="AC68" i="98" s="1"/>
  <c r="AC44" i="98" s="1"/>
  <c r="T66" i="98"/>
  <c r="Y68" i="98" s="1"/>
  <c r="Y44" i="98" s="1"/>
  <c r="S66" i="98"/>
  <c r="S68" i="98" s="1"/>
  <c r="S44" i="98" s="1"/>
  <c r="O66" i="98"/>
  <c r="O68" i="98" s="1"/>
  <c r="O44" i="98" s="1"/>
  <c r="N66" i="98"/>
  <c r="N68" i="98" s="1"/>
  <c r="J66" i="98"/>
  <c r="I66" i="98"/>
  <c r="H66" i="98"/>
  <c r="G66" i="98"/>
  <c r="F66" i="98"/>
  <c r="E66" i="98"/>
  <c r="AP65" i="98"/>
  <c r="AQ65" i="98" s="1"/>
  <c r="AO65" i="98"/>
  <c r="AO66" i="98" s="1"/>
  <c r="AO68" i="98" s="1"/>
  <c r="AO44" i="98" s="1"/>
  <c r="AJ65" i="98"/>
  <c r="AJ66" i="98" s="1"/>
  <c r="AG65" i="98"/>
  <c r="AG66" i="98" s="1"/>
  <c r="AG68" i="98" s="1"/>
  <c r="AG44" i="98" s="1"/>
  <c r="AE65" i="98"/>
  <c r="AF65" i="98" s="1"/>
  <c r="AF66" i="98" s="1"/>
  <c r="AA65" i="98"/>
  <c r="AB65" i="98" s="1"/>
  <c r="AB66" i="98" s="1"/>
  <c r="Z65" i="98"/>
  <c r="U65" i="98"/>
  <c r="U66" i="98" s="1"/>
  <c r="U72" i="98" s="1"/>
  <c r="Q65" i="98"/>
  <c r="Q66" i="98" s="1"/>
  <c r="Q68" i="98" s="1"/>
  <c r="Q44" i="98" s="1"/>
  <c r="P65" i="98"/>
  <c r="K65" i="98"/>
  <c r="L65" i="98" s="1"/>
  <c r="L66" i="98" s="1"/>
  <c r="AP62" i="98"/>
  <c r="AO62" i="98"/>
  <c r="AN62" i="98"/>
  <c r="AK62" i="98"/>
  <c r="AJ62" i="98"/>
  <c r="AI62" i="98"/>
  <c r="AF62" i="98"/>
  <c r="AF74" i="98" s="1"/>
  <c r="AE62" i="98"/>
  <c r="AD62" i="98"/>
  <c r="AD74" i="98" s="1"/>
  <c r="AD77" i="98" s="1"/>
  <c r="AA62" i="98"/>
  <c r="Z62" i="98"/>
  <c r="Z74" i="98" s="1"/>
  <c r="Z77" i="98" s="1"/>
  <c r="Y62" i="98"/>
  <c r="Y74" i="98" s="1"/>
  <c r="V62" i="98"/>
  <c r="V74" i="98" s="1"/>
  <c r="U62" i="98"/>
  <c r="U74" i="98" s="1"/>
  <c r="T62" i="98"/>
  <c r="T74" i="98" s="1"/>
  <c r="Q62" i="98"/>
  <c r="Q74" i="98" s="1"/>
  <c r="P62" i="98"/>
  <c r="P74" i="98" s="1"/>
  <c r="O62" i="98"/>
  <c r="O74" i="98" s="1"/>
  <c r="L62" i="98"/>
  <c r="L74" i="98" s="1"/>
  <c r="L77" i="98" s="1"/>
  <c r="K62" i="98"/>
  <c r="K74" i="98" s="1"/>
  <c r="J62" i="98"/>
  <c r="J74" i="98" s="1"/>
  <c r="J77" i="98" s="1"/>
  <c r="J81" i="98" s="1"/>
  <c r="I62" i="98"/>
  <c r="I74" i="98" s="1"/>
  <c r="I77" i="98" s="1"/>
  <c r="I81" i="98" s="1"/>
  <c r="BL57" i="98"/>
  <c r="BG57" i="98"/>
  <c r="BB57" i="98"/>
  <c r="AW57" i="98"/>
  <c r="AM57" i="98"/>
  <c r="N57" i="98"/>
  <c r="I57" i="98"/>
  <c r="BK54" i="98"/>
  <c r="BJ54" i="98" s="1"/>
  <c r="BF54" i="98"/>
  <c r="BE54" i="98"/>
  <c r="BD54" i="98" s="1"/>
  <c r="BC54" i="98" s="1"/>
  <c r="BA54" i="98"/>
  <c r="AZ54" i="98" s="1"/>
  <c r="AY54" i="98" s="1"/>
  <c r="AX54" i="98" s="1"/>
  <c r="AV54" i="98"/>
  <c r="AU54" i="98" s="1"/>
  <c r="AT54" i="98" s="1"/>
  <c r="AS54" i="98" s="1"/>
  <c r="BL52" i="98"/>
  <c r="BK52" i="98" s="1"/>
  <c r="BK91" i="98" s="1"/>
  <c r="BK51" i="98"/>
  <c r="BK88" i="98" s="1"/>
  <c r="BF52" i="98"/>
  <c r="BE52" i="98"/>
  <c r="BE91" i="98" s="1"/>
  <c r="BF51" i="98"/>
  <c r="BF88" i="98" s="1"/>
  <c r="BA52" i="98"/>
  <c r="AZ52" i="98"/>
  <c r="AZ91" i="98" s="1"/>
  <c r="BA51" i="98"/>
  <c r="BA88" i="98" s="1"/>
  <c r="AV52" i="98"/>
  <c r="AV91" i="98" s="1"/>
  <c r="AU52" i="98"/>
  <c r="AU91" i="98" s="1"/>
  <c r="AP52" i="98"/>
  <c r="AO52" i="98"/>
  <c r="AM52" i="98"/>
  <c r="AI52" i="98"/>
  <c r="AE52" i="98"/>
  <c r="AD52" i="98"/>
  <c r="AA52" i="98"/>
  <c r="Z52" i="98"/>
  <c r="Y52" i="98"/>
  <c r="U52" i="98"/>
  <c r="T52" i="98"/>
  <c r="S52" i="98"/>
  <c r="Q52" i="98"/>
  <c r="P52" i="98"/>
  <c r="O52" i="98"/>
  <c r="AV51" i="98"/>
  <c r="Z51" i="98"/>
  <c r="V51" i="98"/>
  <c r="U51" i="98"/>
  <c r="Q51" i="98"/>
  <c r="AW49" i="98"/>
  <c r="AT49" i="98" s="1"/>
  <c r="BG48" i="98"/>
  <c r="BD48" i="98" s="1"/>
  <c r="BE48" i="98"/>
  <c r="BC48" i="98"/>
  <c r="BB48" i="98"/>
  <c r="AZ48" i="98" s="1"/>
  <c r="BA48" i="98"/>
  <c r="AY48" i="98"/>
  <c r="AX48" i="98"/>
  <c r="AW48" i="98"/>
  <c r="AT48" i="98" s="1"/>
  <c r="BK47" i="98"/>
  <c r="BJ47" i="98"/>
  <c r="BI47" i="98"/>
  <c r="BH47" i="98"/>
  <c r="BK46" i="98"/>
  <c r="BJ46" i="98"/>
  <c r="BI46" i="98"/>
  <c r="BH46" i="98"/>
  <c r="BF47" i="98"/>
  <c r="BE47" i="98"/>
  <c r="BD47" i="98"/>
  <c r="BC47" i="98"/>
  <c r="BF46" i="98"/>
  <c r="BE46" i="98"/>
  <c r="BD46" i="98"/>
  <c r="BC46" i="98"/>
  <c r="BA47" i="98"/>
  <c r="AZ47" i="98"/>
  <c r="AX47" i="98"/>
  <c r="AV47" i="98"/>
  <c r="AT47" i="98"/>
  <c r="AS47" i="98"/>
  <c r="BA46" i="98"/>
  <c r="AZ46" i="98"/>
  <c r="AY46" i="98"/>
  <c r="AX46" i="98"/>
  <c r="AV46" i="98"/>
  <c r="AU46" i="98"/>
  <c r="BL44" i="98"/>
  <c r="BK44" i="98"/>
  <c r="BJ44" i="98"/>
  <c r="BI44" i="98"/>
  <c r="BH44" i="98"/>
  <c r="BF44" i="98"/>
  <c r="BE44" i="98"/>
  <c r="BD44" i="98"/>
  <c r="BC44" i="98"/>
  <c r="BA44" i="98"/>
  <c r="AZ44" i="98"/>
  <c r="AY44" i="98"/>
  <c r="AX44" i="98"/>
  <c r="AV44" i="98"/>
  <c r="AU44" i="98"/>
  <c r="AT44" i="98"/>
  <c r="AS44" i="98"/>
  <c r="AS65" i="98" s="1"/>
  <c r="AX65" i="98" s="1"/>
  <c r="AM44" i="98"/>
  <c r="AH44" i="98"/>
  <c r="AD44" i="98"/>
  <c r="N44" i="98"/>
  <c r="AR37" i="98"/>
  <c r="AQ37" i="98"/>
  <c r="AP37" i="98"/>
  <c r="AO37" i="98"/>
  <c r="AN37" i="98"/>
  <c r="AM37" i="98"/>
  <c r="AL37" i="98"/>
  <c r="AK37" i="98"/>
  <c r="AJ37" i="98"/>
  <c r="AI37" i="98"/>
  <c r="AH37" i="98"/>
  <c r="AG37" i="98"/>
  <c r="AF37" i="98"/>
  <c r="AE37" i="98"/>
  <c r="AD37" i="98"/>
  <c r="AC37" i="98"/>
  <c r="AB37" i="98"/>
  <c r="AA37" i="98"/>
  <c r="Z37" i="98"/>
  <c r="Y37" i="98"/>
  <c r="X37" i="98"/>
  <c r="W37" i="98"/>
  <c r="V37" i="98"/>
  <c r="U37" i="98"/>
  <c r="T37" i="98"/>
  <c r="S37" i="98"/>
  <c r="R37" i="98"/>
  <c r="Q37" i="98"/>
  <c r="P37" i="98"/>
  <c r="O37" i="98"/>
  <c r="N37" i="98"/>
  <c r="M37" i="98"/>
  <c r="L37" i="98"/>
  <c r="K37" i="98"/>
  <c r="J37" i="98"/>
  <c r="I37" i="98"/>
  <c r="BL36" i="98"/>
  <c r="BK36" i="98"/>
  <c r="BJ36" i="98"/>
  <c r="BI36" i="98"/>
  <c r="BH36" i="98"/>
  <c r="BG36" i="98"/>
  <c r="BF36" i="98"/>
  <c r="BE36" i="98"/>
  <c r="BD36" i="98"/>
  <c r="BC36" i="98"/>
  <c r="BB36" i="98"/>
  <c r="BA36" i="98"/>
  <c r="AZ36" i="98"/>
  <c r="AY36" i="98"/>
  <c r="AX36" i="98"/>
  <c r="AW36" i="98"/>
  <c r="AV36" i="98"/>
  <c r="AU36" i="98"/>
  <c r="AT36" i="98"/>
  <c r="AS36" i="98"/>
  <c r="AR36" i="98"/>
  <c r="AQ36" i="98"/>
  <c r="AP36" i="98"/>
  <c r="AO36" i="98"/>
  <c r="AN36" i="98"/>
  <c r="AM36" i="98"/>
  <c r="AL36" i="98"/>
  <c r="AK36" i="98"/>
  <c r="AJ36" i="98"/>
  <c r="AI36" i="98"/>
  <c r="AH36" i="98"/>
  <c r="AG36" i="98"/>
  <c r="AF36" i="98"/>
  <c r="AE36" i="98"/>
  <c r="AD36" i="98"/>
  <c r="AC36" i="98"/>
  <c r="AB36" i="98"/>
  <c r="AA36" i="98"/>
  <c r="Z36" i="98"/>
  <c r="Y36" i="98"/>
  <c r="X36" i="98"/>
  <c r="W36" i="98"/>
  <c r="V36" i="98"/>
  <c r="U36" i="98"/>
  <c r="T36" i="98"/>
  <c r="S36" i="98"/>
  <c r="R36" i="98"/>
  <c r="Q36" i="98"/>
  <c r="P36" i="98"/>
  <c r="O36" i="98"/>
  <c r="N36" i="98"/>
  <c r="M36" i="98"/>
  <c r="L36" i="98"/>
  <c r="K36" i="98"/>
  <c r="J36" i="98"/>
  <c r="I36" i="98"/>
  <c r="BL33" i="98"/>
  <c r="BG33" i="98"/>
  <c r="BB33" i="98"/>
  <c r="AW33" i="98"/>
  <c r="AR33" i="98"/>
  <c r="AQ33" i="98" s="1"/>
  <c r="AP33" i="98"/>
  <c r="AO33" i="98"/>
  <c r="AN33" i="98"/>
  <c r="AM33" i="98"/>
  <c r="AL33" i="98"/>
  <c r="AK33" i="98"/>
  <c r="AG33" i="98"/>
  <c r="AB33" i="98"/>
  <c r="W33" i="98"/>
  <c r="R33" i="98"/>
  <c r="M33" i="98"/>
  <c r="AQ30" i="98"/>
  <c r="AL30" i="98"/>
  <c r="AG30" i="98"/>
  <c r="AB30" i="98"/>
  <c r="W30" i="98"/>
  <c r="R30" i="98"/>
  <c r="M30" i="98"/>
  <c r="AQ26" i="98"/>
  <c r="AQ230" i="98" s="1"/>
  <c r="AL26" i="98"/>
  <c r="AG26" i="98"/>
  <c r="AB26" i="98"/>
  <c r="W26" i="98"/>
  <c r="R26" i="98"/>
  <c r="M26" i="98"/>
  <c r="AU20" i="98"/>
  <c r="AZ20" i="98" s="1"/>
  <c r="BE20" i="98" s="1"/>
  <c r="BJ20" i="98" s="1"/>
  <c r="AT20" i="98"/>
  <c r="AY20" i="98" s="1"/>
  <c r="BD20" i="98" s="1"/>
  <c r="BI20" i="98" s="1"/>
  <c r="AS20" i="98"/>
  <c r="AW20" i="98" s="1"/>
  <c r="AR20" i="98"/>
  <c r="AR21" i="98" s="1"/>
  <c r="AQ20" i="98"/>
  <c r="AV20" i="98" s="1"/>
  <c r="BA20" i="98" s="1"/>
  <c r="BF20" i="98" s="1"/>
  <c r="BK20" i="98" s="1"/>
  <c r="AP20" i="98"/>
  <c r="AP21" i="98" s="1"/>
  <c r="AO20" i="98"/>
  <c r="AO21" i="98" s="1"/>
  <c r="AN20" i="98"/>
  <c r="AN21" i="98" s="1"/>
  <c r="AM20" i="98"/>
  <c r="AM21" i="98" s="1"/>
  <c r="AK20" i="98"/>
  <c r="AK21" i="98" s="1"/>
  <c r="AH20" i="98"/>
  <c r="AH21" i="98" s="1"/>
  <c r="AC20" i="98"/>
  <c r="X20" i="98"/>
  <c r="X21" i="98" s="1"/>
  <c r="S20" i="98"/>
  <c r="S21" i="98" s="1"/>
  <c r="N20" i="98"/>
  <c r="N21" i="98" s="1"/>
  <c r="I20" i="98"/>
  <c r="I21" i="98" s="1"/>
  <c r="AQ19" i="98"/>
  <c r="AL19" i="98"/>
  <c r="AJ19" i="98"/>
  <c r="AI19" i="98"/>
  <c r="AF19" i="98"/>
  <c r="AE19" i="98"/>
  <c r="AD19" i="98"/>
  <c r="Z19" i="98"/>
  <c r="AA19" i="98" s="1"/>
  <c r="Y19" i="98"/>
  <c r="T19" i="98"/>
  <c r="Q19" i="98"/>
  <c r="P19" i="98"/>
  <c r="O19" i="98"/>
  <c r="L19" i="98"/>
  <c r="K19" i="98"/>
  <c r="J19" i="98"/>
  <c r="AH17" i="98"/>
  <c r="AD17" i="98"/>
  <c r="Y17" i="98"/>
  <c r="Q17" i="98"/>
  <c r="N17" i="98"/>
  <c r="I17" i="98"/>
  <c r="AH15" i="98"/>
  <c r="AF15" i="98"/>
  <c r="AF17" i="98" s="1"/>
  <c r="AE15" i="98"/>
  <c r="AE17" i="98" s="1"/>
  <c r="AD15" i="98"/>
  <c r="AC15" i="98"/>
  <c r="AC17" i="98" s="1"/>
  <c r="AA15" i="98"/>
  <c r="AA17" i="98" s="1"/>
  <c r="Z15" i="98"/>
  <c r="Z17" i="98" s="1"/>
  <c r="Y15" i="98"/>
  <c r="X15" i="98"/>
  <c r="X17" i="98" s="1"/>
  <c r="X23" i="98" s="1"/>
  <c r="X228" i="98" s="1"/>
  <c r="X241" i="98" s="1"/>
  <c r="V15" i="98"/>
  <c r="V17" i="98" s="1"/>
  <c r="U15" i="98"/>
  <c r="U17" i="98" s="1"/>
  <c r="T15" i="98"/>
  <c r="T17" i="98" s="1"/>
  <c r="S15" i="98"/>
  <c r="S17" i="98" s="1"/>
  <c r="S23" i="98" s="1"/>
  <c r="Q15" i="98"/>
  <c r="P15" i="98"/>
  <c r="P17" i="98" s="1"/>
  <c r="O15" i="98"/>
  <c r="O17" i="98" s="1"/>
  <c r="N15" i="98"/>
  <c r="L15" i="98"/>
  <c r="L17" i="98" s="1"/>
  <c r="K15" i="98"/>
  <c r="K17" i="98" s="1"/>
  <c r="J15" i="98"/>
  <c r="J17" i="98" s="1"/>
  <c r="I15" i="98"/>
  <c r="AQ14" i="98"/>
  <c r="AQ13" i="98"/>
  <c r="AL14" i="98"/>
  <c r="AL90" i="98" s="1"/>
  <c r="AL13" i="98"/>
  <c r="AG14" i="98"/>
  <c r="AG90" i="98" s="1"/>
  <c r="AG13" i="98"/>
  <c r="AG12" i="98"/>
  <c r="AG85" i="98" s="1"/>
  <c r="AG87" i="98" s="1"/>
  <c r="AB14" i="98"/>
  <c r="AB90" i="98" s="1"/>
  <c r="AB91" i="98" s="1"/>
  <c r="AB52" i="98" s="1"/>
  <c r="AB13" i="98"/>
  <c r="AB12" i="98"/>
  <c r="W14" i="98"/>
  <c r="W90" i="98" s="1"/>
  <c r="W13" i="98"/>
  <c r="W107" i="98" s="1"/>
  <c r="W109" i="98" s="1"/>
  <c r="W12" i="98"/>
  <c r="W85" i="98" s="1"/>
  <c r="W87" i="98" s="1"/>
  <c r="R14" i="98"/>
  <c r="R90" i="98" s="1"/>
  <c r="R13" i="98"/>
  <c r="R107" i="98" s="1"/>
  <c r="R109" i="98" s="1"/>
  <c r="R12" i="98"/>
  <c r="R85" i="98" s="1"/>
  <c r="R87" i="98" s="1"/>
  <c r="R88" i="98" s="1"/>
  <c r="R51" i="98" s="1"/>
  <c r="M14" i="98"/>
  <c r="M90" i="98" s="1"/>
  <c r="M13" i="98"/>
  <c r="M107" i="98" s="1"/>
  <c r="M109" i="98" s="1"/>
  <c r="M111" i="98" s="1"/>
  <c r="M12" i="98"/>
  <c r="M85" i="98" s="1"/>
  <c r="M87" i="98" s="1"/>
  <c r="BN12" i="98"/>
  <c r="AR12" i="98"/>
  <c r="AP12" i="98"/>
  <c r="AP85" i="98" s="1"/>
  <c r="AP87" i="98" s="1"/>
  <c r="AO12" i="98"/>
  <c r="AO85" i="98" s="1"/>
  <c r="AO87" i="98" s="1"/>
  <c r="AN12" i="98"/>
  <c r="AQ12" i="98" s="1"/>
  <c r="AM12" i="98"/>
  <c r="AM85" i="98" s="1"/>
  <c r="AK12" i="98"/>
  <c r="AK85" i="98" s="1"/>
  <c r="AK87" i="98" s="1"/>
  <c r="AK88" i="98" s="1"/>
  <c r="AK51" i="98" s="1"/>
  <c r="AJ12" i="98"/>
  <c r="AI12" i="98"/>
  <c r="AI85" i="98" s="1"/>
  <c r="AI87" i="98" s="1"/>
  <c r="AK10" i="98"/>
  <c r="AH10" i="98"/>
  <c r="AF10" i="98"/>
  <c r="AE10" i="98"/>
  <c r="AD10" i="98"/>
  <c r="AC10" i="98"/>
  <c r="AA10" i="98"/>
  <c r="Z10" i="98"/>
  <c r="Y10" i="98"/>
  <c r="X10" i="98"/>
  <c r="V10" i="98"/>
  <c r="U10" i="98"/>
  <c r="T10" i="98"/>
  <c r="S10" i="98"/>
  <c r="Q10" i="98"/>
  <c r="P10" i="98"/>
  <c r="O10" i="98"/>
  <c r="N10" i="98"/>
  <c r="L10" i="98"/>
  <c r="K10" i="98"/>
  <c r="J10" i="98"/>
  <c r="I10" i="98"/>
  <c r="AR9" i="98"/>
  <c r="AR10" i="98" s="1"/>
  <c r="AP9" i="98"/>
  <c r="AP71" i="98" s="1"/>
  <c r="AO9" i="98"/>
  <c r="AO71" i="98" s="1"/>
  <c r="AO72" i="98" s="1"/>
  <c r="AT72" i="98" s="1"/>
  <c r="AN9" i="98"/>
  <c r="AN10" i="98" s="1"/>
  <c r="AM9" i="98"/>
  <c r="AM15" i="98" s="1"/>
  <c r="AM17" i="98" s="1"/>
  <c r="AM23" i="98" s="1"/>
  <c r="AL9" i="98"/>
  <c r="AL71" i="98" s="1"/>
  <c r="AK9" i="98"/>
  <c r="AK71" i="98" s="1"/>
  <c r="AJ9" i="98"/>
  <c r="AJ10" i="98" s="1"/>
  <c r="AI9" i="98"/>
  <c r="AI71" i="98" s="1"/>
  <c r="AG9" i="98"/>
  <c r="AG71" i="98" s="1"/>
  <c r="AG72" i="98" s="1"/>
  <c r="AG8" i="98"/>
  <c r="AG62" i="98" s="1"/>
  <c r="AB9" i="98"/>
  <c r="AB71" i="98" s="1"/>
  <c r="AB72" i="98" s="1"/>
  <c r="AB8" i="98"/>
  <c r="W9" i="98"/>
  <c r="W71" i="98" s="1"/>
  <c r="W8" i="98"/>
  <c r="W62" i="98" s="1"/>
  <c r="R9" i="98"/>
  <c r="R71" i="98" s="1"/>
  <c r="S71" i="98" s="1"/>
  <c r="S72" i="98" s="1"/>
  <c r="R8" i="98"/>
  <c r="R62" i="98" s="1"/>
  <c r="R74" i="98" s="1"/>
  <c r="M9" i="98"/>
  <c r="M71" i="98" s="1"/>
  <c r="M8" i="98"/>
  <c r="M62" i="98" s="1"/>
  <c r="AQ8" i="98"/>
  <c r="AL8" i="98"/>
  <c r="AL62" i="98" s="1"/>
  <c r="B2" i="98"/>
  <c r="AP272" i="77"/>
  <c r="AQ272" i="77" s="1"/>
  <c r="AR272" i="77" s="1"/>
  <c r="AS272" i="77" s="1"/>
  <c r="AT272" i="77" s="1"/>
  <c r="AU272" i="77" s="1"/>
  <c r="AV272" i="77" s="1"/>
  <c r="AW272" i="77" s="1"/>
  <c r="AX272" i="77" s="1"/>
  <c r="AY272" i="77" s="1"/>
  <c r="AZ272" i="77" s="1"/>
  <c r="BA272" i="77" s="1"/>
  <c r="BB272" i="77" s="1"/>
  <c r="BC272" i="77" s="1"/>
  <c r="BD272" i="77" s="1"/>
  <c r="BE272" i="77" s="1"/>
  <c r="BF272" i="77" s="1"/>
  <c r="BG272" i="77" s="1"/>
  <c r="BH272" i="77" s="1"/>
  <c r="BI272" i="77" s="1"/>
  <c r="BJ272" i="77" s="1"/>
  <c r="BK272" i="77" s="1"/>
  <c r="BL272" i="77" s="1"/>
  <c r="W269" i="77"/>
  <c r="V269" i="77"/>
  <c r="U269" i="77"/>
  <c r="T269" i="77"/>
  <c r="S269" i="77"/>
  <c r="R269" i="77"/>
  <c r="Q269" i="77"/>
  <c r="P269" i="77"/>
  <c r="O269" i="77"/>
  <c r="N269" i="77"/>
  <c r="M269" i="77"/>
  <c r="L269" i="77"/>
  <c r="K269" i="77"/>
  <c r="J269" i="77"/>
  <c r="I269" i="77"/>
  <c r="H269" i="77"/>
  <c r="G269" i="77"/>
  <c r="F269" i="77"/>
  <c r="E269" i="77"/>
  <c r="AW268" i="77"/>
  <c r="AQ268" i="77"/>
  <c r="AR268" i="77" s="1"/>
  <c r="AN268" i="77"/>
  <c r="AO268" i="77" s="1"/>
  <c r="AL268" i="77"/>
  <c r="AK268" i="77"/>
  <c r="AJ268" i="77" s="1"/>
  <c r="AI268" i="77"/>
  <c r="AG268" i="77"/>
  <c r="AF268" i="77"/>
  <c r="AE268" i="77" s="1"/>
  <c r="AD268" i="77" s="1"/>
  <c r="BQ259" i="77"/>
  <c r="BL259" i="77"/>
  <c r="BG259" i="77"/>
  <c r="BB259" i="77"/>
  <c r="AW259" i="77"/>
  <c r="AR259" i="77"/>
  <c r="AM259" i="77"/>
  <c r="AH259" i="77"/>
  <c r="AC259" i="77"/>
  <c r="X259" i="77"/>
  <c r="S259" i="77"/>
  <c r="N259" i="77"/>
  <c r="I259" i="77"/>
  <c r="I255" i="77"/>
  <c r="AR240" i="77"/>
  <c r="X240" i="77"/>
  <c r="V240" i="77"/>
  <c r="U240" i="77"/>
  <c r="T240" i="77"/>
  <c r="S240" i="77"/>
  <c r="R240" i="77"/>
  <c r="Q240" i="77"/>
  <c r="P240" i="77"/>
  <c r="O240" i="77"/>
  <c r="N240" i="77"/>
  <c r="M240" i="77"/>
  <c r="L240" i="77"/>
  <c r="K240" i="77"/>
  <c r="J240" i="77"/>
  <c r="I240" i="77"/>
  <c r="H240" i="77"/>
  <c r="H233" i="77"/>
  <c r="G233" i="77"/>
  <c r="F233" i="77" s="1"/>
  <c r="E233" i="77" s="1"/>
  <c r="AV226" i="77"/>
  <c r="AQ226" i="77"/>
  <c r="AL226" i="77"/>
  <c r="AG226" i="77"/>
  <c r="AB226" i="77"/>
  <c r="W226" i="77"/>
  <c r="R226" i="77"/>
  <c r="M226" i="77"/>
  <c r="H226" i="77"/>
  <c r="AY223" i="77"/>
  <c r="AX223" i="77"/>
  <c r="AV223" i="77"/>
  <c r="AQ223" i="77"/>
  <c r="AL223" i="77"/>
  <c r="AG223" i="77"/>
  <c r="AB223" i="77"/>
  <c r="W223" i="77"/>
  <c r="R223" i="77"/>
  <c r="M223" i="77"/>
  <c r="H223" i="77"/>
  <c r="AW220" i="77"/>
  <c r="AU220" i="77"/>
  <c r="AT220" i="77"/>
  <c r="AO220" i="77"/>
  <c r="AD220" i="77"/>
  <c r="Y220" i="77"/>
  <c r="S220" i="77"/>
  <c r="I220" i="77"/>
  <c r="AW219" i="77"/>
  <c r="AV219" i="77"/>
  <c r="AT219" i="77"/>
  <c r="AS219" i="77"/>
  <c r="AR219" i="77"/>
  <c r="AQ219" i="77"/>
  <c r="AP219" i="77"/>
  <c r="AP220" i="77" s="1"/>
  <c r="AO219" i="77"/>
  <c r="AN219" i="77"/>
  <c r="AM219" i="77"/>
  <c r="AK219" i="77"/>
  <c r="AK220" i="77" s="1"/>
  <c r="AJ219" i="77"/>
  <c r="AI219" i="77"/>
  <c r="AH219" i="77"/>
  <c r="AG219" i="77"/>
  <c r="AF219" i="77"/>
  <c r="AE219" i="77"/>
  <c r="AD219" i="77"/>
  <c r="AC219" i="77"/>
  <c r="AA219" i="77"/>
  <c r="Z219" i="77"/>
  <c r="Y219" i="77"/>
  <c r="X219" i="77"/>
  <c r="W219" i="77"/>
  <c r="V219" i="77"/>
  <c r="U219" i="77"/>
  <c r="U220" i="77" s="1"/>
  <c r="T219" i="77"/>
  <c r="S219" i="77"/>
  <c r="R219" i="77"/>
  <c r="Q219" i="77"/>
  <c r="Q220" i="77" s="1"/>
  <c r="P219" i="77"/>
  <c r="O219" i="77"/>
  <c r="N219" i="77"/>
  <c r="L219" i="77"/>
  <c r="K219" i="77"/>
  <c r="J219" i="77"/>
  <c r="I219" i="77"/>
  <c r="H219" i="77"/>
  <c r="G219" i="77"/>
  <c r="G220" i="77" s="1"/>
  <c r="F219" i="77"/>
  <c r="F220" i="77" s="1"/>
  <c r="E219" i="77"/>
  <c r="E220" i="77" s="1"/>
  <c r="AV218" i="77"/>
  <c r="AQ218" i="77"/>
  <c r="AQ220" i="77" s="1"/>
  <c r="AL218" i="77"/>
  <c r="AG218" i="77"/>
  <c r="AG220" i="77" s="1"/>
  <c r="AB218" i="77"/>
  <c r="W218" i="77"/>
  <c r="W220" i="77" s="1"/>
  <c r="R218" i="77"/>
  <c r="R220" i="77" s="1"/>
  <c r="M218" i="77"/>
  <c r="H218" i="77"/>
  <c r="H220" i="77" s="1"/>
  <c r="AV216" i="77"/>
  <c r="AQ216" i="77"/>
  <c r="AL216" i="77"/>
  <c r="AG216" i="77"/>
  <c r="AB216" i="77"/>
  <c r="W216" i="77"/>
  <c r="R216" i="77"/>
  <c r="M216" i="77"/>
  <c r="H216" i="77"/>
  <c r="AR211" i="77"/>
  <c r="AR208" i="77"/>
  <c r="AR205" i="77"/>
  <c r="AR204" i="77"/>
  <c r="AR203" i="77"/>
  <c r="AR202" i="77"/>
  <c r="AM211" i="77"/>
  <c r="AM208" i="77"/>
  <c r="AM205" i="77"/>
  <c r="AM204" i="77"/>
  <c r="AM203" i="77"/>
  <c r="AM202" i="77"/>
  <c r="AH211" i="77"/>
  <c r="AH208" i="77"/>
  <c r="AH206" i="77"/>
  <c r="AH205" i="77"/>
  <c r="AH204" i="77"/>
  <c r="AH203" i="77"/>
  <c r="AH202" i="77"/>
  <c r="AC211" i="77"/>
  <c r="AC208" i="77"/>
  <c r="AC206" i="77"/>
  <c r="AC205" i="77"/>
  <c r="AC204" i="77"/>
  <c r="AC203" i="77"/>
  <c r="AC202" i="77"/>
  <c r="X211" i="77"/>
  <c r="X210" i="77"/>
  <c r="X208" i="77"/>
  <c r="X206" i="77"/>
  <c r="X205" i="77"/>
  <c r="X204" i="77"/>
  <c r="X203" i="77"/>
  <c r="X202" i="77"/>
  <c r="S211" i="77"/>
  <c r="S210" i="77"/>
  <c r="S208" i="77"/>
  <c r="S206" i="77"/>
  <c r="S204" i="77"/>
  <c r="S203" i="77"/>
  <c r="S202" i="77"/>
  <c r="N211" i="77"/>
  <c r="N208" i="77"/>
  <c r="N206" i="77"/>
  <c r="N205" i="77"/>
  <c r="N204" i="77"/>
  <c r="N203" i="77"/>
  <c r="N202" i="77"/>
  <c r="I211" i="77"/>
  <c r="I208" i="77"/>
  <c r="I204" i="77"/>
  <c r="I203" i="77"/>
  <c r="I202" i="77"/>
  <c r="CK210" i="77"/>
  <c r="CJ210" i="77"/>
  <c r="CI210" i="77"/>
  <c r="CH210" i="77"/>
  <c r="AW211" i="77"/>
  <c r="E210" i="77"/>
  <c r="AW208" i="77"/>
  <c r="AW206" i="77"/>
  <c r="AW204" i="77"/>
  <c r="AW202" i="77"/>
  <c r="DV207" i="77"/>
  <c r="DU207" i="77"/>
  <c r="DT207" i="77"/>
  <c r="AR207" i="77" s="1"/>
  <c r="DP207" i="77"/>
  <c r="DL207" i="77"/>
  <c r="DJ207" i="77"/>
  <c r="AH207" i="77" s="1"/>
  <c r="DH207" i="77"/>
  <c r="DG207" i="77"/>
  <c r="DF207" i="77"/>
  <c r="DE207" i="77"/>
  <c r="AC207" i="77" s="1"/>
  <c r="DC207" i="77"/>
  <c r="DB207" i="77"/>
  <c r="DA207" i="77"/>
  <c r="CZ207" i="77"/>
  <c r="X207" i="77" s="1"/>
  <c r="CV207" i="77"/>
  <c r="CR207" i="77"/>
  <c r="CP207" i="77"/>
  <c r="N207" i="77" s="1"/>
  <c r="CN207" i="77"/>
  <c r="CM207" i="77"/>
  <c r="CL207" i="77"/>
  <c r="CG207" i="77"/>
  <c r="DX206" i="77"/>
  <c r="DX204" i="77"/>
  <c r="DX202" i="77"/>
  <c r="DT206" i="77"/>
  <c r="AR206" i="77" s="1"/>
  <c r="DS206" i="77"/>
  <c r="DR206" i="77"/>
  <c r="AP206" i="77" s="1"/>
  <c r="DQ206" i="77"/>
  <c r="DP206" i="77"/>
  <c r="DO206" i="77"/>
  <c r="AM206" i="77" s="1"/>
  <c r="DN206" i="77"/>
  <c r="DM206" i="77"/>
  <c r="AK206" i="77" s="1"/>
  <c r="DL206" i="77"/>
  <c r="DK206" i="77"/>
  <c r="DK207" i="77" s="1"/>
  <c r="DI206" i="77"/>
  <c r="DI205" i="77"/>
  <c r="DI204" i="77"/>
  <c r="DI203" i="77"/>
  <c r="DI202" i="77"/>
  <c r="DI207" i="77" s="1"/>
  <c r="DD206" i="77"/>
  <c r="DD205" i="77"/>
  <c r="DD204" i="77"/>
  <c r="DD203" i="77"/>
  <c r="DD207" i="77" s="1"/>
  <c r="DD202" i="77"/>
  <c r="DA206" i="77"/>
  <c r="CY206" i="77"/>
  <c r="CY205" i="77"/>
  <c r="CY204" i="77"/>
  <c r="CY203" i="77"/>
  <c r="CY202" i="77"/>
  <c r="CW206" i="77"/>
  <c r="CW205" i="77"/>
  <c r="CT206" i="77"/>
  <c r="CT204" i="77"/>
  <c r="CT203" i="77"/>
  <c r="CT202" i="77"/>
  <c r="CO206" i="77"/>
  <c r="CO205" i="77"/>
  <c r="CO204" i="77"/>
  <c r="CO207" i="77" s="1"/>
  <c r="CO203" i="77"/>
  <c r="CO202" i="77"/>
  <c r="CK206" i="77"/>
  <c r="I206" i="77" s="1"/>
  <c r="CJ206" i="77"/>
  <c r="CI206" i="77"/>
  <c r="CI207" i="77" s="1"/>
  <c r="CH206" i="77"/>
  <c r="CH207" i="77" s="1"/>
  <c r="DY205" i="77"/>
  <c r="DW205" i="77"/>
  <c r="AU205" i="77" s="1"/>
  <c r="DT205" i="77"/>
  <c r="DS205" i="77"/>
  <c r="DR205" i="77"/>
  <c r="DQ205" i="77"/>
  <c r="DQ207" i="77" s="1"/>
  <c r="CZ205" i="77"/>
  <c r="CX205" i="77"/>
  <c r="CX207" i="77" s="1"/>
  <c r="CU205" i="77"/>
  <c r="CS205" i="77"/>
  <c r="CS207" i="77" s="1"/>
  <c r="CR205" i="77"/>
  <c r="CQ205" i="77"/>
  <c r="CQ207" i="77" s="1"/>
  <c r="CK205" i="77"/>
  <c r="I205" i="77" s="1"/>
  <c r="CJ205" i="77"/>
  <c r="BM206" i="77"/>
  <c r="BM205" i="77"/>
  <c r="BI206" i="77"/>
  <c r="BH206" i="77"/>
  <c r="BH205" i="77"/>
  <c r="BD206" i="77"/>
  <c r="BC206" i="77"/>
  <c r="BC205" i="77"/>
  <c r="AY206" i="77"/>
  <c r="AX206" i="77"/>
  <c r="AX205" i="77"/>
  <c r="DS204" i="77"/>
  <c r="DS203" i="77"/>
  <c r="DS202" i="77"/>
  <c r="DS207" i="77" s="1"/>
  <c r="DN205" i="77"/>
  <c r="DM205" i="77"/>
  <c r="DN204" i="77"/>
  <c r="DM204" i="77"/>
  <c r="CJ204" i="77"/>
  <c r="CJ207" i="77" s="1"/>
  <c r="CJ203" i="77"/>
  <c r="CJ202" i="77"/>
  <c r="BQ204" i="77"/>
  <c r="BL204" i="77"/>
  <c r="BG204" i="77"/>
  <c r="BB204" i="77"/>
  <c r="DY203" i="77"/>
  <c r="DX203" i="77" s="1"/>
  <c r="DW203" i="77"/>
  <c r="DN203" i="77"/>
  <c r="DN202" i="77"/>
  <c r="CW203" i="77"/>
  <c r="CW207" i="77" s="1"/>
  <c r="AV206" i="77"/>
  <c r="AU206" i="77"/>
  <c r="AT206" i="77"/>
  <c r="AS206" i="77"/>
  <c r="AV205" i="77"/>
  <c r="AT205" i="77"/>
  <c r="AS205" i="77"/>
  <c r="AV204" i="77"/>
  <c r="AU204" i="77"/>
  <c r="AT204" i="77"/>
  <c r="AS204" i="77"/>
  <c r="AT203" i="77"/>
  <c r="AS203" i="77"/>
  <c r="AV202" i="77"/>
  <c r="AU202" i="77"/>
  <c r="AT202" i="77"/>
  <c r="AT207" i="77" s="1"/>
  <c r="AS202" i="77"/>
  <c r="AS207" i="77" s="1"/>
  <c r="AN207" i="77"/>
  <c r="AQ206" i="77"/>
  <c r="AO206" i="77"/>
  <c r="AN206" i="77"/>
  <c r="AQ205" i="77"/>
  <c r="AO205" i="77"/>
  <c r="AN205" i="77"/>
  <c r="AQ204" i="77"/>
  <c r="AP204" i="77"/>
  <c r="AO204" i="77"/>
  <c r="AN204" i="77"/>
  <c r="AQ203" i="77"/>
  <c r="AP203" i="77"/>
  <c r="AO203" i="77"/>
  <c r="AN203" i="77"/>
  <c r="AQ202" i="77"/>
  <c r="AQ207" i="77" s="1"/>
  <c r="AP202" i="77"/>
  <c r="AO202" i="77"/>
  <c r="AO207" i="77" s="1"/>
  <c r="AN202" i="77"/>
  <c r="AJ207" i="77"/>
  <c r="AI207" i="77"/>
  <c r="AL206" i="77"/>
  <c r="AJ206" i="77"/>
  <c r="AI206" i="77"/>
  <c r="AL205" i="77"/>
  <c r="AK205" i="77"/>
  <c r="AJ205" i="77"/>
  <c r="AI205" i="77"/>
  <c r="AL204" i="77"/>
  <c r="AJ204" i="77"/>
  <c r="AI204" i="77"/>
  <c r="AL203" i="77"/>
  <c r="AK203" i="77"/>
  <c r="AJ203" i="77"/>
  <c r="AI203" i="77"/>
  <c r="AL202" i="77"/>
  <c r="AL207" i="77" s="1"/>
  <c r="AK202" i="77"/>
  <c r="AJ202" i="77"/>
  <c r="AI202" i="77"/>
  <c r="AG207" i="77"/>
  <c r="AG206" i="77"/>
  <c r="AF206" i="77"/>
  <c r="AE206" i="77"/>
  <c r="AD206" i="77"/>
  <c r="AG205" i="77"/>
  <c r="AF205" i="77"/>
  <c r="AE205" i="77"/>
  <c r="AD205" i="77"/>
  <c r="AG204" i="77"/>
  <c r="AF204" i="77"/>
  <c r="AE204" i="77"/>
  <c r="AD204" i="77"/>
  <c r="AG203" i="77"/>
  <c r="AF203" i="77"/>
  <c r="AE203" i="77"/>
  <c r="AD203" i="77"/>
  <c r="AG202" i="77"/>
  <c r="AF202" i="77"/>
  <c r="AF207" i="77" s="1"/>
  <c r="AE202" i="77"/>
  <c r="AE207" i="77" s="1"/>
  <c r="AD202" i="77"/>
  <c r="AD207" i="77" s="1"/>
  <c r="AB207" i="77"/>
  <c r="AB206" i="77"/>
  <c r="AA206" i="77"/>
  <c r="Z206" i="77"/>
  <c r="Y206" i="77"/>
  <c r="AB205" i="77"/>
  <c r="AA205" i="77"/>
  <c r="Z205" i="77"/>
  <c r="Y205" i="77"/>
  <c r="AB204" i="77"/>
  <c r="AA204" i="77"/>
  <c r="Z204" i="77"/>
  <c r="Y204" i="77"/>
  <c r="AB203" i="77"/>
  <c r="AA203" i="77"/>
  <c r="Z203" i="77"/>
  <c r="Y203" i="77"/>
  <c r="AB202" i="77"/>
  <c r="AA202" i="77"/>
  <c r="AA207" i="77" s="1"/>
  <c r="Z202" i="77"/>
  <c r="Z207" i="77" s="1"/>
  <c r="Y202" i="77"/>
  <c r="Y207" i="77" s="1"/>
  <c r="W206" i="77"/>
  <c r="V206" i="77"/>
  <c r="U206" i="77"/>
  <c r="T206" i="77"/>
  <c r="W205" i="77"/>
  <c r="V205" i="77"/>
  <c r="U205" i="77"/>
  <c r="T205" i="77"/>
  <c r="W204" i="77"/>
  <c r="V204" i="77"/>
  <c r="U204" i="77"/>
  <c r="T204" i="77"/>
  <c r="W203" i="77"/>
  <c r="V203" i="77"/>
  <c r="U203" i="77"/>
  <c r="T203" i="77"/>
  <c r="W202" i="77"/>
  <c r="W207" i="77" s="1"/>
  <c r="V202" i="77"/>
  <c r="V207" i="77" s="1"/>
  <c r="U202" i="77"/>
  <c r="U207" i="77" s="1"/>
  <c r="T202" i="77"/>
  <c r="T207" i="77" s="1"/>
  <c r="R206" i="77"/>
  <c r="Q206" i="77"/>
  <c r="P206" i="77"/>
  <c r="O206" i="77"/>
  <c r="R205" i="77"/>
  <c r="Q205" i="77"/>
  <c r="P205" i="77"/>
  <c r="O205" i="77"/>
  <c r="R204" i="77"/>
  <c r="Q204" i="77"/>
  <c r="P204" i="77"/>
  <c r="O204" i="77"/>
  <c r="R203" i="77"/>
  <c r="Q203" i="77"/>
  <c r="P203" i="77"/>
  <c r="O203" i="77"/>
  <c r="R202" i="77"/>
  <c r="R207" i="77" s="1"/>
  <c r="Q202" i="77"/>
  <c r="Q207" i="77" s="1"/>
  <c r="P202" i="77"/>
  <c r="P207" i="77" s="1"/>
  <c r="O202" i="77"/>
  <c r="O207" i="77" s="1"/>
  <c r="M206" i="77"/>
  <c r="L206" i="77"/>
  <c r="K206" i="77"/>
  <c r="J206" i="77"/>
  <c r="M205" i="77"/>
  <c r="L205" i="77"/>
  <c r="K205" i="77"/>
  <c r="J205" i="77"/>
  <c r="M204" i="77"/>
  <c r="L204" i="77"/>
  <c r="K204" i="77"/>
  <c r="J204" i="77"/>
  <c r="M203" i="77"/>
  <c r="L203" i="77"/>
  <c r="K203" i="77"/>
  <c r="J203" i="77"/>
  <c r="M202" i="77"/>
  <c r="M207" i="77" s="1"/>
  <c r="L202" i="77"/>
  <c r="L207" i="77" s="1"/>
  <c r="K202" i="77"/>
  <c r="K207" i="77" s="1"/>
  <c r="J202" i="77"/>
  <c r="J207" i="77" s="1"/>
  <c r="H206" i="77"/>
  <c r="G206" i="77"/>
  <c r="F206" i="77"/>
  <c r="E206" i="77"/>
  <c r="H205" i="77"/>
  <c r="G205" i="77"/>
  <c r="F205" i="77"/>
  <c r="E205" i="77"/>
  <c r="H204" i="77"/>
  <c r="G204" i="77"/>
  <c r="F204" i="77"/>
  <c r="E204" i="77"/>
  <c r="H203" i="77"/>
  <c r="G203" i="77"/>
  <c r="F203" i="77"/>
  <c r="E203" i="77"/>
  <c r="H202" i="77"/>
  <c r="H207" i="77" s="1"/>
  <c r="G202" i="77"/>
  <c r="G207" i="77" s="1"/>
  <c r="F202" i="77"/>
  <c r="F207" i="77" s="1"/>
  <c r="E202" i="77"/>
  <c r="E207" i="77" s="1"/>
  <c r="DW200" i="77"/>
  <c r="DV200" i="77"/>
  <c r="DT200" i="77"/>
  <c r="DR200" i="77"/>
  <c r="DJ200" i="77"/>
  <c r="AH200" i="77" s="1"/>
  <c r="DF200" i="77"/>
  <c r="DB200" i="77"/>
  <c r="CZ200" i="77"/>
  <c r="CQ200" i="77"/>
  <c r="CM200" i="77"/>
  <c r="CI200" i="77"/>
  <c r="AR200" i="77"/>
  <c r="X200" i="77"/>
  <c r="DY199" i="77"/>
  <c r="DY200" i="77" s="1"/>
  <c r="AW200" i="77" s="1"/>
  <c r="DW199" i="77"/>
  <c r="DV199" i="77"/>
  <c r="AU199" i="77" s="1"/>
  <c r="DU199" i="77"/>
  <c r="DU200" i="77" s="1"/>
  <c r="DS199" i="77"/>
  <c r="DR199" i="77"/>
  <c r="DQ199" i="77"/>
  <c r="DQ200" i="77" s="1"/>
  <c r="DP199" i="77"/>
  <c r="DP200" i="77" s="1"/>
  <c r="DO199" i="77"/>
  <c r="DN199" i="77" s="1"/>
  <c r="DN200" i="77" s="1"/>
  <c r="DM199" i="77"/>
  <c r="DM200" i="77" s="1"/>
  <c r="DL199" i="77"/>
  <c r="DL200" i="77" s="1"/>
  <c r="DK199" i="77"/>
  <c r="AI199" i="77" s="1"/>
  <c r="DJ199" i="77"/>
  <c r="DI199" i="77"/>
  <c r="DH199" i="77"/>
  <c r="DH200" i="77" s="1"/>
  <c r="DG199" i="77"/>
  <c r="AE199" i="77" s="1"/>
  <c r="DF199" i="77"/>
  <c r="DE199" i="77"/>
  <c r="DE200" i="77" s="1"/>
  <c r="AC200" i="77" s="1"/>
  <c r="DD199" i="77"/>
  <c r="DC199" i="77"/>
  <c r="AA199" i="77" s="1"/>
  <c r="DB199" i="77"/>
  <c r="DA199" i="77"/>
  <c r="DA200" i="77" s="1"/>
  <c r="CY199" i="77"/>
  <c r="CX199" i="77"/>
  <c r="W199" i="77" s="1"/>
  <c r="CW199" i="77"/>
  <c r="CV199" i="77"/>
  <c r="CV200" i="77" s="1"/>
  <c r="CU199" i="77"/>
  <c r="S199" i="77" s="1"/>
  <c r="CS199" i="77"/>
  <c r="CS200" i="77" s="1"/>
  <c r="CR199" i="77"/>
  <c r="CR200" i="77" s="1"/>
  <c r="CP199" i="77"/>
  <c r="N199" i="77" s="1"/>
  <c r="CN199" i="77"/>
  <c r="CN200" i="77" s="1"/>
  <c r="CM199" i="77"/>
  <c r="K199" i="77" s="1"/>
  <c r="CL199" i="77"/>
  <c r="J199" i="77" s="1"/>
  <c r="CK199" i="77"/>
  <c r="CK200" i="77" s="1"/>
  <c r="I200" i="77" s="1"/>
  <c r="CI199" i="77"/>
  <c r="G199" i="77" s="1"/>
  <c r="CH199" i="77"/>
  <c r="F199" i="77" s="1"/>
  <c r="CG199" i="77"/>
  <c r="CG200" i="77" s="1"/>
  <c r="DX198" i="77"/>
  <c r="DX197" i="77"/>
  <c r="DS198" i="77"/>
  <c r="DS197" i="77"/>
  <c r="DS200" i="77" s="1"/>
  <c r="DN198" i="77"/>
  <c r="DN197" i="77"/>
  <c r="DI198" i="77"/>
  <c r="DI197" i="77"/>
  <c r="DI200" i="77" s="1"/>
  <c r="DD198" i="77"/>
  <c r="DD197" i="77"/>
  <c r="DD200" i="77" s="1"/>
  <c r="CY198" i="77"/>
  <c r="CY197" i="77"/>
  <c r="CY200" i="77" s="1"/>
  <c r="CT198" i="77"/>
  <c r="CT197" i="77"/>
  <c r="CO198" i="77"/>
  <c r="CO197" i="77"/>
  <c r="CJ198" i="77"/>
  <c r="CJ197" i="77"/>
  <c r="BM199" i="77"/>
  <c r="BN199" i="77" s="1"/>
  <c r="BM198" i="77"/>
  <c r="BN198" i="77" s="1"/>
  <c r="BH199" i="77"/>
  <c r="BI199" i="77" s="1"/>
  <c r="BH198" i="77"/>
  <c r="BI198" i="77" s="1"/>
  <c r="BC199" i="77"/>
  <c r="BD199" i="77" s="1"/>
  <c r="BC198" i="77"/>
  <c r="BD198" i="77" s="1"/>
  <c r="AX199" i="77"/>
  <c r="AY199" i="77" s="1"/>
  <c r="AW199" i="77"/>
  <c r="AV199" i="77"/>
  <c r="AS199" i="77"/>
  <c r="AR199" i="77"/>
  <c r="AQ199" i="77"/>
  <c r="AP199" i="77"/>
  <c r="AO199" i="77"/>
  <c r="AN199" i="77"/>
  <c r="AK199" i="77"/>
  <c r="AJ199" i="77"/>
  <c r="AH199" i="77"/>
  <c r="AG199" i="77"/>
  <c r="AF199" i="77"/>
  <c r="AD199" i="77"/>
  <c r="AC199" i="77"/>
  <c r="AB199" i="77"/>
  <c r="Z199" i="77"/>
  <c r="Y199" i="77"/>
  <c r="X199" i="77"/>
  <c r="U199" i="77"/>
  <c r="T199" i="77"/>
  <c r="Q199" i="77"/>
  <c r="P199" i="77"/>
  <c r="O199" i="77"/>
  <c r="M199" i="77"/>
  <c r="L199" i="77"/>
  <c r="I199" i="77"/>
  <c r="H199" i="77"/>
  <c r="E199" i="77"/>
  <c r="AX198" i="77"/>
  <c r="AW198" i="77"/>
  <c r="AV198" i="77"/>
  <c r="AU198" i="77"/>
  <c r="AT198" i="77"/>
  <c r="AS198" i="77"/>
  <c r="AR198" i="77"/>
  <c r="AQ198" i="77"/>
  <c r="AP198" i="77"/>
  <c r="AO198" i="77"/>
  <c r="AN198" i="77"/>
  <c r="AM198" i="77"/>
  <c r="AL198" i="77"/>
  <c r="AK198" i="77"/>
  <c r="AJ198" i="77"/>
  <c r="AI198" i="77"/>
  <c r="AH198" i="77"/>
  <c r="AG198" i="77"/>
  <c r="AF198" i="77"/>
  <c r="AE198" i="77"/>
  <c r="AD198" i="77"/>
  <c r="AC198" i="77"/>
  <c r="AB198" i="77"/>
  <c r="AA198" i="77"/>
  <c r="Z198" i="77"/>
  <c r="Y198" i="77"/>
  <c r="X198" i="77"/>
  <c r="W198" i="77"/>
  <c r="V198" i="77"/>
  <c r="U198" i="77"/>
  <c r="T198" i="77"/>
  <c r="S198" i="77"/>
  <c r="R198" i="77"/>
  <c r="Q198" i="77"/>
  <c r="P198" i="77"/>
  <c r="O198" i="77"/>
  <c r="N198" i="77"/>
  <c r="M198" i="77"/>
  <c r="L198" i="77"/>
  <c r="K198" i="77"/>
  <c r="J198" i="77"/>
  <c r="I198" i="77"/>
  <c r="H198" i="77"/>
  <c r="G198" i="77"/>
  <c r="F198" i="77"/>
  <c r="E198" i="77"/>
  <c r="CW197" i="77"/>
  <c r="CW200" i="77" s="1"/>
  <c r="AW197" i="77"/>
  <c r="AV197" i="77"/>
  <c r="AV200" i="77" s="1"/>
  <c r="AU197" i="77"/>
  <c r="AU200" i="77" s="1"/>
  <c r="AT197" i="77"/>
  <c r="AS197" i="77"/>
  <c r="AS200" i="77" s="1"/>
  <c r="AR197" i="77"/>
  <c r="AQ197" i="77"/>
  <c r="AQ200" i="77" s="1"/>
  <c r="AP197" i="77"/>
  <c r="AP200" i="77" s="1"/>
  <c r="AO197" i="77"/>
  <c r="AO200" i="77" s="1"/>
  <c r="AN197" i="77"/>
  <c r="AN200" i="77" s="1"/>
  <c r="AM197" i="77"/>
  <c r="AL197" i="77"/>
  <c r="AK197" i="77"/>
  <c r="AK200" i="77" s="1"/>
  <c r="AJ197" i="77"/>
  <c r="AJ200" i="77" s="1"/>
  <c r="AI197" i="77"/>
  <c r="AI200" i="77" s="1"/>
  <c r="AH197" i="77"/>
  <c r="AG197" i="77"/>
  <c r="AG200" i="77" s="1"/>
  <c r="AF197" i="77"/>
  <c r="AF200" i="77" s="1"/>
  <c r="AE197" i="77"/>
  <c r="AE200" i="77" s="1"/>
  <c r="AD197" i="77"/>
  <c r="AD200" i="77" s="1"/>
  <c r="AC197" i="77"/>
  <c r="AB197" i="77"/>
  <c r="AB200" i="77" s="1"/>
  <c r="AA197" i="77"/>
  <c r="AA200" i="77" s="1"/>
  <c r="Z197" i="77"/>
  <c r="Z200" i="77" s="1"/>
  <c r="Y197" i="77"/>
  <c r="Y200" i="77" s="1"/>
  <c r="X197" i="77"/>
  <c r="W197" i="77"/>
  <c r="W200" i="77" s="1"/>
  <c r="V197" i="77"/>
  <c r="U197" i="77"/>
  <c r="U200" i="77" s="1"/>
  <c r="T197" i="77"/>
  <c r="T200" i="77" s="1"/>
  <c r="S197" i="77"/>
  <c r="R197" i="77"/>
  <c r="Q197" i="77"/>
  <c r="Q200" i="77" s="1"/>
  <c r="P197" i="77"/>
  <c r="P200" i="77" s="1"/>
  <c r="O197" i="77"/>
  <c r="O200" i="77" s="1"/>
  <c r="N197" i="77"/>
  <c r="M197" i="77"/>
  <c r="M200" i="77" s="1"/>
  <c r="L197" i="77"/>
  <c r="L200" i="77" s="1"/>
  <c r="K197" i="77"/>
  <c r="K200" i="77" s="1"/>
  <c r="J197" i="77"/>
  <c r="J200" i="77" s="1"/>
  <c r="I197" i="77"/>
  <c r="H197" i="77"/>
  <c r="H200" i="77" s="1"/>
  <c r="G197" i="77"/>
  <c r="G200" i="77" s="1"/>
  <c r="F197" i="77"/>
  <c r="F200" i="77" s="1"/>
  <c r="E197" i="77"/>
  <c r="E200" i="77" s="1"/>
  <c r="DY195" i="77"/>
  <c r="DU195" i="77"/>
  <c r="DM195" i="77"/>
  <c r="DE195" i="77"/>
  <c r="DA195" i="77"/>
  <c r="DY194" i="77"/>
  <c r="DX194" i="77"/>
  <c r="DW194" i="77"/>
  <c r="AV194" i="77" s="1"/>
  <c r="DV194" i="77"/>
  <c r="DV195" i="77" s="1"/>
  <c r="DV209" i="77" s="1"/>
  <c r="DU194" i="77"/>
  <c r="DT194" i="77"/>
  <c r="AR194" i="77" s="1"/>
  <c r="DS194" i="77"/>
  <c r="DR194" i="77"/>
  <c r="AQ194" i="77" s="1"/>
  <c r="DQ194" i="77"/>
  <c r="DP194" i="77"/>
  <c r="DP195" i="77" s="1"/>
  <c r="DP209" i="77" s="1"/>
  <c r="DO194" i="77"/>
  <c r="DO195" i="77" s="1"/>
  <c r="DM194" i="77"/>
  <c r="DL194" i="77"/>
  <c r="DL195" i="77" s="1"/>
  <c r="DL209" i="77" s="1"/>
  <c r="DK194" i="77"/>
  <c r="DK195" i="77" s="1"/>
  <c r="DJ194" i="77"/>
  <c r="DI194" i="77" s="1"/>
  <c r="DH194" i="77"/>
  <c r="DH195" i="77" s="1"/>
  <c r="DH209" i="77" s="1"/>
  <c r="DG194" i="77"/>
  <c r="DG195" i="77" s="1"/>
  <c r="DF194" i="77"/>
  <c r="DF195" i="77" s="1"/>
  <c r="DF209" i="77" s="1"/>
  <c r="DE194" i="77"/>
  <c r="DD194" i="77"/>
  <c r="DC194" i="77"/>
  <c r="AB194" i="77" s="1"/>
  <c r="DB194" i="77"/>
  <c r="DB195" i="77" s="1"/>
  <c r="DB209" i="77" s="1"/>
  <c r="DA194" i="77"/>
  <c r="CZ194" i="77"/>
  <c r="CZ195" i="77" s="1"/>
  <c r="CY194" i="77"/>
  <c r="CX194" i="77"/>
  <c r="W194" i="77" s="1"/>
  <c r="CW194" i="77"/>
  <c r="CV194" i="77"/>
  <c r="CV195" i="77" s="1"/>
  <c r="CV209" i="77" s="1"/>
  <c r="CU194" i="77"/>
  <c r="S194" i="77" s="1"/>
  <c r="CS194" i="77"/>
  <c r="CR194" i="77"/>
  <c r="P194" i="77" s="1"/>
  <c r="CQ194" i="77"/>
  <c r="O194" i="77" s="1"/>
  <c r="CP194" i="77"/>
  <c r="CO194" i="77" s="1"/>
  <c r="CN194" i="77"/>
  <c r="L194" i="77" s="1"/>
  <c r="CM194" i="77"/>
  <c r="K194" i="77" s="1"/>
  <c r="CL194" i="77"/>
  <c r="CK194" i="77"/>
  <c r="CJ194" i="77"/>
  <c r="CI194" i="77"/>
  <c r="H194" i="77" s="1"/>
  <c r="CH194" i="77"/>
  <c r="CH195" i="77" s="1"/>
  <c r="CG194" i="77"/>
  <c r="DY193" i="77"/>
  <c r="AW193" i="77" s="1"/>
  <c r="DX193" i="77"/>
  <c r="DT193" i="77"/>
  <c r="DT195" i="77" s="1"/>
  <c r="DR193" i="77"/>
  <c r="DQ193" i="77"/>
  <c r="AO193" i="77" s="1"/>
  <c r="DN193" i="77"/>
  <c r="DN192" i="77"/>
  <c r="DN191" i="77"/>
  <c r="DN190" i="77"/>
  <c r="DN189" i="77"/>
  <c r="DI193" i="77"/>
  <c r="DI192" i="77"/>
  <c r="DI191" i="77"/>
  <c r="DI190" i="77"/>
  <c r="DI195" i="77" s="1"/>
  <c r="DI209" i="77" s="1"/>
  <c r="DI189" i="77"/>
  <c r="DD193" i="77"/>
  <c r="DD192" i="77"/>
  <c r="DD191" i="77"/>
  <c r="DD190" i="77"/>
  <c r="DD189" i="77"/>
  <c r="DD195" i="77" s="1"/>
  <c r="DD209" i="77" s="1"/>
  <c r="CY193" i="77"/>
  <c r="CY192" i="77"/>
  <c r="CY191" i="77"/>
  <c r="CY190" i="77"/>
  <c r="CY189" i="77"/>
  <c r="CY195" i="77" s="1"/>
  <c r="CW193" i="77"/>
  <c r="U193" i="77" s="1"/>
  <c r="CU193" i="77"/>
  <c r="CT193" i="77"/>
  <c r="CS193" i="77"/>
  <c r="Q193" i="77" s="1"/>
  <c r="CR193" i="77"/>
  <c r="P193" i="77" s="1"/>
  <c r="CQ193" i="77"/>
  <c r="CP193" i="77"/>
  <c r="M193" i="77" s="1"/>
  <c r="CO193" i="77"/>
  <c r="CN193" i="77"/>
  <c r="L193" i="77" s="1"/>
  <c r="CM193" i="77"/>
  <c r="CL193" i="77"/>
  <c r="CK193" i="77"/>
  <c r="I193" i="77" s="1"/>
  <c r="CI193" i="77"/>
  <c r="CH193" i="77"/>
  <c r="CG193" i="77"/>
  <c r="E193" i="77" s="1"/>
  <c r="BM194" i="77"/>
  <c r="BM193" i="77"/>
  <c r="BH194" i="77"/>
  <c r="BH193" i="77"/>
  <c r="BC194" i="77"/>
  <c r="BC193" i="77"/>
  <c r="AX194" i="77"/>
  <c r="AW194" i="77"/>
  <c r="AT194" i="77"/>
  <c r="AS194" i="77"/>
  <c r="AP194" i="77"/>
  <c r="AO194" i="77"/>
  <c r="AL194" i="77"/>
  <c r="AK194" i="77"/>
  <c r="AH194" i="77"/>
  <c r="AG194" i="77"/>
  <c r="AD194" i="77"/>
  <c r="AC194" i="77"/>
  <c r="Z194" i="77"/>
  <c r="Y194" i="77"/>
  <c r="V194" i="77"/>
  <c r="U194" i="77"/>
  <c r="R194" i="77"/>
  <c r="Q194" i="77"/>
  <c r="N194" i="77"/>
  <c r="M194" i="77"/>
  <c r="J194" i="77"/>
  <c r="I194" i="77"/>
  <c r="F194" i="77"/>
  <c r="E194" i="77"/>
  <c r="AY193" i="77"/>
  <c r="AX193" i="77"/>
  <c r="AV193" i="77"/>
  <c r="AU193" i="77"/>
  <c r="AT193" i="77"/>
  <c r="AS193" i="77"/>
  <c r="AQ193" i="77"/>
  <c r="AP193" i="77"/>
  <c r="AN193" i="77"/>
  <c r="AM193" i="77"/>
  <c r="AL193" i="77"/>
  <c r="AK193" i="77"/>
  <c r="AJ193" i="77"/>
  <c r="AI193" i="77"/>
  <c r="AH193" i="77"/>
  <c r="AG193" i="77"/>
  <c r="AF193" i="77"/>
  <c r="AE193" i="77"/>
  <c r="AD193" i="77"/>
  <c r="AC193" i="77"/>
  <c r="AB193" i="77"/>
  <c r="AA193" i="77"/>
  <c r="Z193" i="77"/>
  <c r="Y193" i="77"/>
  <c r="X193" i="77"/>
  <c r="W193" i="77"/>
  <c r="V193" i="77"/>
  <c r="T193" i="77"/>
  <c r="S193" i="77"/>
  <c r="R193" i="77"/>
  <c r="O193" i="77"/>
  <c r="N193" i="77"/>
  <c r="K193" i="77"/>
  <c r="J193" i="77"/>
  <c r="G193" i="77"/>
  <c r="F193" i="77"/>
  <c r="DX192" i="77"/>
  <c r="DX191" i="77"/>
  <c r="DX190" i="77"/>
  <c r="DX189" i="77"/>
  <c r="DX195" i="77" s="1"/>
  <c r="DS192" i="77"/>
  <c r="DS191" i="77"/>
  <c r="DS190" i="77"/>
  <c r="DS189" i="77"/>
  <c r="CT192" i="77"/>
  <c r="CT191" i="77"/>
  <c r="CO192" i="77"/>
  <c r="CO191" i="77"/>
  <c r="CO189" i="77"/>
  <c r="CJ192" i="77"/>
  <c r="CJ191" i="77"/>
  <c r="CJ189" i="77"/>
  <c r="AW192" i="77"/>
  <c r="AV192" i="77"/>
  <c r="AU192" i="77"/>
  <c r="AT192" i="77"/>
  <c r="AS192" i="77"/>
  <c r="AR192" i="77"/>
  <c r="AQ192" i="77"/>
  <c r="AP192" i="77"/>
  <c r="AO192" i="77"/>
  <c r="AN192" i="77"/>
  <c r="AM192" i="77"/>
  <c r="AL192" i="77"/>
  <c r="AK192" i="77"/>
  <c r="AJ192" i="77"/>
  <c r="AI192" i="77"/>
  <c r="AH192" i="77"/>
  <c r="AG192" i="77"/>
  <c r="AF192" i="77"/>
  <c r="AE192" i="77"/>
  <c r="AD192" i="77"/>
  <c r="AC192" i="77"/>
  <c r="AB192" i="77"/>
  <c r="AA192" i="77"/>
  <c r="Z192" i="77"/>
  <c r="Y192" i="77"/>
  <c r="X192" i="77"/>
  <c r="W192" i="77"/>
  <c r="V192" i="77"/>
  <c r="U192" i="77"/>
  <c r="T192" i="77"/>
  <c r="S192" i="77"/>
  <c r="R192" i="77"/>
  <c r="Q192" i="77"/>
  <c r="P192" i="77"/>
  <c r="O192" i="77"/>
  <c r="N192" i="77"/>
  <c r="M192" i="77"/>
  <c r="L192" i="77"/>
  <c r="K192" i="77"/>
  <c r="J192" i="77"/>
  <c r="I192" i="77"/>
  <c r="H192" i="77"/>
  <c r="G192" i="77"/>
  <c r="F192" i="77"/>
  <c r="E192" i="77"/>
  <c r="CW191" i="77"/>
  <c r="V191" i="77" s="1"/>
  <c r="V258" i="77" s="1"/>
  <c r="CW190" i="77"/>
  <c r="CW195" i="77" s="1"/>
  <c r="CW209" i="77" s="1"/>
  <c r="CW189" i="77"/>
  <c r="AW191" i="77"/>
  <c r="AV191" i="77"/>
  <c r="AV258" i="77" s="1"/>
  <c r="AU191" i="77"/>
  <c r="AU258" i="77" s="1"/>
  <c r="AT191" i="77"/>
  <c r="AT258" i="77" s="1"/>
  <c r="AS191" i="77"/>
  <c r="AS258" i="77" s="1"/>
  <c r="AR191" i="77"/>
  <c r="AQ191" i="77"/>
  <c r="AQ258" i="77" s="1"/>
  <c r="AP191" i="77"/>
  <c r="AP258" i="77" s="1"/>
  <c r="AO191" i="77"/>
  <c r="AO258" i="77" s="1"/>
  <c r="AN191" i="77"/>
  <c r="AN258" i="77" s="1"/>
  <c r="AR258" i="77" s="1"/>
  <c r="AM191" i="77"/>
  <c r="AL191" i="77"/>
  <c r="AL258" i="77" s="1"/>
  <c r="AK191" i="77"/>
  <c r="AK258" i="77" s="1"/>
  <c r="AJ191" i="77"/>
  <c r="AJ258" i="77" s="1"/>
  <c r="AI191" i="77"/>
  <c r="AI258" i="77" s="1"/>
  <c r="AH191" i="77"/>
  <c r="AG191" i="77"/>
  <c r="AG258" i="77" s="1"/>
  <c r="AF191" i="77"/>
  <c r="AF258" i="77" s="1"/>
  <c r="AE191" i="77"/>
  <c r="AE258" i="77" s="1"/>
  <c r="AD191" i="77"/>
  <c r="AD258" i="77" s="1"/>
  <c r="AC191" i="77"/>
  <c r="AB191" i="77"/>
  <c r="AB258" i="77" s="1"/>
  <c r="AA191" i="77"/>
  <c r="AA258" i="77" s="1"/>
  <c r="Z191" i="77"/>
  <c r="Z258" i="77" s="1"/>
  <c r="Y191" i="77"/>
  <c r="Y258" i="77" s="1"/>
  <c r="X191" i="77"/>
  <c r="W191" i="77"/>
  <c r="W258" i="77" s="1"/>
  <c r="T191" i="77"/>
  <c r="T258" i="77" s="1"/>
  <c r="S191" i="77"/>
  <c r="R191" i="77"/>
  <c r="R258" i="77" s="1"/>
  <c r="Q191" i="77"/>
  <c r="Q258" i="77" s="1"/>
  <c r="P191" i="77"/>
  <c r="P258" i="77" s="1"/>
  <c r="O191" i="77"/>
  <c r="O258" i="77" s="1"/>
  <c r="N191" i="77"/>
  <c r="M191" i="77"/>
  <c r="M258" i="77" s="1"/>
  <c r="L191" i="77"/>
  <c r="L258" i="77" s="1"/>
  <c r="K191" i="77"/>
  <c r="K258" i="77" s="1"/>
  <c r="J191" i="77"/>
  <c r="J258" i="77" s="1"/>
  <c r="I191" i="77"/>
  <c r="H191" i="77"/>
  <c r="H258" i="77" s="1"/>
  <c r="G191" i="77"/>
  <c r="G258" i="77" s="1"/>
  <c r="F191" i="77"/>
  <c r="F258" i="77" s="1"/>
  <c r="E191" i="77"/>
  <c r="E258" i="77" s="1"/>
  <c r="CU190" i="77"/>
  <c r="S190" i="77" s="1"/>
  <c r="CU189" i="77"/>
  <c r="CT189" i="77" s="1"/>
  <c r="CS190" i="77"/>
  <c r="CR190" i="77"/>
  <c r="CR195" i="77" s="1"/>
  <c r="CR209" i="77" s="1"/>
  <c r="CQ190" i="77"/>
  <c r="CQ195" i="77" s="1"/>
  <c r="CQ209" i="77" s="1"/>
  <c r="CP190" i="77"/>
  <c r="CP195" i="77" s="1"/>
  <c r="CN190" i="77"/>
  <c r="CN195" i="77" s="1"/>
  <c r="CN209" i="77" s="1"/>
  <c r="CM190" i="77"/>
  <c r="L190" i="77" s="1"/>
  <c r="CL190" i="77"/>
  <c r="K190" i="77" s="1"/>
  <c r="CK190" i="77"/>
  <c r="H190" i="77" s="1"/>
  <c r="CI190" i="77"/>
  <c r="CI195" i="77" s="1"/>
  <c r="CI209" i="77" s="1"/>
  <c r="CI212" i="77" s="1"/>
  <c r="CH190" i="77"/>
  <c r="CG190" i="77"/>
  <c r="CG195" i="77" s="1"/>
  <c r="CG209" i="77" s="1"/>
  <c r="CG212" i="77" s="1"/>
  <c r="AW190" i="77"/>
  <c r="AV190" i="77"/>
  <c r="AU190" i="77"/>
  <c r="AT190" i="77"/>
  <c r="AT156" i="77" s="1"/>
  <c r="AS190" i="77"/>
  <c r="AR190" i="77"/>
  <c r="AQ190" i="77"/>
  <c r="AP190" i="77"/>
  <c r="AP156" i="77" s="1"/>
  <c r="AO190" i="77"/>
  <c r="AO195" i="77" s="1"/>
  <c r="AO209" i="77" s="1"/>
  <c r="AN190" i="77"/>
  <c r="AM190" i="77"/>
  <c r="AL190" i="77"/>
  <c r="AL156" i="77" s="1"/>
  <c r="AK190" i="77"/>
  <c r="AK195" i="77" s="1"/>
  <c r="AJ190" i="77"/>
  <c r="AI190" i="77"/>
  <c r="AH190" i="77"/>
  <c r="AH156" i="77" s="1"/>
  <c r="AG190" i="77"/>
  <c r="AG195" i="77" s="1"/>
  <c r="AG209" i="77" s="1"/>
  <c r="AF190" i="77"/>
  <c r="AE190" i="77"/>
  <c r="AD190" i="77"/>
  <c r="AD156" i="77" s="1"/>
  <c r="AC190" i="77"/>
  <c r="AB190" i="77"/>
  <c r="AA190" i="77"/>
  <c r="Z190" i="77"/>
  <c r="Z156" i="77" s="1"/>
  <c r="Y190" i="77"/>
  <c r="Y195" i="77" s="1"/>
  <c r="Y209" i="77" s="1"/>
  <c r="X190" i="77"/>
  <c r="W190" i="77"/>
  <c r="V190" i="77"/>
  <c r="V156" i="77" s="1"/>
  <c r="U190" i="77"/>
  <c r="T190" i="77"/>
  <c r="R190" i="77"/>
  <c r="R156" i="77" s="1"/>
  <c r="Q190" i="77"/>
  <c r="Q195" i="77" s="1"/>
  <c r="Q209" i="77" s="1"/>
  <c r="N190" i="77"/>
  <c r="N156" i="77" s="1"/>
  <c r="M190" i="77"/>
  <c r="M195" i="77" s="1"/>
  <c r="M209" i="77" s="1"/>
  <c r="J190" i="77"/>
  <c r="J156" i="77" s="1"/>
  <c r="I190" i="77"/>
  <c r="G190" i="77"/>
  <c r="F190" i="77"/>
  <c r="F156" i="77" s="1"/>
  <c r="AW189" i="77"/>
  <c r="AV189" i="77"/>
  <c r="AV195" i="77" s="1"/>
  <c r="AU189" i="77"/>
  <c r="AT189" i="77"/>
  <c r="AT195" i="77" s="1"/>
  <c r="AS189" i="77"/>
  <c r="AS195" i="77" s="1"/>
  <c r="AS209" i="77" s="1"/>
  <c r="AR189" i="77"/>
  <c r="AQ189" i="77"/>
  <c r="AQ195" i="77" s="1"/>
  <c r="AQ209" i="77" s="1"/>
  <c r="AP189" i="77"/>
  <c r="AP195" i="77" s="1"/>
  <c r="AO189" i="77"/>
  <c r="AN189" i="77"/>
  <c r="AM189" i="77"/>
  <c r="AL189" i="77"/>
  <c r="AL195" i="77" s="1"/>
  <c r="AK189" i="77"/>
  <c r="AJ189" i="77"/>
  <c r="AI189" i="77"/>
  <c r="AH189" i="77"/>
  <c r="AG189" i="77"/>
  <c r="AF189" i="77"/>
  <c r="AE189" i="77"/>
  <c r="AD189" i="77"/>
  <c r="AD195" i="77" s="1"/>
  <c r="AD209" i="77" s="1"/>
  <c r="AC189" i="77"/>
  <c r="AB189" i="77"/>
  <c r="AB195" i="77" s="1"/>
  <c r="AB209" i="77" s="1"/>
  <c r="AA189" i="77"/>
  <c r="Z189" i="77"/>
  <c r="Z195" i="77" s="1"/>
  <c r="Z209" i="77" s="1"/>
  <c r="Y189" i="77"/>
  <c r="X189" i="77"/>
  <c r="W189" i="77"/>
  <c r="W195" i="77" s="1"/>
  <c r="W209" i="77" s="1"/>
  <c r="V189" i="77"/>
  <c r="V195" i="77" s="1"/>
  <c r="U189" i="77"/>
  <c r="T189" i="77"/>
  <c r="S189" i="77"/>
  <c r="R189" i="77"/>
  <c r="R195" i="77" s="1"/>
  <c r="Q189" i="77"/>
  <c r="P189" i="77"/>
  <c r="O189" i="77"/>
  <c r="N189" i="77"/>
  <c r="M189" i="77"/>
  <c r="L189" i="77"/>
  <c r="L195" i="77" s="1"/>
  <c r="L209" i="77" s="1"/>
  <c r="K189" i="77"/>
  <c r="K195" i="77" s="1"/>
  <c r="K209" i="77" s="1"/>
  <c r="J189" i="77"/>
  <c r="J195" i="77" s="1"/>
  <c r="J209" i="77" s="1"/>
  <c r="I189" i="77"/>
  <c r="H189" i="77"/>
  <c r="G189" i="77"/>
  <c r="F189" i="77"/>
  <c r="F195" i="77" s="1"/>
  <c r="F209" i="77" s="1"/>
  <c r="E189" i="77"/>
  <c r="BQ185" i="77"/>
  <c r="BP185" i="77"/>
  <c r="BO185" i="77"/>
  <c r="BN185" i="77"/>
  <c r="BM185" i="77"/>
  <c r="BL185" i="77"/>
  <c r="BK185" i="77"/>
  <c r="BJ185" i="77"/>
  <c r="BI185" i="77"/>
  <c r="BH185" i="77"/>
  <c r="BG185" i="77"/>
  <c r="BF185" i="77"/>
  <c r="BE185" i="77"/>
  <c r="BD185" i="77"/>
  <c r="BC185" i="77"/>
  <c r="BB185" i="77"/>
  <c r="BA185" i="77"/>
  <c r="AZ185" i="77"/>
  <c r="AY185" i="77"/>
  <c r="AX185" i="77"/>
  <c r="AX181" i="77"/>
  <c r="AT178" i="77"/>
  <c r="AS178" i="77"/>
  <c r="AR178" i="77"/>
  <c r="AQ178" i="77"/>
  <c r="AP178" i="77"/>
  <c r="AO178" i="77"/>
  <c r="AN178" i="77"/>
  <c r="AM178" i="77"/>
  <c r="AL178" i="77"/>
  <c r="AK178" i="77"/>
  <c r="AJ178" i="77"/>
  <c r="AI178" i="77"/>
  <c r="AH178" i="77"/>
  <c r="AG178" i="77"/>
  <c r="AF178" i="77"/>
  <c r="AE178" i="77"/>
  <c r="AD178" i="77"/>
  <c r="AC178" i="77"/>
  <c r="AB178" i="77"/>
  <c r="AA178" i="77"/>
  <c r="Z178" i="77"/>
  <c r="Y178" i="77"/>
  <c r="X178" i="77"/>
  <c r="W178" i="77"/>
  <c r="V178" i="77"/>
  <c r="U178" i="77"/>
  <c r="T178" i="77"/>
  <c r="S178" i="77"/>
  <c r="R178" i="77"/>
  <c r="Q178" i="77"/>
  <c r="P178" i="77"/>
  <c r="O178" i="77"/>
  <c r="N178" i="77"/>
  <c r="M178" i="77"/>
  <c r="L178" i="77"/>
  <c r="K178" i="77"/>
  <c r="J178" i="77"/>
  <c r="I178" i="77"/>
  <c r="H178" i="77"/>
  <c r="G178" i="77"/>
  <c r="F178" i="77"/>
  <c r="E178" i="77"/>
  <c r="AU177" i="77"/>
  <c r="AT177" i="77"/>
  <c r="AS177" i="77"/>
  <c r="AR177" i="77"/>
  <c r="AQ177" i="77"/>
  <c r="AP177" i="77"/>
  <c r="AO177" i="77"/>
  <c r="AN177" i="77"/>
  <c r="AM177" i="77"/>
  <c r="AL177" i="77"/>
  <c r="AK177" i="77"/>
  <c r="AJ177" i="77"/>
  <c r="AI177" i="77"/>
  <c r="AH177" i="77"/>
  <c r="AG177" i="77"/>
  <c r="AF177" i="77"/>
  <c r="AE177" i="77"/>
  <c r="AD177" i="77"/>
  <c r="AC177" i="77"/>
  <c r="AB177" i="77"/>
  <c r="AA177" i="77"/>
  <c r="Z177" i="77"/>
  <c r="Y177" i="77"/>
  <c r="X177" i="77"/>
  <c r="W177" i="77"/>
  <c r="V177" i="77"/>
  <c r="U177" i="77"/>
  <c r="T177" i="77"/>
  <c r="S177" i="77"/>
  <c r="R177" i="77"/>
  <c r="Q177" i="77"/>
  <c r="P177" i="77"/>
  <c r="O177" i="77"/>
  <c r="N177" i="77"/>
  <c r="M177" i="77"/>
  <c r="L177" i="77"/>
  <c r="K177" i="77"/>
  <c r="J177" i="77"/>
  <c r="I177" i="77"/>
  <c r="H177" i="77"/>
  <c r="G177" i="77"/>
  <c r="F177" i="77"/>
  <c r="E177" i="77"/>
  <c r="E172" i="77"/>
  <c r="AU171" i="77"/>
  <c r="AT171" i="77"/>
  <c r="AS171" i="77"/>
  <c r="AP171" i="77"/>
  <c r="AO171" i="77"/>
  <c r="AN171" i="77"/>
  <c r="AK171" i="77"/>
  <c r="AJ171" i="77"/>
  <c r="AI171" i="77"/>
  <c r="AF171" i="77"/>
  <c r="AE171" i="77"/>
  <c r="AD171" i="77"/>
  <c r="AA171" i="77"/>
  <c r="Z171" i="77"/>
  <c r="Z172" i="77" s="1"/>
  <c r="Y171" i="77"/>
  <c r="V171" i="77"/>
  <c r="V172" i="77" s="1"/>
  <c r="U171" i="77"/>
  <c r="T171" i="77"/>
  <c r="O171" i="77"/>
  <c r="O172" i="77" s="1"/>
  <c r="J171" i="77"/>
  <c r="J172" i="77" s="1"/>
  <c r="E171" i="77"/>
  <c r="BG167" i="77"/>
  <c r="BD167" i="77"/>
  <c r="AW167" i="77"/>
  <c r="AV167" i="77"/>
  <c r="AV256" i="77" s="1"/>
  <c r="AU167" i="77"/>
  <c r="AU256" i="77" s="1"/>
  <c r="AT167" i="77"/>
  <c r="AT256" i="77" s="1"/>
  <c r="AS167" i="77"/>
  <c r="AS256" i="77" s="1"/>
  <c r="AR167" i="77"/>
  <c r="AQ167" i="77"/>
  <c r="AQ256" i="77" s="1"/>
  <c r="AP167" i="77"/>
  <c r="AP256" i="77" s="1"/>
  <c r="AO167" i="77"/>
  <c r="AO256" i="77" s="1"/>
  <c r="AN167" i="77"/>
  <c r="AN256" i="77" s="1"/>
  <c r="AR256" i="77" s="1"/>
  <c r="AM167" i="77"/>
  <c r="AM161" i="77" s="1"/>
  <c r="AL167" i="77"/>
  <c r="AL256" i="77" s="1"/>
  <c r="AK167" i="77"/>
  <c r="AK256" i="77" s="1"/>
  <c r="AJ167" i="77"/>
  <c r="AJ256" i="77" s="1"/>
  <c r="AI167" i="77"/>
  <c r="AI256" i="77" s="1"/>
  <c r="AH167" i="77"/>
  <c r="AG167" i="77"/>
  <c r="AG256" i="77" s="1"/>
  <c r="AF167" i="77"/>
  <c r="AF256" i="77" s="1"/>
  <c r="AE167" i="77"/>
  <c r="AE256" i="77" s="1"/>
  <c r="AD167" i="77"/>
  <c r="AD256" i="77" s="1"/>
  <c r="AC167" i="77"/>
  <c r="AB167" i="77"/>
  <c r="AB256" i="77" s="1"/>
  <c r="AA167" i="77"/>
  <c r="AA256" i="77" s="1"/>
  <c r="Z167" i="77"/>
  <c r="Z256" i="77" s="1"/>
  <c r="Y167" i="77"/>
  <c r="Y256" i="77" s="1"/>
  <c r="X167" i="77"/>
  <c r="X161" i="77" s="1"/>
  <c r="W167" i="77"/>
  <c r="W256" i="77" s="1"/>
  <c r="V167" i="77"/>
  <c r="V256" i="77" s="1"/>
  <c r="U167" i="77"/>
  <c r="U256" i="77" s="1"/>
  <c r="T167" i="77"/>
  <c r="T256" i="77" s="1"/>
  <c r="X256" i="77" s="1"/>
  <c r="S167" i="77"/>
  <c r="P161" i="77" s="1"/>
  <c r="R167" i="77"/>
  <c r="R256" i="77" s="1"/>
  <c r="Q167" i="77"/>
  <c r="Q256" i="77" s="1"/>
  <c r="P167" i="77"/>
  <c r="P256" i="77" s="1"/>
  <c r="O167" i="77"/>
  <c r="O256" i="77" s="1"/>
  <c r="N167" i="77"/>
  <c r="M167" i="77"/>
  <c r="M256" i="77" s="1"/>
  <c r="L167" i="77"/>
  <c r="L256" i="77" s="1"/>
  <c r="K167" i="77"/>
  <c r="K256" i="77" s="1"/>
  <c r="J167" i="77"/>
  <c r="J256" i="77" s="1"/>
  <c r="I167" i="77"/>
  <c r="G161" i="77" s="1"/>
  <c r="H167" i="77"/>
  <c r="H256" i="77" s="1"/>
  <c r="G167" i="77"/>
  <c r="G256" i="77" s="1"/>
  <c r="F167" i="77"/>
  <c r="F256" i="77" s="1"/>
  <c r="E167" i="77"/>
  <c r="E256" i="77" s="1"/>
  <c r="BQ165" i="77"/>
  <c r="BN165" i="77"/>
  <c r="BP164" i="77"/>
  <c r="BO164" i="77"/>
  <c r="BN164" i="77"/>
  <c r="BM164" i="77"/>
  <c r="BN163" i="77"/>
  <c r="BP163" i="77"/>
  <c r="BO163" i="77"/>
  <c r="BM163" i="77"/>
  <c r="BK166" i="77"/>
  <c r="BJ166" i="77"/>
  <c r="BI166" i="77"/>
  <c r="BH166" i="77"/>
  <c r="BK165" i="77"/>
  <c r="BJ165" i="77"/>
  <c r="BI165" i="77"/>
  <c r="BH165" i="77"/>
  <c r="BK164" i="77"/>
  <c r="BJ164" i="77"/>
  <c r="BI164" i="77"/>
  <c r="BH164" i="77"/>
  <c r="BK163" i="77"/>
  <c r="BK167" i="77" s="1"/>
  <c r="BJ163" i="77"/>
  <c r="BJ167" i="77" s="1"/>
  <c r="BI163" i="77"/>
  <c r="BI167" i="77" s="1"/>
  <c r="BI256" i="77" s="1"/>
  <c r="BH163" i="77"/>
  <c r="BH167" i="77" s="1"/>
  <c r="BF166" i="77"/>
  <c r="BE166" i="77"/>
  <c r="BD166" i="77"/>
  <c r="BC166" i="77"/>
  <c r="BF165" i="77"/>
  <c r="BE165" i="77"/>
  <c r="BD165" i="77"/>
  <c r="BC165" i="77"/>
  <c r="BF164" i="77"/>
  <c r="BE164" i="77"/>
  <c r="BD164" i="77"/>
  <c r="BC164" i="77"/>
  <c r="BF163" i="77"/>
  <c r="BF167" i="77" s="1"/>
  <c r="BE163" i="77"/>
  <c r="BE167" i="77" s="1"/>
  <c r="BD163" i="77"/>
  <c r="BC163" i="77"/>
  <c r="BC167" i="77" s="1"/>
  <c r="BA166" i="77"/>
  <c r="AZ166" i="77"/>
  <c r="AY166" i="77"/>
  <c r="AX166" i="77"/>
  <c r="BA165" i="77"/>
  <c r="AZ165" i="77"/>
  <c r="AY165" i="77"/>
  <c r="AX165" i="77"/>
  <c r="BA164" i="77"/>
  <c r="AZ164" i="77"/>
  <c r="AY164" i="77"/>
  <c r="AX164" i="77"/>
  <c r="BA163" i="77"/>
  <c r="BA167" i="77" s="1"/>
  <c r="AZ163" i="77"/>
  <c r="AZ167" i="77" s="1"/>
  <c r="AY163" i="77"/>
  <c r="AY167" i="77" s="1"/>
  <c r="AX163" i="77"/>
  <c r="AX167" i="77" s="1"/>
  <c r="AW161" i="77"/>
  <c r="AX161" i="77" s="1"/>
  <c r="AY161" i="77" s="1"/>
  <c r="AY154" i="77" s="1"/>
  <c r="AR161" i="77"/>
  <c r="AH161" i="77"/>
  <c r="AC161" i="77"/>
  <c r="Q161" i="77"/>
  <c r="N161" i="77"/>
  <c r="M161" i="77"/>
  <c r="L161" i="77"/>
  <c r="K161" i="77"/>
  <c r="J161" i="77"/>
  <c r="I161" i="77"/>
  <c r="H161" i="77"/>
  <c r="F161" i="77"/>
  <c r="E161" i="77"/>
  <c r="AC160" i="77"/>
  <c r="AT158" i="77"/>
  <c r="AT257" i="77" s="1"/>
  <c r="AM158" i="77"/>
  <c r="AH158" i="77"/>
  <c r="AD158" i="77"/>
  <c r="AD257" i="77" s="1"/>
  <c r="Z158" i="77"/>
  <c r="Z257" i="77" s="1"/>
  <c r="W158" i="77"/>
  <c r="V158" i="77"/>
  <c r="V257" i="77" s="1"/>
  <c r="N158" i="77"/>
  <c r="N160" i="77" s="1"/>
  <c r="J158" i="77"/>
  <c r="J257" i="77" s="1"/>
  <c r="F158" i="77"/>
  <c r="F257" i="77" s="1"/>
  <c r="AT157" i="77"/>
  <c r="AP157" i="77"/>
  <c r="AP158" i="77" s="1"/>
  <c r="AO157" i="77"/>
  <c r="AJ157" i="77"/>
  <c r="AK157" i="77" s="1"/>
  <c r="AG157" i="77"/>
  <c r="AF157" i="77"/>
  <c r="AE157" i="77"/>
  <c r="AA157" i="77"/>
  <c r="AB157" i="77" s="1"/>
  <c r="W157" i="77"/>
  <c r="V157" i="77"/>
  <c r="R157" i="77"/>
  <c r="R158" i="77" s="1"/>
  <c r="Q157" i="77"/>
  <c r="P157" i="77"/>
  <c r="O157" i="77"/>
  <c r="M157" i="77"/>
  <c r="L157" i="77"/>
  <c r="K157" i="77"/>
  <c r="J157" i="77"/>
  <c r="H157" i="77"/>
  <c r="G157" i="77"/>
  <c r="G158" i="77" s="1"/>
  <c r="F157" i="77"/>
  <c r="E157" i="77"/>
  <c r="BC157" i="77"/>
  <c r="BH157" i="77" s="1"/>
  <c r="AX157" i="77"/>
  <c r="AW156" i="77"/>
  <c r="AW158" i="77" s="1"/>
  <c r="AW160" i="77" s="1"/>
  <c r="AV156" i="77"/>
  <c r="AU156" i="77"/>
  <c r="AS156" i="77"/>
  <c r="AS158" i="77" s="1"/>
  <c r="AS257" i="77" s="1"/>
  <c r="AR156" i="77"/>
  <c r="AR158" i="77" s="1"/>
  <c r="AQ156" i="77"/>
  <c r="AO156" i="77"/>
  <c r="AO158" i="77" s="1"/>
  <c r="AO257" i="77" s="1"/>
  <c r="AN156" i="77"/>
  <c r="AN158" i="77" s="1"/>
  <c r="AM156" i="77"/>
  <c r="AK156" i="77"/>
  <c r="AK158" i="77" s="1"/>
  <c r="AK257" i="77" s="1"/>
  <c r="AJ156" i="77"/>
  <c r="AJ158" i="77" s="1"/>
  <c r="AI156" i="77"/>
  <c r="AI158" i="77" s="1"/>
  <c r="AG156" i="77"/>
  <c r="AF156" i="77"/>
  <c r="AF158" i="77" s="1"/>
  <c r="AE156" i="77"/>
  <c r="AE158" i="77" s="1"/>
  <c r="AC156" i="77"/>
  <c r="AC158" i="77" s="1"/>
  <c r="AB156" i="77"/>
  <c r="AA156" i="77"/>
  <c r="AA158" i="77" s="1"/>
  <c r="Y156" i="77"/>
  <c r="Y158" i="77" s="1"/>
  <c r="Y257" i="77" s="1"/>
  <c r="X156" i="77"/>
  <c r="X158" i="77" s="1"/>
  <c r="X160" i="77" s="1"/>
  <c r="W156" i="77"/>
  <c r="U156" i="77"/>
  <c r="U158" i="77" s="1"/>
  <c r="U257" i="77" s="1"/>
  <c r="T156" i="77"/>
  <c r="T158" i="77" s="1"/>
  <c r="S156" i="77"/>
  <c r="S158" i="77" s="1"/>
  <c r="S160" i="77" s="1"/>
  <c r="Q156" i="77"/>
  <c r="M156" i="77"/>
  <c r="L156" i="77"/>
  <c r="K156" i="77"/>
  <c r="K158" i="77" s="1"/>
  <c r="I156" i="77"/>
  <c r="I158" i="77" s="1"/>
  <c r="I160" i="77" s="1"/>
  <c r="H156" i="77"/>
  <c r="G156" i="77"/>
  <c r="AU154" i="77"/>
  <c r="AU161" i="77" s="1"/>
  <c r="AT154" i="77"/>
  <c r="AT161" i="77" s="1"/>
  <c r="AN154" i="77"/>
  <c r="AO154" i="77" s="1"/>
  <c r="AO150" i="77" s="1"/>
  <c r="AO152" i="77" s="1"/>
  <c r="AI154" i="77"/>
  <c r="AD154" i="77"/>
  <c r="AD172" i="77" s="1"/>
  <c r="AA154" i="77"/>
  <c r="AA161" i="77" s="1"/>
  <c r="Y154" i="77"/>
  <c r="Z154" i="77" s="1"/>
  <c r="Z161" i="77" s="1"/>
  <c r="W154" i="77"/>
  <c r="V154" i="77"/>
  <c r="R154" i="77"/>
  <c r="R161" i="77" s="1"/>
  <c r="M154" i="77"/>
  <c r="H154" i="77"/>
  <c r="AW152" i="77"/>
  <c r="AR152" i="77"/>
  <c r="AM152" i="77"/>
  <c r="AC152" i="77"/>
  <c r="AH160" i="77" s="1"/>
  <c r="X152" i="77"/>
  <c r="S152" i="77"/>
  <c r="P152" i="77"/>
  <c r="O152" i="77"/>
  <c r="K152" i="77"/>
  <c r="I152" i="77"/>
  <c r="J160" i="77" s="1"/>
  <c r="E152" i="77"/>
  <c r="AV151" i="77"/>
  <c r="AV150" i="77"/>
  <c r="AV152" i="77" s="1"/>
  <c r="AQ151" i="77"/>
  <c r="AQ150" i="77"/>
  <c r="AQ152" i="77" s="1"/>
  <c r="AL151" i="77"/>
  <c r="AL150" i="77"/>
  <c r="AB151" i="77"/>
  <c r="AB152" i="77" s="1"/>
  <c r="AB150" i="77"/>
  <c r="R151" i="77"/>
  <c r="R150" i="77"/>
  <c r="R152" i="77" s="1"/>
  <c r="M151" i="77"/>
  <c r="M150" i="77"/>
  <c r="M152" i="77" s="1"/>
  <c r="H151" i="77"/>
  <c r="H150" i="77"/>
  <c r="H152" i="77" s="1"/>
  <c r="AU150" i="77"/>
  <c r="AU152" i="77" s="1"/>
  <c r="AT150" i="77"/>
  <c r="AT152" i="77" s="1"/>
  <c r="AR150" i="77"/>
  <c r="AM150" i="77"/>
  <c r="AH150" i="77"/>
  <c r="AH152" i="77" s="1"/>
  <c r="AD150" i="77"/>
  <c r="AD152" i="77" s="1"/>
  <c r="AC150" i="77"/>
  <c r="AA150" i="77"/>
  <c r="AA152" i="77" s="1"/>
  <c r="Z150" i="77"/>
  <c r="Z152" i="77" s="1"/>
  <c r="X150" i="77"/>
  <c r="V150" i="77"/>
  <c r="V152" i="77" s="1"/>
  <c r="S150" i="77"/>
  <c r="Q150" i="77"/>
  <c r="Q152" i="77" s="1"/>
  <c r="P150" i="77"/>
  <c r="O150" i="77"/>
  <c r="N150" i="77"/>
  <c r="N152" i="77" s="1"/>
  <c r="L150" i="77"/>
  <c r="L152" i="77" s="1"/>
  <c r="K150" i="77"/>
  <c r="J150" i="77"/>
  <c r="J152" i="77" s="1"/>
  <c r="I150" i="77"/>
  <c r="G150" i="77"/>
  <c r="G152" i="77" s="1"/>
  <c r="F150" i="77"/>
  <c r="F152" i="77" s="1"/>
  <c r="E150" i="77"/>
  <c r="F146" i="77"/>
  <c r="AW146" i="77"/>
  <c r="AE146" i="77"/>
  <c r="AA146" i="77"/>
  <c r="V146" i="77"/>
  <c r="Q146" i="77"/>
  <c r="K146" i="77"/>
  <c r="AW145" i="77"/>
  <c r="AU145" i="77"/>
  <c r="AT145" i="77"/>
  <c r="AT146" i="77" s="1"/>
  <c r="AS145" i="77"/>
  <c r="AS146" i="77" s="1"/>
  <c r="AR145" i="77"/>
  <c r="AR146" i="77" s="1"/>
  <c r="AP145" i="77"/>
  <c r="AU146" i="77" s="1"/>
  <c r="AO145" i="77"/>
  <c r="AO146" i="77" s="1"/>
  <c r="AN145" i="77"/>
  <c r="AN146" i="77" s="1"/>
  <c r="AM145" i="77"/>
  <c r="AK145" i="77"/>
  <c r="AK146" i="77" s="1"/>
  <c r="AJ145" i="77"/>
  <c r="AJ146" i="77" s="1"/>
  <c r="AI145" i="77"/>
  <c r="AI146" i="77" s="1"/>
  <c r="AH145" i="77"/>
  <c r="AM146" i="77" s="1"/>
  <c r="AF145" i="77"/>
  <c r="AE145" i="77"/>
  <c r="AD145" i="77"/>
  <c r="AD146" i="77" s="1"/>
  <c r="AC145" i="77"/>
  <c r="AC146" i="77" s="1"/>
  <c r="AA145" i="77"/>
  <c r="Z145" i="77"/>
  <c r="Y145" i="77"/>
  <c r="Y146" i="77" s="1"/>
  <c r="X145" i="77"/>
  <c r="X146" i="77" s="1"/>
  <c r="V145" i="77"/>
  <c r="U145" i="77"/>
  <c r="Z146" i="77" s="1"/>
  <c r="T145" i="77"/>
  <c r="T146" i="77" s="1"/>
  <c r="S145" i="77"/>
  <c r="S146" i="77" s="1"/>
  <c r="Q145" i="77"/>
  <c r="P145" i="77"/>
  <c r="P146" i="77" s="1"/>
  <c r="O145" i="77"/>
  <c r="O146" i="77" s="1"/>
  <c r="N145" i="77"/>
  <c r="N146" i="77" s="1"/>
  <c r="L145" i="77"/>
  <c r="L146" i="77" s="1"/>
  <c r="K145" i="77"/>
  <c r="J145" i="77"/>
  <c r="I145" i="77"/>
  <c r="G145" i="77"/>
  <c r="G146" i="77" s="1"/>
  <c r="F145" i="77"/>
  <c r="E145" i="77"/>
  <c r="BQ141" i="77"/>
  <c r="BL141" i="77"/>
  <c r="BG141" i="77"/>
  <c r="BB141" i="77"/>
  <c r="AO141" i="77"/>
  <c r="AJ141" i="77"/>
  <c r="AH141" i="77"/>
  <c r="AC141" i="77"/>
  <c r="X141" i="77"/>
  <c r="S141" i="77"/>
  <c r="N141" i="77"/>
  <c r="S135" i="77"/>
  <c r="S136" i="77" s="1"/>
  <c r="O135" i="77"/>
  <c r="N135" i="77"/>
  <c r="K135" i="77"/>
  <c r="K136" i="77" s="1"/>
  <c r="J135" i="77"/>
  <c r="G135" i="77"/>
  <c r="F135" i="77"/>
  <c r="S133" i="77"/>
  <c r="O133" i="77"/>
  <c r="N133" i="77"/>
  <c r="L133" i="77"/>
  <c r="K133" i="77"/>
  <c r="J133" i="77"/>
  <c r="G133" i="77"/>
  <c r="F133" i="77"/>
  <c r="S132" i="77"/>
  <c r="Q132" i="77"/>
  <c r="P132" i="77"/>
  <c r="P135" i="77" s="1"/>
  <c r="P136" i="77" s="1"/>
  <c r="O132" i="77"/>
  <c r="N132" i="77"/>
  <c r="L132" i="77"/>
  <c r="L135" i="77" s="1"/>
  <c r="L136" i="77" s="1"/>
  <c r="K132" i="77"/>
  <c r="J132" i="77"/>
  <c r="I132" i="77"/>
  <c r="G132" i="77"/>
  <c r="F132" i="77"/>
  <c r="E132" i="77"/>
  <c r="AV129" i="77"/>
  <c r="AQ129" i="77"/>
  <c r="AL129" i="77"/>
  <c r="AG129" i="77"/>
  <c r="AB129" i="77"/>
  <c r="W129" i="77"/>
  <c r="AS125" i="77"/>
  <c r="AO125" i="77"/>
  <c r="AK125" i="77"/>
  <c r="AG125" i="77"/>
  <c r="Y125" i="77"/>
  <c r="U125" i="77"/>
  <c r="S125" i="77"/>
  <c r="R125" i="77"/>
  <c r="Q125" i="77"/>
  <c r="P125" i="77"/>
  <c r="O125" i="77"/>
  <c r="N125" i="77"/>
  <c r="M125" i="77"/>
  <c r="L125" i="77"/>
  <c r="K125" i="77"/>
  <c r="J125" i="77"/>
  <c r="I125" i="77"/>
  <c r="H125" i="77"/>
  <c r="G125" i="77"/>
  <c r="F125" i="77"/>
  <c r="E125" i="77"/>
  <c r="AA123" i="77"/>
  <c r="S123" i="77"/>
  <c r="R123" i="77"/>
  <c r="Q123" i="77"/>
  <c r="P123" i="77"/>
  <c r="O123" i="77"/>
  <c r="N123" i="77"/>
  <c r="M123" i="77"/>
  <c r="L123" i="77"/>
  <c r="K123" i="77"/>
  <c r="J123" i="77"/>
  <c r="AU121" i="77"/>
  <c r="AT121" i="77"/>
  <c r="AS121" i="77"/>
  <c r="AS123" i="77" s="1"/>
  <c r="AP121" i="77"/>
  <c r="AP123" i="77" s="1"/>
  <c r="AO121" i="77"/>
  <c r="AO123" i="77" s="1"/>
  <c r="AN121" i="77"/>
  <c r="AL121" i="77"/>
  <c r="AL123" i="77" s="1"/>
  <c r="AK121" i="77"/>
  <c r="AK123" i="77" s="1"/>
  <c r="AJ121" i="77"/>
  <c r="AI121" i="77"/>
  <c r="AM121" i="77" s="1"/>
  <c r="AG121" i="77"/>
  <c r="AG123" i="77" s="1"/>
  <c r="AF121" i="77"/>
  <c r="AE121" i="77"/>
  <c r="AE123" i="77" s="1"/>
  <c r="AD121" i="77"/>
  <c r="AD123" i="77" s="1"/>
  <c r="AB121" i="77"/>
  <c r="AA121" i="77"/>
  <c r="Z121" i="77"/>
  <c r="Z123" i="77" s="1"/>
  <c r="Y121" i="77"/>
  <c r="Y123" i="77" s="1"/>
  <c r="W121" i="77"/>
  <c r="W123" i="77" s="1"/>
  <c r="V121" i="77"/>
  <c r="V123" i="77" s="1"/>
  <c r="U121" i="77"/>
  <c r="U123" i="77" s="1"/>
  <c r="T121" i="77"/>
  <c r="T123" i="77" s="1"/>
  <c r="AH120" i="77"/>
  <c r="AH119" i="77"/>
  <c r="AC120" i="77"/>
  <c r="AC119" i="77"/>
  <c r="X120" i="77"/>
  <c r="X119" i="77"/>
  <c r="AW120" i="77"/>
  <c r="AV120" i="77"/>
  <c r="AW119" i="77"/>
  <c r="AV119" i="77"/>
  <c r="AV121" i="77" s="1"/>
  <c r="AR120" i="77"/>
  <c r="AQ120" i="77"/>
  <c r="AR119" i="77"/>
  <c r="AQ119" i="77"/>
  <c r="AQ121" i="77" s="1"/>
  <c r="AQ123" i="77" s="1"/>
  <c r="AM120" i="77"/>
  <c r="AL120" i="77"/>
  <c r="AM119" i="77"/>
  <c r="AL119" i="77"/>
  <c r="AU116" i="77"/>
  <c r="AU125" i="77" s="1"/>
  <c r="AT116" i="77"/>
  <c r="AS116" i="77"/>
  <c r="AQ116" i="77"/>
  <c r="AP116" i="77"/>
  <c r="AO116" i="77"/>
  <c r="AN116" i="77"/>
  <c r="AN125" i="77" s="1"/>
  <c r="AL116" i="77"/>
  <c r="AK116" i="77"/>
  <c r="AJ116" i="77"/>
  <c r="AJ125" i="77" s="1"/>
  <c r="AI116" i="77"/>
  <c r="AI125" i="77" s="1"/>
  <c r="AG116" i="77"/>
  <c r="AF116" i="77"/>
  <c r="AF125" i="77" s="1"/>
  <c r="AE116" i="77"/>
  <c r="AE125" i="77" s="1"/>
  <c r="AD116" i="77"/>
  <c r="AB116" i="77"/>
  <c r="AB125" i="77" s="1"/>
  <c r="AA116" i="77"/>
  <c r="AA125" i="77" s="1"/>
  <c r="Z116" i="77"/>
  <c r="Y116" i="77"/>
  <c r="W116" i="77"/>
  <c r="V116" i="77"/>
  <c r="U116" i="77"/>
  <c r="T116" i="77"/>
  <c r="T125" i="77" s="1"/>
  <c r="AH115" i="77"/>
  <c r="AH114" i="77"/>
  <c r="AC115" i="77"/>
  <c r="AC114" i="77"/>
  <c r="X115" i="77"/>
  <c r="X114" i="77"/>
  <c r="AW115" i="77"/>
  <c r="AV115" i="77"/>
  <c r="AV114" i="77"/>
  <c r="AV116" i="77" s="1"/>
  <c r="AR115" i="77"/>
  <c r="AQ115" i="77"/>
  <c r="AQ114" i="77"/>
  <c r="AR114" i="77" s="1"/>
  <c r="AM115" i="77"/>
  <c r="AL115" i="77"/>
  <c r="AL114" i="77"/>
  <c r="AM114" i="77" s="1"/>
  <c r="AS108" i="77"/>
  <c r="AU107" i="77"/>
  <c r="AU108" i="77" s="1"/>
  <c r="AT107" i="77"/>
  <c r="AT108" i="77" s="1"/>
  <c r="AS107" i="77"/>
  <c r="AO108" i="77"/>
  <c r="AN108" i="77"/>
  <c r="AP107" i="77"/>
  <c r="AP108" i="77" s="1"/>
  <c r="AO107" i="77"/>
  <c r="AN107" i="77"/>
  <c r="AJ108" i="77"/>
  <c r="AK107" i="77"/>
  <c r="AK108" i="77" s="1"/>
  <c r="AJ107" i="77"/>
  <c r="AI107" i="77"/>
  <c r="AI108" i="77" s="1"/>
  <c r="AG107" i="77"/>
  <c r="AG108" i="77" s="1"/>
  <c r="AF107" i="77"/>
  <c r="AF108" i="77" s="1"/>
  <c r="AE107" i="77"/>
  <c r="AE108" i="77" s="1"/>
  <c r="AD107" i="77"/>
  <c r="AD108" i="77" s="1"/>
  <c r="AB107" i="77"/>
  <c r="AB108" i="77" s="1"/>
  <c r="AA107" i="77"/>
  <c r="AA108" i="77" s="1"/>
  <c r="Z107" i="77"/>
  <c r="Z108" i="77" s="1"/>
  <c r="Y107" i="77"/>
  <c r="Y108" i="77" s="1"/>
  <c r="AM105" i="77"/>
  <c r="AH105" i="77"/>
  <c r="AH104" i="77"/>
  <c r="AC105" i="77"/>
  <c r="AC104" i="77"/>
  <c r="AW105" i="77"/>
  <c r="AW104" i="77"/>
  <c r="AQ105" i="77"/>
  <c r="AR105" i="77" s="1"/>
  <c r="AR104" i="77"/>
  <c r="AQ104" i="77"/>
  <c r="AL104" i="77"/>
  <c r="AM104" i="77" s="1"/>
  <c r="AH101" i="77"/>
  <c r="AH100" i="77"/>
  <c r="AC101" i="77"/>
  <c r="AC100" i="77"/>
  <c r="AW101" i="77"/>
  <c r="AV100" i="77"/>
  <c r="AR101" i="77"/>
  <c r="AQ101" i="77"/>
  <c r="AQ100" i="77"/>
  <c r="AM101" i="77"/>
  <c r="AL101" i="77"/>
  <c r="AL100" i="77"/>
  <c r="AV89" i="77"/>
  <c r="AQ89" i="77"/>
  <c r="AL89" i="77"/>
  <c r="AG89" i="77"/>
  <c r="AB89" i="77"/>
  <c r="W89" i="77"/>
  <c r="S85" i="77"/>
  <c r="Q85" i="77"/>
  <c r="P85" i="77"/>
  <c r="O85" i="77"/>
  <c r="N85" i="77"/>
  <c r="L85" i="77"/>
  <c r="K85" i="77"/>
  <c r="J85" i="77"/>
  <c r="I85" i="77"/>
  <c r="G85" i="77"/>
  <c r="F85" i="77"/>
  <c r="E85" i="77"/>
  <c r="S83" i="77"/>
  <c r="Q83" i="77"/>
  <c r="P83" i="77"/>
  <c r="O83" i="77"/>
  <c r="N83" i="77"/>
  <c r="L83" i="77"/>
  <c r="K83" i="77"/>
  <c r="J83" i="77"/>
  <c r="AU81" i="77"/>
  <c r="AU85" i="77" s="1"/>
  <c r="AT81" i="77"/>
  <c r="AT83" i="77" s="1"/>
  <c r="AS81" i="77"/>
  <c r="AP81" i="77"/>
  <c r="AP83" i="77" s="1"/>
  <c r="AO81" i="77"/>
  <c r="AO83" i="77" s="1"/>
  <c r="AN81" i="77"/>
  <c r="AN83" i="77" s="1"/>
  <c r="AK81" i="77"/>
  <c r="AK83" i="77" s="1"/>
  <c r="AJ81" i="77"/>
  <c r="AJ83" i="77" s="1"/>
  <c r="AI81" i="77"/>
  <c r="AI85" i="77" s="1"/>
  <c r="AG81" i="77"/>
  <c r="AG83" i="77" s="1"/>
  <c r="AF81" i="77"/>
  <c r="AF83" i="77" s="1"/>
  <c r="AE81" i="77"/>
  <c r="AE85" i="77" s="1"/>
  <c r="AD81" i="77"/>
  <c r="AD83" i="77" s="1"/>
  <c r="AB81" i="77"/>
  <c r="AB83" i="77" s="1"/>
  <c r="AA81" i="77"/>
  <c r="AA85" i="77" s="1"/>
  <c r="Z81" i="77"/>
  <c r="Z83" i="77" s="1"/>
  <c r="Y81" i="77"/>
  <c r="Y83" i="77" s="1"/>
  <c r="W81" i="77"/>
  <c r="W85" i="77" s="1"/>
  <c r="V81" i="77"/>
  <c r="V83" i="77" s="1"/>
  <c r="U81" i="77"/>
  <c r="U83" i="77" s="1"/>
  <c r="T81" i="77"/>
  <c r="T83" i="77" s="1"/>
  <c r="R81" i="77"/>
  <c r="R83" i="77" s="1"/>
  <c r="M81" i="77"/>
  <c r="H81" i="77"/>
  <c r="M83" i="77" s="1"/>
  <c r="AV80" i="77"/>
  <c r="AV79" i="77"/>
  <c r="AV81" i="77" s="1"/>
  <c r="AV78" i="77"/>
  <c r="AV77" i="77"/>
  <c r="AQ80" i="77"/>
  <c r="AQ79" i="77"/>
  <c r="AQ81" i="77" s="1"/>
  <c r="AQ83" i="77" s="1"/>
  <c r="AQ78" i="77"/>
  <c r="AQ77" i="77"/>
  <c r="AL80" i="77"/>
  <c r="AL79" i="77"/>
  <c r="AL78" i="77"/>
  <c r="AL77" i="77"/>
  <c r="AL81" i="77" s="1"/>
  <c r="AL83" i="77" s="1"/>
  <c r="AH80" i="77"/>
  <c r="AH79" i="77"/>
  <c r="AH78" i="77"/>
  <c r="AH77" i="77"/>
  <c r="AC80" i="77"/>
  <c r="AC79" i="77"/>
  <c r="AC78" i="77"/>
  <c r="AC77" i="77"/>
  <c r="X80" i="77"/>
  <c r="X79" i="77"/>
  <c r="X78" i="77"/>
  <c r="X77" i="77"/>
  <c r="AW74" i="77"/>
  <c r="AU74" i="77"/>
  <c r="AT74" i="77"/>
  <c r="AS74" i="77"/>
  <c r="AS85" i="77" s="1"/>
  <c r="AR74" i="77"/>
  <c r="AP74" i="77"/>
  <c r="AO74" i="77"/>
  <c r="AO85" i="77" s="1"/>
  <c r="AN74" i="77"/>
  <c r="AN85" i="77" s="1"/>
  <c r="AM74" i="77"/>
  <c r="AK74" i="77"/>
  <c r="AK85" i="77" s="1"/>
  <c r="AJ74" i="77"/>
  <c r="AJ85" i="77" s="1"/>
  <c r="AI74" i="77"/>
  <c r="AG74" i="77"/>
  <c r="AF74" i="77"/>
  <c r="AF85" i="77" s="1"/>
  <c r="AE74" i="77"/>
  <c r="AD74" i="77"/>
  <c r="AB74" i="77"/>
  <c r="AB85" i="77" s="1"/>
  <c r="AA74" i="77"/>
  <c r="Z74" i="77"/>
  <c r="Y74" i="77"/>
  <c r="W74" i="77"/>
  <c r="V74" i="77"/>
  <c r="U74" i="77"/>
  <c r="T74" i="77"/>
  <c r="R74" i="77"/>
  <c r="M74" i="77"/>
  <c r="M85" i="77" s="1"/>
  <c r="H74" i="77"/>
  <c r="AV73" i="77"/>
  <c r="AV72" i="77"/>
  <c r="AV71" i="77"/>
  <c r="AV70" i="77"/>
  <c r="AV69" i="77"/>
  <c r="AV74" i="77" s="1"/>
  <c r="AQ73" i="77"/>
  <c r="AQ72" i="77"/>
  <c r="AQ71" i="77"/>
  <c r="AQ70" i="77"/>
  <c r="AQ69" i="77"/>
  <c r="AQ74" i="77" s="1"/>
  <c r="AL73" i="77"/>
  <c r="AL72" i="77"/>
  <c r="AL71" i="77"/>
  <c r="AL70" i="77"/>
  <c r="AL69" i="77"/>
  <c r="AH73" i="77"/>
  <c r="AH72" i="77"/>
  <c r="AH71" i="77"/>
  <c r="AH70" i="77"/>
  <c r="AH69" i="77"/>
  <c r="AC73" i="77"/>
  <c r="AC72" i="77"/>
  <c r="AC71" i="77"/>
  <c r="AC70" i="77"/>
  <c r="AC69" i="77"/>
  <c r="X73" i="77"/>
  <c r="X72" i="77"/>
  <c r="X71" i="77"/>
  <c r="X70" i="77"/>
  <c r="X69" i="77"/>
  <c r="BL63" i="77"/>
  <c r="BG63" i="77"/>
  <c r="BB63" i="77"/>
  <c r="AR63" i="77"/>
  <c r="AM63" i="77"/>
  <c r="AH63" i="77"/>
  <c r="AC63" i="77"/>
  <c r="X65" i="77"/>
  <c r="X64" i="77"/>
  <c r="X63" i="77"/>
  <c r="BK63" i="77"/>
  <c r="BJ63" i="77"/>
  <c r="BI63" i="77"/>
  <c r="BH63" i="77"/>
  <c r="BF63" i="77"/>
  <c r="BE63" i="77"/>
  <c r="BD63" i="77"/>
  <c r="BC63" i="77"/>
  <c r="BA63" i="77"/>
  <c r="AZ63" i="77"/>
  <c r="AY63" i="77"/>
  <c r="AX63" i="77"/>
  <c r="AU63" i="77"/>
  <c r="AT63" i="77"/>
  <c r="AS63" i="77"/>
  <c r="AQ63" i="77"/>
  <c r="AP63" i="77"/>
  <c r="AO63" i="77"/>
  <c r="AN63" i="77"/>
  <c r="AL63" i="77"/>
  <c r="AK63" i="77"/>
  <c r="AJ63" i="77"/>
  <c r="AI63" i="77"/>
  <c r="AG63" i="77"/>
  <c r="AF63" i="77"/>
  <c r="AE63" i="77"/>
  <c r="AD63" i="77"/>
  <c r="AB63" i="77"/>
  <c r="AA63" i="77"/>
  <c r="Z63" i="77"/>
  <c r="Y63" i="77"/>
  <c r="W63" i="77"/>
  <c r="V63" i="77"/>
  <c r="U63" i="77"/>
  <c r="T63" i="77"/>
  <c r="S63" i="77"/>
  <c r="R63" i="77"/>
  <c r="Q63" i="77"/>
  <c r="P63" i="77"/>
  <c r="O63" i="77"/>
  <c r="N63" i="77"/>
  <c r="M63" i="77"/>
  <c r="L63" i="77"/>
  <c r="K63" i="77"/>
  <c r="J63" i="77"/>
  <c r="I63" i="77"/>
  <c r="BP60" i="77"/>
  <c r="BO60" i="77" s="1"/>
  <c r="BN60" i="77" s="1"/>
  <c r="BK60" i="77"/>
  <c r="BJ60" i="77" s="1"/>
  <c r="BI60" i="77" s="1"/>
  <c r="BH60" i="77" s="1"/>
  <c r="BF60" i="77"/>
  <c r="BE60" i="77" s="1"/>
  <c r="BD60" i="77" s="1"/>
  <c r="BC60" i="77" s="1"/>
  <c r="BA60" i="77"/>
  <c r="AZ60" i="77" s="1"/>
  <c r="AY60" i="77" s="1"/>
  <c r="AX60" i="77" s="1"/>
  <c r="BQ58" i="77"/>
  <c r="BP58" i="77"/>
  <c r="BP146" i="77" s="1"/>
  <c r="BO58" i="77"/>
  <c r="BP57" i="77"/>
  <c r="BP143" i="77" s="1"/>
  <c r="BK58" i="77"/>
  <c r="BK146" i="77" s="1"/>
  <c r="BJ58" i="77"/>
  <c r="BK57" i="77"/>
  <c r="BK143" i="77" s="1"/>
  <c r="BF58" i="77"/>
  <c r="BF146" i="77" s="1"/>
  <c r="BE58" i="77"/>
  <c r="BF57" i="77"/>
  <c r="BF143" i="77" s="1"/>
  <c r="BA58" i="77"/>
  <c r="BA146" i="77" s="1"/>
  <c r="AZ58" i="77"/>
  <c r="AU58" i="77"/>
  <c r="AT58" i="77"/>
  <c r="AS58" i="77"/>
  <c r="AR58" i="77"/>
  <c r="AO58" i="77"/>
  <c r="AN58" i="77"/>
  <c r="AM58" i="77"/>
  <c r="AK58" i="77"/>
  <c r="AJ58" i="77"/>
  <c r="AI58" i="77"/>
  <c r="AE58" i="77"/>
  <c r="AD58" i="77"/>
  <c r="AC58" i="77"/>
  <c r="AA58" i="77"/>
  <c r="Z58" i="77"/>
  <c r="Y58" i="77"/>
  <c r="X58" i="77"/>
  <c r="V58" i="77"/>
  <c r="T58" i="77"/>
  <c r="S58" i="77"/>
  <c r="Q58" i="77"/>
  <c r="P58" i="77"/>
  <c r="O58" i="77"/>
  <c r="N58" i="77"/>
  <c r="L58" i="77"/>
  <c r="K58" i="77"/>
  <c r="BA57" i="77"/>
  <c r="BA143" i="77" s="1"/>
  <c r="AZ57" i="77"/>
  <c r="BP55" i="77"/>
  <c r="BP127" i="77" s="1"/>
  <c r="BO55" i="77"/>
  <c r="BO127" i="77" s="1"/>
  <c r="BN55" i="77"/>
  <c r="BN127" i="77" s="1"/>
  <c r="BM55" i="77"/>
  <c r="BM127" i="77" s="1"/>
  <c r="BK55" i="77"/>
  <c r="BK127" i="77" s="1"/>
  <c r="BJ55" i="77"/>
  <c r="BJ127" i="77" s="1"/>
  <c r="BI55" i="77"/>
  <c r="BI127" i="77" s="1"/>
  <c r="BH55" i="77"/>
  <c r="BH127" i="77" s="1"/>
  <c r="BF55" i="77"/>
  <c r="BF127" i="77" s="1"/>
  <c r="BE55" i="77"/>
  <c r="BE127" i="77" s="1"/>
  <c r="BD127" i="77"/>
  <c r="BC127" i="77"/>
  <c r="BA55" i="77"/>
  <c r="BA127" i="77" s="1"/>
  <c r="AZ55" i="77"/>
  <c r="AZ127" i="77" s="1"/>
  <c r="AY127" i="77"/>
  <c r="AX127" i="77"/>
  <c r="BL54" i="77"/>
  <c r="BK54" i="77" s="1"/>
  <c r="BG54" i="77"/>
  <c r="BF54" i="77"/>
  <c r="BE54" i="77"/>
  <c r="BD54" i="77"/>
  <c r="BC54" i="77"/>
  <c r="BB54" i="77"/>
  <c r="AY54" i="77" s="1"/>
  <c r="AX54" i="77"/>
  <c r="BL53" i="77"/>
  <c r="BK53" i="77" s="1"/>
  <c r="BG53" i="77"/>
  <c r="BF53" i="77" s="1"/>
  <c r="BE53" i="77"/>
  <c r="BD53" i="77"/>
  <c r="BC53" i="77"/>
  <c r="BB53" i="77"/>
  <c r="AY53" i="77" s="1"/>
  <c r="BA53" i="77"/>
  <c r="AZ53" i="77"/>
  <c r="BP52" i="77"/>
  <c r="BO52" i="77"/>
  <c r="BN52" i="77"/>
  <c r="BM52" i="77"/>
  <c r="BK52" i="77"/>
  <c r="BJ52" i="77"/>
  <c r="BI52" i="77"/>
  <c r="BH52" i="77"/>
  <c r="BF52" i="77"/>
  <c r="BE52" i="77"/>
  <c r="BE87" i="77" s="1"/>
  <c r="BD87" i="77"/>
  <c r="BC87" i="77"/>
  <c r="BA52" i="77"/>
  <c r="AZ52" i="77"/>
  <c r="AY87" i="77"/>
  <c r="BQ50" i="77"/>
  <c r="BP50" i="77"/>
  <c r="BO50" i="77" s="1"/>
  <c r="BN50" i="77"/>
  <c r="BM50" i="77"/>
  <c r="BQ49" i="77"/>
  <c r="BP49" i="77"/>
  <c r="BO49" i="77"/>
  <c r="BN49" i="77"/>
  <c r="BM49" i="77"/>
  <c r="BK50" i="77"/>
  <c r="BJ50" i="77"/>
  <c r="BI50" i="77"/>
  <c r="BH50" i="77" s="1"/>
  <c r="BK49" i="77"/>
  <c r="BJ49" i="77"/>
  <c r="BI49" i="77"/>
  <c r="BH49" i="77"/>
  <c r="BF50" i="77"/>
  <c r="BE50" i="77"/>
  <c r="BD50" i="77"/>
  <c r="BC50" i="77" s="1"/>
  <c r="BF49" i="77"/>
  <c r="BE49" i="77"/>
  <c r="BD49" i="77"/>
  <c r="BC49" i="77"/>
  <c r="BA50" i="77"/>
  <c r="AZ50" i="77"/>
  <c r="AY50" i="77"/>
  <c r="AX50" i="77" s="1"/>
  <c r="AX121" i="77" s="1"/>
  <c r="AZ49" i="77"/>
  <c r="AZ81" i="77" s="1"/>
  <c r="AY49" i="77"/>
  <c r="AY81" i="77" s="1"/>
  <c r="AX49" i="77"/>
  <c r="AW41" i="77"/>
  <c r="AV41" i="77"/>
  <c r="AU41" i="77"/>
  <c r="AT41" i="77"/>
  <c r="AS41" i="77"/>
  <c r="AR41" i="77"/>
  <c r="AQ41" i="77"/>
  <c r="AP41" i="77"/>
  <c r="AO41" i="77"/>
  <c r="AN41" i="77"/>
  <c r="AM41" i="77"/>
  <c r="AL41"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N37" i="77" s="1"/>
  <c r="M37" i="77" s="1"/>
  <c r="M41" i="77"/>
  <c r="L41" i="77"/>
  <c r="K41" i="77"/>
  <c r="J41" i="77"/>
  <c r="I41" i="77"/>
  <c r="I37" i="77" s="1"/>
  <c r="H37" i="77" s="1"/>
  <c r="H41" i="77"/>
  <c r="G41" i="77"/>
  <c r="F41" i="77"/>
  <c r="E41" i="77"/>
  <c r="BQ40" i="77"/>
  <c r="BP40" i="77"/>
  <c r="BO40" i="77"/>
  <c r="BN40" i="77"/>
  <c r="BM40" i="77"/>
  <c r="BL40" i="77"/>
  <c r="BK40" i="77"/>
  <c r="BJ40" i="77"/>
  <c r="BI40" i="77"/>
  <c r="BH40" i="77"/>
  <c r="BG40" i="77"/>
  <c r="BF40" i="77"/>
  <c r="BE40" i="77"/>
  <c r="BD40" i="77"/>
  <c r="BC40" i="77"/>
  <c r="BB40" i="77"/>
  <c r="BA40" i="77"/>
  <c r="AZ40" i="77"/>
  <c r="AY40" i="77"/>
  <c r="AX40" i="77"/>
  <c r="AW40" i="77"/>
  <c r="AV40" i="77"/>
  <c r="AU40" i="77"/>
  <c r="AT40" i="77"/>
  <c r="AS40" i="77"/>
  <c r="AR40" i="77"/>
  <c r="AQ40" i="77"/>
  <c r="AP40" i="77"/>
  <c r="AO40" i="77"/>
  <c r="AN40" i="77"/>
  <c r="AM40" i="77"/>
  <c r="AL40"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BQ37" i="77"/>
  <c r="BL37" i="77"/>
  <c r="BG37" i="77"/>
  <c r="BB37" i="77"/>
  <c r="AW37" i="77"/>
  <c r="AV37" i="77" s="1"/>
  <c r="AO37" i="77"/>
  <c r="AN37" i="77"/>
  <c r="AQ37" i="77" s="1"/>
  <c r="AL37" i="77"/>
  <c r="AG37" i="77"/>
  <c r="AB37" i="77"/>
  <c r="X37" i="77"/>
  <c r="W37" i="77" s="1"/>
  <c r="T37" i="77"/>
  <c r="S37" i="77"/>
  <c r="R37" i="77"/>
  <c r="Q37" i="77"/>
  <c r="P37" i="77"/>
  <c r="J37" i="77"/>
  <c r="BQ34" i="77"/>
  <c r="BL34" i="77"/>
  <c r="BG34" i="77"/>
  <c r="BB34" i="77"/>
  <c r="AV34" i="77"/>
  <c r="AQ34" i="77"/>
  <c r="AL34" i="77"/>
  <c r="AG34" i="77"/>
  <c r="AB34" i="77"/>
  <c r="W34" i="77"/>
  <c r="R34" i="77"/>
  <c r="M34" i="77"/>
  <c r="I34" i="77"/>
  <c r="H34" i="77" s="1"/>
  <c r="G34" i="77"/>
  <c r="AV31" i="77"/>
  <c r="AQ31" i="77"/>
  <c r="AL31" i="77"/>
  <c r="AG31" i="77"/>
  <c r="AB31" i="77"/>
  <c r="W31" i="77"/>
  <c r="R31" i="77"/>
  <c r="M31" i="77"/>
  <c r="H31" i="77"/>
  <c r="AW27" i="77"/>
  <c r="AW240" i="77" s="1"/>
  <c r="AU27" i="77"/>
  <c r="AT27" i="77"/>
  <c r="AS27" i="77"/>
  <c r="AP27" i="77"/>
  <c r="AQ27" i="77" s="1"/>
  <c r="AO27" i="77"/>
  <c r="AN27" i="77"/>
  <c r="AM27" i="77"/>
  <c r="AM240" i="77" s="1"/>
  <c r="AL27" i="77"/>
  <c r="AK27" i="77"/>
  <c r="AJ27" i="77"/>
  <c r="AI27" i="77"/>
  <c r="AH27" i="77"/>
  <c r="AH240" i="77" s="1"/>
  <c r="AF27" i="77"/>
  <c r="AD27" i="77"/>
  <c r="AC27" i="77"/>
  <c r="AC240" i="77" s="1"/>
  <c r="W27" i="77"/>
  <c r="AT22" i="77"/>
  <c r="AP22" i="77"/>
  <c r="AH22" i="77"/>
  <c r="AD22" i="77"/>
  <c r="Z22" i="77"/>
  <c r="V22" i="77"/>
  <c r="N22" i="77"/>
  <c r="J22" i="77"/>
  <c r="BQ21" i="77"/>
  <c r="BL21" i="77"/>
  <c r="BG21" i="77"/>
  <c r="BB21" i="77"/>
  <c r="AW21" i="77"/>
  <c r="AW22" i="77" s="1"/>
  <c r="AU21" i="77"/>
  <c r="AU22" i="77" s="1"/>
  <c r="AT21" i="77"/>
  <c r="AS21" i="77"/>
  <c r="AS22" i="77" s="1"/>
  <c r="AR21" i="77"/>
  <c r="AR22" i="77" s="1"/>
  <c r="AQ21" i="77"/>
  <c r="AP21" i="77"/>
  <c r="AO21" i="77"/>
  <c r="AO22" i="77" s="1"/>
  <c r="AN21" i="77"/>
  <c r="AN22" i="77" s="1"/>
  <c r="AM21" i="77"/>
  <c r="AL21" i="77" s="1"/>
  <c r="AL22" i="77" s="1"/>
  <c r="AK21" i="77"/>
  <c r="AK22" i="77" s="1"/>
  <c r="AJ21" i="77"/>
  <c r="AJ22" i="77" s="1"/>
  <c r="AI21" i="77"/>
  <c r="AI22" i="77" s="1"/>
  <c r="AH21" i="77"/>
  <c r="AF21" i="77"/>
  <c r="AF22" i="77" s="1"/>
  <c r="AE21" i="77"/>
  <c r="AG21" i="77" s="1"/>
  <c r="AD21" i="77"/>
  <c r="AC21" i="77"/>
  <c r="AC22" i="77" s="1"/>
  <c r="AA21" i="77"/>
  <c r="AA22" i="77" s="1"/>
  <c r="Z21" i="77"/>
  <c r="Y21" i="77"/>
  <c r="Y22" i="77" s="1"/>
  <c r="X21" i="77"/>
  <c r="X22" i="77" s="1"/>
  <c r="W21" i="77"/>
  <c r="V21" i="77"/>
  <c r="U21" i="77"/>
  <c r="U22" i="77" s="1"/>
  <c r="T21" i="77"/>
  <c r="T22" i="77" s="1"/>
  <c r="S21" i="77"/>
  <c r="O21" i="77"/>
  <c r="O22" i="77" s="1"/>
  <c r="N21" i="77"/>
  <c r="K21" i="77"/>
  <c r="J21" i="77"/>
  <c r="I21" i="77"/>
  <c r="I22" i="77" s="1"/>
  <c r="E21" i="77"/>
  <c r="E22" i="77" s="1"/>
  <c r="AV20" i="77"/>
  <c r="AQ20" i="77"/>
  <c r="AQ171" i="77" s="1"/>
  <c r="AL20" i="77"/>
  <c r="AL171" i="77" s="1"/>
  <c r="AG20" i="77"/>
  <c r="AG171" i="77" s="1"/>
  <c r="AB20" i="77"/>
  <c r="AB171" i="77" s="1"/>
  <c r="W20" i="77"/>
  <c r="W171" i="77" s="1"/>
  <c r="W172" i="77" s="1"/>
  <c r="P20" i="77"/>
  <c r="P171" i="77" s="1"/>
  <c r="P172" i="77" s="1"/>
  <c r="K20" i="77"/>
  <c r="K171" i="77" s="1"/>
  <c r="K172" i="77" s="1"/>
  <c r="G20" i="77"/>
  <c r="G171" i="77" s="1"/>
  <c r="G172" i="77" s="1"/>
  <c r="F20" i="77"/>
  <c r="F171" i="77" s="1"/>
  <c r="F172" i="77" s="1"/>
  <c r="I16" i="77"/>
  <c r="E16" i="77"/>
  <c r="AV15" i="77"/>
  <c r="AV145" i="77" s="1"/>
  <c r="AV14" i="77"/>
  <c r="AQ15" i="77"/>
  <c r="AQ145" i="77" s="1"/>
  <c r="AQ146" i="77" s="1"/>
  <c r="AQ58" i="77" s="1"/>
  <c r="AQ14" i="77"/>
  <c r="AL15" i="77"/>
  <c r="AL145" i="77" s="1"/>
  <c r="AL146" i="77" s="1"/>
  <c r="AL58" i="77" s="1"/>
  <c r="AL14" i="77"/>
  <c r="AG15" i="77"/>
  <c r="AG145" i="77" s="1"/>
  <c r="AG14" i="77"/>
  <c r="AB15" i="77"/>
  <c r="AB145" i="77" s="1"/>
  <c r="AB146" i="77" s="1"/>
  <c r="AB58" i="77" s="1"/>
  <c r="AB14" i="77"/>
  <c r="W15" i="77"/>
  <c r="W145" i="77" s="1"/>
  <c r="W146" i="77" s="1"/>
  <c r="W58" i="77" s="1"/>
  <c r="W14" i="77"/>
  <c r="R15" i="77"/>
  <c r="R145" i="77" s="1"/>
  <c r="R146" i="77" s="1"/>
  <c r="R58" i="77" s="1"/>
  <c r="M15" i="77"/>
  <c r="M145" i="77" s="1"/>
  <c r="M146" i="77" s="1"/>
  <c r="M58" i="77" s="1"/>
  <c r="M14" i="77"/>
  <c r="H15" i="77"/>
  <c r="H145" i="77" s="1"/>
  <c r="H14" i="77"/>
  <c r="S14" i="77"/>
  <c r="R14" i="77" s="1"/>
  <c r="S13" i="77"/>
  <c r="S140" i="77" s="1"/>
  <c r="AU13" i="77"/>
  <c r="AU140" i="77" s="1"/>
  <c r="AU142" i="77" s="1"/>
  <c r="AT13" i="77"/>
  <c r="AT140" i="77" s="1"/>
  <c r="AT142" i="77" s="1"/>
  <c r="AS13" i="77"/>
  <c r="AS140" i="77" s="1"/>
  <c r="AP13" i="77"/>
  <c r="AP140" i="77" s="1"/>
  <c r="AO13" i="77"/>
  <c r="AO140" i="77" s="1"/>
  <c r="AO142" i="77" s="1"/>
  <c r="AN13" i="77"/>
  <c r="AN140" i="77" s="1"/>
  <c r="AM13" i="77"/>
  <c r="AK13" i="77"/>
  <c r="AK140" i="77" s="1"/>
  <c r="AJ13" i="77"/>
  <c r="AJ140" i="77" s="1"/>
  <c r="AJ142" i="77" s="1"/>
  <c r="AI13" i="77"/>
  <c r="AI140" i="77" s="1"/>
  <c r="AH13" i="77"/>
  <c r="AF13" i="77"/>
  <c r="AF140" i="77" s="1"/>
  <c r="AF142" i="77" s="1"/>
  <c r="AE13" i="77"/>
  <c r="AE140" i="77" s="1"/>
  <c r="AE142" i="77" s="1"/>
  <c r="AD13" i="77"/>
  <c r="AD140" i="77" s="1"/>
  <c r="AC13" i="77"/>
  <c r="AB13" i="77" s="1"/>
  <c r="AA13" i="77"/>
  <c r="AA140" i="77" s="1"/>
  <c r="AA142" i="77" s="1"/>
  <c r="Z13" i="77"/>
  <c r="Z140" i="77" s="1"/>
  <c r="Z142" i="77" s="1"/>
  <c r="Y13" i="77"/>
  <c r="Y140" i="77" s="1"/>
  <c r="X13" i="77"/>
  <c r="W13" i="77" s="1"/>
  <c r="V13" i="77"/>
  <c r="V140" i="77" s="1"/>
  <c r="V142" i="77" s="1"/>
  <c r="U13" i="77"/>
  <c r="U140" i="77" s="1"/>
  <c r="U142" i="77" s="1"/>
  <c r="T13" i="77"/>
  <c r="T140" i="77" s="1"/>
  <c r="Q13" i="77"/>
  <c r="Q140" i="77" s="1"/>
  <c r="Q142" i="77" s="1"/>
  <c r="P13" i="77"/>
  <c r="P140" i="77" s="1"/>
  <c r="P142" i="77" s="1"/>
  <c r="P143" i="77" s="1"/>
  <c r="P57" i="77" s="1"/>
  <c r="O13" i="77"/>
  <c r="O140" i="77" s="1"/>
  <c r="O142" i="77" s="1"/>
  <c r="N13" i="77"/>
  <c r="N140" i="77" s="1"/>
  <c r="L13" i="77"/>
  <c r="L140" i="77" s="1"/>
  <c r="L142" i="77" s="1"/>
  <c r="K13" i="77"/>
  <c r="K140" i="77" s="1"/>
  <c r="K142" i="77" s="1"/>
  <c r="K143" i="77" s="1"/>
  <c r="K57" i="77" s="1"/>
  <c r="J13" i="77"/>
  <c r="J140" i="77" s="1"/>
  <c r="J142" i="77" s="1"/>
  <c r="I13" i="77"/>
  <c r="I140" i="77" s="1"/>
  <c r="G13" i="77"/>
  <c r="G140" i="77" s="1"/>
  <c r="G142" i="77" s="1"/>
  <c r="F13" i="77"/>
  <c r="F140" i="77" s="1"/>
  <c r="F142" i="77" s="1"/>
  <c r="F143" i="77" s="1"/>
  <c r="E13" i="77"/>
  <c r="E140" i="77" s="1"/>
  <c r="E142" i="77" s="1"/>
  <c r="O11" i="77"/>
  <c r="R10" i="77"/>
  <c r="R132" i="77" s="1"/>
  <c r="M10" i="77"/>
  <c r="M132" i="77" s="1"/>
  <c r="H10" i="77"/>
  <c r="H132" i="77" s="1"/>
  <c r="T9" i="77"/>
  <c r="T92" i="77" s="1"/>
  <c r="T93" i="77" s="1"/>
  <c r="S9" i="77"/>
  <c r="S92" i="77" s="1"/>
  <c r="S8" i="77"/>
  <c r="R8" i="77" s="1"/>
  <c r="AV8" i="77"/>
  <c r="AQ8" i="77"/>
  <c r="AL8" i="77"/>
  <c r="AG8" i="77"/>
  <c r="AB8" i="77"/>
  <c r="X8" i="77"/>
  <c r="W8" i="77"/>
  <c r="V8" i="77"/>
  <c r="T8" i="77"/>
  <c r="Q9" i="77"/>
  <c r="Q92" i="77" s="1"/>
  <c r="P9" i="77"/>
  <c r="P92" i="77" s="1"/>
  <c r="O9" i="77"/>
  <c r="O92" i="77" s="1"/>
  <c r="N9" i="77"/>
  <c r="N92" i="77" s="1"/>
  <c r="Q8" i="77"/>
  <c r="P8" i="77"/>
  <c r="O8" i="77"/>
  <c r="N8" i="77"/>
  <c r="L9" i="77"/>
  <c r="L92" i="77" s="1"/>
  <c r="K9" i="77"/>
  <c r="K92" i="77" s="1"/>
  <c r="J9" i="77"/>
  <c r="J92" i="77" s="1"/>
  <c r="I9" i="77"/>
  <c r="I92" i="77" s="1"/>
  <c r="L8" i="77"/>
  <c r="K8" i="77"/>
  <c r="J8" i="77"/>
  <c r="I8" i="77"/>
  <c r="I18" i="77" s="1"/>
  <c r="I24" i="77" s="1"/>
  <c r="G9" i="77"/>
  <c r="G92" i="77" s="1"/>
  <c r="F9" i="77"/>
  <c r="F92" i="77" s="1"/>
  <c r="E9" i="77"/>
  <c r="E92" i="77" s="1"/>
  <c r="G8" i="77"/>
  <c r="F8" i="77"/>
  <c r="E8" i="77"/>
  <c r="E18" i="77" s="1"/>
  <c r="B2" i="77"/>
  <c r="AW271" i="78"/>
  <c r="AV271" i="78" s="1"/>
  <c r="AU271" i="78" s="1"/>
  <c r="AT271" i="78" s="1"/>
  <c r="AS271" i="78" s="1"/>
  <c r="AR271" i="78"/>
  <c r="AQ271" i="78" s="1"/>
  <c r="AP271" i="78" s="1"/>
  <c r="AO271" i="78" s="1"/>
  <c r="AN271" i="78" s="1"/>
  <c r="AL271" i="78"/>
  <c r="AK271" i="78"/>
  <c r="AJ271" i="78"/>
  <c r="AI271" i="78" s="1"/>
  <c r="AR267" i="78"/>
  <c r="AS267" i="78" s="1"/>
  <c r="AT267" i="78" s="1"/>
  <c r="AU267" i="78" s="1"/>
  <c r="AV267" i="78" s="1"/>
  <c r="AW267" i="78" s="1"/>
  <c r="AX267" i="78" s="1"/>
  <c r="AY267" i="78" s="1"/>
  <c r="AZ267" i="78" s="1"/>
  <c r="BA267" i="78" s="1"/>
  <c r="BB267" i="78" s="1"/>
  <c r="BC267" i="78" s="1"/>
  <c r="BD267" i="78" s="1"/>
  <c r="BE267" i="78" s="1"/>
  <c r="BF267" i="78" s="1"/>
  <c r="BG267" i="78" s="1"/>
  <c r="BH267" i="78" s="1"/>
  <c r="BI267" i="78" s="1"/>
  <c r="BJ267" i="78" s="1"/>
  <c r="BK267" i="78" s="1"/>
  <c r="BL267" i="78" s="1"/>
  <c r="AN267" i="78"/>
  <c r="AO267" i="78" s="1"/>
  <c r="AP267" i="78" s="1"/>
  <c r="AQ267" i="78" s="1"/>
  <c r="AL267" i="78"/>
  <c r="AK267" i="78" s="1"/>
  <c r="AJ267" i="78" s="1"/>
  <c r="AI267" i="78"/>
  <c r="BQ258" i="78"/>
  <c r="BL258" i="78"/>
  <c r="BG258" i="78"/>
  <c r="BB258" i="78"/>
  <c r="AW258" i="78"/>
  <c r="AR258" i="78"/>
  <c r="AM258" i="78"/>
  <c r="AH258" i="78"/>
  <c r="AC258" i="78"/>
  <c r="X258" i="78"/>
  <c r="S258" i="78"/>
  <c r="N258" i="78"/>
  <c r="I258" i="78"/>
  <c r="I254" i="78"/>
  <c r="AW239" i="78"/>
  <c r="AR239" i="78"/>
  <c r="S239" i="78"/>
  <c r="N239" i="78"/>
  <c r="I239" i="78"/>
  <c r="AV228" i="78"/>
  <c r="AQ228" i="78"/>
  <c r="AL228" i="78"/>
  <c r="AG228" i="78"/>
  <c r="AB228" i="78"/>
  <c r="W228" i="78"/>
  <c r="R228" i="78"/>
  <c r="M228" i="78"/>
  <c r="H228" i="78"/>
  <c r="AX225" i="78"/>
  <c r="AV225" i="78"/>
  <c r="AQ225" i="78"/>
  <c r="AL225" i="78"/>
  <c r="AJ225" i="78"/>
  <c r="AG225" i="78"/>
  <c r="AE225" i="78"/>
  <c r="AB225" i="78"/>
  <c r="W225" i="78"/>
  <c r="R225" i="78"/>
  <c r="M225" i="78"/>
  <c r="H225" i="78"/>
  <c r="AU222" i="78"/>
  <c r="AR222" i="78"/>
  <c r="AQ222" i="78" s="1"/>
  <c r="AN222" i="78"/>
  <c r="AM222" i="78"/>
  <c r="AJ222" i="78"/>
  <c r="AI222" i="78"/>
  <c r="AF222" i="78"/>
  <c r="AE222" i="78"/>
  <c r="AA222" i="78"/>
  <c r="X222" i="78"/>
  <c r="T222" i="78"/>
  <c r="S222" i="78"/>
  <c r="P222" i="78"/>
  <c r="O222" i="78"/>
  <c r="L222" i="78"/>
  <c r="K222" i="78"/>
  <c r="G222" i="78"/>
  <c r="AV221" i="78"/>
  <c r="AU221" i="78"/>
  <c r="AT221" i="78"/>
  <c r="AS221" i="78"/>
  <c r="AR221" i="78"/>
  <c r="AP221" i="78"/>
  <c r="AO221" i="78"/>
  <c r="AN221" i="78"/>
  <c r="AM221" i="78"/>
  <c r="AL221" i="78"/>
  <c r="AK221" i="78"/>
  <c r="AJ221" i="78"/>
  <c r="AI221" i="78"/>
  <c r="AH221" i="78"/>
  <c r="AG221" i="78"/>
  <c r="AF221" i="78"/>
  <c r="AE221" i="78"/>
  <c r="AD221" i="78"/>
  <c r="AC221" i="78"/>
  <c r="AB221" i="78" s="1"/>
  <c r="AA221" i="78"/>
  <c r="Z221" i="78"/>
  <c r="Y221" i="78"/>
  <c r="X221" i="78"/>
  <c r="V221" i="78"/>
  <c r="U221" i="78"/>
  <c r="T221" i="78"/>
  <c r="S221" i="78"/>
  <c r="R221" i="78"/>
  <c r="Q221" i="78"/>
  <c r="P221" i="78"/>
  <c r="O221" i="78"/>
  <c r="N221" i="78"/>
  <c r="M221" i="78"/>
  <c r="L221" i="78"/>
  <c r="K221" i="78"/>
  <c r="J221" i="78"/>
  <c r="I221" i="78"/>
  <c r="H221" i="78" s="1"/>
  <c r="G221" i="78"/>
  <c r="F221" i="78"/>
  <c r="E221" i="78"/>
  <c r="AV220" i="78"/>
  <c r="AQ220" i="78"/>
  <c r="AL220" i="78"/>
  <c r="AG220" i="78"/>
  <c r="AB220" i="78"/>
  <c r="W220" i="78"/>
  <c r="R220" i="78"/>
  <c r="M220" i="78"/>
  <c r="H220" i="78"/>
  <c r="AV218" i="78"/>
  <c r="AQ218" i="78"/>
  <c r="AL218" i="78"/>
  <c r="AG218" i="78"/>
  <c r="AB218" i="78"/>
  <c r="W218" i="78"/>
  <c r="R218" i="78"/>
  <c r="M218" i="78"/>
  <c r="H218" i="78"/>
  <c r="AR213" i="78"/>
  <c r="AR210" i="78"/>
  <c r="AR208" i="78"/>
  <c r="AR206" i="78"/>
  <c r="AR205" i="78"/>
  <c r="AR204" i="78"/>
  <c r="AR203" i="78"/>
  <c r="AR200" i="78"/>
  <c r="AM213" i="78"/>
  <c r="AM210" i="78"/>
  <c r="AM208" i="78"/>
  <c r="AM206" i="78"/>
  <c r="AM205" i="78"/>
  <c r="AM204" i="78"/>
  <c r="AM203" i="78"/>
  <c r="AM200" i="78"/>
  <c r="AH213" i="78"/>
  <c r="AH210" i="78"/>
  <c r="AH208" i="78"/>
  <c r="AH207" i="78"/>
  <c r="AH206" i="78"/>
  <c r="AH205" i="78"/>
  <c r="AH204" i="78"/>
  <c r="AH203" i="78"/>
  <c r="AH201" i="78"/>
  <c r="AH200" i="78"/>
  <c r="AC213" i="78"/>
  <c r="AC210" i="78"/>
  <c r="AC208" i="78"/>
  <c r="AC206" i="78"/>
  <c r="AC205" i="78"/>
  <c r="AC204" i="78"/>
  <c r="AC203" i="78"/>
  <c r="AC200" i="78"/>
  <c r="X213" i="78"/>
  <c r="X210" i="78"/>
  <c r="X208" i="78"/>
  <c r="X206" i="78"/>
  <c r="X205" i="78"/>
  <c r="X204" i="78"/>
  <c r="X203" i="78"/>
  <c r="X200" i="78"/>
  <c r="S213" i="78"/>
  <c r="S210" i="78"/>
  <c r="S206" i="78"/>
  <c r="S205" i="78"/>
  <c r="S204" i="78"/>
  <c r="S203" i="78"/>
  <c r="S200" i="78"/>
  <c r="N213" i="78"/>
  <c r="N210" i="78"/>
  <c r="N208" i="78"/>
  <c r="N206" i="78"/>
  <c r="N205" i="78"/>
  <c r="N204" i="78"/>
  <c r="N203" i="78"/>
  <c r="N200" i="78"/>
  <c r="I213" i="78"/>
  <c r="I210" i="78"/>
  <c r="I206" i="78"/>
  <c r="I205" i="78"/>
  <c r="I204" i="78"/>
  <c r="I203" i="78"/>
  <c r="I200" i="78"/>
  <c r="CK212" i="78"/>
  <c r="CJ212" i="78"/>
  <c r="CH212" i="78"/>
  <c r="CI212" i="78" s="1"/>
  <c r="AW213" i="78"/>
  <c r="E212" i="78"/>
  <c r="I212" i="78" s="1"/>
  <c r="AW210" i="78"/>
  <c r="AW208" i="78"/>
  <c r="AW206" i="78"/>
  <c r="AW205" i="78"/>
  <c r="AW204" i="78"/>
  <c r="AW203" i="78"/>
  <c r="AW200" i="78"/>
  <c r="DY209" i="78"/>
  <c r="AW209" i="78" s="1"/>
  <c r="DV209" i="78"/>
  <c r="DU209" i="78"/>
  <c r="DT209" i="78"/>
  <c r="AR209" i="78" s="1"/>
  <c r="DQ209" i="78"/>
  <c r="DP209" i="78"/>
  <c r="DL209" i="78"/>
  <c r="DK209" i="78"/>
  <c r="DJ209" i="78"/>
  <c r="AH209" i="78" s="1"/>
  <c r="DG209" i="78"/>
  <c r="DF209" i="78"/>
  <c r="DB209" i="78"/>
  <c r="DA209" i="78"/>
  <c r="CW209" i="78"/>
  <c r="CV209" i="78"/>
  <c r="CR209" i="78"/>
  <c r="CP209" i="78"/>
  <c r="N209" i="78" s="1"/>
  <c r="DX208" i="78"/>
  <c r="DX206" i="78"/>
  <c r="DX205" i="78"/>
  <c r="DX204" i="78"/>
  <c r="DX209" i="78" s="1"/>
  <c r="DS208" i="78"/>
  <c r="DR208" i="78"/>
  <c r="AP208" i="78" s="1"/>
  <c r="DN208" i="78"/>
  <c r="DN206" i="78"/>
  <c r="DN205" i="78"/>
  <c r="DN204" i="78"/>
  <c r="DI208" i="78"/>
  <c r="DI206" i="78"/>
  <c r="DI205" i="78"/>
  <c r="DI204" i="78"/>
  <c r="DI209" i="78" s="1"/>
  <c r="DE208" i="78"/>
  <c r="DD208" i="78"/>
  <c r="DC208" i="78"/>
  <c r="AA208" i="78" s="1"/>
  <c r="DB208" i="78"/>
  <c r="CY208" i="78"/>
  <c r="CY206" i="78"/>
  <c r="CY205" i="78"/>
  <c r="CY204" i="78"/>
  <c r="CU208" i="78"/>
  <c r="S208" i="78" s="1"/>
  <c r="CT208" i="78"/>
  <c r="CS208" i="78"/>
  <c r="Q208" i="78" s="1"/>
  <c r="CO208" i="78"/>
  <c r="CN208" i="78"/>
  <c r="L208" i="78" s="1"/>
  <c r="CK208" i="78"/>
  <c r="I208" i="78" s="1"/>
  <c r="CI208" i="78"/>
  <c r="DY207" i="78"/>
  <c r="DX207" i="78" s="1"/>
  <c r="DW207" i="78"/>
  <c r="DT207" i="78"/>
  <c r="DR207" i="78"/>
  <c r="AP207" i="78" s="1"/>
  <c r="DO207" i="78"/>
  <c r="DM207" i="78"/>
  <c r="AK207" i="78" s="1"/>
  <c r="DJ207" i="78"/>
  <c r="DI207" i="78" s="1"/>
  <c r="DH207" i="78"/>
  <c r="AF207" i="78" s="1"/>
  <c r="DE207" i="78"/>
  <c r="AC207" i="78" s="1"/>
  <c r="DD207" i="78"/>
  <c r="DC207" i="78"/>
  <c r="DA207" i="78"/>
  <c r="CZ207" i="78"/>
  <c r="X207" i="78" s="1"/>
  <c r="CX207" i="78"/>
  <c r="V207" i="78" s="1"/>
  <c r="CV207" i="78"/>
  <c r="CU207" i="78"/>
  <c r="CT207" i="78"/>
  <c r="CS207" i="78"/>
  <c r="Q207" i="78" s="1"/>
  <c r="CR207" i="78"/>
  <c r="CQ207" i="78"/>
  <c r="CQ209" i="78" s="1"/>
  <c r="CP207" i="78"/>
  <c r="N207" i="78" s="1"/>
  <c r="CO207" i="78"/>
  <c r="CN207" i="78"/>
  <c r="CM207" i="78"/>
  <c r="CL207" i="78"/>
  <c r="CL209" i="78" s="1"/>
  <c r="CK207" i="78"/>
  <c r="H207" i="78" s="1"/>
  <c r="CI207" i="78"/>
  <c r="CH207" i="78"/>
  <c r="CH209" i="78" s="1"/>
  <c r="CG207" i="78"/>
  <c r="CG209" i="78" s="1"/>
  <c r="BO208" i="78"/>
  <c r="BN208" i="78"/>
  <c r="BM208" i="78"/>
  <c r="BM207" i="78"/>
  <c r="BN207" i="78" s="1"/>
  <c r="BO207" i="78" s="1"/>
  <c r="BH208" i="78"/>
  <c r="BH207" i="78"/>
  <c r="BE208" i="78"/>
  <c r="BD208" i="78"/>
  <c r="BC208" i="78"/>
  <c r="BC207" i="78"/>
  <c r="BD207" i="78" s="1"/>
  <c r="BE207" i="78" s="1"/>
  <c r="AX208" i="78"/>
  <c r="AX207" i="78"/>
  <c r="DS206" i="78"/>
  <c r="DS205" i="78"/>
  <c r="DS204" i="78"/>
  <c r="DD206" i="78"/>
  <c r="DD205" i="78"/>
  <c r="DD204" i="78"/>
  <c r="DD209" i="78" s="1"/>
  <c r="CT206" i="78"/>
  <c r="CT205" i="78"/>
  <c r="CT209" i="78" s="1"/>
  <c r="CT204" i="78"/>
  <c r="CO206" i="78"/>
  <c r="CO205" i="78"/>
  <c r="CO204" i="78"/>
  <c r="CO209" i="78" s="1"/>
  <c r="CJ206" i="78"/>
  <c r="CJ205" i="78"/>
  <c r="CJ204" i="78"/>
  <c r="BQ206" i="78"/>
  <c r="BL206" i="78"/>
  <c r="BG206" i="78"/>
  <c r="BB206" i="78"/>
  <c r="AV208" i="78"/>
  <c r="AU208" i="78"/>
  <c r="AT208" i="78"/>
  <c r="AS208" i="78"/>
  <c r="AS209" i="78" s="1"/>
  <c r="AV207" i="78"/>
  <c r="AT207" i="78"/>
  <c r="AS207" i="78"/>
  <c r="AV206" i="78"/>
  <c r="AU206" i="78"/>
  <c r="AT206" i="78"/>
  <c r="AS206" i="78"/>
  <c r="AV205" i="78"/>
  <c r="AU205" i="78"/>
  <c r="AT205" i="78"/>
  <c r="AS205" i="78"/>
  <c r="AV204" i="78"/>
  <c r="AV209" i="78" s="1"/>
  <c r="AU204" i="78"/>
  <c r="AT204" i="78"/>
  <c r="AT209" i="78" s="1"/>
  <c r="AS204" i="78"/>
  <c r="AO209" i="78"/>
  <c r="AO208" i="78"/>
  <c r="AN208" i="78"/>
  <c r="AQ207" i="78"/>
  <c r="AO207" i="78"/>
  <c r="AN207" i="78"/>
  <c r="AQ206" i="78"/>
  <c r="AP206" i="78"/>
  <c r="AO206" i="78"/>
  <c r="AN206" i="78"/>
  <c r="AQ205" i="78"/>
  <c r="AP205" i="78"/>
  <c r="AO205" i="78"/>
  <c r="AN205" i="78"/>
  <c r="AQ204" i="78"/>
  <c r="AP204" i="78"/>
  <c r="AO204" i="78"/>
  <c r="AN204" i="78"/>
  <c r="AN209" i="78" s="1"/>
  <c r="AL208" i="78"/>
  <c r="AK208" i="78"/>
  <c r="AJ208" i="78"/>
  <c r="AI208" i="78"/>
  <c r="AJ207" i="78"/>
  <c r="AI207" i="78"/>
  <c r="AL206" i="78"/>
  <c r="AK206" i="78"/>
  <c r="AJ206" i="78"/>
  <c r="AI206" i="78"/>
  <c r="AL205" i="78"/>
  <c r="AK205" i="78"/>
  <c r="AJ205" i="78"/>
  <c r="AI205" i="78"/>
  <c r="AL204" i="78"/>
  <c r="AK204" i="78"/>
  <c r="AJ204" i="78"/>
  <c r="AJ209" i="78" s="1"/>
  <c r="AI204" i="78"/>
  <c r="AI209" i="78" s="1"/>
  <c r="AG208" i="78"/>
  <c r="AF208" i="78"/>
  <c r="AE208" i="78"/>
  <c r="AE209" i="78" s="1"/>
  <c r="AD208" i="78"/>
  <c r="AD209" i="78" s="1"/>
  <c r="AG207" i="78"/>
  <c r="AE207" i="78"/>
  <c r="AD207" i="78"/>
  <c r="AG206" i="78"/>
  <c r="AF206" i="78"/>
  <c r="AE206" i="78"/>
  <c r="AD206" i="78"/>
  <c r="AG205" i="78"/>
  <c r="AF205" i="78"/>
  <c r="AE205" i="78"/>
  <c r="AD205" i="78"/>
  <c r="AG204" i="78"/>
  <c r="AG209" i="78" s="1"/>
  <c r="AF204" i="78"/>
  <c r="AF209" i="78" s="1"/>
  <c r="AE204" i="78"/>
  <c r="AD204" i="78"/>
  <c r="Z208" i="78"/>
  <c r="Y208" i="78"/>
  <c r="AB207" i="78"/>
  <c r="AA207" i="78"/>
  <c r="Z207" i="78"/>
  <c r="Y207" i="78"/>
  <c r="AB206" i="78"/>
  <c r="AA206" i="78"/>
  <c r="Z206" i="78"/>
  <c r="Y206" i="78"/>
  <c r="AB205" i="78"/>
  <c r="AA205" i="78"/>
  <c r="Z205" i="78"/>
  <c r="Z181" i="78" s="1"/>
  <c r="Y205" i="78"/>
  <c r="AB204" i="78"/>
  <c r="AA204" i="78"/>
  <c r="Z204" i="78"/>
  <c r="Z180" i="78" s="1"/>
  <c r="Y204" i="78"/>
  <c r="Y209" i="78" s="1"/>
  <c r="W208" i="78"/>
  <c r="V208" i="78"/>
  <c r="U208" i="78"/>
  <c r="U209" i="78" s="1"/>
  <c r="T208" i="78"/>
  <c r="T209" i="78" s="1"/>
  <c r="U207" i="78"/>
  <c r="T207" i="78"/>
  <c r="W206" i="78"/>
  <c r="V206" i="78"/>
  <c r="U206" i="78"/>
  <c r="T206" i="78"/>
  <c r="W205" i="78"/>
  <c r="V205" i="78"/>
  <c r="U205" i="78"/>
  <c r="T205" i="78"/>
  <c r="W204" i="78"/>
  <c r="V204" i="78"/>
  <c r="U204" i="78"/>
  <c r="T204" i="78"/>
  <c r="R208" i="78"/>
  <c r="P208" i="78"/>
  <c r="O208" i="78"/>
  <c r="P207" i="78"/>
  <c r="O207" i="78"/>
  <c r="R206" i="78"/>
  <c r="Q206" i="78"/>
  <c r="P206" i="78"/>
  <c r="O206" i="78"/>
  <c r="R205" i="78"/>
  <c r="Q205" i="78"/>
  <c r="P205" i="78"/>
  <c r="O205" i="78"/>
  <c r="R204" i="78"/>
  <c r="Q204" i="78"/>
  <c r="P204" i="78"/>
  <c r="P209" i="78" s="1"/>
  <c r="O204" i="78"/>
  <c r="O209" i="78" s="1"/>
  <c r="J209" i="78"/>
  <c r="M208" i="78"/>
  <c r="K208" i="78"/>
  <c r="J208" i="78"/>
  <c r="M207" i="78"/>
  <c r="M209" i="78" s="1"/>
  <c r="K207" i="78"/>
  <c r="J207" i="78"/>
  <c r="M206" i="78"/>
  <c r="L206" i="78"/>
  <c r="K206" i="78"/>
  <c r="J206" i="78"/>
  <c r="M205" i="78"/>
  <c r="L205" i="78"/>
  <c r="K205" i="78"/>
  <c r="J205" i="78"/>
  <c r="M204" i="78"/>
  <c r="L204" i="78"/>
  <c r="K204" i="78"/>
  <c r="K209" i="78" s="1"/>
  <c r="J204" i="78"/>
  <c r="E209" i="78"/>
  <c r="G208" i="78"/>
  <c r="F208" i="78"/>
  <c r="F209" i="78" s="1"/>
  <c r="E208" i="78"/>
  <c r="F207" i="78"/>
  <c r="E207" i="78"/>
  <c r="H206" i="78"/>
  <c r="G206" i="78"/>
  <c r="F206" i="78"/>
  <c r="E206" i="78"/>
  <c r="H205" i="78"/>
  <c r="G205" i="78"/>
  <c r="F205" i="78"/>
  <c r="E205" i="78"/>
  <c r="H204" i="78"/>
  <c r="G204" i="78"/>
  <c r="F204" i="78"/>
  <c r="E204" i="78"/>
  <c r="DY202" i="78"/>
  <c r="AW202" i="78" s="1"/>
  <c r="DR202" i="78"/>
  <c r="DM202" i="78"/>
  <c r="DK202" i="78"/>
  <c r="DJ202" i="78"/>
  <c r="AH202" i="78" s="1"/>
  <c r="DH202" i="78"/>
  <c r="DG202" i="78"/>
  <c r="DF202" i="78"/>
  <c r="DE202" i="78"/>
  <c r="AC202" i="78" s="1"/>
  <c r="DA202" i="78"/>
  <c r="CY202" i="78"/>
  <c r="CW202" i="78"/>
  <c r="CV202" i="78"/>
  <c r="CU202" i="78"/>
  <c r="S202" i="78" s="1"/>
  <c r="CR202" i="78"/>
  <c r="CQ202" i="78"/>
  <c r="CN202" i="78"/>
  <c r="CM202" i="78"/>
  <c r="CI202" i="78"/>
  <c r="CG202" i="78"/>
  <c r="DY201" i="78"/>
  <c r="AW201" i="78" s="1"/>
  <c r="DX201" i="78"/>
  <c r="DW201" i="78"/>
  <c r="AU201" i="78" s="1"/>
  <c r="DV201" i="78"/>
  <c r="DV202" i="78" s="1"/>
  <c r="DU201" i="78"/>
  <c r="DU202" i="78" s="1"/>
  <c r="DT201" i="78"/>
  <c r="DQ201" i="78"/>
  <c r="DQ202" i="78" s="1"/>
  <c r="DP201" i="78"/>
  <c r="DP202" i="78" s="1"/>
  <c r="DO201" i="78"/>
  <c r="DM201" i="78"/>
  <c r="DL201" i="78"/>
  <c r="DL202" i="78" s="1"/>
  <c r="DI201" i="78"/>
  <c r="DI202" i="78" s="1"/>
  <c r="DI200" i="78"/>
  <c r="DE201" i="78"/>
  <c r="AC201" i="78" s="1"/>
  <c r="DD201" i="78"/>
  <c r="DC201" i="78"/>
  <c r="DB201" i="78"/>
  <c r="DB202" i="78" s="1"/>
  <c r="DA201" i="78"/>
  <c r="CZ201" i="78"/>
  <c r="W201" i="78" s="1"/>
  <c r="CY201" i="78"/>
  <c r="CX201" i="78"/>
  <c r="V201" i="78" s="1"/>
  <c r="CV201" i="78"/>
  <c r="CU201" i="78"/>
  <c r="S201" i="78" s="1"/>
  <c r="CT201" i="78"/>
  <c r="CT202" i="78" s="1"/>
  <c r="CS201" i="78"/>
  <c r="CS202" i="78" s="1"/>
  <c r="CR201" i="78"/>
  <c r="CQ201" i="78"/>
  <c r="CP201" i="78"/>
  <c r="CN201" i="78"/>
  <c r="CM201" i="78"/>
  <c r="L201" i="78" s="1"/>
  <c r="CL201" i="78"/>
  <c r="CK201" i="78"/>
  <c r="I201" i="78" s="1"/>
  <c r="CI201" i="78"/>
  <c r="CH201" i="78"/>
  <c r="BM201" i="78"/>
  <c r="BH201" i="78"/>
  <c r="BC201" i="78"/>
  <c r="AX201" i="78"/>
  <c r="DX200" i="78"/>
  <c r="DS200" i="78"/>
  <c r="DN200" i="78"/>
  <c r="DD200" i="78"/>
  <c r="DD202" i="78" s="1"/>
  <c r="CY200" i="78"/>
  <c r="CT200" i="78"/>
  <c r="CO200" i="78"/>
  <c r="CJ200" i="78"/>
  <c r="AT201" i="78"/>
  <c r="AS201" i="78"/>
  <c r="AV200" i="78"/>
  <c r="AU200" i="78"/>
  <c r="AT200" i="78"/>
  <c r="AT202" i="78" s="1"/>
  <c r="AS200" i="78"/>
  <c r="AS170" i="78" s="1"/>
  <c r="AS255" i="78" s="1"/>
  <c r="AN202" i="78"/>
  <c r="AP201" i="78"/>
  <c r="AO201" i="78"/>
  <c r="AN201" i="78"/>
  <c r="AQ200" i="78"/>
  <c r="AP200" i="78"/>
  <c r="AP202" i="78" s="1"/>
  <c r="AO200" i="78"/>
  <c r="AO202" i="78" s="1"/>
  <c r="AN200" i="78"/>
  <c r="AI202" i="78"/>
  <c r="AJ201" i="78"/>
  <c r="AI201" i="78"/>
  <c r="AL200" i="78"/>
  <c r="AK200" i="78"/>
  <c r="AJ200" i="78"/>
  <c r="AJ202" i="78" s="1"/>
  <c r="AI200" i="78"/>
  <c r="AG201" i="78"/>
  <c r="AF201" i="78"/>
  <c r="AE201" i="78"/>
  <c r="AD201" i="78"/>
  <c r="AG200" i="78"/>
  <c r="AG202" i="78" s="1"/>
  <c r="AF200" i="78"/>
  <c r="AF202" i="78" s="1"/>
  <c r="AE200" i="78"/>
  <c r="AE202" i="78" s="1"/>
  <c r="AD200" i="78"/>
  <c r="AD202" i="78" s="1"/>
  <c r="Y202" i="78"/>
  <c r="Z201" i="78"/>
  <c r="Y201" i="78"/>
  <c r="AB200" i="78"/>
  <c r="AA200" i="78"/>
  <c r="Z200" i="78"/>
  <c r="Z202" i="78" s="1"/>
  <c r="Y200" i="78"/>
  <c r="T202" i="78"/>
  <c r="U201" i="78"/>
  <c r="T201" i="78"/>
  <c r="W200" i="78"/>
  <c r="V200" i="78"/>
  <c r="V202" i="78" s="1"/>
  <c r="U200" i="78"/>
  <c r="U202" i="78" s="1"/>
  <c r="T200" i="78"/>
  <c r="P201" i="78"/>
  <c r="O201" i="78"/>
  <c r="R200" i="78"/>
  <c r="Q200" i="78"/>
  <c r="P200" i="78"/>
  <c r="P202" i="78" s="1"/>
  <c r="O200" i="78"/>
  <c r="O202" i="78" s="1"/>
  <c r="M200" i="78"/>
  <c r="L200" i="78"/>
  <c r="L202" i="78" s="1"/>
  <c r="K200" i="78"/>
  <c r="J200" i="78"/>
  <c r="E201" i="78"/>
  <c r="H200" i="78"/>
  <c r="G200" i="78"/>
  <c r="F200" i="78"/>
  <c r="E200" i="78"/>
  <c r="E202" i="78" s="1"/>
  <c r="AH198" i="78"/>
  <c r="N198" i="78"/>
  <c r="DW198" i="78"/>
  <c r="DV198" i="78"/>
  <c r="DV211" i="78" s="1"/>
  <c r="DR198" i="78"/>
  <c r="DO198" i="78"/>
  <c r="DK198" i="78"/>
  <c r="DK211" i="78" s="1"/>
  <c r="DJ198" i="78"/>
  <c r="DJ211" i="78" s="1"/>
  <c r="DG198" i="78"/>
  <c r="DG211" i="78" s="1"/>
  <c r="DF198" i="78"/>
  <c r="DF211" i="78" s="1"/>
  <c r="DC198" i="78"/>
  <c r="DB198" i="78"/>
  <c r="DB211" i="78" s="1"/>
  <c r="CX198" i="78"/>
  <c r="CU198" i="78"/>
  <c r="CQ198" i="78"/>
  <c r="CQ211" i="78" s="1"/>
  <c r="CP198" i="78"/>
  <c r="CM198" i="78"/>
  <c r="CL198" i="78"/>
  <c r="CI198" i="78"/>
  <c r="CH198" i="78"/>
  <c r="DY197" i="78"/>
  <c r="DY198" i="78" s="1"/>
  <c r="DX197" i="78"/>
  <c r="DW197" i="78"/>
  <c r="DV197" i="78"/>
  <c r="DU197" i="78"/>
  <c r="DU198" i="78" s="1"/>
  <c r="DU211" i="78" s="1"/>
  <c r="DT197" i="78"/>
  <c r="DR197" i="78"/>
  <c r="DQ197" i="78"/>
  <c r="DQ198" i="78" s="1"/>
  <c r="DQ211" i="78" s="1"/>
  <c r="DP197" i="78"/>
  <c r="DO197" i="78"/>
  <c r="DN197" i="78" s="1"/>
  <c r="DM197" i="78"/>
  <c r="DM198" i="78" s="1"/>
  <c r="DL197" i="78"/>
  <c r="DK197" i="78"/>
  <c r="DJ197" i="78"/>
  <c r="DI197" i="78"/>
  <c r="DH197" i="78"/>
  <c r="DG197" i="78"/>
  <c r="DF197" i="78"/>
  <c r="DE197" i="78"/>
  <c r="DE198" i="78" s="1"/>
  <c r="DD197" i="78"/>
  <c r="DC197" i="78"/>
  <c r="DB197" i="78"/>
  <c r="DA197" i="78"/>
  <c r="DA198" i="78" s="1"/>
  <c r="DA211" i="78" s="1"/>
  <c r="CZ197" i="78"/>
  <c r="CX197" i="78"/>
  <c r="CW197" i="78"/>
  <c r="CW198" i="78" s="1"/>
  <c r="CW211" i="78" s="1"/>
  <c r="CV197" i="78"/>
  <c r="CU197" i="78"/>
  <c r="CT197" i="78" s="1"/>
  <c r="CS197" i="78"/>
  <c r="CS198" i="78" s="1"/>
  <c r="CR197" i="78"/>
  <c r="CQ197" i="78"/>
  <c r="CP197" i="78"/>
  <c r="CO197" i="78"/>
  <c r="CN197" i="78"/>
  <c r="CM197" i="78"/>
  <c r="CL197" i="78"/>
  <c r="CK197" i="78"/>
  <c r="CK198" i="78" s="1"/>
  <c r="CJ197" i="78"/>
  <c r="CI197" i="78"/>
  <c r="CH197" i="78"/>
  <c r="CG197" i="78"/>
  <c r="CG198" i="78" s="1"/>
  <c r="CG211" i="78" s="1"/>
  <c r="CG214" i="78" s="1"/>
  <c r="DX196" i="78"/>
  <c r="DX195" i="78"/>
  <c r="DX194" i="78"/>
  <c r="DX193" i="78"/>
  <c r="DX192" i="78"/>
  <c r="DX198" i="78" s="1"/>
  <c r="DS196" i="78"/>
  <c r="DS195" i="78"/>
  <c r="DS194" i="78"/>
  <c r="DS193" i="78"/>
  <c r="DS192" i="78"/>
  <c r="DN196" i="78"/>
  <c r="DN195" i="78"/>
  <c r="DN194" i="78"/>
  <c r="DN193" i="78"/>
  <c r="DN198" i="78" s="1"/>
  <c r="DN192" i="78"/>
  <c r="DI196" i="78"/>
  <c r="DI195" i="78"/>
  <c r="DI194" i="78"/>
  <c r="DI193" i="78"/>
  <c r="DI192" i="78"/>
  <c r="DI198" i="78" s="1"/>
  <c r="DD196" i="78"/>
  <c r="DD195" i="78"/>
  <c r="DD194" i="78"/>
  <c r="DD193" i="78"/>
  <c r="DD192" i="78"/>
  <c r="CY196" i="78"/>
  <c r="CY195" i="78"/>
  <c r="CY194" i="78"/>
  <c r="CY193" i="78"/>
  <c r="CY192" i="78"/>
  <c r="CT196" i="78"/>
  <c r="CT195" i="78"/>
  <c r="CT194" i="78"/>
  <c r="CT193" i="78"/>
  <c r="CT192" i="78"/>
  <c r="CO196" i="78"/>
  <c r="CO195" i="78"/>
  <c r="CO194" i="78"/>
  <c r="CO193" i="78"/>
  <c r="CO192" i="78"/>
  <c r="CO198" i="78" s="1"/>
  <c r="CJ196" i="78"/>
  <c r="CJ195" i="78"/>
  <c r="CJ194" i="78"/>
  <c r="CJ193" i="78"/>
  <c r="CJ192" i="78"/>
  <c r="CJ198" i="78" s="1"/>
  <c r="BM197" i="78"/>
  <c r="BM196" i="78"/>
  <c r="BH197" i="78"/>
  <c r="BH196" i="78"/>
  <c r="BC197" i="78"/>
  <c r="BC196" i="78"/>
  <c r="AX197" i="78"/>
  <c r="AU197" i="78"/>
  <c r="AT197" i="78"/>
  <c r="AP197" i="78"/>
  <c r="AM197" i="78"/>
  <c r="AL197" i="78"/>
  <c r="AI197" i="78"/>
  <c r="AH197" i="78"/>
  <c r="AE197" i="78"/>
  <c r="AD197" i="78"/>
  <c r="AA197" i="78"/>
  <c r="Z197" i="78"/>
  <c r="V197" i="78"/>
  <c r="S197" i="78"/>
  <c r="R197" i="78"/>
  <c r="O197" i="78"/>
  <c r="N197" i="78"/>
  <c r="K197" i="78"/>
  <c r="J197" i="78"/>
  <c r="G197" i="78"/>
  <c r="F197" i="78"/>
  <c r="AY196" i="78"/>
  <c r="AZ196" i="78" s="1"/>
  <c r="AX196" i="78"/>
  <c r="BA196" i="78" s="1"/>
  <c r="AW196" i="78"/>
  <c r="AV196" i="78"/>
  <c r="AU196" i="78"/>
  <c r="AT196" i="78"/>
  <c r="AS196" i="78"/>
  <c r="AR196" i="78"/>
  <c r="AQ196" i="78"/>
  <c r="AP196" i="78"/>
  <c r="AO196" i="78"/>
  <c r="AN196" i="78"/>
  <c r="AM196" i="78"/>
  <c r="AL196" i="78"/>
  <c r="AK196" i="78"/>
  <c r="AJ196" i="78"/>
  <c r="AI196" i="78"/>
  <c r="AH196" i="78"/>
  <c r="AG196" i="78"/>
  <c r="AF196" i="78"/>
  <c r="AE196" i="78"/>
  <c r="AD196" i="78"/>
  <c r="AC196" i="78"/>
  <c r="AB196" i="78"/>
  <c r="AA196" i="78"/>
  <c r="Z196" i="78"/>
  <c r="Y196" i="78"/>
  <c r="X196" i="78"/>
  <c r="W196" i="78"/>
  <c r="V196" i="78"/>
  <c r="U196" i="78"/>
  <c r="T196" i="78"/>
  <c r="S196" i="78"/>
  <c r="R196" i="78"/>
  <c r="Q196" i="78"/>
  <c r="P196" i="78"/>
  <c r="O196" i="78"/>
  <c r="N196" i="78"/>
  <c r="M196" i="78"/>
  <c r="L196" i="78"/>
  <c r="K196" i="78"/>
  <c r="J196" i="78"/>
  <c r="I196" i="78"/>
  <c r="H196" i="78"/>
  <c r="G196" i="78"/>
  <c r="F196" i="78"/>
  <c r="E196" i="78"/>
  <c r="AW195" i="78"/>
  <c r="AV195" i="78"/>
  <c r="AU195" i="78"/>
  <c r="AT195" i="78"/>
  <c r="AS195" i="78"/>
  <c r="AR195" i="78"/>
  <c r="AQ195" i="78"/>
  <c r="AP195" i="78"/>
  <c r="AO195" i="78"/>
  <c r="AN195" i="78"/>
  <c r="AM195" i="78"/>
  <c r="AL195" i="78"/>
  <c r="AK195" i="78"/>
  <c r="AJ195" i="78"/>
  <c r="AI195" i="78"/>
  <c r="AH195" i="78"/>
  <c r="AG195" i="78"/>
  <c r="AF195" i="78"/>
  <c r="AE195" i="78"/>
  <c r="AD195" i="78"/>
  <c r="AC195" i="78"/>
  <c r="AB195" i="78"/>
  <c r="AA195" i="78"/>
  <c r="Z195" i="78"/>
  <c r="Y195" i="78"/>
  <c r="X195" i="78"/>
  <c r="W195" i="78"/>
  <c r="V195" i="78"/>
  <c r="U195" i="78"/>
  <c r="T195" i="78"/>
  <c r="S195" i="78"/>
  <c r="R195" i="78"/>
  <c r="Q195" i="78"/>
  <c r="P195" i="78"/>
  <c r="O195" i="78"/>
  <c r="N195" i="78"/>
  <c r="M195" i="78"/>
  <c r="L195" i="78"/>
  <c r="K195" i="78"/>
  <c r="J195" i="78"/>
  <c r="I195" i="78"/>
  <c r="H195" i="78"/>
  <c r="G195" i="78"/>
  <c r="F195" i="78"/>
  <c r="E195" i="78"/>
  <c r="AW194" i="78"/>
  <c r="AV194" i="78"/>
  <c r="AV257" i="78" s="1"/>
  <c r="AU194" i="78"/>
  <c r="AU257" i="78" s="1"/>
  <c r="AT194" i="78"/>
  <c r="AT257" i="78" s="1"/>
  <c r="AS194" i="78"/>
  <c r="AS257" i="78" s="1"/>
  <c r="AW257" i="78" s="1"/>
  <c r="AR194" i="78"/>
  <c r="AQ194" i="78"/>
  <c r="AQ257" i="78" s="1"/>
  <c r="AP194" i="78"/>
  <c r="AP257" i="78" s="1"/>
  <c r="AO194" i="78"/>
  <c r="AO257" i="78" s="1"/>
  <c r="AN194" i="78"/>
  <c r="AN257" i="78" s="1"/>
  <c r="AM194" i="78"/>
  <c r="AL194" i="78"/>
  <c r="AL257" i="78" s="1"/>
  <c r="AK194" i="78"/>
  <c r="AK257" i="78" s="1"/>
  <c r="AJ194" i="78"/>
  <c r="AJ257" i="78" s="1"/>
  <c r="AI194" i="78"/>
  <c r="AI257" i="78" s="1"/>
  <c r="AH194" i="78"/>
  <c r="AG194" i="78"/>
  <c r="AG257" i="78" s="1"/>
  <c r="AF194" i="78"/>
  <c r="AF257" i="78" s="1"/>
  <c r="AE194" i="78"/>
  <c r="AE257" i="78" s="1"/>
  <c r="AD194" i="78"/>
  <c r="AD257" i="78" s="1"/>
  <c r="AC194" i="78"/>
  <c r="AB194" i="78"/>
  <c r="AB257" i="78" s="1"/>
  <c r="AA194" i="78"/>
  <c r="AA257" i="78" s="1"/>
  <c r="Z194" i="78"/>
  <c r="Z257" i="78" s="1"/>
  <c r="Y194" i="78"/>
  <c r="Y257" i="78" s="1"/>
  <c r="AC257" i="78" s="1"/>
  <c r="X194" i="78"/>
  <c r="W194" i="78"/>
  <c r="W257" i="78" s="1"/>
  <c r="V194" i="78"/>
  <c r="V257" i="78" s="1"/>
  <c r="U194" i="78"/>
  <c r="U257" i="78" s="1"/>
  <c r="T194" i="78"/>
  <c r="T257" i="78" s="1"/>
  <c r="S194" i="78"/>
  <c r="R194" i="78"/>
  <c r="R257" i="78" s="1"/>
  <c r="Q194" i="78"/>
  <c r="Q257" i="78" s="1"/>
  <c r="P194" i="78"/>
  <c r="P257" i="78" s="1"/>
  <c r="O194" i="78"/>
  <c r="O257" i="78" s="1"/>
  <c r="N194" i="78"/>
  <c r="M194" i="78"/>
  <c r="M257" i="78" s="1"/>
  <c r="L194" i="78"/>
  <c r="L257" i="78" s="1"/>
  <c r="K194" i="78"/>
  <c r="K257" i="78" s="1"/>
  <c r="J194" i="78"/>
  <c r="J257" i="78" s="1"/>
  <c r="I194" i="78"/>
  <c r="H194" i="78"/>
  <c r="H257" i="78" s="1"/>
  <c r="G194" i="78"/>
  <c r="G257" i="78" s="1"/>
  <c r="F194" i="78"/>
  <c r="F257" i="78" s="1"/>
  <c r="E194" i="78"/>
  <c r="E257" i="78" s="1"/>
  <c r="I257" i="78" s="1"/>
  <c r="AW193" i="78"/>
  <c r="AV193" i="78"/>
  <c r="AU193" i="78"/>
  <c r="AT193" i="78"/>
  <c r="AS193" i="78"/>
  <c r="AR193" i="78"/>
  <c r="AQ193" i="78"/>
  <c r="AP193" i="78"/>
  <c r="AO193" i="78"/>
  <c r="AN193" i="78"/>
  <c r="AM193" i="78"/>
  <c r="AL193" i="78"/>
  <c r="AK193" i="78"/>
  <c r="AJ193" i="78"/>
  <c r="AI193" i="78"/>
  <c r="AH193" i="78"/>
  <c r="AG193" i="78"/>
  <c r="AF193" i="78"/>
  <c r="AE193" i="78"/>
  <c r="AE158" i="78" s="1"/>
  <c r="AD193" i="78"/>
  <c r="AC193" i="78"/>
  <c r="AB193" i="78"/>
  <c r="AA193" i="78"/>
  <c r="Z193" i="78"/>
  <c r="Y193" i="78"/>
  <c r="X193" i="78"/>
  <c r="W193" i="78"/>
  <c r="V193" i="78"/>
  <c r="U193" i="78"/>
  <c r="T193" i="78"/>
  <c r="S193" i="78"/>
  <c r="R193" i="78"/>
  <c r="Q193" i="78"/>
  <c r="P193" i="78"/>
  <c r="O193" i="78"/>
  <c r="N193" i="78"/>
  <c r="M193" i="78"/>
  <c r="L193" i="78"/>
  <c r="K193" i="78"/>
  <c r="J193" i="78"/>
  <c r="I193" i="78"/>
  <c r="H193" i="78"/>
  <c r="G193" i="78"/>
  <c r="F193" i="78"/>
  <c r="E193" i="78"/>
  <c r="AW192" i="78"/>
  <c r="AV192" i="78"/>
  <c r="AU192" i="78"/>
  <c r="AU198" i="78" s="1"/>
  <c r="AT192" i="78"/>
  <c r="AT198" i="78" s="1"/>
  <c r="AT211" i="78" s="1"/>
  <c r="AS192" i="78"/>
  <c r="AR192" i="78"/>
  <c r="AQ192" i="78"/>
  <c r="AP192" i="78"/>
  <c r="AP198" i="78" s="1"/>
  <c r="AO192" i="78"/>
  <c r="AN192" i="78"/>
  <c r="AM192" i="78"/>
  <c r="AL192" i="78"/>
  <c r="AL198" i="78" s="1"/>
  <c r="AK192" i="78"/>
  <c r="AJ192" i="78"/>
  <c r="AI192" i="78"/>
  <c r="AI198" i="78" s="1"/>
  <c r="AI211" i="78" s="1"/>
  <c r="AH192" i="78"/>
  <c r="AG192" i="78"/>
  <c r="AF192" i="78"/>
  <c r="AE192" i="78"/>
  <c r="AE198" i="78" s="1"/>
  <c r="AE211" i="78" s="1"/>
  <c r="AD192" i="78"/>
  <c r="AD198" i="78" s="1"/>
  <c r="AD211" i="78" s="1"/>
  <c r="AC192" i="78"/>
  <c r="AB192" i="78"/>
  <c r="AA192" i="78"/>
  <c r="AA198" i="78" s="1"/>
  <c r="Z192" i="78"/>
  <c r="Z198" i="78" s="1"/>
  <c r="Y192" i="78"/>
  <c r="X192" i="78"/>
  <c r="W192" i="78"/>
  <c r="V192" i="78"/>
  <c r="V198" i="78" s="1"/>
  <c r="U192" i="78"/>
  <c r="T192" i="78"/>
  <c r="S192" i="78"/>
  <c r="R192" i="78"/>
  <c r="R198" i="78" s="1"/>
  <c r="Q192" i="78"/>
  <c r="P192" i="78"/>
  <c r="O192" i="78"/>
  <c r="O198" i="78" s="1"/>
  <c r="N192" i="78"/>
  <c r="M192" i="78"/>
  <c r="L192" i="78"/>
  <c r="K192" i="78"/>
  <c r="K198" i="78" s="1"/>
  <c r="J192" i="78"/>
  <c r="J198" i="78" s="1"/>
  <c r="I192" i="78"/>
  <c r="H192" i="78"/>
  <c r="G192" i="78"/>
  <c r="G198" i="78" s="1"/>
  <c r="F192" i="78"/>
  <c r="F198" i="78" s="1"/>
  <c r="E192" i="78"/>
  <c r="BQ188" i="78"/>
  <c r="BP188" i="78"/>
  <c r="BO188" i="78"/>
  <c r="BN188" i="78"/>
  <c r="BM188" i="78"/>
  <c r="BL188" i="78"/>
  <c r="BK188" i="78"/>
  <c r="BJ188" i="78"/>
  <c r="BI188" i="78"/>
  <c r="BH188" i="78"/>
  <c r="BG188" i="78"/>
  <c r="BF188" i="78"/>
  <c r="BE188" i="78"/>
  <c r="BD188" i="78"/>
  <c r="BC188" i="78"/>
  <c r="BB188" i="78"/>
  <c r="BA188" i="78"/>
  <c r="AZ188" i="78"/>
  <c r="AY188" i="78"/>
  <c r="AX188" i="78"/>
  <c r="BQ186" i="78"/>
  <c r="BP186" i="78"/>
  <c r="BO186" i="78"/>
  <c r="BN186" i="78"/>
  <c r="BM186" i="78"/>
  <c r="BQ185" i="78"/>
  <c r="BP185" i="78"/>
  <c r="BO185" i="78"/>
  <c r="BN185" i="78"/>
  <c r="BM185" i="78"/>
  <c r="AX184" i="78"/>
  <c r="AU181" i="78"/>
  <c r="AT181" i="78"/>
  <c r="AS181" i="78"/>
  <c r="AR181" i="78"/>
  <c r="AQ181" i="78"/>
  <c r="AP181" i="78"/>
  <c r="AO181" i="78"/>
  <c r="AN181" i="78"/>
  <c r="AM181" i="78"/>
  <c r="AL181" i="78"/>
  <c r="AK181" i="78"/>
  <c r="AJ181" i="78"/>
  <c r="AI181" i="78"/>
  <c r="AH181" i="78"/>
  <c r="AG181" i="78"/>
  <c r="AF181" i="78"/>
  <c r="AE181" i="78"/>
  <c r="AD181" i="78"/>
  <c r="AC181" i="78"/>
  <c r="AB181" i="78"/>
  <c r="AA181" i="78"/>
  <c r="Y181" i="78"/>
  <c r="X181" i="78"/>
  <c r="W181" i="78"/>
  <c r="V181" i="78"/>
  <c r="U181" i="78"/>
  <c r="T181" i="78"/>
  <c r="S181" i="78"/>
  <c r="R181" i="78"/>
  <c r="Q181" i="78"/>
  <c r="P181" i="78"/>
  <c r="O181" i="78"/>
  <c r="N181" i="78"/>
  <c r="M181" i="78"/>
  <c r="L181" i="78"/>
  <c r="K181" i="78"/>
  <c r="J181" i="78"/>
  <c r="I181" i="78"/>
  <c r="H181" i="78"/>
  <c r="G181" i="78"/>
  <c r="F181" i="78"/>
  <c r="E181" i="78"/>
  <c r="AU180" i="78"/>
  <c r="AT180" i="78"/>
  <c r="AS180" i="78"/>
  <c r="AR180" i="78"/>
  <c r="AQ180" i="78"/>
  <c r="AP180" i="78"/>
  <c r="AO180" i="78"/>
  <c r="AN180" i="78"/>
  <c r="AM180" i="78"/>
  <c r="AL180" i="78"/>
  <c r="AK180" i="78"/>
  <c r="AJ180" i="78"/>
  <c r="AI180" i="78"/>
  <c r="AH180" i="78"/>
  <c r="AG180" i="78"/>
  <c r="AF180" i="78"/>
  <c r="AE180" i="78"/>
  <c r="AD180" i="78"/>
  <c r="AC180" i="78"/>
  <c r="AB180" i="78"/>
  <c r="AA180" i="78"/>
  <c r="Y180" i="78"/>
  <c r="X180" i="78"/>
  <c r="W180" i="78"/>
  <c r="V180" i="78"/>
  <c r="U180" i="78"/>
  <c r="T180" i="78"/>
  <c r="S180" i="78"/>
  <c r="R180" i="78"/>
  <c r="Q180" i="78"/>
  <c r="P180" i="78"/>
  <c r="O180" i="78"/>
  <c r="N180" i="78"/>
  <c r="M180" i="78"/>
  <c r="L180" i="78"/>
  <c r="K180" i="78"/>
  <c r="J180" i="78"/>
  <c r="I180" i="78"/>
  <c r="H180" i="78"/>
  <c r="G180" i="78"/>
  <c r="F180" i="78"/>
  <c r="E180" i="78"/>
  <c r="AU174" i="78"/>
  <c r="AT174" i="78"/>
  <c r="AS174" i="78"/>
  <c r="AP174" i="78"/>
  <c r="AO174" i="78"/>
  <c r="AN174" i="78"/>
  <c r="AK174" i="78"/>
  <c r="AJ174" i="78"/>
  <c r="AI174" i="78"/>
  <c r="AF174" i="78"/>
  <c r="AE174" i="78"/>
  <c r="AD174" i="78"/>
  <c r="AA174" i="78"/>
  <c r="Z174" i="78"/>
  <c r="Z175" i="78" s="1"/>
  <c r="Y174" i="78"/>
  <c r="V174" i="78"/>
  <c r="U174" i="78"/>
  <c r="T174" i="78"/>
  <c r="Q174" i="78"/>
  <c r="P174" i="78"/>
  <c r="O174" i="78"/>
  <c r="L174" i="78"/>
  <c r="AV255" i="78"/>
  <c r="AU170" i="78"/>
  <c r="AU255" i="78" s="1"/>
  <c r="AT170" i="78"/>
  <c r="AT255" i="78" s="1"/>
  <c r="AR170" i="78"/>
  <c r="AR163" i="78" s="1"/>
  <c r="AQ170" i="78"/>
  <c r="AQ255" i="78" s="1"/>
  <c r="AP170" i="78"/>
  <c r="AP255" i="78" s="1"/>
  <c r="AO170" i="78"/>
  <c r="AO255" i="78" s="1"/>
  <c r="AN170" i="78"/>
  <c r="AN255" i="78" s="1"/>
  <c r="AR255" i="78" s="1"/>
  <c r="AM170" i="78"/>
  <c r="AM163" i="78" s="1"/>
  <c r="AL170" i="78"/>
  <c r="AL255" i="78" s="1"/>
  <c r="AK170" i="78"/>
  <c r="AK255" i="78" s="1"/>
  <c r="AJ170" i="78"/>
  <c r="AJ255" i="78" s="1"/>
  <c r="AI170" i="78"/>
  <c r="AI255" i="78" s="1"/>
  <c r="AH170" i="78"/>
  <c r="AG170" i="78"/>
  <c r="AG255" i="78" s="1"/>
  <c r="AF170" i="78"/>
  <c r="AF255" i="78" s="1"/>
  <c r="AE170" i="78"/>
  <c r="AE255" i="78" s="1"/>
  <c r="AD170" i="78"/>
  <c r="AD255" i="78" s="1"/>
  <c r="AC170" i="78"/>
  <c r="AB170" i="78"/>
  <c r="AB255" i="78" s="1"/>
  <c r="AA170" i="78"/>
  <c r="AA255" i="78" s="1"/>
  <c r="Z170" i="78"/>
  <c r="Z255" i="78" s="1"/>
  <c r="Y170" i="78"/>
  <c r="Y255" i="78" s="1"/>
  <c r="X170" i="78"/>
  <c r="X163" i="78" s="1"/>
  <c r="W170" i="78"/>
  <c r="W255" i="78" s="1"/>
  <c r="V170" i="78"/>
  <c r="V255" i="78" s="1"/>
  <c r="U170" i="78"/>
  <c r="U255" i="78" s="1"/>
  <c r="T170" i="78"/>
  <c r="T255" i="78" s="1"/>
  <c r="X255" i="78" s="1"/>
  <c r="S170" i="78"/>
  <c r="S163" i="78" s="1"/>
  <c r="R170" i="78"/>
  <c r="R255" i="78" s="1"/>
  <c r="Q170" i="78"/>
  <c r="Q255" i="78" s="1"/>
  <c r="P170" i="78"/>
  <c r="P255" i="78" s="1"/>
  <c r="O170" i="78"/>
  <c r="O255" i="78" s="1"/>
  <c r="N170" i="78"/>
  <c r="M170" i="78"/>
  <c r="M255" i="78" s="1"/>
  <c r="L170" i="78"/>
  <c r="L255" i="78" s="1"/>
  <c r="K170" i="78"/>
  <c r="K255" i="78" s="1"/>
  <c r="J170" i="78"/>
  <c r="J255" i="78" s="1"/>
  <c r="I170" i="78"/>
  <c r="H170" i="78"/>
  <c r="H255" i="78" s="1"/>
  <c r="G170" i="78"/>
  <c r="G255" i="78" s="1"/>
  <c r="F170" i="78"/>
  <c r="F255" i="78" s="1"/>
  <c r="E170" i="78"/>
  <c r="E255" i="78" s="1"/>
  <c r="BS169" i="78"/>
  <c r="BB169" i="78"/>
  <c r="AX169" i="78"/>
  <c r="AX168" i="78"/>
  <c r="BQ167" i="78"/>
  <c r="BP167" i="78" s="1"/>
  <c r="BO167" i="78"/>
  <c r="BN167" i="78"/>
  <c r="BM167" i="78"/>
  <c r="BQ166" i="78"/>
  <c r="BP166" i="78"/>
  <c r="BO166" i="78"/>
  <c r="BN166" i="78"/>
  <c r="BM166" i="78"/>
  <c r="BO165" i="78"/>
  <c r="BP165" i="78"/>
  <c r="BM165" i="78"/>
  <c r="BK167" i="78"/>
  <c r="BJ167" i="78"/>
  <c r="BI167" i="78"/>
  <c r="BH167" i="78"/>
  <c r="BK166" i="78"/>
  <c r="BJ166" i="78"/>
  <c r="BI166" i="78"/>
  <c r="BH166" i="78"/>
  <c r="BK165" i="78"/>
  <c r="BJ165" i="78"/>
  <c r="BI165" i="78"/>
  <c r="BH165" i="78"/>
  <c r="BF167" i="78"/>
  <c r="BE167" i="78"/>
  <c r="BD167" i="78"/>
  <c r="BC167" i="78"/>
  <c r="BF166" i="78"/>
  <c r="BE166" i="78"/>
  <c r="BD166" i="78"/>
  <c r="BC166" i="78"/>
  <c r="BF165" i="78"/>
  <c r="BE165" i="78"/>
  <c r="BD165" i="78"/>
  <c r="BC165" i="78"/>
  <c r="BA167" i="78"/>
  <c r="AZ167" i="78"/>
  <c r="AY167" i="78"/>
  <c r="AX167" i="78"/>
  <c r="BA166" i="78"/>
  <c r="AZ166" i="78"/>
  <c r="AY166" i="78"/>
  <c r="AX166" i="78"/>
  <c r="BA165" i="78"/>
  <c r="AZ165" i="78"/>
  <c r="AY165" i="78"/>
  <c r="AX165" i="78"/>
  <c r="AX170" i="78" s="1"/>
  <c r="AX163" i="78"/>
  <c r="AY163" i="78" s="1"/>
  <c r="AH163" i="78"/>
  <c r="AC163" i="78"/>
  <c r="Z163" i="78"/>
  <c r="N163" i="78"/>
  <c r="I163" i="78"/>
  <c r="AR160" i="78"/>
  <c r="AN160" i="78"/>
  <c r="AF160" i="78"/>
  <c r="AE160" i="78"/>
  <c r="AA160" i="78"/>
  <c r="Z160" i="78"/>
  <c r="Z256" i="78" s="1"/>
  <c r="S160" i="78"/>
  <c r="N160" i="78"/>
  <c r="K160" i="78"/>
  <c r="K256" i="78" s="1"/>
  <c r="BQ159" i="78"/>
  <c r="BL159" i="78"/>
  <c r="BG159" i="78"/>
  <c r="BB159" i="78"/>
  <c r="AU159" i="78"/>
  <c r="AV159" i="78" s="1"/>
  <c r="AV160" i="78" s="1"/>
  <c r="AT159" i="78"/>
  <c r="AP159" i="78"/>
  <c r="AO159" i="78"/>
  <c r="AJ159" i="78"/>
  <c r="AJ160" i="78" s="1"/>
  <c r="AG159" i="78"/>
  <c r="AG158" i="78"/>
  <c r="AG160" i="78" s="1"/>
  <c r="AB159" i="78"/>
  <c r="AB158" i="78"/>
  <c r="AB160" i="78" s="1"/>
  <c r="W159" i="78"/>
  <c r="W160" i="78" s="1"/>
  <c r="V159" i="78"/>
  <c r="V160" i="78" s="1"/>
  <c r="V256" i="78" s="1"/>
  <c r="U159" i="78"/>
  <c r="T159" i="78"/>
  <c r="R159" i="78"/>
  <c r="R160" i="78" s="1"/>
  <c r="R256" i="78" s="1"/>
  <c r="Q159" i="78"/>
  <c r="P159" i="78"/>
  <c r="O159" i="78"/>
  <c r="O160" i="78" s="1"/>
  <c r="M159" i="78"/>
  <c r="L159" i="78"/>
  <c r="K159" i="78"/>
  <c r="J159" i="78"/>
  <c r="J160" i="78" s="1"/>
  <c r="J256" i="78" s="1"/>
  <c r="I159" i="78"/>
  <c r="E159" i="78" s="1"/>
  <c r="F159" i="78"/>
  <c r="F160" i="78" s="1"/>
  <c r="F256" i="78" s="1"/>
  <c r="AW158" i="78"/>
  <c r="AW160" i="78" s="1"/>
  <c r="AV158" i="78"/>
  <c r="AU158" i="78"/>
  <c r="AU160" i="78" s="1"/>
  <c r="AT158" i="78"/>
  <c r="AT160" i="78" s="1"/>
  <c r="AT256" i="78" s="1"/>
  <c r="AS158" i="78"/>
  <c r="AS160" i="78" s="1"/>
  <c r="AR158" i="78"/>
  <c r="AQ158" i="78"/>
  <c r="AP158" i="78"/>
  <c r="AO158" i="78"/>
  <c r="AO160" i="78" s="1"/>
  <c r="AN158" i="78"/>
  <c r="AM158" i="78"/>
  <c r="AM160" i="78" s="1"/>
  <c r="AL158" i="78"/>
  <c r="AK158" i="78"/>
  <c r="AJ158" i="78"/>
  <c r="AI158" i="78"/>
  <c r="AI160" i="78" s="1"/>
  <c r="AH158" i="78"/>
  <c r="AH160" i="78" s="1"/>
  <c r="AF158" i="78"/>
  <c r="AD158" i="78"/>
  <c r="AD160" i="78" s="1"/>
  <c r="AD256" i="78" s="1"/>
  <c r="AC158" i="78"/>
  <c r="AC160" i="78" s="1"/>
  <c r="AA158" i="78"/>
  <c r="Z158" i="78"/>
  <c r="Y158" i="78"/>
  <c r="Y160" i="78" s="1"/>
  <c r="X158" i="78"/>
  <c r="X160" i="78" s="1"/>
  <c r="W158" i="78"/>
  <c r="V158" i="78"/>
  <c r="U158" i="78"/>
  <c r="U160" i="78" s="1"/>
  <c r="T158" i="78"/>
  <c r="T160" i="78" s="1"/>
  <c r="S158" i="78"/>
  <c r="R158" i="78"/>
  <c r="Q158" i="78"/>
  <c r="Q160" i="78" s="1"/>
  <c r="P158" i="78"/>
  <c r="P160" i="78" s="1"/>
  <c r="O158" i="78"/>
  <c r="N158" i="78"/>
  <c r="M158" i="78"/>
  <c r="M160" i="78" s="1"/>
  <c r="L158" i="78"/>
  <c r="L160" i="78" s="1"/>
  <c r="K158" i="78"/>
  <c r="J158" i="78"/>
  <c r="I158" i="78"/>
  <c r="I160" i="78" s="1"/>
  <c r="H158" i="78"/>
  <c r="G158" i="78"/>
  <c r="F158" i="78"/>
  <c r="E158" i="78"/>
  <c r="AN156" i="78"/>
  <c r="AI156" i="78"/>
  <c r="AG156" i="78"/>
  <c r="AG163" i="78" s="1"/>
  <c r="AF156" i="78"/>
  <c r="AF175" i="78" s="1"/>
  <c r="AE156" i="78"/>
  <c r="AE163" i="78" s="1"/>
  <c r="AD156" i="78"/>
  <c r="AB156" i="78"/>
  <c r="AB163" i="78" s="1"/>
  <c r="AA156" i="78"/>
  <c r="AA163" i="78" s="1"/>
  <c r="Z156" i="78"/>
  <c r="Y156" i="78"/>
  <c r="Y152" i="78" s="1"/>
  <c r="W156" i="78"/>
  <c r="R156" i="78"/>
  <c r="M156" i="78"/>
  <c r="L156" i="78" s="1"/>
  <c r="L152" i="78" s="1"/>
  <c r="L154" i="78" s="1"/>
  <c r="H156" i="78"/>
  <c r="AF154" i="78"/>
  <c r="Z154" i="78"/>
  <c r="Y154" i="78"/>
  <c r="Z162" i="78" s="1"/>
  <c r="I154" i="78"/>
  <c r="AV153" i="78"/>
  <c r="AQ153" i="78"/>
  <c r="AL153" i="78"/>
  <c r="AG153" i="78"/>
  <c r="AB153" i="78"/>
  <c r="W153" i="78"/>
  <c r="W152" i="78"/>
  <c r="W154" i="78" s="1"/>
  <c r="R153" i="78"/>
  <c r="M153" i="78"/>
  <c r="H153" i="78"/>
  <c r="AW152" i="78"/>
  <c r="AR152" i="78"/>
  <c r="AR154" i="78" s="1"/>
  <c r="AM152" i="78"/>
  <c r="AH152" i="78"/>
  <c r="AH154" i="78" s="1"/>
  <c r="AF152" i="78"/>
  <c r="AE152" i="78"/>
  <c r="AE154" i="78" s="1"/>
  <c r="AC152" i="78"/>
  <c r="AB152" i="78" s="1"/>
  <c r="AB154" i="78" s="1"/>
  <c r="AA152" i="78"/>
  <c r="AA154" i="78" s="1"/>
  <c r="Z152" i="78"/>
  <c r="X152" i="78"/>
  <c r="X154" i="78" s="1"/>
  <c r="S152" i="78"/>
  <c r="N152" i="78"/>
  <c r="M152" i="78" s="1"/>
  <c r="M154" i="78" s="1"/>
  <c r="I152" i="78"/>
  <c r="H152" i="78" s="1"/>
  <c r="H154" i="78" s="1"/>
  <c r="AS147" i="78"/>
  <c r="AO147" i="78"/>
  <c r="AN147" i="78"/>
  <c r="AI147" i="78"/>
  <c r="AC147" i="78"/>
  <c r="Y147" i="78"/>
  <c r="X147" i="78"/>
  <c r="T147" i="78"/>
  <c r="S147" i="78"/>
  <c r="O147" i="78"/>
  <c r="AU146" i="78"/>
  <c r="AU147" i="78" s="1"/>
  <c r="AT146" i="78"/>
  <c r="AT147" i="78" s="1"/>
  <c r="AS146" i="78"/>
  <c r="AR146" i="78"/>
  <c r="AP146" i="78"/>
  <c r="AO146" i="78"/>
  <c r="AN146" i="78"/>
  <c r="AM146" i="78"/>
  <c r="AM147" i="78" s="1"/>
  <c r="AK146" i="78"/>
  <c r="AK147" i="78" s="1"/>
  <c r="AJ146" i="78"/>
  <c r="AI146" i="78"/>
  <c r="AH146" i="78"/>
  <c r="AH147" i="78" s="1"/>
  <c r="AF146" i="78"/>
  <c r="AF147" i="78" s="1"/>
  <c r="AE146" i="78"/>
  <c r="AJ147" i="78" s="1"/>
  <c r="AD146" i="78"/>
  <c r="AD147" i="78" s="1"/>
  <c r="AC146" i="78"/>
  <c r="AA146" i="78"/>
  <c r="AA147" i="78" s="1"/>
  <c r="Z146" i="78"/>
  <c r="Z147" i="78" s="1"/>
  <c r="Y146" i="78"/>
  <c r="X146" i="78"/>
  <c r="V146" i="78"/>
  <c r="U146" i="78"/>
  <c r="U147" i="78" s="1"/>
  <c r="T146" i="78"/>
  <c r="S146" i="78"/>
  <c r="Q146" i="78"/>
  <c r="Q147" i="78" s="1"/>
  <c r="P146" i="78"/>
  <c r="P147" i="78" s="1"/>
  <c r="O146" i="78"/>
  <c r="N146" i="78"/>
  <c r="L146" i="78"/>
  <c r="L147" i="78" s="1"/>
  <c r="K146" i="78"/>
  <c r="K147" i="78" s="1"/>
  <c r="J146" i="78"/>
  <c r="I146" i="78"/>
  <c r="G146" i="78"/>
  <c r="F146" i="78"/>
  <c r="E146" i="78"/>
  <c r="BQ142" i="78"/>
  <c r="BL142" i="78"/>
  <c r="BG142" i="78"/>
  <c r="BB142" i="78"/>
  <c r="AR142" i="78"/>
  <c r="AR141" i="78"/>
  <c r="AM142" i="78"/>
  <c r="AH142" i="78"/>
  <c r="AC142" i="78"/>
  <c r="X142" i="78"/>
  <c r="S142" i="78"/>
  <c r="N142" i="78"/>
  <c r="T141" i="78"/>
  <c r="T143" i="78" s="1"/>
  <c r="T144" i="78" s="1"/>
  <c r="O141" i="78"/>
  <c r="O143" i="78" s="1"/>
  <c r="I141" i="78"/>
  <c r="G141" i="78"/>
  <c r="G143" i="78" s="1"/>
  <c r="F141" i="78"/>
  <c r="F143" i="78" s="1"/>
  <c r="E141" i="78"/>
  <c r="E143" i="78" s="1"/>
  <c r="S136" i="78"/>
  <c r="N136" i="78"/>
  <c r="S134" i="78"/>
  <c r="O134" i="78"/>
  <c r="K134" i="78"/>
  <c r="AN133" i="78"/>
  <c r="S133" i="78"/>
  <c r="Q133" i="78"/>
  <c r="Q134" i="78" s="1"/>
  <c r="P133" i="78"/>
  <c r="O133" i="78"/>
  <c r="N133" i="78"/>
  <c r="L133" i="78"/>
  <c r="L134" i="78" s="1"/>
  <c r="K133" i="78"/>
  <c r="J133" i="78"/>
  <c r="I133" i="78"/>
  <c r="I134" i="78" s="1"/>
  <c r="G133" i="78"/>
  <c r="F133" i="78"/>
  <c r="E133" i="78"/>
  <c r="E134" i="78" s="1"/>
  <c r="AR126" i="78"/>
  <c r="AB126" i="78"/>
  <c r="L126" i="78"/>
  <c r="AS124" i="78"/>
  <c r="Q124" i="78"/>
  <c r="AW122" i="78"/>
  <c r="AU122" i="78"/>
  <c r="AU124" i="78" s="1"/>
  <c r="AT122" i="78"/>
  <c r="AS122" i="78"/>
  <c r="AR122" i="78"/>
  <c r="AR124" i="78" s="1"/>
  <c r="AP122" i="78"/>
  <c r="AO122" i="78"/>
  <c r="AO124" i="78" s="1"/>
  <c r="AO52" i="78" s="1"/>
  <c r="AN122" i="78"/>
  <c r="AN134" i="78" s="1"/>
  <c r="AM122" i="78"/>
  <c r="AM124" i="78" s="1"/>
  <c r="AL122" i="78"/>
  <c r="AK122" i="78"/>
  <c r="AK124" i="78" s="1"/>
  <c r="AK52" i="78" s="1"/>
  <c r="AJ122" i="78"/>
  <c r="AJ124" i="78" s="1"/>
  <c r="AI122" i="78"/>
  <c r="AI124" i="78" s="1"/>
  <c r="AH122" i="78"/>
  <c r="AG122" i="78"/>
  <c r="AG124" i="78" s="1"/>
  <c r="AG52" i="78" s="1"/>
  <c r="AF122" i="78"/>
  <c r="AF124" i="78" s="1"/>
  <c r="AE122" i="78"/>
  <c r="AE124" i="78" s="1"/>
  <c r="AD122" i="78"/>
  <c r="AC122" i="78"/>
  <c r="AC124" i="78" s="1"/>
  <c r="AC52" i="78" s="1"/>
  <c r="AA122" i="78"/>
  <c r="AA124" i="78" s="1"/>
  <c r="Z122" i="78"/>
  <c r="Y122" i="78"/>
  <c r="Y124" i="78" s="1"/>
  <c r="Y52" i="78" s="1"/>
  <c r="X122" i="78"/>
  <c r="X124" i="78" s="1"/>
  <c r="V122" i="78"/>
  <c r="V124" i="78" s="1"/>
  <c r="U122" i="78"/>
  <c r="U124" i="78" s="1"/>
  <c r="U52" i="78" s="1"/>
  <c r="T122" i="78"/>
  <c r="T124" i="78" s="1"/>
  <c r="S122" i="78"/>
  <c r="S124" i="78" s="1"/>
  <c r="R122" i="78"/>
  <c r="Q122" i="78"/>
  <c r="P122" i="78"/>
  <c r="P134" i="78" s="1"/>
  <c r="O122" i="78"/>
  <c r="O124" i="78" s="1"/>
  <c r="N122" i="78"/>
  <c r="N124" i="78" s="1"/>
  <c r="L122" i="78"/>
  <c r="L124" i="78" s="1"/>
  <c r="K122" i="78"/>
  <c r="K124" i="78" s="1"/>
  <c r="J122" i="78"/>
  <c r="I122" i="78"/>
  <c r="G122" i="78"/>
  <c r="G134" i="78" s="1"/>
  <c r="F122" i="78"/>
  <c r="E122" i="78"/>
  <c r="AV121" i="78"/>
  <c r="AV122" i="78" s="1"/>
  <c r="AV120" i="78"/>
  <c r="AQ121" i="78"/>
  <c r="AQ120" i="78"/>
  <c r="AQ122" i="78" s="1"/>
  <c r="AQ124" i="78" s="1"/>
  <c r="AL121" i="78"/>
  <c r="AL120" i="78"/>
  <c r="AG121" i="78"/>
  <c r="AG120" i="78"/>
  <c r="AB121" i="78"/>
  <c r="AB122" i="78" s="1"/>
  <c r="AB120" i="78"/>
  <c r="W121" i="78"/>
  <c r="W120" i="78"/>
  <c r="W122" i="78" s="1"/>
  <c r="W124" i="78" s="1"/>
  <c r="R121" i="78"/>
  <c r="R120" i="78"/>
  <c r="M121" i="78"/>
  <c r="M120" i="78"/>
  <c r="M122" i="78" s="1"/>
  <c r="M124" i="78" s="1"/>
  <c r="M52" i="78" s="1"/>
  <c r="H121" i="78"/>
  <c r="H122" i="78" s="1"/>
  <c r="H120" i="78"/>
  <c r="AW117" i="78"/>
  <c r="AU117" i="78"/>
  <c r="AT117" i="78"/>
  <c r="AT126" i="78" s="1"/>
  <c r="AS117" i="78"/>
  <c r="AR117" i="78"/>
  <c r="AP117" i="78"/>
  <c r="AP126" i="78" s="1"/>
  <c r="AO117" i="78"/>
  <c r="AN117" i="78"/>
  <c r="AN136" i="78" s="1"/>
  <c r="AM117" i="78"/>
  <c r="AK117" i="78"/>
  <c r="AJ117" i="78"/>
  <c r="AI117" i="78"/>
  <c r="AI126" i="78" s="1"/>
  <c r="AH117" i="78"/>
  <c r="AH126" i="78" s="1"/>
  <c r="AF117" i="78"/>
  <c r="AE117" i="78"/>
  <c r="AD117" i="78"/>
  <c r="AD126" i="78" s="1"/>
  <c r="AC117" i="78"/>
  <c r="AB117" i="78"/>
  <c r="AA117" i="78"/>
  <c r="Z117" i="78"/>
  <c r="Z126" i="78" s="1"/>
  <c r="Y117" i="78"/>
  <c r="X117" i="78"/>
  <c r="V117" i="78"/>
  <c r="U117" i="78"/>
  <c r="T117" i="78"/>
  <c r="S117" i="78"/>
  <c r="S126" i="78" s="1"/>
  <c r="Q117" i="78"/>
  <c r="Q136" i="78" s="1"/>
  <c r="Q137" i="78" s="1"/>
  <c r="P117" i="78"/>
  <c r="P136" i="78" s="1"/>
  <c r="P137" i="78" s="1"/>
  <c r="O117" i="78"/>
  <c r="O136" i="78" s="1"/>
  <c r="N117" i="78"/>
  <c r="N126" i="78" s="1"/>
  <c r="L117" i="78"/>
  <c r="L136" i="78" s="1"/>
  <c r="L137" i="78" s="1"/>
  <c r="K117" i="78"/>
  <c r="K136" i="78" s="1"/>
  <c r="J117" i="78"/>
  <c r="J126" i="78" s="1"/>
  <c r="I117" i="78"/>
  <c r="G117" i="78"/>
  <c r="G136" i="78" s="1"/>
  <c r="F117" i="78"/>
  <c r="F136" i="78" s="1"/>
  <c r="E117" i="78"/>
  <c r="AV116" i="78"/>
  <c r="AV117" i="78" s="1"/>
  <c r="AV115" i="78"/>
  <c r="AQ116" i="78"/>
  <c r="AQ115" i="78"/>
  <c r="AQ117" i="78" s="1"/>
  <c r="AL116" i="78"/>
  <c r="AL115" i="78"/>
  <c r="AG116" i="78"/>
  <c r="AG115" i="78"/>
  <c r="AG117" i="78" s="1"/>
  <c r="AB116" i="78"/>
  <c r="AB115" i="78"/>
  <c r="W116" i="78"/>
  <c r="W115" i="78"/>
  <c r="W117" i="78" s="1"/>
  <c r="R116" i="78"/>
  <c r="R115" i="78"/>
  <c r="M116" i="78"/>
  <c r="M115" i="78"/>
  <c r="M117" i="78" s="1"/>
  <c r="H116" i="78"/>
  <c r="H117" i="78" s="1"/>
  <c r="H115" i="78"/>
  <c r="AU109" i="78"/>
  <c r="AT109" i="78"/>
  <c r="AU108" i="78"/>
  <c r="AT108" i="78"/>
  <c r="AS108" i="78"/>
  <c r="AS109" i="78" s="1"/>
  <c r="AP109" i="78"/>
  <c r="AP108" i="78"/>
  <c r="AO108" i="78"/>
  <c r="AO109" i="78" s="1"/>
  <c r="AN108" i="78"/>
  <c r="AN109" i="78" s="1"/>
  <c r="AK108" i="78"/>
  <c r="AK109" i="78" s="1"/>
  <c r="AJ108" i="78"/>
  <c r="AJ109" i="78" s="1"/>
  <c r="AI108" i="78"/>
  <c r="AI109" i="78" s="1"/>
  <c r="AE109" i="78"/>
  <c r="AG108" i="78"/>
  <c r="AG109" i="78" s="1"/>
  <c r="AF108" i="78"/>
  <c r="AF109" i="78" s="1"/>
  <c r="AE108" i="78"/>
  <c r="AD108" i="78"/>
  <c r="AD109" i="78" s="1"/>
  <c r="AA109" i="78"/>
  <c r="AB108" i="78"/>
  <c r="AB109" i="78" s="1"/>
  <c r="AA108" i="78"/>
  <c r="Z108" i="78"/>
  <c r="Z109" i="78" s="1"/>
  <c r="Y108" i="78"/>
  <c r="Y109" i="78" s="1"/>
  <c r="U109" i="78"/>
  <c r="W108" i="78"/>
  <c r="W109" i="78" s="1"/>
  <c r="V108" i="78"/>
  <c r="V109" i="78" s="1"/>
  <c r="U108" i="78"/>
  <c r="T108" i="78"/>
  <c r="T109" i="78" s="1"/>
  <c r="AH106" i="78"/>
  <c r="AH105" i="78"/>
  <c r="AC106" i="78"/>
  <c r="AC105" i="78"/>
  <c r="X106" i="78"/>
  <c r="X105" i="78"/>
  <c r="AW106" i="78"/>
  <c r="AV106" i="78"/>
  <c r="AV105" i="78"/>
  <c r="AW105" i="78" s="1"/>
  <c r="AR106" i="78"/>
  <c r="AQ106" i="78"/>
  <c r="AQ105" i="78"/>
  <c r="AR105" i="78" s="1"/>
  <c r="AM106" i="78"/>
  <c r="AL106" i="78"/>
  <c r="AL105" i="78"/>
  <c r="AM105" i="78" s="1"/>
  <c r="AH102" i="78"/>
  <c r="AH101" i="78"/>
  <c r="AC102" i="78"/>
  <c r="AC101" i="78"/>
  <c r="X102" i="78"/>
  <c r="X101" i="78"/>
  <c r="S102" i="78"/>
  <c r="S101" i="78"/>
  <c r="AW102" i="78"/>
  <c r="AV102" i="78"/>
  <c r="AV101" i="78"/>
  <c r="AR102" i="78"/>
  <c r="AQ102" i="78"/>
  <c r="AQ101" i="78"/>
  <c r="AM102" i="78"/>
  <c r="AL102" i="78"/>
  <c r="AL101" i="78"/>
  <c r="P96" i="78"/>
  <c r="P97" i="78" s="1"/>
  <c r="L96" i="78"/>
  <c r="L97" i="78" s="1"/>
  <c r="Q94" i="78"/>
  <c r="K94" i="78"/>
  <c r="G94" i="78"/>
  <c r="F94" i="78"/>
  <c r="Q93" i="78"/>
  <c r="P93" i="78"/>
  <c r="O93" i="78"/>
  <c r="O94" i="78" s="1"/>
  <c r="N93" i="78"/>
  <c r="N94" i="78" s="1"/>
  <c r="L93" i="78"/>
  <c r="K93" i="78"/>
  <c r="J93" i="78"/>
  <c r="J94" i="78" s="1"/>
  <c r="I93" i="78"/>
  <c r="G93" i="78"/>
  <c r="F93" i="78"/>
  <c r="E93" i="78"/>
  <c r="AR86" i="78"/>
  <c r="AF86" i="78"/>
  <c r="AA86" i="78"/>
  <c r="U86" i="78"/>
  <c r="K86" i="78"/>
  <c r="G86" i="78"/>
  <c r="AS84" i="78"/>
  <c r="AR84" i="78"/>
  <c r="AN84" i="78"/>
  <c r="X84" i="78"/>
  <c r="V84" i="78"/>
  <c r="V51" i="78" s="1"/>
  <c r="AW82" i="78"/>
  <c r="AU82" i="78"/>
  <c r="AT82" i="78"/>
  <c r="AS82" i="78"/>
  <c r="AR82" i="78"/>
  <c r="AP82" i="78"/>
  <c r="AP84" i="78" s="1"/>
  <c r="AP51" i="78" s="1"/>
  <c r="AO82" i="78"/>
  <c r="AO84" i="78" s="1"/>
  <c r="AO51" i="78" s="1"/>
  <c r="AN82" i="78"/>
  <c r="AN86" i="78" s="1"/>
  <c r="AM82" i="78"/>
  <c r="AK82" i="78"/>
  <c r="AK86" i="78" s="1"/>
  <c r="AJ82" i="78"/>
  <c r="AJ84" i="78" s="1"/>
  <c r="AJ51" i="78" s="1"/>
  <c r="AI82" i="78"/>
  <c r="AH82" i="78"/>
  <c r="AH84" i="78" s="1"/>
  <c r="AH51" i="78" s="1"/>
  <c r="AF82" i="78"/>
  <c r="AF84" i="78" s="1"/>
  <c r="AF51" i="78" s="1"/>
  <c r="AE82" i="78"/>
  <c r="AD82" i="78"/>
  <c r="AD84" i="78" s="1"/>
  <c r="AD51" i="78" s="1"/>
  <c r="AC82" i="78"/>
  <c r="AC84" i="78" s="1"/>
  <c r="AC51" i="78" s="1"/>
  <c r="AA82" i="78"/>
  <c r="Z82" i="78"/>
  <c r="Z84" i="78" s="1"/>
  <c r="Z51" i="78" s="1"/>
  <c r="Y82" i="78"/>
  <c r="Y84" i="78" s="1"/>
  <c r="Y51" i="78" s="1"/>
  <c r="X82" i="78"/>
  <c r="X86" i="78" s="1"/>
  <c r="V82" i="78"/>
  <c r="U82" i="78"/>
  <c r="U84" i="78" s="1"/>
  <c r="U51" i="78" s="1"/>
  <c r="T82" i="78"/>
  <c r="T84" i="78" s="1"/>
  <c r="T51" i="78" s="1"/>
  <c r="S82" i="78"/>
  <c r="S84" i="78" s="1"/>
  <c r="Q82" i="78"/>
  <c r="P82" i="78"/>
  <c r="P86" i="78" s="1"/>
  <c r="O82" i="78"/>
  <c r="O84" i="78" s="1"/>
  <c r="N82" i="78"/>
  <c r="N84" i="78" s="1"/>
  <c r="N51" i="78" s="1"/>
  <c r="L82" i="78"/>
  <c r="L86" i="78" s="1"/>
  <c r="K82" i="78"/>
  <c r="K84" i="78" s="1"/>
  <c r="J82" i="78"/>
  <c r="I82" i="78"/>
  <c r="I94" i="78" s="1"/>
  <c r="G82" i="78"/>
  <c r="F82" i="78"/>
  <c r="E82" i="78"/>
  <c r="E94" i="78" s="1"/>
  <c r="AV81" i="78"/>
  <c r="AV80" i="78"/>
  <c r="AV79" i="78"/>
  <c r="AV78" i="78"/>
  <c r="AV82" i="78" s="1"/>
  <c r="AQ81" i="78"/>
  <c r="AQ80" i="78"/>
  <c r="AQ79" i="78"/>
  <c r="AQ78" i="78"/>
  <c r="AL81" i="78"/>
  <c r="AL80" i="78"/>
  <c r="AL79" i="78"/>
  <c r="AL78" i="78"/>
  <c r="AL82" i="78" s="1"/>
  <c r="AL84" i="78" s="1"/>
  <c r="AL51" i="78" s="1"/>
  <c r="AG81" i="78"/>
  <c r="AG82" i="78" s="1"/>
  <c r="AG80" i="78"/>
  <c r="AG79" i="78"/>
  <c r="AG78" i="78"/>
  <c r="AB81" i="78"/>
  <c r="AB80" i="78"/>
  <c r="AB79" i="78"/>
  <c r="AB78" i="78"/>
  <c r="AB82" i="78" s="1"/>
  <c r="W81" i="78"/>
  <c r="W80" i="78"/>
  <c r="W79" i="78"/>
  <c r="W78" i="78"/>
  <c r="R81" i="78"/>
  <c r="R80" i="78"/>
  <c r="R79" i="78"/>
  <c r="R78" i="78"/>
  <c r="R82" i="78" s="1"/>
  <c r="M81" i="78"/>
  <c r="M80" i="78"/>
  <c r="M79" i="78"/>
  <c r="M78" i="78"/>
  <c r="M82" i="78" s="1"/>
  <c r="M84" i="78" s="1"/>
  <c r="M51" i="78" s="1"/>
  <c r="H81" i="78"/>
  <c r="H82" i="78" s="1"/>
  <c r="H80" i="78"/>
  <c r="H79" i="78"/>
  <c r="H78" i="78"/>
  <c r="AW75" i="78"/>
  <c r="AU75" i="78"/>
  <c r="AU86" i="78" s="1"/>
  <c r="AT75" i="78"/>
  <c r="AS75" i="78"/>
  <c r="AR75" i="78"/>
  <c r="AP75" i="78"/>
  <c r="AO75" i="78"/>
  <c r="AN75" i="78"/>
  <c r="AM75" i="78"/>
  <c r="AK75" i="78"/>
  <c r="AJ75" i="78"/>
  <c r="AI75" i="78"/>
  <c r="AH75" i="78"/>
  <c r="AF75" i="78"/>
  <c r="AE75" i="78"/>
  <c r="AD75" i="78"/>
  <c r="AC75" i="78"/>
  <c r="AA75" i="78"/>
  <c r="Z75" i="78"/>
  <c r="Y75" i="78"/>
  <c r="X75" i="78"/>
  <c r="V75" i="78"/>
  <c r="U75" i="78"/>
  <c r="T75" i="78"/>
  <c r="S75" i="78"/>
  <c r="R75" i="78"/>
  <c r="Q75" i="78"/>
  <c r="Q96" i="78" s="1"/>
  <c r="Q97" i="78" s="1"/>
  <c r="P75" i="78"/>
  <c r="O75" i="78"/>
  <c r="O96" i="78" s="1"/>
  <c r="N75" i="78"/>
  <c r="L75" i="78"/>
  <c r="K75" i="78"/>
  <c r="K96" i="78" s="1"/>
  <c r="J75" i="78"/>
  <c r="I75" i="78"/>
  <c r="I96" i="78" s="1"/>
  <c r="G75" i="78"/>
  <c r="G96" i="78" s="1"/>
  <c r="F75" i="78"/>
  <c r="F86" i="78" s="1"/>
  <c r="E75" i="78"/>
  <c r="AV74" i="78"/>
  <c r="AV73" i="78"/>
  <c r="AV72" i="78"/>
  <c r="AV71" i="78"/>
  <c r="AV70" i="78"/>
  <c r="AQ74" i="78"/>
  <c r="AQ73" i="78"/>
  <c r="AQ72" i="78"/>
  <c r="AQ75" i="78" s="1"/>
  <c r="AQ71" i="78"/>
  <c r="AQ70" i="78"/>
  <c r="AL74" i="78"/>
  <c r="AL73" i="78"/>
  <c r="AL72" i="78"/>
  <c r="AL71" i="78"/>
  <c r="AL70" i="78"/>
  <c r="AG74" i="78"/>
  <c r="AG73" i="78"/>
  <c r="AG72" i="78"/>
  <c r="AG71" i="78"/>
  <c r="AG70" i="78"/>
  <c r="AG75" i="78" s="1"/>
  <c r="AB74" i="78"/>
  <c r="AB73" i="78"/>
  <c r="AB72" i="78"/>
  <c r="AB71" i="78"/>
  <c r="AB70" i="78"/>
  <c r="W74" i="78"/>
  <c r="W73" i="78"/>
  <c r="W72" i="78"/>
  <c r="W75" i="78" s="1"/>
  <c r="W71" i="78"/>
  <c r="W70" i="78"/>
  <c r="R74" i="78"/>
  <c r="R73" i="78"/>
  <c r="R72" i="78"/>
  <c r="R71" i="78"/>
  <c r="R70" i="78"/>
  <c r="M74" i="78"/>
  <c r="M73" i="78"/>
  <c r="M72" i="78"/>
  <c r="M71" i="78"/>
  <c r="M70" i="78"/>
  <c r="M75" i="78" s="1"/>
  <c r="H74" i="78"/>
  <c r="H73" i="78"/>
  <c r="H72" i="78"/>
  <c r="H71" i="78"/>
  <c r="H70" i="78"/>
  <c r="BP66" i="78"/>
  <c r="BO66" i="78"/>
  <c r="BN66" i="78"/>
  <c r="BM66" i="78"/>
  <c r="BK66" i="78"/>
  <c r="BJ66" i="78"/>
  <c r="BI66" i="78"/>
  <c r="BH66" i="78"/>
  <c r="BF66" i="78"/>
  <c r="BE66" i="78"/>
  <c r="BD66" i="78"/>
  <c r="BC66" i="78"/>
  <c r="BA66" i="78"/>
  <c r="AZ66" i="78"/>
  <c r="AY66" i="78"/>
  <c r="AX66" i="78"/>
  <c r="AR64" i="78"/>
  <c r="AM64" i="78"/>
  <c r="AH64" i="78"/>
  <c r="AC64" i="78"/>
  <c r="X64" i="78"/>
  <c r="S64" i="78"/>
  <c r="N64" i="78"/>
  <c r="I64" i="78"/>
  <c r="AU64" i="78"/>
  <c r="AT64" i="78"/>
  <c r="AS64" i="78"/>
  <c r="AQ64" i="78"/>
  <c r="AP64" i="78"/>
  <c r="AO64" i="78"/>
  <c r="AN64" i="78"/>
  <c r="AL64" i="78"/>
  <c r="AK64" i="78"/>
  <c r="AJ64" i="78"/>
  <c r="AI64" i="78"/>
  <c r="AG64" i="78"/>
  <c r="AF64" i="78"/>
  <c r="AE64" i="78"/>
  <c r="AD64" i="78"/>
  <c r="AB64" i="78"/>
  <c r="AA64" i="78"/>
  <c r="Z64" i="78"/>
  <c r="Y64" i="78"/>
  <c r="W64" i="78"/>
  <c r="V64" i="78"/>
  <c r="U64" i="78"/>
  <c r="T64" i="78"/>
  <c r="R64" i="78"/>
  <c r="Q64" i="78"/>
  <c r="P64" i="78"/>
  <c r="O64" i="78"/>
  <c r="M64" i="78"/>
  <c r="L64" i="78"/>
  <c r="K64" i="78"/>
  <c r="J64" i="78"/>
  <c r="BP61" i="78"/>
  <c r="BO61" i="78" s="1"/>
  <c r="BK61" i="78"/>
  <c r="BJ61" i="78" s="1"/>
  <c r="BF61" i="78"/>
  <c r="BE61" i="78" s="1"/>
  <c r="BD61" i="78" s="1"/>
  <c r="BC61" i="78" s="1"/>
  <c r="BA61" i="78"/>
  <c r="AZ61" i="78" s="1"/>
  <c r="AY61" i="78" s="1"/>
  <c r="AX61" i="78" s="1"/>
  <c r="BQ59" i="78"/>
  <c r="BP59" i="78"/>
  <c r="BP147" i="78" s="1"/>
  <c r="BO59" i="78"/>
  <c r="BQ58" i="78"/>
  <c r="BP58" i="78"/>
  <c r="BK59" i="78"/>
  <c r="BK58" i="78"/>
  <c r="BF59" i="78"/>
  <c r="BF58" i="78"/>
  <c r="BA59" i="78"/>
  <c r="AU59" i="78"/>
  <c r="AT59" i="78"/>
  <c r="AS59" i="78"/>
  <c r="AO59" i="78"/>
  <c r="AN59" i="78"/>
  <c r="AM59" i="78"/>
  <c r="AK59" i="78"/>
  <c r="AJ59" i="78"/>
  <c r="AI59" i="78"/>
  <c r="AH59" i="78"/>
  <c r="AF59" i="78"/>
  <c r="AD59" i="78"/>
  <c r="AC59" i="78"/>
  <c r="AA59" i="78"/>
  <c r="Z59" i="78"/>
  <c r="Y59" i="78"/>
  <c r="X59" i="78"/>
  <c r="U59" i="78"/>
  <c r="T59" i="78"/>
  <c r="S59" i="78"/>
  <c r="Q59" i="78"/>
  <c r="P59" i="78"/>
  <c r="O59" i="78"/>
  <c r="L59" i="78"/>
  <c r="K59" i="78"/>
  <c r="BA58" i="78"/>
  <c r="T58" i="78"/>
  <c r="BE55" i="78"/>
  <c r="BB55" i="78"/>
  <c r="BG55" i="78" s="1"/>
  <c r="BA55" i="78"/>
  <c r="AX55" i="78"/>
  <c r="BP54" i="78"/>
  <c r="BO54" i="78"/>
  <c r="BN54" i="78"/>
  <c r="BM54" i="78"/>
  <c r="BK54" i="78"/>
  <c r="BJ54" i="78"/>
  <c r="BI54" i="78"/>
  <c r="BH54" i="78"/>
  <c r="BF54" i="78"/>
  <c r="BE54" i="78"/>
  <c r="BA54" i="78"/>
  <c r="AZ54" i="78"/>
  <c r="AX88" i="78"/>
  <c r="BQ52" i="78"/>
  <c r="BP52" i="78" s="1"/>
  <c r="BO52" i="78" s="1"/>
  <c r="BN52" i="78" s="1"/>
  <c r="BM52" i="78" s="1"/>
  <c r="BQ51" i="78"/>
  <c r="BP51" i="78" s="1"/>
  <c r="BO51" i="78"/>
  <c r="BN51" i="78"/>
  <c r="BM51" i="78"/>
  <c r="BK52" i="78"/>
  <c r="BJ52" i="78"/>
  <c r="BI52" i="78"/>
  <c r="BH52" i="78" s="1"/>
  <c r="BK51" i="78"/>
  <c r="BJ51" i="78"/>
  <c r="BI51" i="78"/>
  <c r="BH51" i="78"/>
  <c r="BF52" i="78"/>
  <c r="BE52" i="78"/>
  <c r="BD52" i="78"/>
  <c r="BC52" i="78" s="1"/>
  <c r="BF51" i="78"/>
  <c r="BE51" i="78"/>
  <c r="BD51" i="78"/>
  <c r="BC51" i="78"/>
  <c r="BA52" i="78"/>
  <c r="BA122" i="78" s="1"/>
  <c r="AU52" i="78"/>
  <c r="AS52" i="78"/>
  <c r="AR52" i="78"/>
  <c r="AQ52" i="78"/>
  <c r="AM52" i="78"/>
  <c r="AJ52" i="78"/>
  <c r="AI52" i="78"/>
  <c r="AF52" i="78"/>
  <c r="AE52" i="78"/>
  <c r="AA52" i="78"/>
  <c r="X52" i="78"/>
  <c r="W52" i="78"/>
  <c r="V52" i="78"/>
  <c r="T52" i="78"/>
  <c r="S52" i="78"/>
  <c r="Q52" i="78"/>
  <c r="O52" i="78"/>
  <c r="N52" i="78"/>
  <c r="L52" i="78"/>
  <c r="K52" i="78"/>
  <c r="AZ51" i="78"/>
  <c r="AZ82" i="78" s="1"/>
  <c r="AY51" i="78"/>
  <c r="AX51" i="78"/>
  <c r="AX82" i="78" s="1"/>
  <c r="BC82" i="78" s="1"/>
  <c r="BH82" i="78" s="1"/>
  <c r="AS51" i="78"/>
  <c r="AR51" i="78"/>
  <c r="AN51" i="78"/>
  <c r="X51" i="78"/>
  <c r="S51" i="78"/>
  <c r="O51" i="78"/>
  <c r="K51" i="78"/>
  <c r="AW43" i="78"/>
  <c r="AV43" i="78"/>
  <c r="AU43" i="78"/>
  <c r="AT43" i="78"/>
  <c r="AS43" i="78"/>
  <c r="AR43" i="78"/>
  <c r="AQ43" i="78"/>
  <c r="AP43" i="78"/>
  <c r="AO43" i="78"/>
  <c r="AN43" i="78"/>
  <c r="AM43" i="78"/>
  <c r="AL43" i="78"/>
  <c r="AK43" i="78"/>
  <c r="AJ43" i="78"/>
  <c r="AI43" i="78"/>
  <c r="AH43" i="78"/>
  <c r="AG43" i="78"/>
  <c r="AF43" i="78"/>
  <c r="AE43" i="78"/>
  <c r="AD43" i="78"/>
  <c r="AC43" i="78"/>
  <c r="AB43" i="78"/>
  <c r="AA43" i="78"/>
  <c r="Z43" i="78"/>
  <c r="Y43" i="78"/>
  <c r="X43" i="78"/>
  <c r="W43" i="78"/>
  <c r="V43" i="78"/>
  <c r="U43" i="78"/>
  <c r="T43" i="78"/>
  <c r="S43" i="78"/>
  <c r="R43" i="78"/>
  <c r="Q43" i="78"/>
  <c r="P43" i="78"/>
  <c r="O43" i="78"/>
  <c r="N43" i="78"/>
  <c r="M43" i="78"/>
  <c r="L43" i="78"/>
  <c r="K43" i="78"/>
  <c r="J43" i="78"/>
  <c r="I43" i="78"/>
  <c r="H43" i="78"/>
  <c r="G43" i="78"/>
  <c r="F43" i="78"/>
  <c r="E43" i="78"/>
  <c r="BQ42" i="78"/>
  <c r="BP42" i="78"/>
  <c r="BO42" i="78"/>
  <c r="BN42" i="78"/>
  <c r="BM42" i="78"/>
  <c r="BL42" i="78"/>
  <c r="BK42" i="78"/>
  <c r="BJ42" i="78"/>
  <c r="BI42" i="78"/>
  <c r="BH42" i="78"/>
  <c r="BG42" i="78"/>
  <c r="BF42" i="78"/>
  <c r="BE42" i="78"/>
  <c r="BD42" i="78"/>
  <c r="BC42" i="78"/>
  <c r="BB42" i="78"/>
  <c r="BA42" i="78"/>
  <c r="AZ42" i="78"/>
  <c r="AY42" i="78"/>
  <c r="AX42" i="78"/>
  <c r="AW42" i="78"/>
  <c r="AV42" i="78"/>
  <c r="AU42" i="78"/>
  <c r="AT42" i="78"/>
  <c r="AS42" i="78"/>
  <c r="AR42" i="78"/>
  <c r="AQ42" i="78"/>
  <c r="AP42" i="78"/>
  <c r="AO42" i="78"/>
  <c r="AN42" i="78"/>
  <c r="AM42" i="78"/>
  <c r="AL42" i="78"/>
  <c r="AK42" i="78"/>
  <c r="AJ42" i="78"/>
  <c r="AI42" i="78"/>
  <c r="AH42" i="78"/>
  <c r="AG42" i="78"/>
  <c r="AF42" i="78"/>
  <c r="AE42" i="78"/>
  <c r="AD42" i="78"/>
  <c r="AC42" i="78"/>
  <c r="AB42" i="78"/>
  <c r="AA42" i="78"/>
  <c r="Z42" i="78"/>
  <c r="Y42" i="78"/>
  <c r="X42" i="78"/>
  <c r="W42" i="78"/>
  <c r="V42" i="78"/>
  <c r="U42" i="78"/>
  <c r="T42" i="78"/>
  <c r="S42" i="78"/>
  <c r="R42" i="78"/>
  <c r="Q42" i="78"/>
  <c r="P42" i="78"/>
  <c r="O42" i="78"/>
  <c r="N42" i="78"/>
  <c r="M42" i="78"/>
  <c r="L42" i="78"/>
  <c r="K42" i="78"/>
  <c r="J42" i="78"/>
  <c r="I42" i="78"/>
  <c r="H42" i="78"/>
  <c r="G42" i="78"/>
  <c r="F42" i="78"/>
  <c r="E42" i="78"/>
  <c r="BQ39" i="78"/>
  <c r="BL39" i="78"/>
  <c r="BG39" i="78"/>
  <c r="BB39" i="78"/>
  <c r="AW39" i="78"/>
  <c r="AV39" i="78" s="1"/>
  <c r="AS39" i="78"/>
  <c r="AR39" i="78"/>
  <c r="AQ39" i="78"/>
  <c r="AN39" i="78"/>
  <c r="AL39" i="78"/>
  <c r="AG39" i="78"/>
  <c r="AB39" i="78"/>
  <c r="W39" i="78"/>
  <c r="S39" i="78"/>
  <c r="Q39" i="78"/>
  <c r="R39" i="78" s="1"/>
  <c r="P39" i="78"/>
  <c r="O39" i="78"/>
  <c r="N39" i="78"/>
  <c r="M39" i="78"/>
  <c r="L39" i="78"/>
  <c r="K39" i="78"/>
  <c r="J39" i="78"/>
  <c r="I39" i="78"/>
  <c r="H39" i="78" s="1"/>
  <c r="G39" i="78"/>
  <c r="F39" i="78"/>
  <c r="E39" i="78"/>
  <c r="AV36" i="78"/>
  <c r="AQ36" i="78"/>
  <c r="AL36" i="78"/>
  <c r="AG36" i="78"/>
  <c r="AB36" i="78"/>
  <c r="W36" i="78"/>
  <c r="R36" i="78"/>
  <c r="M36" i="78"/>
  <c r="H36" i="78"/>
  <c r="BI36" i="78"/>
  <c r="BN36" i="78" s="1"/>
  <c r="BH36" i="78"/>
  <c r="BM36" i="78" s="1"/>
  <c r="BD36" i="78"/>
  <c r="BC36" i="78"/>
  <c r="BA36" i="78"/>
  <c r="BF36" i="78" s="1"/>
  <c r="BK36" i="78" s="1"/>
  <c r="BP36" i="78" s="1"/>
  <c r="AZ36" i="78"/>
  <c r="BE36" i="78" s="1"/>
  <c r="BJ36" i="78" s="1"/>
  <c r="BO36" i="78" s="1"/>
  <c r="AY36" i="78"/>
  <c r="AX36" i="78"/>
  <c r="BB36" i="78" s="1"/>
  <c r="AV33" i="78"/>
  <c r="AQ33" i="78"/>
  <c r="AL33" i="78"/>
  <c r="AG33" i="78"/>
  <c r="AB33" i="78"/>
  <c r="W33" i="78"/>
  <c r="R33" i="78"/>
  <c r="M33" i="78"/>
  <c r="H33" i="78"/>
  <c r="AV29" i="78"/>
  <c r="AU29" i="78"/>
  <c r="AT29" i="78"/>
  <c r="AS29" i="78"/>
  <c r="AQ29" i="78"/>
  <c r="AP29" i="78"/>
  <c r="AO29" i="78"/>
  <c r="AN29" i="78"/>
  <c r="AM29" i="78"/>
  <c r="AK29" i="78"/>
  <c r="AJ29" i="78"/>
  <c r="AI29" i="78"/>
  <c r="AH29" i="78"/>
  <c r="AH239" i="78" s="1"/>
  <c r="AF29" i="78"/>
  <c r="AE29" i="78"/>
  <c r="AG29" i="78" s="1"/>
  <c r="AD29" i="78"/>
  <c r="AC29" i="78"/>
  <c r="AC239" i="78" s="1"/>
  <c r="AA29" i="78"/>
  <c r="Z29" i="78"/>
  <c r="Y29" i="78"/>
  <c r="X29" i="78"/>
  <c r="X239" i="78" s="1"/>
  <c r="W29" i="78"/>
  <c r="V29" i="78"/>
  <c r="R29" i="78"/>
  <c r="M29" i="78"/>
  <c r="H29" i="78"/>
  <c r="AW24" i="78"/>
  <c r="AR24" i="78"/>
  <c r="AN24" i="78"/>
  <c r="AJ24" i="78"/>
  <c r="AF24" i="78"/>
  <c r="AE24" i="78"/>
  <c r="X24" i="78"/>
  <c r="V24" i="78"/>
  <c r="N24" i="78"/>
  <c r="I24" i="78"/>
  <c r="AW23" i="78"/>
  <c r="AU23" i="78"/>
  <c r="AT23" i="78"/>
  <c r="AT24" i="78" s="1"/>
  <c r="AS23" i="78"/>
  <c r="AS24" i="78" s="1"/>
  <c r="AR23" i="78"/>
  <c r="AP23" i="78"/>
  <c r="AQ23" i="78" s="1"/>
  <c r="AO23" i="78"/>
  <c r="AO24" i="78" s="1"/>
  <c r="AN23" i="78"/>
  <c r="AM23" i="78"/>
  <c r="AM24" i="78" s="1"/>
  <c r="AL23" i="78"/>
  <c r="AL24" i="78" s="1"/>
  <c r="AK23" i="78"/>
  <c r="AK24" i="78" s="1"/>
  <c r="AJ23" i="78"/>
  <c r="AI23" i="78"/>
  <c r="AI24" i="78" s="1"/>
  <c r="AH23" i="78"/>
  <c r="AH24" i="78" s="1"/>
  <c r="AF23" i="78"/>
  <c r="AD23" i="78"/>
  <c r="AD24" i="78" s="1"/>
  <c r="AC23" i="78"/>
  <c r="AC24" i="78" s="1"/>
  <c r="AA23" i="78"/>
  <c r="AA24" i="78" s="1"/>
  <c r="Z23" i="78"/>
  <c r="Z24" i="78" s="1"/>
  <c r="Y23" i="78"/>
  <c r="Y24" i="78" s="1"/>
  <c r="X23" i="78"/>
  <c r="V23" i="78"/>
  <c r="U23" i="78"/>
  <c r="U24" i="78" s="1"/>
  <c r="T23" i="78"/>
  <c r="T24" i="78" s="1"/>
  <c r="S23" i="78"/>
  <c r="S24" i="78" s="1"/>
  <c r="Q23" i="78"/>
  <c r="Q24" i="78" s="1"/>
  <c r="P23" i="78"/>
  <c r="P24" i="78" s="1"/>
  <c r="O23" i="78"/>
  <c r="O24" i="78" s="1"/>
  <c r="N23" i="78"/>
  <c r="L23" i="78"/>
  <c r="L24" i="78" s="1"/>
  <c r="J23" i="78"/>
  <c r="J24" i="78" s="1"/>
  <c r="I23" i="78"/>
  <c r="F23" i="78"/>
  <c r="E23" i="78"/>
  <c r="E24" i="78" s="1"/>
  <c r="AV22" i="78"/>
  <c r="AQ22" i="78"/>
  <c r="AQ174" i="78" s="1"/>
  <c r="AL22" i="78"/>
  <c r="AL174" i="78" s="1"/>
  <c r="AG22" i="78"/>
  <c r="AG174" i="78" s="1"/>
  <c r="AG175" i="78" s="1"/>
  <c r="AB22" i="78"/>
  <c r="AB174" i="78" s="1"/>
  <c r="AB175" i="78" s="1"/>
  <c r="W22" i="78"/>
  <c r="W174" i="78" s="1"/>
  <c r="W175" i="78" s="1"/>
  <c r="R22" i="78"/>
  <c r="R174" i="78" s="1"/>
  <c r="R175" i="78" s="1"/>
  <c r="M22" i="78"/>
  <c r="M174" i="78" s="1"/>
  <c r="M175" i="78" s="1"/>
  <c r="K22" i="78"/>
  <c r="J22" i="78"/>
  <c r="J174" i="78" s="1"/>
  <c r="H22" i="78"/>
  <c r="H174" i="78" s="1"/>
  <c r="H175" i="78" s="1"/>
  <c r="G22" i="78"/>
  <c r="F22" i="78"/>
  <c r="F174" i="78" s="1"/>
  <c r="E22" i="78"/>
  <c r="E174" i="78" s="1"/>
  <c r="O20" i="78"/>
  <c r="O26" i="78" s="1"/>
  <c r="I20" i="78"/>
  <c r="I26" i="78" s="1"/>
  <c r="BP18" i="78"/>
  <c r="BK18" i="78"/>
  <c r="BF18" i="78"/>
  <c r="BA18" i="78"/>
  <c r="AV18" i="78"/>
  <c r="AQ18" i="78"/>
  <c r="AL18" i="78"/>
  <c r="AG18" i="78"/>
  <c r="AB18" i="78"/>
  <c r="W18" i="78"/>
  <c r="R18" i="78"/>
  <c r="M18" i="78"/>
  <c r="H18" i="78"/>
  <c r="V16" i="78"/>
  <c r="Q16" i="78"/>
  <c r="Q20" i="78" s="1"/>
  <c r="O16" i="78"/>
  <c r="K16" i="78"/>
  <c r="K20" i="78" s="1"/>
  <c r="I16" i="78"/>
  <c r="G16" i="78"/>
  <c r="G20" i="78" s="1"/>
  <c r="F16" i="78"/>
  <c r="F20" i="78" s="1"/>
  <c r="E16" i="78"/>
  <c r="E20" i="78" s="1"/>
  <c r="AV15" i="78"/>
  <c r="AV14" i="78"/>
  <c r="AQ15" i="78"/>
  <c r="AQ146" i="78" s="1"/>
  <c r="AQ14" i="78"/>
  <c r="AL15" i="78"/>
  <c r="AL146" i="78" s="1"/>
  <c r="AL147" i="78" s="1"/>
  <c r="AL59" i="78" s="1"/>
  <c r="AL14" i="78"/>
  <c r="AG15" i="78"/>
  <c r="AG146" i="78" s="1"/>
  <c r="AG147" i="78" s="1"/>
  <c r="AG59" i="78" s="1"/>
  <c r="AG14" i="78"/>
  <c r="AB15" i="78"/>
  <c r="AB146" i="78" s="1"/>
  <c r="AB14" i="78"/>
  <c r="W15" i="78"/>
  <c r="W146" i="78" s="1"/>
  <c r="W147" i="78" s="1"/>
  <c r="W59" i="78" s="1"/>
  <c r="W14" i="78"/>
  <c r="R15" i="78"/>
  <c r="R146" i="78" s="1"/>
  <c r="R147" i="78" s="1"/>
  <c r="R59" i="78" s="1"/>
  <c r="R14" i="78"/>
  <c r="M15" i="78"/>
  <c r="M146" i="78" s="1"/>
  <c r="M147" i="78" s="1"/>
  <c r="M59" i="78" s="1"/>
  <c r="M14" i="78"/>
  <c r="H15" i="78"/>
  <c r="H146" i="78" s="1"/>
  <c r="H14" i="78"/>
  <c r="H13" i="78"/>
  <c r="AU13" i="78"/>
  <c r="AU141" i="78" s="1"/>
  <c r="AU143" i="78" s="1"/>
  <c r="AT13" i="78"/>
  <c r="AT141" i="78" s="1"/>
  <c r="AT143" i="78" s="1"/>
  <c r="AS13" i="78"/>
  <c r="AS141" i="78" s="1"/>
  <c r="AS143" i="78" s="1"/>
  <c r="AP13" i="78"/>
  <c r="AP141" i="78" s="1"/>
  <c r="AP143" i="78" s="1"/>
  <c r="AO13" i="78"/>
  <c r="AO141" i="78" s="1"/>
  <c r="AO143" i="78" s="1"/>
  <c r="AN13" i="78"/>
  <c r="AN141" i="78" s="1"/>
  <c r="AN143" i="78" s="1"/>
  <c r="AM13" i="78"/>
  <c r="AK13" i="78"/>
  <c r="AK141" i="78" s="1"/>
  <c r="AK143" i="78" s="1"/>
  <c r="AJ13" i="78"/>
  <c r="AI13" i="78"/>
  <c r="AI141" i="78" s="1"/>
  <c r="AI143" i="78" s="1"/>
  <c r="AH13" i="78"/>
  <c r="AH141" i="78" s="1"/>
  <c r="AF13" i="78"/>
  <c r="AE13" i="78"/>
  <c r="AE141" i="78" s="1"/>
  <c r="AE143" i="78" s="1"/>
  <c r="AD13" i="78"/>
  <c r="AD141" i="78" s="1"/>
  <c r="AD143" i="78" s="1"/>
  <c r="AC13" i="78"/>
  <c r="AC141" i="78" s="1"/>
  <c r="AA13" i="78"/>
  <c r="AA141" i="78" s="1"/>
  <c r="AA143" i="78" s="1"/>
  <c r="Z13" i="78"/>
  <c r="Z141" i="78" s="1"/>
  <c r="Z143" i="78" s="1"/>
  <c r="Y13" i="78"/>
  <c r="Y141" i="78" s="1"/>
  <c r="Y143" i="78" s="1"/>
  <c r="X13" i="78"/>
  <c r="V13" i="78"/>
  <c r="V141" i="78" s="1"/>
  <c r="V143" i="78" s="1"/>
  <c r="V144" i="78" s="1"/>
  <c r="V58" i="78" s="1"/>
  <c r="U13" i="78"/>
  <c r="U141" i="78" s="1"/>
  <c r="U143" i="78" s="1"/>
  <c r="S13" i="78"/>
  <c r="S141" i="78" s="1"/>
  <c r="Q13" i="78"/>
  <c r="Q141" i="78" s="1"/>
  <c r="Q143" i="78" s="1"/>
  <c r="Q144" i="78" s="1"/>
  <c r="Q58" i="78" s="1"/>
  <c r="P13" i="78"/>
  <c r="N13" i="78"/>
  <c r="N141" i="78" s="1"/>
  <c r="L13" i="78"/>
  <c r="L141" i="78" s="1"/>
  <c r="L143" i="78" s="1"/>
  <c r="L144" i="78" s="1"/>
  <c r="L58" i="78" s="1"/>
  <c r="K13" i="78"/>
  <c r="K141" i="78" s="1"/>
  <c r="K143" i="78" s="1"/>
  <c r="K144" i="78" s="1"/>
  <c r="K58" i="78" s="1"/>
  <c r="J13" i="78"/>
  <c r="J141" i="78" s="1"/>
  <c r="J143" i="78" s="1"/>
  <c r="AJ12" i="78"/>
  <c r="AN11" i="78"/>
  <c r="X11" i="78"/>
  <c r="T11" i="78"/>
  <c r="Q11" i="78"/>
  <c r="P11" i="78"/>
  <c r="O11" i="78"/>
  <c r="N11" i="78"/>
  <c r="L11" i="78"/>
  <c r="K11" i="78"/>
  <c r="J11" i="78"/>
  <c r="I11" i="78"/>
  <c r="H11" i="78"/>
  <c r="G11" i="78"/>
  <c r="F11" i="78"/>
  <c r="E11" i="78"/>
  <c r="R10" i="78"/>
  <c r="R133" i="78" s="1"/>
  <c r="R134" i="78" s="1"/>
  <c r="R9" i="78"/>
  <c r="R93" i="78" s="1"/>
  <c r="R94" i="78" s="1"/>
  <c r="M10" i="78"/>
  <c r="M133" i="78" s="1"/>
  <c r="M134" i="78" s="1"/>
  <c r="M9" i="78"/>
  <c r="M93" i="78" s="1"/>
  <c r="M94" i="78" s="1"/>
  <c r="M8" i="78"/>
  <c r="H10" i="78"/>
  <c r="H133" i="78" s="1"/>
  <c r="H134" i="78" s="1"/>
  <c r="H9" i="78"/>
  <c r="H93" i="78" s="1"/>
  <c r="H94" i="78" s="1"/>
  <c r="H8" i="78"/>
  <c r="AS10" i="78"/>
  <c r="AS9" i="78"/>
  <c r="AS93" i="78" s="1"/>
  <c r="AN9" i="78"/>
  <c r="AN93" i="78" s="1"/>
  <c r="AC10" i="78"/>
  <c r="Y10" i="78"/>
  <c r="X10" i="78"/>
  <c r="X133" i="78" s="1"/>
  <c r="X134" i="78" s="1"/>
  <c r="V10" i="78"/>
  <c r="V133" i="78" s="1"/>
  <c r="V134" i="78" s="1"/>
  <c r="U10" i="78"/>
  <c r="T10" i="78"/>
  <c r="T133" i="78" s="1"/>
  <c r="T134" i="78" s="1"/>
  <c r="AC9" i="78"/>
  <c r="Y9" i="78"/>
  <c r="X9" i="78"/>
  <c r="X93" i="78" s="1"/>
  <c r="V9" i="78"/>
  <c r="V93" i="78" s="1"/>
  <c r="V94" i="78" s="1"/>
  <c r="U9" i="78"/>
  <c r="T9" i="78"/>
  <c r="S9" i="78"/>
  <c r="S93" i="78" s="1"/>
  <c r="S94" i="78" s="1"/>
  <c r="S8" i="78"/>
  <c r="AV8" i="78"/>
  <c r="AQ8" i="78"/>
  <c r="AL8" i="78"/>
  <c r="AG8" i="78"/>
  <c r="AB8" i="78"/>
  <c r="X8" i="78"/>
  <c r="W8" i="78" s="1"/>
  <c r="V8" i="78"/>
  <c r="B2" i="78"/>
  <c r="AW243" i="79"/>
  <c r="AR243" i="79"/>
  <c r="AM243" i="79"/>
  <c r="AH243" i="79"/>
  <c r="AC243" i="79"/>
  <c r="X243" i="79"/>
  <c r="S243" i="79"/>
  <c r="N243" i="79"/>
  <c r="I243" i="79"/>
  <c r="BP243" i="79"/>
  <c r="BO243" i="79" s="1"/>
  <c r="BN243" i="79" s="1"/>
  <c r="BM243" i="79" s="1"/>
  <c r="BK243" i="79"/>
  <c r="BJ243" i="79" s="1"/>
  <c r="BI243" i="79" s="1"/>
  <c r="BH243" i="79" s="1"/>
  <c r="BF243" i="79"/>
  <c r="BE243" i="79" s="1"/>
  <c r="BD243" i="79" s="1"/>
  <c r="BC243" i="79" s="1"/>
  <c r="BA243" i="79"/>
  <c r="AZ243" i="79" s="1"/>
  <c r="AY243" i="79" s="1"/>
  <c r="AX243" i="79" s="1"/>
  <c r="AV243" i="79"/>
  <c r="AU243" i="79" s="1"/>
  <c r="AT243" i="79" s="1"/>
  <c r="AS243" i="79" s="1"/>
  <c r="AQ243" i="79"/>
  <c r="AP243" i="79" s="1"/>
  <c r="AO243" i="79" s="1"/>
  <c r="AN243" i="79" s="1"/>
  <c r="AL243" i="79"/>
  <c r="AK243" i="79" s="1"/>
  <c r="AJ243" i="79" s="1"/>
  <c r="AI243" i="79" s="1"/>
  <c r="AG243" i="79"/>
  <c r="AF243" i="79" s="1"/>
  <c r="AE243" i="79" s="1"/>
  <c r="AD243" i="79" s="1"/>
  <c r="AB243" i="79"/>
  <c r="AA243" i="79" s="1"/>
  <c r="Z243" i="79" s="1"/>
  <c r="Y243" i="79" s="1"/>
  <c r="W243" i="79"/>
  <c r="V243" i="79" s="1"/>
  <c r="U243" i="79" s="1"/>
  <c r="T243" i="79" s="1"/>
  <c r="R243" i="79"/>
  <c r="Q243" i="79" s="1"/>
  <c r="P243" i="79" s="1"/>
  <c r="O243" i="79" s="1"/>
  <c r="AR239" i="79"/>
  <c r="AW239" i="79" s="1"/>
  <c r="AQ239" i="79"/>
  <c r="AP239" i="79" s="1"/>
  <c r="AO239" i="79" s="1"/>
  <c r="AN239" i="79" s="1"/>
  <c r="AL239" i="79"/>
  <c r="AK239" i="79" s="1"/>
  <c r="AJ239" i="79" s="1"/>
  <c r="AI239" i="79" s="1"/>
  <c r="AH239" i="79"/>
  <c r="AG239" i="79" s="1"/>
  <c r="AF239" i="79" s="1"/>
  <c r="AE239" i="79" s="1"/>
  <c r="AD239" i="79" s="1"/>
  <c r="AB239" i="79"/>
  <c r="AA239" i="79" s="1"/>
  <c r="Z239" i="79" s="1"/>
  <c r="Y239" i="79" s="1"/>
  <c r="W239" i="79"/>
  <c r="V239" i="79" s="1"/>
  <c r="U239" i="79" s="1"/>
  <c r="T239" i="79" s="1"/>
  <c r="R239" i="79"/>
  <c r="Q239" i="79" s="1"/>
  <c r="P239" i="79" s="1"/>
  <c r="O239" i="79" s="1"/>
  <c r="M239" i="79"/>
  <c r="L239" i="79" s="1"/>
  <c r="K239" i="79" s="1"/>
  <c r="J239" i="79" s="1"/>
  <c r="I239" i="79" s="1"/>
  <c r="H239" i="79" s="1"/>
  <c r="G239" i="79" s="1"/>
  <c r="F239" i="79" s="1"/>
  <c r="E239" i="79" s="1"/>
  <c r="AM231" i="79"/>
  <c r="BQ230" i="79"/>
  <c r="BL230" i="79"/>
  <c r="BG230" i="79"/>
  <c r="BB230" i="79"/>
  <c r="AW230" i="79"/>
  <c r="AR230" i="79"/>
  <c r="AR226" i="79"/>
  <c r="AH230" i="79"/>
  <c r="AC230" i="79"/>
  <c r="X230" i="79"/>
  <c r="S230" i="79"/>
  <c r="N230" i="79"/>
  <c r="I230" i="79"/>
  <c r="I226" i="79"/>
  <c r="AN226" i="79"/>
  <c r="AW211" i="79"/>
  <c r="AR211" i="79"/>
  <c r="S211" i="79"/>
  <c r="N211" i="79"/>
  <c r="I211" i="79"/>
  <c r="AW200" i="79"/>
  <c r="AU200" i="79"/>
  <c r="AT200" i="79"/>
  <c r="AS200" i="79"/>
  <c r="AR200" i="79"/>
  <c r="AQ200" i="79"/>
  <c r="AP200" i="79"/>
  <c r="AO200" i="79"/>
  <c r="AN200" i="79"/>
  <c r="AM200" i="79"/>
  <c r="AL200" i="79" s="1"/>
  <c r="AK200" i="79"/>
  <c r="AJ200" i="79"/>
  <c r="AI200" i="79"/>
  <c r="AH200" i="79"/>
  <c r="AF200" i="79"/>
  <c r="AE200" i="79"/>
  <c r="AD200" i="79"/>
  <c r="AC200" i="79"/>
  <c r="AA200" i="79"/>
  <c r="Z200" i="79"/>
  <c r="Y200" i="79"/>
  <c r="X200" i="79"/>
  <c r="W200" i="79"/>
  <c r="V200" i="79"/>
  <c r="U200" i="79"/>
  <c r="T200" i="79"/>
  <c r="S200" i="79"/>
  <c r="R200" i="79"/>
  <c r="Q200" i="79"/>
  <c r="P200" i="79"/>
  <c r="O200" i="79"/>
  <c r="N200" i="79"/>
  <c r="M200" i="79" s="1"/>
  <c r="L200" i="79"/>
  <c r="K200" i="79"/>
  <c r="J200" i="79"/>
  <c r="I200" i="79"/>
  <c r="G200" i="79"/>
  <c r="F200" i="79"/>
  <c r="E200" i="79"/>
  <c r="AY197" i="79"/>
  <c r="AX197" i="79"/>
  <c r="AV197" i="79"/>
  <c r="AQ197" i="79"/>
  <c r="AL197" i="79"/>
  <c r="AJ197" i="79"/>
  <c r="AG197" i="79"/>
  <c r="AE197" i="79"/>
  <c r="AB197" i="79"/>
  <c r="W197" i="79"/>
  <c r="V197" i="79"/>
  <c r="R197" i="79"/>
  <c r="M197" i="79"/>
  <c r="H197" i="79"/>
  <c r="AU194" i="79"/>
  <c r="AR194" i="79"/>
  <c r="AQ194" i="79" s="1"/>
  <c r="AN194" i="79"/>
  <c r="AN203" i="79" s="1"/>
  <c r="AM194" i="79"/>
  <c r="AJ194" i="79"/>
  <c r="AI194" i="79"/>
  <c r="AF194" i="79"/>
  <c r="AF203" i="79" s="1"/>
  <c r="AE194" i="79"/>
  <c r="AA194" i="79"/>
  <c r="X194" i="79"/>
  <c r="X203" i="79" s="1"/>
  <c r="T194" i="79"/>
  <c r="S194" i="79"/>
  <c r="P194" i="79"/>
  <c r="P203" i="79" s="1"/>
  <c r="O194" i="79"/>
  <c r="L194" i="79"/>
  <c r="K194" i="79"/>
  <c r="G194" i="79"/>
  <c r="AW193" i="79"/>
  <c r="AU193" i="79"/>
  <c r="AT193" i="79"/>
  <c r="AS193" i="79"/>
  <c r="AR193" i="79"/>
  <c r="AP193" i="79"/>
  <c r="AO193" i="79"/>
  <c r="AN193" i="79"/>
  <c r="AM193" i="79"/>
  <c r="AL193" i="79"/>
  <c r="AK193" i="79"/>
  <c r="AJ193" i="79"/>
  <c r="AI193" i="79"/>
  <c r="AH193" i="79"/>
  <c r="AG193" i="79"/>
  <c r="AF193" i="79"/>
  <c r="AE193" i="79"/>
  <c r="AD193" i="79"/>
  <c r="AC193" i="79"/>
  <c r="AA193" i="79"/>
  <c r="Z193" i="79"/>
  <c r="Y193" i="79"/>
  <c r="X193" i="79"/>
  <c r="V193" i="79"/>
  <c r="U193" i="79"/>
  <c r="T193" i="79"/>
  <c r="S193" i="79"/>
  <c r="R193" i="79"/>
  <c r="Q193" i="79"/>
  <c r="P193" i="79"/>
  <c r="O193" i="79"/>
  <c r="N193" i="79"/>
  <c r="M193" i="79"/>
  <c r="L193" i="79"/>
  <c r="K193" i="79"/>
  <c r="J193" i="79"/>
  <c r="I193" i="79"/>
  <c r="G193" i="79"/>
  <c r="F193" i="79"/>
  <c r="E193" i="79"/>
  <c r="AV192" i="79"/>
  <c r="AQ192" i="79"/>
  <c r="AL192" i="79"/>
  <c r="AG192" i="79"/>
  <c r="AB192" i="79"/>
  <c r="W192" i="79"/>
  <c r="T192" i="79"/>
  <c r="R192" i="79"/>
  <c r="M192" i="79"/>
  <c r="H192" i="79"/>
  <c r="AV190" i="79"/>
  <c r="AQ190" i="79"/>
  <c r="AL190" i="79"/>
  <c r="AG190" i="79"/>
  <c r="AB190" i="79"/>
  <c r="W190" i="79"/>
  <c r="R190" i="79"/>
  <c r="M190" i="79"/>
  <c r="H190" i="79"/>
  <c r="CK184" i="79"/>
  <c r="CH184" i="79"/>
  <c r="CI184" i="79" s="1"/>
  <c r="CJ184" i="79" s="1"/>
  <c r="I184" i="79"/>
  <c r="E184" i="79"/>
  <c r="AW182" i="79"/>
  <c r="AW180" i="79"/>
  <c r="AW178" i="79"/>
  <c r="AW177" i="79"/>
  <c r="AW176" i="79"/>
  <c r="AR182" i="79"/>
  <c r="AR181" i="79"/>
  <c r="AR180" i="79"/>
  <c r="AR178" i="79"/>
  <c r="AR177" i="79"/>
  <c r="AR176" i="79"/>
  <c r="AM182" i="79"/>
  <c r="AM180" i="79"/>
  <c r="AM178" i="79"/>
  <c r="AM177" i="79"/>
  <c r="AM176" i="79"/>
  <c r="AH182" i="79"/>
  <c r="AH180" i="79"/>
  <c r="AH178" i="79"/>
  <c r="AH177" i="79"/>
  <c r="AH176" i="79"/>
  <c r="AC182" i="79"/>
  <c r="AC180" i="79"/>
  <c r="AC179" i="79"/>
  <c r="AC178" i="79"/>
  <c r="AC177" i="79"/>
  <c r="AC176" i="79"/>
  <c r="X182" i="79"/>
  <c r="X180" i="79"/>
  <c r="X179" i="79"/>
  <c r="X178" i="79"/>
  <c r="X177" i="79"/>
  <c r="X176" i="79"/>
  <c r="S182" i="79"/>
  <c r="S179" i="79"/>
  <c r="S178" i="79"/>
  <c r="S177" i="79"/>
  <c r="S176" i="79"/>
  <c r="N182" i="79"/>
  <c r="N180" i="79"/>
  <c r="N178" i="79"/>
  <c r="N177" i="79"/>
  <c r="N176" i="79"/>
  <c r="I182" i="79"/>
  <c r="I180" i="79"/>
  <c r="I179" i="79"/>
  <c r="I178" i="79"/>
  <c r="I176" i="79"/>
  <c r="DY181" i="79"/>
  <c r="AW181" i="79" s="1"/>
  <c r="DT181" i="79"/>
  <c r="DR181" i="79"/>
  <c r="DM181" i="79"/>
  <c r="DH181" i="79"/>
  <c r="DE181" i="79"/>
  <c r="AC181" i="79" s="1"/>
  <c r="DC181" i="79"/>
  <c r="DB181" i="79"/>
  <c r="DA181" i="79"/>
  <c r="CZ181" i="79"/>
  <c r="X181" i="79" s="1"/>
  <c r="CX181" i="79"/>
  <c r="CV181" i="79"/>
  <c r="CS181" i="79"/>
  <c r="CR181" i="79"/>
  <c r="CQ181" i="79"/>
  <c r="CN181" i="79"/>
  <c r="CM181" i="79"/>
  <c r="CL181" i="79"/>
  <c r="CK181" i="79"/>
  <c r="I181" i="79" s="1"/>
  <c r="CI181" i="79"/>
  <c r="CH181" i="79"/>
  <c r="CG181" i="79"/>
  <c r="DX180" i="79"/>
  <c r="DX181" i="79" s="1"/>
  <c r="DX178" i="79"/>
  <c r="DX177" i="79"/>
  <c r="DX176" i="79"/>
  <c r="DS180" i="79"/>
  <c r="DS179" i="79"/>
  <c r="DS178" i="79"/>
  <c r="DS177" i="79"/>
  <c r="DS176" i="79"/>
  <c r="DS181" i="79" s="1"/>
  <c r="DN180" i="79"/>
  <c r="DN178" i="79"/>
  <c r="DN177" i="79"/>
  <c r="DN176" i="79"/>
  <c r="DI180" i="79"/>
  <c r="DI179" i="79"/>
  <c r="DI178" i="79"/>
  <c r="DI177" i="79"/>
  <c r="DI181" i="79" s="1"/>
  <c r="DI176" i="79"/>
  <c r="DG180" i="79"/>
  <c r="DG181" i="79" s="1"/>
  <c r="DD180" i="79"/>
  <c r="DD179" i="79"/>
  <c r="DD178" i="79"/>
  <c r="DD177" i="79"/>
  <c r="DD181" i="79" s="1"/>
  <c r="DD176" i="79"/>
  <c r="CY180" i="79"/>
  <c r="CY179" i="79"/>
  <c r="CY178" i="79"/>
  <c r="CY177" i="79"/>
  <c r="CY176" i="79"/>
  <c r="CY181" i="79" s="1"/>
  <c r="CW180" i="79"/>
  <c r="CW179" i="79"/>
  <c r="CW178" i="79"/>
  <c r="CW177" i="79"/>
  <c r="CW181" i="79" s="1"/>
  <c r="CW176" i="79"/>
  <c r="CU180" i="79"/>
  <c r="CO180" i="79"/>
  <c r="CO178" i="79"/>
  <c r="CO177" i="79"/>
  <c r="CO176" i="79"/>
  <c r="CJ180" i="79"/>
  <c r="CJ179" i="79"/>
  <c r="CJ178" i="79"/>
  <c r="CJ177" i="79"/>
  <c r="CJ176" i="79"/>
  <c r="CJ181" i="79" s="1"/>
  <c r="DY179" i="79"/>
  <c r="DX179" i="79" s="1"/>
  <c r="DW179" i="79"/>
  <c r="DW181" i="79" s="1"/>
  <c r="DV179" i="79"/>
  <c r="DV181" i="79" s="1"/>
  <c r="DU179" i="79"/>
  <c r="DU181" i="79" s="1"/>
  <c r="DT179" i="79"/>
  <c r="AR179" i="79" s="1"/>
  <c r="DR179" i="79"/>
  <c r="DQ179" i="79"/>
  <c r="DQ181" i="79" s="1"/>
  <c r="DP179" i="79"/>
  <c r="DP181" i="79" s="1"/>
  <c r="DO179" i="79"/>
  <c r="DM179" i="79"/>
  <c r="DL179" i="79"/>
  <c r="DL181" i="79" s="1"/>
  <c r="DK179" i="79"/>
  <c r="DK181" i="79" s="1"/>
  <c r="DJ179" i="79"/>
  <c r="DJ181" i="79" s="1"/>
  <c r="AH181" i="79" s="1"/>
  <c r="DH179" i="79"/>
  <c r="DF179" i="79"/>
  <c r="AD179" i="79" s="1"/>
  <c r="CT179" i="79"/>
  <c r="CT178" i="79"/>
  <c r="CT177" i="79"/>
  <c r="CT176" i="79"/>
  <c r="CP179" i="79"/>
  <c r="N179" i="79" s="1"/>
  <c r="CN179" i="79"/>
  <c r="CK179" i="79"/>
  <c r="BP180" i="79"/>
  <c r="BO180" i="79"/>
  <c r="BN180" i="79"/>
  <c r="BM180" i="79"/>
  <c r="BM179" i="79"/>
  <c r="BN179" i="79" s="1"/>
  <c r="BK180" i="79"/>
  <c r="BJ180" i="79"/>
  <c r="BI180" i="79"/>
  <c r="BH180" i="79"/>
  <c r="BH179" i="79"/>
  <c r="BI179" i="79" s="1"/>
  <c r="BF180" i="79"/>
  <c r="BE180" i="79"/>
  <c r="BD180" i="79"/>
  <c r="BC180" i="79"/>
  <c r="BC179" i="79"/>
  <c r="BD179" i="79" s="1"/>
  <c r="BA180" i="79"/>
  <c r="AZ180" i="79"/>
  <c r="AY180" i="79"/>
  <c r="AX180" i="79"/>
  <c r="AX179" i="79"/>
  <c r="AY179" i="79" s="1"/>
  <c r="BQ178" i="79"/>
  <c r="BL178" i="79"/>
  <c r="BG178" i="79"/>
  <c r="BB178" i="79"/>
  <c r="CK177" i="79"/>
  <c r="I177" i="79" s="1"/>
  <c r="AV180" i="79"/>
  <c r="AU180" i="79"/>
  <c r="AT180" i="79"/>
  <c r="AS180" i="79"/>
  <c r="AV179" i="79"/>
  <c r="AU179" i="79"/>
  <c r="AV178" i="79"/>
  <c r="AU178" i="79"/>
  <c r="AT178" i="79"/>
  <c r="AS178" i="79"/>
  <c r="AV177" i="79"/>
  <c r="AU177" i="79"/>
  <c r="AT177" i="79"/>
  <c r="AS177" i="79"/>
  <c r="AV176" i="79"/>
  <c r="AV181" i="79" s="1"/>
  <c r="AU176" i="79"/>
  <c r="AU181" i="79" s="1"/>
  <c r="AT176" i="79"/>
  <c r="AS176" i="79"/>
  <c r="AQ180" i="79"/>
  <c r="AP180" i="79"/>
  <c r="AO180" i="79"/>
  <c r="AN180" i="79"/>
  <c r="AQ179" i="79"/>
  <c r="AP179" i="79"/>
  <c r="AQ178" i="79"/>
  <c r="AP178" i="79"/>
  <c r="AO178" i="79"/>
  <c r="AN178" i="79"/>
  <c r="AQ177" i="79"/>
  <c r="AP177" i="79"/>
  <c r="AO177" i="79"/>
  <c r="AN177" i="79"/>
  <c r="AQ176" i="79"/>
  <c r="AQ181" i="79" s="1"/>
  <c r="AP176" i="79"/>
  <c r="AP181" i="79" s="1"/>
  <c r="AO176" i="79"/>
  <c r="AN176" i="79"/>
  <c r="AL180" i="79"/>
  <c r="AK180" i="79"/>
  <c r="AJ180" i="79"/>
  <c r="AI180" i="79"/>
  <c r="AL179" i="79"/>
  <c r="AK179" i="79"/>
  <c r="AJ179" i="79"/>
  <c r="AL178" i="79"/>
  <c r="AK178" i="79"/>
  <c r="AJ178" i="79"/>
  <c r="AI178" i="79"/>
  <c r="AL177" i="79"/>
  <c r="AK177" i="79"/>
  <c r="AJ177" i="79"/>
  <c r="AI177" i="79"/>
  <c r="AL176" i="79"/>
  <c r="AL181" i="79" s="1"/>
  <c r="AK176" i="79"/>
  <c r="AK181" i="79" s="1"/>
  <c r="AJ176" i="79"/>
  <c r="AJ181" i="79" s="1"/>
  <c r="AI176" i="79"/>
  <c r="AG180" i="79"/>
  <c r="AF180" i="79"/>
  <c r="AE180" i="79"/>
  <c r="AD180" i="79"/>
  <c r="AG179" i="79"/>
  <c r="AF179" i="79"/>
  <c r="AE179" i="79"/>
  <c r="AG178" i="79"/>
  <c r="AF178" i="79"/>
  <c r="AE178" i="79"/>
  <c r="AD178" i="79"/>
  <c r="AG177" i="79"/>
  <c r="AF177" i="79"/>
  <c r="AE177" i="79"/>
  <c r="AD177" i="79"/>
  <c r="AG176" i="79"/>
  <c r="AG181" i="79" s="1"/>
  <c r="AF176" i="79"/>
  <c r="AF181" i="79" s="1"/>
  <c r="AE176" i="79"/>
  <c r="AE181" i="79" s="1"/>
  <c r="AD176" i="79"/>
  <c r="AB180" i="79"/>
  <c r="AA180" i="79"/>
  <c r="Z180" i="79"/>
  <c r="Y180" i="79"/>
  <c r="AB179" i="79"/>
  <c r="AA179" i="79"/>
  <c r="Z179" i="79"/>
  <c r="Y179" i="79"/>
  <c r="AB178" i="79"/>
  <c r="AA178" i="79"/>
  <c r="Z178" i="79"/>
  <c r="Y178" i="79"/>
  <c r="AB177" i="79"/>
  <c r="AA177" i="79"/>
  <c r="Z177" i="79"/>
  <c r="Y177" i="79"/>
  <c r="AB176" i="79"/>
  <c r="AB181" i="79" s="1"/>
  <c r="AA176" i="79"/>
  <c r="AA181" i="79" s="1"/>
  <c r="Z176" i="79"/>
  <c r="Z181" i="79" s="1"/>
  <c r="Y176" i="79"/>
  <c r="Y181" i="79" s="1"/>
  <c r="W180" i="79"/>
  <c r="V180" i="79"/>
  <c r="U180" i="79"/>
  <c r="T180" i="79"/>
  <c r="W179" i="79"/>
  <c r="V179" i="79"/>
  <c r="U179" i="79"/>
  <c r="T179" i="79"/>
  <c r="W178" i="79"/>
  <c r="V178" i="79"/>
  <c r="U178" i="79"/>
  <c r="T178" i="79"/>
  <c r="W177" i="79"/>
  <c r="V177" i="79"/>
  <c r="U177" i="79"/>
  <c r="T177" i="79"/>
  <c r="W176" i="79"/>
  <c r="W181" i="79" s="1"/>
  <c r="V176" i="79"/>
  <c r="V181" i="79" s="1"/>
  <c r="U176" i="79"/>
  <c r="U181" i="79" s="1"/>
  <c r="T176" i="79"/>
  <c r="T181" i="79" s="1"/>
  <c r="R180" i="79"/>
  <c r="Q180" i="79"/>
  <c r="P180" i="79"/>
  <c r="O180" i="79"/>
  <c r="R179" i="79"/>
  <c r="Q179" i="79"/>
  <c r="P179" i="79"/>
  <c r="O179" i="79"/>
  <c r="R178" i="79"/>
  <c r="Q178" i="79"/>
  <c r="P178" i="79"/>
  <c r="O178" i="79"/>
  <c r="R177" i="79"/>
  <c r="Q177" i="79"/>
  <c r="P177" i="79"/>
  <c r="O177" i="79"/>
  <c r="R176" i="79"/>
  <c r="R181" i="79" s="1"/>
  <c r="Q176" i="79"/>
  <c r="Q181" i="79" s="1"/>
  <c r="P176" i="79"/>
  <c r="P181" i="79" s="1"/>
  <c r="O176" i="79"/>
  <c r="O181" i="79" s="1"/>
  <c r="M180" i="79"/>
  <c r="L180" i="79"/>
  <c r="K180" i="79"/>
  <c r="J180" i="79"/>
  <c r="M179" i="79"/>
  <c r="L179" i="79"/>
  <c r="K179" i="79"/>
  <c r="J179" i="79"/>
  <c r="M178" i="79"/>
  <c r="L178" i="79"/>
  <c r="K178" i="79"/>
  <c r="J178" i="79"/>
  <c r="M177" i="79"/>
  <c r="L177" i="79"/>
  <c r="K177" i="79"/>
  <c r="J177" i="79"/>
  <c r="M176" i="79"/>
  <c r="M181" i="79" s="1"/>
  <c r="L176" i="79"/>
  <c r="L181" i="79" s="1"/>
  <c r="K176" i="79"/>
  <c r="K181" i="79" s="1"/>
  <c r="J176" i="79"/>
  <c r="J181" i="79" s="1"/>
  <c r="H180" i="79"/>
  <c r="G180" i="79"/>
  <c r="F180" i="79"/>
  <c r="E180" i="79"/>
  <c r="H179" i="79"/>
  <c r="G179" i="79"/>
  <c r="F179" i="79"/>
  <c r="E179" i="79"/>
  <c r="H178" i="79"/>
  <c r="G178" i="79"/>
  <c r="F178" i="79"/>
  <c r="E178" i="79"/>
  <c r="H177" i="79"/>
  <c r="G177" i="79"/>
  <c r="F177" i="79"/>
  <c r="E177" i="79"/>
  <c r="H176" i="79"/>
  <c r="H181" i="79" s="1"/>
  <c r="G176" i="79"/>
  <c r="G181" i="79" s="1"/>
  <c r="F176" i="79"/>
  <c r="F181" i="79" s="1"/>
  <c r="E176" i="79"/>
  <c r="E181" i="79" s="1"/>
  <c r="DW174" i="79"/>
  <c r="DT174" i="79"/>
  <c r="AR174" i="79" s="1"/>
  <c r="DR174" i="79"/>
  <c r="DQ174" i="79"/>
  <c r="DP174" i="79"/>
  <c r="DL174" i="79"/>
  <c r="DK174" i="79"/>
  <c r="DH174" i="79"/>
  <c r="DG174" i="79"/>
  <c r="DF174" i="79"/>
  <c r="CV174" i="79"/>
  <c r="CU174" i="79"/>
  <c r="S174" i="79" s="1"/>
  <c r="CR174" i="79"/>
  <c r="CN174" i="79"/>
  <c r="CM174" i="79"/>
  <c r="CL174" i="79"/>
  <c r="CI174" i="79"/>
  <c r="CH174" i="79"/>
  <c r="CG174" i="79"/>
  <c r="AG174" i="79"/>
  <c r="DY173" i="79"/>
  <c r="DX173" i="79" s="1"/>
  <c r="DW173" i="79"/>
  <c r="AU173" i="79" s="1"/>
  <c r="DV173" i="79"/>
  <c r="DU173" i="79"/>
  <c r="DU174" i="79" s="1"/>
  <c r="DS173" i="79"/>
  <c r="DS172" i="79"/>
  <c r="DS171" i="79"/>
  <c r="DS174" i="79" s="1"/>
  <c r="DO173" i="79"/>
  <c r="DN173" i="79" s="1"/>
  <c r="DM173" i="79"/>
  <c r="DM174" i="79" s="1"/>
  <c r="CY173" i="79"/>
  <c r="CY171" i="79"/>
  <c r="CW173" i="79"/>
  <c r="CW172" i="79"/>
  <c r="U172" i="79" s="1"/>
  <c r="U174" i="79" s="1"/>
  <c r="CW171" i="79"/>
  <c r="CT173" i="79"/>
  <c r="CS173" i="79"/>
  <c r="CS174" i="79" s="1"/>
  <c r="CO173" i="79"/>
  <c r="CO172" i="79"/>
  <c r="CO171" i="79"/>
  <c r="CJ173" i="79"/>
  <c r="CJ172" i="79"/>
  <c r="CJ174" i="79" s="1"/>
  <c r="CJ171" i="79"/>
  <c r="CG173" i="79"/>
  <c r="DX172" i="79"/>
  <c r="DX171" i="79"/>
  <c r="DX174" i="79" s="1"/>
  <c r="DN172" i="79"/>
  <c r="DN171" i="79"/>
  <c r="DN174" i="79" s="1"/>
  <c r="DJ173" i="79"/>
  <c r="DI173" i="79"/>
  <c r="DH173" i="79"/>
  <c r="DG173" i="79"/>
  <c r="DJ172" i="79"/>
  <c r="DJ174" i="79" s="1"/>
  <c r="AH174" i="79" s="1"/>
  <c r="DI172" i="79"/>
  <c r="DI174" i="79" s="1"/>
  <c r="DH172" i="79"/>
  <c r="AF172" i="79" s="1"/>
  <c r="AF174" i="79" s="1"/>
  <c r="DG172" i="79"/>
  <c r="DE173" i="79"/>
  <c r="DD173" i="79"/>
  <c r="DC173" i="79"/>
  <c r="AA173" i="79" s="1"/>
  <c r="DB173" i="79"/>
  <c r="DE172" i="79"/>
  <c r="AB172" i="79" s="1"/>
  <c r="AB174" i="79" s="1"/>
  <c r="DD172" i="79"/>
  <c r="DD174" i="79" s="1"/>
  <c r="DC172" i="79"/>
  <c r="AA172" i="79" s="1"/>
  <c r="DB172" i="79"/>
  <c r="DB174" i="79" s="1"/>
  <c r="DA172" i="79"/>
  <c r="DA174" i="79" s="1"/>
  <c r="CZ172" i="79"/>
  <c r="CX172" i="79"/>
  <c r="CX174" i="79" s="1"/>
  <c r="CV172" i="79"/>
  <c r="CU172" i="79"/>
  <c r="CT172" i="79"/>
  <c r="CQ172" i="79"/>
  <c r="P172" i="79" s="1"/>
  <c r="P174" i="79" s="1"/>
  <c r="CP172" i="79"/>
  <c r="CP174" i="79" s="1"/>
  <c r="N174" i="79" s="1"/>
  <c r="CK172" i="79"/>
  <c r="H172" i="79" s="1"/>
  <c r="H174" i="79" s="1"/>
  <c r="BP173" i="79"/>
  <c r="BM173" i="79"/>
  <c r="BN173" i="79" s="1"/>
  <c r="BO173" i="79" s="1"/>
  <c r="BM172" i="79"/>
  <c r="BN172" i="79" s="1"/>
  <c r="BO172" i="79" s="1"/>
  <c r="BK173" i="79"/>
  <c r="BH173" i="79"/>
  <c r="BI173" i="79" s="1"/>
  <c r="BJ173" i="79" s="1"/>
  <c r="BH172" i="79"/>
  <c r="BI172" i="79" s="1"/>
  <c r="BJ172" i="79" s="1"/>
  <c r="BF173" i="79"/>
  <c r="BC173" i="79"/>
  <c r="BD173" i="79" s="1"/>
  <c r="BE173" i="79" s="1"/>
  <c r="BC172" i="79"/>
  <c r="BD172" i="79" s="1"/>
  <c r="BE172" i="79" s="1"/>
  <c r="BA173" i="79"/>
  <c r="AX173" i="79"/>
  <c r="AY173" i="79" s="1"/>
  <c r="AZ173" i="79" s="1"/>
  <c r="AW173" i="79"/>
  <c r="AV173" i="79"/>
  <c r="AV174" i="79" s="1"/>
  <c r="AS173" i="79"/>
  <c r="AS174" i="79" s="1"/>
  <c r="AR173" i="79"/>
  <c r="AQ173" i="79"/>
  <c r="AP173" i="79"/>
  <c r="AO173" i="79"/>
  <c r="AO174" i="79" s="1"/>
  <c r="AN173" i="79"/>
  <c r="AN174" i="79" s="1"/>
  <c r="AK173" i="79"/>
  <c r="AK174" i="79" s="1"/>
  <c r="AJ173" i="79"/>
  <c r="AJ174" i="79" s="1"/>
  <c r="AI173" i="79"/>
  <c r="AH173" i="79"/>
  <c r="AG173" i="79"/>
  <c r="AF173" i="79"/>
  <c r="AE173" i="79"/>
  <c r="AD173" i="79"/>
  <c r="AC173" i="79"/>
  <c r="AB173" i="79"/>
  <c r="Z173" i="79"/>
  <c r="Y173" i="79"/>
  <c r="Y174" i="79" s="1"/>
  <c r="X173" i="79"/>
  <c r="W173" i="79"/>
  <c r="V173" i="79"/>
  <c r="U173" i="79"/>
  <c r="T173" i="79"/>
  <c r="T174" i="79" s="1"/>
  <c r="S173" i="79"/>
  <c r="R173" i="79"/>
  <c r="Q173" i="79"/>
  <c r="Q174" i="79" s="1"/>
  <c r="P173" i="79"/>
  <c r="O173" i="79"/>
  <c r="N173" i="79"/>
  <c r="M173" i="79"/>
  <c r="M174" i="79" s="1"/>
  <c r="L173" i="79"/>
  <c r="L174" i="79" s="1"/>
  <c r="K173" i="79"/>
  <c r="J173" i="79"/>
  <c r="I173" i="79"/>
  <c r="H173" i="79"/>
  <c r="G173" i="79"/>
  <c r="F173" i="79"/>
  <c r="E173" i="79"/>
  <c r="E174" i="79" s="1"/>
  <c r="AX172" i="79"/>
  <c r="AW172" i="79"/>
  <c r="AV172" i="79"/>
  <c r="AU172" i="79"/>
  <c r="AT172" i="79"/>
  <c r="AS172" i="79"/>
  <c r="AR172" i="79"/>
  <c r="AQ172" i="79"/>
  <c r="AP172" i="79"/>
  <c r="AO172" i="79"/>
  <c r="AN172" i="79"/>
  <c r="AM172" i="79"/>
  <c r="AL172" i="79"/>
  <c r="AK172" i="79"/>
  <c r="AJ172" i="79"/>
  <c r="AI172" i="79"/>
  <c r="AH172" i="79"/>
  <c r="AG172" i="79"/>
  <c r="AE172" i="79"/>
  <c r="AD172" i="79"/>
  <c r="AC172" i="79"/>
  <c r="Z172" i="79"/>
  <c r="Y172" i="79"/>
  <c r="V172" i="79"/>
  <c r="T172" i="79"/>
  <c r="S172" i="79"/>
  <c r="R172" i="79"/>
  <c r="Q172" i="79"/>
  <c r="N172" i="79"/>
  <c r="M172" i="79"/>
  <c r="L172" i="79"/>
  <c r="K172" i="79"/>
  <c r="J172" i="79"/>
  <c r="I172" i="79"/>
  <c r="G172" i="79"/>
  <c r="F172" i="79"/>
  <c r="E172" i="79"/>
  <c r="DI171" i="79"/>
  <c r="DD171" i="79"/>
  <c r="CT171" i="79"/>
  <c r="AW171" i="79"/>
  <c r="AV171" i="79"/>
  <c r="AU171" i="79"/>
  <c r="AU174" i="79" s="1"/>
  <c r="AT171" i="79"/>
  <c r="AS171" i="79"/>
  <c r="AR171" i="79"/>
  <c r="AQ171" i="79"/>
  <c r="AQ174" i="79" s="1"/>
  <c r="AP171" i="79"/>
  <c r="AP174" i="79" s="1"/>
  <c r="AO171" i="79"/>
  <c r="AN171" i="79"/>
  <c r="AM171" i="79"/>
  <c r="AL171" i="79"/>
  <c r="AK171" i="79"/>
  <c r="AJ171" i="79"/>
  <c r="AI171" i="79"/>
  <c r="AI174" i="79" s="1"/>
  <c r="AH171" i="79"/>
  <c r="AG171" i="79"/>
  <c r="AF171" i="79"/>
  <c r="AE171" i="79"/>
  <c r="AE174" i="79" s="1"/>
  <c r="AD171" i="79"/>
  <c r="AC171" i="79"/>
  <c r="AB171" i="79"/>
  <c r="AA171" i="79"/>
  <c r="AA174" i="79" s="1"/>
  <c r="Z171" i="79"/>
  <c r="Z174" i="79" s="1"/>
  <c r="Y171" i="79"/>
  <c r="X171" i="79"/>
  <c r="W171" i="79"/>
  <c r="V171" i="79"/>
  <c r="U171" i="79"/>
  <c r="T171" i="79"/>
  <c r="S171" i="79"/>
  <c r="R171" i="79"/>
  <c r="Q171" i="79"/>
  <c r="P171" i="79"/>
  <c r="O171" i="79"/>
  <c r="N171" i="79"/>
  <c r="M171" i="79"/>
  <c r="L171" i="79"/>
  <c r="K171" i="79"/>
  <c r="K174" i="79" s="1"/>
  <c r="J171" i="79"/>
  <c r="J174" i="79" s="1"/>
  <c r="I171" i="79"/>
  <c r="H171" i="79"/>
  <c r="G171" i="79"/>
  <c r="G174" i="79" s="1"/>
  <c r="F171" i="79"/>
  <c r="E171" i="79"/>
  <c r="S169" i="79"/>
  <c r="DW169" i="79"/>
  <c r="DW183" i="79" s="1"/>
  <c r="DP169" i="79"/>
  <c r="DP183" i="79" s="1"/>
  <c r="DO169" i="79"/>
  <c r="DK169" i="79"/>
  <c r="DK183" i="79" s="1"/>
  <c r="DH169" i="79"/>
  <c r="DH183" i="79" s="1"/>
  <c r="DG169" i="79"/>
  <c r="DG183" i="79" s="1"/>
  <c r="DC169" i="79"/>
  <c r="CZ169" i="79"/>
  <c r="CU169" i="79"/>
  <c r="CR169" i="79"/>
  <c r="CR183" i="79" s="1"/>
  <c r="CQ169" i="79"/>
  <c r="CM169" i="79"/>
  <c r="CM183" i="79" s="1"/>
  <c r="CI169" i="79"/>
  <c r="CI183" i="79" s="1"/>
  <c r="CI186" i="79" s="1"/>
  <c r="DY168" i="79"/>
  <c r="DX168" i="79"/>
  <c r="DW168" i="79"/>
  <c r="DV168" i="79"/>
  <c r="DV169" i="79" s="1"/>
  <c r="DU168" i="79"/>
  <c r="DT168" i="79"/>
  <c r="DS168" i="79" s="1"/>
  <c r="DR168" i="79"/>
  <c r="DR169" i="79" s="1"/>
  <c r="DR183" i="79" s="1"/>
  <c r="DQ168" i="79"/>
  <c r="DP168" i="79"/>
  <c r="DO168" i="79"/>
  <c r="DN168" i="79"/>
  <c r="DM168" i="79"/>
  <c r="DL168" i="79"/>
  <c r="DL169" i="79" s="1"/>
  <c r="DL183" i="79" s="1"/>
  <c r="DK168" i="79"/>
  <c r="DJ168" i="79"/>
  <c r="DJ169" i="79" s="1"/>
  <c r="DJ183" i="79" s="1"/>
  <c r="DI168" i="79"/>
  <c r="DH168" i="79"/>
  <c r="DG168" i="79"/>
  <c r="DF168" i="79"/>
  <c r="DF169" i="79" s="1"/>
  <c r="DE168" i="79"/>
  <c r="DE169" i="79" s="1"/>
  <c r="DC168" i="79"/>
  <c r="DB168" i="79"/>
  <c r="DB169" i="79" s="1"/>
  <c r="DB183" i="79" s="1"/>
  <c r="DA168" i="79"/>
  <c r="DA169" i="79" s="1"/>
  <c r="DA183" i="79" s="1"/>
  <c r="CZ168" i="79"/>
  <c r="CY168" i="79" s="1"/>
  <c r="CX168" i="79"/>
  <c r="CX169" i="79" s="1"/>
  <c r="CX183" i="79" s="1"/>
  <c r="CW168" i="79"/>
  <c r="U168" i="79" s="1"/>
  <c r="CV168" i="79"/>
  <c r="CV169" i="79" s="1"/>
  <c r="CV183" i="79" s="1"/>
  <c r="CU168" i="79"/>
  <c r="CT168" i="79"/>
  <c r="CS168" i="79"/>
  <c r="Q168" i="79" s="1"/>
  <c r="CR168" i="79"/>
  <c r="P168" i="79" s="1"/>
  <c r="CQ168" i="79"/>
  <c r="CP168" i="79"/>
  <c r="CP169" i="79" s="1"/>
  <c r="CO168" i="79"/>
  <c r="CN168" i="79"/>
  <c r="CN169" i="79" s="1"/>
  <c r="CN183" i="79" s="1"/>
  <c r="CM168" i="79"/>
  <c r="CL168" i="79"/>
  <c r="CL169" i="79" s="1"/>
  <c r="CL183" i="79" s="1"/>
  <c r="CK168" i="79"/>
  <c r="CK169" i="79" s="1"/>
  <c r="CI168" i="79"/>
  <c r="CH168" i="79"/>
  <c r="CH169" i="79" s="1"/>
  <c r="CH183" i="79" s="1"/>
  <c r="CH186" i="79" s="1"/>
  <c r="CG168" i="79"/>
  <c r="CG169" i="79" s="1"/>
  <c r="CG183" i="79" s="1"/>
  <c r="CG186" i="79" s="1"/>
  <c r="DX167" i="79"/>
  <c r="DS167" i="79"/>
  <c r="DN167" i="79"/>
  <c r="DI167" i="79"/>
  <c r="DD167" i="79"/>
  <c r="CY167" i="79"/>
  <c r="CW167" i="79"/>
  <c r="CT167" i="79"/>
  <c r="CO167" i="79"/>
  <c r="CJ167" i="79"/>
  <c r="BN168" i="79"/>
  <c r="BM168" i="79"/>
  <c r="BN167" i="79"/>
  <c r="BM167" i="79"/>
  <c r="BJ168" i="79"/>
  <c r="BI168" i="79"/>
  <c r="BH168" i="79"/>
  <c r="BJ167" i="79"/>
  <c r="BI167" i="79"/>
  <c r="BH167" i="79"/>
  <c r="BD168" i="79"/>
  <c r="BC168" i="79"/>
  <c r="BD167" i="79"/>
  <c r="BC167" i="79"/>
  <c r="AZ168" i="79"/>
  <c r="AY168" i="79"/>
  <c r="AX168" i="79"/>
  <c r="AV168" i="79"/>
  <c r="AU168" i="79"/>
  <c r="AR168" i="79"/>
  <c r="AQ168" i="79"/>
  <c r="AN168" i="79"/>
  <c r="AM168" i="79"/>
  <c r="AJ168" i="79"/>
  <c r="AI168" i="79"/>
  <c r="AG168" i="79"/>
  <c r="AF168" i="79"/>
  <c r="AE168" i="79"/>
  <c r="AC168" i="79"/>
  <c r="AB168" i="79"/>
  <c r="AA168" i="79"/>
  <c r="X168" i="79"/>
  <c r="W168" i="79"/>
  <c r="S168" i="79"/>
  <c r="O168" i="79"/>
  <c r="M168" i="79"/>
  <c r="L168" i="79"/>
  <c r="K168" i="79"/>
  <c r="H168" i="79"/>
  <c r="G168" i="79"/>
  <c r="AZ167" i="79"/>
  <c r="AX167" i="79"/>
  <c r="AY167" i="79" s="1"/>
  <c r="AW167" i="79"/>
  <c r="AV167" i="79"/>
  <c r="AU167" i="79"/>
  <c r="AT167" i="79"/>
  <c r="AS167" i="79"/>
  <c r="AR167" i="79"/>
  <c r="AQ167" i="79"/>
  <c r="AP167" i="79"/>
  <c r="AO167" i="79"/>
  <c r="AN167" i="79"/>
  <c r="AM167" i="79"/>
  <c r="AL167" i="79"/>
  <c r="AK167" i="79"/>
  <c r="AJ167" i="79"/>
  <c r="AI167" i="79"/>
  <c r="AH167" i="79"/>
  <c r="AG167" i="79"/>
  <c r="AF167" i="79"/>
  <c r="AE167" i="79"/>
  <c r="AD167" i="79"/>
  <c r="AC167" i="79"/>
  <c r="AB167" i="79"/>
  <c r="AA167" i="79"/>
  <c r="Z167" i="79"/>
  <c r="Y167" i="79"/>
  <c r="X167" i="79"/>
  <c r="W167" i="79"/>
  <c r="V167" i="79"/>
  <c r="U167" i="79"/>
  <c r="T167" i="79"/>
  <c r="S167" i="79"/>
  <c r="R167" i="79"/>
  <c r="Q167" i="79"/>
  <c r="P167" i="79"/>
  <c r="O167" i="79"/>
  <c r="N167" i="79"/>
  <c r="M167" i="79"/>
  <c r="L167" i="79"/>
  <c r="K167" i="79"/>
  <c r="J167" i="79"/>
  <c r="I167" i="79"/>
  <c r="H167" i="79"/>
  <c r="G167" i="79"/>
  <c r="F167" i="79"/>
  <c r="E167" i="79"/>
  <c r="DX165" i="79"/>
  <c r="DX164" i="79"/>
  <c r="DX163" i="79"/>
  <c r="DX169" i="79" s="1"/>
  <c r="DX183" i="79" s="1"/>
  <c r="DS165" i="79"/>
  <c r="DS164" i="79"/>
  <c r="DS169" i="79" s="1"/>
  <c r="DS183" i="79" s="1"/>
  <c r="DS163" i="79"/>
  <c r="DN165" i="79"/>
  <c r="DN164" i="79"/>
  <c r="DN163" i="79"/>
  <c r="DI165" i="79"/>
  <c r="DI164" i="79"/>
  <c r="DI163" i="79"/>
  <c r="DD165" i="79"/>
  <c r="DD164" i="79"/>
  <c r="DD163" i="79"/>
  <c r="CY165" i="79"/>
  <c r="CY164" i="79"/>
  <c r="CY169" i="79" s="1"/>
  <c r="CY163" i="79"/>
  <c r="CW165" i="79"/>
  <c r="V165" i="79" s="1"/>
  <c r="V229" i="79" s="1"/>
  <c r="CW164" i="79"/>
  <c r="CW163" i="79"/>
  <c r="CT165" i="79"/>
  <c r="CT164" i="79"/>
  <c r="CT163" i="79"/>
  <c r="CO165" i="79"/>
  <c r="CO164" i="79"/>
  <c r="CO163" i="79"/>
  <c r="CO169" i="79" s="1"/>
  <c r="CJ165" i="79"/>
  <c r="CJ164" i="79"/>
  <c r="CJ163" i="79"/>
  <c r="AW166" i="79"/>
  <c r="AV166" i="79"/>
  <c r="AU166" i="79"/>
  <c r="AT166" i="79"/>
  <c r="AS166" i="79"/>
  <c r="AR166" i="79"/>
  <c r="AQ166" i="79"/>
  <c r="AP166" i="79"/>
  <c r="AO166" i="79"/>
  <c r="AN166" i="79"/>
  <c r="AM166" i="79"/>
  <c r="AL166" i="79"/>
  <c r="AK166" i="79"/>
  <c r="AJ166" i="79"/>
  <c r="AI166" i="79"/>
  <c r="AH166" i="79"/>
  <c r="AG166" i="79"/>
  <c r="AF166" i="79"/>
  <c r="AE166" i="79"/>
  <c r="AD166" i="79"/>
  <c r="AC166" i="79"/>
  <c r="AB166" i="79"/>
  <c r="AA166" i="79"/>
  <c r="Z166" i="79"/>
  <c r="Y166" i="79"/>
  <c r="X166" i="79"/>
  <c r="W166" i="79"/>
  <c r="V166" i="79"/>
  <c r="U166" i="79"/>
  <c r="T166" i="79"/>
  <c r="S166" i="79"/>
  <c r="R166" i="79"/>
  <c r="Q166" i="79"/>
  <c r="P166" i="79"/>
  <c r="O166" i="79"/>
  <c r="N166" i="79"/>
  <c r="M166" i="79"/>
  <c r="L166" i="79"/>
  <c r="K166" i="79"/>
  <c r="J166" i="79"/>
  <c r="I166" i="79"/>
  <c r="H166" i="79"/>
  <c r="G166" i="79"/>
  <c r="F166" i="79"/>
  <c r="E166" i="79"/>
  <c r="AW165" i="79"/>
  <c r="AV165" i="79"/>
  <c r="AV229" i="79" s="1"/>
  <c r="AU165" i="79"/>
  <c r="AU229" i="79" s="1"/>
  <c r="AT165" i="79"/>
  <c r="AT229" i="79" s="1"/>
  <c r="AS165" i="79"/>
  <c r="AS229" i="79" s="1"/>
  <c r="AW229" i="79" s="1"/>
  <c r="AR165" i="79"/>
  <c r="AQ165" i="79"/>
  <c r="AQ229" i="79" s="1"/>
  <c r="AP165" i="79"/>
  <c r="AP229" i="79" s="1"/>
  <c r="AO165" i="79"/>
  <c r="AO229" i="79" s="1"/>
  <c r="AN165" i="79"/>
  <c r="AN229" i="79" s="1"/>
  <c r="AM165" i="79"/>
  <c r="AL165" i="79"/>
  <c r="AL229" i="79" s="1"/>
  <c r="AK165" i="79"/>
  <c r="AK229" i="79" s="1"/>
  <c r="AJ165" i="79"/>
  <c r="AJ229" i="79" s="1"/>
  <c r="AI165" i="79"/>
  <c r="AI229" i="79" s="1"/>
  <c r="AH165" i="79"/>
  <c r="AG165" i="79"/>
  <c r="AG229" i="79" s="1"/>
  <c r="AF165" i="79"/>
  <c r="AF229" i="79" s="1"/>
  <c r="AE165" i="79"/>
  <c r="AE229" i="79" s="1"/>
  <c r="AD165" i="79"/>
  <c r="AD229" i="79" s="1"/>
  <c r="AC165" i="79"/>
  <c r="AB165" i="79"/>
  <c r="AB229" i="79" s="1"/>
  <c r="AA165" i="79"/>
  <c r="AA229" i="79" s="1"/>
  <c r="Z165" i="79"/>
  <c r="Z229" i="79" s="1"/>
  <c r="Y165" i="79"/>
  <c r="Y229" i="79" s="1"/>
  <c r="AC229" i="79" s="1"/>
  <c r="X165" i="79"/>
  <c r="W165" i="79"/>
  <c r="W229" i="79" s="1"/>
  <c r="U165" i="79"/>
  <c r="U229" i="79" s="1"/>
  <c r="T165" i="79"/>
  <c r="T229" i="79" s="1"/>
  <c r="S165" i="79"/>
  <c r="R165" i="79"/>
  <c r="R229" i="79" s="1"/>
  <c r="Q165" i="79"/>
  <c r="Q229" i="79" s="1"/>
  <c r="P165" i="79"/>
  <c r="P229" i="79" s="1"/>
  <c r="O165" i="79"/>
  <c r="O229" i="79" s="1"/>
  <c r="N165" i="79"/>
  <c r="M165" i="79"/>
  <c r="M229" i="79" s="1"/>
  <c r="L165" i="79"/>
  <c r="L229" i="79" s="1"/>
  <c r="K165" i="79"/>
  <c r="K229" i="79" s="1"/>
  <c r="J165" i="79"/>
  <c r="J229" i="79" s="1"/>
  <c r="I165" i="79"/>
  <c r="H165" i="79"/>
  <c r="H229" i="79" s="1"/>
  <c r="G165" i="79"/>
  <c r="G229" i="79" s="1"/>
  <c r="F165" i="79"/>
  <c r="F229" i="79" s="1"/>
  <c r="E165" i="79"/>
  <c r="E229" i="79" s="1"/>
  <c r="I229" i="79" s="1"/>
  <c r="AW164" i="79"/>
  <c r="AW131" i="79" s="1"/>
  <c r="AV164" i="79"/>
  <c r="AU164" i="79"/>
  <c r="AT164" i="79"/>
  <c r="AS164" i="79"/>
  <c r="AS131" i="79" s="1"/>
  <c r="AR164" i="79"/>
  <c r="AQ164" i="79"/>
  <c r="AP164" i="79"/>
  <c r="AO164" i="79"/>
  <c r="AO131" i="79" s="1"/>
  <c r="AN164" i="79"/>
  <c r="AM164" i="79"/>
  <c r="AL164" i="79"/>
  <c r="AK164" i="79"/>
  <c r="AK131" i="79" s="1"/>
  <c r="AJ164" i="79"/>
  <c r="AI164" i="79"/>
  <c r="AH164" i="79"/>
  <c r="AG164" i="79"/>
  <c r="AF164" i="79"/>
  <c r="AE164" i="79"/>
  <c r="AD164" i="79"/>
  <c r="AC164" i="79"/>
  <c r="AB164" i="79"/>
  <c r="AA164" i="79"/>
  <c r="Z164" i="79"/>
  <c r="Y164" i="79"/>
  <c r="X164" i="79"/>
  <c r="W164" i="79"/>
  <c r="V164" i="79"/>
  <c r="U164" i="79"/>
  <c r="T164" i="79"/>
  <c r="S164" i="79"/>
  <c r="R164" i="79"/>
  <c r="Q164" i="79"/>
  <c r="Q131" i="79" s="1"/>
  <c r="P164" i="79"/>
  <c r="O164" i="79"/>
  <c r="N164" i="79"/>
  <c r="M164" i="79"/>
  <c r="L164" i="79"/>
  <c r="K164" i="79"/>
  <c r="J164" i="79"/>
  <c r="I164" i="79"/>
  <c r="H164" i="79"/>
  <c r="G164" i="79"/>
  <c r="F164" i="79"/>
  <c r="E164" i="79"/>
  <c r="AU163" i="79"/>
  <c r="AU169" i="79" s="1"/>
  <c r="AU183" i="79" s="1"/>
  <c r="AT163" i="79"/>
  <c r="AS163" i="79"/>
  <c r="AR163" i="79"/>
  <c r="AQ163" i="79"/>
  <c r="AQ169" i="79" s="1"/>
  <c r="AQ183" i="79" s="1"/>
  <c r="AP163" i="79"/>
  <c r="AO163" i="79"/>
  <c r="AN163" i="79"/>
  <c r="AN169" i="79" s="1"/>
  <c r="AM163" i="79"/>
  <c r="AL163" i="79"/>
  <c r="AK163" i="79"/>
  <c r="AJ163" i="79"/>
  <c r="AJ169" i="79" s="1"/>
  <c r="AJ183" i="79" s="1"/>
  <c r="AI163" i="79"/>
  <c r="AI169" i="79" s="1"/>
  <c r="AH163" i="79"/>
  <c r="AG163" i="79"/>
  <c r="AF163" i="79"/>
  <c r="AF169" i="79" s="1"/>
  <c r="AF183" i="79" s="1"/>
  <c r="AE163" i="79"/>
  <c r="AE169" i="79" s="1"/>
  <c r="AE183" i="79" s="1"/>
  <c r="AD163" i="79"/>
  <c r="AC163" i="79"/>
  <c r="AB163" i="79"/>
  <c r="AB169" i="79" s="1"/>
  <c r="AB183" i="79" s="1"/>
  <c r="AA163" i="79"/>
  <c r="AA169" i="79" s="1"/>
  <c r="AA183" i="79" s="1"/>
  <c r="Z163" i="79"/>
  <c r="Y163" i="79"/>
  <c r="X163" i="79"/>
  <c r="W163" i="79"/>
  <c r="W169" i="79" s="1"/>
  <c r="V163" i="79"/>
  <c r="T163" i="79"/>
  <c r="S163" i="79"/>
  <c r="R163" i="79"/>
  <c r="Q163" i="79"/>
  <c r="P163" i="79"/>
  <c r="O163" i="79"/>
  <c r="O169" i="79" s="1"/>
  <c r="N163" i="79"/>
  <c r="M163" i="79"/>
  <c r="L163" i="79"/>
  <c r="K163" i="79"/>
  <c r="K169" i="79" s="1"/>
  <c r="K183" i="79" s="1"/>
  <c r="J163" i="79"/>
  <c r="I163" i="79"/>
  <c r="H163" i="79"/>
  <c r="G163" i="79"/>
  <c r="G169" i="79" s="1"/>
  <c r="G183" i="79" s="1"/>
  <c r="F163" i="79"/>
  <c r="E163" i="79"/>
  <c r="BQ159" i="79"/>
  <c r="BP159" i="79"/>
  <c r="BO159" i="79"/>
  <c r="BN159" i="79"/>
  <c r="BM159" i="79"/>
  <c r="BL159" i="79"/>
  <c r="BK159" i="79"/>
  <c r="BJ159" i="79"/>
  <c r="BI159" i="79"/>
  <c r="BH159" i="79"/>
  <c r="BG159" i="79"/>
  <c r="BF159" i="79"/>
  <c r="BE159" i="79"/>
  <c r="BD159" i="79"/>
  <c r="BC159" i="79"/>
  <c r="BB159" i="79"/>
  <c r="BA159" i="79"/>
  <c r="AZ159" i="79"/>
  <c r="AY159" i="79"/>
  <c r="AX159" i="79"/>
  <c r="AX155" i="79"/>
  <c r="AU152" i="79"/>
  <c r="AT152" i="79"/>
  <c r="AS152" i="79"/>
  <c r="AR152" i="79"/>
  <c r="AQ152" i="79"/>
  <c r="AP152" i="79"/>
  <c r="AO152" i="79"/>
  <c r="AN152" i="79"/>
  <c r="AM152" i="79"/>
  <c r="AL152" i="79"/>
  <c r="AK152" i="79"/>
  <c r="AJ152" i="79"/>
  <c r="AI152" i="79"/>
  <c r="AH152" i="79"/>
  <c r="AG152" i="79"/>
  <c r="AF152" i="79"/>
  <c r="AE152" i="79"/>
  <c r="AD152" i="79"/>
  <c r="AC152" i="79"/>
  <c r="AB152" i="79"/>
  <c r="AA152" i="79"/>
  <c r="Z152" i="79"/>
  <c r="Y152" i="79"/>
  <c r="X152" i="79"/>
  <c r="W152" i="79"/>
  <c r="V152" i="79"/>
  <c r="U152" i="79"/>
  <c r="T152" i="79"/>
  <c r="S152" i="79"/>
  <c r="R152" i="79"/>
  <c r="Q152" i="79"/>
  <c r="P152" i="79"/>
  <c r="O152" i="79"/>
  <c r="N152" i="79"/>
  <c r="M152" i="79"/>
  <c r="L152" i="79"/>
  <c r="K152" i="79"/>
  <c r="J152" i="79"/>
  <c r="I152" i="79"/>
  <c r="H152" i="79"/>
  <c r="G152" i="79"/>
  <c r="F152" i="79"/>
  <c r="E152" i="79"/>
  <c r="AU151" i="79"/>
  <c r="AT151" i="79"/>
  <c r="AS151" i="79"/>
  <c r="AR151" i="79"/>
  <c r="AQ151" i="79"/>
  <c r="AP151" i="79"/>
  <c r="AO151" i="79"/>
  <c r="AN151" i="79"/>
  <c r="AM151" i="79"/>
  <c r="AL151" i="79"/>
  <c r="AK151" i="79"/>
  <c r="AJ151" i="79"/>
  <c r="AI151" i="79"/>
  <c r="AH151" i="79"/>
  <c r="AG151" i="79"/>
  <c r="AF151" i="79"/>
  <c r="AE151" i="79"/>
  <c r="AD151" i="79"/>
  <c r="AC151" i="79"/>
  <c r="AB151" i="79"/>
  <c r="AA151" i="79"/>
  <c r="Z151" i="79"/>
  <c r="Y151" i="79"/>
  <c r="X151" i="79"/>
  <c r="W151" i="79"/>
  <c r="V151" i="79"/>
  <c r="U151" i="79"/>
  <c r="T151" i="79"/>
  <c r="S151" i="79"/>
  <c r="R151" i="79"/>
  <c r="Q151" i="79"/>
  <c r="P151" i="79"/>
  <c r="O151" i="79"/>
  <c r="N151" i="79"/>
  <c r="M151" i="79"/>
  <c r="L151" i="79"/>
  <c r="K151" i="79"/>
  <c r="J151" i="79"/>
  <c r="I151" i="79"/>
  <c r="H151" i="79"/>
  <c r="G151" i="79"/>
  <c r="F151" i="79"/>
  <c r="E151" i="79"/>
  <c r="U146" i="79"/>
  <c r="AP145" i="79"/>
  <c r="AO145" i="79"/>
  <c r="AN145" i="79"/>
  <c r="AK145" i="79"/>
  <c r="AJ145" i="79"/>
  <c r="AI145" i="79"/>
  <c r="AF145" i="79"/>
  <c r="AE145" i="79"/>
  <c r="AD145" i="79"/>
  <c r="AA145" i="79"/>
  <c r="Z145" i="79"/>
  <c r="Y145" i="79"/>
  <c r="V145" i="79"/>
  <c r="U145" i="79"/>
  <c r="T145" i="79"/>
  <c r="Q145" i="79"/>
  <c r="P145" i="79"/>
  <c r="O145" i="79"/>
  <c r="L145" i="79"/>
  <c r="BL141" i="79"/>
  <c r="BG141" i="79"/>
  <c r="BF141" i="79"/>
  <c r="BF227" i="79" s="1"/>
  <c r="BB141" i="79"/>
  <c r="AV227" i="79"/>
  <c r="AU141" i="79"/>
  <c r="AU227" i="79" s="1"/>
  <c r="AT141" i="79"/>
  <c r="AT227" i="79" s="1"/>
  <c r="AS141" i="79"/>
  <c r="AS227" i="79" s="1"/>
  <c r="AR141" i="79"/>
  <c r="AQ141" i="79"/>
  <c r="AQ227" i="79" s="1"/>
  <c r="AP141" i="79"/>
  <c r="AP227" i="79" s="1"/>
  <c r="AO141" i="79"/>
  <c r="AO227" i="79" s="1"/>
  <c r="AN141" i="79"/>
  <c r="AN227" i="79" s="1"/>
  <c r="AM141" i="79"/>
  <c r="AL141" i="79"/>
  <c r="AL227" i="79" s="1"/>
  <c r="AK141" i="79"/>
  <c r="AK227" i="79" s="1"/>
  <c r="AJ141" i="79"/>
  <c r="AJ227" i="79" s="1"/>
  <c r="AI141" i="79"/>
  <c r="AI227" i="79" s="1"/>
  <c r="AM227" i="79" s="1"/>
  <c r="AH141" i="79"/>
  <c r="AG141" i="79"/>
  <c r="AG227" i="79" s="1"/>
  <c r="AF141" i="79"/>
  <c r="AF227" i="79" s="1"/>
  <c r="AE141" i="79"/>
  <c r="AE227" i="79" s="1"/>
  <c r="AD141" i="79"/>
  <c r="AD227" i="79" s="1"/>
  <c r="AC141" i="79"/>
  <c r="AB141" i="79"/>
  <c r="AB227" i="79" s="1"/>
  <c r="AA141" i="79"/>
  <c r="AA227" i="79" s="1"/>
  <c r="Z141" i="79"/>
  <c r="Z227" i="79" s="1"/>
  <c r="Y141" i="79"/>
  <c r="Y227" i="79" s="1"/>
  <c r="X141" i="79"/>
  <c r="W141" i="79"/>
  <c r="W227" i="79" s="1"/>
  <c r="V141" i="79"/>
  <c r="V227" i="79" s="1"/>
  <c r="U141" i="79"/>
  <c r="U227" i="79" s="1"/>
  <c r="T141" i="79"/>
  <c r="T227" i="79" s="1"/>
  <c r="S141" i="79"/>
  <c r="R141" i="79"/>
  <c r="R227" i="79" s="1"/>
  <c r="Q141" i="79"/>
  <c r="Q227" i="79" s="1"/>
  <c r="P141" i="79"/>
  <c r="P227" i="79" s="1"/>
  <c r="O141" i="79"/>
  <c r="O227" i="79" s="1"/>
  <c r="S227" i="79" s="1"/>
  <c r="N141" i="79"/>
  <c r="M141" i="79"/>
  <c r="M227" i="79" s="1"/>
  <c r="L141" i="79"/>
  <c r="L227" i="79" s="1"/>
  <c r="K141" i="79"/>
  <c r="K227" i="79" s="1"/>
  <c r="J141" i="79"/>
  <c r="J227" i="79" s="1"/>
  <c r="I141" i="79"/>
  <c r="H141" i="79"/>
  <c r="H227" i="79" s="1"/>
  <c r="G141" i="79"/>
  <c r="G227" i="79" s="1"/>
  <c r="F141" i="79"/>
  <c r="F227" i="79" s="1"/>
  <c r="E141" i="79"/>
  <c r="E227" i="79" s="1"/>
  <c r="BQ139" i="79"/>
  <c r="BN138" i="79"/>
  <c r="BM138" i="79"/>
  <c r="BK140" i="79"/>
  <c r="BJ140" i="79"/>
  <c r="BI140" i="79"/>
  <c r="BH140" i="79"/>
  <c r="BK139" i="79"/>
  <c r="BJ139" i="79"/>
  <c r="BI139" i="79"/>
  <c r="BH139" i="79"/>
  <c r="BK138" i="79"/>
  <c r="BK141" i="79" s="1"/>
  <c r="BJ138" i="79"/>
  <c r="BJ141" i="79" s="1"/>
  <c r="BJ227" i="79" s="1"/>
  <c r="BI138" i="79"/>
  <c r="BI141" i="79" s="1"/>
  <c r="BH138" i="79"/>
  <c r="BH141" i="79" s="1"/>
  <c r="BF140" i="79"/>
  <c r="BE140" i="79"/>
  <c r="BD140" i="79"/>
  <c r="BC140" i="79"/>
  <c r="BF139" i="79"/>
  <c r="BE139" i="79"/>
  <c r="BD139" i="79"/>
  <c r="BC139" i="79"/>
  <c r="BF138" i="79"/>
  <c r="BE138" i="79"/>
  <c r="BE141" i="79" s="1"/>
  <c r="BD138" i="79"/>
  <c r="BD141" i="79" s="1"/>
  <c r="BC138" i="79"/>
  <c r="BC141" i="79" s="1"/>
  <c r="BA140" i="79"/>
  <c r="AZ140" i="79"/>
  <c r="AY140" i="79"/>
  <c r="AX140" i="79"/>
  <c r="BA139" i="79"/>
  <c r="AZ139" i="79"/>
  <c r="AY139" i="79"/>
  <c r="AX139" i="79"/>
  <c r="BA138" i="79"/>
  <c r="BA141" i="79" s="1"/>
  <c r="AZ138" i="79"/>
  <c r="AZ141" i="79" s="1"/>
  <c r="AY138" i="79"/>
  <c r="AY141" i="79" s="1"/>
  <c r="AX138" i="79"/>
  <c r="AX141" i="79" s="1"/>
  <c r="AX136" i="79"/>
  <c r="AY136" i="79" s="1"/>
  <c r="AR136" i="79"/>
  <c r="AM136" i="79"/>
  <c r="AH136" i="79"/>
  <c r="AC136" i="79"/>
  <c r="X136" i="79"/>
  <c r="V136" i="79"/>
  <c r="S136" i="79"/>
  <c r="N136" i="79"/>
  <c r="I136" i="79"/>
  <c r="AW133" i="79"/>
  <c r="AS133" i="79"/>
  <c r="AR133" i="79"/>
  <c r="AR135" i="79" s="1"/>
  <c r="AO133" i="79"/>
  <c r="AN133" i="79"/>
  <c r="AN228" i="79" s="1"/>
  <c r="AF133" i="79"/>
  <c r="AF228" i="79" s="1"/>
  <c r="Y133" i="79"/>
  <c r="X133" i="79"/>
  <c r="V133" i="79"/>
  <c r="V228" i="79" s="1"/>
  <c r="U133" i="79"/>
  <c r="T133" i="79"/>
  <c r="T228" i="79" s="1"/>
  <c r="Q133" i="79"/>
  <c r="P133" i="79"/>
  <c r="P228" i="79" s="1"/>
  <c r="L133" i="79"/>
  <c r="L228" i="79" s="1"/>
  <c r="E133" i="79"/>
  <c r="BQ132" i="79"/>
  <c r="BL132" i="79"/>
  <c r="BG132" i="79"/>
  <c r="BB132" i="79"/>
  <c r="AT132" i="79"/>
  <c r="AU132" i="79" s="1"/>
  <c r="AV132" i="79" s="1"/>
  <c r="AV133" i="79" s="1"/>
  <c r="AQ132" i="79"/>
  <c r="AP132" i="79"/>
  <c r="AO132" i="79"/>
  <c r="AJ132" i="79"/>
  <c r="AH132" i="79"/>
  <c r="AH131" i="79"/>
  <c r="AH133" i="79" s="1"/>
  <c r="AC132" i="79"/>
  <c r="AC131" i="79"/>
  <c r="AC133" i="79" s="1"/>
  <c r="AC135" i="79" s="1"/>
  <c r="X132" i="79"/>
  <c r="X131" i="79"/>
  <c r="S132" i="79"/>
  <c r="S131" i="79"/>
  <c r="S133" i="79" s="1"/>
  <c r="N132" i="79"/>
  <c r="N131" i="79"/>
  <c r="N133" i="79" s="1"/>
  <c r="I132" i="79"/>
  <c r="I131" i="79"/>
  <c r="I133" i="79" s="1"/>
  <c r="AV131" i="79"/>
  <c r="AU131" i="79"/>
  <c r="AT131" i="79"/>
  <c r="AT133" i="79" s="1"/>
  <c r="AR131" i="79"/>
  <c r="AQ131" i="79"/>
  <c r="AP131" i="79"/>
  <c r="AN131" i="79"/>
  <c r="AM131" i="79"/>
  <c r="AM133" i="79" s="1"/>
  <c r="AL131" i="79"/>
  <c r="AJ131" i="79"/>
  <c r="AI131" i="79"/>
  <c r="AI133" i="79" s="1"/>
  <c r="AI228" i="79" s="1"/>
  <c r="AG131" i="79"/>
  <c r="AG133" i="79" s="1"/>
  <c r="AF131" i="79"/>
  <c r="AE131" i="79"/>
  <c r="AE133" i="79" s="1"/>
  <c r="AE228" i="79" s="1"/>
  <c r="AD131" i="79"/>
  <c r="AD133" i="79" s="1"/>
  <c r="AB131" i="79"/>
  <c r="AB133" i="79" s="1"/>
  <c r="AA131" i="79"/>
  <c r="AA133" i="79" s="1"/>
  <c r="AA228" i="79" s="1"/>
  <c r="Z131" i="79"/>
  <c r="Z133" i="79" s="1"/>
  <c r="Y131" i="79"/>
  <c r="W131" i="79"/>
  <c r="W133" i="79" s="1"/>
  <c r="W228" i="79" s="1"/>
  <c r="V131" i="79"/>
  <c r="U131" i="79"/>
  <c r="T131" i="79"/>
  <c r="R131" i="79"/>
  <c r="R133" i="79" s="1"/>
  <c r="P131" i="79"/>
  <c r="O131" i="79"/>
  <c r="O133" i="79" s="1"/>
  <c r="O228" i="79" s="1"/>
  <c r="M131" i="79"/>
  <c r="M133" i="79" s="1"/>
  <c r="L131" i="79"/>
  <c r="K131" i="79"/>
  <c r="K133" i="79" s="1"/>
  <c r="K228" i="79" s="1"/>
  <c r="J131" i="79"/>
  <c r="J133" i="79" s="1"/>
  <c r="H131" i="79"/>
  <c r="H133" i="79" s="1"/>
  <c r="G131" i="79"/>
  <c r="G133" i="79" s="1"/>
  <c r="G228" i="79" s="1"/>
  <c r="F131" i="79"/>
  <c r="F133" i="79" s="1"/>
  <c r="E131" i="79"/>
  <c r="AX129" i="79"/>
  <c r="AN129" i="79"/>
  <c r="AI129" i="79"/>
  <c r="AJ129" i="79" s="1"/>
  <c r="AG129" i="79"/>
  <c r="AG136" i="79" s="1"/>
  <c r="AD129" i="79"/>
  <c r="AE129" i="79" s="1"/>
  <c r="AF129" i="79" s="1"/>
  <c r="AF125" i="79" s="1"/>
  <c r="AF127" i="79" s="1"/>
  <c r="AF135" i="79" s="1"/>
  <c r="AB129" i="79"/>
  <c r="AB136" i="79" s="1"/>
  <c r="Y129" i="79"/>
  <c r="Y146" i="79" s="1"/>
  <c r="W129" i="79"/>
  <c r="V129" i="79" s="1"/>
  <c r="U129" i="79" s="1"/>
  <c r="T129" i="79"/>
  <c r="T125" i="79" s="1"/>
  <c r="T127" i="79" s="1"/>
  <c r="R129" i="79"/>
  <c r="Q129" i="79" s="1"/>
  <c r="Q136" i="79" s="1"/>
  <c r="M129" i="79"/>
  <c r="H129" i="79"/>
  <c r="AW127" i="79"/>
  <c r="AM127" i="79"/>
  <c r="AN135" i="79" s="1"/>
  <c r="AE127" i="79"/>
  <c r="Y127" i="79"/>
  <c r="AV126" i="79"/>
  <c r="AV125" i="79"/>
  <c r="AV127" i="79" s="1"/>
  <c r="AQ126" i="79"/>
  <c r="AL126" i="79"/>
  <c r="AL125" i="79"/>
  <c r="AL127" i="79" s="1"/>
  <c r="AG126" i="79"/>
  <c r="AB126" i="79"/>
  <c r="W126" i="79"/>
  <c r="R126" i="79"/>
  <c r="R125" i="79"/>
  <c r="R127" i="79" s="1"/>
  <c r="S127" i="79" s="1"/>
  <c r="X135" i="79" s="1"/>
  <c r="M126" i="79"/>
  <c r="H126" i="79"/>
  <c r="AW125" i="79"/>
  <c r="AS125" i="79"/>
  <c r="AS127" i="79" s="1"/>
  <c r="AR125" i="79"/>
  <c r="AR127" i="79" s="1"/>
  <c r="AN125" i="79"/>
  <c r="AN127" i="79" s="1"/>
  <c r="AM125" i="79"/>
  <c r="AI125" i="79"/>
  <c r="AI127" i="79" s="1"/>
  <c r="AH125" i="79"/>
  <c r="AG125" i="79" s="1"/>
  <c r="AG127" i="79" s="1"/>
  <c r="AE125" i="79"/>
  <c r="AC125" i="79"/>
  <c r="AC127" i="79" s="1"/>
  <c r="Y125" i="79"/>
  <c r="X125" i="79"/>
  <c r="X127" i="79" s="1"/>
  <c r="V125" i="79"/>
  <c r="V127" i="79" s="1"/>
  <c r="S125" i="79"/>
  <c r="N125" i="79"/>
  <c r="M125" i="79" s="1"/>
  <c r="M127" i="79" s="1"/>
  <c r="I125" i="79"/>
  <c r="I127" i="79" s="1"/>
  <c r="AT121" i="79"/>
  <c r="AS121" i="79"/>
  <c r="AO121" i="79"/>
  <c r="AN121" i="79"/>
  <c r="AJ121" i="79"/>
  <c r="AD121" i="79"/>
  <c r="AC121" i="79"/>
  <c r="Y121" i="79"/>
  <c r="X121" i="79"/>
  <c r="T121" i="79"/>
  <c r="P121" i="79"/>
  <c r="AU120" i="79"/>
  <c r="AT120" i="79"/>
  <c r="AS120" i="79"/>
  <c r="AR120" i="79"/>
  <c r="AR121" i="79" s="1"/>
  <c r="AP120" i="79"/>
  <c r="AP121" i="79" s="1"/>
  <c r="AO120" i="79"/>
  <c r="AN120" i="79"/>
  <c r="AM120" i="79"/>
  <c r="AM121" i="79" s="1"/>
  <c r="AK120" i="79"/>
  <c r="AJ120" i="79"/>
  <c r="AI120" i="79"/>
  <c r="AI121" i="79" s="1"/>
  <c r="AH120" i="79"/>
  <c r="AH121" i="79" s="1"/>
  <c r="AF120" i="79"/>
  <c r="AK121" i="79" s="1"/>
  <c r="AK57" i="79" s="1"/>
  <c r="AE120" i="79"/>
  <c r="AE121" i="79" s="1"/>
  <c r="AD120" i="79"/>
  <c r="AC120" i="79"/>
  <c r="AA120" i="79"/>
  <c r="Z120" i="79"/>
  <c r="Z121" i="79" s="1"/>
  <c r="Y120" i="79"/>
  <c r="X120" i="79"/>
  <c r="V120" i="79"/>
  <c r="V121" i="79" s="1"/>
  <c r="U120" i="79"/>
  <c r="U121" i="79" s="1"/>
  <c r="U57" i="79" s="1"/>
  <c r="T120" i="79"/>
  <c r="S120" i="79"/>
  <c r="Q120" i="79"/>
  <c r="Q121" i="79" s="1"/>
  <c r="Q57" i="79" s="1"/>
  <c r="P120" i="79"/>
  <c r="O120" i="79"/>
  <c r="N120" i="79"/>
  <c r="N121" i="79" s="1"/>
  <c r="L120" i="79"/>
  <c r="L121" i="79" s="1"/>
  <c r="K120" i="79"/>
  <c r="J120" i="79"/>
  <c r="J121" i="79" s="1"/>
  <c r="I120" i="79"/>
  <c r="G120" i="79"/>
  <c r="F120" i="79"/>
  <c r="E120" i="79"/>
  <c r="BQ116" i="79"/>
  <c r="BL116" i="79"/>
  <c r="BG116" i="79"/>
  <c r="BB116" i="79"/>
  <c r="AR116" i="79"/>
  <c r="AR115" i="79"/>
  <c r="AM116" i="79"/>
  <c r="AH116" i="79"/>
  <c r="AC116" i="79"/>
  <c r="X116" i="79"/>
  <c r="S116" i="79"/>
  <c r="N116" i="79"/>
  <c r="U115" i="79"/>
  <c r="U117" i="79" s="1"/>
  <c r="O115" i="79"/>
  <c r="O117" i="79" s="1"/>
  <c r="AT110" i="79"/>
  <c r="AU109" i="79"/>
  <c r="AU110" i="79" s="1"/>
  <c r="AT109" i="79"/>
  <c r="AS109" i="79"/>
  <c r="AS110" i="79" s="1"/>
  <c r="AP109" i="79"/>
  <c r="AP110" i="79" s="1"/>
  <c r="AO109" i="79"/>
  <c r="AO110" i="79" s="1"/>
  <c r="AN109" i="79"/>
  <c r="AN110" i="79" s="1"/>
  <c r="AK110" i="79"/>
  <c r="AK109" i="79"/>
  <c r="AJ109" i="79"/>
  <c r="AJ110" i="79" s="1"/>
  <c r="AI109" i="79"/>
  <c r="AI110" i="79" s="1"/>
  <c r="AF110" i="79"/>
  <c r="AE110" i="79"/>
  <c r="AG109" i="79"/>
  <c r="AG110" i="79" s="1"/>
  <c r="AF109" i="79"/>
  <c r="AE109" i="79"/>
  <c r="AD109" i="79"/>
  <c r="AD110" i="79" s="1"/>
  <c r="Z110" i="79"/>
  <c r="AB109" i="79"/>
  <c r="AB110" i="79" s="1"/>
  <c r="AA109" i="79"/>
  <c r="AA110" i="79" s="1"/>
  <c r="Z109" i="79"/>
  <c r="Y109" i="79"/>
  <c r="Y110" i="79" s="1"/>
  <c r="W110" i="79"/>
  <c r="W109" i="79"/>
  <c r="V109" i="79"/>
  <c r="V110" i="79" s="1"/>
  <c r="U109" i="79"/>
  <c r="U110" i="79" s="1"/>
  <c r="T109" i="79"/>
  <c r="T110" i="79" s="1"/>
  <c r="AH107" i="79"/>
  <c r="AH106" i="79"/>
  <c r="AC107" i="79"/>
  <c r="AC106" i="79"/>
  <c r="X107" i="79"/>
  <c r="X106" i="79"/>
  <c r="AW107" i="79"/>
  <c r="AV107" i="79"/>
  <c r="AV106" i="79"/>
  <c r="AW106" i="79" s="1"/>
  <c r="AR107" i="79"/>
  <c r="AQ107" i="79"/>
  <c r="AQ106" i="79"/>
  <c r="AR106" i="79" s="1"/>
  <c r="AM107" i="79"/>
  <c r="AL107" i="79"/>
  <c r="AL106" i="79"/>
  <c r="AM106" i="79" s="1"/>
  <c r="AH103" i="79"/>
  <c r="AH102" i="79"/>
  <c r="AC103" i="79"/>
  <c r="AC102" i="79"/>
  <c r="X103" i="79"/>
  <c r="X102" i="79"/>
  <c r="S103" i="79"/>
  <c r="S102" i="79"/>
  <c r="AW103" i="79"/>
  <c r="AV103" i="79"/>
  <c r="AV102" i="79"/>
  <c r="AW102" i="79" s="1"/>
  <c r="AR103" i="79"/>
  <c r="AQ103" i="79"/>
  <c r="AQ102" i="79"/>
  <c r="AM103" i="79"/>
  <c r="AL103" i="79"/>
  <c r="AL102" i="79"/>
  <c r="N94" i="79"/>
  <c r="J94" i="79"/>
  <c r="AW93" i="79"/>
  <c r="AR93" i="79"/>
  <c r="AR94" i="79" s="1"/>
  <c r="U93" i="79"/>
  <c r="T93" i="79"/>
  <c r="Q93" i="79"/>
  <c r="P93" i="79"/>
  <c r="O93" i="79"/>
  <c r="N93" i="79"/>
  <c r="L93" i="79"/>
  <c r="K93" i="79"/>
  <c r="J93" i="79"/>
  <c r="I93" i="79"/>
  <c r="G93" i="79"/>
  <c r="F93" i="79"/>
  <c r="F94" i="79" s="1"/>
  <c r="E93" i="79"/>
  <c r="AW91" i="79"/>
  <c r="AU91" i="79"/>
  <c r="AT91" i="79"/>
  <c r="AS91" i="79"/>
  <c r="AR91" i="79"/>
  <c r="AP91" i="79"/>
  <c r="AO91" i="79"/>
  <c r="AN91" i="79"/>
  <c r="AM91" i="79"/>
  <c r="AK91" i="79"/>
  <c r="AJ91" i="79"/>
  <c r="AI91" i="79"/>
  <c r="AH91" i="79"/>
  <c r="AF91" i="79"/>
  <c r="AE91" i="79"/>
  <c r="AD91" i="79"/>
  <c r="AC91" i="79"/>
  <c r="AA91" i="79"/>
  <c r="Z91" i="79"/>
  <c r="Y91" i="79"/>
  <c r="X91" i="79"/>
  <c r="V91" i="79"/>
  <c r="U91" i="79"/>
  <c r="T91" i="79"/>
  <c r="S91" i="79"/>
  <c r="Q91" i="79"/>
  <c r="P91" i="79"/>
  <c r="O91" i="79"/>
  <c r="N91" i="79"/>
  <c r="L91" i="79"/>
  <c r="K91" i="79"/>
  <c r="J91" i="79"/>
  <c r="I91" i="79"/>
  <c r="G91" i="79"/>
  <c r="F91" i="79"/>
  <c r="E91" i="79"/>
  <c r="AV90" i="79"/>
  <c r="AV89" i="79"/>
  <c r="AV88" i="79"/>
  <c r="AV87" i="79"/>
  <c r="AV91" i="79" s="1"/>
  <c r="AQ90" i="79"/>
  <c r="AQ89" i="79"/>
  <c r="AQ88" i="79"/>
  <c r="AQ87" i="79"/>
  <c r="AL90" i="79"/>
  <c r="AL89" i="79"/>
  <c r="AL88" i="79"/>
  <c r="AL87" i="79"/>
  <c r="AG90" i="79"/>
  <c r="AG89" i="79"/>
  <c r="AG88" i="79"/>
  <c r="AG87" i="79"/>
  <c r="AG91" i="79" s="1"/>
  <c r="AB90" i="79"/>
  <c r="AB89" i="79"/>
  <c r="AB88" i="79"/>
  <c r="AB87" i="79"/>
  <c r="AB91" i="79" s="1"/>
  <c r="W90" i="79"/>
  <c r="W89" i="79"/>
  <c r="W88" i="79"/>
  <c r="W87" i="79"/>
  <c r="W91" i="79" s="1"/>
  <c r="R90" i="79"/>
  <c r="R89" i="79"/>
  <c r="R88" i="79"/>
  <c r="R87" i="79"/>
  <c r="R91" i="79" s="1"/>
  <c r="M90" i="79"/>
  <c r="M89" i="79"/>
  <c r="M88" i="79"/>
  <c r="M87" i="79"/>
  <c r="M91" i="79" s="1"/>
  <c r="H90" i="79"/>
  <c r="H89" i="79"/>
  <c r="H88" i="79"/>
  <c r="H87" i="79"/>
  <c r="H91" i="79" s="1"/>
  <c r="V84" i="79"/>
  <c r="U84" i="79"/>
  <c r="T84" i="79"/>
  <c r="AI83" i="79"/>
  <c r="AA83" i="79"/>
  <c r="S83" i="79"/>
  <c r="AR81" i="79"/>
  <c r="AN81" i="79"/>
  <c r="AM81" i="79"/>
  <c r="AI81" i="79"/>
  <c r="AA81" i="79"/>
  <c r="S81" i="79"/>
  <c r="AW80" i="79"/>
  <c r="AW81" i="79" s="1"/>
  <c r="AU80" i="79"/>
  <c r="AU83" i="79" s="1"/>
  <c r="AT80" i="79"/>
  <c r="AT81" i="79" s="1"/>
  <c r="AS80" i="79"/>
  <c r="AR80" i="79"/>
  <c r="AP80" i="79"/>
  <c r="AO80" i="79"/>
  <c r="AO81" i="79" s="1"/>
  <c r="AO50" i="79" s="1"/>
  <c r="AN80" i="79"/>
  <c r="AM80" i="79"/>
  <c r="AM83" i="79" s="1"/>
  <c r="AK80" i="79"/>
  <c r="AK81" i="79" s="1"/>
  <c r="AK50" i="79" s="1"/>
  <c r="AJ80" i="79"/>
  <c r="AJ81" i="79" s="1"/>
  <c r="AJ50" i="79" s="1"/>
  <c r="AI80" i="79"/>
  <c r="AH80" i="79"/>
  <c r="AF80" i="79"/>
  <c r="AF81" i="79" s="1"/>
  <c r="AF50" i="79" s="1"/>
  <c r="AE80" i="79"/>
  <c r="AE83" i="79" s="1"/>
  <c r="AD80" i="79"/>
  <c r="AC80" i="79"/>
  <c r="AC81" i="79" s="1"/>
  <c r="AC50" i="79" s="1"/>
  <c r="AA80" i="79"/>
  <c r="Z80" i="79"/>
  <c r="Y80" i="79"/>
  <c r="Y81" i="79" s="1"/>
  <c r="Y50" i="79" s="1"/>
  <c r="X80" i="79"/>
  <c r="X81" i="79" s="1"/>
  <c r="X50" i="79" s="1"/>
  <c r="V80" i="79"/>
  <c r="U80" i="79"/>
  <c r="U81" i="79" s="1"/>
  <c r="U50" i="79" s="1"/>
  <c r="T80" i="79"/>
  <c r="T81" i="79" s="1"/>
  <c r="T50" i="79" s="1"/>
  <c r="S80" i="79"/>
  <c r="Q80" i="79"/>
  <c r="P80" i="79"/>
  <c r="P81" i="79" s="1"/>
  <c r="P50" i="79" s="1"/>
  <c r="O80" i="79"/>
  <c r="O83" i="79" s="1"/>
  <c r="N80" i="79"/>
  <c r="L80" i="79"/>
  <c r="Q81" i="79" s="1"/>
  <c r="Q50" i="79" s="1"/>
  <c r="K80" i="79"/>
  <c r="K83" i="79" s="1"/>
  <c r="J80" i="79"/>
  <c r="I80" i="79"/>
  <c r="G80" i="79"/>
  <c r="G83" i="79" s="1"/>
  <c r="F80" i="79"/>
  <c r="E80" i="79"/>
  <c r="AV79" i="79"/>
  <c r="AV78" i="79"/>
  <c r="AV77" i="79"/>
  <c r="AV76" i="79"/>
  <c r="AV80" i="79" s="1"/>
  <c r="AQ79" i="79"/>
  <c r="AQ78" i="79"/>
  <c r="AQ77" i="79"/>
  <c r="AQ76" i="79"/>
  <c r="AQ80" i="79" s="1"/>
  <c r="AL79" i="79"/>
  <c r="AL78" i="79"/>
  <c r="AL77" i="79"/>
  <c r="AL76" i="79"/>
  <c r="AG79" i="79"/>
  <c r="AG78" i="79"/>
  <c r="AG80" i="79" s="1"/>
  <c r="AG77" i="79"/>
  <c r="AG76" i="79"/>
  <c r="AB79" i="79"/>
  <c r="AB78" i="79"/>
  <c r="AB80" i="79" s="1"/>
  <c r="AB77" i="79"/>
  <c r="AB76" i="79"/>
  <c r="W79" i="79"/>
  <c r="W78" i="79"/>
  <c r="W77" i="79"/>
  <c r="W76" i="79"/>
  <c r="W80" i="79" s="1"/>
  <c r="R79" i="79"/>
  <c r="R78" i="79"/>
  <c r="R77" i="79"/>
  <c r="R76" i="79"/>
  <c r="M79" i="79"/>
  <c r="M78" i="79"/>
  <c r="M77" i="79"/>
  <c r="M76" i="79"/>
  <c r="M80" i="79" s="1"/>
  <c r="M81" i="79" s="1"/>
  <c r="M50" i="79" s="1"/>
  <c r="H79" i="79"/>
  <c r="H78" i="79"/>
  <c r="H80" i="79" s="1"/>
  <c r="H77" i="79"/>
  <c r="H76" i="79"/>
  <c r="AW73" i="79"/>
  <c r="AU73" i="79"/>
  <c r="AT73" i="79"/>
  <c r="AT83" i="79" s="1"/>
  <c r="AS73" i="79"/>
  <c r="AR73" i="79"/>
  <c r="AP73" i="79"/>
  <c r="AO73" i="79"/>
  <c r="AN73" i="79"/>
  <c r="AM73" i="79"/>
  <c r="AK73" i="79"/>
  <c r="AJ73" i="79"/>
  <c r="AI73" i="79"/>
  <c r="AH73" i="79"/>
  <c r="AH97" i="79" s="1"/>
  <c r="AF73" i="79"/>
  <c r="AE73" i="79"/>
  <c r="AD73" i="79"/>
  <c r="AC73" i="79"/>
  <c r="AA73" i="79"/>
  <c r="Z73" i="79"/>
  <c r="Y73" i="79"/>
  <c r="X73" i="79"/>
  <c r="V73" i="79"/>
  <c r="U73" i="79"/>
  <c r="T73" i="79"/>
  <c r="S73" i="79"/>
  <c r="Q73" i="79"/>
  <c r="P73" i="79"/>
  <c r="O73" i="79"/>
  <c r="O97" i="79" s="1"/>
  <c r="N73" i="79"/>
  <c r="N97" i="79" s="1"/>
  <c r="L73" i="79"/>
  <c r="K73" i="79"/>
  <c r="J73" i="79"/>
  <c r="J97" i="79" s="1"/>
  <c r="I73" i="79"/>
  <c r="G73" i="79"/>
  <c r="F73" i="79"/>
  <c r="F97" i="79" s="1"/>
  <c r="E73" i="79"/>
  <c r="AV72" i="79"/>
  <c r="AV71" i="79"/>
  <c r="AV70" i="79"/>
  <c r="AV69" i="79"/>
  <c r="AV73" i="79" s="1"/>
  <c r="AV68" i="79"/>
  <c r="AQ72" i="79"/>
  <c r="AQ71" i="79"/>
  <c r="AQ70" i="79"/>
  <c r="AQ69" i="79"/>
  <c r="AQ68" i="79"/>
  <c r="AL72" i="79"/>
  <c r="AL71" i="79"/>
  <c r="AL70" i="79"/>
  <c r="AL69" i="79"/>
  <c r="AL68" i="79"/>
  <c r="AL73" i="79" s="1"/>
  <c r="AG72" i="79"/>
  <c r="AG71" i="79"/>
  <c r="AG70" i="79"/>
  <c r="AG69" i="79"/>
  <c r="AG68" i="79"/>
  <c r="AG73" i="79" s="1"/>
  <c r="AB72" i="79"/>
  <c r="AB71" i="79"/>
  <c r="AB70" i="79"/>
  <c r="AB69" i="79"/>
  <c r="AB73" i="79" s="1"/>
  <c r="AB68" i="79"/>
  <c r="W72" i="79"/>
  <c r="W71" i="79"/>
  <c r="W70" i="79"/>
  <c r="W69" i="79"/>
  <c r="W68" i="79"/>
  <c r="R72" i="79"/>
  <c r="R71" i="79"/>
  <c r="R70" i="79"/>
  <c r="R69" i="79"/>
  <c r="R68" i="79"/>
  <c r="R73" i="79" s="1"/>
  <c r="M72" i="79"/>
  <c r="M71" i="79"/>
  <c r="M70" i="79"/>
  <c r="M69" i="79"/>
  <c r="M68" i="79"/>
  <c r="M73" i="79" s="1"/>
  <c r="H72" i="79"/>
  <c r="H71" i="79"/>
  <c r="H70" i="79"/>
  <c r="H69" i="79"/>
  <c r="H68" i="79"/>
  <c r="H73" i="79" s="1"/>
  <c r="BP64" i="79"/>
  <c r="BO64" i="79"/>
  <c r="BN64" i="79"/>
  <c r="BM64" i="79"/>
  <c r="BK64" i="79"/>
  <c r="BJ64" i="79"/>
  <c r="BI64" i="79"/>
  <c r="BH64" i="79"/>
  <c r="BF64" i="79"/>
  <c r="BE64" i="79"/>
  <c r="BD64" i="79"/>
  <c r="BC64" i="79"/>
  <c r="BA64" i="79"/>
  <c r="AZ64" i="79"/>
  <c r="AY64" i="79"/>
  <c r="AX64" i="79"/>
  <c r="AR62" i="79"/>
  <c r="AM62" i="79"/>
  <c r="AH62" i="79"/>
  <c r="AC62" i="79"/>
  <c r="X62" i="79"/>
  <c r="S62" i="79"/>
  <c r="N62" i="79"/>
  <c r="I62" i="79"/>
  <c r="BQ62" i="79"/>
  <c r="BL62" i="79"/>
  <c r="BG62" i="79"/>
  <c r="BB62" i="79"/>
  <c r="BP62" i="79"/>
  <c r="BO62" i="79"/>
  <c r="BN62" i="79"/>
  <c r="BM62" i="79"/>
  <c r="BK62" i="79"/>
  <c r="BJ62" i="79"/>
  <c r="BI62" i="79"/>
  <c r="BH62" i="79"/>
  <c r="BF62" i="79"/>
  <c r="BE62" i="79"/>
  <c r="BD62" i="79"/>
  <c r="BC62" i="79"/>
  <c r="BA62" i="79"/>
  <c r="AZ62" i="79"/>
  <c r="AY62" i="79"/>
  <c r="AX62" i="79"/>
  <c r="AU62" i="79"/>
  <c r="AT62" i="79"/>
  <c r="AS62" i="79"/>
  <c r="AQ62" i="79"/>
  <c r="AP62" i="79"/>
  <c r="AO62" i="79"/>
  <c r="AN62" i="79"/>
  <c r="AL62" i="79"/>
  <c r="AK62" i="79"/>
  <c r="AJ62" i="79"/>
  <c r="AI62" i="79"/>
  <c r="AG62" i="79"/>
  <c r="AF62" i="79"/>
  <c r="AE62" i="79"/>
  <c r="AD62" i="79"/>
  <c r="AB62" i="79"/>
  <c r="AA62" i="79"/>
  <c r="Z62" i="79"/>
  <c r="Y62" i="79"/>
  <c r="W62" i="79"/>
  <c r="V62" i="79"/>
  <c r="U62" i="79"/>
  <c r="T62" i="79"/>
  <c r="R62" i="79"/>
  <c r="Q62" i="79"/>
  <c r="P62" i="79"/>
  <c r="O62" i="79"/>
  <c r="M62" i="79"/>
  <c r="L62" i="79"/>
  <c r="K62" i="79"/>
  <c r="J62" i="79"/>
  <c r="BA59" i="79"/>
  <c r="AZ59" i="79" s="1"/>
  <c r="AY59" i="79" s="1"/>
  <c r="BG57" i="79"/>
  <c r="BL57" i="79" s="1"/>
  <c r="BQ56" i="79"/>
  <c r="BP56" i="79" s="1"/>
  <c r="BP118" i="79" s="1"/>
  <c r="BK56" i="79"/>
  <c r="BK118" i="79" s="1"/>
  <c r="BJ56" i="79"/>
  <c r="BJ118" i="79" s="1"/>
  <c r="BF56" i="79"/>
  <c r="BF118" i="79" s="1"/>
  <c r="BE56" i="79"/>
  <c r="BE118" i="79" s="1"/>
  <c r="BA57" i="79"/>
  <c r="BA121" i="79" s="1"/>
  <c r="AZ57" i="79"/>
  <c r="AZ121" i="79" s="1"/>
  <c r="AZ120" i="79" s="1"/>
  <c r="AT57" i="79"/>
  <c r="AS57" i="79"/>
  <c r="AR57" i="79"/>
  <c r="AP57" i="79"/>
  <c r="AO57" i="79"/>
  <c r="AN57" i="79"/>
  <c r="AM57" i="79"/>
  <c r="AJ57" i="79"/>
  <c r="AI57" i="79"/>
  <c r="AH57" i="79"/>
  <c r="AE57" i="79"/>
  <c r="AD57" i="79"/>
  <c r="AC57" i="79"/>
  <c r="Z57" i="79"/>
  <c r="Y57" i="79"/>
  <c r="X57" i="79"/>
  <c r="V57" i="79"/>
  <c r="T57" i="79"/>
  <c r="P57" i="79"/>
  <c r="N57" i="79"/>
  <c r="L57" i="79"/>
  <c r="J57" i="79"/>
  <c r="BA56" i="79"/>
  <c r="BA118" i="79" s="1"/>
  <c r="BP54" i="79"/>
  <c r="BO54" i="79"/>
  <c r="BN54" i="79"/>
  <c r="BM54" i="79"/>
  <c r="BK54" i="79"/>
  <c r="BJ54" i="79"/>
  <c r="BI54" i="79"/>
  <c r="BH54" i="79"/>
  <c r="BF54" i="79"/>
  <c r="BE54" i="79"/>
  <c r="BD54" i="79"/>
  <c r="BC54" i="79"/>
  <c r="BA54" i="79"/>
  <c r="AZ54" i="79"/>
  <c r="AY54" i="79"/>
  <c r="AX54" i="79"/>
  <c r="BQ53" i="79"/>
  <c r="BN53" i="79" s="1"/>
  <c r="BP53" i="79"/>
  <c r="BL53" i="79"/>
  <c r="BJ53" i="79" s="1"/>
  <c r="BH53" i="79"/>
  <c r="BG53" i="79"/>
  <c r="BF53" i="79" s="1"/>
  <c r="BD53" i="79"/>
  <c r="BC53" i="79"/>
  <c r="BB53" i="79"/>
  <c r="BA53" i="79"/>
  <c r="AY53" i="79"/>
  <c r="AX53" i="79"/>
  <c r="BQ52" i="79"/>
  <c r="BN52" i="79" s="1"/>
  <c r="BN84" i="79" s="1"/>
  <c r="BL52" i="79"/>
  <c r="BJ52" i="79" s="1"/>
  <c r="BG52" i="79"/>
  <c r="BF52" i="79" s="1"/>
  <c r="BD52" i="79"/>
  <c r="BD84" i="79" s="1"/>
  <c r="BC52" i="79"/>
  <c r="BC84" i="79" s="1"/>
  <c r="BB52" i="79"/>
  <c r="BA52" i="79"/>
  <c r="AZ52" i="79"/>
  <c r="AY52" i="79"/>
  <c r="AX52" i="79"/>
  <c r="BQ50" i="79"/>
  <c r="BN50" i="79" s="1"/>
  <c r="BP50" i="79"/>
  <c r="BO50" i="79"/>
  <c r="BM50" i="79"/>
  <c r="BK50" i="79"/>
  <c r="BJ50" i="79"/>
  <c r="BI50" i="79"/>
  <c r="BH50" i="79"/>
  <c r="BF50" i="79"/>
  <c r="BE50" i="79"/>
  <c r="BD50" i="79"/>
  <c r="BC50" i="79"/>
  <c r="AZ50" i="79"/>
  <c r="AY50" i="79"/>
  <c r="AY80" i="79" s="1"/>
  <c r="AX50" i="79"/>
  <c r="AT50" i="79"/>
  <c r="AR50" i="79"/>
  <c r="AN50" i="79"/>
  <c r="AM50" i="79"/>
  <c r="AI50" i="79"/>
  <c r="AA50" i="79"/>
  <c r="S50" i="79"/>
  <c r="AW40" i="79"/>
  <c r="AV40" i="79"/>
  <c r="AU40" i="79"/>
  <c r="AT40" i="79"/>
  <c r="AS40" i="79"/>
  <c r="AR40" i="79"/>
  <c r="AQ40" i="79"/>
  <c r="AP40" i="79"/>
  <c r="AO40" i="79"/>
  <c r="AN40" i="79"/>
  <c r="AM40" i="79"/>
  <c r="AL40" i="79"/>
  <c r="AK40" i="79"/>
  <c r="AJ40" i="79"/>
  <c r="AI40" i="79"/>
  <c r="AH40" i="79"/>
  <c r="AG40" i="79"/>
  <c r="AF40" i="79"/>
  <c r="AE40" i="79"/>
  <c r="AD40" i="79"/>
  <c r="AC40" i="79"/>
  <c r="AB40" i="79"/>
  <c r="AA40" i="79"/>
  <c r="Z40" i="79"/>
  <c r="Y40" i="79"/>
  <c r="X40" i="79"/>
  <c r="W40" i="79"/>
  <c r="V40" i="79"/>
  <c r="U40" i="79"/>
  <c r="T40" i="79"/>
  <c r="S40" i="79"/>
  <c r="R40" i="79"/>
  <c r="Q40" i="79"/>
  <c r="P40" i="79"/>
  <c r="O40" i="79"/>
  <c r="N40" i="79"/>
  <c r="M40" i="79"/>
  <c r="L40" i="79"/>
  <c r="K40" i="79"/>
  <c r="J40" i="79"/>
  <c r="I40" i="79"/>
  <c r="H40" i="79"/>
  <c r="G40" i="79"/>
  <c r="F40" i="79"/>
  <c r="E40" i="79"/>
  <c r="BQ39" i="79"/>
  <c r="BP39" i="79"/>
  <c r="BO39" i="79"/>
  <c r="BN39" i="79"/>
  <c r="BM39" i="79"/>
  <c r="BL39" i="79"/>
  <c r="BK39" i="79"/>
  <c r="BJ39" i="79"/>
  <c r="BI39" i="79"/>
  <c r="BH39" i="79"/>
  <c r="BG39" i="79"/>
  <c r="BF39" i="79"/>
  <c r="BE39" i="79"/>
  <c r="BD39" i="79"/>
  <c r="BC39" i="79"/>
  <c r="BB39" i="79"/>
  <c r="BA39" i="79"/>
  <c r="AZ39" i="79"/>
  <c r="AY39" i="79"/>
  <c r="AX39" i="79"/>
  <c r="AW39" i="79"/>
  <c r="AV39" i="79"/>
  <c r="AU39" i="79"/>
  <c r="AT39" i="79"/>
  <c r="AS39" i="79"/>
  <c r="AR39" i="79"/>
  <c r="AQ39" i="79"/>
  <c r="AP39" i="79"/>
  <c r="AO39" i="79"/>
  <c r="AN39" i="79"/>
  <c r="AM39" i="79"/>
  <c r="AL39" i="79"/>
  <c r="AK39" i="79"/>
  <c r="AJ39" i="79"/>
  <c r="AI39" i="79"/>
  <c r="AH39" i="79"/>
  <c r="AG39" i="79"/>
  <c r="AF39" i="79"/>
  <c r="AE39" i="79"/>
  <c r="AD39" i="79"/>
  <c r="AC39" i="79"/>
  <c r="AB39" i="79"/>
  <c r="AA39" i="79"/>
  <c r="Z39" i="79"/>
  <c r="Y39" i="79"/>
  <c r="X39" i="79"/>
  <c r="W39" i="79"/>
  <c r="V39" i="79"/>
  <c r="U39" i="79"/>
  <c r="T39" i="79"/>
  <c r="S39" i="79"/>
  <c r="R39" i="79"/>
  <c r="Q39" i="79"/>
  <c r="P39" i="79"/>
  <c r="O39" i="79"/>
  <c r="N39" i="79"/>
  <c r="M39" i="79"/>
  <c r="L39" i="79"/>
  <c r="K39" i="79"/>
  <c r="J39" i="79"/>
  <c r="I39" i="79"/>
  <c r="H39" i="79"/>
  <c r="G39" i="79"/>
  <c r="F39" i="79"/>
  <c r="E39" i="79"/>
  <c r="BQ36" i="79"/>
  <c r="BL36" i="79"/>
  <c r="BG36" i="79"/>
  <c r="BB36" i="79"/>
  <c r="AW36" i="79"/>
  <c r="AV36" i="79"/>
  <c r="AR36" i="79"/>
  <c r="AQ36" i="79" s="1"/>
  <c r="AL36" i="79"/>
  <c r="AG36" i="79"/>
  <c r="AC36" i="79"/>
  <c r="AB36" i="79"/>
  <c r="W36" i="79"/>
  <c r="S36" i="79"/>
  <c r="R36" i="79"/>
  <c r="N36" i="79"/>
  <c r="M36" i="79" s="1"/>
  <c r="K36" i="79"/>
  <c r="J36" i="79"/>
  <c r="I36" i="79"/>
  <c r="H36" i="79" s="1"/>
  <c r="F36" i="79"/>
  <c r="BQ33" i="79"/>
  <c r="BL33" i="79"/>
  <c r="BG33" i="79"/>
  <c r="BB33" i="79"/>
  <c r="AV33" i="79"/>
  <c r="AQ33" i="79"/>
  <c r="AL33" i="79"/>
  <c r="AG33" i="79"/>
  <c r="AB33" i="79"/>
  <c r="W33" i="79"/>
  <c r="R33" i="79"/>
  <c r="M33" i="79"/>
  <c r="H33" i="79"/>
  <c r="AV30" i="79"/>
  <c r="AQ30" i="79"/>
  <c r="AL30" i="79"/>
  <c r="AG30" i="79"/>
  <c r="AB30" i="79"/>
  <c r="W30" i="79"/>
  <c r="R30" i="79"/>
  <c r="M30" i="79"/>
  <c r="H30" i="79"/>
  <c r="AU26" i="79"/>
  <c r="AT26" i="79"/>
  <c r="AS26" i="79"/>
  <c r="AP26" i="79"/>
  <c r="AO26" i="79"/>
  <c r="AN26" i="79"/>
  <c r="AM26" i="79"/>
  <c r="AM211" i="79" s="1"/>
  <c r="AK26" i="79"/>
  <c r="AJ26" i="79"/>
  <c r="AL26" i="79" s="1"/>
  <c r="AI26" i="79"/>
  <c r="AH26" i="79"/>
  <c r="AH211" i="79" s="1"/>
  <c r="AF26" i="79"/>
  <c r="AG26" i="79" s="1"/>
  <c r="AD26" i="79"/>
  <c r="AC26" i="79"/>
  <c r="AC211" i="79" s="1"/>
  <c r="AA26" i="79"/>
  <c r="AB26" i="79" s="1"/>
  <c r="Z26" i="79"/>
  <c r="Y26" i="79"/>
  <c r="X26" i="79"/>
  <c r="X211" i="79" s="1"/>
  <c r="W26" i="79"/>
  <c r="V26" i="79"/>
  <c r="R26" i="79"/>
  <c r="M26" i="79"/>
  <c r="H26" i="79"/>
  <c r="AW21" i="79"/>
  <c r="AR21" i="79"/>
  <c r="AN21" i="79"/>
  <c r="AJ21" i="79"/>
  <c r="AF21" i="79"/>
  <c r="AE21" i="79"/>
  <c r="Y21" i="79"/>
  <c r="U21" i="79"/>
  <c r="T21" i="79"/>
  <c r="L21" i="79"/>
  <c r="E21" i="79"/>
  <c r="AW20" i="79"/>
  <c r="AU20" i="79"/>
  <c r="AU21" i="79" s="1"/>
  <c r="AT20" i="79"/>
  <c r="AS20" i="79"/>
  <c r="AS21" i="79" s="1"/>
  <c r="AR20" i="79"/>
  <c r="AP20" i="79"/>
  <c r="AP21" i="79" s="1"/>
  <c r="AO20" i="79"/>
  <c r="AQ20" i="79" s="1"/>
  <c r="AN20" i="79"/>
  <c r="AM20" i="79"/>
  <c r="AM21" i="79" s="1"/>
  <c r="AK20" i="79"/>
  <c r="AK21" i="79" s="1"/>
  <c r="AJ20" i="79"/>
  <c r="AI20" i="79"/>
  <c r="AI21" i="79" s="1"/>
  <c r="AH20" i="79"/>
  <c r="AH21" i="79" s="1"/>
  <c r="AG20" i="79"/>
  <c r="AF20" i="79"/>
  <c r="AD20" i="79"/>
  <c r="AD21" i="79" s="1"/>
  <c r="AC20" i="79"/>
  <c r="AC21" i="79" s="1"/>
  <c r="AB20" i="79"/>
  <c r="AA20" i="79"/>
  <c r="AA21" i="79" s="1"/>
  <c r="Z20" i="79"/>
  <c r="Z21" i="79" s="1"/>
  <c r="Y20" i="79"/>
  <c r="X20" i="79"/>
  <c r="W20" i="79" s="1"/>
  <c r="V20" i="79"/>
  <c r="V21" i="79" s="1"/>
  <c r="U20" i="79"/>
  <c r="T20" i="79"/>
  <c r="S20" i="79"/>
  <c r="S21" i="79" s="1"/>
  <c r="Q20" i="79"/>
  <c r="Q21" i="79" s="1"/>
  <c r="P20" i="79"/>
  <c r="O20" i="79"/>
  <c r="O21" i="79" s="1"/>
  <c r="N20" i="79"/>
  <c r="N21" i="79" s="1"/>
  <c r="L20" i="79"/>
  <c r="J20" i="79"/>
  <c r="J21" i="79" s="1"/>
  <c r="I20" i="79"/>
  <c r="I21" i="79" s="1"/>
  <c r="E20" i="79"/>
  <c r="AV19" i="79"/>
  <c r="AQ19" i="79"/>
  <c r="AQ145" i="79" s="1"/>
  <c r="AL19" i="79"/>
  <c r="AL145" i="79" s="1"/>
  <c r="AG19" i="79"/>
  <c r="AG145" i="79" s="1"/>
  <c r="AB19" i="79"/>
  <c r="AB145" i="79" s="1"/>
  <c r="AB146" i="79" s="1"/>
  <c r="W19" i="79"/>
  <c r="W145" i="79" s="1"/>
  <c r="W146" i="79" s="1"/>
  <c r="R19" i="79"/>
  <c r="R145" i="79" s="1"/>
  <c r="R146" i="79" s="1"/>
  <c r="M19" i="79"/>
  <c r="M145" i="79" s="1"/>
  <c r="M146" i="79" s="1"/>
  <c r="K19" i="79"/>
  <c r="J19" i="79"/>
  <c r="J145" i="79" s="1"/>
  <c r="F19" i="79"/>
  <c r="E19" i="79"/>
  <c r="E145" i="79" s="1"/>
  <c r="P17" i="79"/>
  <c r="O17" i="79"/>
  <c r="O23" i="79" s="1"/>
  <c r="AW15" i="79"/>
  <c r="AW17" i="79" s="1"/>
  <c r="AS15" i="79"/>
  <c r="AS17" i="79" s="1"/>
  <c r="AR15" i="79"/>
  <c r="AR17" i="79" s="1"/>
  <c r="AP15" i="79"/>
  <c r="AP17" i="79" s="1"/>
  <c r="AP23" i="79" s="1"/>
  <c r="AP28" i="79" s="1"/>
  <c r="AH15" i="79"/>
  <c r="AH17" i="79" s="1"/>
  <c r="AH23" i="79" s="1"/>
  <c r="AH209" i="79" s="1"/>
  <c r="AH222" i="79" s="1"/>
  <c r="U15" i="79"/>
  <c r="U17" i="79" s="1"/>
  <c r="U23" i="79" s="1"/>
  <c r="Q15" i="79"/>
  <c r="Q17" i="79" s="1"/>
  <c r="P15" i="79"/>
  <c r="O15" i="79"/>
  <c r="J15" i="79"/>
  <c r="J17" i="79" s="1"/>
  <c r="J23" i="79" s="1"/>
  <c r="F15" i="79"/>
  <c r="F17" i="79" s="1"/>
  <c r="E15" i="79"/>
  <c r="E17" i="79" s="1"/>
  <c r="E23" i="79" s="1"/>
  <c r="AV14" i="79"/>
  <c r="AV13" i="79"/>
  <c r="AQ14" i="79"/>
  <c r="AQ120" i="79" s="1"/>
  <c r="AQ121" i="79" s="1"/>
  <c r="AQ57" i="79" s="1"/>
  <c r="AQ13" i="79"/>
  <c r="AL14" i="79"/>
  <c r="AL120" i="79" s="1"/>
  <c r="AL121" i="79" s="1"/>
  <c r="AL57" i="79" s="1"/>
  <c r="AL13" i="79"/>
  <c r="AG14" i="79"/>
  <c r="AG120" i="79" s="1"/>
  <c r="AG13" i="79"/>
  <c r="AB14" i="79"/>
  <c r="AB120" i="79" s="1"/>
  <c r="AB121" i="79" s="1"/>
  <c r="AB57" i="79" s="1"/>
  <c r="AB13" i="79"/>
  <c r="W14" i="79"/>
  <c r="W120" i="79" s="1"/>
  <c r="W13" i="79"/>
  <c r="R14" i="79"/>
  <c r="R120" i="79" s="1"/>
  <c r="R121" i="79" s="1"/>
  <c r="R57" i="79" s="1"/>
  <c r="R13" i="79"/>
  <c r="M14" i="79"/>
  <c r="M120" i="79" s="1"/>
  <c r="M13" i="79"/>
  <c r="H14" i="79"/>
  <c r="H120" i="79" s="1"/>
  <c r="H13" i="79"/>
  <c r="AZ14" i="79"/>
  <c r="AU12" i="79"/>
  <c r="AT12" i="79"/>
  <c r="AT115" i="79" s="1"/>
  <c r="AT117" i="79" s="1"/>
  <c r="AS12" i="79"/>
  <c r="AS115" i="79" s="1"/>
  <c r="AS117" i="79" s="1"/>
  <c r="AP12" i="79"/>
  <c r="AP115" i="79" s="1"/>
  <c r="AP117" i="79" s="1"/>
  <c r="AO12" i="79"/>
  <c r="AO115" i="79" s="1"/>
  <c r="AO117" i="79" s="1"/>
  <c r="AN12" i="79"/>
  <c r="AN15" i="79" s="1"/>
  <c r="AN17" i="79" s="1"/>
  <c r="AM12" i="79"/>
  <c r="AM115" i="79" s="1"/>
  <c r="AK12" i="79"/>
  <c r="AK115" i="79" s="1"/>
  <c r="AK117" i="79" s="1"/>
  <c r="AJ12" i="79"/>
  <c r="AJ115" i="79" s="1"/>
  <c r="AJ117" i="79" s="1"/>
  <c r="AI12" i="79"/>
  <c r="AH12" i="79"/>
  <c r="AH115" i="79" s="1"/>
  <c r="AF12" i="79"/>
  <c r="AF115" i="79" s="1"/>
  <c r="AF117" i="79" s="1"/>
  <c r="AE12" i="79"/>
  <c r="AD12" i="79"/>
  <c r="AD115" i="79" s="1"/>
  <c r="AD117" i="79" s="1"/>
  <c r="AC12" i="79"/>
  <c r="AC115" i="79" s="1"/>
  <c r="AA12" i="79"/>
  <c r="Z12" i="79"/>
  <c r="Z115" i="79" s="1"/>
  <c r="Z117" i="79" s="1"/>
  <c r="Z118" i="79" s="1"/>
  <c r="Z56" i="79" s="1"/>
  <c r="Y12" i="79"/>
  <c r="Y115" i="79" s="1"/>
  <c r="Y117" i="79" s="1"/>
  <c r="X12" i="79"/>
  <c r="X115" i="79" s="1"/>
  <c r="V12" i="79"/>
  <c r="V115" i="79" s="1"/>
  <c r="V117" i="79" s="1"/>
  <c r="V118" i="79" s="1"/>
  <c r="V56" i="79" s="1"/>
  <c r="T12" i="79"/>
  <c r="T115" i="79" s="1"/>
  <c r="T117" i="79" s="1"/>
  <c r="S12" i="79"/>
  <c r="Q12" i="79"/>
  <c r="Q115" i="79" s="1"/>
  <c r="Q117" i="79" s="1"/>
  <c r="P12" i="79"/>
  <c r="P115" i="79" s="1"/>
  <c r="P117" i="79" s="1"/>
  <c r="N12" i="79"/>
  <c r="N115" i="79" s="1"/>
  <c r="L12" i="79"/>
  <c r="L115" i="79" s="1"/>
  <c r="L117" i="79" s="1"/>
  <c r="K12" i="79"/>
  <c r="K115" i="79" s="1"/>
  <c r="K117" i="79" s="1"/>
  <c r="J12" i="79"/>
  <c r="J115" i="79" s="1"/>
  <c r="J117" i="79" s="1"/>
  <c r="I12" i="79"/>
  <c r="I115" i="79" s="1"/>
  <c r="G12" i="79"/>
  <c r="F12" i="79"/>
  <c r="F115" i="79" s="1"/>
  <c r="F117" i="79" s="1"/>
  <c r="E12" i="79"/>
  <c r="E115" i="79" s="1"/>
  <c r="E117" i="79" s="1"/>
  <c r="AW10" i="79"/>
  <c r="AT10" i="79"/>
  <c r="AS10" i="79"/>
  <c r="AR10" i="79"/>
  <c r="AP10" i="79"/>
  <c r="AO10" i="79"/>
  <c r="AN10" i="79"/>
  <c r="AJ10" i="79"/>
  <c r="AH10" i="79"/>
  <c r="AD10" i="79"/>
  <c r="Z10" i="79"/>
  <c r="V10" i="79"/>
  <c r="U10" i="79"/>
  <c r="T10" i="79"/>
  <c r="Q10" i="79"/>
  <c r="P10" i="79"/>
  <c r="O10" i="79"/>
  <c r="N10" i="79"/>
  <c r="L10" i="79"/>
  <c r="K10" i="79"/>
  <c r="J10" i="79"/>
  <c r="I10" i="79"/>
  <c r="H10" i="79"/>
  <c r="G10" i="79"/>
  <c r="F10" i="79"/>
  <c r="E10" i="79"/>
  <c r="AU9" i="79"/>
  <c r="AU10" i="79" s="1"/>
  <c r="AT9" i="79"/>
  <c r="AT93" i="79" s="1"/>
  <c r="AT94" i="79" s="1"/>
  <c r="AY94" i="79" s="1"/>
  <c r="AS9" i="79"/>
  <c r="AS93" i="79" s="1"/>
  <c r="AS94" i="79" s="1"/>
  <c r="AX94" i="79" s="1"/>
  <c r="AP9" i="79"/>
  <c r="AP93" i="79" s="1"/>
  <c r="AP94" i="79" s="1"/>
  <c r="AO9" i="79"/>
  <c r="AO93" i="79" s="1"/>
  <c r="AO94" i="79" s="1"/>
  <c r="AN9" i="79"/>
  <c r="AN93" i="79" s="1"/>
  <c r="AN94" i="79" s="1"/>
  <c r="AM9" i="79"/>
  <c r="AK9" i="79"/>
  <c r="AK93" i="79" s="1"/>
  <c r="AK94" i="79" s="1"/>
  <c r="AJ9" i="79"/>
  <c r="AJ93" i="79" s="1"/>
  <c r="AJ94" i="79" s="1"/>
  <c r="AI9" i="79"/>
  <c r="AH9" i="79"/>
  <c r="AH93" i="79" s="1"/>
  <c r="AH94" i="79" s="1"/>
  <c r="AG9" i="79"/>
  <c r="AG93" i="79" s="1"/>
  <c r="AG94" i="79" s="1"/>
  <c r="AF9" i="79"/>
  <c r="AF93" i="79" s="1"/>
  <c r="AF94" i="79" s="1"/>
  <c r="AE9" i="79"/>
  <c r="AD9" i="79"/>
  <c r="AD93" i="79" s="1"/>
  <c r="AD94" i="79" s="1"/>
  <c r="AC9" i="79"/>
  <c r="AC93" i="79" s="1"/>
  <c r="AC94" i="79" s="1"/>
  <c r="AA9" i="79"/>
  <c r="Z9" i="79"/>
  <c r="Z93" i="79" s="1"/>
  <c r="Z94" i="79" s="1"/>
  <c r="Y9" i="79"/>
  <c r="Y93" i="79" s="1"/>
  <c r="Y94" i="79" s="1"/>
  <c r="X9" i="79"/>
  <c r="X93" i="79" s="1"/>
  <c r="X94" i="79" s="1"/>
  <c r="V9" i="79"/>
  <c r="V93" i="79" s="1"/>
  <c r="V94" i="79" s="1"/>
  <c r="M9" i="79"/>
  <c r="M93" i="79" s="1"/>
  <c r="M94" i="79" s="1"/>
  <c r="M8" i="79"/>
  <c r="H9" i="79"/>
  <c r="H93" i="79" s="1"/>
  <c r="H94" i="79" s="1"/>
  <c r="H8" i="79"/>
  <c r="AV8" i="79"/>
  <c r="AQ8" i="79"/>
  <c r="AL8" i="79"/>
  <c r="AG8" i="79"/>
  <c r="AB8" i="79"/>
  <c r="X8" i="79"/>
  <c r="W8" i="79"/>
  <c r="S9" i="79"/>
  <c r="S93" i="79" s="1"/>
  <c r="S94" i="79" s="1"/>
  <c r="R9" i="79"/>
  <c r="R93" i="79" s="1"/>
  <c r="S8" i="79"/>
  <c r="S10" i="79" s="1"/>
  <c r="R8" i="79"/>
  <c r="R10" i="79" s="1"/>
  <c r="B2" i="79"/>
  <c r="AW867" i="80"/>
  <c r="AR867" i="80"/>
  <c r="AM867" i="80"/>
  <c r="X867" i="80"/>
  <c r="S867" i="80"/>
  <c r="N867" i="80"/>
  <c r="I867" i="80"/>
  <c r="AV856" i="80"/>
  <c r="AQ856" i="80"/>
  <c r="AL856" i="80"/>
  <c r="AG856" i="80"/>
  <c r="AB856" i="80"/>
  <c r="W856" i="80"/>
  <c r="R856" i="80"/>
  <c r="M856" i="80"/>
  <c r="H856" i="80"/>
  <c r="AY853" i="80"/>
  <c r="AX853" i="80"/>
  <c r="AV853" i="80"/>
  <c r="AQ853" i="80"/>
  <c r="AL853" i="80"/>
  <c r="AG853" i="80"/>
  <c r="AE853" i="80"/>
  <c r="AB853" i="80"/>
  <c r="W853" i="80"/>
  <c r="R853" i="80"/>
  <c r="M853" i="80"/>
  <c r="H853" i="80"/>
  <c r="AT850" i="80"/>
  <c r="AP850" i="80"/>
  <c r="AH850" i="80"/>
  <c r="AG850" i="80" s="1"/>
  <c r="AD850" i="80"/>
  <c r="AC850" i="80"/>
  <c r="Z850" i="80"/>
  <c r="Y850" i="80"/>
  <c r="V850" i="80"/>
  <c r="U850" i="80"/>
  <c r="Q850" i="80"/>
  <c r="N850" i="80"/>
  <c r="M850" i="80" s="1"/>
  <c r="J850" i="80"/>
  <c r="I850" i="80"/>
  <c r="F850" i="80"/>
  <c r="E850" i="80"/>
  <c r="AW849" i="80"/>
  <c r="AV849" i="80"/>
  <c r="AU849" i="80"/>
  <c r="AT849" i="80"/>
  <c r="AS849" i="80"/>
  <c r="AR849" i="80"/>
  <c r="AQ849" i="80"/>
  <c r="AP849" i="80"/>
  <c r="AO849" i="80"/>
  <c r="AN849" i="80"/>
  <c r="AM849" i="80"/>
  <c r="AK849" i="80"/>
  <c r="AJ849" i="80"/>
  <c r="AI849" i="80"/>
  <c r="AH849" i="80"/>
  <c r="AF849" i="80"/>
  <c r="AE849" i="80"/>
  <c r="AD849" i="80"/>
  <c r="AC849" i="80"/>
  <c r="AB849" i="80"/>
  <c r="AA849" i="80"/>
  <c r="Z849" i="80"/>
  <c r="Y849" i="80"/>
  <c r="X849" i="80"/>
  <c r="W849" i="80"/>
  <c r="V849" i="80"/>
  <c r="U849" i="80"/>
  <c r="T849" i="80"/>
  <c r="S849" i="80"/>
  <c r="Q849" i="80"/>
  <c r="P849" i="80"/>
  <c r="O849" i="80"/>
  <c r="N849" i="80"/>
  <c r="L849" i="80"/>
  <c r="K849" i="80"/>
  <c r="J849" i="80"/>
  <c r="I849" i="80"/>
  <c r="H849" i="80"/>
  <c r="G849" i="80"/>
  <c r="F849" i="80"/>
  <c r="E849" i="80"/>
  <c r="AW848" i="80"/>
  <c r="AV848" i="80"/>
  <c r="AU848" i="80"/>
  <c r="AU850" i="80" s="1"/>
  <c r="AT848" i="80"/>
  <c r="AS848" i="80"/>
  <c r="AS850" i="80" s="1"/>
  <c r="AR848" i="80"/>
  <c r="AP848" i="80"/>
  <c r="AO848" i="80"/>
  <c r="AO850" i="80" s="1"/>
  <c r="AN848" i="80"/>
  <c r="AN850" i="80" s="1"/>
  <c r="AM848" i="80"/>
  <c r="AL848" i="80" s="1"/>
  <c r="AK848" i="80"/>
  <c r="AK850" i="80" s="1"/>
  <c r="AJ848" i="80"/>
  <c r="AJ850" i="80" s="1"/>
  <c r="AI848" i="80"/>
  <c r="AI850" i="80" s="1"/>
  <c r="AG848" i="80"/>
  <c r="AB848" i="80"/>
  <c r="W848" i="80"/>
  <c r="R848" i="80"/>
  <c r="M848" i="80"/>
  <c r="H848" i="80"/>
  <c r="AV846" i="80"/>
  <c r="AQ846" i="80"/>
  <c r="AL846" i="80"/>
  <c r="AG846" i="80"/>
  <c r="AD846" i="80"/>
  <c r="AC846" i="80"/>
  <c r="AB846" i="80" s="1"/>
  <c r="Z846" i="80"/>
  <c r="Y846" i="80"/>
  <c r="X846" i="80"/>
  <c r="W846" i="80" s="1"/>
  <c r="V846" i="80"/>
  <c r="T846" i="80"/>
  <c r="R846" i="80"/>
  <c r="M846" i="80"/>
  <c r="H846" i="80"/>
  <c r="AR841" i="80"/>
  <c r="AR838" i="80"/>
  <c r="AR832" i="80"/>
  <c r="AR831" i="80"/>
  <c r="AR827" i="80"/>
  <c r="AM841" i="80"/>
  <c r="AM838" i="80"/>
  <c r="AM834" i="80"/>
  <c r="AM832" i="80"/>
  <c r="AM831" i="80"/>
  <c r="AM827" i="80"/>
  <c r="AH841" i="80"/>
  <c r="AH838" i="80"/>
  <c r="AH834" i="80"/>
  <c r="AH833" i="80"/>
  <c r="AH832" i="80"/>
  <c r="AH831" i="80"/>
  <c r="AH827" i="80"/>
  <c r="AC841" i="80"/>
  <c r="AC838" i="80"/>
  <c r="AC836" i="80"/>
  <c r="AC834" i="80"/>
  <c r="AC833" i="80"/>
  <c r="AC832" i="80"/>
  <c r="AC831" i="80"/>
  <c r="AC827" i="80"/>
  <c r="X841" i="80"/>
  <c r="X838" i="80"/>
  <c r="X836" i="80"/>
  <c r="X834" i="80"/>
  <c r="X833" i="80"/>
  <c r="X832" i="80"/>
  <c r="X831" i="80"/>
  <c r="X827" i="80"/>
  <c r="S841" i="80"/>
  <c r="S838" i="80"/>
  <c r="S836" i="80"/>
  <c r="S834" i="80"/>
  <c r="S833" i="80"/>
  <c r="S832" i="80"/>
  <c r="S831" i="80"/>
  <c r="S829" i="80"/>
  <c r="S827" i="80"/>
  <c r="N841" i="80"/>
  <c r="N838" i="80"/>
  <c r="N836" i="80"/>
  <c r="N834" i="80"/>
  <c r="N833" i="80"/>
  <c r="N832" i="80"/>
  <c r="N831" i="80"/>
  <c r="N827" i="80"/>
  <c r="I841" i="80"/>
  <c r="I838" i="80"/>
  <c r="I836" i="80"/>
  <c r="I834" i="80"/>
  <c r="I833" i="80"/>
  <c r="I832" i="80"/>
  <c r="I831" i="80"/>
  <c r="I827" i="80"/>
  <c r="DD840" i="80"/>
  <c r="DC840" i="80"/>
  <c r="DB840" i="80"/>
  <c r="DA840" i="80"/>
  <c r="AW841" i="80"/>
  <c r="E840" i="80"/>
  <c r="AW838" i="80"/>
  <c r="AW836" i="80"/>
  <c r="AW835" i="80"/>
  <c r="AW833" i="80"/>
  <c r="AW832" i="80"/>
  <c r="AW831" i="80"/>
  <c r="AW827" i="80"/>
  <c r="EA837" i="80"/>
  <c r="DZ837" i="80"/>
  <c r="DY837" i="80"/>
  <c r="DV837" i="80"/>
  <c r="DT837" i="80"/>
  <c r="DQ837" i="80"/>
  <c r="DP837" i="80"/>
  <c r="DO837" i="80"/>
  <c r="DN837" i="80"/>
  <c r="S837" i="80" s="1"/>
  <c r="DK837" i="80"/>
  <c r="DJ837" i="80"/>
  <c r="DF837" i="80"/>
  <c r="DE837" i="80"/>
  <c r="DB837" i="80"/>
  <c r="DA837" i="80"/>
  <c r="CZ837" i="80"/>
  <c r="ER836" i="80"/>
  <c r="EQ836" i="80"/>
  <c r="EP836" i="80"/>
  <c r="EJ836" i="80"/>
  <c r="EJ835" i="80"/>
  <c r="EJ834" i="80"/>
  <c r="EJ833" i="80"/>
  <c r="EJ837" i="80" s="1"/>
  <c r="EH836" i="80"/>
  <c r="AM836" i="80" s="1"/>
  <c r="EG836" i="80"/>
  <c r="EC836" i="80"/>
  <c r="EA836" i="80"/>
  <c r="DZ836" i="80"/>
  <c r="DW836" i="80"/>
  <c r="DW835" i="80"/>
  <c r="DW834" i="80"/>
  <c r="DW833" i="80"/>
  <c r="DW832" i="80"/>
  <c r="DW837" i="80" s="1"/>
  <c r="DU836" i="80"/>
  <c r="DU837" i="80" s="1"/>
  <c r="DR836" i="80"/>
  <c r="DR834" i="80"/>
  <c r="DR833" i="80"/>
  <c r="DR832" i="80"/>
  <c r="DM836" i="80"/>
  <c r="DM835" i="80"/>
  <c r="DM834" i="80"/>
  <c r="DM833" i="80"/>
  <c r="DM832" i="80"/>
  <c r="DH836" i="80"/>
  <c r="DH835" i="80"/>
  <c r="DH834" i="80"/>
  <c r="DH833" i="80"/>
  <c r="DH832" i="80"/>
  <c r="DH837" i="80" s="1"/>
  <c r="DC836" i="80"/>
  <c r="DC834" i="80"/>
  <c r="DC833" i="80"/>
  <c r="DC832" i="80"/>
  <c r="BN836" i="80"/>
  <c r="BM836" i="80"/>
  <c r="EQ835" i="80"/>
  <c r="EP835" i="80"/>
  <c r="EM836" i="80"/>
  <c r="EM835" i="80"/>
  <c r="AR835" i="80" s="1"/>
  <c r="EL835" i="80"/>
  <c r="EK835" i="80"/>
  <c r="EK834" i="80"/>
  <c r="EK833" i="80"/>
  <c r="EI835" i="80"/>
  <c r="AN835" i="80" s="1"/>
  <c r="EH835" i="80"/>
  <c r="EF835" i="80"/>
  <c r="EE835" i="80"/>
  <c r="ED835" i="80"/>
  <c r="AI835" i="80" s="1"/>
  <c r="EC835" i="80"/>
  <c r="AH835" i="80" s="1"/>
  <c r="DX835" i="80"/>
  <c r="DX837" i="80" s="1"/>
  <c r="AC837" i="80" s="1"/>
  <c r="DS835" i="80"/>
  <c r="DN835" i="80"/>
  <c r="S835" i="80" s="1"/>
  <c r="DL835" i="80"/>
  <c r="DL837" i="80" s="1"/>
  <c r="DI835" i="80"/>
  <c r="N835" i="80" s="1"/>
  <c r="DG835" i="80"/>
  <c r="DG837" i="80" s="1"/>
  <c r="DD835" i="80"/>
  <c r="DB835" i="80"/>
  <c r="BQ835" i="80"/>
  <c r="BN835" i="80" s="1"/>
  <c r="BM835" i="80"/>
  <c r="BH836" i="80"/>
  <c r="BI836" i="80" s="1"/>
  <c r="BJ836" i="80" s="1"/>
  <c r="BK836" i="80" s="1"/>
  <c r="BK835" i="80"/>
  <c r="BJ835" i="80"/>
  <c r="BH835" i="80"/>
  <c r="BI835" i="80" s="1"/>
  <c r="BE836" i="80"/>
  <c r="BC836" i="80"/>
  <c r="BD836" i="80" s="1"/>
  <c r="BF836" i="80" s="1"/>
  <c r="BC835" i="80"/>
  <c r="BD835" i="80" s="1"/>
  <c r="AX836" i="80"/>
  <c r="AY836" i="80" s="1"/>
  <c r="AZ836" i="80" s="1"/>
  <c r="BA836" i="80" s="1"/>
  <c r="BA835" i="80"/>
  <c r="AZ835" i="80"/>
  <c r="AX835" i="80"/>
  <c r="AY835" i="80" s="1"/>
  <c r="ER834" i="80"/>
  <c r="EQ834" i="80"/>
  <c r="EP834" i="80"/>
  <c r="EO834" i="80"/>
  <c r="EN834" i="80"/>
  <c r="AS834" i="80" s="1"/>
  <c r="EM834" i="80"/>
  <c r="EI834" i="80"/>
  <c r="AN834" i="80" s="1"/>
  <c r="EI833" i="80"/>
  <c r="EG834" i="80"/>
  <c r="EG832" i="80"/>
  <c r="EB834" i="80"/>
  <c r="EB833" i="80"/>
  <c r="EB832" i="80"/>
  <c r="BQ834" i="80"/>
  <c r="BL834" i="80"/>
  <c r="BG834" i="80"/>
  <c r="BB834" i="80"/>
  <c r="EQ833" i="80"/>
  <c r="EP833" i="80"/>
  <c r="EP837" i="80" s="1"/>
  <c r="EO833" i="80"/>
  <c r="EO837" i="80" s="1"/>
  <c r="EN833" i="80"/>
  <c r="EN837" i="80" s="1"/>
  <c r="EM833" i="80"/>
  <c r="AR833" i="80" s="1"/>
  <c r="EL833" i="80"/>
  <c r="EH833" i="80"/>
  <c r="EF833" i="80"/>
  <c r="EF837" i="80" s="1"/>
  <c r="EE833" i="80"/>
  <c r="EE837" i="80" s="1"/>
  <c r="ED833" i="80"/>
  <c r="EQ832" i="80"/>
  <c r="EL832" i="80"/>
  <c r="AV836" i="80"/>
  <c r="AU836" i="80"/>
  <c r="AT836" i="80"/>
  <c r="AS836" i="80"/>
  <c r="AV835" i="80"/>
  <c r="AU835" i="80"/>
  <c r="AT835" i="80"/>
  <c r="AS835" i="80"/>
  <c r="AV834" i="80"/>
  <c r="AU834" i="80"/>
  <c r="AU837" i="80" s="1"/>
  <c r="AT834" i="80"/>
  <c r="AU833" i="80"/>
  <c r="AT833" i="80"/>
  <c r="AS833" i="80"/>
  <c r="AV832" i="80"/>
  <c r="AU832" i="80"/>
  <c r="AT832" i="80"/>
  <c r="AT837" i="80" s="1"/>
  <c r="AS832" i="80"/>
  <c r="AS837" i="80" s="1"/>
  <c r="AQ836" i="80"/>
  <c r="AP836" i="80"/>
  <c r="AO836" i="80"/>
  <c r="AN836" i="80"/>
  <c r="AQ835" i="80"/>
  <c r="AP835" i="80"/>
  <c r="AO835" i="80"/>
  <c r="AQ834" i="80"/>
  <c r="AP834" i="80"/>
  <c r="AO834" i="80"/>
  <c r="AQ833" i="80"/>
  <c r="AP833" i="80"/>
  <c r="AO833" i="80"/>
  <c r="AQ832" i="80"/>
  <c r="AQ837" i="80" s="1"/>
  <c r="AP832" i="80"/>
  <c r="AP837" i="80" s="1"/>
  <c r="AO832" i="80"/>
  <c r="AO837" i="80" s="1"/>
  <c r="AN832" i="80"/>
  <c r="AL836" i="80"/>
  <c r="AK836" i="80"/>
  <c r="AJ836" i="80"/>
  <c r="AI836" i="80"/>
  <c r="AL835" i="80"/>
  <c r="AK835" i="80"/>
  <c r="AJ835" i="80"/>
  <c r="AL834" i="80"/>
  <c r="AK834" i="80"/>
  <c r="AJ834" i="80"/>
  <c r="AI834" i="80"/>
  <c r="AL833" i="80"/>
  <c r="AK833" i="80"/>
  <c r="AL832" i="80"/>
  <c r="AL837" i="80" s="1"/>
  <c r="AK832" i="80"/>
  <c r="AK837" i="80" s="1"/>
  <c r="AJ832" i="80"/>
  <c r="AI832" i="80"/>
  <c r="AG837" i="80"/>
  <c r="AF837" i="80"/>
  <c r="AG836" i="80"/>
  <c r="AF836" i="80"/>
  <c r="AE836" i="80"/>
  <c r="AD836" i="80"/>
  <c r="AG835" i="80"/>
  <c r="AF835" i="80"/>
  <c r="AE835" i="80"/>
  <c r="AD835" i="80"/>
  <c r="AG834" i="80"/>
  <c r="AF834" i="80"/>
  <c r="AE834" i="80"/>
  <c r="AD834" i="80"/>
  <c r="AG833" i="80"/>
  <c r="AF833" i="80"/>
  <c r="AE833" i="80"/>
  <c r="AD833" i="80"/>
  <c r="AG832" i="80"/>
  <c r="AF832" i="80"/>
  <c r="AE832" i="80"/>
  <c r="AE837" i="80" s="1"/>
  <c r="AD832" i="80"/>
  <c r="AD837" i="80" s="1"/>
  <c r="AA837" i="80"/>
  <c r="Z837" i="80"/>
  <c r="AB836" i="80"/>
  <c r="AA836" i="80"/>
  <c r="Z836" i="80"/>
  <c r="Y836" i="80"/>
  <c r="AB835" i="80"/>
  <c r="AA835" i="80"/>
  <c r="Z835" i="80"/>
  <c r="Y835" i="80"/>
  <c r="AB834" i="80"/>
  <c r="AA834" i="80"/>
  <c r="Z834" i="80"/>
  <c r="Y834" i="80"/>
  <c r="AB833" i="80"/>
  <c r="AA833" i="80"/>
  <c r="Z833" i="80"/>
  <c r="Y833" i="80"/>
  <c r="AB832" i="80"/>
  <c r="AB837" i="80" s="1"/>
  <c r="AA832" i="80"/>
  <c r="Z832" i="80"/>
  <c r="Y832" i="80"/>
  <c r="Y837" i="80" s="1"/>
  <c r="U837" i="80"/>
  <c r="W836" i="80"/>
  <c r="V836" i="80"/>
  <c r="U836" i="80"/>
  <c r="T836" i="80"/>
  <c r="W835" i="80"/>
  <c r="V835" i="80"/>
  <c r="U835" i="80"/>
  <c r="T835" i="80"/>
  <c r="W834" i="80"/>
  <c r="V834" i="80"/>
  <c r="U834" i="80"/>
  <c r="T834" i="80"/>
  <c r="W833" i="80"/>
  <c r="V833" i="80"/>
  <c r="U833" i="80"/>
  <c r="T833" i="80"/>
  <c r="W832" i="80"/>
  <c r="W837" i="80" s="1"/>
  <c r="V832" i="80"/>
  <c r="V837" i="80" s="1"/>
  <c r="U832" i="80"/>
  <c r="T832" i="80"/>
  <c r="T837" i="80" s="1"/>
  <c r="R837" i="80"/>
  <c r="R836" i="80"/>
  <c r="Q836" i="80"/>
  <c r="P836" i="80"/>
  <c r="O836" i="80"/>
  <c r="R835" i="80"/>
  <c r="Q835" i="80"/>
  <c r="P835" i="80"/>
  <c r="O835" i="80"/>
  <c r="R834" i="80"/>
  <c r="Q834" i="80"/>
  <c r="P834" i="80"/>
  <c r="O834" i="80"/>
  <c r="R833" i="80"/>
  <c r="Q833" i="80"/>
  <c r="P833" i="80"/>
  <c r="O833" i="80"/>
  <c r="R832" i="80"/>
  <c r="Q832" i="80"/>
  <c r="Q837" i="80" s="1"/>
  <c r="P832" i="80"/>
  <c r="P837" i="80" s="1"/>
  <c r="O832" i="80"/>
  <c r="O837" i="80" s="1"/>
  <c r="M837" i="80"/>
  <c r="L837" i="80"/>
  <c r="M836" i="80"/>
  <c r="L836" i="80"/>
  <c r="K836" i="80"/>
  <c r="J836" i="80"/>
  <c r="M835" i="80"/>
  <c r="L835" i="80"/>
  <c r="K835" i="80"/>
  <c r="J835" i="80"/>
  <c r="M834" i="80"/>
  <c r="L834" i="80"/>
  <c r="K834" i="80"/>
  <c r="J834" i="80"/>
  <c r="M833" i="80"/>
  <c r="L833" i="80"/>
  <c r="K833" i="80"/>
  <c r="J833" i="80"/>
  <c r="M832" i="80"/>
  <c r="L832" i="80"/>
  <c r="K832" i="80"/>
  <c r="K837" i="80" s="1"/>
  <c r="J832" i="80"/>
  <c r="J837" i="80" s="1"/>
  <c r="G837" i="80"/>
  <c r="F837" i="80"/>
  <c r="H836" i="80"/>
  <c r="G836" i="80"/>
  <c r="F836" i="80"/>
  <c r="E836" i="80"/>
  <c r="H835" i="80"/>
  <c r="G835" i="80"/>
  <c r="F835" i="80"/>
  <c r="E835" i="80"/>
  <c r="H834" i="80"/>
  <c r="G834" i="80"/>
  <c r="F834" i="80"/>
  <c r="E834" i="80"/>
  <c r="H833" i="80"/>
  <c r="G833" i="80"/>
  <c r="F833" i="80"/>
  <c r="E833" i="80"/>
  <c r="H832" i="80"/>
  <c r="H837" i="80" s="1"/>
  <c r="G832" i="80"/>
  <c r="F832" i="80"/>
  <c r="E832" i="80"/>
  <c r="E837" i="80" s="1"/>
  <c r="EN830" i="80"/>
  <c r="ED830" i="80"/>
  <c r="DX830" i="80"/>
  <c r="AC830" i="80" s="1"/>
  <c r="DN830" i="80"/>
  <c r="S830" i="80" s="1"/>
  <c r="DL830" i="80"/>
  <c r="DM829" i="80"/>
  <c r="DM827" i="80"/>
  <c r="DI829" i="80"/>
  <c r="N829" i="80" s="1"/>
  <c r="DH829" i="80"/>
  <c r="DG829" i="80"/>
  <c r="DF829" i="80"/>
  <c r="DE829" i="80"/>
  <c r="DD829" i="80"/>
  <c r="I829" i="80" s="1"/>
  <c r="DB829" i="80"/>
  <c r="DA829" i="80"/>
  <c r="CZ829" i="80"/>
  <c r="E829" i="80" s="1"/>
  <c r="ER829" i="80"/>
  <c r="AW829" i="80" s="1"/>
  <c r="EP829" i="80"/>
  <c r="EO829" i="80"/>
  <c r="EN829" i="80"/>
  <c r="AS829" i="80" s="1"/>
  <c r="EM829" i="80"/>
  <c r="AR829" i="80" s="1"/>
  <c r="EL829" i="80"/>
  <c r="EK829" i="80"/>
  <c r="AQ829" i="80" s="1"/>
  <c r="EJ829" i="80"/>
  <c r="EI829" i="80"/>
  <c r="EH829" i="80"/>
  <c r="AM829" i="80" s="1"/>
  <c r="EG829" i="80"/>
  <c r="EF829" i="80"/>
  <c r="EE829" i="80"/>
  <c r="ED829" i="80"/>
  <c r="EC829" i="80"/>
  <c r="AH829" i="80" s="1"/>
  <c r="EA829" i="80"/>
  <c r="DZ829" i="80"/>
  <c r="DY829" i="80"/>
  <c r="AD829" i="80" s="1"/>
  <c r="DX829" i="80"/>
  <c r="AC829" i="80" s="1"/>
  <c r="DV829" i="80"/>
  <c r="DU829" i="80"/>
  <c r="DT829" i="80"/>
  <c r="DS829" i="80"/>
  <c r="X829" i="80" s="1"/>
  <c r="DR829" i="80"/>
  <c r="DQ829" i="80"/>
  <c r="W829" i="80" s="1"/>
  <c r="DP829" i="80"/>
  <c r="DO829" i="80"/>
  <c r="ER828" i="80"/>
  <c r="AW828" i="80" s="1"/>
  <c r="EQ828" i="80"/>
  <c r="EP828" i="80"/>
  <c r="EP830" i="80" s="1"/>
  <c r="EO828" i="80"/>
  <c r="EN828" i="80"/>
  <c r="EM828" i="80"/>
  <c r="AR828" i="80" s="1"/>
  <c r="EK828" i="80"/>
  <c r="EJ828" i="80"/>
  <c r="EJ830" i="80" s="1"/>
  <c r="EI828" i="80"/>
  <c r="AN828" i="80" s="1"/>
  <c r="EH828" i="80"/>
  <c r="AM828" i="80" s="1"/>
  <c r="EF828" i="80"/>
  <c r="EF830" i="80" s="1"/>
  <c r="EE828" i="80"/>
  <c r="EE830" i="80" s="1"/>
  <c r="ED828" i="80"/>
  <c r="AI828" i="80" s="1"/>
  <c r="EC828" i="80"/>
  <c r="EB828" i="80"/>
  <c r="EA828" i="80"/>
  <c r="EA830" i="80" s="1"/>
  <c r="DZ828" i="80"/>
  <c r="DZ830" i="80" s="1"/>
  <c r="DY828" i="80"/>
  <c r="DX828" i="80"/>
  <c r="AC828" i="80" s="1"/>
  <c r="DW828" i="80"/>
  <c r="DV828" i="80"/>
  <c r="DV830" i="80" s="1"/>
  <c r="DU828" i="80"/>
  <c r="DT828" i="80"/>
  <c r="DT830" i="80" s="1"/>
  <c r="DS828" i="80"/>
  <c r="X828" i="80" s="1"/>
  <c r="DQ828" i="80"/>
  <c r="DP828" i="80"/>
  <c r="DP830" i="80" s="1"/>
  <c r="DO828" i="80"/>
  <c r="T828" i="80" s="1"/>
  <c r="DN828" i="80"/>
  <c r="S828" i="80" s="1"/>
  <c r="DL828" i="80"/>
  <c r="DK828" i="80"/>
  <c r="DK830" i="80" s="1"/>
  <c r="DJ828" i="80"/>
  <c r="O828" i="80" s="1"/>
  <c r="DI828" i="80"/>
  <c r="DG828" i="80"/>
  <c r="DG830" i="80" s="1"/>
  <c r="DF828" i="80"/>
  <c r="DF830" i="80" s="1"/>
  <c r="DE828" i="80"/>
  <c r="DE830" i="80" s="1"/>
  <c r="DD828" i="80"/>
  <c r="I828" i="80" s="1"/>
  <c r="DC828" i="80"/>
  <c r="DB828" i="80"/>
  <c r="H828" i="80" s="1"/>
  <c r="DA828" i="80"/>
  <c r="DA830" i="80" s="1"/>
  <c r="CZ828" i="80"/>
  <c r="CZ830" i="80" s="1"/>
  <c r="BO829" i="80"/>
  <c r="BN829" i="80"/>
  <c r="BP829" i="80" s="1"/>
  <c r="BM829" i="80"/>
  <c r="BO828" i="80"/>
  <c r="BN828" i="80"/>
  <c r="BP828" i="80" s="1"/>
  <c r="BM828" i="80"/>
  <c r="BJ829" i="80"/>
  <c r="BI829" i="80"/>
  <c r="BK829" i="80" s="1"/>
  <c r="BH829" i="80"/>
  <c r="BJ828" i="80"/>
  <c r="BI828" i="80"/>
  <c r="BK828" i="80" s="1"/>
  <c r="BH828" i="80"/>
  <c r="BE829" i="80"/>
  <c r="BD829" i="80"/>
  <c r="BF829" i="80" s="1"/>
  <c r="BC829" i="80"/>
  <c r="BE828" i="80"/>
  <c r="BD828" i="80"/>
  <c r="BF828" i="80" s="1"/>
  <c r="BC828" i="80"/>
  <c r="AZ829" i="80"/>
  <c r="AY829" i="80"/>
  <c r="BA829" i="80" s="1"/>
  <c r="AX829" i="80"/>
  <c r="AZ828" i="80"/>
  <c r="AY828" i="80"/>
  <c r="BA828" i="80" s="1"/>
  <c r="AX828" i="80"/>
  <c r="EQ827" i="80"/>
  <c r="EL827" i="80"/>
  <c r="EG827" i="80"/>
  <c r="EB827" i="80"/>
  <c r="DW827" i="80"/>
  <c r="DR827" i="80"/>
  <c r="DH827" i="80"/>
  <c r="DC827" i="80"/>
  <c r="AV829" i="80"/>
  <c r="AU829" i="80"/>
  <c r="AT829" i="80"/>
  <c r="AV828" i="80"/>
  <c r="AU828" i="80"/>
  <c r="AT828" i="80"/>
  <c r="AS828" i="80"/>
  <c r="AV827" i="80"/>
  <c r="AV830" i="80" s="1"/>
  <c r="AU827" i="80"/>
  <c r="AU830" i="80" s="1"/>
  <c r="AT827" i="80"/>
  <c r="AT830" i="80" s="1"/>
  <c r="AS827" i="80"/>
  <c r="AS830" i="80" s="1"/>
  <c r="AP829" i="80"/>
  <c r="AO829" i="80"/>
  <c r="AN829" i="80"/>
  <c r="AP828" i="80"/>
  <c r="AQ827" i="80"/>
  <c r="AP827" i="80"/>
  <c r="AP830" i="80" s="1"/>
  <c r="AO827" i="80"/>
  <c r="AN827" i="80"/>
  <c r="AN830" i="80" s="1"/>
  <c r="AL829" i="80"/>
  <c r="AK829" i="80"/>
  <c r="AJ829" i="80"/>
  <c r="AI829" i="80"/>
  <c r="AL828" i="80"/>
  <c r="AK828" i="80"/>
  <c r="AJ828" i="80"/>
  <c r="AL827" i="80"/>
  <c r="AL830" i="80" s="1"/>
  <c r="AK827" i="80"/>
  <c r="AK830" i="80" s="1"/>
  <c r="AJ827" i="80"/>
  <c r="AJ830" i="80" s="1"/>
  <c r="AI827" i="80"/>
  <c r="AI830" i="80" s="1"/>
  <c r="AF829" i="80"/>
  <c r="AE829" i="80"/>
  <c r="AF828" i="80"/>
  <c r="AE828" i="80"/>
  <c r="AD828" i="80"/>
  <c r="AG827" i="80"/>
  <c r="AF827" i="80"/>
  <c r="AF830" i="80" s="1"/>
  <c r="AE827" i="80"/>
  <c r="AE830" i="80" s="1"/>
  <c r="AD827" i="80"/>
  <c r="AD830" i="80" s="1"/>
  <c r="AB829" i="80"/>
  <c r="AA829" i="80"/>
  <c r="Z829" i="80"/>
  <c r="Y829" i="80"/>
  <c r="AB828" i="80"/>
  <c r="AA828" i="80"/>
  <c r="Z828" i="80"/>
  <c r="Y828" i="80"/>
  <c r="AB827" i="80"/>
  <c r="AB830" i="80" s="1"/>
  <c r="AA827" i="80"/>
  <c r="AA830" i="80" s="1"/>
  <c r="Z827" i="80"/>
  <c r="Z830" i="80" s="1"/>
  <c r="Y827" i="80"/>
  <c r="Y830" i="80" s="1"/>
  <c r="V829" i="80"/>
  <c r="U829" i="80"/>
  <c r="T829" i="80"/>
  <c r="V828" i="80"/>
  <c r="U828" i="80"/>
  <c r="W827" i="80"/>
  <c r="V827" i="80"/>
  <c r="V830" i="80" s="1"/>
  <c r="U827" i="80"/>
  <c r="U830" i="80" s="1"/>
  <c r="T827" i="80"/>
  <c r="T830" i="80" s="1"/>
  <c r="R829" i="80"/>
  <c r="Q829" i="80"/>
  <c r="P829" i="80"/>
  <c r="O829" i="80"/>
  <c r="R828" i="80"/>
  <c r="Q828" i="80"/>
  <c r="P828" i="80"/>
  <c r="R827" i="80"/>
  <c r="R830" i="80" s="1"/>
  <c r="Q827" i="80"/>
  <c r="Q830" i="80" s="1"/>
  <c r="P827" i="80"/>
  <c r="P830" i="80" s="1"/>
  <c r="O827" i="80"/>
  <c r="O830" i="80" s="1"/>
  <c r="M829" i="80"/>
  <c r="L829" i="80"/>
  <c r="K829" i="80"/>
  <c r="J829" i="80"/>
  <c r="M828" i="80"/>
  <c r="L828" i="80"/>
  <c r="K828" i="80"/>
  <c r="M827" i="80"/>
  <c r="M830" i="80" s="1"/>
  <c r="L827" i="80"/>
  <c r="L830" i="80" s="1"/>
  <c r="K827" i="80"/>
  <c r="K830" i="80" s="1"/>
  <c r="J827" i="80"/>
  <c r="H829" i="80"/>
  <c r="G829" i="80"/>
  <c r="F829" i="80"/>
  <c r="G828" i="80"/>
  <c r="F828" i="80"/>
  <c r="E828" i="80"/>
  <c r="H827" i="80"/>
  <c r="H830" i="80" s="1"/>
  <c r="G827" i="80"/>
  <c r="G830" i="80" s="1"/>
  <c r="F827" i="80"/>
  <c r="F830" i="80" s="1"/>
  <c r="E827" i="80"/>
  <c r="E830" i="80" s="1"/>
  <c r="CZ825" i="80"/>
  <c r="ER824" i="80"/>
  <c r="EQ824" i="80" s="1"/>
  <c r="EP824" i="80"/>
  <c r="EO824" i="80"/>
  <c r="AT824" i="80" s="1"/>
  <c r="EN824" i="80"/>
  <c r="AS824" i="80" s="1"/>
  <c r="EM824" i="80"/>
  <c r="EL824" i="80"/>
  <c r="EK824" i="80"/>
  <c r="AP824" i="80" s="1"/>
  <c r="EJ824" i="80"/>
  <c r="AO824" i="80" s="1"/>
  <c r="EI824" i="80"/>
  <c r="EH824" i="80"/>
  <c r="AL824" i="80" s="1"/>
  <c r="EG824" i="80"/>
  <c r="EF824" i="80"/>
  <c r="AK824" i="80" s="1"/>
  <c r="EE824" i="80"/>
  <c r="ED824" i="80"/>
  <c r="EC824" i="80"/>
  <c r="AH824" i="80" s="1"/>
  <c r="EA824" i="80"/>
  <c r="DZ824" i="80"/>
  <c r="DY824" i="80"/>
  <c r="AD824" i="80" s="1"/>
  <c r="DX824" i="80"/>
  <c r="DW824" i="80" s="1"/>
  <c r="DV824" i="80"/>
  <c r="DU824" i="80"/>
  <c r="Z824" i="80" s="1"/>
  <c r="DT824" i="80"/>
  <c r="Y824" i="80" s="1"/>
  <c r="DS824" i="80"/>
  <c r="DR824" i="80"/>
  <c r="DQ824" i="80"/>
  <c r="DO824" i="80"/>
  <c r="DN824" i="80"/>
  <c r="R824" i="80" s="1"/>
  <c r="DM824" i="80"/>
  <c r="DL824" i="80"/>
  <c r="Q824" i="80" s="1"/>
  <c r="DK824" i="80"/>
  <c r="DJ824" i="80"/>
  <c r="DI824" i="80"/>
  <c r="N824" i="80" s="1"/>
  <c r="DG824" i="80"/>
  <c r="DF824" i="80"/>
  <c r="DE824" i="80"/>
  <c r="J824" i="80" s="1"/>
  <c r="DD824" i="80"/>
  <c r="DC824" i="80" s="1"/>
  <c r="DB824" i="80"/>
  <c r="DA824" i="80"/>
  <c r="F824" i="80" s="1"/>
  <c r="CZ824" i="80"/>
  <c r="E824" i="80" s="1"/>
  <c r="ER823" i="80"/>
  <c r="EQ823" i="80"/>
  <c r="EP823" i="80"/>
  <c r="AU823" i="80" s="1"/>
  <c r="EO823" i="80"/>
  <c r="AT823" i="80" s="1"/>
  <c r="EN823" i="80"/>
  <c r="EM823" i="80"/>
  <c r="AQ823" i="80" s="1"/>
  <c r="EL823" i="80"/>
  <c r="EK823" i="80"/>
  <c r="AP823" i="80" s="1"/>
  <c r="EJ823" i="80"/>
  <c r="EI823" i="80"/>
  <c r="EH823" i="80"/>
  <c r="AM823" i="80" s="1"/>
  <c r="EF823" i="80"/>
  <c r="EE823" i="80"/>
  <c r="ED823" i="80"/>
  <c r="AI823" i="80" s="1"/>
  <c r="EC823" i="80"/>
  <c r="EB823" i="80" s="1"/>
  <c r="EA823" i="80"/>
  <c r="DZ823" i="80"/>
  <c r="AE823" i="80" s="1"/>
  <c r="DY823" i="80"/>
  <c r="AD823" i="80" s="1"/>
  <c r="DX823" i="80"/>
  <c r="DW823" i="80"/>
  <c r="DV823" i="80"/>
  <c r="AA823" i="80" s="1"/>
  <c r="DU823" i="80"/>
  <c r="Z823" i="80" s="1"/>
  <c r="DT823" i="80"/>
  <c r="DS823" i="80"/>
  <c r="W823" i="80" s="1"/>
  <c r="DR823" i="80"/>
  <c r="DQ823" i="80"/>
  <c r="V823" i="80" s="1"/>
  <c r="DP823" i="80"/>
  <c r="DO823" i="80"/>
  <c r="DN823" i="80"/>
  <c r="S823" i="80" s="1"/>
  <c r="DL823" i="80"/>
  <c r="DK823" i="80"/>
  <c r="DJ823" i="80"/>
  <c r="O823" i="80" s="1"/>
  <c r="DI823" i="80"/>
  <c r="DH823" i="80" s="1"/>
  <c r="DG823" i="80"/>
  <c r="DF823" i="80"/>
  <c r="K823" i="80" s="1"/>
  <c r="DE823" i="80"/>
  <c r="J823" i="80" s="1"/>
  <c r="DD823" i="80"/>
  <c r="DC823" i="80"/>
  <c r="DB823" i="80"/>
  <c r="G823" i="80" s="1"/>
  <c r="DA823" i="80"/>
  <c r="F823" i="80" s="1"/>
  <c r="CZ823" i="80"/>
  <c r="AZ824" i="80"/>
  <c r="AY824" i="80"/>
  <c r="BA824" i="80" s="1"/>
  <c r="AX824" i="80"/>
  <c r="AV824" i="80"/>
  <c r="AR824" i="80"/>
  <c r="AN824" i="80"/>
  <c r="AM824" i="80"/>
  <c r="AJ824" i="80"/>
  <c r="AI824" i="80"/>
  <c r="AF824" i="80"/>
  <c r="AB824" i="80"/>
  <c r="X824" i="80"/>
  <c r="T824" i="80"/>
  <c r="S824" i="80"/>
  <c r="P824" i="80"/>
  <c r="O824" i="80"/>
  <c r="L824" i="80"/>
  <c r="H824" i="80"/>
  <c r="AX823" i="80"/>
  <c r="AY823" i="80" s="1"/>
  <c r="AZ823" i="80" s="1"/>
  <c r="AW823" i="80"/>
  <c r="AS823" i="80"/>
  <c r="AR823" i="80"/>
  <c r="AO823" i="80"/>
  <c r="AN823" i="80"/>
  <c r="AK823" i="80"/>
  <c r="AG823" i="80"/>
  <c r="AC823" i="80"/>
  <c r="Y823" i="80"/>
  <c r="X823" i="80"/>
  <c r="U823" i="80"/>
  <c r="T823" i="80"/>
  <c r="Q823" i="80"/>
  <c r="M823" i="80"/>
  <c r="I823" i="80"/>
  <c r="E823" i="80"/>
  <c r="EQ822" i="80"/>
  <c r="EQ819" i="80"/>
  <c r="EL822" i="80"/>
  <c r="EL819" i="80"/>
  <c r="EG822" i="80"/>
  <c r="EG819" i="80"/>
  <c r="EB822" i="80"/>
  <c r="EB819" i="80"/>
  <c r="DW822" i="80"/>
  <c r="DW819" i="80"/>
  <c r="DR822" i="80"/>
  <c r="DR819" i="80"/>
  <c r="DM822" i="80"/>
  <c r="DM819" i="80"/>
  <c r="DH822" i="80"/>
  <c r="DH819" i="80"/>
  <c r="DC822" i="80"/>
  <c r="DC819" i="80"/>
  <c r="BM824" i="80"/>
  <c r="BM823" i="80"/>
  <c r="BH824" i="80"/>
  <c r="BH823" i="80"/>
  <c r="BC824" i="80"/>
  <c r="BC823" i="80"/>
  <c r="AW822" i="80"/>
  <c r="AV822" i="80"/>
  <c r="AU822" i="80"/>
  <c r="AT822" i="80"/>
  <c r="AS822" i="80"/>
  <c r="AR822" i="80"/>
  <c r="AQ822" i="80"/>
  <c r="AP822" i="80"/>
  <c r="AO822" i="80"/>
  <c r="AN822" i="80"/>
  <c r="AM822" i="80"/>
  <c r="AL822" i="80"/>
  <c r="AK822" i="80"/>
  <c r="AJ822" i="80"/>
  <c r="AI822" i="80"/>
  <c r="AH822" i="80"/>
  <c r="AG822" i="80"/>
  <c r="AF822" i="80"/>
  <c r="AE822" i="80"/>
  <c r="AD822" i="80"/>
  <c r="AC822" i="80"/>
  <c r="AB822" i="80"/>
  <c r="AA822" i="80"/>
  <c r="Z822" i="80"/>
  <c r="Y822" i="80"/>
  <c r="X822" i="80"/>
  <c r="W822" i="80"/>
  <c r="V822" i="80"/>
  <c r="U822" i="80"/>
  <c r="T822" i="80"/>
  <c r="S822" i="80"/>
  <c r="R822" i="80"/>
  <c r="Q822" i="80"/>
  <c r="P822" i="80"/>
  <c r="O822" i="80"/>
  <c r="N822" i="80"/>
  <c r="M822" i="80"/>
  <c r="L822" i="80"/>
  <c r="K822" i="80"/>
  <c r="J822" i="80"/>
  <c r="I822" i="80"/>
  <c r="H822" i="80"/>
  <c r="G822" i="80"/>
  <c r="F822" i="80"/>
  <c r="E822" i="80"/>
  <c r="ER820" i="80"/>
  <c r="EP820" i="80"/>
  <c r="EO820" i="80"/>
  <c r="EO821" i="80" s="1"/>
  <c r="AT821" i="80" s="1"/>
  <c r="EN820" i="80"/>
  <c r="EN821" i="80" s="1"/>
  <c r="EM820" i="80"/>
  <c r="EK820" i="80"/>
  <c r="EJ820" i="80"/>
  <c r="EJ821" i="80" s="1"/>
  <c r="EI820" i="80"/>
  <c r="EI821" i="80" s="1"/>
  <c r="EH820" i="80"/>
  <c r="EF820" i="80"/>
  <c r="EE820" i="80"/>
  <c r="EE821" i="80" s="1"/>
  <c r="EE825" i="80" s="1"/>
  <c r="EE839" i="80" s="1"/>
  <c r="ED820" i="80"/>
  <c r="EC820" i="80"/>
  <c r="EA820" i="80"/>
  <c r="DZ820" i="80"/>
  <c r="DY820" i="80"/>
  <c r="AE820" i="80" s="1"/>
  <c r="DX820" i="80"/>
  <c r="DV820" i="80"/>
  <c r="DU820" i="80"/>
  <c r="DU821" i="80" s="1"/>
  <c r="Z821" i="80" s="1"/>
  <c r="DT820" i="80"/>
  <c r="DT821" i="80" s="1"/>
  <c r="DS820" i="80"/>
  <c r="DQ820" i="80"/>
  <c r="DP820" i="80"/>
  <c r="DP821" i="80" s="1"/>
  <c r="DO820" i="80"/>
  <c r="DO821" i="80" s="1"/>
  <c r="T821" i="80" s="1"/>
  <c r="DN820" i="80"/>
  <c r="DL821" i="80"/>
  <c r="DL820" i="80"/>
  <c r="DK820" i="80"/>
  <c r="DK821" i="80" s="1"/>
  <c r="DK825" i="80" s="1"/>
  <c r="DK839" i="80" s="1"/>
  <c r="DJ820" i="80"/>
  <c r="DI820" i="80"/>
  <c r="DG820" i="80"/>
  <c r="DF820" i="80"/>
  <c r="DE820" i="80"/>
  <c r="K820" i="80" s="1"/>
  <c r="DD820" i="80"/>
  <c r="I820" i="80" s="1"/>
  <c r="DB821" i="80"/>
  <c r="CZ821" i="80"/>
  <c r="DB820" i="80"/>
  <c r="DA820" i="80"/>
  <c r="CZ820" i="80"/>
  <c r="BQ821" i="80"/>
  <c r="BN821" i="80" s="1"/>
  <c r="BO821" i="80"/>
  <c r="BP821" i="80" s="1"/>
  <c r="BM821" i="80"/>
  <c r="BL821" i="80"/>
  <c r="BH821" i="80"/>
  <c r="BG821" i="80"/>
  <c r="BB821" i="80"/>
  <c r="AZ821" i="80"/>
  <c r="AY821" i="80"/>
  <c r="AX821" i="80"/>
  <c r="AN821" i="80"/>
  <c r="E821" i="80"/>
  <c r="AW820" i="80"/>
  <c r="AV820" i="80"/>
  <c r="AT820" i="80"/>
  <c r="AS820" i="80"/>
  <c r="AR820" i="80"/>
  <c r="AO820" i="80"/>
  <c r="AN820" i="80"/>
  <c r="AK820" i="80"/>
  <c r="AJ820" i="80"/>
  <c r="AF820" i="80"/>
  <c r="AD820" i="80"/>
  <c r="AC820" i="80"/>
  <c r="AB820" i="80"/>
  <c r="Z820" i="80"/>
  <c r="Y820" i="80"/>
  <c r="X820" i="80"/>
  <c r="U820" i="80"/>
  <c r="T820" i="80"/>
  <c r="Q820" i="80"/>
  <c r="P820" i="80"/>
  <c r="L820" i="80"/>
  <c r="J820" i="80"/>
  <c r="E820" i="80"/>
  <c r="AW819" i="80"/>
  <c r="AV819" i="80"/>
  <c r="AU819" i="80"/>
  <c r="AT819" i="80"/>
  <c r="AT825" i="80" s="1"/>
  <c r="AT839" i="80" s="1"/>
  <c r="AS819" i="80"/>
  <c r="AR819" i="80"/>
  <c r="AQ819" i="80"/>
  <c r="AP819" i="80"/>
  <c r="AO819" i="80"/>
  <c r="AN819" i="80"/>
  <c r="AM819" i="80"/>
  <c r="AL819" i="80"/>
  <c r="AK819" i="80"/>
  <c r="AJ819" i="80"/>
  <c r="AI819" i="80"/>
  <c r="AH819" i="80"/>
  <c r="AG819" i="80"/>
  <c r="AF819" i="80"/>
  <c r="AE819" i="80"/>
  <c r="AD819" i="80"/>
  <c r="AC819" i="80"/>
  <c r="AB819" i="80"/>
  <c r="AA819" i="80"/>
  <c r="Z819" i="80"/>
  <c r="Z825" i="80" s="1"/>
  <c r="Z839" i="80" s="1"/>
  <c r="Y819" i="80"/>
  <c r="X819" i="80"/>
  <c r="W819" i="80"/>
  <c r="V819" i="80"/>
  <c r="U819" i="80"/>
  <c r="T819" i="80"/>
  <c r="S819" i="80"/>
  <c r="R819" i="80"/>
  <c r="Q819" i="80"/>
  <c r="P819" i="80"/>
  <c r="O819" i="80"/>
  <c r="N819" i="80"/>
  <c r="M819" i="80"/>
  <c r="L819" i="80"/>
  <c r="K819" i="80"/>
  <c r="J819" i="80"/>
  <c r="I819" i="80"/>
  <c r="H819" i="80"/>
  <c r="G819" i="80"/>
  <c r="F819" i="80"/>
  <c r="E819" i="80"/>
  <c r="BQ815" i="80"/>
  <c r="BP815" i="80"/>
  <c r="BO815" i="80"/>
  <c r="BN815" i="80"/>
  <c r="BM815" i="80"/>
  <c r="BL815" i="80"/>
  <c r="BK815" i="80"/>
  <c r="BJ815" i="80"/>
  <c r="BI815" i="80"/>
  <c r="BH815" i="80"/>
  <c r="BG815" i="80"/>
  <c r="BF815" i="80"/>
  <c r="BE815" i="80"/>
  <c r="BD815" i="80"/>
  <c r="BC815" i="80"/>
  <c r="BB815" i="80"/>
  <c r="BA815" i="80"/>
  <c r="AZ815" i="80"/>
  <c r="AY815" i="80"/>
  <c r="AX815" i="80"/>
  <c r="CD813" i="80"/>
  <c r="CC813" i="80"/>
  <c r="CD812" i="80"/>
  <c r="CE812" i="80" s="1"/>
  <c r="CC812" i="80"/>
  <c r="CA813" i="80"/>
  <c r="BZ813" i="80"/>
  <c r="CA812" i="80"/>
  <c r="BZ812" i="80"/>
  <c r="CA811" i="80"/>
  <c r="CC811" i="80" s="1"/>
  <c r="CD811" i="80" s="1"/>
  <c r="BZ811" i="80"/>
  <c r="AX810" i="80"/>
  <c r="AW807" i="80"/>
  <c r="AU807" i="80"/>
  <c r="AT807" i="80"/>
  <c r="AS807" i="80"/>
  <c r="AR807" i="80"/>
  <c r="AQ807" i="80"/>
  <c r="AP807" i="80"/>
  <c r="AO807" i="80"/>
  <c r="AL807" i="80"/>
  <c r="AK807" i="80"/>
  <c r="AH807" i="80"/>
  <c r="AG807" i="80"/>
  <c r="AF807" i="80"/>
  <c r="AE807" i="80"/>
  <c r="AD807" i="80"/>
  <c r="AC807" i="80"/>
  <c r="AB807" i="80"/>
  <c r="AA807" i="80"/>
  <c r="Z807" i="80"/>
  <c r="Y807" i="80"/>
  <c r="X807" i="80"/>
  <c r="W807" i="80"/>
  <c r="V807" i="80"/>
  <c r="U807" i="80"/>
  <c r="T807" i="80"/>
  <c r="S807" i="80"/>
  <c r="R807" i="80"/>
  <c r="Q807" i="80"/>
  <c r="P807" i="80"/>
  <c r="O807" i="80"/>
  <c r="N807" i="80"/>
  <c r="M807" i="80"/>
  <c r="L807" i="80"/>
  <c r="K807" i="80"/>
  <c r="J807" i="80"/>
  <c r="I807" i="80"/>
  <c r="H807" i="80"/>
  <c r="G807" i="80"/>
  <c r="F807" i="80"/>
  <c r="E807" i="80"/>
  <c r="BQ806" i="80"/>
  <c r="AW806" i="80"/>
  <c r="AV806" i="80"/>
  <c r="AU806" i="80"/>
  <c r="AT806" i="80"/>
  <c r="AS806" i="80"/>
  <c r="AR806" i="80"/>
  <c r="AQ806" i="80"/>
  <c r="AP806" i="80"/>
  <c r="AO806" i="80"/>
  <c r="AN806" i="80"/>
  <c r="AM806" i="80"/>
  <c r="AL806" i="80"/>
  <c r="AK806" i="80"/>
  <c r="AJ806" i="80"/>
  <c r="AI806" i="80"/>
  <c r="AH806" i="80"/>
  <c r="AG806" i="80"/>
  <c r="AF806" i="80"/>
  <c r="AE806" i="80"/>
  <c r="AD806" i="80"/>
  <c r="AC806" i="80"/>
  <c r="AB806" i="80"/>
  <c r="AA806" i="80"/>
  <c r="Z806" i="80"/>
  <c r="Y806" i="80"/>
  <c r="X806" i="80"/>
  <c r="W806" i="80"/>
  <c r="V806" i="80"/>
  <c r="U806" i="80"/>
  <c r="T806" i="80"/>
  <c r="S806" i="80"/>
  <c r="R806" i="80"/>
  <c r="Q806" i="80"/>
  <c r="P806" i="80"/>
  <c r="O806" i="80"/>
  <c r="N806" i="80"/>
  <c r="M806" i="80"/>
  <c r="L806" i="80"/>
  <c r="K806" i="80"/>
  <c r="J806" i="80"/>
  <c r="I806" i="80"/>
  <c r="H806" i="80"/>
  <c r="G806" i="80"/>
  <c r="F806" i="80"/>
  <c r="E806" i="80"/>
  <c r="BW805" i="80"/>
  <c r="BW807" i="80" s="1"/>
  <c r="CC804" i="80"/>
  <c r="CC803" i="80"/>
  <c r="BK802" i="80"/>
  <c r="BJ802" i="80"/>
  <c r="BI802" i="80"/>
  <c r="BH802" i="80"/>
  <c r="BF802" i="80"/>
  <c r="BE802" i="80"/>
  <c r="BD802" i="80"/>
  <c r="BC802" i="80"/>
  <c r="BB802" i="80"/>
  <c r="BA802" i="80" s="1"/>
  <c r="AY802" i="80"/>
  <c r="AX802" i="80"/>
  <c r="CC802" i="80"/>
  <c r="CC801" i="80"/>
  <c r="BQ802" i="80"/>
  <c r="BO802" i="80" s="1"/>
  <c r="BM802" i="80"/>
  <c r="CC799" i="80"/>
  <c r="BL799" i="80"/>
  <c r="BQ799" i="80" s="1"/>
  <c r="BP799" i="80" s="1"/>
  <c r="BG799" i="80"/>
  <c r="BF799" i="80" s="1"/>
  <c r="BB799" i="80"/>
  <c r="BA799" i="80"/>
  <c r="AZ799" i="80"/>
  <c r="AY799" i="80" s="1"/>
  <c r="BP795" i="80"/>
  <c r="BO795" i="80" s="1"/>
  <c r="BN795" i="80" s="1"/>
  <c r="BM795" i="80" s="1"/>
  <c r="BK795" i="80"/>
  <c r="BJ795" i="80" s="1"/>
  <c r="BI795" i="80" s="1"/>
  <c r="BH795" i="80" s="1"/>
  <c r="BF795" i="80"/>
  <c r="BE795" i="80" s="1"/>
  <c r="BD795" i="80" s="1"/>
  <c r="BC795" i="80" s="1"/>
  <c r="BA795" i="80"/>
  <c r="AZ795" i="80" s="1"/>
  <c r="AY795" i="80" s="1"/>
  <c r="AX795" i="80" s="1"/>
  <c r="CC797" i="80"/>
  <c r="CC796" i="80"/>
  <c r="CC795" i="80"/>
  <c r="CC794" i="80"/>
  <c r="CC793" i="80"/>
  <c r="CC792" i="80"/>
  <c r="AW791" i="80"/>
  <c r="AV791" i="80"/>
  <c r="AU791" i="80"/>
  <c r="AT791" i="80"/>
  <c r="AS791" i="80"/>
  <c r="AR791" i="80"/>
  <c r="AQ791" i="80"/>
  <c r="AP791" i="80"/>
  <c r="AO791" i="80"/>
  <c r="AN791" i="80"/>
  <c r="AM791" i="80"/>
  <c r="AL791" i="80"/>
  <c r="AK791" i="80"/>
  <c r="AJ791" i="80"/>
  <c r="AI791" i="80"/>
  <c r="AH791" i="80"/>
  <c r="AG791" i="80"/>
  <c r="AF791" i="80"/>
  <c r="AE791" i="80"/>
  <c r="AD791" i="80"/>
  <c r="AC791" i="80"/>
  <c r="AB791" i="80"/>
  <c r="AA791" i="80"/>
  <c r="Z791" i="80"/>
  <c r="Y791" i="80"/>
  <c r="X791" i="80"/>
  <c r="W791" i="80"/>
  <c r="V791" i="80"/>
  <c r="U791" i="80"/>
  <c r="T791" i="80"/>
  <c r="S791" i="80"/>
  <c r="R791" i="80"/>
  <c r="Q791" i="80"/>
  <c r="P791" i="80"/>
  <c r="O791" i="80"/>
  <c r="N791" i="80"/>
  <c r="M791" i="80"/>
  <c r="L791" i="80"/>
  <c r="K791" i="80"/>
  <c r="J791" i="80"/>
  <c r="I791" i="80"/>
  <c r="H791" i="80"/>
  <c r="G791" i="80"/>
  <c r="F791" i="80"/>
  <c r="E791" i="80"/>
  <c r="BP790" i="80"/>
  <c r="BO790" i="80"/>
  <c r="BN790" i="80"/>
  <c r="BM790" i="80"/>
  <c r="BP789" i="80"/>
  <c r="BO789" i="80"/>
  <c r="BN789" i="80"/>
  <c r="BM789" i="80"/>
  <c r="BP788" i="80"/>
  <c r="BO788" i="80"/>
  <c r="BN788" i="80"/>
  <c r="BM788" i="80"/>
  <c r="BP787" i="80"/>
  <c r="BO787" i="80"/>
  <c r="BN787" i="80"/>
  <c r="BM787" i="80"/>
  <c r="BP786" i="80"/>
  <c r="BO786" i="80"/>
  <c r="BN786" i="80"/>
  <c r="BM786" i="80"/>
  <c r="BP785" i="80"/>
  <c r="BO785" i="80"/>
  <c r="BN785" i="80"/>
  <c r="BM785" i="80"/>
  <c r="BP784" i="80"/>
  <c r="BO784" i="80"/>
  <c r="BN784" i="80"/>
  <c r="BM784" i="80"/>
  <c r="BP783" i="80"/>
  <c r="BO783" i="80"/>
  <c r="BN783" i="80"/>
  <c r="BM783" i="80"/>
  <c r="BK789" i="80"/>
  <c r="BJ789" i="80"/>
  <c r="BI789" i="80"/>
  <c r="BH789" i="80"/>
  <c r="BK788" i="80"/>
  <c r="BJ788" i="80"/>
  <c r="BI788" i="80"/>
  <c r="BH788" i="80"/>
  <c r="BK787" i="80"/>
  <c r="BJ787" i="80"/>
  <c r="BI787" i="80"/>
  <c r="BH787" i="80"/>
  <c r="BK786" i="80"/>
  <c r="BJ786" i="80"/>
  <c r="BI786" i="80"/>
  <c r="BH786" i="80"/>
  <c r="BK785" i="80"/>
  <c r="BJ785" i="80"/>
  <c r="BI785" i="80"/>
  <c r="BH785" i="80"/>
  <c r="BK784" i="80"/>
  <c r="BJ784" i="80"/>
  <c r="BI784" i="80"/>
  <c r="BH784" i="80"/>
  <c r="BK783" i="80"/>
  <c r="BJ783" i="80"/>
  <c r="BI783" i="80"/>
  <c r="BH783" i="80"/>
  <c r="BF789" i="80"/>
  <c r="BE789" i="80"/>
  <c r="BD789" i="80"/>
  <c r="BC789" i="80"/>
  <c r="BF788" i="80"/>
  <c r="BE788" i="80"/>
  <c r="BD788" i="80"/>
  <c r="BC788" i="80"/>
  <c r="BF787" i="80"/>
  <c r="BE787" i="80"/>
  <c r="BD787" i="80"/>
  <c r="BC787" i="80"/>
  <c r="BF786" i="80"/>
  <c r="BE786" i="80"/>
  <c r="BD786" i="80"/>
  <c r="BC786" i="80"/>
  <c r="BF785" i="80"/>
  <c r="BE785" i="80"/>
  <c r="BD785" i="80"/>
  <c r="BC785" i="80"/>
  <c r="BF784" i="80"/>
  <c r="BE784" i="80"/>
  <c r="BD784" i="80"/>
  <c r="BC784" i="80"/>
  <c r="BF783" i="80"/>
  <c r="BE783" i="80"/>
  <c r="BD783" i="80"/>
  <c r="BC783" i="80"/>
  <c r="BA789" i="80"/>
  <c r="AZ789" i="80"/>
  <c r="AY789" i="80"/>
  <c r="AX789" i="80"/>
  <c r="BA788" i="80"/>
  <c r="AZ788" i="80"/>
  <c r="AY788" i="80"/>
  <c r="AX788" i="80"/>
  <c r="BA787" i="80"/>
  <c r="AZ787" i="80"/>
  <c r="AY787" i="80"/>
  <c r="AX787" i="80"/>
  <c r="BA786" i="80"/>
  <c r="AZ786" i="80"/>
  <c r="AY786" i="80"/>
  <c r="AX786" i="80"/>
  <c r="BA785" i="80"/>
  <c r="AZ785" i="80"/>
  <c r="AY785" i="80"/>
  <c r="AX785" i="80"/>
  <c r="BA784" i="80"/>
  <c r="AZ784" i="80"/>
  <c r="AY784" i="80"/>
  <c r="AX784" i="80"/>
  <c r="BA783" i="80"/>
  <c r="AZ783" i="80"/>
  <c r="AY783" i="80"/>
  <c r="AX783" i="80"/>
  <c r="BQ782" i="80"/>
  <c r="BQ791" i="80" s="1"/>
  <c r="BP782" i="80"/>
  <c r="BP791" i="80" s="1"/>
  <c r="BP827" i="80" s="1"/>
  <c r="BP830" i="80" s="1"/>
  <c r="BO782" i="80"/>
  <c r="BO791" i="80" s="1"/>
  <c r="BO827" i="80" s="1"/>
  <c r="BO830" i="80" s="1"/>
  <c r="BN782" i="80"/>
  <c r="BN791" i="80" s="1"/>
  <c r="BN827" i="80" s="1"/>
  <c r="BN830" i="80" s="1"/>
  <c r="BM782" i="80"/>
  <c r="BM791" i="80" s="1"/>
  <c r="BM827" i="80" s="1"/>
  <c r="BL782" i="80"/>
  <c r="BI782" i="80" s="1"/>
  <c r="BK782" i="80"/>
  <c r="BJ782" i="80"/>
  <c r="BH782" i="80"/>
  <c r="BG782" i="80"/>
  <c r="BE782" i="80" s="1"/>
  <c r="BC782" i="80"/>
  <c r="BB782" i="80"/>
  <c r="BA782" i="80" s="1"/>
  <c r="AY782" i="80"/>
  <c r="AX782" i="80"/>
  <c r="AY780" i="80"/>
  <c r="AX780" i="80"/>
  <c r="AW780" i="80"/>
  <c r="AR780" i="80"/>
  <c r="AM780" i="80"/>
  <c r="AH780" i="80"/>
  <c r="AD780" i="80"/>
  <c r="AC780" i="80"/>
  <c r="X780" i="80"/>
  <c r="S780" i="80"/>
  <c r="N780" i="80"/>
  <c r="I780" i="80"/>
  <c r="CC791" i="80"/>
  <c r="CC790" i="80"/>
  <c r="CC789" i="80"/>
  <c r="CC788" i="80"/>
  <c r="CC787" i="80"/>
  <c r="CC786" i="80"/>
  <c r="CC785" i="80"/>
  <c r="CC784" i="80"/>
  <c r="CC783" i="80"/>
  <c r="CC782" i="80"/>
  <c r="CC781" i="80"/>
  <c r="CC780" i="80"/>
  <c r="CC779" i="80"/>
  <c r="BP779" i="80"/>
  <c r="BO779" i="80"/>
  <c r="BN779" i="80"/>
  <c r="BM779" i="80"/>
  <c r="AY779" i="80"/>
  <c r="AZ779" i="80" s="1"/>
  <c r="BA779" i="80" s="1"/>
  <c r="BP777" i="80"/>
  <c r="BO777" i="80"/>
  <c r="BK777" i="80"/>
  <c r="BJ777" i="80"/>
  <c r="BI777" i="80"/>
  <c r="BN777" i="80" s="1"/>
  <c r="BH777" i="80"/>
  <c r="BM777" i="80" s="1"/>
  <c r="BF777" i="80"/>
  <c r="BE777" i="80"/>
  <c r="BD777" i="80"/>
  <c r="BC777" i="80"/>
  <c r="BA777" i="80"/>
  <c r="AZ777" i="80"/>
  <c r="AY777" i="80"/>
  <c r="AX777" i="80"/>
  <c r="BB777" i="80" s="1"/>
  <c r="AW776" i="80"/>
  <c r="AU776" i="80"/>
  <c r="AT776" i="80"/>
  <c r="AS776" i="80"/>
  <c r="AR776" i="80"/>
  <c r="AP776" i="80"/>
  <c r="AO776" i="80"/>
  <c r="AN776" i="80"/>
  <c r="AM776" i="80"/>
  <c r="AK776" i="80"/>
  <c r="AJ776" i="80"/>
  <c r="AI776" i="80"/>
  <c r="AH776" i="80"/>
  <c r="AF776" i="80"/>
  <c r="AE776" i="80"/>
  <c r="AD776" i="80"/>
  <c r="AC776" i="80"/>
  <c r="AA776" i="80"/>
  <c r="Z776" i="80"/>
  <c r="Y776" i="80"/>
  <c r="X776" i="80"/>
  <c r="V776" i="80"/>
  <c r="U776" i="80"/>
  <c r="T776" i="80"/>
  <c r="S776" i="80"/>
  <c r="Q776" i="80"/>
  <c r="P776" i="80"/>
  <c r="O776" i="80"/>
  <c r="N776" i="80"/>
  <c r="L776" i="80"/>
  <c r="K776" i="80"/>
  <c r="J776" i="80"/>
  <c r="I776" i="80"/>
  <c r="G776" i="80"/>
  <c r="F776" i="80"/>
  <c r="E776" i="80"/>
  <c r="CC778" i="80"/>
  <c r="CD777" i="80"/>
  <c r="CC777" i="80"/>
  <c r="CC776" i="80"/>
  <c r="CC775" i="80"/>
  <c r="AV774" i="80"/>
  <c r="AV780" i="80" s="1"/>
  <c r="AS780" i="80"/>
  <c r="AQ774" i="80"/>
  <c r="AQ780" i="80" s="1"/>
  <c r="AL774" i="80"/>
  <c r="AD774" i="80"/>
  <c r="AE774" i="80" s="1"/>
  <c r="AF774" i="80" s="1"/>
  <c r="AF780" i="80" s="1"/>
  <c r="AB774" i="80"/>
  <c r="AB780" i="80" s="1"/>
  <c r="Y774" i="80"/>
  <c r="Y780" i="80" s="1"/>
  <c r="W774" i="80"/>
  <c r="V774" i="80" s="1"/>
  <c r="R774" i="80"/>
  <c r="R780" i="80" s="1"/>
  <c r="Q774" i="80"/>
  <c r="M774" i="80"/>
  <c r="M780" i="80" s="1"/>
  <c r="H774" i="80"/>
  <c r="H780" i="80" s="1"/>
  <c r="G774" i="80"/>
  <c r="F774" i="80" s="1"/>
  <c r="AX772" i="80"/>
  <c r="AY772" i="80" s="1"/>
  <c r="AZ772" i="80" s="1"/>
  <c r="BA772" i="80" s="1"/>
  <c r="BB772" i="80" s="1"/>
  <c r="BC772" i="80" s="1"/>
  <c r="BD772" i="80" s="1"/>
  <c r="BE772" i="80" s="1"/>
  <c r="BF772" i="80" s="1"/>
  <c r="BG772" i="80" s="1"/>
  <c r="BH772" i="80" s="1"/>
  <c r="BI772" i="80" s="1"/>
  <c r="BJ772" i="80" s="1"/>
  <c r="BK772" i="80" s="1"/>
  <c r="BL772" i="80" s="1"/>
  <c r="BM772" i="80" s="1"/>
  <c r="BN772" i="80" s="1"/>
  <c r="BO772" i="80" s="1"/>
  <c r="BP772" i="80" s="1"/>
  <c r="BQ772" i="80" s="1"/>
  <c r="AV772" i="80"/>
  <c r="AT772" i="80"/>
  <c r="AU772" i="80" s="1"/>
  <c r="AQ772" i="80"/>
  <c r="AO772" i="80"/>
  <c r="AO768" i="80" s="1"/>
  <c r="AO770" i="80" s="1"/>
  <c r="AL772" i="80"/>
  <c r="AK772" i="80"/>
  <c r="AJ772" i="80" s="1"/>
  <c r="AI772" i="80" s="1"/>
  <c r="AG772" i="80"/>
  <c r="AF772" i="80"/>
  <c r="AD772" i="80"/>
  <c r="AE772" i="80" s="1"/>
  <c r="AB772" i="80"/>
  <c r="AA772" i="80"/>
  <c r="Y772" i="80"/>
  <c r="Z772" i="80" s="1"/>
  <c r="W772" i="80"/>
  <c r="V772" i="80"/>
  <c r="T772" i="80"/>
  <c r="U772" i="80" s="1"/>
  <c r="R772" i="80"/>
  <c r="Q772" i="80" s="1"/>
  <c r="M772" i="80"/>
  <c r="L772" i="80"/>
  <c r="K772" i="80" s="1"/>
  <c r="J772" i="80" s="1"/>
  <c r="H772" i="80"/>
  <c r="G772" i="80" s="1"/>
  <c r="AW770" i="80"/>
  <c r="AX776" i="80" s="1"/>
  <c r="AX13" i="80" s="1"/>
  <c r="AX820" i="80" s="1"/>
  <c r="AR770" i="80"/>
  <c r="AC770" i="80"/>
  <c r="X770" i="80"/>
  <c r="I770" i="80"/>
  <c r="AV769" i="80"/>
  <c r="AQ769" i="80"/>
  <c r="AQ768" i="80"/>
  <c r="AQ770" i="80" s="1"/>
  <c r="AL769" i="80"/>
  <c r="AG769" i="80"/>
  <c r="AG768" i="80"/>
  <c r="AG770" i="80" s="1"/>
  <c r="AB769" i="80"/>
  <c r="W769" i="80"/>
  <c r="W768" i="80"/>
  <c r="W770" i="80" s="1"/>
  <c r="R769" i="80"/>
  <c r="M769" i="80"/>
  <c r="M768" i="80"/>
  <c r="M770" i="80" s="1"/>
  <c r="H769" i="80"/>
  <c r="AW768" i="80"/>
  <c r="AV768" i="80" s="1"/>
  <c r="AV770" i="80" s="1"/>
  <c r="AR768" i="80"/>
  <c r="AM768" i="80"/>
  <c r="AM770" i="80" s="1"/>
  <c r="AH768" i="80"/>
  <c r="AH770" i="80" s="1"/>
  <c r="AM779" i="80" s="1"/>
  <c r="AF768" i="80"/>
  <c r="AF770" i="80" s="1"/>
  <c r="AE768" i="80"/>
  <c r="AE770" i="80" s="1"/>
  <c r="AC768" i="80"/>
  <c r="AB768" i="80" s="1"/>
  <c r="AB770" i="80" s="1"/>
  <c r="X768" i="80"/>
  <c r="V768" i="80"/>
  <c r="V770" i="80" s="1"/>
  <c r="S768" i="80"/>
  <c r="S770" i="80" s="1"/>
  <c r="N768" i="80"/>
  <c r="N770" i="80" s="1"/>
  <c r="S779" i="80" s="1"/>
  <c r="I768" i="80"/>
  <c r="H768" i="80" s="1"/>
  <c r="H770" i="80" s="1"/>
  <c r="CC774" i="80"/>
  <c r="CD773" i="80"/>
  <c r="CC773" i="80"/>
  <c r="CC772" i="80"/>
  <c r="CD771" i="80"/>
  <c r="CC771" i="80"/>
  <c r="CC770" i="80"/>
  <c r="CD769" i="80"/>
  <c r="CC769" i="80"/>
  <c r="CC768" i="80"/>
  <c r="CD767" i="80"/>
  <c r="CC767" i="80"/>
  <c r="CA805" i="80"/>
  <c r="BZ805" i="80"/>
  <c r="CA804" i="80"/>
  <c r="BZ804" i="80"/>
  <c r="CA803" i="80"/>
  <c r="BZ803" i="80"/>
  <c r="CA802" i="80"/>
  <c r="BZ802" i="80"/>
  <c r="CA801" i="80"/>
  <c r="BZ801" i="80"/>
  <c r="CA800" i="80"/>
  <c r="BZ800" i="80"/>
  <c r="CA799" i="80"/>
  <c r="BZ799" i="80"/>
  <c r="CA798" i="80"/>
  <c r="BZ798" i="80"/>
  <c r="CA797" i="80"/>
  <c r="BZ797" i="80"/>
  <c r="CA796" i="80"/>
  <c r="BZ796" i="80"/>
  <c r="CA795" i="80"/>
  <c r="BZ795" i="80"/>
  <c r="CA794" i="80"/>
  <c r="BZ794" i="80"/>
  <c r="CA793" i="80"/>
  <c r="BZ793" i="80"/>
  <c r="CA792" i="80"/>
  <c r="BZ792" i="80"/>
  <c r="CA791" i="80"/>
  <c r="BZ791" i="80"/>
  <c r="CA790" i="80"/>
  <c r="BZ790" i="80"/>
  <c r="CA789" i="80"/>
  <c r="BZ789" i="80"/>
  <c r="CA788" i="80"/>
  <c r="BZ788" i="80"/>
  <c r="CA787" i="80"/>
  <c r="BZ787" i="80"/>
  <c r="CA786" i="80"/>
  <c r="BZ786" i="80"/>
  <c r="CA785" i="80"/>
  <c r="BZ785" i="80"/>
  <c r="CA784" i="80"/>
  <c r="BZ784" i="80"/>
  <c r="CA783" i="80"/>
  <c r="BZ783" i="80"/>
  <c r="CA782" i="80"/>
  <c r="BZ782" i="80"/>
  <c r="CA781" i="80"/>
  <c r="BZ781" i="80"/>
  <c r="CA780" i="80"/>
  <c r="BZ780" i="80"/>
  <c r="CA779" i="80"/>
  <c r="BZ779" i="80"/>
  <c r="CA778" i="80"/>
  <c r="BZ778" i="80"/>
  <c r="CA777" i="80"/>
  <c r="BZ777" i="80"/>
  <c r="CA776" i="80"/>
  <c r="BZ776" i="80"/>
  <c r="CA775" i="80"/>
  <c r="BZ775" i="80"/>
  <c r="CA774" i="80"/>
  <c r="BZ774" i="80"/>
  <c r="CA773" i="80"/>
  <c r="BZ773" i="80"/>
  <c r="CA772" i="80"/>
  <c r="BZ772" i="80"/>
  <c r="CA771" i="80"/>
  <c r="BZ771" i="80"/>
  <c r="CA770" i="80"/>
  <c r="BZ770" i="80"/>
  <c r="CA769" i="80"/>
  <c r="BZ769" i="80"/>
  <c r="CA768" i="80"/>
  <c r="BZ768" i="80"/>
  <c r="CA767" i="80"/>
  <c r="BZ767" i="80"/>
  <c r="AT764" i="80"/>
  <c r="AS764" i="80"/>
  <c r="AD764" i="80"/>
  <c r="V764" i="80"/>
  <c r="Q764" i="80"/>
  <c r="N764" i="80"/>
  <c r="BQ764" i="80"/>
  <c r="BB763" i="80"/>
  <c r="AX763" i="80" s="1"/>
  <c r="AU763" i="80"/>
  <c r="AT763" i="80"/>
  <c r="AS763" i="80"/>
  <c r="AR763" i="80"/>
  <c r="AR764" i="80" s="1"/>
  <c r="AP763" i="80"/>
  <c r="AP764" i="80" s="1"/>
  <c r="AO763" i="80"/>
  <c r="AN763" i="80"/>
  <c r="AN764" i="80" s="1"/>
  <c r="AM763" i="80"/>
  <c r="AK763" i="80"/>
  <c r="AJ763" i="80"/>
  <c r="AI763" i="80"/>
  <c r="AH763" i="80"/>
  <c r="AH764" i="80" s="1"/>
  <c r="AF763" i="80"/>
  <c r="AE763" i="80"/>
  <c r="AE764" i="80" s="1"/>
  <c r="AD763" i="80"/>
  <c r="AC763" i="80"/>
  <c r="AA763" i="80"/>
  <c r="AA764" i="80" s="1"/>
  <c r="Z763" i="80"/>
  <c r="Z764" i="80" s="1"/>
  <c r="Y763" i="80"/>
  <c r="X763" i="80"/>
  <c r="V763" i="80"/>
  <c r="U763" i="80"/>
  <c r="T763" i="80"/>
  <c r="S763" i="80"/>
  <c r="S764" i="80" s="1"/>
  <c r="Q763" i="80"/>
  <c r="P763" i="80"/>
  <c r="O763" i="80"/>
  <c r="N763" i="80"/>
  <c r="L763" i="80"/>
  <c r="K763" i="80"/>
  <c r="J763" i="80"/>
  <c r="J764" i="80" s="1"/>
  <c r="I763" i="80"/>
  <c r="G763" i="80"/>
  <c r="F763" i="80"/>
  <c r="E763" i="80"/>
  <c r="Q760" i="80"/>
  <c r="Q761" i="80" s="1"/>
  <c r="L760" i="80"/>
  <c r="L761" i="80" s="1"/>
  <c r="K760" i="80"/>
  <c r="K761" i="80" s="1"/>
  <c r="G760" i="80"/>
  <c r="E760" i="80"/>
  <c r="AU759" i="80"/>
  <c r="AT759" i="80"/>
  <c r="AS759" i="80"/>
  <c r="AQ759" i="80"/>
  <c r="AP759" i="80"/>
  <c r="AO759" i="80"/>
  <c r="AN759" i="80"/>
  <c r="AR759" i="80" s="1"/>
  <c r="AL759" i="80"/>
  <c r="AK759" i="80"/>
  <c r="AJ759" i="80"/>
  <c r="AI759" i="80"/>
  <c r="AM759" i="80" s="1"/>
  <c r="AG759" i="80"/>
  <c r="AF759" i="80"/>
  <c r="AE759" i="80"/>
  <c r="AD759" i="80"/>
  <c r="AB759" i="80"/>
  <c r="AA759" i="80"/>
  <c r="Z759" i="80"/>
  <c r="Y759" i="80"/>
  <c r="AC759" i="80" s="1"/>
  <c r="X759" i="80"/>
  <c r="BP759" i="80"/>
  <c r="BO759" i="80"/>
  <c r="BN759" i="80"/>
  <c r="BM759" i="80"/>
  <c r="BO758" i="80"/>
  <c r="BN758" i="80"/>
  <c r="BM758" i="80"/>
  <c r="BP758" i="80" s="1"/>
  <c r="BK759" i="80"/>
  <c r="BJ759" i="80"/>
  <c r="BI759" i="80"/>
  <c r="BH759" i="80"/>
  <c r="BJ758" i="80"/>
  <c r="BI758" i="80"/>
  <c r="BH758" i="80"/>
  <c r="BK758" i="80" s="1"/>
  <c r="BF759" i="80"/>
  <c r="BE759" i="80"/>
  <c r="BD759" i="80"/>
  <c r="BC759" i="80"/>
  <c r="BE758" i="80"/>
  <c r="BD758" i="80"/>
  <c r="BC758" i="80"/>
  <c r="BA759" i="80"/>
  <c r="AZ759" i="80"/>
  <c r="AY759" i="80"/>
  <c r="AX759" i="80"/>
  <c r="AZ758" i="80"/>
  <c r="AY758" i="80"/>
  <c r="AX758" i="80"/>
  <c r="BA758" i="80" s="1"/>
  <c r="AT758" i="80"/>
  <c r="AS758" i="80"/>
  <c r="AP758" i="80"/>
  <c r="AO758" i="80"/>
  <c r="AN758" i="80"/>
  <c r="AQ758" i="80" s="1"/>
  <c r="AH758" i="80"/>
  <c r="AF758" i="80"/>
  <c r="AE758" i="80"/>
  <c r="AG758" i="80" s="1"/>
  <c r="AB758" i="80"/>
  <c r="X758" i="80"/>
  <c r="W758" i="80" s="1"/>
  <c r="V758" i="80"/>
  <c r="U758" i="80"/>
  <c r="T758" i="80"/>
  <c r="S758" i="80"/>
  <c r="N758" i="80"/>
  <c r="N757" i="80"/>
  <c r="AO757" i="80"/>
  <c r="AO760" i="80" s="1"/>
  <c r="AN757" i="80"/>
  <c r="AN760" i="80" s="1"/>
  <c r="AK757" i="80"/>
  <c r="AJ757" i="80"/>
  <c r="AI757" i="80"/>
  <c r="U757" i="80"/>
  <c r="U760" i="80" s="1"/>
  <c r="U761" i="80" s="1"/>
  <c r="T757" i="80"/>
  <c r="T760" i="80" s="1"/>
  <c r="Q757" i="80"/>
  <c r="P757" i="80"/>
  <c r="P760" i="80" s="1"/>
  <c r="P761" i="80" s="1"/>
  <c r="O757" i="80"/>
  <c r="O760" i="80" s="1"/>
  <c r="L757" i="80"/>
  <c r="K757" i="80"/>
  <c r="J757" i="80"/>
  <c r="J760" i="80" s="1"/>
  <c r="I757" i="80"/>
  <c r="G757" i="80"/>
  <c r="F757" i="80"/>
  <c r="F760" i="80" s="1"/>
  <c r="E757" i="80"/>
  <c r="AF753" i="80"/>
  <c r="AA753" i="80"/>
  <c r="Z753" i="80"/>
  <c r="U753" i="80"/>
  <c r="AR751" i="80"/>
  <c r="AO751" i="80" s="1"/>
  <c r="AG751" i="80"/>
  <c r="AG753" i="80" s="1"/>
  <c r="AF751" i="80"/>
  <c r="AE751" i="80"/>
  <c r="AE753" i="80" s="1"/>
  <c r="AD751" i="80"/>
  <c r="AD753" i="80" s="1"/>
  <c r="AB751" i="80"/>
  <c r="AB753" i="80" s="1"/>
  <c r="AA751" i="80"/>
  <c r="Z751" i="80"/>
  <c r="Y751" i="80"/>
  <c r="Y753" i="80" s="1"/>
  <c r="W751" i="80"/>
  <c r="W753" i="80" s="1"/>
  <c r="V751" i="80"/>
  <c r="U751" i="80"/>
  <c r="BG749" i="80"/>
  <c r="BG751" i="80" s="1"/>
  <c r="BG748" i="80"/>
  <c r="BG747" i="80"/>
  <c r="BB749" i="80"/>
  <c r="BB748" i="80"/>
  <c r="BB751" i="80" s="1"/>
  <c r="BB747" i="80"/>
  <c r="AW749" i="80"/>
  <c r="AW748" i="80"/>
  <c r="AW747" i="80"/>
  <c r="AR749" i="80"/>
  <c r="AR748" i="80"/>
  <c r="AR747" i="80"/>
  <c r="AM748" i="80"/>
  <c r="AM751" i="80" s="1"/>
  <c r="AM747" i="80"/>
  <c r="BQ745" i="80"/>
  <c r="BL745" i="80"/>
  <c r="AG742" i="80"/>
  <c r="AF742" i="80"/>
  <c r="AE742" i="80"/>
  <c r="AD742" i="80"/>
  <c r="AB742" i="80"/>
  <c r="AA742" i="80"/>
  <c r="Z742" i="80"/>
  <c r="Y742" i="80"/>
  <c r="W742" i="80"/>
  <c r="V742" i="80"/>
  <c r="V753" i="80" s="1"/>
  <c r="U742" i="80"/>
  <c r="T742" i="80"/>
  <c r="BL740" i="80"/>
  <c r="BG740" i="80"/>
  <c r="BG739" i="80"/>
  <c r="BG742" i="80" s="1"/>
  <c r="BB740" i="80"/>
  <c r="BB739" i="80"/>
  <c r="BB742" i="80" s="1"/>
  <c r="AW740" i="80"/>
  <c r="AW739" i="80"/>
  <c r="AW742" i="80" s="1"/>
  <c r="AR740" i="80"/>
  <c r="AR739" i="80"/>
  <c r="AM740" i="80"/>
  <c r="AM739" i="80"/>
  <c r="AM742" i="80" s="1"/>
  <c r="AD740" i="80"/>
  <c r="AE740" i="80" s="1"/>
  <c r="AF740" i="80" s="1"/>
  <c r="AG740" i="80" s="1"/>
  <c r="Y740" i="80"/>
  <c r="Z740" i="80" s="1"/>
  <c r="AA740" i="80" s="1"/>
  <c r="AB740" i="80" s="1"/>
  <c r="BL735" i="80"/>
  <c r="BL739" i="80" s="1"/>
  <c r="BL734" i="80"/>
  <c r="BB736" i="80"/>
  <c r="AW736" i="80"/>
  <c r="AU731" i="80"/>
  <c r="AV731" i="80" s="1"/>
  <c r="AS731" i="80"/>
  <c r="AT731" i="80" s="1"/>
  <c r="AN731" i="80"/>
  <c r="AO731" i="80" s="1"/>
  <c r="AP731" i="80" s="1"/>
  <c r="AQ731" i="80" s="1"/>
  <c r="AI731" i="80"/>
  <c r="AJ731" i="80" s="1"/>
  <c r="AK731" i="80" s="1"/>
  <c r="AL731" i="80" s="1"/>
  <c r="AG731" i="80"/>
  <c r="AF731" i="80"/>
  <c r="AD731" i="80"/>
  <c r="AE731" i="80" s="1"/>
  <c r="AA731" i="80"/>
  <c r="AB731" i="80" s="1"/>
  <c r="Y731" i="80"/>
  <c r="Z731" i="80" s="1"/>
  <c r="BE721" i="80"/>
  <c r="BA721" i="80"/>
  <c r="AZ721" i="80"/>
  <c r="Y721" i="80"/>
  <c r="BL720" i="80"/>
  <c r="BH720" i="80"/>
  <c r="BI720" i="80" s="1"/>
  <c r="BG720" i="80"/>
  <c r="BF720" i="80"/>
  <c r="BC720" i="80"/>
  <c r="BD720" i="80" s="1"/>
  <c r="BB720" i="80"/>
  <c r="BA720" i="80"/>
  <c r="AK720" i="80"/>
  <c r="AL720" i="80" s="1"/>
  <c r="AJ720" i="80"/>
  <c r="AF720" i="80"/>
  <c r="AG720" i="80" s="1"/>
  <c r="AE720" i="80"/>
  <c r="AA720" i="80"/>
  <c r="AB720" i="80" s="1"/>
  <c r="Z720" i="80"/>
  <c r="BO720" i="80"/>
  <c r="BP720" i="80" s="1"/>
  <c r="BQ720" i="80" s="1"/>
  <c r="BN720" i="80"/>
  <c r="BF719" i="80"/>
  <c r="BH719" i="80" s="1"/>
  <c r="BE719" i="80"/>
  <c r="BB719" i="80"/>
  <c r="BA719" i="80"/>
  <c r="BC719" i="80" s="1"/>
  <c r="AZ719" i="80"/>
  <c r="AP719" i="80"/>
  <c r="AQ719" i="80" s="1"/>
  <c r="Y719" i="80"/>
  <c r="Z719" i="80" s="1"/>
  <c r="AW715" i="80"/>
  <c r="AV715" i="80"/>
  <c r="AR715" i="80"/>
  <c r="AQ715" i="80"/>
  <c r="AP715" i="80"/>
  <c r="AO715" i="80"/>
  <c r="AN715" i="80"/>
  <c r="AM715" i="80"/>
  <c r="AL715" i="80"/>
  <c r="AK715" i="80"/>
  <c r="AJ715" i="80"/>
  <c r="AI715" i="80"/>
  <c r="AH715" i="80"/>
  <c r="AG715" i="80"/>
  <c r="AF715" i="80"/>
  <c r="AE715" i="80"/>
  <c r="AD715" i="80"/>
  <c r="AC715" i="80"/>
  <c r="AB715" i="80"/>
  <c r="AA715" i="80"/>
  <c r="Z715" i="80"/>
  <c r="Y715" i="80"/>
  <c r="AO710" i="80"/>
  <c r="AP710" i="80" s="1"/>
  <c r="AQ710" i="80" s="1"/>
  <c r="AR710" i="80" s="1"/>
  <c r="AS710" i="80" s="1"/>
  <c r="AT710" i="80" s="1"/>
  <c r="AU710" i="80" s="1"/>
  <c r="AL710" i="80"/>
  <c r="AM710" i="80" s="1"/>
  <c r="AN710" i="80" s="1"/>
  <c r="AK710" i="80"/>
  <c r="AX709" i="80"/>
  <c r="AW709" i="80"/>
  <c r="AV709" i="80"/>
  <c r="I709" i="80"/>
  <c r="Y709" i="80" s="1"/>
  <c r="AY706" i="80"/>
  <c r="AX706" i="80"/>
  <c r="AY705" i="80"/>
  <c r="AZ705" i="80" s="1"/>
  <c r="BA705" i="80" s="1"/>
  <c r="AX705" i="80"/>
  <c r="BA704" i="80"/>
  <c r="AZ704" i="80"/>
  <c r="AY704" i="80"/>
  <c r="AA704" i="80"/>
  <c r="AB704" i="80" s="1"/>
  <c r="Z704" i="80"/>
  <c r="I704" i="80"/>
  <c r="AA699" i="80"/>
  <c r="Z699" i="80"/>
  <c r="I699" i="80"/>
  <c r="Y699" i="80" s="1"/>
  <c r="I694" i="80"/>
  <c r="Y694" i="80" s="1"/>
  <c r="Z694" i="80" s="1"/>
  <c r="BK689" i="80"/>
  <c r="BF689" i="80"/>
  <c r="BD689" i="80"/>
  <c r="BB689" i="80"/>
  <c r="BC689" i="80" s="1"/>
  <c r="BA689" i="80"/>
  <c r="I689" i="80"/>
  <c r="Y689" i="80" s="1"/>
  <c r="BK684" i="80"/>
  <c r="BL684" i="80" s="1"/>
  <c r="BM684" i="80" s="1"/>
  <c r="BJ684" i="80"/>
  <c r="BG684" i="80"/>
  <c r="BH684" i="80" s="1"/>
  <c r="BE684" i="80"/>
  <c r="BF684" i="80" s="1"/>
  <c r="BA684" i="80"/>
  <c r="BB684" i="80" s="1"/>
  <c r="BC684" i="80" s="1"/>
  <c r="AZ684" i="80"/>
  <c r="AA684" i="80"/>
  <c r="Y684" i="80"/>
  <c r="Z684" i="80" s="1"/>
  <c r="I684" i="80"/>
  <c r="BL679" i="80"/>
  <c r="BM679" i="80" s="1"/>
  <c r="BK679" i="80"/>
  <c r="BF679" i="80"/>
  <c r="Y679" i="80"/>
  <c r="I679" i="80"/>
  <c r="AT674" i="80"/>
  <c r="AS674" i="80"/>
  <c r="AQ674" i="80"/>
  <c r="I674" i="80"/>
  <c r="I723" i="80" s="1"/>
  <c r="Z661" i="80"/>
  <c r="AA661" i="80" s="1"/>
  <c r="Y661" i="80"/>
  <c r="Y659" i="80"/>
  <c r="I659" i="80"/>
  <c r="Y648" i="80"/>
  <c r="Z648" i="80" s="1"/>
  <c r="AA648" i="80" s="1"/>
  <c r="AL646" i="80"/>
  <c r="AK646" i="80"/>
  <c r="AJ646" i="80"/>
  <c r="AM648" i="80" s="1"/>
  <c r="Y646" i="80"/>
  <c r="Y638" i="80" s="1"/>
  <c r="I646" i="80"/>
  <c r="AA623" i="80"/>
  <c r="AB623" i="80" s="1"/>
  <c r="Z623" i="80"/>
  <c r="Y623" i="80"/>
  <c r="Y621" i="80"/>
  <c r="I621" i="80"/>
  <c r="BQ619" i="80"/>
  <c r="BP619" i="80"/>
  <c r="BO619" i="80"/>
  <c r="BN619" i="80"/>
  <c r="BM619" i="80"/>
  <c r="BL619" i="80"/>
  <c r="BK619" i="80"/>
  <c r="BJ619" i="80"/>
  <c r="BI619" i="80"/>
  <c r="BH619" i="80"/>
  <c r="BG619" i="80"/>
  <c r="BF619" i="80"/>
  <c r="BE619" i="80"/>
  <c r="BD619" i="80"/>
  <c r="BC619" i="80"/>
  <c r="BB619" i="80"/>
  <c r="BA619" i="80"/>
  <c r="AZ619" i="80"/>
  <c r="AY619" i="80"/>
  <c r="AX619" i="80"/>
  <c r="AW619" i="80"/>
  <c r="AV619" i="80"/>
  <c r="AU619" i="80"/>
  <c r="AT619" i="80"/>
  <c r="AS619" i="80"/>
  <c r="AR619" i="80"/>
  <c r="AQ619" i="80"/>
  <c r="AP619" i="80"/>
  <c r="AO619" i="80"/>
  <c r="AN619" i="80"/>
  <c r="AM619" i="80"/>
  <c r="AL619" i="80"/>
  <c r="AK619" i="80"/>
  <c r="AJ619" i="80"/>
  <c r="AI619" i="80"/>
  <c r="AH619" i="80"/>
  <c r="AG619" i="80"/>
  <c r="AF619" i="80"/>
  <c r="AE619" i="80"/>
  <c r="AD619" i="80"/>
  <c r="AC619" i="80"/>
  <c r="AB619" i="80"/>
  <c r="AA619" i="80"/>
  <c r="Z619" i="80"/>
  <c r="Y619" i="80"/>
  <c r="Y610" i="80"/>
  <c r="Z610" i="80" s="1"/>
  <c r="AA610" i="80" s="1"/>
  <c r="Y608" i="80"/>
  <c r="Y611" i="80" s="1"/>
  <c r="I608" i="80"/>
  <c r="AJ605" i="80"/>
  <c r="Y586" i="80"/>
  <c r="Z585" i="80"/>
  <c r="AA585" i="80" s="1"/>
  <c r="AB585" i="80" s="1"/>
  <c r="Y585" i="80"/>
  <c r="I583" i="80"/>
  <c r="Y583" i="80"/>
  <c r="Z583" i="80" s="1"/>
  <c r="AC582" i="80"/>
  <c r="AB573" i="80"/>
  <c r="Y573" i="80"/>
  <c r="Z573" i="80" s="1"/>
  <c r="AA573" i="80" s="1"/>
  <c r="Y571" i="80"/>
  <c r="Y574" i="80" s="1"/>
  <c r="BB570" i="80"/>
  <c r="BA570" i="80" s="1"/>
  <c r="AZ570" i="80" s="1"/>
  <c r="AY570" i="80" s="1"/>
  <c r="AX570" i="80" s="1"/>
  <c r="AQ570" i="80"/>
  <c r="AP570" i="80" s="1"/>
  <c r="AO570" i="80" s="1"/>
  <c r="AN570" i="80" s="1"/>
  <c r="AM570" i="80"/>
  <c r="AR570" i="80" s="1"/>
  <c r="AW570" i="80" s="1"/>
  <c r="AV570" i="80" s="1"/>
  <c r="AU570" i="80" s="1"/>
  <c r="AT570" i="80" s="1"/>
  <c r="AS570" i="80" s="1"/>
  <c r="AL570" i="80"/>
  <c r="AK570" i="80" s="1"/>
  <c r="AJ570" i="80" s="1"/>
  <c r="AI570" i="80" s="1"/>
  <c r="AH570" i="80"/>
  <c r="AG570" i="80" s="1"/>
  <c r="AF570" i="80" s="1"/>
  <c r="AE570" i="80"/>
  <c r="AD570" i="80"/>
  <c r="AC570" i="80"/>
  <c r="AB570" i="80"/>
  <c r="AA570" i="80"/>
  <c r="Z570" i="80"/>
  <c r="Y570" i="80" s="1"/>
  <c r="Z562" i="80"/>
  <c r="Z561" i="80"/>
  <c r="AA561" i="80" s="1"/>
  <c r="Y561" i="80"/>
  <c r="AB559" i="80"/>
  <c r="AA559" i="80"/>
  <c r="Y559" i="80"/>
  <c r="Z559" i="80" s="1"/>
  <c r="AC558" i="80"/>
  <c r="AB558" i="80" s="1"/>
  <c r="AA558" i="80" s="1"/>
  <c r="Z558" i="80" s="1"/>
  <c r="Y558" i="80" s="1"/>
  <c r="Y553" i="80"/>
  <c r="BQ550" i="80"/>
  <c r="BP550" i="80"/>
  <c r="BO550" i="80"/>
  <c r="BN550" i="80"/>
  <c r="BM550" i="80"/>
  <c r="BL550" i="80"/>
  <c r="BK550" i="80"/>
  <c r="BJ550" i="80"/>
  <c r="BI550" i="80"/>
  <c r="BH550" i="80"/>
  <c r="BG550" i="80"/>
  <c r="BF550" i="80"/>
  <c r="BE550" i="80"/>
  <c r="BD550" i="80"/>
  <c r="BC550" i="80"/>
  <c r="BB550" i="80"/>
  <c r="BA550" i="80"/>
  <c r="AZ550" i="80"/>
  <c r="AY550" i="80"/>
  <c r="AX550" i="80"/>
  <c r="AW550" i="80"/>
  <c r="AV550" i="80"/>
  <c r="AU550" i="80"/>
  <c r="AT550" i="80"/>
  <c r="AS550" i="80"/>
  <c r="AR550" i="80"/>
  <c r="AQ550" i="80"/>
  <c r="AP550" i="80"/>
  <c r="AO550" i="80"/>
  <c r="AN550" i="80"/>
  <c r="AM550" i="80"/>
  <c r="AL550" i="80"/>
  <c r="AK550" i="80"/>
  <c r="AJ550" i="80"/>
  <c r="AI550" i="80"/>
  <c r="AH550" i="80"/>
  <c r="AG550" i="80"/>
  <c r="AF550" i="80"/>
  <c r="AE550" i="80"/>
  <c r="AD550" i="80"/>
  <c r="AC550" i="80"/>
  <c r="AB550" i="80"/>
  <c r="AA550" i="80"/>
  <c r="Z550" i="80"/>
  <c r="Y550" i="80"/>
  <c r="BM536" i="80"/>
  <c r="BN536" i="80" s="1"/>
  <c r="BH536" i="80"/>
  <c r="BD536" i="80"/>
  <c r="BC536" i="80"/>
  <c r="AZ536" i="80"/>
  <c r="AY536" i="80"/>
  <c r="AX536" i="80"/>
  <c r="AF536" i="80"/>
  <c r="AE536" i="80"/>
  <c r="AD536" i="80"/>
  <c r="AB536" i="80"/>
  <c r="AA536" i="80"/>
  <c r="AD524" i="80"/>
  <c r="AI524" i="80" s="1"/>
  <c r="Z524" i="80"/>
  <c r="AA524" i="80" s="1"/>
  <c r="Y524" i="80"/>
  <c r="I522" i="80"/>
  <c r="AC522" i="80" s="1"/>
  <c r="I520" i="80"/>
  <c r="BP520" i="80" s="1"/>
  <c r="BN520" i="80"/>
  <c r="BJ520" i="80"/>
  <c r="BF520" i="80"/>
  <c r="AX520" i="80"/>
  <c r="AT520" i="80"/>
  <c r="AP520" i="80"/>
  <c r="AL520" i="80"/>
  <c r="AD520" i="80"/>
  <c r="Z520" i="80"/>
  <c r="AJ519" i="80"/>
  <c r="Y505" i="80"/>
  <c r="AD505" i="80" s="1"/>
  <c r="AC503" i="80"/>
  <c r="BV489" i="80"/>
  <c r="CG486" i="80"/>
  <c r="CG485" i="80"/>
  <c r="CG484" i="80"/>
  <c r="CE488" i="80"/>
  <c r="CD488" i="80"/>
  <c r="CC488" i="80"/>
  <c r="CD487" i="80"/>
  <c r="CD489" i="80" s="1"/>
  <c r="CC487" i="80"/>
  <c r="CD486" i="80"/>
  <c r="CC486" i="80"/>
  <c r="CC489" i="80" s="1"/>
  <c r="CA486" i="80"/>
  <c r="CE486" i="80" s="1"/>
  <c r="AE485" i="80"/>
  <c r="AJ485" i="80" s="1"/>
  <c r="AO485" i="80" s="1"/>
  <c r="AT485" i="80" s="1"/>
  <c r="AY485" i="80" s="1"/>
  <c r="BD485" i="80" s="1"/>
  <c r="BI485" i="80" s="1"/>
  <c r="BN485" i="80" s="1"/>
  <c r="AD485" i="80"/>
  <c r="Z485" i="80"/>
  <c r="AA485" i="80" s="1"/>
  <c r="Y485" i="80"/>
  <c r="AC483" i="80"/>
  <c r="AD483" i="80" s="1"/>
  <c r="Y465" i="80"/>
  <c r="AD465" i="80" s="1"/>
  <c r="AX463" i="80"/>
  <c r="AW463" i="80"/>
  <c r="AV463" i="80"/>
  <c r="AT463" i="80"/>
  <c r="AS463" i="80"/>
  <c r="AO463" i="80"/>
  <c r="AN463" i="80"/>
  <c r="AJ463" i="80"/>
  <c r="AI463" i="80"/>
  <c r="AE463" i="80"/>
  <c r="AD463" i="80"/>
  <c r="AD466" i="80" s="1"/>
  <c r="AB463" i="80"/>
  <c r="AA463" i="80"/>
  <c r="Z463" i="80"/>
  <c r="AD445" i="80"/>
  <c r="Z445" i="80"/>
  <c r="AA445" i="80" s="1"/>
  <c r="Y445" i="80"/>
  <c r="AY443" i="80"/>
  <c r="AD443" i="80"/>
  <c r="AC443" i="80"/>
  <c r="AB443" i="80" s="1"/>
  <c r="I443" i="80"/>
  <c r="AZ429" i="80"/>
  <c r="AY429" i="80"/>
  <c r="I429" i="80"/>
  <c r="AC429" i="80" s="1"/>
  <c r="AD429" i="80" s="1"/>
  <c r="AC416" i="80"/>
  <c r="AD416" i="80" s="1"/>
  <c r="AE416" i="80" s="1"/>
  <c r="AB416" i="80"/>
  <c r="AA416" i="80" s="1"/>
  <c r="AC403" i="80"/>
  <c r="AD403" i="80" s="1"/>
  <c r="I390" i="80"/>
  <c r="AC390" i="80" s="1"/>
  <c r="AJ387" i="80"/>
  <c r="BZ370" i="80"/>
  <c r="BZ369" i="80"/>
  <c r="BZ366" i="80"/>
  <c r="BX370" i="80"/>
  <c r="BX369" i="80"/>
  <c r="BX368" i="80"/>
  <c r="BZ368" i="80" s="1"/>
  <c r="BX367" i="80"/>
  <c r="BZ367" i="80" s="1"/>
  <c r="BX366" i="80"/>
  <c r="BD368" i="80"/>
  <c r="BE368" i="80" s="1"/>
  <c r="BF368" i="80" s="1"/>
  <c r="BH368" i="80" s="1"/>
  <c r="BI368" i="80" s="1"/>
  <c r="BJ368" i="80" s="1"/>
  <c r="BK368" i="80" s="1"/>
  <c r="BM368" i="80" s="1"/>
  <c r="BN368" i="80" s="1"/>
  <c r="BO368" i="80" s="1"/>
  <c r="BP368" i="80" s="1"/>
  <c r="AX368" i="80"/>
  <c r="AY368" i="80" s="1"/>
  <c r="Y368" i="80"/>
  <c r="Y369" i="80" s="1"/>
  <c r="AT366" i="80"/>
  <c r="AU366" i="80" s="1"/>
  <c r="AP366" i="80"/>
  <c r="AQ366" i="80" s="1"/>
  <c r="AO366" i="80"/>
  <c r="AK366" i="80"/>
  <c r="AJ366" i="80"/>
  <c r="AF366" i="80"/>
  <c r="AE366" i="80"/>
  <c r="AA366" i="80"/>
  <c r="AB366" i="80" s="1"/>
  <c r="Z366" i="80"/>
  <c r="BL364" i="80"/>
  <c r="BG364" i="80"/>
  <c r="BB364" i="80"/>
  <c r="AW364" i="80"/>
  <c r="AH364" i="80"/>
  <c r="BI355" i="80"/>
  <c r="BN355" i="80" s="1"/>
  <c r="BE355" i="80"/>
  <c r="BD355" i="80"/>
  <c r="AY355" i="80"/>
  <c r="AX355" i="80"/>
  <c r="Z355" i="80"/>
  <c r="AA355" i="80" s="1"/>
  <c r="Y355" i="80"/>
  <c r="Y356" i="80" s="1"/>
  <c r="AA353" i="80"/>
  <c r="Z353" i="80"/>
  <c r="Y353" i="80"/>
  <c r="BL351" i="80"/>
  <c r="BG351" i="80"/>
  <c r="BB351" i="80"/>
  <c r="AW351" i="80"/>
  <c r="AH351" i="80"/>
  <c r="BN342" i="80"/>
  <c r="BJ342" i="80"/>
  <c r="BO342" i="80" s="1"/>
  <c r="BI342" i="80"/>
  <c r="BF342" i="80"/>
  <c r="BE342" i="80"/>
  <c r="BD342" i="80"/>
  <c r="AZ342" i="80"/>
  <c r="AY342" i="80"/>
  <c r="AX342" i="80"/>
  <c r="AB342" i="80"/>
  <c r="Y342" i="80"/>
  <c r="Z342" i="80" s="1"/>
  <c r="AA342" i="80" s="1"/>
  <c r="AF342" i="80" s="1"/>
  <c r="AK342" i="80" s="1"/>
  <c r="AP342" i="80" s="1"/>
  <c r="Y340" i="80"/>
  <c r="Y343" i="80" s="1"/>
  <c r="BL338" i="80"/>
  <c r="BG338" i="80"/>
  <c r="BB338" i="80"/>
  <c r="AW338" i="80"/>
  <c r="AH338" i="80"/>
  <c r="AB329" i="80"/>
  <c r="AD329" i="80" s="1"/>
  <c r="AE329" i="80" s="1"/>
  <c r="AJ329" i="80" s="1"/>
  <c r="AO329" i="80" s="1"/>
  <c r="AT329" i="80" s="1"/>
  <c r="AY329" i="80" s="1"/>
  <c r="BD329" i="80" s="1"/>
  <c r="BI329" i="80" s="1"/>
  <c r="BN329" i="80" s="1"/>
  <c r="AA329" i="80"/>
  <c r="AF329" i="80" s="1"/>
  <c r="AK329" i="80" s="1"/>
  <c r="AP329" i="80" s="1"/>
  <c r="AU329" i="80" s="1"/>
  <c r="AZ329" i="80" s="1"/>
  <c r="BE329" i="80" s="1"/>
  <c r="BJ329" i="80" s="1"/>
  <c r="BO329" i="80" s="1"/>
  <c r="Y329" i="80"/>
  <c r="Z329" i="80" s="1"/>
  <c r="Z327" i="80"/>
  <c r="AA327" i="80" s="1"/>
  <c r="AB327" i="80" s="1"/>
  <c r="Y327" i="80"/>
  <c r="Y330" i="80" s="1"/>
  <c r="BV322" i="80"/>
  <c r="BV323" i="80" s="1"/>
  <c r="BV321" i="80"/>
  <c r="BL325" i="80"/>
  <c r="BG325" i="80"/>
  <c r="BB325" i="80"/>
  <c r="AW325" i="80"/>
  <c r="AH325" i="80"/>
  <c r="Y317" i="80"/>
  <c r="BV316" i="80"/>
  <c r="BV315" i="80"/>
  <c r="BV314" i="80"/>
  <c r="BV313" i="80"/>
  <c r="BA316" i="80"/>
  <c r="BF316" i="80" s="1"/>
  <c r="BH316" i="80" s="1"/>
  <c r="AZ316" i="80"/>
  <c r="BE316" i="80" s="1"/>
  <c r="BJ316" i="80" s="1"/>
  <c r="BO316" i="80" s="1"/>
  <c r="AY316" i="80"/>
  <c r="BD316" i="80" s="1"/>
  <c r="BI316" i="80" s="1"/>
  <c r="BN316" i="80" s="1"/>
  <c r="AX316" i="80"/>
  <c r="AN316" i="80"/>
  <c r="AB316" i="80"/>
  <c r="AD316" i="80" s="1"/>
  <c r="AE316" i="80" s="1"/>
  <c r="AJ316" i="80" s="1"/>
  <c r="AO316" i="80" s="1"/>
  <c r="AA316" i="80"/>
  <c r="AF316" i="80" s="1"/>
  <c r="AK316" i="80" s="1"/>
  <c r="AP316" i="80" s="1"/>
  <c r="Y316" i="80"/>
  <c r="Z316" i="80" s="1"/>
  <c r="Z314" i="80"/>
  <c r="AA314" i="80" s="1"/>
  <c r="AB314" i="80" s="1"/>
  <c r="Y314" i="80"/>
  <c r="BL312" i="80"/>
  <c r="BG312" i="80"/>
  <c r="BB312" i="80"/>
  <c r="AW312" i="80"/>
  <c r="AH312" i="80"/>
  <c r="BY304" i="80"/>
  <c r="BE303" i="80"/>
  <c r="BJ303" i="80" s="1"/>
  <c r="BO303" i="80" s="1"/>
  <c r="BA303" i="80"/>
  <c r="BF303" i="80" s="1"/>
  <c r="AZ303" i="80"/>
  <c r="AY303" i="80"/>
  <c r="BD303" i="80" s="1"/>
  <c r="BI303" i="80" s="1"/>
  <c r="BN303" i="80" s="1"/>
  <c r="AX303" i="80"/>
  <c r="AN303" i="80"/>
  <c r="Y303" i="80"/>
  <c r="Z303" i="80" s="1"/>
  <c r="AA303" i="80" s="1"/>
  <c r="AB301" i="80"/>
  <c r="AC301" i="80" s="1"/>
  <c r="AD301" i="80" s="1"/>
  <c r="AA301" i="80"/>
  <c r="Y301" i="80"/>
  <c r="Z301" i="80" s="1"/>
  <c r="I301" i="80"/>
  <c r="BY298" i="80"/>
  <c r="BY301" i="80" s="1"/>
  <c r="BL299" i="80"/>
  <c r="BG299" i="80"/>
  <c r="BB299" i="80"/>
  <c r="AW299" i="80"/>
  <c r="AH299" i="80"/>
  <c r="BY291" i="80"/>
  <c r="Y291" i="80"/>
  <c r="BD290" i="80"/>
  <c r="BI290" i="80" s="1"/>
  <c r="BN290" i="80" s="1"/>
  <c r="BA290" i="80"/>
  <c r="BC290" i="80" s="1"/>
  <c r="AZ290" i="80"/>
  <c r="BE290" i="80" s="1"/>
  <c r="BJ290" i="80" s="1"/>
  <c r="BO290" i="80" s="1"/>
  <c r="AY290" i="80"/>
  <c r="AX290" i="80"/>
  <c r="AN290" i="80"/>
  <c r="AB290" i="80"/>
  <c r="AD290" i="80" s="1"/>
  <c r="AE290" i="80" s="1"/>
  <c r="AJ290" i="80" s="1"/>
  <c r="AO290" i="80" s="1"/>
  <c r="Z290" i="80"/>
  <c r="AA290" i="80" s="1"/>
  <c r="AF290" i="80" s="1"/>
  <c r="AK290" i="80" s="1"/>
  <c r="AP290" i="80" s="1"/>
  <c r="Y290" i="80"/>
  <c r="AA288" i="80"/>
  <c r="AA291" i="80" s="1"/>
  <c r="Z288" i="80"/>
  <c r="Z291" i="80" s="1"/>
  <c r="I288" i="80"/>
  <c r="Y288" i="80" s="1"/>
  <c r="BL286" i="80"/>
  <c r="BG286" i="80"/>
  <c r="BB286" i="80"/>
  <c r="AW286" i="80"/>
  <c r="AH286" i="80"/>
  <c r="AG286" i="80"/>
  <c r="CA279" i="80"/>
  <c r="BZ279" i="80"/>
  <c r="BY279" i="80"/>
  <c r="CA278" i="80"/>
  <c r="BZ278" i="80"/>
  <c r="BY278" i="80"/>
  <c r="CA277" i="80"/>
  <c r="BZ277" i="80"/>
  <c r="BY277" i="80"/>
  <c r="BP277" i="80"/>
  <c r="BO277" i="80"/>
  <c r="BN277" i="80"/>
  <c r="BM277" i="80"/>
  <c r="BK277" i="80"/>
  <c r="BJ277" i="80"/>
  <c r="BI277" i="80"/>
  <c r="BH277" i="80"/>
  <c r="BF277" i="80"/>
  <c r="BE277" i="80"/>
  <c r="BD277" i="80"/>
  <c r="BC277" i="80"/>
  <c r="BA277" i="80"/>
  <c r="AZ277" i="80"/>
  <c r="AY277" i="80"/>
  <c r="AX277" i="80"/>
  <c r="AV277" i="80"/>
  <c r="AU277" i="80"/>
  <c r="AT277" i="80"/>
  <c r="AS277" i="80"/>
  <c r="AQ277" i="80"/>
  <c r="AP277" i="80"/>
  <c r="AO277" i="80"/>
  <c r="AN277" i="80"/>
  <c r="AL277" i="80"/>
  <c r="AK277" i="80"/>
  <c r="AJ277" i="80"/>
  <c r="AI277" i="80"/>
  <c r="AG277" i="80"/>
  <c r="AF277" i="80"/>
  <c r="AE277" i="80"/>
  <c r="AD277" i="80"/>
  <c r="AB277" i="80"/>
  <c r="AA277" i="80"/>
  <c r="Z277" i="80"/>
  <c r="Y277" i="80"/>
  <c r="I275" i="80"/>
  <c r="Y275" i="80" s="1"/>
  <c r="BK273" i="80"/>
  <c r="BJ273" i="80" s="1"/>
  <c r="BF273" i="80"/>
  <c r="BF338" i="80" s="1"/>
  <c r="BA273" i="80"/>
  <c r="AV273" i="80"/>
  <c r="AU273" i="80" s="1"/>
  <c r="AR273" i="80"/>
  <c r="AR325" i="80" s="1"/>
  <c r="AM273" i="80"/>
  <c r="AG273" i="80"/>
  <c r="AF273" i="80"/>
  <c r="AF299" i="80" s="1"/>
  <c r="AE273" i="80"/>
  <c r="AE299" i="80" s="1"/>
  <c r="I273" i="80"/>
  <c r="AC273" i="80" s="1"/>
  <c r="BQ273" i="80"/>
  <c r="BQ325" i="80" s="1"/>
  <c r="CA271" i="80"/>
  <c r="AL250" i="80"/>
  <c r="AL247" i="80"/>
  <c r="AL246" i="80"/>
  <c r="AJ250" i="80"/>
  <c r="AJ249" i="80"/>
  <c r="AL249" i="80" s="1"/>
  <c r="AJ248" i="80"/>
  <c r="AL248" i="80" s="1"/>
  <c r="AJ247" i="80"/>
  <c r="AJ246" i="80"/>
  <c r="BQ250" i="80"/>
  <c r="BP250" i="80"/>
  <c r="BO250" i="80" s="1"/>
  <c r="BN250" i="80" s="1"/>
  <c r="BM250" i="80" s="1"/>
  <c r="BQ249" i="80"/>
  <c r="BP249" i="80" s="1"/>
  <c r="BO249" i="80" s="1"/>
  <c r="BN249" i="80" s="1"/>
  <c r="BM249" i="80" s="1"/>
  <c r="BQ248" i="80"/>
  <c r="BP248" i="80" s="1"/>
  <c r="BO248" i="80" s="1"/>
  <c r="BN248" i="80"/>
  <c r="BM248" i="80" s="1"/>
  <c r="BQ247" i="80"/>
  <c r="BP247" i="80"/>
  <c r="BO247" i="80"/>
  <c r="BN247" i="80" s="1"/>
  <c r="BM247" i="80" s="1"/>
  <c r="BQ246" i="80"/>
  <c r="BP246" i="80"/>
  <c r="BO246" i="80" s="1"/>
  <c r="BN246" i="80" s="1"/>
  <c r="BM246" i="80" s="1"/>
  <c r="BK250" i="80"/>
  <c r="BJ250" i="80" s="1"/>
  <c r="BI250" i="80" s="1"/>
  <c r="BH250" i="80" s="1"/>
  <c r="BK249" i="80"/>
  <c r="BJ249" i="80" s="1"/>
  <c r="BI249" i="80" s="1"/>
  <c r="BH249" i="80" s="1"/>
  <c r="BK248" i="80"/>
  <c r="BJ248" i="80" s="1"/>
  <c r="BI248" i="80" s="1"/>
  <c r="BH248" i="80" s="1"/>
  <c r="BK247" i="80"/>
  <c r="BJ247" i="80" s="1"/>
  <c r="BI247" i="80" s="1"/>
  <c r="BH247" i="80" s="1"/>
  <c r="BK246" i="80"/>
  <c r="BJ246" i="80" s="1"/>
  <c r="BI246" i="80" s="1"/>
  <c r="BH246" i="80" s="1"/>
  <c r="BF250" i="80"/>
  <c r="BE250" i="80" s="1"/>
  <c r="BD250" i="80" s="1"/>
  <c r="BC250" i="80" s="1"/>
  <c r="BF249" i="80"/>
  <c r="BE249" i="80" s="1"/>
  <c r="BD249" i="80" s="1"/>
  <c r="BC249" i="80" s="1"/>
  <c r="BF248" i="80"/>
  <c r="BE248" i="80" s="1"/>
  <c r="BD248" i="80" s="1"/>
  <c r="BC248" i="80" s="1"/>
  <c r="BF247" i="80"/>
  <c r="BE247" i="80" s="1"/>
  <c r="BD247" i="80" s="1"/>
  <c r="BC247" i="80" s="1"/>
  <c r="BF246" i="80"/>
  <c r="BE246" i="80" s="1"/>
  <c r="BD246" i="80" s="1"/>
  <c r="BC246" i="80" s="1"/>
  <c r="BA250" i="80"/>
  <c r="AZ250" i="80" s="1"/>
  <c r="AY250" i="80" s="1"/>
  <c r="AX250" i="80" s="1"/>
  <c r="BA249" i="80"/>
  <c r="AZ249" i="80" s="1"/>
  <c r="AY249" i="80" s="1"/>
  <c r="AX249" i="80" s="1"/>
  <c r="BA248" i="80"/>
  <c r="AZ248" i="80" s="1"/>
  <c r="AY248" i="80" s="1"/>
  <c r="AX248" i="80" s="1"/>
  <c r="BA247" i="80"/>
  <c r="AZ247" i="80" s="1"/>
  <c r="AY247" i="80" s="1"/>
  <c r="AX247" i="80" s="1"/>
  <c r="BA246" i="80"/>
  <c r="AZ246" i="80" s="1"/>
  <c r="AY246" i="80" s="1"/>
  <c r="AX246" i="80" s="1"/>
  <c r="AV250" i="80"/>
  <c r="AU250" i="80" s="1"/>
  <c r="AT250" i="80" s="1"/>
  <c r="AS250" i="80" s="1"/>
  <c r="AV249" i="80"/>
  <c r="AU249" i="80" s="1"/>
  <c r="AT249" i="80" s="1"/>
  <c r="AS249" i="80" s="1"/>
  <c r="AV248" i="80"/>
  <c r="AU248" i="80" s="1"/>
  <c r="AT248" i="80" s="1"/>
  <c r="AS248" i="80" s="1"/>
  <c r="AV247" i="80"/>
  <c r="AU247" i="80" s="1"/>
  <c r="AT247" i="80" s="1"/>
  <c r="AS247" i="80" s="1"/>
  <c r="AV246" i="80"/>
  <c r="AU246" i="80" s="1"/>
  <c r="AT246" i="80" s="1"/>
  <c r="AS246" i="80" s="1"/>
  <c r="AQ250" i="80"/>
  <c r="AP250" i="80" s="1"/>
  <c r="AO250" i="80" s="1"/>
  <c r="AN250" i="80" s="1"/>
  <c r="AQ249" i="80"/>
  <c r="AP249" i="80" s="1"/>
  <c r="AO249" i="80" s="1"/>
  <c r="AN249" i="80" s="1"/>
  <c r="AQ248" i="80"/>
  <c r="AP248" i="80" s="1"/>
  <c r="AO248" i="80" s="1"/>
  <c r="AN248" i="80" s="1"/>
  <c r="AQ247" i="80"/>
  <c r="AP247" i="80" s="1"/>
  <c r="AO247" i="80" s="1"/>
  <c r="AN247" i="80" s="1"/>
  <c r="AQ246" i="80"/>
  <c r="AP246" i="80" s="1"/>
  <c r="AO246" i="80" s="1"/>
  <c r="AN246" i="80" s="1"/>
  <c r="AG250" i="80"/>
  <c r="AF250" i="80" s="1"/>
  <c r="AE250" i="80" s="1"/>
  <c r="AD250" i="80" s="1"/>
  <c r="AG249" i="80"/>
  <c r="AF249" i="80" s="1"/>
  <c r="AE249" i="80" s="1"/>
  <c r="AD249" i="80" s="1"/>
  <c r="AG248" i="80"/>
  <c r="AF248" i="80" s="1"/>
  <c r="AE248" i="80" s="1"/>
  <c r="AD248" i="80" s="1"/>
  <c r="AG247" i="80"/>
  <c r="AF247" i="80" s="1"/>
  <c r="AE247" i="80" s="1"/>
  <c r="AD247" i="80" s="1"/>
  <c r="AG246" i="80"/>
  <c r="AF246" i="80" s="1"/>
  <c r="AE246" i="80" s="1"/>
  <c r="AD246" i="80" s="1"/>
  <c r="AB250" i="80"/>
  <c r="AA250" i="80" s="1"/>
  <c r="Z250" i="80" s="1"/>
  <c r="Y250" i="80" s="1"/>
  <c r="AB249" i="80"/>
  <c r="AA249" i="80" s="1"/>
  <c r="Z249" i="80" s="1"/>
  <c r="Y249" i="80" s="1"/>
  <c r="AB248" i="80"/>
  <c r="AA248" i="80" s="1"/>
  <c r="Z248" i="80" s="1"/>
  <c r="Y248" i="80" s="1"/>
  <c r="AB247" i="80"/>
  <c r="AA247" i="80" s="1"/>
  <c r="Z247" i="80" s="1"/>
  <c r="Y247" i="80" s="1"/>
  <c r="AB246" i="80"/>
  <c r="AA246" i="80" s="1"/>
  <c r="Z246" i="80" s="1"/>
  <c r="Y246" i="80" s="1"/>
  <c r="BP243" i="80"/>
  <c r="BO243" i="80" s="1"/>
  <c r="BN243" i="80" s="1"/>
  <c r="BM243" i="80" s="1"/>
  <c r="BL243" i="80"/>
  <c r="BK243" i="80" s="1"/>
  <c r="BJ243" i="80" s="1"/>
  <c r="BI243" i="80" s="1"/>
  <c r="BH243" i="80"/>
  <c r="BG243" i="80"/>
  <c r="BF243" i="80" s="1"/>
  <c r="BE243" i="80" s="1"/>
  <c r="BD243" i="80" s="1"/>
  <c r="BC243" i="80" s="1"/>
  <c r="BB243" i="80"/>
  <c r="BA243" i="80"/>
  <c r="AZ243" i="80"/>
  <c r="AY243" i="80" s="1"/>
  <c r="AX243" i="80" s="1"/>
  <c r="AW243" i="80"/>
  <c r="AV243" i="80"/>
  <c r="AU243" i="80" s="1"/>
  <c r="AT243" i="80" s="1"/>
  <c r="AS243" i="80" s="1"/>
  <c r="AR243" i="80"/>
  <c r="AQ243" i="80" s="1"/>
  <c r="AP243" i="80" s="1"/>
  <c r="AO243" i="80" s="1"/>
  <c r="AN243" i="80"/>
  <c r="BP242" i="80"/>
  <c r="BO242" i="80" s="1"/>
  <c r="BN242" i="80" s="1"/>
  <c r="BM242" i="80" s="1"/>
  <c r="BL242" i="80"/>
  <c r="BK242" i="80" s="1"/>
  <c r="BJ242" i="80" s="1"/>
  <c r="BI242" i="80"/>
  <c r="BH242" i="80" s="1"/>
  <c r="BG242" i="80"/>
  <c r="BF242" i="80"/>
  <c r="BE242" i="80"/>
  <c r="BD242" i="80" s="1"/>
  <c r="BC242" i="80" s="1"/>
  <c r="BB242" i="80"/>
  <c r="BA242" i="80"/>
  <c r="AZ242" i="80" s="1"/>
  <c r="AY242" i="80" s="1"/>
  <c r="AX242" i="80" s="1"/>
  <c r="AW242" i="80"/>
  <c r="AV242" i="80" s="1"/>
  <c r="AU242" i="80" s="1"/>
  <c r="AT242" i="80" s="1"/>
  <c r="AS242" i="80"/>
  <c r="AR242" i="80"/>
  <c r="AQ242" i="80" s="1"/>
  <c r="AP242" i="80" s="1"/>
  <c r="AO242" i="80" s="1"/>
  <c r="AN242" i="80" s="1"/>
  <c r="BP241" i="80"/>
  <c r="BO241" i="80"/>
  <c r="BN241" i="80"/>
  <c r="BM241" i="80" s="1"/>
  <c r="BL241" i="80"/>
  <c r="BK241" i="80"/>
  <c r="BJ241" i="80"/>
  <c r="BI241" i="80" s="1"/>
  <c r="BH241" i="80" s="1"/>
  <c r="BG241" i="80"/>
  <c r="BF241" i="80"/>
  <c r="BE241" i="80" s="1"/>
  <c r="BD241" i="80" s="1"/>
  <c r="BC241" i="80" s="1"/>
  <c r="BB241" i="80"/>
  <c r="BA241" i="80" s="1"/>
  <c r="AZ241" i="80" s="1"/>
  <c r="AY241" i="80" s="1"/>
  <c r="AX241" i="80"/>
  <c r="AW241" i="80"/>
  <c r="AV241" i="80" s="1"/>
  <c r="AU241" i="80" s="1"/>
  <c r="AT241" i="80" s="1"/>
  <c r="AS241" i="80" s="1"/>
  <c r="AR241" i="80"/>
  <c r="AQ241" i="80"/>
  <c r="AP241" i="80"/>
  <c r="AO241" i="80" s="1"/>
  <c r="AN241" i="80" s="1"/>
  <c r="BP240" i="80"/>
  <c r="BO240" i="80"/>
  <c r="BN240" i="80" s="1"/>
  <c r="BM240" i="80" s="1"/>
  <c r="BL240" i="80"/>
  <c r="BK240" i="80"/>
  <c r="BJ240" i="80" s="1"/>
  <c r="BI240" i="80" s="1"/>
  <c r="BH240" i="80" s="1"/>
  <c r="BG240" i="80"/>
  <c r="BF240" i="80" s="1"/>
  <c r="BE240" i="80" s="1"/>
  <c r="BD240" i="80" s="1"/>
  <c r="BC240" i="80" s="1"/>
  <c r="BB240" i="80"/>
  <c r="BA240" i="80" s="1"/>
  <c r="AZ240" i="80" s="1"/>
  <c r="AY240" i="80"/>
  <c r="AX240" i="80" s="1"/>
  <c r="AW240" i="80"/>
  <c r="AV240" i="80"/>
  <c r="AU240" i="80"/>
  <c r="AT240" i="80" s="1"/>
  <c r="AS240" i="80" s="1"/>
  <c r="AR240" i="80"/>
  <c r="AQ240" i="80" s="1"/>
  <c r="AP240" i="80" s="1"/>
  <c r="AO240" i="80" s="1"/>
  <c r="AN240" i="80" s="1"/>
  <c r="BP239" i="80"/>
  <c r="BO239" i="80" s="1"/>
  <c r="BN239" i="80" s="1"/>
  <c r="BM239" i="80"/>
  <c r="BL239" i="80"/>
  <c r="BK239" i="80" s="1"/>
  <c r="BJ239" i="80" s="1"/>
  <c r="BI239" i="80" s="1"/>
  <c r="BH239" i="80" s="1"/>
  <c r="BG239" i="80"/>
  <c r="BF239" i="80" s="1"/>
  <c r="BE239" i="80" s="1"/>
  <c r="BD239" i="80" s="1"/>
  <c r="BC239" i="80" s="1"/>
  <c r="BB239" i="80"/>
  <c r="BA239" i="80"/>
  <c r="AZ239" i="80" s="1"/>
  <c r="AY239" i="80" s="1"/>
  <c r="AX239" i="80" s="1"/>
  <c r="AW239" i="80"/>
  <c r="AV239" i="80"/>
  <c r="AU239" i="80" s="1"/>
  <c r="AT239" i="80" s="1"/>
  <c r="AS239" i="80"/>
  <c r="AR239" i="80"/>
  <c r="AQ239" i="80" s="1"/>
  <c r="AP239" i="80" s="1"/>
  <c r="AO239" i="80" s="1"/>
  <c r="AN239" i="80" s="1"/>
  <c r="BP238" i="80"/>
  <c r="BO238" i="80" s="1"/>
  <c r="BN238" i="80" s="1"/>
  <c r="BM238" i="80" s="1"/>
  <c r="BL238" i="80"/>
  <c r="BK238" i="80" s="1"/>
  <c r="BJ238" i="80"/>
  <c r="BI238" i="80" s="1"/>
  <c r="BH238" i="80" s="1"/>
  <c r="BG238" i="80"/>
  <c r="BF238" i="80"/>
  <c r="BE238" i="80"/>
  <c r="BD238" i="80" s="1"/>
  <c r="BC238" i="80" s="1"/>
  <c r="BB238" i="80"/>
  <c r="BA238" i="80" s="1"/>
  <c r="AZ238" i="80" s="1"/>
  <c r="AY238" i="80" s="1"/>
  <c r="AX238" i="80" s="1"/>
  <c r="AW238" i="80"/>
  <c r="AV238" i="80" s="1"/>
  <c r="AU238" i="80" s="1"/>
  <c r="AT238" i="80" s="1"/>
  <c r="AS238" i="80" s="1"/>
  <c r="AR238" i="80"/>
  <c r="AQ238" i="80" s="1"/>
  <c r="AP238" i="80"/>
  <c r="AO238" i="80" s="1"/>
  <c r="AN238" i="80" s="1"/>
  <c r="AL243" i="80"/>
  <c r="AK243" i="80"/>
  <c r="AJ243" i="80"/>
  <c r="AI243" i="80" s="1"/>
  <c r="AL242" i="80"/>
  <c r="AK242" i="80"/>
  <c r="AJ242" i="80"/>
  <c r="AI242" i="80" s="1"/>
  <c r="AL241" i="80"/>
  <c r="AK241" i="80"/>
  <c r="AJ241" i="80" s="1"/>
  <c r="AI241" i="80" s="1"/>
  <c r="AL240" i="80"/>
  <c r="AK240" i="80"/>
  <c r="AJ240" i="80" s="1"/>
  <c r="AI240" i="80" s="1"/>
  <c r="AL239" i="80"/>
  <c r="AK239" i="80"/>
  <c r="AJ239" i="80"/>
  <c r="AI239" i="80" s="1"/>
  <c r="AL238" i="80"/>
  <c r="AK238" i="80"/>
  <c r="AJ238" i="80"/>
  <c r="AI238" i="80" s="1"/>
  <c r="AG243" i="80"/>
  <c r="AF243" i="80"/>
  <c r="AE243" i="80" s="1"/>
  <c r="AD243" i="80" s="1"/>
  <c r="AG242" i="80"/>
  <c r="AF242" i="80"/>
  <c r="AE242" i="80" s="1"/>
  <c r="AD242" i="80" s="1"/>
  <c r="AG241" i="80"/>
  <c r="AF241" i="80"/>
  <c r="AE241" i="80"/>
  <c r="AD241" i="80" s="1"/>
  <c r="AG240" i="80"/>
  <c r="AF240" i="80"/>
  <c r="AE240" i="80"/>
  <c r="AD240" i="80" s="1"/>
  <c r="AG239" i="80"/>
  <c r="AF239" i="80"/>
  <c r="AE239" i="80" s="1"/>
  <c r="AD239" i="80" s="1"/>
  <c r="AG238" i="80"/>
  <c r="AF238" i="80"/>
  <c r="AE238" i="80" s="1"/>
  <c r="AD238" i="80" s="1"/>
  <c r="AB243" i="80"/>
  <c r="AA243" i="80"/>
  <c r="Z243" i="80"/>
  <c r="Y243" i="80" s="1"/>
  <c r="AB242" i="80"/>
  <c r="AA242" i="80"/>
  <c r="Z242" i="80"/>
  <c r="Y242" i="80" s="1"/>
  <c r="AB241" i="80"/>
  <c r="AA241" i="80"/>
  <c r="Z241" i="80" s="1"/>
  <c r="AB240" i="80"/>
  <c r="AA240" i="80"/>
  <c r="AB239" i="80"/>
  <c r="AA239" i="80"/>
  <c r="Z239" i="80"/>
  <c r="Y239" i="80" s="1"/>
  <c r="AB238" i="80"/>
  <c r="AA238" i="80"/>
  <c r="Z238" i="80"/>
  <c r="Y238" i="80" s="1"/>
  <c r="AB234" i="80"/>
  <c r="AA234" i="80"/>
  <c r="Z234" i="80"/>
  <c r="Y234" i="80"/>
  <c r="AB233" i="80"/>
  <c r="AA233" i="80"/>
  <c r="Z233" i="80"/>
  <c r="Y233" i="80"/>
  <c r="AB232" i="80"/>
  <c r="AA232" i="80"/>
  <c r="Z232" i="80"/>
  <c r="Y232" i="80"/>
  <c r="AB230" i="80"/>
  <c r="AA230" i="80"/>
  <c r="Z230" i="80"/>
  <c r="Y230" i="80"/>
  <c r="AB229" i="80"/>
  <c r="AA229" i="80"/>
  <c r="Z229" i="80"/>
  <c r="Y229" i="80"/>
  <c r="AB228" i="80"/>
  <c r="AA228" i="80"/>
  <c r="Z228" i="80"/>
  <c r="Y228" i="80"/>
  <c r="BK211" i="80"/>
  <c r="BL211" i="80" s="1"/>
  <c r="BJ211" i="80"/>
  <c r="BG211" i="80"/>
  <c r="BF211" i="80"/>
  <c r="BE211" i="80"/>
  <c r="BD211" i="80"/>
  <c r="BC211" i="80"/>
  <c r="BA211" i="80"/>
  <c r="BB211" i="80" s="1"/>
  <c r="AZ211" i="80"/>
  <c r="BM210" i="80"/>
  <c r="BK210" i="80"/>
  <c r="BL210" i="80" s="1"/>
  <c r="BJ210" i="80"/>
  <c r="BH210" i="80"/>
  <c r="BG210" i="80"/>
  <c r="BF210" i="80"/>
  <c r="BE210" i="80"/>
  <c r="BC210" i="80"/>
  <c r="BA210" i="80"/>
  <c r="BB210" i="80" s="1"/>
  <c r="AZ210" i="80"/>
  <c r="BM209" i="80"/>
  <c r="BK209" i="80"/>
  <c r="BL209" i="80" s="1"/>
  <c r="BJ209" i="80"/>
  <c r="BG209" i="80"/>
  <c r="BF209" i="80"/>
  <c r="BE209" i="80"/>
  <c r="AZ209" i="80"/>
  <c r="BJ208" i="80"/>
  <c r="BE208" i="80"/>
  <c r="AZ208" i="80"/>
  <c r="AT208" i="80"/>
  <c r="AS208" i="80"/>
  <c r="AR208" i="80"/>
  <c r="AQ208" i="80"/>
  <c r="AP208" i="80"/>
  <c r="AA213" i="80"/>
  <c r="Z213" i="80"/>
  <c r="Y213" i="80"/>
  <c r="Z212" i="80"/>
  <c r="Y212" i="80"/>
  <c r="Y211" i="80"/>
  <c r="AA210" i="80"/>
  <c r="Z210" i="80"/>
  <c r="Y210" i="80"/>
  <c r="Y209" i="80"/>
  <c r="Y204" i="80"/>
  <c r="Y202" i="80"/>
  <c r="Y186" i="80"/>
  <c r="CB158" i="80"/>
  <c r="BX158" i="80"/>
  <c r="AG162" i="80"/>
  <c r="AF162" i="80"/>
  <c r="AE162" i="80"/>
  <c r="AD162" i="80"/>
  <c r="AH162" i="80" s="1"/>
  <c r="AH173" i="80" s="1"/>
  <c r="AB162" i="80"/>
  <c r="AA162" i="80"/>
  <c r="Z162" i="80"/>
  <c r="Y162" i="80"/>
  <c r="CB153" i="80"/>
  <c r="CA153" i="80"/>
  <c r="CA158" i="80" s="1"/>
  <c r="BZ153" i="80"/>
  <c r="BY153" i="80"/>
  <c r="CB152" i="80"/>
  <c r="BQ147" i="80"/>
  <c r="BP147" i="80" s="1"/>
  <c r="I144" i="80"/>
  <c r="BQ143" i="80"/>
  <c r="BP143" i="80"/>
  <c r="BP144" i="80" s="1"/>
  <c r="BL143" i="80"/>
  <c r="BK143" i="80" s="1"/>
  <c r="BG143" i="80"/>
  <c r="BF143" i="80" s="1"/>
  <c r="BP139" i="80"/>
  <c r="BO139" i="80"/>
  <c r="BN139" i="80"/>
  <c r="BM139" i="80"/>
  <c r="BK139" i="80"/>
  <c r="BJ139" i="80"/>
  <c r="BI139" i="80"/>
  <c r="BH139" i="80"/>
  <c r="BF139" i="80"/>
  <c r="BE139" i="80"/>
  <c r="BD139" i="80"/>
  <c r="BC139" i="80"/>
  <c r="BA139" i="80"/>
  <c r="AZ139" i="80"/>
  <c r="AY139" i="80"/>
  <c r="AX139" i="80"/>
  <c r="BB139" i="80" s="1"/>
  <c r="AV139" i="80"/>
  <c r="AU139" i="80"/>
  <c r="AT139" i="80"/>
  <c r="AS139" i="80"/>
  <c r="AQ139" i="80"/>
  <c r="AP139" i="80"/>
  <c r="AO139" i="80"/>
  <c r="AN139" i="80"/>
  <c r="AL139" i="80"/>
  <c r="AK139" i="80"/>
  <c r="AJ139" i="80"/>
  <c r="AI139" i="80"/>
  <c r="AM139" i="80" s="1"/>
  <c r="AG139" i="80"/>
  <c r="AF139" i="80"/>
  <c r="AE139" i="80"/>
  <c r="AE657" i="80" s="1"/>
  <c r="AD139" i="80"/>
  <c r="AH139" i="80" s="1"/>
  <c r="AB139" i="80"/>
  <c r="AB657" i="80" s="1"/>
  <c r="AA139" i="80"/>
  <c r="AA657" i="80" s="1"/>
  <c r="Z139" i="80"/>
  <c r="Z657" i="80" s="1"/>
  <c r="Y139" i="80"/>
  <c r="Y657" i="80" s="1"/>
  <c r="BP138" i="80"/>
  <c r="BO138" i="80"/>
  <c r="BN138" i="80"/>
  <c r="BN140" i="80" s="1"/>
  <c r="BN657" i="80" s="1"/>
  <c r="BM138" i="80"/>
  <c r="BQ138" i="80" s="1"/>
  <c r="BK138" i="80"/>
  <c r="BJ138" i="80"/>
  <c r="BJ140" i="80" s="1"/>
  <c r="BJ657" i="80" s="1"/>
  <c r="BI138" i="80"/>
  <c r="BH138" i="80"/>
  <c r="BF138" i="80"/>
  <c r="BF140" i="80" s="1"/>
  <c r="BF657" i="80" s="1"/>
  <c r="BE138" i="80"/>
  <c r="BD138" i="80"/>
  <c r="BC138" i="80"/>
  <c r="BG138" i="80" s="1"/>
  <c r="BA138" i="80"/>
  <c r="AZ138" i="80"/>
  <c r="AY138" i="80"/>
  <c r="AX138" i="80"/>
  <c r="BB138" i="80" s="1"/>
  <c r="AV138" i="80"/>
  <c r="AU138" i="80"/>
  <c r="AT138" i="80"/>
  <c r="AT140" i="80" s="1"/>
  <c r="AT657" i="80" s="1"/>
  <c r="AS138" i="80"/>
  <c r="AW138" i="80" s="1"/>
  <c r="AQ138" i="80"/>
  <c r="AP138" i="80"/>
  <c r="AP140" i="80" s="1"/>
  <c r="AP657" i="80" s="1"/>
  <c r="AO138" i="80"/>
  <c r="AN138" i="80"/>
  <c r="AR138" i="80" s="1"/>
  <c r="AL138" i="80"/>
  <c r="AL140" i="80" s="1"/>
  <c r="AL657" i="80" s="1"/>
  <c r="AK138" i="80"/>
  <c r="AJ138" i="80"/>
  <c r="AI138" i="80"/>
  <c r="AM138" i="80" s="1"/>
  <c r="AG138" i="80"/>
  <c r="AF138" i="80"/>
  <c r="AE138" i="80"/>
  <c r="AD138" i="80"/>
  <c r="AH138" i="80" s="1"/>
  <c r="AB138" i="80"/>
  <c r="AA138" i="80"/>
  <c r="Z138" i="80"/>
  <c r="Z140" i="80" s="1"/>
  <c r="Y138" i="80"/>
  <c r="AC138" i="80" s="1"/>
  <c r="BP135" i="80"/>
  <c r="BO135" i="80"/>
  <c r="BN135" i="80"/>
  <c r="BM135" i="80"/>
  <c r="BK135" i="80"/>
  <c r="BJ135" i="80"/>
  <c r="BI135" i="80"/>
  <c r="BH135" i="80"/>
  <c r="BF135" i="80"/>
  <c r="BE135" i="80"/>
  <c r="BD135" i="80"/>
  <c r="BC135" i="80"/>
  <c r="BA135" i="80"/>
  <c r="AZ135" i="80"/>
  <c r="AY135" i="80"/>
  <c r="AX135" i="80"/>
  <c r="AV135" i="80"/>
  <c r="AU135" i="80"/>
  <c r="AT135" i="80"/>
  <c r="AS135" i="80"/>
  <c r="AQ135" i="80"/>
  <c r="AP135" i="80"/>
  <c r="AO135" i="80"/>
  <c r="AN135" i="80"/>
  <c r="AL135" i="80"/>
  <c r="AK135" i="80"/>
  <c r="AJ135" i="80"/>
  <c r="AI135" i="80"/>
  <c r="AG135" i="80"/>
  <c r="AF135" i="80"/>
  <c r="AE135" i="80"/>
  <c r="AE644" i="80" s="1"/>
  <c r="AD135" i="80"/>
  <c r="AB135" i="80"/>
  <c r="AB644" i="80" s="1"/>
  <c r="AA135" i="80"/>
  <c r="AA644" i="80" s="1"/>
  <c r="Z135" i="80"/>
  <c r="Z644" i="80" s="1"/>
  <c r="Y135" i="80"/>
  <c r="Y644" i="80" s="1"/>
  <c r="BP134" i="80"/>
  <c r="BO134" i="80"/>
  <c r="BN134" i="80"/>
  <c r="BM134" i="80"/>
  <c r="BK134" i="80"/>
  <c r="BJ134" i="80"/>
  <c r="BI134" i="80"/>
  <c r="BI136" i="80" s="1"/>
  <c r="BI644" i="80" s="1"/>
  <c r="BH134" i="80"/>
  <c r="BF134" i="80"/>
  <c r="BF136" i="80" s="1"/>
  <c r="BF644" i="80" s="1"/>
  <c r="BE134" i="80"/>
  <c r="BE136" i="80" s="1"/>
  <c r="BE644" i="80" s="1"/>
  <c r="BD134" i="80"/>
  <c r="BC134" i="80"/>
  <c r="BA134" i="80"/>
  <c r="BA136" i="80" s="1"/>
  <c r="BA644" i="80" s="1"/>
  <c r="AZ134" i="80"/>
  <c r="AY134" i="80"/>
  <c r="AX134" i="80"/>
  <c r="AV134" i="80"/>
  <c r="AV705" i="80" s="1"/>
  <c r="AU134" i="80"/>
  <c r="AU705" i="80" s="1"/>
  <c r="AT134" i="80"/>
  <c r="AT705" i="80" s="1"/>
  <c r="AS134" i="80"/>
  <c r="AS705" i="80" s="1"/>
  <c r="AQ134" i="80"/>
  <c r="AQ705" i="80" s="1"/>
  <c r="AP134" i="80"/>
  <c r="AP705" i="80" s="1"/>
  <c r="AO134" i="80"/>
  <c r="AO705" i="80" s="1"/>
  <c r="AN134" i="80"/>
  <c r="AN705" i="80" s="1"/>
  <c r="AL134" i="80"/>
  <c r="AL705" i="80" s="1"/>
  <c r="AK134" i="80"/>
  <c r="AK705" i="80" s="1"/>
  <c r="AJ134" i="80"/>
  <c r="AJ705" i="80" s="1"/>
  <c r="AI134" i="80"/>
  <c r="AI705" i="80" s="1"/>
  <c r="AG134" i="80"/>
  <c r="AG705" i="80" s="1"/>
  <c r="AF134" i="80"/>
  <c r="AF705" i="80" s="1"/>
  <c r="AE134" i="80"/>
  <c r="AE705" i="80" s="1"/>
  <c r="AD134" i="80"/>
  <c r="AD705" i="80" s="1"/>
  <c r="AB134" i="80"/>
  <c r="AB705" i="80" s="1"/>
  <c r="AA134" i="80"/>
  <c r="AA705" i="80" s="1"/>
  <c r="AA706" i="80" s="1"/>
  <c r="Z134" i="80"/>
  <c r="Z705" i="80" s="1"/>
  <c r="Z706" i="80" s="1"/>
  <c r="Y134" i="80"/>
  <c r="Y705" i="80" s="1"/>
  <c r="Y706" i="80" s="1"/>
  <c r="AU131" i="80"/>
  <c r="AU715" i="80" s="1"/>
  <c r="BQ131" i="80"/>
  <c r="BQ715" i="80" s="1"/>
  <c r="BL131" i="80"/>
  <c r="BL715" i="80" s="1"/>
  <c r="BG131" i="80"/>
  <c r="BG715" i="80" s="1"/>
  <c r="BB131" i="80"/>
  <c r="BB715" i="80" s="1"/>
  <c r="BP130" i="80"/>
  <c r="BO130" i="80"/>
  <c r="BN130" i="80"/>
  <c r="BM130" i="80"/>
  <c r="BK130" i="80"/>
  <c r="BJ130" i="80"/>
  <c r="BI130" i="80"/>
  <c r="BH130" i="80"/>
  <c r="BF130" i="80"/>
  <c r="BE130" i="80"/>
  <c r="BD130" i="80"/>
  <c r="BC130" i="80"/>
  <c r="BA130" i="80"/>
  <c r="AZ130" i="80"/>
  <c r="AY130" i="80"/>
  <c r="AX130" i="80"/>
  <c r="BQ129" i="80"/>
  <c r="BQ700" i="80" s="1"/>
  <c r="BK129" i="80"/>
  <c r="BK700" i="80" s="1"/>
  <c r="BJ129" i="80"/>
  <c r="BJ700" i="80" s="1"/>
  <c r="BI129" i="80"/>
  <c r="BI700" i="80" s="1"/>
  <c r="BH129" i="80"/>
  <c r="BH700" i="80" s="1"/>
  <c r="BF129" i="80"/>
  <c r="BF700" i="80" s="1"/>
  <c r="BE129" i="80"/>
  <c r="BE700" i="80" s="1"/>
  <c r="BD129" i="80"/>
  <c r="BD700" i="80" s="1"/>
  <c r="BC129" i="80"/>
  <c r="BC700" i="80" s="1"/>
  <c r="BA129" i="80"/>
  <c r="BA700" i="80" s="1"/>
  <c r="AZ129" i="80"/>
  <c r="AZ700" i="80" s="1"/>
  <c r="AY129" i="80"/>
  <c r="AY700" i="80" s="1"/>
  <c r="AX129" i="80"/>
  <c r="AX700" i="80" s="1"/>
  <c r="BP128" i="80"/>
  <c r="BP695" i="80" s="1"/>
  <c r="BO128" i="80"/>
  <c r="BO695" i="80" s="1"/>
  <c r="BN128" i="80"/>
  <c r="BN695" i="80" s="1"/>
  <c r="BM128" i="80"/>
  <c r="BM695" i="80" s="1"/>
  <c r="BK128" i="80"/>
  <c r="BK695" i="80" s="1"/>
  <c r="BJ128" i="80"/>
  <c r="BJ695" i="80" s="1"/>
  <c r="BI128" i="80"/>
  <c r="BI695" i="80" s="1"/>
  <c r="BH128" i="80"/>
  <c r="BH695" i="80" s="1"/>
  <c r="BF128" i="80"/>
  <c r="BF695" i="80" s="1"/>
  <c r="BE128" i="80"/>
  <c r="BE695" i="80" s="1"/>
  <c r="BD128" i="80"/>
  <c r="BD695" i="80" s="1"/>
  <c r="BC128" i="80"/>
  <c r="BC695" i="80" s="1"/>
  <c r="BA128" i="80"/>
  <c r="BA695" i="80" s="1"/>
  <c r="AZ128" i="80"/>
  <c r="AZ695" i="80" s="1"/>
  <c r="AY128" i="80"/>
  <c r="AY695" i="80" s="1"/>
  <c r="AX128" i="80"/>
  <c r="AX695" i="80" s="1"/>
  <c r="BK127" i="80"/>
  <c r="BK675" i="80" s="1"/>
  <c r="BJ127" i="80"/>
  <c r="BJ675" i="80" s="1"/>
  <c r="BJ676" i="80" s="1"/>
  <c r="BI127" i="80"/>
  <c r="BI675" i="80" s="1"/>
  <c r="BH127" i="80"/>
  <c r="BH675" i="80" s="1"/>
  <c r="BF127" i="80"/>
  <c r="BF675" i="80" s="1"/>
  <c r="BE127" i="80"/>
  <c r="BE675" i="80" s="1"/>
  <c r="BE676" i="80" s="1"/>
  <c r="BD127" i="80"/>
  <c r="BD675" i="80" s="1"/>
  <c r="BC127" i="80"/>
  <c r="BC675" i="80" s="1"/>
  <c r="BA127" i="80"/>
  <c r="BA675" i="80" s="1"/>
  <c r="AZ127" i="80"/>
  <c r="AZ675" i="80" s="1"/>
  <c r="AZ676" i="80" s="1"/>
  <c r="AY127" i="80"/>
  <c r="AY675" i="80" s="1"/>
  <c r="AX127" i="80"/>
  <c r="AX675" i="80" s="1"/>
  <c r="BQ126" i="80"/>
  <c r="BQ690" i="80" s="1"/>
  <c r="BK126" i="80"/>
  <c r="BK690" i="80" s="1"/>
  <c r="BJ126" i="80"/>
  <c r="BJ690" i="80" s="1"/>
  <c r="BJ691" i="80" s="1"/>
  <c r="BI126" i="80"/>
  <c r="BI690" i="80" s="1"/>
  <c r="BH126" i="80"/>
  <c r="BH690" i="80" s="1"/>
  <c r="BF126" i="80"/>
  <c r="BF690" i="80" s="1"/>
  <c r="BE126" i="80"/>
  <c r="BE690" i="80" s="1"/>
  <c r="BE691" i="80" s="1"/>
  <c r="BD126" i="80"/>
  <c r="BD690" i="80" s="1"/>
  <c r="BC126" i="80"/>
  <c r="BC690" i="80" s="1"/>
  <c r="BA126" i="80"/>
  <c r="BA690" i="80" s="1"/>
  <c r="BA691" i="80" s="1"/>
  <c r="AZ126" i="80"/>
  <c r="AZ690" i="80" s="1"/>
  <c r="AZ691" i="80" s="1"/>
  <c r="AY126" i="80"/>
  <c r="AY690" i="80" s="1"/>
  <c r="AX126" i="80"/>
  <c r="AX690" i="80" s="1"/>
  <c r="BK125" i="80"/>
  <c r="BK685" i="80" s="1"/>
  <c r="BJ125" i="80"/>
  <c r="BJ685" i="80" s="1"/>
  <c r="BJ686" i="80" s="1"/>
  <c r="BI125" i="80"/>
  <c r="BI685" i="80" s="1"/>
  <c r="BH125" i="80"/>
  <c r="BH685" i="80" s="1"/>
  <c r="BF125" i="80"/>
  <c r="BF685" i="80" s="1"/>
  <c r="BF686" i="80" s="1"/>
  <c r="BE125" i="80"/>
  <c r="BE685" i="80" s="1"/>
  <c r="BD125" i="80"/>
  <c r="BD685" i="80" s="1"/>
  <c r="BC125" i="80"/>
  <c r="BC685" i="80" s="1"/>
  <c r="BA125" i="80"/>
  <c r="BA685" i="80" s="1"/>
  <c r="AZ125" i="80"/>
  <c r="AZ685" i="80" s="1"/>
  <c r="AY125" i="80"/>
  <c r="AY685" i="80" s="1"/>
  <c r="AX125" i="80"/>
  <c r="AX685" i="80" s="1"/>
  <c r="BQ124" i="80"/>
  <c r="BQ680" i="80" s="1"/>
  <c r="BK124" i="80"/>
  <c r="BK680" i="80" s="1"/>
  <c r="BJ124" i="80"/>
  <c r="BJ680" i="80" s="1"/>
  <c r="BJ681" i="80" s="1"/>
  <c r="BI124" i="80"/>
  <c r="BI680" i="80" s="1"/>
  <c r="BH124" i="80"/>
  <c r="BH680" i="80" s="1"/>
  <c r="BF124" i="80"/>
  <c r="BF680" i="80" s="1"/>
  <c r="BE124" i="80"/>
  <c r="BE680" i="80" s="1"/>
  <c r="BE681" i="80" s="1"/>
  <c r="BD124" i="80"/>
  <c r="BD680" i="80" s="1"/>
  <c r="BC124" i="80"/>
  <c r="BC680" i="80" s="1"/>
  <c r="BA124" i="80"/>
  <c r="BA680" i="80" s="1"/>
  <c r="AZ124" i="80"/>
  <c r="AZ680" i="80" s="1"/>
  <c r="AZ681" i="80" s="1"/>
  <c r="AY124" i="80"/>
  <c r="AY680" i="80" s="1"/>
  <c r="AX124" i="80"/>
  <c r="AX680" i="80" s="1"/>
  <c r="BQ123" i="80"/>
  <c r="BQ127" i="80" s="1"/>
  <c r="BP123" i="80"/>
  <c r="BO123" i="80" s="1"/>
  <c r="BN123" i="80" s="1"/>
  <c r="BM123" i="80" s="1"/>
  <c r="BK123" i="80"/>
  <c r="BJ123" i="80"/>
  <c r="BI123" i="80"/>
  <c r="BH123" i="80"/>
  <c r="BF123" i="80"/>
  <c r="BE123" i="80"/>
  <c r="BD123" i="80"/>
  <c r="BC123" i="80"/>
  <c r="BA123" i="80"/>
  <c r="AZ123" i="80"/>
  <c r="AY123" i="80"/>
  <c r="AX123" i="80"/>
  <c r="AV130" i="80"/>
  <c r="AU130" i="80"/>
  <c r="AT130" i="80"/>
  <c r="AS130" i="80"/>
  <c r="AQ130" i="80"/>
  <c r="AP130" i="80"/>
  <c r="AO130" i="80"/>
  <c r="AN130" i="80"/>
  <c r="AL130" i="80"/>
  <c r="AK130" i="80"/>
  <c r="AJ130" i="80"/>
  <c r="AI130" i="80"/>
  <c r="AI710" i="80" s="1"/>
  <c r="AG130" i="80"/>
  <c r="AG710" i="80" s="1"/>
  <c r="AF130" i="80"/>
  <c r="AF710" i="80" s="1"/>
  <c r="AE130" i="80"/>
  <c r="AE710" i="80" s="1"/>
  <c r="AD130" i="80"/>
  <c r="AD710" i="80" s="1"/>
  <c r="AB130" i="80"/>
  <c r="AB710" i="80" s="1"/>
  <c r="AA130" i="80"/>
  <c r="AA710" i="80" s="1"/>
  <c r="Z130" i="80"/>
  <c r="Z710" i="80" s="1"/>
  <c r="Y130" i="80"/>
  <c r="Y710" i="80" s="1"/>
  <c r="AV129" i="80"/>
  <c r="AV700" i="80" s="1"/>
  <c r="AU129" i="80"/>
  <c r="AU700" i="80" s="1"/>
  <c r="AT129" i="80"/>
  <c r="AT700" i="80" s="1"/>
  <c r="AS129" i="80"/>
  <c r="AS700" i="80" s="1"/>
  <c r="AQ129" i="80"/>
  <c r="AQ700" i="80" s="1"/>
  <c r="AP129" i="80"/>
  <c r="AP700" i="80" s="1"/>
  <c r="AO129" i="80"/>
  <c r="AO700" i="80" s="1"/>
  <c r="AN129" i="80"/>
  <c r="AN700" i="80" s="1"/>
  <c r="AL129" i="80"/>
  <c r="AL700" i="80" s="1"/>
  <c r="AK129" i="80"/>
  <c r="AK700" i="80" s="1"/>
  <c r="AJ129" i="80"/>
  <c r="AJ700" i="80" s="1"/>
  <c r="AI129" i="80"/>
  <c r="AI700" i="80" s="1"/>
  <c r="AG129" i="80"/>
  <c r="AG700" i="80" s="1"/>
  <c r="AF129" i="80"/>
  <c r="AF700" i="80" s="1"/>
  <c r="AE129" i="80"/>
  <c r="AE700" i="80" s="1"/>
  <c r="AD129" i="80"/>
  <c r="AD700" i="80" s="1"/>
  <c r="AB129" i="80"/>
  <c r="AB700" i="80" s="1"/>
  <c r="AA129" i="80"/>
  <c r="AA700" i="80" s="1"/>
  <c r="Z129" i="80"/>
  <c r="Z700" i="80" s="1"/>
  <c r="Y129" i="80"/>
  <c r="Y700" i="80" s="1"/>
  <c r="Y701" i="80" s="1"/>
  <c r="AV128" i="80"/>
  <c r="AV695" i="80" s="1"/>
  <c r="AU128" i="80"/>
  <c r="AU695" i="80" s="1"/>
  <c r="AT128" i="80"/>
  <c r="AT695" i="80" s="1"/>
  <c r="AS128" i="80"/>
  <c r="AS695" i="80" s="1"/>
  <c r="AQ128" i="80"/>
  <c r="AQ695" i="80" s="1"/>
  <c r="AP128" i="80"/>
  <c r="AP695" i="80" s="1"/>
  <c r="AO128" i="80"/>
  <c r="AO695" i="80" s="1"/>
  <c r="AN128" i="80"/>
  <c r="AN695" i="80" s="1"/>
  <c r="AL128" i="80"/>
  <c r="AL695" i="80" s="1"/>
  <c r="AK128" i="80"/>
  <c r="AK695" i="80" s="1"/>
  <c r="AJ128" i="80"/>
  <c r="AJ695" i="80" s="1"/>
  <c r="AI128" i="80"/>
  <c r="AI695" i="80" s="1"/>
  <c r="AG128" i="80"/>
  <c r="AG695" i="80" s="1"/>
  <c r="AF128" i="80"/>
  <c r="AF695" i="80" s="1"/>
  <c r="AE128" i="80"/>
  <c r="AE695" i="80" s="1"/>
  <c r="AD128" i="80"/>
  <c r="AD695" i="80" s="1"/>
  <c r="AB128" i="80"/>
  <c r="AB695" i="80" s="1"/>
  <c r="AA128" i="80"/>
  <c r="AA695" i="80" s="1"/>
  <c r="Z128" i="80"/>
  <c r="Z695" i="80" s="1"/>
  <c r="Y128" i="80"/>
  <c r="Y695" i="80" s="1"/>
  <c r="AV127" i="80"/>
  <c r="AV675" i="80" s="1"/>
  <c r="AU127" i="80"/>
  <c r="AU675" i="80" s="1"/>
  <c r="AU720" i="80" s="1"/>
  <c r="AU721" i="80" s="1"/>
  <c r="AT127" i="80"/>
  <c r="AT675" i="80" s="1"/>
  <c r="AS127" i="80"/>
  <c r="AS675" i="80" s="1"/>
  <c r="AQ127" i="80"/>
  <c r="AQ675" i="80" s="1"/>
  <c r="AQ676" i="80" s="1"/>
  <c r="AP127" i="80"/>
  <c r="AP675" i="80" s="1"/>
  <c r="AP676" i="80" s="1"/>
  <c r="AO127" i="80"/>
  <c r="AO675" i="80" s="1"/>
  <c r="AN127" i="80"/>
  <c r="AN675" i="80" s="1"/>
  <c r="AL127" i="80"/>
  <c r="AL675" i="80" s="1"/>
  <c r="AK127" i="80"/>
  <c r="AK675" i="80" s="1"/>
  <c r="AJ127" i="80"/>
  <c r="AJ675" i="80" s="1"/>
  <c r="AI127" i="80"/>
  <c r="AI675" i="80" s="1"/>
  <c r="AG127" i="80"/>
  <c r="AG675" i="80" s="1"/>
  <c r="AF127" i="80"/>
  <c r="AF675" i="80" s="1"/>
  <c r="AE127" i="80"/>
  <c r="AE675" i="80" s="1"/>
  <c r="AD127" i="80"/>
  <c r="AD675" i="80" s="1"/>
  <c r="AB127" i="80"/>
  <c r="AB675" i="80" s="1"/>
  <c r="AA127" i="80"/>
  <c r="AA675" i="80" s="1"/>
  <c r="Z127" i="80"/>
  <c r="Z675" i="80" s="1"/>
  <c r="Y127" i="80"/>
  <c r="Y675" i="80" s="1"/>
  <c r="AV126" i="80"/>
  <c r="AV690" i="80" s="1"/>
  <c r="AU126" i="80"/>
  <c r="AU690" i="80" s="1"/>
  <c r="AT126" i="80"/>
  <c r="AT690" i="80" s="1"/>
  <c r="AS126" i="80"/>
  <c r="AS690" i="80" s="1"/>
  <c r="AQ126" i="80"/>
  <c r="AQ690" i="80" s="1"/>
  <c r="AP126" i="80"/>
  <c r="AP690" i="80" s="1"/>
  <c r="AO126" i="80"/>
  <c r="AO690" i="80" s="1"/>
  <c r="AN126" i="80"/>
  <c r="AN690" i="80" s="1"/>
  <c r="AL126" i="80"/>
  <c r="AL690" i="80" s="1"/>
  <c r="AK126" i="80"/>
  <c r="AK690" i="80" s="1"/>
  <c r="AJ126" i="80"/>
  <c r="AJ690" i="80" s="1"/>
  <c r="AI126" i="80"/>
  <c r="AI690" i="80" s="1"/>
  <c r="AG126" i="80"/>
  <c r="AG690" i="80" s="1"/>
  <c r="AF126" i="80"/>
  <c r="AF690" i="80" s="1"/>
  <c r="AE126" i="80"/>
  <c r="AE690" i="80" s="1"/>
  <c r="AD126" i="80"/>
  <c r="AD690" i="80" s="1"/>
  <c r="AB126" i="80"/>
  <c r="AB690" i="80" s="1"/>
  <c r="AA126" i="80"/>
  <c r="AA690" i="80" s="1"/>
  <c r="Z126" i="80"/>
  <c r="Z690" i="80" s="1"/>
  <c r="Y126" i="80"/>
  <c r="Y690" i="80" s="1"/>
  <c r="AV125" i="80"/>
  <c r="AV685" i="80" s="1"/>
  <c r="AU125" i="80"/>
  <c r="AU685" i="80" s="1"/>
  <c r="AT125" i="80"/>
  <c r="AT685" i="80" s="1"/>
  <c r="AS125" i="80"/>
  <c r="AS685" i="80" s="1"/>
  <c r="AQ125" i="80"/>
  <c r="AQ685" i="80" s="1"/>
  <c r="AP125" i="80"/>
  <c r="AP685" i="80" s="1"/>
  <c r="AO125" i="80"/>
  <c r="AO685" i="80" s="1"/>
  <c r="AN125" i="80"/>
  <c r="AN685" i="80" s="1"/>
  <c r="AL125" i="80"/>
  <c r="AL685" i="80" s="1"/>
  <c r="AK125" i="80"/>
  <c r="AK685" i="80" s="1"/>
  <c r="AJ125" i="80"/>
  <c r="AJ685" i="80" s="1"/>
  <c r="AI125" i="80"/>
  <c r="AI685" i="80" s="1"/>
  <c r="AG125" i="80"/>
  <c r="AG685" i="80" s="1"/>
  <c r="AF125" i="80"/>
  <c r="AF685" i="80" s="1"/>
  <c r="AE125" i="80"/>
  <c r="AE685" i="80" s="1"/>
  <c r="AD125" i="80"/>
  <c r="AD685" i="80" s="1"/>
  <c r="AB125" i="80"/>
  <c r="AB685" i="80" s="1"/>
  <c r="AA125" i="80"/>
  <c r="AA685" i="80" s="1"/>
  <c r="Z125" i="80"/>
  <c r="Z685" i="80" s="1"/>
  <c r="Z686" i="80" s="1"/>
  <c r="Y125" i="80"/>
  <c r="Y685" i="80" s="1"/>
  <c r="AV124" i="80"/>
  <c r="AV680" i="80" s="1"/>
  <c r="AU124" i="80"/>
  <c r="AU680" i="80" s="1"/>
  <c r="AT124" i="80"/>
  <c r="AT680" i="80" s="1"/>
  <c r="AS124" i="80"/>
  <c r="AS680" i="80" s="1"/>
  <c r="AQ124" i="80"/>
  <c r="AQ680" i="80" s="1"/>
  <c r="AP124" i="80"/>
  <c r="AP680" i="80" s="1"/>
  <c r="AO124" i="80"/>
  <c r="AO680" i="80" s="1"/>
  <c r="AN124" i="80"/>
  <c r="AN680" i="80" s="1"/>
  <c r="AL124" i="80"/>
  <c r="AL680" i="80" s="1"/>
  <c r="AK124" i="80"/>
  <c r="AK680" i="80" s="1"/>
  <c r="AJ124" i="80"/>
  <c r="AJ680" i="80" s="1"/>
  <c r="AI124" i="80"/>
  <c r="AI680" i="80" s="1"/>
  <c r="AG124" i="80"/>
  <c r="AG680" i="80" s="1"/>
  <c r="AF124" i="80"/>
  <c r="AF680" i="80" s="1"/>
  <c r="AE124" i="80"/>
  <c r="AE680" i="80" s="1"/>
  <c r="AD124" i="80"/>
  <c r="AD680" i="80" s="1"/>
  <c r="AB124" i="80"/>
  <c r="AB680" i="80" s="1"/>
  <c r="AA124" i="80"/>
  <c r="AA680" i="80" s="1"/>
  <c r="Z124" i="80"/>
  <c r="Z680" i="80" s="1"/>
  <c r="Y124" i="80"/>
  <c r="Y680" i="80" s="1"/>
  <c r="AV123" i="80"/>
  <c r="AU123" i="80"/>
  <c r="AT123" i="80"/>
  <c r="AS123" i="80"/>
  <c r="AQ123" i="80"/>
  <c r="AP123" i="80"/>
  <c r="AO123" i="80"/>
  <c r="AN123" i="80"/>
  <c r="AL123" i="80"/>
  <c r="AK123" i="80"/>
  <c r="AJ123" i="80"/>
  <c r="AI123" i="80"/>
  <c r="AG123" i="80"/>
  <c r="AF123" i="80"/>
  <c r="AE123" i="80"/>
  <c r="AD123" i="80"/>
  <c r="AB123" i="80"/>
  <c r="AA123" i="80"/>
  <c r="Z123" i="80"/>
  <c r="Y123" i="80"/>
  <c r="BK120" i="80"/>
  <c r="BJ120" i="80"/>
  <c r="BI120" i="80"/>
  <c r="BH120" i="80"/>
  <c r="BF120" i="80"/>
  <c r="BE120" i="80"/>
  <c r="BD120" i="80"/>
  <c r="BC120" i="80"/>
  <c r="BA120" i="80"/>
  <c r="AZ120" i="80"/>
  <c r="AY120" i="80"/>
  <c r="AX120" i="80"/>
  <c r="AV120" i="80"/>
  <c r="AU120" i="80"/>
  <c r="AT120" i="80"/>
  <c r="AS120" i="80"/>
  <c r="AQ120" i="80"/>
  <c r="AP120" i="80"/>
  <c r="AO120" i="80"/>
  <c r="AN120" i="80"/>
  <c r="AL120" i="80"/>
  <c r="AK120" i="80"/>
  <c r="AJ120" i="80"/>
  <c r="AI120" i="80"/>
  <c r="AG120" i="80"/>
  <c r="AF120" i="80"/>
  <c r="AE120" i="80"/>
  <c r="AD120" i="80"/>
  <c r="AB120" i="80"/>
  <c r="AA120" i="80"/>
  <c r="Z120" i="80"/>
  <c r="Y120" i="80"/>
  <c r="BK119" i="80"/>
  <c r="BJ119" i="80"/>
  <c r="BI119" i="80"/>
  <c r="BH119" i="80"/>
  <c r="BF119" i="80"/>
  <c r="BE119" i="80"/>
  <c r="BD119" i="80"/>
  <c r="BC119" i="80"/>
  <c r="BA119" i="80"/>
  <c r="AZ119" i="80"/>
  <c r="AY119" i="80"/>
  <c r="AX119" i="80"/>
  <c r="AV119" i="80"/>
  <c r="AU119" i="80"/>
  <c r="AT119" i="80"/>
  <c r="AS119" i="80"/>
  <c r="AQ119" i="80"/>
  <c r="AP119" i="80"/>
  <c r="AO119" i="80"/>
  <c r="AN119" i="80"/>
  <c r="AL119" i="80"/>
  <c r="AK119" i="80"/>
  <c r="AJ119" i="80"/>
  <c r="AI119" i="80"/>
  <c r="AG119" i="80"/>
  <c r="AF119" i="80"/>
  <c r="AE119" i="80"/>
  <c r="AD119" i="80"/>
  <c r="AB119" i="80"/>
  <c r="AA119" i="80"/>
  <c r="Z119" i="80"/>
  <c r="Y119" i="80"/>
  <c r="BK117" i="80"/>
  <c r="BJ117" i="80"/>
  <c r="BI117" i="80"/>
  <c r="BH117" i="80"/>
  <c r="BF117" i="80"/>
  <c r="BE117" i="80"/>
  <c r="BD117" i="80"/>
  <c r="BC117" i="80"/>
  <c r="BA117" i="80"/>
  <c r="AZ117" i="80"/>
  <c r="AY117" i="80"/>
  <c r="AX117" i="80"/>
  <c r="AV117" i="80"/>
  <c r="AU117" i="80"/>
  <c r="AT117" i="80"/>
  <c r="AS117" i="80"/>
  <c r="AQ117" i="80"/>
  <c r="AP117" i="80"/>
  <c r="AO117" i="80"/>
  <c r="AN117" i="80"/>
  <c r="AL117" i="80"/>
  <c r="AK117" i="80"/>
  <c r="AJ117" i="80"/>
  <c r="AI117" i="80"/>
  <c r="AG117" i="80"/>
  <c r="AF117" i="80"/>
  <c r="AE117" i="80"/>
  <c r="AD117" i="80"/>
  <c r="AB117" i="80"/>
  <c r="AA117" i="80"/>
  <c r="Z117" i="80"/>
  <c r="Y117" i="80"/>
  <c r="BK116" i="80"/>
  <c r="BJ116" i="80"/>
  <c r="BI116" i="80"/>
  <c r="BH116" i="80"/>
  <c r="BF116" i="80"/>
  <c r="BE116" i="80"/>
  <c r="BD116" i="80"/>
  <c r="BC116" i="80"/>
  <c r="BA116" i="80"/>
  <c r="AZ116" i="80"/>
  <c r="AY116" i="80"/>
  <c r="AX116" i="80"/>
  <c r="AV116" i="80"/>
  <c r="AU116" i="80"/>
  <c r="AT116" i="80"/>
  <c r="AS116" i="80"/>
  <c r="AQ116" i="80"/>
  <c r="AP116" i="80"/>
  <c r="AO116" i="80"/>
  <c r="AN116" i="80"/>
  <c r="AL116" i="80"/>
  <c r="AK116" i="80"/>
  <c r="AJ116" i="80"/>
  <c r="AI116" i="80"/>
  <c r="AG116" i="80"/>
  <c r="AF116" i="80"/>
  <c r="AE116" i="80"/>
  <c r="AD116" i="80"/>
  <c r="AB116" i="80"/>
  <c r="AA116" i="80"/>
  <c r="Z116" i="80"/>
  <c r="Y116" i="80"/>
  <c r="BK114" i="80"/>
  <c r="BJ114" i="80"/>
  <c r="BI114" i="80"/>
  <c r="BH114" i="80"/>
  <c r="BF114" i="80"/>
  <c r="BE114" i="80"/>
  <c r="BD114" i="80"/>
  <c r="BC114" i="80"/>
  <c r="BA114" i="80"/>
  <c r="AZ114" i="80"/>
  <c r="AY114" i="80"/>
  <c r="AX114" i="80"/>
  <c r="AV114" i="80"/>
  <c r="AU114" i="80"/>
  <c r="AT114" i="80"/>
  <c r="AS114" i="80"/>
  <c r="AQ114" i="80"/>
  <c r="AP114" i="80"/>
  <c r="AO114" i="80"/>
  <c r="AN114" i="80"/>
  <c r="AL114" i="80"/>
  <c r="AK114" i="80"/>
  <c r="AJ114" i="80"/>
  <c r="AI114" i="80"/>
  <c r="AG114" i="80"/>
  <c r="AF114" i="80"/>
  <c r="AE114" i="80"/>
  <c r="AD114" i="80"/>
  <c r="AB114" i="80"/>
  <c r="AA114" i="80"/>
  <c r="Z114" i="80"/>
  <c r="Y114" i="80"/>
  <c r="BK113" i="80"/>
  <c r="BJ113" i="80"/>
  <c r="BI113" i="80"/>
  <c r="BH113" i="80"/>
  <c r="BF113" i="80"/>
  <c r="BE113" i="80"/>
  <c r="BD113" i="80"/>
  <c r="BC113" i="80"/>
  <c r="BA113" i="80"/>
  <c r="AZ113" i="80"/>
  <c r="AY113" i="80"/>
  <c r="AX113" i="80"/>
  <c r="AV113" i="80"/>
  <c r="AU113" i="80"/>
  <c r="AT113" i="80"/>
  <c r="AS113" i="80"/>
  <c r="AQ113" i="80"/>
  <c r="AP113" i="80"/>
  <c r="AO113" i="80"/>
  <c r="AN113" i="80"/>
  <c r="AL113" i="80"/>
  <c r="AK113" i="80"/>
  <c r="AJ113" i="80"/>
  <c r="AI113" i="80"/>
  <c r="AG113" i="80"/>
  <c r="AF113" i="80"/>
  <c r="AE113" i="80"/>
  <c r="AD113" i="80"/>
  <c r="AB113" i="80"/>
  <c r="AA113" i="80"/>
  <c r="Z113" i="80"/>
  <c r="Y113" i="80"/>
  <c r="BP111" i="80"/>
  <c r="BO111" i="80"/>
  <c r="BN111" i="80"/>
  <c r="BM111" i="80"/>
  <c r="BK111" i="80"/>
  <c r="BJ111" i="80"/>
  <c r="BI111" i="80"/>
  <c r="BH111" i="80"/>
  <c r="BF111" i="80"/>
  <c r="BE111" i="80"/>
  <c r="BD111" i="80"/>
  <c r="BC111" i="80"/>
  <c r="BA111" i="80"/>
  <c r="AZ111" i="80"/>
  <c r="AY111" i="80"/>
  <c r="AX111" i="80"/>
  <c r="AV111" i="80"/>
  <c r="AU111" i="80"/>
  <c r="AT111" i="80"/>
  <c r="AS111" i="80"/>
  <c r="AQ111" i="80"/>
  <c r="AP111" i="80"/>
  <c r="AO111" i="80"/>
  <c r="AN111" i="80"/>
  <c r="AL111" i="80"/>
  <c r="AK111" i="80"/>
  <c r="AJ111" i="80"/>
  <c r="AI111" i="80"/>
  <c r="AG111" i="80"/>
  <c r="AF111" i="80"/>
  <c r="AE111" i="80"/>
  <c r="AD111" i="80"/>
  <c r="AB111" i="80"/>
  <c r="AA111" i="80"/>
  <c r="Z111" i="80"/>
  <c r="Y111" i="80"/>
  <c r="BP110" i="80"/>
  <c r="BO110" i="80"/>
  <c r="BN110" i="80"/>
  <c r="BM110" i="80"/>
  <c r="BK110" i="80"/>
  <c r="BJ110" i="80"/>
  <c r="BI110" i="80"/>
  <c r="BH110" i="80"/>
  <c r="BF110" i="80"/>
  <c r="BE110" i="80"/>
  <c r="BD110" i="80"/>
  <c r="BC110" i="80"/>
  <c r="BA110" i="80"/>
  <c r="AZ110" i="80"/>
  <c r="AY110" i="80"/>
  <c r="AX110" i="80"/>
  <c r="AV110" i="80"/>
  <c r="AU110" i="80"/>
  <c r="AT110" i="80"/>
  <c r="AS110" i="80"/>
  <c r="AQ110" i="80"/>
  <c r="AP110" i="80"/>
  <c r="AO110" i="80"/>
  <c r="AN110" i="80"/>
  <c r="AL110" i="80"/>
  <c r="AK110" i="80"/>
  <c r="AJ110" i="80"/>
  <c r="AI110" i="80"/>
  <c r="AG110" i="80"/>
  <c r="AF110" i="80"/>
  <c r="AE110" i="80"/>
  <c r="AD110" i="80"/>
  <c r="AB110" i="80"/>
  <c r="AA110" i="80"/>
  <c r="Z110" i="80"/>
  <c r="Y110" i="80"/>
  <c r="BK108" i="80"/>
  <c r="BJ108" i="80"/>
  <c r="BI108" i="80"/>
  <c r="BH108" i="80"/>
  <c r="BF108" i="80"/>
  <c r="BE108" i="80"/>
  <c r="BD108" i="80"/>
  <c r="BC108" i="80"/>
  <c r="BA108" i="80"/>
  <c r="AZ108" i="80"/>
  <c r="AY108" i="80"/>
  <c r="AX108" i="80"/>
  <c r="AV108" i="80"/>
  <c r="AU108" i="80"/>
  <c r="AT108" i="80"/>
  <c r="AS108" i="80"/>
  <c r="AQ108" i="80"/>
  <c r="AP108" i="80"/>
  <c r="AO108" i="80"/>
  <c r="AN108" i="80"/>
  <c r="AL108" i="80"/>
  <c r="AK108" i="80"/>
  <c r="AJ108" i="80"/>
  <c r="AI108" i="80"/>
  <c r="AG108" i="80"/>
  <c r="AF108" i="80"/>
  <c r="AE108" i="80"/>
  <c r="AD108" i="80"/>
  <c r="AB108" i="80"/>
  <c r="AA108" i="80"/>
  <c r="Z108" i="80"/>
  <c r="Y108" i="80"/>
  <c r="BK107" i="80"/>
  <c r="BJ107" i="80"/>
  <c r="BI107" i="80"/>
  <c r="BH107" i="80"/>
  <c r="BF107" i="80"/>
  <c r="BE107" i="80"/>
  <c r="BD107" i="80"/>
  <c r="BC107" i="80"/>
  <c r="BA107" i="80"/>
  <c r="AZ107" i="80"/>
  <c r="AY107" i="80"/>
  <c r="AX107" i="80"/>
  <c r="AV107" i="80"/>
  <c r="AU107" i="80"/>
  <c r="AT107" i="80"/>
  <c r="AS107" i="80"/>
  <c r="AQ107" i="80"/>
  <c r="AP107" i="80"/>
  <c r="AO107" i="80"/>
  <c r="AN107" i="80"/>
  <c r="AL107" i="80"/>
  <c r="AK107" i="80"/>
  <c r="AJ107" i="80"/>
  <c r="AI107" i="80"/>
  <c r="AG107" i="80"/>
  <c r="AF107" i="80"/>
  <c r="AE107" i="80"/>
  <c r="AD107" i="80"/>
  <c r="AB107" i="80"/>
  <c r="AA107" i="80"/>
  <c r="Z107" i="80"/>
  <c r="Y107" i="80"/>
  <c r="BK105" i="80"/>
  <c r="BJ105" i="80"/>
  <c r="BI105" i="80"/>
  <c r="BH105" i="80"/>
  <c r="BF105" i="80"/>
  <c r="BE105" i="80"/>
  <c r="BD105" i="80"/>
  <c r="BC105" i="80"/>
  <c r="BA105" i="80"/>
  <c r="AZ105" i="80"/>
  <c r="AY105" i="80"/>
  <c r="AX105" i="80"/>
  <c r="AV105" i="80"/>
  <c r="AU105" i="80"/>
  <c r="AT105" i="80"/>
  <c r="AS105" i="80"/>
  <c r="AQ105" i="80"/>
  <c r="AP105" i="80"/>
  <c r="AO105" i="80"/>
  <c r="AN105" i="80"/>
  <c r="AL105" i="80"/>
  <c r="AK105" i="80"/>
  <c r="AJ105" i="80"/>
  <c r="AI105" i="80"/>
  <c r="AG105" i="80"/>
  <c r="AF105" i="80"/>
  <c r="AE105" i="80"/>
  <c r="AD105" i="80"/>
  <c r="AB105" i="80"/>
  <c r="AA105" i="80"/>
  <c r="Z105" i="80"/>
  <c r="Y105" i="80"/>
  <c r="BK104" i="80"/>
  <c r="BJ104" i="80"/>
  <c r="BI104" i="80"/>
  <c r="BH104" i="80"/>
  <c r="BF104" i="80"/>
  <c r="BE104" i="80"/>
  <c r="BD104" i="80"/>
  <c r="BC104" i="80"/>
  <c r="BA104" i="80"/>
  <c r="AZ104" i="80"/>
  <c r="AY104" i="80"/>
  <c r="AX104" i="80"/>
  <c r="AV104" i="80"/>
  <c r="AU104" i="80"/>
  <c r="AT104" i="80"/>
  <c r="AS104" i="80"/>
  <c r="AQ104" i="80"/>
  <c r="AP104" i="80"/>
  <c r="AO104" i="80"/>
  <c r="AN104" i="80"/>
  <c r="AL104" i="80"/>
  <c r="AK104" i="80"/>
  <c r="AJ104" i="80"/>
  <c r="AI104" i="80"/>
  <c r="AG104" i="80"/>
  <c r="AF104" i="80"/>
  <c r="AE104" i="80"/>
  <c r="AD104" i="80"/>
  <c r="AB104" i="80"/>
  <c r="AA104" i="80"/>
  <c r="Z104" i="80"/>
  <c r="Y104" i="80"/>
  <c r="BK102" i="80"/>
  <c r="BJ102" i="80"/>
  <c r="BI102" i="80"/>
  <c r="BH102" i="80"/>
  <c r="BF102" i="80"/>
  <c r="BE102" i="80"/>
  <c r="BD102" i="80"/>
  <c r="BC102" i="80"/>
  <c r="BA102" i="80"/>
  <c r="AZ102" i="80"/>
  <c r="AY102" i="80"/>
  <c r="AX102" i="80"/>
  <c r="AV102" i="80"/>
  <c r="AU102" i="80"/>
  <c r="AT102" i="80"/>
  <c r="AS102" i="80"/>
  <c r="AQ102" i="80"/>
  <c r="AP102" i="80"/>
  <c r="AO102" i="80"/>
  <c r="AN102" i="80"/>
  <c r="AL102" i="80"/>
  <c r="AK102" i="80"/>
  <c r="AJ102" i="80"/>
  <c r="AI102" i="80"/>
  <c r="AG102" i="80"/>
  <c r="AF102" i="80"/>
  <c r="AE102" i="80"/>
  <c r="AD102" i="80"/>
  <c r="AB102" i="80"/>
  <c r="AA102" i="80"/>
  <c r="Z102" i="80"/>
  <c r="Y102" i="80"/>
  <c r="BK101" i="80"/>
  <c r="BJ101" i="80"/>
  <c r="BI101" i="80"/>
  <c r="BH101" i="80"/>
  <c r="BF101" i="80"/>
  <c r="BE101" i="80"/>
  <c r="BD101" i="80"/>
  <c r="BC101" i="80"/>
  <c r="BA101" i="80"/>
  <c r="AZ101" i="80"/>
  <c r="AY101" i="80"/>
  <c r="AX101" i="80"/>
  <c r="AV101" i="80"/>
  <c r="AU101" i="80"/>
  <c r="AT101" i="80"/>
  <c r="AS101" i="80"/>
  <c r="AQ101" i="80"/>
  <c r="AP101" i="80"/>
  <c r="AO101" i="80"/>
  <c r="AN101" i="80"/>
  <c r="AL101" i="80"/>
  <c r="AK101" i="80"/>
  <c r="AJ101" i="80"/>
  <c r="AI101" i="80"/>
  <c r="AG101" i="80"/>
  <c r="AF101" i="80"/>
  <c r="AE101" i="80"/>
  <c r="AD101" i="80"/>
  <c r="AB101" i="80"/>
  <c r="AA101" i="80"/>
  <c r="Z101" i="80"/>
  <c r="Y101" i="80"/>
  <c r="BK99" i="80"/>
  <c r="BJ99" i="80"/>
  <c r="BI99" i="80"/>
  <c r="BH99" i="80"/>
  <c r="BF99" i="80"/>
  <c r="BE99" i="80"/>
  <c r="BD99" i="80"/>
  <c r="BC99" i="80"/>
  <c r="BA99" i="80"/>
  <c r="AZ99" i="80"/>
  <c r="AY99" i="80"/>
  <c r="AX99" i="80"/>
  <c r="AV99" i="80"/>
  <c r="AU99" i="80"/>
  <c r="AT99" i="80"/>
  <c r="AS99" i="80"/>
  <c r="AQ99" i="80"/>
  <c r="AP99" i="80"/>
  <c r="AO99" i="80"/>
  <c r="AN99" i="80"/>
  <c r="AL99" i="80"/>
  <c r="AK99" i="80"/>
  <c r="AJ99" i="80"/>
  <c r="AI99" i="80"/>
  <c r="AG99" i="80"/>
  <c r="AF99" i="80"/>
  <c r="AE99" i="80"/>
  <c r="AD99" i="80"/>
  <c r="AB99" i="80"/>
  <c r="AA99" i="80"/>
  <c r="Z99" i="80"/>
  <c r="Y99" i="80"/>
  <c r="BK98" i="80"/>
  <c r="BJ98" i="80"/>
  <c r="BI98" i="80"/>
  <c r="BH98" i="80"/>
  <c r="BF98" i="80"/>
  <c r="BE98" i="80"/>
  <c r="BD98" i="80"/>
  <c r="BC98" i="80"/>
  <c r="BA98" i="80"/>
  <c r="AZ98" i="80"/>
  <c r="AY98" i="80"/>
  <c r="AX98" i="80"/>
  <c r="AV98" i="80"/>
  <c r="AU98" i="80"/>
  <c r="AT98" i="80"/>
  <c r="AS98" i="80"/>
  <c r="AQ98" i="80"/>
  <c r="AP98" i="80"/>
  <c r="AO98" i="80"/>
  <c r="AN98" i="80"/>
  <c r="AL98" i="80"/>
  <c r="AK98" i="80"/>
  <c r="AJ98" i="80"/>
  <c r="AI98" i="80"/>
  <c r="AG98" i="80"/>
  <c r="AF98" i="80"/>
  <c r="AE98" i="80"/>
  <c r="AD98" i="80"/>
  <c r="AB98" i="80"/>
  <c r="AA98" i="80"/>
  <c r="Z98" i="80"/>
  <c r="Y98" i="80"/>
  <c r="BP62" i="80"/>
  <c r="BO62" i="80"/>
  <c r="BN62" i="80"/>
  <c r="BM62" i="80"/>
  <c r="BK62" i="80"/>
  <c r="BJ62" i="80"/>
  <c r="BI62" i="80"/>
  <c r="BH62" i="80"/>
  <c r="BF62" i="80"/>
  <c r="BE62" i="80"/>
  <c r="BD62" i="80"/>
  <c r="BC62" i="80"/>
  <c r="BA62" i="80"/>
  <c r="AZ62" i="80"/>
  <c r="AY62" i="80"/>
  <c r="AX62" i="80"/>
  <c r="AV62" i="80"/>
  <c r="AU62" i="80"/>
  <c r="AT62" i="80"/>
  <c r="AS62" i="80"/>
  <c r="AQ62" i="80"/>
  <c r="AP62" i="80"/>
  <c r="AO62" i="80"/>
  <c r="AN62" i="80"/>
  <c r="AL62" i="80"/>
  <c r="AK62" i="80"/>
  <c r="AJ62" i="80"/>
  <c r="AI62" i="80"/>
  <c r="AG62" i="80"/>
  <c r="AF62" i="80"/>
  <c r="AE62" i="80"/>
  <c r="AD62" i="80"/>
  <c r="AB62" i="80"/>
  <c r="AA62" i="80"/>
  <c r="Z62" i="80"/>
  <c r="Y62" i="80"/>
  <c r="BK61" i="80"/>
  <c r="BJ61" i="80"/>
  <c r="BI61" i="80"/>
  <c r="BH61" i="80"/>
  <c r="BF61" i="80"/>
  <c r="BE61" i="80"/>
  <c r="BD61" i="80"/>
  <c r="BC61" i="80"/>
  <c r="BA61" i="80"/>
  <c r="AZ61" i="80"/>
  <c r="AY61" i="80"/>
  <c r="AX61" i="80"/>
  <c r="AV61" i="80"/>
  <c r="AU61" i="80"/>
  <c r="AT61" i="80"/>
  <c r="AS61" i="80"/>
  <c r="AQ61" i="80"/>
  <c r="AP61" i="80"/>
  <c r="AO61" i="80"/>
  <c r="AN61" i="80"/>
  <c r="AL61" i="80"/>
  <c r="AK61" i="80"/>
  <c r="AJ61" i="80"/>
  <c r="AI61" i="80"/>
  <c r="AG61" i="80"/>
  <c r="AF61" i="80"/>
  <c r="AE61" i="80"/>
  <c r="AD61" i="80"/>
  <c r="AB61" i="80"/>
  <c r="AA61" i="80"/>
  <c r="Z61" i="80"/>
  <c r="Y61" i="80"/>
  <c r="BQ60" i="80"/>
  <c r="BP60" i="80" s="1"/>
  <c r="BO60" i="80" s="1"/>
  <c r="BN60" i="80" s="1"/>
  <c r="BM60" i="80" s="1"/>
  <c r="BK60" i="80"/>
  <c r="BJ60" i="80"/>
  <c r="BI60" i="80"/>
  <c r="BH60" i="80"/>
  <c r="BF60" i="80"/>
  <c r="BE60" i="80"/>
  <c r="BD60" i="80"/>
  <c r="BC60" i="80"/>
  <c r="BA60" i="80"/>
  <c r="AZ60" i="80"/>
  <c r="AY60" i="80"/>
  <c r="AX60" i="80"/>
  <c r="AV60" i="80"/>
  <c r="AU60" i="80"/>
  <c r="AT60" i="80"/>
  <c r="AS60" i="80"/>
  <c r="AQ60" i="80"/>
  <c r="AP60" i="80"/>
  <c r="AO60" i="80"/>
  <c r="AN60" i="80"/>
  <c r="AL60" i="80"/>
  <c r="AK60" i="80"/>
  <c r="AJ60" i="80"/>
  <c r="AI60" i="80"/>
  <c r="AG60" i="80"/>
  <c r="AF60" i="80"/>
  <c r="AE60" i="80"/>
  <c r="AD60" i="80"/>
  <c r="AB60" i="80"/>
  <c r="AA60" i="80"/>
  <c r="Z60" i="80"/>
  <c r="Y60" i="80"/>
  <c r="BK59" i="80"/>
  <c r="BJ59" i="80"/>
  <c r="BI59" i="80"/>
  <c r="BH59" i="80"/>
  <c r="BF59" i="80"/>
  <c r="BE59" i="80"/>
  <c r="BD59" i="80"/>
  <c r="BC59" i="80"/>
  <c r="BA59" i="80"/>
  <c r="AZ59" i="80"/>
  <c r="AY59" i="80"/>
  <c r="AX59" i="80"/>
  <c r="AV59" i="80"/>
  <c r="AU59" i="80"/>
  <c r="AT59" i="80"/>
  <c r="AS59" i="80"/>
  <c r="AQ59" i="80"/>
  <c r="AP59" i="80"/>
  <c r="AO59" i="80"/>
  <c r="AN59" i="80"/>
  <c r="AL59" i="80"/>
  <c r="AK59" i="80"/>
  <c r="AJ59" i="80"/>
  <c r="AI59" i="80"/>
  <c r="AG59" i="80"/>
  <c r="AF59" i="80"/>
  <c r="AE59" i="80"/>
  <c r="AD59" i="80"/>
  <c r="AB59" i="80"/>
  <c r="AA59" i="80"/>
  <c r="Z59" i="80"/>
  <c r="Y59" i="80"/>
  <c r="BK58" i="80"/>
  <c r="BJ58" i="80"/>
  <c r="BI58" i="80"/>
  <c r="BH58" i="80"/>
  <c r="BF58" i="80"/>
  <c r="BE58" i="80"/>
  <c r="BD58" i="80"/>
  <c r="BC58" i="80"/>
  <c r="BA58" i="80"/>
  <c r="AZ58" i="80"/>
  <c r="AY58" i="80"/>
  <c r="AX58" i="80"/>
  <c r="AV58" i="80"/>
  <c r="AU58" i="80"/>
  <c r="AT58" i="80"/>
  <c r="AS58" i="80"/>
  <c r="AQ58" i="80"/>
  <c r="AP58" i="80"/>
  <c r="AO58" i="80"/>
  <c r="AN58" i="80"/>
  <c r="AL58" i="80"/>
  <c r="AK58" i="80"/>
  <c r="AJ58" i="80"/>
  <c r="AI58" i="80"/>
  <c r="AG58" i="80"/>
  <c r="AF58" i="80"/>
  <c r="AE58" i="80"/>
  <c r="AD58" i="80"/>
  <c r="AB58" i="80"/>
  <c r="AA58" i="80"/>
  <c r="Z58" i="80"/>
  <c r="Y58" i="80"/>
  <c r="Z55" i="80"/>
  <c r="AA55" i="80" s="1"/>
  <c r="AB55" i="80" s="1"/>
  <c r="Y55" i="80"/>
  <c r="AA54" i="80"/>
  <c r="Z54" i="80"/>
  <c r="Z51" i="80" s="1"/>
  <c r="Y54" i="80"/>
  <c r="BV52" i="80"/>
  <c r="BK51" i="80"/>
  <c r="BK52" i="80" s="1"/>
  <c r="BK82" i="80" s="1"/>
  <c r="BJ51" i="80"/>
  <c r="BI51" i="80"/>
  <c r="BH51" i="80"/>
  <c r="BF51" i="80"/>
  <c r="BF52" i="80" s="1"/>
  <c r="BF81" i="80" s="1"/>
  <c r="BE51" i="80"/>
  <c r="BE66" i="80" s="1"/>
  <c r="BE480" i="80" s="1"/>
  <c r="BD51" i="80"/>
  <c r="BC51" i="80"/>
  <c r="BA51" i="80"/>
  <c r="AZ51" i="80"/>
  <c r="AZ78" i="80" s="1"/>
  <c r="AZ500" i="80" s="1"/>
  <c r="AY51" i="80"/>
  <c r="AY78" i="80" s="1"/>
  <c r="AY500" i="80" s="1"/>
  <c r="AX51" i="80"/>
  <c r="AX93" i="80" s="1"/>
  <c r="AV51" i="80"/>
  <c r="AU51" i="80"/>
  <c r="AU65" i="80" s="1"/>
  <c r="AT51" i="80"/>
  <c r="AS51" i="80"/>
  <c r="AQ51" i="80"/>
  <c r="AP51" i="80"/>
  <c r="AP93" i="80" s="1"/>
  <c r="AO51" i="80"/>
  <c r="AO77" i="80" s="1"/>
  <c r="AN51" i="80"/>
  <c r="AL51" i="80"/>
  <c r="AL65" i="80" s="1"/>
  <c r="AK51" i="80"/>
  <c r="AJ51" i="80"/>
  <c r="AJ78" i="80" s="1"/>
  <c r="AJ500" i="80" s="1"/>
  <c r="AI51" i="80"/>
  <c r="AG51" i="80"/>
  <c r="AF51" i="80"/>
  <c r="AE51" i="80"/>
  <c r="AE93" i="80" s="1"/>
  <c r="AD51" i="80"/>
  <c r="AD93" i="80" s="1"/>
  <c r="Y51" i="80"/>
  <c r="AW40" i="80"/>
  <c r="AV40" i="80"/>
  <c r="AU40" i="80"/>
  <c r="AT40" i="80"/>
  <c r="AS40" i="80"/>
  <c r="AR40" i="80"/>
  <c r="AQ40" i="80"/>
  <c r="AP40" i="80"/>
  <c r="AO40" i="80"/>
  <c r="AN40" i="80"/>
  <c r="AM40" i="80"/>
  <c r="AL40" i="80"/>
  <c r="AK40" i="80"/>
  <c r="AJ40" i="80"/>
  <c r="AI40" i="80"/>
  <c r="AH40" i="80"/>
  <c r="AG40" i="80"/>
  <c r="AF40" i="80"/>
  <c r="AE40" i="80"/>
  <c r="AD40" i="80"/>
  <c r="AC40" i="80"/>
  <c r="AB40" i="80"/>
  <c r="AA40" i="80"/>
  <c r="Z40" i="80"/>
  <c r="Y40" i="80"/>
  <c r="X40" i="80"/>
  <c r="W40" i="80"/>
  <c r="V40" i="80"/>
  <c r="U40" i="80"/>
  <c r="T40" i="80"/>
  <c r="S40" i="80"/>
  <c r="R40" i="80"/>
  <c r="Q40" i="80"/>
  <c r="P40" i="80"/>
  <c r="O40" i="80"/>
  <c r="N40" i="80"/>
  <c r="M40" i="80"/>
  <c r="L40" i="80"/>
  <c r="K40" i="80"/>
  <c r="J40" i="80"/>
  <c r="I40" i="80"/>
  <c r="H40" i="80"/>
  <c r="G40" i="80"/>
  <c r="F40" i="80"/>
  <c r="E40" i="80"/>
  <c r="BQ39" i="80"/>
  <c r="BP39" i="80"/>
  <c r="BO39" i="80"/>
  <c r="BN39" i="80"/>
  <c r="BM39" i="80"/>
  <c r="BL39" i="80"/>
  <c r="BK39" i="80"/>
  <c r="BJ39" i="80"/>
  <c r="BI39" i="80"/>
  <c r="BH39" i="80"/>
  <c r="BG39" i="80"/>
  <c r="BF39" i="80"/>
  <c r="BE39" i="80"/>
  <c r="BD39" i="80"/>
  <c r="BC39" i="80"/>
  <c r="BB39" i="80"/>
  <c r="BA39" i="80"/>
  <c r="AZ39" i="80"/>
  <c r="AY39" i="80"/>
  <c r="AX39" i="80"/>
  <c r="AW39" i="80"/>
  <c r="AV39" i="80"/>
  <c r="AU39" i="80"/>
  <c r="AT39" i="80"/>
  <c r="AS39" i="80"/>
  <c r="AR39" i="80"/>
  <c r="AQ39" i="80"/>
  <c r="AP39" i="80"/>
  <c r="AO39" i="80"/>
  <c r="AN39" i="80"/>
  <c r="AM39" i="80"/>
  <c r="AL39" i="80"/>
  <c r="AK39" i="80"/>
  <c r="AJ39" i="80"/>
  <c r="AI39" i="80"/>
  <c r="AH39" i="80"/>
  <c r="AG39" i="80"/>
  <c r="AF39" i="80"/>
  <c r="AE39" i="80"/>
  <c r="AD39" i="80"/>
  <c r="AC39" i="80"/>
  <c r="AB39" i="80"/>
  <c r="AA39" i="80"/>
  <c r="Z39" i="80"/>
  <c r="Y39" i="80"/>
  <c r="X39" i="80"/>
  <c r="W39" i="80"/>
  <c r="V39" i="80"/>
  <c r="U39" i="80"/>
  <c r="T39" i="80"/>
  <c r="S39" i="80"/>
  <c r="R39" i="80"/>
  <c r="Q39" i="80"/>
  <c r="P39" i="80"/>
  <c r="O39" i="80"/>
  <c r="N39" i="80"/>
  <c r="M39" i="80"/>
  <c r="L39" i="80"/>
  <c r="K39" i="80"/>
  <c r="J39" i="80"/>
  <c r="I39" i="80"/>
  <c r="H39" i="80"/>
  <c r="G39" i="80"/>
  <c r="F39" i="80"/>
  <c r="E39" i="80"/>
  <c r="BQ36" i="80"/>
  <c r="BL36" i="80"/>
  <c r="BG36" i="80"/>
  <c r="BB36" i="80"/>
  <c r="AW36" i="80"/>
  <c r="AU36" i="80"/>
  <c r="AT36" i="80"/>
  <c r="AV36" i="80" s="1"/>
  <c r="AS36" i="80"/>
  <c r="AR36" i="80"/>
  <c r="AQ36" i="80" s="1"/>
  <c r="AP36" i="80"/>
  <c r="AO36" i="80"/>
  <c r="AN36" i="80"/>
  <c r="AM36" i="80"/>
  <c r="AL36" i="80"/>
  <c r="AK36" i="80"/>
  <c r="AJ36" i="80"/>
  <c r="AI36" i="80"/>
  <c r="AH36" i="80"/>
  <c r="AG36" i="80" s="1"/>
  <c r="AF36" i="80"/>
  <c r="AE36" i="80"/>
  <c r="AD36" i="80"/>
  <c r="AC36" i="80"/>
  <c r="AA36" i="80"/>
  <c r="AB36" i="80" s="1"/>
  <c r="Z36" i="80"/>
  <c r="Y36" i="80"/>
  <c r="X36" i="80"/>
  <c r="W36" i="80"/>
  <c r="V36" i="80"/>
  <c r="U36" i="80"/>
  <c r="T36" i="80"/>
  <c r="S36" i="80"/>
  <c r="R36" i="80" s="1"/>
  <c r="Q36" i="80"/>
  <c r="P36" i="80"/>
  <c r="O36" i="80"/>
  <c r="N36" i="80"/>
  <c r="L36" i="80"/>
  <c r="K36" i="80"/>
  <c r="J36" i="80"/>
  <c r="I36" i="80"/>
  <c r="H36" i="80"/>
  <c r="G36" i="80"/>
  <c r="F36" i="80"/>
  <c r="E36" i="80"/>
  <c r="BQ33" i="80"/>
  <c r="BL33" i="80"/>
  <c r="BG33" i="80"/>
  <c r="BB33" i="80"/>
  <c r="AV33" i="80"/>
  <c r="AQ33" i="80"/>
  <c r="AL33" i="80"/>
  <c r="AG33" i="80"/>
  <c r="AB33" i="80"/>
  <c r="W33" i="80"/>
  <c r="R33" i="80"/>
  <c r="M33" i="80"/>
  <c r="H33" i="80"/>
  <c r="AV30" i="80"/>
  <c r="AQ30" i="80"/>
  <c r="AL30" i="80"/>
  <c r="AG30" i="80"/>
  <c r="AB30" i="80"/>
  <c r="W30" i="80"/>
  <c r="R30" i="80"/>
  <c r="M30" i="80"/>
  <c r="H30" i="80"/>
  <c r="AT26" i="80"/>
  <c r="AS26" i="80"/>
  <c r="AQ26" i="80"/>
  <c r="AP26" i="80"/>
  <c r="AL26" i="80"/>
  <c r="AH26" i="80"/>
  <c r="AH867" i="80" s="1"/>
  <c r="AF26" i="80"/>
  <c r="AE26" i="80"/>
  <c r="AD26" i="80"/>
  <c r="AC26" i="80"/>
  <c r="AC867" i="80" s="1"/>
  <c r="W26" i="80"/>
  <c r="R26" i="80"/>
  <c r="M26" i="80"/>
  <c r="H26" i="80"/>
  <c r="V23" i="80"/>
  <c r="V28" i="80" s="1"/>
  <c r="V796" i="80" s="1"/>
  <c r="P23" i="80"/>
  <c r="P24" i="80" s="1"/>
  <c r="F23" i="80"/>
  <c r="F28" i="80" s="1"/>
  <c r="F796" i="80" s="1"/>
  <c r="BO21" i="80"/>
  <c r="BM21" i="80"/>
  <c r="BQ21" i="80" s="1"/>
  <c r="BK21" i="80"/>
  <c r="BP21" i="80" s="1"/>
  <c r="BJ21" i="80"/>
  <c r="BI21" i="80"/>
  <c r="BN21" i="80" s="1"/>
  <c r="BH21" i="80"/>
  <c r="BL21" i="80" s="1"/>
  <c r="BF21" i="80"/>
  <c r="BE21" i="80"/>
  <c r="BD21" i="80"/>
  <c r="BC21" i="80"/>
  <c r="BG21" i="80" s="1"/>
  <c r="BA21" i="80"/>
  <c r="AZ21" i="80"/>
  <c r="AY21" i="80"/>
  <c r="AX21" i="80"/>
  <c r="AW21" i="80"/>
  <c r="AV21" i="80"/>
  <c r="AU21" i="80"/>
  <c r="AS21" i="80"/>
  <c r="AR21" i="80"/>
  <c r="AQ21" i="80"/>
  <c r="AO21" i="80"/>
  <c r="AM21" i="80"/>
  <c r="AK21" i="80"/>
  <c r="AJ21" i="80"/>
  <c r="AL21" i="80" s="1"/>
  <c r="AI21" i="80"/>
  <c r="AH21" i="80"/>
  <c r="AG21" i="80"/>
  <c r="AE21" i="80"/>
  <c r="AB21" i="80"/>
  <c r="W21" i="80"/>
  <c r="R21" i="80"/>
  <c r="M21" i="80"/>
  <c r="H21" i="80"/>
  <c r="AR19" i="80"/>
  <c r="AR23" i="80" s="1"/>
  <c r="AO19" i="80"/>
  <c r="AO23" i="80" s="1"/>
  <c r="AO28" i="80" s="1"/>
  <c r="AN19" i="80"/>
  <c r="AN23" i="80" s="1"/>
  <c r="AJ19" i="80"/>
  <c r="AJ23" i="80" s="1"/>
  <c r="T19" i="80"/>
  <c r="T23" i="80" s="1"/>
  <c r="P19" i="80"/>
  <c r="O19" i="80"/>
  <c r="O23" i="80" s="1"/>
  <c r="L19" i="80"/>
  <c r="L23" i="80" s="1"/>
  <c r="BQ17" i="80"/>
  <c r="BL17" i="80"/>
  <c r="BG17" i="80"/>
  <c r="BB17" i="80"/>
  <c r="AV17" i="80"/>
  <c r="AQ17" i="80"/>
  <c r="AL17" i="80"/>
  <c r="AG17" i="80"/>
  <c r="AB17" i="80"/>
  <c r="W17" i="80"/>
  <c r="R17" i="80"/>
  <c r="M17" i="80"/>
  <c r="H17" i="80"/>
  <c r="AW15" i="80"/>
  <c r="AW19" i="80" s="1"/>
  <c r="AR15" i="80"/>
  <c r="AO15" i="80"/>
  <c r="AN15" i="80"/>
  <c r="AM15" i="80"/>
  <c r="AM19" i="80" s="1"/>
  <c r="AK15" i="80"/>
  <c r="AK19" i="80" s="1"/>
  <c r="AJ15" i="80"/>
  <c r="AI15" i="80"/>
  <c r="AI19" i="80" s="1"/>
  <c r="AE15" i="80"/>
  <c r="AE19" i="80" s="1"/>
  <c r="AA15" i="80"/>
  <c r="AA19" i="80" s="1"/>
  <c r="Z15" i="80"/>
  <c r="Z19" i="80" s="1"/>
  <c r="Z23" i="80" s="1"/>
  <c r="V15" i="80"/>
  <c r="V19" i="80" s="1"/>
  <c r="U15" i="80"/>
  <c r="U19" i="80" s="1"/>
  <c r="T15" i="80"/>
  <c r="Q15" i="80"/>
  <c r="Q19" i="80" s="1"/>
  <c r="P15" i="80"/>
  <c r="O15" i="80"/>
  <c r="N15" i="80"/>
  <c r="N19" i="80" s="1"/>
  <c r="N23" i="80" s="1"/>
  <c r="L15" i="80"/>
  <c r="K15" i="80"/>
  <c r="K19" i="80" s="1"/>
  <c r="J15" i="80"/>
  <c r="J19" i="80" s="1"/>
  <c r="J23" i="80" s="1"/>
  <c r="I15" i="80"/>
  <c r="I19" i="80" s="1"/>
  <c r="G15" i="80"/>
  <c r="G19" i="80" s="1"/>
  <c r="F15" i="80"/>
  <c r="F19" i="80" s="1"/>
  <c r="E15" i="80"/>
  <c r="E19" i="80" s="1"/>
  <c r="AV14" i="80"/>
  <c r="AV13" i="80"/>
  <c r="AV776" i="80" s="1"/>
  <c r="AQ14" i="80"/>
  <c r="AQ763" i="80" s="1"/>
  <c r="AQ13" i="80"/>
  <c r="AQ776" i="80" s="1"/>
  <c r="AQ12" i="80"/>
  <c r="AQ757" i="80" s="1"/>
  <c r="AQ760" i="80" s="1"/>
  <c r="AL14" i="80"/>
  <c r="AL763" i="80" s="1"/>
  <c r="AL13" i="80"/>
  <c r="AL776" i="80" s="1"/>
  <c r="AL12" i="80"/>
  <c r="AL757" i="80" s="1"/>
  <c r="AG14" i="80"/>
  <c r="AG763" i="80" s="1"/>
  <c r="AG764" i="80" s="1"/>
  <c r="AG13" i="80"/>
  <c r="AG776" i="80" s="1"/>
  <c r="AG779" i="80" s="1"/>
  <c r="AB14" i="80"/>
  <c r="AB763" i="80" s="1"/>
  <c r="AB13" i="80"/>
  <c r="AB776" i="80" s="1"/>
  <c r="W14" i="80"/>
  <c r="W763" i="80" s="1"/>
  <c r="W764" i="80" s="1"/>
  <c r="W13" i="80"/>
  <c r="W776" i="80" s="1"/>
  <c r="W779" i="80" s="1"/>
  <c r="W12" i="80"/>
  <c r="W757" i="80" s="1"/>
  <c r="W760" i="80" s="1"/>
  <c r="R14" i="80"/>
  <c r="R763" i="80" s="1"/>
  <c r="R13" i="80"/>
  <c r="R776" i="80" s="1"/>
  <c r="M14" i="80"/>
  <c r="M763" i="80" s="1"/>
  <c r="M764" i="80" s="1"/>
  <c r="M13" i="80"/>
  <c r="M776" i="80" s="1"/>
  <c r="M12" i="80"/>
  <c r="M757" i="80" s="1"/>
  <c r="M760" i="80" s="1"/>
  <c r="H14" i="80"/>
  <c r="H763" i="80" s="1"/>
  <c r="H13" i="80"/>
  <c r="H776" i="80" s="1"/>
  <c r="H12" i="80"/>
  <c r="AU12" i="80"/>
  <c r="AU757" i="80" s="1"/>
  <c r="AU760" i="80" s="1"/>
  <c r="AU761" i="80" s="1"/>
  <c r="AT12" i="80"/>
  <c r="AT757" i="80" s="1"/>
  <c r="AT760" i="80" s="1"/>
  <c r="AT761" i="80" s="1"/>
  <c r="AS12" i="80"/>
  <c r="AS757" i="80" s="1"/>
  <c r="AP12" i="80"/>
  <c r="AP757" i="80" s="1"/>
  <c r="AP760" i="80" s="1"/>
  <c r="AH12" i="80"/>
  <c r="AH15" i="80" s="1"/>
  <c r="AH19" i="80" s="1"/>
  <c r="AF12" i="80"/>
  <c r="AF757" i="80" s="1"/>
  <c r="AF760" i="80" s="1"/>
  <c r="AE12" i="80"/>
  <c r="AE757" i="80" s="1"/>
  <c r="AE760" i="80" s="1"/>
  <c r="AD12" i="80"/>
  <c r="AD757" i="80" s="1"/>
  <c r="AC12" i="80"/>
  <c r="AC15" i="80" s="1"/>
  <c r="AC19" i="80" s="1"/>
  <c r="AA12" i="80"/>
  <c r="AA757" i="80" s="1"/>
  <c r="AA760" i="80" s="1"/>
  <c r="Z12" i="80"/>
  <c r="Z757" i="80" s="1"/>
  <c r="Z760" i="80" s="1"/>
  <c r="Z761" i="80" s="1"/>
  <c r="Y12" i="80"/>
  <c r="Y757" i="80" s="1"/>
  <c r="X12" i="80"/>
  <c r="V12" i="80"/>
  <c r="V757" i="80" s="1"/>
  <c r="V760" i="80" s="1"/>
  <c r="V761" i="80" s="1"/>
  <c r="S12" i="80"/>
  <c r="AW10" i="80"/>
  <c r="AR10" i="80"/>
  <c r="AP10" i="80"/>
  <c r="AO10" i="80"/>
  <c r="AN10" i="80"/>
  <c r="AM10" i="80"/>
  <c r="AK10" i="80"/>
  <c r="AJ10" i="80"/>
  <c r="AI10" i="80"/>
  <c r="AF10" i="80"/>
  <c r="AC10" i="80"/>
  <c r="AA10" i="80"/>
  <c r="Z10" i="80"/>
  <c r="Y10" i="80"/>
  <c r="X10" i="80"/>
  <c r="V10" i="80"/>
  <c r="U10" i="80"/>
  <c r="T10" i="80"/>
  <c r="Q10" i="80"/>
  <c r="P10" i="80"/>
  <c r="O10" i="80"/>
  <c r="N10" i="80"/>
  <c r="L10" i="80"/>
  <c r="K10" i="80"/>
  <c r="J10" i="80"/>
  <c r="I10" i="80"/>
  <c r="H10" i="80"/>
  <c r="G10" i="80"/>
  <c r="F10" i="80"/>
  <c r="E10" i="80"/>
  <c r="AU9" i="80"/>
  <c r="AU10" i="80" s="1"/>
  <c r="AT9" i="80"/>
  <c r="AT15" i="80" s="1"/>
  <c r="AT19" i="80" s="1"/>
  <c r="AS9" i="80"/>
  <c r="AS10" i="80" s="1"/>
  <c r="AQ9" i="80"/>
  <c r="AP9" i="80"/>
  <c r="AL9" i="80"/>
  <c r="AL8" i="80"/>
  <c r="AH9" i="80"/>
  <c r="AF9" i="80"/>
  <c r="AE9" i="80"/>
  <c r="AE10" i="80" s="1"/>
  <c r="AD9" i="80"/>
  <c r="AD10" i="80" s="1"/>
  <c r="AC9" i="80"/>
  <c r="AB9" i="80"/>
  <c r="W9" i="80"/>
  <c r="W8" i="80"/>
  <c r="W10" i="80" s="1"/>
  <c r="R9" i="80"/>
  <c r="M9" i="80"/>
  <c r="M8" i="80"/>
  <c r="M10" i="80" s="1"/>
  <c r="H9" i="80"/>
  <c r="H8" i="80"/>
  <c r="AV8" i="80"/>
  <c r="AQ8" i="80"/>
  <c r="AG8" i="80"/>
  <c r="AB8" i="80"/>
  <c r="S8" i="80"/>
  <c r="S10" i="80" s="1"/>
  <c r="B2" i="80"/>
  <c r="I265" i="46"/>
  <c r="N265" i="46" s="1"/>
  <c r="S265" i="46" s="1"/>
  <c r="F265" i="46"/>
  <c r="G265" i="46" s="1"/>
  <c r="H265" i="46" s="1"/>
  <c r="J265" i="46" s="1"/>
  <c r="K265" i="46" s="1"/>
  <c r="L265" i="46" s="1"/>
  <c r="M265" i="46" s="1"/>
  <c r="O265" i="46" s="1"/>
  <c r="P265" i="46" s="1"/>
  <c r="Q265" i="46" s="1"/>
  <c r="R265" i="46" s="1"/>
  <c r="T265" i="46" s="1"/>
  <c r="V265" i="46" s="1"/>
  <c r="W265" i="46" s="1"/>
  <c r="Y265" i="46" s="1"/>
  <c r="Z265" i="46" s="1"/>
  <c r="AA265" i="46" s="1"/>
  <c r="AB265" i="46" s="1"/>
  <c r="AD265" i="46" s="1"/>
  <c r="AE265" i="46" s="1"/>
  <c r="AF265" i="46" s="1"/>
  <c r="AG265" i="46" s="1"/>
  <c r="AI265" i="46" s="1"/>
  <c r="AJ265" i="46" s="1"/>
  <c r="AK265" i="46" s="1"/>
  <c r="AL265" i="46" s="1"/>
  <c r="AN265" i="46" s="1"/>
  <c r="AO265" i="46" s="1"/>
  <c r="AP265" i="46" s="1"/>
  <c r="AQ265" i="46" s="1"/>
  <c r="AS265" i="46" s="1"/>
  <c r="AT265" i="46" s="1"/>
  <c r="AU265" i="46" s="1"/>
  <c r="AV265" i="46" s="1"/>
  <c r="AX265" i="46" s="1"/>
  <c r="AY265" i="46" s="1"/>
  <c r="AZ265" i="46" s="1"/>
  <c r="BA265" i="46" s="1"/>
  <c r="BC265" i="46" s="1"/>
  <c r="BD265" i="46" s="1"/>
  <c r="BE265" i="46" s="1"/>
  <c r="BF265" i="46" s="1"/>
  <c r="BH265" i="46" s="1"/>
  <c r="BI265" i="46" s="1"/>
  <c r="BJ265" i="46" s="1"/>
  <c r="BK265" i="46" s="1"/>
  <c r="BM265" i="46" s="1"/>
  <c r="BN265" i="46" s="1"/>
  <c r="BO265" i="46" s="1"/>
  <c r="BP265" i="46" s="1"/>
  <c r="BN264" i="46"/>
  <c r="BO264" i="46" s="1"/>
  <c r="BP264" i="46" s="1"/>
  <c r="BI264" i="46"/>
  <c r="BJ264" i="46" s="1"/>
  <c r="BK264" i="46" s="1"/>
  <c r="BD264" i="46"/>
  <c r="BE264" i="46" s="1"/>
  <c r="BF264" i="46" s="1"/>
  <c r="AY264" i="46"/>
  <c r="AZ264" i="46" s="1"/>
  <c r="BA264" i="46" s="1"/>
  <c r="AV264" i="46"/>
  <c r="AT264" i="46"/>
  <c r="AU264" i="46" s="1"/>
  <c r="AQ264" i="46"/>
  <c r="AO264" i="46"/>
  <c r="AP264" i="46" s="1"/>
  <c r="AJ264" i="46"/>
  <c r="AK264" i="46" s="1"/>
  <c r="AL264" i="46" s="1"/>
  <c r="AE264" i="46"/>
  <c r="AF264" i="46" s="1"/>
  <c r="AG264" i="46" s="1"/>
  <c r="AC264" i="46"/>
  <c r="AH264" i="46" s="1"/>
  <c r="AM264" i="46" s="1"/>
  <c r="AR264" i="46" s="1"/>
  <c r="AW264" i="46" s="1"/>
  <c r="BB264" i="46" s="1"/>
  <c r="BG264" i="46" s="1"/>
  <c r="BL264" i="46" s="1"/>
  <c r="BQ264" i="46" s="1"/>
  <c r="Z264" i="46"/>
  <c r="X264" i="46"/>
  <c r="W264" i="46"/>
  <c r="T264" i="46"/>
  <c r="S264" i="46"/>
  <c r="P264" i="46"/>
  <c r="O264" i="46"/>
  <c r="N264" i="46"/>
  <c r="M264" i="46"/>
  <c r="L264" i="46"/>
  <c r="K264" i="46"/>
  <c r="J264" i="46"/>
  <c r="I264" i="46"/>
  <c r="F264" i="46" s="1"/>
  <c r="H264" i="46"/>
  <c r="G264" i="46"/>
  <c r="E264" i="46"/>
  <c r="AV235" i="46"/>
  <c r="AU235" i="46"/>
  <c r="AT235" i="46"/>
  <c r="AS235" i="46"/>
  <c r="AQ235" i="46"/>
  <c r="AP235" i="46"/>
  <c r="AO235" i="46"/>
  <c r="AN235" i="46"/>
  <c r="AL235" i="46"/>
  <c r="AK235" i="46"/>
  <c r="AJ235" i="46"/>
  <c r="AI235" i="46"/>
  <c r="AG235" i="46"/>
  <c r="AF235" i="46"/>
  <c r="AE235" i="46"/>
  <c r="AD235" i="46"/>
  <c r="AA235" i="46"/>
  <c r="Z235" i="46"/>
  <c r="Y235" i="46"/>
  <c r="V235" i="46"/>
  <c r="U235" i="46"/>
  <c r="T235" i="46"/>
  <c r="R235" i="46"/>
  <c r="Q235" i="46"/>
  <c r="P235" i="46"/>
  <c r="O235" i="46"/>
  <c r="M235" i="46"/>
  <c r="L235" i="46"/>
  <c r="K235" i="46"/>
  <c r="J235" i="46"/>
  <c r="H235" i="46"/>
  <c r="G235" i="46"/>
  <c r="F235" i="46"/>
  <c r="E235" i="46"/>
  <c r="AV230" i="46"/>
  <c r="AU230" i="46"/>
  <c r="AT230" i="46"/>
  <c r="AS230" i="46"/>
  <c r="AQ230" i="46"/>
  <c r="AP230" i="46"/>
  <c r="AO230" i="46"/>
  <c r="AN230" i="46"/>
  <c r="AL230" i="46"/>
  <c r="AK230" i="46"/>
  <c r="AJ230" i="46"/>
  <c r="AI230" i="46"/>
  <c r="AG230" i="46"/>
  <c r="AF230" i="46"/>
  <c r="AE230" i="46"/>
  <c r="AD230" i="46"/>
  <c r="AB230" i="46"/>
  <c r="AA230" i="46"/>
  <c r="W230" i="46"/>
  <c r="M230" i="46"/>
  <c r="H230" i="46"/>
  <c r="G230" i="46"/>
  <c r="F230" i="46"/>
  <c r="E230" i="46"/>
  <c r="AV228" i="46"/>
  <c r="AU228" i="46"/>
  <c r="AT228" i="46"/>
  <c r="AS228" i="46"/>
  <c r="AQ228" i="46"/>
  <c r="AP228" i="46"/>
  <c r="AO228" i="46"/>
  <c r="AN228" i="46"/>
  <c r="AL228" i="46"/>
  <c r="AK228" i="46"/>
  <c r="AJ228" i="46"/>
  <c r="AI228" i="46"/>
  <c r="AG228" i="46"/>
  <c r="AF228" i="46"/>
  <c r="AE228" i="46"/>
  <c r="U228" i="46"/>
  <c r="R228" i="46"/>
  <c r="Q228" i="46"/>
  <c r="P228" i="46"/>
  <c r="O228" i="46"/>
  <c r="M228" i="46"/>
  <c r="L228" i="46"/>
  <c r="K228" i="46"/>
  <c r="J228" i="46"/>
  <c r="H228" i="46"/>
  <c r="G228" i="46"/>
  <c r="F228" i="46"/>
  <c r="E228" i="46"/>
  <c r="AV220" i="46"/>
  <c r="AV238" i="46" s="1"/>
  <c r="AU220" i="46"/>
  <c r="AU238" i="46" s="1"/>
  <c r="AT220" i="46"/>
  <c r="AS220" i="46"/>
  <c r="AQ220" i="46"/>
  <c r="AQ238" i="46" s="1"/>
  <c r="AG220" i="46"/>
  <c r="U220" i="46"/>
  <c r="R220" i="46"/>
  <c r="R238" i="46" s="1"/>
  <c r="Q220" i="46"/>
  <c r="P220" i="46"/>
  <c r="P238" i="46" s="1"/>
  <c r="O220" i="46"/>
  <c r="O238" i="46" s="1"/>
  <c r="M220" i="46"/>
  <c r="L220" i="46"/>
  <c r="L238" i="46" s="1"/>
  <c r="K220" i="46"/>
  <c r="K238" i="46" s="1"/>
  <c r="J220" i="46"/>
  <c r="I220" i="46"/>
  <c r="H220" i="46"/>
  <c r="H238" i="46" s="1"/>
  <c r="G220" i="46"/>
  <c r="G238" i="46" s="1"/>
  <c r="F220" i="46"/>
  <c r="E220" i="46"/>
  <c r="AR219" i="46"/>
  <c r="AR218" i="46"/>
  <c r="AR217" i="46"/>
  <c r="AR216" i="46"/>
  <c r="AR220" i="46" s="1"/>
  <c r="AR238" i="46" s="1"/>
  <c r="AR215" i="46"/>
  <c r="AR235" i="46" s="1"/>
  <c r="AR214" i="46"/>
  <c r="AP219" i="46"/>
  <c r="AP220" i="46" s="1"/>
  <c r="AO219" i="46"/>
  <c r="AO220" i="46" s="1"/>
  <c r="AN219" i="46"/>
  <c r="AN220" i="46" s="1"/>
  <c r="AN238" i="46" s="1"/>
  <c r="AL219" i="46"/>
  <c r="AM219" i="46" s="1"/>
  <c r="AK219" i="46"/>
  <c r="AK220" i="46" s="1"/>
  <c r="AJ219" i="46"/>
  <c r="AJ220" i="46" s="1"/>
  <c r="AJ238" i="46" s="1"/>
  <c r="AI219" i="46"/>
  <c r="AI220" i="46" s="1"/>
  <c r="AG219" i="46"/>
  <c r="AH219" i="46" s="1"/>
  <c r="AF219" i="46"/>
  <c r="AF220" i="46" s="1"/>
  <c r="AF238" i="46" s="1"/>
  <c r="AE219" i="46"/>
  <c r="AE220" i="46" s="1"/>
  <c r="AD219" i="46"/>
  <c r="AD220" i="46" s="1"/>
  <c r="AC219" i="46"/>
  <c r="AC220" i="46" s="1"/>
  <c r="AB219" i="46"/>
  <c r="AB220" i="46" s="1"/>
  <c r="AB238" i="46" s="1"/>
  <c r="AA219" i="46"/>
  <c r="AA220" i="46" s="1"/>
  <c r="Z219" i="46"/>
  <c r="Z220" i="46" s="1"/>
  <c r="Y219" i="46"/>
  <c r="Y220" i="46" s="1"/>
  <c r="X219" i="46"/>
  <c r="W219" i="46"/>
  <c r="W220" i="46" s="1"/>
  <c r="V219" i="46"/>
  <c r="V220" i="46" s="1"/>
  <c r="U219" i="46"/>
  <c r="T219" i="46"/>
  <c r="T220" i="46" s="1"/>
  <c r="T238" i="46" s="1"/>
  <c r="S219" i="46"/>
  <c r="N219" i="46"/>
  <c r="N218" i="46"/>
  <c r="N217" i="46"/>
  <c r="N216" i="46"/>
  <c r="N220" i="46" s="1"/>
  <c r="N215" i="46"/>
  <c r="N235" i="46" s="1"/>
  <c r="N214" i="46"/>
  <c r="I219" i="46"/>
  <c r="I218" i="46"/>
  <c r="I217" i="46"/>
  <c r="I216" i="46"/>
  <c r="I215" i="46"/>
  <c r="I235" i="46" s="1"/>
  <c r="I214" i="46"/>
  <c r="AM218" i="46"/>
  <c r="AM217" i="46"/>
  <c r="AM216" i="46"/>
  <c r="AM220" i="46" s="1"/>
  <c r="AM215" i="46"/>
  <c r="AM235" i="46" s="1"/>
  <c r="AM214" i="46"/>
  <c r="AH218" i="46"/>
  <c r="AH217" i="46"/>
  <c r="AH216" i="46"/>
  <c r="AH220" i="46" s="1"/>
  <c r="AH215" i="46"/>
  <c r="AH235" i="46" s="1"/>
  <c r="AH214" i="46"/>
  <c r="AC218" i="46"/>
  <c r="AC217" i="46"/>
  <c r="AC216" i="46"/>
  <c r="AC215" i="46"/>
  <c r="AC235" i="46" s="1"/>
  <c r="AC214" i="46"/>
  <c r="X218" i="46"/>
  <c r="X217" i="46"/>
  <c r="X216" i="46"/>
  <c r="X220" i="46" s="1"/>
  <c r="X238" i="46" s="1"/>
  <c r="X214" i="46"/>
  <c r="S218" i="46"/>
  <c r="S217" i="46"/>
  <c r="S216" i="46"/>
  <c r="S220" i="46" s="1"/>
  <c r="S215" i="46"/>
  <c r="S235" i="46" s="1"/>
  <c r="S214" i="46"/>
  <c r="AB215" i="46"/>
  <c r="AB235" i="46" s="1"/>
  <c r="W215" i="46"/>
  <c r="W235" i="46" s="1"/>
  <c r="AY219" i="46"/>
  <c r="AZ219" i="46" s="1"/>
  <c r="BA219" i="46" s="1"/>
  <c r="BB219" i="46" s="1"/>
  <c r="BC219" i="46" s="1"/>
  <c r="BD219" i="46" s="1"/>
  <c r="BE219" i="46" s="1"/>
  <c r="BF219" i="46" s="1"/>
  <c r="BG219" i="46" s="1"/>
  <c r="BH219" i="46" s="1"/>
  <c r="BI219" i="46" s="1"/>
  <c r="BJ219" i="46" s="1"/>
  <c r="BK219" i="46" s="1"/>
  <c r="BL219" i="46" s="1"/>
  <c r="BM219" i="46" s="1"/>
  <c r="BN219" i="46" s="1"/>
  <c r="BO219" i="46" s="1"/>
  <c r="BP219" i="46" s="1"/>
  <c r="BQ219" i="46" s="1"/>
  <c r="AX219" i="46"/>
  <c r="AW219" i="46"/>
  <c r="AW218" i="46"/>
  <c r="AX218" i="46" s="1"/>
  <c r="AY218" i="46" s="1"/>
  <c r="AZ218" i="46" s="1"/>
  <c r="BA218" i="46" s="1"/>
  <c r="BB218" i="46" s="1"/>
  <c r="BC218" i="46" s="1"/>
  <c r="BD218" i="46" s="1"/>
  <c r="BE218" i="46" s="1"/>
  <c r="BF218" i="46" s="1"/>
  <c r="BG218" i="46" s="1"/>
  <c r="BH218" i="46" s="1"/>
  <c r="BI218" i="46" s="1"/>
  <c r="BJ218" i="46" s="1"/>
  <c r="BK218" i="46" s="1"/>
  <c r="BL218" i="46" s="1"/>
  <c r="BM218" i="46" s="1"/>
  <c r="BN218" i="46" s="1"/>
  <c r="BO218" i="46" s="1"/>
  <c r="BP218" i="46" s="1"/>
  <c r="BQ218" i="46" s="1"/>
  <c r="AW217" i="46"/>
  <c r="AW216" i="46"/>
  <c r="AW220" i="46" s="1"/>
  <c r="AX215" i="46"/>
  <c r="AX235" i="46" s="1"/>
  <c r="AW215" i="46"/>
  <c r="AW235" i="46" s="1"/>
  <c r="AW214" i="46"/>
  <c r="AX214" i="46" s="1"/>
  <c r="AY214" i="46" s="1"/>
  <c r="AZ214" i="46" s="1"/>
  <c r="BA214" i="46" s="1"/>
  <c r="BB214" i="46" s="1"/>
  <c r="BC214" i="46" s="1"/>
  <c r="BD214" i="46" s="1"/>
  <c r="BE214" i="46" s="1"/>
  <c r="BF214" i="46" s="1"/>
  <c r="BG214" i="46" s="1"/>
  <c r="BH214" i="46" s="1"/>
  <c r="BI214" i="46" s="1"/>
  <c r="BJ214" i="46" s="1"/>
  <c r="BK214" i="46" s="1"/>
  <c r="BL214" i="46" s="1"/>
  <c r="BM214" i="46" s="1"/>
  <c r="BN214" i="46" s="1"/>
  <c r="BO214" i="46" s="1"/>
  <c r="BP214" i="46" s="1"/>
  <c r="BQ214" i="46" s="1"/>
  <c r="AQ210" i="46"/>
  <c r="AP210" i="46"/>
  <c r="AL210" i="46"/>
  <c r="AG210" i="46"/>
  <c r="AA210" i="46"/>
  <c r="Z210" i="46"/>
  <c r="V210" i="46"/>
  <c r="Q210" i="46"/>
  <c r="K210" i="46"/>
  <c r="J210" i="46"/>
  <c r="F210" i="46"/>
  <c r="AV209" i="46"/>
  <c r="AV210" i="46" s="1"/>
  <c r="AU209" i="46"/>
  <c r="AU210" i="46" s="1"/>
  <c r="AT209" i="46"/>
  <c r="AT210" i="46" s="1"/>
  <c r="AS209" i="46"/>
  <c r="AS210" i="46" s="1"/>
  <c r="AR209" i="46"/>
  <c r="AQ209" i="46"/>
  <c r="AP209" i="46"/>
  <c r="AO209" i="46"/>
  <c r="AO210" i="46" s="1"/>
  <c r="AN209" i="46"/>
  <c r="AN210" i="46" s="1"/>
  <c r="AM209" i="46"/>
  <c r="AL209" i="46"/>
  <c r="AK209" i="46"/>
  <c r="AK210" i="46" s="1"/>
  <c r="AJ209" i="46"/>
  <c r="AJ210" i="46" s="1"/>
  <c r="AI209" i="46"/>
  <c r="AI210" i="46" s="1"/>
  <c r="AG209" i="46"/>
  <c r="AH209" i="46" s="1"/>
  <c r="AF209" i="46"/>
  <c r="AF210" i="46" s="1"/>
  <c r="AE209" i="46"/>
  <c r="AE210" i="46" s="1"/>
  <c r="AD209" i="46"/>
  <c r="AD210" i="46" s="1"/>
  <c r="AB209" i="46"/>
  <c r="AB210" i="46" s="1"/>
  <c r="AA209" i="46"/>
  <c r="Z209" i="46"/>
  <c r="Y209" i="46"/>
  <c r="Y210" i="46" s="1"/>
  <c r="X209" i="46"/>
  <c r="W209" i="46"/>
  <c r="W210" i="46" s="1"/>
  <c r="V209" i="46"/>
  <c r="U209" i="46"/>
  <c r="U210" i="46" s="1"/>
  <c r="T209" i="46"/>
  <c r="T210" i="46" s="1"/>
  <c r="S209" i="46"/>
  <c r="R209" i="46"/>
  <c r="R210" i="46" s="1"/>
  <c r="Q209" i="46"/>
  <c r="P209" i="46"/>
  <c r="P210" i="46" s="1"/>
  <c r="O209" i="46"/>
  <c r="O210" i="46" s="1"/>
  <c r="M209" i="46"/>
  <c r="N209" i="46" s="1"/>
  <c r="L209" i="46"/>
  <c r="L210" i="46" s="1"/>
  <c r="K209" i="46"/>
  <c r="J209" i="46"/>
  <c r="H209" i="46"/>
  <c r="H210" i="46" s="1"/>
  <c r="G209" i="46"/>
  <c r="G210" i="46" s="1"/>
  <c r="F209" i="46"/>
  <c r="E209" i="46"/>
  <c r="E210" i="46" s="1"/>
  <c r="AR208" i="46"/>
  <c r="AR207" i="46"/>
  <c r="AM208" i="46"/>
  <c r="AM207" i="46"/>
  <c r="AM210" i="46" s="1"/>
  <c r="AH208" i="46"/>
  <c r="AH207" i="46"/>
  <c r="AH210" i="46" s="1"/>
  <c r="AC208" i="46"/>
  <c r="AC207" i="46"/>
  <c r="X208" i="46"/>
  <c r="X207" i="46"/>
  <c r="S208" i="46"/>
  <c r="S207" i="46"/>
  <c r="S210" i="46" s="1"/>
  <c r="N208" i="46"/>
  <c r="N207" i="46"/>
  <c r="N210" i="46" s="1"/>
  <c r="I208" i="46"/>
  <c r="I207" i="46"/>
  <c r="AW208" i="46"/>
  <c r="AX207" i="46"/>
  <c r="AW207" i="46"/>
  <c r="AV205" i="46"/>
  <c r="AV231" i="46" s="1"/>
  <c r="AU205" i="46"/>
  <c r="AU231" i="46" s="1"/>
  <c r="AT205" i="46"/>
  <c r="AT231" i="46" s="1"/>
  <c r="AS205" i="46"/>
  <c r="AS231" i="46" s="1"/>
  <c r="AQ205" i="46"/>
  <c r="AP205" i="46"/>
  <c r="AP231" i="46" s="1"/>
  <c r="AO205" i="46"/>
  <c r="AO231" i="46" s="1"/>
  <c r="AN205" i="46"/>
  <c r="AN231" i="46" s="1"/>
  <c r="AM205" i="46"/>
  <c r="AM231" i="46" s="1"/>
  <c r="AL205" i="46"/>
  <c r="AL231" i="46" s="1"/>
  <c r="AK205" i="46"/>
  <c r="AK231" i="46" s="1"/>
  <c r="AJ205" i="46"/>
  <c r="AJ231" i="46" s="1"/>
  <c r="AI205" i="46"/>
  <c r="AI231" i="46" s="1"/>
  <c r="AH205" i="46"/>
  <c r="AG205" i="46"/>
  <c r="AG231" i="46" s="1"/>
  <c r="AF205" i="46"/>
  <c r="AF231" i="46" s="1"/>
  <c r="AE205" i="46"/>
  <c r="AE231" i="46" s="1"/>
  <c r="AD205" i="46"/>
  <c r="AB205" i="46"/>
  <c r="AA205" i="46"/>
  <c r="Z205" i="46"/>
  <c r="Y205" i="46"/>
  <c r="W205" i="46"/>
  <c r="V205" i="46"/>
  <c r="U205" i="46"/>
  <c r="T205" i="46"/>
  <c r="S205" i="46"/>
  <c r="R205" i="46"/>
  <c r="R231" i="46" s="1"/>
  <c r="Q205" i="46"/>
  <c r="Q231" i="46" s="1"/>
  <c r="P205" i="46"/>
  <c r="P231" i="46" s="1"/>
  <c r="O205" i="46"/>
  <c r="O231" i="46" s="1"/>
  <c r="N205" i="46"/>
  <c r="M205" i="46"/>
  <c r="M231" i="46" s="1"/>
  <c r="L205" i="46"/>
  <c r="L231" i="46" s="1"/>
  <c r="K205" i="46"/>
  <c r="K231" i="46" s="1"/>
  <c r="J205" i="46"/>
  <c r="H205" i="46"/>
  <c r="G205" i="46"/>
  <c r="G231" i="46" s="1"/>
  <c r="F205" i="46"/>
  <c r="E205" i="46"/>
  <c r="AV203" i="46"/>
  <c r="AV212" i="46" s="1"/>
  <c r="AV222" i="46" s="1"/>
  <c r="AU203" i="46"/>
  <c r="AQ203" i="46"/>
  <c r="AN203" i="46"/>
  <c r="AN212" i="46" s="1"/>
  <c r="AJ203" i="46"/>
  <c r="AJ212" i="46" s="1"/>
  <c r="AJ222" i="46" s="1"/>
  <c r="AI203" i="46"/>
  <c r="AF203" i="46"/>
  <c r="AF212" i="46" s="1"/>
  <c r="AE203" i="46"/>
  <c r="AB203" i="46"/>
  <c r="AB212" i="46" s="1"/>
  <c r="T203" i="46"/>
  <c r="T212" i="46" s="1"/>
  <c r="P203" i="46"/>
  <c r="P212" i="46" s="1"/>
  <c r="P222" i="46" s="1"/>
  <c r="O203" i="46"/>
  <c r="L203" i="46"/>
  <c r="L212" i="46" s="1"/>
  <c r="L222" i="46" s="1"/>
  <c r="H203" i="46"/>
  <c r="H212" i="46" s="1"/>
  <c r="H222" i="46" s="1"/>
  <c r="G203" i="46"/>
  <c r="BA202" i="46"/>
  <c r="BB202" i="46" s="1"/>
  <c r="BC202" i="46" s="1"/>
  <c r="BD202" i="46" s="1"/>
  <c r="BE202" i="46" s="1"/>
  <c r="BF202" i="46" s="1"/>
  <c r="BG202" i="46" s="1"/>
  <c r="BH202" i="46" s="1"/>
  <c r="BI202" i="46" s="1"/>
  <c r="BJ202" i="46" s="1"/>
  <c r="BK202" i="46" s="1"/>
  <c r="BL202" i="46" s="1"/>
  <c r="BM202" i="46" s="1"/>
  <c r="BN202" i="46" s="1"/>
  <c r="BO202" i="46" s="1"/>
  <c r="BP202" i="46" s="1"/>
  <c r="BQ202" i="46" s="1"/>
  <c r="AW202" i="46"/>
  <c r="AX202" i="46" s="1"/>
  <c r="AY202" i="46" s="1"/>
  <c r="AZ202" i="46" s="1"/>
  <c r="AV202" i="46"/>
  <c r="AU202" i="46"/>
  <c r="AT202" i="46"/>
  <c r="AT203" i="46" s="1"/>
  <c r="AT212" i="46" s="1"/>
  <c r="AS202" i="46"/>
  <c r="AS203" i="46" s="1"/>
  <c r="AS212" i="46" s="1"/>
  <c r="AR202" i="46"/>
  <c r="AQ202" i="46"/>
  <c r="AP202" i="46"/>
  <c r="AP203" i="46" s="1"/>
  <c r="AP212" i="46" s="1"/>
  <c r="AO202" i="46"/>
  <c r="AO203" i="46" s="1"/>
  <c r="AO212" i="46" s="1"/>
  <c r="AN202" i="46"/>
  <c r="AL202" i="46"/>
  <c r="AL203" i="46" s="1"/>
  <c r="AL212" i="46" s="1"/>
  <c r="AK202" i="46"/>
  <c r="AK203" i="46" s="1"/>
  <c r="AK212" i="46" s="1"/>
  <c r="AJ202" i="46"/>
  <c r="AI202" i="46"/>
  <c r="AG202" i="46"/>
  <c r="AF202" i="46"/>
  <c r="AE202" i="46"/>
  <c r="AD202" i="46"/>
  <c r="AC202" i="46"/>
  <c r="AB202" i="46"/>
  <c r="AA202" i="46"/>
  <c r="Z202" i="46"/>
  <c r="Y202" i="46"/>
  <c r="X202" i="46"/>
  <c r="W202" i="46"/>
  <c r="V202" i="46"/>
  <c r="U202" i="46"/>
  <c r="T202" i="46"/>
  <c r="R202" i="46"/>
  <c r="S202" i="46" s="1"/>
  <c r="Q202" i="46"/>
  <c r="P202" i="46"/>
  <c r="O202" i="46"/>
  <c r="M202" i="46"/>
  <c r="L202" i="46"/>
  <c r="K202" i="46"/>
  <c r="J202" i="46"/>
  <c r="I202" i="46"/>
  <c r="H202" i="46"/>
  <c r="G202" i="46"/>
  <c r="F202" i="46"/>
  <c r="E202" i="46"/>
  <c r="AR201" i="46"/>
  <c r="AR200" i="46"/>
  <c r="AR199" i="46"/>
  <c r="AR230" i="46" s="1"/>
  <c r="AR198" i="46"/>
  <c r="AR203" i="46" s="1"/>
  <c r="AM201" i="46"/>
  <c r="AM200" i="46"/>
  <c r="AM199" i="46"/>
  <c r="AM230" i="46" s="1"/>
  <c r="AM198" i="46"/>
  <c r="AH201" i="46"/>
  <c r="AH200" i="46"/>
  <c r="AH199" i="46"/>
  <c r="AH230" i="46" s="1"/>
  <c r="AH198" i="46"/>
  <c r="AC201" i="46"/>
  <c r="AC199" i="46"/>
  <c r="AC230" i="46" s="1"/>
  <c r="AC198" i="46"/>
  <c r="AC203" i="46" s="1"/>
  <c r="X201" i="46"/>
  <c r="X199" i="46"/>
  <c r="X230" i="46" s="1"/>
  <c r="X198" i="46"/>
  <c r="X203" i="46" s="1"/>
  <c r="S201" i="46"/>
  <c r="S198" i="46"/>
  <c r="N201" i="46"/>
  <c r="N200" i="46"/>
  <c r="N199" i="46"/>
  <c r="N230" i="46" s="1"/>
  <c r="N198" i="46"/>
  <c r="I201" i="46"/>
  <c r="I200" i="46"/>
  <c r="I199" i="46"/>
  <c r="I230" i="46" s="1"/>
  <c r="I198" i="46"/>
  <c r="I203" i="46" s="1"/>
  <c r="AD200" i="46"/>
  <c r="AB200" i="46"/>
  <c r="AC200" i="46" s="1"/>
  <c r="AA200" i="46"/>
  <c r="Z200" i="46"/>
  <c r="Y200" i="46"/>
  <c r="W200" i="46"/>
  <c r="X200" i="46" s="1"/>
  <c r="V200" i="46"/>
  <c r="U200" i="46"/>
  <c r="T200" i="46"/>
  <c r="R200" i="46"/>
  <c r="S200" i="46" s="1"/>
  <c r="R199" i="46"/>
  <c r="R230" i="46" s="1"/>
  <c r="R232" i="46" s="1"/>
  <c r="AW201" i="46"/>
  <c r="AX201" i="46" s="1"/>
  <c r="AY201" i="46" s="1"/>
  <c r="AZ201" i="46" s="1"/>
  <c r="BA201" i="46" s="1"/>
  <c r="BB201" i="46" s="1"/>
  <c r="BC201" i="46" s="1"/>
  <c r="BD201" i="46" s="1"/>
  <c r="BE201" i="46" s="1"/>
  <c r="BF201" i="46" s="1"/>
  <c r="BG201" i="46" s="1"/>
  <c r="BH201" i="46" s="1"/>
  <c r="BI201" i="46" s="1"/>
  <c r="BJ201" i="46" s="1"/>
  <c r="BK201" i="46" s="1"/>
  <c r="BL201" i="46" s="1"/>
  <c r="BM201" i="46" s="1"/>
  <c r="BN201" i="46" s="1"/>
  <c r="BO201" i="46" s="1"/>
  <c r="BP201" i="46" s="1"/>
  <c r="BQ201" i="46" s="1"/>
  <c r="BB200" i="46"/>
  <c r="BC200" i="46" s="1"/>
  <c r="BD200" i="46" s="1"/>
  <c r="BE200" i="46" s="1"/>
  <c r="BF200" i="46" s="1"/>
  <c r="BG200" i="46" s="1"/>
  <c r="BH200" i="46" s="1"/>
  <c r="BI200" i="46" s="1"/>
  <c r="BJ200" i="46" s="1"/>
  <c r="BK200" i="46" s="1"/>
  <c r="BL200" i="46" s="1"/>
  <c r="BM200" i="46" s="1"/>
  <c r="BN200" i="46" s="1"/>
  <c r="BO200" i="46" s="1"/>
  <c r="BP200" i="46" s="1"/>
  <c r="BQ200" i="46" s="1"/>
  <c r="AX200" i="46"/>
  <c r="AY200" i="46" s="1"/>
  <c r="AZ200" i="46" s="1"/>
  <c r="BA200" i="46" s="1"/>
  <c r="AW200" i="46"/>
  <c r="AW199" i="46"/>
  <c r="AW230" i="46" s="1"/>
  <c r="Z199" i="46"/>
  <c r="Z230" i="46" s="1"/>
  <c r="Y199" i="46"/>
  <c r="Y230" i="46" s="1"/>
  <c r="V199" i="46"/>
  <c r="V230" i="46" s="1"/>
  <c r="U199" i="46"/>
  <c r="U230" i="46" s="1"/>
  <c r="T199" i="46"/>
  <c r="T230" i="46" s="1"/>
  <c r="Q199" i="46"/>
  <c r="P199" i="46"/>
  <c r="P230" i="46" s="1"/>
  <c r="P232" i="46" s="1"/>
  <c r="O199" i="46"/>
  <c r="O230" i="46" s="1"/>
  <c r="L199" i="46"/>
  <c r="L230" i="46" s="1"/>
  <c r="L232" i="46" s="1"/>
  <c r="K199" i="46"/>
  <c r="K230" i="46" s="1"/>
  <c r="K232" i="46" s="1"/>
  <c r="J199" i="46"/>
  <c r="J230" i="46" s="1"/>
  <c r="BQ198" i="46"/>
  <c r="AW198" i="46"/>
  <c r="AD198" i="46"/>
  <c r="AD203" i="46" s="1"/>
  <c r="AD212" i="46" s="1"/>
  <c r="AB198" i="46"/>
  <c r="AA198" i="46"/>
  <c r="AA203" i="46" s="1"/>
  <c r="AA212" i="46" s="1"/>
  <c r="Z198" i="46"/>
  <c r="Z203" i="46" s="1"/>
  <c r="Z212" i="46" s="1"/>
  <c r="Y198" i="46"/>
  <c r="Y203" i="46" s="1"/>
  <c r="Y212" i="46" s="1"/>
  <c r="W198" i="46"/>
  <c r="W203" i="46" s="1"/>
  <c r="W212" i="46" s="1"/>
  <c r="V198" i="46"/>
  <c r="V203" i="46" s="1"/>
  <c r="V212" i="46" s="1"/>
  <c r="U198" i="46"/>
  <c r="U203" i="46" s="1"/>
  <c r="U212" i="46" s="1"/>
  <c r="T198" i="46"/>
  <c r="K198" i="46"/>
  <c r="K203" i="46" s="1"/>
  <c r="K212" i="46" s="1"/>
  <c r="K222" i="46" s="1"/>
  <c r="J198" i="46"/>
  <c r="J203" i="46" s="1"/>
  <c r="J212" i="46" s="1"/>
  <c r="H198" i="46"/>
  <c r="G198" i="46"/>
  <c r="F198" i="46"/>
  <c r="F203" i="46" s="1"/>
  <c r="F212" i="46" s="1"/>
  <c r="E198" i="46"/>
  <c r="E203" i="46" s="1"/>
  <c r="E212" i="46" s="1"/>
  <c r="AQ194" i="46"/>
  <c r="AI194" i="46"/>
  <c r="AD194" i="46"/>
  <c r="O194" i="46"/>
  <c r="J194" i="46"/>
  <c r="AV193" i="46"/>
  <c r="AW193" i="46" s="1"/>
  <c r="AU193" i="46"/>
  <c r="AT193" i="46"/>
  <c r="AS193" i="46"/>
  <c r="AR193" i="46"/>
  <c r="AQ193" i="46"/>
  <c r="AP193" i="46"/>
  <c r="AO193" i="46"/>
  <c r="AN193" i="46"/>
  <c r="AN194" i="46" s="1"/>
  <c r="AM193" i="46"/>
  <c r="AL193" i="46"/>
  <c r="AK193" i="46"/>
  <c r="AJ193" i="46"/>
  <c r="AI193" i="46"/>
  <c r="AG193" i="46"/>
  <c r="AH193" i="46" s="1"/>
  <c r="AF193" i="46"/>
  <c r="AE193" i="46"/>
  <c r="AD193" i="46"/>
  <c r="AB193" i="46"/>
  <c r="AC193" i="46" s="1"/>
  <c r="AA193" i="46"/>
  <c r="Z193" i="46"/>
  <c r="Y193" i="46"/>
  <c r="X193" i="46"/>
  <c r="W193" i="46"/>
  <c r="V193" i="46"/>
  <c r="U193" i="46"/>
  <c r="T193" i="46"/>
  <c r="T194" i="46" s="1"/>
  <c r="S193" i="46"/>
  <c r="R193" i="46"/>
  <c r="Q193" i="46"/>
  <c r="P193" i="46"/>
  <c r="O193" i="46"/>
  <c r="M193" i="46"/>
  <c r="N193" i="46" s="1"/>
  <c r="L193" i="46"/>
  <c r="K193" i="46"/>
  <c r="J193" i="46"/>
  <c r="H193" i="46"/>
  <c r="I193" i="46" s="1"/>
  <c r="G193" i="46"/>
  <c r="F193" i="46"/>
  <c r="E193" i="46"/>
  <c r="AR192" i="46"/>
  <c r="AR191" i="46"/>
  <c r="AM192" i="46"/>
  <c r="AM191" i="46"/>
  <c r="AH192" i="46"/>
  <c r="AH191" i="46"/>
  <c r="AC192" i="46"/>
  <c r="AC191" i="46"/>
  <c r="X192" i="46"/>
  <c r="X191" i="46"/>
  <c r="S192" i="46"/>
  <c r="S191" i="46"/>
  <c r="N192" i="46"/>
  <c r="N191" i="46"/>
  <c r="N190" i="46"/>
  <c r="N194" i="46" s="1"/>
  <c r="I192" i="46"/>
  <c r="I191" i="46"/>
  <c r="AW192" i="46"/>
  <c r="AX192" i="46" s="1"/>
  <c r="AY192" i="46" s="1"/>
  <c r="AZ192" i="46" s="1"/>
  <c r="BA192" i="46" s="1"/>
  <c r="BB192" i="46" s="1"/>
  <c r="BC192" i="46" s="1"/>
  <c r="BD192" i="46" s="1"/>
  <c r="BE192" i="46" s="1"/>
  <c r="BF192" i="46" s="1"/>
  <c r="BG192" i="46" s="1"/>
  <c r="BH192" i="46" s="1"/>
  <c r="BI192" i="46" s="1"/>
  <c r="BJ192" i="46" s="1"/>
  <c r="BK192" i="46" s="1"/>
  <c r="BL192" i="46" s="1"/>
  <c r="BM192" i="46" s="1"/>
  <c r="BN192" i="46" s="1"/>
  <c r="BO192" i="46" s="1"/>
  <c r="BP192" i="46" s="1"/>
  <c r="BQ192" i="46" s="1"/>
  <c r="AY191" i="46"/>
  <c r="AZ191" i="46" s="1"/>
  <c r="BA191" i="46" s="1"/>
  <c r="BB191" i="46" s="1"/>
  <c r="BC191" i="46" s="1"/>
  <c r="BD191" i="46" s="1"/>
  <c r="BE191" i="46" s="1"/>
  <c r="BF191" i="46" s="1"/>
  <c r="BG191" i="46" s="1"/>
  <c r="BH191" i="46" s="1"/>
  <c r="BI191" i="46" s="1"/>
  <c r="BJ191" i="46" s="1"/>
  <c r="BK191" i="46" s="1"/>
  <c r="BL191" i="46" s="1"/>
  <c r="BM191" i="46" s="1"/>
  <c r="BN191" i="46" s="1"/>
  <c r="BO191" i="46" s="1"/>
  <c r="BP191" i="46" s="1"/>
  <c r="BQ191" i="46" s="1"/>
  <c r="AX191" i="46"/>
  <c r="AW191" i="46"/>
  <c r="AV190" i="46"/>
  <c r="AU190" i="46"/>
  <c r="AU194" i="46" s="1"/>
  <c r="AT190" i="46"/>
  <c r="AT194" i="46" s="1"/>
  <c r="AS190" i="46"/>
  <c r="AS194" i="46" s="1"/>
  <c r="AQ190" i="46"/>
  <c r="AR190" i="46" s="1"/>
  <c r="AR194" i="46" s="1"/>
  <c r="AP190" i="46"/>
  <c r="AP194" i="46" s="1"/>
  <c r="AO190" i="46"/>
  <c r="AO194" i="46" s="1"/>
  <c r="AN190" i="46"/>
  <c r="AL190" i="46"/>
  <c r="AK190" i="46"/>
  <c r="AK194" i="46" s="1"/>
  <c r="AJ190" i="46"/>
  <c r="AJ194" i="46" s="1"/>
  <c r="AI190" i="46"/>
  <c r="AG190" i="46"/>
  <c r="AG194" i="46" s="1"/>
  <c r="AF190" i="46"/>
  <c r="AE190" i="46"/>
  <c r="AE194" i="46" s="1"/>
  <c r="AD190" i="46"/>
  <c r="AB190" i="46"/>
  <c r="AA190" i="46"/>
  <c r="AA194" i="46" s="1"/>
  <c r="Z190" i="46"/>
  <c r="Z194" i="46" s="1"/>
  <c r="Y190" i="46"/>
  <c r="Y194" i="46" s="1"/>
  <c r="W190" i="46"/>
  <c r="X190" i="46" s="1"/>
  <c r="X194" i="46" s="1"/>
  <c r="V190" i="46"/>
  <c r="V194" i="46" s="1"/>
  <c r="U190" i="46"/>
  <c r="U194" i="46" s="1"/>
  <c r="T190" i="46"/>
  <c r="R190" i="46"/>
  <c r="Q190" i="46"/>
  <c r="Q194" i="46" s="1"/>
  <c r="P190" i="46"/>
  <c r="P194" i="46" s="1"/>
  <c r="O190" i="46"/>
  <c r="M190" i="46"/>
  <c r="M194" i="46" s="1"/>
  <c r="L190" i="46"/>
  <c r="L194" i="46" s="1"/>
  <c r="K190" i="46"/>
  <c r="K194" i="46" s="1"/>
  <c r="J190" i="46"/>
  <c r="H190" i="46"/>
  <c r="G190" i="46"/>
  <c r="G194" i="46" s="1"/>
  <c r="F190" i="46"/>
  <c r="F194" i="46" s="1"/>
  <c r="E190" i="46"/>
  <c r="E194" i="46" s="1"/>
  <c r="AV188" i="46"/>
  <c r="AS188" i="46"/>
  <c r="AQ188" i="46"/>
  <c r="AN188" i="46"/>
  <c r="AI188" i="46"/>
  <c r="AG188" i="46"/>
  <c r="AC188" i="46"/>
  <c r="AB188" i="46"/>
  <c r="W188" i="46"/>
  <c r="S188" i="46"/>
  <c r="M188" i="46"/>
  <c r="I188" i="46"/>
  <c r="H188" i="46"/>
  <c r="AR187" i="46"/>
  <c r="AR188" i="46" s="1"/>
  <c r="AR186" i="46"/>
  <c r="AM187" i="46"/>
  <c r="AM186" i="46"/>
  <c r="AM188" i="46" s="1"/>
  <c r="AH187" i="46"/>
  <c r="AH186" i="46"/>
  <c r="AC187" i="46"/>
  <c r="AC186" i="46"/>
  <c r="X187" i="46"/>
  <c r="X186" i="46"/>
  <c r="X188" i="46" s="1"/>
  <c r="S187" i="46"/>
  <c r="S186" i="46"/>
  <c r="N187" i="46"/>
  <c r="N186" i="46"/>
  <c r="I187" i="46"/>
  <c r="I186" i="46"/>
  <c r="AW187" i="46"/>
  <c r="AW188" i="46" s="1"/>
  <c r="AW186" i="46"/>
  <c r="AV186" i="46"/>
  <c r="AU186" i="46"/>
  <c r="AU188" i="46" s="1"/>
  <c r="AT186" i="46"/>
  <c r="AT188" i="46" s="1"/>
  <c r="AS186" i="46"/>
  <c r="AQ186" i="46"/>
  <c r="AP186" i="46"/>
  <c r="AP188" i="46" s="1"/>
  <c r="AO186" i="46"/>
  <c r="AO188" i="46" s="1"/>
  <c r="AN186" i="46"/>
  <c r="AL186" i="46"/>
  <c r="AL188" i="46" s="1"/>
  <c r="AK186" i="46"/>
  <c r="AK188" i="46" s="1"/>
  <c r="AJ186" i="46"/>
  <c r="AJ188" i="46" s="1"/>
  <c r="AI186" i="46"/>
  <c r="AG186" i="46"/>
  <c r="AF186" i="46"/>
  <c r="AF188" i="46" s="1"/>
  <c r="AE186" i="46"/>
  <c r="AE188" i="46" s="1"/>
  <c r="AD186" i="46"/>
  <c r="AD188" i="46" s="1"/>
  <c r="AB186" i="46"/>
  <c r="AA186" i="46"/>
  <c r="AA188" i="46" s="1"/>
  <c r="Z186" i="46"/>
  <c r="Z188" i="46" s="1"/>
  <c r="Y186" i="46"/>
  <c r="Y188" i="46" s="1"/>
  <c r="W186" i="46"/>
  <c r="V186" i="46"/>
  <c r="V188" i="46" s="1"/>
  <c r="U186" i="46"/>
  <c r="U188" i="46" s="1"/>
  <c r="T186" i="46"/>
  <c r="T188" i="46" s="1"/>
  <c r="R186" i="46"/>
  <c r="R188" i="46" s="1"/>
  <c r="Q186" i="46"/>
  <c r="Q188" i="46" s="1"/>
  <c r="P186" i="46"/>
  <c r="P188" i="46" s="1"/>
  <c r="O186" i="46"/>
  <c r="O188" i="46" s="1"/>
  <c r="M186" i="46"/>
  <c r="L186" i="46"/>
  <c r="L188" i="46" s="1"/>
  <c r="K186" i="46"/>
  <c r="K188" i="46" s="1"/>
  <c r="J186" i="46"/>
  <c r="J188" i="46" s="1"/>
  <c r="H186" i="46"/>
  <c r="G186" i="46"/>
  <c r="G188" i="46" s="1"/>
  <c r="F186" i="46"/>
  <c r="F188" i="46" s="1"/>
  <c r="E186" i="46"/>
  <c r="E188" i="46" s="1"/>
  <c r="AT184" i="46"/>
  <c r="AT196" i="46" s="1"/>
  <c r="AE184" i="46"/>
  <c r="AA184" i="46"/>
  <c r="W184" i="46"/>
  <c r="AV183" i="46"/>
  <c r="AW183" i="46" s="1"/>
  <c r="AX183" i="46" s="1"/>
  <c r="AY183" i="46" s="1"/>
  <c r="AZ183" i="46" s="1"/>
  <c r="BA183" i="46" s="1"/>
  <c r="BB183" i="46" s="1"/>
  <c r="BC183" i="46" s="1"/>
  <c r="BD183" i="46" s="1"/>
  <c r="BE183" i="46" s="1"/>
  <c r="BF183" i="46" s="1"/>
  <c r="BG183" i="46" s="1"/>
  <c r="BH183" i="46" s="1"/>
  <c r="BI183" i="46" s="1"/>
  <c r="BJ183" i="46" s="1"/>
  <c r="BK183" i="46" s="1"/>
  <c r="BL183" i="46" s="1"/>
  <c r="BM183" i="46" s="1"/>
  <c r="BN183" i="46" s="1"/>
  <c r="BO183" i="46" s="1"/>
  <c r="BP183" i="46" s="1"/>
  <c r="BQ183" i="46" s="1"/>
  <c r="AU183" i="46"/>
  <c r="AT183" i="46"/>
  <c r="AS183" i="46"/>
  <c r="AR183" i="46"/>
  <c r="AQ183" i="46"/>
  <c r="AP183" i="46"/>
  <c r="AO183" i="46"/>
  <c r="AN183" i="46"/>
  <c r="AM183" i="46"/>
  <c r="AL183" i="46"/>
  <c r="AK183" i="46"/>
  <c r="AJ183" i="46"/>
  <c r="AI183" i="46"/>
  <c r="AG183" i="46"/>
  <c r="AH183" i="46" s="1"/>
  <c r="AF183" i="46"/>
  <c r="AE183" i="46"/>
  <c r="AD183" i="46"/>
  <c r="AB183" i="46"/>
  <c r="AC183" i="46" s="1"/>
  <c r="AA183" i="46"/>
  <c r="Z183" i="46"/>
  <c r="Y183" i="46"/>
  <c r="X183" i="46"/>
  <c r="W183" i="46"/>
  <c r="V183" i="46"/>
  <c r="U183" i="46"/>
  <c r="T183" i="46"/>
  <c r="S183" i="46"/>
  <c r="R183" i="46"/>
  <c r="Q183" i="46"/>
  <c r="P183" i="46"/>
  <c r="O183" i="46"/>
  <c r="L183" i="46"/>
  <c r="K183" i="46"/>
  <c r="H183" i="46"/>
  <c r="I183" i="46" s="1"/>
  <c r="G183" i="46"/>
  <c r="F183" i="46"/>
  <c r="E183" i="46"/>
  <c r="AR182" i="46"/>
  <c r="AR179" i="46"/>
  <c r="AR228" i="46" s="1"/>
  <c r="AM182" i="46"/>
  <c r="AM179" i="46"/>
  <c r="AM228" i="46" s="1"/>
  <c r="AH182" i="46"/>
  <c r="AH179" i="46"/>
  <c r="AH228" i="46" s="1"/>
  <c r="AC182" i="46"/>
  <c r="X182" i="46"/>
  <c r="S182" i="46"/>
  <c r="S179" i="46"/>
  <c r="S228" i="46" s="1"/>
  <c r="N182" i="46"/>
  <c r="M182" i="46"/>
  <c r="M183" i="46" s="1"/>
  <c r="N183" i="46" s="1"/>
  <c r="K182" i="46"/>
  <c r="J182" i="46"/>
  <c r="J183" i="46" s="1"/>
  <c r="I182" i="46"/>
  <c r="AV181" i="46"/>
  <c r="AW181" i="46" s="1"/>
  <c r="AX181" i="46" s="1"/>
  <c r="AY181" i="46" s="1"/>
  <c r="AZ181" i="46" s="1"/>
  <c r="BA181" i="46" s="1"/>
  <c r="BB181" i="46" s="1"/>
  <c r="BC181" i="46" s="1"/>
  <c r="BD181" i="46" s="1"/>
  <c r="BE181" i="46" s="1"/>
  <c r="BF181" i="46" s="1"/>
  <c r="BG181" i="46" s="1"/>
  <c r="BH181" i="46" s="1"/>
  <c r="BI181" i="46" s="1"/>
  <c r="BJ181" i="46" s="1"/>
  <c r="BK181" i="46" s="1"/>
  <c r="BL181" i="46" s="1"/>
  <c r="BM181" i="46" s="1"/>
  <c r="BN181" i="46" s="1"/>
  <c r="BO181" i="46" s="1"/>
  <c r="BP181" i="46" s="1"/>
  <c r="BQ181" i="46" s="1"/>
  <c r="AU181" i="46"/>
  <c r="AT181" i="46"/>
  <c r="AS181" i="46"/>
  <c r="AV180" i="46"/>
  <c r="AV184" i="46" s="1"/>
  <c r="AU180" i="46"/>
  <c r="AU184" i="46" s="1"/>
  <c r="AU196" i="46" s="1"/>
  <c r="AT180" i="46"/>
  <c r="AS180" i="46"/>
  <c r="AS184" i="46" s="1"/>
  <c r="AS196" i="46" s="1"/>
  <c r="AQ181" i="46"/>
  <c r="AR181" i="46" s="1"/>
  <c r="AP181" i="46"/>
  <c r="AO181" i="46"/>
  <c r="AN181" i="46"/>
  <c r="AQ180" i="46"/>
  <c r="AQ184" i="46" s="1"/>
  <c r="AQ196" i="46" s="1"/>
  <c r="AP180" i="46"/>
  <c r="AP184" i="46" s="1"/>
  <c r="AP196" i="46" s="1"/>
  <c r="AO180" i="46"/>
  <c r="AO184" i="46" s="1"/>
  <c r="AN180" i="46"/>
  <c r="AN184" i="46" s="1"/>
  <c r="AN196" i="46" s="1"/>
  <c r="AL181" i="46"/>
  <c r="AM181" i="46" s="1"/>
  <c r="AK181" i="46"/>
  <c r="AJ181" i="46"/>
  <c r="AI181" i="46"/>
  <c r="AL180" i="46"/>
  <c r="AL184" i="46" s="1"/>
  <c r="AK180" i="46"/>
  <c r="AK184" i="46" s="1"/>
  <c r="AJ180" i="46"/>
  <c r="AJ184" i="46" s="1"/>
  <c r="AJ196" i="46" s="1"/>
  <c r="AJ224" i="46" s="1"/>
  <c r="AI180" i="46"/>
  <c r="AI184" i="46" s="1"/>
  <c r="AI196" i="46" s="1"/>
  <c r="AG181" i="46"/>
  <c r="AH181" i="46" s="1"/>
  <c r="AF181" i="46"/>
  <c r="AE181" i="46"/>
  <c r="AD181" i="46"/>
  <c r="AG180" i="46"/>
  <c r="AG184" i="46" s="1"/>
  <c r="AG196" i="46" s="1"/>
  <c r="AF180" i="46"/>
  <c r="AF184" i="46" s="1"/>
  <c r="AE180" i="46"/>
  <c r="AD180" i="46"/>
  <c r="W181" i="46"/>
  <c r="X181" i="46" s="1"/>
  <c r="V181" i="46"/>
  <c r="U181" i="46"/>
  <c r="T181" i="46"/>
  <c r="W180" i="46"/>
  <c r="X180" i="46" s="1"/>
  <c r="V180" i="46"/>
  <c r="U180" i="46"/>
  <c r="U184" i="46" s="1"/>
  <c r="U196" i="46" s="1"/>
  <c r="T180" i="46"/>
  <c r="R181" i="46"/>
  <c r="S181" i="46" s="1"/>
  <c r="Q181" i="46"/>
  <c r="P181" i="46"/>
  <c r="O181" i="46"/>
  <c r="O184" i="46" s="1"/>
  <c r="O196" i="46" s="1"/>
  <c r="N181" i="46"/>
  <c r="M181" i="46"/>
  <c r="L181" i="46"/>
  <c r="K181" i="46"/>
  <c r="K184" i="46" s="1"/>
  <c r="K196" i="46" s="1"/>
  <c r="K224" i="46" s="1"/>
  <c r="J181" i="46"/>
  <c r="H181" i="46"/>
  <c r="I181" i="46" s="1"/>
  <c r="G181" i="46"/>
  <c r="G184" i="46" s="1"/>
  <c r="G196" i="46" s="1"/>
  <c r="F181" i="46"/>
  <c r="E181" i="46"/>
  <c r="R180" i="46"/>
  <c r="S180" i="46" s="1"/>
  <c r="Q180" i="46"/>
  <c r="Q184" i="46" s="1"/>
  <c r="Q196" i="46" s="1"/>
  <c r="P180" i="46"/>
  <c r="P184" i="46" s="1"/>
  <c r="P196" i="46" s="1"/>
  <c r="P224" i="46" s="1"/>
  <c r="O180" i="46"/>
  <c r="M180" i="46"/>
  <c r="M184" i="46" s="1"/>
  <c r="M196" i="46" s="1"/>
  <c r="L180" i="46"/>
  <c r="L184" i="46" s="1"/>
  <c r="L196" i="46" s="1"/>
  <c r="L224" i="46" s="1"/>
  <c r="K180" i="46"/>
  <c r="J180" i="46"/>
  <c r="J184" i="46" s="1"/>
  <c r="J196" i="46" s="1"/>
  <c r="I180" i="46"/>
  <c r="H180" i="46"/>
  <c r="H184" i="46" s="1"/>
  <c r="G180" i="46"/>
  <c r="F180" i="46"/>
  <c r="F184" i="46" s="1"/>
  <c r="F196" i="46" s="1"/>
  <c r="E180" i="46"/>
  <c r="E184" i="46" s="1"/>
  <c r="E196" i="46" s="1"/>
  <c r="AX182" i="46"/>
  <c r="AY182" i="46" s="1"/>
  <c r="AZ182" i="46" s="1"/>
  <c r="BA182" i="46" s="1"/>
  <c r="BB182" i="46" s="1"/>
  <c r="BC182" i="46" s="1"/>
  <c r="BD182" i="46" s="1"/>
  <c r="BE182" i="46" s="1"/>
  <c r="BF182" i="46" s="1"/>
  <c r="BG182" i="46" s="1"/>
  <c r="BH182" i="46" s="1"/>
  <c r="BI182" i="46" s="1"/>
  <c r="BJ182" i="46" s="1"/>
  <c r="BK182" i="46" s="1"/>
  <c r="BL182" i="46" s="1"/>
  <c r="BM182" i="46" s="1"/>
  <c r="BN182" i="46" s="1"/>
  <c r="BO182" i="46" s="1"/>
  <c r="BP182" i="46" s="1"/>
  <c r="BQ182" i="46" s="1"/>
  <c r="AW182" i="46"/>
  <c r="AW180" i="46"/>
  <c r="AX180" i="46" s="1"/>
  <c r="AY180" i="46" s="1"/>
  <c r="AZ180" i="46" s="1"/>
  <c r="BA180" i="46" s="1"/>
  <c r="BB180" i="46" s="1"/>
  <c r="BC180" i="46" s="1"/>
  <c r="BD180" i="46" s="1"/>
  <c r="BE180" i="46" s="1"/>
  <c r="BF180" i="46" s="1"/>
  <c r="BG180" i="46" s="1"/>
  <c r="BH180" i="46" s="1"/>
  <c r="BI180" i="46" s="1"/>
  <c r="BJ180" i="46" s="1"/>
  <c r="BK180" i="46" s="1"/>
  <c r="BL180" i="46" s="1"/>
  <c r="BM180" i="46" s="1"/>
  <c r="BN180" i="46" s="1"/>
  <c r="BO180" i="46" s="1"/>
  <c r="BP180" i="46" s="1"/>
  <c r="BQ180" i="46" s="1"/>
  <c r="AW179" i="46"/>
  <c r="AD179" i="46"/>
  <c r="AD228" i="46" s="1"/>
  <c r="AB181" i="46"/>
  <c r="AC181" i="46" s="1"/>
  <c r="AA181" i="46"/>
  <c r="Z181" i="46"/>
  <c r="Y181" i="46"/>
  <c r="AB180" i="46"/>
  <c r="AC180" i="46" s="1"/>
  <c r="AA180" i="46"/>
  <c r="Z180" i="46"/>
  <c r="Y180" i="46"/>
  <c r="AB179" i="46"/>
  <c r="AB228" i="46" s="1"/>
  <c r="AA179" i="46"/>
  <c r="AA228" i="46" s="1"/>
  <c r="Z179" i="46"/>
  <c r="Z228" i="46" s="1"/>
  <c r="Y179" i="46"/>
  <c r="Y228" i="46" s="1"/>
  <c r="W179" i="46"/>
  <c r="W228" i="46" s="1"/>
  <c r="V179" i="46"/>
  <c r="V228" i="46" s="1"/>
  <c r="T179" i="46"/>
  <c r="T228" i="46" s="1"/>
  <c r="N179" i="46"/>
  <c r="N228" i="46" s="1"/>
  <c r="I179" i="46"/>
  <c r="I228" i="46" s="1"/>
  <c r="Y178" i="46"/>
  <c r="DL174" i="46"/>
  <c r="DG174" i="46"/>
  <c r="AQ174" i="46" s="1"/>
  <c r="DB174" i="46"/>
  <c r="CW174" i="46"/>
  <c r="CR174" i="46"/>
  <c r="CM174" i="46"/>
  <c r="W174" i="46" s="1"/>
  <c r="CH174" i="46"/>
  <c r="CC174" i="46"/>
  <c r="BX174" i="46"/>
  <c r="AV174" i="46"/>
  <c r="AU174" i="46"/>
  <c r="AT174" i="46"/>
  <c r="AS174" i="46"/>
  <c r="AP174" i="46"/>
  <c r="AO174" i="46"/>
  <c r="AN174" i="46"/>
  <c r="AL174" i="46"/>
  <c r="AK174" i="46"/>
  <c r="AJ174" i="46"/>
  <c r="AI174" i="46"/>
  <c r="AM174" i="46" s="1"/>
  <c r="AG174" i="46"/>
  <c r="AF174" i="46"/>
  <c r="AE174" i="46"/>
  <c r="AD174" i="46"/>
  <c r="AB174" i="46"/>
  <c r="AA174" i="46"/>
  <c r="Z174" i="46"/>
  <c r="Y174" i="46"/>
  <c r="V174" i="46"/>
  <c r="U174" i="46"/>
  <c r="T174" i="46"/>
  <c r="R174" i="46"/>
  <c r="Q174" i="46"/>
  <c r="P174" i="46"/>
  <c r="O174" i="46"/>
  <c r="S174" i="46" s="1"/>
  <c r="M174" i="46"/>
  <c r="L174" i="46"/>
  <c r="K174" i="46"/>
  <c r="J174" i="46"/>
  <c r="H174" i="46"/>
  <c r="G174" i="46"/>
  <c r="F174" i="46"/>
  <c r="E174" i="46"/>
  <c r="BY173" i="46"/>
  <c r="BV173" i="46"/>
  <c r="BW173" i="46" s="1"/>
  <c r="BX173" i="46" s="1"/>
  <c r="I173" i="46"/>
  <c r="CZ169" i="46"/>
  <c r="CY169" i="46"/>
  <c r="CV169" i="46"/>
  <c r="CU169" i="46"/>
  <c r="CT169" i="46"/>
  <c r="CQ169" i="46"/>
  <c r="CO169" i="46"/>
  <c r="CN169" i="46"/>
  <c r="CJ169" i="46"/>
  <c r="CI169" i="46"/>
  <c r="CG169" i="46"/>
  <c r="CF169" i="46"/>
  <c r="CE169" i="46"/>
  <c r="DM168" i="46"/>
  <c r="DL168" i="46" s="1"/>
  <c r="AV168" i="46" s="1"/>
  <c r="DK168" i="46"/>
  <c r="DH168" i="46"/>
  <c r="DG168" i="46"/>
  <c r="DF168" i="46"/>
  <c r="DB168" i="46"/>
  <c r="DB167" i="46"/>
  <c r="DB166" i="46"/>
  <c r="DB165" i="46"/>
  <c r="DB164" i="46"/>
  <c r="DB163" i="46"/>
  <c r="CX168" i="46"/>
  <c r="CW168" i="46" s="1"/>
  <c r="AG168" i="46" s="1"/>
  <c r="CV168" i="46"/>
  <c r="CU168" i="46"/>
  <c r="CS168" i="46"/>
  <c r="CQ168" i="46"/>
  <c r="CP168" i="46"/>
  <c r="CP169" i="46" s="1"/>
  <c r="CN168" i="46"/>
  <c r="CM168" i="46" s="1"/>
  <c r="W168" i="46" s="1"/>
  <c r="CH168" i="46"/>
  <c r="CH167" i="46"/>
  <c r="CH166" i="46"/>
  <c r="CH165" i="46"/>
  <c r="CH164" i="46"/>
  <c r="CH163" i="46"/>
  <c r="CC168" i="46"/>
  <c r="M168" i="46" s="1"/>
  <c r="CC167" i="46"/>
  <c r="CC166" i="46"/>
  <c r="CC165" i="46"/>
  <c r="CC164" i="46"/>
  <c r="M164" i="46" s="1"/>
  <c r="CC163" i="46"/>
  <c r="BX168" i="46"/>
  <c r="BX167" i="46"/>
  <c r="BX166" i="46"/>
  <c r="H166" i="46" s="1"/>
  <c r="H267" i="46" s="1"/>
  <c r="BX165" i="46"/>
  <c r="BX163" i="46"/>
  <c r="DL167" i="46"/>
  <c r="DL164" i="46"/>
  <c r="DL163" i="46"/>
  <c r="DG167" i="46"/>
  <c r="DG166" i="46"/>
  <c r="DG164" i="46"/>
  <c r="AQ164" i="46" s="1"/>
  <c r="DG163" i="46"/>
  <c r="CX167" i="46"/>
  <c r="CW167" i="46"/>
  <c r="CR167" i="46"/>
  <c r="CR166" i="46"/>
  <c r="CR165" i="46"/>
  <c r="CR164" i="46"/>
  <c r="CR163" i="46"/>
  <c r="CM167" i="46"/>
  <c r="CL167" i="46"/>
  <c r="CL169" i="46" s="1"/>
  <c r="CK167" i="46"/>
  <c r="CK169" i="46" s="1"/>
  <c r="DM166" i="46"/>
  <c r="DL166" i="46" s="1"/>
  <c r="AV166" i="46" s="1"/>
  <c r="DM165" i="46"/>
  <c r="DL165" i="46" s="1"/>
  <c r="DM164" i="46"/>
  <c r="DC166" i="46"/>
  <c r="DC169" i="46" s="1"/>
  <c r="DA166" i="46"/>
  <c r="DA169" i="46" s="1"/>
  <c r="CW166" i="46"/>
  <c r="CW165" i="46"/>
  <c r="CW164" i="46"/>
  <c r="CW163" i="46"/>
  <c r="CW169" i="46" s="1"/>
  <c r="CM166" i="46"/>
  <c r="CM164" i="46"/>
  <c r="CM163" i="46"/>
  <c r="BM168" i="46"/>
  <c r="BH168" i="46"/>
  <c r="BC168" i="46"/>
  <c r="AX168" i="46"/>
  <c r="AU168" i="46"/>
  <c r="AT168" i="46"/>
  <c r="AS168" i="46"/>
  <c r="AQ168" i="46"/>
  <c r="AP168" i="46"/>
  <c r="AO168" i="46"/>
  <c r="AN168" i="46"/>
  <c r="AL168" i="46"/>
  <c r="AK168" i="46"/>
  <c r="AJ168" i="46"/>
  <c r="AI168" i="46"/>
  <c r="AM168" i="46" s="1"/>
  <c r="AF168" i="46"/>
  <c r="AE168" i="46"/>
  <c r="AD168" i="46"/>
  <c r="AH168" i="46" s="1"/>
  <c r="AA168" i="46"/>
  <c r="Z168" i="46"/>
  <c r="Y168" i="46"/>
  <c r="V168" i="46"/>
  <c r="U168" i="46"/>
  <c r="T168" i="46"/>
  <c r="R168" i="46"/>
  <c r="Q168" i="46"/>
  <c r="P168" i="46"/>
  <c r="O168" i="46"/>
  <c r="S168" i="46" s="1"/>
  <c r="L168" i="46"/>
  <c r="K168" i="46"/>
  <c r="J168" i="46"/>
  <c r="H168" i="46"/>
  <c r="G168" i="46"/>
  <c r="F168" i="46"/>
  <c r="E168" i="46"/>
  <c r="AV167" i="46"/>
  <c r="AV266" i="46" s="1"/>
  <c r="AU167" i="46"/>
  <c r="AU266" i="46" s="1"/>
  <c r="AT167" i="46"/>
  <c r="AT266" i="46" s="1"/>
  <c r="AS167" i="46"/>
  <c r="AS266" i="46" s="1"/>
  <c r="AQ167" i="46"/>
  <c r="AQ266" i="46" s="1"/>
  <c r="AP167" i="46"/>
  <c r="AP266" i="46" s="1"/>
  <c r="AO167" i="46"/>
  <c r="AO266" i="46" s="1"/>
  <c r="AN167" i="46"/>
  <c r="AN266" i="46" s="1"/>
  <c r="AL167" i="46"/>
  <c r="AL266" i="46" s="1"/>
  <c r="AK167" i="46"/>
  <c r="AK266" i="46" s="1"/>
  <c r="AJ167" i="46"/>
  <c r="AJ266" i="46" s="1"/>
  <c r="AI167" i="46"/>
  <c r="AI266" i="46" s="1"/>
  <c r="AM266" i="46" s="1"/>
  <c r="AG167" i="46"/>
  <c r="AG266" i="46" s="1"/>
  <c r="AF167" i="46"/>
  <c r="AF266" i="46" s="1"/>
  <c r="AE167" i="46"/>
  <c r="AE266" i="46" s="1"/>
  <c r="AD167" i="46"/>
  <c r="AD266" i="46" s="1"/>
  <c r="AB167" i="46"/>
  <c r="AB266" i="46" s="1"/>
  <c r="AA167" i="46"/>
  <c r="AA266" i="46" s="1"/>
  <c r="Z167" i="46"/>
  <c r="Z266" i="46" s="1"/>
  <c r="Y167" i="46"/>
  <c r="Y266" i="46" s="1"/>
  <c r="W167" i="46"/>
  <c r="W266" i="46" s="1"/>
  <c r="V167" i="46"/>
  <c r="V266" i="46" s="1"/>
  <c r="U167" i="46"/>
  <c r="U266" i="46" s="1"/>
  <c r="T167" i="46"/>
  <c r="T266" i="46" s="1"/>
  <c r="X266" i="46" s="1"/>
  <c r="R167" i="46"/>
  <c r="R266" i="46" s="1"/>
  <c r="Q167" i="46"/>
  <c r="Q266" i="46" s="1"/>
  <c r="P167" i="46"/>
  <c r="P266" i="46" s="1"/>
  <c r="O167" i="46"/>
  <c r="O266" i="46" s="1"/>
  <c r="M167" i="46"/>
  <c r="M266" i="46" s="1"/>
  <c r="L167" i="46"/>
  <c r="L266" i="46" s="1"/>
  <c r="K167" i="46"/>
  <c r="K266" i="46" s="1"/>
  <c r="J167" i="46"/>
  <c r="J266" i="46" s="1"/>
  <c r="H167" i="46"/>
  <c r="H266" i="46" s="1"/>
  <c r="G167" i="46"/>
  <c r="G266" i="46" s="1"/>
  <c r="F167" i="46"/>
  <c r="F266" i="46" s="1"/>
  <c r="E167" i="46"/>
  <c r="E266" i="46" s="1"/>
  <c r="AT166" i="46"/>
  <c r="AT267" i="46" s="1"/>
  <c r="AS166" i="46"/>
  <c r="AS267" i="46" s="1"/>
  <c r="AQ166" i="46"/>
  <c r="AQ267" i="46" s="1"/>
  <c r="AP166" i="46"/>
  <c r="AP267" i="46" s="1"/>
  <c r="AO166" i="46"/>
  <c r="AO267" i="46" s="1"/>
  <c r="AN166" i="46"/>
  <c r="AN267" i="46" s="1"/>
  <c r="AJ166" i="46"/>
  <c r="AJ267" i="46" s="1"/>
  <c r="AI166" i="46"/>
  <c r="AI267" i="46" s="1"/>
  <c r="AG166" i="46"/>
  <c r="AG267" i="46" s="1"/>
  <c r="AF166" i="46"/>
  <c r="AF267" i="46" s="1"/>
  <c r="AE166" i="46"/>
  <c r="AE267" i="46" s="1"/>
  <c r="AD166" i="46"/>
  <c r="AD267" i="46" s="1"/>
  <c r="AB166" i="46"/>
  <c r="AB267" i="46" s="1"/>
  <c r="AA166" i="46"/>
  <c r="AA267" i="46" s="1"/>
  <c r="Z166" i="46"/>
  <c r="Z267" i="46" s="1"/>
  <c r="Y166" i="46"/>
  <c r="Y267" i="46" s="1"/>
  <c r="W166" i="46"/>
  <c r="W267" i="46" s="1"/>
  <c r="V166" i="46"/>
  <c r="V267" i="46" s="1"/>
  <c r="U166" i="46"/>
  <c r="U267" i="46" s="1"/>
  <c r="T166" i="46"/>
  <c r="T267" i="46" s="1"/>
  <c r="R166" i="46"/>
  <c r="R267" i="46" s="1"/>
  <c r="Q166" i="46"/>
  <c r="Q267" i="46" s="1"/>
  <c r="P166" i="46"/>
  <c r="P267" i="46" s="1"/>
  <c r="O166" i="46"/>
  <c r="O267" i="46" s="1"/>
  <c r="M166" i="46"/>
  <c r="M267" i="46" s="1"/>
  <c r="L166" i="46"/>
  <c r="L267" i="46" s="1"/>
  <c r="K166" i="46"/>
  <c r="K267" i="46" s="1"/>
  <c r="J166" i="46"/>
  <c r="J267" i="46" s="1"/>
  <c r="G166" i="46"/>
  <c r="G267" i="46" s="1"/>
  <c r="F166" i="46"/>
  <c r="F267" i="46" s="1"/>
  <c r="E166" i="46"/>
  <c r="E267" i="46" s="1"/>
  <c r="DK166" i="46"/>
  <c r="AU166" i="46" s="1"/>
  <c r="AU267" i="46" s="1"/>
  <c r="DJ166" i="46"/>
  <c r="DK165" i="46"/>
  <c r="AV165" i="46" s="1"/>
  <c r="DJ165" i="46"/>
  <c r="DI165" i="46"/>
  <c r="DI169" i="46" s="1"/>
  <c r="DH165" i="46"/>
  <c r="DG165" i="46" s="1"/>
  <c r="DF165" i="46"/>
  <c r="AP165" i="46" s="1"/>
  <c r="DE165" i="46"/>
  <c r="DE169" i="46" s="1"/>
  <c r="DD165" i="46"/>
  <c r="DD169" i="46" s="1"/>
  <c r="CN165" i="46"/>
  <c r="CM165" i="46" s="1"/>
  <c r="BQ165" i="46"/>
  <c r="BL165" i="46"/>
  <c r="BG165" i="46"/>
  <c r="BB165" i="46"/>
  <c r="AU165" i="46"/>
  <c r="AS165" i="46"/>
  <c r="AO165" i="46"/>
  <c r="AN165" i="46"/>
  <c r="AL165" i="46"/>
  <c r="AK165" i="46"/>
  <c r="AJ165" i="46"/>
  <c r="AI165" i="46"/>
  <c r="AM165" i="46" s="1"/>
  <c r="AG165" i="46"/>
  <c r="AF165" i="46"/>
  <c r="AE165" i="46"/>
  <c r="AD165" i="46"/>
  <c r="AB165" i="46"/>
  <c r="AA165" i="46"/>
  <c r="Z165" i="46"/>
  <c r="Y165" i="46"/>
  <c r="AC165" i="46" s="1"/>
  <c r="W165" i="46"/>
  <c r="V165" i="46"/>
  <c r="U165" i="46"/>
  <c r="T165" i="46"/>
  <c r="X165" i="46" s="1"/>
  <c r="R165" i="46"/>
  <c r="Q165" i="46"/>
  <c r="P165" i="46"/>
  <c r="O165" i="46"/>
  <c r="S165" i="46" s="1"/>
  <c r="M165" i="46"/>
  <c r="L165" i="46"/>
  <c r="K165" i="46"/>
  <c r="J165" i="46"/>
  <c r="H165" i="46"/>
  <c r="G165" i="46"/>
  <c r="F165" i="46"/>
  <c r="E165" i="46"/>
  <c r="I165" i="46" s="1"/>
  <c r="DK164" i="46"/>
  <c r="DF164" i="46"/>
  <c r="DF169" i="46" s="1"/>
  <c r="CD164" i="46"/>
  <c r="CD169" i="46" s="1"/>
  <c r="CB164" i="46"/>
  <c r="CB169" i="46" s="1"/>
  <c r="CA164" i="46"/>
  <c r="CA169" i="46" s="1"/>
  <c r="BZ164" i="46"/>
  <c r="BZ169" i="46" s="1"/>
  <c r="BY164" i="46"/>
  <c r="BX164" i="46" s="1"/>
  <c r="BX169" i="46" s="1"/>
  <c r="BW164" i="46"/>
  <c r="BW169" i="46" s="1"/>
  <c r="BV164" i="46"/>
  <c r="BV169" i="46" s="1"/>
  <c r="BU164" i="46"/>
  <c r="F164" i="46" s="1"/>
  <c r="F169" i="46" s="1"/>
  <c r="AU164" i="46"/>
  <c r="AT164" i="46"/>
  <c r="AS164" i="46"/>
  <c r="AP164" i="46"/>
  <c r="AP169" i="46" s="1"/>
  <c r="AO164" i="46"/>
  <c r="AN164" i="46"/>
  <c r="AR164" i="46" s="1"/>
  <c r="AL164" i="46"/>
  <c r="AK164" i="46"/>
  <c r="AJ164" i="46"/>
  <c r="AI164" i="46"/>
  <c r="AM164" i="46" s="1"/>
  <c r="AG164" i="46"/>
  <c r="AF164" i="46"/>
  <c r="AE164" i="46"/>
  <c r="AD164" i="46"/>
  <c r="AH164" i="46" s="1"/>
  <c r="AB164" i="46"/>
  <c r="AA164" i="46"/>
  <c r="Z164" i="46"/>
  <c r="Z169" i="46" s="1"/>
  <c r="Y164" i="46"/>
  <c r="AC164" i="46" s="1"/>
  <c r="W164" i="46"/>
  <c r="V164" i="46"/>
  <c r="V169" i="46" s="1"/>
  <c r="U164" i="46"/>
  <c r="T164" i="46"/>
  <c r="X164" i="46" s="1"/>
  <c r="R164" i="46"/>
  <c r="Q164" i="46"/>
  <c r="P164" i="46"/>
  <c r="O164" i="46"/>
  <c r="S164" i="46" s="1"/>
  <c r="L164" i="46"/>
  <c r="G164" i="46"/>
  <c r="AV163" i="46"/>
  <c r="AU163" i="46"/>
  <c r="AT163" i="46"/>
  <c r="AS163" i="46"/>
  <c r="AS169" i="46" s="1"/>
  <c r="AQ163" i="46"/>
  <c r="AP163" i="46"/>
  <c r="AO163" i="46"/>
  <c r="AN163" i="46"/>
  <c r="AL163" i="46"/>
  <c r="AK163" i="46"/>
  <c r="AJ163" i="46"/>
  <c r="AI163" i="46"/>
  <c r="AG163" i="46"/>
  <c r="AG169" i="46" s="1"/>
  <c r="AF163" i="46"/>
  <c r="AE163" i="46"/>
  <c r="AD163" i="46"/>
  <c r="AB163" i="46"/>
  <c r="AA163" i="46"/>
  <c r="Z163" i="46"/>
  <c r="Y163" i="46"/>
  <c r="Y169" i="46" s="1"/>
  <c r="W163" i="46"/>
  <c r="V163" i="46"/>
  <c r="U163" i="46"/>
  <c r="U169" i="46" s="1"/>
  <c r="T163" i="46"/>
  <c r="R163" i="46"/>
  <c r="Q163" i="46"/>
  <c r="Q169" i="46" s="1"/>
  <c r="P163" i="46"/>
  <c r="O163" i="46"/>
  <c r="M163" i="46"/>
  <c r="L163" i="46"/>
  <c r="L169" i="46" s="1"/>
  <c r="K163" i="46"/>
  <c r="J163" i="46"/>
  <c r="H163" i="46"/>
  <c r="G163" i="46"/>
  <c r="F163" i="46"/>
  <c r="E163" i="46"/>
  <c r="DF161" i="46"/>
  <c r="DC161" i="46"/>
  <c r="CY161" i="46"/>
  <c r="CX161" i="46"/>
  <c r="CU161" i="46"/>
  <c r="CT161" i="46"/>
  <c r="CQ161" i="46"/>
  <c r="CP161" i="46"/>
  <c r="CL161" i="46"/>
  <c r="CI161" i="46"/>
  <c r="CE161" i="46"/>
  <c r="CD161" i="46"/>
  <c r="CA161" i="46"/>
  <c r="BZ161" i="46"/>
  <c r="BW161" i="46"/>
  <c r="BV161" i="46"/>
  <c r="DM160" i="46"/>
  <c r="DL160" i="46"/>
  <c r="DK160" i="46"/>
  <c r="DJ160" i="46"/>
  <c r="DI160" i="46"/>
  <c r="DH160" i="46"/>
  <c r="DH161" i="46" s="1"/>
  <c r="DF160" i="46"/>
  <c r="DE160" i="46"/>
  <c r="DD160" i="46"/>
  <c r="AO160" i="46" s="1"/>
  <c r="DC160" i="46"/>
  <c r="DB160" i="46" s="1"/>
  <c r="DA160" i="46"/>
  <c r="CZ160" i="46"/>
  <c r="AK160" i="46" s="1"/>
  <c r="CY160" i="46"/>
  <c r="CX160" i="46"/>
  <c r="CW160" i="46"/>
  <c r="CV160" i="46"/>
  <c r="AG160" i="46" s="1"/>
  <c r="CU160" i="46"/>
  <c r="CT160" i="46"/>
  <c r="CS160" i="46"/>
  <c r="CR160" i="46"/>
  <c r="CQ160" i="46"/>
  <c r="CP160" i="46"/>
  <c r="CO160" i="46"/>
  <c r="CN160" i="46"/>
  <c r="CM160" i="46" s="1"/>
  <c r="W160" i="46" s="1"/>
  <c r="CL160" i="46"/>
  <c r="CJ160" i="46"/>
  <c r="CI160" i="46"/>
  <c r="CH160" i="46" s="1"/>
  <c r="CG160" i="46"/>
  <c r="CF160" i="46"/>
  <c r="Q160" i="46" s="1"/>
  <c r="CE160" i="46"/>
  <c r="CD160" i="46"/>
  <c r="CC160" i="46"/>
  <c r="CB160" i="46"/>
  <c r="M160" i="46" s="1"/>
  <c r="CA160" i="46"/>
  <c r="BZ160" i="46"/>
  <c r="BY160" i="46"/>
  <c r="BX160" i="46"/>
  <c r="BW160" i="46"/>
  <c r="BV160" i="46"/>
  <c r="BU160" i="46"/>
  <c r="DM159" i="46"/>
  <c r="DM161" i="46" s="1"/>
  <c r="DK159" i="46"/>
  <c r="DJ159" i="46"/>
  <c r="DJ161" i="46" s="1"/>
  <c r="DI159" i="46"/>
  <c r="DI161" i="46" s="1"/>
  <c r="DH159" i="46"/>
  <c r="DG159" i="46" s="1"/>
  <c r="AQ159" i="46" s="1"/>
  <c r="DF159" i="46"/>
  <c r="DE159" i="46"/>
  <c r="DE161" i="46" s="1"/>
  <c r="DD159" i="46"/>
  <c r="DD161" i="46" s="1"/>
  <c r="DC159" i="46"/>
  <c r="DB159" i="46"/>
  <c r="DA159" i="46"/>
  <c r="DA161" i="46" s="1"/>
  <c r="CZ159" i="46"/>
  <c r="CZ161" i="46" s="1"/>
  <c r="CY159" i="46"/>
  <c r="CX159" i="46"/>
  <c r="CW159" i="46"/>
  <c r="CV159" i="46"/>
  <c r="CV161" i="46" s="1"/>
  <c r="CU159" i="46"/>
  <c r="CT159" i="46"/>
  <c r="CS159" i="46"/>
  <c r="CS161" i="46" s="1"/>
  <c r="CQ159" i="46"/>
  <c r="CP159" i="46"/>
  <c r="CO159" i="46"/>
  <c r="CO161" i="46" s="1"/>
  <c r="CN159" i="46"/>
  <c r="CM159" i="46" s="1"/>
  <c r="CL159" i="46"/>
  <c r="CK159" i="46"/>
  <c r="CJ159" i="46"/>
  <c r="CJ161" i="46" s="1"/>
  <c r="CI159" i="46"/>
  <c r="CH159" i="46"/>
  <c r="CG159" i="46"/>
  <c r="CG161" i="46" s="1"/>
  <c r="CF159" i="46"/>
  <c r="CF161" i="46" s="1"/>
  <c r="CE159" i="46"/>
  <c r="CD159" i="46"/>
  <c r="CC159" i="46"/>
  <c r="CB159" i="46"/>
  <c r="CB161" i="46" s="1"/>
  <c r="CA159" i="46"/>
  <c r="BZ159" i="46"/>
  <c r="BY159" i="46"/>
  <c r="BY161" i="46" s="1"/>
  <c r="BW159" i="46"/>
  <c r="BV159" i="46"/>
  <c r="BU159" i="46"/>
  <c r="BU161" i="46" s="1"/>
  <c r="DL158" i="46"/>
  <c r="DG158" i="46"/>
  <c r="DB158" i="46"/>
  <c r="CW158" i="46"/>
  <c r="CW161" i="46" s="1"/>
  <c r="CR158" i="46"/>
  <c r="CM158" i="46"/>
  <c r="CH158" i="46"/>
  <c r="CC158" i="46"/>
  <c r="CC161" i="46" s="1"/>
  <c r="BX158" i="46"/>
  <c r="AU161" i="46"/>
  <c r="AI161" i="46"/>
  <c r="AE161" i="46"/>
  <c r="AA161" i="46"/>
  <c r="O161" i="46"/>
  <c r="K161" i="46"/>
  <c r="G161" i="46"/>
  <c r="BM160" i="46"/>
  <c r="BH160" i="46"/>
  <c r="BC160" i="46"/>
  <c r="AX160" i="46"/>
  <c r="AV160" i="46"/>
  <c r="AU160" i="46"/>
  <c r="AT160" i="46"/>
  <c r="AS160" i="46"/>
  <c r="AW160" i="46" s="1"/>
  <c r="AP160" i="46"/>
  <c r="AN160" i="46"/>
  <c r="AJ160" i="46"/>
  <c r="AI160" i="46"/>
  <c r="AF160" i="46"/>
  <c r="AE160" i="46"/>
  <c r="AD160" i="46"/>
  <c r="AH160" i="46" s="1"/>
  <c r="AB160" i="46"/>
  <c r="AA160" i="46"/>
  <c r="Z160" i="46"/>
  <c r="Y160" i="46"/>
  <c r="AC160" i="46" s="1"/>
  <c r="T160" i="46"/>
  <c r="P160" i="46"/>
  <c r="O160" i="46"/>
  <c r="L160" i="46"/>
  <c r="K160" i="46"/>
  <c r="J160" i="46"/>
  <c r="N160" i="46" s="1"/>
  <c r="H160" i="46"/>
  <c r="G160" i="46"/>
  <c r="F160" i="46"/>
  <c r="E160" i="46"/>
  <c r="I160" i="46" s="1"/>
  <c r="BN159" i="46"/>
  <c r="BM159" i="46"/>
  <c r="BI159" i="46"/>
  <c r="BH159" i="46"/>
  <c r="BD159" i="46"/>
  <c r="BC159" i="46"/>
  <c r="AX159" i="46"/>
  <c r="AU159" i="46"/>
  <c r="AS159" i="46"/>
  <c r="AO159" i="46"/>
  <c r="AN159" i="46"/>
  <c r="AK159" i="46"/>
  <c r="AJ159" i="46"/>
  <c r="AI159" i="46"/>
  <c r="AG159" i="46"/>
  <c r="AF159" i="46"/>
  <c r="AE159" i="46"/>
  <c r="AD159" i="46"/>
  <c r="AH159" i="46" s="1"/>
  <c r="AA159" i="46"/>
  <c r="Y159" i="46"/>
  <c r="U159" i="46"/>
  <c r="T159" i="46"/>
  <c r="Q159" i="46"/>
  <c r="P159" i="46"/>
  <c r="O159" i="46"/>
  <c r="M159" i="46"/>
  <c r="L159" i="46"/>
  <c r="K159" i="46"/>
  <c r="J159" i="46"/>
  <c r="N159" i="46" s="1"/>
  <c r="G159" i="46"/>
  <c r="E159" i="46"/>
  <c r="AV158" i="46"/>
  <c r="AU158" i="46"/>
  <c r="AT158" i="46"/>
  <c r="AS158" i="46"/>
  <c r="AS161" i="46" s="1"/>
  <c r="AQ158" i="46"/>
  <c r="AP158" i="46"/>
  <c r="AO158" i="46"/>
  <c r="AO161" i="46" s="1"/>
  <c r="AN158" i="46"/>
  <c r="AR158" i="46" s="1"/>
  <c r="AL158" i="46"/>
  <c r="AK158" i="46"/>
  <c r="AK161" i="46" s="1"/>
  <c r="AJ158" i="46"/>
  <c r="AJ161" i="46" s="1"/>
  <c r="AI158" i="46"/>
  <c r="AM158" i="46" s="1"/>
  <c r="AF158" i="46"/>
  <c r="AF161" i="46" s="1"/>
  <c r="AE158" i="46"/>
  <c r="AD158" i="46"/>
  <c r="AB158" i="46"/>
  <c r="AA158" i="46"/>
  <c r="Z158" i="46"/>
  <c r="Y158" i="46"/>
  <c r="Y161" i="46" s="1"/>
  <c r="W158" i="46"/>
  <c r="V158" i="46"/>
  <c r="U158" i="46"/>
  <c r="T158" i="46"/>
  <c r="X158" i="46" s="1"/>
  <c r="R158" i="46"/>
  <c r="Q158" i="46"/>
  <c r="Q161" i="46" s="1"/>
  <c r="P158" i="46"/>
  <c r="P161" i="46" s="1"/>
  <c r="O158" i="46"/>
  <c r="S158" i="46" s="1"/>
  <c r="L158" i="46"/>
  <c r="L161" i="46" s="1"/>
  <c r="K158" i="46"/>
  <c r="J158" i="46"/>
  <c r="H158" i="46"/>
  <c r="G158" i="46"/>
  <c r="F158" i="46"/>
  <c r="E158" i="46"/>
  <c r="E161" i="46" s="1"/>
  <c r="BW156" i="46"/>
  <c r="DM155" i="46"/>
  <c r="DL155" i="46"/>
  <c r="AV155" i="46" s="1"/>
  <c r="DK155" i="46"/>
  <c r="DJ155" i="46"/>
  <c r="DI155" i="46"/>
  <c r="DH155" i="46"/>
  <c r="DG155" i="46" s="1"/>
  <c r="AQ155" i="46" s="1"/>
  <c r="AR155" i="46" s="1"/>
  <c r="DF155" i="46"/>
  <c r="DE155" i="46"/>
  <c r="DD155" i="46"/>
  <c r="AO155" i="46" s="1"/>
  <c r="DC155" i="46"/>
  <c r="DB155" i="46" s="1"/>
  <c r="AL155" i="46" s="1"/>
  <c r="DA155" i="46"/>
  <c r="CZ155" i="46"/>
  <c r="AK155" i="46" s="1"/>
  <c r="CY155" i="46"/>
  <c r="CX155" i="46"/>
  <c r="CW155" i="46"/>
  <c r="CV155" i="46"/>
  <c r="AG155" i="46" s="1"/>
  <c r="CU155" i="46"/>
  <c r="CT155" i="46"/>
  <c r="CS155" i="46"/>
  <c r="CR155" i="46"/>
  <c r="CQ155" i="46"/>
  <c r="CP155" i="46"/>
  <c r="CO155" i="46"/>
  <c r="CN155" i="46"/>
  <c r="CM155" i="46" s="1"/>
  <c r="W155" i="46" s="1"/>
  <c r="CL155" i="46"/>
  <c r="CJ155" i="46"/>
  <c r="CI155" i="46"/>
  <c r="CH155" i="46" s="1"/>
  <c r="R155" i="46" s="1"/>
  <c r="CG155" i="46"/>
  <c r="CF155" i="46"/>
  <c r="Q155" i="46" s="1"/>
  <c r="CE155" i="46"/>
  <c r="CD155" i="46"/>
  <c r="CC155" i="46"/>
  <c r="CB155" i="46"/>
  <c r="M155" i="46" s="1"/>
  <c r="CA155" i="46"/>
  <c r="BZ155" i="46"/>
  <c r="BY155" i="46"/>
  <c r="BX155" i="46"/>
  <c r="BW155" i="46"/>
  <c r="BV155" i="46"/>
  <c r="BU155" i="46"/>
  <c r="DM154" i="46"/>
  <c r="DL154" i="46" s="1"/>
  <c r="AV154" i="46" s="1"/>
  <c r="DK154" i="46"/>
  <c r="DJ154" i="46"/>
  <c r="DI154" i="46"/>
  <c r="AT154" i="46" s="1"/>
  <c r="DH154" i="46"/>
  <c r="DG154" i="46" s="1"/>
  <c r="AQ154" i="46" s="1"/>
  <c r="DF154" i="46"/>
  <c r="DE154" i="46"/>
  <c r="AP154" i="46" s="1"/>
  <c r="DD154" i="46"/>
  <c r="DC154" i="46"/>
  <c r="DB154" i="46"/>
  <c r="DA154" i="46"/>
  <c r="AL154" i="46" s="1"/>
  <c r="CZ154" i="46"/>
  <c r="CY154" i="46"/>
  <c r="CX154" i="46"/>
  <c r="CW154" i="46"/>
  <c r="CV154" i="46"/>
  <c r="CU154" i="46"/>
  <c r="CT154" i="46"/>
  <c r="CS154" i="46"/>
  <c r="CR154" i="46" s="1"/>
  <c r="AB154" i="46" s="1"/>
  <c r="CQ154" i="46"/>
  <c r="CP154" i="46"/>
  <c r="CO154" i="46"/>
  <c r="Z154" i="46" s="1"/>
  <c r="CN154" i="46"/>
  <c r="CM154" i="46" s="1"/>
  <c r="W154" i="46" s="1"/>
  <c r="CL154" i="46"/>
  <c r="CK154" i="46"/>
  <c r="CJ154" i="46"/>
  <c r="CI154" i="46"/>
  <c r="CH154" i="46"/>
  <c r="CG154" i="46"/>
  <c r="R154" i="46" s="1"/>
  <c r="CF154" i="46"/>
  <c r="CE154" i="46"/>
  <c r="CD154" i="46"/>
  <c r="CC154" i="46"/>
  <c r="CB154" i="46"/>
  <c r="CA154" i="46"/>
  <c r="BZ154" i="46"/>
  <c r="BY154" i="46"/>
  <c r="BX154" i="46" s="1"/>
  <c r="H154" i="46" s="1"/>
  <c r="BW154" i="46"/>
  <c r="BV154" i="46"/>
  <c r="BU154" i="46"/>
  <c r="F154" i="46" s="1"/>
  <c r="DL152" i="46"/>
  <c r="DL150" i="46"/>
  <c r="DL149" i="46"/>
  <c r="DG152" i="46"/>
  <c r="DG150" i="46"/>
  <c r="DG149" i="46"/>
  <c r="DB152" i="46"/>
  <c r="DB150" i="46"/>
  <c r="DB149" i="46"/>
  <c r="CW152" i="46"/>
  <c r="CW150" i="46"/>
  <c r="CW149" i="46"/>
  <c r="CR152" i="46"/>
  <c r="CR150" i="46"/>
  <c r="CR149" i="46"/>
  <c r="CM152" i="46"/>
  <c r="CM150" i="46"/>
  <c r="CM149" i="46"/>
  <c r="CH152" i="46"/>
  <c r="CH150" i="46"/>
  <c r="CH149" i="46"/>
  <c r="CC152" i="46"/>
  <c r="CC150" i="46"/>
  <c r="CC149" i="46"/>
  <c r="BX152" i="46"/>
  <c r="BX150" i="46"/>
  <c r="BX149" i="46"/>
  <c r="DM151" i="46"/>
  <c r="DL151" i="46" s="1"/>
  <c r="DM150" i="46"/>
  <c r="DM156" i="46" s="1"/>
  <c r="DJ151" i="46"/>
  <c r="DK150" i="46"/>
  <c r="DK151" i="46" s="1"/>
  <c r="DJ150" i="46"/>
  <c r="DI150" i="46"/>
  <c r="DH150" i="46"/>
  <c r="DH151" i="46" s="1"/>
  <c r="DG151" i="46" s="1"/>
  <c r="AQ151" i="46" s="1"/>
  <c r="DF150" i="46"/>
  <c r="DF151" i="46" s="1"/>
  <c r="DE150" i="46"/>
  <c r="DE151" i="46" s="1"/>
  <c r="DD150" i="46"/>
  <c r="DC150" i="46"/>
  <c r="DC151" i="46" s="1"/>
  <c r="DA150" i="46"/>
  <c r="CZ150" i="46"/>
  <c r="CY150" i="46"/>
  <c r="CY151" i="46" s="1"/>
  <c r="CX150" i="46"/>
  <c r="CX151" i="46" s="1"/>
  <c r="CU151" i="46"/>
  <c r="CV150" i="46"/>
  <c r="CU150" i="46"/>
  <c r="CT150" i="46"/>
  <c r="CS150" i="46"/>
  <c r="CP151" i="46"/>
  <c r="CQ150" i="46"/>
  <c r="CQ151" i="46" s="1"/>
  <c r="CP150" i="46"/>
  <c r="CO150" i="46"/>
  <c r="CN150" i="46"/>
  <c r="CN151" i="46" s="1"/>
  <c r="CM151" i="46" s="1"/>
  <c r="W151" i="46" s="1"/>
  <c r="CL150" i="46"/>
  <c r="CL151" i="46" s="1"/>
  <c r="CK150" i="46"/>
  <c r="CK151" i="46" s="1"/>
  <c r="U151" i="46" s="1"/>
  <c r="CJ150" i="46"/>
  <c r="CJ151" i="46" s="1"/>
  <c r="CI150" i="46"/>
  <c r="CI151" i="46" s="1"/>
  <c r="CG150" i="46"/>
  <c r="CF150" i="46"/>
  <c r="CE150" i="46"/>
  <c r="CE151" i="46" s="1"/>
  <c r="CD150" i="46"/>
  <c r="CD151" i="46" s="1"/>
  <c r="CA151" i="46"/>
  <c r="CB150" i="46"/>
  <c r="CA150" i="46"/>
  <c r="BZ150" i="46"/>
  <c r="BY150" i="46"/>
  <c r="BW151" i="46"/>
  <c r="BV151" i="46"/>
  <c r="BW150" i="46"/>
  <c r="BV150" i="46"/>
  <c r="BV156" i="46" s="1"/>
  <c r="BU150" i="46"/>
  <c r="CJ149" i="46"/>
  <c r="BM155" i="46"/>
  <c r="BH155" i="46"/>
  <c r="BC155" i="46"/>
  <c r="AX155" i="46"/>
  <c r="AU155" i="46"/>
  <c r="AT155" i="46"/>
  <c r="AS155" i="46"/>
  <c r="AP155" i="46"/>
  <c r="AN155" i="46"/>
  <c r="AJ155" i="46"/>
  <c r="AI155" i="46"/>
  <c r="AF155" i="46"/>
  <c r="AE155" i="46"/>
  <c r="AD155" i="46"/>
  <c r="AB155" i="46"/>
  <c r="AA155" i="46"/>
  <c r="Z155" i="46"/>
  <c r="Y155" i="46"/>
  <c r="AC155" i="46" s="1"/>
  <c r="T155" i="46"/>
  <c r="P155" i="46"/>
  <c r="O155" i="46"/>
  <c r="S155" i="46" s="1"/>
  <c r="L155" i="46"/>
  <c r="K155" i="46"/>
  <c r="J155" i="46"/>
  <c r="H155" i="46"/>
  <c r="G155" i="46"/>
  <c r="F155" i="46"/>
  <c r="E155" i="46"/>
  <c r="BM154" i="46"/>
  <c r="BH154" i="46"/>
  <c r="BC154" i="46"/>
  <c r="AW154" i="46"/>
  <c r="AU154" i="46"/>
  <c r="AS154" i="46"/>
  <c r="AO154" i="46"/>
  <c r="AN154" i="46"/>
  <c r="AK154" i="46"/>
  <c r="AJ154" i="46"/>
  <c r="AI154" i="46"/>
  <c r="AG154" i="46"/>
  <c r="AF154" i="46"/>
  <c r="AE154" i="46"/>
  <c r="AD154" i="46"/>
  <c r="AH154" i="46" s="1"/>
  <c r="AA154" i="46"/>
  <c r="U154" i="46"/>
  <c r="T154" i="46"/>
  <c r="Q154" i="46"/>
  <c r="P154" i="46"/>
  <c r="O154" i="46"/>
  <c r="M154" i="46"/>
  <c r="L154" i="46"/>
  <c r="K154" i="46"/>
  <c r="J154" i="46"/>
  <c r="N154" i="46" s="1"/>
  <c r="I154" i="46"/>
  <c r="G154" i="46"/>
  <c r="E154" i="46"/>
  <c r="AV153" i="46"/>
  <c r="AU153" i="46"/>
  <c r="AT153" i="46"/>
  <c r="AS153" i="46"/>
  <c r="AW153" i="46" s="1"/>
  <c r="AQ153" i="46"/>
  <c r="AP153" i="46"/>
  <c r="AO153" i="46"/>
  <c r="AN153" i="46"/>
  <c r="AL153" i="46"/>
  <c r="AK153" i="46"/>
  <c r="AJ153" i="46"/>
  <c r="AI153" i="46"/>
  <c r="AM153" i="46" s="1"/>
  <c r="AG153" i="46"/>
  <c r="AF153" i="46"/>
  <c r="AE153" i="46"/>
  <c r="AD153" i="46"/>
  <c r="AH153" i="46" s="1"/>
  <c r="AB153" i="46"/>
  <c r="AA153" i="46"/>
  <c r="Z153" i="46"/>
  <c r="Y153" i="46"/>
  <c r="W153" i="46"/>
  <c r="V153" i="46"/>
  <c r="U153" i="46"/>
  <c r="T153" i="46"/>
  <c r="X153" i="46" s="1"/>
  <c r="R153" i="46"/>
  <c r="Q153" i="46"/>
  <c r="P153" i="46"/>
  <c r="O153" i="46"/>
  <c r="M153" i="46"/>
  <c r="L153" i="46"/>
  <c r="K153" i="46"/>
  <c r="J153" i="46"/>
  <c r="N153" i="46" s="1"/>
  <c r="H153" i="46"/>
  <c r="G153" i="46"/>
  <c r="F153" i="46"/>
  <c r="E153" i="46"/>
  <c r="I153" i="46" s="1"/>
  <c r="AV152" i="46"/>
  <c r="AU152" i="46"/>
  <c r="AT152" i="46"/>
  <c r="AS152" i="46"/>
  <c r="AQ152" i="46"/>
  <c r="AP152" i="46"/>
  <c r="AO152" i="46"/>
  <c r="AN152" i="46"/>
  <c r="AL152" i="46"/>
  <c r="AK152" i="46"/>
  <c r="AJ152" i="46"/>
  <c r="AI152" i="46"/>
  <c r="AM152" i="46" s="1"/>
  <c r="AG152" i="46"/>
  <c r="AF152" i="46"/>
  <c r="AE152" i="46"/>
  <c r="AD152" i="46"/>
  <c r="AH152" i="46" s="1"/>
  <c r="AB152" i="46"/>
  <c r="AA152" i="46"/>
  <c r="Z152" i="46"/>
  <c r="Y152" i="46"/>
  <c r="W152" i="46"/>
  <c r="V152" i="46"/>
  <c r="U152" i="46"/>
  <c r="T152" i="46"/>
  <c r="X152" i="46" s="1"/>
  <c r="R152" i="46"/>
  <c r="Q152" i="46"/>
  <c r="P152" i="46"/>
  <c r="O152" i="46"/>
  <c r="S152" i="46" s="1"/>
  <c r="M152" i="46"/>
  <c r="L152" i="46"/>
  <c r="K152" i="46"/>
  <c r="J152" i="46"/>
  <c r="H152" i="46"/>
  <c r="G152" i="46"/>
  <c r="F152" i="46"/>
  <c r="E152" i="46"/>
  <c r="I152" i="46" s="1"/>
  <c r="BP151" i="46"/>
  <c r="BO151" i="46"/>
  <c r="BN151" i="46"/>
  <c r="BM151" i="46"/>
  <c r="BH151" i="46"/>
  <c r="AZ151" i="46"/>
  <c r="AY151" i="46"/>
  <c r="AX151" i="46"/>
  <c r="AV151" i="46"/>
  <c r="T151" i="46"/>
  <c r="AV150" i="46"/>
  <c r="AS150" i="46"/>
  <c r="AQ150" i="46"/>
  <c r="AO150" i="46"/>
  <c r="AN150" i="46"/>
  <c r="AL150" i="46"/>
  <c r="AK150" i="46"/>
  <c r="AI150" i="46"/>
  <c r="AG150" i="46"/>
  <c r="AD150" i="46"/>
  <c r="AB150" i="46"/>
  <c r="Y150" i="46"/>
  <c r="W150" i="46"/>
  <c r="U150" i="46"/>
  <c r="T150" i="46"/>
  <c r="R150" i="46"/>
  <c r="O150" i="46"/>
  <c r="M150" i="46"/>
  <c r="J150" i="46"/>
  <c r="H150" i="46"/>
  <c r="G150" i="46"/>
  <c r="AU149" i="46"/>
  <c r="AT149" i="46"/>
  <c r="AS149" i="46"/>
  <c r="AP149" i="46"/>
  <c r="AO149" i="46"/>
  <c r="AN149" i="46"/>
  <c r="AL149" i="46"/>
  <c r="AK149" i="46"/>
  <c r="AJ149" i="46"/>
  <c r="AI149" i="46"/>
  <c r="AF149" i="46"/>
  <c r="AE149" i="46"/>
  <c r="AD149" i="46"/>
  <c r="AA149" i="46"/>
  <c r="Z149" i="46"/>
  <c r="Y149" i="46"/>
  <c r="V149" i="46"/>
  <c r="U149" i="46"/>
  <c r="T149" i="46"/>
  <c r="R149" i="46"/>
  <c r="Q149" i="46"/>
  <c r="P149" i="46"/>
  <c r="O149" i="46"/>
  <c r="L149" i="46"/>
  <c r="K149" i="46"/>
  <c r="J149" i="46"/>
  <c r="G149" i="46"/>
  <c r="F149" i="46"/>
  <c r="E149" i="46"/>
  <c r="BQ140" i="46"/>
  <c r="BQ139" i="46"/>
  <c r="BQ138" i="46"/>
  <c r="BQ137" i="46"/>
  <c r="BL140" i="46"/>
  <c r="BL139" i="46"/>
  <c r="BL138" i="46"/>
  <c r="BL137" i="46"/>
  <c r="BG140" i="46"/>
  <c r="BG139" i="46"/>
  <c r="BG138" i="46"/>
  <c r="BG137" i="46"/>
  <c r="BB140" i="46"/>
  <c r="BB139" i="46"/>
  <c r="BB138" i="46"/>
  <c r="BB137" i="46"/>
  <c r="R130" i="46"/>
  <c r="P130" i="46"/>
  <c r="L130" i="46"/>
  <c r="K130" i="46"/>
  <c r="AV128" i="46"/>
  <c r="AU128" i="46"/>
  <c r="AT128" i="46"/>
  <c r="AS128" i="46"/>
  <c r="AQ128" i="46"/>
  <c r="AP128" i="46"/>
  <c r="AO128" i="46"/>
  <c r="AV127" i="46"/>
  <c r="AT127" i="46"/>
  <c r="AS127" i="46"/>
  <c r="AQ127" i="46"/>
  <c r="AP127" i="46"/>
  <c r="AO127" i="46"/>
  <c r="AU126" i="46"/>
  <c r="AT126" i="46"/>
  <c r="AS126" i="46"/>
  <c r="AQ126" i="46"/>
  <c r="AP126" i="46"/>
  <c r="AO126" i="46"/>
  <c r="AW125" i="46"/>
  <c r="AU125" i="46"/>
  <c r="AT125" i="46"/>
  <c r="AQ125" i="46"/>
  <c r="AP125" i="46"/>
  <c r="AO125" i="46"/>
  <c r="AU124" i="46"/>
  <c r="AR124" i="46"/>
  <c r="AQ124" i="46"/>
  <c r="AU123" i="46"/>
  <c r="AR123" i="46"/>
  <c r="AQ123" i="46"/>
  <c r="AU122" i="46"/>
  <c r="AT122" i="46"/>
  <c r="AS122" i="46"/>
  <c r="AP122" i="46"/>
  <c r="AO122" i="46"/>
  <c r="AK125" i="46"/>
  <c r="AG125" i="46"/>
  <c r="AD125" i="46"/>
  <c r="Y125" i="46"/>
  <c r="W125" i="46"/>
  <c r="U125" i="46"/>
  <c r="AN124" i="46"/>
  <c r="AM124" i="46"/>
  <c r="AJ124" i="46"/>
  <c r="AI124" i="46"/>
  <c r="AF124" i="46"/>
  <c r="AE124" i="46"/>
  <c r="AA124" i="46"/>
  <c r="X124" i="46"/>
  <c r="T124" i="46"/>
  <c r="AN123" i="46"/>
  <c r="AM123" i="46"/>
  <c r="AJ123" i="46"/>
  <c r="AI123" i="46"/>
  <c r="AF123" i="46"/>
  <c r="AE123" i="46"/>
  <c r="AA123" i="46"/>
  <c r="X123" i="46"/>
  <c r="T123" i="46"/>
  <c r="AN122" i="46"/>
  <c r="AK122" i="46"/>
  <c r="AJ122" i="46"/>
  <c r="AI122" i="46"/>
  <c r="AH122" i="46"/>
  <c r="AG122" i="46"/>
  <c r="AD122" i="46"/>
  <c r="AC122" i="46"/>
  <c r="Z122" i="46"/>
  <c r="Y122" i="46"/>
  <c r="V122" i="46"/>
  <c r="U122" i="46"/>
  <c r="S124" i="46"/>
  <c r="P124" i="46"/>
  <c r="O124" i="46"/>
  <c r="L124" i="46"/>
  <c r="K124" i="46"/>
  <c r="G124" i="46"/>
  <c r="S123" i="46"/>
  <c r="P123" i="46"/>
  <c r="O123" i="46"/>
  <c r="L123" i="46"/>
  <c r="K123" i="46"/>
  <c r="G123" i="46"/>
  <c r="Q122" i="46"/>
  <c r="N122" i="46"/>
  <c r="M122" i="46"/>
  <c r="J122" i="46"/>
  <c r="I122" i="46"/>
  <c r="F122" i="46"/>
  <c r="E122" i="46"/>
  <c r="AV117" i="46"/>
  <c r="AQ117" i="46"/>
  <c r="AL117" i="46"/>
  <c r="AG117" i="46"/>
  <c r="AB117" i="46"/>
  <c r="W117" i="46"/>
  <c r="BP114" i="46"/>
  <c r="BO114" i="46" s="1"/>
  <c r="BN114" i="46" s="1"/>
  <c r="BM114" i="46" s="1"/>
  <c r="BK114" i="46"/>
  <c r="BJ114" i="46" s="1"/>
  <c r="BI114" i="46" s="1"/>
  <c r="BH114" i="46" s="1"/>
  <c r="BF114" i="46"/>
  <c r="BE114" i="46" s="1"/>
  <c r="BD114" i="46" s="1"/>
  <c r="BC114" i="46" s="1"/>
  <c r="BA114" i="46"/>
  <c r="AZ114" i="46" s="1"/>
  <c r="AY114" i="46" s="1"/>
  <c r="AX114" i="46" s="1"/>
  <c r="BQ111" i="46"/>
  <c r="BP111" i="46"/>
  <c r="BO111" i="46"/>
  <c r="BN111" i="46"/>
  <c r="BM111" i="46"/>
  <c r="AU103" i="46"/>
  <c r="AT103" i="46"/>
  <c r="AQ103" i="46"/>
  <c r="AP103" i="46"/>
  <c r="AO103" i="46"/>
  <c r="AN103" i="46"/>
  <c r="AR103" i="46" s="1"/>
  <c r="AL103" i="46"/>
  <c r="AK103" i="46"/>
  <c r="AJ103" i="46"/>
  <c r="AI103" i="46"/>
  <c r="AM103" i="46" s="1"/>
  <c r="AG103" i="46"/>
  <c r="AF103" i="46"/>
  <c r="AE103" i="46"/>
  <c r="AD103" i="46"/>
  <c r="AH103" i="46" s="1"/>
  <c r="AB103" i="46"/>
  <c r="AA103" i="46"/>
  <c r="Z103" i="46"/>
  <c r="Y103" i="46"/>
  <c r="AC103" i="46" s="1"/>
  <c r="W103" i="46"/>
  <c r="V103" i="46"/>
  <c r="U103" i="46"/>
  <c r="T103" i="46"/>
  <c r="X103" i="46" s="1"/>
  <c r="R103" i="46"/>
  <c r="Q103" i="46"/>
  <c r="P103" i="46"/>
  <c r="O103" i="46"/>
  <c r="S103" i="46" s="1"/>
  <c r="M103" i="46"/>
  <c r="L103" i="46"/>
  <c r="G103" i="46"/>
  <c r="F103" i="46"/>
  <c r="AU102" i="46"/>
  <c r="AT102" i="46"/>
  <c r="AQ102" i="46"/>
  <c r="AP102" i="46"/>
  <c r="AO102" i="46"/>
  <c r="AN102" i="46"/>
  <c r="AR102" i="46" s="1"/>
  <c r="AL102" i="46"/>
  <c r="AK102" i="46"/>
  <c r="AJ102" i="46"/>
  <c r="AI102" i="46"/>
  <c r="AM102" i="46" s="1"/>
  <c r="AG102" i="46"/>
  <c r="AF102" i="46"/>
  <c r="AE102" i="46"/>
  <c r="AD102" i="46"/>
  <c r="AH102" i="46" s="1"/>
  <c r="AB102" i="46"/>
  <c r="AA102" i="46"/>
  <c r="Z102" i="46"/>
  <c r="Y102" i="46"/>
  <c r="AC102" i="46" s="1"/>
  <c r="W102" i="46"/>
  <c r="V102" i="46"/>
  <c r="U102" i="46"/>
  <c r="T102" i="46"/>
  <c r="X102" i="46" s="1"/>
  <c r="R102" i="46"/>
  <c r="Q102" i="46"/>
  <c r="P102" i="46"/>
  <c r="O102" i="46"/>
  <c r="S102" i="46" s="1"/>
  <c r="M102" i="46"/>
  <c r="L102" i="46"/>
  <c r="K102" i="46"/>
  <c r="J102" i="46"/>
  <c r="N102" i="46" s="1"/>
  <c r="H102" i="46"/>
  <c r="G102" i="46"/>
  <c r="F102" i="46"/>
  <c r="E102" i="46"/>
  <c r="I102" i="46" s="1"/>
  <c r="AV97" i="46"/>
  <c r="AU97" i="46"/>
  <c r="AT97" i="46"/>
  <c r="AS97" i="46"/>
  <c r="AR97" i="46"/>
  <c r="AQ97" i="46"/>
  <c r="AP97" i="46"/>
  <c r="AO97" i="46"/>
  <c r="AN97" i="46"/>
  <c r="AM97" i="46"/>
  <c r="AL97" i="46"/>
  <c r="AK97" i="46"/>
  <c r="AJ97" i="46"/>
  <c r="AF97" i="46"/>
  <c r="AE97" i="46"/>
  <c r="AB97" i="46"/>
  <c r="AA97" i="46"/>
  <c r="Z97" i="46"/>
  <c r="Y97" i="46"/>
  <c r="W97" i="46"/>
  <c r="V97" i="46"/>
  <c r="U97" i="46"/>
  <c r="T97" i="46"/>
  <c r="S97" i="46"/>
  <c r="R97" i="46"/>
  <c r="Q97" i="46"/>
  <c r="P97" i="46"/>
  <c r="O97" i="46"/>
  <c r="L97" i="46"/>
  <c r="K97" i="46"/>
  <c r="J97" i="46"/>
  <c r="H97" i="46"/>
  <c r="G97" i="46"/>
  <c r="F97" i="46"/>
  <c r="E97" i="46"/>
  <c r="BH96" i="46"/>
  <c r="BC96" i="46"/>
  <c r="AW96" i="46"/>
  <c r="AV96" i="46"/>
  <c r="AU96" i="46"/>
  <c r="AT96" i="46"/>
  <c r="AS96" i="46"/>
  <c r="AR96" i="46"/>
  <c r="AP96" i="46"/>
  <c r="AO96" i="46"/>
  <c r="AX95" i="46"/>
  <c r="AW95" i="46"/>
  <c r="AV95" i="46"/>
  <c r="AU95" i="46"/>
  <c r="AT95" i="46"/>
  <c r="AS95" i="46"/>
  <c r="AR95" i="46"/>
  <c r="AQ95" i="46"/>
  <c r="AP95" i="46"/>
  <c r="AO95" i="46"/>
  <c r="AW94" i="46"/>
  <c r="DO39" i="71" s="1"/>
  <c r="AV94" i="46"/>
  <c r="AU94" i="46"/>
  <c r="AT94" i="46"/>
  <c r="AS94" i="46"/>
  <c r="AR94" i="46"/>
  <c r="AQ94" i="46"/>
  <c r="AP94" i="46"/>
  <c r="AO94" i="46"/>
  <c r="BP93" i="46"/>
  <c r="BO93" i="46"/>
  <c r="BN93" i="46"/>
  <c r="BM93" i="46"/>
  <c r="BK93" i="46"/>
  <c r="BJ93" i="46"/>
  <c r="BI93" i="46"/>
  <c r="BH93" i="46"/>
  <c r="BF93" i="46"/>
  <c r="BE93" i="46"/>
  <c r="BD93" i="46"/>
  <c r="BC93" i="46"/>
  <c r="BG93" i="46" s="1"/>
  <c r="BA93" i="46"/>
  <c r="AZ93" i="46"/>
  <c r="AY93" i="46"/>
  <c r="AX93" i="46"/>
  <c r="BB93" i="46" s="1"/>
  <c r="AW92" i="46"/>
  <c r="AV92" i="46"/>
  <c r="AU92" i="46"/>
  <c r="AT92" i="46"/>
  <c r="AS92" i="46"/>
  <c r="AR92" i="46"/>
  <c r="AQ92" i="46"/>
  <c r="AP92" i="46"/>
  <c r="AO92" i="46"/>
  <c r="AW91" i="46"/>
  <c r="AV91" i="46"/>
  <c r="AU91" i="46"/>
  <c r="AT91" i="46"/>
  <c r="AS91" i="46"/>
  <c r="AR91" i="46"/>
  <c r="AQ91" i="46"/>
  <c r="AP91" i="46"/>
  <c r="AO91" i="46"/>
  <c r="AW90" i="46"/>
  <c r="AV90" i="46"/>
  <c r="AU90" i="46"/>
  <c r="AT90" i="46"/>
  <c r="AS90" i="46"/>
  <c r="AR90" i="46"/>
  <c r="AQ90" i="46"/>
  <c r="AP90" i="46"/>
  <c r="AO90" i="46"/>
  <c r="BP89" i="46"/>
  <c r="BO89" i="46"/>
  <c r="BN89" i="46"/>
  <c r="BM89" i="46"/>
  <c r="AW89" i="46"/>
  <c r="AV89" i="46"/>
  <c r="AV93" i="46" s="1"/>
  <c r="AU89" i="46"/>
  <c r="AT89" i="46"/>
  <c r="AS89" i="46"/>
  <c r="AR89" i="46"/>
  <c r="AR93" i="46" s="1"/>
  <c r="AQ89" i="46"/>
  <c r="AQ93" i="46" s="1"/>
  <c r="AP89" i="46"/>
  <c r="AP93" i="46" s="1"/>
  <c r="AO89" i="46"/>
  <c r="AO93" i="46" s="1"/>
  <c r="AN92" i="46"/>
  <c r="AM92" i="46"/>
  <c r="AL92" i="46"/>
  <c r="AK92" i="46"/>
  <c r="AJ92" i="46"/>
  <c r="AI92" i="46"/>
  <c r="AH92" i="46"/>
  <c r="AG92" i="46"/>
  <c r="AF92" i="46"/>
  <c r="AE92" i="46"/>
  <c r="AD92" i="46"/>
  <c r="AC92" i="46"/>
  <c r="AB92" i="46"/>
  <c r="AA92" i="46"/>
  <c r="Z92" i="46"/>
  <c r="Y92" i="46"/>
  <c r="X92" i="46"/>
  <c r="W92" i="46"/>
  <c r="V92" i="46"/>
  <c r="U92" i="46"/>
  <c r="T92" i="46"/>
  <c r="AN91" i="46"/>
  <c r="AM91" i="46"/>
  <c r="AL91" i="46"/>
  <c r="AK91" i="46"/>
  <c r="AJ91" i="46"/>
  <c r="AI91" i="46"/>
  <c r="AH91" i="46"/>
  <c r="AG91" i="46"/>
  <c r="AF91" i="46"/>
  <c r="AE91" i="46"/>
  <c r="AD91" i="46"/>
  <c r="AC91" i="46"/>
  <c r="AB91" i="46"/>
  <c r="AA91" i="46"/>
  <c r="Z91" i="46"/>
  <c r="Y91" i="46"/>
  <c r="X91" i="46"/>
  <c r="W91" i="46"/>
  <c r="V91" i="46"/>
  <c r="U91" i="46"/>
  <c r="T91" i="46"/>
  <c r="AN90" i="46"/>
  <c r="AM90" i="46"/>
  <c r="AL90" i="46"/>
  <c r="AK90" i="46"/>
  <c r="AJ90" i="46"/>
  <c r="AI90" i="46"/>
  <c r="AH90" i="46"/>
  <c r="AG90" i="46"/>
  <c r="AF90" i="46"/>
  <c r="AE90" i="46"/>
  <c r="AD90" i="46"/>
  <c r="AC90" i="46"/>
  <c r="AB90" i="46"/>
  <c r="AA90" i="46"/>
  <c r="Z90" i="46"/>
  <c r="Y90" i="46"/>
  <c r="X90" i="46"/>
  <c r="W90" i="46"/>
  <c r="V90" i="46"/>
  <c r="U90" i="46"/>
  <c r="T90" i="46"/>
  <c r="AN89" i="46"/>
  <c r="AM89" i="46"/>
  <c r="AL89" i="46"/>
  <c r="AK89" i="46"/>
  <c r="AJ89" i="46"/>
  <c r="AI89" i="46"/>
  <c r="AH89" i="46"/>
  <c r="AG89" i="46"/>
  <c r="AF89" i="46"/>
  <c r="AE89" i="46"/>
  <c r="AD89" i="46"/>
  <c r="AC89" i="46"/>
  <c r="AB89" i="46"/>
  <c r="AA89" i="46"/>
  <c r="Z89" i="46"/>
  <c r="Y89" i="46"/>
  <c r="X89" i="46"/>
  <c r="W89" i="46"/>
  <c r="V89" i="46"/>
  <c r="U89" i="46"/>
  <c r="T89" i="46"/>
  <c r="S91" i="46"/>
  <c r="R91" i="46"/>
  <c r="Q91" i="46"/>
  <c r="P91" i="46"/>
  <c r="O91" i="46"/>
  <c r="N91" i="46"/>
  <c r="M91" i="46"/>
  <c r="L91" i="46"/>
  <c r="K91" i="46"/>
  <c r="J91" i="46"/>
  <c r="I91" i="46"/>
  <c r="H91" i="46"/>
  <c r="G91" i="46"/>
  <c r="F91" i="46"/>
  <c r="E91" i="46"/>
  <c r="S90" i="46"/>
  <c r="R90" i="46"/>
  <c r="Q90" i="46"/>
  <c r="P90" i="46"/>
  <c r="O90" i="46"/>
  <c r="N90" i="46"/>
  <c r="M90" i="46"/>
  <c r="L90" i="46"/>
  <c r="K90" i="46"/>
  <c r="J90" i="46"/>
  <c r="I90" i="46"/>
  <c r="H90" i="46"/>
  <c r="G90" i="46"/>
  <c r="F90" i="46"/>
  <c r="E90" i="46"/>
  <c r="S89" i="46"/>
  <c r="R89" i="46"/>
  <c r="Q89" i="46"/>
  <c r="P89" i="46"/>
  <c r="O89" i="46"/>
  <c r="N89" i="46"/>
  <c r="M89" i="46"/>
  <c r="L89" i="46"/>
  <c r="L93" i="46" s="1"/>
  <c r="K89" i="46"/>
  <c r="J89" i="46"/>
  <c r="I89" i="46"/>
  <c r="H89" i="46"/>
  <c r="H93" i="46" s="1"/>
  <c r="G89" i="46"/>
  <c r="F89" i="46"/>
  <c r="E89" i="46"/>
  <c r="BN73" i="46"/>
  <c r="BN166" i="46" s="1"/>
  <c r="BN267" i="46" s="1"/>
  <c r="BM73" i="46"/>
  <c r="BM166" i="46" s="1"/>
  <c r="BI73" i="46"/>
  <c r="BI166" i="46" s="1"/>
  <c r="BI267" i="46" s="1"/>
  <c r="BH73" i="46"/>
  <c r="BH166" i="46" s="1"/>
  <c r="BE73" i="46"/>
  <c r="BE166" i="46" s="1"/>
  <c r="BE267" i="46" s="1"/>
  <c r="BD73" i="46"/>
  <c r="BD166" i="46" s="1"/>
  <c r="BD267" i="46" s="1"/>
  <c r="BQ72" i="46"/>
  <c r="BQ71" i="46"/>
  <c r="BL72" i="46"/>
  <c r="BL71" i="46"/>
  <c r="BG72" i="46"/>
  <c r="BG71" i="46"/>
  <c r="BB72" i="46"/>
  <c r="BB71" i="46"/>
  <c r="BP71" i="46"/>
  <c r="BP73" i="46" s="1"/>
  <c r="BP166" i="46" s="1"/>
  <c r="BP267" i="46" s="1"/>
  <c r="BO71" i="46"/>
  <c r="BO73" i="46" s="1"/>
  <c r="BO166" i="46" s="1"/>
  <c r="BO267" i="46" s="1"/>
  <c r="BN71" i="46"/>
  <c r="BM71" i="46"/>
  <c r="BK71" i="46"/>
  <c r="BK73" i="46" s="1"/>
  <c r="BK166" i="46" s="1"/>
  <c r="BK267" i="46" s="1"/>
  <c r="BJ71" i="46"/>
  <c r="BJ73" i="46" s="1"/>
  <c r="BJ166" i="46" s="1"/>
  <c r="BJ267" i="46" s="1"/>
  <c r="BI71" i="46"/>
  <c r="BH71" i="46"/>
  <c r="BF71" i="46"/>
  <c r="BF73" i="46" s="1"/>
  <c r="BF166" i="46" s="1"/>
  <c r="BF267" i="46" s="1"/>
  <c r="BE71" i="46"/>
  <c r="BD71" i="46"/>
  <c r="BC71" i="46"/>
  <c r="BC73" i="46" s="1"/>
  <c r="BA71" i="46"/>
  <c r="BA73" i="46" s="1"/>
  <c r="BA166" i="46" s="1"/>
  <c r="BA267" i="46" s="1"/>
  <c r="AZ71" i="46"/>
  <c r="AZ73" i="46" s="1"/>
  <c r="AZ166" i="46" s="1"/>
  <c r="AZ267" i="46" s="1"/>
  <c r="AY71" i="46"/>
  <c r="AY73" i="46" s="1"/>
  <c r="AY166" i="46" s="1"/>
  <c r="AY267" i="46" s="1"/>
  <c r="AX71" i="46"/>
  <c r="AX73" i="46" s="1"/>
  <c r="AU66" i="46"/>
  <c r="AT66" i="46"/>
  <c r="AS66" i="46"/>
  <c r="AQ66" i="46"/>
  <c r="AP66" i="46"/>
  <c r="AO66" i="46"/>
  <c r="AN66" i="46"/>
  <c r="AL66" i="46"/>
  <c r="AK66" i="46"/>
  <c r="AJ66" i="46"/>
  <c r="AI66" i="46"/>
  <c r="AG66" i="46"/>
  <c r="AF66" i="46"/>
  <c r="AE66" i="46"/>
  <c r="AD66" i="46"/>
  <c r="AB66" i="46"/>
  <c r="AA66" i="46"/>
  <c r="Z66" i="46"/>
  <c r="Y66" i="46"/>
  <c r="W66" i="46"/>
  <c r="V66" i="46"/>
  <c r="U66" i="46"/>
  <c r="T66" i="46"/>
  <c r="R66" i="46"/>
  <c r="Q66" i="46"/>
  <c r="P66" i="46"/>
  <c r="O66" i="46"/>
  <c r="M66" i="46"/>
  <c r="L66" i="46"/>
  <c r="K66" i="46"/>
  <c r="J66" i="46"/>
  <c r="H66" i="46"/>
  <c r="G66" i="46"/>
  <c r="F66" i="46"/>
  <c r="E66" i="46"/>
  <c r="AX64" i="46"/>
  <c r="AU64" i="46"/>
  <c r="AT64" i="46"/>
  <c r="AS64" i="46"/>
  <c r="AR64" i="46"/>
  <c r="AP64" i="46"/>
  <c r="AO64" i="46"/>
  <c r="AN64" i="46"/>
  <c r="AM64" i="46"/>
  <c r="AK64" i="46"/>
  <c r="AJ64" i="46"/>
  <c r="AI64" i="46"/>
  <c r="AH64" i="46"/>
  <c r="AG64" i="46"/>
  <c r="AF64" i="46"/>
  <c r="AE64" i="46"/>
  <c r="AD64" i="46"/>
  <c r="AC64" i="46"/>
  <c r="AA64" i="46"/>
  <c r="Z64" i="46"/>
  <c r="Y64" i="46"/>
  <c r="V64" i="46"/>
  <c r="U64" i="46"/>
  <c r="T64" i="46"/>
  <c r="Q64" i="46"/>
  <c r="P64" i="46"/>
  <c r="O64" i="46"/>
  <c r="L64" i="46"/>
  <c r="K64" i="46"/>
  <c r="J64" i="46"/>
  <c r="BA63" i="46"/>
  <c r="AZ63" i="46"/>
  <c r="AY63" i="46"/>
  <c r="AV63" i="46"/>
  <c r="AQ63" i="46"/>
  <c r="AL63" i="46"/>
  <c r="AG63" i="46"/>
  <c r="AB63" i="46"/>
  <c r="W63" i="46"/>
  <c r="S63" i="46"/>
  <c r="R63" i="46"/>
  <c r="M63" i="46"/>
  <c r="I63" i="46"/>
  <c r="H63" i="46"/>
  <c r="BB58" i="46"/>
  <c r="AX50" i="46"/>
  <c r="AX40" i="51" s="1"/>
  <c r="AX49" i="46"/>
  <c r="AZ48" i="46"/>
  <c r="AY48" i="46"/>
  <c r="AZ49" i="46" s="1"/>
  <c r="AX48" i="46"/>
  <c r="AY49" i="46" s="1"/>
  <c r="AV48" i="46"/>
  <c r="AQ48" i="46"/>
  <c r="AL48" i="46"/>
  <c r="AG48" i="46"/>
  <c r="AB48" i="46"/>
  <c r="W48" i="46"/>
  <c r="T48" i="46"/>
  <c r="S48" i="46"/>
  <c r="R48" i="46"/>
  <c r="Q48" i="46"/>
  <c r="P48" i="46"/>
  <c r="O48" i="46"/>
  <c r="M48" i="46"/>
  <c r="N48" i="46" s="1"/>
  <c r="L48" i="46"/>
  <c r="K48" i="46"/>
  <c r="J48" i="46"/>
  <c r="H48" i="46"/>
  <c r="I48" i="46" s="1"/>
  <c r="BQ45" i="46"/>
  <c r="BL45" i="46"/>
  <c r="BG45" i="46"/>
  <c r="BB45" i="46"/>
  <c r="AW45" i="46"/>
  <c r="AV45" i="46" s="1"/>
  <c r="AV36" i="51" s="1"/>
  <c r="AU45" i="46"/>
  <c r="AT45" i="46"/>
  <c r="AS45" i="46"/>
  <c r="AR45" i="46"/>
  <c r="AQ45" i="46" s="1"/>
  <c r="AP45" i="46"/>
  <c r="AO45" i="46"/>
  <c r="AN45" i="46"/>
  <c r="AM45" i="46"/>
  <c r="AK45" i="46"/>
  <c r="AJ45" i="46"/>
  <c r="AI45" i="46"/>
  <c r="AH45" i="46"/>
  <c r="AF45" i="46"/>
  <c r="AE45" i="46"/>
  <c r="AG45" i="46" s="1"/>
  <c r="AD45" i="46"/>
  <c r="AC45" i="46"/>
  <c r="AB45" i="46"/>
  <c r="AA45" i="46"/>
  <c r="Z45" i="46"/>
  <c r="Y45" i="46"/>
  <c r="X45" i="46"/>
  <c r="W45" i="46" s="1"/>
  <c r="V45" i="46"/>
  <c r="U45" i="46"/>
  <c r="T45" i="46"/>
  <c r="S45" i="46"/>
  <c r="Q45" i="46"/>
  <c r="P45" i="46"/>
  <c r="O45" i="46"/>
  <c r="N45" i="46"/>
  <c r="L45" i="46"/>
  <c r="K45" i="46"/>
  <c r="M45" i="46" s="1"/>
  <c r="J45" i="46"/>
  <c r="I45" i="46"/>
  <c r="G45" i="46"/>
  <c r="H45" i="46" s="1"/>
  <c r="F45" i="46"/>
  <c r="E45" i="46"/>
  <c r="BQ42" i="46"/>
  <c r="BL42" i="46"/>
  <c r="BG42" i="46"/>
  <c r="BB42" i="46"/>
  <c r="AV42" i="46"/>
  <c r="AQ42" i="46"/>
  <c r="AL42" i="46"/>
  <c r="AG42" i="46"/>
  <c r="AB42" i="46"/>
  <c r="W42" i="46"/>
  <c r="R42" i="46"/>
  <c r="M42" i="46"/>
  <c r="H42" i="46"/>
  <c r="AV39" i="46"/>
  <c r="AQ39" i="46"/>
  <c r="AL39" i="46"/>
  <c r="AG39" i="46"/>
  <c r="AB39" i="46"/>
  <c r="W39" i="46"/>
  <c r="R39" i="46"/>
  <c r="O39" i="46"/>
  <c r="M39" i="46"/>
  <c r="H39" i="46"/>
  <c r="AW35" i="46"/>
  <c r="AV35" i="46"/>
  <c r="AU35" i="46"/>
  <c r="AT35" i="46"/>
  <c r="AS35" i="46"/>
  <c r="AR35" i="46"/>
  <c r="AQ35" i="46" s="1"/>
  <c r="AU249" i="46" s="1"/>
  <c r="AP35" i="46"/>
  <c r="AO35" i="46"/>
  <c r="AN35" i="46"/>
  <c r="AM35" i="46"/>
  <c r="AK35" i="46"/>
  <c r="AJ35" i="46"/>
  <c r="AI35" i="46"/>
  <c r="AH35" i="46"/>
  <c r="AG35" i="46"/>
  <c r="AK249" i="46" s="1"/>
  <c r="AF35" i="46"/>
  <c r="AE35" i="46"/>
  <c r="AD35" i="46"/>
  <c r="AC35" i="46"/>
  <c r="AB35" i="46" s="1"/>
  <c r="AF249" i="46" s="1"/>
  <c r="AA35" i="46"/>
  <c r="Z35" i="46"/>
  <c r="Y35" i="46"/>
  <c r="X35" i="46"/>
  <c r="W35" i="46" s="1"/>
  <c r="AA249" i="46" s="1"/>
  <c r="V35" i="46"/>
  <c r="U35" i="46"/>
  <c r="T35" i="46"/>
  <c r="S35" i="46"/>
  <c r="Q35" i="46"/>
  <c r="P35" i="46"/>
  <c r="O35" i="46"/>
  <c r="N35" i="46"/>
  <c r="M35" i="46"/>
  <c r="Q249" i="46" s="1"/>
  <c r="L35" i="46"/>
  <c r="K35" i="46"/>
  <c r="J35" i="46"/>
  <c r="I35" i="46"/>
  <c r="H35" i="46" s="1"/>
  <c r="L249" i="46" s="1"/>
  <c r="G35" i="46"/>
  <c r="F35" i="46"/>
  <c r="E35" i="46"/>
  <c r="AW30" i="46"/>
  <c r="AV30" i="46"/>
  <c r="AU30" i="46"/>
  <c r="AT30" i="46"/>
  <c r="AS30" i="46"/>
  <c r="AR30" i="46"/>
  <c r="AP30" i="46"/>
  <c r="AO30" i="46"/>
  <c r="AN30" i="46"/>
  <c r="AM30" i="46"/>
  <c r="AK30" i="46"/>
  <c r="AJ30" i="46"/>
  <c r="AI30" i="46"/>
  <c r="AH30" i="46"/>
  <c r="AE30" i="46"/>
  <c r="AG30" i="46" s="1"/>
  <c r="AB30" i="46"/>
  <c r="T30" i="46"/>
  <c r="W30" i="46" s="1"/>
  <c r="S30" i="46"/>
  <c r="Q30" i="46"/>
  <c r="P30" i="46"/>
  <c r="O30" i="46"/>
  <c r="N30" i="46"/>
  <c r="L30" i="46"/>
  <c r="K30" i="46"/>
  <c r="J30" i="46"/>
  <c r="I30" i="46"/>
  <c r="G30" i="46"/>
  <c r="F30" i="46"/>
  <c r="H30" i="46" s="1"/>
  <c r="E30" i="46"/>
  <c r="AK27" i="46"/>
  <c r="Y27" i="46"/>
  <c r="U27" i="46"/>
  <c r="AW20" i="46"/>
  <c r="AS20" i="46"/>
  <c r="AP20" i="46"/>
  <c r="AR19" i="46"/>
  <c r="AO19" i="46"/>
  <c r="AH20" i="46"/>
  <c r="U20" i="46"/>
  <c r="AN19" i="46"/>
  <c r="AJ19" i="46"/>
  <c r="Z19" i="46"/>
  <c r="V19" i="46"/>
  <c r="Q21" i="46"/>
  <c r="O21" i="46"/>
  <c r="K21" i="46"/>
  <c r="I21" i="46"/>
  <c r="G21" i="46"/>
  <c r="F21" i="46"/>
  <c r="E21" i="46"/>
  <c r="Q20" i="46"/>
  <c r="P20" i="46"/>
  <c r="O20" i="46"/>
  <c r="J20" i="46"/>
  <c r="F20" i="46"/>
  <c r="E20" i="46"/>
  <c r="T19" i="46"/>
  <c r="P19" i="46"/>
  <c r="O19" i="46"/>
  <c r="N19" i="46"/>
  <c r="L19" i="46"/>
  <c r="J19" i="46"/>
  <c r="F19" i="46"/>
  <c r="BP17" i="46"/>
  <c r="BO17" i="46"/>
  <c r="BN17" i="46"/>
  <c r="BM17" i="46"/>
  <c r="BK17" i="46"/>
  <c r="BJ17" i="46"/>
  <c r="BI17" i="46"/>
  <c r="BH17" i="46"/>
  <c r="BF17" i="46"/>
  <c r="BE17" i="46"/>
  <c r="BD17" i="46"/>
  <c r="BC17" i="46"/>
  <c r="BA17" i="46"/>
  <c r="AZ17" i="46"/>
  <c r="AY17" i="46"/>
  <c r="AX17" i="46"/>
  <c r="AV17" i="46"/>
  <c r="AQ17" i="46"/>
  <c r="AL17" i="46"/>
  <c r="AG17" i="46"/>
  <c r="AB17" i="46"/>
  <c r="W17" i="46"/>
  <c r="R17" i="46"/>
  <c r="M17" i="46"/>
  <c r="H17" i="46"/>
  <c r="AW15" i="46"/>
  <c r="AW27" i="46" s="1"/>
  <c r="AR15" i="46"/>
  <c r="AR27" i="46" s="1"/>
  <c r="AR32" i="46" s="1"/>
  <c r="AN15" i="46"/>
  <c r="AN27" i="46" s="1"/>
  <c r="AN32" i="46" s="1"/>
  <c r="AK15" i="46"/>
  <c r="AJ15" i="46"/>
  <c r="AJ27" i="46" s="1"/>
  <c r="AJ32" i="46" s="1"/>
  <c r="AI15" i="46"/>
  <c r="AI27" i="46" s="1"/>
  <c r="AA15" i="46"/>
  <c r="AA27" i="46" s="1"/>
  <c r="Z15" i="46"/>
  <c r="Z27" i="46" s="1"/>
  <c r="Y15" i="46"/>
  <c r="X15" i="46"/>
  <c r="X27" i="46" s="1"/>
  <c r="X32" i="46" s="1"/>
  <c r="V15" i="46"/>
  <c r="V27" i="46" s="1"/>
  <c r="U15" i="46"/>
  <c r="T15" i="46"/>
  <c r="T27" i="46" s="1"/>
  <c r="T32" i="46" s="1"/>
  <c r="O15" i="46"/>
  <c r="O27" i="46" s="1"/>
  <c r="L15" i="46"/>
  <c r="L27" i="46" s="1"/>
  <c r="L32" i="46" s="1"/>
  <c r="G15" i="46"/>
  <c r="G27" i="46" s="1"/>
  <c r="AV14" i="46"/>
  <c r="AV13" i="46"/>
  <c r="AV12" i="46"/>
  <c r="AQ14" i="46"/>
  <c r="AQ13" i="46"/>
  <c r="AQ12" i="46"/>
  <c r="AL14" i="46"/>
  <c r="AL13" i="46"/>
  <c r="AL12" i="46"/>
  <c r="AG14" i="46"/>
  <c r="AG13" i="46"/>
  <c r="AG12" i="46"/>
  <c r="AB14" i="46"/>
  <c r="AB13" i="46"/>
  <c r="AB12" i="46"/>
  <c r="W14" i="46"/>
  <c r="W13" i="46"/>
  <c r="W12" i="46"/>
  <c r="R14" i="46"/>
  <c r="R13" i="46"/>
  <c r="M14" i="46"/>
  <c r="M13" i="46"/>
  <c r="H14" i="46"/>
  <c r="H13" i="46"/>
  <c r="S12" i="46"/>
  <c r="S15" i="46" s="1"/>
  <c r="S27" i="46" s="1"/>
  <c r="Q12" i="46"/>
  <c r="Q15" i="46" s="1"/>
  <c r="Q27" i="46" s="1"/>
  <c r="P12" i="46"/>
  <c r="P15" i="46" s="1"/>
  <c r="P27" i="46" s="1"/>
  <c r="N12" i="46"/>
  <c r="M12" i="46" s="1"/>
  <c r="L12" i="46"/>
  <c r="K12" i="46"/>
  <c r="K15" i="46" s="1"/>
  <c r="K27" i="46" s="1"/>
  <c r="J12" i="46"/>
  <c r="J15" i="46" s="1"/>
  <c r="J27" i="46" s="1"/>
  <c r="I12" i="46"/>
  <c r="I15" i="46" s="1"/>
  <c r="I27" i="46" s="1"/>
  <c r="G12" i="46"/>
  <c r="F12" i="46"/>
  <c r="F15" i="46" s="1"/>
  <c r="F27" i="46" s="1"/>
  <c r="E12" i="46"/>
  <c r="E15" i="46" s="1"/>
  <c r="E27" i="46" s="1"/>
  <c r="AW10" i="46"/>
  <c r="AK10" i="46"/>
  <c r="AJ10" i="46"/>
  <c r="AI10" i="46"/>
  <c r="AC10" i="46"/>
  <c r="AA10" i="46"/>
  <c r="Z10" i="46"/>
  <c r="Y10" i="46"/>
  <c r="X10" i="46"/>
  <c r="V10" i="46"/>
  <c r="U10" i="46"/>
  <c r="T10" i="46"/>
  <c r="S10" i="46"/>
  <c r="Q10" i="46"/>
  <c r="P10" i="46"/>
  <c r="O10" i="46"/>
  <c r="N10" i="46"/>
  <c r="L10" i="46"/>
  <c r="K10" i="46"/>
  <c r="J10" i="46"/>
  <c r="I10" i="46"/>
  <c r="G10" i="46"/>
  <c r="F10" i="46"/>
  <c r="E10" i="46"/>
  <c r="AU9" i="46"/>
  <c r="AU10" i="46" s="1"/>
  <c r="AT9" i="46"/>
  <c r="AT15" i="46" s="1"/>
  <c r="AT27" i="46" s="1"/>
  <c r="AS9" i="46"/>
  <c r="AS15" i="46" s="1"/>
  <c r="AS27" i="46" s="1"/>
  <c r="AR9" i="46"/>
  <c r="AR10" i="46" s="1"/>
  <c r="AP9" i="46"/>
  <c r="AP10" i="46" s="1"/>
  <c r="AO9" i="46"/>
  <c r="AO15" i="46" s="1"/>
  <c r="AO27" i="46" s="1"/>
  <c r="AN9" i="46"/>
  <c r="AN10" i="46" s="1"/>
  <c r="AM9" i="46"/>
  <c r="AM10" i="46" s="1"/>
  <c r="AL9" i="46"/>
  <c r="AL10" i="46" s="1"/>
  <c r="AH9" i="46"/>
  <c r="AH10" i="46" s="1"/>
  <c r="AF9" i="46"/>
  <c r="AF15" i="46" s="1"/>
  <c r="AF27" i="46" s="1"/>
  <c r="AE9" i="46"/>
  <c r="AE15" i="46" s="1"/>
  <c r="AE27" i="46" s="1"/>
  <c r="AD9" i="46"/>
  <c r="AD15" i="46" s="1"/>
  <c r="AD27" i="46" s="1"/>
  <c r="AC9" i="46"/>
  <c r="AC15" i="46" s="1"/>
  <c r="AC27" i="46" s="1"/>
  <c r="AB9" i="46"/>
  <c r="AB15" i="46" s="1"/>
  <c r="W9" i="46"/>
  <c r="W15" i="46" s="1"/>
  <c r="W8" i="46"/>
  <c r="R9" i="46"/>
  <c r="R8" i="46"/>
  <c r="R10" i="46" s="1"/>
  <c r="M9" i="46"/>
  <c r="M15" i="46" s="1"/>
  <c r="M8" i="46"/>
  <c r="M27" i="46" s="1"/>
  <c r="H9" i="46"/>
  <c r="H8" i="46"/>
  <c r="H10" i="46" s="1"/>
  <c r="AV8" i="46"/>
  <c r="AQ8" i="46"/>
  <c r="AL8" i="46"/>
  <c r="AG8" i="46"/>
  <c r="AB8" i="46"/>
  <c r="AB10" i="46" s="1"/>
  <c r="B2" i="46"/>
  <c r="AW70" i="71"/>
  <c r="AW69" i="71"/>
  <c r="AR69" i="71" s="1"/>
  <c r="AW68" i="71"/>
  <c r="AR68" i="71"/>
  <c r="AM69" i="71"/>
  <c r="AH69" i="71" s="1"/>
  <c r="AC69" i="71" s="1"/>
  <c r="X69" i="71" s="1"/>
  <c r="S69" i="71" s="1"/>
  <c r="N69" i="71" s="1"/>
  <c r="DJ56" i="71"/>
  <c r="DE58" i="71"/>
  <c r="DE57" i="71"/>
  <c r="DE56" i="71"/>
  <c r="CZ58" i="71"/>
  <c r="CZ56" i="71"/>
  <c r="CU56" i="71"/>
  <c r="CP56" i="71"/>
  <c r="CK58" i="71"/>
  <c r="CK57" i="71"/>
  <c r="CK56" i="71"/>
  <c r="CA57" i="71"/>
  <c r="EE58" i="71"/>
  <c r="EH57" i="71"/>
  <c r="EG57" i="71"/>
  <c r="EF57" i="71"/>
  <c r="EE57" i="71"/>
  <c r="DZ58" i="71"/>
  <c r="EC57" i="71"/>
  <c r="EB57" i="71"/>
  <c r="EA57" i="71"/>
  <c r="DZ57" i="71"/>
  <c r="DU58" i="71"/>
  <c r="DX57" i="71"/>
  <c r="DW57" i="71"/>
  <c r="DV57" i="71"/>
  <c r="DU57" i="71"/>
  <c r="DP58" i="71"/>
  <c r="DS57" i="71"/>
  <c r="DR57" i="71"/>
  <c r="DQ57" i="71"/>
  <c r="DP57" i="71"/>
  <c r="DN58" i="71"/>
  <c r="DM58" i="71"/>
  <c r="DL58" i="71"/>
  <c r="DK58" i="71"/>
  <c r="DN57" i="71"/>
  <c r="DM57" i="71"/>
  <c r="DK57" i="71"/>
  <c r="DM56" i="71"/>
  <c r="DL56" i="71"/>
  <c r="DK56" i="71"/>
  <c r="DN55" i="71"/>
  <c r="DM55" i="71"/>
  <c r="DL55" i="71"/>
  <c r="DK55" i="71"/>
  <c r="DN54" i="71"/>
  <c r="DM54" i="71"/>
  <c r="DL54" i="71"/>
  <c r="DK54" i="71"/>
  <c r="DI58" i="71"/>
  <c r="DH58" i="71"/>
  <c r="DG58" i="71"/>
  <c r="DF58" i="71"/>
  <c r="DH57" i="71"/>
  <c r="DG57" i="71"/>
  <c r="DF57" i="71"/>
  <c r="DI56" i="71"/>
  <c r="DH56" i="71"/>
  <c r="DG56" i="71"/>
  <c r="DF56" i="71"/>
  <c r="DI55" i="71"/>
  <c r="DH55" i="71"/>
  <c r="DG55" i="71"/>
  <c r="DF55" i="71"/>
  <c r="DI54" i="71"/>
  <c r="DH54" i="71"/>
  <c r="DG54" i="71"/>
  <c r="DF54" i="71"/>
  <c r="DD58" i="71"/>
  <c r="DC58" i="71"/>
  <c r="DB58" i="71"/>
  <c r="DA58" i="71"/>
  <c r="DD57" i="71"/>
  <c r="DC57" i="71"/>
  <c r="DB57" i="71"/>
  <c r="DA57" i="71"/>
  <c r="DD56" i="71"/>
  <c r="DC56" i="71"/>
  <c r="DB56" i="71"/>
  <c r="DA56" i="71"/>
  <c r="DD55" i="71"/>
  <c r="DC55" i="71"/>
  <c r="DB55" i="71"/>
  <c r="DA55" i="71"/>
  <c r="DB54" i="71"/>
  <c r="DA54" i="71"/>
  <c r="CY58" i="71"/>
  <c r="CX58" i="71"/>
  <c r="CW58" i="71"/>
  <c r="CV58" i="71"/>
  <c r="CY57" i="71"/>
  <c r="CX57" i="71"/>
  <c r="CW57" i="71"/>
  <c r="CV57" i="71"/>
  <c r="CY56" i="71"/>
  <c r="CX56" i="71"/>
  <c r="CW56" i="71"/>
  <c r="CV56" i="71"/>
  <c r="CY55" i="71"/>
  <c r="CX55" i="71"/>
  <c r="CW55" i="71"/>
  <c r="CV55" i="71"/>
  <c r="CY54" i="71"/>
  <c r="CX54" i="71"/>
  <c r="CW54" i="71"/>
  <c r="CV54" i="71"/>
  <c r="CS58" i="71"/>
  <c r="CR58" i="71"/>
  <c r="CQ58" i="71"/>
  <c r="CT57" i="71"/>
  <c r="CS57" i="71"/>
  <c r="CR57" i="71"/>
  <c r="CQ57" i="71"/>
  <c r="CT56" i="71"/>
  <c r="CS56" i="71"/>
  <c r="CR56" i="71"/>
  <c r="CQ56" i="71"/>
  <c r="CT55" i="71"/>
  <c r="CS55" i="71"/>
  <c r="CR55" i="71"/>
  <c r="CQ55" i="71"/>
  <c r="CT54" i="71"/>
  <c r="CS54" i="71"/>
  <c r="CR54" i="71"/>
  <c r="CQ54" i="71"/>
  <c r="CO58" i="71"/>
  <c r="CN58" i="71"/>
  <c r="CM58" i="71"/>
  <c r="CL58" i="71"/>
  <c r="CO57" i="71"/>
  <c r="CN57" i="71"/>
  <c r="CM57" i="71"/>
  <c r="CL57" i="71"/>
  <c r="CO56" i="71"/>
  <c r="CN56" i="71"/>
  <c r="CM56" i="71"/>
  <c r="CL56" i="71"/>
  <c r="CO55" i="71"/>
  <c r="CN55" i="71"/>
  <c r="CM55" i="71"/>
  <c r="CL55" i="71"/>
  <c r="CO54" i="71"/>
  <c r="CN54" i="71"/>
  <c r="CM54" i="71"/>
  <c r="CL54" i="71"/>
  <c r="CJ58" i="71"/>
  <c r="CI58" i="71"/>
  <c r="CH58" i="71"/>
  <c r="CG58" i="71"/>
  <c r="CJ57" i="71"/>
  <c r="CI57" i="71"/>
  <c r="CH57" i="71"/>
  <c r="CG57" i="71"/>
  <c r="CJ56" i="71"/>
  <c r="CI56" i="71"/>
  <c r="CH56" i="71"/>
  <c r="CG56" i="71"/>
  <c r="CJ55" i="71"/>
  <c r="CI55" i="71"/>
  <c r="CH55" i="71"/>
  <c r="CG55" i="71"/>
  <c r="CJ54" i="71"/>
  <c r="CI54" i="71"/>
  <c r="CH54" i="71"/>
  <c r="CG54" i="71"/>
  <c r="AW52" i="71"/>
  <c r="AW51" i="71"/>
  <c r="AW50" i="71"/>
  <c r="AR52" i="71"/>
  <c r="AR51" i="71"/>
  <c r="AR50" i="71"/>
  <c r="AM52" i="71"/>
  <c r="AM51" i="71"/>
  <c r="AM50" i="71"/>
  <c r="AH52" i="71"/>
  <c r="AH51" i="71"/>
  <c r="AH50" i="71"/>
  <c r="AC52" i="71"/>
  <c r="AC51" i="71"/>
  <c r="AC50" i="71"/>
  <c r="X52" i="71"/>
  <c r="X51" i="71"/>
  <c r="X50" i="71"/>
  <c r="S52" i="71"/>
  <c r="S51" i="71"/>
  <c r="S50" i="71"/>
  <c r="N52" i="71"/>
  <c r="N51" i="71"/>
  <c r="N50" i="71"/>
  <c r="I52" i="71"/>
  <c r="I51" i="71"/>
  <c r="I50" i="71"/>
  <c r="CY51" i="71"/>
  <c r="CE51" i="71"/>
  <c r="BZ51" i="71"/>
  <c r="BY51" i="71"/>
  <c r="BX51" i="71"/>
  <c r="BW51" i="71"/>
  <c r="DN50" i="71"/>
  <c r="DM50" i="71"/>
  <c r="DL50" i="71"/>
  <c r="DK50" i="71"/>
  <c r="DI50" i="71"/>
  <c r="DH50" i="71"/>
  <c r="DG50" i="71"/>
  <c r="DF50" i="71"/>
  <c r="DD50" i="71"/>
  <c r="DC50" i="71"/>
  <c r="DB50" i="71"/>
  <c r="DA50" i="71"/>
  <c r="CY50" i="71"/>
  <c r="CX50" i="71"/>
  <c r="CW50" i="71"/>
  <c r="CV50" i="71"/>
  <c r="CT50" i="71"/>
  <c r="CS50" i="71"/>
  <c r="CR50" i="71"/>
  <c r="CQ50" i="71"/>
  <c r="CO50" i="71"/>
  <c r="CN50" i="71"/>
  <c r="CM50" i="71"/>
  <c r="CL50" i="71"/>
  <c r="CJ50" i="71"/>
  <c r="CI50" i="71"/>
  <c r="CH50" i="71"/>
  <c r="CG50" i="71"/>
  <c r="EE49" i="71"/>
  <c r="DZ49" i="71"/>
  <c r="DU49" i="71"/>
  <c r="DP49" i="71"/>
  <c r="DM49" i="71"/>
  <c r="DK49" i="71"/>
  <c r="DK51" i="71" s="1"/>
  <c r="DG49" i="71"/>
  <c r="DG51" i="71" s="1"/>
  <c r="DF49" i="71"/>
  <c r="DC49" i="71"/>
  <c r="DC51" i="71" s="1"/>
  <c r="DB49" i="71"/>
  <c r="DA49" i="71"/>
  <c r="CZ49" i="71"/>
  <c r="CY49" i="71"/>
  <c r="CX49" i="71"/>
  <c r="CW49" i="71"/>
  <c r="CV49" i="71"/>
  <c r="CS49" i="71"/>
  <c r="CQ49" i="71"/>
  <c r="CQ51" i="71" s="1"/>
  <c r="CL49" i="71"/>
  <c r="CI49" i="71"/>
  <c r="CI51" i="71" s="1"/>
  <c r="CH49" i="71"/>
  <c r="CG49" i="71"/>
  <c r="CF49" i="71"/>
  <c r="EH48" i="71"/>
  <c r="EG48" i="71"/>
  <c r="EF48" i="71"/>
  <c r="EE48" i="71"/>
  <c r="EC48" i="71"/>
  <c r="EB48" i="71"/>
  <c r="EA48" i="71"/>
  <c r="DZ48" i="71"/>
  <c r="DX48" i="71"/>
  <c r="DW48" i="71"/>
  <c r="DV48" i="71"/>
  <c r="DU48" i="71"/>
  <c r="DS48" i="71"/>
  <c r="DR48" i="71"/>
  <c r="DQ48" i="71"/>
  <c r="DP48" i="71"/>
  <c r="DN48" i="71"/>
  <c r="DM48" i="71"/>
  <c r="DM51" i="71" s="1"/>
  <c r="DL48" i="71"/>
  <c r="DK48" i="71"/>
  <c r="DI48" i="71"/>
  <c r="DH48" i="71"/>
  <c r="DG48" i="71"/>
  <c r="DF48" i="71"/>
  <c r="DD48" i="71"/>
  <c r="DC48" i="71"/>
  <c r="DB48" i="71"/>
  <c r="DA48" i="71"/>
  <c r="DA51" i="71" s="1"/>
  <c r="CY48" i="71"/>
  <c r="CX48" i="71"/>
  <c r="CW48" i="71"/>
  <c r="CW51" i="71" s="1"/>
  <c r="CV48" i="71"/>
  <c r="CV51" i="71" s="1"/>
  <c r="CT48" i="71"/>
  <c r="CS48" i="71"/>
  <c r="CS51" i="71" s="1"/>
  <c r="CR48" i="71"/>
  <c r="CQ48" i="71"/>
  <c r="CO48" i="71"/>
  <c r="CN48" i="71"/>
  <c r="CM48" i="71"/>
  <c r="CL48" i="71"/>
  <c r="CJ48" i="71"/>
  <c r="CI48" i="71"/>
  <c r="CH48" i="71"/>
  <c r="CG48" i="71"/>
  <c r="CG51" i="71" s="1"/>
  <c r="CE48" i="71"/>
  <c r="CD48" i="71"/>
  <c r="CD51" i="71" s="1"/>
  <c r="CC48" i="71"/>
  <c r="CC51" i="71" s="1"/>
  <c r="CB48" i="71"/>
  <c r="CB51" i="71" s="1"/>
  <c r="AW45" i="71"/>
  <c r="AR45" i="71"/>
  <c r="AM45" i="71"/>
  <c r="AM48" i="71" s="1"/>
  <c r="AH45" i="71"/>
  <c r="AH48" i="71" s="1"/>
  <c r="AC45" i="71"/>
  <c r="S45" i="71"/>
  <c r="X45" i="71"/>
  <c r="I45" i="71"/>
  <c r="CA39" i="71"/>
  <c r="DN42" i="71"/>
  <c r="DM42" i="71"/>
  <c r="DL42" i="71"/>
  <c r="DK42" i="71"/>
  <c r="DJ42" i="71"/>
  <c r="DI42" i="71"/>
  <c r="DH42" i="71"/>
  <c r="DG42" i="71"/>
  <c r="DF42" i="71"/>
  <c r="DE42" i="71"/>
  <c r="DD42" i="71"/>
  <c r="DC42" i="71"/>
  <c r="DB42" i="71"/>
  <c r="CX42" i="71"/>
  <c r="CW42" i="71"/>
  <c r="CT42" i="71"/>
  <c r="CS42" i="71"/>
  <c r="CR42" i="71"/>
  <c r="CQ42" i="71"/>
  <c r="CO42" i="71"/>
  <c r="CN42" i="71"/>
  <c r="CM42" i="71"/>
  <c r="CL42" i="71"/>
  <c r="CK42" i="71"/>
  <c r="CJ42" i="71"/>
  <c r="CI42" i="71"/>
  <c r="CH42" i="71"/>
  <c r="CG42" i="71"/>
  <c r="EH40" i="71"/>
  <c r="EG40" i="71"/>
  <c r="EF40" i="71"/>
  <c r="EE40" i="71"/>
  <c r="DN40" i="71"/>
  <c r="DJ40" i="71"/>
  <c r="DI40" i="71"/>
  <c r="DH40" i="71"/>
  <c r="DG40" i="71"/>
  <c r="DN39" i="71"/>
  <c r="DN41" i="71" s="1"/>
  <c r="DM39" i="71"/>
  <c r="DL39" i="71"/>
  <c r="DK39" i="71"/>
  <c r="DJ39" i="71"/>
  <c r="DI39" i="71"/>
  <c r="DI41" i="71" s="1"/>
  <c r="DH39" i="71"/>
  <c r="DH41" i="71" s="1"/>
  <c r="DG39" i="71"/>
  <c r="DG41" i="71" s="1"/>
  <c r="DF39" i="71"/>
  <c r="DE39" i="71"/>
  <c r="DD39" i="71"/>
  <c r="DC39" i="71"/>
  <c r="DB39" i="71"/>
  <c r="DA39" i="71"/>
  <c r="CZ39" i="71"/>
  <c r="CY39" i="71"/>
  <c r="CX39" i="71"/>
  <c r="CW39" i="71"/>
  <c r="CV39" i="71"/>
  <c r="CU39" i="71"/>
  <c r="CT39" i="71"/>
  <c r="CS39" i="71"/>
  <c r="CR39" i="71"/>
  <c r="CQ39" i="71"/>
  <c r="CP39" i="71"/>
  <c r="CO39" i="71"/>
  <c r="CN39" i="71"/>
  <c r="CM39" i="71"/>
  <c r="CL39" i="71"/>
  <c r="CK39" i="71"/>
  <c r="CJ39" i="71"/>
  <c r="CI39" i="71"/>
  <c r="CH39" i="71"/>
  <c r="CG39" i="71"/>
  <c r="CF39" i="71"/>
  <c r="BP35" i="71"/>
  <c r="BO35" i="71"/>
  <c r="BN35" i="71"/>
  <c r="BM35" i="71"/>
  <c r="BK35" i="71"/>
  <c r="BJ35" i="71"/>
  <c r="BI35" i="71"/>
  <c r="BH35" i="71"/>
  <c r="BF35" i="71"/>
  <c r="BE35" i="71"/>
  <c r="BD35" i="71"/>
  <c r="BC35" i="71"/>
  <c r="BA35" i="71"/>
  <c r="AZ35" i="71"/>
  <c r="AY35" i="71"/>
  <c r="AX35" i="71"/>
  <c r="AV35" i="71"/>
  <c r="AU35" i="71"/>
  <c r="AT35" i="71"/>
  <c r="AS35" i="71"/>
  <c r="AQ35" i="71"/>
  <c r="AP35" i="71"/>
  <c r="AO35" i="71"/>
  <c r="AN35" i="71"/>
  <c r="AL35" i="71"/>
  <c r="AK35" i="71"/>
  <c r="AJ35" i="71"/>
  <c r="AI35" i="71"/>
  <c r="AG35" i="71"/>
  <c r="AF35" i="71"/>
  <c r="AE35" i="71"/>
  <c r="AD35" i="71"/>
  <c r="AB35" i="71"/>
  <c r="AA35" i="71"/>
  <c r="Z35" i="71"/>
  <c r="Y35" i="71"/>
  <c r="CC33" i="71"/>
  <c r="CN27" i="71"/>
  <c r="CN21" i="71"/>
  <c r="AM16" i="71"/>
  <c r="AM15" i="71"/>
  <c r="AM14" i="71"/>
  <c r="CA15" i="71"/>
  <c r="DN16" i="71"/>
  <c r="DM16" i="71"/>
  <c r="DJ16" i="71"/>
  <c r="AR62" i="71" s="1"/>
  <c r="DI16" i="71"/>
  <c r="DF16" i="71"/>
  <c r="DB16" i="71"/>
  <c r="CX16" i="71"/>
  <c r="CT16" i="71"/>
  <c r="CP16" i="71"/>
  <c r="X62" i="71" s="1"/>
  <c r="CN16" i="71"/>
  <c r="CL16" i="71"/>
  <c r="CJ16" i="71"/>
  <c r="CH16" i="71"/>
  <c r="CG16" i="71"/>
  <c r="DP15" i="71"/>
  <c r="DO15" i="71"/>
  <c r="DN15" i="71"/>
  <c r="DM15" i="71"/>
  <c r="DL15" i="71"/>
  <c r="DK15" i="71"/>
  <c r="DJ15" i="71"/>
  <c r="DI15" i="71"/>
  <c r="DH15" i="71"/>
  <c r="DG15" i="71"/>
  <c r="DF15" i="71"/>
  <c r="DE15" i="71"/>
  <c r="DD15" i="71"/>
  <c r="DC15" i="71"/>
  <c r="DB15" i="71"/>
  <c r="DA15" i="71"/>
  <c r="CZ15" i="71"/>
  <c r="CY15" i="71"/>
  <c r="CX15" i="71"/>
  <c r="CW15" i="71"/>
  <c r="CV15" i="71"/>
  <c r="CU15" i="71"/>
  <c r="CT15" i="71"/>
  <c r="CS15" i="71"/>
  <c r="CR15" i="71"/>
  <c r="CQ15" i="71"/>
  <c r="CO15" i="71"/>
  <c r="CN15" i="71"/>
  <c r="CM15" i="71"/>
  <c r="CL15" i="71"/>
  <c r="CK15" i="71"/>
  <c r="CJ15" i="71"/>
  <c r="CI15" i="71"/>
  <c r="CH15" i="71"/>
  <c r="CG15" i="71"/>
  <c r="CF15" i="71"/>
  <c r="DO11" i="71"/>
  <c r="DJ11" i="71"/>
  <c r="DE12" i="71"/>
  <c r="DE11" i="71"/>
  <c r="CZ11" i="71"/>
  <c r="CU11" i="71"/>
  <c r="CP11" i="71"/>
  <c r="CF11" i="71"/>
  <c r="CA11" i="71"/>
  <c r="DN12" i="71"/>
  <c r="DM12" i="71"/>
  <c r="DL12" i="71"/>
  <c r="DK12" i="71"/>
  <c r="DN11" i="71"/>
  <c r="DM11" i="71"/>
  <c r="DL11" i="71"/>
  <c r="DK11" i="71"/>
  <c r="DH12" i="71"/>
  <c r="DG12" i="71"/>
  <c r="DF12" i="71"/>
  <c r="DI11" i="71"/>
  <c r="DH11" i="71"/>
  <c r="DG11" i="71"/>
  <c r="DF11" i="71"/>
  <c r="DD12" i="71"/>
  <c r="DC12" i="71"/>
  <c r="DB12" i="71"/>
  <c r="DA12" i="71"/>
  <c r="DD11" i="71"/>
  <c r="DC11" i="71"/>
  <c r="DB11" i="71"/>
  <c r="DA11" i="71"/>
  <c r="CY12" i="71"/>
  <c r="CX12" i="71"/>
  <c r="CW12" i="71"/>
  <c r="CY11" i="71"/>
  <c r="CX11" i="71"/>
  <c r="CW11" i="71"/>
  <c r="CV11" i="71"/>
  <c r="CT11" i="71"/>
  <c r="CS11" i="71"/>
  <c r="CR11" i="71"/>
  <c r="CQ11" i="71"/>
  <c r="CN12" i="71"/>
  <c r="CO11" i="71"/>
  <c r="CN11" i="71"/>
  <c r="CM11" i="71"/>
  <c r="CL11" i="71"/>
  <c r="CJ12" i="71"/>
  <c r="CI12" i="71"/>
  <c r="CH12" i="71"/>
  <c r="CG12" i="71"/>
  <c r="CJ11" i="71"/>
  <c r="CH11" i="71"/>
  <c r="CG11" i="71"/>
  <c r="DN9" i="71"/>
  <c r="DM9" i="71"/>
  <c r="DL9" i="71"/>
  <c r="DK9" i="71"/>
  <c r="DJ9" i="71"/>
  <c r="DI9" i="71"/>
  <c r="DH9" i="71"/>
  <c r="DG9" i="71"/>
  <c r="DF9" i="71"/>
  <c r="DE9" i="71"/>
  <c r="DD9" i="71"/>
  <c r="DC9" i="71"/>
  <c r="DB9" i="71"/>
  <c r="DA9" i="71"/>
  <c r="CZ9" i="71"/>
  <c r="CY9" i="71"/>
  <c r="CX9" i="71"/>
  <c r="CW9" i="71"/>
  <c r="CV9" i="71"/>
  <c r="CT9" i="71"/>
  <c r="CS9" i="71"/>
  <c r="CR9" i="71"/>
  <c r="CQ9" i="71"/>
  <c r="CO9" i="71"/>
  <c r="CN9" i="71"/>
  <c r="CM9" i="71"/>
  <c r="CL9" i="71"/>
  <c r="CK9" i="71"/>
  <c r="CJ9" i="71"/>
  <c r="CI9" i="71"/>
  <c r="CH9" i="71"/>
  <c r="CG9" i="71"/>
  <c r="CF9" i="71"/>
  <c r="CA9" i="71"/>
  <c r="CP5" i="71"/>
  <c r="CU5" i="71" s="1"/>
  <c r="CZ5" i="71" s="1"/>
  <c r="DE5" i="71" s="1"/>
  <c r="DJ5" i="71" s="1"/>
  <c r="DO5" i="71" s="1"/>
  <c r="DT5" i="71" s="1"/>
  <c r="DY5" i="71" s="1"/>
  <c r="ED5" i="71" s="1"/>
  <c r="EI5" i="71" s="1"/>
  <c r="CK5" i="71"/>
  <c r="CF5" i="71"/>
  <c r="X5" i="71"/>
  <c r="AC5" i="71" s="1"/>
  <c r="AH5" i="71" s="1"/>
  <c r="AM5" i="71" s="1"/>
  <c r="AR5" i="71" s="1"/>
  <c r="AW5" i="71" s="1"/>
  <c r="BB5" i="71" s="1"/>
  <c r="BG5" i="71" s="1"/>
  <c r="BL5" i="71" s="1"/>
  <c r="BQ5" i="71" s="1"/>
  <c r="S5" i="71"/>
  <c r="N5" i="71"/>
  <c r="B2" i="71"/>
  <c r="BB117" i="73"/>
  <c r="BB116" i="73"/>
  <c r="BB118" i="73" s="1"/>
  <c r="BF114" i="73"/>
  <c r="BE114" i="73"/>
  <c r="BD114" i="73"/>
  <c r="BC114" i="73"/>
  <c r="BA114" i="73"/>
  <c r="AZ114" i="73"/>
  <c r="AY114" i="73"/>
  <c r="AX114" i="73"/>
  <c r="AR113" i="73"/>
  <c r="AM113" i="73"/>
  <c r="AH113" i="73"/>
  <c r="AC113" i="73"/>
  <c r="AW113" i="73"/>
  <c r="BX101" i="73"/>
  <c r="BL95" i="73"/>
  <c r="BG95" i="73"/>
  <c r="BB95" i="73"/>
  <c r="AW95" i="73"/>
  <c r="AW94" i="73"/>
  <c r="AR95" i="73"/>
  <c r="AR94" i="73"/>
  <c r="AM95" i="73"/>
  <c r="AH95" i="73"/>
  <c r="AC95" i="73"/>
  <c r="X95" i="73"/>
  <c r="CH66" i="73"/>
  <c r="CH67" i="73" s="1"/>
  <c r="CH68" i="73" s="1"/>
  <c r="CH69" i="73" s="1"/>
  <c r="CH70" i="73" s="1"/>
  <c r="CH71" i="73" s="1"/>
  <c r="CH72" i="73" s="1"/>
  <c r="CH73" i="73" s="1"/>
  <c r="CH74" i="73" s="1"/>
  <c r="CH75" i="73" s="1"/>
  <c r="CH76" i="73" s="1"/>
  <c r="CH77" i="73" s="1"/>
  <c r="CH78" i="73" s="1"/>
  <c r="CH79" i="73" s="1"/>
  <c r="CH80" i="73" s="1"/>
  <c r="CH81" i="73" s="1"/>
  <c r="CH82" i="73" s="1"/>
  <c r="CH83" i="73" s="1"/>
  <c r="CH84" i="73" s="1"/>
  <c r="CH85" i="73" s="1"/>
  <c r="CH86" i="73" s="1"/>
  <c r="CH87" i="73" s="1"/>
  <c r="CH88" i="73" s="1"/>
  <c r="CH89" i="73" s="1"/>
  <c r="CH90" i="73" s="1"/>
  <c r="CH91" i="73" s="1"/>
  <c r="CH92" i="73" s="1"/>
  <c r="CH93" i="73" s="1"/>
  <c r="CH65" i="73"/>
  <c r="CA94" i="73"/>
  <c r="BZ94" i="73"/>
  <c r="BY94" i="73"/>
  <c r="BX94" i="73"/>
  <c r="BQ89" i="73"/>
  <c r="BQ88" i="73"/>
  <c r="BL89" i="73"/>
  <c r="BL88" i="73"/>
  <c r="BG89" i="73"/>
  <c r="BG88" i="73"/>
  <c r="BB89" i="73"/>
  <c r="BB88" i="73"/>
  <c r="AW88" i="73"/>
  <c r="AR88" i="73"/>
  <c r="AM88" i="73"/>
  <c r="AH88" i="73"/>
  <c r="AC88" i="73"/>
  <c r="X88" i="73"/>
  <c r="BQ85" i="73"/>
  <c r="BQ84" i="73"/>
  <c r="BL85" i="73"/>
  <c r="BL84" i="73"/>
  <c r="BG85" i="73"/>
  <c r="BG84" i="73"/>
  <c r="BB85" i="73"/>
  <c r="BB84" i="73"/>
  <c r="AW85" i="73"/>
  <c r="AW84" i="73"/>
  <c r="AR85" i="73"/>
  <c r="AM85" i="73"/>
  <c r="AH85" i="73"/>
  <c r="AC85" i="73"/>
  <c r="X85" i="73"/>
  <c r="BW78" i="73"/>
  <c r="BQ79" i="73"/>
  <c r="BQ77" i="73"/>
  <c r="BL79" i="73"/>
  <c r="BL77" i="73"/>
  <c r="BG79" i="73"/>
  <c r="BG78" i="73"/>
  <c r="BG77" i="73"/>
  <c r="BB79" i="73"/>
  <c r="BB78" i="73"/>
  <c r="BB77" i="73"/>
  <c r="AW78" i="73"/>
  <c r="AM78" i="73"/>
  <c r="AC78" i="73"/>
  <c r="BQ74" i="73"/>
  <c r="BQ73" i="73"/>
  <c r="BL74" i="73"/>
  <c r="BL73" i="73"/>
  <c r="BG74" i="73"/>
  <c r="BG73" i="73"/>
  <c r="BB74" i="73"/>
  <c r="BB73" i="73"/>
  <c r="AW74" i="73"/>
  <c r="AW73" i="73"/>
  <c r="AR74" i="73"/>
  <c r="AR73" i="73"/>
  <c r="AM74" i="73"/>
  <c r="AH74" i="73"/>
  <c r="AC74" i="73"/>
  <c r="X74" i="73"/>
  <c r="BQ68" i="73"/>
  <c r="BQ67" i="73"/>
  <c r="BL68" i="73"/>
  <c r="BL67" i="73"/>
  <c r="BG68" i="73"/>
  <c r="BG67" i="73"/>
  <c r="BB68" i="73"/>
  <c r="BB67" i="73"/>
  <c r="AW67" i="73"/>
  <c r="AR67" i="73"/>
  <c r="AM67" i="73"/>
  <c r="AH67" i="73"/>
  <c r="X67" i="73"/>
  <c r="CJ64" i="73"/>
  <c r="BL62" i="73"/>
  <c r="BG62" i="73"/>
  <c r="BB62" i="73"/>
  <c r="AW63" i="73"/>
  <c r="AW62" i="73"/>
  <c r="AR63" i="73"/>
  <c r="AR62" i="73"/>
  <c r="AM63" i="73"/>
  <c r="AM62" i="73"/>
  <c r="AH63" i="73"/>
  <c r="AH62" i="73"/>
  <c r="AC63" i="73"/>
  <c r="AC62" i="73"/>
  <c r="X63" i="73"/>
  <c r="X62" i="73"/>
  <c r="CW60" i="73"/>
  <c r="CX60" i="73" s="1"/>
  <c r="CY60" i="73" s="1"/>
  <c r="CV60" i="73"/>
  <c r="X59" i="73"/>
  <c r="CY59" i="73"/>
  <c r="CX59" i="73"/>
  <c r="CW59" i="73" s="1"/>
  <c r="CV59" i="73" s="1"/>
  <c r="BQ57" i="73"/>
  <c r="BQ56" i="73"/>
  <c r="BQ55" i="73"/>
  <c r="BL57" i="73"/>
  <c r="BL56" i="73"/>
  <c r="BL55" i="73"/>
  <c r="BG57" i="73"/>
  <c r="BG56" i="73"/>
  <c r="BG55" i="73"/>
  <c r="BB57" i="73"/>
  <c r="BB56" i="73"/>
  <c r="BB55" i="73"/>
  <c r="AW56" i="73"/>
  <c r="AW55" i="73"/>
  <c r="AR56" i="73"/>
  <c r="AR55" i="73"/>
  <c r="AM56" i="73"/>
  <c r="AM55" i="73"/>
  <c r="AH56" i="73"/>
  <c r="AH55" i="73"/>
  <c r="AC56" i="73"/>
  <c r="AC55" i="73"/>
  <c r="X56" i="73"/>
  <c r="X55" i="73"/>
  <c r="CK53" i="73"/>
  <c r="CK52" i="73"/>
  <c r="CE60" i="73"/>
  <c r="CA60" i="73"/>
  <c r="BZ60" i="73"/>
  <c r="BY60" i="73"/>
  <c r="BX60" i="73"/>
  <c r="CE59" i="73"/>
  <c r="CD59" i="73"/>
  <c r="CC59" i="73"/>
  <c r="CB59" i="73"/>
  <c r="CA59" i="73"/>
  <c r="BZ59" i="73"/>
  <c r="BY59" i="73"/>
  <c r="BX59" i="73"/>
  <c r="CE58" i="73"/>
  <c r="CD58" i="73"/>
  <c r="CC58" i="73"/>
  <c r="CB58" i="73"/>
  <c r="CA58" i="73"/>
  <c r="BZ58" i="73"/>
  <c r="BY58" i="73"/>
  <c r="BX58" i="73"/>
  <c r="CE57" i="73"/>
  <c r="CD57" i="73"/>
  <c r="CC57" i="73"/>
  <c r="CB57" i="73"/>
  <c r="CA57" i="73"/>
  <c r="BZ57" i="73"/>
  <c r="BY57" i="73"/>
  <c r="BX57" i="73"/>
  <c r="CE56" i="73"/>
  <c r="CD56" i="73"/>
  <c r="CC56" i="73"/>
  <c r="CB56" i="73"/>
  <c r="CA56" i="73"/>
  <c r="BZ56" i="73"/>
  <c r="BY56" i="73"/>
  <c r="BX56" i="73"/>
  <c r="CE55" i="73"/>
  <c r="CD55" i="73"/>
  <c r="CC55" i="73"/>
  <c r="CB55" i="73"/>
  <c r="CA55" i="73"/>
  <c r="BZ55" i="73"/>
  <c r="BY55" i="73"/>
  <c r="BX55" i="73"/>
  <c r="CE54" i="73"/>
  <c r="CE61" i="73" s="1"/>
  <c r="CD54" i="73"/>
  <c r="CC54" i="73"/>
  <c r="CB54" i="73"/>
  <c r="CA54" i="73"/>
  <c r="CA61" i="73" s="1"/>
  <c r="BZ54" i="73"/>
  <c r="BZ61" i="73" s="1"/>
  <c r="BY54" i="73"/>
  <c r="BY61" i="73" s="1"/>
  <c r="BX54" i="73"/>
  <c r="BX61" i="73" s="1"/>
  <c r="BL52" i="73"/>
  <c r="BG52" i="73"/>
  <c r="BB52" i="73"/>
  <c r="AW52" i="73"/>
  <c r="AW51" i="73"/>
  <c r="AR52" i="73"/>
  <c r="AR51" i="73"/>
  <c r="AM52" i="73"/>
  <c r="AM51" i="73"/>
  <c r="AH52" i="73"/>
  <c r="AH51" i="73"/>
  <c r="AC52" i="73"/>
  <c r="AC51" i="73"/>
  <c r="X52" i="73"/>
  <c r="X51" i="73"/>
  <c r="R52" i="73"/>
  <c r="Q52" i="73"/>
  <c r="P52" i="73"/>
  <c r="O52" i="73"/>
  <c r="R51" i="73"/>
  <c r="Q51" i="73"/>
  <c r="P51" i="73"/>
  <c r="O51" i="73"/>
  <c r="CA51" i="73"/>
  <c r="BZ51" i="73"/>
  <c r="BY51" i="73"/>
  <c r="CR47" i="73"/>
  <c r="R48" i="73"/>
  <c r="Q48" i="73"/>
  <c r="P48" i="73"/>
  <c r="O48" i="73"/>
  <c r="CA48" i="73"/>
  <c r="BZ48" i="73"/>
  <c r="BY48" i="73"/>
  <c r="BX48" i="73"/>
  <c r="BY47" i="73"/>
  <c r="BX47" i="73"/>
  <c r="BQ46" i="73"/>
  <c r="BQ45" i="73"/>
  <c r="BQ44" i="73"/>
  <c r="BL46" i="73"/>
  <c r="BL45" i="73"/>
  <c r="BL44" i="73"/>
  <c r="BG46" i="73"/>
  <c r="BG45" i="73"/>
  <c r="BG44" i="73"/>
  <c r="BB46" i="73"/>
  <c r="BB45" i="73"/>
  <c r="BB44" i="73"/>
  <c r="AW45" i="73"/>
  <c r="AW44" i="73"/>
  <c r="AR45" i="73"/>
  <c r="AR44" i="73"/>
  <c r="AM45" i="73"/>
  <c r="AH44" i="73"/>
  <c r="AC45" i="73"/>
  <c r="AC44" i="73"/>
  <c r="X45" i="73"/>
  <c r="X44" i="73"/>
  <c r="BU44" i="73"/>
  <c r="Q46" i="73"/>
  <c r="Q45" i="73"/>
  <c r="O45" i="73"/>
  <c r="O44" i="73"/>
  <c r="BZ42" i="73"/>
  <c r="BQ40" i="73"/>
  <c r="BL40" i="73"/>
  <c r="BG40" i="73"/>
  <c r="BB40" i="73"/>
  <c r="AW41" i="73"/>
  <c r="AW40" i="73"/>
  <c r="AR41" i="73"/>
  <c r="AR40" i="73"/>
  <c r="AM41" i="73"/>
  <c r="AM40" i="73"/>
  <c r="AH41" i="73"/>
  <c r="AH40" i="73"/>
  <c r="AC41" i="73"/>
  <c r="AC40" i="73"/>
  <c r="X41" i="73"/>
  <c r="X40" i="73"/>
  <c r="CK40" i="73"/>
  <c r="CR48" i="73" s="1"/>
  <c r="CK39" i="73"/>
  <c r="CK46" i="73" s="1"/>
  <c r="R41" i="73"/>
  <c r="Q41" i="73"/>
  <c r="P41" i="73"/>
  <c r="O41" i="73"/>
  <c r="R40" i="73"/>
  <c r="Q40" i="73"/>
  <c r="P40" i="73"/>
  <c r="O40" i="73"/>
  <c r="R37" i="73"/>
  <c r="Q37" i="73"/>
  <c r="P37" i="73"/>
  <c r="O37" i="73"/>
  <c r="BQ35" i="73"/>
  <c r="BQ34" i="73"/>
  <c r="BL35" i="73"/>
  <c r="BL34" i="73"/>
  <c r="BG35" i="73"/>
  <c r="BG34" i="73"/>
  <c r="BB35" i="73"/>
  <c r="BB34" i="73"/>
  <c r="AW34" i="73"/>
  <c r="AR34" i="73"/>
  <c r="AM34" i="73"/>
  <c r="AC34" i="73"/>
  <c r="X34" i="73"/>
  <c r="Q34" i="73"/>
  <c r="P34" i="73"/>
  <c r="BQ23" i="73"/>
  <c r="BL23" i="73"/>
  <c r="BG23" i="73"/>
  <c r="BB23" i="73"/>
  <c r="AW23" i="73"/>
  <c r="AR23" i="73"/>
  <c r="AM23" i="73"/>
  <c r="AH23" i="73"/>
  <c r="CK20" i="73"/>
  <c r="CK19" i="73"/>
  <c r="CK26" i="73" s="1"/>
  <c r="BG18" i="73"/>
  <c r="BB18" i="73" s="1"/>
  <c r="AW18" i="73" s="1"/>
  <c r="AR18" i="73" s="1"/>
  <c r="AM18" i="73" s="1"/>
  <c r="BQ15" i="73"/>
  <c r="BL15" i="73"/>
  <c r="BG15" i="73"/>
  <c r="BB15" i="73"/>
  <c r="AW15" i="73"/>
  <c r="AR15" i="73"/>
  <c r="AM15" i="73"/>
  <c r="AH15" i="73"/>
  <c r="BY14" i="73"/>
  <c r="BZ12" i="73"/>
  <c r="BZ14" i="73" s="1"/>
  <c r="BX12" i="73"/>
  <c r="BX14" i="73" s="1"/>
  <c r="CL6" i="73"/>
  <c r="CM6" i="73" s="1"/>
  <c r="CN6" i="73" s="1"/>
  <c r="CO6" i="73" s="1"/>
  <c r="CP6" i="73" s="1"/>
  <c r="CQ6" i="73" s="1"/>
  <c r="CR6" i="73" s="1"/>
  <c r="CS6" i="73" s="1"/>
  <c r="CT6" i="73" s="1"/>
  <c r="CU6" i="73" s="1"/>
  <c r="CV6" i="73" s="1"/>
  <c r="CW6" i="73" s="1"/>
  <c r="CX6" i="73" s="1"/>
  <c r="CY6" i="73" s="1"/>
  <c r="CZ6" i="73" s="1"/>
  <c r="DA6" i="73" s="1"/>
  <c r="DB6" i="73" s="1"/>
  <c r="DC6" i="73" s="1"/>
  <c r="DD6" i="73" s="1"/>
  <c r="DE6" i="73" s="1"/>
  <c r="DF6" i="73" s="1"/>
  <c r="DG6" i="73" s="1"/>
  <c r="DH6" i="73" s="1"/>
  <c r="DI6" i="73" s="1"/>
  <c r="DJ6" i="73" s="1"/>
  <c r="DK6" i="73" s="1"/>
  <c r="DL6" i="73" s="1"/>
  <c r="DM6" i="73" s="1"/>
  <c r="DN6" i="73" s="1"/>
  <c r="DO6" i="73" s="1"/>
  <c r="CK6" i="73"/>
  <c r="CJ6" i="73"/>
  <c r="B2" i="73"/>
  <c r="BP129" i="80" l="1"/>
  <c r="BP700" i="80" s="1"/>
  <c r="BA131" i="80"/>
  <c r="BA715" i="80" s="1"/>
  <c r="BP131" i="80"/>
  <c r="BP715" i="80" s="1"/>
  <c r="BX93" i="97"/>
  <c r="CQ108" i="97" s="1"/>
  <c r="BP124" i="80"/>
  <c r="BP680" i="80" s="1"/>
  <c r="BP126" i="80"/>
  <c r="BP690" i="80" s="1"/>
  <c r="BQ125" i="80"/>
  <c r="CZ37" i="59"/>
  <c r="AU256" i="59"/>
  <c r="BP256" i="59"/>
  <c r="BJ256" i="59"/>
  <c r="BO256" i="59"/>
  <c r="BT256" i="59"/>
  <c r="BY256" i="59"/>
  <c r="CD256" i="59"/>
  <c r="AY158" i="98"/>
  <c r="AZ158" i="98" s="1"/>
  <c r="BA158" i="98" s="1"/>
  <c r="BE179" i="79"/>
  <c r="BF179" i="79" s="1"/>
  <c r="AX154" i="46"/>
  <c r="BA823" i="80"/>
  <c r="BJ84" i="79"/>
  <c r="AZ56" i="79"/>
  <c r="AX84" i="79"/>
  <c r="AZ84" i="79"/>
  <c r="AN73" i="80"/>
  <c r="AS82" i="80"/>
  <c r="BL36" i="97"/>
  <c r="BE38" i="97"/>
  <c r="BG38" i="97"/>
  <c r="BH38" i="97"/>
  <c r="BK38" i="97"/>
  <c r="BL38" i="97"/>
  <c r="BE40" i="97"/>
  <c r="BG40" i="97"/>
  <c r="BH40" i="97"/>
  <c r="BK40" i="97"/>
  <c r="BL40" i="97"/>
  <c r="BG42" i="97"/>
  <c r="BH42" i="97"/>
  <c r="BK42" i="97"/>
  <c r="BL42" i="97"/>
  <c r="BE44" i="97"/>
  <c r="BG44" i="97"/>
  <c r="BH44" i="97"/>
  <c r="BK44" i="97"/>
  <c r="BL44" i="97"/>
  <c r="BG46" i="97"/>
  <c r="BH46" i="97"/>
  <c r="BK46" i="97"/>
  <c r="BL46" i="97"/>
  <c r="BE48" i="97"/>
  <c r="BG48" i="97"/>
  <c r="BH48" i="97"/>
  <c r="BP8" i="97"/>
  <c r="BV51" i="80" s="1"/>
  <c r="BQ51" i="80" s="1"/>
  <c r="BQ52" i="80" s="1"/>
  <c r="BP52" i="80" s="1"/>
  <c r="BO52" i="80" s="1"/>
  <c r="BP12" i="97"/>
  <c r="BP48" i="97"/>
  <c r="BL35" i="97"/>
  <c r="BL37" i="97"/>
  <c r="BL39" i="97"/>
  <c r="BL41" i="97"/>
  <c r="BL45" i="97"/>
  <c r="BL49" i="97"/>
  <c r="BO179" i="79"/>
  <c r="BP179" i="79" s="1"/>
  <c r="BM71" i="51"/>
  <c r="BJ179" i="79"/>
  <c r="BK179" i="79" s="1"/>
  <c r="AZ179" i="79"/>
  <c r="BA179" i="79" s="1"/>
  <c r="AZ52" i="78"/>
  <c r="BH256" i="59"/>
  <c r="BM256" i="59"/>
  <c r="BM258" i="59" s="1"/>
  <c r="BR256" i="59"/>
  <c r="BR258" i="59" s="1"/>
  <c r="BW256" i="59"/>
  <c r="CB256" i="59"/>
  <c r="BI256" i="59"/>
  <c r="BN256" i="59"/>
  <c r="BS256" i="59"/>
  <c r="BX256" i="59"/>
  <c r="CC256" i="59"/>
  <c r="BJ158" i="98"/>
  <c r="BK158" i="98" s="1"/>
  <c r="BE158" i="98"/>
  <c r="BF158" i="98" s="1"/>
  <c r="BJ51" i="98"/>
  <c r="BJ88" i="98" s="1"/>
  <c r="BE51" i="98"/>
  <c r="BE88" i="98" s="1"/>
  <c r="AZ51" i="98"/>
  <c r="AZ88" i="98" s="1"/>
  <c r="BD158" i="100"/>
  <c r="BE158" i="100" s="1"/>
  <c r="BF158" i="100" s="1"/>
  <c r="AV158" i="100"/>
  <c r="AU58" i="99"/>
  <c r="BJ50" i="100"/>
  <c r="BJ88" i="100" s="1"/>
  <c r="AZ51" i="100"/>
  <c r="AZ91" i="100" s="1"/>
  <c r="AZ90" i="100" s="1"/>
  <c r="BE51" i="100"/>
  <c r="BE91" i="100" s="1"/>
  <c r="BE50" i="100"/>
  <c r="BE88" i="100" s="1"/>
  <c r="AZ50" i="100"/>
  <c r="AZ88" i="100" s="1"/>
  <c r="AU50" i="100"/>
  <c r="BH71" i="51"/>
  <c r="BC71" i="51"/>
  <c r="AX71" i="51"/>
  <c r="BA84" i="79"/>
  <c r="AY84" i="79"/>
  <c r="AY83" i="79" s="1"/>
  <c r="AY73" i="79" s="1"/>
  <c r="BM52" i="79"/>
  <c r="BM84" i="79" s="1"/>
  <c r="BO52" i="79"/>
  <c r="BM53" i="79"/>
  <c r="BM139" i="79"/>
  <c r="BQ140" i="79"/>
  <c r="BH52" i="79"/>
  <c r="BH84" i="79" s="1"/>
  <c r="BP52" i="79"/>
  <c r="BP84" i="79" s="1"/>
  <c r="BO53" i="79"/>
  <c r="BO84" i="79" s="1"/>
  <c r="AX125" i="79"/>
  <c r="AX53" i="77"/>
  <c r="AX87" i="77" s="1"/>
  <c r="BH53" i="77"/>
  <c r="BK147" i="99"/>
  <c r="AV147" i="99"/>
  <c r="AU146" i="99"/>
  <c r="AU150" i="99" s="1"/>
  <c r="AZ95" i="46" s="1"/>
  <c r="AU147" i="99"/>
  <c r="AZ147" i="99"/>
  <c r="AZ150" i="99" s="1"/>
  <c r="BE95" i="46" s="1"/>
  <c r="BE147" i="99"/>
  <c r="BF147" i="99" s="1"/>
  <c r="BF150" i="99" s="1"/>
  <c r="BJ146" i="99"/>
  <c r="BK146" i="99" s="1"/>
  <c r="AY150" i="99"/>
  <c r="BD95" i="46" s="1"/>
  <c r="BD150" i="99"/>
  <c r="BI95" i="46" s="1"/>
  <c r="BC95" i="46"/>
  <c r="AS48" i="100"/>
  <c r="BH150" i="99"/>
  <c r="BM95" i="46" s="1"/>
  <c r="AW261" i="100"/>
  <c r="AR56" i="100"/>
  <c r="AU49" i="98"/>
  <c r="AT79" i="98"/>
  <c r="AS49" i="98"/>
  <c r="AV49" i="98"/>
  <c r="BF65" i="80"/>
  <c r="BL138" i="80"/>
  <c r="BE53" i="97"/>
  <c r="BI53" i="97"/>
  <c r="BM53" i="97"/>
  <c r="BE54" i="97"/>
  <c r="AQ90" i="80"/>
  <c r="BK90" i="80"/>
  <c r="BK93" i="80"/>
  <c r="BK48" i="97"/>
  <c r="BL48" i="97"/>
  <c r="BO8" i="97"/>
  <c r="BO12" i="97"/>
  <c r="BP9" i="97"/>
  <c r="BP10" i="97"/>
  <c r="BE8" i="97"/>
  <c r="BE12" i="97"/>
  <c r="BE16" i="97"/>
  <c r="BE20" i="97"/>
  <c r="BE24" i="97"/>
  <c r="BE28" i="97"/>
  <c r="BL10" i="97"/>
  <c r="BL18" i="97"/>
  <c r="BL22" i="97"/>
  <c r="BL26" i="97"/>
  <c r="BL30" i="97"/>
  <c r="BM11" i="97"/>
  <c r="BM19" i="97"/>
  <c r="BM23" i="97"/>
  <c r="BM27" i="97"/>
  <c r="BM31" i="97"/>
  <c r="BM35" i="97"/>
  <c r="BM39" i="97"/>
  <c r="BM43" i="97"/>
  <c r="BM47" i="97"/>
  <c r="BN9" i="97"/>
  <c r="BN17" i="97"/>
  <c r="BN21" i="97"/>
  <c r="BN25" i="97"/>
  <c r="BN29" i="97"/>
  <c r="BN37" i="97"/>
  <c r="BN41" i="97"/>
  <c r="BN45" i="97"/>
  <c r="BN49" i="97"/>
  <c r="BO10" i="97"/>
  <c r="BO18" i="97"/>
  <c r="BO22" i="97"/>
  <c r="BO26" i="97"/>
  <c r="BO30" i="97"/>
  <c r="BO34" i="97"/>
  <c r="BO38" i="97"/>
  <c r="BO42" i="97"/>
  <c r="BO46" i="97"/>
  <c r="BP11" i="97"/>
  <c r="BP19" i="97"/>
  <c r="BP31" i="97"/>
  <c r="BP35" i="97"/>
  <c r="BI54" i="97"/>
  <c r="BM54" i="97"/>
  <c r="BE55" i="97"/>
  <c r="BI55" i="97"/>
  <c r="BM55" i="97"/>
  <c r="BE56" i="97"/>
  <c r="BI56" i="97"/>
  <c r="BM56" i="97"/>
  <c r="BE57" i="97"/>
  <c r="BI57" i="97"/>
  <c r="BM57" i="97"/>
  <c r="BF58" i="97"/>
  <c r="BJ58" i="97"/>
  <c r="BN58" i="97"/>
  <c r="BG59" i="97"/>
  <c r="BK59" i="97"/>
  <c r="BO59" i="97"/>
  <c r="BH60" i="97"/>
  <c r="BI60" i="97"/>
  <c r="BL60" i="97"/>
  <c r="BN60" i="97"/>
  <c r="BP60" i="97"/>
  <c r="BG61" i="97"/>
  <c r="BH61" i="97"/>
  <c r="BL61" i="97"/>
  <c r="BM61" i="97"/>
  <c r="BP61" i="97"/>
  <c r="BQ62" i="80" s="1"/>
  <c r="BF62" i="97"/>
  <c r="BH62" i="97"/>
  <c r="BK62" i="97"/>
  <c r="BL62" i="97"/>
  <c r="BP62" i="97"/>
  <c r="BE63" i="97"/>
  <c r="BH63" i="97"/>
  <c r="BJ63" i="97"/>
  <c r="BL63" i="97"/>
  <c r="BO63" i="97"/>
  <c r="BP63" i="97"/>
  <c r="BH64" i="97"/>
  <c r="BI64" i="97"/>
  <c r="BL64" i="97"/>
  <c r="BN64" i="97"/>
  <c r="BP64" i="97"/>
  <c r="BG65" i="97"/>
  <c r="BH65" i="97"/>
  <c r="BL65" i="97"/>
  <c r="BM65" i="97"/>
  <c r="BP65" i="97"/>
  <c r="BF66" i="97"/>
  <c r="BH66" i="97"/>
  <c r="BK66" i="97"/>
  <c r="BL66" i="97"/>
  <c r="BP66" i="97"/>
  <c r="BQ61" i="80" s="1"/>
  <c r="BP61" i="80" s="1"/>
  <c r="BO61" i="80" s="1"/>
  <c r="BN61" i="80" s="1"/>
  <c r="BM61" i="80" s="1"/>
  <c r="BE67" i="97"/>
  <c r="BH67" i="97"/>
  <c r="BJ67" i="97"/>
  <c r="BL67" i="97"/>
  <c r="BO67" i="97"/>
  <c r="BP67" i="97"/>
  <c r="BH68" i="97"/>
  <c r="BI68" i="97"/>
  <c r="BL68" i="97"/>
  <c r="BN68" i="97"/>
  <c r="BP68" i="97"/>
  <c r="BF72" i="97"/>
  <c r="BJ72" i="97"/>
  <c r="BN72" i="97"/>
  <c r="BF73" i="97"/>
  <c r="BJ73" i="97"/>
  <c r="BN73" i="97"/>
  <c r="BF74" i="97"/>
  <c r="BJ74" i="97"/>
  <c r="BN74" i="97"/>
  <c r="BO134" i="97"/>
  <c r="BJ135" i="97"/>
  <c r="BK135" i="97"/>
  <c r="BN135" i="97"/>
  <c r="BO135" i="97"/>
  <c r="BI136" i="97"/>
  <c r="BJ136" i="97"/>
  <c r="BM136" i="97"/>
  <c r="BN136" i="97"/>
  <c r="BH137" i="97"/>
  <c r="BI137" i="97"/>
  <c r="BL137" i="97"/>
  <c r="AY763" i="80"/>
  <c r="AY14" i="80" s="1"/>
  <c r="BG763" i="80"/>
  <c r="BF763" i="80" s="1"/>
  <c r="BF14" i="80" s="1"/>
  <c r="AQ86" i="80"/>
  <c r="AQ606" i="80" s="1"/>
  <c r="BK65" i="80"/>
  <c r="AP70" i="80"/>
  <c r="AU81" i="80"/>
  <c r="BJ70" i="80"/>
  <c r="AQ73" i="80"/>
  <c r="AQ69" i="80"/>
  <c r="AC98" i="80"/>
  <c r="AH98" i="80"/>
  <c r="AC99" i="80"/>
  <c r="AH99" i="80"/>
  <c r="AM99" i="80"/>
  <c r="AR99" i="80"/>
  <c r="AW99" i="80"/>
  <c r="BB99" i="80"/>
  <c r="BG99" i="80"/>
  <c r="BL99" i="80"/>
  <c r="BK69" i="80"/>
  <c r="AT136" i="80"/>
  <c r="AT644" i="80" s="1"/>
  <c r="BN136" i="80"/>
  <c r="BN644" i="80" s="1"/>
  <c r="BE52" i="80"/>
  <c r="BE82" i="80" s="1"/>
  <c r="AQ78" i="80"/>
  <c r="AQ500" i="80" s="1"/>
  <c r="AC104" i="80"/>
  <c r="AH104" i="80"/>
  <c r="AM104" i="80"/>
  <c r="AR104" i="80"/>
  <c r="AW104" i="80"/>
  <c r="BB104" i="80"/>
  <c r="BG104" i="80"/>
  <c r="BL104" i="80"/>
  <c r="AC105" i="80"/>
  <c r="AH105" i="80"/>
  <c r="AM105" i="80"/>
  <c r="AR105" i="80"/>
  <c r="AW105" i="80"/>
  <c r="BB105" i="80"/>
  <c r="BG105" i="80"/>
  <c r="BL105" i="80"/>
  <c r="AC107" i="80"/>
  <c r="AH107" i="80"/>
  <c r="AM107" i="80"/>
  <c r="AR107" i="80"/>
  <c r="AW107" i="80"/>
  <c r="BB107" i="80"/>
  <c r="BG107" i="80"/>
  <c r="BL107" i="80"/>
  <c r="AC108" i="80"/>
  <c r="AH108" i="80"/>
  <c r="AM108" i="80"/>
  <c r="AR108" i="80"/>
  <c r="AW108" i="80"/>
  <c r="BB108" i="80"/>
  <c r="BG108" i="80"/>
  <c r="BL108" i="80"/>
  <c r="AC110" i="80"/>
  <c r="AH110" i="80"/>
  <c r="AM110" i="80"/>
  <c r="AR110" i="80"/>
  <c r="AW110" i="80"/>
  <c r="BB110" i="80"/>
  <c r="BG110" i="80"/>
  <c r="BL110" i="80"/>
  <c r="BQ110" i="80"/>
  <c r="AC111" i="80"/>
  <c r="AH111" i="80"/>
  <c r="AM111" i="80"/>
  <c r="AR111" i="80"/>
  <c r="AW111" i="80"/>
  <c r="BB111" i="80"/>
  <c r="BG111" i="80"/>
  <c r="BL111" i="80"/>
  <c r="BQ111" i="80"/>
  <c r="AC113" i="80"/>
  <c r="AH113" i="80"/>
  <c r="AM113" i="80"/>
  <c r="AR113" i="80"/>
  <c r="AW113" i="80"/>
  <c r="BB113" i="80"/>
  <c r="BG113" i="80"/>
  <c r="BL113" i="80"/>
  <c r="AC114" i="80"/>
  <c r="AH114" i="80"/>
  <c r="AM114" i="80"/>
  <c r="AR114" i="80"/>
  <c r="AW114" i="80"/>
  <c r="BB114" i="80"/>
  <c r="BG114" i="80"/>
  <c r="BL114" i="80"/>
  <c r="AC116" i="80"/>
  <c r="AH116" i="80"/>
  <c r="AM116" i="80"/>
  <c r="AR116" i="80"/>
  <c r="AW116" i="80"/>
  <c r="BB116" i="80"/>
  <c r="BG116" i="80"/>
  <c r="BL116" i="80"/>
  <c r="AC117" i="80"/>
  <c r="AH117" i="80"/>
  <c r="AM117" i="80"/>
  <c r="AR117" i="80"/>
  <c r="AP136" i="80"/>
  <c r="AP644" i="80" s="1"/>
  <c r="BJ136" i="80"/>
  <c r="BJ644" i="80" s="1"/>
  <c r="AC60" i="80"/>
  <c r="AD65" i="80"/>
  <c r="AM60" i="80"/>
  <c r="AW60" i="80"/>
  <c r="BB60" i="80"/>
  <c r="BL60" i="80"/>
  <c r="AU90" i="80"/>
  <c r="AQ93" i="80"/>
  <c r="AL136" i="80"/>
  <c r="AL644" i="80" s="1"/>
  <c r="AU140" i="80"/>
  <c r="AU657" i="80" s="1"/>
  <c r="BO140" i="80"/>
  <c r="BO657" i="80" s="1"/>
  <c r="AQ140" i="80"/>
  <c r="AQ657" i="80" s="1"/>
  <c r="BK140" i="80"/>
  <c r="BK657" i="80" s="1"/>
  <c r="BF11" i="97"/>
  <c r="BG11" i="97"/>
  <c r="BH11" i="97"/>
  <c r="BI11" i="97"/>
  <c r="BJ11" i="97"/>
  <c r="BF19" i="97"/>
  <c r="BG19" i="97"/>
  <c r="BH19" i="97"/>
  <c r="BI19" i="97"/>
  <c r="BJ19" i="97"/>
  <c r="BF23" i="97"/>
  <c r="BG23" i="97"/>
  <c r="BH23" i="97"/>
  <c r="BI23" i="97"/>
  <c r="BJ23" i="97"/>
  <c r="BF27" i="97"/>
  <c r="BG27" i="97"/>
  <c r="BH27" i="97"/>
  <c r="BI27" i="97"/>
  <c r="BJ27" i="97"/>
  <c r="BF31" i="97"/>
  <c r="BG31" i="97"/>
  <c r="BH31" i="97"/>
  <c r="BI31" i="97"/>
  <c r="BJ31" i="97"/>
  <c r="BK10" i="97"/>
  <c r="BK18" i="97"/>
  <c r="BK22" i="97"/>
  <c r="BK26" i="97"/>
  <c r="BK30" i="97"/>
  <c r="BF35" i="97"/>
  <c r="BG35" i="97"/>
  <c r="BH35" i="97"/>
  <c r="BI35" i="97"/>
  <c r="BJ35" i="97"/>
  <c r="BK35" i="97"/>
  <c r="BF37" i="97"/>
  <c r="BG37" i="97"/>
  <c r="BH37" i="97"/>
  <c r="BI37" i="97"/>
  <c r="BJ37" i="97"/>
  <c r="BK37" i="97"/>
  <c r="BF39" i="97"/>
  <c r="BG39" i="97"/>
  <c r="BH39" i="97"/>
  <c r="BI39" i="97"/>
  <c r="BJ39" i="97"/>
  <c r="BK39" i="97"/>
  <c r="BF41" i="97"/>
  <c r="BG41" i="97"/>
  <c r="BH41" i="97"/>
  <c r="BI41" i="97"/>
  <c r="BJ41" i="97"/>
  <c r="BK41" i="97"/>
  <c r="BF43" i="97"/>
  <c r="BG43" i="97"/>
  <c r="BH43" i="97"/>
  <c r="BI43" i="97"/>
  <c r="BJ43" i="97"/>
  <c r="BK43" i="97"/>
  <c r="BL43" i="97"/>
  <c r="BF45" i="97"/>
  <c r="BG45" i="97"/>
  <c r="BH45" i="97"/>
  <c r="BI45" i="97"/>
  <c r="BJ45" i="97"/>
  <c r="BK45" i="97"/>
  <c r="BF47" i="97"/>
  <c r="BG47" i="97"/>
  <c r="BH47" i="97"/>
  <c r="BI47" i="97"/>
  <c r="BJ47" i="97"/>
  <c r="BK47" i="97"/>
  <c r="BL47" i="97"/>
  <c r="BF49" i="97"/>
  <c r="BG49" i="97"/>
  <c r="BH49" i="97"/>
  <c r="BI49" i="97"/>
  <c r="BJ49" i="97"/>
  <c r="BK49" i="97"/>
  <c r="BE42" i="97"/>
  <c r="BE46" i="97"/>
  <c r="BG139" i="80"/>
  <c r="BF10" i="97"/>
  <c r="BG10" i="97"/>
  <c r="BH10" i="97"/>
  <c r="BJ10" i="97"/>
  <c r="BE11" i="97"/>
  <c r="BF18" i="97"/>
  <c r="BG18" i="97"/>
  <c r="BI18" i="97"/>
  <c r="BJ18" i="97"/>
  <c r="BE19" i="97"/>
  <c r="BF22" i="97"/>
  <c r="BG22" i="97"/>
  <c r="BI22" i="97"/>
  <c r="BJ22" i="97"/>
  <c r="BE23" i="97"/>
  <c r="BF26" i="97"/>
  <c r="BI26" i="97"/>
  <c r="BJ26" i="97"/>
  <c r="BE27" i="97"/>
  <c r="BF30" i="97"/>
  <c r="BI30" i="97"/>
  <c r="BJ30" i="97"/>
  <c r="BE31" i="97"/>
  <c r="BK9" i="97"/>
  <c r="BL9" i="97"/>
  <c r="BK17" i="97"/>
  <c r="BL17" i="97"/>
  <c r="BK21" i="97"/>
  <c r="BL21" i="97"/>
  <c r="BL25" i="97"/>
  <c r="BL29" i="97"/>
  <c r="BM10" i="97"/>
  <c r="BM18" i="97"/>
  <c r="BM22" i="97"/>
  <c r="BM26" i="97"/>
  <c r="BM30" i="97"/>
  <c r="BM34" i="97"/>
  <c r="BM38" i="97"/>
  <c r="BM42" i="97"/>
  <c r="BM46" i="97"/>
  <c r="BN8" i="97"/>
  <c r="BN12" i="97"/>
  <c r="BN16" i="97"/>
  <c r="BN20" i="97"/>
  <c r="BN24" i="97"/>
  <c r="BN28" i="97"/>
  <c r="BN36" i="97"/>
  <c r="BN40" i="97"/>
  <c r="BN44" i="97"/>
  <c r="BN48" i="97"/>
  <c r="BO9" i="97"/>
  <c r="BO17" i="97"/>
  <c r="BO21" i="97"/>
  <c r="BO25" i="97"/>
  <c r="BO29" i="97"/>
  <c r="BO37" i="97"/>
  <c r="BO41" i="97"/>
  <c r="BO45" i="97"/>
  <c r="BO49" i="97"/>
  <c r="BP18" i="97"/>
  <c r="BP30" i="97"/>
  <c r="BP34" i="97"/>
  <c r="BQ99" i="80" s="1"/>
  <c r="BP99" i="80" s="1"/>
  <c r="BO99" i="80" s="1"/>
  <c r="BN99" i="80" s="1"/>
  <c r="BM99" i="80" s="1"/>
  <c r="BE35" i="97"/>
  <c r="BE37" i="97"/>
  <c r="BE39" i="97"/>
  <c r="BE41" i="97"/>
  <c r="BE43" i="97"/>
  <c r="BE45" i="97"/>
  <c r="BE47" i="97"/>
  <c r="BE49" i="97"/>
  <c r="AY140" i="80"/>
  <c r="AY657" i="80" s="1"/>
  <c r="BF9" i="97"/>
  <c r="BG9" i="97"/>
  <c r="BH9" i="97"/>
  <c r="BJ9" i="97"/>
  <c r="BF17" i="97"/>
  <c r="BG17" i="97"/>
  <c r="BI17" i="97"/>
  <c r="BJ17" i="97"/>
  <c r="BE18" i="97"/>
  <c r="BF21" i="97"/>
  <c r="BG21" i="97"/>
  <c r="BI21" i="97"/>
  <c r="BJ21" i="97"/>
  <c r="BE22" i="97"/>
  <c r="BF25" i="97"/>
  <c r="BI25" i="97"/>
  <c r="BJ25" i="97"/>
  <c r="BE26" i="97"/>
  <c r="BF29" i="97"/>
  <c r="BI29" i="97"/>
  <c r="BJ29" i="97"/>
  <c r="BE30" i="97"/>
  <c r="BK8" i="97"/>
  <c r="BL8" i="97"/>
  <c r="BK12" i="97"/>
  <c r="BL12" i="97"/>
  <c r="BK16" i="97"/>
  <c r="BK20" i="97"/>
  <c r="BM17" i="97"/>
  <c r="BM21" i="97"/>
  <c r="BM25" i="97"/>
  <c r="BM29" i="97"/>
  <c r="BN11" i="97"/>
  <c r="BN19" i="97"/>
  <c r="BN23" i="97"/>
  <c r="BN27" i="97"/>
  <c r="BN31" i="97"/>
  <c r="BO16" i="97"/>
  <c r="BO20" i="97"/>
  <c r="BP49" i="97"/>
  <c r="BF38" i="97"/>
  <c r="BI38" i="97"/>
  <c r="BJ38" i="97"/>
  <c r="BF40" i="97"/>
  <c r="BI40" i="97"/>
  <c r="BJ40" i="97"/>
  <c r="BF42" i="97"/>
  <c r="BI42" i="97"/>
  <c r="BJ42" i="97"/>
  <c r="BF44" i="97"/>
  <c r="BI44" i="97"/>
  <c r="BJ44" i="97"/>
  <c r="BF46" i="97"/>
  <c r="BI46" i="97"/>
  <c r="BJ46" i="97"/>
  <c r="BF48" i="97"/>
  <c r="BI48" i="97"/>
  <c r="BJ48" i="97"/>
  <c r="BM137" i="97"/>
  <c r="BP137" i="97"/>
  <c r="BH138" i="97"/>
  <c r="BK138" i="97"/>
  <c r="BL138" i="97"/>
  <c r="BO138" i="97"/>
  <c r="BP138" i="97"/>
  <c r="BG129" i="97"/>
  <c r="BJ129" i="97"/>
  <c r="BK129" i="97"/>
  <c r="BN129" i="97"/>
  <c r="BO129" i="97"/>
  <c r="BH132" i="97"/>
  <c r="BI132" i="97"/>
  <c r="BJ132" i="97"/>
  <c r="BK132" i="97"/>
  <c r="BL132" i="97"/>
  <c r="BM132" i="97"/>
  <c r="BN132" i="97"/>
  <c r="BO132" i="97"/>
  <c r="BP132" i="97"/>
  <c r="BH133" i="97"/>
  <c r="BI133" i="97"/>
  <c r="BJ133" i="97"/>
  <c r="BK133" i="97"/>
  <c r="BL133" i="97"/>
  <c r="BM133" i="97"/>
  <c r="BN133" i="97"/>
  <c r="BO133" i="97"/>
  <c r="BP133" i="97"/>
  <c r="BH134" i="97"/>
  <c r="BI134" i="97"/>
  <c r="BJ134" i="97"/>
  <c r="BK134" i="97"/>
  <c r="BL134" i="97"/>
  <c r="BM134" i="97"/>
  <c r="BN134" i="97"/>
  <c r="BP134" i="97"/>
  <c r="BH135" i="97"/>
  <c r="BI135" i="97"/>
  <c r="BL135" i="97"/>
  <c r="BM135" i="97"/>
  <c r="BP135" i="97"/>
  <c r="BH136" i="97"/>
  <c r="BK136" i="97"/>
  <c r="BL136" i="97"/>
  <c r="BO136" i="97"/>
  <c r="BP136" i="97"/>
  <c r="BJ137" i="97"/>
  <c r="BK137" i="97"/>
  <c r="BN137" i="97"/>
  <c r="BO137" i="97"/>
  <c r="BI138" i="97"/>
  <c r="BJ138" i="97"/>
  <c r="BM138" i="97"/>
  <c r="BN138" i="97"/>
  <c r="AW36" i="51"/>
  <c r="AT105" i="100"/>
  <c r="AS104" i="100"/>
  <c r="AP103" i="98"/>
  <c r="AP99" i="98" s="1"/>
  <c r="AP101" i="98" s="1"/>
  <c r="AQ111" i="98" s="1"/>
  <c r="AX156" i="78"/>
  <c r="AP772" i="80"/>
  <c r="AX764" i="80"/>
  <c r="AX14" i="80"/>
  <c r="BC763" i="80"/>
  <c r="AX40" i="79"/>
  <c r="AS37" i="100"/>
  <c r="AX41" i="77"/>
  <c r="AS37" i="98"/>
  <c r="AS43" i="99"/>
  <c r="AX40" i="80"/>
  <c r="AX801" i="80" s="1"/>
  <c r="AX43" i="78"/>
  <c r="V99" i="59"/>
  <c r="BI99" i="59"/>
  <c r="BN99" i="59"/>
  <c r="BS99" i="59"/>
  <c r="BX99" i="59"/>
  <c r="CC99" i="59"/>
  <c r="AY811" i="80" s="1"/>
  <c r="S251" i="59"/>
  <c r="V256" i="59"/>
  <c r="W251" i="59"/>
  <c r="AA256" i="59"/>
  <c r="AW251" i="59"/>
  <c r="AZ256" i="59"/>
  <c r="L99" i="59"/>
  <c r="BE99" i="59"/>
  <c r="BK99" i="59"/>
  <c r="BP99" i="59"/>
  <c r="BU99" i="59"/>
  <c r="BZ99" i="59"/>
  <c r="CE99" i="59"/>
  <c r="BA811" i="80" s="1"/>
  <c r="L256" i="59"/>
  <c r="AD251" i="59"/>
  <c r="AF256" i="59"/>
  <c r="BC251" i="59"/>
  <c r="BE256" i="59"/>
  <c r="BL251" i="59"/>
  <c r="BG256" i="59"/>
  <c r="AP251" i="59"/>
  <c r="E256" i="59"/>
  <c r="BH99" i="59"/>
  <c r="BM99" i="59"/>
  <c r="BR99" i="59"/>
  <c r="BW99" i="59"/>
  <c r="CB99" i="59"/>
  <c r="N251" i="59"/>
  <c r="Q256" i="59"/>
  <c r="AG251" i="59"/>
  <c r="AG256" i="59" s="1"/>
  <c r="AK256" i="59"/>
  <c r="CU250" i="59"/>
  <c r="Q99" i="59"/>
  <c r="X94" i="59"/>
  <c r="AA99" i="59"/>
  <c r="AG94" i="59"/>
  <c r="AK99" i="59"/>
  <c r="AY94" i="59"/>
  <c r="AZ99" i="59"/>
  <c r="AE94" i="59"/>
  <c r="AF99" i="59"/>
  <c r="AT94" i="59"/>
  <c r="AU99" i="59"/>
  <c r="BL94" i="59"/>
  <c r="BG99" i="59"/>
  <c r="AP94" i="59"/>
  <c r="E99" i="59"/>
  <c r="CF69" i="59"/>
  <c r="CK304" i="59"/>
  <c r="AS315" i="59"/>
  <c r="BZ319" i="59"/>
  <c r="CF49" i="59"/>
  <c r="CE49" i="59" s="1"/>
  <c r="CF186" i="59"/>
  <c r="BH319" i="59"/>
  <c r="BR319" i="59"/>
  <c r="CZ183" i="59"/>
  <c r="BP319" i="59"/>
  <c r="AB160" i="59"/>
  <c r="Y279" i="59"/>
  <c r="AL279" i="59"/>
  <c r="CZ267" i="59"/>
  <c r="Z287" i="59"/>
  <c r="AL287" i="59"/>
  <c r="AN114" i="59"/>
  <c r="S65" i="59"/>
  <c r="BC66" i="59"/>
  <c r="AW88" i="59"/>
  <c r="BK319" i="59"/>
  <c r="W267" i="59"/>
  <c r="AT167" i="59"/>
  <c r="AT268" i="59"/>
  <c r="R269" i="59"/>
  <c r="P308" i="59"/>
  <c r="CP305" i="59"/>
  <c r="CQ305" i="59" s="1"/>
  <c r="AR315" i="59"/>
  <c r="AT315" i="59"/>
  <c r="AQ20" i="59"/>
  <c r="U21" i="59"/>
  <c r="AN27" i="59"/>
  <c r="O36" i="59"/>
  <c r="T36" i="59"/>
  <c r="AG74" i="59"/>
  <c r="AM74" i="59"/>
  <c r="AD86" i="59"/>
  <c r="R87" i="59"/>
  <c r="AV88" i="59"/>
  <c r="AX88" i="59"/>
  <c r="AL113" i="59"/>
  <c r="AO114" i="59"/>
  <c r="BC114" i="59"/>
  <c r="AL139" i="59"/>
  <c r="AL161" i="59"/>
  <c r="Y182" i="59"/>
  <c r="U186" i="59"/>
  <c r="AV200" i="59"/>
  <c r="U235" i="59"/>
  <c r="BA238" i="59"/>
  <c r="AG267" i="59"/>
  <c r="BB273" i="59"/>
  <c r="AX274" i="59"/>
  <c r="BB274" i="59"/>
  <c r="AJ276" i="59"/>
  <c r="BC316" i="59"/>
  <c r="AC79" i="59"/>
  <c r="AQ79" i="59"/>
  <c r="AX80" i="59"/>
  <c r="AO146" i="59"/>
  <c r="AE152" i="59"/>
  <c r="R160" i="59"/>
  <c r="AD160" i="59"/>
  <c r="AO161" i="59"/>
  <c r="Z182" i="59"/>
  <c r="O251" i="59"/>
  <c r="AV253" i="59"/>
  <c r="T269" i="59"/>
  <c r="BD269" i="59"/>
  <c r="AT271" i="59"/>
  <c r="AR278" i="59"/>
  <c r="AQ298" i="59"/>
  <c r="Z304" i="59"/>
  <c r="BD266" i="59"/>
  <c r="BC266" i="59"/>
  <c r="BA266" i="59"/>
  <c r="BB266" i="59"/>
  <c r="BB59" i="59"/>
  <c r="BC59" i="59"/>
  <c r="X69" i="59"/>
  <c r="W69" i="59"/>
  <c r="AJ109" i="59"/>
  <c r="AH109" i="59"/>
  <c r="O112" i="59"/>
  <c r="P112" i="59"/>
  <c r="AJ126" i="59"/>
  <c r="AG126" i="59"/>
  <c r="AS128" i="59"/>
  <c r="AQ128" i="59"/>
  <c r="S170" i="59"/>
  <c r="T170" i="59"/>
  <c r="AD186" i="59"/>
  <c r="AB186" i="59"/>
  <c r="AN198" i="59"/>
  <c r="AL198" i="59"/>
  <c r="AN219" i="59"/>
  <c r="AL219" i="59"/>
  <c r="U266" i="59"/>
  <c r="R266" i="59"/>
  <c r="BB268" i="59"/>
  <c r="BD268" i="59"/>
  <c r="Y272" i="59"/>
  <c r="Z272" i="59"/>
  <c r="BD272" i="59"/>
  <c r="BC272" i="59"/>
  <c r="O279" i="59"/>
  <c r="M279" i="59"/>
  <c r="AH72" i="59"/>
  <c r="AG72" i="59"/>
  <c r="AY75" i="59"/>
  <c r="AV75" i="59"/>
  <c r="R23" i="59"/>
  <c r="AC34" i="59"/>
  <c r="BC34" i="59"/>
  <c r="BA50" i="59"/>
  <c r="AC52" i="59"/>
  <c r="AD58" i="59"/>
  <c r="AE58" i="59"/>
  <c r="T72" i="59"/>
  <c r="U72" i="59"/>
  <c r="AR83" i="59"/>
  <c r="AS83" i="59"/>
  <c r="AX83" i="59"/>
  <c r="AY83" i="59"/>
  <c r="AV83" i="59"/>
  <c r="T108" i="59"/>
  <c r="R108" i="59"/>
  <c r="AD110" i="59"/>
  <c r="AB110" i="59"/>
  <c r="Z112" i="59"/>
  <c r="X112" i="59"/>
  <c r="AG112" i="59"/>
  <c r="S114" i="59"/>
  <c r="R114" i="59"/>
  <c r="AC146" i="59"/>
  <c r="AE146" i="59"/>
  <c r="AN159" i="59"/>
  <c r="AM159" i="59"/>
  <c r="BC169" i="59"/>
  <c r="BA169" i="59"/>
  <c r="BC171" i="59"/>
  <c r="BA171" i="59"/>
  <c r="R182" i="59"/>
  <c r="AE182" i="59"/>
  <c r="AD182" i="59"/>
  <c r="AL186" i="59"/>
  <c r="AH190" i="59"/>
  <c r="AI190" i="59"/>
  <c r="AN190" i="59"/>
  <c r="AO190" i="59"/>
  <c r="AL190" i="59"/>
  <c r="AC196" i="59"/>
  <c r="AE196" i="59"/>
  <c r="AR242" i="59"/>
  <c r="AS242" i="59"/>
  <c r="AW266" i="59"/>
  <c r="AX266" i="59"/>
  <c r="Z267" i="59"/>
  <c r="X267" i="59"/>
  <c r="AR267" i="59"/>
  <c r="AT267" i="59"/>
  <c r="AQ267" i="59"/>
  <c r="AH270" i="59"/>
  <c r="AJ270" i="59"/>
  <c r="O272" i="59"/>
  <c r="M272" i="59"/>
  <c r="X272" i="59"/>
  <c r="AW272" i="59"/>
  <c r="AX272" i="59"/>
  <c r="AI278" i="59"/>
  <c r="AG278" i="59"/>
  <c r="W303" i="59"/>
  <c r="O305" i="59"/>
  <c r="CU54" i="59"/>
  <c r="CP127" i="59"/>
  <c r="CS127" i="59" s="1"/>
  <c r="CK197" i="59"/>
  <c r="CU253" i="59"/>
  <c r="CV253" i="59" s="1"/>
  <c r="CZ266" i="59"/>
  <c r="CK276" i="59"/>
  <c r="CM276" i="59" s="1"/>
  <c r="Z315" i="59"/>
  <c r="AT172" i="77"/>
  <c r="AV158" i="59"/>
  <c r="AL158" i="59"/>
  <c r="AN112" i="59"/>
  <c r="AO112" i="59"/>
  <c r="AM112" i="59"/>
  <c r="AL112" i="59"/>
  <c r="AB75" i="59"/>
  <c r="AX75" i="59"/>
  <c r="O82" i="59"/>
  <c r="BC88" i="59"/>
  <c r="CZ77" i="59"/>
  <c r="AC107" i="59"/>
  <c r="U108" i="59"/>
  <c r="AJ110" i="59"/>
  <c r="R111" i="59"/>
  <c r="AY113" i="59"/>
  <c r="M115" i="59"/>
  <c r="AB115" i="59"/>
  <c r="BD127" i="59"/>
  <c r="AX128" i="59"/>
  <c r="AH142" i="59"/>
  <c r="AB150" i="59"/>
  <c r="AG156" i="59"/>
  <c r="AW161" i="59"/>
  <c r="AQ170" i="59"/>
  <c r="AL182" i="59"/>
  <c r="R187" i="59"/>
  <c r="AM188" i="59"/>
  <c r="Z200" i="59"/>
  <c r="BC213" i="59"/>
  <c r="E216" i="59"/>
  <c r="AS219" i="59"/>
  <c r="T220" i="59"/>
  <c r="P235" i="59"/>
  <c r="AB244" i="59"/>
  <c r="AY254" i="59"/>
  <c r="CP252" i="59"/>
  <c r="AV272" i="59"/>
  <c r="AQ273" i="59"/>
  <c r="E279" i="59"/>
  <c r="P284" i="59"/>
  <c r="BA305" i="59"/>
  <c r="T306" i="59"/>
  <c r="Z308" i="59"/>
  <c r="BA316" i="59"/>
  <c r="W18" i="59"/>
  <c r="AM24" i="59"/>
  <c r="S47" i="59"/>
  <c r="AY56" i="59"/>
  <c r="AP67" i="59"/>
  <c r="AN67" i="59" s="1"/>
  <c r="AI74" i="59"/>
  <c r="AN74" i="59"/>
  <c r="BA74" i="59"/>
  <c r="U75" i="59"/>
  <c r="AE75" i="59"/>
  <c r="T85" i="59"/>
  <c r="BA96" i="59"/>
  <c r="T97" i="59"/>
  <c r="S108" i="59"/>
  <c r="R110" i="59"/>
  <c r="AG117" i="59"/>
  <c r="BJ131" i="59"/>
  <c r="BO131" i="59"/>
  <c r="BT131" i="59"/>
  <c r="AV160" i="59"/>
  <c r="AQ182" i="59"/>
  <c r="AV219" i="59"/>
  <c r="AQ237" i="59"/>
  <c r="AT238" i="59"/>
  <c r="AX278" i="59"/>
  <c r="AE285" i="59"/>
  <c r="AV285" i="59"/>
  <c r="O286" i="59"/>
  <c r="AY287" i="59"/>
  <c r="BM289" i="59"/>
  <c r="BR289" i="59"/>
  <c r="BR291" i="59" s="1"/>
  <c r="BA298" i="59"/>
  <c r="T299" i="59"/>
  <c r="AI299" i="59"/>
  <c r="AJ303" i="59"/>
  <c r="AX303" i="59"/>
  <c r="P304" i="59"/>
  <c r="M305" i="59"/>
  <c r="Y306" i="59"/>
  <c r="S22" i="59"/>
  <c r="AX26" i="59"/>
  <c r="AL27" i="59"/>
  <c r="R28" i="59"/>
  <c r="AC35" i="59"/>
  <c r="R50" i="59"/>
  <c r="AE53" i="59"/>
  <c r="W58" i="59"/>
  <c r="CP53" i="59"/>
  <c r="AW62" i="59"/>
  <c r="BC72" i="59"/>
  <c r="O74" i="59"/>
  <c r="AL74" i="59"/>
  <c r="AW75" i="59"/>
  <c r="AC78" i="59"/>
  <c r="CP95" i="59"/>
  <c r="CM95" i="59" s="1"/>
  <c r="T110" i="59"/>
  <c r="AL114" i="59"/>
  <c r="AI117" i="59"/>
  <c r="AT126" i="59"/>
  <c r="AV128" i="59"/>
  <c r="AB129" i="59"/>
  <c r="AS129" i="59"/>
  <c r="CU128" i="59"/>
  <c r="CV128" i="59" s="1"/>
  <c r="R142" i="59"/>
  <c r="AW160" i="59"/>
  <c r="P167" i="59"/>
  <c r="Y170" i="59"/>
  <c r="W182" i="59"/>
  <c r="AB182" i="59"/>
  <c r="AS182" i="59"/>
  <c r="AC187" i="59"/>
  <c r="R189" i="59"/>
  <c r="U197" i="59"/>
  <c r="O199" i="59"/>
  <c r="CU199" i="59"/>
  <c r="AK211" i="59"/>
  <c r="AJ211" i="59" s="1"/>
  <c r="Y212" i="59"/>
  <c r="AQ219" i="59"/>
  <c r="AW219" i="59"/>
  <c r="M235" i="59"/>
  <c r="BD235" i="59"/>
  <c r="AG238" i="59"/>
  <c r="AL243" i="59"/>
  <c r="CF303" i="59"/>
  <c r="AE18" i="59"/>
  <c r="AO18" i="59"/>
  <c r="R21" i="59"/>
  <c r="AB21" i="59"/>
  <c r="S24" i="59"/>
  <c r="R29" i="59"/>
  <c r="T50" i="59"/>
  <c r="T52" i="59"/>
  <c r="AB76" i="59"/>
  <c r="AV86" i="59"/>
  <c r="AB116" i="59"/>
  <c r="R117" i="59"/>
  <c r="BE131" i="59"/>
  <c r="AS127" i="59"/>
  <c r="AQ127" i="59"/>
  <c r="AY146" i="59"/>
  <c r="AX146" i="59"/>
  <c r="AY48" i="59"/>
  <c r="U50" i="59"/>
  <c r="AV51" i="59"/>
  <c r="O52" i="59"/>
  <c r="U52" i="59"/>
  <c r="AL54" i="59"/>
  <c r="Y55" i="59"/>
  <c r="AL62" i="59"/>
  <c r="AB64" i="59"/>
  <c r="AN64" i="59"/>
  <c r="R76" i="59"/>
  <c r="AC76" i="59"/>
  <c r="Y77" i="59"/>
  <c r="AB78" i="59"/>
  <c r="BC82" i="59"/>
  <c r="R83" i="59"/>
  <c r="AG84" i="59"/>
  <c r="AV84" i="59"/>
  <c r="AX86" i="59"/>
  <c r="AQ87" i="59"/>
  <c r="AG95" i="59"/>
  <c r="AM108" i="59"/>
  <c r="AG110" i="59"/>
  <c r="AL111" i="59"/>
  <c r="BB115" i="59"/>
  <c r="R116" i="59"/>
  <c r="AC116" i="59"/>
  <c r="T117" i="59"/>
  <c r="AB117" i="59"/>
  <c r="AJ117" i="59"/>
  <c r="M126" i="59"/>
  <c r="Z126" i="59"/>
  <c r="P127" i="59"/>
  <c r="AE127" i="59"/>
  <c r="AB127" i="59"/>
  <c r="AG128" i="59"/>
  <c r="AI142" i="59"/>
  <c r="AJ142" i="59"/>
  <c r="AO143" i="59"/>
  <c r="AL143" i="59"/>
  <c r="AN145" i="59"/>
  <c r="AL145" i="59"/>
  <c r="AO145" i="59"/>
  <c r="AH95" i="59"/>
  <c r="AR95" i="59"/>
  <c r="AI110" i="59"/>
  <c r="AR110" i="59"/>
  <c r="AV113" i="59"/>
  <c r="AE116" i="59"/>
  <c r="U117" i="59"/>
  <c r="AA131" i="59"/>
  <c r="P126" i="59"/>
  <c r="BA126" i="59"/>
  <c r="BD128" i="59"/>
  <c r="BA128" i="59"/>
  <c r="W129" i="59"/>
  <c r="AL18" i="59"/>
  <c r="AV18" i="59"/>
  <c r="S20" i="59"/>
  <c r="AY20" i="59"/>
  <c r="AQ22" i="59"/>
  <c r="Y26" i="59"/>
  <c r="AB29" i="59"/>
  <c r="R34" i="59"/>
  <c r="M36" i="59"/>
  <c r="AL36" i="59"/>
  <c r="AB47" i="59"/>
  <c r="BC50" i="59"/>
  <c r="R52" i="59"/>
  <c r="AL52" i="59"/>
  <c r="AO53" i="59"/>
  <c r="AO56" i="59"/>
  <c r="AC58" i="59"/>
  <c r="M62" i="59"/>
  <c r="AI64" i="59"/>
  <c r="U68" i="59"/>
  <c r="AG68" i="59"/>
  <c r="AM75" i="59"/>
  <c r="AI76" i="59"/>
  <c r="AD77" i="59"/>
  <c r="T79" i="59"/>
  <c r="AB84" i="59"/>
  <c r="AL85" i="59"/>
  <c r="T87" i="59"/>
  <c r="AI95" i="59"/>
  <c r="AJ128" i="59"/>
  <c r="AI128" i="59"/>
  <c r="P140" i="59"/>
  <c r="M140" i="59"/>
  <c r="N140" i="59"/>
  <c r="AD145" i="59"/>
  <c r="AC145" i="59"/>
  <c r="AB152" i="59"/>
  <c r="AC156" i="59"/>
  <c r="O158" i="59"/>
  <c r="AL159" i="59"/>
  <c r="AS159" i="59"/>
  <c r="U161" i="59"/>
  <c r="AN161" i="59"/>
  <c r="AS161" i="59"/>
  <c r="N167" i="59"/>
  <c r="AQ167" i="59"/>
  <c r="AY167" i="59"/>
  <c r="W170" i="59"/>
  <c r="AH171" i="59"/>
  <c r="Z172" i="59"/>
  <c r="R186" i="59"/>
  <c r="U188" i="59"/>
  <c r="AD196" i="59"/>
  <c r="AL196" i="59"/>
  <c r="AV197" i="59"/>
  <c r="BD199" i="59"/>
  <c r="U200" i="59"/>
  <c r="AB200" i="59"/>
  <c r="AY200" i="59"/>
  <c r="CP198" i="59"/>
  <c r="CO198" i="59" s="1"/>
  <c r="U213" i="59"/>
  <c r="AE213" i="59"/>
  <c r="T222" i="59"/>
  <c r="BA237" i="59"/>
  <c r="AX242" i="59"/>
  <c r="AW243" i="59"/>
  <c r="U265" i="59"/>
  <c r="AC265" i="59"/>
  <c r="AB266" i="59"/>
  <c r="AQ266" i="59"/>
  <c r="X269" i="59"/>
  <c r="BB272" i="59"/>
  <c r="M273" i="59"/>
  <c r="AT276" i="59"/>
  <c r="BD276" i="59"/>
  <c r="AW278" i="59"/>
  <c r="CP277" i="59"/>
  <c r="AL284" i="59"/>
  <c r="Y285" i="59"/>
  <c r="AV287" i="59"/>
  <c r="AB303" i="59"/>
  <c r="AT304" i="59"/>
  <c r="P306" i="59"/>
  <c r="W306" i="59"/>
  <c r="AG306" i="59"/>
  <c r="AH308" i="59"/>
  <c r="AI309" i="59"/>
  <c r="AT309" i="59"/>
  <c r="Y315" i="59"/>
  <c r="AD315" i="59"/>
  <c r="P316" i="59"/>
  <c r="AW200" i="59"/>
  <c r="BP216" i="59"/>
  <c r="BU216" i="59"/>
  <c r="AQ304" i="59"/>
  <c r="M316" i="59"/>
  <c r="E319" i="59"/>
  <c r="AI150" i="59"/>
  <c r="CZ143" i="59"/>
  <c r="CX143" i="59" s="1"/>
  <c r="CK147" i="59"/>
  <c r="CP147" i="59" s="1"/>
  <c r="CU147" i="59" s="1"/>
  <c r="CZ147" i="59" s="1"/>
  <c r="AB156" i="59"/>
  <c r="AI156" i="59"/>
  <c r="R157" i="59"/>
  <c r="M158" i="59"/>
  <c r="BC158" i="59"/>
  <c r="R159" i="59"/>
  <c r="AQ159" i="59"/>
  <c r="AE160" i="59"/>
  <c r="R161" i="59"/>
  <c r="AQ161" i="59"/>
  <c r="AY161" i="59"/>
  <c r="AV167" i="59"/>
  <c r="AG171" i="59"/>
  <c r="AT171" i="59"/>
  <c r="Y172" i="59"/>
  <c r="CP170" i="59"/>
  <c r="CM170" i="59" s="1"/>
  <c r="AT182" i="59"/>
  <c r="O184" i="59"/>
  <c r="AV184" i="59"/>
  <c r="AE185" i="59"/>
  <c r="AI186" i="59"/>
  <c r="T188" i="59"/>
  <c r="AB188" i="59"/>
  <c r="AB196" i="59"/>
  <c r="O197" i="59"/>
  <c r="BC199" i="59"/>
  <c r="R213" i="59"/>
  <c r="AB213" i="59"/>
  <c r="AB219" i="59"/>
  <c r="AO219" i="59"/>
  <c r="AT219" i="59"/>
  <c r="AX219" i="59"/>
  <c r="P220" i="59"/>
  <c r="AW242" i="59"/>
  <c r="AC252" i="59"/>
  <c r="AO254" i="59"/>
  <c r="AB265" i="59"/>
  <c r="M266" i="59"/>
  <c r="AJ286" i="59"/>
  <c r="U287" i="59"/>
  <c r="AS304" i="59"/>
  <c r="P305" i="59"/>
  <c r="AB305" i="59"/>
  <c r="M307" i="59"/>
  <c r="AG309" i="59"/>
  <c r="BD309" i="59"/>
  <c r="AB315" i="59"/>
  <c r="N316" i="59"/>
  <c r="BD316" i="59"/>
  <c r="U317" i="59"/>
  <c r="BA317" i="59"/>
  <c r="BN319" i="59"/>
  <c r="BS319" i="59"/>
  <c r="BX319" i="59"/>
  <c r="W244" i="59"/>
  <c r="AV244" i="59"/>
  <c r="S212" i="59"/>
  <c r="AL212" i="59"/>
  <c r="U212" i="59"/>
  <c r="AE212" i="59"/>
  <c r="U211" i="59"/>
  <c r="O211" i="59"/>
  <c r="Z211" i="59"/>
  <c r="AQ125" i="59"/>
  <c r="AC18" i="59"/>
  <c r="AY18" i="59"/>
  <c r="M19" i="59"/>
  <c r="U19" i="59"/>
  <c r="AI19" i="59"/>
  <c r="AD20" i="59"/>
  <c r="AW20" i="59"/>
  <c r="T21" i="59"/>
  <c r="AX22" i="59"/>
  <c r="O23" i="59"/>
  <c r="AQ24" i="59"/>
  <c r="O25" i="59"/>
  <c r="AN25" i="59"/>
  <c r="AV26" i="59"/>
  <c r="AQ27" i="59"/>
  <c r="O29" i="59"/>
  <c r="R36" i="59"/>
  <c r="BC36" i="59"/>
  <c r="AM37" i="59"/>
  <c r="AY37" i="59"/>
  <c r="Y47" i="59"/>
  <c r="S49" i="59"/>
  <c r="AQ49" i="59"/>
  <c r="AB51" i="59"/>
  <c r="AS51" i="59"/>
  <c r="AI52" i="59"/>
  <c r="U58" i="59"/>
  <c r="AY59" i="59"/>
  <c r="S62" i="59"/>
  <c r="AV62" i="59"/>
  <c r="AG64" i="59"/>
  <c r="AM64" i="59"/>
  <c r="R65" i="59"/>
  <c r="AV65" i="59"/>
  <c r="M66" i="59"/>
  <c r="AC66" i="59"/>
  <c r="AX67" i="59"/>
  <c r="AC68" i="59"/>
  <c r="AM68" i="59"/>
  <c r="S72" i="59"/>
  <c r="AY72" i="59"/>
  <c r="T74" i="59"/>
  <c r="U77" i="59"/>
  <c r="AB77" i="59"/>
  <c r="AL77" i="59"/>
  <c r="R79" i="59"/>
  <c r="AL79" i="59"/>
  <c r="AV79" i="59"/>
  <c r="AW80" i="59"/>
  <c r="AQ81" i="59"/>
  <c r="AY82" i="59"/>
  <c r="S85" i="59"/>
  <c r="AQ85" i="59"/>
  <c r="AB86" i="59"/>
  <c r="BA86" i="59"/>
  <c r="AQ94" i="59"/>
  <c r="BD95" i="59"/>
  <c r="AJ96" i="59"/>
  <c r="AH96" i="59"/>
  <c r="AW18" i="59"/>
  <c r="R19" i="59"/>
  <c r="AV82" i="59"/>
  <c r="Z96" i="59"/>
  <c r="Y96" i="59"/>
  <c r="U130" i="100"/>
  <c r="AD130" i="100"/>
  <c r="AE130" i="100" s="1"/>
  <c r="AF130" i="100" s="1"/>
  <c r="AG130" i="100" s="1"/>
  <c r="U18" i="59"/>
  <c r="AB18" i="59"/>
  <c r="AG18" i="59"/>
  <c r="S19" i="59"/>
  <c r="AO20" i="59"/>
  <c r="AV20" i="59"/>
  <c r="W21" i="59"/>
  <c r="AM22" i="59"/>
  <c r="AV22" i="59"/>
  <c r="AL25" i="59"/>
  <c r="AW25" i="59"/>
  <c r="BT31" i="59"/>
  <c r="BY31" i="59"/>
  <c r="CN31" i="59"/>
  <c r="AE34" i="59"/>
  <c r="W35" i="59"/>
  <c r="BA36" i="59"/>
  <c r="AV37" i="59"/>
  <c r="AD47" i="59"/>
  <c r="S48" i="59"/>
  <c r="R49" i="59"/>
  <c r="AW50" i="59"/>
  <c r="AG52" i="59"/>
  <c r="AN52" i="59"/>
  <c r="BC52" i="59"/>
  <c r="U53" i="59"/>
  <c r="R54" i="59"/>
  <c r="AI54" i="59"/>
  <c r="AB55" i="59"/>
  <c r="M56" i="59"/>
  <c r="AE56" i="59"/>
  <c r="BC56" i="59"/>
  <c r="R58" i="59"/>
  <c r="T59" i="59"/>
  <c r="AI59" i="59"/>
  <c r="AW59" i="59"/>
  <c r="AL64" i="59"/>
  <c r="AV67" i="59"/>
  <c r="S69" i="59"/>
  <c r="AC69" i="59"/>
  <c r="AB71" i="59"/>
  <c r="R72" i="59"/>
  <c r="AL72" i="59"/>
  <c r="AV72" i="59"/>
  <c r="R74" i="59"/>
  <c r="AB74" i="59"/>
  <c r="M76" i="59"/>
  <c r="AE76" i="59"/>
  <c r="AL76" i="59"/>
  <c r="R77" i="59"/>
  <c r="AD78" i="59"/>
  <c r="W79" i="59"/>
  <c r="AV80" i="59"/>
  <c r="R81" i="59"/>
  <c r="U82" i="59"/>
  <c r="AW82" i="59"/>
  <c r="AM83" i="59"/>
  <c r="AD84" i="59"/>
  <c r="AM84" i="59"/>
  <c r="R85" i="59"/>
  <c r="AL87" i="59"/>
  <c r="AB88" i="59"/>
  <c r="P94" i="59"/>
  <c r="N94" i="59"/>
  <c r="AC94" i="59"/>
  <c r="N107" i="59"/>
  <c r="AB107" i="59"/>
  <c r="W108" i="59"/>
  <c r="AL108" i="59"/>
  <c r="AG109" i="59"/>
  <c r="AL110" i="59"/>
  <c r="Z111" i="59"/>
  <c r="N113" i="59"/>
  <c r="AS113" i="59"/>
  <c r="AX113" i="59"/>
  <c r="P114" i="59"/>
  <c r="AL117" i="59"/>
  <c r="BS121" i="59"/>
  <c r="CR121" i="59"/>
  <c r="BI186" i="78" s="1"/>
  <c r="AX125" i="59"/>
  <c r="AE126" i="59"/>
  <c r="AL126" i="59"/>
  <c r="AY126" i="59"/>
  <c r="T127" i="59"/>
  <c r="Z127" i="59"/>
  <c r="AV129" i="59"/>
  <c r="CZ129" i="59"/>
  <c r="CX129" i="59" s="1"/>
  <c r="AQ139" i="59"/>
  <c r="BA142" i="59"/>
  <c r="AQ143" i="59"/>
  <c r="R144" i="59"/>
  <c r="AB144" i="59"/>
  <c r="AW144" i="59"/>
  <c r="AI146" i="59"/>
  <c r="AT146" i="59"/>
  <c r="AL147" i="59"/>
  <c r="AY149" i="59"/>
  <c r="Y150" i="59"/>
  <c r="AD150" i="59"/>
  <c r="AO150" i="59"/>
  <c r="AO153" i="59"/>
  <c r="M154" i="59"/>
  <c r="S154" i="59"/>
  <c r="BA154" i="59"/>
  <c r="AQ155" i="59"/>
  <c r="AW155" i="59"/>
  <c r="AE156" i="59"/>
  <c r="AW156" i="59"/>
  <c r="W157" i="59"/>
  <c r="AE157" i="59"/>
  <c r="AY158" i="59"/>
  <c r="U159" i="59"/>
  <c r="AO159" i="59"/>
  <c r="BC160" i="59"/>
  <c r="W168" i="59"/>
  <c r="M171" i="59"/>
  <c r="AJ171" i="59"/>
  <c r="W172" i="59"/>
  <c r="AQ172" i="59"/>
  <c r="AX172" i="59"/>
  <c r="CU171" i="59"/>
  <c r="CW171" i="59" s="1"/>
  <c r="T186" i="59"/>
  <c r="AY187" i="59"/>
  <c r="Y189" i="59"/>
  <c r="AE189" i="59"/>
  <c r="AE198" i="59"/>
  <c r="U199" i="59"/>
  <c r="AO199" i="59"/>
  <c r="AY199" i="59"/>
  <c r="R212" i="59"/>
  <c r="W212" i="59"/>
  <c r="AY213" i="59"/>
  <c r="AB221" i="59"/>
  <c r="AO221" i="59"/>
  <c r="AT221" i="59"/>
  <c r="AX221" i="59"/>
  <c r="P222" i="59"/>
  <c r="T235" i="59"/>
  <c r="Z235" i="59"/>
  <c r="X235" i="59"/>
  <c r="AT235" i="59"/>
  <c r="BD236" i="59"/>
  <c r="O237" i="59"/>
  <c r="M237" i="59"/>
  <c r="Z237" i="59"/>
  <c r="X237" i="59"/>
  <c r="Y237" i="59"/>
  <c r="AW238" i="59"/>
  <c r="AY238" i="59"/>
  <c r="U241" i="59"/>
  <c r="BD242" i="59"/>
  <c r="BB242" i="59"/>
  <c r="BB243" i="59"/>
  <c r="BD243" i="59"/>
  <c r="AT140" i="59"/>
  <c r="AE142" i="59"/>
  <c r="AQ142" i="59"/>
  <c r="AR143" i="59"/>
  <c r="AE144" i="59"/>
  <c r="AX144" i="59"/>
  <c r="P145" i="59"/>
  <c r="U148" i="59"/>
  <c r="AI148" i="59"/>
  <c r="AX148" i="59"/>
  <c r="R150" i="59"/>
  <c r="T153" i="59"/>
  <c r="O154" i="59"/>
  <c r="U154" i="59"/>
  <c r="AE154" i="59"/>
  <c r="BC154" i="59"/>
  <c r="AS155" i="59"/>
  <c r="AY155" i="59"/>
  <c r="AO156" i="59"/>
  <c r="Y157" i="59"/>
  <c r="U158" i="59"/>
  <c r="AY159" i="59"/>
  <c r="AQ168" i="59"/>
  <c r="AE169" i="59"/>
  <c r="N172" i="59"/>
  <c r="AH172" i="59"/>
  <c r="AS172" i="59"/>
  <c r="AE183" i="59"/>
  <c r="AW236" i="59"/>
  <c r="AY236" i="59"/>
  <c r="AH240" i="59"/>
  <c r="AG240" i="59"/>
  <c r="BB240" i="59"/>
  <c r="BA240" i="59"/>
  <c r="BD240" i="59"/>
  <c r="M114" i="59"/>
  <c r="BU121" i="59"/>
  <c r="CT121" i="59"/>
  <c r="BK186" i="78" s="1"/>
  <c r="W127" i="59"/>
  <c r="AB189" i="59"/>
  <c r="AB198" i="59"/>
  <c r="AL199" i="59"/>
  <c r="AQ221" i="59"/>
  <c r="AQ224" i="59" s="1"/>
  <c r="AV221" i="59"/>
  <c r="BW224" i="59"/>
  <c r="AH236" i="59"/>
  <c r="AJ236" i="59"/>
  <c r="BA236" i="59"/>
  <c r="S237" i="59"/>
  <c r="T237" i="59"/>
  <c r="U237" i="59"/>
  <c r="BC239" i="59"/>
  <c r="BA239" i="59"/>
  <c r="AN242" i="59"/>
  <c r="AM242" i="59"/>
  <c r="P97" i="59"/>
  <c r="AM97" i="59"/>
  <c r="CU96" i="59"/>
  <c r="W111" i="59"/>
  <c r="AH111" i="59"/>
  <c r="R112" i="59"/>
  <c r="BA113" i="59"/>
  <c r="O114" i="59"/>
  <c r="AE115" i="59"/>
  <c r="CK112" i="59"/>
  <c r="AI125" i="59"/>
  <c r="AB126" i="59"/>
  <c r="BD126" i="59"/>
  <c r="X127" i="59"/>
  <c r="AT128" i="59"/>
  <c r="AY128" i="59"/>
  <c r="Z129" i="59"/>
  <c r="P139" i="59"/>
  <c r="O140" i="59"/>
  <c r="AI143" i="59"/>
  <c r="AW143" i="59"/>
  <c r="AV144" i="59"/>
  <c r="T145" i="59"/>
  <c r="AY147" i="59"/>
  <c r="AC150" i="59"/>
  <c r="AY150" i="59"/>
  <c r="AN153" i="59"/>
  <c r="R154" i="59"/>
  <c r="AV155" i="59"/>
  <c r="AC157" i="59"/>
  <c r="AX158" i="59"/>
  <c r="T159" i="59"/>
  <c r="AV172" i="59"/>
  <c r="BZ174" i="59"/>
  <c r="AW187" i="59"/>
  <c r="AC189" i="59"/>
  <c r="AD198" i="59"/>
  <c r="AD202" i="59" s="1"/>
  <c r="AN199" i="59"/>
  <c r="AV199" i="59"/>
  <c r="AV213" i="59"/>
  <c r="AL221" i="59"/>
  <c r="AS221" i="59"/>
  <c r="AW221" i="59"/>
  <c r="BB236" i="59"/>
  <c r="AR239" i="59"/>
  <c r="AQ239" i="59"/>
  <c r="AS240" i="59"/>
  <c r="AT240" i="59"/>
  <c r="T243" i="59"/>
  <c r="R243" i="59"/>
  <c r="U251" i="59"/>
  <c r="AL252" i="59"/>
  <c r="AE253" i="59"/>
  <c r="AL254" i="59"/>
  <c r="AW254" i="59"/>
  <c r="T265" i="59"/>
  <c r="M268" i="59"/>
  <c r="Z268" i="59"/>
  <c r="BA268" i="59"/>
  <c r="W269" i="59"/>
  <c r="AT269" i="59"/>
  <c r="BB269" i="59"/>
  <c r="M270" i="59"/>
  <c r="Z270" i="59"/>
  <c r="AI270" i="59"/>
  <c r="AQ270" i="59"/>
  <c r="W271" i="59"/>
  <c r="BD271" i="59"/>
  <c r="AJ272" i="59"/>
  <c r="AR272" i="59"/>
  <c r="M274" i="59"/>
  <c r="Z274" i="59"/>
  <c r="AJ274" i="59"/>
  <c r="AV274" i="59"/>
  <c r="W275" i="59"/>
  <c r="AJ275" i="59"/>
  <c r="AS275" i="59"/>
  <c r="BD275" i="59"/>
  <c r="X277" i="59"/>
  <c r="AV278" i="59"/>
  <c r="T279" i="59"/>
  <c r="R284" i="59"/>
  <c r="AO284" i="59"/>
  <c r="AY284" i="59"/>
  <c r="BD284" i="59"/>
  <c r="R285" i="59"/>
  <c r="AB285" i="59"/>
  <c r="U286" i="59"/>
  <c r="AG286" i="59"/>
  <c r="W287" i="59"/>
  <c r="CD289" i="59"/>
  <c r="AW298" i="59"/>
  <c r="AM299" i="59"/>
  <c r="W304" i="59"/>
  <c r="AH304" i="59"/>
  <c r="AG305" i="59"/>
  <c r="M306" i="59"/>
  <c r="AN306" i="59"/>
  <c r="AS306" i="59"/>
  <c r="P307" i="59"/>
  <c r="X307" i="59"/>
  <c r="W308" i="59"/>
  <c r="AG308" i="59"/>
  <c r="M309" i="59"/>
  <c r="AD309" i="59"/>
  <c r="R314" i="59"/>
  <c r="AB314" i="59"/>
  <c r="AI314" i="59"/>
  <c r="AM314" i="59"/>
  <c r="S316" i="59"/>
  <c r="U314" i="59"/>
  <c r="AE314" i="59"/>
  <c r="AJ314" i="59"/>
  <c r="AN314" i="59"/>
  <c r="BY319" i="59"/>
  <c r="AB253" i="59"/>
  <c r="BA271" i="59"/>
  <c r="AG272" i="59"/>
  <c r="AM284" i="59"/>
  <c r="BA284" i="59"/>
  <c r="AQ306" i="59"/>
  <c r="N307" i="59"/>
  <c r="AT237" i="59"/>
  <c r="BD237" i="59"/>
  <c r="AJ238" i="59"/>
  <c r="P241" i="59"/>
  <c r="Y241" i="59"/>
  <c r="AT242" i="59"/>
  <c r="AE243" i="59"/>
  <c r="AO243" i="59"/>
  <c r="N244" i="59"/>
  <c r="Y244" i="59"/>
  <c r="U253" i="59"/>
  <c r="AC253" i="59"/>
  <c r="AY253" i="59"/>
  <c r="W265" i="59"/>
  <c r="BA265" i="59"/>
  <c r="N266" i="59"/>
  <c r="W266" i="59"/>
  <c r="AG266" i="59"/>
  <c r="AR266" i="59"/>
  <c r="X268" i="59"/>
  <c r="BA269" i="59"/>
  <c r="X270" i="59"/>
  <c r="AG270" i="59"/>
  <c r="BB271" i="59"/>
  <c r="AI272" i="59"/>
  <c r="AH275" i="59"/>
  <c r="W277" i="59"/>
  <c r="R279" i="59"/>
  <c r="BJ281" i="59"/>
  <c r="R286" i="59"/>
  <c r="AL286" i="59"/>
  <c r="AS287" i="59"/>
  <c r="AL306" i="59"/>
  <c r="AR306" i="59"/>
  <c r="W307" i="59"/>
  <c r="AF319" i="59"/>
  <c r="AG314" i="59"/>
  <c r="AL314" i="59"/>
  <c r="BB317" i="59"/>
  <c r="AM34" i="59"/>
  <c r="AL34" i="59"/>
  <c r="AO34" i="59"/>
  <c r="AN34" i="59"/>
  <c r="AW24" i="59"/>
  <c r="AV24" i="59"/>
  <c r="AX24" i="59"/>
  <c r="CP82" i="59"/>
  <c r="CU82" i="59" s="1"/>
  <c r="CZ82" i="59" s="1"/>
  <c r="CL82" i="59"/>
  <c r="AO81" i="59"/>
  <c r="AL81" i="59"/>
  <c r="AN86" i="59"/>
  <c r="AO86" i="59"/>
  <c r="AB22" i="59"/>
  <c r="AL66" i="59"/>
  <c r="AB80" i="59"/>
  <c r="AE96" i="59"/>
  <c r="AC96" i="59"/>
  <c r="BC97" i="59"/>
  <c r="BD97" i="59"/>
  <c r="R18" i="59"/>
  <c r="AV19" i="59"/>
  <c r="AB20" i="59"/>
  <c r="AL20" i="59"/>
  <c r="AE21" i="59"/>
  <c r="AL21" i="59"/>
  <c r="U22" i="59"/>
  <c r="AC22" i="59"/>
  <c r="AS22" i="59"/>
  <c r="M24" i="59"/>
  <c r="U24" i="59"/>
  <c r="AC24" i="59"/>
  <c r="AS24" i="59"/>
  <c r="AB25" i="59"/>
  <c r="AO25" i="59"/>
  <c r="AL26" i="59"/>
  <c r="AY26" i="59"/>
  <c r="AI27" i="59"/>
  <c r="U28" i="59"/>
  <c r="AB28" i="59"/>
  <c r="M29" i="59"/>
  <c r="T29" i="59"/>
  <c r="AE29" i="59"/>
  <c r="AL29" i="59"/>
  <c r="AV34" i="59"/>
  <c r="BA34" i="59"/>
  <c r="Y35" i="59"/>
  <c r="U36" i="59"/>
  <c r="AO37" i="59"/>
  <c r="AX37" i="59"/>
  <c r="BG39" i="59"/>
  <c r="BK39" i="59"/>
  <c r="BO39" i="59"/>
  <c r="U47" i="59"/>
  <c r="AE47" i="59"/>
  <c r="AW48" i="59"/>
  <c r="AY50" i="59"/>
  <c r="U51" i="59"/>
  <c r="AE51" i="59"/>
  <c r="AL51" i="59"/>
  <c r="AQ51" i="59"/>
  <c r="AW51" i="59"/>
  <c r="AE52" i="59"/>
  <c r="AO52" i="59"/>
  <c r="BA52" i="59"/>
  <c r="AB53" i="59"/>
  <c r="AM53" i="59"/>
  <c r="AW53" i="59"/>
  <c r="U54" i="59"/>
  <c r="AB54" i="59"/>
  <c r="AG54" i="59"/>
  <c r="AM54" i="59"/>
  <c r="R55" i="59"/>
  <c r="W55" i="59"/>
  <c r="AC55" i="59"/>
  <c r="O56" i="59"/>
  <c r="AL56" i="59"/>
  <c r="AW56" i="59"/>
  <c r="S58" i="59"/>
  <c r="Y58" i="59"/>
  <c r="O59" i="59"/>
  <c r="U59" i="59"/>
  <c r="AG59" i="59"/>
  <c r="O62" i="59"/>
  <c r="T62" i="59"/>
  <c r="AE62" i="59"/>
  <c r="R64" i="59"/>
  <c r="AC64" i="59"/>
  <c r="AB65" i="59"/>
  <c r="AE66" i="59"/>
  <c r="AM66" i="59"/>
  <c r="BA66" i="59"/>
  <c r="AL67" i="59"/>
  <c r="AS67" i="59"/>
  <c r="R68" i="59"/>
  <c r="AB68" i="59"/>
  <c r="AI68" i="59"/>
  <c r="AN68" i="59"/>
  <c r="AY68" i="59"/>
  <c r="O72" i="59"/>
  <c r="AW72" i="59"/>
  <c r="U74" i="59"/>
  <c r="AC74" i="59"/>
  <c r="AO75" i="59"/>
  <c r="AM76" i="59"/>
  <c r="S77" i="59"/>
  <c r="AE77" i="59"/>
  <c r="AO77" i="59"/>
  <c r="AL78" i="59"/>
  <c r="S79" i="59"/>
  <c r="Y79" i="59"/>
  <c r="AE79" i="59"/>
  <c r="AW79" i="59"/>
  <c r="AC80" i="59"/>
  <c r="AI80" i="59"/>
  <c r="S81" i="59"/>
  <c r="Y81" i="59"/>
  <c r="AB82" i="59"/>
  <c r="U83" i="59"/>
  <c r="AN83" i="59"/>
  <c r="AC84" i="59"/>
  <c r="AI84" i="59"/>
  <c r="AO84" i="59"/>
  <c r="AY84" i="59"/>
  <c r="AB85" i="59"/>
  <c r="AE86" i="59"/>
  <c r="AW86" i="59"/>
  <c r="BC86" i="59"/>
  <c r="U87" i="59"/>
  <c r="AE87" i="59"/>
  <c r="AX87" i="59"/>
  <c r="AV87" i="59"/>
  <c r="O88" i="59"/>
  <c r="Z94" i="59"/>
  <c r="Z99" i="59" s="1"/>
  <c r="W94" i="59"/>
  <c r="Y94" i="59"/>
  <c r="AJ94" i="59"/>
  <c r="AH94" i="59"/>
  <c r="AH99" i="59" s="1"/>
  <c r="O95" i="59"/>
  <c r="P95" i="59"/>
  <c r="AT96" i="59"/>
  <c r="AQ96" i="59"/>
  <c r="AJ97" i="59"/>
  <c r="AG97" i="59"/>
  <c r="AI97" i="59"/>
  <c r="AT97" i="59"/>
  <c r="AR97" i="59"/>
  <c r="AB24" i="59"/>
  <c r="AW19" i="59"/>
  <c r="W20" i="59"/>
  <c r="AM21" i="59"/>
  <c r="AD22" i="59"/>
  <c r="AD24" i="59"/>
  <c r="AC25" i="59"/>
  <c r="BA25" i="59"/>
  <c r="AM26" i="59"/>
  <c r="AC28" i="59"/>
  <c r="AM29" i="59"/>
  <c r="AW34" i="59"/>
  <c r="CK34" i="59"/>
  <c r="M48" i="59"/>
  <c r="M50" i="59"/>
  <c r="AM51" i="59"/>
  <c r="AX51" i="59"/>
  <c r="AX53" i="59"/>
  <c r="AC54" i="59"/>
  <c r="AN54" i="59"/>
  <c r="S55" i="59"/>
  <c r="AD55" i="59"/>
  <c r="AV55" i="59"/>
  <c r="AQ58" i="59"/>
  <c r="G90" i="59"/>
  <c r="G12" i="59" s="1"/>
  <c r="BA62" i="59"/>
  <c r="W65" i="59"/>
  <c r="AC65" i="59"/>
  <c r="R66" i="59"/>
  <c r="AN66" i="59"/>
  <c r="AV66" i="59"/>
  <c r="AM67" i="59"/>
  <c r="AN76" i="59"/>
  <c r="AG78" i="59"/>
  <c r="AM78" i="59"/>
  <c r="AV78" i="59"/>
  <c r="AD80" i="59"/>
  <c r="BA80" i="59"/>
  <c r="T81" i="59"/>
  <c r="AV81" i="59"/>
  <c r="W85" i="59"/>
  <c r="AC85" i="59"/>
  <c r="AV85" i="59"/>
  <c r="AN88" i="59"/>
  <c r="AM88" i="59"/>
  <c r="CZ76" i="59"/>
  <c r="CK81" i="59"/>
  <c r="CN81" i="59" s="1"/>
  <c r="CK86" i="59"/>
  <c r="CH86" i="59" s="1"/>
  <c r="BD94" i="59"/>
  <c r="BD99" i="59" s="1"/>
  <c r="BP806" i="80" s="1"/>
  <c r="BA94" i="59"/>
  <c r="U95" i="59"/>
  <c r="T95" i="59"/>
  <c r="P96" i="59"/>
  <c r="N96" i="59"/>
  <c r="BN39" i="59"/>
  <c r="AV53" i="59"/>
  <c r="M18" i="59"/>
  <c r="AY19" i="59"/>
  <c r="Y20" i="59"/>
  <c r="AG21" i="59"/>
  <c r="AO21" i="59"/>
  <c r="BC21" i="59"/>
  <c r="R22" i="59"/>
  <c r="AO23" i="59"/>
  <c r="R24" i="59"/>
  <c r="AE25" i="59"/>
  <c r="BC25" i="59"/>
  <c r="AO26" i="59"/>
  <c r="W28" i="59"/>
  <c r="AE28" i="59"/>
  <c r="AS28" i="59"/>
  <c r="AG29" i="59"/>
  <c r="AO29" i="59"/>
  <c r="BC29" i="59"/>
  <c r="AY34" i="59"/>
  <c r="R47" i="59"/>
  <c r="O48" i="59"/>
  <c r="O50" i="59"/>
  <c r="AO50" i="59"/>
  <c r="AV50" i="59"/>
  <c r="AO51" i="59"/>
  <c r="AB52" i="59"/>
  <c r="AE54" i="59"/>
  <c r="AY54" i="59"/>
  <c r="U55" i="59"/>
  <c r="AO55" i="59"/>
  <c r="AY55" i="59"/>
  <c r="AS58" i="59"/>
  <c r="R59" i="59"/>
  <c r="CU55" i="59"/>
  <c r="CQ55" i="59" s="1"/>
  <c r="R62" i="59"/>
  <c r="BC62" i="59"/>
  <c r="Y65" i="59"/>
  <c r="AD65" i="59"/>
  <c r="S66" i="59"/>
  <c r="AB66" i="59"/>
  <c r="AW66" i="59"/>
  <c r="AO67" i="59"/>
  <c r="AL68" i="59"/>
  <c r="CK67" i="59"/>
  <c r="CM67" i="59" s="1"/>
  <c r="AL75" i="59"/>
  <c r="AS75" i="59"/>
  <c r="BA76" i="59"/>
  <c r="AI78" i="59"/>
  <c r="AO78" i="59"/>
  <c r="AY78" i="59"/>
  <c r="AB79" i="59"/>
  <c r="AO80" i="59"/>
  <c r="BC80" i="59"/>
  <c r="AE81" i="59"/>
  <c r="AW81" i="59"/>
  <c r="AG82" i="59"/>
  <c r="AL83" i="59"/>
  <c r="AL84" i="59"/>
  <c r="Y85" i="59"/>
  <c r="AE85" i="59"/>
  <c r="AW85" i="59"/>
  <c r="AI86" i="59"/>
  <c r="Y87" i="59"/>
  <c r="T88" i="59"/>
  <c r="U88" i="59"/>
  <c r="AG88" i="59"/>
  <c r="AO95" i="59"/>
  <c r="AM95" i="59"/>
  <c r="AB96" i="59"/>
  <c r="BA97" i="59"/>
  <c r="AM129" i="59"/>
  <c r="AN129" i="59"/>
  <c r="U140" i="59"/>
  <c r="R140" i="59"/>
  <c r="O141" i="59"/>
  <c r="M141" i="59"/>
  <c r="Z141" i="59"/>
  <c r="W141" i="59"/>
  <c r="X141" i="59"/>
  <c r="AS141" i="59"/>
  <c r="AQ141" i="59"/>
  <c r="AT141" i="59"/>
  <c r="BB143" i="59"/>
  <c r="BA143" i="59"/>
  <c r="BC143" i="59"/>
  <c r="Z145" i="59"/>
  <c r="W145" i="59"/>
  <c r="X145" i="59"/>
  <c r="AD148" i="59"/>
  <c r="AC148" i="59"/>
  <c r="AE148" i="59"/>
  <c r="AD149" i="59"/>
  <c r="AB149" i="59"/>
  <c r="AC149" i="59"/>
  <c r="O108" i="59"/>
  <c r="W109" i="59"/>
  <c r="AB109" i="59"/>
  <c r="AM110" i="59"/>
  <c r="S112" i="59"/>
  <c r="AV112" i="59"/>
  <c r="AT113" i="59"/>
  <c r="BB113" i="59"/>
  <c r="AV114" i="59"/>
  <c r="BD114" i="59"/>
  <c r="N115" i="59"/>
  <c r="AQ115" i="59"/>
  <c r="BM121" i="59"/>
  <c r="E121" i="59"/>
  <c r="R125" i="59"/>
  <c r="AE125" i="59"/>
  <c r="AJ125" i="59"/>
  <c r="AY125" i="59"/>
  <c r="L131" i="59"/>
  <c r="O126" i="59"/>
  <c r="W126" i="59"/>
  <c r="AD126" i="59"/>
  <c r="BC126" i="59"/>
  <c r="M127" i="59"/>
  <c r="U127" i="59"/>
  <c r="AT127" i="59"/>
  <c r="BA127" i="59"/>
  <c r="M128" i="59"/>
  <c r="Z128" i="59"/>
  <c r="AI129" i="59"/>
  <c r="AG129" i="59"/>
  <c r="X139" i="59"/>
  <c r="Y139" i="59"/>
  <c r="BD139" i="59"/>
  <c r="BB140" i="59"/>
  <c r="BC140" i="59"/>
  <c r="AE143" i="59"/>
  <c r="AC143" i="59"/>
  <c r="Y109" i="59"/>
  <c r="AC109" i="59"/>
  <c r="T112" i="59"/>
  <c r="W114" i="59"/>
  <c r="AS115" i="59"/>
  <c r="Y116" i="59"/>
  <c r="AG116" i="59"/>
  <c r="AQ117" i="59"/>
  <c r="AL129" i="59"/>
  <c r="S139" i="59"/>
  <c r="U139" i="59"/>
  <c r="AW140" i="59"/>
  <c r="AY140" i="59"/>
  <c r="S141" i="59"/>
  <c r="R141" i="59"/>
  <c r="T141" i="59"/>
  <c r="BC141" i="59"/>
  <c r="BA141" i="59"/>
  <c r="BD141" i="59"/>
  <c r="AW142" i="59"/>
  <c r="AV142" i="59"/>
  <c r="AX142" i="59"/>
  <c r="T149" i="59"/>
  <c r="R149" i="59"/>
  <c r="U149" i="59"/>
  <c r="AN149" i="59"/>
  <c r="AL149" i="59"/>
  <c r="AO149" i="59"/>
  <c r="AB94" i="59"/>
  <c r="AB99" i="59" s="1"/>
  <c r="AQ95" i="59"/>
  <c r="BA95" i="59"/>
  <c r="X96" i="59"/>
  <c r="M97" i="59"/>
  <c r="AL97" i="59"/>
  <c r="CZ97" i="59"/>
  <c r="CW97" i="59" s="1"/>
  <c r="W107" i="59"/>
  <c r="AG108" i="59"/>
  <c r="Z109" i="59"/>
  <c r="AD109" i="59"/>
  <c r="AY109" i="59"/>
  <c r="M110" i="59"/>
  <c r="AQ110" i="59"/>
  <c r="BA110" i="59"/>
  <c r="Y111" i="59"/>
  <c r="AG111" i="59"/>
  <c r="AE113" i="59"/>
  <c r="X114" i="59"/>
  <c r="BA114" i="59"/>
  <c r="AD115" i="59"/>
  <c r="AL115" i="59"/>
  <c r="AT115" i="59"/>
  <c r="BA115" i="59"/>
  <c r="Z116" i="59"/>
  <c r="AH116" i="59"/>
  <c r="AR117" i="59"/>
  <c r="M125" i="59"/>
  <c r="Z125" i="59"/>
  <c r="AV125" i="59"/>
  <c r="BA125" i="59"/>
  <c r="AV127" i="59"/>
  <c r="R128" i="59"/>
  <c r="AE128" i="59"/>
  <c r="AO129" i="59"/>
  <c r="AT129" i="59"/>
  <c r="AR129" i="59"/>
  <c r="W139" i="59"/>
  <c r="AI139" i="59"/>
  <c r="AG139" i="59"/>
  <c r="AO140" i="59"/>
  <c r="AL140" i="59"/>
  <c r="BA140" i="59"/>
  <c r="P141" i="59"/>
  <c r="Y141" i="59"/>
  <c r="BD146" i="59"/>
  <c r="BA146" i="59"/>
  <c r="BB146" i="59"/>
  <c r="T147" i="59"/>
  <c r="S147" i="59"/>
  <c r="U147" i="59"/>
  <c r="AB148" i="59"/>
  <c r="AN148" i="59"/>
  <c r="AO148" i="59"/>
  <c r="L163" i="59"/>
  <c r="AV143" i="59"/>
  <c r="O145" i="59"/>
  <c r="S145" i="59"/>
  <c r="AD146" i="59"/>
  <c r="AH146" i="59"/>
  <c r="AM146" i="59"/>
  <c r="AS146" i="59"/>
  <c r="AW146" i="59"/>
  <c r="S148" i="59"/>
  <c r="AW148" i="59"/>
  <c r="AW149" i="59"/>
  <c r="AM150" i="59"/>
  <c r="AV150" i="59"/>
  <c r="BG163" i="59"/>
  <c r="BK163" i="59"/>
  <c r="BU163" i="59"/>
  <c r="AD152" i="59"/>
  <c r="S153" i="59"/>
  <c r="Y153" i="59"/>
  <c r="AE153" i="59"/>
  <c r="AL153" i="59"/>
  <c r="AD154" i="59"/>
  <c r="U155" i="59"/>
  <c r="AM155" i="59"/>
  <c r="AM156" i="59"/>
  <c r="AV156" i="59"/>
  <c r="BC156" i="59"/>
  <c r="U157" i="59"/>
  <c r="AV157" i="59"/>
  <c r="S158" i="59"/>
  <c r="BA158" i="59"/>
  <c r="AW159" i="59"/>
  <c r="BA160" i="59"/>
  <c r="T161" i="59"/>
  <c r="Y161" i="59"/>
  <c r="AE161" i="59"/>
  <c r="AV161" i="59"/>
  <c r="M167" i="59"/>
  <c r="AH167" i="59"/>
  <c r="AN167" i="59"/>
  <c r="BA167" i="59"/>
  <c r="U168" i="59"/>
  <c r="M169" i="59"/>
  <c r="T169" i="59"/>
  <c r="AB170" i="59"/>
  <c r="AO170" i="59"/>
  <c r="BD171" i="59"/>
  <c r="AC172" i="59"/>
  <c r="AN172" i="59"/>
  <c r="BJ174" i="59"/>
  <c r="BT174" i="59"/>
  <c r="AW182" i="59"/>
  <c r="AB183" i="59"/>
  <c r="AV183" i="59"/>
  <c r="R184" i="59"/>
  <c r="AN184" i="59"/>
  <c r="AB185" i="59"/>
  <c r="AV185" i="59"/>
  <c r="AN186" i="59"/>
  <c r="AM186" i="59"/>
  <c r="AD187" i="59"/>
  <c r="AE187" i="59"/>
  <c r="AH188" i="59"/>
  <c r="AI188" i="59"/>
  <c r="AW189" i="59"/>
  <c r="S190" i="59"/>
  <c r="AW196" i="59"/>
  <c r="AV196" i="59"/>
  <c r="AY196" i="59"/>
  <c r="AR198" i="59"/>
  <c r="AS198" i="59"/>
  <c r="BK202" i="59"/>
  <c r="AH212" i="59"/>
  <c r="AG212" i="59"/>
  <c r="AJ212" i="59"/>
  <c r="AJ167" i="59"/>
  <c r="O169" i="59"/>
  <c r="AG169" i="59"/>
  <c r="N170" i="59"/>
  <c r="AD170" i="59"/>
  <c r="AL171" i="59"/>
  <c r="T172" i="59"/>
  <c r="AX182" i="59"/>
  <c r="AD183" i="59"/>
  <c r="AL183" i="59"/>
  <c r="AO184" i="59"/>
  <c r="AD185" i="59"/>
  <c r="AL185" i="59"/>
  <c r="X187" i="59"/>
  <c r="Y187" i="59"/>
  <c r="AV187" i="59"/>
  <c r="R188" i="59"/>
  <c r="AX189" i="59"/>
  <c r="U190" i="59"/>
  <c r="AB190" i="59"/>
  <c r="BG192" i="59"/>
  <c r="BK192" i="59"/>
  <c r="AX198" i="59"/>
  <c r="AX202" i="59" s="1"/>
  <c r="BJ177" i="77" s="1"/>
  <c r="BJ202" i="77" s="1"/>
  <c r="AW198" i="59"/>
  <c r="AV198" i="59"/>
  <c r="AY198" i="59"/>
  <c r="CZ200" i="59"/>
  <c r="CX200" i="59" s="1"/>
  <c r="AB153" i="59"/>
  <c r="R155" i="59"/>
  <c r="S157" i="59"/>
  <c r="AB161" i="59"/>
  <c r="AX183" i="59"/>
  <c r="AY183" i="59"/>
  <c r="T184" i="59"/>
  <c r="S184" i="59"/>
  <c r="BB184" i="59"/>
  <c r="BC184" i="59"/>
  <c r="AX185" i="59"/>
  <c r="AY185" i="59"/>
  <c r="AE211" i="59"/>
  <c r="AB211" i="59"/>
  <c r="AD211" i="59"/>
  <c r="T214" i="59"/>
  <c r="S214" i="59"/>
  <c r="U214" i="59"/>
  <c r="AZ163" i="59"/>
  <c r="AN139" i="59"/>
  <c r="AV139" i="59"/>
  <c r="AB141" i="59"/>
  <c r="M142" i="59"/>
  <c r="Z142" i="59"/>
  <c r="AN143" i="59"/>
  <c r="M144" i="59"/>
  <c r="M145" i="59"/>
  <c r="R145" i="59"/>
  <c r="AG146" i="59"/>
  <c r="AL146" i="59"/>
  <c r="AQ146" i="59"/>
  <c r="AV146" i="59"/>
  <c r="R148" i="59"/>
  <c r="Y148" i="59"/>
  <c r="AV148" i="59"/>
  <c r="AV149" i="59"/>
  <c r="S150" i="59"/>
  <c r="AL150" i="59"/>
  <c r="BO163" i="59"/>
  <c r="W153" i="59"/>
  <c r="AC153" i="59"/>
  <c r="AB154" i="59"/>
  <c r="T155" i="59"/>
  <c r="BA156" i="59"/>
  <c r="W161" i="59"/>
  <c r="AC161" i="59"/>
  <c r="AG167" i="59"/>
  <c r="AL167" i="59"/>
  <c r="R169" i="59"/>
  <c r="BB171" i="59"/>
  <c r="BX174" i="59"/>
  <c r="AV182" i="59"/>
  <c r="AR183" i="59"/>
  <c r="AS183" i="59"/>
  <c r="AL184" i="59"/>
  <c r="AR185" i="59"/>
  <c r="AS185" i="59"/>
  <c r="AN188" i="59"/>
  <c r="AO188" i="59"/>
  <c r="AV189" i="59"/>
  <c r="R190" i="59"/>
  <c r="AT196" i="59"/>
  <c r="AS196" i="59"/>
  <c r="BB197" i="59"/>
  <c r="BC197" i="59"/>
  <c r="BZ202" i="59"/>
  <c r="AX211" i="59"/>
  <c r="AW211" i="59"/>
  <c r="AY211" i="59"/>
  <c r="P213" i="59"/>
  <c r="M213" i="59"/>
  <c r="AP192" i="59"/>
  <c r="BN192" i="59"/>
  <c r="BS192" i="59"/>
  <c r="CM192" i="59"/>
  <c r="BD183" i="77" s="1"/>
  <c r="CR192" i="59"/>
  <c r="BI183" i="77" s="1"/>
  <c r="E192" i="59"/>
  <c r="L202" i="59"/>
  <c r="S197" i="59"/>
  <c r="S199" i="59"/>
  <c r="BA199" i="59"/>
  <c r="W200" i="59"/>
  <c r="BY202" i="59"/>
  <c r="N211" i="59"/>
  <c r="S211" i="59"/>
  <c r="Y211" i="59"/>
  <c r="AB212" i="59"/>
  <c r="AD213" i="59"/>
  <c r="AX213" i="59"/>
  <c r="BB213" i="59"/>
  <c r="BT216" i="59"/>
  <c r="CN216" i="59"/>
  <c r="CS216" i="59"/>
  <c r="CX216" i="59"/>
  <c r="O220" i="59"/>
  <c r="S220" i="59"/>
  <c r="AO220" i="59"/>
  <c r="AY220" i="59"/>
  <c r="BD220" i="59"/>
  <c r="O222" i="59"/>
  <c r="S222" i="59"/>
  <c r="AO222" i="59"/>
  <c r="AY222" i="59"/>
  <c r="BD222" i="59"/>
  <c r="BI224" i="59"/>
  <c r="BM224" i="59"/>
  <c r="E247" i="59"/>
  <c r="W235" i="59"/>
  <c r="AQ235" i="59"/>
  <c r="BA235" i="59"/>
  <c r="AG236" i="59"/>
  <c r="AT236" i="59"/>
  <c r="BD238" i="59"/>
  <c r="P239" i="59"/>
  <c r="U239" i="59"/>
  <c r="Y239" i="59"/>
  <c r="AY240" i="59"/>
  <c r="BC240" i="59"/>
  <c r="M241" i="59"/>
  <c r="T241" i="59"/>
  <c r="X241" i="59"/>
  <c r="AT241" i="59"/>
  <c r="BD241" i="59"/>
  <c r="U242" i="59"/>
  <c r="AE242" i="59"/>
  <c r="AV242" i="59"/>
  <c r="BA242" i="59"/>
  <c r="U243" i="59"/>
  <c r="BC243" i="59"/>
  <c r="M244" i="59"/>
  <c r="S244" i="59"/>
  <c r="BC244" i="59"/>
  <c r="M251" i="59"/>
  <c r="AE251" i="59"/>
  <c r="AO252" i="59"/>
  <c r="O253" i="59"/>
  <c r="AX253" i="59"/>
  <c r="BC253" i="59"/>
  <c r="U254" i="59"/>
  <c r="AN254" i="59"/>
  <c r="AS254" i="59"/>
  <c r="CZ254" i="59"/>
  <c r="CV254" i="59" s="1"/>
  <c r="P265" i="59"/>
  <c r="Z265" i="59"/>
  <c r="AT265" i="59"/>
  <c r="BD267" i="59"/>
  <c r="AJ268" i="59"/>
  <c r="AR268" i="59"/>
  <c r="AX268" i="59"/>
  <c r="BC268" i="59"/>
  <c r="M269" i="59"/>
  <c r="AS272" i="59"/>
  <c r="AT272" i="59"/>
  <c r="BA272" i="59"/>
  <c r="T273" i="59"/>
  <c r="BC273" i="59"/>
  <c r="BD273" i="59"/>
  <c r="Y274" i="59"/>
  <c r="X274" i="59"/>
  <c r="AH274" i="59"/>
  <c r="AS274" i="59"/>
  <c r="AQ274" i="59"/>
  <c r="BA274" i="59"/>
  <c r="Y276" i="59"/>
  <c r="Z276" i="59"/>
  <c r="AH276" i="59"/>
  <c r="AI276" i="59"/>
  <c r="AS276" i="59"/>
  <c r="AQ276" i="59"/>
  <c r="BC276" i="59"/>
  <c r="M277" i="59"/>
  <c r="BC278" i="59"/>
  <c r="BH281" i="59"/>
  <c r="BZ281" i="59"/>
  <c r="AR285" i="59"/>
  <c r="AT285" i="59"/>
  <c r="AQ285" i="59"/>
  <c r="AW270" i="59"/>
  <c r="AV270" i="59"/>
  <c r="O276" i="59"/>
  <c r="M276" i="59"/>
  <c r="P278" i="59"/>
  <c r="M278" i="59"/>
  <c r="BO202" i="59"/>
  <c r="BA220" i="59"/>
  <c r="BA222" i="59"/>
  <c r="BS224" i="59"/>
  <c r="BB238" i="59"/>
  <c r="R239" i="59"/>
  <c r="W239" i="59"/>
  <c r="S243" i="59"/>
  <c r="AB251" i="59"/>
  <c r="AB256" i="59" s="1"/>
  <c r="AM252" i="59"/>
  <c r="X265" i="59"/>
  <c r="AQ265" i="59"/>
  <c r="BA267" i="59"/>
  <c r="AG268" i="59"/>
  <c r="AC274" i="59"/>
  <c r="AD274" i="59"/>
  <c r="AW276" i="59"/>
  <c r="AV276" i="59"/>
  <c r="AI277" i="59"/>
  <c r="AJ277" i="59"/>
  <c r="BC277" i="59"/>
  <c r="BB277" i="59"/>
  <c r="AS278" i="59"/>
  <c r="AT278" i="59"/>
  <c r="BA278" i="59"/>
  <c r="Z279" i="59"/>
  <c r="W279" i="59"/>
  <c r="BC279" i="59"/>
  <c r="BD279" i="59"/>
  <c r="AF202" i="59"/>
  <c r="R197" i="59"/>
  <c r="R199" i="59"/>
  <c r="BU202" i="59"/>
  <c r="M211" i="59"/>
  <c r="W211" i="59"/>
  <c r="BA213" i="59"/>
  <c r="CV216" i="59"/>
  <c r="M220" i="59"/>
  <c r="R220" i="59"/>
  <c r="AV220" i="59"/>
  <c r="BC220" i="59"/>
  <c r="M222" i="59"/>
  <c r="R222" i="59"/>
  <c r="AL222" i="59"/>
  <c r="AV222" i="59"/>
  <c r="BC222" i="59"/>
  <c r="BH224" i="59"/>
  <c r="BP224" i="59"/>
  <c r="BU224" i="59"/>
  <c r="BZ224" i="59"/>
  <c r="M239" i="59"/>
  <c r="T239" i="59"/>
  <c r="X239" i="59"/>
  <c r="R241" i="59"/>
  <c r="W241" i="59"/>
  <c r="AQ241" i="59"/>
  <c r="BA241" i="59"/>
  <c r="AB242" i="59"/>
  <c r="R244" i="59"/>
  <c r="BM247" i="59"/>
  <c r="BR247" i="59"/>
  <c r="CG247" i="59"/>
  <c r="AS134" i="98" s="1"/>
  <c r="CQ247" i="59"/>
  <c r="BC134" i="98" s="1"/>
  <c r="AC251" i="59"/>
  <c r="M253" i="59"/>
  <c r="BA253" i="59"/>
  <c r="AQ254" i="59"/>
  <c r="N265" i="59"/>
  <c r="AS265" i="59"/>
  <c r="BB267" i="59"/>
  <c r="AI268" i="59"/>
  <c r="AQ268" i="59"/>
  <c r="AV268" i="59"/>
  <c r="AI269" i="59"/>
  <c r="AH269" i="59"/>
  <c r="AR269" i="59"/>
  <c r="AQ269" i="59"/>
  <c r="BD270" i="59"/>
  <c r="BB270" i="59"/>
  <c r="AI271" i="59"/>
  <c r="AH271" i="59"/>
  <c r="AR271" i="59"/>
  <c r="AQ271" i="59"/>
  <c r="R273" i="59"/>
  <c r="Z273" i="59"/>
  <c r="W273" i="59"/>
  <c r="AG274" i="59"/>
  <c r="AR275" i="59"/>
  <c r="AT275" i="59"/>
  <c r="BC275" i="59"/>
  <c r="BB275" i="59"/>
  <c r="BA276" i="59"/>
  <c r="S277" i="59"/>
  <c r="T277" i="59"/>
  <c r="BB278" i="59"/>
  <c r="AS279" i="59"/>
  <c r="AQ279" i="59"/>
  <c r="BN281" i="59"/>
  <c r="BR281" i="59"/>
  <c r="M284" i="59"/>
  <c r="AC285" i="59"/>
  <c r="AO285" i="59"/>
  <c r="S286" i="59"/>
  <c r="AE286" i="59"/>
  <c r="R287" i="59"/>
  <c r="R289" i="59" s="1"/>
  <c r="Y287" i="59"/>
  <c r="AD287" i="59"/>
  <c r="AW287" i="59"/>
  <c r="BU289" i="59"/>
  <c r="BZ289" i="59"/>
  <c r="Z298" i="59"/>
  <c r="AD298" i="59"/>
  <c r="AL299" i="59"/>
  <c r="BC299" i="59"/>
  <c r="O300" i="59"/>
  <c r="M303" i="59"/>
  <c r="AJ304" i="59"/>
  <c r="AT305" i="59"/>
  <c r="BD305" i="59"/>
  <c r="N306" i="59"/>
  <c r="Z306" i="59"/>
  <c r="AH306" i="59"/>
  <c r="AG307" i="59"/>
  <c r="BA307" i="59"/>
  <c r="AQ308" i="59"/>
  <c r="N309" i="59"/>
  <c r="AB309" i="59"/>
  <c r="AH309" i="59"/>
  <c r="BA309" i="59"/>
  <c r="BA314" i="59"/>
  <c r="U315" i="59"/>
  <c r="AE315" i="59"/>
  <c r="T316" i="59"/>
  <c r="AG316" i="59"/>
  <c r="AB317" i="59"/>
  <c r="AV317" i="59"/>
  <c r="AB307" i="59"/>
  <c r="AH307" i="59"/>
  <c r="AL308" i="59"/>
  <c r="AR308" i="59"/>
  <c r="O309" i="59"/>
  <c r="W309" i="59"/>
  <c r="W317" i="59"/>
  <c r="AQ317" i="59"/>
  <c r="CU278" i="59"/>
  <c r="AF289" i="59"/>
  <c r="BN289" i="59"/>
  <c r="BN291" i="59" s="1"/>
  <c r="BS289" i="59"/>
  <c r="AB298" i="59"/>
  <c r="AJ299" i="59"/>
  <c r="AN299" i="59"/>
  <c r="BJ311" i="59"/>
  <c r="AG304" i="59"/>
  <c r="AN304" i="59"/>
  <c r="AD307" i="59"/>
  <c r="AI307" i="59"/>
  <c r="AV307" i="59"/>
  <c r="AN308" i="59"/>
  <c r="AS308" i="59"/>
  <c r="X309" i="59"/>
  <c r="X317" i="59"/>
  <c r="AR317" i="59"/>
  <c r="L289" i="59"/>
  <c r="AB287" i="59"/>
  <c r="BJ289" i="59"/>
  <c r="BO289" i="59"/>
  <c r="BT289" i="59"/>
  <c r="BY289" i="59"/>
  <c r="Y298" i="59"/>
  <c r="AC298" i="59"/>
  <c r="AM71" i="59"/>
  <c r="AE71" i="59"/>
  <c r="CP67" i="59"/>
  <c r="CU67" i="59" s="1"/>
  <c r="CZ67" i="59" s="1"/>
  <c r="CH67" i="59"/>
  <c r="CL67" i="59"/>
  <c r="CO67" i="59"/>
  <c r="CN67" i="59"/>
  <c r="AY67" i="59"/>
  <c r="AV69" i="59"/>
  <c r="BI90" i="59"/>
  <c r="E71" i="59"/>
  <c r="AK71" i="59" s="1"/>
  <c r="AI71" i="59" s="1"/>
  <c r="R69" i="59"/>
  <c r="S71" i="59"/>
  <c r="AC71" i="59"/>
  <c r="AN70" i="59"/>
  <c r="AL70" i="59"/>
  <c r="AM70" i="59"/>
  <c r="AE70" i="59"/>
  <c r="BA70" i="59"/>
  <c r="E70" i="59"/>
  <c r="AK70" i="59" s="1"/>
  <c r="F90" i="59"/>
  <c r="Y69" i="59"/>
  <c r="AD69" i="59"/>
  <c r="AO69" i="59"/>
  <c r="AY69" i="59"/>
  <c r="M70" i="59"/>
  <c r="U71" i="59"/>
  <c r="AV71" i="59"/>
  <c r="AQ71" i="59"/>
  <c r="AW71" i="59"/>
  <c r="AB69" i="59"/>
  <c r="R70" i="59"/>
  <c r="R71" i="59"/>
  <c r="Y71" i="59"/>
  <c r="AL71" i="59"/>
  <c r="AS71" i="59"/>
  <c r="AX71" i="59"/>
  <c r="AN130" i="100"/>
  <c r="AI130" i="100"/>
  <c r="AJ130" i="100" s="1"/>
  <c r="AK130" i="100" s="1"/>
  <c r="AU31" i="59"/>
  <c r="AS18" i="59"/>
  <c r="AQ18" i="59"/>
  <c r="N21" i="59"/>
  <c r="O21" i="59"/>
  <c r="M21" i="59"/>
  <c r="AD27" i="59"/>
  <c r="AC27" i="59"/>
  <c r="AB27" i="59"/>
  <c r="AX27" i="59"/>
  <c r="AY27" i="59"/>
  <c r="AW27" i="59"/>
  <c r="AX35" i="59"/>
  <c r="AW35" i="59"/>
  <c r="AY35" i="59"/>
  <c r="AV35" i="59"/>
  <c r="T37" i="59"/>
  <c r="S37" i="59"/>
  <c r="R37" i="59"/>
  <c r="U37" i="59"/>
  <c r="AN47" i="59"/>
  <c r="AM47" i="59"/>
  <c r="AL47" i="59"/>
  <c r="AO47" i="59"/>
  <c r="AO59" i="59"/>
  <c r="AN59" i="59"/>
  <c r="AM59" i="59"/>
  <c r="AL59" i="59"/>
  <c r="BB19" i="59"/>
  <c r="BC19" i="59"/>
  <c r="BA19" i="59"/>
  <c r="AD23" i="59"/>
  <c r="AE23" i="59"/>
  <c r="AH25" i="59"/>
  <c r="AI25" i="59"/>
  <c r="AG25" i="59"/>
  <c r="AR26" i="59"/>
  <c r="AS26" i="59"/>
  <c r="AQ26" i="59"/>
  <c r="AR35" i="59"/>
  <c r="AS35" i="59"/>
  <c r="AQ35" i="59"/>
  <c r="AD48" i="59"/>
  <c r="AC48" i="59"/>
  <c r="AB48" i="59"/>
  <c r="AE48" i="59"/>
  <c r="BB54" i="59"/>
  <c r="BC54" i="59"/>
  <c r="BA54" i="59"/>
  <c r="AR55" i="59"/>
  <c r="AS55" i="59"/>
  <c r="AQ55" i="59"/>
  <c r="AN58" i="59"/>
  <c r="AO58" i="59"/>
  <c r="AM58" i="59"/>
  <c r="AL58" i="59"/>
  <c r="AX21" i="59"/>
  <c r="AY21" i="59"/>
  <c r="AW21" i="59"/>
  <c r="AV21" i="59"/>
  <c r="P26" i="59"/>
  <c r="M26" i="59"/>
  <c r="S27" i="59"/>
  <c r="U27" i="59"/>
  <c r="T27" i="59"/>
  <c r="R27" i="59"/>
  <c r="AN28" i="59"/>
  <c r="AO28" i="59"/>
  <c r="AM28" i="59"/>
  <c r="AL28" i="59"/>
  <c r="AY28" i="59"/>
  <c r="AX28" i="59"/>
  <c r="AW28" i="59"/>
  <c r="AX29" i="59"/>
  <c r="AY29" i="59"/>
  <c r="AW29" i="59"/>
  <c r="AV29" i="59"/>
  <c r="AD37" i="59"/>
  <c r="AC37" i="59"/>
  <c r="AE37" i="59"/>
  <c r="AB37" i="59"/>
  <c r="AX47" i="59"/>
  <c r="AW47" i="59"/>
  <c r="AY47" i="59"/>
  <c r="AV47" i="59"/>
  <c r="AH50" i="59"/>
  <c r="AI50" i="59"/>
  <c r="AG50" i="59"/>
  <c r="AD19" i="59"/>
  <c r="AE19" i="59"/>
  <c r="AC19" i="59"/>
  <c r="AB19" i="59"/>
  <c r="AO19" i="59"/>
  <c r="AN19" i="59"/>
  <c r="AM19" i="59"/>
  <c r="X22" i="59"/>
  <c r="Y22" i="59"/>
  <c r="W22" i="59"/>
  <c r="X24" i="59"/>
  <c r="Y24" i="59"/>
  <c r="W24" i="59"/>
  <c r="U25" i="59"/>
  <c r="T25" i="59"/>
  <c r="S25" i="59"/>
  <c r="T26" i="59"/>
  <c r="U26" i="59"/>
  <c r="S26" i="59"/>
  <c r="R26" i="59"/>
  <c r="AE26" i="59"/>
  <c r="AD26" i="59"/>
  <c r="AC26" i="59"/>
  <c r="CL31" i="59"/>
  <c r="Q39" i="59"/>
  <c r="AN35" i="59"/>
  <c r="AM35" i="59"/>
  <c r="AL35" i="59"/>
  <c r="AO35" i="59"/>
  <c r="AN48" i="59"/>
  <c r="AM48" i="59"/>
  <c r="AO48" i="59"/>
  <c r="AL48" i="59"/>
  <c r="L31" i="59"/>
  <c r="Y18" i="59"/>
  <c r="AP31" i="59"/>
  <c r="O19" i="59"/>
  <c r="AG19" i="59"/>
  <c r="U20" i="59"/>
  <c r="AE20" i="59"/>
  <c r="AM20" i="59"/>
  <c r="AS20" i="59"/>
  <c r="AC21" i="59"/>
  <c r="AI21" i="59"/>
  <c r="BA21" i="59"/>
  <c r="AO22" i="59"/>
  <c r="AY22" i="59"/>
  <c r="M23" i="59"/>
  <c r="AO24" i="59"/>
  <c r="AY24" i="59"/>
  <c r="M25" i="59"/>
  <c r="AY25" i="59"/>
  <c r="W26" i="59"/>
  <c r="AG27" i="59"/>
  <c r="AM27" i="59"/>
  <c r="S28" i="59"/>
  <c r="Y28" i="59"/>
  <c r="AQ28" i="59"/>
  <c r="U29" i="59"/>
  <c r="AC29" i="59"/>
  <c r="AI29" i="59"/>
  <c r="BA29" i="59"/>
  <c r="BH31" i="59"/>
  <c r="BP31" i="59"/>
  <c r="BU31" i="59"/>
  <c r="BZ31" i="59"/>
  <c r="CO31" i="59"/>
  <c r="BN31" i="59"/>
  <c r="AZ39" i="59"/>
  <c r="T34" i="59"/>
  <c r="S34" i="59"/>
  <c r="AE35" i="59"/>
  <c r="AE39" i="59" s="1"/>
  <c r="AD35" i="59"/>
  <c r="X37" i="59"/>
  <c r="Y37" i="59"/>
  <c r="W37" i="59"/>
  <c r="BH39" i="59"/>
  <c r="BQ39" i="59"/>
  <c r="BP39" i="59"/>
  <c r="BU39" i="59"/>
  <c r="CU36" i="59"/>
  <c r="CS36" i="59" s="1"/>
  <c r="AU90" i="59"/>
  <c r="AS47" i="59"/>
  <c r="AQ47" i="59"/>
  <c r="U48" i="59"/>
  <c r="T48" i="59"/>
  <c r="AH48" i="59"/>
  <c r="AI48" i="59"/>
  <c r="AG48" i="59"/>
  <c r="X49" i="59"/>
  <c r="W49" i="59"/>
  <c r="AN49" i="59"/>
  <c r="AL49" i="59"/>
  <c r="AZ90" i="59"/>
  <c r="AV49" i="59"/>
  <c r="AY58" i="59"/>
  <c r="AX58" i="59"/>
  <c r="AW58" i="59"/>
  <c r="CP86" i="59"/>
  <c r="CU86" i="59" s="1"/>
  <c r="CZ86" i="59" s="1"/>
  <c r="BI31" i="59"/>
  <c r="BM31" i="59"/>
  <c r="BR31" i="59"/>
  <c r="AF39" i="59"/>
  <c r="N34" i="59"/>
  <c r="O34" i="59"/>
  <c r="M34" i="59"/>
  <c r="AD36" i="59"/>
  <c r="AC36" i="59"/>
  <c r="AB36" i="59"/>
  <c r="AN36" i="59"/>
  <c r="AM36" i="59"/>
  <c r="AR37" i="59"/>
  <c r="AQ37" i="59"/>
  <c r="BB48" i="59"/>
  <c r="BA48" i="59"/>
  <c r="X51" i="59"/>
  <c r="Y51" i="59"/>
  <c r="W51" i="59"/>
  <c r="N54" i="59"/>
  <c r="O54" i="59"/>
  <c r="M54" i="59"/>
  <c r="CP80" i="59"/>
  <c r="CU80" i="59" s="1"/>
  <c r="CZ80" i="59" s="1"/>
  <c r="CL80" i="59"/>
  <c r="S130" i="100"/>
  <c r="Q130" i="100" s="1"/>
  <c r="AF31" i="59"/>
  <c r="R20" i="59"/>
  <c r="AL22" i="59"/>
  <c r="AL24" i="59"/>
  <c r="AV25" i="59"/>
  <c r="BJ31" i="59"/>
  <c r="BX31" i="59"/>
  <c r="L39" i="59"/>
  <c r="V39" i="59"/>
  <c r="AH34" i="59"/>
  <c r="AG34" i="59"/>
  <c r="T35" i="59"/>
  <c r="U35" i="59"/>
  <c r="S35" i="59"/>
  <c r="S39" i="59" s="1"/>
  <c r="AH36" i="59"/>
  <c r="AI36" i="59"/>
  <c r="AG36" i="59"/>
  <c r="AE49" i="59"/>
  <c r="AC49" i="59"/>
  <c r="AB49" i="59"/>
  <c r="AD50" i="59"/>
  <c r="AC50" i="59"/>
  <c r="AB50" i="59"/>
  <c r="AN50" i="59"/>
  <c r="AM50" i="59"/>
  <c r="AX52" i="59"/>
  <c r="AY52" i="59"/>
  <c r="AW52" i="59"/>
  <c r="AV52" i="59"/>
  <c r="X53" i="59"/>
  <c r="Y53" i="59"/>
  <c r="W53" i="59"/>
  <c r="U56" i="59"/>
  <c r="T56" i="59"/>
  <c r="S56" i="59"/>
  <c r="AH56" i="59"/>
  <c r="AI56" i="59"/>
  <c r="AG56" i="59"/>
  <c r="AD59" i="59"/>
  <c r="AE59" i="59"/>
  <c r="AC59" i="59"/>
  <c r="AB59" i="59"/>
  <c r="AO62" i="59"/>
  <c r="U64" i="59"/>
  <c r="AY64" i="59"/>
  <c r="AO65" i="59"/>
  <c r="AY65" i="59"/>
  <c r="AI66" i="59"/>
  <c r="U67" i="59"/>
  <c r="P109" i="59"/>
  <c r="M109" i="59"/>
  <c r="AR111" i="59"/>
  <c r="AS111" i="59"/>
  <c r="AT112" i="59"/>
  <c r="AR112" i="59"/>
  <c r="AT114" i="59"/>
  <c r="AQ114" i="59"/>
  <c r="AJ115" i="59"/>
  <c r="AG115" i="59"/>
  <c r="AX116" i="59"/>
  <c r="AW116" i="59"/>
  <c r="N117" i="59"/>
  <c r="O117" i="59"/>
  <c r="M117" i="59"/>
  <c r="CH147" i="59"/>
  <c r="BJ90" i="59"/>
  <c r="BN90" i="59"/>
  <c r="BN101" i="59" s="1"/>
  <c r="BS90" i="59"/>
  <c r="BX90" i="59"/>
  <c r="S70" i="59"/>
  <c r="AV70" i="59"/>
  <c r="AB72" i="59"/>
  <c r="AM72" i="59"/>
  <c r="AV74" i="59"/>
  <c r="S76" i="59"/>
  <c r="AV76" i="59"/>
  <c r="AV77" i="59"/>
  <c r="R78" i="59"/>
  <c r="AM79" i="59"/>
  <c r="R80" i="59"/>
  <c r="AM81" i="59"/>
  <c r="AC82" i="59"/>
  <c r="AB83" i="59"/>
  <c r="R84" i="59"/>
  <c r="AM85" i="59"/>
  <c r="R86" i="59"/>
  <c r="AM87" i="59"/>
  <c r="AC88" i="59"/>
  <c r="AR94" i="59"/>
  <c r="AV94" i="59"/>
  <c r="AR96" i="59"/>
  <c r="AV96" i="59"/>
  <c r="AK121" i="59"/>
  <c r="AH107" i="59"/>
  <c r="AR107" i="59"/>
  <c r="AS107" i="59"/>
  <c r="AZ121" i="59"/>
  <c r="AW107" i="59"/>
  <c r="AT108" i="59"/>
  <c r="AR108" i="59"/>
  <c r="BB108" i="59"/>
  <c r="BC108" i="59"/>
  <c r="AR109" i="59"/>
  <c r="AT109" i="59"/>
  <c r="Z110" i="59"/>
  <c r="W110" i="59"/>
  <c r="AB111" i="59"/>
  <c r="AV111" i="59"/>
  <c r="BB112" i="59"/>
  <c r="BA112" i="59"/>
  <c r="X113" i="59"/>
  <c r="Z113" i="59"/>
  <c r="AY115" i="59"/>
  <c r="AX115" i="59"/>
  <c r="P116" i="59"/>
  <c r="N116" i="59"/>
  <c r="M116" i="59"/>
  <c r="AR116" i="59"/>
  <c r="AT116" i="59"/>
  <c r="AS116" i="59"/>
  <c r="BD116" i="59"/>
  <c r="BB116" i="59"/>
  <c r="BA116" i="59"/>
  <c r="BI121" i="59"/>
  <c r="BN121" i="59"/>
  <c r="BR121" i="59"/>
  <c r="CQ121" i="59"/>
  <c r="BH186" i="78" s="1"/>
  <c r="AK39" i="59"/>
  <c r="BI39" i="59"/>
  <c r="BM39" i="59"/>
  <c r="BR39" i="59"/>
  <c r="BR41" i="59" s="1"/>
  <c r="L90" i="59"/>
  <c r="R51" i="59"/>
  <c r="AC51" i="59"/>
  <c r="R53" i="59"/>
  <c r="AC53" i="59"/>
  <c r="S54" i="59"/>
  <c r="AV54" i="59"/>
  <c r="AL55" i="59"/>
  <c r="AW55" i="59"/>
  <c r="AB56" i="59"/>
  <c r="AM56" i="59"/>
  <c r="BG90" i="59"/>
  <c r="BK90" i="59"/>
  <c r="BO90" i="59"/>
  <c r="BU90" i="59"/>
  <c r="AB62" i="59"/>
  <c r="AG62" i="59"/>
  <c r="AM62" i="59"/>
  <c r="AY62" i="59"/>
  <c r="M64" i="59"/>
  <c r="S64" i="59"/>
  <c r="AE64" i="59"/>
  <c r="AV64" i="59"/>
  <c r="BA64" i="59"/>
  <c r="U65" i="59"/>
  <c r="AL65" i="59"/>
  <c r="AQ65" i="59"/>
  <c r="AW65" i="59"/>
  <c r="O66" i="59"/>
  <c r="T66" i="59"/>
  <c r="AY66" i="59"/>
  <c r="R67" i="59"/>
  <c r="W67" i="59"/>
  <c r="M68" i="59"/>
  <c r="S68" i="59"/>
  <c r="AE68" i="59"/>
  <c r="AV68" i="59"/>
  <c r="BA68" i="59"/>
  <c r="U69" i="59"/>
  <c r="AL69" i="59"/>
  <c r="AQ69" i="59"/>
  <c r="AW69" i="59"/>
  <c r="O70" i="59"/>
  <c r="T70" i="59"/>
  <c r="AB70" i="59"/>
  <c r="AW70" i="59"/>
  <c r="BC70" i="59"/>
  <c r="AO71" i="59"/>
  <c r="AC72" i="59"/>
  <c r="AI72" i="59"/>
  <c r="AN72" i="59"/>
  <c r="AE74" i="59"/>
  <c r="AW74" i="59"/>
  <c r="BC74" i="59"/>
  <c r="R75" i="59"/>
  <c r="W75" i="59"/>
  <c r="AC75" i="59"/>
  <c r="O76" i="59"/>
  <c r="T76" i="59"/>
  <c r="AW76" i="59"/>
  <c r="BC76" i="59"/>
  <c r="AM77" i="59"/>
  <c r="AQ77" i="59"/>
  <c r="AW77" i="59"/>
  <c r="M78" i="59"/>
  <c r="S78" i="59"/>
  <c r="AW78" i="59"/>
  <c r="BA78" i="59"/>
  <c r="AN79" i="59"/>
  <c r="AS79" i="59"/>
  <c r="AY79" i="59"/>
  <c r="M80" i="59"/>
  <c r="S80" i="59"/>
  <c r="AL80" i="59"/>
  <c r="AB81" i="59"/>
  <c r="AN81" i="59"/>
  <c r="AS81" i="59"/>
  <c r="AY81" i="59"/>
  <c r="R82" i="59"/>
  <c r="AD82" i="59"/>
  <c r="AI82" i="59"/>
  <c r="S83" i="59"/>
  <c r="W83" i="59"/>
  <c r="AC83" i="59"/>
  <c r="M84" i="59"/>
  <c r="S84" i="59"/>
  <c r="AW84" i="59"/>
  <c r="BA84" i="59"/>
  <c r="AN85" i="59"/>
  <c r="AS85" i="59"/>
  <c r="AY85" i="59"/>
  <c r="M86" i="59"/>
  <c r="S86" i="59"/>
  <c r="AL86" i="59"/>
  <c r="AB87" i="59"/>
  <c r="AN87" i="59"/>
  <c r="AS87" i="59"/>
  <c r="AY87" i="59"/>
  <c r="R88" i="59"/>
  <c r="AD88" i="59"/>
  <c r="AI88" i="59"/>
  <c r="AO88" i="59"/>
  <c r="AD94" i="59"/>
  <c r="AS94" i="59"/>
  <c r="AW94" i="59"/>
  <c r="BB94" i="59"/>
  <c r="N95" i="59"/>
  <c r="R95" i="59"/>
  <c r="W95" i="59"/>
  <c r="AN95" i="59"/>
  <c r="BB95" i="59"/>
  <c r="AD96" i="59"/>
  <c r="AS96" i="59"/>
  <c r="AW96" i="59"/>
  <c r="BB96" i="59"/>
  <c r="N97" i="59"/>
  <c r="R97" i="59"/>
  <c r="W97" i="59"/>
  <c r="AN97" i="59"/>
  <c r="BB97" i="59"/>
  <c r="AV107" i="59"/>
  <c r="X108" i="59"/>
  <c r="AO108" i="59"/>
  <c r="AV109" i="59"/>
  <c r="U110" i="59"/>
  <c r="AN110" i="59"/>
  <c r="P111" i="59"/>
  <c r="M111" i="59"/>
  <c r="AC111" i="59"/>
  <c r="AQ111" i="59"/>
  <c r="AX111" i="59"/>
  <c r="BD111" i="59"/>
  <c r="BA111" i="59"/>
  <c r="N112" i="59"/>
  <c r="M112" i="59"/>
  <c r="AH112" i="59"/>
  <c r="AJ112" i="59"/>
  <c r="T113" i="59"/>
  <c r="R113" i="59"/>
  <c r="AB113" i="59"/>
  <c r="AJ113" i="59"/>
  <c r="AH113" i="59"/>
  <c r="AG113" i="59"/>
  <c r="AH114" i="59"/>
  <c r="AI114" i="59"/>
  <c r="AG114" i="59"/>
  <c r="X115" i="59"/>
  <c r="Y115" i="59"/>
  <c r="W115" i="59"/>
  <c r="AV116" i="59"/>
  <c r="Z117" i="59"/>
  <c r="W117" i="59"/>
  <c r="BB117" i="59"/>
  <c r="BC117" i="59"/>
  <c r="BA117" i="59"/>
  <c r="BJ121" i="59"/>
  <c r="E31" i="59"/>
  <c r="AP39" i="59"/>
  <c r="AB34" i="59"/>
  <c r="AL37" i="59"/>
  <c r="BJ39" i="59"/>
  <c r="BJ41" i="59" s="1"/>
  <c r="BS39" i="59"/>
  <c r="AV48" i="59"/>
  <c r="S51" i="59"/>
  <c r="M52" i="59"/>
  <c r="S53" i="59"/>
  <c r="AL53" i="59"/>
  <c r="AW54" i="59"/>
  <c r="AM55" i="59"/>
  <c r="AC56" i="59"/>
  <c r="AV56" i="59"/>
  <c r="BA56" i="59"/>
  <c r="M59" i="59"/>
  <c r="AV59" i="59"/>
  <c r="BA59" i="59"/>
  <c r="BL47" i="59"/>
  <c r="BM90" i="59"/>
  <c r="AC62" i="59"/>
  <c r="AI62" i="59"/>
  <c r="O64" i="59"/>
  <c r="AW64" i="59"/>
  <c r="BC64" i="59"/>
  <c r="AM65" i="59"/>
  <c r="AS65" i="59"/>
  <c r="AG66" i="59"/>
  <c r="S67" i="59"/>
  <c r="Y67" i="59"/>
  <c r="AQ67" i="59"/>
  <c r="O68" i="59"/>
  <c r="AW68" i="59"/>
  <c r="BC68" i="59"/>
  <c r="AM69" i="59"/>
  <c r="AS69" i="59"/>
  <c r="AC70" i="59"/>
  <c r="AY70" i="59"/>
  <c r="W71" i="59"/>
  <c r="M72" i="59"/>
  <c r="AE72" i="59"/>
  <c r="BA72" i="59"/>
  <c r="M74" i="59"/>
  <c r="AY74" i="59"/>
  <c r="S75" i="59"/>
  <c r="Y75" i="59"/>
  <c r="AQ75" i="59"/>
  <c r="AG76" i="59"/>
  <c r="AY76" i="59"/>
  <c r="W77" i="59"/>
  <c r="AS77" i="59"/>
  <c r="AY77" i="59"/>
  <c r="O78" i="59"/>
  <c r="U78" i="59"/>
  <c r="BC78" i="59"/>
  <c r="O80" i="59"/>
  <c r="U80" i="59"/>
  <c r="AG80" i="59"/>
  <c r="AM80" i="59"/>
  <c r="W81" i="59"/>
  <c r="AC81" i="59"/>
  <c r="M82" i="59"/>
  <c r="S82" i="59"/>
  <c r="BA82" i="59"/>
  <c r="Y83" i="59"/>
  <c r="AE83" i="59"/>
  <c r="O84" i="59"/>
  <c r="U84" i="59"/>
  <c r="BC84" i="59"/>
  <c r="O86" i="59"/>
  <c r="U86" i="59"/>
  <c r="AG86" i="59"/>
  <c r="AM86" i="59"/>
  <c r="W87" i="59"/>
  <c r="AC87" i="59"/>
  <c r="M88" i="59"/>
  <c r="S88" i="59"/>
  <c r="BA88" i="59"/>
  <c r="M94" i="59"/>
  <c r="AX94" i="59"/>
  <c r="S95" i="59"/>
  <c r="X95" i="59"/>
  <c r="M96" i="59"/>
  <c r="AX96" i="59"/>
  <c r="S97" i="59"/>
  <c r="X97" i="59"/>
  <c r="X107" i="59"/>
  <c r="Z107" i="59"/>
  <c r="Z121" i="59" s="1"/>
  <c r="AF121" i="59"/>
  <c r="AD107" i="59"/>
  <c r="AQ107" i="59"/>
  <c r="AX107" i="59"/>
  <c r="BE121" i="59"/>
  <c r="BA107" i="59"/>
  <c r="N108" i="59"/>
  <c r="M108" i="59"/>
  <c r="AH108" i="59"/>
  <c r="AJ108" i="59"/>
  <c r="BA108" i="59"/>
  <c r="N109" i="59"/>
  <c r="AQ109" i="59"/>
  <c r="AW109" i="59"/>
  <c r="BD109" i="59"/>
  <c r="BB109" i="59"/>
  <c r="N110" i="59"/>
  <c r="O110" i="59"/>
  <c r="AV110" i="59"/>
  <c r="BB110" i="59"/>
  <c r="BC110" i="59"/>
  <c r="AD111" i="59"/>
  <c r="AT111" i="59"/>
  <c r="AY111" i="59"/>
  <c r="AD112" i="59"/>
  <c r="AB112" i="59"/>
  <c r="AQ112" i="59"/>
  <c r="BC112" i="59"/>
  <c r="M113" i="59"/>
  <c r="W113" i="59"/>
  <c r="AC113" i="59"/>
  <c r="U114" i="59"/>
  <c r="T114" i="59"/>
  <c r="AB114" i="59"/>
  <c r="AR114" i="59"/>
  <c r="R115" i="59"/>
  <c r="AH115" i="59"/>
  <c r="AV115" i="59"/>
  <c r="AN116" i="59"/>
  <c r="AL116" i="59"/>
  <c r="AY116" i="59"/>
  <c r="P117" i="59"/>
  <c r="AO117" i="59"/>
  <c r="AN117" i="59"/>
  <c r="AV117" i="59"/>
  <c r="AR153" i="59"/>
  <c r="AQ153" i="59"/>
  <c r="AH154" i="59"/>
  <c r="AG154" i="59"/>
  <c r="AD155" i="59"/>
  <c r="AC155" i="59"/>
  <c r="AB155" i="59"/>
  <c r="N125" i="59"/>
  <c r="BB125" i="59"/>
  <c r="AH126" i="59"/>
  <c r="AL127" i="59"/>
  <c r="N128" i="59"/>
  <c r="BB128" i="59"/>
  <c r="R129" i="59"/>
  <c r="BK131" i="59"/>
  <c r="BP131" i="59"/>
  <c r="BU131" i="59"/>
  <c r="BU133" i="59" s="1"/>
  <c r="AR139" i="59"/>
  <c r="AB140" i="59"/>
  <c r="AL141" i="59"/>
  <c r="N142" i="59"/>
  <c r="BB142" i="59"/>
  <c r="AM147" i="59"/>
  <c r="R152" i="59"/>
  <c r="AM152" i="59"/>
  <c r="AV152" i="59"/>
  <c r="AV154" i="59"/>
  <c r="AO155" i="59"/>
  <c r="AN155" i="59"/>
  <c r="T156" i="59"/>
  <c r="U156" i="59"/>
  <c r="S156" i="59"/>
  <c r="AD158" i="59"/>
  <c r="AC158" i="59"/>
  <c r="AE158" i="59"/>
  <c r="X159" i="59"/>
  <c r="W159" i="59"/>
  <c r="Y159" i="59"/>
  <c r="AH160" i="59"/>
  <c r="AG160" i="59"/>
  <c r="AI160" i="59"/>
  <c r="BG121" i="59"/>
  <c r="BK121" i="59"/>
  <c r="BK133" i="59" s="1"/>
  <c r="BO121" i="59"/>
  <c r="BO133" i="59" s="1"/>
  <c r="O125" i="59"/>
  <c r="AB125" i="59"/>
  <c r="AK131" i="59"/>
  <c r="BC125" i="59"/>
  <c r="AI126" i="59"/>
  <c r="AV126" i="59"/>
  <c r="AG127" i="59"/>
  <c r="AG131" i="59" s="1"/>
  <c r="AN127" i="59"/>
  <c r="AR127" i="59"/>
  <c r="O128" i="59"/>
  <c r="O131" i="59" s="1"/>
  <c r="AB128" i="59"/>
  <c r="BC128" i="59"/>
  <c r="M129" i="59"/>
  <c r="T129" i="59"/>
  <c r="X129" i="59"/>
  <c r="BA129" i="59"/>
  <c r="BH131" i="59"/>
  <c r="BM131" i="59"/>
  <c r="BR131" i="59"/>
  <c r="AF163" i="59"/>
  <c r="R139" i="59"/>
  <c r="AJ139" i="59"/>
  <c r="AO139" i="59"/>
  <c r="AS139" i="59"/>
  <c r="W140" i="59"/>
  <c r="AD140" i="59"/>
  <c r="AV140" i="59"/>
  <c r="AG141" i="59"/>
  <c r="AN141" i="59"/>
  <c r="AR141" i="59"/>
  <c r="AV141" i="59"/>
  <c r="O142" i="59"/>
  <c r="AB142" i="59"/>
  <c r="AT142" i="59"/>
  <c r="AY142" i="59"/>
  <c r="BC142" i="59"/>
  <c r="AS143" i="59"/>
  <c r="AY143" i="59"/>
  <c r="BD143" i="59"/>
  <c r="AC144" i="59"/>
  <c r="AG145" i="59"/>
  <c r="AM145" i="59"/>
  <c r="AN147" i="59"/>
  <c r="AV147" i="59"/>
  <c r="AL148" i="59"/>
  <c r="S149" i="59"/>
  <c r="AE149" i="59"/>
  <c r="AM149" i="59"/>
  <c r="U150" i="59"/>
  <c r="AW150" i="59"/>
  <c r="BI163" i="59"/>
  <c r="BM163" i="59"/>
  <c r="BR163" i="59"/>
  <c r="M152" i="59"/>
  <c r="AG152" i="59"/>
  <c r="AW152" i="59"/>
  <c r="BB152" i="59"/>
  <c r="BC152" i="59"/>
  <c r="R153" i="59"/>
  <c r="AX153" i="59"/>
  <c r="AW153" i="59"/>
  <c r="AV153" i="59"/>
  <c r="AN154" i="59"/>
  <c r="AM154" i="59"/>
  <c r="AL154" i="59"/>
  <c r="X155" i="59"/>
  <c r="W155" i="59"/>
  <c r="AN157" i="59"/>
  <c r="AM157" i="59"/>
  <c r="AO157" i="59"/>
  <c r="AD159" i="59"/>
  <c r="AC159" i="59"/>
  <c r="AB159" i="59"/>
  <c r="AE159" i="59"/>
  <c r="AN160" i="59"/>
  <c r="AM160" i="59"/>
  <c r="AL160" i="59"/>
  <c r="AO160" i="59"/>
  <c r="Q121" i="59"/>
  <c r="AQ113" i="59"/>
  <c r="W116" i="59"/>
  <c r="BH121" i="59"/>
  <c r="BL107" i="59"/>
  <c r="BQ107" i="59" s="1"/>
  <c r="BV107" i="59" s="1"/>
  <c r="BP121" i="59"/>
  <c r="BT121" i="59"/>
  <c r="BT133" i="59" s="1"/>
  <c r="CS121" i="59"/>
  <c r="BJ186" i="78" s="1"/>
  <c r="W125" i="59"/>
  <c r="AD125" i="59"/>
  <c r="AH125" i="59"/>
  <c r="AL125" i="59"/>
  <c r="AU131" i="59"/>
  <c r="BD125" i="59"/>
  <c r="R126" i="59"/>
  <c r="AQ126" i="59"/>
  <c r="AX126" i="59"/>
  <c r="R127" i="59"/>
  <c r="AJ127" i="59"/>
  <c r="AO127" i="59"/>
  <c r="W128" i="59"/>
  <c r="AD128" i="59"/>
  <c r="AL128" i="59"/>
  <c r="P129" i="59"/>
  <c r="U129" i="59"/>
  <c r="BD129" i="59"/>
  <c r="BI131" i="59"/>
  <c r="BN131" i="59"/>
  <c r="BS131" i="59"/>
  <c r="BS133" i="59" s="1"/>
  <c r="CK126" i="59"/>
  <c r="E131" i="59"/>
  <c r="Q163" i="59"/>
  <c r="BE163" i="59"/>
  <c r="M139" i="59"/>
  <c r="T139" i="59"/>
  <c r="AB139" i="59"/>
  <c r="BA139" i="59"/>
  <c r="Z140" i="59"/>
  <c r="AE140" i="59"/>
  <c r="AQ140" i="59"/>
  <c r="AX140" i="59"/>
  <c r="AJ141" i="59"/>
  <c r="AO141" i="59"/>
  <c r="W142" i="59"/>
  <c r="AD142" i="59"/>
  <c r="AL142" i="59"/>
  <c r="AB145" i="59"/>
  <c r="AI145" i="59"/>
  <c r="AW147" i="59"/>
  <c r="AM148" i="59"/>
  <c r="BJ163" i="59"/>
  <c r="BN163" i="59"/>
  <c r="BS163" i="59"/>
  <c r="O152" i="59"/>
  <c r="T152" i="59"/>
  <c r="S152" i="59"/>
  <c r="AI152" i="59"/>
  <c r="AN152" i="59"/>
  <c r="AL152" i="59"/>
  <c r="AY152" i="59"/>
  <c r="AS153" i="59"/>
  <c r="AI154" i="59"/>
  <c r="AY154" i="59"/>
  <c r="AX154" i="59"/>
  <c r="AE155" i="59"/>
  <c r="N156" i="59"/>
  <c r="O156" i="59"/>
  <c r="M156" i="59"/>
  <c r="BD167" i="59"/>
  <c r="P168" i="59"/>
  <c r="Z168" i="59"/>
  <c r="AT168" i="59"/>
  <c r="AX168" i="59"/>
  <c r="BD168" i="59"/>
  <c r="N169" i="59"/>
  <c r="Z169" i="59"/>
  <c r="AJ169" i="59"/>
  <c r="BD169" i="59"/>
  <c r="X170" i="59"/>
  <c r="AJ170" i="59"/>
  <c r="AT170" i="59"/>
  <c r="P171" i="59"/>
  <c r="X171" i="59"/>
  <c r="AQ171" i="59"/>
  <c r="AY171" i="59"/>
  <c r="M172" i="59"/>
  <c r="R172" i="59"/>
  <c r="AR172" i="59"/>
  <c r="BD172" i="59"/>
  <c r="BI174" i="59"/>
  <c r="BN174" i="59"/>
  <c r="AF192" i="59"/>
  <c r="U183" i="59"/>
  <c r="Z183" i="59"/>
  <c r="AQ183" i="59"/>
  <c r="M184" i="59"/>
  <c r="AE184" i="59"/>
  <c r="AJ184" i="59"/>
  <c r="BA184" i="59"/>
  <c r="U185" i="59"/>
  <c r="Z185" i="59"/>
  <c r="AQ185" i="59"/>
  <c r="P186" i="59"/>
  <c r="AG186" i="59"/>
  <c r="AY186" i="59"/>
  <c r="BD186" i="59"/>
  <c r="W187" i="59"/>
  <c r="AO187" i="59"/>
  <c r="AT187" i="59"/>
  <c r="P188" i="59"/>
  <c r="AG188" i="59"/>
  <c r="AY188" i="59"/>
  <c r="BD188" i="59"/>
  <c r="W189" i="59"/>
  <c r="AO189" i="59"/>
  <c r="AT189" i="59"/>
  <c r="P190" i="59"/>
  <c r="AG190" i="59"/>
  <c r="AY190" i="59"/>
  <c r="BD190" i="59"/>
  <c r="BI192" i="59"/>
  <c r="BM192" i="59"/>
  <c r="CQ192" i="59"/>
  <c r="BH183" i="77" s="1"/>
  <c r="U196" i="59"/>
  <c r="Z196" i="59"/>
  <c r="AK202" i="59"/>
  <c r="AQ196" i="59"/>
  <c r="AZ202" i="59"/>
  <c r="M197" i="59"/>
  <c r="AE197" i="59"/>
  <c r="AJ197" i="59"/>
  <c r="BA197" i="59"/>
  <c r="U198" i="59"/>
  <c r="Z198" i="59"/>
  <c r="AQ198" i="59"/>
  <c r="M199" i="59"/>
  <c r="AE199" i="59"/>
  <c r="AJ199" i="59"/>
  <c r="AE200" i="59"/>
  <c r="AO200" i="59"/>
  <c r="AT200" i="59"/>
  <c r="BJ202" i="59"/>
  <c r="AC211" i="59"/>
  <c r="AH211" i="59"/>
  <c r="AS211" i="59"/>
  <c r="BC211" i="59"/>
  <c r="AO212" i="59"/>
  <c r="AW212" i="59"/>
  <c r="Z213" i="59"/>
  <c r="Z216" i="59" s="1"/>
  <c r="O214" i="59"/>
  <c r="Y214" i="59"/>
  <c r="AO214" i="59"/>
  <c r="CM216" i="59"/>
  <c r="CW216" i="59"/>
  <c r="BJ216" i="59"/>
  <c r="V224" i="59"/>
  <c r="N219" i="59"/>
  <c r="X219" i="59"/>
  <c r="Y219" i="59"/>
  <c r="Z219" i="59"/>
  <c r="X221" i="59"/>
  <c r="Y221" i="59"/>
  <c r="Z221" i="59"/>
  <c r="CP219" i="59"/>
  <c r="CU219" i="59" s="1"/>
  <c r="CZ219" i="59" s="1"/>
  <c r="CL219" i="59"/>
  <c r="AI235" i="59"/>
  <c r="AG235" i="59"/>
  <c r="AJ235" i="59"/>
  <c r="AC238" i="59"/>
  <c r="AD238" i="59"/>
  <c r="AB238" i="59"/>
  <c r="AE238" i="59"/>
  <c r="AI239" i="59"/>
  <c r="AG239" i="59"/>
  <c r="AJ239" i="59"/>
  <c r="AH214" i="59"/>
  <c r="AJ214" i="59"/>
  <c r="AD220" i="59"/>
  <c r="AB220" i="59"/>
  <c r="AE220" i="59"/>
  <c r="AD222" i="59"/>
  <c r="AB222" i="59"/>
  <c r="AE222" i="59"/>
  <c r="AN235" i="59"/>
  <c r="AL235" i="59"/>
  <c r="AO235" i="59"/>
  <c r="Y236" i="59"/>
  <c r="W236" i="59"/>
  <c r="Z236" i="59"/>
  <c r="O238" i="59"/>
  <c r="N238" i="59"/>
  <c r="P238" i="59"/>
  <c r="AM239" i="59"/>
  <c r="AN239" i="59"/>
  <c r="AL239" i="59"/>
  <c r="AO239" i="59"/>
  <c r="Y240" i="59"/>
  <c r="W240" i="59"/>
  <c r="Z240" i="59"/>
  <c r="AX156" i="59"/>
  <c r="AQ157" i="59"/>
  <c r="AW157" i="59"/>
  <c r="AG158" i="59"/>
  <c r="AM158" i="59"/>
  <c r="M160" i="59"/>
  <c r="S160" i="59"/>
  <c r="AX160" i="59"/>
  <c r="BB167" i="59"/>
  <c r="R168" i="59"/>
  <c r="X168" i="59"/>
  <c r="AR168" i="59"/>
  <c r="AV168" i="59"/>
  <c r="BA168" i="59"/>
  <c r="AB169" i="59"/>
  <c r="AH169" i="59"/>
  <c r="BB169" i="59"/>
  <c r="AL170" i="59"/>
  <c r="AR170" i="59"/>
  <c r="N171" i="59"/>
  <c r="S171" i="59"/>
  <c r="AD171" i="59"/>
  <c r="AN171" i="59"/>
  <c r="P172" i="59"/>
  <c r="U172" i="59"/>
  <c r="BK174" i="59"/>
  <c r="BK176" i="59" s="1"/>
  <c r="BP174" i="59"/>
  <c r="L192" i="59"/>
  <c r="AZ192" i="59"/>
  <c r="W183" i="59"/>
  <c r="AO183" i="59"/>
  <c r="AT183" i="59"/>
  <c r="P184" i="59"/>
  <c r="AG184" i="59"/>
  <c r="AY184" i="59"/>
  <c r="BD184" i="59"/>
  <c r="W185" i="59"/>
  <c r="AO185" i="59"/>
  <c r="AT185" i="59"/>
  <c r="M186" i="59"/>
  <c r="AE186" i="59"/>
  <c r="AJ186" i="59"/>
  <c r="BA186" i="59"/>
  <c r="U187" i="59"/>
  <c r="Z187" i="59"/>
  <c r="AQ187" i="59"/>
  <c r="M188" i="59"/>
  <c r="AE188" i="59"/>
  <c r="AJ188" i="59"/>
  <c r="BA188" i="59"/>
  <c r="U189" i="59"/>
  <c r="Z189" i="59"/>
  <c r="AQ189" i="59"/>
  <c r="M190" i="59"/>
  <c r="AE190" i="59"/>
  <c r="AJ190" i="59"/>
  <c r="BA190" i="59"/>
  <c r="BO192" i="59"/>
  <c r="BT192" i="59"/>
  <c r="CN192" i="59"/>
  <c r="BE183" i="77" s="1"/>
  <c r="CS192" i="59"/>
  <c r="BJ183" i="77" s="1"/>
  <c r="W196" i="59"/>
  <c r="AX196" i="59"/>
  <c r="P197" i="59"/>
  <c r="AG197" i="59"/>
  <c r="AY197" i="59"/>
  <c r="BD197" i="59"/>
  <c r="W198" i="59"/>
  <c r="AO198" i="59"/>
  <c r="AT198" i="59"/>
  <c r="P199" i="59"/>
  <c r="AG199" i="59"/>
  <c r="R200" i="59"/>
  <c r="Y200" i="59"/>
  <c r="AC200" i="59"/>
  <c r="AQ200" i="59"/>
  <c r="BM202" i="59"/>
  <c r="BR202" i="59"/>
  <c r="BW202" i="59"/>
  <c r="AA202" i="59"/>
  <c r="AM211" i="59"/>
  <c r="L216" i="59"/>
  <c r="X212" i="59"/>
  <c r="AC212" i="59"/>
  <c r="AI212" i="59"/>
  <c r="AM212" i="59"/>
  <c r="AR212" i="59"/>
  <c r="BC212" i="59"/>
  <c r="O213" i="59"/>
  <c r="AL214" i="59"/>
  <c r="AK224" i="59"/>
  <c r="AP224" i="59"/>
  <c r="BE224" i="59"/>
  <c r="T219" i="59"/>
  <c r="R219" i="59"/>
  <c r="U219" i="59"/>
  <c r="AM220" i="59"/>
  <c r="AN220" i="59"/>
  <c r="T221" i="59"/>
  <c r="R221" i="59"/>
  <c r="U221" i="59"/>
  <c r="AH222" i="59"/>
  <c r="AI222" i="59"/>
  <c r="AG222" i="59"/>
  <c r="AJ222" i="59"/>
  <c r="BK224" i="59"/>
  <c r="BO224" i="59"/>
  <c r="BG224" i="59"/>
  <c r="AC236" i="59"/>
  <c r="AD236" i="59"/>
  <c r="AB236" i="59"/>
  <c r="AE236" i="59"/>
  <c r="AI237" i="59"/>
  <c r="AG237" i="59"/>
  <c r="AJ237" i="59"/>
  <c r="AC240" i="59"/>
  <c r="AD240" i="59"/>
  <c r="AB240" i="59"/>
  <c r="AE240" i="59"/>
  <c r="AI241" i="59"/>
  <c r="AG241" i="59"/>
  <c r="AJ241" i="59"/>
  <c r="AL156" i="59"/>
  <c r="AB157" i="59"/>
  <c r="AS157" i="59"/>
  <c r="AY157" i="59"/>
  <c r="R158" i="59"/>
  <c r="AI158" i="59"/>
  <c r="AO158" i="59"/>
  <c r="AV159" i="59"/>
  <c r="O160" i="59"/>
  <c r="U160" i="59"/>
  <c r="M168" i="59"/>
  <c r="AW168" i="59"/>
  <c r="BB168" i="59"/>
  <c r="W169" i="59"/>
  <c r="AG170" i="59"/>
  <c r="AV171" i="59"/>
  <c r="BA172" i="59"/>
  <c r="BR174" i="59"/>
  <c r="V192" i="59"/>
  <c r="R183" i="59"/>
  <c r="Y183" i="59"/>
  <c r="AB184" i="59"/>
  <c r="AI184" i="59"/>
  <c r="R185" i="59"/>
  <c r="Y185" i="59"/>
  <c r="O186" i="59"/>
  <c r="AV186" i="59"/>
  <c r="BC186" i="59"/>
  <c r="AL187" i="59"/>
  <c r="AS187" i="59"/>
  <c r="O188" i="59"/>
  <c r="AV188" i="59"/>
  <c r="BC188" i="59"/>
  <c r="AL189" i="59"/>
  <c r="AS189" i="59"/>
  <c r="O190" i="59"/>
  <c r="AV190" i="59"/>
  <c r="BC190" i="59"/>
  <c r="BH192" i="59"/>
  <c r="BP192" i="59"/>
  <c r="BU192" i="59"/>
  <c r="CO192" i="59"/>
  <c r="BF183" i="77" s="1"/>
  <c r="R196" i="59"/>
  <c r="Y196" i="59"/>
  <c r="AU202" i="59"/>
  <c r="AB197" i="59"/>
  <c r="AI197" i="59"/>
  <c r="R198" i="59"/>
  <c r="Y198" i="59"/>
  <c r="AB199" i="59"/>
  <c r="AI199" i="59"/>
  <c r="AL200" i="59"/>
  <c r="AS200" i="59"/>
  <c r="BI202" i="59"/>
  <c r="BN202" i="59"/>
  <c r="BN204" i="59" s="1"/>
  <c r="BS202" i="59"/>
  <c r="BS204" i="59" s="1"/>
  <c r="BA211" i="59"/>
  <c r="W213" i="59"/>
  <c r="W214" i="59"/>
  <c r="AD214" i="59"/>
  <c r="AB214" i="59"/>
  <c r="AB216" i="59" s="1"/>
  <c r="AM214" i="59"/>
  <c r="CQ216" i="59"/>
  <c r="AC219" i="59"/>
  <c r="AD219" i="59"/>
  <c r="AH220" i="59"/>
  <c r="AI220" i="59"/>
  <c r="AJ220" i="59"/>
  <c r="AC221" i="59"/>
  <c r="AD221" i="59"/>
  <c r="O236" i="59"/>
  <c r="N236" i="59"/>
  <c r="P236" i="59"/>
  <c r="AM237" i="59"/>
  <c r="AN237" i="59"/>
  <c r="AL237" i="59"/>
  <c r="AO237" i="59"/>
  <c r="Y238" i="59"/>
  <c r="W238" i="59"/>
  <c r="Z238" i="59"/>
  <c r="O240" i="59"/>
  <c r="N240" i="59"/>
  <c r="P240" i="59"/>
  <c r="AM241" i="59"/>
  <c r="AN241" i="59"/>
  <c r="AL241" i="59"/>
  <c r="AO241" i="59"/>
  <c r="AN222" i="59"/>
  <c r="BT224" i="59"/>
  <c r="BT226" i="59" s="1"/>
  <c r="BY224" i="59"/>
  <c r="AS235" i="59"/>
  <c r="AI236" i="59"/>
  <c r="AQ236" i="59"/>
  <c r="AX236" i="59"/>
  <c r="AS237" i="59"/>
  <c r="AI238" i="59"/>
  <c r="AQ238" i="59"/>
  <c r="AX238" i="59"/>
  <c r="AS239" i="59"/>
  <c r="AI240" i="59"/>
  <c r="AQ240" i="59"/>
  <c r="AX240" i="59"/>
  <c r="AS241" i="59"/>
  <c r="O242" i="59"/>
  <c r="Z242" i="59"/>
  <c r="AD242" i="59"/>
  <c r="AI242" i="59"/>
  <c r="Y243" i="59"/>
  <c r="AJ243" i="59"/>
  <c r="AN243" i="59"/>
  <c r="AS243" i="59"/>
  <c r="AE244" i="59"/>
  <c r="AY244" i="59"/>
  <c r="BG247" i="59"/>
  <c r="BG258" i="59" s="1"/>
  <c r="BK247" i="59"/>
  <c r="BU247" i="59"/>
  <c r="CJ247" i="59"/>
  <c r="AV134" i="98" s="1"/>
  <c r="CO247" i="59"/>
  <c r="BA134" i="98" s="1"/>
  <c r="CY247" i="59"/>
  <c r="BK134" i="98" s="1"/>
  <c r="CH247" i="59"/>
  <c r="AT134" i="98" s="1"/>
  <c r="AN251" i="59"/>
  <c r="AO251" i="59"/>
  <c r="AY251" i="59"/>
  <c r="U252" i="59"/>
  <c r="AH251" i="59"/>
  <c r="AI251" i="59"/>
  <c r="AX252" i="59"/>
  <c r="AY252" i="59"/>
  <c r="AH253" i="59"/>
  <c r="AI253" i="59"/>
  <c r="AD254" i="59"/>
  <c r="AE254" i="59"/>
  <c r="AC254" i="59"/>
  <c r="AC244" i="59"/>
  <c r="AW244" i="59"/>
  <c r="BI247" i="59"/>
  <c r="BS247" i="59"/>
  <c r="CM247" i="59"/>
  <c r="AY134" i="98" s="1"/>
  <c r="CR247" i="59"/>
  <c r="BD134" i="98" s="1"/>
  <c r="CW247" i="59"/>
  <c r="BI134" i="98" s="1"/>
  <c r="CT247" i="59"/>
  <c r="BF134" i="98" s="1"/>
  <c r="BN247" i="59"/>
  <c r="T251" i="59"/>
  <c r="R251" i="59"/>
  <c r="AV251" i="59"/>
  <c r="R252" i="59"/>
  <c r="AD252" i="59"/>
  <c r="AE252" i="59"/>
  <c r="T253" i="59"/>
  <c r="R253" i="59"/>
  <c r="T254" i="59"/>
  <c r="S254" i="59"/>
  <c r="BI216" i="59"/>
  <c r="BM216" i="59"/>
  <c r="BM226" i="59" s="1"/>
  <c r="BR216" i="59"/>
  <c r="CO216" i="59"/>
  <c r="L224" i="59"/>
  <c r="Q224" i="59"/>
  <c r="BN224" i="59"/>
  <c r="AV236" i="59"/>
  <c r="AV238" i="59"/>
  <c r="AV240" i="59"/>
  <c r="AH242" i="59"/>
  <c r="AO242" i="59"/>
  <c r="BC242" i="59"/>
  <c r="AR243" i="59"/>
  <c r="AY243" i="59"/>
  <c r="O244" i="59"/>
  <c r="U244" i="59"/>
  <c r="Z244" i="59"/>
  <c r="BO247" i="59"/>
  <c r="CI247" i="59"/>
  <c r="AU134" i="98" s="1"/>
  <c r="CN247" i="59"/>
  <c r="AZ134" i="98" s="1"/>
  <c r="CS247" i="59"/>
  <c r="BE134" i="98" s="1"/>
  <c r="CX247" i="59"/>
  <c r="BJ134" i="98" s="1"/>
  <c r="AM251" i="59"/>
  <c r="AX251" i="59"/>
  <c r="AX256" i="59" s="1"/>
  <c r="BB251" i="59"/>
  <c r="BA251" i="59"/>
  <c r="S252" i="59"/>
  <c r="X252" i="59"/>
  <c r="Y252" i="59"/>
  <c r="AV252" i="59"/>
  <c r="AN253" i="59"/>
  <c r="AO253" i="59"/>
  <c r="AM253" i="59"/>
  <c r="X254" i="59"/>
  <c r="Y254" i="59"/>
  <c r="W254" i="59"/>
  <c r="AH265" i="59"/>
  <c r="AJ266" i="59"/>
  <c r="P268" i="59"/>
  <c r="AD268" i="59"/>
  <c r="AN269" i="59"/>
  <c r="P270" i="59"/>
  <c r="AD270" i="59"/>
  <c r="P271" i="59"/>
  <c r="Z271" i="59"/>
  <c r="AN271" i="59"/>
  <c r="P272" i="59"/>
  <c r="AD272" i="59"/>
  <c r="AJ273" i="59"/>
  <c r="AT273" i="59"/>
  <c r="P274" i="59"/>
  <c r="P275" i="59"/>
  <c r="Z275" i="59"/>
  <c r="AN275" i="59"/>
  <c r="P276" i="59"/>
  <c r="AD276" i="59"/>
  <c r="AN277" i="59"/>
  <c r="Z278" i="59"/>
  <c r="AJ278" i="59"/>
  <c r="AJ279" i="59"/>
  <c r="AT279" i="59"/>
  <c r="U284" i="59"/>
  <c r="AE284" i="59"/>
  <c r="AJ284" i="59"/>
  <c r="W285" i="59"/>
  <c r="AY285" i="59"/>
  <c r="M286" i="59"/>
  <c r="AO286" i="59"/>
  <c r="AY286" i="59"/>
  <c r="BD286" i="59"/>
  <c r="AC287" i="59"/>
  <c r="AQ287" i="59"/>
  <c r="AQ289" i="59" s="1"/>
  <c r="AX126" i="100" s="1"/>
  <c r="AX155" i="100" s="1"/>
  <c r="BI289" i="59"/>
  <c r="E289" i="59"/>
  <c r="AN298" i="59"/>
  <c r="AO298" i="59"/>
  <c r="AV298" i="59"/>
  <c r="R299" i="59"/>
  <c r="AX299" i="59"/>
  <c r="AY299" i="59"/>
  <c r="AE300" i="59"/>
  <c r="AB300" i="59"/>
  <c r="BJ291" i="59"/>
  <c r="P298" i="59"/>
  <c r="N298" i="59"/>
  <c r="AJ298" i="59"/>
  <c r="AI298" i="59"/>
  <c r="Z299" i="59"/>
  <c r="X299" i="59"/>
  <c r="AT299" i="59"/>
  <c r="AS299" i="59"/>
  <c r="T300" i="59"/>
  <c r="S300" i="59"/>
  <c r="AY300" i="59"/>
  <c r="AW300" i="59"/>
  <c r="AX300" i="59"/>
  <c r="O266" i="59"/>
  <c r="S266" i="59"/>
  <c r="X266" i="59"/>
  <c r="AD266" i="59"/>
  <c r="AH266" i="59"/>
  <c r="AL266" i="59"/>
  <c r="AH267" i="59"/>
  <c r="N268" i="59"/>
  <c r="N269" i="59"/>
  <c r="Y269" i="59"/>
  <c r="N270" i="59"/>
  <c r="AR270" i="59"/>
  <c r="BC270" i="59"/>
  <c r="M271" i="59"/>
  <c r="R271" i="59"/>
  <c r="X271" i="59"/>
  <c r="N272" i="59"/>
  <c r="N273" i="59"/>
  <c r="Y273" i="59"/>
  <c r="AG273" i="59"/>
  <c r="AL273" i="59"/>
  <c r="AR273" i="59"/>
  <c r="N274" i="59"/>
  <c r="AR274" i="59"/>
  <c r="BC274" i="59"/>
  <c r="M275" i="59"/>
  <c r="R275" i="59"/>
  <c r="X275" i="59"/>
  <c r="N276" i="59"/>
  <c r="N277" i="59"/>
  <c r="Y277" i="59"/>
  <c r="O278" i="59"/>
  <c r="W278" i="59"/>
  <c r="AB278" i="59"/>
  <c r="AH278" i="59"/>
  <c r="N279" i="59"/>
  <c r="AG279" i="59"/>
  <c r="AR279" i="59"/>
  <c r="BX281" i="59"/>
  <c r="CI276" i="59"/>
  <c r="BE281" i="59"/>
  <c r="BL127" i="100" s="1"/>
  <c r="S284" i="59"/>
  <c r="AG284" i="59"/>
  <c r="AG289" i="59" s="1"/>
  <c r="AZ289" i="59"/>
  <c r="U285" i="59"/>
  <c r="Z285" i="59"/>
  <c r="AL285" i="59"/>
  <c r="AS285" i="59"/>
  <c r="AW285" i="59"/>
  <c r="P286" i="59"/>
  <c r="AB286" i="59"/>
  <c r="AI286" i="59"/>
  <c r="AM286" i="59"/>
  <c r="BA286" i="59"/>
  <c r="AO287" i="59"/>
  <c r="AT287" i="59"/>
  <c r="BG289" i="59"/>
  <c r="BK289" i="59"/>
  <c r="AL298" i="59"/>
  <c r="AY298" i="59"/>
  <c r="U299" i="59"/>
  <c r="AV299" i="59"/>
  <c r="AV254" i="59"/>
  <c r="M265" i="59"/>
  <c r="AA281" i="59"/>
  <c r="AG265" i="59"/>
  <c r="AV265" i="59"/>
  <c r="T266" i="59"/>
  <c r="Z266" i="59"/>
  <c r="AE266" i="59"/>
  <c r="AM266" i="59"/>
  <c r="AJ267" i="59"/>
  <c r="W268" i="59"/>
  <c r="AB268" i="59"/>
  <c r="P269" i="59"/>
  <c r="AG269" i="59"/>
  <c r="AL269" i="59"/>
  <c r="W270" i="59"/>
  <c r="AB270" i="59"/>
  <c r="AT270" i="59"/>
  <c r="N271" i="59"/>
  <c r="T271" i="59"/>
  <c r="AG271" i="59"/>
  <c r="AL271" i="59"/>
  <c r="W272" i="59"/>
  <c r="AB272" i="59"/>
  <c r="P273" i="59"/>
  <c r="AH273" i="59"/>
  <c r="AN273" i="59"/>
  <c r="AT274" i="59"/>
  <c r="N275" i="59"/>
  <c r="T275" i="59"/>
  <c r="AG275" i="59"/>
  <c r="AL275" i="59"/>
  <c r="W276" i="59"/>
  <c r="AB276" i="59"/>
  <c r="P277" i="59"/>
  <c r="AG277" i="59"/>
  <c r="AL277" i="59"/>
  <c r="BA277" i="59"/>
  <c r="X278" i="59"/>
  <c r="AD278" i="59"/>
  <c r="P279" i="59"/>
  <c r="AH279" i="59"/>
  <c r="AN279" i="59"/>
  <c r="BA279" i="59"/>
  <c r="BP281" i="59"/>
  <c r="BT281" i="59"/>
  <c r="AB284" i="59"/>
  <c r="AV286" i="59"/>
  <c r="BC286" i="59"/>
  <c r="T298" i="59"/>
  <c r="U298" i="59"/>
  <c r="AG298" i="59"/>
  <c r="AR298" i="59"/>
  <c r="AT298" i="59"/>
  <c r="AD299" i="59"/>
  <c r="AE299" i="59"/>
  <c r="AQ299" i="59"/>
  <c r="AH303" i="59"/>
  <c r="AR303" i="59"/>
  <c r="BA303" i="59"/>
  <c r="N304" i="59"/>
  <c r="T304" i="59"/>
  <c r="Y304" i="59"/>
  <c r="AL304" i="59"/>
  <c r="BD304" i="59"/>
  <c r="Z305" i="59"/>
  <c r="AJ305" i="59"/>
  <c r="AR305" i="59"/>
  <c r="AX305" i="59"/>
  <c r="BC305" i="59"/>
  <c r="R306" i="59"/>
  <c r="BD306" i="59"/>
  <c r="AT307" i="59"/>
  <c r="BD307" i="59"/>
  <c r="N308" i="59"/>
  <c r="T308" i="59"/>
  <c r="Y308" i="59"/>
  <c r="BD308" i="59"/>
  <c r="AR309" i="59"/>
  <c r="AX309" i="59"/>
  <c r="BC309" i="59"/>
  <c r="P314" i="59"/>
  <c r="T314" i="59"/>
  <c r="AY314" i="59"/>
  <c r="S315" i="59"/>
  <c r="S319" i="59" s="1"/>
  <c r="Z316" i="59"/>
  <c r="AJ316" i="59"/>
  <c r="AN316" i="59"/>
  <c r="AT316" i="59"/>
  <c r="AY316" i="59"/>
  <c r="P317" i="59"/>
  <c r="BU319" i="59"/>
  <c r="BA304" i="59"/>
  <c r="W305" i="59"/>
  <c r="AH305" i="59"/>
  <c r="BA306" i="59"/>
  <c r="AQ307" i="59"/>
  <c r="BB307" i="59"/>
  <c r="BA308" i="59"/>
  <c r="L319" i="59"/>
  <c r="M314" i="59"/>
  <c r="AL315" i="59"/>
  <c r="AD316" i="59"/>
  <c r="AH316" i="59"/>
  <c r="AL316" i="59"/>
  <c r="AQ316" i="59"/>
  <c r="AV316" i="59"/>
  <c r="Y317" i="59"/>
  <c r="AC317" i="59"/>
  <c r="AS317" i="59"/>
  <c r="AW317" i="59"/>
  <c r="BM319" i="59"/>
  <c r="BT311" i="59"/>
  <c r="O303" i="59"/>
  <c r="Z303" i="59"/>
  <c r="AG303" i="59"/>
  <c r="M304" i="59"/>
  <c r="R304" i="59"/>
  <c r="BB304" i="59"/>
  <c r="X305" i="59"/>
  <c r="AD305" i="59"/>
  <c r="AQ305" i="59"/>
  <c r="AV305" i="59"/>
  <c r="AJ306" i="59"/>
  <c r="BB306" i="59"/>
  <c r="Z307" i="59"/>
  <c r="AR307" i="59"/>
  <c r="AX307" i="59"/>
  <c r="M308" i="59"/>
  <c r="R308" i="59"/>
  <c r="AJ308" i="59"/>
  <c r="BB308" i="59"/>
  <c r="Z309" i="59"/>
  <c r="AQ309" i="59"/>
  <c r="AV309" i="59"/>
  <c r="V319" i="59"/>
  <c r="O314" i="59"/>
  <c r="AV314" i="59"/>
  <c r="BC314" i="59"/>
  <c r="R315" i="59"/>
  <c r="W315" i="59"/>
  <c r="AO315" i="59"/>
  <c r="X316" i="59"/>
  <c r="AE316" i="59"/>
  <c r="AE319" i="59" s="1"/>
  <c r="AM316" i="59"/>
  <c r="AR316" i="59"/>
  <c r="AX316" i="59"/>
  <c r="AD317" i="59"/>
  <c r="AD319" i="59" s="1"/>
  <c r="AX317" i="59"/>
  <c r="BJ319" i="59"/>
  <c r="BO319" i="59"/>
  <c r="BT319" i="59"/>
  <c r="BI319" i="59"/>
  <c r="AO49" i="59"/>
  <c r="AY49" i="59"/>
  <c r="AF90" i="59"/>
  <c r="U49" i="59"/>
  <c r="AM49" i="59"/>
  <c r="AS49" i="59"/>
  <c r="AX49" i="59"/>
  <c r="AB23" i="59"/>
  <c r="AL23" i="59"/>
  <c r="AW23" i="59"/>
  <c r="AY23" i="59"/>
  <c r="M27" i="59"/>
  <c r="W27" i="59"/>
  <c r="AE27" i="59"/>
  <c r="AV27" i="59"/>
  <c r="BA27" i="59"/>
  <c r="O27" i="59"/>
  <c r="BC27" i="59"/>
  <c r="BC23" i="59"/>
  <c r="S23" i="59"/>
  <c r="BL31" i="59"/>
  <c r="T23" i="59"/>
  <c r="AG23" i="59"/>
  <c r="AM23" i="59"/>
  <c r="V31" i="59"/>
  <c r="AC23" i="59"/>
  <c r="AI23" i="59"/>
  <c r="AV23" i="59"/>
  <c r="BA23" i="59"/>
  <c r="AO300" i="59"/>
  <c r="E311" i="59"/>
  <c r="AD300" i="59"/>
  <c r="AL300" i="59"/>
  <c r="R300" i="59"/>
  <c r="AM300" i="59"/>
  <c r="CI303" i="59"/>
  <c r="CE303" i="59"/>
  <c r="P303" i="59"/>
  <c r="X303" i="59"/>
  <c r="AD303" i="59"/>
  <c r="AQ303" i="59"/>
  <c r="AV303" i="59"/>
  <c r="BB303" i="59"/>
  <c r="BC303" i="59"/>
  <c r="AT303" i="59"/>
  <c r="AI93" i="80"/>
  <c r="AI78" i="80"/>
  <c r="AI500" i="80" s="1"/>
  <c r="AI85" i="80"/>
  <c r="AI65" i="80"/>
  <c r="BC93" i="80"/>
  <c r="BC65" i="80"/>
  <c r="BC533" i="80" s="1"/>
  <c r="BC52" i="80"/>
  <c r="AC58" i="80"/>
  <c r="AH58" i="80"/>
  <c r="AM58" i="80"/>
  <c r="BB58" i="80"/>
  <c r="BG58" i="80"/>
  <c r="BL58" i="80"/>
  <c r="AE81" i="80"/>
  <c r="AT81" i="80"/>
  <c r="AY81" i="80"/>
  <c r="AC62" i="80"/>
  <c r="AH62" i="80"/>
  <c r="AI73" i="80"/>
  <c r="AW62" i="80"/>
  <c r="BG62" i="80"/>
  <c r="BL62" i="80"/>
  <c r="AI69" i="80"/>
  <c r="BW7" i="97"/>
  <c r="BW9" i="97" s="1"/>
  <c r="BQ102" i="80"/>
  <c r="BP102" i="80" s="1"/>
  <c r="BO102" i="80" s="1"/>
  <c r="BN102" i="80" s="1"/>
  <c r="BM102" i="80" s="1"/>
  <c r="AE85" i="80"/>
  <c r="AE387" i="80" s="1"/>
  <c r="AE65" i="80"/>
  <c r="AE69" i="80"/>
  <c r="AT93" i="80"/>
  <c r="AT70" i="80"/>
  <c r="AT65" i="80"/>
  <c r="AY65" i="80"/>
  <c r="AY69" i="80"/>
  <c r="AE73" i="80"/>
  <c r="AE400" i="80" s="1"/>
  <c r="AY73" i="80"/>
  <c r="AX65" i="80"/>
  <c r="AE78" i="80"/>
  <c r="AE500" i="80" s="1"/>
  <c r="AE86" i="80"/>
  <c r="AE606" i="80" s="1"/>
  <c r="AU69" i="80"/>
  <c r="AU86" i="80"/>
  <c r="AU606" i="80" s="1"/>
  <c r="AU74" i="80"/>
  <c r="BJ93" i="80"/>
  <c r="BJ426" i="80" s="1"/>
  <c r="BJ52" i="80"/>
  <c r="BC69" i="80"/>
  <c r="AI86" i="80"/>
  <c r="AI606" i="80" s="1"/>
  <c r="AU93" i="80"/>
  <c r="AU459" i="80" s="1"/>
  <c r="AD70" i="80"/>
  <c r="AI81" i="80"/>
  <c r="AP65" i="80"/>
  <c r="BJ65" i="80"/>
  <c r="BJ533" i="80" s="1"/>
  <c r="AU78" i="80"/>
  <c r="AU500" i="80" s="1"/>
  <c r="AY86" i="80"/>
  <c r="AY606" i="80" s="1"/>
  <c r="AY93" i="80"/>
  <c r="AW59" i="80"/>
  <c r="AX81" i="80"/>
  <c r="BC70" i="80"/>
  <c r="AE90" i="80"/>
  <c r="AY90" i="80"/>
  <c r="BK74" i="80"/>
  <c r="AC102" i="80"/>
  <c r="AH102" i="80"/>
  <c r="AM102" i="80"/>
  <c r="AR102" i="80"/>
  <c r="AW102" i="80"/>
  <c r="BB102" i="80"/>
  <c r="BG102" i="80"/>
  <c r="BL102" i="80"/>
  <c r="BB130" i="80"/>
  <c r="BG130" i="80"/>
  <c r="BL130" i="80"/>
  <c r="BQ130" i="80"/>
  <c r="BB134" i="80"/>
  <c r="BG134" i="80"/>
  <c r="BL134" i="80"/>
  <c r="BQ134" i="80"/>
  <c r="AH135" i="80"/>
  <c r="AI136" i="80"/>
  <c r="AN136" i="80"/>
  <c r="AN644" i="80" s="1"/>
  <c r="AW135" i="80"/>
  <c r="BB135" i="80"/>
  <c r="BC136" i="80"/>
  <c r="BH136" i="80"/>
  <c r="BH644" i="80" s="1"/>
  <c r="BQ135" i="80"/>
  <c r="Z136" i="80"/>
  <c r="AG140" i="80"/>
  <c r="AG657" i="80" s="1"/>
  <c r="AV140" i="80"/>
  <c r="AV657" i="80" s="1"/>
  <c r="BA140" i="80"/>
  <c r="BA657" i="80" s="1"/>
  <c r="BP140" i="80"/>
  <c r="BP657" i="80" s="1"/>
  <c r="BI8" i="97"/>
  <c r="BE9" i="97"/>
  <c r="BI12" i="97"/>
  <c r="BH16" i="97"/>
  <c r="BH20" i="97"/>
  <c r="BG24" i="97"/>
  <c r="BH24" i="97"/>
  <c r="BG28" i="97"/>
  <c r="BH28" i="97"/>
  <c r="BL19" i="97"/>
  <c r="BL23" i="97"/>
  <c r="BK27" i="97"/>
  <c r="BL27" i="97"/>
  <c r="BK31" i="97"/>
  <c r="BL31" i="97"/>
  <c r="BM8" i="97"/>
  <c r="BM12" i="97"/>
  <c r="BM36" i="97"/>
  <c r="BM40" i="97"/>
  <c r="BM44" i="97"/>
  <c r="BM48" i="97"/>
  <c r="BN34" i="97"/>
  <c r="BN38" i="97"/>
  <c r="BN42" i="97"/>
  <c r="BN46" i="97"/>
  <c r="BO27" i="97"/>
  <c r="BO31" i="97"/>
  <c r="BO35" i="97"/>
  <c r="BO39" i="97"/>
  <c r="BO43" i="97"/>
  <c r="BO47" i="97"/>
  <c r="BP16" i="97"/>
  <c r="BQ98" i="80" s="1"/>
  <c r="BP28" i="97"/>
  <c r="BP36" i="97"/>
  <c r="BP46" i="97"/>
  <c r="CA85" i="97"/>
  <c r="BY85" i="97" s="1"/>
  <c r="CB85" i="97" s="1"/>
  <c r="BX85" i="97" s="1"/>
  <c r="CA86" i="97"/>
  <c r="BY86" i="97" s="1"/>
  <c r="CB86" i="97" s="1"/>
  <c r="BX86" i="97" s="1"/>
  <c r="CA87" i="97"/>
  <c r="BY87" i="97" s="1"/>
  <c r="CB87" i="97" s="1"/>
  <c r="BX87" i="97" s="1"/>
  <c r="CA88" i="97"/>
  <c r="BY88" i="97" s="1"/>
  <c r="CB88" i="97" s="1"/>
  <c r="BX88" i="97" s="1"/>
  <c r="CA84" i="97"/>
  <c r="BY84" i="97" s="1"/>
  <c r="CB84" i="97" s="1"/>
  <c r="BX84" i="97" s="1"/>
  <c r="CA37" i="97"/>
  <c r="CA39" i="97"/>
  <c r="CA40" i="97"/>
  <c r="CA38" i="97"/>
  <c r="CA36" i="97"/>
  <c r="BE34" i="97"/>
  <c r="BG34" i="97"/>
  <c r="BH34" i="97"/>
  <c r="BK34" i="97"/>
  <c r="BL34" i="97"/>
  <c r="BE36" i="97"/>
  <c r="BG36" i="97"/>
  <c r="BH36" i="97"/>
  <c r="BK36" i="97"/>
  <c r="AM98" i="80"/>
  <c r="AR98" i="80"/>
  <c r="AW98" i="80"/>
  <c r="BB98" i="80"/>
  <c r="BG98" i="80"/>
  <c r="BL98" i="80"/>
  <c r="AJ136" i="80"/>
  <c r="AJ644" i="80" s="1"/>
  <c r="AY136" i="80"/>
  <c r="AY644" i="80" s="1"/>
  <c r="BD136" i="80"/>
  <c r="BD644" i="80" s="1"/>
  <c r="AD136" i="80"/>
  <c r="AD644" i="80" s="1"/>
  <c r="AX136" i="80"/>
  <c r="AX644" i="80" s="1"/>
  <c r="AN140" i="80"/>
  <c r="AS140" i="80"/>
  <c r="BH140" i="80"/>
  <c r="BM140" i="80"/>
  <c r="AA140" i="80"/>
  <c r="AW117" i="80"/>
  <c r="BB117" i="80"/>
  <c r="BG117" i="80"/>
  <c r="BL117" i="80"/>
  <c r="AC119" i="80"/>
  <c r="AH119" i="80"/>
  <c r="AM119" i="80"/>
  <c r="AR119" i="80"/>
  <c r="AW119" i="80"/>
  <c r="BB119" i="80"/>
  <c r="BG119" i="80"/>
  <c r="BL119" i="80"/>
  <c r="AC120" i="80"/>
  <c r="AH120" i="80"/>
  <c r="AM120" i="80"/>
  <c r="AR120" i="80"/>
  <c r="AW120" i="80"/>
  <c r="BB120" i="80"/>
  <c r="BG120" i="80"/>
  <c r="BL120" i="80"/>
  <c r="AC123" i="80"/>
  <c r="AH123" i="80"/>
  <c r="AM123" i="80"/>
  <c r="AR123" i="80"/>
  <c r="AW123" i="80"/>
  <c r="AR130" i="80"/>
  <c r="AW130" i="80"/>
  <c r="BB123" i="80"/>
  <c r="BG123" i="80"/>
  <c r="BL123" i="80"/>
  <c r="AF136" i="80"/>
  <c r="AF644" i="80" s="1"/>
  <c r="AU136" i="80"/>
  <c r="AU644" i="80" s="1"/>
  <c r="AZ136" i="80"/>
  <c r="AZ644" i="80" s="1"/>
  <c r="BO136" i="80"/>
  <c r="BO644" i="80" s="1"/>
  <c r="AJ140" i="80"/>
  <c r="AJ657" i="80" s="1"/>
  <c r="AO140" i="80"/>
  <c r="AO657" i="80" s="1"/>
  <c r="BD140" i="80"/>
  <c r="BD657" i="80" s="1"/>
  <c r="BI140" i="80"/>
  <c r="BI657" i="80" s="1"/>
  <c r="AE140" i="80"/>
  <c r="BI10" i="97"/>
  <c r="BH18" i="97"/>
  <c r="BH22" i="97"/>
  <c r="BG26" i="97"/>
  <c r="BH26" i="97"/>
  <c r="BG30" i="97"/>
  <c r="BH30" i="97"/>
  <c r="BK25" i="97"/>
  <c r="BK29" i="97"/>
  <c r="Y77" i="80"/>
  <c r="AG77" i="80"/>
  <c r="AL93" i="80"/>
  <c r="BA77" i="80"/>
  <c r="BF93" i="80"/>
  <c r="AL70" i="80"/>
  <c r="AQ81" i="80"/>
  <c r="BF70" i="80"/>
  <c r="BK70" i="80"/>
  <c r="AC61" i="80"/>
  <c r="AH61" i="80"/>
  <c r="AI90" i="80"/>
  <c r="AR61" i="80"/>
  <c r="BB61" i="80"/>
  <c r="BC90" i="80"/>
  <c r="BL61" i="80"/>
  <c r="AU73" i="80"/>
  <c r="AQ65" i="80"/>
  <c r="AC101" i="80"/>
  <c r="AH101" i="80"/>
  <c r="AM101" i="80"/>
  <c r="AR101" i="80"/>
  <c r="AW101" i="80"/>
  <c r="BB101" i="80"/>
  <c r="BG101" i="80"/>
  <c r="BL101" i="80"/>
  <c r="AQ136" i="80"/>
  <c r="AQ644" i="80" s="1"/>
  <c r="AV136" i="80"/>
  <c r="AV644" i="80" s="1"/>
  <c r="BK136" i="80"/>
  <c r="BK644" i="80" s="1"/>
  <c r="BP136" i="80"/>
  <c r="BP644" i="80" s="1"/>
  <c r="AF140" i="80"/>
  <c r="AF657" i="80" s="1"/>
  <c r="AK140" i="80"/>
  <c r="AK657" i="80" s="1"/>
  <c r="AZ140" i="80"/>
  <c r="AZ657" i="80" s="1"/>
  <c r="BE140" i="80"/>
  <c r="BE657" i="80" s="1"/>
  <c r="AI140" i="80"/>
  <c r="AI657" i="80" s="1"/>
  <c r="BC140" i="80"/>
  <c r="BC657" i="80" s="1"/>
  <c r="BI9" i="97"/>
  <c r="BE10" i="97"/>
  <c r="BH17" i="97"/>
  <c r="BH21" i="97"/>
  <c r="BG25" i="97"/>
  <c r="BH25" i="97"/>
  <c r="BG29" i="97"/>
  <c r="BH29" i="97"/>
  <c r="BL16" i="97"/>
  <c r="BL20" i="97"/>
  <c r="BK24" i="97"/>
  <c r="BL24" i="97"/>
  <c r="BK28" i="97"/>
  <c r="BL28" i="97"/>
  <c r="BM9" i="97"/>
  <c r="BM37" i="97"/>
  <c r="BM41" i="97"/>
  <c r="BM45" i="97"/>
  <c r="BM49" i="97"/>
  <c r="BN35" i="97"/>
  <c r="BN39" i="97"/>
  <c r="BN43" i="97"/>
  <c r="BN47" i="97"/>
  <c r="BO24" i="97"/>
  <c r="BO28" i="97"/>
  <c r="BO36" i="97"/>
  <c r="BO40" i="97"/>
  <c r="BO44" i="97"/>
  <c r="BO48" i="97"/>
  <c r="BP17" i="97"/>
  <c r="BQ101" i="80" s="1"/>
  <c r="BP101" i="80" s="1"/>
  <c r="BO101" i="80" s="1"/>
  <c r="BN101" i="80" s="1"/>
  <c r="BM101" i="80" s="1"/>
  <c r="BP29" i="97"/>
  <c r="BP37" i="97"/>
  <c r="BP47" i="97"/>
  <c r="BF34" i="97"/>
  <c r="BI34" i="97"/>
  <c r="BJ34" i="97"/>
  <c r="BF36" i="97"/>
  <c r="BI36" i="97"/>
  <c r="BJ36" i="97"/>
  <c r="BX103" i="97"/>
  <c r="CB103" i="97"/>
  <c r="CG103" i="97"/>
  <c r="CL103" i="97"/>
  <c r="CR103" i="97"/>
  <c r="BX104" i="97"/>
  <c r="CC104" i="97"/>
  <c r="CI104" i="97"/>
  <c r="CN104" i="97"/>
  <c r="CS104" i="97"/>
  <c r="BZ105" i="97"/>
  <c r="CE105" i="97"/>
  <c r="CJ105" i="97"/>
  <c r="CP105" i="97"/>
  <c r="CU105" i="97"/>
  <c r="CA106" i="97"/>
  <c r="CG106" i="97"/>
  <c r="CL106" i="97"/>
  <c r="CQ106" i="97"/>
  <c r="BX107" i="97"/>
  <c r="CC107" i="97"/>
  <c r="CH107" i="97"/>
  <c r="CN107" i="97"/>
  <c r="CS107" i="97"/>
  <c r="BY108" i="97"/>
  <c r="CE108" i="97"/>
  <c r="CJ108" i="97"/>
  <c r="CO108" i="97"/>
  <c r="CU108" i="97"/>
  <c r="BA58" i="97"/>
  <c r="BX62" i="97"/>
  <c r="BY103" i="97"/>
  <c r="CC103" i="97"/>
  <c r="CH103" i="97"/>
  <c r="CN103" i="97"/>
  <c r="CS103" i="97"/>
  <c r="BY104" i="97"/>
  <c r="CE104" i="97"/>
  <c r="CJ104" i="97"/>
  <c r="CO104" i="97"/>
  <c r="CU104" i="97"/>
  <c r="CA105" i="97"/>
  <c r="CF105" i="97"/>
  <c r="CL105" i="97"/>
  <c r="CQ105" i="97"/>
  <c r="BW106" i="97"/>
  <c r="CC106" i="97"/>
  <c r="CH106" i="97"/>
  <c r="CM106" i="97"/>
  <c r="CS106" i="97"/>
  <c r="BY107" i="97"/>
  <c r="CD107" i="97"/>
  <c r="CJ107" i="97"/>
  <c r="CO107" i="97"/>
  <c r="CT107" i="97"/>
  <c r="CA108" i="97"/>
  <c r="CF108" i="97"/>
  <c r="CK108" i="97"/>
  <c r="AZ57" i="97"/>
  <c r="BN59" i="80" s="1"/>
  <c r="BB59" i="97"/>
  <c r="BB58" i="97"/>
  <c r="BB57" i="97"/>
  <c r="BP59" i="80" s="1"/>
  <c r="AY59" i="97"/>
  <c r="AY58" i="97"/>
  <c r="AY57" i="97"/>
  <c r="BX78" i="97"/>
  <c r="BX79" i="97"/>
  <c r="BX80" i="97"/>
  <c r="CT108" i="97"/>
  <c r="CP108" i="97"/>
  <c r="CL108" i="97"/>
  <c r="CH108" i="97"/>
  <c r="CD108" i="97"/>
  <c r="BZ108" i="97"/>
  <c r="CU107" i="97"/>
  <c r="CQ107" i="97"/>
  <c r="CM107" i="97"/>
  <c r="CI107" i="97"/>
  <c r="CE107" i="97"/>
  <c r="CA107" i="97"/>
  <c r="BW107" i="97"/>
  <c r="CR106" i="97"/>
  <c r="CN106" i="97"/>
  <c r="CJ106" i="97"/>
  <c r="CF106" i="97"/>
  <c r="CB106" i="97"/>
  <c r="BX106" i="97"/>
  <c r="CS105" i="97"/>
  <c r="CO105" i="97"/>
  <c r="CK105" i="97"/>
  <c r="CG105" i="97"/>
  <c r="CC105" i="97"/>
  <c r="BY105" i="97"/>
  <c r="CT104" i="97"/>
  <c r="CP104" i="97"/>
  <c r="CL104" i="97"/>
  <c r="CH104" i="97"/>
  <c r="CD104" i="97"/>
  <c r="BZ104" i="97"/>
  <c r="CU103" i="97"/>
  <c r="CQ103" i="97"/>
  <c r="CM103" i="97"/>
  <c r="CI103" i="97"/>
  <c r="CE103" i="97"/>
  <c r="BZ103" i="97"/>
  <c r="CD103" i="97"/>
  <c r="CJ103" i="97"/>
  <c r="CO103" i="97"/>
  <c r="CT103" i="97"/>
  <c r="CA104" i="97"/>
  <c r="CF104" i="97"/>
  <c r="CK104" i="97"/>
  <c r="CQ104" i="97"/>
  <c r="BW105" i="97"/>
  <c r="CB105" i="97"/>
  <c r="CH105" i="97"/>
  <c r="CM105" i="97"/>
  <c r="CR105" i="97"/>
  <c r="BY106" i="97"/>
  <c r="CD106" i="97"/>
  <c r="CI106" i="97"/>
  <c r="CO106" i="97"/>
  <c r="CT106" i="97"/>
  <c r="BZ107" i="97"/>
  <c r="CF107" i="97"/>
  <c r="CK107" i="97"/>
  <c r="CP107" i="97"/>
  <c r="BW108" i="97"/>
  <c r="CB108" i="97"/>
  <c r="CG108" i="97"/>
  <c r="CM108" i="97"/>
  <c r="CR108" i="97"/>
  <c r="BA57" i="97"/>
  <c r="BO59" i="80" s="1"/>
  <c r="BA59" i="97"/>
  <c r="BX65" i="97"/>
  <c r="BW103" i="97"/>
  <c r="CA103" i="97"/>
  <c r="CF103" i="97"/>
  <c r="CK103" i="97"/>
  <c r="CP103" i="97"/>
  <c r="BW104" i="97"/>
  <c r="CB104" i="97"/>
  <c r="CG104" i="97"/>
  <c r="CM104" i="97"/>
  <c r="CR104" i="97"/>
  <c r="BX105" i="97"/>
  <c r="CD105" i="97"/>
  <c r="CI105" i="97"/>
  <c r="CN105" i="97"/>
  <c r="CT105" i="97"/>
  <c r="BZ106" i="97"/>
  <c r="CE106" i="97"/>
  <c r="CK106" i="97"/>
  <c r="CP106" i="97"/>
  <c r="CU106" i="97"/>
  <c r="CB107" i="97"/>
  <c r="CG107" i="97"/>
  <c r="CL107" i="97"/>
  <c r="CR107" i="97"/>
  <c r="BX108" i="97"/>
  <c r="CC108" i="97"/>
  <c r="CI108" i="97"/>
  <c r="CN108" i="97"/>
  <c r="CS108" i="97"/>
  <c r="AZ58" i="97"/>
  <c r="CY24" i="59"/>
  <c r="CQ24" i="59"/>
  <c r="CZ24" i="59"/>
  <c r="CV24" i="59"/>
  <c r="CX24" i="59"/>
  <c r="CT24" i="59"/>
  <c r="CR24" i="59"/>
  <c r="CW24" i="59"/>
  <c r="CS24" i="59"/>
  <c r="CW54" i="59"/>
  <c r="CS54" i="59"/>
  <c r="CZ54" i="59"/>
  <c r="CV54" i="59"/>
  <c r="CR54" i="59"/>
  <c r="CY54" i="59"/>
  <c r="CQ54" i="59"/>
  <c r="CT54" i="59"/>
  <c r="CX54" i="59"/>
  <c r="CY77" i="59"/>
  <c r="CX77" i="59"/>
  <c r="CW77" i="59"/>
  <c r="CV77" i="59"/>
  <c r="BD77" i="59"/>
  <c r="BC77" i="59"/>
  <c r="BB77" i="59"/>
  <c r="BA77" i="59"/>
  <c r="CU35" i="59"/>
  <c r="CZ35" i="59" s="1"/>
  <c r="CQ35" i="59"/>
  <c r="CM35" i="59"/>
  <c r="CT35" i="59"/>
  <c r="CL35" i="59"/>
  <c r="CS35" i="59"/>
  <c r="CO35" i="59"/>
  <c r="CN35" i="59"/>
  <c r="CR35" i="59"/>
  <c r="CY37" i="59"/>
  <c r="CX37" i="59"/>
  <c r="CW37" i="59"/>
  <c r="CV37" i="59"/>
  <c r="AF41" i="59"/>
  <c r="CK19" i="59"/>
  <c r="CP19" i="59" s="1"/>
  <c r="CU19" i="59" s="1"/>
  <c r="CZ19" i="59" s="1"/>
  <c r="CG19" i="59"/>
  <c r="CC19" i="59"/>
  <c r="CD19" i="59"/>
  <c r="CJ19" i="59"/>
  <c r="CB19" i="59"/>
  <c r="CI19" i="59"/>
  <c r="CE19" i="59"/>
  <c r="CH19" i="59"/>
  <c r="CK23" i="59"/>
  <c r="CP23" i="59" s="1"/>
  <c r="CU23" i="59" s="1"/>
  <c r="CZ23" i="59" s="1"/>
  <c r="CG23" i="59"/>
  <c r="CC23" i="59"/>
  <c r="CH23" i="59"/>
  <c r="CJ23" i="59"/>
  <c r="CB23" i="59"/>
  <c r="CD23" i="59"/>
  <c r="CI23" i="59"/>
  <c r="CE23" i="59"/>
  <c r="CW27" i="59"/>
  <c r="CS27" i="59"/>
  <c r="CT27" i="59"/>
  <c r="CZ27" i="59"/>
  <c r="CV27" i="59"/>
  <c r="CR27" i="59"/>
  <c r="CY27" i="59"/>
  <c r="CQ27" i="59"/>
  <c r="CX27" i="59"/>
  <c r="CI49" i="59"/>
  <c r="CH49" i="59"/>
  <c r="CK49" i="59"/>
  <c r="CP49" i="59" s="1"/>
  <c r="CU49" i="59" s="1"/>
  <c r="CZ49" i="59" s="1"/>
  <c r="CC49" i="59"/>
  <c r="CB49" i="59"/>
  <c r="CU53" i="59"/>
  <c r="CZ53" i="59" s="1"/>
  <c r="CQ53" i="59"/>
  <c r="CM53" i="59"/>
  <c r="CT53" i="59"/>
  <c r="CL53" i="59"/>
  <c r="CS53" i="59"/>
  <c r="CO53" i="59"/>
  <c r="CN53" i="59"/>
  <c r="CR53" i="59"/>
  <c r="CY55" i="59"/>
  <c r="CX55" i="59"/>
  <c r="CW55" i="59"/>
  <c r="CZ55" i="59"/>
  <c r="CR55" i="59"/>
  <c r="CI69" i="59"/>
  <c r="CE69" i="59"/>
  <c r="CH69" i="59"/>
  <c r="CD69" i="59"/>
  <c r="CK69" i="59"/>
  <c r="CP69" i="59" s="1"/>
  <c r="CU69" i="59" s="1"/>
  <c r="CZ69" i="59" s="1"/>
  <c r="CG69" i="59"/>
  <c r="CC69" i="59"/>
  <c r="CB69" i="59"/>
  <c r="CJ69" i="59"/>
  <c r="BH41" i="59"/>
  <c r="CY26" i="59"/>
  <c r="CY31" i="59" s="1"/>
  <c r="CX26" i="59"/>
  <c r="CW26" i="59"/>
  <c r="CV26" i="59"/>
  <c r="CO34" i="59"/>
  <c r="CO39" i="59" s="1"/>
  <c r="CG34" i="59"/>
  <c r="CN34" i="59"/>
  <c r="CJ34" i="59"/>
  <c r="CM34" i="59"/>
  <c r="CM39" i="59" s="1"/>
  <c r="CI34" i="59"/>
  <c r="CL34" i="59"/>
  <c r="CH34" i="59"/>
  <c r="CH39" i="59" s="1"/>
  <c r="CP34" i="59"/>
  <c r="CU34" i="59" s="1"/>
  <c r="CZ34" i="59" s="1"/>
  <c r="CW36" i="59"/>
  <c r="CZ36" i="59"/>
  <c r="CV36" i="59"/>
  <c r="CV39" i="59" s="1"/>
  <c r="CR36" i="59"/>
  <c r="CQ36" i="59"/>
  <c r="CT36" i="59"/>
  <c r="CX36" i="59"/>
  <c r="CS84" i="59"/>
  <c r="CO84" i="59"/>
  <c r="CR84" i="59"/>
  <c r="CN84" i="59"/>
  <c r="CU84" i="59"/>
  <c r="CZ84" i="59" s="1"/>
  <c r="CQ84" i="59"/>
  <c r="CM84" i="59"/>
  <c r="CT84" i="59"/>
  <c r="CL84" i="59"/>
  <c r="W19" i="59"/>
  <c r="M20" i="59"/>
  <c r="AG20" i="59"/>
  <c r="AQ21" i="59"/>
  <c r="M22" i="59"/>
  <c r="W23" i="59"/>
  <c r="AG26" i="59"/>
  <c r="BA26" i="59"/>
  <c r="BA28" i="59"/>
  <c r="AQ29" i="59"/>
  <c r="BD75" i="59"/>
  <c r="BC75" i="59"/>
  <c r="BB75" i="59"/>
  <c r="AJ79" i="59"/>
  <c r="AI79" i="59"/>
  <c r="AH79" i="59"/>
  <c r="AO96" i="59"/>
  <c r="AN96" i="59"/>
  <c r="AM96" i="59"/>
  <c r="BL131" i="59"/>
  <c r="BQ125" i="59"/>
  <c r="N18" i="59"/>
  <c r="Z18" i="59"/>
  <c r="AD31" i="59"/>
  <c r="AH18" i="59"/>
  <c r="AT18" i="59"/>
  <c r="BB18" i="59"/>
  <c r="P19" i="59"/>
  <c r="X19" i="59"/>
  <c r="AJ19" i="59"/>
  <c r="AR19" i="59"/>
  <c r="BD19" i="59"/>
  <c r="N20" i="59"/>
  <c r="Z20" i="59"/>
  <c r="AH20" i="59"/>
  <c r="AT20" i="59"/>
  <c r="BB20" i="59"/>
  <c r="P21" i="59"/>
  <c r="X21" i="59"/>
  <c r="AJ21" i="59"/>
  <c r="AR21" i="59"/>
  <c r="BD21" i="59"/>
  <c r="N22" i="59"/>
  <c r="Z22" i="59"/>
  <c r="AH22" i="59"/>
  <c r="AT22" i="59"/>
  <c r="BB22" i="59"/>
  <c r="P23" i="59"/>
  <c r="X23" i="59"/>
  <c r="AJ23" i="59"/>
  <c r="AR23" i="59"/>
  <c r="BD23" i="59"/>
  <c r="N24" i="59"/>
  <c r="Z24" i="59"/>
  <c r="AH24" i="59"/>
  <c r="AT24" i="59"/>
  <c r="BB24" i="59"/>
  <c r="P25" i="59"/>
  <c r="X25" i="59"/>
  <c r="AJ25" i="59"/>
  <c r="AR25" i="59"/>
  <c r="BD25" i="59"/>
  <c r="N26" i="59"/>
  <c r="Z26" i="59"/>
  <c r="AH26" i="59"/>
  <c r="AT26" i="59"/>
  <c r="BB26" i="59"/>
  <c r="P27" i="59"/>
  <c r="X27" i="59"/>
  <c r="AJ27" i="59"/>
  <c r="AR27" i="59"/>
  <c r="BD27" i="59"/>
  <c r="N28" i="59"/>
  <c r="Z28" i="59"/>
  <c r="AH28" i="59"/>
  <c r="AT28" i="59"/>
  <c r="BB28" i="59"/>
  <c r="P29" i="59"/>
  <c r="X29" i="59"/>
  <c r="AJ29" i="59"/>
  <c r="AR29" i="59"/>
  <c r="BD29" i="59"/>
  <c r="BQ18" i="59"/>
  <c r="BU41" i="59"/>
  <c r="AA31" i="59"/>
  <c r="AK31" i="59"/>
  <c r="Z36" i="59"/>
  <c r="Y36" i="59"/>
  <c r="X36" i="59"/>
  <c r="AX36" i="59"/>
  <c r="AX39" i="59" s="1"/>
  <c r="AW36" i="59"/>
  <c r="AV36" i="59"/>
  <c r="AJ47" i="59"/>
  <c r="AI47" i="59"/>
  <c r="AH47" i="59"/>
  <c r="Z50" i="59"/>
  <c r="Y50" i="59"/>
  <c r="X50" i="59"/>
  <c r="P51" i="59"/>
  <c r="O51" i="59"/>
  <c r="N51" i="59"/>
  <c r="BD51" i="59"/>
  <c r="BC51" i="59"/>
  <c r="BB51" i="59"/>
  <c r="Z54" i="59"/>
  <c r="Y54" i="59"/>
  <c r="X54" i="59"/>
  <c r="P55" i="59"/>
  <c r="O55" i="59"/>
  <c r="N55" i="59"/>
  <c r="BD55" i="59"/>
  <c r="BC55" i="59"/>
  <c r="BB55" i="59"/>
  <c r="AT59" i="59"/>
  <c r="AS59" i="59"/>
  <c r="AR59" i="59"/>
  <c r="BT90" i="59"/>
  <c r="AT62" i="59"/>
  <c r="AS62" i="59"/>
  <c r="AR62" i="59"/>
  <c r="AT64" i="59"/>
  <c r="AS64" i="59"/>
  <c r="AR64" i="59"/>
  <c r="AJ65" i="59"/>
  <c r="AI65" i="59"/>
  <c r="AH65" i="59"/>
  <c r="Z68" i="59"/>
  <c r="Y68" i="59"/>
  <c r="X68" i="59"/>
  <c r="P69" i="59"/>
  <c r="O69" i="59"/>
  <c r="N69" i="59"/>
  <c r="BD69" i="59"/>
  <c r="BC69" i="59"/>
  <c r="BB69" i="59"/>
  <c r="Z72" i="59"/>
  <c r="Y72" i="59"/>
  <c r="X72" i="59"/>
  <c r="AT76" i="59"/>
  <c r="AS76" i="59"/>
  <c r="AR76" i="59"/>
  <c r="AJ77" i="59"/>
  <c r="AI77" i="59"/>
  <c r="AH77" i="59"/>
  <c r="Z78" i="59"/>
  <c r="Y78" i="59"/>
  <c r="X78" i="59"/>
  <c r="P81" i="59"/>
  <c r="O81" i="59"/>
  <c r="N81" i="59"/>
  <c r="BD81" i="59"/>
  <c r="BC81" i="59"/>
  <c r="BB81" i="59"/>
  <c r="P83" i="59"/>
  <c r="O83" i="59"/>
  <c r="N83" i="59"/>
  <c r="BD83" i="59"/>
  <c r="BC83" i="59"/>
  <c r="BB83" i="59"/>
  <c r="AT84" i="59"/>
  <c r="AS84" i="59"/>
  <c r="AR84" i="59"/>
  <c r="AJ87" i="59"/>
  <c r="AI87" i="59"/>
  <c r="AH87" i="59"/>
  <c r="Z88" i="59"/>
  <c r="Y88" i="59"/>
  <c r="X88" i="59"/>
  <c r="CJ81" i="59"/>
  <c r="AE95" i="59"/>
  <c r="AD95" i="59"/>
  <c r="AC95" i="59"/>
  <c r="AY97" i="59"/>
  <c r="AX97" i="59"/>
  <c r="AW97" i="59"/>
  <c r="CV97" i="59"/>
  <c r="BA22" i="59"/>
  <c r="W25" i="59"/>
  <c r="AQ25" i="59"/>
  <c r="M28" i="59"/>
  <c r="AJ35" i="59"/>
  <c r="AI35" i="59"/>
  <c r="AH35" i="59"/>
  <c r="AJ49" i="59"/>
  <c r="AI49" i="59"/>
  <c r="AH49" i="59"/>
  <c r="Z52" i="59"/>
  <c r="Y52" i="59"/>
  <c r="X52" i="59"/>
  <c r="AR53" i="59"/>
  <c r="AQ53" i="59"/>
  <c r="AT53" i="59"/>
  <c r="AT66" i="59"/>
  <c r="AS66" i="59"/>
  <c r="AR66" i="59"/>
  <c r="AJ67" i="59"/>
  <c r="AI67" i="59"/>
  <c r="AH67" i="59"/>
  <c r="Z74" i="59"/>
  <c r="Y74" i="59"/>
  <c r="X74" i="59"/>
  <c r="P75" i="59"/>
  <c r="O75" i="59"/>
  <c r="N75" i="59"/>
  <c r="Z80" i="59"/>
  <c r="Y80" i="59"/>
  <c r="X80" i="59"/>
  <c r="U94" i="59"/>
  <c r="T94" i="59"/>
  <c r="S94" i="59"/>
  <c r="CS95" i="59"/>
  <c r="CR95" i="59"/>
  <c r="CT95" i="59"/>
  <c r="CQ95" i="59"/>
  <c r="CB121" i="59"/>
  <c r="BX121" i="59"/>
  <c r="BW121" i="59"/>
  <c r="CZ128" i="59"/>
  <c r="CR128" i="59"/>
  <c r="CQ128" i="59"/>
  <c r="CT128" i="59"/>
  <c r="CS128" i="59"/>
  <c r="O18" i="59"/>
  <c r="AI18" i="59"/>
  <c r="BC18" i="59"/>
  <c r="Y19" i="59"/>
  <c r="AS19" i="59"/>
  <c r="O20" i="59"/>
  <c r="AI20" i="59"/>
  <c r="BC20" i="59"/>
  <c r="Y21" i="59"/>
  <c r="AS21" i="59"/>
  <c r="O22" i="59"/>
  <c r="AI22" i="59"/>
  <c r="BC22" i="59"/>
  <c r="Y23" i="59"/>
  <c r="AS23" i="59"/>
  <c r="O24" i="59"/>
  <c r="AI24" i="59"/>
  <c r="BC24" i="59"/>
  <c r="Y25" i="59"/>
  <c r="AS25" i="59"/>
  <c r="O26" i="59"/>
  <c r="AI26" i="59"/>
  <c r="BC26" i="59"/>
  <c r="Y27" i="59"/>
  <c r="AS27" i="59"/>
  <c r="O28" i="59"/>
  <c r="AI28" i="59"/>
  <c r="BC28" i="59"/>
  <c r="Y29" i="59"/>
  <c r="AS29" i="59"/>
  <c r="Q31" i="59"/>
  <c r="AU39" i="59"/>
  <c r="Z34" i="59"/>
  <c r="Y34" i="59"/>
  <c r="X34" i="59"/>
  <c r="P35" i="59"/>
  <c r="O35" i="59"/>
  <c r="N35" i="59"/>
  <c r="BD35" i="59"/>
  <c r="BC35" i="59"/>
  <c r="BB35" i="59"/>
  <c r="P37" i="59"/>
  <c r="O37" i="59"/>
  <c r="N37" i="59"/>
  <c r="BD37" i="59"/>
  <c r="BC37" i="59"/>
  <c r="BB37" i="59"/>
  <c r="CI39" i="59"/>
  <c r="BE39" i="59"/>
  <c r="AA90" i="59"/>
  <c r="AA101" i="59" s="1"/>
  <c r="Z48" i="59"/>
  <c r="Y48" i="59"/>
  <c r="X48" i="59"/>
  <c r="P49" i="59"/>
  <c r="O49" i="59"/>
  <c r="N49" i="59"/>
  <c r="BD49" i="59"/>
  <c r="BC49" i="59"/>
  <c r="BB49" i="59"/>
  <c r="AT52" i="59"/>
  <c r="AS52" i="59"/>
  <c r="AR52" i="59"/>
  <c r="AJ53" i="59"/>
  <c r="AI53" i="59"/>
  <c r="AH53" i="59"/>
  <c r="BD53" i="59"/>
  <c r="BC53" i="59"/>
  <c r="BB53" i="59"/>
  <c r="AT56" i="59"/>
  <c r="AS56" i="59"/>
  <c r="AR56" i="59"/>
  <c r="AJ58" i="59"/>
  <c r="AI58" i="59"/>
  <c r="AH58" i="59"/>
  <c r="BH90" i="59"/>
  <c r="BL90" i="59"/>
  <c r="BQ47" i="59"/>
  <c r="BP90" i="59"/>
  <c r="Z66" i="59"/>
  <c r="Y66" i="59"/>
  <c r="X66" i="59"/>
  <c r="P67" i="59"/>
  <c r="O67" i="59"/>
  <c r="N67" i="59"/>
  <c r="BD67" i="59"/>
  <c r="BC67" i="59"/>
  <c r="BB67" i="59"/>
  <c r="P71" i="59"/>
  <c r="O71" i="59"/>
  <c r="N71" i="59"/>
  <c r="BD71" i="59"/>
  <c r="BC71" i="59"/>
  <c r="BB71" i="59"/>
  <c r="AT74" i="59"/>
  <c r="AS74" i="59"/>
  <c r="AR74" i="59"/>
  <c r="AJ75" i="59"/>
  <c r="AI75" i="59"/>
  <c r="AH75" i="59"/>
  <c r="P79" i="59"/>
  <c r="O79" i="59"/>
  <c r="N79" i="59"/>
  <c r="BD79" i="59"/>
  <c r="BC79" i="59"/>
  <c r="BB79" i="59"/>
  <c r="AT80" i="59"/>
  <c r="AS80" i="59"/>
  <c r="AR80" i="59"/>
  <c r="AT82" i="59"/>
  <c r="AS82" i="59"/>
  <c r="AR82" i="59"/>
  <c r="AJ85" i="59"/>
  <c r="AI85" i="59"/>
  <c r="AH85" i="59"/>
  <c r="Z86" i="59"/>
  <c r="Y86" i="59"/>
  <c r="X86" i="59"/>
  <c r="CO80" i="59"/>
  <c r="CG80" i="59"/>
  <c r="CN80" i="59"/>
  <c r="CJ80" i="59"/>
  <c r="CM80" i="59"/>
  <c r="CI80" i="59"/>
  <c r="CO82" i="59"/>
  <c r="CG82" i="59"/>
  <c r="CN82" i="59"/>
  <c r="CJ82" i="59"/>
  <c r="CM82" i="59"/>
  <c r="CI82" i="59"/>
  <c r="AO94" i="59"/>
  <c r="AO99" i="59" s="1"/>
  <c r="BA806" i="80" s="1"/>
  <c r="AN94" i="59"/>
  <c r="AN99" i="59" s="1"/>
  <c r="AZ806" i="80" s="1"/>
  <c r="AM94" i="59"/>
  <c r="AM99" i="59" s="1"/>
  <c r="AY806" i="80" s="1"/>
  <c r="U96" i="59"/>
  <c r="T96" i="59"/>
  <c r="S96" i="59"/>
  <c r="CX97" i="59"/>
  <c r="BA18" i="59"/>
  <c r="AQ19" i="59"/>
  <c r="BA20" i="59"/>
  <c r="AG22" i="59"/>
  <c r="AQ23" i="59"/>
  <c r="AG24" i="59"/>
  <c r="BA24" i="59"/>
  <c r="AG28" i="59"/>
  <c r="W29" i="59"/>
  <c r="BE31" i="59"/>
  <c r="AT34" i="59"/>
  <c r="AS34" i="59"/>
  <c r="AR34" i="59"/>
  <c r="AJ37" i="59"/>
  <c r="AI37" i="59"/>
  <c r="AH37" i="59"/>
  <c r="AT48" i="59"/>
  <c r="AS48" i="59"/>
  <c r="AR48" i="59"/>
  <c r="P53" i="59"/>
  <c r="O53" i="59"/>
  <c r="N53" i="59"/>
  <c r="Z56" i="59"/>
  <c r="Y56" i="59"/>
  <c r="X56" i="59"/>
  <c r="P58" i="59"/>
  <c r="O58" i="59"/>
  <c r="N58" i="59"/>
  <c r="BD58" i="59"/>
  <c r="BC58" i="59"/>
  <c r="BB58" i="59"/>
  <c r="Z70" i="59"/>
  <c r="Y70" i="59"/>
  <c r="X70" i="59"/>
  <c r="AT70" i="59"/>
  <c r="AS70" i="59"/>
  <c r="AR70" i="59"/>
  <c r="P85" i="59"/>
  <c r="O85" i="59"/>
  <c r="N85" i="59"/>
  <c r="BD85" i="59"/>
  <c r="BC85" i="59"/>
  <c r="BB85" i="59"/>
  <c r="AT86" i="59"/>
  <c r="AS86" i="59"/>
  <c r="AR86" i="59"/>
  <c r="CM81" i="59"/>
  <c r="CI81" i="59"/>
  <c r="CP81" i="59"/>
  <c r="CU81" i="59" s="1"/>
  <c r="CZ81" i="59" s="1"/>
  <c r="CL81" i="59"/>
  <c r="CH81" i="59"/>
  <c r="CO81" i="59"/>
  <c r="CG81" i="59"/>
  <c r="BA832" i="80"/>
  <c r="AZ832" i="80"/>
  <c r="AY832" i="80"/>
  <c r="CO112" i="59"/>
  <c r="CO121" i="59" s="1"/>
  <c r="CG112" i="59"/>
  <c r="CG121" i="59" s="1"/>
  <c r="CN112" i="59"/>
  <c r="CN121" i="59" s="1"/>
  <c r="CJ112" i="59"/>
  <c r="CJ121" i="59" s="1"/>
  <c r="CM112" i="59"/>
  <c r="CM121" i="59" s="1"/>
  <c r="CI112" i="59"/>
  <c r="CI121" i="59" s="1"/>
  <c r="CP112" i="59"/>
  <c r="CU112" i="59" s="1"/>
  <c r="CZ112" i="59" s="1"/>
  <c r="CL112" i="59"/>
  <c r="CL121" i="59" s="1"/>
  <c r="CH112" i="59"/>
  <c r="CH121" i="59" s="1"/>
  <c r="T18" i="59"/>
  <c r="T31" i="59" s="1"/>
  <c r="AN18" i="59"/>
  <c r="AR18" i="59"/>
  <c r="AZ31" i="59"/>
  <c r="BG31" i="59"/>
  <c r="BK31" i="59"/>
  <c r="BO31" i="59"/>
  <c r="BS31" i="59"/>
  <c r="BW31" i="59"/>
  <c r="CM31" i="59"/>
  <c r="AA39" i="59"/>
  <c r="AQ34" i="59"/>
  <c r="AG35" i="59"/>
  <c r="AT36" i="59"/>
  <c r="AS36" i="59"/>
  <c r="AR36" i="59"/>
  <c r="AG37" i="59"/>
  <c r="BT39" i="59"/>
  <c r="CJ39" i="59"/>
  <c r="E39" i="59"/>
  <c r="P47" i="59"/>
  <c r="O47" i="59"/>
  <c r="Q90" i="59"/>
  <c r="N47" i="59"/>
  <c r="BD47" i="59"/>
  <c r="BC47" i="59"/>
  <c r="BE90" i="59"/>
  <c r="BE101" i="59" s="1"/>
  <c r="BB47" i="59"/>
  <c r="AQ48" i="59"/>
  <c r="AG49" i="59"/>
  <c r="AT50" i="59"/>
  <c r="AS50" i="59"/>
  <c r="AR50" i="59"/>
  <c r="AJ51" i="59"/>
  <c r="AI51" i="59"/>
  <c r="AH51" i="59"/>
  <c r="W52" i="59"/>
  <c r="M53" i="59"/>
  <c r="AS53" i="59"/>
  <c r="AT54" i="59"/>
  <c r="AS54" i="59"/>
  <c r="AR54" i="59"/>
  <c r="AJ55" i="59"/>
  <c r="AI55" i="59"/>
  <c r="AH55" i="59"/>
  <c r="W56" i="59"/>
  <c r="M58" i="59"/>
  <c r="BA58" i="59"/>
  <c r="Z59" i="59"/>
  <c r="Y59" i="59"/>
  <c r="X59" i="59"/>
  <c r="BR90" i="59"/>
  <c r="BR101" i="59" s="1"/>
  <c r="Z62" i="59"/>
  <c r="Y62" i="59"/>
  <c r="X62" i="59"/>
  <c r="Z64" i="59"/>
  <c r="Y64" i="59"/>
  <c r="X64" i="59"/>
  <c r="P65" i="59"/>
  <c r="O65" i="59"/>
  <c r="N65" i="59"/>
  <c r="BD65" i="59"/>
  <c r="BC65" i="59"/>
  <c r="BB65" i="59"/>
  <c r="AQ66" i="59"/>
  <c r="AG67" i="59"/>
  <c r="AT68" i="59"/>
  <c r="AS68" i="59"/>
  <c r="AR68" i="59"/>
  <c r="AJ69" i="59"/>
  <c r="AI69" i="59"/>
  <c r="AH69" i="59"/>
  <c r="W70" i="59"/>
  <c r="AQ70" i="59"/>
  <c r="AT72" i="59"/>
  <c r="AS72" i="59"/>
  <c r="AR72" i="59"/>
  <c r="CE67" i="59"/>
  <c r="BW67" i="59"/>
  <c r="CD67" i="59"/>
  <c r="BZ67" i="59"/>
  <c r="CC67" i="59"/>
  <c r="BY67" i="59"/>
  <c r="AB67" i="59"/>
  <c r="AE67" i="59"/>
  <c r="AD67" i="59"/>
  <c r="W74" i="59"/>
  <c r="M75" i="59"/>
  <c r="BA75" i="59"/>
  <c r="Z76" i="59"/>
  <c r="Y76" i="59"/>
  <c r="X76" i="59"/>
  <c r="P77" i="59"/>
  <c r="O77" i="59"/>
  <c r="N77" i="59"/>
  <c r="AT78" i="59"/>
  <c r="AS78" i="59"/>
  <c r="AR78" i="59"/>
  <c r="AG79" i="59"/>
  <c r="W80" i="59"/>
  <c r="AJ81" i="59"/>
  <c r="AI81" i="59"/>
  <c r="AH81" i="59"/>
  <c r="Z82" i="59"/>
  <c r="Y82" i="59"/>
  <c r="X82" i="59"/>
  <c r="AJ83" i="59"/>
  <c r="AI83" i="59"/>
  <c r="AH83" i="59"/>
  <c r="Z84" i="59"/>
  <c r="Y84" i="59"/>
  <c r="X84" i="59"/>
  <c r="M85" i="59"/>
  <c r="BA85" i="59"/>
  <c r="AQ86" i="59"/>
  <c r="P87" i="59"/>
  <c r="O87" i="59"/>
  <c r="N87" i="59"/>
  <c r="BD87" i="59"/>
  <c r="BC87" i="59"/>
  <c r="BB87" i="59"/>
  <c r="AT88" i="59"/>
  <c r="AS88" i="59"/>
  <c r="AR88" i="59"/>
  <c r="CH80" i="59"/>
  <c r="CH82" i="59"/>
  <c r="CO86" i="59"/>
  <c r="CN86" i="59"/>
  <c r="CM86" i="59"/>
  <c r="AL82" i="59"/>
  <c r="AO82" i="59"/>
  <c r="AN82" i="59"/>
  <c r="R94" i="59"/>
  <c r="R99" i="59" s="1"/>
  <c r="AY95" i="59"/>
  <c r="AX95" i="59"/>
  <c r="AW95" i="59"/>
  <c r="AL96" i="59"/>
  <c r="AE97" i="59"/>
  <c r="AD97" i="59"/>
  <c r="AC97" i="59"/>
  <c r="BS101" i="59"/>
  <c r="T107" i="59"/>
  <c r="S107" i="59"/>
  <c r="V121" i="59"/>
  <c r="U107" i="59"/>
  <c r="R107" i="59"/>
  <c r="P34" i="59"/>
  <c r="AJ34" i="59"/>
  <c r="BD34" i="59"/>
  <c r="Z35" i="59"/>
  <c r="AT35" i="59"/>
  <c r="P36" i="59"/>
  <c r="AJ36" i="59"/>
  <c r="BD36" i="59"/>
  <c r="Z37" i="59"/>
  <c r="AT37" i="59"/>
  <c r="Z47" i="59"/>
  <c r="AT47" i="59"/>
  <c r="P48" i="59"/>
  <c r="AJ48" i="59"/>
  <c r="BD48" i="59"/>
  <c r="Z49" i="59"/>
  <c r="AT49" i="59"/>
  <c r="P50" i="59"/>
  <c r="AJ50" i="59"/>
  <c r="BD50" i="59"/>
  <c r="Z51" i="59"/>
  <c r="AT51" i="59"/>
  <c r="P52" i="59"/>
  <c r="AJ52" i="59"/>
  <c r="BD52" i="59"/>
  <c r="Z53" i="59"/>
  <c r="P54" i="59"/>
  <c r="AJ54" i="59"/>
  <c r="BD54" i="59"/>
  <c r="Z55" i="59"/>
  <c r="AT55" i="59"/>
  <c r="P56" i="59"/>
  <c r="AJ56" i="59"/>
  <c r="BD56" i="59"/>
  <c r="Z58" i="59"/>
  <c r="AT58" i="59"/>
  <c r="P59" i="59"/>
  <c r="AJ59" i="59"/>
  <c r="BD59" i="59"/>
  <c r="P62" i="59"/>
  <c r="AJ62" i="59"/>
  <c r="BD62" i="59"/>
  <c r="P64" i="59"/>
  <c r="AJ64" i="59"/>
  <c r="BD64" i="59"/>
  <c r="Z65" i="59"/>
  <c r="AT65" i="59"/>
  <c r="P66" i="59"/>
  <c r="AJ66" i="59"/>
  <c r="BD66" i="59"/>
  <c r="Z67" i="59"/>
  <c r="AT67" i="59"/>
  <c r="P68" i="59"/>
  <c r="AJ68" i="59"/>
  <c r="BD68" i="59"/>
  <c r="Z69" i="59"/>
  <c r="AT69" i="59"/>
  <c r="P70" i="59"/>
  <c r="BD70" i="59"/>
  <c r="Z71" i="59"/>
  <c r="AT71" i="59"/>
  <c r="P72" i="59"/>
  <c r="AJ72" i="59"/>
  <c r="BD72" i="59"/>
  <c r="P74" i="59"/>
  <c r="AJ74" i="59"/>
  <c r="BD74" i="59"/>
  <c r="Z75" i="59"/>
  <c r="AT75" i="59"/>
  <c r="P76" i="59"/>
  <c r="AJ76" i="59"/>
  <c r="BD76" i="59"/>
  <c r="Z77" i="59"/>
  <c r="AT77" i="59"/>
  <c r="P78" i="59"/>
  <c r="AJ78" i="59"/>
  <c r="BD78" i="59"/>
  <c r="Z79" i="59"/>
  <c r="AT79" i="59"/>
  <c r="P80" i="59"/>
  <c r="AJ80" i="59"/>
  <c r="BD80" i="59"/>
  <c r="Z81" i="59"/>
  <c r="AT81" i="59"/>
  <c r="P82" i="59"/>
  <c r="AJ82" i="59"/>
  <c r="BD82" i="59"/>
  <c r="Z83" i="59"/>
  <c r="AT83" i="59"/>
  <c r="P84" i="59"/>
  <c r="AJ84" i="59"/>
  <c r="BD84" i="59"/>
  <c r="Z85" i="59"/>
  <c r="AT85" i="59"/>
  <c r="P86" i="59"/>
  <c r="AJ86" i="59"/>
  <c r="BD86" i="59"/>
  <c r="Z87" i="59"/>
  <c r="AT87" i="59"/>
  <c r="P88" i="59"/>
  <c r="AJ88" i="59"/>
  <c r="BD88" i="59"/>
  <c r="O94" i="59"/>
  <c r="O99" i="59" s="1"/>
  <c r="AI94" i="59"/>
  <c r="BC94" i="59"/>
  <c r="BC99" i="59" s="1"/>
  <c r="BO806" i="80" s="1"/>
  <c r="Y95" i="59"/>
  <c r="AS95" i="59"/>
  <c r="O96" i="59"/>
  <c r="AI96" i="59"/>
  <c r="BC96" i="59"/>
  <c r="Y97" i="59"/>
  <c r="AS97" i="59"/>
  <c r="AD108" i="59"/>
  <c r="AC108" i="59"/>
  <c r="AE108" i="59"/>
  <c r="T109" i="59"/>
  <c r="S109" i="59"/>
  <c r="U109" i="59"/>
  <c r="CC121" i="59"/>
  <c r="CW129" i="59"/>
  <c r="CY129" i="59"/>
  <c r="BL39" i="59"/>
  <c r="V90" i="59"/>
  <c r="AP90" i="59"/>
  <c r="AN107" i="59"/>
  <c r="AM107" i="59"/>
  <c r="AP121" i="59"/>
  <c r="AO107" i="59"/>
  <c r="AR121" i="59"/>
  <c r="BP133" i="59"/>
  <c r="BY121" i="59"/>
  <c r="CD121" i="59"/>
  <c r="Y131" i="59"/>
  <c r="CN126" i="59"/>
  <c r="CJ126" i="59"/>
  <c r="CM126" i="59"/>
  <c r="CI126" i="59"/>
  <c r="CP126" i="59"/>
  <c r="CU126" i="59" s="1"/>
  <c r="CZ126" i="59" s="1"/>
  <c r="CL126" i="59"/>
  <c r="CH126" i="59"/>
  <c r="CO126" i="59"/>
  <c r="CG126" i="59"/>
  <c r="CW142" i="59"/>
  <c r="CS142" i="59"/>
  <c r="CS163" i="59" s="1"/>
  <c r="CY142" i="59"/>
  <c r="CQ142" i="59"/>
  <c r="CQ163" i="59" s="1"/>
  <c r="CT142" i="59"/>
  <c r="CT163" i="59" s="1"/>
  <c r="CZ142" i="59"/>
  <c r="CR142" i="59"/>
  <c r="CR163" i="59" s="1"/>
  <c r="CV142" i="59"/>
  <c r="CX142" i="59"/>
  <c r="CX163" i="59" s="1"/>
  <c r="X47" i="59"/>
  <c r="AR47" i="59"/>
  <c r="L121" i="59"/>
  <c r="AX108" i="59"/>
  <c r="AW108" i="59"/>
  <c r="AY108" i="59"/>
  <c r="AN109" i="59"/>
  <c r="AM109" i="59"/>
  <c r="AO109" i="59"/>
  <c r="BQ121" i="59"/>
  <c r="BZ121" i="59"/>
  <c r="CE121" i="59"/>
  <c r="CL127" i="59"/>
  <c r="CN127" i="59"/>
  <c r="AE110" i="59"/>
  <c r="AY110" i="59"/>
  <c r="U111" i="59"/>
  <c r="AO111" i="59"/>
  <c r="AE112" i="59"/>
  <c r="AY112" i="59"/>
  <c r="U113" i="59"/>
  <c r="AO113" i="59"/>
  <c r="AE114" i="59"/>
  <c r="AY114" i="59"/>
  <c r="U115" i="59"/>
  <c r="AO115" i="59"/>
  <c r="U116" i="59"/>
  <c r="AO116" i="59"/>
  <c r="AE117" i="59"/>
  <c r="AY117" i="59"/>
  <c r="AF131" i="59"/>
  <c r="AZ131" i="59"/>
  <c r="AZ133" i="59" s="1"/>
  <c r="AN144" i="59"/>
  <c r="AM144" i="59"/>
  <c r="T146" i="59"/>
  <c r="R146" i="59"/>
  <c r="S146" i="59"/>
  <c r="AJ147" i="59"/>
  <c r="AH147" i="59"/>
  <c r="AG147" i="59"/>
  <c r="AI147" i="59"/>
  <c r="AT148" i="59"/>
  <c r="AR148" i="59"/>
  <c r="AQ148" i="59"/>
  <c r="AR149" i="59"/>
  <c r="AT149" i="59"/>
  <c r="AQ149" i="59"/>
  <c r="AS149" i="59"/>
  <c r="Z152" i="59"/>
  <c r="Y152" i="59"/>
  <c r="X152" i="59"/>
  <c r="W152" i="59"/>
  <c r="AJ159" i="59"/>
  <c r="AI159" i="59"/>
  <c r="AH159" i="59"/>
  <c r="AG159" i="59"/>
  <c r="AA121" i="59"/>
  <c r="AU121" i="59"/>
  <c r="S125" i="59"/>
  <c r="AM125" i="59"/>
  <c r="S126" i="59"/>
  <c r="AM126" i="59"/>
  <c r="AC127" i="59"/>
  <c r="AW127" i="59"/>
  <c r="S128" i="59"/>
  <c r="AM128" i="59"/>
  <c r="AC129" i="59"/>
  <c r="AW129" i="59"/>
  <c r="Q131" i="59"/>
  <c r="AC139" i="59"/>
  <c r="AW139" i="59"/>
  <c r="S140" i="59"/>
  <c r="AM140" i="59"/>
  <c r="AC141" i="59"/>
  <c r="AW141" i="59"/>
  <c r="S142" i="59"/>
  <c r="AM142" i="59"/>
  <c r="M143" i="59"/>
  <c r="R143" i="59"/>
  <c r="W143" i="59"/>
  <c r="X144" i="59"/>
  <c r="Z144" i="59"/>
  <c r="AJ144" i="59"/>
  <c r="AH144" i="59"/>
  <c r="BD144" i="59"/>
  <c r="BA144" i="59"/>
  <c r="BB144" i="59"/>
  <c r="AX145" i="59"/>
  <c r="AW145" i="59"/>
  <c r="AY145" i="59"/>
  <c r="Z147" i="59"/>
  <c r="W147" i="59"/>
  <c r="X147" i="59"/>
  <c r="X149" i="59"/>
  <c r="Z149" i="59"/>
  <c r="W149" i="59"/>
  <c r="BB150" i="59"/>
  <c r="BD150" i="59"/>
  <c r="BA150" i="59"/>
  <c r="AT156" i="59"/>
  <c r="AS156" i="59"/>
  <c r="AR156" i="59"/>
  <c r="AQ156" i="59"/>
  <c r="O107" i="59"/>
  <c r="AI107" i="59"/>
  <c r="BC107" i="59"/>
  <c r="Y108" i="59"/>
  <c r="AS108" i="59"/>
  <c r="O109" i="59"/>
  <c r="AI109" i="59"/>
  <c r="BC109" i="59"/>
  <c r="Y110" i="59"/>
  <c r="AC110" i="59"/>
  <c r="AS110" i="59"/>
  <c r="AW110" i="59"/>
  <c r="O111" i="59"/>
  <c r="S111" i="59"/>
  <c r="AI111" i="59"/>
  <c r="AM111" i="59"/>
  <c r="BC111" i="59"/>
  <c r="Y112" i="59"/>
  <c r="AC112" i="59"/>
  <c r="AS112" i="59"/>
  <c r="AW112" i="59"/>
  <c r="O113" i="59"/>
  <c r="S113" i="59"/>
  <c r="AI113" i="59"/>
  <c r="AM113" i="59"/>
  <c r="BC113" i="59"/>
  <c r="Y114" i="59"/>
  <c r="AC114" i="59"/>
  <c r="AS114" i="59"/>
  <c r="AW114" i="59"/>
  <c r="O115" i="59"/>
  <c r="S115" i="59"/>
  <c r="AI115" i="59"/>
  <c r="AM115" i="59"/>
  <c r="BC115" i="59"/>
  <c r="O116" i="59"/>
  <c r="S116" i="59"/>
  <c r="AI116" i="59"/>
  <c r="AM116" i="59"/>
  <c r="BC116" i="59"/>
  <c r="Y117" i="59"/>
  <c r="AC117" i="59"/>
  <c r="AS117" i="59"/>
  <c r="AW117" i="59"/>
  <c r="T125" i="59"/>
  <c r="X125" i="59"/>
  <c r="AN125" i="59"/>
  <c r="AR125" i="59"/>
  <c r="T126" i="59"/>
  <c r="X126" i="59"/>
  <c r="AN126" i="59"/>
  <c r="AR126" i="59"/>
  <c r="N127" i="59"/>
  <c r="AD127" i="59"/>
  <c r="AH127" i="59"/>
  <c r="AX127" i="59"/>
  <c r="BB127" i="59"/>
  <c r="T128" i="59"/>
  <c r="X128" i="59"/>
  <c r="AN128" i="59"/>
  <c r="AR128" i="59"/>
  <c r="N129" i="59"/>
  <c r="AD129" i="59"/>
  <c r="AH129" i="59"/>
  <c r="AX129" i="59"/>
  <c r="BB129" i="59"/>
  <c r="V131" i="59"/>
  <c r="AP131" i="59"/>
  <c r="BG131" i="59"/>
  <c r="BG133" i="59" s="1"/>
  <c r="V163" i="59"/>
  <c r="AP163" i="59"/>
  <c r="N139" i="59"/>
  <c r="AD139" i="59"/>
  <c r="AH139" i="59"/>
  <c r="AX139" i="59"/>
  <c r="BB139" i="59"/>
  <c r="T140" i="59"/>
  <c r="X140" i="59"/>
  <c r="AN140" i="59"/>
  <c r="AR140" i="59"/>
  <c r="N141" i="59"/>
  <c r="AD141" i="59"/>
  <c r="AH141" i="59"/>
  <c r="AX141" i="59"/>
  <c r="BB141" i="59"/>
  <c r="T142" i="59"/>
  <c r="X142" i="59"/>
  <c r="AN142" i="59"/>
  <c r="AR142" i="59"/>
  <c r="N143" i="59"/>
  <c r="S143" i="59"/>
  <c r="Y143" i="59"/>
  <c r="AH143" i="59"/>
  <c r="AG143" i="59"/>
  <c r="T144" i="59"/>
  <c r="U144" i="59"/>
  <c r="AL144" i="59"/>
  <c r="AR144" i="59"/>
  <c r="AS144" i="59"/>
  <c r="AT144" i="59"/>
  <c r="P146" i="59"/>
  <c r="M146" i="59"/>
  <c r="N146" i="59"/>
  <c r="X146" i="59"/>
  <c r="W146" i="59"/>
  <c r="Y146" i="59"/>
  <c r="N147" i="59"/>
  <c r="O147" i="59"/>
  <c r="P147" i="59"/>
  <c r="AR147" i="59"/>
  <c r="AT147" i="59"/>
  <c r="AQ147" i="59"/>
  <c r="AS147" i="59"/>
  <c r="P149" i="59"/>
  <c r="N149" i="59"/>
  <c r="M149" i="59"/>
  <c r="AJ149" i="59"/>
  <c r="AH149" i="59"/>
  <c r="AG149" i="59"/>
  <c r="AI149" i="59"/>
  <c r="AT150" i="59"/>
  <c r="AR150" i="59"/>
  <c r="AQ150" i="59"/>
  <c r="BD155" i="59"/>
  <c r="BC155" i="59"/>
  <c r="BB155" i="59"/>
  <c r="BA155" i="59"/>
  <c r="CH168" i="59"/>
  <c r="CD168" i="59"/>
  <c r="CJ168" i="59"/>
  <c r="CE168" i="59"/>
  <c r="CI168" i="59"/>
  <c r="CC168" i="59"/>
  <c r="CG168" i="59"/>
  <c r="CB168" i="59"/>
  <c r="CK168" i="59"/>
  <c r="CP168" i="59" s="1"/>
  <c r="CU168" i="59" s="1"/>
  <c r="CZ168" i="59" s="1"/>
  <c r="P107" i="59"/>
  <c r="AJ107" i="59"/>
  <c r="BD107" i="59"/>
  <c r="BD121" i="59" s="1"/>
  <c r="Y125" i="59"/>
  <c r="AS125" i="59"/>
  <c r="AA163" i="59"/>
  <c r="AU163" i="59"/>
  <c r="O143" i="59"/>
  <c r="U143" i="59"/>
  <c r="Z143" i="59"/>
  <c r="AD143" i="59"/>
  <c r="AB143" i="59"/>
  <c r="P144" i="59"/>
  <c r="O144" i="59"/>
  <c r="W144" i="59"/>
  <c r="AG144" i="59"/>
  <c r="AO144" i="59"/>
  <c r="AT145" i="59"/>
  <c r="AR145" i="59"/>
  <c r="AS145" i="59"/>
  <c r="BB145" i="59"/>
  <c r="BC145" i="59"/>
  <c r="BD145" i="59"/>
  <c r="U146" i="59"/>
  <c r="AD147" i="59"/>
  <c r="AB147" i="59"/>
  <c r="AC147" i="59"/>
  <c r="AS148" i="59"/>
  <c r="BB148" i="59"/>
  <c r="BD148" i="59"/>
  <c r="BA148" i="59"/>
  <c r="CM141" i="59"/>
  <c r="CI141" i="59"/>
  <c r="CO141" i="59"/>
  <c r="CG141" i="59"/>
  <c r="CP141" i="59"/>
  <c r="CU141" i="59" s="1"/>
  <c r="CZ141" i="59" s="1"/>
  <c r="CH141" i="59"/>
  <c r="CN141" i="59"/>
  <c r="CJ141" i="59"/>
  <c r="CY143" i="59"/>
  <c r="CW143" i="59"/>
  <c r="CV143" i="59"/>
  <c r="CM147" i="59"/>
  <c r="CI147" i="59"/>
  <c r="CO147" i="59"/>
  <c r="CG147" i="59"/>
  <c r="CL147" i="59"/>
  <c r="CL163" i="59" s="1"/>
  <c r="CJ147" i="59"/>
  <c r="CN147" i="59"/>
  <c r="P155" i="59"/>
  <c r="O155" i="59"/>
  <c r="N155" i="59"/>
  <c r="M155" i="59"/>
  <c r="Z160" i="59"/>
  <c r="Y160" i="59"/>
  <c r="X160" i="59"/>
  <c r="W160" i="59"/>
  <c r="BD147" i="59"/>
  <c r="BB147" i="59"/>
  <c r="N148" i="59"/>
  <c r="P148" i="59"/>
  <c r="BD149" i="59"/>
  <c r="BB149" i="59"/>
  <c r="N150" i="59"/>
  <c r="P150" i="59"/>
  <c r="BH163" i="59"/>
  <c r="BL163" i="59"/>
  <c r="BP163" i="59"/>
  <c r="AJ153" i="59"/>
  <c r="AI153" i="59"/>
  <c r="AH153" i="59"/>
  <c r="Z154" i="59"/>
  <c r="Y154" i="59"/>
  <c r="X154" i="59"/>
  <c r="P157" i="59"/>
  <c r="O157" i="59"/>
  <c r="N157" i="59"/>
  <c r="BD157" i="59"/>
  <c r="BC157" i="59"/>
  <c r="BB157" i="59"/>
  <c r="AT158" i="59"/>
  <c r="AS158" i="59"/>
  <c r="AR158" i="59"/>
  <c r="AJ161" i="59"/>
  <c r="AI161" i="59"/>
  <c r="AH161" i="59"/>
  <c r="Y167" i="59"/>
  <c r="AA174" i="59"/>
  <c r="Z167" i="59"/>
  <c r="X167" i="59"/>
  <c r="W167" i="59"/>
  <c r="AE168" i="59"/>
  <c r="AD168" i="59"/>
  <c r="AC168" i="59"/>
  <c r="AB168" i="59"/>
  <c r="AO169" i="59"/>
  <c r="AN169" i="59"/>
  <c r="AM169" i="59"/>
  <c r="AL169" i="59"/>
  <c r="AY170" i="59"/>
  <c r="AX170" i="59"/>
  <c r="AW170" i="59"/>
  <c r="AV170" i="59"/>
  <c r="BL167" i="59"/>
  <c r="BG174" i="59"/>
  <c r="BG176" i="59" s="1"/>
  <c r="CR216" i="59"/>
  <c r="CK212" i="59"/>
  <c r="CP212" i="59" s="1"/>
  <c r="CU212" i="59" s="1"/>
  <c r="CZ212" i="59" s="1"/>
  <c r="CG212" i="59"/>
  <c r="CC212" i="59"/>
  <c r="CH212" i="59"/>
  <c r="CB212" i="59"/>
  <c r="CJ212" i="59"/>
  <c r="CE212" i="59"/>
  <c r="CI212" i="59"/>
  <c r="CD212" i="59"/>
  <c r="BD254" i="59"/>
  <c r="BC254" i="59"/>
  <c r="BB254" i="59"/>
  <c r="BA254" i="59"/>
  <c r="AF174" i="59"/>
  <c r="AF176" i="59" s="1"/>
  <c r="AC167" i="59"/>
  <c r="AE167" i="59"/>
  <c r="AD167" i="59"/>
  <c r="AB167" i="59"/>
  <c r="AI168" i="59"/>
  <c r="AI174" i="59" s="1"/>
  <c r="AK174" i="59"/>
  <c r="AJ168" i="59"/>
  <c r="AH168" i="59"/>
  <c r="AG168" i="59"/>
  <c r="AS169" i="59"/>
  <c r="AT169" i="59"/>
  <c r="AR169" i="59"/>
  <c r="AQ169" i="59"/>
  <c r="BC170" i="59"/>
  <c r="BD170" i="59"/>
  <c r="BB170" i="59"/>
  <c r="BA170" i="59"/>
  <c r="CX172" i="59"/>
  <c r="CW172" i="59"/>
  <c r="CW174" i="59" s="1"/>
  <c r="BN156" i="79" s="1"/>
  <c r="CV172" i="59"/>
  <c r="BE174" i="59"/>
  <c r="CY183" i="59"/>
  <c r="CY192" i="59" s="1"/>
  <c r="CX183" i="59"/>
  <c r="CX192" i="59" s="1"/>
  <c r="CW183" i="59"/>
  <c r="CW192" i="59" s="1"/>
  <c r="CV183" i="59"/>
  <c r="CV192" i="59" s="1"/>
  <c r="CK186" i="59"/>
  <c r="CP186" i="59" s="1"/>
  <c r="CU186" i="59" s="1"/>
  <c r="CZ186" i="59" s="1"/>
  <c r="CG186" i="59"/>
  <c r="CG192" i="59" s="1"/>
  <c r="CC186" i="59"/>
  <c r="CJ186" i="59"/>
  <c r="CJ192" i="59" s="1"/>
  <c r="CB186" i="59"/>
  <c r="CI186" i="59"/>
  <c r="CI192" i="59" s="1"/>
  <c r="CE186" i="59"/>
  <c r="CH186" i="59"/>
  <c r="CH192" i="59" s="1"/>
  <c r="CD186" i="59"/>
  <c r="CY199" i="59"/>
  <c r="CQ199" i="59"/>
  <c r="CX199" i="59"/>
  <c r="CT199" i="59"/>
  <c r="CW199" i="59"/>
  <c r="CS199" i="59"/>
  <c r="CZ199" i="59"/>
  <c r="CV199" i="59"/>
  <c r="CR199" i="59"/>
  <c r="CW221" i="59"/>
  <c r="CS221" i="59"/>
  <c r="CZ221" i="59"/>
  <c r="CV221" i="59"/>
  <c r="CV224" i="59" s="1"/>
  <c r="CR221" i="59"/>
  <c r="CY221" i="59"/>
  <c r="CQ221" i="59"/>
  <c r="CT221" i="59"/>
  <c r="CX221" i="59"/>
  <c r="P153" i="59"/>
  <c r="O153" i="59"/>
  <c r="N153" i="59"/>
  <c r="BD153" i="59"/>
  <c r="BC153" i="59"/>
  <c r="BB153" i="59"/>
  <c r="AT154" i="59"/>
  <c r="AS154" i="59"/>
  <c r="AR154" i="59"/>
  <c r="AJ157" i="59"/>
  <c r="AI157" i="59"/>
  <c r="AH157" i="59"/>
  <c r="Z158" i="59"/>
  <c r="Y158" i="59"/>
  <c r="X158" i="59"/>
  <c r="P161" i="59"/>
  <c r="O161" i="59"/>
  <c r="N161" i="59"/>
  <c r="BD161" i="59"/>
  <c r="BC161" i="59"/>
  <c r="BB161" i="59"/>
  <c r="AM168" i="59"/>
  <c r="AO168" i="59"/>
  <c r="AN168" i="59"/>
  <c r="AL168" i="59"/>
  <c r="AW169" i="59"/>
  <c r="AY169" i="59"/>
  <c r="AX169" i="59"/>
  <c r="AV169" i="59"/>
  <c r="CZ171" i="59"/>
  <c r="CV171" i="59"/>
  <c r="CR171" i="59"/>
  <c r="CY171" i="59"/>
  <c r="CQ171" i="59"/>
  <c r="CX171" i="59"/>
  <c r="CT171" i="59"/>
  <c r="CS171" i="59"/>
  <c r="CY172" i="59"/>
  <c r="CM197" i="59"/>
  <c r="CI197" i="59"/>
  <c r="CP197" i="59"/>
  <c r="CU197" i="59" s="1"/>
  <c r="CZ197" i="59" s="1"/>
  <c r="CL197" i="59"/>
  <c r="CH197" i="59"/>
  <c r="CO197" i="59"/>
  <c r="CG197" i="59"/>
  <c r="CN197" i="59"/>
  <c r="CJ197" i="59"/>
  <c r="CN198" i="59"/>
  <c r="AX214" i="59"/>
  <c r="AX216" i="59" s="1"/>
  <c r="AY214" i="59"/>
  <c r="AW214" i="59"/>
  <c r="AV214" i="59"/>
  <c r="CA211" i="59"/>
  <c r="BV216" i="59"/>
  <c r="BL224" i="59"/>
  <c r="BP226" i="59"/>
  <c r="Y145" i="59"/>
  <c r="AE145" i="59"/>
  <c r="AJ145" i="59"/>
  <c r="BC146" i="59"/>
  <c r="BC147" i="59"/>
  <c r="O148" i="59"/>
  <c r="Z148" i="59"/>
  <c r="X148" i="59"/>
  <c r="AH148" i="59"/>
  <c r="AJ148" i="59"/>
  <c r="BC149" i="59"/>
  <c r="O150" i="59"/>
  <c r="Z150" i="59"/>
  <c r="X150" i="59"/>
  <c r="AH150" i="59"/>
  <c r="AJ150" i="59"/>
  <c r="BT163" i="59"/>
  <c r="AT152" i="59"/>
  <c r="AS152" i="59"/>
  <c r="AR152" i="59"/>
  <c r="AJ155" i="59"/>
  <c r="AI155" i="59"/>
  <c r="AH155" i="59"/>
  <c r="Z156" i="59"/>
  <c r="Y156" i="59"/>
  <c r="X156" i="59"/>
  <c r="P159" i="59"/>
  <c r="O159" i="59"/>
  <c r="N159" i="59"/>
  <c r="BD159" i="59"/>
  <c r="BC159" i="59"/>
  <c r="BB159" i="59"/>
  <c r="AT160" i="59"/>
  <c r="AS160" i="59"/>
  <c r="AR160" i="59"/>
  <c r="U167" i="59"/>
  <c r="V174" i="59"/>
  <c r="T167" i="59"/>
  <c r="S167" i="59"/>
  <c r="R167" i="59"/>
  <c r="CN169" i="59"/>
  <c r="CJ169" i="59"/>
  <c r="CM169" i="59"/>
  <c r="CI169" i="59"/>
  <c r="CP169" i="59"/>
  <c r="CU169" i="59" s="1"/>
  <c r="CZ169" i="59" s="1"/>
  <c r="CH169" i="59"/>
  <c r="CO169" i="59"/>
  <c r="CG169" i="59"/>
  <c r="CL169" i="59"/>
  <c r="BQ182" i="59"/>
  <c r="BL192" i="59"/>
  <c r="BE311" i="59"/>
  <c r="BL161" i="99" s="1"/>
  <c r="N299" i="59"/>
  <c r="P299" i="59"/>
  <c r="O299" i="59"/>
  <c r="M299" i="59"/>
  <c r="P152" i="59"/>
  <c r="AJ152" i="59"/>
  <c r="BD152" i="59"/>
  <c r="Z153" i="59"/>
  <c r="AT153" i="59"/>
  <c r="P154" i="59"/>
  <c r="AJ154" i="59"/>
  <c r="BD154" i="59"/>
  <c r="Z155" i="59"/>
  <c r="AT155" i="59"/>
  <c r="P156" i="59"/>
  <c r="AJ156" i="59"/>
  <c r="BD156" i="59"/>
  <c r="Z157" i="59"/>
  <c r="AT157" i="59"/>
  <c r="P158" i="59"/>
  <c r="AJ158" i="59"/>
  <c r="BD158" i="59"/>
  <c r="Z159" i="59"/>
  <c r="AT159" i="59"/>
  <c r="P160" i="59"/>
  <c r="AJ160" i="59"/>
  <c r="BD160" i="59"/>
  <c r="Z161" i="59"/>
  <c r="AT161" i="59"/>
  <c r="AO167" i="59"/>
  <c r="AP174" i="59"/>
  <c r="AS167" i="59"/>
  <c r="AU174" i="59"/>
  <c r="AZ174" i="59"/>
  <c r="AZ176" i="59" s="1"/>
  <c r="AW167" i="59"/>
  <c r="N168" i="59"/>
  <c r="T168" i="59"/>
  <c r="S169" i="59"/>
  <c r="X169" i="59"/>
  <c r="AD169" i="59"/>
  <c r="P170" i="59"/>
  <c r="U170" i="59"/>
  <c r="AC170" i="59"/>
  <c r="AH170" i="59"/>
  <c r="AN170" i="59"/>
  <c r="T171" i="59"/>
  <c r="Z171" i="59"/>
  <c r="AE171" i="59"/>
  <c r="AM171" i="59"/>
  <c r="AR171" i="59"/>
  <c r="AX171" i="59"/>
  <c r="AD172" i="59"/>
  <c r="AJ172" i="59"/>
  <c r="AO172" i="59"/>
  <c r="AW172" i="59"/>
  <c r="BB172" i="59"/>
  <c r="BH174" i="59"/>
  <c r="BM174" i="59"/>
  <c r="BM176" i="59" s="1"/>
  <c r="BU174" i="59"/>
  <c r="BU176" i="59" s="1"/>
  <c r="BY174" i="59"/>
  <c r="E174" i="59"/>
  <c r="P182" i="59"/>
  <c r="Q192" i="59"/>
  <c r="O182" i="59"/>
  <c r="N182" i="59"/>
  <c r="AX192" i="59"/>
  <c r="BD182" i="59"/>
  <c r="BE192" i="59"/>
  <c r="BC182" i="59"/>
  <c r="BB182" i="59"/>
  <c r="AJ183" i="59"/>
  <c r="AI183" i="59"/>
  <c r="AH183" i="59"/>
  <c r="AT184" i="59"/>
  <c r="AS184" i="59"/>
  <c r="AR184" i="59"/>
  <c r="AJ185" i="59"/>
  <c r="AI185" i="59"/>
  <c r="AH185" i="59"/>
  <c r="Z186" i="59"/>
  <c r="Y186" i="59"/>
  <c r="X186" i="59"/>
  <c r="P187" i="59"/>
  <c r="O187" i="59"/>
  <c r="N187" i="59"/>
  <c r="BD187" i="59"/>
  <c r="BC187" i="59"/>
  <c r="BB187" i="59"/>
  <c r="Z188" i="59"/>
  <c r="Y188" i="59"/>
  <c r="X188" i="59"/>
  <c r="P189" i="59"/>
  <c r="O189" i="59"/>
  <c r="N189" i="59"/>
  <c r="BD189" i="59"/>
  <c r="BC189" i="59"/>
  <c r="BB189" i="59"/>
  <c r="Z190" i="59"/>
  <c r="Y190" i="59"/>
  <c r="X190" i="59"/>
  <c r="BR192" i="59"/>
  <c r="CT192" i="59"/>
  <c r="P196" i="59"/>
  <c r="O196" i="59"/>
  <c r="N196" i="59"/>
  <c r="BE202" i="59"/>
  <c r="BD196" i="59"/>
  <c r="BC196" i="59"/>
  <c r="BB196" i="59"/>
  <c r="T202" i="59"/>
  <c r="Z197" i="59"/>
  <c r="Y197" i="59"/>
  <c r="X197" i="59"/>
  <c r="P198" i="59"/>
  <c r="O198" i="59"/>
  <c r="N198" i="59"/>
  <c r="BD198" i="59"/>
  <c r="BC198" i="59"/>
  <c r="BB198" i="59"/>
  <c r="Z199" i="59"/>
  <c r="Y199" i="59"/>
  <c r="X199" i="59"/>
  <c r="P200" i="59"/>
  <c r="O200" i="59"/>
  <c r="N200" i="59"/>
  <c r="BD200" i="59"/>
  <c r="BC200" i="59"/>
  <c r="BB200" i="59"/>
  <c r="AL197" i="59"/>
  <c r="AO197" i="59"/>
  <c r="AN197" i="59"/>
  <c r="E202" i="59"/>
  <c r="N212" i="59"/>
  <c r="P212" i="59"/>
  <c r="O212" i="59"/>
  <c r="O216" i="59" s="1"/>
  <c r="M212" i="59"/>
  <c r="AJ213" i="59"/>
  <c r="AJ216" i="59" s="1"/>
  <c r="AI213" i="59"/>
  <c r="AH213" i="59"/>
  <c r="AH216" i="59" s="1"/>
  <c r="AG213" i="59"/>
  <c r="BB214" i="59"/>
  <c r="BD214" i="59"/>
  <c r="BC214" i="59"/>
  <c r="BC216" i="59" s="1"/>
  <c r="BA214" i="59"/>
  <c r="BN216" i="59"/>
  <c r="BN226" i="59" s="1"/>
  <c r="W224" i="59"/>
  <c r="U238" i="59"/>
  <c r="T238" i="59"/>
  <c r="S238" i="59"/>
  <c r="R238" i="59"/>
  <c r="O174" i="59"/>
  <c r="Q174" i="59"/>
  <c r="Q176" i="59" s="1"/>
  <c r="BJ192" i="59"/>
  <c r="CL192" i="59"/>
  <c r="AA192" i="59"/>
  <c r="BL202" i="59"/>
  <c r="BQ196" i="59"/>
  <c r="AN213" i="59"/>
  <c r="AO213" i="59"/>
  <c r="AM213" i="59"/>
  <c r="AM216" i="59" s="1"/>
  <c r="AL213" i="59"/>
  <c r="AO236" i="59"/>
  <c r="AN236" i="59"/>
  <c r="AM236" i="59"/>
  <c r="AL236" i="59"/>
  <c r="AO240" i="59"/>
  <c r="AN240" i="59"/>
  <c r="AM240" i="59"/>
  <c r="AL240" i="59"/>
  <c r="E140" i="59"/>
  <c r="AK140" i="59" s="1"/>
  <c r="AK163" i="59" s="1"/>
  <c r="L174" i="59"/>
  <c r="M170" i="59"/>
  <c r="R170" i="59"/>
  <c r="R171" i="59"/>
  <c r="W171" i="59"/>
  <c r="AB171" i="59"/>
  <c r="AB172" i="59"/>
  <c r="AG172" i="59"/>
  <c r="AL172" i="59"/>
  <c r="BO174" i="59"/>
  <c r="BO176" i="59" s="1"/>
  <c r="BS174" i="59"/>
  <c r="BW174" i="59"/>
  <c r="AJ182" i="59"/>
  <c r="AK192" i="59"/>
  <c r="AI182" i="59"/>
  <c r="AH182" i="59"/>
  <c r="P183" i="59"/>
  <c r="O183" i="59"/>
  <c r="N183" i="59"/>
  <c r="BD183" i="59"/>
  <c r="BC183" i="59"/>
  <c r="BB183" i="59"/>
  <c r="Z184" i="59"/>
  <c r="Y184" i="59"/>
  <c r="X184" i="59"/>
  <c r="P185" i="59"/>
  <c r="O185" i="59"/>
  <c r="N185" i="59"/>
  <c r="BD185" i="59"/>
  <c r="BC185" i="59"/>
  <c r="BB185" i="59"/>
  <c r="AT186" i="59"/>
  <c r="AS186" i="59"/>
  <c r="AR186" i="59"/>
  <c r="AJ187" i="59"/>
  <c r="AI187" i="59"/>
  <c r="AH187" i="59"/>
  <c r="AT188" i="59"/>
  <c r="AS188" i="59"/>
  <c r="AR188" i="59"/>
  <c r="AJ189" i="59"/>
  <c r="AI189" i="59"/>
  <c r="AH189" i="59"/>
  <c r="AT190" i="59"/>
  <c r="AS190" i="59"/>
  <c r="AR190" i="59"/>
  <c r="AU192" i="59"/>
  <c r="AJ196" i="59"/>
  <c r="AI196" i="59"/>
  <c r="AH196" i="59"/>
  <c r="AT197" i="59"/>
  <c r="AS197" i="59"/>
  <c r="AR197" i="59"/>
  <c r="AJ198" i="59"/>
  <c r="AI198" i="59"/>
  <c r="AH198" i="59"/>
  <c r="AT199" i="59"/>
  <c r="AS199" i="59"/>
  <c r="AR199" i="59"/>
  <c r="AJ200" i="59"/>
  <c r="AI200" i="59"/>
  <c r="AH200" i="59"/>
  <c r="BH202" i="59"/>
  <c r="CV200" i="59"/>
  <c r="CY200" i="59"/>
  <c r="AR213" i="59"/>
  <c r="AT213" i="59"/>
  <c r="AS213" i="59"/>
  <c r="AQ213" i="59"/>
  <c r="AT214" i="59"/>
  <c r="AS214" i="59"/>
  <c r="AR214" i="59"/>
  <c r="AQ214" i="59"/>
  <c r="BH216" i="59"/>
  <c r="BH226" i="59" s="1"/>
  <c r="BQ216" i="59"/>
  <c r="M224" i="59"/>
  <c r="CU220" i="59"/>
  <c r="CZ220" i="59" s="1"/>
  <c r="CQ220" i="59"/>
  <c r="CM220" i="59"/>
  <c r="CT220" i="59"/>
  <c r="CL220" i="59"/>
  <c r="CS220" i="59"/>
  <c r="CO220" i="59"/>
  <c r="CR220" i="59"/>
  <c r="CN220" i="59"/>
  <c r="CY222" i="59"/>
  <c r="CX222" i="59"/>
  <c r="CW222" i="59"/>
  <c r="CC247" i="59"/>
  <c r="BY247" i="59"/>
  <c r="CB247" i="59"/>
  <c r="CE247" i="59"/>
  <c r="BW247" i="59"/>
  <c r="CD247" i="59"/>
  <c r="BZ247" i="59"/>
  <c r="CX254" i="59"/>
  <c r="AP202" i="59"/>
  <c r="AP204" i="59" s="1"/>
  <c r="BG202" i="59"/>
  <c r="BG204" i="59" s="1"/>
  <c r="Q202" i="59"/>
  <c r="V216" i="59"/>
  <c r="V226" i="59" s="1"/>
  <c r="T211" i="59"/>
  <c r="T216" i="59" s="1"/>
  <c r="AI211" i="59"/>
  <c r="AT211" i="59"/>
  <c r="BB211" i="59"/>
  <c r="AS212" i="59"/>
  <c r="AY212" i="59"/>
  <c r="BD212" i="59"/>
  <c r="N213" i="59"/>
  <c r="S213" i="59"/>
  <c r="Y213" i="59"/>
  <c r="P214" i="59"/>
  <c r="X214" i="59"/>
  <c r="AC214" i="59"/>
  <c r="AC216" i="59" s="1"/>
  <c r="AI214" i="59"/>
  <c r="BG216" i="59"/>
  <c r="BG226" i="59" s="1"/>
  <c r="BK216" i="59"/>
  <c r="BK226" i="59" s="1"/>
  <c r="BO216" i="59"/>
  <c r="BO226" i="59" s="1"/>
  <c r="BS216" i="59"/>
  <c r="BS226" i="59" s="1"/>
  <c r="CL216" i="59"/>
  <c r="CT216" i="59"/>
  <c r="CY216" i="59"/>
  <c r="AU216" i="59"/>
  <c r="AZ216" i="59"/>
  <c r="BE216" i="59"/>
  <c r="BL216" i="59"/>
  <c r="AN224" i="59"/>
  <c r="AZ224" i="59"/>
  <c r="P219" i="59"/>
  <c r="O219" i="59"/>
  <c r="BD219" i="59"/>
  <c r="BC219" i="59"/>
  <c r="BB219" i="59"/>
  <c r="Z220" i="59"/>
  <c r="Y220" i="59"/>
  <c r="X220" i="59"/>
  <c r="P221" i="59"/>
  <c r="O221" i="59"/>
  <c r="N221" i="59"/>
  <c r="BD221" i="59"/>
  <c r="BC221" i="59"/>
  <c r="BB221" i="59"/>
  <c r="Z222" i="59"/>
  <c r="Y222" i="59"/>
  <c r="X222" i="59"/>
  <c r="BI226" i="59"/>
  <c r="BR224" i="59"/>
  <c r="BR226" i="59" s="1"/>
  <c r="AF247" i="59"/>
  <c r="AE235" i="59"/>
  <c r="AD235" i="59"/>
  <c r="AC235" i="59"/>
  <c r="AY237" i="59"/>
  <c r="AX237" i="59"/>
  <c r="AW237" i="59"/>
  <c r="AE239" i="59"/>
  <c r="AD239" i="59"/>
  <c r="AC239" i="59"/>
  <c r="AY241" i="59"/>
  <c r="AX241" i="59"/>
  <c r="AW241" i="59"/>
  <c r="N243" i="59"/>
  <c r="P243" i="59"/>
  <c r="O243" i="59"/>
  <c r="M243" i="59"/>
  <c r="AJ244" i="59"/>
  <c r="AI244" i="59"/>
  <c r="AH244" i="59"/>
  <c r="AG244" i="59"/>
  <c r="CL247" i="59"/>
  <c r="AX134" i="98" s="1"/>
  <c r="Q247" i="59"/>
  <c r="P254" i="59"/>
  <c r="O254" i="59"/>
  <c r="N254" i="59"/>
  <c r="M254" i="59"/>
  <c r="S182" i="59"/>
  <c r="AM182" i="59"/>
  <c r="S183" i="59"/>
  <c r="AM183" i="59"/>
  <c r="AC184" i="59"/>
  <c r="AW184" i="59"/>
  <c r="S185" i="59"/>
  <c r="AM185" i="59"/>
  <c r="AC186" i="59"/>
  <c r="AW186" i="59"/>
  <c r="S187" i="59"/>
  <c r="AM187" i="59"/>
  <c r="AC188" i="59"/>
  <c r="AW188" i="59"/>
  <c r="S189" i="59"/>
  <c r="AM189" i="59"/>
  <c r="AC190" i="59"/>
  <c r="AW190" i="59"/>
  <c r="S196" i="59"/>
  <c r="AM196" i="59"/>
  <c r="AC197" i="59"/>
  <c r="AW197" i="59"/>
  <c r="S198" i="59"/>
  <c r="AM198" i="59"/>
  <c r="AC199" i="59"/>
  <c r="AW199" i="59"/>
  <c r="S200" i="59"/>
  <c r="AM200" i="59"/>
  <c r="BP202" i="59"/>
  <c r="BT202" i="59"/>
  <c r="BX202" i="59"/>
  <c r="R216" i="59"/>
  <c r="AP216" i="59"/>
  <c r="AP226" i="59" s="1"/>
  <c r="AN211" i="59"/>
  <c r="AA216" i="59"/>
  <c r="AF216" i="59"/>
  <c r="AK216" i="59"/>
  <c r="AK226" i="59" s="1"/>
  <c r="AF224" i="59"/>
  <c r="AU224" i="59"/>
  <c r="BA224" i="59"/>
  <c r="BJ224" i="59"/>
  <c r="BJ226" i="59" s="1"/>
  <c r="BX224" i="59"/>
  <c r="CO219" i="59"/>
  <c r="CG219" i="59"/>
  <c r="CN219" i="59"/>
  <c r="CJ219" i="59"/>
  <c r="CM219" i="59"/>
  <c r="CI219" i="59"/>
  <c r="U236" i="59"/>
  <c r="T236" i="59"/>
  <c r="S236" i="59"/>
  <c r="AO238" i="59"/>
  <c r="AN238" i="59"/>
  <c r="AM238" i="59"/>
  <c r="U240" i="59"/>
  <c r="T240" i="59"/>
  <c r="S240" i="59"/>
  <c r="AN244" i="59"/>
  <c r="AO244" i="59"/>
  <c r="AM244" i="59"/>
  <c r="AL244" i="59"/>
  <c r="BJ247" i="59"/>
  <c r="AT251" i="59"/>
  <c r="AS251" i="59"/>
  <c r="AR251" i="59"/>
  <c r="AQ251" i="59"/>
  <c r="CR277" i="59"/>
  <c r="CN277" i="59"/>
  <c r="CU277" i="59"/>
  <c r="CZ277" i="59" s="1"/>
  <c r="CQ277" i="59"/>
  <c r="CM277" i="59"/>
  <c r="CT277" i="59"/>
  <c r="CL277" i="59"/>
  <c r="CS277" i="59"/>
  <c r="CO277" i="59"/>
  <c r="P287" i="59"/>
  <c r="O287" i="59"/>
  <c r="N287" i="59"/>
  <c r="M287" i="59"/>
  <c r="T182" i="59"/>
  <c r="T192" i="59" s="1"/>
  <c r="AN182" i="59"/>
  <c r="AN192" i="59" s="1"/>
  <c r="AN196" i="59"/>
  <c r="AR196" i="59"/>
  <c r="V202" i="59"/>
  <c r="AG211" i="59"/>
  <c r="AL211" i="59"/>
  <c r="AQ211" i="59"/>
  <c r="AQ212" i="59"/>
  <c r="AV212" i="59"/>
  <c r="AV216" i="59" s="1"/>
  <c r="BA212" i="59"/>
  <c r="M214" i="59"/>
  <c r="Q216" i="59"/>
  <c r="L226" i="59"/>
  <c r="AA224" i="59"/>
  <c r="AG224" i="59"/>
  <c r="AJ219" i="59"/>
  <c r="AI219" i="59"/>
  <c r="AH219" i="59"/>
  <c r="AT220" i="59"/>
  <c r="AS220" i="59"/>
  <c r="AR220" i="59"/>
  <c r="AJ221" i="59"/>
  <c r="AI221" i="59"/>
  <c r="AH221" i="59"/>
  <c r="AT222" i="59"/>
  <c r="AS222" i="59"/>
  <c r="AR222" i="59"/>
  <c r="CH219" i="59"/>
  <c r="L247" i="59"/>
  <c r="AZ247" i="59"/>
  <c r="BG128" i="98" s="1"/>
  <c r="AY235" i="59"/>
  <c r="AX235" i="59"/>
  <c r="AW235" i="59"/>
  <c r="AE237" i="59"/>
  <c r="AD237" i="59"/>
  <c r="AC237" i="59"/>
  <c r="AY239" i="59"/>
  <c r="AX239" i="59"/>
  <c r="AW239" i="59"/>
  <c r="AE241" i="59"/>
  <c r="AD241" i="59"/>
  <c r="AC241" i="59"/>
  <c r="AR244" i="59"/>
  <c r="AT244" i="59"/>
  <c r="AS244" i="59"/>
  <c r="AQ244" i="59"/>
  <c r="CT252" i="59"/>
  <c r="CL252" i="59"/>
  <c r="CS252" i="59"/>
  <c r="CN252" i="59"/>
  <c r="CR252" i="59"/>
  <c r="CM252" i="59"/>
  <c r="CQ252" i="59"/>
  <c r="CU252" i="59"/>
  <c r="CZ252" i="59" s="1"/>
  <c r="CO252" i="59"/>
  <c r="O267" i="59"/>
  <c r="P267" i="59"/>
  <c r="N267" i="59"/>
  <c r="M267" i="59"/>
  <c r="AE279" i="59"/>
  <c r="AD279" i="59"/>
  <c r="AC279" i="59"/>
  <c r="AB279" i="59"/>
  <c r="CX266" i="59"/>
  <c r="CW266" i="59"/>
  <c r="CV266" i="59"/>
  <c r="CY266" i="59"/>
  <c r="AK247" i="59"/>
  <c r="AJ252" i="59"/>
  <c r="AI252" i="59"/>
  <c r="AH252" i="59"/>
  <c r="BD252" i="59"/>
  <c r="BC252" i="59"/>
  <c r="BB252" i="59"/>
  <c r="AT253" i="59"/>
  <c r="AS253" i="59"/>
  <c r="AR253" i="59"/>
  <c r="BK258" i="59"/>
  <c r="CR253" i="59"/>
  <c r="CS253" i="59"/>
  <c r="S267" i="59"/>
  <c r="U267" i="59"/>
  <c r="T267" i="59"/>
  <c r="R267" i="59"/>
  <c r="U268" i="59"/>
  <c r="S268" i="59"/>
  <c r="T268" i="59"/>
  <c r="R268" i="59"/>
  <c r="AE271" i="59"/>
  <c r="AD271" i="59"/>
  <c r="AC271" i="59"/>
  <c r="AB271" i="59"/>
  <c r="U276" i="59"/>
  <c r="T276" i="59"/>
  <c r="S276" i="59"/>
  <c r="R276" i="59"/>
  <c r="CV267" i="59"/>
  <c r="CY267" i="59"/>
  <c r="CX267" i="59"/>
  <c r="CW267" i="59"/>
  <c r="CT278" i="59"/>
  <c r="CW278" i="59"/>
  <c r="CS278" i="59"/>
  <c r="CV278" i="59"/>
  <c r="CR278" i="59"/>
  <c r="CQ278" i="59"/>
  <c r="P285" i="59"/>
  <c r="O285" i="59"/>
  <c r="N285" i="59"/>
  <c r="M285" i="59"/>
  <c r="S219" i="59"/>
  <c r="AM219" i="59"/>
  <c r="AC220" i="59"/>
  <c r="AW220" i="59"/>
  <c r="S221" i="59"/>
  <c r="AM221" i="59"/>
  <c r="AC222" i="59"/>
  <c r="AW222" i="59"/>
  <c r="N235" i="59"/>
  <c r="V247" i="59"/>
  <c r="AH235" i="59"/>
  <c r="AP247" i="59"/>
  <c r="AW128" i="98" s="1"/>
  <c r="BB235" i="59"/>
  <c r="X236" i="59"/>
  <c r="AR236" i="59"/>
  <c r="N237" i="59"/>
  <c r="AH237" i="59"/>
  <c r="BB237" i="59"/>
  <c r="X238" i="59"/>
  <c r="AR238" i="59"/>
  <c r="N239" i="59"/>
  <c r="AH239" i="59"/>
  <c r="BB239" i="59"/>
  <c r="X240" i="59"/>
  <c r="AR240" i="59"/>
  <c r="N241" i="59"/>
  <c r="AH241" i="59"/>
  <c r="BB241" i="59"/>
  <c r="M242" i="59"/>
  <c r="R242" i="59"/>
  <c r="W242" i="59"/>
  <c r="W243" i="59"/>
  <c r="AB243" i="59"/>
  <c r="AG243" i="59"/>
  <c r="BA244" i="59"/>
  <c r="BT247" i="59"/>
  <c r="BX247" i="59"/>
  <c r="BE247" i="59"/>
  <c r="BL128" i="98" s="1"/>
  <c r="Z251" i="59"/>
  <c r="Y251" i="59"/>
  <c r="X251" i="59"/>
  <c r="AJ254" i="59"/>
  <c r="AI254" i="59"/>
  <c r="AH254" i="59"/>
  <c r="AR252" i="59"/>
  <c r="AQ252" i="59"/>
  <c r="AT252" i="59"/>
  <c r="AO272" i="59"/>
  <c r="AN272" i="59"/>
  <c r="AM272" i="59"/>
  <c r="AL272" i="59"/>
  <c r="AY275" i="59"/>
  <c r="AX275" i="59"/>
  <c r="AW275" i="59"/>
  <c r="AV275" i="59"/>
  <c r="E281" i="59"/>
  <c r="AP265" i="59"/>
  <c r="AQ277" i="59"/>
  <c r="AT277" i="59"/>
  <c r="AS277" i="59"/>
  <c r="AR277" i="59"/>
  <c r="AR281" i="59" s="1"/>
  <c r="AY127" i="100" s="1"/>
  <c r="Z286" i="59"/>
  <c r="Y286" i="59"/>
  <c r="X286" i="59"/>
  <c r="W286" i="59"/>
  <c r="BD287" i="59"/>
  <c r="BC287" i="59"/>
  <c r="BB287" i="59"/>
  <c r="BA287" i="59"/>
  <c r="S235" i="59"/>
  <c r="AA247" i="59"/>
  <c r="AM235" i="59"/>
  <c r="AU247" i="59"/>
  <c r="BB128" i="98" s="1"/>
  <c r="N242" i="59"/>
  <c r="S242" i="59"/>
  <c r="Y242" i="59"/>
  <c r="AG242" i="59"/>
  <c r="AL242" i="59"/>
  <c r="AQ242" i="59"/>
  <c r="X243" i="59"/>
  <c r="AC243" i="59"/>
  <c r="AI243" i="59"/>
  <c r="AQ243" i="59"/>
  <c r="AV243" i="59"/>
  <c r="BA243" i="59"/>
  <c r="BB244" i="59"/>
  <c r="BH247" i="59"/>
  <c r="BL235" i="59"/>
  <c r="BP247" i="59"/>
  <c r="CV247" i="59"/>
  <c r="BH134" i="98" s="1"/>
  <c r="P252" i="59"/>
  <c r="O252" i="59"/>
  <c r="N252" i="59"/>
  <c r="Z253" i="59"/>
  <c r="Y253" i="59"/>
  <c r="X253" i="59"/>
  <c r="CW253" i="59"/>
  <c r="AS281" i="59"/>
  <c r="AZ127" i="100" s="1"/>
  <c r="AZ156" i="100" s="1"/>
  <c r="AE267" i="59"/>
  <c r="AC267" i="59"/>
  <c r="AD267" i="59"/>
  <c r="AB267" i="59"/>
  <c r="BM281" i="59"/>
  <c r="BM291" i="59" s="1"/>
  <c r="BQ281" i="59"/>
  <c r="BV265" i="59"/>
  <c r="BU281" i="59"/>
  <c r="AA289" i="59"/>
  <c r="AA291" i="59" s="1"/>
  <c r="Z284" i="59"/>
  <c r="Y284" i="59"/>
  <c r="X284" i="59"/>
  <c r="W284" i="59"/>
  <c r="BD285" i="59"/>
  <c r="BC285" i="59"/>
  <c r="BB285" i="59"/>
  <c r="BA285" i="59"/>
  <c r="CU285" i="59"/>
  <c r="CZ285" i="59" s="1"/>
  <c r="CQ285" i="59"/>
  <c r="CM285" i="59"/>
  <c r="CT285" i="59"/>
  <c r="CL285" i="59"/>
  <c r="CO285" i="59"/>
  <c r="CN285" i="59"/>
  <c r="CS285" i="59"/>
  <c r="CR285" i="59"/>
  <c r="P251" i="59"/>
  <c r="AJ251" i="59"/>
  <c r="BD251" i="59"/>
  <c r="Z252" i="59"/>
  <c r="P253" i="59"/>
  <c r="AJ253" i="59"/>
  <c r="BD253" i="59"/>
  <c r="Z254" i="59"/>
  <c r="AT254" i="59"/>
  <c r="L281" i="59"/>
  <c r="L291" i="59" s="1"/>
  <c r="S265" i="59"/>
  <c r="V281" i="59"/>
  <c r="AJ265" i="59"/>
  <c r="AW265" i="59"/>
  <c r="BB265" i="59"/>
  <c r="BB281" i="59" s="1"/>
  <c r="BI127" i="100" s="1"/>
  <c r="BI156" i="100" s="1"/>
  <c r="AN266" i="59"/>
  <c r="AT266" i="59"/>
  <c r="AY266" i="59"/>
  <c r="AL267" i="59"/>
  <c r="AV267" i="59"/>
  <c r="AE269" i="59"/>
  <c r="AD269" i="59"/>
  <c r="AC269" i="59"/>
  <c r="AO270" i="59"/>
  <c r="AN270" i="59"/>
  <c r="AM270" i="59"/>
  <c r="AY273" i="59"/>
  <c r="AX273" i="59"/>
  <c r="AW273" i="59"/>
  <c r="U274" i="59"/>
  <c r="T274" i="59"/>
  <c r="S274" i="59"/>
  <c r="AE277" i="59"/>
  <c r="AD277" i="59"/>
  <c r="AC277" i="59"/>
  <c r="AO278" i="59"/>
  <c r="AN278" i="59"/>
  <c r="AM278" i="59"/>
  <c r="BI281" i="59"/>
  <c r="BW281" i="59"/>
  <c r="AF281" i="59"/>
  <c r="AF291" i="59" s="1"/>
  <c r="AE265" i="59"/>
  <c r="AI281" i="59"/>
  <c r="BD265" i="59"/>
  <c r="AO268" i="59"/>
  <c r="AN268" i="59"/>
  <c r="AM268" i="59"/>
  <c r="AY271" i="59"/>
  <c r="AX271" i="59"/>
  <c r="AW271" i="59"/>
  <c r="U272" i="59"/>
  <c r="T272" i="59"/>
  <c r="S272" i="59"/>
  <c r="AE275" i="59"/>
  <c r="AD275" i="59"/>
  <c r="AC275" i="59"/>
  <c r="AO276" i="59"/>
  <c r="AN276" i="59"/>
  <c r="AM276" i="59"/>
  <c r="AY279" i="59"/>
  <c r="AX279" i="59"/>
  <c r="AW279" i="59"/>
  <c r="BO281" i="59"/>
  <c r="BO291" i="59" s="1"/>
  <c r="BS281" i="59"/>
  <c r="CF275" i="59"/>
  <c r="Q281" i="59"/>
  <c r="AU289" i="59"/>
  <c r="AT284" i="59"/>
  <c r="AS284" i="59"/>
  <c r="AR284" i="59"/>
  <c r="AJ285" i="59"/>
  <c r="AI285" i="59"/>
  <c r="AH285" i="59"/>
  <c r="AT286" i="59"/>
  <c r="AS286" i="59"/>
  <c r="AR286" i="59"/>
  <c r="AJ287" i="59"/>
  <c r="AI287" i="59"/>
  <c r="AH287" i="59"/>
  <c r="CV287" i="59"/>
  <c r="CY287" i="59"/>
  <c r="CX287" i="59"/>
  <c r="AU281" i="59"/>
  <c r="BB127" i="100" s="1"/>
  <c r="AZ281" i="59"/>
  <c r="BG127" i="100" s="1"/>
  <c r="AY265" i="59"/>
  <c r="AM267" i="59"/>
  <c r="AO267" i="59"/>
  <c r="AY267" i="59"/>
  <c r="AW267" i="59"/>
  <c r="AY269" i="59"/>
  <c r="AX269" i="59"/>
  <c r="AW269" i="59"/>
  <c r="U270" i="59"/>
  <c r="T270" i="59"/>
  <c r="S270" i="59"/>
  <c r="AE273" i="59"/>
  <c r="AD273" i="59"/>
  <c r="AC273" i="59"/>
  <c r="AO274" i="59"/>
  <c r="AN274" i="59"/>
  <c r="AM274" i="59"/>
  <c r="AY277" i="59"/>
  <c r="AX277" i="59"/>
  <c r="AW277" i="59"/>
  <c r="U278" i="59"/>
  <c r="T278" i="59"/>
  <c r="S278" i="59"/>
  <c r="BL281" i="59"/>
  <c r="BK281" i="59"/>
  <c r="BY281" i="59"/>
  <c r="CP276" i="59"/>
  <c r="CU276" i="59" s="1"/>
  <c r="CZ276" i="59" s="1"/>
  <c r="CL276" i="59"/>
  <c r="CH276" i="59"/>
  <c r="CO276" i="59"/>
  <c r="CG276" i="59"/>
  <c r="CN276" i="59"/>
  <c r="CJ276" i="59"/>
  <c r="AK281" i="59"/>
  <c r="CX286" i="59"/>
  <c r="CT286" i="59"/>
  <c r="CW286" i="59"/>
  <c r="CW289" i="59" s="1"/>
  <c r="CS286" i="59"/>
  <c r="CZ286" i="59"/>
  <c r="CV286" i="59"/>
  <c r="CR286" i="59"/>
  <c r="CY286" i="59"/>
  <c r="CQ286" i="59"/>
  <c r="U307" i="59"/>
  <c r="T307" i="59"/>
  <c r="S307" i="59"/>
  <c r="R307" i="59"/>
  <c r="AE268" i="59"/>
  <c r="AY268" i="59"/>
  <c r="U269" i="59"/>
  <c r="AO269" i="59"/>
  <c r="AE270" i="59"/>
  <c r="AY270" i="59"/>
  <c r="U271" i="59"/>
  <c r="AO271" i="59"/>
  <c r="AE272" i="59"/>
  <c r="AY272" i="59"/>
  <c r="U273" i="59"/>
  <c r="AO273" i="59"/>
  <c r="AE274" i="59"/>
  <c r="AY274" i="59"/>
  <c r="U275" i="59"/>
  <c r="AO275" i="59"/>
  <c r="AE276" i="59"/>
  <c r="AY276" i="59"/>
  <c r="U277" i="59"/>
  <c r="AO277" i="59"/>
  <c r="AE278" i="59"/>
  <c r="AY278" i="59"/>
  <c r="U279" i="59"/>
  <c r="AO279" i="59"/>
  <c r="BG281" i="59"/>
  <c r="T289" i="59"/>
  <c r="AN289" i="59"/>
  <c r="BW289" i="59"/>
  <c r="CE289" i="59"/>
  <c r="AJ300" i="59"/>
  <c r="AJ311" i="59" s="1"/>
  <c r="AH300" i="59"/>
  <c r="AI300" i="59"/>
  <c r="AG300" i="59"/>
  <c r="AO303" i="59"/>
  <c r="AN303" i="59"/>
  <c r="AM303" i="59"/>
  <c r="AL303" i="59"/>
  <c r="AY306" i="59"/>
  <c r="AX306" i="59"/>
  <c r="AW306" i="59"/>
  <c r="AV306" i="59"/>
  <c r="Q289" i="59"/>
  <c r="Q291" i="59" s="1"/>
  <c r="AC284" i="59"/>
  <c r="AK289" i="59"/>
  <c r="AW284" i="59"/>
  <c r="BE289" i="59"/>
  <c r="S285" i="59"/>
  <c r="AM285" i="59"/>
  <c r="AC286" i="59"/>
  <c r="AW286" i="59"/>
  <c r="S287" i="59"/>
  <c r="AM287" i="59"/>
  <c r="BH289" i="59"/>
  <c r="BH291" i="59" s="1"/>
  <c r="BL284" i="59"/>
  <c r="BP289" i="59"/>
  <c r="BX289" i="59"/>
  <c r="BX291" i="59" s="1"/>
  <c r="CB289" i="59"/>
  <c r="AU311" i="59"/>
  <c r="BB161" i="99" s="1"/>
  <c r="AS311" i="59"/>
  <c r="AZ161" i="99" s="1"/>
  <c r="AZ187" i="99" s="1"/>
  <c r="CX311" i="59"/>
  <c r="BJ167" i="99" s="1"/>
  <c r="CN314" i="59"/>
  <c r="CJ314" i="59"/>
  <c r="CM314" i="59"/>
  <c r="CI314" i="59"/>
  <c r="CP314" i="59"/>
  <c r="CU314" i="59" s="1"/>
  <c r="CZ314" i="59" s="1"/>
  <c r="CL314" i="59"/>
  <c r="CH314" i="59"/>
  <c r="CO314" i="59"/>
  <c r="CG314" i="59"/>
  <c r="N284" i="59"/>
  <c r="V289" i="59"/>
  <c r="AD284" i="59"/>
  <c r="AH284" i="59"/>
  <c r="AP289" i="59"/>
  <c r="AX284" i="59"/>
  <c r="AX289" i="59" s="1"/>
  <c r="BB284" i="59"/>
  <c r="CC289" i="59"/>
  <c r="AZ311" i="59"/>
  <c r="BG161" i="99" s="1"/>
  <c r="X300" i="59"/>
  <c r="Z300" i="59"/>
  <c r="Y300" i="59"/>
  <c r="W300" i="59"/>
  <c r="CN304" i="59"/>
  <c r="CJ304" i="59"/>
  <c r="CM304" i="59"/>
  <c r="CI304" i="59"/>
  <c r="CI311" i="59" s="1"/>
  <c r="AU167" i="99" s="1"/>
  <c r="CP304" i="59"/>
  <c r="CU304" i="59" s="1"/>
  <c r="CZ304" i="59" s="1"/>
  <c r="CL304" i="59"/>
  <c r="CH304" i="59"/>
  <c r="CO304" i="59"/>
  <c r="CG304" i="59"/>
  <c r="BB298" i="59"/>
  <c r="BB299" i="59"/>
  <c r="BD299" i="59"/>
  <c r="P300" i="59"/>
  <c r="N300" i="59"/>
  <c r="AQ300" i="59"/>
  <c r="BA300" i="59"/>
  <c r="BH311" i="59"/>
  <c r="BL311" i="59"/>
  <c r="BP311" i="59"/>
  <c r="BP321" i="59" s="1"/>
  <c r="AY304" i="59"/>
  <c r="AX304" i="59"/>
  <c r="AW304" i="59"/>
  <c r="U305" i="59"/>
  <c r="T305" i="59"/>
  <c r="S305" i="59"/>
  <c r="AE308" i="59"/>
  <c r="AD308" i="59"/>
  <c r="AC308" i="59"/>
  <c r="AO309" i="59"/>
  <c r="AN309" i="59"/>
  <c r="AM309" i="59"/>
  <c r="CS305" i="59"/>
  <c r="CS311" i="59" s="1"/>
  <c r="BE167" i="99" s="1"/>
  <c r="CO305" i="59"/>
  <c r="CU305" i="59"/>
  <c r="CZ305" i="59" s="1"/>
  <c r="CT305" i="59"/>
  <c r="CT311" i="59" s="1"/>
  <c r="BF167" i="99" s="1"/>
  <c r="CN305" i="59"/>
  <c r="CR305" i="59"/>
  <c r="CR311" i="59" s="1"/>
  <c r="BD167" i="99" s="1"/>
  <c r="CM305" i="59"/>
  <c r="P315" i="59"/>
  <c r="O315" i="59"/>
  <c r="N315" i="59"/>
  <c r="M315" i="59"/>
  <c r="L311" i="59"/>
  <c r="L321" i="59" s="1"/>
  <c r="Q311" i="59"/>
  <c r="M298" i="59"/>
  <c r="R298" i="59"/>
  <c r="W298" i="59"/>
  <c r="BC298" i="59"/>
  <c r="W299" i="59"/>
  <c r="AB299" i="59"/>
  <c r="AG299" i="59"/>
  <c r="BR311" i="59"/>
  <c r="BR321" i="59" s="1"/>
  <c r="U303" i="59"/>
  <c r="T303" i="59"/>
  <c r="S303" i="59"/>
  <c r="AE306" i="59"/>
  <c r="AD306" i="59"/>
  <c r="AC306" i="59"/>
  <c r="AO307" i="59"/>
  <c r="AN307" i="59"/>
  <c r="AM307" i="59"/>
  <c r="CL305" i="59"/>
  <c r="AA311" i="59"/>
  <c r="AF311" i="59"/>
  <c r="AK311" i="59"/>
  <c r="AR300" i="59"/>
  <c r="AT300" i="59"/>
  <c r="BD300" i="59"/>
  <c r="BB300" i="59"/>
  <c r="BN311" i="59"/>
  <c r="AE304" i="59"/>
  <c r="AD304" i="59"/>
  <c r="AC304" i="59"/>
  <c r="AO305" i="59"/>
  <c r="AN305" i="59"/>
  <c r="AM305" i="59"/>
  <c r="AY308" i="59"/>
  <c r="AX308" i="59"/>
  <c r="AW308" i="59"/>
  <c r="U309" i="59"/>
  <c r="T309" i="59"/>
  <c r="S309" i="59"/>
  <c r="CH303" i="59"/>
  <c r="CH311" i="59" s="1"/>
  <c r="AT167" i="99" s="1"/>
  <c r="CD303" i="59"/>
  <c r="CK303" i="59"/>
  <c r="CP303" i="59" s="1"/>
  <c r="CU303" i="59" s="1"/>
  <c r="CZ303" i="59" s="1"/>
  <c r="CG303" i="59"/>
  <c r="CC303" i="59"/>
  <c r="CJ303" i="59"/>
  <c r="CB303" i="59"/>
  <c r="CZ316" i="59"/>
  <c r="CV316" i="59"/>
  <c r="CR316" i="59"/>
  <c r="CY316" i="59"/>
  <c r="CQ316" i="59"/>
  <c r="CX316" i="59"/>
  <c r="CT316" i="59"/>
  <c r="CS316" i="59"/>
  <c r="CW316" i="59"/>
  <c r="BG311" i="59"/>
  <c r="BK311" i="59"/>
  <c r="BO311" i="59"/>
  <c r="BS311" i="59"/>
  <c r="CQ311" i="59"/>
  <c r="BC167" i="99" s="1"/>
  <c r="CY311" i="59"/>
  <c r="BK167" i="99" s="1"/>
  <c r="AE303" i="59"/>
  <c r="AY303" i="59"/>
  <c r="U304" i="59"/>
  <c r="AO304" i="59"/>
  <c r="AE305" i="59"/>
  <c r="AY305" i="59"/>
  <c r="U306" i="59"/>
  <c r="AO306" i="59"/>
  <c r="AE307" i="59"/>
  <c r="AY307" i="59"/>
  <c r="U308" i="59"/>
  <c r="AO308" i="59"/>
  <c r="AE309" i="59"/>
  <c r="AY309" i="59"/>
  <c r="Q319" i="59"/>
  <c r="BE319" i="59"/>
  <c r="BE321" i="59" s="1"/>
  <c r="Z314" i="59"/>
  <c r="Y314" i="59"/>
  <c r="X314" i="59"/>
  <c r="AN317" i="59"/>
  <c r="AM317" i="59"/>
  <c r="AO317" i="59"/>
  <c r="AO319" i="59" s="1"/>
  <c r="AL317" i="59"/>
  <c r="AL319" i="59" s="1"/>
  <c r="CV311" i="59"/>
  <c r="BH167" i="99" s="1"/>
  <c r="AY315" i="59"/>
  <c r="AX315" i="59"/>
  <c r="AX319" i="59" s="1"/>
  <c r="AW315" i="59"/>
  <c r="AV315" i="59"/>
  <c r="CX317" i="59"/>
  <c r="CW317" i="59"/>
  <c r="CV317" i="59"/>
  <c r="V311" i="59"/>
  <c r="AP311" i="59"/>
  <c r="AW161" i="99" s="1"/>
  <c r="BI311" i="59"/>
  <c r="BM311" i="59"/>
  <c r="BM321" i="59" s="1"/>
  <c r="BU311" i="59"/>
  <c r="CW311" i="59"/>
  <c r="BI167" i="99" s="1"/>
  <c r="AK319" i="59"/>
  <c r="AT314" i="59"/>
  <c r="AT319" i="59" s="1"/>
  <c r="AS314" i="59"/>
  <c r="AS319" i="59" s="1"/>
  <c r="AR314" i="59"/>
  <c r="AR319" i="59" s="1"/>
  <c r="AJ315" i="59"/>
  <c r="AI315" i="59"/>
  <c r="AH315" i="59"/>
  <c r="BC315" i="59"/>
  <c r="BD315" i="59"/>
  <c r="BB315" i="59"/>
  <c r="BA315" i="59"/>
  <c r="CT315" i="59"/>
  <c r="CL315" i="59"/>
  <c r="CS315" i="59"/>
  <c r="CO315" i="59"/>
  <c r="CR315" i="59"/>
  <c r="CN315" i="59"/>
  <c r="CU315" i="59"/>
  <c r="CZ315" i="59" s="1"/>
  <c r="CQ315" i="59"/>
  <c r="CM315" i="59"/>
  <c r="CY317" i="59"/>
  <c r="AZ319" i="59"/>
  <c r="AP319" i="59"/>
  <c r="BD314" i="59"/>
  <c r="AJ317" i="59"/>
  <c r="AI317" i="59"/>
  <c r="BG319" i="59"/>
  <c r="AA319" i="59"/>
  <c r="AQ319" i="59"/>
  <c r="AU319" i="59"/>
  <c r="AC314" i="59"/>
  <c r="AW314" i="59"/>
  <c r="AM315" i="59"/>
  <c r="M317" i="59"/>
  <c r="R317" i="59"/>
  <c r="BW319" i="59"/>
  <c r="R316" i="59"/>
  <c r="W316" i="59"/>
  <c r="AB316" i="59"/>
  <c r="N317" i="59"/>
  <c r="T317" i="59"/>
  <c r="AG317" i="59"/>
  <c r="BC317" i="59"/>
  <c r="G28" i="51"/>
  <c r="G32" i="51" s="1"/>
  <c r="G35" i="51" s="1"/>
  <c r="G24" i="51"/>
  <c r="K28" i="51"/>
  <c r="K32" i="51" s="1"/>
  <c r="K35" i="51" s="1"/>
  <c r="K24" i="51"/>
  <c r="O23" i="51"/>
  <c r="O23" i="46"/>
  <c r="S28" i="51"/>
  <c r="S32" i="51" s="1"/>
  <c r="S35" i="51" s="1"/>
  <c r="S24" i="51"/>
  <c r="W28" i="51"/>
  <c r="W32" i="51" s="1"/>
  <c r="W35" i="51" s="1"/>
  <c r="W24" i="51"/>
  <c r="AA28" i="51"/>
  <c r="AA32" i="51" s="1"/>
  <c r="AA35" i="51" s="1"/>
  <c r="AA24" i="51"/>
  <c r="AE28" i="51"/>
  <c r="AE32" i="51" s="1"/>
  <c r="AE35" i="51" s="1"/>
  <c r="AE24" i="51"/>
  <c r="AI28" i="51"/>
  <c r="AI32" i="51" s="1"/>
  <c r="AI35" i="51" s="1"/>
  <c r="AI24" i="51"/>
  <c r="AM28" i="51"/>
  <c r="AM32" i="51" s="1"/>
  <c r="AM35" i="51" s="1"/>
  <c r="AM24" i="51"/>
  <c r="AQ28" i="51"/>
  <c r="AQ32" i="51" s="1"/>
  <c r="AQ35" i="51" s="1"/>
  <c r="AQ24" i="51"/>
  <c r="AR15" i="51"/>
  <c r="AY55" i="51"/>
  <c r="BD13" i="51"/>
  <c r="BC21" i="51"/>
  <c r="BB21" i="51"/>
  <c r="BD12" i="51"/>
  <c r="AY15" i="51"/>
  <c r="AY19" i="51" s="1"/>
  <c r="AY23" i="51" s="1"/>
  <c r="AZ55" i="51"/>
  <c r="BE13" i="51"/>
  <c r="AZ15" i="51"/>
  <c r="AZ19" i="51" s="1"/>
  <c r="AZ23" i="51" s="1"/>
  <c r="BE12" i="51"/>
  <c r="AX55" i="51"/>
  <c r="BC13" i="51"/>
  <c r="BB14" i="51"/>
  <c r="BC14" i="51"/>
  <c r="F28" i="51"/>
  <c r="F32" i="51" s="1"/>
  <c r="F35" i="51" s="1"/>
  <c r="F24" i="51"/>
  <c r="J28" i="51"/>
  <c r="J32" i="51" s="1"/>
  <c r="J35" i="51" s="1"/>
  <c r="J24" i="51"/>
  <c r="N28" i="51"/>
  <c r="N32" i="51" s="1"/>
  <c r="N35" i="51" s="1"/>
  <c r="N24" i="51"/>
  <c r="R28" i="51"/>
  <c r="R32" i="51" s="1"/>
  <c r="R35" i="51" s="1"/>
  <c r="R24" i="51"/>
  <c r="V28" i="51"/>
  <c r="V32" i="51" s="1"/>
  <c r="V35" i="51" s="1"/>
  <c r="V24" i="51"/>
  <c r="Z28" i="51"/>
  <c r="Z32" i="51" s="1"/>
  <c r="Z35" i="51" s="1"/>
  <c r="Z24" i="51"/>
  <c r="AD28" i="51"/>
  <c r="AD32" i="51" s="1"/>
  <c r="AD35" i="51" s="1"/>
  <c r="AD24" i="51"/>
  <c r="AH28" i="51"/>
  <c r="AH32" i="51" s="1"/>
  <c r="AH35" i="51" s="1"/>
  <c r="AH24" i="51"/>
  <c r="AL28" i="51"/>
  <c r="AL32" i="51" s="1"/>
  <c r="AL35" i="51" s="1"/>
  <c r="AL24" i="51"/>
  <c r="AP28" i="51"/>
  <c r="AP32" i="51" s="1"/>
  <c r="AP35" i="51" s="1"/>
  <c r="AP24" i="51"/>
  <c r="AR8" i="51"/>
  <c r="BI8" i="51"/>
  <c r="F10" i="51"/>
  <c r="J10" i="51"/>
  <c r="N10" i="51"/>
  <c r="R10" i="51"/>
  <c r="V10" i="51"/>
  <c r="Z10" i="51"/>
  <c r="AD10" i="51"/>
  <c r="AH10" i="51"/>
  <c r="AL10" i="51"/>
  <c r="AP10" i="51"/>
  <c r="AT10" i="51"/>
  <c r="BB10" i="51"/>
  <c r="BF10" i="51"/>
  <c r="AT15" i="51"/>
  <c r="AT19" i="51" s="1"/>
  <c r="AT23" i="51" s="1"/>
  <c r="H19" i="51"/>
  <c r="H23" i="51" s="1"/>
  <c r="L19" i="51"/>
  <c r="L23" i="51" s="1"/>
  <c r="P19" i="51"/>
  <c r="P23" i="51" s="1"/>
  <c r="T19" i="51"/>
  <c r="T23" i="51" s="1"/>
  <c r="X19" i="51"/>
  <c r="X23" i="51" s="1"/>
  <c r="AB19" i="51"/>
  <c r="AB23" i="51" s="1"/>
  <c r="AF19" i="51"/>
  <c r="AF23" i="51" s="1"/>
  <c r="AJ19" i="51"/>
  <c r="AJ23" i="51" s="1"/>
  <c r="O28" i="46"/>
  <c r="AW8" i="51"/>
  <c r="BJ8" i="51"/>
  <c r="BG8" i="51"/>
  <c r="G10" i="51"/>
  <c r="K10" i="51"/>
  <c r="O10" i="51"/>
  <c r="S10" i="51"/>
  <c r="W10" i="51"/>
  <c r="AA10" i="51"/>
  <c r="AE10" i="51"/>
  <c r="AI10" i="51"/>
  <c r="AM10" i="51"/>
  <c r="AQ10" i="51"/>
  <c r="AU10" i="51"/>
  <c r="BC10" i="51"/>
  <c r="AX12" i="51"/>
  <c r="BA13" i="51"/>
  <c r="AU15" i="51"/>
  <c r="AU19" i="51" s="1"/>
  <c r="AU23" i="51" s="1"/>
  <c r="E19" i="51"/>
  <c r="E23" i="51" s="1"/>
  <c r="I19" i="51"/>
  <c r="I23" i="51" s="1"/>
  <c r="M19" i="51"/>
  <c r="M23" i="51" s="1"/>
  <c r="Q19" i="51"/>
  <c r="Q23" i="51" s="1"/>
  <c r="U19" i="51"/>
  <c r="U23" i="51" s="1"/>
  <c r="Y19" i="51"/>
  <c r="Y23" i="51" s="1"/>
  <c r="AC19" i="51"/>
  <c r="AC23" i="51" s="1"/>
  <c r="AG19" i="51"/>
  <c r="AG23" i="51" s="1"/>
  <c r="AK19" i="51"/>
  <c r="AK23" i="51" s="1"/>
  <c r="AO19" i="51"/>
  <c r="AO23" i="51" s="1"/>
  <c r="AS19" i="51"/>
  <c r="AS23" i="51" s="1"/>
  <c r="BK8" i="51"/>
  <c r="AW14" i="51"/>
  <c r="AN15" i="51"/>
  <c r="AN19" i="51" s="1"/>
  <c r="AN23" i="51" s="1"/>
  <c r="AW21" i="51"/>
  <c r="BH8" i="51"/>
  <c r="AR54" i="51"/>
  <c r="AR61" i="51" s="1"/>
  <c r="AW66" i="51"/>
  <c r="AR63" i="51"/>
  <c r="AR66" i="51" s="1"/>
  <c r="AS66" i="51"/>
  <c r="AS75" i="51" s="1"/>
  <c r="AR68" i="51"/>
  <c r="AW68" i="51"/>
  <c r="AC227" i="100"/>
  <c r="AC240" i="100" s="1"/>
  <c r="AC24" i="100"/>
  <c r="AC228" i="100" s="1"/>
  <c r="AC28" i="100"/>
  <c r="AG62" i="100"/>
  <c r="AG74" i="100" s="1"/>
  <c r="AG10" i="100"/>
  <c r="AR23" i="100"/>
  <c r="X10" i="100"/>
  <c r="X17" i="100"/>
  <c r="AL9" i="100"/>
  <c r="AL71" i="100" s="1"/>
  <c r="AL72" i="100" s="1"/>
  <c r="AZ72" i="100"/>
  <c r="J10" i="100"/>
  <c r="U10" i="100"/>
  <c r="Z10" i="100"/>
  <c r="AK10" i="100"/>
  <c r="AP10" i="100"/>
  <c r="W85" i="100"/>
  <c r="W87" i="100" s="1"/>
  <c r="W88" i="100" s="1"/>
  <c r="W50" i="100" s="1"/>
  <c r="W15" i="100"/>
  <c r="AB15" i="100"/>
  <c r="AK15" i="100"/>
  <c r="AK17" i="100" s="1"/>
  <c r="AP15" i="100"/>
  <c r="AP17" i="100" s="1"/>
  <c r="J17" i="100"/>
  <c r="Z17" i="100"/>
  <c r="AH17" i="100"/>
  <c r="AA19" i="100"/>
  <c r="Z21" i="100"/>
  <c r="Z20" i="100"/>
  <c r="AK20" i="100"/>
  <c r="AK21" i="100" s="1"/>
  <c r="P20" i="100"/>
  <c r="P21" i="100" s="1"/>
  <c r="AJ20" i="100"/>
  <c r="X21" i="100"/>
  <c r="AN21" i="100"/>
  <c r="Y229" i="100"/>
  <c r="Z229" i="100"/>
  <c r="W229" i="100"/>
  <c r="AA229" i="100"/>
  <c r="AP74" i="100"/>
  <c r="AE88" i="100"/>
  <c r="AE50" i="100" s="1"/>
  <c r="N87" i="100"/>
  <c r="N88" i="100" s="1"/>
  <c r="N50" i="100" s="1"/>
  <c r="J74" i="100"/>
  <c r="J79" i="100" s="1"/>
  <c r="J81" i="100" s="1"/>
  <c r="O17" i="100"/>
  <c r="O62" i="100"/>
  <c r="T62" i="100"/>
  <c r="T10" i="100"/>
  <c r="T17" i="100"/>
  <c r="Y74" i="100"/>
  <c r="AD74" i="100"/>
  <c r="AL74" i="100"/>
  <c r="R8" i="100"/>
  <c r="AB8" i="100"/>
  <c r="AQ9" i="100"/>
  <c r="AV72" i="100" s="1"/>
  <c r="AL10" i="100"/>
  <c r="AI85" i="100"/>
  <c r="AI87" i="100" s="1"/>
  <c r="AI15" i="100"/>
  <c r="AI17" i="100" s="1"/>
  <c r="AN88" i="100"/>
  <c r="AN50" i="100" s="1"/>
  <c r="R88" i="100"/>
  <c r="R50" i="100" s="1"/>
  <c r="AB91" i="100"/>
  <c r="AB51" i="100" s="1"/>
  <c r="AV90" i="100"/>
  <c r="AG15" i="100"/>
  <c r="AG17" i="100" s="1"/>
  <c r="U17" i="100"/>
  <c r="AD20" i="100"/>
  <c r="AD21" i="100" s="1"/>
  <c r="S21" i="100"/>
  <c r="S23" i="100" s="1"/>
  <c r="AZ65" i="100"/>
  <c r="AU66" i="100"/>
  <c r="AK74" i="100"/>
  <c r="AK68" i="100"/>
  <c r="AK44" i="100" s="1"/>
  <c r="AF68" i="100"/>
  <c r="AF44" i="100" s="1"/>
  <c r="AF72" i="100"/>
  <c r="K17" i="100"/>
  <c r="K23" i="100" s="1"/>
  <c r="K62" i="100"/>
  <c r="K74" i="100" s="1"/>
  <c r="K79" i="100" s="1"/>
  <c r="P62" i="100"/>
  <c r="P74" i="100" s="1"/>
  <c r="P10" i="100"/>
  <c r="P17" i="100"/>
  <c r="U75" i="100"/>
  <c r="Z75" i="100"/>
  <c r="AE17" i="100"/>
  <c r="AE62" i="100"/>
  <c r="AE74" i="100" s="1"/>
  <c r="AQ62" i="100"/>
  <c r="AJ10" i="100"/>
  <c r="AJ71" i="100"/>
  <c r="AN10" i="100"/>
  <c r="AN71" i="100"/>
  <c r="AR10" i="100"/>
  <c r="AO88" i="100"/>
  <c r="AO50" i="100" s="1"/>
  <c r="M15" i="100"/>
  <c r="AN15" i="100"/>
  <c r="AN17" i="100" s="1"/>
  <c r="N17" i="100"/>
  <c r="V17" i="100"/>
  <c r="AD17" i="100"/>
  <c r="U19" i="100"/>
  <c r="AE19" i="100"/>
  <c r="AQ19" i="100"/>
  <c r="AQ21" i="100" s="1"/>
  <c r="T20" i="100"/>
  <c r="T21" i="100"/>
  <c r="AJ21" i="100"/>
  <c r="BA65" i="100"/>
  <c r="AV66" i="100"/>
  <c r="L62" i="100"/>
  <c r="L74" i="100" s="1"/>
  <c r="L79" i="100" s="1"/>
  <c r="L81" i="100" s="1"/>
  <c r="L10" i="100"/>
  <c r="L17" i="100"/>
  <c r="L23" i="100" s="1"/>
  <c r="Q79" i="100"/>
  <c r="Q81" i="100" s="1"/>
  <c r="Q75" i="100"/>
  <c r="V79" i="100"/>
  <c r="V81" i="100" s="1"/>
  <c r="V75" i="100"/>
  <c r="AA17" i="100"/>
  <c r="AA62" i="100"/>
  <c r="AA74" i="100" s="1"/>
  <c r="AF62" i="100"/>
  <c r="AF74" i="100" s="1"/>
  <c r="AF10" i="100"/>
  <c r="AF17" i="100"/>
  <c r="M8" i="100"/>
  <c r="W8" i="100"/>
  <c r="AY72" i="100"/>
  <c r="AT71" i="100"/>
  <c r="AT9" i="100" s="1"/>
  <c r="I10" i="100"/>
  <c r="S10" i="100"/>
  <c r="Y10" i="100"/>
  <c r="AD10" i="100"/>
  <c r="AI10" i="100"/>
  <c r="AO10" i="100"/>
  <c r="AP88" i="100"/>
  <c r="AP50" i="100" s="1"/>
  <c r="R91" i="100"/>
  <c r="R51" i="100" s="1"/>
  <c r="AB88" i="100"/>
  <c r="AB50" i="100" s="1"/>
  <c r="AQ12" i="100"/>
  <c r="R15" i="100"/>
  <c r="AJ15" i="100"/>
  <c r="AJ17" i="100" s="1"/>
  <c r="AO15" i="100"/>
  <c r="AO17" i="100" s="1"/>
  <c r="I17" i="100"/>
  <c r="I23" i="100" s="1"/>
  <c r="Q17" i="100"/>
  <c r="Y17" i="100"/>
  <c r="J20" i="100"/>
  <c r="M20" i="100" s="1"/>
  <c r="M19" i="100"/>
  <c r="Y21" i="100"/>
  <c r="Y20" i="100"/>
  <c r="AB19" i="100"/>
  <c r="AL19" i="100"/>
  <c r="O20" i="100"/>
  <c r="O21" i="100" s="1"/>
  <c r="AI20" i="100"/>
  <c r="AI21" i="100" s="1"/>
  <c r="AM21" i="100"/>
  <c r="AX65" i="100"/>
  <c r="AS66" i="100"/>
  <c r="AW65" i="100"/>
  <c r="AW66" i="100" s="1"/>
  <c r="AW68" i="100" s="1"/>
  <c r="AO74" i="100"/>
  <c r="Q68" i="100"/>
  <c r="Q44" i="100" s="1"/>
  <c r="N21" i="100"/>
  <c r="AH21" i="100"/>
  <c r="U229" i="100"/>
  <c r="T229" i="100"/>
  <c r="V229" i="100"/>
  <c r="R229" i="100"/>
  <c r="AO229" i="100"/>
  <c r="AN229" i="100"/>
  <c r="AP229" i="100"/>
  <c r="AL229" i="100"/>
  <c r="AV48" i="100"/>
  <c r="AT51" i="100"/>
  <c r="AY51" i="100"/>
  <c r="BD51" i="100"/>
  <c r="BI50" i="100"/>
  <c r="BI51" i="100"/>
  <c r="AI74" i="100"/>
  <c r="AM62" i="100"/>
  <c r="AM74" i="100" s="1"/>
  <c r="Z66" i="100"/>
  <c r="Z79" i="100" s="1"/>
  <c r="AB65" i="100"/>
  <c r="AB66" i="100" s="1"/>
  <c r="AG65" i="100"/>
  <c r="AG66" i="100" s="1"/>
  <c r="AG68" i="100" s="1"/>
  <c r="AG44" i="100" s="1"/>
  <c r="AY65" i="100"/>
  <c r="P88" i="100"/>
  <c r="P50" i="100" s="1"/>
  <c r="AD88" i="100"/>
  <c r="AD50" i="100" s="1"/>
  <c r="X91" i="100"/>
  <c r="X51" i="100" s="1"/>
  <c r="AN91" i="100"/>
  <c r="AN51" i="100" s="1"/>
  <c r="AE104" i="100"/>
  <c r="AF100" i="100"/>
  <c r="AF102" i="100" s="1"/>
  <c r="AF105" i="100"/>
  <c r="AX245" i="100"/>
  <c r="AX150" i="100"/>
  <c r="BC245" i="100"/>
  <c r="BC150" i="100"/>
  <c r="BI115" i="100"/>
  <c r="AR62" i="100"/>
  <c r="AA72" i="100"/>
  <c r="Y88" i="100"/>
  <c r="Y50" i="100" s="1"/>
  <c r="AC87" i="100"/>
  <c r="AC88" i="100" s="1"/>
  <c r="AC50" i="100" s="1"/>
  <c r="AH89" i="73" s="1"/>
  <c r="AH87" i="100"/>
  <c r="N110" i="100"/>
  <c r="J102" i="100"/>
  <c r="S110" i="100"/>
  <c r="O102" i="100"/>
  <c r="AA105" i="100"/>
  <c r="AA100" i="100"/>
  <c r="AA102" i="100" s="1"/>
  <c r="AJ104" i="100"/>
  <c r="AK105" i="100"/>
  <c r="AK100" i="100"/>
  <c r="AK102" i="100" s="1"/>
  <c r="X108" i="100"/>
  <c r="AF229" i="100"/>
  <c r="AB229" i="100"/>
  <c r="AD229" i="100"/>
  <c r="AE229" i="100"/>
  <c r="AT48" i="100"/>
  <c r="M65" i="100"/>
  <c r="M66" i="100" s="1"/>
  <c r="M72" i="100" s="1"/>
  <c r="U66" i="100"/>
  <c r="U68" i="100" s="1"/>
  <c r="U44" i="100" s="1"/>
  <c r="AE66" i="100"/>
  <c r="Y68" i="100"/>
  <c r="Y44" i="100" s="1"/>
  <c r="K72" i="100"/>
  <c r="O72" i="100"/>
  <c r="X87" i="100"/>
  <c r="T88" i="100"/>
  <c r="T50" i="100" s="1"/>
  <c r="V88" i="100"/>
  <c r="V50" i="100" s="1"/>
  <c r="AF91" i="100"/>
  <c r="AF51" i="100" s="1"/>
  <c r="AL12" i="100"/>
  <c r="AM15" i="100"/>
  <c r="AM17" i="100" s="1"/>
  <c r="AM23" i="100" s="1"/>
  <c r="Q20" i="100"/>
  <c r="Q21" i="100" s="1"/>
  <c r="Q229" i="100"/>
  <c r="P229" i="100"/>
  <c r="O229" i="100"/>
  <c r="AK229" i="100"/>
  <c r="AG229" i="100"/>
  <c r="AJ229" i="100"/>
  <c r="AI229" i="100"/>
  <c r="W65" i="100"/>
  <c r="W66" i="100" s="1"/>
  <c r="W68" i="100" s="1"/>
  <c r="W44" i="100" s="1"/>
  <c r="S87" i="100"/>
  <c r="S88" i="100" s="1"/>
  <c r="S50" i="100" s="1"/>
  <c r="X89" i="73" s="1"/>
  <c r="T91" i="100"/>
  <c r="T51" i="100" s="1"/>
  <c r="AJ91" i="100"/>
  <c r="AJ51" i="100" s="1"/>
  <c r="AU105" i="100"/>
  <c r="AT104" i="100"/>
  <c r="BI114" i="100"/>
  <c r="BH117" i="100"/>
  <c r="AR102" i="100"/>
  <c r="AN105" i="100"/>
  <c r="AV115" i="100"/>
  <c r="BA116" i="100"/>
  <c r="BD114" i="100"/>
  <c r="AO120" i="100"/>
  <c r="V130" i="100"/>
  <c r="W130" i="100"/>
  <c r="AL130" i="100"/>
  <c r="J148" i="100"/>
  <c r="N148" i="100"/>
  <c r="R148" i="100"/>
  <c r="R162" i="100" s="1"/>
  <c r="V148" i="100"/>
  <c r="V162" i="100" s="1"/>
  <c r="AA148" i="100"/>
  <c r="AA162" i="100" s="1"/>
  <c r="AE148" i="100"/>
  <c r="AE162" i="100" s="1"/>
  <c r="AR148" i="100"/>
  <c r="AV151" i="100"/>
  <c r="AK160" i="100"/>
  <c r="Y105" i="100"/>
  <c r="AC108" i="100"/>
  <c r="AS117" i="100"/>
  <c r="N130" i="100"/>
  <c r="AQ148" i="100"/>
  <c r="AO104" i="100"/>
  <c r="AH108" i="100"/>
  <c r="AT114" i="100"/>
  <c r="AT117" i="100" s="1"/>
  <c r="AY115" i="100"/>
  <c r="BD116" i="100"/>
  <c r="BE116" i="100" s="1"/>
  <c r="AW121" i="100"/>
  <c r="O130" i="100"/>
  <c r="AB130" i="100"/>
  <c r="AO130" i="100"/>
  <c r="AK162" i="100"/>
  <c r="CT148" i="100"/>
  <c r="CT162" i="100" s="1"/>
  <c r="CE162" i="100"/>
  <c r="CE165" i="100" s="1"/>
  <c r="M153" i="100"/>
  <c r="AQ153" i="100"/>
  <c r="Y100" i="100"/>
  <c r="Y102" i="100" s="1"/>
  <c r="AS100" i="100"/>
  <c r="AM108" i="100"/>
  <c r="AU114" i="100"/>
  <c r="AU117" i="100" s="1"/>
  <c r="AV116" i="100"/>
  <c r="AY114" i="100"/>
  <c r="BD115" i="100"/>
  <c r="BJ115" i="100"/>
  <c r="BK115" i="100" s="1"/>
  <c r="BI116" i="100"/>
  <c r="BJ116" i="100" s="1"/>
  <c r="BL245" i="100"/>
  <c r="M162" i="100"/>
  <c r="Z148" i="100"/>
  <c r="Z162" i="100" s="1"/>
  <c r="AD148" i="100"/>
  <c r="AD162" i="100" s="1"/>
  <c r="AH148" i="100"/>
  <c r="AH162" i="100" s="1"/>
  <c r="AL148" i="100"/>
  <c r="AP148" i="100"/>
  <c r="AP162" i="100" s="1"/>
  <c r="BF146" i="100"/>
  <c r="W148" i="100"/>
  <c r="J153" i="100"/>
  <c r="N153" i="100"/>
  <c r="AR153" i="100"/>
  <c r="CO160" i="100"/>
  <c r="CO162" i="100" s="1"/>
  <c r="S247" i="100"/>
  <c r="AZ146" i="100"/>
  <c r="BA146" i="100" s="1"/>
  <c r="AZ147" i="100"/>
  <c r="BA147" i="100" s="1"/>
  <c r="CY147" i="100"/>
  <c r="W147" i="100" s="1"/>
  <c r="DS147" i="100"/>
  <c r="AQ147" i="100" s="1"/>
  <c r="CI165" i="100"/>
  <c r="CU148" i="100"/>
  <c r="CU162" i="100" s="1"/>
  <c r="CY148" i="100"/>
  <c r="DO148" i="100"/>
  <c r="DO162" i="100" s="1"/>
  <c r="DS148" i="100"/>
  <c r="AG151" i="100"/>
  <c r="AG153" i="100" s="1"/>
  <c r="AG162" i="100" s="1"/>
  <c r="J152" i="100"/>
  <c r="N152" i="100"/>
  <c r="CJ152" i="100"/>
  <c r="CJ153" i="100" s="1"/>
  <c r="CJ162" i="100" s="1"/>
  <c r="CJ165" i="100" s="1"/>
  <c r="CY152" i="100"/>
  <c r="W152" i="100" s="1"/>
  <c r="W153" i="100" s="1"/>
  <c r="DS152" i="100"/>
  <c r="AQ152" i="100" s="1"/>
  <c r="AJ160" i="100"/>
  <c r="AJ162" i="100" s="1"/>
  <c r="AC156" i="100"/>
  <c r="AC127" i="100" s="1"/>
  <c r="AK158" i="100"/>
  <c r="DD156" i="100"/>
  <c r="DN158" i="100"/>
  <c r="AL158" i="100" s="1"/>
  <c r="AL160" i="100" s="1"/>
  <c r="DJ160" i="100"/>
  <c r="DJ162" i="100" s="1"/>
  <c r="AL182" i="100"/>
  <c r="AL205" i="100" s="1"/>
  <c r="AQ182" i="100"/>
  <c r="AE205" i="100"/>
  <c r="CN148" i="100"/>
  <c r="CN162" i="100" s="1"/>
  <c r="CR148" i="100"/>
  <c r="CR162" i="100" s="1"/>
  <c r="CV148" i="100"/>
  <c r="CV162" i="100" s="1"/>
  <c r="DH148" i="100"/>
  <c r="DH162" i="100" s="1"/>
  <c r="DL148" i="100"/>
  <c r="DP148" i="100"/>
  <c r="DP162" i="100" s="1"/>
  <c r="CZ153" i="100"/>
  <c r="CZ162" i="100" s="1"/>
  <c r="DT153" i="100"/>
  <c r="DT162" i="100" s="1"/>
  <c r="CE160" i="100"/>
  <c r="AT172" i="100"/>
  <c r="CK148" i="100"/>
  <c r="CW148" i="100"/>
  <c r="CW162" i="100" s="1"/>
  <c r="DA148" i="100"/>
  <c r="DA162" i="100" s="1"/>
  <c r="DQ148" i="100"/>
  <c r="DQ162" i="100" s="1"/>
  <c r="AL150" i="100"/>
  <c r="CK153" i="100"/>
  <c r="I153" i="100" s="1"/>
  <c r="DL160" i="100"/>
  <c r="AR208" i="100"/>
  <c r="AS133" i="100" s="1"/>
  <c r="AR173" i="100"/>
  <c r="AM208" i="100"/>
  <c r="AM173" i="100"/>
  <c r="N247" i="100"/>
  <c r="AT147" i="100"/>
  <c r="W155" i="100"/>
  <c r="AQ155" i="100"/>
  <c r="CH163" i="100"/>
  <c r="CH165" i="100" s="1"/>
  <c r="AD205" i="100"/>
  <c r="AR188" i="100"/>
  <c r="AR196" i="100" s="1"/>
  <c r="X212" i="100"/>
  <c r="AH210" i="100"/>
  <c r="AH188" i="100"/>
  <c r="X188" i="100"/>
  <c r="U196" i="100"/>
  <c r="U203" i="100" s="1"/>
  <c r="U205" i="100" s="1"/>
  <c r="Y196" i="100"/>
  <c r="W221" i="100"/>
  <c r="W218" i="100" s="1"/>
  <c r="AC217" i="100"/>
  <c r="AG221" i="100"/>
  <c r="AG218" i="100" s="1"/>
  <c r="AE222" i="100"/>
  <c r="AN196" i="100"/>
  <c r="AV198" i="100"/>
  <c r="AL221" i="100"/>
  <c r="AL218" i="100"/>
  <c r="O234" i="100"/>
  <c r="O221" i="100"/>
  <c r="O218" i="100" s="1"/>
  <c r="O213" i="100"/>
  <c r="AH172" i="100"/>
  <c r="AC173" i="100"/>
  <c r="AC182" i="100" s="1"/>
  <c r="AR175" i="100"/>
  <c r="AM175" i="100"/>
  <c r="AM177" i="100" s="1"/>
  <c r="AM188" i="100"/>
  <c r="AM196" i="100" s="1"/>
  <c r="AM203" i="100" s="1"/>
  <c r="AB188" i="100"/>
  <c r="AR211" i="100"/>
  <c r="AF196" i="100"/>
  <c r="AF203" i="100" s="1"/>
  <c r="AF205" i="100" s="1"/>
  <c r="AK196" i="100"/>
  <c r="AK203" i="100" s="1"/>
  <c r="AK205" i="100" s="1"/>
  <c r="AO196" i="100"/>
  <c r="AQ221" i="100"/>
  <c r="AQ218" i="100"/>
  <c r="W234" i="100"/>
  <c r="AG234" i="100"/>
  <c r="AQ234" i="100"/>
  <c r="AQ222" i="100"/>
  <c r="AQ213" i="100"/>
  <c r="AH173" i="100"/>
  <c r="AH182" i="100" s="1"/>
  <c r="AQ188" i="100"/>
  <c r="AQ196" i="100" s="1"/>
  <c r="AQ203" i="100" s="1"/>
  <c r="AR186" i="100"/>
  <c r="AS186" i="100" s="1"/>
  <c r="AT186" i="100" s="1"/>
  <c r="AU186" i="100" s="1"/>
  <c r="AV186" i="100" s="1"/>
  <c r="AW186" i="100" s="1"/>
  <c r="AX186" i="100" s="1"/>
  <c r="AY186" i="100" s="1"/>
  <c r="AZ186" i="100" s="1"/>
  <c r="BA186" i="100" s="1"/>
  <c r="BB186" i="100" s="1"/>
  <c r="BC186" i="100" s="1"/>
  <c r="BD186" i="100" s="1"/>
  <c r="BE186" i="100" s="1"/>
  <c r="BF186" i="100" s="1"/>
  <c r="BG186" i="100" s="1"/>
  <c r="BH186" i="100" s="1"/>
  <c r="BI186" i="100" s="1"/>
  <c r="BJ186" i="100" s="1"/>
  <c r="BK186" i="100" s="1"/>
  <c r="BL186" i="100" s="1"/>
  <c r="X211" i="100"/>
  <c r="X196" i="100"/>
  <c r="AC211" i="100"/>
  <c r="AH211" i="100"/>
  <c r="AM211" i="100"/>
  <c r="T196" i="100"/>
  <c r="AB196" i="100"/>
  <c r="AC194" i="100"/>
  <c r="AC196" i="100" s="1"/>
  <c r="AC203" i="100" s="1"/>
  <c r="AG196" i="100"/>
  <c r="T234" i="100"/>
  <c r="T222" i="100"/>
  <c r="AI234" i="100"/>
  <c r="Q234" i="100"/>
  <c r="Q222" i="100"/>
  <c r="Q221" i="100"/>
  <c r="Q218" i="100" s="1"/>
  <c r="Q213" i="100"/>
  <c r="V221" i="100"/>
  <c r="V213" i="100" s="1"/>
  <c r="Z221" i="100"/>
  <c r="Z218" i="100" s="1"/>
  <c r="AD218" i="100"/>
  <c r="AD221" i="100"/>
  <c r="AD213" i="100" s="1"/>
  <c r="AP221" i="100"/>
  <c r="AP218" i="100" s="1"/>
  <c r="T203" i="100"/>
  <c r="T205" i="100" s="1"/>
  <c r="Z203" i="100"/>
  <c r="Z205" i="100" s="1"/>
  <c r="AE203" i="100"/>
  <c r="AP203" i="100"/>
  <c r="AP205" i="100" s="1"/>
  <c r="Z234" i="100"/>
  <c r="Z222" i="100"/>
  <c r="AD234" i="100"/>
  <c r="AM210" i="100"/>
  <c r="AM212" i="100" s="1"/>
  <c r="AG233" i="100"/>
  <c r="L212" i="100"/>
  <c r="AB217" i="100"/>
  <c r="AA221" i="100"/>
  <c r="AA222" i="100" s="1"/>
  <c r="AE221" i="100"/>
  <c r="AE213" i="100" s="1"/>
  <c r="AI218" i="100"/>
  <c r="AI221" i="100"/>
  <c r="AI213" i="100" s="1"/>
  <c r="AM221" i="100"/>
  <c r="AM219" i="100" s="1"/>
  <c r="AM258" i="100" s="1"/>
  <c r="AR92" i="73" s="1"/>
  <c r="AA203" i="100"/>
  <c r="AA205" i="100" s="1"/>
  <c r="Q233" i="100"/>
  <c r="AQ233" i="100"/>
  <c r="R212" i="100"/>
  <c r="S221" i="100"/>
  <c r="S234" i="100" s="1"/>
  <c r="T221" i="100"/>
  <c r="T213" i="100" s="1"/>
  <c r="T218" i="100"/>
  <c r="X201" i="100"/>
  <c r="AF221" i="100"/>
  <c r="AF222" i="100" s="1"/>
  <c r="AJ221" i="100"/>
  <c r="AJ213" i="100" s="1"/>
  <c r="AN221" i="100"/>
  <c r="AN213" i="100" s="1"/>
  <c r="AR201" i="100"/>
  <c r="W203" i="100"/>
  <c r="W205" i="100" s="1"/>
  <c r="AB203" i="100"/>
  <c r="AB205" i="100" s="1"/>
  <c r="S233" i="100"/>
  <c r="R211" i="100"/>
  <c r="AE233" i="100"/>
  <c r="I212" i="100"/>
  <c r="AH194" i="100"/>
  <c r="AH196" i="100" s="1"/>
  <c r="AH203" i="100" s="1"/>
  <c r="U217" i="100"/>
  <c r="Y203" i="100"/>
  <c r="Y205" i="100" s="1"/>
  <c r="Y217" i="100"/>
  <c r="AG203" i="100"/>
  <c r="AG205" i="100" s="1"/>
  <c r="AK217" i="100"/>
  <c r="AO217" i="100"/>
  <c r="AO203" i="100"/>
  <c r="AO205" i="100" s="1"/>
  <c r="AD203" i="100"/>
  <c r="AI203" i="100"/>
  <c r="AI205" i="100" s="1"/>
  <c r="AN203" i="100"/>
  <c r="AN205" i="100" s="1"/>
  <c r="AL234" i="100"/>
  <c r="AL213" i="100"/>
  <c r="AL222" i="100"/>
  <c r="AP222" i="100"/>
  <c r="T233" i="100"/>
  <c r="AF233" i="100"/>
  <c r="K212" i="100"/>
  <c r="P212" i="100"/>
  <c r="V233" i="100"/>
  <c r="Z233" i="100"/>
  <c r="AL233" i="100"/>
  <c r="AP233" i="100"/>
  <c r="J212" i="100"/>
  <c r="N212" i="100"/>
  <c r="BL257" i="100"/>
  <c r="BQ95" i="73" s="1"/>
  <c r="BH257" i="100"/>
  <c r="BI257" i="100" s="1"/>
  <c r="BJ257" i="100" s="1"/>
  <c r="BK257" i="100" s="1"/>
  <c r="T244" i="100"/>
  <c r="S261" i="100"/>
  <c r="L23" i="99"/>
  <c r="L29" i="99" s="1"/>
  <c r="Z23" i="99"/>
  <c r="AE23" i="99"/>
  <c r="AC260" i="99"/>
  <c r="AC273" i="99" s="1"/>
  <c r="AC34" i="99"/>
  <c r="AC30" i="99"/>
  <c r="AC261" i="99" s="1"/>
  <c r="AX26" i="99"/>
  <c r="N260" i="99"/>
  <c r="N273" i="99" s="1"/>
  <c r="N34" i="99"/>
  <c r="N30" i="99"/>
  <c r="N261" i="99" s="1"/>
  <c r="V27" i="99"/>
  <c r="V29" i="99" s="1"/>
  <c r="V26" i="99"/>
  <c r="AF26" i="99"/>
  <c r="AF27" i="99" s="1"/>
  <c r="AF29" i="99" s="1"/>
  <c r="X260" i="99"/>
  <c r="X273" i="99" s="1"/>
  <c r="X34" i="99"/>
  <c r="X30" i="99"/>
  <c r="X261" i="99" s="1"/>
  <c r="AH260" i="99"/>
  <c r="AH273" i="99" s="1"/>
  <c r="AH30" i="99"/>
  <c r="AH261" i="99" s="1"/>
  <c r="AH34" i="99"/>
  <c r="BI61" i="99"/>
  <c r="M16" i="99"/>
  <c r="AG16" i="99"/>
  <c r="K23" i="99"/>
  <c r="P23" i="99"/>
  <c r="AD23" i="99"/>
  <c r="I29" i="99"/>
  <c r="Q29" i="99"/>
  <c r="M112" i="99"/>
  <c r="W112" i="99"/>
  <c r="AG112" i="99"/>
  <c r="AL9" i="99"/>
  <c r="AL94" i="99" s="1"/>
  <c r="AP112" i="99"/>
  <c r="AP104" i="99"/>
  <c r="AP10" i="99"/>
  <c r="AY80" i="99"/>
  <c r="BA110" i="99"/>
  <c r="AB14" i="99"/>
  <c r="AJ14" i="99"/>
  <c r="AR14" i="99"/>
  <c r="AR21" i="99" s="1"/>
  <c r="AR23" i="99" s="1"/>
  <c r="AR29" i="99" s="1"/>
  <c r="L16" i="99"/>
  <c r="P16" i="99"/>
  <c r="T16" i="99"/>
  <c r="X16" i="99"/>
  <c r="AF16" i="99"/>
  <c r="AN120" i="99"/>
  <c r="AN58" i="99" s="1"/>
  <c r="R279" i="99"/>
  <c r="R140" i="99"/>
  <c r="R142" i="99" s="1"/>
  <c r="W123" i="99"/>
  <c r="W59" i="99" s="1"/>
  <c r="AG120" i="99"/>
  <c r="AG58" i="99" s="1"/>
  <c r="AL279" i="99"/>
  <c r="AL140" i="99"/>
  <c r="AL142" i="99" s="1"/>
  <c r="AV122" i="99"/>
  <c r="AB21" i="99"/>
  <c r="AJ21" i="99"/>
  <c r="AN21" i="99"/>
  <c r="M25" i="99"/>
  <c r="R25" i="99"/>
  <c r="W25" i="99"/>
  <c r="AG25" i="99"/>
  <c r="K26" i="99"/>
  <c r="K27" i="99" s="1"/>
  <c r="O26" i="99"/>
  <c r="O27" i="99" s="1"/>
  <c r="O29" i="99" s="1"/>
  <c r="AE26" i="99"/>
  <c r="AI26" i="99"/>
  <c r="AL26" i="99" s="1"/>
  <c r="AL27" i="99" s="1"/>
  <c r="AQ26" i="99"/>
  <c r="AV26" i="99" s="1"/>
  <c r="BA26" i="99" s="1"/>
  <c r="BF26" i="99" s="1"/>
  <c r="BK26" i="99" s="1"/>
  <c r="S27" i="99"/>
  <c r="S29" i="99" s="1"/>
  <c r="AE27" i="99"/>
  <c r="AI27" i="99"/>
  <c r="AM27" i="99"/>
  <c r="AD262" i="99"/>
  <c r="AB262" i="99"/>
  <c r="AF262" i="99"/>
  <c r="AE262" i="99"/>
  <c r="AS74" i="99"/>
  <c r="AW73" i="99"/>
  <c r="AX73" i="99"/>
  <c r="BG51" i="99"/>
  <c r="AU54" i="99"/>
  <c r="BK53" i="99"/>
  <c r="AV55" i="99"/>
  <c r="AV87" i="99" s="1"/>
  <c r="AV56" i="99"/>
  <c r="AV106" i="99" s="1"/>
  <c r="M82" i="99"/>
  <c r="R82" i="99"/>
  <c r="V85" i="99"/>
  <c r="V89" i="99" s="1"/>
  <c r="AO82" i="99"/>
  <c r="U80" i="99"/>
  <c r="AH94" i="99"/>
  <c r="AV100" i="99"/>
  <c r="AV109" i="99" s="1"/>
  <c r="AV13" i="99" s="1"/>
  <c r="AI112" i="99"/>
  <c r="AI104" i="99"/>
  <c r="AM94" i="99"/>
  <c r="AQ9" i="99"/>
  <c r="AQ10" i="99" s="1"/>
  <c r="AI10" i="99"/>
  <c r="AZ80" i="99"/>
  <c r="AL12" i="99"/>
  <c r="AK14" i="99"/>
  <c r="I16" i="99"/>
  <c r="Q16" i="99"/>
  <c r="U16" i="99"/>
  <c r="Y16" i="99"/>
  <c r="AC16" i="99"/>
  <c r="AO120" i="99"/>
  <c r="AO58" i="99" s="1"/>
  <c r="M279" i="99"/>
  <c r="M140" i="99"/>
  <c r="M142" i="99" s="1"/>
  <c r="M144" i="99" s="1"/>
  <c r="R123" i="99"/>
  <c r="R59" i="99" s="1"/>
  <c r="AB120" i="99"/>
  <c r="AB58" i="99" s="1"/>
  <c r="AG279" i="99"/>
  <c r="AG140" i="99"/>
  <c r="AG142" i="99" s="1"/>
  <c r="AG144" i="99" s="1"/>
  <c r="AL123" i="99"/>
  <c r="AL59" i="99" s="1"/>
  <c r="M21" i="99"/>
  <c r="M23" i="99" s="1"/>
  <c r="AG21" i="99"/>
  <c r="AG23" i="99" s="1"/>
  <c r="AK21" i="99"/>
  <c r="AO21" i="99"/>
  <c r="P26" i="99"/>
  <c r="P27" i="99" s="1"/>
  <c r="T26" i="99"/>
  <c r="W26" i="99" s="1"/>
  <c r="AJ26" i="99"/>
  <c r="AJ27" i="99" s="1"/>
  <c r="AN27" i="99"/>
  <c r="Q262" i="99"/>
  <c r="M262" i="99"/>
  <c r="P262" i="99"/>
  <c r="O262" i="99"/>
  <c r="AK262" i="99"/>
  <c r="AG262" i="99"/>
  <c r="AJ262" i="99"/>
  <c r="AI262" i="99"/>
  <c r="AY73" i="99"/>
  <c r="AT74" i="99"/>
  <c r="AS51" i="99"/>
  <c r="AT100" i="99"/>
  <c r="BK123" i="99"/>
  <c r="BJ59" i="99"/>
  <c r="BD61" i="99"/>
  <c r="N83" i="99"/>
  <c r="S83" i="99"/>
  <c r="AC83" i="99"/>
  <c r="AG82" i="99"/>
  <c r="AP82" i="99"/>
  <c r="BA73" i="99"/>
  <c r="AV74" i="99"/>
  <c r="AM74" i="99"/>
  <c r="Q80" i="99"/>
  <c r="AA80" i="99"/>
  <c r="AA83" i="99"/>
  <c r="Y113" i="99"/>
  <c r="R112" i="99"/>
  <c r="R113" i="99" s="1"/>
  <c r="R104" i="99"/>
  <c r="AB112" i="99"/>
  <c r="AB113" i="99" s="1"/>
  <c r="AJ112" i="99"/>
  <c r="AJ104" i="99"/>
  <c r="AN112" i="99"/>
  <c r="AN113" i="99" s="1"/>
  <c r="AN104" i="99"/>
  <c r="AB10" i="99"/>
  <c r="AJ10" i="99"/>
  <c r="AN10" i="99"/>
  <c r="AM82" i="99"/>
  <c r="AM80" i="99"/>
  <c r="R14" i="99"/>
  <c r="R16" i="99" s="1"/>
  <c r="AP14" i="99"/>
  <c r="AP21" i="99" s="1"/>
  <c r="J16" i="99"/>
  <c r="N16" i="99"/>
  <c r="V16" i="99"/>
  <c r="Z16" i="99"/>
  <c r="AD16" i="99"/>
  <c r="AH16" i="99"/>
  <c r="AP120" i="99"/>
  <c r="AP58" i="99" s="1"/>
  <c r="AB279" i="99"/>
  <c r="AB140" i="99"/>
  <c r="AB142" i="99" s="1"/>
  <c r="AB144" i="99" s="1"/>
  <c r="AQ18" i="99"/>
  <c r="R21" i="99"/>
  <c r="R23" i="99" s="1"/>
  <c r="U26" i="99"/>
  <c r="Y26" i="99"/>
  <c r="Y27" i="99" s="1"/>
  <c r="Y29" i="99" s="1"/>
  <c r="U27" i="99"/>
  <c r="U29" i="99" s="1"/>
  <c r="AO27" i="99"/>
  <c r="V262" i="99"/>
  <c r="R262" i="99"/>
  <c r="U262" i="99"/>
  <c r="T262" i="99"/>
  <c r="AP262" i="99"/>
  <c r="AL262" i="99"/>
  <c r="AO262" i="99"/>
  <c r="AN262" i="99"/>
  <c r="AZ73" i="99"/>
  <c r="AU74" i="99"/>
  <c r="AT87" i="99"/>
  <c r="AX54" i="99"/>
  <c r="AS55" i="99"/>
  <c r="AY56" i="99"/>
  <c r="AY106" i="99" s="1"/>
  <c r="BB106" i="99" s="1"/>
  <c r="AU120" i="99"/>
  <c r="AU119" i="99" s="1"/>
  <c r="AT58" i="99"/>
  <c r="Y85" i="99"/>
  <c r="Y89" i="99" s="1"/>
  <c r="Y83" i="99"/>
  <c r="AD85" i="99"/>
  <c r="AD89" i="99" s="1"/>
  <c r="AD83" i="99"/>
  <c r="AH83" i="99"/>
  <c r="AT109" i="99"/>
  <c r="AT13" i="99" s="1"/>
  <c r="AY110" i="99"/>
  <c r="AK112" i="99"/>
  <c r="AK113" i="99" s="1"/>
  <c r="AK104" i="99"/>
  <c r="AO112" i="99"/>
  <c r="AO113" i="99" s="1"/>
  <c r="AO104" i="99"/>
  <c r="AT104" i="99" s="1"/>
  <c r="AK10" i="99"/>
  <c r="AO10" i="99"/>
  <c r="AS79" i="99"/>
  <c r="AX80" i="99"/>
  <c r="AQ12" i="99"/>
  <c r="W14" i="99"/>
  <c r="AI14" i="99"/>
  <c r="AI21" i="99" s="1"/>
  <c r="AM14" i="99"/>
  <c r="AM16" i="99" s="1"/>
  <c r="K16" i="99"/>
  <c r="O16" i="99"/>
  <c r="S16" i="99"/>
  <c r="W16" i="99"/>
  <c r="AA16" i="99"/>
  <c r="AE16" i="99"/>
  <c r="R120" i="99"/>
  <c r="R58" i="99" s="1"/>
  <c r="W279" i="99"/>
  <c r="W140" i="99"/>
  <c r="W142" i="99" s="1"/>
  <c r="W144" i="99" s="1"/>
  <c r="AB123" i="99"/>
  <c r="AB59" i="99" s="1"/>
  <c r="AL18" i="99"/>
  <c r="AQ279" i="99"/>
  <c r="W21" i="99"/>
  <c r="W23" i="99" s="1"/>
  <c r="AA25" i="99"/>
  <c r="J26" i="99"/>
  <c r="M26" i="99" s="1"/>
  <c r="Z26" i="99"/>
  <c r="Z27" i="99" s="1"/>
  <c r="AD26" i="99"/>
  <c r="AG26" i="99" s="1"/>
  <c r="AY54" i="99"/>
  <c r="AU55" i="99"/>
  <c r="AU87" i="99" s="1"/>
  <c r="AU56" i="99"/>
  <c r="AU106" i="99" s="1"/>
  <c r="BA61" i="99"/>
  <c r="U85" i="99"/>
  <c r="U89" i="99" s="1"/>
  <c r="U83" i="99"/>
  <c r="AE83" i="99"/>
  <c r="Z83" i="99"/>
  <c r="AI82" i="99"/>
  <c r="V76" i="99"/>
  <c r="V50" i="99" s="1"/>
  <c r="AP76" i="99"/>
  <c r="AP50" i="99" s="1"/>
  <c r="AC74" i="99"/>
  <c r="AC85" i="99" s="1"/>
  <c r="O83" i="99"/>
  <c r="O85" i="99"/>
  <c r="O89" i="99" s="1"/>
  <c r="AF102" i="99"/>
  <c r="AF51" i="99" s="1"/>
  <c r="AK102" i="99"/>
  <c r="AK51" i="99" s="1"/>
  <c r="Q113" i="99"/>
  <c r="AF110" i="99"/>
  <c r="AB70" i="99"/>
  <c r="AB82" i="99" s="1"/>
  <c r="AJ82" i="99"/>
  <c r="AN82" i="99"/>
  <c r="AB73" i="99"/>
  <c r="AB74" i="99" s="1"/>
  <c r="AB76" i="99" s="1"/>
  <c r="AB50" i="99" s="1"/>
  <c r="Z74" i="99"/>
  <c r="Z85" i="99" s="1"/>
  <c r="AI76" i="99"/>
  <c r="AI50" i="99" s="1"/>
  <c r="AK82" i="99"/>
  <c r="T85" i="99"/>
  <c r="J112" i="99"/>
  <c r="J104" i="99"/>
  <c r="O112" i="99"/>
  <c r="O104" i="99"/>
  <c r="S94" i="99"/>
  <c r="AA112" i="99"/>
  <c r="AA104" i="99"/>
  <c r="Q100" i="99"/>
  <c r="AE100" i="99"/>
  <c r="AS100" i="99"/>
  <c r="AC102" i="99"/>
  <c r="AC51" i="99" s="1"/>
  <c r="AH78" i="73" s="1"/>
  <c r="AA110" i="99"/>
  <c r="U113" i="99"/>
  <c r="T120" i="99"/>
  <c r="T58" i="99" s="1"/>
  <c r="X119" i="99"/>
  <c r="Z120" i="99"/>
  <c r="Z58" i="99" s="1"/>
  <c r="P132" i="99"/>
  <c r="P134" i="99" s="1"/>
  <c r="P144" i="99" s="1"/>
  <c r="O136" i="99"/>
  <c r="O132" i="99" s="1"/>
  <c r="O134" i="99" s="1"/>
  <c r="O144" i="99" s="1"/>
  <c r="AJ137" i="99"/>
  <c r="AJ132" i="99"/>
  <c r="AJ134" i="99" s="1"/>
  <c r="AJ144" i="99" s="1"/>
  <c r="AK136" i="99"/>
  <c r="K74" i="99"/>
  <c r="K80" i="99" s="1"/>
  <c r="AE74" i="99"/>
  <c r="AE85" i="99" s="1"/>
  <c r="O76" i="99"/>
  <c r="O50" i="99" s="1"/>
  <c r="P80" i="99"/>
  <c r="T80" i="99"/>
  <c r="Q82" i="99"/>
  <c r="V83" i="99" s="1"/>
  <c r="X83" i="99"/>
  <c r="P85" i="99"/>
  <c r="AA85" i="99"/>
  <c r="AA89" i="99" s="1"/>
  <c r="K112" i="99"/>
  <c r="P113" i="99" s="1"/>
  <c r="X94" i="99"/>
  <c r="U100" i="99"/>
  <c r="V97" i="99"/>
  <c r="AB99" i="99"/>
  <c r="AB100" i="99" s="1"/>
  <c r="AG100" i="99"/>
  <c r="AG110" i="99" s="1"/>
  <c r="S102" i="99"/>
  <c r="S51" i="99" s="1"/>
  <c r="X78" i="73" s="1"/>
  <c r="P104" i="99"/>
  <c r="AF104" i="99"/>
  <c r="J110" i="99"/>
  <c r="N110" i="99"/>
  <c r="S110" i="99"/>
  <c r="AN110" i="99"/>
  <c r="AS110" i="99" s="1"/>
  <c r="S119" i="99"/>
  <c r="O120" i="99"/>
  <c r="O58" i="99" s="1"/>
  <c r="AI120" i="99"/>
  <c r="AI58" i="99" s="1"/>
  <c r="AF120" i="99"/>
  <c r="AF58" i="99" s="1"/>
  <c r="AA144" i="99"/>
  <c r="BH278" i="99"/>
  <c r="BH181" i="99"/>
  <c r="L73" i="99"/>
  <c r="L74" i="99" s="1"/>
  <c r="Q76" i="99" s="1"/>
  <c r="Q50" i="99" s="1"/>
  <c r="R73" i="99"/>
  <c r="R74" i="99" s="1"/>
  <c r="W76" i="99" s="1"/>
  <c r="W50" i="99" s="1"/>
  <c r="AF73" i="99"/>
  <c r="AF74" i="99" s="1"/>
  <c r="AF76" i="99" s="1"/>
  <c r="AF50" i="99" s="1"/>
  <c r="P76" i="99"/>
  <c r="P50" i="99" s="1"/>
  <c r="T76" i="99"/>
  <c r="T50" i="99" s="1"/>
  <c r="X74" i="99"/>
  <c r="X85" i="99" s="1"/>
  <c r="AJ76" i="99"/>
  <c r="AJ50" i="99" s="1"/>
  <c r="AN76" i="99"/>
  <c r="AN50" i="99" s="1"/>
  <c r="AW77" i="73"/>
  <c r="AC94" i="99"/>
  <c r="AD112" i="99"/>
  <c r="AD113" i="99" s="1"/>
  <c r="AD104" i="99"/>
  <c r="AL102" i="99"/>
  <c r="AL51" i="99" s="1"/>
  <c r="AU100" i="99"/>
  <c r="Y102" i="99"/>
  <c r="Y51" i="99" s="1"/>
  <c r="O110" i="99"/>
  <c r="AP110" i="99"/>
  <c r="AU110" i="99" s="1"/>
  <c r="Y110" i="99"/>
  <c r="N119" i="99"/>
  <c r="N120" i="99" s="1"/>
  <c r="N58" i="99" s="1"/>
  <c r="AH119" i="99"/>
  <c r="AD120" i="99"/>
  <c r="AD58" i="99" s="1"/>
  <c r="N144" i="99"/>
  <c r="K132" i="99"/>
  <c r="K134" i="99" s="1"/>
  <c r="L144" i="99" s="1"/>
  <c r="J136" i="99"/>
  <c r="J132" i="99" s="1"/>
  <c r="J134" i="99" s="1"/>
  <c r="K144" i="99" s="1"/>
  <c r="U132" i="99"/>
  <c r="U134" i="99" s="1"/>
  <c r="T136" i="99"/>
  <c r="T132" i="99" s="1"/>
  <c r="T134" i="99" s="1"/>
  <c r="U144" i="99" s="1"/>
  <c r="S144" i="99"/>
  <c r="X144" i="99"/>
  <c r="AC144" i="99"/>
  <c r="AH144" i="99"/>
  <c r="AM144" i="99"/>
  <c r="Z262" i="99"/>
  <c r="W262" i="99"/>
  <c r="AA262" i="99"/>
  <c r="Y262" i="99"/>
  <c r="AS87" i="99"/>
  <c r="BG106" i="99"/>
  <c r="AU59" i="99"/>
  <c r="AZ58" i="99"/>
  <c r="AZ59" i="99"/>
  <c r="BE58" i="99"/>
  <c r="BE59" i="99"/>
  <c r="BJ58" i="99"/>
  <c r="W70" i="99"/>
  <c r="W82" i="99" s="1"/>
  <c r="AQ70" i="99"/>
  <c r="N94" i="99"/>
  <c r="V112" i="99"/>
  <c r="V113" i="99" s="1"/>
  <c r="Z112" i="99"/>
  <c r="Z113" i="99" s="1"/>
  <c r="Z104" i="99"/>
  <c r="AE112" i="99"/>
  <c r="AE113" i="99" s="1"/>
  <c r="AE104" i="99"/>
  <c r="L99" i="99"/>
  <c r="M99" i="99" s="1"/>
  <c r="M100" i="99" s="1"/>
  <c r="W98" i="99"/>
  <c r="K100" i="99"/>
  <c r="P102" i="99" s="1"/>
  <c r="P51" i="99" s="1"/>
  <c r="Z100" i="99"/>
  <c r="Z102" i="99" s="1"/>
  <c r="Z51" i="99" s="1"/>
  <c r="AI102" i="99"/>
  <c r="AI51" i="99" s="1"/>
  <c r="AM102" i="99"/>
  <c r="AM51" i="99" s="1"/>
  <c r="AR78" i="73" s="1"/>
  <c r="T104" i="99"/>
  <c r="AD110" i="99"/>
  <c r="AH110" i="99"/>
  <c r="AM110" i="99"/>
  <c r="AC119" i="99"/>
  <c r="AC120" i="99" s="1"/>
  <c r="AC58" i="99" s="1"/>
  <c r="AH79" i="73" s="1"/>
  <c r="Y120" i="99"/>
  <c r="Y58" i="99" s="1"/>
  <c r="AE120" i="99"/>
  <c r="AE58" i="99" s="1"/>
  <c r="AI144" i="99"/>
  <c r="T144" i="99"/>
  <c r="Y144" i="99"/>
  <c r="AD144" i="99"/>
  <c r="AN144" i="99"/>
  <c r="V144" i="99"/>
  <c r="Y123" i="99"/>
  <c r="Y59" i="99" s="1"/>
  <c r="Y132" i="99"/>
  <c r="Y134" i="99" s="1"/>
  <c r="Z144" i="99" s="1"/>
  <c r="AL132" i="99"/>
  <c r="AL134" i="99" s="1"/>
  <c r="AD137" i="99"/>
  <c r="AI137" i="99"/>
  <c r="AY278" i="99"/>
  <c r="AY181" i="99"/>
  <c r="AY184" i="99" s="1"/>
  <c r="BD278" i="99"/>
  <c r="BD181" i="99"/>
  <c r="BD184" i="99" s="1"/>
  <c r="BL150" i="99"/>
  <c r="BL278" i="99" s="1"/>
  <c r="CY179" i="99"/>
  <c r="CY193" i="99" s="1"/>
  <c r="U123" i="99"/>
  <c r="U59" i="99" s="1"/>
  <c r="AK123" i="99"/>
  <c r="AK59" i="99" s="1"/>
  <c r="AS278" i="99"/>
  <c r="AS181" i="99"/>
  <c r="AZ278" i="99"/>
  <c r="AZ181" i="99"/>
  <c r="AZ184" i="99" s="1"/>
  <c r="BB155" i="99"/>
  <c r="CJ179" i="99"/>
  <c r="CJ193" i="99" s="1"/>
  <c r="CJ196" i="99" s="1"/>
  <c r="AT278" i="99"/>
  <c r="AT181" i="99"/>
  <c r="AT184" i="99" s="1"/>
  <c r="M179" i="99"/>
  <c r="M193" i="99" s="1"/>
  <c r="AG179" i="99"/>
  <c r="AC123" i="99"/>
  <c r="AC59" i="99" s="1"/>
  <c r="Q132" i="99"/>
  <c r="Q134" i="99" s="1"/>
  <c r="Q144" i="99" s="1"/>
  <c r="AO136" i="99"/>
  <c r="S137" i="99"/>
  <c r="AM137" i="99"/>
  <c r="BI148" i="99"/>
  <c r="BJ148" i="99" s="1"/>
  <c r="BJ150" i="99" s="1"/>
  <c r="BI149" i="99"/>
  <c r="BJ149" i="99"/>
  <c r="X278" i="99"/>
  <c r="X137" i="99"/>
  <c r="AR278" i="99"/>
  <c r="AR137" i="99"/>
  <c r="AS137" i="99" s="1"/>
  <c r="BC278" i="99"/>
  <c r="BC181" i="99"/>
  <c r="CK193" i="99"/>
  <c r="CK196" i="99" s="1"/>
  <c r="CL194" i="99" s="1"/>
  <c r="I179" i="99"/>
  <c r="I193" i="99" s="1"/>
  <c r="I196" i="99" s="1"/>
  <c r="J194" i="99" s="1"/>
  <c r="J196" i="99" s="1"/>
  <c r="K194" i="99" s="1"/>
  <c r="AB184" i="99"/>
  <c r="N280" i="99"/>
  <c r="AR177" i="99"/>
  <c r="AR179" i="99" s="1"/>
  <c r="AR193" i="99" s="1"/>
  <c r="DS177" i="99"/>
  <c r="AQ177" i="99" s="1"/>
  <c r="AQ179" i="99" s="1"/>
  <c r="AQ193" i="99" s="1"/>
  <c r="CJ178" i="99"/>
  <c r="DD178" i="99"/>
  <c r="AB178" i="99" s="1"/>
  <c r="AB179" i="99" s="1"/>
  <c r="AB193" i="99" s="1"/>
  <c r="CI196" i="99"/>
  <c r="DG193" i="99"/>
  <c r="Z183" i="99"/>
  <c r="Z184" i="99" s="1"/>
  <c r="AD183" i="99"/>
  <c r="AD184" i="99" s="1"/>
  <c r="AD193" i="99" s="1"/>
  <c r="DD191" i="99"/>
  <c r="AU189" i="99"/>
  <c r="AV189" i="99" s="1"/>
  <c r="AV190" i="99"/>
  <c r="BF190" i="99"/>
  <c r="DH193" i="99"/>
  <c r="DL193" i="99"/>
  <c r="DO191" i="99"/>
  <c r="DO193" i="99" s="1"/>
  <c r="AM189" i="99"/>
  <c r="AM191" i="99" s="1"/>
  <c r="AM193" i="99" s="1"/>
  <c r="CH194" i="99"/>
  <c r="X280" i="99"/>
  <c r="AT177" i="99"/>
  <c r="AY154" i="46" s="1"/>
  <c r="R178" i="99"/>
  <c r="R179" i="99" s="1"/>
  <c r="R193" i="99" s="1"/>
  <c r="V178" i="99"/>
  <c r="V179" i="99" s="1"/>
  <c r="V193" i="99" s="1"/>
  <c r="Z178" i="99"/>
  <c r="Z179" i="99" s="1"/>
  <c r="AL178" i="99"/>
  <c r="AL179" i="99" s="1"/>
  <c r="AP178" i="99"/>
  <c r="AP179" i="99" s="1"/>
  <c r="AP193" i="99" s="1"/>
  <c r="AT178" i="99"/>
  <c r="AU178" i="99" s="1"/>
  <c r="AY177" i="99"/>
  <c r="AZ177" i="99" s="1"/>
  <c r="AY178" i="99"/>
  <c r="AZ178" i="99" s="1"/>
  <c r="CO179" i="99"/>
  <c r="CO193" i="99" s="1"/>
  <c r="DI179" i="99"/>
  <c r="AX181" i="99"/>
  <c r="AJ183" i="99"/>
  <c r="AJ184" i="99" s="1"/>
  <c r="AJ193" i="99" s="1"/>
  <c r="DS184" i="99"/>
  <c r="L191" i="99"/>
  <c r="L193" i="99" s="1"/>
  <c r="P191" i="99"/>
  <c r="P193" i="99" s="1"/>
  <c r="T191" i="99"/>
  <c r="T193" i="99" s="1"/>
  <c r="X191" i="99"/>
  <c r="X193" i="99" s="1"/>
  <c r="AB191" i="99"/>
  <c r="AF191" i="99"/>
  <c r="AF193" i="99" s="1"/>
  <c r="AJ191" i="99"/>
  <c r="AN191" i="99"/>
  <c r="AN193" i="99" s="1"/>
  <c r="AR191" i="99"/>
  <c r="BD189" i="99"/>
  <c r="DC191" i="99"/>
  <c r="DC193" i="99" s="1"/>
  <c r="AA189" i="99"/>
  <c r="AA191" i="99" s="1"/>
  <c r="AB190" i="99"/>
  <c r="CE191" i="99"/>
  <c r="CE193" i="99" s="1"/>
  <c r="CE196" i="99" s="1"/>
  <c r="X190" i="99"/>
  <c r="CZ191" i="99"/>
  <c r="CZ193" i="99" s="1"/>
  <c r="DI189" i="99"/>
  <c r="AG189" i="99" s="1"/>
  <c r="AS205" i="99"/>
  <c r="AT205" i="99" s="1"/>
  <c r="AT214" i="99"/>
  <c r="AU214" i="99" s="1"/>
  <c r="AV214" i="99" s="1"/>
  <c r="AW214" i="99" s="1"/>
  <c r="AX214" i="99" s="1"/>
  <c r="AY214" i="99" s="1"/>
  <c r="AZ214" i="99" s="1"/>
  <c r="BA214" i="99" s="1"/>
  <c r="BB214" i="99" s="1"/>
  <c r="BC214" i="99" s="1"/>
  <c r="BD214" i="99" s="1"/>
  <c r="BE214" i="99" s="1"/>
  <c r="BF214" i="99" s="1"/>
  <c r="BG214" i="99" s="1"/>
  <c r="BH214" i="99" s="1"/>
  <c r="BI214" i="99" s="1"/>
  <c r="BJ214" i="99" s="1"/>
  <c r="BK214" i="99" s="1"/>
  <c r="BL214" i="99" s="1"/>
  <c r="K178" i="99"/>
  <c r="K179" i="99" s="1"/>
  <c r="K193" i="99" s="1"/>
  <c r="AA178" i="99"/>
  <c r="AA179" i="99" s="1"/>
  <c r="AA193" i="99" s="1"/>
  <c r="AE178" i="99"/>
  <c r="AE179" i="99" s="1"/>
  <c r="AE193" i="99" s="1"/>
  <c r="CD193" i="99"/>
  <c r="CD196" i="99" s="1"/>
  <c r="CH193" i="99"/>
  <c r="CH196" i="99" s="1"/>
  <c r="AK183" i="99"/>
  <c r="AK184" i="99" s="1"/>
  <c r="AK193" i="99" s="1"/>
  <c r="AG191" i="99"/>
  <c r="AK191" i="99"/>
  <c r="AO191" i="99"/>
  <c r="AO193" i="99" s="1"/>
  <c r="Z189" i="99"/>
  <c r="Z191" i="99" s="1"/>
  <c r="BA189" i="99"/>
  <c r="AY190" i="99"/>
  <c r="BD168" i="46" s="1"/>
  <c r="DV58" i="71" s="1"/>
  <c r="BE189" i="99"/>
  <c r="BK189" i="99"/>
  <c r="BI190" i="99"/>
  <c r="BJ190" i="99" s="1"/>
  <c r="BK190" i="99" s="1"/>
  <c r="DN189" i="99"/>
  <c r="AL189" i="99" s="1"/>
  <c r="AL191" i="99" s="1"/>
  <c r="AL206" i="99"/>
  <c r="AL216" i="99" s="1"/>
  <c r="AL238" i="99" s="1"/>
  <c r="AC245" i="99"/>
  <c r="AQ222" i="99"/>
  <c r="AQ229" i="99" s="1"/>
  <c r="AR220" i="99"/>
  <c r="AS220" i="99" s="1"/>
  <c r="AT220" i="99" s="1"/>
  <c r="AU220" i="99" s="1"/>
  <c r="AV220" i="99" s="1"/>
  <c r="AW220" i="99" s="1"/>
  <c r="AX220" i="99" s="1"/>
  <c r="AY220" i="99" s="1"/>
  <c r="AZ220" i="99" s="1"/>
  <c r="BA220" i="99" s="1"/>
  <c r="BB220" i="99" s="1"/>
  <c r="BC220" i="99" s="1"/>
  <c r="BD220" i="99" s="1"/>
  <c r="BE220" i="99" s="1"/>
  <c r="BF220" i="99" s="1"/>
  <c r="BG220" i="99" s="1"/>
  <c r="BH220" i="99" s="1"/>
  <c r="BI220" i="99" s="1"/>
  <c r="BJ220" i="99" s="1"/>
  <c r="BK220" i="99" s="1"/>
  <c r="BL220" i="99" s="1"/>
  <c r="X251" i="99"/>
  <c r="AM206" i="99"/>
  <c r="AM216" i="99" s="1"/>
  <c r="AM251" i="99"/>
  <c r="AC205" i="99"/>
  <c r="X206" i="99"/>
  <c r="X216" i="99" s="1"/>
  <c r="AR206" i="99"/>
  <c r="AR216" i="99" s="1"/>
  <c r="X243" i="99"/>
  <c r="X245" i="99" s="1"/>
  <c r="AH243" i="99"/>
  <c r="AH245" i="99" s="1"/>
  <c r="AH222" i="99"/>
  <c r="AH229" i="99" s="1"/>
  <c r="W222" i="99"/>
  <c r="W229" i="99" s="1"/>
  <c r="W236" i="99" s="1"/>
  <c r="W238" i="99" s="1"/>
  <c r="X220" i="99"/>
  <c r="X222" i="99" s="1"/>
  <c r="X229" i="99" s="1"/>
  <c r="X236" i="99" s="1"/>
  <c r="AH251" i="99"/>
  <c r="AH236" i="99"/>
  <c r="AH205" i="99"/>
  <c r="AH206" i="99" s="1"/>
  <c r="AH216" i="99" s="1"/>
  <c r="AH238" i="99" s="1"/>
  <c r="AC206" i="99"/>
  <c r="AC216" i="99" s="1"/>
  <c r="AC238" i="99" s="1"/>
  <c r="AP222" i="99"/>
  <c r="AP229" i="99" s="1"/>
  <c r="AT231" i="99"/>
  <c r="AC236" i="99"/>
  <c r="AC251" i="99"/>
  <c r="AR244" i="99"/>
  <c r="AM244" i="99"/>
  <c r="AB222" i="99"/>
  <c r="AB229" i="99" s="1"/>
  <c r="AR222" i="99"/>
  <c r="AR229" i="99" s="1"/>
  <c r="W254" i="99"/>
  <c r="W249" i="99" s="1"/>
  <c r="AE254" i="99"/>
  <c r="AE249" i="99" s="1"/>
  <c r="AI254" i="99"/>
  <c r="AI249" i="99" s="1"/>
  <c r="AI252" i="99"/>
  <c r="AI291" i="99" s="1"/>
  <c r="AQ254" i="99"/>
  <c r="AQ249" i="99" s="1"/>
  <c r="AA236" i="99"/>
  <c r="AA238" i="99" s="1"/>
  <c r="AF236" i="99"/>
  <c r="AF238" i="99" s="1"/>
  <c r="AQ236" i="99"/>
  <c r="AQ238" i="99" s="1"/>
  <c r="W255" i="99"/>
  <c r="W246" i="99"/>
  <c r="AE267" i="99"/>
  <c r="AE255" i="99"/>
  <c r="AN267" i="99"/>
  <c r="AN246" i="99"/>
  <c r="I245" i="99"/>
  <c r="S245" i="99"/>
  <c r="W266" i="99"/>
  <c r="J254" i="99"/>
  <c r="J246" i="99" s="1"/>
  <c r="T254" i="99"/>
  <c r="T249" i="99" s="1"/>
  <c r="T252" i="99"/>
  <c r="T291" i="99" s="1"/>
  <c r="AB254" i="99"/>
  <c r="AB249" i="99" s="1"/>
  <c r="AF254" i="99"/>
  <c r="AF249" i="99" s="1"/>
  <c r="AF252" i="99"/>
  <c r="AF291" i="99" s="1"/>
  <c r="AJ254" i="99"/>
  <c r="AJ249" i="99" s="1"/>
  <c r="AN254" i="99"/>
  <c r="AN249" i="99" s="1"/>
  <c r="AN252" i="99"/>
  <c r="AN291" i="99" s="1"/>
  <c r="AR234" i="99"/>
  <c r="AB236" i="99"/>
  <c r="AB238" i="99" s="1"/>
  <c r="T267" i="99"/>
  <c r="T246" i="99"/>
  <c r="T255" i="99"/>
  <c r="AB246" i="99"/>
  <c r="AF267" i="99"/>
  <c r="AF246" i="99"/>
  <c r="AF255" i="99"/>
  <c r="N268" i="99"/>
  <c r="N267" i="99"/>
  <c r="N254" i="99"/>
  <c r="N246" i="99"/>
  <c r="M245" i="99"/>
  <c r="V255" i="99"/>
  <c r="AL255" i="99"/>
  <c r="U254" i="99"/>
  <c r="U249" i="99" s="1"/>
  <c r="U252" i="99"/>
  <c r="U291" i="99" s="1"/>
  <c r="Y236" i="99"/>
  <c r="Y238" i="99" s="1"/>
  <c r="Y251" i="99"/>
  <c r="AG236" i="99"/>
  <c r="AG238" i="99" s="1"/>
  <c r="AG251" i="99"/>
  <c r="AK236" i="99"/>
  <c r="AK238" i="99" s="1"/>
  <c r="AK251" i="99"/>
  <c r="AO236" i="99"/>
  <c r="AO238" i="99" s="1"/>
  <c r="AO251" i="99"/>
  <c r="T236" i="99"/>
  <c r="T238" i="99" s="1"/>
  <c r="AI236" i="99"/>
  <c r="AI238" i="99" s="1"/>
  <c r="AN236" i="99"/>
  <c r="AN238" i="99" s="1"/>
  <c r="U267" i="99"/>
  <c r="U246" i="99"/>
  <c r="K245" i="99"/>
  <c r="O245" i="99"/>
  <c r="U266" i="99"/>
  <c r="P255" i="99"/>
  <c r="Z245" i="99"/>
  <c r="AP245" i="99"/>
  <c r="AM222" i="99"/>
  <c r="AM229" i="99" s="1"/>
  <c r="AM236" i="99" s="1"/>
  <c r="V254" i="99"/>
  <c r="V249" i="99" s="1"/>
  <c r="Z254" i="99"/>
  <c r="Z249" i="99" s="1"/>
  <c r="Z252" i="99"/>
  <c r="Z291" i="99" s="1"/>
  <c r="AD254" i="99"/>
  <c r="AD249" i="99" s="1"/>
  <c r="AL254" i="99"/>
  <c r="AL249" i="99" s="1"/>
  <c r="AL252" i="99"/>
  <c r="AL291" i="99" s="1"/>
  <c r="AP254" i="99"/>
  <c r="AP249" i="99" s="1"/>
  <c r="U236" i="99"/>
  <c r="U238" i="99" s="1"/>
  <c r="Z236" i="99"/>
  <c r="Z238" i="99" s="1"/>
  <c r="AE236" i="99"/>
  <c r="AE238" i="99" s="1"/>
  <c r="AJ236" i="99"/>
  <c r="AJ238" i="99" s="1"/>
  <c r="AP236" i="99"/>
  <c r="AP238" i="99" s="1"/>
  <c r="AI267" i="99"/>
  <c r="AI255" i="99"/>
  <c r="AI246" i="99"/>
  <c r="AQ267" i="99"/>
  <c r="AQ255" i="99"/>
  <c r="AQ246" i="99"/>
  <c r="L245" i="99"/>
  <c r="R244" i="99"/>
  <c r="V266" i="99"/>
  <c r="AA244" i="99"/>
  <c r="AE266" i="99"/>
  <c r="AD245" i="99"/>
  <c r="Q246" i="99"/>
  <c r="P254" i="99"/>
  <c r="Q254" i="99"/>
  <c r="Q255" i="99"/>
  <c r="AI266" i="99"/>
  <c r="AQ266" i="99"/>
  <c r="N266" i="99"/>
  <c r="T266" i="99"/>
  <c r="AF266" i="99"/>
  <c r="AJ266" i="99"/>
  <c r="AN266" i="99"/>
  <c r="P246" i="99"/>
  <c r="Y282" i="99"/>
  <c r="Z277" i="99" s="1"/>
  <c r="Z282" i="99" s="1"/>
  <c r="AA277" i="99" s="1"/>
  <c r="AA282" i="99" s="1"/>
  <c r="AB277" i="99" s="1"/>
  <c r="AB282" i="99" s="1"/>
  <c r="AC282" i="99"/>
  <c r="N23" i="98"/>
  <c r="AH23" i="98"/>
  <c r="AA20" i="98"/>
  <c r="AA21" i="98" s="1"/>
  <c r="AA23" i="98" s="1"/>
  <c r="S228" i="98"/>
  <c r="S241" i="98" s="1"/>
  <c r="S28" i="98"/>
  <c r="S24" i="98"/>
  <c r="S229" i="98" s="1"/>
  <c r="AM228" i="98"/>
  <c r="AM241" i="98" s="1"/>
  <c r="AM28" i="98"/>
  <c r="AM24" i="98"/>
  <c r="I23" i="98"/>
  <c r="M74" i="98"/>
  <c r="W74" i="98"/>
  <c r="AG74" i="98"/>
  <c r="AY72" i="98"/>
  <c r="R10" i="98"/>
  <c r="AI10" i="98"/>
  <c r="AO10" i="98"/>
  <c r="AP88" i="98"/>
  <c r="AP51" i="98" s="1"/>
  <c r="W88" i="98"/>
  <c r="W51" i="98" s="1"/>
  <c r="AB247" i="98"/>
  <c r="AB107" i="98"/>
  <c r="AB109" i="98" s="1"/>
  <c r="AG91" i="98"/>
  <c r="AG52" i="98" s="1"/>
  <c r="R15" i="98"/>
  <c r="AI15" i="98"/>
  <c r="AI17" i="98" s="1"/>
  <c r="AO15" i="98"/>
  <c r="AO17" i="98" s="1"/>
  <c r="M19" i="98"/>
  <c r="P20" i="98"/>
  <c r="P21" i="98" s="1"/>
  <c r="P23" i="98" s="1"/>
  <c r="AG19" i="98"/>
  <c r="AJ20" i="98"/>
  <c r="AJ21" i="98" s="1"/>
  <c r="K20" i="98"/>
  <c r="K21" i="98" s="1"/>
  <c r="K23" i="98" s="1"/>
  <c r="Q20" i="98"/>
  <c r="Q21" i="98" s="1"/>
  <c r="Q23" i="98" s="1"/>
  <c r="Z20" i="98"/>
  <c r="AE20" i="98"/>
  <c r="AE21" i="98" s="1"/>
  <c r="AE23" i="98" s="1"/>
  <c r="AX20" i="98"/>
  <c r="Z21" i="98"/>
  <c r="Z23" i="98" s="1"/>
  <c r="X24" i="98"/>
  <c r="X229" i="98" s="1"/>
  <c r="AX66" i="98"/>
  <c r="BC65" i="98"/>
  <c r="BI54" i="98"/>
  <c r="T77" i="98"/>
  <c r="T81" i="98" s="1"/>
  <c r="T75" i="98"/>
  <c r="AF77" i="98"/>
  <c r="W10" i="98"/>
  <c r="AP10" i="98"/>
  <c r="AL12" i="98"/>
  <c r="AQ247" i="98"/>
  <c r="W15" i="98"/>
  <c r="AK15" i="98"/>
  <c r="AK17" i="98" s="1"/>
  <c r="AP15" i="98"/>
  <c r="AP17" i="98" s="1"/>
  <c r="R17" i="98"/>
  <c r="W17" i="98"/>
  <c r="AB19" i="98"/>
  <c r="AQ21" i="98"/>
  <c r="U77" i="98"/>
  <c r="U81" i="98" s="1"/>
  <c r="U75" i="98"/>
  <c r="AO74" i="98"/>
  <c r="AV65" i="98"/>
  <c r="Y88" i="98"/>
  <c r="Y51" i="98" s="1"/>
  <c r="R75" i="98"/>
  <c r="AB10" i="98"/>
  <c r="AB62" i="98"/>
  <c r="AB74" i="98" s="1"/>
  <c r="AI72" i="98"/>
  <c r="AQ9" i="98"/>
  <c r="AG10" i="98"/>
  <c r="AL10" i="98"/>
  <c r="AI88" i="98"/>
  <c r="AI51" i="98" s="1"/>
  <c r="AN85" i="98"/>
  <c r="AN87" i="98" s="1"/>
  <c r="AN15" i="98"/>
  <c r="AN17" i="98" s="1"/>
  <c r="AG15" i="98"/>
  <c r="AG17" i="98" s="1"/>
  <c r="L21" i="98"/>
  <c r="L23" i="98" s="1"/>
  <c r="L20" i="98"/>
  <c r="T21" i="98"/>
  <c r="T23" i="98" s="1"/>
  <c r="T20" i="98"/>
  <c r="AF20" i="98"/>
  <c r="AF21" i="98" s="1"/>
  <c r="AF23" i="98" s="1"/>
  <c r="AC21" i="98"/>
  <c r="AC23" i="98" s="1"/>
  <c r="AA230" i="98"/>
  <c r="W230" i="98"/>
  <c r="Y230" i="98"/>
  <c r="Z230" i="98"/>
  <c r="X28" i="98"/>
  <c r="P75" i="98"/>
  <c r="AL74" i="98"/>
  <c r="AM62" i="98"/>
  <c r="M10" i="98"/>
  <c r="AM10" i="98"/>
  <c r="AJ85" i="98"/>
  <c r="AJ87" i="98" s="1"/>
  <c r="AJ88" i="98" s="1"/>
  <c r="AJ51" i="98" s="1"/>
  <c r="AJ15" i="98"/>
  <c r="AJ17" i="98" s="1"/>
  <c r="AO88" i="98"/>
  <c r="AO51" i="98" s="1"/>
  <c r="R91" i="98"/>
  <c r="R52" i="98" s="1"/>
  <c r="AB85" i="98"/>
  <c r="AB87" i="98" s="1"/>
  <c r="AB88" i="98" s="1"/>
  <c r="AB51" i="98" s="1"/>
  <c r="AB15" i="98"/>
  <c r="AB17" i="98" s="1"/>
  <c r="AG247" i="98"/>
  <c r="AG107" i="98"/>
  <c r="AG109" i="98" s="1"/>
  <c r="AG111" i="98" s="1"/>
  <c r="AL91" i="98"/>
  <c r="AL52" i="98" s="1"/>
  <c r="M15" i="98"/>
  <c r="M17" i="98" s="1"/>
  <c r="R19" i="98"/>
  <c r="U19" i="98"/>
  <c r="J20" i="98"/>
  <c r="J21" i="98" s="1"/>
  <c r="J23" i="98" s="1"/>
  <c r="O20" i="98"/>
  <c r="O21" i="98" s="1"/>
  <c r="O23" i="98" s="1"/>
  <c r="Y20" i="98"/>
  <c r="AB20" i="98" s="1"/>
  <c r="AD20" i="98"/>
  <c r="AG20" i="98" s="1"/>
  <c r="AI20" i="98"/>
  <c r="AL20" i="98" s="1"/>
  <c r="AL21" i="98" s="1"/>
  <c r="AD21" i="98"/>
  <c r="AD23" i="98" s="1"/>
  <c r="AE230" i="98"/>
  <c r="AD230" i="98"/>
  <c r="AB230" i="98"/>
  <c r="AF230" i="98"/>
  <c r="Q77" i="98"/>
  <c r="Q81" i="98" s="1"/>
  <c r="Q75" i="98"/>
  <c r="Y77" i="98"/>
  <c r="Y81" i="98" s="1"/>
  <c r="Y75" i="98"/>
  <c r="AK74" i="98"/>
  <c r="L72" i="98"/>
  <c r="L81" i="98" s="1"/>
  <c r="AF72" i="98"/>
  <c r="AU48" i="98"/>
  <c r="AV88" i="98"/>
  <c r="AU51" i="98"/>
  <c r="BJ52" i="98"/>
  <c r="O77" i="98"/>
  <c r="O81" i="98" s="1"/>
  <c r="O75" i="98"/>
  <c r="X62" i="98"/>
  <c r="AP74" i="98"/>
  <c r="R65" i="98"/>
  <c r="R66" i="98" s="1"/>
  <c r="R77" i="98" s="1"/>
  <c r="R81" i="98" s="1"/>
  <c r="AU65" i="98"/>
  <c r="K66" i="98"/>
  <c r="K72" i="98" s="1"/>
  <c r="P66" i="98"/>
  <c r="P77" i="98" s="1"/>
  <c r="Z68" i="98"/>
  <c r="Z44" i="98" s="1"/>
  <c r="U68" i="98"/>
  <c r="U44" i="98" s="1"/>
  <c r="Z72" i="98"/>
  <c r="AD72" i="98"/>
  <c r="AN71" i="98"/>
  <c r="AN74" i="98" s="1"/>
  <c r="AT104" i="98"/>
  <c r="AF111" i="98"/>
  <c r="AP111" i="98"/>
  <c r="Y111" i="98"/>
  <c r="AO111" i="98"/>
  <c r="AV48" i="98"/>
  <c r="K77" i="98"/>
  <c r="K81" i="98" s="1"/>
  <c r="AC62" i="98"/>
  <c r="AA66" i="98"/>
  <c r="AF68" i="98" s="1"/>
  <c r="AF44" i="98" s="1"/>
  <c r="AE66" i="98"/>
  <c r="AE68" i="98" s="1"/>
  <c r="AE44" i="98" s="1"/>
  <c r="AP66" i="98"/>
  <c r="AJ71" i="98"/>
  <c r="AJ72" i="98" s="1"/>
  <c r="V75" i="98"/>
  <c r="AD75" i="98"/>
  <c r="AW79" i="98"/>
  <c r="T88" i="98"/>
  <c r="T51" i="98" s="1"/>
  <c r="X87" i="98"/>
  <c r="AF88" i="98"/>
  <c r="AF51" i="98" s="1"/>
  <c r="S111" i="98"/>
  <c r="AH111" i="98"/>
  <c r="AM111" i="98"/>
  <c r="AC111" i="98"/>
  <c r="Z81" i="98"/>
  <c r="AD81" i="98"/>
  <c r="AI74" i="98"/>
  <c r="X68" i="98"/>
  <c r="X44" i="98" s="1"/>
  <c r="AC67" i="73" s="1"/>
  <c r="X71" i="98"/>
  <c r="X72" i="98" s="1"/>
  <c r="O88" i="98"/>
  <c r="O51" i="98" s="1"/>
  <c r="S87" i="98"/>
  <c r="AD111" i="98"/>
  <c r="AI111" i="98"/>
  <c r="R72" i="98"/>
  <c r="W91" i="98"/>
  <c r="W52" i="98" s="1"/>
  <c r="AL247" i="98"/>
  <c r="AL107" i="98"/>
  <c r="AL109" i="98" s="1"/>
  <c r="AV90" i="98"/>
  <c r="AR15" i="98"/>
  <c r="AR17" i="98" s="1"/>
  <c r="AR23" i="98" s="1"/>
  <c r="O230" i="98"/>
  <c r="P230" i="98"/>
  <c r="M230" i="98"/>
  <c r="Q230" i="98"/>
  <c r="AI230" i="98"/>
  <c r="AJ230" i="98"/>
  <c r="AG230" i="98"/>
  <c r="AK230" i="98"/>
  <c r="AS66" i="98"/>
  <c r="AV79" i="98"/>
  <c r="AY47" i="98"/>
  <c r="AU47" i="98"/>
  <c r="AS48" i="98"/>
  <c r="BF48" i="98"/>
  <c r="BL48" i="98"/>
  <c r="AT52" i="98"/>
  <c r="AY51" i="98"/>
  <c r="AY52" i="98"/>
  <c r="BD51" i="98"/>
  <c r="BD52" i="98"/>
  <c r="BI51" i="98"/>
  <c r="S62" i="98"/>
  <c r="S74" i="98" s="1"/>
  <c r="AA74" i="98"/>
  <c r="AE74" i="98"/>
  <c r="M65" i="98"/>
  <c r="M66" i="98" s="1"/>
  <c r="M72" i="98" s="1"/>
  <c r="V65" i="98"/>
  <c r="V66" i="98" s="1"/>
  <c r="V68" i="98" s="1"/>
  <c r="V44" i="98" s="1"/>
  <c r="AK65" i="98"/>
  <c r="AK66" i="98" s="1"/>
  <c r="AK68" i="98" s="1"/>
  <c r="AK44" i="98" s="1"/>
  <c r="AT65" i="98"/>
  <c r="T68" i="98"/>
  <c r="T44" i="98" s="1"/>
  <c r="AC71" i="98"/>
  <c r="AC72" i="98" s="1"/>
  <c r="Z75" i="98"/>
  <c r="N87" i="98"/>
  <c r="N88" i="98" s="1"/>
  <c r="N51" i="98" s="1"/>
  <c r="P88" i="98"/>
  <c r="P51" i="98" s="1"/>
  <c r="AD88" i="98"/>
  <c r="AD51" i="98" s="1"/>
  <c r="AH87" i="98"/>
  <c r="Z111" i="98"/>
  <c r="AE111" i="98"/>
  <c r="BB122" i="98"/>
  <c r="AU90" i="98"/>
  <c r="AC91" i="98"/>
  <c r="AC52" i="98" s="1"/>
  <c r="AH91" i="98"/>
  <c r="AH52" i="98" s="1"/>
  <c r="AL99" i="98"/>
  <c r="AL101" i="98" s="1"/>
  <c r="AI104" i="98"/>
  <c r="AJ103" i="98"/>
  <c r="AF104" i="98"/>
  <c r="AP104" i="98"/>
  <c r="S246" i="98"/>
  <c r="S104" i="98"/>
  <c r="AW134" i="98"/>
  <c r="AE148" i="98"/>
  <c r="AI148" i="98"/>
  <c r="AI162" i="98" s="1"/>
  <c r="N91" i="98"/>
  <c r="N52" i="98" s="1"/>
  <c r="X111" i="98"/>
  <c r="AN111" i="98"/>
  <c r="CI163" i="98"/>
  <c r="CH163" i="98"/>
  <c r="AK91" i="98"/>
  <c r="AK52" i="98" s="1"/>
  <c r="AQ99" i="98"/>
  <c r="AQ101" i="98" s="1"/>
  <c r="U103" i="98"/>
  <c r="V99" i="98"/>
  <c r="V101" i="98" s="1"/>
  <c r="W111" i="98" s="1"/>
  <c r="AA104" i="98"/>
  <c r="AA99" i="98"/>
  <c r="AA101" i="98" s="1"/>
  <c r="AA111" i="98" s="1"/>
  <c r="AW117" i="98"/>
  <c r="AW246" i="98" s="1"/>
  <c r="BH114" i="98"/>
  <c r="BI114" i="98" s="1"/>
  <c r="BH115" i="98"/>
  <c r="BH116" i="98"/>
  <c r="BI116" i="98" s="1"/>
  <c r="BJ116" i="98" s="1"/>
  <c r="CS162" i="98"/>
  <c r="T230" i="98"/>
  <c r="V230" i="98"/>
  <c r="R230" i="98"/>
  <c r="U230" i="98"/>
  <c r="AN230" i="98"/>
  <c r="AP230" i="98"/>
  <c r="AL230" i="98"/>
  <c r="AO230" i="98"/>
  <c r="N62" i="98"/>
  <c r="AH62" i="98"/>
  <c r="AH74" i="98" s="1"/>
  <c r="N71" i="98"/>
  <c r="N72" i="98" s="1"/>
  <c r="AH71" i="98"/>
  <c r="AH72" i="98" s="1"/>
  <c r="V91" i="98"/>
  <c r="V52" i="98" s="1"/>
  <c r="AB99" i="98"/>
  <c r="AB101" i="98" s="1"/>
  <c r="P103" i="98"/>
  <c r="Q99" i="98"/>
  <c r="Q101" i="98" s="1"/>
  <c r="R111" i="98" s="1"/>
  <c r="AS113" i="98"/>
  <c r="AT113" i="98" s="1"/>
  <c r="AT117" i="98" s="1"/>
  <c r="AX113" i="98"/>
  <c r="BC113" i="98"/>
  <c r="BD113" i="98" s="1"/>
  <c r="BD117" i="98" s="1"/>
  <c r="BI115" i="98"/>
  <c r="AM246" i="98"/>
  <c r="AM104" i="98"/>
  <c r="BB117" i="98"/>
  <c r="BB246" i="98" s="1"/>
  <c r="BG117" i="98"/>
  <c r="BG246" i="98" s="1"/>
  <c r="AM148" i="98"/>
  <c r="AM162" i="98" s="1"/>
  <c r="AQ148" i="98"/>
  <c r="J148" i="98"/>
  <c r="N148" i="98"/>
  <c r="R148" i="98"/>
  <c r="V148" i="98"/>
  <c r="DS148" i="98"/>
  <c r="CP162" i="98"/>
  <c r="DQ162" i="98"/>
  <c r="AL153" i="98"/>
  <c r="BE146" i="98"/>
  <c r="BE147" i="98"/>
  <c r="BJ146" i="98"/>
  <c r="BJ147" i="98"/>
  <c r="AU146" i="98"/>
  <c r="AV147" i="98"/>
  <c r="BA146" i="98"/>
  <c r="BA147" i="98"/>
  <c r="CJ147" i="98"/>
  <c r="DD147" i="98"/>
  <c r="AB147" i="98" s="1"/>
  <c r="AB148" i="98" s="1"/>
  <c r="CZ148" i="98"/>
  <c r="DT148" i="98"/>
  <c r="DT162" i="98" s="1"/>
  <c r="AG150" i="98"/>
  <c r="AK151" i="98"/>
  <c r="AK153" i="98" s="1"/>
  <c r="AR152" i="98"/>
  <c r="AR153" i="98" s="1"/>
  <c r="AR162" i="98" s="1"/>
  <c r="BA152" i="98"/>
  <c r="BF152" i="98"/>
  <c r="BK152" i="98"/>
  <c r="CJ152" i="98"/>
  <c r="CJ153" i="98" s="1"/>
  <c r="DD152" i="98"/>
  <c r="AB152" i="98" s="1"/>
  <c r="AB153" i="98" s="1"/>
  <c r="CL153" i="98"/>
  <c r="CP153" i="98"/>
  <c r="DB153" i="98"/>
  <c r="DF153" i="98"/>
  <c r="DJ153" i="98"/>
  <c r="DJ162" i="98" s="1"/>
  <c r="AE160" i="98"/>
  <c r="AA158" i="98"/>
  <c r="AA160" i="98" s="1"/>
  <c r="AA162" i="98" s="1"/>
  <c r="AP158" i="98"/>
  <c r="DE160" i="98"/>
  <c r="DE162" i="98" s="1"/>
  <c r="DD158" i="98"/>
  <c r="AB158" i="98" s="1"/>
  <c r="AB160" i="98" s="1"/>
  <c r="DH160" i="98"/>
  <c r="DH162" i="98" s="1"/>
  <c r="BF146" i="98"/>
  <c r="BF147" i="98"/>
  <c r="BK146" i="98"/>
  <c r="BK147" i="98"/>
  <c r="AV146" i="98"/>
  <c r="CJ146" i="98"/>
  <c r="CJ148" i="98" s="1"/>
  <c r="CJ162" i="98" s="1"/>
  <c r="CJ165" i="98" s="1"/>
  <c r="CO147" i="98"/>
  <c r="M147" i="98" s="1"/>
  <c r="M148" i="98" s="1"/>
  <c r="M162" i="98" s="1"/>
  <c r="DI147" i="98"/>
  <c r="AG147" i="98" s="1"/>
  <c r="AG148" i="98" s="1"/>
  <c r="CK148" i="98"/>
  <c r="AT181" i="98"/>
  <c r="DS152" i="98"/>
  <c r="AQ152" i="98" s="1"/>
  <c r="AQ153" i="98" s="1"/>
  <c r="S158" i="98"/>
  <c r="S160" i="98" s="1"/>
  <c r="S162" i="98" s="1"/>
  <c r="CY158" i="98"/>
  <c r="W158" i="98" s="1"/>
  <c r="W160" i="98" s="1"/>
  <c r="W162" i="98" s="1"/>
  <c r="X158" i="98"/>
  <c r="X160" i="98" s="1"/>
  <c r="X162" i="98" s="1"/>
  <c r="DD159" i="98"/>
  <c r="AB159" i="98" s="1"/>
  <c r="AC159" i="98"/>
  <c r="AC160" i="98" s="1"/>
  <c r="AC162" i="98" s="1"/>
  <c r="CU160" i="98"/>
  <c r="CU162" i="98" s="1"/>
  <c r="CH165" i="98"/>
  <c r="CL148" i="98"/>
  <c r="CL162" i="98" s="1"/>
  <c r="DB148" i="98"/>
  <c r="DB162" i="98" s="1"/>
  <c r="DF148" i="98"/>
  <c r="DN148" i="98"/>
  <c r="DN162" i="98" s="1"/>
  <c r="CZ153" i="98"/>
  <c r="DD153" i="98"/>
  <c r="DL153" i="98"/>
  <c r="DL162" i="98" s="1"/>
  <c r="CT160" i="98"/>
  <c r="CT162" i="98" s="1"/>
  <c r="CS160" i="98"/>
  <c r="Q159" i="98"/>
  <c r="Q160" i="98" s="1"/>
  <c r="Q162" i="98" s="1"/>
  <c r="DA160" i="98"/>
  <c r="DA162" i="98" s="1"/>
  <c r="Y159" i="98"/>
  <c r="Y160" i="98" s="1"/>
  <c r="Y162" i="98" s="1"/>
  <c r="DN146" i="98"/>
  <c r="AL146" i="98" s="1"/>
  <c r="AL148" i="98" s="1"/>
  <c r="CI162" i="98"/>
  <c r="CI165" i="98" s="1"/>
  <c r="AU152" i="98"/>
  <c r="AV152" i="98" s="1"/>
  <c r="CK153" i="98"/>
  <c r="I153" i="98" s="1"/>
  <c r="J160" i="98"/>
  <c r="N160" i="98"/>
  <c r="R160" i="98"/>
  <c r="V160" i="98"/>
  <c r="AD160" i="98"/>
  <c r="AD162" i="98" s="1"/>
  <c r="AH160" i="98"/>
  <c r="AH162" i="98" s="1"/>
  <c r="AL155" i="98"/>
  <c r="AP160" i="98"/>
  <c r="AP162" i="98" s="1"/>
  <c r="AF157" i="98"/>
  <c r="AF160" i="98" s="1"/>
  <c r="AF162" i="98" s="1"/>
  <c r="Z158" i="98"/>
  <c r="Z160" i="98" s="1"/>
  <c r="Z162" i="98" s="1"/>
  <c r="AK158" i="98"/>
  <c r="AK160" i="98" s="1"/>
  <c r="AO158" i="98"/>
  <c r="AO160" i="98" s="1"/>
  <c r="AO162" i="98" s="1"/>
  <c r="AT158" i="98"/>
  <c r="AU158" i="98" s="1"/>
  <c r="AH159" i="98"/>
  <c r="CW160" i="98"/>
  <c r="CW162" i="98" s="1"/>
  <c r="DI158" i="98"/>
  <c r="AG158" i="98" s="1"/>
  <c r="AG160" i="98" s="1"/>
  <c r="DJ160" i="98"/>
  <c r="CO160" i="98"/>
  <c r="AM174" i="98"/>
  <c r="AM183" i="98" s="1"/>
  <c r="U206" i="98"/>
  <c r="AS173" i="98"/>
  <c r="AT173" i="98" s="1"/>
  <c r="AU173" i="98" s="1"/>
  <c r="AV173" i="98" s="1"/>
  <c r="AW173" i="98" s="1"/>
  <c r="AX173" i="98" s="1"/>
  <c r="AY173" i="98" s="1"/>
  <c r="AZ173" i="98" s="1"/>
  <c r="BA173" i="98" s="1"/>
  <c r="BB173" i="98" s="1"/>
  <c r="BC173" i="98" s="1"/>
  <c r="BD173" i="98" s="1"/>
  <c r="BE173" i="98" s="1"/>
  <c r="BF173" i="98" s="1"/>
  <c r="BG173" i="98" s="1"/>
  <c r="BH173" i="98" s="1"/>
  <c r="BI173" i="98" s="1"/>
  <c r="BJ173" i="98" s="1"/>
  <c r="BK173" i="98" s="1"/>
  <c r="BL173" i="98" s="1"/>
  <c r="AK174" i="98"/>
  <c r="AK183" i="98" s="1"/>
  <c r="AD183" i="98"/>
  <c r="AD206" i="98" s="1"/>
  <c r="AN197" i="98"/>
  <c r="AN204" i="98" s="1"/>
  <c r="AN206" i="98" s="1"/>
  <c r="AM219" i="98"/>
  <c r="AP183" i="98"/>
  <c r="AP206" i="98" s="1"/>
  <c r="AJ197" i="98"/>
  <c r="AJ204" i="98" s="1"/>
  <c r="AJ206" i="98" s="1"/>
  <c r="AO197" i="98"/>
  <c r="AR170" i="98"/>
  <c r="AS170" i="98" s="1"/>
  <c r="AT170" i="98" s="1"/>
  <c r="AU170" i="98" s="1"/>
  <c r="AV170" i="98" s="1"/>
  <c r="AW170" i="98" s="1"/>
  <c r="AX170" i="98" s="1"/>
  <c r="AY170" i="98" s="1"/>
  <c r="AZ170" i="98" s="1"/>
  <c r="BA170" i="98" s="1"/>
  <c r="BB170" i="98" s="1"/>
  <c r="BC170" i="98" s="1"/>
  <c r="BD170" i="98" s="1"/>
  <c r="BE170" i="98" s="1"/>
  <c r="BF170" i="98" s="1"/>
  <c r="BG170" i="98" s="1"/>
  <c r="BH170" i="98" s="1"/>
  <c r="BI170" i="98" s="1"/>
  <c r="BJ170" i="98" s="1"/>
  <c r="BK170" i="98" s="1"/>
  <c r="BL170" i="98" s="1"/>
  <c r="X173" i="98"/>
  <c r="X174" i="98" s="1"/>
  <c r="X183" i="98" s="1"/>
  <c r="X206" i="98" s="1"/>
  <c r="AL174" i="98"/>
  <c r="AL183" i="98" s="1"/>
  <c r="AL206" i="98" s="1"/>
  <c r="AR189" i="98"/>
  <c r="X197" i="98"/>
  <c r="AC197" i="98"/>
  <c r="AC204" i="98" s="1"/>
  <c r="AK197" i="98"/>
  <c r="AK204" i="98" s="1"/>
  <c r="AT199" i="98"/>
  <c r="AO174" i="98"/>
  <c r="AO183" i="98" s="1"/>
  <c r="AC173" i="98"/>
  <c r="AC174" i="98" s="1"/>
  <c r="AC183" i="98" s="1"/>
  <c r="AC206" i="98" s="1"/>
  <c r="AG174" i="98"/>
  <c r="AG183" i="98" s="1"/>
  <c r="AH173" i="98"/>
  <c r="AH174" i="98" s="1"/>
  <c r="AH183" i="98" s="1"/>
  <c r="AC211" i="98"/>
  <c r="AC189" i="98"/>
  <c r="AM211" i="98"/>
  <c r="AM189" i="98"/>
  <c r="AH187" i="98"/>
  <c r="AG189" i="98"/>
  <c r="AG197" i="98" s="1"/>
  <c r="AG204" i="98" s="1"/>
  <c r="AR197" i="98"/>
  <c r="Y197" i="98"/>
  <c r="X219" i="98"/>
  <c r="X204" i="98"/>
  <c r="AC219" i="98"/>
  <c r="X213" i="98"/>
  <c r="AH213" i="98"/>
  <c r="AA222" i="98"/>
  <c r="AA220" i="98" s="1"/>
  <c r="AA259" i="98" s="1"/>
  <c r="AJ222" i="98"/>
  <c r="AJ214" i="98" s="1"/>
  <c r="AJ220" i="98"/>
  <c r="AJ259" i="98" s="1"/>
  <c r="AN222" i="98"/>
  <c r="AN220" i="98" s="1"/>
  <c r="AN259" i="98" s="1"/>
  <c r="AR202" i="98"/>
  <c r="T204" i="98"/>
  <c r="T206" i="98" s="1"/>
  <c r="AE204" i="98"/>
  <c r="AE206" i="98" s="1"/>
  <c r="AJ235" i="98"/>
  <c r="AH189" i="98"/>
  <c r="T222" i="98"/>
  <c r="T235" i="98" s="1"/>
  <c r="AB222" i="98"/>
  <c r="AB220" i="98" s="1"/>
  <c r="AB259" i="98" s="1"/>
  <c r="AF220" i="98"/>
  <c r="AF259" i="98" s="1"/>
  <c r="AF222" i="98"/>
  <c r="AF223" i="98" s="1"/>
  <c r="AK219" i="98"/>
  <c r="AO219" i="98"/>
  <c r="AO204" i="98"/>
  <c r="AA204" i="98"/>
  <c r="AA206" i="98" s="1"/>
  <c r="AF204" i="98"/>
  <c r="AF206" i="98" s="1"/>
  <c r="AB214" i="98"/>
  <c r="AF235" i="98"/>
  <c r="AF214" i="98"/>
  <c r="AT191" i="98"/>
  <c r="AH195" i="98"/>
  <c r="AH197" i="98" s="1"/>
  <c r="U204" i="98"/>
  <c r="U219" i="98"/>
  <c r="Y219" i="98"/>
  <c r="Y204" i="98"/>
  <c r="Y206" i="98" s="1"/>
  <c r="AG219" i="98"/>
  <c r="W204" i="98"/>
  <c r="W206" i="98" s="1"/>
  <c r="AB204" i="98"/>
  <c r="AB206" i="98" s="1"/>
  <c r="T223" i="98"/>
  <c r="AL223" i="98"/>
  <c r="AC212" i="98"/>
  <c r="AM212" i="98"/>
  <c r="X189" i="98"/>
  <c r="AM195" i="98"/>
  <c r="AM197" i="98" s="1"/>
  <c r="AM204" i="98" s="1"/>
  <c r="AH202" i="98"/>
  <c r="AQ234" i="98"/>
  <c r="AI204" i="98"/>
  <c r="AI206" i="98" s="1"/>
  <c r="Z235" i="98"/>
  <c r="AD235" i="98"/>
  <c r="AN235" i="98"/>
  <c r="AN223" i="98"/>
  <c r="S213" i="98"/>
  <c r="AA234" i="98"/>
  <c r="L235" i="98"/>
  <c r="P222" i="98"/>
  <c r="AF234" i="98"/>
  <c r="AJ234" i="98"/>
  <c r="AN234" i="98"/>
  <c r="I235" i="98"/>
  <c r="I214" i="98"/>
  <c r="L222" i="98"/>
  <c r="Q222" i="98"/>
  <c r="I223" i="98"/>
  <c r="J235" i="98"/>
  <c r="J223" i="98"/>
  <c r="J222" i="98"/>
  <c r="N235" i="98"/>
  <c r="N223" i="98"/>
  <c r="N222" i="98"/>
  <c r="K223" i="98"/>
  <c r="V222" i="98"/>
  <c r="V214" i="98" s="1"/>
  <c r="V220" i="98"/>
  <c r="V259" i="98" s="1"/>
  <c r="Z222" i="98"/>
  <c r="Z214" i="98" s="1"/>
  <c r="AD222" i="98"/>
  <c r="AD214" i="98" s="1"/>
  <c r="AD220" i="98"/>
  <c r="AD259" i="98" s="1"/>
  <c r="AL222" i="98"/>
  <c r="AL220" i="98" s="1"/>
  <c r="AL259" i="98" s="1"/>
  <c r="AP222" i="98"/>
  <c r="AP223" i="98" s="1"/>
  <c r="AP220" i="98"/>
  <c r="AP259" i="98" s="1"/>
  <c r="W213" i="98"/>
  <c r="AA213" i="98"/>
  <c r="AE213" i="98"/>
  <c r="AE222" i="98" s="1"/>
  <c r="AI213" i="98"/>
  <c r="AI222" i="98" s="1"/>
  <c r="R212" i="98"/>
  <c r="V234" i="98"/>
  <c r="Z234" i="98"/>
  <c r="AP234" i="98"/>
  <c r="L214" i="98"/>
  <c r="Q214" i="98"/>
  <c r="I222" i="98"/>
  <c r="L223" i="98"/>
  <c r="Q223" i="98"/>
  <c r="K235" i="98"/>
  <c r="O235" i="98"/>
  <c r="K214" i="98"/>
  <c r="O214" i="98"/>
  <c r="AC250" i="98"/>
  <c r="X245" i="98"/>
  <c r="Y250" i="98"/>
  <c r="Z245" i="98" s="1"/>
  <c r="Z250" i="98" s="1"/>
  <c r="AA245" i="98" s="1"/>
  <c r="AA250" i="98" s="1"/>
  <c r="AB245" i="98" s="1"/>
  <c r="AB250" i="98" s="1"/>
  <c r="BC121" i="77"/>
  <c r="AX123" i="77"/>
  <c r="I238" i="77"/>
  <c r="I251" i="77" s="1"/>
  <c r="I29" i="77"/>
  <c r="I25" i="77"/>
  <c r="I239" i="77" s="1"/>
  <c r="BM60" i="77"/>
  <c r="E24" i="77"/>
  <c r="P18" i="77"/>
  <c r="W140" i="77"/>
  <c r="W142" i="77" s="1"/>
  <c r="W143" i="77" s="1"/>
  <c r="W57" i="77" s="1"/>
  <c r="AB140" i="77"/>
  <c r="AB142" i="77" s="1"/>
  <c r="F95" i="77"/>
  <c r="F93" i="77"/>
  <c r="K93" i="77"/>
  <c r="K95" i="77"/>
  <c r="P95" i="77"/>
  <c r="P96" i="77" s="1"/>
  <c r="P93" i="77"/>
  <c r="S93" i="77"/>
  <c r="S95" i="77"/>
  <c r="M8" i="77"/>
  <c r="R9" i="77"/>
  <c r="R92" i="77" s="1"/>
  <c r="R93" i="77" s="1"/>
  <c r="G11" i="77"/>
  <c r="K11" i="77"/>
  <c r="S11" i="77"/>
  <c r="AA143" i="77"/>
  <c r="AA57" i="77" s="1"/>
  <c r="AF143" i="77"/>
  <c r="AF57" i="77" s="1"/>
  <c r="H146" i="77"/>
  <c r="J146" i="77"/>
  <c r="J58" i="77" s="1"/>
  <c r="R13" i="77"/>
  <c r="AL13" i="77"/>
  <c r="AV146" i="77"/>
  <c r="BA145" i="77"/>
  <c r="L16" i="77"/>
  <c r="L18" i="77" s="1"/>
  <c r="P16" i="77"/>
  <c r="G21" i="77"/>
  <c r="BD81" i="77"/>
  <c r="AY83" i="77"/>
  <c r="BJ54" i="77"/>
  <c r="AQ85" i="77"/>
  <c r="R95" i="77"/>
  <c r="AV83" i="77"/>
  <c r="AY121" i="77"/>
  <c r="G93" i="77"/>
  <c r="G95" i="77"/>
  <c r="L95" i="77"/>
  <c r="L96" i="77" s="1"/>
  <c r="L93" i="77"/>
  <c r="Q95" i="77"/>
  <c r="Q93" i="77"/>
  <c r="X9" i="77"/>
  <c r="H8" i="77"/>
  <c r="M9" i="77"/>
  <c r="M92" i="77" s="1"/>
  <c r="M93" i="77" s="1"/>
  <c r="R133" i="77"/>
  <c r="R135" i="77"/>
  <c r="L11" i="77"/>
  <c r="P11" i="77"/>
  <c r="G143" i="77"/>
  <c r="L143" i="77"/>
  <c r="L57" i="77" s="1"/>
  <c r="Q143" i="77"/>
  <c r="Q57" i="77" s="1"/>
  <c r="AS142" i="77"/>
  <c r="M13" i="77"/>
  <c r="AG13" i="77"/>
  <c r="Q16" i="77"/>
  <c r="Q18" i="77" s="1"/>
  <c r="H20" i="77"/>
  <c r="P21" i="77"/>
  <c r="AB21" i="77"/>
  <c r="AV21" i="77"/>
  <c r="AV22" i="77" s="1"/>
  <c r="G22" i="77"/>
  <c r="K22" i="77"/>
  <c r="S22" i="77"/>
  <c r="W22" i="77"/>
  <c r="AE22" i="77"/>
  <c r="AM22" i="77"/>
  <c r="AQ22" i="77"/>
  <c r="AL240" i="77"/>
  <c r="AV27" i="77"/>
  <c r="BE81" i="77"/>
  <c r="AZ83" i="77"/>
  <c r="AZ143" i="77"/>
  <c r="AY57" i="77"/>
  <c r="AZ146" i="77"/>
  <c r="AY58" i="77"/>
  <c r="BE146" i="77"/>
  <c r="BD58" i="77"/>
  <c r="BJ146" i="77"/>
  <c r="BI58" i="77"/>
  <c r="BO146" i="77"/>
  <c r="BN58" i="77"/>
  <c r="AV85" i="77"/>
  <c r="T85" i="77"/>
  <c r="T95" i="77"/>
  <c r="X74" i="77"/>
  <c r="Y85" i="77"/>
  <c r="AC74" i="77"/>
  <c r="AG85" i="77"/>
  <c r="AX125" i="77"/>
  <c r="BC125" i="77" s="1"/>
  <c r="I95" i="77"/>
  <c r="I93" i="77"/>
  <c r="N95" i="77"/>
  <c r="N96" i="77" s="1"/>
  <c r="N93" i="77"/>
  <c r="U9" i="77"/>
  <c r="H9" i="77"/>
  <c r="H92" i="77" s="1"/>
  <c r="H93" i="77" s="1"/>
  <c r="M135" i="77"/>
  <c r="M136" i="77" s="1"/>
  <c r="M133" i="77"/>
  <c r="E11" i="77"/>
  <c r="I11" i="77"/>
  <c r="Q11" i="77"/>
  <c r="X140" i="77"/>
  <c r="T142" i="77"/>
  <c r="Y142" i="77"/>
  <c r="AC140" i="77"/>
  <c r="AD142" i="77"/>
  <c r="AI142" i="77"/>
  <c r="AN142" i="77"/>
  <c r="AT143" i="77"/>
  <c r="AT57" i="77" s="1"/>
  <c r="H13" i="77"/>
  <c r="AV13" i="77"/>
  <c r="F16" i="77"/>
  <c r="F18" i="77" s="1"/>
  <c r="J16" i="77"/>
  <c r="J18" i="77" s="1"/>
  <c r="J24" i="77" s="1"/>
  <c r="N16" i="77"/>
  <c r="N18" i="77" s="1"/>
  <c r="N24" i="77" s="1"/>
  <c r="Q20" i="77"/>
  <c r="AH171" i="77"/>
  <c r="AH172" i="77" s="1"/>
  <c r="P22" i="77"/>
  <c r="AB22" i="77"/>
  <c r="Z240" i="77"/>
  <c r="Y240" i="77"/>
  <c r="AA240" i="77"/>
  <c r="W240" i="77"/>
  <c r="AP240" i="77"/>
  <c r="AO240" i="77"/>
  <c r="AN240" i="77"/>
  <c r="AQ240" i="77"/>
  <c r="AT240" i="77"/>
  <c r="AS240" i="77"/>
  <c r="AU240" i="77"/>
  <c r="BI53" i="77"/>
  <c r="BI87" i="77" s="1"/>
  <c r="AZ54" i="77"/>
  <c r="AZ87" i="77" s="1"/>
  <c r="BH54" i="77"/>
  <c r="BH87" i="77" s="1"/>
  <c r="BB127" i="77"/>
  <c r="BG127" i="77"/>
  <c r="BL127" i="77"/>
  <c r="BQ127" i="77"/>
  <c r="H85" i="77"/>
  <c r="H95" i="77"/>
  <c r="U85" i="77"/>
  <c r="E95" i="77"/>
  <c r="E93" i="77"/>
  <c r="J95" i="77"/>
  <c r="J96" i="77" s="1"/>
  <c r="J93" i="77"/>
  <c r="O93" i="77"/>
  <c r="O95" i="77"/>
  <c r="V9" i="77"/>
  <c r="T10" i="77"/>
  <c r="T132" i="77" s="1"/>
  <c r="T133" i="77" s="1"/>
  <c r="H135" i="77"/>
  <c r="H133" i="77"/>
  <c r="F11" i="77"/>
  <c r="J11" i="77"/>
  <c r="N11" i="77"/>
  <c r="Z143" i="77"/>
  <c r="Z57" i="77" s="1"/>
  <c r="AE143" i="77"/>
  <c r="AE57" i="77" s="1"/>
  <c r="AJ143" i="77"/>
  <c r="AJ57" i="77" s="1"/>
  <c r="AO143" i="77"/>
  <c r="AO57" i="77" s="1"/>
  <c r="AZ142" i="77"/>
  <c r="AG146" i="77"/>
  <c r="AG58" i="77" s="1"/>
  <c r="AQ13" i="77"/>
  <c r="G16" i="77"/>
  <c r="G18" i="77" s="1"/>
  <c r="G24" i="77" s="1"/>
  <c r="K16" i="77"/>
  <c r="K18" i="77" s="1"/>
  <c r="K24" i="77" s="1"/>
  <c r="O16" i="77"/>
  <c r="O18" i="77" s="1"/>
  <c r="O24" i="77" s="1"/>
  <c r="S16" i="77"/>
  <c r="S18" i="77" s="1"/>
  <c r="S24" i="77" s="1"/>
  <c r="L20" i="77"/>
  <c r="R20" i="77"/>
  <c r="F21" i="77"/>
  <c r="AG22" i="77"/>
  <c r="AB27" i="77"/>
  <c r="AB240" i="77" s="1"/>
  <c r="AG27" i="77"/>
  <c r="AJ240" i="77" s="1"/>
  <c r="BA87" i="77"/>
  <c r="BF87" i="77"/>
  <c r="BG87" i="77" s="1"/>
  <c r="BK87" i="77"/>
  <c r="BJ53" i="77"/>
  <c r="BJ87" i="77" s="1"/>
  <c r="BA54" i="77"/>
  <c r="BI54" i="77"/>
  <c r="BE57" i="77"/>
  <c r="BJ57" i="77"/>
  <c r="BO57" i="77"/>
  <c r="AL74" i="77"/>
  <c r="AX81" i="77"/>
  <c r="AM81" i="77"/>
  <c r="W83" i="77"/>
  <c r="AA83" i="77"/>
  <c r="AE83" i="77"/>
  <c r="AI83" i="77"/>
  <c r="AU83" i="77"/>
  <c r="R85" i="77"/>
  <c r="V85" i="77"/>
  <c r="Z85" i="77"/>
  <c r="AD85" i="77"/>
  <c r="AP85" i="77"/>
  <c r="AT85" i="77"/>
  <c r="AY85" i="77" s="1"/>
  <c r="BD85" i="77" s="1"/>
  <c r="AV107" i="77"/>
  <c r="AV108" i="77" s="1"/>
  <c r="AW100" i="77"/>
  <c r="AH116" i="77"/>
  <c r="AZ125" i="77"/>
  <c r="AB123" i="77"/>
  <c r="Z125" i="77"/>
  <c r="AP125" i="77"/>
  <c r="K257" i="77"/>
  <c r="K160" i="77"/>
  <c r="AI257" i="77"/>
  <c r="G257" i="77"/>
  <c r="G160" i="77"/>
  <c r="X81" i="77"/>
  <c r="X83" i="77" s="1"/>
  <c r="AR81" i="77"/>
  <c r="AR83" i="77" s="1"/>
  <c r="AQ107" i="77"/>
  <c r="AQ108" i="77" s="1"/>
  <c r="AR100" i="77"/>
  <c r="AM116" i="77"/>
  <c r="AQ125" i="77"/>
  <c r="AH121" i="77"/>
  <c r="AZ121" i="77"/>
  <c r="AI123" i="77"/>
  <c r="O136" i="77"/>
  <c r="AE257" i="77"/>
  <c r="BM157" i="77"/>
  <c r="R257" i="77"/>
  <c r="R160" i="77"/>
  <c r="AZ256" i="77"/>
  <c r="AZ197" i="77"/>
  <c r="AH74" i="77"/>
  <c r="AC81" i="77"/>
  <c r="AC83" i="77" s="1"/>
  <c r="AW81" i="77"/>
  <c r="AW85" i="77" s="1"/>
  <c r="AS83" i="77"/>
  <c r="M95" i="77"/>
  <c r="M96" i="77" s="1"/>
  <c r="AL107" i="77"/>
  <c r="AL108" i="77" s="1"/>
  <c r="AM100" i="77"/>
  <c r="AV125" i="77"/>
  <c r="BA125" i="77" s="1"/>
  <c r="AT123" i="77"/>
  <c r="V125" i="77"/>
  <c r="AD125" i="77"/>
  <c r="AL125" i="77"/>
  <c r="AT125" i="77"/>
  <c r="AY125" i="77" s="1"/>
  <c r="AK141" i="77"/>
  <c r="AM141" i="77" s="1"/>
  <c r="AA257" i="77"/>
  <c r="AA160" i="77"/>
  <c r="AQ158" i="77"/>
  <c r="AP257" i="77"/>
  <c r="BK256" i="77"/>
  <c r="BK197" i="77"/>
  <c r="AH81" i="77"/>
  <c r="AW114" i="77"/>
  <c r="W125" i="77"/>
  <c r="BA121" i="77"/>
  <c r="AV123" i="77"/>
  <c r="AF123" i="77"/>
  <c r="AJ123" i="77"/>
  <c r="AN123" i="77"/>
  <c r="AU123" i="77"/>
  <c r="E135" i="77"/>
  <c r="J136" i="77" s="1"/>
  <c r="E133" i="77"/>
  <c r="I135" i="77"/>
  <c r="N136" i="77" s="1"/>
  <c r="I133" i="77"/>
  <c r="Q135" i="77"/>
  <c r="Q136" i="77" s="1"/>
  <c r="Q133" i="77"/>
  <c r="P133" i="77"/>
  <c r="AP141" i="77"/>
  <c r="AP142" i="77" s="1"/>
  <c r="T257" i="77"/>
  <c r="AJ257" i="77"/>
  <c r="AO161" i="77"/>
  <c r="BE256" i="77"/>
  <c r="BE197" i="77"/>
  <c r="BJ256" i="77"/>
  <c r="BJ197" i="77"/>
  <c r="BO166" i="77"/>
  <c r="BN166" i="77"/>
  <c r="BN167" i="77" s="1"/>
  <c r="BH256" i="77"/>
  <c r="BH197" i="77"/>
  <c r="AS172" i="77"/>
  <c r="N195" i="77"/>
  <c r="DT209" i="77"/>
  <c r="AR195" i="77"/>
  <c r="CZ209" i="77"/>
  <c r="X195" i="77"/>
  <c r="BF199" i="77"/>
  <c r="BE199" i="77"/>
  <c r="BO199" i="77"/>
  <c r="BP199" i="77" s="1"/>
  <c r="AH146" i="77"/>
  <c r="AH58" i="77" s="1"/>
  <c r="U154" i="77"/>
  <c r="V161" i="77"/>
  <c r="AB154" i="77"/>
  <c r="AB161" i="77" s="1"/>
  <c r="AI161" i="77"/>
  <c r="AJ154" i="77"/>
  <c r="AP154" i="77"/>
  <c r="AV154" i="77"/>
  <c r="AF257" i="77"/>
  <c r="W257" i="77"/>
  <c r="W151" i="77"/>
  <c r="AM160" i="77"/>
  <c r="F160" i="77"/>
  <c r="AD160" i="77"/>
  <c r="AZ161" i="77"/>
  <c r="BA256" i="77"/>
  <c r="BA197" i="77"/>
  <c r="BF256" i="77"/>
  <c r="BF197" i="77"/>
  <c r="BP165" i="77"/>
  <c r="BP167" i="77" s="1"/>
  <c r="BO165" i="77"/>
  <c r="BC256" i="77"/>
  <c r="BC197" i="77"/>
  <c r="AA172" i="77"/>
  <c r="AU172" i="77"/>
  <c r="AX172" i="77" s="1"/>
  <c r="AY172" i="77" s="1"/>
  <c r="AZ172" i="77" s="1"/>
  <c r="BA172" i="77" s="1"/>
  <c r="BC172" i="77" s="1"/>
  <c r="BD172" i="77" s="1"/>
  <c r="BE172" i="77" s="1"/>
  <c r="BF172" i="77" s="1"/>
  <c r="BH172" i="77" s="1"/>
  <c r="BI172" i="77" s="1"/>
  <c r="BJ172" i="77" s="1"/>
  <c r="BK172" i="77" s="1"/>
  <c r="BM172" i="77" s="1"/>
  <c r="BN172" i="77" s="1"/>
  <c r="BO172" i="77" s="1"/>
  <c r="BP172" i="77" s="1"/>
  <c r="AM195" i="77"/>
  <c r="BJ198" i="77"/>
  <c r="BJ159" i="46" s="1"/>
  <c r="X116" i="77"/>
  <c r="AR116" i="77"/>
  <c r="X121" i="77"/>
  <c r="X123" i="77" s="1"/>
  <c r="AR121" i="77"/>
  <c r="AR123" i="77" s="1"/>
  <c r="T135" i="77"/>
  <c r="T136" i="77" s="1"/>
  <c r="AZ145" i="77"/>
  <c r="Y150" i="77"/>
  <c r="Y152" i="77" s="1"/>
  <c r="Z160" i="77" s="1"/>
  <c r="AI150" i="77"/>
  <c r="AI152" i="77" s="1"/>
  <c r="AI160" i="77" s="1"/>
  <c r="AN150" i="77"/>
  <c r="AN152" i="77" s="1"/>
  <c r="AS150" i="77"/>
  <c r="AS152" i="77" s="1"/>
  <c r="AT160" i="77" s="1"/>
  <c r="W150" i="77"/>
  <c r="W152" i="77" s="1"/>
  <c r="W160" i="77" s="1"/>
  <c r="AL152" i="77"/>
  <c r="W161" i="77"/>
  <c r="AE154" i="77"/>
  <c r="AD161" i="77"/>
  <c r="AX154" i="77"/>
  <c r="L158" i="77"/>
  <c r="Q158" i="77"/>
  <c r="AB158" i="77"/>
  <c r="AG158" i="77"/>
  <c r="AR160" i="77"/>
  <c r="AL157" i="77"/>
  <c r="AL158" i="77" s="1"/>
  <c r="AU157" i="77"/>
  <c r="AZ157" i="77" s="1"/>
  <c r="BE157" i="77" s="1"/>
  <c r="BJ157" i="77" s="1"/>
  <c r="BO157" i="77" s="1"/>
  <c r="AO160" i="77"/>
  <c r="AS161" i="77"/>
  <c r="AX256" i="77"/>
  <c r="AX197" i="77"/>
  <c r="BM166" i="77"/>
  <c r="BM167" i="77" s="1"/>
  <c r="AY256" i="77"/>
  <c r="AY197" i="77"/>
  <c r="BD256" i="77"/>
  <c r="BD197" i="77"/>
  <c r="AI172" i="77"/>
  <c r="AM171" i="77"/>
  <c r="AM172" i="77" s="1"/>
  <c r="Y172" i="77"/>
  <c r="AO172" i="77"/>
  <c r="DK209" i="77"/>
  <c r="AL200" i="77"/>
  <c r="AL209" i="77" s="1"/>
  <c r="BA199" i="77"/>
  <c r="AZ199" i="77"/>
  <c r="BJ199" i="77"/>
  <c r="BK199" i="77" s="1"/>
  <c r="AC116" i="77"/>
  <c r="AW116" i="77"/>
  <c r="AC121" i="77"/>
  <c r="AC123" i="77" s="1"/>
  <c r="AW121" i="77"/>
  <c r="AW123" i="77" s="1"/>
  <c r="AF146" i="77"/>
  <c r="AF58" i="77" s="1"/>
  <c r="U146" i="77"/>
  <c r="U58" i="77" s="1"/>
  <c r="AP146" i="77"/>
  <c r="AP58" i="77" s="1"/>
  <c r="H158" i="77"/>
  <c r="M158" i="77"/>
  <c r="AN257" i="77"/>
  <c r="AN160" i="77"/>
  <c r="AY157" i="77"/>
  <c r="BD157" i="77" s="1"/>
  <c r="AQ157" i="77"/>
  <c r="Y161" i="77"/>
  <c r="AN161" i="77"/>
  <c r="BM165" i="77"/>
  <c r="BP166" i="77"/>
  <c r="S256" i="77"/>
  <c r="S161" i="77"/>
  <c r="O161" i="77"/>
  <c r="AM256" i="77"/>
  <c r="AC171" i="77"/>
  <c r="AC172" i="77" s="1"/>
  <c r="AJ172" i="77"/>
  <c r="AN172" i="77"/>
  <c r="BJ193" i="77"/>
  <c r="BE198" i="77"/>
  <c r="BE159" i="46" s="1"/>
  <c r="BP198" i="77"/>
  <c r="BO198" i="77"/>
  <c r="BO159" i="46" s="1"/>
  <c r="CO200" i="77"/>
  <c r="DX207" i="77"/>
  <c r="E190" i="77"/>
  <c r="S258" i="77"/>
  <c r="AM258" i="77"/>
  <c r="CJ190" i="77"/>
  <c r="CJ195" i="77" s="1"/>
  <c r="CO190" i="77"/>
  <c r="CO195" i="77" s="1"/>
  <c r="CT190" i="77"/>
  <c r="CT195" i="77" s="1"/>
  <c r="CJ193" i="77"/>
  <c r="CT194" i="77"/>
  <c r="DN194" i="77"/>
  <c r="DN195" i="77" s="1"/>
  <c r="DN209" i="77" s="1"/>
  <c r="CK195" i="77"/>
  <c r="CS195" i="77"/>
  <c r="CS209" i="77" s="1"/>
  <c r="DA209" i="77"/>
  <c r="DE209" i="77"/>
  <c r="DQ195" i="77"/>
  <c r="DQ209" i="77" s="1"/>
  <c r="DU209" i="77"/>
  <c r="DY209" i="77"/>
  <c r="CO199" i="77"/>
  <c r="CT199" i="77"/>
  <c r="CT200" i="77" s="1"/>
  <c r="DX199" i="77"/>
  <c r="DX200" i="77" s="1"/>
  <c r="DX209" i="77" s="1"/>
  <c r="CH200" i="77"/>
  <c r="CH209" i="77" s="1"/>
  <c r="CH212" i="77" s="1"/>
  <c r="CL200" i="77"/>
  <c r="CP200" i="77"/>
  <c r="N200" i="77" s="1"/>
  <c r="CX200" i="77"/>
  <c r="DW207" i="77"/>
  <c r="AU203" i="77"/>
  <c r="AU178" i="77" s="1"/>
  <c r="Q230" i="77"/>
  <c r="Q221" i="77" s="1"/>
  <c r="U245" i="77"/>
  <c r="U231" i="77"/>
  <c r="U230" i="77"/>
  <c r="X258" i="77"/>
  <c r="CL195" i="77"/>
  <c r="CL209" i="77" s="1"/>
  <c r="CX195" i="77"/>
  <c r="DJ195" i="77"/>
  <c r="DR195" i="77"/>
  <c r="DR209" i="77" s="1"/>
  <c r="AC195" i="77"/>
  <c r="AW195" i="77"/>
  <c r="CU200" i="77"/>
  <c r="S200" i="77" s="1"/>
  <c r="DC200" i="77"/>
  <c r="DG200" i="77"/>
  <c r="DG209" i="77" s="1"/>
  <c r="DK200" i="77"/>
  <c r="DO200" i="77"/>
  <c r="AM200" i="77" s="1"/>
  <c r="AW203" i="77"/>
  <c r="DY207" i="77"/>
  <c r="AW207" i="77" s="1"/>
  <c r="AK204" i="77"/>
  <c r="AK207" i="77" s="1"/>
  <c r="AK209" i="77" s="1"/>
  <c r="DM207" i="77"/>
  <c r="DM209" i="77" s="1"/>
  <c r="AY205" i="77"/>
  <c r="BD205" i="77"/>
  <c r="BD71" i="51" s="1"/>
  <c r="BI205" i="77"/>
  <c r="BN205" i="77"/>
  <c r="BN71" i="51" s="1"/>
  <c r="CU207" i="77"/>
  <c r="S207" i="77" s="1"/>
  <c r="S205" i="77"/>
  <c r="CT205" i="77"/>
  <c r="CT207" i="77" s="1"/>
  <c r="AP205" i="77"/>
  <c r="AP207" i="77" s="1"/>
  <c r="AP209" i="77" s="1"/>
  <c r="DR207" i="77"/>
  <c r="DX205" i="77"/>
  <c r="AW205" i="77"/>
  <c r="CY207" i="77"/>
  <c r="CY209" i="77" s="1"/>
  <c r="AG245" i="77"/>
  <c r="AG231" i="77"/>
  <c r="E230" i="77"/>
  <c r="E221" i="77"/>
  <c r="I256" i="77"/>
  <c r="AC256" i="77"/>
  <c r="AW256" i="77"/>
  <c r="X171" i="77"/>
  <c r="X172" i="77" s="1"/>
  <c r="AR171" i="77"/>
  <c r="AR172" i="77" s="1"/>
  <c r="O190" i="77"/>
  <c r="O156" i="77" s="1"/>
  <c r="O158" i="77" s="1"/>
  <c r="I258" i="77"/>
  <c r="U191" i="77"/>
  <c r="U258" i="77" s="1"/>
  <c r="AC258" i="77"/>
  <c r="AW258" i="77"/>
  <c r="H193" i="77"/>
  <c r="H195" i="77" s="1"/>
  <c r="H209" i="77" s="1"/>
  <c r="AR193" i="77"/>
  <c r="AZ193" i="77"/>
  <c r="G194" i="77"/>
  <c r="G195" i="77" s="1"/>
  <c r="G209" i="77" s="1"/>
  <c r="AA194" i="77"/>
  <c r="AA195" i="77" s="1"/>
  <c r="AE194" i="77"/>
  <c r="AE195" i="77" s="1"/>
  <c r="AI194" i="77"/>
  <c r="AI195" i="77" s="1"/>
  <c r="AM194" i="77"/>
  <c r="AU194" i="77"/>
  <c r="AU195" i="77" s="1"/>
  <c r="AY194" i="77"/>
  <c r="AZ194" i="77" s="1"/>
  <c r="BD193" i="77"/>
  <c r="BE193" i="77" s="1"/>
  <c r="BD194" i="77"/>
  <c r="BE194" i="77" s="1"/>
  <c r="BI193" i="77"/>
  <c r="BK193" i="77" s="1"/>
  <c r="BI194" i="77"/>
  <c r="BJ194" i="77" s="1"/>
  <c r="BN193" i="77"/>
  <c r="BN194" i="77"/>
  <c r="BO194" i="77" s="1"/>
  <c r="CM195" i="77"/>
  <c r="CM209" i="77" s="1"/>
  <c r="CU195" i="77"/>
  <c r="DC195" i="77"/>
  <c r="DC209" i="77" s="1"/>
  <c r="DW195" i="77"/>
  <c r="DW209" i="77" s="1"/>
  <c r="BI197" i="77"/>
  <c r="AY198" i="77"/>
  <c r="AZ198" i="77" s="1"/>
  <c r="R199" i="77"/>
  <c r="R200" i="77" s="1"/>
  <c r="R209" i="77" s="1"/>
  <c r="V199" i="77"/>
  <c r="V200" i="77" s="1"/>
  <c r="V209" i="77" s="1"/>
  <c r="AL199" i="77"/>
  <c r="AT199" i="77"/>
  <c r="AT200" i="77" s="1"/>
  <c r="AT209" i="77" s="1"/>
  <c r="AU207" i="77"/>
  <c r="AV203" i="77"/>
  <c r="DN207" i="77"/>
  <c r="AZ206" i="77"/>
  <c r="BA206" i="77" s="1"/>
  <c r="BF206" i="77"/>
  <c r="BE206" i="77"/>
  <c r="BJ206" i="77"/>
  <c r="BK206" i="77" s="1"/>
  <c r="F231" i="77"/>
  <c r="F230" i="77"/>
  <c r="N256" i="77"/>
  <c r="AH256" i="77"/>
  <c r="P190" i="77"/>
  <c r="P156" i="77" s="1"/>
  <c r="P158" i="77" s="1"/>
  <c r="N258" i="77"/>
  <c r="AH258" i="77"/>
  <c r="T194" i="77"/>
  <c r="T195" i="77" s="1"/>
  <c r="T209" i="77" s="1"/>
  <c r="T212" i="77" s="1"/>
  <c r="U210" i="77" s="1"/>
  <c r="X194" i="77"/>
  <c r="AF194" i="77"/>
  <c r="AF195" i="77" s="1"/>
  <c r="AF209" i="77" s="1"/>
  <c r="AJ194" i="77"/>
  <c r="AJ195" i="77" s="1"/>
  <c r="AJ209" i="77" s="1"/>
  <c r="AN194" i="77"/>
  <c r="AN195" i="77" s="1"/>
  <c r="AN209" i="77" s="1"/>
  <c r="DS193" i="77"/>
  <c r="DS195" i="77" s="1"/>
  <c r="DS209" i="77" s="1"/>
  <c r="AM199" i="77"/>
  <c r="CJ199" i="77"/>
  <c r="CJ200" i="77" s="1"/>
  <c r="BN206" i="77"/>
  <c r="BN168" i="46" s="1"/>
  <c r="EF58" i="71" s="1"/>
  <c r="CK207" i="77"/>
  <c r="I207" i="77" s="1"/>
  <c r="W245" i="77"/>
  <c r="AQ245" i="77"/>
  <c r="G231" i="77"/>
  <c r="G221" i="77"/>
  <c r="G230" i="77"/>
  <c r="AK245" i="77"/>
  <c r="AK231" i="77"/>
  <c r="AK230" i="77"/>
  <c r="AK221" i="77"/>
  <c r="AP245" i="77"/>
  <c r="AP230" i="77"/>
  <c r="AP221" i="77"/>
  <c r="I246" i="77"/>
  <c r="I245" i="77"/>
  <c r="I231" i="77"/>
  <c r="I230" i="77"/>
  <c r="N220" i="77"/>
  <c r="S230" i="77"/>
  <c r="Y230" i="77"/>
  <c r="Y221" i="77" s="1"/>
  <c r="AD230" i="77"/>
  <c r="AD245" i="77" s="1"/>
  <c r="AI220" i="77"/>
  <c r="AO245" i="77"/>
  <c r="AO231" i="77"/>
  <c r="AO230" i="77"/>
  <c r="AT231" i="77"/>
  <c r="AT230" i="77"/>
  <c r="AG224" i="77"/>
  <c r="W227" i="77"/>
  <c r="S244" i="77"/>
  <c r="J220" i="77"/>
  <c r="O220" i="77"/>
  <c r="Z220" i="77"/>
  <c r="AE220" i="77"/>
  <c r="AU230" i="77"/>
  <c r="AU231" i="77" s="1"/>
  <c r="I221" i="77"/>
  <c r="AO221" i="77"/>
  <c r="AT221" i="77"/>
  <c r="H230" i="77"/>
  <c r="H221" i="77" s="1"/>
  <c r="AV230" i="77"/>
  <c r="AV244" i="77" s="1"/>
  <c r="H245" i="77"/>
  <c r="H231" i="77"/>
  <c r="AB220" i="77"/>
  <c r="AV220" i="77"/>
  <c r="H244" i="77"/>
  <c r="L220" i="77"/>
  <c r="P220" i="77"/>
  <c r="T220" i="77"/>
  <c r="AB219" i="77"/>
  <c r="AG244" i="77"/>
  <c r="AK244" i="77"/>
  <c r="AO244" i="77"/>
  <c r="K220" i="77"/>
  <c r="V220" i="77"/>
  <c r="AA220" i="77"/>
  <c r="AW245" i="77"/>
  <c r="AW231" i="77"/>
  <c r="AW230" i="77"/>
  <c r="AQ224" i="77"/>
  <c r="AZ223" i="77"/>
  <c r="DO207" i="77"/>
  <c r="AM207" i="77" s="1"/>
  <c r="I210" i="77"/>
  <c r="I244" i="77"/>
  <c r="M219" i="77"/>
  <c r="M220" i="77" s="1"/>
  <c r="Q244" i="77"/>
  <c r="U244" i="77"/>
  <c r="AL219" i="77"/>
  <c r="AP244" i="77"/>
  <c r="AC220" i="77"/>
  <c r="AH220" i="77"/>
  <c r="AM220" i="77"/>
  <c r="AS220" i="77"/>
  <c r="AW221" i="77"/>
  <c r="H224" i="77"/>
  <c r="H227" i="77"/>
  <c r="AG230" i="77"/>
  <c r="AG228" i="77" s="1"/>
  <c r="AG269" i="77" s="1"/>
  <c r="AG227" i="77"/>
  <c r="R230" i="77"/>
  <c r="R221" i="77" s="1"/>
  <c r="W230" i="77"/>
  <c r="W231" i="77" s="1"/>
  <c r="AQ230" i="77"/>
  <c r="AW244" i="77"/>
  <c r="X220" i="77"/>
  <c r="AF220" i="77"/>
  <c r="AJ220" i="77"/>
  <c r="AN220" i="77"/>
  <c r="AR220" i="77"/>
  <c r="BQ272" i="77"/>
  <c r="BQ63" i="77" s="1"/>
  <c r="BQ62" i="73" s="1"/>
  <c r="BM272" i="77"/>
  <c r="AV268" i="77"/>
  <c r="AU268" i="77" s="1"/>
  <c r="AT268" i="77" s="1"/>
  <c r="AS268" i="77" s="1"/>
  <c r="BB268" i="77"/>
  <c r="Y133" i="78"/>
  <c r="Y134" i="78" s="1"/>
  <c r="AD10" i="78"/>
  <c r="M11" i="78"/>
  <c r="E26" i="78"/>
  <c r="Y93" i="78"/>
  <c r="Y94" i="78" s="1"/>
  <c r="Y16" i="78"/>
  <c r="Y20" i="78" s="1"/>
  <c r="Y11" i="78"/>
  <c r="AD9" i="78"/>
  <c r="U133" i="78"/>
  <c r="U134" i="78" s="1"/>
  <c r="Z10" i="78"/>
  <c r="AC133" i="78"/>
  <c r="AC134" i="78" s="1"/>
  <c r="AH10" i="78"/>
  <c r="I237" i="78"/>
  <c r="I250" i="78" s="1"/>
  <c r="I27" i="78"/>
  <c r="I31" i="78"/>
  <c r="BB17" i="46"/>
  <c r="BG17" i="46"/>
  <c r="BQ17" i="46"/>
  <c r="U93" i="78"/>
  <c r="U11" i="78"/>
  <c r="Z9" i="78"/>
  <c r="AC93" i="78"/>
  <c r="AC94" i="78" s="1"/>
  <c r="AC16" i="78"/>
  <c r="AC20" i="78" s="1"/>
  <c r="AC11" i="78"/>
  <c r="AH9" i="78"/>
  <c r="AS133" i="78"/>
  <c r="AS134" i="78" s="1"/>
  <c r="AX134" i="78" s="1"/>
  <c r="AS11" i="78"/>
  <c r="Q26" i="78"/>
  <c r="O31" i="78"/>
  <c r="O27" i="78"/>
  <c r="BQ36" i="78"/>
  <c r="P93" i="46"/>
  <c r="CH40" i="71" s="1"/>
  <c r="CH41" i="71" s="1"/>
  <c r="V93" i="46"/>
  <c r="CN40" i="71" s="1"/>
  <c r="CN41" i="71" s="1"/>
  <c r="Z93" i="46"/>
  <c r="CR40" i="71" s="1"/>
  <c r="CR41" i="71" s="1"/>
  <c r="AL93" i="46"/>
  <c r="DD40" i="71" s="1"/>
  <c r="DD41" i="71" s="1"/>
  <c r="T93" i="78"/>
  <c r="T16" i="78"/>
  <c r="T20" i="78" s="1"/>
  <c r="X94" i="78"/>
  <c r="X96" i="78"/>
  <c r="AS94" i="78"/>
  <c r="AX94" i="78" s="1"/>
  <c r="R8" i="78"/>
  <c r="S11" i="78"/>
  <c r="Y144" i="78"/>
  <c r="Y58" i="78" s="1"/>
  <c r="AN144" i="78"/>
  <c r="AN58" i="78" s="1"/>
  <c r="AQ147" i="78"/>
  <c r="AQ59" i="78" s="1"/>
  <c r="J16" i="78"/>
  <c r="J20" i="78" s="1"/>
  <c r="U16" i="78"/>
  <c r="U20" i="78" s="1"/>
  <c r="Z16" i="78"/>
  <c r="Z20" i="78" s="1"/>
  <c r="K174" i="78"/>
  <c r="K23" i="78"/>
  <c r="M23" i="78" s="1"/>
  <c r="W23" i="78"/>
  <c r="AB23" i="78"/>
  <c r="AG23" i="78"/>
  <c r="AX23" i="78"/>
  <c r="F24" i="78"/>
  <c r="AB24" i="78"/>
  <c r="AP24" i="78"/>
  <c r="U239" i="78"/>
  <c r="T239" i="78"/>
  <c r="R239" i="78"/>
  <c r="Y239" i="78"/>
  <c r="Z239" i="78"/>
  <c r="AA239" i="78"/>
  <c r="AZ84" i="78"/>
  <c r="BE82" i="78"/>
  <c r="BF122" i="78"/>
  <c r="BA124" i="78"/>
  <c r="BA88" i="78"/>
  <c r="BA144" i="78"/>
  <c r="AZ58" i="78"/>
  <c r="BK144" i="78"/>
  <c r="BJ58" i="78"/>
  <c r="BO147" i="78"/>
  <c r="BN59" i="78"/>
  <c r="BN61" i="78"/>
  <c r="Z86" i="78"/>
  <c r="AE86" i="78"/>
  <c r="AS96" i="78"/>
  <c r="AS97" i="78" s="1"/>
  <c r="R84" i="78"/>
  <c r="R51" i="78" s="1"/>
  <c r="R44" i="73" s="1"/>
  <c r="BH84" i="78"/>
  <c r="BM82" i="78"/>
  <c r="Z144" i="78"/>
  <c r="Z58" i="78" s="1"/>
  <c r="AE144" i="78"/>
  <c r="AE58" i="78" s="1"/>
  <c r="AJ141" i="78"/>
  <c r="AJ143" i="78" s="1"/>
  <c r="AJ144" i="78" s="1"/>
  <c r="AJ58" i="78" s="1"/>
  <c r="AU144" i="78"/>
  <c r="AU58" i="78" s="1"/>
  <c r="AG13" i="78"/>
  <c r="AV13" i="78"/>
  <c r="F26" i="78"/>
  <c r="G174" i="78"/>
  <c r="G23" i="78"/>
  <c r="G24" i="78" s="1"/>
  <c r="G26" i="78" s="1"/>
  <c r="AY23" i="78"/>
  <c r="BD23" i="78" s="1"/>
  <c r="BI23" i="78" s="1"/>
  <c r="BN23" i="78" s="1"/>
  <c r="M24" i="78"/>
  <c r="AG24" i="78"/>
  <c r="AM239" i="78"/>
  <c r="AL29" i="78"/>
  <c r="AN239" i="78" s="1"/>
  <c r="BG36" i="78"/>
  <c r="BA147" i="78"/>
  <c r="AZ59" i="78"/>
  <c r="BK147" i="78"/>
  <c r="BJ59" i="78"/>
  <c r="N86" i="78"/>
  <c r="N96" i="78"/>
  <c r="N97" i="78" s="1"/>
  <c r="R86" i="78"/>
  <c r="R96" i="78"/>
  <c r="V86" i="78"/>
  <c r="V96" i="78"/>
  <c r="V97" i="78" s="1"/>
  <c r="V20" i="78"/>
  <c r="J144" i="78"/>
  <c r="J58" i="78" s="1"/>
  <c r="P141" i="78"/>
  <c r="P143" i="78" s="1"/>
  <c r="P144" i="78" s="1"/>
  <c r="P58" i="78" s="1"/>
  <c r="P46" i="73" s="1"/>
  <c r="P16" i="78"/>
  <c r="P20" i="78" s="1"/>
  <c r="AA144" i="78"/>
  <c r="AA58" i="78" s="1"/>
  <c r="AF141" i="78"/>
  <c r="AF143" i="78" s="1"/>
  <c r="AF144" i="78" s="1"/>
  <c r="AF58" i="78" s="1"/>
  <c r="AP144" i="78"/>
  <c r="AP58" i="78" s="1"/>
  <c r="M13" i="78"/>
  <c r="AB13" i="78"/>
  <c r="AQ13" i="78"/>
  <c r="AS16" i="78"/>
  <c r="AS20" i="78" s="1"/>
  <c r="AU24" i="78"/>
  <c r="AZ23" i="78"/>
  <c r="BE23" i="78" s="1"/>
  <c r="BJ23" i="78" s="1"/>
  <c r="BO23" i="78" s="1"/>
  <c r="K239" i="78"/>
  <c r="J239" i="78"/>
  <c r="L239" i="78"/>
  <c r="H239" i="78"/>
  <c r="AK239" i="78"/>
  <c r="AJ239" i="78"/>
  <c r="AI239" i="78"/>
  <c r="AO239" i="78"/>
  <c r="AQ239" i="78"/>
  <c r="AS239" i="78"/>
  <c r="AU239" i="78"/>
  <c r="AT239" i="78"/>
  <c r="AV239" i="78"/>
  <c r="BL36" i="78"/>
  <c r="BF144" i="78"/>
  <c r="BE58" i="78"/>
  <c r="BP144" i="78"/>
  <c r="BO58" i="78"/>
  <c r="BI61" i="78"/>
  <c r="M96" i="78"/>
  <c r="M86" i="78"/>
  <c r="AG86" i="78"/>
  <c r="E96" i="78"/>
  <c r="E86" i="78"/>
  <c r="J86" i="78"/>
  <c r="J96" i="78"/>
  <c r="J97" i="78" s="1"/>
  <c r="AC96" i="78"/>
  <c r="AC97" i="78" s="1"/>
  <c r="AM86" i="78"/>
  <c r="H136" i="78"/>
  <c r="H126" i="78"/>
  <c r="X136" i="78"/>
  <c r="X137" i="78" s="1"/>
  <c r="W9" i="78"/>
  <c r="W93" i="78" s="1"/>
  <c r="AA9" i="78"/>
  <c r="W10" i="78"/>
  <c r="W133" i="78" s="1"/>
  <c r="W134" i="78" s="1"/>
  <c r="AA10" i="78"/>
  <c r="AN94" i="78"/>
  <c r="AN96" i="78"/>
  <c r="V11" i="78"/>
  <c r="X141" i="78"/>
  <c r="X16" i="78"/>
  <c r="X20" i="78" s="1"/>
  <c r="AM141" i="78"/>
  <c r="AL13" i="78"/>
  <c r="AS144" i="78"/>
  <c r="AS58" i="78" s="1"/>
  <c r="H141" i="78"/>
  <c r="H143" i="78" s="1"/>
  <c r="H16" i="78"/>
  <c r="H20" i="78" s="1"/>
  <c r="W13" i="78"/>
  <c r="N16" i="78"/>
  <c r="N20" i="78" s="1"/>
  <c r="S16" i="78"/>
  <c r="S20" i="78" s="1"/>
  <c r="R23" i="78"/>
  <c r="R24" i="78" s="1"/>
  <c r="AV23" i="78"/>
  <c r="BA23" i="78" s="1"/>
  <c r="BF23" i="78" s="1"/>
  <c r="BK23" i="78" s="1"/>
  <c r="BP23" i="78" s="1"/>
  <c r="Q239" i="78"/>
  <c r="O239" i="78"/>
  <c r="M239" i="78"/>
  <c r="P239" i="78"/>
  <c r="AB29" i="78"/>
  <c r="AB239" i="78" s="1"/>
  <c r="AZ88" i="78"/>
  <c r="AZ86" i="78" s="1"/>
  <c r="AZ75" i="78" s="1"/>
  <c r="BE88" i="78"/>
  <c r="BC55" i="78"/>
  <c r="BC88" i="78" s="1"/>
  <c r="BF55" i="78"/>
  <c r="BF88" i="78" s="1"/>
  <c r="BL55" i="78"/>
  <c r="BD55" i="78"/>
  <c r="BD88" i="78" s="1"/>
  <c r="BF147" i="78"/>
  <c r="BE59" i="78"/>
  <c r="AL75" i="78"/>
  <c r="Y96" i="78"/>
  <c r="AI86" i="78"/>
  <c r="AG84" i="78"/>
  <c r="AG51" i="78" s="1"/>
  <c r="M136" i="78"/>
  <c r="M126" i="78"/>
  <c r="AZ55" i="78"/>
  <c r="H75" i="78"/>
  <c r="AB75" i="78"/>
  <c r="AV75" i="78"/>
  <c r="AD86" i="78"/>
  <c r="AH86" i="78"/>
  <c r="AP86" i="78"/>
  <c r="AT86" i="78"/>
  <c r="J84" i="78"/>
  <c r="J51" i="78" s="1"/>
  <c r="P84" i="78"/>
  <c r="P51" i="78" s="1"/>
  <c r="P44" i="73" s="1"/>
  <c r="AK84" i="78"/>
  <c r="AK51" i="78" s="1"/>
  <c r="I86" i="78"/>
  <c r="O86" i="78"/>
  <c r="T86" i="78"/>
  <c r="Y86" i="78"/>
  <c r="AJ86" i="78"/>
  <c r="AO86" i="78"/>
  <c r="L94" i="78"/>
  <c r="AV108" i="78"/>
  <c r="AV109" i="78" s="1"/>
  <c r="AW101" i="78"/>
  <c r="Y111" i="78"/>
  <c r="J124" i="78"/>
  <c r="J52" i="78" s="1"/>
  <c r="R124" i="78"/>
  <c r="R52" i="78" s="1"/>
  <c r="R45" i="73" s="1"/>
  <c r="X126" i="78"/>
  <c r="AN126" i="78"/>
  <c r="AY82" i="78"/>
  <c r="BC84" i="78"/>
  <c r="L84" i="78"/>
  <c r="L51" i="78" s="1"/>
  <c r="Q84" i="78"/>
  <c r="Q51" i="78" s="1"/>
  <c r="Q44" i="73" s="1"/>
  <c r="AQ108" i="78"/>
  <c r="AQ109" i="78" s="1"/>
  <c r="AR101" i="78"/>
  <c r="AN111" i="78"/>
  <c r="W126" i="78"/>
  <c r="AG126" i="78"/>
  <c r="AQ126" i="78"/>
  <c r="E136" i="78"/>
  <c r="E126" i="78"/>
  <c r="I136" i="78"/>
  <c r="I126" i="78"/>
  <c r="V136" i="78"/>
  <c r="V137" i="78" s="1"/>
  <c r="N137" i="78"/>
  <c r="O97" i="78"/>
  <c r="S96" i="78"/>
  <c r="S97" i="78" s="1"/>
  <c r="W82" i="78"/>
  <c r="W84" i="78" s="1"/>
  <c r="W51" i="78" s="1"/>
  <c r="AQ82" i="78"/>
  <c r="AQ84" i="78" s="1"/>
  <c r="AQ51" i="78" s="1"/>
  <c r="AU84" i="78"/>
  <c r="AU51" i="78" s="1"/>
  <c r="AX84" i="78"/>
  <c r="Q86" i="78"/>
  <c r="F96" i="78"/>
  <c r="K97" i="78" s="1"/>
  <c r="AL108" i="78"/>
  <c r="AL109" i="78" s="1"/>
  <c r="AM101" i="78"/>
  <c r="AS111" i="78"/>
  <c r="AD124" i="78"/>
  <c r="AD52" i="78" s="1"/>
  <c r="AH124" i="78"/>
  <c r="AH52" i="78" s="1"/>
  <c r="AH45" i="73" s="1"/>
  <c r="AL124" i="78"/>
  <c r="AL52" i="78" s="1"/>
  <c r="AP124" i="78"/>
  <c r="AP52" i="78" s="1"/>
  <c r="P126" i="78"/>
  <c r="AF126" i="78"/>
  <c r="S137" i="78"/>
  <c r="L256" i="78"/>
  <c r="P256" i="78"/>
  <c r="T256" i="78"/>
  <c r="X162" i="78"/>
  <c r="AI256" i="78"/>
  <c r="AQ160" i="78"/>
  <c r="AU256" i="78"/>
  <c r="W256" i="78"/>
  <c r="AD144" i="78"/>
  <c r="AD58" i="78" s="1"/>
  <c r="AI144" i="78"/>
  <c r="AI58" i="78" s="1"/>
  <c r="AT144" i="78"/>
  <c r="AT58" i="78" s="1"/>
  <c r="R13" i="78"/>
  <c r="AB147" i="78"/>
  <c r="AB59" i="78" s="1"/>
  <c r="BA146" i="78"/>
  <c r="L16" i="78"/>
  <c r="L20" i="78" s="1"/>
  <c r="AN16" i="78"/>
  <c r="AN20" i="78" s="1"/>
  <c r="I174" i="78"/>
  <c r="I175" i="78" s="1"/>
  <c r="N174" i="78"/>
  <c r="N175" i="78" s="1"/>
  <c r="W24" i="78"/>
  <c r="AQ24" i="78"/>
  <c r="W239" i="78"/>
  <c r="V239" i="78"/>
  <c r="AG239" i="78"/>
  <c r="AE239" i="78"/>
  <c r="AD239" i="78"/>
  <c r="AF239" i="78"/>
  <c r="AY55" i="78"/>
  <c r="AY88" i="78" s="1"/>
  <c r="AA84" i="78"/>
  <c r="AA51" i="78" s="1"/>
  <c r="AE84" i="78"/>
  <c r="AE51" i="78" s="1"/>
  <c r="AI84" i="78"/>
  <c r="AI51" i="78" s="1"/>
  <c r="AM84" i="78"/>
  <c r="AM51" i="78" s="1"/>
  <c r="AM44" i="73" s="1"/>
  <c r="AT84" i="78"/>
  <c r="AT51" i="78" s="1"/>
  <c r="S86" i="78"/>
  <c r="AC86" i="78"/>
  <c r="AS86" i="78"/>
  <c r="AX86" i="78" s="1"/>
  <c r="AX75" i="78" s="1"/>
  <c r="P94" i="78"/>
  <c r="R117" i="78"/>
  <c r="AL117" i="78"/>
  <c r="K137" i="78"/>
  <c r="T136" i="78"/>
  <c r="T137" i="78" s="1"/>
  <c r="AB124" i="78"/>
  <c r="AB52" i="78" s="1"/>
  <c r="Z124" i="78"/>
  <c r="Z52" i="78" s="1"/>
  <c r="T126" i="78"/>
  <c r="AJ126" i="78"/>
  <c r="I143" i="78"/>
  <c r="O256" i="78"/>
  <c r="AB256" i="78"/>
  <c r="AB162" i="78"/>
  <c r="AJ256" i="78"/>
  <c r="AV256" i="78"/>
  <c r="P124" i="78"/>
  <c r="P52" i="78" s="1"/>
  <c r="P45" i="73" s="1"/>
  <c r="AN124" i="78"/>
  <c r="AN52" i="78" s="1"/>
  <c r="G126" i="78"/>
  <c r="K126" i="78"/>
  <c r="O126" i="78"/>
  <c r="AA126" i="78"/>
  <c r="AE126" i="78"/>
  <c r="AM126" i="78"/>
  <c r="AU126" i="78"/>
  <c r="AP147" i="78"/>
  <c r="AP59" i="78" s="1"/>
  <c r="AR147" i="78"/>
  <c r="AR59" i="78" s="1"/>
  <c r="S154" i="78"/>
  <c r="R152" i="78"/>
  <c r="R154" i="78" s="1"/>
  <c r="AM154" i="78"/>
  <c r="AN162" i="78" s="1"/>
  <c r="AL152" i="78"/>
  <c r="AL154" i="78" s="1"/>
  <c r="AG152" i="78"/>
  <c r="AG154" i="78" s="1"/>
  <c r="AC154" i="78"/>
  <c r="AC162" i="78" s="1"/>
  <c r="AO156" i="78"/>
  <c r="AN152" i="78"/>
  <c r="AN154" i="78" s="1"/>
  <c r="AN175" i="78"/>
  <c r="AN163" i="78"/>
  <c r="AP160" i="78"/>
  <c r="AQ159" i="78"/>
  <c r="AR162" i="78"/>
  <c r="AA175" i="78"/>
  <c r="AC174" i="78"/>
  <c r="AC175" i="78" s="1"/>
  <c r="AO175" i="78"/>
  <c r="V147" i="78"/>
  <c r="V59" i="78" s="1"/>
  <c r="N154" i="78"/>
  <c r="N162" i="78" s="1"/>
  <c r="K156" i="78"/>
  <c r="L163" i="78"/>
  <c r="W163" i="78"/>
  <c r="V156" i="78"/>
  <c r="AG256" i="78"/>
  <c r="AG162" i="78"/>
  <c r="AE256" i="78"/>
  <c r="AX255" i="78"/>
  <c r="AX200" i="78"/>
  <c r="AD175" i="78"/>
  <c r="U136" i="78"/>
  <c r="U137" i="78" s="1"/>
  <c r="Y136" i="78"/>
  <c r="Y137" i="78" s="1"/>
  <c r="AC136" i="78"/>
  <c r="AC137" i="78" s="1"/>
  <c r="AS136" i="78"/>
  <c r="AS137" i="78" s="1"/>
  <c r="AT124" i="78"/>
  <c r="AT52" i="78" s="1"/>
  <c r="Q126" i="78"/>
  <c r="U126" i="78"/>
  <c r="Y126" i="78"/>
  <c r="AC126" i="78"/>
  <c r="AK126" i="78"/>
  <c r="AO126" i="78"/>
  <c r="AS126" i="78"/>
  <c r="F134" i="78"/>
  <c r="J134" i="78"/>
  <c r="N134" i="78"/>
  <c r="J136" i="78"/>
  <c r="J147" i="78"/>
  <c r="J59" i="78" s="1"/>
  <c r="N147" i="78"/>
  <c r="N59" i="78" s="1"/>
  <c r="AE147" i="78"/>
  <c r="AE59" i="78" s="1"/>
  <c r="AV152" i="78"/>
  <c r="AV154" i="78" s="1"/>
  <c r="AX152" i="78"/>
  <c r="AD152" i="78"/>
  <c r="AD154" i="78" s="1"/>
  <c r="AE162" i="78" s="1"/>
  <c r="AD163" i="78"/>
  <c r="AI163" i="78"/>
  <c r="AJ156" i="78"/>
  <c r="AI152" i="78"/>
  <c r="AI154" i="78" s="1"/>
  <c r="AI162" i="78" s="1"/>
  <c r="AT156" i="78"/>
  <c r="AS152" i="78"/>
  <c r="AS154" i="78" s="1"/>
  <c r="E160" i="78"/>
  <c r="I162" i="78"/>
  <c r="M256" i="78"/>
  <c r="N256" i="78" s="1"/>
  <c r="M162" i="78"/>
  <c r="Q256" i="78"/>
  <c r="U256" i="78"/>
  <c r="Y256" i="78"/>
  <c r="Y162" i="78"/>
  <c r="AH256" i="78"/>
  <c r="G159" i="78"/>
  <c r="G160" i="78" s="1"/>
  <c r="H159" i="78"/>
  <c r="H160" i="78" s="1"/>
  <c r="AF256" i="78"/>
  <c r="AF162" i="78"/>
  <c r="AN256" i="78"/>
  <c r="AS163" i="78"/>
  <c r="AZ168" i="78"/>
  <c r="AY168" i="78"/>
  <c r="AY170" i="78" s="1"/>
  <c r="BA168" i="78"/>
  <c r="BA170" i="78" s="1"/>
  <c r="Y175" i="78"/>
  <c r="AS175" i="78"/>
  <c r="L175" i="78"/>
  <c r="DS198" i="78"/>
  <c r="F126" i="78"/>
  <c r="V126" i="78"/>
  <c r="O144" i="78"/>
  <c r="O58" i="78" s="1"/>
  <c r="O46" i="73" s="1"/>
  <c r="AQ152" i="78"/>
  <c r="AQ154" i="78" s="1"/>
  <c r="AW154" i="78"/>
  <c r="H163" i="78"/>
  <c r="G156" i="78"/>
  <c r="R163" i="78"/>
  <c r="Q156" i="78"/>
  <c r="AK160" i="78"/>
  <c r="AO256" i="78"/>
  <c r="AS256" i="78"/>
  <c r="AW256" i="78" s="1"/>
  <c r="AS162" i="78"/>
  <c r="AK159" i="78"/>
  <c r="AL159" i="78"/>
  <c r="AL160" i="78" s="1"/>
  <c r="AA256" i="78"/>
  <c r="AA162" i="78"/>
  <c r="M163" i="78"/>
  <c r="Y163" i="78"/>
  <c r="AY156" i="78"/>
  <c r="AZ163" i="78"/>
  <c r="AZ170" i="78"/>
  <c r="AZ169" i="78"/>
  <c r="AY169" i="78"/>
  <c r="BA169" i="78"/>
  <c r="BL169" i="78"/>
  <c r="BG169" i="78"/>
  <c r="AR174" i="78"/>
  <c r="AR175" i="78" s="1"/>
  <c r="AT175" i="78"/>
  <c r="AF163" i="78"/>
  <c r="S255" i="78"/>
  <c r="AM255" i="78"/>
  <c r="AE175" i="78"/>
  <c r="AI175" i="78"/>
  <c r="AM174" i="78"/>
  <c r="AM175" i="78" s="1"/>
  <c r="AZ197" i="78"/>
  <c r="AY197" i="78"/>
  <c r="AY155" i="46" s="1"/>
  <c r="BA197" i="78"/>
  <c r="BJ197" i="78"/>
  <c r="BI197" i="78"/>
  <c r="BK197" i="78" s="1"/>
  <c r="DI211" i="78"/>
  <c r="I198" i="78"/>
  <c r="AN197" i="78"/>
  <c r="AN198" i="78" s="1"/>
  <c r="DP198" i="78"/>
  <c r="DP211" i="78" s="1"/>
  <c r="DY211" i="78"/>
  <c r="AW198" i="78"/>
  <c r="AM198" i="78"/>
  <c r="H202" i="78"/>
  <c r="K202" i="78"/>
  <c r="AU202" i="78"/>
  <c r="AS202" i="78"/>
  <c r="BJ201" i="78"/>
  <c r="BJ160" i="46" s="1"/>
  <c r="EB49" i="71" s="1"/>
  <c r="BI201" i="78"/>
  <c r="BI160" i="46" s="1"/>
  <c r="EA49" i="71" s="1"/>
  <c r="N201" i="78"/>
  <c r="CP202" i="78"/>
  <c r="N202" i="78" s="1"/>
  <c r="CO201" i="78"/>
  <c r="CO202" i="78" s="1"/>
  <c r="CO211" i="78" s="1"/>
  <c r="M201" i="78"/>
  <c r="AA201" i="78"/>
  <c r="AA202" i="78" s="1"/>
  <c r="AA211" i="78" s="1"/>
  <c r="DC202" i="78"/>
  <c r="DC211" i="78" s="1"/>
  <c r="AB201" i="78"/>
  <c r="K211" i="78"/>
  <c r="O211" i="78"/>
  <c r="AQ198" i="78"/>
  <c r="BD196" i="78"/>
  <c r="BE196" i="78" s="1"/>
  <c r="BF196" i="78" s="1"/>
  <c r="BO196" i="78"/>
  <c r="BP196" i="78" s="1"/>
  <c r="BN196" i="78"/>
  <c r="X197" i="78"/>
  <c r="CZ198" i="78"/>
  <c r="W197" i="78"/>
  <c r="W198" i="78" s="1"/>
  <c r="CY197" i="78"/>
  <c r="CY198" i="78" s="1"/>
  <c r="AF197" i="78"/>
  <c r="DH198" i="78"/>
  <c r="AG197" i="78"/>
  <c r="AJ197" i="78"/>
  <c r="DL198" i="78"/>
  <c r="DL211" i="78" s="1"/>
  <c r="DR211" i="78"/>
  <c r="AQ202" i="78"/>
  <c r="BN201" i="78"/>
  <c r="BN160" i="46" s="1"/>
  <c r="EF49" i="71" s="1"/>
  <c r="K201" i="78"/>
  <c r="CL202" i="78"/>
  <c r="I255" i="78"/>
  <c r="AC255" i="78"/>
  <c r="S174" i="78"/>
  <c r="S175" i="78" s="1"/>
  <c r="L198" i="78"/>
  <c r="AF198" i="78"/>
  <c r="AJ198" i="78"/>
  <c r="N257" i="78"/>
  <c r="AH257" i="78"/>
  <c r="BE197" i="78"/>
  <c r="BD197" i="78"/>
  <c r="BF197" i="78" s="1"/>
  <c r="BN197" i="78"/>
  <c r="BO197" i="78" s="1"/>
  <c r="CT198" i="78"/>
  <c r="CT211" i="78" s="1"/>
  <c r="T197" i="78"/>
  <c r="T198" i="78" s="1"/>
  <c r="T211" i="78" s="1"/>
  <c r="CV198" i="78"/>
  <c r="CV211" i="78" s="1"/>
  <c r="AC198" i="78"/>
  <c r="AH211" i="78"/>
  <c r="M202" i="78"/>
  <c r="AB202" i="78"/>
  <c r="AW255" i="78"/>
  <c r="AZ201" i="78"/>
  <c r="AZ160" i="46" s="1"/>
  <c r="AY201" i="78"/>
  <c r="AY160" i="46" s="1"/>
  <c r="BA201" i="78"/>
  <c r="F201" i="78"/>
  <c r="F202" i="78" s="1"/>
  <c r="F211" i="78" s="1"/>
  <c r="CH202" i="78"/>
  <c r="CH211" i="78" s="1"/>
  <c r="CH214" i="78" s="1"/>
  <c r="DT202" i="78"/>
  <c r="AR202" i="78" s="1"/>
  <c r="AR201" i="78"/>
  <c r="DS201" i="78"/>
  <c r="DS202" i="78" s="1"/>
  <c r="AQ201" i="78"/>
  <c r="DN209" i="78"/>
  <c r="BN165" i="78"/>
  <c r="N255" i="78"/>
  <c r="AH255" i="78"/>
  <c r="X174" i="78"/>
  <c r="X175" i="78" s="1"/>
  <c r="AH174" i="78"/>
  <c r="AH175" i="78" s="1"/>
  <c r="Q198" i="78"/>
  <c r="U198" i="78"/>
  <c r="U211" i="78" s="1"/>
  <c r="AG198" i="78"/>
  <c r="AG211" i="78" s="1"/>
  <c r="AK198" i="78"/>
  <c r="AO198" i="78"/>
  <c r="AO211" i="78" s="1"/>
  <c r="BJ196" i="78"/>
  <c r="BI196" i="78"/>
  <c r="BK196" i="78" s="1"/>
  <c r="DD198" i="78"/>
  <c r="DD211" i="78" s="1"/>
  <c r="L197" i="78"/>
  <c r="CN198" i="78"/>
  <c r="CN211" i="78" s="1"/>
  <c r="M197" i="78"/>
  <c r="M198" i="78" s="1"/>
  <c r="M211" i="78" s="1"/>
  <c r="P197" i="78"/>
  <c r="P198" i="78" s="1"/>
  <c r="P211" i="78" s="1"/>
  <c r="CR198" i="78"/>
  <c r="CR211" i="78" s="1"/>
  <c r="AR197" i="78"/>
  <c r="DT198" i="78"/>
  <c r="AQ197" i="78"/>
  <c r="DS197" i="78"/>
  <c r="CL211" i="78"/>
  <c r="CU211" i="78"/>
  <c r="S198" i="78"/>
  <c r="CK33" i="71" s="1"/>
  <c r="CK45" i="71" s="1"/>
  <c r="J201" i="78"/>
  <c r="J202" i="78" s="1"/>
  <c r="J211" i="78" s="1"/>
  <c r="Q202" i="78"/>
  <c r="W202" i="78"/>
  <c r="BD201" i="78"/>
  <c r="BD160" i="46" s="1"/>
  <c r="DV49" i="71" s="1"/>
  <c r="G201" i="78"/>
  <c r="G202" i="78" s="1"/>
  <c r="G211" i="78" s="1"/>
  <c r="AM201" i="78"/>
  <c r="DO202" i="78"/>
  <c r="AM202" i="78" s="1"/>
  <c r="DN201" i="78"/>
  <c r="DN202" i="78" s="1"/>
  <c r="DN211" i="78" s="1"/>
  <c r="AL201" i="78"/>
  <c r="AL202" i="78" s="1"/>
  <c r="AL211" i="78" s="1"/>
  <c r="X257" i="78"/>
  <c r="AR257" i="78"/>
  <c r="E197" i="78"/>
  <c r="E198" i="78" s="1"/>
  <c r="E211" i="78" s="1"/>
  <c r="E214" i="78" s="1"/>
  <c r="F212" i="78" s="1"/>
  <c r="F214" i="78" s="1"/>
  <c r="G212" i="78" s="1"/>
  <c r="G214" i="78" s="1"/>
  <c r="H212" i="78" s="1"/>
  <c r="I197" i="78"/>
  <c r="Q197" i="78"/>
  <c r="U197" i="78"/>
  <c r="Y197" i="78"/>
  <c r="Y198" i="78" s="1"/>
  <c r="Y211" i="78" s="1"/>
  <c r="AC197" i="78"/>
  <c r="AK197" i="78"/>
  <c r="AO197" i="78"/>
  <c r="AS197" i="78"/>
  <c r="AS198" i="78" s="1"/>
  <c r="AS211" i="78" s="1"/>
  <c r="AW197" i="78"/>
  <c r="H201" i="78"/>
  <c r="R201" i="78"/>
  <c r="R202" i="78" s="1"/>
  <c r="R211" i="78" s="1"/>
  <c r="AV201" i="78"/>
  <c r="AV202" i="78" s="1"/>
  <c r="DX202" i="78"/>
  <c r="DX211" i="78" s="1"/>
  <c r="CX202" i="78"/>
  <c r="CX211" i="78" s="1"/>
  <c r="DW202" i="78"/>
  <c r="DW211" i="78" s="1"/>
  <c r="G209" i="78"/>
  <c r="H208" i="78"/>
  <c r="H209" i="78" s="1"/>
  <c r="V209" i="78"/>
  <c r="V211" i="78" s="1"/>
  <c r="W207" i="78"/>
  <c r="W209" i="78" s="1"/>
  <c r="Z209" i="78"/>
  <c r="Z211" i="78" s="1"/>
  <c r="AP209" i="78"/>
  <c r="AP211" i="78" s="1"/>
  <c r="BF207" i="78"/>
  <c r="BP207" i="78"/>
  <c r="CI209" i="78"/>
  <c r="CI211" i="78" s="1"/>
  <c r="CI214" i="78" s="1"/>
  <c r="G207" i="78"/>
  <c r="DC209" i="78"/>
  <c r="DS207" i="78"/>
  <c r="DS209" i="78" s="1"/>
  <c r="AR207" i="78"/>
  <c r="CJ208" i="78"/>
  <c r="CZ209" i="78"/>
  <c r="X209" i="78" s="1"/>
  <c r="DE209" i="78"/>
  <c r="AC209" i="78" s="1"/>
  <c r="DM209" i="78"/>
  <c r="DM211" i="78" s="1"/>
  <c r="DR209" i="78"/>
  <c r="AW207" i="78"/>
  <c r="AU209" i="78"/>
  <c r="AU211" i="78" s="1"/>
  <c r="BA208" i="78"/>
  <c r="CJ207" i="78"/>
  <c r="CJ209" i="78" s="1"/>
  <c r="I207" i="78"/>
  <c r="DW209" i="78"/>
  <c r="AU207" i="78"/>
  <c r="CK209" i="78"/>
  <c r="I209" i="78" s="1"/>
  <c r="CZ202" i="78"/>
  <c r="X202" i="78" s="1"/>
  <c r="X201" i="78"/>
  <c r="L209" i="78"/>
  <c r="AA209" i="78"/>
  <c r="AB208" i="78"/>
  <c r="AB209" i="78" s="1"/>
  <c r="AK209" i="78"/>
  <c r="AL207" i="78"/>
  <c r="AL209" i="78" s="1"/>
  <c r="AY208" i="78"/>
  <c r="AY168" i="46" s="1"/>
  <c r="DQ58" i="71" s="1"/>
  <c r="BI208" i="78"/>
  <c r="BI168" i="46" s="1"/>
  <c r="EA58" i="71" s="1"/>
  <c r="DO209" i="78"/>
  <c r="AM209" i="78" s="1"/>
  <c r="AM207" i="78"/>
  <c r="CY207" i="78"/>
  <c r="S257" i="78"/>
  <c r="AM257" i="78"/>
  <c r="H197" i="78"/>
  <c r="H198" i="78" s="1"/>
  <c r="H211" i="78" s="1"/>
  <c r="AB197" i="78"/>
  <c r="AB198" i="78" s="1"/>
  <c r="AV197" i="78"/>
  <c r="AV198" i="78" s="1"/>
  <c r="Q201" i="78"/>
  <c r="AK201" i="78"/>
  <c r="AK202" i="78" s="1"/>
  <c r="CJ201" i="78"/>
  <c r="CJ202" i="78" s="1"/>
  <c r="CJ211" i="78" s="1"/>
  <c r="CJ214" i="78" s="1"/>
  <c r="CK202" i="78"/>
  <c r="I202" i="78" s="1"/>
  <c r="Q209" i="78"/>
  <c r="R207" i="78"/>
  <c r="R209" i="78" s="1"/>
  <c r="AQ208" i="78"/>
  <c r="AQ209" i="78" s="1"/>
  <c r="AY207" i="78"/>
  <c r="AZ207" i="78" s="1"/>
  <c r="AZ208" i="78"/>
  <c r="AZ168" i="46" s="1"/>
  <c r="DR58" i="71" s="1"/>
  <c r="BF208" i="78"/>
  <c r="BI207" i="78"/>
  <c r="BP208" i="78"/>
  <c r="CM209" i="78"/>
  <c r="CM211" i="78" s="1"/>
  <c r="L207" i="78"/>
  <c r="CU209" i="78"/>
  <c r="S209" i="78" s="1"/>
  <c r="S207" i="78"/>
  <c r="CY209" i="78"/>
  <c r="DN207" i="78"/>
  <c r="CN209" i="78"/>
  <c r="CS209" i="78"/>
  <c r="CS211" i="78" s="1"/>
  <c r="CX209" i="78"/>
  <c r="DH209" i="78"/>
  <c r="L268" i="78"/>
  <c r="P268" i="78"/>
  <c r="P49" i="73" s="1"/>
  <c r="T268" i="78"/>
  <c r="X268" i="78"/>
  <c r="X49" i="73" s="1"/>
  <c r="AF268" i="78"/>
  <c r="AJ268" i="78"/>
  <c r="AJ243" i="78"/>
  <c r="AN268" i="78"/>
  <c r="AR268" i="78"/>
  <c r="AR49" i="73" s="1"/>
  <c r="AR243" i="78"/>
  <c r="K232" i="78"/>
  <c r="K231" i="78"/>
  <c r="O232" i="78"/>
  <c r="O244" i="78"/>
  <c r="O231" i="78"/>
  <c r="S244" i="78"/>
  <c r="S231" i="78"/>
  <c r="S232" i="78" s="1"/>
  <c r="W222" i="78"/>
  <c r="AA231" i="78"/>
  <c r="AA244" i="78" s="1"/>
  <c r="AE232" i="78"/>
  <c r="AE223" i="78"/>
  <c r="AE244" i="78"/>
  <c r="AE231" i="78"/>
  <c r="AE229" i="78" s="1"/>
  <c r="AI244" i="78"/>
  <c r="AI231" i="78"/>
  <c r="AI232" i="78" s="1"/>
  <c r="AM231" i="78"/>
  <c r="AM232" i="78" s="1"/>
  <c r="AM244" i="78"/>
  <c r="AU223" i="78"/>
  <c r="AU244" i="78"/>
  <c r="AU231" i="78"/>
  <c r="AE226" i="78"/>
  <c r="E268" i="78"/>
  <c r="I268" i="78"/>
  <c r="Q268" i="78"/>
  <c r="Q49" i="73" s="1"/>
  <c r="U268" i="78"/>
  <c r="Y268" i="78"/>
  <c r="AC268" i="78"/>
  <c r="AC49" i="73" s="1"/>
  <c r="AK268" i="78"/>
  <c r="AO268" i="78"/>
  <c r="AS268" i="78"/>
  <c r="AW268" i="78"/>
  <c r="AW49" i="73" s="1"/>
  <c r="L231" i="78"/>
  <c r="L232" i="78" s="1"/>
  <c r="P231" i="78"/>
  <c r="P232" i="78" s="1"/>
  <c r="T231" i="78"/>
  <c r="T232" i="78" s="1"/>
  <c r="X231" i="78"/>
  <c r="X232" i="78" s="1"/>
  <c r="AF231" i="78"/>
  <c r="AF232" i="78" s="1"/>
  <c r="AJ232" i="78"/>
  <c r="AN231" i="78"/>
  <c r="AN232" i="78"/>
  <c r="AR231" i="78"/>
  <c r="AR232" i="78"/>
  <c r="F268" i="78"/>
  <c r="J268" i="78"/>
  <c r="N268" i="78"/>
  <c r="V268" i="78"/>
  <c r="Z268" i="78"/>
  <c r="AD268" i="78"/>
  <c r="AH268" i="78"/>
  <c r="AH49" i="73" s="1"/>
  <c r="AP268" i="78"/>
  <c r="AT268" i="78"/>
  <c r="E222" i="78"/>
  <c r="I222" i="78"/>
  <c r="Q222" i="78"/>
  <c r="U222" i="78"/>
  <c r="Y222" i="78"/>
  <c r="AC222" i="78"/>
  <c r="AK222" i="78"/>
  <c r="AO222" i="78"/>
  <c r="AS222" i="78"/>
  <c r="AW222" i="78"/>
  <c r="AF223" i="78"/>
  <c r="AJ231" i="78"/>
  <c r="AJ229" i="78" s="1"/>
  <c r="W268" i="78"/>
  <c r="AQ268" i="78"/>
  <c r="G268" i="78"/>
  <c r="K268" i="78"/>
  <c r="K243" i="78"/>
  <c r="O268" i="78"/>
  <c r="O49" i="73" s="1"/>
  <c r="O243" i="78"/>
  <c r="S268" i="78"/>
  <c r="S243" i="78"/>
  <c r="W221" i="78"/>
  <c r="AA268" i="78"/>
  <c r="AA243" i="78"/>
  <c r="AE268" i="78"/>
  <c r="AE243" i="78"/>
  <c r="AI268" i="78"/>
  <c r="AI243" i="78"/>
  <c r="AM268" i="78"/>
  <c r="AM49" i="73" s="1"/>
  <c r="AQ221" i="78"/>
  <c r="AU268" i="78"/>
  <c r="AU243" i="78"/>
  <c r="F222" i="78"/>
  <c r="J222" i="78"/>
  <c r="N222" i="78"/>
  <c r="R222" i="78"/>
  <c r="V222" i="78"/>
  <c r="Z222" i="78"/>
  <c r="AD222" i="78"/>
  <c r="AH222" i="78"/>
  <c r="AL222" i="78"/>
  <c r="AP222" i="78"/>
  <c r="AT222" i="78"/>
  <c r="AR223" i="78"/>
  <c r="AY225" i="78"/>
  <c r="H268" i="78"/>
  <c r="AB268" i="78"/>
  <c r="AV268" i="78"/>
  <c r="G231" i="78"/>
  <c r="G244" i="78" s="1"/>
  <c r="R268" i="78"/>
  <c r="R49" i="73" s="1"/>
  <c r="AL268" i="78"/>
  <c r="M268" i="78"/>
  <c r="AG268" i="78"/>
  <c r="BQ267" i="78"/>
  <c r="BQ52" i="73" s="1"/>
  <c r="BM267" i="78"/>
  <c r="BN267" i="78" s="1"/>
  <c r="BO267" i="78" s="1"/>
  <c r="BP267" i="78" s="1"/>
  <c r="BB271" i="78"/>
  <c r="AR23" i="79"/>
  <c r="AR20" i="46"/>
  <c r="AN23" i="79"/>
  <c r="AN20" i="46"/>
  <c r="AP60" i="79"/>
  <c r="AP59" i="79"/>
  <c r="AP32" i="79"/>
  <c r="AP35" i="79" s="1"/>
  <c r="O28" i="79"/>
  <c r="O24" i="79"/>
  <c r="AB9" i="79"/>
  <c r="AB93" i="79" s="1"/>
  <c r="AB94" i="79" s="1"/>
  <c r="BD94" i="79"/>
  <c r="AY93" i="79"/>
  <c r="AY9" i="79" s="1"/>
  <c r="X10" i="79"/>
  <c r="AC10" i="79"/>
  <c r="H12" i="79"/>
  <c r="BA120" i="79"/>
  <c r="I15" i="79"/>
  <c r="I17" i="79" s="1"/>
  <c r="N15" i="79"/>
  <c r="N17" i="79" s="1"/>
  <c r="X15" i="79"/>
  <c r="X17" i="79" s="1"/>
  <c r="AC15" i="79"/>
  <c r="AC17" i="79" s="1"/>
  <c r="AS23" i="79"/>
  <c r="K145" i="79"/>
  <c r="K20" i="79"/>
  <c r="M20" i="79" s="1"/>
  <c r="AX20" i="79"/>
  <c r="L211" i="79"/>
  <c r="H211" i="79"/>
  <c r="K211" i="79"/>
  <c r="J211" i="79"/>
  <c r="BQ57" i="79"/>
  <c r="BP57" i="79" s="1"/>
  <c r="BK57" i="79"/>
  <c r="H97" i="79"/>
  <c r="H83" i="79"/>
  <c r="AC97" i="79"/>
  <c r="AH98" i="79"/>
  <c r="Y10" i="79"/>
  <c r="G115" i="79"/>
  <c r="G117" i="79" s="1"/>
  <c r="G15" i="79"/>
  <c r="G17" i="79" s="1"/>
  <c r="L118" i="79"/>
  <c r="L56" i="79" s="1"/>
  <c r="S115" i="79"/>
  <c r="S15" i="79"/>
  <c r="Y118" i="79"/>
  <c r="Y56" i="79" s="1"/>
  <c r="AD118" i="79"/>
  <c r="AD56" i="79" s="1"/>
  <c r="AI15" i="79"/>
  <c r="AI17" i="79" s="1"/>
  <c r="AI115" i="79"/>
  <c r="AI117" i="79" s="1"/>
  <c r="AN115" i="79"/>
  <c r="AN117" i="79" s="1"/>
  <c r="AQ12" i="79"/>
  <c r="AT118" i="79"/>
  <c r="AT56" i="79" s="1"/>
  <c r="AL12" i="79"/>
  <c r="E24" i="79"/>
  <c r="T15" i="79"/>
  <c r="T17" i="79" s="1"/>
  <c r="Y15" i="79"/>
  <c r="Y17" i="79" s="1"/>
  <c r="AD15" i="79"/>
  <c r="AD17" i="79" s="1"/>
  <c r="AJ15" i="79"/>
  <c r="AJ17" i="79" s="1"/>
  <c r="AO15" i="79"/>
  <c r="AO17" i="79" s="1"/>
  <c r="AT15" i="79"/>
  <c r="AT17" i="79" s="1"/>
  <c r="F145" i="79"/>
  <c r="F20" i="79"/>
  <c r="F21" i="79" s="1"/>
  <c r="F23" i="79" s="1"/>
  <c r="AH145" i="79"/>
  <c r="AH146" i="79" s="1"/>
  <c r="AG146" i="79"/>
  <c r="AT21" i="79"/>
  <c r="AY20" i="79"/>
  <c r="BD20" i="79" s="1"/>
  <c r="BI20" i="79" s="1"/>
  <c r="BN20" i="79" s="1"/>
  <c r="AB21" i="79"/>
  <c r="AG21" i="79"/>
  <c r="AO21" i="79"/>
  <c r="P211" i="79"/>
  <c r="M211" i="79"/>
  <c r="Q211" i="79"/>
  <c r="O211" i="79"/>
  <c r="AX59" i="79"/>
  <c r="M83" i="79"/>
  <c r="M97" i="79"/>
  <c r="AB97" i="79"/>
  <c r="AB83" i="79"/>
  <c r="AG83" i="79"/>
  <c r="AG97" i="79"/>
  <c r="AV83" i="79"/>
  <c r="AS97" i="79"/>
  <c r="AV81" i="79"/>
  <c r="AM10" i="79"/>
  <c r="AL9" i="79"/>
  <c r="AL93" i="79" s="1"/>
  <c r="AM93" i="79"/>
  <c r="AQ9" i="79"/>
  <c r="AQ93" i="79" s="1"/>
  <c r="AQ94" i="79" s="1"/>
  <c r="AV9" i="79"/>
  <c r="AF10" i="79"/>
  <c r="AK10" i="79"/>
  <c r="T118" i="79"/>
  <c r="T56" i="79" s="1"/>
  <c r="AE115" i="79"/>
  <c r="AE117" i="79" s="1"/>
  <c r="AE118" i="79" s="1"/>
  <c r="AE56" i="79" s="1"/>
  <c r="AE15" i="79"/>
  <c r="AE17" i="79" s="1"/>
  <c r="AJ118" i="79"/>
  <c r="AJ56" i="79" s="1"/>
  <c r="AO118" i="79"/>
  <c r="AO56" i="79" s="1"/>
  <c r="AU15" i="79"/>
  <c r="AU17" i="79" s="1"/>
  <c r="AU115" i="79"/>
  <c r="AU117" i="79" s="1"/>
  <c r="R12" i="79"/>
  <c r="W121" i="79"/>
  <c r="W57" i="79" s="1"/>
  <c r="AG12" i="79"/>
  <c r="AV12" i="79"/>
  <c r="L15" i="79"/>
  <c r="L17" i="79" s="1"/>
  <c r="U24" i="79"/>
  <c r="Z15" i="79"/>
  <c r="Z17" i="79" s="1"/>
  <c r="AF15" i="79"/>
  <c r="AF17" i="79" s="1"/>
  <c r="AK15" i="79"/>
  <c r="AK17" i="79" s="1"/>
  <c r="S17" i="79"/>
  <c r="G19" i="79"/>
  <c r="AL20" i="79"/>
  <c r="M21" i="79"/>
  <c r="J24" i="79"/>
  <c r="AH24" i="79"/>
  <c r="AP24" i="79"/>
  <c r="AU211" i="79"/>
  <c r="AT211" i="79"/>
  <c r="AV26" i="79"/>
  <c r="AV26" i="51" s="1"/>
  <c r="AW26" i="51" s="1"/>
  <c r="J28" i="79"/>
  <c r="AH28" i="79"/>
  <c r="BD80" i="79"/>
  <c r="AY81" i="79"/>
  <c r="BP59" i="79"/>
  <c r="BK59" i="79"/>
  <c r="R97" i="79"/>
  <c r="R98" i="79" s="1"/>
  <c r="AL97" i="79"/>
  <c r="AL98" i="79" s="1"/>
  <c r="G93" i="46"/>
  <c r="K93" i="46"/>
  <c r="O93" i="46"/>
  <c r="CG40" i="71" s="1"/>
  <c r="S93" i="46"/>
  <c r="CK40" i="71" s="1"/>
  <c r="U93" i="46"/>
  <c r="CM40" i="71" s="1"/>
  <c r="CM41" i="71" s="1"/>
  <c r="Y93" i="46"/>
  <c r="CQ40" i="71" s="1"/>
  <c r="CQ41" i="71" s="1"/>
  <c r="AK93" i="46"/>
  <c r="DC40" i="71" s="1"/>
  <c r="DC41" i="71" s="1"/>
  <c r="W9" i="79"/>
  <c r="W93" i="79" s="1"/>
  <c r="W94" i="79" s="1"/>
  <c r="AA93" i="79"/>
  <c r="AA10" i="79"/>
  <c r="AE10" i="79"/>
  <c r="AE93" i="79"/>
  <c r="AE94" i="79" s="1"/>
  <c r="AI93" i="79"/>
  <c r="AI94" i="79" s="1"/>
  <c r="AI10" i="79"/>
  <c r="BC94" i="79"/>
  <c r="M10" i="79"/>
  <c r="AB10" i="79"/>
  <c r="AG10" i="79"/>
  <c r="AL10" i="79"/>
  <c r="J118" i="79"/>
  <c r="J56" i="79" s="1"/>
  <c r="P118" i="79"/>
  <c r="P56" i="79" s="1"/>
  <c r="P35" i="73" s="1"/>
  <c r="AA15" i="79"/>
  <c r="AA17" i="79" s="1"/>
  <c r="AA115" i="79"/>
  <c r="AA117" i="79" s="1"/>
  <c r="AA118" i="79" s="1"/>
  <c r="AA56" i="79" s="1"/>
  <c r="AK118" i="79"/>
  <c r="AK56" i="79" s="1"/>
  <c r="AP118" i="79"/>
  <c r="AP56" i="79" s="1"/>
  <c r="M12" i="79"/>
  <c r="AB12" i="79"/>
  <c r="Q23" i="79"/>
  <c r="V15" i="79"/>
  <c r="V17" i="79" s="1"/>
  <c r="AW23" i="79"/>
  <c r="R20" i="79"/>
  <c r="AV20" i="79"/>
  <c r="BA20" i="79" s="1"/>
  <c r="BF20" i="79" s="1"/>
  <c r="BK20" i="79" s="1"/>
  <c r="BP20" i="79" s="1"/>
  <c r="P21" i="79"/>
  <c r="P23" i="79" s="1"/>
  <c r="X21" i="79"/>
  <c r="AN211" i="79"/>
  <c r="AQ211" i="79"/>
  <c r="AP211" i="79"/>
  <c r="AO211" i="79"/>
  <c r="AQ26" i="79"/>
  <c r="AS211" i="79" s="1"/>
  <c r="E28" i="79"/>
  <c r="U28" i="79"/>
  <c r="BF84" i="79"/>
  <c r="AB81" i="79"/>
  <c r="AB50" i="79" s="1"/>
  <c r="AG81" i="79"/>
  <c r="AG50" i="79" s="1"/>
  <c r="BK52" i="79"/>
  <c r="BK53" i="79"/>
  <c r="BO56" i="79"/>
  <c r="BF57" i="79"/>
  <c r="BF59" i="79"/>
  <c r="E97" i="79"/>
  <c r="E83" i="79"/>
  <c r="I83" i="79"/>
  <c r="I97" i="79"/>
  <c r="Q83" i="79"/>
  <c r="Q97" i="79"/>
  <c r="U97" i="79"/>
  <c r="U83" i="79"/>
  <c r="Z97" i="79"/>
  <c r="AD97" i="79"/>
  <c r="AD98" i="79" s="1"/>
  <c r="AP97" i="79"/>
  <c r="AX80" i="79"/>
  <c r="AX93" i="79" s="1"/>
  <c r="AS81" i="79"/>
  <c r="AS50" i="79" s="1"/>
  <c r="K81" i="79"/>
  <c r="K50" i="79" s="1"/>
  <c r="J83" i="79"/>
  <c r="Z83" i="79"/>
  <c r="AH83" i="79"/>
  <c r="AP83" i="79"/>
  <c r="G94" i="79"/>
  <c r="K94" i="79"/>
  <c r="K97" i="79"/>
  <c r="K98" i="79" s="1"/>
  <c r="P94" i="79"/>
  <c r="AL109" i="79"/>
  <c r="AL110" i="79" s="1"/>
  <c r="AM102" i="79"/>
  <c r="AB112" i="79"/>
  <c r="U118" i="79"/>
  <c r="U56" i="79" s="1"/>
  <c r="AA121" i="79"/>
  <c r="AA57" i="79" s="1"/>
  <c r="AB228" i="79"/>
  <c r="AG228" i="79"/>
  <c r="AG135" i="79"/>
  <c r="I135" i="79"/>
  <c r="AV228" i="79"/>
  <c r="BC227" i="79"/>
  <c r="BC171" i="79"/>
  <c r="J98" i="79"/>
  <c r="N98" i="79"/>
  <c r="V97" i="79"/>
  <c r="V98" i="79" s="1"/>
  <c r="AE97" i="79"/>
  <c r="AI97" i="79"/>
  <c r="AR97" i="79"/>
  <c r="AR83" i="79"/>
  <c r="AP81" i="79"/>
  <c r="AP50" i="79" s="1"/>
  <c r="L81" i="79"/>
  <c r="L50" i="79" s="1"/>
  <c r="AL91" i="79"/>
  <c r="AQ91" i="79"/>
  <c r="L94" i="79"/>
  <c r="AU93" i="79"/>
  <c r="AU94" i="79" s="1"/>
  <c r="AZ94" i="79" s="1"/>
  <c r="G97" i="79"/>
  <c r="H228" i="79"/>
  <c r="M228" i="79"/>
  <c r="AY227" i="79"/>
  <c r="AY171" i="79"/>
  <c r="R21" i="79"/>
  <c r="AL21" i="79"/>
  <c r="T211" i="79"/>
  <c r="R211" i="79"/>
  <c r="U211" i="79"/>
  <c r="AB211" i="79"/>
  <c r="AA211" i="79"/>
  <c r="Z211" i="79"/>
  <c r="Y211" i="79"/>
  <c r="BE52" i="79"/>
  <c r="BI52" i="79"/>
  <c r="BI84" i="79" s="1"/>
  <c r="BE53" i="79"/>
  <c r="BI53" i="79"/>
  <c r="W73" i="79"/>
  <c r="AQ73" i="79"/>
  <c r="O98" i="79"/>
  <c r="S97" i="79"/>
  <c r="S98" i="79" s="1"/>
  <c r="X97" i="79"/>
  <c r="X83" i="79"/>
  <c r="AF97" i="79"/>
  <c r="AF83" i="79"/>
  <c r="AJ97" i="79"/>
  <c r="AJ98" i="79" s="1"/>
  <c r="AJ83" i="79"/>
  <c r="AN97" i="79"/>
  <c r="AN98" i="79" s="1"/>
  <c r="AN83" i="79"/>
  <c r="AS83" i="79"/>
  <c r="AW83" i="79"/>
  <c r="AW97" i="79"/>
  <c r="R80" i="79"/>
  <c r="R81" i="79" s="1"/>
  <c r="R50" i="79" s="1"/>
  <c r="R34" i="73" s="1"/>
  <c r="AL80" i="79"/>
  <c r="AL81" i="79" s="1"/>
  <c r="AL50" i="79" s="1"/>
  <c r="V81" i="79"/>
  <c r="V50" i="79" s="1"/>
  <c r="Z81" i="79"/>
  <c r="Z50" i="79" s="1"/>
  <c r="AD81" i="79"/>
  <c r="AD50" i="79" s="1"/>
  <c r="AH81" i="79"/>
  <c r="AH50" i="79" s="1"/>
  <c r="AH34" i="73" s="1"/>
  <c r="AZ80" i="79"/>
  <c r="AU81" i="79"/>
  <c r="AU50" i="79" s="1"/>
  <c r="F83" i="79"/>
  <c r="N83" i="79"/>
  <c r="V83" i="79"/>
  <c r="AD83" i="79"/>
  <c r="V112" i="79"/>
  <c r="AD112" i="79"/>
  <c r="AE112" i="79"/>
  <c r="AP112" i="79"/>
  <c r="K118" i="79"/>
  <c r="K56" i="79" s="1"/>
  <c r="Q118" i="79"/>
  <c r="Q56" i="79" s="1"/>
  <c r="Q35" i="73" s="1"/>
  <c r="M121" i="79"/>
  <c r="M57" i="79" s="1"/>
  <c r="W12" i="79"/>
  <c r="AG121" i="79"/>
  <c r="AG57" i="79" s="1"/>
  <c r="K15" i="79"/>
  <c r="K17" i="79" s="1"/>
  <c r="AM15" i="79"/>
  <c r="AM17" i="79" s="1"/>
  <c r="N145" i="79"/>
  <c r="N146" i="79" s="1"/>
  <c r="AZ20" i="79"/>
  <c r="BE20" i="79" s="1"/>
  <c r="BJ20" i="79" s="1"/>
  <c r="BO20" i="79" s="1"/>
  <c r="W21" i="79"/>
  <c r="AQ21" i="79"/>
  <c r="W211" i="79"/>
  <c r="V211" i="79"/>
  <c r="AF211" i="79"/>
  <c r="AG211" i="79"/>
  <c r="AE211" i="79"/>
  <c r="AD211" i="79"/>
  <c r="AJ211" i="79"/>
  <c r="AL211" i="79"/>
  <c r="AK211" i="79"/>
  <c r="AI211" i="79"/>
  <c r="AY57" i="79"/>
  <c r="BD56" i="79"/>
  <c r="BI56" i="79"/>
  <c r="L97" i="79"/>
  <c r="L98" i="79" s="1"/>
  <c r="L83" i="79"/>
  <c r="P97" i="79"/>
  <c r="P98" i="79" s="1"/>
  <c r="P83" i="79"/>
  <c r="T97" i="79"/>
  <c r="T98" i="79" s="1"/>
  <c r="T83" i="79"/>
  <c r="Y83" i="79"/>
  <c r="Y97" i="79"/>
  <c r="AC83" i="79"/>
  <c r="AK97" i="79"/>
  <c r="AK98" i="79" s="1"/>
  <c r="AK83" i="79"/>
  <c r="AO83" i="79"/>
  <c r="AO97" i="79"/>
  <c r="AT97" i="79"/>
  <c r="J81" i="79"/>
  <c r="J50" i="79" s="1"/>
  <c r="N81" i="79"/>
  <c r="N50" i="79" s="1"/>
  <c r="O81" i="79"/>
  <c r="O50" i="79" s="1"/>
  <c r="O34" i="73" s="1"/>
  <c r="AE81" i="79"/>
  <c r="AE50" i="79" s="1"/>
  <c r="O94" i="79"/>
  <c r="T94" i="79"/>
  <c r="AQ109" i="79"/>
  <c r="AQ110" i="79" s="1"/>
  <c r="AR102" i="79"/>
  <c r="AV109" i="79"/>
  <c r="O118" i="79"/>
  <c r="O56" i="79" s="1"/>
  <c r="O35" i="73" s="1"/>
  <c r="AI112" i="79"/>
  <c r="AU121" i="79"/>
  <c r="AU57" i="79" s="1"/>
  <c r="F228" i="79"/>
  <c r="AQ133" i="79"/>
  <c r="Q228" i="79"/>
  <c r="S228" i="79" s="1"/>
  <c r="AE136" i="79"/>
  <c r="AZ136" i="79"/>
  <c r="AY129" i="79"/>
  <c r="AY125" i="79" s="1"/>
  <c r="BA227" i="79"/>
  <c r="BA171" i="79"/>
  <c r="X145" i="79"/>
  <c r="X146" i="79" s="1"/>
  <c r="Q146" i="79"/>
  <c r="H125" i="79"/>
  <c r="H127" i="79" s="1"/>
  <c r="AB125" i="79"/>
  <c r="AB127" i="79" s="1"/>
  <c r="AH127" i="79"/>
  <c r="AM135" i="79" s="1"/>
  <c r="M136" i="79"/>
  <c r="L129" i="79"/>
  <c r="T136" i="79"/>
  <c r="T146" i="79"/>
  <c r="AF136" i="79"/>
  <c r="AF146" i="79"/>
  <c r="AN136" i="79"/>
  <c r="AO129" i="79"/>
  <c r="AN146" i="79"/>
  <c r="R228" i="79"/>
  <c r="Y228" i="79"/>
  <c r="Y135" i="79"/>
  <c r="AO228" i="79"/>
  <c r="AX227" i="79"/>
  <c r="AX171" i="79"/>
  <c r="BH227" i="79"/>
  <c r="BH171" i="79"/>
  <c r="BO139" i="79"/>
  <c r="BN139" i="79"/>
  <c r="BP139" i="79"/>
  <c r="BK227" i="79"/>
  <c r="BK171" i="79"/>
  <c r="E94" i="79"/>
  <c r="I94" i="79"/>
  <c r="Q94" i="79"/>
  <c r="U94" i="79"/>
  <c r="AW94" i="79"/>
  <c r="Y112" i="79"/>
  <c r="AS112" i="79"/>
  <c r="K121" i="79"/>
  <c r="K57" i="79" s="1"/>
  <c r="O121" i="79"/>
  <c r="O57" i="79" s="1"/>
  <c r="S121" i="79"/>
  <c r="S57" i="79" s="1"/>
  <c r="AF121" i="79"/>
  <c r="AF57" i="79" s="1"/>
  <c r="Q125" i="79"/>
  <c r="Q127" i="79" s="1"/>
  <c r="R135" i="79" s="1"/>
  <c r="AD125" i="79"/>
  <c r="AD127" i="79" s="1"/>
  <c r="AE135" i="79" s="1"/>
  <c r="N127" i="79"/>
  <c r="G129" i="79"/>
  <c r="H136" i="79"/>
  <c r="U136" i="79"/>
  <c r="U125" i="79"/>
  <c r="U127" i="79" s="1"/>
  <c r="AD228" i="79"/>
  <c r="AH228" i="79" s="1"/>
  <c r="AD135" i="79"/>
  <c r="AT228" i="79"/>
  <c r="AK132" i="79"/>
  <c r="AK133" i="79" s="1"/>
  <c r="E228" i="79"/>
  <c r="I228" i="79" s="1"/>
  <c r="U228" i="79"/>
  <c r="X228" i="79" s="1"/>
  <c r="U135" i="79"/>
  <c r="AJ133" i="79"/>
  <c r="AI135" i="79"/>
  <c r="W136" i="79"/>
  <c r="AI136" i="79"/>
  <c r="BD227" i="79"/>
  <c r="BD171" i="79"/>
  <c r="BI227" i="79"/>
  <c r="BI171" i="79"/>
  <c r="V146" i="79"/>
  <c r="AD146" i="79"/>
  <c r="AI146" i="79"/>
  <c r="AR145" i="79"/>
  <c r="AR146" i="79" s="1"/>
  <c r="T112" i="79"/>
  <c r="AN112" i="79"/>
  <c r="W125" i="79"/>
  <c r="W127" i="79" s="1"/>
  <c r="W135" i="79" s="1"/>
  <c r="AQ125" i="79"/>
  <c r="AQ127" i="79" s="1"/>
  <c r="P129" i="79"/>
  <c r="Y136" i="79"/>
  <c r="Z129" i="79"/>
  <c r="AK129" i="79"/>
  <c r="AJ125" i="79"/>
  <c r="AJ127" i="79" s="1"/>
  <c r="AJ136" i="79"/>
  <c r="AJ146" i="79"/>
  <c r="AS136" i="79"/>
  <c r="AT129" i="79"/>
  <c r="J228" i="79"/>
  <c r="N228" i="79" s="1"/>
  <c r="Z228" i="79"/>
  <c r="AP133" i="79"/>
  <c r="AU133" i="79"/>
  <c r="N135" i="79"/>
  <c r="AH135" i="79"/>
  <c r="AS228" i="79"/>
  <c r="AS135" i="79"/>
  <c r="T135" i="79"/>
  <c r="R136" i="79"/>
  <c r="AD136" i="79"/>
  <c r="AZ227" i="79"/>
  <c r="AZ171" i="79"/>
  <c r="BE227" i="79"/>
  <c r="BE171" i="79"/>
  <c r="BQ141" i="79"/>
  <c r="AC145" i="79"/>
  <c r="AC146" i="79" s="1"/>
  <c r="AE146" i="79"/>
  <c r="N227" i="79"/>
  <c r="AH227" i="79"/>
  <c r="X229" i="79"/>
  <c r="AR229" i="79"/>
  <c r="BK167" i="79"/>
  <c r="CJ168" i="79"/>
  <c r="CJ169" i="79" s="1"/>
  <c r="CJ183" i="79" s="1"/>
  <c r="CJ186" i="79" s="1"/>
  <c r="AC169" i="79"/>
  <c r="CU33" i="71" s="1"/>
  <c r="CU45" i="71" s="1"/>
  <c r="AL168" i="79"/>
  <c r="AL169" i="79" s="1"/>
  <c r="DM169" i="79"/>
  <c r="DM183" i="79" s="1"/>
  <c r="DQ169" i="79"/>
  <c r="DQ183" i="79" s="1"/>
  <c r="AO168" i="79"/>
  <c r="CQ183" i="79"/>
  <c r="AH169" i="79"/>
  <c r="CT174" i="79"/>
  <c r="CO174" i="79"/>
  <c r="CW174" i="79"/>
  <c r="AT181" i="79"/>
  <c r="I169" i="79"/>
  <c r="CA33" i="71" s="1"/>
  <c r="R168" i="79"/>
  <c r="R169" i="79" s="1"/>
  <c r="CS169" i="79"/>
  <c r="CS183" i="79" s="1"/>
  <c r="AH183" i="79"/>
  <c r="X169" i="79"/>
  <c r="BF171" i="79"/>
  <c r="X172" i="79"/>
  <c r="W172" i="79"/>
  <c r="W174" i="79" s="1"/>
  <c r="W183" i="79" s="1"/>
  <c r="CZ174" i="79"/>
  <c r="X174" i="79" s="1"/>
  <c r="CY172" i="79"/>
  <c r="CY174" i="79" s="1"/>
  <c r="CY183" i="79" s="1"/>
  <c r="BO138" i="79"/>
  <c r="X227" i="79"/>
  <c r="AR227" i="79"/>
  <c r="S145" i="79"/>
  <c r="S146" i="79" s="1"/>
  <c r="AM145" i="79"/>
  <c r="AM146" i="79" s="1"/>
  <c r="H169" i="79"/>
  <c r="H183" i="79" s="1"/>
  <c r="L169" i="79"/>
  <c r="P169" i="79"/>
  <c r="T169" i="79"/>
  <c r="AG169" i="79"/>
  <c r="AO169" i="79"/>
  <c r="N229" i="79"/>
  <c r="AH229" i="79"/>
  <c r="U163" i="79"/>
  <c r="U169" i="79" s="1"/>
  <c r="CW169" i="79"/>
  <c r="CW183" i="79" s="1"/>
  <c r="DN169" i="79"/>
  <c r="BA167" i="79"/>
  <c r="I168" i="79"/>
  <c r="T168" i="79"/>
  <c r="Y168" i="79"/>
  <c r="Y169" i="79" s="1"/>
  <c r="BF167" i="79"/>
  <c r="BE168" i="79"/>
  <c r="BF168" i="79" s="1"/>
  <c r="BO168" i="79"/>
  <c r="BP168" i="79" s="1"/>
  <c r="N169" i="79"/>
  <c r="CF33" i="71" s="1"/>
  <c r="BJ171" i="79"/>
  <c r="V135" i="79"/>
  <c r="BP138" i="79"/>
  <c r="I227" i="79"/>
  <c r="AC227" i="79"/>
  <c r="AW227" i="79"/>
  <c r="M169" i="79"/>
  <c r="Q169" i="79"/>
  <c r="CT169" i="79"/>
  <c r="DI169" i="79"/>
  <c r="DI183" i="79" s="1"/>
  <c r="E168" i="79"/>
  <c r="E169" i="79" s="1"/>
  <c r="E183" i="79" s="1"/>
  <c r="E186" i="79" s="1"/>
  <c r="F184" i="79" s="1"/>
  <c r="AK168" i="79"/>
  <c r="AK169" i="79" s="1"/>
  <c r="BA168" i="79"/>
  <c r="BE167" i="79"/>
  <c r="BK168" i="79"/>
  <c r="BO167" i="79"/>
  <c r="BP167" i="79" s="1"/>
  <c r="DD168" i="79"/>
  <c r="DD169" i="79" s="1"/>
  <c r="DD183" i="79" s="1"/>
  <c r="DU169" i="79"/>
  <c r="DU183" i="79" s="1"/>
  <c r="AS168" i="79"/>
  <c r="AS169" i="79" s="1"/>
  <c r="DY169" i="79"/>
  <c r="AW168" i="79"/>
  <c r="DT169" i="79"/>
  <c r="AM169" i="79"/>
  <c r="F174" i="79"/>
  <c r="R174" i="79"/>
  <c r="V174" i="79"/>
  <c r="AD174" i="79"/>
  <c r="AL174" i="79"/>
  <c r="AY172" i="79"/>
  <c r="AY159" i="46" s="1"/>
  <c r="DQ49" i="71" s="1"/>
  <c r="BF172" i="79"/>
  <c r="BK172" i="79"/>
  <c r="BP172" i="79"/>
  <c r="BP159" i="46" s="1"/>
  <c r="DV174" i="79"/>
  <c r="DV183" i="79" s="1"/>
  <c r="AT173" i="79"/>
  <c r="AT174" i="79" s="1"/>
  <c r="AD181" i="79"/>
  <c r="DN181" i="79"/>
  <c r="CQ174" i="79"/>
  <c r="DC174" i="79"/>
  <c r="DC183" i="79" s="1"/>
  <c r="DO174" i="79"/>
  <c r="AM174" i="79" s="1"/>
  <c r="AO179" i="79"/>
  <c r="AO181" i="79" s="1"/>
  <c r="AT179" i="79"/>
  <c r="CO179" i="79"/>
  <c r="CO181" i="79" s="1"/>
  <c r="DF181" i="79"/>
  <c r="DF183" i="79" s="1"/>
  <c r="I194" i="79"/>
  <c r="H193" i="79"/>
  <c r="Q215" i="79"/>
  <c r="Q194" i="79"/>
  <c r="U194" i="79"/>
  <c r="AW194" i="79"/>
  <c r="AV193" i="79"/>
  <c r="W203" i="79"/>
  <c r="W198" i="79" s="1"/>
  <c r="X198" i="79"/>
  <c r="X201" i="79"/>
  <c r="E194" i="79"/>
  <c r="AS194" i="79"/>
  <c r="P201" i="79"/>
  <c r="P198" i="79"/>
  <c r="AL240" i="79"/>
  <c r="O172" i="79"/>
  <c r="O174" i="79" s="1"/>
  <c r="O183" i="79" s="1"/>
  <c r="AL173" i="79"/>
  <c r="CK174" i="79"/>
  <c r="I174" i="79" s="1"/>
  <c r="DE174" i="79"/>
  <c r="AC174" i="79" s="1"/>
  <c r="DY174" i="79"/>
  <c r="AW174" i="79" s="1"/>
  <c r="CU181" i="79"/>
  <c r="S181" i="79" s="1"/>
  <c r="CT180" i="79"/>
  <c r="CT181" i="79" s="1"/>
  <c r="CP181" i="79"/>
  <c r="N181" i="79" s="1"/>
  <c r="AH179" i="79"/>
  <c r="AW179" i="79"/>
  <c r="AC194" i="79"/>
  <c r="AB193" i="79"/>
  <c r="AK194" i="79"/>
  <c r="AO194" i="79"/>
  <c r="S229" i="79"/>
  <c r="AM229" i="79"/>
  <c r="F168" i="79"/>
  <c r="F169" i="79" s="1"/>
  <c r="F183" i="79" s="1"/>
  <c r="J168" i="79"/>
  <c r="J169" i="79" s="1"/>
  <c r="N168" i="79"/>
  <c r="V168" i="79"/>
  <c r="V169" i="79" s="1"/>
  <c r="Z168" i="79"/>
  <c r="Z169" i="79" s="1"/>
  <c r="AD168" i="79"/>
  <c r="AD169" i="79" s="1"/>
  <c r="AH168" i="79"/>
  <c r="AP168" i="79"/>
  <c r="AP169" i="79" s="1"/>
  <c r="AT168" i="79"/>
  <c r="AT169" i="79" s="1"/>
  <c r="AM173" i="79"/>
  <c r="AI179" i="79"/>
  <c r="AI181" i="79" s="1"/>
  <c r="AI183" i="79" s="1"/>
  <c r="AN179" i="79"/>
  <c r="AN181" i="79" s="1"/>
  <c r="AN183" i="79" s="1"/>
  <c r="AS179" i="79"/>
  <c r="AS181" i="79" s="1"/>
  <c r="AM179" i="79"/>
  <c r="DO181" i="79"/>
  <c r="AM181" i="79" s="1"/>
  <c r="DN179" i="79"/>
  <c r="S180" i="79"/>
  <c r="Y194" i="79"/>
  <c r="AF201" i="79"/>
  <c r="AF198" i="79"/>
  <c r="AN201" i="79"/>
  <c r="AN198" i="79"/>
  <c r="M240" i="79"/>
  <c r="P215" i="79"/>
  <c r="X215" i="79"/>
  <c r="AF215" i="79"/>
  <c r="AJ215" i="79"/>
  <c r="AN215" i="79"/>
  <c r="S216" i="79"/>
  <c r="W194" i="79"/>
  <c r="AA216" i="79"/>
  <c r="I240" i="79"/>
  <c r="H200" i="79"/>
  <c r="I203" i="79"/>
  <c r="I215" i="79" s="1"/>
  <c r="Q240" i="79"/>
  <c r="Q38" i="73" s="1"/>
  <c r="Q203" i="79"/>
  <c r="Q198" i="79" s="1"/>
  <c r="U240" i="79"/>
  <c r="U203" i="79"/>
  <c r="U198" i="79" s="1"/>
  <c r="Y240" i="79"/>
  <c r="AD240" i="79"/>
  <c r="AH240" i="79"/>
  <c r="AH38" i="73" s="1"/>
  <c r="AP240" i="79"/>
  <c r="AT240" i="79"/>
  <c r="AM204" i="79"/>
  <c r="P216" i="79"/>
  <c r="P204" i="79"/>
  <c r="X216" i="79"/>
  <c r="X204" i="79"/>
  <c r="AF204" i="79"/>
  <c r="AF216" i="79"/>
  <c r="AJ216" i="79"/>
  <c r="AJ204" i="79"/>
  <c r="AN216" i="79"/>
  <c r="AN204" i="79"/>
  <c r="AR216" i="79"/>
  <c r="E240" i="79"/>
  <c r="E203" i="79"/>
  <c r="E198" i="79" s="1"/>
  <c r="J240" i="79"/>
  <c r="N240" i="79"/>
  <c r="R240" i="79"/>
  <c r="R38" i="73" s="1"/>
  <c r="V240" i="79"/>
  <c r="Z240" i="79"/>
  <c r="AE240" i="79"/>
  <c r="AI240" i="79"/>
  <c r="AM240" i="79"/>
  <c r="AM38" i="73" s="1"/>
  <c r="AM201" i="79"/>
  <c r="AQ240" i="79"/>
  <c r="AU240" i="79"/>
  <c r="K203" i="79"/>
  <c r="S203" i="79"/>
  <c r="AA203" i="79"/>
  <c r="AI203" i="79"/>
  <c r="AI201" i="79" s="1"/>
  <c r="P195" i="79"/>
  <c r="X195" i="79"/>
  <c r="AF195" i="79"/>
  <c r="AJ195" i="79"/>
  <c r="AN195" i="79"/>
  <c r="F240" i="79"/>
  <c r="K240" i="79"/>
  <c r="K201" i="79"/>
  <c r="O240" i="79"/>
  <c r="O38" i="73" s="1"/>
  <c r="S240" i="79"/>
  <c r="S201" i="79"/>
  <c r="AA240" i="79"/>
  <c r="AA201" i="79"/>
  <c r="AW240" i="79"/>
  <c r="AW38" i="73" s="1"/>
  <c r="AV200" i="79"/>
  <c r="AW203" i="79"/>
  <c r="AW215" i="79" s="1"/>
  <c r="E201" i="79"/>
  <c r="L203" i="79"/>
  <c r="L204" i="79" s="1"/>
  <c r="T203" i="79"/>
  <c r="AJ203" i="79"/>
  <c r="AR203" i="79"/>
  <c r="K204" i="79"/>
  <c r="S204" i="79"/>
  <c r="G215" i="79"/>
  <c r="K215" i="79"/>
  <c r="S215" i="79"/>
  <c r="W193" i="79"/>
  <c r="W215" i="79" s="1"/>
  <c r="AA215" i="79"/>
  <c r="AM215" i="79"/>
  <c r="AQ193" i="79"/>
  <c r="F194" i="79"/>
  <c r="J194" i="79"/>
  <c r="N194" i="79"/>
  <c r="R194" i="79"/>
  <c r="V194" i="79"/>
  <c r="Z194" i="79"/>
  <c r="Z203" i="79" s="1"/>
  <c r="AD194" i="79"/>
  <c r="AH194" i="79"/>
  <c r="AL194" i="79"/>
  <c r="AP194" i="79"/>
  <c r="AT194" i="79"/>
  <c r="AZ197" i="79"/>
  <c r="G240" i="79"/>
  <c r="G201" i="79"/>
  <c r="AC240" i="79"/>
  <c r="AC38" i="73" s="1"/>
  <c r="AB200" i="79"/>
  <c r="AC203" i="79"/>
  <c r="AG200" i="79"/>
  <c r="AK240" i="79"/>
  <c r="AO240" i="79"/>
  <c r="AO203" i="79"/>
  <c r="AS240" i="79"/>
  <c r="Q201" i="79"/>
  <c r="G203" i="79"/>
  <c r="O203" i="79"/>
  <c r="AE203" i="79"/>
  <c r="AM203" i="79"/>
  <c r="AU203" i="79"/>
  <c r="AU216" i="79" s="1"/>
  <c r="L240" i="79"/>
  <c r="P240" i="79"/>
  <c r="P38" i="73" s="1"/>
  <c r="T240" i="79"/>
  <c r="X240" i="79"/>
  <c r="X38" i="73" s="1"/>
  <c r="AF240" i="79"/>
  <c r="AJ240" i="79"/>
  <c r="AN240" i="79"/>
  <c r="AR240" i="79"/>
  <c r="AR38" i="73" s="1"/>
  <c r="AN231" i="79"/>
  <c r="AO226" i="79" s="1"/>
  <c r="AO231" i="79" s="1"/>
  <c r="AP226" i="79" s="1"/>
  <c r="I231" i="79"/>
  <c r="AV239" i="79"/>
  <c r="AU239" i="79" s="1"/>
  <c r="AT239" i="79" s="1"/>
  <c r="AS239" i="79" s="1"/>
  <c r="BB239" i="79"/>
  <c r="E23" i="80"/>
  <c r="E19" i="46"/>
  <c r="J28" i="80"/>
  <c r="J24" i="80"/>
  <c r="U23" i="80"/>
  <c r="U19" i="46"/>
  <c r="AE23" i="80"/>
  <c r="AE19" i="46"/>
  <c r="AM23" i="80"/>
  <c r="AM19" i="46"/>
  <c r="AW23" i="80"/>
  <c r="AW19" i="46"/>
  <c r="AO796" i="80"/>
  <c r="AO32" i="80"/>
  <c r="AO35" i="80" s="1"/>
  <c r="AG499" i="80"/>
  <c r="BA499" i="80"/>
  <c r="AT23" i="80"/>
  <c r="AT19" i="46"/>
  <c r="K23" i="80"/>
  <c r="K19" i="46"/>
  <c r="AI23" i="80"/>
  <c r="AI19" i="46"/>
  <c r="T24" i="80"/>
  <c r="T28" i="80"/>
  <c r="AR865" i="80"/>
  <c r="AR878" i="80" s="1"/>
  <c r="AR24" i="80"/>
  <c r="AR28" i="80"/>
  <c r="AN400" i="80"/>
  <c r="AX618" i="80"/>
  <c r="G23" i="80"/>
  <c r="G19" i="46"/>
  <c r="Q23" i="80"/>
  <c r="Q19" i="46"/>
  <c r="Z28" i="80"/>
  <c r="Z24" i="80"/>
  <c r="L24" i="80"/>
  <c r="L28" i="80"/>
  <c r="AJ24" i="80"/>
  <c r="AJ28" i="80"/>
  <c r="AO499" i="80"/>
  <c r="AT618" i="80"/>
  <c r="AC23" i="80"/>
  <c r="AC19" i="46"/>
  <c r="AH19" i="46"/>
  <c r="AH23" i="80"/>
  <c r="I23" i="80"/>
  <c r="I19" i="46"/>
  <c r="N865" i="80"/>
  <c r="N878" i="80" s="1"/>
  <c r="N28" i="80"/>
  <c r="N24" i="80"/>
  <c r="AA23" i="80"/>
  <c r="AA19" i="46"/>
  <c r="AK23" i="80"/>
  <c r="AK19" i="46"/>
  <c r="O28" i="80"/>
  <c r="O24" i="80"/>
  <c r="AN24" i="80"/>
  <c r="AN28" i="80"/>
  <c r="BF618" i="80"/>
  <c r="AG9" i="80"/>
  <c r="AG10" i="80" s="1"/>
  <c r="AV9" i="80"/>
  <c r="AV10" i="80" s="1"/>
  <c r="S757" i="80"/>
  <c r="R12" i="80"/>
  <c r="AE761" i="80"/>
  <c r="AS760" i="80"/>
  <c r="H757" i="80"/>
  <c r="H760" i="80" s="1"/>
  <c r="H15" i="80"/>
  <c r="H19" i="80" s="1"/>
  <c r="Y15" i="80"/>
  <c r="Y19" i="80" s="1"/>
  <c r="AD15" i="80"/>
  <c r="AD19" i="80" s="1"/>
  <c r="AQ15" i="80"/>
  <c r="AQ19" i="80" s="1"/>
  <c r="AU15" i="80"/>
  <c r="AU19" i="80" s="1"/>
  <c r="AO24" i="80"/>
  <c r="F32" i="80"/>
  <c r="F35" i="80" s="1"/>
  <c r="AF501" i="80"/>
  <c r="AF534" i="80"/>
  <c r="AF461" i="80"/>
  <c r="AF481" i="80"/>
  <c r="AF401" i="80"/>
  <c r="AF388" i="80"/>
  <c r="AF414" i="80"/>
  <c r="AF441" i="80"/>
  <c r="AF427" i="80"/>
  <c r="AF93" i="80"/>
  <c r="AF81" i="80"/>
  <c r="AF70" i="80"/>
  <c r="AF65" i="80"/>
  <c r="AF86" i="80"/>
  <c r="AF606" i="80" s="1"/>
  <c r="AF85" i="80"/>
  <c r="AF74" i="80"/>
  <c r="AF69" i="80"/>
  <c r="AF90" i="80"/>
  <c r="AF94" i="80"/>
  <c r="AF89" i="80"/>
  <c r="AF82" i="80"/>
  <c r="AF77" i="80"/>
  <c r="AF66" i="80"/>
  <c r="AF480" i="80" s="1"/>
  <c r="AF488" i="80" s="1"/>
  <c r="AK534" i="80"/>
  <c r="AK501" i="80"/>
  <c r="AK461" i="80"/>
  <c r="AK441" i="80"/>
  <c r="AK481" i="80"/>
  <c r="AK414" i="80"/>
  <c r="AK427" i="80"/>
  <c r="AK401" i="80"/>
  <c r="AK388" i="80"/>
  <c r="AK86" i="80"/>
  <c r="AK606" i="80" s="1"/>
  <c r="AK74" i="80"/>
  <c r="AK69" i="80"/>
  <c r="AK71" i="80" s="1"/>
  <c r="AK90" i="80"/>
  <c r="AK85" i="80"/>
  <c r="AK78" i="80"/>
  <c r="AK500" i="80" s="1"/>
  <c r="AK73" i="80"/>
  <c r="AK94" i="80"/>
  <c r="AK89" i="80"/>
  <c r="AK93" i="80"/>
  <c r="AK81" i="80"/>
  <c r="AK70" i="80"/>
  <c r="AK65" i="80"/>
  <c r="AP459" i="80"/>
  <c r="AP426" i="80"/>
  <c r="AP439" i="80"/>
  <c r="AT459" i="80"/>
  <c r="AT439" i="80"/>
  <c r="AT426" i="80"/>
  <c r="AX459" i="80"/>
  <c r="AX439" i="80"/>
  <c r="AX426" i="80"/>
  <c r="BH534" i="80"/>
  <c r="BH481" i="80"/>
  <c r="BH93" i="80"/>
  <c r="BH70" i="80"/>
  <c r="BH65" i="80"/>
  <c r="BH52" i="80"/>
  <c r="BH69" i="80"/>
  <c r="BH90" i="80"/>
  <c r="BH94" i="80"/>
  <c r="BH89" i="80"/>
  <c r="BH66" i="80"/>
  <c r="BL51" i="80"/>
  <c r="BJ85" i="80"/>
  <c r="BJ78" i="80"/>
  <c r="BJ500" i="80" s="1"/>
  <c r="BJ73" i="80"/>
  <c r="BJ82" i="80"/>
  <c r="BJ77" i="80"/>
  <c r="BJ86" i="80"/>
  <c r="BJ606" i="80" s="1"/>
  <c r="BJ74" i="80"/>
  <c r="Z534" i="80"/>
  <c r="Z441" i="80"/>
  <c r="Z501" i="80"/>
  <c r="Z481" i="80"/>
  <c r="Z461" i="80"/>
  <c r="Z414" i="80"/>
  <c r="Z401" i="80"/>
  <c r="Z388" i="80"/>
  <c r="Z427" i="80"/>
  <c r="Z90" i="80"/>
  <c r="Z78" i="80"/>
  <c r="Z73" i="80"/>
  <c r="Z94" i="80"/>
  <c r="Z89" i="80"/>
  <c r="Z82" i="80"/>
  <c r="Z499" i="80" s="1"/>
  <c r="Z77" i="80"/>
  <c r="Z66" i="80"/>
  <c r="Z480" i="80" s="1"/>
  <c r="Z93" i="80"/>
  <c r="Z86" i="80"/>
  <c r="Z606" i="80" s="1"/>
  <c r="Z85" i="80"/>
  <c r="Z74" i="80"/>
  <c r="Z69" i="80"/>
  <c r="AC59" i="80"/>
  <c r="AH59" i="80"/>
  <c r="AQ618" i="80"/>
  <c r="AH60" i="80"/>
  <c r="AR60" i="80"/>
  <c r="AW61" i="80"/>
  <c r="AR62" i="80"/>
  <c r="BB62" i="80"/>
  <c r="AP533" i="80"/>
  <c r="AP479" i="80"/>
  <c r="AX533" i="80"/>
  <c r="AX479" i="80"/>
  <c r="BF533" i="80"/>
  <c r="BF479" i="80"/>
  <c r="Y66" i="80"/>
  <c r="AO66" i="80"/>
  <c r="AO480" i="80" s="1"/>
  <c r="BK71" i="80"/>
  <c r="AX70" i="80"/>
  <c r="AQ74" i="80"/>
  <c r="AF78" i="80"/>
  <c r="AF500" i="80" s="1"/>
  <c r="AF508" i="80" s="1"/>
  <c r="AL81" i="80"/>
  <c r="Y82" i="80"/>
  <c r="AO82" i="80"/>
  <c r="AE605" i="80"/>
  <c r="BQ675" i="80"/>
  <c r="BY316" i="80" s="1"/>
  <c r="BP127" i="80"/>
  <c r="BK144" i="80"/>
  <c r="BJ143" i="80"/>
  <c r="BP148" i="80"/>
  <c r="BO147" i="80"/>
  <c r="BP149" i="80"/>
  <c r="BP150" i="80"/>
  <c r="CG41" i="71"/>
  <c r="CK41" i="71"/>
  <c r="CW41" i="71"/>
  <c r="M15" i="80"/>
  <c r="M19" i="80" s="1"/>
  <c r="Y867" i="80"/>
  <c r="Z867" i="80"/>
  <c r="AA867" i="80"/>
  <c r="W867" i="80"/>
  <c r="AO867" i="80"/>
  <c r="AN867" i="80"/>
  <c r="AL867" i="80"/>
  <c r="AG534" i="80"/>
  <c r="AG501" i="80"/>
  <c r="AG461" i="80"/>
  <c r="AG481" i="80"/>
  <c r="AG441" i="80"/>
  <c r="AG414" i="80"/>
  <c r="AG427" i="80"/>
  <c r="AG401" i="80"/>
  <c r="AG388" i="80"/>
  <c r="AG86" i="80"/>
  <c r="AG606" i="80" s="1"/>
  <c r="AG85" i="80"/>
  <c r="AG74" i="80"/>
  <c r="AG69" i="80"/>
  <c r="AG90" i="80"/>
  <c r="AG78" i="80"/>
  <c r="AG500" i="80" s="1"/>
  <c r="AG73" i="80"/>
  <c r="AG94" i="80"/>
  <c r="AG89" i="80"/>
  <c r="AG93" i="80"/>
  <c r="AG81" i="80"/>
  <c r="AG70" i="80"/>
  <c r="AG65" i="80"/>
  <c r="AL459" i="80"/>
  <c r="AL439" i="80"/>
  <c r="AL426" i="80"/>
  <c r="BD534" i="80"/>
  <c r="BD481" i="80"/>
  <c r="BD93" i="80"/>
  <c r="BD70" i="80"/>
  <c r="BD65" i="80"/>
  <c r="BD52" i="80"/>
  <c r="BD69" i="80"/>
  <c r="BD90" i="80"/>
  <c r="BD94" i="80"/>
  <c r="BD89" i="80"/>
  <c r="BD66" i="80"/>
  <c r="BD480" i="80" s="1"/>
  <c r="BI534" i="80"/>
  <c r="BI481" i="80"/>
  <c r="BI69" i="80"/>
  <c r="BI90" i="80"/>
  <c r="BI94" i="80"/>
  <c r="BI89" i="80"/>
  <c r="BI93" i="80"/>
  <c r="BI70" i="80"/>
  <c r="BI65" i="80"/>
  <c r="BE86" i="80"/>
  <c r="BE606" i="80" s="1"/>
  <c r="BE74" i="80"/>
  <c r="BE85" i="80"/>
  <c r="BE78" i="80"/>
  <c r="BE500" i="80" s="1"/>
  <c r="BE73" i="80"/>
  <c r="BE81" i="80"/>
  <c r="AA51" i="80"/>
  <c r="AB54" i="80"/>
  <c r="AB51" i="80" s="1"/>
  <c r="AE618" i="80"/>
  <c r="AI618" i="80"/>
  <c r="AR59" i="80"/>
  <c r="BB59" i="80"/>
  <c r="BG60" i="80"/>
  <c r="AY400" i="80"/>
  <c r="AS66" i="80"/>
  <c r="BI66" i="80"/>
  <c r="BI480" i="80" s="1"/>
  <c r="AE74" i="80"/>
  <c r="AK77" i="80"/>
  <c r="Z81" i="80"/>
  <c r="AP81" i="80"/>
  <c r="AI605" i="80"/>
  <c r="AI519" i="80"/>
  <c r="AI387" i="80"/>
  <c r="AI87" i="80"/>
  <c r="AI644" i="80"/>
  <c r="BC644" i="80"/>
  <c r="BG136" i="80"/>
  <c r="BG644" i="80" s="1"/>
  <c r="W93" i="46"/>
  <c r="CO40" i="71" s="1"/>
  <c r="CO41" i="71" s="1"/>
  <c r="AA93" i="46"/>
  <c r="CS40" i="71" s="1"/>
  <c r="CS41" i="71" s="1"/>
  <c r="AE93" i="46"/>
  <c r="CW40" i="71" s="1"/>
  <c r="AM93" i="46"/>
  <c r="DE40" i="71" s="1"/>
  <c r="DE41" i="71" s="1"/>
  <c r="BQ159" i="46"/>
  <c r="AB10" i="80"/>
  <c r="AT10" i="80"/>
  <c r="X757" i="80"/>
  <c r="X15" i="80"/>
  <c r="X19" i="80" s="1"/>
  <c r="AG12" i="80"/>
  <c r="AQ764" i="80"/>
  <c r="AS15" i="80"/>
  <c r="AS19" i="80" s="1"/>
  <c r="F24" i="80"/>
  <c r="V24" i="80"/>
  <c r="L867" i="80"/>
  <c r="H867" i="80"/>
  <c r="K867" i="80"/>
  <c r="J867" i="80"/>
  <c r="AB26" i="80"/>
  <c r="AB867" i="80" s="1"/>
  <c r="AP867" i="80"/>
  <c r="AQ867" i="80"/>
  <c r="AV26" i="80"/>
  <c r="P28" i="80"/>
  <c r="V32" i="80"/>
  <c r="V35" i="80" s="1"/>
  <c r="M36" i="80"/>
  <c r="AD459" i="80"/>
  <c r="AD439" i="80"/>
  <c r="AD426" i="80"/>
  <c r="AH93" i="80"/>
  <c r="AN501" i="80"/>
  <c r="AN534" i="80"/>
  <c r="AN481" i="80"/>
  <c r="AN461" i="80"/>
  <c r="AN401" i="80"/>
  <c r="AN388" i="80"/>
  <c r="AN441" i="80"/>
  <c r="AN427" i="80"/>
  <c r="AN414" i="80"/>
  <c r="AN93" i="80"/>
  <c r="AN81" i="80"/>
  <c r="AN70" i="80"/>
  <c r="AN65" i="80"/>
  <c r="AN86" i="80"/>
  <c r="AN74" i="80"/>
  <c r="AN75" i="80" s="1"/>
  <c r="AN69" i="80"/>
  <c r="AN90" i="80"/>
  <c r="AN85" i="80"/>
  <c r="AN94" i="80"/>
  <c r="AN89" i="80"/>
  <c r="AN82" i="80"/>
  <c r="AN77" i="80"/>
  <c r="AN66" i="80"/>
  <c r="AR51" i="80"/>
  <c r="AV501" i="80"/>
  <c r="AV534" i="80"/>
  <c r="AV461" i="80"/>
  <c r="AV481" i="80"/>
  <c r="AV401" i="80"/>
  <c r="AV388" i="80"/>
  <c r="AV414" i="80"/>
  <c r="AV441" i="80"/>
  <c r="AV427" i="80"/>
  <c r="AV93" i="80"/>
  <c r="AV81" i="80"/>
  <c r="AV70" i="80"/>
  <c r="AV65" i="80"/>
  <c r="AV86" i="80"/>
  <c r="AV606" i="80" s="1"/>
  <c r="AV74" i="80"/>
  <c r="AV69" i="80"/>
  <c r="AV71" i="80" s="1"/>
  <c r="AV90" i="80"/>
  <c r="AV85" i="80"/>
  <c r="AV94" i="80"/>
  <c r="AV89" i="80"/>
  <c r="AV82" i="80"/>
  <c r="AV77" i="80"/>
  <c r="AV66" i="80"/>
  <c r="AV480" i="80" s="1"/>
  <c r="AZ501" i="80"/>
  <c r="AZ534" i="80"/>
  <c r="AZ461" i="80"/>
  <c r="AZ481" i="80"/>
  <c r="AZ427" i="80"/>
  <c r="AZ401" i="80"/>
  <c r="AZ388" i="80"/>
  <c r="AZ441" i="80"/>
  <c r="AZ414" i="80"/>
  <c r="AZ93" i="80"/>
  <c r="AZ81" i="80"/>
  <c r="AZ70" i="80"/>
  <c r="AZ65" i="80"/>
  <c r="AZ86" i="80"/>
  <c r="AZ606" i="80" s="1"/>
  <c r="AZ74" i="80"/>
  <c r="AZ69" i="80"/>
  <c r="AZ71" i="80" s="1"/>
  <c r="AZ90" i="80"/>
  <c r="AZ85" i="80"/>
  <c r="AZ94" i="80"/>
  <c r="AZ89" i="80"/>
  <c r="AZ82" i="80"/>
  <c r="AZ77" i="80"/>
  <c r="AZ66" i="80"/>
  <c r="AZ480" i="80" s="1"/>
  <c r="BE534" i="80"/>
  <c r="BE481" i="80"/>
  <c r="BE69" i="80"/>
  <c r="BE90" i="80"/>
  <c r="BE94" i="80"/>
  <c r="BE89" i="80"/>
  <c r="BE93" i="80"/>
  <c r="BE70" i="80"/>
  <c r="BE65" i="80"/>
  <c r="BJ459" i="80"/>
  <c r="BF85" i="80"/>
  <c r="BF78" i="80"/>
  <c r="BF500" i="80" s="1"/>
  <c r="BF73" i="80"/>
  <c r="BF82" i="80"/>
  <c r="BF83" i="80" s="1"/>
  <c r="BF254" i="80" s="1"/>
  <c r="BF77" i="80"/>
  <c r="BF86" i="80"/>
  <c r="BF606" i="80" s="1"/>
  <c r="BF74" i="80"/>
  <c r="AY618" i="80"/>
  <c r="BL59" i="80"/>
  <c r="AU400" i="80"/>
  <c r="AU75" i="80"/>
  <c r="Z65" i="80"/>
  <c r="AT533" i="80"/>
  <c r="AT479" i="80"/>
  <c r="AG66" i="80"/>
  <c r="AG480" i="80" s="1"/>
  <c r="AG488" i="80" s="1"/>
  <c r="BC71" i="80"/>
  <c r="Z70" i="80"/>
  <c r="AF73" i="80"/>
  <c r="AV73" i="80"/>
  <c r="AI74" i="80"/>
  <c r="AI75" i="80" s="1"/>
  <c r="AY74" i="80"/>
  <c r="AY75" i="80" s="1"/>
  <c r="BE77" i="80"/>
  <c r="AD81" i="80"/>
  <c r="BJ81" i="80"/>
  <c r="AG82" i="80"/>
  <c r="AS657" i="80"/>
  <c r="AW140" i="80"/>
  <c r="AW657" i="80" s="1"/>
  <c r="BH657" i="80"/>
  <c r="BM657" i="80"/>
  <c r="BQ140" i="80"/>
  <c r="BQ657" i="80" s="1"/>
  <c r="AQ10" i="80"/>
  <c r="R8" i="80"/>
  <c r="AH10" i="80"/>
  <c r="AL10" i="80"/>
  <c r="Y760" i="80"/>
  <c r="AD760" i="80"/>
  <c r="AD761" i="80" s="1"/>
  <c r="M761" i="80"/>
  <c r="R764" i="80"/>
  <c r="AB12" i="80"/>
  <c r="AL764" i="80"/>
  <c r="AV12" i="80"/>
  <c r="S15" i="80"/>
  <c r="S19" i="80" s="1"/>
  <c r="W15" i="80"/>
  <c r="AL15" i="80"/>
  <c r="AL19" i="80" s="1"/>
  <c r="AP15" i="80"/>
  <c r="AP19" i="80" s="1"/>
  <c r="W19" i="80"/>
  <c r="BB21" i="80"/>
  <c r="Q867" i="80"/>
  <c r="M867" i="80"/>
  <c r="P867" i="80"/>
  <c r="O867" i="80"/>
  <c r="AG26" i="80"/>
  <c r="AK867" i="80" s="1"/>
  <c r="Y534" i="80"/>
  <c r="Y501" i="80"/>
  <c r="Y461" i="80"/>
  <c r="Y441" i="80"/>
  <c r="Y481" i="80"/>
  <c r="Y427" i="80"/>
  <c r="Y414" i="80"/>
  <c r="Y401" i="80"/>
  <c r="Y388" i="80"/>
  <c r="Y86" i="80"/>
  <c r="Y85" i="80"/>
  <c r="Y74" i="80"/>
  <c r="Y69" i="80"/>
  <c r="Y90" i="80"/>
  <c r="Y78" i="80"/>
  <c r="Y79" i="80" s="1"/>
  <c r="Y311" i="80" s="1"/>
  <c r="Y319" i="80" s="1"/>
  <c r="Y73" i="80"/>
  <c r="Y94" i="80"/>
  <c r="Y89" i="80"/>
  <c r="Y93" i="80"/>
  <c r="Y81" i="80"/>
  <c r="Y70" i="80"/>
  <c r="Y65" i="80"/>
  <c r="AJ501" i="80"/>
  <c r="AJ508" i="80" s="1"/>
  <c r="AJ534" i="80"/>
  <c r="AJ461" i="80"/>
  <c r="AJ481" i="80"/>
  <c r="AJ427" i="80"/>
  <c r="AJ401" i="80"/>
  <c r="AJ388" i="80"/>
  <c r="AJ441" i="80"/>
  <c r="AJ414" i="80"/>
  <c r="AJ93" i="80"/>
  <c r="AJ81" i="80"/>
  <c r="AJ70" i="80"/>
  <c r="AJ65" i="80"/>
  <c r="AJ86" i="80"/>
  <c r="AJ74" i="80"/>
  <c r="AJ69" i="80"/>
  <c r="AJ71" i="80" s="1"/>
  <c r="AJ90" i="80"/>
  <c r="AJ94" i="80"/>
  <c r="AJ89" i="80"/>
  <c r="AJ82" i="80"/>
  <c r="AJ77" i="80"/>
  <c r="AJ66" i="80"/>
  <c r="AJ480" i="80" s="1"/>
  <c r="AO534" i="80"/>
  <c r="AO501" i="80"/>
  <c r="AO461" i="80"/>
  <c r="AO441" i="80"/>
  <c r="AO481" i="80"/>
  <c r="AO427" i="80"/>
  <c r="AO414" i="80"/>
  <c r="AO401" i="80"/>
  <c r="AO388" i="80"/>
  <c r="AO86" i="80"/>
  <c r="AO606" i="80" s="1"/>
  <c r="AO74" i="80"/>
  <c r="AO69" i="80"/>
  <c r="AO90" i="80"/>
  <c r="AO85" i="80"/>
  <c r="AO78" i="80"/>
  <c r="AO500" i="80" s="1"/>
  <c r="AO73" i="80"/>
  <c r="AO94" i="80"/>
  <c r="AO89" i="80"/>
  <c r="AO93" i="80"/>
  <c r="AO81" i="80"/>
  <c r="AO70" i="80"/>
  <c r="AO65" i="80"/>
  <c r="AS534" i="80"/>
  <c r="AS501" i="80"/>
  <c r="AS481" i="80"/>
  <c r="AS461" i="80"/>
  <c r="AS441" i="80"/>
  <c r="AS427" i="80"/>
  <c r="AS414" i="80"/>
  <c r="AS401" i="80"/>
  <c r="AS388" i="80"/>
  <c r="AS86" i="80"/>
  <c r="AS74" i="80"/>
  <c r="AS69" i="80"/>
  <c r="AS90" i="80"/>
  <c r="AS85" i="80"/>
  <c r="AS78" i="80"/>
  <c r="AS73" i="80"/>
  <c r="AS94" i="80"/>
  <c r="AS89" i="80"/>
  <c r="AS93" i="80"/>
  <c r="AS81" i="80"/>
  <c r="AS70" i="80"/>
  <c r="AS65" i="80"/>
  <c r="AW51" i="80"/>
  <c r="BA534" i="80"/>
  <c r="BA501" i="80"/>
  <c r="BA461" i="80"/>
  <c r="BA441" i="80"/>
  <c r="BA481" i="80"/>
  <c r="BA414" i="80"/>
  <c r="BA427" i="80"/>
  <c r="BA401" i="80"/>
  <c r="BA388" i="80"/>
  <c r="BA86" i="80"/>
  <c r="BA606" i="80" s="1"/>
  <c r="BA74" i="80"/>
  <c r="BA69" i="80"/>
  <c r="BA90" i="80"/>
  <c r="BA85" i="80"/>
  <c r="BA78" i="80"/>
  <c r="BA500" i="80" s="1"/>
  <c r="BA73" i="80"/>
  <c r="BA94" i="80"/>
  <c r="BA89" i="80"/>
  <c r="BA93" i="80"/>
  <c r="BA81" i="80"/>
  <c r="BA70" i="80"/>
  <c r="BA65" i="80"/>
  <c r="BF459" i="80"/>
  <c r="BF426" i="80"/>
  <c r="BF439" i="80"/>
  <c r="BI52" i="80"/>
  <c r="AR58" i="80"/>
  <c r="AW58" i="80"/>
  <c r="AU618" i="80"/>
  <c r="AI400" i="80"/>
  <c r="AM62" i="80"/>
  <c r="AQ400" i="80"/>
  <c r="AQ75" i="80"/>
  <c r="AD533" i="80"/>
  <c r="AD479" i="80"/>
  <c r="AL533" i="80"/>
  <c r="AL479" i="80"/>
  <c r="AK66" i="80"/>
  <c r="AK480" i="80" s="1"/>
  <c r="AK488" i="80" s="1"/>
  <c r="BA66" i="80"/>
  <c r="BA480" i="80" s="1"/>
  <c r="AJ73" i="80"/>
  <c r="AZ73" i="80"/>
  <c r="AS77" i="80"/>
  <c r="AN78" i="80"/>
  <c r="AV78" i="80"/>
  <c r="AV500" i="80" s="1"/>
  <c r="AV508" i="80" s="1"/>
  <c r="AK82" i="80"/>
  <c r="BA82" i="80"/>
  <c r="BF144" i="80"/>
  <c r="BE143" i="80"/>
  <c r="Y241" i="80"/>
  <c r="AM61" i="80"/>
  <c r="BG61" i="80"/>
  <c r="AD69" i="80"/>
  <c r="AL69" i="80"/>
  <c r="AL71" i="80" s="1"/>
  <c r="AP69" i="80"/>
  <c r="AT69" i="80"/>
  <c r="AX69" i="80"/>
  <c r="BF69" i="80"/>
  <c r="BF71" i="80" s="1"/>
  <c r="BJ69" i="80"/>
  <c r="BJ71" i="80" s="1"/>
  <c r="BC73" i="80"/>
  <c r="BK73" i="80"/>
  <c r="AD74" i="80"/>
  <c r="AL74" i="80"/>
  <c r="AP74" i="80"/>
  <c r="AT74" i="80"/>
  <c r="AX74" i="80"/>
  <c r="BC78" i="80"/>
  <c r="BK78" i="80"/>
  <c r="BK500" i="80" s="1"/>
  <c r="AD85" i="80"/>
  <c r="AQ85" i="80"/>
  <c r="AU85" i="80"/>
  <c r="AY85" i="80"/>
  <c r="BC85" i="80"/>
  <c r="BK85" i="80"/>
  <c r="AD86" i="80"/>
  <c r="AL86" i="80"/>
  <c r="AL606" i="80" s="1"/>
  <c r="AP86" i="80"/>
  <c r="AP606" i="80" s="1"/>
  <c r="AT86" i="80"/>
  <c r="AT606" i="80" s="1"/>
  <c r="AX86" i="80"/>
  <c r="AC124" i="80"/>
  <c r="AC680" i="80" s="1"/>
  <c r="AW124" i="80"/>
  <c r="AW680" i="80" s="1"/>
  <c r="AR125" i="80"/>
  <c r="AR685" i="80" s="1"/>
  <c r="AM126" i="80"/>
  <c r="AM690" i="80" s="1"/>
  <c r="AH127" i="80"/>
  <c r="AH675" i="80" s="1"/>
  <c r="AC128" i="80"/>
  <c r="AC695" i="80" s="1"/>
  <c r="AW128" i="80"/>
  <c r="AW695" i="80" s="1"/>
  <c r="AR129" i="80"/>
  <c r="AR700" i="80" s="1"/>
  <c r="AM130" i="80"/>
  <c r="BG124" i="80"/>
  <c r="BG680" i="80" s="1"/>
  <c r="BG125" i="80"/>
  <c r="BG685" i="80" s="1"/>
  <c r="BG126" i="80"/>
  <c r="BG690" i="80" s="1"/>
  <c r="BO126" i="80"/>
  <c r="BG127" i="80"/>
  <c r="BG675" i="80" s="1"/>
  <c r="BY314" i="80" s="1"/>
  <c r="BG128" i="80"/>
  <c r="BG695" i="80" s="1"/>
  <c r="CD367" i="80" s="1"/>
  <c r="BG129" i="80"/>
  <c r="BG700" i="80" s="1"/>
  <c r="BK131" i="80"/>
  <c r="BO131" i="80"/>
  <c r="AT131" i="80"/>
  <c r="AM134" i="80"/>
  <c r="AM705" i="80" s="1"/>
  <c r="Y136" i="80"/>
  <c r="AG136" i="80"/>
  <c r="AG644" i="80" s="1"/>
  <c r="AK136" i="80"/>
  <c r="AK644" i="80" s="1"/>
  <c r="AO136" i="80"/>
  <c r="AO644" i="80" s="1"/>
  <c r="AS136" i="80"/>
  <c r="BM136" i="80"/>
  <c r="AD140" i="80"/>
  <c r="AX140" i="80"/>
  <c r="BO143" i="80"/>
  <c r="Z240" i="80"/>
  <c r="BJ351" i="80"/>
  <c r="BJ325" i="80"/>
  <c r="BJ364" i="80"/>
  <c r="BI273" i="80"/>
  <c r="BJ338" i="80"/>
  <c r="BJ312" i="80"/>
  <c r="BJ299" i="80"/>
  <c r="BJ286" i="80"/>
  <c r="AE301" i="80"/>
  <c r="BC86" i="80"/>
  <c r="BK86" i="80"/>
  <c r="BK606" i="80" s="1"/>
  <c r="AH124" i="80"/>
  <c r="AH680" i="80" s="1"/>
  <c r="AC125" i="80"/>
  <c r="AC685" i="80" s="1"/>
  <c r="AW125" i="80"/>
  <c r="AW685" i="80" s="1"/>
  <c r="AR126" i="80"/>
  <c r="AR690" i="80" s="1"/>
  <c r="AM127" i="80"/>
  <c r="AM675" i="80" s="1"/>
  <c r="AH128" i="80"/>
  <c r="AH695" i="80" s="1"/>
  <c r="AC129" i="80"/>
  <c r="AC700" i="80" s="1"/>
  <c r="AW129" i="80"/>
  <c r="AW700" i="80" s="1"/>
  <c r="BL124" i="80"/>
  <c r="BL680" i="80" s="1"/>
  <c r="BL125" i="80"/>
  <c r="BL685" i="80" s="1"/>
  <c r="BL126" i="80"/>
  <c r="BL690" i="80" s="1"/>
  <c r="BL127" i="80"/>
  <c r="BL675" i="80" s="1"/>
  <c r="BY315" i="80" s="1"/>
  <c r="BL128" i="80"/>
  <c r="BL695" i="80" s="1"/>
  <c r="CD368" i="80" s="1"/>
  <c r="BL129" i="80"/>
  <c r="BL700" i="80" s="1"/>
  <c r="AR134" i="80"/>
  <c r="AR705" i="80" s="1"/>
  <c r="AM135" i="80"/>
  <c r="BG135" i="80"/>
  <c r="AR139" i="80"/>
  <c r="BL139" i="80"/>
  <c r="AM140" i="80"/>
  <c r="AM657" i="80" s="1"/>
  <c r="BY158" i="80"/>
  <c r="AU338" i="80"/>
  <c r="AU351" i="80"/>
  <c r="AT273" i="80"/>
  <c r="AU325" i="80"/>
  <c r="AU312" i="80"/>
  <c r="AU286" i="80"/>
  <c r="AU364" i="80"/>
  <c r="AU299" i="80"/>
  <c r="Y278" i="80"/>
  <c r="Y267" i="80"/>
  <c r="Y200" i="80" s="1"/>
  <c r="Z275" i="80"/>
  <c r="AF303" i="80"/>
  <c r="AK303" i="80" s="1"/>
  <c r="AP303" i="80" s="1"/>
  <c r="AB303" i="80"/>
  <c r="AB330" i="80"/>
  <c r="AC327" i="80"/>
  <c r="AD327" i="80" s="1"/>
  <c r="AD534" i="80"/>
  <c r="AD441" i="80"/>
  <c r="AD501" i="80"/>
  <c r="AD481" i="80"/>
  <c r="AD461" i="80"/>
  <c r="AD427" i="80"/>
  <c r="AD414" i="80"/>
  <c r="AD401" i="80"/>
  <c r="AD388" i="80"/>
  <c r="AH51" i="80"/>
  <c r="AL534" i="80"/>
  <c r="AL441" i="80"/>
  <c r="AL481" i="80"/>
  <c r="AL501" i="80"/>
  <c r="AL461" i="80"/>
  <c r="AL414" i="80"/>
  <c r="AL427" i="80"/>
  <c r="AL401" i="80"/>
  <c r="AL388" i="80"/>
  <c r="AP534" i="80"/>
  <c r="AP441" i="80"/>
  <c r="AP501" i="80"/>
  <c r="AP481" i="80"/>
  <c r="AP461" i="80"/>
  <c r="AP414" i="80"/>
  <c r="AP401" i="80"/>
  <c r="AP388" i="80"/>
  <c r="AP427" i="80"/>
  <c r="AT534" i="80"/>
  <c r="AT441" i="80"/>
  <c r="AT501" i="80"/>
  <c r="AT481" i="80"/>
  <c r="AT461" i="80"/>
  <c r="AT427" i="80"/>
  <c r="AT414" i="80"/>
  <c r="AT401" i="80"/>
  <c r="AT388" i="80"/>
  <c r="AX534" i="80"/>
  <c r="AX501" i="80"/>
  <c r="AX481" i="80"/>
  <c r="AX441" i="80"/>
  <c r="AX461" i="80"/>
  <c r="AX427" i="80"/>
  <c r="AX401" i="80"/>
  <c r="AX388" i="80"/>
  <c r="AX414" i="80"/>
  <c r="BB51" i="80"/>
  <c r="BF534" i="80"/>
  <c r="BF481" i="80"/>
  <c r="BJ534" i="80"/>
  <c r="BJ481" i="80"/>
  <c r="AM59" i="80"/>
  <c r="BG59" i="80"/>
  <c r="AE533" i="80"/>
  <c r="AE479" i="80"/>
  <c r="AI533" i="80"/>
  <c r="AI479" i="80"/>
  <c r="AQ533" i="80"/>
  <c r="AQ479" i="80"/>
  <c r="AU533" i="80"/>
  <c r="AU479" i="80"/>
  <c r="AY533" i="80"/>
  <c r="AY479" i="80"/>
  <c r="BG65" i="80"/>
  <c r="BK533" i="80"/>
  <c r="BK479" i="80"/>
  <c r="AD66" i="80"/>
  <c r="AL66" i="80"/>
  <c r="AL480" i="80" s="1"/>
  <c r="AL488" i="80" s="1"/>
  <c r="AP66" i="80"/>
  <c r="AP480" i="80" s="1"/>
  <c r="AT66" i="80"/>
  <c r="AT480" i="80" s="1"/>
  <c r="AX66" i="80"/>
  <c r="BF66" i="80"/>
  <c r="BF480" i="80" s="1"/>
  <c r="BJ66" i="80"/>
  <c r="BJ480" i="80" s="1"/>
  <c r="AE70" i="80"/>
  <c r="AE71" i="80" s="1"/>
  <c r="AI70" i="80"/>
  <c r="AQ70" i="80"/>
  <c r="AQ71" i="80" s="1"/>
  <c r="AU70" i="80"/>
  <c r="AU71" i="80" s="1"/>
  <c r="AY70" i="80"/>
  <c r="AY71" i="80" s="1"/>
  <c r="AD77" i="80"/>
  <c r="AL77" i="80"/>
  <c r="AP77" i="80"/>
  <c r="AT77" i="80"/>
  <c r="AX77" i="80"/>
  <c r="BC81" i="80"/>
  <c r="BK81" i="80"/>
  <c r="AD82" i="80"/>
  <c r="AL82" i="80"/>
  <c r="AP82" i="80"/>
  <c r="AT82" i="80"/>
  <c r="AX82" i="80"/>
  <c r="AD89" i="80"/>
  <c r="AL89" i="80"/>
  <c r="AP89" i="80"/>
  <c r="AT89" i="80"/>
  <c r="AX89" i="80"/>
  <c r="BF89" i="80"/>
  <c r="BJ89" i="80"/>
  <c r="AE459" i="80"/>
  <c r="AE439" i="80"/>
  <c r="AI459" i="80"/>
  <c r="AI439" i="80"/>
  <c r="AI426" i="80"/>
  <c r="AM93" i="80"/>
  <c r="AQ459" i="80"/>
  <c r="AQ439" i="80"/>
  <c r="AQ426" i="80"/>
  <c r="AU439" i="80"/>
  <c r="AY459" i="80"/>
  <c r="AY439" i="80"/>
  <c r="AY426" i="80"/>
  <c r="BC459" i="80"/>
  <c r="BC439" i="80"/>
  <c r="BC426" i="80"/>
  <c r="BG93" i="80"/>
  <c r="BK459" i="80"/>
  <c r="BK439" i="80"/>
  <c r="BK426" i="80"/>
  <c r="AD94" i="80"/>
  <c r="AD95" i="80" s="1"/>
  <c r="AD255" i="80" s="1"/>
  <c r="AL94" i="80"/>
  <c r="AL95" i="80" s="1"/>
  <c r="AL255" i="80" s="1"/>
  <c r="AP94" i="80"/>
  <c r="AT94" i="80"/>
  <c r="AX94" i="80"/>
  <c r="BF94" i="80"/>
  <c r="BJ94" i="80"/>
  <c r="AM124" i="80"/>
  <c r="AM680" i="80" s="1"/>
  <c r="AH125" i="80"/>
  <c r="AH685" i="80" s="1"/>
  <c r="AC126" i="80"/>
  <c r="AC690" i="80" s="1"/>
  <c r="AW126" i="80"/>
  <c r="AW690" i="80" s="1"/>
  <c r="AR127" i="80"/>
  <c r="AR675" i="80" s="1"/>
  <c r="AM128" i="80"/>
  <c r="AM695" i="80" s="1"/>
  <c r="AH129" i="80"/>
  <c r="AH700" i="80" s="1"/>
  <c r="AC130" i="80"/>
  <c r="AC710" i="80" s="1"/>
  <c r="BQ128" i="80"/>
  <c r="BQ695" i="80" s="1"/>
  <c r="AC134" i="80"/>
  <c r="AC705" i="80" s="1"/>
  <c r="AW134" i="80"/>
  <c r="AW705" i="80" s="1"/>
  <c r="AR135" i="80"/>
  <c r="BL135" i="80"/>
  <c r="AA136" i="80"/>
  <c r="AE136" i="80"/>
  <c r="AH136" i="80" s="1"/>
  <c r="AC139" i="80"/>
  <c r="AC657" i="80" s="1"/>
  <c r="AW139" i="80"/>
  <c r="BQ139" i="80"/>
  <c r="AB140" i="80"/>
  <c r="BZ158" i="80"/>
  <c r="Z304" i="80"/>
  <c r="BH303" i="80"/>
  <c r="BK303" i="80"/>
  <c r="AA761" i="80"/>
  <c r="AF761" i="80"/>
  <c r="AB764" i="80"/>
  <c r="AF15" i="80"/>
  <c r="AF19" i="80" s="1"/>
  <c r="U867" i="80"/>
  <c r="T867" i="80"/>
  <c r="R867" i="80"/>
  <c r="V867" i="80"/>
  <c r="AG867" i="80"/>
  <c r="AF867" i="80"/>
  <c r="AD867" i="80"/>
  <c r="AS867" i="80"/>
  <c r="AV867" i="80"/>
  <c r="AT867" i="80"/>
  <c r="AU867" i="80"/>
  <c r="AE481" i="80"/>
  <c r="AE501" i="80"/>
  <c r="AE508" i="80" s="1"/>
  <c r="AE534" i="80"/>
  <c r="AE427" i="80"/>
  <c r="AE414" i="80"/>
  <c r="AE461" i="80"/>
  <c r="AE441" i="80"/>
  <c r="AE401" i="80"/>
  <c r="AE388" i="80"/>
  <c r="AI481" i="80"/>
  <c r="AI501" i="80"/>
  <c r="AI534" i="80"/>
  <c r="AI427" i="80"/>
  <c r="AI414" i="80"/>
  <c r="AI461" i="80"/>
  <c r="AI441" i="80"/>
  <c r="AI401" i="80"/>
  <c r="AI388" i="80"/>
  <c r="AM51" i="80"/>
  <c r="AQ481" i="80"/>
  <c r="AQ501" i="80"/>
  <c r="AQ508" i="80" s="1"/>
  <c r="AQ534" i="80"/>
  <c r="AQ427" i="80"/>
  <c r="AQ414" i="80"/>
  <c r="AQ461" i="80"/>
  <c r="AQ441" i="80"/>
  <c r="AQ401" i="80"/>
  <c r="AQ388" i="80"/>
  <c r="AU481" i="80"/>
  <c r="AU501" i="80"/>
  <c r="AU534" i="80"/>
  <c r="AU427" i="80"/>
  <c r="AU414" i="80"/>
  <c r="AU461" i="80"/>
  <c r="AU441" i="80"/>
  <c r="AU401" i="80"/>
  <c r="AU388" i="80"/>
  <c r="AY481" i="80"/>
  <c r="AY501" i="80"/>
  <c r="AY534" i="80"/>
  <c r="AY427" i="80"/>
  <c r="AY414" i="80"/>
  <c r="AY461" i="80"/>
  <c r="AY441" i="80"/>
  <c r="AY401" i="80"/>
  <c r="AY388" i="80"/>
  <c r="BC481" i="80"/>
  <c r="BC534" i="80"/>
  <c r="BG51" i="80"/>
  <c r="BK481" i="80"/>
  <c r="BK534" i="80"/>
  <c r="AE66" i="80"/>
  <c r="AI66" i="80"/>
  <c r="AQ66" i="80"/>
  <c r="AU66" i="80"/>
  <c r="AY66" i="80"/>
  <c r="BC66" i="80"/>
  <c r="BK66" i="80"/>
  <c r="AD73" i="80"/>
  <c r="AL73" i="80"/>
  <c r="AP73" i="80"/>
  <c r="AT73" i="80"/>
  <c r="AX73" i="80"/>
  <c r="AE77" i="80"/>
  <c r="AI77" i="80"/>
  <c r="AQ77" i="80"/>
  <c r="AU77" i="80"/>
  <c r="AY77" i="80"/>
  <c r="BC77" i="80"/>
  <c r="BK77" i="80"/>
  <c r="AD78" i="80"/>
  <c r="AL78" i="80"/>
  <c r="AL500" i="80" s="1"/>
  <c r="AL508" i="80" s="1"/>
  <c r="AP78" i="80"/>
  <c r="AP500" i="80" s="1"/>
  <c r="AP508" i="80" s="1"/>
  <c r="AT78" i="80"/>
  <c r="AT500" i="80" s="1"/>
  <c r="AX78" i="80"/>
  <c r="AE82" i="80"/>
  <c r="AE83" i="80" s="1"/>
  <c r="AE254" i="80" s="1"/>
  <c r="AI82" i="80"/>
  <c r="AQ82" i="80"/>
  <c r="AQ83" i="80" s="1"/>
  <c r="AQ254" i="80" s="1"/>
  <c r="AU82" i="80"/>
  <c r="AU83" i="80" s="1"/>
  <c r="AU254" i="80" s="1"/>
  <c r="AY82" i="80"/>
  <c r="AY83" i="80" s="1"/>
  <c r="AY254" i="80" s="1"/>
  <c r="AL85" i="80"/>
  <c r="AP85" i="80"/>
  <c r="AT85" i="80"/>
  <c r="AX85" i="80"/>
  <c r="AE89" i="80"/>
  <c r="AI89" i="80"/>
  <c r="AQ89" i="80"/>
  <c r="AU89" i="80"/>
  <c r="AY89" i="80"/>
  <c r="BC89" i="80"/>
  <c r="BK89" i="80"/>
  <c r="AD90" i="80"/>
  <c r="AH90" i="80" s="1"/>
  <c r="AL90" i="80"/>
  <c r="AP90" i="80"/>
  <c r="AT90" i="80"/>
  <c r="AX90" i="80"/>
  <c r="BB90" i="80" s="1"/>
  <c r="BF90" i="80"/>
  <c r="BJ90" i="80"/>
  <c r="AE94" i="80"/>
  <c r="AI94" i="80"/>
  <c r="AQ94" i="80"/>
  <c r="AU94" i="80"/>
  <c r="AY94" i="80"/>
  <c r="BC94" i="80"/>
  <c r="BK94" i="80"/>
  <c r="AR124" i="80"/>
  <c r="AR680" i="80" s="1"/>
  <c r="AM125" i="80"/>
  <c r="AM685" i="80" s="1"/>
  <c r="AH126" i="80"/>
  <c r="AH690" i="80" s="1"/>
  <c r="AC127" i="80"/>
  <c r="AC675" i="80" s="1"/>
  <c r="AW127" i="80"/>
  <c r="AW675" i="80" s="1"/>
  <c r="BY312" i="80" s="1"/>
  <c r="AR128" i="80"/>
  <c r="AR695" i="80" s="1"/>
  <c r="AM129" i="80"/>
  <c r="AM700" i="80" s="1"/>
  <c r="AH130" i="80"/>
  <c r="AH710" i="80" s="1"/>
  <c r="BB124" i="80"/>
  <c r="BB680" i="80" s="1"/>
  <c r="BB125" i="80"/>
  <c r="BB685" i="80" s="1"/>
  <c r="BB126" i="80"/>
  <c r="BB690" i="80" s="1"/>
  <c r="BB127" i="80"/>
  <c r="BB675" i="80" s="1"/>
  <c r="BY313" i="80" s="1"/>
  <c r="BB128" i="80"/>
  <c r="BB695" i="80" s="1"/>
  <c r="BB129" i="80"/>
  <c r="BB700" i="80" s="1"/>
  <c r="BF131" i="80"/>
  <c r="AH134" i="80"/>
  <c r="AH705" i="80" s="1"/>
  <c r="Y652" i="80"/>
  <c r="AC135" i="80"/>
  <c r="AC644" i="80" s="1"/>
  <c r="AB136" i="80"/>
  <c r="Y140" i="80"/>
  <c r="AC364" i="80"/>
  <c r="AC312" i="80"/>
  <c r="AC299" i="80"/>
  <c r="AC351" i="80"/>
  <c r="AC338" i="80"/>
  <c r="AC286" i="80"/>
  <c r="AB273" i="80"/>
  <c r="AC325" i="80"/>
  <c r="AB325" i="80" s="1"/>
  <c r="AD273" i="80"/>
  <c r="AB317" i="80"/>
  <c r="AC314" i="80"/>
  <c r="AD314" i="80" s="1"/>
  <c r="BV324" i="80"/>
  <c r="BP273" i="80"/>
  <c r="AM338" i="80"/>
  <c r="AM351" i="80"/>
  <c r="AQ273" i="80"/>
  <c r="AZ273" i="80"/>
  <c r="BE273" i="80"/>
  <c r="BC303" i="80"/>
  <c r="AA317" i="80"/>
  <c r="AM325" i="80"/>
  <c r="I325" i="80"/>
  <c r="BH342" i="80"/>
  <c r="BK342" i="80"/>
  <c r="AH368" i="80"/>
  <c r="AE403" i="80"/>
  <c r="BQ364" i="80"/>
  <c r="BQ312" i="80"/>
  <c r="BQ299" i="80"/>
  <c r="BQ351" i="80"/>
  <c r="BQ338" i="80"/>
  <c r="AE338" i="80"/>
  <c r="AE351" i="80"/>
  <c r="AR338" i="80"/>
  <c r="AR286" i="80"/>
  <c r="AR364" i="80"/>
  <c r="AV338" i="80"/>
  <c r="AV286" i="80"/>
  <c r="AV364" i="80"/>
  <c r="BA364" i="80"/>
  <c r="BA312" i="80"/>
  <c r="BA299" i="80"/>
  <c r="BA351" i="80"/>
  <c r="BA338" i="80"/>
  <c r="BF351" i="80"/>
  <c r="BF325" i="80"/>
  <c r="BF364" i="80"/>
  <c r="BK338" i="80"/>
  <c r="BK364" i="80"/>
  <c r="BK351" i="80"/>
  <c r="AE286" i="80"/>
  <c r="BA286" i="80"/>
  <c r="BF286" i="80"/>
  <c r="BK286" i="80"/>
  <c r="AG290" i="80"/>
  <c r="AV299" i="80"/>
  <c r="BF299" i="80"/>
  <c r="BK299" i="80"/>
  <c r="AA304" i="80"/>
  <c r="AB304" i="80"/>
  <c r="AE312" i="80"/>
  <c r="AG316" i="80"/>
  <c r="BK316" i="80"/>
  <c r="AC330" i="80"/>
  <c r="AC329" i="80" s="1"/>
  <c r="AG329" i="80"/>
  <c r="Z330" i="80"/>
  <c r="Z340" i="80"/>
  <c r="Z356" i="80"/>
  <c r="AR366" i="80"/>
  <c r="AS366" i="80" s="1"/>
  <c r="Z416" i="80"/>
  <c r="AF338" i="80"/>
  <c r="AF286" i="80"/>
  <c r="AF364" i="80"/>
  <c r="BQ286" i="80"/>
  <c r="BF290" i="80"/>
  <c r="BK290" i="80" s="1"/>
  <c r="AM299" i="80"/>
  <c r="AR299" i="80"/>
  <c r="AF312" i="80"/>
  <c r="AV312" i="80"/>
  <c r="BF312" i="80"/>
  <c r="BK312" i="80"/>
  <c r="AF325" i="80"/>
  <c r="AA330" i="80"/>
  <c r="AD342" i="80"/>
  <c r="AE342" i="80" s="1"/>
  <c r="AJ342" i="80" s="1"/>
  <c r="AO342" i="80" s="1"/>
  <c r="AG342" i="80"/>
  <c r="AF351" i="80"/>
  <c r="AR351" i="80"/>
  <c r="AB353" i="80"/>
  <c r="AA356" i="80"/>
  <c r="AF355" i="80"/>
  <c r="AK355" i="80" s="1"/>
  <c r="AP355" i="80" s="1"/>
  <c r="AB355" i="80"/>
  <c r="BJ355" i="80"/>
  <c r="BO355" i="80" s="1"/>
  <c r="BF355" i="80"/>
  <c r="AM364" i="80"/>
  <c r="AM368" i="80"/>
  <c r="AV366" i="80"/>
  <c r="AU369" i="80"/>
  <c r="AF416" i="80"/>
  <c r="AG364" i="80"/>
  <c r="AG312" i="80"/>
  <c r="AG299" i="80"/>
  <c r="AG351" i="80"/>
  <c r="AG338" i="80"/>
  <c r="AL273" i="80"/>
  <c r="AM286" i="80"/>
  <c r="AB288" i="80"/>
  <c r="Y304" i="80"/>
  <c r="AC304" i="80" s="1"/>
  <c r="AC303" i="80" s="1"/>
  <c r="AM312" i="80"/>
  <c r="AR312" i="80"/>
  <c r="BC316" i="80"/>
  <c r="Z317" i="80"/>
  <c r="AC317" i="80" s="1"/>
  <c r="AC316" i="80" s="1"/>
  <c r="AG325" i="80"/>
  <c r="AV325" i="80"/>
  <c r="BA325" i="80"/>
  <c r="BK325" i="80"/>
  <c r="AV351" i="80"/>
  <c r="AE364" i="80"/>
  <c r="AC366" i="80"/>
  <c r="AD390" i="80"/>
  <c r="AB390" i="80"/>
  <c r="AC382" i="80"/>
  <c r="AE429" i="80"/>
  <c r="AR368" i="80"/>
  <c r="AT369" i="80"/>
  <c r="AB403" i="80"/>
  <c r="AB429" i="80"/>
  <c r="AA443" i="80"/>
  <c r="AF445" i="80"/>
  <c r="AK445" i="80" s="1"/>
  <c r="AP445" i="80" s="1"/>
  <c r="AU445" i="80" s="1"/>
  <c r="AZ445" i="80" s="1"/>
  <c r="BE445" i="80" s="1"/>
  <c r="BJ445" i="80" s="1"/>
  <c r="BO445" i="80" s="1"/>
  <c r="AB445" i="80"/>
  <c r="AG445" i="80" s="1"/>
  <c r="AL445" i="80" s="1"/>
  <c r="AQ445" i="80" s="1"/>
  <c r="AV445" i="80" s="1"/>
  <c r="BA445" i="80" s="1"/>
  <c r="BF445" i="80" s="1"/>
  <c r="BK445" i="80" s="1"/>
  <c r="BP445" i="80" s="1"/>
  <c r="AC368" i="80"/>
  <c r="AD446" i="80"/>
  <c r="AE443" i="80"/>
  <c r="AI445" i="80"/>
  <c r="AE445" i="80"/>
  <c r="AJ445" i="80" s="1"/>
  <c r="AO445" i="80" s="1"/>
  <c r="AT445" i="80" s="1"/>
  <c r="AY445" i="80" s="1"/>
  <c r="BD445" i="80" s="1"/>
  <c r="BI445" i="80" s="1"/>
  <c r="BN445" i="80" s="1"/>
  <c r="AG366" i="80"/>
  <c r="AL366" i="80"/>
  <c r="Z368" i="80"/>
  <c r="AA368" i="80" s="1"/>
  <c r="AB368" i="80" s="1"/>
  <c r="AD368" i="80" s="1"/>
  <c r="BA429" i="80"/>
  <c r="AY446" i="80"/>
  <c r="AZ443" i="80"/>
  <c r="AB485" i="80"/>
  <c r="AG485" i="80" s="1"/>
  <c r="AL485" i="80" s="1"/>
  <c r="AQ485" i="80" s="1"/>
  <c r="AV485" i="80" s="1"/>
  <c r="BA485" i="80" s="1"/>
  <c r="BF485" i="80" s="1"/>
  <c r="BK485" i="80" s="1"/>
  <c r="BP485" i="80" s="1"/>
  <c r="AF485" i="80"/>
  <c r="AK485" i="80" s="1"/>
  <c r="AP485" i="80" s="1"/>
  <c r="AU485" i="80" s="1"/>
  <c r="AZ485" i="80" s="1"/>
  <c r="BE485" i="80" s="1"/>
  <c r="BJ485" i="80" s="1"/>
  <c r="BO485" i="80" s="1"/>
  <c r="AT466" i="80"/>
  <c r="AI465" i="80"/>
  <c r="AE465" i="80"/>
  <c r="AJ465" i="80" s="1"/>
  <c r="AO465" i="80" s="1"/>
  <c r="AT465" i="80" s="1"/>
  <c r="AY465" i="80" s="1"/>
  <c r="BD465" i="80" s="1"/>
  <c r="BI465" i="80" s="1"/>
  <c r="BN465" i="80" s="1"/>
  <c r="AH485" i="80"/>
  <c r="Y463" i="80"/>
  <c r="AI466" i="80"/>
  <c r="AB483" i="80"/>
  <c r="AC485" i="80"/>
  <c r="AI485" i="80"/>
  <c r="CE487" i="80"/>
  <c r="CE489" i="80" s="1"/>
  <c r="AI505" i="80"/>
  <c r="AE505" i="80"/>
  <c r="AJ505" i="80" s="1"/>
  <c r="AO505" i="80" s="1"/>
  <c r="AT505" i="80" s="1"/>
  <c r="AY505" i="80" s="1"/>
  <c r="BD505" i="80" s="1"/>
  <c r="BI505" i="80" s="1"/>
  <c r="BN505" i="80" s="1"/>
  <c r="AF524" i="80"/>
  <c r="AK524" i="80" s="1"/>
  <c r="AP524" i="80" s="1"/>
  <c r="AU524" i="80" s="1"/>
  <c r="AZ524" i="80" s="1"/>
  <c r="BE524" i="80" s="1"/>
  <c r="BJ524" i="80" s="1"/>
  <c r="BO524" i="80" s="1"/>
  <c r="AB524" i="80"/>
  <c r="AG524" i="80" s="1"/>
  <c r="AL524" i="80" s="1"/>
  <c r="AQ524" i="80" s="1"/>
  <c r="AV524" i="80" s="1"/>
  <c r="BA524" i="80" s="1"/>
  <c r="BF524" i="80" s="1"/>
  <c r="BK524" i="80" s="1"/>
  <c r="BP524" i="80" s="1"/>
  <c r="AJ466" i="80"/>
  <c r="CA489" i="80"/>
  <c r="AD503" i="80"/>
  <c r="AB503" i="80"/>
  <c r="AN524" i="80"/>
  <c r="BO536" i="80"/>
  <c r="AA562" i="80"/>
  <c r="AB561" i="80"/>
  <c r="AF463" i="80"/>
  <c r="AK463" i="80"/>
  <c r="AP463" i="80"/>
  <c r="AU463" i="80"/>
  <c r="AY463" i="80"/>
  <c r="Z465" i="80"/>
  <c r="AA465" i="80" s="1"/>
  <c r="AO466" i="80"/>
  <c r="AE483" i="80"/>
  <c r="AD486" i="80"/>
  <c r="AB522" i="80"/>
  <c r="AD522" i="80"/>
  <c r="Z564" i="80"/>
  <c r="I714" i="80"/>
  <c r="Y714" i="80" s="1"/>
  <c r="Y520" i="80"/>
  <c r="AG520" i="80"/>
  <c r="AK520" i="80"/>
  <c r="AO520" i="80"/>
  <c r="AS520" i="80"/>
  <c r="BA520" i="80"/>
  <c r="BE520" i="80"/>
  <c r="BI520" i="80"/>
  <c r="BM520" i="80"/>
  <c r="Z536" i="80"/>
  <c r="AH558" i="80"/>
  <c r="BG570" i="80"/>
  <c r="AG623" i="80"/>
  <c r="AD623" i="80"/>
  <c r="AE623" i="80" s="1"/>
  <c r="AJ623" i="80" s="1"/>
  <c r="AO623" i="80" s="1"/>
  <c r="AT623" i="80" s="1"/>
  <c r="AY623" i="80" s="1"/>
  <c r="BD623" i="80" s="1"/>
  <c r="BI623" i="80" s="1"/>
  <c r="BN623" i="80" s="1"/>
  <c r="AH524" i="80"/>
  <c r="AB562" i="80"/>
  <c r="Y576" i="80"/>
  <c r="Z586" i="80"/>
  <c r="AA583" i="80"/>
  <c r="AA520" i="80"/>
  <c r="AE520" i="80"/>
  <c r="AI520" i="80"/>
  <c r="AQ520" i="80"/>
  <c r="AU520" i="80"/>
  <c r="AY520" i="80"/>
  <c r="BC520" i="80"/>
  <c r="BK520" i="80"/>
  <c r="BO520" i="80"/>
  <c r="AE524" i="80"/>
  <c r="AJ524" i="80" s="1"/>
  <c r="AO524" i="80" s="1"/>
  <c r="AT524" i="80" s="1"/>
  <c r="AY524" i="80" s="1"/>
  <c r="BD524" i="80" s="1"/>
  <c r="BI524" i="80" s="1"/>
  <c r="BN524" i="80" s="1"/>
  <c r="AG536" i="80"/>
  <c r="BA536" i="80"/>
  <c r="BE536" i="80"/>
  <c r="BI536" i="80"/>
  <c r="AC559" i="80"/>
  <c r="Z571" i="80"/>
  <c r="AH582" i="80"/>
  <c r="AB582" i="80"/>
  <c r="AA582" i="80" s="1"/>
  <c r="Z582" i="80" s="1"/>
  <c r="Y582" i="80" s="1"/>
  <c r="Y588" i="80" s="1"/>
  <c r="AF610" i="80"/>
  <c r="AK610" i="80" s="1"/>
  <c r="AP610" i="80" s="1"/>
  <c r="AU610" i="80" s="1"/>
  <c r="AZ610" i="80" s="1"/>
  <c r="BE610" i="80" s="1"/>
  <c r="BJ610" i="80" s="1"/>
  <c r="BO610" i="80" s="1"/>
  <c r="AB610" i="80"/>
  <c r="Z505" i="80"/>
  <c r="AA505" i="80" s="1"/>
  <c r="AB520" i="80"/>
  <c r="AF520" i="80"/>
  <c r="AJ520" i="80"/>
  <c r="AN520" i="80"/>
  <c r="AV520" i="80"/>
  <c r="AZ520" i="80"/>
  <c r="BD520" i="80"/>
  <c r="BH520" i="80"/>
  <c r="Z553" i="80"/>
  <c r="Z202" i="80" s="1"/>
  <c r="Y562" i="80"/>
  <c r="Z621" i="80"/>
  <c r="AF623" i="80"/>
  <c r="AK623" i="80" s="1"/>
  <c r="AP623" i="80" s="1"/>
  <c r="AU623" i="80" s="1"/>
  <c r="AZ623" i="80" s="1"/>
  <c r="BE623" i="80" s="1"/>
  <c r="BJ623" i="80" s="1"/>
  <c r="BO623" i="80" s="1"/>
  <c r="Y624" i="80"/>
  <c r="Z608" i="80"/>
  <c r="AF648" i="80"/>
  <c r="AK648" i="80" s="1"/>
  <c r="AP648" i="80" s="1"/>
  <c r="AU648" i="80" s="1"/>
  <c r="AZ648" i="80" s="1"/>
  <c r="BE648" i="80" s="1"/>
  <c r="BJ648" i="80" s="1"/>
  <c r="BO648" i="80" s="1"/>
  <c r="AB648" i="80"/>
  <c r="AF661" i="80"/>
  <c r="AK661" i="80" s="1"/>
  <c r="AP661" i="80" s="1"/>
  <c r="AU661" i="80" s="1"/>
  <c r="AZ661" i="80" s="1"/>
  <c r="BE661" i="80" s="1"/>
  <c r="BJ661" i="80" s="1"/>
  <c r="BO661" i="80" s="1"/>
  <c r="AB661" i="80"/>
  <c r="Y600" i="80"/>
  <c r="Y203" i="80" s="1"/>
  <c r="AS676" i="80"/>
  <c r="BA686" i="80"/>
  <c r="Z689" i="80"/>
  <c r="Y691" i="80"/>
  <c r="BD691" i="80"/>
  <c r="AU674" i="80"/>
  <c r="AT676" i="80"/>
  <c r="BK681" i="80"/>
  <c r="BC686" i="80"/>
  <c r="BD684" i="80"/>
  <c r="BN684" i="80"/>
  <c r="AB706" i="80"/>
  <c r="AC706" i="80" s="1"/>
  <c r="AC704" i="80"/>
  <c r="AD704" i="80" s="1"/>
  <c r="Z709" i="80"/>
  <c r="Y711" i="80"/>
  <c r="Z646" i="80"/>
  <c r="AM646" i="80"/>
  <c r="Y649" i="80"/>
  <c r="AK649" i="80"/>
  <c r="Z659" i="80"/>
  <c r="Y674" i="80"/>
  <c r="BN679" i="80"/>
  <c r="BK686" i="80"/>
  <c r="BK691" i="80"/>
  <c r="BL689" i="80"/>
  <c r="BM689" i="80" s="1"/>
  <c r="Z696" i="80"/>
  <c r="AA694" i="80"/>
  <c r="BB705" i="80"/>
  <c r="BC705" i="80"/>
  <c r="BD705" i="80" s="1"/>
  <c r="BE705" i="80" s="1"/>
  <c r="BF705" i="80" s="1"/>
  <c r="Y662" i="80"/>
  <c r="Y665" i="80" s="1"/>
  <c r="Z679" i="80"/>
  <c r="Y681" i="80"/>
  <c r="BF681" i="80"/>
  <c r="AA686" i="80"/>
  <c r="AB684" i="80"/>
  <c r="BH686" i="80"/>
  <c r="BI684" i="80"/>
  <c r="BB706" i="80"/>
  <c r="AU711" i="80"/>
  <c r="AV710" i="80"/>
  <c r="AZ686" i="80"/>
  <c r="Y686" i="80"/>
  <c r="BE686" i="80"/>
  <c r="BC691" i="80"/>
  <c r="Y696" i="80"/>
  <c r="Z701" i="80"/>
  <c r="BA706" i="80"/>
  <c r="BB704" i="80"/>
  <c r="BC704" i="80" s="1"/>
  <c r="AY709" i="80"/>
  <c r="BH721" i="80"/>
  <c r="BI719" i="80"/>
  <c r="BL742" i="80"/>
  <c r="BL736" i="80"/>
  <c r="X760" i="80"/>
  <c r="T761" i="80"/>
  <c r="F772" i="80"/>
  <c r="G768" i="80"/>
  <c r="G770" i="80" s="1"/>
  <c r="H779" i="80" s="1"/>
  <c r="AA701" i="80"/>
  <c r="AB699" i="80"/>
  <c r="BC721" i="80"/>
  <c r="BD719" i="80"/>
  <c r="BD721" i="80" s="1"/>
  <c r="AZ742" i="80"/>
  <c r="AX742" i="80"/>
  <c r="BA742" i="80"/>
  <c r="AY742" i="80"/>
  <c r="AK751" i="80"/>
  <c r="AJ751" i="80"/>
  <c r="AI751" i="80"/>
  <c r="AM753" i="80"/>
  <c r="AL751" i="80"/>
  <c r="AL753" i="80" s="1"/>
  <c r="AL162" i="80" s="1"/>
  <c r="BB753" i="80"/>
  <c r="BA751" i="80"/>
  <c r="BA753" i="80" s="1"/>
  <c r="BA162" i="80" s="1"/>
  <c r="AZ751" i="80"/>
  <c r="AZ753" i="80" s="1"/>
  <c r="AZ162" i="80" s="1"/>
  <c r="AY751" i="80"/>
  <c r="AX751" i="80"/>
  <c r="AX753" i="80" s="1"/>
  <c r="AX162" i="80" s="1"/>
  <c r="BE751" i="80"/>
  <c r="BG753" i="80"/>
  <c r="BF751" i="80"/>
  <c r="BD751" i="80"/>
  <c r="BC751" i="80"/>
  <c r="BL751" i="80"/>
  <c r="O761" i="80"/>
  <c r="I760" i="80"/>
  <c r="BF691" i="80"/>
  <c r="Z721" i="80"/>
  <c r="AA719" i="80"/>
  <c r="BG689" i="80"/>
  <c r="BH689" i="80" s="1"/>
  <c r="AZ706" i="80"/>
  <c r="AR719" i="80"/>
  <c r="AS719" i="80" s="1"/>
  <c r="AJ742" i="80"/>
  <c r="AL742" i="80"/>
  <c r="AK742" i="80"/>
  <c r="AI742" i="80"/>
  <c r="AV742" i="80"/>
  <c r="AS742" i="80"/>
  <c r="AU742" i="80"/>
  <c r="AT742" i="80"/>
  <c r="BD742" i="80"/>
  <c r="BC742" i="80"/>
  <c r="BF742" i="80"/>
  <c r="BE742" i="80"/>
  <c r="P772" i="80"/>
  <c r="Q768" i="80"/>
  <c r="Q770" i="80" s="1"/>
  <c r="R779" i="80" s="1"/>
  <c r="AQ751" i="80"/>
  <c r="O764" i="80"/>
  <c r="AJ764" i="80"/>
  <c r="N779" i="80"/>
  <c r="AX769" i="80"/>
  <c r="AL780" i="80"/>
  <c r="AK774" i="80"/>
  <c r="I779" i="80"/>
  <c r="X779" i="80"/>
  <c r="AF779" i="80"/>
  <c r="BG777" i="80"/>
  <c r="BQ777" i="80"/>
  <c r="BL777" i="80"/>
  <c r="CD801" i="80"/>
  <c r="CD794" i="80"/>
  <c r="CD775" i="80"/>
  <c r="CD804" i="80"/>
  <c r="CD803" i="80"/>
  <c r="CD802" i="80"/>
  <c r="CD799" i="80"/>
  <c r="CD797" i="80"/>
  <c r="CD793" i="80"/>
  <c r="CD776" i="80"/>
  <c r="CD774" i="80"/>
  <c r="CD772" i="80"/>
  <c r="CD770" i="80"/>
  <c r="CD768" i="80"/>
  <c r="CD796" i="80"/>
  <c r="CD792" i="80"/>
  <c r="CE811" i="80"/>
  <c r="CD800" i="80"/>
  <c r="CD798" i="80"/>
  <c r="CD795" i="80"/>
  <c r="CD791" i="80"/>
  <c r="CD790" i="80"/>
  <c r="CD789" i="80"/>
  <c r="CD788" i="80"/>
  <c r="CD787" i="80"/>
  <c r="CD786" i="80"/>
  <c r="CD785" i="80"/>
  <c r="CD784" i="80"/>
  <c r="CD783" i="80"/>
  <c r="CD782" i="80"/>
  <c r="CD781" i="80"/>
  <c r="CD780" i="80"/>
  <c r="CD779" i="80"/>
  <c r="CD778" i="80"/>
  <c r="J761" i="80"/>
  <c r="N760" i="80"/>
  <c r="K764" i="80"/>
  <c r="P764" i="80"/>
  <c r="T764" i="80"/>
  <c r="X764" i="80"/>
  <c r="AF764" i="80"/>
  <c r="Y764" i="80"/>
  <c r="AO764" i="80"/>
  <c r="E774" i="80"/>
  <c r="E780" i="80" s="1"/>
  <c r="F780" i="80"/>
  <c r="Q780" i="80"/>
  <c r="P774" i="80"/>
  <c r="AO780" i="80"/>
  <c r="Y779" i="80"/>
  <c r="AC779" i="80"/>
  <c r="AR779" i="80"/>
  <c r="W780" i="80"/>
  <c r="BG719" i="80"/>
  <c r="BF721" i="80"/>
  <c r="BG736" i="80"/>
  <c r="AR742" i="80"/>
  <c r="AR736" i="80"/>
  <c r="AW751" i="80"/>
  <c r="T751" i="80"/>
  <c r="T753" i="80" s="1"/>
  <c r="AN751" i="80"/>
  <c r="AR757" i="80"/>
  <c r="AR760" i="80" s="1"/>
  <c r="AH759" i="80"/>
  <c r="L764" i="80"/>
  <c r="AY764" i="80"/>
  <c r="BE763" i="80"/>
  <c r="BL763" i="80"/>
  <c r="BD763" i="80"/>
  <c r="AH779" i="80"/>
  <c r="AW779" i="80"/>
  <c r="AE780" i="80"/>
  <c r="BE799" i="80"/>
  <c r="CF812" i="80"/>
  <c r="AM736" i="80"/>
  <c r="AP751" i="80"/>
  <c r="AM757" i="80"/>
  <c r="BF758" i="80"/>
  <c r="AI764" i="80"/>
  <c r="AM764" i="80"/>
  <c r="AU764" i="80"/>
  <c r="BA763" i="80"/>
  <c r="BF764" i="80" s="1"/>
  <c r="AZ763" i="80"/>
  <c r="U764" i="80"/>
  <c r="AC764" i="80"/>
  <c r="AK764" i="80"/>
  <c r="L774" i="80"/>
  <c r="U774" i="80"/>
  <c r="U768" i="80" s="1"/>
  <c r="U770" i="80" s="1"/>
  <c r="V779" i="80" s="1"/>
  <c r="V780" i="80"/>
  <c r="AG774" i="80"/>
  <c r="AG780" i="80" s="1"/>
  <c r="G780" i="80"/>
  <c r="AZ780" i="80"/>
  <c r="BM830" i="80"/>
  <c r="BQ827" i="80"/>
  <c r="BQ830" i="80" s="1"/>
  <c r="AX799" i="80"/>
  <c r="BO799" i="80"/>
  <c r="BF782" i="80"/>
  <c r="BK799" i="80"/>
  <c r="BP802" i="80"/>
  <c r="CE805" i="80"/>
  <c r="AD825" i="80"/>
  <c r="AD839" i="80" s="1"/>
  <c r="DJ825" i="80"/>
  <c r="Q821" i="80"/>
  <c r="Q825" i="80" s="1"/>
  <c r="Q839" i="80" s="1"/>
  <c r="EC825" i="80"/>
  <c r="EB820" i="80"/>
  <c r="AH820" i="80"/>
  <c r="EC821" i="80"/>
  <c r="EK825" i="80"/>
  <c r="BI823" i="80"/>
  <c r="BI154" i="46" s="1"/>
  <c r="BN824" i="80"/>
  <c r="BN155" i="46" s="1"/>
  <c r="EB830" i="80"/>
  <c r="DA821" i="80"/>
  <c r="F820" i="80"/>
  <c r="DC820" i="80"/>
  <c r="DD825" i="80"/>
  <c r="DD821" i="80"/>
  <c r="S820" i="80"/>
  <c r="DM820" i="80"/>
  <c r="R820" i="80"/>
  <c r="DN821" i="80"/>
  <c r="AM820" i="80"/>
  <c r="EG820" i="80"/>
  <c r="AL820" i="80"/>
  <c r="EH821" i="80"/>
  <c r="BD823" i="80"/>
  <c r="BD154" i="46" s="1"/>
  <c r="BJ824" i="80"/>
  <c r="BI824" i="80"/>
  <c r="BI155" i="46" s="1"/>
  <c r="BK824" i="80"/>
  <c r="AN780" i="80"/>
  <c r="AZ782" i="80"/>
  <c r="BD782" i="80"/>
  <c r="BN802" i="80"/>
  <c r="AZ802" i="80"/>
  <c r="CC805" i="80"/>
  <c r="T825" i="80"/>
  <c r="T839" i="80" s="1"/>
  <c r="AN825" i="80"/>
  <c r="BC821" i="80"/>
  <c r="BC151" i="46" s="1"/>
  <c r="DB825" i="80"/>
  <c r="G820" i="80"/>
  <c r="DG821" i="80"/>
  <c r="L821" i="80" s="1"/>
  <c r="L825" i="80" s="1"/>
  <c r="L839" i="80" s="1"/>
  <c r="DL825" i="80"/>
  <c r="DL839" i="80" s="1"/>
  <c r="W820" i="80"/>
  <c r="DR820" i="80"/>
  <c r="DS825" i="80"/>
  <c r="DS821" i="80"/>
  <c r="AQ820" i="80"/>
  <c r="EL820" i="80"/>
  <c r="EM821" i="80"/>
  <c r="BE824" i="80"/>
  <c r="BD824" i="80"/>
  <c r="BD155" i="46" s="1"/>
  <c r="BP835" i="80"/>
  <c r="Y768" i="80"/>
  <c r="Y770" i="80" s="1"/>
  <c r="AD768" i="80"/>
  <c r="AD770" i="80" s="1"/>
  <c r="AE779" i="80" s="1"/>
  <c r="AN768" i="80"/>
  <c r="AN770" i="80" s="1"/>
  <c r="AO779" i="80" s="1"/>
  <c r="AS768" i="80"/>
  <c r="AS770" i="80" s="1"/>
  <c r="AS779" i="80" s="1"/>
  <c r="R768" i="80"/>
  <c r="R770" i="80" s="1"/>
  <c r="AL768" i="80"/>
  <c r="AL770" i="80" s="1"/>
  <c r="Z774" i="80"/>
  <c r="AT774" i="80"/>
  <c r="CC798" i="80"/>
  <c r="CC800" i="80"/>
  <c r="CD805" i="80"/>
  <c r="E825" i="80"/>
  <c r="E839" i="80" s="1"/>
  <c r="E842" i="80" s="1"/>
  <c r="F840" i="80" s="1"/>
  <c r="Y825" i="80"/>
  <c r="Y839" i="80" s="1"/>
  <c r="AO825" i="80"/>
  <c r="AS825" i="80"/>
  <c r="AS839" i="80" s="1"/>
  <c r="H820" i="80"/>
  <c r="M820" i="80"/>
  <c r="AG820" i="80"/>
  <c r="BA821" i="80"/>
  <c r="BA151" i="46" s="1"/>
  <c r="BB151" i="46" s="1"/>
  <c r="BD821" i="80"/>
  <c r="BD151" i="46" s="1"/>
  <c r="BJ821" i="80"/>
  <c r="BJ151" i="46" s="1"/>
  <c r="BI821" i="80"/>
  <c r="BI151" i="46" s="1"/>
  <c r="DI825" i="80"/>
  <c r="DH820" i="80"/>
  <c r="N820" i="80"/>
  <c r="DI821" i="80"/>
  <c r="U821" i="80"/>
  <c r="U825" i="80" s="1"/>
  <c r="U839" i="80" s="1"/>
  <c r="DP825" i="80"/>
  <c r="DP839" i="80" s="1"/>
  <c r="DP824" i="80"/>
  <c r="U824" i="80" s="1"/>
  <c r="Y821" i="80"/>
  <c r="DT825" i="80"/>
  <c r="DT839" i="80" s="1"/>
  <c r="DW820" i="80"/>
  <c r="DX825" i="80"/>
  <c r="DX821" i="80"/>
  <c r="EF825" i="80"/>
  <c r="EF839" i="80" s="1"/>
  <c r="AO821" i="80"/>
  <c r="EJ825" i="80"/>
  <c r="EJ839" i="80" s="1"/>
  <c r="AS821" i="80"/>
  <c r="EN825" i="80"/>
  <c r="EN839" i="80" s="1"/>
  <c r="EQ820" i="80"/>
  <c r="ER821" i="80"/>
  <c r="BO823" i="80"/>
  <c r="BN823" i="80"/>
  <c r="BN154" i="46" s="1"/>
  <c r="DW830" i="80"/>
  <c r="EQ830" i="80"/>
  <c r="DR837" i="80"/>
  <c r="DQ821" i="80"/>
  <c r="V821" i="80" s="1"/>
  <c r="DV821" i="80"/>
  <c r="AA821" i="80" s="1"/>
  <c r="AA825" i="80" s="1"/>
  <c r="AA839" i="80" s="1"/>
  <c r="EA821" i="80"/>
  <c r="AF821" i="80" s="1"/>
  <c r="AF825" i="80" s="1"/>
  <c r="AF839" i="80" s="1"/>
  <c r="EF821" i="80"/>
  <c r="AK821" i="80" s="1"/>
  <c r="AK825" i="80" s="1"/>
  <c r="AK839" i="80" s="1"/>
  <c r="EK821" i="80"/>
  <c r="AP821" i="80" s="1"/>
  <c r="EP821" i="80"/>
  <c r="AU821" i="80" s="1"/>
  <c r="H823" i="80"/>
  <c r="L823" i="80"/>
  <c r="P823" i="80"/>
  <c r="AB823" i="80"/>
  <c r="AF823" i="80"/>
  <c r="AJ823" i="80"/>
  <c r="AV823" i="80"/>
  <c r="G824" i="80"/>
  <c r="K824" i="80"/>
  <c r="W824" i="80"/>
  <c r="AA824" i="80"/>
  <c r="AE824" i="80"/>
  <c r="AE825" i="80" s="1"/>
  <c r="AE839" i="80" s="1"/>
  <c r="AQ824" i="80"/>
  <c r="AU824" i="80"/>
  <c r="DM823" i="80"/>
  <c r="EG823" i="80"/>
  <c r="DH824" i="80"/>
  <c r="EB824" i="80"/>
  <c r="DO825" i="80"/>
  <c r="EI825" i="80"/>
  <c r="AO828" i="80"/>
  <c r="AO830" i="80" s="1"/>
  <c r="EG830" i="80"/>
  <c r="DI830" i="80"/>
  <c r="N830" i="80" s="1"/>
  <c r="N828" i="80"/>
  <c r="DR828" i="80"/>
  <c r="DR830" i="80" s="1"/>
  <c r="EL828" i="80"/>
  <c r="EL830" i="80" s="1"/>
  <c r="EB829" i="80"/>
  <c r="DC829" i="80"/>
  <c r="DC830" i="80" s="1"/>
  <c r="DM828" i="80"/>
  <c r="DB830" i="80"/>
  <c r="EH830" i="80"/>
  <c r="AM830" i="80" s="1"/>
  <c r="EM830" i="80"/>
  <c r="AR830" i="80" s="1"/>
  <c r="ER830" i="80"/>
  <c r="AW830" i="80" s="1"/>
  <c r="AI833" i="80"/>
  <c r="AI807" i="80" s="1"/>
  <c r="ED837" i="80"/>
  <c r="EK837" i="80"/>
  <c r="AR836" i="80"/>
  <c r="EL836" i="80"/>
  <c r="EL837" i="80" s="1"/>
  <c r="CZ839" i="80"/>
  <c r="CZ842" i="80" s="1"/>
  <c r="DS830" i="80"/>
  <c r="X830" i="80" s="1"/>
  <c r="EI830" i="80"/>
  <c r="EL834" i="80"/>
  <c r="AR834" i="80"/>
  <c r="AM835" i="80"/>
  <c r="EG835" i="80"/>
  <c r="V820" i="80"/>
  <c r="AP820" i="80"/>
  <c r="AP825" i="80" s="1"/>
  <c r="AP839" i="80" s="1"/>
  <c r="DE821" i="80"/>
  <c r="J821" i="80" s="1"/>
  <c r="J825" i="80" s="1"/>
  <c r="DJ821" i="80"/>
  <c r="DY821" i="80"/>
  <c r="AD821" i="80" s="1"/>
  <c r="ED821" i="80"/>
  <c r="ED825" i="80" s="1"/>
  <c r="ED839" i="80" s="1"/>
  <c r="N823" i="80"/>
  <c r="R823" i="80"/>
  <c r="AH823" i="80"/>
  <c r="BX51" i="73" s="1"/>
  <c r="AL823" i="80"/>
  <c r="I824" i="80"/>
  <c r="M824" i="80"/>
  <c r="AC824" i="80"/>
  <c r="AG824" i="80"/>
  <c r="AW824" i="80"/>
  <c r="DU825" i="80"/>
  <c r="DU839" i="80" s="1"/>
  <c r="DY825" i="80"/>
  <c r="EO825" i="80"/>
  <c r="W828" i="80"/>
  <c r="W830" i="80" s="1"/>
  <c r="AG828" i="80"/>
  <c r="AG830" i="80" s="1"/>
  <c r="AG829" i="80"/>
  <c r="AQ828" i="80"/>
  <c r="AQ830" i="80" s="1"/>
  <c r="DD830" i="80"/>
  <c r="I830" i="80" s="1"/>
  <c r="DJ830" i="80"/>
  <c r="DO830" i="80"/>
  <c r="AW834" i="80"/>
  <c r="ER837" i="80"/>
  <c r="AW837" i="80" s="1"/>
  <c r="BE835" i="80"/>
  <c r="BF835" i="80" s="1"/>
  <c r="BO835" i="80"/>
  <c r="DD837" i="80"/>
  <c r="I837" i="80" s="1"/>
  <c r="DC835" i="80"/>
  <c r="DC837" i="80" s="1"/>
  <c r="I835" i="80"/>
  <c r="DM837" i="80"/>
  <c r="O820" i="80"/>
  <c r="AA820" i="80"/>
  <c r="AI820" i="80"/>
  <c r="AU820" i="80"/>
  <c r="AU825" i="80" s="1"/>
  <c r="AU839" i="80" s="1"/>
  <c r="DF821" i="80"/>
  <c r="DZ821" i="80"/>
  <c r="AE821" i="80" s="1"/>
  <c r="J828" i="80"/>
  <c r="J830" i="80" s="1"/>
  <c r="DH828" i="80"/>
  <c r="DH830" i="80" s="1"/>
  <c r="DQ830" i="80"/>
  <c r="DU830" i="80"/>
  <c r="DY830" i="80"/>
  <c r="EC830" i="80"/>
  <c r="AH830" i="80" s="1"/>
  <c r="AH828" i="80"/>
  <c r="EG828" i="80"/>
  <c r="EK830" i="80"/>
  <c r="EO830" i="80"/>
  <c r="DW829" i="80"/>
  <c r="EQ829" i="80"/>
  <c r="DM830" i="80"/>
  <c r="AI837" i="80"/>
  <c r="AJ833" i="80"/>
  <c r="AV833" i="80"/>
  <c r="EQ837" i="80"/>
  <c r="EG833" i="80"/>
  <c r="EG837" i="80" s="1"/>
  <c r="AM833" i="80"/>
  <c r="AM807" i="80" s="1"/>
  <c r="EH837" i="80"/>
  <c r="AM837" i="80" s="1"/>
  <c r="AN833" i="80"/>
  <c r="AN807" i="80" s="1"/>
  <c r="EI837" i="80"/>
  <c r="DS837" i="80"/>
  <c r="X837" i="80" s="1"/>
  <c r="DR835" i="80"/>
  <c r="X835" i="80"/>
  <c r="BP836" i="80"/>
  <c r="AH836" i="80"/>
  <c r="EB836" i="80"/>
  <c r="DI837" i="80"/>
  <c r="N837" i="80" s="1"/>
  <c r="EC837" i="80"/>
  <c r="AH837" i="80" s="1"/>
  <c r="AK860" i="80"/>
  <c r="AK851" i="80"/>
  <c r="AK859" i="80"/>
  <c r="AU872" i="80"/>
  <c r="AU859" i="80"/>
  <c r="AU851" i="80"/>
  <c r="S850" i="80"/>
  <c r="R849" i="80"/>
  <c r="AA850" i="80"/>
  <c r="AE850" i="80"/>
  <c r="I840" i="80"/>
  <c r="AC835" i="80"/>
  <c r="AR850" i="80"/>
  <c r="AQ848" i="80"/>
  <c r="O850" i="80"/>
  <c r="AG859" i="80"/>
  <c r="AG872" i="80" s="1"/>
  <c r="BO836" i="80"/>
  <c r="EM837" i="80"/>
  <c r="AR837" i="80" s="1"/>
  <c r="AI872" i="80"/>
  <c r="AI859" i="80"/>
  <c r="AI860" i="80"/>
  <c r="AI851" i="80"/>
  <c r="AN859" i="80"/>
  <c r="AN872" i="80" s="1"/>
  <c r="AS860" i="80"/>
  <c r="AS851" i="80"/>
  <c r="AS859" i="80"/>
  <c r="G850" i="80"/>
  <c r="K850" i="80"/>
  <c r="AL849" i="80"/>
  <c r="AU871" i="80"/>
  <c r="AG854" i="80"/>
  <c r="EB835" i="80"/>
  <c r="EB837" i="80" s="1"/>
  <c r="AJ859" i="80"/>
  <c r="AJ872" i="80" s="1"/>
  <c r="AJ851" i="80"/>
  <c r="AO859" i="80"/>
  <c r="AO872" i="80" s="1"/>
  <c r="AI871" i="80"/>
  <c r="J871" i="80"/>
  <c r="N871" i="80"/>
  <c r="E860" i="80"/>
  <c r="I860" i="80"/>
  <c r="Q872" i="80"/>
  <c r="U872" i="80"/>
  <c r="AC872" i="80"/>
  <c r="AC860" i="80"/>
  <c r="AW850" i="80"/>
  <c r="E859" i="80"/>
  <c r="M859" i="80"/>
  <c r="M854" i="80" s="1"/>
  <c r="U859" i="80"/>
  <c r="AC859" i="80"/>
  <c r="F872" i="80"/>
  <c r="F860" i="80"/>
  <c r="J860" i="80"/>
  <c r="N872" i="80"/>
  <c r="Z860" i="80"/>
  <c r="AP872" i="80"/>
  <c r="AT860" i="80"/>
  <c r="AT859" i="80"/>
  <c r="AB859" i="80"/>
  <c r="AB857" i="80" s="1"/>
  <c r="F859" i="80"/>
  <c r="N859" i="80"/>
  <c r="V859" i="80"/>
  <c r="V871" i="80" s="1"/>
  <c r="AD859" i="80"/>
  <c r="AD872" i="80" s="1"/>
  <c r="AJ871" i="80"/>
  <c r="AM850" i="80"/>
  <c r="F851" i="80"/>
  <c r="N851" i="80"/>
  <c r="V851" i="80"/>
  <c r="AP851" i="80"/>
  <c r="AT851" i="80"/>
  <c r="AZ853" i="80"/>
  <c r="AG857" i="80"/>
  <c r="I859" i="80"/>
  <c r="Q859" i="80"/>
  <c r="Y859" i="80"/>
  <c r="Y860" i="80" s="1"/>
  <c r="E871" i="80"/>
  <c r="I871" i="80"/>
  <c r="M849" i="80"/>
  <c r="Q871" i="80"/>
  <c r="U871" i="80"/>
  <c r="AC871" i="80"/>
  <c r="AG849" i="80"/>
  <c r="AG871" i="80" s="1"/>
  <c r="AK871" i="80"/>
  <c r="AS871" i="80"/>
  <c r="H850" i="80"/>
  <c r="H859" i="80" s="1"/>
  <c r="L850" i="80"/>
  <c r="P850" i="80"/>
  <c r="T850" i="80"/>
  <c r="X850" i="80"/>
  <c r="AB850" i="80"/>
  <c r="AF850" i="80"/>
  <c r="AE859" i="80"/>
  <c r="J859" i="80"/>
  <c r="Z859" i="80"/>
  <c r="Z851" i="80" s="1"/>
  <c r="AH859" i="80"/>
  <c r="AP859" i="80"/>
  <c r="AF32" i="46"/>
  <c r="AS32" i="46"/>
  <c r="S32" i="46"/>
  <c r="AC32" i="46"/>
  <c r="AO32" i="46"/>
  <c r="AT32" i="46"/>
  <c r="I32" i="46"/>
  <c r="AD32" i="46"/>
  <c r="E32" i="46"/>
  <c r="J32" i="46"/>
  <c r="P32" i="46"/>
  <c r="AE32" i="46"/>
  <c r="F32" i="46"/>
  <c r="K32" i="46"/>
  <c r="Q32" i="46"/>
  <c r="DE13" i="71"/>
  <c r="CH51" i="71"/>
  <c r="AG9" i="46"/>
  <c r="AG15" i="46" s="1"/>
  <c r="AG27" i="46" s="1"/>
  <c r="AV9" i="46"/>
  <c r="AF10" i="46"/>
  <c r="H12" i="46"/>
  <c r="H15" i="46" s="1"/>
  <c r="H27" i="46" s="1"/>
  <c r="N15" i="46"/>
  <c r="N27" i="46" s="1"/>
  <c r="AA32" i="46"/>
  <c r="AP15" i="46"/>
  <c r="AP27" i="46" s="1"/>
  <c r="AU15" i="46"/>
  <c r="AU27" i="46" s="1"/>
  <c r="U32" i="46"/>
  <c r="AK32" i="46"/>
  <c r="M30" i="46"/>
  <c r="M32" i="46" s="1"/>
  <c r="R30" i="46"/>
  <c r="AL30" i="46"/>
  <c r="AQ30" i="46"/>
  <c r="AZ66" i="46"/>
  <c r="W27" i="46"/>
  <c r="M10" i="46"/>
  <c r="AG10" i="46"/>
  <c r="AO10" i="46"/>
  <c r="AS10" i="46"/>
  <c r="R12" i="46"/>
  <c r="R15" i="46" s="1"/>
  <c r="T37" i="46"/>
  <c r="T33" i="46"/>
  <c r="X37" i="46"/>
  <c r="X33" i="46"/>
  <c r="AH15" i="46"/>
  <c r="AH27" i="46" s="1"/>
  <c r="AL15" i="46"/>
  <c r="AL27" i="46" s="1"/>
  <c r="BL17" i="46"/>
  <c r="Y32" i="46"/>
  <c r="O32" i="46"/>
  <c r="AB27" i="46"/>
  <c r="AD10" i="46"/>
  <c r="AT10" i="46"/>
  <c r="AI32" i="46"/>
  <c r="AM15" i="46"/>
  <c r="AM27" i="46" s="1"/>
  <c r="AR37" i="46"/>
  <c r="AR33" i="46"/>
  <c r="CL51" i="71"/>
  <c r="DF51" i="71"/>
  <c r="R27" i="46"/>
  <c r="AQ9" i="46"/>
  <c r="AQ15" i="46" s="1"/>
  <c r="AQ27" i="46" s="1"/>
  <c r="W10" i="46"/>
  <c r="AE10" i="46"/>
  <c r="L37" i="46"/>
  <c r="L33" i="46"/>
  <c r="V32" i="46"/>
  <c r="Z32" i="46"/>
  <c r="AJ37" i="46"/>
  <c r="AJ33" i="46"/>
  <c r="AN37" i="46"/>
  <c r="AN33" i="46"/>
  <c r="AW32" i="46"/>
  <c r="G32" i="46"/>
  <c r="AY66" i="46"/>
  <c r="AY50" i="46"/>
  <c r="P249" i="46"/>
  <c r="W249" i="46"/>
  <c r="X249" i="46" s="1"/>
  <c r="AJ249" i="46"/>
  <c r="AQ249" i="46"/>
  <c r="AR249" i="46" s="1"/>
  <c r="R45" i="46"/>
  <c r="W64" i="46"/>
  <c r="AB64" i="46"/>
  <c r="AQ64" i="46"/>
  <c r="BC63" i="46"/>
  <c r="BQ73" i="46"/>
  <c r="F93" i="46"/>
  <c r="J93" i="46"/>
  <c r="R93" i="46"/>
  <c r="CJ40" i="71" s="1"/>
  <c r="CJ41" i="71" s="1"/>
  <c r="T93" i="46"/>
  <c r="AB93" i="46"/>
  <c r="CT40" i="71" s="1"/>
  <c r="AF93" i="46"/>
  <c r="CX40" i="71" s="1"/>
  <c r="CX41" i="71" s="1"/>
  <c r="AJ93" i="46"/>
  <c r="DB40" i="71" s="1"/>
  <c r="DB41" i="71" s="1"/>
  <c r="H249" i="46"/>
  <c r="I249" i="46" s="1"/>
  <c r="Y249" i="46"/>
  <c r="AB249" i="46"/>
  <c r="AC249" i="46" s="1"/>
  <c r="AS249" i="46"/>
  <c r="BA49" i="46"/>
  <c r="BB49" i="46" s="1"/>
  <c r="BB51" i="71" s="1"/>
  <c r="BA48" i="46"/>
  <c r="BB48" i="46" s="1"/>
  <c r="R64" i="46"/>
  <c r="N63" i="46"/>
  <c r="M64" i="46"/>
  <c r="AX166" i="46"/>
  <c r="BB73" i="46"/>
  <c r="BC166" i="46"/>
  <c r="BG73" i="46"/>
  <c r="J249" i="46"/>
  <c r="M249" i="46"/>
  <c r="N249" i="46" s="1"/>
  <c r="R35" i="46"/>
  <c r="V249" i="46" s="1"/>
  <c r="Z249" i="46"/>
  <c r="AD249" i="46"/>
  <c r="AG249" i="46"/>
  <c r="AH249" i="46" s="1"/>
  <c r="AL35" i="46"/>
  <c r="AP249" i="46" s="1"/>
  <c r="AT249" i="46"/>
  <c r="AX167" i="46"/>
  <c r="AX66" i="46"/>
  <c r="BA64" i="46"/>
  <c r="BM267" i="46"/>
  <c r="BQ166" i="46"/>
  <c r="K249" i="46"/>
  <c r="O249" i="46"/>
  <c r="R249" i="46"/>
  <c r="S249" i="46" s="1"/>
  <c r="AE249" i="46"/>
  <c r="AI249" i="46"/>
  <c r="AL249" i="46"/>
  <c r="AM249" i="46" s="1"/>
  <c r="AL45" i="46"/>
  <c r="E93" i="46"/>
  <c r="Q93" i="46"/>
  <c r="CI40" i="71" s="1"/>
  <c r="CI41" i="71" s="1"/>
  <c r="BL93" i="46"/>
  <c r="BQ93" i="46"/>
  <c r="AZ167" i="46"/>
  <c r="X64" i="46"/>
  <c r="AZ64" i="46"/>
  <c r="BH267" i="46"/>
  <c r="BL166" i="46"/>
  <c r="BL73" i="46"/>
  <c r="AM149" i="46"/>
  <c r="AR149" i="46"/>
  <c r="X150" i="46"/>
  <c r="AR152" i="46"/>
  <c r="AW152" i="46"/>
  <c r="Y154" i="46"/>
  <c r="AC154" i="46" s="1"/>
  <c r="I155" i="46"/>
  <c r="N155" i="46"/>
  <c r="CJ156" i="46"/>
  <c r="G151" i="46"/>
  <c r="G156" i="46" s="1"/>
  <c r="K150" i="46"/>
  <c r="CA156" i="46"/>
  <c r="L150" i="46"/>
  <c r="L156" i="46" s="1"/>
  <c r="L171" i="46" s="1"/>
  <c r="CE156" i="46"/>
  <c r="O151" i="46"/>
  <c r="CH151" i="46"/>
  <c r="CI156" i="46"/>
  <c r="CQ156" i="46"/>
  <c r="AA151" i="46"/>
  <c r="AE150" i="46"/>
  <c r="CU156" i="46"/>
  <c r="AF150" i="46"/>
  <c r="AF156" i="46" s="1"/>
  <c r="CY156" i="46"/>
  <c r="AI151" i="46"/>
  <c r="DB151" i="46"/>
  <c r="DC156" i="46"/>
  <c r="DK156" i="46"/>
  <c r="AU151" i="46"/>
  <c r="H149" i="46"/>
  <c r="AB149" i="46"/>
  <c r="AV149" i="46"/>
  <c r="AV156" i="46" s="1"/>
  <c r="DL156" i="46"/>
  <c r="W159" i="46"/>
  <c r="CM161" i="46"/>
  <c r="R160" i="46"/>
  <c r="CH161" i="46"/>
  <c r="AV267" i="46"/>
  <c r="AW166" i="46"/>
  <c r="BU156" i="46"/>
  <c r="F150" i="46"/>
  <c r="BU151" i="46"/>
  <c r="E151" i="46" s="1"/>
  <c r="P150" i="46"/>
  <c r="S150" i="46" s="1"/>
  <c r="AJ150" i="46"/>
  <c r="AM150" i="46" s="1"/>
  <c r="W149" i="46"/>
  <c r="W156" i="46" s="1"/>
  <c r="CM156" i="46"/>
  <c r="AQ149" i="46"/>
  <c r="AQ156" i="46" s="1"/>
  <c r="DG156" i="46"/>
  <c r="S160" i="46"/>
  <c r="AL160" i="46"/>
  <c r="AM160" i="46" s="1"/>
  <c r="DB161" i="46"/>
  <c r="BB63" i="46"/>
  <c r="AL64" i="46"/>
  <c r="S149" i="46"/>
  <c r="X149" i="46"/>
  <c r="Q150" i="46"/>
  <c r="BQ151" i="46"/>
  <c r="N152" i="46"/>
  <c r="S153" i="46"/>
  <c r="AC153" i="46"/>
  <c r="AR154" i="46"/>
  <c r="AM155" i="46"/>
  <c r="CG156" i="46"/>
  <c r="CG171" i="46" s="1"/>
  <c r="V150" i="46"/>
  <c r="AE151" i="46"/>
  <c r="DE156" i="46"/>
  <c r="AP150" i="46"/>
  <c r="AP156" i="46" s="1"/>
  <c r="DB156" i="46"/>
  <c r="CK155" i="46"/>
  <c r="CK156" i="46" s="1"/>
  <c r="V154" i="46"/>
  <c r="X154" i="46" s="1"/>
  <c r="BX161" i="46"/>
  <c r="AV249" i="46"/>
  <c r="AW249" i="46" s="1"/>
  <c r="AY167" i="46"/>
  <c r="S64" i="46"/>
  <c r="AY64" i="46"/>
  <c r="BQ89" i="46"/>
  <c r="E150" i="46"/>
  <c r="I150" i="46" s="1"/>
  <c r="N150" i="46"/>
  <c r="AR150" i="46"/>
  <c r="AC152" i="46"/>
  <c r="AR153" i="46"/>
  <c r="S154" i="46"/>
  <c r="AM154" i="46"/>
  <c r="AH155" i="46"/>
  <c r="AW155" i="46"/>
  <c r="CC151" i="46"/>
  <c r="CD156" i="46"/>
  <c r="CF151" i="46"/>
  <c r="P151" i="46" s="1"/>
  <c r="P156" i="46" s="1"/>
  <c r="V151" i="46"/>
  <c r="X151" i="46" s="1"/>
  <c r="AA150" i="46"/>
  <c r="AA156" i="46" s="1"/>
  <c r="Z150" i="46"/>
  <c r="AC150" i="46" s="1"/>
  <c r="CP156" i="46"/>
  <c r="CW151" i="46"/>
  <c r="CX156" i="46"/>
  <c r="CZ151" i="46"/>
  <c r="AJ151" i="46" s="1"/>
  <c r="AP151" i="46"/>
  <c r="AU150" i="46"/>
  <c r="AU156" i="46" s="1"/>
  <c r="AT150" i="46"/>
  <c r="AW150" i="46" s="1"/>
  <c r="DJ156" i="46"/>
  <c r="M149" i="46"/>
  <c r="CW156" i="46"/>
  <c r="CW171" i="46" s="1"/>
  <c r="AG149" i="46"/>
  <c r="AH158" i="46"/>
  <c r="AW165" i="46"/>
  <c r="DE171" i="46"/>
  <c r="I149" i="46"/>
  <c r="AC149" i="46"/>
  <c r="AW149" i="46"/>
  <c r="BZ151" i="46"/>
  <c r="J151" i="46" s="1"/>
  <c r="CO151" i="46"/>
  <c r="Y151" i="46" s="1"/>
  <c r="CT151" i="46"/>
  <c r="AD151" i="46" s="1"/>
  <c r="AD156" i="46" s="1"/>
  <c r="DD151" i="46"/>
  <c r="AN151" i="46" s="1"/>
  <c r="DI151" i="46"/>
  <c r="AS151" i="46" s="1"/>
  <c r="CL156" i="46"/>
  <c r="CL171" i="46" s="1"/>
  <c r="DF156" i="46"/>
  <c r="I158" i="46"/>
  <c r="M158" i="46"/>
  <c r="AC158" i="46"/>
  <c r="AG158" i="46"/>
  <c r="AW158" i="46"/>
  <c r="J161" i="46"/>
  <c r="AD161" i="46"/>
  <c r="BX159" i="46"/>
  <c r="H159" i="46" s="1"/>
  <c r="H161" i="46" s="1"/>
  <c r="CR159" i="46"/>
  <c r="AB159" i="46" s="1"/>
  <c r="CT49" i="71" s="1"/>
  <c r="CT51" i="71" s="1"/>
  <c r="DL159" i="46"/>
  <c r="AV159" i="46" s="1"/>
  <c r="DN49" i="71" s="1"/>
  <c r="DN51" i="71" s="1"/>
  <c r="DG160" i="46"/>
  <c r="AQ160" i="46" s="1"/>
  <c r="DI49" i="71" s="1"/>
  <c r="DI51" i="71" s="1"/>
  <c r="G169" i="46"/>
  <c r="K169" i="46"/>
  <c r="P169" i="46"/>
  <c r="T169" i="46"/>
  <c r="X163" i="46"/>
  <c r="CP55" i="71" s="1"/>
  <c r="AF169" i="46"/>
  <c r="AO169" i="46"/>
  <c r="AW163" i="46"/>
  <c r="DO55" i="71" s="1"/>
  <c r="K164" i="46"/>
  <c r="K103" i="46" s="1"/>
  <c r="AW164" i="46"/>
  <c r="DO56" i="71" s="1"/>
  <c r="CD171" i="46"/>
  <c r="N165" i="46"/>
  <c r="CF57" i="71" s="1"/>
  <c r="AT165" i="46"/>
  <c r="DL57" i="71" s="1"/>
  <c r="DJ169" i="46"/>
  <c r="DJ171" i="46" s="1"/>
  <c r="I166" i="46"/>
  <c r="AH166" i="46"/>
  <c r="AL166" i="46"/>
  <c r="S266" i="46"/>
  <c r="S167" i="46"/>
  <c r="AD169" i="46"/>
  <c r="DG169" i="46"/>
  <c r="DL169" i="46"/>
  <c r="CC169" i="46"/>
  <c r="CE171" i="46"/>
  <c r="CJ171" i="46"/>
  <c r="CY171" i="46"/>
  <c r="DM169" i="46"/>
  <c r="DM171" i="46" s="1"/>
  <c r="X174" i="46"/>
  <c r="AR174" i="46"/>
  <c r="H169" i="46"/>
  <c r="AC163" i="46"/>
  <c r="CU55" i="71" s="1"/>
  <c r="E164" i="46"/>
  <c r="BU169" i="46"/>
  <c r="BU171" i="46" s="1"/>
  <c r="BU175" i="46" s="1"/>
  <c r="DF171" i="46"/>
  <c r="N166" i="46"/>
  <c r="AR166" i="46"/>
  <c r="X167" i="46"/>
  <c r="R169" i="46"/>
  <c r="CP171" i="46"/>
  <c r="T156" i="46"/>
  <c r="AN156" i="46"/>
  <c r="CB151" i="46"/>
  <c r="L151" i="46" s="1"/>
  <c r="CG151" i="46"/>
  <c r="CV151" i="46"/>
  <c r="AF151" i="46" s="1"/>
  <c r="DA151" i="46"/>
  <c r="AK151" i="46" s="1"/>
  <c r="AK156" i="46" s="1"/>
  <c r="CN156" i="46"/>
  <c r="DH156" i="46"/>
  <c r="F159" i="46"/>
  <c r="I159" i="46" s="1"/>
  <c r="CA49" i="71" s="1"/>
  <c r="R159" i="46"/>
  <c r="CJ49" i="71" s="1"/>
  <c r="CJ51" i="71" s="1"/>
  <c r="V159" i="46"/>
  <c r="CN49" i="71" s="1"/>
  <c r="CN51" i="71" s="1"/>
  <c r="Z159" i="46"/>
  <c r="CR49" i="71" s="1"/>
  <c r="CR51" i="71" s="1"/>
  <c r="AL159" i="46"/>
  <c r="DD49" i="71" s="1"/>
  <c r="DD51" i="71" s="1"/>
  <c r="AP159" i="46"/>
  <c r="DH49" i="71" s="1"/>
  <c r="DH51" i="71" s="1"/>
  <c r="AT159" i="46"/>
  <c r="DL49" i="71" s="1"/>
  <c r="DL51" i="71" s="1"/>
  <c r="T161" i="46"/>
  <c r="AN161" i="46"/>
  <c r="CK160" i="46"/>
  <c r="CN161" i="46"/>
  <c r="CN171" i="46" s="1"/>
  <c r="I163" i="46"/>
  <c r="CA55" i="71" s="1"/>
  <c r="M169" i="46"/>
  <c r="AH163" i="46"/>
  <c r="CZ55" i="71" s="1"/>
  <c r="AI169" i="46"/>
  <c r="AM163" i="46"/>
  <c r="DE55" i="71" s="1"/>
  <c r="AQ169" i="46"/>
  <c r="AU169" i="46"/>
  <c r="H164" i="46"/>
  <c r="H103" i="46" s="1"/>
  <c r="BV171" i="46"/>
  <c r="BV175" i="46" s="1"/>
  <c r="CA171" i="46"/>
  <c r="DK169" i="46"/>
  <c r="DK171" i="46" s="1"/>
  <c r="AQ165" i="46"/>
  <c r="DI57" i="71" s="1"/>
  <c r="X166" i="46"/>
  <c r="AM167" i="46"/>
  <c r="AR168" i="46"/>
  <c r="DJ58" i="71" s="1"/>
  <c r="AW168" i="46"/>
  <c r="DO58" i="71" s="1"/>
  <c r="CM169" i="46"/>
  <c r="CM171" i="46" s="1"/>
  <c r="DC171" i="46"/>
  <c r="DC170" i="46"/>
  <c r="CH169" i="46"/>
  <c r="CU171" i="46"/>
  <c r="BY151" i="46"/>
  <c r="BX151" i="46" s="1"/>
  <c r="H151" i="46" s="1"/>
  <c r="CS151" i="46"/>
  <c r="CR151" i="46" s="1"/>
  <c r="AB151" i="46" s="1"/>
  <c r="DG161" i="46"/>
  <c r="DK161" i="46"/>
  <c r="N163" i="46"/>
  <c r="CF55" i="71" s="1"/>
  <c r="O169" i="46"/>
  <c r="S169" i="46" s="1"/>
  <c r="S163" i="46"/>
  <c r="CK55" i="71" s="1"/>
  <c r="W169" i="46"/>
  <c r="AA169" i="46"/>
  <c r="AE169" i="46"/>
  <c r="AJ169" i="46"/>
  <c r="AN169" i="46"/>
  <c r="AR163" i="46"/>
  <c r="DJ55" i="71" s="1"/>
  <c r="AV169" i="46"/>
  <c r="J164" i="46"/>
  <c r="AV164" i="46"/>
  <c r="BW171" i="46"/>
  <c r="BW175" i="46" s="1"/>
  <c r="AH165" i="46"/>
  <c r="AC166" i="46"/>
  <c r="AK166" i="46"/>
  <c r="AR266" i="46"/>
  <c r="AR167" i="46"/>
  <c r="I168" i="46"/>
  <c r="CA58" i="71" s="1"/>
  <c r="N168" i="46"/>
  <c r="CF58" i="71" s="1"/>
  <c r="X168" i="46"/>
  <c r="CP58" i="71" s="1"/>
  <c r="CX169" i="46"/>
  <c r="CX171" i="46" s="1"/>
  <c r="CS169" i="46"/>
  <c r="CR168" i="46"/>
  <c r="AB168" i="46" s="1"/>
  <c r="CT58" i="71" s="1"/>
  <c r="DB169" i="46"/>
  <c r="DB171" i="46" s="1"/>
  <c r="CI171" i="46"/>
  <c r="CQ171" i="46"/>
  <c r="I174" i="46"/>
  <c r="AC174" i="46"/>
  <c r="AW174" i="46"/>
  <c r="E224" i="46"/>
  <c r="S184" i="46"/>
  <c r="DH169" i="46"/>
  <c r="DH171" i="46" s="1"/>
  <c r="R184" i="46"/>
  <c r="R196" i="46" s="1"/>
  <c r="R224" i="46" s="1"/>
  <c r="V184" i="46"/>
  <c r="V196" i="46" s="1"/>
  <c r="Z184" i="46"/>
  <c r="Z196" i="46" s="1"/>
  <c r="Z224" i="46" s="1"/>
  <c r="AD184" i="46"/>
  <c r="AD196" i="46" s="1"/>
  <c r="AX193" i="46"/>
  <c r="AG203" i="46"/>
  <c r="AG212" i="46" s="1"/>
  <c r="AH202" i="46"/>
  <c r="AY207" i="46"/>
  <c r="AW228" i="46"/>
  <c r="AW184" i="46"/>
  <c r="W196" i="46"/>
  <c r="W224" i="46" s="1"/>
  <c r="AA196" i="46"/>
  <c r="AE196" i="46"/>
  <c r="AE224" i="46" s="1"/>
  <c r="AQ231" i="46"/>
  <c r="AR205" i="46"/>
  <c r="AR231" i="46" s="1"/>
  <c r="AW238" i="46"/>
  <c r="AO238" i="46"/>
  <c r="AO222" i="46"/>
  <c r="I266" i="46"/>
  <c r="I167" i="46"/>
  <c r="AC266" i="46"/>
  <c r="AC167" i="46"/>
  <c r="AW266" i="46"/>
  <c r="AW167" i="46"/>
  <c r="BY169" i="46"/>
  <c r="N174" i="46"/>
  <c r="AH174" i="46"/>
  <c r="N180" i="46"/>
  <c r="N184" i="46" s="1"/>
  <c r="N196" i="46" s="1"/>
  <c r="AO196" i="46"/>
  <c r="AO224" i="46" s="1"/>
  <c r="X179" i="46"/>
  <c r="AC179" i="46"/>
  <c r="T184" i="46"/>
  <c r="T196" i="46" s="1"/>
  <c r="T224" i="46" s="1"/>
  <c r="AB184" i="46"/>
  <c r="N188" i="46"/>
  <c r="AH188" i="46"/>
  <c r="AF194" i="46"/>
  <c r="AF196" i="46" s="1"/>
  <c r="AF224" i="46" s="1"/>
  <c r="AH190" i="46"/>
  <c r="AH194" i="46" s="1"/>
  <c r="AH203" i="46"/>
  <c r="AH212" i="46" s="1"/>
  <c r="M203" i="46"/>
  <c r="N202" i="46"/>
  <c r="N203" i="46" s="1"/>
  <c r="N212" i="46" s="1"/>
  <c r="N222" i="46" s="1"/>
  <c r="AA231" i="46"/>
  <c r="AK238" i="46"/>
  <c r="AK222" i="46"/>
  <c r="S166" i="46"/>
  <c r="AM166" i="46"/>
  <c r="N266" i="46"/>
  <c r="N167" i="46"/>
  <c r="AH266" i="46"/>
  <c r="AH167" i="46"/>
  <c r="AK196" i="46"/>
  <c r="AH180" i="46"/>
  <c r="AH184" i="46" s="1"/>
  <c r="AH196" i="46" s="1"/>
  <c r="AH224" i="46" s="1"/>
  <c r="AM180" i="46"/>
  <c r="AM184" i="46" s="1"/>
  <c r="AM196" i="46" s="1"/>
  <c r="AR180" i="46"/>
  <c r="AR184" i="46" s="1"/>
  <c r="AR196" i="46" s="1"/>
  <c r="I184" i="46"/>
  <c r="Y184" i="46"/>
  <c r="Y196" i="46" s="1"/>
  <c r="Y224" i="46" s="1"/>
  <c r="H194" i="46"/>
  <c r="H196" i="46" s="1"/>
  <c r="H224" i="46" s="1"/>
  <c r="I190" i="46"/>
  <c r="I194" i="46" s="1"/>
  <c r="R194" i="46"/>
  <c r="S190" i="46"/>
  <c r="S194" i="46" s="1"/>
  <c r="AB194" i="46"/>
  <c r="AC190" i="46"/>
  <c r="AC194" i="46" s="1"/>
  <c r="AL194" i="46"/>
  <c r="AL196" i="46" s="1"/>
  <c r="AM190" i="46"/>
  <c r="AM194" i="46" s="1"/>
  <c r="AW190" i="46"/>
  <c r="AV194" i="46"/>
  <c r="AV196" i="46" s="1"/>
  <c r="AV224" i="46" s="1"/>
  <c r="W194" i="46"/>
  <c r="AW203" i="46"/>
  <c r="K241" i="46"/>
  <c r="K236" i="46" s="1"/>
  <c r="Q230" i="46"/>
  <c r="Q203" i="46"/>
  <c r="Q212" i="46" s="1"/>
  <c r="S231" i="46"/>
  <c r="W231" i="46"/>
  <c r="X205" i="46"/>
  <c r="X231" i="46" s="1"/>
  <c r="AC210" i="46"/>
  <c r="Y238" i="46"/>
  <c r="Y222" i="46"/>
  <c r="AC238" i="46"/>
  <c r="J232" i="46"/>
  <c r="P242" i="46"/>
  <c r="P241" i="46"/>
  <c r="P233" i="46" s="1"/>
  <c r="V232" i="46"/>
  <c r="G212" i="46"/>
  <c r="G222" i="46" s="1"/>
  <c r="G224" i="46" s="1"/>
  <c r="O212" i="46"/>
  <c r="O222" i="46" s="1"/>
  <c r="O224" i="46" s="1"/>
  <c r="AE212" i="46"/>
  <c r="AI212" i="46"/>
  <c r="AQ212" i="46"/>
  <c r="AQ222" i="46" s="1"/>
  <c r="AQ224" i="46" s="1"/>
  <c r="AU212" i="46"/>
  <c r="AU222" i="46" s="1"/>
  <c r="AU224" i="46" s="1"/>
  <c r="F231" i="46"/>
  <c r="J231" i="46"/>
  <c r="N231" i="46"/>
  <c r="R253" i="46"/>
  <c r="CJ21" i="71" s="1"/>
  <c r="V231" i="46"/>
  <c r="Z231" i="46"/>
  <c r="AD231" i="46"/>
  <c r="AD232" i="46" s="1"/>
  <c r="AH231" i="46"/>
  <c r="AL232" i="46"/>
  <c r="X210" i="46"/>
  <c r="AR210" i="46"/>
  <c r="AH238" i="46"/>
  <c r="AH222" i="46"/>
  <c r="N238" i="46"/>
  <c r="W238" i="46"/>
  <c r="W222" i="46"/>
  <c r="AA238" i="46"/>
  <c r="AA222" i="46"/>
  <c r="AE238" i="46"/>
  <c r="AE222" i="46"/>
  <c r="E238" i="46"/>
  <c r="E222" i="46"/>
  <c r="I238" i="46"/>
  <c r="M238" i="46"/>
  <c r="AG238" i="46"/>
  <c r="AG222" i="46"/>
  <c r="AG224" i="46" s="1"/>
  <c r="AS238" i="46"/>
  <c r="AS222" i="46"/>
  <c r="AS224" i="46" s="1"/>
  <c r="AF222" i="46"/>
  <c r="AG232" i="46"/>
  <c r="AM238" i="46"/>
  <c r="AP222" i="46"/>
  <c r="AP224" i="46" s="1"/>
  <c r="AP238" i="46"/>
  <c r="F222" i="46"/>
  <c r="F224" i="46" s="1"/>
  <c r="J222" i="46"/>
  <c r="J224" i="46" s="1"/>
  <c r="U238" i="46"/>
  <c r="U222" i="46"/>
  <c r="U224" i="46" s="1"/>
  <c r="AT222" i="46"/>
  <c r="AT224" i="46" s="1"/>
  <c r="T222" i="46"/>
  <c r="M232" i="46"/>
  <c r="AI232" i="46"/>
  <c r="AS232" i="46"/>
  <c r="L242" i="46"/>
  <c r="L241" i="46"/>
  <c r="L233" i="46" s="1"/>
  <c r="Z232" i="46"/>
  <c r="R254" i="46"/>
  <c r="CJ22" i="71" s="1"/>
  <c r="R241" i="46"/>
  <c r="R236" i="46" s="1"/>
  <c r="R233" i="46"/>
  <c r="R242" i="46"/>
  <c r="S199" i="46"/>
  <c r="S230" i="46" s="1"/>
  <c r="X232" i="46"/>
  <c r="AH232" i="46"/>
  <c r="AM232" i="46"/>
  <c r="AR232" i="46"/>
  <c r="H231" i="46"/>
  <c r="L253" i="46"/>
  <c r="T231" i="46"/>
  <c r="AB231" i="46"/>
  <c r="AB232" i="46" s="1"/>
  <c r="I209" i="46"/>
  <c r="I210" i="46" s="1"/>
  <c r="AC209" i="46"/>
  <c r="AW209" i="46"/>
  <c r="AX209" i="46" s="1"/>
  <c r="AY209" i="46" s="1"/>
  <c r="AZ209" i="46" s="1"/>
  <c r="M210" i="46"/>
  <c r="AY215" i="46"/>
  <c r="S238" i="46"/>
  <c r="AN222" i="46"/>
  <c r="AN224" i="46" s="1"/>
  <c r="G232" i="46"/>
  <c r="AE232" i="46"/>
  <c r="AO232" i="46"/>
  <c r="AT232" i="46"/>
  <c r="O232" i="46"/>
  <c r="AM202" i="46"/>
  <c r="AM203" i="46" s="1"/>
  <c r="AM212" i="46" s="1"/>
  <c r="AM222" i="46" s="1"/>
  <c r="R203" i="46"/>
  <c r="R212" i="46" s="1"/>
  <c r="E231" i="46"/>
  <c r="E232" i="46" s="1"/>
  <c r="I205" i="46"/>
  <c r="I231" i="46" s="1"/>
  <c r="U231" i="46"/>
  <c r="Y231" i="46"/>
  <c r="AC205" i="46"/>
  <c r="AC231" i="46" s="1"/>
  <c r="AW205" i="46"/>
  <c r="V222" i="46"/>
  <c r="V238" i="46"/>
  <c r="Z222" i="46"/>
  <c r="Z238" i="46"/>
  <c r="AD222" i="46"/>
  <c r="AD238" i="46"/>
  <c r="AI238" i="46"/>
  <c r="AI222" i="46"/>
  <c r="AI224" i="46" s="1"/>
  <c r="Q238" i="46"/>
  <c r="Q222" i="46"/>
  <c r="Q224" i="46" s="1"/>
  <c r="AB222" i="46"/>
  <c r="AK232" i="46"/>
  <c r="AP232" i="46"/>
  <c r="X215" i="46"/>
  <c r="X235" i="46" s="1"/>
  <c r="L239" i="46"/>
  <c r="H232" i="46"/>
  <c r="AF232" i="46"/>
  <c r="AJ232" i="46"/>
  <c r="AN232" i="46"/>
  <c r="AV232" i="46"/>
  <c r="F238" i="46"/>
  <c r="J238" i="46"/>
  <c r="AL220" i="46"/>
  <c r="AT238" i="46"/>
  <c r="R222" i="46"/>
  <c r="AQ232" i="46"/>
  <c r="AU232" i="46"/>
  <c r="AB264" i="46"/>
  <c r="AA264" i="46" s="1"/>
  <c r="U265" i="46"/>
  <c r="X265" i="46"/>
  <c r="AC265" i="46" s="1"/>
  <c r="AH265" i="46" s="1"/>
  <c r="AM265" i="46" s="1"/>
  <c r="AR265" i="46" s="1"/>
  <c r="AW265" i="46" s="1"/>
  <c r="BB265" i="46" s="1"/>
  <c r="BG265" i="46" s="1"/>
  <c r="BL265" i="46" s="1"/>
  <c r="BQ265" i="46" s="1"/>
  <c r="V264" i="46"/>
  <c r="U264" i="46"/>
  <c r="R264" i="46"/>
  <c r="Q264" i="46"/>
  <c r="AM71" i="71"/>
  <c r="CF45" i="71"/>
  <c r="CT41" i="71"/>
  <c r="DJ41" i="71"/>
  <c r="AR48" i="71"/>
  <c r="CA45" i="71"/>
  <c r="DB51" i="71"/>
  <c r="AM68" i="71"/>
  <c r="AR70" i="71"/>
  <c r="AC48" i="71"/>
  <c r="AW48" i="71"/>
  <c r="CX51" i="71"/>
  <c r="BB123" i="73"/>
  <c r="AH18" i="73"/>
  <c r="CD67" i="73"/>
  <c r="BZ67" i="73"/>
  <c r="CC67" i="73"/>
  <c r="CE67" i="73"/>
  <c r="CA67" i="73"/>
  <c r="CB67" i="73"/>
  <c r="CR37" i="73"/>
  <c r="CK49" i="73"/>
  <c r="CJ65" i="73"/>
  <c r="BQ27" i="73" l="1"/>
  <c r="BP51" i="80"/>
  <c r="BO129" i="80"/>
  <c r="AZ131" i="80"/>
  <c r="BQ685" i="80"/>
  <c r="BP125" i="80"/>
  <c r="BO124" i="80"/>
  <c r="BW111" i="97"/>
  <c r="BY111" i="97" s="1"/>
  <c r="BB107" i="97" s="1"/>
  <c r="BB45" i="97" s="1"/>
  <c r="AZ14" i="100"/>
  <c r="BE90" i="100"/>
  <c r="CY36" i="59"/>
  <c r="BP41" i="59"/>
  <c r="AV289" i="59"/>
  <c r="BC126" i="100" s="1"/>
  <c r="BC155" i="100" s="1"/>
  <c r="X289" i="59"/>
  <c r="BU291" i="59"/>
  <c r="BA319" i="59"/>
  <c r="AV319" i="59"/>
  <c r="Y319" i="59"/>
  <c r="BF189" i="99"/>
  <c r="BI321" i="59"/>
  <c r="BN321" i="59"/>
  <c r="W319" i="59"/>
  <c r="BH321" i="59"/>
  <c r="U319" i="59"/>
  <c r="BU321" i="59"/>
  <c r="V321" i="59"/>
  <c r="BK321" i="59"/>
  <c r="CY254" i="59"/>
  <c r="CW254" i="59"/>
  <c r="CW256" i="59" s="1"/>
  <c r="CW258" i="59" s="1"/>
  <c r="CV256" i="59"/>
  <c r="CT253" i="59"/>
  <c r="CZ253" i="59"/>
  <c r="CY253" i="59"/>
  <c r="CY256" i="59" s="1"/>
  <c r="CY258" i="59" s="1"/>
  <c r="CQ253" i="59"/>
  <c r="CQ256" i="59" s="1"/>
  <c r="CQ258" i="59" s="1"/>
  <c r="CX253" i="59"/>
  <c r="CX256" i="59" s="1"/>
  <c r="AF258" i="59"/>
  <c r="CW200" i="59"/>
  <c r="R202" i="59"/>
  <c r="BA202" i="59"/>
  <c r="BM177" i="77" s="1"/>
  <c r="BM202" i="77" s="1"/>
  <c r="AL202" i="59"/>
  <c r="AX177" i="77" s="1"/>
  <c r="AX202" i="77" s="1"/>
  <c r="CL198" i="59"/>
  <c r="AA133" i="59"/>
  <c r="CM127" i="59"/>
  <c r="CR127" i="59"/>
  <c r="CT127" i="59"/>
  <c r="CT131" i="59" s="1"/>
  <c r="BK185" i="78" s="1"/>
  <c r="CQ127" i="59"/>
  <c r="CQ131" i="59" s="1"/>
  <c r="BH185" i="78" s="1"/>
  <c r="CO127" i="59"/>
  <c r="CU127" i="59"/>
  <c r="CZ127" i="59" s="1"/>
  <c r="CQ170" i="59"/>
  <c r="CM174" i="59"/>
  <c r="BD156" i="79" s="1"/>
  <c r="CS170" i="59"/>
  <c r="CS174" i="59" s="1"/>
  <c r="BJ156" i="79" s="1"/>
  <c r="CL170" i="59"/>
  <c r="CL174" i="59" s="1"/>
  <c r="CR170" i="59"/>
  <c r="CT170" i="59"/>
  <c r="CU170" i="59"/>
  <c r="CZ170" i="59" s="1"/>
  <c r="AQ174" i="59"/>
  <c r="BC151" i="79" s="1"/>
  <c r="BC176" i="79" s="1"/>
  <c r="CN170" i="59"/>
  <c r="CO170" i="59"/>
  <c r="CO174" i="59" s="1"/>
  <c r="BF156" i="79" s="1"/>
  <c r="BC174" i="59"/>
  <c r="BO151" i="79" s="1"/>
  <c r="BO176" i="79" s="1"/>
  <c r="AY193" i="46"/>
  <c r="BJ823" i="80"/>
  <c r="BJ154" i="46" s="1"/>
  <c r="AX83" i="79"/>
  <c r="BQ84" i="79"/>
  <c r="AZ118" i="79"/>
  <c r="AY56" i="79"/>
  <c r="AZ83" i="79"/>
  <c r="BB84" i="79"/>
  <c r="BJ176" i="59"/>
  <c r="M174" i="59"/>
  <c r="BP11" i="59"/>
  <c r="BT176" i="59"/>
  <c r="Y174" i="59"/>
  <c r="AZ122" i="78"/>
  <c r="AY52" i="78"/>
  <c r="V258" i="59"/>
  <c r="L258" i="59"/>
  <c r="CR256" i="59"/>
  <c r="CR258" i="59" s="1"/>
  <c r="CT256" i="59"/>
  <c r="CT258" i="59" s="1"/>
  <c r="R256" i="59"/>
  <c r="CS256" i="59"/>
  <c r="CS258" i="59" s="1"/>
  <c r="AS256" i="59"/>
  <c r="AG319" i="59"/>
  <c r="BO321" i="59"/>
  <c r="BS291" i="59"/>
  <c r="BY291" i="59"/>
  <c r="BK291" i="59"/>
  <c r="AD289" i="59"/>
  <c r="BI291" i="59"/>
  <c r="AW106" i="99"/>
  <c r="BD50" i="100"/>
  <c r="AY50" i="100"/>
  <c r="AU88" i="100"/>
  <c r="AU87" i="100" s="1"/>
  <c r="AT50" i="100"/>
  <c r="L133" i="59"/>
  <c r="AY71" i="51"/>
  <c r="BB88" i="78"/>
  <c r="AA204" i="59"/>
  <c r="U202" i="59"/>
  <c r="BJ205" i="77"/>
  <c r="BI71" i="51"/>
  <c r="CT198" i="59"/>
  <c r="CT202" i="59" s="1"/>
  <c r="CU198" i="59"/>
  <c r="CZ198" i="59" s="1"/>
  <c r="CS198" i="59"/>
  <c r="BU204" i="59"/>
  <c r="BR204" i="59"/>
  <c r="CM198" i="59"/>
  <c r="CR198" i="59"/>
  <c r="CQ198" i="59"/>
  <c r="AK204" i="59"/>
  <c r="BJ204" i="59"/>
  <c r="AF204" i="59"/>
  <c r="BE205" i="77"/>
  <c r="BE71" i="51" s="1"/>
  <c r="BP141" i="79"/>
  <c r="BP227" i="79" s="1"/>
  <c r="BM140" i="79"/>
  <c r="BM141" i="79" s="1"/>
  <c r="BN140" i="79"/>
  <c r="BN141" i="79" s="1"/>
  <c r="BP140" i="79"/>
  <c r="BO140" i="79"/>
  <c r="BO141" i="79" s="1"/>
  <c r="BO167" i="77"/>
  <c r="BL87" i="77"/>
  <c r="BK95" i="46"/>
  <c r="BF181" i="99"/>
  <c r="BF184" i="99" s="1"/>
  <c r="BF278" i="99"/>
  <c r="AU278" i="99"/>
  <c r="BA115" i="100"/>
  <c r="AZ115" i="100"/>
  <c r="BB261" i="100"/>
  <c r="AW56" i="100"/>
  <c r="BB94" i="73"/>
  <c r="BE150" i="99"/>
  <c r="AU181" i="99"/>
  <c r="AU184" i="99" s="1"/>
  <c r="AY117" i="100"/>
  <c r="AV146" i="99"/>
  <c r="AV150" i="99" s="1"/>
  <c r="BA147" i="99"/>
  <c r="BA150" i="99" s="1"/>
  <c r="AS79" i="98"/>
  <c r="AU79" i="98"/>
  <c r="BA508" i="80"/>
  <c r="BG70" i="80"/>
  <c r="AR140" i="80"/>
  <c r="AR657" i="80" s="1"/>
  <c r="AM65" i="80"/>
  <c r="BG88" i="78"/>
  <c r="AC140" i="80"/>
  <c r="AM90" i="80"/>
  <c r="AM82" i="80"/>
  <c r="AU426" i="80"/>
  <c r="BJ488" i="80"/>
  <c r="BG140" i="80"/>
  <c r="BG657" i="80" s="1"/>
  <c r="BB136" i="80"/>
  <c r="BB644" i="80" s="1"/>
  <c r="AM86" i="80"/>
  <c r="AM606" i="80" s="1"/>
  <c r="AP71" i="80"/>
  <c r="BB65" i="80"/>
  <c r="AN657" i="80"/>
  <c r="BJ439" i="80"/>
  <c r="BE71" i="80"/>
  <c r="AE519" i="80"/>
  <c r="AM70" i="80"/>
  <c r="BC479" i="80"/>
  <c r="BL136" i="80"/>
  <c r="BL644" i="80" s="1"/>
  <c r="BJ479" i="80"/>
  <c r="AE87" i="80"/>
  <c r="AE272" i="80" s="1"/>
  <c r="AT508" i="80"/>
  <c r="AT71" i="80"/>
  <c r="BL140" i="80"/>
  <c r="BL657" i="80" s="1"/>
  <c r="AE75" i="80"/>
  <c r="AE643" i="80" s="1"/>
  <c r="P130" i="100"/>
  <c r="R130" i="100"/>
  <c r="BC764" i="80"/>
  <c r="BC14" i="80"/>
  <c r="AV15" i="80"/>
  <c r="AV19" i="80" s="1"/>
  <c r="AV12" i="51"/>
  <c r="AT43" i="99"/>
  <c r="AT37" i="98"/>
  <c r="AY41" i="77"/>
  <c r="AT37" i="100"/>
  <c r="AY40" i="79"/>
  <c r="AY40" i="51"/>
  <c r="AY43" i="78"/>
  <c r="AY40" i="80"/>
  <c r="AY801" i="80" s="1"/>
  <c r="AV15" i="46"/>
  <c r="AV27" i="46" s="1"/>
  <c r="AV9" i="51"/>
  <c r="AV10" i="46"/>
  <c r="Y256" i="59"/>
  <c r="AJ256" i="59"/>
  <c r="AQ256" i="59"/>
  <c r="BB256" i="59"/>
  <c r="AI256" i="59"/>
  <c r="AO256" i="59"/>
  <c r="O256" i="59"/>
  <c r="N256" i="59"/>
  <c r="P256" i="59"/>
  <c r="P258" i="59" s="1"/>
  <c r="X256" i="59"/>
  <c r="AR256" i="59"/>
  <c r="AR258" i="59" s="1"/>
  <c r="AW129" i="100"/>
  <c r="AW109" i="100" s="1"/>
  <c r="AV256" i="59"/>
  <c r="AH256" i="59"/>
  <c r="AN256" i="59"/>
  <c r="AE256" i="59"/>
  <c r="U256" i="59"/>
  <c r="BC256" i="59"/>
  <c r="W256" i="59"/>
  <c r="S256" i="59"/>
  <c r="AM256" i="59"/>
  <c r="M256" i="59"/>
  <c r="BD256" i="59"/>
  <c r="Z256" i="59"/>
  <c r="Z258" i="59" s="1"/>
  <c r="AT256" i="59"/>
  <c r="AT258" i="59" s="1"/>
  <c r="CR31" i="59"/>
  <c r="BA256" i="59"/>
  <c r="BA258" i="59" s="1"/>
  <c r="T256" i="59"/>
  <c r="AY256" i="59"/>
  <c r="AC256" i="59"/>
  <c r="AL251" i="59"/>
  <c r="AL256" i="59" s="1"/>
  <c r="AP256" i="59"/>
  <c r="AP258" i="59" s="1"/>
  <c r="BQ251" i="59"/>
  <c r="BL256" i="59"/>
  <c r="AD256" i="59"/>
  <c r="AW256" i="59"/>
  <c r="CZ250" i="59"/>
  <c r="AI99" i="59"/>
  <c r="T99" i="59"/>
  <c r="AO289" i="59"/>
  <c r="AV126" i="100" s="1"/>
  <c r="AV155" i="100" s="1"/>
  <c r="AG202" i="59"/>
  <c r="AG204" i="59" s="1"/>
  <c r="AO192" i="59"/>
  <c r="BA178" i="77" s="1"/>
  <c r="BA203" i="77" s="1"/>
  <c r="BI204" i="59"/>
  <c r="AG192" i="59"/>
  <c r="AX99" i="59"/>
  <c r="BJ806" i="80" s="1"/>
  <c r="X121" i="59"/>
  <c r="AW99" i="59"/>
  <c r="BI806" i="80" s="1"/>
  <c r="AD99" i="59"/>
  <c r="AR99" i="59"/>
  <c r="BD806" i="80" s="1"/>
  <c r="BA99" i="59"/>
  <c r="BM806" i="80" s="1"/>
  <c r="BM832" i="80" s="1"/>
  <c r="AJ99" i="59"/>
  <c r="W99" i="59"/>
  <c r="AC99" i="59"/>
  <c r="P99" i="59"/>
  <c r="AL94" i="59"/>
  <c r="AL99" i="59" s="1"/>
  <c r="AP99" i="59"/>
  <c r="AP101" i="59" s="1"/>
  <c r="BQ94" i="59"/>
  <c r="BL99" i="59"/>
  <c r="BL101" i="59" s="1"/>
  <c r="AT99" i="59"/>
  <c r="BF806" i="80" s="1"/>
  <c r="AE99" i="59"/>
  <c r="AY99" i="59"/>
  <c r="BK806" i="80" s="1"/>
  <c r="BK832" i="80" s="1"/>
  <c r="AG99" i="59"/>
  <c r="X99" i="59"/>
  <c r="S99" i="59"/>
  <c r="U99" i="59"/>
  <c r="M99" i="59"/>
  <c r="BB99" i="59"/>
  <c r="BN806" i="80" s="1"/>
  <c r="AS99" i="59"/>
  <c r="BE806" i="80" s="1"/>
  <c r="AT121" i="59"/>
  <c r="AH121" i="59"/>
  <c r="AV99" i="59"/>
  <c r="BH806" i="80" s="1"/>
  <c r="Y99" i="59"/>
  <c r="N99" i="59"/>
  <c r="AQ99" i="59"/>
  <c r="CN39" i="59"/>
  <c r="CE31" i="59"/>
  <c r="Z247" i="59"/>
  <c r="AB121" i="59"/>
  <c r="BB121" i="59"/>
  <c r="BN10" i="59"/>
  <c r="BI258" i="59"/>
  <c r="BL134" i="98"/>
  <c r="M281" i="59"/>
  <c r="BA216" i="59"/>
  <c r="BA226" i="59" s="1"/>
  <c r="V204" i="59"/>
  <c r="BT204" i="59"/>
  <c r="BE226" i="59"/>
  <c r="X216" i="59"/>
  <c r="Y216" i="59"/>
  <c r="BZ258" i="59"/>
  <c r="BW258" i="59"/>
  <c r="CL224" i="59"/>
  <c r="BH204" i="59"/>
  <c r="BS176" i="59"/>
  <c r="AO216" i="59"/>
  <c r="AW216" i="59"/>
  <c r="CV226" i="59"/>
  <c r="CX202" i="59"/>
  <c r="BO182" i="77" s="1"/>
  <c r="BE176" i="59"/>
  <c r="BA174" i="59"/>
  <c r="BM151" i="79" s="1"/>
  <c r="BM176" i="79" s="1"/>
  <c r="BD174" i="59"/>
  <c r="BP151" i="79" s="1"/>
  <c r="BP176" i="79" s="1"/>
  <c r="AT174" i="59"/>
  <c r="BF151" i="79" s="1"/>
  <c r="BF176" i="79" s="1"/>
  <c r="BP176" i="59"/>
  <c r="AJ121" i="59"/>
  <c r="AU133" i="59"/>
  <c r="CS131" i="59"/>
  <c r="BJ185" i="78" s="1"/>
  <c r="CV129" i="59"/>
  <c r="CV131" i="59" s="1"/>
  <c r="R121" i="59"/>
  <c r="CI86" i="59"/>
  <c r="CJ86" i="59"/>
  <c r="CG86" i="59"/>
  <c r="CU95" i="59"/>
  <c r="CZ95" i="59" s="1"/>
  <c r="CW128" i="59"/>
  <c r="CW131" i="59" s="1"/>
  <c r="CX128" i="59"/>
  <c r="CX131" i="59" s="1"/>
  <c r="CY128" i="59"/>
  <c r="CL95" i="59"/>
  <c r="CN95" i="59"/>
  <c r="CO95" i="59"/>
  <c r="CY97" i="59"/>
  <c r="BT101" i="59"/>
  <c r="BN41" i="59"/>
  <c r="CV55" i="59"/>
  <c r="CS55" i="59"/>
  <c r="CT55" i="59"/>
  <c r="CJ49" i="59"/>
  <c r="CG49" i="59"/>
  <c r="CD49" i="59"/>
  <c r="AW31" i="59"/>
  <c r="BI49" i="51" s="1"/>
  <c r="BI69" i="51" s="1"/>
  <c r="W202" i="59"/>
  <c r="BO204" i="59"/>
  <c r="L204" i="59"/>
  <c r="BE133" i="59"/>
  <c r="BJ133" i="59"/>
  <c r="BJ101" i="59"/>
  <c r="U39" i="59"/>
  <c r="CL86" i="59"/>
  <c r="CL90" i="59" s="1"/>
  <c r="BH812" i="80" s="1"/>
  <c r="CJ67" i="59"/>
  <c r="CG67" i="59"/>
  <c r="CI67" i="59"/>
  <c r="O289" i="59"/>
  <c r="CS224" i="59"/>
  <c r="CS226" i="59" s="1"/>
  <c r="O311" i="59"/>
  <c r="Q133" i="59"/>
  <c r="BL121" i="59"/>
  <c r="BL133" i="59" s="1"/>
  <c r="BL41" i="59"/>
  <c r="AL39" i="59"/>
  <c r="CV174" i="59"/>
  <c r="BM156" i="79" s="1"/>
  <c r="BK204" i="59"/>
  <c r="AY216" i="59"/>
  <c r="AS321" i="59"/>
  <c r="AB281" i="59"/>
  <c r="CS281" i="59"/>
  <c r="BE136" i="100" s="1"/>
  <c r="AK176" i="59"/>
  <c r="BT321" i="59"/>
  <c r="BN258" i="59"/>
  <c r="R319" i="59"/>
  <c r="CC31" i="59"/>
  <c r="AT131" i="59"/>
  <c r="BF180" i="78" s="1"/>
  <c r="BF204" i="78" s="1"/>
  <c r="AV224" i="59"/>
  <c r="CM224" i="59"/>
  <c r="CM226" i="59" s="1"/>
  <c r="CO224" i="59"/>
  <c r="CO226" i="59" s="1"/>
  <c r="AR216" i="59"/>
  <c r="N216" i="59"/>
  <c r="CR202" i="59"/>
  <c r="BI182" i="77" s="1"/>
  <c r="CN202" i="59"/>
  <c r="BE182" i="77" s="1"/>
  <c r="CL202" i="59"/>
  <c r="BC182" i="77" s="1"/>
  <c r="CY39" i="59"/>
  <c r="CY41" i="59" s="1"/>
  <c r="CS39" i="59"/>
  <c r="CQ39" i="59"/>
  <c r="CQ31" i="59"/>
  <c r="BO258" i="59"/>
  <c r="BG291" i="59"/>
  <c r="AL311" i="59"/>
  <c r="AS161" i="99" s="1"/>
  <c r="AS187" i="99" s="1"/>
  <c r="AY289" i="59"/>
  <c r="BF126" i="100" s="1"/>
  <c r="BF155" i="100" s="1"/>
  <c r="U289" i="59"/>
  <c r="BG134" i="98"/>
  <c r="M202" i="59"/>
  <c r="AD121" i="59"/>
  <c r="N121" i="59"/>
  <c r="V41" i="59"/>
  <c r="L41" i="59"/>
  <c r="AY39" i="59"/>
  <c r="BZ291" i="59"/>
  <c r="BU226" i="59"/>
  <c r="AL289" i="59"/>
  <c r="AS126" i="100" s="1"/>
  <c r="AS155" i="100" s="1"/>
  <c r="AS211" i="100" s="1"/>
  <c r="AQ281" i="59"/>
  <c r="AX127" i="100" s="1"/>
  <c r="AX156" i="100" s="1"/>
  <c r="AE216" i="59"/>
  <c r="AV121" i="59"/>
  <c r="BH181" i="78" s="1"/>
  <c r="AE131" i="59"/>
  <c r="BA289" i="59"/>
  <c r="BH126" i="100" s="1"/>
  <c r="BH155" i="100" s="1"/>
  <c r="CT224" i="59"/>
  <c r="CI31" i="59"/>
  <c r="CI41" i="59" s="1"/>
  <c r="CR39" i="59"/>
  <c r="CR41" i="59" s="1"/>
  <c r="CS31" i="59"/>
  <c r="BU101" i="59"/>
  <c r="BJ321" i="59"/>
  <c r="AO131" i="59"/>
  <c r="BA180" i="78" s="1"/>
  <c r="BA204" i="78" s="1"/>
  <c r="AO39" i="59"/>
  <c r="AV39" i="59"/>
  <c r="X281" i="59"/>
  <c r="AL224" i="59"/>
  <c r="T224" i="59"/>
  <c r="T226" i="59" s="1"/>
  <c r="AY131" i="59"/>
  <c r="BK180" i="78" s="1"/>
  <c r="BK204" i="78" s="1"/>
  <c r="AX90" i="59"/>
  <c r="BJ807" i="80" s="1"/>
  <c r="BJ833" i="80" s="1"/>
  <c r="AX31" i="59"/>
  <c r="U216" i="59"/>
  <c r="BI10" i="59"/>
  <c r="CX76" i="59"/>
  <c r="CW76" i="59"/>
  <c r="CV76" i="59"/>
  <c r="U31" i="59"/>
  <c r="Z281" i="59"/>
  <c r="AI131" i="59"/>
  <c r="CY96" i="59"/>
  <c r="CY99" i="59" s="1"/>
  <c r="CS96" i="59"/>
  <c r="CS99" i="59" s="1"/>
  <c r="BO811" i="80" s="1"/>
  <c r="CQ96" i="59"/>
  <c r="CQ99" i="59" s="1"/>
  <c r="BM811" i="80" s="1"/>
  <c r="CZ96" i="59"/>
  <c r="CV96" i="59"/>
  <c r="CV99" i="59" s="1"/>
  <c r="CX96" i="59"/>
  <c r="CX99" i="59" s="1"/>
  <c r="CR96" i="59"/>
  <c r="CR99" i="59" s="1"/>
  <c r="BN811" i="80" s="1"/>
  <c r="AV31" i="59"/>
  <c r="U90" i="59"/>
  <c r="AE31" i="59"/>
  <c r="AE41" i="59" s="1"/>
  <c r="P224" i="59"/>
  <c r="BP291" i="59"/>
  <c r="BD281" i="59"/>
  <c r="BK127" i="100" s="1"/>
  <c r="N281" i="59"/>
  <c r="AL216" i="59"/>
  <c r="AL226" i="59" s="1"/>
  <c r="CV202" i="59"/>
  <c r="BM182" i="77" s="1"/>
  <c r="AV174" i="59"/>
  <c r="BH151" i="79" s="1"/>
  <c r="BH176" i="79" s="1"/>
  <c r="CN41" i="59"/>
  <c r="AW39" i="59"/>
  <c r="AW41" i="59" s="1"/>
  <c r="AJ131" i="59"/>
  <c r="AJ133" i="59" s="1"/>
  <c r="BC281" i="59"/>
  <c r="BJ127" i="100" s="1"/>
  <c r="BJ156" i="100" s="1"/>
  <c r="AC319" i="59"/>
  <c r="CN319" i="59"/>
  <c r="Z319" i="59"/>
  <c r="AB311" i="59"/>
  <c r="Y311" i="59"/>
  <c r="AJ281" i="59"/>
  <c r="AB247" i="59"/>
  <c r="AB258" i="59" s="1"/>
  <c r="M247" i="59"/>
  <c r="P247" i="59"/>
  <c r="BD247" i="59"/>
  <c r="BK128" i="98" s="1"/>
  <c r="BK156" i="98" s="1"/>
  <c r="CQ224" i="59"/>
  <c r="CQ226" i="59" s="1"/>
  <c r="L176" i="59"/>
  <c r="CW96" i="59"/>
  <c r="CW99" i="59" s="1"/>
  <c r="S90" i="59"/>
  <c r="S101" i="59" s="1"/>
  <c r="AO31" i="59"/>
  <c r="AN39" i="59"/>
  <c r="AI70" i="59"/>
  <c r="AI90" i="59" s="1"/>
  <c r="AG70" i="59"/>
  <c r="CX278" i="59"/>
  <c r="CX281" i="59" s="1"/>
  <c r="BJ136" i="100" s="1"/>
  <c r="CZ278" i="59"/>
  <c r="CY278" i="59"/>
  <c r="CY281" i="59" s="1"/>
  <c r="BK136" i="100" s="1"/>
  <c r="R281" i="59"/>
  <c r="R291" i="59" s="1"/>
  <c r="O281" i="59"/>
  <c r="Q226" i="59"/>
  <c r="AN202" i="59"/>
  <c r="CQ281" i="59"/>
  <c r="BC136" i="100" s="1"/>
  <c r="BJ258" i="59"/>
  <c r="BB134" i="98"/>
  <c r="AJ247" i="59"/>
  <c r="AX224" i="59"/>
  <c r="AX226" i="59" s="1"/>
  <c r="N174" i="59"/>
  <c r="CT226" i="59"/>
  <c r="AH174" i="59"/>
  <c r="AN90" i="59"/>
  <c r="AZ807" i="80" s="1"/>
  <c r="AZ833" i="80" s="1"/>
  <c r="AZ837" i="80" s="1"/>
  <c r="CT96" i="59"/>
  <c r="CT99" i="59" s="1"/>
  <c r="BP811" i="80" s="1"/>
  <c r="CY76" i="59"/>
  <c r="AM31" i="59"/>
  <c r="AY49" i="51" s="1"/>
  <c r="AY69" i="51" s="1"/>
  <c r="BK11" i="59"/>
  <c r="AD90" i="59"/>
  <c r="AD101" i="59" s="1"/>
  <c r="AC31" i="59"/>
  <c r="S31" i="59"/>
  <c r="AL31" i="59"/>
  <c r="AD216" i="59"/>
  <c r="AL121" i="59"/>
  <c r="AX181" i="78" s="1"/>
  <c r="AX205" i="78" s="1"/>
  <c r="AO163" i="59"/>
  <c r="BA152" i="79" s="1"/>
  <c r="BA177" i="79" s="1"/>
  <c r="AS131" i="59"/>
  <c r="BE180" i="78" s="1"/>
  <c r="BE204" i="78" s="1"/>
  <c r="P121" i="59"/>
  <c r="AL163" i="59"/>
  <c r="AX152" i="79" s="1"/>
  <c r="AD39" i="59"/>
  <c r="AD41" i="59" s="1"/>
  <c r="Q101" i="59"/>
  <c r="BP101" i="59"/>
  <c r="AB31" i="59"/>
  <c r="R224" i="59"/>
  <c r="R226" i="59" s="1"/>
  <c r="W131" i="59"/>
  <c r="AB39" i="59"/>
  <c r="AB319" i="59"/>
  <c r="AW319" i="59"/>
  <c r="AZ321" i="59"/>
  <c r="CS319" i="59"/>
  <c r="CS321" i="59" s="1"/>
  <c r="AY319" i="59"/>
  <c r="BS321" i="59"/>
  <c r="AF321" i="59"/>
  <c r="M311" i="59"/>
  <c r="BE291" i="59"/>
  <c r="CV289" i="59"/>
  <c r="BH135" i="100" s="1"/>
  <c r="AJ289" i="59"/>
  <c r="Y247" i="59"/>
  <c r="P289" i="59"/>
  <c r="P281" i="59"/>
  <c r="CR281" i="59"/>
  <c r="BD136" i="100" s="1"/>
  <c r="AD224" i="59"/>
  <c r="O247" i="59"/>
  <c r="BC247" i="59"/>
  <c r="BJ128" i="98" s="1"/>
  <c r="BJ156" i="98" s="1"/>
  <c r="S216" i="59"/>
  <c r="AU204" i="59"/>
  <c r="AO202" i="59"/>
  <c r="P174" i="59"/>
  <c r="AF133" i="59"/>
  <c r="AX121" i="59"/>
  <c r="BJ181" i="78" s="1"/>
  <c r="BJ205" i="78" s="1"/>
  <c r="AZ101" i="59"/>
  <c r="AB90" i="59"/>
  <c r="AQ39" i="59"/>
  <c r="AN31" i="59"/>
  <c r="BI11" i="59"/>
  <c r="BI12" i="59" s="1"/>
  <c r="CW39" i="59"/>
  <c r="AY31" i="59"/>
  <c r="BK49" i="51" s="1"/>
  <c r="BK69" i="51" s="1"/>
  <c r="BT291" i="59"/>
  <c r="AE289" i="59"/>
  <c r="AY202" i="59"/>
  <c r="BK177" i="77" s="1"/>
  <c r="BK202" i="77" s="1"/>
  <c r="AZ204" i="59"/>
  <c r="AQ131" i="59"/>
  <c r="BH133" i="59"/>
  <c r="BM133" i="59"/>
  <c r="AV131" i="59"/>
  <c r="BH180" i="78" s="1"/>
  <c r="BH204" i="78" s="1"/>
  <c r="AY224" i="59"/>
  <c r="AV202" i="59"/>
  <c r="BH177" i="77" s="1"/>
  <c r="BH202" i="77" s="1"/>
  <c r="AN319" i="59"/>
  <c r="CR319" i="59"/>
  <c r="CR321" i="59" s="1"/>
  <c r="P311" i="59"/>
  <c r="AV311" i="59"/>
  <c r="BC161" i="99" s="1"/>
  <c r="BC187" i="99" s="1"/>
  <c r="AV247" i="59"/>
  <c r="BC128" i="98" s="1"/>
  <c r="BC156" i="98" s="1"/>
  <c r="AM247" i="59"/>
  <c r="AT128" i="98" s="1"/>
  <c r="AT156" i="98" s="1"/>
  <c r="T204" i="59"/>
  <c r="BW192" i="59"/>
  <c r="BW204" i="59" s="1"/>
  <c r="CN174" i="59"/>
  <c r="BE156" i="79" s="1"/>
  <c r="CM202" i="59"/>
  <c r="BD182" i="77" s="1"/>
  <c r="CR174" i="59"/>
  <c r="BI156" i="79" s="1"/>
  <c r="AX174" i="59"/>
  <c r="BJ151" i="79" s="1"/>
  <c r="BJ176" i="79" s="1"/>
  <c r="BJ181" i="79" s="1"/>
  <c r="BY90" i="59"/>
  <c r="BW90" i="59"/>
  <c r="BI101" i="59"/>
  <c r="CW31" i="59"/>
  <c r="BU258" i="59"/>
  <c r="AQ202" i="59"/>
  <c r="BC177" i="77" s="1"/>
  <c r="BC202" i="77" s="1"/>
  <c r="BI832" i="80"/>
  <c r="BF832" i="80"/>
  <c r="CQ319" i="59"/>
  <c r="CQ321" i="59" s="1"/>
  <c r="AX160" i="100"/>
  <c r="BD216" i="59"/>
  <c r="AR174" i="59"/>
  <c r="BD151" i="79" s="1"/>
  <c r="BD176" i="79" s="1"/>
  <c r="AQ163" i="59"/>
  <c r="BE832" i="80"/>
  <c r="BH832" i="80"/>
  <c r="AO224" i="59"/>
  <c r="CG31" i="59"/>
  <c r="Y281" i="59"/>
  <c r="W216" i="59"/>
  <c r="W226" i="59" s="1"/>
  <c r="M192" i="59"/>
  <c r="BD832" i="80"/>
  <c r="AY226" i="59"/>
  <c r="BB289" i="59"/>
  <c r="BI126" i="100" s="1"/>
  <c r="BI155" i="100" s="1"/>
  <c r="BI160" i="100" s="1"/>
  <c r="BB224" i="59"/>
  <c r="X224" i="59"/>
  <c r="X226" i="59" s="1"/>
  <c r="BC224" i="59"/>
  <c r="BC226" i="59" s="1"/>
  <c r="CR224" i="59"/>
  <c r="CR226" i="59" s="1"/>
  <c r="CY202" i="59"/>
  <c r="BP182" i="77" s="1"/>
  <c r="BB174" i="59"/>
  <c r="BN151" i="79" s="1"/>
  <c r="BN176" i="79" s="1"/>
  <c r="CY174" i="59"/>
  <c r="BP156" i="79" s="1"/>
  <c r="CQ174" i="59"/>
  <c r="BH156" i="79" s="1"/>
  <c r="CV163" i="59"/>
  <c r="BM157" i="79" s="1"/>
  <c r="CR131" i="59"/>
  <c r="BI185" i="78" s="1"/>
  <c r="CL39" i="59"/>
  <c r="CV31" i="59"/>
  <c r="AB224" i="59"/>
  <c r="AB226" i="59" s="1"/>
  <c r="BJ832" i="80"/>
  <c r="BJ837" i="80" s="1"/>
  <c r="R31" i="59"/>
  <c r="CY319" i="59"/>
  <c r="CY321" i="59" s="1"/>
  <c r="CN311" i="59"/>
  <c r="AZ167" i="99" s="1"/>
  <c r="R311" i="59"/>
  <c r="CX289" i="59"/>
  <c r="BJ135" i="100" s="1"/>
  <c r="BB216" i="59"/>
  <c r="AB163" i="59"/>
  <c r="T163" i="59"/>
  <c r="R163" i="59"/>
  <c r="AB202" i="59"/>
  <c r="W192" i="59"/>
  <c r="CX258" i="59"/>
  <c r="AX806" i="80"/>
  <c r="AX832" i="80" s="1"/>
  <c r="BC806" i="80"/>
  <c r="BC832" i="80" s="1"/>
  <c r="CV319" i="59"/>
  <c r="CV321" i="59" s="1"/>
  <c r="AT281" i="59"/>
  <c r="BA127" i="100" s="1"/>
  <c r="AY185" i="100" s="1"/>
  <c r="BC289" i="59"/>
  <c r="BJ126" i="100" s="1"/>
  <c r="BJ155" i="100" s="1"/>
  <c r="CL226" i="59"/>
  <c r="X202" i="59"/>
  <c r="AN121" i="59"/>
  <c r="AZ181" i="78" s="1"/>
  <c r="AZ205" i="78" s="1"/>
  <c r="AU321" i="59"/>
  <c r="O319" i="59"/>
  <c r="O321" i="59" s="1"/>
  <c r="CG311" i="59"/>
  <c r="AS167" i="99" s="1"/>
  <c r="M319" i="59"/>
  <c r="M321" i="59" s="1"/>
  <c r="CM311" i="59"/>
  <c r="AY167" i="99" s="1"/>
  <c r="CJ311" i="59"/>
  <c r="AV167" i="99" s="1"/>
  <c r="AW167" i="99" s="1"/>
  <c r="V291" i="59"/>
  <c r="BP258" i="59"/>
  <c r="AU258" i="59"/>
  <c r="AA258" i="59"/>
  <c r="BD289" i="59"/>
  <c r="BK126" i="100" s="1"/>
  <c r="BK155" i="100" s="1"/>
  <c r="Y289" i="59"/>
  <c r="AI247" i="59"/>
  <c r="M289" i="59"/>
  <c r="M291" i="59" s="1"/>
  <c r="AT247" i="59"/>
  <c r="BA128" i="98" s="1"/>
  <c r="BA156" i="98" s="1"/>
  <c r="CN224" i="59"/>
  <c r="CN226" i="59" s="1"/>
  <c r="AS174" i="59"/>
  <c r="BE151" i="79" s="1"/>
  <c r="BE176" i="79" s="1"/>
  <c r="CQ202" i="59"/>
  <c r="BH182" i="77" s="1"/>
  <c r="X131" i="59"/>
  <c r="X133" i="59" s="1"/>
  <c r="AH131" i="59"/>
  <c r="CY131" i="59"/>
  <c r="AL192" i="59"/>
  <c r="BA121" i="59"/>
  <c r="BM181" i="78" s="1"/>
  <c r="BM205" i="78" s="1"/>
  <c r="AM39" i="59"/>
  <c r="AM41" i="59" s="1"/>
  <c r="BJ186" i="98"/>
  <c r="CW319" i="59"/>
  <c r="CW321" i="59" s="1"/>
  <c r="AM311" i="59"/>
  <c r="AT161" i="99" s="1"/>
  <c r="AT187" i="99" s="1"/>
  <c r="BW291" i="59"/>
  <c r="W289" i="59"/>
  <c r="W247" i="59"/>
  <c r="BB247" i="59"/>
  <c r="BI128" i="98" s="1"/>
  <c r="BI156" i="98" s="1"/>
  <c r="AR224" i="59"/>
  <c r="AI224" i="59"/>
  <c r="AA226" i="59"/>
  <c r="AV226" i="59"/>
  <c r="AT202" i="59"/>
  <c r="BF177" i="77" s="1"/>
  <c r="BF202" i="77" s="1"/>
  <c r="AL174" i="59"/>
  <c r="AX151" i="79" s="1"/>
  <c r="AX176" i="79" s="1"/>
  <c r="BY192" i="59"/>
  <c r="BY204" i="59" s="1"/>
  <c r="CO202" i="59"/>
  <c r="BF182" i="77" s="1"/>
  <c r="AM174" i="59"/>
  <c r="AY151" i="79" s="1"/>
  <c r="AY176" i="79" s="1"/>
  <c r="CM163" i="59"/>
  <c r="BD157" i="79" s="1"/>
  <c r="AX131" i="59"/>
  <c r="BJ180" i="78" s="1"/>
  <c r="BJ204" i="78" s="1"/>
  <c r="AR131" i="59"/>
  <c r="BD180" i="78" s="1"/>
  <c r="BD204" i="78" s="1"/>
  <c r="CN131" i="59"/>
  <c r="BE185" i="78" s="1"/>
  <c r="CL131" i="59"/>
  <c r="BC185" i="78" s="1"/>
  <c r="BZ90" i="59"/>
  <c r="BC39" i="59"/>
  <c r="CJ31" i="59"/>
  <c r="CX31" i="59"/>
  <c r="BA281" i="59"/>
  <c r="BH127" i="100" s="1"/>
  <c r="BH156" i="100" s="1"/>
  <c r="BA192" i="59"/>
  <c r="AQ192" i="59"/>
  <c r="CQ289" i="59"/>
  <c r="BC135" i="100" s="1"/>
  <c r="AJ174" i="59"/>
  <c r="AA176" i="59"/>
  <c r="R192" i="59"/>
  <c r="W121" i="59"/>
  <c r="AO311" i="59"/>
  <c r="AV161" i="99" s="1"/>
  <c r="BD224" i="59"/>
  <c r="Z192" i="59"/>
  <c r="AN174" i="59"/>
  <c r="AZ151" i="79" s="1"/>
  <c r="AZ176" i="79" s="1"/>
  <c r="AE121" i="59"/>
  <c r="W281" i="59"/>
  <c r="AE202" i="59"/>
  <c r="BN11" i="59"/>
  <c r="BN12" i="59" s="1"/>
  <c r="U131" i="59"/>
  <c r="R39" i="59"/>
  <c r="R41" i="59" s="1"/>
  <c r="AK321" i="59"/>
  <c r="AH311" i="59"/>
  <c r="CO311" i="59"/>
  <c r="BA167" i="99" s="1"/>
  <c r="AH289" i="59"/>
  <c r="N289" i="59"/>
  <c r="CL319" i="59"/>
  <c r="CR289" i="59"/>
  <c r="BD135" i="100" s="1"/>
  <c r="AU291" i="59"/>
  <c r="BH258" i="59"/>
  <c r="CS289" i="59"/>
  <c r="CS291" i="59" s="1"/>
  <c r="AG247" i="59"/>
  <c r="AG258" i="59" s="1"/>
  <c r="CW281" i="59"/>
  <c r="BI136" i="100" s="1"/>
  <c r="AS247" i="59"/>
  <c r="AZ128" i="98" s="1"/>
  <c r="AZ156" i="98" s="1"/>
  <c r="CV258" i="59"/>
  <c r="AS202" i="59"/>
  <c r="BE177" i="77" s="1"/>
  <c r="BE202" i="77" s="1"/>
  <c r="CX174" i="59"/>
  <c r="BO156" i="79" s="1"/>
  <c r="AY174" i="59"/>
  <c r="BK151" i="79" s="1"/>
  <c r="BK176" i="79" s="1"/>
  <c r="CX224" i="59"/>
  <c r="CX226" i="59" s="1"/>
  <c r="CW224" i="59"/>
  <c r="CW226" i="59" s="1"/>
  <c r="CS202" i="59"/>
  <c r="BJ182" i="77" s="1"/>
  <c r="CB192" i="59"/>
  <c r="BA163" i="59"/>
  <c r="BM152" i="79" s="1"/>
  <c r="U101" i="59"/>
  <c r="W39" i="59"/>
  <c r="BS258" i="59"/>
  <c r="AV192" i="59"/>
  <c r="AE192" i="59"/>
  <c r="U192" i="59"/>
  <c r="P131" i="59"/>
  <c r="BA131" i="59"/>
  <c r="BM180" i="78" s="1"/>
  <c r="BM204" i="78" s="1"/>
  <c r="AB131" i="59"/>
  <c r="AB133" i="59" s="1"/>
  <c r="M121" i="59"/>
  <c r="AM90" i="59"/>
  <c r="AY807" i="80" s="1"/>
  <c r="AY833" i="80" s="1"/>
  <c r="AY837" i="80" s="1"/>
  <c r="AG121" i="59"/>
  <c r="AG133" i="59" s="1"/>
  <c r="T90" i="59"/>
  <c r="T101" i="59" s="1"/>
  <c r="AY90" i="59"/>
  <c r="BK807" i="80" s="1"/>
  <c r="BK833" i="80" s="1"/>
  <c r="BK837" i="80" s="1"/>
  <c r="Z131" i="59"/>
  <c r="Z133" i="59" s="1"/>
  <c r="AH70" i="59"/>
  <c r="AR90" i="59"/>
  <c r="AS90" i="59"/>
  <c r="BE807" i="80" s="1"/>
  <c r="BE833" i="80" s="1"/>
  <c r="AW90" i="59"/>
  <c r="BI807" i="80" s="1"/>
  <c r="BI833" i="80" s="1"/>
  <c r="AO90" i="59"/>
  <c r="AJ70" i="59"/>
  <c r="L101" i="59"/>
  <c r="R90" i="59"/>
  <c r="AK90" i="59"/>
  <c r="AK101" i="59" s="1"/>
  <c r="AJ71" i="59"/>
  <c r="AL90" i="59"/>
  <c r="AX807" i="80" s="1"/>
  <c r="AE90" i="59"/>
  <c r="AG71" i="59"/>
  <c r="E90" i="59"/>
  <c r="CF71" i="59"/>
  <c r="AH71" i="59"/>
  <c r="AC90" i="59"/>
  <c r="F12" i="59"/>
  <c r="CF70" i="59"/>
  <c r="AV187" i="99"/>
  <c r="AV219" i="99"/>
  <c r="AW219" i="99" s="1"/>
  <c r="AU219" i="99"/>
  <c r="BA186" i="98"/>
  <c r="BB186" i="98" s="1"/>
  <c r="BC178" i="77"/>
  <c r="BC203" i="77" s="1"/>
  <c r="AA321" i="59"/>
  <c r="BG321" i="59"/>
  <c r="Q321" i="59"/>
  <c r="U311" i="59"/>
  <c r="CL311" i="59"/>
  <c r="AX167" i="99" s="1"/>
  <c r="T311" i="59"/>
  <c r="AI311" i="59"/>
  <c r="AI289" i="59"/>
  <c r="AI291" i="59" s="1"/>
  <c r="AT289" i="59"/>
  <c r="AT291" i="59" s="1"/>
  <c r="BT258" i="59"/>
  <c r="CT289" i="59"/>
  <c r="BF135" i="100" s="1"/>
  <c r="AC281" i="59"/>
  <c r="AL247" i="59"/>
  <c r="AS128" i="98" s="1"/>
  <c r="AS156" i="98" s="1"/>
  <c r="N224" i="59"/>
  <c r="R247" i="59"/>
  <c r="AR247" i="59"/>
  <c r="AY128" i="98" s="1"/>
  <c r="S224" i="59"/>
  <c r="Z224" i="59"/>
  <c r="Z226" i="59" s="1"/>
  <c r="AN247" i="59"/>
  <c r="AU128" i="98" s="1"/>
  <c r="U247" i="59"/>
  <c r="AW202" i="59"/>
  <c r="BI177" i="77" s="1"/>
  <c r="BI202" i="77" s="1"/>
  <c r="AC192" i="59"/>
  <c r="AR192" i="59"/>
  <c r="Y192" i="59"/>
  <c r="X192" i="59"/>
  <c r="P216" i="59"/>
  <c r="P226" i="59" s="1"/>
  <c r="BE204" i="59"/>
  <c r="CW163" i="59"/>
  <c r="BN157" i="79" s="1"/>
  <c r="Z163" i="59"/>
  <c r="X163" i="59"/>
  <c r="AN163" i="59"/>
  <c r="AX163" i="59"/>
  <c r="BJ152" i="79" s="1"/>
  <c r="BJ177" i="79" s="1"/>
  <c r="BB131" i="59"/>
  <c r="BN180" i="78" s="1"/>
  <c r="BN204" i="78" s="1"/>
  <c r="N131" i="59"/>
  <c r="N133" i="59" s="1"/>
  <c r="AC121" i="59"/>
  <c r="M163" i="59"/>
  <c r="AY121" i="59"/>
  <c r="CO131" i="59"/>
  <c r="BF185" i="78" s="1"/>
  <c r="M90" i="59"/>
  <c r="CN90" i="59"/>
  <c r="CM90" i="59"/>
  <c r="AG39" i="59"/>
  <c r="AT31" i="59"/>
  <c r="BF49" i="51" s="1"/>
  <c r="BF69" i="51" s="1"/>
  <c r="AH281" i="59"/>
  <c r="BM204" i="59"/>
  <c r="AL131" i="59"/>
  <c r="AX180" i="78" s="1"/>
  <c r="AX204" i="78" s="1"/>
  <c r="BI176" i="59"/>
  <c r="R131" i="59"/>
  <c r="R133" i="59" s="1"/>
  <c r="BR133" i="59"/>
  <c r="CX319" i="59"/>
  <c r="CX321" i="59" s="1"/>
  <c r="Z311" i="59"/>
  <c r="Z321" i="59" s="1"/>
  <c r="AN311" i="59"/>
  <c r="AU161" i="99" s="1"/>
  <c r="AU187" i="99" s="1"/>
  <c r="AM289" i="59"/>
  <c r="AT126" i="100" s="1"/>
  <c r="AT155" i="100" s="1"/>
  <c r="AZ258" i="59"/>
  <c r="X247" i="59"/>
  <c r="AQ216" i="59"/>
  <c r="AQ226" i="59" s="1"/>
  <c r="AN216" i="59"/>
  <c r="AN226" i="59" s="1"/>
  <c r="AC202" i="59"/>
  <c r="BA247" i="59"/>
  <c r="BH128" i="98" s="1"/>
  <c r="BH156" i="98" s="1"/>
  <c r="AD192" i="59"/>
  <c r="AD204" i="59" s="1"/>
  <c r="CD192" i="59"/>
  <c r="N202" i="59"/>
  <c r="BB202" i="59"/>
  <c r="BN177" i="77" s="1"/>
  <c r="BN202" i="77" s="1"/>
  <c r="AS192" i="59"/>
  <c r="BE178" i="77" s="1"/>
  <c r="BE203" i="77" s="1"/>
  <c r="AK11" i="59"/>
  <c r="P163" i="59"/>
  <c r="U163" i="59"/>
  <c r="AS121" i="59"/>
  <c r="S131" i="59"/>
  <c r="AW121" i="59"/>
  <c r="BI181" i="78" s="1"/>
  <c r="BI205" i="78" s="1"/>
  <c r="CM131" i="59"/>
  <c r="BD185" i="78" s="1"/>
  <c r="W90" i="59"/>
  <c r="AQ90" i="59"/>
  <c r="BU11" i="59"/>
  <c r="CX39" i="59"/>
  <c r="CT39" i="59"/>
  <c r="BN176" i="59"/>
  <c r="M131" i="59"/>
  <c r="BM10" i="59"/>
  <c r="BN133" i="59"/>
  <c r="AC39" i="59"/>
  <c r="AC41" i="59" s="1"/>
  <c r="BM41" i="59"/>
  <c r="AV90" i="59"/>
  <c r="AE311" i="59"/>
  <c r="S289" i="59"/>
  <c r="AX281" i="59"/>
  <c r="R204" i="59"/>
  <c r="AT192" i="59"/>
  <c r="BF178" i="77" s="1"/>
  <c r="BF203" i="77" s="1"/>
  <c r="T174" i="59"/>
  <c r="AT163" i="59"/>
  <c r="BF152" i="79" s="1"/>
  <c r="BF177" i="79" s="1"/>
  <c r="Y163" i="59"/>
  <c r="Y121" i="59"/>
  <c r="Y133" i="59" s="1"/>
  <c r="AW131" i="59"/>
  <c r="BI180" i="78" s="1"/>
  <c r="BI204" i="78" s="1"/>
  <c r="BA90" i="59"/>
  <c r="Y39" i="59"/>
  <c r="AG31" i="59"/>
  <c r="AG281" i="59"/>
  <c r="AG291" i="59" s="1"/>
  <c r="U224" i="59"/>
  <c r="BD131" i="59"/>
  <c r="BP180" i="78" s="1"/>
  <c r="BP204" i="78" s="1"/>
  <c r="BR176" i="59"/>
  <c r="BC131" i="59"/>
  <c r="BO180" i="78" s="1"/>
  <c r="BO204" i="78" s="1"/>
  <c r="BJ11" i="59"/>
  <c r="BR11" i="59"/>
  <c r="BI133" i="59"/>
  <c r="BI41" i="59"/>
  <c r="AU101" i="59"/>
  <c r="AP41" i="59"/>
  <c r="X319" i="59"/>
  <c r="CM319" i="59"/>
  <c r="CT319" i="59"/>
  <c r="CT321" i="59" s="1"/>
  <c r="AH319" i="59"/>
  <c r="AO321" i="59"/>
  <c r="Y321" i="59"/>
  <c r="AD311" i="59"/>
  <c r="AD321" i="59" s="1"/>
  <c r="S311" i="59"/>
  <c r="S321" i="59" s="1"/>
  <c r="AG311" i="59"/>
  <c r="AG321" i="59" s="1"/>
  <c r="AK291" i="59"/>
  <c r="AZ291" i="59"/>
  <c r="U281" i="59"/>
  <c r="CY289" i="59"/>
  <c r="BK135" i="100" s="1"/>
  <c r="T281" i="59"/>
  <c r="T291" i="59" s="1"/>
  <c r="AS289" i="59"/>
  <c r="AZ126" i="100" s="1"/>
  <c r="AZ155" i="100" s="1"/>
  <c r="AZ160" i="100" s="1"/>
  <c r="BX258" i="59"/>
  <c r="AV281" i="59"/>
  <c r="BC127" i="100" s="1"/>
  <c r="BC156" i="100" s="1"/>
  <c r="BC160" i="100" s="1"/>
  <c r="AD281" i="59"/>
  <c r="AQ247" i="59"/>
  <c r="AX128" i="98" s="1"/>
  <c r="AX156" i="98" s="1"/>
  <c r="AH224" i="59"/>
  <c r="AH226" i="59" s="1"/>
  <c r="AM224" i="59"/>
  <c r="AM226" i="59" s="1"/>
  <c r="CV281" i="59"/>
  <c r="BH136" i="100" s="1"/>
  <c r="AW247" i="59"/>
  <c r="BD128" i="98" s="1"/>
  <c r="BD156" i="98" s="1"/>
  <c r="AJ224" i="59"/>
  <c r="AJ226" i="59" s="1"/>
  <c r="Y224" i="59"/>
  <c r="AG216" i="59"/>
  <c r="AG226" i="59" s="1"/>
  <c r="AR202" i="59"/>
  <c r="BD177" i="77" s="1"/>
  <c r="BD202" i="77" s="1"/>
  <c r="AO247" i="59"/>
  <c r="AV128" i="98" s="1"/>
  <c r="AU186" i="98" s="1"/>
  <c r="T247" i="59"/>
  <c r="AU226" i="59"/>
  <c r="S202" i="59"/>
  <c r="AW192" i="59"/>
  <c r="O224" i="59"/>
  <c r="O226" i="59" s="1"/>
  <c r="AZ226" i="59"/>
  <c r="AB192" i="59"/>
  <c r="CC192" i="59"/>
  <c r="CE192" i="59"/>
  <c r="O202" i="59"/>
  <c r="BH11" i="59"/>
  <c r="BZ192" i="59"/>
  <c r="BZ204" i="59" s="1"/>
  <c r="BX192" i="59"/>
  <c r="BX204" i="59" s="1"/>
  <c r="CW202" i="59"/>
  <c r="BN182" i="77" s="1"/>
  <c r="CN163" i="59"/>
  <c r="BE157" i="79" s="1"/>
  <c r="CO163" i="59"/>
  <c r="BD163" i="59"/>
  <c r="W163" i="59"/>
  <c r="AM163" i="59"/>
  <c r="S163" i="59"/>
  <c r="AS163" i="59"/>
  <c r="AR163" i="59"/>
  <c r="T131" i="59"/>
  <c r="AD131" i="59"/>
  <c r="AC131" i="59"/>
  <c r="AC133" i="59" s="1"/>
  <c r="X90" i="59"/>
  <c r="X101" i="59" s="1"/>
  <c r="M39" i="59"/>
  <c r="AR31" i="59"/>
  <c r="BD49" i="51" s="1"/>
  <c r="BD69" i="51" s="1"/>
  <c r="AS39" i="59"/>
  <c r="BA31" i="59"/>
  <c r="BM49" i="51" s="1"/>
  <c r="Y90" i="59"/>
  <c r="O39" i="59"/>
  <c r="CG39" i="59"/>
  <c r="M31" i="59"/>
  <c r="CT31" i="59"/>
  <c r="AB289" i="59"/>
  <c r="AE224" i="59"/>
  <c r="AY192" i="59"/>
  <c r="AV163" i="59"/>
  <c r="BH152" i="79" s="1"/>
  <c r="BH177" i="79" s="1"/>
  <c r="AQ121" i="59"/>
  <c r="AK133" i="59"/>
  <c r="T39" i="59"/>
  <c r="T41" i="59" s="1"/>
  <c r="N90" i="59"/>
  <c r="N101" i="59" s="1"/>
  <c r="AX49" i="51"/>
  <c r="AX69" i="51" s="1"/>
  <c r="W31" i="59"/>
  <c r="Y31" i="59"/>
  <c r="AQ31" i="59"/>
  <c r="AQ41" i="59" s="1"/>
  <c r="AS31" i="59"/>
  <c r="BE49" i="51" s="1"/>
  <c r="BE69" i="51" s="1"/>
  <c r="AJ31" i="59"/>
  <c r="X31" i="59"/>
  <c r="CB31" i="59"/>
  <c r="BD31" i="59"/>
  <c r="BP49" i="51" s="1"/>
  <c r="BP69" i="51" s="1"/>
  <c r="P31" i="59"/>
  <c r="CH31" i="59"/>
  <c r="CH41" i="59" s="1"/>
  <c r="X311" i="59"/>
  <c r="W311" i="59"/>
  <c r="W321" i="59" s="1"/>
  <c r="AQ311" i="59"/>
  <c r="AX161" i="99" s="1"/>
  <c r="AX187" i="99" s="1"/>
  <c r="AP321" i="59"/>
  <c r="AF10" i="59"/>
  <c r="CC84" i="97"/>
  <c r="CC88" i="97"/>
  <c r="CC87" i="97"/>
  <c r="BB106" i="97"/>
  <c r="BA107" i="97"/>
  <c r="BA45" i="97" s="1"/>
  <c r="BA105" i="97"/>
  <c r="BA43" i="97" s="1"/>
  <c r="AZ106" i="97"/>
  <c r="AY107" i="97"/>
  <c r="AY105" i="97"/>
  <c r="BP57" i="97"/>
  <c r="BM59" i="80"/>
  <c r="BW114" i="97"/>
  <c r="BY114" i="97" s="1"/>
  <c r="BW86" i="97" s="1"/>
  <c r="BY38" i="97"/>
  <c r="CB38" i="97" s="1"/>
  <c r="BX38" i="97" s="1"/>
  <c r="AT488" i="80"/>
  <c r="BA71" i="80"/>
  <c r="BA256" i="80" s="1"/>
  <c r="BI488" i="80"/>
  <c r="BI71" i="80"/>
  <c r="BP58" i="97"/>
  <c r="BW79" i="97" s="1"/>
  <c r="BY79" i="97" s="1"/>
  <c r="CC86" i="97"/>
  <c r="BY116" i="97"/>
  <c r="BW88" i="97" s="1"/>
  <c r="BY40" i="97"/>
  <c r="CB40" i="97" s="1"/>
  <c r="BX40" i="97" s="1"/>
  <c r="BO98" i="80"/>
  <c r="BM98" i="80"/>
  <c r="BP98" i="80"/>
  <c r="BN98" i="80"/>
  <c r="BX23" i="97"/>
  <c r="BX29" i="97"/>
  <c r="BX15" i="97"/>
  <c r="BC82" i="80"/>
  <c r="BC74" i="80"/>
  <c r="BC75" i="80" s="1"/>
  <c r="AW82" i="80"/>
  <c r="BA488" i="80"/>
  <c r="AJ488" i="80"/>
  <c r="BP59" i="97"/>
  <c r="BW80" i="97" s="1"/>
  <c r="BY80" i="97" s="1"/>
  <c r="CC85" i="97"/>
  <c r="BW115" i="97"/>
  <c r="BY115" i="97" s="1"/>
  <c r="BW87" i="97" s="1"/>
  <c r="BY39" i="97"/>
  <c r="CB39" i="97" s="1"/>
  <c r="BX39" i="97" s="1"/>
  <c r="BB81" i="80"/>
  <c r="BB618" i="80" s="1"/>
  <c r="BG90" i="80"/>
  <c r="AK508" i="80"/>
  <c r="BW112" i="97"/>
  <c r="BY112" i="97" s="1"/>
  <c r="BW84" i="97" s="1"/>
  <c r="BY36" i="97"/>
  <c r="CB36" i="97" s="1"/>
  <c r="BX36" i="97" s="1"/>
  <c r="BW113" i="97"/>
  <c r="BY113" i="97" s="1"/>
  <c r="BW85" i="97" s="1"/>
  <c r="BY37" i="97"/>
  <c r="CB37" i="97" s="1"/>
  <c r="BX37" i="97" s="1"/>
  <c r="AZ183" i="77"/>
  <c r="BP152" i="79"/>
  <c r="BP177" i="79" s="1"/>
  <c r="BC186" i="78"/>
  <c r="BD178" i="77"/>
  <c r="AZ152" i="79"/>
  <c r="AZ177" i="79" s="1"/>
  <c r="BK181" i="78"/>
  <c r="BK205" i="78" s="1"/>
  <c r="CL41" i="59"/>
  <c r="CV41" i="59"/>
  <c r="AY156" i="100"/>
  <c r="BE181" i="78"/>
  <c r="BE205" i="78" s="1"/>
  <c r="CQ133" i="59"/>
  <c r="AX186" i="78"/>
  <c r="AJ319" i="59"/>
  <c r="AJ321" i="59" s="1"/>
  <c r="BD319" i="59"/>
  <c r="BG167" i="99"/>
  <c r="CO319" i="59"/>
  <c r="CO321" i="59" s="1"/>
  <c r="AT311" i="59"/>
  <c r="BA161" i="99" s="1"/>
  <c r="AY219" i="99" s="1"/>
  <c r="X291" i="59"/>
  <c r="AH247" i="59"/>
  <c r="N247" i="59"/>
  <c r="AZ178" i="77"/>
  <c r="AZ203" i="77" s="1"/>
  <c r="AM202" i="59"/>
  <c r="AY177" i="77" s="1"/>
  <c r="AY202" i="77" s="1"/>
  <c r="BN183" i="77"/>
  <c r="BP183" i="77"/>
  <c r="BB192" i="59"/>
  <c r="AX204" i="59"/>
  <c r="BJ178" i="77"/>
  <c r="BJ203" i="77" s="1"/>
  <c r="BJ207" i="77" s="1"/>
  <c r="N192" i="59"/>
  <c r="BD311" i="59"/>
  <c r="BK161" i="99" s="1"/>
  <c r="BL204" i="59"/>
  <c r="BQ224" i="59"/>
  <c r="BQ226" i="59" s="1"/>
  <c r="BO183" i="77"/>
  <c r="BO157" i="79"/>
  <c r="AC174" i="59"/>
  <c r="X174" i="59"/>
  <c r="BH176" i="59"/>
  <c r="BF157" i="79"/>
  <c r="BI157" i="79"/>
  <c r="BC152" i="79"/>
  <c r="V11" i="59"/>
  <c r="BV121" i="59"/>
  <c r="CA107" i="59"/>
  <c r="O121" i="59"/>
  <c r="O133" i="59" s="1"/>
  <c r="BA186" i="78"/>
  <c r="CY163" i="59"/>
  <c r="BD181" i="78"/>
  <c r="U121" i="59"/>
  <c r="BD90" i="59"/>
  <c r="BA39" i="59"/>
  <c r="Z39" i="59"/>
  <c r="BG41" i="59"/>
  <c r="BG10" i="59"/>
  <c r="AZ49" i="51"/>
  <c r="BH101" i="59"/>
  <c r="AU11" i="59"/>
  <c r="O31" i="59"/>
  <c r="AE101" i="59"/>
  <c r="BK101" i="59"/>
  <c r="BV39" i="59"/>
  <c r="BV125" i="59"/>
  <c r="BQ131" i="59"/>
  <c r="AU41" i="59"/>
  <c r="CO90" i="59"/>
  <c r="BK812" i="80" s="1"/>
  <c r="L11" i="59"/>
  <c r="BR10" i="59"/>
  <c r="BL319" i="59"/>
  <c r="BL321" i="59" s="1"/>
  <c r="N319" i="59"/>
  <c r="AW311" i="59"/>
  <c r="BD161" i="99" s="1"/>
  <c r="CW291" i="59"/>
  <c r="BI135" i="100"/>
  <c r="BL289" i="59"/>
  <c r="BL291" i="59" s="1"/>
  <c r="BQ284" i="59"/>
  <c r="AU126" i="100"/>
  <c r="AU155" i="100" s="1"/>
  <c r="AY281" i="59"/>
  <c r="CJ275" i="59"/>
  <c r="CB275" i="59"/>
  <c r="CB281" i="59" s="1"/>
  <c r="CB291" i="59" s="1"/>
  <c r="CI275" i="59"/>
  <c r="CE275" i="59"/>
  <c r="CE281" i="59" s="1"/>
  <c r="CE291" i="59" s="1"/>
  <c r="CH275" i="59"/>
  <c r="AT130" i="100" s="1"/>
  <c r="CD275" i="59"/>
  <c r="CD281" i="59" s="1"/>
  <c r="CD291" i="59" s="1"/>
  <c r="CC275" i="59"/>
  <c r="CC281" i="59" s="1"/>
  <c r="CK275" i="59"/>
  <c r="CP275" i="59" s="1"/>
  <c r="CU275" i="59" s="1"/>
  <c r="CZ275" i="59" s="1"/>
  <c r="CG275" i="59"/>
  <c r="AS130" i="100" s="1"/>
  <c r="AX130" i="100" s="1"/>
  <c r="BU10" i="59"/>
  <c r="BL247" i="59"/>
  <c r="BQ235" i="59"/>
  <c r="S247" i="59"/>
  <c r="AS224" i="59"/>
  <c r="AC224" i="59"/>
  <c r="AC226" i="59" s="1"/>
  <c r="AC247" i="59"/>
  <c r="AH202" i="59"/>
  <c r="AJ192" i="59"/>
  <c r="BQ202" i="59"/>
  <c r="BV196" i="59"/>
  <c r="Y202" i="59"/>
  <c r="BC202" i="59"/>
  <c r="BO177" i="77" s="1"/>
  <c r="BO202" i="77" s="1"/>
  <c r="BK183" i="77"/>
  <c r="BC192" i="59"/>
  <c r="O192" i="59"/>
  <c r="BB311" i="59"/>
  <c r="BI161" i="99" s="1"/>
  <c r="BA183" i="77"/>
  <c r="BV182" i="59"/>
  <c r="BQ192" i="59"/>
  <c r="BC157" i="79"/>
  <c r="BL226" i="59"/>
  <c r="BJ157" i="79"/>
  <c r="AB174" i="59"/>
  <c r="BL174" i="59"/>
  <c r="BL11" i="59" s="1"/>
  <c r="BQ167" i="59"/>
  <c r="Z174" i="59"/>
  <c r="BH157" i="79"/>
  <c r="BC163" i="59"/>
  <c r="AD163" i="59"/>
  <c r="N163" i="59"/>
  <c r="AN131" i="59"/>
  <c r="AZ180" i="78" s="1"/>
  <c r="AZ204" i="78" s="1"/>
  <c r="BP204" i="59"/>
  <c r="AW163" i="59"/>
  <c r="BE186" i="78"/>
  <c r="AO121" i="59"/>
  <c r="BD186" i="78"/>
  <c r="BN181" i="78"/>
  <c r="AT90" i="59"/>
  <c r="V133" i="59"/>
  <c r="BG11" i="59"/>
  <c r="AY101" i="59"/>
  <c r="BB90" i="59"/>
  <c r="BN807" i="80" s="1"/>
  <c r="BN833" i="80" s="1"/>
  <c r="P39" i="59"/>
  <c r="CM41" i="59"/>
  <c r="BS41" i="59"/>
  <c r="BS10" i="59"/>
  <c r="AZ41" i="59"/>
  <c r="AZ10" i="59"/>
  <c r="BE11" i="59"/>
  <c r="AT39" i="59"/>
  <c r="BM11" i="59"/>
  <c r="AF11" i="59"/>
  <c r="BG101" i="59"/>
  <c r="AK41" i="59"/>
  <c r="CO41" i="59"/>
  <c r="AH31" i="59"/>
  <c r="BP10" i="59"/>
  <c r="AM319" i="59"/>
  <c r="U321" i="59"/>
  <c r="BB319" i="59"/>
  <c r="AY311" i="59"/>
  <c r="BE126" i="100"/>
  <c r="BE155" i="100" s="1"/>
  <c r="AR311" i="59"/>
  <c r="AY161" i="99" s="1"/>
  <c r="AC289" i="59"/>
  <c r="AW281" i="59"/>
  <c r="BD127" i="100" s="1"/>
  <c r="S281" i="59"/>
  <c r="Z289" i="59"/>
  <c r="CA265" i="59"/>
  <c r="BV281" i="59"/>
  <c r="AM265" i="59"/>
  <c r="AM281" i="59" s="1"/>
  <c r="AT127" i="100" s="1"/>
  <c r="AP281" i="59"/>
  <c r="AW127" i="100" s="1"/>
  <c r="AL265" i="59"/>
  <c r="AL281" i="59" s="1"/>
  <c r="AS127" i="100" s="1"/>
  <c r="AS156" i="100" s="1"/>
  <c r="AO265" i="59"/>
  <c r="AO281" i="59" s="1"/>
  <c r="AV127" i="100" s="1"/>
  <c r="AN265" i="59"/>
  <c r="AN281" i="59" s="1"/>
  <c r="AU127" i="100" s="1"/>
  <c r="AX247" i="59"/>
  <c r="BE128" i="98" s="1"/>
  <c r="Y226" i="59"/>
  <c r="CT281" i="59"/>
  <c r="BF136" i="100" s="1"/>
  <c r="BG136" i="100" s="1"/>
  <c r="AT224" i="59"/>
  <c r="AF226" i="59"/>
  <c r="AM192" i="59"/>
  <c r="AD247" i="59"/>
  <c r="AT216" i="59"/>
  <c r="AI202" i="59"/>
  <c r="AY183" i="77"/>
  <c r="AH192" i="59"/>
  <c r="BC183" i="77"/>
  <c r="Z202" i="59"/>
  <c r="BD202" i="59"/>
  <c r="BP177" i="77" s="1"/>
  <c r="BP202" i="77" s="1"/>
  <c r="Q204" i="59"/>
  <c r="AW174" i="59"/>
  <c r="BI151" i="79" s="1"/>
  <c r="BI176" i="79" s="1"/>
  <c r="BA311" i="59"/>
  <c r="BH161" i="99" s="1"/>
  <c r="BH187" i="99" s="1"/>
  <c r="R174" i="59"/>
  <c r="U174" i="59"/>
  <c r="CA216" i="59"/>
  <c r="BW211" i="59"/>
  <c r="BW216" i="59" s="1"/>
  <c r="BW226" i="59" s="1"/>
  <c r="CF211" i="59"/>
  <c r="CE211" i="59" s="1"/>
  <c r="CE216" i="59" s="1"/>
  <c r="BZ211" i="59"/>
  <c r="BZ216" i="59" s="1"/>
  <c r="BZ226" i="59" s="1"/>
  <c r="BY211" i="59"/>
  <c r="BY216" i="59" s="1"/>
  <c r="BY226" i="59" s="1"/>
  <c r="BX211" i="59"/>
  <c r="BX216" i="59" s="1"/>
  <c r="BX226" i="59" s="1"/>
  <c r="CY224" i="59"/>
  <c r="CY226" i="59" s="1"/>
  <c r="BM183" i="77"/>
  <c r="AG174" i="59"/>
  <c r="AD174" i="59"/>
  <c r="CT174" i="59"/>
  <c r="BK156" i="79" s="1"/>
  <c r="BQ163" i="59"/>
  <c r="AY163" i="59"/>
  <c r="BP181" i="78"/>
  <c r="BP205" i="78" s="1"/>
  <c r="CF140" i="59"/>
  <c r="AP176" i="59"/>
  <c r="BC121" i="59"/>
  <c r="BK157" i="79"/>
  <c r="AC163" i="59"/>
  <c r="AM131" i="59"/>
  <c r="AY180" i="78" s="1"/>
  <c r="AY204" i="78" s="1"/>
  <c r="AZ186" i="78"/>
  <c r="AP133" i="59"/>
  <c r="V101" i="59"/>
  <c r="V10" i="59"/>
  <c r="AY186" i="78"/>
  <c r="Z90" i="59"/>
  <c r="S121" i="59"/>
  <c r="BS11" i="59"/>
  <c r="AZ11" i="59"/>
  <c r="O90" i="59"/>
  <c r="BT11" i="59"/>
  <c r="X39" i="59"/>
  <c r="N39" i="59"/>
  <c r="BO41" i="59"/>
  <c r="BO10" i="59"/>
  <c r="BH49" i="51"/>
  <c r="BE41" i="59"/>
  <c r="BE10" i="59"/>
  <c r="BV47" i="59"/>
  <c r="BQ90" i="59"/>
  <c r="AJ39" i="59"/>
  <c r="Q41" i="59"/>
  <c r="Q10" i="59"/>
  <c r="BC31" i="59"/>
  <c r="AJ90" i="59"/>
  <c r="AJ101" i="59" s="1"/>
  <c r="BD39" i="59"/>
  <c r="AI39" i="59"/>
  <c r="AA41" i="59"/>
  <c r="AA10" i="59"/>
  <c r="BQ31" i="59"/>
  <c r="BV18" i="59"/>
  <c r="BB31" i="59"/>
  <c r="N31" i="59"/>
  <c r="Q11" i="59"/>
  <c r="BT10" i="59"/>
  <c r="CJ41" i="59"/>
  <c r="L10" i="59"/>
  <c r="CD31" i="59"/>
  <c r="BJ10" i="59"/>
  <c r="AQ130" i="100"/>
  <c r="T319" i="59"/>
  <c r="AE321" i="59"/>
  <c r="AI319" i="59"/>
  <c r="BL167" i="99"/>
  <c r="BC319" i="59"/>
  <c r="P319" i="59"/>
  <c r="P321" i="59" s="1"/>
  <c r="N311" i="59"/>
  <c r="BQ311" i="59"/>
  <c r="AC311" i="59"/>
  <c r="AX311" i="59"/>
  <c r="BE161" i="99" s="1"/>
  <c r="CC291" i="59"/>
  <c r="AP291" i="59"/>
  <c r="AW289" i="59"/>
  <c r="AR289" i="59"/>
  <c r="AE281" i="59"/>
  <c r="BY258" i="59"/>
  <c r="AK258" i="59"/>
  <c r="BE258" i="59"/>
  <c r="AY247" i="59"/>
  <c r="BF128" i="98" s="1"/>
  <c r="S192" i="59"/>
  <c r="AE247" i="59"/>
  <c r="AW224" i="59"/>
  <c r="AW226" i="59" s="1"/>
  <c r="AS216" i="59"/>
  <c r="AI216" i="59"/>
  <c r="AJ202" i="59"/>
  <c r="AI192" i="59"/>
  <c r="AG140" i="59"/>
  <c r="AG163" i="59" s="1"/>
  <c r="AJ140" i="59"/>
  <c r="AJ163" i="59" s="1"/>
  <c r="AI140" i="59"/>
  <c r="AI163" i="59" s="1"/>
  <c r="AI176" i="59" s="1"/>
  <c r="AH140" i="59"/>
  <c r="AH163" i="59" s="1"/>
  <c r="AX183" i="77"/>
  <c r="M216" i="59"/>
  <c r="M226" i="59" s="1"/>
  <c r="P202" i="59"/>
  <c r="BD192" i="59"/>
  <c r="P192" i="59"/>
  <c r="AO174" i="59"/>
  <c r="BA151" i="79" s="1"/>
  <c r="BA176" i="79" s="1"/>
  <c r="BC311" i="59"/>
  <c r="BJ161" i="99" s="1"/>
  <c r="S174" i="59"/>
  <c r="AE174" i="59"/>
  <c r="Q258" i="59"/>
  <c r="W174" i="59"/>
  <c r="E163" i="59"/>
  <c r="AU176" i="59"/>
  <c r="AE163" i="59"/>
  <c r="O163" i="59"/>
  <c r="O176" i="59" s="1"/>
  <c r="BB163" i="59"/>
  <c r="V176" i="59"/>
  <c r="AI121" i="59"/>
  <c r="BF186" i="78"/>
  <c r="AM121" i="59"/>
  <c r="BF181" i="78"/>
  <c r="BF205" i="78" s="1"/>
  <c r="T121" i="59"/>
  <c r="BO11" i="59"/>
  <c r="BC90" i="59"/>
  <c r="P90" i="59"/>
  <c r="AA11" i="59"/>
  <c r="BK41" i="59"/>
  <c r="BK10" i="59"/>
  <c r="AR39" i="59"/>
  <c r="AH39" i="59"/>
  <c r="AI31" i="59"/>
  <c r="BM101" i="59"/>
  <c r="BO101" i="59"/>
  <c r="BB39" i="59"/>
  <c r="AX41" i="59"/>
  <c r="BJ49" i="51"/>
  <c r="BJ69" i="51" s="1"/>
  <c r="Z31" i="59"/>
  <c r="AF101" i="59"/>
  <c r="BT41" i="59"/>
  <c r="AU10" i="59"/>
  <c r="BH10" i="59"/>
  <c r="BL10" i="59"/>
  <c r="S41" i="59"/>
  <c r="AN24" i="51"/>
  <c r="AN28" i="51"/>
  <c r="AN32" i="51" s="1"/>
  <c r="AN35" i="51" s="1"/>
  <c r="AU28" i="51"/>
  <c r="AU32" i="51" s="1"/>
  <c r="AU35" i="51" s="1"/>
  <c r="AU24" i="51"/>
  <c r="AT28" i="51"/>
  <c r="AT32" i="51" s="1"/>
  <c r="AT35" i="51" s="1"/>
  <c r="AT24" i="51"/>
  <c r="AR73" i="51"/>
  <c r="AR75" i="51" s="1"/>
  <c r="AR48" i="51"/>
  <c r="AS24" i="51"/>
  <c r="AS28" i="51"/>
  <c r="AS32" i="51" s="1"/>
  <c r="AS35" i="51" s="1"/>
  <c r="AC24" i="51"/>
  <c r="AC28" i="51"/>
  <c r="AC32" i="51" s="1"/>
  <c r="AC35" i="51" s="1"/>
  <c r="M24" i="51"/>
  <c r="M28" i="51"/>
  <c r="M32" i="51" s="1"/>
  <c r="M35" i="51" s="1"/>
  <c r="BA55" i="51"/>
  <c r="BB55" i="51" s="1"/>
  <c r="BF13" i="51"/>
  <c r="X24" i="51"/>
  <c r="X28" i="51"/>
  <c r="X32" i="51" s="1"/>
  <c r="X35" i="51" s="1"/>
  <c r="H24" i="51"/>
  <c r="H28" i="51"/>
  <c r="H32" i="51" s="1"/>
  <c r="H35" i="51" s="1"/>
  <c r="AL37" i="51"/>
  <c r="AL43" i="51" s="1"/>
  <c r="AL42" i="51"/>
  <c r="AD37" i="51"/>
  <c r="AD43" i="51" s="1"/>
  <c r="AD42" i="51"/>
  <c r="V37" i="51"/>
  <c r="V43" i="51" s="1"/>
  <c r="V42" i="51"/>
  <c r="N37" i="51"/>
  <c r="N43" i="51" s="1"/>
  <c r="N42" i="51"/>
  <c r="F37" i="51"/>
  <c r="F43" i="51" s="1"/>
  <c r="F42" i="51"/>
  <c r="BC55" i="51"/>
  <c r="BG13" i="51"/>
  <c r="BH13" i="51"/>
  <c r="BD15" i="51"/>
  <c r="BD19" i="51" s="1"/>
  <c r="BD23" i="51" s="1"/>
  <c r="BI12" i="51"/>
  <c r="AO24" i="51"/>
  <c r="AO28" i="51"/>
  <c r="AO32" i="51" s="1"/>
  <c r="AO35" i="51" s="1"/>
  <c r="Y24" i="51"/>
  <c r="Y28" i="51"/>
  <c r="Y32" i="51" s="1"/>
  <c r="Y35" i="51" s="1"/>
  <c r="I24" i="51"/>
  <c r="I28" i="51"/>
  <c r="I32" i="51" s="1"/>
  <c r="I35" i="51" s="1"/>
  <c r="BC12" i="51"/>
  <c r="AX15" i="51"/>
  <c r="AX19" i="51" s="1"/>
  <c r="AX23" i="51" s="1"/>
  <c r="AJ24" i="51"/>
  <c r="AJ28" i="51"/>
  <c r="AJ32" i="51" s="1"/>
  <c r="AJ35" i="51" s="1"/>
  <c r="T24" i="51"/>
  <c r="T28" i="51"/>
  <c r="T32" i="51" s="1"/>
  <c r="T35" i="51" s="1"/>
  <c r="BI10" i="51"/>
  <c r="BN8" i="51"/>
  <c r="BH14" i="51"/>
  <c r="BG14" i="51"/>
  <c r="BE55" i="51"/>
  <c r="BJ13" i="51"/>
  <c r="AQ37" i="51"/>
  <c r="AQ43" i="51" s="1"/>
  <c r="AQ42" i="51"/>
  <c r="AI37" i="51"/>
  <c r="AI43" i="51" s="1"/>
  <c r="AI42" i="51"/>
  <c r="AA37" i="51"/>
  <c r="AA43" i="51" s="1"/>
  <c r="AA42" i="51"/>
  <c r="S37" i="51"/>
  <c r="S43" i="51" s="1"/>
  <c r="S42" i="51"/>
  <c r="K37" i="51"/>
  <c r="K43" i="51" s="1"/>
  <c r="K42" i="51"/>
  <c r="BL8" i="51"/>
  <c r="BM8" i="51"/>
  <c r="BH10" i="51"/>
  <c r="BP8" i="51"/>
  <c r="BK10" i="51"/>
  <c r="AK24" i="51"/>
  <c r="AK28" i="51"/>
  <c r="AK32" i="51" s="1"/>
  <c r="AK35" i="51" s="1"/>
  <c r="U24" i="51"/>
  <c r="U28" i="51"/>
  <c r="U32" i="51" s="1"/>
  <c r="U35" i="51" s="1"/>
  <c r="E24" i="51"/>
  <c r="E28" i="51"/>
  <c r="E32" i="51" s="1"/>
  <c r="E35" i="51" s="1"/>
  <c r="BG10" i="51"/>
  <c r="AF24" i="51"/>
  <c r="AF28" i="51"/>
  <c r="AF32" i="51" s="1"/>
  <c r="AF35" i="51" s="1"/>
  <c r="P24" i="51"/>
  <c r="P28" i="51"/>
  <c r="P32" i="51" s="1"/>
  <c r="P35" i="51" s="1"/>
  <c r="AR10" i="51"/>
  <c r="AR19" i="51"/>
  <c r="AR23" i="51" s="1"/>
  <c r="AP37" i="51"/>
  <c r="AP43" i="51" s="1"/>
  <c r="AP42" i="51"/>
  <c r="AH37" i="51"/>
  <c r="AH43" i="51" s="1"/>
  <c r="AH42" i="51"/>
  <c r="Z37" i="51"/>
  <c r="Z43" i="51" s="1"/>
  <c r="Z42" i="51"/>
  <c r="R37" i="51"/>
  <c r="R43" i="51" s="1"/>
  <c r="R42" i="51"/>
  <c r="J37" i="51"/>
  <c r="J43" i="51" s="1"/>
  <c r="J42" i="51"/>
  <c r="BE15" i="51"/>
  <c r="BE19" i="51" s="1"/>
  <c r="BE23" i="51" s="1"/>
  <c r="BJ12" i="51"/>
  <c r="BG21" i="51"/>
  <c r="BH21" i="51"/>
  <c r="AW73" i="51"/>
  <c r="AW48" i="51"/>
  <c r="AG24" i="51"/>
  <c r="AG28" i="51"/>
  <c r="AG32" i="51" s="1"/>
  <c r="AG35" i="51" s="1"/>
  <c r="Q24" i="51"/>
  <c r="Q28" i="51"/>
  <c r="Q32" i="51" s="1"/>
  <c r="Q35" i="51" s="1"/>
  <c r="BO8" i="51"/>
  <c r="BJ10" i="51"/>
  <c r="AB24" i="51"/>
  <c r="AB28" i="51"/>
  <c r="AB32" i="51" s="1"/>
  <c r="AB35" i="51" s="1"/>
  <c r="L24" i="51"/>
  <c r="L28" i="51"/>
  <c r="L32" i="51" s="1"/>
  <c r="L35" i="51" s="1"/>
  <c r="BB13" i="51"/>
  <c r="AZ24" i="51"/>
  <c r="AY24" i="51"/>
  <c r="BD55" i="51"/>
  <c r="BI13" i="51"/>
  <c r="AM37" i="51"/>
  <c r="AM43" i="51" s="1"/>
  <c r="AM42" i="51"/>
  <c r="AE37" i="51"/>
  <c r="AE43" i="51" s="1"/>
  <c r="AE42" i="51"/>
  <c r="W37" i="51"/>
  <c r="W43" i="51" s="1"/>
  <c r="W42" i="51"/>
  <c r="O28" i="51"/>
  <c r="O32" i="51" s="1"/>
  <c r="O35" i="51" s="1"/>
  <c r="O24" i="51"/>
  <c r="G37" i="51"/>
  <c r="G43" i="51" s="1"/>
  <c r="G42" i="51"/>
  <c r="S227" i="100"/>
  <c r="S240" i="100" s="1"/>
  <c r="S28" i="100"/>
  <c r="S24" i="100"/>
  <c r="S228" i="100" s="1"/>
  <c r="S235" i="100" s="1"/>
  <c r="J234" i="100"/>
  <c r="J221" i="100"/>
  <c r="J213" i="100" s="1"/>
  <c r="P234" i="100"/>
  <c r="P221" i="100"/>
  <c r="P213" i="100"/>
  <c r="U221" i="100"/>
  <c r="AJ233" i="100"/>
  <c r="S213" i="100"/>
  <c r="AA218" i="100"/>
  <c r="V234" i="100"/>
  <c r="V218" i="100"/>
  <c r="AN222" i="100"/>
  <c r="AI222" i="100"/>
  <c r="AM233" i="100"/>
  <c r="AJ222" i="100"/>
  <c r="U222" i="100"/>
  <c r="W160" i="100"/>
  <c r="W162" i="100" s="1"/>
  <c r="W126" i="100"/>
  <c r="AM182" i="100"/>
  <c r="AM205" i="100" s="1"/>
  <c r="AL153" i="100"/>
  <c r="AL117" i="100"/>
  <c r="I148" i="100"/>
  <c r="CK162" i="100"/>
  <c r="AT100" i="100"/>
  <c r="AP130" i="100"/>
  <c r="AU130" i="100" s="1"/>
  <c r="AV114" i="100"/>
  <c r="AV117" i="100" s="1"/>
  <c r="DN160" i="100"/>
  <c r="DN162" i="100" s="1"/>
  <c r="AR162" i="100"/>
  <c r="BH245" i="100"/>
  <c r="BH150" i="100"/>
  <c r="BM96" i="46"/>
  <c r="BK116" i="100"/>
  <c r="AH88" i="100"/>
  <c r="AH50" i="100" s="1"/>
  <c r="AM89" i="73" s="1"/>
  <c r="AX153" i="100"/>
  <c r="AY66" i="100"/>
  <c r="BD65" i="100"/>
  <c r="AM79" i="100"/>
  <c r="AM81" i="100" s="1"/>
  <c r="BI91" i="100"/>
  <c r="BH51" i="100"/>
  <c r="BH91" i="100" s="1"/>
  <c r="AY91" i="100"/>
  <c r="AX51" i="100"/>
  <c r="AX91" i="100" s="1"/>
  <c r="AL68" i="100"/>
  <c r="AL44" i="100" s="1"/>
  <c r="Y23" i="100"/>
  <c r="AJ23" i="100"/>
  <c r="AO26" i="46"/>
  <c r="AZ87" i="100"/>
  <c r="AU85" i="100"/>
  <c r="AU12" i="100" s="1"/>
  <c r="AY71" i="100"/>
  <c r="AY9" i="100" s="1"/>
  <c r="BD72" i="100"/>
  <c r="L28" i="100"/>
  <c r="L24" i="100"/>
  <c r="BF65" i="100"/>
  <c r="BA66" i="100"/>
  <c r="AN23" i="100"/>
  <c r="AS26" i="46"/>
  <c r="P23" i="100"/>
  <c r="K28" i="100"/>
  <c r="K24" i="100"/>
  <c r="R68" i="100"/>
  <c r="R44" i="100" s="1"/>
  <c r="BJ90" i="100"/>
  <c r="BJ14" i="100" s="1"/>
  <c r="BE14" i="100"/>
  <c r="R20" i="100"/>
  <c r="R21" i="100" s="1"/>
  <c r="BA90" i="100"/>
  <c r="AV14" i="100"/>
  <c r="AI88" i="100"/>
  <c r="AI50" i="100" s="1"/>
  <c r="R62" i="100"/>
  <c r="R74" i="100" s="1"/>
  <c r="R10" i="100"/>
  <c r="R17" i="100"/>
  <c r="R23" i="100" s="1"/>
  <c r="Y79" i="100"/>
  <c r="Y81" i="100" s="1"/>
  <c r="T74" i="100"/>
  <c r="Y75" i="100" s="1"/>
  <c r="U72" i="100"/>
  <c r="Z23" i="100"/>
  <c r="AG72" i="100"/>
  <c r="AC54" i="100"/>
  <c r="AC53" i="100"/>
  <c r="AC32" i="100"/>
  <c r="K222" i="100"/>
  <c r="K221" i="100"/>
  <c r="AO221" i="100"/>
  <c r="AO218" i="100" s="1"/>
  <c r="Y221" i="100"/>
  <c r="X217" i="100"/>
  <c r="X203" i="100"/>
  <c r="X205" i="100" s="1"/>
  <c r="S219" i="100"/>
  <c r="S258" i="100" s="1"/>
  <c r="X92" i="73" s="1"/>
  <c r="S218" i="100"/>
  <c r="R221" i="100"/>
  <c r="R218" i="100" s="1"/>
  <c r="AM234" i="100"/>
  <c r="AM222" i="100"/>
  <c r="AM213" i="100"/>
  <c r="AR128" i="46"/>
  <c r="AN234" i="100"/>
  <c r="AH205" i="100"/>
  <c r="AR177" i="100"/>
  <c r="AR182" i="100" s="1"/>
  <c r="AR205" i="100" s="1"/>
  <c r="AF234" i="100"/>
  <c r="AA234" i="100"/>
  <c r="AW198" i="100"/>
  <c r="AL162" i="100"/>
  <c r="AU245" i="100"/>
  <c r="AU150" i="100"/>
  <c r="AU153" i="100" s="1"/>
  <c r="AZ96" i="46"/>
  <c r="AT245" i="100"/>
  <c r="AT150" i="100"/>
  <c r="AT153" i="100" s="1"/>
  <c r="AY96" i="46"/>
  <c r="AS245" i="100"/>
  <c r="AS150" i="100"/>
  <c r="AS175" i="100" s="1"/>
  <c r="AX96" i="46"/>
  <c r="N162" i="100"/>
  <c r="BD117" i="100"/>
  <c r="BE114" i="100"/>
  <c r="BI117" i="100"/>
  <c r="AU104" i="100"/>
  <c r="AV105" i="100"/>
  <c r="AV104" i="100" s="1"/>
  <c r="AW104" i="100" s="1"/>
  <c r="AW105" i="100" s="1"/>
  <c r="AX105" i="100" s="1"/>
  <c r="AM227" i="100"/>
  <c r="AM240" i="100" s="1"/>
  <c r="AM28" i="100"/>
  <c r="AM24" i="100"/>
  <c r="AU109" i="100"/>
  <c r="AS109" i="100"/>
  <c r="AV109" i="100"/>
  <c r="AT109" i="100"/>
  <c r="BE115" i="100"/>
  <c r="BF115" i="100" s="1"/>
  <c r="AI104" i="100"/>
  <c r="AJ105" i="100"/>
  <c r="AJ100" i="100"/>
  <c r="AJ102" i="100" s="1"/>
  <c r="S246" i="100"/>
  <c r="S244" i="100" s="1"/>
  <c r="S112" i="100"/>
  <c r="S109" i="100"/>
  <c r="AI79" i="100"/>
  <c r="AI81" i="100" s="1"/>
  <c r="AI75" i="100"/>
  <c r="BI88" i="100"/>
  <c r="BH50" i="100"/>
  <c r="BH88" i="100" s="1"/>
  <c r="AX50" i="100"/>
  <c r="AX88" i="100" s="1"/>
  <c r="AY88" i="100"/>
  <c r="AO79" i="100"/>
  <c r="AS68" i="100"/>
  <c r="M21" i="100"/>
  <c r="Q23" i="100"/>
  <c r="W62" i="100"/>
  <c r="W74" i="100" s="1"/>
  <c r="W17" i="100"/>
  <c r="W10" i="100"/>
  <c r="AF79" i="100"/>
  <c r="AF81" i="100" s="1"/>
  <c r="AF75" i="100"/>
  <c r="AF19" i="100"/>
  <c r="AE20" i="100"/>
  <c r="AD23" i="100"/>
  <c r="AJ72" i="100"/>
  <c r="AJ74" i="100"/>
  <c r="AK79" i="100"/>
  <c r="AK81" i="100" s="1"/>
  <c r="AK75" i="100"/>
  <c r="AG19" i="100"/>
  <c r="AL79" i="100"/>
  <c r="AL81" i="100" s="1"/>
  <c r="AL75" i="100"/>
  <c r="O74" i="100"/>
  <c r="S62" i="100"/>
  <c r="S74" i="100" s="1"/>
  <c r="AP75" i="100"/>
  <c r="AP79" i="100"/>
  <c r="AA20" i="100"/>
  <c r="AA21" i="100" s="1"/>
  <c r="AA23" i="100" s="1"/>
  <c r="BE72" i="100"/>
  <c r="W72" i="100"/>
  <c r="X261" i="100"/>
  <c r="N261" i="100"/>
  <c r="S56" i="100"/>
  <c r="X94" i="73"/>
  <c r="AP213" i="100"/>
  <c r="AK221" i="100"/>
  <c r="AK218" i="100" s="1"/>
  <c r="I234" i="100"/>
  <c r="I222" i="100"/>
  <c r="I221" i="100"/>
  <c r="I213" i="100"/>
  <c r="AA233" i="100"/>
  <c r="AR217" i="100"/>
  <c r="AR203" i="100"/>
  <c r="AJ218" i="100"/>
  <c r="S222" i="100"/>
  <c r="AM218" i="100"/>
  <c r="AB221" i="100"/>
  <c r="AB218" i="100"/>
  <c r="AD222" i="100"/>
  <c r="V222" i="100"/>
  <c r="AG213" i="100"/>
  <c r="W213" i="100"/>
  <c r="AC205" i="100"/>
  <c r="AF213" i="100"/>
  <c r="AA213" i="100"/>
  <c r="AJ234" i="100"/>
  <c r="AE234" i="100"/>
  <c r="AR212" i="100"/>
  <c r="DL162" i="100"/>
  <c r="AQ205" i="100"/>
  <c r="AB156" i="100"/>
  <c r="DD160" i="100"/>
  <c r="DD162" i="100" s="1"/>
  <c r="CY153" i="100"/>
  <c r="AU147" i="100"/>
  <c r="AU172" i="100" s="1"/>
  <c r="AW120" i="100"/>
  <c r="BB121" i="100"/>
  <c r="BF116" i="100"/>
  <c r="AC160" i="100"/>
  <c r="AC162" i="100" s="1"/>
  <c r="J162" i="100"/>
  <c r="BJ114" i="100"/>
  <c r="BB129" i="100"/>
  <c r="BB109" i="100" s="1"/>
  <c r="BC153" i="100"/>
  <c r="AE105" i="100"/>
  <c r="AD104" i="100"/>
  <c r="AE100" i="100"/>
  <c r="AE102" i="100" s="1"/>
  <c r="AB68" i="100"/>
  <c r="AB44" i="100" s="1"/>
  <c r="BD91" i="100"/>
  <c r="BC51" i="100"/>
  <c r="BC91" i="100" s="1"/>
  <c r="AT91" i="100"/>
  <c r="AT90" i="100" s="1"/>
  <c r="AS51" i="100"/>
  <c r="AS91" i="100" s="1"/>
  <c r="AS90" i="100" s="1"/>
  <c r="AX66" i="100"/>
  <c r="BB65" i="100"/>
  <c r="BB66" i="100" s="1"/>
  <c r="BB68" i="100" s="1"/>
  <c r="BC65" i="100"/>
  <c r="I227" i="100"/>
  <c r="I240" i="100" s="1"/>
  <c r="I24" i="100"/>
  <c r="I228" i="100" s="1"/>
  <c r="I235" i="100" s="1"/>
  <c r="I28" i="100"/>
  <c r="AQ15" i="100"/>
  <c r="AQ17" i="100" s="1"/>
  <c r="M62" i="100"/>
  <c r="M74" i="100" s="1"/>
  <c r="M79" i="100" s="1"/>
  <c r="M81" i="100" s="1"/>
  <c r="M10" i="100"/>
  <c r="M17" i="100"/>
  <c r="M23" i="100" s="1"/>
  <c r="AA79" i="100"/>
  <c r="AA81" i="100" s="1"/>
  <c r="AA75" i="100"/>
  <c r="U21" i="100"/>
  <c r="U23" i="100" s="1"/>
  <c r="U20" i="100"/>
  <c r="V19" i="100"/>
  <c r="AE79" i="100"/>
  <c r="AE75" i="100"/>
  <c r="P79" i="100"/>
  <c r="P81" i="100" s="1"/>
  <c r="P75" i="100"/>
  <c r="AU68" i="100"/>
  <c r="AV71" i="100"/>
  <c r="AV9" i="100" s="1"/>
  <c r="BA72" i="100"/>
  <c r="AD75" i="100"/>
  <c r="AD79" i="100"/>
  <c r="AD81" i="100" s="1"/>
  <c r="T23" i="100"/>
  <c r="O23" i="100"/>
  <c r="AP23" i="100"/>
  <c r="AU26" i="46"/>
  <c r="AU71" i="100"/>
  <c r="AU9" i="100" s="1"/>
  <c r="AR227" i="100"/>
  <c r="AR240" i="100" s="1"/>
  <c r="AR28" i="100"/>
  <c r="AR24" i="100"/>
  <c r="N222" i="100"/>
  <c r="N221" i="100"/>
  <c r="N234" i="100" s="1"/>
  <c r="M212" i="100"/>
  <c r="AD233" i="100"/>
  <c r="O233" i="100"/>
  <c r="AP234" i="100"/>
  <c r="AN233" i="100"/>
  <c r="W233" i="100"/>
  <c r="AN218" i="100"/>
  <c r="AF218" i="100"/>
  <c r="R234" i="100"/>
  <c r="R213" i="100"/>
  <c r="R222" i="100"/>
  <c r="AI233" i="100"/>
  <c r="AE218" i="100"/>
  <c r="L234" i="100"/>
  <c r="L222" i="100"/>
  <c r="L221" i="100"/>
  <c r="L213" i="100"/>
  <c r="Z213" i="100"/>
  <c r="AG222" i="100"/>
  <c r="AB222" i="100"/>
  <c r="W222" i="100"/>
  <c r="AC212" i="100"/>
  <c r="O222" i="100"/>
  <c r="AK222" i="100"/>
  <c r="AH212" i="100"/>
  <c r="AQ160" i="100"/>
  <c r="AQ162" i="100" s="1"/>
  <c r="AQ126" i="100"/>
  <c r="CY162" i="100"/>
  <c r="DS153" i="100"/>
  <c r="DS162" i="100" s="1"/>
  <c r="AY245" i="100"/>
  <c r="AY150" i="100"/>
  <c r="AY153" i="100" s="1"/>
  <c r="BD96" i="46"/>
  <c r="AP104" i="100"/>
  <c r="AO105" i="100"/>
  <c r="AO100" i="100"/>
  <c r="AO102" i="100" s="1"/>
  <c r="AZ114" i="100"/>
  <c r="AL85" i="100"/>
  <c r="AL87" i="100" s="1"/>
  <c r="AL88" i="100" s="1"/>
  <c r="AL50" i="100" s="1"/>
  <c r="AL15" i="100"/>
  <c r="AL17" i="100" s="1"/>
  <c r="X88" i="100"/>
  <c r="X50" i="100" s="1"/>
  <c r="AC89" i="73" s="1"/>
  <c r="AE68" i="100"/>
  <c r="AE44" i="100" s="1"/>
  <c r="AJ68" i="100"/>
  <c r="AJ44" i="100" s="1"/>
  <c r="N246" i="100"/>
  <c r="N112" i="100"/>
  <c r="N109" i="100"/>
  <c r="AE72" i="100"/>
  <c r="Z68" i="100"/>
  <c r="Z44" i="100" s="1"/>
  <c r="BD88" i="100"/>
  <c r="BC50" i="100"/>
  <c r="BC88" i="100" s="1"/>
  <c r="AB20" i="100"/>
  <c r="AB21" i="100" s="1"/>
  <c r="J21" i="100"/>
  <c r="J23" i="100" s="1"/>
  <c r="AO23" i="100"/>
  <c r="AT26" i="46"/>
  <c r="AV68" i="100"/>
  <c r="N23" i="100"/>
  <c r="AN72" i="100"/>
  <c r="AS72" i="100" s="1"/>
  <c r="AN74" i="100"/>
  <c r="AB72" i="100"/>
  <c r="U79" i="100"/>
  <c r="U81" i="100" s="1"/>
  <c r="K81" i="100"/>
  <c r="BE65" i="100"/>
  <c r="AZ66" i="100"/>
  <c r="AL20" i="100"/>
  <c r="AL21" i="100" s="1"/>
  <c r="AI23" i="100"/>
  <c r="AB62" i="100"/>
  <c r="AB74" i="100" s="1"/>
  <c r="AB10" i="100"/>
  <c r="AB17" i="100"/>
  <c r="AH62" i="100"/>
  <c r="AH74" i="100" s="1"/>
  <c r="AM75" i="100" s="1"/>
  <c r="N62" i="100"/>
  <c r="N74" i="100" s="1"/>
  <c r="Z72" i="100"/>
  <c r="Z81" i="100" s="1"/>
  <c r="AH23" i="100"/>
  <c r="AK23" i="100"/>
  <c r="AP26" i="46"/>
  <c r="X23" i="100"/>
  <c r="AQ10" i="100"/>
  <c r="AG79" i="100"/>
  <c r="AG81" i="100" s="1"/>
  <c r="AG75" i="100"/>
  <c r="Y34" i="99"/>
  <c r="Y30" i="99"/>
  <c r="AL193" i="99"/>
  <c r="BJ278" i="99"/>
  <c r="BJ181" i="99"/>
  <c r="BJ184" i="99" s="1"/>
  <c r="BO95" i="46"/>
  <c r="AB104" i="99"/>
  <c r="AB110" i="99"/>
  <c r="AR260" i="99"/>
  <c r="AR273" i="99" s="1"/>
  <c r="AR34" i="99"/>
  <c r="AR30" i="99"/>
  <c r="V30" i="99"/>
  <c r="V34" i="99"/>
  <c r="Z193" i="99"/>
  <c r="S260" i="99"/>
  <c r="S273" i="99" s="1"/>
  <c r="S34" i="99"/>
  <c r="S30" i="99"/>
  <c r="S261" i="99" s="1"/>
  <c r="O34" i="99"/>
  <c r="O30" i="99"/>
  <c r="M104" i="99"/>
  <c r="M110" i="99"/>
  <c r="R102" i="99"/>
  <c r="R51" i="99" s="1"/>
  <c r="AU117" i="99"/>
  <c r="AU18" i="99" s="1"/>
  <c r="U30" i="99"/>
  <c r="U34" i="99"/>
  <c r="AF34" i="99"/>
  <c r="AF30" i="99"/>
  <c r="AB266" i="99"/>
  <c r="P266" i="99"/>
  <c r="P249" i="99"/>
  <c r="P252" i="99"/>
  <c r="P291" i="99" s="1"/>
  <c r="L246" i="99"/>
  <c r="L255" i="99"/>
  <c r="L254" i="99"/>
  <c r="Z267" i="99"/>
  <c r="Z255" i="99"/>
  <c r="Z246" i="99"/>
  <c r="Z266" i="99"/>
  <c r="K267" i="99"/>
  <c r="K254" i="99"/>
  <c r="K246" i="99"/>
  <c r="AL246" i="99"/>
  <c r="V246" i="99"/>
  <c r="AB255" i="99"/>
  <c r="AJ252" i="99"/>
  <c r="AJ291" i="99" s="1"/>
  <c r="AB252" i="99"/>
  <c r="AB291" i="99" s="1"/>
  <c r="AJ246" i="99"/>
  <c r="X254" i="99"/>
  <c r="X252" i="99" s="1"/>
  <c r="X291" i="99" s="1"/>
  <c r="AC82" i="73" s="1"/>
  <c r="AC268" i="99"/>
  <c r="BA178" i="99"/>
  <c r="CM194" i="99"/>
  <c r="CP194" i="99"/>
  <c r="X277" i="99"/>
  <c r="DI191" i="99"/>
  <c r="DI193" i="99" s="1"/>
  <c r="AG193" i="99"/>
  <c r="BI150" i="99"/>
  <c r="DD179" i="99"/>
  <c r="DD193" i="99" s="1"/>
  <c r="CL196" i="99"/>
  <c r="AU177" i="99"/>
  <c r="AV177" i="99" s="1"/>
  <c r="BJ120" i="99"/>
  <c r="BI58" i="99"/>
  <c r="AZ120" i="99"/>
  <c r="AZ119" i="99" s="1"/>
  <c r="AY58" i="99"/>
  <c r="J144" i="99"/>
  <c r="BH184" i="99"/>
  <c r="AX110" i="99"/>
  <c r="AS109" i="99"/>
  <c r="K104" i="99"/>
  <c r="P89" i="99"/>
  <c r="AK132" i="99"/>
  <c r="AK134" i="99" s="1"/>
  <c r="AK144" i="99" s="1"/>
  <c r="AK137" i="99"/>
  <c r="X120" i="99"/>
  <c r="X58" i="99" s="1"/>
  <c r="AC79" i="73" s="1"/>
  <c r="AE102" i="99"/>
  <c r="AE51" i="99" s="1"/>
  <c r="AA113" i="99"/>
  <c r="AF80" i="99"/>
  <c r="AB85" i="99"/>
  <c r="AB83" i="99"/>
  <c r="AV80" i="99"/>
  <c r="AQ14" i="99"/>
  <c r="AQ16" i="99" s="1"/>
  <c r="AS12" i="99"/>
  <c r="BD110" i="99"/>
  <c r="AU76" i="99"/>
  <c r="AJ23" i="99"/>
  <c r="AJ16" i="99"/>
  <c r="AP83" i="99"/>
  <c r="AP85" i="99"/>
  <c r="AB80" i="99"/>
  <c r="AI23" i="99"/>
  <c r="AI29" i="99" s="1"/>
  <c r="AI16" i="99"/>
  <c r="AI113" i="99"/>
  <c r="BF110" i="99"/>
  <c r="AU104" i="99"/>
  <c r="AG113" i="99"/>
  <c r="P29" i="99"/>
  <c r="Q260" i="99" s="1"/>
  <c r="Q273" i="99" s="1"/>
  <c r="AQ27" i="99"/>
  <c r="N61" i="99"/>
  <c r="N38" i="99"/>
  <c r="N62" i="99"/>
  <c r="AL10" i="99"/>
  <c r="T27" i="99"/>
  <c r="T29" i="99" s="1"/>
  <c r="AE29" i="99"/>
  <c r="AR16" i="99"/>
  <c r="AO254" i="99"/>
  <c r="AO252" i="99"/>
  <c r="AO291" i="99" s="1"/>
  <c r="AG254" i="99"/>
  <c r="AO255" i="99"/>
  <c r="AR251" i="99"/>
  <c r="AR236" i="99"/>
  <c r="AR238" i="99" s="1"/>
  <c r="J249" i="99"/>
  <c r="J252" i="99"/>
  <c r="J291" i="99" s="1"/>
  <c r="I267" i="99"/>
  <c r="I255" i="99"/>
  <c r="I254" i="99"/>
  <c r="I246" i="99"/>
  <c r="AJ267" i="99"/>
  <c r="AC254" i="99"/>
  <c r="AC267" i="99" s="1"/>
  <c r="X267" i="99"/>
  <c r="X268" i="99"/>
  <c r="X246" i="99"/>
  <c r="X255" i="99"/>
  <c r="X238" i="99"/>
  <c r="BA177" i="99"/>
  <c r="AS136" i="99"/>
  <c r="AS132" i="99" s="1"/>
  <c r="AT137" i="99"/>
  <c r="AO132" i="99"/>
  <c r="AO134" i="99" s="1"/>
  <c r="AO137" i="99"/>
  <c r="AP136" i="99"/>
  <c r="AZ190" i="99"/>
  <c r="BE168" i="46" s="1"/>
  <c r="BG155" i="99"/>
  <c r="DS179" i="99"/>
  <c r="DS193" i="99" s="1"/>
  <c r="N112" i="99"/>
  <c r="N113" i="99" s="1"/>
  <c r="N104" i="99"/>
  <c r="BE123" i="99"/>
  <c r="BD59" i="99"/>
  <c r="AU123" i="99"/>
  <c r="AU122" i="99" s="1"/>
  <c r="AT59" i="99"/>
  <c r="AW87" i="99"/>
  <c r="AU109" i="99"/>
  <c r="AU13" i="99" s="1"/>
  <c r="AZ110" i="99"/>
  <c r="AU102" i="99"/>
  <c r="AU94" i="99"/>
  <c r="AZ100" i="99"/>
  <c r="V100" i="99"/>
  <c r="W97" i="99"/>
  <c r="W100" i="99" s="1"/>
  <c r="AE80" i="99"/>
  <c r="AE89" i="99" s="1"/>
  <c r="AE76" i="99"/>
  <c r="AE50" i="99" s="1"/>
  <c r="L100" i="99"/>
  <c r="S112" i="99"/>
  <c r="S113" i="99" s="1"/>
  <c r="S104" i="99"/>
  <c r="AC76" i="99"/>
  <c r="AC50" i="99" s="1"/>
  <c r="AH77" i="73" s="1"/>
  <c r="L85" i="99"/>
  <c r="AA27" i="99"/>
  <c r="AA29" i="99" s="1"/>
  <c r="AA26" i="99"/>
  <c r="AO23" i="99"/>
  <c r="AO16" i="99"/>
  <c r="BE73" i="99"/>
  <c r="AZ74" i="99"/>
  <c r="AB23" i="99"/>
  <c r="AB16" i="99"/>
  <c r="AV76" i="99"/>
  <c r="BJ123" i="99"/>
  <c r="BI59" i="99"/>
  <c r="AT76" i="99"/>
  <c r="AB26" i="99"/>
  <c r="R80" i="99"/>
  <c r="AJ102" i="99"/>
  <c r="AJ51" i="99" s="1"/>
  <c r="K85" i="99"/>
  <c r="K89" i="99" s="1"/>
  <c r="R85" i="99"/>
  <c r="R89" i="99" s="1"/>
  <c r="R83" i="99"/>
  <c r="AS76" i="99"/>
  <c r="AW74" i="99"/>
  <c r="AW76" i="99" s="1"/>
  <c r="AG27" i="99"/>
  <c r="AG29" i="99" s="1"/>
  <c r="M27" i="99"/>
  <c r="M29" i="99" s="1"/>
  <c r="BA122" i="99"/>
  <c r="AV20" i="99"/>
  <c r="BD80" i="99"/>
  <c r="AP113" i="99"/>
  <c r="Q30" i="99"/>
  <c r="Q34" i="99"/>
  <c r="K29" i="99"/>
  <c r="R26" i="99"/>
  <c r="R27" i="99" s="1"/>
  <c r="R29" i="99" s="1"/>
  <c r="J27" i="99"/>
  <c r="J29" i="99" s="1"/>
  <c r="AW26" i="99"/>
  <c r="Z29" i="99"/>
  <c r="AZ154" i="46"/>
  <c r="AL266" i="99"/>
  <c r="O267" i="99"/>
  <c r="O254" i="99"/>
  <c r="O246" i="99" s="1"/>
  <c r="AL267" i="99"/>
  <c r="V267" i="99"/>
  <c r="N249" i="99"/>
  <c r="N252" i="99"/>
  <c r="N291" i="99" s="1"/>
  <c r="M254" i="99"/>
  <c r="M255" i="99" s="1"/>
  <c r="AP266" i="99"/>
  <c r="J255" i="99"/>
  <c r="S268" i="99"/>
  <c r="S254" i="99"/>
  <c r="S267" i="99" s="1"/>
  <c r="R245" i="99"/>
  <c r="AM238" i="99"/>
  <c r="AV178" i="99"/>
  <c r="BK149" i="99"/>
  <c r="BK148" i="99"/>
  <c r="Z110" i="99"/>
  <c r="BE120" i="99"/>
  <c r="BD58" i="99"/>
  <c r="AH120" i="99"/>
  <c r="AH58" i="99" s="1"/>
  <c r="AM79" i="73" s="1"/>
  <c r="AC112" i="99"/>
  <c r="AC104" i="99"/>
  <c r="R76" i="99"/>
  <c r="R50" i="99" s="1"/>
  <c r="U110" i="99"/>
  <c r="U104" i="99"/>
  <c r="U102" i="99"/>
  <c r="U51" i="99" s="1"/>
  <c r="AF85" i="99"/>
  <c r="AF89" i="99" s="1"/>
  <c r="Q85" i="99"/>
  <c r="Q89" i="99" s="1"/>
  <c r="Q83" i="99"/>
  <c r="L80" i="99"/>
  <c r="S74" i="99"/>
  <c r="Q110" i="99"/>
  <c r="Q104" i="99"/>
  <c r="Q102" i="99"/>
  <c r="Q51" i="99" s="1"/>
  <c r="T89" i="99"/>
  <c r="AN85" i="99"/>
  <c r="AN83" i="99"/>
  <c r="N74" i="99"/>
  <c r="M73" i="99"/>
  <c r="M74" i="99" s="1"/>
  <c r="M80" i="99" s="1"/>
  <c r="AZ61" i="99"/>
  <c r="AM21" i="99"/>
  <c r="AM23" i="99" s="1"/>
  <c r="AM29" i="99" s="1"/>
  <c r="AL117" i="99"/>
  <c r="AL119" i="99" s="1"/>
  <c r="AK23" i="99"/>
  <c r="AK16" i="99"/>
  <c r="AF113" i="99"/>
  <c r="AC80" i="99"/>
  <c r="AC89" i="99" s="1"/>
  <c r="AQ21" i="99"/>
  <c r="AQ23" i="99" s="1"/>
  <c r="AM85" i="99"/>
  <c r="AM89" i="99" s="1"/>
  <c r="AM83" i="99"/>
  <c r="AJ113" i="99"/>
  <c r="BA74" i="99"/>
  <c r="BF73" i="99"/>
  <c r="AG83" i="99"/>
  <c r="BD73" i="99"/>
  <c r="AY74" i="99"/>
  <c r="AU79" i="99"/>
  <c r="AU12" i="99" s="1"/>
  <c r="AU14" i="99" s="1"/>
  <c r="AM112" i="99"/>
  <c r="AM104" i="99"/>
  <c r="AO85" i="99"/>
  <c r="AO83" i="99"/>
  <c r="BF51" i="99"/>
  <c r="BE51" i="99" s="1"/>
  <c r="BD51" i="99" s="1"/>
  <c r="BC51" i="99" s="1"/>
  <c r="BL78" i="73"/>
  <c r="BL51" i="99"/>
  <c r="AB25" i="99"/>
  <c r="AB27" i="99" s="1"/>
  <c r="AT79" i="99"/>
  <c r="AT12" i="99" s="1"/>
  <c r="AT14" i="99" s="1"/>
  <c r="AL112" i="99"/>
  <c r="AL113" i="99" s="1"/>
  <c r="AL104" i="99"/>
  <c r="W113" i="99"/>
  <c r="I260" i="99"/>
  <c r="I273" i="99" s="1"/>
  <c r="I34" i="99"/>
  <c r="I30" i="99"/>
  <c r="I261" i="99" s="1"/>
  <c r="I268" i="99" s="1"/>
  <c r="BB26" i="99"/>
  <c r="BC26" i="99"/>
  <c r="AC38" i="99"/>
  <c r="AC62" i="99"/>
  <c r="AC61" i="99"/>
  <c r="AC284" i="99"/>
  <c r="AH277" i="99"/>
  <c r="AD277" i="99"/>
  <c r="AD282" i="99" s="1"/>
  <c r="AE277" i="99" s="1"/>
  <c r="AE282" i="99" s="1"/>
  <c r="AF277" i="99" s="1"/>
  <c r="AF282" i="99" s="1"/>
  <c r="AG277" i="99" s="1"/>
  <c r="AG282" i="99" s="1"/>
  <c r="AH103" i="73"/>
  <c r="P267" i="99"/>
  <c r="J266" i="99"/>
  <c r="Q266" i="99"/>
  <c r="Q249" i="99"/>
  <c r="Q252" i="99"/>
  <c r="Q291" i="99" s="1"/>
  <c r="Q267" i="99"/>
  <c r="AD267" i="99"/>
  <c r="AD255" i="99"/>
  <c r="AD246" i="99"/>
  <c r="AP252" i="99"/>
  <c r="AP291" i="99" s="1"/>
  <c r="AD252" i="99"/>
  <c r="AD291" i="99" s="1"/>
  <c r="V252" i="99"/>
  <c r="V291" i="99" s="1"/>
  <c r="AP267" i="99"/>
  <c r="AP255" i="99"/>
  <c r="AP246" i="99"/>
  <c r="AU127" i="46"/>
  <c r="AD266" i="99"/>
  <c r="AG255" i="99"/>
  <c r="U255" i="99"/>
  <c r="AK254" i="99"/>
  <c r="AK252" i="99" s="1"/>
  <c r="AK291" i="99" s="1"/>
  <c r="Y254" i="99"/>
  <c r="Y252" i="99" s="1"/>
  <c r="Y291" i="99" s="1"/>
  <c r="N255" i="99"/>
  <c r="AB267" i="99"/>
  <c r="J267" i="99"/>
  <c r="AN255" i="99"/>
  <c r="AJ255" i="99"/>
  <c r="AE246" i="99"/>
  <c r="AA245" i="99"/>
  <c r="W267" i="99"/>
  <c r="AQ252" i="99"/>
  <c r="AQ291" i="99" s="1"/>
  <c r="AE252" i="99"/>
  <c r="AE291" i="99" s="1"/>
  <c r="W252" i="99"/>
  <c r="W291" i="99" s="1"/>
  <c r="AU231" i="99"/>
  <c r="AH254" i="99"/>
  <c r="AH252" i="99" s="1"/>
  <c r="AH291" i="99" s="1"/>
  <c r="AM82" i="73" s="1"/>
  <c r="AH268" i="99"/>
  <c r="AH267" i="99"/>
  <c r="AH255" i="99"/>
  <c r="AR245" i="99"/>
  <c r="AM245" i="99"/>
  <c r="AU205" i="99"/>
  <c r="AV205" i="99" s="1"/>
  <c r="AW205" i="99" s="1"/>
  <c r="AX205" i="99" s="1"/>
  <c r="AY205" i="99" s="1"/>
  <c r="AZ205" i="99" s="1"/>
  <c r="BA205" i="99" s="1"/>
  <c r="BB205" i="99" s="1"/>
  <c r="BC205" i="99" s="1"/>
  <c r="BD205" i="99" s="1"/>
  <c r="BE205" i="99" s="1"/>
  <c r="BF205" i="99" s="1"/>
  <c r="BG205" i="99" s="1"/>
  <c r="BH205" i="99" s="1"/>
  <c r="BI205" i="99" s="1"/>
  <c r="BJ205" i="99" s="1"/>
  <c r="BK205" i="99" s="1"/>
  <c r="BL205" i="99" s="1"/>
  <c r="BA190" i="99"/>
  <c r="BF168" i="46" s="1"/>
  <c r="DX58" i="71" s="1"/>
  <c r="AX184" i="99"/>
  <c r="DN191" i="99"/>
  <c r="DN193" i="99" s="1"/>
  <c r="K196" i="99"/>
  <c r="L194" i="99" s="1"/>
  <c r="L196" i="99" s="1"/>
  <c r="M194" i="99" s="1"/>
  <c r="M196" i="99" s="1"/>
  <c r="BC184" i="99"/>
  <c r="AS208" i="99"/>
  <c r="AS184" i="99"/>
  <c r="W85" i="99"/>
  <c r="W89" i="99" s="1"/>
  <c r="W83" i="99"/>
  <c r="AZ123" i="99"/>
  <c r="AY59" i="99"/>
  <c r="K110" i="99"/>
  <c r="S120" i="99"/>
  <c r="S58" i="99" s="1"/>
  <c r="X79" i="73" s="1"/>
  <c r="AG102" i="99"/>
  <c r="AG51" i="99" s="1"/>
  <c r="X112" i="99"/>
  <c r="X113" i="99" s="1"/>
  <c r="X104" i="99"/>
  <c r="X80" i="99"/>
  <c r="X89" i="99" s="1"/>
  <c r="AE110" i="99"/>
  <c r="AW100" i="99"/>
  <c r="AW102" i="99" s="1"/>
  <c r="AS102" i="99"/>
  <c r="AX100" i="99"/>
  <c r="O113" i="99"/>
  <c r="AK85" i="99"/>
  <c r="AK89" i="99" s="1"/>
  <c r="AK83" i="99"/>
  <c r="Z80" i="99"/>
  <c r="Z89" i="99" s="1"/>
  <c r="Z76" i="99"/>
  <c r="Z50" i="99" s="1"/>
  <c r="AJ83" i="99"/>
  <c r="AJ85" i="99"/>
  <c r="AJ89" i="99" s="1"/>
  <c r="AK76" i="99"/>
  <c r="AK50" i="99" s="1"/>
  <c r="AI85" i="99"/>
  <c r="AI89" i="99" s="1"/>
  <c r="AI83" i="99"/>
  <c r="BC80" i="99"/>
  <c r="T113" i="99"/>
  <c r="AG73" i="99"/>
  <c r="AG74" i="99" s="1"/>
  <c r="AH74" i="99" s="1"/>
  <c r="AT120" i="99"/>
  <c r="AT119" i="99" s="1"/>
  <c r="AS58" i="99"/>
  <c r="AS120" i="99" s="1"/>
  <c r="AS119" i="99" s="1"/>
  <c r="AN23" i="99"/>
  <c r="AN16" i="99"/>
  <c r="AS104" i="99"/>
  <c r="AX104" i="99" s="1"/>
  <c r="BC61" i="99"/>
  <c r="AT102" i="99"/>
  <c r="AT94" i="99"/>
  <c r="AY100" i="99"/>
  <c r="AL79" i="99"/>
  <c r="AL14" i="99"/>
  <c r="AL21" i="99" s="1"/>
  <c r="AZ79" i="99"/>
  <c r="AZ12" i="99" s="1"/>
  <c r="BE80" i="99"/>
  <c r="BA100" i="99"/>
  <c r="BA109" i="99" s="1"/>
  <c r="BA13" i="99" s="1"/>
  <c r="AV102" i="99"/>
  <c r="AH112" i="99"/>
  <c r="AH113" i="99" s="1"/>
  <c r="AH104" i="99"/>
  <c r="BC73" i="99"/>
  <c r="AX74" i="99"/>
  <c r="BB73" i="99"/>
  <c r="W27" i="99"/>
  <c r="W29" i="99" s="1"/>
  <c r="AL144" i="99"/>
  <c r="R144" i="99"/>
  <c r="AP23" i="99"/>
  <c r="AP16" i="99"/>
  <c r="AG104" i="99"/>
  <c r="AD29" i="99"/>
  <c r="BH61" i="99"/>
  <c r="AH61" i="99"/>
  <c r="AH38" i="99"/>
  <c r="AH62" i="99"/>
  <c r="X38" i="99"/>
  <c r="X62" i="99"/>
  <c r="X61" i="99"/>
  <c r="AD27" i="99"/>
  <c r="L34" i="99"/>
  <c r="L30" i="99"/>
  <c r="AE220" i="98"/>
  <c r="AE259" i="98" s="1"/>
  <c r="AE234" i="98"/>
  <c r="AK162" i="98"/>
  <c r="AB162" i="98"/>
  <c r="AT246" i="98"/>
  <c r="AT150" i="98"/>
  <c r="AT153" i="98" s="1"/>
  <c r="AY94" i="46"/>
  <c r="T24" i="98"/>
  <c r="T28" i="98"/>
  <c r="Z24" i="98"/>
  <c r="Z28" i="98"/>
  <c r="Q28" i="98"/>
  <c r="Q24" i="98"/>
  <c r="P28" i="98"/>
  <c r="P24" i="98"/>
  <c r="AL162" i="98"/>
  <c r="AN77" i="98"/>
  <c r="AN75" i="98"/>
  <c r="AD24" i="98"/>
  <c r="AD28" i="98"/>
  <c r="O28" i="98"/>
  <c r="O24" i="98"/>
  <c r="AC228" i="98"/>
  <c r="AC241" i="98" s="1"/>
  <c r="AC24" i="98"/>
  <c r="AC229" i="98" s="1"/>
  <c r="AC28" i="98"/>
  <c r="K28" i="98"/>
  <c r="K32" i="98" s="1"/>
  <c r="K24" i="98"/>
  <c r="AA28" i="98"/>
  <c r="AA24" i="98"/>
  <c r="J228" i="98"/>
  <c r="J241" i="98" s="1"/>
  <c r="L228" i="98"/>
  <c r="L241" i="98" s="1"/>
  <c r="K228" i="98"/>
  <c r="K241" i="98" s="1"/>
  <c r="J28" i="98"/>
  <c r="J32" i="98" s="1"/>
  <c r="J24" i="98"/>
  <c r="AF28" i="98"/>
  <c r="AF24" i="98"/>
  <c r="L28" i="98"/>
  <c r="L32" i="98" s="1"/>
  <c r="L24" i="98"/>
  <c r="AE28" i="98"/>
  <c r="AE24" i="98"/>
  <c r="AI220" i="98"/>
  <c r="AI259" i="98" s="1"/>
  <c r="AI234" i="98"/>
  <c r="BA160" i="46"/>
  <c r="BB160" i="46" s="1"/>
  <c r="AD234" i="98"/>
  <c r="AQ235" i="98"/>
  <c r="AV126" i="46"/>
  <c r="N220" i="98"/>
  <c r="N259" i="98" s="1"/>
  <c r="N234" i="98"/>
  <c r="M222" i="98"/>
  <c r="J220" i="98"/>
  <c r="J234" i="98"/>
  <c r="L234" i="98"/>
  <c r="L220" i="98"/>
  <c r="T234" i="98"/>
  <c r="S236" i="98"/>
  <c r="S235" i="98"/>
  <c r="S222" i="98"/>
  <c r="R213" i="98"/>
  <c r="S223" i="98"/>
  <c r="AD223" i="98"/>
  <c r="Z223" i="98"/>
  <c r="AL214" i="98"/>
  <c r="T214" i="98"/>
  <c r="AP235" i="98"/>
  <c r="AB235" i="98"/>
  <c r="T220" i="98"/>
  <c r="T259" i="98" s="1"/>
  <c r="AJ223" i="98"/>
  <c r="V223" i="98"/>
  <c r="AU199" i="98"/>
  <c r="AL160" i="98"/>
  <c r="AL127" i="98"/>
  <c r="AV158" i="98"/>
  <c r="CZ162" i="98"/>
  <c r="R162" i="98"/>
  <c r="BC117" i="98"/>
  <c r="BJ115" i="98"/>
  <c r="BK115" i="98" s="1"/>
  <c r="AZ90" i="98"/>
  <c r="AU14" i="98"/>
  <c r="AY65" i="98"/>
  <c r="AT66" i="98"/>
  <c r="AE77" i="98"/>
  <c r="AE75" i="98"/>
  <c r="BI88" i="98"/>
  <c r="BH51" i="98"/>
  <c r="BH88" i="98" s="1"/>
  <c r="AY88" i="98"/>
  <c r="AX51" i="98"/>
  <c r="AX88" i="98" s="1"/>
  <c r="AS68" i="98"/>
  <c r="S88" i="98"/>
  <c r="S51" i="98" s="1"/>
  <c r="X68" i="73" s="1"/>
  <c r="AL65" i="98"/>
  <c r="AL66" i="98" s="1"/>
  <c r="BE113" i="98"/>
  <c r="BE117" i="98" s="1"/>
  <c r="AC74" i="98"/>
  <c r="BK116" i="98"/>
  <c r="V72" i="98"/>
  <c r="AP77" i="98"/>
  <c r="AP75" i="98"/>
  <c r="U20" i="98"/>
  <c r="U21" i="98" s="1"/>
  <c r="U23" i="98" s="1"/>
  <c r="V19" i="98"/>
  <c r="AL75" i="98"/>
  <c r="X54" i="98"/>
  <c r="X55" i="98"/>
  <c r="X32" i="98"/>
  <c r="AN88" i="98"/>
  <c r="AN51" i="98" s="1"/>
  <c r="AB77" i="98"/>
  <c r="AB81" i="98" s="1"/>
  <c r="AB75" i="98"/>
  <c r="M20" i="98"/>
  <c r="AX68" i="98"/>
  <c r="AG21" i="98"/>
  <c r="AG23" i="98" s="1"/>
  <c r="AK72" i="98"/>
  <c r="I228" i="98"/>
  <c r="I241" i="98" s="1"/>
  <c r="I24" i="98"/>
  <c r="I229" i="98" s="1"/>
  <c r="I236" i="98" s="1"/>
  <c r="I28" i="98"/>
  <c r="AM55" i="98"/>
  <c r="AM54" i="98"/>
  <c r="AM32" i="98"/>
  <c r="S32" i="98"/>
  <c r="S55" i="98"/>
  <c r="S54" i="98"/>
  <c r="AI21" i="98"/>
  <c r="DE33" i="71"/>
  <c r="DE45" i="71" s="1"/>
  <c r="S250" i="98"/>
  <c r="AC102" i="73"/>
  <c r="AI235" i="98"/>
  <c r="AI214" i="98"/>
  <c r="AI223" i="98"/>
  <c r="P234" i="98"/>
  <c r="P220" i="98"/>
  <c r="AH219" i="98"/>
  <c r="AH204" i="98"/>
  <c r="AH206" i="98" s="1"/>
  <c r="Y222" i="98"/>
  <c r="AU191" i="98"/>
  <c r="AO222" i="98"/>
  <c r="V235" i="98"/>
  <c r="AM213" i="98"/>
  <c r="AG206" i="98"/>
  <c r="AK206" i="98"/>
  <c r="AU181" i="98"/>
  <c r="AV181" i="98" s="1"/>
  <c r="AW181" i="98" s="1"/>
  <c r="AX181" i="98" s="1"/>
  <c r="AY181" i="98" s="1"/>
  <c r="AZ181" i="98" s="1"/>
  <c r="BA181" i="98" s="1"/>
  <c r="BB181" i="98" s="1"/>
  <c r="BC181" i="98" s="1"/>
  <c r="BD181" i="98" s="1"/>
  <c r="BE181" i="98" s="1"/>
  <c r="BF181" i="98" s="1"/>
  <c r="BG181" i="98" s="1"/>
  <c r="BH181" i="98" s="1"/>
  <c r="BI181" i="98" s="1"/>
  <c r="BJ181" i="98" s="1"/>
  <c r="BK181" i="98" s="1"/>
  <c r="BL181" i="98" s="1"/>
  <c r="N162" i="98"/>
  <c r="AX117" i="98"/>
  <c r="O103" i="98"/>
  <c r="O99" i="98" s="1"/>
  <c r="O101" i="98" s="1"/>
  <c r="P99" i="98"/>
  <c r="P101" i="98" s="1"/>
  <c r="Q111" i="98" s="1"/>
  <c r="DS153" i="98"/>
  <c r="BD246" i="98"/>
  <c r="BD150" i="98"/>
  <c r="BD153" i="98" s="1"/>
  <c r="BI94" i="46"/>
  <c r="T103" i="98"/>
  <c r="T99" i="98" s="1"/>
  <c r="T101" i="98" s="1"/>
  <c r="U99" i="98"/>
  <c r="U101" i="98" s="1"/>
  <c r="V111" i="98" s="1"/>
  <c r="CO148" i="98"/>
  <c r="CO162" i="98" s="1"/>
  <c r="BG122" i="98"/>
  <c r="AH88" i="98"/>
  <c r="AH51" i="98" s="1"/>
  <c r="AM68" i="73" s="1"/>
  <c r="AA77" i="98"/>
  <c r="AA75" i="98"/>
  <c r="BD91" i="98"/>
  <c r="BC52" i="98"/>
  <c r="BC91" i="98" s="1"/>
  <c r="AT91" i="98"/>
  <c r="AT90" i="98" s="1"/>
  <c r="AS52" i="98"/>
  <c r="AS91" i="98" s="1"/>
  <c r="AS90" i="98" s="1"/>
  <c r="AR228" i="98"/>
  <c r="AR241" i="98" s="1"/>
  <c r="AR28" i="98"/>
  <c r="AR24" i="98"/>
  <c r="BJ114" i="98"/>
  <c r="BK114" i="98" s="1"/>
  <c r="AI77" i="98"/>
  <c r="AI81" i="98" s="1"/>
  <c r="AI75" i="98"/>
  <c r="AP68" i="98"/>
  <c r="AP44" i="98" s="1"/>
  <c r="AY113" i="98"/>
  <c r="AY117" i="98" s="1"/>
  <c r="AS103" i="98"/>
  <c r="AN72" i="98"/>
  <c r="AS72" i="98" s="1"/>
  <c r="AU66" i="98"/>
  <c r="AZ65" i="98"/>
  <c r="X74" i="98"/>
  <c r="AE72" i="98"/>
  <c r="W19" i="98"/>
  <c r="AQ10" i="98"/>
  <c r="AC87" i="98"/>
  <c r="AC88" i="98" s="1"/>
  <c r="AC51" i="98" s="1"/>
  <c r="AH68" i="73" s="1"/>
  <c r="AB21" i="98"/>
  <c r="AB23" i="98" s="1"/>
  <c r="AP23" i="98"/>
  <c r="AU24" i="46"/>
  <c r="AS111" i="98"/>
  <c r="BB20" i="98"/>
  <c r="BC20" i="98"/>
  <c r="AG75" i="98"/>
  <c r="AG77" i="98"/>
  <c r="AG81" i="98" s="1"/>
  <c r="AH245" i="98"/>
  <c r="AH250" i="98" s="1"/>
  <c r="AC252" i="98"/>
  <c r="AD245" i="98"/>
  <c r="AD250" i="98" s="1"/>
  <c r="AE245" i="98" s="1"/>
  <c r="AE250" i="98" s="1"/>
  <c r="AF245" i="98" s="1"/>
  <c r="AF250" i="98" s="1"/>
  <c r="AG245" i="98" s="1"/>
  <c r="AH102" i="73"/>
  <c r="AE235" i="98"/>
  <c r="AE214" i="98"/>
  <c r="AE223" i="98"/>
  <c r="P214" i="98"/>
  <c r="N214" i="98"/>
  <c r="AQ259" i="98"/>
  <c r="AL235" i="98"/>
  <c r="AG222" i="98"/>
  <c r="U222" i="98"/>
  <c r="AP214" i="98"/>
  <c r="AK222" i="98"/>
  <c r="AR204" i="98"/>
  <c r="X236" i="98"/>
  <c r="X235" i="98"/>
  <c r="X223" i="98"/>
  <c r="X222" i="98"/>
  <c r="X234" i="98" s="1"/>
  <c r="X220" i="98"/>
  <c r="X259" i="98" s="1"/>
  <c r="AC71" i="73" s="1"/>
  <c r="AM206" i="98"/>
  <c r="I148" i="98"/>
  <c r="I162" i="98" s="1"/>
  <c r="I165" i="98" s="1"/>
  <c r="J163" i="98" s="1"/>
  <c r="J165" i="98" s="1"/>
  <c r="K163" i="98" s="1"/>
  <c r="K165" i="98" s="1"/>
  <c r="L163" i="98" s="1"/>
  <c r="L165" i="98" s="1"/>
  <c r="M163" i="98" s="1"/>
  <c r="M165" i="98" s="1"/>
  <c r="CK162" i="98"/>
  <c r="CK165" i="98" s="1"/>
  <c r="CL163" i="98" s="1"/>
  <c r="AG117" i="98"/>
  <c r="AG246" i="98" s="1"/>
  <c r="AG153" i="98"/>
  <c r="AG162" i="98" s="1"/>
  <c r="DD160" i="98"/>
  <c r="DS162" i="98"/>
  <c r="J162" i="98"/>
  <c r="AS117" i="98"/>
  <c r="AU113" i="98"/>
  <c r="AU117" i="98" s="1"/>
  <c r="AH77" i="98"/>
  <c r="AH81" i="98" s="1"/>
  <c r="AH75" i="98"/>
  <c r="BH113" i="98"/>
  <c r="BH117" i="98" s="1"/>
  <c r="BL117" i="98"/>
  <c r="BL246" i="98" s="1"/>
  <c r="DI148" i="98"/>
  <c r="CY160" i="98"/>
  <c r="CY162" i="98" s="1"/>
  <c r="AE162" i="98"/>
  <c r="S77" i="98"/>
  <c r="S81" i="98" s="1"/>
  <c r="BD88" i="98"/>
  <c r="BC51" i="98"/>
  <c r="BC88" i="98" s="1"/>
  <c r="BJ48" i="98"/>
  <c r="BK48" i="98"/>
  <c r="BI48" i="98"/>
  <c r="BH48" i="98"/>
  <c r="BA90" i="98"/>
  <c r="AV14" i="98"/>
  <c r="AU104" i="98"/>
  <c r="AT103" i="98"/>
  <c r="W65" i="98"/>
  <c r="W66" i="98" s="1"/>
  <c r="BJ91" i="98"/>
  <c r="BI52" i="98"/>
  <c r="AJ68" i="98"/>
  <c r="AJ44" i="98" s="1"/>
  <c r="Y21" i="98"/>
  <c r="Y23" i="98" s="1"/>
  <c r="AJ74" i="98"/>
  <c r="AG88" i="98"/>
  <c r="AG51" i="98" s="1"/>
  <c r="AM71" i="98"/>
  <c r="AM72" i="98" s="1"/>
  <c r="AO77" i="98"/>
  <c r="AO75" i="98"/>
  <c r="AK23" i="98"/>
  <c r="AP24" i="46"/>
  <c r="AF75" i="98"/>
  <c r="AO23" i="98"/>
  <c r="AT24" i="46"/>
  <c r="AB111" i="98"/>
  <c r="BD72" i="98"/>
  <c r="W77" i="98"/>
  <c r="W75" i="98"/>
  <c r="AQ15" i="98"/>
  <c r="AQ17" i="98" s="1"/>
  <c r="AH228" i="98"/>
  <c r="AH241" i="98" s="1"/>
  <c r="AH24" i="98"/>
  <c r="AH229" i="98" s="1"/>
  <c r="AH28" i="98"/>
  <c r="X252" i="98"/>
  <c r="I234" i="98"/>
  <c r="I220" i="98"/>
  <c r="I259" i="98" s="1"/>
  <c r="AL234" i="98"/>
  <c r="AA235" i="98"/>
  <c r="AA214" i="98"/>
  <c r="AA223" i="98"/>
  <c r="Z220" i="98"/>
  <c r="Z259" i="98" s="1"/>
  <c r="P223" i="98"/>
  <c r="J214" i="98"/>
  <c r="Q234" i="98"/>
  <c r="Q220" i="98"/>
  <c r="Q235" i="98"/>
  <c r="AB234" i="98"/>
  <c r="P235" i="98"/>
  <c r="AN214" i="98"/>
  <c r="AK223" i="98"/>
  <c r="AB223" i="98"/>
  <c r="W222" i="98"/>
  <c r="W235" i="98" s="1"/>
  <c r="AC222" i="98"/>
  <c r="AC234" i="98" s="1"/>
  <c r="AC213" i="98"/>
  <c r="AO206" i="98"/>
  <c r="AR174" i="98"/>
  <c r="AR183" i="98" s="1"/>
  <c r="AR206" i="98" s="1"/>
  <c r="DF162" i="98"/>
  <c r="DI160" i="98"/>
  <c r="V162" i="98"/>
  <c r="AQ162" i="98"/>
  <c r="N74" i="98"/>
  <c r="AZ113" i="98"/>
  <c r="AZ117" i="98" s="1"/>
  <c r="DD148" i="98"/>
  <c r="DD162" i="98" s="1"/>
  <c r="AJ104" i="98"/>
  <c r="AK103" i="98"/>
  <c r="AJ99" i="98"/>
  <c r="AJ101" i="98" s="1"/>
  <c r="AY91" i="98"/>
  <c r="AX52" i="98"/>
  <c r="AX91" i="98" s="1"/>
  <c r="AW65" i="98"/>
  <c r="AW66" i="98" s="1"/>
  <c r="AW68" i="98" s="1"/>
  <c r="X88" i="98"/>
  <c r="X51" i="98" s="1"/>
  <c r="AC68" i="73" s="1"/>
  <c r="AA68" i="98"/>
  <c r="AA44" i="98" s="1"/>
  <c r="P72" i="98"/>
  <c r="P81" i="98" s="1"/>
  <c r="P68" i="98"/>
  <c r="P44" i="98" s="1"/>
  <c r="R68" i="98"/>
  <c r="R44" i="98" s="1"/>
  <c r="AU88" i="98"/>
  <c r="AU87" i="98" s="1"/>
  <c r="AT51" i="98"/>
  <c r="AK77" i="98"/>
  <c r="AK81" i="98" s="1"/>
  <c r="AK75" i="98"/>
  <c r="AJ23" i="98"/>
  <c r="AO24" i="46"/>
  <c r="AM74" i="98"/>
  <c r="V77" i="98"/>
  <c r="V81" i="98" s="1"/>
  <c r="AN23" i="98"/>
  <c r="AS24" i="46"/>
  <c r="BA65" i="98"/>
  <c r="AV66" i="98"/>
  <c r="R20" i="98"/>
  <c r="R21" i="98" s="1"/>
  <c r="R23" i="98" s="1"/>
  <c r="AL85" i="98"/>
  <c r="AL87" i="98" s="1"/>
  <c r="AL15" i="98"/>
  <c r="AL17" i="98" s="1"/>
  <c r="AP72" i="98"/>
  <c r="AU72" i="98" s="1"/>
  <c r="AA72" i="98"/>
  <c r="AF81" i="98"/>
  <c r="BH54" i="98"/>
  <c r="BC66" i="98"/>
  <c r="BH65" i="98"/>
  <c r="M21" i="98"/>
  <c r="M23" i="98" s="1"/>
  <c r="AI23" i="98"/>
  <c r="M77" i="98"/>
  <c r="M81" i="98" s="1"/>
  <c r="AM229" i="98"/>
  <c r="AR31" i="71"/>
  <c r="AV87" i="98"/>
  <c r="N228" i="98"/>
  <c r="N241" i="98" s="1"/>
  <c r="N24" i="98"/>
  <c r="N229" i="98" s="1"/>
  <c r="N236" i="98" s="1"/>
  <c r="N28" i="98"/>
  <c r="M245" i="77"/>
  <c r="M231" i="77"/>
  <c r="M221" i="77"/>
  <c r="M230" i="77"/>
  <c r="BP256" i="77"/>
  <c r="BP197" i="77"/>
  <c r="AU143" i="77"/>
  <c r="AU57" i="77" s="1"/>
  <c r="N238" i="77"/>
  <c r="N251" i="77" s="1"/>
  <c r="N25" i="77"/>
  <c r="N239" i="77" s="1"/>
  <c r="N29" i="77"/>
  <c r="AI209" i="77"/>
  <c r="DA33" i="71"/>
  <c r="CT209" i="77"/>
  <c r="K25" i="77"/>
  <c r="K29" i="77"/>
  <c r="J25" i="77"/>
  <c r="J29" i="77"/>
  <c r="AE209" i="77"/>
  <c r="CW33" i="71"/>
  <c r="AU209" i="77"/>
  <c r="DM33" i="71"/>
  <c r="AA209" i="77"/>
  <c r="CS33" i="71"/>
  <c r="CJ209" i="77"/>
  <c r="CJ212" i="77" s="1"/>
  <c r="BO256" i="77"/>
  <c r="BO197" i="77"/>
  <c r="BN256" i="77"/>
  <c r="BN197" i="77"/>
  <c r="BB87" i="77"/>
  <c r="AZ85" i="77"/>
  <c r="BG268" i="77"/>
  <c r="BA268" i="77"/>
  <c r="AZ268" i="77" s="1"/>
  <c r="AY268" i="77" s="1"/>
  <c r="AX268" i="77" s="1"/>
  <c r="BB63" i="73"/>
  <c r="AR230" i="77"/>
  <c r="AR231" i="77" s="1"/>
  <c r="AR125" i="46"/>
  <c r="X245" i="77"/>
  <c r="X230" i="77"/>
  <c r="X231" i="77"/>
  <c r="X221" i="77"/>
  <c r="X125" i="46"/>
  <c r="AM231" i="77"/>
  <c r="AM221" i="77"/>
  <c r="AM230" i="77"/>
  <c r="AM125" i="46"/>
  <c r="Y244" i="77"/>
  <c r="AW224" i="77"/>
  <c r="AW227" i="77"/>
  <c r="AA230" i="77"/>
  <c r="AA125" i="46"/>
  <c r="AV245" i="77"/>
  <c r="AV231" i="77"/>
  <c r="AV221" i="77"/>
  <c r="AV125" i="46"/>
  <c r="Z245" i="77"/>
  <c r="Z231" i="77"/>
  <c r="Z230" i="77"/>
  <c r="Z221" i="77"/>
  <c r="Z125" i="46"/>
  <c r="W244" i="77"/>
  <c r="AQ227" i="77"/>
  <c r="AT227" i="77"/>
  <c r="AT224" i="77"/>
  <c r="AO224" i="77"/>
  <c r="AO227" i="77"/>
  <c r="AI231" i="77"/>
  <c r="AI221" i="77"/>
  <c r="AI230" i="77"/>
  <c r="AI125" i="46"/>
  <c r="AQ244" i="77"/>
  <c r="F227" i="77"/>
  <c r="F224" i="77"/>
  <c r="R231" i="77"/>
  <c r="AV207" i="77"/>
  <c r="AV209" i="77" s="1"/>
  <c r="O257" i="77"/>
  <c r="O160" i="77"/>
  <c r="AG221" i="77"/>
  <c r="U224" i="77"/>
  <c r="U227" i="77"/>
  <c r="BK205" i="77"/>
  <c r="BA198" i="77"/>
  <c r="CK209" i="77"/>
  <c r="I195" i="77"/>
  <c r="BP194" i="77"/>
  <c r="BF194" i="77"/>
  <c r="CO209" i="77"/>
  <c r="E195" i="77"/>
  <c r="E209" i="77" s="1"/>
  <c r="E212" i="77" s="1"/>
  <c r="F210" i="77" s="1"/>
  <c r="F212" i="77" s="1"/>
  <c r="G210" i="77" s="1"/>
  <c r="G212" i="77" s="1"/>
  <c r="H210" i="77" s="1"/>
  <c r="H212" i="77" s="1"/>
  <c r="E156" i="77"/>
  <c r="E158" i="77" s="1"/>
  <c r="BI157" i="77"/>
  <c r="M257" i="77"/>
  <c r="M160" i="77"/>
  <c r="AC125" i="77"/>
  <c r="BD200" i="77"/>
  <c r="BD92" i="46"/>
  <c r="AG257" i="77"/>
  <c r="AH257" i="77" s="1"/>
  <c r="AG151" i="77"/>
  <c r="AX171" i="77"/>
  <c r="AX150" i="77"/>
  <c r="BO193" i="77"/>
  <c r="BP193" i="77" s="1"/>
  <c r="BG256" i="77"/>
  <c r="BF92" i="46"/>
  <c r="AZ154" i="77"/>
  <c r="AZ171" i="77" s="1"/>
  <c r="AZ20" i="77" s="1"/>
  <c r="BA161" i="77"/>
  <c r="BA154" i="77" s="1"/>
  <c r="AV161" i="77"/>
  <c r="U195" i="77"/>
  <c r="U209" i="77" s="1"/>
  <c r="U212" i="77" s="1"/>
  <c r="V210" i="77" s="1"/>
  <c r="V212" i="77" s="1"/>
  <c r="W210" i="77" s="1"/>
  <c r="W212" i="77" s="1"/>
  <c r="BE200" i="77"/>
  <c r="BE92" i="46"/>
  <c r="AV157" i="77"/>
  <c r="AS160" i="77"/>
  <c r="AH123" i="77"/>
  <c r="AY171" i="77"/>
  <c r="AY20" i="77" s="1"/>
  <c r="BA49" i="77"/>
  <c r="BA81" i="77" s="1"/>
  <c r="AM85" i="77"/>
  <c r="AM83" i="77"/>
  <c r="AL85" i="77"/>
  <c r="BJ143" i="77"/>
  <c r="BI57" i="77"/>
  <c r="O25" i="77"/>
  <c r="O29" i="77"/>
  <c r="AI143" i="77"/>
  <c r="AI57" i="77" s="1"/>
  <c r="AK240" i="77"/>
  <c r="AG240" i="77"/>
  <c r="AB172" i="77"/>
  <c r="H11" i="77"/>
  <c r="BD121" i="77"/>
  <c r="AY116" i="77"/>
  <c r="AY123" i="77"/>
  <c r="R140" i="77"/>
  <c r="R142" i="77" s="1"/>
  <c r="R16" i="77"/>
  <c r="R18" i="77" s="1"/>
  <c r="AK142" i="77"/>
  <c r="AK143" i="77" s="1"/>
  <c r="AK57" i="77" s="1"/>
  <c r="P24" i="77"/>
  <c r="BH121" i="77"/>
  <c r="BC123" i="77"/>
  <c r="BC116" i="77"/>
  <c r="BE155" i="46"/>
  <c r="AN230" i="77"/>
  <c r="AN231" i="77" s="1"/>
  <c r="AN125" i="46"/>
  <c r="AH230" i="77"/>
  <c r="AH245" i="77" s="1"/>
  <c r="AH221" i="77"/>
  <c r="AH125" i="46"/>
  <c r="BA223" i="77"/>
  <c r="V230" i="77"/>
  <c r="V221" i="77" s="1"/>
  <c r="V125" i="46"/>
  <c r="T245" i="77"/>
  <c r="T230" i="77"/>
  <c r="T221" i="77"/>
  <c r="T125" i="46"/>
  <c r="L230" i="77"/>
  <c r="L221" i="77" s="1"/>
  <c r="L231" i="77"/>
  <c r="AB231" i="77"/>
  <c r="AB125" i="46"/>
  <c r="O230" i="77"/>
  <c r="O231" i="77" s="1"/>
  <c r="AD227" i="77"/>
  <c r="AD228" i="77"/>
  <c r="AD269" i="77" s="1"/>
  <c r="AD224" i="77"/>
  <c r="Y228" i="77"/>
  <c r="Y269" i="77" s="1"/>
  <c r="Y224" i="77"/>
  <c r="Y227" i="77"/>
  <c r="S227" i="77"/>
  <c r="S224" i="77"/>
  <c r="S245" i="77"/>
  <c r="R245" i="77"/>
  <c r="Q224" i="77"/>
  <c r="Q227" i="77"/>
  <c r="BO205" i="77"/>
  <c r="AW209" i="77"/>
  <c r="AC209" i="77"/>
  <c r="BF193" i="77"/>
  <c r="H257" i="77"/>
  <c r="H160" i="77"/>
  <c r="BM256" i="77"/>
  <c r="BQ256" i="77" s="1"/>
  <c r="BM197" i="77"/>
  <c r="AL257" i="77"/>
  <c r="AM257" i="77" s="1"/>
  <c r="AB257" i="77"/>
  <c r="AC257" i="77" s="1"/>
  <c r="AB160" i="77"/>
  <c r="DO209" i="77"/>
  <c r="AP161" i="77"/>
  <c r="AQ154" i="77"/>
  <c r="AP150" i="77"/>
  <c r="AP152" i="77" s="1"/>
  <c r="AP160" i="77" s="1"/>
  <c r="X209" i="77"/>
  <c r="X212" i="77" s="1"/>
  <c r="Y210" i="77" s="1"/>
  <c r="AR209" i="77"/>
  <c r="O195" i="77"/>
  <c r="BK92" i="46"/>
  <c r="AQ257" i="77"/>
  <c r="AQ160" i="77"/>
  <c r="AH85" i="77"/>
  <c r="AZ200" i="77"/>
  <c r="AZ92" i="46"/>
  <c r="BE143" i="77"/>
  <c r="BD57" i="77"/>
  <c r="R171" i="77"/>
  <c r="R172" i="77" s="1"/>
  <c r="V92" i="77"/>
  <c r="V10" i="77"/>
  <c r="V132" i="77" s="1"/>
  <c r="AA9" i="77"/>
  <c r="Y143" i="77"/>
  <c r="Y57" i="77" s="1"/>
  <c r="AC142" i="77"/>
  <c r="X85" i="77"/>
  <c r="X95" i="77"/>
  <c r="X96" i="77" s="1"/>
  <c r="BA85" i="77"/>
  <c r="BI146" i="77"/>
  <c r="BH58" i="77"/>
  <c r="BH146" i="77" s="1"/>
  <c r="AY146" i="77"/>
  <c r="AY145" i="77" s="1"/>
  <c r="AX58" i="77"/>
  <c r="AX146" i="77" s="1"/>
  <c r="AX145" i="77" s="1"/>
  <c r="BO54" i="77"/>
  <c r="BN54" i="77"/>
  <c r="BM54" i="77"/>
  <c r="BP54" i="77"/>
  <c r="AD240" i="77"/>
  <c r="H171" i="77"/>
  <c r="AS143" i="77"/>
  <c r="AS57" i="77" s="1"/>
  <c r="R136" i="77"/>
  <c r="X92" i="77"/>
  <c r="X93" i="77" s="1"/>
  <c r="X10" i="77"/>
  <c r="AC9" i="77"/>
  <c r="W9" i="77"/>
  <c r="AM123" i="77"/>
  <c r="BI81" i="77"/>
  <c r="BI85" i="77" s="1"/>
  <c r="BD83" i="77"/>
  <c r="BD74" i="77"/>
  <c r="BF145" i="77"/>
  <c r="BA15" i="77"/>
  <c r="BB121" i="77"/>
  <c r="BB123" i="77" s="1"/>
  <c r="BA168" i="46"/>
  <c r="DS58" i="71" s="1"/>
  <c r="BN272" i="77"/>
  <c r="BM63" i="77"/>
  <c r="AJ245" i="77"/>
  <c r="AJ230" i="77"/>
  <c r="AJ221" i="77"/>
  <c r="AJ125" i="46"/>
  <c r="AV227" i="77"/>
  <c r="R227" i="77"/>
  <c r="AC245" i="77"/>
  <c r="AC231" i="77"/>
  <c r="AC230" i="77"/>
  <c r="AC221" i="77"/>
  <c r="AC125" i="46"/>
  <c r="K231" i="77"/>
  <c r="K221" i="77"/>
  <c r="K230" i="77"/>
  <c r="AB230" i="77"/>
  <c r="AB245" i="77" s="1"/>
  <c r="AU244" i="77"/>
  <c r="AU227" i="77"/>
  <c r="AU224" i="77"/>
  <c r="AU245" i="77"/>
  <c r="J245" i="77"/>
  <c r="J230" i="77"/>
  <c r="J221" i="77"/>
  <c r="AD231" i="77"/>
  <c r="Y231" i="77"/>
  <c r="S221" i="77"/>
  <c r="N245" i="77"/>
  <c r="N246" i="77"/>
  <c r="N230" i="77"/>
  <c r="N221" i="77"/>
  <c r="R244" i="77"/>
  <c r="AP227" i="77"/>
  <c r="AP228" i="77"/>
  <c r="AP269" i="77" s="1"/>
  <c r="AP224" i="77"/>
  <c r="AQ221" i="77"/>
  <c r="W221" i="77"/>
  <c r="AL220" i="77"/>
  <c r="CU209" i="77"/>
  <c r="S195" i="77"/>
  <c r="E224" i="77"/>
  <c r="E227" i="77"/>
  <c r="DJ209" i="77"/>
  <c r="AH195" i="77"/>
  <c r="CZ33" i="71" s="1"/>
  <c r="CZ45" i="71" s="1"/>
  <c r="R224" i="77"/>
  <c r="Q231" i="77"/>
  <c r="BK194" i="77"/>
  <c r="BA194" i="77"/>
  <c r="BF198" i="77"/>
  <c r="BF200" i="77" s="1"/>
  <c r="AY200" i="77"/>
  <c r="AY92" i="46"/>
  <c r="AX200" i="77"/>
  <c r="BB197" i="77"/>
  <c r="BB200" i="77" s="1"/>
  <c r="AX92" i="46"/>
  <c r="Y160" i="77"/>
  <c r="Q257" i="77"/>
  <c r="Q160" i="77"/>
  <c r="AE161" i="77"/>
  <c r="AF154" i="77"/>
  <c r="AE150" i="77"/>
  <c r="AE152" i="77" s="1"/>
  <c r="BE145" i="77"/>
  <c r="AZ15" i="77"/>
  <c r="AR125" i="77"/>
  <c r="BA200" i="77"/>
  <c r="BA92" i="46"/>
  <c r="AJ150" i="77"/>
  <c r="AJ152" i="77" s="1"/>
  <c r="AJ160" i="77" s="1"/>
  <c r="AK154" i="77"/>
  <c r="AJ161" i="77"/>
  <c r="U150" i="77"/>
  <c r="U152" i="77" s="1"/>
  <c r="V160" i="77" s="1"/>
  <c r="U161" i="77"/>
  <c r="U172" i="77"/>
  <c r="T154" i="77"/>
  <c r="CP209" i="77"/>
  <c r="BH200" i="77"/>
  <c r="BL197" i="77"/>
  <c r="BL200" i="77" s="1"/>
  <c r="BH92" i="46"/>
  <c r="BJ200" i="77"/>
  <c r="BJ92" i="46"/>
  <c r="X257" i="77"/>
  <c r="AQ141" i="77"/>
  <c r="BF125" i="77"/>
  <c r="AP172" i="77"/>
  <c r="AM125" i="77"/>
  <c r="L171" i="77"/>
  <c r="L21" i="77"/>
  <c r="M21" i="77" s="1"/>
  <c r="M20" i="77"/>
  <c r="G25" i="77"/>
  <c r="G29" i="77"/>
  <c r="BE142" i="77"/>
  <c r="AZ140" i="77"/>
  <c r="AZ13" i="77" s="1"/>
  <c r="V11" i="77"/>
  <c r="O96" i="77"/>
  <c r="Q171" i="77"/>
  <c r="Q22" i="77"/>
  <c r="Q24" i="77" s="1"/>
  <c r="Q21" i="77"/>
  <c r="R21" i="77" s="1"/>
  <c r="R22" i="77" s="1"/>
  <c r="V16" i="77"/>
  <c r="V18" i="77" s="1"/>
  <c r="AV140" i="77"/>
  <c r="T143" i="77"/>
  <c r="T57" i="77" s="1"/>
  <c r="X142" i="77"/>
  <c r="Y9" i="77"/>
  <c r="AR85" i="77"/>
  <c r="AC85" i="77"/>
  <c r="T96" i="77"/>
  <c r="BJ81" i="77"/>
  <c r="BE83" i="77"/>
  <c r="AI240" i="77"/>
  <c r="AE240" i="77"/>
  <c r="AG140" i="77"/>
  <c r="T11" i="77"/>
  <c r="R96" i="77"/>
  <c r="AY74" i="77"/>
  <c r="T16" i="77"/>
  <c r="T18" i="77" s="1"/>
  <c r="T24" i="77" s="1"/>
  <c r="M11" i="77"/>
  <c r="E29" i="77"/>
  <c r="E25" i="77"/>
  <c r="R11" i="77"/>
  <c r="BO154" i="46"/>
  <c r="BJ155" i="46"/>
  <c r="BF159" i="46"/>
  <c r="BG159" i="46" s="1"/>
  <c r="AZ155" i="46"/>
  <c r="AF245" i="77"/>
  <c r="AF230" i="77"/>
  <c r="AF231" i="77"/>
  <c r="AF221" i="77"/>
  <c r="AF125" i="46"/>
  <c r="AV224" i="77"/>
  <c r="AS245" i="77"/>
  <c r="AS231" i="77"/>
  <c r="AS230" i="77"/>
  <c r="AS221" i="77"/>
  <c r="AS125" i="46"/>
  <c r="AT244" i="77"/>
  <c r="AD244" i="77"/>
  <c r="M244" i="77"/>
  <c r="W224" i="77"/>
  <c r="AB244" i="77"/>
  <c r="P230" i="77"/>
  <c r="P231" i="77" s="1"/>
  <c r="AD221" i="77"/>
  <c r="AU221" i="77"/>
  <c r="AE231" i="77"/>
  <c r="AE221" i="77"/>
  <c r="AE230" i="77"/>
  <c r="AE125" i="46"/>
  <c r="AT245" i="77"/>
  <c r="Y245" i="77"/>
  <c r="S231" i="77"/>
  <c r="I224" i="77"/>
  <c r="I227" i="77"/>
  <c r="AP231" i="77"/>
  <c r="AK224" i="77"/>
  <c r="AK227" i="77"/>
  <c r="G227" i="77"/>
  <c r="G224" i="77"/>
  <c r="AQ231" i="77"/>
  <c r="P257" i="77"/>
  <c r="P160" i="77"/>
  <c r="F221" i="77"/>
  <c r="BO206" i="77"/>
  <c r="BP206" i="77" s="1"/>
  <c r="BP168" i="46" s="1"/>
  <c r="EH58" i="71" s="1"/>
  <c r="BI200" i="77"/>
  <c r="BI92" i="46"/>
  <c r="E231" i="77"/>
  <c r="CX209" i="77"/>
  <c r="U221" i="77"/>
  <c r="Q245" i="77"/>
  <c r="AZ205" i="77"/>
  <c r="AZ71" i="51" s="1"/>
  <c r="BA193" i="77"/>
  <c r="BA154" i="46" s="1"/>
  <c r="AE172" i="77"/>
  <c r="AR257" i="77"/>
  <c r="AW125" i="77"/>
  <c r="BB256" i="77"/>
  <c r="L257" i="77"/>
  <c r="N257" i="77" s="1"/>
  <c r="L160" i="77"/>
  <c r="X125" i="77"/>
  <c r="BK198" i="77"/>
  <c r="BK159" i="46" s="1"/>
  <c r="BL159" i="46" s="1"/>
  <c r="P195" i="77"/>
  <c r="P209" i="77" s="1"/>
  <c r="BC200" i="77"/>
  <c r="BG197" i="77"/>
  <c r="BG200" i="77" s="1"/>
  <c r="BC92" i="46"/>
  <c r="BG92" i="46" s="1"/>
  <c r="BL256" i="77"/>
  <c r="AR141" i="77"/>
  <c r="BA123" i="77"/>
  <c r="BA116" i="77"/>
  <c r="BF121" i="77"/>
  <c r="AH83" i="77"/>
  <c r="BD125" i="77"/>
  <c r="AW83" i="77"/>
  <c r="AU158" i="77"/>
  <c r="BE121" i="77"/>
  <c r="BE125" i="77" s="1"/>
  <c r="AZ123" i="77"/>
  <c r="AZ116" i="77"/>
  <c r="AH125" i="77"/>
  <c r="AX83" i="77"/>
  <c r="BB81" i="77"/>
  <c r="BB83" i="77" s="1"/>
  <c r="BC81" i="77"/>
  <c r="BO143" i="77"/>
  <c r="BN57" i="77"/>
  <c r="H21" i="77"/>
  <c r="H22" i="77" s="1"/>
  <c r="F22" i="77"/>
  <c r="F24" i="77" s="1"/>
  <c r="S238" i="77"/>
  <c r="S251" i="77" s="1"/>
  <c r="S25" i="77"/>
  <c r="S239" i="77" s="1"/>
  <c r="S246" i="77" s="1"/>
  <c r="S29" i="77"/>
  <c r="AQ140" i="77"/>
  <c r="AX85" i="77"/>
  <c r="BC85" i="77" s="1"/>
  <c r="AV240" i="77"/>
  <c r="H140" i="77"/>
  <c r="H142" i="77" s="1"/>
  <c r="H16" i="77"/>
  <c r="H18" i="77" s="1"/>
  <c r="H24" i="77" s="1"/>
  <c r="AN143" i="77"/>
  <c r="AN57" i="77" s="1"/>
  <c r="AD143" i="77"/>
  <c r="AD57" i="77" s="1"/>
  <c r="U92" i="77"/>
  <c r="U10" i="77"/>
  <c r="U132" i="77" s="1"/>
  <c r="BN146" i="77"/>
  <c r="BM58" i="77"/>
  <c r="BM146" i="77" s="1"/>
  <c r="BD146" i="77"/>
  <c r="BC58" i="77"/>
  <c r="BC146" i="77" s="1"/>
  <c r="AY143" i="77"/>
  <c r="AY142" i="77" s="1"/>
  <c r="AX57" i="77"/>
  <c r="AX143" i="77" s="1"/>
  <c r="AX142" i="77" s="1"/>
  <c r="AF240" i="77"/>
  <c r="M140" i="77"/>
  <c r="M142" i="77" s="1"/>
  <c r="M16" i="77"/>
  <c r="M18" i="77" s="1"/>
  <c r="Q96" i="77"/>
  <c r="BO53" i="77"/>
  <c r="BO87" i="77" s="1"/>
  <c r="BP53" i="77"/>
  <c r="BP87" i="77" s="1"/>
  <c r="BN53" i="77"/>
  <c r="BN87" i="77" s="1"/>
  <c r="BM53" i="77"/>
  <c r="BM87" i="77" s="1"/>
  <c r="AL140" i="77"/>
  <c r="V143" i="77"/>
  <c r="V57" i="77" s="1"/>
  <c r="S96" i="77"/>
  <c r="K96" i="77"/>
  <c r="AB143" i="77"/>
  <c r="AB57" i="77" s="1"/>
  <c r="I60" i="77"/>
  <c r="I61" i="77"/>
  <c r="I33" i="77"/>
  <c r="I36" i="77" s="1"/>
  <c r="AX116" i="77"/>
  <c r="AV211" i="78"/>
  <c r="AN211" i="78"/>
  <c r="DF33" i="71"/>
  <c r="AL256" i="78"/>
  <c r="BA255" i="78"/>
  <c r="BA200" i="78"/>
  <c r="AB211" i="78"/>
  <c r="CT33" i="71"/>
  <c r="AY255" i="78"/>
  <c r="AY200" i="78"/>
  <c r="W211" i="78"/>
  <c r="CO33" i="71"/>
  <c r="H21" i="46"/>
  <c r="G31" i="78"/>
  <c r="G27" i="78"/>
  <c r="H214" i="78"/>
  <c r="H256" i="78"/>
  <c r="S26" i="78"/>
  <c r="S21" i="46"/>
  <c r="X26" i="78"/>
  <c r="X21" i="46"/>
  <c r="AH231" i="78"/>
  <c r="AH244" i="78" s="1"/>
  <c r="AG222" i="78"/>
  <c r="AH124" i="46"/>
  <c r="R124" i="46"/>
  <c r="AW231" i="78"/>
  <c r="AW244" i="78" s="1"/>
  <c r="AW232" i="78"/>
  <c r="AV222" i="78"/>
  <c r="AW124" i="46"/>
  <c r="AC244" i="78"/>
  <c r="AC231" i="78"/>
  <c r="AB222" i="78"/>
  <c r="AC223" i="78"/>
  <c r="AC124" i="46"/>
  <c r="I245" i="78"/>
  <c r="I231" i="78"/>
  <c r="I223" i="78" s="1"/>
  <c r="H222" i="78"/>
  <c r="I124" i="46"/>
  <c r="T223" i="78"/>
  <c r="AU226" i="78"/>
  <c r="AU229" i="78"/>
  <c r="K226" i="78"/>
  <c r="K223" i="78"/>
  <c r="K229" i="78"/>
  <c r="BA207" i="78"/>
  <c r="S211" i="78"/>
  <c r="DT211" i="78"/>
  <c r="AR198" i="78"/>
  <c r="BP197" i="78"/>
  <c r="AJ211" i="78"/>
  <c r="DB33" i="71"/>
  <c r="DH211" i="78"/>
  <c r="CZ211" i="78"/>
  <c r="X198" i="78"/>
  <c r="CK211" i="78"/>
  <c r="BH169" i="78"/>
  <c r="BK169" i="78"/>
  <c r="BQ169" i="78"/>
  <c r="BI169" i="78"/>
  <c r="BJ169" i="78"/>
  <c r="AD162" i="78"/>
  <c r="G163" i="78"/>
  <c r="F156" i="78"/>
  <c r="G152" i="78"/>
  <c r="G154" i="78" s="1"/>
  <c r="H162" i="78" s="1"/>
  <c r="G256" i="78"/>
  <c r="J137" i="78"/>
  <c r="U156" i="78"/>
  <c r="V163" i="78"/>
  <c r="V152" i="78"/>
  <c r="V154" i="78" s="1"/>
  <c r="W162" i="78" s="1"/>
  <c r="AP156" i="78"/>
  <c r="AO163" i="78"/>
  <c r="AO152" i="78"/>
  <c r="AO154" i="78" s="1"/>
  <c r="AO162" i="78" s="1"/>
  <c r="O137" i="78"/>
  <c r="AN26" i="78"/>
  <c r="AN21" i="46"/>
  <c r="S162" i="78"/>
  <c r="AH162" i="78"/>
  <c r="AY86" i="78"/>
  <c r="AL86" i="78"/>
  <c r="W141" i="78"/>
  <c r="W143" i="78" s="1"/>
  <c r="W16" i="78"/>
  <c r="W20" i="78" s="1"/>
  <c r="W94" i="78"/>
  <c r="W96" i="78"/>
  <c r="BH61" i="78"/>
  <c r="AP239" i="78"/>
  <c r="AB141" i="78"/>
  <c r="AB143" i="78" s="1"/>
  <c r="V26" i="78"/>
  <c r="V21" i="46"/>
  <c r="R97" i="78"/>
  <c r="G175" i="78"/>
  <c r="V111" i="78"/>
  <c r="BM61" i="78"/>
  <c r="K175" i="78"/>
  <c r="U26" i="78"/>
  <c r="U21" i="46"/>
  <c r="X97" i="78"/>
  <c r="AQ86" i="78"/>
  <c r="H23" i="78"/>
  <c r="H24" i="78" s="1"/>
  <c r="H26" i="78" s="1"/>
  <c r="AH93" i="78"/>
  <c r="AH11" i="78"/>
  <c r="AH16" i="78"/>
  <c r="AH20" i="78" s="1"/>
  <c r="AM9" i="78"/>
  <c r="Z93" i="78"/>
  <c r="Z11" i="78"/>
  <c r="AE9" i="78"/>
  <c r="I238" i="78"/>
  <c r="I29" i="71"/>
  <c r="AH133" i="78"/>
  <c r="AM10" i="78"/>
  <c r="AD93" i="78"/>
  <c r="AD16" i="78"/>
  <c r="AD20" i="78" s="1"/>
  <c r="AD11" i="78"/>
  <c r="AI9" i="78"/>
  <c r="E27" i="78"/>
  <c r="E31" i="78"/>
  <c r="G226" i="78"/>
  <c r="G229" i="78"/>
  <c r="G223" i="78"/>
  <c r="AT231" i="78"/>
  <c r="AT223" i="78" s="1"/>
  <c r="AT124" i="46"/>
  <c r="AD244" i="78"/>
  <c r="AD232" i="78"/>
  <c r="AD231" i="78"/>
  <c r="AD223" i="78"/>
  <c r="AD124" i="46"/>
  <c r="M222" i="78"/>
  <c r="N231" i="78"/>
  <c r="N124" i="46"/>
  <c r="AS244" i="78"/>
  <c r="AS231" i="78"/>
  <c r="AS232" i="78"/>
  <c r="AS223" i="78"/>
  <c r="AS124" i="46"/>
  <c r="Y231" i="78"/>
  <c r="Y223" i="78" s="1"/>
  <c r="Y124" i="46"/>
  <c r="E244" i="78"/>
  <c r="E231" i="78"/>
  <c r="E124" i="46"/>
  <c r="AF229" i="78"/>
  <c r="AF226" i="78"/>
  <c r="W231" i="78"/>
  <c r="X229" i="78"/>
  <c r="X226" i="78"/>
  <c r="T229" i="78"/>
  <c r="T226" i="78"/>
  <c r="P229" i="78"/>
  <c r="P226" i="78"/>
  <c r="L226" i="78"/>
  <c r="L229" i="78"/>
  <c r="AA226" i="78"/>
  <c r="AA229" i="78"/>
  <c r="W232" i="78"/>
  <c r="W223" i="78"/>
  <c r="W244" i="78"/>
  <c r="W124" i="46"/>
  <c r="X243" i="78"/>
  <c r="P243" i="78"/>
  <c r="AF211" i="78"/>
  <c r="CX33" i="71"/>
  <c r="L211" i="78"/>
  <c r="AQ211" i="78"/>
  <c r="DI33" i="71"/>
  <c r="DO211" i="78"/>
  <c r="AK256" i="78"/>
  <c r="AM256" i="78" s="1"/>
  <c r="DS211" i="78"/>
  <c r="AT163" i="78"/>
  <c r="AU156" i="78"/>
  <c r="AT152" i="78"/>
  <c r="AT154" i="78" s="1"/>
  <c r="L26" i="78"/>
  <c r="L21" i="46"/>
  <c r="R141" i="78"/>
  <c r="R143" i="78" s="1"/>
  <c r="R16" i="78"/>
  <c r="AQ256" i="78"/>
  <c r="AY84" i="78"/>
  <c r="BD82" i="78"/>
  <c r="AY75" i="78"/>
  <c r="AB86" i="78"/>
  <c r="BK55" i="78"/>
  <c r="BK88" i="78" s="1"/>
  <c r="BJ55" i="78"/>
  <c r="BJ88" i="78" s="1"/>
  <c r="BH55" i="78"/>
  <c r="BH88" i="78" s="1"/>
  <c r="BQ55" i="78"/>
  <c r="BI55" i="78"/>
  <c r="BI88" i="78" s="1"/>
  <c r="AA133" i="78"/>
  <c r="AF10" i="78"/>
  <c r="BE86" i="78"/>
  <c r="BE75" i="78" s="1"/>
  <c r="BE144" i="78"/>
  <c r="BD58" i="78"/>
  <c r="M141" i="78"/>
  <c r="M143" i="78" s="1"/>
  <c r="M16" i="78"/>
  <c r="M20" i="78" s="1"/>
  <c r="BJ147" i="78"/>
  <c r="BI59" i="78"/>
  <c r="F31" i="78"/>
  <c r="F27" i="78"/>
  <c r="BM84" i="78"/>
  <c r="BN147" i="78"/>
  <c r="BM59" i="78"/>
  <c r="BM147" i="78" s="1"/>
  <c r="AZ144" i="78"/>
  <c r="AZ143" i="78" s="1"/>
  <c r="AY58" i="78"/>
  <c r="BK122" i="78"/>
  <c r="BF124" i="78"/>
  <c r="J26" i="78"/>
  <c r="J21" i="46"/>
  <c r="R20" i="78"/>
  <c r="R11" i="78"/>
  <c r="BB168" i="46"/>
  <c r="DT58" i="71" s="1"/>
  <c r="BK155" i="46"/>
  <c r="BG271" i="78"/>
  <c r="BA271" i="78"/>
  <c r="BB56" i="78"/>
  <c r="BB64" i="78"/>
  <c r="BB51" i="73" s="1"/>
  <c r="AP232" i="78"/>
  <c r="AP223" i="78"/>
  <c r="AP231" i="78"/>
  <c r="AP124" i="46"/>
  <c r="Z244" i="78"/>
  <c r="Z231" i="78"/>
  <c r="Z232" i="78" s="1"/>
  <c r="Z124" i="46"/>
  <c r="J231" i="78"/>
  <c r="J223" i="78" s="1"/>
  <c r="J124" i="46"/>
  <c r="G243" i="78"/>
  <c r="P223" i="78"/>
  <c r="AO231" i="78"/>
  <c r="AO223" i="78" s="1"/>
  <c r="AO124" i="46"/>
  <c r="U244" i="78"/>
  <c r="U231" i="78"/>
  <c r="U232" i="78"/>
  <c r="U223" i="78"/>
  <c r="U124" i="46"/>
  <c r="AQ231" i="78"/>
  <c r="AR226" i="78"/>
  <c r="AR229" i="78"/>
  <c r="AN229" i="78"/>
  <c r="AN226" i="78"/>
  <c r="AM226" i="78"/>
  <c r="AL231" i="78"/>
  <c r="AM229" i="78"/>
  <c r="AI226" i="78"/>
  <c r="AI229" i="78"/>
  <c r="AA223" i="78"/>
  <c r="S226" i="78"/>
  <c r="R231" i="78"/>
  <c r="R232" i="78" s="1"/>
  <c r="S229" i="78"/>
  <c r="BE201" i="78"/>
  <c r="BE160" i="46" s="1"/>
  <c r="AK211" i="78"/>
  <c r="Q211" i="78"/>
  <c r="BJ207" i="78"/>
  <c r="DE211" i="78"/>
  <c r="CP211" i="78"/>
  <c r="CY211" i="78"/>
  <c r="AW211" i="78"/>
  <c r="AZ255" i="78"/>
  <c r="AZ200" i="78"/>
  <c r="P156" i="78"/>
  <c r="Q175" i="78"/>
  <c r="Q152" i="78"/>
  <c r="Q154" i="78" s="1"/>
  <c r="R162" i="78" s="1"/>
  <c r="Q163" i="78"/>
  <c r="S256" i="78"/>
  <c r="AL126" i="78"/>
  <c r="BF146" i="78"/>
  <c r="BA15" i="78"/>
  <c r="AM162" i="78"/>
  <c r="BA51" i="78"/>
  <c r="BA82" i="78" s="1"/>
  <c r="BB82" i="78" s="1"/>
  <c r="BB84" i="78" s="1"/>
  <c r="H96" i="78"/>
  <c r="M97" i="78" s="1"/>
  <c r="H86" i="78"/>
  <c r="M137" i="78"/>
  <c r="BE147" i="78"/>
  <c r="BD59" i="78"/>
  <c r="AL141" i="78"/>
  <c r="AL143" i="78" s="1"/>
  <c r="AL239" i="78"/>
  <c r="AS26" i="78"/>
  <c r="AS21" i="46"/>
  <c r="AO144" i="78"/>
  <c r="AO58" i="78" s="1"/>
  <c r="BE84" i="78"/>
  <c r="BJ82" i="78"/>
  <c r="BB23" i="78"/>
  <c r="BC23" i="78"/>
  <c r="BC94" i="78"/>
  <c r="AX93" i="78"/>
  <c r="AX96" i="78" s="1"/>
  <c r="AX97" i="78" s="1"/>
  <c r="T26" i="78"/>
  <c r="T21" i="46"/>
  <c r="O35" i="78"/>
  <c r="O38" i="78" s="1"/>
  <c r="O61" i="78"/>
  <c r="O62" i="78"/>
  <c r="BC134" i="78"/>
  <c r="AC26" i="78"/>
  <c r="AC21" i="46"/>
  <c r="U96" i="78"/>
  <c r="U94" i="78"/>
  <c r="Z133" i="78"/>
  <c r="AE10" i="78"/>
  <c r="Y26" i="78"/>
  <c r="Y21" i="46"/>
  <c r="AV24" i="78"/>
  <c r="W11" i="78"/>
  <c r="CP33" i="71"/>
  <c r="CP45" i="71" s="1"/>
  <c r="AZ225" i="78"/>
  <c r="AL244" i="78"/>
  <c r="AL232" i="78"/>
  <c r="AL223" i="78"/>
  <c r="AL124" i="46"/>
  <c r="V244" i="78"/>
  <c r="V232" i="78"/>
  <c r="V231" i="78"/>
  <c r="V223" i="78"/>
  <c r="V124" i="46"/>
  <c r="F231" i="78"/>
  <c r="F244" i="78" s="1"/>
  <c r="F223" i="78"/>
  <c r="F124" i="46"/>
  <c r="AM243" i="78"/>
  <c r="W243" i="78"/>
  <c r="L223" i="78"/>
  <c r="AK231" i="78"/>
  <c r="AK223" i="78" s="1"/>
  <c r="AK232" i="78"/>
  <c r="AK124" i="46"/>
  <c r="Q244" i="78"/>
  <c r="Q231" i="78"/>
  <c r="Q232" i="78"/>
  <c r="Q124" i="46"/>
  <c r="AJ223" i="78"/>
  <c r="AR244" i="78"/>
  <c r="AN244" i="78"/>
  <c r="AJ244" i="78"/>
  <c r="AF244" i="78"/>
  <c r="X244" i="78"/>
  <c r="T244" i="78"/>
  <c r="P244" i="78"/>
  <c r="L244" i="78"/>
  <c r="AU232" i="78"/>
  <c r="AM223" i="78"/>
  <c r="AI223" i="78"/>
  <c r="AA232" i="78"/>
  <c r="S223" i="78"/>
  <c r="O226" i="78"/>
  <c r="O229" i="78"/>
  <c r="O223" i="78"/>
  <c r="K244" i="78"/>
  <c r="G232" i="78"/>
  <c r="AN243" i="78"/>
  <c r="AF243" i="78"/>
  <c r="T243" i="78"/>
  <c r="L243" i="78"/>
  <c r="BJ208" i="78"/>
  <c r="BJ168" i="46" s="1"/>
  <c r="AJ226" i="78"/>
  <c r="X223" i="78"/>
  <c r="AN223" i="78"/>
  <c r="BO201" i="78"/>
  <c r="BK201" i="78"/>
  <c r="BK160" i="46" s="1"/>
  <c r="BL160" i="46" s="1"/>
  <c r="BD169" i="78"/>
  <c r="BC169" i="78"/>
  <c r="BE169" i="78"/>
  <c r="BF169" i="78"/>
  <c r="AZ156" i="78"/>
  <c r="BA163" i="78"/>
  <c r="BA156" i="78" s="1"/>
  <c r="AC256" i="78"/>
  <c r="E256" i="78"/>
  <c r="AJ175" i="78"/>
  <c r="AJ163" i="78"/>
  <c r="AK156" i="78"/>
  <c r="AJ152" i="78"/>
  <c r="AJ154" i="78" s="1"/>
  <c r="AJ162" i="78" s="1"/>
  <c r="AY152" i="78"/>
  <c r="AX202" i="78"/>
  <c r="BB200" i="78"/>
  <c r="BB202" i="78" s="1"/>
  <c r="AX91" i="46"/>
  <c r="K163" i="78"/>
  <c r="K152" i="78"/>
  <c r="K154" i="78" s="1"/>
  <c r="L162" i="78" s="1"/>
  <c r="J156" i="78"/>
  <c r="AP256" i="78"/>
  <c r="AR256" i="78" s="1"/>
  <c r="R126" i="78"/>
  <c r="R136" i="78"/>
  <c r="R137" i="78" s="1"/>
  <c r="BC86" i="78"/>
  <c r="V175" i="78"/>
  <c r="X256" i="78"/>
  <c r="W136" i="78"/>
  <c r="W137" i="78" s="1"/>
  <c r="N26" i="78"/>
  <c r="N21" i="46"/>
  <c r="AA93" i="78"/>
  <c r="AA16" i="78"/>
  <c r="AA20" i="78" s="1"/>
  <c r="AA11" i="78"/>
  <c r="AF9" i="78"/>
  <c r="W86" i="78"/>
  <c r="BO144" i="78"/>
  <c r="BN58" i="78"/>
  <c r="AQ141" i="78"/>
  <c r="AQ143" i="78" s="1"/>
  <c r="AK144" i="78"/>
  <c r="AK58" i="78" s="1"/>
  <c r="P26" i="78"/>
  <c r="P21" i="46"/>
  <c r="AZ147" i="78"/>
  <c r="AZ146" i="78" s="1"/>
  <c r="AY59" i="78"/>
  <c r="AG141" i="78"/>
  <c r="AG143" i="78" s="1"/>
  <c r="AG144" i="78" s="1"/>
  <c r="AG58" i="78" s="1"/>
  <c r="U144" i="78"/>
  <c r="U58" i="78" s="1"/>
  <c r="AB84" i="78"/>
  <c r="AB51" i="78" s="1"/>
  <c r="BJ144" i="78"/>
  <c r="BI58" i="78"/>
  <c r="K24" i="78"/>
  <c r="K26" i="78" s="1"/>
  <c r="Z26" i="78"/>
  <c r="Z21" i="46"/>
  <c r="T94" i="78"/>
  <c r="T96" i="78"/>
  <c r="Q27" i="78"/>
  <c r="Q31" i="78"/>
  <c r="AB9" i="78"/>
  <c r="I62" i="78"/>
  <c r="I61" i="78"/>
  <c r="I35" i="78"/>
  <c r="I38" i="78" s="1"/>
  <c r="AB10" i="78"/>
  <c r="AB133" i="78" s="1"/>
  <c r="AD133" i="78"/>
  <c r="AI10" i="78"/>
  <c r="AI133" i="78" s="1"/>
  <c r="Z198" i="79"/>
  <c r="Z215" i="79"/>
  <c r="Z201" i="79"/>
  <c r="AP183" i="79"/>
  <c r="DH33" i="71"/>
  <c r="V183" i="79"/>
  <c r="CN33" i="71"/>
  <c r="AK183" i="79"/>
  <c r="DC33" i="71"/>
  <c r="Y183" i="79"/>
  <c r="CQ33" i="71"/>
  <c r="R183" i="79"/>
  <c r="CJ33" i="71"/>
  <c r="CO183" i="79"/>
  <c r="P28" i="79"/>
  <c r="P24" i="79"/>
  <c r="X23" i="79"/>
  <c r="X20" i="46"/>
  <c r="AS183" i="79"/>
  <c r="DK33" i="71"/>
  <c r="F186" i="79"/>
  <c r="G184" i="79" s="1"/>
  <c r="G186" i="79" s="1"/>
  <c r="H184" i="79" s="1"/>
  <c r="H186" i="79" s="1"/>
  <c r="F28" i="79"/>
  <c r="F24" i="79"/>
  <c r="AD183" i="79"/>
  <c r="CV33" i="71"/>
  <c r="J183" i="79"/>
  <c r="CB33" i="71"/>
  <c r="AX9" i="79"/>
  <c r="AT183" i="79"/>
  <c r="DL33" i="71"/>
  <c r="Z183" i="79"/>
  <c r="CR33" i="71"/>
  <c r="AL183" i="79"/>
  <c r="DD33" i="71"/>
  <c r="BA239" i="79"/>
  <c r="AZ239" i="79" s="1"/>
  <c r="AY239" i="79" s="1"/>
  <c r="AX239" i="79" s="1"/>
  <c r="BG239" i="79"/>
  <c r="BB41" i="73"/>
  <c r="N226" i="79"/>
  <c r="N231" i="79" s="1"/>
  <c r="I233" i="79"/>
  <c r="J226" i="79"/>
  <c r="J231" i="79" s="1"/>
  <c r="K226" i="79" s="1"/>
  <c r="K231" i="79" s="1"/>
  <c r="L226" i="79" s="1"/>
  <c r="L231" i="79" s="1"/>
  <c r="M226" i="79" s="1"/>
  <c r="M231" i="79" s="1"/>
  <c r="AE195" i="79"/>
  <c r="AE198" i="79"/>
  <c r="AT123" i="46"/>
  <c r="AD123" i="46"/>
  <c r="M194" i="79"/>
  <c r="N123" i="46"/>
  <c r="T201" i="79"/>
  <c r="T198" i="79"/>
  <c r="W240" i="79"/>
  <c r="K198" i="79"/>
  <c r="K195" i="79"/>
  <c r="T216" i="79"/>
  <c r="K216" i="79"/>
  <c r="T215" i="79"/>
  <c r="Y123" i="46"/>
  <c r="AO216" i="79"/>
  <c r="AO204" i="79"/>
  <c r="AO195" i="79"/>
  <c r="AO123" i="46"/>
  <c r="E216" i="79"/>
  <c r="E204" i="79"/>
  <c r="E195" i="79"/>
  <c r="E123" i="46"/>
  <c r="CT183" i="79"/>
  <c r="CP183" i="79"/>
  <c r="U183" i="79"/>
  <c r="CM33" i="71"/>
  <c r="AO183" i="79"/>
  <c r="DG33" i="71"/>
  <c r="T183" i="79"/>
  <c r="CL33" i="71"/>
  <c r="BF174" i="79"/>
  <c r="BF90" i="46"/>
  <c r="CZ183" i="79"/>
  <c r="AP228" i="79"/>
  <c r="AR228" i="79" s="1"/>
  <c r="AR231" i="79" s="1"/>
  <c r="AA129" i="79"/>
  <c r="Z125" i="79"/>
  <c r="Z127" i="79" s="1"/>
  <c r="Z136" i="79"/>
  <c r="AJ228" i="79"/>
  <c r="AJ135" i="79"/>
  <c r="BL227" i="79"/>
  <c r="AL132" i="79"/>
  <c r="AL133" i="79" s="1"/>
  <c r="AO136" i="79"/>
  <c r="AP129" i="79"/>
  <c r="AO125" i="79"/>
  <c r="AO127" i="79" s="1"/>
  <c r="AO135" i="79" s="1"/>
  <c r="AO146" i="79"/>
  <c r="BA90" i="46"/>
  <c r="AK112" i="79"/>
  <c r="K20" i="46"/>
  <c r="X98" i="79"/>
  <c r="W83" i="79"/>
  <c r="W97" i="79"/>
  <c r="AJ112" i="79"/>
  <c r="BG227" i="79"/>
  <c r="AP98" i="79"/>
  <c r="U98" i="79"/>
  <c r="BE57" i="79"/>
  <c r="BF121" i="79"/>
  <c r="U32" i="79"/>
  <c r="U35" i="79" s="1"/>
  <c r="U60" i="79"/>
  <c r="U59" i="79"/>
  <c r="AW209" i="79"/>
  <c r="AW222" i="79" s="1"/>
  <c r="AW24" i="79"/>
  <c r="AW28" i="79"/>
  <c r="M115" i="79"/>
  <c r="M117" i="79" s="1"/>
  <c r="M15" i="79"/>
  <c r="M17" i="79" s="1"/>
  <c r="R94" i="79"/>
  <c r="AL83" i="79"/>
  <c r="BJ59" i="79"/>
  <c r="BD81" i="79"/>
  <c r="BI80" i="79"/>
  <c r="AH60" i="79"/>
  <c r="AH59" i="79"/>
  <c r="AH32" i="79"/>
  <c r="AH35" i="79" s="1"/>
  <c r="AH210" i="79"/>
  <c r="AH28" i="71"/>
  <c r="G145" i="79"/>
  <c r="G20" i="79"/>
  <c r="G21" i="79" s="1"/>
  <c r="G23" i="79" s="1"/>
  <c r="AF23" i="79"/>
  <c r="AF20" i="46"/>
  <c r="L23" i="79"/>
  <c r="L20" i="46"/>
  <c r="AV93" i="79"/>
  <c r="AV10" i="79"/>
  <c r="AS98" i="79"/>
  <c r="H19" i="79"/>
  <c r="AT23" i="79"/>
  <c r="AT20" i="46"/>
  <c r="Y23" i="79"/>
  <c r="Y20" i="46"/>
  <c r="AL115" i="79"/>
  <c r="AL117" i="79" s="1"/>
  <c r="AL15" i="79"/>
  <c r="AL17" i="79" s="1"/>
  <c r="AN118" i="79"/>
  <c r="AN56" i="79" s="1"/>
  <c r="U112" i="79"/>
  <c r="H20" i="79"/>
  <c r="AS24" i="79"/>
  <c r="AS28" i="79"/>
  <c r="I23" i="79"/>
  <c r="I20" i="46"/>
  <c r="AS118" i="79"/>
  <c r="AS56" i="79" s="1"/>
  <c r="BI94" i="79"/>
  <c r="BD93" i="79"/>
  <c r="BD9" i="79" s="1"/>
  <c r="AP42" i="79"/>
  <c r="AP37" i="79"/>
  <c r="AP43" i="79" s="1"/>
  <c r="AP231" i="79"/>
  <c r="AQ226" i="79" s="1"/>
  <c r="O195" i="79"/>
  <c r="O198" i="79"/>
  <c r="AO198" i="79"/>
  <c r="AO201" i="79"/>
  <c r="AG240" i="79"/>
  <c r="AP123" i="46"/>
  <c r="Z216" i="79"/>
  <c r="Z204" i="79"/>
  <c r="Z195" i="79"/>
  <c r="Z123" i="46"/>
  <c r="J123" i="46"/>
  <c r="L201" i="79"/>
  <c r="L198" i="79"/>
  <c r="L195" i="79"/>
  <c r="AI198" i="79"/>
  <c r="AI195" i="79"/>
  <c r="N203" i="79"/>
  <c r="N204" i="79" s="1"/>
  <c r="AE204" i="79"/>
  <c r="AP203" i="79"/>
  <c r="AP195" i="79" s="1"/>
  <c r="AD203" i="79"/>
  <c r="I198" i="79"/>
  <c r="I201" i="79"/>
  <c r="H203" i="79"/>
  <c r="H198" i="79" s="1"/>
  <c r="AI216" i="79"/>
  <c r="AO215" i="79"/>
  <c r="E215" i="79"/>
  <c r="U216" i="79"/>
  <c r="U204" i="79"/>
  <c r="U195" i="79"/>
  <c r="U123" i="46"/>
  <c r="DY183" i="79"/>
  <c r="AW169" i="79"/>
  <c r="DO33" i="71" s="1"/>
  <c r="DO45" i="71" s="1"/>
  <c r="Q183" i="79"/>
  <c r="CI33" i="71"/>
  <c r="BP171" i="79"/>
  <c r="BJ174" i="79"/>
  <c r="BJ90" i="46"/>
  <c r="CU183" i="79"/>
  <c r="P183" i="79"/>
  <c r="CH33" i="71"/>
  <c r="AZ90" i="46"/>
  <c r="BD174" i="79"/>
  <c r="BD90" i="46"/>
  <c r="AK228" i="79"/>
  <c r="BK174" i="79"/>
  <c r="BK90" i="46"/>
  <c r="AX174" i="79"/>
  <c r="BB171" i="79"/>
  <c r="BB174" i="79" s="1"/>
  <c r="AX90" i="46"/>
  <c r="Z146" i="79"/>
  <c r="AT98" i="79"/>
  <c r="AT112" i="79"/>
  <c r="BI118" i="79"/>
  <c r="BH56" i="79"/>
  <c r="BH118" i="79" s="1"/>
  <c r="AY174" i="79"/>
  <c r="AY90" i="46"/>
  <c r="Q98" i="79"/>
  <c r="BO118" i="79"/>
  <c r="BN56" i="79"/>
  <c r="E32" i="79"/>
  <c r="E35" i="79" s="1"/>
  <c r="E60" i="79"/>
  <c r="E59" i="79"/>
  <c r="V23" i="79"/>
  <c r="V20" i="46"/>
  <c r="AA20" i="46"/>
  <c r="AA23" i="79"/>
  <c r="BO59" i="79"/>
  <c r="AY97" i="79"/>
  <c r="AY98" i="79" s="1"/>
  <c r="AY8" i="79"/>
  <c r="J32" i="79"/>
  <c r="J35" i="79" s="1"/>
  <c r="J60" i="79"/>
  <c r="J59" i="79"/>
  <c r="Z23" i="79"/>
  <c r="Z20" i="46"/>
  <c r="R115" i="79"/>
  <c r="R117" i="79" s="1"/>
  <c r="R15" i="79"/>
  <c r="R17" i="79" s="1"/>
  <c r="AQ10" i="79"/>
  <c r="AO23" i="79"/>
  <c r="AO20" i="46"/>
  <c r="T23" i="79"/>
  <c r="T20" i="46"/>
  <c r="AI118" i="79"/>
  <c r="AI56" i="79" s="1"/>
  <c r="AM117" i="79"/>
  <c r="BK121" i="79"/>
  <c r="BJ57" i="79"/>
  <c r="AC23" i="79"/>
  <c r="AC20" i="46"/>
  <c r="BF120" i="79"/>
  <c r="BA14" i="79"/>
  <c r="AR209" i="79"/>
  <c r="AR222" i="79" s="1"/>
  <c r="AR28" i="79"/>
  <c r="AR24" i="79"/>
  <c r="BL155" i="46"/>
  <c r="AU195" i="79"/>
  <c r="AU198" i="79"/>
  <c r="G198" i="79"/>
  <c r="G195" i="79"/>
  <c r="AC198" i="79"/>
  <c r="AB203" i="79"/>
  <c r="AB198" i="79" s="1"/>
  <c r="AC201" i="79"/>
  <c r="AL123" i="46"/>
  <c r="V204" i="79"/>
  <c r="V195" i="79"/>
  <c r="V123" i="46"/>
  <c r="F195" i="79"/>
  <c r="F123" i="46"/>
  <c r="AI215" i="79"/>
  <c r="AI204" i="79"/>
  <c r="AR198" i="79"/>
  <c r="AQ203" i="79"/>
  <c r="AR201" i="79"/>
  <c r="AW198" i="79"/>
  <c r="AV203" i="79"/>
  <c r="AV198" i="79" s="1"/>
  <c r="AR195" i="79"/>
  <c r="AA198" i="79"/>
  <c r="AA195" i="79"/>
  <c r="AU201" i="79"/>
  <c r="AE201" i="79"/>
  <c r="V203" i="79"/>
  <c r="T204" i="79"/>
  <c r="L216" i="79"/>
  <c r="O204" i="79"/>
  <c r="AT203" i="79"/>
  <c r="AT216" i="79" s="1"/>
  <c r="H240" i="79"/>
  <c r="H201" i="79"/>
  <c r="O216" i="79"/>
  <c r="G216" i="79"/>
  <c r="L215" i="79"/>
  <c r="AK123" i="46"/>
  <c r="AC216" i="79"/>
  <c r="AC204" i="79"/>
  <c r="AC195" i="79"/>
  <c r="AB194" i="79"/>
  <c r="AC123" i="46"/>
  <c r="AS216" i="79"/>
  <c r="AS204" i="79"/>
  <c r="AS123" i="46"/>
  <c r="U215" i="79"/>
  <c r="H215" i="79"/>
  <c r="M183" i="79"/>
  <c r="CE33" i="71"/>
  <c r="DN183" i="79"/>
  <c r="AG183" i="79"/>
  <c r="CY33" i="71"/>
  <c r="L183" i="79"/>
  <c r="CD33" i="71"/>
  <c r="CK183" i="79"/>
  <c r="DO183" i="79"/>
  <c r="AU129" i="79"/>
  <c r="AT125" i="79"/>
  <c r="AT127" i="79" s="1"/>
  <c r="AT135" i="79" s="1"/>
  <c r="AT136" i="79"/>
  <c r="P125" i="79"/>
  <c r="P127" i="79" s="1"/>
  <c r="Q135" i="79" s="1"/>
  <c r="P136" i="79"/>
  <c r="P146" i="79"/>
  <c r="O129" i="79"/>
  <c r="G136" i="79"/>
  <c r="F129" i="79"/>
  <c r="G125" i="79"/>
  <c r="G127" i="79" s="1"/>
  <c r="H135" i="79" s="1"/>
  <c r="BB227" i="79"/>
  <c r="AC228" i="79"/>
  <c r="L136" i="79"/>
  <c r="L146" i="79"/>
  <c r="L125" i="79"/>
  <c r="L127" i="79" s="1"/>
  <c r="M135" i="79" s="1"/>
  <c r="K129" i="79"/>
  <c r="AQ228" i="79"/>
  <c r="AO98" i="79"/>
  <c r="AO112" i="79"/>
  <c r="BD118" i="79"/>
  <c r="BC56" i="79"/>
  <c r="BC118" i="79" s="1"/>
  <c r="W115" i="79"/>
  <c r="W117" i="79" s="1"/>
  <c r="W15" i="79"/>
  <c r="W17" i="79" s="1"/>
  <c r="AW98" i="79"/>
  <c r="AF112" i="79"/>
  <c r="BE84" i="79"/>
  <c r="BG84" i="79" s="1"/>
  <c r="BE94" i="79"/>
  <c r="AZ93" i="79"/>
  <c r="AZ9" i="79" s="1"/>
  <c r="AI98" i="79"/>
  <c r="AX81" i="79"/>
  <c r="AX73" i="79"/>
  <c r="BC80" i="79"/>
  <c r="BC83" i="79" s="1"/>
  <c r="Z112" i="79"/>
  <c r="Z98" i="79"/>
  <c r="BK84" i="79"/>
  <c r="BL84" i="79" s="1"/>
  <c r="Q24" i="79"/>
  <c r="Q28" i="79"/>
  <c r="AA94" i="79"/>
  <c r="AA97" i="79"/>
  <c r="R83" i="79"/>
  <c r="AV211" i="79"/>
  <c r="S20" i="46"/>
  <c r="S23" i="79"/>
  <c r="AV15" i="79"/>
  <c r="AV17" i="79" s="1"/>
  <c r="AZ117" i="79"/>
  <c r="AU118" i="79"/>
  <c r="AU56" i="79" s="1"/>
  <c r="AE20" i="46"/>
  <c r="AE23" i="79"/>
  <c r="AM94" i="79"/>
  <c r="AM97" i="79"/>
  <c r="AM98" i="79" s="1"/>
  <c r="AQ81" i="79"/>
  <c r="AQ50" i="79" s="1"/>
  <c r="AB98" i="79"/>
  <c r="AJ23" i="79"/>
  <c r="AJ20" i="46"/>
  <c r="AI20" i="46"/>
  <c r="AI23" i="79"/>
  <c r="G20" i="46"/>
  <c r="W10" i="79"/>
  <c r="AC98" i="79"/>
  <c r="BP121" i="79"/>
  <c r="BO57" i="79"/>
  <c r="K21" i="79"/>
  <c r="K23" i="79" s="1"/>
  <c r="AN28" i="79"/>
  <c r="AN24" i="79"/>
  <c r="AV21" i="79"/>
  <c r="AL203" i="79"/>
  <c r="AL216" i="79" s="1"/>
  <c r="AM198" i="79"/>
  <c r="AM195" i="79"/>
  <c r="AS203" i="79"/>
  <c r="AK203" i="79"/>
  <c r="AK216" i="79" s="1"/>
  <c r="AB240" i="79"/>
  <c r="AB201" i="79"/>
  <c r="BA197" i="79"/>
  <c r="AH216" i="79"/>
  <c r="AH217" i="79"/>
  <c r="AG194" i="79"/>
  <c r="AH195" i="79"/>
  <c r="AH123" i="46"/>
  <c r="R123" i="46"/>
  <c r="AU215" i="79"/>
  <c r="AE215" i="79"/>
  <c r="O215" i="79"/>
  <c r="AA204" i="79"/>
  <c r="AJ201" i="79"/>
  <c r="AJ198" i="79"/>
  <c r="U201" i="79"/>
  <c r="AV240" i="79"/>
  <c r="AV201" i="79"/>
  <c r="W201" i="79"/>
  <c r="O201" i="79"/>
  <c r="F203" i="79"/>
  <c r="F204" i="79" s="1"/>
  <c r="T195" i="79"/>
  <c r="R203" i="79"/>
  <c r="R195" i="79" s="1"/>
  <c r="S198" i="79"/>
  <c r="S195" i="79"/>
  <c r="J203" i="79"/>
  <c r="J216" i="79" s="1"/>
  <c r="AR204" i="79"/>
  <c r="AU204" i="79"/>
  <c r="G204" i="79"/>
  <c r="AH203" i="79"/>
  <c r="Y203" i="79"/>
  <c r="AM216" i="79"/>
  <c r="AE216" i="79"/>
  <c r="W216" i="79"/>
  <c r="W195" i="79"/>
  <c r="W204" i="79"/>
  <c r="W123" i="46"/>
  <c r="AR215" i="79"/>
  <c r="AW201" i="79"/>
  <c r="AC215" i="79"/>
  <c r="AW216" i="79"/>
  <c r="AW204" i="79"/>
  <c r="AW195" i="79"/>
  <c r="AV194" i="79"/>
  <c r="AW123" i="46"/>
  <c r="Q216" i="79"/>
  <c r="Q204" i="79"/>
  <c r="Q195" i="79"/>
  <c r="Q123" i="46"/>
  <c r="I216" i="79"/>
  <c r="I204" i="79"/>
  <c r="I195" i="79"/>
  <c r="H194" i="79"/>
  <c r="I123" i="46"/>
  <c r="AZ172" i="79"/>
  <c r="DT183" i="79"/>
  <c r="AR169" i="79"/>
  <c r="DJ33" i="71" s="1"/>
  <c r="DJ45" i="71" s="1"/>
  <c r="E231" i="79"/>
  <c r="F226" i="79" s="1"/>
  <c r="F231" i="79" s="1"/>
  <c r="G226" i="79" s="1"/>
  <c r="G231" i="79" s="1"/>
  <c r="H226" i="79" s="1"/>
  <c r="H231" i="79" s="1"/>
  <c r="DE183" i="79"/>
  <c r="BE174" i="79"/>
  <c r="BE90" i="46"/>
  <c r="AU228" i="79"/>
  <c r="AW228" i="79" s="1"/>
  <c r="AK136" i="79"/>
  <c r="AK125" i="79"/>
  <c r="AK127" i="79" s="1"/>
  <c r="AK135" i="79" s="1"/>
  <c r="AK146" i="79"/>
  <c r="AL129" i="79"/>
  <c r="BI174" i="79"/>
  <c r="BI90" i="46"/>
  <c r="BL171" i="79"/>
  <c r="BL174" i="79" s="1"/>
  <c r="BH174" i="79"/>
  <c r="BH90" i="46"/>
  <c r="BA136" i="79"/>
  <c r="BA129" i="79" s="1"/>
  <c r="AZ129" i="79"/>
  <c r="BA50" i="79"/>
  <c r="BA80" i="79" s="1"/>
  <c r="BB80" i="79" s="1"/>
  <c r="BB81" i="79" s="1"/>
  <c r="Y98" i="79"/>
  <c r="AY121" i="79"/>
  <c r="AY120" i="79" s="1"/>
  <c r="AX57" i="79"/>
  <c r="AX121" i="79" s="1"/>
  <c r="AX120" i="79" s="1"/>
  <c r="AM20" i="46"/>
  <c r="AM23" i="79"/>
  <c r="BE80" i="79"/>
  <c r="AZ81" i="79"/>
  <c r="AZ73" i="79"/>
  <c r="AQ97" i="79"/>
  <c r="AQ98" i="79" s="1"/>
  <c r="AQ83" i="79"/>
  <c r="AE98" i="79"/>
  <c r="BC174" i="79"/>
  <c r="BG171" i="79"/>
  <c r="BG174" i="79" s="1"/>
  <c r="BC90" i="46"/>
  <c r="S135" i="79"/>
  <c r="AL112" i="79"/>
  <c r="AU97" i="79"/>
  <c r="BE59" i="79"/>
  <c r="AB115" i="79"/>
  <c r="AB117" i="79" s="1"/>
  <c r="AB118" i="79" s="1"/>
  <c r="AB56" i="79" s="1"/>
  <c r="AB15" i="79"/>
  <c r="AB17" i="79" s="1"/>
  <c r="AF118" i="79"/>
  <c r="AF56" i="79" s="1"/>
  <c r="BC93" i="79"/>
  <c r="BH94" i="79"/>
  <c r="BD83" i="79"/>
  <c r="BI83" i="79" s="1"/>
  <c r="AK23" i="79"/>
  <c r="AK20" i="46"/>
  <c r="AG115" i="79"/>
  <c r="AG117" i="79" s="1"/>
  <c r="AG118" i="79" s="1"/>
  <c r="AG56" i="79" s="1"/>
  <c r="AG15" i="79"/>
  <c r="AG17" i="79" s="1"/>
  <c r="AU20" i="46"/>
  <c r="AU23" i="79"/>
  <c r="AL94" i="79"/>
  <c r="W81" i="79"/>
  <c r="W50" i="79" s="1"/>
  <c r="AG98" i="79"/>
  <c r="M98" i="79"/>
  <c r="F146" i="79"/>
  <c r="AD23" i="79"/>
  <c r="AD20" i="46"/>
  <c r="AQ115" i="79"/>
  <c r="AQ117" i="79" s="1"/>
  <c r="AQ118" i="79" s="1"/>
  <c r="AQ56" i="79" s="1"/>
  <c r="AQ15" i="79"/>
  <c r="AQ17" i="79" s="1"/>
  <c r="AG112" i="79"/>
  <c r="BC20" i="79"/>
  <c r="BB20" i="79"/>
  <c r="K146" i="79"/>
  <c r="N23" i="79"/>
  <c r="N20" i="46"/>
  <c r="H115" i="79"/>
  <c r="H117" i="79" s="1"/>
  <c r="I117" i="79" s="1"/>
  <c r="H15" i="79"/>
  <c r="H17" i="79" s="1"/>
  <c r="O32" i="79"/>
  <c r="O35" i="79" s="1"/>
  <c r="O60" i="79"/>
  <c r="O59" i="79"/>
  <c r="AH720" i="80"/>
  <c r="AH644" i="80"/>
  <c r="AU350" i="80"/>
  <c r="AU363" i="80"/>
  <c r="AU371" i="80" s="1"/>
  <c r="AU256" i="80"/>
  <c r="AU337" i="80"/>
  <c r="AL19" i="46"/>
  <c r="AL23" i="80"/>
  <c r="AN643" i="80"/>
  <c r="AN253" i="80"/>
  <c r="AN298" i="80"/>
  <c r="AN285" i="80"/>
  <c r="M23" i="80"/>
  <c r="M19" i="46"/>
  <c r="H23" i="80"/>
  <c r="H19" i="46"/>
  <c r="H854" i="80"/>
  <c r="H857" i="80"/>
  <c r="H871" i="80"/>
  <c r="J839" i="80"/>
  <c r="Y590" i="80"/>
  <c r="AQ350" i="80"/>
  <c r="AQ363" i="80"/>
  <c r="AQ256" i="80"/>
  <c r="AE253" i="80"/>
  <c r="AQ23" i="80"/>
  <c r="AQ19" i="46"/>
  <c r="S23" i="80"/>
  <c r="S19" i="46"/>
  <c r="AY643" i="80"/>
  <c r="AY253" i="80"/>
  <c r="AY285" i="80"/>
  <c r="K865" i="80"/>
  <c r="K878" i="80" s="1"/>
  <c r="AY350" i="80"/>
  <c r="AY363" i="80"/>
  <c r="AY337" i="80"/>
  <c r="AY256" i="80"/>
  <c r="AE350" i="80"/>
  <c r="AE363" i="80"/>
  <c r="AE256" i="80"/>
  <c r="AE337" i="80"/>
  <c r="AV23" i="80"/>
  <c r="AV19" i="46"/>
  <c r="AI643" i="80"/>
  <c r="AI253" i="80"/>
  <c r="AI298" i="80"/>
  <c r="AI285" i="80"/>
  <c r="AO865" i="80"/>
  <c r="AO878" i="80" s="1"/>
  <c r="AP857" i="80"/>
  <c r="AP854" i="80"/>
  <c r="AB872" i="80"/>
  <c r="AB860" i="80"/>
  <c r="AB851" i="80"/>
  <c r="AB122" i="46"/>
  <c r="L872" i="80"/>
  <c r="L859" i="80"/>
  <c r="L851" i="80"/>
  <c r="L122" i="46"/>
  <c r="L129" i="46" s="1"/>
  <c r="L132" i="46" s="1"/>
  <c r="L133" i="46" s="1"/>
  <c r="AO871" i="80"/>
  <c r="Y871" i="80"/>
  <c r="I851" i="80"/>
  <c r="I857" i="80"/>
  <c r="I854" i="80"/>
  <c r="AN871" i="80"/>
  <c r="F857" i="80"/>
  <c r="F854" i="80"/>
  <c r="AT854" i="80"/>
  <c r="AT857" i="80"/>
  <c r="AP860" i="80"/>
  <c r="V860" i="80"/>
  <c r="U857" i="80"/>
  <c r="U851" i="80"/>
  <c r="U854" i="80"/>
  <c r="U860" i="80"/>
  <c r="I872" i="80"/>
  <c r="AP871" i="80"/>
  <c r="AO851" i="80"/>
  <c r="G859" i="80"/>
  <c r="G860" i="80"/>
  <c r="G851" i="80"/>
  <c r="G122" i="46"/>
  <c r="AN851" i="80"/>
  <c r="AG851" i="80"/>
  <c r="M851" i="80"/>
  <c r="O859" i="80"/>
  <c r="O860" i="80" s="1"/>
  <c r="O122" i="46"/>
  <c r="AB854" i="80"/>
  <c r="AA859" i="80"/>
  <c r="AA860" i="80"/>
  <c r="AA851" i="80"/>
  <c r="AA122" i="46"/>
  <c r="S872" i="80"/>
  <c r="S859" i="80"/>
  <c r="R850" i="80"/>
  <c r="S122" i="46"/>
  <c r="AU854" i="80"/>
  <c r="AU857" i="80"/>
  <c r="AJ837" i="80"/>
  <c r="AJ807" i="80"/>
  <c r="K821" i="80"/>
  <c r="K825" i="80" s="1"/>
  <c r="K839" i="80" s="1"/>
  <c r="EO839" i="80"/>
  <c r="P821" i="80"/>
  <c r="P825" i="80" s="1"/>
  <c r="P839" i="80" s="1"/>
  <c r="O821" i="80"/>
  <c r="O825" i="80" s="1"/>
  <c r="O839" i="80" s="1"/>
  <c r="AN837" i="80"/>
  <c r="BP823" i="80"/>
  <c r="EQ821" i="80"/>
  <c r="EQ825" i="80" s="1"/>
  <c r="EQ839" i="80" s="1"/>
  <c r="AW821" i="80"/>
  <c r="AV821" i="80"/>
  <c r="AV825" i="80" s="1"/>
  <c r="DX839" i="80"/>
  <c r="AC825" i="80"/>
  <c r="Z780" i="80"/>
  <c r="AA774" i="80"/>
  <c r="Z768" i="80"/>
  <c r="Z770" i="80" s="1"/>
  <c r="DR821" i="80"/>
  <c r="DR825" i="80" s="1"/>
  <c r="DR839" i="80" s="1"/>
  <c r="X821" i="80"/>
  <c r="W821" i="80"/>
  <c r="W825" i="80" s="1"/>
  <c r="W839" i="80" s="1"/>
  <c r="EP825" i="80"/>
  <c r="EP839" i="80" s="1"/>
  <c r="DV825" i="80"/>
  <c r="DV839" i="80" s="1"/>
  <c r="DD839" i="80"/>
  <c r="I825" i="80"/>
  <c r="F821" i="80"/>
  <c r="F825" i="80" s="1"/>
  <c r="F839" i="80" s="1"/>
  <c r="F842" i="80" s="1"/>
  <c r="G840" i="80" s="1"/>
  <c r="G821" i="80"/>
  <c r="G825" i="80" s="1"/>
  <c r="G839" i="80" s="1"/>
  <c r="BK823" i="80"/>
  <c r="BK154" i="46" s="1"/>
  <c r="BL154" i="46" s="1"/>
  <c r="BD799" i="80"/>
  <c r="BD764" i="80"/>
  <c r="BD14" i="80"/>
  <c r="AP780" i="80"/>
  <c r="AP768" i="80"/>
  <c r="AP770" i="80" s="1"/>
  <c r="AK780" i="80"/>
  <c r="AJ774" i="80"/>
  <c r="AK768" i="80"/>
  <c r="AK770" i="80" s="1"/>
  <c r="AL779" i="80" s="1"/>
  <c r="BH691" i="80"/>
  <c r="BI689" i="80"/>
  <c r="BH211" i="80"/>
  <c r="BD753" i="80"/>
  <c r="BD162" i="80" s="1"/>
  <c r="AJ753" i="80"/>
  <c r="AJ162" i="80" s="1"/>
  <c r="AC699" i="80"/>
  <c r="AD699" i="80" s="1"/>
  <c r="AB701" i="80"/>
  <c r="AC701" i="80" s="1"/>
  <c r="AB213" i="80"/>
  <c r="AB686" i="80"/>
  <c r="AC684" i="80"/>
  <c r="AD684" i="80" s="1"/>
  <c r="AB210" i="80"/>
  <c r="Z681" i="80"/>
  <c r="Z209" i="80"/>
  <c r="Y676" i="80"/>
  <c r="Z674" i="80"/>
  <c r="Y208" i="80"/>
  <c r="AN646" i="80"/>
  <c r="AD706" i="80"/>
  <c r="AE704" i="80"/>
  <c r="BD686" i="80"/>
  <c r="BD210" i="80"/>
  <c r="AU676" i="80"/>
  <c r="AU208" i="80"/>
  <c r="AD648" i="80"/>
  <c r="AE648" i="80" s="1"/>
  <c r="AJ648" i="80" s="1"/>
  <c r="AG648" i="80"/>
  <c r="Y554" i="80"/>
  <c r="AC562" i="80"/>
  <c r="Y564" i="80"/>
  <c r="Z574" i="80"/>
  <c r="AA571" i="80"/>
  <c r="BF536" i="80"/>
  <c r="Y578" i="80"/>
  <c r="AI623" i="80"/>
  <c r="AL623" i="80"/>
  <c r="Y716" i="80"/>
  <c r="Z714" i="80"/>
  <c r="Y214" i="80"/>
  <c r="AQ463" i="80"/>
  <c r="AA564" i="80"/>
  <c r="BB520" i="80"/>
  <c r="AN505" i="80"/>
  <c r="AH366" i="80"/>
  <c r="Z466" i="80"/>
  <c r="AE446" i="80"/>
  <c r="AF443" i="80"/>
  <c r="AA369" i="80"/>
  <c r="AB446" i="80"/>
  <c r="AA429" i="80"/>
  <c r="AL329" i="80"/>
  <c r="AI329" i="80"/>
  <c r="AB338" i="80"/>
  <c r="AB286" i="80"/>
  <c r="AB364" i="80"/>
  <c r="AB312" i="80"/>
  <c r="AB320" i="80" s="1"/>
  <c r="AB299" i="80"/>
  <c r="AB307" i="80" s="1"/>
  <c r="AB351" i="80"/>
  <c r="AA273" i="80"/>
  <c r="AU440" i="80"/>
  <c r="AU448" i="80" s="1"/>
  <c r="AU460" i="80"/>
  <c r="AU468" i="80" s="1"/>
  <c r="AU95" i="80"/>
  <c r="AU255" i="80" s="1"/>
  <c r="BC413" i="80"/>
  <c r="BG89" i="80"/>
  <c r="BG91" i="80" s="1"/>
  <c r="BG656" i="80" s="1"/>
  <c r="BC91" i="80"/>
  <c r="BC656" i="80" s="1"/>
  <c r="AI413" i="80"/>
  <c r="AM89" i="80"/>
  <c r="AM91" i="80" s="1"/>
  <c r="AM656" i="80" s="1"/>
  <c r="AI91" i="80"/>
  <c r="AI656" i="80" s="1"/>
  <c r="AP605" i="80"/>
  <c r="AP519" i="80"/>
  <c r="AP387" i="80"/>
  <c r="AP87" i="80"/>
  <c r="BK499" i="80"/>
  <c r="BK79" i="80"/>
  <c r="AQ499" i="80"/>
  <c r="AQ79" i="80"/>
  <c r="AQ311" i="80" s="1"/>
  <c r="AT400" i="80"/>
  <c r="AT75" i="80"/>
  <c r="BK480" i="80"/>
  <c r="BK488" i="80" s="1"/>
  <c r="BK67" i="80"/>
  <c r="BK257" i="80" s="1"/>
  <c r="AQ480" i="80"/>
  <c r="AQ488" i="80" s="1"/>
  <c r="AQ67" i="80"/>
  <c r="AQ257" i="80" s="1"/>
  <c r="BG52" i="80"/>
  <c r="BG73" i="80"/>
  <c r="BG75" i="80" s="1"/>
  <c r="BG27" i="73"/>
  <c r="BG74" i="80"/>
  <c r="AM441" i="80"/>
  <c r="AM534" i="80"/>
  <c r="AT460" i="80"/>
  <c r="AT468" i="80" s="1"/>
  <c r="AT469" i="80" s="1"/>
  <c r="AT472" i="80" s="1"/>
  <c r="AT440" i="80"/>
  <c r="AT448" i="80" s="1"/>
  <c r="AX413" i="80"/>
  <c r="BB89" i="80"/>
  <c r="BB91" i="80" s="1"/>
  <c r="BB656" i="80" s="1"/>
  <c r="AX91" i="80"/>
  <c r="AX656" i="80" s="1"/>
  <c r="AD413" i="80"/>
  <c r="AH89" i="80"/>
  <c r="AH91" i="80" s="1"/>
  <c r="AH656" i="80" s="1"/>
  <c r="AD91" i="80"/>
  <c r="AD656" i="80" s="1"/>
  <c r="AX499" i="80"/>
  <c r="BB77" i="80"/>
  <c r="AX79" i="80"/>
  <c r="AD499" i="80"/>
  <c r="AH77" i="80"/>
  <c r="AD79" i="80"/>
  <c r="AD311" i="80" s="1"/>
  <c r="AX480" i="80"/>
  <c r="BB66" i="80"/>
  <c r="AD480" i="80"/>
  <c r="AH66" i="80"/>
  <c r="AE538" i="80"/>
  <c r="AE539" i="80" s="1"/>
  <c r="AE541" i="80" s="1"/>
  <c r="BB401" i="80"/>
  <c r="BB481" i="80"/>
  <c r="AH401" i="80"/>
  <c r="AH481" i="80"/>
  <c r="AE327" i="80"/>
  <c r="AD330" i="80"/>
  <c r="Y268" i="80"/>
  <c r="BC606" i="80"/>
  <c r="AF301" i="80"/>
  <c r="BI364" i="80"/>
  <c r="BI312" i="80"/>
  <c r="BI299" i="80"/>
  <c r="BI351" i="80"/>
  <c r="BI338" i="80"/>
  <c r="BI286" i="80"/>
  <c r="BI325" i="80"/>
  <c r="BH273" i="80"/>
  <c r="AX657" i="80"/>
  <c r="BB140" i="80"/>
  <c r="BB657" i="80" s="1"/>
  <c r="BM644" i="80"/>
  <c r="BQ136" i="80"/>
  <c r="BQ644" i="80" s="1"/>
  <c r="AT715" i="80"/>
  <c r="AS131" i="80"/>
  <c r="AS715" i="80" s="1"/>
  <c r="BO700" i="80"/>
  <c r="BN129" i="80"/>
  <c r="BO690" i="80"/>
  <c r="BN126" i="80"/>
  <c r="BO680" i="80"/>
  <c r="BN124" i="80"/>
  <c r="AY605" i="80"/>
  <c r="AY519" i="80"/>
  <c r="AY387" i="80"/>
  <c r="AY87" i="80"/>
  <c r="BJ256" i="80"/>
  <c r="AP363" i="80"/>
  <c r="AP350" i="80"/>
  <c r="AP256" i="80"/>
  <c r="AL538" i="80"/>
  <c r="AQ643" i="80"/>
  <c r="AQ298" i="80"/>
  <c r="AQ253" i="80"/>
  <c r="AQ285" i="80"/>
  <c r="AI405" i="80"/>
  <c r="BA460" i="80"/>
  <c r="BA468" i="80" s="1"/>
  <c r="BA440" i="80"/>
  <c r="BA448" i="80" s="1"/>
  <c r="AS618" i="80"/>
  <c r="AS83" i="80"/>
  <c r="AS254" i="80" s="1"/>
  <c r="AW81" i="80"/>
  <c r="AS400" i="80"/>
  <c r="AS75" i="80"/>
  <c r="AW69" i="80"/>
  <c r="AS71" i="80"/>
  <c r="AW401" i="80"/>
  <c r="AW461" i="80"/>
  <c r="AO479" i="80"/>
  <c r="AO533" i="80"/>
  <c r="AO67" i="80"/>
  <c r="AO257" i="80" s="1"/>
  <c r="AO413" i="80"/>
  <c r="AO91" i="80"/>
  <c r="AO656" i="80" s="1"/>
  <c r="AO605" i="80"/>
  <c r="AO519" i="80"/>
  <c r="AO387" i="80"/>
  <c r="AO87" i="80"/>
  <c r="AJ337" i="80"/>
  <c r="AJ350" i="80"/>
  <c r="AJ256" i="80"/>
  <c r="AJ363" i="80"/>
  <c r="Y479" i="80"/>
  <c r="Y533" i="80"/>
  <c r="Y67" i="80"/>
  <c r="Y257" i="80" s="1"/>
  <c r="Y224" i="80" s="1"/>
  <c r="Y413" i="80"/>
  <c r="Y91" i="80"/>
  <c r="Y656" i="80" s="1"/>
  <c r="Y664" i="80" s="1"/>
  <c r="Y606" i="80"/>
  <c r="Y614" i="80" s="1"/>
  <c r="AB757" i="80"/>
  <c r="AB15" i="80"/>
  <c r="AB19" i="80" s="1"/>
  <c r="BE499" i="80"/>
  <c r="BE79" i="80"/>
  <c r="AF400" i="80"/>
  <c r="AF75" i="80"/>
  <c r="AT538" i="80"/>
  <c r="BF400" i="80"/>
  <c r="BF75" i="80"/>
  <c r="AZ499" i="80"/>
  <c r="AZ79" i="80"/>
  <c r="AZ605" i="80"/>
  <c r="AZ519" i="80"/>
  <c r="AZ387" i="80"/>
  <c r="AZ87" i="80"/>
  <c r="AZ439" i="80"/>
  <c r="AZ426" i="80"/>
  <c r="AZ459" i="80"/>
  <c r="AZ95" i="80"/>
  <c r="AZ255" i="80" s="1"/>
  <c r="AV533" i="80"/>
  <c r="AV479" i="80"/>
  <c r="AV67" i="80"/>
  <c r="AV257" i="80" s="1"/>
  <c r="AR82" i="80"/>
  <c r="AR90" i="80"/>
  <c r="AN533" i="80"/>
  <c r="AN479" i="80"/>
  <c r="AR65" i="80"/>
  <c r="AN67" i="80"/>
  <c r="AN257" i="80" s="1"/>
  <c r="AR414" i="80"/>
  <c r="AR401" i="80"/>
  <c r="AR501" i="80"/>
  <c r="AI324" i="80"/>
  <c r="AI272" i="80"/>
  <c r="AP618" i="80"/>
  <c r="AP83" i="80"/>
  <c r="AP254" i="80" s="1"/>
  <c r="AS480" i="80"/>
  <c r="AW66" i="80"/>
  <c r="BE618" i="80"/>
  <c r="BE83" i="80"/>
  <c r="BE254" i="80" s="1"/>
  <c r="BI459" i="80"/>
  <c r="BI439" i="80"/>
  <c r="BI426" i="80"/>
  <c r="BI95" i="80"/>
  <c r="BI255" i="80" s="1"/>
  <c r="BI256" i="80"/>
  <c r="BD460" i="80"/>
  <c r="BD440" i="80"/>
  <c r="BD533" i="80"/>
  <c r="BD479" i="80"/>
  <c r="BD67" i="80"/>
  <c r="BD257" i="80" s="1"/>
  <c r="AG479" i="80"/>
  <c r="AG533" i="80"/>
  <c r="AG67" i="80"/>
  <c r="AG257" i="80" s="1"/>
  <c r="AG413" i="80"/>
  <c r="AG91" i="80"/>
  <c r="AG656" i="80" s="1"/>
  <c r="AE867" i="80"/>
  <c r="BP675" i="80"/>
  <c r="BO127" i="80"/>
  <c r="AL618" i="80"/>
  <c r="AL83" i="80"/>
  <c r="AL254" i="80" s="1"/>
  <c r="BK256" i="80"/>
  <c r="Y480" i="80"/>
  <c r="AX67" i="80"/>
  <c r="AX257" i="80" s="1"/>
  <c r="Z605" i="80"/>
  <c r="Z519" i="80"/>
  <c r="Z387" i="80"/>
  <c r="Z87" i="80"/>
  <c r="Z79" i="80"/>
  <c r="Z311" i="80" s="1"/>
  <c r="Z319" i="80" s="1"/>
  <c r="Z400" i="80"/>
  <c r="Z75" i="80"/>
  <c r="BH480" i="80"/>
  <c r="BL66" i="80"/>
  <c r="BL69" i="80"/>
  <c r="BH71" i="80"/>
  <c r="BH439" i="80"/>
  <c r="BH426" i="80"/>
  <c r="BH459" i="80"/>
  <c r="BL93" i="80"/>
  <c r="BH95" i="80"/>
  <c r="BH255" i="80" s="1"/>
  <c r="BL534" i="80"/>
  <c r="AX431" i="80"/>
  <c r="AT431" i="80"/>
  <c r="AK460" i="80"/>
  <c r="AK468" i="80" s="1"/>
  <c r="AK440" i="80"/>
  <c r="AK448" i="80" s="1"/>
  <c r="AF413" i="80"/>
  <c r="AF91" i="80"/>
  <c r="AF656" i="80" s="1"/>
  <c r="F37" i="80"/>
  <c r="F43" i="80" s="1"/>
  <c r="F78" i="46" s="1"/>
  <c r="F42" i="80"/>
  <c r="AD23" i="80"/>
  <c r="AD19" i="46"/>
  <c r="R757" i="80"/>
  <c r="R760" i="80" s="1"/>
  <c r="R15" i="80"/>
  <c r="AN796" i="80"/>
  <c r="AN32" i="80"/>
  <c r="AN35" i="80" s="1"/>
  <c r="N866" i="80"/>
  <c r="N873" i="80" s="1"/>
  <c r="N27" i="71"/>
  <c r="I865" i="80"/>
  <c r="I878" i="80" s="1"/>
  <c r="I28" i="80"/>
  <c r="I24" i="80"/>
  <c r="AT83" i="80"/>
  <c r="AT254" i="80" s="1"/>
  <c r="AH70" i="80"/>
  <c r="AR796" i="80"/>
  <c r="AR32" i="80"/>
  <c r="AR35" i="80" s="1"/>
  <c r="BA79" i="80"/>
  <c r="AH857" i="80"/>
  <c r="AH854" i="80"/>
  <c r="X859" i="80"/>
  <c r="X872" i="80" s="1"/>
  <c r="W850" i="80"/>
  <c r="X122" i="46"/>
  <c r="H872" i="80"/>
  <c r="H860" i="80"/>
  <c r="H851" i="80"/>
  <c r="H122" i="46"/>
  <c r="AM859" i="80"/>
  <c r="AM860" i="80"/>
  <c r="AM851" i="80"/>
  <c r="AL850" i="80"/>
  <c r="AM122" i="46"/>
  <c r="AD854" i="80"/>
  <c r="AD857" i="80"/>
  <c r="AH872" i="80"/>
  <c r="AW872" i="80"/>
  <c r="AW860" i="80"/>
  <c r="AW859" i="80"/>
  <c r="AV850" i="80"/>
  <c r="AW851" i="80"/>
  <c r="AW122" i="46"/>
  <c r="AH871" i="80"/>
  <c r="AO857" i="80"/>
  <c r="AO854" i="80"/>
  <c r="AN857" i="80"/>
  <c r="AN854" i="80"/>
  <c r="AG860" i="80"/>
  <c r="M860" i="80"/>
  <c r="DY839" i="80"/>
  <c r="DS839" i="80"/>
  <c r="X825" i="80"/>
  <c r="AN839" i="80"/>
  <c r="EG821" i="80"/>
  <c r="EG825" i="80" s="1"/>
  <c r="EG839" i="80" s="1"/>
  <c r="AL821" i="80"/>
  <c r="AL825" i="80" s="1"/>
  <c r="AL839" i="80" s="1"/>
  <c r="AM821" i="80"/>
  <c r="EH825" i="80"/>
  <c r="DM821" i="80"/>
  <c r="DM825" i="80" s="1"/>
  <c r="DM839" i="80" s="1"/>
  <c r="R821" i="80"/>
  <c r="R825" i="80" s="1"/>
  <c r="R839" i="80" s="1"/>
  <c r="S821" i="80"/>
  <c r="DN825" i="80"/>
  <c r="DJ839" i="80"/>
  <c r="U780" i="80"/>
  <c r="T774" i="80"/>
  <c r="AM758" i="80"/>
  <c r="AM760" i="80" s="1"/>
  <c r="CG810" i="80"/>
  <c r="BQ763" i="80"/>
  <c r="BI763" i="80"/>
  <c r="BH763" i="80"/>
  <c r="BJ763" i="80"/>
  <c r="BK763" i="80"/>
  <c r="AN753" i="80"/>
  <c r="AN162" i="80" s="1"/>
  <c r="AN742" i="80"/>
  <c r="AQ742" i="80"/>
  <c r="AP742" i="80"/>
  <c r="AO742" i="80"/>
  <c r="AO753" i="80" s="1"/>
  <c r="AO162" i="80" s="1"/>
  <c r="BK821" i="80"/>
  <c r="BK151" i="46" s="1"/>
  <c r="BL151" i="46" s="1"/>
  <c r="AR753" i="80"/>
  <c r="AT719" i="80"/>
  <c r="AA721" i="80"/>
  <c r="AB719" i="80"/>
  <c r="BF753" i="80"/>
  <c r="BF162" i="80" s="1"/>
  <c r="AY753" i="80"/>
  <c r="AY162" i="80" s="1"/>
  <c r="BB162" i="80" s="1"/>
  <c r="AK753" i="80"/>
  <c r="AK162" i="80" s="1"/>
  <c r="BH742" i="80"/>
  <c r="BI742" i="80"/>
  <c r="BQ742" i="80"/>
  <c r="BK742" i="80"/>
  <c r="BJ742" i="80"/>
  <c r="AZ709" i="80"/>
  <c r="AC686" i="80"/>
  <c r="AA696" i="80"/>
  <c r="AB694" i="80"/>
  <c r="AA212" i="80"/>
  <c r="AA659" i="80"/>
  <c r="Z662" i="80"/>
  <c r="Z665" i="80" s="1"/>
  <c r="Z649" i="80"/>
  <c r="AA646" i="80"/>
  <c r="Z638" i="80"/>
  <c r="Z204" i="80" s="1"/>
  <c r="BG686" i="80"/>
  <c r="Z691" i="80"/>
  <c r="AA689" i="80"/>
  <c r="Z211" i="80"/>
  <c r="Y627" i="80"/>
  <c r="AD559" i="80"/>
  <c r="BB536" i="80"/>
  <c r="AA586" i="80"/>
  <c r="AA588" i="80" s="1"/>
  <c r="AA590" i="80" s="1"/>
  <c r="AB583" i="80"/>
  <c r="AB564" i="80"/>
  <c r="BL570" i="80"/>
  <c r="BF570" i="80"/>
  <c r="BE570" i="80" s="1"/>
  <c r="BD570" i="80" s="1"/>
  <c r="BC570" i="80" s="1"/>
  <c r="AC524" i="80"/>
  <c r="Z566" i="80"/>
  <c r="AD525" i="80"/>
  <c r="AE522" i="80"/>
  <c r="AA466" i="80"/>
  <c r="AF465" i="80"/>
  <c r="AK465" i="80" s="1"/>
  <c r="AP465" i="80" s="1"/>
  <c r="AU465" i="80" s="1"/>
  <c r="AZ465" i="80" s="1"/>
  <c r="BE465" i="80" s="1"/>
  <c r="BJ465" i="80" s="1"/>
  <c r="BO465" i="80" s="1"/>
  <c r="AB465" i="80"/>
  <c r="AK469" i="80"/>
  <c r="AK472" i="80" s="1"/>
  <c r="AK475" i="80" s="1"/>
  <c r="AL463" i="80"/>
  <c r="AK466" i="80"/>
  <c r="BP536" i="80"/>
  <c r="AM524" i="80"/>
  <c r="AH520" i="80"/>
  <c r="AB486" i="80"/>
  <c r="AA483" i="80"/>
  <c r="Y466" i="80"/>
  <c r="AN465" i="80"/>
  <c r="AC445" i="80"/>
  <c r="BA443" i="80"/>
  <c r="AZ446" i="80"/>
  <c r="AA446" i="80"/>
  <c r="Z443" i="80"/>
  <c r="AA403" i="80"/>
  <c r="AB382" i="80"/>
  <c r="AB201" i="80" s="1"/>
  <c r="AA390" i="80"/>
  <c r="AG416" i="80"/>
  <c r="AV369" i="80"/>
  <c r="AV372" i="80" s="1"/>
  <c r="AW366" i="80"/>
  <c r="AX366" i="80" s="1"/>
  <c r="BK355" i="80"/>
  <c r="BH355" i="80"/>
  <c r="AL342" i="80"/>
  <c r="AI342" i="80"/>
  <c r="AE325" i="80"/>
  <c r="BP290" i="80"/>
  <c r="BM290" i="80"/>
  <c r="AS369" i="80"/>
  <c r="AW369" i="80" s="1"/>
  <c r="AW368" i="80" s="1"/>
  <c r="AA340" i="80"/>
  <c r="Z343" i="80"/>
  <c r="BE364" i="80"/>
  <c r="BE312" i="80"/>
  <c r="BE299" i="80"/>
  <c r="BE351" i="80"/>
  <c r="BE338" i="80"/>
  <c r="BE325" i="80"/>
  <c r="BD273" i="80"/>
  <c r="BE286" i="80"/>
  <c r="Y635" i="80"/>
  <c r="BK440" i="80"/>
  <c r="BK460" i="80"/>
  <c r="BK95" i="80"/>
  <c r="BK255" i="80" s="1"/>
  <c r="AQ440" i="80"/>
  <c r="AQ448" i="80" s="1"/>
  <c r="AQ460" i="80"/>
  <c r="AQ468" i="80" s="1"/>
  <c r="AQ95" i="80"/>
  <c r="AQ255" i="80" s="1"/>
  <c r="AY413" i="80"/>
  <c r="AY91" i="80"/>
  <c r="AY656" i="80" s="1"/>
  <c r="AE413" i="80"/>
  <c r="AE91" i="80"/>
  <c r="AE656" i="80" s="1"/>
  <c r="AL605" i="80"/>
  <c r="AL519" i="80"/>
  <c r="AL387" i="80"/>
  <c r="AL87" i="80"/>
  <c r="BC499" i="80"/>
  <c r="BC79" i="80"/>
  <c r="AI499" i="80"/>
  <c r="AM77" i="80"/>
  <c r="AI79" i="80"/>
  <c r="AI311" i="80" s="1"/>
  <c r="AP400" i="80"/>
  <c r="AP75" i="80"/>
  <c r="BC480" i="80"/>
  <c r="BG66" i="80"/>
  <c r="BC67" i="80"/>
  <c r="BC257" i="80" s="1"/>
  <c r="AI480" i="80"/>
  <c r="AM66" i="80"/>
  <c r="AM67" i="80" s="1"/>
  <c r="AM257" i="80" s="1"/>
  <c r="AI67" i="80"/>
  <c r="AI257" i="80" s="1"/>
  <c r="BG481" i="80"/>
  <c r="AM73" i="80"/>
  <c r="AM74" i="80"/>
  <c r="AM27" i="73"/>
  <c r="AM461" i="80"/>
  <c r="AM501" i="80"/>
  <c r="CD370" i="80"/>
  <c r="CD369" i="80"/>
  <c r="BJ460" i="80"/>
  <c r="BJ440" i="80"/>
  <c r="AP460" i="80"/>
  <c r="AP468" i="80" s="1"/>
  <c r="AP469" i="80" s="1"/>
  <c r="AP440" i="80"/>
  <c r="AP448" i="80" s="1"/>
  <c r="AQ431" i="80"/>
  <c r="AI431" i="80"/>
  <c r="AT413" i="80"/>
  <c r="AT91" i="80"/>
  <c r="AT656" i="80" s="1"/>
  <c r="BB82" i="80"/>
  <c r="BB83" i="80" s="1"/>
  <c r="AH82" i="80"/>
  <c r="AT499" i="80"/>
  <c r="AT79" i="80"/>
  <c r="AT311" i="80" s="1"/>
  <c r="BC538" i="80"/>
  <c r="AU538" i="80"/>
  <c r="BB73" i="80"/>
  <c r="BB74" i="80"/>
  <c r="BB27" i="73"/>
  <c r="BB427" i="80"/>
  <c r="BB501" i="80"/>
  <c r="AH414" i="80"/>
  <c r="AH501" i="80"/>
  <c r="Z278" i="80"/>
  <c r="Z267" i="80"/>
  <c r="Z200" i="80" s="1"/>
  <c r="AA275" i="80"/>
  <c r="AA679" i="80" s="1"/>
  <c r="Y240" i="80"/>
  <c r="AD657" i="80"/>
  <c r="AH140" i="80"/>
  <c r="AH657" i="80" s="1"/>
  <c r="AS644" i="80"/>
  <c r="AW136" i="80"/>
  <c r="AC136" i="80"/>
  <c r="AC720" i="80" s="1"/>
  <c r="BO715" i="80"/>
  <c r="BN131" i="80"/>
  <c r="AX606" i="80"/>
  <c r="BB86" i="80"/>
  <c r="BB606" i="80" s="1"/>
  <c r="AD606" i="80"/>
  <c r="AH86" i="80"/>
  <c r="AH606" i="80" s="1"/>
  <c r="AU605" i="80"/>
  <c r="AU519" i="80"/>
  <c r="AU387" i="80"/>
  <c r="AU87" i="80"/>
  <c r="BC500" i="80"/>
  <c r="AM78" i="80"/>
  <c r="BF256" i="80"/>
  <c r="AL363" i="80"/>
  <c r="AL350" i="80"/>
  <c r="AL337" i="80"/>
  <c r="AL256" i="80"/>
  <c r="AZ400" i="80"/>
  <c r="AZ75" i="80"/>
  <c r="AD67" i="80"/>
  <c r="AD257" i="80" s="1"/>
  <c r="AQ405" i="80"/>
  <c r="BA618" i="80"/>
  <c r="BA83" i="80"/>
  <c r="BA254" i="80" s="1"/>
  <c r="BA400" i="80"/>
  <c r="BA75" i="80"/>
  <c r="BA363" i="80"/>
  <c r="AW74" i="80"/>
  <c r="AW73" i="80"/>
  <c r="AW27" i="73"/>
  <c r="AS459" i="80"/>
  <c r="AS439" i="80"/>
  <c r="AS426" i="80"/>
  <c r="AS95" i="80"/>
  <c r="AS255" i="80" s="1"/>
  <c r="AW93" i="80"/>
  <c r="AS500" i="80"/>
  <c r="AW78" i="80"/>
  <c r="AW414" i="80"/>
  <c r="AW481" i="80"/>
  <c r="AO460" i="80"/>
  <c r="AO468" i="80" s="1"/>
  <c r="AO469" i="80" s="1"/>
  <c r="AO472" i="80" s="1"/>
  <c r="AO440" i="80"/>
  <c r="AO448" i="80" s="1"/>
  <c r="AJ413" i="80"/>
  <c r="AJ91" i="80"/>
  <c r="AJ656" i="80" s="1"/>
  <c r="AJ618" i="80"/>
  <c r="AJ83" i="80"/>
  <c r="AJ254" i="80" s="1"/>
  <c r="AJ392" i="80"/>
  <c r="Y460" i="80"/>
  <c r="Y440" i="80"/>
  <c r="Y426" i="80"/>
  <c r="Y71" i="80"/>
  <c r="W23" i="80"/>
  <c r="W19" i="46"/>
  <c r="BB67" i="80"/>
  <c r="BB257" i="80" s="1"/>
  <c r="Z533" i="80"/>
  <c r="Z479" i="80"/>
  <c r="Z67" i="80"/>
  <c r="Z257" i="80" s="1"/>
  <c r="Z224" i="80" s="1"/>
  <c r="BE459" i="80"/>
  <c r="BE439" i="80"/>
  <c r="BE426" i="80"/>
  <c r="BE95" i="80"/>
  <c r="BE255" i="80" s="1"/>
  <c r="BE256" i="80"/>
  <c r="AZ533" i="80"/>
  <c r="AZ479" i="80"/>
  <c r="AZ67" i="80"/>
  <c r="AZ257" i="80" s="1"/>
  <c r="AV413" i="80"/>
  <c r="AV91" i="80"/>
  <c r="AV656" i="80" s="1"/>
  <c r="AV337" i="80"/>
  <c r="AV350" i="80"/>
  <c r="AV256" i="80"/>
  <c r="AV363" i="80"/>
  <c r="AV371" i="80" s="1"/>
  <c r="AR74" i="80"/>
  <c r="AR27" i="73"/>
  <c r="AR73" i="80"/>
  <c r="AN413" i="80"/>
  <c r="AN91" i="80"/>
  <c r="AN656" i="80" s="1"/>
  <c r="AR89" i="80"/>
  <c r="AR91" i="80" s="1"/>
  <c r="AR656" i="80" s="1"/>
  <c r="AR69" i="80"/>
  <c r="AN71" i="80"/>
  <c r="AR70" i="80"/>
  <c r="AR427" i="80"/>
  <c r="AR461" i="80"/>
  <c r="X23" i="80"/>
  <c r="X19" i="46"/>
  <c r="AM136" i="80"/>
  <c r="Z618" i="80"/>
  <c r="Z83" i="80"/>
  <c r="BJ67" i="80"/>
  <c r="BJ257" i="80" s="1"/>
  <c r="AY405" i="80"/>
  <c r="AI83" i="80"/>
  <c r="AI254" i="80" s="1"/>
  <c r="BE400" i="80"/>
  <c r="BE75" i="80"/>
  <c r="BI413" i="80"/>
  <c r="BI91" i="80"/>
  <c r="BI656" i="80" s="1"/>
  <c r="AL431" i="80"/>
  <c r="AG460" i="80"/>
  <c r="AG468" i="80" s="1"/>
  <c r="AG440" i="80"/>
  <c r="AG448" i="80" s="1"/>
  <c r="AG71" i="80"/>
  <c r="AI867" i="80"/>
  <c r="BO148" i="80"/>
  <c r="BN147" i="80"/>
  <c r="BO149" i="80"/>
  <c r="BO150" i="80"/>
  <c r="BF67" i="80"/>
  <c r="BF257" i="80" s="1"/>
  <c r="AP538" i="80"/>
  <c r="AE405" i="80"/>
  <c r="AE406" i="80" s="1"/>
  <c r="BJ499" i="80"/>
  <c r="BJ79" i="80"/>
  <c r="BJ605" i="80"/>
  <c r="BJ519" i="80"/>
  <c r="BJ387" i="80"/>
  <c r="BJ87" i="80"/>
  <c r="BH413" i="80"/>
  <c r="BH91" i="80"/>
  <c r="BH656" i="80" s="1"/>
  <c r="BL89" i="80"/>
  <c r="BH81" i="80"/>
  <c r="BH86" i="80"/>
  <c r="BH74" i="80"/>
  <c r="BH85" i="80"/>
  <c r="BH82" i="80"/>
  <c r="BH77" i="80"/>
  <c r="BH78" i="80"/>
  <c r="BH73" i="80"/>
  <c r="AP431" i="80"/>
  <c r="AK618" i="80"/>
  <c r="AK83" i="80"/>
  <c r="AK254" i="80" s="1"/>
  <c r="AK400" i="80"/>
  <c r="AK75" i="80"/>
  <c r="AK337" i="80"/>
  <c r="AK363" i="80"/>
  <c r="AK350" i="80"/>
  <c r="AK256" i="80"/>
  <c r="AF460" i="80"/>
  <c r="AF468" i="80" s="1"/>
  <c r="AF469" i="80" s="1"/>
  <c r="AF440" i="80"/>
  <c r="AF448" i="80" s="1"/>
  <c r="AF605" i="80"/>
  <c r="AF519" i="80"/>
  <c r="AF387" i="80"/>
  <c r="AF87" i="80"/>
  <c r="AF618" i="80"/>
  <c r="AF83" i="80"/>
  <c r="AF254" i="80" s="1"/>
  <c r="Y23" i="80"/>
  <c r="Y19" i="46"/>
  <c r="BP501" i="80"/>
  <c r="BP534" i="80"/>
  <c r="BP461" i="80"/>
  <c r="BP481" i="80"/>
  <c r="BP427" i="80"/>
  <c r="BP401" i="80"/>
  <c r="BP388" i="80"/>
  <c r="BP441" i="80"/>
  <c r="BP414" i="80"/>
  <c r="BP70" i="80"/>
  <c r="BP65" i="80"/>
  <c r="BO51" i="80"/>
  <c r="BP69" i="80"/>
  <c r="BP90" i="80"/>
  <c r="BP89" i="80"/>
  <c r="BP66" i="80"/>
  <c r="BP480" i="80" s="1"/>
  <c r="BP488" i="80" s="1"/>
  <c r="AK28" i="80"/>
  <c r="AK24" i="80"/>
  <c r="N796" i="80"/>
  <c r="N32" i="80"/>
  <c r="N35" i="80" s="1"/>
  <c r="AC865" i="80"/>
  <c r="AC878" i="80" s="1"/>
  <c r="AC24" i="80"/>
  <c r="AC28" i="80"/>
  <c r="AJ796" i="80"/>
  <c r="AJ32" i="80"/>
  <c r="AJ35" i="80" s="1"/>
  <c r="Q28" i="80"/>
  <c r="Q24" i="80"/>
  <c r="AR866" i="80"/>
  <c r="AR27" i="71"/>
  <c r="BZ46" i="73"/>
  <c r="BZ84" i="73" s="1"/>
  <c r="AL865" i="80"/>
  <c r="AL878" i="80" s="1"/>
  <c r="AI28" i="80"/>
  <c r="AI24" i="80"/>
  <c r="AW865" i="80"/>
  <c r="AW878" i="80" s="1"/>
  <c r="AW28" i="80"/>
  <c r="AW24" i="80"/>
  <c r="AE28" i="80"/>
  <c r="AE24" i="80"/>
  <c r="J796" i="80"/>
  <c r="J32" i="80"/>
  <c r="J35" i="80" s="1"/>
  <c r="Z857" i="80"/>
  <c r="Z854" i="80"/>
  <c r="V857" i="80"/>
  <c r="V854" i="80"/>
  <c r="Z872" i="80"/>
  <c r="E857" i="80"/>
  <c r="E854" i="80"/>
  <c r="E872" i="80"/>
  <c r="DI839" i="80"/>
  <c r="N825" i="80"/>
  <c r="AO839" i="80"/>
  <c r="EL821" i="80"/>
  <c r="EL825" i="80" s="1"/>
  <c r="EL839" i="80" s="1"/>
  <c r="AR821" i="80"/>
  <c r="AQ821" i="80"/>
  <c r="AQ825" i="80" s="1"/>
  <c r="AQ839" i="80" s="1"/>
  <c r="EK839" i="80"/>
  <c r="EC839" i="80"/>
  <c r="AH825" i="80"/>
  <c r="DG825" i="80"/>
  <c r="DG839" i="80" s="1"/>
  <c r="BJ799" i="80"/>
  <c r="K774" i="80"/>
  <c r="L780" i="80"/>
  <c r="L768" i="80"/>
  <c r="L770" i="80" s="1"/>
  <c r="M779" i="80" s="1"/>
  <c r="AZ764" i="80"/>
  <c r="AZ14" i="80"/>
  <c r="AP753" i="80"/>
  <c r="AP162" i="80" s="1"/>
  <c r="AN779" i="80"/>
  <c r="AD779" i="80"/>
  <c r="BE764" i="80"/>
  <c r="BE14" i="80"/>
  <c r="P780" i="80"/>
  <c r="O774" i="80"/>
  <c r="O780" i="80" s="1"/>
  <c r="AQ753" i="80"/>
  <c r="AQ162" i="80" s="1"/>
  <c r="O772" i="80"/>
  <c r="O768" i="80" s="1"/>
  <c r="O770" i="80" s="1"/>
  <c r="P768" i="80"/>
  <c r="P770" i="80" s="1"/>
  <c r="Q779" i="80" s="1"/>
  <c r="BQ751" i="80"/>
  <c r="BI751" i="80"/>
  <c r="BI753" i="80" s="1"/>
  <c r="BI162" i="80" s="1"/>
  <c r="BL753" i="80"/>
  <c r="BK751" i="80"/>
  <c r="BK753" i="80" s="1"/>
  <c r="BK162" i="80" s="1"/>
  <c r="BJ751" i="80"/>
  <c r="BJ753" i="80" s="1"/>
  <c r="BJ162" i="80" s="1"/>
  <c r="BH751" i="80"/>
  <c r="BH753" i="80" s="1"/>
  <c r="BH162" i="80" s="1"/>
  <c r="BL162" i="80" s="1"/>
  <c r="E772" i="80"/>
  <c r="E768" i="80" s="1"/>
  <c r="E770" i="80" s="1"/>
  <c r="F768" i="80"/>
  <c r="F770" i="80" s="1"/>
  <c r="G779" i="80" s="1"/>
  <c r="BI686" i="80"/>
  <c r="BI210" i="80"/>
  <c r="BO679" i="80"/>
  <c r="BN209" i="80"/>
  <c r="AG661" i="80"/>
  <c r="AD661" i="80"/>
  <c r="AE661" i="80" s="1"/>
  <c r="AJ661" i="80" s="1"/>
  <c r="AO661" i="80" s="1"/>
  <c r="AT661" i="80" s="1"/>
  <c r="AY661" i="80" s="1"/>
  <c r="BD661" i="80" s="1"/>
  <c r="BI661" i="80" s="1"/>
  <c r="BN661" i="80" s="1"/>
  <c r="BL520" i="80"/>
  <c r="AR520" i="80"/>
  <c r="AF505" i="80"/>
  <c r="AB505" i="80"/>
  <c r="AG505" i="80" s="1"/>
  <c r="AL505" i="80" s="1"/>
  <c r="AQ505" i="80" s="1"/>
  <c r="AV505" i="80" s="1"/>
  <c r="BA505" i="80" s="1"/>
  <c r="BF505" i="80" s="1"/>
  <c r="BK505" i="80" s="1"/>
  <c r="BP505" i="80" s="1"/>
  <c r="AH536" i="80"/>
  <c r="AI536" i="80" s="1"/>
  <c r="BG520" i="80"/>
  <c r="AM520" i="80"/>
  <c r="Z588" i="80"/>
  <c r="Z590" i="80" s="1"/>
  <c r="AM558" i="80"/>
  <c r="AG558" i="80"/>
  <c r="AF558" i="80" s="1"/>
  <c r="AE558" i="80" s="1"/>
  <c r="AD558" i="80" s="1"/>
  <c r="BQ520" i="80"/>
  <c r="AW520" i="80"/>
  <c r="AC520" i="80"/>
  <c r="AA522" i="80"/>
  <c r="AB525" i="80"/>
  <c r="AB528" i="80" s="1"/>
  <c r="AE486" i="80"/>
  <c r="AF483" i="80"/>
  <c r="AZ463" i="80"/>
  <c r="AY466" i="80"/>
  <c r="AG463" i="80"/>
  <c r="AF466" i="80"/>
  <c r="AR524" i="80"/>
  <c r="AS524" i="80"/>
  <c r="AA503" i="80"/>
  <c r="AB506" i="80"/>
  <c r="AT471" i="80"/>
  <c r="AE368" i="80"/>
  <c r="AD369" i="80"/>
  <c r="AN445" i="80"/>
  <c r="AM445" i="80"/>
  <c r="AF429" i="80"/>
  <c r="AD382" i="80"/>
  <c r="AD201" i="80" s="1"/>
  <c r="AE390" i="80"/>
  <c r="AB369" i="80"/>
  <c r="AC353" i="80"/>
  <c r="AD353" i="80" s="1"/>
  <c r="AB356" i="80"/>
  <c r="AC356" i="80" s="1"/>
  <c r="AC355" i="80" s="1"/>
  <c r="Y416" i="80"/>
  <c r="BM316" i="80"/>
  <c r="BP316" i="80"/>
  <c r="AF403" i="80"/>
  <c r="BP342" i="80"/>
  <c r="BM342" i="80"/>
  <c r="AZ338" i="80"/>
  <c r="AZ286" i="80"/>
  <c r="AZ364" i="80"/>
  <c r="AY273" i="80"/>
  <c r="AZ325" i="80"/>
  <c r="AZ312" i="80"/>
  <c r="AZ351" i="80"/>
  <c r="AZ299" i="80"/>
  <c r="BP338" i="80"/>
  <c r="BP286" i="80"/>
  <c r="BP364" i="80"/>
  <c r="BP351" i="80"/>
  <c r="BP325" i="80"/>
  <c r="BO273" i="80"/>
  <c r="BP312" i="80"/>
  <c r="BP299" i="80"/>
  <c r="AE314" i="80"/>
  <c r="AD317" i="80"/>
  <c r="AD351" i="80"/>
  <c r="AD325" i="80"/>
  <c r="AD333" i="80" s="1"/>
  <c r="AD364" i="80"/>
  <c r="AD299" i="80"/>
  <c r="AD338" i="80"/>
  <c r="AD312" i="80"/>
  <c r="AD320" i="80" s="1"/>
  <c r="AD286" i="80"/>
  <c r="BC440" i="80"/>
  <c r="BC460" i="80"/>
  <c r="BG94" i="80"/>
  <c r="BC95" i="80"/>
  <c r="BC255" i="80" s="1"/>
  <c r="AI440" i="80"/>
  <c r="AI460" i="80"/>
  <c r="AM94" i="80"/>
  <c r="AM95" i="80" s="1"/>
  <c r="AM255" i="80" s="1"/>
  <c r="AI95" i="80"/>
  <c r="AI255" i="80" s="1"/>
  <c r="AU413" i="80"/>
  <c r="AU91" i="80"/>
  <c r="AU656" i="80" s="1"/>
  <c r="AX605" i="80"/>
  <c r="AX519" i="80"/>
  <c r="AX387" i="80"/>
  <c r="BB85" i="80"/>
  <c r="AX87" i="80"/>
  <c r="AY499" i="80"/>
  <c r="AY79" i="80"/>
  <c r="AE499" i="80"/>
  <c r="AE79" i="80"/>
  <c r="AE311" i="80" s="1"/>
  <c r="AL400" i="80"/>
  <c r="AL75" i="80"/>
  <c r="AY480" i="80"/>
  <c r="AY488" i="80" s="1"/>
  <c r="AY67" i="80"/>
  <c r="AY257" i="80" s="1"/>
  <c r="AE480" i="80"/>
  <c r="AE488" i="80" s="1"/>
  <c r="AE489" i="80" s="1"/>
  <c r="AE494" i="80" s="1"/>
  <c r="AE67" i="80"/>
  <c r="AE257" i="80" s="1"/>
  <c r="AM388" i="80"/>
  <c r="AM414" i="80"/>
  <c r="AM481" i="80"/>
  <c r="BF460" i="80"/>
  <c r="BF440" i="80"/>
  <c r="AL460" i="80"/>
  <c r="AL468" i="80" s="1"/>
  <c r="AL440" i="80"/>
  <c r="AL448" i="80" s="1"/>
  <c r="AU431" i="80"/>
  <c r="BJ413" i="80"/>
  <c r="BJ91" i="80"/>
  <c r="BJ656" i="80" s="1"/>
  <c r="AP413" i="80"/>
  <c r="AP91" i="80"/>
  <c r="AP656" i="80" s="1"/>
  <c r="BK618" i="80"/>
  <c r="BK83" i="80"/>
  <c r="BK254" i="80" s="1"/>
  <c r="AP499" i="80"/>
  <c r="AP79" i="80"/>
  <c r="AP311" i="80" s="1"/>
  <c r="AP488" i="80"/>
  <c r="BK538" i="80"/>
  <c r="AI538" i="80"/>
  <c r="BB414" i="80"/>
  <c r="BB461" i="80"/>
  <c r="BB534" i="80"/>
  <c r="AH73" i="80"/>
  <c r="AH74" i="80"/>
  <c r="AH27" i="73"/>
  <c r="AH427" i="80"/>
  <c r="AH441" i="80"/>
  <c r="AD303" i="80"/>
  <c r="AG303" i="80"/>
  <c r="AU372" i="80"/>
  <c r="BK715" i="80"/>
  <c r="BJ131" i="80"/>
  <c r="BK605" i="80"/>
  <c r="BK519" i="80"/>
  <c r="BK387" i="80"/>
  <c r="BK87" i="80"/>
  <c r="AQ605" i="80"/>
  <c r="AQ519" i="80"/>
  <c r="AQ387" i="80"/>
  <c r="AQ87" i="80"/>
  <c r="AY508" i="80"/>
  <c r="AM500" i="80"/>
  <c r="BK400" i="80"/>
  <c r="BK75" i="80"/>
  <c r="AX71" i="80"/>
  <c r="BB69" i="80"/>
  <c r="AD71" i="80"/>
  <c r="AH69" i="80"/>
  <c r="AH71" i="80" s="1"/>
  <c r="BE144" i="80"/>
  <c r="BD143" i="80"/>
  <c r="AN500" i="80"/>
  <c r="AR78" i="80"/>
  <c r="AJ400" i="80"/>
  <c r="AJ75" i="80"/>
  <c r="AL67" i="80"/>
  <c r="AL257" i="80" s="1"/>
  <c r="BI86" i="80"/>
  <c r="BI606" i="80" s="1"/>
  <c r="BI74" i="80"/>
  <c r="BI85" i="80"/>
  <c r="BI78" i="80"/>
  <c r="BI500" i="80" s="1"/>
  <c r="BI73" i="80"/>
  <c r="BI81" i="80"/>
  <c r="BI77" i="80"/>
  <c r="BI82" i="80"/>
  <c r="BA459" i="80"/>
  <c r="BA439" i="80"/>
  <c r="BB439" i="80" s="1"/>
  <c r="BA426" i="80"/>
  <c r="BA95" i="80"/>
  <c r="BA255" i="80" s="1"/>
  <c r="AS479" i="80"/>
  <c r="AS533" i="80"/>
  <c r="AS67" i="80"/>
  <c r="AS257" i="80" s="1"/>
  <c r="AW65" i="80"/>
  <c r="AW67" i="80" s="1"/>
  <c r="AW257" i="80" s="1"/>
  <c r="AS413" i="80"/>
  <c r="AS91" i="80"/>
  <c r="AS656" i="80" s="1"/>
  <c r="AW89" i="80"/>
  <c r="AS605" i="80"/>
  <c r="AS519" i="80"/>
  <c r="AS387" i="80"/>
  <c r="AW85" i="80"/>
  <c r="AS87" i="80"/>
  <c r="AS606" i="80"/>
  <c r="AW86" i="80"/>
  <c r="AW606" i="80" s="1"/>
  <c r="AW427" i="80"/>
  <c r="AW501" i="80"/>
  <c r="AO618" i="80"/>
  <c r="AO83" i="80"/>
  <c r="AO254" i="80" s="1"/>
  <c r="AO400" i="80"/>
  <c r="AO75" i="80"/>
  <c r="AO71" i="80"/>
  <c r="AJ460" i="80"/>
  <c r="AJ468" i="80" s="1"/>
  <c r="AJ469" i="80" s="1"/>
  <c r="AJ472" i="80" s="1"/>
  <c r="AJ475" i="80" s="1"/>
  <c r="AJ440" i="80"/>
  <c r="AJ448" i="80" s="1"/>
  <c r="AJ606" i="80"/>
  <c r="AJ87" i="80"/>
  <c r="AJ439" i="80"/>
  <c r="AJ426" i="80"/>
  <c r="AJ459" i="80"/>
  <c r="AJ95" i="80"/>
  <c r="AJ255" i="80" s="1"/>
  <c r="Y618" i="80"/>
  <c r="Y626" i="80" s="1"/>
  <c r="Y83" i="80"/>
  <c r="Y400" i="80"/>
  <c r="Y75" i="80"/>
  <c r="AP19" i="46"/>
  <c r="AP23" i="80"/>
  <c r="R19" i="80"/>
  <c r="R10" i="80"/>
  <c r="BJ618" i="80"/>
  <c r="BJ83" i="80"/>
  <c r="BJ254" i="80" s="1"/>
  <c r="BC350" i="80"/>
  <c r="BC363" i="80"/>
  <c r="BC337" i="80"/>
  <c r="BC256" i="80"/>
  <c r="AT67" i="80"/>
  <c r="AT257" i="80" s="1"/>
  <c r="AU643" i="80"/>
  <c r="AU298" i="80"/>
  <c r="AU253" i="80"/>
  <c r="AU285" i="80"/>
  <c r="BF499" i="80"/>
  <c r="BF79" i="80"/>
  <c r="BF605" i="80"/>
  <c r="BF519" i="80"/>
  <c r="BF387" i="80"/>
  <c r="BF87" i="80"/>
  <c r="BE413" i="80"/>
  <c r="BE91" i="80"/>
  <c r="BE656" i="80" s="1"/>
  <c r="AZ413" i="80"/>
  <c r="AZ91" i="80"/>
  <c r="AZ656" i="80" s="1"/>
  <c r="AZ337" i="80"/>
  <c r="AZ350" i="80"/>
  <c r="AZ256" i="80"/>
  <c r="AZ363" i="80"/>
  <c r="AV488" i="80"/>
  <c r="AV460" i="80"/>
  <c r="AV468" i="80" s="1"/>
  <c r="AV469" i="80" s="1"/>
  <c r="AV440" i="80"/>
  <c r="AV448" i="80" s="1"/>
  <c r="AV618" i="80"/>
  <c r="AV83" i="80"/>
  <c r="AV254" i="80" s="1"/>
  <c r="AN480" i="80"/>
  <c r="AR66" i="80"/>
  <c r="AN460" i="80"/>
  <c r="AN440" i="80"/>
  <c r="AR94" i="80"/>
  <c r="AN618" i="80"/>
  <c r="AR81" i="80"/>
  <c r="AN83" i="80"/>
  <c r="AN254" i="80" s="1"/>
  <c r="AR441" i="80"/>
  <c r="AR481" i="80"/>
  <c r="P796" i="80"/>
  <c r="P32" i="80"/>
  <c r="P35" i="80" s="1"/>
  <c r="AJ867" i="80"/>
  <c r="AG757" i="80"/>
  <c r="AG15" i="80"/>
  <c r="AG19" i="80" s="1"/>
  <c r="AI71" i="80"/>
  <c r="AM81" i="80"/>
  <c r="AB501" i="80"/>
  <c r="AB534" i="80"/>
  <c r="AB481" i="80"/>
  <c r="AB461" i="80"/>
  <c r="AB441" i="80"/>
  <c r="AB414" i="80"/>
  <c r="AB401" i="80"/>
  <c r="AB388" i="80"/>
  <c r="AB427" i="80"/>
  <c r="AB93" i="80"/>
  <c r="AB81" i="80"/>
  <c r="AB70" i="80"/>
  <c r="AB65" i="80"/>
  <c r="AB86" i="80"/>
  <c r="AB606" i="80" s="1"/>
  <c r="AB85" i="80"/>
  <c r="AB74" i="80"/>
  <c r="AB69" i="80"/>
  <c r="AB90" i="80"/>
  <c r="AB94" i="80"/>
  <c r="AB89" i="80"/>
  <c r="AB82" i="80"/>
  <c r="AB499" i="80" s="1"/>
  <c r="AB77" i="80"/>
  <c r="AB66" i="80"/>
  <c r="AB480" i="80" s="1"/>
  <c r="AB488" i="80" s="1"/>
  <c r="AB489" i="80" s="1"/>
  <c r="AB78" i="80"/>
  <c r="AB73" i="80"/>
  <c r="BI479" i="80"/>
  <c r="BI533" i="80"/>
  <c r="BI67" i="80"/>
  <c r="BI257" i="80" s="1"/>
  <c r="BI460" i="80"/>
  <c r="BI440" i="80"/>
  <c r="BD488" i="80"/>
  <c r="BD71" i="80"/>
  <c r="BG69" i="80"/>
  <c r="BG71" i="80" s="1"/>
  <c r="BD439" i="80"/>
  <c r="BD426" i="80"/>
  <c r="BG426" i="80" s="1"/>
  <c r="BD459" i="80"/>
  <c r="BD95" i="80"/>
  <c r="BD255" i="80" s="1"/>
  <c r="AG618" i="80"/>
  <c r="AG83" i="80"/>
  <c r="AG254" i="80" s="1"/>
  <c r="AG400" i="80"/>
  <c r="AG75" i="80"/>
  <c r="AE324" i="80"/>
  <c r="AX538" i="80"/>
  <c r="Z71" i="80"/>
  <c r="Z459" i="80"/>
  <c r="Z439" i="80"/>
  <c r="Z95" i="80"/>
  <c r="Z255" i="80" s="1"/>
  <c r="Z223" i="80" s="1"/>
  <c r="Z413" i="80"/>
  <c r="Z91" i="80"/>
  <c r="Z656" i="80" s="1"/>
  <c r="Z664" i="80" s="1"/>
  <c r="Z666" i="80" s="1"/>
  <c r="BH460" i="80"/>
  <c r="BH440" i="80"/>
  <c r="BL94" i="80"/>
  <c r="BH533" i="80"/>
  <c r="BH479" i="80"/>
  <c r="BL65" i="80"/>
  <c r="BH67" i="80"/>
  <c r="BH257" i="80" s="1"/>
  <c r="BB93" i="80"/>
  <c r="BB459" i="80"/>
  <c r="AT474" i="80"/>
  <c r="AK459" i="80"/>
  <c r="AK439" i="80"/>
  <c r="AK426" i="80"/>
  <c r="AK95" i="80"/>
  <c r="AK255" i="80" s="1"/>
  <c r="AF499" i="80"/>
  <c r="AF79" i="80"/>
  <c r="AF311" i="80" s="1"/>
  <c r="AF439" i="80"/>
  <c r="AF426" i="80"/>
  <c r="AF459" i="80"/>
  <c r="AF95" i="80"/>
  <c r="AF255" i="80" s="1"/>
  <c r="AU23" i="80"/>
  <c r="AU19" i="46"/>
  <c r="AS761" i="80"/>
  <c r="BE488" i="80"/>
  <c r="AH865" i="80"/>
  <c r="AH878" i="80" s="1"/>
  <c r="AH28" i="80"/>
  <c r="AH24" i="80"/>
  <c r="AO79" i="80"/>
  <c r="AO311" i="80" s="1"/>
  <c r="Z796" i="80"/>
  <c r="Z32" i="80"/>
  <c r="Z35" i="80" s="1"/>
  <c r="AX83" i="80"/>
  <c r="AX254" i="80" s="1"/>
  <c r="AT28" i="80"/>
  <c r="AT24" i="80"/>
  <c r="AG79" i="80"/>
  <c r="AG311" i="80" s="1"/>
  <c r="AO42" i="80"/>
  <c r="AO37" i="80"/>
  <c r="AO43" i="80" s="1"/>
  <c r="AE854" i="80"/>
  <c r="AE857" i="80"/>
  <c r="T872" i="80"/>
  <c r="T859" i="80"/>
  <c r="T851" i="80"/>
  <c r="T122" i="46"/>
  <c r="Y851" i="80"/>
  <c r="Y857" i="80"/>
  <c r="Y854" i="80"/>
  <c r="AH851" i="80"/>
  <c r="AD860" i="80"/>
  <c r="V872" i="80"/>
  <c r="AD871" i="80"/>
  <c r="AO860" i="80"/>
  <c r="AJ857" i="80"/>
  <c r="AJ854" i="80"/>
  <c r="K872" i="80"/>
  <c r="K859" i="80"/>
  <c r="K860" i="80"/>
  <c r="K851" i="80"/>
  <c r="K122" i="46"/>
  <c r="K129" i="46" s="1"/>
  <c r="K132" i="46" s="1"/>
  <c r="K133" i="46" s="1"/>
  <c r="AN860" i="80"/>
  <c r="M857" i="80"/>
  <c r="AE872" i="80"/>
  <c r="AE860" i="80"/>
  <c r="AE851" i="80"/>
  <c r="AE122" i="46"/>
  <c r="AJ821" i="80"/>
  <c r="AJ825" i="80" s="1"/>
  <c r="AJ839" i="80" s="1"/>
  <c r="AI821" i="80"/>
  <c r="AI825" i="80" s="1"/>
  <c r="AI839" i="80" s="1"/>
  <c r="EI839" i="80"/>
  <c r="J857" i="80"/>
  <c r="J854" i="80"/>
  <c r="AF872" i="80"/>
  <c r="AF860" i="80"/>
  <c r="AF859" i="80"/>
  <c r="AF851" i="80"/>
  <c r="AF122" i="46"/>
  <c r="P859" i="80"/>
  <c r="P851" i="80" s="1"/>
  <c r="P122" i="46"/>
  <c r="P129" i="46" s="1"/>
  <c r="P132" i="46" s="1"/>
  <c r="P133" i="46" s="1"/>
  <c r="M871" i="80"/>
  <c r="Q857" i="80"/>
  <c r="Q851" i="80"/>
  <c r="Q854" i="80"/>
  <c r="BA853" i="80"/>
  <c r="AD851" i="80"/>
  <c r="J851" i="80"/>
  <c r="AB871" i="80"/>
  <c r="N854" i="80"/>
  <c r="N857" i="80"/>
  <c r="E851" i="80"/>
  <c r="AT872" i="80"/>
  <c r="AH860" i="80"/>
  <c r="N860" i="80"/>
  <c r="J872" i="80"/>
  <c r="AC857" i="80"/>
  <c r="AC851" i="80"/>
  <c r="AC854" i="80"/>
  <c r="Y872" i="80"/>
  <c r="Q860" i="80"/>
  <c r="AT871" i="80"/>
  <c r="Z871" i="80"/>
  <c r="F871" i="80"/>
  <c r="AJ860" i="80"/>
  <c r="AS857" i="80"/>
  <c r="AS854" i="80"/>
  <c r="AS872" i="80"/>
  <c r="AI854" i="80"/>
  <c r="AI857" i="80"/>
  <c r="M872" i="80"/>
  <c r="AR873" i="80"/>
  <c r="AR860" i="80"/>
  <c r="AR859" i="80"/>
  <c r="AQ850" i="80"/>
  <c r="AR122" i="46"/>
  <c r="AE871" i="80"/>
  <c r="AU860" i="80"/>
  <c r="AK857" i="80"/>
  <c r="AK854" i="80"/>
  <c r="AK872" i="80"/>
  <c r="AV837" i="80"/>
  <c r="AV807" i="80"/>
  <c r="DE825" i="80"/>
  <c r="DE839" i="80" s="1"/>
  <c r="DO839" i="80"/>
  <c r="ER825" i="80"/>
  <c r="DW821" i="80"/>
  <c r="DW825" i="80" s="1"/>
  <c r="DW839" i="80" s="1"/>
  <c r="AC821" i="80"/>
  <c r="AB821" i="80"/>
  <c r="AB825" i="80" s="1"/>
  <c r="AB839" i="80" s="1"/>
  <c r="DH821" i="80"/>
  <c r="DH825" i="80" s="1"/>
  <c r="DH839" i="80" s="1"/>
  <c r="N821" i="80"/>
  <c r="M821" i="80"/>
  <c r="M825" i="80" s="1"/>
  <c r="M839" i="80" s="1"/>
  <c r="DF825" i="80"/>
  <c r="DF839" i="80" s="1"/>
  <c r="AT780" i="80"/>
  <c r="AU774" i="80"/>
  <c r="AT768" i="80"/>
  <c r="AT770" i="80" s="1"/>
  <c r="Z779" i="80"/>
  <c r="V824" i="80"/>
  <c r="V825" i="80" s="1"/>
  <c r="V839" i="80" s="1"/>
  <c r="BF824" i="80"/>
  <c r="BF155" i="46" s="1"/>
  <c r="BG155" i="46" s="1"/>
  <c r="EM825" i="80"/>
  <c r="EA825" i="80"/>
  <c r="EA839" i="80" s="1"/>
  <c r="DB839" i="80"/>
  <c r="DB842" i="80" s="1"/>
  <c r="BE823" i="80"/>
  <c r="BE154" i="46" s="1"/>
  <c r="DZ825" i="80"/>
  <c r="DZ839" i="80" s="1"/>
  <c r="DC821" i="80"/>
  <c r="DC825" i="80" s="1"/>
  <c r="DC839" i="80" s="1"/>
  <c r="DC842" i="80" s="1"/>
  <c r="I821" i="80"/>
  <c r="H821" i="80"/>
  <c r="H825" i="80" s="1"/>
  <c r="H839" i="80" s="1"/>
  <c r="DA825" i="80"/>
  <c r="DA839" i="80" s="1"/>
  <c r="DA842" i="80" s="1"/>
  <c r="BO824" i="80"/>
  <c r="BO155" i="46" s="1"/>
  <c r="EB821" i="80"/>
  <c r="EB825" i="80" s="1"/>
  <c r="EB839" i="80" s="1"/>
  <c r="AH821" i="80"/>
  <c r="AG821" i="80"/>
  <c r="AG825" i="80" s="1"/>
  <c r="AG839" i="80" s="1"/>
  <c r="DQ825" i="80"/>
  <c r="DQ839" i="80" s="1"/>
  <c r="BE821" i="80"/>
  <c r="BE151" i="46" s="1"/>
  <c r="BN799" i="80"/>
  <c r="BA780" i="80"/>
  <c r="BA764" i="80"/>
  <c r="BA14" i="80"/>
  <c r="AS751" i="80"/>
  <c r="AS753" i="80" s="1"/>
  <c r="AS162" i="80" s="1"/>
  <c r="AU751" i="80"/>
  <c r="AU753" i="80" s="1"/>
  <c r="AU162" i="80" s="1"/>
  <c r="AT751" i="80"/>
  <c r="AT753" i="80" s="1"/>
  <c r="AT162" i="80" s="1"/>
  <c r="AW753" i="80"/>
  <c r="AV751" i="80"/>
  <c r="AV753" i="80" s="1"/>
  <c r="AV162" i="80" s="1"/>
  <c r="N761" i="80"/>
  <c r="CE804" i="80"/>
  <c r="CE803" i="80"/>
  <c r="CE802" i="80"/>
  <c r="CE799" i="80"/>
  <c r="CE797" i="80"/>
  <c r="CE793" i="80"/>
  <c r="CE776" i="80"/>
  <c r="CE806" i="80"/>
  <c r="CE796" i="80"/>
  <c r="CE792" i="80"/>
  <c r="CE777" i="80"/>
  <c r="CF811" i="80"/>
  <c r="CE800" i="80"/>
  <c r="CE798" i="80"/>
  <c r="CE795" i="80"/>
  <c r="CE801" i="80"/>
  <c r="CE794" i="80"/>
  <c r="CE775" i="80"/>
  <c r="CE778" i="80"/>
  <c r="CE791" i="80"/>
  <c r="CE789" i="80"/>
  <c r="CE787" i="80"/>
  <c r="CE785" i="80"/>
  <c r="CE783" i="80"/>
  <c r="CE781" i="80"/>
  <c r="CE779" i="80"/>
  <c r="CE790" i="80"/>
  <c r="CE788" i="80"/>
  <c r="CE786" i="80"/>
  <c r="CE784" i="80"/>
  <c r="CE782" i="80"/>
  <c r="CE780" i="80"/>
  <c r="BC753" i="80"/>
  <c r="BC162" i="80" s="1"/>
  <c r="BG162" i="80" s="1"/>
  <c r="BE753" i="80"/>
  <c r="BE162" i="80" s="1"/>
  <c r="AI753" i="80"/>
  <c r="AI162" i="80" s="1"/>
  <c r="AM162" i="80" s="1"/>
  <c r="BG721" i="80"/>
  <c r="BI721" i="80"/>
  <c r="BJ719" i="80"/>
  <c r="BC706" i="80"/>
  <c r="BD704" i="80"/>
  <c r="BG691" i="80"/>
  <c r="AV711" i="80"/>
  <c r="AW710" i="80"/>
  <c r="BL686" i="80"/>
  <c r="BH705" i="80"/>
  <c r="BI705" i="80" s="1"/>
  <c r="BJ705" i="80" s="1"/>
  <c r="BK705" i="80" s="1"/>
  <c r="BG705" i="80"/>
  <c r="BN689" i="80"/>
  <c r="BM211" i="80"/>
  <c r="Y639" i="80"/>
  <c r="AA709" i="80"/>
  <c r="Z711" i="80"/>
  <c r="BO684" i="80"/>
  <c r="BN210" i="80"/>
  <c r="AA608" i="80"/>
  <c r="Z611" i="80"/>
  <c r="Z600" i="80"/>
  <c r="Z203" i="80" s="1"/>
  <c r="Z624" i="80"/>
  <c r="Z627" i="80" s="1"/>
  <c r="AA621" i="80"/>
  <c r="AD610" i="80"/>
  <c r="AE610" i="80" s="1"/>
  <c r="AJ610" i="80" s="1"/>
  <c r="AO610" i="80" s="1"/>
  <c r="AT610" i="80" s="1"/>
  <c r="AY610" i="80" s="1"/>
  <c r="BD610" i="80" s="1"/>
  <c r="BI610" i="80" s="1"/>
  <c r="BN610" i="80" s="1"/>
  <c r="AG610" i="80"/>
  <c r="AM582" i="80"/>
  <c r="AG582" i="80"/>
  <c r="AF582" i="80" s="1"/>
  <c r="AE582" i="80" s="1"/>
  <c r="AD582" i="80" s="1"/>
  <c r="BJ536" i="80"/>
  <c r="Y601" i="80"/>
  <c r="Y536" i="80"/>
  <c r="AU469" i="80"/>
  <c r="AU466" i="80"/>
  <c r="AE503" i="80"/>
  <c r="AD506" i="80"/>
  <c r="AC465" i="80"/>
  <c r="AM485" i="80"/>
  <c r="AN485" i="80"/>
  <c r="AE466" i="80"/>
  <c r="AH445" i="80"/>
  <c r="BB429" i="80"/>
  <c r="BC429" i="80" s="1"/>
  <c r="AM366" i="80"/>
  <c r="AC288" i="80"/>
  <c r="AD288" i="80" s="1"/>
  <c r="AB291" i="80"/>
  <c r="AL351" i="80"/>
  <c r="AL325" i="80"/>
  <c r="AL364" i="80"/>
  <c r="AL338" i="80"/>
  <c r="AL312" i="80"/>
  <c r="AL286" i="80"/>
  <c r="AK273" i="80"/>
  <c r="AL299" i="80"/>
  <c r="Z369" i="80"/>
  <c r="AC369" i="80" s="1"/>
  <c r="AG355" i="80"/>
  <c r="AD355" i="80"/>
  <c r="AE355" i="80" s="1"/>
  <c r="AJ355" i="80" s="1"/>
  <c r="AO355" i="80" s="1"/>
  <c r="AL316" i="80"/>
  <c r="AQ316" i="80" s="1"/>
  <c r="AI316" i="80"/>
  <c r="AI290" i="80"/>
  <c r="AL290" i="80"/>
  <c r="AQ290" i="80" s="1"/>
  <c r="AQ338" i="80"/>
  <c r="AQ351" i="80"/>
  <c r="AQ364" i="80"/>
  <c r="AQ325" i="80"/>
  <c r="AP273" i="80"/>
  <c r="AQ312" i="80"/>
  <c r="AQ286" i="80"/>
  <c r="AQ299" i="80"/>
  <c r="AB333" i="80"/>
  <c r="AA325" i="80"/>
  <c r="BF715" i="80"/>
  <c r="BE131" i="80"/>
  <c r="AY440" i="80"/>
  <c r="AY448" i="80" s="1"/>
  <c r="AY449" i="80" s="1"/>
  <c r="AY460" i="80"/>
  <c r="AY468" i="80" s="1"/>
  <c r="AY469" i="80" s="1"/>
  <c r="AY95" i="80"/>
  <c r="AY255" i="80" s="1"/>
  <c r="AE440" i="80"/>
  <c r="AE448" i="80" s="1"/>
  <c r="AE449" i="80" s="1"/>
  <c r="AE460" i="80"/>
  <c r="AE468" i="80" s="1"/>
  <c r="AE469" i="80" s="1"/>
  <c r="AE472" i="80" s="1"/>
  <c r="AE475" i="80" s="1"/>
  <c r="AE426" i="80"/>
  <c r="AE95" i="80"/>
  <c r="AE255" i="80" s="1"/>
  <c r="BK413" i="80"/>
  <c r="BK91" i="80"/>
  <c r="BK656" i="80" s="1"/>
  <c r="AQ413" i="80"/>
  <c r="AQ91" i="80"/>
  <c r="AQ656" i="80" s="1"/>
  <c r="AT605" i="80"/>
  <c r="AT519" i="80"/>
  <c r="AT387" i="80"/>
  <c r="AT87" i="80"/>
  <c r="AX500" i="80"/>
  <c r="BB78" i="80"/>
  <c r="AD500" i="80"/>
  <c r="AH78" i="80"/>
  <c r="AU499" i="80"/>
  <c r="AU79" i="80"/>
  <c r="AU311" i="80" s="1"/>
  <c r="AX400" i="80"/>
  <c r="AX75" i="80"/>
  <c r="AD400" i="80"/>
  <c r="AD75" i="80"/>
  <c r="AU480" i="80"/>
  <c r="AU488" i="80" s="1"/>
  <c r="AU67" i="80"/>
  <c r="AU257" i="80" s="1"/>
  <c r="BG534" i="80"/>
  <c r="AM401" i="80"/>
  <c r="AM427" i="80"/>
  <c r="AF23" i="80"/>
  <c r="AF19" i="46"/>
  <c r="BP303" i="80"/>
  <c r="BM303" i="80"/>
  <c r="AX460" i="80"/>
  <c r="AX440" i="80"/>
  <c r="BB94" i="80"/>
  <c r="AD460" i="80"/>
  <c r="AD440" i="80"/>
  <c r="AH94" i="80"/>
  <c r="AH95" i="80" s="1"/>
  <c r="AH255" i="80" s="1"/>
  <c r="BG95" i="80"/>
  <c r="BG255" i="80" s="1"/>
  <c r="AY431" i="80"/>
  <c r="AY432" i="80" s="1"/>
  <c r="AY434" i="80" s="1"/>
  <c r="AM459" i="80"/>
  <c r="BF413" i="80"/>
  <c r="BF91" i="80"/>
  <c r="BF656" i="80" s="1"/>
  <c r="AL413" i="80"/>
  <c r="AL91" i="80"/>
  <c r="AL656" i="80" s="1"/>
  <c r="BC618" i="80"/>
  <c r="BC83" i="80"/>
  <c r="BC254" i="80" s="1"/>
  <c r="AL499" i="80"/>
  <c r="AL79" i="80"/>
  <c r="AL311" i="80" s="1"/>
  <c r="BF488" i="80"/>
  <c r="BG67" i="80"/>
  <c r="BG257" i="80" s="1"/>
  <c r="AY538" i="80"/>
  <c r="AY539" i="80" s="1"/>
  <c r="AY541" i="80" s="1"/>
  <c r="AQ538" i="80"/>
  <c r="BB388" i="80"/>
  <c r="BB441" i="80"/>
  <c r="AT475" i="80"/>
  <c r="AH388" i="80"/>
  <c r="AH461" i="80"/>
  <c r="AH534" i="80"/>
  <c r="AT351" i="80"/>
  <c r="AT325" i="80"/>
  <c r="AT364" i="80"/>
  <c r="AT372" i="80" s="1"/>
  <c r="AT299" i="80"/>
  <c r="AS273" i="80"/>
  <c r="AT338" i="80"/>
  <c r="AT312" i="80"/>
  <c r="AT286" i="80"/>
  <c r="BO144" i="80"/>
  <c r="BN143" i="80"/>
  <c r="AK652" i="80"/>
  <c r="BC605" i="80"/>
  <c r="BC519" i="80"/>
  <c r="BC387" i="80"/>
  <c r="BC87" i="80"/>
  <c r="AD605" i="80"/>
  <c r="AD519" i="80"/>
  <c r="AD387" i="80"/>
  <c r="AD87" i="80"/>
  <c r="AH85" i="80"/>
  <c r="AU508" i="80"/>
  <c r="AI508" i="80"/>
  <c r="AM508" i="80" s="1"/>
  <c r="BC400" i="80"/>
  <c r="AT363" i="80"/>
  <c r="AT371" i="80" s="1"/>
  <c r="AT373" i="80" s="1"/>
  <c r="AT350" i="80"/>
  <c r="AT337" i="80"/>
  <c r="AT256" i="80"/>
  <c r="AS499" i="80"/>
  <c r="AS79" i="80"/>
  <c r="AS311" i="80" s="1"/>
  <c r="AW77" i="80"/>
  <c r="AD538" i="80"/>
  <c r="BF95" i="80"/>
  <c r="BF255" i="80" s="1"/>
  <c r="BA479" i="80"/>
  <c r="BA533" i="80"/>
  <c r="BA67" i="80"/>
  <c r="BA257" i="80" s="1"/>
  <c r="BA413" i="80"/>
  <c r="BA91" i="80"/>
  <c r="BA656" i="80" s="1"/>
  <c r="BA605" i="80"/>
  <c r="BA519" i="80"/>
  <c r="BA387" i="80"/>
  <c r="BA87" i="80"/>
  <c r="AW70" i="80"/>
  <c r="AS460" i="80"/>
  <c r="AS440" i="80"/>
  <c r="AW94" i="80"/>
  <c r="AW90" i="80"/>
  <c r="AW388" i="80"/>
  <c r="AW441" i="80"/>
  <c r="AW534" i="80"/>
  <c r="AO459" i="80"/>
  <c r="AO474" i="80" s="1"/>
  <c r="AO439" i="80"/>
  <c r="AO426" i="80"/>
  <c r="AO95" i="80"/>
  <c r="AO255" i="80" s="1"/>
  <c r="AO508" i="80"/>
  <c r="AO475" i="80"/>
  <c r="AJ499" i="80"/>
  <c r="AJ79" i="80"/>
  <c r="AJ311" i="80" s="1"/>
  <c r="AJ533" i="80"/>
  <c r="AJ479" i="80"/>
  <c r="AJ67" i="80"/>
  <c r="AJ257" i="80" s="1"/>
  <c r="Y459" i="80"/>
  <c r="Y439" i="80"/>
  <c r="Y95" i="80"/>
  <c r="Y255" i="80" s="1"/>
  <c r="Y223" i="80" s="1"/>
  <c r="Y605" i="80"/>
  <c r="Y613" i="80" s="1"/>
  <c r="Y519" i="80"/>
  <c r="Y387" i="80"/>
  <c r="Y87" i="80"/>
  <c r="Y761" i="80"/>
  <c r="AD618" i="80"/>
  <c r="AD83" i="80"/>
  <c r="AD254" i="80" s="1"/>
  <c r="AH81" i="80"/>
  <c r="AV400" i="80"/>
  <c r="AV75" i="80"/>
  <c r="AM69" i="80"/>
  <c r="AU405" i="80"/>
  <c r="BJ95" i="80"/>
  <c r="BJ255" i="80" s="1"/>
  <c r="BE479" i="80"/>
  <c r="BE533" i="80"/>
  <c r="BE67" i="80"/>
  <c r="BE257" i="80" s="1"/>
  <c r="BE460" i="80"/>
  <c r="BE440" i="80"/>
  <c r="AZ488" i="80"/>
  <c r="AZ460" i="80"/>
  <c r="AZ468" i="80" s="1"/>
  <c r="AZ440" i="80"/>
  <c r="AZ448" i="80" s="1"/>
  <c r="AZ449" i="80" s="1"/>
  <c r="AZ618" i="80"/>
  <c r="AZ83" i="80"/>
  <c r="AZ254" i="80" s="1"/>
  <c r="AV499" i="80"/>
  <c r="AV79" i="80"/>
  <c r="AV311" i="80" s="1"/>
  <c r="AV605" i="80"/>
  <c r="AV519" i="80"/>
  <c r="AV387" i="80"/>
  <c r="AV87" i="80"/>
  <c r="AV439" i="80"/>
  <c r="AV426" i="80"/>
  <c r="AV459" i="80"/>
  <c r="AV95" i="80"/>
  <c r="AV255" i="80" s="1"/>
  <c r="AN499" i="80"/>
  <c r="AN79" i="80"/>
  <c r="AN311" i="80" s="1"/>
  <c r="AR77" i="80"/>
  <c r="AR79" i="80" s="1"/>
  <c r="AR311" i="80" s="1"/>
  <c r="AN605" i="80"/>
  <c r="AN519" i="80"/>
  <c r="AN387" i="80"/>
  <c r="AN87" i="80"/>
  <c r="AR85" i="80"/>
  <c r="AN606" i="80"/>
  <c r="AR86" i="80"/>
  <c r="AR606" i="80" s="1"/>
  <c r="AN439" i="80"/>
  <c r="AN426" i="80"/>
  <c r="AN459" i="80"/>
  <c r="AR93" i="80"/>
  <c r="AR95" i="80" s="1"/>
  <c r="AR255" i="80" s="1"/>
  <c r="AN95" i="80"/>
  <c r="AN255" i="80" s="1"/>
  <c r="AR388" i="80"/>
  <c r="AR534" i="80"/>
  <c r="AD431" i="80"/>
  <c r="V37" i="80"/>
  <c r="V43" i="80" s="1"/>
  <c r="V42" i="80"/>
  <c r="AS23" i="80"/>
  <c r="AS19" i="46"/>
  <c r="AR136" i="80"/>
  <c r="AM85" i="80"/>
  <c r="AK499" i="80"/>
  <c r="AK79" i="80"/>
  <c r="AK311" i="80" s="1"/>
  <c r="BJ538" i="80"/>
  <c r="AA481" i="80"/>
  <c r="AA501" i="80"/>
  <c r="AA534" i="80"/>
  <c r="AA427" i="80"/>
  <c r="AA414" i="80"/>
  <c r="AA461" i="80"/>
  <c r="AA441" i="80"/>
  <c r="AA401" i="80"/>
  <c r="AC401" i="80" s="1"/>
  <c r="AA388" i="80"/>
  <c r="AC388" i="80" s="1"/>
  <c r="AA94" i="80"/>
  <c r="AC94" i="80" s="1"/>
  <c r="AA89" i="80"/>
  <c r="AA82" i="80"/>
  <c r="AA499" i="80" s="1"/>
  <c r="AA77" i="80"/>
  <c r="AA66" i="80"/>
  <c r="AA480" i="80" s="1"/>
  <c r="AA93" i="80"/>
  <c r="AA81" i="80"/>
  <c r="AC81" i="80" s="1"/>
  <c r="AA70" i="80"/>
  <c r="AC70" i="80" s="1"/>
  <c r="AA65" i="80"/>
  <c r="AA86" i="80"/>
  <c r="AA606" i="80" s="1"/>
  <c r="AA90" i="80"/>
  <c r="AA78" i="80"/>
  <c r="AC78" i="80" s="1"/>
  <c r="AA73" i="80"/>
  <c r="AA85" i="80"/>
  <c r="AA69" i="80"/>
  <c r="AC51" i="80"/>
  <c r="AA74" i="80"/>
  <c r="BE605" i="80"/>
  <c r="BE519" i="80"/>
  <c r="BE387" i="80"/>
  <c r="BE87" i="80"/>
  <c r="BD413" i="80"/>
  <c r="BD91" i="80"/>
  <c r="BD656" i="80" s="1"/>
  <c r="BD81" i="80"/>
  <c r="BG81" i="80" s="1"/>
  <c r="BD86" i="80"/>
  <c r="BD606" i="80" s="1"/>
  <c r="BD74" i="80"/>
  <c r="BD85" i="80"/>
  <c r="BD82" i="80"/>
  <c r="BG82" i="80" s="1"/>
  <c r="BD77" i="80"/>
  <c r="BD78" i="80"/>
  <c r="BD500" i="80" s="1"/>
  <c r="BD73" i="80"/>
  <c r="AG459" i="80"/>
  <c r="AG439" i="80"/>
  <c r="AG426" i="80"/>
  <c r="AH426" i="80" s="1"/>
  <c r="AG95" i="80"/>
  <c r="AG255" i="80" s="1"/>
  <c r="AG508" i="80"/>
  <c r="AG605" i="80"/>
  <c r="AG519" i="80"/>
  <c r="AG387" i="80"/>
  <c r="AG87" i="80"/>
  <c r="BJ144" i="80"/>
  <c r="BI143" i="80"/>
  <c r="AE392" i="80"/>
  <c r="Y499" i="80"/>
  <c r="BB70" i="80"/>
  <c r="AO488" i="80"/>
  <c r="BF538" i="80"/>
  <c r="AP67" i="80"/>
  <c r="AP257" i="80" s="1"/>
  <c r="Z488" i="80"/>
  <c r="Z460" i="80"/>
  <c r="Z468" i="80" s="1"/>
  <c r="Z469" i="80" s="1"/>
  <c r="Z472" i="80" s="1"/>
  <c r="Z475" i="80" s="1"/>
  <c r="Z440" i="80"/>
  <c r="Z448" i="80" s="1"/>
  <c r="Z426" i="80"/>
  <c r="BN52" i="80"/>
  <c r="BJ400" i="80"/>
  <c r="BJ75" i="80"/>
  <c r="BL52" i="80"/>
  <c r="BL74" i="80"/>
  <c r="BL27" i="73"/>
  <c r="BL73" i="80"/>
  <c r="BL90" i="80"/>
  <c r="BL70" i="80"/>
  <c r="BL481" i="80"/>
  <c r="AX95" i="80"/>
  <c r="AX255" i="80" s="1"/>
  <c r="AT95" i="80"/>
  <c r="AT255" i="80" s="1"/>
  <c r="AP95" i="80"/>
  <c r="AP255" i="80" s="1"/>
  <c r="AK479" i="80"/>
  <c r="AK533" i="80"/>
  <c r="AK67" i="80"/>
  <c r="AK257" i="80" s="1"/>
  <c r="AK413" i="80"/>
  <c r="AK91" i="80"/>
  <c r="AK656" i="80" s="1"/>
  <c r="AK605" i="80"/>
  <c r="AK519" i="80"/>
  <c r="AK387" i="80"/>
  <c r="AK87" i="80"/>
  <c r="AF71" i="80"/>
  <c r="AF533" i="80"/>
  <c r="AH533" i="80" s="1"/>
  <c r="AF479" i="80"/>
  <c r="AF67" i="80"/>
  <c r="AF257" i="80" s="1"/>
  <c r="AH65" i="80"/>
  <c r="AH67" i="80" s="1"/>
  <c r="AH257" i="80" s="1"/>
  <c r="AZ508" i="80"/>
  <c r="AN865" i="80"/>
  <c r="AN878" i="80" s="1"/>
  <c r="O796" i="80"/>
  <c r="O32" i="80"/>
  <c r="O35" i="80" s="1"/>
  <c r="AA28" i="80"/>
  <c r="AA24" i="80"/>
  <c r="L796" i="80"/>
  <c r="L32" i="80"/>
  <c r="L35" i="80" s="1"/>
  <c r="G28" i="80"/>
  <c r="G24" i="80"/>
  <c r="AR400" i="80"/>
  <c r="AN405" i="80"/>
  <c r="T796" i="80"/>
  <c r="T32" i="80"/>
  <c r="T35" i="80" s="1"/>
  <c r="K28" i="80"/>
  <c r="K24" i="80"/>
  <c r="AM865" i="80"/>
  <c r="AM878" i="80" s="1"/>
  <c r="AM28" i="80"/>
  <c r="AM24" i="80"/>
  <c r="U28" i="80"/>
  <c r="U24" i="80"/>
  <c r="L865" i="80"/>
  <c r="L878" i="80" s="1"/>
  <c r="H865" i="80"/>
  <c r="H878" i="80" s="1"/>
  <c r="E28" i="80"/>
  <c r="E24" i="80"/>
  <c r="AB242" i="46"/>
  <c r="AB241" i="46"/>
  <c r="AB130" i="46"/>
  <c r="H32" i="46"/>
  <c r="E241" i="46"/>
  <c r="E236" i="46" s="1"/>
  <c r="E130" i="46"/>
  <c r="AM224" i="46"/>
  <c r="N224" i="46"/>
  <c r="P171" i="46"/>
  <c r="CH36" i="71"/>
  <c r="DH36" i="71"/>
  <c r="AQ32" i="46"/>
  <c r="Q247" i="46"/>
  <c r="Q260" i="46" s="1"/>
  <c r="CI28" i="71" s="1"/>
  <c r="M37" i="46"/>
  <c r="M33" i="46"/>
  <c r="P247" i="46"/>
  <c r="P260" i="46" s="1"/>
  <c r="CH28" i="71" s="1"/>
  <c r="DC36" i="71"/>
  <c r="AD171" i="46"/>
  <c r="CV36" i="71"/>
  <c r="AD254" i="46"/>
  <c r="CV22" i="71" s="1"/>
  <c r="AD241" i="46"/>
  <c r="AD236" i="46" s="1"/>
  <c r="AD233" i="46"/>
  <c r="AD242" i="46"/>
  <c r="AD130" i="46"/>
  <c r="AF171" i="46"/>
  <c r="CX36" i="71"/>
  <c r="AL32" i="46"/>
  <c r="AG32" i="46"/>
  <c r="AL222" i="46"/>
  <c r="AL224" i="46" s="1"/>
  <c r="AL238" i="46"/>
  <c r="AV254" i="46"/>
  <c r="DN22" i="71" s="1"/>
  <c r="AV242" i="46"/>
  <c r="AV241" i="46"/>
  <c r="AV233" i="46"/>
  <c r="AV130" i="46"/>
  <c r="AD239" i="46"/>
  <c r="CV16" i="71"/>
  <c r="CU12" i="71"/>
  <c r="CU13" i="71" s="1"/>
  <c r="AT241" i="46"/>
  <c r="AT233" i="46" s="1"/>
  <c r="AT130" i="46"/>
  <c r="AY235" i="46"/>
  <c r="AZ215" i="46"/>
  <c r="AH241" i="46"/>
  <c r="AH236" i="46" s="1"/>
  <c r="AH130" i="46"/>
  <c r="DH16" i="71"/>
  <c r="E239" i="46"/>
  <c r="CW16" i="71"/>
  <c r="CO16" i="71"/>
  <c r="AH253" i="46"/>
  <c r="CZ21" i="71" s="1"/>
  <c r="CZ12" i="71"/>
  <c r="CZ13" i="71" s="1"/>
  <c r="J241" i="46"/>
  <c r="J236" i="46" s="1"/>
  <c r="J130" i="46"/>
  <c r="CQ16" i="71"/>
  <c r="CO12" i="71"/>
  <c r="AC212" i="46"/>
  <c r="AC222" i="46" s="1"/>
  <c r="Q232" i="46"/>
  <c r="CI11" i="71"/>
  <c r="K254" i="46"/>
  <c r="AH66" i="46"/>
  <c r="CZ50" i="71"/>
  <c r="AM267" i="46"/>
  <c r="DE54" i="71"/>
  <c r="AA232" i="46"/>
  <c r="CS12" i="71"/>
  <c r="AB196" i="46"/>
  <c r="AB224" i="46" s="1"/>
  <c r="DG16" i="71"/>
  <c r="AC232" i="46"/>
  <c r="AC168" i="46"/>
  <c r="CU58" i="71" s="1"/>
  <c r="AR66" i="46"/>
  <c r="DJ50" i="71"/>
  <c r="J169" i="46"/>
  <c r="N169" i="46" s="1"/>
  <c r="N164" i="46"/>
  <c r="CF56" i="71" s="1"/>
  <c r="J103" i="46"/>
  <c r="N103" i="46" s="1"/>
  <c r="AR267" i="46"/>
  <c r="DJ54" i="71"/>
  <c r="AH169" i="46"/>
  <c r="AH267" i="46"/>
  <c r="CZ54" i="71"/>
  <c r="AC97" i="46"/>
  <c r="AH161" i="46"/>
  <c r="AH97" i="46"/>
  <c r="AH149" i="46"/>
  <c r="AY266" i="46"/>
  <c r="DQ50" i="71"/>
  <c r="DQ51" i="71" s="1"/>
  <c r="AQ161" i="46"/>
  <c r="CR161" i="46"/>
  <c r="DI156" i="46"/>
  <c r="DI171" i="46" s="1"/>
  <c r="BB64" i="46"/>
  <c r="BB45" i="71"/>
  <c r="BB48" i="71" s="1"/>
  <c r="AJ156" i="46"/>
  <c r="AW159" i="46"/>
  <c r="DO49" i="71" s="1"/>
  <c r="CR156" i="46"/>
  <c r="AI156" i="46"/>
  <c r="AE156" i="46"/>
  <c r="R151" i="46"/>
  <c r="R156" i="46" s="1"/>
  <c r="BC48" i="46"/>
  <c r="BB50" i="71"/>
  <c r="U249" i="46"/>
  <c r="AJ115" i="46"/>
  <c r="AJ41" i="46"/>
  <c r="AJ44" i="46" s="1"/>
  <c r="Z247" i="46"/>
  <c r="Z260" i="46" s="1"/>
  <c r="CR28" i="71" s="1"/>
  <c r="V37" i="46"/>
  <c r="V33" i="46"/>
  <c r="AL247" i="46"/>
  <c r="AI33" i="46"/>
  <c r="AI37" i="46"/>
  <c r="AB32" i="46"/>
  <c r="X115" i="46"/>
  <c r="X41" i="46"/>
  <c r="X44" i="46" s="1"/>
  <c r="W32" i="46"/>
  <c r="AZ50" i="46"/>
  <c r="AP32" i="46"/>
  <c r="J247" i="46"/>
  <c r="J260" i="46" s="1"/>
  <c r="F37" i="46"/>
  <c r="F33" i="46"/>
  <c r="I37" i="46"/>
  <c r="I33" i="46"/>
  <c r="I35" i="71" s="1"/>
  <c r="AO37" i="46"/>
  <c r="AO33" i="46"/>
  <c r="S33" i="46"/>
  <c r="S35" i="71" s="1"/>
  <c r="S37" i="46"/>
  <c r="AU254" i="46"/>
  <c r="DM22" i="71" s="1"/>
  <c r="AU233" i="46"/>
  <c r="AU242" i="46"/>
  <c r="AU241" i="46"/>
  <c r="AU130" i="46"/>
  <c r="AN241" i="46"/>
  <c r="AN254" i="46" s="1"/>
  <c r="DF22" i="71" s="1"/>
  <c r="AN130" i="46"/>
  <c r="H254" i="46"/>
  <c r="H242" i="46"/>
  <c r="H233" i="46"/>
  <c r="H241" i="46"/>
  <c r="H130" i="46"/>
  <c r="CQ12" i="71"/>
  <c r="CA12" i="71"/>
  <c r="CA13" i="71" s="1"/>
  <c r="AO254" i="46"/>
  <c r="DG22" i="71" s="1"/>
  <c r="AO241" i="46"/>
  <c r="AO239" i="46" s="1"/>
  <c r="AO233" i="46"/>
  <c r="AO130" i="46"/>
  <c r="CK16" i="71"/>
  <c r="S62" i="71" s="1"/>
  <c r="AB253" i="46"/>
  <c r="CT21" i="71" s="1"/>
  <c r="CT12" i="71"/>
  <c r="H253" i="46"/>
  <c r="X254" i="46"/>
  <c r="CP22" i="71" s="1"/>
  <c r="X242" i="46"/>
  <c r="X241" i="46"/>
  <c r="X239" i="46" s="1"/>
  <c r="X130" i="46"/>
  <c r="Z254" i="46"/>
  <c r="CR22" i="71" s="1"/>
  <c r="Z241" i="46"/>
  <c r="Z236" i="46" s="1"/>
  <c r="Z233" i="46"/>
  <c r="Z242" i="46"/>
  <c r="Z130" i="46"/>
  <c r="M254" i="46"/>
  <c r="M242" i="46"/>
  <c r="M241" i="46"/>
  <c r="M233" i="46"/>
  <c r="M130" i="46"/>
  <c r="CM16" i="71"/>
  <c r="CY16" i="71"/>
  <c r="CF16" i="71"/>
  <c r="N62" i="71" s="1"/>
  <c r="AH239" i="46"/>
  <c r="CZ16" i="71"/>
  <c r="AH62" i="71" s="1"/>
  <c r="AD253" i="46"/>
  <c r="CV21" i="71" s="1"/>
  <c r="CV12" i="71"/>
  <c r="CF12" i="71"/>
  <c r="CF13" i="71" s="1"/>
  <c r="CK12" i="71"/>
  <c r="I232" i="46"/>
  <c r="AW194" i="46"/>
  <c r="AW196" i="46" s="1"/>
  <c r="AX190" i="46"/>
  <c r="S267" i="46"/>
  <c r="CK54" i="71"/>
  <c r="S203" i="46"/>
  <c r="S212" i="46" s="1"/>
  <c r="S222" i="46" s="1"/>
  <c r="DO50" i="71"/>
  <c r="I66" i="46"/>
  <c r="CA50" i="71"/>
  <c r="DJ12" i="71"/>
  <c r="DJ13" i="71" s="1"/>
  <c r="AA224" i="46"/>
  <c r="AX106" i="46"/>
  <c r="DO9" i="71"/>
  <c r="AD224" i="46"/>
  <c r="CZ57" i="71"/>
  <c r="AM66" i="46"/>
  <c r="DE50" i="71"/>
  <c r="V160" i="46"/>
  <c r="V161" i="46" s="1"/>
  <c r="U160" i="46"/>
  <c r="AN171" i="46"/>
  <c r="DF36" i="71"/>
  <c r="N267" i="46"/>
  <c r="CF54" i="71"/>
  <c r="I164" i="46"/>
  <c r="CA56" i="71" s="1"/>
  <c r="E103" i="46"/>
  <c r="I103" i="46" s="1"/>
  <c r="CP57" i="71"/>
  <c r="S66" i="46"/>
  <c r="CK50" i="71"/>
  <c r="I267" i="46"/>
  <c r="CA54" i="71"/>
  <c r="AB169" i="46"/>
  <c r="AC169" i="46" s="1"/>
  <c r="M161" i="46"/>
  <c r="M97" i="46"/>
  <c r="M93" i="46" s="1"/>
  <c r="AM159" i="46"/>
  <c r="CK161" i="46"/>
  <c r="CK171" i="46" s="1"/>
  <c r="V155" i="46"/>
  <c r="CN36" i="71" s="1"/>
  <c r="U155" i="46"/>
  <c r="CS156" i="46"/>
  <c r="CS171" i="46" s="1"/>
  <c r="AR165" i="46"/>
  <c r="DJ57" i="71" s="1"/>
  <c r="AC159" i="46"/>
  <c r="CU49" i="71" s="1"/>
  <c r="F161" i="46"/>
  <c r="CO36" i="71"/>
  <c r="CZ156" i="46"/>
  <c r="CZ171" i="46" s="1"/>
  <c r="CF156" i="46"/>
  <c r="CF171" i="46" s="1"/>
  <c r="Y156" i="46"/>
  <c r="S159" i="46"/>
  <c r="N158" i="46"/>
  <c r="AB156" i="46"/>
  <c r="O156" i="46"/>
  <c r="AZ266" i="46"/>
  <c r="DR50" i="71"/>
  <c r="AX267" i="46"/>
  <c r="AX216" i="46"/>
  <c r="BB166" i="46"/>
  <c r="BA66" i="46"/>
  <c r="BA50" i="46"/>
  <c r="AO249" i="46"/>
  <c r="X93" i="46"/>
  <c r="CL40" i="71"/>
  <c r="CL41" i="71" s="1"/>
  <c r="BD63" i="46"/>
  <c r="T249" i="46"/>
  <c r="AW37" i="46"/>
  <c r="AW33" i="46"/>
  <c r="AN115" i="46"/>
  <c r="AN41" i="46"/>
  <c r="AN44" i="46" s="1"/>
  <c r="AR115" i="46"/>
  <c r="AR65" i="71" s="1"/>
  <c r="AR41" i="46"/>
  <c r="AR44" i="46" s="1"/>
  <c r="O33" i="46"/>
  <c r="O37" i="46"/>
  <c r="AB247" i="46"/>
  <c r="Y37" i="46"/>
  <c r="Y33" i="46"/>
  <c r="AO247" i="46"/>
  <c r="AK37" i="46"/>
  <c r="AK33" i="46"/>
  <c r="Q37" i="46"/>
  <c r="Q33" i="46"/>
  <c r="P37" i="46"/>
  <c r="P33" i="46"/>
  <c r="H247" i="46"/>
  <c r="E37" i="46"/>
  <c r="E33" i="46"/>
  <c r="AT33" i="46"/>
  <c r="AT37" i="46"/>
  <c r="AJ247" i="46"/>
  <c r="AJ260" i="46" s="1"/>
  <c r="DB28" i="71" s="1"/>
  <c r="AF37" i="46"/>
  <c r="AF33" i="46"/>
  <c r="AQ241" i="46"/>
  <c r="AQ254" i="46" s="1"/>
  <c r="DI22" i="71" s="1"/>
  <c r="AQ130" i="46"/>
  <c r="AT239" i="46"/>
  <c r="DL16" i="71"/>
  <c r="AJ241" i="46"/>
  <c r="AJ254" i="46" s="1"/>
  <c r="DB22" i="71" s="1"/>
  <c r="AJ130" i="46"/>
  <c r="AP241" i="46"/>
  <c r="AP233" i="46" s="1"/>
  <c r="AP130" i="46"/>
  <c r="Z239" i="46"/>
  <c r="CR16" i="71"/>
  <c r="CM12" i="71"/>
  <c r="E253" i="46"/>
  <c r="O242" i="46"/>
  <c r="O241" i="46"/>
  <c r="O130" i="46"/>
  <c r="AE254" i="46"/>
  <c r="CW22" i="71" s="1"/>
  <c r="AE233" i="46"/>
  <c r="AE241" i="46"/>
  <c r="AE239" i="46" s="1"/>
  <c r="AE130" i="46"/>
  <c r="CL12" i="71"/>
  <c r="AR254" i="46"/>
  <c r="DJ22" i="71" s="1"/>
  <c r="AR242" i="46"/>
  <c r="AR241" i="46"/>
  <c r="AR233" i="46"/>
  <c r="AR130" i="46"/>
  <c r="S232" i="46"/>
  <c r="CK11" i="71"/>
  <c r="CK13" i="71" s="1"/>
  <c r="T232" i="46"/>
  <c r="L254" i="46"/>
  <c r="AS241" i="46"/>
  <c r="AS254" i="46" s="1"/>
  <c r="DK22" i="71" s="1"/>
  <c r="AS130" i="46"/>
  <c r="DE16" i="71"/>
  <c r="AG241" i="46"/>
  <c r="AG254" i="46" s="1"/>
  <c r="CY22" i="71" s="1"/>
  <c r="AG130" i="46"/>
  <c r="R239" i="46"/>
  <c r="CA16" i="71"/>
  <c r="CS16" i="71"/>
  <c r="AL254" i="46"/>
  <c r="DD22" i="71" s="1"/>
  <c r="AL241" i="46"/>
  <c r="AL233" i="46"/>
  <c r="AL242" i="46"/>
  <c r="AL130" i="46"/>
  <c r="Z253" i="46"/>
  <c r="CR21" i="71" s="1"/>
  <c r="CR12" i="71"/>
  <c r="J253" i="46"/>
  <c r="V254" i="46"/>
  <c r="CN23" i="71" s="1"/>
  <c r="V241" i="46"/>
  <c r="V236" i="46" s="1"/>
  <c r="V233" i="46"/>
  <c r="V242" i="46"/>
  <c r="V130" i="46"/>
  <c r="P254" i="46"/>
  <c r="CH22" i="71" s="1"/>
  <c r="CU16" i="71"/>
  <c r="AC62" i="71" s="1"/>
  <c r="Y232" i="46"/>
  <c r="K242" i="46"/>
  <c r="N66" i="46"/>
  <c r="CF50" i="71"/>
  <c r="M212" i="46"/>
  <c r="M222" i="46" s="1"/>
  <c r="M224" i="46" s="1"/>
  <c r="AC228" i="46"/>
  <c r="CU9" i="71" s="1"/>
  <c r="AC184" i="46"/>
  <c r="AC196" i="46" s="1"/>
  <c r="AC224" i="46" s="1"/>
  <c r="DO16" i="71"/>
  <c r="AW62" i="71" s="1"/>
  <c r="DI12" i="71"/>
  <c r="U232" i="46"/>
  <c r="AZ207" i="46"/>
  <c r="CU57" i="71"/>
  <c r="AK267" i="46"/>
  <c r="DC54" i="71"/>
  <c r="X267" i="46"/>
  <c r="CP54" i="71"/>
  <c r="T171" i="46"/>
  <c r="CL36" i="71"/>
  <c r="AW161" i="46"/>
  <c r="AW97" i="46"/>
  <c r="I161" i="46"/>
  <c r="I97" i="46"/>
  <c r="DO57" i="71"/>
  <c r="X159" i="46"/>
  <c r="M156" i="46"/>
  <c r="M171" i="46" s="1"/>
  <c r="N149" i="46"/>
  <c r="AU171" i="46"/>
  <c r="DM36" i="71"/>
  <c r="AG151" i="46"/>
  <c r="AG156" i="46" s="1"/>
  <c r="AA171" i="46"/>
  <c r="CS36" i="71"/>
  <c r="M151" i="46"/>
  <c r="AR159" i="46"/>
  <c r="AB161" i="46"/>
  <c r="CO156" i="46"/>
  <c r="CO171" i="46" s="1"/>
  <c r="K151" i="46"/>
  <c r="N151" i="46" s="1"/>
  <c r="AV161" i="46"/>
  <c r="AT151" i="46"/>
  <c r="AT156" i="46" s="1"/>
  <c r="CV156" i="46"/>
  <c r="CV171" i="46" s="1"/>
  <c r="CB156" i="46"/>
  <c r="CB171" i="46" s="1"/>
  <c r="CR169" i="46"/>
  <c r="CR171" i="46" s="1"/>
  <c r="AP161" i="46"/>
  <c r="AP171" i="46" s="1"/>
  <c r="BX156" i="46"/>
  <c r="BX171" i="46" s="1"/>
  <c r="BX175" i="46" s="1"/>
  <c r="G171" i="46"/>
  <c r="BL267" i="46"/>
  <c r="BL141" i="46"/>
  <c r="AO151" i="46"/>
  <c r="AO156" i="46" s="1"/>
  <c r="BB66" i="46"/>
  <c r="N64" i="46"/>
  <c r="N45" i="71"/>
  <c r="BA167" i="46"/>
  <c r="AN249" i="46"/>
  <c r="AD247" i="46"/>
  <c r="AD260" i="46" s="1"/>
  <c r="CV28" i="71" s="1"/>
  <c r="Z37" i="46"/>
  <c r="Z33" i="46"/>
  <c r="P248" i="46"/>
  <c r="P255" i="46" s="1"/>
  <c r="CH23" i="71" s="1"/>
  <c r="AQ10" i="46"/>
  <c r="R32" i="46"/>
  <c r="R247" i="46" s="1"/>
  <c r="AM32" i="46"/>
  <c r="AH32" i="46"/>
  <c r="T115" i="46"/>
  <c r="T41" i="46"/>
  <c r="T44" i="46" s="1"/>
  <c r="AE247" i="46"/>
  <c r="AE260" i="46" s="1"/>
  <c r="CW28" i="71" s="1"/>
  <c r="AA37" i="46"/>
  <c r="AA33" i="46"/>
  <c r="O247" i="46"/>
  <c r="O260" i="46" s="1"/>
  <c r="CG28" i="71" s="1"/>
  <c r="K37" i="46"/>
  <c r="K33" i="46"/>
  <c r="O248" i="46" s="1"/>
  <c r="O255" i="46" s="1"/>
  <c r="CG23" i="71" s="1"/>
  <c r="M247" i="46"/>
  <c r="J37" i="46"/>
  <c r="J33" i="46"/>
  <c r="AG247" i="46"/>
  <c r="AD33" i="46"/>
  <c r="AD37" i="46"/>
  <c r="AC37" i="46"/>
  <c r="AC33" i="46"/>
  <c r="K239" i="46"/>
  <c r="J239" i="46"/>
  <c r="L236" i="46"/>
  <c r="P236" i="46"/>
  <c r="AF254" i="46"/>
  <c r="CX22" i="71" s="1"/>
  <c r="AF241" i="46"/>
  <c r="AF233" i="46"/>
  <c r="AF130" i="46"/>
  <c r="P239" i="46"/>
  <c r="X236" i="46"/>
  <c r="CP15" i="71"/>
  <c r="AK241" i="46"/>
  <c r="AK242" i="46" s="1"/>
  <c r="AK130" i="46"/>
  <c r="CI16" i="71"/>
  <c r="AI239" i="46"/>
  <c r="DA16" i="71"/>
  <c r="AW231" i="46"/>
  <c r="G241" i="46"/>
  <c r="G254" i="46" s="1"/>
  <c r="G130" i="46"/>
  <c r="P253" i="46"/>
  <c r="CH21" i="71" s="1"/>
  <c r="AM254" i="46"/>
  <c r="DE22" i="71" s="1"/>
  <c r="AM233" i="46"/>
  <c r="AM241" i="46"/>
  <c r="AM130" i="46"/>
  <c r="N232" i="46"/>
  <c r="AI254" i="46"/>
  <c r="DA22" i="71" s="1"/>
  <c r="AI233" i="46"/>
  <c r="AI242" i="46"/>
  <c r="AI241" i="46"/>
  <c r="AI130" i="46"/>
  <c r="W232" i="46"/>
  <c r="AS239" i="46"/>
  <c r="DK16" i="71"/>
  <c r="V253" i="46"/>
  <c r="CN22" i="71" s="1"/>
  <c r="F232" i="46"/>
  <c r="X253" i="46"/>
  <c r="CP21" i="71" s="1"/>
  <c r="CP12" i="71"/>
  <c r="CP13" i="71" s="1"/>
  <c r="K253" i="46"/>
  <c r="K233" i="46"/>
  <c r="I196" i="46"/>
  <c r="AK224" i="46"/>
  <c r="DC16" i="71"/>
  <c r="I212" i="46"/>
  <c r="I222" i="46" s="1"/>
  <c r="X228" i="46"/>
  <c r="CP9" i="71" s="1"/>
  <c r="X184" i="46"/>
  <c r="X196" i="46" s="1"/>
  <c r="X224" i="46" s="1"/>
  <c r="AC66" i="46"/>
  <c r="CU50" i="71"/>
  <c r="AW210" i="46"/>
  <c r="AW212" i="46" s="1"/>
  <c r="AW222" i="46" s="1"/>
  <c r="V224" i="46"/>
  <c r="AR212" i="46"/>
  <c r="AR222" i="46" s="1"/>
  <c r="AR224" i="46" s="1"/>
  <c r="S196" i="46"/>
  <c r="S224" i="46" s="1"/>
  <c r="AC267" i="46"/>
  <c r="CU54" i="71"/>
  <c r="AV103" i="46"/>
  <c r="DN56" i="71"/>
  <c r="AR169" i="46"/>
  <c r="E169" i="46"/>
  <c r="I169" i="46" s="1"/>
  <c r="Q151" i="46"/>
  <c r="Q156" i="46" s="1"/>
  <c r="X212" i="46"/>
  <c r="X222" i="46" s="1"/>
  <c r="X66" i="46"/>
  <c r="CP50" i="71"/>
  <c r="DG171" i="46"/>
  <c r="AL267" i="46"/>
  <c r="DD54" i="71"/>
  <c r="AK169" i="46"/>
  <c r="AK171" i="46" s="1"/>
  <c r="X169" i="46"/>
  <c r="AG161" i="46"/>
  <c r="AG97" i="46"/>
  <c r="AH151" i="46"/>
  <c r="AT161" i="46"/>
  <c r="CC156" i="46"/>
  <c r="CC171" i="46" s="1"/>
  <c r="CT156" i="46"/>
  <c r="CT171" i="46" s="1"/>
  <c r="BZ156" i="46"/>
  <c r="BZ171" i="46" s="1"/>
  <c r="AS156" i="46"/>
  <c r="E156" i="46"/>
  <c r="E171" i="46" s="1"/>
  <c r="E175" i="46" s="1"/>
  <c r="F173" i="46" s="1"/>
  <c r="EI40" i="71"/>
  <c r="DL161" i="46"/>
  <c r="DL171" i="46" s="1"/>
  <c r="R161" i="46"/>
  <c r="CH156" i="46"/>
  <c r="CH171" i="46" s="1"/>
  <c r="DA156" i="46"/>
  <c r="DA171" i="46" s="1"/>
  <c r="BY156" i="46"/>
  <c r="BY171" i="46" s="1"/>
  <c r="BY175" i="46" s="1"/>
  <c r="BZ173" i="46" s="1"/>
  <c r="AH150" i="46"/>
  <c r="J156" i="46"/>
  <c r="J171" i="46" s="1"/>
  <c r="AT169" i="46"/>
  <c r="AW169" i="46" s="1"/>
  <c r="AR160" i="46"/>
  <c r="AL161" i="46"/>
  <c r="AQ171" i="46"/>
  <c r="DI36" i="71"/>
  <c r="DD156" i="46"/>
  <c r="DD171" i="46" s="1"/>
  <c r="Z151" i="46"/>
  <c r="AC151" i="46" s="1"/>
  <c r="AC156" i="46" s="1"/>
  <c r="AW267" i="46"/>
  <c r="DO54" i="71"/>
  <c r="AL169" i="46"/>
  <c r="W161" i="46"/>
  <c r="W171" i="46" s="1"/>
  <c r="CO49" i="71"/>
  <c r="CO51" i="71" s="1"/>
  <c r="Z161" i="46"/>
  <c r="AV171" i="46"/>
  <c r="DN36" i="71"/>
  <c r="H156" i="46"/>
  <c r="H171" i="46" s="1"/>
  <c r="AL151" i="46"/>
  <c r="AL156" i="46" s="1"/>
  <c r="F151" i="46"/>
  <c r="F156" i="46" s="1"/>
  <c r="F171" i="46" s="1"/>
  <c r="BQ267" i="46"/>
  <c r="BQ141" i="46"/>
  <c r="AX266" i="46"/>
  <c r="BB167" i="46"/>
  <c r="DP50" i="71"/>
  <c r="DP51" i="71" s="1"/>
  <c r="BC267" i="46"/>
  <c r="BG166" i="46"/>
  <c r="K247" i="46"/>
  <c r="K260" i="46" s="1"/>
  <c r="G37" i="46"/>
  <c r="G33" i="46"/>
  <c r="L115" i="46"/>
  <c r="L41" i="46"/>
  <c r="L44" i="46" s="1"/>
  <c r="AV32" i="46"/>
  <c r="W247" i="46"/>
  <c r="Y247" i="46"/>
  <c r="Y260" i="46" s="1"/>
  <c r="CQ28" i="71" s="1"/>
  <c r="U37" i="46"/>
  <c r="U33" i="46"/>
  <c r="AU32" i="46"/>
  <c r="N32" i="46"/>
  <c r="AI247" i="46"/>
  <c r="AI260" i="46" s="1"/>
  <c r="DA28" i="71" s="1"/>
  <c r="AE33" i="46"/>
  <c r="AE37" i="46"/>
  <c r="AS37" i="46"/>
  <c r="AS33" i="46"/>
  <c r="AM70" i="71"/>
  <c r="AM72" i="71" s="1"/>
  <c r="AH68" i="71"/>
  <c r="CJ66" i="73"/>
  <c r="AY106" i="97" l="1"/>
  <c r="AZ107" i="97"/>
  <c r="AZ45" i="97" s="1"/>
  <c r="BB105" i="97"/>
  <c r="BB43" i="97" s="1"/>
  <c r="AZ105" i="97"/>
  <c r="AZ43" i="97" s="1"/>
  <c r="BA106" i="97"/>
  <c r="AZ715" i="80"/>
  <c r="AY131" i="80"/>
  <c r="BP685" i="80"/>
  <c r="BO125" i="80"/>
  <c r="CT41" i="59"/>
  <c r="AV41" i="59"/>
  <c r="AL41" i="59"/>
  <c r="AD291" i="59"/>
  <c r="AC321" i="59"/>
  <c r="R321" i="59"/>
  <c r="AD258" i="59"/>
  <c r="R258" i="59"/>
  <c r="AC258" i="59"/>
  <c r="AE258" i="59"/>
  <c r="BF205" i="77"/>
  <c r="BF71" i="51" s="1"/>
  <c r="BG71" i="51" s="1"/>
  <c r="CR204" i="59"/>
  <c r="CY204" i="59"/>
  <c r="U204" i="59"/>
  <c r="CX204" i="59"/>
  <c r="CN133" i="59"/>
  <c r="AE133" i="59"/>
  <c r="CR133" i="59"/>
  <c r="BE209" i="78"/>
  <c r="CS133" i="59"/>
  <c r="CM133" i="59"/>
  <c r="BP181" i="79"/>
  <c r="AQ176" i="59"/>
  <c r="BB154" i="46"/>
  <c r="AZ193" i="46"/>
  <c r="AY118" i="79"/>
  <c r="AY117" i="79" s="1"/>
  <c r="AY115" i="79" s="1"/>
  <c r="AY12" i="79" s="1"/>
  <c r="AX56" i="79"/>
  <c r="AX118" i="79" s="1"/>
  <c r="AX117" i="79" s="1"/>
  <c r="AX115" i="79" s="1"/>
  <c r="AF474" i="80"/>
  <c r="AH176" i="59"/>
  <c r="BD176" i="59"/>
  <c r="M176" i="59"/>
  <c r="BP12" i="59"/>
  <c r="BF181" i="79"/>
  <c r="BQ176" i="79"/>
  <c r="BA176" i="59"/>
  <c r="AZ181" i="79"/>
  <c r="AL176" i="59"/>
  <c r="AN176" i="59"/>
  <c r="BH181" i="79"/>
  <c r="Y176" i="59"/>
  <c r="N176" i="59"/>
  <c r="AM176" i="59"/>
  <c r="CS176" i="59"/>
  <c r="AX52" i="78"/>
  <c r="AX122" i="78" s="1"/>
  <c r="AY122" i="78"/>
  <c r="AZ124" i="78"/>
  <c r="BE122" i="78"/>
  <c r="S258" i="59"/>
  <c r="T258" i="59"/>
  <c r="BL258" i="59"/>
  <c r="BE135" i="100"/>
  <c r="BG135" i="100" s="1"/>
  <c r="AE291" i="59"/>
  <c r="BB291" i="59"/>
  <c r="BC291" i="59"/>
  <c r="O291" i="59"/>
  <c r="AS291" i="59"/>
  <c r="AT88" i="100"/>
  <c r="AT87" i="100" s="1"/>
  <c r="AS50" i="100"/>
  <c r="AS88" i="100" s="1"/>
  <c r="AS87" i="100" s="1"/>
  <c r="AS85" i="100" s="1"/>
  <c r="BJ71" i="51"/>
  <c r="AT133" i="59"/>
  <c r="AV133" i="59"/>
  <c r="AY133" i="59"/>
  <c r="W133" i="59"/>
  <c r="BP205" i="77"/>
  <c r="BP71" i="51" s="1"/>
  <c r="BO71" i="51"/>
  <c r="BH12" i="59"/>
  <c r="BJ12" i="59"/>
  <c r="BK12" i="59"/>
  <c r="CM204" i="59"/>
  <c r="AB204" i="59"/>
  <c r="W204" i="59"/>
  <c r="BR12" i="59"/>
  <c r="CW204" i="59"/>
  <c r="M204" i="59"/>
  <c r="BN227" i="79"/>
  <c r="BN171" i="79"/>
  <c r="BM227" i="79"/>
  <c r="BM171" i="79"/>
  <c r="BO227" i="79"/>
  <c r="BO171" i="79"/>
  <c r="BB255" i="78"/>
  <c r="BI113" i="98"/>
  <c r="BI117" i="98" s="1"/>
  <c r="BF113" i="98"/>
  <c r="BF117" i="98" s="1"/>
  <c r="BF95" i="46"/>
  <c r="BG95" i="46" s="1"/>
  <c r="BA181" i="99"/>
  <c r="BA278" i="99"/>
  <c r="BJ95" i="46"/>
  <c r="BL95" i="46" s="1"/>
  <c r="BE181" i="99"/>
  <c r="BE278" i="99"/>
  <c r="BA95" i="46"/>
  <c r="BB95" i="46" s="1"/>
  <c r="AV181" i="99"/>
  <c r="AV278" i="99"/>
  <c r="BG261" i="100"/>
  <c r="BB56" i="100"/>
  <c r="BG94" i="73"/>
  <c r="BP71" i="80"/>
  <c r="BA350" i="80"/>
  <c r="AE542" i="80"/>
  <c r="AE285" i="80"/>
  <c r="AC90" i="80"/>
  <c r="AK474" i="80"/>
  <c r="BA337" i="80"/>
  <c r="AE298" i="80"/>
  <c r="AM71" i="80"/>
  <c r="AW79" i="80"/>
  <c r="BL67" i="80"/>
  <c r="BL257" i="80" s="1"/>
  <c r="AF471" i="80"/>
  <c r="AW12" i="51"/>
  <c r="BA12" i="51"/>
  <c r="AV37" i="100"/>
  <c r="BA40" i="79"/>
  <c r="BA40" i="51"/>
  <c r="BA43" i="78"/>
  <c r="BA40" i="80"/>
  <c r="BA801" i="80" s="1"/>
  <c r="AV43" i="99"/>
  <c r="AV37" i="98"/>
  <c r="BA41" i="77"/>
  <c r="BB50" i="46"/>
  <c r="AZ41" i="77"/>
  <c r="AU37" i="100"/>
  <c r="AZ40" i="79"/>
  <c r="AZ40" i="51"/>
  <c r="AZ43" i="78"/>
  <c r="AZ40" i="80"/>
  <c r="AZ801" i="80" s="1"/>
  <c r="BB801" i="80" s="1"/>
  <c r="AU43" i="99"/>
  <c r="AU37" i="98"/>
  <c r="AV15" i="51"/>
  <c r="AV19" i="51" s="1"/>
  <c r="AV23" i="51" s="1"/>
  <c r="AV10" i="51"/>
  <c r="AW9" i="51"/>
  <c r="CX41" i="59"/>
  <c r="U41" i="59"/>
  <c r="CN321" i="59"/>
  <c r="AH133" i="59"/>
  <c r="BV251" i="59"/>
  <c r="BQ256" i="59"/>
  <c r="BU12" i="59"/>
  <c r="AX221" i="78"/>
  <c r="AW228" i="77"/>
  <c r="AW269" i="77" s="1"/>
  <c r="AW60" i="73" s="1"/>
  <c r="P101" i="59"/>
  <c r="BF209" i="78"/>
  <c r="E12" i="59"/>
  <c r="AW258" i="59"/>
  <c r="AY41" i="59"/>
  <c r="AP11" i="59"/>
  <c r="S133" i="59"/>
  <c r="CM176" i="59"/>
  <c r="AG11" i="59"/>
  <c r="CV204" i="59"/>
  <c r="CN204" i="59"/>
  <c r="R11" i="59"/>
  <c r="AQ291" i="59"/>
  <c r="AI258" i="59"/>
  <c r="Z291" i="59"/>
  <c r="N204" i="59"/>
  <c r="AJ258" i="59"/>
  <c r="CT133" i="59"/>
  <c r="CW176" i="59"/>
  <c r="BC49" i="51"/>
  <c r="BC69" i="51" s="1"/>
  <c r="BG69" i="51" s="1"/>
  <c r="AL321" i="59"/>
  <c r="M41" i="59"/>
  <c r="AD133" i="59"/>
  <c r="CO176" i="59"/>
  <c r="U291" i="59"/>
  <c r="BL204" i="78"/>
  <c r="AS133" i="59"/>
  <c r="P176" i="59"/>
  <c r="X258" i="59"/>
  <c r="BC258" i="59"/>
  <c r="N226" i="59"/>
  <c r="AG90" i="59"/>
  <c r="AG101" i="59" s="1"/>
  <c r="BA156" i="100"/>
  <c r="BB156" i="100" s="1"/>
  <c r="Y258" i="59"/>
  <c r="BD291" i="59"/>
  <c r="AV321" i="59"/>
  <c r="AO226" i="59"/>
  <c r="AN41" i="59"/>
  <c r="P291" i="59"/>
  <c r="AJ291" i="59"/>
  <c r="BV94" i="59"/>
  <c r="BQ99" i="59"/>
  <c r="BQ101" i="59" s="1"/>
  <c r="AE176" i="59"/>
  <c r="CW41" i="59"/>
  <c r="CQ41" i="59"/>
  <c r="AR10" i="59"/>
  <c r="BD103" i="46" s="1"/>
  <c r="BD164" i="46" s="1"/>
  <c r="BM209" i="78"/>
  <c r="AM101" i="59"/>
  <c r="AB41" i="59"/>
  <c r="BL136" i="100"/>
  <c r="AH90" i="59"/>
  <c r="AH101" i="59" s="1"/>
  <c r="BE207" i="77"/>
  <c r="AY186" i="98"/>
  <c r="AI133" i="59"/>
  <c r="BL176" i="59"/>
  <c r="W11" i="59"/>
  <c r="M258" i="59"/>
  <c r="AE11" i="59"/>
  <c r="S176" i="59"/>
  <c r="S204" i="59"/>
  <c r="AI321" i="59"/>
  <c r="X11" i="59"/>
  <c r="X12" i="59" s="1"/>
  <c r="O101" i="59"/>
  <c r="Z101" i="59"/>
  <c r="BD133" i="59"/>
  <c r="CL204" i="59"/>
  <c r="S291" i="59"/>
  <c r="AK10" i="59"/>
  <c r="AK12" i="59" s="1"/>
  <c r="BA41" i="59"/>
  <c r="U133" i="59"/>
  <c r="AX176" i="59"/>
  <c r="CR176" i="59"/>
  <c r="CQ291" i="59"/>
  <c r="AX185" i="100"/>
  <c r="CL133" i="59"/>
  <c r="AX133" i="59"/>
  <c r="AV258" i="59"/>
  <c r="AE226" i="59"/>
  <c r="AX11" i="59"/>
  <c r="AS176" i="59"/>
  <c r="AH321" i="59"/>
  <c r="AS258" i="59"/>
  <c r="AS204" i="59"/>
  <c r="BA185" i="100"/>
  <c r="BB185" i="100" s="1"/>
  <c r="X204" i="59"/>
  <c r="BL202" i="77"/>
  <c r="AX186" i="98"/>
  <c r="AZ185" i="100"/>
  <c r="AZ186" i="98"/>
  <c r="CR291" i="59"/>
  <c r="N291" i="59"/>
  <c r="CV176" i="59"/>
  <c r="BH185" i="100"/>
  <c r="Y291" i="59"/>
  <c r="BG176" i="79"/>
  <c r="AB101" i="59"/>
  <c r="AD226" i="59"/>
  <c r="AQ258" i="59"/>
  <c r="AB321" i="59"/>
  <c r="W258" i="59"/>
  <c r="M11" i="59"/>
  <c r="AM258" i="59"/>
  <c r="CS41" i="59"/>
  <c r="AV11" i="59"/>
  <c r="BF161" i="99"/>
  <c r="AY321" i="59"/>
  <c r="BE127" i="100"/>
  <c r="BE156" i="100" s="1"/>
  <c r="BE160" i="100" s="1"/>
  <c r="AX291" i="59"/>
  <c r="BC156" i="79"/>
  <c r="CL176" i="59"/>
  <c r="M101" i="59"/>
  <c r="M10" i="59"/>
  <c r="BH178" i="77"/>
  <c r="BH203" i="77" s="1"/>
  <c r="BH207" i="77" s="1"/>
  <c r="AV204" i="59"/>
  <c r="AX178" i="77"/>
  <c r="AX203" i="77" s="1"/>
  <c r="AL204" i="59"/>
  <c r="BJ160" i="100"/>
  <c r="BM178" i="77"/>
  <c r="BM203" i="77" s="1"/>
  <c r="BM207" i="77" s="1"/>
  <c r="BA204" i="59"/>
  <c r="BC180" i="78"/>
  <c r="BC204" i="78" s="1"/>
  <c r="BG204" i="78" s="1"/>
  <c r="AQ11" i="59"/>
  <c r="AQ12" i="59" s="1"/>
  <c r="BK182" i="77"/>
  <c r="CT204" i="59"/>
  <c r="BA177" i="77"/>
  <c r="BA202" i="77" s="1"/>
  <c r="AO204" i="59"/>
  <c r="AZ177" i="77"/>
  <c r="AZ202" i="77" s="1"/>
  <c r="AZ207" i="77" s="1"/>
  <c r="AN204" i="59"/>
  <c r="BK186" i="98"/>
  <c r="BL186" i="98" s="1"/>
  <c r="BI186" i="98"/>
  <c r="T133" i="59"/>
  <c r="BA181" i="79"/>
  <c r="AI226" i="59"/>
  <c r="AV130" i="100"/>
  <c r="BA130" i="100" s="1"/>
  <c r="L12" i="59"/>
  <c r="BP209" i="78"/>
  <c r="Z204" i="59"/>
  <c r="AC291" i="59"/>
  <c r="BM12" i="59"/>
  <c r="Y101" i="59"/>
  <c r="AZ209" i="78"/>
  <c r="O258" i="59"/>
  <c r="Y204" i="59"/>
  <c r="BD258" i="59"/>
  <c r="AB291" i="59"/>
  <c r="AN101" i="59"/>
  <c r="AR176" i="59"/>
  <c r="AW204" i="59"/>
  <c r="U226" i="59"/>
  <c r="S226" i="59"/>
  <c r="P133" i="59"/>
  <c r="AE204" i="59"/>
  <c r="AR226" i="59"/>
  <c r="O11" i="59"/>
  <c r="R101" i="59"/>
  <c r="AW10" i="59"/>
  <c r="BI103" i="46" s="1"/>
  <c r="BI164" i="46" s="1"/>
  <c r="AC204" i="59"/>
  <c r="AN258" i="59"/>
  <c r="BI185" i="100"/>
  <c r="AW223" i="78"/>
  <c r="T176" i="59"/>
  <c r="AD10" i="59"/>
  <c r="BE837" i="80"/>
  <c r="BI178" i="77"/>
  <c r="AT204" i="59"/>
  <c r="BB226" i="59"/>
  <c r="R10" i="59"/>
  <c r="CG41" i="59"/>
  <c r="AN321" i="59"/>
  <c r="BK185" i="100"/>
  <c r="BL185" i="100" s="1"/>
  <c r="BK156" i="100"/>
  <c r="BL156" i="100" s="1"/>
  <c r="BJ185" i="100"/>
  <c r="AU12" i="59"/>
  <c r="BB11" i="59"/>
  <c r="AH11" i="59"/>
  <c r="AH204" i="59"/>
  <c r="AB11" i="59"/>
  <c r="AR204" i="59"/>
  <c r="AY156" i="98"/>
  <c r="BD152" i="79"/>
  <c r="BD177" i="79" s="1"/>
  <c r="BD181" i="79" s="1"/>
  <c r="AG41" i="59"/>
  <c r="AW101" i="59"/>
  <c r="W291" i="59"/>
  <c r="BA49" i="51"/>
  <c r="BA69" i="51" s="1"/>
  <c r="AO41" i="59"/>
  <c r="BI837" i="80"/>
  <c r="BL832" i="80"/>
  <c r="AW187" i="99"/>
  <c r="CX11" i="59"/>
  <c r="CS11" i="59"/>
  <c r="AL11" i="59"/>
  <c r="AS10" i="59"/>
  <c r="CO204" i="59"/>
  <c r="AB10" i="59"/>
  <c r="BA11" i="59"/>
  <c r="X176" i="59"/>
  <c r="CX176" i="59"/>
  <c r="AW133" i="59"/>
  <c r="AT219" i="99"/>
  <c r="BE152" i="79"/>
  <c r="BE177" i="79" s="1"/>
  <c r="BE181" i="79" s="1"/>
  <c r="X10" i="59"/>
  <c r="AS41" i="59"/>
  <c r="AV101" i="59"/>
  <c r="BH807" i="80"/>
  <c r="BI812" i="80"/>
  <c r="AQ204" i="59"/>
  <c r="AO101" i="59"/>
  <c r="BA807" i="80"/>
  <c r="BA833" i="80" s="1"/>
  <c r="BA837" i="80" s="1"/>
  <c r="AK228" i="77"/>
  <c r="AK269" i="77" s="1"/>
  <c r="BF207" i="77"/>
  <c r="AU228" i="77"/>
  <c r="AU269" i="77" s="1"/>
  <c r="AT228" i="77"/>
  <c r="AT269" i="77" s="1"/>
  <c r="T321" i="59"/>
  <c r="AV228" i="77"/>
  <c r="AV269" i="77" s="1"/>
  <c r="CQ11" i="59"/>
  <c r="AC176" i="59"/>
  <c r="U11" i="59"/>
  <c r="BB321" i="59"/>
  <c r="AT101" i="59"/>
  <c r="BF807" i="80"/>
  <c r="BF833" i="80" s="1"/>
  <c r="BF837" i="80" s="1"/>
  <c r="CQ176" i="59"/>
  <c r="CS204" i="59"/>
  <c r="O204" i="59"/>
  <c r="BD101" i="59"/>
  <c r="BP807" i="80"/>
  <c r="BP833" i="80" s="1"/>
  <c r="CV291" i="59"/>
  <c r="CY291" i="59"/>
  <c r="AT176" i="59"/>
  <c r="X321" i="59"/>
  <c r="CM321" i="59"/>
  <c r="BA101" i="59"/>
  <c r="BM807" i="80"/>
  <c r="BM833" i="80" s="1"/>
  <c r="BM837" i="80" s="1"/>
  <c r="BJ812" i="80"/>
  <c r="AQ228" i="77"/>
  <c r="AQ269" i="77" s="1"/>
  <c r="BC207" i="77"/>
  <c r="BG832" i="80"/>
  <c r="AX833" i="80"/>
  <c r="AX837" i="80" s="1"/>
  <c r="BB832" i="80"/>
  <c r="AO228" i="77"/>
  <c r="AO269" i="77" s="1"/>
  <c r="BL12" i="59"/>
  <c r="BA10" i="59"/>
  <c r="BC101" i="59"/>
  <c r="BO807" i="80"/>
  <c r="CO133" i="59"/>
  <c r="AJ176" i="59"/>
  <c r="N11" i="59"/>
  <c r="V12" i="59"/>
  <c r="CT176" i="59"/>
  <c r="CC211" i="59"/>
  <c r="CC216" i="59" s="1"/>
  <c r="AX209" i="78"/>
  <c r="CV11" i="59"/>
  <c r="AF12" i="59"/>
  <c r="CR11" i="59"/>
  <c r="CQ204" i="59"/>
  <c r="AV186" i="98"/>
  <c r="AW186" i="98" s="1"/>
  <c r="AL101" i="59"/>
  <c r="AQ101" i="59"/>
  <c r="BC807" i="80"/>
  <c r="BA133" i="59"/>
  <c r="BB167" i="99"/>
  <c r="AR101" i="59"/>
  <c r="BD807" i="80"/>
  <c r="BD833" i="80" s="1"/>
  <c r="BD837" i="80" s="1"/>
  <c r="T11" i="59"/>
  <c r="BD226" i="59"/>
  <c r="BL156" i="98"/>
  <c r="CB211" i="59"/>
  <c r="CB216" i="59" s="1"/>
  <c r="CD211" i="59"/>
  <c r="CD216" i="59" s="1"/>
  <c r="CJ211" i="59"/>
  <c r="CJ216" i="59" s="1"/>
  <c r="CI211" i="59"/>
  <c r="CI216" i="59" s="1"/>
  <c r="CH211" i="59"/>
  <c r="CH216" i="59" s="1"/>
  <c r="CG211" i="59"/>
  <c r="CG216" i="59" s="1"/>
  <c r="BQ204" i="78"/>
  <c r="AR11" i="59"/>
  <c r="AR12" i="59" s="1"/>
  <c r="AS11" i="59"/>
  <c r="AV10" i="59"/>
  <c r="AI101" i="59"/>
  <c r="AX101" i="59"/>
  <c r="BA126" i="100"/>
  <c r="BA155" i="100" s="1"/>
  <c r="BA160" i="100" s="1"/>
  <c r="CL321" i="59"/>
  <c r="AR133" i="59"/>
  <c r="AO258" i="59"/>
  <c r="AS219" i="99"/>
  <c r="AL258" i="59"/>
  <c r="AV156" i="98"/>
  <c r="BG202" i="77"/>
  <c r="AV176" i="59"/>
  <c r="BB101" i="59"/>
  <c r="BB133" i="59"/>
  <c r="AY152" i="79"/>
  <c r="AY177" i="79" s="1"/>
  <c r="AY181" i="79" s="1"/>
  <c r="AV291" i="59"/>
  <c r="BB258" i="59"/>
  <c r="BA291" i="59"/>
  <c r="AM321" i="59"/>
  <c r="Z176" i="59"/>
  <c r="CW11" i="59"/>
  <c r="BI209" i="78"/>
  <c r="M133" i="59"/>
  <c r="AH291" i="59"/>
  <c r="BH186" i="98"/>
  <c r="BE12" i="59"/>
  <c r="W101" i="59"/>
  <c r="AX10" i="59"/>
  <c r="AT226" i="59"/>
  <c r="AQ10" i="59"/>
  <c r="AQ321" i="59"/>
  <c r="CE71" i="59"/>
  <c r="CG71" i="59"/>
  <c r="CH71" i="59"/>
  <c r="CC71" i="59"/>
  <c r="CK71" i="59"/>
  <c r="CP71" i="59" s="1"/>
  <c r="CU71" i="59" s="1"/>
  <c r="CZ71" i="59" s="1"/>
  <c r="CJ71" i="59"/>
  <c r="CD71" i="59"/>
  <c r="CB71" i="59"/>
  <c r="CI71" i="59"/>
  <c r="W10" i="59"/>
  <c r="CH70" i="59"/>
  <c r="CH90" i="59" s="1"/>
  <c r="CK70" i="59"/>
  <c r="CP70" i="59" s="1"/>
  <c r="CU70" i="59" s="1"/>
  <c r="CZ70" i="59" s="1"/>
  <c r="CB70" i="59"/>
  <c r="CG70" i="59"/>
  <c r="CG90" i="59" s="1"/>
  <c r="CI70" i="59"/>
  <c r="CC70" i="59"/>
  <c r="CC90" i="59" s="1"/>
  <c r="AY812" i="80" s="1"/>
  <c r="CE70" i="59"/>
  <c r="CE90" i="59" s="1"/>
  <c r="BA812" i="80" s="1"/>
  <c r="CD70" i="59"/>
  <c r="CJ70" i="59"/>
  <c r="Y10" i="59"/>
  <c r="P204" i="59"/>
  <c r="AG176" i="59"/>
  <c r="Q12" i="59"/>
  <c r="AH258" i="59"/>
  <c r="N258" i="59"/>
  <c r="W41" i="59"/>
  <c r="Y41" i="59"/>
  <c r="CN176" i="59"/>
  <c r="BC181" i="78"/>
  <c r="BC205" i="78" s="1"/>
  <c r="AQ133" i="59"/>
  <c r="AL133" i="59"/>
  <c r="BC321" i="59"/>
  <c r="AN11" i="59"/>
  <c r="AT11" i="59"/>
  <c r="BQ204" i="59"/>
  <c r="BB156" i="98"/>
  <c r="AY204" i="59"/>
  <c r="BK178" i="77"/>
  <c r="BK203" i="77" s="1"/>
  <c r="BK207" i="77" s="1"/>
  <c r="U258" i="59"/>
  <c r="AR41" i="59"/>
  <c r="BB204" i="78"/>
  <c r="BS12" i="59"/>
  <c r="BB100" i="97"/>
  <c r="BA100" i="97"/>
  <c r="AZ100" i="97"/>
  <c r="AY100" i="97"/>
  <c r="BB103" i="97"/>
  <c r="BA103" i="97"/>
  <c r="AZ103" i="97"/>
  <c r="AY103" i="97"/>
  <c r="BB104" i="97"/>
  <c r="BA104" i="97"/>
  <c r="AZ104" i="97"/>
  <c r="AY104" i="97"/>
  <c r="BB101" i="97"/>
  <c r="BA101" i="97"/>
  <c r="AZ101" i="97"/>
  <c r="AY101" i="97"/>
  <c r="AY435" i="80"/>
  <c r="AY436" i="80" s="1"/>
  <c r="BG479" i="80"/>
  <c r="BX53" i="97"/>
  <c r="CC39" i="97"/>
  <c r="BW39" i="97"/>
  <c r="BX75" i="97"/>
  <c r="BX25" i="97"/>
  <c r="BB102" i="97"/>
  <c r="BB40" i="97" s="1"/>
  <c r="BA102" i="97"/>
  <c r="BA40" i="97" s="1"/>
  <c r="AZ102" i="97"/>
  <c r="AZ40" i="97" s="1"/>
  <c r="AY102" i="97"/>
  <c r="BP107" i="97"/>
  <c r="AY45" i="97"/>
  <c r="BP45" i="97" s="1"/>
  <c r="BB44" i="97"/>
  <c r="BP114" i="80"/>
  <c r="BP94" i="80" s="1"/>
  <c r="BP460" i="80" s="1"/>
  <c r="BP468" i="80" s="1"/>
  <c r="BX51" i="97"/>
  <c r="BW37" i="97"/>
  <c r="CC37" i="97"/>
  <c r="BX54" i="97"/>
  <c r="CC40" i="97"/>
  <c r="BW40" i="97"/>
  <c r="BW78" i="97"/>
  <c r="BY78" i="97" s="1"/>
  <c r="BQ59" i="80"/>
  <c r="BA44" i="97"/>
  <c r="BO114" i="80"/>
  <c r="AM479" i="80"/>
  <c r="AB79" i="80"/>
  <c r="AB311" i="80" s="1"/>
  <c r="AB319" i="80" s="1"/>
  <c r="AB321" i="80" s="1"/>
  <c r="AW75" i="80"/>
  <c r="BX74" i="97"/>
  <c r="BX17" i="97"/>
  <c r="BX52" i="97"/>
  <c r="BW38" i="97"/>
  <c r="CC38" i="97"/>
  <c r="BP105" i="97"/>
  <c r="AY43" i="97"/>
  <c r="BP43" i="97" s="1"/>
  <c r="AZ44" i="97"/>
  <c r="BN114" i="80"/>
  <c r="BL75" i="80"/>
  <c r="AC82" i="80"/>
  <c r="AC83" i="80" s="1"/>
  <c r="AA488" i="80"/>
  <c r="AO476" i="80"/>
  <c r="AU471" i="80"/>
  <c r="AB71" i="80"/>
  <c r="AB350" i="80" s="1"/>
  <c r="AB358" i="80" s="1"/>
  <c r="AB360" i="80" s="1"/>
  <c r="AM439" i="80"/>
  <c r="AE543" i="80"/>
  <c r="BX50" i="97"/>
  <c r="CC36" i="97"/>
  <c r="BW36" i="97"/>
  <c r="BX76" i="97"/>
  <c r="BX31" i="97"/>
  <c r="BP106" i="97"/>
  <c r="BM114" i="80"/>
  <c r="AY44" i="97"/>
  <c r="BE103" i="46"/>
  <c r="BE164" i="46" s="1"/>
  <c r="AX811" i="80"/>
  <c r="BX101" i="59"/>
  <c r="BW101" i="59"/>
  <c r="BZ101" i="59"/>
  <c r="BY101" i="59"/>
  <c r="BB176" i="59"/>
  <c r="BN152" i="79"/>
  <c r="BN177" i="79" s="1"/>
  <c r="BN181" i="79" s="1"/>
  <c r="BJ187" i="99"/>
  <c r="BI219" i="99"/>
  <c r="AI204" i="59"/>
  <c r="AY258" i="59"/>
  <c r="AW291" i="59"/>
  <c r="BD126" i="100"/>
  <c r="BD155" i="100" s="1"/>
  <c r="BG155" i="100" s="1"/>
  <c r="BE187" i="99"/>
  <c r="BD219" i="99"/>
  <c r="BT12" i="59"/>
  <c r="AI11" i="59"/>
  <c r="AC101" i="59"/>
  <c r="AC11" i="59"/>
  <c r="AJ11" i="59"/>
  <c r="CA47" i="59"/>
  <c r="BV90" i="59"/>
  <c r="CY11" i="59"/>
  <c r="BO12" i="59"/>
  <c r="AY176" i="59"/>
  <c r="BK152" i="79"/>
  <c r="BK177" i="79" s="1"/>
  <c r="BK181" i="79" s="1"/>
  <c r="AU185" i="100"/>
  <c r="AV185" i="100"/>
  <c r="AW185" i="100" s="1"/>
  <c r="AV156" i="100"/>
  <c r="AV160" i="100" s="1"/>
  <c r="AX219" i="99"/>
  <c r="AY187" i="99"/>
  <c r="AO133" i="59"/>
  <c r="BA181" i="78"/>
  <c r="BA205" i="78" s="1"/>
  <c r="BA209" i="78" s="1"/>
  <c r="BC176" i="59"/>
  <c r="BO152" i="79"/>
  <c r="BO177" i="79" s="1"/>
  <c r="BO181" i="79" s="1"/>
  <c r="BQ174" i="59"/>
  <c r="BQ11" i="59" s="1"/>
  <c r="BV167" i="59"/>
  <c r="BQ202" i="77"/>
  <c r="BQ247" i="59"/>
  <c r="BV235" i="59"/>
  <c r="AT10" i="59"/>
  <c r="S11" i="59"/>
  <c r="AZ69" i="51"/>
  <c r="BB49" i="51"/>
  <c r="AO291" i="59"/>
  <c r="BD321" i="59"/>
  <c r="AO10" i="59"/>
  <c r="AX177" i="79"/>
  <c r="BB152" i="79"/>
  <c r="AO176" i="59"/>
  <c r="CT11" i="59"/>
  <c r="AO11" i="59"/>
  <c r="AC10" i="59"/>
  <c r="AG10" i="59"/>
  <c r="BG49" i="51"/>
  <c r="Y11" i="59"/>
  <c r="AL10" i="59"/>
  <c r="BA12" i="59"/>
  <c r="BM103" i="46"/>
  <c r="AM133" i="59"/>
  <c r="AY181" i="78"/>
  <c r="BF186" i="98"/>
  <c r="BG186" i="98" s="1"/>
  <c r="BE186" i="98"/>
  <c r="BF156" i="98"/>
  <c r="BB41" i="59"/>
  <c r="BN49" i="51"/>
  <c r="BN69" i="51" s="1"/>
  <c r="BB10" i="59"/>
  <c r="BD11" i="59"/>
  <c r="BC41" i="59"/>
  <c r="BC10" i="59"/>
  <c r="BO49" i="51"/>
  <c r="BO69" i="51" s="1"/>
  <c r="BC133" i="59"/>
  <c r="BO181" i="78"/>
  <c r="BO205" i="78" s="1"/>
  <c r="BO209" i="78" s="1"/>
  <c r="BV163" i="59"/>
  <c r="CF265" i="59"/>
  <c r="CA281" i="59"/>
  <c r="BD156" i="100"/>
  <c r="BH160" i="100"/>
  <c r="BL155" i="100"/>
  <c r="BL160" i="100" s="1"/>
  <c r="AX321" i="59"/>
  <c r="AZ12" i="59"/>
  <c r="AW176" i="59"/>
  <c r="BI152" i="79"/>
  <c r="AD176" i="59"/>
  <c r="BC204" i="59"/>
  <c r="BO178" i="77"/>
  <c r="BO203" i="77" s="1"/>
  <c r="BQ289" i="59"/>
  <c r="BQ291" i="59" s="1"/>
  <c r="BV284" i="59"/>
  <c r="BC219" i="99"/>
  <c r="BD187" i="99"/>
  <c r="BQ319" i="59"/>
  <c r="BQ321" i="59" s="1"/>
  <c r="AB12" i="59"/>
  <c r="AT41" i="59"/>
  <c r="AY11" i="59"/>
  <c r="AN10" i="59"/>
  <c r="Z11" i="59"/>
  <c r="AN133" i="59"/>
  <c r="CY176" i="59"/>
  <c r="BP157" i="79"/>
  <c r="BQ133" i="59"/>
  <c r="CA121" i="59"/>
  <c r="CF107" i="59"/>
  <c r="R176" i="59"/>
  <c r="BL135" i="100"/>
  <c r="AS160" i="100"/>
  <c r="AW155" i="100"/>
  <c r="BD10" i="59"/>
  <c r="AM291" i="59"/>
  <c r="AM11" i="59"/>
  <c r="AJ10" i="59"/>
  <c r="U10" i="59"/>
  <c r="BC103" i="46"/>
  <c r="AS101" i="59"/>
  <c r="CX291" i="59"/>
  <c r="Z41" i="59"/>
  <c r="Z10" i="59"/>
  <c r="AI41" i="59"/>
  <c r="AI10" i="59"/>
  <c r="BM69" i="51"/>
  <c r="AR291" i="59"/>
  <c r="AY126" i="100"/>
  <c r="AY155" i="100" s="1"/>
  <c r="BV311" i="59"/>
  <c r="N41" i="59"/>
  <c r="N10" i="59"/>
  <c r="CA18" i="59"/>
  <c r="BV31" i="59"/>
  <c r="AA12" i="59"/>
  <c r="BH69" i="51"/>
  <c r="BL69" i="51" s="1"/>
  <c r="BL49" i="51"/>
  <c r="BL176" i="79"/>
  <c r="BF219" i="99"/>
  <c r="BG219" i="99" s="1"/>
  <c r="BF187" i="99"/>
  <c r="BE219" i="99"/>
  <c r="R12" i="59"/>
  <c r="BC11" i="59"/>
  <c r="BN205" i="78"/>
  <c r="AP10" i="59"/>
  <c r="BH219" i="99"/>
  <c r="BI187" i="99"/>
  <c r="AJ204" i="59"/>
  <c r="BA321" i="59"/>
  <c r="CA125" i="59"/>
  <c r="BV131" i="59"/>
  <c r="BV133" i="59" s="1"/>
  <c r="O41" i="59"/>
  <c r="O10" i="59"/>
  <c r="BO833" i="80"/>
  <c r="BQ833" i="80" s="1"/>
  <c r="BD205" i="78"/>
  <c r="BG181" i="78"/>
  <c r="BC177" i="79"/>
  <c r="BG152" i="79"/>
  <c r="BJ219" i="99"/>
  <c r="BK187" i="99"/>
  <c r="BK219" i="99"/>
  <c r="BL219" i="99" s="1"/>
  <c r="BB204" i="59"/>
  <c r="BN178" i="77"/>
  <c r="AL291" i="59"/>
  <c r="AR321" i="59"/>
  <c r="P10" i="59"/>
  <c r="BD41" i="59"/>
  <c r="U176" i="59"/>
  <c r="AT321" i="59"/>
  <c r="X41" i="59"/>
  <c r="AY10" i="59"/>
  <c r="BM177" i="79"/>
  <c r="BD203" i="77"/>
  <c r="BG178" i="77"/>
  <c r="AT186" i="98"/>
  <c r="AU156" i="98"/>
  <c r="AS186" i="98"/>
  <c r="CT291" i="59"/>
  <c r="AJ41" i="59"/>
  <c r="W176" i="59"/>
  <c r="AE10" i="59"/>
  <c r="BB176" i="79"/>
  <c r="BD204" i="59"/>
  <c r="BP178" i="77"/>
  <c r="BP203" i="77" s="1"/>
  <c r="S10" i="59"/>
  <c r="BQ41" i="59"/>
  <c r="BQ10" i="59"/>
  <c r="CK140" i="59"/>
  <c r="CP140" i="59" s="1"/>
  <c r="CU140" i="59" s="1"/>
  <c r="CZ140" i="59" s="1"/>
  <c r="CG140" i="59"/>
  <c r="CG163" i="59" s="1"/>
  <c r="CC140" i="59"/>
  <c r="CI140" i="59"/>
  <c r="CI163" i="59" s="1"/>
  <c r="CE140" i="59"/>
  <c r="CH140" i="59"/>
  <c r="CH163" i="59" s="1"/>
  <c r="CJ140" i="59"/>
  <c r="CJ163" i="59" s="1"/>
  <c r="CB140" i="59"/>
  <c r="CD140" i="59"/>
  <c r="CF216" i="59"/>
  <c r="CK211" i="59"/>
  <c r="AM204" i="59"/>
  <c r="AY178" i="77"/>
  <c r="BD186" i="98"/>
  <c r="BE156" i="98"/>
  <c r="BG156" i="98" s="1"/>
  <c r="BC186" i="98"/>
  <c r="AU156" i="100"/>
  <c r="AU160" i="100" s="1"/>
  <c r="AT185" i="100"/>
  <c r="AS185" i="100"/>
  <c r="AS190" i="100" s="1"/>
  <c r="AT156" i="100"/>
  <c r="AT211" i="100" s="1"/>
  <c r="AX258" i="59"/>
  <c r="AH41" i="59"/>
  <c r="AH10" i="59"/>
  <c r="T10" i="59"/>
  <c r="P11" i="59"/>
  <c r="AD11" i="59"/>
  <c r="AD12" i="59" s="1"/>
  <c r="CA182" i="59"/>
  <c r="BV192" i="59"/>
  <c r="BV202" i="59"/>
  <c r="CA196" i="59"/>
  <c r="AS226" i="59"/>
  <c r="BF127" i="100"/>
  <c r="BC185" i="100" s="1"/>
  <c r="AY291" i="59"/>
  <c r="AN291" i="59"/>
  <c r="N321" i="59"/>
  <c r="CC39" i="59"/>
  <c r="BY39" i="59"/>
  <c r="CB39" i="59"/>
  <c r="BX39" i="59"/>
  <c r="CA39" i="59"/>
  <c r="CE39" i="59"/>
  <c r="BW39" i="59"/>
  <c r="CD39" i="59"/>
  <c r="BZ39" i="59"/>
  <c r="BG12" i="59"/>
  <c r="BH205" i="78"/>
  <c r="BL181" i="78"/>
  <c r="BV224" i="59"/>
  <c r="BV226" i="59" s="1"/>
  <c r="BA187" i="99"/>
  <c r="BA219" i="99"/>
  <c r="BB219" i="99" s="1"/>
  <c r="AZ219" i="99"/>
  <c r="P41" i="59"/>
  <c r="AW321" i="59"/>
  <c r="AM10" i="59"/>
  <c r="BI203" i="77"/>
  <c r="AW11" i="59"/>
  <c r="AB176" i="59"/>
  <c r="AB37" i="51"/>
  <c r="AB43" i="51" s="1"/>
  <c r="AB42" i="51"/>
  <c r="BE24" i="51"/>
  <c r="BP10" i="51"/>
  <c r="BM10" i="51"/>
  <c r="BQ8" i="51"/>
  <c r="I42" i="51"/>
  <c r="I37" i="51"/>
  <c r="I43" i="51" s="1"/>
  <c r="AO42" i="51"/>
  <c r="AO37" i="51"/>
  <c r="AO43" i="51" s="1"/>
  <c r="BH55" i="51"/>
  <c r="BM13" i="51"/>
  <c r="BO10" i="51"/>
  <c r="AG42" i="51"/>
  <c r="AG37" i="51"/>
  <c r="AG43" i="51" s="1"/>
  <c r="BM21" i="51"/>
  <c r="BQ21" i="51" s="1"/>
  <c r="BL21" i="51"/>
  <c r="AF37" i="51"/>
  <c r="AF43" i="51" s="1"/>
  <c r="AF42" i="51"/>
  <c r="E42" i="51"/>
  <c r="E37" i="51"/>
  <c r="E43" i="51" s="1"/>
  <c r="AK42" i="51"/>
  <c r="AK37" i="51"/>
  <c r="AK43" i="51" s="1"/>
  <c r="BL10" i="51"/>
  <c r="BJ55" i="51"/>
  <c r="BO13" i="51"/>
  <c r="BO55" i="51" s="1"/>
  <c r="BM14" i="51"/>
  <c r="BQ14" i="51" s="1"/>
  <c r="BL14" i="51"/>
  <c r="T37" i="51"/>
  <c r="T43" i="51" s="1"/>
  <c r="T42" i="51"/>
  <c r="AX24" i="51"/>
  <c r="H37" i="51"/>
  <c r="H43" i="51" s="1"/>
  <c r="H42" i="51"/>
  <c r="M42" i="51"/>
  <c r="M37" i="51"/>
  <c r="M43" i="51" s="1"/>
  <c r="AS42" i="51"/>
  <c r="AS37" i="51"/>
  <c r="AS43" i="51" s="1"/>
  <c r="AU37" i="51"/>
  <c r="AU43" i="51" s="1"/>
  <c r="AU42" i="51"/>
  <c r="BI55" i="51"/>
  <c r="BN13" i="51"/>
  <c r="BN55" i="51" s="1"/>
  <c r="L37" i="51"/>
  <c r="L43" i="51" s="1"/>
  <c r="L42" i="51"/>
  <c r="BN10" i="51"/>
  <c r="Y42" i="51"/>
  <c r="Y37" i="51"/>
  <c r="Y43" i="51" s="1"/>
  <c r="BI15" i="51"/>
  <c r="BI19" i="51" s="1"/>
  <c r="BI23" i="51" s="1"/>
  <c r="BN12" i="51"/>
  <c r="AN37" i="51"/>
  <c r="AN43" i="51" s="1"/>
  <c r="AN42" i="51"/>
  <c r="O37" i="51"/>
  <c r="O43" i="51" s="1"/>
  <c r="O42" i="51"/>
  <c r="Q42" i="51"/>
  <c r="Q37" i="51"/>
  <c r="Q43" i="51" s="1"/>
  <c r="BO12" i="51"/>
  <c r="BJ15" i="51"/>
  <c r="BJ19" i="51" s="1"/>
  <c r="BJ23" i="51" s="1"/>
  <c r="AR24" i="51"/>
  <c r="AR28" i="51"/>
  <c r="AR32" i="51" s="1"/>
  <c r="AR35" i="51" s="1"/>
  <c r="P37" i="51"/>
  <c r="P43" i="51" s="1"/>
  <c r="P42" i="51"/>
  <c r="U42" i="51"/>
  <c r="U37" i="51"/>
  <c r="U43" i="51" s="1"/>
  <c r="AJ37" i="51"/>
  <c r="AJ43" i="51" s="1"/>
  <c r="AJ42" i="51"/>
  <c r="BH12" i="51"/>
  <c r="BC15" i="51"/>
  <c r="BC19" i="51" s="1"/>
  <c r="BC23" i="51" s="1"/>
  <c r="BD24" i="51"/>
  <c r="X37" i="51"/>
  <c r="X43" i="51" s="1"/>
  <c r="X42" i="51"/>
  <c r="BF55" i="51"/>
  <c r="BG55" i="51" s="1"/>
  <c r="BK13" i="51"/>
  <c r="AC42" i="51"/>
  <c r="AC37" i="51"/>
  <c r="AC43" i="51" s="1"/>
  <c r="AT37" i="51"/>
  <c r="AT43" i="51" s="1"/>
  <c r="AT42" i="51"/>
  <c r="U24" i="100"/>
  <c r="U28" i="100"/>
  <c r="AA28" i="100"/>
  <c r="AA24" i="100"/>
  <c r="J227" i="100"/>
  <c r="M227" i="100"/>
  <c r="L227" i="100"/>
  <c r="K227" i="100"/>
  <c r="J28" i="100"/>
  <c r="J24" i="100"/>
  <c r="AY109" i="100"/>
  <c r="AX109" i="100"/>
  <c r="AX47" i="100" s="1"/>
  <c r="BA109" i="100"/>
  <c r="BA47" i="100" s="1"/>
  <c r="AZ109" i="100"/>
  <c r="X227" i="100"/>
  <c r="X240" i="100" s="1"/>
  <c r="X28" i="100"/>
  <c r="X24" i="100"/>
  <c r="X228" i="100" s="1"/>
  <c r="X235" i="100" s="1"/>
  <c r="AZ68" i="100"/>
  <c r="AO24" i="100"/>
  <c r="AO28" i="100"/>
  <c r="AZ117" i="100"/>
  <c r="BA114" i="100"/>
  <c r="BA117" i="100" s="1"/>
  <c r="AC235" i="100"/>
  <c r="AR32" i="100"/>
  <c r="AP28" i="100"/>
  <c r="AP24" i="100"/>
  <c r="AE81" i="100"/>
  <c r="I54" i="100"/>
  <c r="I53" i="100"/>
  <c r="I32" i="100"/>
  <c r="BH65" i="100"/>
  <c r="BC66" i="100"/>
  <c r="BG65" i="100"/>
  <c r="BG66" i="100" s="1"/>
  <c r="BG68" i="100" s="1"/>
  <c r="AY90" i="100"/>
  <c r="AT14" i="100"/>
  <c r="AV147" i="100"/>
  <c r="AV172" i="100" s="1"/>
  <c r="AW172" i="100" s="1"/>
  <c r="AX172" i="100" s="1"/>
  <c r="AY172" i="100" s="1"/>
  <c r="AZ172" i="100" s="1"/>
  <c r="BA172" i="100" s="1"/>
  <c r="BB172" i="100" s="1"/>
  <c r="BC172" i="100" s="1"/>
  <c r="BD172" i="100" s="1"/>
  <c r="BE172" i="100" s="1"/>
  <c r="BF172" i="100" s="1"/>
  <c r="BG172" i="100" s="1"/>
  <c r="BH172" i="100" s="1"/>
  <c r="BI172" i="100" s="1"/>
  <c r="BJ172" i="100" s="1"/>
  <c r="BK172" i="100" s="1"/>
  <c r="BL172" i="100" s="1"/>
  <c r="AC221" i="100"/>
  <c r="S79" i="100"/>
  <c r="S81" i="100" s="1"/>
  <c r="S75" i="100"/>
  <c r="Q24" i="100"/>
  <c r="Q28" i="100"/>
  <c r="AY105" i="100"/>
  <c r="AX104" i="100"/>
  <c r="BD245" i="100"/>
  <c r="BD150" i="100"/>
  <c r="BI96" i="46"/>
  <c r="Y213" i="100"/>
  <c r="Y234" i="100"/>
  <c r="Y233" i="100"/>
  <c r="K218" i="100"/>
  <c r="K233" i="100"/>
  <c r="AC39" i="100"/>
  <c r="AC34" i="100"/>
  <c r="Z28" i="100"/>
  <c r="Z24" i="100"/>
  <c r="R79" i="100"/>
  <c r="R81" i="100" s="1"/>
  <c r="R75" i="100"/>
  <c r="BF90" i="100"/>
  <c r="BA14" i="100"/>
  <c r="BA68" i="100"/>
  <c r="BI72" i="100"/>
  <c r="BF130" i="100"/>
  <c r="AL245" i="100"/>
  <c r="AQ96" i="46"/>
  <c r="U213" i="100"/>
  <c r="U234" i="100"/>
  <c r="U233" i="100"/>
  <c r="S54" i="100"/>
  <c r="S53" i="100"/>
  <c r="S32" i="100"/>
  <c r="BA155" i="46"/>
  <c r="N75" i="100"/>
  <c r="N79" i="100"/>
  <c r="N81" i="100" s="1"/>
  <c r="AB79" i="100"/>
  <c r="AB81" i="100" s="1"/>
  <c r="AB75" i="100"/>
  <c r="BJ65" i="100"/>
  <c r="BJ66" i="100" s="1"/>
  <c r="BE66" i="100"/>
  <c r="AL23" i="100"/>
  <c r="AQ26" i="46"/>
  <c r="AR26" i="46" s="1"/>
  <c r="AH221" i="100"/>
  <c r="AH234" i="100" s="1"/>
  <c r="M221" i="100"/>
  <c r="N219" i="100"/>
  <c r="N258" i="100" s="1"/>
  <c r="N218" i="100"/>
  <c r="N233" i="100"/>
  <c r="O227" i="100"/>
  <c r="O240" i="100" s="1"/>
  <c r="Q227" i="100"/>
  <c r="Q240" i="100" s="1"/>
  <c r="P227" i="100"/>
  <c r="P240" i="100" s="1"/>
  <c r="R227" i="100"/>
  <c r="R240" i="100" s="1"/>
  <c r="O28" i="100"/>
  <c r="O24" i="100"/>
  <c r="BA71" i="100"/>
  <c r="BA9" i="100" s="1"/>
  <c r="BF72" i="100"/>
  <c r="AD100" i="100"/>
  <c r="AD102" i="100" s="1"/>
  <c r="AD105" i="100"/>
  <c r="BG129" i="100"/>
  <c r="AW128" i="46"/>
  <c r="AB213" i="100"/>
  <c r="AB233" i="100"/>
  <c r="AB234" i="100"/>
  <c r="I219" i="100"/>
  <c r="I258" i="100" s="1"/>
  <c r="I218" i="100"/>
  <c r="I233" i="100"/>
  <c r="AZ71" i="100"/>
  <c r="AZ9" i="100" s="1"/>
  <c r="O79" i="100"/>
  <c r="O81" i="100" s="1"/>
  <c r="O75" i="100"/>
  <c r="AJ79" i="100"/>
  <c r="AJ81" i="100" s="1"/>
  <c r="AJ75" i="100"/>
  <c r="AE21" i="100"/>
  <c r="AE23" i="100" s="1"/>
  <c r="AO75" i="100"/>
  <c r="X109" i="100"/>
  <c r="P109" i="100"/>
  <c r="P110" i="100" s="1"/>
  <c r="O109" i="100"/>
  <c r="O110" i="100" s="1"/>
  <c r="R109" i="100"/>
  <c r="R110" i="100" s="1"/>
  <c r="Q109" i="100"/>
  <c r="Q110" i="100" s="1"/>
  <c r="AM228" i="100"/>
  <c r="AM235" i="100" s="1"/>
  <c r="AR33" i="71"/>
  <c r="AX198" i="100"/>
  <c r="BF66" i="100"/>
  <c r="BK65" i="100"/>
  <c r="BK66" i="100" s="1"/>
  <c r="AJ24" i="100"/>
  <c r="AJ28" i="100"/>
  <c r="BH153" i="100"/>
  <c r="AU100" i="100"/>
  <c r="R233" i="100"/>
  <c r="AK24" i="100"/>
  <c r="AK28" i="100"/>
  <c r="AH75" i="100"/>
  <c r="AH79" i="100"/>
  <c r="AH81" i="100" s="1"/>
  <c r="AL227" i="100"/>
  <c r="AL240" i="100" s="1"/>
  <c r="AI28" i="100"/>
  <c r="AI24" i="100"/>
  <c r="AN79" i="100"/>
  <c r="AN75" i="100"/>
  <c r="N227" i="100"/>
  <c r="N240" i="100" s="1"/>
  <c r="N28" i="100"/>
  <c r="N24" i="100"/>
  <c r="N228" i="100" s="1"/>
  <c r="N235" i="100" s="1"/>
  <c r="AP105" i="100"/>
  <c r="AP100" i="100"/>
  <c r="AP102" i="100" s="1"/>
  <c r="U227" i="100"/>
  <c r="U240" i="100" s="1"/>
  <c r="T227" i="100"/>
  <c r="T240" i="100" s="1"/>
  <c r="T24" i="100"/>
  <c r="T28" i="100"/>
  <c r="V21" i="100"/>
  <c r="V23" i="100" s="1"/>
  <c r="V20" i="100"/>
  <c r="W20" i="100" s="1"/>
  <c r="AV26" i="46"/>
  <c r="AQ23" i="100"/>
  <c r="AX68" i="100"/>
  <c r="BJ117" i="100"/>
  <c r="BK114" i="100"/>
  <c r="BK117" i="100" s="1"/>
  <c r="BG121" i="100"/>
  <c r="AB127" i="100"/>
  <c r="AB160" i="100"/>
  <c r="AB162" i="100" s="1"/>
  <c r="AR221" i="100"/>
  <c r="AR233" i="100" s="1"/>
  <c r="AR219" i="100"/>
  <c r="AR258" i="100" s="1"/>
  <c r="AW92" i="73" s="1"/>
  <c r="AR218" i="100"/>
  <c r="AK233" i="100"/>
  <c r="AK213" i="100"/>
  <c r="AK234" i="100"/>
  <c r="I261" i="100"/>
  <c r="I56" i="100" s="1"/>
  <c r="N56" i="100"/>
  <c r="BJ72" i="100"/>
  <c r="BJ71" i="100" s="1"/>
  <c r="BJ9" i="100" s="1"/>
  <c r="BE71" i="100"/>
  <c r="BE9" i="100" s="1"/>
  <c r="AP81" i="100"/>
  <c r="AC62" i="100"/>
  <c r="AC74" i="100" s="1"/>
  <c r="AF20" i="100"/>
  <c r="AG20" i="100" s="1"/>
  <c r="AG21" i="100" s="1"/>
  <c r="AG23" i="100" s="1"/>
  <c r="AF21" i="100"/>
  <c r="AF23" i="100" s="1"/>
  <c r="AO81" i="100"/>
  <c r="AI105" i="100"/>
  <c r="AI100" i="100"/>
  <c r="AI102" i="100" s="1"/>
  <c r="AM54" i="100"/>
  <c r="AM53" i="100"/>
  <c r="AM32" i="100"/>
  <c r="BI245" i="100"/>
  <c r="BI150" i="100"/>
  <c r="BI153" i="100" s="1"/>
  <c r="BN96" i="46"/>
  <c r="AT175" i="100"/>
  <c r="X221" i="100"/>
  <c r="X219" i="100"/>
  <c r="X258" i="100" s="1"/>
  <c r="AC92" i="73" s="1"/>
  <c r="X218" i="100"/>
  <c r="AO213" i="100"/>
  <c r="AO234" i="100"/>
  <c r="AO233" i="100"/>
  <c r="T79" i="100"/>
  <c r="T81" i="100" s="1"/>
  <c r="T75" i="100"/>
  <c r="R28" i="100"/>
  <c r="R24" i="100"/>
  <c r="AM87" i="100"/>
  <c r="AM88" i="100" s="1"/>
  <c r="AM50" i="100" s="1"/>
  <c r="AR89" i="73" s="1"/>
  <c r="K54" i="100"/>
  <c r="K32" i="100"/>
  <c r="K53" i="100"/>
  <c r="AW26" i="46"/>
  <c r="Y24" i="100"/>
  <c r="Y28" i="100"/>
  <c r="BD66" i="100"/>
  <c r="BI65" i="100"/>
  <c r="BI66" i="100" s="1"/>
  <c r="AZ130" i="100"/>
  <c r="I162" i="100"/>
  <c r="I165" i="100" s="1"/>
  <c r="J163" i="100" s="1"/>
  <c r="J165" i="100" s="1"/>
  <c r="K163" i="100" s="1"/>
  <c r="K165" i="100" s="1"/>
  <c r="L163" i="100" s="1"/>
  <c r="L165" i="100" s="1"/>
  <c r="M163" i="100" s="1"/>
  <c r="M165" i="100" s="1"/>
  <c r="CK165" i="100"/>
  <c r="CL163" i="100" s="1"/>
  <c r="P218" i="100"/>
  <c r="P233" i="100"/>
  <c r="J218" i="100"/>
  <c r="J233" i="100"/>
  <c r="AO222" i="100"/>
  <c r="W19" i="100"/>
  <c r="Y222" i="100"/>
  <c r="AS12" i="100"/>
  <c r="AH227" i="100"/>
  <c r="AH240" i="100" s="1"/>
  <c r="AH28" i="100"/>
  <c r="AH24" i="100"/>
  <c r="AH228" i="100" s="1"/>
  <c r="AH235" i="100" s="1"/>
  <c r="AB23" i="100"/>
  <c r="AX72" i="100"/>
  <c r="AS71" i="100"/>
  <c r="L109" i="100"/>
  <c r="L110" i="100" s="1"/>
  <c r="K109" i="100"/>
  <c r="K110" i="100" s="1"/>
  <c r="J109" i="100"/>
  <c r="J110" i="100" s="1"/>
  <c r="M109" i="100"/>
  <c r="M110" i="100" s="1"/>
  <c r="BC130" i="100"/>
  <c r="L218" i="100"/>
  <c r="L233" i="100"/>
  <c r="N213" i="100"/>
  <c r="AR228" i="100"/>
  <c r="AR235" i="100" s="1"/>
  <c r="AW33" i="71"/>
  <c r="M24" i="100"/>
  <c r="M28" i="100"/>
  <c r="AV87" i="100"/>
  <c r="AW89" i="73"/>
  <c r="AW90" i="100"/>
  <c r="AW91" i="100" s="1"/>
  <c r="AX90" i="100"/>
  <c r="AS14" i="100"/>
  <c r="AW14" i="100" s="1"/>
  <c r="AS120" i="100"/>
  <c r="AS19" i="100" s="1"/>
  <c r="AT120" i="100"/>
  <c r="AT19" i="100" s="1"/>
  <c r="AV120" i="100"/>
  <c r="AV19" i="100" s="1"/>
  <c r="AU120" i="100"/>
  <c r="AU19" i="100" s="1"/>
  <c r="AC261" i="100"/>
  <c r="X56" i="100"/>
  <c r="AC94" i="73"/>
  <c r="AE227" i="100"/>
  <c r="AE240" i="100" s="1"/>
  <c r="AF227" i="100"/>
  <c r="AF240" i="100" s="1"/>
  <c r="AD28" i="100"/>
  <c r="AD24" i="100"/>
  <c r="W79" i="100"/>
  <c r="W81" i="100" s="1"/>
  <c r="W75" i="100"/>
  <c r="R249" i="100"/>
  <c r="N249" i="100"/>
  <c r="X104" i="73"/>
  <c r="S251" i="100"/>
  <c r="BE117" i="100"/>
  <c r="BF114" i="100"/>
  <c r="BF117" i="100" s="1"/>
  <c r="AS153" i="100"/>
  <c r="Y218" i="100"/>
  <c r="K213" i="100"/>
  <c r="K234" i="100"/>
  <c r="X62" i="100"/>
  <c r="X74" i="100" s="1"/>
  <c r="P28" i="100"/>
  <c r="P24" i="100"/>
  <c r="AQ227" i="100"/>
  <c r="AQ240" i="100" s="1"/>
  <c r="AP227" i="100"/>
  <c r="AP240" i="100" s="1"/>
  <c r="AO227" i="100"/>
  <c r="AO240" i="100" s="1"/>
  <c r="AN227" i="100"/>
  <c r="AN240" i="100" s="1"/>
  <c r="AN28" i="100"/>
  <c r="AN24" i="100"/>
  <c r="L53" i="100"/>
  <c r="L54" i="100"/>
  <c r="L32" i="100"/>
  <c r="AZ85" i="100"/>
  <c r="AZ12" i="100" s="1"/>
  <c r="BE87" i="100"/>
  <c r="AY68" i="100"/>
  <c r="AV245" i="100"/>
  <c r="AV150" i="100"/>
  <c r="AV153" i="100" s="1"/>
  <c r="BA96" i="46"/>
  <c r="BB96" i="46" s="1"/>
  <c r="AY130" i="100"/>
  <c r="X222" i="100"/>
  <c r="U218" i="100"/>
  <c r="P222" i="100"/>
  <c r="J222" i="100"/>
  <c r="R30" i="99"/>
  <c r="R34" i="99"/>
  <c r="M34" i="99"/>
  <c r="M30" i="99"/>
  <c r="W34" i="99"/>
  <c r="W30" i="99"/>
  <c r="Y260" i="99"/>
  <c r="Y273" i="99" s="1"/>
  <c r="AV25" i="46"/>
  <c r="AQ29" i="99"/>
  <c r="Z260" i="99"/>
  <c r="Z273" i="99" s="1"/>
  <c r="AG30" i="99"/>
  <c r="AM32" i="71" s="1"/>
  <c r="AG34" i="99"/>
  <c r="AH76" i="99"/>
  <c r="AH50" i="99" s="1"/>
  <c r="AM77" i="73" s="1"/>
  <c r="AH85" i="99"/>
  <c r="AH80" i="99"/>
  <c r="AM76" i="99"/>
  <c r="AM50" i="99" s="1"/>
  <c r="AR77" i="73" s="1"/>
  <c r="AZ117" i="99"/>
  <c r="AZ18" i="99" s="1"/>
  <c r="BE119" i="99"/>
  <c r="DW58" i="71"/>
  <c r="BG168" i="46"/>
  <c r="DY58" i="71" s="1"/>
  <c r="AP29" i="99"/>
  <c r="AU25" i="46"/>
  <c r="BJ80" i="99"/>
  <c r="AY102" i="99"/>
  <c r="AY94" i="99"/>
  <c r="BD100" i="99"/>
  <c r="AS117" i="99"/>
  <c r="AY104" i="99"/>
  <c r="AY123" i="99"/>
  <c r="AX59" i="99"/>
  <c r="AX123" i="99" s="1"/>
  <c r="AR127" i="46"/>
  <c r="AV231" i="99"/>
  <c r="BH26" i="99"/>
  <c r="BL26" i="99" s="1"/>
  <c r="BG26" i="99"/>
  <c r="AO89" i="99"/>
  <c r="AT85" i="99"/>
  <c r="AY76" i="99"/>
  <c r="BF74" i="99"/>
  <c r="BK73" i="99"/>
  <c r="BK74" i="99" s="1"/>
  <c r="AL120" i="99"/>
  <c r="AL58" i="99" s="1"/>
  <c r="AM119" i="99"/>
  <c r="AM120" i="99" s="1"/>
  <c r="AM58" i="99" s="1"/>
  <c r="AR79" i="73" s="1"/>
  <c r="AC113" i="99"/>
  <c r="S255" i="99"/>
  <c r="O255" i="99"/>
  <c r="BF122" i="99"/>
  <c r="BA20" i="99"/>
  <c r="AZ76" i="99"/>
  <c r="L110" i="99"/>
  <c r="L104" i="99"/>
  <c r="V102" i="99"/>
  <c r="V51" i="99" s="1"/>
  <c r="V104" i="99"/>
  <c r="AA102" i="99"/>
  <c r="AA51" i="99" s="1"/>
  <c r="V110" i="99"/>
  <c r="AZ109" i="99"/>
  <c r="AZ13" i="99" s="1"/>
  <c r="BE110" i="99"/>
  <c r="AZ122" i="99"/>
  <c r="AU20" i="99"/>
  <c r="AT136" i="99"/>
  <c r="AU137" i="99"/>
  <c r="AG249" i="99"/>
  <c r="AG246" i="99"/>
  <c r="AG266" i="99"/>
  <c r="AG267" i="99"/>
  <c r="AL23" i="99"/>
  <c r="AL16" i="99"/>
  <c r="AY109" i="99"/>
  <c r="AY13" i="99" s="1"/>
  <c r="AV79" i="99"/>
  <c r="AV12" i="99" s="1"/>
  <c r="AV14" i="99" s="1"/>
  <c r="BA80" i="99"/>
  <c r="AW109" i="99"/>
  <c r="AW110" i="99" s="1"/>
  <c r="AS13" i="99"/>
  <c r="AW13" i="99" s="1"/>
  <c r="BI278" i="99"/>
  <c r="BI181" i="99"/>
  <c r="BN95" i="46"/>
  <c r="N194" i="99"/>
  <c r="N196" i="99" s="1"/>
  <c r="O194" i="99" s="1"/>
  <c r="CP196" i="99"/>
  <c r="AC246" i="99"/>
  <c r="U62" i="99"/>
  <c r="U38" i="99"/>
  <c r="U61" i="99"/>
  <c r="S62" i="99"/>
  <c r="S38" i="99"/>
  <c r="S61" i="99"/>
  <c r="AR261" i="99"/>
  <c r="AW32" i="71"/>
  <c r="AH40" i="99"/>
  <c r="AH45" i="99"/>
  <c r="AG260" i="99"/>
  <c r="AG273" i="99" s="1"/>
  <c r="AD34" i="99"/>
  <c r="AD30" i="99"/>
  <c r="AX76" i="99"/>
  <c r="BB74" i="99"/>
  <c r="BB76" i="99" s="1"/>
  <c r="AZ14" i="99"/>
  <c r="AT112" i="99"/>
  <c r="AT113" i="99" s="1"/>
  <c r="AT9" i="99"/>
  <c r="AT117" i="99"/>
  <c r="AT18" i="99" s="1"/>
  <c r="BH80" i="99"/>
  <c r="AX102" i="99"/>
  <c r="BB100" i="99"/>
  <c r="BB102" i="99" s="1"/>
  <c r="AX94" i="99"/>
  <c r="BC100" i="99"/>
  <c r="AR268" i="99"/>
  <c r="AW127" i="46"/>
  <c r="AK249" i="99"/>
  <c r="AK267" i="99"/>
  <c r="AK255" i="99"/>
  <c r="AK266" i="99"/>
  <c r="AK246" i="99"/>
  <c r="BI73" i="99"/>
  <c r="BI74" i="99" s="1"/>
  <c r="BD74" i="99"/>
  <c r="BA76" i="99"/>
  <c r="AM260" i="99"/>
  <c r="AM273" i="99" s="1"/>
  <c r="AM34" i="99"/>
  <c r="AM30" i="99"/>
  <c r="N80" i="99"/>
  <c r="N76" i="99"/>
  <c r="N50" i="99" s="1"/>
  <c r="N85" i="99"/>
  <c r="S80" i="99"/>
  <c r="S76" i="99"/>
  <c r="S50" i="99" s="1"/>
  <c r="X77" i="73" s="1"/>
  <c r="S85" i="99"/>
  <c r="S89" i="99" s="1"/>
  <c r="M252" i="99"/>
  <c r="M291" i="99" s="1"/>
  <c r="M249" i="99"/>
  <c r="M266" i="99"/>
  <c r="Z30" i="99"/>
  <c r="Z34" i="99"/>
  <c r="K34" i="99"/>
  <c r="K30" i="99"/>
  <c r="AY79" i="99"/>
  <c r="AY12" i="99" s="1"/>
  <c r="AY14" i="99" s="1"/>
  <c r="BE74" i="99"/>
  <c r="BE79" i="99" s="1"/>
  <c r="BE12" i="99" s="1"/>
  <c r="BJ73" i="99"/>
  <c r="BJ74" i="99" s="1"/>
  <c r="AA34" i="99"/>
  <c r="AA30" i="99"/>
  <c r="BE100" i="99"/>
  <c r="AZ102" i="99"/>
  <c r="BD123" i="99"/>
  <c r="BC59" i="99"/>
  <c r="BC123" i="99" s="1"/>
  <c r="AP132" i="99"/>
  <c r="AP134" i="99" s="1"/>
  <c r="AS144" i="99" s="1"/>
  <c r="AP137" i="99"/>
  <c r="AT132" i="99"/>
  <c r="AR254" i="99"/>
  <c r="AR246" i="99" s="1"/>
  <c r="P34" i="99"/>
  <c r="P30" i="99"/>
  <c r="Q261" i="99" s="1"/>
  <c r="Q268" i="99" s="1"/>
  <c r="BK110" i="99"/>
  <c r="AI260" i="99"/>
  <c r="AI273" i="99" s="1"/>
  <c r="AI34" i="99"/>
  <c r="AI30" i="99"/>
  <c r="AW12" i="99"/>
  <c r="AW14" i="99" s="1"/>
  <c r="AS14" i="99"/>
  <c r="AX109" i="99"/>
  <c r="BC110" i="99"/>
  <c r="AY120" i="99"/>
  <c r="AY119" i="99" s="1"/>
  <c r="AX58" i="99"/>
  <c r="AX120" i="99" s="1"/>
  <c r="AX119" i="99" s="1"/>
  <c r="CN194" i="99"/>
  <c r="CN196" i="99" s="1"/>
  <c r="CO194" i="99"/>
  <c r="CO196" i="99" s="1"/>
  <c r="CM196" i="99"/>
  <c r="AC255" i="99"/>
  <c r="X249" i="99"/>
  <c r="X266" i="99"/>
  <c r="AF62" i="99"/>
  <c r="AF61" i="99"/>
  <c r="AF38" i="99"/>
  <c r="P261" i="99"/>
  <c r="P268" i="99" s="1"/>
  <c r="O261" i="99"/>
  <c r="O268" i="99" s="1"/>
  <c r="R261" i="99"/>
  <c r="R268" i="99" s="1"/>
  <c r="O260" i="99"/>
  <c r="O273" i="99" s="1"/>
  <c r="AR38" i="99"/>
  <c r="BC74" i="99"/>
  <c r="BH73" i="99"/>
  <c r="BG73" i="99"/>
  <c r="AG76" i="99"/>
  <c r="AG50" i="99" s="1"/>
  <c r="AG80" i="99"/>
  <c r="AL76" i="99"/>
  <c r="AL50" i="99" s="1"/>
  <c r="AX79" i="99"/>
  <c r="AT208" i="99"/>
  <c r="AH246" i="99"/>
  <c r="AH282" i="99"/>
  <c r="BK51" i="99"/>
  <c r="BJ51" i="99" s="1"/>
  <c r="BI51" i="99" s="1"/>
  <c r="BH51" i="99" s="1"/>
  <c r="BQ78" i="73"/>
  <c r="M85" i="99"/>
  <c r="M89" i="99" s="1"/>
  <c r="AM113" i="99"/>
  <c r="AV119" i="99"/>
  <c r="AW79" i="73"/>
  <c r="AK29" i="99"/>
  <c r="AP25" i="46"/>
  <c r="AY61" i="99"/>
  <c r="X76" i="99"/>
  <c r="X50" i="99" s="1"/>
  <c r="AC77" i="73" s="1"/>
  <c r="BD120" i="99"/>
  <c r="BC58" i="99"/>
  <c r="BC120" i="99" s="1"/>
  <c r="BK150" i="99"/>
  <c r="S246" i="99"/>
  <c r="Q61" i="99"/>
  <c r="Q62" i="99"/>
  <c r="Q38" i="99"/>
  <c r="BD79" i="99"/>
  <c r="BD12" i="99" s="1"/>
  <c r="BI80" i="99"/>
  <c r="BI79" i="99" s="1"/>
  <c r="BI12" i="99" s="1"/>
  <c r="BI123" i="99"/>
  <c r="BH59" i="99"/>
  <c r="BH123" i="99" s="1"/>
  <c r="L89" i="99"/>
  <c r="AU112" i="99"/>
  <c r="AU113" i="99" s="1"/>
  <c r="AU9" i="99"/>
  <c r="AC252" i="99"/>
  <c r="AC291" i="99" s="1"/>
  <c r="AH82" i="73" s="1"/>
  <c r="I249" i="99"/>
  <c r="I252" i="99"/>
  <c r="I291" i="99" s="1"/>
  <c r="I266" i="99"/>
  <c r="AO249" i="99"/>
  <c r="AO267" i="99"/>
  <c r="AO246" i="99"/>
  <c r="AO266" i="99"/>
  <c r="AE34" i="99"/>
  <c r="AE30" i="99"/>
  <c r="N45" i="99"/>
  <c r="N40" i="99"/>
  <c r="AW79" i="99"/>
  <c r="AW80" i="99" s="1"/>
  <c r="M267" i="99"/>
  <c r="K252" i="99"/>
  <c r="K291" i="99" s="1"/>
  <c r="K249" i="99"/>
  <c r="K266" i="99"/>
  <c r="O62" i="99"/>
  <c r="O61" i="99"/>
  <c r="O38" i="99"/>
  <c r="P260" i="99"/>
  <c r="P273" i="99" s="1"/>
  <c r="V61" i="99"/>
  <c r="V38" i="99"/>
  <c r="V62" i="99"/>
  <c r="AA261" i="99"/>
  <c r="Z261" i="99"/>
  <c r="Z268" i="99" s="1"/>
  <c r="Y261" i="99"/>
  <c r="Y268" i="99" s="1"/>
  <c r="AA260" i="99"/>
  <c r="AA273" i="99" s="1"/>
  <c r="L62" i="99"/>
  <c r="L61" i="99"/>
  <c r="L38" i="99"/>
  <c r="X45" i="99"/>
  <c r="X40" i="99"/>
  <c r="BF100" i="99"/>
  <c r="BA102" i="99"/>
  <c r="AL80" i="99"/>
  <c r="AL82" i="99"/>
  <c r="AN29" i="99"/>
  <c r="AS25" i="46"/>
  <c r="AS94" i="99"/>
  <c r="AH249" i="99"/>
  <c r="AH266" i="99"/>
  <c r="AA268" i="99"/>
  <c r="AA267" i="99"/>
  <c r="AA254" i="99"/>
  <c r="AA255" i="99" s="1"/>
  <c r="Y249" i="99"/>
  <c r="Y266" i="99"/>
  <c r="Y255" i="99"/>
  <c r="Y246" i="99"/>
  <c r="Y267" i="99"/>
  <c r="AC45" i="99"/>
  <c r="AC40" i="99"/>
  <c r="I38" i="99"/>
  <c r="I61" i="99"/>
  <c r="I62" i="99"/>
  <c r="AG85" i="99"/>
  <c r="AG89" i="99" s="1"/>
  <c r="AS85" i="99"/>
  <c r="AN89" i="99"/>
  <c r="S252" i="99"/>
  <c r="S291" i="99" s="1"/>
  <c r="X82" i="73" s="1"/>
  <c r="R254" i="99"/>
  <c r="R255" i="99" s="1"/>
  <c r="S249" i="99"/>
  <c r="S266" i="99"/>
  <c r="O252" i="99"/>
  <c r="O291" i="99" s="1"/>
  <c r="O249" i="99"/>
  <c r="O266" i="99"/>
  <c r="L260" i="99"/>
  <c r="L273" i="99" s="1"/>
  <c r="K260" i="99"/>
  <c r="K273" i="99" s="1"/>
  <c r="M260" i="99"/>
  <c r="M273" i="99" s="1"/>
  <c r="J260" i="99"/>
  <c r="J273" i="99" s="1"/>
  <c r="J30" i="99"/>
  <c r="J34" i="99"/>
  <c r="AB29" i="99"/>
  <c r="AD260" i="99" s="1"/>
  <c r="AD273" i="99" s="1"/>
  <c r="AO29" i="99"/>
  <c r="AT25" i="46"/>
  <c r="W102" i="99"/>
  <c r="W51" i="99" s="1"/>
  <c r="W110" i="99"/>
  <c r="W104" i="99"/>
  <c r="AT123" i="99"/>
  <c r="AT122" i="99" s="1"/>
  <c r="AS59" i="99"/>
  <c r="AS123" i="99" s="1"/>
  <c r="AS122" i="99" s="1"/>
  <c r="BL155" i="99"/>
  <c r="AO144" i="99"/>
  <c r="AC249" i="99"/>
  <c r="AC266" i="99"/>
  <c r="AG252" i="99"/>
  <c r="AG291" i="99" s="1"/>
  <c r="T260" i="99"/>
  <c r="T273" i="99" s="1"/>
  <c r="W260" i="99"/>
  <c r="W273" i="99" s="1"/>
  <c r="U260" i="99"/>
  <c r="U273" i="99" s="1"/>
  <c r="V260" i="99"/>
  <c r="V273" i="99" s="1"/>
  <c r="T34" i="99"/>
  <c r="T30" i="99"/>
  <c r="AZ104" i="99"/>
  <c r="BE104" i="99" s="1"/>
  <c r="AP89" i="99"/>
  <c r="AU85" i="99"/>
  <c r="AJ29" i="99"/>
  <c r="AO25" i="46"/>
  <c r="BD109" i="99"/>
  <c r="BD13" i="99" s="1"/>
  <c r="BI110" i="99"/>
  <c r="AB89" i="99"/>
  <c r="BI120" i="99"/>
  <c r="BH58" i="99"/>
  <c r="BH120" i="99" s="1"/>
  <c r="S282" i="99"/>
  <c r="AC103" i="73"/>
  <c r="X284" i="99"/>
  <c r="AM254" i="99"/>
  <c r="AM255" i="99" s="1"/>
  <c r="M246" i="99"/>
  <c r="K255" i="99"/>
  <c r="L249" i="99"/>
  <c r="L252" i="99"/>
  <c r="L291" i="99" s="1"/>
  <c r="L266" i="99"/>
  <c r="L267" i="99"/>
  <c r="R260" i="99"/>
  <c r="R273" i="99" s="1"/>
  <c r="AB102" i="99"/>
  <c r="AB51" i="99" s="1"/>
  <c r="Y61" i="99"/>
  <c r="Y62" i="99"/>
  <c r="Y38" i="99"/>
  <c r="AB260" i="99"/>
  <c r="AB273" i="99" s="1"/>
  <c r="M24" i="98"/>
  <c r="M28" i="98"/>
  <c r="M32" i="98" s="1"/>
  <c r="Q228" i="98"/>
  <c r="Q241" i="98" s="1"/>
  <c r="M228" i="98"/>
  <c r="M241" i="98" s="1"/>
  <c r="P228" i="98"/>
  <c r="P241" i="98" s="1"/>
  <c r="O228" i="98"/>
  <c r="O241" i="98" s="1"/>
  <c r="U24" i="98"/>
  <c r="U28" i="98"/>
  <c r="U228" i="98"/>
  <c r="U241" i="98" s="1"/>
  <c r="R24" i="98"/>
  <c r="R28" i="98"/>
  <c r="T228" i="98"/>
  <c r="T241" i="98" s="1"/>
  <c r="R228" i="98"/>
  <c r="R241" i="98" s="1"/>
  <c r="AB28" i="98"/>
  <c r="AB24" i="98"/>
  <c r="AE228" i="98"/>
  <c r="AE241" i="98" s="1"/>
  <c r="AD228" i="98"/>
  <c r="AD241" i="98" s="1"/>
  <c r="AF228" i="98"/>
  <c r="AF241" i="98" s="1"/>
  <c r="AG28" i="98"/>
  <c r="AG24" i="98"/>
  <c r="AM31" i="71" s="1"/>
  <c r="AG228" i="98"/>
  <c r="AG241" i="98" s="1"/>
  <c r="ED49" i="71"/>
  <c r="BA87" i="98"/>
  <c r="AV85" i="98"/>
  <c r="AV12" i="98" s="1"/>
  <c r="BH66" i="98"/>
  <c r="AL88" i="98"/>
  <c r="AL51" i="98" s="1"/>
  <c r="AM87" i="98"/>
  <c r="AM88" i="98" s="1"/>
  <c r="AM51" i="98" s="1"/>
  <c r="AR68" i="73" s="1"/>
  <c r="BA66" i="98"/>
  <c r="BF65" i="98"/>
  <c r="AM77" i="98"/>
  <c r="AM81" i="98" s="1"/>
  <c r="AM75" i="98"/>
  <c r="AK99" i="98"/>
  <c r="AK101" i="98" s="1"/>
  <c r="AL111" i="98" s="1"/>
  <c r="AK104" i="98"/>
  <c r="N77" i="98"/>
  <c r="N81" i="98" s="1"/>
  <c r="N75" i="98"/>
  <c r="AC220" i="98"/>
  <c r="AC259" i="98" s="1"/>
  <c r="AH71" i="73" s="1"/>
  <c r="AK28" i="98"/>
  <c r="AK24" i="98"/>
  <c r="AB228" i="98"/>
  <c r="AB241" i="98" s="1"/>
  <c r="Y28" i="98"/>
  <c r="Y24" i="98"/>
  <c r="W68" i="98"/>
  <c r="W44" i="98" s="1"/>
  <c r="W72" i="98"/>
  <c r="W81" i="98" s="1"/>
  <c r="AB68" i="98"/>
  <c r="AB44" i="98" s="1"/>
  <c r="BF90" i="98"/>
  <c r="BA14" i="98"/>
  <c r="S75" i="98"/>
  <c r="BI246" i="98"/>
  <c r="BI150" i="98"/>
  <c r="BI153" i="98" s="1"/>
  <c r="BN94" i="46"/>
  <c r="CM163" i="98"/>
  <c r="CP163" i="98"/>
  <c r="AR234" i="98"/>
  <c r="U214" i="98"/>
  <c r="U235" i="98"/>
  <c r="U234" i="98"/>
  <c r="AC253" i="98"/>
  <c r="BH20" i="98"/>
  <c r="BL20" i="98" s="1"/>
  <c r="BG20" i="98"/>
  <c r="AX72" i="98"/>
  <c r="AS71" i="98"/>
  <c r="AR229" i="98"/>
  <c r="AW31" i="71"/>
  <c r="AY90" i="98"/>
  <c r="AT14" i="98"/>
  <c r="AA81" i="98"/>
  <c r="CL165" i="98"/>
  <c r="AO214" i="98"/>
  <c r="AO235" i="98"/>
  <c r="AO234" i="98"/>
  <c r="Y235" i="98"/>
  <c r="Y234" i="98"/>
  <c r="Y223" i="98"/>
  <c r="Y214" i="98"/>
  <c r="S34" i="98"/>
  <c r="S39" i="98"/>
  <c r="I55" i="98"/>
  <c r="I54" i="98"/>
  <c r="I32" i="98"/>
  <c r="AW68" i="73"/>
  <c r="AL68" i="98"/>
  <c r="AL44" i="98" s="1"/>
  <c r="AL72" i="98"/>
  <c r="BD65" i="98"/>
  <c r="AY66" i="98"/>
  <c r="BB65" i="98"/>
  <c r="BB66" i="98" s="1"/>
  <c r="BB68" i="98" s="1"/>
  <c r="AV113" i="98"/>
  <c r="AV117" i="98" s="1"/>
  <c r="AV199" i="98"/>
  <c r="L34" i="98"/>
  <c r="L40" i="98" s="1"/>
  <c r="L39" i="98"/>
  <c r="J39" i="98"/>
  <c r="J34" i="98"/>
  <c r="O55" i="98"/>
  <c r="O54" i="98"/>
  <c r="O32" i="98"/>
  <c r="AN81" i="98"/>
  <c r="AS77" i="98"/>
  <c r="P54" i="98"/>
  <c r="P55" i="98"/>
  <c r="P32" i="98"/>
  <c r="BB155" i="46"/>
  <c r="N55" i="98"/>
  <c r="N54" i="98"/>
  <c r="N32" i="98"/>
  <c r="AK228" i="98"/>
  <c r="AK241" i="98" s="1"/>
  <c r="AJ228" i="98"/>
  <c r="AJ241" i="98" s="1"/>
  <c r="AI228" i="98"/>
  <c r="AI241" i="98" s="1"/>
  <c r="AI28" i="98"/>
  <c r="AI24" i="98"/>
  <c r="BC68" i="98"/>
  <c r="AT88" i="98"/>
  <c r="AT87" i="98" s="1"/>
  <c r="AS51" i="98"/>
  <c r="AS88" i="98" s="1"/>
  <c r="AS87" i="98" s="1"/>
  <c r="AR235" i="98"/>
  <c r="AW126" i="46"/>
  <c r="AO24" i="98"/>
  <c r="AO28" i="98"/>
  <c r="DI162" i="98"/>
  <c r="AU246" i="98"/>
  <c r="AU150" i="98"/>
  <c r="AU153" i="98" s="1"/>
  <c r="AZ94" i="46"/>
  <c r="AK214" i="98"/>
  <c r="AK235" i="98"/>
  <c r="AK234" i="98"/>
  <c r="U220" i="98"/>
  <c r="U259" i="98" s="1"/>
  <c r="AH252" i="98"/>
  <c r="AH253" i="98" s="1"/>
  <c r="AM245" i="98"/>
  <c r="AM250" i="98" s="1"/>
  <c r="AI245" i="98"/>
  <c r="AI250" i="98" s="1"/>
  <c r="AJ245" i="98" s="1"/>
  <c r="AJ250" i="98" s="1"/>
  <c r="AK245" i="98" s="1"/>
  <c r="AK250" i="98" s="1"/>
  <c r="AL245" i="98" s="1"/>
  <c r="AL250" i="98" s="1"/>
  <c r="AM102" i="73"/>
  <c r="AP24" i="98"/>
  <c r="AP28" i="98"/>
  <c r="AV72" i="98"/>
  <c r="X77" i="98"/>
  <c r="X81" i="98" s="1"/>
  <c r="X75" i="98"/>
  <c r="AR32" i="98"/>
  <c r="O111" i="98"/>
  <c r="P111" i="98"/>
  <c r="AR126" i="46"/>
  <c r="AV191" i="98"/>
  <c r="AM34" i="98"/>
  <c r="AM39" i="98"/>
  <c r="BC246" i="98"/>
  <c r="BC150" i="98"/>
  <c r="BH94" i="46"/>
  <c r="K39" i="98"/>
  <c r="K34" i="98"/>
  <c r="K40" i="98" s="1"/>
  <c r="AD55" i="98"/>
  <c r="AD54" i="98"/>
  <c r="AD32" i="98"/>
  <c r="T54" i="98"/>
  <c r="T55" i="98"/>
  <c r="T32" i="98"/>
  <c r="AZ72" i="98"/>
  <c r="AU71" i="98"/>
  <c r="AU9" i="98" s="1"/>
  <c r="AQ228" i="98"/>
  <c r="AQ241" i="98" s="1"/>
  <c r="AN28" i="98"/>
  <c r="AN24" i="98"/>
  <c r="AJ24" i="98"/>
  <c r="AJ28" i="98"/>
  <c r="AU85" i="98"/>
  <c r="AU12" i="98" s="1"/>
  <c r="AZ87" i="98"/>
  <c r="W234" i="98"/>
  <c r="W220" i="98"/>
  <c r="W259" i="98" s="1"/>
  <c r="AQ23" i="98"/>
  <c r="AV24" i="46"/>
  <c r="AW24" i="46" s="1"/>
  <c r="BI72" i="98"/>
  <c r="BI91" i="98"/>
  <c r="BH52" i="98"/>
  <c r="BH91" i="98" s="1"/>
  <c r="AU103" i="98"/>
  <c r="AV104" i="98"/>
  <c r="AV103" i="98" s="1"/>
  <c r="AW103" i="98" s="1"/>
  <c r="BJ113" i="98"/>
  <c r="BJ117" i="98" s="1"/>
  <c r="BH246" i="98"/>
  <c r="BH150" i="98"/>
  <c r="BM94" i="46"/>
  <c r="AS246" i="98"/>
  <c r="AS150" i="98"/>
  <c r="AX94" i="46"/>
  <c r="AS99" i="98"/>
  <c r="AK220" i="98"/>
  <c r="AK259" i="98" s="1"/>
  <c r="AG235" i="98"/>
  <c r="AG234" i="98"/>
  <c r="AG223" i="98"/>
  <c r="AG214" i="98"/>
  <c r="BE65" i="98"/>
  <c r="AZ66" i="98"/>
  <c r="U111" i="98"/>
  <c r="T111" i="98"/>
  <c r="AX246" i="98"/>
  <c r="AX150" i="98"/>
  <c r="BC94" i="46"/>
  <c r="AM222" i="98"/>
  <c r="AM235" i="98" s="1"/>
  <c r="X39" i="98"/>
  <c r="X34" i="98"/>
  <c r="AL77" i="98"/>
  <c r="AL81" i="98" s="1"/>
  <c r="AC77" i="98"/>
  <c r="AC81" i="98" s="1"/>
  <c r="AC75" i="98"/>
  <c r="AE81" i="98"/>
  <c r="BE90" i="98"/>
  <c r="AZ14" i="98"/>
  <c r="BF246" i="98"/>
  <c r="BF150" i="98"/>
  <c r="BF153" i="98" s="1"/>
  <c r="BK94" i="46"/>
  <c r="R222" i="98"/>
  <c r="R223" i="98" s="1"/>
  <c r="S220" i="98"/>
  <c r="S259" i="98" s="1"/>
  <c r="X71" i="73" s="1"/>
  <c r="S234" i="98"/>
  <c r="W223" i="98"/>
  <c r="AO223" i="98"/>
  <c r="AE55" i="98"/>
  <c r="AE54" i="98"/>
  <c r="AE32" i="98"/>
  <c r="AF54" i="98"/>
  <c r="AF32" i="98"/>
  <c r="AF55" i="98"/>
  <c r="AC55" i="98"/>
  <c r="AC54" i="98"/>
  <c r="AC32" i="98"/>
  <c r="AD229" i="98"/>
  <c r="AG229" i="98"/>
  <c r="AF229" i="98"/>
  <c r="AE229" i="98"/>
  <c r="U223" i="98"/>
  <c r="Q32" i="98"/>
  <c r="Q55" i="98"/>
  <c r="Q54" i="98"/>
  <c r="U229" i="98"/>
  <c r="U236" i="98" s="1"/>
  <c r="T229" i="98"/>
  <c r="T236" i="98" s="1"/>
  <c r="AL23" i="98"/>
  <c r="AL228" i="98" s="1"/>
  <c r="AL241" i="98" s="1"/>
  <c r="AQ24" i="46"/>
  <c r="AR24" i="46" s="1"/>
  <c r="AV68" i="98"/>
  <c r="AK111" i="98"/>
  <c r="AJ111" i="98"/>
  <c r="AZ246" i="98"/>
  <c r="AZ150" i="98"/>
  <c r="AZ153" i="98" s="1"/>
  <c r="BE94" i="46"/>
  <c r="AC235" i="98"/>
  <c r="AC223" i="98"/>
  <c r="AC214" i="98"/>
  <c r="AH55" i="98"/>
  <c r="AH54" i="98"/>
  <c r="AH32" i="98"/>
  <c r="AT77" i="98"/>
  <c r="AO81" i="98"/>
  <c r="AJ77" i="98"/>
  <c r="AJ81" i="98" s="1"/>
  <c r="AJ75" i="98"/>
  <c r="BK113" i="98"/>
  <c r="BK117" i="98" s="1"/>
  <c r="X214" i="98"/>
  <c r="AG220" i="98"/>
  <c r="AG259" i="98" s="1"/>
  <c r="AG250" i="98"/>
  <c r="AT111" i="98"/>
  <c r="AS109" i="98"/>
  <c r="AS107" i="98" s="1"/>
  <c r="AU68" i="98"/>
  <c r="AY246" i="98"/>
  <c r="AY150" i="98"/>
  <c r="AY153" i="98" s="1"/>
  <c r="BD94" i="46"/>
  <c r="AX90" i="98"/>
  <c r="AW90" i="98"/>
  <c r="AW91" i="98" s="1"/>
  <c r="AS14" i="98"/>
  <c r="AW14" i="98" s="1"/>
  <c r="BL122" i="98"/>
  <c r="BA113" i="98"/>
  <c r="BA117" i="98" s="1"/>
  <c r="AO220" i="98"/>
  <c r="AO259" i="98" s="1"/>
  <c r="Y220" i="98"/>
  <c r="Y259" i="98" s="1"/>
  <c r="AH222" i="98"/>
  <c r="AH220" i="98" s="1"/>
  <c r="AH259" i="98" s="1"/>
  <c r="AM71" i="73" s="1"/>
  <c r="S262" i="98"/>
  <c r="S245" i="98"/>
  <c r="N250" i="98" s="1"/>
  <c r="V20" i="98"/>
  <c r="W20" i="98" s="1"/>
  <c r="W21" i="98" s="1"/>
  <c r="W23" i="98" s="1"/>
  <c r="AU77" i="98"/>
  <c r="AP81" i="98"/>
  <c r="BE246" i="98"/>
  <c r="BE150" i="98"/>
  <c r="BE153" i="98" s="1"/>
  <c r="BJ94" i="46"/>
  <c r="AT68" i="98"/>
  <c r="AT71" i="98"/>
  <c r="AT9" i="98" s="1"/>
  <c r="S214" i="98"/>
  <c r="M220" i="98"/>
  <c r="M223" i="98"/>
  <c r="M214" i="98"/>
  <c r="M234" i="98"/>
  <c r="M235" i="98"/>
  <c r="W214" i="98"/>
  <c r="J229" i="98"/>
  <c r="J236" i="98" s="1"/>
  <c r="M229" i="98"/>
  <c r="M236" i="98" s="1"/>
  <c r="L229" i="98"/>
  <c r="L236" i="98" s="1"/>
  <c r="K229" i="98"/>
  <c r="K236" i="98" s="1"/>
  <c r="AA32" i="98"/>
  <c r="AA55" i="98"/>
  <c r="AA54" i="98"/>
  <c r="R229" i="98"/>
  <c r="R236" i="98" s="1"/>
  <c r="Q229" i="98"/>
  <c r="Q236" i="98" s="1"/>
  <c r="P229" i="98"/>
  <c r="P236" i="98" s="1"/>
  <c r="O229" i="98"/>
  <c r="O236" i="98" s="1"/>
  <c r="Z55" i="98"/>
  <c r="Z54" i="98"/>
  <c r="Z32" i="98"/>
  <c r="AX140" i="77"/>
  <c r="BA193" i="46"/>
  <c r="BB193" i="46" s="1"/>
  <c r="BC193" i="46" s="1"/>
  <c r="BD193" i="46" s="1"/>
  <c r="BE193" i="46" s="1"/>
  <c r="H29" i="77"/>
  <c r="H25" i="77"/>
  <c r="K238" i="77"/>
  <c r="K251" i="77" s="1"/>
  <c r="F25" i="77"/>
  <c r="F29" i="77"/>
  <c r="H238" i="77"/>
  <c r="H251" i="77" s="1"/>
  <c r="J238" i="77"/>
  <c r="J251" i="77" s="1"/>
  <c r="Q29" i="77"/>
  <c r="Q25" i="77"/>
  <c r="BP207" i="77"/>
  <c r="AY140" i="77"/>
  <c r="AY13" i="77" s="1"/>
  <c r="Z9" i="77"/>
  <c r="S61" i="77"/>
  <c r="S60" i="77"/>
  <c r="S33" i="77"/>
  <c r="S36" i="77" s="1"/>
  <c r="AE227" i="77"/>
  <c r="AE228" i="77"/>
  <c r="AE269" i="77" s="1"/>
  <c r="AE224" i="77"/>
  <c r="AE244" i="77"/>
  <c r="AE245" i="77"/>
  <c r="BJ83" i="77"/>
  <c r="BO81" i="77"/>
  <c r="M171" i="77"/>
  <c r="M172" i="77" s="1"/>
  <c r="M22" i="77"/>
  <c r="M24" i="77" s="1"/>
  <c r="AL154" i="77"/>
  <c r="AK161" i="77"/>
  <c r="AK172" i="77"/>
  <c r="AK150" i="77"/>
  <c r="AK152" i="77" s="1"/>
  <c r="AL160" i="77" s="1"/>
  <c r="AE160" i="77"/>
  <c r="K227" i="77"/>
  <c r="K224" i="77"/>
  <c r="K244" i="77"/>
  <c r="K245" i="77"/>
  <c r="AJ228" i="77"/>
  <c r="AJ269" i="77" s="1"/>
  <c r="AJ224" i="77"/>
  <c r="AJ227" i="77"/>
  <c r="AJ244" i="77"/>
  <c r="BO272" i="77"/>
  <c r="BN63" i="77"/>
  <c r="W92" i="77"/>
  <c r="BB145" i="77"/>
  <c r="BB146" i="77" s="1"/>
  <c r="BC145" i="77"/>
  <c r="AX15" i="77"/>
  <c r="AQ161" i="77"/>
  <c r="AQ172" i="77"/>
  <c r="AB221" i="77"/>
  <c r="T224" i="77"/>
  <c r="T227" i="77"/>
  <c r="T244" i="77"/>
  <c r="BI143" i="77"/>
  <c r="BH57" i="77"/>
  <c r="BH143" i="77" s="1"/>
  <c r="BA157" i="77"/>
  <c r="AV158" i="77"/>
  <c r="AY150" i="77"/>
  <c r="BN157" i="77"/>
  <c r="I209" i="77"/>
  <c r="I212" i="77" s="1"/>
  <c r="J210" i="77" s="1"/>
  <c r="CK212" i="77"/>
  <c r="AI227" i="77"/>
  <c r="AI228" i="77"/>
  <c r="AI269" i="77" s="1"/>
  <c r="AI224" i="77"/>
  <c r="AI244" i="77"/>
  <c r="AI245" i="77"/>
  <c r="BN200" i="77"/>
  <c r="BN92" i="46"/>
  <c r="BP200" i="77"/>
  <c r="BP92" i="46"/>
  <c r="BB116" i="77"/>
  <c r="M143" i="77"/>
  <c r="M57" i="77" s="1"/>
  <c r="N142" i="77"/>
  <c r="O143" i="77"/>
  <c r="O57" i="77" s="1"/>
  <c r="U133" i="77"/>
  <c r="U135" i="77"/>
  <c r="U136" i="77" s="1"/>
  <c r="U93" i="77"/>
  <c r="U95" i="77"/>
  <c r="U96" i="77" s="1"/>
  <c r="BH85" i="77"/>
  <c r="BC74" i="77"/>
  <c r="BH81" i="77"/>
  <c r="BC83" i="77"/>
  <c r="P224" i="77"/>
  <c r="P227" i="77"/>
  <c r="P244" i="77"/>
  <c r="H239" i="77"/>
  <c r="H246" i="77" s="1"/>
  <c r="Y92" i="77"/>
  <c r="AD9" i="77"/>
  <c r="Y11" i="77"/>
  <c r="Y16" i="77"/>
  <c r="Y18" i="77" s="1"/>
  <c r="Y10" i="77"/>
  <c r="Y132" i="77" s="1"/>
  <c r="AW140" i="77"/>
  <c r="Q172" i="77"/>
  <c r="S171" i="77"/>
  <c r="S172" i="77" s="1"/>
  <c r="BJ142" i="77"/>
  <c r="BE140" i="77"/>
  <c r="BE13" i="77" s="1"/>
  <c r="AK160" i="77"/>
  <c r="AF161" i="77"/>
  <c r="AG154" i="77"/>
  <c r="AF150" i="77"/>
  <c r="AF172" i="77"/>
  <c r="AH209" i="77"/>
  <c r="S209" i="77"/>
  <c r="S212" i="77" s="1"/>
  <c r="AC92" i="77"/>
  <c r="AH9" i="77"/>
  <c r="AB9" i="77"/>
  <c r="AC10" i="77"/>
  <c r="AC16" i="77"/>
  <c r="AC18" i="77" s="1"/>
  <c r="H172" i="77"/>
  <c r="I171" i="77"/>
  <c r="I172" i="77" s="1"/>
  <c r="BD145" i="77"/>
  <c r="AY15" i="77"/>
  <c r="AA92" i="77"/>
  <c r="AA10" i="77"/>
  <c r="AA132" i="77" s="1"/>
  <c r="AF9" i="77"/>
  <c r="AA11" i="77"/>
  <c r="AA16" i="77"/>
  <c r="AA18" i="77" s="1"/>
  <c r="BK200" i="77"/>
  <c r="Y212" i="77"/>
  <c r="Z210" i="77" s="1"/>
  <c r="Z212" i="77" s="1"/>
  <c r="AA210" i="77" s="1"/>
  <c r="AA212" i="77" s="1"/>
  <c r="AB210" i="77" s="1"/>
  <c r="AB212" i="77" s="1"/>
  <c r="AC210" i="77"/>
  <c r="AC212" i="77" s="1"/>
  <c r="AD210" i="77" s="1"/>
  <c r="V227" i="77"/>
  <c r="V224" i="77"/>
  <c r="V244" i="77"/>
  <c r="BB223" i="77"/>
  <c r="AN228" i="77"/>
  <c r="AN269" i="77" s="1"/>
  <c r="AN224" i="77"/>
  <c r="AN227" i="77"/>
  <c r="AN244" i="77"/>
  <c r="BM121" i="77"/>
  <c r="BH123" i="77"/>
  <c r="R24" i="77"/>
  <c r="BI121" i="77"/>
  <c r="BL121" i="77" s="1"/>
  <c r="BL123" i="77" s="1"/>
  <c r="BD123" i="77"/>
  <c r="BD116" i="77"/>
  <c r="AY192" i="77"/>
  <c r="AY22" i="77"/>
  <c r="AX20" i="77"/>
  <c r="AA227" i="77"/>
  <c r="AA228" i="77"/>
  <c r="AA269" i="77" s="1"/>
  <c r="AA224" i="77"/>
  <c r="AA244" i="77"/>
  <c r="AA245" i="77"/>
  <c r="AR228" i="77"/>
  <c r="AR269" i="77" s="1"/>
  <c r="AR60" i="73" s="1"/>
  <c r="AR224" i="77"/>
  <c r="AR227" i="77"/>
  <c r="AR244" i="77"/>
  <c r="BO168" i="46"/>
  <c r="J61" i="77"/>
  <c r="J60" i="77"/>
  <c r="J33" i="77"/>
  <c r="J36" i="77" s="1"/>
  <c r="I38" i="77"/>
  <c r="I43" i="77"/>
  <c r="AL142" i="77"/>
  <c r="AM140" i="77"/>
  <c r="U16" i="77"/>
  <c r="U18" i="77" s="1"/>
  <c r="AX74" i="77"/>
  <c r="BE123" i="77"/>
  <c r="BE116" i="77"/>
  <c r="BJ121" i="77"/>
  <c r="BJ125" i="77" s="1"/>
  <c r="E60" i="77"/>
  <c r="E61" i="77"/>
  <c r="E33" i="77"/>
  <c r="E36" i="77" s="1"/>
  <c r="T238" i="77"/>
  <c r="T251" i="77" s="1"/>
  <c r="T29" i="77"/>
  <c r="T25" i="77"/>
  <c r="V24" i="77"/>
  <c r="V22" i="46"/>
  <c r="G61" i="77"/>
  <c r="G33" i="77"/>
  <c r="G36" i="77" s="1"/>
  <c r="G60" i="77"/>
  <c r="L22" i="77"/>
  <c r="L24" i="77" s="1"/>
  <c r="N209" i="77"/>
  <c r="BB92" i="46"/>
  <c r="AL231" i="77"/>
  <c r="AL221" i="77"/>
  <c r="AL125" i="46"/>
  <c r="AL230" i="77"/>
  <c r="N227" i="77"/>
  <c r="N224" i="77"/>
  <c r="N244" i="77"/>
  <c r="J227" i="77"/>
  <c r="J224" i="77"/>
  <c r="J244" i="77"/>
  <c r="BK145" i="77"/>
  <c r="BF15" i="77"/>
  <c r="BN81" i="77"/>
  <c r="BI83" i="77"/>
  <c r="BI74" i="77"/>
  <c r="X132" i="77"/>
  <c r="W10" i="77"/>
  <c r="W132" i="77" s="1"/>
  <c r="X11" i="77"/>
  <c r="V133" i="77"/>
  <c r="V135" i="77"/>
  <c r="V136" i="77" s="1"/>
  <c r="BD143" i="77"/>
  <c r="BD142" i="77" s="1"/>
  <c r="BC57" i="77"/>
  <c r="BC143" i="77" s="1"/>
  <c r="BC142" i="77" s="1"/>
  <c r="O209" i="77"/>
  <c r="O212" i="77" s="1"/>
  <c r="P210" i="77" s="1"/>
  <c r="P212" i="77" s="1"/>
  <c r="Q210" i="77" s="1"/>
  <c r="Q212" i="77" s="1"/>
  <c r="R210" i="77" s="1"/>
  <c r="R212" i="77" s="1"/>
  <c r="CG33" i="71"/>
  <c r="AM209" i="77"/>
  <c r="O227" i="77"/>
  <c r="O224" i="77"/>
  <c r="O244" i="77"/>
  <c r="O245" i="77"/>
  <c r="L224" i="77"/>
  <c r="L227" i="77"/>
  <c r="L244" i="77"/>
  <c r="V231" i="77"/>
  <c r="AH227" i="77"/>
  <c r="AH228" i="77"/>
  <c r="AH269" i="77" s="1"/>
  <c r="AH60" i="73" s="1"/>
  <c r="AH224" i="77"/>
  <c r="AH244" i="77"/>
  <c r="AN245" i="77"/>
  <c r="R143" i="77"/>
  <c r="R57" i="77" s="1"/>
  <c r="S142" i="77"/>
  <c r="X143" i="77" s="1"/>
  <c r="X57" i="77" s="1"/>
  <c r="X57" i="73" s="1"/>
  <c r="O61" i="77"/>
  <c r="O33" i="77"/>
  <c r="O36" i="77" s="1"/>
  <c r="O60" i="77"/>
  <c r="BF81" i="77"/>
  <c r="BG81" i="77" s="1"/>
  <c r="BG83" i="77" s="1"/>
  <c r="BA83" i="77"/>
  <c r="BA74" i="77"/>
  <c r="BA171" i="77"/>
  <c r="BA20" i="77" s="1"/>
  <c r="BB154" i="77"/>
  <c r="BB161" i="77" s="1"/>
  <c r="BC161" i="77" s="1"/>
  <c r="E257" i="77"/>
  <c r="E160" i="77"/>
  <c r="BA205" i="77"/>
  <c r="BA71" i="51" s="1"/>
  <c r="BB71" i="51" s="1"/>
  <c r="S257" i="77"/>
  <c r="AA221" i="77"/>
  <c r="AR245" i="77"/>
  <c r="BL268" i="77"/>
  <c r="BF268" i="77"/>
  <c r="BE268" i="77" s="1"/>
  <c r="BD268" i="77" s="1"/>
  <c r="BC268" i="77" s="1"/>
  <c r="BG63" i="73"/>
  <c r="BE85" i="77"/>
  <c r="AZ74" i="77"/>
  <c r="BO200" i="77"/>
  <c r="BO92" i="46"/>
  <c r="K239" i="77"/>
  <c r="K246" i="77" s="1"/>
  <c r="J239" i="77"/>
  <c r="J246" i="77" s="1"/>
  <c r="BP154" i="46"/>
  <c r="BQ154" i="46" s="1"/>
  <c r="BQ87" i="77"/>
  <c r="U11" i="77"/>
  <c r="H143" i="77"/>
  <c r="J143" i="77"/>
  <c r="J57" i="77" s="1"/>
  <c r="I142" i="77"/>
  <c r="AQ142" i="77"/>
  <c r="AR140" i="77"/>
  <c r="BN143" i="77"/>
  <c r="BM57" i="77"/>
  <c r="BM143" i="77" s="1"/>
  <c r="AU257" i="77"/>
  <c r="AU160" i="77"/>
  <c r="BK121" i="77"/>
  <c r="BF116" i="77"/>
  <c r="BG116" i="77" s="1"/>
  <c r="BF123" i="77"/>
  <c r="P221" i="77"/>
  <c r="P245" i="77"/>
  <c r="AS228" i="77"/>
  <c r="AS269" i="77" s="1"/>
  <c r="AS224" i="77"/>
  <c r="AS227" i="77"/>
  <c r="AS244" i="77"/>
  <c r="AF228" i="77"/>
  <c r="AF269" i="77" s="1"/>
  <c r="AF224" i="77"/>
  <c r="AF227" i="77"/>
  <c r="AF244" i="77"/>
  <c r="BA209" i="46"/>
  <c r="BB209" i="46" s="1"/>
  <c r="BC209" i="46" s="1"/>
  <c r="BD209" i="46" s="1"/>
  <c r="BE209" i="46" s="1"/>
  <c r="BF209" i="46" s="1"/>
  <c r="BG209" i="46" s="1"/>
  <c r="BH209" i="46" s="1"/>
  <c r="BI209" i="46" s="1"/>
  <c r="AY8" i="77"/>
  <c r="AG142" i="77"/>
  <c r="AH140" i="77"/>
  <c r="L172" i="77"/>
  <c r="N171" i="77"/>
  <c r="N172" i="77" s="1"/>
  <c r="BL92" i="46"/>
  <c r="T150" i="77"/>
  <c r="T152" i="77" s="1"/>
  <c r="T161" i="77"/>
  <c r="T172" i="77"/>
  <c r="BJ145" i="77"/>
  <c r="BE15" i="77"/>
  <c r="N231" i="77"/>
  <c r="J231" i="77"/>
  <c r="AB227" i="77"/>
  <c r="AB228" i="77"/>
  <c r="AB269" i="77" s="1"/>
  <c r="AB224" i="77"/>
  <c r="AC228" i="77"/>
  <c r="AC269" i="77" s="1"/>
  <c r="AC60" i="73" s="1"/>
  <c r="AC224" i="77"/>
  <c r="AC227" i="77"/>
  <c r="AC244" i="77"/>
  <c r="AJ231" i="77"/>
  <c r="X16" i="77"/>
  <c r="X18" i="77" s="1"/>
  <c r="AC143" i="77"/>
  <c r="AC57" i="77" s="1"/>
  <c r="AC57" i="73" s="1"/>
  <c r="V93" i="77"/>
  <c r="V95" i="77"/>
  <c r="V96" i="77" s="1"/>
  <c r="BM200" i="77"/>
  <c r="BQ197" i="77"/>
  <c r="BQ200" i="77" s="1"/>
  <c r="BM92" i="46"/>
  <c r="BQ92" i="46" s="1"/>
  <c r="BO207" i="77"/>
  <c r="O221" i="77"/>
  <c r="L245" i="77"/>
  <c r="T231" i="77"/>
  <c r="V245" i="77"/>
  <c r="AH231" i="77"/>
  <c r="AN221" i="77"/>
  <c r="BG121" i="77"/>
  <c r="BG123" i="77" s="1"/>
  <c r="P29" i="77"/>
  <c r="P25" i="77"/>
  <c r="BH125" i="77"/>
  <c r="BM125" i="77" s="1"/>
  <c r="R238" i="77"/>
  <c r="R251" i="77" s="1"/>
  <c r="AZ192" i="77"/>
  <c r="AZ22" i="77"/>
  <c r="Z227" i="77"/>
  <c r="Z228" i="77"/>
  <c r="Z269" i="77" s="1"/>
  <c r="Z224" i="77"/>
  <c r="Z244" i="77"/>
  <c r="AA231" i="77"/>
  <c r="AM227" i="77"/>
  <c r="AM228" i="77"/>
  <c r="AM269" i="77" s="1"/>
  <c r="AM60" i="73" s="1"/>
  <c r="AM224" i="77"/>
  <c r="AM244" i="77"/>
  <c r="AM245" i="77"/>
  <c r="X228" i="77"/>
  <c r="X269" i="77" s="1"/>
  <c r="X60" i="73" s="1"/>
  <c r="X224" i="77"/>
  <c r="X227" i="77"/>
  <c r="X244" i="77"/>
  <c r="AR221" i="77"/>
  <c r="K61" i="77"/>
  <c r="K60" i="77"/>
  <c r="K33" i="77"/>
  <c r="K36" i="77" s="1"/>
  <c r="N61" i="77"/>
  <c r="N33" i="77"/>
  <c r="N36" i="77" s="1"/>
  <c r="N60" i="77"/>
  <c r="AP143" i="77"/>
  <c r="AP57" i="77" s="1"/>
  <c r="M224" i="77"/>
  <c r="M227" i="77"/>
  <c r="H31" i="78"/>
  <c r="H27" i="78"/>
  <c r="H237" i="78"/>
  <c r="H250" i="78" s="1"/>
  <c r="AI134" i="78"/>
  <c r="AI136" i="78"/>
  <c r="Z27" i="78"/>
  <c r="Z31" i="78"/>
  <c r="AY147" i="78"/>
  <c r="AY146" i="78" s="1"/>
  <c r="AX59" i="78"/>
  <c r="AX147" i="78" s="1"/>
  <c r="AX146" i="78" s="1"/>
  <c r="AA26" i="78"/>
  <c r="AA21" i="46"/>
  <c r="N237" i="78"/>
  <c r="N250" i="78" s="1"/>
  <c r="N31" i="78"/>
  <c r="N27" i="78"/>
  <c r="AL156" i="78"/>
  <c r="AK152" i="78"/>
  <c r="AK154" i="78" s="1"/>
  <c r="AL162" i="78" s="1"/>
  <c r="AK163" i="78"/>
  <c r="AK175" i="78"/>
  <c r="I256" i="78"/>
  <c r="I259" i="78" s="1"/>
  <c r="E259" i="78"/>
  <c r="F254" i="78" s="1"/>
  <c r="F259" i="78" s="1"/>
  <c r="G254" i="78" s="1"/>
  <c r="G259" i="78" s="1"/>
  <c r="H254" i="78" s="1"/>
  <c r="H259" i="78" s="1"/>
  <c r="Q229" i="78"/>
  <c r="Q226" i="78"/>
  <c r="Q243" i="78"/>
  <c r="BA225" i="78"/>
  <c r="AE133" i="78"/>
  <c r="AJ10" i="78"/>
  <c r="T31" i="78"/>
  <c r="T27" i="78"/>
  <c r="AS27" i="78"/>
  <c r="AS31" i="78"/>
  <c r="AL144" i="78"/>
  <c r="AL58" i="78" s="1"/>
  <c r="AM143" i="78"/>
  <c r="N211" i="78"/>
  <c r="AP229" i="78"/>
  <c r="AP226" i="78"/>
  <c r="AP243" i="78"/>
  <c r="BF271" i="78"/>
  <c r="BL271" i="78"/>
  <c r="BG64" i="78"/>
  <c r="BG51" i="73" s="1"/>
  <c r="BG56" i="78"/>
  <c r="BK124" i="78"/>
  <c r="BP122" i="78"/>
  <c r="AF133" i="78"/>
  <c r="AK10" i="78"/>
  <c r="BL88" i="78"/>
  <c r="AU163" i="78"/>
  <c r="AV156" i="78"/>
  <c r="AU152" i="78"/>
  <c r="AU154" i="78" s="1"/>
  <c r="AX162" i="78" s="1"/>
  <c r="AU175" i="78"/>
  <c r="AX175" i="78" s="1"/>
  <c r="AM211" i="78"/>
  <c r="E229" i="78"/>
  <c r="E226" i="78"/>
  <c r="E243" i="78"/>
  <c r="M231" i="78"/>
  <c r="N229" i="78"/>
  <c r="N226" i="78"/>
  <c r="N243" i="78"/>
  <c r="E35" i="78"/>
  <c r="E38" i="78" s="1"/>
  <c r="E62" i="78"/>
  <c r="AM133" i="78"/>
  <c r="AL10" i="78"/>
  <c r="AL133" i="78" s="1"/>
  <c r="AR10" i="78"/>
  <c r="AE93" i="78"/>
  <c r="AJ9" i="78"/>
  <c r="AE11" i="78"/>
  <c r="AE16" i="78"/>
  <c r="AE20" i="78" s="1"/>
  <c r="AM93" i="78"/>
  <c r="AM11" i="78"/>
  <c r="AR9" i="78"/>
  <c r="AM16" i="78"/>
  <c r="AM20" i="78" s="1"/>
  <c r="AP163" i="78"/>
  <c r="AP175" i="78"/>
  <c r="AP152" i="78"/>
  <c r="AP154" i="78" s="1"/>
  <c r="AQ156" i="78"/>
  <c r="BP169" i="78"/>
  <c r="BO169" i="78"/>
  <c r="BM169" i="78"/>
  <c r="BN169" i="78"/>
  <c r="X211" i="78"/>
  <c r="BF201" i="78"/>
  <c r="BF160" i="46" s="1"/>
  <c r="DX49" i="71" s="1"/>
  <c r="AB231" i="78"/>
  <c r="AC229" i="78"/>
  <c r="AC226" i="78"/>
  <c r="AC243" i="78"/>
  <c r="AV124" i="46"/>
  <c r="AH223" i="78"/>
  <c r="S237" i="78"/>
  <c r="S250" i="78" s="1"/>
  <c r="S31" i="78"/>
  <c r="S27" i="78"/>
  <c r="AY202" i="78"/>
  <c r="AY91" i="46"/>
  <c r="DQ39" i="71" s="1"/>
  <c r="AD134" i="78"/>
  <c r="AD136" i="78"/>
  <c r="AD137" i="78" s="1"/>
  <c r="T97" i="78"/>
  <c r="T111" i="78"/>
  <c r="K31" i="78"/>
  <c r="K27" i="78"/>
  <c r="BE146" i="78"/>
  <c r="AZ15" i="78"/>
  <c r="AA94" i="78"/>
  <c r="AA96" i="78"/>
  <c r="Y97" i="78"/>
  <c r="EB58" i="71"/>
  <c r="Z134" i="78"/>
  <c r="Z136" i="78"/>
  <c r="Z137" i="78" s="1"/>
  <c r="AC237" i="78"/>
  <c r="AC250" i="78" s="1"/>
  <c r="AC27" i="78"/>
  <c r="AC31" i="78"/>
  <c r="AX9" i="78"/>
  <c r="BD147" i="78"/>
  <c r="BC59" i="78"/>
  <c r="BC147" i="78" s="1"/>
  <c r="AC211" i="78"/>
  <c r="R226" i="78"/>
  <c r="R229" i="78"/>
  <c r="R243" i="78"/>
  <c r="AQ232" i="78"/>
  <c r="AQ226" i="78"/>
  <c r="AQ223" i="78"/>
  <c r="AQ229" i="78"/>
  <c r="AQ244" i="78"/>
  <c r="AO229" i="78"/>
  <c r="AO226" i="78"/>
  <c r="AO243" i="78"/>
  <c r="J229" i="78"/>
  <c r="J226" i="78"/>
  <c r="J243" i="78"/>
  <c r="K237" i="78"/>
  <c r="K250" i="78" s="1"/>
  <c r="J237" i="78"/>
  <c r="J250" i="78" s="1"/>
  <c r="L237" i="78"/>
  <c r="L250" i="78" s="1"/>
  <c r="J27" i="78"/>
  <c r="J31" i="78"/>
  <c r="AY144" i="78"/>
  <c r="AY143" i="78" s="1"/>
  <c r="AX58" i="78"/>
  <c r="AX144" i="78" s="1"/>
  <c r="AX143" i="78" s="1"/>
  <c r="M26" i="78"/>
  <c r="O237" i="78" s="1"/>
  <c r="O250" i="78" s="1"/>
  <c r="M21" i="46"/>
  <c r="BD144" i="78"/>
  <c r="BC58" i="78"/>
  <c r="BC144" i="78" s="1"/>
  <c r="AA134" i="78"/>
  <c r="AA136" i="78"/>
  <c r="AA137" i="78" s="1"/>
  <c r="L31" i="78"/>
  <c r="L27" i="78"/>
  <c r="Y229" i="78"/>
  <c r="Y226" i="78"/>
  <c r="Y243" i="78"/>
  <c r="M244" i="78"/>
  <c r="M232" i="78"/>
  <c r="M124" i="46"/>
  <c r="AT229" i="78"/>
  <c r="AT226" i="78"/>
  <c r="AT243" i="78"/>
  <c r="H238" i="78"/>
  <c r="AD26" i="78"/>
  <c r="AD21" i="46"/>
  <c r="AH134" i="78"/>
  <c r="AH136" i="78"/>
  <c r="AH137" i="78" s="1"/>
  <c r="AH26" i="78"/>
  <c r="AH21" i="46"/>
  <c r="U27" i="78"/>
  <c r="U31" i="78"/>
  <c r="V31" i="78"/>
  <c r="V27" i="78"/>
  <c r="W26" i="78"/>
  <c r="Z237" i="78" s="1"/>
  <c r="Z250" i="78" s="1"/>
  <c r="W21" i="46"/>
  <c r="BA86" i="78"/>
  <c r="BA75" i="78" s="1"/>
  <c r="BB75" i="78" s="1"/>
  <c r="AN31" i="78"/>
  <c r="AN27" i="78"/>
  <c r="CK214" i="78"/>
  <c r="CL212" i="78" s="1"/>
  <c r="I211" i="78"/>
  <c r="I214" i="78" s="1"/>
  <c r="J212" i="78" s="1"/>
  <c r="AR211" i="78"/>
  <c r="BK208" i="78"/>
  <c r="BK168" i="46" s="1"/>
  <c r="EC58" i="71" s="1"/>
  <c r="H231" i="78"/>
  <c r="I229" i="78"/>
  <c r="I226" i="78"/>
  <c r="I243" i="78"/>
  <c r="R244" i="78"/>
  <c r="AG244" i="78"/>
  <c r="AG124" i="46"/>
  <c r="BA202" i="78"/>
  <c r="BA91" i="46"/>
  <c r="AB134" i="78"/>
  <c r="AB136" i="78"/>
  <c r="AB137" i="78" s="1"/>
  <c r="AB93" i="78"/>
  <c r="AB11" i="78"/>
  <c r="BI144" i="78"/>
  <c r="BH58" i="78"/>
  <c r="BH144" i="78" s="1"/>
  <c r="AQ144" i="78"/>
  <c r="AQ58" i="78" s="1"/>
  <c r="AR143" i="78"/>
  <c r="AR144" i="78" s="1"/>
  <c r="AR58" i="78" s="1"/>
  <c r="AR46" i="73" s="1"/>
  <c r="AF93" i="78"/>
  <c r="AF11" i="78"/>
  <c r="AK9" i="78"/>
  <c r="AL9" i="78" s="1"/>
  <c r="AF16" i="78"/>
  <c r="AF20" i="78" s="1"/>
  <c r="BH86" i="78"/>
  <c r="BC75" i="78"/>
  <c r="AZ152" i="78"/>
  <c r="BB156" i="78"/>
  <c r="BB163" i="78" s="1"/>
  <c r="BC163" i="78" s="1"/>
  <c r="BD168" i="78"/>
  <c r="BD170" i="78" s="1"/>
  <c r="BC168" i="78"/>
  <c r="BC170" i="78" s="1"/>
  <c r="BE168" i="78"/>
  <c r="BE170" i="78" s="1"/>
  <c r="BF168" i="78"/>
  <c r="BF170" i="78" s="1"/>
  <c r="AK229" i="78"/>
  <c r="AK226" i="78"/>
  <c r="AK243" i="78"/>
  <c r="F229" i="78"/>
  <c r="F226" i="78"/>
  <c r="F243" i="78"/>
  <c r="O40" i="78"/>
  <c r="O45" i="78"/>
  <c r="BH94" i="78"/>
  <c r="BC93" i="78"/>
  <c r="BO82" i="78"/>
  <c r="BJ84" i="78"/>
  <c r="BA143" i="78"/>
  <c r="BF82" i="78"/>
  <c r="BA84" i="78"/>
  <c r="BK146" i="78"/>
  <c r="BF15" i="78"/>
  <c r="P175" i="78"/>
  <c r="P163" i="78"/>
  <c r="O156" i="78"/>
  <c r="P152" i="78"/>
  <c r="P154" i="78" s="1"/>
  <c r="Q162" i="78" s="1"/>
  <c r="BJ209" i="78"/>
  <c r="DW49" i="71"/>
  <c r="AO244" i="78"/>
  <c r="AQ243" i="78"/>
  <c r="J232" i="78"/>
  <c r="Z229" i="78"/>
  <c r="Z226" i="78"/>
  <c r="Z243" i="78"/>
  <c r="AY56" i="78"/>
  <c r="AY128" i="78" s="1"/>
  <c r="AY126" i="78" s="1"/>
  <c r="AX56" i="78"/>
  <c r="AX128" i="78" s="1"/>
  <c r="AZ56" i="78"/>
  <c r="AZ128" i="78" s="1"/>
  <c r="AZ126" i="78" s="1"/>
  <c r="BA56" i="78"/>
  <c r="BA128" i="78" s="1"/>
  <c r="BA126" i="78" s="1"/>
  <c r="R26" i="78"/>
  <c r="V237" i="78" s="1"/>
  <c r="V250" i="78" s="1"/>
  <c r="R21" i="46"/>
  <c r="AZ141" i="78"/>
  <c r="AZ13" i="78" s="1"/>
  <c r="BE143" i="78"/>
  <c r="F62" i="78"/>
  <c r="F35" i="78"/>
  <c r="F38" i="78" s="1"/>
  <c r="M144" i="78"/>
  <c r="M58" i="78" s="1"/>
  <c r="N143" i="78"/>
  <c r="N144" i="78" s="1"/>
  <c r="N58" i="78" s="1"/>
  <c r="BD84" i="78"/>
  <c r="BI82" i="78"/>
  <c r="W226" i="78"/>
  <c r="W229" i="78"/>
  <c r="E223" i="78"/>
  <c r="N232" i="78"/>
  <c r="AT232" i="78"/>
  <c r="AD94" i="78"/>
  <c r="AD96" i="78"/>
  <c r="Z94" i="78"/>
  <c r="Z96" i="78"/>
  <c r="AB16" i="78"/>
  <c r="AB20" i="78" s="1"/>
  <c r="W144" i="78"/>
  <c r="W58" i="78" s="1"/>
  <c r="X143" i="78"/>
  <c r="X144" i="78" s="1"/>
  <c r="X58" i="78" s="1"/>
  <c r="X46" i="73" s="1"/>
  <c r="F163" i="78"/>
  <c r="E156" i="78"/>
  <c r="F152" i="78"/>
  <c r="F154" i="78" s="1"/>
  <c r="G162" i="78" s="1"/>
  <c r="F175" i="78"/>
  <c r="BH168" i="78"/>
  <c r="BH170" i="78" s="1"/>
  <c r="BK168" i="78"/>
  <c r="BK170" i="78" s="1"/>
  <c r="BI168" i="78"/>
  <c r="BI170" i="78" s="1"/>
  <c r="BJ168" i="78"/>
  <c r="BJ170" i="78" s="1"/>
  <c r="I232" i="78"/>
  <c r="AB244" i="78"/>
  <c r="AB232" i="78"/>
  <c r="AB223" i="78"/>
  <c r="AB124" i="46"/>
  <c r="AG231" i="78"/>
  <c r="AH229" i="78"/>
  <c r="AH226" i="78"/>
  <c r="AH243" i="78"/>
  <c r="X237" i="78"/>
  <c r="X250" i="78" s="1"/>
  <c r="X31" i="78"/>
  <c r="X27" i="78"/>
  <c r="DS39" i="71"/>
  <c r="I40" i="78"/>
  <c r="I45" i="78"/>
  <c r="Q62" i="78"/>
  <c r="Q61" i="78"/>
  <c r="Q35" i="78"/>
  <c r="Q38" i="78" s="1"/>
  <c r="P31" i="78"/>
  <c r="P27" i="78"/>
  <c r="Q237" i="78"/>
  <c r="Q250" i="78" s="1"/>
  <c r="R237" i="78"/>
  <c r="R250" i="78" s="1"/>
  <c r="P237" i="78"/>
  <c r="P250" i="78" s="1"/>
  <c r="BN144" i="78"/>
  <c r="BM58" i="78"/>
  <c r="BM144" i="78" s="1"/>
  <c r="J152" i="78"/>
  <c r="J154" i="78" s="1"/>
  <c r="J163" i="78"/>
  <c r="J175" i="78"/>
  <c r="BO160" i="46"/>
  <c r="BP201" i="78"/>
  <c r="BP160" i="46" s="1"/>
  <c r="EH49" i="71" s="1"/>
  <c r="Q223" i="78"/>
  <c r="AK244" i="78"/>
  <c r="F232" i="78"/>
  <c r="V229" i="78"/>
  <c r="V226" i="78"/>
  <c r="V243" i="78"/>
  <c r="EC49" i="71"/>
  <c r="AA237" i="78"/>
  <c r="AA250" i="78" s="1"/>
  <c r="Y237" i="78"/>
  <c r="Y250" i="78" s="1"/>
  <c r="Y27" i="78"/>
  <c r="Y31" i="78"/>
  <c r="U97" i="78"/>
  <c r="U111" i="78"/>
  <c r="BH134" i="78"/>
  <c r="BH23" i="78"/>
  <c r="BG23" i="78"/>
  <c r="AZ202" i="78"/>
  <c r="AZ91" i="46"/>
  <c r="DR39" i="71" s="1"/>
  <c r="BK207" i="78"/>
  <c r="BK209" i="78" s="1"/>
  <c r="AL226" i="78"/>
  <c r="AL243" i="78"/>
  <c r="AL229" i="78"/>
  <c r="U229" i="78"/>
  <c r="U226" i="78"/>
  <c r="U243" i="78"/>
  <c r="AO232" i="78"/>
  <c r="J244" i="78"/>
  <c r="Z223" i="78"/>
  <c r="AP244" i="78"/>
  <c r="AZ271" i="78"/>
  <c r="BA64" i="78"/>
  <c r="BJ209" i="46"/>
  <c r="BK209" i="46" s="1"/>
  <c r="BL209" i="46" s="1"/>
  <c r="BM209" i="46" s="1"/>
  <c r="BN209" i="46" s="1"/>
  <c r="BO209" i="46" s="1"/>
  <c r="BP209" i="46" s="1"/>
  <c r="BQ209" i="46" s="1"/>
  <c r="AH143" i="78"/>
  <c r="AH144" i="78" s="1"/>
  <c r="AH58" i="78" s="1"/>
  <c r="AH46" i="73" s="1"/>
  <c r="BI147" i="78"/>
  <c r="BH59" i="78"/>
  <c r="BH147" i="78" s="1"/>
  <c r="BJ86" i="78"/>
  <c r="BO55" i="78"/>
  <c r="BO88" i="78" s="1"/>
  <c r="BN55" i="78"/>
  <c r="BN88" i="78" s="1"/>
  <c r="BP55" i="78"/>
  <c r="BP88" i="78" s="1"/>
  <c r="BM55" i="78"/>
  <c r="BM88" i="78" s="1"/>
  <c r="R144" i="78"/>
  <c r="R58" i="78" s="1"/>
  <c r="R46" i="73" s="1"/>
  <c r="S143" i="78"/>
  <c r="S144" i="78" s="1"/>
  <c r="S58" i="78" s="1"/>
  <c r="AU162" i="78"/>
  <c r="AK162" i="78"/>
  <c r="E232" i="78"/>
  <c r="Y232" i="78"/>
  <c r="Y244" i="78"/>
  <c r="AS229" i="78"/>
  <c r="AS226" i="78"/>
  <c r="AS243" i="78"/>
  <c r="N223" i="78"/>
  <c r="N244" i="78"/>
  <c r="AD229" i="78"/>
  <c r="AD226" i="78"/>
  <c r="AD243" i="78"/>
  <c r="AT244" i="78"/>
  <c r="AI93" i="78"/>
  <c r="AI16" i="78"/>
  <c r="AI20" i="78" s="1"/>
  <c r="AI11" i="78"/>
  <c r="AG10" i="78"/>
  <c r="AG133" i="78" s="1"/>
  <c r="AG9" i="78"/>
  <c r="AH94" i="78"/>
  <c r="AH96" i="78"/>
  <c r="AH97" i="78" s="1"/>
  <c r="AB144" i="78"/>
  <c r="AB58" i="78" s="1"/>
  <c r="AC143" i="78"/>
  <c r="W97" i="78"/>
  <c r="W111" i="78"/>
  <c r="BD86" i="78"/>
  <c r="BI86" i="78" s="1"/>
  <c r="U163" i="78"/>
  <c r="U152" i="78"/>
  <c r="U154" i="78" s="1"/>
  <c r="V162" i="78" s="1"/>
  <c r="T156" i="78"/>
  <c r="U175" i="78"/>
  <c r="H244" i="78"/>
  <c r="H245" i="78"/>
  <c r="H232" i="78"/>
  <c r="H223" i="78"/>
  <c r="H124" i="46"/>
  <c r="I244" i="78"/>
  <c r="AC232" i="78"/>
  <c r="AV231" i="78"/>
  <c r="AW229" i="78"/>
  <c r="AW226" i="78"/>
  <c r="AW243" i="78"/>
  <c r="R223" i="78"/>
  <c r="AH232" i="78"/>
  <c r="G62" i="78"/>
  <c r="G35" i="78"/>
  <c r="G38" i="78" s="1"/>
  <c r="AT162" i="78"/>
  <c r="K28" i="79"/>
  <c r="K24" i="79"/>
  <c r="G28" i="79"/>
  <c r="G24" i="79"/>
  <c r="AR233" i="79"/>
  <c r="AS226" i="79"/>
  <c r="AS231" i="79" s="1"/>
  <c r="AT226" i="79" s="1"/>
  <c r="AT231" i="79" s="1"/>
  <c r="AU226" i="79" s="1"/>
  <c r="AU231" i="79" s="1"/>
  <c r="AV226" i="79" s="1"/>
  <c r="AV231" i="79" s="1"/>
  <c r="AW226" i="79"/>
  <c r="AW231" i="79" s="1"/>
  <c r="H20" i="46"/>
  <c r="AH117" i="79"/>
  <c r="AG209" i="79"/>
  <c r="AG222" i="79" s="1"/>
  <c r="AD28" i="79"/>
  <c r="AD24" i="79"/>
  <c r="AG23" i="79"/>
  <c r="AG20" i="46"/>
  <c r="AK24" i="79"/>
  <c r="AK28" i="79"/>
  <c r="BD59" i="79"/>
  <c r="BG90" i="46"/>
  <c r="BJ80" i="79"/>
  <c r="BE81" i="79"/>
  <c r="AY14" i="79"/>
  <c r="AL136" i="79"/>
  <c r="AL146" i="79"/>
  <c r="AC183" i="79"/>
  <c r="AR183" i="79"/>
  <c r="BO121" i="79"/>
  <c r="BN57" i="79"/>
  <c r="AE28" i="79"/>
  <c r="AE24" i="79"/>
  <c r="AV20" i="46"/>
  <c r="AV23" i="79"/>
  <c r="AA112" i="79"/>
  <c r="AA98" i="79"/>
  <c r="AX8" i="79"/>
  <c r="AX97" i="79"/>
  <c r="AX98" i="79" s="1"/>
  <c r="AF98" i="79"/>
  <c r="AQ112" i="79"/>
  <c r="K125" i="79"/>
  <c r="K127" i="79" s="1"/>
  <c r="L135" i="79" s="1"/>
  <c r="J129" i="79"/>
  <c r="K136" i="79"/>
  <c r="AM183" i="79"/>
  <c r="AB216" i="79"/>
  <c r="AB204" i="79"/>
  <c r="AB195" i="79"/>
  <c r="AB123" i="46"/>
  <c r="AQ198" i="79"/>
  <c r="AQ204" i="79"/>
  <c r="AQ195" i="79"/>
  <c r="AQ216" i="79"/>
  <c r="AQ201" i="79"/>
  <c r="AC209" i="79"/>
  <c r="AC222" i="79" s="1"/>
  <c r="AC24" i="79"/>
  <c r="AC28" i="79"/>
  <c r="AM118" i="79"/>
  <c r="AM56" i="79" s="1"/>
  <c r="AM35" i="73" s="1"/>
  <c r="BA83" i="79"/>
  <c r="J42" i="79"/>
  <c r="J37" i="79"/>
  <c r="BN59" i="79"/>
  <c r="V28" i="79"/>
  <c r="V24" i="79"/>
  <c r="BM56" i="79"/>
  <c r="BM118" i="79" s="1"/>
  <c r="BN118" i="79"/>
  <c r="AV215" i="79"/>
  <c r="AD198" i="79"/>
  <c r="AD201" i="79"/>
  <c r="AD215" i="79"/>
  <c r="AL23" i="79"/>
  <c r="AL20" i="46"/>
  <c r="G146" i="79"/>
  <c r="AW210" i="79"/>
  <c r="AW217" i="79" s="1"/>
  <c r="AW28" i="71"/>
  <c r="U42" i="79"/>
  <c r="U37" i="79"/>
  <c r="AX12" i="79"/>
  <c r="Z135" i="79"/>
  <c r="N195" i="79"/>
  <c r="AT204" i="79"/>
  <c r="F32" i="79"/>
  <c r="F35" i="79" s="1"/>
  <c r="F60" i="79"/>
  <c r="F59" i="79"/>
  <c r="P60" i="79"/>
  <c r="P59" i="79"/>
  <c r="P32" i="79"/>
  <c r="P35" i="79" s="1"/>
  <c r="AQ23" i="79"/>
  <c r="AQ20" i="46"/>
  <c r="AB23" i="79"/>
  <c r="AE209" i="79" s="1"/>
  <c r="AE222" i="79" s="1"/>
  <c r="AB20" i="46"/>
  <c r="AU98" i="79"/>
  <c r="AU112" i="79"/>
  <c r="AM209" i="79"/>
  <c r="AM222" i="79" s="1"/>
  <c r="AM28" i="79"/>
  <c r="AM24" i="79"/>
  <c r="BB129" i="79"/>
  <c r="BB136" i="79" s="1"/>
  <c r="BC136" i="79" s="1"/>
  <c r="AZ159" i="46"/>
  <c r="BA172" i="79"/>
  <c r="Y198" i="79"/>
  <c r="Y201" i="79"/>
  <c r="Y215" i="79"/>
  <c r="R198" i="79"/>
  <c r="R201" i="79"/>
  <c r="R215" i="79"/>
  <c r="R204" i="79"/>
  <c r="AN209" i="79"/>
  <c r="AN222" i="79" s="1"/>
  <c r="BA117" i="79"/>
  <c r="BB117" i="79" s="1"/>
  <c r="BJ94" i="79"/>
  <c r="BE93" i="79"/>
  <c r="BE9" i="79" s="1"/>
  <c r="F125" i="79"/>
  <c r="F127" i="79" s="1"/>
  <c r="G135" i="79" s="1"/>
  <c r="F136" i="79"/>
  <c r="E129" i="79"/>
  <c r="O136" i="79"/>
  <c r="O125" i="79"/>
  <c r="O127" i="79" s="1"/>
  <c r="O146" i="79"/>
  <c r="CK186" i="79"/>
  <c r="CL184" i="79" s="1"/>
  <c r="I183" i="79"/>
  <c r="I186" i="79" s="1"/>
  <c r="J184" i="79" s="1"/>
  <c r="BI57" i="79"/>
  <c r="BJ121" i="79"/>
  <c r="T28" i="79"/>
  <c r="T24" i="79"/>
  <c r="Z28" i="79"/>
  <c r="Z24" i="79"/>
  <c r="AY10" i="79"/>
  <c r="AA28" i="79"/>
  <c r="AA24" i="79"/>
  <c r="BB90" i="46"/>
  <c r="DP39" i="71"/>
  <c r="BP174" i="79"/>
  <c r="BP90" i="46"/>
  <c r="AP198" i="79"/>
  <c r="AP215" i="79"/>
  <c r="AP201" i="79"/>
  <c r="AP204" i="79"/>
  <c r="I209" i="79"/>
  <c r="I222" i="79" s="1"/>
  <c r="I24" i="79"/>
  <c r="I28" i="79"/>
  <c r="AL118" i="79"/>
  <c r="AL56" i="79" s="1"/>
  <c r="AT28" i="79"/>
  <c r="AT24" i="79"/>
  <c r="AV94" i="79"/>
  <c r="BA94" i="79" s="1"/>
  <c r="AV97" i="79"/>
  <c r="AF28" i="79"/>
  <c r="AF24" i="79"/>
  <c r="M23" i="79"/>
  <c r="O209" i="79" s="1"/>
  <c r="O222" i="79" s="1"/>
  <c r="M20" i="46"/>
  <c r="AQ129" i="79"/>
  <c r="AP125" i="79"/>
  <c r="AP127" i="79" s="1"/>
  <c r="AQ135" i="79" s="1"/>
  <c r="AP136" i="79"/>
  <c r="AP146" i="79"/>
  <c r="AA136" i="79"/>
  <c r="AA125" i="79"/>
  <c r="AA127" i="79" s="1"/>
  <c r="AB135" i="79" s="1"/>
  <c r="AA146" i="79"/>
  <c r="Y216" i="79"/>
  <c r="M123" i="46"/>
  <c r="AD216" i="79"/>
  <c r="BL239" i="79"/>
  <c r="BF239" i="79"/>
  <c r="BE239" i="79" s="1"/>
  <c r="BD239" i="79" s="1"/>
  <c r="BC239" i="79" s="1"/>
  <c r="BG41" i="73"/>
  <c r="BE83" i="79"/>
  <c r="BJ83" i="79" s="1"/>
  <c r="BH20" i="79"/>
  <c r="BG20" i="79"/>
  <c r="AU28" i="79"/>
  <c r="AU24" i="79"/>
  <c r="BM94" i="79"/>
  <c r="AZ97" i="79"/>
  <c r="AZ98" i="79" s="1"/>
  <c r="AZ8" i="79"/>
  <c r="BF80" i="79"/>
  <c r="BA81" i="79"/>
  <c r="BA73" i="79"/>
  <c r="BL90" i="46"/>
  <c r="AV216" i="79"/>
  <c r="AV204" i="79"/>
  <c r="AV195" i="79"/>
  <c r="AV123" i="46"/>
  <c r="AG203" i="79"/>
  <c r="AH198" i="79"/>
  <c r="AH215" i="79"/>
  <c r="AH201" i="79"/>
  <c r="J198" i="79"/>
  <c r="J215" i="79"/>
  <c r="J201" i="79"/>
  <c r="R216" i="79"/>
  <c r="AH204" i="79"/>
  <c r="BB197" i="79"/>
  <c r="AK198" i="79"/>
  <c r="AK201" i="79"/>
  <c r="AK215" i="79"/>
  <c r="AL198" i="79"/>
  <c r="AL201" i="79"/>
  <c r="AL215" i="79"/>
  <c r="AN60" i="79"/>
  <c r="AN59" i="79"/>
  <c r="AN32" i="79"/>
  <c r="AN35" i="79" s="1"/>
  <c r="AO209" i="79"/>
  <c r="AO222" i="79" s="1"/>
  <c r="AK209" i="79"/>
  <c r="AK222" i="79" s="1"/>
  <c r="AJ209" i="79"/>
  <c r="AJ222" i="79" s="1"/>
  <c r="AL209" i="79"/>
  <c r="AL222" i="79" s="1"/>
  <c r="AI209" i="79"/>
  <c r="AI222" i="79" s="1"/>
  <c r="AI28" i="79"/>
  <c r="AI24" i="79"/>
  <c r="AJ28" i="79"/>
  <c r="AJ24" i="79"/>
  <c r="Q60" i="79"/>
  <c r="Q59" i="79"/>
  <c r="Q32" i="79"/>
  <c r="Q35" i="79" s="1"/>
  <c r="W20" i="46"/>
  <c r="W23" i="79"/>
  <c r="W209" i="79" s="1"/>
  <c r="W222" i="79" s="1"/>
  <c r="BM174" i="79"/>
  <c r="BQ171" i="79"/>
  <c r="BQ174" i="79" s="1"/>
  <c r="BM90" i="46"/>
  <c r="AK195" i="79"/>
  <c r="AL195" i="79"/>
  <c r="AR210" i="79"/>
  <c r="AR217" i="79" s="1"/>
  <c r="AR28" i="71"/>
  <c r="BK120" i="79"/>
  <c r="BF14" i="79"/>
  <c r="R23" i="79"/>
  <c r="T209" i="79" s="1"/>
  <c r="T222" i="79" s="1"/>
  <c r="R20" i="46"/>
  <c r="AZ125" i="79"/>
  <c r="S183" i="79"/>
  <c r="AW183" i="79"/>
  <c r="AB215" i="79"/>
  <c r="J195" i="79"/>
  <c r="AP216" i="79"/>
  <c r="AQ231" i="79"/>
  <c r="BN94" i="79"/>
  <c r="BN93" i="79" s="1"/>
  <c r="BN9" i="79" s="1"/>
  <c r="BI93" i="79"/>
  <c r="BI9" i="79" s="1"/>
  <c r="AS60" i="79"/>
  <c r="AS59" i="79"/>
  <c r="AS32" i="79"/>
  <c r="AS35" i="79" s="1"/>
  <c r="AV209" i="79"/>
  <c r="AV222" i="79" s="1"/>
  <c r="AR117" i="79"/>
  <c r="AR118" i="79" s="1"/>
  <c r="AR56" i="79" s="1"/>
  <c r="AR35" i="73" s="1"/>
  <c r="H145" i="79"/>
  <c r="H146" i="79" s="1"/>
  <c r="H21" i="79"/>
  <c r="H23" i="79" s="1"/>
  <c r="BN80" i="79"/>
  <c r="BN83" i="79" s="1"/>
  <c r="BI81" i="79"/>
  <c r="BI73" i="79"/>
  <c r="BI59" i="79"/>
  <c r="M118" i="79"/>
  <c r="M56" i="79" s="1"/>
  <c r="N117" i="79"/>
  <c r="N118" i="79" s="1"/>
  <c r="N56" i="79" s="1"/>
  <c r="BE121" i="79"/>
  <c r="BE120" i="79" s="1"/>
  <c r="BD57" i="79"/>
  <c r="AP135" i="79"/>
  <c r="BO174" i="79"/>
  <c r="BO90" i="46"/>
  <c r="N183" i="79"/>
  <c r="Y195" i="79"/>
  <c r="AQ215" i="79"/>
  <c r="AD195" i="79"/>
  <c r="O42" i="79"/>
  <c r="O37" i="79"/>
  <c r="N209" i="79"/>
  <c r="N222" i="79" s="1"/>
  <c r="N28" i="79"/>
  <c r="N24" i="79"/>
  <c r="BC9" i="79"/>
  <c r="BB120" i="79"/>
  <c r="BB121" i="79" s="1"/>
  <c r="AX14" i="79"/>
  <c r="H216" i="79"/>
  <c r="H204" i="79"/>
  <c r="H195" i="79"/>
  <c r="H123" i="46"/>
  <c r="F198" i="79"/>
  <c r="F201" i="79"/>
  <c r="F215" i="79"/>
  <c r="AG216" i="79"/>
  <c r="AG204" i="79"/>
  <c r="AG195" i="79"/>
  <c r="AG123" i="46"/>
  <c r="AS198" i="79"/>
  <c r="AS201" i="79"/>
  <c r="AS215" i="79"/>
  <c r="AZ115" i="79"/>
  <c r="AZ12" i="79" s="1"/>
  <c r="BE117" i="79"/>
  <c r="S209" i="79"/>
  <c r="S222" i="79" s="1"/>
  <c r="S28" i="79"/>
  <c r="S24" i="79"/>
  <c r="BC73" i="79"/>
  <c r="BG80" i="79"/>
  <c r="BG81" i="79" s="1"/>
  <c r="BC81" i="79"/>
  <c r="BH80" i="79"/>
  <c r="BH83" i="79" s="1"/>
  <c r="W118" i="79"/>
  <c r="W56" i="79" s="1"/>
  <c r="X117" i="79"/>
  <c r="X118" i="79" s="1"/>
  <c r="X56" i="79" s="1"/>
  <c r="X35" i="73" s="1"/>
  <c r="BQ227" i="79"/>
  <c r="BN174" i="79"/>
  <c r="BN90" i="46"/>
  <c r="AU136" i="79"/>
  <c r="AU125" i="79"/>
  <c r="AU127" i="79" s="1"/>
  <c r="AV129" i="79"/>
  <c r="AX146" i="79"/>
  <c r="AS195" i="79"/>
  <c r="AK204" i="79"/>
  <c r="AT198" i="79"/>
  <c r="AT215" i="79"/>
  <c r="AT201" i="79"/>
  <c r="V198" i="79"/>
  <c r="V201" i="79"/>
  <c r="V215" i="79"/>
  <c r="F216" i="79"/>
  <c r="V216" i="79"/>
  <c r="AL204" i="79"/>
  <c r="AR60" i="79"/>
  <c r="AR59" i="79"/>
  <c r="AR32" i="79"/>
  <c r="AR35" i="79" s="1"/>
  <c r="AC117" i="79"/>
  <c r="AO24" i="79"/>
  <c r="AO28" i="79"/>
  <c r="R118" i="79"/>
  <c r="R56" i="79" s="1"/>
  <c r="R35" i="73" s="1"/>
  <c r="S117" i="79"/>
  <c r="E37" i="79"/>
  <c r="E42" i="79"/>
  <c r="AR98" i="79"/>
  <c r="AZ174" i="79"/>
  <c r="M203" i="79"/>
  <c r="M216" i="79" s="1"/>
  <c r="N198" i="79"/>
  <c r="N215" i="79"/>
  <c r="N201" i="79"/>
  <c r="J204" i="79"/>
  <c r="AP79" i="46"/>
  <c r="AS209" i="79"/>
  <c r="AS222" i="79" s="1"/>
  <c r="Y209" i="79"/>
  <c r="Y222" i="79" s="1"/>
  <c r="AB209" i="79"/>
  <c r="AB222" i="79" s="1"/>
  <c r="Z209" i="79"/>
  <c r="Z222" i="79" s="1"/>
  <c r="AA209" i="79"/>
  <c r="AA222" i="79" s="1"/>
  <c r="Y24" i="79"/>
  <c r="Y28" i="79"/>
  <c r="L28" i="79"/>
  <c r="L24" i="79"/>
  <c r="AH42" i="79"/>
  <c r="AH37" i="79"/>
  <c r="BD73" i="79"/>
  <c r="AW32" i="79"/>
  <c r="AW35" i="79" s="1"/>
  <c r="W98" i="79"/>
  <c r="W112" i="79"/>
  <c r="AL228" i="79"/>
  <c r="AM228" i="79" s="1"/>
  <c r="AL135" i="79"/>
  <c r="X183" i="79"/>
  <c r="Y204" i="79"/>
  <c r="N216" i="79"/>
  <c r="AD204" i="79"/>
  <c r="AT195" i="79"/>
  <c r="N233" i="79"/>
  <c r="O226" i="79"/>
  <c r="O231" i="79" s="1"/>
  <c r="P226" i="79" s="1"/>
  <c r="P231" i="79" s="1"/>
  <c r="Q226" i="79" s="1"/>
  <c r="Q231" i="79" s="1"/>
  <c r="R226" i="79" s="1"/>
  <c r="R231" i="79" s="1"/>
  <c r="S226" i="79"/>
  <c r="S231" i="79" s="1"/>
  <c r="X209" i="79"/>
  <c r="X222" i="79" s="1"/>
  <c r="X28" i="79"/>
  <c r="X24" i="79"/>
  <c r="AZ451" i="80"/>
  <c r="AZ452" i="80"/>
  <c r="AZ455" i="80" s="1"/>
  <c r="AE452" i="80"/>
  <c r="AE455" i="80" s="1"/>
  <c r="AE451" i="80"/>
  <c r="BB254" i="80"/>
  <c r="BZ177" i="80"/>
  <c r="BZ181" i="80" s="1"/>
  <c r="BB173" i="80"/>
  <c r="BZ163" i="80" s="1"/>
  <c r="BZ169" i="80" s="1"/>
  <c r="CB101" i="73"/>
  <c r="AB491" i="80"/>
  <c r="AB492" i="80"/>
  <c r="AB185" i="80" s="1"/>
  <c r="AY474" i="80"/>
  <c r="AA681" i="80"/>
  <c r="AA209" i="80"/>
  <c r="BG618" i="80"/>
  <c r="BG83" i="80"/>
  <c r="AY471" i="80"/>
  <c r="AY472" i="80"/>
  <c r="AY475" i="80" s="1"/>
  <c r="G842" i="80"/>
  <c r="H840" i="80" s="1"/>
  <c r="H842" i="80" s="1"/>
  <c r="AC618" i="80"/>
  <c r="AE408" i="80"/>
  <c r="AE409" i="80"/>
  <c r="AR761" i="80"/>
  <c r="AF337" i="80"/>
  <c r="AF350" i="80"/>
  <c r="AF256" i="80"/>
  <c r="AF363" i="80"/>
  <c r="AK324" i="80"/>
  <c r="AK272" i="80"/>
  <c r="BL643" i="80"/>
  <c r="BX315" i="80"/>
  <c r="BZ315" i="80" s="1"/>
  <c r="CA315" i="80" s="1"/>
  <c r="BL253" i="80"/>
  <c r="CB178" i="80"/>
  <c r="CB182" i="80" s="1"/>
  <c r="BJ643" i="80"/>
  <c r="BJ285" i="80"/>
  <c r="BJ253" i="80"/>
  <c r="BI144" i="80"/>
  <c r="BH143" i="80"/>
  <c r="BH144" i="80" s="1"/>
  <c r="BL144" i="80" s="1"/>
  <c r="BL285" i="80" s="1"/>
  <c r="AG324" i="80"/>
  <c r="AG272" i="80"/>
  <c r="BD499" i="80"/>
  <c r="BD79" i="80"/>
  <c r="AA605" i="80"/>
  <c r="AA519" i="80"/>
  <c r="AA387" i="80"/>
  <c r="AA87" i="80"/>
  <c r="AA459" i="80"/>
  <c r="AA439" i="80"/>
  <c r="AA95" i="80"/>
  <c r="AA255" i="80" s="1"/>
  <c r="AA223" i="80" s="1"/>
  <c r="AA413" i="80"/>
  <c r="AA91" i="80"/>
  <c r="AA656" i="80" s="1"/>
  <c r="V78" i="46"/>
  <c r="AR439" i="80"/>
  <c r="AN272" i="80"/>
  <c r="AN324" i="80"/>
  <c r="AH618" i="80"/>
  <c r="AH83" i="80"/>
  <c r="AH254" i="80" s="1"/>
  <c r="AJ538" i="80"/>
  <c r="BA324" i="80"/>
  <c r="BA272" i="80"/>
  <c r="AD392" i="80"/>
  <c r="AH387" i="80"/>
  <c r="BC324" i="80"/>
  <c r="BC272" i="80"/>
  <c r="BN144" i="80"/>
  <c r="BM143" i="80"/>
  <c r="BM144" i="80" s="1"/>
  <c r="BQ144" i="80" s="1"/>
  <c r="AL418" i="80"/>
  <c r="AH460" i="80"/>
  <c r="AD468" i="80"/>
  <c r="AD405" i="80"/>
  <c r="AH400" i="80"/>
  <c r="BB500" i="80"/>
  <c r="AX508" i="80"/>
  <c r="BB508" i="80" s="1"/>
  <c r="BE715" i="80"/>
  <c r="BD131" i="80"/>
  <c r="BD429" i="80"/>
  <c r="AS485" i="80"/>
  <c r="AR485" i="80"/>
  <c r="Y602" i="80"/>
  <c r="Y195" i="80"/>
  <c r="BJ539" i="80"/>
  <c r="BK536" i="80"/>
  <c r="AA624" i="80"/>
  <c r="AA627" i="80" s="1"/>
  <c r="AB621" i="80"/>
  <c r="AA611" i="80"/>
  <c r="AA601" i="80" s="1"/>
  <c r="AA600" i="80"/>
  <c r="AA203" i="80" s="1"/>
  <c r="AB608" i="80"/>
  <c r="AA711" i="80"/>
  <c r="AB709" i="80"/>
  <c r="BO689" i="80"/>
  <c r="BN211" i="80"/>
  <c r="CE810" i="80"/>
  <c r="CE813" i="80" s="1"/>
  <c r="AW162" i="80"/>
  <c r="EM839" i="80"/>
  <c r="AR825" i="80"/>
  <c r="AR857" i="80"/>
  <c r="AR854" i="80"/>
  <c r="AR871" i="80"/>
  <c r="AO78" i="46"/>
  <c r="AT796" i="80"/>
  <c r="AT32" i="80"/>
  <c r="AT35" i="80" s="1"/>
  <c r="AU28" i="80"/>
  <c r="AU24" i="80"/>
  <c r="BB95" i="80"/>
  <c r="BB255" i="80" s="1"/>
  <c r="BH538" i="80"/>
  <c r="BL533" i="80"/>
  <c r="Z474" i="80"/>
  <c r="Z476" i="80" s="1"/>
  <c r="CC367" i="80"/>
  <c r="CE367" i="80" s="1"/>
  <c r="CF367" i="80" s="1"/>
  <c r="BG363" i="80" s="1"/>
  <c r="BG256" i="80"/>
  <c r="AB439" i="80"/>
  <c r="AB459" i="80"/>
  <c r="AB95" i="80"/>
  <c r="AB255" i="80" s="1"/>
  <c r="AB223" i="80" s="1"/>
  <c r="AI350" i="80"/>
  <c r="AI363" i="80"/>
  <c r="AI337" i="80"/>
  <c r="AI256" i="80"/>
  <c r="AG760" i="80"/>
  <c r="AH757" i="80"/>
  <c r="AH760" i="80" s="1"/>
  <c r="AM761" i="80" s="1"/>
  <c r="AN448" i="80"/>
  <c r="AR448" i="80" s="1"/>
  <c r="AR440" i="80"/>
  <c r="BF272" i="80"/>
  <c r="BF324" i="80"/>
  <c r="R19" i="46"/>
  <c r="R23" i="80"/>
  <c r="Y405" i="80"/>
  <c r="AJ431" i="80"/>
  <c r="AO363" i="80"/>
  <c r="AO350" i="80"/>
  <c r="AO256" i="80"/>
  <c r="AW605" i="80"/>
  <c r="AW87" i="80"/>
  <c r="AW91" i="80"/>
  <c r="AW656" i="80" s="1"/>
  <c r="BI618" i="80"/>
  <c r="BI83" i="80"/>
  <c r="BI254" i="80" s="1"/>
  <c r="AN508" i="80"/>
  <c r="AR508" i="80" s="1"/>
  <c r="AR500" i="80"/>
  <c r="AD363" i="80"/>
  <c r="AD371" i="80" s="1"/>
  <c r="AD350" i="80"/>
  <c r="AD337" i="80"/>
  <c r="AD256" i="80"/>
  <c r="AQ392" i="80"/>
  <c r="AM533" i="80"/>
  <c r="AP418" i="80"/>
  <c r="AE319" i="80"/>
  <c r="AE321" i="80" s="1"/>
  <c r="AX324" i="80"/>
  <c r="AX272" i="80"/>
  <c r="AD372" i="80"/>
  <c r="AE317" i="80"/>
  <c r="AE320" i="80" s="1"/>
  <c r="AF314" i="80"/>
  <c r="BO338" i="80"/>
  <c r="BO364" i="80"/>
  <c r="BO351" i="80"/>
  <c r="BO325" i="80"/>
  <c r="BN273" i="80"/>
  <c r="BO312" i="80"/>
  <c r="BO286" i="80"/>
  <c r="BO299" i="80"/>
  <c r="AR445" i="80"/>
  <c r="AS445" i="80"/>
  <c r="AZ469" i="80"/>
  <c r="AZ466" i="80"/>
  <c r="BA463" i="80"/>
  <c r="F779" i="80"/>
  <c r="E779" i="80"/>
  <c r="O779" i="80"/>
  <c r="P779" i="80"/>
  <c r="AH839" i="80"/>
  <c r="N839" i="80"/>
  <c r="AE796" i="80"/>
  <c r="AE32" i="80"/>
  <c r="AE35" i="80" s="1"/>
  <c r="Q796" i="80"/>
  <c r="Q32" i="80"/>
  <c r="Q35" i="80" s="1"/>
  <c r="N42" i="80"/>
  <c r="N37" i="80"/>
  <c r="Y865" i="80"/>
  <c r="Y878" i="80" s="1"/>
  <c r="AA865" i="80"/>
  <c r="AA878" i="80" s="1"/>
  <c r="Y28" i="80"/>
  <c r="Y24" i="80"/>
  <c r="BH499" i="80"/>
  <c r="BH79" i="80"/>
  <c r="BL77" i="80"/>
  <c r="BH606" i="80"/>
  <c r="BL86" i="80"/>
  <c r="BL606" i="80" s="1"/>
  <c r="BL413" i="80"/>
  <c r="BB479" i="80"/>
  <c r="AG337" i="80"/>
  <c r="AG363" i="80"/>
  <c r="AG350" i="80"/>
  <c r="AG256" i="80"/>
  <c r="X865" i="80"/>
  <c r="X878" i="80" s="1"/>
  <c r="X24" i="80"/>
  <c r="X28" i="80"/>
  <c r="AV418" i="80"/>
  <c r="Z538" i="80"/>
  <c r="Z539" i="80" s="1"/>
  <c r="Z542" i="80" s="1"/>
  <c r="AC534" i="80"/>
  <c r="AU392" i="80"/>
  <c r="AM426" i="80"/>
  <c r="AP405" i="80"/>
  <c r="AL392" i="80"/>
  <c r="AE418" i="80"/>
  <c r="AE419" i="80" s="1"/>
  <c r="AQ342" i="80"/>
  <c r="AN342" i="80"/>
  <c r="Z483" i="80"/>
  <c r="AA489" i="80"/>
  <c r="AA486" i="80"/>
  <c r="BQ536" i="80"/>
  <c r="AC583" i="80"/>
  <c r="AD583" i="80" s="1"/>
  <c r="AB586" i="80"/>
  <c r="AE559" i="80"/>
  <c r="Z639" i="80"/>
  <c r="Z652" i="80"/>
  <c r="AC694" i="80"/>
  <c r="AD694" i="80" s="1"/>
  <c r="AB696" i="80"/>
  <c r="AC696" i="80" s="1"/>
  <c r="AB212" i="80"/>
  <c r="AR162" i="80"/>
  <c r="BI764" i="80"/>
  <c r="BI14" i="80"/>
  <c r="W122" i="46"/>
  <c r="W859" i="80"/>
  <c r="AR42" i="80"/>
  <c r="AR37" i="80"/>
  <c r="I866" i="80"/>
  <c r="I27" i="71"/>
  <c r="I873" i="80"/>
  <c r="R761" i="80"/>
  <c r="W761" i="80"/>
  <c r="S760" i="80"/>
  <c r="AF418" i="80"/>
  <c r="AF419" i="80" s="1"/>
  <c r="AF421" i="80" s="1"/>
  <c r="BL459" i="80"/>
  <c r="BL71" i="80"/>
  <c r="Z272" i="80"/>
  <c r="Z280" i="80" s="1"/>
  <c r="Z324" i="80"/>
  <c r="Z332" i="80" s="1"/>
  <c r="AG538" i="80"/>
  <c r="AG539" i="80" s="1"/>
  <c r="AG542" i="80" s="1"/>
  <c r="BD538" i="80"/>
  <c r="BD539" i="80" s="1"/>
  <c r="BD542" i="80" s="1"/>
  <c r="AR479" i="80"/>
  <c r="AB760" i="80"/>
  <c r="AC757" i="80"/>
  <c r="AC89" i="80"/>
  <c r="AC91" i="80" s="1"/>
  <c r="AC656" i="80" s="1"/>
  <c r="AO324" i="80"/>
  <c r="AO272" i="80"/>
  <c r="AW400" i="80"/>
  <c r="AS405" i="80"/>
  <c r="BN690" i="80"/>
  <c r="BN691" i="80" s="1"/>
  <c r="BM126" i="80"/>
  <c r="BM690" i="80" s="1"/>
  <c r="BM691" i="80" s="1"/>
  <c r="BH338" i="80"/>
  <c r="BH286" i="80"/>
  <c r="BH364" i="80"/>
  <c r="BH299" i="80"/>
  <c r="BH351" i="80"/>
  <c r="BH325" i="80"/>
  <c r="BH312" i="80"/>
  <c r="AD319" i="80"/>
  <c r="BB79" i="80"/>
  <c r="AH413" i="80"/>
  <c r="AD418" i="80"/>
  <c r="AE454" i="80"/>
  <c r="AE456" i="80" s="1"/>
  <c r="AT643" i="80"/>
  <c r="AT298" i="80"/>
  <c r="AT285" i="80"/>
  <c r="AT253" i="80"/>
  <c r="AM413" i="80"/>
  <c r="AI418" i="80"/>
  <c r="AB359" i="80"/>
  <c r="AB372" i="80"/>
  <c r="AF449" i="80"/>
  <c r="AF446" i="80"/>
  <c r="AG443" i="80"/>
  <c r="AB571" i="80"/>
  <c r="AA574" i="80"/>
  <c r="AA553" i="80"/>
  <c r="AA202" i="80" s="1"/>
  <c r="Y566" i="80"/>
  <c r="AC564" i="80"/>
  <c r="Y549" i="80"/>
  <c r="Y551" i="80" s="1"/>
  <c r="Y158" i="80" s="1"/>
  <c r="AJ649" i="80"/>
  <c r="AO648" i="80"/>
  <c r="AT648" i="80" s="1"/>
  <c r="AY648" i="80" s="1"/>
  <c r="BD648" i="80" s="1"/>
  <c r="BI648" i="80" s="1"/>
  <c r="BN648" i="80" s="1"/>
  <c r="AA674" i="80"/>
  <c r="Z676" i="80"/>
  <c r="Z208" i="80"/>
  <c r="BI691" i="80"/>
  <c r="BI211" i="80"/>
  <c r="S854" i="80"/>
  <c r="S857" i="80"/>
  <c r="S871" i="80"/>
  <c r="AV24" i="80"/>
  <c r="AV28" i="80"/>
  <c r="AL28" i="80"/>
  <c r="AL24" i="80"/>
  <c r="AN866" i="80" s="1"/>
  <c r="AN873" i="80" s="1"/>
  <c r="AU373" i="80"/>
  <c r="AC499" i="80"/>
  <c r="AG392" i="80"/>
  <c r="BE324" i="80"/>
  <c r="BE272" i="80"/>
  <c r="AA400" i="80"/>
  <c r="AA75" i="80"/>
  <c r="AA533" i="80"/>
  <c r="AA479" i="80"/>
  <c r="AA494" i="80" s="1"/>
  <c r="AA67" i="80"/>
  <c r="AA257" i="80" s="1"/>
  <c r="AA224" i="80" s="1"/>
  <c r="AA440" i="80"/>
  <c r="AA448" i="80" s="1"/>
  <c r="AA449" i="80" s="1"/>
  <c r="AA460" i="80"/>
  <c r="AA468" i="80" s="1"/>
  <c r="AA469" i="80" s="1"/>
  <c r="AA472" i="80" s="1"/>
  <c r="AA475" i="80" s="1"/>
  <c r="AA426" i="80"/>
  <c r="AM605" i="80"/>
  <c r="AM87" i="80"/>
  <c r="AT865" i="80"/>
  <c r="AT878" i="80" s="1"/>
  <c r="AS865" i="80"/>
  <c r="AS878" i="80" s="1"/>
  <c r="AV865" i="80"/>
  <c r="AV878" i="80" s="1"/>
  <c r="AU865" i="80"/>
  <c r="AU878" i="80" s="1"/>
  <c r="AS24" i="80"/>
  <c r="AS28" i="80"/>
  <c r="AR387" i="80"/>
  <c r="AN392" i="80"/>
  <c r="AM350" i="80"/>
  <c r="AM363" i="80"/>
  <c r="AM337" i="80"/>
  <c r="AM256" i="80"/>
  <c r="Y324" i="80"/>
  <c r="Y332" i="80" s="1"/>
  <c r="Y272" i="80"/>
  <c r="Y280" i="80" s="1"/>
  <c r="Y615" i="80"/>
  <c r="Y596" i="80"/>
  <c r="AC439" i="80"/>
  <c r="BA392" i="80"/>
  <c r="BA418" i="80"/>
  <c r="AW499" i="80"/>
  <c r="AD527" i="80"/>
  <c r="AH519" i="80"/>
  <c r="AX643" i="80"/>
  <c r="AX285" i="80"/>
  <c r="AX253" i="80"/>
  <c r="AT324" i="80"/>
  <c r="AT272" i="80"/>
  <c r="AP351" i="80"/>
  <c r="AP325" i="80"/>
  <c r="AP364" i="80"/>
  <c r="AP338" i="80"/>
  <c r="AO273" i="80"/>
  <c r="AP312" i="80"/>
  <c r="AP286" i="80"/>
  <c r="AP299" i="80"/>
  <c r="AE509" i="80"/>
  <c r="AF503" i="80"/>
  <c r="AE506" i="80"/>
  <c r="BP684" i="80"/>
  <c r="BO210" i="80"/>
  <c r="Y640" i="80"/>
  <c r="Y196" i="80"/>
  <c r="BD706" i="80"/>
  <c r="BE704" i="80"/>
  <c r="BG173" i="80"/>
  <c r="CA163" i="80" s="1"/>
  <c r="CA169" i="80" s="1"/>
  <c r="CC101" i="73"/>
  <c r="AU780" i="80"/>
  <c r="AU768" i="80"/>
  <c r="AU770" i="80" s="1"/>
  <c r="AV779" i="80" s="1"/>
  <c r="BB853" i="80"/>
  <c r="P857" i="80"/>
  <c r="P854" i="80"/>
  <c r="P871" i="80"/>
  <c r="AF431" i="80"/>
  <c r="AF432" i="80" s="1"/>
  <c r="AK431" i="80"/>
  <c r="AT476" i="80"/>
  <c r="Z418" i="80"/>
  <c r="Z419" i="80" s="1"/>
  <c r="Z421" i="80" s="1"/>
  <c r="Z363" i="80"/>
  <c r="Z371" i="80" s="1"/>
  <c r="Z350" i="80"/>
  <c r="Z358" i="80" s="1"/>
  <c r="Z337" i="80"/>
  <c r="Z345" i="80" s="1"/>
  <c r="Z256" i="80"/>
  <c r="Z225" i="80" s="1"/>
  <c r="BD337" i="80"/>
  <c r="BD350" i="80"/>
  <c r="BD256" i="80"/>
  <c r="BD363" i="80"/>
  <c r="AB400" i="80"/>
  <c r="AB75" i="80"/>
  <c r="AB337" i="80"/>
  <c r="AB533" i="80"/>
  <c r="AB479" i="80"/>
  <c r="AB494" i="80" s="1"/>
  <c r="AB67" i="80"/>
  <c r="AB257" i="80" s="1"/>
  <c r="AB224" i="80" s="1"/>
  <c r="AR618" i="80"/>
  <c r="AR83" i="80"/>
  <c r="AN468" i="80"/>
  <c r="AR460" i="80"/>
  <c r="AP28" i="80"/>
  <c r="AP24" i="80"/>
  <c r="AQ865" i="80"/>
  <c r="AQ878" i="80" s="1"/>
  <c r="AP865" i="80"/>
  <c r="AP878" i="80" s="1"/>
  <c r="AO643" i="80"/>
  <c r="AO298" i="80"/>
  <c r="AO285" i="80"/>
  <c r="AO253" i="80"/>
  <c r="AW387" i="80"/>
  <c r="AS392" i="80"/>
  <c r="AS538" i="80"/>
  <c r="AW533" i="80"/>
  <c r="BI400" i="80"/>
  <c r="BI75" i="80"/>
  <c r="AJ643" i="80"/>
  <c r="AJ651" i="80" s="1"/>
  <c r="AJ253" i="80"/>
  <c r="AJ298" i="80"/>
  <c r="AJ285" i="80"/>
  <c r="BD144" i="80"/>
  <c r="BC143" i="80"/>
  <c r="BC144" i="80" s="1"/>
  <c r="BB71" i="80"/>
  <c r="BG459" i="80"/>
  <c r="AE514" i="80"/>
  <c r="BB605" i="80"/>
  <c r="BB87" i="80"/>
  <c r="AI468" i="80"/>
  <c r="AM460" i="80"/>
  <c r="BG460" i="80"/>
  <c r="AG429" i="80"/>
  <c r="Z503" i="80"/>
  <c r="AA506" i="80"/>
  <c r="AG469" i="80"/>
  <c r="AI539" i="80"/>
  <c r="AJ536" i="80"/>
  <c r="AL661" i="80"/>
  <c r="AI661" i="80"/>
  <c r="BP679" i="80"/>
  <c r="BO681" i="80"/>
  <c r="BO209" i="80"/>
  <c r="BL173" i="80"/>
  <c r="CB163" i="80" s="1"/>
  <c r="CB169" i="80" s="1"/>
  <c r="CD101" i="73"/>
  <c r="BI799" i="80"/>
  <c r="J42" i="80"/>
  <c r="J37" i="80"/>
  <c r="AC796" i="80"/>
  <c r="AC32" i="80"/>
  <c r="AC35" i="80" s="1"/>
  <c r="BP256" i="80"/>
  <c r="AF272" i="80"/>
  <c r="AF324" i="80"/>
  <c r="AK643" i="80"/>
  <c r="AK651" i="80" s="1"/>
  <c r="AK298" i="80"/>
  <c r="AK285" i="80"/>
  <c r="AK253" i="80"/>
  <c r="BL82" i="80"/>
  <c r="BH618" i="80"/>
  <c r="BL81" i="80"/>
  <c r="BH83" i="80"/>
  <c r="BH254" i="80" s="1"/>
  <c r="BJ324" i="80"/>
  <c r="BJ272" i="80"/>
  <c r="Z500" i="80"/>
  <c r="Z508" i="80" s="1"/>
  <c r="Z254" i="80"/>
  <c r="Z222" i="80" s="1"/>
  <c r="AM720" i="80"/>
  <c r="AM644" i="80"/>
  <c r="AH459" i="80"/>
  <c r="AN337" i="80"/>
  <c r="AN350" i="80"/>
  <c r="AN256" i="80"/>
  <c r="AN363" i="80"/>
  <c r="AR413" i="80"/>
  <c r="AN418" i="80"/>
  <c r="Y431" i="80"/>
  <c r="AS431" i="80"/>
  <c r="AW426" i="80"/>
  <c r="AW643" i="80"/>
  <c r="BX312" i="80"/>
  <c r="BZ312" i="80" s="1"/>
  <c r="AW285" i="80"/>
  <c r="AW298" i="80"/>
  <c r="AW253" i="80"/>
  <c r="BY178" i="80"/>
  <c r="BY182" i="80" s="1"/>
  <c r="BA643" i="80"/>
  <c r="BA285" i="80"/>
  <c r="BA253" i="80"/>
  <c r="BG78" i="80"/>
  <c r="Z268" i="80"/>
  <c r="BC539" i="80"/>
  <c r="AM431" i="80"/>
  <c r="BG77" i="80"/>
  <c r="BD338" i="80"/>
  <c r="BD286" i="80"/>
  <c r="BD364" i="80"/>
  <c r="BD351" i="80"/>
  <c r="BD325" i="80"/>
  <c r="BC273" i="80"/>
  <c r="BD312" i="80"/>
  <c r="BD299" i="80"/>
  <c r="AH416" i="80"/>
  <c r="AI416" i="80" s="1"/>
  <c r="BA449" i="80"/>
  <c r="BA446" i="80"/>
  <c r="BB443" i="80"/>
  <c r="BC443" i="80" s="1"/>
  <c r="AB466" i="80"/>
  <c r="AG465" i="80"/>
  <c r="AE525" i="80"/>
  <c r="AF522" i="80"/>
  <c r="BQ570" i="80"/>
  <c r="BP570" i="80" s="1"/>
  <c r="BO570" i="80" s="1"/>
  <c r="BN570" i="80" s="1"/>
  <c r="BM570" i="80" s="1"/>
  <c r="BK570" i="80"/>
  <c r="BJ570" i="80" s="1"/>
  <c r="BI570" i="80" s="1"/>
  <c r="BH570" i="80" s="1"/>
  <c r="AD719" i="80"/>
  <c r="AC719" i="80"/>
  <c r="AB721" i="80"/>
  <c r="AC721" i="80" s="1"/>
  <c r="BK764" i="80"/>
  <c r="BK14" i="80"/>
  <c r="BM763" i="80"/>
  <c r="BP763" i="80"/>
  <c r="BO763" i="80"/>
  <c r="BN763" i="80"/>
  <c r="AK758" i="80"/>
  <c r="AK760" i="80" s="1"/>
  <c r="AJ758" i="80"/>
  <c r="AJ760" i="80" s="1"/>
  <c r="AI758" i="80"/>
  <c r="AI760" i="80" s="1"/>
  <c r="BP824" i="80"/>
  <c r="BP155" i="46" s="1"/>
  <c r="BQ155" i="46" s="1"/>
  <c r="X857" i="80"/>
  <c r="X854" i="80"/>
  <c r="X871" i="80"/>
  <c r="I796" i="80"/>
  <c r="I32" i="80"/>
  <c r="I35" i="80" s="1"/>
  <c r="AN42" i="80"/>
  <c r="AN37" i="80"/>
  <c r="AX432" i="80"/>
  <c r="BL426" i="80"/>
  <c r="Z643" i="80"/>
  <c r="Z651" i="80" s="1"/>
  <c r="Z298" i="80"/>
  <c r="Z306" i="80" s="1"/>
  <c r="Z285" i="80"/>
  <c r="Z293" i="80" s="1"/>
  <c r="Z253" i="80"/>
  <c r="Z221" i="80" s="1"/>
  <c r="Z392" i="80"/>
  <c r="AN538" i="80"/>
  <c r="AR533" i="80"/>
  <c r="AV538" i="80"/>
  <c r="AZ474" i="80"/>
  <c r="AZ324" i="80"/>
  <c r="AZ272" i="80"/>
  <c r="BF643" i="80"/>
  <c r="BF285" i="80"/>
  <c r="BF253" i="80"/>
  <c r="AF643" i="80"/>
  <c r="AF298" i="80"/>
  <c r="AF253" i="80"/>
  <c r="AF285" i="80"/>
  <c r="AC86" i="80"/>
  <c r="AC606" i="80" s="1"/>
  <c r="Y666" i="80"/>
  <c r="Y538" i="80"/>
  <c r="AC533" i="80"/>
  <c r="AO392" i="80"/>
  <c r="AO418" i="80"/>
  <c r="AS363" i="80"/>
  <c r="AS371" i="80" s="1"/>
  <c r="AS350" i="80"/>
  <c r="AS256" i="80"/>
  <c r="AW618" i="80"/>
  <c r="AW83" i="80"/>
  <c r="AY324" i="80"/>
  <c r="AY272" i="80"/>
  <c r="AG301" i="80"/>
  <c r="AF304" i="80"/>
  <c r="AF307" i="80" s="1"/>
  <c r="Y269" i="80"/>
  <c r="Y192" i="80"/>
  <c r="AD488" i="80"/>
  <c r="AH480" i="80"/>
  <c r="AH79" i="80"/>
  <c r="AH311" i="80" s="1"/>
  <c r="BB499" i="80"/>
  <c r="AT405" i="80"/>
  <c r="AB294" i="80"/>
  <c r="AS505" i="80"/>
  <c r="AA566" i="80"/>
  <c r="AO471" i="80"/>
  <c r="Z576" i="80"/>
  <c r="Z554" i="80"/>
  <c r="BZ810" i="80"/>
  <c r="AC561" i="80"/>
  <c r="AD561" i="80" s="1"/>
  <c r="AE561" i="80" s="1"/>
  <c r="AF561" i="80" s="1"/>
  <c r="AG561" i="80" s="1"/>
  <c r="Y723" i="80"/>
  <c r="Y161" i="80" s="1"/>
  <c r="BL691" i="80"/>
  <c r="BG14" i="80"/>
  <c r="AA780" i="80"/>
  <c r="AA768" i="80"/>
  <c r="AA770" i="80" s="1"/>
  <c r="AB779" i="80" s="1"/>
  <c r="AC839" i="80"/>
  <c r="R122" i="46"/>
  <c r="R129" i="46" s="1"/>
  <c r="R132" i="46" s="1"/>
  <c r="R133" i="46" s="1"/>
  <c r="R859" i="80"/>
  <c r="R860" i="80" s="1"/>
  <c r="O854" i="80"/>
  <c r="O857" i="80"/>
  <c r="O871" i="80"/>
  <c r="AQ28" i="80"/>
  <c r="AQ24" i="80"/>
  <c r="H24" i="80"/>
  <c r="L866" i="80" s="1"/>
  <c r="L873" i="80" s="1"/>
  <c r="H28" i="80"/>
  <c r="J865" i="80"/>
  <c r="J878" i="80" s="1"/>
  <c r="AR720" i="80"/>
  <c r="AR644" i="80"/>
  <c r="AD432" i="80"/>
  <c r="AR459" i="80"/>
  <c r="AR519" i="80"/>
  <c r="AR499" i="80"/>
  <c r="AV272" i="80"/>
  <c r="AV324" i="80"/>
  <c r="BE538" i="80"/>
  <c r="BE539" i="80" s="1"/>
  <c r="BE542" i="80" s="1"/>
  <c r="AV643" i="80"/>
  <c r="AV298" i="80"/>
  <c r="AV253" i="80"/>
  <c r="AV285" i="80"/>
  <c r="AC461" i="80"/>
  <c r="AC85" i="80"/>
  <c r="AS448" i="80"/>
  <c r="AW448" i="80" s="1"/>
  <c r="AW440" i="80"/>
  <c r="BC643" i="80"/>
  <c r="BC253" i="80"/>
  <c r="BC285" i="80"/>
  <c r="AH605" i="80"/>
  <c r="AH87" i="80"/>
  <c r="AS364" i="80"/>
  <c r="AS372" i="80" s="1"/>
  <c r="AW372" i="80" s="1"/>
  <c r="AS312" i="80"/>
  <c r="AS299" i="80"/>
  <c r="AS351" i="80"/>
  <c r="AS338" i="80"/>
  <c r="AS286" i="80"/>
  <c r="AS325" i="80"/>
  <c r="AX448" i="80"/>
  <c r="BB440" i="80"/>
  <c r="AX405" i="80"/>
  <c r="BB400" i="80"/>
  <c r="AH500" i="80"/>
  <c r="AD508" i="80"/>
  <c r="AT392" i="80"/>
  <c r="AQ418" i="80"/>
  <c r="AE431" i="80"/>
  <c r="AE432" i="80" s="1"/>
  <c r="AE434" i="80" s="1"/>
  <c r="AA333" i="80"/>
  <c r="Z325" i="80"/>
  <c r="AI355" i="80"/>
  <c r="AL355" i="80"/>
  <c r="AC291" i="80"/>
  <c r="AC290" i="80" s="1"/>
  <c r="AL582" i="80"/>
  <c r="AK582" i="80" s="1"/>
  <c r="AJ582" i="80" s="1"/>
  <c r="AI582" i="80" s="1"/>
  <c r="AR582" i="80"/>
  <c r="AX710" i="80"/>
  <c r="BY320" i="80"/>
  <c r="CG809" i="80"/>
  <c r="CF806" i="80"/>
  <c r="CF796" i="80"/>
  <c r="CF792" i="80"/>
  <c r="CF800" i="80"/>
  <c r="CF798" i="80"/>
  <c r="CF795" i="80"/>
  <c r="CF791" i="80"/>
  <c r="CF790" i="80"/>
  <c r="CF789" i="80"/>
  <c r="CF788" i="80"/>
  <c r="CF787" i="80"/>
  <c r="CF786" i="80"/>
  <c r="CF785" i="80"/>
  <c r="CF784" i="80"/>
  <c r="CF783" i="80"/>
  <c r="CF782" i="80"/>
  <c r="CF781" i="80"/>
  <c r="CF780" i="80"/>
  <c r="CF779" i="80"/>
  <c r="CF801" i="80"/>
  <c r="CF794" i="80"/>
  <c r="CF804" i="80"/>
  <c r="CF803" i="80"/>
  <c r="CF802" i="80"/>
  <c r="CF799" i="80"/>
  <c r="CF797" i="80"/>
  <c r="CF793" i="80"/>
  <c r="CF805" i="80"/>
  <c r="ER839" i="80"/>
  <c r="AW825" i="80"/>
  <c r="AR851" i="80"/>
  <c r="P860" i="80"/>
  <c r="T857" i="80"/>
  <c r="T854" i="80"/>
  <c r="T871" i="80"/>
  <c r="AH866" i="80"/>
  <c r="AH873" i="80" s="1"/>
  <c r="BX46" i="73"/>
  <c r="AH27" i="71"/>
  <c r="AF454" i="80"/>
  <c r="BL440" i="80"/>
  <c r="AX539" i="80"/>
  <c r="AG643" i="80"/>
  <c r="AG285" i="80"/>
  <c r="AG298" i="80"/>
  <c r="AG253" i="80"/>
  <c r="BI538" i="80"/>
  <c r="BI539" i="80" s="1"/>
  <c r="BI542" i="80" s="1"/>
  <c r="AB413" i="80"/>
  <c r="AB91" i="80"/>
  <c r="AB656" i="80" s="1"/>
  <c r="AM618" i="80"/>
  <c r="AM83" i="80"/>
  <c r="AM254" i="80" s="1"/>
  <c r="P42" i="80"/>
  <c r="P37" i="80"/>
  <c r="P43" i="80" s="1"/>
  <c r="AZ418" i="80"/>
  <c r="Y500" i="80"/>
  <c r="Y254" i="80"/>
  <c r="AJ324" i="80"/>
  <c r="AJ272" i="80"/>
  <c r="AO405" i="80"/>
  <c r="AR405" i="80" s="1"/>
  <c r="AW519" i="80"/>
  <c r="AS418" i="80"/>
  <c r="AW413" i="80"/>
  <c r="AW479" i="80"/>
  <c r="BA431" i="80"/>
  <c r="BA432" i="80" s="1"/>
  <c r="AJ405" i="80"/>
  <c r="AX363" i="80"/>
  <c r="AX350" i="80"/>
  <c r="AX337" i="80"/>
  <c r="AX256" i="80"/>
  <c r="BJ715" i="80"/>
  <c r="BI131" i="80"/>
  <c r="AI303" i="80"/>
  <c r="AL303" i="80"/>
  <c r="AQ303" i="80" s="1"/>
  <c r="AH75" i="80"/>
  <c r="AL643" i="80"/>
  <c r="AL298" i="80"/>
  <c r="AL285" i="80"/>
  <c r="AL253" i="80"/>
  <c r="AX392" i="80"/>
  <c r="BB387" i="80"/>
  <c r="AU418" i="80"/>
  <c r="AM440" i="80"/>
  <c r="AI448" i="80"/>
  <c r="AM448" i="80" s="1"/>
  <c r="BG440" i="80"/>
  <c r="AG403" i="80"/>
  <c r="AD356" i="80"/>
  <c r="AE353" i="80"/>
  <c r="AE382" i="80"/>
  <c r="AE201" i="80" s="1"/>
  <c r="AE393" i="80"/>
  <c r="AF390" i="80"/>
  <c r="AE369" i="80"/>
  <c r="AE372" i="80" s="1"/>
  <c r="AF368" i="80"/>
  <c r="AJ471" i="80"/>
  <c r="AX524" i="80"/>
  <c r="AW524" i="80"/>
  <c r="AF472" i="80"/>
  <c r="AF475" i="80" s="1"/>
  <c r="AF476" i="80" s="1"/>
  <c r="AE491" i="80"/>
  <c r="AE492" i="80"/>
  <c r="AA525" i="80"/>
  <c r="AA528" i="80" s="1"/>
  <c r="Z522" i="80"/>
  <c r="AR558" i="80"/>
  <c r="AL558" i="80"/>
  <c r="AK558" i="80" s="1"/>
  <c r="AJ558" i="80" s="1"/>
  <c r="AI558" i="80" s="1"/>
  <c r="BM751" i="80"/>
  <c r="BQ753" i="80"/>
  <c r="BP751" i="80"/>
  <c r="BO751" i="80"/>
  <c r="BN751" i="80"/>
  <c r="AZ14" i="46"/>
  <c r="BB14" i="80"/>
  <c r="J774" i="80"/>
  <c r="K780" i="80"/>
  <c r="K768" i="80"/>
  <c r="K770" i="80" s="1"/>
  <c r="L779" i="80" s="1"/>
  <c r="AW866" i="80"/>
  <c r="AW873" i="80" s="1"/>
  <c r="CA46" i="73"/>
  <c r="CA84" i="73" s="1"/>
  <c r="AW27" i="71"/>
  <c r="AL866" i="80"/>
  <c r="AJ42" i="80"/>
  <c r="AJ37" i="80"/>
  <c r="AJ43" i="80" s="1"/>
  <c r="AO44" i="80" s="1"/>
  <c r="AC866" i="80"/>
  <c r="AC873" i="80" s="1"/>
  <c r="AC27" i="71"/>
  <c r="BP413" i="80"/>
  <c r="BP91" i="80"/>
  <c r="BP656" i="80" s="1"/>
  <c r="BO481" i="80"/>
  <c r="BO501" i="80"/>
  <c r="BO534" i="80"/>
  <c r="BO427" i="80"/>
  <c r="BO414" i="80"/>
  <c r="BO461" i="80"/>
  <c r="BO441" i="80"/>
  <c r="BO401" i="80"/>
  <c r="BO388" i="80"/>
  <c r="BO94" i="80"/>
  <c r="BO89" i="80"/>
  <c r="BO66" i="80"/>
  <c r="BO480" i="80" s="1"/>
  <c r="BO70" i="80"/>
  <c r="BO65" i="80"/>
  <c r="BN51" i="80"/>
  <c r="BO90" i="80"/>
  <c r="BO69" i="80"/>
  <c r="BO71" i="80" s="1"/>
  <c r="AF392" i="80"/>
  <c r="AK405" i="80"/>
  <c r="BH400" i="80"/>
  <c r="BH75" i="80"/>
  <c r="BH605" i="80"/>
  <c r="BH519" i="80"/>
  <c r="BH387" i="80"/>
  <c r="BH87" i="80"/>
  <c r="BL85" i="80"/>
  <c r="BL91" i="80"/>
  <c r="BL656" i="80" s="1"/>
  <c r="BN150" i="80"/>
  <c r="BN148" i="80"/>
  <c r="BM147" i="80"/>
  <c r="BN149" i="80"/>
  <c r="BE643" i="80"/>
  <c r="BE285" i="80"/>
  <c r="BE253" i="80"/>
  <c r="Z626" i="80"/>
  <c r="Z628" i="80" s="1"/>
  <c r="AR71" i="80"/>
  <c r="AR75" i="80"/>
  <c r="AZ538" i="80"/>
  <c r="AZ539" i="80" s="1"/>
  <c r="AZ542" i="80" s="1"/>
  <c r="Y337" i="80"/>
  <c r="Y345" i="80" s="1"/>
  <c r="Y363" i="80"/>
  <c r="Y371" i="80" s="1"/>
  <c r="Y350" i="80"/>
  <c r="Y358" i="80" s="1"/>
  <c r="Y256" i="80"/>
  <c r="Y225" i="80" s="1"/>
  <c r="Y448" i="80"/>
  <c r="AW500" i="80"/>
  <c r="AS508" i="80"/>
  <c r="AW508" i="80" s="1"/>
  <c r="AW439" i="80"/>
  <c r="BA405" i="80"/>
  <c r="AZ643" i="80"/>
  <c r="AZ253" i="80"/>
  <c r="AZ285" i="80"/>
  <c r="BG500" i="80"/>
  <c r="AW720" i="80"/>
  <c r="AW644" i="80"/>
  <c r="BG533" i="80"/>
  <c r="AT418" i="80"/>
  <c r="BC488" i="80"/>
  <c r="BG488" i="80" s="1"/>
  <c r="BG480" i="80"/>
  <c r="AM79" i="80"/>
  <c r="AM311" i="80" s="1"/>
  <c r="BG499" i="80"/>
  <c r="AY418" i="80"/>
  <c r="Z186" i="80"/>
  <c r="BP355" i="80"/>
  <c r="BM355" i="80"/>
  <c r="Z390" i="80"/>
  <c r="AA382" i="80"/>
  <c r="AA201" i="80" s="1"/>
  <c r="Z403" i="80"/>
  <c r="AC466" i="80"/>
  <c r="AK471" i="80"/>
  <c r="AD528" i="80"/>
  <c r="AC505" i="80"/>
  <c r="AA691" i="80"/>
  <c r="AB689" i="80"/>
  <c r="AA211" i="80"/>
  <c r="AA662" i="80"/>
  <c r="AB659" i="80"/>
  <c r="BJ764" i="80"/>
  <c r="BJ14" i="80"/>
  <c r="T780" i="80"/>
  <c r="T768" i="80"/>
  <c r="T770" i="80" s="1"/>
  <c r="DN839" i="80"/>
  <c r="S825" i="80"/>
  <c r="EH839" i="80"/>
  <c r="AM825" i="80"/>
  <c r="BF823" i="80"/>
  <c r="BF154" i="46" s="1"/>
  <c r="BG154" i="46" s="1"/>
  <c r="X839" i="80"/>
  <c r="AV122" i="46"/>
  <c r="AV859" i="80"/>
  <c r="AM857" i="80"/>
  <c r="AM854" i="80"/>
  <c r="AM871" i="80"/>
  <c r="X860" i="80"/>
  <c r="AD28" i="80"/>
  <c r="AD24" i="80"/>
  <c r="BB426" i="80"/>
  <c r="BL439" i="80"/>
  <c r="BL480" i="80"/>
  <c r="BH488" i="80"/>
  <c r="BL488" i="80" s="1"/>
  <c r="Z405" i="80"/>
  <c r="AC66" i="80"/>
  <c r="AG418" i="80"/>
  <c r="AG419" i="80" s="1"/>
  <c r="AS488" i="80"/>
  <c r="AW488" i="80" s="1"/>
  <c r="AW480" i="80"/>
  <c r="AH439" i="80"/>
  <c r="AZ431" i="80"/>
  <c r="AZ432" i="80" s="1"/>
  <c r="AZ392" i="80"/>
  <c r="AF405" i="80"/>
  <c r="AF406" i="80" s="1"/>
  <c r="AC501" i="80"/>
  <c r="Y597" i="80"/>
  <c r="Y418" i="80"/>
  <c r="AC413" i="80"/>
  <c r="AC479" i="80"/>
  <c r="AW71" i="80"/>
  <c r="AY392" i="80"/>
  <c r="BN680" i="80"/>
  <c r="BN681" i="80" s="1"/>
  <c r="BM124" i="80"/>
  <c r="BM680" i="80" s="1"/>
  <c r="BM681" i="80" s="1"/>
  <c r="BN700" i="80"/>
  <c r="BM129" i="80"/>
  <c r="BM700" i="80" s="1"/>
  <c r="AD183" i="80"/>
  <c r="AH499" i="80"/>
  <c r="AU474" i="80"/>
  <c r="AY542" i="80"/>
  <c r="AY543" i="80" s="1"/>
  <c r="BG643" i="80"/>
  <c r="BG253" i="80"/>
  <c r="BX314" i="80"/>
  <c r="BZ314" i="80" s="1"/>
  <c r="CA314" i="80" s="1"/>
  <c r="CA178" i="80"/>
  <c r="CA182" i="80" s="1"/>
  <c r="AP272" i="80"/>
  <c r="AP324" i="80"/>
  <c r="AN329" i="80"/>
  <c r="AQ329" i="80"/>
  <c r="Z471" i="80"/>
  <c r="AQ469" i="80"/>
  <c r="Y555" i="80"/>
  <c r="Y194" i="80"/>
  <c r="Y187" i="80"/>
  <c r="AO646" i="80"/>
  <c r="AD686" i="80"/>
  <c r="AE684" i="80"/>
  <c r="AD210" i="80"/>
  <c r="AQ779" i="80"/>
  <c r="AP779" i="80"/>
  <c r="BF821" i="80"/>
  <c r="BF151" i="46" s="1"/>
  <c r="BG151" i="46" s="1"/>
  <c r="S851" i="80"/>
  <c r="AA857" i="80"/>
  <c r="AA854" i="80"/>
  <c r="AA871" i="80"/>
  <c r="O872" i="80"/>
  <c r="G857" i="80"/>
  <c r="G854" i="80"/>
  <c r="G871" i="80"/>
  <c r="L857" i="80"/>
  <c r="L854" i="80"/>
  <c r="L871" i="80"/>
  <c r="S865" i="80"/>
  <c r="S878" i="80" s="1"/>
  <c r="S28" i="80"/>
  <c r="S24" i="80"/>
  <c r="AM866" i="80"/>
  <c r="AM873" i="80" s="1"/>
  <c r="AM27" i="71"/>
  <c r="BY46" i="73"/>
  <c r="O42" i="80"/>
  <c r="O37" i="80"/>
  <c r="AK392" i="80"/>
  <c r="AK418" i="80"/>
  <c r="BD618" i="80"/>
  <c r="BD83" i="80"/>
  <c r="BD254" i="80" s="1"/>
  <c r="H866" i="80"/>
  <c r="H873" i="80" s="1"/>
  <c r="AM796" i="80"/>
  <c r="AM32" i="80"/>
  <c r="AM35" i="80" s="1"/>
  <c r="K796" i="80"/>
  <c r="K32" i="80"/>
  <c r="K35" i="80" s="1"/>
  <c r="G796" i="80"/>
  <c r="G32" i="80"/>
  <c r="G35" i="80" s="1"/>
  <c r="Z431" i="80"/>
  <c r="AG431" i="80"/>
  <c r="BD400" i="80"/>
  <c r="BD75" i="80"/>
  <c r="BD605" i="80"/>
  <c r="BD519" i="80"/>
  <c r="BD387" i="80"/>
  <c r="BD87" i="80"/>
  <c r="AC74" i="80"/>
  <c r="AC73" i="80"/>
  <c r="AC27" i="73"/>
  <c r="AA79" i="80"/>
  <c r="AA311" i="80" s="1"/>
  <c r="AA319" i="80" s="1"/>
  <c r="E796" i="80"/>
  <c r="E32" i="80"/>
  <c r="E35" i="80" s="1"/>
  <c r="U796" i="80"/>
  <c r="U32" i="80"/>
  <c r="U35" i="80" s="1"/>
  <c r="T42" i="80"/>
  <c r="T37" i="80"/>
  <c r="L42" i="80"/>
  <c r="L37" i="80"/>
  <c r="L43" i="80" s="1"/>
  <c r="AA796" i="80"/>
  <c r="AA32" i="80"/>
  <c r="AA35" i="80" s="1"/>
  <c r="AF538" i="80"/>
  <c r="AF539" i="80" s="1"/>
  <c r="AF542" i="80" s="1"/>
  <c r="AK538" i="80"/>
  <c r="AM538" i="80" s="1"/>
  <c r="BM52" i="80"/>
  <c r="AA71" i="80"/>
  <c r="AA618" i="80"/>
  <c r="AA626" i="80" s="1"/>
  <c r="AA628" i="80" s="1"/>
  <c r="AA83" i="80"/>
  <c r="AR426" i="80"/>
  <c r="AN431" i="80"/>
  <c r="AR605" i="80"/>
  <c r="AR87" i="80"/>
  <c r="AV431" i="80"/>
  <c r="AV392" i="80"/>
  <c r="AV405" i="80"/>
  <c r="AC414" i="80"/>
  <c r="Y392" i="80"/>
  <c r="AC93" i="80"/>
  <c r="AC95" i="80" s="1"/>
  <c r="AO431" i="80"/>
  <c r="AS468" i="80"/>
  <c r="AW460" i="80"/>
  <c r="BA538" i="80"/>
  <c r="BA539" i="80" s="1"/>
  <c r="BA542" i="80" s="1"/>
  <c r="AD539" i="80"/>
  <c r="BX320" i="80"/>
  <c r="BZ320" i="80" s="1"/>
  <c r="AW311" i="80"/>
  <c r="AD324" i="80"/>
  <c r="AD332" i="80" s="1"/>
  <c r="AD272" i="80"/>
  <c r="BG85" i="80"/>
  <c r="AD448" i="80"/>
  <c r="AH440" i="80"/>
  <c r="BB460" i="80"/>
  <c r="AX468" i="80"/>
  <c r="AF24" i="80"/>
  <c r="AF28" i="80"/>
  <c r="AD643" i="80"/>
  <c r="AD298" i="80"/>
  <c r="AD285" i="80"/>
  <c r="AD293" i="80" s="1"/>
  <c r="AD253" i="80"/>
  <c r="AY452" i="80"/>
  <c r="AY455" i="80" s="1"/>
  <c r="AY451" i="80"/>
  <c r="AK364" i="80"/>
  <c r="AK312" i="80"/>
  <c r="AK299" i="80"/>
  <c r="AK351" i="80"/>
  <c r="AK338" i="80"/>
  <c r="AK325" i="80"/>
  <c r="AK286" i="80"/>
  <c r="AJ273" i="80"/>
  <c r="AD291" i="80"/>
  <c r="AE288" i="80"/>
  <c r="AE471" i="80"/>
  <c r="AU472" i="80"/>
  <c r="AU475" i="80" s="1"/>
  <c r="Y539" i="80"/>
  <c r="AL610" i="80"/>
  <c r="AI610" i="80"/>
  <c r="Z601" i="80"/>
  <c r="BM705" i="80"/>
  <c r="BN705" i="80" s="1"/>
  <c r="BO705" i="80" s="1"/>
  <c r="BP705" i="80" s="1"/>
  <c r="BQ705" i="80" s="1"/>
  <c r="BL705" i="80"/>
  <c r="BJ721" i="80"/>
  <c r="BK719" i="80"/>
  <c r="AM173" i="80"/>
  <c r="BY101" i="73"/>
  <c r="BM799" i="80"/>
  <c r="AQ860" i="80"/>
  <c r="AQ851" i="80"/>
  <c r="AQ122" i="46"/>
  <c r="AQ859" i="80"/>
  <c r="AR872" i="80"/>
  <c r="P872" i="80"/>
  <c r="AF857" i="80"/>
  <c r="AF854" i="80"/>
  <c r="AF871" i="80"/>
  <c r="K857" i="80"/>
  <c r="K854" i="80"/>
  <c r="K871" i="80"/>
  <c r="T860" i="80"/>
  <c r="Z42" i="80"/>
  <c r="Z37" i="80"/>
  <c r="AH796" i="80"/>
  <c r="AH32" i="80"/>
  <c r="AH35" i="80" s="1"/>
  <c r="AK476" i="80"/>
  <c r="BL479" i="80"/>
  <c r="BL460" i="80"/>
  <c r="BB533" i="80"/>
  <c r="AG405" i="80"/>
  <c r="AB426" i="80"/>
  <c r="AC426" i="80" s="1"/>
  <c r="AB460" i="80"/>
  <c r="AB468" i="80" s="1"/>
  <c r="AB469" i="80" s="1"/>
  <c r="AB472" i="80" s="1"/>
  <c r="AB475" i="80" s="1"/>
  <c r="AB440" i="80"/>
  <c r="AB448" i="80" s="1"/>
  <c r="AB449" i="80" s="1"/>
  <c r="AB605" i="80"/>
  <c r="AB519" i="80"/>
  <c r="AB527" i="80" s="1"/>
  <c r="AB529" i="80" s="1"/>
  <c r="AB387" i="80"/>
  <c r="AC387" i="80" s="1"/>
  <c r="AB87" i="80"/>
  <c r="AB618" i="80"/>
  <c r="AB83" i="80"/>
  <c r="AB495" i="80"/>
  <c r="AM519" i="80"/>
  <c r="AG23" i="80"/>
  <c r="AG19" i="46"/>
  <c r="AR480" i="80"/>
  <c r="AN488" i="80"/>
  <c r="AR488" i="80" s="1"/>
  <c r="AC441" i="80"/>
  <c r="Y643" i="80"/>
  <c r="Y651" i="80" s="1"/>
  <c r="Y298" i="80"/>
  <c r="Y306" i="80" s="1"/>
  <c r="Y285" i="80"/>
  <c r="Y293" i="80" s="1"/>
  <c r="Y253" i="80"/>
  <c r="Y221" i="80" s="1"/>
  <c r="Y628" i="80"/>
  <c r="AJ474" i="80"/>
  <c r="AJ476" i="80" s="1"/>
  <c r="AS324" i="80"/>
  <c r="AS272" i="80"/>
  <c r="BA454" i="80"/>
  <c r="BI499" i="80"/>
  <c r="BI79" i="80"/>
  <c r="BI605" i="80"/>
  <c r="BI519" i="80"/>
  <c r="BI387" i="80"/>
  <c r="BI87" i="80"/>
  <c r="AH479" i="80"/>
  <c r="AH363" i="80"/>
  <c r="AH350" i="80"/>
  <c r="AH337" i="80"/>
  <c r="AH256" i="80"/>
  <c r="BK643" i="80"/>
  <c r="BK285" i="80"/>
  <c r="BK253" i="80"/>
  <c r="AQ324" i="80"/>
  <c r="AQ272" i="80"/>
  <c r="BK324" i="80"/>
  <c r="BK272" i="80"/>
  <c r="AE303" i="80"/>
  <c r="AD304" i="80"/>
  <c r="AL405" i="80"/>
  <c r="BB519" i="80"/>
  <c r="AD294" i="80"/>
  <c r="AY338" i="80"/>
  <c r="AY351" i="80"/>
  <c r="AY364" i="80"/>
  <c r="AX273" i="80"/>
  <c r="AY325" i="80"/>
  <c r="AY312" i="80"/>
  <c r="AY299" i="80"/>
  <c r="AY286" i="80"/>
  <c r="AF486" i="80"/>
  <c r="AF489" i="80"/>
  <c r="AG483" i="80"/>
  <c r="AK505" i="80"/>
  <c r="AH505" i="80"/>
  <c r="AW32" i="80"/>
  <c r="AW35" i="80" s="1"/>
  <c r="AI796" i="80"/>
  <c r="AI32" i="80"/>
  <c r="AI35" i="80" s="1"/>
  <c r="AK796" i="80"/>
  <c r="AK32" i="80"/>
  <c r="AK35" i="80" s="1"/>
  <c r="BP440" i="80"/>
  <c r="BP448" i="80" s="1"/>
  <c r="BP533" i="80"/>
  <c r="BP479" i="80"/>
  <c r="BP67" i="80"/>
  <c r="BP257" i="80" s="1"/>
  <c r="BH500" i="80"/>
  <c r="BL78" i="80"/>
  <c r="Z614" i="80"/>
  <c r="Z597" i="80" s="1"/>
  <c r="AM387" i="80"/>
  <c r="AV373" i="80"/>
  <c r="W28" i="80"/>
  <c r="W24" i="80"/>
  <c r="Z866" i="80" s="1"/>
  <c r="Z873" i="80" s="1"/>
  <c r="Z865" i="80"/>
  <c r="Z878" i="80" s="1"/>
  <c r="W865" i="80"/>
  <c r="W878" i="80" s="1"/>
  <c r="AC481" i="80"/>
  <c r="AC69" i="80"/>
  <c r="AC71" i="80" s="1"/>
  <c r="Y468" i="80"/>
  <c r="AC460" i="80"/>
  <c r="AM392" i="80"/>
  <c r="AJ418" i="80"/>
  <c r="AW95" i="80"/>
  <c r="AW255" i="80" s="1"/>
  <c r="AW459" i="80"/>
  <c r="AZ405" i="80"/>
  <c r="AU324" i="80"/>
  <c r="AU272" i="80"/>
  <c r="BN715" i="80"/>
  <c r="BM131" i="80"/>
  <c r="BM715" i="80" s="1"/>
  <c r="Y222" i="80"/>
  <c r="AA278" i="80"/>
  <c r="AA267" i="80"/>
  <c r="AA200" i="80" s="1"/>
  <c r="AA205" i="80" s="1"/>
  <c r="AB275" i="80"/>
  <c r="AB679" i="80" s="1"/>
  <c r="BB75" i="80"/>
  <c r="AE474" i="80"/>
  <c r="AE476" i="80" s="1"/>
  <c r="BG439" i="80"/>
  <c r="AM75" i="80"/>
  <c r="AI488" i="80"/>
  <c r="AM488" i="80" s="1"/>
  <c r="AM480" i="80"/>
  <c r="AP643" i="80"/>
  <c r="AP298" i="80"/>
  <c r="AP285" i="80"/>
  <c r="AP253" i="80"/>
  <c r="AM499" i="80"/>
  <c r="AL324" i="80"/>
  <c r="AL272" i="80"/>
  <c r="AA343" i="80"/>
  <c r="AA186" i="80" s="1"/>
  <c r="AB340" i="80"/>
  <c r="AY366" i="80"/>
  <c r="AX369" i="80"/>
  <c r="Z446" i="80"/>
  <c r="Z449" i="80"/>
  <c r="Y443" i="80"/>
  <c r="AN466" i="80"/>
  <c r="AS465" i="80"/>
  <c r="AL469" i="80"/>
  <c r="AA471" i="80"/>
  <c r="AB566" i="80"/>
  <c r="AA649" i="80"/>
  <c r="AB646" i="80"/>
  <c r="AA638" i="80"/>
  <c r="AA204" i="80" s="1"/>
  <c r="BA709" i="80"/>
  <c r="BP742" i="80"/>
  <c r="BN742" i="80"/>
  <c r="BM742" i="80"/>
  <c r="BO742" i="80"/>
  <c r="BH764" i="80"/>
  <c r="BH14" i="80"/>
  <c r="CH810" i="80"/>
  <c r="AW857" i="80"/>
  <c r="AW854" i="80"/>
  <c r="AW871" i="80"/>
  <c r="AL872" i="80"/>
  <c r="AL873" i="80"/>
  <c r="AL860" i="80"/>
  <c r="AL851" i="80"/>
  <c r="AL122" i="46"/>
  <c r="AL859" i="80"/>
  <c r="AM872" i="80"/>
  <c r="X851" i="80"/>
  <c r="AC77" i="80"/>
  <c r="AC79" i="80" s="1"/>
  <c r="AC311" i="80" s="1"/>
  <c r="BL95" i="80"/>
  <c r="BL255" i="80" s="1"/>
  <c r="BH256" i="80"/>
  <c r="Z613" i="80"/>
  <c r="Y488" i="80"/>
  <c r="AC488" i="80" s="1"/>
  <c r="AC480" i="80"/>
  <c r="BO675" i="80"/>
  <c r="BN127" i="80"/>
  <c r="AR67" i="80"/>
  <c r="AR257" i="80" s="1"/>
  <c r="AZ454" i="80"/>
  <c r="AZ456" i="80" s="1"/>
  <c r="AB23" i="80"/>
  <c r="AB19" i="46"/>
  <c r="AC427" i="80"/>
  <c r="AC65" i="80"/>
  <c r="AO538" i="80"/>
  <c r="AS643" i="80"/>
  <c r="AS285" i="80"/>
  <c r="AS298" i="80"/>
  <c r="AS253" i="80"/>
  <c r="AM400" i="80"/>
  <c r="BG86" i="80"/>
  <c r="BG606" i="80" s="1"/>
  <c r="AF327" i="80"/>
  <c r="AE330" i="80"/>
  <c r="AE183" i="80" s="1"/>
  <c r="AX488" i="80"/>
  <c r="BB488" i="80" s="1"/>
  <c r="BB480" i="80"/>
  <c r="AX418" i="80"/>
  <c r="BB418" i="80" s="1"/>
  <c r="BB413" i="80"/>
  <c r="AY454" i="80"/>
  <c r="AY456" i="80" s="1"/>
  <c r="AP392" i="80"/>
  <c r="BG413" i="80"/>
  <c r="AA338" i="80"/>
  <c r="AA346" i="80" s="1"/>
  <c r="AA351" i="80"/>
  <c r="AA359" i="80" s="1"/>
  <c r="AA364" i="80"/>
  <c r="AA372" i="80" s="1"/>
  <c r="AA312" i="80"/>
  <c r="AA320" i="80" s="1"/>
  <c r="AA286" i="80"/>
  <c r="AA294" i="80" s="1"/>
  <c r="AA299" i="80"/>
  <c r="AA307" i="80" s="1"/>
  <c r="Z273" i="80"/>
  <c r="Z429" i="80"/>
  <c r="AP466" i="80"/>
  <c r="AP472" i="80" s="1"/>
  <c r="AP475" i="80" s="1"/>
  <c r="Z716" i="80"/>
  <c r="AA714" i="80"/>
  <c r="Z214" i="80"/>
  <c r="AN623" i="80"/>
  <c r="AQ623" i="80"/>
  <c r="BF539" i="80"/>
  <c r="BG536" i="80"/>
  <c r="AI648" i="80"/>
  <c r="AI649" i="80" s="1"/>
  <c r="AL648" i="80"/>
  <c r="AE706" i="80"/>
  <c r="AF704" i="80"/>
  <c r="Y215" i="80"/>
  <c r="AD701" i="80"/>
  <c r="AE699" i="80"/>
  <c r="AD213" i="80"/>
  <c r="AJ780" i="80"/>
  <c r="AI774" i="80"/>
  <c r="AJ768" i="80"/>
  <c r="AJ770" i="80" s="1"/>
  <c r="AK779" i="80" s="1"/>
  <c r="BC799" i="80"/>
  <c r="DD842" i="80"/>
  <c r="DE840" i="80" s="1"/>
  <c r="I839" i="80"/>
  <c r="I842" i="80" s="1"/>
  <c r="J840" i="80" s="1"/>
  <c r="AT779" i="80"/>
  <c r="AV839" i="80"/>
  <c r="S860" i="80"/>
  <c r="AA872" i="80"/>
  <c r="O851" i="80"/>
  <c r="G872" i="80"/>
  <c r="L860" i="80"/>
  <c r="AE371" i="80"/>
  <c r="AE373" i="80" s="1"/>
  <c r="M24" i="80"/>
  <c r="M28" i="80"/>
  <c r="Q865" i="80"/>
  <c r="Q878" i="80" s="1"/>
  <c r="P865" i="80"/>
  <c r="P878" i="80" s="1"/>
  <c r="M865" i="80"/>
  <c r="M878" i="80" s="1"/>
  <c r="O865" i="80"/>
  <c r="O878" i="80" s="1"/>
  <c r="CU36" i="71"/>
  <c r="Q171" i="46"/>
  <c r="CI36" i="71"/>
  <c r="AT171" i="46"/>
  <c r="DL36" i="71"/>
  <c r="AW224" i="46"/>
  <c r="CA173" i="46"/>
  <c r="CD173" i="46"/>
  <c r="CD175" i="46" s="1"/>
  <c r="CE173" i="46" s="1"/>
  <c r="AG171" i="46"/>
  <c r="CY36" i="71"/>
  <c r="R260" i="46"/>
  <c r="CJ28" i="71" s="1"/>
  <c r="S247" i="46"/>
  <c r="S260" i="46" s="1"/>
  <c r="CK28" i="71" s="1"/>
  <c r="BB113" i="73"/>
  <c r="CB94" i="73"/>
  <c r="BB52" i="71"/>
  <c r="AE115" i="46"/>
  <c r="AE41" i="46"/>
  <c r="AE44" i="46" s="1"/>
  <c r="U115" i="46"/>
  <c r="U41" i="46"/>
  <c r="U44" i="46" s="1"/>
  <c r="AV37" i="46"/>
  <c r="AV33" i="46"/>
  <c r="I151" i="46"/>
  <c r="I156" i="46" s="1"/>
  <c r="F254" i="46"/>
  <c r="F241" i="46"/>
  <c r="F130" i="46"/>
  <c r="N254" i="46"/>
  <c r="CF22" i="71" s="1"/>
  <c r="N241" i="46"/>
  <c r="N233" i="46"/>
  <c r="N242" i="46"/>
  <c r="N130" i="46"/>
  <c r="G129" i="46"/>
  <c r="G132" i="46" s="1"/>
  <c r="G133" i="46" s="1"/>
  <c r="AK233" i="46"/>
  <c r="AK254" i="46"/>
  <c r="DC22" i="71" s="1"/>
  <c r="AF129" i="46"/>
  <c r="AF132" i="46" s="1"/>
  <c r="AF133" i="46" s="1"/>
  <c r="AD41" i="46"/>
  <c r="AD44" i="46" s="1"/>
  <c r="AD115" i="46"/>
  <c r="J41" i="46"/>
  <c r="J44" i="46" s="1"/>
  <c r="J115" i="46"/>
  <c r="AA115" i="46"/>
  <c r="AA41" i="46"/>
  <c r="AA44" i="46" s="1"/>
  <c r="AH37" i="46"/>
  <c r="AH33" i="46"/>
  <c r="AO171" i="46"/>
  <c r="DG36" i="71"/>
  <c r="DJ49" i="71"/>
  <c r="AR161" i="46"/>
  <c r="BA207" i="46"/>
  <c r="AQ253" i="46"/>
  <c r="DI21" i="71" s="1"/>
  <c r="AL129" i="46"/>
  <c r="AL132" i="46" s="1"/>
  <c r="AL133" i="46" s="1"/>
  <c r="AG233" i="46"/>
  <c r="AS233" i="46"/>
  <c r="S241" i="46"/>
  <c r="S254" i="46" s="1"/>
  <c r="CK22" i="71" s="1"/>
  <c r="S130" i="46"/>
  <c r="O253" i="46"/>
  <c r="CG21" i="71" s="1"/>
  <c r="O239" i="46"/>
  <c r="O236" i="46"/>
  <c r="AJ129" i="46"/>
  <c r="AJ132" i="46" s="1"/>
  <c r="AJ133" i="46" s="1"/>
  <c r="AQ129" i="46"/>
  <c r="AQ132" i="46" s="1"/>
  <c r="AQ133" i="46" s="1"/>
  <c r="AF115" i="46"/>
  <c r="AF41" i="46"/>
  <c r="AF44" i="46" s="1"/>
  <c r="Q115" i="46"/>
  <c r="Q41" i="46"/>
  <c r="Q44" i="46" s="1"/>
  <c r="BD64" i="46"/>
  <c r="BE63" i="46"/>
  <c r="AY216" i="46"/>
  <c r="K156" i="46"/>
  <c r="K171" i="46" s="1"/>
  <c r="N161" i="46"/>
  <c r="N97" i="46"/>
  <c r="AW151" i="46"/>
  <c r="AW156" i="46" s="1"/>
  <c r="AX194" i="46"/>
  <c r="AY190" i="46"/>
  <c r="AO129" i="46"/>
  <c r="AO132" i="46" s="1"/>
  <c r="AO133" i="46" s="1"/>
  <c r="AN129" i="46"/>
  <c r="AN132" i="46" s="1"/>
  <c r="AN133" i="46" s="1"/>
  <c r="I115" i="46"/>
  <c r="I41" i="46"/>
  <c r="I44" i="46" s="1"/>
  <c r="X52" i="46"/>
  <c r="X46" i="46"/>
  <c r="X53" i="46" s="1"/>
  <c r="AI41" i="46"/>
  <c r="AI44" i="46" s="1"/>
  <c r="AI115" i="46"/>
  <c r="BD48" i="46"/>
  <c r="R171" i="46"/>
  <c r="CJ36" i="71"/>
  <c r="Z156" i="46"/>
  <c r="AH93" i="46"/>
  <c r="CZ40" i="71" s="1"/>
  <c r="CZ42" i="71"/>
  <c r="AC93" i="46"/>
  <c r="CU40" i="71" s="1"/>
  <c r="CU42" i="71"/>
  <c r="AA254" i="46"/>
  <c r="CS22" i="71" s="1"/>
  <c r="AA233" i="46"/>
  <c r="AA241" i="46"/>
  <c r="AA130" i="46"/>
  <c r="Q241" i="46"/>
  <c r="Q254" i="46" s="1"/>
  <c r="CI22" i="71" s="1"/>
  <c r="Q130" i="46"/>
  <c r="J233" i="46"/>
  <c r="CZ18" i="71"/>
  <c r="AH71" i="71"/>
  <c r="AH233" i="46"/>
  <c r="BA215" i="46"/>
  <c r="AZ235" i="46"/>
  <c r="AC71" i="71"/>
  <c r="CU18" i="71"/>
  <c r="AL239" i="46"/>
  <c r="DD16" i="71"/>
  <c r="AK247" i="46"/>
  <c r="AK260" i="46" s="1"/>
  <c r="DC28" i="71" s="1"/>
  <c r="AG37" i="46"/>
  <c r="AG33" i="46"/>
  <c r="AK248" i="46" s="1"/>
  <c r="AK255" i="46" s="1"/>
  <c r="DC23" i="71" s="1"/>
  <c r="AD129" i="46"/>
  <c r="AD132" i="46" s="1"/>
  <c r="AD133" i="46" s="1"/>
  <c r="Q248" i="46"/>
  <c r="Q255" i="46" s="1"/>
  <c r="CI23" i="71" s="1"/>
  <c r="AU247" i="46"/>
  <c r="AU260" i="46" s="1"/>
  <c r="DM28" i="71" s="1"/>
  <c r="AQ37" i="46"/>
  <c r="AQ33" i="46"/>
  <c r="E233" i="46"/>
  <c r="AB239" i="46"/>
  <c r="AB236" i="46"/>
  <c r="BG267" i="46"/>
  <c r="BG141" i="46"/>
  <c r="AK239" i="46"/>
  <c r="W254" i="46"/>
  <c r="CO22" i="71" s="1"/>
  <c r="W233" i="46"/>
  <c r="W242" i="46"/>
  <c r="W241" i="46"/>
  <c r="W130" i="46"/>
  <c r="G253" i="46"/>
  <c r="G236" i="46"/>
  <c r="G239" i="46"/>
  <c r="AG248" i="46"/>
  <c r="M260" i="46"/>
  <c r="N247" i="46"/>
  <c r="N260" i="46" s="1"/>
  <c r="CF28" i="71" s="1"/>
  <c r="N48" i="71"/>
  <c r="S48" i="71"/>
  <c r="N156" i="46"/>
  <c r="AW93" i="46"/>
  <c r="DO40" i="71" s="1"/>
  <c r="DO42" i="71"/>
  <c r="AG253" i="46"/>
  <c r="CY21" i="71" s="1"/>
  <c r="AG236" i="46"/>
  <c r="AM62" i="71"/>
  <c r="DE18" i="71"/>
  <c r="AS253" i="46"/>
  <c r="DK21" i="71" s="1"/>
  <c r="AS236" i="46"/>
  <c r="AR129" i="46"/>
  <c r="AR132" i="46" s="1"/>
  <c r="AR133" i="46" s="1"/>
  <c r="BZ92" i="73" s="1"/>
  <c r="AE129" i="46"/>
  <c r="AE132" i="46" s="1"/>
  <c r="AE133" i="46" s="1"/>
  <c r="AP236" i="46"/>
  <c r="AP253" i="46"/>
  <c r="DH21" i="71" s="1"/>
  <c r="AJ253" i="46"/>
  <c r="DB21" i="71" s="1"/>
  <c r="AJ239" i="46"/>
  <c r="AJ236" i="46"/>
  <c r="AQ236" i="46"/>
  <c r="AQ239" i="46"/>
  <c r="P115" i="46"/>
  <c r="P41" i="46"/>
  <c r="P44" i="46" s="1"/>
  <c r="U247" i="46"/>
  <c r="U260" i="46" s="1"/>
  <c r="CM28" i="71" s="1"/>
  <c r="Y41" i="46"/>
  <c r="Y44" i="46" s="1"/>
  <c r="Y115" i="46"/>
  <c r="O171" i="46"/>
  <c r="CG36" i="71"/>
  <c r="CK49" i="71"/>
  <c r="S161" i="46"/>
  <c r="DE49" i="71"/>
  <c r="AM161" i="46"/>
  <c r="CM49" i="71"/>
  <c r="CM51" i="71" s="1"/>
  <c r="U161" i="46"/>
  <c r="X160" i="46"/>
  <c r="CF18" i="71"/>
  <c r="N71" i="71"/>
  <c r="M129" i="46"/>
  <c r="M132" i="46" s="1"/>
  <c r="M133" i="46" s="1"/>
  <c r="X129" i="46"/>
  <c r="X132" i="46" s="1"/>
  <c r="X133" i="46" s="1"/>
  <c r="AN253" i="46"/>
  <c r="DF21" i="71" s="1"/>
  <c r="AN239" i="46"/>
  <c r="AN236" i="46"/>
  <c r="AO115" i="46"/>
  <c r="AO41" i="46"/>
  <c r="AO44" i="46" s="1"/>
  <c r="AT247" i="46"/>
  <c r="AT260" i="46" s="1"/>
  <c r="DL28" i="71" s="1"/>
  <c r="AP37" i="46"/>
  <c r="AP33" i="46"/>
  <c r="AQ247" i="46"/>
  <c r="X65" i="71"/>
  <c r="V115" i="46"/>
  <c r="V41" i="46"/>
  <c r="V44" i="46" s="1"/>
  <c r="AE171" i="46"/>
  <c r="CW36" i="71"/>
  <c r="AC161" i="46"/>
  <c r="AC171" i="46" s="1"/>
  <c r="AC241" i="46"/>
  <c r="AC254" i="46" s="1"/>
  <c r="CU22" i="71" s="1"/>
  <c r="AC130" i="46"/>
  <c r="AP239" i="46"/>
  <c r="DQ15" i="71"/>
  <c r="AT236" i="46"/>
  <c r="AT253" i="46"/>
  <c r="DL21" i="71" s="1"/>
  <c r="AV129" i="46"/>
  <c r="AV132" i="46" s="1"/>
  <c r="AV133" i="46" s="1"/>
  <c r="AP247" i="46"/>
  <c r="AP260" i="46" s="1"/>
  <c r="DH28" i="71" s="1"/>
  <c r="AL37" i="46"/>
  <c r="AL33" i="46"/>
  <c r="AL248" i="46" s="1"/>
  <c r="AN247" i="46"/>
  <c r="AN260" i="46" s="1"/>
  <c r="DF28" i="71" s="1"/>
  <c r="M41" i="46"/>
  <c r="M44" i="46" s="1"/>
  <c r="M115" i="46"/>
  <c r="L247" i="46"/>
  <c r="L260" i="46" s="1"/>
  <c r="H37" i="46"/>
  <c r="H33" i="46"/>
  <c r="L248" i="46" s="1"/>
  <c r="L255" i="46" s="1"/>
  <c r="F175" i="46"/>
  <c r="G173" i="46" s="1"/>
  <c r="G175" i="46" s="1"/>
  <c r="H173" i="46" s="1"/>
  <c r="H175" i="46" s="1"/>
  <c r="AM129" i="46"/>
  <c r="AM132" i="46" s="1"/>
  <c r="AM133" i="46" s="1"/>
  <c r="BY92" i="73" s="1"/>
  <c r="W260" i="46"/>
  <c r="CO28" i="71" s="1"/>
  <c r="X247" i="46"/>
  <c r="X260" i="46" s="1"/>
  <c r="CP28" i="71" s="1"/>
  <c r="G115" i="46"/>
  <c r="G41" i="46"/>
  <c r="G44" i="46" s="1"/>
  <c r="BB144" i="46"/>
  <c r="DT50" i="71"/>
  <c r="AS171" i="46"/>
  <c r="DK36" i="71"/>
  <c r="AM169" i="46"/>
  <c r="X71" i="71"/>
  <c r="CP18" i="71"/>
  <c r="AI129" i="46"/>
  <c r="AI132" i="46" s="1"/>
  <c r="AI133" i="46" s="1"/>
  <c r="AM253" i="46"/>
  <c r="DE21" i="71" s="1"/>
  <c r="AM236" i="46"/>
  <c r="G242" i="46"/>
  <c r="DO12" i="71"/>
  <c r="DO13" i="71" s="1"/>
  <c r="AW232" i="46"/>
  <c r="AF236" i="46"/>
  <c r="AF239" i="46"/>
  <c r="AF253" i="46"/>
  <c r="CX21" i="71" s="1"/>
  <c r="AG260" i="46"/>
  <c r="CY28" i="71" s="1"/>
  <c r="AH247" i="46"/>
  <c r="AH260" i="46" s="1"/>
  <c r="CZ28" i="71" s="1"/>
  <c r="T46" i="46"/>
  <c r="T52" i="46"/>
  <c r="V247" i="46"/>
  <c r="V260" i="46" s="1"/>
  <c r="R37" i="46"/>
  <c r="R33" i="46"/>
  <c r="V248" i="46" s="1"/>
  <c r="V255" i="46" s="1"/>
  <c r="CN24" i="71" s="1"/>
  <c r="BA266" i="46"/>
  <c r="DS50" i="71"/>
  <c r="AR151" i="46"/>
  <c r="AR156" i="46" s="1"/>
  <c r="U242" i="46"/>
  <c r="U241" i="46"/>
  <c r="U130" i="46"/>
  <c r="AG242" i="46"/>
  <c r="AM239" i="46"/>
  <c r="AS242" i="46"/>
  <c r="T254" i="46"/>
  <c r="CL22" i="71" s="1"/>
  <c r="T242" i="46"/>
  <c r="T241" i="46"/>
  <c r="T130" i="46"/>
  <c r="AE253" i="46"/>
  <c r="CW21" i="71" s="1"/>
  <c r="AE236" i="46"/>
  <c r="O233" i="46"/>
  <c r="AP129" i="46"/>
  <c r="AP132" i="46" s="1"/>
  <c r="AP133" i="46" s="1"/>
  <c r="AJ233" i="46"/>
  <c r="AQ242" i="46"/>
  <c r="AT115" i="46"/>
  <c r="AT41" i="46"/>
  <c r="AT44" i="46" s="1"/>
  <c r="E41" i="46"/>
  <c r="E44" i="46" s="1"/>
  <c r="E115" i="46"/>
  <c r="T247" i="46"/>
  <c r="T260" i="46" s="1"/>
  <c r="CL28" i="71" s="1"/>
  <c r="AK115" i="46"/>
  <c r="AK41" i="46"/>
  <c r="AK44" i="46" s="1"/>
  <c r="AB260" i="46"/>
  <c r="CT28" i="71" s="1"/>
  <c r="AC247" i="46"/>
  <c r="AC260" i="46" s="1"/>
  <c r="CU28" i="71" s="1"/>
  <c r="AR52" i="46"/>
  <c r="AR46" i="46"/>
  <c r="AR53" i="46" s="1"/>
  <c r="AN52" i="46"/>
  <c r="AN46" i="46"/>
  <c r="AW115" i="46"/>
  <c r="AW65" i="71" s="1"/>
  <c r="AW41" i="46"/>
  <c r="AW44" i="46" s="1"/>
  <c r="CP40" i="71"/>
  <c r="X97" i="46"/>
  <c r="CP42" i="71" s="1"/>
  <c r="V156" i="46"/>
  <c r="V171" i="46" s="1"/>
  <c r="S151" i="46"/>
  <c r="S156" i="46" s="1"/>
  <c r="Y171" i="46"/>
  <c r="CQ36" i="71"/>
  <c r="DJ18" i="71"/>
  <c r="AR71" i="71"/>
  <c r="AR72" i="71" s="1"/>
  <c r="I241" i="46"/>
  <c r="I254" i="46" s="1"/>
  <c r="CA22" i="71" s="1"/>
  <c r="I130" i="46"/>
  <c r="AG239" i="46"/>
  <c r="AO253" i="46"/>
  <c r="DG21" i="71" s="1"/>
  <c r="AO236" i="46"/>
  <c r="CA18" i="71"/>
  <c r="H129" i="46"/>
  <c r="H132" i="46" s="1"/>
  <c r="H133" i="46" s="1"/>
  <c r="AN233" i="46"/>
  <c r="AU129" i="46"/>
  <c r="AU132" i="46" s="1"/>
  <c r="AU133" i="46" s="1"/>
  <c r="S115" i="46"/>
  <c r="S65" i="71" s="1"/>
  <c r="S41" i="46"/>
  <c r="S44" i="46" s="1"/>
  <c r="AS247" i="46"/>
  <c r="AS260" i="46" s="1"/>
  <c r="DK28" i="71" s="1"/>
  <c r="J248" i="46"/>
  <c r="J255" i="46" s="1"/>
  <c r="AL260" i="46"/>
  <c r="DD28" i="71" s="1"/>
  <c r="AM247" i="46"/>
  <c r="AM260" i="46" s="1"/>
  <c r="DE28" i="71" s="1"/>
  <c r="AI171" i="46"/>
  <c r="DA36" i="71"/>
  <c r="AJ171" i="46"/>
  <c r="DB36" i="71"/>
  <c r="AH156" i="46"/>
  <c r="J129" i="46"/>
  <c r="J132" i="46" s="1"/>
  <c r="J133" i="46" s="1"/>
  <c r="AH129" i="46"/>
  <c r="AH132" i="46" s="1"/>
  <c r="AH133" i="46" s="1"/>
  <c r="BX92" i="73" s="1"/>
  <c r="AT129" i="46"/>
  <c r="AT132" i="46" s="1"/>
  <c r="AT133" i="46" s="1"/>
  <c r="V239" i="46"/>
  <c r="E242" i="46"/>
  <c r="AB129" i="46"/>
  <c r="AB132" i="46" s="1"/>
  <c r="AB133" i="46" s="1"/>
  <c r="AB254" i="46"/>
  <c r="CT22" i="71" s="1"/>
  <c r="K248" i="46"/>
  <c r="K255" i="46" s="1"/>
  <c r="AL171" i="46"/>
  <c r="DD36" i="71"/>
  <c r="AG93" i="46"/>
  <c r="CY40" i="71" s="1"/>
  <c r="CY42" i="71"/>
  <c r="AK253" i="46"/>
  <c r="DC21" i="71" s="1"/>
  <c r="AK236" i="46"/>
  <c r="AS41" i="46"/>
  <c r="AS44" i="46" s="1"/>
  <c r="AS115" i="46"/>
  <c r="AU33" i="46"/>
  <c r="AV248" i="46" s="1"/>
  <c r="AU37" i="46"/>
  <c r="L52" i="46"/>
  <c r="L46" i="46"/>
  <c r="AV247" i="46"/>
  <c r="N33" i="46"/>
  <c r="N35" i="71" s="1"/>
  <c r="N37" i="46"/>
  <c r="BB266" i="46"/>
  <c r="BZ175" i="46"/>
  <c r="I224" i="46"/>
  <c r="AI253" i="46"/>
  <c r="DA21" i="71" s="1"/>
  <c r="AI236" i="46"/>
  <c r="AM242" i="46"/>
  <c r="G233" i="46"/>
  <c r="AK129" i="46"/>
  <c r="AK132" i="46" s="1"/>
  <c r="AK133" i="46" s="1"/>
  <c r="AF242" i="46"/>
  <c r="AC115" i="46"/>
  <c r="AC65" i="71" s="1"/>
  <c r="AC41" i="46"/>
  <c r="AC44" i="46" s="1"/>
  <c r="M248" i="46"/>
  <c r="K115" i="46"/>
  <c r="K41" i="46"/>
  <c r="K44" i="46" s="1"/>
  <c r="AM37" i="46"/>
  <c r="AM33" i="46"/>
  <c r="Z115" i="46"/>
  <c r="Z41" i="46"/>
  <c r="Z44" i="46" s="1"/>
  <c r="CP49" i="71"/>
  <c r="X161" i="46"/>
  <c r="I93" i="46"/>
  <c r="CA40" i="71" s="1"/>
  <c r="CA42" i="71"/>
  <c r="Y254" i="46"/>
  <c r="CQ22" i="71" s="1"/>
  <c r="Y241" i="46"/>
  <c r="Y233" i="46"/>
  <c r="Y130" i="46"/>
  <c r="V129" i="46"/>
  <c r="V132" i="46" s="1"/>
  <c r="V133" i="46" s="1"/>
  <c r="AL236" i="46"/>
  <c r="AL253" i="46"/>
  <c r="DD21" i="71" s="1"/>
  <c r="AG129" i="46"/>
  <c r="AG132" i="46" s="1"/>
  <c r="AG133" i="46" s="1"/>
  <c r="AS129" i="46"/>
  <c r="AS132" i="46" s="1"/>
  <c r="AS133" i="46" s="1"/>
  <c r="S71" i="71"/>
  <c r="CK18" i="71"/>
  <c r="AR239" i="46"/>
  <c r="AR236" i="46"/>
  <c r="AE242" i="46"/>
  <c r="O129" i="46"/>
  <c r="O132" i="46" s="1"/>
  <c r="O133" i="46" s="1"/>
  <c r="O254" i="46"/>
  <c r="CG22" i="71" s="1"/>
  <c r="AP242" i="46"/>
  <c r="AP254" i="46"/>
  <c r="DH22" i="71" s="1"/>
  <c r="AJ242" i="46"/>
  <c r="AQ233" i="46"/>
  <c r="AJ248" i="46"/>
  <c r="AJ255" i="46" s="1"/>
  <c r="DB23" i="71" s="1"/>
  <c r="H260" i="46"/>
  <c r="I247" i="46"/>
  <c r="I260" i="46" s="1"/>
  <c r="CA28" i="71" s="1"/>
  <c r="U248" i="46"/>
  <c r="U255" i="46" s="1"/>
  <c r="CM23" i="71" s="1"/>
  <c r="AO260" i="46"/>
  <c r="DG28" i="71" s="1"/>
  <c r="W248" i="46"/>
  <c r="X248" i="46" s="1"/>
  <c r="X255" i="46" s="1"/>
  <c r="CP23" i="71" s="1"/>
  <c r="O41" i="46"/>
  <c r="O44" i="46" s="1"/>
  <c r="O115" i="46"/>
  <c r="BB267" i="46"/>
  <c r="BB141" i="46"/>
  <c r="AB171" i="46"/>
  <c r="CT36" i="71"/>
  <c r="U156" i="46"/>
  <c r="X155" i="46"/>
  <c r="X156" i="46" s="1"/>
  <c r="AR253" i="46"/>
  <c r="DJ21" i="71" s="1"/>
  <c r="M236" i="46"/>
  <c r="M253" i="46"/>
  <c r="Z129" i="46"/>
  <c r="Z132" i="46" s="1"/>
  <c r="Z133" i="46" s="1"/>
  <c r="X233" i="46"/>
  <c r="AO242" i="46"/>
  <c r="H236" i="46"/>
  <c r="H239" i="46"/>
  <c r="AN242" i="46"/>
  <c r="AU253" i="46"/>
  <c r="DM21" i="71" s="1"/>
  <c r="AU236" i="46"/>
  <c r="AU239" i="46"/>
  <c r="F115" i="46"/>
  <c r="F41" i="46"/>
  <c r="F44" i="46" s="1"/>
  <c r="AA247" i="46"/>
  <c r="AA260" i="46" s="1"/>
  <c r="CS28" i="71" s="1"/>
  <c r="W37" i="46"/>
  <c r="W33" i="46"/>
  <c r="AA248" i="46" s="1"/>
  <c r="AA255" i="46" s="1"/>
  <c r="CS23" i="71" s="1"/>
  <c r="AF247" i="46"/>
  <c r="AF260" i="46" s="1"/>
  <c r="CX28" i="71" s="1"/>
  <c r="AB37" i="46"/>
  <c r="AB33" i="46"/>
  <c r="AF248" i="46" s="1"/>
  <c r="AF255" i="46" s="1"/>
  <c r="CX23" i="71" s="1"/>
  <c r="AJ46" i="46"/>
  <c r="AJ52" i="46"/>
  <c r="BC49" i="46"/>
  <c r="AM151" i="46"/>
  <c r="AM156" i="46" s="1"/>
  <c r="J242" i="46"/>
  <c r="J254" i="46"/>
  <c r="M239" i="46"/>
  <c r="AH242" i="46"/>
  <c r="AH254" i="46"/>
  <c r="CZ22" i="71" s="1"/>
  <c r="AT242" i="46"/>
  <c r="AT254" i="46"/>
  <c r="DL22" i="71" s="1"/>
  <c r="AV236" i="46"/>
  <c r="AV239" i="46"/>
  <c r="AV253" i="46"/>
  <c r="DN21" i="71" s="1"/>
  <c r="E129" i="46"/>
  <c r="E132" i="46" s="1"/>
  <c r="E133" i="46" s="1"/>
  <c r="E254" i="46"/>
  <c r="AB233" i="46"/>
  <c r="AC68" i="71"/>
  <c r="AH70" i="71"/>
  <c r="AH72" i="71" s="1"/>
  <c r="CJ67" i="73"/>
  <c r="AY715" i="80" l="1"/>
  <c r="AX131" i="80"/>
  <c r="AX715" i="80" s="1"/>
  <c r="BN125" i="80"/>
  <c r="BO685" i="80"/>
  <c r="BO686" i="80" s="1"/>
  <c r="BD117" i="79"/>
  <c r="BC117" i="79"/>
  <c r="AH538" i="80"/>
  <c r="BP44" i="97"/>
  <c r="BE124" i="78"/>
  <c r="BJ122" i="78"/>
  <c r="AY124" i="78"/>
  <c r="BD122" i="78"/>
  <c r="BC122" i="78"/>
  <c r="AX133" i="78"/>
  <c r="AX10" i="78" s="1"/>
  <c r="AX124" i="78"/>
  <c r="BB122" i="78"/>
  <c r="BB124" i="78" s="1"/>
  <c r="BQ258" i="59"/>
  <c r="AX87" i="100"/>
  <c r="AY87" i="100"/>
  <c r="AT85" i="100"/>
  <c r="AT12" i="100" s="1"/>
  <c r="BK71" i="51"/>
  <c r="BL71" i="51" s="1"/>
  <c r="T12" i="59"/>
  <c r="BQ71" i="51"/>
  <c r="W12" i="59"/>
  <c r="AX12" i="59"/>
  <c r="AH12" i="59"/>
  <c r="AV184" i="99"/>
  <c r="AW181" i="99"/>
  <c r="AW184" i="99" s="1"/>
  <c r="BL261" i="100"/>
  <c r="BL94" i="73"/>
  <c r="BG56" i="100"/>
  <c r="BA184" i="99"/>
  <c r="BB181" i="99"/>
  <c r="BB184" i="99" s="1"/>
  <c r="BE184" i="99"/>
  <c r="BG181" i="99"/>
  <c r="BG184" i="99" s="1"/>
  <c r="AC459" i="80"/>
  <c r="Z454" i="80"/>
  <c r="BA541" i="80"/>
  <c r="BA543" i="80" s="1"/>
  <c r="AB256" i="80"/>
  <c r="AB225" i="80" s="1"/>
  <c r="AC67" i="80"/>
  <c r="AM405" i="80"/>
  <c r="Z226" i="80"/>
  <c r="Z163" i="80" s="1"/>
  <c r="AB363" i="80"/>
  <c r="AB371" i="80" s="1"/>
  <c r="AB373" i="80" s="1"/>
  <c r="Z541" i="80"/>
  <c r="Z543" i="80" s="1"/>
  <c r="BQ114" i="80"/>
  <c r="BB118" i="79"/>
  <c r="BF12" i="51"/>
  <c r="BB12" i="51"/>
  <c r="BB15" i="51" s="1"/>
  <c r="BB19" i="51" s="1"/>
  <c r="BB23" i="51" s="1"/>
  <c r="BA15" i="51"/>
  <c r="BA19" i="51" s="1"/>
  <c r="BA23" i="51" s="1"/>
  <c r="BA24" i="51" s="1"/>
  <c r="BB40" i="51"/>
  <c r="BB43" i="78"/>
  <c r="BB40" i="80"/>
  <c r="AW43" i="99"/>
  <c r="AW37" i="98"/>
  <c r="BB41" i="77"/>
  <c r="AW37" i="100"/>
  <c r="BB40" i="79"/>
  <c r="AW10" i="51"/>
  <c r="AW15" i="51"/>
  <c r="AW19" i="51" s="1"/>
  <c r="AW23" i="51" s="1"/>
  <c r="AV24" i="51"/>
  <c r="AV28" i="51"/>
  <c r="AV32" i="51" s="1"/>
  <c r="AV35" i="51" s="1"/>
  <c r="BB202" i="77"/>
  <c r="CA251" i="59"/>
  <c r="BV256" i="59"/>
  <c r="AS12" i="59"/>
  <c r="BA207" i="77"/>
  <c r="AW12" i="59"/>
  <c r="S12" i="59"/>
  <c r="AE12" i="59"/>
  <c r="O12" i="59"/>
  <c r="AP12" i="59"/>
  <c r="BQ176" i="59"/>
  <c r="N12" i="59"/>
  <c r="U12" i="59"/>
  <c r="BB69" i="51"/>
  <c r="BC209" i="78"/>
  <c r="AV12" i="59"/>
  <c r="CA94" i="59"/>
  <c r="BV99" i="59"/>
  <c r="BV101" i="59" s="1"/>
  <c r="BB807" i="80"/>
  <c r="M12" i="59"/>
  <c r="Y12" i="59"/>
  <c r="CC101" i="59"/>
  <c r="BB833" i="80"/>
  <c r="AW130" i="100"/>
  <c r="AX219" i="77"/>
  <c r="AX207" i="77"/>
  <c r="Z12" i="59"/>
  <c r="BB837" i="80"/>
  <c r="AX849" i="80"/>
  <c r="AY849" i="80" s="1"/>
  <c r="AZ849" i="80" s="1"/>
  <c r="AP144" i="99"/>
  <c r="CD90" i="59"/>
  <c r="AZ812" i="80" s="1"/>
  <c r="BK160" i="100"/>
  <c r="BC812" i="80"/>
  <c r="AI12" i="59"/>
  <c r="BC833" i="80"/>
  <c r="BG807" i="80"/>
  <c r="BH833" i="80"/>
  <c r="BL807" i="80"/>
  <c r="BL178" i="77"/>
  <c r="BQ807" i="80"/>
  <c r="CJ90" i="59"/>
  <c r="BD812" i="80"/>
  <c r="AW156" i="98"/>
  <c r="CB90" i="59"/>
  <c r="AX812" i="80" s="1"/>
  <c r="AX813" i="80" s="1"/>
  <c r="AX26" i="80" s="1"/>
  <c r="AX867" i="80" s="1"/>
  <c r="BH103" i="46"/>
  <c r="BH164" i="46" s="1"/>
  <c r="BQ181" i="78"/>
  <c r="BJ103" i="46"/>
  <c r="BJ164" i="46" s="1"/>
  <c r="CI90" i="59"/>
  <c r="CE101" i="59"/>
  <c r="AC12" i="59"/>
  <c r="BQ69" i="51"/>
  <c r="AC400" i="80"/>
  <c r="BB89" i="97"/>
  <c r="BB27" i="97" s="1"/>
  <c r="BA89" i="97"/>
  <c r="BA27" i="97" s="1"/>
  <c r="AZ89" i="97"/>
  <c r="AZ27" i="97" s="1"/>
  <c r="AY89" i="97"/>
  <c r="BB87" i="97"/>
  <c r="BB25" i="97" s="1"/>
  <c r="BA87" i="97"/>
  <c r="BA25" i="97" s="1"/>
  <c r="AZ87" i="97"/>
  <c r="AZ25" i="97" s="1"/>
  <c r="AY87" i="97"/>
  <c r="BX19" i="97"/>
  <c r="BB88" i="97"/>
  <c r="BA88" i="97"/>
  <c r="AZ88" i="97"/>
  <c r="AY88" i="97"/>
  <c r="BN120" i="80"/>
  <c r="BN86" i="80" s="1"/>
  <c r="BN606" i="80" s="1"/>
  <c r="AZ39" i="97"/>
  <c r="BN105" i="80"/>
  <c r="BN74" i="80" s="1"/>
  <c r="AZ42" i="97"/>
  <c r="BN108" i="80"/>
  <c r="BN78" i="80" s="1"/>
  <c r="BN500" i="80" s="1"/>
  <c r="AZ41" i="97"/>
  <c r="AZ38" i="97"/>
  <c r="BN117" i="80"/>
  <c r="BN82" i="80" s="1"/>
  <c r="BB86" i="97"/>
  <c r="BA86" i="97"/>
  <c r="AZ86" i="97"/>
  <c r="AY86" i="97"/>
  <c r="BX73" i="97"/>
  <c r="BB83" i="97"/>
  <c r="BA83" i="97"/>
  <c r="AZ83" i="97"/>
  <c r="AY83" i="97"/>
  <c r="BX70" i="97"/>
  <c r="BA39" i="97"/>
  <c r="BO120" i="80"/>
  <c r="BO86" i="80" s="1"/>
  <c r="BO606" i="80" s="1"/>
  <c r="BA42" i="97"/>
  <c r="BO105" i="80"/>
  <c r="BO74" i="80" s="1"/>
  <c r="BA41" i="97"/>
  <c r="BO108" i="80"/>
  <c r="BO78" i="80" s="1"/>
  <c r="BO500" i="80" s="1"/>
  <c r="BO508" i="80" s="1"/>
  <c r="BA38" i="97"/>
  <c r="BO117" i="80"/>
  <c r="BO82" i="80" s="1"/>
  <c r="BO488" i="80"/>
  <c r="BB82" i="97"/>
  <c r="BA82" i="97"/>
  <c r="AZ82" i="97"/>
  <c r="AY82" i="97"/>
  <c r="BX69" i="97"/>
  <c r="BB84" i="97"/>
  <c r="BB22" i="97" s="1"/>
  <c r="BA84" i="97"/>
  <c r="BA22" i="97" s="1"/>
  <c r="AZ84" i="97"/>
  <c r="AZ22" i="97" s="1"/>
  <c r="AY84" i="97"/>
  <c r="BX71" i="97"/>
  <c r="BB85" i="97"/>
  <c r="BA85" i="97"/>
  <c r="AZ85" i="97"/>
  <c r="AY85" i="97"/>
  <c r="BX72" i="97"/>
  <c r="BB39" i="97"/>
  <c r="BP120" i="80"/>
  <c r="BP86" i="80" s="1"/>
  <c r="BP606" i="80" s="1"/>
  <c r="BB42" i="97"/>
  <c r="BP105" i="80"/>
  <c r="BP74" i="80" s="1"/>
  <c r="BB41" i="97"/>
  <c r="BP108" i="80"/>
  <c r="BP78" i="80" s="1"/>
  <c r="BP500" i="80" s="1"/>
  <c r="BP508" i="80" s="1"/>
  <c r="BB38" i="97"/>
  <c r="BP117" i="80"/>
  <c r="BP82" i="80" s="1"/>
  <c r="AF494" i="80"/>
  <c r="AC75" i="80"/>
  <c r="AW418" i="80"/>
  <c r="BE541" i="80"/>
  <c r="BE543" i="80" s="1"/>
  <c r="AY476" i="80"/>
  <c r="BX30" i="97"/>
  <c r="BP102" i="97"/>
  <c r="AY40" i="97"/>
  <c r="BP40" i="97" s="1"/>
  <c r="BX24" i="97"/>
  <c r="BP101" i="97"/>
  <c r="AY39" i="97"/>
  <c r="BM120" i="80"/>
  <c r="BP104" i="97"/>
  <c r="AY42" i="97"/>
  <c r="BM105" i="80"/>
  <c r="BP103" i="97"/>
  <c r="BM108" i="80"/>
  <c r="AY41" i="97"/>
  <c r="BP100" i="97"/>
  <c r="AY38" i="97"/>
  <c r="BM117" i="80"/>
  <c r="BZ41" i="59"/>
  <c r="CK216" i="59"/>
  <c r="CP211" i="59"/>
  <c r="BQ177" i="79"/>
  <c r="BQ181" i="79" s="1"/>
  <c r="BM181" i="79"/>
  <c r="BX41" i="59"/>
  <c r="CC41" i="59"/>
  <c r="CF196" i="59"/>
  <c r="CA202" i="59"/>
  <c r="AY157" i="79"/>
  <c r="AX157" i="79"/>
  <c r="BQ12" i="59"/>
  <c r="BD207" i="77"/>
  <c r="BG203" i="77"/>
  <c r="BG207" i="77" s="1"/>
  <c r="AY12" i="59"/>
  <c r="BK103" i="46"/>
  <c r="BK164" i="46" s="1"/>
  <c r="BN203" i="77"/>
  <c r="BQ178" i="77"/>
  <c r="CF125" i="59"/>
  <c r="CD125" i="59" s="1"/>
  <c r="CD131" i="59" s="1"/>
  <c r="CD133" i="59" s="1"/>
  <c r="BX125" i="59"/>
  <c r="BX131" i="59" s="1"/>
  <c r="BX133" i="59" s="1"/>
  <c r="CA131" i="59"/>
  <c r="CA133" i="59" s="1"/>
  <c r="BW125" i="59"/>
  <c r="BW131" i="59" s="1"/>
  <c r="BW133" i="59" s="1"/>
  <c r="BZ125" i="59"/>
  <c r="BZ131" i="59" s="1"/>
  <c r="BZ133" i="59" s="1"/>
  <c r="BY125" i="59"/>
  <c r="BY131" i="59" s="1"/>
  <c r="BY133" i="59" s="1"/>
  <c r="BL187" i="99"/>
  <c r="BQ205" i="78"/>
  <c r="BQ209" i="78" s="1"/>
  <c r="BN209" i="78"/>
  <c r="BV41" i="59"/>
  <c r="AY160" i="100"/>
  <c r="BB155" i="100"/>
  <c r="BB160" i="100" s="1"/>
  <c r="CF121" i="59"/>
  <c r="CK107" i="59"/>
  <c r="BV319" i="59"/>
  <c r="BV321" i="59" s="1"/>
  <c r="BD160" i="100"/>
  <c r="AY205" i="78"/>
  <c r="BB181" i="78"/>
  <c r="BB187" i="99"/>
  <c r="BY41" i="59"/>
  <c r="BV289" i="59"/>
  <c r="BV291" i="59" s="1"/>
  <c r="CA284" i="59"/>
  <c r="CF281" i="59"/>
  <c r="CK265" i="59"/>
  <c r="BL205" i="78"/>
  <c r="BL209" i="78" s="1"/>
  <c r="BH209" i="78"/>
  <c r="BW41" i="59"/>
  <c r="CB41" i="59"/>
  <c r="AY203" i="77"/>
  <c r="BB178" i="77"/>
  <c r="P12" i="59"/>
  <c r="BG205" i="78"/>
  <c r="BG209" i="78" s="1"/>
  <c r="BD209" i="78"/>
  <c r="CA31" i="59"/>
  <c r="CF18" i="59"/>
  <c r="CD41" i="59"/>
  <c r="BG187" i="99"/>
  <c r="CE163" i="59"/>
  <c r="BW163" i="59"/>
  <c r="CA163" i="59"/>
  <c r="CC163" i="59"/>
  <c r="BY163" i="59"/>
  <c r="BZ163" i="59"/>
  <c r="BX163" i="59"/>
  <c r="CB163" i="59"/>
  <c r="CD163" i="59"/>
  <c r="AL12" i="59"/>
  <c r="AX103" i="46"/>
  <c r="AG12" i="59"/>
  <c r="BB177" i="79"/>
  <c r="BB181" i="79" s="1"/>
  <c r="AX193" i="79"/>
  <c r="AY193" i="79" s="1"/>
  <c r="AZ193" i="79" s="1"/>
  <c r="BA193" i="79" s="1"/>
  <c r="AX181" i="79"/>
  <c r="AT12" i="59"/>
  <c r="BF103" i="46"/>
  <c r="BF164" i="46" s="1"/>
  <c r="CA167" i="59"/>
  <c r="BV174" i="59"/>
  <c r="AM12" i="59"/>
  <c r="AY103" i="46"/>
  <c r="AY164" i="46" s="1"/>
  <c r="CA192" i="59"/>
  <c r="CA204" i="59" s="1"/>
  <c r="CF182" i="59"/>
  <c r="BA157" i="79"/>
  <c r="BC164" i="46"/>
  <c r="AZ103" i="46"/>
  <c r="AZ164" i="46" s="1"/>
  <c r="AN12" i="59"/>
  <c r="BC12" i="59"/>
  <c r="BO103" i="46"/>
  <c r="BO164" i="46" s="1"/>
  <c r="BL203" i="77"/>
  <c r="BL207" i="77" s="1"/>
  <c r="BI207" i="77"/>
  <c r="CA224" i="59"/>
  <c r="CA226" i="59" s="1"/>
  <c r="CE41" i="59"/>
  <c r="CF39" i="59"/>
  <c r="BF156" i="100"/>
  <c r="BF160" i="100" s="1"/>
  <c r="BF185" i="100"/>
  <c r="BG185" i="100" s="1"/>
  <c r="BE185" i="100"/>
  <c r="BD185" i="100"/>
  <c r="BV204" i="59"/>
  <c r="AW156" i="100"/>
  <c r="AW160" i="100" s="1"/>
  <c r="AZ157" i="79"/>
  <c r="BQ152" i="79"/>
  <c r="BC181" i="79"/>
  <c r="BG177" i="79"/>
  <c r="BG181" i="79" s="1"/>
  <c r="CA311" i="59"/>
  <c r="CC311" i="59"/>
  <c r="BY311" i="59"/>
  <c r="BY321" i="59" s="1"/>
  <c r="CB311" i="59"/>
  <c r="BX311" i="59"/>
  <c r="BX321" i="59" s="1"/>
  <c r="CE311" i="59"/>
  <c r="BW311" i="59"/>
  <c r="BW321" i="59" s="1"/>
  <c r="BZ311" i="59"/>
  <c r="BZ321" i="59" s="1"/>
  <c r="CD311" i="59"/>
  <c r="BQ49" i="51"/>
  <c r="AJ12" i="59"/>
  <c r="BP103" i="46"/>
  <c r="BP164" i="46" s="1"/>
  <c r="BD12" i="59"/>
  <c r="BI177" i="79"/>
  <c r="BL152" i="79"/>
  <c r="BB12" i="59"/>
  <c r="BN103" i="46"/>
  <c r="BN164" i="46" s="1"/>
  <c r="BM164" i="46"/>
  <c r="AT160" i="100"/>
  <c r="BA103" i="46"/>
  <c r="BA164" i="46" s="1"/>
  <c r="AO12" i="59"/>
  <c r="CA235" i="59"/>
  <c r="BV247" i="59"/>
  <c r="BV10" i="59" s="1"/>
  <c r="CA90" i="59"/>
  <c r="CF47" i="59"/>
  <c r="EA56" i="71"/>
  <c r="DV56" i="71"/>
  <c r="EB56" i="71"/>
  <c r="DW56" i="71"/>
  <c r="AR37" i="51"/>
  <c r="AR43" i="51" s="1"/>
  <c r="AR42" i="51"/>
  <c r="BI24" i="51"/>
  <c r="BL55" i="51"/>
  <c r="BK55" i="51"/>
  <c r="BP13" i="51"/>
  <c r="BP55" i="51" s="1"/>
  <c r="BH15" i="51"/>
  <c r="BH19" i="51" s="1"/>
  <c r="BH23" i="51" s="1"/>
  <c r="BM12" i="51"/>
  <c r="BQ10" i="51"/>
  <c r="BJ24" i="51"/>
  <c r="BL13" i="51"/>
  <c r="BC24" i="51"/>
  <c r="BO15" i="51"/>
  <c r="BO19" i="51" s="1"/>
  <c r="BO23" i="51" s="1"/>
  <c r="BN15" i="51"/>
  <c r="BN19" i="51" s="1"/>
  <c r="BN23" i="51" s="1"/>
  <c r="BB24" i="51"/>
  <c r="BM55" i="51"/>
  <c r="BQ55" i="51" s="1"/>
  <c r="BQ13" i="51"/>
  <c r="AG24" i="100"/>
  <c r="AG28" i="100"/>
  <c r="AK227" i="100"/>
  <c r="AK240" i="100" s="1"/>
  <c r="AG227" i="100"/>
  <c r="AG240" i="100" s="1"/>
  <c r="BF245" i="100"/>
  <c r="BF150" i="100"/>
  <c r="BF153" i="100" s="1"/>
  <c r="BK96" i="46"/>
  <c r="AT144" i="100"/>
  <c r="AT247" i="100" s="1"/>
  <c r="AT21" i="100"/>
  <c r="M32" i="100"/>
  <c r="M53" i="100"/>
  <c r="M54" i="100"/>
  <c r="J246" i="100"/>
  <c r="J112" i="100"/>
  <c r="BC72" i="100"/>
  <c r="AX71" i="100"/>
  <c r="W21" i="100"/>
  <c r="W23" i="100" s="1"/>
  <c r="BD68" i="100"/>
  <c r="AF28" i="100"/>
  <c r="AF24" i="100"/>
  <c r="BL121" i="100"/>
  <c r="V28" i="100"/>
  <c r="V24" i="100"/>
  <c r="AJ227" i="100"/>
  <c r="AJ240" i="100" s="1"/>
  <c r="BF68" i="100"/>
  <c r="Q246" i="100"/>
  <c r="Q112" i="100"/>
  <c r="T109" i="100"/>
  <c r="T110" i="100" s="1"/>
  <c r="W109" i="100"/>
  <c r="W110" i="100" s="1"/>
  <c r="V109" i="100"/>
  <c r="V110" i="100" s="1"/>
  <c r="AC109" i="100"/>
  <c r="U109" i="100"/>
  <c r="U110" i="100" s="1"/>
  <c r="X110" i="100"/>
  <c r="AR222" i="100"/>
  <c r="O54" i="100"/>
  <c r="O53" i="100"/>
  <c r="O32" i="100"/>
  <c r="M218" i="100"/>
  <c r="M233" i="100"/>
  <c r="AT190" i="100"/>
  <c r="AU211" i="100"/>
  <c r="Q54" i="100"/>
  <c r="Q53" i="100"/>
  <c r="Q32" i="100"/>
  <c r="BD90" i="100"/>
  <c r="AY14" i="100"/>
  <c r="I39" i="100"/>
  <c r="I34" i="100"/>
  <c r="AO32" i="100"/>
  <c r="AO54" i="100"/>
  <c r="AO53" i="100"/>
  <c r="J228" i="100"/>
  <c r="J235" i="100" s="1"/>
  <c r="M228" i="100"/>
  <c r="M235" i="100" s="1"/>
  <c r="L228" i="100"/>
  <c r="L235" i="100" s="1"/>
  <c r="K228" i="100"/>
  <c r="K235" i="100" s="1"/>
  <c r="U32" i="100"/>
  <c r="U54" i="100"/>
  <c r="U53" i="100"/>
  <c r="BE85" i="100"/>
  <c r="BE12" i="100" s="1"/>
  <c r="BJ87" i="100"/>
  <c r="BJ85" i="100" s="1"/>
  <c r="BJ12" i="100" s="1"/>
  <c r="P53" i="100"/>
  <c r="P32" i="100"/>
  <c r="P54" i="100"/>
  <c r="BE245" i="100"/>
  <c r="BE150" i="100"/>
  <c r="BE153" i="100" s="1"/>
  <c r="BJ96" i="46"/>
  <c r="N244" i="100"/>
  <c r="I249" i="100" s="1"/>
  <c r="O244" i="100"/>
  <c r="AD228" i="100"/>
  <c r="AD235" i="100" s="1"/>
  <c r="AH261" i="100"/>
  <c r="AC56" i="100"/>
  <c r="AH94" i="73"/>
  <c r="AS144" i="100"/>
  <c r="AS21" i="100"/>
  <c r="AW19" i="100"/>
  <c r="AW21" i="100" s="1"/>
  <c r="BH130" i="100"/>
  <c r="K246" i="100"/>
  <c r="K112" i="100"/>
  <c r="AB28" i="100"/>
  <c r="AB24" i="100"/>
  <c r="BE130" i="100"/>
  <c r="AZ47" i="100"/>
  <c r="Y32" i="100"/>
  <c r="Y54" i="100"/>
  <c r="Y53" i="100"/>
  <c r="AB227" i="100"/>
  <c r="AB240" i="100" s="1"/>
  <c r="BK245" i="100"/>
  <c r="BK150" i="100"/>
  <c r="BK153" i="100" s="1"/>
  <c r="BP96" i="46"/>
  <c r="AQ28" i="100"/>
  <c r="AQ24" i="100"/>
  <c r="T53" i="100"/>
  <c r="T32" i="100"/>
  <c r="T54" i="100"/>
  <c r="V227" i="100"/>
  <c r="V240" i="100" s="1"/>
  <c r="AN81" i="100"/>
  <c r="AV100" i="100"/>
  <c r="AJ53" i="100"/>
  <c r="AJ32" i="100"/>
  <c r="AJ54" i="100"/>
  <c r="R246" i="100"/>
  <c r="R112" i="100"/>
  <c r="AR234" i="100"/>
  <c r="BL129" i="100"/>
  <c r="BL109" i="100" s="1"/>
  <c r="BK72" i="100"/>
  <c r="BK71" i="100" s="1"/>
  <c r="BK9" i="100" s="1"/>
  <c r="BF71" i="100"/>
  <c r="BF9" i="100" s="1"/>
  <c r="AH218" i="100"/>
  <c r="AH219" i="100"/>
  <c r="AH258" i="100" s="1"/>
  <c r="AM92" i="73" s="1"/>
  <c r="AH233" i="100"/>
  <c r="S34" i="100"/>
  <c r="S39" i="100"/>
  <c r="BK130" i="100"/>
  <c r="BD71" i="100"/>
  <c r="BD9" i="100" s="1"/>
  <c r="AC219" i="100"/>
  <c r="AC258" i="100" s="1"/>
  <c r="AH92" i="73" s="1"/>
  <c r="AC218" i="100"/>
  <c r="AC233" i="100"/>
  <c r="AP54" i="100"/>
  <c r="AP53" i="100"/>
  <c r="AP32" i="100"/>
  <c r="M213" i="100"/>
  <c r="AC213" i="100"/>
  <c r="J54" i="100"/>
  <c r="J32" i="100"/>
  <c r="J53" i="100"/>
  <c r="BD130" i="100"/>
  <c r="AY47" i="100"/>
  <c r="AQ228" i="100"/>
  <c r="AQ235" i="100" s="1"/>
  <c r="X79" i="100"/>
  <c r="X81" i="100" s="1"/>
  <c r="X75" i="100"/>
  <c r="AW150" i="100"/>
  <c r="AW153" i="100" s="1"/>
  <c r="AD54" i="100"/>
  <c r="AD32" i="100"/>
  <c r="AD53" i="100"/>
  <c r="AU144" i="100"/>
  <c r="AU247" i="100" s="1"/>
  <c r="AU21" i="100"/>
  <c r="BB130" i="100"/>
  <c r="L246" i="100"/>
  <c r="L112" i="100"/>
  <c r="CM163" i="100"/>
  <c r="CP163" i="100"/>
  <c r="CL165" i="100"/>
  <c r="AB228" i="100"/>
  <c r="AB235" i="100" s="1"/>
  <c r="K39" i="100"/>
  <c r="K34" i="100"/>
  <c r="K40" i="100" s="1"/>
  <c r="R32" i="100"/>
  <c r="R54" i="100"/>
  <c r="R53" i="100"/>
  <c r="X213" i="100"/>
  <c r="X234" i="100"/>
  <c r="X233" i="100"/>
  <c r="BJ245" i="100"/>
  <c r="BJ150" i="100"/>
  <c r="BJ153" i="100" s="1"/>
  <c r="BO96" i="46"/>
  <c r="BQ96" i="46" s="1"/>
  <c r="T228" i="100"/>
  <c r="T235" i="100" s="1"/>
  <c r="V228" i="100"/>
  <c r="V235" i="100" s="1"/>
  <c r="U228" i="100"/>
  <c r="U235" i="100" s="1"/>
  <c r="W227" i="100"/>
  <c r="W240" i="100" s="1"/>
  <c r="N54" i="100"/>
  <c r="N53" i="100"/>
  <c r="N32" i="100"/>
  <c r="AJ228" i="100"/>
  <c r="AJ235" i="100" s="1"/>
  <c r="AK228" i="100"/>
  <c r="AK235" i="100" s="1"/>
  <c r="AK54" i="100"/>
  <c r="AK53" i="100"/>
  <c r="AK32" i="100"/>
  <c r="O246" i="100"/>
  <c r="O112" i="100"/>
  <c r="AE28" i="100"/>
  <c r="AE24" i="100"/>
  <c r="AE228" i="100" s="1"/>
  <c r="AE235" i="100" s="1"/>
  <c r="BG109" i="100"/>
  <c r="AH222" i="100"/>
  <c r="BE68" i="100"/>
  <c r="BI71" i="100"/>
  <c r="BI9" i="100" s="1"/>
  <c r="BK90" i="100"/>
  <c r="BK14" i="100" s="1"/>
  <c r="BF14" i="100"/>
  <c r="Z32" i="100"/>
  <c r="Z54" i="100"/>
  <c r="Z53" i="100"/>
  <c r="BL96" i="46"/>
  <c r="AY104" i="100"/>
  <c r="AZ105" i="100"/>
  <c r="BC68" i="100"/>
  <c r="AR34" i="100"/>
  <c r="AR39" i="100"/>
  <c r="M222" i="100"/>
  <c r="AC222" i="100"/>
  <c r="BA245" i="100"/>
  <c r="BA150" i="100"/>
  <c r="BA153" i="100" s="1"/>
  <c r="BF96" i="46"/>
  <c r="X53" i="100"/>
  <c r="X54" i="100"/>
  <c r="X32" i="100"/>
  <c r="L39" i="100"/>
  <c r="L34" i="100"/>
  <c r="L40" i="100" s="1"/>
  <c r="AN53" i="100"/>
  <c r="AN32" i="100"/>
  <c r="AN54" i="100"/>
  <c r="AD227" i="100"/>
  <c r="AD240" i="100" s="1"/>
  <c r="AV144" i="100"/>
  <c r="AV247" i="100" s="1"/>
  <c r="AV21" i="100"/>
  <c r="BB90" i="100"/>
  <c r="BB91" i="100" s="1"/>
  <c r="BC90" i="100"/>
  <c r="AX14" i="100"/>
  <c r="BB14" i="100" s="1"/>
  <c r="AV85" i="100"/>
  <c r="BA87" i="100"/>
  <c r="AW87" i="100"/>
  <c r="AW88" i="100" s="1"/>
  <c r="M246" i="100"/>
  <c r="M112" i="100"/>
  <c r="AW71" i="100"/>
  <c r="AW72" i="100" s="1"/>
  <c r="AS9" i="100"/>
  <c r="AW9" i="100" s="1"/>
  <c r="AH54" i="100"/>
  <c r="AH53" i="100"/>
  <c r="AH32" i="100"/>
  <c r="BI68" i="100"/>
  <c r="AU175" i="100"/>
  <c r="AM34" i="100"/>
  <c r="AM39" i="100"/>
  <c r="AC79" i="100"/>
  <c r="AC81" i="100" s="1"/>
  <c r="AC75" i="100"/>
  <c r="AI54" i="100"/>
  <c r="AI53" i="100"/>
  <c r="AI32" i="100"/>
  <c r="AI227" i="100"/>
  <c r="AI240" i="100" s="1"/>
  <c r="BK68" i="100"/>
  <c r="AY198" i="100"/>
  <c r="P246" i="100"/>
  <c r="P112" i="100"/>
  <c r="AR213" i="100"/>
  <c r="P228" i="100"/>
  <c r="P235" i="100" s="1"/>
  <c r="O228" i="100"/>
  <c r="O235" i="100" s="1"/>
  <c r="R228" i="100"/>
  <c r="R235" i="100" s="1"/>
  <c r="Q228" i="100"/>
  <c r="Q235" i="100" s="1"/>
  <c r="AH213" i="100"/>
  <c r="AL28" i="100"/>
  <c r="AL24" i="100"/>
  <c r="AP228" i="100" s="1"/>
  <c r="AP235" i="100" s="1"/>
  <c r="BJ68" i="100"/>
  <c r="AC230" i="100"/>
  <c r="AC226" i="100"/>
  <c r="AC40" i="100"/>
  <c r="BD153" i="100"/>
  <c r="BG150" i="100"/>
  <c r="BG153" i="100" s="1"/>
  <c r="BH66" i="100"/>
  <c r="BL65" i="100"/>
  <c r="BL66" i="100" s="1"/>
  <c r="BL68" i="100" s="1"/>
  <c r="M234" i="100"/>
  <c r="AC234" i="100"/>
  <c r="AZ245" i="100"/>
  <c r="AZ150" i="100"/>
  <c r="BE96" i="46"/>
  <c r="AA54" i="100"/>
  <c r="AA53" i="100"/>
  <c r="AA32" i="100"/>
  <c r="BC119" i="99"/>
  <c r="AX117" i="99"/>
  <c r="AY117" i="99"/>
  <c r="AY18" i="99" s="1"/>
  <c r="BD119" i="99"/>
  <c r="AY122" i="99"/>
  <c r="AT20" i="99"/>
  <c r="L261" i="99"/>
  <c r="L268" i="99" s="1"/>
  <c r="K261" i="99"/>
  <c r="K268" i="99" s="1"/>
  <c r="J261" i="99"/>
  <c r="J268" i="99" s="1"/>
  <c r="M261" i="99"/>
  <c r="M268" i="99" s="1"/>
  <c r="AC285" i="99"/>
  <c r="AQ260" i="99"/>
  <c r="AQ273" i="99" s="1"/>
  <c r="AN34" i="99"/>
  <c r="AN30" i="99"/>
  <c r="BF102" i="99"/>
  <c r="BK100" i="99"/>
  <c r="AE62" i="99"/>
  <c r="AE61" i="99"/>
  <c r="AE38" i="99"/>
  <c r="Q45" i="99"/>
  <c r="Q40" i="99"/>
  <c r="Q46" i="99" s="1"/>
  <c r="BK278" i="99"/>
  <c r="BK181" i="99"/>
  <c r="BK184" i="99" s="1"/>
  <c r="BP95" i="46"/>
  <c r="AH284" i="99"/>
  <c r="AH285" i="99" s="1"/>
  <c r="AM277" i="99"/>
  <c r="AI277" i="99"/>
  <c r="AI282" i="99" s="1"/>
  <c r="AJ277" i="99" s="1"/>
  <c r="AJ282" i="99" s="1"/>
  <c r="AK277" i="99" s="1"/>
  <c r="AK282" i="99" s="1"/>
  <c r="AL277" i="99" s="1"/>
  <c r="AL282" i="99" s="1"/>
  <c r="AX12" i="99"/>
  <c r="AK260" i="99"/>
  <c r="AK273" i="99" s="1"/>
  <c r="BK109" i="99"/>
  <c r="BK13" i="99" s="1"/>
  <c r="AR252" i="99"/>
  <c r="AR291" i="99" s="1"/>
  <c r="AW82" i="73" s="1"/>
  <c r="R246" i="99"/>
  <c r="BI76" i="99"/>
  <c r="AX112" i="99"/>
  <c r="AX9" i="99"/>
  <c r="U40" i="99"/>
  <c r="U46" i="99" s="1"/>
  <c r="U45" i="99"/>
  <c r="O196" i="99"/>
  <c r="P194" i="99" s="1"/>
  <c r="P196" i="99" s="1"/>
  <c r="Q194" i="99" s="1"/>
  <c r="Q196" i="99" s="1"/>
  <c r="R194" i="99" s="1"/>
  <c r="R196" i="99" s="1"/>
  <c r="S194" i="99"/>
  <c r="S196" i="99" s="1"/>
  <c r="T194" i="99" s="1"/>
  <c r="AM267" i="99"/>
  <c r="AS18" i="99"/>
  <c r="BI100" i="99"/>
  <c r="BD102" i="99"/>
  <c r="AG38" i="99"/>
  <c r="AG61" i="99"/>
  <c r="AG62" i="99"/>
  <c r="AO34" i="99"/>
  <c r="AO30" i="99"/>
  <c r="AS89" i="99"/>
  <c r="AS70" i="99" s="1"/>
  <c r="I40" i="99"/>
  <c r="I45" i="99"/>
  <c r="AL83" i="99"/>
  <c r="AL85" i="99"/>
  <c r="AL89" i="99" s="1"/>
  <c r="L45" i="99"/>
  <c r="L40" i="99"/>
  <c r="L46" i="99" s="1"/>
  <c r="O40" i="99"/>
  <c r="O45" i="99"/>
  <c r="N263" i="99"/>
  <c r="N259" i="99"/>
  <c r="N46" i="99"/>
  <c r="AX61" i="99"/>
  <c r="BA119" i="99"/>
  <c r="AV117" i="99"/>
  <c r="AV18" i="99" s="1"/>
  <c r="BL73" i="99"/>
  <c r="BH74" i="99"/>
  <c r="AR45" i="99"/>
  <c r="AR40" i="99"/>
  <c r="BF109" i="99"/>
  <c r="BF13" i="99" s="1"/>
  <c r="AR249" i="99"/>
  <c r="AR266" i="99"/>
  <c r="AS142" i="99"/>
  <c r="AS140" i="99" s="1"/>
  <c r="AT144" i="99"/>
  <c r="AZ94" i="99"/>
  <c r="AA62" i="99"/>
  <c r="AA61" i="99"/>
  <c r="AA38" i="99"/>
  <c r="AH263" i="99"/>
  <c r="AH295" i="99" s="1"/>
  <c r="AH65" i="99" s="1"/>
  <c r="AM81" i="73" s="1"/>
  <c r="AH259" i="99"/>
  <c r="AH46" i="99"/>
  <c r="S45" i="99"/>
  <c r="S40" i="99"/>
  <c r="BQ95" i="46"/>
  <c r="AV85" i="99"/>
  <c r="AM246" i="99"/>
  <c r="AW119" i="99"/>
  <c r="AW120" i="99" s="1"/>
  <c r="AY112" i="99"/>
  <c r="AY113" i="99" s="1"/>
  <c r="AY9" i="99"/>
  <c r="M38" i="99"/>
  <c r="M62" i="99"/>
  <c r="M61" i="99"/>
  <c r="S294" i="99"/>
  <c r="S277" i="99"/>
  <c r="T277" i="99"/>
  <c r="T282" i="99" s="1"/>
  <c r="U277" i="99" s="1"/>
  <c r="U282" i="99" s="1"/>
  <c r="V277" i="99" s="1"/>
  <c r="V282" i="99" s="1"/>
  <c r="W277" i="99" s="1"/>
  <c r="W282" i="99" s="1"/>
  <c r="AJ34" i="99"/>
  <c r="AJ30" i="99"/>
  <c r="T261" i="99"/>
  <c r="T268" i="99" s="1"/>
  <c r="W261" i="99"/>
  <c r="W268" i="99" s="1"/>
  <c r="V261" i="99"/>
  <c r="V268" i="99" s="1"/>
  <c r="U261" i="99"/>
  <c r="U268" i="99" s="1"/>
  <c r="AB34" i="99"/>
  <c r="AB30" i="99"/>
  <c r="AB261" i="99" s="1"/>
  <c r="AB268" i="99" s="1"/>
  <c r="R252" i="99"/>
  <c r="R291" i="99" s="1"/>
  <c r="R249" i="99"/>
  <c r="R266" i="99"/>
  <c r="AC263" i="99"/>
  <c r="AC295" i="99" s="1"/>
  <c r="AC65" i="99" s="1"/>
  <c r="AH81" i="73" s="1"/>
  <c r="AC259" i="99"/>
  <c r="AC46" i="99"/>
  <c r="AA249" i="99"/>
  <c r="AA252" i="99"/>
  <c r="AA291" i="99" s="1"/>
  <c r="AA266" i="99"/>
  <c r="AS112" i="99"/>
  <c r="AS113" i="99" s="1"/>
  <c r="AS9" i="99"/>
  <c r="V45" i="99"/>
  <c r="V40" i="99"/>
  <c r="V46" i="99" s="1"/>
  <c r="V47" i="99" s="1"/>
  <c r="AR25" i="46"/>
  <c r="AU208" i="99"/>
  <c r="BG74" i="99"/>
  <c r="BG76" i="99" s="1"/>
  <c r="BC76" i="99"/>
  <c r="BC109" i="99"/>
  <c r="BH110" i="99"/>
  <c r="AJ261" i="99"/>
  <c r="AJ268" i="99" s="1"/>
  <c r="AI261" i="99"/>
  <c r="AI268" i="99" s="1"/>
  <c r="BJ76" i="99"/>
  <c r="K62" i="99"/>
  <c r="K61" i="99"/>
  <c r="K38" i="99"/>
  <c r="R267" i="99"/>
  <c r="AM261" i="99"/>
  <c r="AM268" i="99" s="1"/>
  <c r="AR32" i="71"/>
  <c r="AR267" i="99"/>
  <c r="AD261" i="99"/>
  <c r="AD268" i="99" s="1"/>
  <c r="AG261" i="99"/>
  <c r="AG268" i="99" s="1"/>
  <c r="AE261" i="99"/>
  <c r="AE268" i="99" s="1"/>
  <c r="AE260" i="99"/>
  <c r="AE273" i="99" s="1"/>
  <c r="BI184" i="99"/>
  <c r="BF80" i="99"/>
  <c r="BA79" i="99"/>
  <c r="BA12" i="99" s="1"/>
  <c r="BA14" i="99" s="1"/>
  <c r="AL29" i="99"/>
  <c r="AQ25" i="46"/>
  <c r="BE122" i="99"/>
  <c r="AZ20" i="99"/>
  <c r="BK122" i="99"/>
  <c r="BK20" i="99" s="1"/>
  <c r="BF20" i="99"/>
  <c r="BK76" i="99"/>
  <c r="AT89" i="99"/>
  <c r="AT70" i="99" s="1"/>
  <c r="AP30" i="99"/>
  <c r="AP34" i="99"/>
  <c r="BE117" i="99"/>
  <c r="BE18" i="99" s="1"/>
  <c r="BJ119" i="99"/>
  <c r="BJ117" i="99" s="1"/>
  <c r="BJ18" i="99" s="1"/>
  <c r="AH89" i="99"/>
  <c r="R38" i="99"/>
  <c r="R61" i="99"/>
  <c r="R62" i="99"/>
  <c r="Y40" i="99"/>
  <c r="Y45" i="99"/>
  <c r="AM249" i="99"/>
  <c r="AM252" i="99"/>
  <c r="AM291" i="99" s="1"/>
  <c r="AR82" i="73" s="1"/>
  <c r="AM266" i="99"/>
  <c r="BI109" i="99"/>
  <c r="BI13" i="99" s="1"/>
  <c r="BI14" i="99" s="1"/>
  <c r="AU89" i="99"/>
  <c r="AU70" i="99" s="1"/>
  <c r="T62" i="99"/>
  <c r="T61" i="99"/>
  <c r="T38" i="99"/>
  <c r="AX122" i="99"/>
  <c r="AW122" i="99"/>
  <c r="AW123" i="99" s="1"/>
  <c r="AS20" i="99"/>
  <c r="AW20" i="99" s="1"/>
  <c r="J61" i="99"/>
  <c r="J38" i="99"/>
  <c r="J62" i="99"/>
  <c r="AA246" i="99"/>
  <c r="AW25" i="46"/>
  <c r="X263" i="99"/>
  <c r="X295" i="99" s="1"/>
  <c r="X65" i="99" s="1"/>
  <c r="AC81" i="73" s="1"/>
  <c r="X259" i="99"/>
  <c r="X46" i="99"/>
  <c r="BD14" i="99"/>
  <c r="AK30" i="99"/>
  <c r="AK34" i="99"/>
  <c r="AM103" i="73"/>
  <c r="AF40" i="99"/>
  <c r="AF46" i="99" s="1"/>
  <c r="AF45" i="99"/>
  <c r="BB109" i="99"/>
  <c r="BB110" i="99" s="1"/>
  <c r="AX13" i="99"/>
  <c r="BB13" i="99" s="1"/>
  <c r="AI62" i="99"/>
  <c r="AI61" i="99"/>
  <c r="AI38" i="99"/>
  <c r="AJ260" i="99"/>
  <c r="AJ273" i="99" s="1"/>
  <c r="P62" i="99"/>
  <c r="P38" i="99"/>
  <c r="P61" i="99"/>
  <c r="BE94" i="99"/>
  <c r="BE102" i="99"/>
  <c r="BJ100" i="99"/>
  <c r="BE76" i="99"/>
  <c r="Z61" i="99"/>
  <c r="Z62" i="99"/>
  <c r="Z38" i="99"/>
  <c r="N89" i="99"/>
  <c r="AM62" i="99"/>
  <c r="AM38" i="99"/>
  <c r="AM61" i="99"/>
  <c r="BD76" i="99"/>
  <c r="AR255" i="99"/>
  <c r="BC102" i="99"/>
  <c r="BG100" i="99"/>
  <c r="BG102" i="99" s="1"/>
  <c r="BH100" i="99"/>
  <c r="BC79" i="99"/>
  <c r="BC104" i="99"/>
  <c r="BH104" i="99" s="1"/>
  <c r="AD61" i="99"/>
  <c r="AD38" i="99"/>
  <c r="AD62" i="99"/>
  <c r="AF260" i="99"/>
  <c r="AF273" i="99" s="1"/>
  <c r="CU194" i="99"/>
  <c r="CU196" i="99" s="1"/>
  <c r="CQ194" i="99"/>
  <c r="AV137" i="99"/>
  <c r="AV136" i="99" s="1"/>
  <c r="AW136" i="99" s="1"/>
  <c r="AU136" i="99"/>
  <c r="AU132" i="99" s="1"/>
  <c r="BJ110" i="99"/>
  <c r="BJ109" i="99" s="1"/>
  <c r="BJ13" i="99" s="1"/>
  <c r="BE109" i="99"/>
  <c r="BE13" i="99" s="1"/>
  <c r="BE14" i="99" s="1"/>
  <c r="BF76" i="99"/>
  <c r="AW231" i="99"/>
  <c r="BD104" i="99"/>
  <c r="BI104" i="99" s="1"/>
  <c r="BJ79" i="99"/>
  <c r="BJ12" i="99" s="1"/>
  <c r="BJ14" i="99" s="1"/>
  <c r="AQ34" i="99"/>
  <c r="AQ30" i="99"/>
  <c r="W38" i="99"/>
  <c r="W62" i="99"/>
  <c r="W61" i="99"/>
  <c r="W28" i="98"/>
  <c r="W24" i="98"/>
  <c r="AA228" i="98"/>
  <c r="AA241" i="98" s="1"/>
  <c r="Z39" i="98"/>
  <c r="Z34" i="98"/>
  <c r="Z40" i="98" s="1"/>
  <c r="X102" i="73"/>
  <c r="BA246" i="98"/>
  <c r="BA150" i="98"/>
  <c r="BA153" i="98" s="1"/>
  <c r="BF94" i="46"/>
  <c r="AU111" i="98"/>
  <c r="BK246" i="98"/>
  <c r="BK150" i="98"/>
  <c r="BK153" i="98" s="1"/>
  <c r="BP94" i="46"/>
  <c r="AC39" i="98"/>
  <c r="AC34" i="98"/>
  <c r="AF39" i="98"/>
  <c r="AF34" i="98"/>
  <c r="AF40" i="98" s="1"/>
  <c r="X231" i="98"/>
  <c r="X263" i="98" s="1"/>
  <c r="X227" i="98"/>
  <c r="X40" i="98"/>
  <c r="AS176" i="98"/>
  <c r="AS153" i="98"/>
  <c r="AN54" i="98"/>
  <c r="AN55" i="98"/>
  <c r="AN32" i="98"/>
  <c r="AP228" i="98"/>
  <c r="AP241" i="98" s="1"/>
  <c r="BG150" i="98"/>
  <c r="BG153" i="98" s="1"/>
  <c r="BC153" i="98"/>
  <c r="AW191" i="98"/>
  <c r="AM214" i="98"/>
  <c r="BA72" i="98"/>
  <c r="AV71" i="98"/>
  <c r="AV9" i="98" s="1"/>
  <c r="AI55" i="98"/>
  <c r="AI54" i="98"/>
  <c r="AI32" i="98"/>
  <c r="AS81" i="98"/>
  <c r="AS62" i="98" s="1"/>
  <c r="N163" i="98"/>
  <c r="N165" i="98" s="1"/>
  <c r="O163" i="98" s="1"/>
  <c r="CP165" i="98"/>
  <c r="BK90" i="98"/>
  <c r="BK14" i="98" s="1"/>
  <c r="BF14" i="98"/>
  <c r="AB229" i="98"/>
  <c r="AA229" i="98"/>
  <c r="BF66" i="98"/>
  <c r="BK65" i="98"/>
  <c r="BK66" i="98" s="1"/>
  <c r="AB32" i="98"/>
  <c r="AB54" i="98"/>
  <c r="AB55" i="98"/>
  <c r="U54" i="98"/>
  <c r="U32" i="98"/>
  <c r="U55" i="98"/>
  <c r="AA34" i="98"/>
  <c r="AA40" i="98" s="1"/>
  <c r="AA39" i="98"/>
  <c r="AU81" i="98"/>
  <c r="AU62" i="98" s="1"/>
  <c r="N245" i="98"/>
  <c r="I250" i="98" s="1"/>
  <c r="I245" i="98" s="1"/>
  <c r="AH234" i="98"/>
  <c r="AH223" i="98"/>
  <c r="AH214" i="98"/>
  <c r="AH235" i="98"/>
  <c r="BC90" i="98"/>
  <c r="BB90" i="98"/>
  <c r="BB91" i="98" s="1"/>
  <c r="AX14" i="98"/>
  <c r="R220" i="98"/>
  <c r="R234" i="98"/>
  <c r="BG94" i="46"/>
  <c r="BJ246" i="98"/>
  <c r="BJ150" i="98"/>
  <c r="BJ153" i="98" s="1"/>
  <c r="BO94" i="46"/>
  <c r="AJ54" i="98"/>
  <c r="AJ55" i="98"/>
  <c r="AJ32" i="98"/>
  <c r="R235" i="98"/>
  <c r="AR34" i="98"/>
  <c r="AR39" i="98"/>
  <c r="AP55" i="98"/>
  <c r="AP54" i="98"/>
  <c r="AP32" i="98"/>
  <c r="AR245" i="98"/>
  <c r="AR250" i="98" s="1"/>
  <c r="AM252" i="98"/>
  <c r="AM253" i="98" s="1"/>
  <c r="AN245" i="98"/>
  <c r="AN250" i="98" s="1"/>
  <c r="AO245" i="98" s="1"/>
  <c r="AO250" i="98" s="1"/>
  <c r="AP245" i="98" s="1"/>
  <c r="AP250" i="98" s="1"/>
  <c r="AQ245" i="98" s="1"/>
  <c r="AQ250" i="98" s="1"/>
  <c r="AR102" i="73"/>
  <c r="AO32" i="98"/>
  <c r="AO55" i="98"/>
  <c r="AO54" i="98"/>
  <c r="AX87" i="98"/>
  <c r="AW87" i="98"/>
  <c r="AW88" i="98" s="1"/>
  <c r="AS85" i="98"/>
  <c r="N39" i="98"/>
  <c r="N34" i="98"/>
  <c r="P39" i="98"/>
  <c r="P34" i="98"/>
  <c r="P40" i="98" s="1"/>
  <c r="K231" i="98"/>
  <c r="J231" i="98"/>
  <c r="J227" i="98"/>
  <c r="L231" i="98"/>
  <c r="L227" i="98"/>
  <c r="K227" i="98"/>
  <c r="J40" i="98"/>
  <c r="AW199" i="98"/>
  <c r="AY68" i="98"/>
  <c r="AY71" i="98"/>
  <c r="AY9" i="98" s="1"/>
  <c r="AW71" i="98"/>
  <c r="AW72" i="98" s="1"/>
  <c r="AS9" i="98"/>
  <c r="AW9" i="98" s="1"/>
  <c r="CN163" i="98"/>
  <c r="CM165" i="98"/>
  <c r="Y55" i="98"/>
  <c r="Y32" i="98"/>
  <c r="Y54" i="98"/>
  <c r="BA68" i="98"/>
  <c r="BH68" i="98"/>
  <c r="S252" i="98"/>
  <c r="AT81" i="98"/>
  <c r="AT62" i="98" s="1"/>
  <c r="AL24" i="98"/>
  <c r="AL28" i="98"/>
  <c r="Q34" i="98"/>
  <c r="Q40" i="98" s="1"/>
  <c r="Q39" i="98"/>
  <c r="AE34" i="98"/>
  <c r="AE40" i="98" s="1"/>
  <c r="AE39" i="98"/>
  <c r="AM220" i="98"/>
  <c r="AM259" i="98" s="1"/>
  <c r="AR71" i="73" s="1"/>
  <c r="AM234" i="98"/>
  <c r="AX153" i="98"/>
  <c r="BB150" i="98"/>
  <c r="BB153" i="98" s="1"/>
  <c r="AZ68" i="98"/>
  <c r="AT99" i="98"/>
  <c r="BQ94" i="46"/>
  <c r="AQ28" i="98"/>
  <c r="AQ24" i="98"/>
  <c r="AN228" i="98"/>
  <c r="AN241" i="98" s="1"/>
  <c r="BE72" i="98"/>
  <c r="AZ71" i="98"/>
  <c r="AZ9" i="98" s="1"/>
  <c r="AD39" i="98"/>
  <c r="AD34" i="98"/>
  <c r="AY87" i="98"/>
  <c r="AT85" i="98"/>
  <c r="AT12" i="98" s="1"/>
  <c r="O39" i="98"/>
  <c r="O34" i="98"/>
  <c r="BI65" i="98"/>
  <c r="BD66" i="98"/>
  <c r="BG65" i="98"/>
  <c r="BG66" i="98" s="1"/>
  <c r="BG68" i="98" s="1"/>
  <c r="I39" i="98"/>
  <c r="I34" i="98"/>
  <c r="S231" i="98"/>
  <c r="S263" i="98" s="1"/>
  <c r="S227" i="98"/>
  <c r="S40" i="98"/>
  <c r="BD90" i="98"/>
  <c r="AY14" i="98"/>
  <c r="AX71" i="98"/>
  <c r="BC72" i="98"/>
  <c r="AR259" i="98"/>
  <c r="AW71" i="73" s="1"/>
  <c r="M39" i="98"/>
  <c r="M34" i="98"/>
  <c r="M40" i="98" s="1"/>
  <c r="V21" i="98"/>
  <c r="V23" i="98" s="1"/>
  <c r="X262" i="98"/>
  <c r="S57" i="98"/>
  <c r="X73" i="73"/>
  <c r="AS100" i="98"/>
  <c r="AS13" i="98"/>
  <c r="AH39" i="98"/>
  <c r="AH34" i="98"/>
  <c r="BJ90" i="98"/>
  <c r="BJ14" i="98" s="1"/>
  <c r="BE14" i="98"/>
  <c r="BE66" i="98"/>
  <c r="BJ65" i="98"/>
  <c r="BJ66" i="98" s="1"/>
  <c r="BH153" i="98"/>
  <c r="AW104" i="98"/>
  <c r="AX104" i="98" s="1"/>
  <c r="AW121" i="98"/>
  <c r="AZ85" i="98"/>
  <c r="AZ12" i="98" s="1"/>
  <c r="BE87" i="98"/>
  <c r="AP229" i="98"/>
  <c r="AO229" i="98"/>
  <c r="AN229" i="98"/>
  <c r="AQ229" i="98"/>
  <c r="AO228" i="98"/>
  <c r="AO241" i="98" s="1"/>
  <c r="T39" i="98"/>
  <c r="T34" i="98"/>
  <c r="R214" i="98"/>
  <c r="BL94" i="46"/>
  <c r="AM231" i="98"/>
  <c r="AM263" i="98" s="1"/>
  <c r="AM227" i="98"/>
  <c r="AM40" i="98"/>
  <c r="AM223" i="98"/>
  <c r="AL229" i="98"/>
  <c r="AK229" i="98"/>
  <c r="AJ229" i="98"/>
  <c r="AI229" i="98"/>
  <c r="AV246" i="98"/>
  <c r="AV150" i="98"/>
  <c r="AV153" i="98" s="1"/>
  <c r="BA94" i="46"/>
  <c r="BB94" i="46" s="1"/>
  <c r="AK32" i="98"/>
  <c r="AK54" i="98"/>
  <c r="AK55" i="98"/>
  <c r="BF87" i="98"/>
  <c r="BA85" i="98"/>
  <c r="BA12" i="98" s="1"/>
  <c r="AG32" i="98"/>
  <c r="AG55" i="98"/>
  <c r="AG54" i="98"/>
  <c r="R32" i="98"/>
  <c r="R54" i="98"/>
  <c r="R55" i="98"/>
  <c r="BC140" i="77"/>
  <c r="BH142" i="77"/>
  <c r="BG125" i="77"/>
  <c r="BD140" i="77"/>
  <c r="BD13" i="77" s="1"/>
  <c r="BI142" i="77"/>
  <c r="M29" i="77"/>
  <c r="M25" i="77"/>
  <c r="Q239" i="77" s="1"/>
  <c r="Q246" i="77" s="1"/>
  <c r="Q238" i="77"/>
  <c r="Q251" i="77" s="1"/>
  <c r="N43" i="77"/>
  <c r="N38" i="77"/>
  <c r="X24" i="77"/>
  <c r="X22" i="46"/>
  <c r="BO145" i="77"/>
  <c r="BO15" i="77" s="1"/>
  <c r="BJ15" i="77"/>
  <c r="AG143" i="77"/>
  <c r="AG57" i="77" s="1"/>
  <c r="AH142" i="77"/>
  <c r="AH143" i="77" s="1"/>
  <c r="AH57" i="77" s="1"/>
  <c r="AH57" i="73" s="1"/>
  <c r="BP121" i="77"/>
  <c r="BK123" i="77"/>
  <c r="BJ85" i="77"/>
  <c r="BE74" i="77"/>
  <c r="BA8" i="77"/>
  <c r="O43" i="77"/>
  <c r="O38" i="77"/>
  <c r="W133" i="77"/>
  <c r="W135" i="77"/>
  <c r="W136" i="77" s="1"/>
  <c r="BN83" i="77"/>
  <c r="G43" i="77"/>
  <c r="G38" i="77"/>
  <c r="G44" i="77" s="1"/>
  <c r="AL143" i="77"/>
  <c r="AL57" i="77" s="1"/>
  <c r="J43" i="77"/>
  <c r="J38" i="77"/>
  <c r="R25" i="77"/>
  <c r="R239" i="77" s="1"/>
  <c r="R246" i="77" s="1"/>
  <c r="R29" i="77"/>
  <c r="BM123" i="77"/>
  <c r="BM116" i="77"/>
  <c r="AH210" i="77"/>
  <c r="AH212" i="77" s="1"/>
  <c r="AI210" i="77" s="1"/>
  <c r="AD212" i="77"/>
  <c r="AE210" i="77" s="1"/>
  <c r="AE212" i="77" s="1"/>
  <c r="AF210" i="77" s="1"/>
  <c r="AF212" i="77" s="1"/>
  <c r="AG210" i="77" s="1"/>
  <c r="AG212" i="77" s="1"/>
  <c r="AC24" i="77"/>
  <c r="AC22" i="46"/>
  <c r="AH92" i="77"/>
  <c r="AH10" i="77"/>
  <c r="AM9" i="77"/>
  <c r="AG161" i="77"/>
  <c r="AG172" i="77"/>
  <c r="N210" i="77"/>
  <c r="N212" i="77" s="1"/>
  <c r="J212" i="77"/>
  <c r="K210" i="77" s="1"/>
  <c r="K212" i="77" s="1"/>
  <c r="L210" i="77" s="1"/>
  <c r="L212" i="77" s="1"/>
  <c r="M210" i="77" s="1"/>
  <c r="M212" i="77" s="1"/>
  <c r="AZ150" i="77"/>
  <c r="BH145" i="77"/>
  <c r="BG145" i="77"/>
  <c r="BG146" i="77" s="1"/>
  <c r="BC15" i="77"/>
  <c r="W93" i="77"/>
  <c r="W95" i="77"/>
  <c r="W96" i="77" s="1"/>
  <c r="BP272" i="77"/>
  <c r="BP63" i="77" s="1"/>
  <c r="BO63" i="77"/>
  <c r="S43" i="77"/>
  <c r="S38" i="77"/>
  <c r="F61" i="77"/>
  <c r="F33" i="77"/>
  <c r="F36" i="77" s="1"/>
  <c r="F60" i="77"/>
  <c r="H33" i="77"/>
  <c r="H36" i="77" s="1"/>
  <c r="H60" i="77"/>
  <c r="H61" i="77"/>
  <c r="P60" i="77"/>
  <c r="P33" i="77"/>
  <c r="P36" i="77" s="1"/>
  <c r="P61" i="77"/>
  <c r="I257" i="77"/>
  <c r="I260" i="77" s="1"/>
  <c r="E260" i="77"/>
  <c r="F255" i="77" s="1"/>
  <c r="F260" i="77" s="1"/>
  <c r="G255" i="77" s="1"/>
  <c r="G260" i="77" s="1"/>
  <c r="H255" i="77" s="1"/>
  <c r="H260" i="77" s="1"/>
  <c r="X133" i="77"/>
  <c r="X135" i="77"/>
  <c r="X136" i="77" s="1"/>
  <c r="AL224" i="77"/>
  <c r="AL227" i="77"/>
  <c r="AL228" i="77"/>
  <c r="AL269" i="77" s="1"/>
  <c r="AL244" i="77"/>
  <c r="AL245" i="77"/>
  <c r="T239" i="77"/>
  <c r="T246" i="77" s="1"/>
  <c r="BB74" i="77"/>
  <c r="AX8" i="77"/>
  <c r="AX192" i="77"/>
  <c r="BB20" i="77"/>
  <c r="BB22" i="77" s="1"/>
  <c r="AX22" i="77"/>
  <c r="BH116" i="77"/>
  <c r="BC223" i="77"/>
  <c r="AF92" i="77"/>
  <c r="AF10" i="77"/>
  <c r="AF132" i="77" s="1"/>
  <c r="AK9" i="77"/>
  <c r="AF11" i="77"/>
  <c r="BI145" i="77"/>
  <c r="BD15" i="77"/>
  <c r="AC132" i="77"/>
  <c r="AC93" i="77"/>
  <c r="AC95" i="77"/>
  <c r="AC96" i="77" s="1"/>
  <c r="BO142" i="77"/>
  <c r="BO140" i="77" s="1"/>
  <c r="BO13" i="77" s="1"/>
  <c r="BJ140" i="77"/>
  <c r="BJ13" i="77" s="1"/>
  <c r="AD92" i="77"/>
  <c r="AD10" i="77"/>
  <c r="AD132" i="77" s="1"/>
  <c r="AI9" i="77"/>
  <c r="BB125" i="77"/>
  <c r="BD8" i="77"/>
  <c r="Q60" i="77"/>
  <c r="Q61" i="77"/>
  <c r="Q33" i="77"/>
  <c r="Q36" i="77" s="1"/>
  <c r="CZ41" i="71"/>
  <c r="BG160" i="46"/>
  <c r="DY49" i="71" s="1"/>
  <c r="K43" i="77"/>
  <c r="K38" i="77"/>
  <c r="K44" i="77" s="1"/>
  <c r="AQ143" i="77"/>
  <c r="AQ57" i="77" s="1"/>
  <c r="AR142" i="77"/>
  <c r="AR143" i="77" s="1"/>
  <c r="AR57" i="77" s="1"/>
  <c r="AR57" i="73" s="1"/>
  <c r="BC154" i="77"/>
  <c r="BC171" i="77" s="1"/>
  <c r="BD161" i="77"/>
  <c r="BF83" i="77"/>
  <c r="BK81" i="77"/>
  <c r="S143" i="77"/>
  <c r="S57" i="77" s="1"/>
  <c r="U143" i="77"/>
  <c r="U57" i="77" s="1"/>
  <c r="BP145" i="77"/>
  <c r="BP15" i="77" s="1"/>
  <c r="BK15" i="77"/>
  <c r="L29" i="77"/>
  <c r="L25" i="77"/>
  <c r="M238" i="77"/>
  <c r="M251" i="77" s="1"/>
  <c r="P238" i="77"/>
  <c r="P251" i="77" s="1"/>
  <c r="L238" i="77"/>
  <c r="L251" i="77" s="1"/>
  <c r="O238" i="77"/>
  <c r="O251" i="77" s="1"/>
  <c r="T60" i="77"/>
  <c r="T33" i="77"/>
  <c r="T36" i="77" s="1"/>
  <c r="T61" i="77"/>
  <c r="E38" i="77"/>
  <c r="E43" i="77"/>
  <c r="BO121" i="77"/>
  <c r="BJ116" i="77"/>
  <c r="BJ123" i="77"/>
  <c r="U24" i="77"/>
  <c r="U22" i="46"/>
  <c r="I241" i="77"/>
  <c r="I237" i="77"/>
  <c r="I44" i="77"/>
  <c r="BB171" i="77"/>
  <c r="BB172" i="77" s="1"/>
  <c r="AA133" i="77"/>
  <c r="AA135" i="77"/>
  <c r="AA136" i="77" s="1"/>
  <c r="AB92" i="77"/>
  <c r="Y133" i="77"/>
  <c r="Y135" i="77"/>
  <c r="Y136" i="77" s="1"/>
  <c r="Y93" i="77"/>
  <c r="Y95" i="77"/>
  <c r="BM81" i="77"/>
  <c r="BH83" i="77"/>
  <c r="BL81" i="77"/>
  <c r="BL83" i="77" s="1"/>
  <c r="BH74" i="77"/>
  <c r="N143" i="77"/>
  <c r="N57" i="77" s="1"/>
  <c r="AV257" i="77"/>
  <c r="AW257" i="77" s="1"/>
  <c r="AV160" i="77"/>
  <c r="AX160" i="77" s="1"/>
  <c r="AM142" i="77"/>
  <c r="AM143" i="77" s="1"/>
  <c r="AM57" i="77" s="1"/>
  <c r="AM57" i="73" s="1"/>
  <c r="BF85" i="77"/>
  <c r="BF74" i="77" s="1"/>
  <c r="W16" i="77"/>
  <c r="W18" i="77" s="1"/>
  <c r="AL161" i="77"/>
  <c r="AL172" i="77"/>
  <c r="BO83" i="77"/>
  <c r="AX13" i="77"/>
  <c r="T160" i="77"/>
  <c r="U160" i="77"/>
  <c r="AZ8" i="77"/>
  <c r="BK268" i="77"/>
  <c r="BJ268" i="77" s="1"/>
  <c r="BI268" i="77" s="1"/>
  <c r="BH268" i="77" s="1"/>
  <c r="BQ268" i="77"/>
  <c r="BL63" i="73"/>
  <c r="BA192" i="77"/>
  <c r="BA22" i="77"/>
  <c r="V25" i="77"/>
  <c r="V29" i="77"/>
  <c r="EG58" i="71"/>
  <c r="BQ168" i="46"/>
  <c r="EI58" i="71" s="1"/>
  <c r="BI123" i="77"/>
  <c r="BN121" i="77"/>
  <c r="AA24" i="77"/>
  <c r="AA22" i="46"/>
  <c r="AA93" i="77"/>
  <c r="AA95" i="77"/>
  <c r="AC11" i="77"/>
  <c r="AG150" i="77"/>
  <c r="AG152" i="77" s="1"/>
  <c r="AF152" i="77"/>
  <c r="BK125" i="77"/>
  <c r="BP125" i="77" s="1"/>
  <c r="Y24" i="77"/>
  <c r="Y22" i="46"/>
  <c r="BI125" i="77"/>
  <c r="BC8" i="77"/>
  <c r="CP210" i="77"/>
  <c r="CP212" i="77" s="1"/>
  <c r="CL210" i="77"/>
  <c r="BF157" i="77"/>
  <c r="BB157" i="77"/>
  <c r="BB15" i="77"/>
  <c r="W11" i="77"/>
  <c r="Z92" i="77"/>
  <c r="Z10" i="77"/>
  <c r="Z132" i="77" s="1"/>
  <c r="BN85" i="77"/>
  <c r="BN74" i="77" s="1"/>
  <c r="BB86" i="78"/>
  <c r="AL93" i="78"/>
  <c r="AL11" i="78"/>
  <c r="AL16" i="78"/>
  <c r="AL20" i="78" s="1"/>
  <c r="AV229" i="78"/>
  <c r="AV243" i="78"/>
  <c r="AV226" i="78"/>
  <c r="AC144" i="78"/>
  <c r="AC58" i="78" s="1"/>
  <c r="AC46" i="73" s="1"/>
  <c r="AI26" i="78"/>
  <c r="AI21" i="46"/>
  <c r="AY271" i="78"/>
  <c r="AZ64" i="78"/>
  <c r="BM134" i="78"/>
  <c r="Y35" i="78"/>
  <c r="Y38" i="78" s="1"/>
  <c r="Y62" i="78"/>
  <c r="Y61" i="78"/>
  <c r="AG226" i="78"/>
  <c r="AG229" i="78"/>
  <c r="AG243" i="78"/>
  <c r="BH255" i="78"/>
  <c r="BH200" i="78"/>
  <c r="AB26" i="78"/>
  <c r="AB21" i="46"/>
  <c r="BI75" i="78"/>
  <c r="BI84" i="78"/>
  <c r="BN82" i="78"/>
  <c r="AZ117" i="78"/>
  <c r="BO84" i="78"/>
  <c r="O46" i="78"/>
  <c r="BC255" i="78"/>
  <c r="BC200" i="78"/>
  <c r="BA152" i="78"/>
  <c r="BM86" i="78"/>
  <c r="BM75" i="78" s="1"/>
  <c r="BH75" i="78"/>
  <c r="AF94" i="78"/>
  <c r="AF96" i="78"/>
  <c r="CM212" i="78"/>
  <c r="CO212" i="78"/>
  <c r="CO214" i="78" s="1"/>
  <c r="CP212" i="78"/>
  <c r="CP214" i="78" s="1"/>
  <c r="CQ212" i="78" s="1"/>
  <c r="CL214" i="78"/>
  <c r="U62" i="78"/>
  <c r="U61" i="78"/>
  <c r="U35" i="78"/>
  <c r="U38" i="78" s="1"/>
  <c r="AH237" i="78"/>
  <c r="AH250" i="78" s="1"/>
  <c r="AH27" i="78"/>
  <c r="AH31" i="78"/>
  <c r="AD237" i="78"/>
  <c r="AD250" i="78" s="1"/>
  <c r="AD31" i="78"/>
  <c r="AD27" i="78"/>
  <c r="AY141" i="78"/>
  <c r="AY13" i="78" s="1"/>
  <c r="BD143" i="78"/>
  <c r="AA97" i="78"/>
  <c r="AA111" i="78"/>
  <c r="S61" i="78"/>
  <c r="S62" i="78"/>
  <c r="S35" i="78"/>
  <c r="S38" i="78" s="1"/>
  <c r="AV223" i="78"/>
  <c r="AP162" i="78"/>
  <c r="AQ162" i="78"/>
  <c r="AM94" i="78"/>
  <c r="AM96" i="78"/>
  <c r="AM97" i="78" s="1"/>
  <c r="AE94" i="78"/>
  <c r="AE96" i="78"/>
  <c r="AY162" i="78"/>
  <c r="AX160" i="78"/>
  <c r="AK133" i="78"/>
  <c r="AP10" i="78"/>
  <c r="BE271" i="78"/>
  <c r="BF64" i="78"/>
  <c r="AS35" i="78"/>
  <c r="AS38" i="78" s="1"/>
  <c r="AS62" i="78"/>
  <c r="AS61" i="78"/>
  <c r="T237" i="78"/>
  <c r="T250" i="78" s="1"/>
  <c r="AE134" i="78"/>
  <c r="AE136" i="78"/>
  <c r="AE137" i="78" s="1"/>
  <c r="N238" i="78"/>
  <c r="N245" i="78" s="1"/>
  <c r="N29" i="71"/>
  <c r="AA31" i="78"/>
  <c r="AA27" i="78"/>
  <c r="G45" i="78"/>
  <c r="G40" i="78"/>
  <c r="G46" i="78" s="1"/>
  <c r="G80" i="46" s="1"/>
  <c r="T175" i="78"/>
  <c r="T152" i="78"/>
  <c r="T154" i="78" s="1"/>
  <c r="T163" i="78"/>
  <c r="BN86" i="78"/>
  <c r="AG93" i="78"/>
  <c r="AG11" i="78"/>
  <c r="AG16" i="78"/>
  <c r="AG20" i="78" s="1"/>
  <c r="AI94" i="78"/>
  <c r="AI96" i="78"/>
  <c r="P61" i="78"/>
  <c r="P35" i="78"/>
  <c r="P38" i="78" s="1"/>
  <c r="P62" i="78"/>
  <c r="BI255" i="78"/>
  <c r="BI200" i="78"/>
  <c r="Z97" i="78"/>
  <c r="Z111" i="78"/>
  <c r="F45" i="78"/>
  <c r="F40" i="78"/>
  <c r="F46" i="78" s="1"/>
  <c r="F80" i="46" s="1"/>
  <c r="BB128" i="78"/>
  <c r="AX126" i="78"/>
  <c r="BF143" i="78"/>
  <c r="BA141" i="78"/>
  <c r="BA13" i="78" s="1"/>
  <c r="BC9" i="78"/>
  <c r="BD255" i="78"/>
  <c r="BD200" i="78"/>
  <c r="AF26" i="78"/>
  <c r="AF21" i="46"/>
  <c r="W31" i="78"/>
  <c r="W27" i="78"/>
  <c r="Z238" i="78" s="1"/>
  <c r="Z245" i="78" s="1"/>
  <c r="J62" i="78"/>
  <c r="J35" i="78"/>
  <c r="J38" i="78" s="1"/>
  <c r="J61" i="78"/>
  <c r="AC62" i="78"/>
  <c r="AC61" i="78"/>
  <c r="AC35" i="78"/>
  <c r="AC38" i="78" s="1"/>
  <c r="AV232" i="78"/>
  <c r="AM26" i="78"/>
  <c r="AM21" i="46"/>
  <c r="AE26" i="78"/>
  <c r="AF237" i="78" s="1"/>
  <c r="AF250" i="78" s="1"/>
  <c r="AE21" i="46"/>
  <c r="AR133" i="78"/>
  <c r="AW10" i="78"/>
  <c r="E40" i="78"/>
  <c r="E45" i="78"/>
  <c r="M226" i="78"/>
  <c r="M229" i="78"/>
  <c r="M243" i="78"/>
  <c r="AF134" i="78"/>
  <c r="AF136" i="78"/>
  <c r="AF137" i="78" s="1"/>
  <c r="BC56" i="78"/>
  <c r="BC128" i="78" s="1"/>
  <c r="BF56" i="78"/>
  <c r="BF128" i="78" s="1"/>
  <c r="BD56" i="78"/>
  <c r="BD128" i="78" s="1"/>
  <c r="BE56" i="78"/>
  <c r="BE128" i="78" s="1"/>
  <c r="BE126" i="78" s="1"/>
  <c r="BB225" i="78"/>
  <c r="N62" i="78"/>
  <c r="N61" i="78"/>
  <c r="N35" i="78"/>
  <c r="N38" i="78" s="1"/>
  <c r="BB146" i="78"/>
  <c r="BB147" i="78" s="1"/>
  <c r="BC146" i="78"/>
  <c r="AX15" i="78"/>
  <c r="BB15" i="78" s="1"/>
  <c r="AI137" i="78"/>
  <c r="AN137" i="78"/>
  <c r="AY14" i="46"/>
  <c r="AG134" i="78"/>
  <c r="AG136" i="78"/>
  <c r="AG137" i="78" s="1"/>
  <c r="BQ88" i="78"/>
  <c r="BO86" i="78"/>
  <c r="BO75" i="78" s="1"/>
  <c r="EG49" i="71"/>
  <c r="BQ160" i="46"/>
  <c r="EI49" i="71" s="1"/>
  <c r="J162" i="78"/>
  <c r="K162" i="78"/>
  <c r="Q45" i="78"/>
  <c r="Q40" i="78"/>
  <c r="Q46" i="78" s="1"/>
  <c r="I236" i="78"/>
  <c r="I240" i="78"/>
  <c r="I46" i="78"/>
  <c r="I80" i="46" s="1"/>
  <c r="I12" i="71" s="1"/>
  <c r="X238" i="78"/>
  <c r="X245" i="78" s="1"/>
  <c r="X29" i="71"/>
  <c r="BP168" i="78"/>
  <c r="BP170" i="78" s="1"/>
  <c r="BO168" i="78"/>
  <c r="BO170" i="78" s="1"/>
  <c r="BM168" i="78"/>
  <c r="BM170" i="78" s="1"/>
  <c r="BN168" i="78"/>
  <c r="BN170" i="78" s="1"/>
  <c r="BD75" i="78"/>
  <c r="R27" i="78"/>
  <c r="R238" i="78" s="1"/>
  <c r="R245" i="78" s="1"/>
  <c r="R31" i="78"/>
  <c r="BD126" i="78"/>
  <c r="AY117" i="78"/>
  <c r="BK82" i="78"/>
  <c r="BF84" i="78"/>
  <c r="BJ75" i="78"/>
  <c r="BM94" i="78"/>
  <c r="BM93" i="78" s="1"/>
  <c r="BH93" i="78"/>
  <c r="BF255" i="78"/>
  <c r="BF200" i="78"/>
  <c r="BC156" i="78"/>
  <c r="BD163" i="78"/>
  <c r="BB91" i="46"/>
  <c r="AK93" i="78"/>
  <c r="AK11" i="78"/>
  <c r="AP9" i="78"/>
  <c r="AK16" i="78"/>
  <c r="AK20" i="78" s="1"/>
  <c r="AB94" i="78"/>
  <c r="AB96" i="78"/>
  <c r="AG232" i="78"/>
  <c r="H229" i="78"/>
  <c r="H243" i="78"/>
  <c r="H226" i="78"/>
  <c r="AN61" i="78"/>
  <c r="AN35" i="78"/>
  <c r="AN38" i="78" s="1"/>
  <c r="AN62" i="78"/>
  <c r="U237" i="78"/>
  <c r="U250" i="78" s="1"/>
  <c r="L61" i="78"/>
  <c r="L35" i="78"/>
  <c r="L38" i="78" s="1"/>
  <c r="L62" i="78"/>
  <c r="M27" i="78"/>
  <c r="P238" i="78" s="1"/>
  <c r="P245" i="78" s="1"/>
  <c r="M31" i="78"/>
  <c r="M238" i="78"/>
  <c r="M245" i="78" s="1"/>
  <c r="L238" i="78"/>
  <c r="L245" i="78" s="1"/>
  <c r="K238" i="78"/>
  <c r="K245" i="78" s="1"/>
  <c r="J238" i="78"/>
  <c r="J245" i="78" s="1"/>
  <c r="AC238" i="78"/>
  <c r="AC245" i="78" s="1"/>
  <c r="AC29" i="71"/>
  <c r="BL168" i="46"/>
  <c r="ED58" i="71" s="1"/>
  <c r="K61" i="78"/>
  <c r="K62" i="78"/>
  <c r="K35" i="78"/>
  <c r="K38" i="78" s="1"/>
  <c r="AR16" i="78"/>
  <c r="AR20" i="78" s="1"/>
  <c r="AR93" i="78"/>
  <c r="AR11" i="78"/>
  <c r="AW9" i="78"/>
  <c r="AL134" i="78"/>
  <c r="AL136" i="78"/>
  <c r="AL137" i="78" s="1"/>
  <c r="AM144" i="78"/>
  <c r="AM58" i="78" s="1"/>
  <c r="AM46" i="73" s="1"/>
  <c r="T238" i="78"/>
  <c r="T245" i="78" s="1"/>
  <c r="V238" i="78"/>
  <c r="V245" i="78" s="1"/>
  <c r="W237" i="78"/>
  <c r="W250" i="78" s="1"/>
  <c r="BD146" i="78"/>
  <c r="AY15" i="78"/>
  <c r="BL23" i="78"/>
  <c r="BM23" i="78"/>
  <c r="BQ23" i="78" s="1"/>
  <c r="X61" i="78"/>
  <c r="X62" i="78"/>
  <c r="X35" i="78"/>
  <c r="X38" i="78" s="1"/>
  <c r="BJ255" i="78"/>
  <c r="BJ200" i="78"/>
  <c r="BK255" i="78"/>
  <c r="BK200" i="78"/>
  <c r="E152" i="78"/>
  <c r="E154" i="78" s="1"/>
  <c r="E163" i="78"/>
  <c r="E175" i="78"/>
  <c r="AD97" i="78"/>
  <c r="AD111" i="78"/>
  <c r="BG82" i="78"/>
  <c r="BG84" i="78" s="1"/>
  <c r="BE141" i="78"/>
  <c r="BE13" i="78" s="1"/>
  <c r="BJ143" i="78"/>
  <c r="BF126" i="78"/>
  <c r="BA117" i="78"/>
  <c r="BA8" i="78" s="1"/>
  <c r="O163" i="78"/>
  <c r="O152" i="78"/>
  <c r="O154" i="78" s="1"/>
  <c r="O175" i="78"/>
  <c r="BP146" i="78"/>
  <c r="BP15" i="78" s="1"/>
  <c r="BK15" i="78"/>
  <c r="AW46" i="73"/>
  <c r="BE255" i="78"/>
  <c r="BE200" i="78"/>
  <c r="BC96" i="78"/>
  <c r="BC97" i="78" s="1"/>
  <c r="AG223" i="78"/>
  <c r="N212" i="78"/>
  <c r="N214" i="78" s="1"/>
  <c r="O212" i="78" s="1"/>
  <c r="J214" i="78"/>
  <c r="K212" i="78" s="1"/>
  <c r="K214" i="78" s="1"/>
  <c r="L212" i="78" s="1"/>
  <c r="L214" i="78" s="1"/>
  <c r="M212" i="78" s="1"/>
  <c r="M214" i="78" s="1"/>
  <c r="BF86" i="78"/>
  <c r="V62" i="78"/>
  <c r="V35" i="78"/>
  <c r="V38" i="78" s="1"/>
  <c r="V61" i="78"/>
  <c r="M223" i="78"/>
  <c r="BC143" i="78"/>
  <c r="BB143" i="78"/>
  <c r="BB144" i="78" s="1"/>
  <c r="AX141" i="78"/>
  <c r="M237" i="78"/>
  <c r="M250" i="78" s="1"/>
  <c r="BJ146" i="78"/>
  <c r="BE15" i="78"/>
  <c r="S238" i="78"/>
  <c r="S245" i="78" s="1"/>
  <c r="S29" i="71"/>
  <c r="AV244" i="78"/>
  <c r="AB226" i="78"/>
  <c r="AB229" i="78"/>
  <c r="AB243" i="78"/>
  <c r="AQ163" i="78"/>
  <c r="AQ175" i="78"/>
  <c r="AJ93" i="78"/>
  <c r="AJ11" i="78"/>
  <c r="AO9" i="78"/>
  <c r="AJ16" i="78"/>
  <c r="AJ20" i="78" s="1"/>
  <c r="AM134" i="78"/>
  <c r="AM136" i="78"/>
  <c r="AM137" i="78" s="1"/>
  <c r="AY175" i="78"/>
  <c r="AX174" i="78"/>
  <c r="BP124" i="78"/>
  <c r="BK271" i="78"/>
  <c r="BQ271" i="78"/>
  <c r="BL56" i="78"/>
  <c r="BL64" i="78"/>
  <c r="BL51" i="73" s="1"/>
  <c r="T61" i="78"/>
  <c r="T35" i="78"/>
  <c r="T38" i="78" s="1"/>
  <c r="T62" i="78"/>
  <c r="AJ133" i="78"/>
  <c r="AO10" i="78"/>
  <c r="I261" i="78"/>
  <c r="N254" i="78"/>
  <c r="N259" i="78" s="1"/>
  <c r="J254" i="78"/>
  <c r="J259" i="78" s="1"/>
  <c r="K254" i="78" s="1"/>
  <c r="K259" i="78" s="1"/>
  <c r="L254" i="78" s="1"/>
  <c r="L259" i="78" s="1"/>
  <c r="M254" i="78" s="1"/>
  <c r="M259" i="78" s="1"/>
  <c r="AL163" i="78"/>
  <c r="AL175" i="78"/>
  <c r="Z62" i="78"/>
  <c r="Z35" i="78"/>
  <c r="Z38" i="78" s="1"/>
  <c r="Z61" i="78"/>
  <c r="H35" i="78"/>
  <c r="H38" i="78" s="1"/>
  <c r="H62" i="78"/>
  <c r="H28" i="79"/>
  <c r="H24" i="79"/>
  <c r="L209" i="79"/>
  <c r="L222" i="79" s="1"/>
  <c r="H209" i="79"/>
  <c r="H222" i="79" s="1"/>
  <c r="K209" i="79"/>
  <c r="K222" i="79" s="1"/>
  <c r="J209" i="79"/>
  <c r="J222" i="79" s="1"/>
  <c r="X60" i="79"/>
  <c r="X59" i="79"/>
  <c r="X32" i="79"/>
  <c r="X35" i="79" s="1"/>
  <c r="BD97" i="79"/>
  <c r="BD98" i="79" s="1"/>
  <c r="BD8" i="79"/>
  <c r="L60" i="79"/>
  <c r="L59" i="79"/>
  <c r="L32" i="79"/>
  <c r="L35" i="79" s="1"/>
  <c r="AR42" i="79"/>
  <c r="AR37" i="79"/>
  <c r="AX135" i="79"/>
  <c r="AU135" i="79"/>
  <c r="S60" i="79"/>
  <c r="S59" i="79"/>
  <c r="S32" i="79"/>
  <c r="S35" i="79" s="1"/>
  <c r="N60" i="79"/>
  <c r="N59" i="79"/>
  <c r="N32" i="79"/>
  <c r="N35" i="79" s="1"/>
  <c r="BJ120" i="79"/>
  <c r="BE14" i="79"/>
  <c r="BE14" i="46" s="1"/>
  <c r="BH59" i="79"/>
  <c r="AS42" i="79"/>
  <c r="AS37" i="79"/>
  <c r="BQ90" i="46"/>
  <c r="AG215" i="79"/>
  <c r="AG198" i="79"/>
  <c r="AG201" i="79"/>
  <c r="BA8" i="79"/>
  <c r="BB8" i="79" s="1"/>
  <c r="AU60" i="79"/>
  <c r="AU59" i="79"/>
  <c r="AU32" i="79"/>
  <c r="AU35" i="79" s="1"/>
  <c r="M204" i="79"/>
  <c r="I210" i="79"/>
  <c r="I28" i="71"/>
  <c r="I217" i="79"/>
  <c r="CP184" i="79"/>
  <c r="CP186" i="79" s="1"/>
  <c r="CQ184" i="79" s="1"/>
  <c r="CM184" i="79"/>
  <c r="CL186" i="79"/>
  <c r="E136" i="79"/>
  <c r="E125" i="79"/>
  <c r="E127" i="79" s="1"/>
  <c r="E146" i="79"/>
  <c r="BJ93" i="79"/>
  <c r="BJ9" i="79" s="1"/>
  <c r="BO94" i="79"/>
  <c r="P42" i="79"/>
  <c r="P37" i="79"/>
  <c r="P43" i="79" s="1"/>
  <c r="U43" i="79"/>
  <c r="I145" i="79"/>
  <c r="I146" i="79" s="1"/>
  <c r="BM59" i="79"/>
  <c r="BF83" i="79"/>
  <c r="BF73" i="79" s="1"/>
  <c r="AC210" i="79"/>
  <c r="AC217" i="79" s="1"/>
  <c r="AC28" i="71"/>
  <c r="AK60" i="79"/>
  <c r="AK59" i="79"/>
  <c r="AK32" i="79"/>
  <c r="AK35" i="79" s="1"/>
  <c r="AF209" i="79"/>
  <c r="AF222" i="79" s="1"/>
  <c r="CY41" i="71"/>
  <c r="AW42" i="79"/>
  <c r="AW37" i="79"/>
  <c r="AH212" i="79"/>
  <c r="AH208" i="79"/>
  <c r="AH43" i="79"/>
  <c r="Y32" i="79"/>
  <c r="Y35" i="79" s="1"/>
  <c r="Y60" i="79"/>
  <c r="Y59" i="79"/>
  <c r="AO32" i="79"/>
  <c r="AO35" i="79" s="1"/>
  <c r="AO60" i="79"/>
  <c r="AO59" i="79"/>
  <c r="BB14" i="79"/>
  <c r="BI97" i="79"/>
  <c r="BI98" i="79" s="1"/>
  <c r="BI8" i="79"/>
  <c r="BA125" i="79"/>
  <c r="Q42" i="79"/>
  <c r="Q37" i="79"/>
  <c r="Q43" i="79" s="1"/>
  <c r="AJ60" i="79"/>
  <c r="AJ59" i="79"/>
  <c r="AJ32" i="79"/>
  <c r="AJ35" i="79" s="1"/>
  <c r="AN42" i="79"/>
  <c r="AN37" i="79"/>
  <c r="BH93" i="79"/>
  <c r="AQ136" i="79"/>
  <c r="AQ146" i="79"/>
  <c r="AF60" i="79"/>
  <c r="AF59" i="79"/>
  <c r="AF32" i="79"/>
  <c r="AF35" i="79" s="1"/>
  <c r="AT32" i="79"/>
  <c r="AT35" i="79" s="1"/>
  <c r="AT60" i="79"/>
  <c r="AT59" i="79"/>
  <c r="T60" i="79"/>
  <c r="T59" i="79"/>
  <c r="T32" i="79"/>
  <c r="T35" i="79" s="1"/>
  <c r="AW35" i="73"/>
  <c r="BA159" i="46"/>
  <c r="DS49" i="71" s="1"/>
  <c r="DS51" i="71" s="1"/>
  <c r="BA174" i="79"/>
  <c r="AM210" i="79"/>
  <c r="AM217" i="79" s="1"/>
  <c r="AM28" i="71"/>
  <c r="F42" i="79"/>
  <c r="F37" i="79"/>
  <c r="F43" i="79" s="1"/>
  <c r="F79" i="46" s="1"/>
  <c r="F68" i="46" s="1"/>
  <c r="AA135" i="79"/>
  <c r="J136" i="79"/>
  <c r="J125" i="79"/>
  <c r="J127" i="79" s="1"/>
  <c r="J146" i="79"/>
  <c r="AE32" i="79"/>
  <c r="AE35" i="79" s="1"/>
  <c r="AE60" i="79"/>
  <c r="AE59" i="79"/>
  <c r="BE73" i="79"/>
  <c r="AD32" i="79"/>
  <c r="AD35" i="79" s="1"/>
  <c r="AD60" i="79"/>
  <c r="AD59" i="79"/>
  <c r="BB226" i="79"/>
  <c r="AW233" i="79"/>
  <c r="AX226" i="79"/>
  <c r="L210" i="79"/>
  <c r="L217" i="79" s="1"/>
  <c r="K210" i="79"/>
  <c r="K217" i="79" s="1"/>
  <c r="M215" i="79"/>
  <c r="M198" i="79"/>
  <c r="M201" i="79"/>
  <c r="E43" i="79"/>
  <c r="E79" i="46" s="1"/>
  <c r="AY146" i="79"/>
  <c r="AX145" i="79"/>
  <c r="BC97" i="79"/>
  <c r="BC98" i="79" s="1"/>
  <c r="BC8" i="79"/>
  <c r="BE115" i="79"/>
  <c r="BE12" i="79" s="1"/>
  <c r="BJ117" i="79"/>
  <c r="O43" i="79"/>
  <c r="BP120" i="79"/>
  <c r="BP14" i="79" s="1"/>
  <c r="BK14" i="79"/>
  <c r="BC197" i="79"/>
  <c r="BF81" i="79"/>
  <c r="BK80" i="79"/>
  <c r="BL20" i="79"/>
  <c r="BM20" i="79"/>
  <c r="BQ20" i="79" s="1"/>
  <c r="M195" i="79"/>
  <c r="AV98" i="79"/>
  <c r="AV112" i="79"/>
  <c r="BI121" i="79"/>
  <c r="BH57" i="79"/>
  <c r="BH121" i="79" s="1"/>
  <c r="P135" i="79"/>
  <c r="O135" i="79"/>
  <c r="BA115" i="79"/>
  <c r="BA12" i="79" s="1"/>
  <c r="BF117" i="79"/>
  <c r="DR49" i="71"/>
  <c r="DR51" i="71" s="1"/>
  <c r="AM60" i="79"/>
  <c r="AM59" i="79"/>
  <c r="AM32" i="79"/>
  <c r="AM35" i="79" s="1"/>
  <c r="AQ28" i="79"/>
  <c r="AQ24" i="79"/>
  <c r="AQ209" i="79"/>
  <c r="AQ222" i="79" s="1"/>
  <c r="J43" i="79"/>
  <c r="BB73" i="79"/>
  <c r="AV28" i="79"/>
  <c r="AV24" i="79"/>
  <c r="AV210" i="79" s="1"/>
  <c r="AV217" i="79" s="1"/>
  <c r="BM57" i="79"/>
  <c r="BM121" i="79" s="1"/>
  <c r="BN121" i="79"/>
  <c r="AH118" i="79"/>
  <c r="AH56" i="79" s="1"/>
  <c r="AH35" i="73" s="1"/>
  <c r="J210" i="79"/>
  <c r="J217" i="79" s="1"/>
  <c r="H210" i="79"/>
  <c r="H217" i="79" s="1"/>
  <c r="K32" i="79"/>
  <c r="K35" i="79" s="1"/>
  <c r="K60" i="79"/>
  <c r="K59" i="79"/>
  <c r="X210" i="79"/>
  <c r="X217" i="79" s="1"/>
  <c r="X28" i="71"/>
  <c r="S233" i="79"/>
  <c r="T226" i="79"/>
  <c r="T231" i="79" s="1"/>
  <c r="U226" i="79" s="1"/>
  <c r="U231" i="79" s="1"/>
  <c r="V226" i="79" s="1"/>
  <c r="V231" i="79" s="1"/>
  <c r="W226" i="79" s="1"/>
  <c r="W231" i="79" s="1"/>
  <c r="X226" i="79"/>
  <c r="X231" i="79" s="1"/>
  <c r="P210" i="79"/>
  <c r="P217" i="79" s="1"/>
  <c r="S118" i="79"/>
  <c r="S56" i="79" s="1"/>
  <c r="AC118" i="79"/>
  <c r="AC56" i="79" s="1"/>
  <c r="AC35" i="73" s="1"/>
  <c r="BL80" i="79"/>
  <c r="BL81" i="79" s="1"/>
  <c r="BH73" i="79"/>
  <c r="BH81" i="79"/>
  <c r="BM80" i="79"/>
  <c r="S210" i="79"/>
  <c r="S217" i="79" s="1"/>
  <c r="S28" i="71"/>
  <c r="N210" i="79"/>
  <c r="N217" i="79" s="1"/>
  <c r="N28" i="71"/>
  <c r="BD121" i="79"/>
  <c r="BD120" i="79" s="1"/>
  <c r="BC57" i="79"/>
  <c r="BC121" i="79" s="1"/>
  <c r="BC120" i="79" s="1"/>
  <c r="BN81" i="79"/>
  <c r="BN73" i="79"/>
  <c r="R28" i="79"/>
  <c r="R24" i="79"/>
  <c r="U209" i="79"/>
  <c r="U222" i="79" s="1"/>
  <c r="R209" i="79"/>
  <c r="R222" i="79" s="1"/>
  <c r="W28" i="79"/>
  <c r="W24" i="79"/>
  <c r="W210" i="79" s="1"/>
  <c r="W217" i="79" s="1"/>
  <c r="AI32" i="79"/>
  <c r="AI35" i="79" s="1"/>
  <c r="AI60" i="79"/>
  <c r="AI59" i="79"/>
  <c r="AZ10" i="79"/>
  <c r="BQ239" i="79"/>
  <c r="BK239" i="79"/>
  <c r="BJ239" i="79" s="1"/>
  <c r="BI239" i="79" s="1"/>
  <c r="BH239" i="79" s="1"/>
  <c r="BL41" i="73"/>
  <c r="M24" i="79"/>
  <c r="Q210" i="79" s="1"/>
  <c r="Q217" i="79" s="1"/>
  <c r="M28" i="79"/>
  <c r="Q209" i="79"/>
  <c r="Q222" i="79" s="1"/>
  <c r="BF94" i="79"/>
  <c r="BA93" i="79"/>
  <c r="BA97" i="79" s="1"/>
  <c r="BA98" i="79" s="1"/>
  <c r="I60" i="79"/>
  <c r="I59" i="79"/>
  <c r="I32" i="79"/>
  <c r="I35" i="79" s="1"/>
  <c r="AA60" i="79"/>
  <c r="AA59" i="79"/>
  <c r="AA32" i="79"/>
  <c r="AA35" i="79" s="1"/>
  <c r="Z32" i="79"/>
  <c r="Z35" i="79" s="1"/>
  <c r="Z60" i="79"/>
  <c r="Z59" i="79"/>
  <c r="V209" i="79"/>
  <c r="V222" i="79" s="1"/>
  <c r="N184" i="79"/>
  <c r="N186" i="79" s="1"/>
  <c r="O184" i="79" s="1"/>
  <c r="J186" i="79"/>
  <c r="K184" i="79" s="1"/>
  <c r="K186" i="79" s="1"/>
  <c r="L184" i="79" s="1"/>
  <c r="L186" i="79" s="1"/>
  <c r="M184" i="79" s="1"/>
  <c r="M186" i="79" s="1"/>
  <c r="BD136" i="79"/>
  <c r="BC129" i="79"/>
  <c r="AB28" i="79"/>
  <c r="AB24" i="79"/>
  <c r="AE210" i="79" s="1"/>
  <c r="AE217" i="79" s="1"/>
  <c r="BB115" i="79"/>
  <c r="AL28" i="79"/>
  <c r="AL24" i="79"/>
  <c r="AO210" i="79" s="1"/>
  <c r="AO217" i="79" s="1"/>
  <c r="AP209" i="79"/>
  <c r="AP222" i="79" s="1"/>
  <c r="V60" i="79"/>
  <c r="V59" i="79"/>
  <c r="V32" i="79"/>
  <c r="V35" i="79" s="1"/>
  <c r="AC60" i="79"/>
  <c r="AC59" i="79"/>
  <c r="AC32" i="79"/>
  <c r="AC35" i="79" s="1"/>
  <c r="AX10" i="79"/>
  <c r="BJ81" i="79"/>
  <c r="BO80" i="79"/>
  <c r="BJ73" i="79"/>
  <c r="BC59" i="79"/>
  <c r="AG24" i="79"/>
  <c r="AJ210" i="79" s="1"/>
  <c r="AJ217" i="79" s="1"/>
  <c r="AG28" i="79"/>
  <c r="AD209" i="79"/>
  <c r="AD222" i="79" s="1"/>
  <c r="AR99" i="73"/>
  <c r="G60" i="79"/>
  <c r="G59" i="79"/>
  <c r="G32" i="79"/>
  <c r="G35" i="79" s="1"/>
  <c r="AT209" i="79"/>
  <c r="AT222" i="79" s="1"/>
  <c r="M209" i="79"/>
  <c r="M222" i="79" s="1"/>
  <c r="P209" i="79"/>
  <c r="P222" i="79" s="1"/>
  <c r="AU209" i="79"/>
  <c r="AU222" i="79" s="1"/>
  <c r="AF409" i="80"/>
  <c r="AF408" i="80"/>
  <c r="AF410" i="80" s="1"/>
  <c r="AG422" i="80"/>
  <c r="AG421" i="80"/>
  <c r="AG423" i="80" s="1"/>
  <c r="AB681" i="80"/>
  <c r="AB209" i="80"/>
  <c r="DO41" i="71"/>
  <c r="Q866" i="80"/>
  <c r="Q873" i="80" s="1"/>
  <c r="P866" i="80"/>
  <c r="P873" i="80" s="1"/>
  <c r="DH840" i="80"/>
  <c r="DH842" i="80" s="1"/>
  <c r="DI840" i="80"/>
  <c r="DI842" i="80" s="1"/>
  <c r="DJ840" i="80" s="1"/>
  <c r="DG840" i="80"/>
  <c r="DG842" i="80" s="1"/>
  <c r="DF840" i="80"/>
  <c r="DF842" i="80" s="1"/>
  <c r="AI780" i="80"/>
  <c r="AI768" i="80"/>
  <c r="AI770" i="80" s="1"/>
  <c r="BF541" i="80"/>
  <c r="BF543" i="80" s="1"/>
  <c r="BF542" i="80"/>
  <c r="AA716" i="80"/>
  <c r="AB714" i="80"/>
  <c r="AA214" i="80"/>
  <c r="AB24" i="80"/>
  <c r="AE866" i="80" s="1"/>
  <c r="AE873" i="80" s="1"/>
  <c r="AB28" i="80"/>
  <c r="AE865" i="80"/>
  <c r="AE878" i="80" s="1"/>
  <c r="CI810" i="80"/>
  <c r="BB709" i="80"/>
  <c r="BC709" i="80" s="1"/>
  <c r="AB638" i="80"/>
  <c r="AB204" i="80" s="1"/>
  <c r="AB649" i="80"/>
  <c r="AC646" i="80"/>
  <c r="Z452" i="80"/>
  <c r="Z455" i="80" s="1"/>
  <c r="Z456" i="80" s="1"/>
  <c r="Z451" i="80"/>
  <c r="AZ366" i="80"/>
  <c r="AY369" i="80"/>
  <c r="AY371" i="80" s="1"/>
  <c r="AC337" i="80"/>
  <c r="AC363" i="80"/>
  <c r="AC350" i="80"/>
  <c r="AB272" i="80"/>
  <c r="AB324" i="80"/>
  <c r="AB332" i="80" s="1"/>
  <c r="AB334" i="80" s="1"/>
  <c r="AB451" i="80"/>
  <c r="AB452" i="80"/>
  <c r="AB455" i="80" s="1"/>
  <c r="AE332" i="80"/>
  <c r="Z43" i="80"/>
  <c r="BK721" i="80"/>
  <c r="BL721" i="80" s="1"/>
  <c r="BL719" i="80"/>
  <c r="BM719" i="80"/>
  <c r="Y542" i="80"/>
  <c r="AA321" i="80"/>
  <c r="G37" i="80"/>
  <c r="G43" i="80" s="1"/>
  <c r="G78" i="46" s="1"/>
  <c r="G42" i="80"/>
  <c r="AM37" i="80"/>
  <c r="AM42" i="80"/>
  <c r="S796" i="80"/>
  <c r="S32" i="80"/>
  <c r="S35" i="80" s="1"/>
  <c r="AZ435" i="80"/>
  <c r="AD796" i="80"/>
  <c r="AD32" i="80"/>
  <c r="AD35" i="80" s="1"/>
  <c r="AV854" i="80"/>
  <c r="AV871" i="80"/>
  <c r="AV857" i="80"/>
  <c r="AV872" i="80"/>
  <c r="S839" i="80"/>
  <c r="AC689" i="80"/>
  <c r="AD689" i="80" s="1"/>
  <c r="AB691" i="80"/>
  <c r="AC691" i="80" s="1"/>
  <c r="AB211" i="80"/>
  <c r="Y390" i="80"/>
  <c r="Z382" i="80"/>
  <c r="Z201" i="80" s="1"/>
  <c r="Z205" i="80" s="1"/>
  <c r="Z393" i="80"/>
  <c r="AR643" i="80"/>
  <c r="AR253" i="80"/>
  <c r="AR285" i="80"/>
  <c r="AR298" i="80"/>
  <c r="BX178" i="80"/>
  <c r="BX182" i="80" s="1"/>
  <c r="BL605" i="80"/>
  <c r="BL87" i="80"/>
  <c r="BN753" i="80"/>
  <c r="BN162" i="80" s="1"/>
  <c r="BM753" i="80"/>
  <c r="BM162" i="80" s="1"/>
  <c r="BI715" i="80"/>
  <c r="BH131" i="80"/>
  <c r="BH715" i="80" s="1"/>
  <c r="BA435" i="80"/>
  <c r="BB538" i="80"/>
  <c r="BA849" i="80"/>
  <c r="AN355" i="80"/>
  <c r="AQ355" i="80"/>
  <c r="AH431" i="80"/>
  <c r="AQ32" i="80"/>
  <c r="AQ35" i="80" s="1"/>
  <c r="AQ796" i="80"/>
  <c r="R851" i="80"/>
  <c r="AX505" i="80"/>
  <c r="AH488" i="80"/>
  <c r="AD489" i="80"/>
  <c r="BB432" i="80"/>
  <c r="AX434" i="80"/>
  <c r="AX435" i="80"/>
  <c r="AI761" i="80"/>
  <c r="AN761" i="80"/>
  <c r="BN764" i="80"/>
  <c r="BN14" i="80"/>
  <c r="AD721" i="80"/>
  <c r="AE719" i="80"/>
  <c r="AE527" i="80"/>
  <c r="AE528" i="80"/>
  <c r="AE333" i="80"/>
  <c r="BC338" i="80"/>
  <c r="BC364" i="80"/>
  <c r="BC351" i="80"/>
  <c r="BC299" i="80"/>
  <c r="BC286" i="80"/>
  <c r="BC325" i="80"/>
  <c r="BC312" i="80"/>
  <c r="AC37" i="80"/>
  <c r="AC42" i="80"/>
  <c r="BP681" i="80"/>
  <c r="BQ681" i="80" s="1"/>
  <c r="BQ679" i="80"/>
  <c r="BP209" i="80"/>
  <c r="BQ209" i="80" s="1"/>
  <c r="AI542" i="80"/>
  <c r="AI541" i="80"/>
  <c r="Z509" i="80"/>
  <c r="Z506" i="80"/>
  <c r="Y503" i="80"/>
  <c r="AF435" i="80"/>
  <c r="BB324" i="80"/>
  <c r="BB272" i="80"/>
  <c r="BB363" i="80"/>
  <c r="BB350" i="80"/>
  <c r="BB337" i="80"/>
  <c r="BB256" i="80"/>
  <c r="BI643" i="80"/>
  <c r="BI285" i="80"/>
  <c r="BI253" i="80"/>
  <c r="AW538" i="80"/>
  <c r="AQ866" i="80"/>
  <c r="AQ873" i="80" s="1"/>
  <c r="AP866" i="80"/>
  <c r="AP873" i="80" s="1"/>
  <c r="AB496" i="80"/>
  <c r="AB405" i="80"/>
  <c r="AB406" i="80" s="1"/>
  <c r="AF434" i="80"/>
  <c r="AF436" i="80" s="1"/>
  <c r="BF193" i="46"/>
  <c r="BG193" i="46" s="1"/>
  <c r="BH193" i="46" s="1"/>
  <c r="BI193" i="46" s="1"/>
  <c r="BJ193" i="46" s="1"/>
  <c r="BK193" i="46" s="1"/>
  <c r="BL193" i="46" s="1"/>
  <c r="BM193" i="46" s="1"/>
  <c r="BN193" i="46" s="1"/>
  <c r="BO193" i="46" s="1"/>
  <c r="BP193" i="46" s="1"/>
  <c r="BQ193" i="46" s="1"/>
  <c r="BC853" i="80"/>
  <c r="Y598" i="80"/>
  <c r="Y159" i="80" s="1"/>
  <c r="AM324" i="80"/>
  <c r="AM272" i="80"/>
  <c r="AA431" i="80"/>
  <c r="AA432" i="80" s="1"/>
  <c r="AA434" i="80" s="1"/>
  <c r="AV32" i="80"/>
  <c r="AV35" i="80" s="1"/>
  <c r="AA676" i="80"/>
  <c r="AB674" i="80"/>
  <c r="AA208" i="80"/>
  <c r="AA215" i="80" s="1"/>
  <c r="AA576" i="80"/>
  <c r="AA554" i="80"/>
  <c r="AM418" i="80"/>
  <c r="BX321" i="80"/>
  <c r="AW405" i="80"/>
  <c r="Z263" i="80"/>
  <c r="AR868" i="80"/>
  <c r="AR864" i="80"/>
  <c r="AR43" i="80"/>
  <c r="W871" i="80"/>
  <c r="W854" i="80"/>
  <c r="W857" i="80"/>
  <c r="W872" i="80"/>
  <c r="AB588" i="80"/>
  <c r="AC586" i="80"/>
  <c r="AC585" i="80" s="1"/>
  <c r="AD585" i="80" s="1"/>
  <c r="AE585" i="80" s="1"/>
  <c r="AF585" i="80" s="1"/>
  <c r="AG585" i="80" s="1"/>
  <c r="AE422" i="80"/>
  <c r="X866" i="80"/>
  <c r="X873" i="80" s="1"/>
  <c r="X27" i="71"/>
  <c r="Q37" i="80"/>
  <c r="Q43" i="80" s="1"/>
  <c r="Q42" i="80"/>
  <c r="AE42" i="80"/>
  <c r="AE37" i="80"/>
  <c r="AZ472" i="80"/>
  <c r="AZ475" i="80" s="1"/>
  <c r="AZ471" i="80"/>
  <c r="BN351" i="80"/>
  <c r="BN325" i="80"/>
  <c r="BN364" i="80"/>
  <c r="BN299" i="80"/>
  <c r="BM273" i="80"/>
  <c r="BN338" i="80"/>
  <c r="BN312" i="80"/>
  <c r="BN286" i="80"/>
  <c r="AD358" i="80"/>
  <c r="AW324" i="80"/>
  <c r="AW272" i="80"/>
  <c r="AB454" i="80"/>
  <c r="AB456" i="80" s="1"/>
  <c r="BL538" i="80"/>
  <c r="BH539" i="80"/>
  <c r="AR839" i="80"/>
  <c r="AB711" i="80"/>
  <c r="AC711" i="80" s="1"/>
  <c r="AC709" i="80"/>
  <c r="AD709" i="80" s="1"/>
  <c r="AH468" i="80"/>
  <c r="AD469" i="80"/>
  <c r="AA664" i="80"/>
  <c r="AA474" i="80"/>
  <c r="AA476" i="80" s="1"/>
  <c r="AA527" i="80"/>
  <c r="AA529" i="80" s="1"/>
  <c r="AQ648" i="80"/>
  <c r="AN648" i="80"/>
  <c r="AN649" i="80" s="1"/>
  <c r="AL649" i="80"/>
  <c r="AL651" i="80" s="1"/>
  <c r="AS623" i="80"/>
  <c r="AV623" i="80"/>
  <c r="Z351" i="80"/>
  <c r="Z359" i="80" s="1"/>
  <c r="Z364" i="80"/>
  <c r="Z372" i="80" s="1"/>
  <c r="Z338" i="80"/>
  <c r="Z346" i="80" s="1"/>
  <c r="Z347" i="80" s="1"/>
  <c r="Y273" i="80"/>
  <c r="Z312" i="80"/>
  <c r="Z320" i="80" s="1"/>
  <c r="Z321" i="80" s="1"/>
  <c r="Z286" i="80"/>
  <c r="Z294" i="80" s="1"/>
  <c r="Z281" i="80"/>
  <c r="Z264" i="80" s="1"/>
  <c r="Z299" i="80"/>
  <c r="Z307" i="80" s="1"/>
  <c r="AA639" i="80"/>
  <c r="AA652" i="80"/>
  <c r="AC649" i="80"/>
  <c r="AX465" i="80"/>
  <c r="AS466" i="80"/>
  <c r="AA268" i="80"/>
  <c r="W32" i="80"/>
  <c r="W35" i="80" s="1"/>
  <c r="W796" i="80"/>
  <c r="AK42" i="80"/>
  <c r="AK37" i="80"/>
  <c r="AK43" i="80" s="1"/>
  <c r="AW37" i="80"/>
  <c r="AW42" i="80"/>
  <c r="AP505" i="80"/>
  <c r="AM505" i="80"/>
  <c r="BI324" i="80"/>
  <c r="BI272" i="80"/>
  <c r="AB392" i="80"/>
  <c r="AB393" i="80" s="1"/>
  <c r="AB395" i="80" s="1"/>
  <c r="Z602" i="80"/>
  <c r="Z195" i="80"/>
  <c r="AE291" i="80"/>
  <c r="AF288" i="80"/>
  <c r="AF796" i="80"/>
  <c r="AF32" i="80"/>
  <c r="AF35" i="80" s="1"/>
  <c r="AD334" i="80"/>
  <c r="AH539" i="80"/>
  <c r="AD542" i="80"/>
  <c r="AH542" i="80" s="1"/>
  <c r="AD541" i="80"/>
  <c r="AR431" i="80"/>
  <c r="AA350" i="80"/>
  <c r="AA358" i="80" s="1"/>
  <c r="AA360" i="80" s="1"/>
  <c r="AA363" i="80"/>
  <c r="AA371" i="80" s="1"/>
  <c r="AA373" i="80" s="1"/>
  <c r="AA256" i="80"/>
  <c r="AA225" i="80" s="1"/>
  <c r="AA337" i="80"/>
  <c r="AA345" i="80" s="1"/>
  <c r="AA347" i="80" s="1"/>
  <c r="BM86" i="80"/>
  <c r="BM74" i="80"/>
  <c r="BM78" i="80"/>
  <c r="BM82" i="80"/>
  <c r="AF541" i="80"/>
  <c r="AF543" i="80" s="1"/>
  <c r="L44" i="80"/>
  <c r="L78" i="46"/>
  <c r="U42" i="80"/>
  <c r="U37" i="80"/>
  <c r="BY84" i="73"/>
  <c r="BY50" i="73"/>
  <c r="BY52" i="73" s="1"/>
  <c r="BY63" i="73" s="1"/>
  <c r="BY64" i="73" s="1"/>
  <c r="AE686" i="80"/>
  <c r="AF684" i="80"/>
  <c r="AE210" i="80"/>
  <c r="AU476" i="80"/>
  <c r="AF865" i="80"/>
  <c r="AF878" i="80" s="1"/>
  <c r="T779" i="80"/>
  <c r="U779" i="80"/>
  <c r="AB662" i="80"/>
  <c r="AB665" i="80" s="1"/>
  <c r="AC659" i="80"/>
  <c r="AD659" i="80" s="1"/>
  <c r="Y403" i="80"/>
  <c r="Y406" i="80" s="1"/>
  <c r="Z406" i="80"/>
  <c r="AZ541" i="80"/>
  <c r="AZ543" i="80" s="1"/>
  <c r="AR350" i="80"/>
  <c r="AR363" i="80"/>
  <c r="AR256" i="80"/>
  <c r="BM149" i="80"/>
  <c r="BM150" i="80"/>
  <c r="BM148" i="80"/>
  <c r="BL147" i="80"/>
  <c r="BK147" i="80" s="1"/>
  <c r="BH272" i="80"/>
  <c r="BH324" i="80"/>
  <c r="BH643" i="80"/>
  <c r="BH253" i="80"/>
  <c r="BH285" i="80"/>
  <c r="BN534" i="80"/>
  <c r="BN501" i="80"/>
  <c r="BN481" i="80"/>
  <c r="BN441" i="80"/>
  <c r="BN461" i="80"/>
  <c r="BN427" i="80"/>
  <c r="BN401" i="80"/>
  <c r="BN388" i="80"/>
  <c r="BN414" i="80"/>
  <c r="BN90" i="80"/>
  <c r="BN94" i="80"/>
  <c r="BN89" i="80"/>
  <c r="BN66" i="80"/>
  <c r="BN480" i="80" s="1"/>
  <c r="BN69" i="80"/>
  <c r="BN65" i="80"/>
  <c r="BM51" i="80"/>
  <c r="BN70" i="80"/>
  <c r="AJ78" i="46"/>
  <c r="J780" i="80"/>
  <c r="J768" i="80"/>
  <c r="J770" i="80" s="1"/>
  <c r="BO753" i="80"/>
  <c r="BO162" i="80" s="1"/>
  <c r="AE185" i="80"/>
  <c r="AE495" i="80"/>
  <c r="AE496" i="80" s="1"/>
  <c r="BC524" i="80"/>
  <c r="BB524" i="80"/>
  <c r="AF382" i="80"/>
  <c r="AF201" i="80" s="1"/>
  <c r="AF393" i="80"/>
  <c r="AG390" i="80"/>
  <c r="AF353" i="80"/>
  <c r="AE356" i="80"/>
  <c r="AH643" i="80"/>
  <c r="AH298" i="80"/>
  <c r="AH285" i="80"/>
  <c r="AH253" i="80"/>
  <c r="AB664" i="80"/>
  <c r="AB666" i="80" s="1"/>
  <c r="BB539" i="80"/>
  <c r="AX542" i="80"/>
  <c r="BB542" i="80" s="1"/>
  <c r="AX541" i="80"/>
  <c r="BX84" i="73"/>
  <c r="BX50" i="73"/>
  <c r="BX52" i="73" s="1"/>
  <c r="BX63" i="73" s="1"/>
  <c r="BX64" i="73" s="1"/>
  <c r="AY710" i="80"/>
  <c r="AX711" i="80"/>
  <c r="AE184" i="80"/>
  <c r="AE435" i="80"/>
  <c r="AE436" i="80" s="1"/>
  <c r="BB448" i="80"/>
  <c r="AX449" i="80"/>
  <c r="BG519" i="80"/>
  <c r="AH301" i="80"/>
  <c r="AI301" i="80" s="1"/>
  <c r="AG304" i="80"/>
  <c r="AG307" i="80" s="1"/>
  <c r="AF306" i="80"/>
  <c r="AF308" i="80" s="1"/>
  <c r="Z295" i="80"/>
  <c r="AN43" i="80"/>
  <c r="M866" i="80"/>
  <c r="M873" i="80" s="1"/>
  <c r="AJ761" i="80"/>
  <c r="AO761" i="80"/>
  <c r="BO764" i="80"/>
  <c r="BO14" i="80"/>
  <c r="AL465" i="80"/>
  <c r="AH465" i="80"/>
  <c r="BA452" i="80"/>
  <c r="BA455" i="80" s="1"/>
  <c r="BA456" i="80" s="1"/>
  <c r="BA451" i="80"/>
  <c r="BG79" i="80"/>
  <c r="Z269" i="80"/>
  <c r="Z192" i="80"/>
  <c r="BL618" i="80"/>
  <c r="BL83" i="80"/>
  <c r="Y419" i="80"/>
  <c r="BG144" i="80"/>
  <c r="BG285" i="80" s="1"/>
  <c r="AP796" i="80"/>
  <c r="AP32" i="80"/>
  <c r="AP35" i="80" s="1"/>
  <c r="AR468" i="80"/>
  <c r="AN469" i="80"/>
  <c r="AN471" i="80" s="1"/>
  <c r="AB538" i="80"/>
  <c r="AB539" i="80" s="1"/>
  <c r="AB542" i="80" s="1"/>
  <c r="Z360" i="80"/>
  <c r="AA538" i="80"/>
  <c r="AA539" i="80" s="1"/>
  <c r="AA542" i="80" s="1"/>
  <c r="AL32" i="80"/>
  <c r="AL35" i="80" s="1"/>
  <c r="AL796" i="80"/>
  <c r="AC566" i="80"/>
  <c r="AC571" i="80"/>
  <c r="AB574" i="80"/>
  <c r="AB553" i="80"/>
  <c r="AB202" i="80" s="1"/>
  <c r="AF451" i="80"/>
  <c r="AF452" i="80"/>
  <c r="AF455" i="80" s="1"/>
  <c r="AH418" i="80"/>
  <c r="AD419" i="80"/>
  <c r="AD321" i="80"/>
  <c r="AB761" i="80"/>
  <c r="AC760" i="80"/>
  <c r="AC761" i="80" s="1"/>
  <c r="AG541" i="80"/>
  <c r="AG543" i="80" s="1"/>
  <c r="CC368" i="80"/>
  <c r="CE368" i="80" s="1"/>
  <c r="CF368" i="80" s="1"/>
  <c r="BL350" i="80" s="1"/>
  <c r="BL256" i="80"/>
  <c r="AF422" i="80"/>
  <c r="AF423" i="80" s="1"/>
  <c r="AD696" i="80"/>
  <c r="AE694" i="80"/>
  <c r="AD212" i="80"/>
  <c r="AE562" i="80"/>
  <c r="AF559" i="80"/>
  <c r="AD586" i="80"/>
  <c r="AE583" i="80"/>
  <c r="AA491" i="80"/>
  <c r="AA492" i="80"/>
  <c r="AE421" i="80"/>
  <c r="AE423" i="80" s="1"/>
  <c r="BL499" i="80"/>
  <c r="AB865" i="80"/>
  <c r="AB878" i="80" s="1"/>
  <c r="AO866" i="80"/>
  <c r="AO873" i="80" s="1"/>
  <c r="AW445" i="80"/>
  <c r="AX445" i="80"/>
  <c r="AD373" i="80"/>
  <c r="AU796" i="80"/>
  <c r="AU32" i="80"/>
  <c r="AU35" i="80" s="1"/>
  <c r="O866" i="80"/>
  <c r="O873" i="80" s="1"/>
  <c r="DE842" i="80"/>
  <c r="AA602" i="80"/>
  <c r="AA195" i="80"/>
  <c r="BK539" i="80"/>
  <c r="BL536" i="80"/>
  <c r="BD715" i="80"/>
  <c r="BC131" i="80"/>
  <c r="BC715" i="80" s="1"/>
  <c r="AA418" i="80"/>
  <c r="AA419" i="80" s="1"/>
  <c r="AA421" i="80" s="1"/>
  <c r="AA614" i="80"/>
  <c r="AA597" i="80" s="1"/>
  <c r="AA613" i="80"/>
  <c r="K866" i="80"/>
  <c r="K873" i="80" s="1"/>
  <c r="AM649" i="80"/>
  <c r="AI652" i="80"/>
  <c r="AP471" i="80"/>
  <c r="AP474" i="80"/>
  <c r="AP476" i="80" s="1"/>
  <c r="BL14" i="80"/>
  <c r="AC648" i="80"/>
  <c r="AB343" i="80"/>
  <c r="AB345" i="80" s="1"/>
  <c r="AC340" i="80"/>
  <c r="AD340" i="80" s="1"/>
  <c r="AM643" i="80"/>
  <c r="AM253" i="80"/>
  <c r="AM298" i="80"/>
  <c r="AM285" i="80"/>
  <c r="BB643" i="80"/>
  <c r="BB285" i="80"/>
  <c r="BX313" i="80"/>
  <c r="BZ313" i="80" s="1"/>
  <c r="CA313" i="80" s="1"/>
  <c r="BB253" i="80"/>
  <c r="BZ178" i="80"/>
  <c r="BZ182" i="80" s="1"/>
  <c r="BL500" i="80"/>
  <c r="BP538" i="80"/>
  <c r="BP539" i="80" s="1"/>
  <c r="BP542" i="80" s="1"/>
  <c r="AH483" i="80"/>
  <c r="AI483" i="80" s="1"/>
  <c r="AG489" i="80"/>
  <c r="AG486" i="80"/>
  <c r="AX351" i="80"/>
  <c r="AX325" i="80"/>
  <c r="AX364" i="80"/>
  <c r="AX372" i="80" s="1"/>
  <c r="AX299" i="80"/>
  <c r="AX286" i="80"/>
  <c r="AX338" i="80"/>
  <c r="AX312" i="80"/>
  <c r="AJ303" i="80"/>
  <c r="AO303" i="80" s="1"/>
  <c r="AE304" i="80"/>
  <c r="Y653" i="80"/>
  <c r="Y634" i="80"/>
  <c r="Y636" i="80" s="1"/>
  <c r="Y160" i="80" s="1"/>
  <c r="AG28" i="80"/>
  <c r="AG24" i="80"/>
  <c r="AK866" i="80" s="1"/>
  <c r="AK873" i="80" s="1"/>
  <c r="AK865" i="80"/>
  <c r="AK878" i="80" s="1"/>
  <c r="AB500" i="80"/>
  <c r="AB254" i="80"/>
  <c r="AB222" i="80" s="1"/>
  <c r="AB431" i="80"/>
  <c r="AB432" i="80" s="1"/>
  <c r="AH37" i="80"/>
  <c r="AH42" i="80"/>
  <c r="AJ338" i="80"/>
  <c r="AJ286" i="80"/>
  <c r="AJ364" i="80"/>
  <c r="AJ325" i="80"/>
  <c r="AJ312" i="80"/>
  <c r="AJ351" i="80"/>
  <c r="AJ299" i="80"/>
  <c r="AI273" i="80"/>
  <c r="AD295" i="80"/>
  <c r="AH448" i="80"/>
  <c r="AD449" i="80"/>
  <c r="AW468" i="80"/>
  <c r="AS469" i="80"/>
  <c r="BY285" i="80"/>
  <c r="BY288" i="80" s="1"/>
  <c r="AR272" i="80"/>
  <c r="AR324" i="80"/>
  <c r="AC643" i="80"/>
  <c r="AC285" i="80"/>
  <c r="AC298" i="80"/>
  <c r="K37" i="80"/>
  <c r="K43" i="80" s="1"/>
  <c r="K42" i="80"/>
  <c r="AW337" i="80"/>
  <c r="AW363" i="80"/>
  <c r="AW350" i="80"/>
  <c r="AW256" i="80"/>
  <c r="AG865" i="80"/>
  <c r="AG878" i="80" s="1"/>
  <c r="AV851" i="80"/>
  <c r="AM839" i="80"/>
  <c r="AA665" i="80"/>
  <c r="AC662" i="80"/>
  <c r="AC661" i="80" s="1"/>
  <c r="AC440" i="80"/>
  <c r="AC371" i="80"/>
  <c r="BL387" i="80"/>
  <c r="BL400" i="80"/>
  <c r="BO533" i="80"/>
  <c r="BO479" i="80"/>
  <c r="BO67" i="80"/>
  <c r="BO257" i="80" s="1"/>
  <c r="BO413" i="80"/>
  <c r="BO91" i="80"/>
  <c r="BO656" i="80" s="1"/>
  <c r="BP418" i="80"/>
  <c r="BP753" i="80"/>
  <c r="BP162" i="80" s="1"/>
  <c r="AQ558" i="80"/>
  <c r="AP558" i="80" s="1"/>
  <c r="AO558" i="80" s="1"/>
  <c r="AN558" i="80" s="1"/>
  <c r="AW558" i="80"/>
  <c r="AE395" i="80"/>
  <c r="AE396" i="80"/>
  <c r="AD359" i="80"/>
  <c r="Y508" i="80"/>
  <c r="AB418" i="80"/>
  <c r="AB419" i="80" s="1"/>
  <c r="AB421" i="80" s="1"/>
  <c r="CG800" i="80"/>
  <c r="CG798" i="80"/>
  <c r="CG795" i="80"/>
  <c r="CH809" i="80"/>
  <c r="CG801" i="80"/>
  <c r="CG794" i="80"/>
  <c r="CG804" i="80"/>
  <c r="CG803" i="80"/>
  <c r="CG802" i="80"/>
  <c r="CG799" i="80"/>
  <c r="CG797" i="80"/>
  <c r="CG793" i="80"/>
  <c r="CG796" i="80"/>
  <c r="CG792" i="80"/>
  <c r="AQ582" i="80"/>
  <c r="AP582" i="80" s="1"/>
  <c r="AO582" i="80" s="1"/>
  <c r="AN582" i="80" s="1"/>
  <c r="AW582" i="80"/>
  <c r="AN474" i="80"/>
  <c r="R854" i="80"/>
  <c r="R857" i="80"/>
  <c r="R871" i="80"/>
  <c r="Z555" i="80"/>
  <c r="Z187" i="80"/>
  <c r="Z194" i="80"/>
  <c r="Y541" i="80"/>
  <c r="AZ476" i="80"/>
  <c r="Z308" i="80"/>
  <c r="AK761" i="80"/>
  <c r="AP761" i="80"/>
  <c r="BP764" i="80"/>
  <c r="BP14" i="80"/>
  <c r="AB471" i="80"/>
  <c r="BG539" i="80"/>
  <c r="BC541" i="80"/>
  <c r="BC542" i="80"/>
  <c r="BG542" i="80" s="1"/>
  <c r="AW431" i="80"/>
  <c r="AR418" i="80"/>
  <c r="J43" i="80"/>
  <c r="BH799" i="80"/>
  <c r="AQ661" i="80"/>
  <c r="AN661" i="80"/>
  <c r="AG466" i="80"/>
  <c r="AG472" i="80" s="1"/>
  <c r="AG475" i="80" s="1"/>
  <c r="AM468" i="80"/>
  <c r="AI469" i="80"/>
  <c r="AR254" i="80"/>
  <c r="BX177" i="80"/>
  <c r="BX181" i="80" s="1"/>
  <c r="Z373" i="80"/>
  <c r="BE706" i="80"/>
  <c r="BF704" i="80"/>
  <c r="AF506" i="80"/>
  <c r="AF509" i="80"/>
  <c r="AG503" i="80"/>
  <c r="AD529" i="80"/>
  <c r="AS796" i="80"/>
  <c r="AS32" i="80"/>
  <c r="AS35" i="80" s="1"/>
  <c r="AA452" i="80"/>
  <c r="AA455" i="80" s="1"/>
  <c r="AA451" i="80"/>
  <c r="AA643" i="80"/>
  <c r="AA651" i="80" s="1"/>
  <c r="AA298" i="80"/>
  <c r="AA306" i="80" s="1"/>
  <c r="AA308" i="80" s="1"/>
  <c r="AA253" i="80"/>
  <c r="AA221" i="80" s="1"/>
  <c r="AA285" i="80"/>
  <c r="AA293" i="80" s="1"/>
  <c r="AA295" i="80" s="1"/>
  <c r="AA779" i="80"/>
  <c r="Z215" i="80"/>
  <c r="S761" i="80"/>
  <c r="X761" i="80"/>
  <c r="W851" i="80"/>
  <c r="AR173" i="80"/>
  <c r="BX163" i="80" s="1"/>
  <c r="BX169" i="80" s="1"/>
  <c r="BZ101" i="73"/>
  <c r="Z635" i="80"/>
  <c r="AD562" i="80"/>
  <c r="Z489" i="80"/>
  <c r="Z486" i="80"/>
  <c r="Y483" i="80"/>
  <c r="AA866" i="80"/>
  <c r="AA873" i="80" s="1"/>
  <c r="AB866" i="80"/>
  <c r="AB873" i="80" s="1"/>
  <c r="Y866" i="80"/>
  <c r="Y873" i="80" s="1"/>
  <c r="N868" i="80"/>
  <c r="N864" i="80"/>
  <c r="N43" i="80"/>
  <c r="BA469" i="80"/>
  <c r="BB463" i="80"/>
  <c r="BC463" i="80" s="1"/>
  <c r="AF317" i="80"/>
  <c r="AG314" i="80"/>
  <c r="AH761" i="80"/>
  <c r="BF363" i="80"/>
  <c r="BF350" i="80"/>
  <c r="BE337" i="80"/>
  <c r="BF337" i="80"/>
  <c r="BE363" i="80"/>
  <c r="BE350" i="80"/>
  <c r="AT42" i="80"/>
  <c r="AT37" i="80"/>
  <c r="AT43" i="80" s="1"/>
  <c r="AU779" i="80"/>
  <c r="BO691" i="80"/>
  <c r="BP689" i="80"/>
  <c r="BO211" i="80"/>
  <c r="BJ542" i="80"/>
  <c r="BJ541" i="80"/>
  <c r="AW485" i="80"/>
  <c r="AX485" i="80"/>
  <c r="AH392" i="80"/>
  <c r="AD393" i="80"/>
  <c r="AC519" i="80"/>
  <c r="AA324" i="80"/>
  <c r="AA332" i="80" s="1"/>
  <c r="AA334" i="80" s="1"/>
  <c r="AA272" i="80"/>
  <c r="AA280" i="80" s="1"/>
  <c r="AE410" i="80"/>
  <c r="J866" i="80"/>
  <c r="J873" i="80" s="1"/>
  <c r="BG254" i="80"/>
  <c r="CA177" i="80"/>
  <c r="CA181" i="80" s="1"/>
  <c r="AF706" i="80"/>
  <c r="AG704" i="80"/>
  <c r="M32" i="80"/>
  <c r="M35" i="80" s="1"/>
  <c r="M796" i="80"/>
  <c r="J842" i="80"/>
  <c r="K840" i="80" s="1"/>
  <c r="K842" i="80" s="1"/>
  <c r="L840" i="80" s="1"/>
  <c r="L842" i="80" s="1"/>
  <c r="M840" i="80" s="1"/>
  <c r="M842" i="80" s="1"/>
  <c r="N840" i="80"/>
  <c r="N842" i="80" s="1"/>
  <c r="O840" i="80" s="1"/>
  <c r="AE701" i="80"/>
  <c r="AF699" i="80"/>
  <c r="AE213" i="80"/>
  <c r="Y429" i="80"/>
  <c r="Y432" i="80" s="1"/>
  <c r="Z432" i="80"/>
  <c r="AA281" i="80"/>
  <c r="AA264" i="80" s="1"/>
  <c r="AG327" i="80"/>
  <c r="AF330" i="80"/>
  <c r="BN675" i="80"/>
  <c r="BM127" i="80"/>
  <c r="BM675" i="80" s="1"/>
  <c r="Z615" i="80"/>
  <c r="Z596" i="80"/>
  <c r="Z598" i="80" s="1"/>
  <c r="Z159" i="80" s="1"/>
  <c r="W866" i="80"/>
  <c r="W873" i="80" s="1"/>
  <c r="AL857" i="80"/>
  <c r="AL854" i="80"/>
  <c r="AL871" i="80"/>
  <c r="Y449" i="80"/>
  <c r="Y446" i="80"/>
  <c r="AC275" i="80"/>
  <c r="AB278" i="80"/>
  <c r="AC278" i="80" s="1"/>
  <c r="AB267" i="80"/>
  <c r="AB200" i="80" s="1"/>
  <c r="AC468" i="80"/>
  <c r="Y469" i="80"/>
  <c r="AI42" i="80"/>
  <c r="AI37" i="80"/>
  <c r="AF491" i="80"/>
  <c r="AF492" i="80"/>
  <c r="AD307" i="80"/>
  <c r="Y226" i="80"/>
  <c r="Y163" i="80" s="1"/>
  <c r="AB626" i="80"/>
  <c r="AB613" i="80"/>
  <c r="AQ854" i="80"/>
  <c r="AQ871" i="80"/>
  <c r="AQ857" i="80"/>
  <c r="AQ872" i="80"/>
  <c r="AN610" i="80"/>
  <c r="AQ610" i="80"/>
  <c r="AD306" i="80"/>
  <c r="BB468" i="80"/>
  <c r="AX469" i="80"/>
  <c r="AY184" i="80"/>
  <c r="BG605" i="80"/>
  <c r="BG87" i="80"/>
  <c r="BG400" i="80"/>
  <c r="AA500" i="80"/>
  <c r="AA254" i="80"/>
  <c r="AA222" i="80" s="1"/>
  <c r="AA37" i="80"/>
  <c r="AA43" i="80" s="1"/>
  <c r="AA42" i="80"/>
  <c r="T43" i="80"/>
  <c r="E42" i="80"/>
  <c r="E37" i="80"/>
  <c r="BD272" i="80"/>
  <c r="BD324" i="80"/>
  <c r="BD643" i="80"/>
  <c r="BD253" i="80"/>
  <c r="BD285" i="80"/>
  <c r="O43" i="80"/>
  <c r="S866" i="80"/>
  <c r="S873" i="80" s="1"/>
  <c r="S27" i="71"/>
  <c r="AI651" i="80"/>
  <c r="AO649" i="80"/>
  <c r="AP646" i="80"/>
  <c r="AS329" i="80"/>
  <c r="AV329" i="80"/>
  <c r="AZ434" i="80"/>
  <c r="AZ436" i="80" s="1"/>
  <c r="AG866" i="80"/>
  <c r="AG873" i="80" s="1"/>
  <c r="AF866" i="80"/>
  <c r="AF873" i="80" s="1"/>
  <c r="AD866" i="80"/>
  <c r="AD873" i="80" s="1"/>
  <c r="AD865" i="80"/>
  <c r="AD878" i="80" s="1"/>
  <c r="AV860" i="80"/>
  <c r="AC343" i="80"/>
  <c r="AC342" i="80" s="1"/>
  <c r="AC448" i="80"/>
  <c r="BL519" i="80"/>
  <c r="BO337" i="80"/>
  <c r="BO256" i="80"/>
  <c r="BO440" i="80"/>
  <c r="BO448" i="80" s="1"/>
  <c r="BO460" i="80"/>
  <c r="BO468" i="80" s="1"/>
  <c r="Y522" i="80"/>
  <c r="Y525" i="80" s="1"/>
  <c r="Z525" i="80"/>
  <c r="AG368" i="80"/>
  <c r="AF369" i="80"/>
  <c r="AF372" i="80" s="1"/>
  <c r="AG406" i="80"/>
  <c r="AH403" i="80"/>
  <c r="AI403" i="80" s="1"/>
  <c r="BB392" i="80"/>
  <c r="AX371" i="80"/>
  <c r="BA434" i="80"/>
  <c r="BA436" i="80" s="1"/>
  <c r="P44" i="80"/>
  <c r="P78" i="46"/>
  <c r="BI541" i="80"/>
  <c r="BI543" i="80" s="1"/>
  <c r="AF456" i="80"/>
  <c r="AW839" i="80"/>
  <c r="CF810" i="80"/>
  <c r="CF813" i="80" s="1"/>
  <c r="Z333" i="80"/>
  <c r="Z334" i="80" s="1"/>
  <c r="Y325" i="80"/>
  <c r="Y333" i="80" s="1"/>
  <c r="Y334" i="80" s="1"/>
  <c r="AH508" i="80"/>
  <c r="AD509" i="80"/>
  <c r="BB405" i="80"/>
  <c r="AH324" i="80"/>
  <c r="AH272" i="80"/>
  <c r="AC605" i="80"/>
  <c r="AC87" i="80"/>
  <c r="AD435" i="80"/>
  <c r="AD434" i="80"/>
  <c r="H32" i="80"/>
  <c r="H35" i="80" s="1"/>
  <c r="H796" i="80"/>
  <c r="R872" i="80"/>
  <c r="Z578" i="80"/>
  <c r="Z549" i="80"/>
  <c r="Z551" i="80" s="1"/>
  <c r="Z158" i="80" s="1"/>
  <c r="AW254" i="80"/>
  <c r="BY177" i="80"/>
  <c r="BY181" i="80" s="1"/>
  <c r="AW371" i="80"/>
  <c r="AW373" i="80" s="1"/>
  <c r="AS373" i="80"/>
  <c r="AR538" i="80"/>
  <c r="Z653" i="80"/>
  <c r="Z634" i="80"/>
  <c r="BB431" i="80"/>
  <c r="I42" i="80"/>
  <c r="I37" i="80"/>
  <c r="AL758" i="80"/>
  <c r="AL760" i="80" s="1"/>
  <c r="BM764" i="80"/>
  <c r="BM14" i="80"/>
  <c r="AG522" i="80"/>
  <c r="AF525" i="80"/>
  <c r="BD443" i="80"/>
  <c r="AJ416" i="80"/>
  <c r="AI419" i="80"/>
  <c r="BG538" i="80"/>
  <c r="AK653" i="80"/>
  <c r="AJ539" i="80"/>
  <c r="AK536" i="80"/>
  <c r="AG432" i="80"/>
  <c r="AH429" i="80"/>
  <c r="AI429" i="80" s="1"/>
  <c r="AW392" i="80"/>
  <c r="AB643" i="80"/>
  <c r="AB651" i="80" s="1"/>
  <c r="AB285" i="80"/>
  <c r="AB293" i="80" s="1"/>
  <c r="AB295" i="80" s="1"/>
  <c r="AB298" i="80"/>
  <c r="AB306" i="80" s="1"/>
  <c r="AB308" i="80" s="1"/>
  <c r="AB253" i="80"/>
  <c r="AB221" i="80" s="1"/>
  <c r="AB226" i="80" s="1"/>
  <c r="AB163" i="80" s="1"/>
  <c r="Z422" i="80"/>
  <c r="Z423" i="80" s="1"/>
  <c r="BP686" i="80"/>
  <c r="BQ684" i="80"/>
  <c r="BP210" i="80"/>
  <c r="BQ210" i="80" s="1"/>
  <c r="AE511" i="80"/>
  <c r="AE512" i="80"/>
  <c r="AE515" i="80" s="1"/>
  <c r="AE516" i="80" s="1"/>
  <c r="AO364" i="80"/>
  <c r="AO312" i="80"/>
  <c r="AO299" i="80"/>
  <c r="AO351" i="80"/>
  <c r="AO338" i="80"/>
  <c r="AO325" i="80"/>
  <c r="AN273" i="80"/>
  <c r="AO286" i="80"/>
  <c r="BG387" i="80"/>
  <c r="Y263" i="80"/>
  <c r="AR392" i="80"/>
  <c r="AU866" i="80"/>
  <c r="AU873" i="80" s="1"/>
  <c r="AS866" i="80"/>
  <c r="AS873" i="80" s="1"/>
  <c r="AV866" i="80"/>
  <c r="AV873" i="80" s="1"/>
  <c r="AT866" i="80"/>
  <c r="AT873" i="80" s="1"/>
  <c r="AA405" i="80"/>
  <c r="AA406" i="80" s="1"/>
  <c r="Z723" i="80"/>
  <c r="Z161" i="80" s="1"/>
  <c r="AJ652" i="80"/>
  <c r="AJ653" i="80" s="1"/>
  <c r="AG449" i="80"/>
  <c r="AG446" i="80"/>
  <c r="AH443" i="80"/>
  <c r="AI443" i="80" s="1"/>
  <c r="BD541" i="80"/>
  <c r="BD543" i="80" s="1"/>
  <c r="W860" i="80"/>
  <c r="Z640" i="80"/>
  <c r="Z196" i="80"/>
  <c r="X796" i="80"/>
  <c r="X32" i="80"/>
  <c r="X35" i="80" s="1"/>
  <c r="BL79" i="80"/>
  <c r="BX323" i="80" s="1"/>
  <c r="Y796" i="80"/>
  <c r="Y32" i="80"/>
  <c r="Y35" i="80" s="1"/>
  <c r="AI865" i="80"/>
  <c r="AI878" i="80" s="1"/>
  <c r="R28" i="80"/>
  <c r="R24" i="80"/>
  <c r="V865" i="80"/>
  <c r="V878" i="80" s="1"/>
  <c r="T865" i="80"/>
  <c r="T878" i="80" s="1"/>
  <c r="R865" i="80"/>
  <c r="R878" i="80" s="1"/>
  <c r="U865" i="80"/>
  <c r="U878" i="80" s="1"/>
  <c r="AG761" i="80"/>
  <c r="AB474" i="80"/>
  <c r="AB476" i="80" s="1"/>
  <c r="BG337" i="80"/>
  <c r="BG350" i="80"/>
  <c r="AW173" i="80"/>
  <c r="BY163" i="80" s="1"/>
  <c r="BY169" i="80" s="1"/>
  <c r="CA101" i="73"/>
  <c r="AB611" i="80"/>
  <c r="AB600" i="80"/>
  <c r="AB203" i="80" s="1"/>
  <c r="AC608" i="80"/>
  <c r="AB624" i="80"/>
  <c r="AC621" i="80"/>
  <c r="AD621" i="80" s="1"/>
  <c r="BE429" i="80"/>
  <c r="AH405" i="80"/>
  <c r="AD406" i="80"/>
  <c r="AD181" i="80" s="1"/>
  <c r="AA454" i="80"/>
  <c r="AA392" i="80"/>
  <c r="AA393" i="80" s="1"/>
  <c r="AA182" i="80" s="1"/>
  <c r="AF371" i="80"/>
  <c r="AF373" i="80" s="1"/>
  <c r="AC319" i="80"/>
  <c r="AC681" i="80"/>
  <c r="AJ865" i="80"/>
  <c r="AJ878" i="80" s="1"/>
  <c r="AM248" i="46"/>
  <c r="AM255" i="46" s="1"/>
  <c r="DE23" i="71" s="1"/>
  <c r="AL255" i="46"/>
  <c r="DD23" i="71" s="1"/>
  <c r="AW248" i="46"/>
  <c r="AV255" i="46"/>
  <c r="DN23" i="71" s="1"/>
  <c r="W41" i="46"/>
  <c r="W44" i="46" s="1"/>
  <c r="W115" i="46"/>
  <c r="X171" i="46"/>
  <c r="CP36" i="71"/>
  <c r="O52" i="46"/>
  <c r="O46" i="46"/>
  <c r="Y129" i="46"/>
  <c r="Y132" i="46" s="1"/>
  <c r="Y133" i="46" s="1"/>
  <c r="N115" i="46"/>
  <c r="N65" i="71" s="1"/>
  <c r="N41" i="46"/>
  <c r="N44" i="46" s="1"/>
  <c r="I233" i="46"/>
  <c r="CP41" i="71"/>
  <c r="AT52" i="46"/>
  <c r="AT46" i="46"/>
  <c r="U236" i="46"/>
  <c r="U253" i="46"/>
  <c r="CM21" i="71" s="1"/>
  <c r="U239" i="46"/>
  <c r="AR171" i="46"/>
  <c r="DJ36" i="71"/>
  <c r="AW254" i="46"/>
  <c r="DO22" i="71" s="1"/>
  <c r="AW255" i="46"/>
  <c r="DO23" i="71" s="1"/>
  <c r="AW242" i="46"/>
  <c r="AW241" i="46"/>
  <c r="AW233" i="46"/>
  <c r="AW130" i="46"/>
  <c r="AC233" i="46"/>
  <c r="AP115" i="46"/>
  <c r="AP41" i="46"/>
  <c r="AP44" i="46" s="1"/>
  <c r="AQ41" i="46"/>
  <c r="AQ44" i="46" s="1"/>
  <c r="AQ115" i="46"/>
  <c r="Q233" i="46"/>
  <c r="Z248" i="46"/>
  <c r="Z255" i="46" s="1"/>
  <c r="CR23" i="71" s="1"/>
  <c r="AY194" i="46"/>
  <c r="AZ190" i="46"/>
  <c r="AW171" i="46"/>
  <c r="DO36" i="71"/>
  <c r="Q46" i="46"/>
  <c r="Q52" i="46"/>
  <c r="S129" i="46"/>
  <c r="S132" i="46" s="1"/>
  <c r="S133" i="46" s="1"/>
  <c r="AD52" i="46"/>
  <c r="AD46" i="46"/>
  <c r="F236" i="46"/>
  <c r="F239" i="46"/>
  <c r="F253" i="46"/>
  <c r="AV41" i="46"/>
  <c r="AV44" i="46" s="1"/>
  <c r="AV115" i="46"/>
  <c r="AE52" i="46"/>
  <c r="AE46" i="46"/>
  <c r="CB173" i="46"/>
  <c r="CA175" i="46"/>
  <c r="U171" i="46"/>
  <c r="CM36" i="71"/>
  <c r="AM115" i="46"/>
  <c r="AM65" i="71" s="1"/>
  <c r="AM41" i="46"/>
  <c r="AM44" i="46" s="1"/>
  <c r="I236" i="46"/>
  <c r="I253" i="46"/>
  <c r="CA21" i="71" s="1"/>
  <c r="I239" i="46"/>
  <c r="AN53" i="46"/>
  <c r="T129" i="46"/>
  <c r="T132" i="46" s="1"/>
  <c r="T133" i="46" s="1"/>
  <c r="AD248" i="46"/>
  <c r="AD255" i="46" s="1"/>
  <c r="CV23" i="71" s="1"/>
  <c r="AW71" i="71"/>
  <c r="AW72" i="71" s="1"/>
  <c r="DO18" i="71"/>
  <c r="G52" i="46"/>
  <c r="G46" i="46"/>
  <c r="AP248" i="46"/>
  <c r="AP255" i="46" s="1"/>
  <c r="DH23" i="71" s="1"/>
  <c r="AN248" i="46"/>
  <c r="AN255" i="46" s="1"/>
  <c r="DF23" i="71" s="1"/>
  <c r="AC236" i="46"/>
  <c r="AC253" i="46"/>
  <c r="CU21" i="71" s="1"/>
  <c r="AC239" i="46"/>
  <c r="P52" i="46"/>
  <c r="P46" i="46"/>
  <c r="DR15" i="71"/>
  <c r="Q253" i="46"/>
  <c r="CI21" i="71" s="1"/>
  <c r="Q236" i="46"/>
  <c r="Q239" i="46"/>
  <c r="AA129" i="46"/>
  <c r="AA132" i="46" s="1"/>
  <c r="AA133" i="46" s="1"/>
  <c r="I46" i="46"/>
  <c r="I53" i="46" s="1"/>
  <c r="I67" i="46" s="1"/>
  <c r="I52" i="46"/>
  <c r="BF63" i="46"/>
  <c r="BE64" i="46"/>
  <c r="S236" i="46"/>
  <c r="S239" i="46"/>
  <c r="S253" i="46"/>
  <c r="CK21" i="71" s="1"/>
  <c r="F129" i="46"/>
  <c r="F132" i="46" s="1"/>
  <c r="F133" i="46" s="1"/>
  <c r="AB41" i="46"/>
  <c r="AB44" i="46" s="1"/>
  <c r="AB115" i="46"/>
  <c r="N248" i="46"/>
  <c r="N255" i="46" s="1"/>
  <c r="CF23" i="71" s="1"/>
  <c r="M255" i="46"/>
  <c r="AS46" i="46"/>
  <c r="AS52" i="46"/>
  <c r="F52" i="46"/>
  <c r="F46" i="46"/>
  <c r="Y236" i="46"/>
  <c r="Y239" i="46"/>
  <c r="Y253" i="46"/>
  <c r="CQ21" i="71" s="1"/>
  <c r="AE248" i="46"/>
  <c r="AE255" i="46" s="1"/>
  <c r="CW23" i="71" s="1"/>
  <c r="AC46" i="46"/>
  <c r="AC53" i="46" s="1"/>
  <c r="AC52" i="46"/>
  <c r="Y248" i="46"/>
  <c r="Y255" i="46" s="1"/>
  <c r="CQ23" i="71" s="1"/>
  <c r="AV260" i="46"/>
  <c r="DN28" i="71" s="1"/>
  <c r="AW247" i="46"/>
  <c r="AW260" i="46" s="1"/>
  <c r="DO28" i="71" s="1"/>
  <c r="AH171" i="46"/>
  <c r="CZ36" i="71"/>
  <c r="I242" i="46"/>
  <c r="S171" i="46"/>
  <c r="CK36" i="71"/>
  <c r="T236" i="46"/>
  <c r="T239" i="46"/>
  <c r="T253" i="46"/>
  <c r="CL21" i="71" s="1"/>
  <c r="U129" i="46"/>
  <c r="U132" i="46" s="1"/>
  <c r="U133" i="46" s="1"/>
  <c r="T53" i="46"/>
  <c r="H41" i="46"/>
  <c r="H44" i="46" s="1"/>
  <c r="H115" i="46"/>
  <c r="M46" i="46"/>
  <c r="M52" i="46"/>
  <c r="AL41" i="46"/>
  <c r="AL44" i="46" s="1"/>
  <c r="AL115" i="46"/>
  <c r="AC242" i="46"/>
  <c r="V52" i="46"/>
  <c r="V46" i="46"/>
  <c r="AQ260" i="46"/>
  <c r="DI28" i="71" s="1"/>
  <c r="AR247" i="46"/>
  <c r="AR260" i="46" s="1"/>
  <c r="DJ28" i="71" s="1"/>
  <c r="Y46" i="46"/>
  <c r="Y52" i="46"/>
  <c r="AH248" i="46"/>
  <c r="AH255" i="46" s="1"/>
  <c r="CZ23" i="71" s="1"/>
  <c r="AG255" i="46"/>
  <c r="CY23" i="71" s="1"/>
  <c r="W129" i="46"/>
  <c r="W132" i="46" s="1"/>
  <c r="W133" i="46" s="1"/>
  <c r="BA235" i="46"/>
  <c r="BB215" i="46"/>
  <c r="Q242" i="46"/>
  <c r="AA236" i="46"/>
  <c r="AA239" i="46"/>
  <c r="AA253" i="46"/>
  <c r="CS21" i="71" s="1"/>
  <c r="BE49" i="46"/>
  <c r="BE48" i="46"/>
  <c r="AI52" i="46"/>
  <c r="AI46" i="46"/>
  <c r="R248" i="46"/>
  <c r="T248" i="46"/>
  <c r="T255" i="46" s="1"/>
  <c r="CL23" i="71" s="1"/>
  <c r="S242" i="46"/>
  <c r="AH115" i="46"/>
  <c r="AH65" i="71" s="1"/>
  <c r="AH41" i="46"/>
  <c r="AH44" i="46" s="1"/>
  <c r="J52" i="46"/>
  <c r="J46" i="46"/>
  <c r="N236" i="46"/>
  <c r="N253" i="46"/>
  <c r="CF21" i="71" s="1"/>
  <c r="N239" i="46"/>
  <c r="F242" i="46"/>
  <c r="U46" i="46"/>
  <c r="U52" i="46"/>
  <c r="Z52" i="46"/>
  <c r="Z46" i="46"/>
  <c r="AU115" i="46"/>
  <c r="AU41" i="46"/>
  <c r="AU44" i="46" s="1"/>
  <c r="AM171" i="46"/>
  <c r="DE36" i="71"/>
  <c r="BC50" i="46"/>
  <c r="BC66" i="46"/>
  <c r="BC167" i="46"/>
  <c r="AJ53" i="46"/>
  <c r="Y242" i="46"/>
  <c r="CA41" i="71"/>
  <c r="K52" i="46"/>
  <c r="K46" i="46"/>
  <c r="P246" i="46"/>
  <c r="L53" i="46"/>
  <c r="S52" i="46"/>
  <c r="S46" i="46"/>
  <c r="S53" i="46" s="1"/>
  <c r="I129" i="46"/>
  <c r="I132" i="46" s="1"/>
  <c r="I133" i="46" s="1"/>
  <c r="AW46" i="46"/>
  <c r="AW53" i="46" s="1"/>
  <c r="AW67" i="46" s="1"/>
  <c r="AW52" i="46"/>
  <c r="AR67" i="46"/>
  <c r="AK46" i="46"/>
  <c r="AK52" i="46"/>
  <c r="E46" i="46"/>
  <c r="E52" i="46"/>
  <c r="T233" i="46"/>
  <c r="U233" i="46"/>
  <c r="U254" i="46"/>
  <c r="CM22" i="71" s="1"/>
  <c r="R41" i="46"/>
  <c r="R44" i="46" s="1"/>
  <c r="R115" i="46"/>
  <c r="AC129" i="46"/>
  <c r="AC132" i="46" s="1"/>
  <c r="AC133" i="46" s="1"/>
  <c r="AT248" i="46"/>
  <c r="AT255" i="46" s="1"/>
  <c r="DL23" i="71" s="1"/>
  <c r="AQ248" i="46"/>
  <c r="AO46" i="46"/>
  <c r="AO52" i="46"/>
  <c r="AO248" i="46"/>
  <c r="AO255" i="46" s="1"/>
  <c r="DG23" i="71" s="1"/>
  <c r="H248" i="46"/>
  <c r="N171" i="46"/>
  <c r="CF36" i="71"/>
  <c r="W236" i="46"/>
  <c r="W239" i="46"/>
  <c r="W253" i="46"/>
  <c r="CO21" i="71" s="1"/>
  <c r="W255" i="46"/>
  <c r="CO23" i="71" s="1"/>
  <c r="AI248" i="46"/>
  <c r="AI255" i="46" s="1"/>
  <c r="DA23" i="71" s="1"/>
  <c r="AU248" i="46"/>
  <c r="AU255" i="46" s="1"/>
  <c r="DM23" i="71" s="1"/>
  <c r="AG41" i="46"/>
  <c r="AG44" i="46" s="1"/>
  <c r="AG115" i="46"/>
  <c r="Q129" i="46"/>
  <c r="Q132" i="46" s="1"/>
  <c r="Q133" i="46" s="1"/>
  <c r="AA242" i="46"/>
  <c r="CU41" i="71"/>
  <c r="Z171" i="46"/>
  <c r="CR36" i="71"/>
  <c r="BD49" i="46"/>
  <c r="X67" i="46"/>
  <c r="X54" i="46"/>
  <c r="AS248" i="46"/>
  <c r="AS255" i="46" s="1"/>
  <c r="DK23" i="71" s="1"/>
  <c r="N93" i="46"/>
  <c r="CF40" i="71" s="1"/>
  <c r="CF42" i="71"/>
  <c r="AZ216" i="46"/>
  <c r="AB248" i="46"/>
  <c r="AF52" i="46"/>
  <c r="AF46" i="46"/>
  <c r="S233" i="46"/>
  <c r="BB207" i="46"/>
  <c r="AA52" i="46"/>
  <c r="AA46" i="46"/>
  <c r="N129" i="46"/>
  <c r="N132" i="46" s="1"/>
  <c r="N133" i="46" s="1"/>
  <c r="F233" i="46"/>
  <c r="I171" i="46"/>
  <c r="I175" i="46" s="1"/>
  <c r="J173" i="46" s="1"/>
  <c r="CA36" i="71"/>
  <c r="CF173" i="46"/>
  <c r="CI173" i="46"/>
  <c r="CI175" i="46" s="1"/>
  <c r="CJ173" i="46" s="1"/>
  <c r="CE175" i="46"/>
  <c r="AC70" i="71"/>
  <c r="AC72" i="71" s="1"/>
  <c r="X68" i="71"/>
  <c r="CJ68" i="73"/>
  <c r="BP41" i="97" l="1"/>
  <c r="BQ105" i="80"/>
  <c r="BQ74" i="80" s="1"/>
  <c r="BP39" i="97"/>
  <c r="BN685" i="80"/>
  <c r="BN686" i="80" s="1"/>
  <c r="BM125" i="80"/>
  <c r="BM685" i="80" s="1"/>
  <c r="BM686" i="80" s="1"/>
  <c r="BG74" i="77"/>
  <c r="BC115" i="79"/>
  <c r="BC12" i="79" s="1"/>
  <c r="BH117" i="79"/>
  <c r="BI117" i="79"/>
  <c r="BD115" i="79"/>
  <c r="BD12" i="79" s="1"/>
  <c r="AC431" i="80"/>
  <c r="AC665" i="80"/>
  <c r="AG494" i="80"/>
  <c r="BN488" i="80"/>
  <c r="BQ82" i="80"/>
  <c r="BD124" i="78"/>
  <c r="BI122" i="78"/>
  <c r="BJ124" i="78"/>
  <c r="BO122" i="78"/>
  <c r="BO124" i="78" s="1"/>
  <c r="BC124" i="78"/>
  <c r="BG122" i="78"/>
  <c r="BG124" i="78" s="1"/>
  <c r="BC133" i="78"/>
  <c r="BC10" i="78" s="1"/>
  <c r="BH122" i="78"/>
  <c r="BC87" i="100"/>
  <c r="AX85" i="100"/>
  <c r="AX12" i="100" s="1"/>
  <c r="AY85" i="100"/>
  <c r="AY12" i="100" s="1"/>
  <c r="BD87" i="100"/>
  <c r="BL150" i="98"/>
  <c r="BL153" i="98" s="1"/>
  <c r="BG96" i="46"/>
  <c r="BL181" i="99"/>
  <c r="BL184" i="99" s="1"/>
  <c r="BL150" i="100"/>
  <c r="BL153" i="100" s="1"/>
  <c r="BL56" i="100"/>
  <c r="BQ94" i="73"/>
  <c r="BB435" i="80"/>
  <c r="BP42" i="97"/>
  <c r="BQ117" i="80"/>
  <c r="BK12" i="51"/>
  <c r="BG12" i="51"/>
  <c r="BG15" i="51" s="1"/>
  <c r="BG19" i="51" s="1"/>
  <c r="BG23" i="51" s="1"/>
  <c r="BG24" i="51" s="1"/>
  <c r="BF15" i="51"/>
  <c r="BF19" i="51" s="1"/>
  <c r="BF23" i="51" s="1"/>
  <c r="BF24" i="51" s="1"/>
  <c r="AX43" i="99"/>
  <c r="AX37" i="98"/>
  <c r="BC41" i="77"/>
  <c r="AX37" i="100"/>
  <c r="BC40" i="79"/>
  <c r="BC40" i="51"/>
  <c r="BC43" i="78"/>
  <c r="BC40" i="80"/>
  <c r="BC801" i="80" s="1"/>
  <c r="AV42" i="51"/>
  <c r="AV37" i="51"/>
  <c r="AV43" i="51" s="1"/>
  <c r="AW24" i="51"/>
  <c r="AW28" i="51"/>
  <c r="AW32" i="51" s="1"/>
  <c r="AW35" i="51" s="1"/>
  <c r="CF251" i="59"/>
  <c r="CA256" i="59"/>
  <c r="CA258" i="59" s="1"/>
  <c r="CF94" i="59"/>
  <c r="CA99" i="59"/>
  <c r="CA101" i="59" s="1"/>
  <c r="CD101" i="59"/>
  <c r="AW103" i="46"/>
  <c r="CB101" i="59"/>
  <c r="BV11" i="59"/>
  <c r="BV12" i="59" s="1"/>
  <c r="BF812" i="80"/>
  <c r="BG833" i="80"/>
  <c r="BG837" i="80" s="1"/>
  <c r="BC837" i="80"/>
  <c r="BL833" i="80"/>
  <c r="BL837" i="80" s="1"/>
  <c r="BH837" i="80"/>
  <c r="BE812" i="80"/>
  <c r="CC125" i="59"/>
  <c r="CC131" i="59" s="1"/>
  <c r="CC133" i="59" s="1"/>
  <c r="CE125" i="59"/>
  <c r="CE131" i="59" s="1"/>
  <c r="CE133" i="59" s="1"/>
  <c r="CJ125" i="59"/>
  <c r="CJ131" i="59" s="1"/>
  <c r="CI125" i="59"/>
  <c r="CI131" i="59" s="1"/>
  <c r="CH125" i="59"/>
  <c r="CH131" i="59" s="1"/>
  <c r="CG125" i="59"/>
  <c r="CG131" i="59" s="1"/>
  <c r="CB125" i="59"/>
  <c r="CB131" i="59" s="1"/>
  <c r="CB133" i="59" s="1"/>
  <c r="BC198" i="46"/>
  <c r="BL103" i="46"/>
  <c r="BD198" i="46"/>
  <c r="BG103" i="46"/>
  <c r="BI198" i="46"/>
  <c r="BH198" i="46"/>
  <c r="AG454" i="80"/>
  <c r="Z494" i="80"/>
  <c r="BP85" i="97"/>
  <c r="BW72" i="97" s="1"/>
  <c r="BY72" i="97" s="1"/>
  <c r="BM107" i="80"/>
  <c r="AY23" i="97"/>
  <c r="BA20" i="97"/>
  <c r="BO116" i="80"/>
  <c r="BO81" i="80" s="1"/>
  <c r="BP83" i="97"/>
  <c r="BW70" i="97" s="1"/>
  <c r="BY70" i="97" s="1"/>
  <c r="AY21" i="97"/>
  <c r="BM119" i="80"/>
  <c r="BB24" i="97"/>
  <c r="BP104" i="80"/>
  <c r="BP73" i="80" s="1"/>
  <c r="BB26" i="97"/>
  <c r="BP113" i="80"/>
  <c r="BP93" i="80" s="1"/>
  <c r="AC613" i="80"/>
  <c r="BN107" i="80"/>
  <c r="BN77" i="80" s="1"/>
  <c r="AZ23" i="97"/>
  <c r="BP84" i="97"/>
  <c r="BW71" i="97" s="1"/>
  <c r="BY71" i="97" s="1"/>
  <c r="AY22" i="97"/>
  <c r="BP22" i="97" s="1"/>
  <c r="BB20" i="97"/>
  <c r="BP116" i="80"/>
  <c r="BP81" i="80" s="1"/>
  <c r="BN119" i="80"/>
  <c r="BN85" i="80" s="1"/>
  <c r="AZ21" i="97"/>
  <c r="BP86" i="97"/>
  <c r="BW73" i="97" s="1"/>
  <c r="BY73" i="97" s="1"/>
  <c r="AY24" i="97"/>
  <c r="BM104" i="80"/>
  <c r="BP88" i="97"/>
  <c r="BW75" i="97" s="1"/>
  <c r="BY75" i="97" s="1"/>
  <c r="AY26" i="97"/>
  <c r="BM113" i="80"/>
  <c r="BM93" i="80" s="1"/>
  <c r="AB541" i="80"/>
  <c r="AB543" i="80" s="1"/>
  <c r="BQ108" i="80"/>
  <c r="BA23" i="97"/>
  <c r="BO107" i="80"/>
  <c r="BO77" i="80" s="1"/>
  <c r="BP82" i="97"/>
  <c r="BW69" i="97" s="1"/>
  <c r="BY69" i="97" s="1"/>
  <c r="BM116" i="80"/>
  <c r="AY20" i="97"/>
  <c r="BA21" i="97"/>
  <c r="BO119" i="80"/>
  <c r="BO85" i="80" s="1"/>
  <c r="BN104" i="80"/>
  <c r="BN73" i="80" s="1"/>
  <c r="AZ24" i="97"/>
  <c r="AZ26" i="97"/>
  <c r="BN113" i="80"/>
  <c r="BN93" i="80" s="1"/>
  <c r="BP87" i="97"/>
  <c r="BW74" i="97" s="1"/>
  <c r="BY74" i="97" s="1"/>
  <c r="AY25" i="97"/>
  <c r="BP25" i="97" s="1"/>
  <c r="BP89" i="97"/>
  <c r="BW76" i="97" s="1"/>
  <c r="BY76" i="97" s="1"/>
  <c r="AY27" i="97"/>
  <c r="BP27" i="97" s="1"/>
  <c r="AA395" i="80"/>
  <c r="AC500" i="80"/>
  <c r="BP38" i="97"/>
  <c r="BQ120" i="80"/>
  <c r="BB23" i="97"/>
  <c r="BP107" i="80"/>
  <c r="BP77" i="80" s="1"/>
  <c r="BN116" i="80"/>
  <c r="BN81" i="80" s="1"/>
  <c r="AZ20" i="97"/>
  <c r="BB21" i="97"/>
  <c r="BP119" i="80"/>
  <c r="BP85" i="80" s="1"/>
  <c r="BA24" i="97"/>
  <c r="BO104" i="80"/>
  <c r="BO73" i="80" s="1"/>
  <c r="BA26" i="97"/>
  <c r="BO113" i="80"/>
  <c r="BO93" i="80" s="1"/>
  <c r="EG56" i="71"/>
  <c r="BN198" i="46"/>
  <c r="CK182" i="59"/>
  <c r="CF192" i="59"/>
  <c r="BZ176" i="59"/>
  <c r="BZ10" i="59"/>
  <c r="CA41" i="59"/>
  <c r="BB47" i="100"/>
  <c r="CA247" i="59"/>
  <c r="CA10" i="59" s="1"/>
  <c r="CF235" i="59"/>
  <c r="BQ103" i="46"/>
  <c r="BO198" i="46"/>
  <c r="EH56" i="71"/>
  <c r="CK39" i="59"/>
  <c r="CB10" i="59"/>
  <c r="BY176" i="59"/>
  <c r="BY10" i="59"/>
  <c r="CE10" i="59"/>
  <c r="BB203" i="77"/>
  <c r="BB207" i="77" s="1"/>
  <c r="AY219" i="77"/>
  <c r="AZ219" i="77" s="1"/>
  <c r="BA219" i="77" s="1"/>
  <c r="AY207" i="77"/>
  <c r="BW11" i="59"/>
  <c r="BY11" i="59"/>
  <c r="DZ56" i="71"/>
  <c r="BF198" i="46"/>
  <c r="BG198" i="46" s="1"/>
  <c r="BL164" i="46"/>
  <c r="ED56" i="71" s="1"/>
  <c r="CA319" i="59"/>
  <c r="CA321" i="59" s="1"/>
  <c r="CF131" i="59"/>
  <c r="CF133" i="59" s="1"/>
  <c r="CK125" i="59"/>
  <c r="CI224" i="59"/>
  <c r="CI226" i="59" s="1"/>
  <c r="CE224" i="59"/>
  <c r="CE226" i="59" s="1"/>
  <c r="CH224" i="59"/>
  <c r="CH226" i="59" s="1"/>
  <c r="CD224" i="59"/>
  <c r="CD226" i="59" s="1"/>
  <c r="CF224" i="59"/>
  <c r="CF226" i="59" s="1"/>
  <c r="CG224" i="59"/>
  <c r="CG226" i="59" s="1"/>
  <c r="CC224" i="59"/>
  <c r="CC226" i="59" s="1"/>
  <c r="CJ224" i="59"/>
  <c r="CJ226" i="59" s="1"/>
  <c r="CB224" i="59"/>
  <c r="CB226" i="59" s="1"/>
  <c r="CF90" i="59"/>
  <c r="CK47" i="59"/>
  <c r="EE56" i="71"/>
  <c r="BK198" i="46"/>
  <c r="BL198" i="46" s="1"/>
  <c r="BQ164" i="46"/>
  <c r="EI56" i="71" s="1"/>
  <c r="BL177" i="79"/>
  <c r="BL181" i="79" s="1"/>
  <c r="BI181" i="79"/>
  <c r="CF311" i="59"/>
  <c r="DU56" i="71"/>
  <c r="BG164" i="46"/>
  <c r="DY56" i="71" s="1"/>
  <c r="BA198" i="46"/>
  <c r="BB198" i="46" s="1"/>
  <c r="CF167" i="59"/>
  <c r="CA174" i="59"/>
  <c r="CA176" i="59" s="1"/>
  <c r="AX164" i="46"/>
  <c r="BB103" i="46"/>
  <c r="BX176" i="59"/>
  <c r="BX10" i="59"/>
  <c r="CC10" i="59"/>
  <c r="CA289" i="59"/>
  <c r="CA291" i="59" s="1"/>
  <c r="CF284" i="59"/>
  <c r="BV176" i="59"/>
  <c r="BZ11" i="59"/>
  <c r="CD10" i="59"/>
  <c r="BW176" i="59"/>
  <c r="BW10" i="59"/>
  <c r="CK281" i="59"/>
  <c r="CN265" i="59"/>
  <c r="CN281" i="59" s="1"/>
  <c r="CJ265" i="59"/>
  <c r="CJ281" i="59" s="1"/>
  <c r="CM265" i="59"/>
  <c r="CM281" i="59" s="1"/>
  <c r="CI265" i="59"/>
  <c r="CI281" i="59" s="1"/>
  <c r="CP265" i="59"/>
  <c r="CL265" i="59"/>
  <c r="CL281" i="59" s="1"/>
  <c r="CH265" i="59"/>
  <c r="CH281" i="59" s="1"/>
  <c r="CO265" i="59"/>
  <c r="CO281" i="59" s="1"/>
  <c r="CG265" i="59"/>
  <c r="CG281" i="59" s="1"/>
  <c r="EC56" i="71"/>
  <c r="BJ198" i="46"/>
  <c r="AZ198" i="46"/>
  <c r="DS56" i="71"/>
  <c r="BM198" i="46"/>
  <c r="EF56" i="71"/>
  <c r="BV258" i="59"/>
  <c r="DR56" i="71"/>
  <c r="AY198" i="46"/>
  <c r="DQ56" i="71"/>
  <c r="AX198" i="46"/>
  <c r="DX56" i="71"/>
  <c r="BE198" i="46"/>
  <c r="CF163" i="59"/>
  <c r="CC258" i="59"/>
  <c r="CB258" i="59"/>
  <c r="CE258" i="59"/>
  <c r="CD258" i="59"/>
  <c r="CF31" i="59"/>
  <c r="CK18" i="59"/>
  <c r="AY221" i="78"/>
  <c r="AZ221" i="78" s="1"/>
  <c r="BA221" i="78" s="1"/>
  <c r="BB221" i="78" s="1"/>
  <c r="AY209" i="78"/>
  <c r="BB205" i="78"/>
  <c r="BB209" i="78" s="1"/>
  <c r="BG156" i="100"/>
  <c r="BG160" i="100" s="1"/>
  <c r="CK121" i="59"/>
  <c r="CP107" i="59"/>
  <c r="BQ203" i="77"/>
  <c r="BQ207" i="77" s="1"/>
  <c r="BN207" i="77"/>
  <c r="CF202" i="59"/>
  <c r="CK196" i="59"/>
  <c r="CG196" i="59"/>
  <c r="CG202" i="59" s="1"/>
  <c r="CC196" i="59"/>
  <c r="CC202" i="59" s="1"/>
  <c r="CC204" i="59" s="1"/>
  <c r="CJ196" i="59"/>
  <c r="CJ202" i="59" s="1"/>
  <c r="CB196" i="59"/>
  <c r="CB202" i="59" s="1"/>
  <c r="CB204" i="59" s="1"/>
  <c r="CI196" i="59"/>
  <c r="CI202" i="59" s="1"/>
  <c r="CE196" i="59"/>
  <c r="CE202" i="59" s="1"/>
  <c r="CE204" i="59" s="1"/>
  <c r="CH196" i="59"/>
  <c r="CH202" i="59" s="1"/>
  <c r="CD196" i="59"/>
  <c r="CD202" i="59" s="1"/>
  <c r="CD204" i="59" s="1"/>
  <c r="BX11" i="59"/>
  <c r="CU211" i="59"/>
  <c r="CP216" i="59"/>
  <c r="BO24" i="51"/>
  <c r="BM15" i="51"/>
  <c r="BM19" i="51" s="1"/>
  <c r="BM23" i="51" s="1"/>
  <c r="BH24" i="51"/>
  <c r="BN24" i="51"/>
  <c r="BK109" i="100"/>
  <c r="BI109" i="100"/>
  <c r="BH109" i="100"/>
  <c r="BJ109" i="100"/>
  <c r="AI39" i="100"/>
  <c r="AI34" i="100"/>
  <c r="AV12" i="100"/>
  <c r="AW85" i="100"/>
  <c r="BI130" i="100"/>
  <c r="AQ32" i="100"/>
  <c r="AH56" i="100"/>
  <c r="AM94" i="73"/>
  <c r="AF228" i="100"/>
  <c r="AF235" i="100" s="1"/>
  <c r="P39" i="100"/>
  <c r="P34" i="100"/>
  <c r="P40" i="100" s="1"/>
  <c r="V246" i="100"/>
  <c r="V112" i="100"/>
  <c r="W28" i="100"/>
  <c r="W24" i="100"/>
  <c r="Y227" i="100"/>
  <c r="Y240" i="100" s="1"/>
  <c r="AA227" i="100"/>
  <c r="AA240" i="100" s="1"/>
  <c r="Z227" i="100"/>
  <c r="Z240" i="100" s="1"/>
  <c r="BB159" i="46"/>
  <c r="DT49" i="71" s="1"/>
  <c r="AA34" i="100"/>
  <c r="AA40" i="100" s="1"/>
  <c r="AA39" i="100"/>
  <c r="AL32" i="100"/>
  <c r="AL53" i="100"/>
  <c r="AL54" i="100"/>
  <c r="AN34" i="100"/>
  <c r="AN39" i="100"/>
  <c r="X34" i="100"/>
  <c r="X39" i="100"/>
  <c r="BA105" i="100"/>
  <c r="BA104" i="100" s="1"/>
  <c r="BB104" i="100" s="1"/>
  <c r="AZ104" i="100"/>
  <c r="BC109" i="100"/>
  <c r="BD109" i="100"/>
  <c r="BF109" i="100"/>
  <c r="BE109" i="100"/>
  <c r="BE47" i="100" s="1"/>
  <c r="N39" i="100"/>
  <c r="N34" i="100"/>
  <c r="R39" i="100"/>
  <c r="R34" i="100"/>
  <c r="R40" i="100" s="1"/>
  <c r="N163" i="100"/>
  <c r="N165" i="100" s="1"/>
  <c r="O163" i="100" s="1"/>
  <c r="CP165" i="100"/>
  <c r="AD39" i="100"/>
  <c r="AD34" i="100"/>
  <c r="AN228" i="100"/>
  <c r="AN235" i="100" s="1"/>
  <c r="AP39" i="100"/>
  <c r="AP34" i="100"/>
  <c r="AP40" i="100" s="1"/>
  <c r="AU85" i="46" s="1"/>
  <c r="AJ39" i="100"/>
  <c r="AJ34" i="100"/>
  <c r="AJ40" i="100" s="1"/>
  <c r="AO85" i="46" s="1"/>
  <c r="T34" i="100"/>
  <c r="T39" i="100"/>
  <c r="BJ130" i="100"/>
  <c r="AB32" i="100"/>
  <c r="AB54" i="100"/>
  <c r="AB53" i="100"/>
  <c r="AS247" i="100"/>
  <c r="AW144" i="100"/>
  <c r="AS180" i="100"/>
  <c r="AT180" i="100" s="1"/>
  <c r="AU180" i="100" s="1"/>
  <c r="AV180" i="100" s="1"/>
  <c r="AW180" i="100" s="1"/>
  <c r="O249" i="100"/>
  <c r="P244" i="100" s="1"/>
  <c r="P249" i="100" s="1"/>
  <c r="Q244" i="100" s="1"/>
  <c r="Q249" i="100" s="1"/>
  <c r="R244" i="100" s="1"/>
  <c r="O39" i="100"/>
  <c r="O34" i="100"/>
  <c r="X246" i="100"/>
  <c r="X249" i="100" s="1"/>
  <c r="X112" i="100"/>
  <c r="W246" i="100"/>
  <c r="W112" i="100"/>
  <c r="V54" i="100"/>
  <c r="V53" i="100"/>
  <c r="V32" i="100"/>
  <c r="AF53" i="100"/>
  <c r="AF54" i="100"/>
  <c r="AF32" i="100"/>
  <c r="BB71" i="100"/>
  <c r="BB72" i="100" s="1"/>
  <c r="AX9" i="100"/>
  <c r="BB9" i="100" s="1"/>
  <c r="M39" i="100"/>
  <c r="M34" i="100"/>
  <c r="M40" i="100" s="1"/>
  <c r="AZ153" i="100"/>
  <c r="BB150" i="100"/>
  <c r="BB153" i="100" s="1"/>
  <c r="AM230" i="100"/>
  <c r="AM226" i="100"/>
  <c r="AM40" i="100"/>
  <c r="BH90" i="100"/>
  <c r="BG90" i="100"/>
  <c r="BG91" i="100" s="1"/>
  <c r="BC14" i="100"/>
  <c r="AR230" i="100"/>
  <c r="AR226" i="100"/>
  <c r="AR40" i="100"/>
  <c r="AR41" i="100" s="1"/>
  <c r="Z39" i="100"/>
  <c r="Z34" i="100"/>
  <c r="Z40" i="100" s="1"/>
  <c r="AK39" i="100"/>
  <c r="AK34" i="100"/>
  <c r="AK40" i="100" s="1"/>
  <c r="AP85" i="46" s="1"/>
  <c r="AL228" i="100"/>
  <c r="AL235" i="100" s="1"/>
  <c r="CN163" i="100"/>
  <c r="CN165" i="100" s="1"/>
  <c r="CO163" i="100"/>
  <c r="CO165" i="100" s="1"/>
  <c r="CM165" i="100"/>
  <c r="AO228" i="100"/>
  <c r="AO235" i="100" s="1"/>
  <c r="J39" i="100"/>
  <c r="J34" i="100"/>
  <c r="BG130" i="100"/>
  <c r="AG228" i="100"/>
  <c r="AG235" i="100" s="1"/>
  <c r="I244" i="100"/>
  <c r="J244" i="100"/>
  <c r="J249" i="100" s="1"/>
  <c r="K244" i="100" s="1"/>
  <c r="K249" i="100" s="1"/>
  <c r="L244" i="100" s="1"/>
  <c r="L249" i="100" s="1"/>
  <c r="M244" i="100" s="1"/>
  <c r="M249" i="100" s="1"/>
  <c r="U39" i="100"/>
  <c r="U34" i="100"/>
  <c r="U40" i="100" s="1"/>
  <c r="AO39" i="100"/>
  <c r="AO34" i="100"/>
  <c r="AO40" i="100" s="1"/>
  <c r="AT85" i="46" s="1"/>
  <c r="BI90" i="100"/>
  <c r="BI14" i="100" s="1"/>
  <c r="BD14" i="100"/>
  <c r="U246" i="100"/>
  <c r="U112" i="100"/>
  <c r="T246" i="100"/>
  <c r="T249" i="100" s="1"/>
  <c r="U244" i="100" s="1"/>
  <c r="T112" i="100"/>
  <c r="BC71" i="100"/>
  <c r="BH72" i="100"/>
  <c r="BH71" i="100" s="1"/>
  <c r="AG32" i="100"/>
  <c r="AG54" i="100"/>
  <c r="AG53" i="100"/>
  <c r="BH68" i="100"/>
  <c r="AC236" i="100"/>
  <c r="AC239" i="100"/>
  <c r="AZ198" i="100"/>
  <c r="AV175" i="100"/>
  <c r="AH39" i="100"/>
  <c r="AH34" i="100"/>
  <c r="BA85" i="100"/>
  <c r="BF87" i="100"/>
  <c r="BB87" i="100"/>
  <c r="BB88" i="100" s="1"/>
  <c r="AE54" i="100"/>
  <c r="AE32" i="100"/>
  <c r="AE53" i="100"/>
  <c r="AI228" i="100"/>
  <c r="AI235" i="100" s="1"/>
  <c r="S230" i="100"/>
  <c r="S262" i="100" s="1"/>
  <c r="S226" i="100"/>
  <c r="S40" i="100"/>
  <c r="AW100" i="100"/>
  <c r="Y39" i="100"/>
  <c r="Y34" i="100"/>
  <c r="N251" i="100"/>
  <c r="S252" i="100" s="1"/>
  <c r="I226" i="100"/>
  <c r="I230" i="100"/>
  <c r="I262" i="100" s="1"/>
  <c r="I57" i="100" s="1"/>
  <c r="I40" i="100"/>
  <c r="Q39" i="100"/>
  <c r="Q34" i="100"/>
  <c r="Q40" i="100" s="1"/>
  <c r="AV211" i="100"/>
  <c r="AU190" i="100"/>
  <c r="AB109" i="100"/>
  <c r="AB110" i="100" s="1"/>
  <c r="AA109" i="100"/>
  <c r="AA110" i="100" s="1"/>
  <c r="AH109" i="100"/>
  <c r="Z109" i="100"/>
  <c r="Z110" i="100" s="1"/>
  <c r="Y109" i="100"/>
  <c r="Y110" i="100" s="1"/>
  <c r="AC110" i="100"/>
  <c r="AM33" i="71"/>
  <c r="AV132" i="99"/>
  <c r="AQ38" i="99"/>
  <c r="CR194" i="99"/>
  <c r="CQ196" i="99"/>
  <c r="AD45" i="99"/>
  <c r="AD40" i="99"/>
  <c r="BH102" i="99"/>
  <c r="BL100" i="99"/>
  <c r="BL102" i="99" s="1"/>
  <c r="BH94" i="99"/>
  <c r="AM45" i="99"/>
  <c r="AM40" i="99"/>
  <c r="BJ102" i="99"/>
  <c r="R45" i="99"/>
  <c r="R40" i="99"/>
  <c r="R46" i="99" s="1"/>
  <c r="AP61" i="99"/>
  <c r="AP38" i="99"/>
  <c r="AP62" i="99"/>
  <c r="AL30" i="99"/>
  <c r="AL261" i="99" s="1"/>
  <c r="AL268" i="99" s="1"/>
  <c r="AL34" i="99"/>
  <c r="BG109" i="99"/>
  <c r="BG110" i="99" s="1"/>
  <c r="BC13" i="99"/>
  <c r="BG13" i="99" s="1"/>
  <c r="AC47" i="99"/>
  <c r="N282" i="99"/>
  <c r="X103" i="73"/>
  <c r="M45" i="99"/>
  <c r="M40" i="99"/>
  <c r="M46" i="99" s="1"/>
  <c r="S263" i="99"/>
  <c r="S295" i="99" s="1"/>
  <c r="S65" i="99" s="1"/>
  <c r="X81" i="73" s="1"/>
  <c r="S259" i="99"/>
  <c r="S46" i="99"/>
  <c r="S47" i="99" s="1"/>
  <c r="BF119" i="99"/>
  <c r="BG119" i="99" s="1"/>
  <c r="BA117" i="99"/>
  <c r="BA18" i="99" s="1"/>
  <c r="N272" i="99"/>
  <c r="N269" i="99"/>
  <c r="BD94" i="99"/>
  <c r="AX113" i="99"/>
  <c r="BB79" i="99"/>
  <c r="BB80" i="99" s="1"/>
  <c r="BK102" i="99"/>
  <c r="AN62" i="99"/>
  <c r="AN61" i="99"/>
  <c r="AN38" i="99"/>
  <c r="AN260" i="99"/>
  <c r="AN273" i="99" s="1"/>
  <c r="AX231" i="99"/>
  <c r="CZ194" i="99"/>
  <c r="CZ196" i="99" s="1"/>
  <c r="CV194" i="99"/>
  <c r="BC94" i="99"/>
  <c r="AI45" i="99"/>
  <c r="AI40" i="99"/>
  <c r="AK62" i="99"/>
  <c r="AK61" i="99"/>
  <c r="AK38" i="99"/>
  <c r="X272" i="99"/>
  <c r="X269" i="99"/>
  <c r="Y46" i="99"/>
  <c r="AK261" i="99"/>
  <c r="AK268" i="99" s="1"/>
  <c r="AV208" i="99"/>
  <c r="AC272" i="99"/>
  <c r="AC269" i="99"/>
  <c r="AJ62" i="99"/>
  <c r="AJ61" i="99"/>
  <c r="AJ38" i="99"/>
  <c r="N294" i="99"/>
  <c r="T294" i="99"/>
  <c r="S64" i="99"/>
  <c r="X84" i="73" s="1"/>
  <c r="AV89" i="99"/>
  <c r="AV70" i="99" s="1"/>
  <c r="AZ112" i="99"/>
  <c r="AZ113" i="99" s="1"/>
  <c r="AZ9" i="99"/>
  <c r="BH76" i="99"/>
  <c r="BL74" i="99"/>
  <c r="BL76" i="99" s="1"/>
  <c r="I263" i="99"/>
  <c r="I259" i="99"/>
  <c r="I46" i="99"/>
  <c r="AO61" i="99"/>
  <c r="AO38" i="99"/>
  <c r="AO62" i="99"/>
  <c r="BI94" i="99"/>
  <c r="BI102" i="99"/>
  <c r="T196" i="99"/>
  <c r="U194" i="99" s="1"/>
  <c r="U196" i="99" s="1"/>
  <c r="V194" i="99" s="1"/>
  <c r="V196" i="99" s="1"/>
  <c r="W194" i="99" s="1"/>
  <c r="W196" i="99" s="1"/>
  <c r="X194" i="99"/>
  <c r="X196" i="99" s="1"/>
  <c r="Y194" i="99" s="1"/>
  <c r="BH79" i="99"/>
  <c r="AE40" i="99"/>
  <c r="AE46" i="99" s="1"/>
  <c r="AE45" i="99"/>
  <c r="AO260" i="99"/>
  <c r="AO273" i="99" s="1"/>
  <c r="BB117" i="99"/>
  <c r="AX18" i="99"/>
  <c r="W45" i="99"/>
  <c r="W40" i="99"/>
  <c r="W46" i="99" s="1"/>
  <c r="W47" i="99" s="1"/>
  <c r="BE112" i="99"/>
  <c r="BE113" i="99" s="1"/>
  <c r="BE9" i="99"/>
  <c r="P40" i="99"/>
  <c r="P46" i="99" s="1"/>
  <c r="P47" i="99" s="1"/>
  <c r="P45" i="99"/>
  <c r="J45" i="99"/>
  <c r="J40" i="99"/>
  <c r="BB122" i="99"/>
  <c r="BB123" i="99" s="1"/>
  <c r="BC122" i="99"/>
  <c r="AX20" i="99"/>
  <c r="AT82" i="99"/>
  <c r="AT83" i="99" s="1"/>
  <c r="AT8" i="99"/>
  <c r="AT10" i="99" s="1"/>
  <c r="BJ122" i="99"/>
  <c r="BJ20" i="99" s="1"/>
  <c r="BE20" i="99"/>
  <c r="BK80" i="99"/>
  <c r="BK79" i="99" s="1"/>
  <c r="BK12" i="99" s="1"/>
  <c r="BK14" i="99" s="1"/>
  <c r="BF79" i="99"/>
  <c r="BF12" i="99" s="1"/>
  <c r="BF14" i="99" s="1"/>
  <c r="K40" i="99"/>
  <c r="K46" i="99" s="1"/>
  <c r="K45" i="99"/>
  <c r="AH47" i="99"/>
  <c r="AA40" i="99"/>
  <c r="AA46" i="99" s="1"/>
  <c r="AA47" i="99" s="1"/>
  <c r="AA45" i="99"/>
  <c r="AU144" i="99"/>
  <c r="AG45" i="99"/>
  <c r="AG40" i="99"/>
  <c r="AG46" i="99" s="1"/>
  <c r="AW18" i="99"/>
  <c r="AM282" i="99"/>
  <c r="AR103" i="73" s="1"/>
  <c r="AP260" i="99"/>
  <c r="AP273" i="99" s="1"/>
  <c r="AL260" i="99"/>
  <c r="AL273" i="99" s="1"/>
  <c r="BB119" i="99"/>
  <c r="BB120" i="99" s="1"/>
  <c r="AW137" i="99"/>
  <c r="AX137" i="99" s="1"/>
  <c r="AW154" i="99"/>
  <c r="BC12" i="99"/>
  <c r="Z45" i="99"/>
  <c r="Z40" i="99"/>
  <c r="Z46" i="99" s="1"/>
  <c r="Z47" i="99" s="1"/>
  <c r="T40" i="99"/>
  <c r="T45" i="99"/>
  <c r="AU82" i="99"/>
  <c r="AU83" i="99" s="1"/>
  <c r="AU8" i="99"/>
  <c r="AU10" i="99" s="1"/>
  <c r="AF261" i="99"/>
  <c r="AF268" i="99" s="1"/>
  <c r="BH109" i="99"/>
  <c r="AB61" i="99"/>
  <c r="AB38" i="99"/>
  <c r="AB62" i="99"/>
  <c r="S284" i="99"/>
  <c r="AH272" i="99"/>
  <c r="AH269" i="99"/>
  <c r="AS133" i="99"/>
  <c r="AS19" i="99"/>
  <c r="AS21" i="99" s="1"/>
  <c r="AR259" i="99"/>
  <c r="AR263" i="99"/>
  <c r="AR46" i="99"/>
  <c r="N47" i="99"/>
  <c r="R263" i="99"/>
  <c r="P259" i="99"/>
  <c r="O259" i="99"/>
  <c r="P263" i="99"/>
  <c r="O263" i="99"/>
  <c r="R259" i="99"/>
  <c r="O46" i="99"/>
  <c r="AS82" i="99"/>
  <c r="AS83" i="99" s="1"/>
  <c r="AW70" i="99"/>
  <c r="AW82" i="99" s="1"/>
  <c r="AS8" i="99"/>
  <c r="BJ104" i="99"/>
  <c r="BJ94" i="99" s="1"/>
  <c r="AW117" i="99"/>
  <c r="AX14" i="99"/>
  <c r="BB12" i="99"/>
  <c r="BB14" i="99" s="1"/>
  <c r="Q47" i="99"/>
  <c r="AP261" i="99"/>
  <c r="AP268" i="99" s="1"/>
  <c r="AQ261" i="99"/>
  <c r="AQ268" i="99" s="1"/>
  <c r="AO261" i="99"/>
  <c r="AO268" i="99" s="1"/>
  <c r="AN261" i="99"/>
  <c r="AN268" i="99" s="1"/>
  <c r="BD122" i="99"/>
  <c r="AY20" i="99"/>
  <c r="BD117" i="99"/>
  <c r="BD18" i="99" s="1"/>
  <c r="BI119" i="99"/>
  <c r="BI117" i="99" s="1"/>
  <c r="BI18" i="99" s="1"/>
  <c r="BC117" i="99"/>
  <c r="BH119" i="99"/>
  <c r="AV77" i="98"/>
  <c r="AM58" i="98"/>
  <c r="AR70" i="73"/>
  <c r="AS121" i="98"/>
  <c r="AS19" i="98" s="1"/>
  <c r="AV121" i="98"/>
  <c r="AV19" i="98" s="1"/>
  <c r="AV21" i="98" s="1"/>
  <c r="AU121" i="98"/>
  <c r="AU19" i="98" s="1"/>
  <c r="AU21" i="98" s="1"/>
  <c r="AT121" i="98"/>
  <c r="AT19" i="98" s="1"/>
  <c r="AT21" i="98" s="1"/>
  <c r="AC262" i="98"/>
  <c r="X57" i="98"/>
  <c r="AC73" i="73"/>
  <c r="S58" i="98"/>
  <c r="X70" i="73"/>
  <c r="BD68" i="98"/>
  <c r="BD71" i="98"/>
  <c r="BD9" i="98" s="1"/>
  <c r="AS101" i="98"/>
  <c r="AT109" i="98" s="1"/>
  <c r="AT107" i="98" s="1"/>
  <c r="CO163" i="98"/>
  <c r="CO165" i="98" s="1"/>
  <c r="CN165" i="98"/>
  <c r="M231" i="98"/>
  <c r="BG90" i="98"/>
  <c r="BG91" i="98" s="1"/>
  <c r="BH90" i="98"/>
  <c r="BC14" i="98"/>
  <c r="AS74" i="98"/>
  <c r="AS75" i="98" s="1"/>
  <c r="AS8" i="98"/>
  <c r="AW150" i="98"/>
  <c r="AW153" i="98" s="1"/>
  <c r="X240" i="98"/>
  <c r="X237" i="98"/>
  <c r="AC227" i="98"/>
  <c r="AC231" i="98"/>
  <c r="AC263" i="98" s="1"/>
  <c r="AC40" i="98"/>
  <c r="AC41" i="98" s="1"/>
  <c r="DT39" i="71"/>
  <c r="AG39" i="98"/>
  <c r="AG34" i="98"/>
  <c r="AG40" i="98" s="1"/>
  <c r="AY104" i="98"/>
  <c r="AX103" i="98"/>
  <c r="BJ68" i="98"/>
  <c r="AH227" i="98"/>
  <c r="AH231" i="98"/>
  <c r="AH263" i="98" s="1"/>
  <c r="AH40" i="98"/>
  <c r="AH41" i="98" s="1"/>
  <c r="V24" i="98"/>
  <c r="V28" i="98"/>
  <c r="W228" i="98"/>
  <c r="W241" i="98" s="1"/>
  <c r="V228" i="98"/>
  <c r="V241" i="98" s="1"/>
  <c r="Z228" i="98"/>
  <c r="Z241" i="98" s="1"/>
  <c r="Y228" i="98"/>
  <c r="Y241" i="98" s="1"/>
  <c r="BI90" i="98"/>
  <c r="BI14" i="98" s="1"/>
  <c r="BD14" i="98"/>
  <c r="I231" i="98"/>
  <c r="I263" i="98" s="1"/>
  <c r="I58" i="98" s="1"/>
  <c r="I227" i="98"/>
  <c r="I40" i="98"/>
  <c r="BI66" i="98"/>
  <c r="BL65" i="98"/>
  <c r="BL66" i="98" s="1"/>
  <c r="BL68" i="98" s="1"/>
  <c r="BD87" i="98"/>
  <c r="AY85" i="98"/>
  <c r="AY12" i="98" s="1"/>
  <c r="AQ32" i="98"/>
  <c r="AT74" i="98"/>
  <c r="AT75" i="98" s="1"/>
  <c r="AT8" i="98"/>
  <c r="Y39" i="98"/>
  <c r="Y34" i="98"/>
  <c r="K240" i="98"/>
  <c r="K237" i="98"/>
  <c r="M227" i="98"/>
  <c r="AW85" i="98"/>
  <c r="AS12" i="98"/>
  <c r="AJ39" i="98"/>
  <c r="AJ34" i="98"/>
  <c r="AJ40" i="98" s="1"/>
  <c r="AO83" i="46" s="1"/>
  <c r="AU74" i="98"/>
  <c r="AU75" i="98" s="1"/>
  <c r="AU8" i="98"/>
  <c r="U39" i="98"/>
  <c r="U34" i="98"/>
  <c r="U40" i="98" s="1"/>
  <c r="AB34" i="98"/>
  <c r="AB40" i="98" s="1"/>
  <c r="AB39" i="98"/>
  <c r="X58" i="98"/>
  <c r="AC70" i="73"/>
  <c r="AV111" i="98"/>
  <c r="R39" i="98"/>
  <c r="R34" i="98"/>
  <c r="R40" i="98" s="1"/>
  <c r="AK39" i="98"/>
  <c r="AK34" i="98"/>
  <c r="AK40" i="98" s="1"/>
  <c r="AP83" i="46" s="1"/>
  <c r="AM41" i="98"/>
  <c r="BJ87" i="98"/>
  <c r="BJ85" i="98" s="1"/>
  <c r="BJ12" i="98" s="1"/>
  <c r="BE85" i="98"/>
  <c r="BE12" i="98" s="1"/>
  <c r="BE68" i="98"/>
  <c r="BC71" i="98"/>
  <c r="BH72" i="98"/>
  <c r="BH71" i="98" s="1"/>
  <c r="O231" i="98"/>
  <c r="P231" i="98"/>
  <c r="R227" i="98"/>
  <c r="Q227" i="98"/>
  <c r="R231" i="98"/>
  <c r="Q231" i="98"/>
  <c r="P227" i="98"/>
  <c r="O227" i="98"/>
  <c r="O40" i="98"/>
  <c r="BJ72" i="98"/>
  <c r="BJ71" i="98" s="1"/>
  <c r="BJ9" i="98" s="1"/>
  <c r="BE71" i="98"/>
  <c r="BE9" i="98" s="1"/>
  <c r="AX199" i="98"/>
  <c r="L240" i="98"/>
  <c r="L237" i="98"/>
  <c r="J240" i="98"/>
  <c r="J237" i="98"/>
  <c r="AO39" i="98"/>
  <c r="AO34" i="98"/>
  <c r="AO40" i="98" s="1"/>
  <c r="AT83" i="46" s="1"/>
  <c r="AR252" i="98"/>
  <c r="AR253" i="98" s="1"/>
  <c r="AW245" i="98"/>
  <c r="AS245" i="98"/>
  <c r="AW102" i="73"/>
  <c r="BB14" i="98"/>
  <c r="BK68" i="98"/>
  <c r="CU163" i="98"/>
  <c r="CU165" i="98" s="1"/>
  <c r="CQ163" i="98"/>
  <c r="AI39" i="98"/>
  <c r="AI34" i="98"/>
  <c r="BF72" i="98"/>
  <c r="BA71" i="98"/>
  <c r="BA9" i="98" s="1"/>
  <c r="AX191" i="98"/>
  <c r="AT176" i="98"/>
  <c r="BK87" i="98"/>
  <c r="BK85" i="98" s="1"/>
  <c r="BK12" i="98" s="1"/>
  <c r="BF85" i="98"/>
  <c r="BF12" i="98" s="1"/>
  <c r="AM240" i="98"/>
  <c r="AM237" i="98"/>
  <c r="U231" i="98"/>
  <c r="T231" i="98"/>
  <c r="U227" i="98"/>
  <c r="T227" i="98"/>
  <c r="T40" i="98"/>
  <c r="AS247" i="98"/>
  <c r="AS144" i="98"/>
  <c r="BB71" i="98"/>
  <c r="BB72" i="98" s="1"/>
  <c r="AX9" i="98"/>
  <c r="BB9" i="98" s="1"/>
  <c r="S240" i="98"/>
  <c r="S237" i="98"/>
  <c r="AE231" i="98"/>
  <c r="AF231" i="98"/>
  <c r="AD227" i="98"/>
  <c r="AD231" i="98"/>
  <c r="AG227" i="98"/>
  <c r="AG231" i="98"/>
  <c r="AE227" i="98"/>
  <c r="AF227" i="98"/>
  <c r="AD40" i="98"/>
  <c r="AU99" i="98"/>
  <c r="AL32" i="98"/>
  <c r="AL55" i="98"/>
  <c r="AL54" i="98"/>
  <c r="S253" i="98"/>
  <c r="X253" i="98"/>
  <c r="N227" i="98"/>
  <c r="N231" i="98"/>
  <c r="N263" i="98" s="1"/>
  <c r="N58" i="98" s="1"/>
  <c r="N40" i="98"/>
  <c r="N41" i="98" s="1"/>
  <c r="BB87" i="98"/>
  <c r="BB88" i="98" s="1"/>
  <c r="BC87" i="98"/>
  <c r="AX85" i="98"/>
  <c r="AP39" i="98"/>
  <c r="AP34" i="98"/>
  <c r="AP40" i="98" s="1"/>
  <c r="AU83" i="46" s="1"/>
  <c r="AR231" i="98"/>
  <c r="AR263" i="98" s="1"/>
  <c r="AR58" i="98" s="1"/>
  <c r="AR227" i="98"/>
  <c r="AR40" i="98"/>
  <c r="AR41" i="98" s="1"/>
  <c r="N252" i="98"/>
  <c r="BF68" i="98"/>
  <c r="O165" i="98"/>
  <c r="P163" i="98" s="1"/>
  <c r="P165" i="98" s="1"/>
  <c r="Q163" i="98" s="1"/>
  <c r="Q165" i="98" s="1"/>
  <c r="R163" i="98" s="1"/>
  <c r="R165" i="98" s="1"/>
  <c r="S163" i="98"/>
  <c r="S165" i="98" s="1"/>
  <c r="T163" i="98" s="1"/>
  <c r="AN39" i="98"/>
  <c r="AN34" i="98"/>
  <c r="X41" i="98"/>
  <c r="W32" i="98"/>
  <c r="W55" i="98"/>
  <c r="W54" i="98"/>
  <c r="Z133" i="77"/>
  <c r="Z135" i="77"/>
  <c r="Z136" i="77" s="1"/>
  <c r="BG85" i="77"/>
  <c r="Y29" i="77"/>
  <c r="Y25" i="77"/>
  <c r="AA25" i="77"/>
  <c r="AA29" i="77"/>
  <c r="BP268" i="77"/>
  <c r="BO268" i="77" s="1"/>
  <c r="BN268" i="77" s="1"/>
  <c r="BM268" i="77" s="1"/>
  <c r="BQ63" i="73"/>
  <c r="AY160" i="77"/>
  <c r="AX158" i="77"/>
  <c r="BB219" i="77"/>
  <c r="I250" i="77"/>
  <c r="I247" i="77"/>
  <c r="E44" i="77"/>
  <c r="M239" i="77"/>
  <c r="M246" i="77" s="1"/>
  <c r="O239" i="77"/>
  <c r="O246" i="77" s="1"/>
  <c r="L239" i="77"/>
  <c r="L246" i="77" s="1"/>
  <c r="BP81" i="77"/>
  <c r="BK83" i="77"/>
  <c r="BC20" i="77"/>
  <c r="Q43" i="77"/>
  <c r="Q38" i="77"/>
  <c r="Q44" i="77" s="1"/>
  <c r="AI92" i="77"/>
  <c r="AI10" i="77"/>
  <c r="AI132" i="77" s="1"/>
  <c r="AC133" i="77"/>
  <c r="AC135" i="77"/>
  <c r="AC136" i="77" s="1"/>
  <c r="BD223" i="77"/>
  <c r="BB85" i="77"/>
  <c r="F38" i="77"/>
  <c r="F44" i="77" s="1"/>
  <c r="K45" i="77" s="1"/>
  <c r="F43" i="77"/>
  <c r="BG15" i="77"/>
  <c r="AM92" i="77"/>
  <c r="AM10" i="77"/>
  <c r="AH93" i="77"/>
  <c r="AH95" i="77"/>
  <c r="AH96" i="77" s="1"/>
  <c r="AM210" i="77"/>
  <c r="AM212" i="77" s="1"/>
  <c r="AN210" i="77" s="1"/>
  <c r="AI212" i="77"/>
  <c r="AJ210" i="77" s="1"/>
  <c r="AJ212" i="77" s="1"/>
  <c r="AK210" i="77" s="1"/>
  <c r="AK212" i="77" s="1"/>
  <c r="AL210" i="77" s="1"/>
  <c r="AL212" i="77" s="1"/>
  <c r="R33" i="77"/>
  <c r="R36" i="77" s="1"/>
  <c r="R61" i="77"/>
  <c r="R60" i="77"/>
  <c r="BO85" i="77"/>
  <c r="BO74" i="77" s="1"/>
  <c r="BJ74" i="77"/>
  <c r="Z16" i="77"/>
  <c r="Z18" i="77" s="1"/>
  <c r="CO210" i="77"/>
  <c r="CO212" i="77" s="1"/>
  <c r="CM210" i="77"/>
  <c r="CL212" i="77"/>
  <c r="AA96" i="77"/>
  <c r="AA110" i="77"/>
  <c r="BN123" i="77"/>
  <c r="W24" i="77"/>
  <c r="W22" i="46"/>
  <c r="AB93" i="77"/>
  <c r="AB95" i="77"/>
  <c r="L60" i="77"/>
  <c r="L61" i="77"/>
  <c r="L33" i="77"/>
  <c r="L36" i="77" s="1"/>
  <c r="BF8" i="77"/>
  <c r="AD133" i="77"/>
  <c r="AD135" i="77"/>
  <c r="AD136" i="77" s="1"/>
  <c r="AK92" i="77"/>
  <c r="AP9" i="77"/>
  <c r="AK11" i="77"/>
  <c r="AK10" i="77"/>
  <c r="AK132" i="77" s="1"/>
  <c r="AK16" i="77"/>
  <c r="AK18" i="77" s="1"/>
  <c r="I262" i="77"/>
  <c r="N255" i="77"/>
  <c r="N260" i="77" s="1"/>
  <c r="J255" i="77"/>
  <c r="J260" i="77" s="1"/>
  <c r="K255" i="77" s="1"/>
  <c r="K260" i="77" s="1"/>
  <c r="L255" i="77" s="1"/>
  <c r="L260" i="77" s="1"/>
  <c r="M255" i="77" s="1"/>
  <c r="M260" i="77" s="1"/>
  <c r="P43" i="77"/>
  <c r="P38" i="77"/>
  <c r="P44" i="77" s="1"/>
  <c r="P45" i="77" s="1"/>
  <c r="AH132" i="77"/>
  <c r="BK116" i="77"/>
  <c r="X238" i="77"/>
  <c r="X251" i="77" s="1"/>
  <c r="X29" i="77"/>
  <c r="X25" i="77"/>
  <c r="BM142" i="77"/>
  <c r="BH140" i="77"/>
  <c r="Z11" i="77"/>
  <c r="CU210" i="77"/>
  <c r="CU212" i="77" s="1"/>
  <c r="CQ210" i="77"/>
  <c r="BN125" i="77"/>
  <c r="BN116" i="77" s="1"/>
  <c r="AG160" i="77"/>
  <c r="AF160" i="77"/>
  <c r="BI116" i="77"/>
  <c r="BK85" i="77"/>
  <c r="BP85" i="77" s="1"/>
  <c r="BM83" i="77"/>
  <c r="BQ81" i="77"/>
  <c r="BQ83" i="77" s="1"/>
  <c r="BO123" i="77"/>
  <c r="T43" i="77"/>
  <c r="T38" i="77"/>
  <c r="AD11" i="77"/>
  <c r="BN145" i="77"/>
  <c r="BN15" i="77" s="1"/>
  <c r="BI15" i="77"/>
  <c r="AF133" i="77"/>
  <c r="AF135" i="77"/>
  <c r="AF136" i="77" s="1"/>
  <c r="BL116" i="77"/>
  <c r="BB192" i="77"/>
  <c r="H38" i="77"/>
  <c r="H44" i="77" s="1"/>
  <c r="H43" i="77"/>
  <c r="S241" i="77"/>
  <c r="S237" i="77"/>
  <c r="S44" i="77"/>
  <c r="BL145" i="77"/>
  <c r="BL146" i="77" s="1"/>
  <c r="BM145" i="77"/>
  <c r="BH15" i="77"/>
  <c r="BL15" i="77" s="1"/>
  <c r="AC238" i="77"/>
  <c r="AC251" i="77" s="1"/>
  <c r="AC29" i="77"/>
  <c r="AC25" i="77"/>
  <c r="BQ121" i="77"/>
  <c r="BQ123" i="77" s="1"/>
  <c r="K241" i="77"/>
  <c r="J241" i="77"/>
  <c r="K237" i="77"/>
  <c r="J237" i="77"/>
  <c r="J44" i="77"/>
  <c r="J45" i="77" s="1"/>
  <c r="N241" i="77"/>
  <c r="N237" i="77"/>
  <c r="N44" i="77"/>
  <c r="N45" i="77" s="1"/>
  <c r="M33" i="77"/>
  <c r="M36" i="77" s="1"/>
  <c r="M61" i="77"/>
  <c r="M60" i="77"/>
  <c r="BC13" i="77"/>
  <c r="AE9" i="77"/>
  <c r="Z93" i="77"/>
  <c r="Z95" i="77"/>
  <c r="BK157" i="77"/>
  <c r="BG157" i="77"/>
  <c r="V61" i="77"/>
  <c r="V60" i="77"/>
  <c r="V33" i="77"/>
  <c r="V36" i="77" s="1"/>
  <c r="BH8" i="77"/>
  <c r="Y96" i="77"/>
  <c r="Y110" i="77"/>
  <c r="U238" i="77"/>
  <c r="U251" i="77" s="1"/>
  <c r="U29" i="77"/>
  <c r="U25" i="77"/>
  <c r="V238" i="77"/>
  <c r="V251" i="77" s="1"/>
  <c r="W238" i="77"/>
  <c r="W251" i="77" s="1"/>
  <c r="BD154" i="77"/>
  <c r="BD171" i="77" s="1"/>
  <c r="BD20" i="77" s="1"/>
  <c r="BE161" i="77"/>
  <c r="AD16" i="77"/>
  <c r="AD18" i="77" s="1"/>
  <c r="AD93" i="77"/>
  <c r="AD95" i="77"/>
  <c r="AB10" i="77"/>
  <c r="AF16" i="77"/>
  <c r="AF18" i="77" s="1"/>
  <c r="AF93" i="77"/>
  <c r="AF95" i="77"/>
  <c r="BB8" i="77"/>
  <c r="BA150" i="77"/>
  <c r="BM85" i="77"/>
  <c r="BM74" i="77" s="1"/>
  <c r="AH16" i="77"/>
  <c r="AH18" i="77" s="1"/>
  <c r="AH11" i="77"/>
  <c r="O44" i="77"/>
  <c r="O45" i="77" s="1"/>
  <c r="BE8" i="77"/>
  <c r="BP123" i="77"/>
  <c r="BP116" i="77"/>
  <c r="BN142" i="77"/>
  <c r="BN140" i="77" s="1"/>
  <c r="BN13" i="77" s="1"/>
  <c r="BI140" i="77"/>
  <c r="BI13" i="77" s="1"/>
  <c r="BO125" i="77"/>
  <c r="BO116" i="77" s="1"/>
  <c r="P239" i="77"/>
  <c r="P246" i="77" s="1"/>
  <c r="BE117" i="78"/>
  <c r="H45" i="78"/>
  <c r="H40" i="78"/>
  <c r="H46" i="78" s="1"/>
  <c r="H80" i="46" s="1"/>
  <c r="T45" i="78"/>
  <c r="T40" i="78"/>
  <c r="BP271" i="78"/>
  <c r="BQ64" i="78"/>
  <c r="BQ51" i="73" s="1"/>
  <c r="AX22" i="78"/>
  <c r="AJ26" i="78"/>
  <c r="AJ21" i="46"/>
  <c r="BB141" i="78"/>
  <c r="AX13" i="78"/>
  <c r="O162" i="78"/>
  <c r="P162" i="78"/>
  <c r="BO143" i="78"/>
  <c r="BO141" i="78" s="1"/>
  <c r="BO13" i="78" s="1"/>
  <c r="BJ141" i="78"/>
  <c r="BJ13" i="78" s="1"/>
  <c r="BK202" i="78"/>
  <c r="BK91" i="46"/>
  <c r="EC39" i="71" s="1"/>
  <c r="X45" i="78"/>
  <c r="X40" i="78"/>
  <c r="BI146" i="78"/>
  <c r="BD15" i="78"/>
  <c r="AW16" i="78"/>
  <c r="AW20" i="78" s="1"/>
  <c r="AW11" i="78"/>
  <c r="AR26" i="78"/>
  <c r="AR21" i="46"/>
  <c r="AB97" i="78"/>
  <c r="AB111" i="78"/>
  <c r="BM9" i="78"/>
  <c r="BK84" i="78"/>
  <c r="BP82" i="78"/>
  <c r="BM255" i="78"/>
  <c r="BM200" i="78"/>
  <c r="Q80" i="46"/>
  <c r="N45" i="78"/>
  <c r="N40" i="78"/>
  <c r="BG128" i="78"/>
  <c r="AR134" i="78"/>
  <c r="AR136" i="78"/>
  <c r="AR137" i="78" s="1"/>
  <c r="AM237" i="78"/>
  <c r="AM250" i="78" s="1"/>
  <c r="AM31" i="78"/>
  <c r="AM27" i="78"/>
  <c r="U238" i="78"/>
  <c r="U245" i="78" s="1"/>
  <c r="AF31" i="78"/>
  <c r="AF27" i="78"/>
  <c r="BC126" i="78"/>
  <c r="AX117" i="78"/>
  <c r="AA238" i="78"/>
  <c r="AA245" i="78" s="1"/>
  <c r="AA61" i="78"/>
  <c r="AA62" i="78"/>
  <c r="AA35" i="78"/>
  <c r="AA38" i="78" s="1"/>
  <c r="AS45" i="78"/>
  <c r="AS40" i="78"/>
  <c r="AK134" i="78"/>
  <c r="AK136" i="78"/>
  <c r="AK137" i="78" s="1"/>
  <c r="AH238" i="78"/>
  <c r="AH245" i="78" s="1"/>
  <c r="AH29" i="71"/>
  <c r="CN212" i="78"/>
  <c r="CN214" i="78" s="1"/>
  <c r="CM214" i="78"/>
  <c r="BM96" i="78"/>
  <c r="BG255" i="78"/>
  <c r="AZ8" i="78"/>
  <c r="BN75" i="78"/>
  <c r="BN84" i="78"/>
  <c r="BQ82" i="78"/>
  <c r="AB31" i="78"/>
  <c r="AB27" i="78"/>
  <c r="AB238" i="78" s="1"/>
  <c r="AB245" i="78" s="1"/>
  <c r="AB237" i="78"/>
  <c r="AB250" i="78" s="1"/>
  <c r="Q238" i="78"/>
  <c r="Q245" i="78" s="1"/>
  <c r="AO133" i="78"/>
  <c r="AT10" i="78"/>
  <c r="AT133" i="78" s="1"/>
  <c r="BJ271" i="78"/>
  <c r="BK64" i="78"/>
  <c r="AZ175" i="78"/>
  <c r="AY174" i="78"/>
  <c r="AY22" i="78" s="1"/>
  <c r="AO93" i="78"/>
  <c r="AO11" i="78"/>
  <c r="AT9" i="78"/>
  <c r="AV9" i="78" s="1"/>
  <c r="AO16" i="78"/>
  <c r="AO20" i="78" s="1"/>
  <c r="BO146" i="78"/>
  <c r="BO15" i="78" s="1"/>
  <c r="BJ15" i="78"/>
  <c r="V45" i="78"/>
  <c r="V40" i="78"/>
  <c r="V46" i="78" s="1"/>
  <c r="O214" i="78"/>
  <c r="P212" i="78" s="1"/>
  <c r="P214" i="78" s="1"/>
  <c r="Q212" i="78" s="1"/>
  <c r="Q214" i="78" s="1"/>
  <c r="R212" i="78" s="1"/>
  <c r="R214" i="78" s="1"/>
  <c r="S212" i="78"/>
  <c r="S214" i="78" s="1"/>
  <c r="T212" i="78" s="1"/>
  <c r="K45" i="78"/>
  <c r="K40" i="78"/>
  <c r="AK96" i="78"/>
  <c r="AK94" i="78"/>
  <c r="BF202" i="78"/>
  <c r="BF91" i="46"/>
  <c r="DX39" i="71" s="1"/>
  <c r="AY8" i="78"/>
  <c r="BO255" i="78"/>
  <c r="BO200" i="78"/>
  <c r="H236" i="78"/>
  <c r="H240" i="78"/>
  <c r="E46" i="78"/>
  <c r="E80" i="46" s="1"/>
  <c r="E68" i="46" s="1"/>
  <c r="BD202" i="78"/>
  <c r="BD91" i="46"/>
  <c r="DV39" i="71" s="1"/>
  <c r="P45" i="78"/>
  <c r="P40" i="78"/>
  <c r="AG26" i="78"/>
  <c r="AG21" i="46"/>
  <c r="AX256" i="78"/>
  <c r="AX153" i="78"/>
  <c r="AX158" i="78"/>
  <c r="AX14" i="78" s="1"/>
  <c r="AD238" i="78"/>
  <c r="AD245" i="78" s="1"/>
  <c r="AF97" i="78"/>
  <c r="AF111" i="78"/>
  <c r="BB152" i="78"/>
  <c r="O80" i="46"/>
  <c r="BL200" i="78"/>
  <c r="BL202" i="78" s="1"/>
  <c r="BH202" i="78"/>
  <c r="BH91" i="46"/>
  <c r="AI237" i="78"/>
  <c r="AI250" i="78" s="1"/>
  <c r="AJ237" i="78"/>
  <c r="AJ250" i="78" s="1"/>
  <c r="AI31" i="78"/>
  <c r="AI27" i="78"/>
  <c r="AL94" i="78"/>
  <c r="AL96" i="78"/>
  <c r="Z45" i="78"/>
  <c r="Z40" i="78"/>
  <c r="Z46" i="78" s="1"/>
  <c r="AJ134" i="78"/>
  <c r="AJ136" i="78"/>
  <c r="AJ137" i="78" s="1"/>
  <c r="BG143" i="78"/>
  <c r="BG144" i="78" s="1"/>
  <c r="BC141" i="78"/>
  <c r="BH143" i="78"/>
  <c r="BE202" i="78"/>
  <c r="BE91" i="46"/>
  <c r="DW39" i="71" s="1"/>
  <c r="BJ202" i="78"/>
  <c r="BJ91" i="46"/>
  <c r="EB39" i="71" s="1"/>
  <c r="AQ9" i="78"/>
  <c r="L45" i="78"/>
  <c r="L40" i="78"/>
  <c r="L46" i="78" s="1"/>
  <c r="AN45" i="78"/>
  <c r="AN40" i="78"/>
  <c r="AK26" i="78"/>
  <c r="AK21" i="46"/>
  <c r="BD117" i="78"/>
  <c r="BP255" i="78"/>
  <c r="BP200" i="78"/>
  <c r="I273" i="78"/>
  <c r="I66" i="78" s="1"/>
  <c r="I272" i="78"/>
  <c r="I65" i="78" s="1"/>
  <c r="BH146" i="78"/>
  <c r="BG146" i="78"/>
  <c r="BG147" i="78" s="1"/>
  <c r="BC15" i="78"/>
  <c r="BG15" i="78" s="1"/>
  <c r="AV10" i="78"/>
  <c r="AE31" i="78"/>
  <c r="AE27" i="78"/>
  <c r="AF238" i="78" s="1"/>
  <c r="AF245" i="78" s="1"/>
  <c r="O238" i="78"/>
  <c r="O245" i="78" s="1"/>
  <c r="AC45" i="78"/>
  <c r="AC40" i="78"/>
  <c r="J45" i="78"/>
  <c r="J40" i="78"/>
  <c r="W35" i="78"/>
  <c r="W38" i="78" s="1"/>
  <c r="W62" i="78"/>
  <c r="W61" i="78"/>
  <c r="BI202" i="78"/>
  <c r="BI91" i="46"/>
  <c r="EA39" i="71" s="1"/>
  <c r="Y238" i="78"/>
  <c r="Y245" i="78" s="1"/>
  <c r="U162" i="78"/>
  <c r="T162" i="78"/>
  <c r="BD271" i="78"/>
  <c r="BE64" i="78"/>
  <c r="AZ162" i="78"/>
  <c r="S45" i="78"/>
  <c r="S40" i="78"/>
  <c r="AD62" i="78"/>
  <c r="AD35" i="78"/>
  <c r="AD38" i="78" s="1"/>
  <c r="AD61" i="78"/>
  <c r="AE237" i="78"/>
  <c r="AE250" i="78" s="1"/>
  <c r="U45" i="78"/>
  <c r="U40" i="78"/>
  <c r="CR212" i="78"/>
  <c r="CU212" i="78"/>
  <c r="CU214" i="78" s="1"/>
  <c r="CV212" i="78" s="1"/>
  <c r="CT212" i="78"/>
  <c r="CT214" i="78" s="1"/>
  <c r="CQ214" i="78"/>
  <c r="BL255" i="78"/>
  <c r="AX14" i="46"/>
  <c r="N261" i="78"/>
  <c r="S254" i="78"/>
  <c r="S259" i="78" s="1"/>
  <c r="O254" i="78"/>
  <c r="O259" i="78" s="1"/>
  <c r="P254" i="78" s="1"/>
  <c r="P259" i="78" s="1"/>
  <c r="Q254" i="78" s="1"/>
  <c r="Q259" i="78" s="1"/>
  <c r="R254" i="78" s="1"/>
  <c r="R259" i="78" s="1"/>
  <c r="BK56" i="78"/>
  <c r="BK128" i="78" s="1"/>
  <c r="BJ56" i="78"/>
  <c r="BJ128" i="78" s="1"/>
  <c r="BJ126" i="78" s="1"/>
  <c r="BH56" i="78"/>
  <c r="BH128" i="78" s="1"/>
  <c r="BL128" i="78" s="1"/>
  <c r="BI56" i="78"/>
  <c r="BI128" i="78" s="1"/>
  <c r="BI126" i="78" s="1"/>
  <c r="BQ56" i="78"/>
  <c r="AJ94" i="78"/>
  <c r="AJ96" i="78"/>
  <c r="BK86" i="78"/>
  <c r="BP86" i="78" s="1"/>
  <c r="BK126" i="78"/>
  <c r="BF117" i="78"/>
  <c r="F162" i="78"/>
  <c r="E162" i="78"/>
  <c r="W238" i="78"/>
  <c r="W245" i="78" s="1"/>
  <c r="AR94" i="78"/>
  <c r="AR96" i="78"/>
  <c r="AR97" i="78" s="1"/>
  <c r="M62" i="78"/>
  <c r="M35" i="78"/>
  <c r="M38" i="78" s="1"/>
  <c r="M61" i="78"/>
  <c r="AP93" i="78"/>
  <c r="AP11" i="78"/>
  <c r="AU9" i="78"/>
  <c r="AP16" i="78"/>
  <c r="AP20" i="78" s="1"/>
  <c r="BD156" i="78"/>
  <c r="BE163" i="78"/>
  <c r="BH9" i="78"/>
  <c r="BF75" i="78"/>
  <c r="R35" i="78"/>
  <c r="R38" i="78" s="1"/>
  <c r="R61" i="78"/>
  <c r="R62" i="78"/>
  <c r="BN255" i="78"/>
  <c r="BN200" i="78"/>
  <c r="I249" i="78"/>
  <c r="I246" i="78"/>
  <c r="BC225" i="78"/>
  <c r="AQ10" i="78"/>
  <c r="AQ133" i="78" s="1"/>
  <c r="BK143" i="78"/>
  <c r="BF141" i="78"/>
  <c r="BF13" i="78" s="1"/>
  <c r="AI97" i="78"/>
  <c r="AI111" i="78"/>
  <c r="AN97" i="78"/>
  <c r="AG94" i="78"/>
  <c r="AG96" i="78"/>
  <c r="AP133" i="78"/>
  <c r="AU10" i="78"/>
  <c r="AU133" i="78" s="1"/>
  <c r="AE97" i="78"/>
  <c r="AE111" i="78"/>
  <c r="BD141" i="78"/>
  <c r="BD13" i="78" s="1"/>
  <c r="BI143" i="78"/>
  <c r="AG237" i="78"/>
  <c r="AG250" i="78" s="1"/>
  <c r="AH62" i="78"/>
  <c r="AH61" i="78"/>
  <c r="AH35" i="78"/>
  <c r="AH38" i="78" s="1"/>
  <c r="BH96" i="78"/>
  <c r="BH97" i="78" s="1"/>
  <c r="BG200" i="78"/>
  <c r="BG202" i="78" s="1"/>
  <c r="BC202" i="78"/>
  <c r="BC91" i="46"/>
  <c r="BL82" i="78"/>
  <c r="BL84" i="78" s="1"/>
  <c r="Y45" i="78"/>
  <c r="Y40" i="78"/>
  <c r="AX271" i="78"/>
  <c r="AX64" i="78" s="1"/>
  <c r="AY64" i="78"/>
  <c r="AL26" i="78"/>
  <c r="AL21" i="46"/>
  <c r="BO81" i="79"/>
  <c r="V42" i="79"/>
  <c r="V37" i="79"/>
  <c r="V43" i="79" s="1"/>
  <c r="AB32" i="79"/>
  <c r="AB35" i="79" s="1"/>
  <c r="AB60" i="79"/>
  <c r="AB59" i="79"/>
  <c r="O186" i="79"/>
  <c r="P184" i="79" s="1"/>
  <c r="P186" i="79" s="1"/>
  <c r="Q184" i="79" s="1"/>
  <c r="Q186" i="79" s="1"/>
  <c r="R184" i="79" s="1"/>
  <c r="R186" i="79" s="1"/>
  <c r="S184" i="79"/>
  <c r="S186" i="79" s="1"/>
  <c r="T184" i="79" s="1"/>
  <c r="Z42" i="79"/>
  <c r="Z37" i="79"/>
  <c r="Z43" i="79" s="1"/>
  <c r="I37" i="79"/>
  <c r="I42" i="79"/>
  <c r="BF93" i="79"/>
  <c r="BK94" i="79"/>
  <c r="U210" i="79"/>
  <c r="U217" i="79" s="1"/>
  <c r="R210" i="79"/>
  <c r="R217" i="79" s="1"/>
  <c r="BG120" i="79"/>
  <c r="BG121" i="79" s="1"/>
  <c r="BH120" i="79"/>
  <c r="BC14" i="79"/>
  <c r="BB83" i="79"/>
  <c r="BF115" i="79"/>
  <c r="BF12" i="79" s="1"/>
  <c r="BK117" i="79"/>
  <c r="AK210" i="79"/>
  <c r="AK217" i="79" s="1"/>
  <c r="BC10" i="79"/>
  <c r="AA210" i="79"/>
  <c r="AA217" i="79" s="1"/>
  <c r="O210" i="79"/>
  <c r="O217" i="79" s="1"/>
  <c r="AW234" i="79"/>
  <c r="AW99" i="73"/>
  <c r="AD42" i="79"/>
  <c r="AD37" i="79"/>
  <c r="AE42" i="79"/>
  <c r="AE37" i="79"/>
  <c r="AE43" i="79" s="1"/>
  <c r="BH9" i="79"/>
  <c r="BB125" i="79"/>
  <c r="AO42" i="79"/>
  <c r="AO37" i="79"/>
  <c r="AO43" i="79" s="1"/>
  <c r="AH79" i="46"/>
  <c r="AF210" i="79"/>
  <c r="AF217" i="79" s="1"/>
  <c r="AK42" i="79"/>
  <c r="AK37" i="79"/>
  <c r="AK43" i="79" s="1"/>
  <c r="AP210" i="79"/>
  <c r="AP217" i="79" s="1"/>
  <c r="E135" i="79"/>
  <c r="F135" i="79"/>
  <c r="CR184" i="79"/>
  <c r="CU184" i="79"/>
  <c r="CU186" i="79" s="1"/>
  <c r="CV184" i="79" s="1"/>
  <c r="CQ186" i="79"/>
  <c r="BO83" i="79"/>
  <c r="BO73" i="79" s="1"/>
  <c r="AS43" i="79"/>
  <c r="BD10" i="79"/>
  <c r="H32" i="79"/>
  <c r="H35" i="79" s="1"/>
  <c r="H60" i="79"/>
  <c r="H59" i="79"/>
  <c r="G42" i="79"/>
  <c r="G37" i="79"/>
  <c r="AC42" i="79"/>
  <c r="AC37" i="79"/>
  <c r="AL32" i="79"/>
  <c r="AL35" i="79" s="1"/>
  <c r="AL60" i="79"/>
  <c r="AL59" i="79"/>
  <c r="AA42" i="79"/>
  <c r="AA37" i="79"/>
  <c r="AA43" i="79" s="1"/>
  <c r="W32" i="79"/>
  <c r="W35" i="79" s="1"/>
  <c r="W60" i="79"/>
  <c r="W59" i="79"/>
  <c r="R32" i="79"/>
  <c r="R35" i="79" s="1"/>
  <c r="R60" i="79"/>
  <c r="R59" i="79"/>
  <c r="BI120" i="79"/>
  <c r="BD14" i="79"/>
  <c r="BD14" i="46" s="1"/>
  <c r="BM81" i="79"/>
  <c r="K42" i="79"/>
  <c r="K37" i="79"/>
  <c r="J44" i="79"/>
  <c r="J79" i="46"/>
  <c r="AU210" i="79"/>
  <c r="AU217" i="79" s="1"/>
  <c r="AT210" i="79"/>
  <c r="AT217" i="79" s="1"/>
  <c r="AS210" i="79"/>
  <c r="AS217" i="79" s="1"/>
  <c r="BM93" i="79"/>
  <c r="BD197" i="79"/>
  <c r="AL210" i="79"/>
  <c r="AL217" i="79" s="1"/>
  <c r="O44" i="79"/>
  <c r="O79" i="46"/>
  <c r="O68" i="46" s="1"/>
  <c r="AX19" i="79"/>
  <c r="AB210" i="79"/>
  <c r="AB217" i="79" s="1"/>
  <c r="BE97" i="79"/>
  <c r="BE98" i="79" s="1"/>
  <c r="BE8" i="79"/>
  <c r="T42" i="79"/>
  <c r="T37" i="79"/>
  <c r="AN43" i="79"/>
  <c r="AH218" i="79"/>
  <c r="AH221" i="79"/>
  <c r="BG12" i="79"/>
  <c r="AG210" i="79"/>
  <c r="AG217" i="79" s="1"/>
  <c r="BO93" i="79"/>
  <c r="BO9" i="79" s="1"/>
  <c r="T210" i="79"/>
  <c r="T217" i="79" s="1"/>
  <c r="AU42" i="79"/>
  <c r="AU37" i="79"/>
  <c r="AU43" i="79" s="1"/>
  <c r="BO120" i="79"/>
  <c r="BO14" i="79" s="1"/>
  <c r="BJ14" i="79"/>
  <c r="BJ14" i="46" s="1"/>
  <c r="L42" i="79"/>
  <c r="L37" i="79"/>
  <c r="BM83" i="79"/>
  <c r="BM73" i="79" s="1"/>
  <c r="BO14" i="46"/>
  <c r="BE136" i="79"/>
  <c r="BD129" i="79"/>
  <c r="M32" i="79"/>
  <c r="M35" i="79" s="1"/>
  <c r="M60" i="79"/>
  <c r="M59" i="79"/>
  <c r="BP239" i="79"/>
  <c r="BO239" i="79" s="1"/>
  <c r="BN239" i="79" s="1"/>
  <c r="BM239" i="79" s="1"/>
  <c r="BQ41" i="73"/>
  <c r="BN8" i="79"/>
  <c r="BN97" i="79"/>
  <c r="BN98" i="79" s="1"/>
  <c r="X233" i="79"/>
  <c r="Y226" i="79"/>
  <c r="Y231" i="79" s="1"/>
  <c r="Z226" i="79" s="1"/>
  <c r="Z231" i="79" s="1"/>
  <c r="AA226" i="79" s="1"/>
  <c r="AA231" i="79" s="1"/>
  <c r="AB226" i="79" s="1"/>
  <c r="AB231" i="79" s="1"/>
  <c r="AC226" i="79"/>
  <c r="AC231" i="79" s="1"/>
  <c r="AQ32" i="79"/>
  <c r="AQ35" i="79" s="1"/>
  <c r="AQ60" i="79"/>
  <c r="AQ59" i="79"/>
  <c r="BF97" i="79"/>
  <c r="BF98" i="79" s="1"/>
  <c r="BF8" i="79"/>
  <c r="AI210" i="79"/>
  <c r="AI217" i="79" s="1"/>
  <c r="BJ115" i="79"/>
  <c r="BJ12" i="79" s="1"/>
  <c r="BO117" i="79"/>
  <c r="BO115" i="79" s="1"/>
  <c r="BO12" i="79" s="1"/>
  <c r="BG73" i="79"/>
  <c r="AZ146" i="79"/>
  <c r="BA146" i="79" s="1"/>
  <c r="BA145" i="79" s="1"/>
  <c r="AY145" i="79"/>
  <c r="AY19" i="79" s="1"/>
  <c r="Y210" i="79"/>
  <c r="Y217" i="79" s="1"/>
  <c r="M210" i="79"/>
  <c r="M217" i="79" s="1"/>
  <c r="K135" i="79"/>
  <c r="J135" i="79"/>
  <c r="AT42" i="79"/>
  <c r="AT37" i="79"/>
  <c r="AT43" i="79" s="1"/>
  <c r="Q79" i="46"/>
  <c r="Q68" i="46" s="1"/>
  <c r="BI10" i="79"/>
  <c r="BG115" i="79"/>
  <c r="AD210" i="79"/>
  <c r="AD217" i="79" s="1"/>
  <c r="P79" i="46"/>
  <c r="V210" i="79"/>
  <c r="V217" i="79" s="1"/>
  <c r="N42" i="79"/>
  <c r="N37" i="79"/>
  <c r="S42" i="79"/>
  <c r="S37" i="79"/>
  <c r="AX133" i="79"/>
  <c r="AY135" i="79"/>
  <c r="X42" i="79"/>
  <c r="X37" i="79"/>
  <c r="AN210" i="79"/>
  <c r="AN217" i="79" s="1"/>
  <c r="BG117" i="79"/>
  <c r="BG118" i="79" s="1"/>
  <c r="AG32" i="79"/>
  <c r="AG35" i="79" s="1"/>
  <c r="AG60" i="79"/>
  <c r="AG59" i="79"/>
  <c r="BJ97" i="79"/>
  <c r="BJ98" i="79" s="1"/>
  <c r="BJ8" i="79"/>
  <c r="BA9" i="79"/>
  <c r="BB9" i="79" s="1"/>
  <c r="BB10" i="79" s="1"/>
  <c r="BB93" i="79"/>
  <c r="BB94" i="79" s="1"/>
  <c r="AI42" i="79"/>
  <c r="AI37" i="79"/>
  <c r="BH97" i="79"/>
  <c r="BH98" i="79" s="1"/>
  <c r="BH8" i="79"/>
  <c r="AV32" i="79"/>
  <c r="AV35" i="79" s="1"/>
  <c r="BB12" i="79"/>
  <c r="AM42" i="79"/>
  <c r="AM37" i="79"/>
  <c r="BK81" i="79"/>
  <c r="BP80" i="79"/>
  <c r="BQ80" i="79" s="1"/>
  <c r="BQ81" i="79" s="1"/>
  <c r="Z210" i="79"/>
  <c r="Z217" i="79" s="1"/>
  <c r="AQ210" i="79"/>
  <c r="AQ217" i="79" s="1"/>
  <c r="AF42" i="79"/>
  <c r="AF37" i="79"/>
  <c r="AF43" i="79" s="1"/>
  <c r="AJ42" i="79"/>
  <c r="AJ37" i="79"/>
  <c r="AJ43" i="79" s="1"/>
  <c r="Y42" i="79"/>
  <c r="Y37" i="79"/>
  <c r="AW212" i="79"/>
  <c r="AW208" i="79"/>
  <c r="AW43" i="79"/>
  <c r="BB193" i="79"/>
  <c r="BK83" i="79"/>
  <c r="U44" i="79"/>
  <c r="U79" i="46"/>
  <c r="CN184" i="79"/>
  <c r="CM186" i="79"/>
  <c r="AR212" i="79"/>
  <c r="AR208" i="79"/>
  <c r="AR43" i="79"/>
  <c r="AC268" i="80"/>
  <c r="AC277" i="80"/>
  <c r="AC345" i="80"/>
  <c r="AB627" i="80"/>
  <c r="AC627" i="80" s="1"/>
  <c r="AC624" i="80"/>
  <c r="AC623" i="80" s="1"/>
  <c r="R32" i="80"/>
  <c r="R35" i="80" s="1"/>
  <c r="R796" i="80"/>
  <c r="AJ542" i="80"/>
  <c r="AJ541" i="80"/>
  <c r="AG525" i="80"/>
  <c r="AH522" i="80"/>
  <c r="AI522" i="80" s="1"/>
  <c r="I868" i="80"/>
  <c r="I864" i="80"/>
  <c r="I43" i="80"/>
  <c r="I78" i="46" s="1"/>
  <c r="I10" i="71" s="1"/>
  <c r="AI653" i="80"/>
  <c r="AM651" i="80"/>
  <c r="E43" i="80"/>
  <c r="E78" i="46" s="1"/>
  <c r="BB469" i="80"/>
  <c r="AI43" i="80"/>
  <c r="AC267" i="80"/>
  <c r="AD275" i="80"/>
  <c r="AC449" i="80"/>
  <c r="Y452" i="80"/>
  <c r="Y451" i="80"/>
  <c r="AC451" i="80" s="1"/>
  <c r="AF183" i="80"/>
  <c r="AF333" i="80"/>
  <c r="AC432" i="80"/>
  <c r="Y435" i="80"/>
  <c r="Y434" i="80"/>
  <c r="S840" i="80"/>
  <c r="S842" i="80" s="1"/>
  <c r="T840" i="80" s="1"/>
  <c r="O842" i="80"/>
  <c r="P840" i="80" s="1"/>
  <c r="P842" i="80" s="1"/>
  <c r="Q840" i="80" s="1"/>
  <c r="Q842" i="80" s="1"/>
  <c r="R840" i="80" s="1"/>
  <c r="R842" i="80" s="1"/>
  <c r="AG706" i="80"/>
  <c r="AH706" i="80" s="1"/>
  <c r="AH704" i="80"/>
  <c r="AI704" i="80" s="1"/>
  <c r="AA282" i="80"/>
  <c r="AA263" i="80"/>
  <c r="AA265" i="80" s="1"/>
  <c r="AA156" i="80" s="1"/>
  <c r="AD564" i="80"/>
  <c r="AA653" i="80"/>
  <c r="AA634" i="80"/>
  <c r="AF514" i="80"/>
  <c r="AS661" i="80"/>
  <c r="AV661" i="80"/>
  <c r="BB558" i="80"/>
  <c r="AV558" i="80"/>
  <c r="AU558" i="80" s="1"/>
  <c r="AT558" i="80" s="1"/>
  <c r="AS558" i="80" s="1"/>
  <c r="BO538" i="80"/>
  <c r="BO539" i="80" s="1"/>
  <c r="BO542" i="80" s="1"/>
  <c r="AI338" i="80"/>
  <c r="AI351" i="80"/>
  <c r="AI299" i="80"/>
  <c r="AI364" i="80"/>
  <c r="AI325" i="80"/>
  <c r="AI312" i="80"/>
  <c r="AI286" i="80"/>
  <c r="AB184" i="80"/>
  <c r="AB435" i="80"/>
  <c r="AC651" i="80"/>
  <c r="AI489" i="80"/>
  <c r="AI486" i="80"/>
  <c r="AJ483" i="80"/>
  <c r="AA422" i="80"/>
  <c r="AU42" i="80"/>
  <c r="AU37" i="80"/>
  <c r="AU43" i="80" s="1"/>
  <c r="AC405" i="80"/>
  <c r="AF562" i="80"/>
  <c r="AG559" i="80"/>
  <c r="AD571" i="80"/>
  <c r="AC553" i="80"/>
  <c r="AL37" i="80"/>
  <c r="AL42" i="80"/>
  <c r="AN472" i="80"/>
  <c r="AR469" i="80"/>
  <c r="BL254" i="80"/>
  <c r="CB177" i="80"/>
  <c r="CB181" i="80" s="1"/>
  <c r="AQ465" i="80"/>
  <c r="AM465" i="80"/>
  <c r="AL466" i="80"/>
  <c r="AI304" i="80"/>
  <c r="AJ301" i="80"/>
  <c r="BB449" i="80"/>
  <c r="AG353" i="80"/>
  <c r="AF356" i="80"/>
  <c r="BN459" i="80"/>
  <c r="BN439" i="80"/>
  <c r="BN426" i="80"/>
  <c r="BN95" i="80"/>
  <c r="BN255" i="80" s="1"/>
  <c r="BQ149" i="80"/>
  <c r="BL149" i="80"/>
  <c r="AD662" i="80"/>
  <c r="AE659" i="80"/>
  <c r="AH541" i="80"/>
  <c r="AH543" i="80" s="1"/>
  <c r="AD543" i="80"/>
  <c r="AC306" i="80"/>
  <c r="AW868" i="80"/>
  <c r="AW864" i="80"/>
  <c r="AW43" i="80"/>
  <c r="BC465" i="80"/>
  <c r="AX466" i="80"/>
  <c r="AX471" i="80" s="1"/>
  <c r="AN652" i="80"/>
  <c r="AN651" i="80"/>
  <c r="AH486" i="80"/>
  <c r="AR78" i="46"/>
  <c r="AR10" i="71" s="1"/>
  <c r="AR8" i="73" s="1"/>
  <c r="Z265" i="80"/>
  <c r="Z156" i="80" s="1"/>
  <c r="AV42" i="80"/>
  <c r="AV37" i="80"/>
  <c r="AV43" i="80" s="1"/>
  <c r="Z514" i="80"/>
  <c r="AE721" i="80"/>
  <c r="AF719" i="80"/>
  <c r="BC505" i="80"/>
  <c r="BL272" i="80"/>
  <c r="BL324" i="80"/>
  <c r="AD691" i="80"/>
  <c r="AE689" i="80"/>
  <c r="AD211" i="80"/>
  <c r="S42" i="80"/>
  <c r="S37" i="80"/>
  <c r="BN508" i="80"/>
  <c r="BM721" i="80"/>
  <c r="BN719" i="80"/>
  <c r="Z78" i="46"/>
  <c r="AC293" i="80"/>
  <c r="AY372" i="80"/>
  <c r="AA456" i="80"/>
  <c r="BF429" i="80"/>
  <c r="AC600" i="80"/>
  <c r="AD608" i="80"/>
  <c r="AG452" i="80"/>
  <c r="AG455" i="80" s="1"/>
  <c r="AG456" i="80" s="1"/>
  <c r="AG451" i="80"/>
  <c r="AB634" i="80"/>
  <c r="AI432" i="80"/>
  <c r="AJ429" i="80"/>
  <c r="BE443" i="80"/>
  <c r="BD446" i="80"/>
  <c r="BQ14" i="80"/>
  <c r="AD511" i="80"/>
  <c r="AD512" i="80"/>
  <c r="AD188" i="80" s="1"/>
  <c r="AD236" i="80" s="1"/>
  <c r="AD514" i="80"/>
  <c r="AI368" i="80"/>
  <c r="AG369" i="80"/>
  <c r="AP649" i="80"/>
  <c r="AQ646" i="80"/>
  <c r="AR648" i="80"/>
  <c r="BG324" i="80"/>
  <c r="BG272" i="80"/>
  <c r="AB596" i="80"/>
  <c r="AG330" i="80"/>
  <c r="AH327" i="80"/>
  <c r="AI327" i="80" s="1"/>
  <c r="BC485" i="80"/>
  <c r="BB485" i="80"/>
  <c r="AT44" i="80"/>
  <c r="AT78" i="46"/>
  <c r="N44" i="80"/>
  <c r="N78" i="46"/>
  <c r="N10" i="71" s="1"/>
  <c r="Y486" i="80"/>
  <c r="Y489" i="80"/>
  <c r="BG704" i="80"/>
  <c r="BH704" i="80" s="1"/>
  <c r="BF706" i="80"/>
  <c r="AH369" i="80"/>
  <c r="BG541" i="80"/>
  <c r="BG543" i="80" s="1"/>
  <c r="BC543" i="80"/>
  <c r="CG808" i="80"/>
  <c r="CG811" i="80" s="1"/>
  <c r="AE379" i="80"/>
  <c r="BO418" i="80"/>
  <c r="K44" i="80"/>
  <c r="K78" i="46"/>
  <c r="AS472" i="80"/>
  <c r="AW469" i="80"/>
  <c r="AG32" i="80"/>
  <c r="AG35" i="80" s="1"/>
  <c r="AG796" i="80"/>
  <c r="BP541" i="80"/>
  <c r="BP543" i="80" s="1"/>
  <c r="AE340" i="80"/>
  <c r="AD343" i="80"/>
  <c r="AA423" i="80"/>
  <c r="AE586" i="80"/>
  <c r="AE588" i="80" s="1"/>
  <c r="AE590" i="80" s="1"/>
  <c r="AF583" i="80"/>
  <c r="AE564" i="80"/>
  <c r="AH419" i="80"/>
  <c r="AD422" i="80"/>
  <c r="AH422" i="80" s="1"/>
  <c r="AD421" i="80"/>
  <c r="AZ710" i="80"/>
  <c r="AY711" i="80"/>
  <c r="BB541" i="80"/>
  <c r="BB543" i="80" s="1"/>
  <c r="AX543" i="80"/>
  <c r="AG393" i="80"/>
  <c r="AH390" i="80"/>
  <c r="AG382" i="80"/>
  <c r="AG201" i="80" s="1"/>
  <c r="BH524" i="80"/>
  <c r="BG524" i="80"/>
  <c r="K779" i="80"/>
  <c r="J779" i="80"/>
  <c r="BM534" i="80"/>
  <c r="BM501" i="80"/>
  <c r="BM461" i="80"/>
  <c r="BM481" i="80"/>
  <c r="BM441" i="80"/>
  <c r="BM414" i="80"/>
  <c r="BM427" i="80"/>
  <c r="BM401" i="80"/>
  <c r="BM388" i="80"/>
  <c r="BM69" i="80"/>
  <c r="BM90" i="80"/>
  <c r="BQ90" i="80" s="1"/>
  <c r="BM94" i="80"/>
  <c r="BM89" i="80"/>
  <c r="BM70" i="80"/>
  <c r="BQ70" i="80" s="1"/>
  <c r="BM65" i="80"/>
  <c r="BM66" i="80"/>
  <c r="BK148" i="80"/>
  <c r="BJ147" i="80"/>
  <c r="BK149" i="80"/>
  <c r="BK150" i="80"/>
  <c r="Z181" i="80"/>
  <c r="Z409" i="80"/>
  <c r="Z408" i="80"/>
  <c r="BM606" i="80"/>
  <c r="BQ86" i="80"/>
  <c r="BQ606" i="80" s="1"/>
  <c r="AF42" i="80"/>
  <c r="AF37" i="80"/>
  <c r="AF43" i="80" s="1"/>
  <c r="AG288" i="80"/>
  <c r="AF291" i="80"/>
  <c r="AB396" i="80"/>
  <c r="AK78" i="46"/>
  <c r="W37" i="80"/>
  <c r="W42" i="80"/>
  <c r="AC639" i="80"/>
  <c r="Y364" i="80"/>
  <c r="Y372" i="80" s="1"/>
  <c r="Y312" i="80"/>
  <c r="Y320" i="80" s="1"/>
  <c r="Y299" i="80"/>
  <c r="Y307" i="80" s="1"/>
  <c r="Y351" i="80"/>
  <c r="Y359" i="80" s="1"/>
  <c r="Y338" i="80"/>
  <c r="Y346" i="80" s="1"/>
  <c r="Y286" i="80"/>
  <c r="Y294" i="80" s="1"/>
  <c r="Y281" i="80"/>
  <c r="BA623" i="80"/>
  <c r="AX623" i="80"/>
  <c r="AS648" i="80"/>
  <c r="AV648" i="80"/>
  <c r="AE709" i="80"/>
  <c r="AD711" i="80"/>
  <c r="BL539" i="80"/>
  <c r="BH542" i="80"/>
  <c r="BH541" i="80"/>
  <c r="Q78" i="46"/>
  <c r="Q44" i="80"/>
  <c r="V44" i="80"/>
  <c r="AR877" i="80"/>
  <c r="AR874" i="80"/>
  <c r="Z282" i="80"/>
  <c r="AH446" i="80"/>
  <c r="AB676" i="80"/>
  <c r="AC674" i="80"/>
  <c r="AD674" i="80" s="1"/>
  <c r="AB208" i="80"/>
  <c r="Z511" i="80"/>
  <c r="Z512" i="80"/>
  <c r="AC868" i="80"/>
  <c r="AC864" i="80"/>
  <c r="AC43" i="80"/>
  <c r="AD492" i="80"/>
  <c r="AH489" i="80"/>
  <c r="AD491" i="80"/>
  <c r="AD494" i="80"/>
  <c r="BQ162" i="80"/>
  <c r="Y393" i="80"/>
  <c r="Y382" i="80"/>
  <c r="Y201" i="80" s="1"/>
  <c r="Y205" i="80" s="1"/>
  <c r="BD709" i="80"/>
  <c r="AJ866" i="80"/>
  <c r="AJ873" i="80" s="1"/>
  <c r="Y42" i="80"/>
  <c r="Y37" i="80"/>
  <c r="X42" i="80"/>
  <c r="X37" i="80"/>
  <c r="AA181" i="80"/>
  <c r="AA409" i="80"/>
  <c r="AN338" i="80"/>
  <c r="AN286" i="80"/>
  <c r="AN364" i="80"/>
  <c r="AN299" i="80"/>
  <c r="AN351" i="80"/>
  <c r="AN325" i="80"/>
  <c r="AN312" i="80"/>
  <c r="AG184" i="80"/>
  <c r="AG435" i="80"/>
  <c r="AH435" i="80" s="1"/>
  <c r="AG434" i="80"/>
  <c r="AI422" i="80"/>
  <c r="AI421" i="80"/>
  <c r="H37" i="80"/>
  <c r="H868" i="80" s="1"/>
  <c r="H42" i="80"/>
  <c r="AH432" i="80"/>
  <c r="AI406" i="80"/>
  <c r="AJ403" i="80"/>
  <c r="Z528" i="80"/>
  <c r="Z527" i="80"/>
  <c r="AO652" i="80"/>
  <c r="T44" i="80"/>
  <c r="T78" i="46"/>
  <c r="AD308" i="80"/>
  <c r="AB628" i="80"/>
  <c r="AC626" i="80"/>
  <c r="AC628" i="80" s="1"/>
  <c r="AF185" i="80"/>
  <c r="AF495" i="80"/>
  <c r="AF496" i="80" s="1"/>
  <c r="Y472" i="80"/>
  <c r="AC469" i="80"/>
  <c r="Y474" i="80"/>
  <c r="Y471" i="80"/>
  <c r="AC471" i="80" s="1"/>
  <c r="AB205" i="80"/>
  <c r="AG699" i="80"/>
  <c r="AF701" i="80"/>
  <c r="AF213" i="80"/>
  <c r="BQ689" i="80"/>
  <c r="BP691" i="80"/>
  <c r="BQ691" i="80" s="1"/>
  <c r="BP211" i="80"/>
  <c r="BQ211" i="80" s="1"/>
  <c r="AG317" i="80"/>
  <c r="AH314" i="80"/>
  <c r="AI314" i="80" s="1"/>
  <c r="BD463" i="80"/>
  <c r="BC466" i="80"/>
  <c r="N877" i="80"/>
  <c r="N874" i="80"/>
  <c r="AA226" i="80"/>
  <c r="AA163" i="80" s="1"/>
  <c r="AG506" i="80"/>
  <c r="AH503" i="80"/>
  <c r="AI503" i="80" s="1"/>
  <c r="AG509" i="80"/>
  <c r="BG706" i="80"/>
  <c r="AG471" i="80"/>
  <c r="AH466" i="80"/>
  <c r="AG474" i="80"/>
  <c r="AG476" i="80" s="1"/>
  <c r="Y543" i="80"/>
  <c r="AB422" i="80"/>
  <c r="AB423" i="80" s="1"/>
  <c r="AE378" i="80"/>
  <c r="AE380" i="80" s="1"/>
  <c r="AE157" i="80" s="1"/>
  <c r="AE397" i="80"/>
  <c r="AH868" i="80"/>
  <c r="AH864" i="80"/>
  <c r="AH43" i="80"/>
  <c r="AB508" i="80"/>
  <c r="AB509" i="80" s="1"/>
  <c r="AB514" i="80" s="1"/>
  <c r="AE307" i="80"/>
  <c r="AH307" i="80" s="1"/>
  <c r="AE306" i="80"/>
  <c r="AB186" i="80"/>
  <c r="AB346" i="80"/>
  <c r="AB347" i="80" s="1"/>
  <c r="AA596" i="80"/>
  <c r="AA598" i="80" s="1"/>
  <c r="AA159" i="80" s="1"/>
  <c r="AA615" i="80"/>
  <c r="AD588" i="80"/>
  <c r="BJ363" i="80"/>
  <c r="BK350" i="80"/>
  <c r="BJ350" i="80"/>
  <c r="BI337" i="80"/>
  <c r="BK363" i="80"/>
  <c r="BJ337" i="80"/>
  <c r="BI363" i="80"/>
  <c r="BI350" i="80"/>
  <c r="BK337" i="80"/>
  <c r="BP337" i="80"/>
  <c r="BH350" i="80"/>
  <c r="BP350" i="80"/>
  <c r="BH363" i="80"/>
  <c r="BH337" i="80"/>
  <c r="AP42" i="80"/>
  <c r="AP37" i="80"/>
  <c r="BX322" i="80"/>
  <c r="AN44" i="80"/>
  <c r="AN78" i="46"/>
  <c r="AF396" i="80"/>
  <c r="AF395" i="80"/>
  <c r="BN533" i="80"/>
  <c r="BN479" i="80"/>
  <c r="BN67" i="80"/>
  <c r="BN257" i="80" s="1"/>
  <c r="BN413" i="80"/>
  <c r="BN91" i="80"/>
  <c r="BN656" i="80" s="1"/>
  <c r="BL148" i="80"/>
  <c r="BQ148" i="80"/>
  <c r="AC406" i="80"/>
  <c r="Y181" i="80"/>
  <c r="Y409" i="80"/>
  <c r="Y408" i="80"/>
  <c r="BM500" i="80"/>
  <c r="BQ78" i="80"/>
  <c r="AE181" i="80"/>
  <c r="AE294" i="80"/>
  <c r="AE293" i="80"/>
  <c r="AB397" i="80"/>
  <c r="AH304" i="80"/>
  <c r="AH303" i="80" s="1"/>
  <c r="AU505" i="80"/>
  <c r="AR505" i="80"/>
  <c r="AS471" i="80"/>
  <c r="AS474" i="80"/>
  <c r="AA635" i="80"/>
  <c r="BM364" i="80"/>
  <c r="BM312" i="80"/>
  <c r="BM299" i="80"/>
  <c r="BM351" i="80"/>
  <c r="BM338" i="80"/>
  <c r="BM286" i="80"/>
  <c r="BM325" i="80"/>
  <c r="AE43" i="80"/>
  <c r="AA555" i="80"/>
  <c r="AA187" i="80"/>
  <c r="AA194" i="80"/>
  <c r="AA723" i="80"/>
  <c r="AA161" i="80" s="1"/>
  <c r="AC676" i="80"/>
  <c r="AB181" i="80"/>
  <c r="AB409" i="80"/>
  <c r="AF184" i="80"/>
  <c r="AI543" i="80"/>
  <c r="AF332" i="80"/>
  <c r="AG306" i="80"/>
  <c r="AG308" i="80" s="1"/>
  <c r="AZ184" i="80"/>
  <c r="AC542" i="80"/>
  <c r="AE334" i="80"/>
  <c r="AB280" i="80"/>
  <c r="AC280" i="80" s="1"/>
  <c r="AY373" i="80"/>
  <c r="AC638" i="80"/>
  <c r="AD646" i="80"/>
  <c r="AB32" i="80"/>
  <c r="AB35" i="80" s="1"/>
  <c r="AB796" i="80"/>
  <c r="AC714" i="80"/>
  <c r="AD714" i="80" s="1"/>
  <c r="AB716" i="80"/>
  <c r="AC716" i="80" s="1"/>
  <c r="AB214" i="80"/>
  <c r="AA396" i="80"/>
  <c r="AA397" i="80" s="1"/>
  <c r="AH406" i="80"/>
  <c r="AD409" i="80"/>
  <c r="AD408" i="80"/>
  <c r="AD624" i="80"/>
  <c r="AE621" i="80"/>
  <c r="AB601" i="80"/>
  <c r="AB614" i="80"/>
  <c r="AB615" i="80" s="1"/>
  <c r="AC611" i="80"/>
  <c r="R866" i="80"/>
  <c r="R873" i="80" s="1"/>
  <c r="V866" i="80"/>
  <c r="V873" i="80" s="1"/>
  <c r="T866" i="80"/>
  <c r="T873" i="80" s="1"/>
  <c r="U866" i="80"/>
  <c r="U873" i="80" s="1"/>
  <c r="AI446" i="80"/>
  <c r="AJ443" i="80"/>
  <c r="AI449" i="80"/>
  <c r="AA408" i="80"/>
  <c r="AL536" i="80"/>
  <c r="AK539" i="80"/>
  <c r="AJ419" i="80"/>
  <c r="AK416" i="80"/>
  <c r="AF528" i="80"/>
  <c r="AH525" i="80"/>
  <c r="AF527" i="80"/>
  <c r="AL761" i="80"/>
  <c r="AQ761" i="80"/>
  <c r="Z636" i="80"/>
  <c r="Z160" i="80" s="1"/>
  <c r="AC538" i="80"/>
  <c r="AH434" i="80"/>
  <c r="AD436" i="80"/>
  <c r="AC324" i="80"/>
  <c r="AC272" i="80"/>
  <c r="AC333" i="80"/>
  <c r="AX373" i="80"/>
  <c r="AG409" i="80"/>
  <c r="AG408" i="80"/>
  <c r="AC525" i="80"/>
  <c r="Y528" i="80"/>
  <c r="AC528" i="80" s="1"/>
  <c r="Y527" i="80"/>
  <c r="BO350" i="80"/>
  <c r="AX329" i="80"/>
  <c r="BA329" i="80"/>
  <c r="O44" i="80"/>
  <c r="O78" i="46"/>
  <c r="AA44" i="80"/>
  <c r="AA78" i="46"/>
  <c r="AA508" i="80"/>
  <c r="AA509" i="80" s="1"/>
  <c r="AA514" i="80" s="1"/>
  <c r="AS610" i="80"/>
  <c r="AV610" i="80"/>
  <c r="AB268" i="80"/>
  <c r="AB182" i="80"/>
  <c r="AB281" i="80"/>
  <c r="AB264" i="80" s="1"/>
  <c r="AC446" i="80"/>
  <c r="Y454" i="80"/>
  <c r="Z184" i="80"/>
  <c r="Z435" i="80"/>
  <c r="Z434" i="80"/>
  <c r="M37" i="80"/>
  <c r="M42" i="80"/>
  <c r="AH393" i="80"/>
  <c r="AD396" i="80"/>
  <c r="AD395" i="80"/>
  <c r="BJ543" i="80"/>
  <c r="AF320" i="80"/>
  <c r="AF319" i="80"/>
  <c r="AH317" i="80"/>
  <c r="AH316" i="80" s="1"/>
  <c r="Z492" i="80"/>
  <c r="Z383" i="80" s="1"/>
  <c r="Z491" i="80"/>
  <c r="AS37" i="80"/>
  <c r="AS42" i="80"/>
  <c r="AF512" i="80"/>
  <c r="AF511" i="80"/>
  <c r="AM469" i="80"/>
  <c r="AI472" i="80"/>
  <c r="AI471" i="80"/>
  <c r="AI474" i="80"/>
  <c r="J78" i="46"/>
  <c r="J44" i="80"/>
  <c r="K864" i="80"/>
  <c r="K868" i="80"/>
  <c r="BB582" i="80"/>
  <c r="AV582" i="80"/>
  <c r="AU582" i="80" s="1"/>
  <c r="AT582" i="80" s="1"/>
  <c r="AS582" i="80" s="1"/>
  <c r="CI809" i="80"/>
  <c r="CH801" i="80"/>
  <c r="CH804" i="80"/>
  <c r="CH802" i="80"/>
  <c r="CH799" i="80"/>
  <c r="CH800" i="80"/>
  <c r="CH798" i="80"/>
  <c r="CH803" i="80"/>
  <c r="AE383" i="80"/>
  <c r="AI866" i="80"/>
  <c r="AI873" i="80" s="1"/>
  <c r="AD452" i="80"/>
  <c r="AD451" i="80"/>
  <c r="AH451" i="80" s="1"/>
  <c r="AH449" i="80"/>
  <c r="AD454" i="80"/>
  <c r="AB434" i="80"/>
  <c r="AG492" i="80"/>
  <c r="AG491" i="80"/>
  <c r="BK541" i="80"/>
  <c r="BK542" i="80"/>
  <c r="AX446" i="80"/>
  <c r="AX452" i="80" s="1"/>
  <c r="BC445" i="80"/>
  <c r="BB445" i="80"/>
  <c r="AA185" i="80"/>
  <c r="AA495" i="80"/>
  <c r="AA496" i="80" s="1"/>
  <c r="AE696" i="80"/>
  <c r="AF694" i="80"/>
  <c r="AE212" i="80"/>
  <c r="BL363" i="80"/>
  <c r="BL337" i="80"/>
  <c r="AB576" i="80"/>
  <c r="AB554" i="80"/>
  <c r="AC574" i="80"/>
  <c r="AA541" i="80"/>
  <c r="AA543" i="80" s="1"/>
  <c r="AC419" i="80"/>
  <c r="Y422" i="80"/>
  <c r="AC422" i="80" s="1"/>
  <c r="Y421" i="80"/>
  <c r="AE359" i="80"/>
  <c r="AE358" i="80"/>
  <c r="BN71" i="80"/>
  <c r="BN460" i="80"/>
  <c r="BN468" i="80" s="1"/>
  <c r="BN440" i="80"/>
  <c r="BN448" i="80" s="1"/>
  <c r="BQ150" i="80"/>
  <c r="BL150" i="80"/>
  <c r="AC358" i="80"/>
  <c r="AF686" i="80"/>
  <c r="AG684" i="80"/>
  <c r="AF210" i="80"/>
  <c r="U43" i="80"/>
  <c r="Z44" i="80" s="1"/>
  <c r="AC392" i="80"/>
  <c r="AA269" i="80"/>
  <c r="AA192" i="80"/>
  <c r="AA640" i="80"/>
  <c r="AA196" i="80"/>
  <c r="AL652" i="80"/>
  <c r="AA666" i="80"/>
  <c r="AC664" i="80"/>
  <c r="AC666" i="80" s="1"/>
  <c r="AD472" i="80"/>
  <c r="AH469" i="80"/>
  <c r="AD471" i="80"/>
  <c r="AH471" i="80" s="1"/>
  <c r="AD474" i="80"/>
  <c r="AD360" i="80"/>
  <c r="AB590" i="80"/>
  <c r="AC588" i="80"/>
  <c r="AC590" i="80" s="1"/>
  <c r="AA578" i="80"/>
  <c r="AA549" i="80"/>
  <c r="AA551" i="80" s="1"/>
  <c r="AA158" i="80" s="1"/>
  <c r="AA184" i="80"/>
  <c r="AA435" i="80"/>
  <c r="AA436" i="80" s="1"/>
  <c r="AC332" i="80"/>
  <c r="BD853" i="80"/>
  <c r="AB408" i="80"/>
  <c r="AB410" i="80" s="1"/>
  <c r="AO651" i="80"/>
  <c r="Y506" i="80"/>
  <c r="Y509" i="80"/>
  <c r="AE529" i="80"/>
  <c r="BB434" i="80"/>
  <c r="AX436" i="80"/>
  <c r="AQ37" i="80"/>
  <c r="AQ43" i="80" s="1"/>
  <c r="AQ42" i="80"/>
  <c r="BB849" i="80"/>
  <c r="Z396" i="80"/>
  <c r="Z395" i="80"/>
  <c r="Z182" i="80"/>
  <c r="AD42" i="80"/>
  <c r="AD37" i="80"/>
  <c r="AC418" i="80"/>
  <c r="AM868" i="80"/>
  <c r="AM864" i="80"/>
  <c r="AM43" i="80"/>
  <c r="AR44" i="80" s="1"/>
  <c r="AC539" i="80"/>
  <c r="AZ369" i="80"/>
  <c r="BA366" i="80"/>
  <c r="AB639" i="80"/>
  <c r="AB652" i="80"/>
  <c r="CJ810" i="80"/>
  <c r="AI779" i="80"/>
  <c r="AJ779" i="80"/>
  <c r="DN840" i="80"/>
  <c r="DN842" i="80" s="1"/>
  <c r="DO840" i="80" s="1"/>
  <c r="DM840" i="80"/>
  <c r="DM842" i="80" s="1"/>
  <c r="DK840" i="80"/>
  <c r="DJ842" i="80"/>
  <c r="AC679" i="80"/>
  <c r="AD679" i="80" s="1"/>
  <c r="BC207" i="46"/>
  <c r="CF41" i="71"/>
  <c r="S67" i="46"/>
  <c r="L67" i="46"/>
  <c r="AJ67" i="46"/>
  <c r="S248" i="46"/>
  <c r="S255" i="46" s="1"/>
  <c r="CK23" i="71" s="1"/>
  <c r="R255" i="46"/>
  <c r="CJ23" i="71" s="1"/>
  <c r="BE66" i="46"/>
  <c r="Y53" i="46"/>
  <c r="T67" i="46"/>
  <c r="G53" i="46"/>
  <c r="G67" i="46" s="1"/>
  <c r="AM52" i="46"/>
  <c r="AM46" i="46"/>
  <c r="AM53" i="46" s="1"/>
  <c r="AI250" i="46"/>
  <c r="AI246" i="46"/>
  <c r="AE53" i="46"/>
  <c r="Q53" i="46"/>
  <c r="AT53" i="46"/>
  <c r="AC248" i="46"/>
  <c r="AC255" i="46" s="1"/>
  <c r="CU23" i="71" s="1"/>
  <c r="AB255" i="46"/>
  <c r="CT23" i="71" s="1"/>
  <c r="BD66" i="46"/>
  <c r="BD50" i="46"/>
  <c r="BD167" i="46"/>
  <c r="AG46" i="46"/>
  <c r="AG52" i="46"/>
  <c r="AK53" i="46"/>
  <c r="AW54" i="46"/>
  <c r="P259" i="46"/>
  <c r="CH27" i="71" s="1"/>
  <c r="P256" i="46"/>
  <c r="CH24" i="71" s="1"/>
  <c r="AU52" i="46"/>
  <c r="AU46" i="46"/>
  <c r="M250" i="46"/>
  <c r="N250" i="46" s="1"/>
  <c r="M246" i="46"/>
  <c r="J53" i="46"/>
  <c r="AI53" i="46"/>
  <c r="BB235" i="46"/>
  <c r="BC215" i="46"/>
  <c r="Q250" i="46"/>
  <c r="Q246" i="46"/>
  <c r="M53" i="46"/>
  <c r="BH63" i="46"/>
  <c r="BF64" i="46"/>
  <c r="BG63" i="46"/>
  <c r="P53" i="46"/>
  <c r="AQ52" i="46"/>
  <c r="AQ46" i="46"/>
  <c r="AW129" i="46"/>
  <c r="AW132" i="46" s="1"/>
  <c r="AW133" i="46" s="1"/>
  <c r="CA92" i="73" s="1"/>
  <c r="N52" i="46"/>
  <c r="N46" i="46"/>
  <c r="N53" i="46" s="1"/>
  <c r="S54" i="46" s="1"/>
  <c r="R246" i="46"/>
  <c r="O53" i="46"/>
  <c r="CK173" i="46"/>
  <c r="CN173" i="46"/>
  <c r="CN175" i="46" s="1"/>
  <c r="CO173" i="46" s="1"/>
  <c r="CJ175" i="46"/>
  <c r="N173" i="46"/>
  <c r="N175" i="46" s="1"/>
  <c r="O173" i="46" s="1"/>
  <c r="J175" i="46"/>
  <c r="K173" i="46" s="1"/>
  <c r="K175" i="46" s="1"/>
  <c r="L173" i="46" s="1"/>
  <c r="L175" i="46" s="1"/>
  <c r="M173" i="46" s="1"/>
  <c r="M175" i="46" s="1"/>
  <c r="AA53" i="46"/>
  <c r="BA216" i="46"/>
  <c r="I248" i="46"/>
  <c r="I255" i="46" s="1"/>
  <c r="CA23" i="71" s="1"/>
  <c r="H255" i="46"/>
  <c r="AO53" i="46"/>
  <c r="R52" i="46"/>
  <c r="R46" i="46"/>
  <c r="U246" i="46" s="1"/>
  <c r="P250" i="46"/>
  <c r="DS15" i="71"/>
  <c r="AC67" i="46"/>
  <c r="AC54" i="46"/>
  <c r="AS53" i="46"/>
  <c r="BE167" i="46"/>
  <c r="AP52" i="46"/>
  <c r="AP46" i="46"/>
  <c r="W52" i="46"/>
  <c r="W46" i="46"/>
  <c r="CG173" i="46"/>
  <c r="CF175" i="46"/>
  <c r="AJ250" i="46"/>
  <c r="AJ246" i="46"/>
  <c r="AF53" i="46"/>
  <c r="AR248" i="46"/>
  <c r="AR255" i="46" s="1"/>
  <c r="DJ23" i="71" s="1"/>
  <c r="AQ255" i="46"/>
  <c r="DI23" i="71" s="1"/>
  <c r="E53" i="46"/>
  <c r="E67" i="46" s="1"/>
  <c r="O250" i="46"/>
  <c r="O246" i="46"/>
  <c r="K53" i="46"/>
  <c r="BC266" i="46"/>
  <c r="DU50" i="71"/>
  <c r="DU51" i="71" s="1"/>
  <c r="AD246" i="46"/>
  <c r="Z53" i="46"/>
  <c r="Y250" i="46"/>
  <c r="Y246" i="46"/>
  <c r="U53" i="46"/>
  <c r="AH52" i="46"/>
  <c r="AH46" i="46"/>
  <c r="AH53" i="46" s="1"/>
  <c r="BF48" i="46"/>
  <c r="BG48" i="46" s="1"/>
  <c r="Z250" i="46"/>
  <c r="Z246" i="46"/>
  <c r="V53" i="46"/>
  <c r="AL52" i="46"/>
  <c r="AL46" i="46"/>
  <c r="AN246" i="46" s="1"/>
  <c r="H52" i="46"/>
  <c r="H46" i="46"/>
  <c r="J246" i="46"/>
  <c r="F53" i="46"/>
  <c r="F67" i="46" s="1"/>
  <c r="AB52" i="46"/>
  <c r="AB46" i="46"/>
  <c r="AB250" i="46" s="1"/>
  <c r="AC250" i="46" s="1"/>
  <c r="AN67" i="46"/>
  <c r="AN54" i="46"/>
  <c r="CC173" i="46"/>
  <c r="CC175" i="46" s="1"/>
  <c r="CB175" i="46"/>
  <c r="AV52" i="46"/>
  <c r="AV46" i="46"/>
  <c r="AV250" i="46" s="1"/>
  <c r="AW250" i="46" s="1"/>
  <c r="AG250" i="46"/>
  <c r="AH250" i="46" s="1"/>
  <c r="AG246" i="46"/>
  <c r="AD53" i="46"/>
  <c r="BA190" i="46"/>
  <c r="AZ194" i="46"/>
  <c r="AW236" i="46"/>
  <c r="AW239" i="46"/>
  <c r="AW253" i="46"/>
  <c r="DO21" i="71" s="1"/>
  <c r="S68" i="71"/>
  <c r="X70" i="71"/>
  <c r="X72" i="71" s="1"/>
  <c r="CJ69" i="73"/>
  <c r="BQ686" i="80" l="1"/>
  <c r="BN117" i="79"/>
  <c r="BN115" i="79" s="1"/>
  <c r="BN12" i="79" s="1"/>
  <c r="BI115" i="79"/>
  <c r="BI12" i="79" s="1"/>
  <c r="BM117" i="79"/>
  <c r="BM115" i="79" s="1"/>
  <c r="BH115" i="79"/>
  <c r="BH12" i="79" s="1"/>
  <c r="BB436" i="80"/>
  <c r="AB436" i="80"/>
  <c r="AA410" i="80"/>
  <c r="BH133" i="78"/>
  <c r="BH10" i="78" s="1"/>
  <c r="BH124" i="78"/>
  <c r="BL122" i="78"/>
  <c r="BL124" i="78" s="1"/>
  <c r="BM122" i="78"/>
  <c r="BN122" i="78"/>
  <c r="BN124" i="78" s="1"/>
  <c r="BI124" i="78"/>
  <c r="BH87" i="100"/>
  <c r="BH85" i="100" s="1"/>
  <c r="BH12" i="100" s="1"/>
  <c r="BC85" i="100"/>
  <c r="BC12" i="100" s="1"/>
  <c r="BD85" i="100"/>
  <c r="BD12" i="100" s="1"/>
  <c r="BI87" i="100"/>
  <c r="BI85" i="100" s="1"/>
  <c r="BI12" i="100" s="1"/>
  <c r="BP20" i="97"/>
  <c r="BK543" i="80"/>
  <c r="AG410" i="80"/>
  <c r="Z410" i="80"/>
  <c r="BG79" i="99"/>
  <c r="BG80" i="99" s="1"/>
  <c r="BP83" i="79"/>
  <c r="BP73" i="79" s="1"/>
  <c r="BP12" i="51"/>
  <c r="BL12" i="51"/>
  <c r="BL15" i="51" s="1"/>
  <c r="BL19" i="51" s="1"/>
  <c r="BL23" i="51" s="1"/>
  <c r="BL24" i="51" s="1"/>
  <c r="BK15" i="51"/>
  <c r="BK19" i="51" s="1"/>
  <c r="BK23" i="51" s="1"/>
  <c r="BK24" i="51" s="1"/>
  <c r="BD41" i="77"/>
  <c r="AY37" i="100"/>
  <c r="BD40" i="79"/>
  <c r="BD40" i="51"/>
  <c r="BD43" i="78"/>
  <c r="BD40" i="80"/>
  <c r="BD801" i="80" s="1"/>
  <c r="AY43" i="99"/>
  <c r="AY37" i="98"/>
  <c r="AW42" i="51"/>
  <c r="AW37" i="51"/>
  <c r="AW43" i="51" s="1"/>
  <c r="AV246" i="46"/>
  <c r="CF256" i="59"/>
  <c r="CK251" i="59"/>
  <c r="CK94" i="59"/>
  <c r="CF99" i="59"/>
  <c r="BB811" i="80" s="1"/>
  <c r="BH47" i="100"/>
  <c r="BB812" i="80"/>
  <c r="AX185" i="78"/>
  <c r="AX29" i="78" s="1"/>
  <c r="AX239" i="78" s="1"/>
  <c r="CG133" i="59"/>
  <c r="AY185" i="78"/>
  <c r="CH133" i="59"/>
  <c r="AZ185" i="78"/>
  <c r="CI133" i="59"/>
  <c r="BA185" i="78"/>
  <c r="CJ133" i="59"/>
  <c r="BW12" i="59"/>
  <c r="BJ47" i="100"/>
  <c r="Z436" i="80"/>
  <c r="AC409" i="80"/>
  <c r="BO95" i="80"/>
  <c r="BO255" i="80" s="1"/>
  <c r="BO459" i="80"/>
  <c r="BO439" i="80"/>
  <c r="BO426" i="80"/>
  <c r="BO431" i="80" s="1"/>
  <c r="BP387" i="80"/>
  <c r="BP392" i="80" s="1"/>
  <c r="BP87" i="80"/>
  <c r="BP605" i="80"/>
  <c r="BP519" i="80"/>
  <c r="BP499" i="80"/>
  <c r="BP79" i="80"/>
  <c r="BP26" i="97"/>
  <c r="BN499" i="80"/>
  <c r="BN79" i="80"/>
  <c r="BP400" i="80"/>
  <c r="BP405" i="80" s="1"/>
  <c r="BP75" i="80"/>
  <c r="BQ107" i="80"/>
  <c r="BM77" i="80"/>
  <c r="BN400" i="80"/>
  <c r="BN405" i="80" s="1"/>
  <c r="BN75" i="80"/>
  <c r="BQ116" i="80"/>
  <c r="BM81" i="80"/>
  <c r="BO618" i="80"/>
  <c r="BO83" i="80"/>
  <c r="BO254" i="80" s="1"/>
  <c r="AH409" i="80"/>
  <c r="AJ543" i="80"/>
  <c r="BO400" i="80"/>
  <c r="BO405" i="80" s="1"/>
  <c r="BO75" i="80"/>
  <c r="BO519" i="80"/>
  <c r="BO387" i="80"/>
  <c r="BO392" i="80" s="1"/>
  <c r="BO87" i="80"/>
  <c r="BO605" i="80"/>
  <c r="BQ104" i="80"/>
  <c r="BQ73" i="80" s="1"/>
  <c r="BQ75" i="80" s="1"/>
  <c r="BM73" i="80"/>
  <c r="BN605" i="80"/>
  <c r="BN519" i="80"/>
  <c r="BN387" i="80"/>
  <c r="BN392" i="80" s="1"/>
  <c r="BN87" i="80"/>
  <c r="BP426" i="80"/>
  <c r="BP431" i="80" s="1"/>
  <c r="BP459" i="80"/>
  <c r="BP95" i="80"/>
  <c r="BP255" i="80" s="1"/>
  <c r="BP439" i="80"/>
  <c r="BQ119" i="80"/>
  <c r="BM85" i="80"/>
  <c r="AG514" i="80"/>
  <c r="BO541" i="80"/>
  <c r="BO543" i="80" s="1"/>
  <c r="BN618" i="80"/>
  <c r="BN83" i="80"/>
  <c r="BN254" i="80" s="1"/>
  <c r="BO499" i="80"/>
  <c r="BO79" i="80"/>
  <c r="BQ113" i="80"/>
  <c r="BP24" i="97"/>
  <c r="BP618" i="80"/>
  <c r="BP83" i="80"/>
  <c r="BP254" i="80" s="1"/>
  <c r="BP21" i="97"/>
  <c r="BP23" i="97"/>
  <c r="CF247" i="59"/>
  <c r="CF10" i="59" s="1"/>
  <c r="CK235" i="59"/>
  <c r="CK202" i="59"/>
  <c r="BB182" i="77" s="1"/>
  <c r="CP196" i="59"/>
  <c r="CP121" i="59"/>
  <c r="CU107" i="59"/>
  <c r="CF41" i="59"/>
  <c r="CK163" i="59"/>
  <c r="AS136" i="100"/>
  <c r="CG10" i="59"/>
  <c r="CU265" i="59"/>
  <c r="CP281" i="59"/>
  <c r="AZ136" i="100"/>
  <c r="CN10" i="59"/>
  <c r="CJ167" i="59"/>
  <c r="CJ174" i="59" s="1"/>
  <c r="CB167" i="59"/>
  <c r="CB174" i="59" s="1"/>
  <c r="CF174" i="59"/>
  <c r="CG167" i="59"/>
  <c r="CG174" i="59" s="1"/>
  <c r="CK167" i="59"/>
  <c r="CE167" i="59"/>
  <c r="CE174" i="59" s="1"/>
  <c r="CI167" i="59"/>
  <c r="CI174" i="59" s="1"/>
  <c r="CD167" i="59"/>
  <c r="CD174" i="59" s="1"/>
  <c r="CH167" i="59"/>
  <c r="CH174" i="59" s="1"/>
  <c r="CC167" i="59"/>
  <c r="CC174" i="59" s="1"/>
  <c r="CK311" i="59"/>
  <c r="CP125" i="59"/>
  <c r="CK131" i="59"/>
  <c r="BB185" i="78" s="1"/>
  <c r="BZ12" i="59"/>
  <c r="AX182" i="77"/>
  <c r="AX27" i="77" s="1"/>
  <c r="AX240" i="77" s="1"/>
  <c r="CG204" i="59"/>
  <c r="AX136" i="100"/>
  <c r="CL10" i="59"/>
  <c r="CA11" i="59"/>
  <c r="CA12" i="59" s="1"/>
  <c r="CP182" i="59"/>
  <c r="CK192" i="59"/>
  <c r="AY182" i="77"/>
  <c r="CH204" i="59"/>
  <c r="BA182" i="77"/>
  <c r="CJ204" i="59"/>
  <c r="BB186" i="78"/>
  <c r="BA136" i="100"/>
  <c r="CO10" i="59"/>
  <c r="AU136" i="100"/>
  <c r="CI10" i="59"/>
  <c r="CK224" i="59"/>
  <c r="CK226" i="59" s="1"/>
  <c r="AZ182" i="77"/>
  <c r="CI204" i="59"/>
  <c r="CK31" i="59"/>
  <c r="CP18" i="59"/>
  <c r="AV136" i="100"/>
  <c r="CJ10" i="59"/>
  <c r="BX12" i="59"/>
  <c r="CP47" i="59"/>
  <c r="CK90" i="59"/>
  <c r="CU216" i="59"/>
  <c r="CZ211" i="59"/>
  <c r="CZ216" i="59" s="1"/>
  <c r="AT136" i="100"/>
  <c r="CH10" i="59"/>
  <c r="AY136" i="100"/>
  <c r="CM10" i="59"/>
  <c r="CF289" i="59"/>
  <c r="CF291" i="59" s="1"/>
  <c r="CK284" i="59"/>
  <c r="DP56" i="71"/>
  <c r="BB164" i="46"/>
  <c r="DT56" i="71" s="1"/>
  <c r="CF319" i="59"/>
  <c r="CF321" i="59" s="1"/>
  <c r="CH319" i="59"/>
  <c r="CH321" i="59" s="1"/>
  <c r="CD319" i="59"/>
  <c r="CD321" i="59" s="1"/>
  <c r="CG319" i="59"/>
  <c r="CG321" i="59" s="1"/>
  <c r="CC319" i="59"/>
  <c r="CC321" i="59" s="1"/>
  <c r="CJ319" i="59"/>
  <c r="CJ321" i="59" s="1"/>
  <c r="CB319" i="59"/>
  <c r="CB321" i="59" s="1"/>
  <c r="CE319" i="59"/>
  <c r="CE321" i="59" s="1"/>
  <c r="CI319" i="59"/>
  <c r="CI321" i="59" s="1"/>
  <c r="BY12" i="59"/>
  <c r="CP39" i="59"/>
  <c r="CF204" i="59"/>
  <c r="BM24" i="51"/>
  <c r="Y246" i="100"/>
  <c r="Y112" i="100"/>
  <c r="AB246" i="100"/>
  <c r="AB112" i="100"/>
  <c r="I236" i="100"/>
  <c r="I239" i="100"/>
  <c r="S239" i="100"/>
  <c r="S236" i="100"/>
  <c r="BF85" i="100"/>
  <c r="BK87" i="100"/>
  <c r="BG87" i="100"/>
  <c r="BG88" i="100" s="1"/>
  <c r="AW175" i="100"/>
  <c r="BG71" i="100"/>
  <c r="BG72" i="100" s="1"/>
  <c r="BC9" i="100"/>
  <c r="BG9" i="100" s="1"/>
  <c r="R230" i="100"/>
  <c r="P230" i="100"/>
  <c r="O230" i="100"/>
  <c r="Q230" i="100"/>
  <c r="R226" i="100"/>
  <c r="Q226" i="100"/>
  <c r="P226" i="100"/>
  <c r="O226" i="100"/>
  <c r="O40" i="100"/>
  <c r="AD40" i="100"/>
  <c r="AL39" i="100"/>
  <c r="AL34" i="100"/>
  <c r="AL40" i="100" s="1"/>
  <c r="AQ85" i="46" s="1"/>
  <c r="W32" i="100"/>
  <c r="W54" i="100"/>
  <c r="W53" i="100"/>
  <c r="AQ34" i="100"/>
  <c r="AQ40" i="100" s="1"/>
  <c r="AV85" i="46" s="1"/>
  <c r="AQ39" i="100"/>
  <c r="AL230" i="100"/>
  <c r="AL226" i="100"/>
  <c r="AI40" i="100"/>
  <c r="Z246" i="100"/>
  <c r="Z112" i="100"/>
  <c r="S57" i="100"/>
  <c r="X91" i="73"/>
  <c r="AE39" i="100"/>
  <c r="AE34" i="100"/>
  <c r="AE40" i="100" s="1"/>
  <c r="BA12" i="100"/>
  <c r="BB85" i="100"/>
  <c r="J230" i="100"/>
  <c r="K230" i="100"/>
  <c r="M230" i="100"/>
  <c r="L230" i="100"/>
  <c r="J226" i="100"/>
  <c r="J236" i="100" s="1"/>
  <c r="M226" i="100"/>
  <c r="M236" i="100" s="1"/>
  <c r="L226" i="100"/>
  <c r="L236" i="100" s="1"/>
  <c r="K226" i="100"/>
  <c r="K236" i="100" s="1"/>
  <c r="J40" i="100"/>
  <c r="AR239" i="100"/>
  <c r="AR236" i="100"/>
  <c r="BG14" i="100"/>
  <c r="AM239" i="100"/>
  <c r="AM236" i="100"/>
  <c r="V39" i="100"/>
  <c r="V34" i="100"/>
  <c r="V40" i="100" s="1"/>
  <c r="BF47" i="100"/>
  <c r="BB105" i="100"/>
  <c r="BC105" i="100" s="1"/>
  <c r="BB120" i="100"/>
  <c r="AQ230" i="100"/>
  <c r="AO230" i="100"/>
  <c r="AN230" i="100"/>
  <c r="AO226" i="100"/>
  <c r="AN226" i="100"/>
  <c r="AQ226" i="100"/>
  <c r="AN40" i="100"/>
  <c r="AS85" i="46" s="1"/>
  <c r="AF109" i="100"/>
  <c r="AF110" i="100" s="1"/>
  <c r="AM109" i="100"/>
  <c r="AE109" i="100"/>
  <c r="AE110" i="100" s="1"/>
  <c r="AD109" i="100"/>
  <c r="AD110" i="100" s="1"/>
  <c r="AG109" i="100"/>
  <c r="AG110" i="100" s="1"/>
  <c r="AH110" i="100"/>
  <c r="AW211" i="100"/>
  <c r="AV190" i="100"/>
  <c r="AX100" i="100"/>
  <c r="AH230" i="100"/>
  <c r="AH226" i="100"/>
  <c r="AH40" i="100"/>
  <c r="AH41" i="100" s="1"/>
  <c r="AG39" i="100"/>
  <c r="AG34" i="100"/>
  <c r="AG40" i="100" s="1"/>
  <c r="AF34" i="100"/>
  <c r="AF40" i="100" s="1"/>
  <c r="AF39" i="100"/>
  <c r="AB34" i="100"/>
  <c r="AB40" i="100" s="1"/>
  <c r="AB39" i="100"/>
  <c r="V230" i="100"/>
  <c r="U230" i="100"/>
  <c r="T230" i="100"/>
  <c r="V226" i="100"/>
  <c r="U226" i="100"/>
  <c r="T226" i="100"/>
  <c r="T40" i="100"/>
  <c r="BK47" i="100"/>
  <c r="CU163" i="100"/>
  <c r="CU165" i="100" s="1"/>
  <c r="CQ163" i="100"/>
  <c r="N230" i="100"/>
  <c r="N262" i="100" s="1"/>
  <c r="N57" i="100" s="1"/>
  <c r="N226" i="100"/>
  <c r="N40" i="100"/>
  <c r="N41" i="100" s="1"/>
  <c r="BD47" i="100"/>
  <c r="AC246" i="100"/>
  <c r="AC112" i="100"/>
  <c r="AA246" i="100"/>
  <c r="AA112" i="100"/>
  <c r="AB230" i="100"/>
  <c r="AB226" i="100"/>
  <c r="Y40" i="100"/>
  <c r="S41" i="100"/>
  <c r="BA198" i="100"/>
  <c r="BL71" i="100"/>
  <c r="BL72" i="100" s="1"/>
  <c r="BH9" i="100"/>
  <c r="BL9" i="100" s="1"/>
  <c r="U249" i="100"/>
  <c r="V244" i="100" s="1"/>
  <c r="V249" i="100" s="1"/>
  <c r="W244" i="100" s="1"/>
  <c r="W249" i="100" s="1"/>
  <c r="BL90" i="100"/>
  <c r="BL91" i="100" s="1"/>
  <c r="BH14" i="100"/>
  <c r="BL14" i="100" s="1"/>
  <c r="AC244" i="100"/>
  <c r="AC249" i="100" s="1"/>
  <c r="Y244" i="100"/>
  <c r="Y249" i="100" s="1"/>
  <c r="Z244" i="100" s="1"/>
  <c r="Z249" i="100" s="1"/>
  <c r="AA244" i="100" s="1"/>
  <c r="X251" i="100"/>
  <c r="X252" i="100" s="1"/>
  <c r="AC104" i="73"/>
  <c r="BL130" i="100"/>
  <c r="AR85" i="46"/>
  <c r="AR16" i="71" s="1"/>
  <c r="O165" i="100"/>
  <c r="P163" i="100" s="1"/>
  <c r="P165" i="100" s="1"/>
  <c r="Q163" i="100" s="1"/>
  <c r="Q165" i="100" s="1"/>
  <c r="R163" i="100" s="1"/>
  <c r="R165" i="100" s="1"/>
  <c r="S163" i="100"/>
  <c r="S165" i="100" s="1"/>
  <c r="T163" i="100" s="1"/>
  <c r="BC47" i="100"/>
  <c r="X230" i="100"/>
  <c r="X262" i="100" s="1"/>
  <c r="X226" i="100"/>
  <c r="X40" i="100"/>
  <c r="W228" i="100"/>
  <c r="W235" i="100" s="1"/>
  <c r="AA228" i="100"/>
  <c r="AA235" i="100" s="1"/>
  <c r="Z228" i="100"/>
  <c r="Z235" i="100" s="1"/>
  <c r="Y228" i="100"/>
  <c r="Y235" i="100" s="1"/>
  <c r="BI47" i="100"/>
  <c r="AW12" i="100"/>
  <c r="BJ112" i="99"/>
  <c r="BJ113" i="99" s="1"/>
  <c r="BJ9" i="99"/>
  <c r="P272" i="99"/>
  <c r="P269" i="99"/>
  <c r="X285" i="99"/>
  <c r="BL109" i="99"/>
  <c r="BL110" i="99" s="1"/>
  <c r="BH13" i="99"/>
  <c r="BL13" i="99" s="1"/>
  <c r="AX136" i="99"/>
  <c r="AY137" i="99"/>
  <c r="AT16" i="99"/>
  <c r="BG122" i="99"/>
  <c r="BG123" i="99" s="1"/>
  <c r="BH122" i="99"/>
  <c r="BC20" i="99"/>
  <c r="Y196" i="99"/>
  <c r="Z194" i="99" s="1"/>
  <c r="Z196" i="99" s="1"/>
  <c r="AA194" i="99" s="1"/>
  <c r="AA196" i="99" s="1"/>
  <c r="AB194" i="99" s="1"/>
  <c r="AB196" i="99" s="1"/>
  <c r="AC194" i="99"/>
  <c r="AC196" i="99" s="1"/>
  <c r="AD194" i="99" s="1"/>
  <c r="I272" i="99"/>
  <c r="I269" i="99"/>
  <c r="AV82" i="99"/>
  <c r="AV83" i="99" s="1"/>
  <c r="AV8" i="99"/>
  <c r="O294" i="99"/>
  <c r="I294" i="99"/>
  <c r="I64" i="99" s="1"/>
  <c r="N64" i="99"/>
  <c r="Y263" i="99"/>
  <c r="Y295" i="99" s="1"/>
  <c r="Y65" i="99" s="1"/>
  <c r="AK45" i="99"/>
  <c r="AK40" i="99"/>
  <c r="AK46" i="99" s="1"/>
  <c r="AP84" i="46" s="1"/>
  <c r="AY231" i="99"/>
  <c r="AN45" i="99"/>
  <c r="AN40" i="99"/>
  <c r="BD112" i="99"/>
  <c r="BD113" i="99" s="1"/>
  <c r="BD9" i="99"/>
  <c r="BK119" i="99"/>
  <c r="BK117" i="99" s="1"/>
  <c r="BK18" i="99" s="1"/>
  <c r="BF117" i="99"/>
  <c r="BF18" i="99" s="1"/>
  <c r="R47" i="99"/>
  <c r="AQ45" i="99"/>
  <c r="AQ40" i="99"/>
  <c r="AQ46" i="99" s="1"/>
  <c r="AV84" i="46" s="1"/>
  <c r="BH117" i="99"/>
  <c r="AS134" i="99"/>
  <c r="AT142" i="99" s="1"/>
  <c r="AT140" i="99" s="1"/>
  <c r="BC14" i="99"/>
  <c r="BG12" i="99"/>
  <c r="BG14" i="99" s="1"/>
  <c r="AR277" i="99"/>
  <c r="AM284" i="99"/>
  <c r="AM285" i="99" s="1"/>
  <c r="AN277" i="99"/>
  <c r="AN282" i="99" s="1"/>
  <c r="AO277" i="99" s="1"/>
  <c r="AO282" i="99" s="1"/>
  <c r="AP277" i="99" s="1"/>
  <c r="AP282" i="99" s="1"/>
  <c r="AQ277" i="99" s="1"/>
  <c r="AQ282" i="99" s="1"/>
  <c r="AV144" i="99"/>
  <c r="AO40" i="99"/>
  <c r="AO46" i="99" s="1"/>
  <c r="AT84" i="46" s="1"/>
  <c r="AO45" i="99"/>
  <c r="AJ45" i="99"/>
  <c r="AJ40" i="99"/>
  <c r="AJ46" i="99" s="1"/>
  <c r="AO84" i="46" s="1"/>
  <c r="AA263" i="99"/>
  <c r="AA295" i="99" s="1"/>
  <c r="AA65" i="99" s="1"/>
  <c r="Z263" i="99"/>
  <c r="Z295" i="99" s="1"/>
  <c r="Z65" i="99" s="1"/>
  <c r="BC112" i="99"/>
  <c r="BC113" i="99" s="1"/>
  <c r="BC9" i="99"/>
  <c r="AM263" i="99"/>
  <c r="AM295" i="99" s="1"/>
  <c r="AM65" i="99" s="1"/>
  <c r="AR81" i="73" s="1"/>
  <c r="AM259" i="99"/>
  <c r="AM46" i="99"/>
  <c r="AM47" i="99" s="1"/>
  <c r="CS194" i="99"/>
  <c r="CS196" i="99" s="1"/>
  <c r="CT194" i="99"/>
  <c r="CT196" i="99" s="1"/>
  <c r="CR196" i="99"/>
  <c r="BC18" i="99"/>
  <c r="AS10" i="99"/>
  <c r="AW8" i="99"/>
  <c r="R272" i="99"/>
  <c r="R269" i="99"/>
  <c r="O272" i="99"/>
  <c r="O269" i="99"/>
  <c r="AR272" i="99"/>
  <c r="AR269" i="99"/>
  <c r="AB45" i="99"/>
  <c r="AB40" i="99"/>
  <c r="AB46" i="99" s="1"/>
  <c r="AB47" i="99" s="1"/>
  <c r="V263" i="99"/>
  <c r="V295" i="99" s="1"/>
  <c r="V65" i="99" s="1"/>
  <c r="T259" i="99"/>
  <c r="W263" i="99"/>
  <c r="W295" i="99" s="1"/>
  <c r="W65" i="99" s="1"/>
  <c r="W259" i="99"/>
  <c r="U263" i="99"/>
  <c r="U295" i="99" s="1"/>
  <c r="U65" i="99" s="1"/>
  <c r="T263" i="99"/>
  <c r="T295" i="99" s="1"/>
  <c r="T65" i="99" s="1"/>
  <c r="U259" i="99"/>
  <c r="V259" i="99"/>
  <c r="T46" i="99"/>
  <c r="T47" i="99" s="1"/>
  <c r="J263" i="99"/>
  <c r="M263" i="99"/>
  <c r="L259" i="99"/>
  <c r="L263" i="99"/>
  <c r="K263" i="99"/>
  <c r="M259" i="99"/>
  <c r="K259" i="99"/>
  <c r="J259" i="99"/>
  <c r="J46" i="99"/>
  <c r="O47" i="99" s="1"/>
  <c r="BB18" i="99"/>
  <c r="AW208" i="99"/>
  <c r="Z259" i="99"/>
  <c r="AA259" i="99"/>
  <c r="CW194" i="99"/>
  <c r="CV196" i="99"/>
  <c r="S272" i="99"/>
  <c r="S269" i="99"/>
  <c r="AP40" i="99"/>
  <c r="AP46" i="99" s="1"/>
  <c r="AU84" i="46" s="1"/>
  <c r="AP45" i="99"/>
  <c r="X47" i="99"/>
  <c r="AD263" i="99"/>
  <c r="AD295" i="99" s="1"/>
  <c r="AD65" i="99" s="1"/>
  <c r="AF259" i="99"/>
  <c r="AG263" i="99"/>
  <c r="AG295" i="99" s="1"/>
  <c r="AG65" i="99" s="1"/>
  <c r="AF263" i="99"/>
  <c r="AF295" i="99" s="1"/>
  <c r="AF65" i="99" s="1"/>
  <c r="AE263" i="99"/>
  <c r="AE295" i="99" s="1"/>
  <c r="AE65" i="99" s="1"/>
  <c r="AG259" i="99"/>
  <c r="AD259" i="99"/>
  <c r="AD46" i="99"/>
  <c r="AW132" i="99"/>
  <c r="BG120" i="99"/>
  <c r="BI122" i="99"/>
  <c r="BI20" i="99" s="1"/>
  <c r="BD20" i="99"/>
  <c r="AW85" i="99"/>
  <c r="AW89" i="99" s="1"/>
  <c r="AW83" i="99"/>
  <c r="Q259" i="99"/>
  <c r="Q263" i="99"/>
  <c r="AS279" i="99"/>
  <c r="AS174" i="99"/>
  <c r="AU16" i="99"/>
  <c r="AS154" i="99"/>
  <c r="AS25" i="99" s="1"/>
  <c r="AT154" i="99"/>
  <c r="AT25" i="99" s="1"/>
  <c r="AT27" i="99" s="1"/>
  <c r="AV154" i="99"/>
  <c r="AV25" i="99" s="1"/>
  <c r="AV27" i="99" s="1"/>
  <c r="AU154" i="99"/>
  <c r="AU25" i="99" s="1"/>
  <c r="AU27" i="99" s="1"/>
  <c r="BB20" i="99"/>
  <c r="BL79" i="99"/>
  <c r="BL80" i="99" s="1"/>
  <c r="BH12" i="99"/>
  <c r="BI112" i="99"/>
  <c r="BI113" i="99" s="1"/>
  <c r="BI9" i="99"/>
  <c r="U294" i="99"/>
  <c r="T64" i="99"/>
  <c r="Y259" i="99"/>
  <c r="AB263" i="99"/>
  <c r="AB295" i="99" s="1"/>
  <c r="AB65" i="99" s="1"/>
  <c r="AI263" i="99"/>
  <c r="AI295" i="99" s="1"/>
  <c r="AI65" i="99" s="1"/>
  <c r="AJ259" i="99"/>
  <c r="AI259" i="99"/>
  <c r="AK263" i="99"/>
  <c r="AK295" i="99" s="1"/>
  <c r="AK65" i="99" s="1"/>
  <c r="AK259" i="99"/>
  <c r="AI46" i="99"/>
  <c r="DE194" i="99"/>
  <c r="DE196" i="99" s="1"/>
  <c r="DA194" i="99"/>
  <c r="U47" i="99"/>
  <c r="N277" i="99"/>
  <c r="O277" i="99"/>
  <c r="O282" i="99" s="1"/>
  <c r="P277" i="99" s="1"/>
  <c r="P282" i="99" s="1"/>
  <c r="Q277" i="99" s="1"/>
  <c r="Q282" i="99" s="1"/>
  <c r="R277" i="99" s="1"/>
  <c r="R282" i="99" s="1"/>
  <c r="R295" i="99" s="1"/>
  <c r="R65" i="99" s="1"/>
  <c r="AL38" i="99"/>
  <c r="AL61" i="99"/>
  <c r="AL62" i="99"/>
  <c r="BH112" i="99"/>
  <c r="BH113" i="99" s="1"/>
  <c r="BH9" i="99"/>
  <c r="AV99" i="98"/>
  <c r="AE240" i="98"/>
  <c r="AE237" i="98"/>
  <c r="AD240" i="98"/>
  <c r="AD237" i="98"/>
  <c r="AS177" i="98"/>
  <c r="T240" i="98"/>
  <c r="T237" i="98"/>
  <c r="AU176" i="98"/>
  <c r="CR163" i="98"/>
  <c r="CQ165" i="98"/>
  <c r="O240" i="98"/>
  <c r="O237" i="98"/>
  <c r="Q240" i="98"/>
  <c r="Q237" i="98"/>
  <c r="S41" i="98"/>
  <c r="AT10" i="98"/>
  <c r="AQ34" i="98"/>
  <c r="AQ40" i="98" s="1"/>
  <c r="AV83" i="46" s="1"/>
  <c r="AQ39" i="98"/>
  <c r="BI68" i="98"/>
  <c r="BI71" i="98"/>
  <c r="BI9" i="98" s="1"/>
  <c r="AC240" i="98"/>
  <c r="AC237" i="98"/>
  <c r="AS10" i="98"/>
  <c r="BL90" i="98"/>
  <c r="BL91" i="98" s="1"/>
  <c r="BH14" i="98"/>
  <c r="BL14" i="98" s="1"/>
  <c r="W34" i="98"/>
  <c r="W40" i="98" s="1"/>
  <c r="W39" i="98"/>
  <c r="AR240" i="98"/>
  <c r="AR237" i="98"/>
  <c r="BB85" i="98"/>
  <c r="AX12" i="98"/>
  <c r="BF71" i="98"/>
  <c r="BF9" i="98" s="1"/>
  <c r="BK72" i="98"/>
  <c r="BK71" i="98" s="1"/>
  <c r="BK9" i="98" s="1"/>
  <c r="CZ163" i="98"/>
  <c r="CZ165" i="98" s="1"/>
  <c r="CV163" i="98"/>
  <c r="P240" i="98"/>
  <c r="P237" i="98"/>
  <c r="R240" i="98"/>
  <c r="R237" i="98"/>
  <c r="BH9" i="98"/>
  <c r="AU10" i="98"/>
  <c r="AS15" i="98"/>
  <c r="AS17" i="98" s="1"/>
  <c r="AW12" i="98"/>
  <c r="AH58" i="98"/>
  <c r="AM70" i="73"/>
  <c r="AT13" i="98"/>
  <c r="AW77" i="98"/>
  <c r="AW70" i="73"/>
  <c r="BH87" i="98"/>
  <c r="BG87" i="98"/>
  <c r="BG88" i="98" s="1"/>
  <c r="BC85" i="98"/>
  <c r="N240" i="98"/>
  <c r="N237" i="98"/>
  <c r="AG240" i="98"/>
  <c r="AG237" i="98"/>
  <c r="AY191" i="98"/>
  <c r="AI231" i="98"/>
  <c r="AK231" i="98"/>
  <c r="AJ231" i="98"/>
  <c r="AK227" i="98"/>
  <c r="AI227" i="98"/>
  <c r="AJ227" i="98"/>
  <c r="AI40" i="98"/>
  <c r="BG71" i="98"/>
  <c r="BG72" i="98" s="1"/>
  <c r="BC9" i="98"/>
  <c r="BG9" i="98" s="1"/>
  <c r="AX111" i="98"/>
  <c r="AA231" i="98"/>
  <c r="AB231" i="98"/>
  <c r="AA227" i="98"/>
  <c r="AB227" i="98"/>
  <c r="Y40" i="98"/>
  <c r="BI87" i="98"/>
  <c r="BI85" i="98" s="1"/>
  <c r="BI12" i="98" s="1"/>
  <c r="BD85" i="98"/>
  <c r="BD12" i="98" s="1"/>
  <c r="I240" i="98"/>
  <c r="I237" i="98"/>
  <c r="V55" i="98"/>
  <c r="V32" i="98"/>
  <c r="V54" i="98"/>
  <c r="AH240" i="98"/>
  <c r="AH237" i="98"/>
  <c r="AZ104" i="98"/>
  <c r="AY103" i="98"/>
  <c r="AH262" i="98"/>
  <c r="AC57" i="98"/>
  <c r="AH73" i="73"/>
  <c r="AV81" i="98"/>
  <c r="AV62" i="98" s="1"/>
  <c r="AQ231" i="98"/>
  <c r="AP227" i="98"/>
  <c r="AQ227" i="98"/>
  <c r="AN40" i="98"/>
  <c r="AS83" i="46" s="1"/>
  <c r="AW83" i="46" s="1"/>
  <c r="AW14" i="71" s="1"/>
  <c r="T165" i="98"/>
  <c r="U163" i="98" s="1"/>
  <c r="U165" i="98" s="1"/>
  <c r="V163" i="98" s="1"/>
  <c r="V165" i="98" s="1"/>
  <c r="W163" i="98" s="1"/>
  <c r="W165" i="98" s="1"/>
  <c r="X163" i="98"/>
  <c r="X165" i="98" s="1"/>
  <c r="Y163" i="98" s="1"/>
  <c r="AL34" i="98"/>
  <c r="AL40" i="98" s="1"/>
  <c r="AQ83" i="46" s="1"/>
  <c r="AL39" i="98"/>
  <c r="AF240" i="98"/>
  <c r="AF237" i="98"/>
  <c r="U240" i="98"/>
  <c r="U237" i="98"/>
  <c r="AY199" i="98"/>
  <c r="AR83" i="46"/>
  <c r="AR14" i="71" s="1"/>
  <c r="M240" i="98"/>
  <c r="M237" i="98"/>
  <c r="V229" i="98"/>
  <c r="V236" i="98" s="1"/>
  <c r="W229" i="98"/>
  <c r="W236" i="98" s="1"/>
  <c r="Z229" i="98"/>
  <c r="Y229" i="98"/>
  <c r="AC58" i="98"/>
  <c r="AH70" i="73"/>
  <c r="BG14" i="98"/>
  <c r="AT100" i="98"/>
  <c r="AS21" i="98"/>
  <c r="AW19" i="98"/>
  <c r="AW21" i="98" s="1"/>
  <c r="BM8" i="77"/>
  <c r="BN8" i="77"/>
  <c r="BQ116" i="77"/>
  <c r="AF24" i="77"/>
  <c r="AF22" i="46"/>
  <c r="V43" i="77"/>
  <c r="V38" i="77"/>
  <c r="V44" i="77" s="1"/>
  <c r="Z96" i="77"/>
  <c r="Z110" i="77"/>
  <c r="S247" i="77"/>
  <c r="S250" i="77"/>
  <c r="X60" i="77"/>
  <c r="X61" i="77"/>
  <c r="X33" i="77"/>
  <c r="X36" i="77" s="1"/>
  <c r="AH133" i="77"/>
  <c r="AH135" i="77"/>
  <c r="AH136" i="77" s="1"/>
  <c r="N262" i="77"/>
  <c r="S255" i="77"/>
  <c r="S260" i="77" s="1"/>
  <c r="O255" i="77"/>
  <c r="O260" i="77" s="1"/>
  <c r="P255" i="77" s="1"/>
  <c r="P260" i="77" s="1"/>
  <c r="Q255" i="77" s="1"/>
  <c r="Q260" i="77" s="1"/>
  <c r="R255" i="77" s="1"/>
  <c r="R260" i="77" s="1"/>
  <c r="CN210" i="77"/>
  <c r="CN212" i="77" s="1"/>
  <c r="CM212" i="77"/>
  <c r="BJ8" i="77"/>
  <c r="R43" i="77"/>
  <c r="R38" i="77"/>
  <c r="AM132" i="77"/>
  <c r="BE223" i="77"/>
  <c r="AI133" i="77"/>
  <c r="AI135" i="77"/>
  <c r="AI136" i="77" s="1"/>
  <c r="H237" i="77"/>
  <c r="BC219" i="77"/>
  <c r="AB132" i="77"/>
  <c r="AB16" i="77"/>
  <c r="AB18" i="77" s="1"/>
  <c r="AB11" i="77"/>
  <c r="AD24" i="77"/>
  <c r="AD22" i="46"/>
  <c r="N250" i="77"/>
  <c r="N247" i="77"/>
  <c r="AC239" i="77"/>
  <c r="AC246" i="77" s="1"/>
  <c r="AC30" i="71"/>
  <c r="BQ145" i="77"/>
  <c r="BQ146" i="77" s="1"/>
  <c r="BM15" i="77"/>
  <c r="BQ15" i="77" s="1"/>
  <c r="BL125" i="77"/>
  <c r="BI8" i="77"/>
  <c r="CT210" i="77"/>
  <c r="CT212" i="77" s="1"/>
  <c r="CR210" i="77"/>
  <c r="CQ212" i="77"/>
  <c r="BH13" i="77"/>
  <c r="AP92" i="77"/>
  <c r="AP10" i="77"/>
  <c r="AP132" i="77" s="1"/>
  <c r="AU9" i="77"/>
  <c r="AP16" i="77"/>
  <c r="AP18" i="77" s="1"/>
  <c r="BO8" i="77"/>
  <c r="AM16" i="77"/>
  <c r="AM18" i="77" s="1"/>
  <c r="AI16" i="77"/>
  <c r="AI18" i="77" s="1"/>
  <c r="AI93" i="77"/>
  <c r="AI95" i="77"/>
  <c r="H241" i="77"/>
  <c r="Y60" i="77"/>
  <c r="Y61" i="77"/>
  <c r="Y33" i="77"/>
  <c r="Y36" i="77" s="1"/>
  <c r="BB150" i="77"/>
  <c r="AF96" i="77"/>
  <c r="AF110" i="77"/>
  <c r="BF161" i="77"/>
  <c r="BF154" i="77" s="1"/>
  <c r="BE154" i="77"/>
  <c r="BE171" i="77" s="1"/>
  <c r="BE20" i="77" s="1"/>
  <c r="U239" i="77"/>
  <c r="U246" i="77" s="1"/>
  <c r="V239" i="77"/>
  <c r="V246" i="77" s="1"/>
  <c r="AE92" i="77"/>
  <c r="AE10" i="77"/>
  <c r="AJ9" i="77"/>
  <c r="AG9" i="77"/>
  <c r="J250" i="77"/>
  <c r="J247" i="77"/>
  <c r="AC60" i="77"/>
  <c r="AC61" i="77"/>
  <c r="AC33" i="77"/>
  <c r="AC36" i="77" s="1"/>
  <c r="CZ210" i="77"/>
  <c r="CZ212" i="77" s="1"/>
  <c r="CV210" i="77"/>
  <c r="BM140" i="77"/>
  <c r="AK24" i="77"/>
  <c r="AK22" i="46"/>
  <c r="AK93" i="77"/>
  <c r="AK95" i="77"/>
  <c r="W25" i="77"/>
  <c r="W239" i="77" s="1"/>
  <c r="W246" i="77" s="1"/>
  <c r="W29" i="77"/>
  <c r="Z24" i="77"/>
  <c r="Z22" i="46"/>
  <c r="AN212" i="77"/>
  <c r="AO210" i="77" s="1"/>
  <c r="AO212" i="77" s="1"/>
  <c r="AP210" i="77" s="1"/>
  <c r="AP212" i="77" s="1"/>
  <c r="AQ210" i="77" s="1"/>
  <c r="AQ212" i="77" s="1"/>
  <c r="AR210" i="77"/>
  <c r="AR212" i="77" s="1"/>
  <c r="AS210" i="77" s="1"/>
  <c r="AM11" i="77"/>
  <c r="AM93" i="77"/>
  <c r="AM95" i="77"/>
  <c r="AM96" i="77" s="1"/>
  <c r="AI11" i="77"/>
  <c r="BP83" i="77"/>
  <c r="BP74" i="77"/>
  <c r="BQ74" i="77" s="1"/>
  <c r="AX257" i="77"/>
  <c r="AX156" i="77"/>
  <c r="AX14" i="77" s="1"/>
  <c r="AX151" i="77"/>
  <c r="AA61" i="77"/>
  <c r="AA60" i="77"/>
  <c r="AA33" i="77"/>
  <c r="AA36" i="77" s="1"/>
  <c r="Y238" i="77"/>
  <c r="Y251" i="77" s="1"/>
  <c r="AH24" i="77"/>
  <c r="AH22" i="46"/>
  <c r="AD96" i="77"/>
  <c r="AD110" i="77"/>
  <c r="BD192" i="77"/>
  <c r="BD22" i="77"/>
  <c r="U60" i="77"/>
  <c r="U33" i="77"/>
  <c r="U36" i="77" s="1"/>
  <c r="U61" i="77"/>
  <c r="BG8" i="77"/>
  <c r="BP157" i="77"/>
  <c r="BQ157" i="77" s="1"/>
  <c r="BL157" i="77"/>
  <c r="M43" i="77"/>
  <c r="M38" i="77"/>
  <c r="K247" i="77"/>
  <c r="K250" i="77"/>
  <c r="S45" i="77"/>
  <c r="T241" i="77"/>
  <c r="T237" i="77"/>
  <c r="T44" i="77"/>
  <c r="T45" i="77" s="1"/>
  <c r="X239" i="77"/>
  <c r="X246" i="77" s="1"/>
  <c r="X30" i="71"/>
  <c r="AK133" i="77"/>
  <c r="AK135" i="77"/>
  <c r="AK136" i="77" s="1"/>
  <c r="L43" i="77"/>
  <c r="L38" i="77"/>
  <c r="AB96" i="77"/>
  <c r="AB110" i="77"/>
  <c r="AR9" i="77"/>
  <c r="AN9" i="77"/>
  <c r="BC192" i="77"/>
  <c r="BC22" i="77"/>
  <c r="BK74" i="77"/>
  <c r="AZ160" i="77"/>
  <c r="BI117" i="78"/>
  <c r="AV11" i="78"/>
  <c r="AV16" i="78"/>
  <c r="AV20" i="78" s="1"/>
  <c r="BJ117" i="78"/>
  <c r="BG91" i="46"/>
  <c r="DY39" i="71" s="1"/>
  <c r="DU39" i="71"/>
  <c r="AG97" i="78"/>
  <c r="AG111" i="78"/>
  <c r="AQ134" i="78"/>
  <c r="AQ136" i="78"/>
  <c r="AQ137" i="78" s="1"/>
  <c r="BN202" i="78"/>
  <c r="BN91" i="46"/>
  <c r="R45" i="78"/>
  <c r="R40" i="78"/>
  <c r="R46" i="78" s="1"/>
  <c r="BF163" i="78"/>
  <c r="BF156" i="78" s="1"/>
  <c r="BE156" i="78"/>
  <c r="BA162" i="78"/>
  <c r="BC221" i="78"/>
  <c r="AC236" i="78"/>
  <c r="AC240" i="78"/>
  <c r="AC46" i="78"/>
  <c r="AE61" i="78"/>
  <c r="AE62" i="78"/>
  <c r="AE35" i="78"/>
  <c r="AE38" i="78" s="1"/>
  <c r="BP202" i="78"/>
  <c r="BP91" i="46"/>
  <c r="L47" i="78"/>
  <c r="L80" i="46"/>
  <c r="BL143" i="78"/>
  <c r="BL144" i="78" s="1"/>
  <c r="BH141" i="78"/>
  <c r="BM143" i="78"/>
  <c r="BL91" i="46"/>
  <c r="ED39" i="71" s="1"/>
  <c r="DZ39" i="71"/>
  <c r="BO202" i="78"/>
  <c r="BO91" i="46"/>
  <c r="K46" i="78"/>
  <c r="AO94" i="78"/>
  <c r="AO96" i="78"/>
  <c r="BI271" i="78"/>
  <c r="BJ64" i="78"/>
  <c r="AB35" i="78"/>
  <c r="AB38" i="78" s="1"/>
  <c r="AB62" i="78"/>
  <c r="AB61" i="78"/>
  <c r="BH126" i="78"/>
  <c r="BC117" i="78"/>
  <c r="BQ255" i="78"/>
  <c r="AW26" i="78"/>
  <c r="AW21" i="46"/>
  <c r="X240" i="78"/>
  <c r="X236" i="78"/>
  <c r="X46" i="78"/>
  <c r="AX16" i="78"/>
  <c r="BB13" i="78"/>
  <c r="AX195" i="78"/>
  <c r="AX24" i="78"/>
  <c r="W240" i="78"/>
  <c r="T240" i="78"/>
  <c r="V240" i="78"/>
  <c r="T236" i="78"/>
  <c r="V236" i="78"/>
  <c r="T46" i="78"/>
  <c r="Y240" i="78"/>
  <c r="Y46" i="78"/>
  <c r="BD225" i="78"/>
  <c r="BF8" i="78"/>
  <c r="AP96" i="78"/>
  <c r="AP94" i="78"/>
  <c r="AJ97" i="78"/>
  <c r="AJ111" i="78"/>
  <c r="X254" i="78"/>
  <c r="X259" i="78" s="1"/>
  <c r="S261" i="78"/>
  <c r="T254" i="78"/>
  <c r="T259" i="78" s="1"/>
  <c r="U254" i="78" s="1"/>
  <c r="U259" i="78" s="1"/>
  <c r="V254" i="78" s="1"/>
  <c r="V259" i="78" s="1"/>
  <c r="W254" i="78" s="1"/>
  <c r="W259" i="78" s="1"/>
  <c r="CZ212" i="78"/>
  <c r="CZ214" i="78" s="1"/>
  <c r="DA212" i="78" s="1"/>
  <c r="CY212" i="78"/>
  <c r="CY214" i="78" s="1"/>
  <c r="CW212" i="78"/>
  <c r="CV214" i="78"/>
  <c r="S240" i="78"/>
  <c r="S236" i="78"/>
  <c r="S46" i="78"/>
  <c r="W40" i="78"/>
  <c r="W46" i="78" s="1"/>
  <c r="W45" i="78"/>
  <c r="BA134" i="78"/>
  <c r="BM146" i="78"/>
  <c r="BL146" i="78"/>
  <c r="BL147" i="78" s="1"/>
  <c r="BH15" i="78"/>
  <c r="AK27" i="78"/>
  <c r="AK31" i="78"/>
  <c r="BG141" i="78"/>
  <c r="BC13" i="78"/>
  <c r="Z80" i="46"/>
  <c r="AK238" i="78"/>
  <c r="AK245" i="78" s="1"/>
  <c r="AL237" i="78"/>
  <c r="AL250" i="78" s="1"/>
  <c r="AX193" i="78"/>
  <c r="V47" i="78"/>
  <c r="V80" i="46"/>
  <c r="AO26" i="78"/>
  <c r="AO21" i="46"/>
  <c r="AY195" i="78"/>
  <c r="AY24" i="78"/>
  <c r="AT134" i="78"/>
  <c r="AY134" i="78" s="1"/>
  <c r="AT136" i="78"/>
  <c r="BQ84" i="78"/>
  <c r="BM97" i="78"/>
  <c r="AS46" i="78"/>
  <c r="AM238" i="78"/>
  <c r="AM245" i="78" s="1"/>
  <c r="AM29" i="71"/>
  <c r="BK75" i="78"/>
  <c r="BE8" i="78"/>
  <c r="AL31" i="78"/>
  <c r="AL27" i="78"/>
  <c r="AH45" i="78"/>
  <c r="AH40" i="78"/>
  <c r="BI141" i="78"/>
  <c r="BI13" i="78" s="1"/>
  <c r="BN143" i="78"/>
  <c r="BN141" i="78" s="1"/>
  <c r="BN13" i="78" s="1"/>
  <c r="AU134" i="78"/>
  <c r="AZ134" i="78" s="1"/>
  <c r="AU136" i="78"/>
  <c r="AP26" i="78"/>
  <c r="AP21" i="46"/>
  <c r="CS212" i="78"/>
  <c r="CS214" i="78" s="1"/>
  <c r="CR214" i="78"/>
  <c r="BC271" i="78"/>
  <c r="BC64" i="78" s="1"/>
  <c r="BD64" i="78"/>
  <c r="K240" i="78"/>
  <c r="J240" i="78"/>
  <c r="L236" i="78"/>
  <c r="M240" i="78"/>
  <c r="L240" i="78"/>
  <c r="J236" i="78"/>
  <c r="K236" i="78"/>
  <c r="J46" i="78"/>
  <c r="AN46" i="78"/>
  <c r="AQ93" i="78"/>
  <c r="AQ11" i="78"/>
  <c r="AQ16" i="78"/>
  <c r="AQ20" i="78" s="1"/>
  <c r="AI35" i="78"/>
  <c r="AI38" i="78" s="1"/>
  <c r="AI61" i="78"/>
  <c r="AI62" i="78"/>
  <c r="BC152" i="78"/>
  <c r="AE238" i="78"/>
  <c r="AE245" i="78" s="1"/>
  <c r="AG27" i="78"/>
  <c r="AG238" i="78" s="1"/>
  <c r="AG245" i="78" s="1"/>
  <c r="AG31" i="78"/>
  <c r="BD8" i="78"/>
  <c r="AT93" i="78"/>
  <c r="AT16" i="78"/>
  <c r="AT20" i="78" s="1"/>
  <c r="AT11" i="78"/>
  <c r="BA175" i="78"/>
  <c r="AZ174" i="78"/>
  <c r="AZ22" i="78" s="1"/>
  <c r="AO134" i="78"/>
  <c r="AO136" i="78"/>
  <c r="AO137" i="78" s="1"/>
  <c r="AM61" i="78"/>
  <c r="AM62" i="78"/>
  <c r="AM35" i="78"/>
  <c r="AM38" i="78" s="1"/>
  <c r="Q47" i="78"/>
  <c r="BP75" i="78"/>
  <c r="BP84" i="78"/>
  <c r="AR237" i="78"/>
  <c r="AR250" i="78" s="1"/>
  <c r="AR31" i="78"/>
  <c r="AR27" i="78"/>
  <c r="AP134" i="78"/>
  <c r="AP136" i="78"/>
  <c r="AP137" i="78" s="1"/>
  <c r="BP143" i="78"/>
  <c r="BP141" i="78" s="1"/>
  <c r="BP13" i="78" s="1"/>
  <c r="BK141" i="78"/>
  <c r="BK13" i="78" s="1"/>
  <c r="AU93" i="78"/>
  <c r="AU11" i="78"/>
  <c r="AU16" i="78"/>
  <c r="AU20" i="78" s="1"/>
  <c r="M45" i="78"/>
  <c r="M40" i="78"/>
  <c r="M46" i="78" s="1"/>
  <c r="BK117" i="78"/>
  <c r="BO56" i="78"/>
  <c r="BO128" i="78" s="1"/>
  <c r="BO126" i="78" s="1"/>
  <c r="BO117" i="78" s="1"/>
  <c r="BN56" i="78"/>
  <c r="BN128" i="78" s="1"/>
  <c r="BN126" i="78" s="1"/>
  <c r="BN117" i="78" s="1"/>
  <c r="BP56" i="78"/>
  <c r="BP128" i="78" s="1"/>
  <c r="BP126" i="78" s="1"/>
  <c r="BP117" i="78" s="1"/>
  <c r="BM56" i="78"/>
  <c r="BM128" i="78" s="1"/>
  <c r="BQ128" i="78" s="1"/>
  <c r="U236" i="78"/>
  <c r="U240" i="78"/>
  <c r="U46" i="78"/>
  <c r="AD45" i="78"/>
  <c r="AD40" i="78"/>
  <c r="AL97" i="78"/>
  <c r="AL111" i="78"/>
  <c r="AK237" i="78"/>
  <c r="AK250" i="78" s="1"/>
  <c r="AX154" i="78"/>
  <c r="AY160" i="78" s="1"/>
  <c r="P46" i="78"/>
  <c r="Q236" i="78"/>
  <c r="R236" i="78"/>
  <c r="P236" i="78"/>
  <c r="R240" i="78"/>
  <c r="P240" i="78"/>
  <c r="Q240" i="78"/>
  <c r="H249" i="78"/>
  <c r="H246" i="78"/>
  <c r="AK97" i="78"/>
  <c r="AK111" i="78"/>
  <c r="X212" i="78"/>
  <c r="X214" i="78" s="1"/>
  <c r="Y212" i="78" s="1"/>
  <c r="T214" i="78"/>
  <c r="U212" i="78" s="1"/>
  <c r="U214" i="78" s="1"/>
  <c r="V212" i="78" s="1"/>
  <c r="V214" i="78" s="1"/>
  <c r="W212" i="78" s="1"/>
  <c r="W214" i="78" s="1"/>
  <c r="AA45" i="78"/>
  <c r="AA40" i="78"/>
  <c r="AA46" i="78" s="1"/>
  <c r="BB117" i="78"/>
  <c r="AX136" i="78"/>
  <c r="AX137" i="78" s="1"/>
  <c r="AX8" i="78"/>
  <c r="AF61" i="78"/>
  <c r="AF62" i="78"/>
  <c r="AF35" i="78"/>
  <c r="AF38" i="78" s="1"/>
  <c r="N240" i="78"/>
  <c r="N236" i="78"/>
  <c r="N46" i="78"/>
  <c r="BM202" i="78"/>
  <c r="BQ200" i="78"/>
  <c r="BQ202" i="78" s="1"/>
  <c r="BM91" i="46"/>
  <c r="BN146" i="78"/>
  <c r="BN15" i="78" s="1"/>
  <c r="BI15" i="78"/>
  <c r="AJ31" i="78"/>
  <c r="AJ27" i="78"/>
  <c r="AL238" i="78" s="1"/>
  <c r="AL245" i="78" s="1"/>
  <c r="AN237" i="78"/>
  <c r="AN250" i="78" s="1"/>
  <c r="BO271" i="78"/>
  <c r="BP64" i="78"/>
  <c r="BG75" i="78"/>
  <c r="BO97" i="79"/>
  <c r="BO98" i="79" s="1"/>
  <c r="BO8" i="79"/>
  <c r="AR244" i="79"/>
  <c r="AR63" i="79" s="1"/>
  <c r="AR37" i="73" s="1"/>
  <c r="AR245" i="79"/>
  <c r="AR64" i="79" s="1"/>
  <c r="AW218" i="79"/>
  <c r="AW221" i="79"/>
  <c r="AJ44" i="79"/>
  <c r="AJ79" i="46"/>
  <c r="BK73" i="79"/>
  <c r="BM12" i="79"/>
  <c r="AL208" i="79"/>
  <c r="AI43" i="79"/>
  <c r="AX228" i="79"/>
  <c r="AX126" i="79"/>
  <c r="AX131" i="79"/>
  <c r="AX13" i="79" s="1"/>
  <c r="AY166" i="79"/>
  <c r="AY21" i="79"/>
  <c r="AY117" i="46"/>
  <c r="AY153" i="46" s="1"/>
  <c r="AQ42" i="79"/>
  <c r="AQ37" i="79"/>
  <c r="BF136" i="79"/>
  <c r="BF129" i="79" s="1"/>
  <c r="BE129" i="79"/>
  <c r="L43" i="79"/>
  <c r="P212" i="79"/>
  <c r="BE10" i="79"/>
  <c r="AX166" i="79"/>
  <c r="AX21" i="79"/>
  <c r="AX117" i="46"/>
  <c r="BM97" i="79"/>
  <c r="BM98" i="79" s="1"/>
  <c r="BM8" i="79"/>
  <c r="BN120" i="79"/>
  <c r="BN14" i="79" s="1"/>
  <c r="BN14" i="46" s="1"/>
  <c r="BI14" i="79"/>
  <c r="BI14" i="46" s="1"/>
  <c r="AL42" i="79"/>
  <c r="AL37" i="79"/>
  <c r="AL212" i="79" s="1"/>
  <c r="H37" i="79"/>
  <c r="H43" i="79" s="1"/>
  <c r="H79" i="46" s="1"/>
  <c r="H68" i="46" s="1"/>
  <c r="H42" i="79"/>
  <c r="BA10" i="79"/>
  <c r="CW184" i="79"/>
  <c r="CZ184" i="79"/>
  <c r="CZ186" i="79" s="1"/>
  <c r="DA184" i="79" s="1"/>
  <c r="CV186" i="79"/>
  <c r="AO44" i="79"/>
  <c r="AO79" i="46"/>
  <c r="AG212" i="79"/>
  <c r="AD43" i="79"/>
  <c r="BF9" i="79"/>
  <c r="BG9" i="79" s="1"/>
  <c r="BG93" i="79"/>
  <c r="BG94" i="79" s="1"/>
  <c r="AW245" i="79"/>
  <c r="AW64" i="79" s="1"/>
  <c r="AW244" i="79"/>
  <c r="AM208" i="79"/>
  <c r="AM212" i="79"/>
  <c r="AM43" i="79"/>
  <c r="BH10" i="79"/>
  <c r="X212" i="79"/>
  <c r="X208" i="79"/>
  <c r="X43" i="79"/>
  <c r="S212" i="79"/>
  <c r="S208" i="79"/>
  <c r="S43" i="79"/>
  <c r="AZ145" i="79"/>
  <c r="AZ19" i="79" s="1"/>
  <c r="X234" i="79"/>
  <c r="X99" i="73"/>
  <c r="BN10" i="79"/>
  <c r="AN44" i="79"/>
  <c r="AN79" i="46"/>
  <c r="BE197" i="79"/>
  <c r="AC212" i="79"/>
  <c r="AC208" i="79"/>
  <c r="AC43" i="79"/>
  <c r="CS184" i="79"/>
  <c r="CR186" i="79"/>
  <c r="BB97" i="79"/>
  <c r="BB98" i="79" s="1"/>
  <c r="T186" i="79"/>
  <c r="U184" i="79" s="1"/>
  <c r="U186" i="79" s="1"/>
  <c r="V184" i="79" s="1"/>
  <c r="V186" i="79" s="1"/>
  <c r="W184" i="79" s="1"/>
  <c r="W186" i="79" s="1"/>
  <c r="X184" i="79"/>
  <c r="X186" i="79" s="1"/>
  <c r="Y184" i="79" s="1"/>
  <c r="AB42" i="79"/>
  <c r="AB37" i="79"/>
  <c r="AB43" i="79" s="1"/>
  <c r="AR44" i="79"/>
  <c r="AR79" i="46"/>
  <c r="Z212" i="79"/>
  <c r="AA208" i="79"/>
  <c r="AA212" i="79"/>
  <c r="Y212" i="79"/>
  <c r="Y43" i="79"/>
  <c r="AF44" i="79"/>
  <c r="AF79" i="46"/>
  <c r="BP81" i="79"/>
  <c r="AV163" i="79"/>
  <c r="AV54" i="51" s="1"/>
  <c r="AV42" i="79"/>
  <c r="AV37" i="79"/>
  <c r="AV43" i="79" s="1"/>
  <c r="BJ10" i="79"/>
  <c r="AG42" i="79"/>
  <c r="AG37" i="79"/>
  <c r="AG43" i="79" s="1"/>
  <c r="AT44" i="79"/>
  <c r="AT79" i="46"/>
  <c r="BG83" i="79"/>
  <c r="BF10" i="79"/>
  <c r="M42" i="79"/>
  <c r="M37" i="79"/>
  <c r="P208" i="79" s="1"/>
  <c r="AU44" i="79"/>
  <c r="AU79" i="46"/>
  <c r="V212" i="79"/>
  <c r="W212" i="79"/>
  <c r="V208" i="79"/>
  <c r="T212" i="79"/>
  <c r="T43" i="79"/>
  <c r="K43" i="79"/>
  <c r="M208" i="79"/>
  <c r="O208" i="79"/>
  <c r="O212" i="79"/>
  <c r="M212" i="79"/>
  <c r="K212" i="79"/>
  <c r="W42" i="79"/>
  <c r="W37" i="79"/>
  <c r="W43" i="79" s="1"/>
  <c r="AT208" i="79"/>
  <c r="AK44" i="79"/>
  <c r="AK79" i="46"/>
  <c r="AP44" i="79"/>
  <c r="AH11" i="71"/>
  <c r="BC125" i="79"/>
  <c r="AE44" i="79"/>
  <c r="AE79" i="46"/>
  <c r="BP117" i="79"/>
  <c r="BK115" i="79"/>
  <c r="BL117" i="79"/>
  <c r="BL118" i="79" s="1"/>
  <c r="BG14" i="79"/>
  <c r="BC14" i="46"/>
  <c r="I212" i="79"/>
  <c r="I208" i="79"/>
  <c r="I43" i="79"/>
  <c r="I79" i="46" s="1"/>
  <c r="V44" i="79"/>
  <c r="V79" i="46"/>
  <c r="AR218" i="79"/>
  <c r="AR221" i="79"/>
  <c r="CO184" i="79"/>
  <c r="CO186" i="79" s="1"/>
  <c r="CN186" i="79"/>
  <c r="BC193" i="79"/>
  <c r="AW44" i="79"/>
  <c r="AW79" i="46"/>
  <c r="AZ135" i="79"/>
  <c r="N212" i="79"/>
  <c r="N208" i="79"/>
  <c r="N43" i="79"/>
  <c r="AC233" i="79"/>
  <c r="AH226" i="79"/>
  <c r="AH231" i="79" s="1"/>
  <c r="AD226" i="79"/>
  <c r="AD231" i="79" s="1"/>
  <c r="AE226" i="79" s="1"/>
  <c r="AE231" i="79" s="1"/>
  <c r="AF226" i="79" s="1"/>
  <c r="AF231" i="79" s="1"/>
  <c r="AG226" i="79" s="1"/>
  <c r="AG231" i="79" s="1"/>
  <c r="AN208" i="79"/>
  <c r="AN212" i="79"/>
  <c r="BM9" i="79"/>
  <c r="R42" i="79"/>
  <c r="R37" i="79"/>
  <c r="AA44" i="79"/>
  <c r="AA79" i="46"/>
  <c r="G43" i="79"/>
  <c r="G79" i="46" s="1"/>
  <c r="G68" i="46" s="1"/>
  <c r="J212" i="79"/>
  <c r="J208" i="79"/>
  <c r="H208" i="79"/>
  <c r="AS44" i="79"/>
  <c r="AS79" i="46"/>
  <c r="AU212" i="79"/>
  <c r="AT212" i="79"/>
  <c r="BG8" i="79"/>
  <c r="BM120" i="79"/>
  <c r="BL120" i="79"/>
  <c r="BL121" i="79" s="1"/>
  <c r="BH14" i="79"/>
  <c r="BP94" i="79"/>
  <c r="BP93" i="79" s="1"/>
  <c r="BP9" i="79" s="1"/>
  <c r="BK93" i="79"/>
  <c r="Z44" i="79"/>
  <c r="Z79" i="46"/>
  <c r="BB452" i="80"/>
  <c r="AX455" i="80"/>
  <c r="BB455" i="80" s="1"/>
  <c r="CK810" i="80"/>
  <c r="BA369" i="80"/>
  <c r="BB366" i="80"/>
  <c r="BC366" i="80" s="1"/>
  <c r="AM877" i="80"/>
  <c r="AM874" i="80"/>
  <c r="Z384" i="80"/>
  <c r="Z193" i="80"/>
  <c r="Z197" i="80" s="1"/>
  <c r="AQ78" i="46"/>
  <c r="AO653" i="80"/>
  <c r="AC334" i="80"/>
  <c r="AB578" i="80"/>
  <c r="AB549" i="80"/>
  <c r="AB551" i="80" s="1"/>
  <c r="AB158" i="80" s="1"/>
  <c r="AC576" i="80"/>
  <c r="AG694" i="80"/>
  <c r="AF696" i="80"/>
  <c r="AF212" i="80"/>
  <c r="AH454" i="80"/>
  <c r="AD397" i="80"/>
  <c r="AD378" i="80"/>
  <c r="BF329" i="80"/>
  <c r="BC329" i="80"/>
  <c r="AK542" i="80"/>
  <c r="AK541" i="80"/>
  <c r="AI454" i="80"/>
  <c r="AE624" i="80"/>
  <c r="AF621" i="80"/>
  <c r="AE295" i="80"/>
  <c r="BQ500" i="80"/>
  <c r="BM508" i="80"/>
  <c r="BQ508" i="80" s="1"/>
  <c r="AE308" i="80"/>
  <c r="AH44" i="80"/>
  <c r="AH78" i="46"/>
  <c r="AH10" i="71" s="1"/>
  <c r="AH8" i="73" s="1"/>
  <c r="AC541" i="80"/>
  <c r="AC543" i="80" s="1"/>
  <c r="AG512" i="80"/>
  <c r="AG383" i="80" s="1"/>
  <c r="AG511" i="80"/>
  <c r="BD466" i="80"/>
  <c r="BE463" i="80"/>
  <c r="AH306" i="80"/>
  <c r="AH308" i="80" s="1"/>
  <c r="Z529" i="80"/>
  <c r="AA868" i="80"/>
  <c r="AA864" i="80"/>
  <c r="Z864" i="80"/>
  <c r="Y868" i="80"/>
  <c r="Y864" i="80"/>
  <c r="Y43" i="80"/>
  <c r="BE709" i="80"/>
  <c r="AH491" i="80"/>
  <c r="AC78" i="46"/>
  <c r="AC10" i="71" s="1"/>
  <c r="AC8" i="73" s="1"/>
  <c r="AB723" i="80"/>
  <c r="AB161" i="80" s="1"/>
  <c r="BL542" i="80"/>
  <c r="AX648" i="80"/>
  <c r="BA648" i="80"/>
  <c r="Y264" i="80"/>
  <c r="Y265" i="80" s="1"/>
  <c r="Y156" i="80" s="1"/>
  <c r="AC281" i="80"/>
  <c r="AC282" i="80" s="1"/>
  <c r="Y282" i="80"/>
  <c r="AC307" i="80"/>
  <c r="Y308" i="80"/>
  <c r="AH288" i="80"/>
  <c r="AI288" i="80" s="1"/>
  <c r="AG291" i="80"/>
  <c r="BK414" i="80"/>
  <c r="BK388" i="80"/>
  <c r="BK427" i="80"/>
  <c r="BK401" i="80"/>
  <c r="BM480" i="80"/>
  <c r="BQ66" i="80"/>
  <c r="BM413" i="80"/>
  <c r="BM91" i="80"/>
  <c r="BM656" i="80" s="1"/>
  <c r="BQ89" i="80"/>
  <c r="BQ91" i="80" s="1"/>
  <c r="BQ656" i="80" s="1"/>
  <c r="BQ388" i="80"/>
  <c r="BQ441" i="80"/>
  <c r="BQ534" i="80"/>
  <c r="BL524" i="80"/>
  <c r="BM524" i="80"/>
  <c r="BQ524" i="80" s="1"/>
  <c r="AD423" i="80"/>
  <c r="AH421" i="80"/>
  <c r="AH423" i="80" s="1"/>
  <c r="AD186" i="80"/>
  <c r="AD346" i="80"/>
  <c r="AD345" i="80"/>
  <c r="AG183" i="80"/>
  <c r="AG333" i="80"/>
  <c r="AH333" i="80" s="1"/>
  <c r="AG332" i="80"/>
  <c r="AG334" i="80" s="1"/>
  <c r="AH330" i="80"/>
  <c r="AP652" i="80"/>
  <c r="AP651" i="80"/>
  <c r="AH514" i="80"/>
  <c r="BE446" i="80"/>
  <c r="BF443" i="80"/>
  <c r="AW78" i="46"/>
  <c r="AW10" i="71" s="1"/>
  <c r="AW8" i="73" s="1"/>
  <c r="AW44" i="80"/>
  <c r="AE662" i="80"/>
  <c r="AF659" i="80"/>
  <c r="BN431" i="80"/>
  <c r="AG356" i="80"/>
  <c r="AH353" i="80"/>
  <c r="AI353" i="80" s="1"/>
  <c r="AX451" i="80"/>
  <c r="BB451" i="80" s="1"/>
  <c r="AI306" i="80"/>
  <c r="AN475" i="80"/>
  <c r="AE571" i="80"/>
  <c r="AD553" i="80"/>
  <c r="AD202" i="80" s="1"/>
  <c r="AF564" i="80"/>
  <c r="AI307" i="80"/>
  <c r="BG558" i="80"/>
  <c r="BA558" i="80"/>
  <c r="AZ558" i="80" s="1"/>
  <c r="AY558" i="80" s="1"/>
  <c r="AX558" i="80" s="1"/>
  <c r="AH506" i="80"/>
  <c r="T842" i="80"/>
  <c r="U840" i="80" s="1"/>
  <c r="U842" i="80" s="1"/>
  <c r="V840" i="80" s="1"/>
  <c r="V842" i="80" s="1"/>
  <c r="W840" i="80" s="1"/>
  <c r="W842" i="80" s="1"/>
  <c r="X840" i="80"/>
  <c r="X842" i="80" s="1"/>
  <c r="Y840" i="80" s="1"/>
  <c r="AC452" i="80"/>
  <c r="Y455" i="80"/>
  <c r="AC455" i="80" s="1"/>
  <c r="AI78" i="46"/>
  <c r="AI525" i="80"/>
  <c r="AJ522" i="80"/>
  <c r="AD681" i="80"/>
  <c r="AD209" i="80"/>
  <c r="DP840" i="80"/>
  <c r="DS840" i="80"/>
  <c r="DS842" i="80" s="1"/>
  <c r="DT840" i="80" s="1"/>
  <c r="DR840" i="80"/>
  <c r="DR842" i="80" s="1"/>
  <c r="DO842" i="80"/>
  <c r="AZ372" i="80"/>
  <c r="AZ371" i="80"/>
  <c r="BB369" i="80"/>
  <c r="BB368" i="80" s="1"/>
  <c r="BC849" i="80"/>
  <c r="Y423" i="80"/>
  <c r="AC421" i="80"/>
  <c r="AC423" i="80" s="1"/>
  <c r="BH445" i="80"/>
  <c r="BG445" i="80"/>
  <c r="BC446" i="80"/>
  <c r="AC508" i="80"/>
  <c r="CI804" i="80"/>
  <c r="CI802" i="80"/>
  <c r="CJ809" i="80"/>
  <c r="CI801" i="80"/>
  <c r="CI803" i="80"/>
  <c r="K877" i="80"/>
  <c r="K874" i="80"/>
  <c r="AF515" i="80"/>
  <c r="AF379" i="80" s="1"/>
  <c r="Z185" i="80"/>
  <c r="Z495" i="80"/>
  <c r="Z496" i="80" s="1"/>
  <c r="M43" i="80"/>
  <c r="O868" i="80"/>
  <c r="Q868" i="80"/>
  <c r="M868" i="80"/>
  <c r="O864" i="80"/>
  <c r="P868" i="80"/>
  <c r="M864" i="80"/>
  <c r="P864" i="80"/>
  <c r="Q864" i="80"/>
  <c r="AL539" i="80"/>
  <c r="AM539" i="80" s="1"/>
  <c r="AM536" i="80"/>
  <c r="AN536" i="80" s="1"/>
  <c r="AC601" i="80"/>
  <c r="AC602" i="80" s="1"/>
  <c r="AC610" i="80"/>
  <c r="AD627" i="80"/>
  <c r="AD626" i="80"/>
  <c r="AB42" i="80"/>
  <c r="AB37" i="80"/>
  <c r="AB864" i="80" s="1"/>
  <c r="AB282" i="80"/>
  <c r="AB263" i="80"/>
  <c r="AB265" i="80" s="1"/>
  <c r="AB156" i="80" s="1"/>
  <c r="AF334" i="80"/>
  <c r="Y410" i="80"/>
  <c r="AC408" i="80"/>
  <c r="AC410" i="80" s="1"/>
  <c r="AF383" i="80"/>
  <c r="AH877" i="80"/>
  <c r="AH874" i="80"/>
  <c r="AI509" i="80"/>
  <c r="AJ503" i="80"/>
  <c r="AI506" i="80"/>
  <c r="AC474" i="80"/>
  <c r="BQ173" i="80"/>
  <c r="CE101" i="73"/>
  <c r="AC874" i="80"/>
  <c r="AC877" i="80"/>
  <c r="AC294" i="80"/>
  <c r="AC295" i="80" s="1"/>
  <c r="Y295" i="80"/>
  <c r="AC320" i="80"/>
  <c r="AC321" i="80" s="1"/>
  <c r="Y321" i="80"/>
  <c r="W43" i="80"/>
  <c r="Z868" i="80"/>
  <c r="W868" i="80"/>
  <c r="W864" i="80"/>
  <c r="AF44" i="80"/>
  <c r="AF78" i="46"/>
  <c r="BM479" i="80"/>
  <c r="BM533" i="80"/>
  <c r="BM67" i="80"/>
  <c r="BM257" i="80" s="1"/>
  <c r="BQ65" i="80"/>
  <c r="BM460" i="80"/>
  <c r="BM440" i="80"/>
  <c r="BQ94" i="80"/>
  <c r="BQ401" i="80"/>
  <c r="BQ481" i="80"/>
  <c r="AE566" i="80"/>
  <c r="AM652" i="80"/>
  <c r="AM653" i="80" s="1"/>
  <c r="AE343" i="80"/>
  <c r="AF340" i="80"/>
  <c r="BH706" i="80"/>
  <c r="BI704" i="80"/>
  <c r="AD515" i="80"/>
  <c r="AJ432" i="80"/>
  <c r="AK429" i="80"/>
  <c r="BG429" i="80"/>
  <c r="BH429" i="80" s="1"/>
  <c r="AE691" i="80"/>
  <c r="AF689" i="80"/>
  <c r="AE211" i="80"/>
  <c r="AG719" i="80"/>
  <c r="AF721" i="80"/>
  <c r="AV44" i="80"/>
  <c r="AV78" i="46"/>
  <c r="AN653" i="80"/>
  <c r="AX474" i="80"/>
  <c r="AW874" i="80"/>
  <c r="AW877" i="80"/>
  <c r="AD665" i="80"/>
  <c r="AD664" i="80"/>
  <c r="AL471" i="80"/>
  <c r="AM471" i="80" s="1"/>
  <c r="AL474" i="80"/>
  <c r="AL476" i="80" s="1"/>
  <c r="AM466" i="80"/>
  <c r="AL472" i="80"/>
  <c r="AL475" i="80" s="1"/>
  <c r="AJ486" i="80"/>
  <c r="AK483" i="80"/>
  <c r="AJ489" i="80"/>
  <c r="BA661" i="80"/>
  <c r="AX661" i="80"/>
  <c r="AF516" i="80"/>
  <c r="AD566" i="80"/>
  <c r="AJ704" i="80"/>
  <c r="AI706" i="80"/>
  <c r="Y436" i="80"/>
  <c r="AC434" i="80"/>
  <c r="AG528" i="80"/>
  <c r="AH528" i="80" s="1"/>
  <c r="AG527" i="80"/>
  <c r="AG529" i="80" s="1"/>
  <c r="R37" i="80"/>
  <c r="R42" i="80"/>
  <c r="AA378" i="80"/>
  <c r="AB635" i="80"/>
  <c r="AB636" i="80" s="1"/>
  <c r="AB160" i="80" s="1"/>
  <c r="AC652" i="80"/>
  <c r="AC635" i="80" s="1"/>
  <c r="Z397" i="80"/>
  <c r="Z378" i="80"/>
  <c r="Y512" i="80"/>
  <c r="Y511" i="80"/>
  <c r="AC509" i="80"/>
  <c r="BE853" i="80"/>
  <c r="AH472" i="80"/>
  <c r="AD475" i="80"/>
  <c r="AH475" i="80" s="1"/>
  <c r="BN350" i="80"/>
  <c r="BN337" i="80"/>
  <c r="BN256" i="80"/>
  <c r="AC573" i="80"/>
  <c r="AD573" i="80" s="1"/>
  <c r="AE573" i="80" s="1"/>
  <c r="AF573" i="80" s="1"/>
  <c r="AG573" i="80" s="1"/>
  <c r="AC554" i="80"/>
  <c r="AC555" i="80" s="1"/>
  <c r="BB446" i="80"/>
  <c r="AX454" i="80"/>
  <c r="AG185" i="80"/>
  <c r="AG495" i="80"/>
  <c r="AG496" i="80" s="1"/>
  <c r="AI475" i="80"/>
  <c r="AM475" i="80" s="1"/>
  <c r="AC454" i="80"/>
  <c r="AC456" i="80" s="1"/>
  <c r="Y456" i="80"/>
  <c r="AB269" i="80"/>
  <c r="AB192" i="80"/>
  <c r="AA511" i="80"/>
  <c r="AA512" i="80"/>
  <c r="AH436" i="80"/>
  <c r="AL416" i="80"/>
  <c r="AK419" i="80"/>
  <c r="AI452" i="80"/>
  <c r="AI184" i="80" s="1"/>
  <c r="AI451" i="80"/>
  <c r="AB597" i="80"/>
  <c r="AB598" i="80" s="1"/>
  <c r="AB159" i="80" s="1"/>
  <c r="AC614" i="80"/>
  <c r="AD649" i="80"/>
  <c r="AE646" i="80"/>
  <c r="AD638" i="80"/>
  <c r="AD204" i="80" s="1"/>
  <c r="AB378" i="80"/>
  <c r="BN538" i="80"/>
  <c r="BN539" i="80" s="1"/>
  <c r="BN542" i="80" s="1"/>
  <c r="AP43" i="80"/>
  <c r="AQ868" i="80"/>
  <c r="AP868" i="80"/>
  <c r="AQ864" i="80"/>
  <c r="AP864" i="80"/>
  <c r="AI317" i="80"/>
  <c r="AJ314" i="80"/>
  <c r="AG701" i="80"/>
  <c r="AH701" i="80" s="1"/>
  <c r="AH699" i="80"/>
  <c r="AG213" i="80"/>
  <c r="AJ406" i="80"/>
  <c r="AK403" i="80"/>
  <c r="H43" i="80"/>
  <c r="H78" i="46" s="1"/>
  <c r="J868" i="80"/>
  <c r="L868" i="80"/>
  <c r="J864" i="80"/>
  <c r="L864" i="80"/>
  <c r="X868" i="80"/>
  <c r="X864" i="80"/>
  <c r="X43" i="80"/>
  <c r="AH492" i="80"/>
  <c r="AH185" i="80" s="1"/>
  <c r="AH234" i="80" s="1"/>
  <c r="AD185" i="80"/>
  <c r="AD495" i="80"/>
  <c r="AH495" i="80" s="1"/>
  <c r="AB215" i="80"/>
  <c r="AC346" i="80"/>
  <c r="Y347" i="80"/>
  <c r="AC372" i="80"/>
  <c r="AC373" i="80" s="1"/>
  <c r="Y373" i="80"/>
  <c r="BK501" i="80"/>
  <c r="BK461" i="80"/>
  <c r="BK441" i="80"/>
  <c r="BQ427" i="80"/>
  <c r="BQ461" i="80"/>
  <c r="AH382" i="80"/>
  <c r="AH201" i="80" s="1"/>
  <c r="AI390" i="80"/>
  <c r="AG583" i="80"/>
  <c r="AF586" i="80"/>
  <c r="AS475" i="80"/>
  <c r="Y492" i="80"/>
  <c r="Y383" i="80" s="1"/>
  <c r="AC489" i="80"/>
  <c r="Y491" i="80"/>
  <c r="AC491" i="80" s="1"/>
  <c r="BH485" i="80"/>
  <c r="BG485" i="80"/>
  <c r="AG372" i="80"/>
  <c r="AH372" i="80" s="1"/>
  <c r="AG371" i="80"/>
  <c r="AH509" i="80"/>
  <c r="AI435" i="80"/>
  <c r="AI434" i="80"/>
  <c r="AE608" i="80"/>
  <c r="AD611" i="80"/>
  <c r="AD600" i="80"/>
  <c r="AD203" i="80" s="1"/>
  <c r="S868" i="80"/>
  <c r="S864" i="80"/>
  <c r="S43" i="80"/>
  <c r="AJ304" i="80"/>
  <c r="AK301" i="80"/>
  <c r="AL43" i="80"/>
  <c r="AQ44" i="80" s="1"/>
  <c r="AN868" i="80"/>
  <c r="AO864" i="80"/>
  <c r="AN864" i="80"/>
  <c r="AO868" i="80"/>
  <c r="AI494" i="80"/>
  <c r="AC653" i="80"/>
  <c r="AC634" i="80"/>
  <c r="AC636" i="80" s="1"/>
  <c r="AA636" i="80"/>
  <c r="AA160" i="80" s="1"/>
  <c r="AC435" i="80"/>
  <c r="AD267" i="80"/>
  <c r="AD200" i="80" s="1"/>
  <c r="AD205" i="80" s="1"/>
  <c r="AD278" i="80"/>
  <c r="AE275" i="80"/>
  <c r="AE679" i="80" s="1"/>
  <c r="AL864" i="80"/>
  <c r="I874" i="80"/>
  <c r="I877" i="80"/>
  <c r="AC596" i="80"/>
  <c r="AC347" i="80"/>
  <c r="DL840" i="80"/>
  <c r="DL842" i="80" s="1"/>
  <c r="DK842" i="80"/>
  <c r="AB640" i="80"/>
  <c r="AB196" i="80"/>
  <c r="AM44" i="80"/>
  <c r="AM78" i="46"/>
  <c r="AM10" i="71" s="1"/>
  <c r="AM8" i="73" s="1"/>
  <c r="AD868" i="80"/>
  <c r="AF868" i="80"/>
  <c r="AF864" i="80"/>
  <c r="AE864" i="80"/>
  <c r="AD864" i="80"/>
  <c r="AD43" i="80"/>
  <c r="AC506" i="80"/>
  <c r="Y514" i="80"/>
  <c r="AD476" i="80"/>
  <c r="AH474" i="80"/>
  <c r="AH476" i="80" s="1"/>
  <c r="U44" i="80"/>
  <c r="U78" i="46"/>
  <c r="AH684" i="80"/>
  <c r="AI684" i="80" s="1"/>
  <c r="AG686" i="80"/>
  <c r="AH686" i="80" s="1"/>
  <c r="AG210" i="80"/>
  <c r="AH210" i="80" s="1"/>
  <c r="AE360" i="80"/>
  <c r="AB555" i="80"/>
  <c r="AB194" i="80"/>
  <c r="AB187" i="80"/>
  <c r="AH452" i="80"/>
  <c r="AD455" i="80"/>
  <c r="AH455" i="80" s="1"/>
  <c r="AD184" i="80"/>
  <c r="AE384" i="80"/>
  <c r="AE193" i="80"/>
  <c r="CH808" i="80"/>
  <c r="CH811" i="80" s="1"/>
  <c r="BG582" i="80"/>
  <c r="BA582" i="80"/>
  <c r="AZ582" i="80" s="1"/>
  <c r="AY582" i="80" s="1"/>
  <c r="AX582" i="80" s="1"/>
  <c r="AU868" i="80"/>
  <c r="AT868" i="80"/>
  <c r="AS868" i="80"/>
  <c r="AV868" i="80"/>
  <c r="AV864" i="80"/>
  <c r="AU864" i="80"/>
  <c r="AT864" i="80"/>
  <c r="AS864" i="80"/>
  <c r="AS43" i="80"/>
  <c r="AF321" i="80"/>
  <c r="AD383" i="80"/>
  <c r="AX610" i="80"/>
  <c r="BA610" i="80"/>
  <c r="AC527" i="80"/>
  <c r="AC529" i="80" s="1"/>
  <c r="Y529" i="80"/>
  <c r="AF529" i="80"/>
  <c r="AJ422" i="80"/>
  <c r="AJ421" i="80"/>
  <c r="AJ449" i="80"/>
  <c r="AJ446" i="80"/>
  <c r="AK443" i="80"/>
  <c r="AB602" i="80"/>
  <c r="AB195" i="80"/>
  <c r="AD410" i="80"/>
  <c r="AH408" i="80"/>
  <c r="AH410" i="80" s="1"/>
  <c r="AD716" i="80"/>
  <c r="AE714" i="80"/>
  <c r="AD214" i="80"/>
  <c r="AC723" i="80"/>
  <c r="AC724" i="80"/>
  <c r="AE44" i="80"/>
  <c r="AE78" i="46"/>
  <c r="AJ44" i="80"/>
  <c r="AS476" i="80"/>
  <c r="AZ505" i="80"/>
  <c r="AW505" i="80"/>
  <c r="BN418" i="80"/>
  <c r="AF397" i="80"/>
  <c r="AF378" i="80"/>
  <c r="AD590" i="80"/>
  <c r="AB512" i="80"/>
  <c r="AB511" i="80"/>
  <c r="AG320" i="80"/>
  <c r="AH320" i="80" s="1"/>
  <c r="AG319" i="80"/>
  <c r="AG321" i="80" s="1"/>
  <c r="AC472" i="80"/>
  <c r="Y475" i="80"/>
  <c r="AC475" i="80" s="1"/>
  <c r="AI409" i="80"/>
  <c r="AI408" i="80"/>
  <c r="AI423" i="80"/>
  <c r="AG436" i="80"/>
  <c r="AC393" i="80"/>
  <c r="Y182" i="80"/>
  <c r="Y396" i="80"/>
  <c r="Y395" i="80"/>
  <c r="AH494" i="80"/>
  <c r="Z515" i="80"/>
  <c r="Z516" i="80" s="1"/>
  <c r="Z188" i="80"/>
  <c r="AE674" i="80"/>
  <c r="AD676" i="80"/>
  <c r="AD208" i="80"/>
  <c r="AD215" i="80" s="1"/>
  <c r="BH543" i="80"/>
  <c r="BL541" i="80"/>
  <c r="AE711" i="80"/>
  <c r="AF709" i="80"/>
  <c r="BC623" i="80"/>
  <c r="BF623" i="80"/>
  <c r="AC359" i="80"/>
  <c r="AC360" i="80" s="1"/>
  <c r="Y360" i="80"/>
  <c r="AC640" i="80"/>
  <c r="AK44" i="80"/>
  <c r="AF181" i="80"/>
  <c r="AF294" i="80"/>
  <c r="AH291" i="80"/>
  <c r="AF293" i="80"/>
  <c r="AF295" i="80" s="1"/>
  <c r="BJ150" i="80"/>
  <c r="BJ148" i="80"/>
  <c r="BI147" i="80"/>
  <c r="BJ149" i="80"/>
  <c r="BM459" i="80"/>
  <c r="BM439" i="80"/>
  <c r="BM426" i="80"/>
  <c r="BM95" i="80"/>
  <c r="BM255" i="80" s="1"/>
  <c r="BQ93" i="80"/>
  <c r="BQ95" i="80" s="1"/>
  <c r="BQ255" i="80" s="1"/>
  <c r="BQ69" i="80"/>
  <c r="BQ71" i="80" s="1"/>
  <c r="BM71" i="80"/>
  <c r="BQ414" i="80"/>
  <c r="BQ501" i="80"/>
  <c r="AG396" i="80"/>
  <c r="AG395" i="80"/>
  <c r="AH395" i="80" s="1"/>
  <c r="BA710" i="80"/>
  <c r="AZ711" i="80"/>
  <c r="AG37" i="80"/>
  <c r="AG868" i="80" s="1"/>
  <c r="AG42" i="80"/>
  <c r="AC486" i="80"/>
  <c r="Y494" i="80"/>
  <c r="AJ327" i="80"/>
  <c r="AI330" i="80"/>
  <c r="AI333" i="80" s="1"/>
  <c r="AR646" i="80"/>
  <c r="AQ649" i="80"/>
  <c r="AI369" i="80"/>
  <c r="AJ368" i="80"/>
  <c r="AH511" i="80"/>
  <c r="AB653" i="80"/>
  <c r="BN721" i="80"/>
  <c r="BO719" i="80"/>
  <c r="BH505" i="80"/>
  <c r="AR649" i="80"/>
  <c r="BH465" i="80"/>
  <c r="AC308" i="80"/>
  <c r="AF359" i="80"/>
  <c r="AF358" i="80"/>
  <c r="AH356" i="80"/>
  <c r="AH355" i="80" s="1"/>
  <c r="AV465" i="80"/>
  <c r="AQ466" i="80"/>
  <c r="AR465" i="80"/>
  <c r="AH559" i="80"/>
  <c r="AG562" i="80"/>
  <c r="AH562" i="80" s="1"/>
  <c r="AU44" i="80"/>
  <c r="AU78" i="46"/>
  <c r="AI491" i="80"/>
  <c r="AI492" i="80"/>
  <c r="Y184" i="80"/>
  <c r="AI864" i="80"/>
  <c r="AL868" i="80"/>
  <c r="AX472" i="80"/>
  <c r="H864" i="80"/>
  <c r="AL653" i="80"/>
  <c r="AN259" i="46"/>
  <c r="DF27" i="71" s="1"/>
  <c r="AN256" i="46"/>
  <c r="DF24" i="71" s="1"/>
  <c r="U256" i="46"/>
  <c r="CM24" i="71" s="1"/>
  <c r="U259" i="46"/>
  <c r="CM27" i="71" s="1"/>
  <c r="AD54" i="46"/>
  <c r="AD67" i="46"/>
  <c r="L246" i="46"/>
  <c r="L250" i="46"/>
  <c r="H53" i="46"/>
  <c r="H67" i="46" s="1"/>
  <c r="V54" i="46"/>
  <c r="V67" i="46"/>
  <c r="BH48" i="46"/>
  <c r="BH49" i="46"/>
  <c r="BG50" i="71"/>
  <c r="Y256" i="46"/>
  <c r="CQ24" i="71" s="1"/>
  <c r="Y259" i="46"/>
  <c r="CQ27" i="71" s="1"/>
  <c r="AD256" i="46"/>
  <c r="CV24" i="71" s="1"/>
  <c r="AD259" i="46"/>
  <c r="CV27" i="71" s="1"/>
  <c r="AT246" i="46"/>
  <c r="AT250" i="46"/>
  <c r="AP53" i="46"/>
  <c r="AS67" i="46"/>
  <c r="AS54" i="46"/>
  <c r="AN250" i="46"/>
  <c r="AO67" i="46"/>
  <c r="AO54" i="46"/>
  <c r="AA54" i="46"/>
  <c r="AA67" i="46"/>
  <c r="S173" i="46"/>
  <c r="S175" i="46" s="1"/>
  <c r="T173" i="46" s="1"/>
  <c r="O175" i="46"/>
  <c r="P173" i="46" s="1"/>
  <c r="P175" i="46" s="1"/>
  <c r="Q173" i="46" s="1"/>
  <c r="Q175" i="46" s="1"/>
  <c r="R173" i="46" s="1"/>
  <c r="R175" i="46" s="1"/>
  <c r="O54" i="46"/>
  <c r="O67" i="46"/>
  <c r="O10" i="73"/>
  <c r="T250" i="46"/>
  <c r="BI63" i="46"/>
  <c r="Q256" i="46"/>
  <c r="CI24" i="71" s="1"/>
  <c r="Q259" i="46"/>
  <c r="CI27" i="71" s="1"/>
  <c r="AI54" i="46"/>
  <c r="AI67" i="46"/>
  <c r="M256" i="46"/>
  <c r="M259" i="46"/>
  <c r="N246" i="46"/>
  <c r="AO250" i="46"/>
  <c r="Q67" i="46"/>
  <c r="Q54" i="46"/>
  <c r="Q10" i="73"/>
  <c r="AI259" i="46"/>
  <c r="DA27" i="71" s="1"/>
  <c r="AI256" i="46"/>
  <c r="DA24" i="71" s="1"/>
  <c r="AQ246" i="46"/>
  <c r="AB246" i="46"/>
  <c r="BD207" i="46"/>
  <c r="AG256" i="46"/>
  <c r="CY24" i="71" s="1"/>
  <c r="AG259" i="46"/>
  <c r="CY27" i="71" s="1"/>
  <c r="AH246" i="46"/>
  <c r="J256" i="46"/>
  <c r="J259" i="46"/>
  <c r="Z256" i="46"/>
  <c r="CR24" i="71" s="1"/>
  <c r="Z259" i="46"/>
  <c r="CR27" i="71" s="1"/>
  <c r="AH54" i="46"/>
  <c r="AH67" i="46"/>
  <c r="K54" i="46"/>
  <c r="K67" i="46"/>
  <c r="H246" i="46"/>
  <c r="AF67" i="46"/>
  <c r="AF54" i="46"/>
  <c r="CH173" i="46"/>
  <c r="CH175" i="46" s="1"/>
  <c r="CG175" i="46"/>
  <c r="AV256" i="46"/>
  <c r="DN24" i="71" s="1"/>
  <c r="AV259" i="46"/>
  <c r="DN27" i="71" s="1"/>
  <c r="AW246" i="46"/>
  <c r="AS246" i="46"/>
  <c r="AE246" i="46"/>
  <c r="R256" i="46"/>
  <c r="CJ24" i="71" s="1"/>
  <c r="R259" i="46"/>
  <c r="CJ27" i="71" s="1"/>
  <c r="S246" i="46"/>
  <c r="BG64" i="46"/>
  <c r="BG45" i="71"/>
  <c r="AL250" i="46"/>
  <c r="AM250" i="46" s="1"/>
  <c r="AT54" i="46"/>
  <c r="AT67" i="46"/>
  <c r="T54" i="46"/>
  <c r="L54" i="46"/>
  <c r="AF250" i="46"/>
  <c r="AF246" i="46"/>
  <c r="AB53" i="46"/>
  <c r="J250" i="46"/>
  <c r="AP250" i="46"/>
  <c r="AP246" i="46"/>
  <c r="AL53" i="46"/>
  <c r="Z54" i="46"/>
  <c r="Z67" i="46"/>
  <c r="O259" i="46"/>
  <c r="CG27" i="71" s="1"/>
  <c r="O256" i="46"/>
  <c r="CG24" i="71" s="1"/>
  <c r="H250" i="46"/>
  <c r="I250" i="46" s="1"/>
  <c r="AJ259" i="46"/>
  <c r="DB27" i="71" s="1"/>
  <c r="AJ256" i="46"/>
  <c r="DB24" i="71" s="1"/>
  <c r="AA250" i="46"/>
  <c r="AA246" i="46"/>
  <c r="W53" i="46"/>
  <c r="W246" i="46"/>
  <c r="V250" i="46"/>
  <c r="V246" i="46"/>
  <c r="R53" i="46"/>
  <c r="AS250" i="46"/>
  <c r="BB216" i="46"/>
  <c r="AE250" i="46"/>
  <c r="CP173" i="46"/>
  <c r="CS173" i="46"/>
  <c r="CS175" i="46" s="1"/>
  <c r="CT173" i="46" s="1"/>
  <c r="CO175" i="46"/>
  <c r="R250" i="46"/>
  <c r="S250" i="46" s="1"/>
  <c r="P67" i="46"/>
  <c r="P54" i="46"/>
  <c r="P10" i="73"/>
  <c r="BD215" i="46"/>
  <c r="BC235" i="46"/>
  <c r="AL246" i="46"/>
  <c r="AU53" i="46"/>
  <c r="AK67" i="46"/>
  <c r="AK54" i="46"/>
  <c r="AK250" i="46"/>
  <c r="AK246" i="46"/>
  <c r="AG53" i="46"/>
  <c r="U250" i="46"/>
  <c r="AM54" i="46"/>
  <c r="AM67" i="46"/>
  <c r="AR54" i="46"/>
  <c r="K246" i="46"/>
  <c r="BE50" i="46"/>
  <c r="W250" i="46"/>
  <c r="X250" i="46" s="1"/>
  <c r="BA194" i="46"/>
  <c r="BB190" i="46"/>
  <c r="AV53" i="46"/>
  <c r="AV67" i="46" s="1"/>
  <c r="BF49" i="46"/>
  <c r="U67" i="46"/>
  <c r="U54" i="46"/>
  <c r="AD250" i="46"/>
  <c r="BE266" i="46"/>
  <c r="DW50" i="71"/>
  <c r="DW51" i="71" s="1"/>
  <c r="CL173" i="46"/>
  <c r="CK175" i="46"/>
  <c r="N54" i="46"/>
  <c r="N67" i="46"/>
  <c r="AU250" i="46"/>
  <c r="AU246" i="46"/>
  <c r="AQ53" i="46"/>
  <c r="T246" i="46"/>
  <c r="M54" i="46"/>
  <c r="M67" i="46"/>
  <c r="DT15" i="71"/>
  <c r="J54" i="46"/>
  <c r="J67" i="46"/>
  <c r="AO246" i="46"/>
  <c r="BD266" i="46"/>
  <c r="DV50" i="71"/>
  <c r="DV51" i="71" s="1"/>
  <c r="AE54" i="46"/>
  <c r="AE67" i="46"/>
  <c r="K250" i="46"/>
  <c r="Y67" i="46"/>
  <c r="Y54" i="46"/>
  <c r="AJ54" i="46"/>
  <c r="AQ250" i="46"/>
  <c r="AR250" i="46" s="1"/>
  <c r="S70" i="71"/>
  <c r="S72" i="71" s="1"/>
  <c r="S60" i="71" s="1"/>
  <c r="N68" i="71"/>
  <c r="CJ70" i="73"/>
  <c r="BL543" i="80" l="1"/>
  <c r="AD496" i="80"/>
  <c r="AH527" i="80"/>
  <c r="AH378" i="80" s="1"/>
  <c r="AH184" i="80"/>
  <c r="AH232" i="80" s="1"/>
  <c r="AH512" i="80"/>
  <c r="BQ122" i="78"/>
  <c r="BQ124" i="78" s="1"/>
  <c r="BM133" i="78"/>
  <c r="BM10" i="78" s="1"/>
  <c r="BM124" i="78"/>
  <c r="BG117" i="99"/>
  <c r="BL119" i="99"/>
  <c r="BL120" i="99" s="1"/>
  <c r="BL71" i="98"/>
  <c r="BL72" i="98" s="1"/>
  <c r="BL9" i="98"/>
  <c r="AW63" i="79"/>
  <c r="AW37" i="73" s="1"/>
  <c r="BQ9" i="79"/>
  <c r="AV61" i="51"/>
  <c r="AV75" i="51" s="1"/>
  <c r="AW54" i="51"/>
  <c r="AW61" i="51" s="1"/>
  <c r="AW75" i="51" s="1"/>
  <c r="AV208" i="79"/>
  <c r="AV221" i="79" s="1"/>
  <c r="AV212" i="79"/>
  <c r="BP15" i="51"/>
  <c r="BP19" i="51" s="1"/>
  <c r="BP23" i="51" s="1"/>
  <c r="BP24" i="51" s="1"/>
  <c r="BQ12" i="51"/>
  <c r="BQ15" i="51" s="1"/>
  <c r="BQ19" i="51" s="1"/>
  <c r="BQ23" i="51" s="1"/>
  <c r="BQ24" i="51" s="1"/>
  <c r="AZ37" i="100"/>
  <c r="BE40" i="79"/>
  <c r="BE40" i="51"/>
  <c r="BE43" i="78"/>
  <c r="BE40" i="80"/>
  <c r="BE801" i="80" s="1"/>
  <c r="AZ43" i="99"/>
  <c r="AZ37" i="98"/>
  <c r="BE41" i="77"/>
  <c r="CF101" i="59"/>
  <c r="CK256" i="59"/>
  <c r="CG251" i="59"/>
  <c r="CG256" i="59" s="1"/>
  <c r="CG258" i="59" s="1"/>
  <c r="CM251" i="59"/>
  <c r="CM256" i="59" s="1"/>
  <c r="CM258" i="59" s="1"/>
  <c r="CH251" i="59"/>
  <c r="CH256" i="59" s="1"/>
  <c r="CH258" i="59" s="1"/>
  <c r="CJ251" i="59"/>
  <c r="CJ256" i="59" s="1"/>
  <c r="CJ258" i="59" s="1"/>
  <c r="CO251" i="59"/>
  <c r="CO256" i="59" s="1"/>
  <c r="CO258" i="59" s="1"/>
  <c r="CN251" i="59"/>
  <c r="CN256" i="59" s="1"/>
  <c r="CN258" i="59" s="1"/>
  <c r="CL251" i="59"/>
  <c r="CL256" i="59" s="1"/>
  <c r="CL258" i="59" s="1"/>
  <c r="CI251" i="59"/>
  <c r="CI256" i="59" s="1"/>
  <c r="CI258" i="59" s="1"/>
  <c r="CP251" i="59"/>
  <c r="CK99" i="59"/>
  <c r="BG811" i="80" s="1"/>
  <c r="CM94" i="59"/>
  <c r="CM99" i="59" s="1"/>
  <c r="CP94" i="59"/>
  <c r="CH94" i="59"/>
  <c r="CH99" i="59" s="1"/>
  <c r="CO94" i="59"/>
  <c r="CO99" i="59" s="1"/>
  <c r="CN94" i="59"/>
  <c r="CN99" i="59" s="1"/>
  <c r="CI94" i="59"/>
  <c r="CI99" i="59" s="1"/>
  <c r="CL94" i="59"/>
  <c r="CL99" i="59" s="1"/>
  <c r="CJ94" i="59"/>
  <c r="CJ99" i="59" s="1"/>
  <c r="CG94" i="59"/>
  <c r="CG99" i="59" s="1"/>
  <c r="BB145" i="79"/>
  <c r="BB146" i="79" s="1"/>
  <c r="CK101" i="59"/>
  <c r="BG812" i="80"/>
  <c r="CF258" i="59"/>
  <c r="CK133" i="59"/>
  <c r="CF11" i="59"/>
  <c r="CF12" i="59" s="1"/>
  <c r="AH496" i="80"/>
  <c r="AH332" i="80"/>
  <c r="AH334" i="80" s="1"/>
  <c r="BO324" i="80"/>
  <c r="BO272" i="80"/>
  <c r="BP272" i="80"/>
  <c r="BP324" i="80"/>
  <c r="BN324" i="80"/>
  <c r="BN272" i="80"/>
  <c r="BM400" i="80"/>
  <c r="BM75" i="80"/>
  <c r="BM83" i="80"/>
  <c r="BM254" i="80" s="1"/>
  <c r="BQ81" i="80"/>
  <c r="BM618" i="80"/>
  <c r="BM499" i="80"/>
  <c r="BQ499" i="80" s="1"/>
  <c r="BM79" i="80"/>
  <c r="BQ77" i="80"/>
  <c r="BQ79" i="80" s="1"/>
  <c r="BX324" i="80" s="1"/>
  <c r="BQ67" i="80"/>
  <c r="BQ257" i="80" s="1"/>
  <c r="Z189" i="80"/>
  <c r="BQ253" i="80"/>
  <c r="BQ643" i="80"/>
  <c r="BX316" i="80"/>
  <c r="BZ316" i="80" s="1"/>
  <c r="CA316" i="80" s="1"/>
  <c r="BQ285" i="80"/>
  <c r="AM472" i="80"/>
  <c r="BQ85" i="80"/>
  <c r="BM605" i="80"/>
  <c r="BM87" i="80"/>
  <c r="BM519" i="80"/>
  <c r="BQ519" i="80" s="1"/>
  <c r="BM387" i="80"/>
  <c r="BO285" i="80"/>
  <c r="BO253" i="80"/>
  <c r="BO643" i="80"/>
  <c r="BN253" i="80"/>
  <c r="BN643" i="80"/>
  <c r="BN285" i="80"/>
  <c r="BP643" i="80"/>
  <c r="BP285" i="80"/>
  <c r="BP253" i="80"/>
  <c r="CK289" i="59"/>
  <c r="CK291" i="59" s="1"/>
  <c r="CO284" i="59"/>
  <c r="CO289" i="59" s="1"/>
  <c r="CG284" i="59"/>
  <c r="CG289" i="59" s="1"/>
  <c r="CG11" i="59" s="1"/>
  <c r="CG12" i="59" s="1"/>
  <c r="CN284" i="59"/>
  <c r="CN289" i="59" s="1"/>
  <c r="CJ284" i="59"/>
  <c r="CJ289" i="59" s="1"/>
  <c r="CM284" i="59"/>
  <c r="CM289" i="59" s="1"/>
  <c r="CI284" i="59"/>
  <c r="CI289" i="59" s="1"/>
  <c r="CH284" i="59"/>
  <c r="CH289" i="59" s="1"/>
  <c r="CP284" i="59"/>
  <c r="CL284" i="59"/>
  <c r="CL289" i="59" s="1"/>
  <c r="AY108" i="46"/>
  <c r="CK41" i="59"/>
  <c r="BF108" i="46"/>
  <c r="CU182" i="59"/>
  <c r="CP192" i="59"/>
  <c r="AZ156" i="79"/>
  <c r="CI176" i="59"/>
  <c r="CK247" i="59"/>
  <c r="CK258" i="59" s="1"/>
  <c r="CP235" i="59"/>
  <c r="BA108" i="46"/>
  <c r="CC176" i="59"/>
  <c r="CC11" i="59"/>
  <c r="CC12" i="59" s="1"/>
  <c r="CE11" i="59"/>
  <c r="CE12" i="59" s="1"/>
  <c r="CE176" i="59"/>
  <c r="CB11" i="59"/>
  <c r="CB12" i="59" s="1"/>
  <c r="CB176" i="59"/>
  <c r="CZ265" i="59"/>
  <c r="CZ281" i="59" s="1"/>
  <c r="CU281" i="59"/>
  <c r="BB157" i="79"/>
  <c r="BG186" i="78"/>
  <c r="CP163" i="59"/>
  <c r="CZ39" i="59"/>
  <c r="CU39" i="59"/>
  <c r="CK319" i="59"/>
  <c r="CK321" i="59" s="1"/>
  <c r="BD108" i="46"/>
  <c r="AZ108" i="46"/>
  <c r="CF176" i="59"/>
  <c r="BC108" i="46"/>
  <c r="CU125" i="59"/>
  <c r="CP131" i="59"/>
  <c r="BG185" i="78" s="1"/>
  <c r="AY156" i="79"/>
  <c r="CH176" i="59"/>
  <c r="CK174" i="59"/>
  <c r="CK176" i="59" s="1"/>
  <c r="CP167" i="59"/>
  <c r="BA156" i="79"/>
  <c r="CJ176" i="59"/>
  <c r="BE108" i="46"/>
  <c r="AX108" i="46"/>
  <c r="CU196" i="59"/>
  <c r="CP202" i="59"/>
  <c r="BG182" i="77" s="1"/>
  <c r="CU121" i="59"/>
  <c r="CZ107" i="59"/>
  <c r="CU47" i="59"/>
  <c r="CP90" i="59"/>
  <c r="CU18" i="59"/>
  <c r="CP31" i="59"/>
  <c r="CP224" i="59"/>
  <c r="CP226" i="59" s="1"/>
  <c r="CK204" i="59"/>
  <c r="BB183" i="77"/>
  <c r="BB136" i="100"/>
  <c r="CP311" i="59"/>
  <c r="CD11" i="59"/>
  <c r="CD12" i="59" s="1"/>
  <c r="CD176" i="59"/>
  <c r="AX156" i="79"/>
  <c r="AX26" i="79" s="1"/>
  <c r="AX211" i="79" s="1"/>
  <c r="CG176" i="59"/>
  <c r="AW136" i="100"/>
  <c r="X57" i="100"/>
  <c r="AC91" i="73"/>
  <c r="AD244" i="100"/>
  <c r="AC251" i="100"/>
  <c r="AC252" i="100" s="1"/>
  <c r="AH244" i="100"/>
  <c r="AH104" i="73"/>
  <c r="AC262" i="100"/>
  <c r="BB198" i="100"/>
  <c r="N236" i="100"/>
  <c r="N239" i="100"/>
  <c r="U236" i="100"/>
  <c r="U239" i="100"/>
  <c r="AH246" i="100"/>
  <c r="AH112" i="100"/>
  <c r="AJ109" i="100"/>
  <c r="AJ110" i="100" s="1"/>
  <c r="AI109" i="100"/>
  <c r="AI110" i="100" s="1"/>
  <c r="AL109" i="100"/>
  <c r="AL110" i="100" s="1"/>
  <c r="AK109" i="100"/>
  <c r="AK110" i="100" s="1"/>
  <c r="AM110" i="100"/>
  <c r="AQ239" i="100"/>
  <c r="AQ236" i="100"/>
  <c r="AX120" i="100"/>
  <c r="AX19" i="100" s="1"/>
  <c r="AZ120" i="100"/>
  <c r="AZ19" i="100" s="1"/>
  <c r="AY120" i="100"/>
  <c r="AY19" i="100" s="1"/>
  <c r="BA120" i="100"/>
  <c r="BA19" i="100" s="1"/>
  <c r="AJ226" i="100"/>
  <c r="AJ230" i="100"/>
  <c r="AG226" i="100"/>
  <c r="AF230" i="100"/>
  <c r="O239" i="100"/>
  <c r="O236" i="100"/>
  <c r="AM41" i="100"/>
  <c r="AX175" i="100"/>
  <c r="BG47" i="100"/>
  <c r="AB239" i="100"/>
  <c r="AB236" i="100"/>
  <c r="V236" i="100"/>
  <c r="V239" i="100"/>
  <c r="BL47" i="100"/>
  <c r="AH236" i="100"/>
  <c r="AH239" i="100"/>
  <c r="AW190" i="100"/>
  <c r="AG246" i="100"/>
  <c r="AG112" i="100"/>
  <c r="AF246" i="100"/>
  <c r="AF112" i="100"/>
  <c r="AN239" i="100"/>
  <c r="AN236" i="100"/>
  <c r="BC104" i="100"/>
  <c r="BD105" i="100"/>
  <c r="BB12" i="100"/>
  <c r="AK226" i="100"/>
  <c r="AK230" i="100"/>
  <c r="W34" i="100"/>
  <c r="W39" i="100"/>
  <c r="AD226" i="100"/>
  <c r="AD230" i="100"/>
  <c r="P239" i="100"/>
  <c r="P236" i="100"/>
  <c r="X41" i="100"/>
  <c r="AC41" i="100"/>
  <c r="CR163" i="100"/>
  <c r="CQ165" i="100"/>
  <c r="AX211" i="100"/>
  <c r="AD246" i="100"/>
  <c r="AD112" i="100"/>
  <c r="AO236" i="100"/>
  <c r="AO239" i="100"/>
  <c r="AL236" i="100"/>
  <c r="AL239" i="100"/>
  <c r="AE226" i="100"/>
  <c r="AG230" i="100"/>
  <c r="Q236" i="100"/>
  <c r="Q239" i="100"/>
  <c r="BK85" i="100"/>
  <c r="BL87" i="100"/>
  <c r="BL88" i="100" s="1"/>
  <c r="X239" i="100"/>
  <c r="X236" i="100"/>
  <c r="T165" i="100"/>
  <c r="U163" i="100" s="1"/>
  <c r="U165" i="100" s="1"/>
  <c r="V163" i="100" s="1"/>
  <c r="V165" i="100" s="1"/>
  <c r="W163" i="100" s="1"/>
  <c r="W165" i="100" s="1"/>
  <c r="X163" i="100"/>
  <c r="X165" i="100" s="1"/>
  <c r="Y163" i="100" s="1"/>
  <c r="AA249" i="100"/>
  <c r="AB244" i="100" s="1"/>
  <c r="AB249" i="100" s="1"/>
  <c r="CZ163" i="100"/>
  <c r="CZ165" i="100" s="1"/>
  <c r="CV163" i="100"/>
  <c r="T239" i="100"/>
  <c r="T236" i="100"/>
  <c r="AY100" i="100"/>
  <c r="AE246" i="100"/>
  <c r="AE112" i="100"/>
  <c r="AW85" i="46"/>
  <c r="AW16" i="71" s="1"/>
  <c r="AP226" i="100"/>
  <c r="AP230" i="100"/>
  <c r="AI226" i="100"/>
  <c r="AI230" i="100"/>
  <c r="AF226" i="100"/>
  <c r="AE230" i="100"/>
  <c r="R236" i="100"/>
  <c r="R239" i="100"/>
  <c r="BF12" i="100"/>
  <c r="BG85" i="100"/>
  <c r="AL45" i="99"/>
  <c r="AL40" i="99"/>
  <c r="V294" i="99"/>
  <c r="U64" i="99"/>
  <c r="Q295" i="99"/>
  <c r="Q65" i="99" s="1"/>
  <c r="AF272" i="99"/>
  <c r="AF269" i="99"/>
  <c r="CY194" i="99"/>
  <c r="CY196" i="99" s="1"/>
  <c r="CX194" i="99"/>
  <c r="CX196" i="99" s="1"/>
  <c r="CW196" i="99"/>
  <c r="J272" i="99"/>
  <c r="J269" i="99"/>
  <c r="Y47" i="99"/>
  <c r="AH194" i="99"/>
  <c r="AH196" i="99" s="1"/>
  <c r="AI194" i="99" s="1"/>
  <c r="AD196" i="99"/>
  <c r="AE194" i="99" s="1"/>
  <c r="AE196" i="99" s="1"/>
  <c r="AF194" i="99" s="1"/>
  <c r="AF196" i="99" s="1"/>
  <c r="AG194" i="99" s="1"/>
  <c r="AG196" i="99" s="1"/>
  <c r="O295" i="99"/>
  <c r="O65" i="99" s="1"/>
  <c r="AI272" i="99"/>
  <c r="AI269" i="99"/>
  <c r="Q272" i="99"/>
  <c r="Q269" i="99"/>
  <c r="AA272" i="99"/>
  <c r="AA269" i="99"/>
  <c r="K272" i="99"/>
  <c r="K269" i="99"/>
  <c r="L272" i="99"/>
  <c r="L269" i="99"/>
  <c r="V272" i="99"/>
  <c r="V269" i="99"/>
  <c r="W272" i="99"/>
  <c r="W269" i="99"/>
  <c r="AM272" i="99"/>
  <c r="AM269" i="99"/>
  <c r="AT19" i="99"/>
  <c r="P295" i="99"/>
  <c r="P65" i="99" s="1"/>
  <c r="BL117" i="99"/>
  <c r="BH18" i="99"/>
  <c r="AP263" i="99"/>
  <c r="AP295" i="99" s="1"/>
  <c r="AP65" i="99" s="1"/>
  <c r="AN263" i="99"/>
  <c r="AN295" i="99" s="1"/>
  <c r="AN65" i="99" s="1"/>
  <c r="AN259" i="99"/>
  <c r="AQ259" i="99"/>
  <c r="AQ263" i="99"/>
  <c r="AQ295" i="99" s="1"/>
  <c r="AQ65" i="99" s="1"/>
  <c r="AO263" i="99"/>
  <c r="AO295" i="99" s="1"/>
  <c r="AO65" i="99" s="1"/>
  <c r="AO259" i="99"/>
  <c r="AP259" i="99"/>
  <c r="AN46" i="99"/>
  <c r="AS84" i="46" s="1"/>
  <c r="AW84" i="46" s="1"/>
  <c r="AW15" i="71" s="1"/>
  <c r="AR47" i="99"/>
  <c r="I282" i="99"/>
  <c r="N295" i="99"/>
  <c r="N65" i="99" s="1"/>
  <c r="DB194" i="99"/>
  <c r="DA196" i="99"/>
  <c r="AK272" i="99"/>
  <c r="AK269" i="99"/>
  <c r="AJ272" i="99"/>
  <c r="AJ269" i="99"/>
  <c r="Y272" i="99"/>
  <c r="Y269" i="99"/>
  <c r="AS27" i="99"/>
  <c r="AW25" i="99"/>
  <c r="AW27" i="99" s="1"/>
  <c r="AS209" i="99"/>
  <c r="AD272" i="99"/>
  <c r="AD269" i="99"/>
  <c r="AE259" i="99"/>
  <c r="Z272" i="99"/>
  <c r="Z269" i="99"/>
  <c r="M272" i="99"/>
  <c r="M269" i="99"/>
  <c r="U272" i="99"/>
  <c r="U269" i="99"/>
  <c r="AS23" i="99"/>
  <c r="AS16" i="99"/>
  <c r="AR282" i="99"/>
  <c r="AT133" i="99"/>
  <c r="BG20" i="99"/>
  <c r="N284" i="99"/>
  <c r="S285" i="99" s="1"/>
  <c r="DF194" i="99"/>
  <c r="DJ194" i="99"/>
  <c r="DJ196" i="99" s="1"/>
  <c r="AJ263" i="99"/>
  <c r="AJ295" i="99" s="1"/>
  <c r="AJ65" i="99" s="1"/>
  <c r="BL12" i="99"/>
  <c r="BL14" i="99" s="1"/>
  <c r="BH14" i="99"/>
  <c r="AX132" i="99"/>
  <c r="AG272" i="99"/>
  <c r="AG269" i="99"/>
  <c r="AX208" i="99"/>
  <c r="T272" i="99"/>
  <c r="T269" i="99"/>
  <c r="BG18" i="99"/>
  <c r="AX144" i="99"/>
  <c r="AZ231" i="99"/>
  <c r="AB259" i="99"/>
  <c r="P294" i="99"/>
  <c r="O64" i="99"/>
  <c r="BL122" i="99"/>
  <c r="BL123" i="99" s="1"/>
  <c r="BH20" i="99"/>
  <c r="BL20" i="99" s="1"/>
  <c r="AZ137" i="99"/>
  <c r="AY136" i="99"/>
  <c r="AX24" i="46"/>
  <c r="AS23" i="98"/>
  <c r="AT101" i="98"/>
  <c r="AU109" i="98" s="1"/>
  <c r="AU107" i="98" s="1"/>
  <c r="AU100" i="98" s="1"/>
  <c r="AN227" i="98"/>
  <c r="AO231" i="98"/>
  <c r="AH57" i="98"/>
  <c r="AM73" i="73"/>
  <c r="AJ240" i="98"/>
  <c r="AJ237" i="98"/>
  <c r="AZ191" i="98"/>
  <c r="AW81" i="98"/>
  <c r="Y165" i="98"/>
  <c r="AC163" i="98"/>
  <c r="AC165" i="98" s="1"/>
  <c r="AD163" i="98" s="1"/>
  <c r="AQ240" i="98"/>
  <c r="AQ237" i="98"/>
  <c r="AP240" i="98"/>
  <c r="AP237" i="98"/>
  <c r="AV8" i="98"/>
  <c r="AV74" i="98"/>
  <c r="AV75" i="98" s="1"/>
  <c r="AW62" i="98"/>
  <c r="AB240" i="98"/>
  <c r="AB237" i="98"/>
  <c r="AY111" i="98"/>
  <c r="AI240" i="98"/>
  <c r="AI237" i="98"/>
  <c r="AL227" i="98"/>
  <c r="BL87" i="98"/>
  <c r="BL88" i="98" s="1"/>
  <c r="BH85" i="98"/>
  <c r="AV176" i="98"/>
  <c r="AS178" i="98"/>
  <c r="AN231" i="98"/>
  <c r="AP231" i="98"/>
  <c r="AZ103" i="98"/>
  <c r="BA104" i="98"/>
  <c r="BA103" i="98" s="1"/>
  <c r="BB103" i="98" s="1"/>
  <c r="V34" i="98"/>
  <c r="V39" i="98"/>
  <c r="AA240" i="98"/>
  <c r="AA237" i="98"/>
  <c r="AL231" i="98"/>
  <c r="CW163" i="98"/>
  <c r="CV165" i="98"/>
  <c r="BB12" i="98"/>
  <c r="AW99" i="98"/>
  <c r="AZ199" i="98"/>
  <c r="AO227" i="98"/>
  <c r="AK240" i="98"/>
  <c r="AK237" i="98"/>
  <c r="BG85" i="98"/>
  <c r="BC12" i="98"/>
  <c r="AT247" i="98"/>
  <c r="AT144" i="98"/>
  <c r="AT15" i="98"/>
  <c r="AT17" i="98" s="1"/>
  <c r="DE163" i="98"/>
  <c r="DE165" i="98" s="1"/>
  <c r="DA163" i="98"/>
  <c r="CT163" i="98"/>
  <c r="CT165" i="98" s="1"/>
  <c r="CS163" i="98"/>
  <c r="CS165" i="98" s="1"/>
  <c r="CR165" i="98"/>
  <c r="BQ85" i="77"/>
  <c r="AR92" i="77"/>
  <c r="AR10" i="77"/>
  <c r="AR16" i="77"/>
  <c r="AR18" i="77" s="1"/>
  <c r="AA43" i="77"/>
  <c r="AA38" i="77"/>
  <c r="AA44" i="77" s="1"/>
  <c r="AX152" i="77"/>
  <c r="AY158" i="77" s="1"/>
  <c r="AY151" i="77" s="1"/>
  <c r="Z25" i="77"/>
  <c r="Z29" i="77"/>
  <c r="AA238" i="77"/>
  <c r="AA251" i="77" s="1"/>
  <c r="Z238" i="77"/>
  <c r="Z251" i="77" s="1"/>
  <c r="BM13" i="77"/>
  <c r="AC43" i="77"/>
  <c r="AC38" i="77"/>
  <c r="AJ92" i="77"/>
  <c r="AJ10" i="77"/>
  <c r="AO9" i="77" s="1"/>
  <c r="AL9" i="77"/>
  <c r="Y43" i="77"/>
  <c r="Y38" i="77"/>
  <c r="AI96" i="77"/>
  <c r="AI110" i="77"/>
  <c r="AP24" i="77"/>
  <c r="AP22" i="46"/>
  <c r="AP93" i="77"/>
  <c r="AP95" i="77"/>
  <c r="CS210" i="77"/>
  <c r="CS212" i="77" s="1"/>
  <c r="CR212" i="77"/>
  <c r="AD25" i="77"/>
  <c r="AD29" i="77"/>
  <c r="BF223" i="77"/>
  <c r="R44" i="77"/>
  <c r="R241" i="77"/>
  <c r="R237" i="77"/>
  <c r="V45" i="77"/>
  <c r="V81" i="46"/>
  <c r="AX190" i="77"/>
  <c r="AS212" i="77"/>
  <c r="AT210" i="77" s="1"/>
  <c r="AT212" i="77" s="1"/>
  <c r="AU210" i="77" s="1"/>
  <c r="AU212" i="77" s="1"/>
  <c r="AV210" i="77" s="1"/>
  <c r="AV212" i="77" s="1"/>
  <c r="AW210" i="77"/>
  <c r="AW212" i="77" s="1"/>
  <c r="W33" i="77"/>
  <c r="W36" i="77" s="1"/>
  <c r="W61" i="77"/>
  <c r="W60" i="77"/>
  <c r="AG92" i="77"/>
  <c r="AE132" i="77"/>
  <c r="AG10" i="77"/>
  <c r="AG132" i="77" s="1"/>
  <c r="AU92" i="77"/>
  <c r="AU10" i="77"/>
  <c r="AU132" i="77" s="1"/>
  <c r="AU11" i="77"/>
  <c r="AU16" i="77"/>
  <c r="AU18" i="77" s="1"/>
  <c r="BD219" i="77"/>
  <c r="BQ125" i="77"/>
  <c r="BA160" i="77"/>
  <c r="T250" i="77"/>
  <c r="T247" i="77"/>
  <c r="U43" i="77"/>
  <c r="U38" i="77"/>
  <c r="AK29" i="77"/>
  <c r="AK25" i="77"/>
  <c r="CW210" i="77"/>
  <c r="CY210" i="77"/>
  <c r="CY212" i="77" s="1"/>
  <c r="CV212" i="77"/>
  <c r="AE16" i="77"/>
  <c r="AE18" i="77" s="1"/>
  <c r="AE93" i="77"/>
  <c r="AE95" i="77"/>
  <c r="BE192" i="77"/>
  <c r="BE22" i="77"/>
  <c r="AI24" i="77"/>
  <c r="AI22" i="46"/>
  <c r="AP133" i="77"/>
  <c r="AP135" i="77"/>
  <c r="AP136" i="77" s="1"/>
  <c r="AB24" i="77"/>
  <c r="AB22" i="46"/>
  <c r="Y239" i="77"/>
  <c r="Y246" i="77" s="1"/>
  <c r="V68" i="46"/>
  <c r="BK8" i="77"/>
  <c r="BL74" i="77"/>
  <c r="AN92" i="77"/>
  <c r="AN10" i="77"/>
  <c r="AN132" i="77" s="1"/>
  <c r="AN16" i="77"/>
  <c r="AN18" i="77" s="1"/>
  <c r="L44" i="77"/>
  <c r="P241" i="77"/>
  <c r="L241" i="77"/>
  <c r="P237" i="77"/>
  <c r="M237" i="77"/>
  <c r="O241" i="77"/>
  <c r="O237" i="77"/>
  <c r="M241" i="77"/>
  <c r="L237" i="77"/>
  <c r="M44" i="77"/>
  <c r="M45" i="77" s="1"/>
  <c r="Q237" i="77"/>
  <c r="Q241" i="77"/>
  <c r="AH238" i="77"/>
  <c r="AH251" i="77" s="1"/>
  <c r="AH25" i="77"/>
  <c r="AH29" i="77"/>
  <c r="BP8" i="77"/>
  <c r="AK96" i="77"/>
  <c r="AK110" i="77"/>
  <c r="DE210" i="77"/>
  <c r="DE212" i="77" s="1"/>
  <c r="DA210" i="77"/>
  <c r="AE11" i="77"/>
  <c r="BG154" i="77"/>
  <c r="BG161" i="77" s="1"/>
  <c r="BH161" i="77" s="1"/>
  <c r="BF171" i="77"/>
  <c r="BF20" i="77" s="1"/>
  <c r="BC150" i="77"/>
  <c r="AM24" i="77"/>
  <c r="AM22" i="46"/>
  <c r="AP11" i="77"/>
  <c r="AB133" i="77"/>
  <c r="AB135" i="77"/>
  <c r="AB136" i="77" s="1"/>
  <c r="H250" i="77"/>
  <c r="H247" i="77"/>
  <c r="AM133" i="77"/>
  <c r="AM135" i="77"/>
  <c r="AM136" i="77" s="1"/>
  <c r="S262" i="77"/>
  <c r="X255" i="77"/>
  <c r="X260" i="77" s="1"/>
  <c r="T255" i="77"/>
  <c r="T260" i="77" s="1"/>
  <c r="U255" i="77" s="1"/>
  <c r="U260" i="77" s="1"/>
  <c r="V255" i="77" s="1"/>
  <c r="V260" i="77" s="1"/>
  <c r="W255" i="77" s="1"/>
  <c r="W260" i="77" s="1"/>
  <c r="X43" i="77"/>
  <c r="X38" i="77"/>
  <c r="AF29" i="77"/>
  <c r="AF25" i="77"/>
  <c r="BO8" i="78"/>
  <c r="BN8" i="78"/>
  <c r="AJ61" i="78"/>
  <c r="AJ35" i="78"/>
  <c r="AJ38" i="78" s="1"/>
  <c r="AJ62" i="78"/>
  <c r="N273" i="78"/>
  <c r="N66" i="78" s="1"/>
  <c r="N272" i="78"/>
  <c r="N65" i="78" s="1"/>
  <c r="AX20" i="78"/>
  <c r="AX11" i="78"/>
  <c r="BB8" i="78"/>
  <c r="P47" i="78"/>
  <c r="P80" i="46"/>
  <c r="P68" i="46" s="1"/>
  <c r="AD46" i="78"/>
  <c r="U249" i="78"/>
  <c r="U246" i="78"/>
  <c r="AZ195" i="78"/>
  <c r="AZ24" i="78"/>
  <c r="AT94" i="78"/>
  <c r="AY94" i="78" s="1"/>
  <c r="AT96" i="78"/>
  <c r="AQ94" i="78"/>
  <c r="AQ96" i="78"/>
  <c r="AP27" i="78"/>
  <c r="AP31" i="78"/>
  <c r="AZ133" i="78"/>
  <c r="BE134" i="78"/>
  <c r="AS47" i="78"/>
  <c r="AS80" i="46"/>
  <c r="AY133" i="78"/>
  <c r="BD134" i="78"/>
  <c r="AO27" i="78"/>
  <c r="AO31" i="78"/>
  <c r="AO237" i="78"/>
  <c r="AO250" i="78" s="1"/>
  <c r="AP237" i="78"/>
  <c r="AP250" i="78" s="1"/>
  <c r="AJ238" i="78"/>
  <c r="AJ245" i="78" s="1"/>
  <c r="BG13" i="78"/>
  <c r="BL15" i="78"/>
  <c r="BF134" i="78"/>
  <c r="BA133" i="78"/>
  <c r="S246" i="78"/>
  <c r="S249" i="78"/>
  <c r="AC254" i="78"/>
  <c r="AC259" i="78" s="1"/>
  <c r="X261" i="78"/>
  <c r="Y254" i="78"/>
  <c r="Y259" i="78" s="1"/>
  <c r="Z254" i="78" s="1"/>
  <c r="Z259" i="78" s="1"/>
  <c r="AA254" i="78" s="1"/>
  <c r="AA259" i="78" s="1"/>
  <c r="AB254" i="78" s="1"/>
  <c r="AB259" i="78" s="1"/>
  <c r="AP97" i="78"/>
  <c r="AP111" i="78"/>
  <c r="BE225" i="78"/>
  <c r="Z236" i="78"/>
  <c r="Y236" i="78"/>
  <c r="W236" i="78"/>
  <c r="X47" i="78"/>
  <c r="X80" i="46"/>
  <c r="X12" i="71" s="1"/>
  <c r="AW237" i="78"/>
  <c r="AW250" i="78" s="1"/>
  <c r="AW27" i="78"/>
  <c r="AW31" i="78"/>
  <c r="BM126" i="78"/>
  <c r="BM117" i="78" s="1"/>
  <c r="BH117" i="78"/>
  <c r="AO97" i="78"/>
  <c r="AO111" i="78"/>
  <c r="K47" i="78"/>
  <c r="K80" i="46"/>
  <c r="BQ143" i="78"/>
  <c r="BQ144" i="78" s="1"/>
  <c r="BM141" i="78"/>
  <c r="AC249" i="78"/>
  <c r="AC246" i="78"/>
  <c r="BC162" i="78"/>
  <c r="AV26" i="78"/>
  <c r="AV21" i="46"/>
  <c r="BN271" i="78"/>
  <c r="BO64" i="78"/>
  <c r="AF45" i="78"/>
  <c r="AF40" i="78"/>
  <c r="AF46" i="78" s="1"/>
  <c r="Y214" i="78"/>
  <c r="Z212" i="78" s="1"/>
  <c r="Z214" i="78" s="1"/>
  <c r="AA212" i="78" s="1"/>
  <c r="AA214" i="78" s="1"/>
  <c r="AB212" i="78" s="1"/>
  <c r="AB214" i="78" s="1"/>
  <c r="AC212" i="78"/>
  <c r="AC214" i="78" s="1"/>
  <c r="AD212" i="78" s="1"/>
  <c r="P246" i="78"/>
  <c r="P249" i="78"/>
  <c r="AY256" i="78"/>
  <c r="AY158" i="78"/>
  <c r="AY14" i="78" s="1"/>
  <c r="AU26" i="78"/>
  <c r="AU21" i="46"/>
  <c r="AR238" i="78"/>
  <c r="AR245" i="78" s="1"/>
  <c r="AR29" i="71"/>
  <c r="BP8" i="78"/>
  <c r="BQ75" i="78"/>
  <c r="BC175" i="78"/>
  <c r="BA174" i="78"/>
  <c r="BA22" i="78" s="1"/>
  <c r="BB22" i="78" s="1"/>
  <c r="BB24" i="78" s="1"/>
  <c r="BD152" i="78"/>
  <c r="AI45" i="78"/>
  <c r="AI40" i="78"/>
  <c r="AN80" i="46"/>
  <c r="J47" i="78"/>
  <c r="J80" i="46"/>
  <c r="J68" i="46" s="1"/>
  <c r="O47" i="78"/>
  <c r="BK8" i="78"/>
  <c r="BL75" i="78"/>
  <c r="S273" i="78"/>
  <c r="S66" i="78" s="1"/>
  <c r="S272" i="78"/>
  <c r="S65" i="78" s="1"/>
  <c r="DD212" i="78"/>
  <c r="DD214" i="78" s="1"/>
  <c r="DE212" i="78"/>
  <c r="DE214" i="78" s="1"/>
  <c r="DF212" i="78" s="1"/>
  <c r="DB212" i="78"/>
  <c r="DA214" i="78"/>
  <c r="AB240" i="78"/>
  <c r="V249" i="78"/>
  <c r="V246" i="78"/>
  <c r="X249" i="78"/>
  <c r="X246" i="78"/>
  <c r="AB45" i="78"/>
  <c r="AB40" i="78"/>
  <c r="AB46" i="78" s="1"/>
  <c r="BL141" i="78"/>
  <c r="BH13" i="78"/>
  <c r="EH39" i="71"/>
  <c r="BP97" i="46"/>
  <c r="BD221" i="78"/>
  <c r="EF39" i="71"/>
  <c r="BN97" i="46"/>
  <c r="N47" i="78"/>
  <c r="N80" i="46"/>
  <c r="N12" i="71" s="1"/>
  <c r="BB126" i="78"/>
  <c r="R249" i="78"/>
  <c r="R246" i="78"/>
  <c r="AY153" i="78"/>
  <c r="U47" i="78"/>
  <c r="U80" i="46"/>
  <c r="U68" i="46" s="1"/>
  <c r="AR61" i="78"/>
  <c r="AR62" i="78"/>
  <c r="AR35" i="78"/>
  <c r="AR38" i="78" s="1"/>
  <c r="AG62" i="78"/>
  <c r="AG35" i="78"/>
  <c r="AG38" i="78" s="1"/>
  <c r="AG61" i="78"/>
  <c r="AQ26" i="78"/>
  <c r="AQ237" i="78" s="1"/>
  <c r="AQ250" i="78" s="1"/>
  <c r="AQ21" i="46"/>
  <c r="K246" i="78"/>
  <c r="K249" i="78"/>
  <c r="L249" i="78"/>
  <c r="L246" i="78"/>
  <c r="AL35" i="78"/>
  <c r="AL38" i="78" s="1"/>
  <c r="AL61" i="78"/>
  <c r="AL62" i="78"/>
  <c r="AK62" i="78"/>
  <c r="AK61" i="78"/>
  <c r="AK35" i="78"/>
  <c r="AK38" i="78" s="1"/>
  <c r="BQ146" i="78"/>
  <c r="BQ147" i="78" s="1"/>
  <c r="BM15" i="78"/>
  <c r="BQ15" i="78" s="1"/>
  <c r="W47" i="78"/>
  <c r="W80" i="46"/>
  <c r="Y47" i="78"/>
  <c r="Y80" i="46"/>
  <c r="Z240" i="78"/>
  <c r="AA240" i="78"/>
  <c r="T246" i="78"/>
  <c r="T249" i="78"/>
  <c r="X273" i="78"/>
  <c r="X66" i="78" s="1"/>
  <c r="X272" i="78"/>
  <c r="X65" i="78" s="1"/>
  <c r="X48" i="73" s="1"/>
  <c r="O240" i="78"/>
  <c r="AC47" i="78"/>
  <c r="AC80" i="46"/>
  <c r="AC12" i="71" s="1"/>
  <c r="BG156" i="78"/>
  <c r="BG163" i="78" s="1"/>
  <c r="BH163" i="78" s="1"/>
  <c r="BJ8" i="78"/>
  <c r="BI8" i="78"/>
  <c r="BG86" i="78"/>
  <c r="AN238" i="78"/>
  <c r="AN245" i="78" s="1"/>
  <c r="BQ91" i="46"/>
  <c r="BM97" i="46"/>
  <c r="EE39" i="71"/>
  <c r="N246" i="78"/>
  <c r="N249" i="78"/>
  <c r="AA47" i="78"/>
  <c r="AA80" i="46"/>
  <c r="Q249" i="78"/>
  <c r="Q246" i="78"/>
  <c r="M47" i="78"/>
  <c r="M80" i="46"/>
  <c r="AU94" i="78"/>
  <c r="AZ94" i="78" s="1"/>
  <c r="AU96" i="78"/>
  <c r="AM40" i="78"/>
  <c r="AM45" i="78"/>
  <c r="AT26" i="78"/>
  <c r="AT21" i="46"/>
  <c r="J246" i="78"/>
  <c r="J249" i="78"/>
  <c r="M236" i="78"/>
  <c r="AU137" i="78"/>
  <c r="AH240" i="78"/>
  <c r="AH236" i="78"/>
  <c r="AH46" i="78"/>
  <c r="AT137" i="78"/>
  <c r="AI238" i="78"/>
  <c r="AI245" i="78" s="1"/>
  <c r="Z47" i="78"/>
  <c r="S47" i="78"/>
  <c r="S80" i="46"/>
  <c r="S12" i="71" s="1"/>
  <c r="CX212" i="78"/>
  <c r="CX214" i="78" s="1"/>
  <c r="CW214" i="78"/>
  <c r="AA236" i="78"/>
  <c r="AB236" i="78"/>
  <c r="T47" i="78"/>
  <c r="T80" i="46"/>
  <c r="BC136" i="78"/>
  <c r="BC137" i="78" s="1"/>
  <c r="BG117" i="78"/>
  <c r="BC8" i="78"/>
  <c r="BH271" i="78"/>
  <c r="BH64" i="78" s="1"/>
  <c r="BI64" i="78"/>
  <c r="O236" i="78"/>
  <c r="EG39" i="71"/>
  <c r="BO97" i="46"/>
  <c r="AE40" i="78"/>
  <c r="AE46" i="78" s="1"/>
  <c r="AE45" i="78"/>
  <c r="AC273" i="78"/>
  <c r="AC66" i="78" s="1"/>
  <c r="AC272" i="78"/>
  <c r="AC65" i="78" s="1"/>
  <c r="AC48" i="73" s="1"/>
  <c r="R47" i="78"/>
  <c r="R80" i="46"/>
  <c r="P218" i="79"/>
  <c r="P221" i="79"/>
  <c r="H221" i="79"/>
  <c r="H218" i="79"/>
  <c r="AN221" i="79"/>
  <c r="AN218" i="79"/>
  <c r="AC234" i="79"/>
  <c r="AC99" i="73"/>
  <c r="N245" i="79"/>
  <c r="N64" i="79" s="1"/>
  <c r="N244" i="79"/>
  <c r="N63" i="79" s="1"/>
  <c r="AW11" i="71"/>
  <c r="I218" i="79"/>
  <c r="I221" i="79"/>
  <c r="BD125" i="79"/>
  <c r="O221" i="79"/>
  <c r="O218" i="79"/>
  <c r="K208" i="79"/>
  <c r="BG97" i="79"/>
  <c r="BG98" i="79" s="1"/>
  <c r="AB208" i="79"/>
  <c r="AB212" i="79"/>
  <c r="AC245" i="79"/>
  <c r="AC64" i="79" s="1"/>
  <c r="AC244" i="79"/>
  <c r="AC63" i="79" s="1"/>
  <c r="AC37" i="73" s="1"/>
  <c r="S221" i="79"/>
  <c r="S218" i="79"/>
  <c r="X244" i="79"/>
  <c r="X63" i="79" s="1"/>
  <c r="X37" i="73" s="1"/>
  <c r="X245" i="79"/>
  <c r="X64" i="79" s="1"/>
  <c r="AM44" i="79"/>
  <c r="AM79" i="46"/>
  <c r="AG208" i="79"/>
  <c r="AD208" i="79"/>
  <c r="DE184" i="79"/>
  <c r="DE186" i="79" s="1"/>
  <c r="DF184" i="79" s="1"/>
  <c r="DB184" i="79"/>
  <c r="DA186" i="79"/>
  <c r="AX164" i="79"/>
  <c r="AX15" i="79"/>
  <c r="AX17" i="79" s="1"/>
  <c r="AI44" i="79"/>
  <c r="AI79" i="46"/>
  <c r="AK212" i="79"/>
  <c r="BK9" i="79"/>
  <c r="BL9" i="79" s="1"/>
  <c r="BL93" i="79"/>
  <c r="BL94" i="79" s="1"/>
  <c r="BQ120" i="79"/>
  <c r="BQ121" i="79" s="1"/>
  <c r="BM14" i="79"/>
  <c r="J221" i="79"/>
  <c r="J218" i="79"/>
  <c r="BA135" i="79"/>
  <c r="I245" i="79"/>
  <c r="I64" i="79" s="1"/>
  <c r="I244" i="79"/>
  <c r="I63" i="79" s="1"/>
  <c r="BK12" i="79"/>
  <c r="BL115" i="79"/>
  <c r="M218" i="79"/>
  <c r="M221" i="79"/>
  <c r="K44" i="79"/>
  <c r="K79" i="46"/>
  <c r="K68" i="46" s="1"/>
  <c r="P44" i="79"/>
  <c r="V218" i="79"/>
  <c r="V221" i="79"/>
  <c r="AV169" i="79"/>
  <c r="AW163" i="79"/>
  <c r="AA221" i="79"/>
  <c r="AA218" i="79"/>
  <c r="AB44" i="79"/>
  <c r="AB79" i="46"/>
  <c r="BF197" i="79"/>
  <c r="AZ166" i="79"/>
  <c r="AZ21" i="79"/>
  <c r="AZ117" i="46"/>
  <c r="AZ153" i="46" s="1"/>
  <c r="S245" i="79"/>
  <c r="S64" i="79" s="1"/>
  <c r="S244" i="79"/>
  <c r="S63" i="79" s="1"/>
  <c r="AF208" i="79"/>
  <c r="CX184" i="79"/>
  <c r="CW186" i="79"/>
  <c r="AX153" i="46"/>
  <c r="BG129" i="79"/>
  <c r="BG136" i="79" s="1"/>
  <c r="BH136" i="79" s="1"/>
  <c r="AX127" i="79"/>
  <c r="AY133" i="79" s="1"/>
  <c r="AK208" i="79"/>
  <c r="AL218" i="79"/>
  <c r="AL221" i="79"/>
  <c r="BQ93" i="79"/>
  <c r="BQ94" i="79" s="1"/>
  <c r="N44" i="79"/>
  <c r="N79" i="46"/>
  <c r="BD193" i="79"/>
  <c r="BP115" i="79"/>
  <c r="BQ117" i="79"/>
  <c r="BQ118" i="79" s="1"/>
  <c r="AT221" i="79"/>
  <c r="AT218" i="79"/>
  <c r="L212" i="79"/>
  <c r="T44" i="79"/>
  <c r="T79" i="46"/>
  <c r="T68" i="46" s="1"/>
  <c r="BP97" i="79"/>
  <c r="BP8" i="79"/>
  <c r="Y44" i="79"/>
  <c r="Y79" i="46"/>
  <c r="AC44" i="79"/>
  <c r="AC79" i="46"/>
  <c r="AH44" i="79"/>
  <c r="BC146" i="79"/>
  <c r="BA19" i="79"/>
  <c r="BB19" i="79" s="1"/>
  <c r="BB21" i="79" s="1"/>
  <c r="X44" i="79"/>
  <c r="X79" i="46"/>
  <c r="AM221" i="79"/>
  <c r="AM218" i="79"/>
  <c r="AE212" i="79"/>
  <c r="AE208" i="79"/>
  <c r="AL43" i="79"/>
  <c r="AO208" i="79"/>
  <c r="AP212" i="79"/>
  <c r="AP208" i="79"/>
  <c r="AO212" i="79"/>
  <c r="BM10" i="79"/>
  <c r="BQ8" i="79"/>
  <c r="AQ43" i="79"/>
  <c r="AS212" i="79"/>
  <c r="AQ208" i="79"/>
  <c r="AS208" i="79"/>
  <c r="AQ212" i="79"/>
  <c r="AJ208" i="79"/>
  <c r="AI208" i="79"/>
  <c r="BO10" i="79"/>
  <c r="BL14" i="79"/>
  <c r="BH14" i="46"/>
  <c r="BG10" i="79"/>
  <c r="H212" i="79"/>
  <c r="R43" i="79"/>
  <c r="R208" i="79"/>
  <c r="R212" i="79"/>
  <c r="U212" i="79"/>
  <c r="U208" i="79"/>
  <c r="AH233" i="79"/>
  <c r="AM226" i="79"/>
  <c r="AI226" i="79"/>
  <c r="AH245" i="79"/>
  <c r="AH64" i="79" s="1"/>
  <c r="AH244" i="79"/>
  <c r="AH63" i="79" s="1"/>
  <c r="AH37" i="73" s="1"/>
  <c r="N221" i="79"/>
  <c r="N218" i="79"/>
  <c r="I68" i="46"/>
  <c r="I11" i="71"/>
  <c r="W44" i="79"/>
  <c r="W79" i="46"/>
  <c r="L208" i="79"/>
  <c r="T208" i="79"/>
  <c r="W208" i="79"/>
  <c r="M43" i="79"/>
  <c r="Q212" i="79"/>
  <c r="Q208" i="79"/>
  <c r="AG44" i="79"/>
  <c r="AG79" i="46"/>
  <c r="AV44" i="79"/>
  <c r="AV79" i="46"/>
  <c r="Y208" i="79"/>
  <c r="Z208" i="79"/>
  <c r="AR11" i="71"/>
  <c r="Y186" i="79"/>
  <c r="Z184" i="79" s="1"/>
  <c r="Z186" i="79" s="1"/>
  <c r="AA184" i="79" s="1"/>
  <c r="AA186" i="79" s="1"/>
  <c r="AB184" i="79" s="1"/>
  <c r="AB186" i="79" s="1"/>
  <c r="AC184" i="79"/>
  <c r="AC186" i="79" s="1"/>
  <c r="AD184" i="79" s="1"/>
  <c r="CT184" i="79"/>
  <c r="CT186" i="79" s="1"/>
  <c r="CS186" i="79"/>
  <c r="AC218" i="79"/>
  <c r="AC221" i="79"/>
  <c r="S44" i="79"/>
  <c r="S79" i="46"/>
  <c r="X221" i="79"/>
  <c r="X218" i="79"/>
  <c r="AD44" i="79"/>
  <c r="AD79" i="46"/>
  <c r="AF212" i="79"/>
  <c r="AD212" i="79"/>
  <c r="AU208" i="79"/>
  <c r="BQ73" i="79"/>
  <c r="L44" i="79"/>
  <c r="L79" i="46"/>
  <c r="L68" i="46" s="1"/>
  <c r="Q44" i="79"/>
  <c r="AJ212" i="79"/>
  <c r="AI212" i="79"/>
  <c r="BK97" i="79"/>
  <c r="BK98" i="79" s="1"/>
  <c r="BK8" i="79"/>
  <c r="BL73" i="79"/>
  <c r="AE681" i="80"/>
  <c r="AE209" i="80"/>
  <c r="AB877" i="80"/>
  <c r="AB874" i="80"/>
  <c r="CA810" i="80"/>
  <c r="AH561" i="80"/>
  <c r="AI561" i="80" s="1"/>
  <c r="AJ561" i="80" s="1"/>
  <c r="AK561" i="80" s="1"/>
  <c r="AL561" i="80" s="1"/>
  <c r="AD232" i="80"/>
  <c r="AD223" i="80" s="1"/>
  <c r="AF232" i="80"/>
  <c r="AF223" i="80" s="1"/>
  <c r="AE232" i="80"/>
  <c r="AE223" i="80" s="1"/>
  <c r="AG232" i="80"/>
  <c r="AG223" i="80" s="1"/>
  <c r="AX475" i="80"/>
  <c r="AX476" i="80" s="1"/>
  <c r="AI559" i="80"/>
  <c r="BO721" i="80"/>
  <c r="BP719" i="80"/>
  <c r="AK368" i="80"/>
  <c r="AJ369" i="80"/>
  <c r="AS646" i="80"/>
  <c r="AC494" i="80"/>
  <c r="BQ459" i="80"/>
  <c r="AD723" i="80"/>
  <c r="AD161" i="80" s="1"/>
  <c r="AI410" i="80"/>
  <c r="AF380" i="80"/>
  <c r="AF157" i="80" s="1"/>
  <c r="BE505" i="80"/>
  <c r="BB505" i="80"/>
  <c r="AJ423" i="80"/>
  <c r="AS44" i="80"/>
  <c r="AS78" i="46"/>
  <c r="AV877" i="80"/>
  <c r="AV874" i="80"/>
  <c r="AD877" i="80"/>
  <c r="AD874" i="80"/>
  <c r="AO874" i="80"/>
  <c r="AO877" i="80"/>
  <c r="AJ306" i="80"/>
  <c r="AJ308" i="80" s="1"/>
  <c r="AJ307" i="80"/>
  <c r="AI436" i="80"/>
  <c r="AI382" i="80"/>
  <c r="AI201" i="80" s="1"/>
  <c r="AI393" i="80"/>
  <c r="AJ390" i="80"/>
  <c r="BK508" i="80"/>
  <c r="AF234" i="80"/>
  <c r="AF224" i="80" s="1"/>
  <c r="AG234" i="80"/>
  <c r="AG224" i="80" s="1"/>
  <c r="AE234" i="80"/>
  <c r="AE224" i="80" s="1"/>
  <c r="AD234" i="80"/>
  <c r="AD224" i="80" s="1"/>
  <c r="AJ317" i="80"/>
  <c r="AK314" i="80"/>
  <c r="AP874" i="80"/>
  <c r="AP877" i="80"/>
  <c r="AP78" i="46"/>
  <c r="AP44" i="80"/>
  <c r="AH383" i="80"/>
  <c r="AH719" i="80"/>
  <c r="AG721" i="80"/>
  <c r="AI719" i="80"/>
  <c r="BM468" i="80"/>
  <c r="BQ468" i="80" s="1"/>
  <c r="BQ460" i="80"/>
  <c r="BQ479" i="80"/>
  <c r="W877" i="80"/>
  <c r="W874" i="80"/>
  <c r="AI514" i="80"/>
  <c r="AF384" i="80"/>
  <c r="AF193" i="80"/>
  <c r="AN539" i="80"/>
  <c r="AO536" i="80"/>
  <c r="P877" i="80"/>
  <c r="P874" i="80"/>
  <c r="AH396" i="80"/>
  <c r="AH397" i="80" s="1"/>
  <c r="AI868" i="80"/>
  <c r="BL558" i="80"/>
  <c r="BF558" i="80"/>
  <c r="BE558" i="80" s="1"/>
  <c r="BD558" i="80" s="1"/>
  <c r="BC558" i="80" s="1"/>
  <c r="AN476" i="80"/>
  <c r="BK405" i="80"/>
  <c r="Y874" i="80"/>
  <c r="Y877" i="80"/>
  <c r="AM474" i="80"/>
  <c r="AM476" i="80" s="1"/>
  <c r="BA372" i="80"/>
  <c r="BA371" i="80"/>
  <c r="BB371" i="80" s="1"/>
  <c r="AI185" i="80"/>
  <c r="AI495" i="80"/>
  <c r="AI371" i="80"/>
  <c r="AI183" i="80"/>
  <c r="AI332" i="80"/>
  <c r="AG384" i="80"/>
  <c r="AG193" i="80"/>
  <c r="BJ461" i="80"/>
  <c r="BJ441" i="80"/>
  <c r="BJ501" i="80"/>
  <c r="BH623" i="80"/>
  <c r="BK623" i="80"/>
  <c r="AF674" i="80"/>
  <c r="AE676" i="80"/>
  <c r="AE208" i="80"/>
  <c r="Y384" i="80"/>
  <c r="Y193" i="80"/>
  <c r="Y197" i="80" s="1"/>
  <c r="AK449" i="80"/>
  <c r="AK446" i="80"/>
  <c r="AL443" i="80"/>
  <c r="AD384" i="80"/>
  <c r="AD193" i="80"/>
  <c r="AS874" i="80"/>
  <c r="AS877" i="80"/>
  <c r="Z379" i="80"/>
  <c r="AE877" i="80"/>
  <c r="AE874" i="80"/>
  <c r="AJ868" i="80"/>
  <c r="AD268" i="80"/>
  <c r="AD182" i="80"/>
  <c r="AD281" i="80"/>
  <c r="AD280" i="80"/>
  <c r="AI372" i="80"/>
  <c r="S44" i="80"/>
  <c r="S78" i="46"/>
  <c r="S10" i="71" s="1"/>
  <c r="AD601" i="80"/>
  <c r="AD614" i="80"/>
  <c r="AD613" i="80"/>
  <c r="AC492" i="80"/>
  <c r="Y185" i="80"/>
  <c r="Y495" i="80"/>
  <c r="AC495" i="80" s="1"/>
  <c r="X44" i="80"/>
  <c r="X78" i="46"/>
  <c r="X10" i="71" s="1"/>
  <c r="X8" i="73" s="1"/>
  <c r="L877" i="80"/>
  <c r="L874" i="80"/>
  <c r="AQ877" i="80"/>
  <c r="AQ874" i="80"/>
  <c r="AC597" i="80"/>
  <c r="AC598" i="80" s="1"/>
  <c r="AC615" i="80"/>
  <c r="AI455" i="80"/>
  <c r="AC511" i="80"/>
  <c r="R43" i="80"/>
  <c r="T868" i="80"/>
  <c r="U864" i="80"/>
  <c r="T864" i="80"/>
  <c r="R868" i="80"/>
  <c r="R864" i="80"/>
  <c r="V868" i="80"/>
  <c r="V864" i="80"/>
  <c r="U868" i="80"/>
  <c r="AJ491" i="80"/>
  <c r="AJ492" i="80"/>
  <c r="AD666" i="80"/>
  <c r="BI429" i="80"/>
  <c r="AF343" i="80"/>
  <c r="AG340" i="80"/>
  <c r="AJ506" i="80"/>
  <c r="AJ509" i="80"/>
  <c r="AK503" i="80"/>
  <c r="AB43" i="80"/>
  <c r="AE868" i="80"/>
  <c r="AL541" i="80"/>
  <c r="AL542" i="80"/>
  <c r="AM542" i="80" s="1"/>
  <c r="M874" i="80"/>
  <c r="M877" i="80"/>
  <c r="AD379" i="80"/>
  <c r="BL445" i="80"/>
  <c r="BM445" i="80"/>
  <c r="BQ445" i="80" s="1"/>
  <c r="AZ373" i="80"/>
  <c r="DX840" i="80"/>
  <c r="DX842" i="80" s="1"/>
  <c r="DY840" i="80" s="1"/>
  <c r="DU840" i="80"/>
  <c r="DW840" i="80"/>
  <c r="DW842" i="80" s="1"/>
  <c r="DT842" i="80"/>
  <c r="AJ864" i="80"/>
  <c r="AJ353" i="80"/>
  <c r="AI356" i="80"/>
  <c r="AF662" i="80"/>
  <c r="AG659" i="80"/>
  <c r="BF446" i="80"/>
  <c r="BG443" i="80"/>
  <c r="BH443" i="80" s="1"/>
  <c r="AD516" i="80"/>
  <c r="AH183" i="80"/>
  <c r="AH231" i="80" s="1"/>
  <c r="AH329" i="80"/>
  <c r="AD347" i="80"/>
  <c r="BM418" i="80"/>
  <c r="BQ418" i="80" s="1"/>
  <c r="BQ413" i="80"/>
  <c r="BK431" i="80"/>
  <c r="BF709" i="80"/>
  <c r="AB868" i="80"/>
  <c r="BK329" i="80"/>
  <c r="BH329" i="80"/>
  <c r="AI476" i="80"/>
  <c r="AI877" i="80"/>
  <c r="AI874" i="80"/>
  <c r="AG564" i="80"/>
  <c r="AQ471" i="80"/>
  <c r="AR471" i="80" s="1"/>
  <c r="AQ474" i="80"/>
  <c r="AQ472" i="80"/>
  <c r="AR466" i="80"/>
  <c r="AF360" i="80"/>
  <c r="BM465" i="80"/>
  <c r="BM505" i="80"/>
  <c r="AK327" i="80"/>
  <c r="AJ330" i="80"/>
  <c r="BB710" i="80"/>
  <c r="BA711" i="80"/>
  <c r="BB711" i="80" s="1"/>
  <c r="BM337" i="80"/>
  <c r="BM350" i="80"/>
  <c r="BM256" i="80"/>
  <c r="BM431" i="80"/>
  <c r="BQ431" i="80" s="1"/>
  <c r="BQ426" i="80"/>
  <c r="BI149" i="80"/>
  <c r="BI150" i="80"/>
  <c r="BI148" i="80"/>
  <c r="BH147" i="80"/>
  <c r="AH181" i="80"/>
  <c r="AH290" i="80"/>
  <c r="Y397" i="80"/>
  <c r="Y378" i="80"/>
  <c r="AC395" i="80"/>
  <c r="AB515" i="80"/>
  <c r="AB383" i="80"/>
  <c r="AB188" i="80"/>
  <c r="AB189" i="80" s="1"/>
  <c r="AJ454" i="80"/>
  <c r="AH319" i="80"/>
  <c r="AH321" i="80" s="1"/>
  <c r="AT877" i="80"/>
  <c r="AT874" i="80"/>
  <c r="BF582" i="80"/>
  <c r="BE582" i="80" s="1"/>
  <c r="BD582" i="80" s="1"/>
  <c r="BC582" i="80" s="1"/>
  <c r="BL582" i="80"/>
  <c r="AD44" i="80"/>
  <c r="AD78" i="46"/>
  <c r="AL874" i="80"/>
  <c r="AL877" i="80"/>
  <c r="AL78" i="46"/>
  <c r="S877" i="80"/>
  <c r="S874" i="80"/>
  <c r="AE611" i="80"/>
  <c r="AE600" i="80"/>
  <c r="AE203" i="80" s="1"/>
  <c r="AF608" i="80"/>
  <c r="AG373" i="80"/>
  <c r="AH371" i="80"/>
  <c r="AH373" i="80" s="1"/>
  <c r="BM485" i="80"/>
  <c r="BQ485" i="80" s="1"/>
  <c r="BL485" i="80"/>
  <c r="AF588" i="80"/>
  <c r="BK448" i="80"/>
  <c r="X877" i="80"/>
  <c r="X874" i="80"/>
  <c r="J877" i="80"/>
  <c r="J874" i="80"/>
  <c r="AK406" i="80"/>
  <c r="AL403" i="80"/>
  <c r="AI699" i="80"/>
  <c r="AH213" i="80"/>
  <c r="AI319" i="80"/>
  <c r="BN541" i="80"/>
  <c r="BN543" i="80" s="1"/>
  <c r="AE649" i="80"/>
  <c r="AF646" i="80"/>
  <c r="AE638" i="80"/>
  <c r="AE204" i="80" s="1"/>
  <c r="AK422" i="80"/>
  <c r="AK421" i="80"/>
  <c r="AA515" i="80"/>
  <c r="AA383" i="80"/>
  <c r="AA188" i="80"/>
  <c r="AA189" i="80" s="1"/>
  <c r="BB454" i="80"/>
  <c r="BB456" i="80" s="1"/>
  <c r="AX456" i="80"/>
  <c r="BF853" i="80"/>
  <c r="AC512" i="80"/>
  <c r="Y515" i="80"/>
  <c r="Y516" i="80" s="1"/>
  <c r="Y188" i="80"/>
  <c r="AJ706" i="80"/>
  <c r="AK704" i="80"/>
  <c r="BF661" i="80"/>
  <c r="BC661" i="80"/>
  <c r="AL483" i="80"/>
  <c r="AK486" i="80"/>
  <c r="AK489" i="80"/>
  <c r="AF691" i="80"/>
  <c r="AG689" i="80"/>
  <c r="AF211" i="80"/>
  <c r="AL429" i="80"/>
  <c r="AK432" i="80"/>
  <c r="BI706" i="80"/>
  <c r="BJ704" i="80"/>
  <c r="AE186" i="80"/>
  <c r="AE346" i="80"/>
  <c r="AE345" i="80"/>
  <c r="AC476" i="80"/>
  <c r="AI511" i="80"/>
  <c r="AI512" i="80"/>
  <c r="CI808" i="80"/>
  <c r="CI811" i="80" s="1"/>
  <c r="BD849" i="80"/>
  <c r="BB372" i="80"/>
  <c r="DQ840" i="80"/>
  <c r="DQ842" i="80" s="1"/>
  <c r="DP842" i="80"/>
  <c r="AK522" i="80"/>
  <c r="AJ525" i="80"/>
  <c r="AC840" i="80"/>
  <c r="AC842" i="80" s="1"/>
  <c r="AD840" i="80" s="1"/>
  <c r="Y842" i="80"/>
  <c r="Z840" i="80" s="1"/>
  <c r="Z842" i="80" s="1"/>
  <c r="AA840" i="80" s="1"/>
  <c r="AA842" i="80" s="1"/>
  <c r="AB840" i="80" s="1"/>
  <c r="AB842" i="80" s="1"/>
  <c r="AI320" i="80"/>
  <c r="AF571" i="80"/>
  <c r="AE574" i="80"/>
  <c r="AE553" i="80"/>
  <c r="AE202" i="80" s="1"/>
  <c r="AI308" i="80"/>
  <c r="AG359" i="80"/>
  <c r="AH359" i="80" s="1"/>
  <c r="AG358" i="80"/>
  <c r="AG360" i="80" s="1"/>
  <c r="AE665" i="80"/>
  <c r="AE664" i="80"/>
  <c r="AE188" i="80"/>
  <c r="AP653" i="80"/>
  <c r="BK392" i="80"/>
  <c r="AG181" i="80"/>
  <c r="AG294" i="80"/>
  <c r="AH294" i="80" s="1"/>
  <c r="AG293" i="80"/>
  <c r="AG295" i="80" s="1"/>
  <c r="BC648" i="80"/>
  <c r="BF648" i="80"/>
  <c r="Z877" i="80"/>
  <c r="Z874" i="80"/>
  <c r="BE466" i="80"/>
  <c r="BF463" i="80"/>
  <c r="AG515" i="80"/>
  <c r="AG516" i="80" s="1"/>
  <c r="AF624" i="80"/>
  <c r="AG621" i="80"/>
  <c r="AK543" i="80"/>
  <c r="AM541" i="80"/>
  <c r="AD456" i="80"/>
  <c r="AH694" i="80"/>
  <c r="AI694" i="80" s="1"/>
  <c r="AG696" i="80"/>
  <c r="AH696" i="80" s="1"/>
  <c r="AG212" i="80"/>
  <c r="AH212" i="80" s="1"/>
  <c r="CL810" i="80"/>
  <c r="AX184" i="80"/>
  <c r="H877" i="80"/>
  <c r="H874" i="80"/>
  <c r="AV466" i="80"/>
  <c r="BA465" i="80"/>
  <c r="AW465" i="80"/>
  <c r="AQ652" i="80"/>
  <c r="AQ651" i="80"/>
  <c r="AG43" i="80"/>
  <c r="AK868" i="80"/>
  <c r="AK864" i="80"/>
  <c r="AG397" i="80"/>
  <c r="AG378" i="80"/>
  <c r="BQ337" i="80"/>
  <c r="CC370" i="80"/>
  <c r="CE370" i="80" s="1"/>
  <c r="CF370" i="80" s="1"/>
  <c r="BQ363" i="80" s="1"/>
  <c r="CC369" i="80"/>
  <c r="CE369" i="80" s="1"/>
  <c r="CF369" i="80" s="1"/>
  <c r="BM363" i="80" s="1"/>
  <c r="BQ350" i="80"/>
  <c r="BQ256" i="80"/>
  <c r="BQ439" i="80"/>
  <c r="BJ388" i="80"/>
  <c r="BJ427" i="80"/>
  <c r="BJ414" i="80"/>
  <c r="BJ401" i="80"/>
  <c r="AF711" i="80"/>
  <c r="AG709" i="80"/>
  <c r="AC396" i="80"/>
  <c r="AE716" i="80"/>
  <c r="AF714" i="80"/>
  <c r="AE214" i="80"/>
  <c r="AJ451" i="80"/>
  <c r="AJ452" i="80"/>
  <c r="AJ455" i="80" s="1"/>
  <c r="AH529" i="80"/>
  <c r="BF610" i="80"/>
  <c r="BC610" i="80"/>
  <c r="AU877" i="80"/>
  <c r="AU874" i="80"/>
  <c r="AI686" i="80"/>
  <c r="AJ684" i="80"/>
  <c r="AI210" i="80"/>
  <c r="AC514" i="80"/>
  <c r="AG864" i="80"/>
  <c r="AF877" i="80"/>
  <c r="AF874" i="80"/>
  <c r="AE278" i="80"/>
  <c r="AF275" i="80"/>
  <c r="AE267" i="80"/>
  <c r="AE200" i="80" s="1"/>
  <c r="AN877" i="80"/>
  <c r="AN874" i="80"/>
  <c r="AL301" i="80"/>
  <c r="AK304" i="80"/>
  <c r="AH583" i="80"/>
  <c r="AI583" i="80" s="1"/>
  <c r="AG586" i="80"/>
  <c r="AG588" i="80" s="1"/>
  <c r="AG590" i="80" s="1"/>
  <c r="BK468" i="80"/>
  <c r="AJ409" i="80"/>
  <c r="AJ408" i="80"/>
  <c r="AD639" i="80"/>
  <c r="AD652" i="80"/>
  <c r="AD651" i="80"/>
  <c r="AM416" i="80"/>
  <c r="AN416" i="80" s="1"/>
  <c r="AL419" i="80"/>
  <c r="AM419" i="80" s="1"/>
  <c r="Z380" i="80"/>
  <c r="Z157" i="80" s="1"/>
  <c r="Z164" i="80" s="1"/>
  <c r="AC436" i="80"/>
  <c r="AJ494" i="80"/>
  <c r="AH721" i="80"/>
  <c r="AJ435" i="80"/>
  <c r="AJ434" i="80"/>
  <c r="BM448" i="80"/>
  <c r="BQ448" i="80" s="1"/>
  <c r="BQ440" i="80"/>
  <c r="BM538" i="80"/>
  <c r="BQ533" i="80"/>
  <c r="W44" i="80"/>
  <c r="W78" i="46"/>
  <c r="Y476" i="80"/>
  <c r="AD628" i="80"/>
  <c r="Q874" i="80"/>
  <c r="Q877" i="80"/>
  <c r="O877" i="80"/>
  <c r="O874" i="80"/>
  <c r="M44" i="80"/>
  <c r="M78" i="46"/>
  <c r="CK809" i="80"/>
  <c r="CJ804" i="80"/>
  <c r="CJ803" i="80"/>
  <c r="CJ808" i="80" s="1"/>
  <c r="CJ811" i="80" s="1"/>
  <c r="BG446" i="80"/>
  <c r="AI527" i="80"/>
  <c r="AI528" i="80"/>
  <c r="AI44" i="80"/>
  <c r="AF566" i="80"/>
  <c r="AD574" i="80"/>
  <c r="BQ480" i="80"/>
  <c r="BM488" i="80"/>
  <c r="BQ488" i="80" s="1"/>
  <c r="BK418" i="80"/>
  <c r="AI291" i="80"/>
  <c r="AJ288" i="80"/>
  <c r="AC44" i="80"/>
  <c r="Y44" i="80"/>
  <c r="Y78" i="46"/>
  <c r="AA877" i="80"/>
  <c r="AA874" i="80"/>
  <c r="AE627" i="80"/>
  <c r="AE626" i="80"/>
  <c r="AD380" i="80"/>
  <c r="AD157" i="80" s="1"/>
  <c r="AH456" i="80"/>
  <c r="AC578" i="80"/>
  <c r="AC549" i="80"/>
  <c r="AC551" i="80" s="1"/>
  <c r="BD366" i="80"/>
  <c r="BC369" i="80"/>
  <c r="AU259" i="46"/>
  <c r="DM27" i="71" s="1"/>
  <c r="AU256" i="46"/>
  <c r="DM24" i="71" s="1"/>
  <c r="AV54" i="46"/>
  <c r="V256" i="46"/>
  <c r="V259" i="46"/>
  <c r="CN28" i="71" s="1"/>
  <c r="AA259" i="46"/>
  <c r="CS27" i="71" s="1"/>
  <c r="AA256" i="46"/>
  <c r="CS24" i="71" s="1"/>
  <c r="AE259" i="46"/>
  <c r="CW27" i="71" s="1"/>
  <c r="AE256" i="46"/>
  <c r="CW24" i="71" s="1"/>
  <c r="AQ259" i="46"/>
  <c r="DI27" i="71" s="1"/>
  <c r="AQ256" i="46"/>
  <c r="DI24" i="71" s="1"/>
  <c r="AR246" i="46"/>
  <c r="X173" i="46"/>
  <c r="X175" i="46" s="1"/>
  <c r="Y173" i="46" s="1"/>
  <c r="T175" i="46"/>
  <c r="U173" i="46" s="1"/>
  <c r="U175" i="46" s="1"/>
  <c r="V173" i="46" s="1"/>
  <c r="V175" i="46" s="1"/>
  <c r="W173" i="46" s="1"/>
  <c r="W175" i="46" s="1"/>
  <c r="AP54" i="46"/>
  <c r="AP67" i="46"/>
  <c r="CM173" i="46"/>
  <c r="CM175" i="46" s="1"/>
  <c r="CL175" i="46"/>
  <c r="AG67" i="46"/>
  <c r="AG54" i="46"/>
  <c r="AL256" i="46"/>
  <c r="DD24" i="71" s="1"/>
  <c r="AL259" i="46"/>
  <c r="DD27" i="71" s="1"/>
  <c r="AM246" i="46"/>
  <c r="CU173" i="46"/>
  <c r="CX173" i="46"/>
  <c r="CX175" i="46" s="1"/>
  <c r="CY173" i="46" s="1"/>
  <c r="CT175" i="46"/>
  <c r="BC216" i="46"/>
  <c r="AL54" i="46"/>
  <c r="AL67" i="46"/>
  <c r="AB54" i="46"/>
  <c r="AB67" i="46"/>
  <c r="BG48" i="71"/>
  <c r="S259" i="46"/>
  <c r="CK27" i="71" s="1"/>
  <c r="S256" i="46"/>
  <c r="CK24" i="71" s="1"/>
  <c r="AS259" i="46"/>
  <c r="DK27" i="71" s="1"/>
  <c r="AS256" i="46"/>
  <c r="DK24" i="71" s="1"/>
  <c r="H259" i="46"/>
  <c r="H256" i="46"/>
  <c r="I246" i="46"/>
  <c r="BH66" i="46"/>
  <c r="T259" i="46"/>
  <c r="CL27" i="71" s="1"/>
  <c r="T256" i="46"/>
  <c r="CL24" i="71" s="1"/>
  <c r="AK259" i="46"/>
  <c r="DC27" i="71" s="1"/>
  <c r="AK256" i="46"/>
  <c r="DC24" i="71" s="1"/>
  <c r="AU54" i="46"/>
  <c r="AU67" i="46"/>
  <c r="DU15" i="71"/>
  <c r="CQ173" i="46"/>
  <c r="CP175" i="46"/>
  <c r="W259" i="46"/>
  <c r="CO27" i="71" s="1"/>
  <c r="W256" i="46"/>
  <c r="CO24" i="71" s="1"/>
  <c r="X246" i="46"/>
  <c r="AP259" i="46"/>
  <c r="DH27" i="71" s="1"/>
  <c r="AP256" i="46"/>
  <c r="DH24" i="71" s="1"/>
  <c r="AF259" i="46"/>
  <c r="CX27" i="71" s="1"/>
  <c r="AF256" i="46"/>
  <c r="CX24" i="71" s="1"/>
  <c r="AW259" i="46"/>
  <c r="DO27" i="71" s="1"/>
  <c r="AW256" i="46"/>
  <c r="DO24" i="71" s="1"/>
  <c r="AH256" i="46"/>
  <c r="CZ24" i="71" s="1"/>
  <c r="AH259" i="46"/>
  <c r="CZ27" i="71" s="1"/>
  <c r="BE207" i="46"/>
  <c r="BI64" i="46"/>
  <c r="BJ63" i="46"/>
  <c r="BH167" i="46"/>
  <c r="AT256" i="46"/>
  <c r="DL24" i="71" s="1"/>
  <c r="AT259" i="46"/>
  <c r="DL27" i="71" s="1"/>
  <c r="BI49" i="46"/>
  <c r="BI48" i="46"/>
  <c r="AO259" i="46"/>
  <c r="DG27" i="71" s="1"/>
  <c r="AO256" i="46"/>
  <c r="DG24" i="71" s="1"/>
  <c r="AQ54" i="46"/>
  <c r="AQ67" i="46"/>
  <c r="BF66" i="46"/>
  <c r="BG66" i="46" s="1"/>
  <c r="BF50" i="46"/>
  <c r="BF167" i="46"/>
  <c r="BG49" i="46"/>
  <c r="BG51" i="71" s="1"/>
  <c r="BB194" i="46"/>
  <c r="BC190" i="46"/>
  <c r="K259" i="46"/>
  <c r="K256" i="46"/>
  <c r="BE215" i="46"/>
  <c r="BD235" i="46"/>
  <c r="R54" i="46"/>
  <c r="R67" i="46"/>
  <c r="R10" i="73"/>
  <c r="W54" i="46"/>
  <c r="W67" i="46"/>
  <c r="AB259" i="46"/>
  <c r="CT27" i="71" s="1"/>
  <c r="AB256" i="46"/>
  <c r="CT24" i="71" s="1"/>
  <c r="AC246" i="46"/>
  <c r="N256" i="46"/>
  <c r="CF24" i="71" s="1"/>
  <c r="N259" i="46"/>
  <c r="CF27" i="71" s="1"/>
  <c r="L259" i="46"/>
  <c r="L256" i="46"/>
  <c r="N70" i="71"/>
  <c r="N72" i="71" s="1"/>
  <c r="N60" i="71" s="1"/>
  <c r="AW46" i="71"/>
  <c r="AW61" i="71" s="1"/>
  <c r="AC46" i="71"/>
  <c r="AC61" i="71" s="1"/>
  <c r="X46" i="71"/>
  <c r="X61" i="71" s="1"/>
  <c r="BG46" i="71"/>
  <c r="AH46" i="71"/>
  <c r="AH61" i="71" s="1"/>
  <c r="AR46" i="71"/>
  <c r="AR61" i="71" s="1"/>
  <c r="S46" i="71"/>
  <c r="S61" i="71" s="1"/>
  <c r="I46" i="71"/>
  <c r="N46" i="71"/>
  <c r="N61" i="71" s="1"/>
  <c r="AM46" i="71"/>
  <c r="AM61" i="71" s="1"/>
  <c r="BB46" i="71"/>
  <c r="CJ71" i="73"/>
  <c r="AJ436" i="80" l="1"/>
  <c r="CJ11" i="59"/>
  <c r="CJ12" i="59" s="1"/>
  <c r="AJ410" i="80"/>
  <c r="AC383" i="80"/>
  <c r="AC384" i="80" s="1"/>
  <c r="AH223" i="80"/>
  <c r="AJ184" i="80"/>
  <c r="BB174" i="78"/>
  <c r="BB175" i="78" s="1"/>
  <c r="AV218" i="79"/>
  <c r="BG50" i="46"/>
  <c r="BF40" i="51"/>
  <c r="BF43" i="78"/>
  <c r="BF40" i="80"/>
  <c r="BF801" i="80" s="1"/>
  <c r="BG801" i="80" s="1"/>
  <c r="BA43" i="99"/>
  <c r="BA37" i="98"/>
  <c r="BF41" i="77"/>
  <c r="BA37" i="100"/>
  <c r="BF40" i="79"/>
  <c r="CJ101" i="59"/>
  <c r="BF811" i="80"/>
  <c r="CO101" i="59"/>
  <c r="BK811" i="80"/>
  <c r="CL101" i="59"/>
  <c r="BH811" i="80"/>
  <c r="CH101" i="59"/>
  <c r="BD811" i="80"/>
  <c r="CU251" i="59"/>
  <c r="CP256" i="59"/>
  <c r="CI101" i="59"/>
  <c r="BE811" i="80"/>
  <c r="CG101" i="59"/>
  <c r="BC811" i="80"/>
  <c r="CN101" i="59"/>
  <c r="BJ811" i="80"/>
  <c r="CM101" i="59"/>
  <c r="BI811" i="80"/>
  <c r="CU94" i="59"/>
  <c r="CP99" i="59"/>
  <c r="BL811" i="80" s="1"/>
  <c r="BL812" i="80"/>
  <c r="CK10" i="59"/>
  <c r="BB108" i="46"/>
  <c r="Y379" i="80"/>
  <c r="Y380" i="80" s="1"/>
  <c r="Y157" i="80" s="1"/>
  <c r="Y164" i="80" s="1"/>
  <c r="AL543" i="80"/>
  <c r="Y189" i="80"/>
  <c r="BQ618" i="80"/>
  <c r="BQ83" i="80"/>
  <c r="BQ254" i="80" s="1"/>
  <c r="BM324" i="80"/>
  <c r="BM272" i="80"/>
  <c r="BM285" i="80"/>
  <c r="BM253" i="80"/>
  <c r="BM643" i="80"/>
  <c r="BQ387" i="80"/>
  <c r="BM392" i="80"/>
  <c r="BQ392" i="80" s="1"/>
  <c r="BQ605" i="80"/>
  <c r="BQ87" i="80"/>
  <c r="AK454" i="80"/>
  <c r="BQ400" i="80"/>
  <c r="BM405" i="80"/>
  <c r="BQ405" i="80" s="1"/>
  <c r="CN291" i="59"/>
  <c r="AZ135" i="100"/>
  <c r="CN11" i="59"/>
  <c r="CN12" i="59" s="1"/>
  <c r="CU224" i="59"/>
  <c r="CU226" i="59" s="1"/>
  <c r="CZ224" i="59"/>
  <c r="CZ226" i="59" s="1"/>
  <c r="CZ125" i="59"/>
  <c r="CZ131" i="59" s="1"/>
  <c r="CU131" i="59"/>
  <c r="BL185" i="78" s="1"/>
  <c r="BG157" i="79"/>
  <c r="CP204" i="59"/>
  <c r="BG183" i="77"/>
  <c r="CI291" i="59"/>
  <c r="AU135" i="100"/>
  <c r="CG291" i="59"/>
  <c r="AS135" i="100"/>
  <c r="CH291" i="59"/>
  <c r="AT135" i="100"/>
  <c r="CY47" i="59"/>
  <c r="CY90" i="59" s="1"/>
  <c r="CQ47" i="59"/>
  <c r="CQ90" i="59" s="1"/>
  <c r="BM812" i="80" s="1"/>
  <c r="CU90" i="59"/>
  <c r="CX47" i="59"/>
  <c r="CX90" i="59" s="1"/>
  <c r="CT47" i="59"/>
  <c r="CT90" i="59" s="1"/>
  <c r="BP812" i="80" s="1"/>
  <c r="CW47" i="59"/>
  <c r="CW90" i="59" s="1"/>
  <c r="CS47" i="59"/>
  <c r="CS90" i="59" s="1"/>
  <c r="BO812" i="80" s="1"/>
  <c r="CZ47" i="59"/>
  <c r="CZ90" i="59" s="1"/>
  <c r="CR47" i="59"/>
  <c r="CR90" i="59" s="1"/>
  <c r="BN812" i="80" s="1"/>
  <c r="CV47" i="59"/>
  <c r="CV90" i="59" s="1"/>
  <c r="CZ196" i="59"/>
  <c r="CZ202" i="59" s="1"/>
  <c r="BQ182" i="77" s="1"/>
  <c r="CU202" i="59"/>
  <c r="BL182" i="77" s="1"/>
  <c r="CH11" i="59"/>
  <c r="CH12" i="59" s="1"/>
  <c r="BG108" i="46"/>
  <c r="CP319" i="59"/>
  <c r="CP321" i="59" s="1"/>
  <c r="CU163" i="59"/>
  <c r="CZ163" i="59"/>
  <c r="CU235" i="59"/>
  <c r="CP247" i="59"/>
  <c r="CP10" i="59" s="1"/>
  <c r="CU192" i="59"/>
  <c r="CZ182" i="59"/>
  <c r="CZ192" i="59" s="1"/>
  <c r="CL291" i="59"/>
  <c r="AX135" i="100"/>
  <c r="CL11" i="59"/>
  <c r="CL12" i="59" s="1"/>
  <c r="CM291" i="59"/>
  <c r="AY135" i="100"/>
  <c r="CM11" i="59"/>
  <c r="CM12" i="59" s="1"/>
  <c r="CO291" i="59"/>
  <c r="BA135" i="100"/>
  <c r="CO11" i="59"/>
  <c r="CO12" i="59" s="1"/>
  <c r="CU31" i="59"/>
  <c r="CZ18" i="59"/>
  <c r="CZ31" i="59" s="1"/>
  <c r="BL186" i="78"/>
  <c r="BB156" i="79"/>
  <c r="CK11" i="59"/>
  <c r="CP133" i="59"/>
  <c r="CU311" i="59"/>
  <c r="CZ311" i="59"/>
  <c r="CP41" i="59"/>
  <c r="CY107" i="59"/>
  <c r="CY121" i="59" s="1"/>
  <c r="CY133" i="59" s="1"/>
  <c r="CX107" i="59"/>
  <c r="CX121" i="59" s="1"/>
  <c r="CX133" i="59" s="1"/>
  <c r="CZ121" i="59"/>
  <c r="CW107" i="59"/>
  <c r="CW121" i="59" s="1"/>
  <c r="CW133" i="59" s="1"/>
  <c r="CV107" i="59"/>
  <c r="CV121" i="59" s="1"/>
  <c r="CV133" i="59" s="1"/>
  <c r="CP174" i="59"/>
  <c r="BG156" i="79" s="1"/>
  <c r="CU167" i="59"/>
  <c r="CI11" i="59"/>
  <c r="CI12" i="59" s="1"/>
  <c r="CP289" i="59"/>
  <c r="CP291" i="59" s="1"/>
  <c r="CU284" i="59"/>
  <c r="CJ291" i="59"/>
  <c r="AV135" i="100"/>
  <c r="AP236" i="100"/>
  <c r="AP239" i="100"/>
  <c r="AZ100" i="100"/>
  <c r="CW163" i="100"/>
  <c r="CV165" i="100"/>
  <c r="BA144" i="100"/>
  <c r="BA247" i="100" s="1"/>
  <c r="BA21" i="100"/>
  <c r="AL246" i="100"/>
  <c r="AL112" i="100"/>
  <c r="DE163" i="100"/>
  <c r="DE165" i="100" s="1"/>
  <c r="DA163" i="100"/>
  <c r="BK12" i="100"/>
  <c r="BL85" i="100"/>
  <c r="AE239" i="100"/>
  <c r="AE236" i="100"/>
  <c r="AY211" i="100"/>
  <c r="AX190" i="100"/>
  <c r="CS163" i="100"/>
  <c r="CR165" i="100"/>
  <c r="W40" i="100"/>
  <c r="Z230" i="100"/>
  <c r="Z226" i="100"/>
  <c r="W230" i="100"/>
  <c r="W226" i="100"/>
  <c r="AA230" i="100"/>
  <c r="Y226" i="100"/>
  <c r="Y230" i="100"/>
  <c r="AA226" i="100"/>
  <c r="AG236" i="100"/>
  <c r="AG239" i="100"/>
  <c r="AY144" i="100"/>
  <c r="AY247" i="100" s="1"/>
  <c r="AY21" i="100"/>
  <c r="AI246" i="100"/>
  <c r="AI112" i="100"/>
  <c r="AC57" i="100"/>
  <c r="AH91" i="73"/>
  <c r="AD249" i="100"/>
  <c r="AE244" i="100" s="1"/>
  <c r="AE249" i="100" s="1"/>
  <c r="AF244" i="100" s="1"/>
  <c r="AF249" i="100" s="1"/>
  <c r="AG244" i="100" s="1"/>
  <c r="AG249" i="100" s="1"/>
  <c r="BG12" i="100"/>
  <c r="AF239" i="100"/>
  <c r="AF236" i="100"/>
  <c r="AI239" i="100"/>
  <c r="AI236" i="100"/>
  <c r="BE105" i="100"/>
  <c r="BD104" i="100"/>
  <c r="AZ144" i="100"/>
  <c r="AZ247" i="100" s="1"/>
  <c r="AZ21" i="100"/>
  <c r="AM246" i="100"/>
  <c r="AM112" i="100"/>
  <c r="AN109" i="100"/>
  <c r="AP109" i="100"/>
  <c r="AO109" i="100"/>
  <c r="Y165" i="100"/>
  <c r="Z163" i="100" s="1"/>
  <c r="Z165" i="100" s="1"/>
  <c r="AA163" i="100" s="1"/>
  <c r="AA165" i="100" s="1"/>
  <c r="AB163" i="100" s="1"/>
  <c r="AB165" i="100" s="1"/>
  <c r="AC163" i="100"/>
  <c r="AC165" i="100" s="1"/>
  <c r="AD163" i="100" s="1"/>
  <c r="AD236" i="100"/>
  <c r="AD239" i="100"/>
  <c r="AK236" i="100"/>
  <c r="AK239" i="100"/>
  <c r="AY175" i="100"/>
  <c r="AJ239" i="100"/>
  <c r="AJ236" i="100"/>
  <c r="AX144" i="100"/>
  <c r="AX21" i="100"/>
  <c r="BB19" i="100"/>
  <c r="BB21" i="100" s="1"/>
  <c r="AK246" i="100"/>
  <c r="AK112" i="100"/>
  <c r="AJ246" i="100"/>
  <c r="AJ112" i="100"/>
  <c r="BC198" i="100"/>
  <c r="AH249" i="100"/>
  <c r="AY132" i="99"/>
  <c r="DO194" i="99"/>
  <c r="DO196" i="99" s="1"/>
  <c r="DK194" i="99"/>
  <c r="AW277" i="99"/>
  <c r="AR284" i="99"/>
  <c r="AR285" i="99" s="1"/>
  <c r="AS277" i="99"/>
  <c r="AR295" i="99"/>
  <c r="DD194" i="99"/>
  <c r="DD196" i="99" s="1"/>
  <c r="DC194" i="99"/>
  <c r="DC196" i="99" s="1"/>
  <c r="DB196" i="99"/>
  <c r="AI196" i="99"/>
  <c r="AJ194" i="99" s="1"/>
  <c r="AJ196" i="99" s="1"/>
  <c r="AK194" i="99" s="1"/>
  <c r="AK196" i="99" s="1"/>
  <c r="AL194" i="99" s="1"/>
  <c r="AL196" i="99" s="1"/>
  <c r="AM194" i="99"/>
  <c r="AM196" i="99" s="1"/>
  <c r="AN194" i="99" s="1"/>
  <c r="BA231" i="99"/>
  <c r="DG194" i="99"/>
  <c r="DF196" i="99"/>
  <c r="W294" i="99"/>
  <c r="V64" i="99"/>
  <c r="AZ136" i="99"/>
  <c r="BA137" i="99"/>
  <c r="BA136" i="99" s="1"/>
  <c r="BB136" i="99" s="1"/>
  <c r="Q294" i="99"/>
  <c r="P64" i="99"/>
  <c r="AY144" i="99"/>
  <c r="AT134" i="99"/>
  <c r="AU142" i="99" s="1"/>
  <c r="AU140" i="99" s="1"/>
  <c r="AS29" i="99"/>
  <c r="AX25" i="46"/>
  <c r="AE272" i="99"/>
  <c r="AE269" i="99"/>
  <c r="AS210" i="99"/>
  <c r="I277" i="99"/>
  <c r="I295" i="99" s="1"/>
  <c r="I65" i="99" s="1"/>
  <c r="J277" i="99"/>
  <c r="J282" i="99" s="1"/>
  <c r="AP272" i="99"/>
  <c r="AP269" i="99"/>
  <c r="AQ272" i="99"/>
  <c r="AQ269" i="99"/>
  <c r="AL46" i="99"/>
  <c r="AQ84" i="46" s="1"/>
  <c r="AR84" i="46" s="1"/>
  <c r="AR15" i="71" s="1"/>
  <c r="AL259" i="99"/>
  <c r="AL263" i="99"/>
  <c r="AL295" i="99" s="1"/>
  <c r="AL65" i="99" s="1"/>
  <c r="AB272" i="99"/>
  <c r="AB269" i="99"/>
  <c r="AY208" i="99"/>
  <c r="AW103" i="73"/>
  <c r="AO272" i="99"/>
  <c r="AO269" i="99"/>
  <c r="AN272" i="99"/>
  <c r="AN269" i="99"/>
  <c r="BL18" i="99"/>
  <c r="AT279" i="99"/>
  <c r="AT174" i="99"/>
  <c r="AT21" i="99"/>
  <c r="AT23" i="99" s="1"/>
  <c r="DB163" i="98"/>
  <c r="DA165" i="98"/>
  <c r="AO240" i="98"/>
  <c r="AO237" i="98"/>
  <c r="CY163" i="98"/>
  <c r="CY165" i="98" s="1"/>
  <c r="CX163" i="98"/>
  <c r="CX165" i="98" s="1"/>
  <c r="CW165" i="98"/>
  <c r="BB104" i="98"/>
  <c r="BC104" i="98" s="1"/>
  <c r="BB121" i="98"/>
  <c r="BL85" i="98"/>
  <c r="BH12" i="98"/>
  <c r="AD165" i="98"/>
  <c r="AH163" i="98"/>
  <c r="AH165" i="98" s="1"/>
  <c r="AI163" i="98" s="1"/>
  <c r="BA191" i="98"/>
  <c r="AU13" i="98"/>
  <c r="DJ163" i="98"/>
  <c r="DJ165" i="98" s="1"/>
  <c r="DF163" i="98"/>
  <c r="AT177" i="98"/>
  <c r="AW74" i="98"/>
  <c r="AW75" i="98" s="1"/>
  <c r="AW8" i="98"/>
  <c r="Y209" i="98"/>
  <c r="Y236" i="98" s="1"/>
  <c r="Z163" i="98"/>
  <c r="Z165" i="98" s="1"/>
  <c r="AU101" i="98"/>
  <c r="AV109" i="98" s="1"/>
  <c r="AV107" i="98" s="1"/>
  <c r="AV13" i="98" s="1"/>
  <c r="BA199" i="98"/>
  <c r="AW176" i="98"/>
  <c r="AL240" i="98"/>
  <c r="AL237" i="98"/>
  <c r="AZ111" i="98"/>
  <c r="AS228" i="98"/>
  <c r="AS24" i="98"/>
  <c r="AT23" i="98"/>
  <c r="AY24" i="46"/>
  <c r="BG12" i="98"/>
  <c r="AX99" i="98"/>
  <c r="V40" i="98"/>
  <c r="W231" i="98"/>
  <c r="V231" i="98"/>
  <c r="V227" i="98"/>
  <c r="W227" i="98"/>
  <c r="Z231" i="98"/>
  <c r="Z227" i="98"/>
  <c r="Y231" i="98"/>
  <c r="Y227" i="98"/>
  <c r="AV10" i="98"/>
  <c r="AN240" i="98"/>
  <c r="AN237" i="98"/>
  <c r="AO92" i="77"/>
  <c r="AT9" i="77"/>
  <c r="AO11" i="77"/>
  <c r="AO16" i="77"/>
  <c r="AO18" i="77" s="1"/>
  <c r="AO10" i="77"/>
  <c r="AO132" i="77" s="1"/>
  <c r="AQ9" i="77"/>
  <c r="AC255" i="77"/>
  <c r="AC260" i="77" s="1"/>
  <c r="Y255" i="77"/>
  <c r="Y260" i="77" s="1"/>
  <c r="Z255" i="77" s="1"/>
  <c r="Z260" i="77" s="1"/>
  <c r="AA255" i="77" s="1"/>
  <c r="AA260" i="77" s="1"/>
  <c r="AB255" i="77" s="1"/>
  <c r="AB260" i="77" s="1"/>
  <c r="X262" i="77"/>
  <c r="DB210" i="77"/>
  <c r="DD210" i="77"/>
  <c r="DD212" i="77" s="1"/>
  <c r="DA212" i="77"/>
  <c r="L250" i="77"/>
  <c r="L247" i="77"/>
  <c r="M250" i="77"/>
  <c r="M247" i="77"/>
  <c r="L45" i="77"/>
  <c r="Q45" i="77"/>
  <c r="AN133" i="77"/>
  <c r="AN135" i="77"/>
  <c r="AN136" i="77" s="1"/>
  <c r="AB29" i="77"/>
  <c r="AB25" i="77"/>
  <c r="AD239" i="77" s="1"/>
  <c r="AD246" i="77" s="1"/>
  <c r="AI25" i="77"/>
  <c r="AI29" i="77"/>
  <c r="CX210" i="77"/>
  <c r="CX212" i="77" s="1"/>
  <c r="CW212" i="77"/>
  <c r="U241" i="77"/>
  <c r="U237" i="77"/>
  <c r="U44" i="77"/>
  <c r="U45" i="77" s="1"/>
  <c r="V237" i="77"/>
  <c r="V241" i="77"/>
  <c r="BQ8" i="77"/>
  <c r="AU24" i="77"/>
  <c r="AU22" i="46"/>
  <c r="AG133" i="77"/>
  <c r="AG135" i="77"/>
  <c r="AG136" i="77" s="1"/>
  <c r="AG93" i="77"/>
  <c r="AG95" i="77"/>
  <c r="BB210" i="77"/>
  <c r="AX210" i="77"/>
  <c r="BG223" i="77"/>
  <c r="AD238" i="77"/>
  <c r="AD251" i="77" s="1"/>
  <c r="AY257" i="77"/>
  <c r="AY156" i="77"/>
  <c r="AY14" i="77" s="1"/>
  <c r="AR132" i="77"/>
  <c r="AQ10" i="77"/>
  <c r="AQ132" i="77" s="1"/>
  <c r="X241" i="77"/>
  <c r="X237" i="77"/>
  <c r="X44" i="77"/>
  <c r="BF192" i="77"/>
  <c r="BG192" i="77" s="1"/>
  <c r="BF22" i="77"/>
  <c r="BG20" i="77"/>
  <c r="BG22" i="77" s="1"/>
  <c r="DJ210" i="77"/>
  <c r="DJ212" i="77" s="1"/>
  <c r="DF210" i="77"/>
  <c r="P250" i="77"/>
  <c r="P247" i="77"/>
  <c r="AN24" i="77"/>
  <c r="AN22" i="46"/>
  <c r="AN93" i="77"/>
  <c r="AN95" i="77"/>
  <c r="AE24" i="77"/>
  <c r="AE22" i="46"/>
  <c r="BC160" i="77"/>
  <c r="BE219" i="77"/>
  <c r="AE133" i="77"/>
  <c r="AE135" i="77"/>
  <c r="AE136" i="77" s="1"/>
  <c r="R250" i="77"/>
  <c r="R247" i="77"/>
  <c r="AL92" i="77"/>
  <c r="AJ132" i="77"/>
  <c r="AL10" i="77"/>
  <c r="AL132" i="77" s="1"/>
  <c r="AY152" i="77"/>
  <c r="AZ158" i="77" s="1"/>
  <c r="AZ151" i="77" s="1"/>
  <c r="AR24" i="77"/>
  <c r="AR22" i="46"/>
  <c r="AR93" i="77"/>
  <c r="AR95" i="77"/>
  <c r="AR96" i="77" s="1"/>
  <c r="AF60" i="77"/>
  <c r="AF61" i="77"/>
  <c r="AF33" i="77"/>
  <c r="AF36" i="77" s="1"/>
  <c r="AM238" i="77"/>
  <c r="AM251" i="77" s="1"/>
  <c r="AM25" i="77"/>
  <c r="AM29" i="77"/>
  <c r="BI161" i="77"/>
  <c r="BH154" i="77"/>
  <c r="BH171" i="77" s="1"/>
  <c r="AH61" i="77"/>
  <c r="AH60" i="77"/>
  <c r="AH33" i="77"/>
  <c r="AH36" i="77" s="1"/>
  <c r="Q250" i="77"/>
  <c r="Q247" i="77"/>
  <c r="O247" i="77"/>
  <c r="O250" i="77"/>
  <c r="AN11" i="77"/>
  <c r="BL85" i="77"/>
  <c r="AK60" i="77"/>
  <c r="AK61" i="77"/>
  <c r="AK33" i="77"/>
  <c r="AK36" i="77" s="1"/>
  <c r="AU133" i="77"/>
  <c r="AZ133" i="77" s="1"/>
  <c r="AU135" i="77"/>
  <c r="AU136" i="77" s="1"/>
  <c r="AG16" i="77"/>
  <c r="AG18" i="77" s="1"/>
  <c r="BG171" i="77"/>
  <c r="BG172" i="77" s="1"/>
  <c r="AP25" i="77"/>
  <c r="AP29" i="77"/>
  <c r="AJ16" i="77"/>
  <c r="AJ18" i="77" s="1"/>
  <c r="AJ93" i="77"/>
  <c r="AJ95" i="77"/>
  <c r="Z61" i="77"/>
  <c r="Z33" i="77"/>
  <c r="Z36" i="77" s="1"/>
  <c r="Z60" i="77"/>
  <c r="AA45" i="77"/>
  <c r="AA81" i="46"/>
  <c r="AA68" i="46" s="1"/>
  <c r="AR11" i="77"/>
  <c r="BD150" i="77"/>
  <c r="AH239" i="77"/>
  <c r="AH246" i="77" s="1"/>
  <c r="AH30" i="71"/>
  <c r="AS9" i="77"/>
  <c r="BL8" i="77"/>
  <c r="AE96" i="77"/>
  <c r="AE110" i="77"/>
  <c r="AU93" i="77"/>
  <c r="AZ93" i="77" s="1"/>
  <c r="AU95" i="77"/>
  <c r="AG11" i="77"/>
  <c r="W43" i="77"/>
  <c r="W38" i="77"/>
  <c r="W44" i="77" s="1"/>
  <c r="R45" i="77"/>
  <c r="AD61" i="77"/>
  <c r="AD33" i="77"/>
  <c r="AD36" i="77" s="1"/>
  <c r="AD60" i="77"/>
  <c r="AP96" i="77"/>
  <c r="AP110" i="77"/>
  <c r="Y44" i="77"/>
  <c r="AJ11" i="77"/>
  <c r="AC241" i="77"/>
  <c r="AC237" i="77"/>
  <c r="AC44" i="77"/>
  <c r="AB238" i="77"/>
  <c r="AB251" i="77" s="1"/>
  <c r="Z239" i="77"/>
  <c r="Z246" i="77" s="1"/>
  <c r="AA239" i="77"/>
  <c r="AA246" i="77" s="1"/>
  <c r="AB239" i="77"/>
  <c r="AB246" i="77" s="1"/>
  <c r="AW9" i="77"/>
  <c r="BC11" i="78"/>
  <c r="BG8" i="78"/>
  <c r="AH249" i="78"/>
  <c r="AH246" i="78"/>
  <c r="AL45" i="78"/>
  <c r="AL40" i="78"/>
  <c r="AL46" i="78" s="1"/>
  <c r="AY154" i="78"/>
  <c r="AZ160" i="78" s="1"/>
  <c r="DC212" i="78"/>
  <c r="DC214" i="78" s="1"/>
  <c r="DB214" i="78"/>
  <c r="AI46" i="78"/>
  <c r="BQ86" i="78"/>
  <c r="AF47" i="78"/>
  <c r="AF80" i="46"/>
  <c r="AW238" i="78"/>
  <c r="AW245" i="78" s="1"/>
  <c r="AW29" i="71"/>
  <c r="BF225" i="78"/>
  <c r="AO62" i="78"/>
  <c r="AO61" i="78"/>
  <c r="AO35" i="78"/>
  <c r="AO38" i="78" s="1"/>
  <c r="AP62" i="78"/>
  <c r="AP61" i="78"/>
  <c r="AP35" i="78"/>
  <c r="AP38" i="78" s="1"/>
  <c r="AT97" i="78"/>
  <c r="AT111" i="78"/>
  <c r="AD47" i="78"/>
  <c r="AD80" i="46"/>
  <c r="AF236" i="78"/>
  <c r="AE240" i="78"/>
  <c r="O246" i="78"/>
  <c r="O249" i="78"/>
  <c r="BG126" i="78"/>
  <c r="AB249" i="78"/>
  <c r="AB246" i="78"/>
  <c r="AM240" i="78"/>
  <c r="AM236" i="78"/>
  <c r="AM46" i="78"/>
  <c r="AG45" i="78"/>
  <c r="AG40" i="78"/>
  <c r="AG46" i="78" s="1"/>
  <c r="BE221" i="78"/>
  <c r="BL13" i="78"/>
  <c r="DG212" i="78"/>
  <c r="DI212" i="78"/>
  <c r="DI214" i="78" s="1"/>
  <c r="DJ212" i="78"/>
  <c r="DJ214" i="78" s="1"/>
  <c r="DK212" i="78" s="1"/>
  <c r="DF214" i="78"/>
  <c r="BL86" i="78"/>
  <c r="BH136" i="78"/>
  <c r="BH137" i="78" s="1"/>
  <c r="BL117" i="78"/>
  <c r="BH8" i="78"/>
  <c r="W246" i="78"/>
  <c r="W249" i="78"/>
  <c r="X262" i="78"/>
  <c r="X100" i="73"/>
  <c r="BA10" i="78"/>
  <c r="BA136" i="78"/>
  <c r="BA137" i="78" s="1"/>
  <c r="AP238" i="78"/>
  <c r="AP245" i="78" s="1"/>
  <c r="AO238" i="78"/>
  <c r="AO245" i="78" s="1"/>
  <c r="AE236" i="78"/>
  <c r="AX26" i="78"/>
  <c r="AX21" i="46"/>
  <c r="AJ45" i="78"/>
  <c r="AJ40" i="78"/>
  <c r="AL240" i="78" s="1"/>
  <c r="AE47" i="78"/>
  <c r="AE80" i="46"/>
  <c r="AA246" i="78"/>
  <c r="AA249" i="78"/>
  <c r="AU97" i="78"/>
  <c r="AU111" i="78"/>
  <c r="BM158" i="46"/>
  <c r="EE42" i="71"/>
  <c r="EE41" i="71" s="1"/>
  <c r="BN158" i="46"/>
  <c r="BN161" i="46" s="1"/>
  <c r="EF42" i="71"/>
  <c r="EF41" i="71" s="1"/>
  <c r="BE152" i="78"/>
  <c r="BA195" i="78"/>
  <c r="BB195" i="78" s="1"/>
  <c r="BA24" i="78"/>
  <c r="AY193" i="78"/>
  <c r="AH212" i="78"/>
  <c r="AH214" i="78" s="1"/>
  <c r="AI212" i="78" s="1"/>
  <c r="AD214" i="78"/>
  <c r="AE212" i="78" s="1"/>
  <c r="AE214" i="78" s="1"/>
  <c r="AF212" i="78" s="1"/>
  <c r="AF214" i="78" s="1"/>
  <c r="AG212" i="78" s="1"/>
  <c r="AG214" i="78" s="1"/>
  <c r="AV31" i="78"/>
  <c r="AV27" i="78"/>
  <c r="BM136" i="78"/>
  <c r="BQ117" i="78"/>
  <c r="BM8" i="78"/>
  <c r="Y249" i="78"/>
  <c r="Y246" i="78"/>
  <c r="AC261" i="78"/>
  <c r="AH254" i="78"/>
  <c r="AH259" i="78" s="1"/>
  <c r="AH273" i="78" s="1"/>
  <c r="AH66" i="78" s="1"/>
  <c r="AD254" i="78"/>
  <c r="AD259" i="78" s="1"/>
  <c r="AE254" i="78" s="1"/>
  <c r="AE259" i="78" s="1"/>
  <c r="AF254" i="78" s="1"/>
  <c r="AF259" i="78" s="1"/>
  <c r="AG254" i="78" s="1"/>
  <c r="AG259" i="78" s="1"/>
  <c r="BF133" i="78"/>
  <c r="BK134" i="78"/>
  <c r="BD133" i="78"/>
  <c r="BI134" i="78"/>
  <c r="BJ134" i="78"/>
  <c r="BE133" i="78"/>
  <c r="AQ97" i="78"/>
  <c r="AQ111" i="78"/>
  <c r="BD94" i="78"/>
  <c r="AY93" i="78"/>
  <c r="AD236" i="78"/>
  <c r="AD240" i="78"/>
  <c r="BO158" i="46"/>
  <c r="BO161" i="46" s="1"/>
  <c r="EG42" i="71"/>
  <c r="EG41" i="71" s="1"/>
  <c r="AH47" i="78"/>
  <c r="AH80" i="46"/>
  <c r="M249" i="78"/>
  <c r="M246" i="78"/>
  <c r="AT31" i="78"/>
  <c r="AT27" i="78"/>
  <c r="AV237" i="78"/>
  <c r="AV250" i="78" s="1"/>
  <c r="AU237" i="78"/>
  <c r="AU250" i="78" s="1"/>
  <c r="AT237" i="78"/>
  <c r="AT250" i="78" s="1"/>
  <c r="BE94" i="78"/>
  <c r="AZ93" i="78"/>
  <c r="BQ97" i="46"/>
  <c r="EI42" i="71" s="1"/>
  <c r="EI39" i="71"/>
  <c r="BH156" i="78"/>
  <c r="BI163" i="78"/>
  <c r="AK45" i="78"/>
  <c r="AK40" i="78"/>
  <c r="AK46" i="78" s="1"/>
  <c r="AQ31" i="78"/>
  <c r="AQ27" i="78"/>
  <c r="AQ238" i="78" s="1"/>
  <c r="AQ245" i="78" s="1"/>
  <c r="AR45" i="78"/>
  <c r="AR40" i="78"/>
  <c r="BP158" i="46"/>
  <c r="BP161" i="46" s="1"/>
  <c r="EH42" i="71"/>
  <c r="EH41" i="71" s="1"/>
  <c r="AB47" i="78"/>
  <c r="AB80" i="46"/>
  <c r="BD175" i="78"/>
  <c r="BC174" i="78"/>
  <c r="AU31" i="78"/>
  <c r="AU27" i="78"/>
  <c r="BM271" i="78"/>
  <c r="BM64" i="78" s="1"/>
  <c r="BN64" i="78"/>
  <c r="BD162" i="78"/>
  <c r="BQ141" i="78"/>
  <c r="BM13" i="78"/>
  <c r="AW35" i="78"/>
  <c r="AW38" i="78" s="1"/>
  <c r="Z246" i="78"/>
  <c r="Z249" i="78"/>
  <c r="AS237" i="78"/>
  <c r="AS250" i="78" s="1"/>
  <c r="AY10" i="78"/>
  <c r="BB133" i="78"/>
  <c r="AY136" i="78"/>
  <c r="AY137" i="78" s="1"/>
  <c r="AZ10" i="78"/>
  <c r="AZ136" i="78"/>
  <c r="AZ137" i="78" s="1"/>
  <c r="BA94" i="78"/>
  <c r="AG240" i="78"/>
  <c r="AF240" i="78"/>
  <c r="AU221" i="79"/>
  <c r="AU218" i="79"/>
  <c r="S11" i="71"/>
  <c r="S68" i="46"/>
  <c r="Y218" i="79"/>
  <c r="Y221" i="79"/>
  <c r="W221" i="79"/>
  <c r="W218" i="79"/>
  <c r="AM230" i="79"/>
  <c r="AM233" i="79"/>
  <c r="AQ44" i="79"/>
  <c r="AQ79" i="46"/>
  <c r="AO218" i="79"/>
  <c r="AO221" i="79"/>
  <c r="BA166" i="79"/>
  <c r="BB166" i="79" s="1"/>
  <c r="BA21" i="79"/>
  <c r="BA117" i="46"/>
  <c r="BP98" i="79"/>
  <c r="BE193" i="79"/>
  <c r="AM245" i="79"/>
  <c r="AM64" i="79" s="1"/>
  <c r="BG197" i="79"/>
  <c r="AX23" i="79"/>
  <c r="AX20" i="46"/>
  <c r="AD221" i="79"/>
  <c r="AD218" i="79"/>
  <c r="BL97" i="79"/>
  <c r="BL98" i="79" s="1"/>
  <c r="BL83" i="79"/>
  <c r="Q218" i="79"/>
  <c r="Q221" i="79"/>
  <c r="T221" i="79"/>
  <c r="T218" i="79"/>
  <c r="AH234" i="79"/>
  <c r="AH99" i="73"/>
  <c r="R218" i="79"/>
  <c r="R221" i="79"/>
  <c r="AS218" i="79"/>
  <c r="AS221" i="79"/>
  <c r="AL44" i="79"/>
  <c r="AL79" i="46"/>
  <c r="BD146" i="79"/>
  <c r="BC145" i="79"/>
  <c r="AK218" i="79"/>
  <c r="AK221" i="79"/>
  <c r="BI136" i="79"/>
  <c r="BH129" i="79"/>
  <c r="CY184" i="79"/>
  <c r="CY186" i="79" s="1"/>
  <c r="CX186" i="79"/>
  <c r="AV183" i="79"/>
  <c r="DN33" i="71"/>
  <c r="BQ14" i="79"/>
  <c r="BM14" i="46"/>
  <c r="AG218" i="79"/>
  <c r="AG221" i="79"/>
  <c r="K221" i="79"/>
  <c r="K218" i="79"/>
  <c r="BE125" i="79"/>
  <c r="BK10" i="79"/>
  <c r="BL8" i="79"/>
  <c r="L218" i="79"/>
  <c r="L221" i="79"/>
  <c r="U218" i="79"/>
  <c r="U221" i="79"/>
  <c r="R44" i="79"/>
  <c r="R79" i="46"/>
  <c r="R68" i="46" s="1"/>
  <c r="AI221" i="79"/>
  <c r="AI218" i="79"/>
  <c r="AQ221" i="79"/>
  <c r="AQ218" i="79"/>
  <c r="BQ10" i="79"/>
  <c r="AP221" i="79"/>
  <c r="AP218" i="79"/>
  <c r="AE221" i="79"/>
  <c r="AE218" i="79"/>
  <c r="X11" i="71"/>
  <c r="N11" i="71"/>
  <c r="N68" i="46"/>
  <c r="AY228" i="79"/>
  <c r="AY131" i="79"/>
  <c r="AY13" i="79" s="1"/>
  <c r="AF218" i="79"/>
  <c r="AF221" i="79"/>
  <c r="BL12" i="79"/>
  <c r="BC135" i="79"/>
  <c r="DC184" i="79"/>
  <c r="DB186" i="79"/>
  <c r="AM11" i="71"/>
  <c r="BQ97" i="79"/>
  <c r="BQ98" i="79" s="1"/>
  <c r="BQ83" i="79"/>
  <c r="AH184" i="79"/>
  <c r="AH186" i="79" s="1"/>
  <c r="AI184" i="79" s="1"/>
  <c r="AD186" i="79"/>
  <c r="AE184" i="79" s="1"/>
  <c r="AE186" i="79" s="1"/>
  <c r="AF184" i="79" s="1"/>
  <c r="AF186" i="79" s="1"/>
  <c r="AG184" i="79" s="1"/>
  <c r="AG186" i="79" s="1"/>
  <c r="Z221" i="79"/>
  <c r="Z218" i="79"/>
  <c r="M44" i="79"/>
  <c r="M79" i="46"/>
  <c r="M68" i="46" s="1"/>
  <c r="AJ221" i="79"/>
  <c r="AJ218" i="79"/>
  <c r="AC11" i="71"/>
  <c r="BP10" i="79"/>
  <c r="BP12" i="79"/>
  <c r="BQ115" i="79"/>
  <c r="AY126" i="79"/>
  <c r="AM244" i="79"/>
  <c r="AM63" i="79" s="1"/>
  <c r="AM37" i="73" s="1"/>
  <c r="DJ184" i="79"/>
  <c r="DJ186" i="79" s="1"/>
  <c r="DK184" i="79" s="1"/>
  <c r="DG184" i="79"/>
  <c r="DF186" i="79"/>
  <c r="AB218" i="79"/>
  <c r="AB221" i="79"/>
  <c r="BC371" i="80"/>
  <c r="BC372" i="80"/>
  <c r="AD576" i="80"/>
  <c r="AD554" i="80"/>
  <c r="CL809" i="80"/>
  <c r="CK804" i="80"/>
  <c r="CK808" i="80" s="1"/>
  <c r="CK811" i="80" s="1"/>
  <c r="AD653" i="80"/>
  <c r="AD634" i="80"/>
  <c r="AM301" i="80"/>
  <c r="AN301" i="80" s="1"/>
  <c r="AL304" i="80"/>
  <c r="AG275" i="80"/>
  <c r="AF267" i="80"/>
  <c r="AF200" i="80" s="1"/>
  <c r="AF278" i="80"/>
  <c r="AG874" i="80"/>
  <c r="AG877" i="80"/>
  <c r="AJ686" i="80"/>
  <c r="AK684" i="80"/>
  <c r="AJ210" i="80"/>
  <c r="BJ405" i="80"/>
  <c r="AG44" i="80"/>
  <c r="AG78" i="46"/>
  <c r="AH293" i="80"/>
  <c r="AH295" i="80" s="1"/>
  <c r="AH167" i="80" s="1"/>
  <c r="BK648" i="80"/>
  <c r="BH648" i="80"/>
  <c r="AE666" i="80"/>
  <c r="AF574" i="80"/>
  <c r="AG571" i="80"/>
  <c r="AF553" i="80"/>
  <c r="AF202" i="80" s="1"/>
  <c r="AJ527" i="80"/>
  <c r="AJ529" i="80" s="1"/>
  <c r="AJ528" i="80"/>
  <c r="BK704" i="80"/>
  <c r="BJ706" i="80"/>
  <c r="AK492" i="80"/>
  <c r="AK491" i="80"/>
  <c r="BK661" i="80"/>
  <c r="BH661" i="80"/>
  <c r="AC515" i="80"/>
  <c r="AC379" i="80" s="1"/>
  <c r="AE639" i="80"/>
  <c r="AE652" i="80"/>
  <c r="AE635" i="80" s="1"/>
  <c r="AE651" i="80"/>
  <c r="AF611" i="80"/>
  <c r="AF600" i="80"/>
  <c r="AF203" i="80" s="1"/>
  <c r="AG608" i="80"/>
  <c r="AB384" i="80"/>
  <c r="AB193" i="80"/>
  <c r="AB197" i="80" s="1"/>
  <c r="BH148" i="80"/>
  <c r="BG147" i="80"/>
  <c r="BF147" i="80" s="1"/>
  <c r="BE147" i="80" s="1"/>
  <c r="BD147" i="80" s="1"/>
  <c r="BC147" i="80" s="1"/>
  <c r="BH149" i="80"/>
  <c r="BH150" i="80"/>
  <c r="BG150" i="80" s="1"/>
  <c r="BF150" i="80" s="1"/>
  <c r="BE150" i="80" s="1"/>
  <c r="BD150" i="80" s="1"/>
  <c r="BC150" i="80" s="1"/>
  <c r="BC710" i="80"/>
  <c r="BY321" i="80"/>
  <c r="BZ321" i="80" s="1"/>
  <c r="CA321" i="80" s="1"/>
  <c r="AH659" i="80"/>
  <c r="AI659" i="80" s="1"/>
  <c r="AG662" i="80"/>
  <c r="AJ877" i="80"/>
  <c r="AJ874" i="80"/>
  <c r="EB840" i="80"/>
  <c r="EB842" i="80" s="1"/>
  <c r="DZ840" i="80"/>
  <c r="EC840" i="80"/>
  <c r="EC842" i="80" s="1"/>
  <c r="ED840" i="80" s="1"/>
  <c r="DY842" i="80"/>
  <c r="AK506" i="80"/>
  <c r="AL503" i="80"/>
  <c r="AK509" i="80"/>
  <c r="U874" i="80"/>
  <c r="U877" i="80"/>
  <c r="AD597" i="80"/>
  <c r="AL446" i="80"/>
  <c r="AM443" i="80"/>
  <c r="AN443" i="80" s="1"/>
  <c r="AL449" i="80"/>
  <c r="AF676" i="80"/>
  <c r="AG674" i="80"/>
  <c r="AF208" i="80"/>
  <c r="BJ448" i="80"/>
  <c r="AI334" i="80"/>
  <c r="BA373" i="80"/>
  <c r="AI456" i="80"/>
  <c r="AP536" i="80"/>
  <c r="AO539" i="80"/>
  <c r="AH224" i="80"/>
  <c r="AS649" i="80"/>
  <c r="AT646" i="80"/>
  <c r="BQ719" i="80"/>
  <c r="BP721" i="80"/>
  <c r="BQ721" i="80" s="1"/>
  <c r="BD369" i="80"/>
  <c r="BE366" i="80"/>
  <c r="AI181" i="80"/>
  <c r="AI293" i="80"/>
  <c r="AI294" i="80"/>
  <c r="AI529" i="80"/>
  <c r="AL422" i="80"/>
  <c r="AM422" i="80" s="1"/>
  <c r="AL421" i="80"/>
  <c r="AD635" i="80"/>
  <c r="AJ583" i="80"/>
  <c r="AE268" i="80"/>
  <c r="AE182" i="80"/>
  <c r="AE281" i="80"/>
  <c r="AE264" i="80" s="1"/>
  <c r="AE280" i="80"/>
  <c r="BH610" i="80"/>
  <c r="BK610" i="80"/>
  <c r="BJ418" i="80"/>
  <c r="BP363" i="80"/>
  <c r="BO363" i="80"/>
  <c r="BN363" i="80"/>
  <c r="AQ653" i="80"/>
  <c r="AR651" i="80"/>
  <c r="BF465" i="80"/>
  <c r="BA466" i="80"/>
  <c r="BB465" i="80"/>
  <c r="AK525" i="80"/>
  <c r="AL522" i="80"/>
  <c r="BE849" i="80"/>
  <c r="AI515" i="80"/>
  <c r="AI516" i="80" s="1"/>
  <c r="AE347" i="80"/>
  <c r="AH689" i="80"/>
  <c r="AI689" i="80" s="1"/>
  <c r="AG691" i="80"/>
  <c r="AH691" i="80" s="1"/>
  <c r="AG211" i="80"/>
  <c r="AH211" i="80" s="1"/>
  <c r="AK494" i="80"/>
  <c r="AK706" i="80"/>
  <c r="AL704" i="80"/>
  <c r="AA384" i="80"/>
  <c r="AA193" i="80"/>
  <c r="AA197" i="80" s="1"/>
  <c r="AI701" i="80"/>
  <c r="AJ699" i="80"/>
  <c r="AI213" i="80"/>
  <c r="BK582" i="80"/>
  <c r="BJ582" i="80" s="1"/>
  <c r="BI582" i="80" s="1"/>
  <c r="BH582" i="80" s="1"/>
  <c r="BQ582" i="80"/>
  <c r="BP582" i="80" s="1"/>
  <c r="BO582" i="80" s="1"/>
  <c r="BN582" i="80" s="1"/>
  <c r="BM582" i="80" s="1"/>
  <c r="AB379" i="80"/>
  <c r="AB380" i="80" s="1"/>
  <c r="AB157" i="80" s="1"/>
  <c r="AB164" i="80" s="1"/>
  <c r="AB516" i="80"/>
  <c r="BI414" i="80"/>
  <c r="BI401" i="80"/>
  <c r="BI388" i="80"/>
  <c r="BI427" i="80"/>
  <c r="AJ183" i="80"/>
  <c r="AJ332" i="80"/>
  <c r="AJ334" i="80" s="1"/>
  <c r="AJ333" i="80"/>
  <c r="AG566" i="80"/>
  <c r="AH564" i="80"/>
  <c r="BP329" i="80"/>
  <c r="BM329" i="80"/>
  <c r="BI443" i="80"/>
  <c r="BH446" i="80"/>
  <c r="AF665" i="80"/>
  <c r="AF664" i="80"/>
  <c r="AH662" i="80"/>
  <c r="AH188" i="80" s="1"/>
  <c r="AH236" i="80" s="1"/>
  <c r="AF188" i="80"/>
  <c r="AF236" i="80" s="1"/>
  <c r="BB373" i="80"/>
  <c r="AJ512" i="80"/>
  <c r="AJ511" i="80"/>
  <c r="AH340" i="80"/>
  <c r="AI340" i="80" s="1"/>
  <c r="AG343" i="80"/>
  <c r="AH343" i="80" s="1"/>
  <c r="R877" i="80"/>
  <c r="R874" i="80"/>
  <c r="BM623" i="80"/>
  <c r="BP623" i="80"/>
  <c r="BJ468" i="80"/>
  <c r="AN542" i="80"/>
  <c r="AN541" i="80"/>
  <c r="AI496" i="80"/>
  <c r="AG379" i="80"/>
  <c r="AG380" i="80" s="1"/>
  <c r="AG157" i="80" s="1"/>
  <c r="AH157" i="80" s="1"/>
  <c r="AN419" i="80"/>
  <c r="AO416" i="80"/>
  <c r="AD640" i="80"/>
  <c r="AD196" i="80"/>
  <c r="AG714" i="80"/>
  <c r="AF716" i="80"/>
  <c r="AF214" i="80"/>
  <c r="AH709" i="80"/>
  <c r="AI709" i="80" s="1"/>
  <c r="AG711" i="80"/>
  <c r="AH711" i="80" s="1"/>
  <c r="BJ431" i="80"/>
  <c r="AK874" i="80"/>
  <c r="AK877" i="80"/>
  <c r="AR652" i="80"/>
  <c r="AV472" i="80"/>
  <c r="AV474" i="80"/>
  <c r="AV471" i="80"/>
  <c r="AW471" i="80" s="1"/>
  <c r="AW466" i="80"/>
  <c r="CM810" i="80"/>
  <c r="AI696" i="80"/>
  <c r="AJ694" i="80"/>
  <c r="AI212" i="80"/>
  <c r="AH621" i="80"/>
  <c r="AI621" i="80" s="1"/>
  <c r="AG624" i="80"/>
  <c r="AK435" i="80"/>
  <c r="AK434" i="80"/>
  <c r="AL489" i="80"/>
  <c r="AL486" i="80"/>
  <c r="AM483" i="80"/>
  <c r="AN483" i="80" s="1"/>
  <c r="BG853" i="80"/>
  <c r="AA516" i="80"/>
  <c r="AA379" i="80"/>
  <c r="AA380" i="80" s="1"/>
  <c r="AA157" i="80" s="1"/>
  <c r="AA164" i="80" s="1"/>
  <c r="AI321" i="80"/>
  <c r="AM403" i="80"/>
  <c r="AN403" i="80" s="1"/>
  <c r="AL406" i="80"/>
  <c r="AH586" i="80"/>
  <c r="AH585" i="80" s="1"/>
  <c r="AI585" i="80" s="1"/>
  <c r="AJ585" i="80" s="1"/>
  <c r="AK585" i="80" s="1"/>
  <c r="AL585" i="80" s="1"/>
  <c r="AE601" i="80"/>
  <c r="AE614" i="80"/>
  <c r="AE597" i="80" s="1"/>
  <c r="AE613" i="80"/>
  <c r="AL44" i="80"/>
  <c r="AJ456" i="80"/>
  <c r="AK330" i="80"/>
  <c r="AL327" i="80"/>
  <c r="AQ475" i="80"/>
  <c r="AR475" i="80" s="1"/>
  <c r="AR472" i="80"/>
  <c r="AI358" i="80"/>
  <c r="AI359" i="80"/>
  <c r="AJ514" i="80"/>
  <c r="AF186" i="80"/>
  <c r="AF346" i="80"/>
  <c r="AF345" i="80"/>
  <c r="R78" i="46"/>
  <c r="R44" i="80"/>
  <c r="AD602" i="80"/>
  <c r="AD195" i="80"/>
  <c r="AD282" i="80"/>
  <c r="AD263" i="80"/>
  <c r="AD269" i="80"/>
  <c r="AD192" i="80"/>
  <c r="AK452" i="80"/>
  <c r="AK455" i="80" s="1"/>
  <c r="AK451" i="80"/>
  <c r="AE215" i="80"/>
  <c r="BK558" i="80"/>
  <c r="BJ558" i="80" s="1"/>
  <c r="BI558" i="80" s="1"/>
  <c r="BH558" i="80" s="1"/>
  <c r="BQ558" i="80"/>
  <c r="BP558" i="80" s="1"/>
  <c r="BO558" i="80" s="1"/>
  <c r="BN558" i="80" s="1"/>
  <c r="BM558" i="80" s="1"/>
  <c r="AH515" i="80"/>
  <c r="AH516" i="80" s="1"/>
  <c r="AH169" i="80" s="1"/>
  <c r="AK317" i="80"/>
  <c r="AL314" i="80"/>
  <c r="AJ382" i="80"/>
  <c r="AJ201" i="80" s="1"/>
  <c r="AJ393" i="80"/>
  <c r="AK390" i="80"/>
  <c r="Y496" i="80"/>
  <c r="AJ371" i="80"/>
  <c r="AJ373" i="80" s="1"/>
  <c r="AJ372" i="80"/>
  <c r="AM446" i="80"/>
  <c r="AE628" i="80"/>
  <c r="AK288" i="80"/>
  <c r="AJ291" i="80"/>
  <c r="BQ538" i="80"/>
  <c r="BM539" i="80"/>
  <c r="AK307" i="80"/>
  <c r="AK306" i="80"/>
  <c r="AE205" i="80"/>
  <c r="BJ392" i="80"/>
  <c r="AM543" i="80"/>
  <c r="AF627" i="80"/>
  <c r="AF626" i="80"/>
  <c r="AF628" i="80" s="1"/>
  <c r="AH624" i="80"/>
  <c r="AH623" i="80" s="1"/>
  <c r="BF466" i="80"/>
  <c r="BG466" i="80" s="1"/>
  <c r="BG463" i="80"/>
  <c r="BH463" i="80" s="1"/>
  <c r="AE576" i="80"/>
  <c r="AE554" i="80"/>
  <c r="AH840" i="80"/>
  <c r="AH842" i="80" s="1"/>
  <c r="AI840" i="80" s="1"/>
  <c r="AD842" i="80"/>
  <c r="AE840" i="80" s="1"/>
  <c r="AE842" i="80" s="1"/>
  <c r="AF840" i="80" s="1"/>
  <c r="AF842" i="80" s="1"/>
  <c r="AG840" i="80" s="1"/>
  <c r="AG842" i="80" s="1"/>
  <c r="AL432" i="80"/>
  <c r="AM429" i="80"/>
  <c r="AN429" i="80" s="1"/>
  <c r="AK423" i="80"/>
  <c r="AM421" i="80"/>
  <c r="AF638" i="80"/>
  <c r="AF204" i="80" s="1"/>
  <c r="AF649" i="80"/>
  <c r="AG646" i="80"/>
  <c r="AK409" i="80"/>
  <c r="AK408" i="80"/>
  <c r="AF590" i="80"/>
  <c r="AH588" i="80"/>
  <c r="AH590" i="80" s="1"/>
  <c r="AC397" i="80"/>
  <c r="AC378" i="80"/>
  <c r="AH229" i="80"/>
  <c r="BI461" i="80"/>
  <c r="BI441" i="80"/>
  <c r="BI501" i="80"/>
  <c r="AH358" i="80"/>
  <c r="AH360" i="80" s="1"/>
  <c r="AR474" i="80"/>
  <c r="BG709" i="80"/>
  <c r="BH709" i="80" s="1"/>
  <c r="AD231" i="80"/>
  <c r="AG231" i="80"/>
  <c r="AF231" i="80"/>
  <c r="AK353" i="80"/>
  <c r="AJ356" i="80"/>
  <c r="DV840" i="80"/>
  <c r="DV842" i="80" s="1"/>
  <c r="DU842" i="80"/>
  <c r="AB44" i="80"/>
  <c r="AB78" i="46"/>
  <c r="BJ429" i="80"/>
  <c r="AJ185" i="80"/>
  <c r="AJ495" i="80"/>
  <c r="V874" i="80"/>
  <c r="V877" i="80"/>
  <c r="T877" i="80"/>
  <c r="T874" i="80"/>
  <c r="AD615" i="80"/>
  <c r="AD596" i="80"/>
  <c r="AD264" i="80"/>
  <c r="AE723" i="80"/>
  <c r="AE161" i="80" s="1"/>
  <c r="BJ508" i="80"/>
  <c r="AI373" i="80"/>
  <c r="AI721" i="80"/>
  <c r="AJ719" i="80"/>
  <c r="AH384" i="80"/>
  <c r="AH193" i="80"/>
  <c r="AJ319" i="80"/>
  <c r="AJ321" i="80" s="1"/>
  <c r="AJ320" i="80"/>
  <c r="AI383" i="80"/>
  <c r="AI396" i="80"/>
  <c r="AI395" i="80"/>
  <c r="BJ505" i="80"/>
  <c r="BG505" i="80"/>
  <c r="AC496" i="80"/>
  <c r="AL368" i="80"/>
  <c r="AK369" i="80"/>
  <c r="AI562" i="80"/>
  <c r="AJ559" i="80"/>
  <c r="AF679" i="80"/>
  <c r="BG52" i="71"/>
  <c r="BG113" i="73"/>
  <c r="CC94" i="73"/>
  <c r="BJ49" i="46"/>
  <c r="BJ48" i="46"/>
  <c r="BH266" i="46"/>
  <c r="DZ50" i="71"/>
  <c r="DZ51" i="71" s="1"/>
  <c r="X259" i="46"/>
  <c r="CP27" i="71" s="1"/>
  <c r="X256" i="46"/>
  <c r="CP24" i="71" s="1"/>
  <c r="CR173" i="46"/>
  <c r="CR175" i="46" s="1"/>
  <c r="CQ175" i="46"/>
  <c r="I256" i="46"/>
  <c r="CA24" i="71" s="1"/>
  <c r="I259" i="46"/>
  <c r="CA27" i="71" s="1"/>
  <c r="CZ173" i="46"/>
  <c r="DC173" i="46"/>
  <c r="DC175" i="46" s="1"/>
  <c r="DD173" i="46" s="1"/>
  <c r="CY175" i="46"/>
  <c r="AC173" i="46"/>
  <c r="AC175" i="46" s="1"/>
  <c r="AD173" i="46" s="1"/>
  <c r="Y175" i="46"/>
  <c r="Z173" i="46" s="1"/>
  <c r="Z175" i="46" s="1"/>
  <c r="AA173" i="46" s="1"/>
  <c r="AA175" i="46" s="1"/>
  <c r="AB173" i="46" s="1"/>
  <c r="AB175" i="46" s="1"/>
  <c r="BF266" i="46"/>
  <c r="BG266" i="46" s="1"/>
  <c r="DX50" i="71"/>
  <c r="DX51" i="71" s="1"/>
  <c r="BG167" i="46"/>
  <c r="BI66" i="46"/>
  <c r="BI167" i="46"/>
  <c r="BD216" i="46"/>
  <c r="CV173" i="46"/>
  <c r="CU175" i="46"/>
  <c r="AR259" i="46"/>
  <c r="DJ27" i="71" s="1"/>
  <c r="AR256" i="46"/>
  <c r="DJ24" i="71" s="1"/>
  <c r="AC256" i="46"/>
  <c r="CU24" i="71" s="1"/>
  <c r="AC259" i="46"/>
  <c r="CU27" i="71" s="1"/>
  <c r="DV15" i="71"/>
  <c r="BD190" i="46"/>
  <c r="BC194" i="46"/>
  <c r="BF207" i="46"/>
  <c r="BH50" i="46"/>
  <c r="BI50" i="46" s="1"/>
  <c r="AM259" i="46"/>
  <c r="DE27" i="71" s="1"/>
  <c r="AM256" i="46"/>
  <c r="DE24" i="71" s="1"/>
  <c r="BE235" i="46"/>
  <c r="BF215" i="46"/>
  <c r="BJ167" i="46"/>
  <c r="BK63" i="46"/>
  <c r="BJ64" i="46"/>
  <c r="CJ72" i="73"/>
  <c r="AC516" i="80" l="1"/>
  <c r="AF666" i="80"/>
  <c r="BB10" i="78"/>
  <c r="BM137" i="78"/>
  <c r="AL454" i="80"/>
  <c r="AM454" i="80" s="1"/>
  <c r="AR65" i="99"/>
  <c r="AW81" i="73" s="1"/>
  <c r="AV100" i="98"/>
  <c r="AV101" i="98" s="1"/>
  <c r="AW107" i="98"/>
  <c r="AW109" i="98" s="1"/>
  <c r="BD37" i="100"/>
  <c r="BI40" i="79"/>
  <c r="BI40" i="51"/>
  <c r="BI43" i="78"/>
  <c r="BI40" i="80"/>
  <c r="BI801" i="80" s="1"/>
  <c r="BD43" i="99"/>
  <c r="BD37" i="98"/>
  <c r="BI41" i="77"/>
  <c r="BB43" i="99"/>
  <c r="BB37" i="98"/>
  <c r="BG41" i="77"/>
  <c r="BB37" i="100"/>
  <c r="BG40" i="79"/>
  <c r="BG40" i="51"/>
  <c r="BG43" i="78"/>
  <c r="BG40" i="80"/>
  <c r="BH41" i="77"/>
  <c r="BC37" i="100"/>
  <c r="BH40" i="79"/>
  <c r="BH40" i="51"/>
  <c r="BH43" i="78"/>
  <c r="BH40" i="80"/>
  <c r="BH801" i="80" s="1"/>
  <c r="BC43" i="99"/>
  <c r="BC37" i="98"/>
  <c r="CK12" i="59"/>
  <c r="CP101" i="59"/>
  <c r="CZ251" i="59"/>
  <c r="CZ256" i="59" s="1"/>
  <c r="CU256" i="59"/>
  <c r="CZ94" i="59"/>
  <c r="CZ99" i="59" s="1"/>
  <c r="CZ101" i="59" s="1"/>
  <c r="CU99" i="59"/>
  <c r="BQ812" i="80"/>
  <c r="CU133" i="59"/>
  <c r="CZ133" i="59"/>
  <c r="CP11" i="59"/>
  <c r="CP12" i="59" s="1"/>
  <c r="BQ272" i="80"/>
  <c r="BQ324" i="80"/>
  <c r="AD598" i="80"/>
  <c r="AD159" i="80" s="1"/>
  <c r="AK514" i="80"/>
  <c r="CU289" i="59"/>
  <c r="CU291" i="59" s="1"/>
  <c r="CZ284" i="59"/>
  <c r="CZ289" i="59" s="1"/>
  <c r="CZ291" i="59" s="1"/>
  <c r="CX101" i="59"/>
  <c r="CX10" i="59"/>
  <c r="CP258" i="59"/>
  <c r="CU247" i="59"/>
  <c r="CU10" i="59" s="1"/>
  <c r="CZ235" i="59"/>
  <c r="CZ247" i="59" s="1"/>
  <c r="CS101" i="59"/>
  <c r="CS10" i="59"/>
  <c r="CZ167" i="59"/>
  <c r="CZ174" i="59" s="1"/>
  <c r="BQ156" i="79" s="1"/>
  <c r="CU174" i="59"/>
  <c r="CU176" i="59" s="1"/>
  <c r="CU319" i="59"/>
  <c r="CU321" i="59" s="1"/>
  <c r="CZ319" i="59"/>
  <c r="CZ321" i="59" s="1"/>
  <c r="CZ41" i="59"/>
  <c r="CZ10" i="59"/>
  <c r="CZ204" i="59"/>
  <c r="BQ183" i="77"/>
  <c r="BQ157" i="79"/>
  <c r="CV101" i="59"/>
  <c r="CV10" i="59"/>
  <c r="CW101" i="59"/>
  <c r="CW10" i="59"/>
  <c r="CQ101" i="59"/>
  <c r="CQ10" i="59"/>
  <c r="AW135" i="100"/>
  <c r="AS26" i="100"/>
  <c r="AS229" i="100" s="1"/>
  <c r="CP176" i="59"/>
  <c r="CU41" i="59"/>
  <c r="BB135" i="100"/>
  <c r="CU204" i="59"/>
  <c r="BL183" i="77"/>
  <c r="BL157" i="79"/>
  <c r="CR101" i="59"/>
  <c r="CR10" i="59"/>
  <c r="CT101" i="59"/>
  <c r="CT10" i="59"/>
  <c r="CY101" i="59"/>
  <c r="CY10" i="59"/>
  <c r="EI41" i="71"/>
  <c r="AI244" i="100"/>
  <c r="AI249" i="100" s="1"/>
  <c r="AJ244" i="100" s="1"/>
  <c r="AJ249" i="100" s="1"/>
  <c r="AK244" i="100" s="1"/>
  <c r="AK249" i="100" s="1"/>
  <c r="AL244" i="100" s="1"/>
  <c r="AL249" i="100" s="1"/>
  <c r="AH251" i="100"/>
  <c r="AH252" i="100" s="1"/>
  <c r="AM244" i="100"/>
  <c r="AM249" i="100" s="1"/>
  <c r="AM104" i="73"/>
  <c r="AH262" i="100"/>
  <c r="AZ175" i="100"/>
  <c r="AR246" i="100"/>
  <c r="AV47" i="100"/>
  <c r="AV77" i="100" s="1"/>
  <c r="AV79" i="100" s="1"/>
  <c r="BF105" i="100"/>
  <c r="BF104" i="100" s="1"/>
  <c r="BG104" i="100" s="1"/>
  <c r="BE104" i="100"/>
  <c r="DJ163" i="100"/>
  <c r="DJ165" i="100" s="1"/>
  <c r="DF163" i="100"/>
  <c r="BA100" i="100"/>
  <c r="BD198" i="100"/>
  <c r="AX247" i="100"/>
  <c r="BB144" i="100"/>
  <c r="AX180" i="100"/>
  <c r="AY180" i="100" s="1"/>
  <c r="AZ180" i="100" s="1"/>
  <c r="BA180" i="100" s="1"/>
  <c r="BB180" i="100" s="1"/>
  <c r="AO110" i="100"/>
  <c r="AT47" i="100"/>
  <c r="AT77" i="100" s="1"/>
  <c r="AT79" i="100" s="1"/>
  <c r="AA239" i="100"/>
  <c r="AA236" i="100"/>
  <c r="W239" i="100"/>
  <c r="W236" i="100"/>
  <c r="AZ211" i="100"/>
  <c r="AY190" i="100"/>
  <c r="AD165" i="100"/>
  <c r="AE163" i="100" s="1"/>
  <c r="AE165" i="100" s="1"/>
  <c r="AF163" i="100" s="1"/>
  <c r="AF165" i="100" s="1"/>
  <c r="AG163" i="100" s="1"/>
  <c r="AG165" i="100" s="1"/>
  <c r="AH163" i="100"/>
  <c r="AH165" i="100" s="1"/>
  <c r="AI163" i="100" s="1"/>
  <c r="AP110" i="100"/>
  <c r="AU47" i="100"/>
  <c r="AU77" i="100" s="1"/>
  <c r="AU79" i="100" s="1"/>
  <c r="BL12" i="100"/>
  <c r="AN110" i="100"/>
  <c r="AS47" i="100"/>
  <c r="Y236" i="100"/>
  <c r="Y239" i="100"/>
  <c r="Z236" i="100"/>
  <c r="Z239" i="100"/>
  <c r="CT163" i="100"/>
  <c r="CT165" i="100" s="1"/>
  <c r="CS165" i="100"/>
  <c r="DB163" i="100"/>
  <c r="DA165" i="100"/>
  <c r="CX163" i="100"/>
  <c r="CW165" i="100"/>
  <c r="K277" i="99"/>
  <c r="K282" i="99" s="1"/>
  <c r="J295" i="99"/>
  <c r="J65" i="99" s="1"/>
  <c r="AU19" i="99"/>
  <c r="DL194" i="99"/>
  <c r="DK196" i="99"/>
  <c r="AZ208" i="99"/>
  <c r="AL272" i="99"/>
  <c r="AL269" i="99"/>
  <c r="AU133" i="99"/>
  <c r="R294" i="99"/>
  <c r="R64" i="99" s="1"/>
  <c r="Q64" i="99"/>
  <c r="X294" i="99"/>
  <c r="W64" i="99"/>
  <c r="DT194" i="99"/>
  <c r="DT196" i="99" s="1"/>
  <c r="DP194" i="99"/>
  <c r="AT29" i="99"/>
  <c r="AY25" i="46"/>
  <c r="AZ144" i="99"/>
  <c r="BB137" i="99"/>
  <c r="BC137" i="99" s="1"/>
  <c r="BB154" i="99"/>
  <c r="BB231" i="99"/>
  <c r="AZ132" i="99"/>
  <c r="AT209" i="99"/>
  <c r="AS260" i="99"/>
  <c r="AS30" i="99"/>
  <c r="DH194" i="99"/>
  <c r="DH196" i="99" s="1"/>
  <c r="DI194" i="99"/>
  <c r="DI196" i="99" s="1"/>
  <c r="DG196" i="99"/>
  <c r="AN196" i="99"/>
  <c r="AO194" i="99" s="1"/>
  <c r="AO196" i="99" s="1"/>
  <c r="AP194" i="99" s="1"/>
  <c r="AP196" i="99" s="1"/>
  <c r="AQ194" i="99" s="1"/>
  <c r="AQ196" i="99" s="1"/>
  <c r="AR194" i="99"/>
  <c r="AR196" i="99" s="1"/>
  <c r="Z240" i="98"/>
  <c r="Z237" i="98"/>
  <c r="AT24" i="98"/>
  <c r="BA111" i="98"/>
  <c r="AW100" i="98"/>
  <c r="DG163" i="98"/>
  <c r="DF165" i="98"/>
  <c r="BB191" i="98"/>
  <c r="BL12" i="98"/>
  <c r="BO12" i="98"/>
  <c r="BP12" i="98" s="1"/>
  <c r="AS229" i="98"/>
  <c r="Z209" i="98"/>
  <c r="Z236" i="98" s="1"/>
  <c r="AA163" i="98"/>
  <c r="AA165" i="98" s="1"/>
  <c r="AT178" i="98"/>
  <c r="DO163" i="98"/>
  <c r="DO165" i="98" s="1"/>
  <c r="DK163" i="98"/>
  <c r="Y240" i="98"/>
  <c r="Y237" i="98"/>
  <c r="W240" i="98"/>
  <c r="W237" i="98"/>
  <c r="AT228" i="98"/>
  <c r="BB199" i="98"/>
  <c r="AI165" i="98"/>
  <c r="AM163" i="98"/>
  <c r="AM165" i="98" s="1"/>
  <c r="AN163" i="98" s="1"/>
  <c r="AX121" i="98"/>
  <c r="AX19" i="98" s="1"/>
  <c r="AY121" i="98"/>
  <c r="AY19" i="98" s="1"/>
  <c r="AY21" i="98" s="1"/>
  <c r="BA121" i="98"/>
  <c r="BA19" i="98" s="1"/>
  <c r="BA21" i="98" s="1"/>
  <c r="AZ121" i="98"/>
  <c r="AZ19" i="98" s="1"/>
  <c r="AZ21" i="98" s="1"/>
  <c r="DC163" i="98"/>
  <c r="DC165" i="98" s="1"/>
  <c r="DD163" i="98"/>
  <c r="DD165" i="98" s="1"/>
  <c r="DB165" i="98"/>
  <c r="V240" i="98"/>
  <c r="V237" i="98"/>
  <c r="AY99" i="98"/>
  <c r="AX176" i="98"/>
  <c r="AV247" i="98"/>
  <c r="AV144" i="98"/>
  <c r="AV15" i="98"/>
  <c r="AV17" i="98" s="1"/>
  <c r="AW10" i="98"/>
  <c r="AU247" i="98"/>
  <c r="AU144" i="98"/>
  <c r="AW144" i="98" s="1"/>
  <c r="AU15" i="98"/>
  <c r="AU17" i="98" s="1"/>
  <c r="AW13" i="98"/>
  <c r="AD209" i="98"/>
  <c r="AD236" i="98" s="1"/>
  <c r="AE163" i="98"/>
  <c r="AE165" i="98" s="1"/>
  <c r="BD104" i="98"/>
  <c r="BC103" i="98"/>
  <c r="AV9" i="77"/>
  <c r="AW10" i="77"/>
  <c r="W45" i="77"/>
  <c r="W81" i="46"/>
  <c r="W68" i="46" s="1"/>
  <c r="AZ92" i="77"/>
  <c r="BE93" i="77"/>
  <c r="AJ96" i="77"/>
  <c r="AJ110" i="77"/>
  <c r="BE133" i="77"/>
  <c r="AZ132" i="77"/>
  <c r="BH20" i="77"/>
  <c r="AZ257" i="77"/>
  <c r="AZ156" i="77"/>
  <c r="AZ14" i="77" s="1"/>
  <c r="AL133" i="77"/>
  <c r="AL135" i="77"/>
  <c r="AL136" i="77" s="1"/>
  <c r="AL93" i="77"/>
  <c r="AL95" i="77"/>
  <c r="AE25" i="77"/>
  <c r="AE29" i="77"/>
  <c r="AF238" i="77"/>
  <c r="AF251" i="77" s="1"/>
  <c r="AE238" i="77"/>
  <c r="AE251" i="77" s="1"/>
  <c r="AN29" i="77"/>
  <c r="AN25" i="77"/>
  <c r="DO210" i="77"/>
  <c r="DO212" i="77" s="1"/>
  <c r="DK210" i="77"/>
  <c r="X45" i="77"/>
  <c r="X81" i="46"/>
  <c r="AR133" i="77"/>
  <c r="AR135" i="77"/>
  <c r="AR136" i="77" s="1"/>
  <c r="U250" i="77"/>
  <c r="U247" i="77"/>
  <c r="AI61" i="77"/>
  <c r="AI60" i="77"/>
  <c r="AI33" i="77"/>
  <c r="AI36" i="77" s="1"/>
  <c r="AI238" i="77"/>
  <c r="AI251" i="77" s="1"/>
  <c r="DC210" i="77"/>
  <c r="DC212" i="77" s="1"/>
  <c r="DB212" i="77"/>
  <c r="AO24" i="77"/>
  <c r="AO22" i="46"/>
  <c r="AC45" i="77"/>
  <c r="AC81" i="46"/>
  <c r="Y45" i="77"/>
  <c r="Y81" i="46"/>
  <c r="Y68" i="46" s="1"/>
  <c r="AD43" i="77"/>
  <c r="AD38" i="77"/>
  <c r="AK43" i="77"/>
  <c r="AK38" i="77"/>
  <c r="AK44" i="77" s="1"/>
  <c r="AH43" i="77"/>
  <c r="AH38" i="77"/>
  <c r="BJ161" i="77"/>
  <c r="BI154" i="77"/>
  <c r="BI171" i="77" s="1"/>
  <c r="BI20" i="77" s="1"/>
  <c r="AF43" i="77"/>
  <c r="AF38" i="77"/>
  <c r="AF44" i="77" s="1"/>
  <c r="AZ152" i="77"/>
  <c r="BA158" i="77" s="1"/>
  <c r="AJ133" i="77"/>
  <c r="AJ135" i="77"/>
  <c r="AJ136" i="77" s="1"/>
  <c r="BD160" i="77"/>
  <c r="AN96" i="77"/>
  <c r="AN110" i="77"/>
  <c r="X250" i="77"/>
  <c r="X247" i="77"/>
  <c r="BH223" i="77"/>
  <c r="V250" i="77"/>
  <c r="V247" i="77"/>
  <c r="X263" i="77"/>
  <c r="X101" i="73"/>
  <c r="AC250" i="77"/>
  <c r="AC247" i="77"/>
  <c r="Y241" i="77"/>
  <c r="AS92" i="77"/>
  <c r="AS11" i="77"/>
  <c r="AS10" i="77"/>
  <c r="AS132" i="77" s="1"/>
  <c r="AS16" i="77"/>
  <c r="AS18" i="77" s="1"/>
  <c r="BE150" i="77"/>
  <c r="Z43" i="77"/>
  <c r="Z38" i="77"/>
  <c r="AJ24" i="77"/>
  <c r="AJ22" i="46"/>
  <c r="AG24" i="77"/>
  <c r="AG238" i="77" s="1"/>
  <c r="AG251" i="77" s="1"/>
  <c r="AG22" i="46"/>
  <c r="AM61" i="77"/>
  <c r="AM60" i="77"/>
  <c r="AM33" i="77"/>
  <c r="AM36" i="77" s="1"/>
  <c r="AL16" i="77"/>
  <c r="AL18" i="77" s="1"/>
  <c r="AY190" i="77"/>
  <c r="AG96" i="77"/>
  <c r="AG110" i="77"/>
  <c r="W241" i="77"/>
  <c r="AQ92" i="77"/>
  <c r="AQ11" i="77"/>
  <c r="AQ16" i="77"/>
  <c r="AQ18" i="77" s="1"/>
  <c r="AT92" i="77"/>
  <c r="AT10" i="77"/>
  <c r="AT132" i="77" s="1"/>
  <c r="AC274" i="77"/>
  <c r="AC65" i="77" s="1"/>
  <c r="AC273" i="77"/>
  <c r="AC64" i="77" s="1"/>
  <c r="AC59" i="73" s="1"/>
  <c r="Y237" i="77"/>
  <c r="AU96" i="77"/>
  <c r="AU110" i="77"/>
  <c r="AP61" i="77"/>
  <c r="AP60" i="77"/>
  <c r="AP33" i="77"/>
  <c r="AP36" i="77" s="1"/>
  <c r="AM239" i="77"/>
  <c r="AM246" i="77" s="1"/>
  <c r="AM30" i="71"/>
  <c r="AR238" i="77"/>
  <c r="AR251" i="77" s="1"/>
  <c r="AR29" i="77"/>
  <c r="AR25" i="77"/>
  <c r="AL11" i="77"/>
  <c r="BF219" i="77"/>
  <c r="DI210" i="77"/>
  <c r="DI212" i="77" s="1"/>
  <c r="DG210" i="77"/>
  <c r="DF212" i="77"/>
  <c r="AQ133" i="77"/>
  <c r="AQ135" i="77"/>
  <c r="AQ136" i="77" s="1"/>
  <c r="AU25" i="77"/>
  <c r="AU29" i="77"/>
  <c r="W237" i="77"/>
  <c r="AB33" i="77"/>
  <c r="AB36" i="77" s="1"/>
  <c r="AB61" i="77"/>
  <c r="AB60" i="77"/>
  <c r="AC262" i="77"/>
  <c r="AH255" i="77"/>
  <c r="AH260" i="77" s="1"/>
  <c r="AD255" i="77"/>
  <c r="AD260" i="77" s="1"/>
  <c r="AE255" i="77" s="1"/>
  <c r="AE260" i="77" s="1"/>
  <c r="AF255" i="77" s="1"/>
  <c r="AF260" i="77" s="1"/>
  <c r="AG255" i="77" s="1"/>
  <c r="AG260" i="77" s="1"/>
  <c r="AO133" i="77"/>
  <c r="AO135" i="77"/>
  <c r="AO136" i="77" s="1"/>
  <c r="AO93" i="77"/>
  <c r="AO95" i="77"/>
  <c r="BA93" i="78"/>
  <c r="BB93" i="78" s="1"/>
  <c r="BF94" i="78"/>
  <c r="BB134" i="78"/>
  <c r="BB136" i="78"/>
  <c r="BB137" i="78" s="1"/>
  <c r="BQ13" i="78"/>
  <c r="AU61" i="78"/>
  <c r="AU62" i="78"/>
  <c r="AU35" i="78"/>
  <c r="AU38" i="78" s="1"/>
  <c r="BE93" i="78"/>
  <c r="BJ94" i="78"/>
  <c r="AV238" i="78"/>
  <c r="AV245" i="78" s="1"/>
  <c r="AU238" i="78"/>
  <c r="AU245" i="78" s="1"/>
  <c r="AT238" i="78"/>
  <c r="AT245" i="78" s="1"/>
  <c r="AH12" i="71"/>
  <c r="BI94" i="78"/>
  <c r="BD93" i="78"/>
  <c r="BO134" i="78"/>
  <c r="BO133" i="78" s="1"/>
  <c r="BJ133" i="78"/>
  <c r="BF10" i="78"/>
  <c r="BF136" i="78"/>
  <c r="BF137" i="78" s="1"/>
  <c r="AI214" i="78"/>
  <c r="AJ212" i="78" s="1"/>
  <c r="AJ214" i="78" s="1"/>
  <c r="AK212" i="78" s="1"/>
  <c r="AK214" i="78" s="1"/>
  <c r="AL212" i="78" s="1"/>
  <c r="AL214" i="78" s="1"/>
  <c r="AM212" i="78"/>
  <c r="AM214" i="78" s="1"/>
  <c r="AN212" i="78" s="1"/>
  <c r="AS238" i="78"/>
  <c r="AS245" i="78" s="1"/>
  <c r="DH212" i="78"/>
  <c r="DH214" i="78" s="1"/>
  <c r="DG214" i="78"/>
  <c r="AH272" i="78"/>
  <c r="AH65" i="78" s="1"/>
  <c r="AH48" i="73" s="1"/>
  <c r="AP45" i="78"/>
  <c r="AP40" i="78"/>
  <c r="AP46" i="78" s="1"/>
  <c r="AI236" i="78"/>
  <c r="AK236" i="78"/>
  <c r="AL47" i="78"/>
  <c r="AL80" i="46"/>
  <c r="AW45" i="78"/>
  <c r="AW40" i="78"/>
  <c r="BC22" i="78"/>
  <c r="BJ163" i="78"/>
  <c r="BI156" i="78"/>
  <c r="AT62" i="78"/>
  <c r="AT35" i="78"/>
  <c r="AT38" i="78" s="1"/>
  <c r="AT61" i="78"/>
  <c r="BN134" i="78"/>
  <c r="BN133" i="78" s="1"/>
  <c r="BI133" i="78"/>
  <c r="BQ158" i="46"/>
  <c r="BQ161" i="46" s="1"/>
  <c r="BM161" i="46"/>
  <c r="AX237" i="78"/>
  <c r="AX250" i="78" s="1"/>
  <c r="AX27" i="78"/>
  <c r="AX31" i="78"/>
  <c r="AG47" i="78"/>
  <c r="AG80" i="46"/>
  <c r="AM47" i="78"/>
  <c r="AM80" i="46"/>
  <c r="AL236" i="78"/>
  <c r="BE175" i="78"/>
  <c r="BD174" i="78"/>
  <c r="BD22" i="78" s="1"/>
  <c r="AQ35" i="78"/>
  <c r="AQ38" i="78" s="1"/>
  <c r="AQ61" i="78"/>
  <c r="AQ62" i="78"/>
  <c r="AD246" i="78"/>
  <c r="AD249" i="78"/>
  <c r="BD10" i="78"/>
  <c r="BG133" i="78"/>
  <c r="BD136" i="78"/>
  <c r="BD137" i="78" s="1"/>
  <c r="AH261" i="78"/>
  <c r="AM254" i="78"/>
  <c r="AM259" i="78" s="1"/>
  <c r="AI254" i="78"/>
  <c r="AI259" i="78" s="1"/>
  <c r="AJ254" i="78" s="1"/>
  <c r="AJ259" i="78" s="1"/>
  <c r="AK254" i="78" s="1"/>
  <c r="AK259" i="78" s="1"/>
  <c r="AL254" i="78" s="1"/>
  <c r="AL259" i="78" s="1"/>
  <c r="BM11" i="78"/>
  <c r="BQ8" i="78"/>
  <c r="AV35" i="78"/>
  <c r="AV38" i="78" s="1"/>
  <c r="BF152" i="78"/>
  <c r="AJ46" i="78"/>
  <c r="AN236" i="78"/>
  <c r="AN240" i="78"/>
  <c r="AG236" i="78"/>
  <c r="X105" i="73"/>
  <c r="X108" i="73" s="1"/>
  <c r="BH11" i="78"/>
  <c r="BL8" i="78"/>
  <c r="DL212" i="78"/>
  <c r="DO212" i="78"/>
  <c r="DO214" i="78" s="1"/>
  <c r="DP212" i="78" s="1"/>
  <c r="DN212" i="78"/>
  <c r="DN214" i="78" s="1"/>
  <c r="DK214" i="78"/>
  <c r="AM246" i="78"/>
  <c r="AM249" i="78"/>
  <c r="AJ236" i="78"/>
  <c r="AJ240" i="78"/>
  <c r="AZ256" i="78"/>
  <c r="AZ158" i="78"/>
  <c r="AZ14" i="78" s="1"/>
  <c r="BE162" i="78"/>
  <c r="AR240" i="78"/>
  <c r="AR236" i="78"/>
  <c r="AR46" i="78"/>
  <c r="AK47" i="78"/>
  <c r="AK80" i="46"/>
  <c r="AZ9" i="78"/>
  <c r="AZ11" i="78" s="1"/>
  <c r="AZ96" i="78"/>
  <c r="AZ97" i="78" s="1"/>
  <c r="AY9" i="78"/>
  <c r="AY96" i="78"/>
  <c r="AY97" i="78" s="1"/>
  <c r="BE10" i="78"/>
  <c r="BE136" i="78"/>
  <c r="BE137" i="78" s="1"/>
  <c r="BK133" i="78"/>
  <c r="BP134" i="78"/>
  <c r="BP133" i="78" s="1"/>
  <c r="AC262" i="78"/>
  <c r="AC100" i="73"/>
  <c r="BQ126" i="78"/>
  <c r="AE246" i="78"/>
  <c r="AE249" i="78"/>
  <c r="BL126" i="78"/>
  <c r="BF221" i="78"/>
  <c r="AM273" i="78"/>
  <c r="AM66" i="78" s="1"/>
  <c r="AM272" i="78"/>
  <c r="AM65" i="78" s="1"/>
  <c r="AM48" i="73" s="1"/>
  <c r="AF246" i="78"/>
  <c r="AF249" i="78"/>
  <c r="AO45" i="78"/>
  <c r="AO40" i="78"/>
  <c r="BG225" i="78"/>
  <c r="AI47" i="78"/>
  <c r="AI80" i="46"/>
  <c r="AN47" i="78"/>
  <c r="AK240" i="78"/>
  <c r="AI240" i="78"/>
  <c r="AZ153" i="78"/>
  <c r="AI186" i="79"/>
  <c r="AJ184" i="79" s="1"/>
  <c r="AJ186" i="79" s="1"/>
  <c r="AK184" i="79" s="1"/>
  <c r="AK186" i="79" s="1"/>
  <c r="AL184" i="79" s="1"/>
  <c r="AL186" i="79" s="1"/>
  <c r="AM184" i="79"/>
  <c r="AM186" i="79" s="1"/>
  <c r="AN184" i="79" s="1"/>
  <c r="BD135" i="79"/>
  <c r="BF125" i="79"/>
  <c r="BC19" i="79"/>
  <c r="BH197" i="79"/>
  <c r="DH184" i="79"/>
  <c r="DG186" i="79"/>
  <c r="AY127" i="79"/>
  <c r="AZ133" i="79" s="1"/>
  <c r="BL10" i="79"/>
  <c r="BI129" i="79"/>
  <c r="BJ136" i="79"/>
  <c r="BE146" i="79"/>
  <c r="BD145" i="79"/>
  <c r="BD19" i="79" s="1"/>
  <c r="AM234" i="79"/>
  <c r="AM99" i="73"/>
  <c r="AR234" i="79"/>
  <c r="DL184" i="79"/>
  <c r="DO184" i="79"/>
  <c r="DO186" i="79" s="1"/>
  <c r="DP184" i="79" s="1"/>
  <c r="DK186" i="79"/>
  <c r="DD184" i="79"/>
  <c r="DD186" i="79" s="1"/>
  <c r="DC186" i="79"/>
  <c r="BA153" i="46"/>
  <c r="BB153" i="46" s="1"/>
  <c r="BB117" i="46"/>
  <c r="AL230" i="79"/>
  <c r="AJ230" i="79"/>
  <c r="AI230" i="79"/>
  <c r="AI231" i="79" s="1"/>
  <c r="AJ226" i="79" s="1"/>
  <c r="AJ231" i="79" s="1"/>
  <c r="AK226" i="79" s="1"/>
  <c r="AK230" i="79"/>
  <c r="BQ12" i="79"/>
  <c r="AY164" i="79"/>
  <c r="AY15" i="79"/>
  <c r="AY17" i="79" s="1"/>
  <c r="AX209" i="79"/>
  <c r="AX222" i="79" s="1"/>
  <c r="AX28" i="79"/>
  <c r="AX24" i="79"/>
  <c r="BF193" i="79"/>
  <c r="AH186" i="80"/>
  <c r="AH233" i="80" s="1"/>
  <c r="AH342" i="80"/>
  <c r="AF681" i="80"/>
  <c r="AF723" i="80" s="1"/>
  <c r="AF161" i="80" s="1"/>
  <c r="AG679" i="80"/>
  <c r="AF209" i="80"/>
  <c r="AJ562" i="80"/>
  <c r="AK559" i="80"/>
  <c r="AI378" i="80"/>
  <c r="AI397" i="80"/>
  <c r="AK719" i="80"/>
  <c r="AJ721" i="80"/>
  <c r="BI709" i="80"/>
  <c r="AQ476" i="80"/>
  <c r="BI468" i="80"/>
  <c r="AK410" i="80"/>
  <c r="AF639" i="80"/>
  <c r="AF652" i="80"/>
  <c r="AF651" i="80"/>
  <c r="AN432" i="80"/>
  <c r="AO429" i="80"/>
  <c r="AE555" i="80"/>
  <c r="AE194" i="80"/>
  <c r="AE187" i="80"/>
  <c r="BQ539" i="80"/>
  <c r="BM542" i="80"/>
  <c r="BQ542" i="80" s="1"/>
  <c r="BM541" i="80"/>
  <c r="AK291" i="80"/>
  <c r="AL288" i="80"/>
  <c r="AK393" i="80"/>
  <c r="AL390" i="80"/>
  <c r="AK382" i="80"/>
  <c r="AK201" i="80" s="1"/>
  <c r="AM314" i="80"/>
  <c r="AN314" i="80" s="1"/>
  <c r="AL317" i="80"/>
  <c r="AE602" i="80"/>
  <c r="AE195" i="80"/>
  <c r="BH853" i="80"/>
  <c r="AL492" i="80"/>
  <c r="AL491" i="80"/>
  <c r="AI624" i="80"/>
  <c r="AJ621" i="80"/>
  <c r="CN810" i="80"/>
  <c r="AK456" i="80"/>
  <c r="AI343" i="80"/>
  <c r="AJ340" i="80"/>
  <c r="BI431" i="80"/>
  <c r="BI432" i="80" s="1"/>
  <c r="BI435" i="80" s="1"/>
  <c r="BF849" i="80"/>
  <c r="AI586" i="80"/>
  <c r="AF215" i="80"/>
  <c r="AN449" i="80"/>
  <c r="AN446" i="80"/>
  <c r="AO443" i="80"/>
  <c r="AK512" i="80"/>
  <c r="AK511" i="80"/>
  <c r="EE840" i="80"/>
  <c r="EH840" i="80"/>
  <c r="EH842" i="80" s="1"/>
  <c r="EI840" i="80" s="1"/>
  <c r="EG840" i="80"/>
  <c r="EG842" i="80" s="1"/>
  <c r="ED842" i="80"/>
  <c r="AE640" i="80"/>
  <c r="AE196" i="80"/>
  <c r="AM489" i="80"/>
  <c r="BK706" i="80"/>
  <c r="BL704" i="80"/>
  <c r="BM704" i="80" s="1"/>
  <c r="AG574" i="80"/>
  <c r="AH571" i="80"/>
  <c r="AG553" i="80"/>
  <c r="AG202" i="80" s="1"/>
  <c r="AL684" i="80"/>
  <c r="AK686" i="80"/>
  <c r="AK210" i="80"/>
  <c r="AI564" i="80"/>
  <c r="AI379" i="80"/>
  <c r="BJ432" i="80"/>
  <c r="BK429" i="80"/>
  <c r="AL434" i="80"/>
  <c r="AL435" i="80"/>
  <c r="AM435" i="80" s="1"/>
  <c r="AE578" i="80"/>
  <c r="AE549" i="80"/>
  <c r="AE551" i="80" s="1"/>
  <c r="AE158" i="80" s="1"/>
  <c r="AJ383" i="80"/>
  <c r="AJ395" i="80"/>
  <c r="AJ396" i="80"/>
  <c r="AK319" i="80"/>
  <c r="AK321" i="80" s="1"/>
  <c r="AK320" i="80"/>
  <c r="AM317" i="80"/>
  <c r="AD265" i="80"/>
  <c r="AD156" i="80" s="1"/>
  <c r="AM327" i="80"/>
  <c r="AN327" i="80" s="1"/>
  <c r="AL330" i="80"/>
  <c r="AK184" i="80"/>
  <c r="AP416" i="80"/>
  <c r="AO419" i="80"/>
  <c r="BI392" i="80"/>
  <c r="AK699" i="80"/>
  <c r="AJ701" i="80"/>
  <c r="AJ213" i="80"/>
  <c r="AL706" i="80"/>
  <c r="AM706" i="80" s="1"/>
  <c r="AM704" i="80"/>
  <c r="AN704" i="80" s="1"/>
  <c r="BA474" i="80"/>
  <c r="BA471" i="80"/>
  <c r="BB471" i="80" s="1"/>
  <c r="BA472" i="80"/>
  <c r="BB466" i="80"/>
  <c r="AE189" i="80"/>
  <c r="AI295" i="80"/>
  <c r="BE369" i="80"/>
  <c r="BF366" i="80"/>
  <c r="AT649" i="80"/>
  <c r="AU646" i="80"/>
  <c r="AG676" i="80"/>
  <c r="AH674" i="80"/>
  <c r="AI674" i="80" s="1"/>
  <c r="AG208" i="80"/>
  <c r="AM503" i="80"/>
  <c r="AN503" i="80" s="1"/>
  <c r="AL509" i="80"/>
  <c r="AM509" i="80" s="1"/>
  <c r="AL506" i="80"/>
  <c r="EA840" i="80"/>
  <c r="EA842" i="80" s="1"/>
  <c r="DZ842" i="80"/>
  <c r="AH661" i="80"/>
  <c r="BG149" i="80"/>
  <c r="BF149" i="80" s="1"/>
  <c r="BH461" i="80"/>
  <c r="BH501" i="80"/>
  <c r="BH441" i="80"/>
  <c r="AF601" i="80"/>
  <c r="AF614" i="80"/>
  <c r="AF597" i="80" s="1"/>
  <c r="AF613" i="80"/>
  <c r="AM491" i="80"/>
  <c r="AF576" i="80"/>
  <c r="AF554" i="80"/>
  <c r="BM648" i="80"/>
  <c r="BP648" i="80"/>
  <c r="AF268" i="80"/>
  <c r="AF182" i="80"/>
  <c r="AF281" i="80"/>
  <c r="AF280" i="80"/>
  <c r="AL307" i="80"/>
  <c r="AL306" i="80"/>
  <c r="AL308" i="80" s="1"/>
  <c r="AM304" i="80"/>
  <c r="AM303" i="80" s="1"/>
  <c r="AD555" i="80"/>
  <c r="AD194" i="80"/>
  <c r="AD187" i="80"/>
  <c r="BC373" i="80"/>
  <c r="BI508" i="80"/>
  <c r="AM423" i="80"/>
  <c r="AD197" i="80"/>
  <c r="AK183" i="80"/>
  <c r="AK333" i="80"/>
  <c r="AK332" i="80"/>
  <c r="AL409" i="80"/>
  <c r="AM409" i="80" s="1"/>
  <c r="AL408" i="80"/>
  <c r="AN486" i="80"/>
  <c r="AN489" i="80"/>
  <c r="AO483" i="80"/>
  <c r="AM432" i="80"/>
  <c r="AK694" i="80"/>
  <c r="AJ696" i="80"/>
  <c r="AJ212" i="80"/>
  <c r="AW474" i="80"/>
  <c r="AG716" i="80"/>
  <c r="AH716" i="80" s="1"/>
  <c r="AH714" i="80"/>
  <c r="AG214" i="80"/>
  <c r="AN422" i="80"/>
  <c r="AN421" i="80"/>
  <c r="AH379" i="80"/>
  <c r="AH380" i="80" s="1"/>
  <c r="AJ515" i="80"/>
  <c r="AJ516" i="80" s="1"/>
  <c r="BI446" i="80"/>
  <c r="BJ443" i="80"/>
  <c r="AH566" i="80"/>
  <c r="BI405" i="80"/>
  <c r="AL525" i="80"/>
  <c r="AM522" i="80"/>
  <c r="AN522" i="80" s="1"/>
  <c r="BK465" i="80"/>
  <c r="BG465" i="80"/>
  <c r="AE269" i="80"/>
  <c r="AE192" i="80"/>
  <c r="AE197" i="80" s="1"/>
  <c r="BD372" i="80"/>
  <c r="BD371" i="80"/>
  <c r="BD373" i="80" s="1"/>
  <c r="AO542" i="80"/>
  <c r="AO541" i="80"/>
  <c r="AG665" i="80"/>
  <c r="AH665" i="80" s="1"/>
  <c r="AG664" i="80"/>
  <c r="AG188" i="80"/>
  <c r="AG236" i="80" s="1"/>
  <c r="BD710" i="80"/>
  <c r="BC711" i="80"/>
  <c r="AE653" i="80"/>
  <c r="AE634" i="80"/>
  <c r="AE636" i="80" s="1"/>
  <c r="AE160" i="80" s="1"/>
  <c r="AK185" i="80"/>
  <c r="AK495" i="80"/>
  <c r="AF205" i="80"/>
  <c r="AN304" i="80"/>
  <c r="AO301" i="80"/>
  <c r="AD578" i="80"/>
  <c r="AD549" i="80"/>
  <c r="AD551" i="80" s="1"/>
  <c r="AD158" i="80" s="1"/>
  <c r="AK371" i="80"/>
  <c r="AK372" i="80"/>
  <c r="BO505" i="80"/>
  <c r="BQ505" i="80" s="1"/>
  <c r="BL505" i="80"/>
  <c r="AJ358" i="80"/>
  <c r="AJ360" i="80" s="1"/>
  <c r="AJ359" i="80"/>
  <c r="AD229" i="80"/>
  <c r="AD221" i="80" s="1"/>
  <c r="AE229" i="80"/>
  <c r="AE221" i="80" s="1"/>
  <c r="AG229" i="80"/>
  <c r="AG221" i="80" s="1"/>
  <c r="AF229" i="80"/>
  <c r="AF221" i="80" s="1"/>
  <c r="BH466" i="80"/>
  <c r="BI463" i="80"/>
  <c r="AK308" i="80"/>
  <c r="AE596" i="80"/>
  <c r="AE598" i="80" s="1"/>
  <c r="AE159" i="80" s="1"/>
  <c r="AE615" i="80"/>
  <c r="AN368" i="80"/>
  <c r="AL369" i="80"/>
  <c r="AI384" i="80"/>
  <c r="AI193" i="80"/>
  <c r="AK356" i="80"/>
  <c r="AL353" i="80"/>
  <c r="AR476" i="80"/>
  <c r="BI448" i="80"/>
  <c r="BI449" i="80" s="1"/>
  <c r="AC380" i="80"/>
  <c r="AM406" i="80"/>
  <c r="AG638" i="80"/>
  <c r="AG204" i="80" s="1"/>
  <c r="AG649" i="80"/>
  <c r="AH646" i="80"/>
  <c r="AH638" i="80" s="1"/>
  <c r="AH204" i="80" s="1"/>
  <c r="AM840" i="80"/>
  <c r="AM842" i="80" s="1"/>
  <c r="AN840" i="80" s="1"/>
  <c r="AI842" i="80"/>
  <c r="AJ840" i="80" s="1"/>
  <c r="AJ842" i="80" s="1"/>
  <c r="AK840" i="80" s="1"/>
  <c r="AK842" i="80" s="1"/>
  <c r="AL840" i="80" s="1"/>
  <c r="AL842" i="80" s="1"/>
  <c r="AM307" i="80"/>
  <c r="AJ181" i="80"/>
  <c r="AJ293" i="80"/>
  <c r="AJ295" i="80" s="1"/>
  <c r="AJ294" i="80"/>
  <c r="AM408" i="80"/>
  <c r="AM316" i="80"/>
  <c r="AF347" i="80"/>
  <c r="AI360" i="80"/>
  <c r="AN406" i="80"/>
  <c r="AO403" i="80"/>
  <c r="AL494" i="80"/>
  <c r="AK436" i="80"/>
  <c r="AG627" i="80"/>
  <c r="AH627" i="80" s="1"/>
  <c r="AG626" i="80"/>
  <c r="AV475" i="80"/>
  <c r="AW475" i="80" s="1"/>
  <c r="AW472" i="80"/>
  <c r="AI711" i="80"/>
  <c r="AJ709" i="80"/>
  <c r="AJ496" i="80"/>
  <c r="AN543" i="80"/>
  <c r="AG186" i="80"/>
  <c r="AG346" i="80"/>
  <c r="AH346" i="80" s="1"/>
  <c r="AG345" i="80"/>
  <c r="AH345" i="80" s="1"/>
  <c r="AH347" i="80" s="1"/>
  <c r="AH170" i="80" s="1"/>
  <c r="BI418" i="80"/>
  <c r="AM486" i="80"/>
  <c r="AI691" i="80"/>
  <c r="AJ689" i="80"/>
  <c r="AI211" i="80"/>
  <c r="AK528" i="80"/>
  <c r="AK527" i="80"/>
  <c r="AM525" i="80"/>
  <c r="AR653" i="80"/>
  <c r="BM610" i="80"/>
  <c r="BP610" i="80"/>
  <c r="AE282" i="80"/>
  <c r="AE263" i="80"/>
  <c r="AE265" i="80" s="1"/>
  <c r="AE156" i="80" s="1"/>
  <c r="AK583" i="80"/>
  <c r="AJ586" i="80"/>
  <c r="AJ588" i="80" s="1"/>
  <c r="AJ590" i="80" s="1"/>
  <c r="AL423" i="80"/>
  <c r="AS652" i="80"/>
  <c r="AS651" i="80"/>
  <c r="AP539" i="80"/>
  <c r="AQ536" i="80"/>
  <c r="AL452" i="80"/>
  <c r="AL455" i="80" s="1"/>
  <c r="AM455" i="80" s="1"/>
  <c r="AM456" i="80" s="1"/>
  <c r="AL451" i="80"/>
  <c r="AM451" i="80" s="1"/>
  <c r="AM449" i="80"/>
  <c r="AI662" i="80"/>
  <c r="AJ659" i="80"/>
  <c r="AI638" i="80"/>
  <c r="AI204" i="80" s="1"/>
  <c r="BG148" i="80"/>
  <c r="BF148" i="80" s="1"/>
  <c r="BH401" i="80"/>
  <c r="BH388" i="80"/>
  <c r="BH427" i="80"/>
  <c r="BH414" i="80"/>
  <c r="AG611" i="80"/>
  <c r="AG600" i="80"/>
  <c r="AG203" i="80" s="1"/>
  <c r="AH608" i="80"/>
  <c r="BM661" i="80"/>
  <c r="BP661" i="80"/>
  <c r="BL706" i="80"/>
  <c r="AG267" i="80"/>
  <c r="AG200" i="80" s="1"/>
  <c r="AG205" i="80" s="1"/>
  <c r="AG278" i="80"/>
  <c r="AH275" i="80"/>
  <c r="AD636" i="80"/>
  <c r="AD160" i="80" s="1"/>
  <c r="CM809" i="80"/>
  <c r="CL804" i="80"/>
  <c r="CL808" i="80" s="1"/>
  <c r="CL811" i="80" s="1"/>
  <c r="AH574" i="80"/>
  <c r="DW15" i="71"/>
  <c r="BG207" i="46"/>
  <c r="BE216" i="46"/>
  <c r="DE173" i="46"/>
  <c r="DH173" i="46"/>
  <c r="DH175" i="46" s="1"/>
  <c r="DI173" i="46" s="1"/>
  <c r="DD175" i="46"/>
  <c r="BJ66" i="46"/>
  <c r="BJ50" i="46"/>
  <c r="DA173" i="46"/>
  <c r="CZ175" i="46"/>
  <c r="BM63" i="46"/>
  <c r="BK64" i="46"/>
  <c r="BL63" i="46"/>
  <c r="BJ266" i="46"/>
  <c r="EB50" i="71"/>
  <c r="EB51" i="71" s="1"/>
  <c r="BG144" i="46"/>
  <c r="DY50" i="71"/>
  <c r="AH173" i="46"/>
  <c r="AH175" i="46" s="1"/>
  <c r="AI173" i="46" s="1"/>
  <c r="AD175" i="46"/>
  <c r="AE173" i="46" s="1"/>
  <c r="AE175" i="46" s="1"/>
  <c r="AF173" i="46" s="1"/>
  <c r="AF175" i="46" s="1"/>
  <c r="AG173" i="46" s="1"/>
  <c r="AG175" i="46" s="1"/>
  <c r="BF235" i="46"/>
  <c r="BG215" i="46"/>
  <c r="BE190" i="46"/>
  <c r="BD194" i="46"/>
  <c r="CW173" i="46"/>
  <c r="CW175" i="46" s="1"/>
  <c r="CV175" i="46"/>
  <c r="BI266" i="46"/>
  <c r="EA50" i="71"/>
  <c r="EA51" i="71" s="1"/>
  <c r="BK48" i="46"/>
  <c r="BL48" i="46" s="1"/>
  <c r="BK49" i="46"/>
  <c r="BK167" i="46" s="1"/>
  <c r="CJ73" i="73"/>
  <c r="AU93" i="46"/>
  <c r="DM40" i="71" s="1"/>
  <c r="DM41" i="71" s="1"/>
  <c r="AS93" i="46"/>
  <c r="DK40" i="71" s="1"/>
  <c r="DK41" i="71" s="1"/>
  <c r="AX30" i="46"/>
  <c r="CZ176" i="59" l="1"/>
  <c r="AM306" i="80"/>
  <c r="AM308" i="80" s="1"/>
  <c r="BJ40" i="51"/>
  <c r="BJ43" i="78"/>
  <c r="BJ40" i="80"/>
  <c r="BJ801" i="80" s="1"/>
  <c r="BE43" i="99"/>
  <c r="BE37" i="98"/>
  <c r="BJ41" i="77"/>
  <c r="BE37" i="100"/>
  <c r="BJ40" i="79"/>
  <c r="CZ258" i="59"/>
  <c r="CU101" i="59"/>
  <c r="BQ811" i="80"/>
  <c r="CU258" i="59"/>
  <c r="AW476" i="80"/>
  <c r="CW12" i="59"/>
  <c r="BN108" i="46"/>
  <c r="BL156" i="79"/>
  <c r="CU11" i="59"/>
  <c r="CU12" i="59" s="1"/>
  <c r="BP108" i="46"/>
  <c r="CY12" i="59"/>
  <c r="CR12" i="59"/>
  <c r="BI108" i="46"/>
  <c r="CQ12" i="59"/>
  <c r="BH108" i="46"/>
  <c r="CV12" i="59"/>
  <c r="BM108" i="46"/>
  <c r="BJ108" i="46"/>
  <c r="CS12" i="59"/>
  <c r="CT12" i="59"/>
  <c r="BK108" i="46"/>
  <c r="BO108" i="46"/>
  <c r="CX12" i="59"/>
  <c r="CZ11" i="59"/>
  <c r="CZ12" i="59" s="1"/>
  <c r="AI165" i="100"/>
  <c r="AJ163" i="100" s="1"/>
  <c r="AJ165" i="100" s="1"/>
  <c r="AK163" i="100" s="1"/>
  <c r="AK165" i="100" s="1"/>
  <c r="AL163" i="100" s="1"/>
  <c r="AL165" i="100" s="1"/>
  <c r="AM163" i="100"/>
  <c r="AM165" i="100" s="1"/>
  <c r="AN163" i="100" s="1"/>
  <c r="BE198" i="100"/>
  <c r="DO163" i="100"/>
  <c r="DO165" i="100" s="1"/>
  <c r="DK163" i="100"/>
  <c r="AV81" i="100"/>
  <c r="AV62" i="100" s="1"/>
  <c r="BA175" i="100"/>
  <c r="AN244" i="100"/>
  <c r="AM251" i="100"/>
  <c r="AM252" i="100" s="1"/>
  <c r="AR244" i="100"/>
  <c r="AR249" i="100" s="1"/>
  <c r="AR104" i="73"/>
  <c r="AM262" i="100"/>
  <c r="CY163" i="100"/>
  <c r="CY165" i="100" s="1"/>
  <c r="CX165" i="100"/>
  <c r="AQ246" i="100"/>
  <c r="AS112" i="100"/>
  <c r="AW47" i="100"/>
  <c r="AW77" i="100" s="1"/>
  <c r="AS77" i="100"/>
  <c r="AS79" i="100" s="1"/>
  <c r="AU81" i="100"/>
  <c r="AU62" i="100" s="1"/>
  <c r="AT81" i="100"/>
  <c r="AT62" i="100" s="1"/>
  <c r="BB100" i="100"/>
  <c r="AH57" i="100"/>
  <c r="AM91" i="73"/>
  <c r="DC163" i="100"/>
  <c r="DB165" i="100"/>
  <c r="AN246" i="100"/>
  <c r="AN112" i="100"/>
  <c r="AP246" i="100"/>
  <c r="AP112" i="100"/>
  <c r="BA211" i="100"/>
  <c r="AZ190" i="100"/>
  <c r="AO246" i="100"/>
  <c r="AO112" i="100"/>
  <c r="DG163" i="100"/>
  <c r="DF165" i="100"/>
  <c r="BG105" i="100"/>
  <c r="BH105" i="100" s="1"/>
  <c r="BG120" i="100"/>
  <c r="BA132" i="99"/>
  <c r="BD137" i="99"/>
  <c r="BC136" i="99"/>
  <c r="BA208" i="99"/>
  <c r="AT210" i="99"/>
  <c r="BC231" i="99"/>
  <c r="AT30" i="99"/>
  <c r="AT261" i="99" s="1"/>
  <c r="AU134" i="99"/>
  <c r="AV142" i="99" s="1"/>
  <c r="AV140" i="99" s="1"/>
  <c r="AV133" i="99" s="1"/>
  <c r="AU279" i="99"/>
  <c r="AU174" i="99"/>
  <c r="AU21" i="99"/>
  <c r="AU23" i="99" s="1"/>
  <c r="AW194" i="99"/>
  <c r="AS194" i="99"/>
  <c r="AT260" i="99"/>
  <c r="BA144" i="99"/>
  <c r="DQ194" i="99"/>
  <c r="DP196" i="99"/>
  <c r="Y294" i="99"/>
  <c r="X64" i="99"/>
  <c r="AC84" i="73" s="1"/>
  <c r="AS261" i="99"/>
  <c r="AX154" i="99"/>
  <c r="AX25" i="99" s="1"/>
  <c r="BA154" i="99"/>
  <c r="BA25" i="99" s="1"/>
  <c r="BA27" i="99" s="1"/>
  <c r="AY154" i="99"/>
  <c r="AY25" i="99" s="1"/>
  <c r="AY27" i="99" s="1"/>
  <c r="AZ154" i="99"/>
  <c r="AZ25" i="99" s="1"/>
  <c r="AZ27" i="99" s="1"/>
  <c r="DM194" i="99"/>
  <c r="DM196" i="99" s="1"/>
  <c r="DN194" i="99"/>
  <c r="DN196" i="99" s="1"/>
  <c r="DL196" i="99"/>
  <c r="L277" i="99"/>
  <c r="L282" i="99" s="1"/>
  <c r="K295" i="99"/>
  <c r="K65" i="99" s="1"/>
  <c r="BE104" i="98"/>
  <c r="BD103" i="98"/>
  <c r="AU23" i="98"/>
  <c r="AZ24" i="46"/>
  <c r="AY176" i="98"/>
  <c r="DL163" i="98"/>
  <c r="DK165" i="98"/>
  <c r="AA209" i="98"/>
  <c r="AA236" i="98" s="1"/>
  <c r="AB163" i="98"/>
  <c r="AB165" i="98" s="1"/>
  <c r="AB209" i="98" s="1"/>
  <c r="AW101" i="98"/>
  <c r="AE209" i="98"/>
  <c r="AE236" i="98" s="1"/>
  <c r="AF163" i="98"/>
  <c r="AF165" i="98" s="1"/>
  <c r="AV23" i="98"/>
  <c r="BA24" i="46"/>
  <c r="AX21" i="98"/>
  <c r="BB19" i="98"/>
  <c r="BB21" i="98" s="1"/>
  <c r="BC199" i="98"/>
  <c r="DT163" i="98"/>
  <c r="DT165" i="98" s="1"/>
  <c r="DP163" i="98"/>
  <c r="BC111" i="98"/>
  <c r="AN165" i="98"/>
  <c r="AR163" i="98"/>
  <c r="AR165" i="98" s="1"/>
  <c r="AT229" i="98"/>
  <c r="DI163" i="98"/>
  <c r="DI165" i="98" s="1"/>
  <c r="DH163" i="98"/>
  <c r="DH165" i="98" s="1"/>
  <c r="DG165" i="98"/>
  <c r="AW247" i="98"/>
  <c r="BB49" i="98"/>
  <c r="AW15" i="98"/>
  <c r="AW17" i="98" s="1"/>
  <c r="AW23" i="98" s="1"/>
  <c r="AZ99" i="98"/>
  <c r="AI209" i="98"/>
  <c r="AI236" i="98" s="1"/>
  <c r="AJ163" i="98"/>
  <c r="AJ165" i="98" s="1"/>
  <c r="AU177" i="98"/>
  <c r="BC191" i="98"/>
  <c r="AC263" i="77"/>
  <c r="AC101" i="73"/>
  <c r="W247" i="77"/>
  <c r="W250" i="77"/>
  <c r="AR239" i="77"/>
  <c r="AR246" i="77" s="1"/>
  <c r="AR30" i="71"/>
  <c r="Y250" i="77"/>
  <c r="Y247" i="77"/>
  <c r="AT93" i="77"/>
  <c r="AY93" i="77" s="1"/>
  <c r="AT95" i="77"/>
  <c r="BA257" i="77"/>
  <c r="BB257" i="77" s="1"/>
  <c r="BA156" i="77"/>
  <c r="BA14" i="77" s="1"/>
  <c r="BI192" i="77"/>
  <c r="BI22" i="77"/>
  <c r="AK45" i="77"/>
  <c r="AK81" i="46"/>
  <c r="AK68" i="46" s="1"/>
  <c r="X13" i="71"/>
  <c r="X7" i="73" s="1"/>
  <c r="X68" i="46"/>
  <c r="AZ10" i="77"/>
  <c r="AZ135" i="77"/>
  <c r="AZ136" i="77" s="1"/>
  <c r="BJ93" i="77"/>
  <c r="BE92" i="77"/>
  <c r="AV10" i="77"/>
  <c r="AC105" i="73"/>
  <c r="AU61" i="77"/>
  <c r="AU60" i="77"/>
  <c r="AU33" i="77"/>
  <c r="AU36" i="77" s="1"/>
  <c r="BG219" i="77"/>
  <c r="AR60" i="77"/>
  <c r="AR33" i="77"/>
  <c r="AR36" i="77" s="1"/>
  <c r="AR61" i="77"/>
  <c r="AP43" i="77"/>
  <c r="AP38" i="77"/>
  <c r="AP44" i="77" s="1"/>
  <c r="AT16" i="77"/>
  <c r="AT18" i="77" s="1"/>
  <c r="AQ24" i="77"/>
  <c r="AQ22" i="46"/>
  <c r="AJ29" i="77"/>
  <c r="AJ25" i="77"/>
  <c r="AJ238" i="77"/>
  <c r="AJ251" i="77" s="1"/>
  <c r="AK238" i="77"/>
  <c r="AK251" i="77" s="1"/>
  <c r="BF150" i="77"/>
  <c r="AS93" i="77"/>
  <c r="AX93" i="77" s="1"/>
  <c r="AS95" i="77"/>
  <c r="BI223" i="77"/>
  <c r="BE160" i="77"/>
  <c r="BA151" i="77"/>
  <c r="BK161" i="77"/>
  <c r="BK154" i="77" s="1"/>
  <c r="BJ154" i="77"/>
  <c r="BJ171" i="77" s="1"/>
  <c r="BJ20" i="77" s="1"/>
  <c r="AO29" i="77"/>
  <c r="AO25" i="77"/>
  <c r="AI43" i="77"/>
  <c r="AI38" i="77"/>
  <c r="AN60" i="77"/>
  <c r="AN61" i="77"/>
  <c r="AN33" i="77"/>
  <c r="AN36" i="77" s="1"/>
  <c r="AE61" i="77"/>
  <c r="AE33" i="77"/>
  <c r="AE36" i="77" s="1"/>
  <c r="AE60" i="77"/>
  <c r="BH192" i="77"/>
  <c r="BH22" i="77"/>
  <c r="BJ133" i="77"/>
  <c r="BE132" i="77"/>
  <c r="AZ9" i="77"/>
  <c r="AZ11" i="77" s="1"/>
  <c r="AZ95" i="77"/>
  <c r="AZ96" i="77" s="1"/>
  <c r="AV11" i="77"/>
  <c r="AV16" i="77"/>
  <c r="AV18" i="77" s="1"/>
  <c r="AO96" i="77"/>
  <c r="AO110" i="77"/>
  <c r="AT133" i="77"/>
  <c r="AY133" i="77" s="1"/>
  <c r="AT135" i="77"/>
  <c r="AT136" i="77" s="1"/>
  <c r="AL24" i="77"/>
  <c r="AL22" i="46"/>
  <c r="Z44" i="77"/>
  <c r="Z241" i="77"/>
  <c r="AA241" i="77"/>
  <c r="AA237" i="77"/>
  <c r="Z237" i="77"/>
  <c r="AS24" i="77"/>
  <c r="AS22" i="46"/>
  <c r="AF45" i="77"/>
  <c r="AF81" i="46"/>
  <c r="AF68" i="46" s="1"/>
  <c r="AH241" i="77"/>
  <c r="AH237" i="77"/>
  <c r="AH44" i="77"/>
  <c r="AD44" i="77"/>
  <c r="AC13" i="71"/>
  <c r="AC7" i="73" s="1"/>
  <c r="AC68" i="46"/>
  <c r="DN210" i="77"/>
  <c r="DN212" i="77" s="1"/>
  <c r="DL210" i="77"/>
  <c r="DK212" i="77"/>
  <c r="AN238" i="77"/>
  <c r="AN251" i="77" s="1"/>
  <c r="AE239" i="77"/>
  <c r="AE246" i="77" s="1"/>
  <c r="AF239" i="77"/>
  <c r="AF246" i="77" s="1"/>
  <c r="AW16" i="77"/>
  <c r="AW18" i="77" s="1"/>
  <c r="AH262" i="77"/>
  <c r="AM255" i="77"/>
  <c r="AM260" i="77" s="1"/>
  <c r="AI255" i="77"/>
  <c r="AI260" i="77" s="1"/>
  <c r="AJ255" i="77" s="1"/>
  <c r="AJ260" i="77" s="1"/>
  <c r="AK255" i="77" s="1"/>
  <c r="AK260" i="77" s="1"/>
  <c r="AL255" i="77" s="1"/>
  <c r="AL260" i="77" s="1"/>
  <c r="AB43" i="77"/>
  <c r="AB38" i="77"/>
  <c r="AB44" i="77" s="1"/>
  <c r="DH210" i="77"/>
  <c r="DH212" i="77" s="1"/>
  <c r="DG212" i="77"/>
  <c r="AT11" i="77"/>
  <c r="AQ93" i="77"/>
  <c r="AQ95" i="77"/>
  <c r="AM43" i="77"/>
  <c r="AM38" i="77"/>
  <c r="AG29" i="77"/>
  <c r="AG25" i="77"/>
  <c r="AI239" i="77" s="1"/>
  <c r="AI246" i="77" s="1"/>
  <c r="AS133" i="77"/>
  <c r="AX133" i="77" s="1"/>
  <c r="AS135" i="77"/>
  <c r="AS136" i="77" s="1"/>
  <c r="BB158" i="77"/>
  <c r="DT210" i="77"/>
  <c r="DT212" i="77" s="1"/>
  <c r="DP210" i="77"/>
  <c r="AO238" i="77"/>
  <c r="AO251" i="77" s="1"/>
  <c r="AL96" i="77"/>
  <c r="AL110" i="77"/>
  <c r="AZ190" i="77"/>
  <c r="AZ16" i="77"/>
  <c r="AZ18" i="77" s="1"/>
  <c r="AW11" i="77"/>
  <c r="BH225" i="78"/>
  <c r="BG221" i="78"/>
  <c r="BK10" i="78"/>
  <c r="BK136" i="78"/>
  <c r="BK137" i="78" s="1"/>
  <c r="BB94" i="78"/>
  <c r="BB96" i="78"/>
  <c r="AV111" i="78"/>
  <c r="AJ47" i="78"/>
  <c r="AJ80" i="46"/>
  <c r="AQ45" i="78"/>
  <c r="AQ40" i="78"/>
  <c r="AQ46" i="78" s="1"/>
  <c r="AM12" i="71"/>
  <c r="AT45" i="78"/>
  <c r="AT40" i="78"/>
  <c r="BC195" i="78"/>
  <c r="BC24" i="78"/>
  <c r="AP47" i="78"/>
  <c r="AP80" i="46"/>
  <c r="BO10" i="78"/>
  <c r="BO136" i="78"/>
  <c r="BO94" i="78"/>
  <c r="BO93" i="78" s="1"/>
  <c r="BJ93" i="78"/>
  <c r="AY11" i="78"/>
  <c r="AY16" i="78"/>
  <c r="AY20" i="78" s="1"/>
  <c r="AJ246" i="78"/>
  <c r="AJ249" i="78"/>
  <c r="AG249" i="78"/>
  <c r="AG246" i="78"/>
  <c r="AV45" i="78"/>
  <c r="AV40" i="78"/>
  <c r="AV46" i="78" s="1"/>
  <c r="BG134" i="78"/>
  <c r="BG136" i="78"/>
  <c r="BG137" i="78" s="1"/>
  <c r="BD195" i="78"/>
  <c r="BD24" i="78"/>
  <c r="AX33" i="78"/>
  <c r="BI10" i="78"/>
  <c r="BL133" i="78"/>
  <c r="BI136" i="78"/>
  <c r="BI137" i="78" s="1"/>
  <c r="BD9" i="78"/>
  <c r="BD96" i="78"/>
  <c r="BD97" i="78" s="1"/>
  <c r="BE9" i="78"/>
  <c r="BE11" i="78" s="1"/>
  <c r="BE96" i="78"/>
  <c r="BE97" i="78" s="1"/>
  <c r="BF93" i="78"/>
  <c r="BK94" i="78"/>
  <c r="AZ154" i="78"/>
  <c r="BA160" i="78" s="1"/>
  <c r="BA153" i="78" s="1"/>
  <c r="AO46" i="78"/>
  <c r="AO236" i="78"/>
  <c r="AP236" i="78"/>
  <c r="AQ236" i="78"/>
  <c r="AS236" i="78"/>
  <c r="AQ240" i="78"/>
  <c r="AP240" i="78"/>
  <c r="AS240" i="78"/>
  <c r="AO240" i="78"/>
  <c r="AR47" i="78"/>
  <c r="AR80" i="46"/>
  <c r="BF162" i="78"/>
  <c r="AZ193" i="78"/>
  <c r="AZ16" i="78"/>
  <c r="AZ20" i="78" s="1"/>
  <c r="DT212" i="78"/>
  <c r="DT214" i="78" s="1"/>
  <c r="DU212" i="78" s="1"/>
  <c r="DS212" i="78"/>
  <c r="DS214" i="78" s="1"/>
  <c r="DQ212" i="78"/>
  <c r="DP214" i="78"/>
  <c r="BG152" i="78"/>
  <c r="AM261" i="78"/>
  <c r="AR254" i="78"/>
  <c r="AR259" i="78" s="1"/>
  <c r="AN254" i="78"/>
  <c r="AN259" i="78" s="1"/>
  <c r="AO254" i="78" s="1"/>
  <c r="AO259" i="78" s="1"/>
  <c r="AP254" i="78" s="1"/>
  <c r="AP259" i="78" s="1"/>
  <c r="AQ254" i="78" s="1"/>
  <c r="AQ259" i="78" s="1"/>
  <c r="BG10" i="78"/>
  <c r="BF175" i="78"/>
  <c r="BE174" i="78"/>
  <c r="BE22" i="78" s="1"/>
  <c r="AX238" i="78"/>
  <c r="BN10" i="78"/>
  <c r="BQ133" i="78"/>
  <c r="BN136" i="78"/>
  <c r="BN137" i="78" s="1"/>
  <c r="AW236" i="78"/>
  <c r="AW240" i="78"/>
  <c r="AW46" i="78"/>
  <c r="AK249" i="78"/>
  <c r="AK246" i="78"/>
  <c r="BI93" i="78"/>
  <c r="BN94" i="78"/>
  <c r="BN93" i="78" s="1"/>
  <c r="AU40" i="78"/>
  <c r="AU46" i="78" s="1"/>
  <c r="AU45" i="78"/>
  <c r="BA9" i="78"/>
  <c r="BA11" i="78" s="1"/>
  <c r="BA96" i="78"/>
  <c r="BA97" i="78" s="1"/>
  <c r="AC108" i="73"/>
  <c r="BP10" i="78"/>
  <c r="BP136" i="78"/>
  <c r="BP137" i="78" s="1"/>
  <c r="AR249" i="78"/>
  <c r="AR246" i="78"/>
  <c r="DM212" i="78"/>
  <c r="DM214" i="78" s="1"/>
  <c r="DL214" i="78"/>
  <c r="X107" i="73"/>
  <c r="AN249" i="78"/>
  <c r="AN246" i="78"/>
  <c r="AH262" i="78"/>
  <c r="AH100" i="73"/>
  <c r="AL249" i="78"/>
  <c r="AL246" i="78"/>
  <c r="BK163" i="78"/>
  <c r="BK156" i="78" s="1"/>
  <c r="BJ156" i="78"/>
  <c r="AI246" i="78"/>
  <c r="AI249" i="78"/>
  <c r="AR212" i="78"/>
  <c r="AR214" i="78" s="1"/>
  <c r="AS212" i="78" s="1"/>
  <c r="AN214" i="78"/>
  <c r="AO212" i="78" s="1"/>
  <c r="AO214" i="78" s="1"/>
  <c r="AP212" i="78" s="1"/>
  <c r="AP214" i="78" s="1"/>
  <c r="AQ212" i="78" s="1"/>
  <c r="AQ214" i="78" s="1"/>
  <c r="BJ10" i="78"/>
  <c r="BJ136" i="78"/>
  <c r="BJ137" i="78" s="1"/>
  <c r="AX210" i="79"/>
  <c r="AY23" i="79"/>
  <c r="AY20" i="46"/>
  <c r="BD166" i="79"/>
  <c r="BD117" i="46"/>
  <c r="BD153" i="46" s="1"/>
  <c r="BD21" i="79"/>
  <c r="BE135" i="79"/>
  <c r="AX30" i="79"/>
  <c r="BF146" i="79"/>
  <c r="BE145" i="79"/>
  <c r="BE19" i="79" s="1"/>
  <c r="DI184" i="79"/>
  <c r="DI186" i="79" s="1"/>
  <c r="DH186" i="79"/>
  <c r="BG125" i="79"/>
  <c r="BG193" i="79"/>
  <c r="AK231" i="79"/>
  <c r="AL226" i="79" s="1"/>
  <c r="AL231" i="79" s="1"/>
  <c r="DQ184" i="79"/>
  <c r="DT184" i="79"/>
  <c r="DT186" i="79" s="1"/>
  <c r="DU184" i="79" s="1"/>
  <c r="DP186" i="79"/>
  <c r="BJ129" i="79"/>
  <c r="BK136" i="79"/>
  <c r="BK129" i="79" s="1"/>
  <c r="AZ228" i="79"/>
  <c r="AZ131" i="79"/>
  <c r="AZ13" i="79" s="1"/>
  <c r="BI197" i="79"/>
  <c r="BC166" i="79"/>
  <c r="BC21" i="79"/>
  <c r="BC117" i="46"/>
  <c r="AN186" i="79"/>
  <c r="AO184" i="79" s="1"/>
  <c r="AO186" i="79" s="1"/>
  <c r="AP184" i="79" s="1"/>
  <c r="AP186" i="79" s="1"/>
  <c r="AQ184" i="79" s="1"/>
  <c r="AQ186" i="79" s="1"/>
  <c r="AR184" i="79"/>
  <c r="AR186" i="79" s="1"/>
  <c r="AS184" i="79" s="1"/>
  <c r="DM184" i="79"/>
  <c r="DL186" i="79"/>
  <c r="AZ126" i="79"/>
  <c r="AG268" i="80"/>
  <c r="AG281" i="80"/>
  <c r="AG264" i="80" s="1"/>
  <c r="AG182" i="80"/>
  <c r="AG280" i="80"/>
  <c r="AH278" i="80"/>
  <c r="AG601" i="80"/>
  <c r="AG614" i="80"/>
  <c r="AG597" i="80" s="1"/>
  <c r="AG613" i="80"/>
  <c r="AH613" i="80" s="1"/>
  <c r="BL401" i="80"/>
  <c r="BH405" i="80"/>
  <c r="BL405" i="80" s="1"/>
  <c r="AJ662" i="80"/>
  <c r="AJ638" i="80"/>
  <c r="AJ204" i="80" s="1"/>
  <c r="AK659" i="80"/>
  <c r="AM452" i="80"/>
  <c r="AJ711" i="80"/>
  <c r="AK709" i="80"/>
  <c r="AG639" i="80"/>
  <c r="AG652" i="80"/>
  <c r="AG635" i="80" s="1"/>
  <c r="AG651" i="80"/>
  <c r="AL356" i="80"/>
  <c r="AM353" i="80"/>
  <c r="AN353" i="80" s="1"/>
  <c r="AH221" i="80"/>
  <c r="AH611" i="80"/>
  <c r="AG666" i="80"/>
  <c r="AH664" i="80"/>
  <c r="AH666" i="80" s="1"/>
  <c r="AO543" i="80"/>
  <c r="AO522" i="80"/>
  <c r="AN525" i="80"/>
  <c r="BJ446" i="80"/>
  <c r="BJ449" i="80"/>
  <c r="BK443" i="80"/>
  <c r="AI714" i="80"/>
  <c r="AH214" i="80"/>
  <c r="AK696" i="80"/>
  <c r="AL694" i="80"/>
  <c r="AK212" i="80"/>
  <c r="AN494" i="80"/>
  <c r="AF263" i="80"/>
  <c r="AF282" i="80"/>
  <c r="AH280" i="80"/>
  <c r="AF578" i="80"/>
  <c r="AF549" i="80"/>
  <c r="AF551" i="80" s="1"/>
  <c r="AF158" i="80" s="1"/>
  <c r="AF602" i="80"/>
  <c r="AF195" i="80"/>
  <c r="BE149" i="80"/>
  <c r="BF441" i="80"/>
  <c r="BF501" i="80"/>
  <c r="BF461" i="80"/>
  <c r="AL456" i="80"/>
  <c r="BG366" i="80"/>
  <c r="BH366" i="80" s="1"/>
  <c r="BF369" i="80"/>
  <c r="BB474" i="80"/>
  <c r="AJ397" i="80"/>
  <c r="AJ378" i="80"/>
  <c r="BJ434" i="80"/>
  <c r="BJ435" i="80"/>
  <c r="BM706" i="80"/>
  <c r="BN704" i="80"/>
  <c r="EF840" i="80"/>
  <c r="EF842" i="80" s="1"/>
  <c r="EE842" i="80"/>
  <c r="AH614" i="80"/>
  <c r="AH597" i="80" s="1"/>
  <c r="BG849" i="80"/>
  <c r="AL320" i="80"/>
  <c r="AM320" i="80" s="1"/>
  <c r="AL319" i="80"/>
  <c r="AM319" i="80" s="1"/>
  <c r="AK383" i="80"/>
  <c r="AK396" i="80"/>
  <c r="AK395" i="80"/>
  <c r="BM543" i="80"/>
  <c r="BQ541" i="80"/>
  <c r="BQ543" i="80" s="1"/>
  <c r="AH649" i="80"/>
  <c r="AL559" i="80"/>
  <c r="AK562" i="80"/>
  <c r="CN809" i="80"/>
  <c r="CN804" i="80" s="1"/>
  <c r="CN808" i="80" s="1"/>
  <c r="CN811" i="80" s="1"/>
  <c r="BZ815" i="80" s="1"/>
  <c r="CM804" i="80"/>
  <c r="CM808" i="80" s="1"/>
  <c r="CM811" i="80" s="1"/>
  <c r="BL414" i="80"/>
  <c r="BH418" i="80"/>
  <c r="BL418" i="80" s="1"/>
  <c r="BE148" i="80"/>
  <c r="BF414" i="80"/>
  <c r="BF401" i="80"/>
  <c r="BF388" i="80"/>
  <c r="BF427" i="80"/>
  <c r="AI665" i="80"/>
  <c r="AI664" i="80"/>
  <c r="AI639" i="80"/>
  <c r="AI188" i="80"/>
  <c r="AQ539" i="80"/>
  <c r="AR536" i="80"/>
  <c r="AS536" i="80" s="1"/>
  <c r="AG347" i="80"/>
  <c r="AG628" i="80"/>
  <c r="AO406" i="80"/>
  <c r="AP403" i="80"/>
  <c r="AK358" i="80"/>
  <c r="AK360" i="80" s="1"/>
  <c r="AK359" i="80"/>
  <c r="AL372" i="80"/>
  <c r="AM372" i="80" s="1"/>
  <c r="AL371" i="80"/>
  <c r="AH626" i="80"/>
  <c r="AH628" i="80" s="1"/>
  <c r="AM369" i="80"/>
  <c r="AP301" i="80"/>
  <c r="AO304" i="80"/>
  <c r="BP465" i="80"/>
  <c r="BQ465" i="80" s="1"/>
  <c r="BL465" i="80"/>
  <c r="AL528" i="80"/>
  <c r="AM528" i="80" s="1"/>
  <c r="AL527" i="80"/>
  <c r="BI454" i="80"/>
  <c r="AM184" i="80"/>
  <c r="AM232" i="80" s="1"/>
  <c r="AL410" i="80"/>
  <c r="AF264" i="80"/>
  <c r="AH281" i="80"/>
  <c r="AH264" i="80" s="1"/>
  <c r="BL441" i="80"/>
  <c r="BH448" i="80"/>
  <c r="AL514" i="80"/>
  <c r="AM506" i="80"/>
  <c r="AH208" i="80"/>
  <c r="BE372" i="80"/>
  <c r="BE371" i="80"/>
  <c r="AN706" i="80"/>
  <c r="AO704" i="80"/>
  <c r="AK701" i="80"/>
  <c r="AL699" i="80"/>
  <c r="AK213" i="80"/>
  <c r="AO422" i="80"/>
  <c r="AO421" i="80"/>
  <c r="AL183" i="80"/>
  <c r="AL333" i="80"/>
  <c r="AM333" i="80" s="1"/>
  <c r="AL332" i="80"/>
  <c r="AM330" i="80"/>
  <c r="AJ384" i="80"/>
  <c r="AJ193" i="80"/>
  <c r="AL436" i="80"/>
  <c r="AM434" i="80"/>
  <c r="AM436" i="80" s="1"/>
  <c r="AO449" i="80"/>
  <c r="AO446" i="80"/>
  <c r="AO454" i="80" s="1"/>
  <c r="AP443" i="80"/>
  <c r="AI186" i="80"/>
  <c r="AI345" i="80"/>
  <c r="AI346" i="80"/>
  <c r="AN317" i="80"/>
  <c r="AO314" i="80"/>
  <c r="AF634" i="80"/>
  <c r="AF653" i="80"/>
  <c r="BJ709" i="80"/>
  <c r="AJ564" i="80"/>
  <c r="AH651" i="80"/>
  <c r="AI608" i="80"/>
  <c r="AH600" i="80"/>
  <c r="AH203" i="80" s="1"/>
  <c r="BL427" i="80"/>
  <c r="BH431" i="80"/>
  <c r="AP542" i="80"/>
  <c r="AP541" i="80"/>
  <c r="AR539" i="80"/>
  <c r="AL583" i="80"/>
  <c r="AK586" i="80"/>
  <c r="AK588" i="80" s="1"/>
  <c r="AK590" i="80" s="1"/>
  <c r="AN408" i="80"/>
  <c r="AN409" i="80"/>
  <c r="AN842" i="80"/>
  <c r="AO840" i="80" s="1"/>
  <c r="AO842" i="80" s="1"/>
  <c r="AP840" i="80" s="1"/>
  <c r="AP842" i="80" s="1"/>
  <c r="AQ840" i="80" s="1"/>
  <c r="AQ842" i="80" s="1"/>
  <c r="AR840" i="80"/>
  <c r="AR842" i="80" s="1"/>
  <c r="AS840" i="80" s="1"/>
  <c r="AN369" i="80"/>
  <c r="AO368" i="80"/>
  <c r="BI466" i="80"/>
  <c r="BI469" i="80"/>
  <c r="BJ463" i="80"/>
  <c r="AN306" i="80"/>
  <c r="AN307" i="80"/>
  <c r="BE710" i="80"/>
  <c r="BD711" i="80"/>
  <c r="BI452" i="80"/>
  <c r="BI455" i="80" s="1"/>
  <c r="BI451" i="80"/>
  <c r="AP483" i="80"/>
  <c r="AO486" i="80"/>
  <c r="AO489" i="80"/>
  <c r="AD235" i="80"/>
  <c r="AD189" i="80"/>
  <c r="AF596" i="80"/>
  <c r="AF598" i="80" s="1"/>
  <c r="AF159" i="80" s="1"/>
  <c r="AF615" i="80"/>
  <c r="BL501" i="80"/>
  <c r="BH508" i="80"/>
  <c r="BL508" i="80" s="1"/>
  <c r="AL511" i="80"/>
  <c r="AM511" i="80" s="1"/>
  <c r="AL512" i="80"/>
  <c r="AJ674" i="80"/>
  <c r="AI676" i="80"/>
  <c r="AI208" i="80"/>
  <c r="AV646" i="80"/>
  <c r="AU649" i="80"/>
  <c r="AW648" i="80"/>
  <c r="BA475" i="80"/>
  <c r="BB475" i="80" s="1"/>
  <c r="BA184" i="80"/>
  <c r="BB472" i="80"/>
  <c r="BB184" i="80" s="1"/>
  <c r="BB232" i="80" s="1"/>
  <c r="AP419" i="80"/>
  <c r="AQ416" i="80"/>
  <c r="AO327" i="80"/>
  <c r="AN330" i="80"/>
  <c r="AL184" i="80"/>
  <c r="AI566" i="80"/>
  <c r="AI571" i="80"/>
  <c r="AH553" i="80"/>
  <c r="AH202" i="80" s="1"/>
  <c r="AN454" i="80"/>
  <c r="AI588" i="80"/>
  <c r="AK496" i="80"/>
  <c r="AJ624" i="80"/>
  <c r="AK621" i="80"/>
  <c r="AL185" i="80"/>
  <c r="AL495" i="80"/>
  <c r="AM495" i="80" s="1"/>
  <c r="AM492" i="80"/>
  <c r="AM185" i="80" s="1"/>
  <c r="AM234" i="80" s="1"/>
  <c r="AM288" i="80"/>
  <c r="AN288" i="80" s="1"/>
  <c r="AL291" i="80"/>
  <c r="AP429" i="80"/>
  <c r="AO432" i="80"/>
  <c r="AF635" i="80"/>
  <c r="AH652" i="80"/>
  <c r="AH635" i="80" s="1"/>
  <c r="AI380" i="80"/>
  <c r="AI157" i="80" s="1"/>
  <c r="AH573" i="80"/>
  <c r="AI573" i="80" s="1"/>
  <c r="AJ573" i="80" s="1"/>
  <c r="AK573" i="80" s="1"/>
  <c r="AL573" i="80" s="1"/>
  <c r="AH554" i="80"/>
  <c r="AH267" i="80"/>
  <c r="AH200" i="80" s="1"/>
  <c r="AH205" i="80" s="1"/>
  <c r="AI275" i="80"/>
  <c r="BL388" i="80"/>
  <c r="BH392" i="80"/>
  <c r="BL392" i="80" s="1"/>
  <c r="AS653" i="80"/>
  <c r="AK529" i="80"/>
  <c r="AM527" i="80"/>
  <c r="AJ691" i="80"/>
  <c r="AK689" i="80"/>
  <c r="AJ211" i="80"/>
  <c r="AM410" i="80"/>
  <c r="AK373" i="80"/>
  <c r="AM371" i="80"/>
  <c r="AN423" i="80"/>
  <c r="AV476" i="80"/>
  <c r="AN491" i="80"/>
  <c r="AN492" i="80"/>
  <c r="AK334" i="80"/>
  <c r="AF269" i="80"/>
  <c r="AF192" i="80"/>
  <c r="AF555" i="80"/>
  <c r="AF194" i="80"/>
  <c r="AF187" i="80"/>
  <c r="AF235" i="80" s="1"/>
  <c r="BL461" i="80"/>
  <c r="BH468" i="80"/>
  <c r="AN506" i="80"/>
  <c r="AN509" i="80"/>
  <c r="AO503" i="80"/>
  <c r="AT652" i="80"/>
  <c r="AT651" i="80"/>
  <c r="AJ379" i="80"/>
  <c r="BK432" i="80"/>
  <c r="BL429" i="80"/>
  <c r="BM429" i="80" s="1"/>
  <c r="AM494" i="80"/>
  <c r="AL686" i="80"/>
  <c r="AM686" i="80" s="1"/>
  <c r="AM684" i="80"/>
  <c r="AN684" i="80" s="1"/>
  <c r="AL210" i="80"/>
  <c r="AM210" i="80" s="1"/>
  <c r="AG576" i="80"/>
  <c r="AG554" i="80"/>
  <c r="EJ840" i="80"/>
  <c r="EM840" i="80"/>
  <c r="EM842" i="80" s="1"/>
  <c r="EN840" i="80" s="1"/>
  <c r="EL840" i="80"/>
  <c r="EL842" i="80" s="1"/>
  <c r="EI842" i="80"/>
  <c r="AK515" i="80"/>
  <c r="AN451" i="80"/>
  <c r="AN452" i="80"/>
  <c r="AN184" i="80" s="1"/>
  <c r="BI434" i="80"/>
  <c r="BI436" i="80" s="1"/>
  <c r="AJ343" i="80"/>
  <c r="AK340" i="80"/>
  <c r="AI627" i="80"/>
  <c r="AI626" i="80"/>
  <c r="BI853" i="80"/>
  <c r="AL382" i="80"/>
  <c r="AL201" i="80" s="1"/>
  <c r="AL393" i="80"/>
  <c r="AM390" i="80"/>
  <c r="AK181" i="80"/>
  <c r="AK293" i="80"/>
  <c r="AK294" i="80"/>
  <c r="AN435" i="80"/>
  <c r="AN434" i="80"/>
  <c r="AF640" i="80"/>
  <c r="AF196" i="80"/>
  <c r="AL719" i="80"/>
  <c r="AK721" i="80"/>
  <c r="AH679" i="80"/>
  <c r="AI679" i="80" s="1"/>
  <c r="AG681" i="80"/>
  <c r="AG723" i="80" s="1"/>
  <c r="AG161" i="80" s="1"/>
  <c r="AH161" i="80" s="1"/>
  <c r="AH172" i="80" s="1"/>
  <c r="AG209" i="80"/>
  <c r="AH209" i="80" s="1"/>
  <c r="AM356" i="80"/>
  <c r="AM355" i="80" s="1"/>
  <c r="AD233" i="80"/>
  <c r="AD225" i="80" s="1"/>
  <c r="AG233" i="80"/>
  <c r="AG225" i="80" s="1"/>
  <c r="AF233" i="80"/>
  <c r="AF225" i="80" s="1"/>
  <c r="AE233" i="80"/>
  <c r="AE225" i="80" s="1"/>
  <c r="AH676" i="80"/>
  <c r="BA30" i="46"/>
  <c r="BA14" i="46"/>
  <c r="BB14" i="46" s="1"/>
  <c r="AY30" i="46"/>
  <c r="DK34" i="71"/>
  <c r="DK35" i="71" s="1"/>
  <c r="BK266" i="46"/>
  <c r="BL266" i="46" s="1"/>
  <c r="EC50" i="71"/>
  <c r="EC51" i="71" s="1"/>
  <c r="BL167" i="46"/>
  <c r="AZ30" i="46"/>
  <c r="AN93" i="46"/>
  <c r="DF40" i="71" s="1"/>
  <c r="DF41" i="71" s="1"/>
  <c r="DX15" i="71"/>
  <c r="BL64" i="46"/>
  <c r="BL45" i="71"/>
  <c r="DF173" i="46"/>
  <c r="DE175" i="46"/>
  <c r="BH207" i="46"/>
  <c r="AT93" i="46"/>
  <c r="DL40" i="71" s="1"/>
  <c r="DL41" i="71" s="1"/>
  <c r="BE194" i="46"/>
  <c r="BF190" i="46"/>
  <c r="BF216" i="46"/>
  <c r="AD93" i="46"/>
  <c r="BK50" i="46"/>
  <c r="BK66" i="46"/>
  <c r="BL66" i="46" s="1"/>
  <c r="BL49" i="46"/>
  <c r="BN63" i="46"/>
  <c r="AI93" i="46"/>
  <c r="BM49" i="46"/>
  <c r="BM48" i="46"/>
  <c r="BL50" i="71"/>
  <c r="BG235" i="46"/>
  <c r="BH215" i="46"/>
  <c r="AM173" i="46"/>
  <c r="AM175" i="46" s="1"/>
  <c r="AN173" i="46" s="1"/>
  <c r="AI175" i="46"/>
  <c r="AJ173" i="46" s="1"/>
  <c r="AJ175" i="46" s="1"/>
  <c r="AK173" i="46" s="1"/>
  <c r="AK175" i="46" s="1"/>
  <c r="AL173" i="46" s="1"/>
  <c r="AL175" i="46" s="1"/>
  <c r="DB173" i="46"/>
  <c r="DB175" i="46" s="1"/>
  <c r="DA175" i="46"/>
  <c r="DJ173" i="46"/>
  <c r="DM173" i="46"/>
  <c r="DM175" i="46" s="1"/>
  <c r="DI175" i="46"/>
  <c r="CJ74" i="73"/>
  <c r="BO832" i="80"/>
  <c r="BO837" i="80" s="1"/>
  <c r="BP832" i="80"/>
  <c r="BP837" i="80" s="1"/>
  <c r="BN832" i="80"/>
  <c r="CA47" i="73"/>
  <c r="CB34" i="71"/>
  <c r="CB35" i="71" s="1"/>
  <c r="CF34" i="71"/>
  <c r="CJ34" i="71"/>
  <c r="CJ35" i="71" s="1"/>
  <c r="CN34" i="71"/>
  <c r="CN35" i="71" s="1"/>
  <c r="CR34" i="71"/>
  <c r="CR35" i="71" s="1"/>
  <c r="CV34" i="71"/>
  <c r="CV35" i="71" s="1"/>
  <c r="CZ34" i="71"/>
  <c r="DD34" i="71"/>
  <c r="DD35" i="71" s="1"/>
  <c r="DH34" i="71"/>
  <c r="DH35" i="71" s="1"/>
  <c r="DM34" i="71"/>
  <c r="DM35" i="71" s="1"/>
  <c r="BQ10" i="78" l="1"/>
  <c r="AH225" i="80"/>
  <c r="BF43" i="99"/>
  <c r="BF37" i="98"/>
  <c r="BK41" i="77"/>
  <c r="BF37" i="100"/>
  <c r="BK40" i="79"/>
  <c r="BK40" i="51"/>
  <c r="BK43" i="78"/>
  <c r="BK40" i="80"/>
  <c r="BK801" i="80" s="1"/>
  <c r="BL801" i="80" s="1"/>
  <c r="BL108" i="46"/>
  <c r="BQ108" i="46"/>
  <c r="BO48" i="51"/>
  <c r="BO68" i="51" s="1"/>
  <c r="DH163" i="100"/>
  <c r="DG165" i="100"/>
  <c r="BB211" i="100"/>
  <c r="BA190" i="100"/>
  <c r="AT74" i="100"/>
  <c r="AT75" i="100" s="1"/>
  <c r="AT8" i="100"/>
  <c r="DL163" i="100"/>
  <c r="DK165" i="100"/>
  <c r="BC120" i="100"/>
  <c r="BC19" i="100" s="1"/>
  <c r="BF120" i="100"/>
  <c r="BF19" i="100" s="1"/>
  <c r="BE120" i="100"/>
  <c r="BE19" i="100" s="1"/>
  <c r="BD120" i="100"/>
  <c r="BD19" i="100" s="1"/>
  <c r="AS81" i="100"/>
  <c r="AS62" i="100" s="1"/>
  <c r="AW244" i="100"/>
  <c r="AS244" i="100"/>
  <c r="AR251" i="100"/>
  <c r="AR252" i="100" s="1"/>
  <c r="AW104" i="73"/>
  <c r="AR262" i="100"/>
  <c r="AR57" i="100" s="1"/>
  <c r="BB175" i="100"/>
  <c r="DT163" i="100"/>
  <c r="DT165" i="100" s="1"/>
  <c r="DP163" i="100"/>
  <c r="AN165" i="100"/>
  <c r="AO163" i="100" s="1"/>
  <c r="AO165" i="100" s="1"/>
  <c r="AP163" i="100" s="1"/>
  <c r="AP165" i="100" s="1"/>
  <c r="AQ163" i="100" s="1"/>
  <c r="AQ165" i="100" s="1"/>
  <c r="AR163" i="100"/>
  <c r="AR165" i="100" s="1"/>
  <c r="BI105" i="100"/>
  <c r="BH104" i="100"/>
  <c r="BC100" i="100"/>
  <c r="BF198" i="100"/>
  <c r="DD163" i="100"/>
  <c r="DD165" i="100" s="1"/>
  <c r="DC165" i="100"/>
  <c r="AU74" i="100"/>
  <c r="AU75" i="100" s="1"/>
  <c r="AU8" i="100"/>
  <c r="AT112" i="100"/>
  <c r="AS110" i="100"/>
  <c r="AM57" i="100"/>
  <c r="AR91" i="73"/>
  <c r="AN249" i="100"/>
  <c r="AO244" i="100" s="1"/>
  <c r="AO249" i="100" s="1"/>
  <c r="AP244" i="100" s="1"/>
  <c r="AP249" i="100" s="1"/>
  <c r="AQ244" i="100" s="1"/>
  <c r="AQ249" i="100" s="1"/>
  <c r="AV74" i="100"/>
  <c r="AV75" i="100" s="1"/>
  <c r="AV8" i="100"/>
  <c r="AX27" i="99"/>
  <c r="BC30" i="46" s="1"/>
  <c r="BB25" i="99"/>
  <c r="BB27" i="99" s="1"/>
  <c r="AV19" i="99"/>
  <c r="AW140" i="99"/>
  <c r="AW142" i="99" s="1"/>
  <c r="BD231" i="99"/>
  <c r="M277" i="99"/>
  <c r="M282" i="99" s="1"/>
  <c r="M295" i="99" s="1"/>
  <c r="M65" i="99" s="1"/>
  <c r="L295" i="99"/>
  <c r="L65" i="99" s="1"/>
  <c r="DS194" i="99"/>
  <c r="DS196" i="99" s="1"/>
  <c r="DR194" i="99"/>
  <c r="DR196" i="99" s="1"/>
  <c r="DQ196" i="99"/>
  <c r="AZ25" i="46"/>
  <c r="AU29" i="99"/>
  <c r="AW133" i="99"/>
  <c r="AV134" i="99"/>
  <c r="BB208" i="99"/>
  <c r="BD136" i="99"/>
  <c r="BE137" i="99"/>
  <c r="BB132" i="99"/>
  <c r="Z294" i="99"/>
  <c r="Y64" i="99"/>
  <c r="BC144" i="99"/>
  <c r="AU209" i="99"/>
  <c r="BD191" i="98"/>
  <c r="AJ209" i="98"/>
  <c r="AJ236" i="98" s="1"/>
  <c r="AK163" i="98"/>
  <c r="AK165" i="98" s="1"/>
  <c r="AW228" i="98"/>
  <c r="AW24" i="98"/>
  <c r="AN209" i="98"/>
  <c r="AN236" i="98" s="1"/>
  <c r="AO163" i="98"/>
  <c r="AO165" i="98" s="1"/>
  <c r="AV24" i="98"/>
  <c r="DN163" i="98"/>
  <c r="DN165" i="98" s="1"/>
  <c r="DM163" i="98"/>
  <c r="DM165" i="98" s="1"/>
  <c r="DL165" i="98"/>
  <c r="AU24" i="98"/>
  <c r="AV228" i="98"/>
  <c r="AU228" i="98"/>
  <c r="AY133" i="98"/>
  <c r="AX49" i="98"/>
  <c r="AX79" i="98" s="1"/>
  <c r="AX77" i="98" s="1"/>
  <c r="BB79" i="98"/>
  <c r="BB77" i="98" s="1"/>
  <c r="BA49" i="98"/>
  <c r="BA79" i="98" s="1"/>
  <c r="BA77" i="98" s="1"/>
  <c r="AZ49" i="98"/>
  <c r="AZ79" i="98" s="1"/>
  <c r="AZ77" i="98" s="1"/>
  <c r="AY49" i="98"/>
  <c r="AY79" i="98" s="1"/>
  <c r="AY77" i="98" s="1"/>
  <c r="DQ163" i="98"/>
  <c r="DP165" i="98"/>
  <c r="AF209" i="98"/>
  <c r="AF236" i="98" s="1"/>
  <c r="AG163" i="98"/>
  <c r="AG165" i="98" s="1"/>
  <c r="AG209" i="98" s="1"/>
  <c r="AC209" i="98"/>
  <c r="AC236" i="98" s="1"/>
  <c r="AB236" i="98"/>
  <c r="AV177" i="98"/>
  <c r="AU178" i="98"/>
  <c r="BA99" i="98"/>
  <c r="BD111" i="98"/>
  <c r="AZ176" i="98"/>
  <c r="BE103" i="98"/>
  <c r="BF104" i="98"/>
  <c r="BF103" i="98" s="1"/>
  <c r="BG103" i="98" s="1"/>
  <c r="AW163" i="98"/>
  <c r="AS163" i="98"/>
  <c r="BD199" i="98"/>
  <c r="AX109" i="98"/>
  <c r="AX107" i="98" s="1"/>
  <c r="AW111" i="98"/>
  <c r="BB24" i="46"/>
  <c r="BB30" i="46"/>
  <c r="DQ210" i="77"/>
  <c r="DS210" i="77"/>
  <c r="DS212" i="77" s="1"/>
  <c r="DP212" i="77"/>
  <c r="AM241" i="77"/>
  <c r="AM237" i="77"/>
  <c r="AM44" i="77"/>
  <c r="BA93" i="77"/>
  <c r="AB45" i="77"/>
  <c r="AB81" i="46"/>
  <c r="AB68" i="46" s="1"/>
  <c r="AH263" i="77"/>
  <c r="AH101" i="73"/>
  <c r="AH250" i="77"/>
  <c r="AH247" i="77"/>
  <c r="AA247" i="77"/>
  <c r="AA250" i="77"/>
  <c r="Z45" i="77"/>
  <c r="Z81" i="46"/>
  <c r="Z68" i="46" s="1"/>
  <c r="AY132" i="77"/>
  <c r="BD133" i="77"/>
  <c r="BJ132" i="77"/>
  <c r="BO133" i="77"/>
  <c r="BO132" i="77" s="1"/>
  <c r="AN43" i="77"/>
  <c r="AN38" i="77"/>
  <c r="BK171" i="77"/>
  <c r="BL154" i="77"/>
  <c r="BL161" i="77" s="1"/>
  <c r="BM161" i="77" s="1"/>
  <c r="BJ223" i="77"/>
  <c r="BC93" i="77"/>
  <c r="AX92" i="77"/>
  <c r="AT24" i="77"/>
  <c r="AT22" i="46"/>
  <c r="AR43" i="77"/>
  <c r="AR38" i="77"/>
  <c r="AU43" i="77"/>
  <c r="AU38" i="77"/>
  <c r="AU44" i="77" s="1"/>
  <c r="BA190" i="77"/>
  <c r="BB190" i="77" s="1"/>
  <c r="BB14" i="77"/>
  <c r="DY210" i="77"/>
  <c r="DY212" i="77" s="1"/>
  <c r="DU210" i="77"/>
  <c r="AX132" i="77"/>
  <c r="BC133" i="77"/>
  <c r="AD237" i="77"/>
  <c r="AH274" i="77"/>
  <c r="AH65" i="77" s="1"/>
  <c r="AH273" i="77"/>
  <c r="AH64" i="77" s="1"/>
  <c r="AH59" i="73" s="1"/>
  <c r="AT238" i="77"/>
  <c r="AT251" i="77" s="1"/>
  <c r="AU238" i="77"/>
  <c r="AU251" i="77" s="1"/>
  <c r="AV238" i="77"/>
  <c r="AV251" i="77" s="1"/>
  <c r="AS238" i="77"/>
  <c r="AS251" i="77" s="1"/>
  <c r="AS29" i="77"/>
  <c r="AS25" i="77"/>
  <c r="AE43" i="77"/>
  <c r="AE38" i="77"/>
  <c r="BB151" i="77"/>
  <c r="BA152" i="77"/>
  <c r="BG150" i="77"/>
  <c r="AP45" i="77"/>
  <c r="AP81" i="46"/>
  <c r="AP68" i="46" s="1"/>
  <c r="BB156" i="77"/>
  <c r="DM210" i="77"/>
  <c r="DM212" i="77" s="1"/>
  <c r="DL212" i="77"/>
  <c r="AD45" i="77"/>
  <c r="AD81" i="46"/>
  <c r="AD68" i="46" s="1"/>
  <c r="Z250" i="77"/>
  <c r="Z247" i="77"/>
  <c r="AB237" i="77"/>
  <c r="AL25" i="77"/>
  <c r="AO239" i="77" s="1"/>
  <c r="AO246" i="77" s="1"/>
  <c r="AL29" i="77"/>
  <c r="AO60" i="77"/>
  <c r="AO61" i="77"/>
  <c r="AO33" i="77"/>
  <c r="AO36" i="77" s="1"/>
  <c r="BF160" i="77"/>
  <c r="AS96" i="77"/>
  <c r="AS110" i="77"/>
  <c r="AK239" i="77"/>
  <c r="AK246" i="77" s="1"/>
  <c r="AJ239" i="77"/>
  <c r="AJ246" i="77" s="1"/>
  <c r="BH219" i="77"/>
  <c r="BE9" i="77"/>
  <c r="BE95" i="77"/>
  <c r="BE96" i="77" s="1"/>
  <c r="AQ239" i="77"/>
  <c r="AQ246" i="77" s="1"/>
  <c r="AT96" i="77"/>
  <c r="AT110" i="77"/>
  <c r="AC107" i="73"/>
  <c r="AC110" i="73" s="1"/>
  <c r="AZ24" i="77"/>
  <c r="AZ22" i="46"/>
  <c r="AG33" i="77"/>
  <c r="AG36" i="77" s="1"/>
  <c r="AG60" i="77"/>
  <c r="AG61" i="77"/>
  <c r="AQ96" i="77"/>
  <c r="AQ110" i="77"/>
  <c r="AM262" i="77"/>
  <c r="AR255" i="77"/>
  <c r="AR260" i="77" s="1"/>
  <c r="AN255" i="77"/>
  <c r="AN260" i="77" s="1"/>
  <c r="AO255" i="77" s="1"/>
  <c r="AO260" i="77" s="1"/>
  <c r="AP255" i="77" s="1"/>
  <c r="AP260" i="77" s="1"/>
  <c r="AQ255" i="77" s="1"/>
  <c r="AQ260" i="77" s="1"/>
  <c r="AW24" i="77"/>
  <c r="AW22" i="46"/>
  <c r="AG239" i="77"/>
  <c r="AG246" i="77" s="1"/>
  <c r="AD241" i="77"/>
  <c r="AH45" i="77"/>
  <c r="AH81" i="46"/>
  <c r="AB241" i="77"/>
  <c r="AV24" i="77"/>
  <c r="AV22" i="46"/>
  <c r="BE10" i="77"/>
  <c r="BE135" i="77"/>
  <c r="BE136" i="77" s="1"/>
  <c r="AP238" i="77"/>
  <c r="AP251" i="77" s="1"/>
  <c r="AI44" i="77"/>
  <c r="BJ192" i="77"/>
  <c r="BJ22" i="77"/>
  <c r="AL238" i="77"/>
  <c r="AL251" i="77" s="1"/>
  <c r="AJ60" i="77"/>
  <c r="AJ33" i="77"/>
  <c r="AJ36" i="77" s="1"/>
  <c r="AJ61" i="77"/>
  <c r="AQ25" i="77"/>
  <c r="AQ29" i="77"/>
  <c r="BO93" i="77"/>
  <c r="BO92" i="77" s="1"/>
  <c r="BJ92" i="77"/>
  <c r="AY92" i="77"/>
  <c r="BD93" i="77"/>
  <c r="AQ238" i="77"/>
  <c r="AQ251" i="77" s="1"/>
  <c r="AU47" i="78"/>
  <c r="AU80" i="46"/>
  <c r="AW249" i="78"/>
  <c r="AW246" i="78"/>
  <c r="DR212" i="78"/>
  <c r="DR214" i="78" s="1"/>
  <c r="DQ214" i="78"/>
  <c r="AZ26" i="78"/>
  <c r="AZ21" i="46"/>
  <c r="AR12" i="71"/>
  <c r="AP246" i="78"/>
  <c r="AP249" i="78"/>
  <c r="BB153" i="78"/>
  <c r="BA154" i="78"/>
  <c r="BD11" i="78"/>
  <c r="BL10" i="78"/>
  <c r="BB97" i="78"/>
  <c r="BH221" i="78"/>
  <c r="U23" i="46"/>
  <c r="U28" i="46" s="1"/>
  <c r="AH105" i="73"/>
  <c r="BN9" i="78"/>
  <c r="BN96" i="78"/>
  <c r="BE195" i="78"/>
  <c r="BE24" i="78"/>
  <c r="AW254" i="78"/>
  <c r="AW259" i="78" s="1"/>
  <c r="AW272" i="78" s="1"/>
  <c r="AR261" i="78"/>
  <c r="AS254" i="78"/>
  <c r="AS259" i="78" s="1"/>
  <c r="AT254" i="78" s="1"/>
  <c r="AT259" i="78" s="1"/>
  <c r="AU254" i="78" s="1"/>
  <c r="AU259" i="78" s="1"/>
  <c r="AV254" i="78" s="1"/>
  <c r="AV259" i="78" s="1"/>
  <c r="AO249" i="78"/>
  <c r="AO246" i="78"/>
  <c r="BP94" i="78"/>
  <c r="BP93" i="78" s="1"/>
  <c r="BQ93" i="78" s="1"/>
  <c r="BK93" i="78"/>
  <c r="BL93" i="78" s="1"/>
  <c r="AX62" i="78"/>
  <c r="AY26" i="78"/>
  <c r="AY21" i="46"/>
  <c r="BJ9" i="78"/>
  <c r="BJ11" i="78" s="1"/>
  <c r="BJ96" i="78"/>
  <c r="BJ97" i="78" s="1"/>
  <c r="AW212" i="78"/>
  <c r="AW214" i="78" s="1"/>
  <c r="AS214" i="78"/>
  <c r="AT212" i="78" s="1"/>
  <c r="AT214" i="78" s="1"/>
  <c r="AU212" i="78" s="1"/>
  <c r="AU214" i="78" s="1"/>
  <c r="AV212" i="78" s="1"/>
  <c r="AV214" i="78" s="1"/>
  <c r="BL156" i="78"/>
  <c r="BL163" i="78" s="1"/>
  <c r="BM163" i="78" s="1"/>
  <c r="BI9" i="78"/>
  <c r="BI96" i="78"/>
  <c r="BI97" i="78" s="1"/>
  <c r="AW47" i="78"/>
  <c r="AW80" i="46"/>
  <c r="BH175" i="78"/>
  <c r="BF174" i="78"/>
  <c r="BF22" i="78" s="1"/>
  <c r="AM262" i="78"/>
  <c r="AM100" i="73"/>
  <c r="BH152" i="78"/>
  <c r="DX212" i="78"/>
  <c r="DX214" i="78" s="1"/>
  <c r="DY212" i="78"/>
  <c r="DY214" i="78" s="1"/>
  <c r="DV212" i="78"/>
  <c r="DU214" i="78"/>
  <c r="BH162" i="78"/>
  <c r="AS249" i="78"/>
  <c r="AS246" i="78"/>
  <c r="AO47" i="78"/>
  <c r="AO80" i="46"/>
  <c r="BF9" i="78"/>
  <c r="BF11" i="78" s="1"/>
  <c r="BF96" i="78"/>
  <c r="BF97" i="78" s="1"/>
  <c r="AX35" i="78"/>
  <c r="AX38" i="78" s="1"/>
  <c r="BO9" i="78"/>
  <c r="BO11" i="78" s="1"/>
  <c r="BO96" i="78"/>
  <c r="AT46" i="78"/>
  <c r="AV240" i="78"/>
  <c r="AV236" i="78"/>
  <c r="AT240" i="78"/>
  <c r="AT236" i="78"/>
  <c r="AU236" i="78"/>
  <c r="AU240" i="78"/>
  <c r="AQ47" i="78"/>
  <c r="AQ80" i="46"/>
  <c r="AR273" i="78"/>
  <c r="AR66" i="78" s="1"/>
  <c r="BI225" i="78"/>
  <c r="BQ134" i="78"/>
  <c r="BQ136" i="78"/>
  <c r="AQ246" i="78"/>
  <c r="AQ249" i="78"/>
  <c r="BA256" i="78"/>
  <c r="BB256" i="78" s="1"/>
  <c r="BA158" i="78"/>
  <c r="BA14" i="78" s="1"/>
  <c r="BB160" i="78"/>
  <c r="BG93" i="78"/>
  <c r="BL134" i="78"/>
  <c r="BL136" i="78"/>
  <c r="BL137" i="78" s="1"/>
  <c r="AV47" i="78"/>
  <c r="AV80" i="46"/>
  <c r="BB9" i="78"/>
  <c r="BB11" i="78" s="1"/>
  <c r="BO137" i="78"/>
  <c r="BG22" i="78"/>
  <c r="BG24" i="78" s="1"/>
  <c r="AR272" i="78"/>
  <c r="AR65" i="78" s="1"/>
  <c r="AR48" i="73" s="1"/>
  <c r="AI23" i="46"/>
  <c r="AI28" i="46" s="1"/>
  <c r="DN184" i="79"/>
  <c r="DN186" i="79" s="1"/>
  <c r="DM186" i="79"/>
  <c r="AZ164" i="79"/>
  <c r="AZ15" i="79"/>
  <c r="AZ17" i="79" s="1"/>
  <c r="AK23" i="46"/>
  <c r="AK28" i="46" s="1"/>
  <c r="T23" i="46"/>
  <c r="T28" i="46" s="1"/>
  <c r="AJ23" i="46"/>
  <c r="AJ28" i="46" s="1"/>
  <c r="AZ127" i="79"/>
  <c r="BA133" i="79" s="1"/>
  <c r="BC153" i="46"/>
  <c r="BJ197" i="79"/>
  <c r="DY184" i="79"/>
  <c r="DY186" i="79" s="1"/>
  <c r="DV184" i="79"/>
  <c r="DU186" i="79"/>
  <c r="BH193" i="79"/>
  <c r="BH125" i="79"/>
  <c r="BE166" i="79"/>
  <c r="BE21" i="79"/>
  <c r="BE117" i="46"/>
  <c r="BE153" i="46" s="1"/>
  <c r="BF135" i="79"/>
  <c r="BL129" i="79"/>
  <c r="BL136" i="79" s="1"/>
  <c r="BM136" i="79" s="1"/>
  <c r="DR184" i="79"/>
  <c r="DQ186" i="79"/>
  <c r="BH146" i="79"/>
  <c r="BF145" i="79"/>
  <c r="AX60" i="79"/>
  <c r="AY24" i="79"/>
  <c r="AY209" i="79"/>
  <c r="AS186" i="79"/>
  <c r="AT184" i="79" s="1"/>
  <c r="AT186" i="79" s="1"/>
  <c r="AU184" i="79" s="1"/>
  <c r="AU186" i="79" s="1"/>
  <c r="AV184" i="79" s="1"/>
  <c r="AV186" i="79" s="1"/>
  <c r="AW184" i="79"/>
  <c r="AW186" i="79" s="1"/>
  <c r="AX32" i="79"/>
  <c r="AX35" i="79" s="1"/>
  <c r="AH615" i="80"/>
  <c r="AH596" i="80"/>
  <c r="AH598" i="80" s="1"/>
  <c r="Y23" i="46"/>
  <c r="Y28" i="46" s="1"/>
  <c r="X23" i="46"/>
  <c r="X28" i="46" s="1"/>
  <c r="BJ853" i="80"/>
  <c r="ER840" i="80"/>
  <c r="ER842" i="80" s="1"/>
  <c r="EO840" i="80"/>
  <c r="EQ840" i="80"/>
  <c r="EQ842" i="80" s="1"/>
  <c r="EN842" i="80"/>
  <c r="AN514" i="80"/>
  <c r="AL689" i="80"/>
  <c r="AK691" i="80"/>
  <c r="AK211" i="80"/>
  <c r="AI278" i="80"/>
  <c r="AJ275" i="80"/>
  <c r="AI267" i="80"/>
  <c r="AI200" i="80" s="1"/>
  <c r="AO435" i="80"/>
  <c r="AO434" i="80"/>
  <c r="AJ234" i="80"/>
  <c r="AJ224" i="80" s="1"/>
  <c r="AK234" i="80"/>
  <c r="AK224" i="80" s="1"/>
  <c r="AI234" i="80"/>
  <c r="AI224" i="80" s="1"/>
  <c r="AL234" i="80"/>
  <c r="AL224" i="80" s="1"/>
  <c r="AJ627" i="80"/>
  <c r="AJ626" i="80"/>
  <c r="AJ628" i="80" s="1"/>
  <c r="AO330" i="80"/>
  <c r="AP327" i="80"/>
  <c r="AZ232" i="80"/>
  <c r="AZ223" i="80" s="1"/>
  <c r="BA232" i="80"/>
  <c r="BA223" i="80" s="1"/>
  <c r="AY232" i="80"/>
  <c r="AY223" i="80" s="1"/>
  <c r="AX232" i="80"/>
  <c r="AX223" i="80" s="1"/>
  <c r="AP368" i="80"/>
  <c r="AO369" i="80"/>
  <c r="AF636" i="80"/>
  <c r="AF160" i="80" s="1"/>
  <c r="AM183" i="80"/>
  <c r="AM231" i="80" s="1"/>
  <c r="AM329" i="80"/>
  <c r="AO423" i="80"/>
  <c r="AL701" i="80"/>
  <c r="AM699" i="80"/>
  <c r="AL213" i="80"/>
  <c r="BE373" i="80"/>
  <c r="AO306" i="80"/>
  <c r="AO308" i="80" s="1"/>
  <c r="AO307" i="80"/>
  <c r="BF418" i="80"/>
  <c r="AH681" i="80"/>
  <c r="AH723" i="80" s="1"/>
  <c r="AH639" i="80"/>
  <c r="AH648" i="80"/>
  <c r="AK397" i="80"/>
  <c r="AK378" i="80"/>
  <c r="AJ380" i="80"/>
  <c r="AJ157" i="80" s="1"/>
  <c r="BA476" i="80"/>
  <c r="BD149" i="80"/>
  <c r="BE441" i="80"/>
  <c r="BE501" i="80"/>
  <c r="BE461" i="80"/>
  <c r="AL696" i="80"/>
  <c r="AM694" i="80"/>
  <c r="AN694" i="80" s="1"/>
  <c r="AL212" i="80"/>
  <c r="AM212" i="80" s="1"/>
  <c r="BK446" i="80"/>
  <c r="BL443" i="80"/>
  <c r="BM443" i="80" s="1"/>
  <c r="BK449" i="80"/>
  <c r="AO525" i="80"/>
  <c r="AP522" i="80"/>
  <c r="AH601" i="80"/>
  <c r="AH610" i="80"/>
  <c r="BN837" i="80"/>
  <c r="BQ832" i="80"/>
  <c r="BQ837" i="80" s="1"/>
  <c r="AI681" i="80"/>
  <c r="AJ679" i="80"/>
  <c r="AI209" i="80"/>
  <c r="AI215" i="80" s="1"/>
  <c r="AM382" i="80"/>
  <c r="AM201" i="80" s="1"/>
  <c r="AN390" i="80"/>
  <c r="AL340" i="80"/>
  <c r="AK343" i="80"/>
  <c r="AN455" i="80"/>
  <c r="AN456" i="80" s="1"/>
  <c r="AK516" i="80"/>
  <c r="EK840" i="80"/>
  <c r="EK842" i="80" s="1"/>
  <c r="EJ842" i="80"/>
  <c r="AN686" i="80"/>
  <c r="AO684" i="80"/>
  <c r="AN210" i="80"/>
  <c r="BN429" i="80"/>
  <c r="BM432" i="80"/>
  <c r="BL468" i="80"/>
  <c r="BH469" i="80"/>
  <c r="AM373" i="80"/>
  <c r="AQ429" i="80"/>
  <c r="AP432" i="80"/>
  <c r="AJ571" i="80"/>
  <c r="AI574" i="80"/>
  <c r="AI553" i="80"/>
  <c r="AI202" i="80" s="1"/>
  <c r="AO492" i="80"/>
  <c r="AO491" i="80"/>
  <c r="AN308" i="80"/>
  <c r="BJ466" i="80"/>
  <c r="BJ469" i="80"/>
  <c r="BK463" i="80"/>
  <c r="AN371" i="80"/>
  <c r="AN372" i="80"/>
  <c r="AL586" i="80"/>
  <c r="AM583" i="80"/>
  <c r="AN583" i="80" s="1"/>
  <c r="BL431" i="80"/>
  <c r="BH432" i="80"/>
  <c r="AI611" i="80"/>
  <c r="AI600" i="80"/>
  <c r="AI203" i="80" s="1"/>
  <c r="AJ608" i="80"/>
  <c r="AH653" i="80"/>
  <c r="AH634" i="80"/>
  <c r="AH636" i="80" s="1"/>
  <c r="BK709" i="80"/>
  <c r="AO317" i="80"/>
  <c r="AP314" i="80"/>
  <c r="AP446" i="80"/>
  <c r="AQ443" i="80"/>
  <c r="AP449" i="80"/>
  <c r="AL334" i="80"/>
  <c r="AM332" i="80"/>
  <c r="AM334" i="80" s="1"/>
  <c r="AM701" i="80"/>
  <c r="AM514" i="80"/>
  <c r="AJ232" i="80"/>
  <c r="AJ223" i="80" s="1"/>
  <c r="AK232" i="80"/>
  <c r="AK223" i="80" s="1"/>
  <c r="AL232" i="80"/>
  <c r="AL223" i="80" s="1"/>
  <c r="AI232" i="80"/>
  <c r="AI223" i="80" s="1"/>
  <c r="AQ301" i="80"/>
  <c r="AP304" i="80"/>
  <c r="AL373" i="80"/>
  <c r="AQ403" i="80"/>
  <c r="AP406" i="80"/>
  <c r="AI640" i="80"/>
  <c r="AI196" i="80"/>
  <c r="BF431" i="80"/>
  <c r="BF432" i="80" s="1"/>
  <c r="BF435" i="80" s="1"/>
  <c r="BD148" i="80"/>
  <c r="BE401" i="80"/>
  <c r="BE388" i="80"/>
  <c r="BE427" i="80"/>
  <c r="BE414" i="80"/>
  <c r="AK564" i="80"/>
  <c r="AK379" i="80"/>
  <c r="BF468" i="80"/>
  <c r="BF469" i="80" s="1"/>
  <c r="AH282" i="80"/>
  <c r="AH263" i="80"/>
  <c r="AH265" i="80" s="1"/>
  <c r="AM696" i="80"/>
  <c r="BJ452" i="80"/>
  <c r="BJ451" i="80"/>
  <c r="AO353" i="80"/>
  <c r="AN356" i="80"/>
  <c r="AG640" i="80"/>
  <c r="AG196" i="80"/>
  <c r="AL659" i="80"/>
  <c r="AK662" i="80"/>
  <c r="AK638" i="80"/>
  <c r="AK204" i="80" s="1"/>
  <c r="AG602" i="80"/>
  <c r="AG195" i="80"/>
  <c r="AY23" i="46"/>
  <c r="AZ23" i="46"/>
  <c r="AN436" i="80"/>
  <c r="AL383" i="80"/>
  <c r="AL396" i="80"/>
  <c r="AL395" i="80"/>
  <c r="AI628" i="80"/>
  <c r="AJ186" i="80"/>
  <c r="AJ345" i="80"/>
  <c r="AJ346" i="80"/>
  <c r="AG555" i="80"/>
  <c r="AG194" i="80"/>
  <c r="AG187" i="80"/>
  <c r="AG235" i="80" s="1"/>
  <c r="BK434" i="80"/>
  <c r="BK435" i="80"/>
  <c r="AT653" i="80"/>
  <c r="AO506" i="80"/>
  <c r="AP503" i="80"/>
  <c r="AO509" i="80"/>
  <c r="AN185" i="80"/>
  <c r="AN495" i="80"/>
  <c r="AN496" i="80" s="1"/>
  <c r="AM529" i="80"/>
  <c r="AH555" i="80"/>
  <c r="AH194" i="80"/>
  <c r="AH187" i="80"/>
  <c r="AH235" i="80" s="1"/>
  <c r="AL181" i="80"/>
  <c r="AL294" i="80"/>
  <c r="AM294" i="80" s="1"/>
  <c r="AL293" i="80"/>
  <c r="AL295" i="80" s="1"/>
  <c r="AM291" i="80"/>
  <c r="AR416" i="80"/>
  <c r="AS416" i="80" s="1"/>
  <c r="AQ419" i="80"/>
  <c r="AU652" i="80"/>
  <c r="AU651" i="80"/>
  <c r="AJ676" i="80"/>
  <c r="AK674" i="80"/>
  <c r="AJ208" i="80"/>
  <c r="AF189" i="80"/>
  <c r="AO494" i="80"/>
  <c r="BI472" i="80"/>
  <c r="BI471" i="80"/>
  <c r="AS842" i="80"/>
  <c r="AT840" i="80" s="1"/>
  <c r="AT842" i="80" s="1"/>
  <c r="AU840" i="80" s="1"/>
  <c r="AU842" i="80" s="1"/>
  <c r="AV840" i="80" s="1"/>
  <c r="AV842" i="80" s="1"/>
  <c r="AW840" i="80"/>
  <c r="AW842" i="80" s="1"/>
  <c r="AN410" i="80"/>
  <c r="AJ566" i="80"/>
  <c r="AI347" i="80"/>
  <c r="AO706" i="80"/>
  <c r="AP704" i="80"/>
  <c r="AG215" i="80"/>
  <c r="BL448" i="80"/>
  <c r="BH449" i="80"/>
  <c r="BI456" i="80"/>
  <c r="AO409" i="80"/>
  <c r="AO408" i="80"/>
  <c r="AT536" i="80"/>
  <c r="AS539" i="80"/>
  <c r="AI666" i="80"/>
  <c r="AI634" i="80"/>
  <c r="BF392" i="80"/>
  <c r="Z23" i="46"/>
  <c r="Z28" i="46" s="1"/>
  <c r="AK384" i="80"/>
  <c r="AK193" i="80"/>
  <c r="BH849" i="80"/>
  <c r="BJ436" i="80"/>
  <c r="AM321" i="80"/>
  <c r="BF372" i="80"/>
  <c r="BG372" i="80" s="1"/>
  <c r="BF371" i="80"/>
  <c r="BG371" i="80" s="1"/>
  <c r="BG373" i="80" s="1"/>
  <c r="BG369" i="80"/>
  <c r="BG368" i="80" s="1"/>
  <c r="BF508" i="80"/>
  <c r="AI716" i="80"/>
  <c r="AJ714" i="80"/>
  <c r="AI214" i="80"/>
  <c r="BJ454" i="80"/>
  <c r="AL358" i="80"/>
  <c r="AL359" i="80"/>
  <c r="AL496" i="80"/>
  <c r="AH268" i="80"/>
  <c r="AH182" i="80"/>
  <c r="AH277" i="80"/>
  <c r="AG269" i="80"/>
  <c r="AG192" i="80"/>
  <c r="AG197" i="80" s="1"/>
  <c r="BD23" i="46"/>
  <c r="AA23" i="46"/>
  <c r="AA28" i="46" s="1"/>
  <c r="BF48" i="51"/>
  <c r="BF68" i="51" s="1"/>
  <c r="AL721" i="80"/>
  <c r="AM721" i="80" s="1"/>
  <c r="AN719" i="80"/>
  <c r="AN721" i="80" s="1"/>
  <c r="AM719" i="80"/>
  <c r="AK295" i="80"/>
  <c r="AG578" i="80"/>
  <c r="AG549" i="80"/>
  <c r="AG551" i="80" s="1"/>
  <c r="AG158" i="80" s="1"/>
  <c r="AH158" i="80" s="1"/>
  <c r="AH171" i="80" s="1"/>
  <c r="AH576" i="80"/>
  <c r="AM496" i="80"/>
  <c r="AN512" i="80"/>
  <c r="AN511" i="80"/>
  <c r="AF197" i="80"/>
  <c r="AO288" i="80"/>
  <c r="AN291" i="80"/>
  <c r="AL621" i="80"/>
  <c r="AK624" i="80"/>
  <c r="AI590" i="80"/>
  <c r="AN183" i="80"/>
  <c r="AN332" i="80"/>
  <c r="AN333" i="80"/>
  <c r="AP422" i="80"/>
  <c r="AP421" i="80"/>
  <c r="AR419" i="80"/>
  <c r="AV649" i="80"/>
  <c r="AW646" i="80"/>
  <c r="AL515" i="80"/>
  <c r="AL516" i="80" s="1"/>
  <c r="AM512" i="80"/>
  <c r="AP489" i="80"/>
  <c r="AP486" i="80"/>
  <c r="AQ483" i="80"/>
  <c r="BF710" i="80"/>
  <c r="BE711" i="80"/>
  <c r="BI474" i="80"/>
  <c r="AP543" i="80"/>
  <c r="AN319" i="80"/>
  <c r="AN320" i="80"/>
  <c r="AO452" i="80"/>
  <c r="AO455" i="80" s="1"/>
  <c r="AO456" i="80" s="1"/>
  <c r="AO451" i="80"/>
  <c r="AH215" i="80"/>
  <c r="AL529" i="80"/>
  <c r="AM359" i="80"/>
  <c r="AQ542" i="80"/>
  <c r="AR542" i="80" s="1"/>
  <c r="AQ541" i="80"/>
  <c r="AI635" i="80"/>
  <c r="BF405" i="80"/>
  <c r="V23" i="46"/>
  <c r="V28" i="46" s="1"/>
  <c r="AL562" i="80"/>
  <c r="AM559" i="80"/>
  <c r="AM393" i="80"/>
  <c r="AL321" i="80"/>
  <c r="BO704" i="80"/>
  <c r="BN706" i="80"/>
  <c r="BB476" i="80"/>
  <c r="BH369" i="80"/>
  <c r="BI366" i="80"/>
  <c r="BF448" i="80"/>
  <c r="BF449" i="80" s="1"/>
  <c r="AF265" i="80"/>
  <c r="AF156" i="80" s="1"/>
  <c r="AN528" i="80"/>
  <c r="AN527" i="80"/>
  <c r="AG653" i="80"/>
  <c r="AG634" i="80"/>
  <c r="AG636" i="80" s="1"/>
  <c r="AG160" i="80" s="1"/>
  <c r="AL709" i="80"/>
  <c r="AK711" i="80"/>
  <c r="AJ665" i="80"/>
  <c r="AJ635" i="80" s="1"/>
  <c r="AJ664" i="80"/>
  <c r="AJ639" i="80"/>
  <c r="AJ188" i="80"/>
  <c r="AG615" i="80"/>
  <c r="AG596" i="80"/>
  <c r="AG598" i="80" s="1"/>
  <c r="AG159" i="80" s="1"/>
  <c r="AH159" i="80" s="1"/>
  <c r="AG282" i="80"/>
  <c r="AG263" i="80"/>
  <c r="AG265" i="80" s="1"/>
  <c r="AG156" i="80" s="1"/>
  <c r="L23" i="46"/>
  <c r="L28" i="46" s="1"/>
  <c r="DF34" i="71"/>
  <c r="DF35" i="71" s="1"/>
  <c r="CP34" i="71"/>
  <c r="DA34" i="71"/>
  <c r="DA35" i="71" s="1"/>
  <c r="AO23" i="46"/>
  <c r="AO28" i="46" s="1"/>
  <c r="I23" i="46"/>
  <c r="I28" i="46" s="1"/>
  <c r="H23" i="46"/>
  <c r="H28" i="46" s="1"/>
  <c r="AM23" i="46"/>
  <c r="AM28" i="46" s="1"/>
  <c r="W23" i="46"/>
  <c r="W28" i="46" s="1"/>
  <c r="G23" i="46"/>
  <c r="G28" i="46" s="1"/>
  <c r="DK173" i="46"/>
  <c r="DJ175" i="46"/>
  <c r="AR173" i="46"/>
  <c r="AR175" i="46" s="1"/>
  <c r="AS173" i="46" s="1"/>
  <c r="AN175" i="46"/>
  <c r="AO173" i="46" s="1"/>
  <c r="AO175" i="46" s="1"/>
  <c r="AP173" i="46" s="1"/>
  <c r="AP175" i="46" s="1"/>
  <c r="AQ173" i="46" s="1"/>
  <c r="AQ175" i="46" s="1"/>
  <c r="BN48" i="46"/>
  <c r="CY34" i="71"/>
  <c r="CY35" i="71" s="1"/>
  <c r="CI34" i="71"/>
  <c r="CI35" i="71" s="1"/>
  <c r="BL51" i="71"/>
  <c r="CV40" i="71"/>
  <c r="AD97" i="46"/>
  <c r="CV42" i="71" s="1"/>
  <c r="CC34" i="71"/>
  <c r="CC35" i="71" s="1"/>
  <c r="AL23" i="46"/>
  <c r="AL28" i="46" s="1"/>
  <c r="N23" i="46"/>
  <c r="N28" i="46" s="1"/>
  <c r="BI207" i="46"/>
  <c r="DB34" i="71"/>
  <c r="DB35" i="71" s="1"/>
  <c r="CL34" i="71"/>
  <c r="CL35" i="71" s="1"/>
  <c r="CW34" i="71"/>
  <c r="CW35" i="71" s="1"/>
  <c r="CZ46" i="71"/>
  <c r="CZ35" i="71"/>
  <c r="CZ47" i="71" s="1"/>
  <c r="DO34" i="71"/>
  <c r="E23" i="46"/>
  <c r="E28" i="46" s="1"/>
  <c r="S23" i="46"/>
  <c r="S28" i="46" s="1"/>
  <c r="BI215" i="46"/>
  <c r="BH235" i="46"/>
  <c r="BM66" i="46"/>
  <c r="BM50" i="46"/>
  <c r="CU34" i="71"/>
  <c r="CE34" i="71"/>
  <c r="CE35" i="71" s="1"/>
  <c r="CO34" i="71"/>
  <c r="CO35" i="71" s="1"/>
  <c r="BZ47" i="73"/>
  <c r="BZ50" i="73" s="1"/>
  <c r="BZ52" i="73" s="1"/>
  <c r="BZ63" i="73" s="1"/>
  <c r="BZ64" i="73" s="1"/>
  <c r="BZ68" i="73" s="1"/>
  <c r="CZ60" i="73"/>
  <c r="DA60" i="73" s="1"/>
  <c r="AH23" i="46"/>
  <c r="AH28" i="46" s="1"/>
  <c r="J23" i="46"/>
  <c r="J28" i="46" s="1"/>
  <c r="AT23" i="46"/>
  <c r="AT28" i="46" s="1"/>
  <c r="BD30" i="46"/>
  <c r="DN34" i="71"/>
  <c r="DN35" i="71" s="1"/>
  <c r="CX34" i="71"/>
  <c r="CX35" i="71" s="1"/>
  <c r="CH34" i="71"/>
  <c r="CH35" i="71" s="1"/>
  <c r="DI34" i="71"/>
  <c r="DI35" i="71" s="1"/>
  <c r="CS34" i="71"/>
  <c r="CS35" i="71" s="1"/>
  <c r="DL34" i="71"/>
  <c r="DL35" i="71" s="1"/>
  <c r="CF46" i="71"/>
  <c r="CF35" i="71"/>
  <c r="CF47" i="71" s="1"/>
  <c r="AG23" i="46"/>
  <c r="AG28" i="46" s="1"/>
  <c r="Q23" i="46"/>
  <c r="Q28" i="46" s="1"/>
  <c r="AF23" i="46"/>
  <c r="AF28" i="46" s="1"/>
  <c r="P23" i="46"/>
  <c r="P28" i="46" s="1"/>
  <c r="AE23" i="46"/>
  <c r="AE28" i="46" s="1"/>
  <c r="DY15" i="71"/>
  <c r="DG34" i="71"/>
  <c r="DG35" i="71" s="1"/>
  <c r="CQ34" i="71"/>
  <c r="CQ35" i="71" s="1"/>
  <c r="CA34" i="71"/>
  <c r="BO63" i="46"/>
  <c r="BN64" i="46"/>
  <c r="BL50" i="46"/>
  <c r="BF194" i="46"/>
  <c r="BG190" i="46"/>
  <c r="CK34" i="71"/>
  <c r="AD23" i="46"/>
  <c r="AD28" i="46" s="1"/>
  <c r="F23" i="46"/>
  <c r="F28" i="46" s="1"/>
  <c r="DG173" i="46"/>
  <c r="DG175" i="46" s="1"/>
  <c r="DF175" i="46"/>
  <c r="BL144" i="46"/>
  <c r="ED50" i="71"/>
  <c r="CT34" i="71"/>
  <c r="CT35" i="71" s="1"/>
  <c r="CD34" i="71"/>
  <c r="CD35" i="71" s="1"/>
  <c r="DE34" i="71"/>
  <c r="AN23" i="46"/>
  <c r="AN28" i="46" s="1"/>
  <c r="AS23" i="46"/>
  <c r="AS28" i="46" s="1"/>
  <c r="AC23" i="46"/>
  <c r="AC28" i="46" s="1"/>
  <c r="M23" i="46"/>
  <c r="M28" i="46" s="1"/>
  <c r="AU23" i="46"/>
  <c r="AU28" i="46" s="1"/>
  <c r="AB23" i="46"/>
  <c r="AB28" i="46" s="1"/>
  <c r="AQ23" i="46"/>
  <c r="AQ28" i="46" s="1"/>
  <c r="K23" i="46"/>
  <c r="K28" i="46" s="1"/>
  <c r="DA40" i="71"/>
  <c r="AI97" i="46"/>
  <c r="DA42" i="71" s="1"/>
  <c r="DC34" i="71"/>
  <c r="DC35" i="71" s="1"/>
  <c r="CM34" i="71"/>
  <c r="CM35" i="71" s="1"/>
  <c r="BM167" i="46"/>
  <c r="BG216" i="46"/>
  <c r="CG34" i="71"/>
  <c r="CG35" i="71" s="1"/>
  <c r="AP23" i="46"/>
  <c r="AP28" i="46" s="1"/>
  <c r="R23" i="46"/>
  <c r="R28" i="46" s="1"/>
  <c r="BL48" i="71"/>
  <c r="BL46" i="71"/>
  <c r="BE30" i="46"/>
  <c r="BF14" i="46"/>
  <c r="BG14" i="46" s="1"/>
  <c r="CJ75" i="73"/>
  <c r="BA127" i="98"/>
  <c r="BA155" i="98" s="1"/>
  <c r="BA160" i="98" s="1"/>
  <c r="AT166" i="99"/>
  <c r="BK127" i="98"/>
  <c r="BK155" i="98" s="1"/>
  <c r="BK160" i="98" s="1"/>
  <c r="AX160" i="99"/>
  <c r="AX186" i="99" s="1"/>
  <c r="AT160" i="99"/>
  <c r="AT186" i="99" s="1"/>
  <c r="AT191" i="99" s="1"/>
  <c r="AU160" i="99"/>
  <c r="AU186" i="99" s="1"/>
  <c r="AU191" i="99" s="1"/>
  <c r="BH160" i="99"/>
  <c r="BH186" i="99" s="1"/>
  <c r="AX48" i="51"/>
  <c r="AX68" i="51" s="1"/>
  <c r="BD160" i="99"/>
  <c r="BD186" i="99" s="1"/>
  <c r="BD191" i="99" s="1"/>
  <c r="BJ127" i="98"/>
  <c r="BJ155" i="98" s="1"/>
  <c r="BJ160" i="98" s="1"/>
  <c r="AS160" i="99"/>
  <c r="AS186" i="99" s="1"/>
  <c r="AZ127" i="98"/>
  <c r="AZ155" i="98" s="1"/>
  <c r="AZ160" i="98" s="1"/>
  <c r="BC160" i="99"/>
  <c r="BC186" i="99" s="1"/>
  <c r="BC127" i="98"/>
  <c r="BC155" i="98" s="1"/>
  <c r="AU133" i="98"/>
  <c r="AS133" i="98"/>
  <c r="BP48" i="51"/>
  <c r="BP68" i="51" s="1"/>
  <c r="BF160" i="99"/>
  <c r="BF186" i="99" s="1"/>
  <c r="BF191" i="99" s="1"/>
  <c r="AZ166" i="99"/>
  <c r="BJ160" i="99"/>
  <c r="BJ186" i="99" s="1"/>
  <c r="BJ191" i="99" s="1"/>
  <c r="BI160" i="99"/>
  <c r="BI186" i="99" s="1"/>
  <c r="BI191" i="99" s="1"/>
  <c r="AV160" i="99"/>
  <c r="AV186" i="99" s="1"/>
  <c r="AV191" i="99" s="1"/>
  <c r="BM48" i="51"/>
  <c r="BM68" i="51" s="1"/>
  <c r="BE160" i="99"/>
  <c r="BE186" i="99" s="1"/>
  <c r="BE191" i="99" s="1"/>
  <c r="AZ160" i="99"/>
  <c r="AZ186" i="99" s="1"/>
  <c r="AZ191" i="99" s="1"/>
  <c r="BE127" i="98"/>
  <c r="BE155" i="98" s="1"/>
  <c r="BE160" i="98" s="1"/>
  <c r="AV133" i="98"/>
  <c r="BE48" i="51"/>
  <c r="BE68" i="51" s="1"/>
  <c r="AX127" i="98"/>
  <c r="AX155" i="98" s="1"/>
  <c r="AX166" i="99"/>
  <c r="BH127" i="98"/>
  <c r="BH155" i="98" s="1"/>
  <c r="BF127" i="98"/>
  <c r="BF155" i="98" s="1"/>
  <c r="BF160" i="98" s="1"/>
  <c r="BC48" i="51"/>
  <c r="BC68" i="51" s="1"/>
  <c r="BK160" i="99"/>
  <c r="BK186" i="99" s="1"/>
  <c r="BK191" i="99" s="1"/>
  <c r="BH48" i="51"/>
  <c r="BH68" i="51" s="1"/>
  <c r="BK48" i="51"/>
  <c r="BK68" i="51" s="1"/>
  <c r="BD48" i="51"/>
  <c r="BD68" i="51" s="1"/>
  <c r="AY48" i="51"/>
  <c r="AY68" i="51" s="1"/>
  <c r="BI127" i="98"/>
  <c r="BI155" i="98" s="1"/>
  <c r="BI160" i="98" s="1"/>
  <c r="AZ48" i="51"/>
  <c r="AZ68" i="51" s="1"/>
  <c r="BA160" i="99"/>
  <c r="BA186" i="99" s="1"/>
  <c r="BA191" i="99" s="1"/>
  <c r="AY127" i="98"/>
  <c r="AY155" i="98" s="1"/>
  <c r="AY160" i="98" s="1"/>
  <c r="AT127" i="98"/>
  <c r="AT155" i="98" s="1"/>
  <c r="AT160" i="98" s="1"/>
  <c r="BN48" i="51"/>
  <c r="BN68" i="51" s="1"/>
  <c r="BI48" i="51"/>
  <c r="BI68" i="51" s="1"/>
  <c r="AV127" i="98"/>
  <c r="AV155" i="98" s="1"/>
  <c r="AV160" i="98" s="1"/>
  <c r="AS166" i="99"/>
  <c r="AS32" i="99" s="1"/>
  <c r="BD127" i="98"/>
  <c r="BD155" i="98" s="1"/>
  <c r="BD160" i="98" s="1"/>
  <c r="AU127" i="98"/>
  <c r="AU155" i="98" s="1"/>
  <c r="AU160" i="98" s="1"/>
  <c r="BA48" i="51"/>
  <c r="BA68" i="51" s="1"/>
  <c r="BJ48" i="51"/>
  <c r="BJ68" i="51" s="1"/>
  <c r="S34" i="71"/>
  <c r="X34" i="71"/>
  <c r="AM34" i="71"/>
  <c r="AC34" i="71"/>
  <c r="AC35" i="71" s="1"/>
  <c r="DJ34" i="71"/>
  <c r="I34" i="71"/>
  <c r="BJ474" i="80" l="1"/>
  <c r="AH724" i="80"/>
  <c r="AM293" i="80"/>
  <c r="AI723" i="80"/>
  <c r="AI161" i="80" s="1"/>
  <c r="AO410" i="80"/>
  <c r="BO97" i="78"/>
  <c r="BN97" i="78"/>
  <c r="AM383" i="80"/>
  <c r="AW65" i="78"/>
  <c r="AW48" i="73" s="1"/>
  <c r="BL41" i="77"/>
  <c r="BG37" i="100"/>
  <c r="BL40" i="79"/>
  <c r="BL40" i="51"/>
  <c r="BL43" i="78"/>
  <c r="BL40" i="80"/>
  <c r="BG43" i="99"/>
  <c r="BG37" i="98"/>
  <c r="BH37" i="100"/>
  <c r="BM40" i="79"/>
  <c r="BM40" i="51"/>
  <c r="BM43" i="78"/>
  <c r="BM40" i="80"/>
  <c r="BM801" i="80" s="1"/>
  <c r="BH43" i="99"/>
  <c r="BH37" i="98"/>
  <c r="BM41" i="77"/>
  <c r="AH108" i="73"/>
  <c r="BG174" i="78"/>
  <c r="BG175" i="78" s="1"/>
  <c r="AQ543" i="80"/>
  <c r="BK436" i="80"/>
  <c r="AO514" i="80"/>
  <c r="BQ68" i="51"/>
  <c r="BG68" i="51"/>
  <c r="BB68" i="51"/>
  <c r="BL68" i="51"/>
  <c r="AS246" i="100"/>
  <c r="AS249" i="100" s="1"/>
  <c r="AT244" i="100" s="1"/>
  <c r="AS108" i="100"/>
  <c r="BJ105" i="100"/>
  <c r="BI104" i="100"/>
  <c r="BF144" i="100"/>
  <c r="BF21" i="100"/>
  <c r="AT10" i="100"/>
  <c r="AU112" i="100"/>
  <c r="BD100" i="100"/>
  <c r="AW163" i="100"/>
  <c r="AS163" i="100"/>
  <c r="BC175" i="100"/>
  <c r="AS74" i="100"/>
  <c r="AS75" i="100" s="1"/>
  <c r="AW62" i="100"/>
  <c r="AS8" i="100"/>
  <c r="BC144" i="100"/>
  <c r="BG19" i="100"/>
  <c r="BG21" i="100" s="1"/>
  <c r="BC21" i="100"/>
  <c r="AU10" i="100"/>
  <c r="BD144" i="100"/>
  <c r="BD21" i="100"/>
  <c r="BB190" i="100"/>
  <c r="DI163" i="100"/>
  <c r="DI165" i="100" s="1"/>
  <c r="DH165" i="100"/>
  <c r="AV10" i="100"/>
  <c r="BG198" i="100"/>
  <c r="DQ163" i="100"/>
  <c r="DP165" i="100"/>
  <c r="AW91" i="73"/>
  <c r="BE144" i="100"/>
  <c r="BE21" i="100"/>
  <c r="DM163" i="100"/>
  <c r="DL165" i="100"/>
  <c r="BC211" i="100"/>
  <c r="AY160" i="99"/>
  <c r="AY186" i="99" s="1"/>
  <c r="AY191" i="99" s="1"/>
  <c r="BI166" i="99"/>
  <c r="AU166" i="99"/>
  <c r="BK166" i="99"/>
  <c r="BH166" i="99"/>
  <c r="BC191" i="99"/>
  <c r="BG186" i="99"/>
  <c r="BG191" i="99" s="1"/>
  <c r="AS191" i="99"/>
  <c r="AW186" i="99"/>
  <c r="AW191" i="99" s="1"/>
  <c r="AS244" i="99"/>
  <c r="BH191" i="99"/>
  <c r="BL186" i="99"/>
  <c r="BL191" i="99" s="1"/>
  <c r="BD144" i="99"/>
  <c r="BC132" i="99"/>
  <c r="BC208" i="99"/>
  <c r="AU30" i="99"/>
  <c r="AU260" i="99"/>
  <c r="BE231" i="99"/>
  <c r="AV166" i="99"/>
  <c r="AS262" i="99"/>
  <c r="AS273" i="99" s="1"/>
  <c r="AS34" i="99"/>
  <c r="BJ166" i="99"/>
  <c r="AY166" i="99"/>
  <c r="BD166" i="99"/>
  <c r="BC166" i="99"/>
  <c r="BE166" i="99"/>
  <c r="AU210" i="99"/>
  <c r="AA294" i="99"/>
  <c r="Z64" i="99"/>
  <c r="BE136" i="99"/>
  <c r="BF137" i="99"/>
  <c r="BF136" i="99" s="1"/>
  <c r="BG136" i="99" s="1"/>
  <c r="AV279" i="99"/>
  <c r="AV174" i="99"/>
  <c r="AW174" i="99" s="1"/>
  <c r="AV21" i="99"/>
  <c r="AW19" i="99"/>
  <c r="BA166" i="99"/>
  <c r="BF166" i="99"/>
  <c r="AX191" i="99"/>
  <c r="AW134" i="99"/>
  <c r="AX142" i="99" s="1"/>
  <c r="AX140" i="99" s="1"/>
  <c r="AZ133" i="98"/>
  <c r="BI133" i="98"/>
  <c r="BC160" i="98"/>
  <c r="BG155" i="98"/>
  <c r="BG160" i="98" s="1"/>
  <c r="BJ133" i="98"/>
  <c r="BE199" i="98"/>
  <c r="BE111" i="98"/>
  <c r="AW177" i="98"/>
  <c r="AV178" i="98"/>
  <c r="AZ81" i="98"/>
  <c r="AZ62" i="98" s="1"/>
  <c r="AV229" i="98"/>
  <c r="AU229" i="98"/>
  <c r="AK209" i="98"/>
  <c r="AK236" i="98" s="1"/>
  <c r="AL163" i="98"/>
  <c r="AL165" i="98" s="1"/>
  <c r="AL209" i="98" s="1"/>
  <c r="BF133" i="98"/>
  <c r="BL155" i="98"/>
  <c r="BL160" i="98" s="1"/>
  <c r="BH160" i="98"/>
  <c r="BA176" i="98"/>
  <c r="BB99" i="98"/>
  <c r="BA81" i="98"/>
  <c r="BA62" i="98" s="1"/>
  <c r="AW229" i="98"/>
  <c r="BB31" i="71"/>
  <c r="BK133" i="98"/>
  <c r="AX160" i="98"/>
  <c r="BB155" i="98"/>
  <c r="BB160" i="98" s="1"/>
  <c r="AT133" i="98"/>
  <c r="BD133" i="98"/>
  <c r="BE133" i="98"/>
  <c r="BH133" i="98"/>
  <c r="AX13" i="98"/>
  <c r="AX100" i="98"/>
  <c r="DS163" i="98"/>
  <c r="DS165" i="98" s="1"/>
  <c r="DR163" i="98"/>
  <c r="DR165" i="98" s="1"/>
  <c r="DQ165" i="98"/>
  <c r="BB81" i="98"/>
  <c r="BE191" i="98"/>
  <c r="AS127" i="98"/>
  <c r="AS155" i="98" s="1"/>
  <c r="AX133" i="98"/>
  <c r="BA133" i="98"/>
  <c r="BC133" i="98"/>
  <c r="BG104" i="98"/>
  <c r="BH104" i="98" s="1"/>
  <c r="BG121" i="98"/>
  <c r="AH209" i="98"/>
  <c r="AH236" i="98" s="1"/>
  <c r="AG236" i="98"/>
  <c r="AY81" i="98"/>
  <c r="AY62" i="98" s="1"/>
  <c r="AX81" i="98"/>
  <c r="AX62" i="98" s="1"/>
  <c r="AO209" i="98"/>
  <c r="AO236" i="98" s="1"/>
  <c r="AP163" i="98"/>
  <c r="AP165" i="98" s="1"/>
  <c r="BO9" i="77"/>
  <c r="BO95" i="77"/>
  <c r="AJ43" i="77"/>
  <c r="AJ38" i="77"/>
  <c r="AW255" i="77"/>
  <c r="AW260" i="77" s="1"/>
  <c r="AS255" i="77"/>
  <c r="AS260" i="77" s="1"/>
  <c r="AT255" i="77" s="1"/>
  <c r="AT260" i="77" s="1"/>
  <c r="AU255" i="77" s="1"/>
  <c r="AU260" i="77" s="1"/>
  <c r="AV255" i="77" s="1"/>
  <c r="AV260" i="77" s="1"/>
  <c r="AR262" i="77"/>
  <c r="AZ25" i="77"/>
  <c r="BI219" i="77"/>
  <c r="AL239" i="77"/>
  <c r="AL246" i="77" s="1"/>
  <c r="AL33" i="77"/>
  <c r="AL36" i="77" s="1"/>
  <c r="AL60" i="77"/>
  <c r="AL61" i="77"/>
  <c r="BH150" i="77"/>
  <c r="AE44" i="77"/>
  <c r="AF237" i="77"/>
  <c r="AE241" i="77"/>
  <c r="AE237" i="77"/>
  <c r="AF241" i="77"/>
  <c r="AX10" i="77"/>
  <c r="AX135" i="77"/>
  <c r="AX136" i="77" s="1"/>
  <c r="AR241" i="77"/>
  <c r="AR237" i="77"/>
  <c r="AR44" i="77"/>
  <c r="AY10" i="77"/>
  <c r="AY135" i="77"/>
  <c r="AY136" i="77" s="1"/>
  <c r="BD92" i="77"/>
  <c r="BI93" i="77"/>
  <c r="AQ33" i="77"/>
  <c r="AQ36" i="77" s="1"/>
  <c r="AQ60" i="77"/>
  <c r="AQ61" i="77"/>
  <c r="AI45" i="77"/>
  <c r="AI81" i="46"/>
  <c r="AI68" i="46" s="1"/>
  <c r="AH13" i="71"/>
  <c r="AH7" i="73" s="1"/>
  <c r="AH68" i="46"/>
  <c r="AM263" i="77"/>
  <c r="AM101" i="73"/>
  <c r="AM105" i="73" s="1"/>
  <c r="AO43" i="77"/>
  <c r="AO38" i="77"/>
  <c r="AO44" i="77" s="1"/>
  <c r="DV210" i="77"/>
  <c r="DX210" i="77"/>
  <c r="DX212" i="77" s="1"/>
  <c r="DU212" i="77"/>
  <c r="BA133" i="77"/>
  <c r="AX9" i="77"/>
  <c r="AX95" i="77"/>
  <c r="AX96" i="77" s="1"/>
  <c r="BN161" i="77"/>
  <c r="BM154" i="77"/>
  <c r="BM171" i="77" s="1"/>
  <c r="BO10" i="77"/>
  <c r="BO135" i="77"/>
  <c r="AM45" i="77"/>
  <c r="AM81" i="46"/>
  <c r="AU68" i="46"/>
  <c r="AY9" i="77"/>
  <c r="AY95" i="77"/>
  <c r="AY96" i="77" s="1"/>
  <c r="AW238" i="77"/>
  <c r="AW251" i="77" s="1"/>
  <c r="AW29" i="77"/>
  <c r="AW25" i="77"/>
  <c r="AG43" i="77"/>
  <c r="AG38" i="77"/>
  <c r="AG237" i="77" s="1"/>
  <c r="AB250" i="77"/>
  <c r="AB247" i="77"/>
  <c r="AS239" i="77"/>
  <c r="AS246" i="77" s="1"/>
  <c r="AD250" i="77"/>
  <c r="AD247" i="77"/>
  <c r="AU45" i="77"/>
  <c r="AU81" i="46"/>
  <c r="BC92" i="77"/>
  <c r="BH93" i="77"/>
  <c r="BK20" i="77"/>
  <c r="BL171" i="77"/>
  <c r="BL172" i="77" s="1"/>
  <c r="BJ10" i="77"/>
  <c r="BJ135" i="77"/>
  <c r="BJ136" i="77" s="1"/>
  <c r="AM247" i="77"/>
  <c r="AM250" i="77"/>
  <c r="DR210" i="77"/>
  <c r="DR212" i="77" s="1"/>
  <c r="DQ212" i="77"/>
  <c r="AN239" i="77"/>
  <c r="AN246" i="77" s="1"/>
  <c r="BJ9" i="77"/>
  <c r="BJ11" i="77" s="1"/>
  <c r="BJ95" i="77"/>
  <c r="BJ96" i="77" s="1"/>
  <c r="AV29" i="77"/>
  <c r="AV25" i="77"/>
  <c r="BE11" i="77"/>
  <c r="BH160" i="77"/>
  <c r="BB152" i="77"/>
  <c r="AS60" i="77"/>
  <c r="AS33" i="77"/>
  <c r="AS36" i="77" s="1"/>
  <c r="AS61" i="77"/>
  <c r="BC132" i="77"/>
  <c r="BH133" i="77"/>
  <c r="AP239" i="77"/>
  <c r="AP246" i="77" s="1"/>
  <c r="AT25" i="77"/>
  <c r="AV239" i="77" s="1"/>
  <c r="AV246" i="77" s="1"/>
  <c r="AT29" i="77"/>
  <c r="BK223" i="77"/>
  <c r="AN44" i="77"/>
  <c r="BI133" i="77"/>
  <c r="BD132" i="77"/>
  <c r="BF93" i="77"/>
  <c r="BA92" i="77"/>
  <c r="AM274" i="77"/>
  <c r="AM65" i="77" s="1"/>
  <c r="AM273" i="77"/>
  <c r="AM64" i="77" s="1"/>
  <c r="AM59" i="73" s="1"/>
  <c r="DA41" i="71"/>
  <c r="BA193" i="78"/>
  <c r="BB193" i="78" s="1"/>
  <c r="BA16" i="78"/>
  <c r="BA20" i="78" s="1"/>
  <c r="BB14" i="78"/>
  <c r="BB16" i="78" s="1"/>
  <c r="BB20" i="78" s="1"/>
  <c r="BB26" i="78" s="1"/>
  <c r="BQ137" i="78"/>
  <c r="BJ225" i="78"/>
  <c r="DW212" i="78"/>
  <c r="DW214" i="78" s="1"/>
  <c r="DV214" i="78"/>
  <c r="BI175" i="78"/>
  <c r="BH174" i="78"/>
  <c r="BL94" i="78"/>
  <c r="BL96" i="78"/>
  <c r="AR262" i="78"/>
  <c r="AR100" i="73"/>
  <c r="BI221" i="78"/>
  <c r="AV246" i="78"/>
  <c r="AV249" i="78"/>
  <c r="AW12" i="71"/>
  <c r="BI11" i="78"/>
  <c r="BB212" i="78"/>
  <c r="AX212" i="78"/>
  <c r="AW261" i="78"/>
  <c r="BB254" i="78"/>
  <c r="AX254" i="78"/>
  <c r="BQ94" i="78"/>
  <c r="BQ96" i="78"/>
  <c r="BG9" i="78"/>
  <c r="BG11" i="78" s="1"/>
  <c r="AZ27" i="78"/>
  <c r="BG94" i="78"/>
  <c r="BG96" i="78"/>
  <c r="BG97" i="78" s="1"/>
  <c r="AU246" i="78"/>
  <c r="AU249" i="78"/>
  <c r="AX192" i="78"/>
  <c r="AX45" i="78"/>
  <c r="AX40" i="78"/>
  <c r="BI162" i="78"/>
  <c r="BN163" i="78"/>
  <c r="BM156" i="78"/>
  <c r="AY27" i="78"/>
  <c r="AZ237" i="78"/>
  <c r="AY237" i="78"/>
  <c r="BK9" i="78"/>
  <c r="BK11" i="78" s="1"/>
  <c r="BK96" i="78"/>
  <c r="BK97" i="78" s="1"/>
  <c r="BN11" i="78"/>
  <c r="BB158" i="78"/>
  <c r="AW273" i="78"/>
  <c r="AW66" i="78" s="1"/>
  <c r="AT249" i="78"/>
  <c r="AT246" i="78"/>
  <c r="AT47" i="78"/>
  <c r="AT80" i="46"/>
  <c r="BI152" i="78"/>
  <c r="BF195" i="78"/>
  <c r="BG195" i="78" s="1"/>
  <c r="BF24" i="78"/>
  <c r="BP9" i="78"/>
  <c r="BP11" i="78" s="1"/>
  <c r="BP96" i="78"/>
  <c r="AH107" i="73"/>
  <c r="AH110" i="73" s="1"/>
  <c r="BB154" i="78"/>
  <c r="BC160" i="78" s="1"/>
  <c r="BC153" i="78" s="1"/>
  <c r="BB184" i="79"/>
  <c r="AX184" i="79"/>
  <c r="DS184" i="79"/>
  <c r="DS186" i="79" s="1"/>
  <c r="DR186" i="79"/>
  <c r="AZ23" i="79"/>
  <c r="AZ20" i="46"/>
  <c r="AX163" i="79"/>
  <c r="AX42" i="79"/>
  <c r="AX37" i="79"/>
  <c r="AY210" i="79"/>
  <c r="BF19" i="79"/>
  <c r="BG145" i="79"/>
  <c r="BG146" i="79" s="1"/>
  <c r="BH135" i="79"/>
  <c r="BK197" i="79"/>
  <c r="BA228" i="79"/>
  <c r="BB228" i="79" s="1"/>
  <c r="BA131" i="79"/>
  <c r="BA13" i="79" s="1"/>
  <c r="BB133" i="79"/>
  <c r="BI146" i="79"/>
  <c r="BH145" i="79"/>
  <c r="BN136" i="79"/>
  <c r="BM129" i="79"/>
  <c r="BI125" i="79"/>
  <c r="DW184" i="79"/>
  <c r="DV186" i="79"/>
  <c r="BA126" i="79"/>
  <c r="BI193" i="79"/>
  <c r="X35" i="71"/>
  <c r="X39" i="71" s="1"/>
  <c r="AJ640" i="80"/>
  <c r="AJ196" i="80"/>
  <c r="AM709" i="80"/>
  <c r="AN709" i="80" s="1"/>
  <c r="AL711" i="80"/>
  <c r="AM384" i="80"/>
  <c r="AM193" i="80"/>
  <c r="AP492" i="80"/>
  <c r="AP491" i="80"/>
  <c r="AX646" i="80"/>
  <c r="AN515" i="80"/>
  <c r="AN516" i="80" s="1"/>
  <c r="AK714" i="80"/>
  <c r="AJ716" i="80"/>
  <c r="AJ214" i="80"/>
  <c r="BB840" i="80"/>
  <c r="AX840" i="80"/>
  <c r="AL384" i="80"/>
  <c r="AL193" i="80"/>
  <c r="BF471" i="80"/>
  <c r="BF472" i="80"/>
  <c r="BF475" i="80" s="1"/>
  <c r="BF474" i="80"/>
  <c r="AK566" i="80"/>
  <c r="BE392" i="80"/>
  <c r="AQ406" i="80"/>
  <c r="AR403" i="80"/>
  <c r="AS403" i="80" s="1"/>
  <c r="AM223" i="80"/>
  <c r="BJ471" i="80"/>
  <c r="BJ472" i="80"/>
  <c r="BJ475" i="80" s="1"/>
  <c r="BM435" i="80"/>
  <c r="BM434" i="80"/>
  <c r="AM515" i="80"/>
  <c r="AM516" i="80" s="1"/>
  <c r="AM169" i="80" s="1"/>
  <c r="AK186" i="80"/>
  <c r="AK345" i="80"/>
  <c r="AK346" i="80"/>
  <c r="BK452" i="80"/>
  <c r="BK451" i="80"/>
  <c r="AO694" i="80"/>
  <c r="AN696" i="80"/>
  <c r="AN212" i="80"/>
  <c r="BE508" i="80"/>
  <c r="AQ368" i="80"/>
  <c r="AQ369" i="80" s="1"/>
  <c r="AP369" i="80"/>
  <c r="AO183" i="80"/>
  <c r="AO332" i="80"/>
  <c r="AO334" i="80" s="1"/>
  <c r="AO333" i="80"/>
  <c r="AM224" i="80"/>
  <c r="AL691" i="80"/>
  <c r="AM691" i="80" s="1"/>
  <c r="AM689" i="80"/>
  <c r="AN689" i="80" s="1"/>
  <c r="AL211" i="80"/>
  <c r="AM211" i="80" s="1"/>
  <c r="BE23" i="46"/>
  <c r="AJ666" i="80"/>
  <c r="AJ634" i="80"/>
  <c r="AJ636" i="80" s="1"/>
  <c r="AJ160" i="80" s="1"/>
  <c r="BI369" i="80"/>
  <c r="BJ366" i="80"/>
  <c r="AN559" i="80"/>
  <c r="AR541" i="80"/>
  <c r="AR543" i="80" s="1"/>
  <c r="BG710" i="80"/>
  <c r="BF711" i="80"/>
  <c r="BG711" i="80" s="1"/>
  <c r="AV652" i="80"/>
  <c r="AW652" i="80" s="1"/>
  <c r="AV651" i="80"/>
  <c r="AP423" i="80"/>
  <c r="AN334" i="80"/>
  <c r="AN181" i="80"/>
  <c r="AN293" i="80"/>
  <c r="AN294" i="80"/>
  <c r="AH230" i="80"/>
  <c r="AH189" i="80"/>
  <c r="AH228" i="80" s="1"/>
  <c r="AL360" i="80"/>
  <c r="AM358" i="80"/>
  <c r="AM360" i="80" s="1"/>
  <c r="AW649" i="80"/>
  <c r="AQ422" i="80"/>
  <c r="AR422" i="80" s="1"/>
  <c r="AQ421" i="80"/>
  <c r="AK665" i="80"/>
  <c r="AK635" i="80" s="1"/>
  <c r="AK639" i="80"/>
  <c r="AK664" i="80"/>
  <c r="AK188" i="80"/>
  <c r="AN358" i="80"/>
  <c r="AN359" i="80"/>
  <c r="BE405" i="80"/>
  <c r="AP452" i="80"/>
  <c r="AP455" i="80" s="1"/>
  <c r="AP451" i="80"/>
  <c r="AQ314" i="80"/>
  <c r="AP317" i="80"/>
  <c r="AO583" i="80"/>
  <c r="AN373" i="80"/>
  <c r="AO185" i="80"/>
  <c r="AO495" i="80"/>
  <c r="AO496" i="80" s="1"/>
  <c r="BN432" i="80"/>
  <c r="BO429" i="80"/>
  <c r="AM340" i="80"/>
  <c r="AN340" i="80" s="1"/>
  <c r="AL343" i="80"/>
  <c r="AJ681" i="80"/>
  <c r="AJ723" i="80" s="1"/>
  <c r="AJ161" i="80" s="1"/>
  <c r="AJ209" i="80"/>
  <c r="AH602" i="80"/>
  <c r="AH195" i="80"/>
  <c r="BM449" i="80"/>
  <c r="BM446" i="80"/>
  <c r="BN443" i="80"/>
  <c r="BE448" i="80"/>
  <c r="BE449" i="80" s="1"/>
  <c r="AH640" i="80"/>
  <c r="AH196" i="80"/>
  <c r="AN699" i="80"/>
  <c r="AM213" i="80"/>
  <c r="AL231" i="80"/>
  <c r="AI231" i="80"/>
  <c r="AK231" i="80"/>
  <c r="AJ231" i="80"/>
  <c r="AO184" i="80"/>
  <c r="AI268" i="80"/>
  <c r="AI182" i="80"/>
  <c r="AI280" i="80"/>
  <c r="AI281" i="80"/>
  <c r="EP840" i="80"/>
  <c r="EP842" i="80" s="1"/>
  <c r="EO842" i="80"/>
  <c r="AH156" i="80"/>
  <c r="BP704" i="80"/>
  <c r="BO706" i="80"/>
  <c r="AL564" i="80"/>
  <c r="AM564" i="80" s="1"/>
  <c r="AQ489" i="80"/>
  <c r="AR489" i="80" s="1"/>
  <c r="AQ486" i="80"/>
  <c r="AR483" i="80"/>
  <c r="AS483" i="80" s="1"/>
  <c r="AK627" i="80"/>
  <c r="AK626" i="80"/>
  <c r="AO291" i="80"/>
  <c r="AP288" i="80"/>
  <c r="AH269" i="80"/>
  <c r="AH192" i="80"/>
  <c r="AH197" i="80" s="1"/>
  <c r="AS542" i="80"/>
  <c r="AS541" i="80"/>
  <c r="AQ704" i="80"/>
  <c r="AP706" i="80"/>
  <c r="AJ215" i="80"/>
  <c r="AU653" i="80"/>
  <c r="AT416" i="80"/>
  <c r="AS419" i="80"/>
  <c r="AO512" i="80"/>
  <c r="AO511" i="80"/>
  <c r="AJ347" i="80"/>
  <c r="AL397" i="80"/>
  <c r="AL378" i="80"/>
  <c r="AM395" i="80"/>
  <c r="AL662" i="80"/>
  <c r="AM659" i="80"/>
  <c r="AL638" i="80"/>
  <c r="AL204" i="80" s="1"/>
  <c r="AO356" i="80"/>
  <c r="AP353" i="80"/>
  <c r="BJ455" i="80"/>
  <c r="BJ456" i="80" s="1"/>
  <c r="BJ184" i="80"/>
  <c r="BE418" i="80"/>
  <c r="BC148" i="80"/>
  <c r="BD401" i="80"/>
  <c r="BD414" i="80"/>
  <c r="BD388" i="80"/>
  <c r="BD427" i="80"/>
  <c r="AP307" i="80"/>
  <c r="AP306" i="80"/>
  <c r="AQ446" i="80"/>
  <c r="AR443" i="80"/>
  <c r="AS443" i="80" s="1"/>
  <c r="AQ449" i="80"/>
  <c r="AO319" i="80"/>
  <c r="AO321" i="80" s="1"/>
  <c r="AO320" i="80"/>
  <c r="AI601" i="80"/>
  <c r="AI614" i="80"/>
  <c r="AI613" i="80"/>
  <c r="AL588" i="80"/>
  <c r="AM586" i="80"/>
  <c r="AM585" i="80" s="1"/>
  <c r="AN585" i="80" s="1"/>
  <c r="AO585" i="80" s="1"/>
  <c r="AP585" i="80" s="1"/>
  <c r="AQ585" i="80" s="1"/>
  <c r="AI576" i="80"/>
  <c r="AI554" i="80"/>
  <c r="AP434" i="80"/>
  <c r="AP435" i="80"/>
  <c r="BH471" i="80"/>
  <c r="BH472" i="80"/>
  <c r="BH474" i="80"/>
  <c r="AN382" i="80"/>
  <c r="AN201" i="80" s="1"/>
  <c r="AN393" i="80"/>
  <c r="AO390" i="80"/>
  <c r="AP525" i="80"/>
  <c r="AQ522" i="80"/>
  <c r="BK454" i="80"/>
  <c r="BL446" i="80"/>
  <c r="BC149" i="80"/>
  <c r="BD501" i="80"/>
  <c r="BD441" i="80"/>
  <c r="BD461" i="80"/>
  <c r="AK380" i="80"/>
  <c r="AK157" i="80" s="1"/>
  <c r="AH160" i="80"/>
  <c r="AI205" i="80"/>
  <c r="AM343" i="80"/>
  <c r="AM186" i="80" s="1"/>
  <c r="AM233" i="80" s="1"/>
  <c r="AM711" i="80"/>
  <c r="AN529" i="80"/>
  <c r="BF452" i="80"/>
  <c r="BF455" i="80" s="1"/>
  <c r="BF451" i="80"/>
  <c r="BF454" i="80"/>
  <c r="BH372" i="80"/>
  <c r="BH371" i="80"/>
  <c r="AN321" i="80"/>
  <c r="AP494" i="80"/>
  <c r="AM295" i="80"/>
  <c r="AM167" i="80" s="1"/>
  <c r="AL624" i="80"/>
  <c r="AM621" i="80"/>
  <c r="AN621" i="80" s="1"/>
  <c r="AH578" i="80"/>
  <c r="AH549" i="80"/>
  <c r="AH551" i="80" s="1"/>
  <c r="AR486" i="80"/>
  <c r="BF373" i="80"/>
  <c r="BI849" i="80"/>
  <c r="AI636" i="80"/>
  <c r="AI160" i="80" s="1"/>
  <c r="AT539" i="80"/>
  <c r="AU536" i="80"/>
  <c r="BH451" i="80"/>
  <c r="BL451" i="80" s="1"/>
  <c r="BL449" i="80"/>
  <c r="BH452" i="80"/>
  <c r="BH184" i="80" s="1"/>
  <c r="BH454" i="80"/>
  <c r="BI475" i="80"/>
  <c r="BI476" i="80" s="1"/>
  <c r="BI184" i="80"/>
  <c r="AK676" i="80"/>
  <c r="AL674" i="80"/>
  <c r="AK208" i="80"/>
  <c r="AM181" i="80"/>
  <c r="AM290" i="80"/>
  <c r="AQ503" i="80"/>
  <c r="AP509" i="80"/>
  <c r="AP506" i="80"/>
  <c r="AL379" i="80"/>
  <c r="AM396" i="80"/>
  <c r="AH168" i="80"/>
  <c r="AM562" i="80"/>
  <c r="BE431" i="80"/>
  <c r="BE432" i="80" s="1"/>
  <c r="BE435" i="80" s="1"/>
  <c r="BF434" i="80"/>
  <c r="BF436" i="80" s="1"/>
  <c r="AP409" i="80"/>
  <c r="AP408" i="80"/>
  <c r="AR406" i="80"/>
  <c r="AQ304" i="80"/>
  <c r="AR304" i="80" s="1"/>
  <c r="AR303" i="80" s="1"/>
  <c r="AR301" i="80"/>
  <c r="AS301" i="80" s="1"/>
  <c r="AP454" i="80"/>
  <c r="AR446" i="80"/>
  <c r="BL709" i="80"/>
  <c r="BM709" i="80" s="1"/>
  <c r="AJ611" i="80"/>
  <c r="AJ600" i="80"/>
  <c r="AJ203" i="80" s="1"/>
  <c r="AK608" i="80"/>
  <c r="BL432" i="80"/>
  <c r="BH434" i="80"/>
  <c r="BH435" i="80"/>
  <c r="BL435" i="80" s="1"/>
  <c r="BK469" i="80"/>
  <c r="BL469" i="80" s="1"/>
  <c r="BL463" i="80"/>
  <c r="BM463" i="80" s="1"/>
  <c r="BK466" i="80"/>
  <c r="AK571" i="80"/>
  <c r="AJ574" i="80"/>
  <c r="AJ553" i="80"/>
  <c r="AJ202" i="80" s="1"/>
  <c r="AQ432" i="80"/>
  <c r="AR429" i="80"/>
  <c r="AS429" i="80" s="1"/>
  <c r="AP684" i="80"/>
  <c r="AO686" i="80"/>
  <c r="AO210" i="80"/>
  <c r="AM342" i="80"/>
  <c r="AG189" i="80"/>
  <c r="AO528" i="80"/>
  <c r="AO527" i="80"/>
  <c r="AO529" i="80" s="1"/>
  <c r="BE468" i="80"/>
  <c r="BE469" i="80" s="1"/>
  <c r="AO371" i="80"/>
  <c r="AO372" i="80"/>
  <c r="BB223" i="80"/>
  <c r="AQ327" i="80"/>
  <c r="AP330" i="80"/>
  <c r="AO436" i="80"/>
  <c r="AK275" i="80"/>
  <c r="AJ267" i="80"/>
  <c r="AJ200" i="80" s="1"/>
  <c r="AJ205" i="80" s="1"/>
  <c r="AJ278" i="80"/>
  <c r="BK853" i="80"/>
  <c r="BM266" i="46"/>
  <c r="EE50" i="71"/>
  <c r="EE51" i="71" s="1"/>
  <c r="CK46" i="71"/>
  <c r="CK35" i="71"/>
  <c r="CK47" i="71" s="1"/>
  <c r="BO64" i="46"/>
  <c r="BP63" i="46"/>
  <c r="CU46" i="71"/>
  <c r="CU35" i="71"/>
  <c r="CU47" i="71" s="1"/>
  <c r="BA23" i="46"/>
  <c r="BJ207" i="46"/>
  <c r="CV41" i="71"/>
  <c r="BO48" i="46"/>
  <c r="DL173" i="46"/>
  <c r="DL175" i="46" s="1"/>
  <c r="DK175" i="46"/>
  <c r="AR23" i="46"/>
  <c r="AR28" i="46" s="1"/>
  <c r="AM35" i="71"/>
  <c r="AM39" i="71" s="1"/>
  <c r="BK14" i="46"/>
  <c r="BL14" i="46" s="1"/>
  <c r="AH34" i="71"/>
  <c r="DZ15" i="71"/>
  <c r="DO46" i="71"/>
  <c r="DO35" i="71"/>
  <c r="DO47" i="71" s="1"/>
  <c r="I39" i="71"/>
  <c r="I30" i="71"/>
  <c r="I38" i="71" s="1"/>
  <c r="DJ46" i="71"/>
  <c r="DJ35" i="71"/>
  <c r="DJ47" i="71" s="1"/>
  <c r="AX23" i="46"/>
  <c r="BH216" i="46"/>
  <c r="DE46" i="71"/>
  <c r="DE35" i="71"/>
  <c r="DE47" i="71" s="1"/>
  <c r="BG194" i="46"/>
  <c r="BH190" i="46"/>
  <c r="CA46" i="71"/>
  <c r="CA35" i="71"/>
  <c r="CA47" i="71" s="1"/>
  <c r="BI235" i="46"/>
  <c r="BJ215" i="46"/>
  <c r="AW173" i="46"/>
  <c r="AW175" i="46" s="1"/>
  <c r="AX173" i="46" s="1"/>
  <c r="BB173" i="46" s="1"/>
  <c r="AS175" i="46"/>
  <c r="AT173" i="46" s="1"/>
  <c r="AT175" i="46" s="1"/>
  <c r="AU173" i="46" s="1"/>
  <c r="AU175" i="46" s="1"/>
  <c r="AV173" i="46" s="1"/>
  <c r="AV175" i="46" s="1"/>
  <c r="CP46" i="71"/>
  <c r="CP35" i="71"/>
  <c r="CP47" i="71" s="1"/>
  <c r="AC39" i="71"/>
  <c r="AC38" i="71"/>
  <c r="AC60" i="71"/>
  <c r="S39" i="71"/>
  <c r="S30" i="71"/>
  <c r="S38" i="71" s="1"/>
  <c r="CD94" i="73"/>
  <c r="BL52" i="71"/>
  <c r="BL113" i="73"/>
  <c r="CF48" i="71"/>
  <c r="CF51" i="71" s="1"/>
  <c r="CF59" i="71" s="1"/>
  <c r="CZ48" i="71"/>
  <c r="CZ51" i="71" s="1"/>
  <c r="CZ59" i="71" s="1"/>
  <c r="N34" i="71"/>
  <c r="BN49" i="46"/>
  <c r="CJ76" i="73"/>
  <c r="BK102" i="46"/>
  <c r="BK163" i="46" s="1"/>
  <c r="AY102" i="46"/>
  <c r="AY163" i="46" s="1"/>
  <c r="AX102" i="46"/>
  <c r="BA102" i="46"/>
  <c r="BA163" i="46" s="1"/>
  <c r="BM102" i="46"/>
  <c r="BH102" i="46"/>
  <c r="BC102" i="46"/>
  <c r="BJ102" i="46"/>
  <c r="BJ163" i="46" s="1"/>
  <c r="BE107" i="46"/>
  <c r="BJ107" i="46"/>
  <c r="BH107" i="46"/>
  <c r="BN102" i="46"/>
  <c r="BN163" i="46" s="1"/>
  <c r="BI107" i="46"/>
  <c r="BN107" i="46"/>
  <c r="BO107" i="46"/>
  <c r="BM107" i="46"/>
  <c r="AZ102" i="46"/>
  <c r="AZ163" i="46" s="1"/>
  <c r="BK107" i="46"/>
  <c r="BP107" i="46"/>
  <c r="BF102" i="46"/>
  <c r="BF163" i="46" s="1"/>
  <c r="BE102" i="46"/>
  <c r="BE163" i="46" s="1"/>
  <c r="BF107" i="46"/>
  <c r="BD107" i="46"/>
  <c r="BC107" i="46"/>
  <c r="BO102" i="46"/>
  <c r="BO163" i="46" s="1"/>
  <c r="BP102" i="46"/>
  <c r="BP163" i="46" s="1"/>
  <c r="BD102" i="46"/>
  <c r="BD163" i="46" s="1"/>
  <c r="BI102" i="46"/>
  <c r="BI163" i="46" s="1"/>
  <c r="AN82" i="46"/>
  <c r="Q82" i="46"/>
  <c r="Q86" i="46" s="1"/>
  <c r="W82" i="46"/>
  <c r="W86" i="46" s="1"/>
  <c r="H82" i="46"/>
  <c r="H86" i="46" s="1"/>
  <c r="I82" i="46"/>
  <c r="AO82" i="46"/>
  <c r="T82" i="46"/>
  <c r="T86" i="46" s="1"/>
  <c r="AR34" i="71"/>
  <c r="E82" i="46"/>
  <c r="E86" i="46" s="1"/>
  <c r="AK82" i="46"/>
  <c r="AK86" i="46" s="1"/>
  <c r="S82" i="46"/>
  <c r="AJ82" i="46"/>
  <c r="AA82" i="46"/>
  <c r="AA86" i="46" s="1"/>
  <c r="AB82" i="46"/>
  <c r="AB86" i="46" s="1"/>
  <c r="AU82" i="46"/>
  <c r="AU86" i="46" s="1"/>
  <c r="AE82" i="46"/>
  <c r="AF82" i="46"/>
  <c r="AF86" i="46" s="1"/>
  <c r="Y82" i="46"/>
  <c r="Y86" i="46" s="1"/>
  <c r="L82" i="46"/>
  <c r="L86" i="46" s="1"/>
  <c r="U82" i="46"/>
  <c r="U86" i="46" s="1"/>
  <c r="AI82" i="46"/>
  <c r="AI86" i="46" s="1"/>
  <c r="K82" i="46"/>
  <c r="K86" i="46" s="1"/>
  <c r="AQ82" i="46"/>
  <c r="P82" i="46"/>
  <c r="P86" i="46" s="1"/>
  <c r="M82" i="46"/>
  <c r="M86" i="46" s="1"/>
  <c r="AS82" i="46"/>
  <c r="AG82" i="46"/>
  <c r="G82" i="46"/>
  <c r="G86" i="46" s="1"/>
  <c r="X82" i="46"/>
  <c r="BJ476" i="80" l="1"/>
  <c r="AM379" i="80"/>
  <c r="BB186" i="99"/>
  <c r="BB191" i="99" s="1"/>
  <c r="AP184" i="80"/>
  <c r="AP514" i="80"/>
  <c r="AQ494" i="80"/>
  <c r="AR494" i="80" s="1"/>
  <c r="BK474" i="80"/>
  <c r="BL474" i="80" s="1"/>
  <c r="BQ9" i="78"/>
  <c r="BQ11" i="78" s="1"/>
  <c r="BQ97" i="78"/>
  <c r="AV209" i="99"/>
  <c r="BB162" i="78"/>
  <c r="BF184" i="80"/>
  <c r="AQ423" i="80"/>
  <c r="AM108" i="73"/>
  <c r="DR163" i="100"/>
  <c r="DQ165" i="100"/>
  <c r="BG144" i="100"/>
  <c r="BC180" i="100"/>
  <c r="BD180" i="100" s="1"/>
  <c r="BE180" i="100" s="1"/>
  <c r="BF180" i="100" s="1"/>
  <c r="BG180" i="100" s="1"/>
  <c r="BD175" i="100"/>
  <c r="BE100" i="100"/>
  <c r="DN163" i="100"/>
  <c r="DN165" i="100" s="1"/>
  <c r="DM165" i="100"/>
  <c r="BH198" i="100"/>
  <c r="AS10" i="100"/>
  <c r="BK105" i="100"/>
  <c r="BK104" i="100" s="1"/>
  <c r="BL104" i="100" s="1"/>
  <c r="BJ104" i="100"/>
  <c r="BD211" i="100"/>
  <c r="BC190" i="100"/>
  <c r="AW74" i="100"/>
  <c r="AW8" i="100"/>
  <c r="AV112" i="100"/>
  <c r="AS101" i="100"/>
  <c r="AS13" i="100"/>
  <c r="AB294" i="99"/>
  <c r="AA64" i="99"/>
  <c r="AW144" i="99"/>
  <c r="BF231" i="99"/>
  <c r="BD132" i="99"/>
  <c r="AX19" i="99"/>
  <c r="AW279" i="99"/>
  <c r="BB55" i="99"/>
  <c r="AW21" i="99"/>
  <c r="BG137" i="99"/>
  <c r="BH137" i="99" s="1"/>
  <c r="BG154" i="99"/>
  <c r="AS36" i="99"/>
  <c r="AS38" i="99" s="1"/>
  <c r="BE144" i="99"/>
  <c r="AT244" i="99"/>
  <c r="AS224" i="99"/>
  <c r="AX133" i="99"/>
  <c r="AW209" i="99"/>
  <c r="AV210" i="99"/>
  <c r="BD208" i="99"/>
  <c r="AU261" i="99"/>
  <c r="AM209" i="98"/>
  <c r="AM236" i="98" s="1"/>
  <c r="AL236" i="98"/>
  <c r="AY74" i="98"/>
  <c r="AY75" i="98" s="1"/>
  <c r="AY8" i="98"/>
  <c r="BC121" i="98"/>
  <c r="BC19" i="98" s="1"/>
  <c r="BE121" i="98"/>
  <c r="BE19" i="98" s="1"/>
  <c r="BE21" i="98" s="1"/>
  <c r="BD121" i="98"/>
  <c r="BD19" i="98" s="1"/>
  <c r="BD21" i="98" s="1"/>
  <c r="BF121" i="98"/>
  <c r="BF19" i="98" s="1"/>
  <c r="BF21" i="98" s="1"/>
  <c r="BF191" i="98"/>
  <c r="BA74" i="98"/>
  <c r="BA75" i="98" s="1"/>
  <c r="BA8" i="98"/>
  <c r="BB176" i="98"/>
  <c r="AZ8" i="98"/>
  <c r="AZ74" i="98"/>
  <c r="AZ75" i="98" s="1"/>
  <c r="BF111" i="98"/>
  <c r="AX74" i="98"/>
  <c r="AX75" i="98" s="1"/>
  <c r="BB62" i="98"/>
  <c r="AX8" i="98"/>
  <c r="BI104" i="98"/>
  <c r="BH103" i="98"/>
  <c r="AW155" i="98"/>
  <c r="AW160" i="98" s="1"/>
  <c r="AS160" i="98"/>
  <c r="AS212" i="98"/>
  <c r="AX101" i="98"/>
  <c r="AY109" i="98" s="1"/>
  <c r="AY107" i="98" s="1"/>
  <c r="AY100" i="98" s="1"/>
  <c r="AW133" i="98"/>
  <c r="BB23" i="46"/>
  <c r="AP209" i="98"/>
  <c r="AP236" i="98" s="1"/>
  <c r="AQ163" i="98"/>
  <c r="AQ165" i="98" s="1"/>
  <c r="BG133" i="98"/>
  <c r="BB133" i="98"/>
  <c r="AX247" i="98"/>
  <c r="AX144" i="98"/>
  <c r="AX177" i="98" s="1"/>
  <c r="AX15" i="98"/>
  <c r="BL133" i="98"/>
  <c r="BC99" i="98"/>
  <c r="AW178" i="98"/>
  <c r="BF199" i="98"/>
  <c r="AG250" i="77"/>
  <c r="AG247" i="77"/>
  <c r="AN86" i="46"/>
  <c r="BA9" i="77"/>
  <c r="BA95" i="77"/>
  <c r="BA96" i="77" s="1"/>
  <c r="AN45" i="77"/>
  <c r="AN81" i="46"/>
  <c r="AN68" i="46" s="1"/>
  <c r="AU239" i="77"/>
  <c r="AU246" i="77" s="1"/>
  <c r="AW239" i="77"/>
  <c r="AW246" i="77" s="1"/>
  <c r="AW30" i="71"/>
  <c r="AY11" i="77"/>
  <c r="AY16" i="77"/>
  <c r="AY18" i="77" s="1"/>
  <c r="BO161" i="77"/>
  <c r="BN154" i="77"/>
  <c r="BN171" i="77" s="1"/>
  <c r="BN20" i="77" s="1"/>
  <c r="DW210" i="77"/>
  <c r="DW212" i="77" s="1"/>
  <c r="DV212" i="77"/>
  <c r="BN93" i="77"/>
  <c r="BN92" i="77" s="1"/>
  <c r="BI92" i="77"/>
  <c r="AV110" i="77"/>
  <c r="AR250" i="77"/>
  <c r="AR247" i="77"/>
  <c r="AE247" i="77"/>
  <c r="AE250" i="77"/>
  <c r="AL43" i="77"/>
  <c r="AL38" i="77"/>
  <c r="AX255" i="77"/>
  <c r="AW262" i="77"/>
  <c r="BB255" i="77"/>
  <c r="BO11" i="77"/>
  <c r="BK93" i="77"/>
  <c r="BF92" i="77"/>
  <c r="BG92" i="77" s="1"/>
  <c r="BL223" i="77"/>
  <c r="AS43" i="77"/>
  <c r="AS38" i="77"/>
  <c r="AV33" i="77"/>
  <c r="AV36" i="77" s="1"/>
  <c r="BK192" i="77"/>
  <c r="BL192" i="77" s="1"/>
  <c r="BK22" i="77"/>
  <c r="BL20" i="77"/>
  <c r="BL22" i="77" s="1"/>
  <c r="AW33" i="77"/>
  <c r="AW36" i="77" s="1"/>
  <c r="BO136" i="77"/>
  <c r="BF133" i="77"/>
  <c r="BA132" i="77"/>
  <c r="AO81" i="46"/>
  <c r="AO68" i="46" s="1"/>
  <c r="BD9" i="77"/>
  <c r="BD95" i="77"/>
  <c r="BD96" i="77" s="1"/>
  <c r="AR273" i="77"/>
  <c r="AR64" i="77" s="1"/>
  <c r="AR59" i="73" s="1"/>
  <c r="AR274" i="77"/>
  <c r="AR65" i="77" s="1"/>
  <c r="BI150" i="77"/>
  <c r="AJ44" i="77"/>
  <c r="AK241" i="77"/>
  <c r="AK237" i="77"/>
  <c r="AJ241" i="77"/>
  <c r="AJ237" i="77"/>
  <c r="AL241" i="77"/>
  <c r="AL237" i="77"/>
  <c r="BD10" i="77"/>
  <c r="BD135" i="77"/>
  <c r="BD136" i="77" s="1"/>
  <c r="BM133" i="77"/>
  <c r="BM132" i="77" s="1"/>
  <c r="BH132" i="77"/>
  <c r="BI160" i="77"/>
  <c r="BH92" i="77"/>
  <c r="BM93" i="77"/>
  <c r="BM92" i="77" s="1"/>
  <c r="AT239" i="77"/>
  <c r="AT246" i="77" s="1"/>
  <c r="AG44" i="77"/>
  <c r="AI241" i="77"/>
  <c r="AI237" i="77"/>
  <c r="BB9" i="77"/>
  <c r="AX11" i="77"/>
  <c r="AX16" i="77"/>
  <c r="AX18" i="77" s="1"/>
  <c r="AV23" i="46"/>
  <c r="AV28" i="46" s="1"/>
  <c r="AF250" i="77"/>
  <c r="AF247" i="77"/>
  <c r="BJ219" i="77"/>
  <c r="AR263" i="77"/>
  <c r="AR101" i="73"/>
  <c r="AO86" i="46"/>
  <c r="BN133" i="77"/>
  <c r="BN132" i="77" s="1"/>
  <c r="BI132" i="77"/>
  <c r="AT61" i="77"/>
  <c r="AT33" i="77"/>
  <c r="AT36" i="77" s="1"/>
  <c r="AT60" i="77"/>
  <c r="BC10" i="77"/>
  <c r="BC135" i="77"/>
  <c r="BC136" i="77" s="1"/>
  <c r="BC158" i="77"/>
  <c r="BB160" i="77"/>
  <c r="BC9" i="77"/>
  <c r="BC95" i="77"/>
  <c r="BC96" i="77" s="1"/>
  <c r="AM13" i="71"/>
  <c r="AM7" i="73" s="1"/>
  <c r="AM68" i="46"/>
  <c r="BM20" i="77"/>
  <c r="BB92" i="77"/>
  <c r="AM107" i="73"/>
  <c r="AM110" i="73" s="1"/>
  <c r="AQ43" i="77"/>
  <c r="AQ38" i="77"/>
  <c r="AR45" i="77"/>
  <c r="AR81" i="46"/>
  <c r="AG241" i="77"/>
  <c r="AE45" i="77"/>
  <c r="AE81" i="46"/>
  <c r="AE68" i="46" s="1"/>
  <c r="BO96" i="77"/>
  <c r="BC154" i="78"/>
  <c r="BD160" i="78" s="1"/>
  <c r="BJ162" i="78"/>
  <c r="BB237" i="78"/>
  <c r="BB27" i="78"/>
  <c r="AX240" i="78"/>
  <c r="AX236" i="78"/>
  <c r="AX46" i="78"/>
  <c r="AX47" i="78" s="1"/>
  <c r="AW262" i="78"/>
  <c r="AW100" i="73"/>
  <c r="AR107" i="73"/>
  <c r="AR105" i="73"/>
  <c r="BH22" i="78"/>
  <c r="BA26" i="78"/>
  <c r="BA21" i="46"/>
  <c r="BB21" i="46" s="1"/>
  <c r="BO163" i="78"/>
  <c r="BN156" i="78"/>
  <c r="BL9" i="78"/>
  <c r="BL11" i="78" s="1"/>
  <c r="BJ175" i="78"/>
  <c r="BI174" i="78"/>
  <c r="BI22" i="78" s="1"/>
  <c r="BK225" i="78"/>
  <c r="BC256" i="78"/>
  <c r="BC158" i="78"/>
  <c r="BC14" i="78" s="1"/>
  <c r="BP97" i="78"/>
  <c r="BJ152" i="78"/>
  <c r="AZ238" i="78"/>
  <c r="AY238" i="78"/>
  <c r="AX228" i="78"/>
  <c r="BJ221" i="78"/>
  <c r="BL97" i="78"/>
  <c r="BJ193" i="79"/>
  <c r="DX184" i="79"/>
  <c r="DX186" i="79" s="1"/>
  <c r="DW186" i="79"/>
  <c r="BN129" i="79"/>
  <c r="BO136" i="79"/>
  <c r="BB131" i="79"/>
  <c r="BF166" i="79"/>
  <c r="BG166" i="79" s="1"/>
  <c r="BF21" i="79"/>
  <c r="BF117" i="46"/>
  <c r="BG19" i="79"/>
  <c r="BG21" i="79" s="1"/>
  <c r="BF30" i="46"/>
  <c r="BG30" i="46" s="1"/>
  <c r="AX212" i="79"/>
  <c r="AX208" i="79"/>
  <c r="AX43" i="79"/>
  <c r="AX44" i="79" s="1"/>
  <c r="AZ24" i="79"/>
  <c r="AZ209" i="79"/>
  <c r="BJ125" i="79"/>
  <c r="BH19" i="79"/>
  <c r="BA164" i="79"/>
  <c r="BB164" i="79" s="1"/>
  <c r="BA15" i="79"/>
  <c r="BA17" i="79" s="1"/>
  <c r="BB13" i="79"/>
  <c r="BB15" i="79" s="1"/>
  <c r="BB17" i="79" s="1"/>
  <c r="BB23" i="79" s="1"/>
  <c r="BI135" i="79"/>
  <c r="CP48" i="71"/>
  <c r="CP51" i="71" s="1"/>
  <c r="CP59" i="71" s="1"/>
  <c r="BB126" i="79"/>
  <c r="BA127" i="79"/>
  <c r="BJ146" i="79"/>
  <c r="BI145" i="79"/>
  <c r="BI19" i="79" s="1"/>
  <c r="AX200" i="79"/>
  <c r="BL197" i="79"/>
  <c r="AM566" i="80"/>
  <c r="AJ268" i="80"/>
  <c r="AJ182" i="80"/>
  <c r="AJ281" i="80"/>
  <c r="AJ264" i="80" s="1"/>
  <c r="AJ280" i="80"/>
  <c r="AQ435" i="80"/>
  <c r="AQ434" i="80"/>
  <c r="AR434" i="80" s="1"/>
  <c r="AK611" i="80"/>
  <c r="AK600" i="80"/>
  <c r="AK203" i="80" s="1"/>
  <c r="AL608" i="80"/>
  <c r="AT301" i="80"/>
  <c r="AS304" i="80"/>
  <c r="AQ509" i="80"/>
  <c r="AR503" i="80"/>
  <c r="AS503" i="80" s="1"/>
  <c r="AQ506" i="80"/>
  <c r="BL452" i="80"/>
  <c r="BH455" i="80"/>
  <c r="BH456" i="80" s="1"/>
  <c r="AT542" i="80"/>
  <c r="AT541" i="80"/>
  <c r="BH373" i="80"/>
  <c r="BL466" i="80"/>
  <c r="BC441" i="80"/>
  <c r="BC501" i="80"/>
  <c r="BC461" i="80"/>
  <c r="AP528" i="80"/>
  <c r="AP527" i="80"/>
  <c r="AP436" i="80"/>
  <c r="AI597" i="80"/>
  <c r="BD392" i="80"/>
  <c r="AP356" i="80"/>
  <c r="AQ353" i="80"/>
  <c r="AN659" i="80"/>
  <c r="AM638" i="80"/>
  <c r="AM204" i="80" s="1"/>
  <c r="AS543" i="80"/>
  <c r="AP291" i="80"/>
  <c r="AQ288" i="80"/>
  <c r="BP706" i="80"/>
  <c r="BQ706" i="80" s="1"/>
  <c r="BQ704" i="80"/>
  <c r="AI269" i="80"/>
  <c r="AI192" i="80"/>
  <c r="AO699" i="80"/>
  <c r="AN701" i="80"/>
  <c r="AN213" i="80"/>
  <c r="BO432" i="80"/>
  <c r="BP429" i="80"/>
  <c r="AP583" i="80"/>
  <c r="AO586" i="80"/>
  <c r="AO588" i="80" s="1"/>
  <c r="AO590" i="80" s="1"/>
  <c r="AN295" i="80"/>
  <c r="BH710" i="80"/>
  <c r="BY322" i="80"/>
  <c r="BZ322" i="80" s="1"/>
  <c r="CA322" i="80" s="1"/>
  <c r="V82" i="46"/>
  <c r="V86" i="46" s="1"/>
  <c r="BI372" i="80"/>
  <c r="BI371" i="80"/>
  <c r="BI373" i="80" s="1"/>
  <c r="AO689" i="80"/>
  <c r="AN691" i="80"/>
  <c r="AN211" i="80"/>
  <c r="AP694" i="80"/>
  <c r="AO696" i="80"/>
  <c r="AO212" i="80"/>
  <c r="AK347" i="80"/>
  <c r="BM436" i="80"/>
  <c r="BF476" i="80"/>
  <c r="AX649" i="80"/>
  <c r="AY646" i="80"/>
  <c r="AP185" i="80"/>
  <c r="AP495" i="80"/>
  <c r="BI23" i="46"/>
  <c r="BL107" i="46"/>
  <c r="DO48" i="71"/>
  <c r="DO51" i="71" s="1"/>
  <c r="DO59" i="71" s="1"/>
  <c r="AP183" i="80"/>
  <c r="AP332" i="80"/>
  <c r="AP333" i="80"/>
  <c r="AO373" i="80"/>
  <c r="BH436" i="80"/>
  <c r="BL434" i="80"/>
  <c r="BL436" i="80" s="1"/>
  <c r="AQ306" i="80"/>
  <c r="AQ308" i="80" s="1"/>
  <c r="AQ307" i="80"/>
  <c r="AR307" i="80" s="1"/>
  <c r="CC810" i="80"/>
  <c r="AM561" i="80"/>
  <c r="AN561" i="80" s="1"/>
  <c r="AO561" i="80" s="1"/>
  <c r="AP561" i="80" s="1"/>
  <c r="AQ561" i="80" s="1"/>
  <c r="AN624" i="80"/>
  <c r="AO621" i="80"/>
  <c r="AR506" i="80"/>
  <c r="BD468" i="80"/>
  <c r="BD469" i="80" s="1"/>
  <c r="AQ452" i="80"/>
  <c r="AQ451" i="80"/>
  <c r="AR451" i="80" s="1"/>
  <c r="AP308" i="80"/>
  <c r="BD418" i="80"/>
  <c r="AO358" i="80"/>
  <c r="AO359" i="80"/>
  <c r="AL665" i="80"/>
  <c r="AL635" i="80" s="1"/>
  <c r="AL664" i="80"/>
  <c r="AL639" i="80"/>
  <c r="AL188" i="80"/>
  <c r="AS422" i="80"/>
  <c r="AS421" i="80"/>
  <c r="AO181" i="80"/>
  <c r="AO293" i="80"/>
  <c r="AO294" i="80"/>
  <c r="AT483" i="80"/>
  <c r="AS489" i="80"/>
  <c r="AS486" i="80"/>
  <c r="AI264" i="80"/>
  <c r="BN446" i="80"/>
  <c r="BN449" i="80"/>
  <c r="BO443" i="80"/>
  <c r="AL186" i="80"/>
  <c r="AL346" i="80"/>
  <c r="AM346" i="80" s="1"/>
  <c r="AL345" i="80"/>
  <c r="AM345" i="80" s="1"/>
  <c r="AM347" i="80" s="1"/>
  <c r="AM170" i="80" s="1"/>
  <c r="BN435" i="80"/>
  <c r="BN434" i="80"/>
  <c r="AP319" i="80"/>
  <c r="AP320" i="80"/>
  <c r="AM662" i="80"/>
  <c r="AD228" i="80"/>
  <c r="AF228" i="80"/>
  <c r="AE228" i="80"/>
  <c r="AG228" i="80"/>
  <c r="AR421" i="80"/>
  <c r="AR423" i="80" s="1"/>
  <c r="AS406" i="80"/>
  <c r="AT403" i="80"/>
  <c r="AN711" i="80"/>
  <c r="AO709" i="80"/>
  <c r="X38" i="71"/>
  <c r="X60" i="71"/>
  <c r="BL853" i="80"/>
  <c r="AK267" i="80"/>
  <c r="AK200" i="80" s="1"/>
  <c r="AK278" i="80"/>
  <c r="AL275" i="80"/>
  <c r="AR327" i="80"/>
  <c r="AS327" i="80" s="1"/>
  <c r="AQ330" i="80"/>
  <c r="BE472" i="80"/>
  <c r="BE475" i="80" s="1"/>
  <c r="BE471" i="80"/>
  <c r="BE474" i="80"/>
  <c r="AP686" i="80"/>
  <c r="AQ684" i="80"/>
  <c r="AP210" i="80"/>
  <c r="AJ576" i="80"/>
  <c r="AJ554" i="80"/>
  <c r="BM466" i="80"/>
  <c r="BN463" i="80"/>
  <c r="BM469" i="80"/>
  <c r="AJ601" i="80"/>
  <c r="AJ613" i="80"/>
  <c r="AJ614" i="80"/>
  <c r="AJ597" i="80" s="1"/>
  <c r="AP456" i="80"/>
  <c r="AM674" i="80"/>
  <c r="AN674" i="80" s="1"/>
  <c r="AL676" i="80"/>
  <c r="AL208" i="80"/>
  <c r="BJ849" i="80"/>
  <c r="AL627" i="80"/>
  <c r="AM627" i="80" s="1"/>
  <c r="AL626" i="80"/>
  <c r="BD448" i="80"/>
  <c r="BD449" i="80" s="1"/>
  <c r="AO393" i="80"/>
  <c r="AP390" i="80"/>
  <c r="AO382" i="80"/>
  <c r="AO201" i="80" s="1"/>
  <c r="AR432" i="80"/>
  <c r="AI555" i="80"/>
  <c r="AI187" i="80"/>
  <c r="AI194" i="80"/>
  <c r="AL590" i="80"/>
  <c r="AM588" i="80"/>
  <c r="AM590" i="80" s="1"/>
  <c r="AI602" i="80"/>
  <c r="AI195" i="80"/>
  <c r="AS449" i="80"/>
  <c r="AS446" i="80"/>
  <c r="AT443" i="80"/>
  <c r="BD405" i="80"/>
  <c r="AM378" i="80"/>
  <c r="AM380" i="80" s="1"/>
  <c r="AM397" i="80"/>
  <c r="AU416" i="80"/>
  <c r="AT419" i="80"/>
  <c r="AM624" i="80"/>
  <c r="AM623" i="80" s="1"/>
  <c r="AL566" i="80"/>
  <c r="AI282" i="80"/>
  <c r="AI263" i="80"/>
  <c r="AI265" i="80" s="1"/>
  <c r="AI156" i="80" s="1"/>
  <c r="BM454" i="80"/>
  <c r="AN343" i="80"/>
  <c r="AO340" i="80"/>
  <c r="AR314" i="80"/>
  <c r="AS314" i="80" s="1"/>
  <c r="AQ317" i="80"/>
  <c r="AR317" i="80" s="1"/>
  <c r="AR316" i="80" s="1"/>
  <c r="AN360" i="80"/>
  <c r="AK666" i="80"/>
  <c r="AK634" i="80"/>
  <c r="AK636" i="80" s="1"/>
  <c r="AK160" i="80" s="1"/>
  <c r="AE230" i="80"/>
  <c r="AE222" i="80" s="1"/>
  <c r="AE226" i="80" s="1"/>
  <c r="AE163" i="80" s="1"/>
  <c r="AE164" i="80" s="1"/>
  <c r="AF230" i="80"/>
  <c r="AF222" i="80" s="1"/>
  <c r="AF226" i="80" s="1"/>
  <c r="AF163" i="80" s="1"/>
  <c r="AF164" i="80" s="1"/>
  <c r="AG230" i="80"/>
  <c r="AG222" i="80" s="1"/>
  <c r="AG226" i="80" s="1"/>
  <c r="AG163" i="80" s="1"/>
  <c r="AG164" i="80" s="1"/>
  <c r="AD230" i="80"/>
  <c r="AD222" i="80" s="1"/>
  <c r="AN562" i="80"/>
  <c r="AO559" i="80"/>
  <c r="AP371" i="80"/>
  <c r="AP373" i="80" s="1"/>
  <c r="AP372" i="80"/>
  <c r="AR372" i="80" s="1"/>
  <c r="AR369" i="80"/>
  <c r="BK455" i="80"/>
  <c r="BK456" i="80" s="1"/>
  <c r="AQ409" i="80"/>
  <c r="AR409" i="80" s="1"/>
  <c r="AQ408" i="80"/>
  <c r="AK716" i="80"/>
  <c r="AL714" i="80"/>
  <c r="AK214" i="80"/>
  <c r="BJ23" i="46"/>
  <c r="BN23" i="46"/>
  <c r="DE48" i="71"/>
  <c r="DE51" i="71" s="1"/>
  <c r="DE59" i="71" s="1"/>
  <c r="DJ48" i="71"/>
  <c r="DJ51" i="71" s="1"/>
  <c r="DJ59" i="71" s="1"/>
  <c r="AS432" i="80"/>
  <c r="AT429" i="80"/>
  <c r="AK574" i="80"/>
  <c r="AL571" i="80"/>
  <c r="AK553" i="80"/>
  <c r="AK202" i="80" s="1"/>
  <c r="BK472" i="80"/>
  <c r="BK475" i="80" s="1"/>
  <c r="BK471" i="80"/>
  <c r="BL471" i="80" s="1"/>
  <c r="BN709" i="80"/>
  <c r="AP410" i="80"/>
  <c r="BE434" i="80"/>
  <c r="BE436" i="80" s="1"/>
  <c r="AP511" i="80"/>
  <c r="AP512" i="80"/>
  <c r="AR509" i="80"/>
  <c r="AM229" i="80"/>
  <c r="BL454" i="80"/>
  <c r="AU539" i="80"/>
  <c r="AV536" i="80"/>
  <c r="BF456" i="80"/>
  <c r="AL233" i="80"/>
  <c r="AL225" i="80" s="1"/>
  <c r="AI233" i="80"/>
  <c r="AI225" i="80" s="1"/>
  <c r="AK233" i="80"/>
  <c r="AK225" i="80" s="1"/>
  <c r="AJ233" i="80"/>
  <c r="AJ225" i="80" s="1"/>
  <c r="BD508" i="80"/>
  <c r="AQ525" i="80"/>
  <c r="AR525" i="80" s="1"/>
  <c r="AR522" i="80"/>
  <c r="AS522" i="80" s="1"/>
  <c r="AN383" i="80"/>
  <c r="AN396" i="80"/>
  <c r="AN395" i="80"/>
  <c r="BH475" i="80"/>
  <c r="AR435" i="80"/>
  <c r="AI578" i="80"/>
  <c r="AI549" i="80"/>
  <c r="AI551" i="80" s="1"/>
  <c r="AI158" i="80" s="1"/>
  <c r="AI596" i="80"/>
  <c r="AI598" i="80" s="1"/>
  <c r="AI159" i="80" s="1"/>
  <c r="AI615" i="80"/>
  <c r="AQ454" i="80"/>
  <c r="BD431" i="80"/>
  <c r="BD432" i="80" s="1"/>
  <c r="BC427" i="80"/>
  <c r="BC401" i="80"/>
  <c r="BC414" i="80"/>
  <c r="BC388" i="80"/>
  <c r="AL380" i="80"/>
  <c r="AL157" i="80" s="1"/>
  <c r="AM157" i="80" s="1"/>
  <c r="AO515" i="80"/>
  <c r="AO516" i="80" s="1"/>
  <c r="AR704" i="80"/>
  <c r="AS704" i="80" s="1"/>
  <c r="AQ706" i="80"/>
  <c r="AR706" i="80" s="1"/>
  <c r="AK628" i="80"/>
  <c r="AM626" i="80"/>
  <c r="AQ491" i="80"/>
  <c r="AQ492" i="80"/>
  <c r="AI189" i="80"/>
  <c r="BE452" i="80"/>
  <c r="BE455" i="80" s="1"/>
  <c r="BE451" i="80"/>
  <c r="BE454" i="80"/>
  <c r="BM452" i="80"/>
  <c r="BM451" i="80"/>
  <c r="AK679" i="80"/>
  <c r="AN586" i="80"/>
  <c r="AR449" i="80"/>
  <c r="AK640" i="80"/>
  <c r="AK196" i="80"/>
  <c r="AV653" i="80"/>
  <c r="AW651" i="80"/>
  <c r="BK366" i="80"/>
  <c r="BJ369" i="80"/>
  <c r="AQ371" i="80"/>
  <c r="AQ373" i="80" s="1"/>
  <c r="AQ372" i="80"/>
  <c r="Z82" i="46"/>
  <c r="Z86" i="46" s="1"/>
  <c r="AR491" i="80"/>
  <c r="AM82" i="46"/>
  <c r="AM111" i="73"/>
  <c r="S17" i="71"/>
  <c r="S86" i="46"/>
  <c r="S18" i="71" s="1"/>
  <c r="BI169" i="46"/>
  <c r="EA55" i="71"/>
  <c r="EH55" i="71"/>
  <c r="EG55" i="71"/>
  <c r="BQ107" i="46"/>
  <c r="EF55" i="71"/>
  <c r="BH163" i="46"/>
  <c r="BL102" i="46"/>
  <c r="BM163" i="46"/>
  <c r="BQ102" i="46"/>
  <c r="N82" i="46"/>
  <c r="EA15" i="71"/>
  <c r="BI190" i="46"/>
  <c r="BH194" i="46"/>
  <c r="BI216" i="46"/>
  <c r="F82" i="46"/>
  <c r="F86" i="46" s="1"/>
  <c r="AM38" i="71"/>
  <c r="AM60" i="71"/>
  <c r="AT82" i="46"/>
  <c r="AR35" i="71"/>
  <c r="AR39" i="71" s="1"/>
  <c r="AC82" i="46"/>
  <c r="AC111" i="73"/>
  <c r="AC114" i="73" s="1"/>
  <c r="BD169" i="46"/>
  <c r="DV55" i="71"/>
  <c r="BF169" i="46"/>
  <c r="DX55" i="71"/>
  <c r="BJ169" i="46"/>
  <c r="EB55" i="71"/>
  <c r="BC163" i="46"/>
  <c r="BG102" i="46"/>
  <c r="BA169" i="46"/>
  <c r="DS55" i="71"/>
  <c r="AX163" i="46"/>
  <c r="BB102" i="46"/>
  <c r="AX205" i="46"/>
  <c r="AY169" i="46"/>
  <c r="DQ55" i="71"/>
  <c r="AP82" i="46"/>
  <c r="AP86" i="46" s="1"/>
  <c r="AH35" i="71"/>
  <c r="BK207" i="46"/>
  <c r="BK23" i="46"/>
  <c r="BF23" i="46"/>
  <c r="BN66" i="46"/>
  <c r="BN50" i="46"/>
  <c r="BN167" i="46"/>
  <c r="BN169" i="46" s="1"/>
  <c r="J82" i="46"/>
  <c r="J86" i="46" s="1"/>
  <c r="AL82" i="46"/>
  <c r="R82" i="46"/>
  <c r="R86" i="46" s="1"/>
  <c r="BP14" i="46"/>
  <c r="BQ14" i="46" s="1"/>
  <c r="BP48" i="46"/>
  <c r="BQ48" i="46" s="1"/>
  <c r="BQ50" i="71" s="1"/>
  <c r="BP49" i="46"/>
  <c r="BP167" i="46" s="1"/>
  <c r="BP64" i="46"/>
  <c r="BQ63" i="46"/>
  <c r="X17" i="71"/>
  <c r="X86" i="46"/>
  <c r="I86" i="46"/>
  <c r="I18" i="71" s="1"/>
  <c r="I17" i="71"/>
  <c r="BC23" i="46"/>
  <c r="BG107" i="46"/>
  <c r="BE169" i="46"/>
  <c r="DW55" i="71"/>
  <c r="AZ169" i="46"/>
  <c r="DR55" i="71"/>
  <c r="BK169" i="46"/>
  <c r="EC55" i="71"/>
  <c r="N39" i="71"/>
  <c r="N30" i="71"/>
  <c r="N38" i="71" s="1"/>
  <c r="AD82" i="46"/>
  <c r="AD86" i="46" s="1"/>
  <c r="BJ235" i="46"/>
  <c r="BK215" i="46"/>
  <c r="CA48" i="71"/>
  <c r="CA51" i="71" s="1"/>
  <c r="CA59" i="71" s="1"/>
  <c r="BO49" i="46"/>
  <c r="BQ49" i="46" s="1"/>
  <c r="CU48" i="71"/>
  <c r="CU51" i="71" s="1"/>
  <c r="CU59" i="71" s="1"/>
  <c r="CK48" i="71"/>
  <c r="CK51" i="71" s="1"/>
  <c r="CK59" i="71" s="1"/>
  <c r="CJ77" i="73"/>
  <c r="BB34" i="71"/>
  <c r="O82" i="46"/>
  <c r="O86" i="46" s="1"/>
  <c r="BK476" i="80" l="1"/>
  <c r="BL472" i="80"/>
  <c r="BL184" i="80" s="1"/>
  <c r="BL232" i="80" s="1"/>
  <c r="BK232" i="80" s="1"/>
  <c r="BK223" i="80" s="1"/>
  <c r="AM665" i="80"/>
  <c r="AM635" i="80" s="1"/>
  <c r="BE456" i="80"/>
  <c r="BN436" i="80"/>
  <c r="BN454" i="80"/>
  <c r="BL475" i="80"/>
  <c r="BK184" i="80"/>
  <c r="AM114" i="73"/>
  <c r="BN40" i="51"/>
  <c r="BN43" i="78"/>
  <c r="BN40" i="80"/>
  <c r="BN801" i="80" s="1"/>
  <c r="BI43" i="99"/>
  <c r="BI37" i="98"/>
  <c r="BN41" i="77"/>
  <c r="BI37" i="100"/>
  <c r="BN40" i="79"/>
  <c r="AR306" i="80"/>
  <c r="BE476" i="80"/>
  <c r="AS102" i="100"/>
  <c r="AT110" i="100" s="1"/>
  <c r="AW79" i="100"/>
  <c r="AW81" i="100" s="1"/>
  <c r="AW75" i="100"/>
  <c r="BI198" i="100"/>
  <c r="BL105" i="100"/>
  <c r="BL120" i="100"/>
  <c r="BF100" i="100"/>
  <c r="AS143" i="100"/>
  <c r="AS15" i="100"/>
  <c r="AS17" i="100" s="1"/>
  <c r="AX13" i="46"/>
  <c r="AX150" i="46" s="1"/>
  <c r="AX187" i="46" s="1"/>
  <c r="AX112" i="100"/>
  <c r="BE211" i="100"/>
  <c r="BD190" i="100"/>
  <c r="BE175" i="100"/>
  <c r="AW10" i="100"/>
  <c r="DS163" i="100"/>
  <c r="DS165" i="100" s="1"/>
  <c r="DR165" i="100"/>
  <c r="AW210" i="99"/>
  <c r="AS62" i="99"/>
  <c r="BE208" i="99"/>
  <c r="AX134" i="99"/>
  <c r="AY142" i="99" s="1"/>
  <c r="AY140" i="99" s="1"/>
  <c r="AY133" i="99" s="1"/>
  <c r="AS173" i="99"/>
  <c r="AS45" i="99"/>
  <c r="AS40" i="99"/>
  <c r="AX55" i="99"/>
  <c r="AX87" i="99" s="1"/>
  <c r="AZ55" i="99"/>
  <c r="AZ87" i="99" s="1"/>
  <c r="AZ85" i="99" s="1"/>
  <c r="AY55" i="99"/>
  <c r="AY87" i="99" s="1"/>
  <c r="AY85" i="99" s="1"/>
  <c r="BA55" i="99"/>
  <c r="BA87" i="99" s="1"/>
  <c r="BA85" i="99" s="1"/>
  <c r="BE132" i="99"/>
  <c r="BF144" i="99"/>
  <c r="BC154" i="99"/>
  <c r="BC25" i="99" s="1"/>
  <c r="BF154" i="99"/>
  <c r="BF25" i="99" s="1"/>
  <c r="BF27" i="99" s="1"/>
  <c r="BD154" i="99"/>
  <c r="BD25" i="99" s="1"/>
  <c r="BD27" i="99" s="1"/>
  <c r="BI30" i="46" s="1"/>
  <c r="BE154" i="99"/>
  <c r="BE25" i="99" s="1"/>
  <c r="BE27" i="99" s="1"/>
  <c r="AU244" i="99"/>
  <c r="AT224" i="99"/>
  <c r="BH136" i="99"/>
  <c r="BI137" i="99"/>
  <c r="AX279" i="99"/>
  <c r="AX174" i="99"/>
  <c r="AX21" i="99"/>
  <c r="BG231" i="99"/>
  <c r="AC294" i="99"/>
  <c r="AB64" i="99"/>
  <c r="AY101" i="98"/>
  <c r="AZ109" i="98" s="1"/>
  <c r="AZ107" i="98" s="1"/>
  <c r="AZ13" i="98" s="1"/>
  <c r="AZ10" i="98"/>
  <c r="AY10" i="98"/>
  <c r="AX178" i="98"/>
  <c r="AT212" i="98"/>
  <c r="AS193" i="98"/>
  <c r="BJ104" i="98"/>
  <c r="BI103" i="98"/>
  <c r="BH111" i="98"/>
  <c r="BC176" i="98"/>
  <c r="BG199" i="98"/>
  <c r="BD99" i="98"/>
  <c r="AX10" i="98"/>
  <c r="AX17" i="98"/>
  <c r="BG191" i="98"/>
  <c r="AQ236" i="98"/>
  <c r="AY13" i="98"/>
  <c r="BB74" i="98"/>
  <c r="BB75" i="98" s="1"/>
  <c r="BB8" i="98"/>
  <c r="BA10" i="98"/>
  <c r="BC21" i="98"/>
  <c r="BG19" i="98"/>
  <c r="BG21" i="98" s="1"/>
  <c r="BB93" i="77"/>
  <c r="BB95" i="77"/>
  <c r="BB96" i="77" s="1"/>
  <c r="BI10" i="77"/>
  <c r="BI135" i="77"/>
  <c r="BI136" i="77" s="1"/>
  <c r="AX24" i="77"/>
  <c r="AX22" i="46"/>
  <c r="BH9" i="77"/>
  <c r="BH95" i="77"/>
  <c r="BH96" i="77" s="1"/>
  <c r="BM10" i="77"/>
  <c r="BM135" i="77"/>
  <c r="BA10" i="77"/>
  <c r="BB10" i="77" s="1"/>
  <c r="BA135" i="77"/>
  <c r="BA136" i="77" s="1"/>
  <c r="BB132" i="77"/>
  <c r="AS241" i="77"/>
  <c r="AS237" i="77"/>
  <c r="AS44" i="77"/>
  <c r="BF9" i="77"/>
  <c r="BG9" i="77" s="1"/>
  <c r="BF95" i="77"/>
  <c r="BF96" i="77" s="1"/>
  <c r="AL44" i="77"/>
  <c r="AP241" i="77"/>
  <c r="AP237" i="77"/>
  <c r="AO241" i="77"/>
  <c r="AO237" i="77"/>
  <c r="AN241" i="77"/>
  <c r="AN237" i="77"/>
  <c r="BI9" i="77"/>
  <c r="BI11" i="77" s="1"/>
  <c r="BI95" i="77"/>
  <c r="BI96" i="77" s="1"/>
  <c r="BN192" i="77"/>
  <c r="BN22" i="77"/>
  <c r="AR13" i="71"/>
  <c r="AR7" i="73" s="1"/>
  <c r="AR68" i="46"/>
  <c r="AQ44" i="77"/>
  <c r="AQ241" i="77"/>
  <c r="AQ237" i="77"/>
  <c r="BM192" i="77"/>
  <c r="BM22" i="77"/>
  <c r="BC257" i="77"/>
  <c r="BC156" i="77"/>
  <c r="BC14" i="77" s="1"/>
  <c r="BC151" i="77"/>
  <c r="BN10" i="77"/>
  <c r="BN135" i="77"/>
  <c r="AG45" i="77"/>
  <c r="AG81" i="46"/>
  <c r="BJ160" i="77"/>
  <c r="AL250" i="77"/>
  <c r="AL247" i="77"/>
  <c r="AK250" i="77"/>
  <c r="AK247" i="77"/>
  <c r="BJ150" i="77"/>
  <c r="BD11" i="77"/>
  <c r="BF132" i="77"/>
  <c r="BK133" i="77"/>
  <c r="BK92" i="77"/>
  <c r="BL92" i="77" s="1"/>
  <c r="BP93" i="77"/>
  <c r="BP92" i="77" s="1"/>
  <c r="BN9" i="77"/>
  <c r="BN11" i="77" s="1"/>
  <c r="BN95" i="77"/>
  <c r="BN96" i="77" s="1"/>
  <c r="BO154" i="77"/>
  <c r="BO171" i="77" s="1"/>
  <c r="BP161" i="77"/>
  <c r="BP154" i="77" s="1"/>
  <c r="BC11" i="77"/>
  <c r="AT43" i="77"/>
  <c r="AT38" i="77"/>
  <c r="AT44" i="77" s="1"/>
  <c r="BK219" i="77"/>
  <c r="BB11" i="77"/>
  <c r="BM223" i="77"/>
  <c r="AW263" i="77"/>
  <c r="AW101" i="73"/>
  <c r="AY24" i="77"/>
  <c r="AY22" i="46"/>
  <c r="BA11" i="77"/>
  <c r="AW23" i="46"/>
  <c r="AW28" i="46" s="1"/>
  <c r="BG93" i="77"/>
  <c r="BG95" i="77"/>
  <c r="AI247" i="77"/>
  <c r="AI250" i="77"/>
  <c r="BM9" i="77"/>
  <c r="BM95" i="77"/>
  <c r="BH10" i="77"/>
  <c r="BH135" i="77"/>
  <c r="BH136" i="77" s="1"/>
  <c r="AJ250" i="77"/>
  <c r="AJ247" i="77"/>
  <c r="AJ45" i="77"/>
  <c r="AJ81" i="46"/>
  <c r="AO45" i="77"/>
  <c r="AW43" i="77"/>
  <c r="AW38" i="77"/>
  <c r="AV43" i="77"/>
  <c r="AV38" i="77"/>
  <c r="AV44" i="77" s="1"/>
  <c r="AE86" i="46"/>
  <c r="BC193" i="78"/>
  <c r="BC16" i="78"/>
  <c r="BC20" i="78" s="1"/>
  <c r="BA27" i="78"/>
  <c r="BA238" i="78" s="1"/>
  <c r="BA237" i="78"/>
  <c r="BK162" i="78"/>
  <c r="BK221" i="78"/>
  <c r="AX268" i="78"/>
  <c r="BI195" i="78"/>
  <c r="BI24" i="78"/>
  <c r="BO156" i="78"/>
  <c r="BP163" i="78"/>
  <c r="BP156" i="78" s="1"/>
  <c r="BH195" i="78"/>
  <c r="BH24" i="78"/>
  <c r="AW105" i="73"/>
  <c r="AW107" i="73" s="1"/>
  <c r="AX249" i="78"/>
  <c r="BG23" i="46"/>
  <c r="BK152" i="78"/>
  <c r="BK175" i="78"/>
  <c r="BJ174" i="78"/>
  <c r="BJ22" i="78" s="1"/>
  <c r="BB238" i="78"/>
  <c r="BB29" i="71"/>
  <c r="BD256" i="78"/>
  <c r="BD158" i="78"/>
  <c r="BD14" i="78" s="1"/>
  <c r="BL225" i="78"/>
  <c r="AR108" i="73"/>
  <c r="AR110" i="73" s="1"/>
  <c r="BD153" i="78"/>
  <c r="BK146" i="79"/>
  <c r="BJ145" i="79"/>
  <c r="BJ19" i="79" s="1"/>
  <c r="BA23" i="79"/>
  <c r="BA20" i="46"/>
  <c r="BB20" i="46" s="1"/>
  <c r="BK125" i="79"/>
  <c r="AZ210" i="79"/>
  <c r="BF153" i="46"/>
  <c r="BG153" i="46" s="1"/>
  <c r="BG117" i="46"/>
  <c r="BB127" i="79"/>
  <c r="BJ135" i="79"/>
  <c r="BH166" i="79"/>
  <c r="BH21" i="79"/>
  <c r="BH117" i="46"/>
  <c r="BP136" i="79"/>
  <c r="BP129" i="79" s="1"/>
  <c r="BO129" i="79"/>
  <c r="BK193" i="79"/>
  <c r="I23" i="71"/>
  <c r="BM197" i="79"/>
  <c r="AX240" i="79"/>
  <c r="BI166" i="79"/>
  <c r="BI21" i="79"/>
  <c r="BI117" i="46"/>
  <c r="BI153" i="46" s="1"/>
  <c r="BB209" i="79"/>
  <c r="BB24" i="79"/>
  <c r="AX221" i="79"/>
  <c r="AW653" i="80"/>
  <c r="AN588" i="80"/>
  <c r="BG401" i="80"/>
  <c r="BC405" i="80"/>
  <c r="BG405" i="80" s="1"/>
  <c r="AN384" i="80"/>
  <c r="AN193" i="80"/>
  <c r="AM225" i="80"/>
  <c r="AV539" i="80"/>
  <c r="AW539" i="80" s="1"/>
  <c r="AW536" i="80"/>
  <c r="AP515" i="80"/>
  <c r="AP516" i="80" s="1"/>
  <c r="AK576" i="80"/>
  <c r="AK554" i="80"/>
  <c r="AQ410" i="80"/>
  <c r="AR408" i="80"/>
  <c r="AR410" i="80" s="1"/>
  <c r="AP559" i="80"/>
  <c r="AO562" i="80"/>
  <c r="AH222" i="80"/>
  <c r="AH226" i="80" s="1"/>
  <c r="BX85" i="73" s="1"/>
  <c r="AD226" i="80"/>
  <c r="AD163" i="80" s="1"/>
  <c r="AS454" i="80"/>
  <c r="BD451" i="80"/>
  <c r="BD452" i="80"/>
  <c r="BD455" i="80" s="1"/>
  <c r="BD454" i="80"/>
  <c r="AM676" i="80"/>
  <c r="AR454" i="80"/>
  <c r="AJ602" i="80"/>
  <c r="AJ195" i="80"/>
  <c r="AJ555" i="80"/>
  <c r="AJ194" i="80"/>
  <c r="AJ187" i="80"/>
  <c r="AQ183" i="80"/>
  <c r="AQ333" i="80"/>
  <c r="AR333" i="80" s="1"/>
  <c r="AQ332" i="80"/>
  <c r="AQ334" i="80" s="1"/>
  <c r="AK268" i="80"/>
  <c r="AK182" i="80"/>
  <c r="AK281" i="80"/>
  <c r="AK280" i="80"/>
  <c r="AS423" i="80"/>
  <c r="AR308" i="80"/>
  <c r="BD471" i="80"/>
  <c r="BD472" i="80"/>
  <c r="BD475" i="80" s="1"/>
  <c r="BD474" i="80"/>
  <c r="AP621" i="80"/>
  <c r="AO624" i="80"/>
  <c r="AP334" i="80"/>
  <c r="BO435" i="80"/>
  <c r="BO434" i="80"/>
  <c r="AI197" i="80"/>
  <c r="AP358" i="80"/>
  <c r="AP359" i="80"/>
  <c r="BG501" i="80"/>
  <c r="BC508" i="80"/>
  <c r="BG508" i="80" s="1"/>
  <c r="AS506" i="80"/>
  <c r="AT503" i="80"/>
  <c r="AS509" i="80"/>
  <c r="AT304" i="80"/>
  <c r="AU301" i="80"/>
  <c r="AK601" i="80"/>
  <c r="AK614" i="80"/>
  <c r="AK597" i="80" s="1"/>
  <c r="AK613" i="80"/>
  <c r="AJ263" i="80"/>
  <c r="AJ265" i="80" s="1"/>
  <c r="AJ156" i="80" s="1"/>
  <c r="AJ282" i="80"/>
  <c r="AL679" i="80"/>
  <c r="AK681" i="80"/>
  <c r="AK209" i="80"/>
  <c r="AK215" i="80" s="1"/>
  <c r="AQ185" i="80"/>
  <c r="AQ495" i="80"/>
  <c r="AQ496" i="80" s="1"/>
  <c r="BG427" i="80"/>
  <c r="BC431" i="80"/>
  <c r="AU542" i="80"/>
  <c r="AU541" i="80"/>
  <c r="BO709" i="80"/>
  <c r="AT432" i="80"/>
  <c r="AU429" i="80"/>
  <c r="AN564" i="80"/>
  <c r="AQ319" i="80"/>
  <c r="AQ321" i="80" s="1"/>
  <c r="AQ320" i="80"/>
  <c r="AR320" i="80" s="1"/>
  <c r="AN186" i="80"/>
  <c r="AN345" i="80"/>
  <c r="AN346" i="80"/>
  <c r="AT422" i="80"/>
  <c r="AT421" i="80"/>
  <c r="AS452" i="80"/>
  <c r="AS451" i="80"/>
  <c r="AP382" i="80"/>
  <c r="AP201" i="80" s="1"/>
  <c r="AP393" i="80"/>
  <c r="AQ390" i="80"/>
  <c r="BK849" i="80"/>
  <c r="AN676" i="80"/>
  <c r="AO674" i="80"/>
  <c r="AN208" i="80"/>
  <c r="BM472" i="80"/>
  <c r="BM184" i="80" s="1"/>
  <c r="BM471" i="80"/>
  <c r="AJ578" i="80"/>
  <c r="AJ549" i="80"/>
  <c r="AJ551" i="80" s="1"/>
  <c r="AJ158" i="80" s="1"/>
  <c r="AS330" i="80"/>
  <c r="AT327" i="80"/>
  <c r="AK205" i="80"/>
  <c r="AU403" i="80"/>
  <c r="AT406" i="80"/>
  <c r="AS494" i="80"/>
  <c r="AO295" i="80"/>
  <c r="AL640" i="80"/>
  <c r="AL196" i="80"/>
  <c r="AO360" i="80"/>
  <c r="AX652" i="80"/>
  <c r="AX651" i="80"/>
  <c r="AP689" i="80"/>
  <c r="AO691" i="80"/>
  <c r="AO211" i="80"/>
  <c r="AQ291" i="80"/>
  <c r="AR288" i="80"/>
  <c r="AR436" i="80"/>
  <c r="AP529" i="80"/>
  <c r="BG441" i="80"/>
  <c r="BC448" i="80"/>
  <c r="BL455" i="80"/>
  <c r="BL456" i="80" s="1"/>
  <c r="AQ511" i="80"/>
  <c r="AR511" i="80" s="1"/>
  <c r="AQ512" i="80"/>
  <c r="AQ436" i="80"/>
  <c r="BJ372" i="80"/>
  <c r="BJ371" i="80"/>
  <c r="BJ373" i="80" s="1"/>
  <c r="AS706" i="80"/>
  <c r="AT704" i="80"/>
  <c r="BG388" i="80"/>
  <c r="BC392" i="80"/>
  <c r="BG392" i="80" s="1"/>
  <c r="BD434" i="80"/>
  <c r="AN397" i="80"/>
  <c r="AN378" i="80"/>
  <c r="AS525" i="80"/>
  <c r="AT522" i="80"/>
  <c r="AL229" i="80"/>
  <c r="AL221" i="80" s="1"/>
  <c r="AI229" i="80"/>
  <c r="AI221" i="80" s="1"/>
  <c r="AK229" i="80"/>
  <c r="AK221" i="80" s="1"/>
  <c r="AJ229" i="80"/>
  <c r="AJ221" i="80" s="1"/>
  <c r="AS184" i="80"/>
  <c r="AS435" i="80"/>
  <c r="AS434" i="80"/>
  <c r="AL716" i="80"/>
  <c r="AM714" i="80"/>
  <c r="AL214" i="80"/>
  <c r="AS317" i="80"/>
  <c r="AT314" i="80"/>
  <c r="AU419" i="80"/>
  <c r="AV416" i="80"/>
  <c r="BH476" i="80"/>
  <c r="AO383" i="80"/>
  <c r="AO396" i="80"/>
  <c r="AO379" i="80" s="1"/>
  <c r="AO395" i="80"/>
  <c r="BN466" i="80"/>
  <c r="BO463" i="80"/>
  <c r="BN469" i="80"/>
  <c r="BM853" i="80"/>
  <c r="AS409" i="80"/>
  <c r="AS408" i="80"/>
  <c r="AM639" i="80"/>
  <c r="AM188" i="80"/>
  <c r="AM236" i="80" s="1"/>
  <c r="AM661" i="80"/>
  <c r="AP321" i="80"/>
  <c r="AR319" i="80"/>
  <c r="BO446" i="80"/>
  <c r="BP443" i="80"/>
  <c r="BO449" i="80"/>
  <c r="AS492" i="80"/>
  <c r="AS491" i="80"/>
  <c r="AL666" i="80"/>
  <c r="AL634" i="80"/>
  <c r="AL636" i="80" s="1"/>
  <c r="AL160" i="80" s="1"/>
  <c r="AM160" i="80" s="1"/>
  <c r="AM664" i="80"/>
  <c r="AN627" i="80"/>
  <c r="AN626" i="80"/>
  <c r="AR330" i="80"/>
  <c r="AP696" i="80"/>
  <c r="AQ694" i="80"/>
  <c r="AP212" i="80"/>
  <c r="AP586" i="80"/>
  <c r="AP588" i="80" s="1"/>
  <c r="AP590" i="80" s="1"/>
  <c r="AQ583" i="80"/>
  <c r="AP181" i="80"/>
  <c r="AP294" i="80"/>
  <c r="AP293" i="80"/>
  <c r="AP295" i="80" s="1"/>
  <c r="AN662" i="80"/>
  <c r="AO659" i="80"/>
  <c r="AN638" i="80"/>
  <c r="AN204" i="80" s="1"/>
  <c r="AP496" i="80"/>
  <c r="AM608" i="80"/>
  <c r="AL611" i="80"/>
  <c r="AL600" i="80"/>
  <c r="AL203" i="80" s="1"/>
  <c r="AJ189" i="80"/>
  <c r="AR512" i="80"/>
  <c r="S23" i="71"/>
  <c r="BL366" i="80"/>
  <c r="BM366" i="80" s="1"/>
  <c r="BK369" i="80"/>
  <c r="BM455" i="80"/>
  <c r="BM456" i="80" s="1"/>
  <c r="AM628" i="80"/>
  <c r="BG414" i="80"/>
  <c r="BC418" i="80"/>
  <c r="BG418" i="80" s="1"/>
  <c r="BD435" i="80"/>
  <c r="AN379" i="80"/>
  <c r="AQ528" i="80"/>
  <c r="AR528" i="80" s="1"/>
  <c r="AQ527" i="80"/>
  <c r="BE184" i="80"/>
  <c r="AL574" i="80"/>
  <c r="AM571" i="80"/>
  <c r="AL553" i="80"/>
  <c r="AL202" i="80" s="1"/>
  <c r="AM716" i="80"/>
  <c r="AO337" i="80"/>
  <c r="AO345" i="80" s="1"/>
  <c r="AP340" i="80"/>
  <c r="AO343" i="80"/>
  <c r="AT446" i="80"/>
  <c r="AU443" i="80"/>
  <c r="AT449" i="80"/>
  <c r="BL476" i="80"/>
  <c r="AL628" i="80"/>
  <c r="AM208" i="80"/>
  <c r="AJ596" i="80"/>
  <c r="AJ598" i="80" s="1"/>
  <c r="AJ159" i="80" s="1"/>
  <c r="AJ615" i="80"/>
  <c r="BM474" i="80"/>
  <c r="AQ686" i="80"/>
  <c r="AR686" i="80" s="1"/>
  <c r="AR684" i="80"/>
  <c r="AS684" i="80" s="1"/>
  <c r="AQ210" i="80"/>
  <c r="AR210" i="80" s="1"/>
  <c r="AL267" i="80"/>
  <c r="AL200" i="80" s="1"/>
  <c r="AL278" i="80"/>
  <c r="AM278" i="80" s="1"/>
  <c r="AM275" i="80"/>
  <c r="AP709" i="80"/>
  <c r="AO711" i="80"/>
  <c r="AR371" i="80"/>
  <c r="AR373" i="80" s="1"/>
  <c r="AL347" i="80"/>
  <c r="BN452" i="80"/>
  <c r="BN451" i="80"/>
  <c r="AT489" i="80"/>
  <c r="AT486" i="80"/>
  <c r="AU483" i="80"/>
  <c r="AQ455" i="80"/>
  <c r="AR455" i="80" s="1"/>
  <c r="AR452" i="80"/>
  <c r="AR184" i="80" s="1"/>
  <c r="AR232" i="80" s="1"/>
  <c r="AR492" i="80"/>
  <c r="AR185" i="80" s="1"/>
  <c r="AR234" i="80" s="1"/>
  <c r="AZ646" i="80"/>
  <c r="AY649" i="80"/>
  <c r="BI710" i="80"/>
  <c r="BH711" i="80"/>
  <c r="BP432" i="80"/>
  <c r="BQ429" i="80"/>
  <c r="AO701" i="80"/>
  <c r="AP699" i="80"/>
  <c r="AO213" i="80"/>
  <c r="AR353" i="80"/>
  <c r="AS353" i="80" s="1"/>
  <c r="AQ356" i="80"/>
  <c r="BG461" i="80"/>
  <c r="BC468" i="80"/>
  <c r="AT543" i="80"/>
  <c r="AQ514" i="80"/>
  <c r="AS307" i="80"/>
  <c r="AS306" i="80"/>
  <c r="AQ184" i="80"/>
  <c r="AJ269" i="80"/>
  <c r="AJ192" i="80"/>
  <c r="AJ197" i="80" s="1"/>
  <c r="BO23" i="46"/>
  <c r="BQ51" i="71"/>
  <c r="BP266" i="46"/>
  <c r="EH50" i="71"/>
  <c r="EH51" i="71" s="1"/>
  <c r="BP169" i="46"/>
  <c r="BL215" i="46"/>
  <c r="BK235" i="46"/>
  <c r="AH38" i="71"/>
  <c r="AH60" i="71"/>
  <c r="BB163" i="46"/>
  <c r="DT55" i="71" s="1"/>
  <c r="AX169" i="46"/>
  <c r="BB169" i="46" s="1"/>
  <c r="DP55" i="71"/>
  <c r="BC169" i="46"/>
  <c r="BG169" i="46" s="1"/>
  <c r="BG163" i="46"/>
  <c r="DY55" i="71" s="1"/>
  <c r="DU55" i="71"/>
  <c r="AC17" i="71"/>
  <c r="AC86" i="46"/>
  <c r="AH82" i="46"/>
  <c r="AH111" i="73"/>
  <c r="AH114" i="73" s="1"/>
  <c r="BM169" i="46"/>
  <c r="BQ163" i="46"/>
  <c r="EI55" i="71" s="1"/>
  <c r="EE55" i="71"/>
  <c r="S66" i="71"/>
  <c r="S47" i="71"/>
  <c r="S13" i="71"/>
  <c r="S22" i="71" s="1"/>
  <c r="S64" i="71"/>
  <c r="S59" i="71"/>
  <c r="BH23" i="46"/>
  <c r="BL23" i="46" s="1"/>
  <c r="AR82" i="46"/>
  <c r="AR111" i="73"/>
  <c r="EB15" i="71"/>
  <c r="BN266" i="46"/>
  <c r="EF50" i="71"/>
  <c r="EF51" i="71" s="1"/>
  <c r="BQ167" i="46"/>
  <c r="AH39" i="71"/>
  <c r="I47" i="71"/>
  <c r="I13" i="71"/>
  <c r="I22" i="71" s="1"/>
  <c r="X9" i="73"/>
  <c r="X10" i="73" s="1"/>
  <c r="X18" i="71"/>
  <c r="X23" i="71" s="1"/>
  <c r="BQ64" i="46"/>
  <c r="BQ45" i="71"/>
  <c r="BL207" i="46"/>
  <c r="AX231" i="46"/>
  <c r="AY205" i="46"/>
  <c r="AR38" i="71"/>
  <c r="AR60" i="71"/>
  <c r="BI194" i="46"/>
  <c r="BJ190" i="46"/>
  <c r="N17" i="71"/>
  <c r="N86" i="46"/>
  <c r="N18" i="71" s="1"/>
  <c r="BH169" i="46"/>
  <c r="BL169" i="46" s="1"/>
  <c r="BL163" i="46"/>
  <c r="ED55" i="71" s="1"/>
  <c r="DZ55" i="71"/>
  <c r="BO66" i="46"/>
  <c r="BQ66" i="46" s="1"/>
  <c r="BO50" i="46"/>
  <c r="BO167" i="46"/>
  <c r="BP66" i="46"/>
  <c r="BJ216" i="46"/>
  <c r="AM17" i="71"/>
  <c r="AM86" i="46"/>
  <c r="CJ78" i="73"/>
  <c r="BG34" i="71"/>
  <c r="BI232" i="80" l="1"/>
  <c r="BI223" i="80" s="1"/>
  <c r="BH232" i="80"/>
  <c r="BH223" i="80" s="1"/>
  <c r="BJ232" i="80"/>
  <c r="BJ223" i="80" s="1"/>
  <c r="BN136" i="77"/>
  <c r="BG96" i="77"/>
  <c r="BM96" i="77"/>
  <c r="BO436" i="80"/>
  <c r="AT494" i="80"/>
  <c r="BD184" i="80"/>
  <c r="BD456" i="80"/>
  <c r="BJ43" i="99"/>
  <c r="BJ37" i="98"/>
  <c r="BO41" i="77"/>
  <c r="BJ37" i="100"/>
  <c r="BO40" i="79"/>
  <c r="BO40" i="51"/>
  <c r="BO43" i="78"/>
  <c r="BO40" i="80"/>
  <c r="BO801" i="80" s="1"/>
  <c r="BP50" i="46"/>
  <c r="AT454" i="80"/>
  <c r="BN474" i="80"/>
  <c r="AT423" i="80"/>
  <c r="AR332" i="80"/>
  <c r="BD476" i="80"/>
  <c r="BF211" i="100"/>
  <c r="BE190" i="100"/>
  <c r="BG100" i="100"/>
  <c r="AS23" i="100"/>
  <c r="AX26" i="46"/>
  <c r="BF175" i="100"/>
  <c r="AY112" i="100"/>
  <c r="BH120" i="100"/>
  <c r="BH19" i="100" s="1"/>
  <c r="BK120" i="100"/>
  <c r="BK19" i="100" s="1"/>
  <c r="BJ120" i="100"/>
  <c r="BJ19" i="100" s="1"/>
  <c r="BI120" i="100"/>
  <c r="BI19" i="100" s="1"/>
  <c r="BJ198" i="100"/>
  <c r="AT246" i="100"/>
  <c r="AT249" i="100" s="1"/>
  <c r="AU244" i="100" s="1"/>
  <c r="AT108" i="100"/>
  <c r="AS176" i="100"/>
  <c r="BI136" i="99"/>
  <c r="BJ137" i="99"/>
  <c r="BC27" i="99"/>
  <c r="BH30" i="46" s="1"/>
  <c r="BG25" i="99"/>
  <c r="BG27" i="99" s="1"/>
  <c r="BB87" i="99"/>
  <c r="AX85" i="99"/>
  <c r="AY19" i="99"/>
  <c r="AD294" i="99"/>
  <c r="AC64" i="99"/>
  <c r="AH84" i="73" s="1"/>
  <c r="BA89" i="99"/>
  <c r="BA70" i="99" s="1"/>
  <c r="AS263" i="99"/>
  <c r="AS259" i="99"/>
  <c r="AS46" i="99"/>
  <c r="AY134" i="99"/>
  <c r="AZ142" i="99" s="1"/>
  <c r="AZ140" i="99" s="1"/>
  <c r="AZ19" i="99" s="1"/>
  <c r="BH231" i="99"/>
  <c r="BH144" i="99"/>
  <c r="AY89" i="99"/>
  <c r="AY70" i="99" s="1"/>
  <c r="BF208" i="99"/>
  <c r="AV244" i="99"/>
  <c r="AU224" i="99"/>
  <c r="BF132" i="99"/>
  <c r="AZ89" i="99"/>
  <c r="AZ70" i="99" s="1"/>
  <c r="AS233" i="99"/>
  <c r="AX209" i="99"/>
  <c r="AS131" i="98"/>
  <c r="AR236" i="98"/>
  <c r="BC24" i="46"/>
  <c r="AX23" i="98"/>
  <c r="BH199" i="98"/>
  <c r="BI111" i="98"/>
  <c r="AU212" i="98"/>
  <c r="AT193" i="98"/>
  <c r="AZ247" i="98"/>
  <c r="AZ144" i="98"/>
  <c r="AZ15" i="98"/>
  <c r="AZ17" i="98" s="1"/>
  <c r="AY247" i="98"/>
  <c r="AY144" i="98"/>
  <c r="AY15" i="98"/>
  <c r="AY17" i="98" s="1"/>
  <c r="BH191" i="98"/>
  <c r="BE99" i="98"/>
  <c r="AZ100" i="98"/>
  <c r="BB10" i="98"/>
  <c r="BD176" i="98"/>
  <c r="BK104" i="98"/>
  <c r="BK103" i="98" s="1"/>
  <c r="BL103" i="98" s="1"/>
  <c r="BJ103" i="98"/>
  <c r="BL93" i="77"/>
  <c r="BL95" i="77"/>
  <c r="BL96" i="77" s="1"/>
  <c r="AW34" i="71"/>
  <c r="AW35" i="71" s="1"/>
  <c r="BN223" i="77"/>
  <c r="BL219" i="77"/>
  <c r="BF10" i="77"/>
  <c r="BG10" i="77" s="1"/>
  <c r="BG11" i="77" s="1"/>
  <c r="BF135" i="77"/>
  <c r="BF136" i="77" s="1"/>
  <c r="BG132" i="77"/>
  <c r="BK160" i="77"/>
  <c r="AO250" i="77"/>
  <c r="AO247" i="77"/>
  <c r="AL45" i="77"/>
  <c r="AL81" i="46"/>
  <c r="AV237" i="77"/>
  <c r="BB133" i="77"/>
  <c r="BB135" i="77"/>
  <c r="BB136" i="77" s="1"/>
  <c r="AR114" i="73"/>
  <c r="AV45" i="77"/>
  <c r="AV81" i="46"/>
  <c r="AV68" i="46" s="1"/>
  <c r="AY25" i="77"/>
  <c r="BP9" i="77"/>
  <c r="BP95" i="77"/>
  <c r="AQ247" i="77"/>
  <c r="AQ250" i="77"/>
  <c r="AS250" i="77"/>
  <c r="AS247" i="77"/>
  <c r="AT241" i="77"/>
  <c r="AJ68" i="46"/>
  <c r="AJ86" i="46"/>
  <c r="BM11" i="77"/>
  <c r="AV82" i="46"/>
  <c r="AV86" i="46" s="1"/>
  <c r="AT45" i="77"/>
  <c r="AT81" i="46"/>
  <c r="BP171" i="77"/>
  <c r="BP20" i="77" s="1"/>
  <c r="BQ154" i="77"/>
  <c r="BQ161" i="77" s="1"/>
  <c r="BK9" i="77"/>
  <c r="BK95" i="77"/>
  <c r="BK96" i="77" s="1"/>
  <c r="AG68" i="46"/>
  <c r="AG86" i="46"/>
  <c r="BC152" i="77"/>
  <c r="BD158" i="77" s="1"/>
  <c r="BD151" i="77" s="1"/>
  <c r="AN250" i="77"/>
  <c r="AN247" i="77"/>
  <c r="AP250" i="77"/>
  <c r="AP247" i="77"/>
  <c r="AT237" i="77"/>
  <c r="AV241" i="77"/>
  <c r="AX238" i="77"/>
  <c r="AX251" i="77" s="1"/>
  <c r="AY238" i="77"/>
  <c r="AZ238" i="77"/>
  <c r="AX25" i="77"/>
  <c r="AX29" i="77"/>
  <c r="AW241" i="77"/>
  <c r="AW237" i="77"/>
  <c r="AW44" i="77"/>
  <c r="BQ92" i="77"/>
  <c r="BO20" i="77"/>
  <c r="BK132" i="77"/>
  <c r="BP133" i="77"/>
  <c r="BP132" i="77" s="1"/>
  <c r="BK150" i="77"/>
  <c r="BC190" i="77"/>
  <c r="BC16" i="77"/>
  <c r="BC18" i="77" s="1"/>
  <c r="AQ45" i="77"/>
  <c r="AQ81" i="46"/>
  <c r="AS45" i="77"/>
  <c r="AS81" i="46"/>
  <c r="AU237" i="77"/>
  <c r="AU241" i="77"/>
  <c r="BM136" i="77"/>
  <c r="BL9" i="77"/>
  <c r="BH11" i="77"/>
  <c r="BQ156" i="78"/>
  <c r="BQ163" i="78" s="1"/>
  <c r="BL221" i="78"/>
  <c r="BL152" i="78"/>
  <c r="BC26" i="78"/>
  <c r="BC21" i="46"/>
  <c r="BD154" i="78"/>
  <c r="BE160" i="78" s="1"/>
  <c r="BM225" i="78"/>
  <c r="BJ195" i="78"/>
  <c r="BJ24" i="78"/>
  <c r="BD193" i="78"/>
  <c r="BD16" i="78"/>
  <c r="BD20" i="78" s="1"/>
  <c r="BM175" i="78"/>
  <c r="BK174" i="78"/>
  <c r="BM162" i="78"/>
  <c r="BL193" i="79"/>
  <c r="BC133" i="79"/>
  <c r="BB135" i="79"/>
  <c r="BN197" i="79"/>
  <c r="BA24" i="79"/>
  <c r="BA210" i="79" s="1"/>
  <c r="BA209" i="79"/>
  <c r="BB210" i="79"/>
  <c r="BB28" i="71"/>
  <c r="BH153" i="46"/>
  <c r="BJ166" i="79"/>
  <c r="BJ21" i="79"/>
  <c r="BJ117" i="46"/>
  <c r="BJ153" i="46" s="1"/>
  <c r="BJ30" i="46"/>
  <c r="BQ129" i="79"/>
  <c r="BQ136" i="79" s="1"/>
  <c r="BK135" i="79"/>
  <c r="BL125" i="79"/>
  <c r="BM146" i="79"/>
  <c r="BK145" i="79"/>
  <c r="AN232" i="80"/>
  <c r="AN223" i="80" s="1"/>
  <c r="AO232" i="80"/>
  <c r="AO223" i="80" s="1"/>
  <c r="AQ232" i="80"/>
  <c r="AQ223" i="80" s="1"/>
  <c r="AP232" i="80"/>
  <c r="AP223" i="80" s="1"/>
  <c r="AM268" i="80"/>
  <c r="AM277" i="80"/>
  <c r="BG468" i="80"/>
  <c r="BC469" i="80"/>
  <c r="AQ359" i="80"/>
  <c r="AR359" i="80" s="1"/>
  <c r="AQ358" i="80"/>
  <c r="AQ360" i="80" s="1"/>
  <c r="AR356" i="80"/>
  <c r="AR355" i="80" s="1"/>
  <c r="BJ710" i="80"/>
  <c r="BI711" i="80"/>
  <c r="AN234" i="80"/>
  <c r="AN224" i="80" s="1"/>
  <c r="AO234" i="80"/>
  <c r="AO224" i="80" s="1"/>
  <c r="AQ234" i="80"/>
  <c r="AQ224" i="80" s="1"/>
  <c r="AP234" i="80"/>
  <c r="AP224" i="80" s="1"/>
  <c r="AU486" i="80"/>
  <c r="AV483" i="80"/>
  <c r="AU489" i="80"/>
  <c r="BN455" i="80"/>
  <c r="BN456" i="80" s="1"/>
  <c r="AQ709" i="80"/>
  <c r="AP711" i="80"/>
  <c r="AU446" i="80"/>
  <c r="AV443" i="80"/>
  <c r="AU449" i="80"/>
  <c r="AQ340" i="80"/>
  <c r="AP343" i="80"/>
  <c r="AP337" i="80"/>
  <c r="AP345" i="80" s="1"/>
  <c r="AN571" i="80"/>
  <c r="AM553" i="80"/>
  <c r="AM202" i="80" s="1"/>
  <c r="BM369" i="80"/>
  <c r="BN366" i="80"/>
  <c r="AQ586" i="80"/>
  <c r="AQ588" i="80" s="1"/>
  <c r="AQ590" i="80" s="1"/>
  <c r="AR583" i="80"/>
  <c r="AS583" i="80" s="1"/>
  <c r="AQ696" i="80"/>
  <c r="AR694" i="80"/>
  <c r="AS694" i="80" s="1"/>
  <c r="AQ212" i="80"/>
  <c r="AR212" i="80" s="1"/>
  <c r="AN628" i="80"/>
  <c r="BO454" i="80"/>
  <c r="AJ236" i="80"/>
  <c r="AK236" i="80"/>
  <c r="AL236" i="80"/>
  <c r="AI236" i="80"/>
  <c r="BO469" i="80"/>
  <c r="BP463" i="80"/>
  <c r="BO466" i="80"/>
  <c r="AO384" i="80"/>
  <c r="AO193" i="80"/>
  <c r="AS436" i="80"/>
  <c r="AT706" i="80"/>
  <c r="AU704" i="80"/>
  <c r="AQ181" i="80"/>
  <c r="AQ294" i="80"/>
  <c r="AQ293" i="80"/>
  <c r="AQ295" i="80" s="1"/>
  <c r="AR291" i="80"/>
  <c r="AP691" i="80"/>
  <c r="AQ689" i="80"/>
  <c r="AP211" i="80"/>
  <c r="AU327" i="80"/>
  <c r="AT330" i="80"/>
  <c r="BP709" i="80"/>
  <c r="BG431" i="80"/>
  <c r="BC432" i="80"/>
  <c r="AU304" i="80"/>
  <c r="AV301" i="80"/>
  <c r="AS514" i="80"/>
  <c r="AR334" i="80"/>
  <c r="AK269" i="80"/>
  <c r="AK192" i="80"/>
  <c r="AO564" i="80"/>
  <c r="AK555" i="80"/>
  <c r="AK194" i="80"/>
  <c r="AK187" i="80"/>
  <c r="AS356" i="80"/>
  <c r="AT353" i="80"/>
  <c r="AN275" i="80"/>
  <c r="AM267" i="80"/>
  <c r="AM200" i="80" s="1"/>
  <c r="AT684" i="80"/>
  <c r="AS686" i="80"/>
  <c r="AS210" i="80"/>
  <c r="AL576" i="80"/>
  <c r="AL554" i="80"/>
  <c r="AL601" i="80"/>
  <c r="AL614" i="80"/>
  <c r="AL597" i="80" s="1"/>
  <c r="AL613" i="80"/>
  <c r="AM613" i="80" s="1"/>
  <c r="AR294" i="80"/>
  <c r="AR696" i="80"/>
  <c r="AS185" i="80"/>
  <c r="AS495" i="80"/>
  <c r="AR321" i="80"/>
  <c r="AM640" i="80"/>
  <c r="AM196" i="80"/>
  <c r="BN853" i="80"/>
  <c r="AT525" i="80"/>
  <c r="AU522" i="80"/>
  <c r="AX653" i="80"/>
  <c r="AT409" i="80"/>
  <c r="AT408" i="80"/>
  <c r="AO676" i="80"/>
  <c r="AR676" i="80" s="1"/>
  <c r="AO208" i="80"/>
  <c r="AQ382" i="80"/>
  <c r="AQ201" i="80" s="1"/>
  <c r="AQ393" i="80"/>
  <c r="AR393" i="80" s="1"/>
  <c r="AR383" i="80" s="1"/>
  <c r="AR390" i="80"/>
  <c r="AM611" i="80"/>
  <c r="AM182" i="80" s="1"/>
  <c r="AK615" i="80"/>
  <c r="AK596" i="80"/>
  <c r="AK598" i="80" s="1"/>
  <c r="AK159" i="80" s="1"/>
  <c r="AT307" i="80"/>
  <c r="AT306" i="80"/>
  <c r="AT308" i="80" s="1"/>
  <c r="AK282" i="80"/>
  <c r="AK263" i="80"/>
  <c r="AR456" i="80"/>
  <c r="AH163" i="80"/>
  <c r="AD164" i="80"/>
  <c r="AP562" i="80"/>
  <c r="AQ559" i="80"/>
  <c r="AK578" i="80"/>
  <c r="AK549" i="80"/>
  <c r="AK551" i="80" s="1"/>
  <c r="AK158" i="80" s="1"/>
  <c r="AM576" i="80"/>
  <c r="AV542" i="80"/>
  <c r="AW542" i="80" s="1"/>
  <c r="AV541" i="80"/>
  <c r="AR514" i="80"/>
  <c r="BP435" i="80"/>
  <c r="BQ435" i="80" s="1"/>
  <c r="BP434" i="80"/>
  <c r="BQ434" i="80" s="1"/>
  <c r="BQ432" i="80"/>
  <c r="AY652" i="80"/>
  <c r="AY651" i="80"/>
  <c r="AT492" i="80"/>
  <c r="AT491" i="80"/>
  <c r="AL268" i="80"/>
  <c r="AL182" i="80"/>
  <c r="AL281" i="80"/>
  <c r="AL264" i="80" s="1"/>
  <c r="AL280" i="80"/>
  <c r="AM280" i="80" s="1"/>
  <c r="AM600" i="80"/>
  <c r="AM203" i="80" s="1"/>
  <c r="AN608" i="80"/>
  <c r="AP659" i="80"/>
  <c r="AO662" i="80"/>
  <c r="AO638" i="80"/>
  <c r="AO204" i="80" s="1"/>
  <c r="BO452" i="80"/>
  <c r="BO451" i="80"/>
  <c r="AS410" i="80"/>
  <c r="AO397" i="80"/>
  <c r="AO378" i="80"/>
  <c r="AO380" i="80" s="1"/>
  <c r="AO157" i="80" s="1"/>
  <c r="AV419" i="80"/>
  <c r="AW416" i="80"/>
  <c r="AX416" i="80" s="1"/>
  <c r="AU314" i="80"/>
  <c r="AT317" i="80"/>
  <c r="AN714" i="80"/>
  <c r="AM214" i="80"/>
  <c r="AM221" i="80"/>
  <c r="AS528" i="80"/>
  <c r="AS527" i="80"/>
  <c r="BG448" i="80"/>
  <c r="BC449" i="80"/>
  <c r="AS496" i="80"/>
  <c r="AU406" i="80"/>
  <c r="AV403" i="80"/>
  <c r="AS183" i="80"/>
  <c r="AS332" i="80"/>
  <c r="AS333" i="80"/>
  <c r="AP383" i="80"/>
  <c r="AP396" i="80"/>
  <c r="AP395" i="80"/>
  <c r="AS455" i="80"/>
  <c r="AN347" i="80"/>
  <c r="AU432" i="80"/>
  <c r="AV429" i="80"/>
  <c r="AU543" i="80"/>
  <c r="AK723" i="80"/>
  <c r="AK161" i="80" s="1"/>
  <c r="AM574" i="80"/>
  <c r="AS512" i="80"/>
  <c r="AS511" i="80"/>
  <c r="AO627" i="80"/>
  <c r="AO626" i="80"/>
  <c r="AO628" i="80" s="1"/>
  <c r="AK264" i="80"/>
  <c r="AM281" i="80"/>
  <c r="AM264" i="80" s="1"/>
  <c r="BX86" i="73"/>
  <c r="BX88" i="73" s="1"/>
  <c r="AQ456" i="80"/>
  <c r="AN590" i="80"/>
  <c r="AR588" i="80"/>
  <c r="AR590" i="80" s="1"/>
  <c r="AS308" i="80"/>
  <c r="AP701" i="80"/>
  <c r="AQ699" i="80"/>
  <c r="AP213" i="80"/>
  <c r="AZ649" i="80"/>
  <c r="BA646" i="80"/>
  <c r="AL205" i="80"/>
  <c r="AT452" i="80"/>
  <c r="AT455" i="80" s="1"/>
  <c r="AT456" i="80" s="1"/>
  <c r="AT451" i="80"/>
  <c r="AO186" i="80"/>
  <c r="AO346" i="80"/>
  <c r="AO347" i="80" s="1"/>
  <c r="AQ529" i="80"/>
  <c r="AR527" i="80"/>
  <c r="AR529" i="80" s="1"/>
  <c r="BK372" i="80"/>
  <c r="BL372" i="80" s="1"/>
  <c r="BK371" i="80"/>
  <c r="BL371" i="80" s="1"/>
  <c r="BL373" i="80" s="1"/>
  <c r="AN665" i="80"/>
  <c r="AN664" i="80"/>
  <c r="AN639" i="80"/>
  <c r="AN188" i="80"/>
  <c r="AR183" i="80"/>
  <c r="AR231" i="80" s="1"/>
  <c r="AR329" i="80"/>
  <c r="AM666" i="80"/>
  <c r="AM634" i="80"/>
  <c r="AM636" i="80" s="1"/>
  <c r="BQ443" i="80"/>
  <c r="BP449" i="80"/>
  <c r="BQ449" i="80" s="1"/>
  <c r="BP446" i="80"/>
  <c r="BN471" i="80"/>
  <c r="BN472" i="80"/>
  <c r="BN475" i="80" s="1"/>
  <c r="AU422" i="80"/>
  <c r="AU421" i="80"/>
  <c r="AS319" i="80"/>
  <c r="AS320" i="80"/>
  <c r="AN380" i="80"/>
  <c r="AN157" i="80" s="1"/>
  <c r="BD436" i="80"/>
  <c r="BL369" i="80"/>
  <c r="BL368" i="80" s="1"/>
  <c r="AQ515" i="80"/>
  <c r="AR515" i="80" s="1"/>
  <c r="AS288" i="80"/>
  <c r="AR674" i="80"/>
  <c r="BM475" i="80"/>
  <c r="BM476" i="80" s="1"/>
  <c r="BL849" i="80"/>
  <c r="AN566" i="80"/>
  <c r="AT434" i="80"/>
  <c r="AT435" i="80"/>
  <c r="AM679" i="80"/>
  <c r="AN679" i="80" s="1"/>
  <c r="AL681" i="80"/>
  <c r="AL723" i="80" s="1"/>
  <c r="AL161" i="80" s="1"/>
  <c r="AL209" i="80"/>
  <c r="AK602" i="80"/>
  <c r="AK195" i="80"/>
  <c r="AU503" i="80"/>
  <c r="AT509" i="80"/>
  <c r="AT506" i="80"/>
  <c r="AP360" i="80"/>
  <c r="AR358" i="80"/>
  <c r="AR495" i="80"/>
  <c r="AR496" i="80" s="1"/>
  <c r="AP624" i="80"/>
  <c r="AQ621" i="80"/>
  <c r="AK189" i="80"/>
  <c r="AS456" i="80"/>
  <c r="AR586" i="80"/>
  <c r="AR585" i="80" s="1"/>
  <c r="AS585" i="80" s="1"/>
  <c r="AT585" i="80" s="1"/>
  <c r="AU585" i="80" s="1"/>
  <c r="AV585" i="80" s="1"/>
  <c r="BM23" i="46"/>
  <c r="DP12" i="71"/>
  <c r="BQ48" i="71"/>
  <c r="BQ46" i="71"/>
  <c r="AM9" i="73"/>
  <c r="AM10" i="73" s="1"/>
  <c r="AM18" i="71"/>
  <c r="N64" i="71"/>
  <c r="N66" i="71"/>
  <c r="N13" i="71"/>
  <c r="N22" i="71" s="1"/>
  <c r="N47" i="71"/>
  <c r="N59" i="71"/>
  <c r="X47" i="71"/>
  <c r="X64" i="71"/>
  <c r="X22" i="71"/>
  <c r="X66" i="71"/>
  <c r="X59" i="71"/>
  <c r="BQ144" i="46"/>
  <c r="EI50" i="71"/>
  <c r="AR17" i="71"/>
  <c r="AR86" i="46"/>
  <c r="BP23" i="46"/>
  <c r="N23" i="71"/>
  <c r="EC15" i="71"/>
  <c r="BK216" i="46"/>
  <c r="BO266" i="46"/>
  <c r="BQ266" i="46" s="1"/>
  <c r="EG50" i="71"/>
  <c r="EG51" i="71" s="1"/>
  <c r="BO169" i="46"/>
  <c r="BQ169" i="46" s="1"/>
  <c r="BJ194" i="46"/>
  <c r="BK190" i="46"/>
  <c r="AY231" i="46"/>
  <c r="AZ205" i="46"/>
  <c r="BM207" i="46"/>
  <c r="AH17" i="71"/>
  <c r="AH86" i="46"/>
  <c r="AC9" i="73"/>
  <c r="AC10" i="73" s="1"/>
  <c r="AC18" i="71"/>
  <c r="AC23" i="71" s="1"/>
  <c r="BM215" i="46"/>
  <c r="BL235" i="46"/>
  <c r="CJ79" i="73"/>
  <c r="EF54" i="71"/>
  <c r="EA54" i="71"/>
  <c r="DV54" i="71"/>
  <c r="DQ54" i="71"/>
  <c r="EH54" i="71"/>
  <c r="EC54" i="71"/>
  <c r="DX54" i="71"/>
  <c r="DS54" i="71"/>
  <c r="EG54" i="71"/>
  <c r="EB54" i="71"/>
  <c r="DW54" i="71"/>
  <c r="DR54" i="71"/>
  <c r="BL34" i="71"/>
  <c r="BQ34" i="71"/>
  <c r="AR20" i="73"/>
  <c r="AW20" i="73"/>
  <c r="BB126" i="73" s="1"/>
  <c r="BB20" i="73"/>
  <c r="AH20" i="73"/>
  <c r="BG20" i="73"/>
  <c r="AM20" i="73"/>
  <c r="BL223" i="80" l="1"/>
  <c r="AM614" i="80"/>
  <c r="AM597" i="80" s="1"/>
  <c r="BN476" i="80"/>
  <c r="BF11" i="77"/>
  <c r="BP96" i="77"/>
  <c r="BP41" i="77"/>
  <c r="BK37" i="100"/>
  <c r="BP40" i="79"/>
  <c r="BP40" i="51"/>
  <c r="BP43" i="78"/>
  <c r="BP40" i="80"/>
  <c r="BP801" i="80" s="1"/>
  <c r="BQ801" i="80" s="1"/>
  <c r="BK43" i="99"/>
  <c r="BK37" i="98"/>
  <c r="BQ50" i="46"/>
  <c r="AW102" i="46"/>
  <c r="BQ171" i="77"/>
  <c r="BQ172" i="77" s="1"/>
  <c r="AT184" i="80"/>
  <c r="AU423" i="80"/>
  <c r="BP454" i="80"/>
  <c r="AV543" i="80"/>
  <c r="AR293" i="80"/>
  <c r="AR295" i="80" s="1"/>
  <c r="AR167" i="80" s="1"/>
  <c r="BH144" i="100"/>
  <c r="BL19" i="100"/>
  <c r="BL21" i="100" s="1"/>
  <c r="BH21" i="100"/>
  <c r="AT13" i="100"/>
  <c r="AT101" i="100"/>
  <c r="BI144" i="100"/>
  <c r="BI21" i="100"/>
  <c r="BJ144" i="100"/>
  <c r="BJ21" i="100"/>
  <c r="AZ112" i="100"/>
  <c r="AS227" i="100"/>
  <c r="AS240" i="100" s="1"/>
  <c r="AS24" i="100"/>
  <c r="AS28" i="100"/>
  <c r="BF190" i="100"/>
  <c r="BG211" i="100"/>
  <c r="AS177" i="100"/>
  <c r="BK198" i="100"/>
  <c r="BK144" i="100"/>
  <c r="BK21" i="100"/>
  <c r="BG175" i="100"/>
  <c r="BH100" i="100"/>
  <c r="AZ279" i="99"/>
  <c r="AZ174" i="99"/>
  <c r="AZ21" i="99"/>
  <c r="AS272" i="99"/>
  <c r="BA82" i="99"/>
  <c r="BA83" i="99" s="1"/>
  <c r="BA8" i="99"/>
  <c r="AY279" i="99"/>
  <c r="AY174" i="99"/>
  <c r="AY21" i="99"/>
  <c r="AS234" i="99"/>
  <c r="BG132" i="99"/>
  <c r="BG208" i="99"/>
  <c r="AZ133" i="99"/>
  <c r="AX89" i="99"/>
  <c r="AX70" i="99" s="1"/>
  <c r="AY209" i="99"/>
  <c r="AX210" i="99"/>
  <c r="AZ82" i="99"/>
  <c r="AZ83" i="99" s="1"/>
  <c r="AZ8" i="99"/>
  <c r="AZ10" i="99" s="1"/>
  <c r="BI144" i="99"/>
  <c r="AE294" i="99"/>
  <c r="AD64" i="99"/>
  <c r="BJ136" i="99"/>
  <c r="BK137" i="99"/>
  <c r="BK136" i="99" s="1"/>
  <c r="BL136" i="99" s="1"/>
  <c r="AW244" i="99"/>
  <c r="AV224" i="99"/>
  <c r="AW224" i="99" s="1"/>
  <c r="AY82" i="99"/>
  <c r="AY83" i="99" s="1"/>
  <c r="AY8" i="99"/>
  <c r="AY10" i="99" s="1"/>
  <c r="BI231" i="99"/>
  <c r="BE176" i="98"/>
  <c r="AZ101" i="98"/>
  <c r="BA109" i="98" s="1"/>
  <c r="BA107" i="98" s="1"/>
  <c r="BJ111" i="98"/>
  <c r="AX228" i="98"/>
  <c r="AX24" i="98"/>
  <c r="BF99" i="98"/>
  <c r="AZ23" i="98"/>
  <c r="BE24" i="46"/>
  <c r="AY23" i="98"/>
  <c r="BD24" i="46"/>
  <c r="AV212" i="98"/>
  <c r="AU193" i="98"/>
  <c r="BI199" i="98"/>
  <c r="BL104" i="98"/>
  <c r="BL121" i="98"/>
  <c r="BI191" i="98"/>
  <c r="AY177" i="98"/>
  <c r="AS26" i="98"/>
  <c r="AQ68" i="46"/>
  <c r="AQ86" i="46"/>
  <c r="BK10" i="77"/>
  <c r="BL10" i="77" s="1"/>
  <c r="BL11" i="77" s="1"/>
  <c r="BK135" i="77"/>
  <c r="BK136" i="77" s="1"/>
  <c r="BL132" i="77"/>
  <c r="BQ93" i="77"/>
  <c r="BQ95" i="77"/>
  <c r="BQ96" i="77" s="1"/>
  <c r="AW250" i="77"/>
  <c r="AW247" i="77"/>
  <c r="BD152" i="77"/>
  <c r="BE158" i="77" s="1"/>
  <c r="BE151" i="77" s="1"/>
  <c r="BP192" i="77"/>
  <c r="BP22" i="77"/>
  <c r="AV250" i="77"/>
  <c r="AV247" i="77"/>
  <c r="BG133" i="77"/>
  <c r="BG135" i="77"/>
  <c r="BG136" i="77" s="1"/>
  <c r="BM219" i="77"/>
  <c r="AW39" i="71"/>
  <c r="AW60" i="71"/>
  <c r="AW38" i="71"/>
  <c r="AU247" i="77"/>
  <c r="AU250" i="77"/>
  <c r="BL150" i="77"/>
  <c r="AW274" i="77"/>
  <c r="AW65" i="77" s="1"/>
  <c r="AW273" i="77"/>
  <c r="AT250" i="77"/>
  <c r="AT247" i="77"/>
  <c r="AT68" i="46"/>
  <c r="AT86" i="46"/>
  <c r="AL68" i="46"/>
  <c r="AL86" i="46"/>
  <c r="AS68" i="46"/>
  <c r="AS86" i="46"/>
  <c r="BC24" i="77"/>
  <c r="BC22" i="46"/>
  <c r="AX31" i="77"/>
  <c r="BP11" i="77"/>
  <c r="BO223" i="77"/>
  <c r="BP10" i="77"/>
  <c r="BQ10" i="77" s="1"/>
  <c r="BP135" i="77"/>
  <c r="BQ132" i="77"/>
  <c r="BO192" i="77"/>
  <c r="BO22" i="77"/>
  <c r="BQ20" i="77"/>
  <c r="BQ22" i="77" s="1"/>
  <c r="AW45" i="77"/>
  <c r="AW81" i="46"/>
  <c r="AW68" i="46" s="1"/>
  <c r="AZ239" i="77"/>
  <c r="AX239" i="77"/>
  <c r="AY239" i="77"/>
  <c r="BD257" i="77"/>
  <c r="BD156" i="77"/>
  <c r="BD14" i="77" s="1"/>
  <c r="BQ9" i="77"/>
  <c r="BQ11" i="77" s="1"/>
  <c r="BM160" i="77"/>
  <c r="BD26" i="78"/>
  <c r="BD237" i="78" s="1"/>
  <c r="BD21" i="46"/>
  <c r="BN225" i="78"/>
  <c r="BM152" i="78"/>
  <c r="BC237" i="78"/>
  <c r="BC27" i="78"/>
  <c r="BM221" i="78"/>
  <c r="BK22" i="78"/>
  <c r="BL174" i="78"/>
  <c r="BL175" i="78" s="1"/>
  <c r="BE256" i="78"/>
  <c r="BE158" i="78"/>
  <c r="BE14" i="78" s="1"/>
  <c r="BN162" i="78"/>
  <c r="BN175" i="78"/>
  <c r="BM174" i="78"/>
  <c r="BE153" i="78"/>
  <c r="BN146" i="79"/>
  <c r="BM145" i="79"/>
  <c r="BC228" i="79"/>
  <c r="BC131" i="79"/>
  <c r="BC13" i="79" s="1"/>
  <c r="BC126" i="79"/>
  <c r="BM125" i="79"/>
  <c r="BO197" i="79"/>
  <c r="BM193" i="79"/>
  <c r="BK19" i="79"/>
  <c r="BL145" i="79"/>
  <c r="BL146" i="79" s="1"/>
  <c r="BM135" i="79"/>
  <c r="AM230" i="80"/>
  <c r="AT511" i="80"/>
  <c r="AT512" i="80"/>
  <c r="AM209" i="80"/>
  <c r="AM215" i="80" s="1"/>
  <c r="AL215" i="80"/>
  <c r="BM849" i="80"/>
  <c r="AN666" i="80"/>
  <c r="AN634" i="80"/>
  <c r="BA649" i="80"/>
  <c r="BB646" i="80"/>
  <c r="BQ436" i="80"/>
  <c r="AM573" i="80"/>
  <c r="AN573" i="80" s="1"/>
  <c r="AO573" i="80" s="1"/>
  <c r="AP573" i="80" s="1"/>
  <c r="AQ573" i="80" s="1"/>
  <c r="AM554" i="80"/>
  <c r="AP397" i="80"/>
  <c r="AP378" i="80"/>
  <c r="AT319" i="80"/>
  <c r="AT321" i="80" s="1"/>
  <c r="AT320" i="80"/>
  <c r="AT185" i="80"/>
  <c r="AT495" i="80"/>
  <c r="AT496" i="80" s="1"/>
  <c r="AR516" i="80"/>
  <c r="AR169" i="80" s="1"/>
  <c r="AM578" i="80"/>
  <c r="AM549" i="80"/>
  <c r="AM551" i="80" s="1"/>
  <c r="AP564" i="80"/>
  <c r="AM596" i="80"/>
  <c r="AM598" i="80" s="1"/>
  <c r="AM615" i="80"/>
  <c r="AM205" i="80"/>
  <c r="AW301" i="80"/>
  <c r="AX301" i="80" s="1"/>
  <c r="AV304" i="80"/>
  <c r="AT183" i="80"/>
  <c r="AT333" i="80"/>
  <c r="AT332" i="80"/>
  <c r="AT334" i="80" s="1"/>
  <c r="BO474" i="80"/>
  <c r="BQ454" i="80"/>
  <c r="AS696" i="80"/>
  <c r="AT694" i="80"/>
  <c r="AS212" i="80"/>
  <c r="BO366" i="80"/>
  <c r="BN369" i="80"/>
  <c r="AN574" i="80"/>
  <c r="AO571" i="80"/>
  <c r="AN553" i="80"/>
  <c r="AN202" i="80" s="1"/>
  <c r="AQ343" i="80"/>
  <c r="AR343" i="80" s="1"/>
  <c r="AR340" i="80"/>
  <c r="AQ337" i="80"/>
  <c r="AQ345" i="80" s="1"/>
  <c r="AU491" i="80"/>
  <c r="AU492" i="80"/>
  <c r="BK710" i="80"/>
  <c r="BJ711" i="80"/>
  <c r="BG469" i="80"/>
  <c r="BC471" i="80"/>
  <c r="BG471" i="80" s="1"/>
  <c r="BC472" i="80"/>
  <c r="BC474" i="80"/>
  <c r="AR223" i="80"/>
  <c r="AR360" i="80"/>
  <c r="AU509" i="80"/>
  <c r="AV503" i="80"/>
  <c r="AU506" i="80"/>
  <c r="AT436" i="80"/>
  <c r="AP231" i="80"/>
  <c r="AQ231" i="80"/>
  <c r="AO231" i="80"/>
  <c r="AN231" i="80"/>
  <c r="AN635" i="80"/>
  <c r="AZ652" i="80"/>
  <c r="AZ651" i="80"/>
  <c r="AQ701" i="80"/>
  <c r="AR701" i="80" s="1"/>
  <c r="AR699" i="80"/>
  <c r="AQ213" i="80"/>
  <c r="AM161" i="80"/>
  <c r="AM172" i="80" s="1"/>
  <c r="AV432" i="80"/>
  <c r="AW432" i="80" s="1"/>
  <c r="AW429" i="80"/>
  <c r="AP379" i="80"/>
  <c r="AV406" i="80"/>
  <c r="AW403" i="80"/>
  <c r="AX403" i="80" s="1"/>
  <c r="AS529" i="80"/>
  <c r="AU317" i="80"/>
  <c r="AV314" i="80"/>
  <c r="AO665" i="80"/>
  <c r="AO635" i="80" s="1"/>
  <c r="AO664" i="80"/>
  <c r="AO639" i="80"/>
  <c r="AO188" i="80"/>
  <c r="AY653" i="80"/>
  <c r="BP436" i="80"/>
  <c r="AQ516" i="80"/>
  <c r="AM282" i="80"/>
  <c r="AM168" i="80" s="1"/>
  <c r="AM263" i="80"/>
  <c r="AM265" i="80" s="1"/>
  <c r="AT410" i="80"/>
  <c r="AU525" i="80"/>
  <c r="AV522" i="80"/>
  <c r="AL615" i="80"/>
  <c r="AL596" i="80"/>
  <c r="AL598" i="80" s="1"/>
  <c r="AL159" i="80" s="1"/>
  <c r="AM159" i="80" s="1"/>
  <c r="AL555" i="80"/>
  <c r="AL194" i="80"/>
  <c r="AL187" i="80"/>
  <c r="AL189" i="80" s="1"/>
  <c r="AO275" i="80"/>
  <c r="AN267" i="80"/>
  <c r="AN200" i="80" s="1"/>
  <c r="AN278" i="80"/>
  <c r="AS358" i="80"/>
  <c r="AS359" i="80"/>
  <c r="AK197" i="80"/>
  <c r="AU307" i="80"/>
  <c r="AU306" i="80"/>
  <c r="AW304" i="80"/>
  <c r="CC312" i="80" s="1"/>
  <c r="CD312" i="80" s="1"/>
  <c r="BQ709" i="80"/>
  <c r="AV327" i="80"/>
  <c r="AU330" i="80"/>
  <c r="AR181" i="80"/>
  <c r="AR290" i="80"/>
  <c r="AU706" i="80"/>
  <c r="AV704" i="80"/>
  <c r="BP469" i="80"/>
  <c r="BQ469" i="80" s="1"/>
  <c r="BP466" i="80"/>
  <c r="BQ463" i="80"/>
  <c r="AU452" i="80"/>
  <c r="AU455" i="80" s="1"/>
  <c r="AU451" i="80"/>
  <c r="AQ711" i="80"/>
  <c r="AR711" i="80" s="1"/>
  <c r="AR709" i="80"/>
  <c r="AS709" i="80" s="1"/>
  <c r="AV486" i="80"/>
  <c r="AV489" i="80"/>
  <c r="AW489" i="80" s="1"/>
  <c r="AW483" i="80"/>
  <c r="AX483" i="80" s="1"/>
  <c r="AQ624" i="80"/>
  <c r="AR621" i="80"/>
  <c r="AS621" i="80" s="1"/>
  <c r="AN681" i="80"/>
  <c r="AO679" i="80"/>
  <c r="AN209" i="80"/>
  <c r="AS291" i="80"/>
  <c r="AT288" i="80"/>
  <c r="AS321" i="80"/>
  <c r="AM681" i="80"/>
  <c r="AU184" i="80"/>
  <c r="AU434" i="80"/>
  <c r="AU435" i="80"/>
  <c r="AP384" i="80"/>
  <c r="AP193" i="80"/>
  <c r="AS334" i="80"/>
  <c r="AU408" i="80"/>
  <c r="AU409" i="80"/>
  <c r="AY416" i="80"/>
  <c r="AX419" i="80"/>
  <c r="BO455" i="80"/>
  <c r="BO456" i="80" s="1"/>
  <c r="AP662" i="80"/>
  <c r="AQ659" i="80"/>
  <c r="AP638" i="80"/>
  <c r="AP204" i="80" s="1"/>
  <c r="AL269" i="80"/>
  <c r="AL192" i="80"/>
  <c r="AK265" i="80"/>
  <c r="AK156" i="80" s="1"/>
  <c r="AR382" i="80"/>
  <c r="AR201" i="80" s="1"/>
  <c r="AS390" i="80"/>
  <c r="AT528" i="80"/>
  <c r="AT527" i="80"/>
  <c r="AT529" i="80" s="1"/>
  <c r="BO853" i="80"/>
  <c r="AL578" i="80"/>
  <c r="AL549" i="80"/>
  <c r="AL551" i="80" s="1"/>
  <c r="AL158" i="80" s="1"/>
  <c r="AM158" i="80" s="1"/>
  <c r="AM171" i="80" s="1"/>
  <c r="AO566" i="80"/>
  <c r="BO471" i="80"/>
  <c r="BO472" i="80"/>
  <c r="AT583" i="80"/>
  <c r="AS586" i="80"/>
  <c r="BM372" i="80"/>
  <c r="BM371" i="80"/>
  <c r="AV449" i="80"/>
  <c r="AV446" i="80"/>
  <c r="AW443" i="80"/>
  <c r="BN184" i="80"/>
  <c r="AU494" i="80"/>
  <c r="AR224" i="80"/>
  <c r="AP627" i="80"/>
  <c r="AP626" i="80"/>
  <c r="AR624" i="80"/>
  <c r="AR623" i="80" s="1"/>
  <c r="AT514" i="80"/>
  <c r="BP451" i="80"/>
  <c r="BQ451" i="80" s="1"/>
  <c r="BP452" i="80"/>
  <c r="BQ452" i="80" s="1"/>
  <c r="AN640" i="80"/>
  <c r="AN196" i="80"/>
  <c r="BK373" i="80"/>
  <c r="BB648" i="80"/>
  <c r="AS515" i="80"/>
  <c r="AW541" i="80"/>
  <c r="AW543" i="80" s="1"/>
  <c r="AR384" i="80"/>
  <c r="AR193" i="80"/>
  <c r="BC452" i="80"/>
  <c r="BC451" i="80"/>
  <c r="BG451" i="80" s="1"/>
  <c r="BG449" i="80"/>
  <c r="BC454" i="80"/>
  <c r="AO714" i="80"/>
  <c r="AN716" i="80"/>
  <c r="AN214" i="80"/>
  <c r="AV422" i="80"/>
  <c r="AW422" i="80" s="1"/>
  <c r="AV421" i="80"/>
  <c r="AW419" i="80"/>
  <c r="AN611" i="80"/>
  <c r="AN600" i="80"/>
  <c r="AN203" i="80" s="1"/>
  <c r="AO608" i="80"/>
  <c r="AL282" i="80"/>
  <c r="AL263" i="80"/>
  <c r="AL265" i="80" s="1"/>
  <c r="AL156" i="80" s="1"/>
  <c r="AQ562" i="80"/>
  <c r="AR559" i="80"/>
  <c r="AH174" i="80"/>
  <c r="AH175" i="80" s="1"/>
  <c r="AH24" i="73"/>
  <c r="AH164" i="80"/>
  <c r="BX100" i="73" s="1"/>
  <c r="AM601" i="80"/>
  <c r="AM610" i="80"/>
  <c r="AQ383" i="80"/>
  <c r="AQ396" i="80"/>
  <c r="AQ379" i="80" s="1"/>
  <c r="AQ395" i="80"/>
  <c r="AL602" i="80"/>
  <c r="AL195" i="80"/>
  <c r="AT686" i="80"/>
  <c r="AU684" i="80"/>
  <c r="AT210" i="80"/>
  <c r="AT356" i="80"/>
  <c r="AU353" i="80"/>
  <c r="AW421" i="80"/>
  <c r="AW303" i="80"/>
  <c r="BG432" i="80"/>
  <c r="BC434" i="80"/>
  <c r="BC435" i="80"/>
  <c r="BG435" i="80" s="1"/>
  <c r="AQ691" i="80"/>
  <c r="AR691" i="80" s="1"/>
  <c r="AR689" i="80"/>
  <c r="AS689" i="80" s="1"/>
  <c r="AQ211" i="80"/>
  <c r="AR211" i="80" s="1"/>
  <c r="BQ446" i="80"/>
  <c r="AP186" i="80"/>
  <c r="AP346" i="80"/>
  <c r="AU454" i="80"/>
  <c r="AM269" i="80"/>
  <c r="AM192" i="80"/>
  <c r="BB649" i="80"/>
  <c r="DQ12" i="71"/>
  <c r="AM47" i="71"/>
  <c r="AM64" i="71"/>
  <c r="AM66" i="71"/>
  <c r="AM59" i="71"/>
  <c r="AM22" i="71"/>
  <c r="ED15" i="71"/>
  <c r="AH9" i="73"/>
  <c r="AH10" i="73" s="1"/>
  <c r="AH18" i="71"/>
  <c r="AH23" i="71" s="1"/>
  <c r="BN207" i="46"/>
  <c r="BL190" i="46"/>
  <c r="BK194" i="46"/>
  <c r="AR9" i="73"/>
  <c r="AR10" i="73" s="1"/>
  <c r="AR18" i="71"/>
  <c r="AR23" i="71" s="1"/>
  <c r="BM235" i="46"/>
  <c r="BN215" i="46"/>
  <c r="AC66" i="71"/>
  <c r="AC22" i="71"/>
  <c r="AC64" i="71"/>
  <c r="AC47" i="71"/>
  <c r="AC59" i="71"/>
  <c r="BL216" i="46"/>
  <c r="BQ23" i="46"/>
  <c r="AZ231" i="46"/>
  <c r="BA205" i="46"/>
  <c r="AM23" i="71"/>
  <c r="DU54" i="71"/>
  <c r="DZ54" i="71"/>
  <c r="BY26" i="73"/>
  <c r="BX26" i="73"/>
  <c r="BZ26" i="73"/>
  <c r="EE54" i="71"/>
  <c r="DP54" i="71"/>
  <c r="CJ80" i="73"/>
  <c r="AW166" i="99"/>
  <c r="AU514" i="80" l="1"/>
  <c r="BP474" i="80"/>
  <c r="BQ474" i="80" s="1"/>
  <c r="AW64" i="77"/>
  <c r="AW59" i="73" s="1"/>
  <c r="AW108" i="73" s="1"/>
  <c r="AW110" i="73" s="1"/>
  <c r="BQ192" i="77"/>
  <c r="BP136" i="77"/>
  <c r="BL37" i="100"/>
  <c r="BQ40" i="79"/>
  <c r="BQ40" i="51"/>
  <c r="BQ43" i="78"/>
  <c r="BQ40" i="80"/>
  <c r="BL43" i="99"/>
  <c r="BL37" i="98"/>
  <c r="BQ41" i="77"/>
  <c r="CE94" i="73"/>
  <c r="BQ52" i="71"/>
  <c r="BQ113" i="73"/>
  <c r="AH25" i="73"/>
  <c r="AU436" i="80"/>
  <c r="BH175" i="100"/>
  <c r="BL198" i="100"/>
  <c r="BH211" i="100"/>
  <c r="AS228" i="100"/>
  <c r="AT143" i="100"/>
  <c r="AT15" i="100"/>
  <c r="AT17" i="100" s="1"/>
  <c r="BG190" i="100"/>
  <c r="BI100" i="100"/>
  <c r="BA112" i="100"/>
  <c r="AT102" i="100"/>
  <c r="AU110" i="100" s="1"/>
  <c r="AS30" i="100"/>
  <c r="BL144" i="100"/>
  <c r="BH180" i="100"/>
  <c r="BI180" i="100" s="1"/>
  <c r="BJ180" i="100" s="1"/>
  <c r="BK180" i="100" s="1"/>
  <c r="BL180" i="100" s="1"/>
  <c r="BJ231" i="99"/>
  <c r="AX244" i="99"/>
  <c r="AF294" i="99"/>
  <c r="AE64" i="99"/>
  <c r="AX82" i="99"/>
  <c r="AX83" i="99" s="1"/>
  <c r="BB70" i="99"/>
  <c r="BB82" i="99" s="1"/>
  <c r="AX8" i="99"/>
  <c r="BH208" i="99"/>
  <c r="AY23" i="99"/>
  <c r="AY16" i="99"/>
  <c r="BL137" i="99"/>
  <c r="BL154" i="99"/>
  <c r="BJ144" i="99"/>
  <c r="AZ209" i="99"/>
  <c r="AY210" i="99"/>
  <c r="AZ134" i="99"/>
  <c r="BA142" i="99" s="1"/>
  <c r="BA140" i="99" s="1"/>
  <c r="BA133" i="99" s="1"/>
  <c r="BH132" i="99"/>
  <c r="AZ23" i="99"/>
  <c r="AZ16" i="99"/>
  <c r="AS251" i="99"/>
  <c r="AZ177" i="98"/>
  <c r="AY178" i="98"/>
  <c r="BH121" i="98"/>
  <c r="BH19" i="98" s="1"/>
  <c r="BK121" i="98"/>
  <c r="BK19" i="98" s="1"/>
  <c r="BK21" i="98" s="1"/>
  <c r="BJ121" i="98"/>
  <c r="BJ19" i="98" s="1"/>
  <c r="BJ21" i="98" s="1"/>
  <c r="BI121" i="98"/>
  <c r="BI19" i="98" s="1"/>
  <c r="BI21" i="98" s="1"/>
  <c r="AY24" i="98"/>
  <c r="AY229" i="98" s="1"/>
  <c r="BG99" i="98"/>
  <c r="AY228" i="98"/>
  <c r="BA13" i="98"/>
  <c r="BB107" i="98"/>
  <c r="BB109" i="98" s="1"/>
  <c r="AW212" i="98"/>
  <c r="AV193" i="98"/>
  <c r="AZ228" i="98"/>
  <c r="BK111" i="98"/>
  <c r="BA100" i="98"/>
  <c r="AS230" i="98"/>
  <c r="AS241" i="98" s="1"/>
  <c r="AS28" i="98"/>
  <c r="BJ191" i="98"/>
  <c r="BF176" i="98"/>
  <c r="BJ199" i="98"/>
  <c r="AZ24" i="98"/>
  <c r="AX229" i="98"/>
  <c r="BC25" i="77"/>
  <c r="AW111" i="73"/>
  <c r="AW82" i="46"/>
  <c r="AW17" i="71" s="1"/>
  <c r="AW9" i="73" s="1"/>
  <c r="BN219" i="77"/>
  <c r="BE152" i="77"/>
  <c r="BF158" i="77" s="1"/>
  <c r="AW13" i="71"/>
  <c r="BP223" i="77"/>
  <c r="AX61" i="77"/>
  <c r="BM150" i="77"/>
  <c r="BN160" i="77"/>
  <c r="BQ133" i="77"/>
  <c r="BQ135" i="77"/>
  <c r="AX33" i="77"/>
  <c r="AX36" i="77" s="1"/>
  <c r="BK11" i="77"/>
  <c r="BL133" i="77"/>
  <c r="BL135" i="77"/>
  <c r="BL136" i="77" s="1"/>
  <c r="BD190" i="77"/>
  <c r="BD16" i="77"/>
  <c r="BD18" i="77" s="1"/>
  <c r="BE257" i="77"/>
  <c r="BE156" i="77"/>
  <c r="BE14" i="77" s="1"/>
  <c r="BO162" i="78"/>
  <c r="BK195" i="78"/>
  <c r="BL195" i="78" s="1"/>
  <c r="BK24" i="78"/>
  <c r="BL22" i="78"/>
  <c r="BL24" i="78" s="1"/>
  <c r="BN152" i="78"/>
  <c r="BO225" i="78"/>
  <c r="BE154" i="78"/>
  <c r="BF160" i="78" s="1"/>
  <c r="BF153" i="78" s="1"/>
  <c r="BE193" i="78"/>
  <c r="BE16" i="78"/>
  <c r="BE20" i="78" s="1"/>
  <c r="BN221" i="78"/>
  <c r="BM22" i="78"/>
  <c r="BD27" i="78"/>
  <c r="BD238" i="78" s="1"/>
  <c r="BO175" i="78"/>
  <c r="BN174" i="78"/>
  <c r="BN22" i="78" s="1"/>
  <c r="BC238" i="78"/>
  <c r="BK166" i="79"/>
  <c r="BL166" i="79" s="1"/>
  <c r="BK21" i="79"/>
  <c r="BK117" i="46"/>
  <c r="BK30" i="46"/>
  <c r="BL30" i="46" s="1"/>
  <c r="BL19" i="79"/>
  <c r="BL21" i="79" s="1"/>
  <c r="BC164" i="79"/>
  <c r="BC15" i="79"/>
  <c r="BC17" i="79" s="1"/>
  <c r="BN135" i="79"/>
  <c r="BN193" i="79"/>
  <c r="BN125" i="79"/>
  <c r="BM19" i="79"/>
  <c r="BO146" i="79"/>
  <c r="BN145" i="79"/>
  <c r="BN19" i="79" s="1"/>
  <c r="BP197" i="79"/>
  <c r="BC127" i="79"/>
  <c r="BD133" i="79" s="1"/>
  <c r="AR186" i="80"/>
  <c r="AR233" i="80" s="1"/>
  <c r="AR342" i="80"/>
  <c r="AQ384" i="80"/>
  <c r="AQ193" i="80"/>
  <c r="AQ564" i="80"/>
  <c r="AR564" i="80" s="1"/>
  <c r="AV423" i="80"/>
  <c r="BM373" i="80"/>
  <c r="AT586" i="80"/>
  <c r="AT588" i="80" s="1"/>
  <c r="AT590" i="80" s="1"/>
  <c r="AU583" i="80"/>
  <c r="BP853" i="80"/>
  <c r="AQ662" i="80"/>
  <c r="AR659" i="80"/>
  <c r="AQ638" i="80"/>
  <c r="AQ204" i="80" s="1"/>
  <c r="AX422" i="80"/>
  <c r="AX421" i="80"/>
  <c r="AT291" i="80"/>
  <c r="AU288" i="80"/>
  <c r="AN215" i="80"/>
  <c r="AQ627" i="80"/>
  <c r="AR627" i="80" s="1"/>
  <c r="AQ626" i="80"/>
  <c r="AT709" i="80"/>
  <c r="AT711" i="80" s="1"/>
  <c r="AS711" i="80"/>
  <c r="AV706" i="80"/>
  <c r="AW706" i="80" s="1"/>
  <c r="AW704" i="80"/>
  <c r="AU183" i="80"/>
  <c r="AU333" i="80"/>
  <c r="AU332" i="80"/>
  <c r="AS516" i="80"/>
  <c r="AU528" i="80"/>
  <c r="AU527" i="80"/>
  <c r="AU529" i="80" s="1"/>
  <c r="AO666" i="80"/>
  <c r="AO634" i="80"/>
  <c r="AO636" i="80" s="1"/>
  <c r="AO160" i="80" s="1"/>
  <c r="AU320" i="80"/>
  <c r="AU319" i="80"/>
  <c r="AY403" i="80"/>
  <c r="AX406" i="80"/>
  <c r="BP366" i="80"/>
  <c r="BO369" i="80"/>
  <c r="AV307" i="80"/>
  <c r="AW307" i="80" s="1"/>
  <c r="AV306" i="80"/>
  <c r="AV308" i="80" s="1"/>
  <c r="AP566" i="80"/>
  <c r="BN849" i="80"/>
  <c r="AT515" i="80"/>
  <c r="AT516" i="80" s="1"/>
  <c r="AU456" i="80"/>
  <c r="BG434" i="80"/>
  <c r="BG436" i="80" s="1"/>
  <c r="BC436" i="80"/>
  <c r="AW423" i="80"/>
  <c r="AU686" i="80"/>
  <c r="AV684" i="80"/>
  <c r="AU210" i="80"/>
  <c r="AO716" i="80"/>
  <c r="AP714" i="80"/>
  <c r="AO214" i="80"/>
  <c r="BG452" i="80"/>
  <c r="BC455" i="80"/>
  <c r="BG455" i="80" s="1"/>
  <c r="AV454" i="80"/>
  <c r="AW446" i="80"/>
  <c r="BO475" i="80"/>
  <c r="BO476" i="80" s="1"/>
  <c r="AM156" i="80"/>
  <c r="AP665" i="80"/>
  <c r="AP635" i="80" s="1"/>
  <c r="AP664" i="80"/>
  <c r="AP639" i="80"/>
  <c r="AP188" i="80"/>
  <c r="AR662" i="80"/>
  <c r="AR661" i="80" s="1"/>
  <c r="AZ416" i="80"/>
  <c r="AY419" i="80"/>
  <c r="AU410" i="80"/>
  <c r="AS181" i="80"/>
  <c r="AS294" i="80"/>
  <c r="AS293" i="80"/>
  <c r="AO681" i="80"/>
  <c r="AO209" i="80"/>
  <c r="AO215" i="80" s="1"/>
  <c r="AO720" i="80"/>
  <c r="AO721" i="80" s="1"/>
  <c r="AX489" i="80"/>
  <c r="AX486" i="80"/>
  <c r="AY483" i="80"/>
  <c r="AV330" i="80"/>
  <c r="AW327" i="80"/>
  <c r="AX327" i="80" s="1"/>
  <c r="AU308" i="80"/>
  <c r="AN268" i="80"/>
  <c r="AN182" i="80"/>
  <c r="AN280" i="80"/>
  <c r="AN281" i="80"/>
  <c r="AV409" i="80"/>
  <c r="AW409" i="80" s="1"/>
  <c r="AV408" i="80"/>
  <c r="AZ653" i="80"/>
  <c r="BG474" i="80"/>
  <c r="AR345" i="80"/>
  <c r="AO574" i="80"/>
  <c r="AP571" i="80"/>
  <c r="AO553" i="80"/>
  <c r="AO202" i="80" s="1"/>
  <c r="AY301" i="80"/>
  <c r="AX304" i="80"/>
  <c r="AP380" i="80"/>
  <c r="AP157" i="80" s="1"/>
  <c r="AN636" i="80"/>
  <c r="AN160" i="80" s="1"/>
  <c r="AJ230" i="80"/>
  <c r="AJ222" i="80" s="1"/>
  <c r="AJ226" i="80" s="1"/>
  <c r="AJ163" i="80" s="1"/>
  <c r="AJ164" i="80" s="1"/>
  <c r="AK230" i="80"/>
  <c r="AK222" i="80" s="1"/>
  <c r="AK226" i="80" s="1"/>
  <c r="AK163" i="80" s="1"/>
  <c r="AK164" i="80" s="1"/>
  <c r="AI230" i="80"/>
  <c r="AI222" i="80" s="1"/>
  <c r="AL230" i="80"/>
  <c r="AL222" i="80" s="1"/>
  <c r="AL226" i="80" s="1"/>
  <c r="AL163" i="80" s="1"/>
  <c r="AL164" i="80" s="1"/>
  <c r="AT689" i="80"/>
  <c r="AS691" i="80"/>
  <c r="AS211" i="80"/>
  <c r="BC184" i="80"/>
  <c r="AV353" i="80"/>
  <c r="AU356" i="80"/>
  <c r="AQ378" i="80"/>
  <c r="AQ380" i="80" s="1"/>
  <c r="AQ157" i="80" s="1"/>
  <c r="AQ397" i="80"/>
  <c r="AM602" i="80"/>
  <c r="AM195" i="80"/>
  <c r="AN601" i="80"/>
  <c r="AN613" i="80"/>
  <c r="AN614" i="80"/>
  <c r="BG454" i="80"/>
  <c r="BP455" i="80"/>
  <c r="BP456" i="80" s="1"/>
  <c r="AV451" i="80"/>
  <c r="AW451" i="80" s="1"/>
  <c r="AV452" i="80"/>
  <c r="AW449" i="80"/>
  <c r="BO184" i="80"/>
  <c r="AN723" i="80"/>
  <c r="AN161" i="80" s="1"/>
  <c r="AV491" i="80"/>
  <c r="AW491" i="80" s="1"/>
  <c r="AV492" i="80"/>
  <c r="AN205" i="80"/>
  <c r="AV506" i="80"/>
  <c r="AV509" i="80"/>
  <c r="AW503" i="80"/>
  <c r="AX503" i="80" s="1"/>
  <c r="AR395" i="80"/>
  <c r="BG472" i="80"/>
  <c r="BC475" i="80"/>
  <c r="BG475" i="80" s="1"/>
  <c r="BL710" i="80"/>
  <c r="BK711" i="80"/>
  <c r="BL711" i="80" s="1"/>
  <c r="AR337" i="80"/>
  <c r="AS340" i="80"/>
  <c r="AN576" i="80"/>
  <c r="AN554" i="80"/>
  <c r="AT696" i="80"/>
  <c r="AU694" i="80"/>
  <c r="AT212" i="80"/>
  <c r="BQ466" i="80"/>
  <c r="AR562" i="80"/>
  <c r="BC646" i="80"/>
  <c r="AT359" i="80"/>
  <c r="AT358" i="80"/>
  <c r="AS559" i="80"/>
  <c r="AO611" i="80"/>
  <c r="AO600" i="80"/>
  <c r="AO203" i="80" s="1"/>
  <c r="AP608" i="80"/>
  <c r="AP628" i="80"/>
  <c r="AP347" i="80"/>
  <c r="AS588" i="80"/>
  <c r="AS393" i="80"/>
  <c r="AT390" i="80"/>
  <c r="AS382" i="80"/>
  <c r="AS201" i="80" s="1"/>
  <c r="AL197" i="80"/>
  <c r="AW406" i="80"/>
  <c r="AM723" i="80"/>
  <c r="AM724" i="80"/>
  <c r="AT621" i="80"/>
  <c r="AS624" i="80"/>
  <c r="AV494" i="80"/>
  <c r="AW494" i="80" s="1"/>
  <c r="AW486" i="80"/>
  <c r="BP472" i="80"/>
  <c r="BP475" i="80" s="1"/>
  <c r="BP471" i="80"/>
  <c r="BQ471" i="80" s="1"/>
  <c r="BX185" i="80"/>
  <c r="AR229" i="80"/>
  <c r="AS360" i="80"/>
  <c r="AO267" i="80"/>
  <c r="AO200" i="80" s="1"/>
  <c r="AO205" i="80" s="1"/>
  <c r="AO278" i="80"/>
  <c r="AP275" i="80"/>
  <c r="AP679" i="80" s="1"/>
  <c r="AW522" i="80"/>
  <c r="AX522" i="80" s="1"/>
  <c r="AV525" i="80"/>
  <c r="AW525" i="80" s="1"/>
  <c r="AO640" i="80"/>
  <c r="AO196" i="80"/>
  <c r="AV317" i="80"/>
  <c r="AW314" i="80"/>
  <c r="AX314" i="80" s="1"/>
  <c r="AR396" i="80"/>
  <c r="AR379" i="80" s="1"/>
  <c r="AV184" i="80"/>
  <c r="AV435" i="80"/>
  <c r="AW435" i="80" s="1"/>
  <c r="AV434" i="80"/>
  <c r="AS699" i="80"/>
  <c r="AR213" i="80"/>
  <c r="AU511" i="80"/>
  <c r="AU512" i="80"/>
  <c r="AU185" i="80"/>
  <c r="AU495" i="80"/>
  <c r="AU496" i="80" s="1"/>
  <c r="AQ186" i="80"/>
  <c r="AQ346" i="80"/>
  <c r="AR346" i="80" s="1"/>
  <c r="BN372" i="80"/>
  <c r="BN371" i="80"/>
  <c r="AM555" i="80"/>
  <c r="AM194" i="80"/>
  <c r="AM197" i="80" s="1"/>
  <c r="AM187" i="80"/>
  <c r="BA652" i="80"/>
  <c r="BB652" i="80" s="1"/>
  <c r="BA651" i="80"/>
  <c r="BB651" i="80" s="1"/>
  <c r="AW506" i="80"/>
  <c r="AY107" i="46"/>
  <c r="DR12" i="71"/>
  <c r="BO207" i="46"/>
  <c r="AZ107" i="46"/>
  <c r="BN235" i="46"/>
  <c r="BO215" i="46"/>
  <c r="BA107" i="46"/>
  <c r="AX107" i="46"/>
  <c r="BM216" i="46"/>
  <c r="EE15" i="71"/>
  <c r="BA231" i="46"/>
  <c r="BB205" i="46"/>
  <c r="AR66" i="71"/>
  <c r="AR47" i="71"/>
  <c r="AR59" i="71"/>
  <c r="AR22" i="71"/>
  <c r="BM190" i="46"/>
  <c r="BL194" i="46"/>
  <c r="AH66" i="71"/>
  <c r="AH47" i="71"/>
  <c r="AH64" i="71"/>
  <c r="AH22" i="71"/>
  <c r="AH59" i="71"/>
  <c r="CJ81" i="73"/>
  <c r="ED54" i="71"/>
  <c r="DT54" i="71"/>
  <c r="EI54" i="71"/>
  <c r="DY54" i="71"/>
  <c r="BB166" i="99"/>
  <c r="BG184" i="80" l="1"/>
  <c r="BG232" i="80" s="1"/>
  <c r="BD232" i="80" s="1"/>
  <c r="BD223" i="80" s="1"/>
  <c r="BP476" i="80"/>
  <c r="BG456" i="80"/>
  <c r="AW114" i="73"/>
  <c r="AZ229" i="98"/>
  <c r="BQ455" i="80"/>
  <c r="BQ456" i="80" s="1"/>
  <c r="BC456" i="80"/>
  <c r="AV410" i="80"/>
  <c r="BJ100" i="100"/>
  <c r="AT23" i="100"/>
  <c r="AY26" i="46"/>
  <c r="AS54" i="100"/>
  <c r="BC112" i="100"/>
  <c r="AT176" i="100"/>
  <c r="AS32" i="100"/>
  <c r="BI211" i="100"/>
  <c r="BH190" i="100"/>
  <c r="BI175" i="100"/>
  <c r="AW86" i="46"/>
  <c r="AU246" i="100"/>
  <c r="AU249" i="100" s="1"/>
  <c r="AV244" i="100" s="1"/>
  <c r="AU108" i="100"/>
  <c r="AZ29" i="99"/>
  <c r="BE25" i="46"/>
  <c r="BB133" i="99"/>
  <c r="BA134" i="99"/>
  <c r="BK144" i="99"/>
  <c r="AY244" i="99"/>
  <c r="AX224" i="99"/>
  <c r="AY29" i="99"/>
  <c r="BD25" i="46"/>
  <c r="AX10" i="99"/>
  <c r="BB8" i="99"/>
  <c r="AG294" i="99"/>
  <c r="AF64" i="99"/>
  <c r="BI132" i="99"/>
  <c r="AZ210" i="99"/>
  <c r="BH154" i="99"/>
  <c r="BH25" i="99" s="1"/>
  <c r="BK154" i="99"/>
  <c r="BK25" i="99" s="1"/>
  <c r="BK27" i="99" s="1"/>
  <c r="BI154" i="99"/>
  <c r="BI25" i="99" s="1"/>
  <c r="BI27" i="99" s="1"/>
  <c r="BJ154" i="99"/>
  <c r="BJ25" i="99" s="1"/>
  <c r="BJ27" i="99" s="1"/>
  <c r="BB83" i="99"/>
  <c r="BB85" i="99"/>
  <c r="BB89" i="99" s="1"/>
  <c r="BK231" i="99"/>
  <c r="BA19" i="99"/>
  <c r="BB140" i="99"/>
  <c r="BB142" i="99" s="1"/>
  <c r="BI208" i="99"/>
  <c r="AS30" i="98"/>
  <c r="AX212" i="98"/>
  <c r="BK199" i="98"/>
  <c r="BH99" i="98"/>
  <c r="BH21" i="98"/>
  <c r="BL19" i="98"/>
  <c r="BL21" i="98" s="1"/>
  <c r="BK191" i="98"/>
  <c r="BG176" i="98"/>
  <c r="BB100" i="98"/>
  <c r="BA101" i="98"/>
  <c r="AW193" i="98"/>
  <c r="BA247" i="98"/>
  <c r="BA144" i="98"/>
  <c r="BB144" i="98" s="1"/>
  <c r="BA15" i="98"/>
  <c r="BA17" i="98" s="1"/>
  <c r="BB13" i="98"/>
  <c r="AZ178" i="98"/>
  <c r="AX189" i="77"/>
  <c r="AX43" i="77"/>
  <c r="AX38" i="77"/>
  <c r="BO219" i="77"/>
  <c r="BQ136" i="77"/>
  <c r="BQ223" i="77"/>
  <c r="AW7" i="73"/>
  <c r="AW10" i="73" s="1"/>
  <c r="AW18" i="71"/>
  <c r="BE190" i="77"/>
  <c r="BE16" i="77"/>
  <c r="BE18" i="77" s="1"/>
  <c r="BN150" i="77"/>
  <c r="BF257" i="77"/>
  <c r="BF156" i="77"/>
  <c r="BF14" i="77" s="1"/>
  <c r="BG158" i="77"/>
  <c r="BG257" i="77"/>
  <c r="BD24" i="77"/>
  <c r="BD22" i="46"/>
  <c r="BO160" i="77"/>
  <c r="BF151" i="77"/>
  <c r="BN195" i="78"/>
  <c r="BN24" i="78"/>
  <c r="BG153" i="78"/>
  <c r="BF154" i="78"/>
  <c r="BO152" i="78"/>
  <c r="BP175" i="78"/>
  <c r="BP174" i="78" s="1"/>
  <c r="BP22" i="78" s="1"/>
  <c r="BO174" i="78"/>
  <c r="BO22" i="78" s="1"/>
  <c r="BQ22" i="78" s="1"/>
  <c r="BQ24" i="78" s="1"/>
  <c r="BE26" i="78"/>
  <c r="BE21" i="46"/>
  <c r="BO221" i="78"/>
  <c r="BP225" i="78"/>
  <c r="BP162" i="78"/>
  <c r="BM195" i="78"/>
  <c r="BM24" i="78"/>
  <c r="BF256" i="78"/>
  <c r="BG256" i="78" s="1"/>
  <c r="BF158" i="78"/>
  <c r="BF14" i="78" s="1"/>
  <c r="BG160" i="78"/>
  <c r="BM166" i="79"/>
  <c r="BM117" i="46"/>
  <c r="BM21" i="79"/>
  <c r="BO193" i="79"/>
  <c r="BC23" i="79"/>
  <c r="BC20" i="46"/>
  <c r="BD228" i="79"/>
  <c r="BD131" i="79"/>
  <c r="BD13" i="79" s="1"/>
  <c r="BN166" i="79"/>
  <c r="BN21" i="79"/>
  <c r="BN117" i="46"/>
  <c r="BN153" i="46" s="1"/>
  <c r="BN30" i="46"/>
  <c r="BK153" i="46"/>
  <c r="BL153" i="46" s="1"/>
  <c r="BL117" i="46"/>
  <c r="BD126" i="79"/>
  <c r="BP146" i="79"/>
  <c r="BP145" i="79" s="1"/>
  <c r="BP19" i="79" s="1"/>
  <c r="BO145" i="79"/>
  <c r="BO19" i="79" s="1"/>
  <c r="BQ197" i="79"/>
  <c r="BO125" i="79"/>
  <c r="BO135" i="79"/>
  <c r="AP681" i="80"/>
  <c r="AP209" i="80"/>
  <c r="AP720" i="80"/>
  <c r="AP721" i="80" s="1"/>
  <c r="AR566" i="80"/>
  <c r="BN373" i="80"/>
  <c r="AV320" i="80"/>
  <c r="AV319" i="80"/>
  <c r="AW319" i="80" s="1"/>
  <c r="AX525" i="80"/>
  <c r="AY522" i="80"/>
  <c r="AT382" i="80"/>
  <c r="AT201" i="80" s="1"/>
  <c r="AT393" i="80"/>
  <c r="AU390" i="80"/>
  <c r="AT360" i="80"/>
  <c r="AN555" i="80"/>
  <c r="AN187" i="80"/>
  <c r="AN194" i="80"/>
  <c r="AV514" i="80"/>
  <c r="AW353" i="80"/>
  <c r="AX353" i="80" s="1"/>
  <c r="AV356" i="80"/>
  <c r="AT691" i="80"/>
  <c r="AU689" i="80"/>
  <c r="AT211" i="80"/>
  <c r="AR347" i="80"/>
  <c r="AR170" i="80" s="1"/>
  <c r="BC476" i="80"/>
  <c r="AN263" i="80"/>
  <c r="AN282" i="80"/>
  <c r="AW306" i="80"/>
  <c r="AW308" i="80" s="1"/>
  <c r="AV183" i="80"/>
  <c r="AV333" i="80"/>
  <c r="AV332" i="80"/>
  <c r="AV334" i="80" s="1"/>
  <c r="AX492" i="80"/>
  <c r="AX491" i="80"/>
  <c r="AZ419" i="80"/>
  <c r="BA416" i="80"/>
  <c r="AP666" i="80"/>
  <c r="AP634" i="80"/>
  <c r="AP636" i="80" s="1"/>
  <c r="AP160" i="80" s="1"/>
  <c r="BQ472" i="80"/>
  <c r="BQ184" i="80" s="1"/>
  <c r="BQ232" i="80" s="1"/>
  <c r="BP369" i="80"/>
  <c r="BQ366" i="80"/>
  <c r="AW317" i="80"/>
  <c r="AW330" i="80"/>
  <c r="AQ628" i="80"/>
  <c r="AR626" i="80"/>
  <c r="AR628" i="80" s="1"/>
  <c r="AT181" i="80"/>
  <c r="AT294" i="80"/>
  <c r="AT293" i="80"/>
  <c r="AT295" i="80" s="1"/>
  <c r="AQ665" i="80"/>
  <c r="AQ635" i="80" s="1"/>
  <c r="AQ664" i="80"/>
  <c r="AQ639" i="80"/>
  <c r="AQ188" i="80"/>
  <c r="BB653" i="80"/>
  <c r="AS701" i="80"/>
  <c r="AT699" i="80"/>
  <c r="AS213" i="80"/>
  <c r="AP267" i="80"/>
  <c r="AP200" i="80" s="1"/>
  <c r="AP278" i="80"/>
  <c r="AQ275" i="80"/>
  <c r="AQ679" i="80" s="1"/>
  <c r="AS383" i="80"/>
  <c r="AS396" i="80"/>
  <c r="AS395" i="80"/>
  <c r="AO601" i="80"/>
  <c r="AO614" i="80"/>
  <c r="AO597" i="80" s="1"/>
  <c r="AO613" i="80"/>
  <c r="AR397" i="80"/>
  <c r="AR378" i="80"/>
  <c r="AR380" i="80" s="1"/>
  <c r="AN602" i="80"/>
  <c r="AN195" i="80"/>
  <c r="AM222" i="80"/>
  <c r="AM226" i="80" s="1"/>
  <c r="BY85" i="73" s="1"/>
  <c r="AI226" i="80"/>
  <c r="AI163" i="80" s="1"/>
  <c r="AR157" i="80"/>
  <c r="AQ347" i="80"/>
  <c r="AN189" i="80"/>
  <c r="AS295" i="80"/>
  <c r="AW408" i="80"/>
  <c r="AW410" i="80" s="1"/>
  <c r="AR639" i="80"/>
  <c r="AR188" i="80"/>
  <c r="AR236" i="80" s="1"/>
  <c r="BQ475" i="80"/>
  <c r="BQ476" i="80" s="1"/>
  <c r="AP716" i="80"/>
  <c r="AQ714" i="80"/>
  <c r="AP214" i="80"/>
  <c r="AV686" i="80"/>
  <c r="AW684" i="80"/>
  <c r="AX684" i="80" s="1"/>
  <c r="AV210" i="80"/>
  <c r="AW210" i="80" s="1"/>
  <c r="AU321" i="80"/>
  <c r="AU334" i="80"/>
  <c r="BQ853" i="80"/>
  <c r="AP233" i="80"/>
  <c r="AP225" i="80" s="1"/>
  <c r="AQ233" i="80"/>
  <c r="AQ225" i="80" s="1"/>
  <c r="AO233" i="80"/>
  <c r="AO225" i="80" s="1"/>
  <c r="AN233" i="80"/>
  <c r="AN225" i="80" s="1"/>
  <c r="AM235" i="80"/>
  <c r="AM189" i="80"/>
  <c r="AM228" i="80" s="1"/>
  <c r="AU515" i="80"/>
  <c r="AU516" i="80" s="1"/>
  <c r="AV436" i="80"/>
  <c r="AO268" i="80"/>
  <c r="AO182" i="80"/>
  <c r="AO280" i="80"/>
  <c r="AO281" i="80"/>
  <c r="AO264" i="80" s="1"/>
  <c r="AS627" i="80"/>
  <c r="AS626" i="80"/>
  <c r="BC232" i="80"/>
  <c r="BC223" i="80" s="1"/>
  <c r="BF232" i="80"/>
  <c r="BF223" i="80" s="1"/>
  <c r="BD646" i="80"/>
  <c r="BC649" i="80"/>
  <c r="AU696" i="80"/>
  <c r="AV694" i="80"/>
  <c r="AU212" i="80"/>
  <c r="AN578" i="80"/>
  <c r="AN549" i="80"/>
  <c r="AN551" i="80" s="1"/>
  <c r="AN158" i="80" s="1"/>
  <c r="BM710" i="80"/>
  <c r="BY323" i="80"/>
  <c r="BZ323" i="80" s="1"/>
  <c r="CA323" i="80" s="1"/>
  <c r="AY503" i="80"/>
  <c r="AX509" i="80"/>
  <c r="AX506" i="80"/>
  <c r="AV185" i="80"/>
  <c r="AV495" i="80"/>
  <c r="AV496" i="80" s="1"/>
  <c r="AW492" i="80"/>
  <c r="AW185" i="80" s="1"/>
  <c r="AW234" i="80" s="1"/>
  <c r="AV455" i="80"/>
  <c r="AW455" i="80" s="1"/>
  <c r="AW452" i="80"/>
  <c r="AW184" i="80" s="1"/>
  <c r="AW232" i="80" s="1"/>
  <c r="BP184" i="80"/>
  <c r="AN597" i="80"/>
  <c r="AX307" i="80"/>
  <c r="AP574" i="80"/>
  <c r="AQ571" i="80"/>
  <c r="AP553" i="80"/>
  <c r="AP202" i="80" s="1"/>
  <c r="AY489" i="80"/>
  <c r="AY486" i="80"/>
  <c r="AZ483" i="80"/>
  <c r="AW686" i="80"/>
  <c r="AW454" i="80"/>
  <c r="BO849" i="80"/>
  <c r="AX409" i="80"/>
  <c r="AX408" i="80"/>
  <c r="AW320" i="80"/>
  <c r="AW333" i="80"/>
  <c r="AW711" i="80"/>
  <c r="AX423" i="80"/>
  <c r="BA653" i="80"/>
  <c r="AY314" i="80"/>
  <c r="AX317" i="80"/>
  <c r="AV528" i="80"/>
  <c r="AW528" i="80" s="1"/>
  <c r="AV527" i="80"/>
  <c r="AP229" i="80"/>
  <c r="AP221" i="80" s="1"/>
  <c r="AQ229" i="80"/>
  <c r="AQ221" i="80" s="1"/>
  <c r="AO229" i="80"/>
  <c r="AO221" i="80" s="1"/>
  <c r="AN229" i="80"/>
  <c r="AN221" i="80" s="1"/>
  <c r="AT624" i="80"/>
  <c r="AU621" i="80"/>
  <c r="AS590" i="80"/>
  <c r="AQ608" i="80"/>
  <c r="AP611" i="80"/>
  <c r="AP600" i="80"/>
  <c r="AP203" i="80" s="1"/>
  <c r="AT559" i="80"/>
  <c r="AS562" i="80"/>
  <c r="CD810" i="80"/>
  <c r="AR561" i="80"/>
  <c r="AS561" i="80" s="1"/>
  <c r="AT561" i="80" s="1"/>
  <c r="AU561" i="80" s="1"/>
  <c r="AV561" i="80" s="1"/>
  <c r="AS337" i="80"/>
  <c r="AS345" i="80" s="1"/>
  <c r="AT340" i="80"/>
  <c r="AS343" i="80"/>
  <c r="AV512" i="80"/>
  <c r="AV511" i="80"/>
  <c r="AW511" i="80" s="1"/>
  <c r="AW509" i="80"/>
  <c r="AN596" i="80"/>
  <c r="AN615" i="80"/>
  <c r="AU359" i="80"/>
  <c r="AU358" i="80"/>
  <c r="AW434" i="80"/>
  <c r="AW436" i="80" s="1"/>
  <c r="AY304" i="80"/>
  <c r="AY307" i="80" s="1"/>
  <c r="AZ301" i="80"/>
  <c r="AO576" i="80"/>
  <c r="AO554" i="80"/>
  <c r="BG476" i="80"/>
  <c r="AN264" i="80"/>
  <c r="AN269" i="80"/>
  <c r="AN192" i="80"/>
  <c r="AN197" i="80" s="1"/>
  <c r="AY327" i="80"/>
  <c r="AX330" i="80"/>
  <c r="AX494" i="80"/>
  <c r="AO723" i="80"/>
  <c r="AO161" i="80" s="1"/>
  <c r="AY422" i="80"/>
  <c r="AY421" i="80"/>
  <c r="AP640" i="80"/>
  <c r="AP196" i="80"/>
  <c r="BO372" i="80"/>
  <c r="BO371" i="80"/>
  <c r="BQ369" i="80"/>
  <c r="BQ368" i="80" s="1"/>
  <c r="AY406" i="80"/>
  <c r="AZ403" i="80"/>
  <c r="AU291" i="80"/>
  <c r="AV288" i="80"/>
  <c r="AS659" i="80"/>
  <c r="AR638" i="80"/>
  <c r="AR204" i="80" s="1"/>
  <c r="AU586" i="80"/>
  <c r="AV583" i="80"/>
  <c r="AQ566" i="80"/>
  <c r="BB231" i="46"/>
  <c r="BC205" i="46"/>
  <c r="BN216" i="46"/>
  <c r="BP207" i="46"/>
  <c r="DS12" i="71"/>
  <c r="BB107" i="46"/>
  <c r="AX109" i="46"/>
  <c r="BO235" i="46"/>
  <c r="BP215" i="46"/>
  <c r="BM194" i="46"/>
  <c r="BN190" i="46"/>
  <c r="EF15" i="71"/>
  <c r="CJ82" i="73"/>
  <c r="BG166" i="99"/>
  <c r="BL166" i="99"/>
  <c r="BE232" i="80" l="1"/>
  <c r="BE223" i="80" s="1"/>
  <c r="AY423" i="80"/>
  <c r="AR665" i="80"/>
  <c r="AR635" i="80" s="1"/>
  <c r="AN598" i="80"/>
  <c r="AN159" i="80" s="1"/>
  <c r="BA177" i="98"/>
  <c r="BQ174" i="78"/>
  <c r="BQ175" i="78" s="1"/>
  <c r="AY494" i="80"/>
  <c r="AW456" i="80"/>
  <c r="AW332" i="80"/>
  <c r="BD112" i="100"/>
  <c r="BJ211" i="100"/>
  <c r="BI190" i="100"/>
  <c r="AT177" i="100"/>
  <c r="AT24" i="100"/>
  <c r="AT227" i="100"/>
  <c r="BK100" i="100"/>
  <c r="AU13" i="100"/>
  <c r="AU101" i="100"/>
  <c r="BJ175" i="100"/>
  <c r="AS142" i="100"/>
  <c r="AS39" i="100"/>
  <c r="AS34" i="100"/>
  <c r="AH294" i="99"/>
  <c r="AG64" i="99"/>
  <c r="AY30" i="99"/>
  <c r="AZ244" i="99"/>
  <c r="AY224" i="99"/>
  <c r="BJ208" i="99"/>
  <c r="BJ132" i="99"/>
  <c r="BB134" i="99"/>
  <c r="BC142" i="99" s="1"/>
  <c r="BC140" i="99" s="1"/>
  <c r="BA279" i="99"/>
  <c r="BA174" i="99"/>
  <c r="BA21" i="99"/>
  <c r="BB19" i="99"/>
  <c r="BH27" i="99"/>
  <c r="BM30" i="46" s="1"/>
  <c r="BL25" i="99"/>
  <c r="BL27" i="99" s="1"/>
  <c r="AX23" i="99"/>
  <c r="AX16" i="99"/>
  <c r="BL231" i="99"/>
  <c r="AZ30" i="99"/>
  <c r="BL199" i="98"/>
  <c r="BB177" i="98"/>
  <c r="BA178" i="98"/>
  <c r="BB101" i="98"/>
  <c r="BB247" i="98"/>
  <c r="BG49" i="98"/>
  <c r="BB15" i="98"/>
  <c r="BB17" i="98" s="1"/>
  <c r="BB23" i="98" s="1"/>
  <c r="BL191" i="98"/>
  <c r="BI99" i="98"/>
  <c r="AS55" i="98"/>
  <c r="BA23" i="98"/>
  <c r="BF24" i="46"/>
  <c r="BG24" i="46" s="1"/>
  <c r="BH176" i="98"/>
  <c r="AY212" i="98"/>
  <c r="AX193" i="98"/>
  <c r="AS32" i="98"/>
  <c r="BG151" i="77"/>
  <c r="BF152" i="77"/>
  <c r="BD25" i="77"/>
  <c r="BF190" i="77"/>
  <c r="BG190" i="77" s="1"/>
  <c r="BG14" i="77"/>
  <c r="BE24" i="77"/>
  <c r="BE22" i="46"/>
  <c r="BP219" i="77"/>
  <c r="AX226" i="77"/>
  <c r="BP160" i="77"/>
  <c r="BG156" i="77"/>
  <c r="BO150" i="77"/>
  <c r="AW23" i="71"/>
  <c r="AW59" i="71"/>
  <c r="AW47" i="71"/>
  <c r="AW66" i="71"/>
  <c r="AW22" i="71"/>
  <c r="AW64" i="71"/>
  <c r="AX241" i="77"/>
  <c r="AX237" i="77"/>
  <c r="AX44" i="77"/>
  <c r="AX45" i="77" s="1"/>
  <c r="BP221" i="78"/>
  <c r="BP195" i="78"/>
  <c r="BP24" i="78"/>
  <c r="BG154" i="78"/>
  <c r="BH160" i="78" s="1"/>
  <c r="BG162" i="78"/>
  <c r="BG158" i="78"/>
  <c r="BQ225" i="78"/>
  <c r="BF193" i="78"/>
  <c r="BG193" i="78" s="1"/>
  <c r="BF16" i="78"/>
  <c r="BF20" i="78" s="1"/>
  <c r="BG14" i="78"/>
  <c r="BG16" i="78" s="1"/>
  <c r="BG20" i="78" s="1"/>
  <c r="BG26" i="78" s="1"/>
  <c r="BE27" i="78"/>
  <c r="BE237" i="78"/>
  <c r="BP152" i="78"/>
  <c r="BO195" i="78"/>
  <c r="BQ195" i="78" s="1"/>
  <c r="BO24" i="78"/>
  <c r="BD127" i="79"/>
  <c r="BE133" i="79" s="1"/>
  <c r="BC209" i="79"/>
  <c r="BC24" i="79"/>
  <c r="BD164" i="79"/>
  <c r="BD15" i="79"/>
  <c r="BD17" i="79" s="1"/>
  <c r="BP193" i="79"/>
  <c r="BM153" i="46"/>
  <c r="BP125" i="79"/>
  <c r="BO166" i="79"/>
  <c r="BO21" i="79"/>
  <c r="BO117" i="46"/>
  <c r="BO153" i="46" s="1"/>
  <c r="BO30" i="46"/>
  <c r="BQ19" i="79"/>
  <c r="BQ21" i="79" s="1"/>
  <c r="BP135" i="79"/>
  <c r="BP166" i="79"/>
  <c r="BP21" i="79"/>
  <c r="BP117" i="46"/>
  <c r="BP153" i="46" s="1"/>
  <c r="BP30" i="46"/>
  <c r="BQ145" i="79"/>
  <c r="BQ146" i="79" s="1"/>
  <c r="AQ681" i="80"/>
  <c r="AQ209" i="80"/>
  <c r="AQ720" i="80"/>
  <c r="AQ721" i="80" s="1"/>
  <c r="AR721" i="80" s="1"/>
  <c r="AU181" i="80"/>
  <c r="AU294" i="80"/>
  <c r="AU293" i="80"/>
  <c r="BO373" i="80"/>
  <c r="AX183" i="80"/>
  <c r="AX332" i="80"/>
  <c r="AX333" i="80"/>
  <c r="AO555" i="80"/>
  <c r="AO194" i="80"/>
  <c r="AO187" i="80"/>
  <c r="AU340" i="80"/>
  <c r="AT343" i="80"/>
  <c r="AT562" i="80"/>
  <c r="AU559" i="80"/>
  <c r="AQ611" i="80"/>
  <c r="AQ600" i="80"/>
  <c r="AQ203" i="80" s="1"/>
  <c r="AR608" i="80"/>
  <c r="AT627" i="80"/>
  <c r="AT626" i="80"/>
  <c r="AT628" i="80" s="1"/>
  <c r="AY317" i="80"/>
  <c r="AY320" i="80" s="1"/>
  <c r="AZ314" i="80"/>
  <c r="AP576" i="80"/>
  <c r="AP554" i="80"/>
  <c r="AV234" i="80"/>
  <c r="AV224" i="80" s="1"/>
  <c r="AS234" i="80"/>
  <c r="AS224" i="80" s="1"/>
  <c r="AU234" i="80"/>
  <c r="AU224" i="80" s="1"/>
  <c r="AT234" i="80"/>
  <c r="AT224" i="80" s="1"/>
  <c r="AX511" i="80"/>
  <c r="AX512" i="80"/>
  <c r="AW694" i="80"/>
  <c r="AX694" i="80" s="1"/>
  <c r="AV696" i="80"/>
  <c r="AV212" i="80"/>
  <c r="AW212" i="80" s="1"/>
  <c r="BD649" i="80"/>
  <c r="BE646" i="80"/>
  <c r="AO269" i="80"/>
  <c r="AO192" i="80"/>
  <c r="AN236" i="80"/>
  <c r="AO236" i="80"/>
  <c r="AQ236" i="80"/>
  <c r="AP236" i="80"/>
  <c r="AO615" i="80"/>
  <c r="AO596" i="80"/>
  <c r="AO598" i="80" s="1"/>
  <c r="AO159" i="80" s="1"/>
  <c r="AS379" i="80"/>
  <c r="AQ666" i="80"/>
  <c r="AQ634" i="80"/>
  <c r="AQ636" i="80" s="1"/>
  <c r="AQ160" i="80" s="1"/>
  <c r="AR160" i="80" s="1"/>
  <c r="AR664" i="80"/>
  <c r="AV456" i="80"/>
  <c r="BB416" i="80"/>
  <c r="BC416" i="80" s="1"/>
  <c r="BA419" i="80"/>
  <c r="BB419" i="80" s="1"/>
  <c r="AX185" i="80"/>
  <c r="AX495" i="80"/>
  <c r="AX496" i="80" s="1"/>
  <c r="AU691" i="80"/>
  <c r="AV689" i="80"/>
  <c r="AU211" i="80"/>
  <c r="AT659" i="80"/>
  <c r="AS662" i="80"/>
  <c r="AS638" i="80"/>
  <c r="AS204" i="80" s="1"/>
  <c r="AZ406" i="80"/>
  <c r="BA403" i="80"/>
  <c r="AY330" i="80"/>
  <c r="AZ327" i="80"/>
  <c r="AO578" i="80"/>
  <c r="AO549" i="80"/>
  <c r="AO551" i="80" s="1"/>
  <c r="AO158" i="80" s="1"/>
  <c r="AR221" i="80"/>
  <c r="AV529" i="80"/>
  <c r="AW527" i="80"/>
  <c r="AW529" i="80" s="1"/>
  <c r="AZ486" i="80"/>
  <c r="AZ489" i="80"/>
  <c r="BA483" i="80"/>
  <c r="AY509" i="80"/>
  <c r="AZ503" i="80"/>
  <c r="AY506" i="80"/>
  <c r="AY514" i="80" s="1"/>
  <c r="AW696" i="80"/>
  <c r="AJ228" i="80"/>
  <c r="AI228" i="80"/>
  <c r="AL228" i="80"/>
  <c r="AK228" i="80"/>
  <c r="AW334" i="80"/>
  <c r="AQ716" i="80"/>
  <c r="AR716" i="80" s="1"/>
  <c r="AR714" i="80"/>
  <c r="AQ214" i="80"/>
  <c r="AR640" i="80"/>
  <c r="AR196" i="80"/>
  <c r="AM163" i="80"/>
  <c r="AI164" i="80"/>
  <c r="AS384" i="80"/>
  <c r="AS193" i="80"/>
  <c r="AQ278" i="80"/>
  <c r="AR275" i="80"/>
  <c r="AR679" i="80" s="1"/>
  <c r="AQ267" i="80"/>
  <c r="AQ200" i="80" s="1"/>
  <c r="AT701" i="80"/>
  <c r="AU699" i="80"/>
  <c r="AT213" i="80"/>
  <c r="CC320" i="80"/>
  <c r="CD320" i="80" s="1"/>
  <c r="AW316" i="80"/>
  <c r="BP232" i="80"/>
  <c r="BP223" i="80" s="1"/>
  <c r="BM232" i="80"/>
  <c r="BM223" i="80" s="1"/>
  <c r="BO232" i="80"/>
  <c r="BO223" i="80" s="1"/>
  <c r="BN232" i="80"/>
  <c r="BN223" i="80" s="1"/>
  <c r="AZ422" i="80"/>
  <c r="AZ421" i="80"/>
  <c r="AW514" i="80"/>
  <c r="AY525" i="80"/>
  <c r="AZ522" i="80"/>
  <c r="AW495" i="80"/>
  <c r="AW496" i="80" s="1"/>
  <c r="AW583" i="80"/>
  <c r="AX583" i="80" s="1"/>
  <c r="AV586" i="80"/>
  <c r="AV588" i="80" s="1"/>
  <c r="AV590" i="80" s="1"/>
  <c r="AY408" i="80"/>
  <c r="AY409" i="80"/>
  <c r="AZ304" i="80"/>
  <c r="AZ307" i="80" s="1"/>
  <c r="BA301" i="80"/>
  <c r="AU360" i="80"/>
  <c r="AV515" i="80"/>
  <c r="AV516" i="80" s="1"/>
  <c r="AS564" i="80"/>
  <c r="AV232" i="80"/>
  <c r="AV223" i="80" s="1"/>
  <c r="AS232" i="80"/>
  <c r="AS223" i="80" s="1"/>
  <c r="AU232" i="80"/>
  <c r="AU223" i="80" s="1"/>
  <c r="AT232" i="80"/>
  <c r="AT223" i="80" s="1"/>
  <c r="AS628" i="80"/>
  <c r="AO282" i="80"/>
  <c r="AO263" i="80"/>
  <c r="AO265" i="80" s="1"/>
  <c r="AO156" i="80" s="1"/>
  <c r="AW512" i="80"/>
  <c r="AL235" i="80"/>
  <c r="AI235" i="80"/>
  <c r="AK235" i="80"/>
  <c r="AJ235" i="80"/>
  <c r="AX686" i="80"/>
  <c r="AY684" i="80"/>
  <c r="AX210" i="80"/>
  <c r="BY86" i="73"/>
  <c r="BY88" i="73" s="1"/>
  <c r="BX89" i="73"/>
  <c r="BX91" i="73" s="1"/>
  <c r="BX93" i="73" s="1"/>
  <c r="BX95" i="73" s="1"/>
  <c r="AO602" i="80"/>
  <c r="AO195" i="80"/>
  <c r="AP268" i="80"/>
  <c r="AP182" i="80"/>
  <c r="AP281" i="80"/>
  <c r="AP280" i="80"/>
  <c r="AV359" i="80"/>
  <c r="AW359" i="80" s="1"/>
  <c r="AV358" i="80"/>
  <c r="AV360" i="80" s="1"/>
  <c r="AU382" i="80"/>
  <c r="AU201" i="80" s="1"/>
  <c r="AU393" i="80"/>
  <c r="AV390" i="80"/>
  <c r="AX528" i="80"/>
  <c r="AX527" i="80"/>
  <c r="AP215" i="80"/>
  <c r="AU588" i="80"/>
  <c r="AW586" i="80"/>
  <c r="AW585" i="80" s="1"/>
  <c r="AX585" i="80" s="1"/>
  <c r="AY585" i="80" s="1"/>
  <c r="AZ585" i="80" s="1"/>
  <c r="BA585" i="80" s="1"/>
  <c r="AW288" i="80"/>
  <c r="AX288" i="80" s="1"/>
  <c r="AV291" i="80"/>
  <c r="AV674" i="80"/>
  <c r="AS186" i="80"/>
  <c r="AS346" i="80"/>
  <c r="AP601" i="80"/>
  <c r="AP614" i="80"/>
  <c r="AP613" i="80"/>
  <c r="AU624" i="80"/>
  <c r="AV621" i="80"/>
  <c r="AX320" i="80"/>
  <c r="AX410" i="80"/>
  <c r="BP849" i="80"/>
  <c r="AY491" i="80"/>
  <c r="AY492" i="80"/>
  <c r="AR571" i="80"/>
  <c r="AQ574" i="80"/>
  <c r="AQ553" i="80"/>
  <c r="AQ202" i="80" s="1"/>
  <c r="AX514" i="80"/>
  <c r="BN710" i="80"/>
  <c r="BM711" i="80"/>
  <c r="BC652" i="80"/>
  <c r="BC651" i="80"/>
  <c r="BG223" i="80"/>
  <c r="AO189" i="80"/>
  <c r="AR225" i="80"/>
  <c r="AW321" i="80"/>
  <c r="AS397" i="80"/>
  <c r="AS378" i="80"/>
  <c r="AS380" i="80" s="1"/>
  <c r="AS157" i="80" s="1"/>
  <c r="AP205" i="80"/>
  <c r="AQ640" i="80"/>
  <c r="AQ196" i="80"/>
  <c r="AW183" i="80"/>
  <c r="AW231" i="80" s="1"/>
  <c r="AW329" i="80"/>
  <c r="BP372" i="80"/>
  <c r="BQ372" i="80" s="1"/>
  <c r="BP371" i="80"/>
  <c r="AN265" i="80"/>
  <c r="AN156" i="80" s="1"/>
  <c r="AX356" i="80"/>
  <c r="AY353" i="80"/>
  <c r="AT383" i="80"/>
  <c r="AT396" i="80"/>
  <c r="AT379" i="80" s="1"/>
  <c r="AT395" i="80"/>
  <c r="AV321" i="80"/>
  <c r="AW356" i="80"/>
  <c r="AW355" i="80" s="1"/>
  <c r="AP723" i="80"/>
  <c r="AP161" i="80" s="1"/>
  <c r="AR681" i="80"/>
  <c r="BN194" i="46"/>
  <c r="BO190" i="46"/>
  <c r="AX35" i="46"/>
  <c r="AX26" i="51" s="1"/>
  <c r="AX28" i="51" s="1"/>
  <c r="BQ207" i="46"/>
  <c r="BO216" i="46"/>
  <c r="BP235" i="46"/>
  <c r="BQ215" i="46"/>
  <c r="BQ235" i="46" s="1"/>
  <c r="BC231" i="46"/>
  <c r="BD205" i="46"/>
  <c r="EG15" i="71"/>
  <c r="DT12" i="71"/>
  <c r="CJ83" i="73"/>
  <c r="BW75" i="73"/>
  <c r="AW515" i="80" l="1"/>
  <c r="BQ166" i="79"/>
  <c r="AZ423" i="80"/>
  <c r="AU102" i="100"/>
  <c r="AV110" i="100" s="1"/>
  <c r="AT228" i="100"/>
  <c r="AS200" i="100"/>
  <c r="BJ190" i="100"/>
  <c r="BK211" i="100"/>
  <c r="BE112" i="100"/>
  <c r="BK175" i="100"/>
  <c r="AU143" i="100"/>
  <c r="AU15" i="100"/>
  <c r="AU17" i="100" s="1"/>
  <c r="AS230" i="100"/>
  <c r="AS226" i="100"/>
  <c r="AS40" i="100"/>
  <c r="BL100" i="100"/>
  <c r="BB174" i="99"/>
  <c r="BA209" i="99"/>
  <c r="BK208" i="99"/>
  <c r="AI294" i="99"/>
  <c r="AH64" i="99"/>
  <c r="AM84" i="73" s="1"/>
  <c r="BB279" i="99"/>
  <c r="BG55" i="99"/>
  <c r="BB21" i="99"/>
  <c r="BC19" i="99"/>
  <c r="BK132" i="99"/>
  <c r="AX29" i="99"/>
  <c r="BC25" i="46"/>
  <c r="BC133" i="99"/>
  <c r="BB144" i="99"/>
  <c r="BA244" i="99"/>
  <c r="AZ224" i="99"/>
  <c r="AS39" i="98"/>
  <c r="AS143" i="98"/>
  <c r="AS34" i="98"/>
  <c r="BI176" i="98"/>
  <c r="BA24" i="98"/>
  <c r="BA229" i="98" s="1"/>
  <c r="BA228" i="98"/>
  <c r="BF49" i="98"/>
  <c r="BF79" i="98" s="1"/>
  <c r="BF77" i="98" s="1"/>
  <c r="BC49" i="98"/>
  <c r="BC79" i="98" s="1"/>
  <c r="BC77" i="98" s="1"/>
  <c r="BE49" i="98"/>
  <c r="BE79" i="98" s="1"/>
  <c r="BE77" i="98" s="1"/>
  <c r="BD49" i="98"/>
  <c r="BD79" i="98" s="1"/>
  <c r="BD77" i="98" s="1"/>
  <c r="BG79" i="98"/>
  <c r="BG77" i="98" s="1"/>
  <c r="BB178" i="98"/>
  <c r="AZ212" i="98"/>
  <c r="AY193" i="98"/>
  <c r="BC109" i="98"/>
  <c r="BC107" i="98" s="1"/>
  <c r="BB111" i="98"/>
  <c r="BJ99" i="98"/>
  <c r="BB228" i="98"/>
  <c r="BB24" i="98"/>
  <c r="BQ219" i="77"/>
  <c r="BE25" i="77"/>
  <c r="BG152" i="77"/>
  <c r="AX250" i="77"/>
  <c r="BP150" i="77"/>
  <c r="BE238" i="78"/>
  <c r="BQ221" i="78"/>
  <c r="BQ30" i="46"/>
  <c r="BG237" i="78"/>
  <c r="BG27" i="78"/>
  <c r="BH256" i="78"/>
  <c r="BH158" i="78"/>
  <c r="BH14" i="78" s="1"/>
  <c r="BQ152" i="78"/>
  <c r="BF26" i="78"/>
  <c r="BF21" i="46"/>
  <c r="BG21" i="46" s="1"/>
  <c r="BH153" i="78"/>
  <c r="BC210" i="79"/>
  <c r="BQ117" i="46"/>
  <c r="BQ153" i="46"/>
  <c r="BD23" i="79"/>
  <c r="BD20" i="46"/>
  <c r="BE228" i="79"/>
  <c r="BE131" i="79"/>
  <c r="BE13" i="79" s="1"/>
  <c r="BQ125" i="79"/>
  <c r="BQ193" i="79"/>
  <c r="BE126" i="79"/>
  <c r="AR724" i="80"/>
  <c r="AR723" i="80"/>
  <c r="AT397" i="80"/>
  <c r="AT378" i="80"/>
  <c r="AT380" i="80" s="1"/>
  <c r="AT157" i="80" s="1"/>
  <c r="BP373" i="80"/>
  <c r="BC653" i="80"/>
  <c r="AV624" i="80"/>
  <c r="AW621" i="80"/>
  <c r="AX621" i="80" s="1"/>
  <c r="AP602" i="80"/>
  <c r="AP195" i="80"/>
  <c r="AV382" i="80"/>
  <c r="AV201" i="80" s="1"/>
  <c r="AV393" i="80"/>
  <c r="AW393" i="80" s="1"/>
  <c r="AW383" i="80" s="1"/>
  <c r="AW390" i="80"/>
  <c r="AP282" i="80"/>
  <c r="AP263" i="80"/>
  <c r="AW223" i="80"/>
  <c r="BB301" i="80"/>
  <c r="BC301" i="80" s="1"/>
  <c r="BA304" i="80"/>
  <c r="BA307" i="80" s="1"/>
  <c r="BB307" i="80" s="1"/>
  <c r="AX586" i="80"/>
  <c r="AY583" i="80"/>
  <c r="AW516" i="80"/>
  <c r="AW169" i="80" s="1"/>
  <c r="AU701" i="80"/>
  <c r="AV699" i="80"/>
  <c r="AU213" i="80"/>
  <c r="AQ268" i="80"/>
  <c r="AQ182" i="80"/>
  <c r="AQ281" i="80"/>
  <c r="AQ264" i="80" s="1"/>
  <c r="AQ280" i="80"/>
  <c r="AR278" i="80"/>
  <c r="AM174" i="80"/>
  <c r="AM175" i="80" s="1"/>
  <c r="AM24" i="73"/>
  <c r="AM25" i="73" s="1"/>
  <c r="AM164" i="80"/>
  <c r="BY100" i="73" s="1"/>
  <c r="AS714" i="80"/>
  <c r="AR214" i="80"/>
  <c r="BQ371" i="80"/>
  <c r="BQ373" i="80" s="1"/>
  <c r="AY183" i="80"/>
  <c r="AY332" i="80"/>
  <c r="AY334" i="80" s="1"/>
  <c r="AY333" i="80"/>
  <c r="AS665" i="80"/>
  <c r="AS664" i="80"/>
  <c r="AS639" i="80"/>
  <c r="AS188" i="80"/>
  <c r="AV691" i="80"/>
  <c r="AW691" i="80" s="1"/>
  <c r="AW689" i="80"/>
  <c r="AX689" i="80" s="1"/>
  <c r="AV211" i="80"/>
  <c r="AW211" i="80" s="1"/>
  <c r="BE649" i="80"/>
  <c r="BF646" i="80"/>
  <c r="AW224" i="80"/>
  <c r="AP578" i="80"/>
  <c r="AP549" i="80"/>
  <c r="AP551" i="80" s="1"/>
  <c r="AP158" i="80" s="1"/>
  <c r="AU295" i="80"/>
  <c r="AR209" i="80"/>
  <c r="AR215" i="80" s="1"/>
  <c r="AQ215" i="80"/>
  <c r="AX358" i="80"/>
  <c r="AX359" i="80"/>
  <c r="BO710" i="80"/>
  <c r="BN711" i="80"/>
  <c r="AQ576" i="80"/>
  <c r="AQ554" i="80"/>
  <c r="BQ849" i="80"/>
  <c r="AU627" i="80"/>
  <c r="AU626" i="80"/>
  <c r="AV676" i="80"/>
  <c r="AX674" i="80"/>
  <c r="AW674" i="80"/>
  <c r="AV208" i="80"/>
  <c r="AU590" i="80"/>
  <c r="AW588" i="80"/>
  <c r="AW590" i="80" s="1"/>
  <c r="AX529" i="80"/>
  <c r="AU383" i="80"/>
  <c r="AU396" i="80"/>
  <c r="AU379" i="80" s="1"/>
  <c r="AU395" i="80"/>
  <c r="AP264" i="80"/>
  <c r="AR281" i="80"/>
  <c r="AR264" i="80" s="1"/>
  <c r="AS347" i="80"/>
  <c r="BB483" i="80"/>
  <c r="BC483" i="80" s="1"/>
  <c r="BA489" i="80"/>
  <c r="BA486" i="80"/>
  <c r="BA406" i="80"/>
  <c r="BB403" i="80"/>
  <c r="BC403" i="80" s="1"/>
  <c r="AT662" i="80"/>
  <c r="AU659" i="80"/>
  <c r="AT638" i="80"/>
  <c r="AT204" i="80" s="1"/>
  <c r="BA422" i="80"/>
  <c r="BB422" i="80" s="1"/>
  <c r="BA421" i="80"/>
  <c r="BA423" i="80" s="1"/>
  <c r="AR666" i="80"/>
  <c r="AR634" i="80"/>
  <c r="AR636" i="80" s="1"/>
  <c r="AO197" i="80"/>
  <c r="BD652" i="80"/>
  <c r="BD651" i="80"/>
  <c r="AX696" i="80"/>
  <c r="AY694" i="80"/>
  <c r="AX212" i="80"/>
  <c r="AQ601" i="80"/>
  <c r="AQ614" i="80"/>
  <c r="AQ597" i="80" s="1"/>
  <c r="AQ613" i="80"/>
  <c r="AT186" i="80"/>
  <c r="AT345" i="80"/>
  <c r="AT346" i="80"/>
  <c r="AR611" i="80"/>
  <c r="AT384" i="80"/>
  <c r="AT193" i="80"/>
  <c r="AS571" i="80"/>
  <c r="AR553" i="80"/>
  <c r="AR202" i="80" s="1"/>
  <c r="AP615" i="80"/>
  <c r="AP596" i="80"/>
  <c r="AV181" i="80"/>
  <c r="AV294" i="80"/>
  <c r="AW294" i="80" s="1"/>
  <c r="AV293" i="80"/>
  <c r="AY686" i="80"/>
  <c r="BB686" i="80" s="1"/>
  <c r="AY210" i="80"/>
  <c r="BB304" i="80"/>
  <c r="CC313" i="80" s="1"/>
  <c r="CD313" i="80" s="1"/>
  <c r="AS566" i="80"/>
  <c r="AW358" i="80"/>
  <c r="AW360" i="80" s="1"/>
  <c r="AY410" i="80"/>
  <c r="BA522" i="80"/>
  <c r="AZ525" i="80"/>
  <c r="CF320" i="80"/>
  <c r="CF312" i="80"/>
  <c r="CI8" i="73" s="1"/>
  <c r="AQ205" i="80"/>
  <c r="AZ506" i="80"/>
  <c r="AZ509" i="80"/>
  <c r="BA503" i="80"/>
  <c r="AZ491" i="80"/>
  <c r="AZ492" i="80"/>
  <c r="AZ409" i="80"/>
  <c r="AZ408" i="80"/>
  <c r="BD416" i="80"/>
  <c r="BC419" i="80"/>
  <c r="AR574" i="80"/>
  <c r="AZ317" i="80"/>
  <c r="BA314" i="80"/>
  <c r="AU562" i="80"/>
  <c r="AV559" i="80"/>
  <c r="AU343" i="80"/>
  <c r="AV340" i="80"/>
  <c r="AQ723" i="80"/>
  <c r="AQ161" i="80" s="1"/>
  <c r="AR161" i="80" s="1"/>
  <c r="AR172" i="80" s="1"/>
  <c r="AZ353" i="80"/>
  <c r="AY356" i="80"/>
  <c r="AT231" i="80"/>
  <c r="AU231" i="80"/>
  <c r="AS231" i="80"/>
  <c r="AV231" i="80"/>
  <c r="AY185" i="80"/>
  <c r="AY495" i="80"/>
  <c r="AY496" i="80" s="1"/>
  <c r="AP597" i="80"/>
  <c r="AR614" i="80"/>
  <c r="AR597" i="80" s="1"/>
  <c r="AX291" i="80"/>
  <c r="AY288" i="80"/>
  <c r="AP269" i="80"/>
  <c r="AP192" i="80"/>
  <c r="AP197" i="80" s="1"/>
  <c r="AY528" i="80"/>
  <c r="AY527" i="80"/>
  <c r="AY529" i="80" s="1"/>
  <c r="BQ223" i="80"/>
  <c r="AS275" i="80"/>
  <c r="AR267" i="80"/>
  <c r="AR200" i="80" s="1"/>
  <c r="AR205" i="80" s="1"/>
  <c r="AY511" i="80"/>
  <c r="AY512" i="80"/>
  <c r="AZ494" i="80"/>
  <c r="BB486" i="80"/>
  <c r="AZ330" i="80"/>
  <c r="BA327" i="80"/>
  <c r="AW624" i="80"/>
  <c r="AX515" i="80"/>
  <c r="AP555" i="80"/>
  <c r="AP194" i="80"/>
  <c r="AP187" i="80"/>
  <c r="AP189" i="80" s="1"/>
  <c r="AR600" i="80"/>
  <c r="AR203" i="80" s="1"/>
  <c r="AS608" i="80"/>
  <c r="AT564" i="80"/>
  <c r="AX334" i="80"/>
  <c r="AW291" i="80"/>
  <c r="AW623" i="80"/>
  <c r="BB303" i="80"/>
  <c r="BB406" i="80"/>
  <c r="BP216" i="46"/>
  <c r="AX249" i="46"/>
  <c r="BD231" i="46"/>
  <c r="BE205" i="46"/>
  <c r="EI15" i="71"/>
  <c r="BO194" i="46"/>
  <c r="BP190" i="46"/>
  <c r="DU12" i="71"/>
  <c r="EH15" i="71"/>
  <c r="CJ84" i="73"/>
  <c r="BL20" i="73"/>
  <c r="BL175" i="100" l="1"/>
  <c r="BL211" i="100"/>
  <c r="BK190" i="100"/>
  <c r="AS239" i="100"/>
  <c r="AU23" i="100"/>
  <c r="AZ26" i="46"/>
  <c r="AV246" i="100"/>
  <c r="AV249" i="100" s="1"/>
  <c r="AV108" i="100"/>
  <c r="AU176" i="100"/>
  <c r="BF112" i="100"/>
  <c r="AS201" i="100"/>
  <c r="BA224" i="99"/>
  <c r="BB224" i="99" s="1"/>
  <c r="BB244" i="99"/>
  <c r="BC279" i="99"/>
  <c r="BC174" i="99"/>
  <c r="BC21" i="99"/>
  <c r="AX30" i="99"/>
  <c r="BL208" i="99"/>
  <c r="BB209" i="99"/>
  <c r="BA210" i="99"/>
  <c r="BC134" i="99"/>
  <c r="BD142" i="99" s="1"/>
  <c r="BD140" i="99" s="1"/>
  <c r="BD133" i="99" s="1"/>
  <c r="BL132" i="99"/>
  <c r="BF55" i="99"/>
  <c r="BF87" i="99" s="1"/>
  <c r="BF85" i="99" s="1"/>
  <c r="BE55" i="99"/>
  <c r="BE87" i="99" s="1"/>
  <c r="BE85" i="99" s="1"/>
  <c r="BD55" i="99"/>
  <c r="BD87" i="99" s="1"/>
  <c r="BD85" i="99" s="1"/>
  <c r="BC55" i="99"/>
  <c r="BC87" i="99" s="1"/>
  <c r="AJ294" i="99"/>
  <c r="AI64" i="99"/>
  <c r="BD81" i="98"/>
  <c r="BD62" i="98" s="1"/>
  <c r="BB229" i="98"/>
  <c r="BG31" i="71"/>
  <c r="BA212" i="98"/>
  <c r="AZ193" i="98"/>
  <c r="BE81" i="98"/>
  <c r="BE62" i="98" s="1"/>
  <c r="AS227" i="98"/>
  <c r="AS231" i="98"/>
  <c r="AS40" i="98"/>
  <c r="BC81" i="98"/>
  <c r="BC62" i="98" s="1"/>
  <c r="AS201" i="98"/>
  <c r="BK99" i="98"/>
  <c r="BC13" i="98"/>
  <c r="BC100" i="98"/>
  <c r="BG81" i="98"/>
  <c r="BF81" i="98"/>
  <c r="BF62" i="98" s="1"/>
  <c r="BJ176" i="98"/>
  <c r="BQ150" i="77"/>
  <c r="BH158" i="77"/>
  <c r="BG160" i="77"/>
  <c r="BH154" i="78"/>
  <c r="BI160" i="78" s="1"/>
  <c r="BH193" i="78"/>
  <c r="BH16" i="78"/>
  <c r="BH20" i="78" s="1"/>
  <c r="BG238" i="78"/>
  <c r="BG29" i="71"/>
  <c r="BF27" i="78"/>
  <c r="BF238" i="78" s="1"/>
  <c r="BF237" i="78"/>
  <c r="BE127" i="79"/>
  <c r="BF133" i="79" s="1"/>
  <c r="BD24" i="79"/>
  <c r="BD209" i="79"/>
  <c r="BE164" i="79"/>
  <c r="BE15" i="79"/>
  <c r="BE17" i="79" s="1"/>
  <c r="BA330" i="80"/>
  <c r="BB327" i="80"/>
  <c r="BC327" i="80" s="1"/>
  <c r="AY515" i="80"/>
  <c r="AY516" i="80" s="1"/>
  <c r="AX181" i="80"/>
  <c r="AX293" i="80"/>
  <c r="AX294" i="80"/>
  <c r="BA353" i="80"/>
  <c r="AZ356" i="80"/>
  <c r="AV562" i="80"/>
  <c r="AW559" i="80"/>
  <c r="AZ320" i="80"/>
  <c r="AZ185" i="80"/>
  <c r="AZ495" i="80"/>
  <c r="AZ514" i="80"/>
  <c r="AZ528" i="80"/>
  <c r="AZ527" i="80"/>
  <c r="AZ529" i="80" s="1"/>
  <c r="AV295" i="80"/>
  <c r="AP598" i="80"/>
  <c r="AP159" i="80" s="1"/>
  <c r="AQ596" i="80"/>
  <c r="AQ598" i="80" s="1"/>
  <c r="AQ159" i="80" s="1"/>
  <c r="AQ615" i="80"/>
  <c r="AT665" i="80"/>
  <c r="AT635" i="80" s="1"/>
  <c r="AT664" i="80"/>
  <c r="AT639" i="80"/>
  <c r="AT188" i="80"/>
  <c r="BA492" i="80"/>
  <c r="BB492" i="80" s="1"/>
  <c r="BB185" i="80" s="1"/>
  <c r="BB234" i="80" s="1"/>
  <c r="BA491" i="80"/>
  <c r="BB491" i="80" s="1"/>
  <c r="BB489" i="80"/>
  <c r="AW193" i="80"/>
  <c r="AW208" i="80"/>
  <c r="AQ578" i="80"/>
  <c r="AQ549" i="80"/>
  <c r="AQ551" i="80" s="1"/>
  <c r="AQ158" i="80" s="1"/>
  <c r="AR158" i="80" s="1"/>
  <c r="AR171" i="80" s="1"/>
  <c r="AR576" i="80"/>
  <c r="BF649" i="80"/>
  <c r="BG646" i="80"/>
  <c r="AX691" i="80"/>
  <c r="AY689" i="80"/>
  <c r="AX211" i="80"/>
  <c r="AS666" i="80"/>
  <c r="AS634" i="80"/>
  <c r="AV383" i="80"/>
  <c r="AV396" i="80"/>
  <c r="AV395" i="80"/>
  <c r="AZ183" i="80"/>
  <c r="AZ333" i="80"/>
  <c r="AZ332" i="80"/>
  <c r="AV343" i="80"/>
  <c r="AW340" i="80"/>
  <c r="AX340" i="80" s="1"/>
  <c r="AU564" i="80"/>
  <c r="AW562" i="80"/>
  <c r="AR573" i="80"/>
  <c r="AS573" i="80" s="1"/>
  <c r="AT573" i="80" s="1"/>
  <c r="AU573" i="80" s="1"/>
  <c r="AV573" i="80" s="1"/>
  <c r="AR554" i="80"/>
  <c r="BA525" i="80"/>
  <c r="BB525" i="80" s="1"/>
  <c r="BB522" i="80"/>
  <c r="BC522" i="80" s="1"/>
  <c r="AX516" i="80"/>
  <c r="AY696" i="80"/>
  <c r="AZ694" i="80"/>
  <c r="AY212" i="80"/>
  <c r="BC406" i="80"/>
  <c r="BD403" i="80"/>
  <c r="BC486" i="80"/>
  <c r="BD483" i="80"/>
  <c r="BC489" i="80"/>
  <c r="AU378" i="80"/>
  <c r="AU380" i="80" s="1"/>
  <c r="AU157" i="80" s="1"/>
  <c r="AU397" i="80"/>
  <c r="BE652" i="80"/>
  <c r="BE651" i="80"/>
  <c r="AS635" i="80"/>
  <c r="AS716" i="80"/>
  <c r="AT714" i="80"/>
  <c r="AS214" i="80"/>
  <c r="AR268" i="80"/>
  <c r="AR182" i="80"/>
  <c r="AR277" i="80"/>
  <c r="AQ269" i="80"/>
  <c r="AQ192" i="80"/>
  <c r="BC304" i="80"/>
  <c r="BD301" i="80"/>
  <c r="AP265" i="80"/>
  <c r="AP156" i="80" s="1"/>
  <c r="AX624" i="80"/>
  <c r="AY621" i="80"/>
  <c r="AW181" i="80"/>
  <c r="AW290" i="80"/>
  <c r="AT566" i="80"/>
  <c r="AU186" i="80"/>
  <c r="AU346" i="80"/>
  <c r="AU345" i="80"/>
  <c r="CI7" i="73"/>
  <c r="AW343" i="80"/>
  <c r="AW186" i="80" s="1"/>
  <c r="AW233" i="80" s="1"/>
  <c r="BC421" i="80"/>
  <c r="BC422" i="80"/>
  <c r="AZ410" i="80"/>
  <c r="BA506" i="80"/>
  <c r="BB503" i="80"/>
  <c r="BC503" i="80" s="1"/>
  <c r="BA509" i="80"/>
  <c r="AR601" i="80"/>
  <c r="AR610" i="80"/>
  <c r="AT347" i="80"/>
  <c r="AQ602" i="80"/>
  <c r="AQ195" i="80"/>
  <c r="BA409" i="80"/>
  <c r="BB409" i="80" s="1"/>
  <c r="BA408" i="80"/>
  <c r="AY674" i="80"/>
  <c r="AX676" i="80"/>
  <c r="AX208" i="80"/>
  <c r="AU628" i="80"/>
  <c r="BP710" i="80"/>
  <c r="BO711" i="80"/>
  <c r="AX360" i="80"/>
  <c r="AW293" i="80"/>
  <c r="AW295" i="80" s="1"/>
  <c r="AW167" i="80" s="1"/>
  <c r="AQ282" i="80"/>
  <c r="AQ263" i="80"/>
  <c r="AQ265" i="80" s="1"/>
  <c r="AQ156" i="80" s="1"/>
  <c r="AR280" i="80"/>
  <c r="AY586" i="80"/>
  <c r="AY588" i="80" s="1"/>
  <c r="AY590" i="80" s="1"/>
  <c r="AZ583" i="80"/>
  <c r="BB421" i="80"/>
  <c r="BB423" i="80" s="1"/>
  <c r="AV627" i="80"/>
  <c r="AW627" i="80" s="1"/>
  <c r="AV626" i="80"/>
  <c r="AV628" i="80" s="1"/>
  <c r="AS611" i="80"/>
  <c r="AS600" i="80"/>
  <c r="AS203" i="80" s="1"/>
  <c r="AT608" i="80"/>
  <c r="AZ496" i="80"/>
  <c r="BB494" i="80"/>
  <c r="AS267" i="80"/>
  <c r="AS200" i="80" s="1"/>
  <c r="AS205" i="80" s="1"/>
  <c r="AS278" i="80"/>
  <c r="AT275" i="80"/>
  <c r="AY291" i="80"/>
  <c r="AZ288" i="80"/>
  <c r="AY358" i="80"/>
  <c r="AY359" i="80"/>
  <c r="BA317" i="80"/>
  <c r="BA320" i="80" s="1"/>
  <c r="BB314" i="80"/>
  <c r="BC314" i="80" s="1"/>
  <c r="BD419" i="80"/>
  <c r="BE416" i="80"/>
  <c r="AZ512" i="80"/>
  <c r="AZ511" i="80"/>
  <c r="AR613" i="80"/>
  <c r="AS574" i="80"/>
  <c r="AT571" i="80"/>
  <c r="AS553" i="80"/>
  <c r="AS202" i="80" s="1"/>
  <c r="BD653" i="80"/>
  <c r="AU662" i="80"/>
  <c r="AV659" i="80"/>
  <c r="AU638" i="80"/>
  <c r="AU204" i="80" s="1"/>
  <c r="BA494" i="80"/>
  <c r="AU384" i="80"/>
  <c r="AU193" i="80"/>
  <c r="AW676" i="80"/>
  <c r="AQ555" i="80"/>
  <c r="AQ194" i="80"/>
  <c r="AQ187" i="80"/>
  <c r="AQ189" i="80" s="1"/>
  <c r="BG648" i="80"/>
  <c r="AS640" i="80"/>
  <c r="AS196" i="80"/>
  <c r="AW699" i="80"/>
  <c r="AV701" i="80"/>
  <c r="AW701" i="80" s="1"/>
  <c r="AV213" i="80"/>
  <c r="AX588" i="80"/>
  <c r="AX390" i="80"/>
  <c r="AW382" i="80"/>
  <c r="AW201" i="80" s="1"/>
  <c r="AS679" i="80"/>
  <c r="DV12" i="71"/>
  <c r="BQ216" i="46"/>
  <c r="BQ190" i="46"/>
  <c r="BQ194" i="46" s="1"/>
  <c r="BP194" i="46"/>
  <c r="BE231" i="46"/>
  <c r="BF205" i="46"/>
  <c r="CJ85" i="73"/>
  <c r="CK84" i="73"/>
  <c r="BA410" i="80" l="1"/>
  <c r="BA514" i="80"/>
  <c r="BH112" i="100"/>
  <c r="AV13" i="100"/>
  <c r="AW108" i="100"/>
  <c r="AW110" i="100" s="1"/>
  <c r="AV101" i="100"/>
  <c r="AS217" i="100"/>
  <c r="AU177" i="100"/>
  <c r="AU24" i="100"/>
  <c r="AU227" i="100"/>
  <c r="BL190" i="100"/>
  <c r="AK294" i="99"/>
  <c r="AJ64" i="99"/>
  <c r="BF89" i="99"/>
  <c r="BF70" i="99" s="1"/>
  <c r="BD134" i="99"/>
  <c r="BE142" i="99" s="1"/>
  <c r="BE140" i="99" s="1"/>
  <c r="BE19" i="99" s="1"/>
  <c r="BG87" i="99"/>
  <c r="BC85" i="99"/>
  <c r="BC244" i="99"/>
  <c r="BD89" i="99"/>
  <c r="BD70" i="99" s="1"/>
  <c r="BC209" i="99"/>
  <c r="BB210" i="99"/>
  <c r="BE89" i="99"/>
  <c r="BE70" i="99" s="1"/>
  <c r="BD19" i="99"/>
  <c r="BC247" i="98"/>
  <c r="BC144" i="98"/>
  <c r="BC15" i="98"/>
  <c r="AS202" i="98"/>
  <c r="BC74" i="98"/>
  <c r="BC75" i="98" s="1"/>
  <c r="BG62" i="98"/>
  <c r="BC8" i="98"/>
  <c r="BE74" i="98"/>
  <c r="BE75" i="98" s="1"/>
  <c r="BE8" i="98"/>
  <c r="BK176" i="98"/>
  <c r="BD8" i="98"/>
  <c r="BD74" i="98"/>
  <c r="BD75" i="98" s="1"/>
  <c r="BL99" i="98"/>
  <c r="BF74" i="98"/>
  <c r="BF75" i="98" s="1"/>
  <c r="BF8" i="98"/>
  <c r="BC101" i="98"/>
  <c r="BD109" i="98" s="1"/>
  <c r="BD107" i="98" s="1"/>
  <c r="BD100" i="98" s="1"/>
  <c r="AS240" i="98"/>
  <c r="BB212" i="98"/>
  <c r="BA193" i="98"/>
  <c r="BH257" i="77"/>
  <c r="BH156" i="77"/>
  <c r="BH14" i="77" s="1"/>
  <c r="BH151" i="77"/>
  <c r="BI256" i="78"/>
  <c r="BI158" i="78"/>
  <c r="BI14" i="78" s="1"/>
  <c r="BH26" i="78"/>
  <c r="BH21" i="46"/>
  <c r="BI153" i="78"/>
  <c r="BE23" i="79"/>
  <c r="BE20" i="46"/>
  <c r="BF228" i="79"/>
  <c r="BG228" i="79" s="1"/>
  <c r="BF131" i="79"/>
  <c r="BF13" i="79" s="1"/>
  <c r="BG133" i="79"/>
  <c r="BF126" i="79"/>
  <c r="BD210" i="79"/>
  <c r="AS576" i="80"/>
  <c r="AS554" i="80"/>
  <c r="BC317" i="80"/>
  <c r="BD314" i="80"/>
  <c r="BA288" i="80"/>
  <c r="AZ291" i="80"/>
  <c r="AS268" i="80"/>
  <c r="AS182" i="80"/>
  <c r="AS281" i="80"/>
  <c r="AS280" i="80"/>
  <c r="AU608" i="80"/>
  <c r="AT611" i="80"/>
  <c r="AT600" i="80"/>
  <c r="AT203" i="80" s="1"/>
  <c r="BA583" i="80"/>
  <c r="AZ586" i="80"/>
  <c r="BA512" i="80"/>
  <c r="BB512" i="80" s="1"/>
  <c r="BA511" i="80"/>
  <c r="BB511" i="80" s="1"/>
  <c r="BC307" i="80"/>
  <c r="AR230" i="80"/>
  <c r="BX186" i="80"/>
  <c r="BE653" i="80"/>
  <c r="BC491" i="80"/>
  <c r="BC492" i="80"/>
  <c r="BC408" i="80"/>
  <c r="BC409" i="80"/>
  <c r="AR555" i="80"/>
  <c r="AR194" i="80"/>
  <c r="AR187" i="80"/>
  <c r="AR235" i="80" s="1"/>
  <c r="AU566" i="80"/>
  <c r="AV379" i="80"/>
  <c r="AW396" i="80"/>
  <c r="AW379" i="80" s="1"/>
  <c r="AS636" i="80"/>
  <c r="AS160" i="80" s="1"/>
  <c r="AY691" i="80"/>
  <c r="BB691" i="80" s="1"/>
  <c r="AY211" i="80"/>
  <c r="BF652" i="80"/>
  <c r="BF651" i="80"/>
  <c r="AT640" i="80"/>
  <c r="AT196" i="80"/>
  <c r="BB514" i="80"/>
  <c r="BB317" i="80"/>
  <c r="AV564" i="80"/>
  <c r="BA183" i="80"/>
  <c r="BA333" i="80"/>
  <c r="BB333" i="80" s="1"/>
  <c r="BA332" i="80"/>
  <c r="AW342" i="80"/>
  <c r="BB509" i="80"/>
  <c r="AX382" i="80"/>
  <c r="AX201" i="80" s="1"/>
  <c r="AX393" i="80"/>
  <c r="AY390" i="80"/>
  <c r="AR596" i="80"/>
  <c r="AR598" i="80" s="1"/>
  <c r="AR615" i="80"/>
  <c r="AZ515" i="80"/>
  <c r="AY181" i="80"/>
  <c r="AY293" i="80"/>
  <c r="AY295" i="80" s="1"/>
  <c r="AY294" i="80"/>
  <c r="AR602" i="80"/>
  <c r="AR195" i="80"/>
  <c r="BC509" i="80"/>
  <c r="BD503" i="80"/>
  <c r="BC506" i="80"/>
  <c r="AT233" i="80"/>
  <c r="AT225" i="80" s="1"/>
  <c r="AU233" i="80"/>
  <c r="AU225" i="80" s="1"/>
  <c r="AV233" i="80"/>
  <c r="AV225" i="80" s="1"/>
  <c r="AS233" i="80"/>
  <c r="AS225" i="80" s="1"/>
  <c r="AW229" i="80"/>
  <c r="BY185" i="80"/>
  <c r="AR156" i="80"/>
  <c r="AQ197" i="80"/>
  <c r="AR269" i="80"/>
  <c r="AR192" i="80"/>
  <c r="AR197" i="80" s="1"/>
  <c r="BD486" i="80"/>
  <c r="BD494" i="80" s="1"/>
  <c r="BE483" i="80"/>
  <c r="BD489" i="80"/>
  <c r="BC525" i="80"/>
  <c r="BD522" i="80"/>
  <c r="AY340" i="80"/>
  <c r="AX343" i="80"/>
  <c r="AV384" i="80"/>
  <c r="AV193" i="80"/>
  <c r="AR578" i="80"/>
  <c r="AR549" i="80"/>
  <c r="AR551" i="80" s="1"/>
  <c r="AT666" i="80"/>
  <c r="AT634" i="80"/>
  <c r="AT636" i="80" s="1"/>
  <c r="AT160" i="80" s="1"/>
  <c r="BB320" i="80"/>
  <c r="AX295" i="80"/>
  <c r="AT679" i="80"/>
  <c r="AS681" i="80"/>
  <c r="AS209" i="80"/>
  <c r="AS215" i="80" s="1"/>
  <c r="AS720" i="80"/>
  <c r="AX699" i="80"/>
  <c r="AW213" i="80"/>
  <c r="AV662" i="80"/>
  <c r="AW659" i="80"/>
  <c r="AV638" i="80"/>
  <c r="AV204" i="80" s="1"/>
  <c r="BF416" i="80"/>
  <c r="BE419" i="80"/>
  <c r="AT267" i="80"/>
  <c r="AT200" i="80" s="1"/>
  <c r="AT278" i="80"/>
  <c r="AU275" i="80"/>
  <c r="AR263" i="80"/>
  <c r="AR265" i="80" s="1"/>
  <c r="AR282" i="80"/>
  <c r="AR168" i="80" s="1"/>
  <c r="BQ710" i="80"/>
  <c r="BY324" i="80" s="1"/>
  <c r="BZ324" i="80" s="1"/>
  <c r="CA324" i="80" s="1"/>
  <c r="BP711" i="80"/>
  <c r="BQ711" i="80" s="1"/>
  <c r="BC423" i="80"/>
  <c r="CI9" i="73"/>
  <c r="CI10" i="73" s="1"/>
  <c r="CA49" i="73"/>
  <c r="CA50" i="73" s="1"/>
  <c r="CA52" i="73" s="1"/>
  <c r="CA63" i="73" s="1"/>
  <c r="CA64" i="73" s="1"/>
  <c r="CA68" i="73" s="1"/>
  <c r="AY624" i="80"/>
  <c r="AZ621" i="80"/>
  <c r="BD304" i="80"/>
  <c r="BD307" i="80" s="1"/>
  <c r="BE301" i="80"/>
  <c r="BC494" i="80"/>
  <c r="BA694" i="80"/>
  <c r="AZ696" i="80"/>
  <c r="AZ212" i="80"/>
  <c r="BA528" i="80"/>
  <c r="BB528" i="80" s="1"/>
  <c r="BA527" i="80"/>
  <c r="AW561" i="80"/>
  <c r="AX561" i="80" s="1"/>
  <c r="AY561" i="80" s="1"/>
  <c r="AZ561" i="80" s="1"/>
  <c r="BA561" i="80" s="1"/>
  <c r="AV186" i="80"/>
  <c r="AV346" i="80"/>
  <c r="AW346" i="80" s="1"/>
  <c r="AV345" i="80"/>
  <c r="BA185" i="80"/>
  <c r="BA495" i="80"/>
  <c r="BA496" i="80" s="1"/>
  <c r="AR159" i="80"/>
  <c r="AZ359" i="80"/>
  <c r="AZ358" i="80"/>
  <c r="AZ234" i="80"/>
  <c r="AZ224" i="80" s="1"/>
  <c r="BA234" i="80"/>
  <c r="BA224" i="80" s="1"/>
  <c r="AY234" i="80"/>
  <c r="AY224" i="80" s="1"/>
  <c r="AX234" i="80"/>
  <c r="AX224" i="80" s="1"/>
  <c r="AX590" i="80"/>
  <c r="AU665" i="80"/>
  <c r="AU664" i="80"/>
  <c r="AU639" i="80"/>
  <c r="AU188" i="80"/>
  <c r="AT574" i="80"/>
  <c r="AU571" i="80"/>
  <c r="AT553" i="80"/>
  <c r="AT202" i="80" s="1"/>
  <c r="BD421" i="80"/>
  <c r="BD422" i="80"/>
  <c r="AY360" i="80"/>
  <c r="AS601" i="80"/>
  <c r="AS614" i="80"/>
  <c r="AS613" i="80"/>
  <c r="AW626" i="80"/>
  <c r="AW628" i="80" s="1"/>
  <c r="AY676" i="80"/>
  <c r="AY208" i="80"/>
  <c r="BB408" i="80"/>
  <c r="BB410" i="80" s="1"/>
  <c r="AU347" i="80"/>
  <c r="AX627" i="80"/>
  <c r="AX626" i="80"/>
  <c r="AT716" i="80"/>
  <c r="AU714" i="80"/>
  <c r="AT214" i="80"/>
  <c r="BG649" i="80"/>
  <c r="BD406" i="80"/>
  <c r="BE403" i="80"/>
  <c r="AZ334" i="80"/>
  <c r="BB332" i="80"/>
  <c r="AV397" i="80"/>
  <c r="AV378" i="80"/>
  <c r="AW395" i="80"/>
  <c r="BH646" i="80"/>
  <c r="AW384" i="80"/>
  <c r="BB506" i="80"/>
  <c r="AX559" i="80"/>
  <c r="BA356" i="80"/>
  <c r="BB353" i="80"/>
  <c r="BC330" i="80"/>
  <c r="BD327" i="80"/>
  <c r="BG651" i="80"/>
  <c r="BB330" i="80"/>
  <c r="BF231" i="46"/>
  <c r="BG205" i="46"/>
  <c r="DW12" i="71"/>
  <c r="CJ86" i="73"/>
  <c r="CK85" i="73"/>
  <c r="AV380" i="80" l="1"/>
  <c r="AV157" i="80" s="1"/>
  <c r="AW157" i="80" s="1"/>
  <c r="AU228" i="100"/>
  <c r="AW246" i="100"/>
  <c r="AV143" i="100"/>
  <c r="AV15" i="100"/>
  <c r="AV17" i="100" s="1"/>
  <c r="AW13" i="100"/>
  <c r="AW101" i="100"/>
  <c r="AV102" i="100"/>
  <c r="BI112" i="100"/>
  <c r="BD279" i="99"/>
  <c r="BD174" i="99"/>
  <c r="BD209" i="99" s="1"/>
  <c r="BD21" i="99"/>
  <c r="BD82" i="99"/>
  <c r="BD83" i="99" s="1"/>
  <c r="BD8" i="99"/>
  <c r="BD10" i="99" s="1"/>
  <c r="BC89" i="99"/>
  <c r="BC70" i="99" s="1"/>
  <c r="BF82" i="99"/>
  <c r="BF83" i="99" s="1"/>
  <c r="BF8" i="99"/>
  <c r="BE82" i="99"/>
  <c r="BE83" i="99" s="1"/>
  <c r="BE8" i="99"/>
  <c r="BE10" i="99" s="1"/>
  <c r="BC210" i="99"/>
  <c r="BD244" i="99"/>
  <c r="BC224" i="99"/>
  <c r="BE279" i="99"/>
  <c r="BE174" i="99"/>
  <c r="BE21" i="99"/>
  <c r="BE133" i="99"/>
  <c r="AL294" i="99"/>
  <c r="AK64" i="99"/>
  <c r="BD101" i="98"/>
  <c r="BE109" i="98" s="1"/>
  <c r="BE107" i="98" s="1"/>
  <c r="BE13" i="98" s="1"/>
  <c r="BL176" i="98"/>
  <c r="BG74" i="98"/>
  <c r="BG75" i="98" s="1"/>
  <c r="BG8" i="98"/>
  <c r="BF10" i="98"/>
  <c r="BE10" i="98"/>
  <c r="BB193" i="98"/>
  <c r="BD10" i="98"/>
  <c r="AS219" i="98"/>
  <c r="BC177" i="98"/>
  <c r="BC212" i="98"/>
  <c r="BD13" i="98"/>
  <c r="BC10" i="98"/>
  <c r="BC17" i="98"/>
  <c r="BH152" i="77"/>
  <c r="BI158" i="77" s="1"/>
  <c r="BI151" i="77" s="1"/>
  <c r="BH190" i="77"/>
  <c r="BH16" i="77"/>
  <c r="BH18" i="77" s="1"/>
  <c r="BH237" i="78"/>
  <c r="BH27" i="78"/>
  <c r="BI154" i="78"/>
  <c r="BJ160" i="78" s="1"/>
  <c r="BJ153" i="78" s="1"/>
  <c r="BI193" i="78"/>
  <c r="BI16" i="78"/>
  <c r="BI20" i="78" s="1"/>
  <c r="BF164" i="79"/>
  <c r="BG164" i="79" s="1"/>
  <c r="BF15" i="79"/>
  <c r="BF17" i="79" s="1"/>
  <c r="BG13" i="79"/>
  <c r="BG15" i="79" s="1"/>
  <c r="BG17" i="79" s="1"/>
  <c r="BG23" i="79" s="1"/>
  <c r="BG126" i="79"/>
  <c r="BF127" i="79"/>
  <c r="BG131" i="79"/>
  <c r="BE24" i="79"/>
  <c r="BE209" i="79"/>
  <c r="BD330" i="80"/>
  <c r="BE327" i="80"/>
  <c r="BC353" i="80"/>
  <c r="AW397" i="80"/>
  <c r="AW378" i="80"/>
  <c r="AW380" i="80" s="1"/>
  <c r="AX628" i="80"/>
  <c r="AS615" i="80"/>
  <c r="AS596" i="80"/>
  <c r="AV347" i="80"/>
  <c r="AW345" i="80"/>
  <c r="AW347" i="80" s="1"/>
  <c r="AW170" i="80" s="1"/>
  <c r="BF301" i="80"/>
  <c r="BE304" i="80"/>
  <c r="BE307" i="80" s="1"/>
  <c r="AT205" i="80"/>
  <c r="AX701" i="80"/>
  <c r="AY699" i="80"/>
  <c r="AX213" i="80"/>
  <c r="AU679" i="80"/>
  <c r="AT681" i="80"/>
  <c r="AT209" i="80"/>
  <c r="AT215" i="80" s="1"/>
  <c r="AX186" i="80"/>
  <c r="AX345" i="80"/>
  <c r="AX346" i="80"/>
  <c r="BD491" i="80"/>
  <c r="BD492" i="80"/>
  <c r="AW225" i="80"/>
  <c r="AX383" i="80"/>
  <c r="AX396" i="80"/>
  <c r="AX395" i="80"/>
  <c r="BA334" i="80"/>
  <c r="AV566" i="80"/>
  <c r="AW564" i="80"/>
  <c r="AZ516" i="80"/>
  <c r="BF653" i="80"/>
  <c r="AS264" i="80"/>
  <c r="BC320" i="80"/>
  <c r="AS578" i="80"/>
  <c r="AS549" i="80"/>
  <c r="AS551" i="80" s="1"/>
  <c r="AS158" i="80" s="1"/>
  <c r="BB495" i="80"/>
  <c r="BB496" i="80" s="1"/>
  <c r="BA359" i="80"/>
  <c r="BB359" i="80" s="1"/>
  <c r="BA358" i="80"/>
  <c r="BB356" i="80"/>
  <c r="BB355" i="80" s="1"/>
  <c r="BE406" i="80"/>
  <c r="BF403" i="80"/>
  <c r="AU716" i="80"/>
  <c r="AV714" i="80"/>
  <c r="AU214" i="80"/>
  <c r="AS597" i="80"/>
  <c r="AU640" i="80"/>
  <c r="AU196" i="80"/>
  <c r="BA529" i="80"/>
  <c r="BB527" i="80"/>
  <c r="BB529" i="80" s="1"/>
  <c r="BA696" i="80"/>
  <c r="BB696" i="80" s="1"/>
  <c r="BB694" i="80"/>
  <c r="BC694" i="80" s="1"/>
  <c r="BA212" i="80"/>
  <c r="BB212" i="80" s="1"/>
  <c r="BE421" i="80"/>
  <c r="BE422" i="80"/>
  <c r="AX659" i="80"/>
  <c r="AW638" i="80"/>
  <c r="AW204" i="80" s="1"/>
  <c r="AT720" i="80"/>
  <c r="AS721" i="80"/>
  <c r="AY343" i="80"/>
  <c r="AZ340" i="80"/>
  <c r="BF483" i="80"/>
  <c r="BE489" i="80"/>
  <c r="BE486" i="80"/>
  <c r="BC514" i="80"/>
  <c r="BG652" i="80"/>
  <c r="BG653" i="80" s="1"/>
  <c r="AN230" i="80"/>
  <c r="AN222" i="80" s="1"/>
  <c r="AO230" i="80"/>
  <c r="AO222" i="80" s="1"/>
  <c r="AO226" i="80" s="1"/>
  <c r="AO163" i="80" s="1"/>
  <c r="AO164" i="80" s="1"/>
  <c r="AQ230" i="80"/>
  <c r="AQ222" i="80" s="1"/>
  <c r="AQ226" i="80" s="1"/>
  <c r="AQ163" i="80" s="1"/>
  <c r="AQ164" i="80" s="1"/>
  <c r="AP230" i="80"/>
  <c r="AP222" i="80" s="1"/>
  <c r="AP226" i="80" s="1"/>
  <c r="AP163" i="80" s="1"/>
  <c r="AP164" i="80" s="1"/>
  <c r="BA515" i="80"/>
  <c r="BA516" i="80" s="1"/>
  <c r="AT601" i="80"/>
  <c r="AT614" i="80"/>
  <c r="AT597" i="80" s="1"/>
  <c r="AT613" i="80"/>
  <c r="AZ181" i="80"/>
  <c r="AZ294" i="80"/>
  <c r="AZ293" i="80"/>
  <c r="BB183" i="80"/>
  <c r="BB231" i="80" s="1"/>
  <c r="BB329" i="80"/>
  <c r="BC183" i="80"/>
  <c r="BC332" i="80"/>
  <c r="BC333" i="80"/>
  <c r="BD408" i="80"/>
  <c r="BD409" i="80"/>
  <c r="AS602" i="80"/>
  <c r="AS195" i="80"/>
  <c r="AV571" i="80"/>
  <c r="AU574" i="80"/>
  <c r="AU553" i="80"/>
  <c r="AU202" i="80" s="1"/>
  <c r="AU666" i="80"/>
  <c r="AU634" i="80"/>
  <c r="BB224" i="80"/>
  <c r="AZ624" i="80"/>
  <c r="BA621" i="80"/>
  <c r="AU278" i="80"/>
  <c r="AV275" i="80"/>
  <c r="AU267" i="80"/>
  <c r="AU200" i="80" s="1"/>
  <c r="AU205" i="80" s="1"/>
  <c r="BF419" i="80"/>
  <c r="BG419" i="80" s="1"/>
  <c r="BG416" i="80"/>
  <c r="BH416" i="80" s="1"/>
  <c r="AV665" i="80"/>
  <c r="AV635" i="80" s="1"/>
  <c r="AV664" i="80"/>
  <c r="AW664" i="80" s="1"/>
  <c r="AV639" i="80"/>
  <c r="AV188" i="80"/>
  <c r="AW662" i="80"/>
  <c r="BE522" i="80"/>
  <c r="BD525" i="80"/>
  <c r="BD506" i="80"/>
  <c r="BD509" i="80"/>
  <c r="BE503" i="80"/>
  <c r="CC321" i="80"/>
  <c r="CD321" i="80" s="1"/>
  <c r="BB316" i="80"/>
  <c r="BC185" i="80"/>
  <c r="BC495" i="80"/>
  <c r="AZ588" i="80"/>
  <c r="AU611" i="80"/>
  <c r="AU600" i="80"/>
  <c r="AU203" i="80" s="1"/>
  <c r="AV608" i="80"/>
  <c r="BA674" i="80"/>
  <c r="BA291" i="80"/>
  <c r="BB288" i="80"/>
  <c r="BC288" i="80" s="1"/>
  <c r="AS555" i="80"/>
  <c r="AS187" i="80"/>
  <c r="AS189" i="80" s="1"/>
  <c r="AS194" i="80"/>
  <c r="AX562" i="80"/>
  <c r="AY559" i="80"/>
  <c r="BH649" i="80"/>
  <c r="BI646" i="80"/>
  <c r="BB334" i="80"/>
  <c r="BD423" i="80"/>
  <c r="AT576" i="80"/>
  <c r="AT554" i="80"/>
  <c r="AU635" i="80"/>
  <c r="AZ360" i="80"/>
  <c r="AY627" i="80"/>
  <c r="AY626" i="80"/>
  <c r="AY628" i="80" s="1"/>
  <c r="BX161" i="80"/>
  <c r="AT268" i="80"/>
  <c r="AT182" i="80"/>
  <c r="AT281" i="80"/>
  <c r="AT264" i="80" s="1"/>
  <c r="AT280" i="80"/>
  <c r="AS723" i="80"/>
  <c r="AS161" i="80" s="1"/>
  <c r="BC528" i="80"/>
  <c r="BC527" i="80"/>
  <c r="AT229" i="80"/>
  <c r="AT221" i="80" s="1"/>
  <c r="AU229" i="80"/>
  <c r="AU221" i="80" s="1"/>
  <c r="AV229" i="80"/>
  <c r="AV221" i="80" s="1"/>
  <c r="AS229" i="80"/>
  <c r="AS221" i="80" s="1"/>
  <c r="BC511" i="80"/>
  <c r="BC512" i="80"/>
  <c r="AY382" i="80"/>
  <c r="AY201" i="80" s="1"/>
  <c r="AY393" i="80"/>
  <c r="AZ390" i="80"/>
  <c r="AP235" i="80"/>
  <c r="AQ235" i="80"/>
  <c r="AO235" i="80"/>
  <c r="AN235" i="80"/>
  <c r="BC410" i="80"/>
  <c r="AR189" i="80"/>
  <c r="AR228" i="80" s="1"/>
  <c r="BB583" i="80"/>
  <c r="BC583" i="80" s="1"/>
  <c r="BA586" i="80"/>
  <c r="BA588" i="80" s="1"/>
  <c r="BA590" i="80" s="1"/>
  <c r="AS282" i="80"/>
  <c r="AS263" i="80"/>
  <c r="AS265" i="80" s="1"/>
  <c r="AS156" i="80" s="1"/>
  <c r="AS269" i="80"/>
  <c r="AS192" i="80"/>
  <c r="AS197" i="80" s="1"/>
  <c r="BD317" i="80"/>
  <c r="BD320" i="80" s="1"/>
  <c r="BE314" i="80"/>
  <c r="BG231" i="46"/>
  <c r="BH205" i="46"/>
  <c r="DX12" i="71"/>
  <c r="CJ87" i="73"/>
  <c r="CK86" i="73"/>
  <c r="AW665" i="80" l="1"/>
  <c r="AW635" i="80" s="1"/>
  <c r="BD514" i="80"/>
  <c r="BE423" i="80"/>
  <c r="AW102" i="100"/>
  <c r="BB48" i="100"/>
  <c r="AW15" i="100"/>
  <c r="AW17" i="100" s="1"/>
  <c r="AW23" i="100" s="1"/>
  <c r="BA26" i="46"/>
  <c r="BB26" i="46" s="1"/>
  <c r="AV23" i="100"/>
  <c r="BJ112" i="100"/>
  <c r="AW143" i="100"/>
  <c r="AV176" i="100"/>
  <c r="BE134" i="99"/>
  <c r="BF142" i="99" s="1"/>
  <c r="BF140" i="99" s="1"/>
  <c r="BE209" i="99"/>
  <c r="BD210" i="99"/>
  <c r="BG70" i="99"/>
  <c r="BG82" i="99" s="1"/>
  <c r="BC82" i="99"/>
  <c r="BC83" i="99" s="1"/>
  <c r="BC8" i="99"/>
  <c r="BE244" i="99"/>
  <c r="BD224" i="99"/>
  <c r="BE23" i="99"/>
  <c r="BE16" i="99"/>
  <c r="BD23" i="99"/>
  <c r="BD16" i="99"/>
  <c r="AM294" i="99"/>
  <c r="AL64" i="99"/>
  <c r="BC178" i="98"/>
  <c r="BH24" i="46"/>
  <c r="BC23" i="98"/>
  <c r="BD247" i="98"/>
  <c r="BD144" i="98"/>
  <c r="BD15" i="98"/>
  <c r="BD17" i="98" s="1"/>
  <c r="BE247" i="98"/>
  <c r="BE144" i="98"/>
  <c r="BE15" i="98"/>
  <c r="BE17" i="98" s="1"/>
  <c r="BD212" i="98"/>
  <c r="BC193" i="98"/>
  <c r="BG10" i="98"/>
  <c r="BE100" i="98"/>
  <c r="BH24" i="77"/>
  <c r="BH22" i="46"/>
  <c r="BI257" i="77"/>
  <c r="BI156" i="77"/>
  <c r="BI14" i="77" s="1"/>
  <c r="BI152" i="77"/>
  <c r="BJ158" i="77" s="1"/>
  <c r="BJ154" i="78"/>
  <c r="BK160" i="78" s="1"/>
  <c r="BL160" i="78" s="1"/>
  <c r="BI26" i="78"/>
  <c r="BI21" i="46"/>
  <c r="BH238" i="78"/>
  <c r="BJ256" i="78"/>
  <c r="BJ158" i="78"/>
  <c r="BJ14" i="78" s="1"/>
  <c r="BG127" i="79"/>
  <c r="BG209" i="79"/>
  <c r="BG24" i="79"/>
  <c r="BF23" i="79"/>
  <c r="BF20" i="46"/>
  <c r="BG20" i="46" s="1"/>
  <c r="BE210" i="79"/>
  <c r="AN228" i="80"/>
  <c r="AO228" i="80"/>
  <c r="AQ228" i="80"/>
  <c r="AP228" i="80"/>
  <c r="BC515" i="80"/>
  <c r="BC529" i="80"/>
  <c r="AT578" i="80"/>
  <c r="AT549" i="80"/>
  <c r="AT551" i="80" s="1"/>
  <c r="AT158" i="80" s="1"/>
  <c r="BA676" i="80"/>
  <c r="BB674" i="80"/>
  <c r="BC674" i="80" s="1"/>
  <c r="BA208" i="80"/>
  <c r="AU601" i="80"/>
  <c r="AU614" i="80"/>
  <c r="AU597" i="80" s="1"/>
  <c r="AU613" i="80"/>
  <c r="BD512" i="80"/>
  <c r="BD511" i="80"/>
  <c r="BE525" i="80"/>
  <c r="BF522" i="80"/>
  <c r="AV666" i="80"/>
  <c r="AV634" i="80"/>
  <c r="AV636" i="80" s="1"/>
  <c r="AV160" i="80" s="1"/>
  <c r="BB621" i="80"/>
  <c r="BC621" i="80" s="1"/>
  <c r="BA624" i="80"/>
  <c r="AT602" i="80"/>
  <c r="AT195" i="80"/>
  <c r="BF489" i="80"/>
  <c r="BF486" i="80"/>
  <c r="BG483" i="80"/>
  <c r="BH483" i="80" s="1"/>
  <c r="BG403" i="80"/>
  <c r="BH403" i="80" s="1"/>
  <c r="BF406" i="80"/>
  <c r="AW566" i="80"/>
  <c r="AX397" i="80"/>
  <c r="AX378" i="80"/>
  <c r="BB515" i="80"/>
  <c r="BB516" i="80" s="1"/>
  <c r="BB169" i="80" s="1"/>
  <c r="AY701" i="80"/>
  <c r="AZ699" i="80"/>
  <c r="AY213" i="80"/>
  <c r="BD183" i="80"/>
  <c r="BD333" i="80"/>
  <c r="BD332" i="80"/>
  <c r="AZ382" i="80"/>
  <c r="AZ201" i="80" s="1"/>
  <c r="AZ393" i="80"/>
  <c r="BA390" i="80"/>
  <c r="AT269" i="80"/>
  <c r="AT192" i="80"/>
  <c r="BI649" i="80"/>
  <c r="BJ646" i="80"/>
  <c r="AY562" i="80"/>
  <c r="AZ559" i="80"/>
  <c r="BB586" i="80"/>
  <c r="BB585" i="80" s="1"/>
  <c r="BC585" i="80" s="1"/>
  <c r="BD585" i="80" s="1"/>
  <c r="BE585" i="80" s="1"/>
  <c r="BF585" i="80" s="1"/>
  <c r="CF313" i="80"/>
  <c r="CF321" i="80"/>
  <c r="AW639" i="80"/>
  <c r="AW188" i="80"/>
  <c r="AW236" i="80" s="1"/>
  <c r="AW661" i="80"/>
  <c r="AW275" i="80"/>
  <c r="AV267" i="80"/>
  <c r="AV200" i="80" s="1"/>
  <c r="AV278" i="80"/>
  <c r="AZ627" i="80"/>
  <c r="AZ626" i="80"/>
  <c r="BB624" i="80"/>
  <c r="AW666" i="80"/>
  <c r="AW634" i="80"/>
  <c r="AW636" i="80" s="1"/>
  <c r="AU576" i="80"/>
  <c r="AU554" i="80"/>
  <c r="BC334" i="80"/>
  <c r="AX231" i="80"/>
  <c r="AY231" i="80"/>
  <c r="BA231" i="80"/>
  <c r="AZ231" i="80"/>
  <c r="AZ343" i="80"/>
  <c r="BA340" i="80"/>
  <c r="BE408" i="80"/>
  <c r="BE409" i="80"/>
  <c r="AX379" i="80"/>
  <c r="AX347" i="80"/>
  <c r="BG301" i="80"/>
  <c r="BH301" i="80" s="1"/>
  <c r="BF304" i="80"/>
  <c r="BD353" i="80"/>
  <c r="BC356" i="80"/>
  <c r="BE317" i="80"/>
  <c r="BE320" i="80" s="1"/>
  <c r="BF314" i="80"/>
  <c r="BC586" i="80"/>
  <c r="BD583" i="80"/>
  <c r="AY383" i="80"/>
  <c r="AY396" i="80"/>
  <c r="AY379" i="80" s="1"/>
  <c r="AY395" i="80"/>
  <c r="AT282" i="80"/>
  <c r="AT263" i="80"/>
  <c r="AT265" i="80" s="1"/>
  <c r="AT156" i="80" s="1"/>
  <c r="BX167" i="80"/>
  <c r="AX564" i="80"/>
  <c r="AX798" i="80"/>
  <c r="BC291" i="80"/>
  <c r="BD288" i="80"/>
  <c r="AV611" i="80"/>
  <c r="AV600" i="80"/>
  <c r="AV203" i="80" s="1"/>
  <c r="AW608" i="80"/>
  <c r="AZ590" i="80"/>
  <c r="BB588" i="80"/>
  <c r="BB590" i="80" s="1"/>
  <c r="BH419" i="80"/>
  <c r="BI416" i="80"/>
  <c r="AU268" i="80"/>
  <c r="AU182" i="80"/>
  <c r="AU281" i="80"/>
  <c r="AU264" i="80" s="1"/>
  <c r="AU280" i="80"/>
  <c r="AU636" i="80"/>
  <c r="AU160" i="80" s="1"/>
  <c r="AV574" i="80"/>
  <c r="AW571" i="80"/>
  <c r="AV553" i="80"/>
  <c r="AV202" i="80" s="1"/>
  <c r="AZ295" i="80"/>
  <c r="AT615" i="80"/>
  <c r="AT596" i="80"/>
  <c r="AT598" i="80" s="1"/>
  <c r="AT159" i="80" s="1"/>
  <c r="AR222" i="80"/>
  <c r="AR226" i="80" s="1"/>
  <c r="BZ85" i="73" s="1"/>
  <c r="AN226" i="80"/>
  <c r="AN163" i="80" s="1"/>
  <c r="BE494" i="80"/>
  <c r="BG486" i="80"/>
  <c r="AY186" i="80"/>
  <c r="AY345" i="80"/>
  <c r="AY347" i="80" s="1"/>
  <c r="AY346" i="80"/>
  <c r="AX662" i="80"/>
  <c r="AY659" i="80"/>
  <c r="AX638" i="80"/>
  <c r="AX204" i="80" s="1"/>
  <c r="AW714" i="80"/>
  <c r="AV716" i="80"/>
  <c r="AW716" i="80" s="1"/>
  <c r="AV214" i="80"/>
  <c r="BD185" i="80"/>
  <c r="BD495" i="80"/>
  <c r="BD496" i="80" s="1"/>
  <c r="AU681" i="80"/>
  <c r="AV679" i="80"/>
  <c r="AU209" i="80"/>
  <c r="AU215" i="80" s="1"/>
  <c r="AS598" i="80"/>
  <c r="AS159" i="80" s="1"/>
  <c r="AW221" i="80"/>
  <c r="AT555" i="80"/>
  <c r="AT194" i="80"/>
  <c r="AT187" i="80"/>
  <c r="AT189" i="80" s="1"/>
  <c r="BH652" i="80"/>
  <c r="BH651" i="80"/>
  <c r="BA181" i="80"/>
  <c r="BA294" i="80"/>
  <c r="BB294" i="80" s="1"/>
  <c r="BA293" i="80"/>
  <c r="BA295" i="80" s="1"/>
  <c r="BB291" i="80"/>
  <c r="BE506" i="80"/>
  <c r="BF503" i="80"/>
  <c r="BE509" i="80"/>
  <c r="BD528" i="80"/>
  <c r="BD527" i="80"/>
  <c r="BD529" i="80" s="1"/>
  <c r="AV640" i="80"/>
  <c r="AV196" i="80"/>
  <c r="BF421" i="80"/>
  <c r="BF422" i="80"/>
  <c r="BG422" i="80" s="1"/>
  <c r="BB623" i="80"/>
  <c r="BC496" i="80"/>
  <c r="BD410" i="80"/>
  <c r="BE492" i="80"/>
  <c r="BE491" i="80"/>
  <c r="AT721" i="80"/>
  <c r="AT723" i="80" s="1"/>
  <c r="AT161" i="80" s="1"/>
  <c r="BC696" i="80"/>
  <c r="BD694" i="80"/>
  <c r="BC212" i="80"/>
  <c r="BA360" i="80"/>
  <c r="BB358" i="80"/>
  <c r="BB360" i="80" s="1"/>
  <c r="AX384" i="80"/>
  <c r="AX193" i="80"/>
  <c r="BE330" i="80"/>
  <c r="BF327" i="80"/>
  <c r="BG406" i="80"/>
  <c r="AW278" i="80"/>
  <c r="BH231" i="46"/>
  <c r="BI205" i="46"/>
  <c r="DY12" i="71"/>
  <c r="CJ88" i="73"/>
  <c r="CK87" i="73"/>
  <c r="AW160" i="80" l="1"/>
  <c r="BF494" i="80"/>
  <c r="BE514" i="80"/>
  <c r="AW176" i="100"/>
  <c r="AV177" i="100"/>
  <c r="AV24" i="100"/>
  <c r="AV228" i="100" s="1"/>
  <c r="AV227" i="100"/>
  <c r="AW227" i="100"/>
  <c r="AW24" i="100"/>
  <c r="AY48" i="100"/>
  <c r="AY77" i="100" s="1"/>
  <c r="AY79" i="100" s="1"/>
  <c r="AX48" i="100"/>
  <c r="AX77" i="100" s="1"/>
  <c r="AX79" i="100" s="1"/>
  <c r="BA48" i="100"/>
  <c r="BA77" i="100" s="1"/>
  <c r="BA79" i="100" s="1"/>
  <c r="AZ48" i="100"/>
  <c r="AZ77" i="100" s="1"/>
  <c r="AZ79" i="100" s="1"/>
  <c r="BB77" i="100"/>
  <c r="AX110" i="100"/>
  <c r="AW112" i="100"/>
  <c r="BK112" i="100"/>
  <c r="BF244" i="99"/>
  <c r="BE224" i="99"/>
  <c r="BG83" i="99"/>
  <c r="BG85" i="99"/>
  <c r="BG89" i="99" s="1"/>
  <c r="BE210" i="99"/>
  <c r="BI25" i="46"/>
  <c r="BD29" i="99"/>
  <c r="BE29" i="99"/>
  <c r="BJ25" i="46"/>
  <c r="BC10" i="99"/>
  <c r="BG8" i="99"/>
  <c r="BF19" i="99"/>
  <c r="BG140" i="99"/>
  <c r="BG142" i="99" s="1"/>
  <c r="AN294" i="99"/>
  <c r="AM64" i="99"/>
  <c r="AR84" i="73" s="1"/>
  <c r="BF133" i="99"/>
  <c r="BE101" i="98"/>
  <c r="BF109" i="98" s="1"/>
  <c r="BF107" i="98" s="1"/>
  <c r="BC228" i="98"/>
  <c r="BC24" i="98"/>
  <c r="BE212" i="98"/>
  <c r="BD193" i="98"/>
  <c r="BD23" i="98"/>
  <c r="BI24" i="46"/>
  <c r="BE23" i="98"/>
  <c r="BJ24" i="46"/>
  <c r="BD177" i="98"/>
  <c r="BI190" i="77"/>
  <c r="BI16" i="77"/>
  <c r="BI18" i="77" s="1"/>
  <c r="BJ257" i="77"/>
  <c r="BJ156" i="77"/>
  <c r="BJ14" i="77" s="1"/>
  <c r="BJ151" i="77"/>
  <c r="BH25" i="77"/>
  <c r="BL158" i="78"/>
  <c r="BI27" i="78"/>
  <c r="BI237" i="78"/>
  <c r="BJ193" i="78"/>
  <c r="BJ16" i="78"/>
  <c r="BJ20" i="78" s="1"/>
  <c r="BK256" i="78"/>
  <c r="BL256" i="78" s="1"/>
  <c r="BK158" i="78"/>
  <c r="BK14" i="78" s="1"/>
  <c r="BK153" i="78"/>
  <c r="BF24" i="79"/>
  <c r="BF210" i="79" s="1"/>
  <c r="BF209" i="79"/>
  <c r="BH133" i="79"/>
  <c r="BG135" i="79"/>
  <c r="BG210" i="79"/>
  <c r="BG28" i="71"/>
  <c r="BF423" i="80"/>
  <c r="BG421" i="80"/>
  <c r="BG423" i="80" s="1"/>
  <c r="BG494" i="80"/>
  <c r="AX571" i="80"/>
  <c r="AW553" i="80"/>
  <c r="AW202" i="80" s="1"/>
  <c r="BH421" i="80"/>
  <c r="BH422" i="80"/>
  <c r="BC181" i="80"/>
  <c r="BC293" i="80"/>
  <c r="BC294" i="80"/>
  <c r="BE410" i="80"/>
  <c r="AU578" i="80"/>
  <c r="AU549" i="80"/>
  <c r="AU551" i="80" s="1"/>
  <c r="AU158" i="80" s="1"/>
  <c r="AZ628" i="80"/>
  <c r="AV205" i="80"/>
  <c r="AW640" i="80"/>
  <c r="AW196" i="80"/>
  <c r="BJ649" i="80"/>
  <c r="BK646" i="80"/>
  <c r="BA393" i="80"/>
  <c r="BB390" i="80"/>
  <c r="BA382" i="80"/>
  <c r="BA201" i="80" s="1"/>
  <c r="AX380" i="80"/>
  <c r="AX157" i="80" s="1"/>
  <c r="BH486" i="80"/>
  <c r="BH489" i="80"/>
  <c r="BI483" i="80"/>
  <c r="BD515" i="80"/>
  <c r="BD516" i="80" s="1"/>
  <c r="BB676" i="80"/>
  <c r="BG327" i="80"/>
  <c r="BH327" i="80" s="1"/>
  <c r="BF330" i="80"/>
  <c r="BB181" i="80"/>
  <c r="BB290" i="80"/>
  <c r="BH653" i="80"/>
  <c r="AV681" i="80"/>
  <c r="AW681" i="80" s="1"/>
  <c r="AW679" i="80"/>
  <c r="AV209" i="80"/>
  <c r="AV719" i="80"/>
  <c r="AY662" i="80"/>
  <c r="AZ659" i="80"/>
  <c r="AY638" i="80"/>
  <c r="AY204" i="80" s="1"/>
  <c r="AR163" i="80"/>
  <c r="AN164" i="80"/>
  <c r="BB293" i="80"/>
  <c r="BB295" i="80" s="1"/>
  <c r="AV576" i="80"/>
  <c r="AV554" i="80"/>
  <c r="AW574" i="80"/>
  <c r="AV601" i="80"/>
  <c r="AV614" i="80"/>
  <c r="AV613" i="80"/>
  <c r="AX118" i="46"/>
  <c r="AY384" i="80"/>
  <c r="AY193" i="80"/>
  <c r="BC358" i="80"/>
  <c r="BC359" i="80"/>
  <c r="BF307" i="80"/>
  <c r="BG307" i="80" s="1"/>
  <c r="BG304" i="80"/>
  <c r="BB340" i="80"/>
  <c r="BA343" i="80"/>
  <c r="AW267" i="80"/>
  <c r="AW200" i="80" s="1"/>
  <c r="AX275" i="80"/>
  <c r="BI652" i="80"/>
  <c r="BI651" i="80"/>
  <c r="AZ383" i="80"/>
  <c r="AZ396" i="80"/>
  <c r="AZ379" i="80" s="1"/>
  <c r="AZ395" i="80"/>
  <c r="AW576" i="80"/>
  <c r="BA627" i="80"/>
  <c r="BB627" i="80" s="1"/>
  <c r="BA626" i="80"/>
  <c r="BF525" i="80"/>
  <c r="BG522" i="80"/>
  <c r="BH522" i="80" s="1"/>
  <c r="AU602" i="80"/>
  <c r="AU195" i="80"/>
  <c r="AW268" i="80"/>
  <c r="BE183" i="80"/>
  <c r="BE333" i="80"/>
  <c r="BE332" i="80"/>
  <c r="BG330" i="80"/>
  <c r="BE694" i="80"/>
  <c r="BD696" i="80"/>
  <c r="BD212" i="80"/>
  <c r="BE512" i="80"/>
  <c r="BE511" i="80"/>
  <c r="AU723" i="80"/>
  <c r="AU161" i="80" s="1"/>
  <c r="AX714" i="80"/>
  <c r="AW214" i="80"/>
  <c r="AX664" i="80"/>
  <c r="AX665" i="80"/>
  <c r="AX639" i="80"/>
  <c r="AX188" i="80"/>
  <c r="BZ86" i="73"/>
  <c r="BZ88" i="73" s="1"/>
  <c r="AU269" i="80"/>
  <c r="AU192" i="80"/>
  <c r="AU197" i="80" s="1"/>
  <c r="BE288" i="80"/>
  <c r="BD291" i="80"/>
  <c r="BE583" i="80"/>
  <c r="BD586" i="80"/>
  <c r="BD588" i="80" s="1"/>
  <c r="BD590" i="80" s="1"/>
  <c r="BE353" i="80"/>
  <c r="BD356" i="80"/>
  <c r="BI301" i="80"/>
  <c r="BH304" i="80"/>
  <c r="AZ186" i="80"/>
  <c r="AZ345" i="80"/>
  <c r="AZ347" i="80" s="1"/>
  <c r="AZ346" i="80"/>
  <c r="AW277" i="80"/>
  <c r="AZ311" i="80"/>
  <c r="AZ319" i="80" s="1"/>
  <c r="AZ321" i="80" s="1"/>
  <c r="AX311" i="80"/>
  <c r="AX319" i="80" s="1"/>
  <c r="BA311" i="80"/>
  <c r="BA319" i="80" s="1"/>
  <c r="BA321" i="80" s="1"/>
  <c r="AY311" i="80"/>
  <c r="AY319" i="80" s="1"/>
  <c r="AY321" i="80" s="1"/>
  <c r="BB311" i="80"/>
  <c r="AZ562" i="80"/>
  <c r="BA559" i="80"/>
  <c r="BF408" i="80"/>
  <c r="BG408" i="80" s="1"/>
  <c r="BF409" i="80"/>
  <c r="BF492" i="80"/>
  <c r="BG492" i="80" s="1"/>
  <c r="BG185" i="80" s="1"/>
  <c r="BG234" i="80" s="1"/>
  <c r="BF491" i="80"/>
  <c r="BG491" i="80" s="1"/>
  <c r="BG489" i="80"/>
  <c r="BC624" i="80"/>
  <c r="BD621" i="80"/>
  <c r="BE528" i="80"/>
  <c r="BE527" i="80"/>
  <c r="BE529" i="80" s="1"/>
  <c r="BG525" i="80"/>
  <c r="AW611" i="80"/>
  <c r="AW182" i="80" s="1"/>
  <c r="BB208" i="80"/>
  <c r="BE185" i="80"/>
  <c r="BE495" i="80"/>
  <c r="BG503" i="80"/>
  <c r="BH503" i="80" s="1"/>
  <c r="BF509" i="80"/>
  <c r="BG509" i="80" s="1"/>
  <c r="BF506" i="80"/>
  <c r="AU282" i="80"/>
  <c r="AU263" i="80"/>
  <c r="AU265" i="80" s="1"/>
  <c r="AU156" i="80" s="1"/>
  <c r="BJ416" i="80"/>
  <c r="BI419" i="80"/>
  <c r="AW600" i="80"/>
  <c r="AW203" i="80" s="1"/>
  <c r="AX608" i="80"/>
  <c r="AX566" i="80"/>
  <c r="AY378" i="80"/>
  <c r="AY380" i="80" s="1"/>
  <c r="AY157" i="80" s="1"/>
  <c r="AY397" i="80"/>
  <c r="BC588" i="80"/>
  <c r="BG314" i="80"/>
  <c r="BH314" i="80" s="1"/>
  <c r="BF317" i="80"/>
  <c r="BG409" i="80"/>
  <c r="BG506" i="80"/>
  <c r="AU555" i="80"/>
  <c r="AU194" i="80"/>
  <c r="AU187" i="80"/>
  <c r="AU189" i="80" s="1"/>
  <c r="AV268" i="80"/>
  <c r="AV182" i="80"/>
  <c r="AV281" i="80"/>
  <c r="AV264" i="80" s="1"/>
  <c r="AV280" i="80"/>
  <c r="AW280" i="80" s="1"/>
  <c r="AV236" i="80"/>
  <c r="AS236" i="80"/>
  <c r="AU236" i="80"/>
  <c r="AT236" i="80"/>
  <c r="CJ8" i="73"/>
  <c r="AY298" i="80"/>
  <c r="AY306" i="80" s="1"/>
  <c r="AY308" i="80" s="1"/>
  <c r="AZ298" i="80"/>
  <c r="AZ306" i="80" s="1"/>
  <c r="AZ308" i="80" s="1"/>
  <c r="AX298" i="80"/>
  <c r="AX306" i="80" s="1"/>
  <c r="BA298" i="80"/>
  <c r="BA306" i="80" s="1"/>
  <c r="BA308" i="80" s="1"/>
  <c r="BB298" i="80"/>
  <c r="AY564" i="80"/>
  <c r="AY798" i="80"/>
  <c r="AY118" i="46" s="1"/>
  <c r="AT197" i="80"/>
  <c r="BD334" i="80"/>
  <c r="BA699" i="80"/>
  <c r="AZ701" i="80"/>
  <c r="AZ213" i="80"/>
  <c r="BH406" i="80"/>
  <c r="BI403" i="80"/>
  <c r="BC516" i="80"/>
  <c r="AU596" i="80"/>
  <c r="AU598" i="80" s="1"/>
  <c r="AU159" i="80" s="1"/>
  <c r="AU615" i="80"/>
  <c r="BD674" i="80"/>
  <c r="BC676" i="80"/>
  <c r="BC208" i="80"/>
  <c r="BI231" i="46"/>
  <c r="BJ205" i="46"/>
  <c r="DZ12" i="71"/>
  <c r="CJ89" i="73"/>
  <c r="CK88" i="73"/>
  <c r="BQ20" i="73"/>
  <c r="BF514" i="80" l="1"/>
  <c r="BG410" i="80"/>
  <c r="AZ81" i="100"/>
  <c r="AZ62" i="100" s="1"/>
  <c r="AX246" i="100"/>
  <c r="AX108" i="100"/>
  <c r="BA81" i="100"/>
  <c r="BA62" i="100" s="1"/>
  <c r="AW228" i="100"/>
  <c r="BB33" i="71"/>
  <c r="AX81" i="100"/>
  <c r="AX62" i="100" s="1"/>
  <c r="AY81" i="100"/>
  <c r="AY62" i="100" s="1"/>
  <c r="AW177" i="100"/>
  <c r="BD30" i="99"/>
  <c r="BG133" i="99"/>
  <c r="BF134" i="99"/>
  <c r="AO294" i="99"/>
  <c r="AO64" i="99" s="1"/>
  <c r="AN64" i="99"/>
  <c r="BC23" i="99"/>
  <c r="BC16" i="99"/>
  <c r="BG244" i="99"/>
  <c r="BF224" i="99"/>
  <c r="BG224" i="99" s="1"/>
  <c r="BF279" i="99"/>
  <c r="BF174" i="99"/>
  <c r="BF21" i="99"/>
  <c r="BG19" i="99"/>
  <c r="BE30" i="99"/>
  <c r="BD24" i="98"/>
  <c r="BD229" i="98" s="1"/>
  <c r="BF212" i="98"/>
  <c r="BE193" i="98"/>
  <c r="BD228" i="98"/>
  <c r="BF13" i="98"/>
  <c r="BG107" i="98"/>
  <c r="BG109" i="98" s="1"/>
  <c r="BE177" i="98"/>
  <c r="BD178" i="98"/>
  <c r="BE24" i="98"/>
  <c r="BC229" i="98"/>
  <c r="BE228" i="98"/>
  <c r="BF100" i="98"/>
  <c r="BJ152" i="77"/>
  <c r="BK158" i="77" s="1"/>
  <c r="BK151" i="77" s="1"/>
  <c r="BJ190" i="77"/>
  <c r="BJ16" i="77"/>
  <c r="BJ18" i="77" s="1"/>
  <c r="BI24" i="77"/>
  <c r="BI22" i="46"/>
  <c r="BK193" i="78"/>
  <c r="BL193" i="78" s="1"/>
  <c r="BK16" i="78"/>
  <c r="BK20" i="78" s="1"/>
  <c r="BI238" i="78"/>
  <c r="BL153" i="78"/>
  <c r="BK154" i="78"/>
  <c r="BL14" i="78"/>
  <c r="BL16" i="78" s="1"/>
  <c r="BL20" i="78" s="1"/>
  <c r="BL26" i="78" s="1"/>
  <c r="BJ26" i="78"/>
  <c r="BJ21" i="46"/>
  <c r="BH228" i="79"/>
  <c r="BH131" i="79"/>
  <c r="BH13" i="79" s="1"/>
  <c r="BH126" i="79"/>
  <c r="BY186" i="80"/>
  <c r="AW230" i="80"/>
  <c r="AW263" i="80"/>
  <c r="AY608" i="80"/>
  <c r="AX611" i="80"/>
  <c r="AX600" i="80"/>
  <c r="AX203" i="80" s="1"/>
  <c r="BD234" i="80"/>
  <c r="BD224" i="80" s="1"/>
  <c r="BE234" i="80"/>
  <c r="BE224" i="80" s="1"/>
  <c r="BF234" i="80"/>
  <c r="BF224" i="80" s="1"/>
  <c r="BC234" i="80"/>
  <c r="BC224" i="80" s="1"/>
  <c r="BC627" i="80"/>
  <c r="BC626" i="80"/>
  <c r="BF185" i="80"/>
  <c r="BF495" i="80"/>
  <c r="BF496" i="80" s="1"/>
  <c r="BB559" i="80"/>
  <c r="BA562" i="80"/>
  <c r="BH307" i="80"/>
  <c r="BE356" i="80"/>
  <c r="BF353" i="80"/>
  <c r="BE291" i="80"/>
  <c r="BF288" i="80"/>
  <c r="AX635" i="80"/>
  <c r="AX716" i="80"/>
  <c r="AY714" i="80"/>
  <c r="AX214" i="80"/>
  <c r="BG183" i="80"/>
  <c r="BG231" i="80" s="1"/>
  <c r="BG329" i="80"/>
  <c r="BF528" i="80"/>
  <c r="BG528" i="80" s="1"/>
  <c r="BF527" i="80"/>
  <c r="BF529" i="80" s="1"/>
  <c r="AW578" i="80"/>
  <c r="AW549" i="80"/>
  <c r="AW551" i="80" s="1"/>
  <c r="BI653" i="80"/>
  <c r="AW205" i="80"/>
  <c r="CC314" i="80"/>
  <c r="CD314" i="80" s="1"/>
  <c r="BG303" i="80"/>
  <c r="AZ662" i="80"/>
  <c r="BA659" i="80"/>
  <c r="AZ638" i="80"/>
  <c r="AZ204" i="80" s="1"/>
  <c r="AX679" i="80"/>
  <c r="BF183" i="80"/>
  <c r="BF333" i="80"/>
  <c r="BG333" i="80" s="1"/>
  <c r="BF332" i="80"/>
  <c r="BJ483" i="80"/>
  <c r="BI489" i="80"/>
  <c r="BI486" i="80"/>
  <c r="BE496" i="80"/>
  <c r="BI406" i="80"/>
  <c r="BJ403" i="80"/>
  <c r="AV269" i="80"/>
  <c r="AV192" i="80"/>
  <c r="BF320" i="80"/>
  <c r="BG320" i="80" s="1"/>
  <c r="BG317" i="80"/>
  <c r="AZ798" i="80"/>
  <c r="AZ118" i="46" s="1"/>
  <c r="AZ564" i="80"/>
  <c r="BB562" i="80"/>
  <c r="AX321" i="80"/>
  <c r="BB319" i="80"/>
  <c r="BB321" i="80" s="1"/>
  <c r="BJ301" i="80"/>
  <c r="BI304" i="80"/>
  <c r="BI307" i="80" s="1"/>
  <c r="AX666" i="80"/>
  <c r="AX634" i="80"/>
  <c r="BE334" i="80"/>
  <c r="BG332" i="80"/>
  <c r="AW269" i="80"/>
  <c r="AW192" i="80"/>
  <c r="BA628" i="80"/>
  <c r="BB626" i="80"/>
  <c r="BB628" i="80" s="1"/>
  <c r="AZ397" i="80"/>
  <c r="AZ378" i="80"/>
  <c r="AZ380" i="80" s="1"/>
  <c r="AZ157" i="80" s="1"/>
  <c r="AV596" i="80"/>
  <c r="AV615" i="80"/>
  <c r="AW613" i="80"/>
  <c r="AW573" i="80"/>
  <c r="AX573" i="80" s="1"/>
  <c r="AY573" i="80" s="1"/>
  <c r="AZ573" i="80" s="1"/>
  <c r="BA573" i="80" s="1"/>
  <c r="AW554" i="80"/>
  <c r="AY665" i="80"/>
  <c r="AY635" i="80" s="1"/>
  <c r="AY664" i="80"/>
  <c r="AY639" i="80"/>
  <c r="AY188" i="80"/>
  <c r="BH330" i="80"/>
  <c r="BI327" i="80"/>
  <c r="BH491" i="80"/>
  <c r="BH492" i="80"/>
  <c r="BL646" i="80"/>
  <c r="BK649" i="80"/>
  <c r="BL648" i="80"/>
  <c r="BH408" i="80"/>
  <c r="BH409" i="80"/>
  <c r="BA701" i="80"/>
  <c r="BB699" i="80"/>
  <c r="BA213" i="80"/>
  <c r="BB306" i="80"/>
  <c r="BB308" i="80" s="1"/>
  <c r="AX308" i="80"/>
  <c r="AV263" i="80"/>
  <c r="AV265" i="80" s="1"/>
  <c r="AV156" i="80" s="1"/>
  <c r="AW156" i="80" s="1"/>
  <c r="AV282" i="80"/>
  <c r="BH317" i="80"/>
  <c r="BI314" i="80"/>
  <c r="BI421" i="80"/>
  <c r="BI422" i="80"/>
  <c r="BF511" i="80"/>
  <c r="BG511" i="80" s="1"/>
  <c r="BF512" i="80"/>
  <c r="BF410" i="80"/>
  <c r="BF583" i="80"/>
  <c r="BE586" i="80"/>
  <c r="BE588" i="80" s="1"/>
  <c r="BE590" i="80" s="1"/>
  <c r="BA186" i="80"/>
  <c r="BA346" i="80"/>
  <c r="BB346" i="80" s="1"/>
  <c r="BA345" i="80"/>
  <c r="BB345" i="80" s="1"/>
  <c r="BB343" i="80"/>
  <c r="AV597" i="80"/>
  <c r="AW614" i="80"/>
  <c r="AW597" i="80" s="1"/>
  <c r="AV555" i="80"/>
  <c r="AV194" i="80"/>
  <c r="AV187" i="80"/>
  <c r="AV189" i="80" s="1"/>
  <c r="AR174" i="80"/>
  <c r="AR24" i="73"/>
  <c r="AR25" i="73" s="1"/>
  <c r="AR164" i="80"/>
  <c r="BZ100" i="73" s="1"/>
  <c r="AW719" i="80"/>
  <c r="AV720" i="80"/>
  <c r="AV721" i="80" s="1"/>
  <c r="AW721" i="80" s="1"/>
  <c r="AW723" i="80" s="1"/>
  <c r="BH494" i="80"/>
  <c r="BB382" i="80"/>
  <c r="BB201" i="80" s="1"/>
  <c r="BC390" i="80"/>
  <c r="BJ652" i="80"/>
  <c r="BJ651" i="80"/>
  <c r="BL649" i="80"/>
  <c r="BC295" i="80"/>
  <c r="BH423" i="80"/>
  <c r="AX574" i="80"/>
  <c r="AY571" i="80"/>
  <c r="AX553" i="80"/>
  <c r="AX202" i="80" s="1"/>
  <c r="BD676" i="80"/>
  <c r="BD208" i="80"/>
  <c r="BB701" i="80"/>
  <c r="AY566" i="80"/>
  <c r="BC590" i="80"/>
  <c r="BK416" i="80"/>
  <c r="BJ419" i="80"/>
  <c r="BH506" i="80"/>
  <c r="BH509" i="80"/>
  <c r="BI503" i="80"/>
  <c r="AW601" i="80"/>
  <c r="AW610" i="80"/>
  <c r="BD624" i="80"/>
  <c r="BE621" i="80"/>
  <c r="BD358" i="80"/>
  <c r="BD360" i="80" s="1"/>
  <c r="BD359" i="80"/>
  <c r="BD181" i="80"/>
  <c r="BD294" i="80"/>
  <c r="BD293" i="80"/>
  <c r="BD295" i="80" s="1"/>
  <c r="AX640" i="80"/>
  <c r="AX196" i="80"/>
  <c r="BE515" i="80"/>
  <c r="BF694" i="80"/>
  <c r="BE696" i="80"/>
  <c r="BE212" i="80"/>
  <c r="BI522" i="80"/>
  <c r="BH525" i="80"/>
  <c r="AZ384" i="80"/>
  <c r="AZ193" i="80"/>
  <c r="AX267" i="80"/>
  <c r="AX200" i="80" s="1"/>
  <c r="AX278" i="80"/>
  <c r="AY275" i="80"/>
  <c r="BC340" i="80"/>
  <c r="BC360" i="80"/>
  <c r="AV602" i="80"/>
  <c r="AV195" i="80"/>
  <c r="AV578" i="80"/>
  <c r="AV549" i="80"/>
  <c r="AV551" i="80" s="1"/>
  <c r="AV158" i="80" s="1"/>
  <c r="AW158" i="80" s="1"/>
  <c r="AW171" i="80" s="1"/>
  <c r="AW209" i="80"/>
  <c r="AW215" i="80" s="1"/>
  <c r="AV215" i="80"/>
  <c r="BB229" i="80"/>
  <c r="BZ185" i="80"/>
  <c r="BG514" i="80"/>
  <c r="AW281" i="80"/>
  <c r="AW264" i="80" s="1"/>
  <c r="BA383" i="80"/>
  <c r="BA396" i="80"/>
  <c r="BA395" i="80"/>
  <c r="BB393" i="80"/>
  <c r="BB383" i="80" s="1"/>
  <c r="BJ231" i="46"/>
  <c r="BK205" i="46"/>
  <c r="EA12" i="71"/>
  <c r="CJ90" i="73"/>
  <c r="CK89" i="73"/>
  <c r="BE229" i="98" l="1"/>
  <c r="BG527" i="80"/>
  <c r="BA347" i="80"/>
  <c r="BI423" i="80"/>
  <c r="AX636" i="80"/>
  <c r="AX160" i="80" s="1"/>
  <c r="BB167" i="80"/>
  <c r="BI494" i="80"/>
  <c r="BG495" i="80"/>
  <c r="BG496" i="80" s="1"/>
  <c r="AY74" i="100"/>
  <c r="AY75" i="100" s="1"/>
  <c r="AY8" i="100"/>
  <c r="AX74" i="100"/>
  <c r="AX75" i="100" s="1"/>
  <c r="BB62" i="100"/>
  <c r="AX8" i="100"/>
  <c r="BA74" i="100"/>
  <c r="BA75" i="100" s="1"/>
  <c r="BA8" i="100"/>
  <c r="AX13" i="100"/>
  <c r="AX101" i="100"/>
  <c r="AZ74" i="100"/>
  <c r="AZ75" i="100" s="1"/>
  <c r="AZ8" i="100"/>
  <c r="BG174" i="99"/>
  <c r="BF209" i="99"/>
  <c r="BH244" i="99"/>
  <c r="BH25" i="46"/>
  <c r="BC29" i="99"/>
  <c r="BG134" i="99"/>
  <c r="BG279" i="99"/>
  <c r="BL55" i="99"/>
  <c r="BG21" i="99"/>
  <c r="BF247" i="98"/>
  <c r="BF144" i="98"/>
  <c r="BG144" i="98" s="1"/>
  <c r="BF15" i="98"/>
  <c r="BF17" i="98" s="1"/>
  <c r="BG13" i="98"/>
  <c r="BG212" i="98"/>
  <c r="BF193" i="98"/>
  <c r="BF177" i="98"/>
  <c r="BE178" i="98"/>
  <c r="BG100" i="98"/>
  <c r="BF101" i="98"/>
  <c r="BI25" i="77"/>
  <c r="BK257" i="77"/>
  <c r="BL257" i="77" s="1"/>
  <c r="BK156" i="77"/>
  <c r="BK14" i="77" s="1"/>
  <c r="BL158" i="77"/>
  <c r="BJ24" i="77"/>
  <c r="BJ22" i="46"/>
  <c r="BL151" i="77"/>
  <c r="BK152" i="77"/>
  <c r="BL154" i="78"/>
  <c r="BK26" i="78"/>
  <c r="BK237" i="78" s="1"/>
  <c r="BK21" i="46"/>
  <c r="BL21" i="46" s="1"/>
  <c r="BJ27" i="78"/>
  <c r="BJ237" i="78"/>
  <c r="BL237" i="78"/>
  <c r="BL27" i="78"/>
  <c r="BH164" i="79"/>
  <c r="BH15" i="79"/>
  <c r="BH17" i="79" s="1"/>
  <c r="BH127" i="79"/>
  <c r="BI133" i="79" s="1"/>
  <c r="BA397" i="80"/>
  <c r="BA378" i="80"/>
  <c r="BB395" i="80"/>
  <c r="AY278" i="80"/>
  <c r="AZ275" i="80"/>
  <c r="AY267" i="80"/>
  <c r="AY200" i="80" s="1"/>
  <c r="BG529" i="80"/>
  <c r="BH514" i="80"/>
  <c r="BJ653" i="80"/>
  <c r="BX162" i="80"/>
  <c r="AR175" i="80"/>
  <c r="BH320" i="80"/>
  <c r="BM646" i="80"/>
  <c r="BI330" i="80"/>
  <c r="BJ327" i="80"/>
  <c r="AW555" i="80"/>
  <c r="AW194" i="80"/>
  <c r="AW187" i="80"/>
  <c r="AV598" i="80"/>
  <c r="AV159" i="80" s="1"/>
  <c r="AW159" i="80" s="1"/>
  <c r="BG334" i="80"/>
  <c r="BJ304" i="80"/>
  <c r="BJ307" i="80" s="1"/>
  <c r="BK301" i="80"/>
  <c r="AZ566" i="80"/>
  <c r="BB564" i="80"/>
  <c r="BF334" i="80"/>
  <c r="AY679" i="80"/>
  <c r="AX681" i="80"/>
  <c r="AX209" i="80"/>
  <c r="AX215" i="80" s="1"/>
  <c r="AX719" i="80"/>
  <c r="BF231" i="80"/>
  <c r="BC231" i="80"/>
  <c r="BE231" i="80"/>
  <c r="BD231" i="80"/>
  <c r="BF356" i="80"/>
  <c r="BG353" i="80"/>
  <c r="BA798" i="80"/>
  <c r="BA118" i="46" s="1"/>
  <c r="BA564" i="80"/>
  <c r="BG224" i="80"/>
  <c r="BG586" i="80"/>
  <c r="BG585" i="80" s="1"/>
  <c r="BH585" i="80" s="1"/>
  <c r="BI585" i="80" s="1"/>
  <c r="BJ585" i="80" s="1"/>
  <c r="BK585" i="80" s="1"/>
  <c r="BA379" i="80"/>
  <c r="BB396" i="80"/>
  <c r="BB379" i="80" s="1"/>
  <c r="AX229" i="80"/>
  <c r="AX221" i="80" s="1"/>
  <c r="AY229" i="80"/>
  <c r="AY221" i="80" s="1"/>
  <c r="BA229" i="80"/>
  <c r="BA221" i="80" s="1"/>
  <c r="AZ229" i="80"/>
  <c r="AZ221" i="80" s="1"/>
  <c r="BE516" i="80"/>
  <c r="BB347" i="80"/>
  <c r="BB170" i="80" s="1"/>
  <c r="AW602" i="80"/>
  <c r="AW195" i="80"/>
  <c r="BJ421" i="80"/>
  <c r="BJ422" i="80"/>
  <c r="AZ571" i="80"/>
  <c r="AY574" i="80"/>
  <c r="AY553" i="80"/>
  <c r="AY202" i="80" s="1"/>
  <c r="BF586" i="80"/>
  <c r="BF588" i="80" s="1"/>
  <c r="BG583" i="80"/>
  <c r="BH583" i="80" s="1"/>
  <c r="BF515" i="80"/>
  <c r="BF516" i="80" s="1"/>
  <c r="BG512" i="80"/>
  <c r="BH410" i="80"/>
  <c r="AY640" i="80"/>
  <c r="AY196" i="80"/>
  <c r="CC322" i="80"/>
  <c r="CD322" i="80" s="1"/>
  <c r="BG316" i="80"/>
  <c r="BK403" i="80"/>
  <c r="BJ406" i="80"/>
  <c r="BB798" i="80"/>
  <c r="BB118" i="46" s="1"/>
  <c r="BE359" i="80"/>
  <c r="BE358" i="80"/>
  <c r="BC628" i="80"/>
  <c r="AX601" i="80"/>
  <c r="AX613" i="80"/>
  <c r="AX614" i="80"/>
  <c r="BG356" i="80"/>
  <c r="BG355" i="80" s="1"/>
  <c r="BA384" i="80"/>
  <c r="BA193" i="80"/>
  <c r="AX268" i="80"/>
  <c r="AX182" i="80"/>
  <c r="AX281" i="80"/>
  <c r="AX280" i="80"/>
  <c r="BH528" i="80"/>
  <c r="BH527" i="80"/>
  <c r="BF621" i="80"/>
  <c r="BE624" i="80"/>
  <c r="BI506" i="80"/>
  <c r="BJ503" i="80"/>
  <c r="BI509" i="80"/>
  <c r="BK419" i="80"/>
  <c r="BL416" i="80"/>
  <c r="BM416" i="80" s="1"/>
  <c r="AX576" i="80"/>
  <c r="AX554" i="80"/>
  <c r="BI317" i="80"/>
  <c r="BI320" i="80" s="1"/>
  <c r="BJ314" i="80"/>
  <c r="BC699" i="80"/>
  <c r="BB213" i="80"/>
  <c r="BH185" i="80"/>
  <c r="BH495" i="80"/>
  <c r="BH183" i="80"/>
  <c r="BH333" i="80"/>
  <c r="BH332" i="80"/>
  <c r="AY666" i="80"/>
  <c r="AY634" i="80"/>
  <c r="AY636" i="80" s="1"/>
  <c r="AY160" i="80" s="1"/>
  <c r="AW615" i="80"/>
  <c r="AW596" i="80"/>
  <c r="AW598" i="80" s="1"/>
  <c r="AW197" i="80"/>
  <c r="AW724" i="80"/>
  <c r="BI408" i="80"/>
  <c r="BI409" i="80"/>
  <c r="BI492" i="80"/>
  <c r="BI491" i="80"/>
  <c r="BB659" i="80"/>
  <c r="BA662" i="80"/>
  <c r="BA638" i="80"/>
  <c r="BA204" i="80" s="1"/>
  <c r="AY716" i="80"/>
  <c r="AZ714" i="80"/>
  <c r="AY214" i="80"/>
  <c r="BF674" i="80"/>
  <c r="BF291" i="80"/>
  <c r="BG288" i="80"/>
  <c r="BH288" i="80" s="1"/>
  <c r="BC559" i="80"/>
  <c r="AY611" i="80"/>
  <c r="AY600" i="80"/>
  <c r="AY203" i="80" s="1"/>
  <c r="AZ608" i="80"/>
  <c r="AW265" i="80"/>
  <c r="BB384" i="80"/>
  <c r="BB193" i="80"/>
  <c r="BC343" i="80"/>
  <c r="BD340" i="80"/>
  <c r="AX205" i="80"/>
  <c r="BI525" i="80"/>
  <c r="BJ522" i="80"/>
  <c r="BF696" i="80"/>
  <c r="BG696" i="80" s="1"/>
  <c r="BG694" i="80"/>
  <c r="BH694" i="80" s="1"/>
  <c r="BF212" i="80"/>
  <c r="BG212" i="80" s="1"/>
  <c r="BD627" i="80"/>
  <c r="BD626" i="80"/>
  <c r="BD628" i="80" s="1"/>
  <c r="BH512" i="80"/>
  <c r="BH511" i="80"/>
  <c r="BC382" i="80"/>
  <c r="BC201" i="80" s="1"/>
  <c r="BC393" i="80"/>
  <c r="BD390" i="80"/>
  <c r="BB186" i="80"/>
  <c r="BB233" i="80" s="1"/>
  <c r="CJ7" i="73"/>
  <c r="BB342" i="80"/>
  <c r="BK652" i="80"/>
  <c r="BK651" i="80"/>
  <c r="AV723" i="80"/>
  <c r="AV161" i="80" s="1"/>
  <c r="AW161" i="80" s="1"/>
  <c r="AW172" i="80" s="1"/>
  <c r="BB561" i="80"/>
  <c r="BC561" i="80" s="1"/>
  <c r="BD561" i="80" s="1"/>
  <c r="BE561" i="80" s="1"/>
  <c r="BF561" i="80" s="1"/>
  <c r="AV197" i="80"/>
  <c r="BJ489" i="80"/>
  <c r="BJ486" i="80"/>
  <c r="BK483" i="80"/>
  <c r="AZ665" i="80"/>
  <c r="AZ635" i="80" s="1"/>
  <c r="AZ664" i="80"/>
  <c r="AZ639" i="80"/>
  <c r="AZ188" i="80"/>
  <c r="BB662" i="80"/>
  <c r="BB661" i="80" s="1"/>
  <c r="CF322" i="80"/>
  <c r="CF314" i="80"/>
  <c r="BE181" i="80"/>
  <c r="BE294" i="80"/>
  <c r="BE293" i="80"/>
  <c r="AW282" i="80"/>
  <c r="AV230" i="80"/>
  <c r="AV222" i="80" s="1"/>
  <c r="AV226" i="80" s="1"/>
  <c r="AV163" i="80" s="1"/>
  <c r="AS230" i="80"/>
  <c r="AS222" i="80" s="1"/>
  <c r="AU230" i="80"/>
  <c r="AU222" i="80" s="1"/>
  <c r="AU226" i="80" s="1"/>
  <c r="AU163" i="80" s="1"/>
  <c r="AU164" i="80" s="1"/>
  <c r="AT230" i="80"/>
  <c r="AT222" i="80" s="1"/>
  <c r="AT226" i="80" s="1"/>
  <c r="AT163" i="80" s="1"/>
  <c r="AT164" i="80" s="1"/>
  <c r="BK231" i="46"/>
  <c r="BL205" i="46"/>
  <c r="EB12" i="71"/>
  <c r="CJ91" i="73"/>
  <c r="CK90" i="73"/>
  <c r="BJ423" i="80" l="1"/>
  <c r="BI514" i="80"/>
  <c r="AZ10" i="100"/>
  <c r="AX102" i="100"/>
  <c r="AY110" i="100" s="1"/>
  <c r="BA10" i="100"/>
  <c r="AX10" i="100"/>
  <c r="AY10" i="100"/>
  <c r="AX143" i="100"/>
  <c r="AX15" i="100"/>
  <c r="AX17" i="100" s="1"/>
  <c r="BB74" i="100"/>
  <c r="BB8" i="100"/>
  <c r="BJ55" i="99"/>
  <c r="BJ87" i="99" s="1"/>
  <c r="BJ85" i="99" s="1"/>
  <c r="BJ89" i="99" s="1"/>
  <c r="BJ70" i="99" s="1"/>
  <c r="BK55" i="99"/>
  <c r="BK87" i="99" s="1"/>
  <c r="BK85" i="99" s="1"/>
  <c r="BK89" i="99" s="1"/>
  <c r="BK70" i="99" s="1"/>
  <c r="BI55" i="99"/>
  <c r="BI87" i="99" s="1"/>
  <c r="BI85" i="99" s="1"/>
  <c r="BI89" i="99" s="1"/>
  <c r="BI70" i="99" s="1"/>
  <c r="BH55" i="99"/>
  <c r="BH87" i="99" s="1"/>
  <c r="BC30" i="99"/>
  <c r="BG209" i="99"/>
  <c r="BF210" i="99"/>
  <c r="BH142" i="99"/>
  <c r="BH140" i="99" s="1"/>
  <c r="BG144" i="99"/>
  <c r="BI244" i="99"/>
  <c r="BH224" i="99"/>
  <c r="BG177" i="98"/>
  <c r="BF178" i="98"/>
  <c r="BG193" i="98"/>
  <c r="BF23" i="98"/>
  <c r="BK24" i="46"/>
  <c r="BL24" i="46" s="1"/>
  <c r="BG101" i="98"/>
  <c r="BH212" i="98"/>
  <c r="BG247" i="98"/>
  <c r="BL49" i="98"/>
  <c r="BG15" i="98"/>
  <c r="BG17" i="98" s="1"/>
  <c r="BG23" i="98" s="1"/>
  <c r="BJ25" i="77"/>
  <c r="BL156" i="77"/>
  <c r="BL152" i="77"/>
  <c r="BM158" i="77" s="1"/>
  <c r="BK190" i="77"/>
  <c r="BL190" i="77" s="1"/>
  <c r="BL14" i="77"/>
  <c r="BK27" i="78"/>
  <c r="BK238" i="78" s="1"/>
  <c r="BJ238" i="78"/>
  <c r="BM160" i="78"/>
  <c r="BL162" i="78"/>
  <c r="BL238" i="78"/>
  <c r="BL29" i="71"/>
  <c r="BH23" i="79"/>
  <c r="BH20" i="46"/>
  <c r="BI228" i="79"/>
  <c r="BI131" i="79"/>
  <c r="BI13" i="79" s="1"/>
  <c r="BI126" i="79"/>
  <c r="BE295" i="80"/>
  <c r="CK8" i="73"/>
  <c r="BC298" i="80"/>
  <c r="BC306" i="80" s="1"/>
  <c r="BE298" i="80"/>
  <c r="BE306" i="80" s="1"/>
  <c r="BE308" i="80" s="1"/>
  <c r="BG298" i="80"/>
  <c r="BF298" i="80"/>
  <c r="BF306" i="80" s="1"/>
  <c r="BF308" i="80" s="1"/>
  <c r="BD298" i="80"/>
  <c r="BD306" i="80" s="1"/>
  <c r="BD308" i="80" s="1"/>
  <c r="AZ640" i="80"/>
  <c r="AZ196" i="80"/>
  <c r="BK486" i="80"/>
  <c r="BL483" i="80"/>
  <c r="BM483" i="80" s="1"/>
  <c r="BK489" i="80"/>
  <c r="BL489" i="80" s="1"/>
  <c r="BK653" i="80"/>
  <c r="BC383" i="80"/>
  <c r="BC395" i="80"/>
  <c r="BC396" i="80"/>
  <c r="BD343" i="80"/>
  <c r="BE340" i="80"/>
  <c r="AZ611" i="80"/>
  <c r="AZ600" i="80"/>
  <c r="AZ203" i="80" s="1"/>
  <c r="BA608" i="80"/>
  <c r="BC562" i="80"/>
  <c r="BD559" i="80"/>
  <c r="BI288" i="80"/>
  <c r="BH291" i="80"/>
  <c r="BA714" i="80"/>
  <c r="AZ716" i="80"/>
  <c r="AZ723" i="80" s="1"/>
  <c r="AZ161" i="80" s="1"/>
  <c r="AZ214" i="80"/>
  <c r="AZ215" i="80" s="1"/>
  <c r="BA665" i="80"/>
  <c r="BA635" i="80" s="1"/>
  <c r="BA664" i="80"/>
  <c r="BA639" i="80"/>
  <c r="BA188" i="80"/>
  <c r="BH334" i="80"/>
  <c r="BC701" i="80"/>
  <c r="BD699" i="80"/>
  <c r="BC213" i="80"/>
  <c r="AX555" i="80"/>
  <c r="AX194" i="80"/>
  <c r="AX187" i="80"/>
  <c r="BN416" i="80"/>
  <c r="BM419" i="80"/>
  <c r="AX189" i="80"/>
  <c r="AX597" i="80"/>
  <c r="BK406" i="80"/>
  <c r="BL403" i="80"/>
  <c r="BM403" i="80" s="1"/>
  <c r="BH496" i="80"/>
  <c r="BB221" i="80"/>
  <c r="AX720" i="80"/>
  <c r="AX721" i="80" s="1"/>
  <c r="BK304" i="80"/>
  <c r="BL301" i="80"/>
  <c r="BM301" i="80" s="1"/>
  <c r="BK327" i="80"/>
  <c r="BJ330" i="80"/>
  <c r="BX168" i="80"/>
  <c r="BX170" i="80" s="1"/>
  <c r="BX164" i="80"/>
  <c r="AY268" i="80"/>
  <c r="AY182" i="80"/>
  <c r="AY281" i="80"/>
  <c r="AY264" i="80" s="1"/>
  <c r="AY280" i="80"/>
  <c r="AW222" i="80"/>
  <c r="AW226" i="80" s="1"/>
  <c r="CA85" i="73" s="1"/>
  <c r="AS226" i="80"/>
  <c r="AS163" i="80" s="1"/>
  <c r="AZ666" i="80"/>
  <c r="AZ634" i="80"/>
  <c r="AZ636" i="80" s="1"/>
  <c r="AZ160" i="80" s="1"/>
  <c r="CB49" i="73"/>
  <c r="CJ9" i="73"/>
  <c r="CJ10" i="73" s="1"/>
  <c r="BJ525" i="80"/>
  <c r="BK522" i="80"/>
  <c r="BF181" i="80"/>
  <c r="BF294" i="80"/>
  <c r="BG294" i="80" s="1"/>
  <c r="BF293" i="80"/>
  <c r="BG293" i="80" s="1"/>
  <c r="BG291" i="80"/>
  <c r="BC659" i="80"/>
  <c r="BB638" i="80"/>
  <c r="BB204" i="80" s="1"/>
  <c r="BI410" i="80"/>
  <c r="AV164" i="80"/>
  <c r="AX578" i="80"/>
  <c r="AX549" i="80"/>
  <c r="AX551" i="80" s="1"/>
  <c r="AX158" i="80" s="1"/>
  <c r="BK421" i="80"/>
  <c r="BK422" i="80"/>
  <c r="BL422" i="80" s="1"/>
  <c r="AX615" i="80"/>
  <c r="AX596" i="80"/>
  <c r="AY576" i="80"/>
  <c r="AY554" i="80"/>
  <c r="BG515" i="80"/>
  <c r="BG516" i="80" s="1"/>
  <c r="BG169" i="80" s="1"/>
  <c r="BB566" i="80"/>
  <c r="AW235" i="80"/>
  <c r="AW189" i="80"/>
  <c r="AW228" i="80" s="1"/>
  <c r="BI183" i="80"/>
  <c r="BI333" i="80"/>
  <c r="BI332" i="80"/>
  <c r="BI334" i="80" s="1"/>
  <c r="BB664" i="80"/>
  <c r="AX233" i="80"/>
  <c r="AX225" i="80" s="1"/>
  <c r="AY233" i="80"/>
  <c r="AY225" i="80" s="1"/>
  <c r="BA233" i="80"/>
  <c r="BA225" i="80" s="1"/>
  <c r="AZ233" i="80"/>
  <c r="AZ225" i="80" s="1"/>
  <c r="BI528" i="80"/>
  <c r="BI527" i="80"/>
  <c r="BI529" i="80" s="1"/>
  <c r="BC186" i="80"/>
  <c r="BC345" i="80"/>
  <c r="BC346" i="80"/>
  <c r="AY601" i="80"/>
  <c r="AY614" i="80"/>
  <c r="AY597" i="80" s="1"/>
  <c r="AY613" i="80"/>
  <c r="BF676" i="80"/>
  <c r="BG674" i="80"/>
  <c r="BH674" i="80" s="1"/>
  <c r="BF208" i="80"/>
  <c r="BK314" i="80"/>
  <c r="BJ317" i="80"/>
  <c r="BJ320" i="80" s="1"/>
  <c r="BI512" i="80"/>
  <c r="BI511" i="80"/>
  <c r="BE627" i="80"/>
  <c r="BE626" i="80"/>
  <c r="AX282" i="80"/>
  <c r="AX263" i="80"/>
  <c r="AX269" i="80"/>
  <c r="AX192" i="80"/>
  <c r="BL419" i="80"/>
  <c r="BE360" i="80"/>
  <c r="BI583" i="80"/>
  <c r="BH586" i="80"/>
  <c r="BA571" i="80"/>
  <c r="AZ574" i="80"/>
  <c r="AZ553" i="80"/>
  <c r="AZ202" i="80" s="1"/>
  <c r="BA566" i="80"/>
  <c r="BH353" i="80"/>
  <c r="BM649" i="80"/>
  <c r="BN646" i="80"/>
  <c r="AY205" i="80"/>
  <c r="BB397" i="80"/>
  <c r="BB378" i="80"/>
  <c r="BB380" i="80" s="1"/>
  <c r="BE311" i="80"/>
  <c r="BE319" i="80" s="1"/>
  <c r="BE321" i="80" s="1"/>
  <c r="BF311" i="80"/>
  <c r="BF319" i="80" s="1"/>
  <c r="BF321" i="80" s="1"/>
  <c r="BC311" i="80"/>
  <c r="BC319" i="80" s="1"/>
  <c r="BD311" i="80"/>
  <c r="BD319" i="80" s="1"/>
  <c r="BD321" i="80" s="1"/>
  <c r="BG311" i="80"/>
  <c r="BJ494" i="80"/>
  <c r="BL486" i="80"/>
  <c r="BB639" i="80"/>
  <c r="BB188" i="80"/>
  <c r="BB236" i="80" s="1"/>
  <c r="BJ492" i="80"/>
  <c r="BJ491" i="80"/>
  <c r="AW168" i="80"/>
  <c r="BL651" i="80"/>
  <c r="BD382" i="80"/>
  <c r="BD201" i="80" s="1"/>
  <c r="BD393" i="80"/>
  <c r="BE390" i="80"/>
  <c r="BH515" i="80"/>
  <c r="BH516" i="80" s="1"/>
  <c r="BI694" i="80"/>
  <c r="BH696" i="80"/>
  <c r="BH212" i="80"/>
  <c r="BI185" i="80"/>
  <c r="BI495" i="80"/>
  <c r="BI496" i="80" s="1"/>
  <c r="BK503" i="80"/>
  <c r="BJ509" i="80"/>
  <c r="BJ506" i="80"/>
  <c r="BF624" i="80"/>
  <c r="BG621" i="80"/>
  <c r="BH621" i="80" s="1"/>
  <c r="BH529" i="80"/>
  <c r="AX264" i="80"/>
  <c r="AX9" i="80" s="1"/>
  <c r="BL652" i="80"/>
  <c r="AX602" i="80"/>
  <c r="AX195" i="80"/>
  <c r="BJ408" i="80"/>
  <c r="BJ409" i="80"/>
  <c r="BL406" i="80"/>
  <c r="BF590" i="80"/>
  <c r="BG588" i="80"/>
  <c r="BG590" i="80" s="1"/>
  <c r="BF359" i="80"/>
  <c r="BG359" i="80" s="1"/>
  <c r="BF358" i="80"/>
  <c r="BF360" i="80" s="1"/>
  <c r="AY681" i="80"/>
  <c r="AY209" i="80"/>
  <c r="AY215" i="80" s="1"/>
  <c r="AY719" i="80"/>
  <c r="BA275" i="80"/>
  <c r="AZ267" i="80"/>
  <c r="AZ200" i="80" s="1"/>
  <c r="AZ205" i="80" s="1"/>
  <c r="AZ278" i="80"/>
  <c r="BA380" i="80"/>
  <c r="BA157" i="80" s="1"/>
  <c r="BB157" i="80" s="1"/>
  <c r="BL231" i="46"/>
  <c r="BM205" i="46"/>
  <c r="EC12" i="71"/>
  <c r="CJ92" i="73"/>
  <c r="CK91" i="73"/>
  <c r="BB665" i="80" l="1"/>
  <c r="BB635" i="80" s="1"/>
  <c r="AX598" i="80"/>
  <c r="AX159" i="80" s="1"/>
  <c r="BK494" i="80"/>
  <c r="AX23" i="100"/>
  <c r="BC26" i="46"/>
  <c r="AY246" i="100"/>
  <c r="AY108" i="100"/>
  <c r="BB10" i="100"/>
  <c r="AX176" i="100"/>
  <c r="BB79" i="100"/>
  <c r="BB81" i="100" s="1"/>
  <c r="BB75" i="100"/>
  <c r="BG210" i="99"/>
  <c r="BL87" i="99"/>
  <c r="BH85" i="99"/>
  <c r="BH89" i="99" s="1"/>
  <c r="BH70" i="99" s="1"/>
  <c r="BI82" i="99"/>
  <c r="BI83" i="99" s="1"/>
  <c r="BI8" i="99"/>
  <c r="BI10" i="99" s="1"/>
  <c r="BH19" i="99"/>
  <c r="BH133" i="99"/>
  <c r="BK82" i="99"/>
  <c r="BK83" i="99" s="1"/>
  <c r="BK8" i="99"/>
  <c r="BJ244" i="99"/>
  <c r="BI224" i="99"/>
  <c r="BJ82" i="99"/>
  <c r="BJ83" i="99" s="1"/>
  <c r="BJ8" i="99"/>
  <c r="BJ10" i="99" s="1"/>
  <c r="BH109" i="98"/>
  <c r="BH107" i="98" s="1"/>
  <c r="BG111" i="98"/>
  <c r="BG228" i="98"/>
  <c r="BG24" i="98"/>
  <c r="BJ49" i="98"/>
  <c r="BJ79" i="98" s="1"/>
  <c r="BJ77" i="98" s="1"/>
  <c r="BJ81" i="98" s="1"/>
  <c r="BJ62" i="98" s="1"/>
  <c r="BH49" i="98"/>
  <c r="BH79" i="98" s="1"/>
  <c r="BH77" i="98" s="1"/>
  <c r="BH81" i="98" s="1"/>
  <c r="BH62" i="98" s="1"/>
  <c r="BK49" i="98"/>
  <c r="BK79" i="98" s="1"/>
  <c r="BK77" i="98" s="1"/>
  <c r="BK81" i="98" s="1"/>
  <c r="BK62" i="98" s="1"/>
  <c r="BI49" i="98"/>
  <c r="BI79" i="98" s="1"/>
  <c r="BI77" i="98" s="1"/>
  <c r="BI81" i="98" s="1"/>
  <c r="BI62" i="98" s="1"/>
  <c r="BL79" i="98"/>
  <c r="BL77" i="98" s="1"/>
  <c r="BL81" i="98" s="1"/>
  <c r="BI212" i="98"/>
  <c r="BH193" i="98"/>
  <c r="BF24" i="98"/>
  <c r="BF229" i="98" s="1"/>
  <c r="BF228" i="98"/>
  <c r="BG178" i="98"/>
  <c r="BM257" i="77"/>
  <c r="BM156" i="77"/>
  <c r="BM14" i="77" s="1"/>
  <c r="BM151" i="77"/>
  <c r="BL160" i="77"/>
  <c r="BM256" i="78"/>
  <c r="BM158" i="78"/>
  <c r="BM14" i="78" s="1"/>
  <c r="BM153" i="78"/>
  <c r="BI164" i="79"/>
  <c r="BI15" i="79"/>
  <c r="BI17" i="79" s="1"/>
  <c r="BI127" i="79"/>
  <c r="BJ133" i="79" s="1"/>
  <c r="BH209" i="79"/>
  <c r="BH24" i="79"/>
  <c r="AX723" i="80"/>
  <c r="AX161" i="80" s="1"/>
  <c r="BG295" i="80"/>
  <c r="BJ514" i="80"/>
  <c r="BD383" i="80"/>
  <c r="BD395" i="80"/>
  <c r="BD396" i="80"/>
  <c r="BD379" i="80" s="1"/>
  <c r="BB640" i="80"/>
  <c r="BB196" i="80"/>
  <c r="BJ583" i="80"/>
  <c r="BI586" i="80"/>
  <c r="BI588" i="80" s="1"/>
  <c r="BI590" i="80" s="1"/>
  <c r="BK317" i="80"/>
  <c r="BL314" i="80"/>
  <c r="BM314" i="80" s="1"/>
  <c r="AY596" i="80"/>
  <c r="AY598" i="80" s="1"/>
  <c r="AY159" i="80" s="1"/>
  <c r="AY615" i="80"/>
  <c r="BC347" i="80"/>
  <c r="AT235" i="80"/>
  <c r="AU235" i="80"/>
  <c r="AS235" i="80"/>
  <c r="AV235" i="80"/>
  <c r="BK423" i="80"/>
  <c r="BL421" i="80"/>
  <c r="BL423" i="80" s="1"/>
  <c r="BJ528" i="80"/>
  <c r="BJ527" i="80"/>
  <c r="CA89" i="73"/>
  <c r="CA86" i="73"/>
  <c r="CA88" i="73" s="1"/>
  <c r="BY89" i="73"/>
  <c r="BY91" i="73" s="1"/>
  <c r="BY93" i="73" s="1"/>
  <c r="BY95" i="73" s="1"/>
  <c r="BZ89" i="73"/>
  <c r="BZ91" i="73" s="1"/>
  <c r="BZ93" i="73" s="1"/>
  <c r="BZ95" i="73" s="1"/>
  <c r="AY269" i="80"/>
  <c r="AY192" i="80"/>
  <c r="BN301" i="80"/>
  <c r="BM304" i="80"/>
  <c r="BK408" i="80"/>
  <c r="BK409" i="80"/>
  <c r="BL409" i="80" s="1"/>
  <c r="BO416" i="80"/>
  <c r="BN419" i="80"/>
  <c r="BA666" i="80"/>
  <c r="BA634" i="80"/>
  <c r="BA636" i="80" s="1"/>
  <c r="BA160" i="80" s="1"/>
  <c r="BB160" i="80" s="1"/>
  <c r="BA716" i="80"/>
  <c r="BB714" i="80"/>
  <c r="BA214" i="80"/>
  <c r="BC379" i="80"/>
  <c r="BB716" i="80"/>
  <c r="AZ268" i="80"/>
  <c r="AZ182" i="80"/>
  <c r="AZ281" i="80"/>
  <c r="AZ280" i="80"/>
  <c r="BN649" i="80"/>
  <c r="BO646" i="80"/>
  <c r="AZ576" i="80"/>
  <c r="AZ554" i="80"/>
  <c r="AX265" i="80"/>
  <c r="AX156" i="80" s="1"/>
  <c r="BG208" i="80"/>
  <c r="BB225" i="80"/>
  <c r="AY555" i="80"/>
  <c r="AY187" i="80"/>
  <c r="AY194" i="80"/>
  <c r="BC662" i="80"/>
  <c r="BD659" i="80"/>
  <c r="BC638" i="80"/>
  <c r="BC204" i="80" s="1"/>
  <c r="AY282" i="80"/>
  <c r="AY263" i="80"/>
  <c r="BJ183" i="80"/>
  <c r="BJ333" i="80"/>
  <c r="BJ332" i="80"/>
  <c r="BJ334" i="80" s="1"/>
  <c r="BK307" i="80"/>
  <c r="BL307" i="80" s="1"/>
  <c r="BL304" i="80"/>
  <c r="BE699" i="80"/>
  <c r="BD701" i="80"/>
  <c r="BD213" i="80"/>
  <c r="BH181" i="80"/>
  <c r="BH294" i="80"/>
  <c r="BH293" i="80"/>
  <c r="BD562" i="80"/>
  <c r="BE559" i="80"/>
  <c r="AZ601" i="80"/>
  <c r="AZ614" i="80"/>
  <c r="AZ597" i="80" s="1"/>
  <c r="AZ613" i="80"/>
  <c r="BC378" i="80"/>
  <c r="BC397" i="80"/>
  <c r="AY720" i="80"/>
  <c r="AY721" i="80" s="1"/>
  <c r="BJ410" i="80"/>
  <c r="AX9" i="46"/>
  <c r="BH624" i="80"/>
  <c r="BI621" i="80"/>
  <c r="BK509" i="80"/>
  <c r="BL509" i="80" s="1"/>
  <c r="BL503" i="80"/>
  <c r="BM503" i="80" s="1"/>
  <c r="BK506" i="80"/>
  <c r="BL653" i="80"/>
  <c r="BJ185" i="80"/>
  <c r="BJ495" i="80"/>
  <c r="BJ496" i="80" s="1"/>
  <c r="BG319" i="80"/>
  <c r="BG321" i="80" s="1"/>
  <c r="BC321" i="80"/>
  <c r="BA574" i="80"/>
  <c r="BB571" i="80"/>
  <c r="BA553" i="80"/>
  <c r="BA202" i="80" s="1"/>
  <c r="BG358" i="80"/>
  <c r="BG360" i="80" s="1"/>
  <c r="AX197" i="80"/>
  <c r="BI515" i="80"/>
  <c r="BI516" i="80" s="1"/>
  <c r="BH676" i="80"/>
  <c r="BI674" i="80"/>
  <c r="BH208" i="80"/>
  <c r="AY602" i="80"/>
  <c r="AY195" i="80"/>
  <c r="BB666" i="80"/>
  <c r="BB634" i="80"/>
  <c r="BB636" i="80" s="1"/>
  <c r="AY578" i="80"/>
  <c r="AY549" i="80"/>
  <c r="AY551" i="80" s="1"/>
  <c r="AY158" i="80" s="1"/>
  <c r="BG181" i="80"/>
  <c r="BG290" i="80"/>
  <c r="AY9" i="80"/>
  <c r="AY9" i="46" s="1"/>
  <c r="BL327" i="80"/>
  <c r="BM327" i="80" s="1"/>
  <c r="BK330" i="80"/>
  <c r="BL330" i="80" s="1"/>
  <c r="BI291" i="80"/>
  <c r="BJ288" i="80"/>
  <c r="BC564" i="80"/>
  <c r="BC798" i="80"/>
  <c r="BF340" i="80"/>
  <c r="BE343" i="80"/>
  <c r="BK491" i="80"/>
  <c r="BL491" i="80" s="1"/>
  <c r="BK492" i="80"/>
  <c r="BJ511" i="80"/>
  <c r="BJ512" i="80"/>
  <c r="BA679" i="80"/>
  <c r="BA267" i="80"/>
  <c r="BA200" i="80" s="1"/>
  <c r="BA278" i="80"/>
  <c r="BB275" i="80"/>
  <c r="BF627" i="80"/>
  <c r="BG627" i="80" s="1"/>
  <c r="BF626" i="80"/>
  <c r="BF628" i="80" s="1"/>
  <c r="BG624" i="80"/>
  <c r="BG623" i="80" s="1"/>
  <c r="BI696" i="80"/>
  <c r="BJ694" i="80"/>
  <c r="BI212" i="80"/>
  <c r="BE393" i="80"/>
  <c r="BF390" i="80"/>
  <c r="BE382" i="80"/>
  <c r="BE201" i="80" s="1"/>
  <c r="BY161" i="80"/>
  <c r="AZ236" i="80"/>
  <c r="BA236" i="80"/>
  <c r="AY236" i="80"/>
  <c r="AX236" i="80"/>
  <c r="BL494" i="80"/>
  <c r="BM652" i="80"/>
  <c r="BM651" i="80"/>
  <c r="BI353" i="80"/>
  <c r="BH356" i="80"/>
  <c r="BH588" i="80"/>
  <c r="BE628" i="80"/>
  <c r="BG676" i="80"/>
  <c r="AV228" i="80"/>
  <c r="AT228" i="80"/>
  <c r="AS228" i="80"/>
  <c r="AU228" i="80"/>
  <c r="BF295" i="80"/>
  <c r="BK525" i="80"/>
  <c r="BL522" i="80"/>
  <c r="BM522" i="80" s="1"/>
  <c r="AW163" i="80"/>
  <c r="AS164" i="80"/>
  <c r="AY189" i="80"/>
  <c r="BM406" i="80"/>
  <c r="BN403" i="80"/>
  <c r="BM422" i="80"/>
  <c r="BM421" i="80"/>
  <c r="BA640" i="80"/>
  <c r="BA196" i="80"/>
  <c r="BA611" i="80"/>
  <c r="BA600" i="80"/>
  <c r="BA203" i="80" s="1"/>
  <c r="BB608" i="80"/>
  <c r="BD186" i="80"/>
  <c r="BD346" i="80"/>
  <c r="BD345" i="80"/>
  <c r="BC384" i="80"/>
  <c r="BC193" i="80"/>
  <c r="BN483" i="80"/>
  <c r="BM489" i="80"/>
  <c r="BM486" i="80"/>
  <c r="BC308" i="80"/>
  <c r="BG306" i="80"/>
  <c r="BG308" i="80" s="1"/>
  <c r="BM231" i="46"/>
  <c r="BN205" i="46"/>
  <c r="ED12" i="71"/>
  <c r="CJ93" i="73"/>
  <c r="CK92" i="73"/>
  <c r="BC380" i="80" l="1"/>
  <c r="BC157" i="80" s="1"/>
  <c r="BK514" i="80"/>
  <c r="BL514" i="80" s="1"/>
  <c r="BK410" i="80"/>
  <c r="AY13" i="100"/>
  <c r="AY101" i="100"/>
  <c r="AX177" i="100"/>
  <c r="AX227" i="100"/>
  <c r="AX24" i="100"/>
  <c r="BI16" i="99"/>
  <c r="BH134" i="99"/>
  <c r="BI142" i="99" s="1"/>
  <c r="BI140" i="99" s="1"/>
  <c r="BH279" i="99"/>
  <c r="BH174" i="99"/>
  <c r="BH21" i="99"/>
  <c r="BH82" i="99"/>
  <c r="BH83" i="99" s="1"/>
  <c r="BL70" i="99"/>
  <c r="BL82" i="99" s="1"/>
  <c r="BH8" i="99"/>
  <c r="BJ16" i="99"/>
  <c r="BK244" i="99"/>
  <c r="BJ224" i="99"/>
  <c r="BJ212" i="98"/>
  <c r="BI193" i="98"/>
  <c r="BK74" i="98"/>
  <c r="BK75" i="98" s="1"/>
  <c r="BK8" i="98"/>
  <c r="BH8" i="98"/>
  <c r="BH74" i="98"/>
  <c r="BH75" i="98" s="1"/>
  <c r="BL62" i="98"/>
  <c r="BJ74" i="98"/>
  <c r="BJ75" i="98" s="1"/>
  <c r="BJ8" i="98"/>
  <c r="BI74" i="98"/>
  <c r="BI75" i="98" s="1"/>
  <c r="BI8" i="98"/>
  <c r="BG229" i="98"/>
  <c r="BL31" i="71"/>
  <c r="BH13" i="98"/>
  <c r="BH100" i="98"/>
  <c r="BM152" i="77"/>
  <c r="BN158" i="77" s="1"/>
  <c r="BN151" i="77" s="1"/>
  <c r="BM190" i="77"/>
  <c r="BM16" i="77"/>
  <c r="BM18" i="77" s="1"/>
  <c r="BM154" i="78"/>
  <c r="BN160" i="78" s="1"/>
  <c r="BM193" i="78"/>
  <c r="BM16" i="78"/>
  <c r="BM20" i="78" s="1"/>
  <c r="BJ228" i="79"/>
  <c r="BJ131" i="79"/>
  <c r="BJ13" i="79" s="1"/>
  <c r="BI23" i="79"/>
  <c r="BI20" i="46"/>
  <c r="BH210" i="79"/>
  <c r="BJ126" i="79"/>
  <c r="BB721" i="80"/>
  <c r="AY723" i="80"/>
  <c r="AY161" i="80" s="1"/>
  <c r="BL183" i="80"/>
  <c r="BL231" i="80" s="1"/>
  <c r="BL329" i="80"/>
  <c r="BN489" i="80"/>
  <c r="BN486" i="80"/>
  <c r="BO483" i="80"/>
  <c r="BM525" i="80"/>
  <c r="BN522" i="80"/>
  <c r="BH590" i="80"/>
  <c r="BI356" i="80"/>
  <c r="BJ353" i="80"/>
  <c r="BY167" i="80"/>
  <c r="BA268" i="80"/>
  <c r="BA182" i="80"/>
  <c r="BA281" i="80"/>
  <c r="BA264" i="80" s="1"/>
  <c r="BA280" i="80"/>
  <c r="BJ515" i="80"/>
  <c r="BI181" i="80"/>
  <c r="BI294" i="80"/>
  <c r="BI293" i="80"/>
  <c r="BI295" i="80" s="1"/>
  <c r="BG229" i="80"/>
  <c r="CA185" i="80"/>
  <c r="BC571" i="80"/>
  <c r="BB553" i="80"/>
  <c r="BB202" i="80" s="1"/>
  <c r="AZ555" i="80"/>
  <c r="AZ194" i="80"/>
  <c r="AZ187" i="80"/>
  <c r="BN652" i="80"/>
  <c r="BN651" i="80"/>
  <c r="AZ263" i="80"/>
  <c r="AZ282" i="80"/>
  <c r="BB280" i="80"/>
  <c r="BO301" i="80"/>
  <c r="BN304" i="80"/>
  <c r="BN307" i="80" s="1"/>
  <c r="BJ586" i="80"/>
  <c r="BK583" i="80"/>
  <c r="BD397" i="80"/>
  <c r="BD378" i="80"/>
  <c r="BD380" i="80" s="1"/>
  <c r="BD157" i="80" s="1"/>
  <c r="BK528" i="80"/>
  <c r="BL528" i="80" s="1"/>
  <c r="BK527" i="80"/>
  <c r="BK529" i="80" s="1"/>
  <c r="BM653" i="80"/>
  <c r="BJ696" i="80"/>
  <c r="BK694" i="80"/>
  <c r="BJ212" i="80"/>
  <c r="BA205" i="80"/>
  <c r="BE186" i="80"/>
  <c r="BE346" i="80"/>
  <c r="BE345" i="80"/>
  <c r="BI676" i="80"/>
  <c r="BI208" i="80"/>
  <c r="BA576" i="80"/>
  <c r="BA554" i="80"/>
  <c r="BM506" i="80"/>
  <c r="BN503" i="80"/>
  <c r="BM509" i="80"/>
  <c r="BH627" i="80"/>
  <c r="BH626" i="80"/>
  <c r="BL525" i="80"/>
  <c r="AZ596" i="80"/>
  <c r="AZ598" i="80" s="1"/>
  <c r="AZ159" i="80" s="1"/>
  <c r="AZ615" i="80"/>
  <c r="BF559" i="80"/>
  <c r="BE562" i="80"/>
  <c r="BL506" i="80"/>
  <c r="AZ578" i="80"/>
  <c r="AZ549" i="80"/>
  <c r="AZ551" i="80" s="1"/>
  <c r="AZ158" i="80" s="1"/>
  <c r="BB576" i="80"/>
  <c r="AZ264" i="80"/>
  <c r="AZ9" i="80" s="1"/>
  <c r="AZ9" i="46" s="1"/>
  <c r="BB281" i="80"/>
  <c r="BB264" i="80" s="1"/>
  <c r="BC714" i="80"/>
  <c r="BB214" i="80"/>
  <c r="BN422" i="80"/>
  <c r="BN421" i="80"/>
  <c r="AY197" i="80"/>
  <c r="BM317" i="80"/>
  <c r="BN314" i="80"/>
  <c r="BD384" i="80"/>
  <c r="BD193" i="80"/>
  <c r="BM409" i="80"/>
  <c r="BM408" i="80"/>
  <c r="BM494" i="80"/>
  <c r="BM423" i="80"/>
  <c r="BH359" i="80"/>
  <c r="BH358" i="80"/>
  <c r="BF382" i="80"/>
  <c r="BF201" i="80" s="1"/>
  <c r="BF393" i="80"/>
  <c r="BG390" i="80"/>
  <c r="BA681" i="80"/>
  <c r="BB679" i="80"/>
  <c r="BA209" i="80"/>
  <c r="BK185" i="80"/>
  <c r="BK495" i="80"/>
  <c r="BG340" i="80"/>
  <c r="BF343" i="80"/>
  <c r="BG343" i="80" s="1"/>
  <c r="BC566" i="80"/>
  <c r="BK183" i="80"/>
  <c r="BK333" i="80"/>
  <c r="BL333" i="80" s="1"/>
  <c r="BK332" i="80"/>
  <c r="BK334" i="80" s="1"/>
  <c r="BL492" i="80"/>
  <c r="BL185" i="80" s="1"/>
  <c r="BL234" i="80" s="1"/>
  <c r="BK511" i="80"/>
  <c r="BL511" i="80" s="1"/>
  <c r="BK512" i="80"/>
  <c r="BL512" i="80" s="1"/>
  <c r="BD564" i="80"/>
  <c r="BD798" i="80"/>
  <c r="BD118" i="46" s="1"/>
  <c r="BE701" i="80"/>
  <c r="BF699" i="80"/>
  <c r="BE213" i="80"/>
  <c r="AY265" i="80"/>
  <c r="AY156" i="80" s="1"/>
  <c r="BD662" i="80"/>
  <c r="BE659" i="80"/>
  <c r="BD638" i="80"/>
  <c r="BD204" i="80" s="1"/>
  <c r="AZ189" i="80"/>
  <c r="BP416" i="80"/>
  <c r="BO419" i="80"/>
  <c r="BM307" i="80"/>
  <c r="CA91" i="73"/>
  <c r="CA93" i="73" s="1"/>
  <c r="CA95" i="73" s="1"/>
  <c r="BK320" i="80"/>
  <c r="BL320" i="80" s="1"/>
  <c r="BL317" i="80"/>
  <c r="BJ516" i="80"/>
  <c r="BA601" i="80"/>
  <c r="BA614" i="80"/>
  <c r="BA613" i="80"/>
  <c r="BB611" i="80"/>
  <c r="BM492" i="80"/>
  <c r="BM491" i="80"/>
  <c r="BD347" i="80"/>
  <c r="BC608" i="80"/>
  <c r="BB600" i="80"/>
  <c r="BB203" i="80" s="1"/>
  <c r="BO403" i="80"/>
  <c r="BN406" i="80"/>
  <c r="AW174" i="80"/>
  <c r="AW24" i="73"/>
  <c r="AW25" i="73" s="1"/>
  <c r="AW164" i="80"/>
  <c r="CA100" i="73" s="1"/>
  <c r="BG626" i="80"/>
  <c r="BG628" i="80" s="1"/>
  <c r="BE383" i="80"/>
  <c r="BE395" i="80"/>
  <c r="BE396" i="80"/>
  <c r="BB267" i="80"/>
  <c r="BC275" i="80"/>
  <c r="BC118" i="46"/>
  <c r="BJ291" i="80"/>
  <c r="BK288" i="80"/>
  <c r="BM330" i="80"/>
  <c r="BN327" i="80"/>
  <c r="BJ621" i="80"/>
  <c r="BI624" i="80"/>
  <c r="AZ602" i="80"/>
  <c r="AZ195" i="80"/>
  <c r="BH295" i="80"/>
  <c r="CC315" i="80"/>
  <c r="CD315" i="80" s="1"/>
  <c r="BL303" i="80"/>
  <c r="BC665" i="80"/>
  <c r="BC664" i="80"/>
  <c r="BC639" i="80"/>
  <c r="BC188" i="80"/>
  <c r="BB574" i="80"/>
  <c r="BP646" i="80"/>
  <c r="BO649" i="80"/>
  <c r="BB278" i="80"/>
  <c r="AZ269" i="80"/>
  <c r="AZ192" i="80"/>
  <c r="BJ529" i="80"/>
  <c r="BL527" i="80"/>
  <c r="BG167" i="80"/>
  <c r="BL408" i="80"/>
  <c r="BL410" i="80" s="1"/>
  <c r="BN231" i="46"/>
  <c r="BO205" i="46"/>
  <c r="EE12" i="71"/>
  <c r="CK93" i="73"/>
  <c r="BN494" i="80" l="1"/>
  <c r="BN423" i="80"/>
  <c r="BL332" i="80"/>
  <c r="BL334" i="80" s="1"/>
  <c r="AX228" i="100"/>
  <c r="AY102" i="100"/>
  <c r="AZ110" i="100" s="1"/>
  <c r="AY143" i="100"/>
  <c r="AY15" i="100"/>
  <c r="AY17" i="100" s="1"/>
  <c r="BL244" i="99"/>
  <c r="BK224" i="99"/>
  <c r="BL224" i="99" s="1"/>
  <c r="BH10" i="99"/>
  <c r="BL8" i="99"/>
  <c r="BI19" i="99"/>
  <c r="BL83" i="99"/>
  <c r="BL85" i="99"/>
  <c r="BL89" i="99" s="1"/>
  <c r="BH209" i="99"/>
  <c r="BI133" i="99"/>
  <c r="BH101" i="98"/>
  <c r="BI109" i="98" s="1"/>
  <c r="BI107" i="98" s="1"/>
  <c r="BK212" i="98"/>
  <c r="BJ193" i="98"/>
  <c r="BH247" i="98"/>
  <c r="BH144" i="98"/>
  <c r="BH15" i="98"/>
  <c r="BH17" i="98" s="1"/>
  <c r="BI10" i="98"/>
  <c r="BL8" i="98"/>
  <c r="BL74" i="98"/>
  <c r="BL75" i="98" s="1"/>
  <c r="BK10" i="98"/>
  <c r="BJ10" i="98"/>
  <c r="BH10" i="98"/>
  <c r="BM24" i="77"/>
  <c r="BM22" i="46"/>
  <c r="BN152" i="77"/>
  <c r="BO158" i="77" s="1"/>
  <c r="BO151" i="77" s="1"/>
  <c r="BN257" i="77"/>
  <c r="BN156" i="77"/>
  <c r="BN14" i="77" s="1"/>
  <c r="BM26" i="78"/>
  <c r="BM21" i="46"/>
  <c r="BN256" i="78"/>
  <c r="BN158" i="78"/>
  <c r="BN14" i="78" s="1"/>
  <c r="BN153" i="78"/>
  <c r="BI24" i="79"/>
  <c r="BI209" i="79"/>
  <c r="BJ127" i="79"/>
  <c r="BK133" i="79" s="1"/>
  <c r="BJ164" i="79"/>
  <c r="BJ15" i="79"/>
  <c r="BJ17" i="79" s="1"/>
  <c r="BG186" i="80"/>
  <c r="BG233" i="80" s="1"/>
  <c r="BG342" i="80"/>
  <c r="BL529" i="80"/>
  <c r="BP649" i="80"/>
  <c r="BQ646" i="80"/>
  <c r="BQ648" i="80"/>
  <c r="BC666" i="80"/>
  <c r="BC634" i="80"/>
  <c r="BI627" i="80"/>
  <c r="BI626" i="80"/>
  <c r="BI628" i="80" s="1"/>
  <c r="BM183" i="80"/>
  <c r="BM333" i="80"/>
  <c r="BM332" i="80"/>
  <c r="BE397" i="80"/>
  <c r="BE378" i="80"/>
  <c r="BO406" i="80"/>
  <c r="BP403" i="80"/>
  <c r="BB601" i="80"/>
  <c r="BB610" i="80"/>
  <c r="BP419" i="80"/>
  <c r="BQ419" i="80" s="1"/>
  <c r="BQ416" i="80"/>
  <c r="BF659" i="80"/>
  <c r="BE662" i="80"/>
  <c r="BE638" i="80"/>
  <c r="BE204" i="80" s="1"/>
  <c r="BH340" i="80"/>
  <c r="BC679" i="80"/>
  <c r="BO314" i="80"/>
  <c r="BN317" i="80"/>
  <c r="BN320" i="80" s="1"/>
  <c r="BM514" i="80"/>
  <c r="BK696" i="80"/>
  <c r="BL694" i="80"/>
  <c r="BM694" i="80" s="1"/>
  <c r="BK212" i="80"/>
  <c r="BL212" i="80" s="1"/>
  <c r="BO304" i="80"/>
  <c r="BP301" i="80"/>
  <c r="BN653" i="80"/>
  <c r="BJ624" i="80"/>
  <c r="BK621" i="80"/>
  <c r="BK674" i="80"/>
  <c r="BK291" i="80"/>
  <c r="BL288" i="80"/>
  <c r="BM288" i="80" s="1"/>
  <c r="BC278" i="80"/>
  <c r="BD275" i="80"/>
  <c r="BC267" i="80"/>
  <c r="BC200" i="80" s="1"/>
  <c r="BE384" i="80"/>
  <c r="BE193" i="80"/>
  <c r="BA615" i="80"/>
  <c r="BA596" i="80"/>
  <c r="BD665" i="80"/>
  <c r="BD635" i="80" s="1"/>
  <c r="BD664" i="80"/>
  <c r="BD639" i="80"/>
  <c r="BD188" i="80"/>
  <c r="BF701" i="80"/>
  <c r="BG699" i="80"/>
  <c r="BF213" i="80"/>
  <c r="BD566" i="80"/>
  <c r="BH234" i="80"/>
  <c r="BH224" i="80" s="1"/>
  <c r="BI234" i="80"/>
  <c r="BI224" i="80" s="1"/>
  <c r="BK234" i="80"/>
  <c r="BK224" i="80" s="1"/>
  <c r="BJ234" i="80"/>
  <c r="BJ224" i="80" s="1"/>
  <c r="BK496" i="80"/>
  <c r="BL495" i="80"/>
  <c r="BL496" i="80" s="1"/>
  <c r="BA723" i="80"/>
  <c r="BA161" i="80" s="1"/>
  <c r="BB161" i="80" s="1"/>
  <c r="BB172" i="80" s="1"/>
  <c r="BB681" i="80"/>
  <c r="BM320" i="80"/>
  <c r="BC716" i="80"/>
  <c r="BD714" i="80"/>
  <c r="BC214" i="80"/>
  <c r="BB578" i="80"/>
  <c r="BB549" i="80"/>
  <c r="BB551" i="80" s="1"/>
  <c r="BA555" i="80"/>
  <c r="BA194" i="80"/>
  <c r="BA187" i="80"/>
  <c r="CK7" i="73"/>
  <c r="BK586" i="80"/>
  <c r="BK588" i="80" s="1"/>
  <c r="BK590" i="80" s="1"/>
  <c r="BL583" i="80"/>
  <c r="BM583" i="80" s="1"/>
  <c r="BB282" i="80"/>
  <c r="BB263" i="80"/>
  <c r="BB265" i="80" s="1"/>
  <c r="BA189" i="80"/>
  <c r="BJ356" i="80"/>
  <c r="BK353" i="80"/>
  <c r="BN525" i="80"/>
  <c r="BO522" i="80"/>
  <c r="BN492" i="80"/>
  <c r="BN491" i="80"/>
  <c r="BB268" i="80"/>
  <c r="BB182" i="80"/>
  <c r="BB277" i="80"/>
  <c r="BC635" i="80"/>
  <c r="BO327" i="80"/>
  <c r="BN330" i="80"/>
  <c r="BJ181" i="80"/>
  <c r="BJ294" i="80"/>
  <c r="BJ293" i="80"/>
  <c r="BB200" i="80"/>
  <c r="BB205" i="80" s="1"/>
  <c r="BB790" i="80"/>
  <c r="BY162" i="80"/>
  <c r="AW175" i="80"/>
  <c r="BA597" i="80"/>
  <c r="BA9" i="80" s="1"/>
  <c r="BB614" i="80"/>
  <c r="BB597" i="80" s="1"/>
  <c r="CC323" i="80"/>
  <c r="CD323" i="80" s="1"/>
  <c r="CF323" i="80" s="1"/>
  <c r="BL316" i="80"/>
  <c r="BG701" i="80"/>
  <c r="BG382" i="80"/>
  <c r="BG201" i="80" s="1"/>
  <c r="BH390" i="80"/>
  <c r="BM410" i="80"/>
  <c r="BB613" i="80"/>
  <c r="BE564" i="80"/>
  <c r="BE798" i="80"/>
  <c r="BG562" i="80"/>
  <c r="BM512" i="80"/>
  <c r="BM511" i="80"/>
  <c r="BA578" i="80"/>
  <c r="BA549" i="80"/>
  <c r="BA551" i="80" s="1"/>
  <c r="BA158" i="80" s="1"/>
  <c r="BB158" i="80" s="1"/>
  <c r="BB171" i="80" s="1"/>
  <c r="BJ588" i="80"/>
  <c r="BL586" i="80"/>
  <c r="BL585" i="80" s="1"/>
  <c r="BM585" i="80" s="1"/>
  <c r="BN585" i="80" s="1"/>
  <c r="BO585" i="80" s="1"/>
  <c r="BP585" i="80" s="1"/>
  <c r="BA269" i="80"/>
  <c r="BA192" i="80"/>
  <c r="BI359" i="80"/>
  <c r="BI358" i="80"/>
  <c r="BM528" i="80"/>
  <c r="BM527" i="80"/>
  <c r="BL696" i="80"/>
  <c r="BB573" i="80"/>
  <c r="BC573" i="80" s="1"/>
  <c r="BD573" i="80" s="1"/>
  <c r="BE573" i="80" s="1"/>
  <c r="BF573" i="80" s="1"/>
  <c r="BB554" i="80"/>
  <c r="AZ197" i="80"/>
  <c r="BO652" i="80"/>
  <c r="BO651" i="80"/>
  <c r="BQ649" i="80"/>
  <c r="BC640" i="80"/>
  <c r="BC196" i="80"/>
  <c r="BE379" i="80"/>
  <c r="BN409" i="80"/>
  <c r="BN408" i="80"/>
  <c r="BC611" i="80"/>
  <c r="BC600" i="80"/>
  <c r="BC203" i="80" s="1"/>
  <c r="BD608" i="80"/>
  <c r="BM185" i="80"/>
  <c r="BM495" i="80"/>
  <c r="BA602" i="80"/>
  <c r="BA195" i="80"/>
  <c r="BO422" i="80"/>
  <c r="BO421" i="80"/>
  <c r="BL291" i="80"/>
  <c r="BL181" i="80" s="1"/>
  <c r="BK515" i="80"/>
  <c r="BF186" i="80"/>
  <c r="BF346" i="80"/>
  <c r="BG346" i="80" s="1"/>
  <c r="BF345" i="80"/>
  <c r="BG345" i="80" s="1"/>
  <c r="BB209" i="80"/>
  <c r="BB215" i="80" s="1"/>
  <c r="BA215" i="80"/>
  <c r="BF383" i="80"/>
  <c r="BF395" i="80"/>
  <c r="BG395" i="80" s="1"/>
  <c r="BF396" i="80"/>
  <c r="BF379" i="80" s="1"/>
  <c r="BG393" i="80"/>
  <c r="BG383" i="80" s="1"/>
  <c r="BH360" i="80"/>
  <c r="BF562" i="80"/>
  <c r="BG559" i="80"/>
  <c r="BH628" i="80"/>
  <c r="BO503" i="80"/>
  <c r="BN509" i="80"/>
  <c r="BN506" i="80"/>
  <c r="BE347" i="80"/>
  <c r="AZ265" i="80"/>
  <c r="AZ156" i="80" s="1"/>
  <c r="BD571" i="80"/>
  <c r="BC574" i="80"/>
  <c r="BC553" i="80"/>
  <c r="BC202" i="80" s="1"/>
  <c r="BF229" i="80"/>
  <c r="BF221" i="80" s="1"/>
  <c r="BC229" i="80"/>
  <c r="BC221" i="80" s="1"/>
  <c r="BE229" i="80"/>
  <c r="BE221" i="80" s="1"/>
  <c r="BD229" i="80"/>
  <c r="BD221" i="80" s="1"/>
  <c r="BA282" i="80"/>
  <c r="BA263" i="80"/>
  <c r="BO489" i="80"/>
  <c r="BO486" i="80"/>
  <c r="BP483" i="80"/>
  <c r="BJ231" i="80"/>
  <c r="BK231" i="80"/>
  <c r="BI231" i="80"/>
  <c r="BH231" i="80"/>
  <c r="BO231" i="46"/>
  <c r="BP205" i="46"/>
  <c r="EF12" i="71"/>
  <c r="BN514" i="80" l="1"/>
  <c r="AY176" i="100"/>
  <c r="AZ246" i="100"/>
  <c r="AZ108" i="100"/>
  <c r="AY23" i="100"/>
  <c r="BD26" i="46"/>
  <c r="BI134" i="99"/>
  <c r="BJ142" i="99" s="1"/>
  <c r="BJ140" i="99" s="1"/>
  <c r="BH23" i="99"/>
  <c r="BH16" i="99"/>
  <c r="BH210" i="99"/>
  <c r="BI279" i="99"/>
  <c r="BI174" i="99"/>
  <c r="BI209" i="99" s="1"/>
  <c r="BI21" i="99"/>
  <c r="BI23" i="99" s="1"/>
  <c r="BL10" i="98"/>
  <c r="BH177" i="98"/>
  <c r="BL212" i="98"/>
  <c r="BK193" i="98"/>
  <c r="BH23" i="98"/>
  <c r="BM24" i="46"/>
  <c r="BI13" i="98"/>
  <c r="BI100" i="98"/>
  <c r="BO257" i="77"/>
  <c r="BO156" i="77"/>
  <c r="BO14" i="77" s="1"/>
  <c r="BN190" i="77"/>
  <c r="BN16" i="77"/>
  <c r="BN18" i="77" s="1"/>
  <c r="BO152" i="77"/>
  <c r="BP158" i="77" s="1"/>
  <c r="BM25" i="77"/>
  <c r="BN193" i="78"/>
  <c r="BN16" i="78"/>
  <c r="BN20" i="78" s="1"/>
  <c r="BN154" i="78"/>
  <c r="BO160" i="78" s="1"/>
  <c r="BM237" i="78"/>
  <c r="BM27" i="78"/>
  <c r="BK228" i="79"/>
  <c r="BL228" i="79" s="1"/>
  <c r="BK131" i="79"/>
  <c r="BK13" i="79" s="1"/>
  <c r="BL133" i="79"/>
  <c r="BK126" i="79"/>
  <c r="BJ23" i="79"/>
  <c r="BJ20" i="46"/>
  <c r="BI210" i="79"/>
  <c r="BA9" i="46"/>
  <c r="BB9" i="80"/>
  <c r="BG378" i="80"/>
  <c r="BG347" i="80"/>
  <c r="BG170" i="80" s="1"/>
  <c r="BL311" i="80"/>
  <c r="BJ311" i="80"/>
  <c r="BJ319" i="80" s="1"/>
  <c r="BJ321" i="80" s="1"/>
  <c r="BK311" i="80"/>
  <c r="BK319" i="80" s="1"/>
  <c r="BK321" i="80" s="1"/>
  <c r="BI311" i="80"/>
  <c r="BI319" i="80" s="1"/>
  <c r="BI321" i="80" s="1"/>
  <c r="BH311" i="80"/>
  <c r="BH319" i="80" s="1"/>
  <c r="BO491" i="80"/>
  <c r="BO492" i="80"/>
  <c r="BF384" i="80"/>
  <c r="BF193" i="80"/>
  <c r="BL229" i="80"/>
  <c r="CB185" i="80"/>
  <c r="BM529" i="80"/>
  <c r="BJ590" i="80"/>
  <c r="BL588" i="80"/>
  <c r="BL590" i="80" s="1"/>
  <c r="BE566" i="80"/>
  <c r="BH382" i="80"/>
  <c r="BH201" i="80" s="1"/>
  <c r="BH393" i="80"/>
  <c r="BI390" i="80"/>
  <c r="BJ295" i="80"/>
  <c r="BO330" i="80"/>
  <c r="BP327" i="80"/>
  <c r="BL353" i="80"/>
  <c r="BK356" i="80"/>
  <c r="BE275" i="80"/>
  <c r="BD267" i="80"/>
  <c r="BD200" i="80" s="1"/>
  <c r="BD278" i="80"/>
  <c r="BN288" i="80"/>
  <c r="BM291" i="80"/>
  <c r="BK624" i="80"/>
  <c r="BL621" i="80"/>
  <c r="BM621" i="80" s="1"/>
  <c r="BP304" i="80"/>
  <c r="BP307" i="80" s="1"/>
  <c r="BQ301" i="80"/>
  <c r="BH343" i="80"/>
  <c r="BI340" i="80"/>
  <c r="BE665" i="80"/>
  <c r="BE635" i="80" s="1"/>
  <c r="BE664" i="80"/>
  <c r="BE639" i="80"/>
  <c r="BE188" i="80"/>
  <c r="BO409" i="80"/>
  <c r="BO408" i="80"/>
  <c r="BM334" i="80"/>
  <c r="BC636" i="80"/>
  <c r="BC160" i="80" s="1"/>
  <c r="BF233" i="80"/>
  <c r="BF225" i="80" s="1"/>
  <c r="BC233" i="80"/>
  <c r="BC225" i="80" s="1"/>
  <c r="BE233" i="80"/>
  <c r="BE225" i="80" s="1"/>
  <c r="BD233" i="80"/>
  <c r="BD225" i="80" s="1"/>
  <c r="BG384" i="80"/>
  <c r="BG193" i="80"/>
  <c r="BG396" i="80"/>
  <c r="BG379" i="80" s="1"/>
  <c r="BB555" i="80"/>
  <c r="BB194" i="80"/>
  <c r="BB187" i="80"/>
  <c r="BB235" i="80" s="1"/>
  <c r="BA197" i="80"/>
  <c r="BM515" i="80"/>
  <c r="BY168" i="80"/>
  <c r="BY170" i="80" s="1"/>
  <c r="BY164" i="80"/>
  <c r="BL294" i="80"/>
  <c r="BB230" i="80"/>
  <c r="BZ186" i="80"/>
  <c r="BN185" i="80"/>
  <c r="BN495" i="80"/>
  <c r="BN496" i="80" s="1"/>
  <c r="BJ359" i="80"/>
  <c r="BJ358" i="80"/>
  <c r="BL356" i="80"/>
  <c r="BL355" i="80" s="1"/>
  <c r="BK181" i="80"/>
  <c r="BK294" i="80"/>
  <c r="BK293" i="80"/>
  <c r="BL293" i="80" s="1"/>
  <c r="BJ627" i="80"/>
  <c r="BJ626" i="80"/>
  <c r="BO307" i="80"/>
  <c r="BQ307" i="80" s="1"/>
  <c r="BF662" i="80"/>
  <c r="BG659" i="80"/>
  <c r="BF638" i="80"/>
  <c r="BF204" i="80" s="1"/>
  <c r="BP652" i="80"/>
  <c r="BP651" i="80"/>
  <c r="BH559" i="80"/>
  <c r="BC601" i="80"/>
  <c r="BC614" i="80"/>
  <c r="BC613" i="80"/>
  <c r="BG561" i="80"/>
  <c r="BH561" i="80" s="1"/>
  <c r="BI561" i="80" s="1"/>
  <c r="BJ561" i="80" s="1"/>
  <c r="BK561" i="80" s="1"/>
  <c r="BB615" i="80"/>
  <c r="BB168" i="80" s="1"/>
  <c r="BB596" i="80"/>
  <c r="BB598" i="80" s="1"/>
  <c r="BA790" i="80"/>
  <c r="BA791" i="80" s="1"/>
  <c r="BA827" i="80" s="1"/>
  <c r="AZ790" i="80"/>
  <c r="AZ791" i="80" s="1"/>
  <c r="AZ827" i="80" s="1"/>
  <c r="AY790" i="80"/>
  <c r="AY791" i="80" s="1"/>
  <c r="AY827" i="80" s="1"/>
  <c r="AX790" i="80"/>
  <c r="AX791" i="80" s="1"/>
  <c r="CB60" i="73"/>
  <c r="CB61" i="73" s="1"/>
  <c r="BB791" i="80"/>
  <c r="BB269" i="80"/>
  <c r="BB192" i="80"/>
  <c r="BO525" i="80"/>
  <c r="BP522" i="80"/>
  <c r="BN583" i="80"/>
  <c r="BM586" i="80"/>
  <c r="CC49" i="73"/>
  <c r="CK9" i="73"/>
  <c r="CK10" i="73" s="1"/>
  <c r="BD640" i="80"/>
  <c r="BD196" i="80"/>
  <c r="BA598" i="80"/>
  <c r="BA159" i="80" s="1"/>
  <c r="BB159" i="80" s="1"/>
  <c r="BC268" i="80"/>
  <c r="BC182" i="80"/>
  <c r="BC281" i="80"/>
  <c r="BC280" i="80"/>
  <c r="BK676" i="80"/>
  <c r="BL674" i="80"/>
  <c r="BM674" i="80" s="1"/>
  <c r="BK208" i="80"/>
  <c r="BM516" i="80"/>
  <c r="BO317" i="80"/>
  <c r="BP314" i="80"/>
  <c r="BD679" i="80"/>
  <c r="BC681" i="80"/>
  <c r="BC209" i="80"/>
  <c r="BC215" i="80" s="1"/>
  <c r="BB602" i="80"/>
  <c r="BB195" i="80"/>
  <c r="BE380" i="80"/>
  <c r="BE157" i="80" s="1"/>
  <c r="CF315" i="80"/>
  <c r="BP486" i="80"/>
  <c r="BP489" i="80"/>
  <c r="BQ483" i="80"/>
  <c r="BA265" i="80"/>
  <c r="BA156" i="80" s="1"/>
  <c r="BC576" i="80"/>
  <c r="BC554" i="80"/>
  <c r="BN511" i="80"/>
  <c r="BN512" i="80"/>
  <c r="BO494" i="80"/>
  <c r="BG221" i="80"/>
  <c r="BD574" i="80"/>
  <c r="BE571" i="80"/>
  <c r="BD553" i="80"/>
  <c r="BD202" i="80" s="1"/>
  <c r="BO509" i="80"/>
  <c r="BP503" i="80"/>
  <c r="BO506" i="80"/>
  <c r="BF564" i="80"/>
  <c r="BF798" i="80"/>
  <c r="BF118" i="46" s="1"/>
  <c r="BF397" i="80"/>
  <c r="BF378" i="80"/>
  <c r="BF380" i="80" s="1"/>
  <c r="BF157" i="80" s="1"/>
  <c r="BF347" i="80"/>
  <c r="BK516" i="80"/>
  <c r="BL515" i="80"/>
  <c r="BL516" i="80" s="1"/>
  <c r="BL169" i="80" s="1"/>
  <c r="BO423" i="80"/>
  <c r="BD611" i="80"/>
  <c r="BD600" i="80"/>
  <c r="BD203" i="80" s="1"/>
  <c r="BE608" i="80"/>
  <c r="BN410" i="80"/>
  <c r="BO653" i="80"/>
  <c r="BI360" i="80"/>
  <c r="BE118" i="46"/>
  <c r="BG798" i="80"/>
  <c r="BG118" i="46" s="1"/>
  <c r="BN183" i="80"/>
  <c r="BN333" i="80"/>
  <c r="BN332" i="80"/>
  <c r="BN334" i="80" s="1"/>
  <c r="BN528" i="80"/>
  <c r="BN527" i="80"/>
  <c r="BE714" i="80"/>
  <c r="BD716" i="80"/>
  <c r="BD214" i="80"/>
  <c r="BB724" i="80"/>
  <c r="BB723" i="80"/>
  <c r="BG564" i="80"/>
  <c r="BL224" i="80"/>
  <c r="BH699" i="80"/>
  <c r="BG213" i="80"/>
  <c r="BD666" i="80"/>
  <c r="BD634" i="80"/>
  <c r="BD636" i="80" s="1"/>
  <c r="BD160" i="80" s="1"/>
  <c r="BC205" i="80"/>
  <c r="BL290" i="80"/>
  <c r="BN694" i="80"/>
  <c r="BM696" i="80"/>
  <c r="BM212" i="80"/>
  <c r="BM496" i="80"/>
  <c r="BP422" i="80"/>
  <c r="BQ422" i="80" s="1"/>
  <c r="BP421" i="80"/>
  <c r="BP406" i="80"/>
  <c r="BQ403" i="80"/>
  <c r="BP231" i="46"/>
  <c r="BQ205" i="46"/>
  <c r="BQ231" i="46" s="1"/>
  <c r="EG12" i="71"/>
  <c r="BP494" i="80" l="1"/>
  <c r="BP423" i="80"/>
  <c r="AZ13" i="100"/>
  <c r="AZ101" i="100"/>
  <c r="AY24" i="100"/>
  <c r="AY227" i="100"/>
  <c r="AY177" i="100"/>
  <c r="BH29" i="99"/>
  <c r="BM25" i="46"/>
  <c r="BI29" i="99"/>
  <c r="BN25" i="46"/>
  <c r="BI210" i="99"/>
  <c r="BJ19" i="99"/>
  <c r="BJ133" i="99"/>
  <c r="BH228" i="98"/>
  <c r="BH24" i="98"/>
  <c r="BH178" i="98"/>
  <c r="BI101" i="98"/>
  <c r="BJ109" i="98" s="1"/>
  <c r="BJ107" i="98" s="1"/>
  <c r="BI247" i="98"/>
  <c r="BI144" i="98"/>
  <c r="BI177" i="98" s="1"/>
  <c r="BI15" i="98"/>
  <c r="BI17" i="98" s="1"/>
  <c r="BL193" i="98"/>
  <c r="BP257" i="77"/>
  <c r="BQ257" i="77" s="1"/>
  <c r="BP156" i="77"/>
  <c r="BP14" i="77" s="1"/>
  <c r="BQ158" i="77"/>
  <c r="BO190" i="77"/>
  <c r="BO16" i="77"/>
  <c r="BO18" i="77" s="1"/>
  <c r="BP151" i="77"/>
  <c r="BQ14" i="77"/>
  <c r="BN24" i="77"/>
  <c r="BN22" i="46"/>
  <c r="BO256" i="78"/>
  <c r="BO158" i="78"/>
  <c r="BO14" i="78" s="1"/>
  <c r="BN26" i="78"/>
  <c r="BN21" i="46"/>
  <c r="BM238" i="78"/>
  <c r="BO153" i="78"/>
  <c r="BL131" i="79"/>
  <c r="BK164" i="79"/>
  <c r="BL164" i="79" s="1"/>
  <c r="BK15" i="79"/>
  <c r="BK17" i="79" s="1"/>
  <c r="BL13" i="79"/>
  <c r="BL15" i="79" s="1"/>
  <c r="BL17" i="79" s="1"/>
  <c r="BL23" i="79" s="1"/>
  <c r="BJ24" i="79"/>
  <c r="BJ209" i="79"/>
  <c r="BL126" i="79"/>
  <c r="BK127" i="79"/>
  <c r="BP409" i="80"/>
  <c r="BQ409" i="80" s="1"/>
  <c r="BP408" i="80"/>
  <c r="BQ408" i="80" s="1"/>
  <c r="BN696" i="80"/>
  <c r="BO694" i="80"/>
  <c r="BN212" i="80"/>
  <c r="BD601" i="80"/>
  <c r="BD614" i="80"/>
  <c r="BD597" i="80" s="1"/>
  <c r="BD613" i="80"/>
  <c r="BO511" i="80"/>
  <c r="BO512" i="80"/>
  <c r="BN515" i="80"/>
  <c r="BN516" i="80" s="1"/>
  <c r="BP491" i="80"/>
  <c r="BQ491" i="80" s="1"/>
  <c r="BP492" i="80"/>
  <c r="BG157" i="80"/>
  <c r="BO320" i="80"/>
  <c r="BM676" i="80"/>
  <c r="BN674" i="80"/>
  <c r="BM208" i="80"/>
  <c r="BO528" i="80"/>
  <c r="BO527" i="80"/>
  <c r="BO529" i="80" s="1"/>
  <c r="AX774" i="80"/>
  <c r="AY774" i="80"/>
  <c r="AZ774" i="80"/>
  <c r="BA774" i="80"/>
  <c r="BB774" i="80" s="1"/>
  <c r="BB780" i="80" s="1"/>
  <c r="BC780" i="80" s="1"/>
  <c r="AZ830" i="80"/>
  <c r="AZ89" i="46"/>
  <c r="BC597" i="80"/>
  <c r="BP653" i="80"/>
  <c r="BQ651" i="80"/>
  <c r="BZ161" i="80"/>
  <c r="AZ230" i="80"/>
  <c r="AZ222" i="80" s="1"/>
  <c r="AZ226" i="80" s="1"/>
  <c r="BA230" i="80"/>
  <c r="BA222" i="80" s="1"/>
  <c r="BA226" i="80" s="1"/>
  <c r="AY230" i="80"/>
  <c r="AY222" i="80" s="1"/>
  <c r="AY226" i="80" s="1"/>
  <c r="AX230" i="80"/>
  <c r="AX222" i="80" s="1"/>
  <c r="BJ340" i="80"/>
  <c r="BI343" i="80"/>
  <c r="BM181" i="80"/>
  <c r="BM294" i="80"/>
  <c r="BM293" i="80"/>
  <c r="BD205" i="80"/>
  <c r="BO183" i="80"/>
  <c r="BO333" i="80"/>
  <c r="BO332" i="80"/>
  <c r="BO334" i="80" s="1"/>
  <c r="BH383" i="80"/>
  <c r="BH395" i="80"/>
  <c r="BH396" i="80"/>
  <c r="BO185" i="80"/>
  <c r="BO495" i="80"/>
  <c r="BO496" i="80" s="1"/>
  <c r="BQ492" i="80"/>
  <c r="BQ185" i="80" s="1"/>
  <c r="BQ234" i="80" s="1"/>
  <c r="BF566" i="80"/>
  <c r="BC723" i="80"/>
  <c r="BC161" i="80" s="1"/>
  <c r="BL676" i="80"/>
  <c r="BC269" i="80"/>
  <c r="BC192" i="80"/>
  <c r="BM588" i="80"/>
  <c r="BB197" i="80"/>
  <c r="BA830" i="80"/>
  <c r="BA89" i="46"/>
  <c r="BH562" i="80"/>
  <c r="BI559" i="80"/>
  <c r="BH659" i="80"/>
  <c r="BG638" i="80"/>
  <c r="BG204" i="80" s="1"/>
  <c r="BJ628" i="80"/>
  <c r="AX235" i="80"/>
  <c r="AY235" i="80"/>
  <c r="BA235" i="80"/>
  <c r="AZ235" i="80"/>
  <c r="BO410" i="80"/>
  <c r="BE640" i="80"/>
  <c r="BE196" i="80"/>
  <c r="BH186" i="80"/>
  <c r="BH346" i="80"/>
  <c r="BH345" i="80"/>
  <c r="BE267" i="80"/>
  <c r="BE200" i="80" s="1"/>
  <c r="BE278" i="80"/>
  <c r="BF275" i="80"/>
  <c r="BK359" i="80"/>
  <c r="BL359" i="80" s="1"/>
  <c r="BK358" i="80"/>
  <c r="BK360" i="80" s="1"/>
  <c r="BL295" i="80"/>
  <c r="BQ652" i="80"/>
  <c r="BG397" i="80"/>
  <c r="BB9" i="46"/>
  <c r="BE716" i="80"/>
  <c r="BE723" i="80" s="1"/>
  <c r="BE161" i="80" s="1"/>
  <c r="BF714" i="80"/>
  <c r="BE214" i="80"/>
  <c r="BE215" i="80" s="1"/>
  <c r="BE611" i="80"/>
  <c r="BE600" i="80"/>
  <c r="BE203" i="80" s="1"/>
  <c r="BF608" i="80"/>
  <c r="BO514" i="80"/>
  <c r="BE574" i="80"/>
  <c r="BF571" i="80"/>
  <c r="BE553" i="80"/>
  <c r="BE202" i="80" s="1"/>
  <c r="BQ486" i="80"/>
  <c r="BC555" i="80"/>
  <c r="BC194" i="80"/>
  <c r="BC187" i="80"/>
  <c r="BC189" i="80" s="1"/>
  <c r="BD681" i="80"/>
  <c r="BD723" i="80" s="1"/>
  <c r="BD161" i="80" s="1"/>
  <c r="BD209" i="80"/>
  <c r="BD215" i="80" s="1"/>
  <c r="BC282" i="80"/>
  <c r="BC263" i="80"/>
  <c r="BN586" i="80"/>
  <c r="BN588" i="80" s="1"/>
  <c r="BN590" i="80" s="1"/>
  <c r="BO583" i="80"/>
  <c r="AX827" i="80"/>
  <c r="AX768" i="80"/>
  <c r="BC602" i="80"/>
  <c r="BC195" i="80"/>
  <c r="BF665" i="80"/>
  <c r="BF664" i="80"/>
  <c r="BF639" i="80"/>
  <c r="BF188" i="80"/>
  <c r="BJ360" i="80"/>
  <c r="BL358" i="80"/>
  <c r="BB189" i="80"/>
  <c r="BB228" i="80" s="1"/>
  <c r="BE666" i="80"/>
  <c r="BE634" i="80"/>
  <c r="BE636" i="80" s="1"/>
  <c r="BE160" i="80" s="1"/>
  <c r="BN621" i="80"/>
  <c r="BM624" i="80"/>
  <c r="BN291" i="80"/>
  <c r="BO288" i="80"/>
  <c r="BM353" i="80"/>
  <c r="BG380" i="80"/>
  <c r="BG566" i="80"/>
  <c r="BQ421" i="80"/>
  <c r="BQ423" i="80" s="1"/>
  <c r="BI699" i="80"/>
  <c r="BH701" i="80"/>
  <c r="BH213" i="80"/>
  <c r="BN529" i="80"/>
  <c r="BP506" i="80"/>
  <c r="BP509" i="80"/>
  <c r="BQ503" i="80"/>
  <c r="BD576" i="80"/>
  <c r="BD554" i="80"/>
  <c r="BQ494" i="80"/>
  <c r="BC578" i="80"/>
  <c r="BC549" i="80"/>
  <c r="BC551" i="80" s="1"/>
  <c r="BC158" i="80" s="1"/>
  <c r="CL8" i="73"/>
  <c r="BJ298" i="80"/>
  <c r="BJ306" i="80" s="1"/>
  <c r="BJ308" i="80" s="1"/>
  <c r="BL298" i="80"/>
  <c r="BK298" i="80"/>
  <c r="BK306" i="80" s="1"/>
  <c r="BK308" i="80" s="1"/>
  <c r="BI298" i="80"/>
  <c r="BI306" i="80" s="1"/>
  <c r="BI308" i="80" s="1"/>
  <c r="BH298" i="80"/>
  <c r="BH306" i="80" s="1"/>
  <c r="BP317" i="80"/>
  <c r="BP320" i="80" s="1"/>
  <c r="BQ314" i="80"/>
  <c r="BL208" i="80"/>
  <c r="BC264" i="80"/>
  <c r="BC9" i="80" s="1"/>
  <c r="BQ522" i="80"/>
  <c r="BP525" i="80"/>
  <c r="BQ525" i="80" s="1"/>
  <c r="AY830" i="80"/>
  <c r="AY89" i="46"/>
  <c r="BC596" i="80"/>
  <c r="BC598" i="80" s="1"/>
  <c r="BC159" i="80" s="1"/>
  <c r="BC615" i="80"/>
  <c r="BQ406" i="80"/>
  <c r="BQ304" i="80"/>
  <c r="BK295" i="80"/>
  <c r="BG225" i="80"/>
  <c r="BG662" i="80"/>
  <c r="BK627" i="80"/>
  <c r="BL627" i="80" s="1"/>
  <c r="BK626" i="80"/>
  <c r="BK628" i="80" s="1"/>
  <c r="BL624" i="80"/>
  <c r="BL623" i="80" s="1"/>
  <c r="BD268" i="80"/>
  <c r="BD182" i="80"/>
  <c r="BD281" i="80"/>
  <c r="BD264" i="80" s="1"/>
  <c r="BD9" i="80" s="1"/>
  <c r="BD9" i="46" s="1"/>
  <c r="BD280" i="80"/>
  <c r="BP330" i="80"/>
  <c r="BQ327" i="80"/>
  <c r="BI393" i="80"/>
  <c r="BI182" i="80" s="1"/>
  <c r="BJ390" i="80"/>
  <c r="BI382" i="80"/>
  <c r="BI201" i="80" s="1"/>
  <c r="BJ229" i="80"/>
  <c r="BJ221" i="80" s="1"/>
  <c r="BK229" i="80"/>
  <c r="BK221" i="80" s="1"/>
  <c r="BI229" i="80"/>
  <c r="BI221" i="80" s="1"/>
  <c r="BH229" i="80"/>
  <c r="BH221" i="80" s="1"/>
  <c r="BQ489" i="80"/>
  <c r="BH321" i="80"/>
  <c r="BL319" i="80"/>
  <c r="BL321" i="80" s="1"/>
  <c r="BG664" i="80"/>
  <c r="BB156" i="80"/>
  <c r="EI12" i="71"/>
  <c r="EH12" i="71"/>
  <c r="AZ102" i="100" l="1"/>
  <c r="BA110" i="100" s="1"/>
  <c r="AY228" i="100"/>
  <c r="AZ143" i="100"/>
  <c r="AZ15" i="100"/>
  <c r="AZ17" i="100" s="1"/>
  <c r="BJ134" i="99"/>
  <c r="BK142" i="99" s="1"/>
  <c r="BK140" i="99" s="1"/>
  <c r="BH30" i="99"/>
  <c r="BJ279" i="99"/>
  <c r="BJ174" i="99"/>
  <c r="BJ21" i="99"/>
  <c r="BJ23" i="99" s="1"/>
  <c r="BI30" i="99"/>
  <c r="BJ13" i="98"/>
  <c r="BI178" i="98"/>
  <c r="BI23" i="98"/>
  <c r="BN24" i="46"/>
  <c r="BJ100" i="98"/>
  <c r="BH229" i="98"/>
  <c r="BQ151" i="77"/>
  <c r="BQ152" i="77" s="1"/>
  <c r="BP152" i="77"/>
  <c r="BN25" i="77"/>
  <c r="BO24" i="77"/>
  <c r="BO22" i="46"/>
  <c r="BQ156" i="77"/>
  <c r="BQ160" i="77"/>
  <c r="BP190" i="77"/>
  <c r="BQ190" i="77" s="1"/>
  <c r="BO154" i="78"/>
  <c r="BP160" i="78" s="1"/>
  <c r="BP153" i="78" s="1"/>
  <c r="BO193" i="78"/>
  <c r="BO16" i="78"/>
  <c r="BO20" i="78" s="1"/>
  <c r="BN27" i="78"/>
  <c r="BN237" i="78"/>
  <c r="BJ210" i="79"/>
  <c r="BL127" i="79"/>
  <c r="BL209" i="79"/>
  <c r="BL24" i="79"/>
  <c r="BK20" i="46"/>
  <c r="BL20" i="46" s="1"/>
  <c r="BK23" i="79"/>
  <c r="BP183" i="80"/>
  <c r="BP333" i="80"/>
  <c r="BQ333" i="80" s="1"/>
  <c r="BP332" i="80"/>
  <c r="BQ330" i="80"/>
  <c r="BD269" i="80"/>
  <c r="BD192" i="80"/>
  <c r="BG639" i="80"/>
  <c r="BG188" i="80"/>
  <c r="BG236" i="80" s="1"/>
  <c r="BG661" i="80"/>
  <c r="CC316" i="80"/>
  <c r="CD316" i="80" s="1"/>
  <c r="BQ303" i="80"/>
  <c r="BC9" i="46"/>
  <c r="BM356" i="80"/>
  <c r="BN353" i="80"/>
  <c r="BM627" i="80"/>
  <c r="BM626" i="80"/>
  <c r="BF635" i="80"/>
  <c r="BG665" i="80"/>
  <c r="BG635" i="80" s="1"/>
  <c r="BB827" i="80"/>
  <c r="BB830" i="80" s="1"/>
  <c r="AX830" i="80"/>
  <c r="AX89" i="46"/>
  <c r="BC265" i="80"/>
  <c r="BC156" i="80" s="1"/>
  <c r="BE601" i="80"/>
  <c r="BE614" i="80"/>
  <c r="BE613" i="80"/>
  <c r="BH347" i="80"/>
  <c r="BJ559" i="80"/>
  <c r="BI562" i="80"/>
  <c r="BC197" i="80"/>
  <c r="AY163" i="80"/>
  <c r="AY164" i="80" s="1"/>
  <c r="AY8" i="80"/>
  <c r="BQ317" i="80"/>
  <c r="BJ382" i="80"/>
  <c r="BJ201" i="80" s="1"/>
  <c r="BJ393" i="80"/>
  <c r="BK390" i="80"/>
  <c r="BD263" i="80"/>
  <c r="BD282" i="80"/>
  <c r="AY97" i="46"/>
  <c r="DQ40" i="71"/>
  <c r="BP512" i="80"/>
  <c r="BP511" i="80"/>
  <c r="BQ511" i="80" s="1"/>
  <c r="BQ509" i="80"/>
  <c r="BN624" i="80"/>
  <c r="BO621" i="80"/>
  <c r="AZ228" i="80"/>
  <c r="AY228" i="80"/>
  <c r="AX228" i="80"/>
  <c r="BA228" i="80"/>
  <c r="BO586" i="80"/>
  <c r="BO588" i="80" s="1"/>
  <c r="BO590" i="80" s="1"/>
  <c r="BP583" i="80"/>
  <c r="BF267" i="80"/>
  <c r="BF200" i="80" s="1"/>
  <c r="BF278" i="80"/>
  <c r="BG275" i="80"/>
  <c r="BH662" i="80"/>
  <c r="BI659" i="80"/>
  <c r="BH638" i="80"/>
  <c r="BH204" i="80" s="1"/>
  <c r="BH564" i="80"/>
  <c r="BH798" i="80"/>
  <c r="BG681" i="80"/>
  <c r="BH379" i="80"/>
  <c r="BM295" i="80"/>
  <c r="BI186" i="80"/>
  <c r="BI346" i="80"/>
  <c r="BI345" i="80"/>
  <c r="BA163" i="80"/>
  <c r="BA164" i="80" s="1"/>
  <c r="BA8" i="80"/>
  <c r="BQ653" i="80"/>
  <c r="BD780" i="80"/>
  <c r="BQ320" i="80"/>
  <c r="BD596" i="80"/>
  <c r="BD598" i="80" s="1"/>
  <c r="BD159" i="80" s="1"/>
  <c r="BD615" i="80"/>
  <c r="BO696" i="80"/>
  <c r="BP694" i="80"/>
  <c r="BO212" i="80"/>
  <c r="BI383" i="80"/>
  <c r="BI395" i="80"/>
  <c r="BI396" i="80"/>
  <c r="BI379" i="80" s="1"/>
  <c r="BD555" i="80"/>
  <c r="BD187" i="80"/>
  <c r="BD194" i="80"/>
  <c r="BP514" i="80"/>
  <c r="BQ514" i="80" s="1"/>
  <c r="BQ506" i="80"/>
  <c r="BI701" i="80"/>
  <c r="BJ699" i="80"/>
  <c r="BI213" i="80"/>
  <c r="BO291" i="80"/>
  <c r="BP288" i="80"/>
  <c r="BL360" i="80"/>
  <c r="BF640" i="80"/>
  <c r="BF196" i="80"/>
  <c r="BF574" i="80"/>
  <c r="BG571" i="80"/>
  <c r="BF553" i="80"/>
  <c r="BF202" i="80" s="1"/>
  <c r="BG608" i="80"/>
  <c r="BF611" i="80"/>
  <c r="BF600" i="80"/>
  <c r="BF203" i="80" s="1"/>
  <c r="BF716" i="80"/>
  <c r="BF723" i="80" s="1"/>
  <c r="BF161" i="80" s="1"/>
  <c r="BG161" i="80" s="1"/>
  <c r="BG172" i="80" s="1"/>
  <c r="BG714" i="80"/>
  <c r="BF214" i="80"/>
  <c r="BF215" i="80" s="1"/>
  <c r="BE268" i="80"/>
  <c r="BE182" i="80"/>
  <c r="BE281" i="80"/>
  <c r="BE280" i="80"/>
  <c r="BG278" i="80"/>
  <c r="BQ410" i="80"/>
  <c r="BL626" i="80"/>
  <c r="BL628" i="80" s="1"/>
  <c r="BG611" i="80"/>
  <c r="BP234" i="80"/>
  <c r="BP224" i="80" s="1"/>
  <c r="BM234" i="80"/>
  <c r="BM224" i="80" s="1"/>
  <c r="BO234" i="80"/>
  <c r="BO224" i="80" s="1"/>
  <c r="BN234" i="80"/>
  <c r="BN224" i="80" s="1"/>
  <c r="BH397" i="80"/>
  <c r="BH378" i="80"/>
  <c r="BK340" i="80"/>
  <c r="BJ343" i="80"/>
  <c r="AZ163" i="80"/>
  <c r="AZ164" i="80" s="1"/>
  <c r="AZ8" i="80"/>
  <c r="AZ97" i="46"/>
  <c r="DR40" i="71"/>
  <c r="BO674" i="80"/>
  <c r="BN676" i="80"/>
  <c r="BN208" i="80"/>
  <c r="BG716" i="80"/>
  <c r="BG634" i="80"/>
  <c r="BL221" i="80"/>
  <c r="BD189" i="80"/>
  <c r="BP528" i="80"/>
  <c r="BQ528" i="80" s="1"/>
  <c r="BP527" i="80"/>
  <c r="BQ527" i="80" s="1"/>
  <c r="BH308" i="80"/>
  <c r="BL306" i="80"/>
  <c r="BL308" i="80" s="1"/>
  <c r="BL167" i="80" s="1"/>
  <c r="BD578" i="80"/>
  <c r="BD549" i="80"/>
  <c r="BD551" i="80" s="1"/>
  <c r="BD158" i="80" s="1"/>
  <c r="BN181" i="80"/>
  <c r="BN294" i="80"/>
  <c r="BN293" i="80"/>
  <c r="BF666" i="80"/>
  <c r="BF634" i="80"/>
  <c r="BF636" i="80" s="1"/>
  <c r="BF160" i="80" s="1"/>
  <c r="BG160" i="80" s="1"/>
  <c r="AX770" i="80"/>
  <c r="AY776" i="80" s="1"/>
  <c r="AY768" i="80"/>
  <c r="BE576" i="80"/>
  <c r="BE554" i="80"/>
  <c r="BG574" i="80"/>
  <c r="BE205" i="80"/>
  <c r="BA97" i="46"/>
  <c r="DS40" i="71"/>
  <c r="BM590" i="80"/>
  <c r="BH384" i="80"/>
  <c r="BH193" i="80"/>
  <c r="BB222" i="80"/>
  <c r="BB226" i="80" s="1"/>
  <c r="CB85" i="73" s="1"/>
  <c r="AX226" i="80"/>
  <c r="BZ167" i="80"/>
  <c r="BP185" i="80"/>
  <c r="BP495" i="80"/>
  <c r="BO515" i="80"/>
  <c r="BD602" i="80"/>
  <c r="BD195" i="80"/>
  <c r="BP410" i="80"/>
  <c r="BH380" i="80" l="1"/>
  <c r="BH157" i="80" s="1"/>
  <c r="BG636" i="80"/>
  <c r="BG666" i="80"/>
  <c r="BQ224" i="80"/>
  <c r="AZ23" i="100"/>
  <c r="BE26" i="46"/>
  <c r="AZ176" i="100"/>
  <c r="BA246" i="100"/>
  <c r="BA108" i="100"/>
  <c r="BJ29" i="99"/>
  <c r="BO25" i="46"/>
  <c r="BJ209" i="99"/>
  <c r="BK19" i="99"/>
  <c r="BL140" i="99"/>
  <c r="BL142" i="99" s="1"/>
  <c r="BK133" i="99"/>
  <c r="BJ247" i="98"/>
  <c r="BJ144" i="98"/>
  <c r="BJ15" i="98"/>
  <c r="BJ17" i="98" s="1"/>
  <c r="BJ101" i="98"/>
  <c r="BK109" i="98" s="1"/>
  <c r="BK107" i="98" s="1"/>
  <c r="BK100" i="98" s="1"/>
  <c r="BI24" i="98"/>
  <c r="BI228" i="98"/>
  <c r="BO25" i="77"/>
  <c r="BQ153" i="78"/>
  <c r="BQ154" i="78" s="1"/>
  <c r="BP154" i="78"/>
  <c r="BN238" i="78"/>
  <c r="BO26" i="78"/>
  <c r="BO21" i="46"/>
  <c r="BP256" i="78"/>
  <c r="BQ256" i="78" s="1"/>
  <c r="BP158" i="78"/>
  <c r="BP14" i="78" s="1"/>
  <c r="BQ160" i="78"/>
  <c r="BL210" i="79"/>
  <c r="BL28" i="71"/>
  <c r="BM133" i="79"/>
  <c r="BL135" i="79"/>
  <c r="BK24" i="79"/>
  <c r="BK210" i="79" s="1"/>
  <c r="BK209" i="79"/>
  <c r="AX163" i="80"/>
  <c r="AX8" i="80"/>
  <c r="BA158" i="46"/>
  <c r="BA161" i="46" s="1"/>
  <c r="DS42" i="71"/>
  <c r="DS41" i="71" s="1"/>
  <c r="BE555" i="80"/>
  <c r="BE194" i="80"/>
  <c r="BE187" i="80"/>
  <c r="AY13" i="80"/>
  <c r="AY769" i="80"/>
  <c r="AY770" i="80" s="1"/>
  <c r="AZ776" i="80" s="1"/>
  <c r="AZ13" i="80" s="1"/>
  <c r="BQ529" i="80"/>
  <c r="BP674" i="80"/>
  <c r="BO676" i="80"/>
  <c r="BO208" i="80"/>
  <c r="BE189" i="80"/>
  <c r="BQ288" i="80"/>
  <c r="BP291" i="80"/>
  <c r="BI397" i="80"/>
  <c r="BI378" i="80"/>
  <c r="BI380" i="80" s="1"/>
  <c r="BI157" i="80" s="1"/>
  <c r="BQ694" i="80"/>
  <c r="BP696" i="80"/>
  <c r="BP212" i="80"/>
  <c r="BQ212" i="80" s="1"/>
  <c r="BI347" i="80"/>
  <c r="BH118" i="46"/>
  <c r="BN627" i="80"/>
  <c r="BN626" i="80"/>
  <c r="BN628" i="80" s="1"/>
  <c r="BP515" i="80"/>
  <c r="BQ515" i="80" s="1"/>
  <c r="BQ516" i="80" s="1"/>
  <c r="BQ169" i="80" s="1"/>
  <c r="BQ512" i="80"/>
  <c r="AX97" i="46"/>
  <c r="DP40" i="71"/>
  <c r="BB89" i="46"/>
  <c r="BD197" i="80"/>
  <c r="BE578" i="80"/>
  <c r="BE549" i="80"/>
  <c r="BE551" i="80" s="1"/>
  <c r="BE158" i="80" s="1"/>
  <c r="BJ186" i="80"/>
  <c r="BJ346" i="80"/>
  <c r="BJ345" i="80"/>
  <c r="BG268" i="80"/>
  <c r="BG182" i="80"/>
  <c r="BE269" i="80"/>
  <c r="BE192" i="80"/>
  <c r="BH571" i="80"/>
  <c r="BG553" i="80"/>
  <c r="BG202" i="80" s="1"/>
  <c r="BO181" i="80"/>
  <c r="BO294" i="80"/>
  <c r="BO293" i="80"/>
  <c r="BI384" i="80"/>
  <c r="BI193" i="80"/>
  <c r="BQ696" i="80"/>
  <c r="BJ659" i="80"/>
  <c r="BI662" i="80"/>
  <c r="BI638" i="80"/>
  <c r="BI204" i="80" s="1"/>
  <c r="BG679" i="80"/>
  <c r="BH679" i="80" s="1"/>
  <c r="BH275" i="80"/>
  <c r="BG267" i="80"/>
  <c r="BQ583" i="80"/>
  <c r="BP586" i="80"/>
  <c r="BD265" i="80"/>
  <c r="BD156" i="80" s="1"/>
  <c r="BJ562" i="80"/>
  <c r="BK559" i="80"/>
  <c r="BE615" i="80"/>
  <c r="BE596" i="80"/>
  <c r="BO516" i="80"/>
  <c r="BM628" i="80"/>
  <c r="BN356" i="80"/>
  <c r="BO353" i="80"/>
  <c r="BQ495" i="80"/>
  <c r="BQ496" i="80" s="1"/>
  <c r="BP496" i="80"/>
  <c r="AZ158" i="46"/>
  <c r="AZ161" i="46" s="1"/>
  <c r="DR42" i="71"/>
  <c r="DR41" i="71" s="1"/>
  <c r="BK343" i="80"/>
  <c r="BL340" i="80"/>
  <c r="BG601" i="80"/>
  <c r="BG610" i="80"/>
  <c r="BE282" i="80"/>
  <c r="BE263" i="80"/>
  <c r="BF601" i="80"/>
  <c r="BF614" i="80"/>
  <c r="BF597" i="80" s="1"/>
  <c r="BF613" i="80"/>
  <c r="BG613" i="80" s="1"/>
  <c r="BF576" i="80"/>
  <c r="BG576" i="80" s="1"/>
  <c r="BF554" i="80"/>
  <c r="BE780" i="80"/>
  <c r="BA10" i="80"/>
  <c r="BH566" i="80"/>
  <c r="BF268" i="80"/>
  <c r="BF182" i="80"/>
  <c r="BF281" i="80"/>
  <c r="BF264" i="80" s="1"/>
  <c r="BF280" i="80"/>
  <c r="BK382" i="80"/>
  <c r="BK201" i="80" s="1"/>
  <c r="BK393" i="80"/>
  <c r="BL390" i="80"/>
  <c r="CC324" i="80"/>
  <c r="CD324" i="80" s="1"/>
  <c r="CF324" i="80" s="1"/>
  <c r="BQ316" i="80"/>
  <c r="BE597" i="80"/>
  <c r="BM359" i="80"/>
  <c r="BM358" i="80"/>
  <c r="BD236" i="80"/>
  <c r="BE236" i="80"/>
  <c r="BC236" i="80"/>
  <c r="BF236" i="80"/>
  <c r="BQ183" i="80"/>
  <c r="BQ231" i="80" s="1"/>
  <c r="BQ329" i="80"/>
  <c r="BG573" i="80"/>
  <c r="BH573" i="80" s="1"/>
  <c r="BI573" i="80" s="1"/>
  <c r="BJ573" i="80" s="1"/>
  <c r="BK573" i="80" s="1"/>
  <c r="BG554" i="80"/>
  <c r="AZ768" i="80"/>
  <c r="BN295" i="80"/>
  <c r="BP529" i="80"/>
  <c r="AZ10" i="80"/>
  <c r="AZ8" i="46"/>
  <c r="BE264" i="80"/>
  <c r="BG281" i="80"/>
  <c r="BG264" i="80" s="1"/>
  <c r="BH714" i="80"/>
  <c r="BG214" i="80"/>
  <c r="BG215" i="80" s="1"/>
  <c r="BG600" i="80"/>
  <c r="BG203" i="80" s="1"/>
  <c r="BH608" i="80"/>
  <c r="BJ701" i="80"/>
  <c r="BK699" i="80"/>
  <c r="BJ213" i="80"/>
  <c r="BG723" i="80"/>
  <c r="BG724" i="80"/>
  <c r="BH665" i="80"/>
  <c r="BH664" i="80"/>
  <c r="BH639" i="80"/>
  <c r="BH188" i="80"/>
  <c r="BF205" i="80"/>
  <c r="BO624" i="80"/>
  <c r="BP621" i="80"/>
  <c r="AY158" i="46"/>
  <c r="AY161" i="46" s="1"/>
  <c r="DQ42" i="71"/>
  <c r="DQ41" i="71" s="1"/>
  <c r="BJ383" i="80"/>
  <c r="BJ395" i="80"/>
  <c r="BJ396" i="80"/>
  <c r="AY10" i="80"/>
  <c r="AY8" i="46"/>
  <c r="BI564" i="80"/>
  <c r="BI798" i="80"/>
  <c r="BI118" i="46" s="1"/>
  <c r="BE602" i="80"/>
  <c r="BE195" i="80"/>
  <c r="BG640" i="80"/>
  <c r="BG196" i="80"/>
  <c r="BP334" i="80"/>
  <c r="BQ332" i="80"/>
  <c r="BQ334" i="80" s="1"/>
  <c r="BG277" i="80"/>
  <c r="BQ291" i="80"/>
  <c r="BQ181" i="80" s="1"/>
  <c r="BB143" i="46"/>
  <c r="BG143" i="46"/>
  <c r="BL143" i="46"/>
  <c r="BQ143" i="46"/>
  <c r="BP516" i="80" l="1"/>
  <c r="CF316" i="80"/>
  <c r="CM8" i="73" s="1"/>
  <c r="CN8" i="73" s="1"/>
  <c r="CO8" i="73" s="1"/>
  <c r="CP8" i="73" s="1"/>
  <c r="CQ8" i="73" s="1"/>
  <c r="CR8" i="73" s="1"/>
  <c r="CS8" i="73" s="1"/>
  <c r="CT8" i="73" s="1"/>
  <c r="CU8" i="73" s="1"/>
  <c r="CV8" i="73" s="1"/>
  <c r="CW8" i="73" s="1"/>
  <c r="CX8" i="73" s="1"/>
  <c r="CY8" i="73" s="1"/>
  <c r="CZ8" i="73" s="1"/>
  <c r="DA8" i="73" s="1"/>
  <c r="DB8" i="73" s="1"/>
  <c r="DC8" i="73" s="1"/>
  <c r="DD8" i="73" s="1"/>
  <c r="DE8" i="73" s="1"/>
  <c r="DF8" i="73" s="1"/>
  <c r="DG8" i="73" s="1"/>
  <c r="DH8" i="73" s="1"/>
  <c r="DI8" i="73" s="1"/>
  <c r="DJ8" i="73" s="1"/>
  <c r="DK8" i="73" s="1"/>
  <c r="DL8" i="73" s="1"/>
  <c r="BE9" i="80"/>
  <c r="BG614" i="80"/>
  <c r="BG597" i="80" s="1"/>
  <c r="BF9" i="80"/>
  <c r="BF9" i="46" s="1"/>
  <c r="AZ177" i="100"/>
  <c r="BA13" i="100"/>
  <c r="BB108" i="100"/>
  <c r="BB110" i="100" s="1"/>
  <c r="BA101" i="100"/>
  <c r="AZ24" i="100"/>
  <c r="AZ227" i="100"/>
  <c r="BJ210" i="99"/>
  <c r="BL133" i="99"/>
  <c r="BL134" i="99" s="1"/>
  <c r="BL144" i="99" s="1"/>
  <c r="BK134" i="99"/>
  <c r="BK279" i="99"/>
  <c r="BK174" i="99"/>
  <c r="BL174" i="99" s="1"/>
  <c r="BK21" i="99"/>
  <c r="BL19" i="99"/>
  <c r="BJ30" i="99"/>
  <c r="BK13" i="98"/>
  <c r="BL107" i="98"/>
  <c r="BL109" i="98" s="1"/>
  <c r="BI229" i="98"/>
  <c r="BL100" i="98"/>
  <c r="BL101" i="98" s="1"/>
  <c r="BK101" i="98"/>
  <c r="BJ23" i="98"/>
  <c r="BO24" i="46"/>
  <c r="BJ177" i="98"/>
  <c r="BQ162" i="78"/>
  <c r="BQ158" i="78"/>
  <c r="BO27" i="78"/>
  <c r="BO237" i="78"/>
  <c r="BP193" i="78"/>
  <c r="BQ193" i="78" s="1"/>
  <c r="BP16" i="78"/>
  <c r="BP20" i="78" s="1"/>
  <c r="BQ14" i="78"/>
  <c r="BQ16" i="78" s="1"/>
  <c r="BQ20" i="78" s="1"/>
  <c r="BQ26" i="78" s="1"/>
  <c r="BM228" i="79"/>
  <c r="BM131" i="79"/>
  <c r="BM13" i="79" s="1"/>
  <c r="BM126" i="79"/>
  <c r="BG578" i="80"/>
  <c r="BG549" i="80"/>
  <c r="BG551" i="80" s="1"/>
  <c r="BG596" i="80"/>
  <c r="BG598" i="80" s="1"/>
  <c r="BQ311" i="80"/>
  <c r="BP311" i="80"/>
  <c r="BP319" i="80" s="1"/>
  <c r="BP321" i="80" s="1"/>
  <c r="BO311" i="80"/>
  <c r="BO319" i="80" s="1"/>
  <c r="BO321" i="80" s="1"/>
  <c r="BN311" i="80"/>
  <c r="BN319" i="80" s="1"/>
  <c r="BN321" i="80" s="1"/>
  <c r="BM311" i="80"/>
  <c r="BM319" i="80" s="1"/>
  <c r="BQ229" i="80"/>
  <c r="BI566" i="80"/>
  <c r="BH635" i="80"/>
  <c r="BH611" i="80"/>
  <c r="BH600" i="80"/>
  <c r="BH203" i="80" s="1"/>
  <c r="BI608" i="80"/>
  <c r="BA768" i="80"/>
  <c r="BL382" i="80"/>
  <c r="BL201" i="80" s="1"/>
  <c r="BM390" i="80"/>
  <c r="BF555" i="80"/>
  <c r="BF194" i="80"/>
  <c r="BF187" i="80"/>
  <c r="BF189" i="80" s="1"/>
  <c r="BF602" i="80"/>
  <c r="BF195" i="80"/>
  <c r="BG602" i="80"/>
  <c r="BG195" i="80"/>
  <c r="BN359" i="80"/>
  <c r="BN358" i="80"/>
  <c r="BN360" i="80" s="1"/>
  <c r="BJ564" i="80"/>
  <c r="BJ798" i="80"/>
  <c r="BJ118" i="46" s="1"/>
  <c r="BP588" i="80"/>
  <c r="BQ586" i="80"/>
  <c r="BQ585" i="80" s="1"/>
  <c r="BH681" i="80"/>
  <c r="BI679" i="80"/>
  <c r="BH209" i="80"/>
  <c r="BE197" i="80"/>
  <c r="BJ347" i="80"/>
  <c r="AZ769" i="80"/>
  <c r="AZ770" i="80" s="1"/>
  <c r="BA776" i="80" s="1"/>
  <c r="AX10" i="80"/>
  <c r="BB8" i="80"/>
  <c r="AX8" i="46"/>
  <c r="BK701" i="80"/>
  <c r="BL699" i="80"/>
  <c r="BK213" i="80"/>
  <c r="AZ820" i="80"/>
  <c r="AZ13" i="46"/>
  <c r="BK383" i="80"/>
  <c r="BK395" i="80"/>
  <c r="BL395" i="80" s="1"/>
  <c r="BK396" i="80"/>
  <c r="BK379" i="80" s="1"/>
  <c r="BF578" i="80"/>
  <c r="BF549" i="80"/>
  <c r="BF551" i="80" s="1"/>
  <c r="BF158" i="80" s="1"/>
  <c r="BG158" i="80" s="1"/>
  <c r="BG171" i="80" s="1"/>
  <c r="BE265" i="80"/>
  <c r="BE156" i="80" s="1"/>
  <c r="BE598" i="80"/>
  <c r="BE159" i="80" s="1"/>
  <c r="AX158" i="46"/>
  <c r="DP42" i="71"/>
  <c r="DP41" i="71" s="1"/>
  <c r="BP676" i="80"/>
  <c r="BQ676" i="80" s="1"/>
  <c r="BQ674" i="80"/>
  <c r="BP208" i="80"/>
  <c r="BB163" i="80"/>
  <c r="AX164" i="80"/>
  <c r="BL393" i="80"/>
  <c r="BL383" i="80" s="1"/>
  <c r="BJ397" i="80"/>
  <c r="BJ378" i="80"/>
  <c r="BN231" i="80"/>
  <c r="BO231" i="80"/>
  <c r="BP231" i="80"/>
  <c r="BM231" i="80"/>
  <c r="BF269" i="80"/>
  <c r="BF192" i="80"/>
  <c r="BF197" i="80" s="1"/>
  <c r="BF780" i="80"/>
  <c r="BF615" i="80"/>
  <c r="BF596" i="80"/>
  <c r="BF598" i="80" s="1"/>
  <c r="BF159" i="80" s="1"/>
  <c r="BM340" i="80"/>
  <c r="BG200" i="80"/>
  <c r="BG205" i="80" s="1"/>
  <c r="BG790" i="80"/>
  <c r="BI665" i="80"/>
  <c r="BI635" i="80" s="1"/>
  <c r="BI664" i="80"/>
  <c r="BI639" i="80"/>
  <c r="BI188" i="80"/>
  <c r="BG230" i="80"/>
  <c r="CA186" i="80"/>
  <c r="AY820" i="80"/>
  <c r="AY13" i="46"/>
  <c r="BJ379" i="80"/>
  <c r="BL396" i="80"/>
  <c r="BL379" i="80" s="1"/>
  <c r="BP624" i="80"/>
  <c r="BQ621" i="80"/>
  <c r="BH640" i="80"/>
  <c r="BH196" i="80"/>
  <c r="BG555" i="80"/>
  <c r="BG194" i="80"/>
  <c r="BG187" i="80"/>
  <c r="BG235" i="80" s="1"/>
  <c r="AY10" i="46"/>
  <c r="BJ384" i="80"/>
  <c r="BJ193" i="80"/>
  <c r="BO627" i="80"/>
  <c r="BO626" i="80"/>
  <c r="BH666" i="80"/>
  <c r="BH634" i="80"/>
  <c r="BH636" i="80" s="1"/>
  <c r="BH160" i="80" s="1"/>
  <c r="BQ290" i="80"/>
  <c r="BI714" i="80"/>
  <c r="BH716" i="80"/>
  <c r="BH214" i="80"/>
  <c r="AZ10" i="46"/>
  <c r="BM360" i="80"/>
  <c r="BF282" i="80"/>
  <c r="BF263" i="80"/>
  <c r="BG280" i="80"/>
  <c r="BK186" i="80"/>
  <c r="BK346" i="80"/>
  <c r="BL346" i="80" s="1"/>
  <c r="BK345" i="80"/>
  <c r="BL343" i="80"/>
  <c r="BP353" i="80"/>
  <c r="BO356" i="80"/>
  <c r="BK562" i="80"/>
  <c r="BL562" i="80" s="1"/>
  <c r="BL559" i="80"/>
  <c r="BI275" i="80"/>
  <c r="BH267" i="80"/>
  <c r="BH200" i="80" s="1"/>
  <c r="BH278" i="80"/>
  <c r="BJ662" i="80"/>
  <c r="BK659" i="80"/>
  <c r="BJ638" i="80"/>
  <c r="BJ204" i="80" s="1"/>
  <c r="BO295" i="80"/>
  <c r="BI571" i="80"/>
  <c r="BH574" i="80"/>
  <c r="BH553" i="80"/>
  <c r="BH202" i="80" s="1"/>
  <c r="BG269" i="80"/>
  <c r="BG192" i="80"/>
  <c r="BG197" i="80" s="1"/>
  <c r="BB97" i="46"/>
  <c r="DT42" i="71" s="1"/>
  <c r="DT41" i="71" s="1"/>
  <c r="DT40" i="71"/>
  <c r="BP181" i="80"/>
  <c r="BP294" i="80"/>
  <c r="BQ294" i="80" s="1"/>
  <c r="BP293" i="80"/>
  <c r="BG9" i="80" l="1"/>
  <c r="BM298" i="80"/>
  <c r="BM306" i="80" s="1"/>
  <c r="BM308" i="80" s="1"/>
  <c r="BE9" i="46"/>
  <c r="BG9" i="46" s="1"/>
  <c r="BP298" i="80"/>
  <c r="BP306" i="80" s="1"/>
  <c r="BP308" i="80" s="1"/>
  <c r="BQ298" i="80"/>
  <c r="BO298" i="80"/>
  <c r="BO306" i="80" s="1"/>
  <c r="BO308" i="80" s="1"/>
  <c r="BN298" i="80"/>
  <c r="BN306" i="80" s="1"/>
  <c r="BN308" i="80" s="1"/>
  <c r="BA13" i="80"/>
  <c r="BB13" i="80" s="1"/>
  <c r="CB47" i="73" s="1"/>
  <c r="BB776" i="80"/>
  <c r="BG615" i="80"/>
  <c r="AZ228" i="100"/>
  <c r="BB101" i="100"/>
  <c r="BA102" i="100"/>
  <c r="BB246" i="100"/>
  <c r="BA143" i="100"/>
  <c r="BA15" i="100"/>
  <c r="BA17" i="100" s="1"/>
  <c r="BB13" i="100"/>
  <c r="BK209" i="99"/>
  <c r="BL279" i="99"/>
  <c r="BL21" i="99"/>
  <c r="BJ24" i="98"/>
  <c r="BJ228" i="98"/>
  <c r="BL111" i="98"/>
  <c r="BJ178" i="98"/>
  <c r="BK247" i="98"/>
  <c r="BK144" i="98"/>
  <c r="BL144" i="98" s="1"/>
  <c r="BK15" i="98"/>
  <c r="BK17" i="98" s="1"/>
  <c r="BL13" i="98"/>
  <c r="BP26" i="78"/>
  <c r="BP21" i="46"/>
  <c r="BQ21" i="46" s="1"/>
  <c r="BO238" i="78"/>
  <c r="BQ237" i="78"/>
  <c r="BQ27" i="78"/>
  <c r="BM164" i="79"/>
  <c r="BM15" i="79"/>
  <c r="BM17" i="79" s="1"/>
  <c r="BM127" i="79"/>
  <c r="BN133" i="79" s="1"/>
  <c r="BQ724" i="80"/>
  <c r="BL561" i="80"/>
  <c r="BM561" i="80" s="1"/>
  <c r="BN561" i="80" s="1"/>
  <c r="BO561" i="80" s="1"/>
  <c r="BP561" i="80" s="1"/>
  <c r="BH205" i="80"/>
  <c r="BQ353" i="80"/>
  <c r="BP356" i="80"/>
  <c r="BQ627" i="80"/>
  <c r="BP627" i="80"/>
  <c r="BP626" i="80"/>
  <c r="BQ626" i="80" s="1"/>
  <c r="BQ628" i="80" s="1"/>
  <c r="BQ624" i="80"/>
  <c r="BQ623" i="80" s="1"/>
  <c r="AY150" i="46"/>
  <c r="AY187" i="46" s="1"/>
  <c r="BG189" i="80"/>
  <c r="BG228" i="80" s="1"/>
  <c r="BI640" i="80"/>
  <c r="BI196" i="80"/>
  <c r="AZ150" i="46"/>
  <c r="BB10" i="80"/>
  <c r="BA820" i="80"/>
  <c r="BB820" i="80" s="1"/>
  <c r="BN229" i="80"/>
  <c r="BN221" i="80" s="1"/>
  <c r="BO229" i="80"/>
  <c r="BO221" i="80" s="1"/>
  <c r="BM229" i="80"/>
  <c r="BM221" i="80" s="1"/>
  <c r="BP229" i="80"/>
  <c r="BP221" i="80" s="1"/>
  <c r="BP295" i="80"/>
  <c r="BH576" i="80"/>
  <c r="BH554" i="80"/>
  <c r="BK662" i="80"/>
  <c r="BL659" i="80"/>
  <c r="BK638" i="80"/>
  <c r="BK204" i="80" s="1"/>
  <c r="BI267" i="80"/>
  <c r="BI200" i="80" s="1"/>
  <c r="BI278" i="80"/>
  <c r="BJ275" i="80"/>
  <c r="BM559" i="80"/>
  <c r="BL186" i="80"/>
  <c r="BL233" i="80" s="1"/>
  <c r="CL7" i="73"/>
  <c r="BL342" i="80"/>
  <c r="BG282" i="80"/>
  <c r="BG263" i="80"/>
  <c r="BG265" i="80" s="1"/>
  <c r="BF235" i="80"/>
  <c r="BC235" i="80"/>
  <c r="BE235" i="80"/>
  <c r="BD235" i="80"/>
  <c r="BI666" i="80"/>
  <c r="BI634" i="80"/>
  <c r="BI636" i="80" s="1"/>
  <c r="BI160" i="80" s="1"/>
  <c r="BL384" i="80"/>
  <c r="BL193" i="80"/>
  <c r="BQ208" i="80"/>
  <c r="BB158" i="46"/>
  <c r="BB161" i="46" s="1"/>
  <c r="AX161" i="46"/>
  <c r="AX186" i="46"/>
  <c r="BG159" i="80"/>
  <c r="BK378" i="80"/>
  <c r="BK380" i="80" s="1"/>
  <c r="BK157" i="80" s="1"/>
  <c r="BK397" i="80"/>
  <c r="BM699" i="80"/>
  <c r="BL213" i="80"/>
  <c r="BH215" i="80"/>
  <c r="BP590" i="80"/>
  <c r="BQ588" i="80"/>
  <c r="BQ590" i="80" s="1"/>
  <c r="BJ566" i="80"/>
  <c r="BM393" i="80"/>
  <c r="BN390" i="80"/>
  <c r="BM382" i="80"/>
  <c r="BM201" i="80" s="1"/>
  <c r="BB768" i="80"/>
  <c r="BH601" i="80"/>
  <c r="BH613" i="80"/>
  <c r="BH614" i="80"/>
  <c r="BQ355" i="80"/>
  <c r="BI574" i="80"/>
  <c r="BJ571" i="80"/>
  <c r="BI553" i="80"/>
  <c r="BI202" i="80" s="1"/>
  <c r="BK347" i="80"/>
  <c r="BL345" i="80"/>
  <c r="BL347" i="80" s="1"/>
  <c r="BL170" i="80" s="1"/>
  <c r="BI716" i="80"/>
  <c r="BJ714" i="80"/>
  <c r="BI214" i="80"/>
  <c r="BD230" i="80"/>
  <c r="BD222" i="80" s="1"/>
  <c r="BD226" i="80" s="1"/>
  <c r="BE230" i="80"/>
  <c r="BE222" i="80" s="1"/>
  <c r="BE226" i="80" s="1"/>
  <c r="BF230" i="80"/>
  <c r="BF222" i="80" s="1"/>
  <c r="BF226" i="80" s="1"/>
  <c r="BF163" i="80" s="1"/>
  <c r="BC230" i="80"/>
  <c r="BC222" i="80" s="1"/>
  <c r="BL397" i="80"/>
  <c r="BL378" i="80"/>
  <c r="BL380" i="80" s="1"/>
  <c r="BK384" i="80"/>
  <c r="BK193" i="80"/>
  <c r="BI681" i="80"/>
  <c r="BL681" i="80" s="1"/>
  <c r="BI209" i="80"/>
  <c r="BI215" i="80" s="1"/>
  <c r="BI611" i="80"/>
  <c r="BI600" i="80"/>
  <c r="BI203" i="80" s="1"/>
  <c r="BJ608" i="80"/>
  <c r="BM321" i="80"/>
  <c r="BQ319" i="80"/>
  <c r="BQ321" i="80" s="1"/>
  <c r="BJ665" i="80"/>
  <c r="BJ635" i="80" s="1"/>
  <c r="BJ664" i="80"/>
  <c r="BJ639" i="80"/>
  <c r="BJ188" i="80"/>
  <c r="BL662" i="80"/>
  <c r="BK564" i="80"/>
  <c r="BK798" i="80"/>
  <c r="BF265" i="80"/>
  <c r="BF156" i="80" s="1"/>
  <c r="BN340" i="80"/>
  <c r="BM343" i="80"/>
  <c r="BQ293" i="80"/>
  <c r="BQ295" i="80" s="1"/>
  <c r="BH268" i="80"/>
  <c r="BH182" i="80"/>
  <c r="BH281" i="80"/>
  <c r="BH280" i="80"/>
  <c r="BO359" i="80"/>
  <c r="BO358" i="80"/>
  <c r="BQ356" i="80"/>
  <c r="BO628" i="80"/>
  <c r="BE790" i="80"/>
  <c r="BE791" i="80" s="1"/>
  <c r="BE827" i="80" s="1"/>
  <c r="BD790" i="80"/>
  <c r="BD791" i="80" s="1"/>
  <c r="BD827" i="80" s="1"/>
  <c r="BC790" i="80"/>
  <c r="BC791" i="80" s="1"/>
  <c r="BC827" i="80" s="1"/>
  <c r="BF790" i="80"/>
  <c r="BF791" i="80" s="1"/>
  <c r="BF827" i="80" s="1"/>
  <c r="CC60" i="73"/>
  <c r="CC61" i="73" s="1"/>
  <c r="BG791" i="80"/>
  <c r="BJ380" i="80"/>
  <c r="BJ157" i="80" s="1"/>
  <c r="BB174" i="80"/>
  <c r="BB24" i="73"/>
  <c r="BB164" i="80"/>
  <c r="CB100" i="73" s="1"/>
  <c r="AX10" i="46"/>
  <c r="BA769" i="80"/>
  <c r="BB769" i="80" s="1"/>
  <c r="BH723" i="80"/>
  <c r="BH161" i="80" s="1"/>
  <c r="BL701" i="80"/>
  <c r="AX80" i="46"/>
  <c r="AX83" i="46"/>
  <c r="BQ306" i="80" l="1"/>
  <c r="BQ308" i="80" s="1"/>
  <c r="BQ167" i="80" s="1"/>
  <c r="BF8" i="80"/>
  <c r="BF10" i="80" s="1"/>
  <c r="BG168" i="80"/>
  <c r="CA161" i="80" s="1"/>
  <c r="BF164" i="80"/>
  <c r="DB60" i="73"/>
  <c r="BA13" i="46"/>
  <c r="BA150" i="46" s="1"/>
  <c r="BB150" i="46" s="1"/>
  <c r="BG156" i="80"/>
  <c r="BL157" i="80"/>
  <c r="BB143" i="100"/>
  <c r="BA176" i="100"/>
  <c r="BB102" i="100"/>
  <c r="BG48" i="100"/>
  <c r="BB15" i="100"/>
  <c r="BB17" i="100" s="1"/>
  <c r="BB23" i="100" s="1"/>
  <c r="BA23" i="100"/>
  <c r="BF26" i="46"/>
  <c r="BG26" i="46" s="1"/>
  <c r="BL209" i="99"/>
  <c r="BL210" i="99" s="1"/>
  <c r="BK210" i="99"/>
  <c r="BL247" i="98"/>
  <c r="BL15" i="98"/>
  <c r="BL17" i="98" s="1"/>
  <c r="BL23" i="98" s="1"/>
  <c r="BK23" i="98"/>
  <c r="BP24" i="46"/>
  <c r="BQ24" i="46" s="1"/>
  <c r="BK177" i="98"/>
  <c r="BJ229" i="98"/>
  <c r="AZ187" i="46"/>
  <c r="BQ238" i="78"/>
  <c r="BQ29" i="71"/>
  <c r="BP27" i="78"/>
  <c r="BP238" i="78" s="1"/>
  <c r="BP237" i="78"/>
  <c r="BM23" i="79"/>
  <c r="BM20" i="46"/>
  <c r="BN228" i="79"/>
  <c r="BN131" i="79"/>
  <c r="BN13" i="79" s="1"/>
  <c r="BN126" i="79"/>
  <c r="BQ359" i="80"/>
  <c r="BC830" i="80"/>
  <c r="BG827" i="80"/>
  <c r="BG830" i="80" s="1"/>
  <c r="BC89" i="46"/>
  <c r="BO360" i="80"/>
  <c r="BJ640" i="80"/>
  <c r="BJ196" i="80"/>
  <c r="BG222" i="80"/>
  <c r="BG226" i="80" s="1"/>
  <c r="CC85" i="73" s="1"/>
  <c r="BC226" i="80"/>
  <c r="BH602" i="80"/>
  <c r="BH195" i="80"/>
  <c r="BN382" i="80"/>
  <c r="BN201" i="80" s="1"/>
  <c r="BN393" i="80"/>
  <c r="BO390" i="80"/>
  <c r="BM701" i="80"/>
  <c r="BN699" i="80"/>
  <c r="BM213" i="80"/>
  <c r="AY186" i="46"/>
  <c r="AX188" i="46"/>
  <c r="CL9" i="73"/>
  <c r="CL10" i="73" s="1"/>
  <c r="CD49" i="73"/>
  <c r="BJ267" i="80"/>
  <c r="BJ200" i="80" s="1"/>
  <c r="BJ278" i="80"/>
  <c r="BK275" i="80"/>
  <c r="BQ221" i="80"/>
  <c r="BP628" i="80"/>
  <c r="BP359" i="80"/>
  <c r="BP358" i="80"/>
  <c r="BP360" i="80" s="1"/>
  <c r="BC774" i="80"/>
  <c r="BD774" i="80"/>
  <c r="BE774" i="80"/>
  <c r="BD830" i="80"/>
  <c r="BD89" i="46"/>
  <c r="BM186" i="80"/>
  <c r="BM346" i="80"/>
  <c r="BM345" i="80"/>
  <c r="BK566" i="80"/>
  <c r="BL564" i="80"/>
  <c r="BJ666" i="80"/>
  <c r="BJ634" i="80"/>
  <c r="BJ636" i="80" s="1"/>
  <c r="BJ160" i="80" s="1"/>
  <c r="BK608" i="80"/>
  <c r="BJ611" i="80"/>
  <c r="BJ600" i="80"/>
  <c r="BJ203" i="80" s="1"/>
  <c r="BI723" i="80"/>
  <c r="BI161" i="80" s="1"/>
  <c r="BJ716" i="80"/>
  <c r="BJ723" i="80" s="1"/>
  <c r="BJ161" i="80" s="1"/>
  <c r="BK714" i="80"/>
  <c r="BJ214" i="80"/>
  <c r="BJ215" i="80" s="1"/>
  <c r="BH597" i="80"/>
  <c r="BA770" i="80"/>
  <c r="BM383" i="80"/>
  <c r="BM396" i="80"/>
  <c r="BM395" i="80"/>
  <c r="BJ233" i="80"/>
  <c r="BJ225" i="80" s="1"/>
  <c r="BK233" i="80"/>
  <c r="BK225" i="80" s="1"/>
  <c r="BI233" i="80"/>
  <c r="BI225" i="80" s="1"/>
  <c r="BH233" i="80"/>
  <c r="BH225" i="80" s="1"/>
  <c r="BI268" i="80"/>
  <c r="BI281" i="80"/>
  <c r="BI264" i="80" s="1"/>
  <c r="BI280" i="80"/>
  <c r="BM659" i="80"/>
  <c r="BL638" i="80"/>
  <c r="BL204" i="80" s="1"/>
  <c r="BH578" i="80"/>
  <c r="BH549" i="80"/>
  <c r="BH551" i="80" s="1"/>
  <c r="BH158" i="80" s="1"/>
  <c r="BJ574" i="80"/>
  <c r="BK571" i="80"/>
  <c r="BJ553" i="80"/>
  <c r="BJ202" i="80" s="1"/>
  <c r="BI205" i="80"/>
  <c r="BK665" i="80"/>
  <c r="BK635" i="80" s="1"/>
  <c r="BK664" i="80"/>
  <c r="BK639" i="80"/>
  <c r="BK188" i="80"/>
  <c r="BL724" i="80"/>
  <c r="BE830" i="80"/>
  <c r="BE89" i="46"/>
  <c r="BH263" i="80"/>
  <c r="BH282" i="80"/>
  <c r="BH269" i="80"/>
  <c r="BH192" i="80"/>
  <c r="BL639" i="80"/>
  <c r="BL188" i="80"/>
  <c r="BL236" i="80" s="1"/>
  <c r="BE163" i="80"/>
  <c r="BE164" i="80" s="1"/>
  <c r="BE8" i="80"/>
  <c r="BH596" i="80"/>
  <c r="BH615" i="80"/>
  <c r="BB770" i="80"/>
  <c r="BC768" i="80"/>
  <c r="BZ162" i="80"/>
  <c r="BB175" i="80"/>
  <c r="BF830" i="80"/>
  <c r="BF89" i="46"/>
  <c r="BH264" i="80"/>
  <c r="BH9" i="80" s="1"/>
  <c r="BO340" i="80"/>
  <c r="BN343" i="80"/>
  <c r="BK118" i="46"/>
  <c r="BL798" i="80"/>
  <c r="BL118" i="46" s="1"/>
  <c r="BI601" i="80"/>
  <c r="BI614" i="80"/>
  <c r="BI597" i="80" s="1"/>
  <c r="BI613" i="80"/>
  <c r="BF774" i="80"/>
  <c r="BG774" i="80" s="1"/>
  <c r="BG780" i="80" s="1"/>
  <c r="BH780" i="80" s="1"/>
  <c r="BD163" i="80"/>
  <c r="BD164" i="80" s="1"/>
  <c r="BD8" i="80"/>
  <c r="BI576" i="80"/>
  <c r="BI554" i="80"/>
  <c r="BN559" i="80"/>
  <c r="BM562" i="80"/>
  <c r="BL661" i="80"/>
  <c r="BH555" i="80"/>
  <c r="BH194" i="80"/>
  <c r="BH187" i="80"/>
  <c r="BH189" i="80" s="1"/>
  <c r="BL665" i="80"/>
  <c r="BL635" i="80" s="1"/>
  <c r="BD228" i="80"/>
  <c r="BE228" i="80"/>
  <c r="BC228" i="80"/>
  <c r="BF228" i="80"/>
  <c r="BB13" i="46" l="1"/>
  <c r="BA187" i="46"/>
  <c r="BB187" i="46" s="1"/>
  <c r="BI9" i="80"/>
  <c r="BI9" i="46" s="1"/>
  <c r="BC48" i="100"/>
  <c r="BC77" i="100" s="1"/>
  <c r="BC79" i="100" s="1"/>
  <c r="BF48" i="100"/>
  <c r="BF77" i="100" s="1"/>
  <c r="BF79" i="100" s="1"/>
  <c r="BE48" i="100"/>
  <c r="BE77" i="100" s="1"/>
  <c r="BE79" i="100" s="1"/>
  <c r="BD48" i="100"/>
  <c r="BD77" i="100" s="1"/>
  <c r="BD79" i="100" s="1"/>
  <c r="BG77" i="100"/>
  <c r="BA24" i="100"/>
  <c r="BA228" i="100" s="1"/>
  <c r="BA227" i="100"/>
  <c r="BB227" i="100"/>
  <c r="BB24" i="100"/>
  <c r="BC110" i="100"/>
  <c r="BB112" i="100"/>
  <c r="BB176" i="100"/>
  <c r="BA177" i="100"/>
  <c r="BK24" i="98"/>
  <c r="BK229" i="98" s="1"/>
  <c r="BK228" i="98"/>
  <c r="BL177" i="98"/>
  <c r="BL178" i="98" s="1"/>
  <c r="BK178" i="98"/>
  <c r="BL228" i="98"/>
  <c r="BL24" i="98"/>
  <c r="BN164" i="79"/>
  <c r="BN15" i="79"/>
  <c r="BN17" i="79" s="1"/>
  <c r="BN127" i="79"/>
  <c r="BO133" i="79" s="1"/>
  <c r="BM209" i="79"/>
  <c r="BM24" i="79"/>
  <c r="BI578" i="80"/>
  <c r="BI549" i="80"/>
  <c r="BI551" i="80" s="1"/>
  <c r="BI158" i="80" s="1"/>
  <c r="BE10" i="80"/>
  <c r="BE8" i="46"/>
  <c r="BI555" i="80"/>
  <c r="BI187" i="80"/>
  <c r="BI194" i="80"/>
  <c r="BI780" i="80"/>
  <c r="BI602" i="80"/>
  <c r="BI195" i="80"/>
  <c r="BO343" i="80"/>
  <c r="BP340" i="80"/>
  <c r="BD768" i="80"/>
  <c r="BE97" i="46"/>
  <c r="DW40" i="71"/>
  <c r="BI282" i="80"/>
  <c r="BI263" i="80"/>
  <c r="BL225" i="80"/>
  <c r="BD97" i="46"/>
  <c r="DV40" i="71"/>
  <c r="BJ268" i="80"/>
  <c r="BJ182" i="80"/>
  <c r="BJ281" i="80"/>
  <c r="BJ280" i="80"/>
  <c r="BN383" i="80"/>
  <c r="BN396" i="80"/>
  <c r="BN379" i="80" s="1"/>
  <c r="BN395" i="80"/>
  <c r="BC163" i="80"/>
  <c r="BC8" i="80"/>
  <c r="BN562" i="80"/>
  <c r="BO559" i="80"/>
  <c r="BH236" i="80"/>
  <c r="BI236" i="80"/>
  <c r="BK236" i="80"/>
  <c r="BJ236" i="80"/>
  <c r="BL571" i="80"/>
  <c r="BK574" i="80"/>
  <c r="BK553" i="80"/>
  <c r="BK202" i="80" s="1"/>
  <c r="BM397" i="80"/>
  <c r="BM378" i="80"/>
  <c r="BK716" i="80"/>
  <c r="BK723" i="80" s="1"/>
  <c r="BK161" i="80" s="1"/>
  <c r="BL161" i="80" s="1"/>
  <c r="BL172" i="80" s="1"/>
  <c r="BL714" i="80"/>
  <c r="BK214" i="80"/>
  <c r="BK215" i="80" s="1"/>
  <c r="BJ601" i="80"/>
  <c r="BJ614" i="80"/>
  <c r="BJ597" i="80" s="1"/>
  <c r="BJ613" i="80"/>
  <c r="BJ205" i="80"/>
  <c r="BN701" i="80"/>
  <c r="BO699" i="80"/>
  <c r="BN213" i="80"/>
  <c r="BD10" i="80"/>
  <c r="BD8" i="46"/>
  <c r="BZ168" i="80"/>
  <c r="BZ170" i="80" s="1"/>
  <c r="BZ164" i="80"/>
  <c r="BI189" i="80"/>
  <c r="BM379" i="80"/>
  <c r="BK611" i="80"/>
  <c r="BK600" i="80"/>
  <c r="BK203" i="80" s="1"/>
  <c r="BL608" i="80"/>
  <c r="BL566" i="80"/>
  <c r="BQ358" i="80"/>
  <c r="BQ360" i="80" s="1"/>
  <c r="BC97" i="46"/>
  <c r="DU40" i="71"/>
  <c r="BG89" i="46"/>
  <c r="BH9" i="46"/>
  <c r="BC776" i="80"/>
  <c r="BB779" i="80"/>
  <c r="BI615" i="80"/>
  <c r="BI596" i="80"/>
  <c r="BI598" i="80" s="1"/>
  <c r="BI159" i="80" s="1"/>
  <c r="BL640" i="80"/>
  <c r="BL196" i="80"/>
  <c r="BK640" i="80"/>
  <c r="BK196" i="80"/>
  <c r="BJ576" i="80"/>
  <c r="BJ554" i="80"/>
  <c r="BL574" i="80"/>
  <c r="BM564" i="80"/>
  <c r="BM798" i="80"/>
  <c r="BL611" i="80"/>
  <c r="BL601" i="80" s="1"/>
  <c r="BN186" i="80"/>
  <c r="BN346" i="80"/>
  <c r="BN345" i="80"/>
  <c r="DX40" i="71"/>
  <c r="BF97" i="46"/>
  <c r="BH598" i="80"/>
  <c r="BH159" i="80" s="1"/>
  <c r="BH197" i="80"/>
  <c r="BH265" i="80"/>
  <c r="BH156" i="80" s="1"/>
  <c r="BK666" i="80"/>
  <c r="BK634" i="80"/>
  <c r="BK636" i="80" s="1"/>
  <c r="BK160" i="80" s="1"/>
  <c r="BL160" i="80" s="1"/>
  <c r="CA167" i="80"/>
  <c r="BN659" i="80"/>
  <c r="BM662" i="80"/>
  <c r="BM638" i="80"/>
  <c r="BM204" i="80" s="1"/>
  <c r="BI269" i="80"/>
  <c r="BI192" i="80"/>
  <c r="BI197" i="80" s="1"/>
  <c r="BM384" i="80"/>
  <c r="BM193" i="80"/>
  <c r="BL664" i="80"/>
  <c r="BM347" i="80"/>
  <c r="BK278" i="80"/>
  <c r="BL275" i="80"/>
  <c r="BK267" i="80"/>
  <c r="BK200" i="80" s="1"/>
  <c r="BK205" i="80" s="1"/>
  <c r="AZ186" i="46"/>
  <c r="AY188" i="46"/>
  <c r="BO382" i="80"/>
  <c r="BO201" i="80" s="1"/>
  <c r="BO393" i="80"/>
  <c r="BP390" i="80"/>
  <c r="BL716" i="80" l="1"/>
  <c r="BL723" i="80" s="1"/>
  <c r="BC246" i="100"/>
  <c r="BC108" i="100"/>
  <c r="BE81" i="100"/>
  <c r="BE62" i="100" s="1"/>
  <c r="BB228" i="100"/>
  <c r="BG33" i="71"/>
  <c r="BF81" i="100"/>
  <c r="BF62" i="100" s="1"/>
  <c r="BB177" i="100"/>
  <c r="BC81" i="100"/>
  <c r="BC62" i="100" s="1"/>
  <c r="BD81" i="100"/>
  <c r="BD62" i="100" s="1"/>
  <c r="BL229" i="98"/>
  <c r="BQ31" i="71"/>
  <c r="BM210" i="79"/>
  <c r="BO228" i="79"/>
  <c r="BO131" i="79"/>
  <c r="BO13" i="79" s="1"/>
  <c r="BN23" i="79"/>
  <c r="BN20" i="46"/>
  <c r="BO126" i="79"/>
  <c r="BO383" i="80"/>
  <c r="BO396" i="80"/>
  <c r="BO395" i="80"/>
  <c r="BM665" i="80"/>
  <c r="BM664" i="80"/>
  <c r="BM639" i="80"/>
  <c r="BM188" i="80"/>
  <c r="BJ555" i="80"/>
  <c r="BJ194" i="80"/>
  <c r="BJ187" i="80"/>
  <c r="DY40" i="71"/>
  <c r="BG97" i="46"/>
  <c r="DY42" i="71" s="1"/>
  <c r="DY41" i="71" s="1"/>
  <c r="BL610" i="80"/>
  <c r="BM380" i="80"/>
  <c r="BM157" i="80" s="1"/>
  <c r="BC10" i="80"/>
  <c r="BG8" i="80"/>
  <c r="BC8" i="46"/>
  <c r="BC10" i="46" s="1"/>
  <c r="BN384" i="80"/>
  <c r="BN193" i="80"/>
  <c r="BJ264" i="80"/>
  <c r="BJ9" i="80" s="1"/>
  <c r="BI265" i="80"/>
  <c r="BI156" i="80" s="1"/>
  <c r="BE158" i="46"/>
  <c r="BE161" i="46" s="1"/>
  <c r="DW42" i="71"/>
  <c r="DW41" i="71" s="1"/>
  <c r="BL666" i="80"/>
  <c r="BL634" i="80"/>
  <c r="BL636" i="80" s="1"/>
  <c r="BN662" i="80"/>
  <c r="BO659" i="80"/>
  <c r="BN638" i="80"/>
  <c r="BN204" i="80" s="1"/>
  <c r="DX42" i="71"/>
  <c r="DX41" i="71" s="1"/>
  <c r="BF158" i="46"/>
  <c r="BF161" i="46" s="1"/>
  <c r="BM566" i="80"/>
  <c r="BJ578" i="80"/>
  <c r="BJ549" i="80"/>
  <c r="BJ551" i="80" s="1"/>
  <c r="BJ158" i="80" s="1"/>
  <c r="BC13" i="80"/>
  <c r="BC769" i="80"/>
  <c r="BL600" i="80"/>
  <c r="BL203" i="80" s="1"/>
  <c r="BM608" i="80"/>
  <c r="BD10" i="46"/>
  <c r="BO701" i="80"/>
  <c r="BP699" i="80"/>
  <c r="BO213" i="80"/>
  <c r="BJ615" i="80"/>
  <c r="BJ596" i="80"/>
  <c r="BJ598" i="80" s="1"/>
  <c r="BJ159" i="80" s="1"/>
  <c r="BM714" i="80"/>
  <c r="BL214" i="80"/>
  <c r="BL215" i="80" s="1"/>
  <c r="BO562" i="80"/>
  <c r="BP559" i="80"/>
  <c r="BG163" i="80"/>
  <c r="BC164" i="80"/>
  <c r="BJ189" i="80"/>
  <c r="BD158" i="46"/>
  <c r="BD161" i="46" s="1"/>
  <c r="DV42" i="71"/>
  <c r="DV41" i="71" s="1"/>
  <c r="BK268" i="80"/>
  <c r="BK182" i="80"/>
  <c r="BK281" i="80"/>
  <c r="BK264" i="80" s="1"/>
  <c r="BK280" i="80"/>
  <c r="BL280" i="80" s="1"/>
  <c r="BL602" i="80"/>
  <c r="BL195" i="80"/>
  <c r="BC158" i="46"/>
  <c r="DU42" i="71"/>
  <c r="DU41" i="71" s="1"/>
  <c r="BK576" i="80"/>
  <c r="BK554" i="80"/>
  <c r="BN564" i="80"/>
  <c r="BN798" i="80"/>
  <c r="BN118" i="46" s="1"/>
  <c r="BN397" i="80"/>
  <c r="BN378" i="80"/>
  <c r="BN380" i="80" s="1"/>
  <c r="BN157" i="80" s="1"/>
  <c r="BL278" i="80"/>
  <c r="BJ269" i="80"/>
  <c r="BJ192" i="80"/>
  <c r="BL576" i="80"/>
  <c r="BP343" i="80"/>
  <c r="CM7" i="73" s="1"/>
  <c r="BQ340" i="80"/>
  <c r="BM275" i="80"/>
  <c r="BL267" i="80"/>
  <c r="BP382" i="80"/>
  <c r="BP201" i="80" s="1"/>
  <c r="BP393" i="80"/>
  <c r="BQ393" i="80" s="1"/>
  <c r="BQ383" i="80" s="1"/>
  <c r="BQ390" i="80"/>
  <c r="BQ382" i="80" s="1"/>
  <c r="BQ201" i="80" s="1"/>
  <c r="BA186" i="46"/>
  <c r="AZ188" i="46"/>
  <c r="BN347" i="80"/>
  <c r="BM118" i="46"/>
  <c r="BL573" i="80"/>
  <c r="BM573" i="80" s="1"/>
  <c r="BN573" i="80" s="1"/>
  <c r="BO573" i="80" s="1"/>
  <c r="BP573" i="80" s="1"/>
  <c r="BL554" i="80"/>
  <c r="BK601" i="80"/>
  <c r="BK614" i="80"/>
  <c r="BK613" i="80"/>
  <c r="BJ602" i="80"/>
  <c r="BJ195" i="80"/>
  <c r="BM571" i="80"/>
  <c r="BL553" i="80"/>
  <c r="BL202" i="80" s="1"/>
  <c r="BJ282" i="80"/>
  <c r="BJ263" i="80"/>
  <c r="BE768" i="80"/>
  <c r="BO186" i="80"/>
  <c r="BO346" i="80"/>
  <c r="BO345" i="80"/>
  <c r="BJ780" i="80"/>
  <c r="BE10" i="46"/>
  <c r="BF74" i="100" l="1"/>
  <c r="BF75" i="100" s="1"/>
  <c r="BF8" i="100"/>
  <c r="BE74" i="100"/>
  <c r="BE75" i="100" s="1"/>
  <c r="BE8" i="100"/>
  <c r="BC13" i="100"/>
  <c r="BC101" i="100"/>
  <c r="BD74" i="100"/>
  <c r="BD75" i="100" s="1"/>
  <c r="BD8" i="100"/>
  <c r="BC74" i="100"/>
  <c r="BC75" i="100" s="1"/>
  <c r="BG62" i="100"/>
  <c r="BC8" i="100"/>
  <c r="BO127" i="79"/>
  <c r="BP133" i="79" s="1"/>
  <c r="BO164" i="79"/>
  <c r="BO15" i="79"/>
  <c r="BO17" i="79" s="1"/>
  <c r="BN24" i="79"/>
  <c r="BN209" i="79"/>
  <c r="CN7" i="73"/>
  <c r="CM9" i="73"/>
  <c r="CM10" i="73" s="1"/>
  <c r="CE49" i="73"/>
  <c r="BQ384" i="80"/>
  <c r="BQ193" i="80"/>
  <c r="BO347" i="80"/>
  <c r="BF768" i="80"/>
  <c r="BK596" i="80"/>
  <c r="BK615" i="80"/>
  <c r="BL200" i="80"/>
  <c r="BL205" i="80" s="1"/>
  <c r="BL790" i="80"/>
  <c r="BL268" i="80"/>
  <c r="BL182" i="80"/>
  <c r="BL277" i="80"/>
  <c r="BK282" i="80"/>
  <c r="BK263" i="80"/>
  <c r="BL613" i="80"/>
  <c r="BM716" i="80"/>
  <c r="BN714" i="80"/>
  <c r="BM214" i="80"/>
  <c r="BM215" i="80" s="1"/>
  <c r="BQ699" i="80"/>
  <c r="BQ213" i="80" s="1"/>
  <c r="BP701" i="80"/>
  <c r="BQ701" i="80" s="1"/>
  <c r="BP213" i="80"/>
  <c r="BM611" i="80"/>
  <c r="BM600" i="80"/>
  <c r="BM203" i="80" s="1"/>
  <c r="BN608" i="80"/>
  <c r="BN665" i="80"/>
  <c r="BN635" i="80" s="1"/>
  <c r="BN664" i="80"/>
  <c r="BN639" i="80"/>
  <c r="BN188" i="80"/>
  <c r="BJ9" i="46"/>
  <c r="BM635" i="80"/>
  <c r="BO379" i="80"/>
  <c r="BN566" i="80"/>
  <c r="BP562" i="80"/>
  <c r="BQ559" i="80"/>
  <c r="BG10" i="80"/>
  <c r="BO384" i="80"/>
  <c r="BO193" i="80"/>
  <c r="BM574" i="80"/>
  <c r="BN571" i="80"/>
  <c r="BM553" i="80"/>
  <c r="BM202" i="80" s="1"/>
  <c r="BJ197" i="80"/>
  <c r="BK555" i="80"/>
  <c r="BK194" i="80"/>
  <c r="BK187" i="80"/>
  <c r="BC161" i="46"/>
  <c r="BG158" i="46"/>
  <c r="BG161" i="46" s="1"/>
  <c r="BK189" i="80"/>
  <c r="BO564" i="80"/>
  <c r="BO798" i="80"/>
  <c r="BQ562" i="80"/>
  <c r="BC770" i="80"/>
  <c r="BD776" i="80" s="1"/>
  <c r="BM640" i="80"/>
  <c r="BM196" i="80"/>
  <c r="BL263" i="80"/>
  <c r="BL282" i="80"/>
  <c r="BK597" i="80"/>
  <c r="BK9" i="80" s="1"/>
  <c r="BL614" i="80"/>
  <c r="BL597" i="80" s="1"/>
  <c r="BB186" i="46"/>
  <c r="BA188" i="46"/>
  <c r="BM267" i="80"/>
  <c r="BM200" i="80" s="1"/>
  <c r="BM205" i="80" s="1"/>
  <c r="BM278" i="80"/>
  <c r="BN275" i="80"/>
  <c r="BL578" i="80"/>
  <c r="BL549" i="80"/>
  <c r="BL551" i="80" s="1"/>
  <c r="BJ265" i="80"/>
  <c r="BJ156" i="80" s="1"/>
  <c r="BK602" i="80"/>
  <c r="BK195" i="80"/>
  <c r="BK780" i="80"/>
  <c r="BL555" i="80"/>
  <c r="BL194" i="80"/>
  <c r="BL187" i="80"/>
  <c r="BL235" i="80" s="1"/>
  <c r="BP383" i="80"/>
  <c r="BP396" i="80"/>
  <c r="BP379" i="80" s="1"/>
  <c r="BP395" i="80"/>
  <c r="BQ395" i="80" s="1"/>
  <c r="BP186" i="80"/>
  <c r="BP346" i="80"/>
  <c r="BQ346" i="80" s="1"/>
  <c r="BP345" i="80"/>
  <c r="BQ343" i="80"/>
  <c r="BK578" i="80"/>
  <c r="BK549" i="80"/>
  <c r="BK551" i="80" s="1"/>
  <c r="BK158" i="80" s="1"/>
  <c r="BL158" i="80" s="1"/>
  <c r="BL171" i="80" s="1"/>
  <c r="BK269" i="80"/>
  <c r="BK192" i="80"/>
  <c r="BK197" i="80" s="1"/>
  <c r="BG174" i="80"/>
  <c r="BG24" i="73"/>
  <c r="BG164" i="80"/>
  <c r="CC100" i="73" s="1"/>
  <c r="BC820" i="80"/>
  <c r="BC13" i="46"/>
  <c r="BO662" i="80"/>
  <c r="BP659" i="80"/>
  <c r="BO638" i="80"/>
  <c r="BO204" i="80" s="1"/>
  <c r="BL281" i="80"/>
  <c r="BL264" i="80" s="1"/>
  <c r="BM666" i="80"/>
  <c r="BM634" i="80"/>
  <c r="BO378" i="80"/>
  <c r="BO397" i="80"/>
  <c r="BM636" i="80" l="1"/>
  <c r="BM160" i="80" s="1"/>
  <c r="BO380" i="80"/>
  <c r="BO157" i="80" s="1"/>
  <c r="BD10" i="100"/>
  <c r="BC10" i="100"/>
  <c r="BE10" i="100"/>
  <c r="BG74" i="100"/>
  <c r="BG8" i="100"/>
  <c r="BC102" i="100"/>
  <c r="BD110" i="100" s="1"/>
  <c r="BF10" i="100"/>
  <c r="BC143" i="100"/>
  <c r="BC15" i="100"/>
  <c r="BC17" i="100" s="1"/>
  <c r="BO23" i="79"/>
  <c r="BO20" i="46"/>
  <c r="BP228" i="79"/>
  <c r="BQ228" i="79" s="1"/>
  <c r="BP131" i="79"/>
  <c r="BP13" i="79" s="1"/>
  <c r="BQ133" i="79"/>
  <c r="BN210" i="79"/>
  <c r="BP126" i="79"/>
  <c r="BK9" i="46"/>
  <c r="BL9" i="46" s="1"/>
  <c r="BL9" i="80"/>
  <c r="BQ378" i="80"/>
  <c r="BP347" i="80"/>
  <c r="BQ561" i="80"/>
  <c r="BN574" i="80"/>
  <c r="BO571" i="80"/>
  <c r="BN553" i="80"/>
  <c r="BN202" i="80" s="1"/>
  <c r="BP564" i="80"/>
  <c r="BP798" i="80"/>
  <c r="BP118" i="46" s="1"/>
  <c r="BO608" i="80"/>
  <c r="BN611" i="80"/>
  <c r="BN600" i="80"/>
  <c r="BN203" i="80" s="1"/>
  <c r="BN716" i="80"/>
  <c r="BN723" i="80" s="1"/>
  <c r="BN161" i="80" s="1"/>
  <c r="BO714" i="80"/>
  <c r="BN214" i="80"/>
  <c r="BN215" i="80" s="1"/>
  <c r="BG768" i="80"/>
  <c r="BN267" i="80"/>
  <c r="BN200" i="80" s="1"/>
  <c r="BN278" i="80"/>
  <c r="BO275" i="80"/>
  <c r="BO118" i="46"/>
  <c r="BM576" i="80"/>
  <c r="BM554" i="80"/>
  <c r="BN640" i="80"/>
  <c r="BN196" i="80"/>
  <c r="BM723" i="80"/>
  <c r="BM161" i="80" s="1"/>
  <c r="BQ345" i="80"/>
  <c r="BQ347" i="80" s="1"/>
  <c r="BQ170" i="80" s="1"/>
  <c r="BP384" i="80"/>
  <c r="BP193" i="80"/>
  <c r="BO665" i="80"/>
  <c r="BO664" i="80"/>
  <c r="BO639" i="80"/>
  <c r="BO188" i="80"/>
  <c r="CA162" i="80"/>
  <c r="BG175" i="80"/>
  <c r="BJ235" i="80"/>
  <c r="BK235" i="80"/>
  <c r="BI235" i="80"/>
  <c r="BH235" i="80"/>
  <c r="BC186" i="46"/>
  <c r="BB188" i="46"/>
  <c r="BL265" i="80"/>
  <c r="BD13" i="80"/>
  <c r="BQ396" i="80"/>
  <c r="BQ379" i="80" s="1"/>
  <c r="BN666" i="80"/>
  <c r="BN634" i="80"/>
  <c r="BN636" i="80" s="1"/>
  <c r="BN160" i="80" s="1"/>
  <c r="BL596" i="80"/>
  <c r="BL598" i="80" s="1"/>
  <c r="BL615" i="80"/>
  <c r="BL168" i="80" s="1"/>
  <c r="BL230" i="80"/>
  <c r="CB186" i="80"/>
  <c r="BL189" i="80"/>
  <c r="BL228" i="80" s="1"/>
  <c r="BK598" i="80"/>
  <c r="BK159" i="80" s="1"/>
  <c r="BL159" i="80" s="1"/>
  <c r="CO7" i="73"/>
  <c r="CN9" i="73"/>
  <c r="CN10" i="73" s="1"/>
  <c r="BP662" i="80"/>
  <c r="BQ659" i="80"/>
  <c r="BQ638" i="80" s="1"/>
  <c r="BQ204" i="80" s="1"/>
  <c r="BP638" i="80"/>
  <c r="BP204" i="80" s="1"/>
  <c r="BK774" i="80"/>
  <c r="BL774" i="80" s="1"/>
  <c r="BL780" i="80" s="1"/>
  <c r="BM780" i="80" s="1"/>
  <c r="BC150" i="46"/>
  <c r="BQ186" i="80"/>
  <c r="BQ233" i="80" s="1"/>
  <c r="BQ342" i="80"/>
  <c r="BP397" i="80"/>
  <c r="BP378" i="80"/>
  <c r="BP380" i="80" s="1"/>
  <c r="BP157" i="80" s="1"/>
  <c r="BM268" i="80"/>
  <c r="BM182" i="80"/>
  <c r="BM281" i="80"/>
  <c r="BM280" i="80"/>
  <c r="BD769" i="80"/>
  <c r="BO566" i="80"/>
  <c r="BM601" i="80"/>
  <c r="BM614" i="80"/>
  <c r="BM613" i="80"/>
  <c r="BK265" i="80"/>
  <c r="BK156" i="80" s="1"/>
  <c r="BL269" i="80"/>
  <c r="BL192" i="80"/>
  <c r="BL197" i="80" s="1"/>
  <c r="BI790" i="80"/>
  <c r="BI791" i="80" s="1"/>
  <c r="BI827" i="80" s="1"/>
  <c r="BH790" i="80"/>
  <c r="BH791" i="80" s="1"/>
  <c r="BH827" i="80" s="1"/>
  <c r="BK790" i="80"/>
  <c r="BK791" i="80" s="1"/>
  <c r="BK827" i="80" s="1"/>
  <c r="BJ790" i="80"/>
  <c r="BJ791" i="80" s="1"/>
  <c r="BJ827" i="80" s="1"/>
  <c r="CD60" i="73"/>
  <c r="CD61" i="73" s="1"/>
  <c r="BL791" i="80"/>
  <c r="BQ564" i="80"/>
  <c r="BQ157" i="80" l="1"/>
  <c r="BC23" i="100"/>
  <c r="BH26" i="46"/>
  <c r="BG10" i="100"/>
  <c r="BG79" i="100"/>
  <c r="BG81" i="100" s="1"/>
  <c r="BG75" i="100"/>
  <c r="BD246" i="100"/>
  <c r="BD108" i="100"/>
  <c r="BC176" i="100"/>
  <c r="BQ126" i="79"/>
  <c r="BQ127" i="79" s="1"/>
  <c r="BQ135" i="79" s="1"/>
  <c r="BP127" i="79"/>
  <c r="BQ131" i="79"/>
  <c r="BP164" i="79"/>
  <c r="BQ164" i="79" s="1"/>
  <c r="BP15" i="79"/>
  <c r="BP17" i="79" s="1"/>
  <c r="BQ13" i="79"/>
  <c r="BQ15" i="79" s="1"/>
  <c r="BQ17" i="79" s="1"/>
  <c r="BQ23" i="79" s="1"/>
  <c r="BO24" i="79"/>
  <c r="BO209" i="79"/>
  <c r="BI830" i="80"/>
  <c r="BI89" i="46"/>
  <c r="BM264" i="80"/>
  <c r="BN780" i="80"/>
  <c r="BM774" i="80"/>
  <c r="BP665" i="80"/>
  <c r="BP635" i="80" s="1"/>
  <c r="BP664" i="80"/>
  <c r="BQ664" i="80" s="1"/>
  <c r="BP639" i="80"/>
  <c r="BP188" i="80"/>
  <c r="BH228" i="80"/>
  <c r="BJ228" i="80"/>
  <c r="BI228" i="80"/>
  <c r="BK228" i="80"/>
  <c r="CB161" i="80"/>
  <c r="BO611" i="80"/>
  <c r="BO600" i="80"/>
  <c r="BO203" i="80" s="1"/>
  <c r="BP608" i="80"/>
  <c r="BQ380" i="80"/>
  <c r="BJ830" i="80"/>
  <c r="BJ89" i="46"/>
  <c r="BM615" i="80"/>
  <c r="BM596" i="80"/>
  <c r="BC187" i="46"/>
  <c r="BC188" i="46" s="1"/>
  <c r="BD186" i="46"/>
  <c r="BO640" i="80"/>
  <c r="BO196" i="80"/>
  <c r="BM578" i="80"/>
  <c r="BM549" i="80"/>
  <c r="BM551" i="80" s="1"/>
  <c r="BM158" i="80" s="1"/>
  <c r="BO278" i="80"/>
  <c r="BP275" i="80"/>
  <c r="BO267" i="80"/>
  <c r="BO200" i="80" s="1"/>
  <c r="BO205" i="80" s="1"/>
  <c r="BP571" i="80"/>
  <c r="BO574" i="80"/>
  <c r="BO553" i="80"/>
  <c r="BO202" i="80" s="1"/>
  <c r="BQ397" i="80"/>
  <c r="BQ566" i="80"/>
  <c r="BM597" i="80"/>
  <c r="CA168" i="80"/>
  <c r="CA170" i="80" s="1"/>
  <c r="CA164" i="80"/>
  <c r="BO666" i="80"/>
  <c r="BO634" i="80"/>
  <c r="BQ798" i="80"/>
  <c r="BQ118" i="46" s="1"/>
  <c r="BN268" i="80"/>
  <c r="BN182" i="80"/>
  <c r="BN281" i="80"/>
  <c r="BN264" i="80" s="1"/>
  <c r="BN280" i="80"/>
  <c r="BP566" i="80"/>
  <c r="BN576" i="80"/>
  <c r="BN554" i="80"/>
  <c r="BK830" i="80"/>
  <c r="BK89" i="46"/>
  <c r="BD770" i="80"/>
  <c r="BE776" i="80" s="1"/>
  <c r="BH230" i="80"/>
  <c r="BH222" i="80" s="1"/>
  <c r="BI230" i="80"/>
  <c r="BI222" i="80" s="1"/>
  <c r="BI226" i="80" s="1"/>
  <c r="BK230" i="80"/>
  <c r="BK222" i="80" s="1"/>
  <c r="BK226" i="80" s="1"/>
  <c r="BJ230" i="80"/>
  <c r="BJ222" i="80" s="1"/>
  <c r="BJ226" i="80" s="1"/>
  <c r="BD820" i="80"/>
  <c r="BD13" i="46"/>
  <c r="BH774" i="80"/>
  <c r="BH768" i="80" s="1"/>
  <c r="BI774" i="80"/>
  <c r="BJ774" i="80"/>
  <c r="BH830" i="80"/>
  <c r="BL827" i="80"/>
  <c r="BL830" i="80" s="1"/>
  <c r="BH89" i="46"/>
  <c r="BM602" i="80"/>
  <c r="BM195" i="80"/>
  <c r="BM282" i="80"/>
  <c r="BM263" i="80"/>
  <c r="BM269" i="80"/>
  <c r="BM192" i="80"/>
  <c r="BN233" i="80"/>
  <c r="BN225" i="80" s="1"/>
  <c r="BO233" i="80"/>
  <c r="BO225" i="80" s="1"/>
  <c r="BM233" i="80"/>
  <c r="BM225" i="80" s="1"/>
  <c r="BP233" i="80"/>
  <c r="BP225" i="80" s="1"/>
  <c r="CP7" i="73"/>
  <c r="CO9" i="73"/>
  <c r="CO10" i="73" s="1"/>
  <c r="BL156" i="80"/>
  <c r="BO635" i="80"/>
  <c r="BM555" i="80"/>
  <c r="BM194" i="80"/>
  <c r="BM187" i="80"/>
  <c r="BM189" i="80" s="1"/>
  <c r="BN205" i="80"/>
  <c r="BO716" i="80"/>
  <c r="BP714" i="80"/>
  <c r="BO214" i="80"/>
  <c r="BO215" i="80" s="1"/>
  <c r="BN601" i="80"/>
  <c r="BN614" i="80"/>
  <c r="BN597" i="80" s="1"/>
  <c r="BN613" i="80"/>
  <c r="BQ662" i="80"/>
  <c r="BQ665" i="80" l="1"/>
  <c r="BQ635" i="80" s="1"/>
  <c r="BC177" i="100"/>
  <c r="BD13" i="100"/>
  <c r="BD101" i="100"/>
  <c r="BC227" i="100"/>
  <c r="BC24" i="100"/>
  <c r="BQ209" i="79"/>
  <c r="BQ24" i="79"/>
  <c r="BP23" i="79"/>
  <c r="BP20" i="46"/>
  <c r="BQ20" i="46" s="1"/>
  <c r="BO210" i="79"/>
  <c r="BI768" i="80"/>
  <c r="CQ7" i="73"/>
  <c r="CP9" i="73"/>
  <c r="CP10" i="73" s="1"/>
  <c r="BH97" i="46"/>
  <c r="DZ40" i="71"/>
  <c r="BL89" i="46"/>
  <c r="BD150" i="46"/>
  <c r="BD187" i="46" s="1"/>
  <c r="BI163" i="80"/>
  <c r="BI164" i="80" s="1"/>
  <c r="BI8" i="80"/>
  <c r="BN578" i="80"/>
  <c r="BN549" i="80"/>
  <c r="BN551" i="80" s="1"/>
  <c r="BN158" i="80" s="1"/>
  <c r="BN9" i="80"/>
  <c r="BN9" i="46" s="1"/>
  <c r="BQ275" i="80"/>
  <c r="BQ267" i="80" s="1"/>
  <c r="BQ200" i="80" s="1"/>
  <c r="BP267" i="80"/>
  <c r="BP200" i="80" s="1"/>
  <c r="BP278" i="80"/>
  <c r="BO601" i="80"/>
  <c r="BO614" i="80"/>
  <c r="BO597" i="80" s="1"/>
  <c r="BO613" i="80"/>
  <c r="BM9" i="80"/>
  <c r="BN615" i="80"/>
  <c r="BN596" i="80"/>
  <c r="BN598" i="80" s="1"/>
  <c r="BN159" i="80" s="1"/>
  <c r="BQ714" i="80"/>
  <c r="BQ214" i="80" s="1"/>
  <c r="BQ215" i="80" s="1"/>
  <c r="BP716" i="80"/>
  <c r="BP723" i="80" s="1"/>
  <c r="BP161" i="80" s="1"/>
  <c r="BP214" i="80"/>
  <c r="BP215" i="80" s="1"/>
  <c r="BM197" i="80"/>
  <c r="BL222" i="80"/>
  <c r="BL226" i="80" s="1"/>
  <c r="CD85" i="73" s="1"/>
  <c r="BH226" i="80"/>
  <c r="BE13" i="80"/>
  <c r="BQ666" i="80"/>
  <c r="BQ634" i="80"/>
  <c r="BO576" i="80"/>
  <c r="BO554" i="80"/>
  <c r="BO268" i="80"/>
  <c r="BO182" i="80"/>
  <c r="BO281" i="80"/>
  <c r="BO264" i="80" s="1"/>
  <c r="BO280" i="80"/>
  <c r="BQ278" i="80"/>
  <c r="BQ277" i="80" s="1"/>
  <c r="BP640" i="80"/>
  <c r="BP196" i="80"/>
  <c r="BN774" i="80"/>
  <c r="BO780" i="80"/>
  <c r="BO723" i="80"/>
  <c r="BO161" i="80" s="1"/>
  <c r="BQ716" i="80"/>
  <c r="BQ723" i="80" s="1"/>
  <c r="BQ225" i="80"/>
  <c r="BJ163" i="80"/>
  <c r="BJ164" i="80" s="1"/>
  <c r="BJ8" i="80"/>
  <c r="BE769" i="80"/>
  <c r="BN269" i="80"/>
  <c r="BN192" i="80"/>
  <c r="BO636" i="80"/>
  <c r="BO160" i="80" s="1"/>
  <c r="BQ571" i="80"/>
  <c r="BQ553" i="80" s="1"/>
  <c r="BQ202" i="80" s="1"/>
  <c r="BP574" i="80"/>
  <c r="BP553" i="80"/>
  <c r="BP202" i="80" s="1"/>
  <c r="BE186" i="46"/>
  <c r="EB40" i="71"/>
  <c r="BJ97" i="46"/>
  <c r="BP611" i="80"/>
  <c r="BP600" i="80"/>
  <c r="BP203" i="80" s="1"/>
  <c r="BQ608" i="80"/>
  <c r="BQ600" i="80" s="1"/>
  <c r="BQ203" i="80" s="1"/>
  <c r="BP666" i="80"/>
  <c r="BP634" i="80"/>
  <c r="BP636" i="80" s="1"/>
  <c r="BP160" i="80" s="1"/>
  <c r="BQ639" i="80"/>
  <c r="BQ188" i="80"/>
  <c r="BQ236" i="80" s="1"/>
  <c r="BQ661" i="80"/>
  <c r="BN602" i="80"/>
  <c r="BN195" i="80"/>
  <c r="BM265" i="80"/>
  <c r="BM156" i="80" s="1"/>
  <c r="BK163" i="80"/>
  <c r="BK164" i="80" s="1"/>
  <c r="BK8" i="80"/>
  <c r="BK97" i="46"/>
  <c r="EC40" i="71"/>
  <c r="BN555" i="80"/>
  <c r="BN194" i="80"/>
  <c r="BN187" i="80"/>
  <c r="BN189" i="80" s="1"/>
  <c r="BN282" i="80"/>
  <c r="BN263" i="80"/>
  <c r="BM598" i="80"/>
  <c r="BM159" i="80" s="1"/>
  <c r="CB167" i="80"/>
  <c r="BI97" i="46"/>
  <c r="EA40" i="71"/>
  <c r="BQ161" i="80" l="1"/>
  <c r="BQ172" i="80" s="1"/>
  <c r="BQ636" i="80"/>
  <c r="BD143" i="100"/>
  <c r="BD15" i="100"/>
  <c r="BD17" i="100" s="1"/>
  <c r="BC228" i="100"/>
  <c r="BD102" i="100"/>
  <c r="BE110" i="100" s="1"/>
  <c r="BQ210" i="79"/>
  <c r="BQ28" i="71"/>
  <c r="BP24" i="79"/>
  <c r="BP210" i="79" s="1"/>
  <c r="BP209" i="79"/>
  <c r="BI158" i="46"/>
  <c r="BI161" i="46" s="1"/>
  <c r="EA42" i="71"/>
  <c r="EA41" i="71" s="1"/>
  <c r="BK10" i="80"/>
  <c r="BQ640" i="80"/>
  <c r="BQ196" i="80"/>
  <c r="BD188" i="46"/>
  <c r="BP576" i="80"/>
  <c r="BP554" i="80"/>
  <c r="BO578" i="80"/>
  <c r="BO549" i="80"/>
  <c r="BO551" i="80" s="1"/>
  <c r="BO158" i="80" s="1"/>
  <c r="BH163" i="80"/>
  <c r="BH8" i="80"/>
  <c r="BO615" i="80"/>
  <c r="BO596" i="80"/>
  <c r="BO598" i="80" s="1"/>
  <c r="BO159" i="80" s="1"/>
  <c r="BK158" i="46"/>
  <c r="BK161" i="46" s="1"/>
  <c r="EC42" i="71"/>
  <c r="EC41" i="71" s="1"/>
  <c r="BE770" i="80"/>
  <c r="BF776" i="80" s="1"/>
  <c r="BF769" i="80" s="1"/>
  <c r="BJ10" i="80"/>
  <c r="BJ8" i="46"/>
  <c r="BO774" i="80"/>
  <c r="BP780" i="80"/>
  <c r="BP774" i="80" s="1"/>
  <c r="BQ774" i="80" s="1"/>
  <c r="BQ780" i="80" s="1"/>
  <c r="BQ268" i="80"/>
  <c r="BO269" i="80"/>
  <c r="BO192" i="80"/>
  <c r="BP268" i="80"/>
  <c r="BP182" i="80"/>
  <c r="BP281" i="80"/>
  <c r="BP280" i="80"/>
  <c r="BH158" i="46"/>
  <c r="DZ42" i="71"/>
  <c r="DZ41" i="71" s="1"/>
  <c r="BP601" i="80"/>
  <c r="BP614" i="80"/>
  <c r="BP613" i="80"/>
  <c r="BN265" i="80"/>
  <c r="BN156" i="80" s="1"/>
  <c r="BJ158" i="46"/>
  <c r="BJ161" i="46" s="1"/>
  <c r="EB42" i="71"/>
  <c r="EB41" i="71" s="1"/>
  <c r="BQ160" i="80"/>
  <c r="BO282" i="80"/>
  <c r="BO263" i="80"/>
  <c r="BQ280" i="80"/>
  <c r="BQ574" i="80"/>
  <c r="BM9" i="46"/>
  <c r="BO602" i="80"/>
  <c r="BO195" i="80"/>
  <c r="BP205" i="80"/>
  <c r="BI8" i="46"/>
  <c r="BI10" i="80"/>
  <c r="BJ768" i="80"/>
  <c r="BF186" i="46"/>
  <c r="BP236" i="80"/>
  <c r="BM236" i="80"/>
  <c r="BO236" i="80"/>
  <c r="BN236" i="80"/>
  <c r="BN197" i="80"/>
  <c r="BO9" i="80"/>
  <c r="BO9" i="46" s="1"/>
  <c r="BO555" i="80"/>
  <c r="BO187" i="80"/>
  <c r="BO189" i="80" s="1"/>
  <c r="BO194" i="80"/>
  <c r="BE820" i="80"/>
  <c r="BE13" i="46"/>
  <c r="BQ611" i="80"/>
  <c r="BQ182" i="80" s="1"/>
  <c r="BQ576" i="80"/>
  <c r="BQ205" i="80"/>
  <c r="BL97" i="46"/>
  <c r="ED42" i="71" s="1"/>
  <c r="ED40" i="71"/>
  <c r="CR7" i="73"/>
  <c r="CQ9" i="73"/>
  <c r="CQ10" i="73" s="1"/>
  <c r="BE246" i="100" l="1"/>
  <c r="BE108" i="100"/>
  <c r="BD176" i="100"/>
  <c r="BI26" i="46"/>
  <c r="BD23" i="100"/>
  <c r="BQ230" i="80"/>
  <c r="BQ573" i="80"/>
  <c r="BQ554" i="80"/>
  <c r="BP597" i="80"/>
  <c r="BQ614" i="80"/>
  <c r="BQ597" i="80" s="1"/>
  <c r="BP189" i="80"/>
  <c r="BJ10" i="46"/>
  <c r="BG769" i="80"/>
  <c r="BF770" i="80"/>
  <c r="BL163" i="80"/>
  <c r="BH164" i="80"/>
  <c r="BQ578" i="80"/>
  <c r="BQ549" i="80"/>
  <c r="BQ551" i="80" s="1"/>
  <c r="BK768" i="80"/>
  <c r="BQ263" i="80"/>
  <c r="BQ265" i="80" s="1"/>
  <c r="BP602" i="80"/>
  <c r="BP195" i="80"/>
  <c r="BP269" i="80"/>
  <c r="BP192" i="80"/>
  <c r="BQ269" i="80"/>
  <c r="BQ192" i="80"/>
  <c r="CR9" i="73"/>
  <c r="CR10" i="73" s="1"/>
  <c r="CS7" i="73"/>
  <c r="BQ601" i="80"/>
  <c r="BQ610" i="80"/>
  <c r="BO265" i="80"/>
  <c r="BO156" i="80" s="1"/>
  <c r="BP263" i="80"/>
  <c r="BP282" i="80"/>
  <c r="BO197" i="80"/>
  <c r="BP555" i="80"/>
  <c r="BP194" i="80"/>
  <c r="BP187" i="80"/>
  <c r="BE150" i="46"/>
  <c r="BG186" i="46"/>
  <c r="BI10" i="46"/>
  <c r="ED41" i="71"/>
  <c r="BP596" i="80"/>
  <c r="BP615" i="80"/>
  <c r="BH161" i="46"/>
  <c r="BL158" i="46"/>
  <c r="BL161" i="46" s="1"/>
  <c r="BP264" i="80"/>
  <c r="BQ281" i="80"/>
  <c r="BQ264" i="80" s="1"/>
  <c r="BF13" i="80"/>
  <c r="BG776" i="80"/>
  <c r="BQ613" i="80"/>
  <c r="BL8" i="80"/>
  <c r="BH8" i="46"/>
  <c r="BH10" i="46" s="1"/>
  <c r="BH10" i="80"/>
  <c r="BP578" i="80"/>
  <c r="BP549" i="80"/>
  <c r="BP551" i="80" s="1"/>
  <c r="BP158" i="80" s="1"/>
  <c r="BQ158" i="80" s="1"/>
  <c r="BQ171" i="80" s="1"/>
  <c r="BP9" i="80" l="1"/>
  <c r="BP9" i="46" s="1"/>
  <c r="BQ9" i="46" s="1"/>
  <c r="BP598" i="80"/>
  <c r="BP159" i="80" s="1"/>
  <c r="BQ159" i="80" s="1"/>
  <c r="BD177" i="100"/>
  <c r="BD24" i="100"/>
  <c r="BD227" i="100"/>
  <c r="BE13" i="100"/>
  <c r="BE101" i="100"/>
  <c r="BL174" i="80"/>
  <c r="BL24" i="73"/>
  <c r="BL164" i="80"/>
  <c r="CD100" i="73" s="1"/>
  <c r="BQ555" i="80"/>
  <c r="BQ194" i="80"/>
  <c r="BQ187" i="80"/>
  <c r="BQ602" i="80"/>
  <c r="BQ195" i="80"/>
  <c r="BQ197" i="80" s="1"/>
  <c r="BP265" i="80"/>
  <c r="BP156" i="80" s="1"/>
  <c r="BQ156" i="80" s="1"/>
  <c r="BL10" i="80"/>
  <c r="BF820" i="80"/>
  <c r="BG820" i="80" s="1"/>
  <c r="BF13" i="46"/>
  <c r="BG13" i="80"/>
  <c r="BE187" i="46"/>
  <c r="CS9" i="73"/>
  <c r="CS10" i="73" s="1"/>
  <c r="CT7" i="73"/>
  <c r="BQ282" i="80"/>
  <c r="BG770" i="80"/>
  <c r="BH776" i="80" s="1"/>
  <c r="BQ615" i="80"/>
  <c r="BQ596" i="80"/>
  <c r="BQ598" i="80" s="1"/>
  <c r="BH186" i="46"/>
  <c r="BP197" i="80"/>
  <c r="BL768" i="80"/>
  <c r="BP230" i="80"/>
  <c r="BP222" i="80" s="1"/>
  <c r="BP226" i="80" s="1"/>
  <c r="BP163" i="80" s="1"/>
  <c r="BM230" i="80"/>
  <c r="BM222" i="80" s="1"/>
  <c r="BO230" i="80"/>
  <c r="BO222" i="80" s="1"/>
  <c r="BO226" i="80" s="1"/>
  <c r="BN230" i="80"/>
  <c r="BN222" i="80" s="1"/>
  <c r="BN226" i="80" s="1"/>
  <c r="BQ9" i="80" l="1"/>
  <c r="BG779" i="80"/>
  <c r="BE143" i="100"/>
  <c r="BE15" i="100"/>
  <c r="BE17" i="100" s="1"/>
  <c r="BE102" i="100"/>
  <c r="BF110" i="100" s="1"/>
  <c r="BD228" i="100"/>
  <c r="BQ168" i="80"/>
  <c r="BF150" i="46"/>
  <c r="BG150" i="46" s="1"/>
  <c r="BG13" i="46"/>
  <c r="BE188" i="46"/>
  <c r="BP8" i="80"/>
  <c r="BQ222" i="80"/>
  <c r="BQ226" i="80" s="1"/>
  <c r="CE85" i="73" s="1"/>
  <c r="BM226" i="80"/>
  <c r="BN163" i="80"/>
  <c r="BN164" i="80" s="1"/>
  <c r="BN8" i="80"/>
  <c r="BH13" i="80"/>
  <c r="CU7" i="73"/>
  <c r="CT9" i="73"/>
  <c r="CT10" i="73" s="1"/>
  <c r="BP164" i="80"/>
  <c r="BQ235" i="80"/>
  <c r="BQ189" i="80"/>
  <c r="BQ228" i="80" s="1"/>
  <c r="BI186" i="46"/>
  <c r="BO163" i="80"/>
  <c r="BO164" i="80" s="1"/>
  <c r="BO8" i="80"/>
  <c r="BM768" i="80"/>
  <c r="BH769" i="80"/>
  <c r="CC47" i="73"/>
  <c r="DC60" i="73"/>
  <c r="CB162" i="80"/>
  <c r="BL175" i="80"/>
  <c r="BE23" i="100" l="1"/>
  <c r="BJ26" i="46"/>
  <c r="BE176" i="100"/>
  <c r="BF246" i="100"/>
  <c r="BF108" i="100"/>
  <c r="BF187" i="46"/>
  <c r="BF188" i="46" s="1"/>
  <c r="BN235" i="80"/>
  <c r="BO235" i="80"/>
  <c r="BP235" i="80"/>
  <c r="BM235" i="80"/>
  <c r="BN10" i="80"/>
  <c r="BP10" i="80"/>
  <c r="BN768" i="80"/>
  <c r="BO10" i="80"/>
  <c r="BM163" i="80"/>
  <c r="BM8" i="80"/>
  <c r="BJ186" i="46"/>
  <c r="BH820" i="80"/>
  <c r="BH13" i="46"/>
  <c r="CB168" i="80"/>
  <c r="CB170" i="80" s="1"/>
  <c r="CB164" i="80"/>
  <c r="BH770" i="80"/>
  <c r="BI776" i="80" s="1"/>
  <c r="BI769" i="80" s="1"/>
  <c r="BP228" i="80"/>
  <c r="BO228" i="80"/>
  <c r="BN228" i="80"/>
  <c r="BM228" i="80"/>
  <c r="CU9" i="73"/>
  <c r="CU10" i="73" s="1"/>
  <c r="CV7" i="73"/>
  <c r="BF13" i="100" l="1"/>
  <c r="BG108" i="100"/>
  <c r="BG110" i="100" s="1"/>
  <c r="BF101" i="100"/>
  <c r="BE177" i="100"/>
  <c r="BE24" i="100"/>
  <c r="BE227" i="100"/>
  <c r="BG187" i="46"/>
  <c r="BG188" i="46" s="1"/>
  <c r="BI770" i="80"/>
  <c r="BJ776" i="80" s="1"/>
  <c r="BJ13" i="80" s="1"/>
  <c r="BH150" i="46"/>
  <c r="BQ8" i="80"/>
  <c r="BM10" i="80"/>
  <c r="BK186" i="46"/>
  <c r="BI13" i="80"/>
  <c r="BQ163" i="80"/>
  <c r="BM164" i="80"/>
  <c r="CV9" i="73"/>
  <c r="CV10" i="73" s="1"/>
  <c r="CW7" i="73"/>
  <c r="BO768" i="80"/>
  <c r="BH187" i="46" l="1"/>
  <c r="BH188" i="46" s="1"/>
  <c r="BG101" i="100"/>
  <c r="BF102" i="100"/>
  <c r="BG246" i="100"/>
  <c r="BE228" i="100"/>
  <c r="BF143" i="100"/>
  <c r="BF15" i="100"/>
  <c r="BF17" i="100" s="1"/>
  <c r="BG13" i="100"/>
  <c r="BL186" i="46"/>
  <c r="BQ10" i="80"/>
  <c r="BQ174" i="80"/>
  <c r="BQ175" i="80" s="1"/>
  <c r="BQ24" i="73"/>
  <c r="BQ164" i="80"/>
  <c r="CE100" i="73" s="1"/>
  <c r="BI820" i="80"/>
  <c r="BI13" i="46"/>
  <c r="BJ820" i="80"/>
  <c r="BJ13" i="46"/>
  <c r="BP768" i="80"/>
  <c r="CW9" i="73"/>
  <c r="CW10" i="73" s="1"/>
  <c r="CX7" i="73"/>
  <c r="BJ769" i="80"/>
  <c r="BL48" i="100" l="1"/>
  <c r="BG15" i="100"/>
  <c r="BG17" i="100" s="1"/>
  <c r="BG23" i="100" s="1"/>
  <c r="BG102" i="100"/>
  <c r="BF23" i="100"/>
  <c r="BK26" i="46"/>
  <c r="BL26" i="46" s="1"/>
  <c r="BG143" i="100"/>
  <c r="BF176" i="100"/>
  <c r="BQ768" i="80"/>
  <c r="BJ150" i="46"/>
  <c r="BJ770" i="80"/>
  <c r="BK776" i="80" s="1"/>
  <c r="BK769" i="80" s="1"/>
  <c r="BI150" i="46"/>
  <c r="BM186" i="46"/>
  <c r="CY7" i="73"/>
  <c r="CX9" i="73"/>
  <c r="CX10" i="73" s="1"/>
  <c r="BG176" i="100" l="1"/>
  <c r="BF177" i="100"/>
  <c r="BH110" i="100"/>
  <c r="BG112" i="100"/>
  <c r="BG227" i="100"/>
  <c r="BG24" i="100"/>
  <c r="BF24" i="100"/>
  <c r="BF228" i="100" s="1"/>
  <c r="BF227" i="100"/>
  <c r="BK48" i="100"/>
  <c r="BK77" i="100" s="1"/>
  <c r="BK79" i="100" s="1"/>
  <c r="BK81" i="100" s="1"/>
  <c r="BK62" i="100" s="1"/>
  <c r="BJ48" i="100"/>
  <c r="BJ77" i="100" s="1"/>
  <c r="BJ79" i="100" s="1"/>
  <c r="BJ81" i="100" s="1"/>
  <c r="BJ62" i="100" s="1"/>
  <c r="BI48" i="100"/>
  <c r="BI77" i="100" s="1"/>
  <c r="BI79" i="100" s="1"/>
  <c r="BI81" i="100" s="1"/>
  <c r="BI62" i="100" s="1"/>
  <c r="BH48" i="100"/>
  <c r="BH77" i="100" s="1"/>
  <c r="BH79" i="100" s="1"/>
  <c r="BH81" i="100" s="1"/>
  <c r="BH62" i="100" s="1"/>
  <c r="BL77" i="100"/>
  <c r="BL769" i="80"/>
  <c r="BK770" i="80"/>
  <c r="DA7" i="73"/>
  <c r="CZ7" i="73"/>
  <c r="CY9" i="73"/>
  <c r="CY10" i="73" s="1"/>
  <c r="BI187" i="46"/>
  <c r="BN186" i="46"/>
  <c r="BK13" i="80"/>
  <c r="BL776" i="80"/>
  <c r="BK74" i="100" l="1"/>
  <c r="BK75" i="100" s="1"/>
  <c r="BK8" i="100"/>
  <c r="BG228" i="100"/>
  <c r="BL33" i="71"/>
  <c r="BL62" i="100"/>
  <c r="BH74" i="100"/>
  <c r="BH75" i="100" s="1"/>
  <c r="BH8" i="100"/>
  <c r="BH246" i="100"/>
  <c r="BH108" i="100"/>
  <c r="BI74" i="100"/>
  <c r="BI75" i="100" s="1"/>
  <c r="BI8" i="100"/>
  <c r="BJ74" i="100"/>
  <c r="BJ75" i="100" s="1"/>
  <c r="BJ8" i="100"/>
  <c r="BG177" i="100"/>
  <c r="CZ9" i="73"/>
  <c r="CZ10" i="73" s="1"/>
  <c r="BL770" i="80"/>
  <c r="BM776" i="80" s="1"/>
  <c r="BO186" i="46"/>
  <c r="DA9" i="73"/>
  <c r="DA10" i="73" s="1"/>
  <c r="DB7" i="73"/>
  <c r="BJ187" i="46"/>
  <c r="BI188" i="46"/>
  <c r="BK820" i="80"/>
  <c r="BL820" i="80" s="1"/>
  <c r="BK13" i="46"/>
  <c r="BL13" i="80"/>
  <c r="BL779" i="80" l="1"/>
  <c r="BJ10" i="100"/>
  <c r="BO8" i="46"/>
  <c r="BO10" i="46" s="1"/>
  <c r="BH13" i="100"/>
  <c r="BH101" i="100"/>
  <c r="BH10" i="100"/>
  <c r="BM8" i="46"/>
  <c r="BM10" i="46" s="1"/>
  <c r="BK10" i="100"/>
  <c r="BI10" i="100"/>
  <c r="BN8" i="46"/>
  <c r="BN10" i="46" s="1"/>
  <c r="BL74" i="100"/>
  <c r="BL8" i="100"/>
  <c r="BP186" i="46"/>
  <c r="DC7" i="73"/>
  <c r="DB9" i="73"/>
  <c r="DB10" i="73" s="1"/>
  <c r="CD47" i="73"/>
  <c r="DD60" i="73"/>
  <c r="BM13" i="80"/>
  <c r="BK150" i="46"/>
  <c r="BL150" i="46" s="1"/>
  <c r="BL13" i="46"/>
  <c r="BJ188" i="46"/>
  <c r="BM769" i="80"/>
  <c r="BL10" i="100" l="1"/>
  <c r="BH102" i="100"/>
  <c r="BI110" i="100" s="1"/>
  <c r="BH143" i="100"/>
  <c r="BH15" i="100"/>
  <c r="BH17" i="100" s="1"/>
  <c r="BL79" i="100"/>
  <c r="BL81" i="100" s="1"/>
  <c r="BL75" i="100"/>
  <c r="BM770" i="80"/>
  <c r="BN776" i="80" s="1"/>
  <c r="BQ186" i="46"/>
  <c r="BK187" i="46"/>
  <c r="BM820" i="80"/>
  <c r="BM13" i="46"/>
  <c r="DC9" i="73"/>
  <c r="DC10" i="73" s="1"/>
  <c r="DD7" i="73"/>
  <c r="BI246" i="100" l="1"/>
  <c r="BI108" i="100"/>
  <c r="BH23" i="100"/>
  <c r="BM26" i="46"/>
  <c r="BH176" i="100"/>
  <c r="BM150" i="46"/>
  <c r="BL187" i="46"/>
  <c r="BK188" i="46"/>
  <c r="BN13" i="80"/>
  <c r="DD9" i="73"/>
  <c r="DD10" i="73" s="1"/>
  <c r="DE7" i="73"/>
  <c r="BN769" i="80"/>
  <c r="BI13" i="100" l="1"/>
  <c r="BN13" i="46" s="1"/>
  <c r="BI101" i="100"/>
  <c r="BH177" i="100"/>
  <c r="BH227" i="100"/>
  <c r="BH24" i="100"/>
  <c r="BM187" i="46"/>
  <c r="BL188" i="46"/>
  <c r="DF7" i="73"/>
  <c r="DE9" i="73"/>
  <c r="DE10" i="73" s="1"/>
  <c r="BN820" i="80"/>
  <c r="BN770" i="80"/>
  <c r="BO776" i="80" s="1"/>
  <c r="J26" i="84"/>
  <c r="K26" i="84"/>
  <c r="L26" i="84"/>
  <c r="I25" i="84"/>
  <c r="L25" i="84"/>
  <c r="K24" i="84"/>
  <c r="I26" i="84"/>
  <c r="I24" i="84"/>
  <c r="J24" i="84"/>
  <c r="BH228" i="100" l="1"/>
  <c r="BI102" i="100"/>
  <c r="BJ110" i="100" s="1"/>
  <c r="BI143" i="100"/>
  <c r="BI15" i="100"/>
  <c r="BI17" i="100" s="1"/>
  <c r="BO13" i="80"/>
  <c r="BN150" i="46"/>
  <c r="BN187" i="46" s="1"/>
  <c r="DG7" i="73"/>
  <c r="DF9" i="73"/>
  <c r="DF10" i="73" s="1"/>
  <c r="BO769" i="80"/>
  <c r="BM188" i="46"/>
  <c r="BI176" i="100" l="1"/>
  <c r="BI23" i="100"/>
  <c r="BN26" i="46"/>
  <c r="BJ246" i="100"/>
  <c r="BJ108" i="100"/>
  <c r="BN188" i="46"/>
  <c r="BO770" i="80"/>
  <c r="BP776" i="80" s="1"/>
  <c r="DG9" i="73"/>
  <c r="DG10" i="73" s="1"/>
  <c r="DH7" i="73"/>
  <c r="BO820" i="80"/>
  <c r="BJ13" i="100" l="1"/>
  <c r="BJ101" i="100"/>
  <c r="BI177" i="100"/>
  <c r="BI24" i="100"/>
  <c r="BI227" i="100"/>
  <c r="DH9" i="73"/>
  <c r="DH10" i="73" s="1"/>
  <c r="DI7" i="73"/>
  <c r="BP13" i="80"/>
  <c r="BQ776" i="80"/>
  <c r="BP769" i="80"/>
  <c r="BI228" i="100" l="1"/>
  <c r="BJ102" i="100"/>
  <c r="BK110" i="100" s="1"/>
  <c r="BJ143" i="100"/>
  <c r="BJ15" i="100"/>
  <c r="BJ17" i="100" s="1"/>
  <c r="BO13" i="46"/>
  <c r="BP820" i="80"/>
  <c r="BQ820" i="80" s="1"/>
  <c r="BQ13" i="80"/>
  <c r="DI9" i="73"/>
  <c r="DI10" i="73" s="1"/>
  <c r="DJ7" i="73"/>
  <c r="BQ769" i="80"/>
  <c r="BQ770" i="80" s="1"/>
  <c r="BQ779" i="80" s="1"/>
  <c r="BP770" i="80"/>
  <c r="BK246" i="100" l="1"/>
  <c r="BK108" i="100"/>
  <c r="BJ23" i="100"/>
  <c r="BO26" i="46"/>
  <c r="BJ176" i="100"/>
  <c r="BO150" i="46"/>
  <c r="BO187" i="46" s="1"/>
  <c r="BO188" i="46" s="1"/>
  <c r="DK7" i="73"/>
  <c r="DJ9" i="73"/>
  <c r="DJ10" i="73" s="1"/>
  <c r="CE47" i="73"/>
  <c r="DE60" i="73"/>
  <c r="BJ24" i="100" l="1"/>
  <c r="BJ227" i="100"/>
  <c r="BK13" i="100"/>
  <c r="BL108" i="100"/>
  <c r="BL110" i="100" s="1"/>
  <c r="BK101" i="100"/>
  <c r="BJ177" i="100"/>
  <c r="DM7" i="73"/>
  <c r="DL7" i="73"/>
  <c r="DK9" i="73"/>
  <c r="DK10" i="73" s="1"/>
  <c r="BK143" i="100" l="1"/>
  <c r="BK15" i="100"/>
  <c r="BK17" i="100" s="1"/>
  <c r="BP13" i="46"/>
  <c r="BL13" i="100"/>
  <c r="BL15" i="100" s="1"/>
  <c r="BL17" i="100" s="1"/>
  <c r="BL23" i="100" s="1"/>
  <c r="BJ228" i="100"/>
  <c r="BL246" i="100"/>
  <c r="BL101" i="100"/>
  <c r="BL102" i="100" s="1"/>
  <c r="BL112" i="100" s="1"/>
  <c r="BK102" i="100"/>
  <c r="DL9" i="73"/>
  <c r="DL10" i="73" s="1"/>
  <c r="DM9" i="73"/>
  <c r="DM10" i="73" s="1"/>
  <c r="DN7" i="73"/>
  <c r="BQ13" i="46" l="1"/>
  <c r="BP150" i="46"/>
  <c r="BK23" i="100"/>
  <c r="BP26" i="46"/>
  <c r="BQ26" i="46" s="1"/>
  <c r="BL143" i="100"/>
  <c r="BK176" i="100"/>
  <c r="BL227" i="100"/>
  <c r="BL24" i="100"/>
  <c r="DN9" i="73"/>
  <c r="DN10" i="73" s="1"/>
  <c r="DO7" i="73"/>
  <c r="BK24" i="100" l="1"/>
  <c r="BK228" i="100" s="1"/>
  <c r="BK227" i="100"/>
  <c r="BQ150" i="46"/>
  <c r="BP187" i="46"/>
  <c r="BL228" i="100"/>
  <c r="BQ33" i="71"/>
  <c r="BL176" i="100"/>
  <c r="BL177" i="100" s="1"/>
  <c r="BK177" i="100"/>
  <c r="DO9" i="73"/>
  <c r="DO10" i="73" s="1"/>
  <c r="BP188" i="46" l="1"/>
  <c r="BQ187" i="46"/>
  <c r="BQ188" i="46" s="1"/>
  <c r="DO12" i="73"/>
  <c r="CI12" i="73"/>
  <c r="CJ12" i="73"/>
  <c r="CK12" i="73"/>
  <c r="BY19" i="73" s="1"/>
  <c r="CL12" i="73"/>
  <c r="CN12" i="73"/>
  <c r="CM12" i="73"/>
  <c r="CO12" i="73"/>
  <c r="CP12" i="73"/>
  <c r="CR12" i="73"/>
  <c r="CQ12" i="73"/>
  <c r="CT12" i="73"/>
  <c r="CS12" i="73"/>
  <c r="CV12" i="73"/>
  <c r="CU12" i="73"/>
  <c r="CW12" i="73"/>
  <c r="DA12" i="73"/>
  <c r="DB12" i="73"/>
  <c r="CX12" i="73"/>
  <c r="CZ12" i="73"/>
  <c r="DC12" i="73"/>
  <c r="CY12" i="73"/>
  <c r="DD12" i="73"/>
  <c r="DE12" i="73"/>
  <c r="DF12" i="73"/>
  <c r="DG12" i="73"/>
  <c r="DM12" i="73"/>
  <c r="DL12" i="73"/>
  <c r="DH12" i="73"/>
  <c r="DJ12" i="73"/>
  <c r="DI12" i="73"/>
  <c r="DN12" i="73"/>
  <c r="DK12" i="73"/>
  <c r="BZ19" i="73" l="1"/>
  <c r="BX19" i="73"/>
  <c r="D68" i="84" l="1"/>
  <c r="D65" i="84"/>
  <c r="D64" i="84"/>
  <c r="D63" i="84"/>
  <c r="D62" i="84"/>
  <c r="D67" i="84" s="1"/>
  <c r="C58" i="84"/>
  <c r="C57" i="84"/>
  <c r="C56" i="84"/>
  <c r="C55" i="84"/>
  <c r="D52" i="84"/>
  <c r="C52" i="84"/>
  <c r="K49" i="84"/>
  <c r="J49" i="84"/>
  <c r="I49" i="84"/>
  <c r="D49" i="84"/>
  <c r="D48" i="84"/>
  <c r="D47" i="84"/>
  <c r="C44" i="84"/>
  <c r="C43" i="84"/>
  <c r="C42" i="84"/>
  <c r="K31" i="84"/>
  <c r="J31" i="84"/>
  <c r="I31" i="84"/>
  <c r="J25" i="84"/>
  <c r="K25" i="84"/>
  <c r="L24" i="84"/>
  <c r="C25" i="84" l="1"/>
  <c r="C24" i="84"/>
  <c r="C23" i="84"/>
  <c r="C22" i="84"/>
  <c r="C21" i="84"/>
  <c r="D20" i="84"/>
  <c r="C20" i="84"/>
  <c r="C19" i="84"/>
  <c r="C18" i="84"/>
  <c r="C17" i="84"/>
  <c r="R16" i="84"/>
  <c r="Q16" i="84"/>
  <c r="P16" i="84"/>
  <c r="O16" i="84"/>
  <c r="C15" i="84"/>
  <c r="R13" i="84"/>
  <c r="Q13" i="84"/>
  <c r="P13" i="84"/>
  <c r="O13" i="84"/>
  <c r="J10" i="84"/>
  <c r="I10" i="84"/>
  <c r="I9" i="84"/>
  <c r="B2" i="84"/>
  <c r="K51" i="84"/>
  <c r="D41" i="84"/>
  <c r="I16" i="84"/>
  <c r="J16" i="84" s="1"/>
  <c r="K16" i="84" s="1"/>
  <c r="L16" i="84" s="1"/>
  <c r="D24" i="84"/>
  <c r="O36" i="84"/>
  <c r="O43" i="84" s="1"/>
  <c r="L10" i="84"/>
  <c r="K10" i="84"/>
  <c r="I51" i="84" l="1"/>
  <c r="J51" i="84"/>
  <c r="R8" i="84"/>
  <c r="O9" i="84"/>
  <c r="P10" i="84"/>
  <c r="O8" i="84"/>
  <c r="R9" i="84"/>
  <c r="Q10" i="84"/>
  <c r="P8" i="84"/>
  <c r="Q9" i="84"/>
  <c r="R10" i="84"/>
  <c r="Q8" i="84"/>
  <c r="P9" i="84"/>
  <c r="O10" i="84"/>
  <c r="O17" i="84"/>
  <c r="D43" i="84"/>
  <c r="Q11" i="84" l="1"/>
  <c r="Q14" i="84" s="1"/>
  <c r="O11" i="84"/>
  <c r="O14" i="84" s="1"/>
  <c r="O18" i="84" s="1"/>
  <c r="R17" i="84"/>
  <c r="P17" i="84"/>
  <c r="P11" i="84"/>
  <c r="P14" i="84" s="1"/>
  <c r="R11" i="84"/>
  <c r="R14" i="84" s="1"/>
  <c r="Q17" i="84"/>
  <c r="Q20" i="84"/>
  <c r="O20" i="84"/>
  <c r="P20" i="84"/>
  <c r="R20" i="84"/>
  <c r="Q18" i="84" l="1"/>
  <c r="P18" i="84"/>
  <c r="R18" i="84"/>
  <c r="D55" i="84"/>
  <c r="K9" i="84"/>
  <c r="K52" i="84"/>
  <c r="K53" i="84" s="1"/>
  <c r="K55" i="84" s="1"/>
  <c r="I52" i="84"/>
  <c r="I53" i="84" s="1"/>
  <c r="I55" i="84" s="1"/>
  <c r="J52" i="84"/>
  <c r="J53" i="84" s="1"/>
  <c r="J55" i="84" s="1"/>
  <c r="D17" i="84" l="1"/>
  <c r="L9" i="84"/>
  <c r="J9" i="84"/>
  <c r="D22" i="84" l="1"/>
  <c r="R59" i="84" l="1"/>
  <c r="Q59" i="84" l="1"/>
  <c r="O27" i="84"/>
  <c r="O42" i="84" s="1"/>
  <c r="O55" i="84"/>
  <c r="O49" i="84" s="1"/>
  <c r="O35" i="84"/>
  <c r="P34" i="84"/>
  <c r="O25" i="84"/>
  <c r="O34" i="84"/>
  <c r="O59" i="84" l="1"/>
  <c r="P59" i="84"/>
  <c r="P27" i="84"/>
  <c r="P42" i="84" s="1"/>
  <c r="O56" i="84"/>
  <c r="O26" i="84"/>
  <c r="O48" i="84" s="1"/>
  <c r="R54" i="84"/>
  <c r="P25" i="84"/>
  <c r="Q54" i="84"/>
  <c r="Q34" i="84"/>
  <c r="O28" i="84" l="1"/>
  <c r="P54" i="84"/>
  <c r="D8" i="84"/>
  <c r="O54" i="84"/>
  <c r="O57" i="84" s="1"/>
  <c r="O37" i="84"/>
  <c r="P36" i="84"/>
  <c r="P43" i="84" s="1"/>
  <c r="Q27" i="84"/>
  <c r="Q42" i="84" s="1"/>
  <c r="P35" i="84"/>
  <c r="P26" i="84"/>
  <c r="P48" i="84" s="1"/>
  <c r="R34" i="84"/>
  <c r="Q25" i="84"/>
  <c r="P28" i="84" l="1"/>
  <c r="P29" i="84" s="1"/>
  <c r="P56" i="84"/>
  <c r="D10" i="84"/>
  <c r="R27" i="84"/>
  <c r="R42" i="84" s="1"/>
  <c r="Q56" i="84"/>
  <c r="Q36" i="84"/>
  <c r="Q43" i="84" s="1"/>
  <c r="Q35" i="84"/>
  <c r="Q26" i="84"/>
  <c r="Q48" i="84" s="1"/>
  <c r="R25" i="84"/>
  <c r="D38" i="84"/>
  <c r="Q28" i="84" l="1"/>
  <c r="Q29" i="84" s="1"/>
  <c r="P55" i="84"/>
  <c r="D9" i="84"/>
  <c r="P37" i="84"/>
  <c r="R56" i="84"/>
  <c r="R36" i="84"/>
  <c r="R43" i="84" s="1"/>
  <c r="R35" i="84"/>
  <c r="R26" i="84"/>
  <c r="R48" i="84" s="1"/>
  <c r="Q37" i="84"/>
  <c r="R37" i="84" l="1"/>
  <c r="R28" i="84"/>
  <c r="R29" i="84" s="1"/>
  <c r="P49" i="84"/>
  <c r="P57" i="84"/>
  <c r="Q55" i="84"/>
  <c r="R55" i="84" l="1"/>
  <c r="Q49" i="84"/>
  <c r="Q57" i="84"/>
  <c r="R49" i="84" l="1"/>
  <c r="R57" i="84"/>
  <c r="D18" i="84" l="1"/>
  <c r="D19" i="84" l="1"/>
  <c r="O61" i="84" l="1"/>
  <c r="R61" i="84" l="1"/>
  <c r="O63" i="84"/>
  <c r="I8" i="84"/>
  <c r="I23" i="84" s="1"/>
  <c r="Q61" i="84"/>
  <c r="L8" i="84" l="1"/>
  <c r="L23" i="84" s="1"/>
  <c r="Q63" i="84"/>
  <c r="K8" i="84"/>
  <c r="K23" i="84" s="1"/>
  <c r="P61" i="84" l="1"/>
  <c r="D7" i="84"/>
  <c r="R63" i="84"/>
  <c r="J8" i="84"/>
  <c r="J23" i="84" s="1"/>
  <c r="D11" i="84" l="1"/>
  <c r="E7" i="84" s="1"/>
  <c r="P63" i="84"/>
  <c r="E10" i="84" l="1"/>
  <c r="E9" i="84"/>
  <c r="E8" i="84"/>
  <c r="E11" i="84" l="1"/>
  <c r="D57" i="84" l="1"/>
  <c r="D21" i="84" l="1"/>
  <c r="D25" i="84" l="1"/>
  <c r="D23" i="84"/>
  <c r="AX79" i="46" l="1"/>
  <c r="AX81" i="46" l="1"/>
  <c r="AX84" i="46" l="1"/>
  <c r="AX85" i="46" l="1"/>
  <c r="AX68" i="46" s="1"/>
  <c r="AW758" i="80" l="1"/>
  <c r="AW760" i="80" s="1"/>
  <c r="AW761" i="80" l="1"/>
  <c r="BB760" i="80"/>
  <c r="AZ760" i="80" l="1"/>
  <c r="AY760" i="80"/>
  <c r="BG760" i="80"/>
  <c r="AX760" i="80"/>
  <c r="BA760" i="80"/>
  <c r="AX761" i="80" l="1"/>
  <c r="AX757" i="80"/>
  <c r="BC760" i="80"/>
  <c r="BF760" i="80"/>
  <c r="BL760" i="80"/>
  <c r="BE760" i="80"/>
  <c r="BD760" i="80"/>
  <c r="AY761" i="80"/>
  <c r="AY757" i="80"/>
  <c r="AY12" i="80" s="1"/>
  <c r="BA757" i="80"/>
  <c r="BA12" i="80" s="1"/>
  <c r="BA761" i="80"/>
  <c r="AZ757" i="80"/>
  <c r="AZ12" i="80" s="1"/>
  <c r="AZ761" i="80"/>
  <c r="AZ12" i="46" l="1"/>
  <c r="AZ15" i="46" s="1"/>
  <c r="AZ27" i="46" s="1"/>
  <c r="AZ15" i="80"/>
  <c r="AZ19" i="80" s="1"/>
  <c r="BF761" i="80"/>
  <c r="BF757" i="80"/>
  <c r="BF12" i="80" s="1"/>
  <c r="BD761" i="80"/>
  <c r="BD757" i="80"/>
  <c r="BD12" i="80" s="1"/>
  <c r="BC761" i="80"/>
  <c r="BC757" i="80"/>
  <c r="BA15" i="80"/>
  <c r="BA19" i="80" s="1"/>
  <c r="BE761" i="80"/>
  <c r="BE757" i="80"/>
  <c r="BE12" i="80" s="1"/>
  <c r="BB757" i="80"/>
  <c r="AX12" i="80"/>
  <c r="AY12" i="46"/>
  <c r="AY15" i="46" s="1"/>
  <c r="AY27" i="46" s="1"/>
  <c r="AY15" i="80"/>
  <c r="AY19" i="80" s="1"/>
  <c r="BH760" i="80"/>
  <c r="BJ760" i="80"/>
  <c r="BK760" i="80"/>
  <c r="BQ760" i="80"/>
  <c r="BI760" i="80"/>
  <c r="AY23" i="80" l="1"/>
  <c r="AY19" i="46"/>
  <c r="AY28" i="46" s="1"/>
  <c r="BE12" i="46"/>
  <c r="BE15" i="46" s="1"/>
  <c r="BE27" i="46" s="1"/>
  <c r="BE15" i="80"/>
  <c r="BE19" i="80" s="1"/>
  <c r="BG757" i="80"/>
  <c r="BC12" i="80"/>
  <c r="BF15" i="80"/>
  <c r="BF19" i="80" s="1"/>
  <c r="AY32" i="46"/>
  <c r="BJ761" i="80"/>
  <c r="BJ757" i="80"/>
  <c r="BJ12" i="80" s="1"/>
  <c r="BB12" i="80"/>
  <c r="BB15" i="80" s="1"/>
  <c r="BB19" i="80" s="1"/>
  <c r="BB23" i="80" s="1"/>
  <c r="AX12" i="46"/>
  <c r="AX15" i="80"/>
  <c r="AX19" i="80" s="1"/>
  <c r="BA23" i="80"/>
  <c r="BA19" i="46"/>
  <c r="BD12" i="46"/>
  <c r="BD15" i="46" s="1"/>
  <c r="BD27" i="46" s="1"/>
  <c r="BD15" i="80"/>
  <c r="BD19" i="80" s="1"/>
  <c r="AZ19" i="46"/>
  <c r="AZ28" i="46" s="1"/>
  <c r="AZ23" i="80"/>
  <c r="BN760" i="80"/>
  <c r="BP760" i="80"/>
  <c r="BO760" i="80"/>
  <c r="BM760" i="80"/>
  <c r="BK757" i="80"/>
  <c r="BK12" i="80" s="1"/>
  <c r="BK761" i="80"/>
  <c r="BI757" i="80"/>
  <c r="BI12" i="80" s="1"/>
  <c r="BI761" i="80"/>
  <c r="BH757" i="80"/>
  <c r="BH761" i="80"/>
  <c r="AZ32" i="46"/>
  <c r="BI12" i="46" l="1"/>
  <c r="BI15" i="46" s="1"/>
  <c r="BI27" i="46" s="1"/>
  <c r="BI15" i="80"/>
  <c r="BI19" i="80" s="1"/>
  <c r="BO757" i="80"/>
  <c r="BO12" i="80" s="1"/>
  <c r="BO761" i="80"/>
  <c r="BA24" i="80"/>
  <c r="BJ12" i="46"/>
  <c r="BJ15" i="46" s="1"/>
  <c r="BJ27" i="46" s="1"/>
  <c r="BJ15" i="80"/>
  <c r="BJ19" i="80" s="1"/>
  <c r="BF23" i="80"/>
  <c r="BF24" i="80" s="1"/>
  <c r="BF19" i="46"/>
  <c r="BE23" i="80"/>
  <c r="BE24" i="80" s="1"/>
  <c r="BE19" i="46"/>
  <c r="BE28" i="46" s="1"/>
  <c r="AX23" i="80"/>
  <c r="AX19" i="46"/>
  <c r="BB19" i="46" s="1"/>
  <c r="BE32" i="46"/>
  <c r="BL757" i="80"/>
  <c r="BH12" i="80"/>
  <c r="BK15" i="80"/>
  <c r="BK19" i="80" s="1"/>
  <c r="BN761" i="80"/>
  <c r="BN757" i="80"/>
  <c r="BN12" i="80" s="1"/>
  <c r="AX15" i="46"/>
  <c r="AX27" i="46" s="1"/>
  <c r="AY33" i="46"/>
  <c r="BG12" i="80"/>
  <c r="BG15" i="80" s="1"/>
  <c r="BG19" i="80" s="1"/>
  <c r="BG23" i="80" s="1"/>
  <c r="BC12" i="46"/>
  <c r="BC15" i="80"/>
  <c r="BC19" i="80" s="1"/>
  <c r="BP761" i="80"/>
  <c r="BP757" i="80"/>
  <c r="BP12" i="80" s="1"/>
  <c r="BD23" i="80"/>
  <c r="BD19" i="46"/>
  <c r="BD28" i="46" s="1"/>
  <c r="BD32" i="46"/>
  <c r="AZ33" i="46"/>
  <c r="BM761" i="80"/>
  <c r="BM757" i="80"/>
  <c r="AZ24" i="80"/>
  <c r="BB865" i="80"/>
  <c r="BB24" i="80"/>
  <c r="AY24" i="80"/>
  <c r="BG865" i="80" l="1"/>
  <c r="BG24" i="80"/>
  <c r="AX28" i="46"/>
  <c r="AX32" i="46"/>
  <c r="BK19" i="46"/>
  <c r="BK23" i="80"/>
  <c r="BK24" i="80" s="1"/>
  <c r="BE33" i="46"/>
  <c r="BJ23" i="80"/>
  <c r="BJ19" i="46"/>
  <c r="BJ28" i="46" s="1"/>
  <c r="BJ32" i="46"/>
  <c r="BO12" i="46"/>
  <c r="BO15" i="46" s="1"/>
  <c r="BO27" i="46" s="1"/>
  <c r="BO15" i="80"/>
  <c r="BO19" i="80" s="1"/>
  <c r="BP15" i="80"/>
  <c r="BP19" i="80" s="1"/>
  <c r="BC19" i="46"/>
  <c r="BG19" i="46" s="1"/>
  <c r="BC23" i="80"/>
  <c r="BN12" i="46"/>
  <c r="BN15" i="46" s="1"/>
  <c r="BN27" i="46" s="1"/>
  <c r="BN15" i="80"/>
  <c r="BN19" i="80" s="1"/>
  <c r="BL12" i="80"/>
  <c r="BL15" i="80" s="1"/>
  <c r="BL19" i="80" s="1"/>
  <c r="BL23" i="80" s="1"/>
  <c r="BH12" i="46"/>
  <c r="BH15" i="80"/>
  <c r="BH19" i="80" s="1"/>
  <c r="BI19" i="46"/>
  <c r="BI28" i="46" s="1"/>
  <c r="BI23" i="80"/>
  <c r="BD33" i="46"/>
  <c r="BB27" i="71"/>
  <c r="CB46" i="73"/>
  <c r="CB84" i="73" s="1"/>
  <c r="CB86" i="73" s="1"/>
  <c r="CB88" i="73" s="1"/>
  <c r="CB91" i="73" s="1"/>
  <c r="BB866" i="80"/>
  <c r="BQ757" i="80"/>
  <c r="BM12" i="80"/>
  <c r="BD24" i="80"/>
  <c r="BC15" i="46"/>
  <c r="BC27" i="46" s="1"/>
  <c r="AX865" i="80"/>
  <c r="AX878" i="80" s="1"/>
  <c r="AX24" i="80"/>
  <c r="AY865" i="80"/>
  <c r="AZ865" i="80"/>
  <c r="AX28" i="80"/>
  <c r="BA865" i="80"/>
  <c r="BI32" i="46"/>
  <c r="BO23" i="80" l="1"/>
  <c r="BO19" i="46"/>
  <c r="BO28" i="46" s="1"/>
  <c r="BI24" i="80"/>
  <c r="BO32" i="46"/>
  <c r="BJ24" i="80"/>
  <c r="BQ12" i="80"/>
  <c r="BQ15" i="80" s="1"/>
  <c r="BQ19" i="80" s="1"/>
  <c r="BQ23" i="80" s="1"/>
  <c r="BM12" i="46"/>
  <c r="BM15" i="80"/>
  <c r="BM19" i="80" s="1"/>
  <c r="BC865" i="80"/>
  <c r="BC24" i="80"/>
  <c r="BD865" i="80"/>
  <c r="BE865" i="80"/>
  <c r="BF865" i="80"/>
  <c r="BL24" i="80"/>
  <c r="BL865" i="80"/>
  <c r="BI33" i="46"/>
  <c r="BN19" i="46"/>
  <c r="BN28" i="46" s="1"/>
  <c r="BN23" i="80"/>
  <c r="BP23" i="80"/>
  <c r="BP19" i="46"/>
  <c r="BJ33" i="46"/>
  <c r="BG866" i="80"/>
  <c r="BG27" i="71"/>
  <c r="CC46" i="73"/>
  <c r="CC84" i="73" s="1"/>
  <c r="CC86" i="73" s="1"/>
  <c r="CC88" i="73" s="1"/>
  <c r="CC91" i="73" s="1"/>
  <c r="AY866" i="80"/>
  <c r="AX866" i="80"/>
  <c r="BA866" i="80"/>
  <c r="AZ866" i="80"/>
  <c r="BH15" i="46"/>
  <c r="BH27" i="46" s="1"/>
  <c r="AX30" i="80"/>
  <c r="AX32" i="80" s="1"/>
  <c r="AX35" i="80" s="1"/>
  <c r="BC28" i="46"/>
  <c r="BC32" i="46"/>
  <c r="BH19" i="46"/>
  <c r="BL19" i="46" s="1"/>
  <c r="BH23" i="80"/>
  <c r="BN32" i="46"/>
  <c r="AZ247" i="46"/>
  <c r="AX33" i="46"/>
  <c r="AX247" i="46"/>
  <c r="AX260" i="46" s="1"/>
  <c r="DP28" i="71" s="1"/>
  <c r="AX37" i="46"/>
  <c r="AY247" i="46"/>
  <c r="AX39" i="46" l="1"/>
  <c r="AX152" i="46" s="1"/>
  <c r="AX248" i="46"/>
  <c r="AZ248" i="46"/>
  <c r="AY248" i="46"/>
  <c r="BH24" i="80"/>
  <c r="BH865" i="80"/>
  <c r="BI865" i="80"/>
  <c r="BJ865" i="80"/>
  <c r="BK865" i="80"/>
  <c r="BC33" i="46"/>
  <c r="BH28" i="46"/>
  <c r="BH32" i="46"/>
  <c r="BM23" i="80"/>
  <c r="BM19" i="46"/>
  <c r="BQ19" i="46" s="1"/>
  <c r="BO24" i="80"/>
  <c r="BP24" i="80"/>
  <c r="BL27" i="71"/>
  <c r="CD46" i="73"/>
  <c r="BL866" i="80"/>
  <c r="BM15" i="46"/>
  <c r="BM27" i="46" s="1"/>
  <c r="AX819" i="80"/>
  <c r="AX37" i="80"/>
  <c r="AX42" i="80"/>
  <c r="BN33" i="46"/>
  <c r="AX796" i="80"/>
  <c r="BN24" i="80"/>
  <c r="BC866" i="80"/>
  <c r="BD866" i="80"/>
  <c r="BE866" i="80"/>
  <c r="BF866" i="80"/>
  <c r="BQ865" i="80"/>
  <c r="BQ24" i="80"/>
  <c r="BO33" i="46"/>
  <c r="AX41" i="46" l="1"/>
  <c r="AX44" i="46" s="1"/>
  <c r="AX46" i="46" s="1"/>
  <c r="BM32" i="46"/>
  <c r="BM28" i="46"/>
  <c r="BQ866" i="80"/>
  <c r="CE46" i="73"/>
  <c r="BQ27" i="71"/>
  <c r="BM865" i="80"/>
  <c r="BM24" i="80"/>
  <c r="BP866" i="80" s="1"/>
  <c r="BN865" i="80"/>
  <c r="BO865" i="80"/>
  <c r="BP865" i="80"/>
  <c r="AX43" i="80"/>
  <c r="AX868" i="80"/>
  <c r="AX864" i="80"/>
  <c r="AX30" i="51"/>
  <c r="AX32" i="51" s="1"/>
  <c r="AX35" i="51" s="1"/>
  <c r="AX115" i="46"/>
  <c r="BH33" i="46"/>
  <c r="AX856" i="80"/>
  <c r="CD84" i="73"/>
  <c r="CD86" i="73" s="1"/>
  <c r="CD88" i="73" s="1"/>
  <c r="CD91" i="73" s="1"/>
  <c r="BH866" i="80"/>
  <c r="BI866" i="80"/>
  <c r="BJ866" i="80"/>
  <c r="BK866" i="80"/>
  <c r="AX217" i="46" l="1"/>
  <c r="AX149" i="46"/>
  <c r="AX52" i="46"/>
  <c r="AX54" i="51"/>
  <c r="AX37" i="51"/>
  <c r="AX43" i="51" s="1"/>
  <c r="AX82" i="46" s="1"/>
  <c r="AX42" i="51"/>
  <c r="BM866" i="80"/>
  <c r="BN866" i="80"/>
  <c r="BO866" i="80"/>
  <c r="AX246" i="46"/>
  <c r="AX53" i="46"/>
  <c r="AX250" i="46"/>
  <c r="AX44" i="80"/>
  <c r="AX78" i="46"/>
  <c r="CR46" i="73"/>
  <c r="CK51" i="73" s="1"/>
  <c r="CE84" i="73"/>
  <c r="CE86" i="73" s="1"/>
  <c r="CE88" i="73" s="1"/>
  <c r="CE91" i="73" s="1"/>
  <c r="CK50" i="73"/>
  <c r="CR45" i="73"/>
  <c r="CR50" i="73" s="1"/>
  <c r="AX220" i="46"/>
  <c r="AX877" i="80"/>
  <c r="BM33" i="46"/>
  <c r="CR51" i="73" l="1"/>
  <c r="CR52" i="73" s="1"/>
  <c r="CR72" i="73"/>
  <c r="CS73" i="73" s="1"/>
  <c r="CT74" i="73" s="1"/>
  <c r="CU75" i="73" s="1"/>
  <c r="CV76" i="73" s="1"/>
  <c r="CW77" i="73" s="1"/>
  <c r="CX78" i="73" s="1"/>
  <c r="CY79" i="73" s="1"/>
  <c r="CZ80" i="73" s="1"/>
  <c r="DA81" i="73" s="1"/>
  <c r="DB82" i="73" s="1"/>
  <c r="DC83" i="73" s="1"/>
  <c r="DD84" i="73" s="1"/>
  <c r="CR83" i="73"/>
  <c r="CS84" i="73" s="1"/>
  <c r="CR65" i="73"/>
  <c r="CS66" i="73" s="1"/>
  <c r="CT67" i="73" s="1"/>
  <c r="CU68" i="73" s="1"/>
  <c r="CV69" i="73" s="1"/>
  <c r="CW70" i="73" s="1"/>
  <c r="CX71" i="73" s="1"/>
  <c r="CY72" i="73" s="1"/>
  <c r="CZ73" i="73" s="1"/>
  <c r="DA74" i="73" s="1"/>
  <c r="DB75" i="73" s="1"/>
  <c r="DC76" i="73" s="1"/>
  <c r="DD77" i="73" s="1"/>
  <c r="DE78" i="73" s="1"/>
  <c r="DF79" i="73" s="1"/>
  <c r="DG80" i="73" s="1"/>
  <c r="DH81" i="73" s="1"/>
  <c r="DI82" i="73" s="1"/>
  <c r="DJ83" i="73" s="1"/>
  <c r="DK84" i="73" s="1"/>
  <c r="CR71" i="73"/>
  <c r="CS72" i="73" s="1"/>
  <c r="CT73" i="73" s="1"/>
  <c r="CU74" i="73" s="1"/>
  <c r="CV75" i="73" s="1"/>
  <c r="CW76" i="73" s="1"/>
  <c r="CX77" i="73" s="1"/>
  <c r="CY78" i="73" s="1"/>
  <c r="CZ79" i="73" s="1"/>
  <c r="DA80" i="73" s="1"/>
  <c r="DB81" i="73" s="1"/>
  <c r="DC82" i="73" s="1"/>
  <c r="DD83" i="73" s="1"/>
  <c r="DE84" i="73" s="1"/>
  <c r="CR69" i="73"/>
  <c r="CS70" i="73" s="1"/>
  <c r="CT71" i="73" s="1"/>
  <c r="CU72" i="73" s="1"/>
  <c r="CV73" i="73" s="1"/>
  <c r="CW74" i="73" s="1"/>
  <c r="CX75" i="73" s="1"/>
  <c r="CY76" i="73" s="1"/>
  <c r="CZ77" i="73" s="1"/>
  <c r="DA78" i="73" s="1"/>
  <c r="DB79" i="73" s="1"/>
  <c r="DC80" i="73" s="1"/>
  <c r="DD81" i="73" s="1"/>
  <c r="DE82" i="73" s="1"/>
  <c r="DF83" i="73" s="1"/>
  <c r="DG84" i="73" s="1"/>
  <c r="CR74" i="73"/>
  <c r="CS75" i="73" s="1"/>
  <c r="CT76" i="73" s="1"/>
  <c r="CU77" i="73" s="1"/>
  <c r="CV78" i="73" s="1"/>
  <c r="CW79" i="73" s="1"/>
  <c r="CX80" i="73" s="1"/>
  <c r="CY81" i="73" s="1"/>
  <c r="CZ82" i="73" s="1"/>
  <c r="DA83" i="73" s="1"/>
  <c r="DB84" i="73" s="1"/>
  <c r="CR70" i="73"/>
  <c r="CS71" i="73" s="1"/>
  <c r="CT72" i="73" s="1"/>
  <c r="CU73" i="73" s="1"/>
  <c r="CV74" i="73" s="1"/>
  <c r="CW75" i="73" s="1"/>
  <c r="CX76" i="73" s="1"/>
  <c r="CY77" i="73" s="1"/>
  <c r="CZ78" i="73" s="1"/>
  <c r="DA79" i="73" s="1"/>
  <c r="DB80" i="73" s="1"/>
  <c r="DC81" i="73" s="1"/>
  <c r="DD82" i="73" s="1"/>
  <c r="DE83" i="73" s="1"/>
  <c r="DF84" i="73" s="1"/>
  <c r="CR64" i="73"/>
  <c r="CS65" i="73" s="1"/>
  <c r="CT66" i="73" s="1"/>
  <c r="CU67" i="73" s="1"/>
  <c r="CV68" i="73" s="1"/>
  <c r="CW69" i="73" s="1"/>
  <c r="CX70" i="73" s="1"/>
  <c r="CY71" i="73" s="1"/>
  <c r="CZ72" i="73" s="1"/>
  <c r="DA73" i="73" s="1"/>
  <c r="DB74" i="73" s="1"/>
  <c r="DC75" i="73" s="1"/>
  <c r="DD76" i="73" s="1"/>
  <c r="DE77" i="73" s="1"/>
  <c r="DF78" i="73" s="1"/>
  <c r="DG79" i="73" s="1"/>
  <c r="DH80" i="73" s="1"/>
  <c r="DI81" i="73" s="1"/>
  <c r="DJ82" i="73" s="1"/>
  <c r="DK83" i="73" s="1"/>
  <c r="DL84" i="73" s="1"/>
  <c r="CR73" i="73"/>
  <c r="CS74" i="73" s="1"/>
  <c r="CT75" i="73" s="1"/>
  <c r="CU76" i="73" s="1"/>
  <c r="CV77" i="73" s="1"/>
  <c r="CW78" i="73" s="1"/>
  <c r="CX79" i="73" s="1"/>
  <c r="CY80" i="73" s="1"/>
  <c r="CZ81" i="73" s="1"/>
  <c r="DA82" i="73" s="1"/>
  <c r="DB83" i="73" s="1"/>
  <c r="DC84" i="73" s="1"/>
  <c r="CR78" i="73"/>
  <c r="CS79" i="73" s="1"/>
  <c r="CT80" i="73" s="1"/>
  <c r="CU81" i="73" s="1"/>
  <c r="CV82" i="73" s="1"/>
  <c r="CW83" i="73" s="1"/>
  <c r="CX84" i="73" s="1"/>
  <c r="CR68" i="73"/>
  <c r="CS69" i="73" s="1"/>
  <c r="CT70" i="73" s="1"/>
  <c r="CU71" i="73" s="1"/>
  <c r="CV72" i="73" s="1"/>
  <c r="CW73" i="73" s="1"/>
  <c r="CX74" i="73" s="1"/>
  <c r="CY75" i="73" s="1"/>
  <c r="CZ76" i="73" s="1"/>
  <c r="DA77" i="73" s="1"/>
  <c r="DB78" i="73" s="1"/>
  <c r="DC79" i="73" s="1"/>
  <c r="DD80" i="73" s="1"/>
  <c r="DE81" i="73" s="1"/>
  <c r="DF82" i="73" s="1"/>
  <c r="DG83" i="73" s="1"/>
  <c r="DH84" i="73" s="1"/>
  <c r="CR84" i="73"/>
  <c r="CR82" i="73"/>
  <c r="CS83" i="73" s="1"/>
  <c r="CT84" i="73" s="1"/>
  <c r="CR66" i="73"/>
  <c r="CS67" i="73" s="1"/>
  <c r="CT68" i="73" s="1"/>
  <c r="CU69" i="73" s="1"/>
  <c r="CV70" i="73" s="1"/>
  <c r="CW71" i="73" s="1"/>
  <c r="CX72" i="73" s="1"/>
  <c r="CY73" i="73" s="1"/>
  <c r="CZ74" i="73" s="1"/>
  <c r="DA75" i="73" s="1"/>
  <c r="DB76" i="73" s="1"/>
  <c r="DC77" i="73" s="1"/>
  <c r="DD78" i="73" s="1"/>
  <c r="DE79" i="73" s="1"/>
  <c r="DF80" i="73" s="1"/>
  <c r="DG81" i="73" s="1"/>
  <c r="DH82" i="73" s="1"/>
  <c r="DI83" i="73" s="1"/>
  <c r="DJ84" i="73" s="1"/>
  <c r="CR75" i="73"/>
  <c r="CS76" i="73" s="1"/>
  <c r="CT77" i="73" s="1"/>
  <c r="CU78" i="73" s="1"/>
  <c r="CV79" i="73" s="1"/>
  <c r="CW80" i="73" s="1"/>
  <c r="CX81" i="73" s="1"/>
  <c r="CY82" i="73" s="1"/>
  <c r="CZ83" i="73" s="1"/>
  <c r="DA84" i="73" s="1"/>
  <c r="CR79" i="73"/>
  <c r="CS80" i="73" s="1"/>
  <c r="CT81" i="73" s="1"/>
  <c r="CU82" i="73" s="1"/>
  <c r="CV83" i="73" s="1"/>
  <c r="CW84" i="73" s="1"/>
  <c r="CR67" i="73"/>
  <c r="CS68" i="73" s="1"/>
  <c r="CT69" i="73" s="1"/>
  <c r="CU70" i="73" s="1"/>
  <c r="CV71" i="73" s="1"/>
  <c r="CW72" i="73" s="1"/>
  <c r="CX73" i="73" s="1"/>
  <c r="CY74" i="73" s="1"/>
  <c r="CZ75" i="73" s="1"/>
  <c r="DA76" i="73" s="1"/>
  <c r="DB77" i="73" s="1"/>
  <c r="DC78" i="73" s="1"/>
  <c r="DD79" i="73" s="1"/>
  <c r="DE80" i="73" s="1"/>
  <c r="DF81" i="73" s="1"/>
  <c r="DG82" i="73" s="1"/>
  <c r="DH83" i="73" s="1"/>
  <c r="DI84" i="73" s="1"/>
  <c r="CR81" i="73"/>
  <c r="CS82" i="73" s="1"/>
  <c r="CT83" i="73" s="1"/>
  <c r="CU84" i="73" s="1"/>
  <c r="CR77" i="73"/>
  <c r="CS78" i="73" s="1"/>
  <c r="CT79" i="73" s="1"/>
  <c r="CU80" i="73" s="1"/>
  <c r="CV81" i="73" s="1"/>
  <c r="CW82" i="73" s="1"/>
  <c r="CX83" i="73" s="1"/>
  <c r="CY84" i="73" s="1"/>
  <c r="CL64" i="73"/>
  <c r="CL65" i="73" s="1"/>
  <c r="CL66" i="73" s="1"/>
  <c r="CL67" i="73" s="1"/>
  <c r="CL68" i="73" s="1"/>
  <c r="CL69" i="73" s="1"/>
  <c r="CL70" i="73" s="1"/>
  <c r="CL71" i="73" s="1"/>
  <c r="CL72" i="73" s="1"/>
  <c r="CL73" i="73" s="1"/>
  <c r="CL74" i="73" s="1"/>
  <c r="CL75" i="73" s="1"/>
  <c r="CL76" i="73" s="1"/>
  <c r="CL77" i="73" s="1"/>
  <c r="CL78" i="73" s="1"/>
  <c r="CL79" i="73" s="1"/>
  <c r="CL80" i="73" s="1"/>
  <c r="CL81" i="73" s="1"/>
  <c r="CL82" i="73" s="1"/>
  <c r="CL83" i="73" s="1"/>
  <c r="CL84" i="73" s="1"/>
  <c r="CR80" i="73"/>
  <c r="CS81" i="73" s="1"/>
  <c r="CT82" i="73" s="1"/>
  <c r="CU83" i="73" s="1"/>
  <c r="CV84" i="73" s="1"/>
  <c r="CR76" i="73"/>
  <c r="CS77" i="73" s="1"/>
  <c r="CT78" i="73" s="1"/>
  <c r="CU79" i="73" s="1"/>
  <c r="CV80" i="73" s="1"/>
  <c r="CW81" i="73" s="1"/>
  <c r="CX82" i="73" s="1"/>
  <c r="CY83" i="73" s="1"/>
  <c r="CZ84" i="73" s="1"/>
  <c r="AX238" i="46"/>
  <c r="CQ64" i="73"/>
  <c r="DM64" i="73" s="1"/>
  <c r="CQ74" i="73"/>
  <c r="CQ70" i="73"/>
  <c r="CQ72" i="73"/>
  <c r="CQ78" i="73"/>
  <c r="CQ66" i="73"/>
  <c r="CR44" i="73"/>
  <c r="CQ76" i="73"/>
  <c r="CQ82" i="73"/>
  <c r="CQ65" i="73"/>
  <c r="CQ84" i="73"/>
  <c r="CQ81" i="73"/>
  <c r="CQ68" i="73"/>
  <c r="CQ67" i="73"/>
  <c r="CQ75" i="73"/>
  <c r="CQ83" i="73"/>
  <c r="CQ73" i="73"/>
  <c r="CQ80" i="73"/>
  <c r="CQ71" i="73"/>
  <c r="CQ69" i="73"/>
  <c r="CQ79" i="73"/>
  <c r="CQ77" i="73"/>
  <c r="AX54" i="46"/>
  <c r="AX67" i="46"/>
  <c r="AX86" i="46"/>
  <c r="AX259" i="46"/>
  <c r="DP27" i="71" s="1"/>
  <c r="DM77" i="73" l="1"/>
  <c r="CK76" i="73" s="1"/>
  <c r="CM76" i="73" s="1"/>
  <c r="CN76" i="73" s="1"/>
  <c r="DM80" i="73"/>
  <c r="CK79" i="73" s="1"/>
  <c r="CM79" i="73" s="1"/>
  <c r="CN79" i="73" s="1"/>
  <c r="DM67" i="73"/>
  <c r="CK66" i="73" s="1"/>
  <c r="CM66" i="73" s="1"/>
  <c r="CN66" i="73" s="1"/>
  <c r="DM65" i="73"/>
  <c r="CK64" i="73" s="1"/>
  <c r="CM64" i="73" s="1"/>
  <c r="CN64" i="73" s="1"/>
  <c r="DM66" i="73"/>
  <c r="CK65" i="73" s="1"/>
  <c r="CM65" i="73" s="1"/>
  <c r="CN65" i="73" s="1"/>
  <c r="DM74" i="73"/>
  <c r="CK73" i="73" s="1"/>
  <c r="CM73" i="73" s="1"/>
  <c r="CN73" i="73" s="1"/>
  <c r="DM79" i="73"/>
  <c r="CK78" i="73" s="1"/>
  <c r="CM78" i="73" s="1"/>
  <c r="CN78" i="73" s="1"/>
  <c r="DM73" i="73"/>
  <c r="CK72" i="73" s="1"/>
  <c r="CM72" i="73" s="1"/>
  <c r="CN72" i="73" s="1"/>
  <c r="DM68" i="73"/>
  <c r="CK67" i="73" s="1"/>
  <c r="CM67" i="73" s="1"/>
  <c r="CN67" i="73" s="1"/>
  <c r="CL85" i="73"/>
  <c r="CM84" i="73"/>
  <c r="CN84" i="73" s="1"/>
  <c r="DM82" i="73"/>
  <c r="CK81" i="73" s="1"/>
  <c r="CM81" i="73" s="1"/>
  <c r="CN81" i="73" s="1"/>
  <c r="DM78" i="73"/>
  <c r="CK77" i="73" s="1"/>
  <c r="CM77" i="73" s="1"/>
  <c r="CN77" i="73" s="1"/>
  <c r="DM69" i="73"/>
  <c r="CK68" i="73" s="1"/>
  <c r="CM68" i="73" s="1"/>
  <c r="CN68" i="73" s="1"/>
  <c r="DM83" i="73"/>
  <c r="CK82" i="73" s="1"/>
  <c r="CM82" i="73" s="1"/>
  <c r="CN82" i="73" s="1"/>
  <c r="DM81" i="73"/>
  <c r="CK80" i="73" s="1"/>
  <c r="CM80" i="73" s="1"/>
  <c r="CN80" i="73" s="1"/>
  <c r="DM76" i="73"/>
  <c r="CK75" i="73" s="1"/>
  <c r="CM75" i="73" s="1"/>
  <c r="CN75" i="73" s="1"/>
  <c r="DM72" i="73"/>
  <c r="CK71" i="73" s="1"/>
  <c r="CM71" i="73" s="1"/>
  <c r="CN71" i="73" s="1"/>
  <c r="DM71" i="73"/>
  <c r="CK70" i="73" s="1"/>
  <c r="CM70" i="73" s="1"/>
  <c r="CN70" i="73" s="1"/>
  <c r="DM75" i="73"/>
  <c r="CK74" i="73" s="1"/>
  <c r="CM74" i="73" s="1"/>
  <c r="CN74" i="73" s="1"/>
  <c r="DM84" i="73"/>
  <c r="CK83" i="73" s="1"/>
  <c r="CM83" i="73" s="1"/>
  <c r="CN83" i="73" s="1"/>
  <c r="DM70" i="73"/>
  <c r="CK69" i="73" s="1"/>
  <c r="CM69" i="73" s="1"/>
  <c r="CN69" i="73" s="1"/>
  <c r="DP16" i="71"/>
  <c r="CM85" i="73" l="1"/>
  <c r="CN85" i="73" s="1"/>
  <c r="CL86" i="73"/>
  <c r="CM86" i="73" l="1"/>
  <c r="CN86" i="73" s="1"/>
  <c r="CL87" i="73"/>
  <c r="CM87" i="73" l="1"/>
  <c r="CN87" i="73" s="1"/>
  <c r="CL88" i="73"/>
  <c r="CL89" i="73" l="1"/>
  <c r="CM88" i="73"/>
  <c r="CN88" i="73" s="1"/>
  <c r="CL90" i="73" l="1"/>
  <c r="CM89" i="73"/>
  <c r="CN89" i="73" s="1"/>
  <c r="CM90" i="73" l="1"/>
  <c r="CN90" i="73" s="1"/>
  <c r="CL91" i="73"/>
  <c r="CL92" i="73" l="1"/>
  <c r="CM91" i="73"/>
  <c r="CN91" i="73" s="1"/>
  <c r="CL93" i="73" l="1"/>
  <c r="CM93" i="73" s="1"/>
  <c r="CN93" i="73" s="1"/>
  <c r="CM92" i="73"/>
  <c r="CN92" i="73" s="1"/>
  <c r="CN94" i="73" l="1"/>
  <c r="CK54" i="73" s="1"/>
  <c r="CR40" i="73" l="1"/>
  <c r="CE65" i="73"/>
  <c r="AW141" i="77" l="1"/>
  <c r="AV142" i="77"/>
  <c r="AW142" i="77"/>
  <c r="AW143" i="77" s="1"/>
  <c r="AW57" i="77" s="1"/>
  <c r="BA142" i="77"/>
  <c r="BA140" i="77" s="1"/>
  <c r="AV143" i="77"/>
  <c r="AV57" i="77" s="1"/>
  <c r="AW57" i="73"/>
  <c r="BB140" i="77" l="1"/>
  <c r="BA13" i="77"/>
  <c r="BF142" i="77"/>
  <c r="BB142" i="77"/>
  <c r="BB143" i="77" s="1"/>
  <c r="BF140" i="77" l="1"/>
  <c r="BG142" i="77"/>
  <c r="BG143" i="77" s="1"/>
  <c r="BK142" i="77"/>
  <c r="BA16" i="77"/>
  <c r="BA18" i="77" s="1"/>
  <c r="BB13" i="77"/>
  <c r="BB16" i="77" s="1"/>
  <c r="BB18" i="77" s="1"/>
  <c r="BB24" i="77" s="1"/>
  <c r="BA12" i="46"/>
  <c r="BA24" i="77" l="1"/>
  <c r="BA22" i="46"/>
  <c r="BB22" i="46" s="1"/>
  <c r="BK140" i="77"/>
  <c r="BL142" i="77"/>
  <c r="BL143" i="77" s="1"/>
  <c r="BP142" i="77"/>
  <c r="BA15" i="46"/>
  <c r="BB12" i="46"/>
  <c r="BB15" i="46" s="1"/>
  <c r="BB25" i="77"/>
  <c r="BB238" i="77"/>
  <c r="BF13" i="77"/>
  <c r="BG140" i="77"/>
  <c r="BF16" i="77" l="1"/>
  <c r="BF18" i="77" s="1"/>
  <c r="BG13" i="77"/>
  <c r="BG16" i="77" s="1"/>
  <c r="BG18" i="77" s="1"/>
  <c r="BG24" i="77" s="1"/>
  <c r="BF12" i="46"/>
  <c r="BL140" i="77"/>
  <c r="BK13" i="77"/>
  <c r="BB239" i="77"/>
  <c r="BB30" i="71"/>
  <c r="BP140" i="77"/>
  <c r="BQ142" i="77"/>
  <c r="BQ143" i="77" s="1"/>
  <c r="BA25" i="77"/>
  <c r="BC238" i="77"/>
  <c r="BD238" i="77"/>
  <c r="BE238" i="77"/>
  <c r="BA238" i="77"/>
  <c r="BG12" i="46" l="1"/>
  <c r="BG15" i="46" s="1"/>
  <c r="BF15" i="46"/>
  <c r="BA239" i="77"/>
  <c r="BE239" i="77"/>
  <c r="BC239" i="77"/>
  <c r="BD239" i="77"/>
  <c r="BG25" i="77"/>
  <c r="BG238" i="77"/>
  <c r="BK16" i="77"/>
  <c r="BK18" i="77" s="1"/>
  <c r="BL13" i="77"/>
  <c r="BL16" i="77" s="1"/>
  <c r="BL18" i="77" s="1"/>
  <c r="BL24" i="77" s="1"/>
  <c r="BK12" i="46"/>
  <c r="BF24" i="77"/>
  <c r="BF22" i="46"/>
  <c r="BG22" i="46" s="1"/>
  <c r="BP13" i="77"/>
  <c r="BQ140" i="77"/>
  <c r="BF25" i="77" l="1"/>
  <c r="BF238" i="77"/>
  <c r="BJ238" i="77"/>
  <c r="BH238" i="77"/>
  <c r="BI238" i="77"/>
  <c r="BG239" i="77"/>
  <c r="BG30" i="71"/>
  <c r="BK15" i="46"/>
  <c r="BL12" i="46"/>
  <c r="BL15" i="46" s="1"/>
  <c r="BK24" i="77"/>
  <c r="BK22" i="46"/>
  <c r="BL22" i="46" s="1"/>
  <c r="BP16" i="77"/>
  <c r="BP18" i="77" s="1"/>
  <c r="BQ13" i="77"/>
  <c r="BQ16" i="77" s="1"/>
  <c r="BQ18" i="77" s="1"/>
  <c r="BQ24" i="77" s="1"/>
  <c r="BP12" i="46"/>
  <c r="BL25" i="77"/>
  <c r="BL238" i="77"/>
  <c r="BI239" i="77" l="1"/>
  <c r="BF239" i="77"/>
  <c r="BJ239" i="77"/>
  <c r="BH239" i="77"/>
  <c r="BQ12" i="46"/>
  <c r="BQ15" i="46" s="1"/>
  <c r="BP15" i="46"/>
  <c r="BQ25" i="77"/>
  <c r="BQ238" i="77"/>
  <c r="BL239" i="77"/>
  <c r="BL30" i="71"/>
  <c r="BP24" i="77"/>
  <c r="BP22" i="46"/>
  <c r="BQ22" i="46" s="1"/>
  <c r="BK25" i="77"/>
  <c r="BN238" i="77"/>
  <c r="BK238" i="77"/>
  <c r="BO238" i="77"/>
  <c r="BM238" i="77"/>
  <c r="BP25" i="77" l="1"/>
  <c r="BP239" i="77" s="1"/>
  <c r="BP238" i="77"/>
  <c r="BM239" i="77"/>
  <c r="BN239" i="77"/>
  <c r="BK239" i="77"/>
  <c r="BO239" i="77"/>
  <c r="BQ239" i="77"/>
  <c r="BQ30" i="71"/>
  <c r="AX156" i="46" l="1"/>
  <c r="AX171" i="46" s="1"/>
  <c r="AX174" i="46" s="1"/>
  <c r="AX208" i="46"/>
  <c r="AX210" i="46" s="1"/>
  <c r="AX175" i="46" l="1"/>
  <c r="AX199" i="46"/>
  <c r="DP36" i="71"/>
  <c r="AX230" i="46" l="1"/>
  <c r="AX203" i="46"/>
  <c r="AX212" i="46" s="1"/>
  <c r="AX222" i="46" s="1"/>
  <c r="AY173" i="46"/>
  <c r="AX179" i="46"/>
  <c r="AX228" i="46" l="1"/>
  <c r="DP9" i="71" s="1"/>
  <c r="AX184" i="46"/>
  <c r="AX196" i="46" s="1"/>
  <c r="AX224" i="46" s="1"/>
  <c r="DP11" i="71"/>
  <c r="AX232" i="46"/>
  <c r="AY106" i="46" l="1"/>
  <c r="AY109" i="46" s="1"/>
  <c r="AY35" i="46" s="1"/>
  <c r="AY37" i="46" s="1"/>
  <c r="AX130" i="46"/>
  <c r="AX256" i="46"/>
  <c r="DP24" i="71" s="1"/>
  <c r="AX241" i="46"/>
  <c r="AX242" i="46" s="1"/>
  <c r="AX255" i="46"/>
  <c r="DP23" i="71" s="1"/>
  <c r="AY249" i="46" l="1"/>
  <c r="AY260" i="46" s="1"/>
  <c r="DQ28" i="71" s="1"/>
  <c r="AX233" i="46"/>
  <c r="AX254" i="46"/>
  <c r="DP22" i="71" s="1"/>
  <c r="AX239" i="46"/>
  <c r="AX253" i="46"/>
  <c r="DP21" i="71" s="1"/>
  <c r="AX236" i="46"/>
  <c r="AT230" i="100" l="1"/>
  <c r="AU230" i="100"/>
  <c r="AV230" i="100"/>
  <c r="AY230" i="100"/>
  <c r="AX230" i="100"/>
  <c r="BA230" i="100"/>
  <c r="AZ230" i="100"/>
  <c r="BF230" i="100"/>
  <c r="BE230" i="100"/>
  <c r="BD230" i="100"/>
  <c r="BC230" i="100"/>
  <c r="BB57" i="100"/>
  <c r="BG91" i="73"/>
  <c r="BL57" i="100"/>
  <c r="BQ91" i="73"/>
  <c r="BH230" i="100"/>
  <c r="BI230" i="100"/>
  <c r="BJ230" i="100"/>
  <c r="BK230" i="100"/>
  <c r="BB91" i="73"/>
  <c r="AW57" i="100"/>
  <c r="AT145" i="100"/>
  <c r="AU145" i="100"/>
  <c r="AV145" i="100"/>
  <c r="AZ145" i="100"/>
  <c r="BA145" i="100"/>
  <c r="AY145" i="100"/>
  <c r="AX145" i="100"/>
  <c r="AX163" i="100"/>
  <c r="BB163" i="100"/>
  <c r="BH163" i="100"/>
  <c r="BL163" i="100"/>
  <c r="BL91" i="73"/>
  <c r="BG57" i="100"/>
  <c r="BG163" i="100"/>
  <c r="BC163" i="100"/>
  <c r="BB133" i="100"/>
  <c r="BD54" i="100"/>
  <c r="AV208" i="100"/>
  <c r="AT163" i="100"/>
  <c r="AU54" i="100"/>
  <c r="AV188" i="100"/>
  <c r="AW162" i="100"/>
  <c r="AX39" i="100"/>
  <c r="BB39" i="100"/>
  <c r="AW196" i="100"/>
  <c r="AS236" i="100"/>
  <c r="AS222" i="100"/>
  <c r="AS213" i="100"/>
  <c r="AS234" i="100"/>
  <c r="AS235" i="100"/>
  <c r="AX128" i="46"/>
  <c r="AU235" i="100"/>
  <c r="AU222" i="100"/>
  <c r="AZ128" i="46"/>
  <c r="AU234" i="100"/>
  <c r="AU213" i="100"/>
  <c r="AU212" i="100"/>
  <c r="BG165" i="100"/>
  <c r="BG39" i="100"/>
  <c r="BD133" i="100"/>
  <c r="BF54" i="100"/>
  <c r="BB41" i="100"/>
  <c r="BB208" i="100"/>
  <c r="AW235" i="100"/>
  <c r="AW213" i="100"/>
  <c r="AW234" i="100"/>
  <c r="BB128" i="46"/>
  <c r="AW222" i="100"/>
  <c r="AY213" i="100"/>
  <c r="BD128" i="46"/>
  <c r="AY235" i="100"/>
  <c r="AY234" i="100"/>
  <c r="AY222" i="100"/>
  <c r="BA235" i="100"/>
  <c r="BF128" i="46"/>
  <c r="BA222" i="100"/>
  <c r="BA213" i="100"/>
  <c r="BA234" i="100"/>
  <c r="BA163" i="100"/>
  <c r="BF133" i="100"/>
  <c r="AY208" i="100"/>
  <c r="BI54" i="100"/>
  <c r="BE205" i="100"/>
  <c r="BC213" i="100"/>
  <c r="BH128" i="46"/>
  <c r="BC234" i="100"/>
  <c r="BC222" i="100"/>
  <c r="BC212" i="100"/>
  <c r="BC235" i="100"/>
  <c r="BE234" i="100"/>
  <c r="BE213" i="100"/>
  <c r="BJ128" i="46"/>
  <c r="BE222" i="100"/>
  <c r="BE212" i="100"/>
  <c r="BE235" i="100"/>
  <c r="BL128" i="46"/>
  <c r="BG234" i="100"/>
  <c r="BG222" i="100"/>
  <c r="BG235" i="100"/>
  <c r="BG213" i="100"/>
  <c r="BG212" i="100"/>
  <c r="BB165" i="100"/>
  <c r="AT54" i="100"/>
  <c r="BB164" i="100"/>
  <c r="BL39" i="100"/>
  <c r="AS188" i="100"/>
  <c r="BC208" i="100"/>
  <c r="BK133" i="100"/>
  <c r="BK54" i="100"/>
  <c r="AW39" i="100"/>
  <c r="AV163" i="100"/>
  <c r="BL162" i="100"/>
  <c r="BD163" i="100"/>
  <c r="AV39" i="100"/>
  <c r="BK163" i="100"/>
  <c r="AW148" i="100"/>
  <c r="BC54" i="100"/>
  <c r="AU203" i="100"/>
  <c r="BJ133" i="100"/>
  <c r="AW165" i="100"/>
  <c r="BI163" i="100"/>
  <c r="AT208" i="100"/>
  <c r="BE39" i="100"/>
  <c r="BJ39" i="100"/>
  <c r="BB145" i="100"/>
  <c r="AU208" i="100"/>
  <c r="BG133" i="100"/>
  <c r="AU163" i="100"/>
  <c r="BE163" i="100"/>
  <c r="AZ39" i="100"/>
  <c r="BD30" i="100"/>
  <c r="AX54" i="100"/>
  <c r="AW208" i="100"/>
  <c r="BG41" i="100"/>
  <c r="BG208" i="100"/>
  <c r="BF39" i="100"/>
  <c r="AT30" i="100"/>
  <c r="AW30" i="100"/>
  <c r="AW54" i="100"/>
  <c r="AY54" i="100"/>
  <c r="BK39" i="100"/>
  <c r="BH54" i="100"/>
  <c r="BI133" i="100"/>
  <c r="AW184" i="100"/>
  <c r="AW188" i="100"/>
  <c r="AX208" i="100"/>
  <c r="BL41" i="100"/>
  <c r="AW164" i="100"/>
  <c r="BC39" i="100"/>
  <c r="BH39" i="100"/>
  <c r="AZ163" i="100"/>
  <c r="BA208" i="100"/>
  <c r="AU30" i="100"/>
  <c r="BC30" i="100"/>
  <c r="BG30" i="100"/>
  <c r="BG54" i="100"/>
  <c r="BE133" i="100"/>
  <c r="AV54" i="100"/>
  <c r="BF163" i="100"/>
  <c r="AW41" i="100"/>
  <c r="BG196" i="100"/>
  <c r="BK203" i="100"/>
  <c r="AY133" i="100"/>
  <c r="BI30" i="100"/>
  <c r="BI222" i="100"/>
  <c r="BI213" i="100"/>
  <c r="BI235" i="100"/>
  <c r="BN128" i="46"/>
  <c r="BI212" i="100"/>
  <c r="BI234" i="100"/>
  <c r="BK235" i="100"/>
  <c r="BK213" i="100"/>
  <c r="BP128" i="46"/>
  <c r="BK222" i="100"/>
  <c r="BK234" i="100"/>
  <c r="AU205" i="100"/>
  <c r="AT222" i="100"/>
  <c r="AT213" i="100"/>
  <c r="AT235" i="100"/>
  <c r="AT234" i="100"/>
  <c r="AY128" i="46"/>
  <c r="AV234" i="100"/>
  <c r="BA128" i="46"/>
  <c r="AV222" i="100"/>
  <c r="AV213" i="100"/>
  <c r="AV235" i="100"/>
  <c r="BC128" i="46"/>
  <c r="AX213" i="100"/>
  <c r="AX222" i="100"/>
  <c r="AX235" i="100"/>
  <c r="AX212" i="100"/>
  <c r="AX234" i="100"/>
  <c r="BE128" i="46"/>
  <c r="AZ222" i="100"/>
  <c r="AZ213" i="100"/>
  <c r="AZ235" i="100"/>
  <c r="AZ234" i="100"/>
  <c r="BB213" i="100"/>
  <c r="BB222" i="100"/>
  <c r="BB235" i="100"/>
  <c r="BB234" i="100"/>
  <c r="BG128" i="46"/>
  <c r="BD222" i="100"/>
  <c r="BD213" i="100"/>
  <c r="BD234" i="100"/>
  <c r="BD235" i="100"/>
  <c r="BD212" i="100"/>
  <c r="BI128" i="46"/>
  <c r="BM128" i="46"/>
  <c r="BH234" i="100"/>
  <c r="BH213" i="100"/>
  <c r="BH222" i="100"/>
  <c r="BH212" i="100"/>
  <c r="BH235" i="100"/>
  <c r="BQ128" i="46"/>
  <c r="BL235" i="100"/>
  <c r="BL234" i="100"/>
  <c r="BL222" i="100"/>
  <c r="BL213" i="100"/>
  <c r="BK128" i="46"/>
  <c r="BF234" i="100"/>
  <c r="BF213" i="100"/>
  <c r="BF222" i="100"/>
  <c r="BF235" i="100"/>
  <c r="BJ213" i="100"/>
  <c r="BJ235" i="100"/>
  <c r="BJ222" i="100"/>
  <c r="BJ234" i="100"/>
  <c r="BJ212" i="100"/>
  <c r="BO128" i="46"/>
  <c r="AW236" i="100"/>
  <c r="AW239" i="100"/>
  <c r="BB239" i="100"/>
  <c r="BB236" i="100"/>
  <c r="BF239" i="100"/>
  <c r="BF226" i="100"/>
  <c r="BF236" i="100"/>
  <c r="BF188" i="100"/>
  <c r="BE54" i="100"/>
  <c r="AZ133" i="100"/>
  <c r="AY212" i="100"/>
  <c r="AU39" i="100"/>
  <c r="AZ54" i="100"/>
  <c r="AX196" i="100"/>
  <c r="AZ196" i="100"/>
  <c r="BL196" i="100"/>
  <c r="AY218" i="100"/>
  <c r="BC133" i="100"/>
  <c r="BB212" i="100"/>
  <c r="BD196" i="100"/>
  <c r="BB196" i="100"/>
  <c r="BL104" i="73"/>
  <c r="AS184" i="100"/>
  <c r="BK212" i="100"/>
  <c r="BG203" i="100"/>
  <c r="BE239" i="100"/>
  <c r="BE226" i="100"/>
  <c r="BE236" i="100"/>
  <c r="BL30" i="100"/>
  <c r="BL54" i="100"/>
  <c r="BA196" i="100"/>
  <c r="AZ208" i="100"/>
  <c r="BA133" i="100"/>
  <c r="AZ212" i="100"/>
  <c r="BI236" i="100"/>
  <c r="BI226" i="100"/>
  <c r="BI239" i="100"/>
  <c r="AT196" i="100"/>
  <c r="BG247" i="100"/>
  <c r="BL148" i="100"/>
  <c r="AT39" i="100"/>
  <c r="BF30" i="100"/>
  <c r="BG164" i="100"/>
  <c r="AU196" i="100"/>
  <c r="AS233" i="100"/>
  <c r="AS212" i="100"/>
  <c r="AS221" i="100"/>
  <c r="AS218" i="100"/>
  <c r="BC218" i="100"/>
  <c r="BL247" i="100"/>
  <c r="BJ196" i="100"/>
  <c r="BD205" i="100"/>
  <c r="AY39" i="100"/>
  <c r="AX30" i="100"/>
  <c r="BB30" i="100"/>
  <c r="BB54" i="100"/>
  <c r="BH133" i="100"/>
  <c r="BL133" i="100"/>
  <c r="BK30" i="100"/>
  <c r="BD203" i="100"/>
  <c r="AV184" i="100"/>
  <c r="AV212" i="100"/>
  <c r="BF196" i="100"/>
  <c r="AY184" i="100"/>
  <c r="AY188" i="100"/>
  <c r="BJ208" i="100"/>
  <c r="BK208" i="100"/>
  <c r="BL164" i="100"/>
  <c r="BL165" i="100"/>
  <c r="AW203" i="100"/>
  <c r="AT218" i="100"/>
  <c r="AT212" i="100"/>
  <c r="BE208" i="100"/>
  <c r="BH203" i="100"/>
  <c r="BE218" i="100"/>
  <c r="AY30" i="100"/>
  <c r="BF212" i="100"/>
  <c r="BK188" i="100"/>
  <c r="BG205" i="100"/>
  <c r="AX205" i="100"/>
  <c r="AT236" i="100"/>
  <c r="AT226" i="100"/>
  <c r="AT239" i="100"/>
  <c r="AT205" i="100"/>
  <c r="BF208" i="100"/>
  <c r="AZ184" i="100"/>
  <c r="AZ188" i="100"/>
  <c r="BA39" i="100"/>
  <c r="BL142" i="100"/>
  <c r="BI39" i="100"/>
  <c r="AW142" i="100"/>
  <c r="BI196" i="100"/>
  <c r="BC221" i="100"/>
  <c r="BC233" i="100"/>
  <c r="AX203" i="100"/>
  <c r="AY205" i="100"/>
  <c r="AV30" i="100"/>
  <c r="BG169" i="100"/>
  <c r="BG173" i="100"/>
  <c r="BG182" i="100"/>
  <c r="BA188" i="100"/>
  <c r="BI184" i="100"/>
  <c r="BI188" i="100"/>
  <c r="BH196" i="100"/>
  <c r="AW212" i="100"/>
  <c r="AX184" i="100"/>
  <c r="AX188" i="100"/>
  <c r="BG239" i="100"/>
  <c r="BG236" i="100"/>
  <c r="BH240" i="100"/>
  <c r="BI241" i="77"/>
  <c r="BH241" i="77"/>
  <c r="BK241" i="77"/>
  <c r="BJ241" i="77"/>
  <c r="AY81" i="46"/>
  <c r="AY45" i="77"/>
  <c r="BA81" i="46"/>
  <c r="BA45" i="77"/>
  <c r="BC81" i="46"/>
  <c r="BC45" i="77"/>
  <c r="BE81" i="46"/>
  <c r="BE45" i="77"/>
  <c r="BI45" i="77"/>
  <c r="BI81" i="46"/>
  <c r="BK45" i="77"/>
  <c r="BK81" i="46"/>
  <c r="BM45" i="77"/>
  <c r="BM81" i="46"/>
  <c r="BO45" i="77"/>
  <c r="BO81" i="46"/>
  <c r="AY210" i="77"/>
  <c r="AX216" i="77"/>
  <c r="BA210" i="77"/>
  <c r="AZ216" i="77"/>
  <c r="BD210" i="77"/>
  <c r="BC216" i="77"/>
  <c r="BF210" i="77"/>
  <c r="BE216" i="77"/>
  <c r="BG216" i="77"/>
  <c r="BL210" i="77"/>
  <c r="BH210" i="77"/>
  <c r="BI216" i="77"/>
  <c r="BJ210" i="77"/>
  <c r="BM216" i="77"/>
  <c r="BN210" i="77"/>
  <c r="BO216" i="77"/>
  <c r="BP210" i="77"/>
  <c r="BB216" i="77"/>
  <c r="BG210" i="77"/>
  <c r="BC210" i="77"/>
  <c r="BD216" i="77"/>
  <c r="BE210" i="77"/>
  <c r="BJ216" i="77"/>
  <c r="BK210" i="77"/>
  <c r="BM210" i="77"/>
  <c r="BL216" i="77"/>
  <c r="BQ210" i="77"/>
  <c r="BN216" i="77"/>
  <c r="BO210" i="77"/>
  <c r="AX221" i="77"/>
  <c r="AX247" i="77"/>
  <c r="AX246" i="77"/>
  <c r="AX231" i="77"/>
  <c r="AX125" i="46"/>
  <c r="AX245" i="77"/>
  <c r="AZ246" i="77"/>
  <c r="AZ221" i="77"/>
  <c r="AZ245" i="77"/>
  <c r="AZ231" i="77"/>
  <c r="AZ125" i="46"/>
  <c r="BB246" i="77"/>
  <c r="BB221" i="77"/>
  <c r="BB125" i="46"/>
  <c r="BB231" i="77"/>
  <c r="BB245" i="77"/>
  <c r="BD221" i="77"/>
  <c r="BD125" i="46"/>
  <c r="BD245" i="77"/>
  <c r="BD246" i="77"/>
  <c r="BD231" i="77"/>
  <c r="BF231" i="77"/>
  <c r="BF245" i="77"/>
  <c r="BF221" i="77"/>
  <c r="BF125" i="46"/>
  <c r="BF246" i="77"/>
  <c r="BH221" i="77"/>
  <c r="BH125" i="46"/>
  <c r="BH246" i="77"/>
  <c r="BH245" i="77"/>
  <c r="BH231" i="77"/>
  <c r="BI181" i="77"/>
  <c r="BH220" i="77"/>
  <c r="BJ246" i="77"/>
  <c r="BJ245" i="77"/>
  <c r="BJ125" i="46"/>
  <c r="BJ221" i="77"/>
  <c r="BJ231" i="77"/>
  <c r="BL125" i="46"/>
  <c r="BL231" i="77"/>
  <c r="BL221" i="77"/>
  <c r="BL245" i="77"/>
  <c r="BL246" i="77"/>
  <c r="BN231" i="77"/>
  <c r="BN245" i="77"/>
  <c r="BN221" i="77"/>
  <c r="BN246" i="77"/>
  <c r="BN125" i="46"/>
  <c r="BO181" i="77"/>
  <c r="BN220" i="77"/>
  <c r="BP221" i="77"/>
  <c r="BP245" i="77"/>
  <c r="BP125" i="46"/>
  <c r="BP246" i="77"/>
  <c r="BP231" i="77"/>
  <c r="AX227" i="77"/>
  <c r="AX244" i="77"/>
  <c r="AX224" i="77"/>
  <c r="AZ224" i="77"/>
  <c r="AZ244" i="77"/>
  <c r="BB224" i="77"/>
  <c r="BB244" i="77"/>
  <c r="BD224" i="77"/>
  <c r="BD244" i="77"/>
  <c r="BF224" i="77"/>
  <c r="BF244" i="77"/>
  <c r="BH224" i="77"/>
  <c r="BH244" i="77"/>
  <c r="BJ224" i="77"/>
  <c r="BJ244" i="77"/>
  <c r="BL224" i="77"/>
  <c r="BL244" i="77"/>
  <c r="BN224" i="77"/>
  <c r="BN244" i="77"/>
  <c r="BP224" i="77"/>
  <c r="BP244" i="77"/>
  <c r="AZ227" i="77"/>
  <c r="AZ230" i="77"/>
  <c r="BD230" i="77"/>
  <c r="BD227" i="77"/>
  <c r="BH227" i="77"/>
  <c r="BH230" i="77"/>
  <c r="BJ227" i="77"/>
  <c r="BJ230" i="77"/>
  <c r="BN230" i="77"/>
  <c r="BN227" i="77"/>
  <c r="AY221" i="77"/>
  <c r="AY245" i="77"/>
  <c r="AY125" i="46"/>
  <c r="AY231" i="77"/>
  <c r="AY246" i="77"/>
  <c r="BA231" i="77"/>
  <c r="BA125" i="46"/>
  <c r="BA246" i="77"/>
  <c r="BA245" i="77"/>
  <c r="BA221" i="77"/>
  <c r="BC221" i="77"/>
  <c r="BC245" i="77"/>
  <c r="BC125" i="46"/>
  <c r="BC246" i="77"/>
  <c r="BC231" i="77"/>
  <c r="BE125" i="46"/>
  <c r="BE246" i="77"/>
  <c r="BE231" i="77"/>
  <c r="BE245" i="77"/>
  <c r="BE221" i="77"/>
  <c r="BA203" i="100"/>
  <c r="BH205" i="100"/>
  <c r="BD239" i="100"/>
  <c r="BD226" i="100"/>
  <c r="BD236" i="100"/>
  <c r="BQ43" i="77"/>
  <c r="BJ220" i="77"/>
  <c r="BK181" i="77"/>
  <c r="BE240" i="100"/>
  <c r="BE181" i="77"/>
  <c r="BD220" i="77"/>
  <c r="BF181" i="77"/>
  <c r="BE220" i="77"/>
  <c r="AW133" i="100"/>
  <c r="BB252" i="100"/>
  <c r="BI208" i="100"/>
  <c r="AZ203" i="100"/>
  <c r="AW218" i="100"/>
  <c r="BQ104" i="73"/>
  <c r="AW205" i="100"/>
  <c r="BH218" i="100"/>
  <c r="BB220" i="77"/>
  <c r="BL262" i="100"/>
  <c r="AT169" i="100"/>
  <c r="AT173" i="100"/>
  <c r="AT182" i="100"/>
  <c r="BL205" i="100"/>
  <c r="AX218" i="100"/>
  <c r="BD43" i="77"/>
  <c r="BL240" i="100"/>
  <c r="BJ163" i="100"/>
  <c r="BI203" i="100"/>
  <c r="BI233" i="100"/>
  <c r="BA43" i="77"/>
  <c r="BA212" i="100"/>
  <c r="BI205" i="100"/>
  <c r="AV239" i="100"/>
  <c r="AV226" i="100"/>
  <c r="AV236" i="100"/>
  <c r="AZ220" i="77"/>
  <c r="AU240" i="100"/>
  <c r="BE43" i="77"/>
  <c r="BK240" i="100"/>
  <c r="BE145" i="100"/>
  <c r="BE247" i="100"/>
  <c r="BK145" i="100"/>
  <c r="BK247" i="100"/>
  <c r="BL251" i="100"/>
  <c r="BL252" i="100"/>
  <c r="BE203" i="100"/>
  <c r="AV203" i="100"/>
  <c r="BD182" i="100"/>
  <c r="BE196" i="100"/>
  <c r="AZ218" i="100"/>
  <c r="BG218" i="100"/>
  <c r="BB162" i="100"/>
  <c r="AY163" i="100"/>
  <c r="AX164" i="100"/>
  <c r="AX165" i="100"/>
  <c r="AX169" i="100"/>
  <c r="AX173" i="100"/>
  <c r="AX182" i="100"/>
  <c r="BE30" i="100"/>
  <c r="AZ30" i="100"/>
  <c r="AU184" i="100"/>
  <c r="AU188" i="100"/>
  <c r="AV196" i="100"/>
  <c r="BI218" i="100"/>
  <c r="BI217" i="100"/>
  <c r="BI221" i="100"/>
  <c r="AS208" i="100"/>
  <c r="BE169" i="100"/>
  <c r="BE173" i="100"/>
  <c r="BE182" i="100"/>
  <c r="BJ218" i="100"/>
  <c r="AT184" i="100"/>
  <c r="AT188" i="100"/>
  <c r="BK233" i="100"/>
  <c r="AV205" i="100"/>
  <c r="BK239" i="100"/>
  <c r="BK226" i="100"/>
  <c r="BK236" i="100"/>
  <c r="BP220" i="77"/>
  <c r="BF227" i="77"/>
  <c r="BK184" i="100"/>
  <c r="BL184" i="100"/>
  <c r="BL188" i="100"/>
  <c r="BJ239" i="100"/>
  <c r="BJ226" i="100"/>
  <c r="BJ236" i="100"/>
  <c r="AV173" i="100"/>
  <c r="AV182" i="100"/>
  <c r="BB240" i="100"/>
  <c r="BI227" i="77"/>
  <c r="BB262" i="100"/>
  <c r="AU169" i="100"/>
  <c r="AU173" i="100"/>
  <c r="AU182" i="100"/>
  <c r="BD39" i="100"/>
  <c r="BL218" i="100"/>
  <c r="BL193" i="100"/>
  <c r="BE193" i="100"/>
  <c r="BF193" i="100"/>
  <c r="BG193" i="100"/>
  <c r="BH193" i="100"/>
  <c r="BI193" i="100"/>
  <c r="BJ193" i="100"/>
  <c r="BK193" i="100"/>
  <c r="BK196" i="100"/>
  <c r="BH236" i="100"/>
  <c r="BH226" i="100"/>
  <c r="BH239" i="100"/>
  <c r="AU218" i="100"/>
  <c r="BD218" i="100"/>
  <c r="BC236" i="100"/>
  <c r="BC226" i="100"/>
  <c r="BC239" i="100"/>
  <c r="BG251" i="100"/>
  <c r="BG252" i="100"/>
  <c r="BA229" i="100"/>
  <c r="BA240" i="100"/>
  <c r="BK210" i="100"/>
  <c r="BL210" i="100"/>
  <c r="BL212" i="100"/>
  <c r="BH61" i="77"/>
  <c r="AW226" i="100"/>
  <c r="BA218" i="100"/>
  <c r="AS203" i="100"/>
  <c r="BH208" i="100"/>
  <c r="BG262" i="100"/>
  <c r="BI201" i="100"/>
  <c r="BI169" i="100"/>
  <c r="BI173" i="100"/>
  <c r="BI182" i="100"/>
  <c r="BL208" i="100"/>
  <c r="BJ240" i="100"/>
  <c r="AU229" i="100"/>
  <c r="AV218" i="100"/>
  <c r="BK205" i="100"/>
  <c r="BL203" i="100"/>
  <c r="BH30" i="100"/>
  <c r="BE184" i="100"/>
  <c r="BE188" i="100"/>
  <c r="BB181" i="77"/>
  <c r="BK249" i="100"/>
  <c r="AV165" i="100"/>
  <c r="AV169" i="100"/>
  <c r="AW169" i="100"/>
  <c r="AW173" i="100"/>
  <c r="AW182" i="100"/>
  <c r="BE217" i="100"/>
  <c r="BE221" i="100"/>
  <c r="BE233" i="100"/>
  <c r="BF240" i="100"/>
  <c r="BF218" i="100"/>
  <c r="BH43" i="77"/>
  <c r="BK173" i="100"/>
  <c r="BK182" i="100"/>
  <c r="BB203" i="100"/>
  <c r="BF203" i="100"/>
  <c r="BN181" i="77"/>
  <c r="AY196" i="100"/>
  <c r="AZ236" i="100"/>
  <c r="AZ226" i="100"/>
  <c r="AZ239" i="100"/>
  <c r="BG230" i="100"/>
  <c r="BG226" i="100"/>
  <c r="BF229" i="100"/>
  <c r="BE229" i="100"/>
  <c r="BK229" i="100"/>
  <c r="BJ229" i="100"/>
  <c r="BH229" i="100"/>
  <c r="BG104" i="73"/>
  <c r="BB251" i="100"/>
  <c r="BB226" i="100"/>
  <c r="BB230" i="100"/>
  <c r="BM43" i="77"/>
  <c r="BG125" i="46"/>
  <c r="BG246" i="77"/>
  <c r="BG245" i="77"/>
  <c r="BG231" i="77"/>
  <c r="BG221" i="77"/>
  <c r="BI125" i="46"/>
  <c r="BI246" i="77"/>
  <c r="BI231" i="77"/>
  <c r="BI221" i="77"/>
  <c r="BI245" i="77"/>
  <c r="BK246" i="77"/>
  <c r="BK125" i="46"/>
  <c r="BK245" i="77"/>
  <c r="BK231" i="77"/>
  <c r="BK221" i="77"/>
  <c r="BM245" i="77"/>
  <c r="BM246" i="77"/>
  <c r="BM221" i="77"/>
  <c r="BM231" i="77"/>
  <c r="BM220" i="77"/>
  <c r="BM125" i="46"/>
  <c r="BO231" i="77"/>
  <c r="BO125" i="46"/>
  <c r="BO221" i="77"/>
  <c r="BO246" i="77"/>
  <c r="BO245" i="77"/>
  <c r="BQ221" i="77"/>
  <c r="BQ231" i="77"/>
  <c r="BQ125" i="46"/>
  <c r="BQ245" i="77"/>
  <c r="BQ246" i="77"/>
  <c r="BA241" i="77"/>
  <c r="AY44" i="77"/>
  <c r="AZ241" i="77"/>
  <c r="AY241" i="77"/>
  <c r="BE241" i="77"/>
  <c r="BC44" i="77"/>
  <c r="BF241" i="77"/>
  <c r="BD241" i="77"/>
  <c r="BC241" i="77"/>
  <c r="BM241" i="77"/>
  <c r="BP241" i="77"/>
  <c r="BO241" i="77"/>
  <c r="BN241" i="77"/>
  <c r="BM44" i="77"/>
  <c r="BB61" i="77"/>
  <c r="BH216" i="77"/>
  <c r="BI210" i="77"/>
  <c r="BI220" i="77"/>
  <c r="BJ181" i="77"/>
  <c r="BC220" i="77"/>
  <c r="BD181" i="77"/>
  <c r="BO220" i="77"/>
  <c r="BP181" i="77"/>
  <c r="BF81" i="46"/>
  <c r="BF45" i="77"/>
  <c r="BJ81" i="46"/>
  <c r="BJ45" i="77"/>
  <c r="BN45" i="77"/>
  <c r="BN81" i="46"/>
  <c r="BP81" i="46"/>
  <c r="BP45" i="77"/>
  <c r="AZ210" i="77"/>
  <c r="AY216" i="77"/>
  <c r="BN43" i="77"/>
  <c r="BD81" i="46"/>
  <c r="BD45" i="77"/>
  <c r="AY224" i="77"/>
  <c r="AY244" i="77"/>
  <c r="BF230" i="77"/>
  <c r="BG244" i="77"/>
  <c r="BG224" i="77"/>
  <c r="BK218" i="100"/>
  <c r="BK201" i="100"/>
  <c r="BK217" i="100"/>
  <c r="BK221" i="100"/>
  <c r="BP227" i="77"/>
  <c r="BA216" i="77"/>
  <c r="BG230" i="77"/>
  <c r="BG227" i="77"/>
  <c r="BL227" i="77"/>
  <c r="BK224" i="77"/>
  <c r="BL230" i="77"/>
  <c r="BK230" i="77"/>
  <c r="BK244" i="77"/>
  <c r="BQ244" i="77"/>
  <c r="BQ224" i="77"/>
  <c r="BP230" i="77"/>
  <c r="BG250" i="77"/>
  <c r="BG247" i="77"/>
  <c r="BB250" i="77"/>
  <c r="BB247" i="77"/>
  <c r="BQ101" i="73"/>
  <c r="BQ263" i="77"/>
  <c r="AY269" i="77"/>
  <c r="AY212" i="79"/>
  <c r="AZ212" i="79"/>
  <c r="BA212" i="79"/>
  <c r="BE212" i="79"/>
  <c r="BD212" i="79"/>
  <c r="BF212" i="79"/>
  <c r="BC212" i="79"/>
  <c r="BM212" i="79"/>
  <c r="BN212" i="79"/>
  <c r="BP212" i="79"/>
  <c r="BO212" i="79"/>
  <c r="AY184" i="79"/>
  <c r="AX190" i="79"/>
  <c r="BA184" i="79"/>
  <c r="AZ190" i="79"/>
  <c r="BD184" i="79"/>
  <c r="BC190" i="79"/>
  <c r="BF184" i="79"/>
  <c r="BE190" i="79"/>
  <c r="BB218" i="100"/>
  <c r="BL244" i="100"/>
  <c r="BL249" i="100"/>
  <c r="BE165" i="100"/>
  <c r="AV164" i="100"/>
  <c r="BA227" i="77"/>
  <c r="BK227" i="77"/>
  <c r="BL45" i="77"/>
  <c r="BE227" i="77"/>
  <c r="BL184" i="79"/>
  <c r="BH184" i="79"/>
  <c r="BG190" i="79"/>
  <c r="BJ184" i="79"/>
  <c r="BI190" i="79"/>
  <c r="BN184" i="79"/>
  <c r="BM190" i="79"/>
  <c r="BC224" i="77"/>
  <c r="BC244" i="77"/>
  <c r="BO224" i="77"/>
  <c r="BO244" i="77"/>
  <c r="BG263" i="77"/>
  <c r="BG101" i="73"/>
  <c r="BP184" i="79"/>
  <c r="BO190" i="79"/>
  <c r="BC184" i="79"/>
  <c r="BB190" i="79"/>
  <c r="BG184" i="79"/>
  <c r="BE184" i="79"/>
  <c r="BD190" i="79"/>
  <c r="BK184" i="79"/>
  <c r="BJ190" i="79"/>
  <c r="BQ184" i="79"/>
  <c r="BL190" i="79"/>
  <c r="BM184" i="79"/>
  <c r="AX217" i="79"/>
  <c r="AX218" i="79"/>
  <c r="AX204" i="79"/>
  <c r="AX216" i="79"/>
  <c r="AX195" i="79"/>
  <c r="AZ217" i="79"/>
  <c r="AZ204" i="79"/>
  <c r="AZ195" i="79"/>
  <c r="AZ216" i="79"/>
  <c r="BB217" i="79"/>
  <c r="BB204" i="79"/>
  <c r="BB195" i="79"/>
  <c r="BB216" i="79"/>
  <c r="BD217" i="79"/>
  <c r="BD204" i="79"/>
  <c r="BD195" i="79"/>
  <c r="BD216" i="79"/>
  <c r="BF217" i="79"/>
  <c r="BF204" i="79"/>
  <c r="BF195" i="79"/>
  <c r="BF216" i="79"/>
  <c r="BH217" i="79"/>
  <c r="BH204" i="79"/>
  <c r="BH195" i="79"/>
  <c r="BH216" i="79"/>
  <c r="BJ217" i="79"/>
  <c r="BJ204" i="79"/>
  <c r="BJ195" i="79"/>
  <c r="BJ216" i="79"/>
  <c r="BL217" i="79"/>
  <c r="BL204" i="79"/>
  <c r="BL195" i="79"/>
  <c r="BL216" i="79"/>
  <c r="BN217" i="79"/>
  <c r="BN204" i="79"/>
  <c r="BN195" i="79"/>
  <c r="BN216" i="79"/>
  <c r="BP217" i="79"/>
  <c r="BP204" i="79"/>
  <c r="BP195" i="79"/>
  <c r="BP216" i="79"/>
  <c r="AX198" i="79"/>
  <c r="AX215" i="79"/>
  <c r="AX203" i="79"/>
  <c r="AX201" i="79"/>
  <c r="AZ215" i="79"/>
  <c r="AZ198" i="79"/>
  <c r="BB215" i="79"/>
  <c r="BB198" i="79"/>
  <c r="BD215" i="79"/>
  <c r="BD198" i="79"/>
  <c r="BF215" i="79"/>
  <c r="BF198" i="79"/>
  <c r="BH215" i="79"/>
  <c r="BH198" i="79"/>
  <c r="BJ215" i="79"/>
  <c r="BJ198" i="79"/>
  <c r="BL215" i="79"/>
  <c r="BL198" i="79"/>
  <c r="BN215" i="79"/>
  <c r="BN198" i="79"/>
  <c r="BP215" i="79"/>
  <c r="BP198" i="79"/>
  <c r="AZ240" i="79"/>
  <c r="AZ203" i="79"/>
  <c r="AZ201" i="79"/>
  <c r="BD240" i="79"/>
  <c r="BD201" i="79"/>
  <c r="BD203" i="79"/>
  <c r="BF201" i="79"/>
  <c r="BF240" i="79"/>
  <c r="BH201" i="79"/>
  <c r="BH240" i="79"/>
  <c r="BH203" i="79"/>
  <c r="BJ240" i="79"/>
  <c r="BJ201" i="79"/>
  <c r="BJ203" i="79"/>
  <c r="BN240" i="79"/>
  <c r="BN203" i="79"/>
  <c r="BN201" i="79"/>
  <c r="BP201" i="79"/>
  <c r="BP240" i="79"/>
  <c r="BD173" i="100"/>
  <c r="BD169" i="100"/>
  <c r="BD208" i="100"/>
  <c r="BL43" i="77"/>
  <c r="AX212" i="77"/>
  <c r="AY239" i="100"/>
  <c r="AY226" i="100"/>
  <c r="AY236" i="100"/>
  <c r="BI43" i="77"/>
  <c r="BO269" i="77"/>
  <c r="AZ212" i="77"/>
  <c r="BJ203" i="100"/>
  <c r="BD184" i="100"/>
  <c r="BD188" i="100"/>
  <c r="BI210" i="100"/>
  <c r="BJ210" i="100"/>
  <c r="BJ184" i="100"/>
  <c r="BJ188" i="100"/>
  <c r="AY221" i="100"/>
  <c r="AY233" i="100"/>
  <c r="AU239" i="100"/>
  <c r="AU226" i="100"/>
  <c r="AU236" i="100"/>
  <c r="BP44" i="77"/>
  <c r="BA224" i="77"/>
  <c r="BA230" i="77"/>
  <c r="BA244" i="77"/>
  <c r="BN42" i="79"/>
  <c r="AY201" i="79"/>
  <c r="AY240" i="79"/>
  <c r="BA201" i="79"/>
  <c r="BA240" i="79"/>
  <c r="BC201" i="79"/>
  <c r="BC240" i="79"/>
  <c r="BE201" i="79"/>
  <c r="BE240" i="79"/>
  <c r="BI240" i="79"/>
  <c r="BI201" i="79"/>
  <c r="BK240" i="79"/>
  <c r="BK201" i="79"/>
  <c r="BM240" i="79"/>
  <c r="BM201" i="79"/>
  <c r="BO240" i="79"/>
  <c r="BO201" i="79"/>
  <c r="AY217" i="79"/>
  <c r="AY195" i="79"/>
  <c r="AY204" i="79"/>
  <c r="AY216" i="79"/>
  <c r="BA217" i="79"/>
  <c r="BA195" i="79"/>
  <c r="BA204" i="79"/>
  <c r="BA216" i="79"/>
  <c r="BK220" i="77"/>
  <c r="BC230" i="77"/>
  <c r="BC227" i="77"/>
  <c r="BB104" i="73"/>
  <c r="BC196" i="100"/>
  <c r="AU193" i="100"/>
  <c r="AV193" i="100"/>
  <c r="AW193" i="100"/>
  <c r="AX193" i="100"/>
  <c r="AY193" i="100"/>
  <c r="AZ193" i="100"/>
  <c r="BA193" i="100"/>
  <c r="BB193" i="100"/>
  <c r="BC193" i="100"/>
  <c r="BD193" i="100"/>
  <c r="BD229" i="100"/>
  <c r="BD240" i="100"/>
  <c r="AW251" i="100"/>
  <c r="AW252" i="100"/>
  <c r="BJ61" i="77"/>
  <c r="BA236" i="100"/>
  <c r="BA226" i="100"/>
  <c r="BA239" i="100"/>
  <c r="AU217" i="100"/>
  <c r="AU221" i="100"/>
  <c r="AU233" i="100"/>
  <c r="AT221" i="100"/>
  <c r="AT233" i="100"/>
  <c r="BB229" i="100"/>
  <c r="BF220" i="77"/>
  <c r="BF43" i="77"/>
  <c r="BA54" i="100"/>
  <c r="AT165" i="100"/>
  <c r="BL230" i="100"/>
  <c r="BK244" i="100"/>
  <c r="BK43" i="77"/>
  <c r="BM227" i="77"/>
  <c r="BH60" i="79"/>
  <c r="BD250" i="77"/>
  <c r="BD237" i="77"/>
  <c r="BD247" i="77"/>
  <c r="AW230" i="100"/>
  <c r="AW262" i="100"/>
  <c r="BI229" i="100"/>
  <c r="BI240" i="100"/>
  <c r="BC229" i="100"/>
  <c r="BC240" i="100"/>
  <c r="AY165" i="100"/>
  <c r="AY169" i="100"/>
  <c r="AY173" i="100"/>
  <c r="AY182" i="100"/>
  <c r="BD165" i="100"/>
  <c r="AX217" i="100"/>
  <c r="AX221" i="100"/>
  <c r="AX233" i="100"/>
  <c r="BN38" i="77"/>
  <c r="BN44" i="77"/>
  <c r="BQ61" i="77"/>
  <c r="AV201" i="100"/>
  <c r="AV217" i="100"/>
  <c r="AV221" i="100"/>
  <c r="AV233" i="100"/>
  <c r="BL221" i="100"/>
  <c r="BL233" i="100"/>
  <c r="AZ229" i="100"/>
  <c r="AZ240" i="100"/>
  <c r="BH45" i="77"/>
  <c r="BH44" i="77"/>
  <c r="BH81" i="46"/>
  <c r="BL64" i="79"/>
  <c r="AY229" i="100"/>
  <c r="AY240" i="100"/>
  <c r="BB148" i="100"/>
  <c r="BC184" i="100"/>
  <c r="BC188" i="100"/>
  <c r="BL169" i="100"/>
  <c r="BL173" i="100"/>
  <c r="BL182" i="100"/>
  <c r="BN61" i="77"/>
  <c r="BO250" i="77"/>
  <c r="BO237" i="77"/>
  <c r="BO247" i="77"/>
  <c r="AY227" i="77"/>
  <c r="AY230" i="77"/>
  <c r="AY228" i="77"/>
  <c r="BO230" i="77"/>
  <c r="BO228" i="77"/>
  <c r="BO227" i="77"/>
  <c r="BE224" i="77"/>
  <c r="BE230" i="77"/>
  <c r="BE244" i="77"/>
  <c r="BQ250" i="77"/>
  <c r="BQ247" i="77"/>
  <c r="BP44" i="79"/>
  <c r="BC195" i="79"/>
  <c r="BC217" i="79"/>
  <c r="BC204" i="79"/>
  <c r="BC216" i="79"/>
  <c r="BE195" i="79"/>
  <c r="BE217" i="79"/>
  <c r="BE204" i="79"/>
  <c r="BE216" i="79"/>
  <c r="BG195" i="79"/>
  <c r="BG217" i="79"/>
  <c r="BG204" i="79"/>
  <c r="BG216" i="79"/>
  <c r="BJ258" i="77"/>
  <c r="BL263" i="77"/>
  <c r="BL101" i="73"/>
  <c r="BK212" i="79"/>
  <c r="BJ212" i="79"/>
  <c r="BI212" i="79"/>
  <c r="BH212" i="79"/>
  <c r="AY190" i="79"/>
  <c r="AZ184" i="79"/>
  <c r="BI204" i="79"/>
  <c r="BI217" i="79"/>
  <c r="BI195" i="79"/>
  <c r="BI216" i="79"/>
  <c r="BK204" i="79"/>
  <c r="BK217" i="79"/>
  <c r="BK195" i="79"/>
  <c r="BK216" i="79"/>
  <c r="BM204" i="79"/>
  <c r="BM217" i="79"/>
  <c r="BM195" i="79"/>
  <c r="BM216" i="79"/>
  <c r="BO216" i="79"/>
  <c r="BO217" i="79"/>
  <c r="BO204" i="79"/>
  <c r="BO195" i="79"/>
  <c r="BA217" i="100"/>
  <c r="BA221" i="100"/>
  <c r="BA233" i="100"/>
  <c r="BJ43" i="77"/>
  <c r="BH31" i="77"/>
  <c r="BL31" i="77"/>
  <c r="BL61" i="77"/>
  <c r="BG240" i="100"/>
  <c r="BC145" i="100"/>
  <c r="BC247" i="100"/>
  <c r="BI145" i="100"/>
  <c r="BI247" i="100"/>
  <c r="AS196" i="100"/>
  <c r="AT193" i="100"/>
  <c r="BE164" i="100"/>
  <c r="AX239" i="100"/>
  <c r="AX226" i="100"/>
  <c r="AX236" i="100"/>
  <c r="AW240" i="100"/>
  <c r="BH145" i="100"/>
  <c r="BH247" i="100"/>
  <c r="AZ43" i="77"/>
  <c r="BB211" i="77"/>
  <c r="BB212" i="77"/>
  <c r="BA220" i="77"/>
  <c r="BA42" i="79"/>
  <c r="BC42" i="79"/>
  <c r="BD61" i="77"/>
  <c r="BN44" i="79"/>
  <c r="BL251" i="77"/>
  <c r="BM186" i="79"/>
  <c r="BQ217" i="79"/>
  <c r="BQ204" i="79"/>
  <c r="BQ195" i="79"/>
  <c r="BQ216" i="79"/>
  <c r="BG215" i="79"/>
  <c r="BF203" i="79"/>
  <c r="BG198" i="79"/>
  <c r="BG201" i="79"/>
  <c r="BG203" i="79"/>
  <c r="BQ198" i="79"/>
  <c r="BQ215" i="79"/>
  <c r="BP203" i="79"/>
  <c r="BQ201" i="79"/>
  <c r="BQ203" i="79"/>
  <c r="BG218" i="79"/>
  <c r="BG221" i="79"/>
  <c r="BH190" i="79"/>
  <c r="BI184" i="79"/>
  <c r="D54" i="84"/>
  <c r="BL221" i="79"/>
  <c r="BL218" i="79"/>
  <c r="BQ218" i="79"/>
  <c r="BQ221" i="79"/>
  <c r="BA262" i="99"/>
  <c r="AZ262" i="99"/>
  <c r="AY262" i="99"/>
  <c r="AX262" i="99"/>
  <c r="BE262" i="99"/>
  <c r="BF262" i="99"/>
  <c r="BC262" i="99"/>
  <c r="BD262" i="99"/>
  <c r="BI262" i="99"/>
  <c r="BJ262" i="99"/>
  <c r="BK262" i="99"/>
  <c r="BH262" i="99"/>
  <c r="AQ113" i="99"/>
  <c r="BG194" i="99"/>
  <c r="BC194" i="99"/>
  <c r="AS246" i="99"/>
  <c r="AS268" i="99"/>
  <c r="AS255" i="99"/>
  <c r="AS267" i="99"/>
  <c r="AX127" i="46"/>
  <c r="AS269" i="99"/>
  <c r="AU268" i="99"/>
  <c r="AU246" i="99"/>
  <c r="AU267" i="99"/>
  <c r="AZ127" i="46"/>
  <c r="AU255" i="99"/>
  <c r="AW267" i="99"/>
  <c r="AW246" i="99"/>
  <c r="BB127" i="46"/>
  <c r="AW255" i="99"/>
  <c r="AW268" i="99"/>
  <c r="AY268" i="99"/>
  <c r="AY246" i="99"/>
  <c r="BD127" i="46"/>
  <c r="AY267" i="99"/>
  <c r="AY255" i="99"/>
  <c r="AZ164" i="99"/>
  <c r="AY245" i="99"/>
  <c r="BF127" i="46"/>
  <c r="BA268" i="99"/>
  <c r="BA246" i="99"/>
  <c r="BA255" i="99"/>
  <c r="BA267" i="99"/>
  <c r="BC246" i="99"/>
  <c r="BC268" i="99"/>
  <c r="BH127" i="46"/>
  <c r="BC255" i="99"/>
  <c r="BC267" i="99"/>
  <c r="BD164" i="99"/>
  <c r="BC245" i="99"/>
  <c r="BJ127" i="46"/>
  <c r="BE268" i="99"/>
  <c r="BE246" i="99"/>
  <c r="BE255" i="99"/>
  <c r="BE267" i="99"/>
  <c r="BF164" i="99"/>
  <c r="BE245" i="99"/>
  <c r="BG268" i="99"/>
  <c r="BG246" i="99"/>
  <c r="BG255" i="99"/>
  <c r="BL127" i="46"/>
  <c r="BG267" i="99"/>
  <c r="BN127" i="46"/>
  <c r="BI268" i="99"/>
  <c r="BI255" i="99"/>
  <c r="BI267" i="99"/>
  <c r="BI246" i="99"/>
  <c r="BI245" i="99"/>
  <c r="BJ164" i="99"/>
  <c r="BK246" i="99"/>
  <c r="BP127" i="46"/>
  <c r="BK267" i="99"/>
  <c r="BK255" i="99"/>
  <c r="BK268" i="99"/>
  <c r="AS266" i="99"/>
  <c r="AS249" i="99"/>
  <c r="AU266" i="99"/>
  <c r="AU249" i="99"/>
  <c r="AW266" i="99"/>
  <c r="AW249" i="99"/>
  <c r="AY266" i="99"/>
  <c r="AY249" i="99"/>
  <c r="BA266" i="99"/>
  <c r="BA249" i="99"/>
  <c r="BC266" i="99"/>
  <c r="BC249" i="99"/>
  <c r="BE266" i="99"/>
  <c r="BE249" i="99"/>
  <c r="BG266" i="99"/>
  <c r="BG249" i="99"/>
  <c r="BI266" i="99"/>
  <c r="BI249" i="99"/>
  <c r="BK266" i="99"/>
  <c r="BK249" i="99"/>
  <c r="AT246" i="99"/>
  <c r="AT267" i="99"/>
  <c r="AT255" i="99"/>
  <c r="AY127" i="46"/>
  <c r="AT268" i="99"/>
  <c r="AV255" i="99"/>
  <c r="BA127" i="46"/>
  <c r="AV246" i="99"/>
  <c r="AV267" i="99"/>
  <c r="AV268" i="99"/>
  <c r="AX246" i="99"/>
  <c r="AX267" i="99"/>
  <c r="AX255" i="99"/>
  <c r="AX268" i="99"/>
  <c r="BC127" i="46"/>
  <c r="AY164" i="99"/>
  <c r="AX245" i="99"/>
  <c r="AZ246" i="99"/>
  <c r="AZ268" i="99"/>
  <c r="BE127" i="46"/>
  <c r="AZ255" i="99"/>
  <c r="AZ267" i="99"/>
  <c r="AZ245" i="99"/>
  <c r="BA164" i="99"/>
  <c r="BB246" i="99"/>
  <c r="BB255" i="99"/>
  <c r="BG127" i="46"/>
  <c r="BB268" i="99"/>
  <c r="BB267" i="99"/>
  <c r="BD268" i="99"/>
  <c r="BI127" i="46"/>
  <c r="BD246" i="99"/>
  <c r="BD255" i="99"/>
  <c r="BD267" i="99"/>
  <c r="BE164" i="99"/>
  <c r="BD245" i="99"/>
  <c r="BF268" i="99"/>
  <c r="BF267" i="99"/>
  <c r="BF255" i="99"/>
  <c r="BK127" i="46"/>
  <c r="BF246" i="99"/>
  <c r="BH246" i="99"/>
  <c r="BH255" i="99"/>
  <c r="BM127" i="46"/>
  <c r="BH267" i="99"/>
  <c r="BH268" i="99"/>
  <c r="BC217" i="100"/>
  <c r="BC203" i="100"/>
  <c r="BJ205" i="100"/>
  <c r="BF145" i="100"/>
  <c r="BF247" i="100"/>
  <c r="BQ227" i="77"/>
  <c r="BQ230" i="77"/>
  <c r="BB218" i="79"/>
  <c r="BB221" i="79"/>
  <c r="BA16" i="99"/>
  <c r="BB31" i="77"/>
  <c r="AY61" i="77"/>
  <c r="AY164" i="100"/>
  <c r="AT217" i="100"/>
  <c r="AT203" i="100"/>
  <c r="BI61" i="77"/>
  <c r="BK247" i="77"/>
  <c r="BK237" i="77"/>
  <c r="BK250" i="77"/>
  <c r="BD60" i="79"/>
  <c r="D44" i="84"/>
  <c r="AX186" i="79"/>
  <c r="AV45" i="99"/>
  <c r="BD217" i="100"/>
  <c r="BD221" i="100"/>
  <c r="BD233" i="100"/>
  <c r="BC201" i="100"/>
  <c r="BE38" i="77"/>
  <c r="BE44" i="77"/>
  <c r="BB230" i="77"/>
  <c r="BB227" i="77"/>
  <c r="AY60" i="79"/>
  <c r="AY203" i="100"/>
  <c r="AY217" i="100"/>
  <c r="BK260" i="77"/>
  <c r="BK228" i="77"/>
  <c r="BK269" i="77"/>
  <c r="BM61" i="77"/>
  <c r="BQ31" i="77"/>
  <c r="BP43" i="77"/>
  <c r="BP38" i="77"/>
  <c r="BI42" i="79"/>
  <c r="AZ81" i="46"/>
  <c r="AZ45" i="77"/>
  <c r="AY250" i="77"/>
  <c r="AY237" i="77"/>
  <c r="AY247" i="77"/>
  <c r="BL250" i="77"/>
  <c r="BL247" i="77"/>
  <c r="BB155" i="79"/>
  <c r="BJ218" i="79"/>
  <c r="BJ208" i="79"/>
  <c r="BJ221" i="79"/>
  <c r="BA113" i="99"/>
  <c r="BJ246" i="99"/>
  <c r="BJ267" i="99"/>
  <c r="BJ255" i="99"/>
  <c r="BO127" i="46"/>
  <c r="BJ268" i="99"/>
  <c r="BJ245" i="99"/>
  <c r="BK164" i="99"/>
  <c r="BL268" i="99"/>
  <c r="BL255" i="99"/>
  <c r="BL246" i="99"/>
  <c r="BL267" i="99"/>
  <c r="BQ127" i="46"/>
  <c r="AY261" i="99"/>
  <c r="AV261" i="99"/>
  <c r="AZ261" i="99"/>
  <c r="AX261" i="99"/>
  <c r="BC261" i="99"/>
  <c r="BA261" i="99"/>
  <c r="BE261" i="99"/>
  <c r="BD261" i="99"/>
  <c r="BF261" i="99"/>
  <c r="BH261" i="99"/>
  <c r="BJ261" i="99"/>
  <c r="BI261" i="99"/>
  <c r="AW269" i="99"/>
  <c r="AW272" i="99"/>
  <c r="BE272" i="99"/>
  <c r="BE269" i="99"/>
  <c r="BI269" i="99"/>
  <c r="BI272" i="99"/>
  <c r="AT269" i="99"/>
  <c r="AT272" i="99"/>
  <c r="BB269" i="99"/>
  <c r="BB272" i="99"/>
  <c r="BF269" i="99"/>
  <c r="BF272" i="99"/>
  <c r="BQ183" i="79"/>
  <c r="EH33" i="71"/>
  <c r="AW193" i="99"/>
  <c r="BA272" i="99"/>
  <c r="BA269" i="99"/>
  <c r="AX269" i="99"/>
  <c r="AX272" i="99"/>
  <c r="BE259" i="99"/>
  <c r="BF259" i="99"/>
  <c r="BH194" i="99"/>
  <c r="BL194" i="99"/>
  <c r="AT249" i="99"/>
  <c r="AT266" i="99"/>
  <c r="BB249" i="99"/>
  <c r="BB266" i="99"/>
  <c r="BJ249" i="99"/>
  <c r="BJ266" i="99"/>
  <c r="AU254" i="99"/>
  <c r="AV241" i="99"/>
  <c r="AZ44" i="79"/>
  <c r="BE65" i="99"/>
  <c r="BI164" i="99"/>
  <c r="BH245" i="99"/>
  <c r="BQ190" i="79"/>
  <c r="BK155" i="79"/>
  <c r="BF61" i="77"/>
  <c r="BD155" i="79"/>
  <c r="BA62" i="99"/>
  <c r="AX162" i="100"/>
  <c r="BE212" i="77"/>
  <c r="BE250" i="77"/>
  <c r="BE237" i="77"/>
  <c r="BE247" i="77"/>
  <c r="BF258" i="77"/>
  <c r="BA201" i="100"/>
  <c r="BO61" i="77"/>
  <c r="BB46" i="79"/>
  <c r="BB208" i="79"/>
  <c r="BQ45" i="77"/>
  <c r="AS193" i="100"/>
  <c r="BI165" i="100"/>
  <c r="BK169" i="100"/>
  <c r="BE201" i="100"/>
  <c r="AU201" i="100"/>
  <c r="BM181" i="77"/>
  <c r="BQ181" i="77"/>
  <c r="BB44" i="79"/>
  <c r="BL65" i="77"/>
  <c r="BK38" i="77"/>
  <c r="BK44" i="77"/>
  <c r="BO44" i="77"/>
  <c r="AZ247" i="77"/>
  <c r="AZ237" i="77"/>
  <c r="AZ250" i="77"/>
  <c r="BJ60" i="79"/>
  <c r="BP251" i="77"/>
  <c r="BL229" i="79"/>
  <c r="AY198" i="79"/>
  <c r="AY203" i="79"/>
  <c r="AY215" i="79"/>
  <c r="BJ194" i="99"/>
  <c r="BK215" i="79"/>
  <c r="BK203" i="79"/>
  <c r="BK198" i="79"/>
  <c r="BB237" i="77"/>
  <c r="BG280" i="99"/>
  <c r="BH212" i="77"/>
  <c r="BD164" i="100"/>
  <c r="BB221" i="100"/>
  <c r="BB233" i="100"/>
  <c r="BP247" i="77"/>
  <c r="BP237" i="77"/>
  <c r="BP250" i="77"/>
  <c r="BG209" i="77"/>
  <c r="BC212" i="77"/>
  <c r="BJ42" i="79"/>
  <c r="DW33" i="71"/>
  <c r="BQ262" i="77"/>
  <c r="BD222" i="79"/>
  <c r="BG236" i="99"/>
  <c r="BH217" i="100"/>
  <c r="BH221" i="100"/>
  <c r="BH233" i="100"/>
  <c r="AT229" i="100"/>
  <c r="AT240" i="100"/>
  <c r="BJ31" i="77"/>
  <c r="BH44" i="79"/>
  <c r="BK216" i="77"/>
  <c r="DR33" i="71"/>
  <c r="AY258" i="77"/>
  <c r="BB201" i="79"/>
  <c r="BA215" i="79"/>
  <c r="BB203" i="79"/>
  <c r="BA203" i="79"/>
  <c r="BA198" i="79"/>
  <c r="AU45" i="99"/>
  <c r="BN218" i="79"/>
  <c r="BN208" i="79"/>
  <c r="BN221" i="79"/>
  <c r="BK255" i="77"/>
  <c r="BI186" i="79"/>
  <c r="AU236" i="99"/>
  <c r="AR113" i="99"/>
  <c r="BI241" i="99"/>
  <c r="BQ216" i="77"/>
  <c r="BG42" i="79"/>
  <c r="AU245" i="99"/>
  <c r="BJ260" i="77"/>
  <c r="BO212" i="77"/>
  <c r="BG43" i="77"/>
  <c r="BN60" i="79"/>
  <c r="BF31" i="77"/>
  <c r="BK238" i="99"/>
  <c r="BF216" i="77"/>
  <c r="BF249" i="100"/>
  <c r="BD212" i="77"/>
  <c r="BJ191" i="77"/>
  <c r="BI244" i="77"/>
  <c r="BI230" i="77"/>
  <c r="BI224" i="77"/>
  <c r="BQ44" i="79"/>
  <c r="AZ31" i="77"/>
  <c r="AZ61" i="77"/>
  <c r="BN212" i="77"/>
  <c r="BQ155" i="79"/>
  <c r="BK31" i="77"/>
  <c r="BK61" i="77"/>
  <c r="BJ38" i="77"/>
  <c r="BJ44" i="77"/>
  <c r="BG155" i="79"/>
  <c r="BN251" i="77"/>
  <c r="BK190" i="79"/>
  <c r="AZ217" i="100"/>
  <c r="AZ221" i="100"/>
  <c r="AZ233" i="100"/>
  <c r="AV229" i="100"/>
  <c r="AV240" i="100"/>
  <c r="BQ42" i="79"/>
  <c r="BA30" i="100"/>
  <c r="AT148" i="100"/>
  <c r="AT162" i="100"/>
  <c r="AT164" i="100"/>
  <c r="BL236" i="100"/>
  <c r="BL226" i="100"/>
  <c r="BL239" i="100"/>
  <c r="BG229" i="100"/>
  <c r="BM224" i="77"/>
  <c r="BM230" i="77"/>
  <c r="BM244" i="77"/>
  <c r="DV33" i="71"/>
  <c r="BO43" i="77"/>
  <c r="BO38" i="77"/>
  <c r="BI211" i="77"/>
  <c r="BI212" i="77"/>
  <c r="BM191" i="77"/>
  <c r="BM258" i="77"/>
  <c r="BQ258" i="77"/>
  <c r="BL42" i="79"/>
  <c r="BL222" i="79"/>
  <c r="AW241" i="99"/>
  <c r="BJ30" i="100"/>
  <c r="BJ54" i="100"/>
  <c r="BG183" i="79"/>
  <c r="BG229" i="99"/>
  <c r="BB209" i="77"/>
  <c r="BP155" i="79"/>
  <c r="DZ33" i="71"/>
  <c r="BN240" i="77"/>
  <c r="BP240" i="77"/>
  <c r="AY221" i="79"/>
  <c r="AY208" i="79"/>
  <c r="AY218" i="79"/>
  <c r="DU33" i="71"/>
  <c r="BE194" i="99"/>
  <c r="BB65" i="77"/>
  <c r="BG162" i="100"/>
  <c r="BF247" i="77"/>
  <c r="BF237" i="77"/>
  <c r="BF250" i="77"/>
  <c r="BM247" i="77"/>
  <c r="BM237" i="77"/>
  <c r="BM250" i="77"/>
  <c r="BG65" i="77"/>
  <c r="BB43" i="77"/>
  <c r="BB251" i="77"/>
  <c r="BL201" i="79"/>
  <c r="BL203" i="79"/>
  <c r="DQ33" i="71"/>
  <c r="AT236" i="99"/>
  <c r="AY251" i="77"/>
  <c r="BE218" i="79"/>
  <c r="BE208" i="79"/>
  <c r="BE221" i="79"/>
  <c r="BA245" i="99"/>
  <c r="AS65" i="99"/>
  <c r="BP60" i="79"/>
  <c r="BO60" i="79"/>
  <c r="BG261" i="99"/>
  <c r="BF42" i="79"/>
  <c r="BJ249" i="100"/>
  <c r="BJ44" i="79"/>
  <c r="BD31" i="77"/>
  <c r="AZ38" i="77"/>
  <c r="AZ44" i="77"/>
  <c r="BB236" i="99"/>
  <c r="AW221" i="100"/>
  <c r="AW233" i="100"/>
  <c r="BN31" i="77"/>
  <c r="BD38" i="77"/>
  <c r="BD44" i="77"/>
  <c r="BM42" i="79"/>
  <c r="AZ186" i="79"/>
  <c r="BQ60" i="79"/>
  <c r="AZ201" i="100"/>
  <c r="BN250" i="77"/>
  <c r="BM38" i="77"/>
  <c r="BN237" i="77"/>
  <c r="BN247" i="77"/>
  <c r="BA228" i="77"/>
  <c r="BA269" i="77"/>
  <c r="BB142" i="100"/>
  <c r="AX142" i="100"/>
  <c r="AX148" i="100"/>
  <c r="BE142" i="100"/>
  <c r="BE148" i="100"/>
  <c r="BE162" i="100"/>
  <c r="BI162" i="100"/>
  <c r="BI164" i="100"/>
  <c r="BF142" i="100"/>
  <c r="BF148" i="100"/>
  <c r="BF162" i="100"/>
  <c r="BF164" i="100"/>
  <c r="BF165" i="100"/>
  <c r="BF169" i="100"/>
  <c r="BF173" i="100"/>
  <c r="BF182" i="100"/>
  <c r="BF205" i="100"/>
  <c r="BH142" i="100"/>
  <c r="BH148" i="100"/>
  <c r="BH162" i="100"/>
  <c r="BH164" i="100"/>
  <c r="BH165" i="100"/>
  <c r="BH169" i="100"/>
  <c r="BH173" i="100"/>
  <c r="BH182" i="100"/>
  <c r="BK164" i="100"/>
  <c r="BK165" i="100"/>
  <c r="BK142" i="100"/>
  <c r="BK148" i="100"/>
  <c r="BK162" i="100"/>
  <c r="AW229" i="100"/>
  <c r="AX201" i="100"/>
  <c r="BC43" i="77"/>
  <c r="BO191" i="77"/>
  <c r="BO258" i="77"/>
  <c r="AY43" i="77"/>
  <c r="BM212" i="77"/>
  <c r="BL220" i="77"/>
  <c r="BA44" i="79"/>
  <c r="BD42" i="79"/>
  <c r="BL45" i="99"/>
  <c r="BA244" i="100"/>
  <c r="BA249" i="100"/>
  <c r="BI218" i="79"/>
  <c r="BI208" i="79"/>
  <c r="BI221" i="79"/>
  <c r="BA205" i="100"/>
  <c r="BL211" i="77"/>
  <c r="BL212" i="77"/>
  <c r="BL209" i="77"/>
  <c r="BC211" i="77"/>
  <c r="BG211" i="77"/>
  <c r="BG212" i="77"/>
  <c r="BJ155" i="79"/>
  <c r="BQ260" i="77"/>
  <c r="BL240" i="77"/>
  <c r="AU65" i="99"/>
  <c r="AZ249" i="100"/>
  <c r="BG181" i="77"/>
  <c r="AU165" i="100"/>
  <c r="BI142" i="100"/>
  <c r="BI148" i="100"/>
  <c r="D58" i="84"/>
  <c r="BH247" i="77"/>
  <c r="BH237" i="77"/>
  <c r="BH250" i="77"/>
  <c r="BP31" i="77"/>
  <c r="BP61" i="77"/>
  <c r="BC61" i="77"/>
  <c r="BE31" i="77"/>
  <c r="BE61" i="77"/>
  <c r="BH181" i="77"/>
  <c r="BL181" i="77"/>
  <c r="AY191" i="77"/>
  <c r="BF60" i="79"/>
  <c r="BJ165" i="79"/>
  <c r="BJ229" i="79"/>
  <c r="BB274" i="77"/>
  <c r="BE251" i="77"/>
  <c r="DX33" i="71"/>
  <c r="BB47" i="99"/>
  <c r="AT45" i="99"/>
  <c r="BA251" i="77"/>
  <c r="BM44" i="79"/>
  <c r="BG45" i="77"/>
  <c r="BE155" i="79"/>
  <c r="BC205" i="100"/>
  <c r="BG258" i="77"/>
  <c r="BP231" i="79"/>
  <c r="BB30" i="79"/>
  <c r="BB60" i="79"/>
  <c r="BL186" i="79"/>
  <c r="BI45" i="99"/>
  <c r="AS205" i="100"/>
  <c r="BA173" i="100"/>
  <c r="BA182" i="100"/>
  <c r="AY31" i="77"/>
  <c r="AU164" i="100"/>
  <c r="BB195" i="77"/>
  <c r="BC247" i="77"/>
  <c r="BC38" i="77"/>
  <c r="BC237" i="77"/>
  <c r="BC250" i="77"/>
  <c r="BA250" i="77"/>
  <c r="AY38" i="77"/>
  <c r="BA237" i="77"/>
  <c r="BA247" i="77"/>
  <c r="BL229" i="100"/>
  <c r="AY201" i="100"/>
  <c r="BF217" i="100"/>
  <c r="BF221" i="100"/>
  <c r="BF233" i="100"/>
  <c r="AX229" i="100"/>
  <c r="AX240" i="100"/>
  <c r="BI155" i="79"/>
  <c r="BI250" i="77"/>
  <c r="BI237" i="77"/>
  <c r="BI247" i="77"/>
  <c r="EE33" i="71"/>
  <c r="BL262" i="77"/>
  <c r="BQ255" i="77"/>
  <c r="AZ191" i="77"/>
  <c r="AZ258" i="77"/>
  <c r="AW245" i="99"/>
  <c r="BL234" i="79"/>
  <c r="BC251" i="77"/>
  <c r="EB33" i="71"/>
  <c r="BD211" i="79"/>
  <c r="AW238" i="99"/>
  <c r="BL241" i="99"/>
  <c r="BK229" i="99"/>
  <c r="BA240" i="77"/>
  <c r="AY240" i="77"/>
  <c r="BI44" i="79"/>
  <c r="AY236" i="99"/>
  <c r="BF218" i="79"/>
  <c r="BF208" i="79"/>
  <c r="BF221" i="79"/>
  <c r="BO211" i="77"/>
  <c r="BN30" i="79"/>
  <c r="BH211" i="77"/>
  <c r="BJ247" i="77"/>
  <c r="BH38" i="77"/>
  <c r="BJ237" i="77"/>
  <c r="BJ250" i="77"/>
  <c r="BB64" i="79"/>
  <c r="BB185" i="79"/>
  <c r="BB186" i="79"/>
  <c r="BP229" i="79"/>
  <c r="AW229" i="99"/>
  <c r="BO198" i="79"/>
  <c r="BO203" i="79"/>
  <c r="BO215" i="79"/>
  <c r="BN155" i="79"/>
  <c r="BK186" i="79"/>
  <c r="BK194" i="99"/>
  <c r="C5" i="62"/>
  <c r="BA36" i="99"/>
  <c r="BA61" i="77"/>
  <c r="BG195" i="77"/>
  <c r="AZ60" i="79"/>
  <c r="AZ222" i="79"/>
  <c r="AY42" i="79"/>
  <c r="BA238" i="99"/>
  <c r="AX259" i="99"/>
  <c r="BA259" i="99"/>
  <c r="BH62" i="99"/>
  <c r="BB45" i="99"/>
  <c r="BL269" i="99"/>
  <c r="BL272" i="99"/>
  <c r="AV62" i="99"/>
  <c r="AZ266" i="99"/>
  <c r="AZ249" i="99"/>
  <c r="BH266" i="99"/>
  <c r="BH249" i="99"/>
  <c r="BD249" i="46"/>
  <c r="BC249" i="46"/>
  <c r="BG65" i="71"/>
  <c r="BG33" i="46"/>
  <c r="BF65" i="99"/>
  <c r="AX194" i="99"/>
  <c r="BB194" i="99"/>
  <c r="BB65" i="71"/>
  <c r="BB33" i="46"/>
  <c r="BL65" i="71"/>
  <c r="BL33" i="46"/>
  <c r="BQ65" i="71"/>
  <c r="BQ33" i="46"/>
  <c r="BC30" i="51"/>
  <c r="BC115" i="46"/>
  <c r="BM30" i="51"/>
  <c r="BM115" i="46"/>
  <c r="BC250" i="46"/>
  <c r="AY250" i="46"/>
  <c r="AZ250" i="46"/>
  <c r="BF113" i="99"/>
  <c r="BL44" i="79"/>
  <c r="BA190" i="79"/>
  <c r="BO155" i="79"/>
  <c r="BK241" i="99"/>
  <c r="BO186" i="79"/>
  <c r="BF231" i="79"/>
  <c r="BE215" i="79"/>
  <c r="BE203" i="79"/>
  <c r="BE198" i="79"/>
  <c r="BL104" i="99"/>
  <c r="BA282" i="99"/>
  <c r="BG238" i="99"/>
  <c r="BI165" i="79"/>
  <c r="BI229" i="79"/>
  <c r="BF291" i="99"/>
  <c r="AZ67" i="46"/>
  <c r="AZ54" i="46"/>
  <c r="BB54" i="46"/>
  <c r="BB67" i="46"/>
  <c r="BD54" i="46"/>
  <c r="BD67" i="46"/>
  <c r="BF54" i="46"/>
  <c r="BF67" i="46"/>
  <c r="BH54" i="46"/>
  <c r="BH67" i="46"/>
  <c r="BJ54" i="46"/>
  <c r="BJ67" i="46"/>
  <c r="BL54" i="46"/>
  <c r="BL67" i="46"/>
  <c r="BN54" i="46"/>
  <c r="BN67" i="46"/>
  <c r="BP54" i="46"/>
  <c r="BP67" i="46"/>
  <c r="BC54" i="46"/>
  <c r="BC67" i="46"/>
  <c r="BG67" i="46"/>
  <c r="BG54" i="46"/>
  <c r="BK67" i="46"/>
  <c r="BK54" i="46"/>
  <c r="BO67" i="46"/>
  <c r="BO54" i="46"/>
  <c r="AY80" i="46"/>
  <c r="AY47" i="78"/>
  <c r="BA80" i="46"/>
  <c r="BA47" i="78"/>
  <c r="BC80" i="46"/>
  <c r="BC47" i="78"/>
  <c r="BE80" i="46"/>
  <c r="BE47" i="78"/>
  <c r="BI80" i="46"/>
  <c r="BI47" i="78"/>
  <c r="BK80" i="46"/>
  <c r="BK47" i="78"/>
  <c r="BM80" i="46"/>
  <c r="BM47" i="78"/>
  <c r="BD266" i="99"/>
  <c r="BD249" i="99"/>
  <c r="BA54" i="46"/>
  <c r="BA67" i="46"/>
  <c r="BM54" i="46"/>
  <c r="BM67" i="46"/>
  <c r="BQ67" i="46"/>
  <c r="BQ54" i="46"/>
  <c r="BO47" i="78"/>
  <c r="BO80" i="46"/>
  <c r="BA82" i="46"/>
  <c r="BA184" i="100"/>
  <c r="BB184" i="100"/>
  <c r="BB188" i="100"/>
  <c r="BG221" i="100"/>
  <c r="BG233" i="100"/>
  <c r="BJ217" i="100"/>
  <c r="BJ221" i="100"/>
  <c r="BJ233" i="100"/>
  <c r="BF244" i="100"/>
  <c r="BP42" i="79"/>
  <c r="BA212" i="77"/>
  <c r="BH42" i="79"/>
  <c r="BF191" i="77"/>
  <c r="BO42" i="79"/>
  <c r="BD218" i="79"/>
  <c r="BD208" i="79"/>
  <c r="BD221" i="79"/>
  <c r="BD229" i="79"/>
  <c r="BD194" i="99"/>
  <c r="AS165" i="100"/>
  <c r="AS169" i="100"/>
  <c r="AS173" i="100"/>
  <c r="AS182" i="100"/>
  <c r="BP216" i="77"/>
  <c r="BD162" i="100"/>
  <c r="BF190" i="79"/>
  <c r="BF201" i="100"/>
  <c r="BL183" i="79"/>
  <c r="BE42" i="79"/>
  <c r="BA218" i="79"/>
  <c r="BA208" i="79"/>
  <c r="BA221" i="79"/>
  <c r="AV262" i="99"/>
  <c r="BB32" i="99"/>
  <c r="BB262" i="99"/>
  <c r="BL32" i="99"/>
  <c r="BL262" i="99"/>
  <c r="BF30" i="79"/>
  <c r="AZ221" i="79"/>
  <c r="AZ208" i="79"/>
  <c r="AZ218" i="79"/>
  <c r="AU241" i="99"/>
  <c r="BE186" i="79"/>
  <c r="AY220" i="77"/>
  <c r="BG251" i="77"/>
  <c r="BO240" i="77"/>
  <c r="BO251" i="77"/>
  <c r="BD45" i="99"/>
  <c r="BA60" i="79"/>
  <c r="BQ209" i="77"/>
  <c r="BE228" i="77"/>
  <c r="BE269" i="77"/>
  <c r="BJ244" i="100"/>
  <c r="BG274" i="77"/>
  <c r="BK212" i="77"/>
  <c r="BL145" i="100"/>
  <c r="BJ145" i="100"/>
  <c r="BJ247" i="100"/>
  <c r="BI249" i="100"/>
  <c r="BB189" i="77"/>
  <c r="BE211" i="77"/>
  <c r="BG189" i="77"/>
  <c r="BG220" i="77"/>
  <c r="BB218" i="77"/>
  <c r="BC218" i="77"/>
  <c r="BD218" i="77"/>
  <c r="BE218" i="77"/>
  <c r="BF218" i="77"/>
  <c r="BG218" i="77"/>
  <c r="BH218" i="77"/>
  <c r="BI218" i="77"/>
  <c r="BJ218" i="77"/>
  <c r="BK218" i="77"/>
  <c r="BL218" i="77"/>
  <c r="BM218" i="77"/>
  <c r="BN218" i="77"/>
  <c r="BO218" i="77"/>
  <c r="BP218" i="77"/>
  <c r="BQ218" i="77"/>
  <c r="BQ220" i="77"/>
  <c r="BF260" i="77"/>
  <c r="BC44" i="79"/>
  <c r="BI62" i="99"/>
  <c r="DS33" i="71"/>
  <c r="BG64" i="79"/>
  <c r="BG62" i="99"/>
  <c r="BG222" i="79"/>
  <c r="AV16" i="99"/>
  <c r="BL155" i="79"/>
  <c r="AW62" i="99"/>
  <c r="BA30" i="79"/>
  <c r="BM211" i="77"/>
  <c r="BQ211" i="77"/>
  <c r="BQ212" i="77"/>
  <c r="BP221" i="79"/>
  <c r="BP208" i="79"/>
  <c r="BP218" i="79"/>
  <c r="BC241" i="99"/>
  <c r="BH36" i="99"/>
  <c r="BL36" i="99"/>
  <c r="BL62" i="99"/>
  <c r="AS236" i="99"/>
  <c r="BE291" i="99"/>
  <c r="BN249" i="46"/>
  <c r="BE45" i="99"/>
  <c r="BF44" i="79"/>
  <c r="BM198" i="79"/>
  <c r="BM203" i="79"/>
  <c r="BM215" i="79"/>
  <c r="BO221" i="79"/>
  <c r="BO208" i="79"/>
  <c r="BO218" i="79"/>
  <c r="BN229" i="79"/>
  <c r="BA191" i="77"/>
  <c r="BA258" i="77"/>
  <c r="AW45" i="99"/>
  <c r="BJ30" i="79"/>
  <c r="BO185" i="79"/>
  <c r="BL274" i="77"/>
  <c r="BE240" i="77"/>
  <c r="BC240" i="77"/>
  <c r="BQ30" i="79"/>
  <c r="BM60" i="79"/>
  <c r="BG186" i="79"/>
  <c r="BO184" i="79"/>
  <c r="BN190" i="79"/>
  <c r="AY62" i="99"/>
  <c r="BI259" i="99"/>
  <c r="BD272" i="99"/>
  <c r="BD259" i="99"/>
  <c r="BD269" i="99"/>
  <c r="BF194" i="99"/>
  <c r="BK272" i="99"/>
  <c r="BK259" i="99"/>
  <c r="BK269" i="99"/>
  <c r="AY44" i="80"/>
  <c r="AZ30" i="51"/>
  <c r="AZ115" i="46"/>
  <c r="AZ152" i="46"/>
  <c r="BB115" i="46"/>
  <c r="BB30" i="51"/>
  <c r="BD115" i="46"/>
  <c r="BD152" i="46"/>
  <c r="BD30" i="51"/>
  <c r="BF30" i="51"/>
  <c r="BF115" i="46"/>
  <c r="BF152" i="46"/>
  <c r="BH115" i="46"/>
  <c r="BH30" i="51"/>
  <c r="BJ115" i="46"/>
  <c r="BJ152" i="46"/>
  <c r="BJ30" i="51"/>
  <c r="BN152" i="46"/>
  <c r="BN30" i="51"/>
  <c r="BN115" i="46"/>
  <c r="BP152" i="46"/>
  <c r="BP115" i="46"/>
  <c r="BP30" i="51"/>
  <c r="AX872" i="80"/>
  <c r="AX860" i="80"/>
  <c r="AX873" i="80"/>
  <c r="AX851" i="80"/>
  <c r="AX874" i="80"/>
  <c r="BL103" i="73"/>
  <c r="BP211" i="79"/>
  <c r="BP222" i="79"/>
  <c r="BH186" i="79"/>
  <c r="BL185" i="79"/>
  <c r="BF184" i="100"/>
  <c r="BG184" i="100"/>
  <c r="BG188" i="100"/>
  <c r="AY249" i="100"/>
  <c r="AZ244" i="100"/>
  <c r="AX210" i="100"/>
  <c r="AY210" i="100"/>
  <c r="AZ210" i="100"/>
  <c r="BA210" i="100"/>
  <c r="BB210" i="100"/>
  <c r="BC210" i="100"/>
  <c r="BD210" i="100"/>
  <c r="BE210" i="100"/>
  <c r="BF210" i="100"/>
  <c r="BG210" i="100"/>
  <c r="BH210" i="100"/>
  <c r="BH184" i="100"/>
  <c r="BH188" i="100"/>
  <c r="BG237" i="77"/>
  <c r="BK191" i="77"/>
  <c r="BK258" i="77"/>
  <c r="BM155" i="79"/>
  <c r="BI60" i="79"/>
  <c r="BG241" i="99"/>
  <c r="BD201" i="100"/>
  <c r="BG142" i="100"/>
  <c r="BG148" i="100"/>
  <c r="AY142" i="100"/>
  <c r="AY148" i="100"/>
  <c r="AY162" i="100"/>
  <c r="AT201" i="100"/>
  <c r="BI31" i="77"/>
  <c r="BM31" i="77"/>
  <c r="BB205" i="100"/>
  <c r="BG145" i="100"/>
  <c r="BD145" i="100"/>
  <c r="BD247" i="100"/>
  <c r="BO31" i="77"/>
  <c r="BK240" i="77"/>
  <c r="BK251" i="77"/>
  <c r="BA45" i="99"/>
  <c r="BC60" i="79"/>
  <c r="BI240" i="77"/>
  <c r="BI251" i="77"/>
  <c r="BM240" i="77"/>
  <c r="BM251" i="77"/>
  <c r="BC186" i="79"/>
  <c r="BC183" i="79"/>
  <c r="BC185" i="79"/>
  <c r="BG185" i="79"/>
  <c r="BA65" i="99"/>
  <c r="BK211" i="79"/>
  <c r="BK222" i="79"/>
  <c r="BL47" i="99"/>
  <c r="BB42" i="79"/>
  <c r="EG33" i="71"/>
  <c r="BO183" i="79"/>
  <c r="BO260" i="77"/>
  <c r="BP255" i="77"/>
  <c r="BP260" i="77"/>
  <c r="EF33" i="71"/>
  <c r="AZ169" i="100"/>
  <c r="AZ173" i="100"/>
  <c r="AZ182" i="100"/>
  <c r="AZ205" i="100"/>
  <c r="BF212" i="77"/>
  <c r="BQ237" i="77"/>
  <c r="BE60" i="79"/>
  <c r="BH211" i="79"/>
  <c r="BH222" i="79"/>
  <c r="AV30" i="99"/>
  <c r="BD44" i="79"/>
  <c r="BD191" i="77"/>
  <c r="BD258" i="77"/>
  <c r="BK16" i="99"/>
  <c r="AX236" i="99"/>
  <c r="D40" i="84"/>
  <c r="BA236" i="99"/>
  <c r="BA31" i="77"/>
  <c r="BE191" i="77"/>
  <c r="BE258" i="77"/>
  <c r="BA241" i="99"/>
  <c r="BI198" i="79"/>
  <c r="BI203" i="79"/>
  <c r="BI215" i="79"/>
  <c r="BO30" i="79"/>
  <c r="BK65" i="99"/>
  <c r="BH229" i="99"/>
  <c r="AW259" i="99"/>
  <c r="BB238" i="99"/>
  <c r="AX291" i="99"/>
  <c r="BH221" i="79"/>
  <c r="BH208" i="79"/>
  <c r="BH218" i="79"/>
  <c r="AW104" i="99"/>
  <c r="AT194" i="99"/>
  <c r="BP165" i="79"/>
  <c r="BN165" i="79"/>
  <c r="BL208" i="79"/>
  <c r="BC238" i="99"/>
  <c r="BB234" i="79"/>
  <c r="BC221" i="79"/>
  <c r="BC208" i="79"/>
  <c r="BC218" i="79"/>
  <c r="BJ255" i="77"/>
  <c r="BC236" i="99"/>
  <c r="AU62" i="99"/>
  <c r="BM218" i="79"/>
  <c r="BM208" i="79"/>
  <c r="BM221" i="79"/>
  <c r="BB245" i="79"/>
  <c r="BG16" i="99"/>
  <c r="BC142" i="100"/>
  <c r="BC148" i="100"/>
  <c r="BC162" i="100"/>
  <c r="BC164" i="100"/>
  <c r="BC165" i="100"/>
  <c r="BC169" i="100"/>
  <c r="BC173" i="100"/>
  <c r="BC182" i="100"/>
  <c r="BJ201" i="100"/>
  <c r="BE249" i="100"/>
  <c r="BB45" i="77"/>
  <c r="AY211" i="77"/>
  <c r="AY212" i="77"/>
  <c r="BA209" i="77"/>
  <c r="BA211" i="77"/>
  <c r="BH30" i="79"/>
  <c r="BL30" i="79"/>
  <c r="BL60" i="79"/>
  <c r="BI30" i="79"/>
  <c r="BD165" i="79"/>
  <c r="BK113" i="99"/>
  <c r="AV142" i="100"/>
  <c r="AV148" i="100"/>
  <c r="AV162" i="100"/>
  <c r="BJ164" i="100"/>
  <c r="BJ165" i="100"/>
  <c r="BJ169" i="100"/>
  <c r="BJ173" i="100"/>
  <c r="BJ182" i="100"/>
  <c r="BP209" i="77"/>
  <c r="BP211" i="77"/>
  <c r="BP212" i="77"/>
  <c r="BJ142" i="100"/>
  <c r="BJ148" i="100"/>
  <c r="BJ162" i="100"/>
  <c r="BH201" i="100"/>
  <c r="AU142" i="100"/>
  <c r="AU148" i="100"/>
  <c r="AU162" i="100"/>
  <c r="BD142" i="100"/>
  <c r="BD148" i="100"/>
  <c r="BL189" i="77"/>
  <c r="BL195" i="77"/>
  <c r="AY30" i="79"/>
  <c r="BP33" i="77"/>
  <c r="BP36" i="77"/>
  <c r="BP189" i="77"/>
  <c r="BP195" i="77"/>
  <c r="BD249" i="100"/>
  <c r="BE244" i="100"/>
  <c r="BA164" i="100"/>
  <c r="BA165" i="100"/>
  <c r="BA169" i="100"/>
  <c r="BB169" i="100"/>
  <c r="BB173" i="100"/>
  <c r="BB182" i="100"/>
  <c r="BA38" i="77"/>
  <c r="BA44" i="77"/>
  <c r="BI38" i="77"/>
  <c r="BI44" i="77"/>
  <c r="BC31" i="77"/>
  <c r="BG31" i="77"/>
  <c r="BG61" i="77"/>
  <c r="BF38" i="77"/>
  <c r="BF44" i="77"/>
  <c r="BD30" i="79"/>
  <c r="AZ194" i="99"/>
  <c r="BC198" i="79"/>
  <c r="BC203" i="79"/>
  <c r="BC215" i="79"/>
  <c r="BG262" i="77"/>
  <c r="AZ45" i="99"/>
  <c r="BB245" i="99"/>
  <c r="AW179" i="99"/>
  <c r="BG240" i="77"/>
  <c r="BD186" i="79"/>
  <c r="AV245" i="99"/>
  <c r="AZ42" i="79"/>
  <c r="BQ189" i="77"/>
  <c r="BQ195" i="77"/>
  <c r="BO209" i="77"/>
  <c r="AZ142" i="100"/>
  <c r="AZ148" i="100"/>
  <c r="AZ162" i="100"/>
  <c r="AZ164" i="100"/>
  <c r="AZ165" i="100"/>
  <c r="BA142" i="100"/>
  <c r="BA148" i="100"/>
  <c r="BA162" i="100"/>
  <c r="AZ29" i="77"/>
  <c r="AZ33" i="77"/>
  <c r="AZ36" i="77"/>
  <c r="AZ189" i="77"/>
  <c r="AZ195" i="77"/>
  <c r="AZ209" i="77"/>
  <c r="AZ211" i="77"/>
  <c r="BP27" i="77"/>
  <c r="BP29" i="77"/>
  <c r="BI191" i="77"/>
  <c r="BI258" i="77"/>
  <c r="BC228" i="77"/>
  <c r="BC269" i="77"/>
  <c r="BI228" i="77"/>
  <c r="BI269" i="77"/>
  <c r="BM228" i="77"/>
  <c r="BM269" i="77"/>
  <c r="BK209" i="77"/>
  <c r="BK211" i="77"/>
  <c r="BF29" i="77"/>
  <c r="BF33" i="77"/>
  <c r="BF36" i="77"/>
  <c r="BF189" i="77"/>
  <c r="BF195" i="77"/>
  <c r="BF209" i="77"/>
  <c r="BF211" i="77"/>
  <c r="BH29" i="77"/>
  <c r="BH33" i="77"/>
  <c r="BH36" i="77"/>
  <c r="BH189" i="77"/>
  <c r="BH195" i="77"/>
  <c r="BH209" i="77"/>
  <c r="AX244" i="100"/>
  <c r="AX249" i="100"/>
  <c r="AY244" i="100"/>
  <c r="BC244" i="100"/>
  <c r="BC249" i="100"/>
  <c r="BD244" i="100"/>
  <c r="AW247" i="100"/>
  <c r="AW249" i="100"/>
  <c r="BB244" i="100"/>
  <c r="BB249" i="100"/>
  <c r="BG244" i="100"/>
  <c r="BG249" i="100"/>
  <c r="BH244" i="100"/>
  <c r="BH249" i="100"/>
  <c r="BI244" i="100"/>
  <c r="BD29" i="77"/>
  <c r="BD33" i="77"/>
  <c r="BD36" i="77"/>
  <c r="BD189" i="77"/>
  <c r="BD195" i="77"/>
  <c r="BD209" i="77"/>
  <c r="BD211" i="77"/>
  <c r="BJ209" i="77"/>
  <c r="BJ211" i="77"/>
  <c r="BJ212" i="77"/>
  <c r="BN27" i="77"/>
  <c r="BN29" i="77"/>
  <c r="BN33" i="77"/>
  <c r="BN36" i="77"/>
  <c r="BN189" i="77"/>
  <c r="BN195" i="77"/>
  <c r="BN209" i="77"/>
  <c r="BN211" i="77"/>
  <c r="AY195" i="77"/>
  <c r="AY209" i="77"/>
  <c r="BE29" i="77"/>
  <c r="BE33" i="77"/>
  <c r="BE36" i="77"/>
  <c r="BE189" i="77"/>
  <c r="BE195" i="77"/>
  <c r="BE209" i="77"/>
  <c r="BC189" i="77"/>
  <c r="BC195" i="77"/>
  <c r="BC209" i="77"/>
  <c r="BD27" i="77"/>
  <c r="BI27" i="77"/>
  <c r="BI29" i="77"/>
  <c r="BI33" i="77"/>
  <c r="BI36" i="77"/>
  <c r="BI189" i="77"/>
  <c r="BI195" i="77"/>
  <c r="BI209" i="77"/>
  <c r="BB240" i="77"/>
  <c r="BK221" i="79"/>
  <c r="BK208" i="79"/>
  <c r="BK218" i="79"/>
  <c r="BI36" i="99"/>
  <c r="BG245" i="99"/>
  <c r="BF186" i="79"/>
  <c r="BQ208" i="79"/>
  <c r="BK236" i="99"/>
  <c r="BC45" i="99"/>
  <c r="BI194" i="99"/>
  <c r="BQ65" i="77"/>
  <c r="BA260" i="77"/>
  <c r="BF155" i="79"/>
  <c r="BF245" i="99"/>
  <c r="BM29" i="77"/>
  <c r="BM33" i="77"/>
  <c r="BM36" i="77"/>
  <c r="BM189" i="77"/>
  <c r="BM195" i="77"/>
  <c r="BM209" i="77"/>
  <c r="BH169" i="79"/>
  <c r="BH183" i="79"/>
  <c r="BH185" i="79"/>
  <c r="BP191" i="77"/>
  <c r="BP258" i="77"/>
  <c r="BH45" i="99"/>
  <c r="BA30" i="99"/>
  <c r="BH155" i="79"/>
  <c r="BK273" i="99"/>
  <c r="BI254" i="99"/>
  <c r="EC33" i="71"/>
  <c r="BC229" i="99"/>
  <c r="BK42" i="79"/>
  <c r="BE260" i="77"/>
  <c r="BF255" i="77"/>
  <c r="AT245" i="99"/>
  <c r="BZ27" i="73"/>
  <c r="BZ25" i="73"/>
  <c r="D56" i="84"/>
  <c r="BH65" i="99"/>
  <c r="AY255" i="77"/>
  <c r="AY260" i="77"/>
  <c r="AZ255" i="77"/>
  <c r="AZ260" i="77"/>
  <c r="BA255" i="77"/>
  <c r="BF27" i="77"/>
  <c r="BK27" i="77"/>
  <c r="BK29" i="77"/>
  <c r="BK33" i="77"/>
  <c r="BK36" i="77"/>
  <c r="BK189" i="77"/>
  <c r="BK195" i="77"/>
  <c r="BJ236" i="99"/>
  <c r="AZ240" i="77"/>
  <c r="AZ251" i="77"/>
  <c r="BF240" i="77"/>
  <c r="BF251" i="77"/>
  <c r="BJ240" i="77"/>
  <c r="BJ251" i="77"/>
  <c r="BL191" i="77"/>
  <c r="BH191" i="77"/>
  <c r="BH258" i="77"/>
  <c r="BL258" i="77"/>
  <c r="BN260" i="77"/>
  <c r="BO255" i="77"/>
  <c r="BM30" i="79"/>
  <c r="BF226" i="79"/>
  <c r="BI260" i="77"/>
  <c r="BN183" i="79"/>
  <c r="BN185" i="79"/>
  <c r="BN186" i="79"/>
  <c r="AX260" i="77"/>
  <c r="BB263" i="77"/>
  <c r="BB262" i="77"/>
  <c r="BB101" i="73"/>
  <c r="BD228" i="77"/>
  <c r="BD269" i="77"/>
  <c r="BN228" i="77"/>
  <c r="BN269" i="77"/>
  <c r="BJ272" i="99"/>
  <c r="BJ259" i="99"/>
  <c r="BJ269" i="99"/>
  <c r="BL112" i="99"/>
  <c r="BL113" i="99"/>
  <c r="BF228" i="77"/>
  <c r="BF269" i="77"/>
  <c r="BP228" i="77"/>
  <c r="BP269" i="77"/>
  <c r="AZ238" i="99"/>
  <c r="BG44" i="79"/>
  <c r="BP10" i="46"/>
  <c r="AZ122" i="46"/>
  <c r="AZ872" i="80"/>
  <c r="AZ860" i="80"/>
  <c r="AZ873" i="80"/>
  <c r="AZ851" i="80"/>
  <c r="BB851" i="80"/>
  <c r="BB122" i="46"/>
  <c r="BB872" i="80"/>
  <c r="BB860" i="80"/>
  <c r="BB873" i="80"/>
  <c r="BD122" i="46"/>
  <c r="BD872" i="80"/>
  <c r="BD860" i="80"/>
  <c r="BD873" i="80"/>
  <c r="BD851" i="80"/>
  <c r="BF851" i="80"/>
  <c r="BF122" i="46"/>
  <c r="BF872" i="80"/>
  <c r="BF860" i="80"/>
  <c r="BF873" i="80"/>
  <c r="BH122" i="46"/>
  <c r="BH872" i="80"/>
  <c r="BH860" i="80"/>
  <c r="BH873" i="80"/>
  <c r="BH851" i="80"/>
  <c r="BJ851" i="80"/>
  <c r="BJ122" i="46"/>
  <c r="BJ872" i="80"/>
  <c r="BJ860" i="80"/>
  <c r="BJ873" i="80"/>
  <c r="BL122" i="46"/>
  <c r="BL872" i="80"/>
  <c r="BL860" i="80"/>
  <c r="BL873" i="80"/>
  <c r="BL851" i="80"/>
  <c r="BN851" i="80"/>
  <c r="BN122" i="46"/>
  <c r="BN872" i="80"/>
  <c r="BN860" i="80"/>
  <c r="BN873" i="80"/>
  <c r="BP122" i="46"/>
  <c r="BP872" i="80"/>
  <c r="BP860" i="80"/>
  <c r="BP873" i="80"/>
  <c r="BP851" i="80"/>
  <c r="AX244" i="78"/>
  <c r="AX232" i="78"/>
  <c r="AX246" i="78"/>
  <c r="AX223" i="78"/>
  <c r="AX124" i="46"/>
  <c r="AX245" i="78"/>
  <c r="AZ244" i="78"/>
  <c r="AZ124" i="46"/>
  <c r="AZ245" i="78"/>
  <c r="AZ223" i="78"/>
  <c r="AZ232" i="78"/>
  <c r="BB124" i="46"/>
  <c r="BB245" i="78"/>
  <c r="BB223" i="78"/>
  <c r="BB232" i="78"/>
  <c r="BB244" i="78"/>
  <c r="BD244" i="78"/>
  <c r="BD124" i="46"/>
  <c r="BD245" i="78"/>
  <c r="BD223" i="78"/>
  <c r="BD232" i="78"/>
  <c r="BF124" i="46"/>
  <c r="BF245" i="78"/>
  <c r="BF223" i="78"/>
  <c r="BF232" i="78"/>
  <c r="BF244" i="78"/>
  <c r="BH244" i="78"/>
  <c r="BH124" i="46"/>
  <c r="BH245" i="78"/>
  <c r="BH223" i="78"/>
  <c r="BH232" i="78"/>
  <c r="BJ124" i="46"/>
  <c r="BJ245" i="78"/>
  <c r="BJ223" i="78"/>
  <c r="BJ232" i="78"/>
  <c r="BJ244" i="78"/>
  <c r="BL244" i="78"/>
  <c r="BL124" i="46"/>
  <c r="BL245" i="78"/>
  <c r="BL223" i="78"/>
  <c r="BL232" i="78"/>
  <c r="BN124" i="46"/>
  <c r="BN245" i="78"/>
  <c r="BN223" i="78"/>
  <c r="BN232" i="78"/>
  <c r="BN244" i="78"/>
  <c r="BP244" i="78"/>
  <c r="BP124" i="46"/>
  <c r="BP245" i="78"/>
  <c r="BP223" i="78"/>
  <c r="BP232" i="78"/>
  <c r="AS235" i="98"/>
  <c r="AS223" i="98"/>
  <c r="AX126" i="46"/>
  <c r="AS237" i="98"/>
  <c r="AS236" i="98"/>
  <c r="AS214" i="98"/>
  <c r="AZ126" i="46"/>
  <c r="AU235" i="98"/>
  <c r="AU223" i="98"/>
  <c r="AU236" i="98"/>
  <c r="AU214" i="98"/>
  <c r="AW214" i="98"/>
  <c r="BB126" i="46"/>
  <c r="AW235" i="98"/>
  <c r="AW223" i="98"/>
  <c r="AW236" i="98"/>
  <c r="BD126" i="46"/>
  <c r="AY235" i="98"/>
  <c r="AY223" i="98"/>
  <c r="AY236" i="98"/>
  <c r="AY214" i="98"/>
  <c r="BA214" i="98"/>
  <c r="BF126" i="46"/>
  <c r="BA235" i="98"/>
  <c r="BA223" i="98"/>
  <c r="BA236" i="98"/>
  <c r="BH126" i="46"/>
  <c r="BC235" i="98"/>
  <c r="BC223" i="98"/>
  <c r="BC236" i="98"/>
  <c r="BC214" i="98"/>
  <c r="BE214" i="98"/>
  <c r="BJ126" i="46"/>
  <c r="BE235" i="98"/>
  <c r="BE223" i="98"/>
  <c r="BE236" i="98"/>
  <c r="BL126" i="46"/>
  <c r="BG235" i="98"/>
  <c r="BG223" i="98"/>
  <c r="BG236" i="98"/>
  <c r="BG214" i="98"/>
  <c r="BI214" i="98"/>
  <c r="BN126" i="46"/>
  <c r="BI235" i="98"/>
  <c r="BI223" i="98"/>
  <c r="BI236" i="98"/>
  <c r="BP126" i="46"/>
  <c r="BK235" i="98"/>
  <c r="BK223" i="98"/>
  <c r="BK236" i="98"/>
  <c r="BK214" i="98"/>
  <c r="AZ133" i="46"/>
  <c r="AZ129" i="46"/>
  <c r="BD133" i="46"/>
  <c r="BD129" i="46"/>
  <c r="BF133" i="46"/>
  <c r="BF129" i="46"/>
  <c r="BH133" i="46"/>
  <c r="BH129" i="46"/>
  <c r="BJ133" i="46"/>
  <c r="BJ129" i="46"/>
  <c r="BN129" i="46"/>
  <c r="BN133" i="46"/>
  <c r="BA10" i="46"/>
  <c r="BD250" i="46"/>
  <c r="AZ53" i="46"/>
  <c r="BH250" i="46"/>
  <c r="BD53" i="46"/>
  <c r="BF80" i="46"/>
  <c r="BF47" i="78"/>
  <c r="BJ80" i="46"/>
  <c r="BJ47" i="78"/>
  <c r="BN80" i="46"/>
  <c r="BN47" i="78"/>
  <c r="BA115" i="46"/>
  <c r="BA152" i="46"/>
  <c r="BA30" i="51"/>
  <c r="BE30" i="51"/>
  <c r="BE115" i="46"/>
  <c r="BE152" i="46"/>
  <c r="BI115" i="46"/>
  <c r="BI152" i="46"/>
  <c r="BI30" i="51"/>
  <c r="BA122" i="46"/>
  <c r="BA873" i="80"/>
  <c r="BA851" i="80"/>
  <c r="BA860" i="80"/>
  <c r="BA872" i="80"/>
  <c r="BE872" i="80"/>
  <c r="BE122" i="46"/>
  <c r="BE873" i="80"/>
  <c r="BE851" i="80"/>
  <c r="BE860" i="80"/>
  <c r="BI122" i="46"/>
  <c r="BI873" i="80"/>
  <c r="BI851" i="80"/>
  <c r="BI860" i="80"/>
  <c r="BI872" i="80"/>
  <c r="BM872" i="80"/>
  <c r="BM122" i="46"/>
  <c r="BM873" i="80"/>
  <c r="BM851" i="80"/>
  <c r="BM860" i="80"/>
  <c r="BQ122" i="46"/>
  <c r="BQ873" i="80"/>
  <c r="BQ851" i="80"/>
  <c r="BQ860" i="80"/>
  <c r="BQ872" i="80"/>
  <c r="BA223" i="78"/>
  <c r="BA124" i="46"/>
  <c r="BA244" i="78"/>
  <c r="BA232" i="78"/>
  <c r="BA245" i="78"/>
  <c r="BE124" i="46"/>
  <c r="BE244" i="78"/>
  <c r="BE232" i="78"/>
  <c r="BE245" i="78"/>
  <c r="BE223" i="78"/>
  <c r="BI223" i="78"/>
  <c r="BI124" i="46"/>
  <c r="BI244" i="78"/>
  <c r="BI232" i="78"/>
  <c r="BI245" i="78"/>
  <c r="BM124" i="46"/>
  <c r="BM244" i="78"/>
  <c r="BM232" i="78"/>
  <c r="BM245" i="78"/>
  <c r="BM223" i="78"/>
  <c r="BQ223" i="78"/>
  <c r="BQ124" i="46"/>
  <c r="BQ244" i="78"/>
  <c r="BQ232" i="78"/>
  <c r="BQ245" i="78"/>
  <c r="BA126" i="46"/>
  <c r="AV236" i="98"/>
  <c r="AV214" i="98"/>
  <c r="AV223" i="98"/>
  <c r="AV235" i="98"/>
  <c r="AZ235" i="98"/>
  <c r="BE126" i="46"/>
  <c r="AZ236" i="98"/>
  <c r="AZ214" i="98"/>
  <c r="AZ223" i="98"/>
  <c r="BI126" i="46"/>
  <c r="BD236" i="98"/>
  <c r="BD214" i="98"/>
  <c r="BD223" i="98"/>
  <c r="BD235" i="98"/>
  <c r="BH235" i="98"/>
  <c r="BM126" i="46"/>
  <c r="BH236" i="98"/>
  <c r="BH214" i="98"/>
  <c r="BH223" i="98"/>
  <c r="BQ126" i="46"/>
  <c r="BL236" i="98"/>
  <c r="BL214" i="98"/>
  <c r="BL223" i="98"/>
  <c r="BL235" i="98"/>
  <c r="BA133" i="46"/>
  <c r="BA129" i="46"/>
  <c r="BE133" i="46"/>
  <c r="BE129" i="46"/>
  <c r="BI133" i="46"/>
  <c r="BI129" i="46"/>
  <c r="BM133" i="46"/>
  <c r="BM129" i="46"/>
  <c r="BP133" i="46"/>
  <c r="BP129" i="46"/>
  <c r="AY233" i="46"/>
  <c r="AY242" i="46"/>
  <c r="BA233" i="46"/>
  <c r="BA242" i="46"/>
  <c r="BA130" i="46"/>
  <c r="BC242" i="46"/>
  <c r="BC233" i="46"/>
  <c r="BE233" i="46"/>
  <c r="BE242" i="46"/>
  <c r="BE130" i="46"/>
  <c r="BG233" i="46"/>
  <c r="BG242" i="46"/>
  <c r="BI233" i="46"/>
  <c r="BI242" i="46"/>
  <c r="BI130" i="46"/>
  <c r="BK242" i="46"/>
  <c r="BK233" i="46"/>
  <c r="BM233" i="46"/>
  <c r="BM242" i="46"/>
  <c r="BM130" i="46"/>
  <c r="BO233" i="46"/>
  <c r="BO242" i="46"/>
  <c r="BQ233" i="46"/>
  <c r="BQ242" i="46"/>
  <c r="AY115" i="46"/>
  <c r="BB39" i="46"/>
  <c r="AY30" i="51"/>
  <c r="BK30" i="51"/>
  <c r="BK152" i="46"/>
  <c r="BK115" i="46"/>
  <c r="BO152" i="46"/>
  <c r="BO115" i="46"/>
  <c r="BO30" i="51"/>
  <c r="AZ130" i="46"/>
  <c r="AZ233" i="46"/>
  <c r="AZ242" i="46"/>
  <c r="BB233" i="46"/>
  <c r="BB242" i="46"/>
  <c r="BD233" i="46"/>
  <c r="BD242" i="46"/>
  <c r="BD130" i="46"/>
  <c r="BF130" i="46"/>
  <c r="BF233" i="46"/>
  <c r="BF242" i="46"/>
  <c r="BH233" i="46"/>
  <c r="BH242" i="46"/>
  <c r="BH130" i="46"/>
  <c r="BJ130" i="46"/>
  <c r="BJ233" i="46"/>
  <c r="BJ242" i="46"/>
  <c r="BL233" i="46"/>
  <c r="BL242" i="46"/>
  <c r="BN233" i="46"/>
  <c r="BN242" i="46"/>
  <c r="BN130" i="46"/>
  <c r="BP130" i="46"/>
  <c r="BP233" i="46"/>
  <c r="BP242" i="46"/>
  <c r="DS16" i="71"/>
  <c r="BA239" i="46"/>
  <c r="DW16" i="71"/>
  <c r="BE239" i="46"/>
  <c r="EA16" i="71"/>
  <c r="BI239" i="46"/>
  <c r="EE16" i="71"/>
  <c r="BM239" i="46"/>
  <c r="BJ250" i="46"/>
  <c r="BF53" i="46"/>
  <c r="BN250" i="46"/>
  <c r="BJ53" i="46"/>
  <c r="BC248" i="46"/>
  <c r="BE248" i="46"/>
  <c r="BD248" i="46"/>
  <c r="BJ248" i="46"/>
  <c r="BI248" i="46"/>
  <c r="BH248" i="46"/>
  <c r="BO248" i="46"/>
  <c r="BN248" i="46"/>
  <c r="BM248" i="46"/>
  <c r="AZ42" i="80"/>
  <c r="BK868" i="80"/>
  <c r="BH868" i="80"/>
  <c r="BI868" i="80"/>
  <c r="BJ868" i="80"/>
  <c r="BK112" i="99"/>
  <c r="BL94" i="99"/>
  <c r="BC30" i="79"/>
  <c r="BG30" i="79"/>
  <c r="BG60" i="79"/>
  <c r="AV236" i="99"/>
  <c r="AV272" i="99"/>
  <c r="AV269" i="99"/>
  <c r="BF249" i="99"/>
  <c r="BF266" i="99"/>
  <c r="BF28" i="46"/>
  <c r="BE254" i="99"/>
  <c r="BE252" i="99"/>
  <c r="BE236" i="99"/>
  <c r="BE251" i="99"/>
  <c r="BB25" i="46"/>
  <c r="BE250" i="46"/>
  <c r="BA53" i="46"/>
  <c r="BE54" i="46"/>
  <c r="BE67" i="46"/>
  <c r="BN83" i="46"/>
  <c r="AZ173" i="46"/>
  <c r="CB51" i="73"/>
  <c r="BA822" i="80"/>
  <c r="AZ822" i="80"/>
  <c r="AY822" i="80"/>
  <c r="CC51" i="73"/>
  <c r="BD822" i="80"/>
  <c r="BC822" i="80"/>
  <c r="BF822" i="80"/>
  <c r="BE822" i="80"/>
  <c r="BH822" i="80"/>
  <c r="BI822" i="80"/>
  <c r="CD51" i="73"/>
  <c r="BJ822" i="80"/>
  <c r="BK822" i="80"/>
  <c r="BN822" i="80"/>
  <c r="BM822" i="80"/>
  <c r="BP822" i="80"/>
  <c r="BO822" i="80"/>
  <c r="CE51" i="73"/>
  <c r="AY846" i="80"/>
  <c r="AZ840" i="80"/>
  <c r="BG840" i="80"/>
  <c r="BC840" i="80"/>
  <c r="BB846" i="80"/>
  <c r="BE840" i="80"/>
  <c r="BD846" i="80"/>
  <c r="BI840" i="80"/>
  <c r="BH846" i="80"/>
  <c r="BK840" i="80"/>
  <c r="BJ846" i="80"/>
  <c r="BM840" i="80"/>
  <c r="BL846" i="80"/>
  <c r="BQ840" i="80"/>
  <c r="BN846" i="80"/>
  <c r="BO840" i="80"/>
  <c r="BC846" i="80"/>
  <c r="BD840" i="80"/>
  <c r="BH840" i="80"/>
  <c r="BL840" i="80"/>
  <c r="BG846" i="80"/>
  <c r="BJ840" i="80"/>
  <c r="BI846" i="80"/>
  <c r="BO846" i="80"/>
  <c r="BP840" i="80"/>
  <c r="AY872" i="80"/>
  <c r="AY122" i="46"/>
  <c r="AY873" i="80"/>
  <c r="AY851" i="80"/>
  <c r="AY860" i="80"/>
  <c r="BE30" i="79"/>
  <c r="BE44" i="79"/>
  <c r="BJ186" i="79"/>
  <c r="AV113" i="99"/>
  <c r="BA229" i="99"/>
  <c r="BA29" i="77"/>
  <c r="BA33" i="77"/>
  <c r="BA36" i="77"/>
  <c r="BA189" i="77"/>
  <c r="BA195" i="77"/>
  <c r="BL280" i="99"/>
  <c r="BD240" i="77"/>
  <c r="BD251" i="77"/>
  <c r="BH240" i="77"/>
  <c r="BH251" i="77"/>
  <c r="BE255" i="77"/>
  <c r="AX230" i="77"/>
  <c r="AX228" i="77"/>
  <c r="AX269" i="77"/>
  <c r="BH228" i="77"/>
  <c r="BH269" i="77"/>
  <c r="AZ236" i="99"/>
  <c r="AU262" i="99"/>
  <c r="AU273" i="99"/>
  <c r="AT280" i="99"/>
  <c r="BA229" i="79"/>
  <c r="BG273" i="99"/>
  <c r="AT176" i="99"/>
  <c r="BD176" i="99"/>
  <c r="BD280" i="99"/>
  <c r="BM44" i="80"/>
  <c r="BP109" i="46"/>
  <c r="BF42" i="80"/>
  <c r="BB241" i="99"/>
  <c r="AY238" i="99"/>
  <c r="BL285" i="99"/>
  <c r="BH254" i="99"/>
  <c r="BQ47" i="78"/>
  <c r="BO133" i="46"/>
  <c r="BO130" i="46"/>
  <c r="BO129" i="46"/>
  <c r="BC872" i="80"/>
  <c r="BC860" i="80"/>
  <c r="BC873" i="80"/>
  <c r="BC122" i="46"/>
  <c r="BC851" i="80"/>
  <c r="BG872" i="80"/>
  <c r="BG873" i="80"/>
  <c r="BG851" i="80"/>
  <c r="BG122" i="46"/>
  <c r="BG860" i="80"/>
  <c r="BK851" i="80"/>
  <c r="BK860" i="80"/>
  <c r="BK872" i="80"/>
  <c r="BK122" i="46"/>
  <c r="BK873" i="80"/>
  <c r="BO122" i="46"/>
  <c r="BO851" i="80"/>
  <c r="BO873" i="80"/>
  <c r="BO872" i="80"/>
  <c r="BO860" i="80"/>
  <c r="AY871" i="80"/>
  <c r="AY854" i="80"/>
  <c r="BA871" i="80"/>
  <c r="BA854" i="80"/>
  <c r="BC871" i="80"/>
  <c r="BC854" i="80"/>
  <c r="BE871" i="80"/>
  <c r="BE854" i="80"/>
  <c r="BG871" i="80"/>
  <c r="BG854" i="80"/>
  <c r="BI871" i="80"/>
  <c r="BI854" i="80"/>
  <c r="BG113" i="99"/>
  <c r="BF30" i="99"/>
  <c r="AZ241" i="99"/>
  <c r="AU295" i="99"/>
  <c r="BA263" i="99"/>
  <c r="BA295" i="99"/>
  <c r="BE263" i="99"/>
  <c r="BE295" i="99"/>
  <c r="BK263" i="99"/>
  <c r="BK295" i="99"/>
  <c r="AV259" i="99"/>
  <c r="AT259" i="99"/>
  <c r="AU263" i="99"/>
  <c r="BG45" i="99"/>
  <c r="BB280" i="99"/>
  <c r="BB285" i="99"/>
  <c r="BI250" i="46"/>
  <c r="BE53" i="46"/>
  <c r="BA194" i="99"/>
  <c r="EF11" i="71"/>
  <c r="BL236" i="46"/>
  <c r="BI65" i="99"/>
  <c r="BK254" i="99"/>
  <c r="AT254" i="99"/>
  <c r="BG47" i="78"/>
  <c r="DZ11" i="71"/>
  <c r="BO236" i="46"/>
  <c r="AV282" i="99"/>
  <c r="AY229" i="99"/>
  <c r="BL273" i="99"/>
  <c r="BG52" i="46"/>
  <c r="BO52" i="46"/>
  <c r="BC222" i="46"/>
  <c r="AX45" i="99"/>
  <c r="BG36" i="99"/>
  <c r="BC62" i="99"/>
  <c r="BF241" i="99"/>
  <c r="BG272" i="99"/>
  <c r="BG269" i="99"/>
  <c r="BB103" i="73"/>
  <c r="AX249" i="99"/>
  <c r="AX266" i="99"/>
  <c r="AX254" i="99"/>
  <c r="AX251" i="99"/>
  <c r="AX252" i="99"/>
  <c r="BK245" i="99"/>
  <c r="BH236" i="99"/>
  <c r="BH251" i="99"/>
  <c r="BH252" i="99"/>
  <c r="BH291" i="99"/>
  <c r="BL266" i="99"/>
  <c r="BL249" i="99"/>
  <c r="BI44" i="80"/>
  <c r="BE210" i="46"/>
  <c r="AV266" i="99"/>
  <c r="AV249" i="99"/>
  <c r="BJ84" i="46"/>
  <c r="BC152" i="46"/>
  <c r="BG152" i="46"/>
  <c r="AY222" i="79"/>
  <c r="BQ222" i="79"/>
  <c r="BO165" i="79"/>
  <c r="BO229" i="79"/>
  <c r="BD62" i="99"/>
  <c r="BK68" i="46"/>
  <c r="BL196" i="99"/>
  <c r="AY45" i="99"/>
  <c r="BF112" i="99"/>
  <c r="BD254" i="99"/>
  <c r="BM210" i="46"/>
  <c r="AZ269" i="99"/>
  <c r="AZ259" i="99"/>
  <c r="AZ272" i="99"/>
  <c r="AY260" i="99"/>
  <c r="AY273" i="99"/>
  <c r="BC260" i="99"/>
  <c r="BC273" i="99"/>
  <c r="BI260" i="99"/>
  <c r="BI273" i="99"/>
  <c r="BA176" i="99"/>
  <c r="BA280" i="99"/>
  <c r="AY194" i="99"/>
  <c r="BF252" i="99"/>
  <c r="BF254" i="99"/>
  <c r="BB28" i="46"/>
  <c r="BL53" i="46"/>
  <c r="BG103" i="73"/>
  <c r="BH249" i="46"/>
  <c r="BI67" i="46"/>
  <c r="BI54" i="46"/>
  <c r="BK248" i="46"/>
  <c r="BL248" i="46"/>
  <c r="AU272" i="99"/>
  <c r="AU259" i="99"/>
  <c r="AU269" i="99"/>
  <c r="BH234" i="99"/>
  <c r="AT62" i="99"/>
  <c r="AW36" i="99"/>
  <c r="AX62" i="99"/>
  <c r="AY129" i="46"/>
  <c r="AY130" i="46"/>
  <c r="AY133" i="46"/>
  <c r="BB273" i="99"/>
  <c r="BJ260" i="99"/>
  <c r="BJ273" i="99"/>
  <c r="AZ176" i="99"/>
  <c r="AZ280" i="99"/>
  <c r="BH176" i="99"/>
  <c r="BH280" i="99"/>
  <c r="BK53" i="46"/>
  <c r="BO250" i="46"/>
  <c r="BE44" i="80"/>
  <c r="BQ106" i="46"/>
  <c r="BI39" i="46"/>
  <c r="BA238" i="46"/>
  <c r="BA222" i="46"/>
  <c r="BE238" i="46"/>
  <c r="BE222" i="46"/>
  <c r="BI238" i="46"/>
  <c r="BI222" i="46"/>
  <c r="BM238" i="46"/>
  <c r="BM222" i="46"/>
  <c r="BA850" i="80"/>
  <c r="BE846" i="80"/>
  <c r="BF840" i="80"/>
  <c r="BK871" i="80"/>
  <c r="BK854" i="80"/>
  <c r="BM871" i="80"/>
  <c r="BM854" i="80"/>
  <c r="BO854" i="80"/>
  <c r="BO871" i="80"/>
  <c r="BQ854" i="80"/>
  <c r="BQ871" i="80"/>
  <c r="AY857" i="80"/>
  <c r="AY859" i="80"/>
  <c r="BA857" i="80"/>
  <c r="BA859" i="80"/>
  <c r="BC857" i="80"/>
  <c r="BC859" i="80"/>
  <c r="BE857" i="80"/>
  <c r="BE859" i="80"/>
  <c r="BG857" i="80"/>
  <c r="BG859" i="80"/>
  <c r="BI857" i="80"/>
  <c r="BI859" i="80"/>
  <c r="BK857" i="80"/>
  <c r="BK859" i="80"/>
  <c r="BM857" i="80"/>
  <c r="BM859" i="80"/>
  <c r="BO857" i="80"/>
  <c r="BO859" i="80"/>
  <c r="AX854" i="80"/>
  <c r="AX857" i="80"/>
  <c r="AX859" i="80"/>
  <c r="AX871" i="80"/>
  <c r="AY868" i="80"/>
  <c r="AZ868" i="80"/>
  <c r="BA868" i="80"/>
  <c r="BF868" i="80"/>
  <c r="BC868" i="80"/>
  <c r="BD868" i="80"/>
  <c r="BE868" i="80"/>
  <c r="BN868" i="80"/>
  <c r="BM868" i="80"/>
  <c r="BO868" i="80"/>
  <c r="BP868" i="80"/>
  <c r="BG874" i="80"/>
  <c r="BG877" i="80"/>
  <c r="DR9" i="71"/>
  <c r="AZ239" i="46"/>
  <c r="DR16" i="71"/>
  <c r="DX16" i="71"/>
  <c r="BF239" i="46"/>
  <c r="EF16" i="71"/>
  <c r="BN239" i="46"/>
  <c r="BN222" i="46"/>
  <c r="BN238" i="46"/>
  <c r="BL8" i="73"/>
  <c r="BL23" i="71"/>
  <c r="BQ23" i="71"/>
  <c r="BQ8" i="73"/>
  <c r="BQ64" i="71"/>
  <c r="BQ59" i="71"/>
  <c r="AC19" i="71"/>
  <c r="BQ66" i="71"/>
  <c r="BQ18" i="71"/>
  <c r="BQ47" i="71"/>
  <c r="BB66" i="71"/>
  <c r="BB47" i="71"/>
  <c r="BB64" i="71"/>
  <c r="BB59" i="71"/>
  <c r="BB8" i="73"/>
  <c r="BB18" i="71"/>
  <c r="BB23" i="71"/>
  <c r="BB86" i="46"/>
  <c r="BB10" i="71"/>
  <c r="BL47" i="71"/>
  <c r="BL59" i="71"/>
  <c r="BL64" i="71"/>
  <c r="BL18" i="71"/>
  <c r="BL66" i="71"/>
  <c r="BL10" i="71"/>
  <c r="BL86" i="46"/>
  <c r="BG8" i="73"/>
  <c r="BG23" i="71"/>
  <c r="BG64" i="71"/>
  <c r="BG66" i="71"/>
  <c r="BG59" i="71"/>
  <c r="BG18" i="71"/>
  <c r="BG47" i="71"/>
  <c r="AZ80" i="46"/>
  <c r="AZ47" i="78"/>
  <c r="BD80" i="46"/>
  <c r="BD47" i="78"/>
  <c r="BH80" i="46"/>
  <c r="BH47" i="78"/>
  <c r="BP47" i="78"/>
  <c r="BP80" i="46"/>
  <c r="BN82" i="46"/>
  <c r="AY232" i="78"/>
  <c r="AY245" i="78"/>
  <c r="AY223" i="78"/>
  <c r="AY124" i="46"/>
  <c r="AY244" i="78"/>
  <c r="BC232" i="78"/>
  <c r="BC245" i="78"/>
  <c r="BC223" i="78"/>
  <c r="BC124" i="46"/>
  <c r="BC244" i="78"/>
  <c r="BG232" i="78"/>
  <c r="BG245" i="78"/>
  <c r="BG223" i="78"/>
  <c r="BG124" i="46"/>
  <c r="BG244" i="78"/>
  <c r="BK232" i="78"/>
  <c r="BK245" i="78"/>
  <c r="BK223" i="78"/>
  <c r="BK124" i="46"/>
  <c r="BK244" i="78"/>
  <c r="BO232" i="78"/>
  <c r="BO244" i="78"/>
  <c r="BO245" i="78"/>
  <c r="BO124" i="46"/>
  <c r="BO223" i="78"/>
  <c r="BC850" i="80"/>
  <c r="BN850" i="80"/>
  <c r="BM43" i="80"/>
  <c r="BM78" i="46"/>
  <c r="BM86" i="46"/>
  <c r="BO86" i="46"/>
  <c r="AZ44" i="80"/>
  <c r="BA236" i="46"/>
  <c r="BF222" i="46"/>
  <c r="BF238" i="46"/>
  <c r="BI850" i="80"/>
  <c r="BM846" i="80"/>
  <c r="BN840" i="80"/>
  <c r="BQ868" i="80"/>
  <c r="DZ16" i="71"/>
  <c r="BH239" i="46"/>
  <c r="EH28" i="71"/>
  <c r="BC83" i="46"/>
  <c r="AT214" i="98"/>
  <c r="AT223" i="98"/>
  <c r="AT235" i="98"/>
  <c r="AY126" i="46"/>
  <c r="AT236" i="98"/>
  <c r="AX214" i="98"/>
  <c r="BC126" i="46"/>
  <c r="AX235" i="98"/>
  <c r="AX223" i="98"/>
  <c r="AX236" i="98"/>
  <c r="BB235" i="98"/>
  <c r="BB223" i="98"/>
  <c r="BB214" i="98"/>
  <c r="BG126" i="46"/>
  <c r="BB236" i="98"/>
  <c r="BK126" i="46"/>
  <c r="BF223" i="98"/>
  <c r="BF235" i="98"/>
  <c r="BF214" i="98"/>
  <c r="BF236" i="98"/>
  <c r="BA44" i="80"/>
  <c r="BK79" i="46"/>
  <c r="BK44" i="79"/>
  <c r="BA173" i="46"/>
  <c r="BP106" i="46"/>
  <c r="EG11" i="71"/>
  <c r="BC53" i="46"/>
  <c r="BF16" i="99"/>
  <c r="BA277" i="99"/>
  <c r="BD236" i="99"/>
  <c r="BB129" i="46"/>
  <c r="BD224" i="46"/>
  <c r="EG34" i="71"/>
  <c r="BE238" i="99"/>
  <c r="BG191" i="77"/>
  <c r="BC191" i="77"/>
  <c r="BC258" i="77"/>
  <c r="BJ163" i="79"/>
  <c r="BJ169" i="79"/>
  <c r="BJ183" i="79"/>
  <c r="BJ185" i="79"/>
  <c r="AV112" i="99"/>
  <c r="BO211" i="79"/>
  <c r="BO222" i="79"/>
  <c r="BJ29" i="77"/>
  <c r="BJ33" i="77"/>
  <c r="BJ36" i="77"/>
  <c r="BJ189" i="77"/>
  <c r="BJ195" i="77"/>
  <c r="BQ191" i="77"/>
  <c r="BN191" i="77"/>
  <c r="BN258" i="77"/>
  <c r="AZ163" i="79"/>
  <c r="AZ169" i="79"/>
  <c r="AZ183" i="79"/>
  <c r="AZ185" i="79"/>
  <c r="BD163" i="79"/>
  <c r="BD169" i="79"/>
  <c r="BD183" i="79"/>
  <c r="BD185" i="79"/>
  <c r="BF163" i="79"/>
  <c r="BF169" i="79"/>
  <c r="BF183" i="79"/>
  <c r="BF185" i="79"/>
  <c r="BN163" i="79"/>
  <c r="BN169" i="79"/>
  <c r="BP190" i="79"/>
  <c r="BD260" i="77"/>
  <c r="AZ211" i="79"/>
  <c r="AY211" i="79"/>
  <c r="AQ112" i="99"/>
  <c r="BQ10" i="46"/>
  <c r="BK183" i="79"/>
  <c r="BK185" i="79"/>
  <c r="AW261" i="99"/>
  <c r="BI53" i="46"/>
  <c r="BM250" i="46"/>
  <c r="AZ85" i="46"/>
  <c r="BQ210" i="46"/>
  <c r="BD850" i="80"/>
  <c r="BG208" i="79"/>
  <c r="BJ238" i="99"/>
  <c r="BJ52" i="46"/>
  <c r="BE78" i="46"/>
  <c r="BE86" i="46"/>
  <c r="BJ212" i="46"/>
  <c r="AV194" i="99"/>
  <c r="AY254" i="99"/>
  <c r="BL193" i="99"/>
  <c r="BK62" i="99"/>
  <c r="BH164" i="99"/>
  <c r="BL164" i="99"/>
  <c r="BL204" i="99"/>
  <c r="BE216" i="99"/>
  <c r="AW16" i="99"/>
  <c r="AW41" i="98"/>
  <c r="BP44" i="80"/>
  <c r="BH224" i="46"/>
  <c r="BF45" i="99"/>
  <c r="AY269" i="99"/>
  <c r="AY259" i="99"/>
  <c r="AY272" i="99"/>
  <c r="BK32" i="99"/>
  <c r="AT251" i="99"/>
  <c r="AT252" i="99"/>
  <c r="AT291" i="99"/>
  <c r="BO82" i="46"/>
  <c r="BG222" i="46"/>
  <c r="BG842" i="80"/>
  <c r="AT241" i="99"/>
  <c r="BK260" i="99"/>
  <c r="BC176" i="99"/>
  <c r="BC280" i="99"/>
  <c r="AW47" i="99"/>
  <c r="BF251" i="99"/>
  <c r="BF236" i="99"/>
  <c r="BL52" i="46"/>
  <c r="BL46" i="46"/>
  <c r="BE194" i="79"/>
  <c r="BE123" i="46"/>
  <c r="BE132" i="46"/>
  <c r="BM813" i="80"/>
  <c r="BK163" i="79"/>
  <c r="BK169" i="79"/>
  <c r="BL259" i="99"/>
  <c r="BG285" i="99"/>
  <c r="BG196" i="99"/>
  <c r="BL243" i="99"/>
  <c r="BL245" i="99"/>
  <c r="AZ30" i="79"/>
  <c r="BB10" i="46"/>
  <c r="BA194" i="79"/>
  <c r="BA123" i="46"/>
  <c r="BA132" i="46"/>
  <c r="BA186" i="79"/>
  <c r="AS295" i="99"/>
  <c r="BD36" i="99"/>
  <c r="BN212" i="46"/>
  <c r="BH269" i="99"/>
  <c r="BH259" i="99"/>
  <c r="BH272" i="99"/>
  <c r="BD251" i="99"/>
  <c r="BD252" i="99"/>
  <c r="BD291" i="99"/>
  <c r="AZ236" i="46"/>
  <c r="BG211" i="79"/>
  <c r="BP28" i="46"/>
  <c r="BJ85" i="46"/>
  <c r="BB193" i="99"/>
  <c r="AV254" i="99"/>
  <c r="AZ291" i="99"/>
  <c r="BF83" i="46"/>
  <c r="BN39" i="46"/>
  <c r="BA112" i="99"/>
  <c r="AY241" i="99"/>
  <c r="BG259" i="99"/>
  <c r="AX234" i="99"/>
  <c r="BS46" i="46"/>
  <c r="BB53" i="46"/>
  <c r="BB36" i="99"/>
  <c r="BB62" i="99"/>
  <c r="BL224" i="46"/>
  <c r="BP52" i="46"/>
  <c r="BP37" i="79"/>
  <c r="BP43" i="79"/>
  <c r="BP79" i="46"/>
  <c r="BP68" i="46"/>
  <c r="BP173" i="46"/>
  <c r="BA846" i="80"/>
  <c r="BQ10" i="71"/>
  <c r="BQ86" i="46"/>
  <c r="BQ78" i="46"/>
  <c r="BQ43" i="80"/>
  <c r="BQ44" i="80"/>
  <c r="DR34" i="71"/>
  <c r="BH28" i="100"/>
  <c r="BH32" i="100"/>
  <c r="BH34" i="100"/>
  <c r="BH40" i="100"/>
  <c r="BM85" i="46"/>
  <c r="BO850" i="80"/>
  <c r="BH83" i="46"/>
  <c r="BO210" i="46"/>
  <c r="BP796" i="80"/>
  <c r="BH877" i="80"/>
  <c r="BH864" i="80"/>
  <c r="BH874" i="80"/>
  <c r="DY46" i="71"/>
  <c r="BJ223" i="98"/>
  <c r="BJ235" i="98"/>
  <c r="BJ214" i="98"/>
  <c r="BO126" i="46"/>
  <c r="BJ236" i="98"/>
  <c r="BC212" i="46"/>
  <c r="BJ850" i="80"/>
  <c r="AX846" i="80"/>
  <c r="AY840" i="80"/>
  <c r="AZ846" i="80"/>
  <c r="BA840" i="80"/>
  <c r="AZ871" i="80"/>
  <c r="AZ854" i="80"/>
  <c r="BD871" i="80"/>
  <c r="BD854" i="80"/>
  <c r="BH871" i="80"/>
  <c r="BH854" i="80"/>
  <c r="BL871" i="80"/>
  <c r="BL854" i="80"/>
  <c r="BF176" i="99"/>
  <c r="BF280" i="99"/>
  <c r="AZ201" i="99"/>
  <c r="AZ206" i="99"/>
  <c r="AZ216" i="99"/>
  <c r="BK85" i="46"/>
  <c r="BK222" i="46"/>
  <c r="AZ65" i="99"/>
  <c r="BG173" i="99"/>
  <c r="BG179" i="99"/>
  <c r="BG193" i="99"/>
  <c r="BH241" i="99"/>
  <c r="BL261" i="99"/>
  <c r="AW32" i="99"/>
  <c r="AW262" i="99"/>
  <c r="AV260" i="99"/>
  <c r="AV273" i="99"/>
  <c r="AZ260" i="99"/>
  <c r="AZ273" i="99"/>
  <c r="BD260" i="99"/>
  <c r="BD273" i="99"/>
  <c r="BC254" i="99"/>
  <c r="BL222" i="46"/>
  <c r="BE27" i="77"/>
  <c r="BJ27" i="77"/>
  <c r="BO27" i="77"/>
  <c r="BO29" i="77"/>
  <c r="BO33" i="77"/>
  <c r="BO36" i="77"/>
  <c r="BO189" i="77"/>
  <c r="BO195" i="77"/>
  <c r="BB164" i="99"/>
  <c r="BQ251" i="77"/>
  <c r="BL211" i="79"/>
  <c r="AX238" i="99"/>
  <c r="BQ274" i="77"/>
  <c r="BB183" i="79"/>
  <c r="BO163" i="79"/>
  <c r="BO169" i="79"/>
  <c r="BQ245" i="79"/>
  <c r="BQ64" i="79"/>
  <c r="BA181" i="77"/>
  <c r="BA27" i="77"/>
  <c r="BL255" i="77"/>
  <c r="BL260" i="77"/>
  <c r="BM255" i="77"/>
  <c r="BM260" i="77"/>
  <c r="BN255" i="77"/>
  <c r="AZ228" i="77"/>
  <c r="AZ269" i="77"/>
  <c r="BJ228" i="77"/>
  <c r="BJ269" i="77"/>
  <c r="BJ254" i="99"/>
  <c r="BC218" i="99"/>
  <c r="BC222" i="99"/>
  <c r="AW164" i="99"/>
  <c r="BA254" i="99"/>
  <c r="BD52" i="46"/>
  <c r="AZ82" i="46"/>
  <c r="DU11" i="71"/>
  <c r="BK282" i="99"/>
  <c r="BK45" i="99"/>
  <c r="AV65" i="99"/>
  <c r="AX229" i="99"/>
  <c r="BC44" i="80"/>
  <c r="AY44" i="79"/>
  <c r="AY236" i="46"/>
  <c r="BI238" i="99"/>
  <c r="BK206" i="99"/>
  <c r="BK216" i="99"/>
  <c r="AV222" i="99"/>
  <c r="AV229" i="99"/>
  <c r="BF277" i="99"/>
  <c r="BF282" i="99"/>
  <c r="BE241" i="99"/>
  <c r="BE201" i="99"/>
  <c r="BE206" i="99"/>
  <c r="BB113" i="99"/>
  <c r="BK10" i="46"/>
  <c r="BA210" i="46"/>
  <c r="BE163" i="79"/>
  <c r="BE169" i="79"/>
  <c r="BE183" i="79"/>
  <c r="BE185" i="79"/>
  <c r="BB16" i="99"/>
  <c r="BH238" i="99"/>
  <c r="BG10" i="46"/>
  <c r="BM53" i="46"/>
  <c r="BG171" i="46"/>
  <c r="DQ34" i="71"/>
  <c r="AY251" i="99"/>
  <c r="AY252" i="99"/>
  <c r="AY291" i="99"/>
  <c r="BF52" i="46"/>
  <c r="BM109" i="46"/>
  <c r="BQ109" i="46"/>
  <c r="BA83" i="46"/>
  <c r="BN42" i="80"/>
  <c r="AV218" i="99"/>
  <c r="AW218" i="99"/>
  <c r="AW222" i="99"/>
  <c r="AY218" i="99"/>
  <c r="AY222" i="99"/>
  <c r="BG201" i="99"/>
  <c r="BG206" i="99"/>
  <c r="BG216" i="99"/>
  <c r="BA231" i="79"/>
  <c r="AV263" i="99"/>
  <c r="AV295" i="99"/>
  <c r="BB261" i="99"/>
  <c r="BG32" i="99"/>
  <c r="BG262" i="99"/>
  <c r="BG236" i="46"/>
  <c r="BD79" i="46"/>
  <c r="BD68" i="46"/>
  <c r="BK42" i="80"/>
  <c r="AX216" i="99"/>
  <c r="BG176" i="99"/>
  <c r="BE176" i="99"/>
  <c r="BE280" i="99"/>
  <c r="BK176" i="99"/>
  <c r="BK280" i="99"/>
  <c r="AU238" i="99"/>
  <c r="BQ185" i="79"/>
  <c r="BQ186" i="79"/>
  <c r="BO44" i="80"/>
  <c r="BO78" i="46"/>
  <c r="BC164" i="99"/>
  <c r="BG164" i="99"/>
  <c r="AX176" i="99"/>
  <c r="AX280" i="99"/>
  <c r="AY43" i="80"/>
  <c r="AY78" i="46"/>
  <c r="AY86" i="46"/>
  <c r="BC42" i="80"/>
  <c r="BK30" i="79"/>
  <c r="BK60" i="79"/>
  <c r="BF211" i="79"/>
  <c r="BF222" i="79"/>
  <c r="BN211" i="79"/>
  <c r="BN222" i="79"/>
  <c r="BF165" i="79"/>
  <c r="BF229" i="79"/>
  <c r="BG112" i="99"/>
  <c r="BG94" i="99"/>
  <c r="BG104" i="99"/>
  <c r="BK28" i="46"/>
  <c r="DW34" i="71"/>
  <c r="AX241" i="99"/>
  <c r="AX201" i="99"/>
  <c r="AX206" i="99"/>
  <c r="BH263" i="99"/>
  <c r="BH295" i="99"/>
  <c r="BP39" i="46"/>
  <c r="BL868" i="80"/>
  <c r="AZ263" i="99"/>
  <c r="AZ295" i="99"/>
  <c r="BE231" i="79"/>
  <c r="AZ254" i="99"/>
  <c r="AZ251" i="99"/>
  <c r="AZ252" i="99"/>
  <c r="BB212" i="46"/>
  <c r="BE226" i="79"/>
  <c r="BB52" i="46"/>
  <c r="BB46" i="46"/>
  <c r="BJ249" i="46"/>
  <c r="BP236" i="46"/>
  <c r="BP30" i="79"/>
  <c r="BO84" i="46"/>
  <c r="BM236" i="46"/>
  <c r="BN857" i="80"/>
  <c r="BQ222" i="46"/>
  <c r="BN813" i="80"/>
  <c r="BB284" i="99"/>
  <c r="BO85" i="46"/>
  <c r="AZ78" i="46"/>
  <c r="AZ86" i="46"/>
  <c r="BH796" i="80"/>
  <c r="AY850" i="80"/>
  <c r="EF9" i="71"/>
  <c r="BG839" i="80"/>
  <c r="BG825" i="80"/>
  <c r="DY34" i="71"/>
  <c r="BN109" i="46"/>
  <c r="BG42" i="51"/>
  <c r="BP222" i="46"/>
  <c r="AZ229" i="99"/>
  <c r="AW236" i="99"/>
  <c r="AT65" i="99"/>
  <c r="AY67" i="46"/>
  <c r="AY53" i="46"/>
  <c r="AY54" i="46"/>
  <c r="BO46" i="46"/>
  <c r="BO53" i="46"/>
  <c r="BL106" i="46"/>
  <c r="BF850" i="80"/>
  <c r="BL237" i="77"/>
  <c r="AY169" i="79"/>
  <c r="AY183" i="79"/>
  <c r="AY185" i="79"/>
  <c r="AY186" i="79"/>
  <c r="BQ240" i="77"/>
  <c r="EA33" i="71"/>
  <c r="BJ45" i="99"/>
  <c r="AZ181" i="77"/>
  <c r="AZ27" i="77"/>
  <c r="BC29" i="77"/>
  <c r="BC33" i="77"/>
  <c r="BC36" i="77"/>
  <c r="BP28" i="79"/>
  <c r="BP32" i="79"/>
  <c r="BP35" i="79"/>
  <c r="BP163" i="79"/>
  <c r="BP169" i="79"/>
  <c r="BP183" i="79"/>
  <c r="BP185" i="79"/>
  <c r="BP186" i="79"/>
  <c r="BC255" i="77"/>
  <c r="BC260" i="77"/>
  <c r="BD255" i="77"/>
  <c r="AX258" i="77"/>
  <c r="BB258" i="77"/>
  <c r="BB260" i="77"/>
  <c r="BG255" i="77"/>
  <c r="BG260" i="77"/>
  <c r="BH255" i="77"/>
  <c r="BH260" i="77"/>
  <c r="BI255" i="77"/>
  <c r="AX220" i="77"/>
  <c r="BO231" i="79"/>
  <c r="BP226" i="79"/>
  <c r="BM249" i="46"/>
  <c r="BA165" i="79"/>
  <c r="AV238" i="99"/>
  <c r="BH53" i="46"/>
  <c r="BC236" i="46"/>
  <c r="AU194" i="99"/>
  <c r="BE218" i="99"/>
  <c r="BE222" i="99"/>
  <c r="BE229" i="99"/>
  <c r="BG234" i="79"/>
  <c r="BH260" i="99"/>
  <c r="BH273" i="99"/>
  <c r="BH82" i="46"/>
  <c r="BJ42" i="80"/>
  <c r="AT262" i="99"/>
  <c r="AT273" i="99"/>
  <c r="BG47" i="99"/>
  <c r="AY234" i="99"/>
  <c r="BQ28" i="46"/>
  <c r="BK204" i="99"/>
  <c r="BE196" i="99"/>
  <c r="BB176" i="99"/>
  <c r="AY176" i="99"/>
  <c r="AY280" i="99"/>
  <c r="BN52" i="46"/>
  <c r="BL41" i="98"/>
  <c r="BP78" i="46"/>
  <c r="BP86" i="46"/>
  <c r="AZ796" i="80"/>
  <c r="BL222" i="99"/>
  <c r="BL229" i="99"/>
  <c r="BK222" i="99"/>
  <c r="BK243" i="99"/>
  <c r="BK218" i="99"/>
  <c r="BL218" i="99"/>
  <c r="AT238" i="99"/>
  <c r="AT234" i="99"/>
  <c r="BA222" i="99"/>
  <c r="AV206" i="99"/>
  <c r="AV216" i="99"/>
  <c r="BD44" i="80"/>
  <c r="BB868" i="80"/>
  <c r="AT201" i="99"/>
  <c r="AT206" i="99"/>
  <c r="AT216" i="99"/>
  <c r="BK30" i="99"/>
  <c r="BK261" i="99"/>
  <c r="BG254" i="99"/>
  <c r="BK82" i="46"/>
  <c r="BK236" i="46"/>
  <c r="AW173" i="99"/>
  <c r="BG284" i="99"/>
  <c r="BG195" i="99"/>
  <c r="AV234" i="99"/>
  <c r="AV251" i="99"/>
  <c r="AV252" i="99"/>
  <c r="AV291" i="99"/>
  <c r="AZ28" i="79"/>
  <c r="AZ32" i="79"/>
  <c r="AZ35" i="79"/>
  <c r="AZ37" i="79"/>
  <c r="AZ43" i="79"/>
  <c r="AZ79" i="46"/>
  <c r="AZ68" i="46"/>
  <c r="AX260" i="99"/>
  <c r="AX273" i="99"/>
  <c r="BF260" i="99"/>
  <c r="BF273" i="99"/>
  <c r="AV176" i="99"/>
  <c r="AV280" i="99"/>
  <c r="BN85" i="46"/>
  <c r="BO222" i="46"/>
  <c r="AT46" i="99"/>
  <c r="AY84" i="46"/>
  <c r="BF203" i="46"/>
  <c r="BF212" i="46"/>
  <c r="BC272" i="99"/>
  <c r="BC259" i="99"/>
  <c r="BC269" i="99"/>
  <c r="BK36" i="99"/>
  <c r="BQ25" i="46"/>
  <c r="BL195" i="99"/>
  <c r="AY36" i="99"/>
  <c r="BB36" i="46"/>
  <c r="BE211" i="79"/>
  <c r="BE222" i="79"/>
  <c r="BM211" i="79"/>
  <c r="BM222" i="79"/>
  <c r="BF85" i="46"/>
  <c r="BC263" i="99"/>
  <c r="BC295" i="99"/>
  <c r="BC65" i="99"/>
  <c r="AX196" i="99"/>
  <c r="BG44" i="80"/>
  <c r="BP224" i="46"/>
  <c r="AS229" i="99"/>
  <c r="AW284" i="99"/>
  <c r="AW285" i="99"/>
  <c r="AT40" i="99"/>
  <c r="AT263" i="99"/>
  <c r="AT295" i="99"/>
  <c r="AX218" i="99"/>
  <c r="AX222" i="99"/>
  <c r="BQ211" i="79"/>
  <c r="BE282" i="99"/>
  <c r="BB112" i="99"/>
  <c r="BB94" i="99"/>
  <c r="BB104" i="99"/>
  <c r="AZ218" i="99"/>
  <c r="AZ222" i="99"/>
  <c r="BF201" i="99"/>
  <c r="BF206" i="99"/>
  <c r="BF216" i="99"/>
  <c r="BF238" i="99"/>
  <c r="BA183" i="79"/>
  <c r="BA185" i="79"/>
  <c r="AS216" i="99"/>
  <c r="AS238" i="99"/>
  <c r="AY193" i="99"/>
  <c r="AY195" i="99"/>
  <c r="AY196" i="99"/>
  <c r="AY201" i="99"/>
  <c r="AY206" i="99"/>
  <c r="AY216" i="99"/>
  <c r="BA206" i="99"/>
  <c r="BA216" i="99"/>
  <c r="BA226" i="79"/>
  <c r="BE234" i="99"/>
  <c r="BI84" i="46"/>
  <c r="BL179" i="99"/>
  <c r="BP26" i="79"/>
  <c r="BL129" i="46"/>
  <c r="BC796" i="80"/>
  <c r="BC874" i="80"/>
  <c r="BC864" i="80"/>
  <c r="BC877" i="80"/>
  <c r="AZ850" i="80"/>
  <c r="BF62" i="99"/>
  <c r="BH42" i="80"/>
  <c r="BQ52" i="46"/>
  <c r="BD810" i="80"/>
  <c r="BD813" i="80"/>
  <c r="BC52" i="46"/>
  <c r="BE42" i="80"/>
  <c r="BD236" i="46"/>
  <c r="BF109" i="46"/>
  <c r="BN194" i="79"/>
  <c r="BN123" i="46"/>
  <c r="BN132" i="46"/>
  <c r="BK810" i="80"/>
  <c r="BK813" i="80"/>
  <c r="BP854" i="80"/>
  <c r="BP871" i="80"/>
  <c r="AZ857" i="80"/>
  <c r="AZ859" i="80"/>
  <c r="BD857" i="80"/>
  <c r="BD859" i="80"/>
  <c r="BH857" i="80"/>
  <c r="BH859" i="80"/>
  <c r="BL857" i="80"/>
  <c r="BL859" i="80"/>
  <c r="BP857" i="80"/>
  <c r="BP859" i="80"/>
  <c r="BG864" i="80"/>
  <c r="BG868" i="80"/>
  <c r="BN210" i="46"/>
  <c r="BN45" i="78"/>
  <c r="BI240" i="78"/>
  <c r="BH240" i="78"/>
  <c r="BK240" i="78"/>
  <c r="BH46" i="78"/>
  <c r="BJ240" i="78"/>
  <c r="BD222" i="78"/>
  <c r="BE184" i="78"/>
  <c r="BH222" i="78"/>
  <c r="BI184" i="78"/>
  <c r="BJ222" i="78"/>
  <c r="BK184" i="78"/>
  <c r="BN222" i="78"/>
  <c r="BO184" i="78"/>
  <c r="BK222" i="78"/>
  <c r="BM240" i="78"/>
  <c r="BN240" i="78"/>
  <c r="BP240" i="78"/>
  <c r="BO240" i="78"/>
  <c r="BM46" i="78"/>
  <c r="BC222" i="78"/>
  <c r="BD184" i="78"/>
  <c r="BO222" i="78"/>
  <c r="BP184" i="78"/>
  <c r="AX218" i="78"/>
  <c r="AY212" i="78"/>
  <c r="AZ218" i="78"/>
  <c r="BA212" i="78"/>
  <c r="BC218" i="78"/>
  <c r="BD212" i="78"/>
  <c r="BE218" i="78"/>
  <c r="BF212" i="78"/>
  <c r="BH212" i="78"/>
  <c r="BG218" i="78"/>
  <c r="BL212" i="78"/>
  <c r="BJ212" i="78"/>
  <c r="BI218" i="78"/>
  <c r="BN212" i="78"/>
  <c r="BM218" i="78"/>
  <c r="BP212" i="78"/>
  <c r="BO218" i="78"/>
  <c r="BG212" i="78"/>
  <c r="BC212" i="78"/>
  <c r="BB218" i="78"/>
  <c r="BE212" i="78"/>
  <c r="BD218" i="78"/>
  <c r="BI212" i="78"/>
  <c r="BH218" i="78"/>
  <c r="BJ218" i="78"/>
  <c r="BK212" i="78"/>
  <c r="BM212" i="78"/>
  <c r="BL218" i="78"/>
  <c r="BQ212" i="78"/>
  <c r="BO212" i="78"/>
  <c r="BN218" i="78"/>
  <c r="BE222" i="78"/>
  <c r="BF184" i="78"/>
  <c r="BJ184" i="78"/>
  <c r="BI222" i="78"/>
  <c r="BN184" i="78"/>
  <c r="BM222" i="78"/>
  <c r="AX243" i="78"/>
  <c r="AX226" i="78"/>
  <c r="AX231" i="78"/>
  <c r="AX229" i="78"/>
  <c r="AZ243" i="78"/>
  <c r="AZ226" i="78"/>
  <c r="BB243" i="78"/>
  <c r="BB226" i="78"/>
  <c r="BD243" i="78"/>
  <c r="BD226" i="78"/>
  <c r="BF243" i="78"/>
  <c r="BF226" i="78"/>
  <c r="BH243" i="78"/>
  <c r="BH226" i="78"/>
  <c r="BJ243" i="78"/>
  <c r="BJ226" i="78"/>
  <c r="BL243" i="78"/>
  <c r="BL226" i="78"/>
  <c r="BN243" i="78"/>
  <c r="BN226" i="78"/>
  <c r="BP243" i="78"/>
  <c r="BP226" i="78"/>
  <c r="AZ231" i="78"/>
  <c r="AZ268" i="78"/>
  <c r="AZ229" i="78"/>
  <c r="BD268" i="78"/>
  <c r="BD231" i="78"/>
  <c r="BD229" i="78"/>
  <c r="BF229" i="78"/>
  <c r="BF268" i="78"/>
  <c r="BH268" i="78"/>
  <c r="BH229" i="78"/>
  <c r="BH231" i="78"/>
  <c r="BJ268" i="78"/>
  <c r="BJ231" i="78"/>
  <c r="BJ229" i="78"/>
  <c r="BN231" i="78"/>
  <c r="BN229" i="78"/>
  <c r="BN268" i="78"/>
  <c r="BP229" i="78"/>
  <c r="BP268" i="78"/>
  <c r="AY229" i="78"/>
  <c r="AY268" i="78"/>
  <c r="BA229" i="78"/>
  <c r="BA268" i="78"/>
  <c r="BC229" i="78"/>
  <c r="BC268" i="78"/>
  <c r="BE229" i="78"/>
  <c r="BE268" i="78"/>
  <c r="BI268" i="78"/>
  <c r="BI229" i="78"/>
  <c r="BK268" i="78"/>
  <c r="BK229" i="78"/>
  <c r="BM268" i="78"/>
  <c r="BM229" i="78"/>
  <c r="BO268" i="78"/>
  <c r="BO229" i="78"/>
  <c r="AY240" i="78"/>
  <c r="AZ240" i="78"/>
  <c r="AY46" i="78"/>
  <c r="BA240" i="78"/>
  <c r="BE240" i="78"/>
  <c r="BC46" i="78"/>
  <c r="BD240" i="78"/>
  <c r="BF240" i="78"/>
  <c r="BC240" i="78"/>
  <c r="BL246" i="78"/>
  <c r="BL249" i="78"/>
  <c r="BG246" i="78"/>
  <c r="BG249" i="78"/>
  <c r="BL262" i="78"/>
  <c r="BL100" i="73"/>
  <c r="BC231" i="98"/>
  <c r="BD231" i="98"/>
  <c r="BE231" i="98"/>
  <c r="BF231" i="98"/>
  <c r="BC40" i="98"/>
  <c r="BB58" i="98"/>
  <c r="BG70" i="73"/>
  <c r="BL58" i="98"/>
  <c r="BQ70" i="73"/>
  <c r="AX213" i="98"/>
  <c r="AY131" i="98"/>
  <c r="AZ213" i="98"/>
  <c r="BA131" i="98"/>
  <c r="BE131" i="98"/>
  <c r="BD213" i="98"/>
  <c r="BI131" i="98"/>
  <c r="BH213" i="98"/>
  <c r="BK131" i="98"/>
  <c r="BJ213" i="98"/>
  <c r="AU163" i="98"/>
  <c r="AT209" i="98"/>
  <c r="AW209" i="98"/>
  <c r="BB163" i="98"/>
  <c r="AX163" i="98"/>
  <c r="AY209" i="98"/>
  <c r="AZ163" i="98"/>
  <c r="BC209" i="98"/>
  <c r="BD163" i="98"/>
  <c r="BE209" i="98"/>
  <c r="BF163" i="98"/>
  <c r="BG209" i="98"/>
  <c r="BL163" i="98"/>
  <c r="BH163" i="98"/>
  <c r="BJ163" i="98"/>
  <c r="BI209" i="98"/>
  <c r="AY163" i="98"/>
  <c r="AX209" i="98"/>
  <c r="BA163" i="98"/>
  <c r="AZ209" i="98"/>
  <c r="BE163" i="98"/>
  <c r="BD209" i="98"/>
  <c r="BI163" i="98"/>
  <c r="BH209" i="98"/>
  <c r="BK163" i="98"/>
  <c r="BJ209" i="98"/>
  <c r="AX189" i="98"/>
  <c r="AX211" i="98"/>
  <c r="AZ189" i="98"/>
  <c r="AZ211" i="98"/>
  <c r="BD211" i="98"/>
  <c r="BD189" i="98"/>
  <c r="BH211" i="98"/>
  <c r="BH189" i="98"/>
  <c r="BJ211" i="98"/>
  <c r="BJ189" i="98"/>
  <c r="BB209" i="98"/>
  <c r="BG163" i="98"/>
  <c r="BC163" i="98"/>
  <c r="AT231" i="98"/>
  <c r="AU231" i="98"/>
  <c r="AV231" i="98"/>
  <c r="AX231" i="98"/>
  <c r="AX40" i="98"/>
  <c r="AY231" i="98"/>
  <c r="BA231" i="98"/>
  <c r="AZ231" i="98"/>
  <c r="BJ231" i="98"/>
  <c r="BK231" i="98"/>
  <c r="BI231" i="98"/>
  <c r="BH231" i="98"/>
  <c r="BL240" i="98"/>
  <c r="BL237" i="98"/>
  <c r="BG237" i="98"/>
  <c r="BG240" i="98"/>
  <c r="CE70" i="73"/>
  <c r="CA70" i="73"/>
  <c r="CD70" i="73"/>
  <c r="BZ70" i="73"/>
  <c r="BY70" i="73"/>
  <c r="CC70" i="73"/>
  <c r="BX70" i="73"/>
  <c r="CB70" i="73"/>
  <c r="CC71" i="73"/>
  <c r="BY71" i="73"/>
  <c r="CA71" i="73"/>
  <c r="BZ71" i="73"/>
  <c r="CC72" i="73"/>
  <c r="BY72" i="73"/>
  <c r="CE71" i="73"/>
  <c r="CD71" i="73"/>
  <c r="BX71" i="73"/>
  <c r="BZ72" i="73"/>
  <c r="BX72" i="73"/>
  <c r="CD72" i="73"/>
  <c r="CB71" i="73"/>
  <c r="CA72" i="73"/>
  <c r="CB72" i="73"/>
  <c r="CE72" i="73"/>
  <c r="BQ262" i="78"/>
  <c r="BQ100" i="73"/>
  <c r="BQ874" i="80"/>
  <c r="BQ864" i="80"/>
  <c r="BQ877" i="80"/>
  <c r="DW24" i="71"/>
  <c r="BK83" i="46"/>
  <c r="BJ842" i="80"/>
  <c r="BF854" i="80"/>
  <c r="BF871" i="80"/>
  <c r="DQ35" i="71"/>
  <c r="AR64" i="71"/>
  <c r="BB62" i="71"/>
  <c r="BI45" i="78"/>
  <c r="BB262" i="78"/>
  <c r="BB100" i="73"/>
  <c r="BJ39" i="98"/>
  <c r="BK213" i="98"/>
  <c r="BB240" i="98"/>
  <c r="BB237" i="98"/>
  <c r="BG262" i="78"/>
  <c r="BG100" i="73"/>
  <c r="AY218" i="78"/>
  <c r="AZ212" i="78"/>
  <c r="BF231" i="78"/>
  <c r="BG243" i="78"/>
  <c r="BG226" i="78"/>
  <c r="BG229" i="78"/>
  <c r="BG231" i="78"/>
  <c r="BQ243" i="78"/>
  <c r="BP231" i="78"/>
  <c r="BQ226" i="78"/>
  <c r="BQ231" i="78"/>
  <c r="BQ229" i="78"/>
  <c r="BB70" i="73"/>
  <c r="AW58" i="98"/>
  <c r="BL70" i="73"/>
  <c r="BG58" i="98"/>
  <c r="BI213" i="98"/>
  <c r="BJ131" i="98"/>
  <c r="AT163" i="98"/>
  <c r="AS209" i="98"/>
  <c r="AV163" i="98"/>
  <c r="AU209" i="98"/>
  <c r="BA204" i="98"/>
  <c r="BX9" i="73"/>
  <c r="BZ9" i="73"/>
  <c r="BN106" i="46"/>
  <c r="EE11" i="71"/>
  <c r="BM796" i="80"/>
  <c r="AS241" i="99"/>
  <c r="AS201" i="99"/>
  <c r="AS206" i="99"/>
  <c r="BD229" i="99"/>
  <c r="BL25" i="46"/>
  <c r="DW11" i="71"/>
  <c r="BF106" i="46"/>
  <c r="BF173" i="46"/>
  <c r="AZ282" i="99"/>
  <c r="BD39" i="46"/>
  <c r="BJ222" i="46"/>
  <c r="BA878" i="80"/>
  <c r="BI52" i="46"/>
  <c r="AZ62" i="99"/>
  <c r="BQ103" i="73"/>
  <c r="BM194" i="79"/>
  <c r="BM123" i="46"/>
  <c r="BM132" i="46"/>
  <c r="AZ222" i="46"/>
  <c r="AZ238" i="46"/>
  <c r="AU229" i="99"/>
  <c r="BG28" i="46"/>
  <c r="DQ11" i="71"/>
  <c r="BN810" i="80"/>
  <c r="BM850" i="80"/>
  <c r="BK165" i="79"/>
  <c r="BK229" i="79"/>
  <c r="BC43" i="80"/>
  <c r="BC78" i="46"/>
  <c r="BC86" i="46"/>
  <c r="BI201" i="99"/>
  <c r="BI206" i="99"/>
  <c r="BI216" i="99"/>
  <c r="EB11" i="71"/>
  <c r="BO249" i="46"/>
  <c r="BG260" i="99"/>
  <c r="AR112" i="99"/>
  <c r="AR94" i="99"/>
  <c r="AR104" i="99"/>
  <c r="BH218" i="99"/>
  <c r="BH222" i="99"/>
  <c r="BF32" i="99"/>
  <c r="BL254" i="99"/>
  <c r="BQ46" i="46"/>
  <c r="BQ53" i="46"/>
  <c r="EE34" i="71"/>
  <c r="BG41" i="98"/>
  <c r="BH212" i="46"/>
  <c r="BJ874" i="80"/>
  <c r="BJ864" i="80"/>
  <c r="BJ877" i="80"/>
  <c r="EF35" i="71"/>
  <c r="BK231" i="79"/>
  <c r="BF39" i="46"/>
  <c r="BH40" i="98"/>
  <c r="BM83" i="46"/>
  <c r="BK239" i="46"/>
  <c r="BK238" i="46"/>
  <c r="EC16" i="71"/>
  <c r="EC34" i="71"/>
  <c r="DZ35" i="71"/>
  <c r="BB171" i="46"/>
  <c r="DZ34" i="71"/>
  <c r="DX11" i="71"/>
  <c r="BE810" i="80"/>
  <c r="BE813" i="80"/>
  <c r="BJ75" i="51"/>
  <c r="BN40" i="78"/>
  <c r="BN46" i="78"/>
  <c r="AT55" i="98"/>
  <c r="AV237" i="98"/>
  <c r="AV227" i="98"/>
  <c r="AV240" i="98"/>
  <c r="BM42" i="80"/>
  <c r="EE24" i="71"/>
  <c r="BB42" i="51"/>
  <c r="DW9" i="71"/>
  <c r="BH42" i="51"/>
  <c r="AX214" i="78"/>
  <c r="AV55" i="98"/>
  <c r="BL248" i="98"/>
  <c r="BI226" i="78"/>
  <c r="BI231" i="78"/>
  <c r="BI243" i="78"/>
  <c r="BB107" i="73"/>
  <c r="BH222" i="46"/>
  <c r="BH238" i="46"/>
  <c r="BG245" i="79"/>
  <c r="BK25" i="46"/>
  <c r="BD234" i="99"/>
  <c r="BG850" i="80"/>
  <c r="BB44" i="80"/>
  <c r="BB43" i="80"/>
  <c r="BB78" i="46"/>
  <c r="BA42" i="80"/>
  <c r="BI82" i="46"/>
  <c r="BC194" i="79"/>
  <c r="BC123" i="46"/>
  <c r="BC132" i="46"/>
  <c r="BQ42" i="80"/>
  <c r="BQ37" i="80"/>
  <c r="BE842" i="80"/>
  <c r="BL839" i="80"/>
  <c r="AY796" i="80"/>
  <c r="AZ228" i="46"/>
  <c r="BK42" i="51"/>
  <c r="BJ62" i="78"/>
  <c r="BF189" i="98"/>
  <c r="AS234" i="98"/>
  <c r="BL42" i="80"/>
  <c r="BK33" i="46"/>
  <c r="BQ248" i="46"/>
  <c r="DU9" i="71"/>
  <c r="BD45" i="78"/>
  <c r="AY246" i="78"/>
  <c r="AY236" i="78"/>
  <c r="AY249" i="78"/>
  <c r="AT197" i="98"/>
  <c r="BQ107" i="73"/>
  <c r="AU55" i="98"/>
  <c r="BB119" i="73"/>
  <c r="BG210" i="46"/>
  <c r="BB222" i="46"/>
  <c r="AZ75" i="51"/>
  <c r="DT57" i="71"/>
  <c r="BO45" i="78"/>
  <c r="BO62" i="78"/>
  <c r="BH39" i="98"/>
  <c r="BI211" i="98"/>
  <c r="BI189" i="98"/>
  <c r="AV234" i="98"/>
  <c r="DX21" i="71"/>
  <c r="BC82" i="46"/>
  <c r="BD42" i="80"/>
  <c r="BQ822" i="80"/>
  <c r="BF859" i="80"/>
  <c r="BF857" i="80"/>
  <c r="EF28" i="71"/>
  <c r="BB42" i="80"/>
  <c r="BN44" i="80"/>
  <c r="AV277" i="99"/>
  <c r="BL196" i="46"/>
  <c r="EA9" i="71"/>
  <c r="BB44" i="77"/>
  <c r="BB81" i="46"/>
  <c r="BB13" i="71"/>
  <c r="BD39" i="98"/>
  <c r="BG248" i="98"/>
  <c r="BL877" i="80"/>
  <c r="BL864" i="80"/>
  <c r="BL874" i="80"/>
  <c r="BB236" i="46"/>
  <c r="DX27" i="71"/>
  <c r="DS9" i="71"/>
  <c r="EE27" i="71"/>
  <c r="BN42" i="51"/>
  <c r="BM73" i="51"/>
  <c r="BH55" i="98"/>
  <c r="BF204" i="98"/>
  <c r="BI214" i="78"/>
  <c r="BL229" i="78"/>
  <c r="BK243" i="78"/>
  <c r="BL231" i="78"/>
  <c r="BK231" i="78"/>
  <c r="BK226" i="78"/>
  <c r="AW241" i="98"/>
  <c r="DV11" i="71"/>
  <c r="BO44" i="79"/>
  <c r="BJ241" i="99"/>
  <c r="BO226" i="79"/>
  <c r="EC11" i="71"/>
  <c r="BH195" i="99"/>
  <c r="BH196" i="99"/>
  <c r="BH201" i="99"/>
  <c r="BH206" i="99"/>
  <c r="BH216" i="99"/>
  <c r="BE83" i="46"/>
  <c r="AZ30" i="80"/>
  <c r="DZ9" i="71"/>
  <c r="BH26" i="100"/>
  <c r="BL26" i="100"/>
  <c r="BL28" i="100"/>
  <c r="BL32" i="100"/>
  <c r="BL34" i="100"/>
  <c r="BL40" i="100"/>
  <c r="BQ85" i="46"/>
  <c r="BQ16" i="71"/>
  <c r="BA28" i="46"/>
  <c r="BB254" i="99"/>
  <c r="AY165" i="79"/>
  <c r="AY229" i="79"/>
  <c r="BM169" i="79"/>
  <c r="BM183" i="79"/>
  <c r="BM185" i="79"/>
  <c r="BB201" i="99"/>
  <c r="BB206" i="99"/>
  <c r="BB216" i="99"/>
  <c r="BQ234" i="79"/>
  <c r="BL165" i="79"/>
  <c r="BH165" i="79"/>
  <c r="BH229" i="79"/>
  <c r="AU218" i="99"/>
  <c r="AU222" i="99"/>
  <c r="AX195" i="99"/>
  <c r="BB195" i="99"/>
  <c r="BB196" i="99"/>
  <c r="BI194" i="79"/>
  <c r="BI123" i="46"/>
  <c r="BI132" i="46"/>
  <c r="BI236" i="99"/>
  <c r="AW201" i="99"/>
  <c r="AW206" i="99"/>
  <c r="AW216" i="99"/>
  <c r="AW273" i="99"/>
  <c r="BA260" i="99"/>
  <c r="BA273" i="99"/>
  <c r="BE260" i="99"/>
  <c r="BE273" i="99"/>
  <c r="AU176" i="99"/>
  <c r="AU280" i="99"/>
  <c r="BB229" i="99"/>
  <c r="BJ251" i="99"/>
  <c r="BJ252" i="99"/>
  <c r="BJ291" i="99"/>
  <c r="BF263" i="99"/>
  <c r="BF295" i="99"/>
  <c r="BG25" i="46"/>
  <c r="BN173" i="46"/>
  <c r="BK277" i="99"/>
  <c r="BQ229" i="79"/>
  <c r="AZ196" i="99"/>
  <c r="BJ203" i="46"/>
  <c r="AY65" i="99"/>
  <c r="AU201" i="99"/>
  <c r="AU206" i="99"/>
  <c r="AU216" i="99"/>
  <c r="BC195" i="99"/>
  <c r="BC196" i="99"/>
  <c r="BC201" i="99"/>
  <c r="BC206" i="99"/>
  <c r="BC216" i="99"/>
  <c r="BE195" i="99"/>
  <c r="BI196" i="99"/>
  <c r="BF234" i="99"/>
  <c r="BJ229" i="99"/>
  <c r="AT36" i="99"/>
  <c r="AY52" i="46"/>
  <c r="BI249" i="46"/>
  <c r="BG239" i="46"/>
  <c r="EH9" i="71"/>
  <c r="BE28" i="79"/>
  <c r="BE32" i="79"/>
  <c r="BE35" i="79"/>
  <c r="BE37" i="79"/>
  <c r="BE43" i="79"/>
  <c r="BE79" i="46"/>
  <c r="BE68" i="46"/>
  <c r="BM37" i="79"/>
  <c r="BM43" i="79"/>
  <c r="BM79" i="46"/>
  <c r="BM68" i="46"/>
  <c r="BD241" i="99"/>
  <c r="BQ115" i="46"/>
  <c r="BQ39" i="46"/>
  <c r="BQ30" i="51"/>
  <c r="BH30" i="80"/>
  <c r="BL30" i="80"/>
  <c r="BL796" i="80"/>
  <c r="AY874" i="80"/>
  <c r="AY864" i="80"/>
  <c r="AY877" i="80"/>
  <c r="BQ44" i="46"/>
  <c r="BJ109" i="46"/>
  <c r="BA796" i="80"/>
  <c r="BO173" i="46"/>
  <c r="BA42" i="51"/>
  <c r="BQ75" i="51"/>
  <c r="BB213" i="98"/>
  <c r="BG92" i="73"/>
  <c r="BD874" i="80"/>
  <c r="BD864" i="80"/>
  <c r="BD877" i="80"/>
  <c r="BK878" i="80"/>
  <c r="DX28" i="71"/>
  <c r="BM220" i="46"/>
  <c r="BK867" i="80"/>
  <c r="BL239" i="46"/>
  <c r="BP42" i="51"/>
  <c r="BA189" i="98"/>
  <c r="CE50" i="73"/>
  <c r="AU213" i="98"/>
  <c r="BB9" i="73"/>
  <c r="BJ83" i="46"/>
  <c r="AX46" i="99"/>
  <c r="BC84" i="46"/>
  <c r="BH220" i="46"/>
  <c r="BG218" i="99"/>
  <c r="BG222" i="99"/>
  <c r="AS222" i="99"/>
  <c r="AY173" i="99"/>
  <c r="AY179" i="99"/>
  <c r="BJ204" i="99"/>
  <c r="BD218" i="99"/>
  <c r="BD222" i="99"/>
  <c r="DT28" i="71"/>
  <c r="BB260" i="99"/>
  <c r="BE277" i="99"/>
  <c r="BN84" i="46"/>
  <c r="BB813" i="80"/>
  <c r="BF813" i="80"/>
  <c r="BJ810" i="80"/>
  <c r="BJ813" i="80"/>
  <c r="BN220" i="46"/>
  <c r="EI18" i="71"/>
  <c r="BQ60" i="71"/>
  <c r="BH842" i="80"/>
  <c r="BE220" i="46"/>
  <c r="BA249" i="78"/>
  <c r="BA236" i="78"/>
  <c r="BA246" i="78"/>
  <c r="BD197" i="98"/>
  <c r="DU24" i="71"/>
  <c r="BA867" i="80"/>
  <c r="EH11" i="71"/>
  <c r="BP254" i="46"/>
  <c r="EH22" i="71"/>
  <c r="DX24" i="71"/>
  <c r="BO42" i="51"/>
  <c r="BH62" i="78"/>
  <c r="BG227" i="98"/>
  <c r="BI40" i="98"/>
  <c r="BL102" i="73"/>
  <c r="BE234" i="98"/>
  <c r="BB241" i="98"/>
  <c r="DY9" i="71"/>
  <c r="AZ73" i="51"/>
  <c r="AZ249" i="78"/>
  <c r="AZ236" i="78"/>
  <c r="AZ246" i="78"/>
  <c r="BE197" i="98"/>
  <c r="BG102" i="73"/>
  <c r="BL173" i="99"/>
  <c r="BF32" i="100"/>
  <c r="BF34" i="100"/>
  <c r="BF40" i="100"/>
  <c r="BD37" i="80"/>
  <c r="BD43" i="80"/>
  <c r="BD78" i="46"/>
  <c r="BD86" i="46"/>
  <c r="BP874" i="80"/>
  <c r="BP864" i="80"/>
  <c r="BP877" i="80"/>
  <c r="EE28" i="71"/>
  <c r="BM246" i="78"/>
  <c r="BM236" i="78"/>
  <c r="BM249" i="78"/>
  <c r="BC189" i="98"/>
  <c r="BG240" i="79"/>
  <c r="BG38" i="73"/>
  <c r="DP34" i="71"/>
  <c r="BC241" i="46"/>
  <c r="BC253" i="46"/>
  <c r="DU21" i="71"/>
  <c r="BK37" i="51"/>
  <c r="BK43" i="51"/>
  <c r="BC75" i="51"/>
  <c r="BE241" i="98"/>
  <c r="BC36" i="99"/>
  <c r="AS196" i="99"/>
  <c r="BJ62" i="99"/>
  <c r="BG42" i="80"/>
  <c r="BO42" i="80"/>
  <c r="AZ241" i="46"/>
  <c r="AZ253" i="46"/>
  <c r="DR21" i="71"/>
  <c r="BI176" i="99"/>
  <c r="BI280" i="99"/>
  <c r="BE165" i="79"/>
  <c r="BE229" i="79"/>
  <c r="D42" i="84"/>
  <c r="BA211" i="79"/>
  <c r="BA222" i="79"/>
  <c r="BB68" i="46"/>
  <c r="BD263" i="99"/>
  <c r="BD295" i="99"/>
  <c r="BD65" i="99"/>
  <c r="BL16" i="99"/>
  <c r="BE249" i="46"/>
  <c r="AU36" i="99"/>
  <c r="BF10" i="46"/>
  <c r="BD238" i="99"/>
  <c r="BL78" i="46"/>
  <c r="BL37" i="80"/>
  <c r="BL43" i="80"/>
  <c r="BL44" i="80"/>
  <c r="BP810" i="80"/>
  <c r="BP813" i="80"/>
  <c r="BP239" i="46"/>
  <c r="BP220" i="46"/>
  <c r="BP238" i="46"/>
  <c r="EH16" i="71"/>
  <c r="BI85" i="46"/>
  <c r="BQ867" i="80"/>
  <c r="BQ878" i="80"/>
  <c r="BA220" i="46"/>
  <c r="BL189" i="98"/>
  <c r="BA220" i="98"/>
  <c r="BA259" i="98"/>
  <c r="BG84" i="46"/>
  <c r="BG15" i="71"/>
  <c r="BQ249" i="46"/>
  <c r="BK250" i="46"/>
  <c r="BL250" i="46"/>
  <c r="BP45" i="78"/>
  <c r="BB197" i="98"/>
  <c r="BA230" i="98"/>
  <c r="BA241" i="98"/>
  <c r="BJ36" i="99"/>
  <c r="BM152" i="46"/>
  <c r="BQ152" i="46"/>
  <c r="BD201" i="99"/>
  <c r="BD206" i="99"/>
  <c r="BD216" i="99"/>
  <c r="AX122" i="46"/>
  <c r="AX129" i="46"/>
  <c r="BF236" i="46"/>
  <c r="BF241" i="46"/>
  <c r="BF253" i="46"/>
  <c r="AZ37" i="80"/>
  <c r="AZ43" i="80"/>
  <c r="BK173" i="46"/>
  <c r="AZ42" i="51"/>
  <c r="BN257" i="78"/>
  <c r="BI874" i="80"/>
  <c r="BI864" i="80"/>
  <c r="BI877" i="80"/>
  <c r="BB22" i="71"/>
  <c r="BD194" i="79"/>
  <c r="BD123" i="46"/>
  <c r="BD132" i="46"/>
  <c r="DW28" i="71"/>
  <c r="BC204" i="98"/>
  <c r="BC241" i="98"/>
  <c r="AV248" i="98"/>
  <c r="BP249" i="78"/>
  <c r="BP236" i="78"/>
  <c r="BP246" i="78"/>
  <c r="BG25" i="73"/>
  <c r="BM256" i="46"/>
  <c r="BI46" i="46"/>
  <c r="BM246" i="46"/>
  <c r="BM259" i="46"/>
  <c r="BK133" i="46"/>
  <c r="BK130" i="46"/>
  <c r="BK129" i="46"/>
  <c r="BF877" i="80"/>
  <c r="BF864" i="80"/>
  <c r="BF874" i="80"/>
  <c r="AY42" i="80"/>
  <c r="BO224" i="46"/>
  <c r="BF197" i="98"/>
  <c r="BE877" i="80"/>
  <c r="BC37" i="80"/>
  <c r="BE864" i="80"/>
  <c r="BE874" i="80"/>
  <c r="DY57" i="71"/>
  <c r="BG30" i="80"/>
  <c r="BG796" i="80"/>
  <c r="BN246" i="78"/>
  <c r="BN236" i="78"/>
  <c r="BN249" i="78"/>
  <c r="AT237" i="98"/>
  <c r="AT227" i="98"/>
  <c r="AT240" i="98"/>
  <c r="BE189" i="98"/>
  <c r="AZ224" i="46"/>
  <c r="BF195" i="99"/>
  <c r="BF196" i="99"/>
  <c r="DS34" i="71"/>
  <c r="BK210" i="46"/>
  <c r="AZ874" i="80"/>
  <c r="AZ864" i="80"/>
  <c r="AZ877" i="80"/>
  <c r="AZ36" i="99"/>
  <c r="BK201" i="99"/>
  <c r="BL201" i="99"/>
  <c r="BL206" i="99"/>
  <c r="BL216" i="99"/>
  <c r="BL238" i="99"/>
  <c r="BA196" i="99"/>
  <c r="BA201" i="99"/>
  <c r="BA78" i="46"/>
  <c r="BA86" i="46"/>
  <c r="BB222" i="79"/>
  <c r="AZ165" i="79"/>
  <c r="AZ229" i="79"/>
  <c r="BJ79" i="46"/>
  <c r="BJ68" i="46"/>
  <c r="BL822" i="80"/>
  <c r="BJ234" i="99"/>
  <c r="BB211" i="79"/>
  <c r="BI282" i="99"/>
  <c r="BJ277" i="99"/>
  <c r="BJ282" i="99"/>
  <c r="BM165" i="79"/>
  <c r="BM229" i="79"/>
  <c r="BN203" i="46"/>
  <c r="AY263" i="99"/>
  <c r="AY295" i="99"/>
  <c r="BC173" i="99"/>
  <c r="BC179" i="99"/>
  <c r="BC193" i="99"/>
  <c r="BE173" i="99"/>
  <c r="BE179" i="99"/>
  <c r="BE193" i="99"/>
  <c r="BA25" i="46"/>
  <c r="BG109" i="46"/>
  <c r="BB850" i="80"/>
  <c r="BP241" i="46"/>
  <c r="BP253" i="46"/>
  <c r="EH21" i="71"/>
  <c r="BQ846" i="80"/>
  <c r="BF36" i="99"/>
  <c r="BN224" i="46"/>
  <c r="EA34" i="71"/>
  <c r="BJ106" i="46"/>
  <c r="EA11" i="71"/>
  <c r="EA21" i="71"/>
  <c r="BA37" i="51"/>
  <c r="BA43" i="51"/>
  <c r="AZ204" i="98"/>
  <c r="BJ44" i="80"/>
  <c r="BH867" i="80"/>
  <c r="BH878" i="80"/>
  <c r="BI246" i="78"/>
  <c r="BI236" i="78"/>
  <c r="BI249" i="78"/>
  <c r="BB206" i="98"/>
  <c r="BA226" i="78"/>
  <c r="BA231" i="78"/>
  <c r="BA243" i="78"/>
  <c r="BA219" i="98"/>
  <c r="BA222" i="98"/>
  <c r="BA234" i="98"/>
  <c r="BF218" i="99"/>
  <c r="BF222" i="99"/>
  <c r="BF229" i="99"/>
  <c r="BJ796" i="80"/>
  <c r="AU234" i="99"/>
  <c r="AU251" i="99"/>
  <c r="AU252" i="99"/>
  <c r="AU291" i="99"/>
  <c r="BA195" i="99"/>
  <c r="BK44" i="80"/>
  <c r="BA234" i="99"/>
  <c r="BA251" i="99"/>
  <c r="BA252" i="99"/>
  <c r="BA291" i="99"/>
  <c r="BC234" i="99"/>
  <c r="BC251" i="99"/>
  <c r="BC252" i="99"/>
  <c r="BC291" i="99"/>
  <c r="BH277" i="99"/>
  <c r="BH282" i="99"/>
  <c r="BI277" i="99"/>
  <c r="BB41" i="98"/>
  <c r="BI32" i="100"/>
  <c r="BI34" i="100"/>
  <c r="BI40" i="100"/>
  <c r="BF810" i="80"/>
  <c r="BE850" i="80"/>
  <c r="BB857" i="80"/>
  <c r="BQ71" i="71"/>
  <c r="BQ72" i="71"/>
  <c r="BL60" i="71"/>
  <c r="AZ234" i="98"/>
  <c r="BQ38" i="71"/>
  <c r="AZ867" i="80"/>
  <c r="AZ878" i="80"/>
  <c r="BF256" i="46"/>
  <c r="BF259" i="46"/>
  <c r="BO37" i="51"/>
  <c r="BO43" i="51"/>
  <c r="BI34" i="98"/>
  <c r="BI39" i="98"/>
  <c r="BG211" i="78"/>
  <c r="EI27" i="71"/>
  <c r="BN256" i="46"/>
  <c r="EF24" i="71"/>
  <c r="BK249" i="78"/>
  <c r="BK236" i="78"/>
  <c r="BK246" i="78"/>
  <c r="AY237" i="98"/>
  <c r="AY227" i="98"/>
  <c r="AY240" i="98"/>
  <c r="BJ39" i="46"/>
  <c r="BO239" i="46"/>
  <c r="BO238" i="46"/>
  <c r="EG16" i="71"/>
  <c r="BQ239" i="46"/>
  <c r="BF44" i="80"/>
  <c r="AZ39" i="46"/>
  <c r="BJ173" i="46"/>
  <c r="BH850" i="80"/>
  <c r="BG841" i="80"/>
  <c r="BC842" i="80"/>
  <c r="BN877" i="80"/>
  <c r="BN864" i="80"/>
  <c r="BN874" i="80"/>
  <c r="BF82" i="46"/>
  <c r="BH825" i="80"/>
  <c r="BH839" i="80"/>
  <c r="BH841" i="80"/>
  <c r="BL841" i="80"/>
  <c r="BL842" i="80"/>
  <c r="DY18" i="71"/>
  <c r="BK850" i="80"/>
  <c r="BC256" i="46"/>
  <c r="AZ222" i="78"/>
  <c r="BH37" i="51"/>
  <c r="BH43" i="51"/>
  <c r="BM45" i="78"/>
  <c r="BO246" i="78"/>
  <c r="BM40" i="78"/>
  <c r="BO236" i="78"/>
  <c r="BO249" i="78"/>
  <c r="BL185" i="98"/>
  <c r="BK189" i="98"/>
  <c r="BB227" i="98"/>
  <c r="BE256" i="46"/>
  <c r="BQ68" i="46"/>
  <c r="BN854" i="80"/>
  <c r="BN859" i="80"/>
  <c r="BN871" i="80"/>
  <c r="DR11" i="71"/>
  <c r="AZ254" i="46"/>
  <c r="DR22" i="71"/>
  <c r="BB254" i="46"/>
  <c r="DT22" i="71"/>
  <c r="BD254" i="46"/>
  <c r="DV22" i="71"/>
  <c r="BF254" i="46"/>
  <c r="DX22" i="71"/>
  <c r="BH254" i="46"/>
  <c r="DZ22" i="71"/>
  <c r="BJ254" i="46"/>
  <c r="EB22" i="71"/>
  <c r="BL254" i="46"/>
  <c r="ED22" i="71"/>
  <c r="BN254" i="46"/>
  <c r="EF22" i="71"/>
  <c r="BE42" i="51"/>
  <c r="BA45" i="78"/>
  <c r="BC55" i="98"/>
  <c r="AZ206" i="98"/>
  <c r="BK45" i="78"/>
  <c r="BB229" i="78"/>
  <c r="BB231" i="78"/>
  <c r="BC230" i="98"/>
  <c r="BE230" i="98"/>
  <c r="BQ81" i="73"/>
  <c r="BG228" i="46"/>
  <c r="AT213" i="98"/>
  <c r="EB35" i="71"/>
  <c r="AZ70" i="51"/>
  <c r="BD173" i="46"/>
  <c r="BJ871" i="80"/>
  <c r="BJ854" i="80"/>
  <c r="BO241" i="46"/>
  <c r="BO253" i="46"/>
  <c r="EG21" i="71"/>
  <c r="EG35" i="71"/>
  <c r="BQ249" i="78"/>
  <c r="BQ246" i="78"/>
  <c r="BN250" i="78"/>
  <c r="BG197" i="98"/>
  <c r="AV241" i="98"/>
  <c r="AZ230" i="98"/>
  <c r="AZ241" i="98"/>
  <c r="BD230" i="98"/>
  <c r="BD241" i="98"/>
  <c r="BC214" i="78"/>
  <c r="BB217" i="100"/>
  <c r="BB219" i="100"/>
  <c r="BB258" i="100"/>
  <c r="BL25" i="73"/>
  <c r="BC42" i="51"/>
  <c r="BH73" i="51"/>
  <c r="AY40" i="78"/>
  <c r="AY45" i="78"/>
  <c r="BH45" i="78"/>
  <c r="BH240" i="98"/>
  <c r="BH227" i="98"/>
  <c r="BH237" i="98"/>
  <c r="BD255" i="46"/>
  <c r="DV23" i="71"/>
  <c r="BF230" i="46"/>
  <c r="BF232" i="46"/>
  <c r="BF255" i="46"/>
  <c r="DX23" i="71"/>
  <c r="BH255" i="46"/>
  <c r="DZ23" i="71"/>
  <c r="BJ255" i="46"/>
  <c r="EB23" i="71"/>
  <c r="BL255" i="46"/>
  <c r="ED23" i="71"/>
  <c r="BN255" i="46"/>
  <c r="EF23" i="71"/>
  <c r="BN28" i="79"/>
  <c r="BN32" i="79"/>
  <c r="BN35" i="79"/>
  <c r="BN37" i="79"/>
  <c r="BN43" i="79"/>
  <c r="BN79" i="46"/>
  <c r="BN68" i="46"/>
  <c r="BA39" i="46"/>
  <c r="BA33" i="46"/>
  <c r="BA248" i="46"/>
  <c r="BB248" i="46"/>
  <c r="BB40" i="98"/>
  <c r="BG83" i="46"/>
  <c r="BG14" i="71"/>
  <c r="BG822" i="80"/>
  <c r="BP850" i="80"/>
  <c r="BD196" i="99"/>
  <c r="BD85" i="46"/>
  <c r="BE39" i="46"/>
  <c r="BD796" i="80"/>
  <c r="BM842" i="80"/>
  <c r="BJ857" i="80"/>
  <c r="BJ859" i="80"/>
  <c r="BC878" i="80"/>
  <c r="BA52" i="46"/>
  <c r="BI220" i="46"/>
  <c r="BD210" i="46"/>
  <c r="ED24" i="71"/>
  <c r="AZ45" i="78"/>
  <c r="BD246" i="78"/>
  <c r="BD236" i="78"/>
  <c r="BD249" i="78"/>
  <c r="BL197" i="98"/>
  <c r="AU204" i="98"/>
  <c r="BJ236" i="46"/>
  <c r="ED28" i="71"/>
  <c r="BN247" i="46"/>
  <c r="BN260" i="46"/>
  <c r="BD32" i="100"/>
  <c r="BD34" i="100"/>
  <c r="BD40" i="100"/>
  <c r="BB878" i="80"/>
  <c r="BH52" i="46"/>
  <c r="BJ45" i="78"/>
  <c r="BF55" i="98"/>
  <c r="BK250" i="98"/>
  <c r="BG252" i="98"/>
  <c r="BG253" i="98"/>
  <c r="BN194" i="78"/>
  <c r="BI234" i="98"/>
  <c r="AW253" i="98"/>
  <c r="BB210" i="46"/>
  <c r="AZ210" i="46"/>
  <c r="BI212" i="46"/>
  <c r="BI204" i="98"/>
  <c r="DX35" i="71"/>
  <c r="BL28" i="80"/>
  <c r="BL32" i="80"/>
  <c r="BL35" i="80"/>
  <c r="AY241" i="46"/>
  <c r="AY253" i="46"/>
  <c r="DQ21" i="71"/>
  <c r="BB204" i="98"/>
  <c r="BA218" i="78"/>
  <c r="BM214" i="78"/>
  <c r="BL114" i="73"/>
  <c r="AV222" i="98"/>
  <c r="AZ84" i="46"/>
  <c r="BP248" i="46"/>
  <c r="BB854" i="80"/>
  <c r="BB859" i="80"/>
  <c r="BB871" i="80"/>
  <c r="BL245" i="79"/>
  <c r="BQ839" i="80"/>
  <c r="BH228" i="46"/>
  <c r="BN231" i="79"/>
  <c r="BI43" i="51"/>
  <c r="BB47" i="78"/>
  <c r="BQ42" i="51"/>
  <c r="BL212" i="46"/>
  <c r="BB877" i="80"/>
  <c r="BB37" i="80"/>
  <c r="BB864" i="80"/>
  <c r="BB874" i="80"/>
  <c r="BL46" i="99"/>
  <c r="BQ84" i="46"/>
  <c r="BQ15" i="71"/>
  <c r="BK212" i="46"/>
  <c r="BD842" i="80"/>
  <c r="BA75" i="51"/>
  <c r="AT206" i="98"/>
  <c r="BA877" i="80"/>
  <c r="AY37" i="80"/>
  <c r="BA864" i="80"/>
  <c r="BA874" i="80"/>
  <c r="BB241" i="46"/>
  <c r="BB253" i="46"/>
  <c r="DT21" i="71"/>
  <c r="DT27" i="71"/>
  <c r="EB27" i="71"/>
  <c r="BB839" i="80"/>
  <c r="BL44" i="77"/>
  <c r="BL81" i="46"/>
  <c r="BL13" i="71"/>
  <c r="BK220" i="46"/>
  <c r="BA73" i="51"/>
  <c r="BJ249" i="78"/>
  <c r="BJ236" i="78"/>
  <c r="BJ246" i="78"/>
  <c r="BG236" i="78"/>
  <c r="BH819" i="80"/>
  <c r="BL819" i="80"/>
  <c r="BL825" i="80"/>
  <c r="ED34" i="71"/>
  <c r="ED46" i="71"/>
  <c r="BB45" i="78"/>
  <c r="BH152" i="46"/>
  <c r="BL152" i="46"/>
  <c r="AW260" i="99"/>
  <c r="BB38" i="71"/>
  <c r="BP222" i="78"/>
  <c r="AZ237" i="98"/>
  <c r="AZ227" i="98"/>
  <c r="AZ240" i="98"/>
  <c r="BB102" i="73"/>
  <c r="AW252" i="98"/>
  <c r="EI24" i="71"/>
  <c r="AY194" i="79"/>
  <c r="AY123" i="46"/>
  <c r="AY132" i="46"/>
  <c r="EB16" i="71"/>
  <c r="BJ238" i="46"/>
  <c r="BJ239" i="46"/>
  <c r="DV35" i="71"/>
  <c r="BP83" i="46"/>
  <c r="BL173" i="46"/>
  <c r="BC867" i="80"/>
  <c r="AX133" i="46"/>
  <c r="BL145" i="46"/>
  <c r="EC9" i="71"/>
  <c r="BJ42" i="51"/>
  <c r="BM75" i="51"/>
  <c r="AY39" i="98"/>
  <c r="BX27" i="73"/>
  <c r="EI47" i="71"/>
  <c r="DQ9" i="71"/>
  <c r="DT59" i="71"/>
  <c r="BF246" i="78"/>
  <c r="BF236" i="78"/>
  <c r="BF249" i="78"/>
  <c r="AX204" i="98"/>
  <c r="BI240" i="98"/>
  <c r="BI227" i="98"/>
  <c r="BI237" i="98"/>
  <c r="CB68" i="73"/>
  <c r="BP196" i="46"/>
  <c r="AW40" i="98"/>
  <c r="BB83" i="46"/>
  <c r="BB14" i="71"/>
  <c r="AX75" i="51"/>
  <c r="AY62" i="78"/>
  <c r="BF218" i="78"/>
  <c r="AZ257" i="78"/>
  <c r="BH197" i="98"/>
  <c r="AU197" i="98"/>
  <c r="BF206" i="98"/>
  <c r="BG71" i="73"/>
  <c r="AV230" i="98"/>
  <c r="BZ8" i="73"/>
  <c r="BZ10" i="73"/>
  <c r="BZ15" i="73"/>
  <c r="BZ21" i="73"/>
  <c r="BZ22" i="73"/>
  <c r="BO250" i="78"/>
  <c r="BL39" i="98"/>
  <c r="BB60" i="73"/>
  <c r="BI75" i="51"/>
  <c r="BP259" i="78"/>
  <c r="AS222" i="98"/>
  <c r="AS220" i="98"/>
  <c r="AS259" i="98"/>
  <c r="AZ232" i="46"/>
  <c r="AZ255" i="46"/>
  <c r="DR23" i="71"/>
  <c r="BB255" i="46"/>
  <c r="DT23" i="71"/>
  <c r="BA84" i="46"/>
  <c r="AU32" i="100"/>
  <c r="AU34" i="100"/>
  <c r="AU40" i="100"/>
  <c r="BB44" i="46"/>
  <c r="BO194" i="79"/>
  <c r="BO123" i="46"/>
  <c r="BO132" i="46"/>
  <c r="BP212" i="46"/>
  <c r="AY239" i="46"/>
  <c r="DQ16" i="71"/>
  <c r="AY238" i="46"/>
  <c r="AY222" i="46"/>
  <c r="BL813" i="80"/>
  <c r="BG277" i="99"/>
  <c r="BG282" i="99"/>
  <c r="BL277" i="99"/>
  <c r="BL282" i="99"/>
  <c r="BL284" i="99"/>
  <c r="BK251" i="99"/>
  <c r="BK252" i="99"/>
  <c r="BK291" i="99"/>
  <c r="AS254" i="99"/>
  <c r="AS252" i="99"/>
  <c r="AS291" i="99"/>
  <c r="BL176" i="99"/>
  <c r="BJ176" i="99"/>
  <c r="BJ280" i="99"/>
  <c r="BF28" i="79"/>
  <c r="BF32" i="79"/>
  <c r="BF35" i="79"/>
  <c r="BF37" i="79"/>
  <c r="BF43" i="79"/>
  <c r="BF79" i="46"/>
  <c r="BF68" i="46"/>
  <c r="BH37" i="79"/>
  <c r="BH43" i="79"/>
  <c r="BH79" i="46"/>
  <c r="BH68" i="46"/>
  <c r="BG106" i="46"/>
  <c r="BF224" i="46"/>
  <c r="BC239" i="46"/>
  <c r="BC220" i="46"/>
  <c r="BC238" i="46"/>
  <c r="DU16" i="71"/>
  <c r="BA249" i="46"/>
  <c r="BB249" i="46"/>
  <c r="BG819" i="80"/>
  <c r="BC841" i="80"/>
  <c r="BD239" i="46"/>
  <c r="DV16" i="71"/>
  <c r="BD238" i="46"/>
  <c r="BD222" i="46"/>
  <c r="BF42" i="51"/>
  <c r="AY212" i="46"/>
  <c r="BK228" i="46"/>
  <c r="EF36" i="71"/>
  <c r="AZ62" i="78"/>
  <c r="BD206" i="98"/>
  <c r="DR27" i="71"/>
  <c r="DV27" i="71"/>
  <c r="BG38" i="71"/>
  <c r="BQ32" i="71"/>
  <c r="BQ35" i="71"/>
  <c r="BQ39" i="71"/>
  <c r="AY220" i="46"/>
  <c r="BP846" i="80"/>
  <c r="BC228" i="46"/>
  <c r="DY27" i="71"/>
  <c r="EC27" i="71"/>
  <c r="EG27" i="71"/>
  <c r="BA39" i="98"/>
  <c r="AS189" i="98"/>
  <c r="BG75" i="51"/>
  <c r="BK245" i="98"/>
  <c r="AU248" i="98"/>
  <c r="AY248" i="98"/>
  <c r="BF145" i="98"/>
  <c r="BF248" i="98"/>
  <c r="BH145" i="98"/>
  <c r="BH248" i="98"/>
  <c r="BQ259" i="46"/>
  <c r="BQ246" i="46"/>
  <c r="BQ256" i="46"/>
  <c r="AX55" i="98"/>
  <c r="BA70" i="51"/>
  <c r="EI9" i="71"/>
  <c r="AX842" i="80"/>
  <c r="BB73" i="51"/>
  <c r="BP250" i="78"/>
  <c r="BD257" i="78"/>
  <c r="BK55" i="98"/>
  <c r="BB39" i="98"/>
  <c r="BB34" i="98"/>
  <c r="BB231" i="98"/>
  <c r="BB263" i="98"/>
  <c r="BM250" i="78"/>
  <c r="BL48" i="73"/>
  <c r="BB268" i="78"/>
  <c r="BB49" i="73"/>
  <c r="BL268" i="78"/>
  <c r="BL49" i="73"/>
  <c r="BG48" i="73"/>
  <c r="BL10" i="46"/>
  <c r="BQ173" i="46"/>
  <c r="BM30" i="80"/>
  <c r="BQ30" i="80"/>
  <c r="BQ796" i="80"/>
  <c r="EA35" i="71"/>
  <c r="AU40" i="99"/>
  <c r="AU46" i="99"/>
  <c r="BL236" i="78"/>
  <c r="BL47" i="78"/>
  <c r="BG40" i="98"/>
  <c r="BL83" i="46"/>
  <c r="BL14" i="71"/>
  <c r="BG255" i="46"/>
  <c r="DY23" i="71"/>
  <c r="BI255" i="46"/>
  <c r="EA23" i="71"/>
  <c r="BK255" i="46"/>
  <c r="EC23" i="71"/>
  <c r="BM255" i="46"/>
  <c r="EE23" i="71"/>
  <c r="BO255" i="46"/>
  <c r="EG23" i="71"/>
  <c r="AX61" i="51"/>
  <c r="BB246" i="78"/>
  <c r="BB249" i="78"/>
  <c r="BN239" i="78"/>
  <c r="BP239" i="78"/>
  <c r="BM239" i="78"/>
  <c r="BO239" i="78"/>
  <c r="BK204" i="98"/>
  <c r="BG65" i="78"/>
  <c r="BG268" i="78"/>
  <c r="BG49" i="73"/>
  <c r="AY189" i="98"/>
  <c r="BM243" i="78"/>
  <c r="BM231" i="78"/>
  <c r="BM226" i="78"/>
  <c r="BA250" i="78"/>
  <c r="BC250" i="78"/>
  <c r="BE250" i="78"/>
  <c r="BX25" i="73"/>
  <c r="BQ102" i="73"/>
  <c r="BD204" i="98"/>
  <c r="BD259" i="98"/>
  <c r="BP228" i="78"/>
  <c r="BQ228" i="78"/>
  <c r="BQ268" i="78"/>
  <c r="BQ49" i="73"/>
  <c r="BG234" i="98"/>
  <c r="BG206" i="98"/>
  <c r="BQ825" i="80"/>
  <c r="EI34" i="71"/>
  <c r="EI46" i="71"/>
  <c r="DT24" i="71"/>
  <c r="AY42" i="51"/>
  <c r="AY82" i="46"/>
  <c r="BL115" i="46"/>
  <c r="BL39" i="46"/>
  <c r="BL30" i="51"/>
  <c r="BM39" i="46"/>
  <c r="BI203" i="46"/>
  <c r="BK874" i="80"/>
  <c r="BK864" i="80"/>
  <c r="BK877" i="80"/>
  <c r="DP35" i="71"/>
  <c r="BA241" i="46"/>
  <c r="BA253" i="46"/>
  <c r="DS21" i="71"/>
  <c r="DT34" i="71"/>
  <c r="DT46" i="71"/>
  <c r="BM241" i="46"/>
  <c r="BM253" i="46"/>
  <c r="EE21" i="71"/>
  <c r="BP75" i="51"/>
  <c r="BE45" i="78"/>
  <c r="BL214" i="78"/>
  <c r="BD237" i="98"/>
  <c r="BD227" i="98"/>
  <c r="BD240" i="98"/>
  <c r="BK259" i="46"/>
  <c r="BP228" i="46"/>
  <c r="BP184" i="46"/>
  <c r="EI28" i="71"/>
  <c r="BC62" i="78"/>
  <c r="BK73" i="51"/>
  <c r="BG213" i="78"/>
  <c r="BG214" i="78"/>
  <c r="BJ234" i="98"/>
  <c r="BH246" i="78"/>
  <c r="BH40" i="78"/>
  <c r="BH236" i="78"/>
  <c r="BH249" i="78"/>
  <c r="AT39" i="98"/>
  <c r="BK70" i="51"/>
  <c r="BF62" i="78"/>
  <c r="BF250" i="78"/>
  <c r="BF257" i="78"/>
  <c r="AW197" i="98"/>
  <c r="CE95" i="73"/>
  <c r="BG162" i="98"/>
  <c r="BL227" i="98"/>
  <c r="BF846" i="80"/>
  <c r="BF46" i="78"/>
  <c r="BP40" i="78"/>
  <c r="BP46" i="78"/>
  <c r="BE39" i="98"/>
  <c r="AW204" i="98"/>
  <c r="BP232" i="46"/>
  <c r="BP255" i="46"/>
  <c r="EH23" i="71"/>
  <c r="DS24" i="71"/>
  <c r="BE106" i="46"/>
  <c r="BE109" i="46"/>
  <c r="BI106" i="46"/>
  <c r="BI109" i="46"/>
  <c r="BF84" i="46"/>
  <c r="BP203" i="46"/>
  <c r="BP230" i="46"/>
  <c r="BO877" i="80"/>
  <c r="BO864" i="80"/>
  <c r="BO874" i="80"/>
  <c r="BL40" i="98"/>
  <c r="BQ83" i="46"/>
  <c r="BQ14" i="71"/>
  <c r="BH236" i="46"/>
  <c r="BA37" i="79"/>
  <c r="BA43" i="79"/>
  <c r="BA79" i="46"/>
  <c r="BA68" i="46"/>
  <c r="BP42" i="80"/>
  <c r="AU39" i="98"/>
  <c r="BI28" i="100"/>
  <c r="AY30" i="80"/>
  <c r="BB30" i="80"/>
  <c r="BB796" i="80"/>
  <c r="BF796" i="80"/>
  <c r="BE819" i="80"/>
  <c r="BE825" i="80"/>
  <c r="BE839" i="80"/>
  <c r="BE841" i="80"/>
  <c r="BN196" i="46"/>
  <c r="BG174" i="46"/>
  <c r="BC224" i="46"/>
  <c r="BF220" i="46"/>
  <c r="BH234" i="98"/>
  <c r="BQ236" i="78"/>
  <c r="BL260" i="99"/>
  <c r="BL30" i="99"/>
  <c r="BE85" i="46"/>
  <c r="AZ52" i="46"/>
  <c r="BD259" i="46"/>
  <c r="BK52" i="46"/>
  <c r="BF73" i="51"/>
  <c r="AX240" i="98"/>
  <c r="AX227" i="98"/>
  <c r="AX237" i="98"/>
  <c r="BL210" i="46"/>
  <c r="BB152" i="46"/>
  <c r="BF210" i="46"/>
  <c r="BH210" i="46"/>
  <c r="BJ210" i="46"/>
  <c r="BA212" i="46"/>
  <c r="DT16" i="71"/>
  <c r="BB220" i="46"/>
  <c r="BB238" i="46"/>
  <c r="BB239" i="46"/>
  <c r="BI259" i="98"/>
  <c r="BN26" i="79"/>
  <c r="BI37" i="79"/>
  <c r="BI43" i="79"/>
  <c r="BI79" i="46"/>
  <c r="BI68" i="46"/>
  <c r="BE228" i="46"/>
  <c r="DX34" i="71"/>
  <c r="EC28" i="71"/>
  <c r="BM247" i="46"/>
  <c r="BM260" i="46"/>
  <c r="AZ250" i="78"/>
  <c r="BD250" i="78"/>
  <c r="BF240" i="98"/>
  <c r="BF227" i="98"/>
  <c r="BF237" i="98"/>
  <c r="BK206" i="98"/>
  <c r="BL71" i="73"/>
  <c r="BH70" i="51"/>
  <c r="BL70" i="51"/>
  <c r="BL73" i="51"/>
  <c r="BC39" i="98"/>
  <c r="BQ92" i="73"/>
  <c r="BJ259" i="46"/>
  <c r="BI83" i="46"/>
  <c r="BM42" i="51"/>
  <c r="BM82" i="46"/>
  <c r="BC28" i="100"/>
  <c r="BC32" i="100"/>
  <c r="BC34" i="100"/>
  <c r="BC40" i="100"/>
  <c r="BH85" i="46"/>
  <c r="BB224" i="46"/>
  <c r="BB109" i="46"/>
  <c r="BB236" i="78"/>
  <c r="BH106" i="46"/>
  <c r="BH109" i="46"/>
  <c r="BL109" i="46"/>
  <c r="BA30" i="80"/>
  <c r="BA842" i="80"/>
  <c r="AY867" i="80"/>
  <c r="AY878" i="80"/>
  <c r="BK203" i="46"/>
  <c r="BB174" i="46"/>
  <c r="AY228" i="46"/>
  <c r="AY224" i="46"/>
  <c r="BG813" i="80"/>
  <c r="BB841" i="80"/>
  <c r="BB842" i="80"/>
  <c r="BP73" i="51"/>
  <c r="BI197" i="98"/>
  <c r="AX39" i="98"/>
  <c r="BA240" i="98"/>
  <c r="AX34" i="98"/>
  <c r="BA227" i="98"/>
  <c r="BA237" i="98"/>
  <c r="BK259" i="98"/>
  <c r="BG867" i="80"/>
  <c r="BG878" i="80"/>
  <c r="BO867" i="80"/>
  <c r="BO878" i="80"/>
  <c r="BE52" i="46"/>
  <c r="BA256" i="46"/>
  <c r="BI228" i="46"/>
  <c r="BE32" i="80"/>
  <c r="BE35" i="80"/>
  <c r="BE37" i="80"/>
  <c r="BE43" i="80"/>
  <c r="BL867" i="80"/>
  <c r="BL878" i="80"/>
  <c r="BN867" i="80"/>
  <c r="BN878" i="80"/>
  <c r="BP867" i="80"/>
  <c r="BP878" i="80"/>
  <c r="BP33" i="46"/>
  <c r="BG111" i="73"/>
  <c r="BQ9" i="73"/>
  <c r="BL222" i="78"/>
  <c r="BL92" i="73"/>
  <c r="BJ230" i="98"/>
  <c r="BJ241" i="98"/>
  <c r="AZ248" i="98"/>
  <c r="BE145" i="98"/>
  <c r="BE248" i="98"/>
  <c r="BK145" i="98"/>
  <c r="BK248" i="98"/>
  <c r="BK224" i="46"/>
  <c r="AY204" i="98"/>
  <c r="BL75" i="51"/>
  <c r="BD40" i="78"/>
  <c r="BD46" i="78"/>
  <c r="BA40" i="78"/>
  <c r="BA46" i="78"/>
  <c r="BF209" i="98"/>
  <c r="BH206" i="98"/>
  <c r="BL22" i="71"/>
  <c r="AX36" i="99"/>
  <c r="AX28" i="100"/>
  <c r="AX32" i="100"/>
  <c r="AX34" i="100"/>
  <c r="AX40" i="100"/>
  <c r="BC85" i="46"/>
  <c r="BE867" i="80"/>
  <c r="BE878" i="80"/>
  <c r="AZ220" i="46"/>
  <c r="BD220" i="46"/>
  <c r="BJ220" i="46"/>
  <c r="BO83" i="46"/>
  <c r="BF78" i="46"/>
  <c r="BF86" i="46"/>
  <c r="BF25" i="46"/>
  <c r="BI78" i="46"/>
  <c r="BI86" i="46"/>
  <c r="BK78" i="46"/>
  <c r="BK86" i="46"/>
  <c r="BO28" i="79"/>
  <c r="BO32" i="79"/>
  <c r="BO35" i="79"/>
  <c r="BO37" i="79"/>
  <c r="BO43" i="79"/>
  <c r="BO79" i="46"/>
  <c r="BO68" i="46"/>
  <c r="BH44" i="80"/>
  <c r="BG44" i="77"/>
  <c r="BG81" i="46"/>
  <c r="BG13" i="71"/>
  <c r="BG224" i="46"/>
  <c r="BM61" i="51"/>
  <c r="BC45" i="78"/>
  <c r="BE249" i="78"/>
  <c r="BE236" i="78"/>
  <c r="BE246" i="78"/>
  <c r="AZ55" i="98"/>
  <c r="BA213" i="98"/>
  <c r="BA211" i="98"/>
  <c r="BB211" i="98"/>
  <c r="BC131" i="98"/>
  <c r="BG131" i="98"/>
  <c r="BK237" i="98"/>
  <c r="BK227" i="98"/>
  <c r="BK240" i="98"/>
  <c r="DY24" i="71"/>
  <c r="EG24" i="71"/>
  <c r="DZ27" i="71"/>
  <c r="BG46" i="99"/>
  <c r="BL84" i="46"/>
  <c r="BL15" i="71"/>
  <c r="BN73" i="51"/>
  <c r="BF222" i="78"/>
  <c r="BB189" i="98"/>
  <c r="BG82" i="73"/>
  <c r="DW21" i="71"/>
  <c r="AX206" i="98"/>
  <c r="BL256" i="46"/>
  <c r="BM52" i="46"/>
  <c r="BA228" i="46"/>
  <c r="BI43" i="80"/>
  <c r="BA260" i="46"/>
  <c r="DS28" i="71"/>
  <c r="BE247" i="46"/>
  <c r="BE260" i="46"/>
  <c r="BM57" i="51"/>
  <c r="BI810" i="80"/>
  <c r="BI813" i="80"/>
  <c r="BQ37" i="73"/>
  <c r="BB259" i="99"/>
  <c r="BB46" i="99"/>
  <c r="BM224" i="46"/>
  <c r="BJ213" i="78"/>
  <c r="BJ214" i="78"/>
  <c r="AY197" i="98"/>
  <c r="BG129" i="46"/>
  <c r="BI263" i="99"/>
  <c r="BI295" i="99"/>
  <c r="AW94" i="99"/>
  <c r="AW112" i="99"/>
  <c r="AW113" i="99"/>
  <c r="BL68" i="46"/>
  <c r="BG194" i="79"/>
  <c r="BG123" i="46"/>
  <c r="BG132" i="46"/>
  <c r="BI218" i="99"/>
  <c r="BI222" i="99"/>
  <c r="BI229" i="99"/>
  <c r="BC169" i="79"/>
  <c r="BI28" i="79"/>
  <c r="BI32" i="79"/>
  <c r="BI35" i="79"/>
  <c r="BI163" i="79"/>
  <c r="BI169" i="79"/>
  <c r="BI183" i="79"/>
  <c r="BI185" i="79"/>
  <c r="BJ263" i="99"/>
  <c r="BJ295" i="99"/>
  <c r="BJ65" i="99"/>
  <c r="BI211" i="79"/>
  <c r="BI222" i="79"/>
  <c r="BP46" i="46"/>
  <c r="BP53" i="46"/>
  <c r="AY37" i="79"/>
  <c r="AY43" i="79"/>
  <c r="AY79" i="46"/>
  <c r="AY68" i="46"/>
  <c r="BC37" i="79"/>
  <c r="BC43" i="79"/>
  <c r="BC79" i="46"/>
  <c r="BC68" i="46"/>
  <c r="AY231" i="79"/>
  <c r="AZ226" i="79"/>
  <c r="AZ231" i="79"/>
  <c r="AZ234" i="99"/>
  <c r="BB203" i="46"/>
  <c r="BL28" i="46"/>
  <c r="BQ171" i="46"/>
  <c r="BN37" i="80"/>
  <c r="BN43" i="80"/>
  <c r="BN78" i="46"/>
  <c r="BN86" i="46"/>
  <c r="BL171" i="46"/>
  <c r="AY222" i="78"/>
  <c r="BA250" i="46"/>
  <c r="BB250" i="46"/>
  <c r="DY28" i="71"/>
  <c r="BO40" i="78"/>
  <c r="BO46" i="78"/>
  <c r="AW206" i="98"/>
  <c r="BB173" i="99"/>
  <c r="BB179" i="99"/>
  <c r="AY282" i="99"/>
  <c r="AZ277" i="99"/>
  <c r="AX850" i="80"/>
  <c r="BF228" i="46"/>
  <c r="DX9" i="71"/>
  <c r="BG66" i="78"/>
  <c r="BN37" i="51"/>
  <c r="BN43" i="51"/>
  <c r="DR24" i="71"/>
  <c r="BQ203" i="46"/>
  <c r="BQ212" i="46"/>
  <c r="BE70" i="51"/>
  <c r="BE73" i="51"/>
  <c r="BD43" i="51"/>
  <c r="BD82" i="46"/>
  <c r="BL184" i="46"/>
  <c r="BL42" i="51"/>
  <c r="BL142" i="46"/>
  <c r="BJ70" i="51"/>
  <c r="BJ73" i="51"/>
  <c r="BC30" i="80"/>
  <c r="BH30" i="98"/>
  <c r="BL30" i="98"/>
  <c r="BL55" i="98"/>
  <c r="BG204" i="98"/>
  <c r="AV36" i="99"/>
  <c r="BJ173" i="99"/>
  <c r="BJ179" i="99"/>
  <c r="BJ193" i="99"/>
  <c r="BJ195" i="99"/>
  <c r="BJ196" i="99"/>
  <c r="BJ201" i="99"/>
  <c r="BJ206" i="99"/>
  <c r="BJ216" i="99"/>
  <c r="BE37" i="51"/>
  <c r="BE43" i="51"/>
  <c r="BE82" i="46"/>
  <c r="BK84" i="46"/>
  <c r="EH34" i="71"/>
  <c r="BK28" i="100"/>
  <c r="BK32" i="100"/>
  <c r="BK34" i="100"/>
  <c r="BK40" i="100"/>
  <c r="BP85" i="46"/>
  <c r="BF26" i="79"/>
  <c r="BK26" i="79"/>
  <c r="BK28" i="79"/>
  <c r="BK32" i="79"/>
  <c r="BK35" i="79"/>
  <c r="BK37" i="79"/>
  <c r="BK43" i="79"/>
  <c r="BJ211" i="79"/>
  <c r="BJ222" i="79"/>
  <c r="BL236" i="99"/>
  <c r="AX173" i="99"/>
  <c r="AX179" i="99"/>
  <c r="AX193" i="99"/>
  <c r="BO26" i="79"/>
  <c r="AZ155" i="79"/>
  <c r="AZ26" i="79"/>
  <c r="BE26" i="79"/>
  <c r="BJ26" i="79"/>
  <c r="BJ28" i="79"/>
  <c r="BJ32" i="79"/>
  <c r="BJ35" i="79"/>
  <c r="BJ37" i="79"/>
  <c r="BJ43" i="79"/>
  <c r="AV196" i="99"/>
  <c r="AV201" i="99"/>
  <c r="BA218" i="99"/>
  <c r="BB218" i="99"/>
  <c r="BB222" i="99"/>
  <c r="BG8" i="46"/>
  <c r="BG27" i="46"/>
  <c r="BG32" i="46"/>
  <c r="BG37" i="46"/>
  <c r="BG41" i="46"/>
  <c r="BG44" i="46"/>
  <c r="BG46" i="46"/>
  <c r="BG53" i="46"/>
  <c r="BE36" i="99"/>
  <c r="BE62" i="99"/>
  <c r="BQ165" i="79"/>
  <c r="AZ173" i="99"/>
  <c r="AZ179" i="99"/>
  <c r="AZ193" i="99"/>
  <c r="AZ195" i="99"/>
  <c r="AT34" i="100"/>
  <c r="AT40" i="100"/>
  <c r="AY85" i="46"/>
  <c r="BA28" i="79"/>
  <c r="BA32" i="79"/>
  <c r="BA35" i="79"/>
  <c r="BA163" i="79"/>
  <c r="BA169" i="79"/>
  <c r="AU38" i="99"/>
  <c r="AU173" i="99"/>
  <c r="AU179" i="99"/>
  <c r="AU193" i="99"/>
  <c r="AU195" i="99"/>
  <c r="AU196" i="99"/>
  <c r="BI173" i="99"/>
  <c r="BI179" i="99"/>
  <c r="BI193" i="99"/>
  <c r="BI195" i="99"/>
  <c r="BC226" i="79"/>
  <c r="BC231" i="79"/>
  <c r="BD226" i="79"/>
  <c r="BD231" i="79"/>
  <c r="AV164" i="99"/>
  <c r="AV32" i="99"/>
  <c r="BA32" i="99"/>
  <c r="BE34" i="99"/>
  <c r="BE38" i="99"/>
  <c r="BE40" i="99"/>
  <c r="BE46" i="99"/>
  <c r="BQ192" i="79"/>
  <c r="BQ194" i="79"/>
  <c r="BQ123" i="46"/>
  <c r="BQ132" i="46"/>
  <c r="BD230" i="46"/>
  <c r="BD232" i="46"/>
  <c r="BD241" i="46"/>
  <c r="BD253" i="46"/>
  <c r="DV21" i="71"/>
  <c r="BQ208" i="46"/>
  <c r="BK208" i="46"/>
  <c r="BL208" i="46"/>
  <c r="BM208" i="46"/>
  <c r="BN208" i="46"/>
  <c r="BO208" i="46"/>
  <c r="BP208" i="46"/>
  <c r="BP210" i="46"/>
  <c r="BB222" i="78"/>
  <c r="BI185" i="98"/>
  <c r="BJ185" i="98"/>
  <c r="BK185" i="98"/>
  <c r="BK211" i="98"/>
  <c r="BL211" i="98"/>
  <c r="BL213" i="98"/>
  <c r="AX73" i="51"/>
  <c r="AX70" i="51"/>
  <c r="BB70" i="51"/>
  <c r="BI26" i="79"/>
  <c r="BD26" i="79"/>
  <c r="BD28" i="79"/>
  <c r="BD32" i="79"/>
  <c r="BD35" i="79"/>
  <c r="BD37" i="79"/>
  <c r="BD43" i="79"/>
  <c r="BK195" i="99"/>
  <c r="BK196" i="99"/>
  <c r="BI210" i="46"/>
  <c r="BE208" i="46"/>
  <c r="BF208" i="46"/>
  <c r="BG208" i="46"/>
  <c r="BH208" i="46"/>
  <c r="BI208" i="46"/>
  <c r="BJ208" i="46"/>
  <c r="BC211" i="79"/>
  <c r="BC222" i="79"/>
  <c r="AS218" i="99"/>
  <c r="AS245" i="99"/>
  <c r="AX231" i="79"/>
  <c r="AY226" i="79"/>
  <c r="BG165" i="79"/>
  <c r="BC165" i="79"/>
  <c r="BC229" i="79"/>
  <c r="BG229" i="79"/>
  <c r="AV193" i="99"/>
  <c r="AV195" i="99"/>
  <c r="BF40" i="99"/>
  <c r="BF46" i="99"/>
  <c r="AX65" i="99"/>
  <c r="AY210" i="46"/>
  <c r="EI11" i="71"/>
  <c r="EI13" i="71"/>
  <c r="BM62" i="78"/>
  <c r="BJ30" i="98"/>
  <c r="BJ55" i="98"/>
  <c r="BN228" i="46"/>
  <c r="BN179" i="46"/>
  <c r="BN184" i="46"/>
  <c r="BQ859" i="80"/>
  <c r="AY856" i="80"/>
  <c r="AZ856" i="80"/>
  <c r="BA856" i="80"/>
  <c r="BB856" i="80"/>
  <c r="BC856" i="80"/>
  <c r="BD856" i="80"/>
  <c r="BE856" i="80"/>
  <c r="BF856" i="80"/>
  <c r="BG856" i="80"/>
  <c r="BH856" i="80"/>
  <c r="BI856" i="80"/>
  <c r="BJ856" i="80"/>
  <c r="BK856" i="80"/>
  <c r="BL856" i="80"/>
  <c r="BM856" i="80"/>
  <c r="BN856" i="80"/>
  <c r="BO856" i="80"/>
  <c r="BP856" i="80"/>
  <c r="BQ856" i="80"/>
  <c r="BQ857" i="80"/>
  <c r="DU35" i="71"/>
  <c r="BG222" i="78"/>
  <c r="AZ39" i="98"/>
  <c r="BB48" i="73"/>
  <c r="BM200" i="79"/>
  <c r="BN200" i="79"/>
  <c r="BO200" i="79"/>
  <c r="BP200" i="79"/>
  <c r="BQ200" i="79"/>
  <c r="BQ240" i="79"/>
  <c r="BQ38" i="73"/>
  <c r="AV145" i="98"/>
  <c r="AU145" i="98"/>
  <c r="BI42" i="51"/>
  <c r="BI37" i="51"/>
  <c r="AY256" i="46"/>
  <c r="DQ24" i="71"/>
  <c r="ED18" i="71"/>
  <c r="BQ238" i="46"/>
  <c r="EI16" i="71"/>
  <c r="BQ62" i="71"/>
  <c r="DU34" i="71"/>
  <c r="BC28" i="80"/>
  <c r="BC32" i="80"/>
  <c r="BC35" i="80"/>
  <c r="BC819" i="80"/>
  <c r="BC825" i="80"/>
  <c r="BC839" i="80"/>
  <c r="BK173" i="99"/>
  <c r="BK179" i="99"/>
  <c r="BK193" i="99"/>
  <c r="BI34" i="99"/>
  <c r="BI38" i="99"/>
  <c r="BI40" i="99"/>
  <c r="BI46" i="99"/>
  <c r="BI825" i="80"/>
  <c r="BI839" i="80"/>
  <c r="BI841" i="80"/>
  <c r="BI842" i="80"/>
  <c r="BL241" i="46"/>
  <c r="BL253" i="46"/>
  <c r="ED21" i="71"/>
  <c r="BH184" i="46"/>
  <c r="BH196" i="46"/>
  <c r="BE212" i="46"/>
  <c r="BM810" i="80"/>
  <c r="BQ810" i="80"/>
  <c r="BQ813" i="80"/>
  <c r="BC37" i="51"/>
  <c r="BC43" i="51"/>
  <c r="AZ214" i="78"/>
  <c r="BB213" i="78"/>
  <c r="BB214" i="78"/>
  <c r="BA197" i="98"/>
  <c r="AU259" i="98"/>
  <c r="AZ256" i="46"/>
  <c r="AZ246" i="46"/>
  <c r="AZ259" i="46"/>
  <c r="BE224" i="46"/>
  <c r="BL220" i="46"/>
  <c r="BL238" i="46"/>
  <c r="ED16" i="71"/>
  <c r="BL62" i="71"/>
  <c r="BB162" i="98"/>
  <c r="BJ237" i="98"/>
  <c r="BH34" i="98"/>
  <c r="BJ227" i="98"/>
  <c r="BJ240" i="98"/>
  <c r="AW234" i="98"/>
  <c r="BW77" i="73"/>
  <c r="AZ54" i="51"/>
  <c r="AZ61" i="51"/>
  <c r="BQ44" i="77"/>
  <c r="BQ81" i="46"/>
  <c r="BQ13" i="71"/>
  <c r="AZ171" i="46"/>
  <c r="AZ174" i="46"/>
  <c r="AZ175" i="46"/>
  <c r="AZ179" i="46"/>
  <c r="AZ184" i="46"/>
  <c r="AZ196" i="46"/>
  <c r="BL850" i="80"/>
  <c r="DZ24" i="71"/>
  <c r="AZ40" i="78"/>
  <c r="AZ46" i="78"/>
  <c r="BJ194" i="78"/>
  <c r="BJ257" i="78"/>
  <c r="AV206" i="98"/>
  <c r="BA62" i="78"/>
  <c r="AU234" i="98"/>
  <c r="BA202" i="98"/>
  <c r="BB194" i="79"/>
  <c r="BB123" i="46"/>
  <c r="BB132" i="46"/>
  <c r="AV189" i="98"/>
  <c r="BL81" i="73"/>
  <c r="EB28" i="71"/>
  <c r="AW195" i="99"/>
  <c r="AW196" i="99"/>
  <c r="BD42" i="51"/>
  <c r="BD37" i="51"/>
  <c r="BJ224" i="46"/>
  <c r="AY842" i="80"/>
  <c r="BH203" i="46"/>
  <c r="BG115" i="46"/>
  <c r="BG39" i="46"/>
  <c r="BG30" i="51"/>
  <c r="BH204" i="99"/>
  <c r="BI204" i="99"/>
  <c r="AZ83" i="46"/>
  <c r="BA32" i="100"/>
  <c r="BA34" i="100"/>
  <c r="BA40" i="100"/>
  <c r="DS11" i="71"/>
  <c r="BI42" i="80"/>
  <c r="BI819" i="80"/>
  <c r="BI35" i="80"/>
  <c r="BI37" i="80"/>
  <c r="EB9" i="71"/>
  <c r="BP84" i="46"/>
  <c r="AW46" i="99"/>
  <c r="BB84" i="46"/>
  <c r="BB15" i="71"/>
  <c r="AW32" i="100"/>
  <c r="AW34" i="100"/>
  <c r="AW40" i="100"/>
  <c r="BB85" i="46"/>
  <c r="BB16" i="71"/>
  <c r="BP256" i="46"/>
  <c r="EH24" i="71"/>
  <c r="AX197" i="98"/>
  <c r="AU240" i="98"/>
  <c r="AU227" i="98"/>
  <c r="AU237" i="98"/>
  <c r="BL204" i="98"/>
  <c r="BJ232" i="46"/>
  <c r="BJ241" i="46"/>
  <c r="BJ253" i="46"/>
  <c r="EB21" i="71"/>
  <c r="BA254" i="46"/>
  <c r="DS22" i="71"/>
  <c r="BC254" i="46"/>
  <c r="DU22" i="71"/>
  <c r="BE254" i="46"/>
  <c r="DW22" i="71"/>
  <c r="BG254" i="46"/>
  <c r="DY22" i="71"/>
  <c r="BI254" i="46"/>
  <c r="EA22" i="71"/>
  <c r="BK254" i="46"/>
  <c r="EC22" i="71"/>
  <c r="BM230" i="46"/>
  <c r="BM232" i="46"/>
  <c r="BM254" i="46"/>
  <c r="EE22" i="71"/>
  <c r="BO230" i="46"/>
  <c r="BO232" i="46"/>
  <c r="BO254" i="46"/>
  <c r="EG22" i="71"/>
  <c r="BQ254" i="46"/>
  <c r="EI22" i="71"/>
  <c r="EI57" i="71"/>
  <c r="BQ174" i="46"/>
  <c r="BF867" i="80"/>
  <c r="BF878" i="80"/>
  <c r="BJ867" i="80"/>
  <c r="BJ878" i="80"/>
  <c r="BO247" i="46"/>
  <c r="BO260" i="46"/>
  <c r="EG28" i="71"/>
  <c r="AX222" i="78"/>
  <c r="AV197" i="98"/>
  <c r="BE62" i="78"/>
  <c r="AS204" i="98"/>
  <c r="BB66" i="78"/>
  <c r="BQ22" i="71"/>
  <c r="BB867" i="80"/>
  <c r="EE35" i="71"/>
  <c r="BL250" i="78"/>
  <c r="BQ25" i="73"/>
  <c r="CD95" i="73"/>
  <c r="BG165" i="98"/>
  <c r="BO33" i="78"/>
  <c r="BP25" i="46"/>
  <c r="BK23" i="99"/>
  <c r="BK29" i="99"/>
  <c r="BK34" i="99"/>
  <c r="BK38" i="99"/>
  <c r="BK40" i="99"/>
  <c r="BK46" i="99"/>
  <c r="BB106" i="46"/>
  <c r="AZ38" i="99"/>
  <c r="AZ40" i="99"/>
  <c r="AZ46" i="99"/>
  <c r="BE84" i="46"/>
  <c r="BD40" i="99"/>
  <c r="BD46" i="99"/>
  <c r="BQ129" i="46"/>
  <c r="BG142" i="46"/>
  <c r="BG145" i="46"/>
  <c r="BQ142" i="46"/>
  <c r="BQ145" i="46"/>
  <c r="BN30" i="80"/>
  <c r="BN796" i="80"/>
  <c r="BJ37" i="80"/>
  <c r="BJ43" i="80"/>
  <c r="BJ78" i="46"/>
  <c r="BJ86" i="46"/>
  <c r="BB142" i="46"/>
  <c r="BB145" i="46"/>
  <c r="ED48" i="71"/>
  <c r="ED51" i="71"/>
  <c r="ED59" i="71"/>
  <c r="BL162" i="98"/>
  <c r="BM874" i="80"/>
  <c r="BM37" i="80"/>
  <c r="BM864" i="80"/>
  <c r="BM877" i="80"/>
  <c r="BI256" i="46"/>
  <c r="EA24" i="71"/>
  <c r="BE46" i="46"/>
  <c r="BI246" i="46"/>
  <c r="BI259" i="46"/>
  <c r="EA27" i="71"/>
  <c r="DZ36" i="71"/>
  <c r="BH214" i="78"/>
  <c r="BL213" i="78"/>
  <c r="BC237" i="98"/>
  <c r="BC227" i="98"/>
  <c r="BC240" i="98"/>
  <c r="BF131" i="98"/>
  <c r="BE211" i="98"/>
  <c r="BE213" i="98"/>
  <c r="AY230" i="98"/>
  <c r="AY241" i="98"/>
  <c r="BC173" i="46"/>
  <c r="BG173" i="46"/>
  <c r="EE9" i="71"/>
  <c r="AW30" i="99"/>
  <c r="BB32" i="71"/>
  <c r="BB35" i="71"/>
  <c r="BB39" i="71"/>
  <c r="BC246" i="78"/>
  <c r="BC40" i="78"/>
  <c r="BC236" i="78"/>
  <c r="BC249" i="78"/>
  <c r="BG46" i="78"/>
  <c r="BG80" i="46"/>
  <c r="BG12" i="71"/>
  <c r="BG68" i="46"/>
  <c r="BO819" i="80"/>
  <c r="BO825" i="80"/>
  <c r="BO839" i="80"/>
  <c r="BO841" i="80"/>
  <c r="BO842" i="80"/>
  <c r="BG10" i="71"/>
  <c r="BG28" i="80"/>
  <c r="BG32" i="80"/>
  <c r="BG35" i="80"/>
  <c r="BG37" i="80"/>
  <c r="BG43" i="80"/>
  <c r="BG78" i="46"/>
  <c r="BG86" i="46"/>
  <c r="BK846" i="80"/>
  <c r="BJ231" i="79"/>
  <c r="BK226" i="79"/>
  <c r="BC133" i="46"/>
  <c r="BC130" i="46"/>
  <c r="BC129" i="46"/>
  <c r="DV34" i="71"/>
  <c r="BH173" i="46"/>
  <c r="EG9" i="71"/>
  <c r="BF45" i="78"/>
  <c r="BF40" i="78"/>
  <c r="BE40" i="78"/>
  <c r="BE46" i="78"/>
  <c r="AV213" i="98"/>
  <c r="BH256" i="46"/>
  <c r="BD46" i="46"/>
  <c r="BH246" i="46"/>
  <c r="BH259" i="46"/>
  <c r="BO220" i="46"/>
  <c r="BA37" i="80"/>
  <c r="BA43" i="80"/>
  <c r="BL45" i="78"/>
  <c r="BB30" i="98"/>
  <c r="BB55" i="98"/>
  <c r="AX234" i="98"/>
  <c r="BG45" i="78"/>
  <c r="BK40" i="78"/>
  <c r="BK46" i="78"/>
  <c r="BE236" i="46"/>
  <c r="BE241" i="46"/>
  <c r="BE253" i="46"/>
  <c r="BL257" i="78"/>
  <c r="BL44" i="46"/>
  <c r="BA224" i="46"/>
  <c r="BO35" i="80"/>
  <c r="BO37" i="80"/>
  <c r="BO43" i="80"/>
  <c r="EC35" i="71"/>
  <c r="AY33" i="78"/>
  <c r="BB33" i="78"/>
  <c r="BB62" i="78"/>
  <c r="BJ239" i="78"/>
  <c r="BJ250" i="78"/>
  <c r="AW131" i="98"/>
  <c r="BJ197" i="98"/>
  <c r="AZ197" i="98"/>
  <c r="BO243" i="78"/>
  <c r="BF228" i="78"/>
  <c r="BG228" i="78"/>
  <c r="BH228" i="78"/>
  <c r="BI228" i="78"/>
  <c r="BJ228" i="78"/>
  <c r="BK228" i="78"/>
  <c r="BL228" i="78"/>
  <c r="BM228" i="78"/>
  <c r="BN228" i="78"/>
  <c r="BO228" i="78"/>
  <c r="BO231" i="78"/>
  <c r="BO226" i="78"/>
  <c r="AU230" i="98"/>
  <c r="AU241" i="98"/>
  <c r="BE226" i="78"/>
  <c r="BD228" i="78"/>
  <c r="BE228" i="78"/>
  <c r="BE231" i="78"/>
  <c r="BE243" i="78"/>
  <c r="AS206" i="98"/>
  <c r="BL32" i="98"/>
  <c r="BL34" i="98"/>
  <c r="BL231" i="98"/>
  <c r="BL263" i="98"/>
  <c r="BB234" i="98"/>
  <c r="BF230" i="98"/>
  <c r="BF241" i="98"/>
  <c r="BG33" i="78"/>
  <c r="BG62" i="78"/>
  <c r="BE34" i="98"/>
  <c r="BE40" i="98"/>
  <c r="BG37" i="73"/>
  <c r="BJ247" i="46"/>
  <c r="BJ260" i="46"/>
  <c r="BH40" i="99"/>
  <c r="BH46" i="99"/>
  <c r="BM84" i="46"/>
  <c r="BE32" i="100"/>
  <c r="BE34" i="100"/>
  <c r="BE40" i="100"/>
  <c r="BA28" i="100"/>
  <c r="AZ212" i="46"/>
  <c r="BJ228" i="46"/>
  <c r="BD228" i="46"/>
  <c r="DV9" i="71"/>
  <c r="EI59" i="71"/>
  <c r="BI251" i="99"/>
  <c r="BI252" i="99"/>
  <c r="BI291" i="99"/>
  <c r="BN226" i="79"/>
  <c r="AT229" i="99"/>
  <c r="AV173" i="99"/>
  <c r="AV179" i="99"/>
  <c r="BD282" i="99"/>
  <c r="AU34" i="98"/>
  <c r="AU40" i="98"/>
  <c r="BD28" i="100"/>
  <c r="BD26" i="100"/>
  <c r="BI26" i="100"/>
  <c r="BK194" i="79"/>
  <c r="BK123" i="46"/>
  <c r="BK132" i="46"/>
  <c r="BL249" i="46"/>
  <c r="BF250" i="46"/>
  <c r="BG250" i="46"/>
  <c r="BP250" i="46"/>
  <c r="BQ250" i="46"/>
  <c r="BQ819" i="80"/>
  <c r="BM819" i="80"/>
  <c r="BM825" i="80"/>
  <c r="BM839" i="80"/>
  <c r="BM841" i="80"/>
  <c r="BQ841" i="80"/>
  <c r="BQ842" i="80"/>
  <c r="BF194" i="79"/>
  <c r="BF123" i="46"/>
  <c r="BF132" i="46"/>
  <c r="BG212" i="46"/>
  <c r="BQ236" i="46"/>
  <c r="AY255" i="46"/>
  <c r="DQ23" i="71"/>
  <c r="BQ111" i="73"/>
  <c r="AU189" i="98"/>
  <c r="BQ71" i="73"/>
  <c r="EH35" i="71"/>
  <c r="BB30" i="99"/>
  <c r="BG32" i="71"/>
  <c r="BG35" i="71"/>
  <c r="BG39" i="71"/>
  <c r="BH217" i="46"/>
  <c r="BI217" i="46"/>
  <c r="BJ217" i="46"/>
  <c r="BK217" i="46"/>
  <c r="BL217" i="46"/>
  <c r="BM217" i="46"/>
  <c r="BN217" i="46"/>
  <c r="BO217" i="46"/>
  <c r="BP217" i="46"/>
  <c r="BQ217" i="46"/>
  <c r="BQ220" i="46"/>
  <c r="BG259" i="46"/>
  <c r="BC46" i="46"/>
  <c r="BF246" i="46"/>
  <c r="BG246" i="46"/>
  <c r="BG256" i="46"/>
  <c r="BO259" i="46"/>
  <c r="BK46" i="46"/>
  <c r="BO246" i="46"/>
  <c r="BO256" i="46"/>
  <c r="BD213" i="78"/>
  <c r="BD214" i="78"/>
  <c r="BK39" i="98"/>
  <c r="AS197" i="98"/>
  <c r="AW222" i="98"/>
  <c r="AY145" i="98"/>
  <c r="AZ145" i="98"/>
  <c r="EB36" i="71"/>
  <c r="BO810" i="80"/>
  <c r="BO813" i="80"/>
  <c r="BL38" i="71"/>
  <c r="BD194" i="78"/>
  <c r="BF194" i="78"/>
  <c r="BB148" i="98"/>
  <c r="CC95" i="73"/>
  <c r="BE33" i="78"/>
  <c r="AY206" i="98"/>
  <c r="BN236" i="46"/>
  <c r="BD84" i="46"/>
  <c r="EH36" i="71"/>
  <c r="AY246" i="46"/>
  <c r="AY259" i="46"/>
  <c r="DQ27" i="71"/>
  <c r="AU34" i="99"/>
  <c r="EB34" i="71"/>
  <c r="BL46" i="78"/>
  <c r="BL80" i="46"/>
  <c r="BL12" i="71"/>
  <c r="BG260" i="46"/>
  <c r="BA35" i="51"/>
  <c r="BA54" i="51"/>
  <c r="BA61" i="51"/>
  <c r="AZ183" i="98"/>
  <c r="BE204" i="98"/>
  <c r="BI62" i="78"/>
  <c r="CB50" i="73"/>
  <c r="AY250" i="78"/>
  <c r="BC239" i="78"/>
  <c r="BE239" i="78"/>
  <c r="BF239" i="78"/>
  <c r="BD239" i="78"/>
  <c r="AW39" i="98"/>
  <c r="BG73" i="51"/>
  <c r="AX222" i="98"/>
  <c r="BD220" i="98"/>
  <c r="BL212" i="79"/>
  <c r="BL244" i="79"/>
  <c r="BL63" i="79"/>
  <c r="BL37" i="73"/>
  <c r="BB240" i="79"/>
  <c r="BB38" i="73"/>
  <c r="BG213" i="98"/>
  <c r="BB201" i="100"/>
  <c r="AV39" i="98"/>
  <c r="BA250" i="98"/>
  <c r="AY38" i="99"/>
  <c r="AY40" i="99"/>
  <c r="AY46" i="99"/>
  <c r="AX34" i="99"/>
  <c r="AX38" i="99"/>
  <c r="AX40" i="99"/>
  <c r="AX263" i="99"/>
  <c r="AX295" i="99"/>
  <c r="AY37" i="51"/>
  <c r="AY43" i="51"/>
  <c r="BJ38" i="99"/>
  <c r="BJ40" i="99"/>
  <c r="BJ46" i="99"/>
  <c r="BH39" i="46"/>
  <c r="BI236" i="46"/>
  <c r="BI230" i="46"/>
  <c r="BI232" i="46"/>
  <c r="BI241" i="46"/>
  <c r="BI253" i="46"/>
  <c r="BB228" i="46"/>
  <c r="DT9" i="71"/>
  <c r="BO203" i="46"/>
  <c r="BO212" i="46"/>
  <c r="BI173" i="46"/>
  <c r="BH175" i="46"/>
  <c r="BH179" i="46"/>
  <c r="ED47" i="71"/>
  <c r="BP54" i="51"/>
  <c r="BP61" i="51"/>
  <c r="BH204" i="98"/>
  <c r="CE97" i="73"/>
  <c r="BI867" i="80"/>
  <c r="BI878" i="80"/>
  <c r="BM867" i="80"/>
  <c r="BM878" i="80"/>
  <c r="BK256" i="46"/>
  <c r="EC24" i="71"/>
  <c r="BP179" i="46"/>
  <c r="BQ260" i="46"/>
  <c r="BJ33" i="78"/>
  <c r="BN213" i="78"/>
  <c r="BN214" i="78"/>
  <c r="BB164" i="98"/>
  <c r="BB165" i="98"/>
  <c r="AW213" i="98"/>
  <c r="BC210" i="46"/>
  <c r="AY152" i="46"/>
  <c r="AY208" i="46"/>
  <c r="AZ208" i="46"/>
  <c r="BA208" i="46"/>
  <c r="BB208" i="46"/>
  <c r="BC208" i="46"/>
  <c r="BD208" i="46"/>
  <c r="BL222" i="98"/>
  <c r="BL234" i="98"/>
  <c r="BA247" i="46"/>
  <c r="BB247" i="46"/>
  <c r="BB260" i="46"/>
  <c r="AT34" i="98"/>
  <c r="AT40" i="98"/>
  <c r="AY83" i="46"/>
  <c r="BD184" i="46"/>
  <c r="BD196" i="46"/>
  <c r="DQ36" i="71"/>
  <c r="BF33" i="78"/>
  <c r="AW189" i="98"/>
  <c r="BF213" i="98"/>
  <c r="BA209" i="98"/>
  <c r="BI230" i="98"/>
  <c r="BI241" i="98"/>
  <c r="BI192" i="78"/>
  <c r="BI198" i="78"/>
  <c r="BI211" i="78"/>
  <c r="BI213" i="78"/>
  <c r="BK239" i="78"/>
  <c r="BK250" i="78"/>
  <c r="BB82" i="73"/>
  <c r="BE240" i="98"/>
  <c r="BC34" i="98"/>
  <c r="BE227" i="98"/>
  <c r="BE237" i="98"/>
  <c r="AW254" i="99"/>
  <c r="BJ230" i="46"/>
  <c r="BK106" i="46"/>
  <c r="BK109" i="46"/>
  <c r="BO106" i="46"/>
  <c r="BO109" i="46"/>
  <c r="BA40" i="99"/>
  <c r="BA46" i="99"/>
  <c r="BH813" i="80"/>
  <c r="BH810" i="80"/>
  <c r="BL810" i="80"/>
  <c r="BH230" i="46"/>
  <c r="BH232" i="46"/>
  <c r="BH241" i="46"/>
  <c r="BH253" i="46"/>
  <c r="DZ21" i="71"/>
  <c r="BA155" i="79"/>
  <c r="BA26" i="79"/>
  <c r="BC39" i="46"/>
  <c r="BP37" i="80"/>
  <c r="BP43" i="80"/>
  <c r="AT196" i="99"/>
  <c r="BI32" i="99"/>
  <c r="BO39" i="46"/>
  <c r="BD203" i="46"/>
  <c r="BD212" i="46"/>
  <c r="BF30" i="80"/>
  <c r="DP33" i="71"/>
  <c r="BI796" i="80"/>
  <c r="BC175" i="46"/>
  <c r="BC179" i="46"/>
  <c r="BC184" i="46"/>
  <c r="BC196" i="46"/>
  <c r="BC26" i="100"/>
  <c r="BG26" i="100"/>
  <c r="BG28" i="100"/>
  <c r="BG32" i="100"/>
  <c r="BG34" i="100"/>
  <c r="BG40" i="100"/>
  <c r="BL85" i="46"/>
  <c r="BL16" i="71"/>
  <c r="BF259" i="78"/>
  <c r="BE259" i="98"/>
  <c r="BD247" i="46"/>
  <c r="BD260" i="46"/>
  <c r="DV28" i="71"/>
  <c r="AZ28" i="100"/>
  <c r="AZ32" i="100"/>
  <c r="AZ34" i="100"/>
  <c r="AZ40" i="100"/>
  <c r="BE173" i="46"/>
  <c r="BD175" i="46"/>
  <c r="BD179" i="46"/>
  <c r="BE30" i="80"/>
  <c r="BE796" i="80"/>
  <c r="BD867" i="80"/>
  <c r="BD878" i="80"/>
  <c r="BB46" i="78"/>
  <c r="BB80" i="46"/>
  <c r="BB12" i="71"/>
  <c r="AZ46" i="46"/>
  <c r="BD246" i="46"/>
  <c r="BD256" i="46"/>
  <c r="DV24" i="71"/>
  <c r="BF70" i="51"/>
  <c r="BE75" i="51"/>
  <c r="BQ114" i="73"/>
  <c r="AW148" i="98"/>
  <c r="AW162" i="98"/>
  <c r="BY21" i="73"/>
  <c r="BY22" i="73"/>
  <c r="BY25" i="73"/>
  <c r="BY27" i="73"/>
  <c r="AT222" i="98"/>
  <c r="AT234" i="98"/>
  <c r="BA203" i="46"/>
  <c r="BC259" i="98"/>
  <c r="EF34" i="71"/>
  <c r="BE174" i="46"/>
  <c r="BE175" i="46"/>
  <c r="BE179" i="46"/>
  <c r="BE184" i="46"/>
  <c r="BE196" i="46"/>
  <c r="BQ28" i="80"/>
  <c r="BQ32" i="80"/>
  <c r="BQ35" i="80"/>
  <c r="BD62" i="78"/>
  <c r="BF30" i="98"/>
  <c r="BK183" i="98"/>
  <c r="EG36" i="71"/>
  <c r="BI239" i="78"/>
  <c r="BI250" i="78"/>
  <c r="BL217" i="100"/>
  <c r="BL219" i="100"/>
  <c r="BL258" i="100"/>
  <c r="BC34" i="99"/>
  <c r="BC38" i="99"/>
  <c r="BC40" i="99"/>
  <c r="BC46" i="99"/>
  <c r="BH84" i="46"/>
  <c r="BO796" i="80"/>
  <c r="BF46" i="46"/>
  <c r="BJ246" i="46"/>
  <c r="BJ256" i="46"/>
  <c r="EB24" i="71"/>
  <c r="AX164" i="99"/>
  <c r="AX32" i="99"/>
  <c r="BC32" i="99"/>
  <c r="BH32" i="99"/>
  <c r="BH34" i="99"/>
  <c r="BH38" i="99"/>
  <c r="BH173" i="99"/>
  <c r="BH179" i="99"/>
  <c r="BH193" i="99"/>
  <c r="BM37" i="51"/>
  <c r="BM43" i="51"/>
  <c r="BK39" i="46"/>
  <c r="BB175" i="46"/>
  <c r="BB179" i="46"/>
  <c r="BB184" i="46"/>
  <c r="BB196" i="46"/>
  <c r="DY36" i="71"/>
  <c r="DY35" i="71"/>
  <c r="DY47" i="71"/>
  <c r="BF193" i="99"/>
  <c r="BM106" i="46"/>
  <c r="BL203" i="46"/>
  <c r="BA28" i="80"/>
  <c r="BA32" i="80"/>
  <c r="BA35" i="80"/>
  <c r="BA819" i="80"/>
  <c r="BA825" i="80"/>
  <c r="BA839" i="80"/>
  <c r="BA841" i="80"/>
  <c r="AZ249" i="46"/>
  <c r="AZ260" i="46"/>
  <c r="DR28" i="71"/>
  <c r="AY175" i="46"/>
  <c r="AY179" i="46"/>
  <c r="AY184" i="46"/>
  <c r="AY196" i="46"/>
  <c r="BG810" i="80"/>
  <c r="BJ194" i="79"/>
  <c r="BJ123" i="46"/>
  <c r="BJ132" i="46"/>
  <c r="BP70" i="51"/>
  <c r="BG39" i="98"/>
  <c r="BK220" i="98"/>
  <c r="BB259" i="46"/>
  <c r="BB246" i="46"/>
  <c r="BB256" i="46"/>
  <c r="BB819" i="80"/>
  <c r="BB825" i="80"/>
  <c r="AY217" i="46"/>
  <c r="AZ217" i="46"/>
  <c r="BA217" i="46"/>
  <c r="BB217" i="46"/>
  <c r="BC217" i="46"/>
  <c r="BD217" i="46"/>
  <c r="BE217" i="46"/>
  <c r="BF217" i="46"/>
  <c r="BG217" i="46"/>
  <c r="BG220" i="46"/>
  <c r="BG238" i="46"/>
  <c r="DY16" i="71"/>
  <c r="BG62" i="71"/>
  <c r="BP260" i="46"/>
  <c r="BP247" i="46"/>
  <c r="BQ247" i="46"/>
  <c r="BD55" i="98"/>
  <c r="BL143" i="98"/>
  <c r="BL148" i="98"/>
  <c r="BJ183" i="98"/>
  <c r="BJ206" i="98"/>
  <c r="BQ37" i="51"/>
  <c r="BQ43" i="51"/>
  <c r="BQ82" i="46"/>
  <c r="BQ17" i="71"/>
  <c r="BL220" i="78"/>
  <c r="BM220" i="78"/>
  <c r="BN220" i="78"/>
  <c r="BO220" i="78"/>
  <c r="BP220" i="78"/>
  <c r="BQ220" i="78"/>
  <c r="BQ222" i="78"/>
  <c r="BK179" i="46"/>
  <c r="BK184" i="46"/>
  <c r="BK196" i="46"/>
  <c r="BA246" i="46"/>
  <c r="BA259" i="46"/>
  <c r="DS27" i="71"/>
  <c r="BD70" i="51"/>
  <c r="BD73" i="51"/>
  <c r="BM228" i="46"/>
  <c r="BL54" i="51"/>
  <c r="BL61" i="51"/>
  <c r="BI38" i="78"/>
  <c r="BI40" i="78"/>
  <c r="BI46" i="78"/>
  <c r="BH183" i="98"/>
  <c r="CC50" i="73"/>
  <c r="AY232" i="46"/>
  <c r="AY254" i="46"/>
  <c r="DQ22" i="71"/>
  <c r="AY34" i="98"/>
  <c r="AY40" i="98"/>
  <c r="BD83" i="46"/>
  <c r="BJ30" i="80"/>
  <c r="DV36" i="71"/>
  <c r="AY277" i="99"/>
  <c r="BA23" i="99"/>
  <c r="BA29" i="99"/>
  <c r="BA34" i="99"/>
  <c r="BA38" i="99"/>
  <c r="BA173" i="99"/>
  <c r="BA179" i="99"/>
  <c r="BA193" i="99"/>
  <c r="BF23" i="99"/>
  <c r="BF29" i="99"/>
  <c r="BF34" i="99"/>
  <c r="BF38" i="99"/>
  <c r="BF173" i="99"/>
  <c r="BF179" i="99"/>
  <c r="BH28" i="80"/>
  <c r="BH32" i="80"/>
  <c r="BH35" i="80"/>
  <c r="BH37" i="80"/>
  <c r="BH43" i="80"/>
  <c r="BH78" i="46"/>
  <c r="BH86" i="46"/>
  <c r="DY48" i="71"/>
  <c r="DY51" i="71"/>
  <c r="DY59" i="71"/>
  <c r="BC247" i="46"/>
  <c r="BC260" i="46"/>
  <c r="DU28" i="71"/>
  <c r="BM203" i="46"/>
  <c r="BM212" i="46"/>
  <c r="AY46" i="46"/>
  <c r="BC246" i="46"/>
  <c r="BC259" i="46"/>
  <c r="DU27" i="71"/>
  <c r="DT18" i="71"/>
  <c r="AX123" i="46"/>
  <c r="AX132" i="46"/>
  <c r="BG247" i="46"/>
  <c r="BF247" i="46"/>
  <c r="BF260" i="46"/>
  <c r="BH184" i="78"/>
  <c r="BL184" i="78"/>
  <c r="BB108" i="73"/>
  <c r="AX230" i="98"/>
  <c r="AX241" i="98"/>
  <c r="BD75" i="51"/>
  <c r="BH46" i="46"/>
  <c r="BK246" i="46"/>
  <c r="BL246" i="46"/>
  <c r="BL259" i="46"/>
  <c r="ED27" i="71"/>
  <c r="BJ46" i="46"/>
  <c r="BN246" i="46"/>
  <c r="BN259" i="46"/>
  <c r="EF27" i="71"/>
  <c r="BM46" i="46"/>
  <c r="BP246" i="46"/>
  <c r="BP259" i="46"/>
  <c r="EH27" i="71"/>
  <c r="BQ45" i="78"/>
  <c r="BB250" i="78"/>
  <c r="BL261" i="78"/>
  <c r="BC197" i="98"/>
  <c r="AW237" i="98"/>
  <c r="AW227" i="98"/>
  <c r="AW240" i="98"/>
  <c r="BH230" i="98"/>
  <c r="BH241" i="98"/>
  <c r="BB71" i="73"/>
  <c r="BG250" i="78"/>
  <c r="CD50" i="73"/>
  <c r="BF842" i="80"/>
  <c r="BA46" i="46"/>
  <c r="BE246" i="46"/>
  <c r="BE259" i="46"/>
  <c r="DW27" i="71"/>
  <c r="BD219" i="98"/>
  <c r="BD222" i="98"/>
  <c r="BD234" i="98"/>
  <c r="AV210" i="100"/>
  <c r="AW210" i="100"/>
  <c r="AX133" i="100"/>
  <c r="AX26" i="100"/>
  <c r="BB26" i="100"/>
  <c r="BB28" i="100"/>
  <c r="BB32" i="100"/>
  <c r="BB34" i="100"/>
  <c r="BB40" i="100"/>
  <c r="BG85" i="46"/>
  <c r="BG16" i="71"/>
  <c r="AU243" i="99"/>
  <c r="AV243" i="99"/>
  <c r="AW243" i="99"/>
  <c r="AX243" i="99"/>
  <c r="AY243" i="99"/>
  <c r="AZ243" i="99"/>
  <c r="BA243" i="99"/>
  <c r="BB243" i="99"/>
  <c r="BC243" i="99"/>
  <c r="BD243" i="99"/>
  <c r="BE243" i="99"/>
  <c r="BF243" i="99"/>
  <c r="BG243" i="99"/>
  <c r="BH243" i="99"/>
  <c r="BI243" i="99"/>
  <c r="BJ243" i="99"/>
  <c r="BJ218" i="99"/>
  <c r="BJ222" i="99"/>
  <c r="AV23" i="99"/>
  <c r="AV29" i="99"/>
  <c r="AV34" i="99"/>
  <c r="AV38" i="99"/>
  <c r="AV40" i="99"/>
  <c r="AV46" i="99"/>
  <c r="BE28" i="100"/>
  <c r="BF28" i="100"/>
  <c r="BF26" i="100"/>
  <c r="BK26" i="100"/>
  <c r="AZ203" i="46"/>
  <c r="BJ171" i="46"/>
  <c r="BJ174" i="46"/>
  <c r="BJ175" i="46"/>
  <c r="BJ179" i="46"/>
  <c r="BJ184" i="46"/>
  <c r="BJ196" i="46"/>
  <c r="BO30" i="80"/>
  <c r="BO32" i="80"/>
  <c r="EI51" i="71"/>
  <c r="BB848" i="80"/>
  <c r="BC848" i="80"/>
  <c r="BD848" i="80"/>
  <c r="BE848" i="80"/>
  <c r="BF848" i="80"/>
  <c r="BG848" i="80"/>
  <c r="BH848" i="80"/>
  <c r="BI848" i="80"/>
  <c r="BJ848" i="80"/>
  <c r="BK848" i="80"/>
  <c r="BL848" i="80"/>
  <c r="BM848" i="80"/>
  <c r="BN848" i="80"/>
  <c r="BO848" i="80"/>
  <c r="BP848" i="80"/>
  <c r="BQ848" i="80"/>
  <c r="BQ850" i="80"/>
  <c r="BI234" i="99"/>
  <c r="BJ226" i="79"/>
  <c r="BM231" i="79"/>
  <c r="AT195" i="99"/>
  <c r="AT218" i="99"/>
  <c r="AT222" i="99"/>
  <c r="AZ34" i="99"/>
  <c r="AY26" i="100"/>
  <c r="AY28" i="100"/>
  <c r="AY32" i="100"/>
  <c r="AY34" i="100"/>
  <c r="AY40" i="100"/>
  <c r="AU28" i="100"/>
  <c r="BJ32" i="100"/>
  <c r="BJ34" i="100"/>
  <c r="BJ40" i="100"/>
  <c r="BF179" i="46"/>
  <c r="BF184" i="46"/>
  <c r="BF196" i="46"/>
  <c r="BD30" i="80"/>
  <c r="BI32" i="80"/>
  <c r="BI30" i="80"/>
  <c r="BI28" i="80"/>
  <c r="DZ28" i="71"/>
  <c r="AY203" i="46"/>
  <c r="BF33" i="46"/>
  <c r="BF248" i="46"/>
  <c r="BG248" i="46"/>
  <c r="BB32" i="80"/>
  <c r="BB35" i="80"/>
  <c r="BE203" i="46"/>
  <c r="EA28" i="71"/>
  <c r="BK62" i="78"/>
  <c r="BB211" i="78"/>
  <c r="BF254" i="78"/>
  <c r="AU220" i="98"/>
  <c r="AU219" i="98"/>
  <c r="AU222" i="98"/>
  <c r="BQ46" i="78"/>
  <c r="BQ80" i="46"/>
  <c r="BQ12" i="71"/>
  <c r="BQ8" i="46"/>
  <c r="BQ27" i="46"/>
  <c r="BQ32" i="46"/>
  <c r="BQ37" i="46"/>
  <c r="BQ41" i="46"/>
  <c r="BN46" i="46"/>
  <c r="BN53" i="46"/>
  <c r="BK230" i="46"/>
  <c r="BK232" i="46"/>
  <c r="BK241" i="46"/>
  <c r="BK253" i="46"/>
  <c r="EC21" i="71"/>
  <c r="BG273" i="78"/>
  <c r="BG40" i="78"/>
  <c r="BG240" i="78"/>
  <c r="BG272" i="78"/>
  <c r="BI222" i="98"/>
  <c r="BI219" i="98"/>
  <c r="BI220" i="98"/>
  <c r="AW230" i="98"/>
  <c r="BB810" i="80"/>
  <c r="AZ842" i="80"/>
  <c r="BD35" i="51"/>
  <c r="BD54" i="51"/>
  <c r="BD61" i="51"/>
  <c r="BC220" i="98"/>
  <c r="DX36" i="71"/>
  <c r="BK37" i="80"/>
  <c r="BK43" i="80"/>
  <c r="BQ228" i="46"/>
  <c r="BB184" i="78"/>
  <c r="BF39" i="98"/>
  <c r="BL241" i="98"/>
  <c r="AT145" i="98"/>
  <c r="AT248" i="98"/>
  <c r="AX145" i="98"/>
  <c r="AX248" i="98"/>
  <c r="BC145" i="98"/>
  <c r="BC248" i="98"/>
  <c r="BI145" i="98"/>
  <c r="BI248" i="98"/>
  <c r="BB32" i="98"/>
  <c r="AZ239" i="78"/>
  <c r="BA239" i="78"/>
  <c r="AY239" i="78"/>
  <c r="BG34" i="98"/>
  <c r="BG231" i="98"/>
  <c r="BG263" i="98"/>
  <c r="CB95" i="73"/>
  <c r="BN230" i="46"/>
  <c r="BN232" i="46"/>
  <c r="BN241" i="46"/>
  <c r="BN253" i="46"/>
  <c r="EF21" i="71"/>
  <c r="BA85" i="46"/>
  <c r="BK796" i="80"/>
  <c r="DW35" i="71"/>
  <c r="BI73" i="51"/>
  <c r="BP218" i="78"/>
  <c r="BC203" i="46"/>
  <c r="BD28" i="80"/>
  <c r="BD32" i="80"/>
  <c r="BD35" i="80"/>
  <c r="BD819" i="80"/>
  <c r="BD825" i="80"/>
  <c r="BD839" i="80"/>
  <c r="BD841" i="80"/>
  <c r="BB60" i="71"/>
  <c r="BL71" i="71"/>
  <c r="BL72" i="71"/>
  <c r="BK33" i="78"/>
  <c r="BB261" i="78"/>
  <c r="BB143" i="98"/>
  <c r="BE220" i="98"/>
  <c r="BE219" i="98"/>
  <c r="BE222" i="98"/>
  <c r="BG261" i="78"/>
  <c r="BQ48" i="73"/>
  <c r="BO73" i="51"/>
  <c r="BB59" i="73"/>
  <c r="BG107" i="73"/>
  <c r="BA55" i="98"/>
  <c r="AZ222" i="98"/>
  <c r="BB273" i="78"/>
  <c r="BQ108" i="73"/>
  <c r="BB17" i="71"/>
  <c r="BL110" i="73"/>
  <c r="AV34" i="98"/>
  <c r="AV40" i="98"/>
  <c r="AZ34" i="98"/>
  <c r="AZ40" i="98"/>
  <c r="BB145" i="98"/>
  <c r="BA145" i="98"/>
  <c r="BA248" i="98"/>
  <c r="BL194" i="79"/>
  <c r="BL123" i="46"/>
  <c r="BL132" i="46"/>
  <c r="BP214" i="78"/>
  <c r="BF183" i="98"/>
  <c r="BQ43" i="79"/>
  <c r="BQ79" i="46"/>
  <c r="BQ11" i="71"/>
  <c r="BQ7" i="73"/>
  <c r="BQ10" i="73"/>
  <c r="BC73" i="51"/>
  <c r="BC70" i="51"/>
  <c r="BG70" i="51"/>
  <c r="BB75" i="51"/>
  <c r="BC213" i="78"/>
  <c r="BB230" i="98"/>
  <c r="BB26" i="98"/>
  <c r="BB28" i="98"/>
  <c r="BB25" i="73"/>
  <c r="BD33" i="78"/>
  <c r="AV250" i="98"/>
  <c r="AT204" i="98"/>
  <c r="AT219" i="98"/>
  <c r="AT220" i="98"/>
  <c r="AT259" i="98"/>
  <c r="BB222" i="98"/>
  <c r="BA206" i="98"/>
  <c r="BQ59" i="73"/>
  <c r="BG222" i="98"/>
  <c r="BQ261" i="78"/>
  <c r="BM27" i="77"/>
  <c r="BQ27" i="77"/>
  <c r="BQ29" i="77"/>
  <c r="BQ33" i="77"/>
  <c r="BQ36" i="77"/>
  <c r="BQ38" i="77"/>
  <c r="BQ241" i="77"/>
  <c r="BQ273" i="77"/>
  <c r="BQ64" i="77"/>
  <c r="BG110" i="73"/>
  <c r="BG114" i="73"/>
  <c r="AS183" i="98"/>
  <c r="BB131" i="98"/>
  <c r="AT202" i="98"/>
  <c r="BG22" i="71"/>
  <c r="DT47" i="71"/>
  <c r="BA26" i="100"/>
  <c r="BI70" i="51"/>
  <c r="BE28" i="80"/>
  <c r="EE36" i="71"/>
  <c r="BE35" i="51"/>
  <c r="BE54" i="51"/>
  <c r="BE61" i="51"/>
  <c r="BF214" i="78"/>
  <c r="BL239" i="78"/>
  <c r="BC61" i="51"/>
  <c r="BI35" i="78"/>
  <c r="BI33" i="78"/>
  <c r="BH222" i="98"/>
  <c r="BK218" i="78"/>
  <c r="AZ194" i="78"/>
  <c r="BL82" i="73"/>
  <c r="BM33" i="78"/>
  <c r="BQ33" i="78"/>
  <c r="BQ62" i="78"/>
  <c r="AV204" i="98"/>
  <c r="AV219" i="98"/>
  <c r="AV220" i="98"/>
  <c r="AV259" i="98"/>
  <c r="BL26" i="79"/>
  <c r="BL28" i="79"/>
  <c r="BL32" i="79"/>
  <c r="BL35" i="79"/>
  <c r="BL37" i="79"/>
  <c r="BL43" i="79"/>
  <c r="BL79" i="46"/>
  <c r="BL11" i="71"/>
  <c r="BL7" i="73"/>
  <c r="BL10" i="73"/>
  <c r="CB93" i="73"/>
  <c r="BB228" i="77"/>
  <c r="BB269" i="77"/>
  <c r="AY226" i="78"/>
  <c r="AY231" i="78"/>
  <c r="AY243" i="78"/>
  <c r="BE206" i="98"/>
  <c r="BD37" i="46"/>
  <c r="BD41" i="46"/>
  <c r="BD44" i="46"/>
  <c r="BD149" i="46"/>
  <c r="BD156" i="46"/>
  <c r="BD171" i="46"/>
  <c r="BD174" i="46"/>
  <c r="BC220" i="78"/>
  <c r="BD220" i="78"/>
  <c r="BE220" i="78"/>
  <c r="BF220" i="78"/>
  <c r="BG220" i="78"/>
  <c r="BH220" i="78"/>
  <c r="BI220" i="78"/>
  <c r="BJ220" i="78"/>
  <c r="BK220" i="78"/>
  <c r="BM184" i="78"/>
  <c r="BQ184" i="78"/>
  <c r="BI35" i="51"/>
  <c r="BI54" i="51"/>
  <c r="BI61" i="51"/>
  <c r="BN70" i="51"/>
  <c r="BN175" i="46"/>
  <c r="BJ82" i="46"/>
  <c r="BP30" i="80"/>
  <c r="BB54" i="51"/>
  <c r="BB61" i="51"/>
  <c r="BA32" i="51"/>
  <c r="BF174" i="98"/>
  <c r="BC174" i="46"/>
  <c r="BQ60" i="73"/>
  <c r="BG198" i="78"/>
  <c r="AV245" i="98"/>
  <c r="BB37" i="73"/>
  <c r="AY200" i="79"/>
  <c r="AZ200" i="79"/>
  <c r="BA200" i="79"/>
  <c r="BB200" i="79"/>
  <c r="BC200" i="79"/>
  <c r="BD200" i="79"/>
  <c r="BE200" i="79"/>
  <c r="BF200" i="79"/>
  <c r="BG200" i="79"/>
  <c r="BH200" i="79"/>
  <c r="BI200" i="79"/>
  <c r="BJ200" i="79"/>
  <c r="BK200" i="79"/>
  <c r="BL200" i="79"/>
  <c r="BL240" i="79"/>
  <c r="BL38" i="73"/>
  <c r="BL272" i="78"/>
  <c r="BL65" i="78"/>
  <c r="AU250" i="98"/>
  <c r="BL65" i="99"/>
  <c r="BK209" i="98"/>
  <c r="CD68" i="73"/>
  <c r="AV202" i="98"/>
  <c r="AW219" i="98"/>
  <c r="AW220" i="98"/>
  <c r="AW259" i="98"/>
  <c r="BB81" i="73"/>
  <c r="BI200" i="100"/>
  <c r="BJ200" i="100"/>
  <c r="BK200" i="100"/>
  <c r="BL200" i="100"/>
  <c r="BL201" i="100"/>
  <c r="BC226" i="78"/>
  <c r="AY228" i="78"/>
  <c r="AZ228" i="78"/>
  <c r="BA228" i="78"/>
  <c r="BB228" i="78"/>
  <c r="BC228" i="78"/>
  <c r="BC231" i="78"/>
  <c r="BC243" i="78"/>
  <c r="AU206" i="98"/>
  <c r="BG32" i="98"/>
  <c r="BC211" i="78"/>
  <c r="AY55" i="98"/>
  <c r="AX219" i="98"/>
  <c r="AX220" i="98"/>
  <c r="AX259" i="98"/>
  <c r="BF220" i="98"/>
  <c r="BF259" i="98"/>
  <c r="BB82" i="46"/>
  <c r="BH200" i="100"/>
  <c r="AX202" i="98"/>
  <c r="BG184" i="78"/>
  <c r="BG164" i="98"/>
  <c r="AU202" i="98"/>
  <c r="BG149" i="46"/>
  <c r="BG156" i="46"/>
  <c r="BE171" i="46"/>
  <c r="DW36" i="71"/>
  <c r="AY220" i="98"/>
  <c r="AY259" i="98"/>
  <c r="EA36" i="71"/>
  <c r="BO196" i="46"/>
  <c r="BB156" i="46"/>
  <c r="DT36" i="71"/>
  <c r="DT35" i="71"/>
  <c r="DT13" i="71"/>
  <c r="BB71" i="71"/>
  <c r="BB72" i="71"/>
  <c r="BP249" i="46"/>
  <c r="BF213" i="78"/>
  <c r="BN211" i="78"/>
  <c r="CC93" i="73"/>
  <c r="AW165" i="98"/>
  <c r="BL108" i="73"/>
  <c r="BL145" i="98"/>
  <c r="BJ145" i="98"/>
  <c r="BJ248" i="98"/>
  <c r="BB38" i="78"/>
  <c r="BB40" i="78"/>
  <c r="BB240" i="78"/>
  <c r="BB272" i="78"/>
  <c r="BB65" i="78"/>
  <c r="AY183" i="98"/>
  <c r="AW251" i="99"/>
  <c r="AW252" i="99"/>
  <c r="AW291" i="99"/>
  <c r="BD30" i="98"/>
  <c r="BD34" i="98"/>
  <c r="BD40" i="98"/>
  <c r="BB35" i="78"/>
  <c r="BB130" i="46"/>
  <c r="BB133" i="46"/>
  <c r="CB92" i="73"/>
  <c r="BB36" i="77"/>
  <c r="BB38" i="77"/>
  <c r="BB241" i="77"/>
  <c r="BB273" i="77"/>
  <c r="BB64" i="77"/>
  <c r="BI32" i="51"/>
  <c r="BN37" i="46"/>
  <c r="BN41" i="46"/>
  <c r="BN44" i="46"/>
  <c r="BN149" i="46"/>
  <c r="BN156" i="46"/>
  <c r="BN171" i="46"/>
  <c r="BN174" i="46"/>
  <c r="BJ37" i="51"/>
  <c r="BJ43" i="51"/>
  <c r="BC232" i="46"/>
  <c r="BC255" i="46"/>
  <c r="DU23" i="71"/>
  <c r="BE230" i="46"/>
  <c r="BE232" i="46"/>
  <c r="BE255" i="46"/>
  <c r="DW23" i="71"/>
  <c r="BQ255" i="46"/>
  <c r="EI23" i="71"/>
  <c r="BK249" i="46"/>
  <c r="BM54" i="51"/>
  <c r="BQ54" i="51"/>
  <c r="BQ61" i="51"/>
  <c r="BD211" i="78"/>
  <c r="BF211" i="78"/>
  <c r="BI31" i="78"/>
  <c r="BP213" i="78"/>
  <c r="AX30" i="98"/>
  <c r="AZ30" i="98"/>
  <c r="BJ165" i="98"/>
  <c r="BJ169" i="98"/>
  <c r="BJ174" i="98"/>
  <c r="BK174" i="98"/>
  <c r="AW65" i="99"/>
  <c r="BQ82" i="73"/>
  <c r="BQ211" i="78"/>
  <c r="BJ34" i="98"/>
  <c r="BJ40" i="98"/>
  <c r="BC33" i="78"/>
  <c r="BF250" i="98"/>
  <c r="BJ222" i="98"/>
  <c r="BB212" i="79"/>
  <c r="BB244" i="79"/>
  <c r="BB63" i="79"/>
  <c r="BG60" i="73"/>
  <c r="BA214" i="78"/>
  <c r="BD131" i="98"/>
  <c r="BC211" i="98"/>
  <c r="BC213" i="98"/>
  <c r="BF211" i="98"/>
  <c r="BG211" i="98"/>
  <c r="BH131" i="98"/>
  <c r="BL131" i="98"/>
  <c r="BG148" i="98"/>
  <c r="AU30" i="98"/>
  <c r="BD202" i="98"/>
  <c r="BG219" i="98"/>
  <c r="BG220" i="98"/>
  <c r="BG259" i="98"/>
  <c r="BL34" i="99"/>
  <c r="BL38" i="99"/>
  <c r="BL40" i="99"/>
  <c r="BL263" i="99"/>
  <c r="BL295" i="99"/>
  <c r="AW164" i="98"/>
  <c r="AS165" i="98"/>
  <c r="AS169" i="98"/>
  <c r="AS174" i="98"/>
  <c r="AV30" i="98"/>
  <c r="AT189" i="98"/>
  <c r="BG183" i="98"/>
  <c r="BF171" i="46"/>
  <c r="BF174" i="46"/>
  <c r="BF175" i="46"/>
  <c r="BG175" i="46"/>
  <c r="BG179" i="46"/>
  <c r="BG184" i="46"/>
  <c r="BG196" i="46"/>
  <c r="BH156" i="46"/>
  <c r="BH171" i="46"/>
  <c r="BH174" i="46"/>
  <c r="BL174" i="46"/>
  <c r="ED57" i="71"/>
  <c r="AX194" i="79"/>
  <c r="BQ184" i="46"/>
  <c r="BQ196" i="46"/>
  <c r="BQ224" i="46"/>
  <c r="BL206" i="98"/>
  <c r="AT230" i="98"/>
  <c r="AT241" i="98"/>
  <c r="BH194" i="78"/>
  <c r="BH257" i="78"/>
  <c r="AZ37" i="46"/>
  <c r="AZ41" i="46"/>
  <c r="AZ44" i="46"/>
  <c r="AZ149" i="46"/>
  <c r="AZ156" i="46"/>
  <c r="DR36" i="71"/>
  <c r="DR35" i="71"/>
  <c r="AZ194" i="79"/>
  <c r="AZ123" i="46"/>
  <c r="AZ132" i="46"/>
  <c r="BA175" i="46"/>
  <c r="BA179" i="46"/>
  <c r="BA184" i="46"/>
  <c r="BA196" i="46"/>
  <c r="BD26" i="80"/>
  <c r="BI26" i="80"/>
  <c r="BN26" i="80"/>
  <c r="BN28" i="80"/>
  <c r="BN32" i="80"/>
  <c r="BN35" i="80"/>
  <c r="BN819" i="80"/>
  <c r="BN825" i="80"/>
  <c r="BN839" i="80"/>
  <c r="BN841" i="80"/>
  <c r="BN842" i="80"/>
  <c r="BH163" i="79"/>
  <c r="BL163" i="79"/>
  <c r="BL169" i="79"/>
  <c r="ED33" i="71"/>
  <c r="ED45" i="71"/>
  <c r="BJ40" i="78"/>
  <c r="BJ46" i="78"/>
  <c r="BK197" i="98"/>
  <c r="AT192" i="98"/>
  <c r="AU192" i="98"/>
  <c r="AV192" i="98"/>
  <c r="AW192" i="98"/>
  <c r="AX192" i="98"/>
  <c r="AY192" i="98"/>
  <c r="AZ192" i="98"/>
  <c r="BA192" i="98"/>
  <c r="BB192" i="98"/>
  <c r="BC192" i="98"/>
  <c r="BD192" i="98"/>
  <c r="BE192" i="98"/>
  <c r="BF192" i="98"/>
  <c r="BG192" i="98"/>
  <c r="BH192" i="98"/>
  <c r="BI192" i="98"/>
  <c r="BJ192" i="98"/>
  <c r="BK192" i="98"/>
  <c r="BL192" i="98"/>
  <c r="BB111" i="73"/>
  <c r="BB37" i="51"/>
  <c r="BB43" i="51"/>
  <c r="BO75" i="51"/>
  <c r="BG239" i="78"/>
  <c r="BF819" i="80"/>
  <c r="BF825" i="80"/>
  <c r="BF839" i="80"/>
  <c r="BF841" i="80"/>
  <c r="BO259" i="78"/>
  <c r="BP254" i="78"/>
  <c r="BG212" i="79"/>
  <c r="BG244" i="79"/>
  <c r="BG63" i="79"/>
  <c r="BB8" i="46"/>
  <c r="BB27" i="46"/>
  <c r="BB32" i="46"/>
  <c r="BB37" i="46"/>
  <c r="BB41" i="46"/>
  <c r="BO26" i="80"/>
  <c r="BO28" i="80"/>
  <c r="BM173" i="46"/>
  <c r="BK174" i="46"/>
  <c r="BK175" i="46"/>
  <c r="BL175" i="46"/>
  <c r="BL179" i="46"/>
  <c r="BL228" i="46"/>
  <c r="ED9" i="71"/>
  <c r="BM28" i="79"/>
  <c r="BM32" i="79"/>
  <c r="BM35" i="79"/>
  <c r="BM163" i="79"/>
  <c r="BQ163" i="79"/>
  <c r="BQ169" i="79"/>
  <c r="EI33" i="71"/>
  <c r="EI45" i="71"/>
  <c r="EI48" i="71"/>
  <c r="BK35" i="80"/>
  <c r="BK819" i="80"/>
  <c r="BK825" i="80"/>
  <c r="BK839" i="80"/>
  <c r="BK841" i="80"/>
  <c r="BK842" i="80"/>
  <c r="AT277" i="99"/>
  <c r="AT282" i="99"/>
  <c r="AU277" i="99"/>
  <c r="AU282" i="99"/>
  <c r="AX277" i="99"/>
  <c r="AX282" i="99"/>
  <c r="BK234" i="99"/>
  <c r="BH226" i="79"/>
  <c r="BH231" i="79"/>
  <c r="BI226" i="79"/>
  <c r="BI231" i="79"/>
  <c r="BM226" i="79"/>
  <c r="AS204" i="99"/>
  <c r="AT204" i="99"/>
  <c r="AU204" i="99"/>
  <c r="AV204" i="99"/>
  <c r="AW204" i="99"/>
  <c r="AX204" i="99"/>
  <c r="AY204" i="99"/>
  <c r="AZ204" i="99"/>
  <c r="BA204" i="99"/>
  <c r="BB204" i="99"/>
  <c r="BC204" i="99"/>
  <c r="BD204" i="99"/>
  <c r="BE204" i="99"/>
  <c r="BF204" i="99"/>
  <c r="BG204" i="99"/>
  <c r="AT179" i="99"/>
  <c r="AT193" i="99"/>
  <c r="AY34" i="99"/>
  <c r="AY32" i="99"/>
  <c r="BD32" i="99"/>
  <c r="BD34" i="99"/>
  <c r="BD38" i="99"/>
  <c r="BD173" i="99"/>
  <c r="BD179" i="99"/>
  <c r="BD193" i="99"/>
  <c r="BD195" i="99"/>
  <c r="AS280" i="99"/>
  <c r="AS282" i="99"/>
  <c r="AW280" i="99"/>
  <c r="AW282" i="99"/>
  <c r="BB277" i="99"/>
  <c r="BB282" i="99"/>
  <c r="BC277" i="99"/>
  <c r="BC282" i="99"/>
  <c r="BD277" i="99"/>
  <c r="AT243" i="99"/>
  <c r="AU164" i="99"/>
  <c r="AU32" i="99"/>
  <c r="AZ32" i="99"/>
  <c r="BE32" i="99"/>
  <c r="BJ32" i="99"/>
  <c r="BJ34" i="99"/>
  <c r="BP35" i="51"/>
  <c r="BP37" i="51"/>
  <c r="BP43" i="51"/>
  <c r="BP82" i="46"/>
  <c r="AU133" i="100"/>
  <c r="AU26" i="100"/>
  <c r="AZ26" i="100"/>
  <c r="BE26" i="100"/>
  <c r="BJ26" i="100"/>
  <c r="BJ28" i="100"/>
  <c r="AY32" i="80"/>
  <c r="AY35" i="80"/>
  <c r="AY819" i="80"/>
  <c r="AY825" i="80"/>
  <c r="AY839" i="80"/>
  <c r="AY841" i="80"/>
  <c r="BH247" i="46"/>
  <c r="BH260" i="46"/>
  <c r="BF28" i="80"/>
  <c r="BF32" i="80"/>
  <c r="BF35" i="80"/>
  <c r="BF37" i="80"/>
  <c r="BF43" i="80"/>
  <c r="BF37" i="51"/>
  <c r="BF43" i="51"/>
  <c r="BG203" i="46"/>
  <c r="BQ241" i="46"/>
  <c r="BQ253" i="46"/>
  <c r="EI21" i="71"/>
  <c r="BA230" i="46"/>
  <c r="BA232" i="46"/>
  <c r="BA255" i="46"/>
  <c r="DS23" i="71"/>
  <c r="BO228" i="46"/>
  <c r="BO179" i="46"/>
  <c r="BO184" i="46"/>
  <c r="BI247" i="46"/>
  <c r="BI260" i="46"/>
  <c r="AZ33" i="78"/>
  <c r="BB192" i="78"/>
  <c r="BB198" i="78"/>
  <c r="BD259" i="78"/>
  <c r="BE254" i="78"/>
  <c r="BE259" i="78"/>
  <c r="BD169" i="98"/>
  <c r="BD174" i="98"/>
  <c r="BD183" i="98"/>
  <c r="BL201" i="98"/>
  <c r="BL202" i="98"/>
  <c r="BL219" i="98"/>
  <c r="BL220" i="98"/>
  <c r="BL259" i="98"/>
  <c r="BL260" i="46"/>
  <c r="BF249" i="46"/>
  <c r="BG249" i="46"/>
  <c r="DS36" i="71"/>
  <c r="DS35" i="71"/>
  <c r="BN35" i="51"/>
  <c r="BN54" i="51"/>
  <c r="BN61" i="51"/>
  <c r="BN75" i="51"/>
  <c r="BL38" i="78"/>
  <c r="BL40" i="78"/>
  <c r="BL240" i="78"/>
  <c r="BL273" i="78"/>
  <c r="BL66" i="78"/>
  <c r="BA34" i="98"/>
  <c r="BA40" i="98"/>
  <c r="BK34" i="98"/>
  <c r="BK40" i="98"/>
  <c r="AT165" i="98"/>
  <c r="AT169" i="98"/>
  <c r="AT174" i="98"/>
  <c r="AT183" i="98"/>
  <c r="BG35" i="78"/>
  <c r="BG38" i="78"/>
  <c r="BA222" i="78"/>
  <c r="BB220" i="78"/>
  <c r="BK194" i="78"/>
  <c r="BK257" i="78"/>
  <c r="BO194" i="78"/>
  <c r="BO257" i="78"/>
  <c r="BI30" i="98"/>
  <c r="BI55" i="98"/>
  <c r="BI202" i="98"/>
  <c r="BI192" i="79"/>
  <c r="BJ192" i="79"/>
  <c r="BK192" i="79"/>
  <c r="BL192" i="79"/>
  <c r="BM192" i="79"/>
  <c r="BN192" i="79"/>
  <c r="BO192" i="79"/>
  <c r="BP192" i="79"/>
  <c r="BP194" i="79"/>
  <c r="BP123" i="46"/>
  <c r="BP132" i="46"/>
  <c r="AZ28" i="80"/>
  <c r="AZ32" i="80"/>
  <c r="AZ35" i="80"/>
  <c r="AZ819" i="80"/>
  <c r="AZ825" i="80"/>
  <c r="AZ839" i="80"/>
  <c r="AZ841" i="80"/>
  <c r="BD32" i="51"/>
  <c r="CE68" i="73"/>
  <c r="BA10" i="99"/>
  <c r="BF8" i="46"/>
  <c r="BF27" i="46"/>
  <c r="BF32" i="46"/>
  <c r="BF37" i="46"/>
  <c r="BF41" i="46"/>
  <c r="BF44" i="46"/>
  <c r="BF149" i="46"/>
  <c r="BF156" i="46"/>
  <c r="BJ37" i="46"/>
  <c r="BJ41" i="46"/>
  <c r="BJ44" i="46"/>
  <c r="BJ149" i="46"/>
  <c r="BJ156" i="46"/>
  <c r="BK32" i="80"/>
  <c r="BK28" i="80"/>
  <c r="BK30" i="80"/>
  <c r="BP842" i="80"/>
  <c r="BP175" i="46"/>
  <c r="BQ175" i="46"/>
  <c r="BQ179" i="46"/>
  <c r="DU36" i="71"/>
  <c r="BC149" i="46"/>
  <c r="BC156" i="46"/>
  <c r="BC171" i="46"/>
  <c r="BQ149" i="46"/>
  <c r="BQ156" i="46"/>
  <c r="EI36" i="71"/>
  <c r="EI35" i="71"/>
  <c r="BG30" i="99"/>
  <c r="BL32" i="71"/>
  <c r="BL35" i="71"/>
  <c r="BL39" i="71"/>
  <c r="BH239" i="78"/>
  <c r="BH250" i="78"/>
  <c r="BB169" i="98"/>
  <c r="BB174" i="98"/>
  <c r="BB183" i="98"/>
  <c r="AY35" i="51"/>
  <c r="AY54" i="51"/>
  <c r="AY61" i="51"/>
  <c r="AY75" i="51"/>
  <c r="BG34" i="99"/>
  <c r="BG38" i="99"/>
  <c r="BG40" i="99"/>
  <c r="BG263" i="99"/>
  <c r="BG295" i="99"/>
  <c r="BG65" i="99"/>
  <c r="BK30" i="98"/>
  <c r="BG189" i="98"/>
  <c r="AZ185" i="98"/>
  <c r="BA185" i="98"/>
  <c r="BB185" i="98"/>
  <c r="BC185" i="98"/>
  <c r="BD185" i="98"/>
  <c r="BE185" i="98"/>
  <c r="BF185" i="98"/>
  <c r="BG185" i="98"/>
  <c r="BH185" i="98"/>
  <c r="BL8" i="46"/>
  <c r="BL27" i="46"/>
  <c r="BL32" i="46"/>
  <c r="BL37" i="46"/>
  <c r="BL41" i="46"/>
  <c r="BK10" i="99"/>
  <c r="BP8" i="46"/>
  <c r="BP27" i="46"/>
  <c r="BP32" i="46"/>
  <c r="BP37" i="46"/>
  <c r="BP41" i="46"/>
  <c r="BP44" i="46"/>
  <c r="BP149" i="46"/>
  <c r="BP156" i="46"/>
  <c r="BP171" i="46"/>
  <c r="BP174" i="46"/>
  <c r="BG241" i="46"/>
  <c r="BG253" i="46"/>
  <c r="DY21" i="71"/>
  <c r="BH149" i="46"/>
  <c r="BL149" i="46"/>
  <c r="BL156" i="46"/>
  <c r="ED36" i="71"/>
  <c r="ED35" i="71"/>
  <c r="BH57" i="51"/>
  <c r="BK260" i="46"/>
  <c r="BK247" i="46"/>
  <c r="BL247" i="46"/>
  <c r="BE26" i="80"/>
  <c r="BJ26" i="80"/>
  <c r="BJ28" i="80"/>
  <c r="BJ32" i="80"/>
  <c r="BJ35" i="80"/>
  <c r="BJ819" i="80"/>
  <c r="BJ825" i="80"/>
  <c r="BJ839" i="80"/>
  <c r="BJ841" i="80"/>
  <c r="BH198" i="78"/>
  <c r="BH211" i="78"/>
  <c r="BH213" i="78"/>
  <c r="AS192" i="98"/>
  <c r="BH165" i="98"/>
  <c r="BH169" i="98"/>
  <c r="BH174" i="98"/>
  <c r="BE202" i="98"/>
  <c r="AY213" i="98"/>
  <c r="AW185" i="98"/>
  <c r="AX185" i="98"/>
  <c r="AY185" i="98"/>
  <c r="AY211" i="98"/>
  <c r="AZ131" i="98"/>
  <c r="BO70" i="51"/>
  <c r="BO37" i="46"/>
  <c r="BO41" i="46"/>
  <c r="BO44" i="46"/>
  <c r="BO149" i="46"/>
  <c r="BO156" i="46"/>
  <c r="BO171" i="46"/>
  <c r="BO174" i="46"/>
  <c r="BO175" i="46"/>
  <c r="BM194" i="78"/>
  <c r="BM257" i="78"/>
  <c r="BQ257" i="78"/>
  <c r="AW32" i="98"/>
  <c r="AW34" i="98"/>
  <c r="AW231" i="98"/>
  <c r="AW263" i="98"/>
  <c r="BL17" i="71"/>
  <c r="BL9" i="73"/>
  <c r="BQ273" i="78"/>
  <c r="BQ66" i="78"/>
  <c r="BJ250" i="98"/>
  <c r="BB252" i="98"/>
  <c r="BB253" i="98"/>
  <c r="BL245" i="98"/>
  <c r="BL250" i="98"/>
  <c r="BL252" i="98"/>
  <c r="BL253" i="98"/>
  <c r="BH202" i="98"/>
  <c r="BH219" i="98"/>
  <c r="BH220" i="98"/>
  <c r="BH259" i="98"/>
  <c r="BC30" i="98"/>
  <c r="BG30" i="98"/>
  <c r="BG55" i="98"/>
  <c r="BI206" i="98"/>
  <c r="CD97" i="73"/>
  <c r="BC165" i="98"/>
  <c r="BC169" i="98"/>
  <c r="BC174" i="98"/>
  <c r="BC183" i="98"/>
  <c r="BC206" i="98"/>
  <c r="AW143" i="98"/>
  <c r="BC163" i="79"/>
  <c r="BG163" i="79"/>
  <c r="BG169" i="79"/>
  <c r="DY33" i="71"/>
  <c r="DY45" i="71"/>
  <c r="AV10" i="99"/>
  <c r="BA8" i="46"/>
  <c r="BA27" i="46"/>
  <c r="BA32" i="46"/>
  <c r="BA37" i="46"/>
  <c r="BA41" i="46"/>
  <c r="BA44" i="46"/>
  <c r="BA149" i="46"/>
  <c r="BA156" i="46"/>
  <c r="BA171" i="46"/>
  <c r="BA174" i="46"/>
  <c r="BH28" i="79"/>
  <c r="BH32" i="79"/>
  <c r="BH35" i="79"/>
  <c r="ED11" i="71"/>
  <c r="ED13" i="71"/>
  <c r="BL211" i="78"/>
  <c r="AT148" i="98"/>
  <c r="AT162" i="98"/>
  <c r="AT164" i="98"/>
  <c r="BH164" i="98"/>
  <c r="BL164" i="98"/>
  <c r="BL165" i="98"/>
  <c r="BL209" i="98"/>
  <c r="BB234" i="99"/>
  <c r="BB251" i="99"/>
  <c r="BB252" i="99"/>
  <c r="BB291" i="99"/>
  <c r="BH37" i="46"/>
  <c r="BH41" i="46"/>
  <c r="BH44" i="46"/>
  <c r="BN33" i="78"/>
  <c r="BN62" i="78"/>
  <c r="BL230" i="98"/>
  <c r="BL26" i="98"/>
  <c r="BL28" i="98"/>
  <c r="BK254" i="78"/>
  <c r="BK259" i="78"/>
  <c r="BB110" i="73"/>
  <c r="BB114" i="73"/>
  <c r="BG9" i="73"/>
  <c r="BY9" i="73"/>
  <c r="AY213" i="78"/>
  <c r="AY214" i="78"/>
  <c r="BE55" i="98"/>
  <c r="BB202" i="98"/>
  <c r="BB219" i="98"/>
  <c r="BB220" i="98"/>
  <c r="BB259" i="98"/>
  <c r="AY219" i="98"/>
  <c r="AY222" i="98"/>
  <c r="AY234" i="98"/>
  <c r="BI183" i="98"/>
  <c r="BB127" i="73"/>
  <c r="BL35" i="78"/>
  <c r="BL29" i="78"/>
  <c r="BL31" i="78"/>
  <c r="BL194" i="78"/>
  <c r="BI194" i="78"/>
  <c r="BI257" i="78"/>
  <c r="AV209" i="98"/>
  <c r="BB239" i="78"/>
  <c r="BH54" i="51"/>
  <c r="BH61" i="51"/>
  <c r="BH75" i="51"/>
  <c r="BJ35" i="51"/>
  <c r="BJ54" i="51"/>
  <c r="BJ61" i="51"/>
  <c r="DY11" i="71"/>
  <c r="DY13" i="71"/>
  <c r="BG71" i="71"/>
  <c r="BG72" i="71"/>
  <c r="BG60" i="71"/>
  <c r="AT210" i="100"/>
  <c r="AU210" i="100"/>
  <c r="AV133" i="100"/>
  <c r="AV26" i="100"/>
  <c r="AV28" i="100"/>
  <c r="AV32" i="100"/>
  <c r="AV34" i="100"/>
  <c r="AV40" i="100"/>
  <c r="BB192" i="79"/>
  <c r="BC192" i="79"/>
  <c r="BD192" i="79"/>
  <c r="BE192" i="79"/>
  <c r="BF192" i="79"/>
  <c r="BG192" i="79"/>
  <c r="BH192" i="79"/>
  <c r="BH194" i="79"/>
  <c r="BH123" i="46"/>
  <c r="BH132" i="46"/>
  <c r="BI224" i="46"/>
  <c r="BM175" i="46"/>
  <c r="BM179" i="46"/>
  <c r="BM184" i="46"/>
  <c r="BM196" i="46"/>
  <c r="AY57" i="51"/>
  <c r="AX57" i="51"/>
  <c r="BM37" i="46"/>
  <c r="BM41" i="46"/>
  <c r="BM44" i="46"/>
  <c r="BM149" i="46"/>
  <c r="BM156" i="46"/>
  <c r="BM171" i="46"/>
  <c r="BM174" i="46"/>
  <c r="BM70" i="51"/>
  <c r="BQ70" i="51"/>
  <c r="BQ73" i="51"/>
  <c r="AZ213" i="78"/>
  <c r="BJ211" i="78"/>
  <c r="AX183" i="98"/>
  <c r="BF202" i="98"/>
  <c r="BF219" i="98"/>
  <c r="BF222" i="98"/>
  <c r="BF234" i="98"/>
  <c r="BH26" i="79"/>
  <c r="BM26" i="79"/>
  <c r="BQ26" i="79"/>
  <c r="BQ28" i="79"/>
  <c r="BQ32" i="79"/>
  <c r="BQ35" i="79"/>
  <c r="BQ37" i="79"/>
  <c r="BQ212" i="79"/>
  <c r="BQ244" i="79"/>
  <c r="BQ63" i="79"/>
  <c r="BL60" i="73"/>
  <c r="BL107" i="73"/>
  <c r="BQ239" i="78"/>
  <c r="BQ250" i="78"/>
  <c r="AY194" i="78"/>
  <c r="AY257" i="78"/>
  <c r="BA194" i="78"/>
  <c r="BA257" i="78"/>
  <c r="BE194" i="78"/>
  <c r="BE257" i="78"/>
  <c r="BG230" i="98"/>
  <c r="BG241" i="98"/>
  <c r="BK230" i="98"/>
  <c r="BK241" i="98"/>
  <c r="AT30" i="98"/>
  <c r="AW30" i="98"/>
  <c r="AW55" i="98"/>
  <c r="AZ202" i="98"/>
  <c r="AZ219" i="98"/>
  <c r="AZ220" i="98"/>
  <c r="AZ259" i="98"/>
  <c r="BJ245" i="98"/>
  <c r="BA33" i="78"/>
  <c r="AW183" i="98"/>
  <c r="AZ35" i="51"/>
  <c r="AZ37" i="51"/>
  <c r="AZ43" i="51"/>
  <c r="BC28" i="79"/>
  <c r="BC32" i="79"/>
  <c r="BC35" i="79"/>
  <c r="BA26" i="80"/>
  <c r="BF26" i="80"/>
  <c r="BK26" i="80"/>
  <c r="BP26" i="80"/>
  <c r="BP28" i="80"/>
  <c r="BP32" i="80"/>
  <c r="BP35" i="80"/>
  <c r="BP819" i="80"/>
  <c r="BP825" i="80"/>
  <c r="BP839" i="80"/>
  <c r="BP841" i="80"/>
  <c r="BN32" i="51"/>
  <c r="AX164" i="98"/>
  <c r="AX165" i="98"/>
  <c r="AX169" i="98"/>
  <c r="AX174" i="98"/>
  <c r="BG81" i="73"/>
  <c r="BB92" i="73"/>
  <c r="BC57" i="51"/>
  <c r="AY70" i="51"/>
  <c r="AY73" i="51"/>
  <c r="BG192" i="78"/>
  <c r="BC192" i="78"/>
  <c r="BC198" i="78"/>
  <c r="BA165" i="98"/>
  <c r="BA169" i="98"/>
  <c r="BA174" i="98"/>
  <c r="BA183" i="98"/>
  <c r="AW201" i="100"/>
  <c r="AW217" i="100"/>
  <c r="AW219" i="100"/>
  <c r="AW258" i="100"/>
  <c r="BI165" i="98"/>
  <c r="BI169" i="98"/>
  <c r="BI174" i="98"/>
  <c r="BI245" i="98"/>
  <c r="BI250" i="98"/>
  <c r="BL111" i="73"/>
  <c r="AS213" i="98"/>
  <c r="AW202" i="98"/>
  <c r="BB233" i="79"/>
  <c r="BB99" i="73"/>
  <c r="BB105" i="73"/>
  <c r="BG234" i="99"/>
  <c r="BG251" i="99"/>
  <c r="BG252" i="99"/>
  <c r="BG291" i="99"/>
  <c r="BD165" i="98"/>
  <c r="AU164" i="98"/>
  <c r="AU165" i="98"/>
  <c r="AU169" i="98"/>
  <c r="AU174" i="98"/>
  <c r="AU183" i="98"/>
  <c r="BQ218" i="78"/>
  <c r="BG26" i="98"/>
  <c r="BG28" i="98"/>
  <c r="BG145" i="98"/>
  <c r="BD145" i="98"/>
  <c r="BD248" i="98"/>
  <c r="CB48" i="73"/>
  <c r="CB52" i="73"/>
  <c r="CB63" i="73"/>
  <c r="CB64" i="73"/>
  <c r="BC54" i="51"/>
  <c r="BG54" i="51"/>
  <c r="BG61" i="51"/>
  <c r="AY30" i="98"/>
  <c r="AZ250" i="98"/>
  <c r="BA245" i="98"/>
  <c r="BG17" i="71"/>
  <c r="BC202" i="98"/>
  <c r="BC219" i="98"/>
  <c r="BC222" i="98"/>
  <c r="BC234" i="98"/>
  <c r="BQ32" i="51"/>
  <c r="BQ35" i="51"/>
  <c r="BN259" i="78"/>
  <c r="BO254" i="78"/>
  <c r="BF34" i="98"/>
  <c r="BF40" i="98"/>
  <c r="AT28" i="100"/>
  <c r="AT32" i="100"/>
  <c r="AT142" i="100"/>
  <c r="AT200" i="100"/>
  <c r="AU200" i="100"/>
  <c r="AV200" i="100"/>
  <c r="AW200" i="100"/>
  <c r="AX200" i="100"/>
  <c r="AY200" i="100"/>
  <c r="AZ200" i="100"/>
  <c r="BA200" i="100"/>
  <c r="BB200" i="100"/>
  <c r="BC200" i="100"/>
  <c r="BD200" i="100"/>
  <c r="BE200" i="100"/>
  <c r="BF200" i="100"/>
  <c r="BG200" i="100"/>
  <c r="BG201" i="100"/>
  <c r="BG217" i="100"/>
  <c r="BG219" i="100"/>
  <c r="BG258" i="100"/>
  <c r="BK201" i="98"/>
  <c r="BK202" i="98"/>
  <c r="BK219" i="98"/>
  <c r="BK222" i="98"/>
  <c r="BK234" i="98"/>
  <c r="BD254" i="78"/>
  <c r="BA30" i="98"/>
  <c r="BE30" i="98"/>
  <c r="BB121" i="73"/>
  <c r="BB122" i="73"/>
  <c r="BB125" i="73"/>
  <c r="BC37" i="46"/>
  <c r="BC41" i="46"/>
  <c r="BC44" i="46"/>
  <c r="DT48" i="71"/>
  <c r="DT51" i="71"/>
  <c r="BH32" i="51"/>
  <c r="BH35" i="51"/>
  <c r="BE37" i="46"/>
  <c r="BE41" i="46"/>
  <c r="BE44" i="46"/>
  <c r="BE149" i="46"/>
  <c r="BE156" i="46"/>
  <c r="AY202" i="98"/>
  <c r="BI37" i="46"/>
  <c r="BI41" i="46"/>
  <c r="BI44" i="46"/>
  <c r="BI149" i="46"/>
  <c r="BI156" i="46"/>
  <c r="BI171" i="46"/>
  <c r="BI174" i="46"/>
  <c r="BI175" i="46"/>
  <c r="BI179" i="46"/>
  <c r="BI184" i="46"/>
  <c r="BI196" i="46"/>
  <c r="BK171" i="46"/>
  <c r="BF10" i="99"/>
  <c r="BK8" i="46"/>
  <c r="BK27" i="46"/>
  <c r="BK32" i="46"/>
  <c r="BK37" i="46"/>
  <c r="BK41" i="46"/>
  <c r="BK44" i="46"/>
  <c r="BK149" i="46"/>
  <c r="BK156" i="46"/>
  <c r="EC36" i="71"/>
  <c r="BB149" i="46"/>
  <c r="DT11" i="71"/>
  <c r="BB232" i="46"/>
  <c r="BH33" i="78"/>
  <c r="BL33" i="78"/>
  <c r="BL62" i="78"/>
  <c r="BP33" i="78"/>
  <c r="BP62" i="78"/>
  <c r="BD26" i="51"/>
  <c r="BD28" i="51"/>
  <c r="BK57" i="51"/>
  <c r="BJ57" i="51"/>
  <c r="BI57" i="51"/>
  <c r="BE26" i="51"/>
  <c r="BE28" i="51"/>
  <c r="BE32" i="51"/>
  <c r="AZ31" i="78"/>
  <c r="AZ35" i="78"/>
  <c r="AZ38" i="78"/>
  <c r="AZ192" i="78"/>
  <c r="AZ198" i="78"/>
  <c r="AZ211" i="78"/>
  <c r="BJ31" i="78"/>
  <c r="BJ35" i="78"/>
  <c r="BJ38" i="78"/>
  <c r="BJ192" i="78"/>
  <c r="BJ198" i="78"/>
  <c r="BJ204" i="98"/>
  <c r="AV174" i="98"/>
  <c r="AV183" i="98"/>
  <c r="BL183" i="98"/>
  <c r="BC32" i="51"/>
  <c r="BC35" i="51"/>
  <c r="BL228" i="77"/>
  <c r="BL269" i="77"/>
  <c r="BQ26" i="80"/>
  <c r="CE48" i="73"/>
  <c r="CE52" i="73"/>
  <c r="CE63" i="73"/>
  <c r="CE64" i="73"/>
  <c r="BA254" i="78"/>
  <c r="BA259" i="78"/>
  <c r="BL57" i="51"/>
  <c r="BE213" i="78"/>
  <c r="BE214" i="78"/>
  <c r="BG10" i="73"/>
  <c r="BF94" i="99"/>
  <c r="BF9" i="99"/>
  <c r="BG9" i="99"/>
  <c r="BG10" i="99"/>
  <c r="BG23" i="99"/>
  <c r="BG29" i="99"/>
  <c r="BQ226" i="79"/>
  <c r="BQ231" i="79"/>
  <c r="BQ233" i="79"/>
  <c r="BQ99" i="73"/>
  <c r="BQ105" i="73"/>
  <c r="BQ110" i="73"/>
  <c r="AY162" i="98"/>
  <c r="AY164" i="98"/>
  <c r="AY165" i="98"/>
  <c r="AY169" i="98"/>
  <c r="AY174" i="98"/>
  <c r="AW234" i="99"/>
  <c r="BX21" i="73"/>
  <c r="BX22" i="73"/>
  <c r="AV169" i="98"/>
  <c r="AW169" i="98"/>
  <c r="AW174" i="98"/>
  <c r="BE165" i="98"/>
  <c r="BE169" i="98"/>
  <c r="BE174" i="98"/>
  <c r="BE183" i="98"/>
  <c r="BB33" i="77"/>
  <c r="AZ26" i="51"/>
  <c r="AZ28" i="51"/>
  <c r="AZ32" i="51"/>
  <c r="BI26" i="51"/>
  <c r="BI28" i="51"/>
  <c r="BQ194" i="78"/>
  <c r="BP194" i="78"/>
  <c r="BP257" i="78"/>
  <c r="BM26" i="80"/>
  <c r="BM28" i="80"/>
  <c r="BM32" i="80"/>
  <c r="BM35" i="80"/>
  <c r="BJ26" i="51"/>
  <c r="BJ28" i="51"/>
  <c r="BJ32" i="51"/>
  <c r="AZ810" i="80"/>
  <c r="AZ813" i="80"/>
  <c r="AZ26" i="80"/>
  <c r="BA810" i="80"/>
  <c r="BA813" i="80"/>
  <c r="AY163" i="79"/>
  <c r="BB163" i="79"/>
  <c r="BB169" i="79"/>
  <c r="DT33" i="71"/>
  <c r="DT45" i="71"/>
  <c r="BB57" i="51"/>
  <c r="BA57" i="51"/>
  <c r="AZ57" i="51"/>
  <c r="AY26" i="51"/>
  <c r="AY28" i="51"/>
  <c r="AY32" i="51"/>
  <c r="BF26" i="51"/>
  <c r="BF28" i="51"/>
  <c r="BF32" i="51"/>
  <c r="BF35" i="51"/>
  <c r="BF54" i="51"/>
  <c r="BF61" i="51"/>
  <c r="BF75" i="51"/>
  <c r="BH26" i="51"/>
  <c r="BH28" i="51"/>
  <c r="BP35" i="46"/>
  <c r="BP26" i="51"/>
  <c r="BP28" i="51"/>
  <c r="BP32" i="51"/>
  <c r="BQ35" i="46"/>
  <c r="BQ26" i="51"/>
  <c r="BQ28" i="51"/>
  <c r="BQ57" i="51"/>
  <c r="BP57" i="51"/>
  <c r="BO57" i="51"/>
  <c r="BN57" i="51"/>
  <c r="BA26" i="51"/>
  <c r="BA28" i="51"/>
  <c r="BM35" i="46"/>
  <c r="BM26" i="51"/>
  <c r="BM28" i="51"/>
  <c r="BM32" i="51"/>
  <c r="BM35" i="51"/>
  <c r="BH192" i="78"/>
  <c r="BL192" i="78"/>
  <c r="BL198" i="78"/>
  <c r="BD192" i="78"/>
  <c r="BD198" i="78"/>
  <c r="BF31" i="78"/>
  <c r="BF35" i="78"/>
  <c r="BF38" i="78"/>
  <c r="BF192" i="78"/>
  <c r="BF198" i="78"/>
  <c r="BH31" i="78"/>
  <c r="BH35" i="78"/>
  <c r="BH38" i="78"/>
  <c r="BN29" i="78"/>
  <c r="BN31" i="78"/>
  <c r="BN35" i="78"/>
  <c r="BN38" i="78"/>
  <c r="BN192" i="78"/>
  <c r="BN198" i="78"/>
  <c r="BP29" i="78"/>
  <c r="BP31" i="78"/>
  <c r="BP35" i="78"/>
  <c r="BP38" i="78"/>
  <c r="BP192" i="78"/>
  <c r="BP198" i="78"/>
  <c r="BP211" i="78"/>
  <c r="AX28" i="98"/>
  <c r="AX32" i="98"/>
  <c r="AX143" i="98"/>
  <c r="AX148" i="98"/>
  <c r="AX162" i="98"/>
  <c r="AZ28" i="98"/>
  <c r="AZ32" i="98"/>
  <c r="AZ143" i="98"/>
  <c r="AZ148" i="98"/>
  <c r="AZ162" i="98"/>
  <c r="AZ164" i="98"/>
  <c r="AZ165" i="98"/>
  <c r="AZ169" i="98"/>
  <c r="AZ174" i="98"/>
  <c r="BD28" i="98"/>
  <c r="BD32" i="98"/>
  <c r="BD143" i="98"/>
  <c r="BD148" i="98"/>
  <c r="BD162" i="98"/>
  <c r="BD164" i="98"/>
  <c r="BJ32" i="98"/>
  <c r="BJ143" i="98"/>
  <c r="BJ148" i="98"/>
  <c r="BJ162" i="98"/>
  <c r="BJ164" i="98"/>
  <c r="BK169" i="98"/>
  <c r="BL169" i="98"/>
  <c r="BL174" i="98"/>
  <c r="BH26" i="98"/>
  <c r="BH28" i="98"/>
  <c r="BH32" i="98"/>
  <c r="BH143" i="98"/>
  <c r="BH148" i="98"/>
  <c r="BH162" i="98"/>
  <c r="AW38" i="99"/>
  <c r="AW40" i="99"/>
  <c r="AW263" i="99"/>
  <c r="AW295" i="99"/>
  <c r="BM199" i="46"/>
  <c r="BN199" i="46"/>
  <c r="BO199" i="46"/>
  <c r="BP199" i="46"/>
  <c r="BQ199" i="46"/>
  <c r="BQ230" i="46"/>
  <c r="BQ232" i="46"/>
  <c r="BQ130" i="46"/>
  <c r="BQ133" i="46"/>
  <c r="CE92" i="73"/>
  <c r="CE93" i="73"/>
  <c r="BG27" i="77"/>
  <c r="BG29" i="77"/>
  <c r="BG33" i="77"/>
  <c r="BG36" i="77"/>
  <c r="BG38" i="77"/>
  <c r="BG241" i="77"/>
  <c r="BG273" i="77"/>
  <c r="BG64" i="77"/>
  <c r="BG59" i="73"/>
  <c r="BG108" i="73"/>
  <c r="BJ254" i="78"/>
  <c r="BJ259" i="78"/>
  <c r="BB34" i="99"/>
  <c r="BB38" i="99"/>
  <c r="BB40" i="99"/>
  <c r="BB263" i="99"/>
  <c r="BB295" i="99"/>
  <c r="BB65" i="99"/>
  <c r="AS243" i="99"/>
  <c r="AT164" i="99"/>
  <c r="AT32" i="99"/>
  <c r="AT34" i="99"/>
  <c r="AT38" i="99"/>
  <c r="AT173" i="99"/>
  <c r="AT233" i="99"/>
  <c r="AU233" i="99"/>
  <c r="AV233" i="99"/>
  <c r="AW233" i="99"/>
  <c r="AX233" i="99"/>
  <c r="AY233" i="99"/>
  <c r="AZ233" i="99"/>
  <c r="BA233" i="99"/>
  <c r="BB233" i="99"/>
  <c r="BC233" i="99"/>
  <c r="BD233" i="99"/>
  <c r="BE233" i="99"/>
  <c r="BF233" i="99"/>
  <c r="BG233" i="99"/>
  <c r="BH233" i="99"/>
  <c r="BI233" i="99"/>
  <c r="BJ233" i="99"/>
  <c r="BK233" i="99"/>
  <c r="BL233" i="99"/>
  <c r="BL234" i="99"/>
  <c r="BL251" i="99"/>
  <c r="BL252" i="99"/>
  <c r="BL291" i="99"/>
  <c r="AZ230" i="46"/>
  <c r="BA106" i="46"/>
  <c r="BA109" i="46"/>
  <c r="BA35" i="46"/>
  <c r="BF35" i="46"/>
  <c r="BK35" i="46"/>
  <c r="BK26" i="51"/>
  <c r="BK28" i="51"/>
  <c r="BK32" i="51"/>
  <c r="BK35" i="51"/>
  <c r="BK54" i="51"/>
  <c r="BK61" i="51"/>
  <c r="BK75" i="51"/>
  <c r="BQ192" i="78"/>
  <c r="BQ198" i="78"/>
  <c r="BM31" i="78"/>
  <c r="BM35" i="78"/>
  <c r="BM38" i="78"/>
  <c r="BM192" i="78"/>
  <c r="BM198" i="78"/>
  <c r="BM211" i="78"/>
  <c r="BM213" i="78"/>
  <c r="BQ213" i="78"/>
  <c r="BQ214" i="78"/>
  <c r="BG29" i="78"/>
  <c r="BG31" i="78"/>
  <c r="BG194" i="78"/>
  <c r="BC194" i="78"/>
  <c r="BC257" i="78"/>
  <c r="BG257" i="78"/>
  <c r="BA94" i="99"/>
  <c r="BA9" i="99"/>
  <c r="BB9" i="99"/>
  <c r="BB10" i="99"/>
  <c r="BB23" i="99"/>
  <c r="BB29" i="99"/>
  <c r="BH199" i="46"/>
  <c r="BI199" i="46"/>
  <c r="BJ199" i="46"/>
  <c r="BK199" i="46"/>
  <c r="BL199" i="46"/>
  <c r="BL230" i="46"/>
  <c r="BL232" i="46"/>
  <c r="BL130" i="46"/>
  <c r="BL133" i="46"/>
  <c r="CD92" i="73"/>
  <c r="CD93" i="73"/>
  <c r="BJ26" i="98"/>
  <c r="BJ28" i="98"/>
  <c r="BD199" i="46"/>
  <c r="BE199" i="46"/>
  <c r="BF199" i="46"/>
  <c r="BG199" i="46"/>
  <c r="BG230" i="46"/>
  <c r="BG232" i="46"/>
  <c r="BG130" i="46"/>
  <c r="BG133" i="46"/>
  <c r="CC92" i="73"/>
  <c r="BH226" i="77"/>
  <c r="BI226" i="77"/>
  <c r="BJ226" i="77"/>
  <c r="BK226" i="77"/>
  <c r="BL226" i="77"/>
  <c r="BM226" i="77"/>
  <c r="BN226" i="77"/>
  <c r="BO226" i="77"/>
  <c r="BP226" i="77"/>
  <c r="BQ226" i="77"/>
  <c r="BQ228" i="77"/>
  <c r="BQ269" i="77"/>
  <c r="BE57" i="51"/>
  <c r="BD57" i="51"/>
  <c r="BI29" i="78"/>
  <c r="BD29" i="78"/>
  <c r="BD31" i="78"/>
  <c r="BD35" i="78"/>
  <c r="BD38" i="78"/>
  <c r="BH29" i="78"/>
  <c r="BM29" i="78"/>
  <c r="BQ29" i="78"/>
  <c r="BQ31" i="78"/>
  <c r="BQ35" i="78"/>
  <c r="BQ38" i="78"/>
  <c r="BQ40" i="78"/>
  <c r="BQ240" i="78"/>
  <c r="BQ272" i="78"/>
  <c r="BQ65" i="78"/>
  <c r="BA220" i="78"/>
  <c r="BC184" i="78"/>
  <c r="BC29" i="78"/>
  <c r="BC31" i="78"/>
  <c r="BC35" i="78"/>
  <c r="BC38" i="78"/>
  <c r="AY250" i="98"/>
  <c r="AZ245" i="98"/>
  <c r="BF245" i="98"/>
  <c r="BG202" i="98"/>
  <c r="AT28" i="98"/>
  <c r="AT32" i="98"/>
  <c r="AT143" i="98"/>
  <c r="AT201" i="98"/>
  <c r="AU201" i="98"/>
  <c r="AV201" i="98"/>
  <c r="AW201" i="98"/>
  <c r="AX201" i="98"/>
  <c r="AY201" i="98"/>
  <c r="AZ201" i="98"/>
  <c r="BA201" i="98"/>
  <c r="BB201" i="98"/>
  <c r="BC201" i="98"/>
  <c r="BD201" i="98"/>
  <c r="BE201" i="98"/>
  <c r="BF201" i="98"/>
  <c r="BG201" i="98"/>
  <c r="BH201" i="98"/>
  <c r="BI201" i="98"/>
  <c r="BJ201" i="98"/>
  <c r="BJ202" i="98"/>
  <c r="BJ219" i="98"/>
  <c r="BJ220" i="98"/>
  <c r="BJ259" i="98"/>
  <c r="AY28" i="79"/>
  <c r="AY32" i="79"/>
  <c r="AY35" i="79"/>
  <c r="BA162" i="98"/>
  <c r="BA164" i="98"/>
  <c r="AY29" i="77"/>
  <c r="AY33" i="77"/>
  <c r="AY36" i="77"/>
  <c r="AY189" i="77"/>
  <c r="AY226" i="77"/>
  <c r="AZ226" i="77"/>
  <c r="BA226" i="77"/>
  <c r="BB226" i="77"/>
  <c r="BC226" i="77"/>
  <c r="BD226" i="77"/>
  <c r="BE226" i="77"/>
  <c r="BF226" i="77"/>
  <c r="BG226" i="77"/>
  <c r="BG228" i="77"/>
  <c r="BG269" i="77"/>
  <c r="BC199" i="46"/>
  <c r="BC230" i="46"/>
  <c r="BD106" i="46"/>
  <c r="BD109" i="46"/>
  <c r="BD35" i="46"/>
  <c r="BI35" i="46"/>
  <c r="BN35" i="46"/>
  <c r="BN26" i="51"/>
  <c r="BN28" i="51"/>
  <c r="AY31" i="78"/>
  <c r="AY35" i="78"/>
  <c r="AY38" i="78"/>
  <c r="AY192" i="78"/>
  <c r="AY198" i="78"/>
  <c r="AY211" i="78"/>
  <c r="BE31" i="78"/>
  <c r="BE35" i="78"/>
  <c r="BE38" i="78"/>
  <c r="BE192" i="78"/>
  <c r="BE198" i="78"/>
  <c r="BE211" i="78"/>
  <c r="BO211" i="78"/>
  <c r="BO213" i="78"/>
  <c r="BO214" i="78"/>
  <c r="BA31" i="78"/>
  <c r="BA35" i="78"/>
  <c r="BA38" i="78"/>
  <c r="BA192" i="78"/>
  <c r="BA198" i="78"/>
  <c r="BA211" i="78"/>
  <c r="BA213" i="78"/>
  <c r="BK211" i="78"/>
  <c r="BK213" i="78"/>
  <c r="BK214" i="78"/>
  <c r="BH254" i="78"/>
  <c r="BH259" i="78"/>
  <c r="BI254" i="78"/>
  <c r="BI259" i="78"/>
  <c r="BM254" i="78"/>
  <c r="BM259" i="78"/>
  <c r="BN254" i="78"/>
  <c r="BG143" i="98"/>
  <c r="AU28" i="98"/>
  <c r="AU32" i="98"/>
  <c r="AU143" i="98"/>
  <c r="AU148" i="98"/>
  <c r="AU162" i="98"/>
  <c r="AY28" i="98"/>
  <c r="AY32" i="98"/>
  <c r="AY143" i="98"/>
  <c r="AY148" i="98"/>
  <c r="BI164" i="98"/>
  <c r="AT250" i="98"/>
  <c r="AU245" i="98"/>
  <c r="BG245" i="98"/>
  <c r="BG250" i="98"/>
  <c r="BH245" i="98"/>
  <c r="BH250" i="98"/>
  <c r="BB35" i="46"/>
  <c r="BB26" i="51"/>
  <c r="BB28" i="51"/>
  <c r="BB32" i="51"/>
  <c r="BB35" i="51"/>
  <c r="BB32" i="79"/>
  <c r="BB35" i="79"/>
  <c r="BB37" i="79"/>
  <c r="BB43" i="79"/>
  <c r="BB79" i="46"/>
  <c r="BB11" i="71"/>
  <c r="BB7" i="73"/>
  <c r="BB10" i="73"/>
  <c r="BA104" i="99"/>
  <c r="BF104" i="99"/>
  <c r="BK104" i="99"/>
  <c r="BK94" i="99"/>
  <c r="BK9" i="99"/>
  <c r="BL9" i="99"/>
  <c r="BL10" i="99"/>
  <c r="BL23" i="99"/>
  <c r="BL29" i="99"/>
  <c r="AY218" i="77"/>
  <c r="AZ218" i="77"/>
  <c r="BA218" i="77"/>
  <c r="BC181" i="77"/>
  <c r="BC27" i="77"/>
  <c r="BH27" i="77"/>
  <c r="BL27" i="77"/>
  <c r="BL29" i="77"/>
  <c r="BL33" i="77"/>
  <c r="BL36" i="77"/>
  <c r="BL38" i="77"/>
  <c r="BL241" i="77"/>
  <c r="BL273" i="77"/>
  <c r="BL64" i="77"/>
  <c r="BL59" i="73"/>
  <c r="AX259" i="78"/>
  <c r="AY254" i="78"/>
  <c r="AY259" i="78"/>
  <c r="AZ254" i="78"/>
  <c r="AZ259" i="78"/>
  <c r="BG254" i="78"/>
  <c r="BG259" i="78"/>
  <c r="BL254" i="78"/>
  <c r="BL259" i="78"/>
  <c r="BQ254" i="78"/>
  <c r="BQ259" i="78"/>
  <c r="BG233" i="79"/>
  <c r="BG99" i="73"/>
  <c r="BG105" i="73"/>
  <c r="BX8" i="73"/>
  <c r="BX10" i="73"/>
  <c r="BX15" i="73"/>
  <c r="CB97" i="73"/>
  <c r="CC97" i="73"/>
  <c r="BG57" i="51"/>
  <c r="BF57" i="51"/>
  <c r="BC26" i="51"/>
  <c r="BC28" i="51"/>
  <c r="AY230" i="46"/>
  <c r="AZ106" i="46"/>
  <c r="AZ109" i="46"/>
  <c r="AZ35" i="46"/>
  <c r="BE35" i="46"/>
  <c r="BJ35" i="46"/>
  <c r="BO35" i="46"/>
  <c r="BO26" i="51"/>
  <c r="BO28" i="51"/>
  <c r="BO32" i="51"/>
  <c r="BO35" i="51"/>
  <c r="BO54" i="51"/>
  <c r="BO61" i="51"/>
  <c r="AZ184" i="78"/>
  <c r="AZ29" i="78"/>
  <c r="BE29" i="78"/>
  <c r="BJ29" i="78"/>
  <c r="BO29" i="78"/>
  <c r="BO31" i="78"/>
  <c r="BO35" i="78"/>
  <c r="BO38" i="78"/>
  <c r="BO192" i="78"/>
  <c r="BO198" i="78"/>
  <c r="AY220" i="78"/>
  <c r="AZ220" i="78"/>
  <c r="BA184" i="78"/>
  <c r="BA29" i="78"/>
  <c r="BF29" i="78"/>
  <c r="BK29" i="78"/>
  <c r="BK31" i="78"/>
  <c r="BK35" i="78"/>
  <c r="BK38" i="78"/>
  <c r="BK192" i="78"/>
  <c r="BK198" i="78"/>
  <c r="AX257" i="78"/>
  <c r="BB257" i="78"/>
  <c r="BB259" i="78"/>
  <c r="BC254" i="78"/>
  <c r="BC259" i="78"/>
  <c r="BK162" i="98"/>
  <c r="BK164" i="98"/>
  <c r="BK165" i="98"/>
  <c r="BK26" i="98"/>
  <c r="BK28" i="98"/>
  <c r="BK32" i="98"/>
  <c r="BK143" i="98"/>
  <c r="BK148" i="98"/>
  <c r="AV28" i="98"/>
  <c r="AV32" i="98"/>
  <c r="AV143" i="98"/>
  <c r="AV148" i="98"/>
  <c r="AV162" i="98"/>
  <c r="AV164" i="98"/>
  <c r="AV165" i="98"/>
  <c r="BA28" i="98"/>
  <c r="BA32" i="98"/>
  <c r="BA143" i="98"/>
  <c r="BA148" i="98"/>
  <c r="AV185" i="98"/>
  <c r="AV211" i="98"/>
  <c r="AW211" i="98"/>
  <c r="AX131" i="98"/>
  <c r="AX26" i="98"/>
  <c r="BC26" i="98"/>
  <c r="BC28" i="98"/>
  <c r="BC32" i="98"/>
  <c r="BC143" i="98"/>
  <c r="BC148" i="98"/>
  <c r="BC162" i="98"/>
  <c r="BC164" i="98"/>
  <c r="BF162" i="98"/>
  <c r="BF164" i="98"/>
  <c r="BF165" i="98"/>
  <c r="BF169" i="98"/>
  <c r="BG169" i="98"/>
  <c r="BG174" i="98"/>
  <c r="AT245" i="98"/>
  <c r="BL37" i="51"/>
  <c r="BL43" i="51"/>
  <c r="BL82" i="46"/>
  <c r="BG37" i="51"/>
  <c r="BG43" i="51"/>
  <c r="BG82" i="46"/>
  <c r="CD64" i="73"/>
  <c r="AS195" i="99"/>
  <c r="CA97" i="73"/>
  <c r="AT211" i="98"/>
  <c r="AU131" i="98"/>
  <c r="AU26" i="98"/>
  <c r="AZ26" i="98"/>
  <c r="BE26" i="98"/>
  <c r="BE28" i="98"/>
  <c r="BE32" i="98"/>
  <c r="BE143" i="98"/>
  <c r="BE148" i="98"/>
  <c r="BE162" i="98"/>
  <c r="BE164" i="98"/>
  <c r="AT185" i="98"/>
  <c r="AU185" i="98"/>
  <c r="AU211" i="98"/>
  <c r="AV131" i="98"/>
  <c r="AV26" i="98"/>
  <c r="BA26" i="98"/>
  <c r="BF26" i="98"/>
  <c r="BF28" i="98"/>
  <c r="BF32" i="98"/>
  <c r="BF143" i="98"/>
  <c r="BF148" i="98"/>
  <c r="AY26" i="98"/>
  <c r="BD26" i="98"/>
  <c r="BI26" i="98"/>
  <c r="BI28" i="98"/>
  <c r="BI32" i="98"/>
  <c r="BI143" i="98"/>
  <c r="BI148" i="98"/>
  <c r="BI162" i="98"/>
  <c r="AS248" i="98"/>
  <c r="AS250" i="98"/>
  <c r="AX245" i="98"/>
  <c r="AX250" i="98"/>
  <c r="AY245" i="98"/>
  <c r="AW248" i="98"/>
  <c r="AW250" i="98"/>
  <c r="BB245" i="98"/>
  <c r="BB250" i="98"/>
  <c r="BC245" i="98"/>
  <c r="BC250" i="98"/>
  <c r="BD245" i="98"/>
  <c r="BD250" i="98"/>
  <c r="BE245" i="98"/>
  <c r="BE250" i="98"/>
  <c r="BH35" i="46"/>
  <c r="BL35" i="46"/>
  <c r="BL26" i="51"/>
  <c r="BL28" i="51"/>
  <c r="BL32" i="51"/>
  <c r="BL35" i="51"/>
  <c r="AY28" i="80"/>
  <c r="AY39" i="46"/>
  <c r="AY41" i="46"/>
  <c r="AY44" i="46"/>
  <c r="AY149" i="46"/>
  <c r="AY156" i="46"/>
  <c r="AY171" i="46"/>
  <c r="AY174" i="46"/>
  <c r="AY199" i="46"/>
  <c r="AZ199" i="46"/>
  <c r="BA199" i="46"/>
  <c r="BB199" i="46"/>
  <c r="BB230" i="46"/>
  <c r="BC106" i="46"/>
  <c r="BC109" i="46"/>
  <c r="BC35" i="46"/>
  <c r="BG35" i="46"/>
  <c r="BG26" i="51"/>
  <c r="BG28" i="51"/>
  <c r="BG32" i="51"/>
  <c r="BG35" i="51"/>
  <c r="AX213" i="78"/>
  <c r="AX220" i="78"/>
  <c r="AY184" i="78"/>
  <c r="AY29" i="78"/>
  <c r="BB29" i="78"/>
  <c r="BB31" i="78"/>
  <c r="BB194" i="78"/>
  <c r="AX194" i="78"/>
  <c r="AX198" i="78"/>
  <c r="AX211" i="78"/>
  <c r="BH26" i="80"/>
  <c r="BL26" i="80"/>
  <c r="CD48" i="73"/>
  <c r="CD52" i="73"/>
  <c r="CD63" i="73"/>
  <c r="AS185" i="98"/>
  <c r="AS211" i="98"/>
  <c r="AT131" i="98"/>
  <c r="AT26" i="98"/>
  <c r="AW26" i="98"/>
  <c r="AW28" i="98"/>
  <c r="AW145" i="98"/>
  <c r="AS145" i="98"/>
  <c r="AS148" i="98"/>
  <c r="AS162" i="98"/>
  <c r="AS164" i="98"/>
  <c r="AQ94" i="99"/>
  <c r="AQ104" i="99"/>
  <c r="AV104" i="99"/>
  <c r="AV94" i="99"/>
  <c r="AV9" i="99"/>
  <c r="AW9" i="99"/>
  <c r="AW10" i="99"/>
  <c r="AW23" i="99"/>
  <c r="AW29" i="99"/>
  <c r="AW34" i="99"/>
  <c r="AW176" i="99"/>
  <c r="AS176" i="99"/>
  <c r="AS179" i="99"/>
  <c r="AS193" i="99"/>
  <c r="BG226" i="79"/>
  <c r="BG231" i="79"/>
  <c r="BL226" i="79"/>
  <c r="BL231" i="79"/>
  <c r="BL233" i="79"/>
  <c r="BL99" i="73"/>
  <c r="BL105" i="73"/>
  <c r="AS210" i="100"/>
  <c r="AT133" i="100"/>
  <c r="AT26" i="100"/>
  <c r="AW26" i="100"/>
  <c r="AW28" i="100"/>
  <c r="AW145" i="100"/>
  <c r="AS145" i="100"/>
  <c r="AS148" i="100"/>
  <c r="AS162" i="100"/>
  <c r="AS164" i="100"/>
  <c r="AY848" i="80"/>
  <c r="AZ848" i="80"/>
  <c r="BA848" i="80"/>
  <c r="BC810" i="80"/>
  <c r="BC813" i="80"/>
  <c r="BC26" i="80"/>
  <c r="BG26" i="80"/>
  <c r="CC48" i="73"/>
  <c r="CC52" i="73"/>
  <c r="CC63" i="73"/>
  <c r="CC64" i="73"/>
  <c r="CC68" i="73"/>
  <c r="BW74" i="73"/>
  <c r="BW79" i="73"/>
  <c r="BW81" i="73"/>
  <c r="BY17" i="73"/>
  <c r="AY192" i="79"/>
  <c r="AZ192" i="79"/>
  <c r="BA192" i="79"/>
  <c r="BC155" i="79"/>
  <c r="BC26" i="79"/>
  <c r="BG26" i="79"/>
  <c r="BG28" i="79"/>
  <c r="BG32" i="79"/>
  <c r="BG35" i="79"/>
  <c r="BG37" i="79"/>
  <c r="BG43" i="79"/>
  <c r="BG79" i="46"/>
  <c r="BG11" i="71"/>
  <c r="BG7" i="73"/>
  <c r="BY8" i="73"/>
  <c r="BY10" i="73"/>
  <c r="BY15" i="73"/>
  <c r="BX97" i="73"/>
  <c r="BY97" i="73"/>
  <c r="BZ97" i="73"/>
  <c r="AX211" i="77"/>
  <c r="AX218" i="77"/>
  <c r="AY181" i="77"/>
  <c r="AY27" i="77"/>
  <c r="BB27" i="77"/>
  <c r="BB29" i="77"/>
  <c r="BB191" i="77"/>
  <c r="AX191" i="77"/>
  <c r="AX195" i="77"/>
  <c r="AX209" i="77"/>
  <c r="AX169" i="79"/>
  <c r="AX183" i="79"/>
  <c r="AX185" i="79"/>
  <c r="AX192" i="79"/>
  <c r="AY155" i="79"/>
  <c r="AY26" i="79"/>
  <c r="BB26" i="79"/>
  <c r="BB28" i="79"/>
  <c r="BB165" i="79"/>
  <c r="AX165" i="79"/>
  <c r="AX229" i="79"/>
  <c r="BB229" i="79"/>
  <c r="BB231" i="79"/>
  <c r="AX848" i="80"/>
  <c r="AY810" i="80"/>
  <c r="AY813" i="80"/>
  <c r="AY26" i="80"/>
  <c r="BB26" i="80"/>
  <c r="BB28" i="80"/>
  <c r="BB822" i="80"/>
  <c r="AX822" i="80"/>
  <c r="AX825" i="80"/>
  <c r="AX839" i="80"/>
  <c r="AX841" i="80"/>
</calcChain>
</file>

<file path=xl/comments1.xml><?xml version="1.0" encoding="utf-8"?>
<comments xmlns="http://schemas.openxmlformats.org/spreadsheetml/2006/main">
  <authors>
    <author>appiwill</author>
  </authors>
  <commentList>
    <comment ref="A1" authorId="0">
      <text>
        <r>
          <rPr>
            <b/>
            <sz val="8"/>
            <color indexed="81"/>
            <rFont val="Tahoma"/>
            <family val="2"/>
          </rPr>
          <t>卟䙄_x0001_＀＀觌䮼_x000F_呅幒䝆偟䥒䕃〨착_x0018_＀＀_x0018_＀＀_x0008_＀＀_x0001_＀＀_x0001_＀＀긔Ѻ䁕觌䮼_x000E_呅幒䝆䑟呁⡅⤰_x001A_＀＀_x0018_＀＀
＀＀_x0001_＀＀_x0008_＀＀⼴㘰㈯㄰0</t>
        </r>
      </text>
    </comment>
    <comment ref="B1" authorId="0">
      <text>
        <r>
          <rPr>
            <b/>
            <sz val="8"/>
            <color indexed="81"/>
            <rFont val="Tahoma"/>
            <family val="2"/>
          </rPr>
          <t>65</t>
        </r>
      </text>
    </comment>
  </commentList>
</comments>
</file>

<file path=xl/comments2.xml><?xml version="1.0" encoding="utf-8"?>
<comments xmlns="http://schemas.openxmlformats.org/spreadsheetml/2006/main">
  <authors>
    <author>Tabatabai, Arman (Research)</author>
    <author>Rajeev Lalwani</author>
    <author>rajeevl</author>
    <author>Ananth, Manoj (Research)</author>
    <author>McDermott, Devin (Research)</author>
  </authors>
  <commentList>
    <comment ref="CU7" authorId="0">
      <text>
        <r>
          <rPr>
            <b/>
            <sz val="9"/>
            <color indexed="81"/>
            <rFont val="Tahoma"/>
            <family val="2"/>
          </rPr>
          <t>Tabatabai, Arman (Research):</t>
        </r>
        <r>
          <rPr>
            <sz val="9"/>
            <color indexed="81"/>
            <rFont val="Tahoma"/>
            <family val="2"/>
          </rPr>
          <t xml:space="preserve">
Assume Nine Mile Point Unit 1 receives 20-year extension past 8/22/2029 expiration date
Assume Ginna receives 20-year extension past 9/18/2029 expiration date
Assume NY ZEC program extended past 3/31/2029 end date through license expiration of NY Nukes  </t>
        </r>
      </text>
    </comment>
    <comment ref="CZ7" authorId="0">
      <text>
        <r>
          <rPr>
            <b/>
            <sz val="9"/>
            <color indexed="81"/>
            <rFont val="Tahoma"/>
            <family val="2"/>
          </rPr>
          <t>Tabatabai, Arman (Research):</t>
        </r>
        <r>
          <rPr>
            <sz val="9"/>
            <color indexed="81"/>
            <rFont val="Tahoma"/>
            <family val="2"/>
          </rPr>
          <t xml:space="preserve">
Fitzpatrick license expiration 10/15/2034)</t>
        </r>
      </text>
    </comment>
    <comment ref="DL7" authorId="0">
      <text>
        <r>
          <rPr>
            <b/>
            <sz val="9"/>
            <color indexed="81"/>
            <rFont val="Tahoma"/>
            <family val="2"/>
          </rPr>
          <t>Tabatabai, Arman (Research):</t>
        </r>
        <r>
          <rPr>
            <sz val="9"/>
            <color indexed="81"/>
            <rFont val="Tahoma"/>
            <family val="2"/>
          </rPr>
          <t xml:space="preserve">
Nine Mile Point Unit 2 Retirement</t>
        </r>
      </text>
    </comment>
    <comment ref="DO7" authorId="0">
      <text>
        <r>
          <rPr>
            <b/>
            <sz val="9"/>
            <color indexed="81"/>
            <rFont val="Tahoma"/>
            <family val="2"/>
          </rPr>
          <t>Tabatabai, Arman (Research):</t>
        </r>
        <r>
          <rPr>
            <sz val="9"/>
            <color indexed="81"/>
            <rFont val="Tahoma"/>
            <family val="2"/>
          </rPr>
          <t xml:space="preserve">
Assumed 8/22/2049 expiration date of Nine Mile Point Unit 1 extended license
Assumed 9/18/2049 expiration date of Ginna extended license
</t>
        </r>
      </text>
    </comment>
    <comment ref="BX8" authorId="1">
      <text>
        <r>
          <rPr>
            <b/>
            <sz val="8"/>
            <color indexed="81"/>
            <rFont val="Tahoma"/>
            <family val="2"/>
          </rPr>
          <t>DM:</t>
        </r>
        <r>
          <rPr>
            <sz val="8"/>
            <color indexed="81"/>
            <rFont val="Tahoma"/>
            <family val="2"/>
          </rPr>
          <t xml:space="preserve">
9% ROE</t>
        </r>
      </text>
    </comment>
    <comment ref="BZ8" authorId="2">
      <text>
        <r>
          <rPr>
            <b/>
            <sz val="8"/>
            <color indexed="81"/>
            <rFont val="Tahoma"/>
            <family val="2"/>
          </rPr>
          <t>DM:</t>
        </r>
        <r>
          <rPr>
            <sz val="8"/>
            <color indexed="81"/>
            <rFont val="Tahoma"/>
            <family val="2"/>
          </rPr>
          <t xml:space="preserve">
Earned ROE of 10% and 53% equity ratio. Based on LT target.</t>
        </r>
      </text>
    </comment>
    <comment ref="CS8" authorId="0">
      <text>
        <r>
          <rPr>
            <b/>
            <sz val="9"/>
            <color indexed="81"/>
            <rFont val="Tahoma"/>
            <family val="2"/>
          </rPr>
          <t>Tabatabai, Arman (Research):</t>
        </r>
        <r>
          <rPr>
            <sz val="9"/>
            <color indexed="81"/>
            <rFont val="Tahoma"/>
            <family val="2"/>
          </rPr>
          <t xml:space="preserve">
Assume Clinton receives 20-year extension past 9/29/2026 expiration date
Assume IL ZES program extended past 5/31/2027 end date through license expiration of IL Nukes</t>
        </r>
      </text>
    </comment>
    <comment ref="CX8" authorId="0">
      <text>
        <r>
          <rPr>
            <b/>
            <sz val="9"/>
            <color indexed="81"/>
            <rFont val="Tahoma"/>
            <family val="2"/>
          </rPr>
          <t>Tabatabai, Arman (Research):</t>
        </r>
        <r>
          <rPr>
            <sz val="9"/>
            <color indexed="81"/>
            <rFont val="Tahoma"/>
            <family val="2"/>
          </rPr>
          <t xml:space="preserve">
Quad Cities units 1-2 license expiration 12/14/2032</t>
        </r>
      </text>
    </comment>
    <comment ref="DL8" authorId="0">
      <text>
        <r>
          <rPr>
            <b/>
            <sz val="9"/>
            <color indexed="81"/>
            <rFont val="Tahoma"/>
            <family val="2"/>
          </rPr>
          <t>Tabatabai, Arman (Research):</t>
        </r>
        <r>
          <rPr>
            <sz val="9"/>
            <color indexed="81"/>
            <rFont val="Tahoma"/>
            <family val="2"/>
          </rPr>
          <t xml:space="preserve">
Assumed 9/29/2046 expiration date of Clinton extended license
</t>
        </r>
      </text>
    </comment>
    <comment ref="BQ18" authorId="3">
      <text>
        <r>
          <rPr>
            <sz val="9"/>
            <color indexed="81"/>
            <rFont val="Tahoma"/>
            <family val="2"/>
          </rPr>
          <t>Share Price as on  03/19/18 
Source: Yahoo Finance</t>
        </r>
      </text>
    </comment>
    <comment ref="BU32" authorId="4">
      <text>
        <r>
          <rPr>
            <b/>
            <sz val="9"/>
            <color indexed="81"/>
            <rFont val="Tahoma"/>
            <family val="2"/>
          </rPr>
          <t>McDermott, Devin (Research):</t>
        </r>
        <r>
          <rPr>
            <sz val="9"/>
            <color indexed="81"/>
            <rFont val="Tahoma"/>
            <family val="2"/>
          </rPr>
          <t xml:space="preserve">
Excludes Chicago</t>
        </r>
      </text>
    </comment>
    <comment ref="CK37" authorId="4">
      <text>
        <r>
          <rPr>
            <b/>
            <sz val="9"/>
            <color indexed="81"/>
            <rFont val="Tahoma"/>
            <family val="2"/>
          </rPr>
          <t>McDermott, Devin (Research):</t>
        </r>
        <r>
          <rPr>
            <sz val="9"/>
            <color indexed="81"/>
            <rFont val="Tahoma"/>
            <family val="2"/>
          </rPr>
          <t xml:space="preserve">
2016 net debt/EBITDA</t>
        </r>
      </text>
    </comment>
    <comment ref="CV60" authorId="2">
      <text>
        <r>
          <rPr>
            <b/>
            <sz val="8"/>
            <color indexed="81"/>
            <rFont val="Tahoma"/>
            <family val="2"/>
          </rPr>
          <t>rajeevl:</t>
        </r>
        <r>
          <rPr>
            <sz val="8"/>
            <color indexed="81"/>
            <rFont val="Tahoma"/>
            <family val="2"/>
          </rPr>
          <t xml:space="preserve">
$6.7bil is the estimated difference tax and GAAP basis in PP&amp;E. Per 2011 EXC 10K the tax liability is $2.7bil, which we gross up to arrive at above (p. 280).
We also assume CEG assets have similar tax/GAAP basis given recent acquisition.</t>
        </r>
      </text>
    </comment>
  </commentList>
</comments>
</file>

<file path=xl/comments3.xml><?xml version="1.0" encoding="utf-8"?>
<comments xmlns="http://schemas.openxmlformats.org/spreadsheetml/2006/main">
  <authors>
    <author>ancsan</author>
  </authors>
  <commentList>
    <comment ref="CP33" authorId="0">
      <text>
        <r>
          <rPr>
            <sz val="8"/>
            <color indexed="81"/>
            <rFont val="Tahoma"/>
            <family val="2"/>
          </rPr>
          <t>Includes BGE from FY12</t>
        </r>
      </text>
    </comment>
  </commentList>
</comments>
</file>

<file path=xl/comments4.xml><?xml version="1.0" encoding="utf-8"?>
<comments xmlns="http://schemas.openxmlformats.org/spreadsheetml/2006/main">
  <authors>
    <author>rajeevl</author>
    <author>sunilt</author>
    <author>Tammannavar, Sunil (Research)</author>
    <author>Mendiratta, Divya (Research)</author>
    <author>ancsan</author>
    <author>$</author>
    <author>Kapoor, Vishal (Research)</author>
    <author>Dixit, Siddharth (Research)</author>
    <author>Ananth, Manoj (Research)</author>
    <author>Kobus, Jim (Research)</author>
    <author>McDermott, Devin (Research)</author>
    <author>Magajwala, Vatsal (Research)</author>
  </authors>
  <commentList>
    <comment ref="T22" authorId="0">
      <text>
        <r>
          <rPr>
            <b/>
            <sz val="8"/>
            <color indexed="81"/>
            <rFont val="Tahoma"/>
            <family val="2"/>
          </rPr>
          <t>rajeevl:</t>
        </r>
        <r>
          <rPr>
            <sz val="8"/>
            <color indexed="81"/>
            <rFont val="Tahoma"/>
            <family val="2"/>
          </rPr>
          <t xml:space="preserve">
2 weeks of BGE reflected in parent</t>
        </r>
      </text>
    </comment>
    <comment ref="AE30" authorId="1">
      <text>
        <r>
          <rPr>
            <sz val="8"/>
            <color indexed="81"/>
            <rFont val="Tahoma"/>
            <family val="2"/>
          </rPr>
          <t xml:space="preserve">$261m : Gain on consolidation of CENG
</t>
        </r>
        <r>
          <rPr>
            <sz val="8"/>
            <color indexed="81"/>
            <rFont val="Tahoma"/>
            <family val="2"/>
          </rPr>
          <t xml:space="preserve">
</t>
        </r>
      </text>
    </comment>
    <comment ref="AH30" authorId="2">
      <text>
        <r>
          <rPr>
            <sz val="9"/>
            <color indexed="81"/>
            <rFont val="Tahoma"/>
            <family val="2"/>
          </rPr>
          <t xml:space="preserve">$437m : Gain (loss) on sales of assets
$289m : Gain on consolidation and acquisition of businesses
</t>
        </r>
      </text>
    </comment>
    <comment ref="AW30" authorId="3">
      <text>
        <r>
          <rPr>
            <sz val="9"/>
            <color indexed="81"/>
            <rFont val="Tahoma"/>
            <family val="2"/>
          </rPr>
          <t>Includes:
Bargain purchase gain: $233mn
Gain on deconsolidation of business: $213mn</t>
        </r>
      </text>
    </comment>
    <comment ref="T45" authorId="0">
      <text>
        <r>
          <rPr>
            <b/>
            <sz val="8"/>
            <color indexed="81"/>
            <rFont val="Tahoma"/>
            <family val="2"/>
          </rPr>
          <t>rajeevl:</t>
        </r>
        <r>
          <rPr>
            <sz val="8"/>
            <color indexed="81"/>
            <rFont val="Tahoma"/>
            <family val="2"/>
          </rPr>
          <t xml:space="preserve">
we back out NDT realized gain which is in mgmt's guidance of ~$80mil A/T</t>
        </r>
      </text>
    </comment>
    <comment ref="U45" authorId="0">
      <text>
        <r>
          <rPr>
            <b/>
            <sz val="8"/>
            <color indexed="81"/>
            <rFont val="Tahoma"/>
            <family val="2"/>
          </rPr>
          <t>rajeevl:</t>
        </r>
        <r>
          <rPr>
            <sz val="8"/>
            <color indexed="81"/>
            <rFont val="Tahoma"/>
            <family val="2"/>
          </rPr>
          <t xml:space="preserve">
we back out NDT realized gain which is in mgmt's guidance of ~$80mil A/T</t>
        </r>
      </text>
    </comment>
    <comment ref="V45" authorId="4">
      <text>
        <r>
          <rPr>
            <sz val="8"/>
            <color indexed="81"/>
            <rFont val="Tahoma"/>
            <family val="2"/>
          </rPr>
          <t>Source : 8K of 3Q12</t>
        </r>
      </text>
    </comment>
    <comment ref="X45" authorId="4">
      <text>
        <r>
          <rPr>
            <sz val="8"/>
            <color indexed="81"/>
            <rFont val="Tahoma"/>
            <family val="2"/>
          </rPr>
          <t>Source : 8K of 4Q12</t>
        </r>
      </text>
    </comment>
    <comment ref="Y45" authorId="4">
      <text>
        <r>
          <rPr>
            <sz val="8"/>
            <color indexed="81"/>
            <rFont val="Tahoma"/>
            <family val="2"/>
          </rPr>
          <t>Source : 8K of 1Q13</t>
        </r>
      </text>
    </comment>
    <comment ref="Z45" authorId="4">
      <text>
        <r>
          <rPr>
            <sz val="8"/>
            <color indexed="81"/>
            <rFont val="Tahoma"/>
            <family val="2"/>
          </rPr>
          <t>Source : 8K of 2Q13</t>
        </r>
      </text>
    </comment>
    <comment ref="AA45" authorId="4">
      <text>
        <r>
          <rPr>
            <sz val="8"/>
            <color indexed="81"/>
            <rFont val="Tahoma"/>
            <family val="2"/>
          </rPr>
          <t>Source : 8K of 3Q13</t>
        </r>
      </text>
    </comment>
    <comment ref="AC45" authorId="4">
      <text>
        <r>
          <rPr>
            <sz val="8"/>
            <color indexed="81"/>
            <rFont val="Tahoma"/>
            <family val="2"/>
          </rPr>
          <t xml:space="preserve">Source : 8K of 4Q13
</t>
        </r>
      </text>
    </comment>
    <comment ref="AD45" authorId="1">
      <text>
        <r>
          <rPr>
            <sz val="8"/>
            <color indexed="81"/>
            <rFont val="Tahoma"/>
            <family val="2"/>
          </rPr>
          <t>Source : 8K of 1Q14</t>
        </r>
        <r>
          <rPr>
            <sz val="8"/>
            <color indexed="81"/>
            <rFont val="Tahoma"/>
            <family val="2"/>
          </rPr>
          <t xml:space="preserve">
</t>
        </r>
      </text>
    </comment>
    <comment ref="AE45" authorId="1">
      <text>
        <r>
          <rPr>
            <sz val="8"/>
            <color indexed="81"/>
            <rFont val="Tahoma"/>
            <family val="2"/>
          </rPr>
          <t>Source : 8K of 2Q14</t>
        </r>
        <r>
          <rPr>
            <sz val="8"/>
            <color indexed="81"/>
            <rFont val="Tahoma"/>
            <family val="2"/>
          </rPr>
          <t xml:space="preserve">
</t>
        </r>
      </text>
    </comment>
    <comment ref="AF45" authorId="1">
      <text>
        <r>
          <rPr>
            <sz val="8"/>
            <color indexed="81"/>
            <rFont val="Tahoma"/>
            <family val="2"/>
          </rPr>
          <t xml:space="preserve">Source : 8K of 3Q14
</t>
        </r>
      </text>
    </comment>
    <comment ref="AH45" authorId="4">
      <text>
        <r>
          <rPr>
            <sz val="8"/>
            <color indexed="81"/>
            <rFont val="Tahoma"/>
            <family val="2"/>
          </rPr>
          <t xml:space="preserve">Source : 8K of 4Q14
</t>
        </r>
      </text>
    </comment>
    <comment ref="AI45" authorId="5">
      <text>
        <r>
          <rPr>
            <sz val="9"/>
            <color indexed="81"/>
            <rFont val="Tahoma"/>
            <family val="2"/>
          </rPr>
          <t>Source: 8K 1Q15 dated 04/29/15</t>
        </r>
      </text>
    </comment>
    <comment ref="AJ45" authorId="5">
      <text>
        <r>
          <rPr>
            <sz val="9"/>
            <color indexed="81"/>
            <rFont val="Tahoma"/>
            <family val="2"/>
          </rPr>
          <t>Source: 8K 2Q15 dated 07/29/15</t>
        </r>
      </text>
    </comment>
    <comment ref="AK45" authorId="5">
      <text>
        <r>
          <rPr>
            <sz val="9"/>
            <color indexed="81"/>
            <rFont val="Tahoma"/>
            <family val="2"/>
          </rPr>
          <t>Source: 8K 3Q15 dated 10/30/15</t>
        </r>
      </text>
    </comment>
    <comment ref="AM45" authorId="5">
      <text>
        <r>
          <rPr>
            <sz val="9"/>
            <color indexed="81"/>
            <rFont val="Tahoma"/>
            <family val="2"/>
          </rPr>
          <t>Source: 8K 4Q15 dated 02/3/16</t>
        </r>
      </text>
    </comment>
    <comment ref="AN45" authorId="5">
      <text>
        <r>
          <rPr>
            <sz val="9"/>
            <color indexed="81"/>
            <rFont val="Tahoma"/>
            <family val="2"/>
          </rPr>
          <t>Source: 8K 1Q16 dated 05/06/16</t>
        </r>
      </text>
    </comment>
    <comment ref="AO45" authorId="5">
      <text>
        <r>
          <rPr>
            <sz val="9"/>
            <color indexed="81"/>
            <rFont val="Tahoma"/>
            <family val="2"/>
          </rPr>
          <t>Source: 8K 1Q16 dated 05/06/16</t>
        </r>
      </text>
    </comment>
    <comment ref="AP45" authorId="5">
      <text>
        <r>
          <rPr>
            <sz val="9"/>
            <color indexed="81"/>
            <rFont val="Tahoma"/>
            <family val="2"/>
          </rPr>
          <t>Source: 8K 3Q16 dated 10/26/16</t>
        </r>
      </text>
    </comment>
    <comment ref="AR45" authorId="6">
      <text>
        <r>
          <rPr>
            <sz val="9"/>
            <color indexed="81"/>
            <rFont val="Tahoma"/>
            <family val="2"/>
          </rPr>
          <t>Source: 8K 4Q16 dated 02/08/17</t>
        </r>
      </text>
    </comment>
    <comment ref="AS45" authorId="7">
      <text>
        <r>
          <rPr>
            <sz val="9"/>
            <color indexed="81"/>
            <rFont val="Tahoma"/>
            <family val="2"/>
          </rPr>
          <t xml:space="preserve">Source: 8K 1Q17 dated 05/03/17
</t>
        </r>
      </text>
    </comment>
    <comment ref="AT45" authorId="5">
      <text>
        <r>
          <rPr>
            <sz val="9"/>
            <color indexed="81"/>
            <rFont val="Tahoma"/>
            <family val="2"/>
          </rPr>
          <t>Source: 8K 2Q17 dated 08/02/17</t>
        </r>
      </text>
    </comment>
    <comment ref="AU45" authorId="8">
      <text>
        <r>
          <rPr>
            <sz val="9"/>
            <color indexed="81"/>
            <rFont val="Tahoma"/>
            <family val="2"/>
          </rPr>
          <t>Source: 8K 3Q17 dated 11/02/17</t>
        </r>
      </text>
    </comment>
    <comment ref="AW45" authorId="3">
      <text>
        <r>
          <rPr>
            <sz val="9"/>
            <color indexed="81"/>
            <rFont val="Tahoma"/>
            <family val="2"/>
          </rPr>
          <t xml:space="preserve">Source: 8k 4Q17
</t>
        </r>
      </text>
    </comment>
    <comment ref="BS46" authorId="9">
      <text>
        <r>
          <rPr>
            <b/>
            <sz val="9"/>
            <color indexed="81"/>
            <rFont val="Tahoma"/>
            <family val="2"/>
          </rPr>
          <t>Kobus, Jim (Research):</t>
        </r>
        <r>
          <rPr>
            <sz val="9"/>
            <color indexed="81"/>
            <rFont val="Tahoma"/>
            <family val="2"/>
          </rPr>
          <t xml:space="preserve">
guidance = 3-5%</t>
        </r>
      </text>
    </comment>
    <comment ref="BB57" authorId="7">
      <text>
        <r>
          <rPr>
            <sz val="9"/>
            <color indexed="81"/>
            <rFont val="Tahoma"/>
            <family val="2"/>
          </rPr>
          <t>Source: 4Q17, Earnings Presentation</t>
        </r>
      </text>
    </comment>
    <comment ref="BB58" authorId="7">
      <text>
        <r>
          <rPr>
            <sz val="9"/>
            <color indexed="81"/>
            <rFont val="Tahoma"/>
            <family val="2"/>
          </rPr>
          <t>Source: 4Q17, Earnings Presentation</t>
        </r>
      </text>
    </comment>
    <comment ref="BB59" authorId="7">
      <text>
        <r>
          <rPr>
            <sz val="9"/>
            <color indexed="81"/>
            <rFont val="Tahoma"/>
            <family val="2"/>
          </rPr>
          <t>Source: 4Q17, Earnings Presentation</t>
        </r>
      </text>
    </comment>
    <comment ref="BB78" authorId="3">
      <text>
        <r>
          <rPr>
            <sz val="9"/>
            <color indexed="81"/>
            <rFont val="Tahoma"/>
            <family val="2"/>
          </rPr>
          <t xml:space="preserve">Guidance: $1.35 - $1.45
Source: 4Q17 Earnings Presentation </t>
        </r>
      </text>
    </comment>
    <comment ref="BB79" authorId="3">
      <text>
        <r>
          <rPr>
            <sz val="9"/>
            <color indexed="81"/>
            <rFont val="Tahoma"/>
            <family val="2"/>
          </rPr>
          <t xml:space="preserve">Guidance: $0.60 - $0.70
Source: 4Q17 Earnings Presentation </t>
        </r>
      </text>
    </comment>
    <comment ref="BB80" authorId="3">
      <text>
        <r>
          <rPr>
            <sz val="9"/>
            <color indexed="81"/>
            <rFont val="Tahoma"/>
            <family val="2"/>
          </rPr>
          <t xml:space="preserve">Guidance: $0.40 - $0.50
Source: 4Q17 Earnings Presentation </t>
        </r>
      </text>
    </comment>
    <comment ref="BB81" authorId="3">
      <text>
        <r>
          <rPr>
            <sz val="9"/>
            <color indexed="81"/>
            <rFont val="Tahoma"/>
            <family val="2"/>
          </rPr>
          <t xml:space="preserve">Guidance: $0.25 - $0.35
Source: 4Q17 Earnings Presentation </t>
        </r>
      </text>
    </comment>
    <comment ref="BB82" authorId="3">
      <text>
        <r>
          <rPr>
            <sz val="9"/>
            <color indexed="81"/>
            <rFont val="Tahoma"/>
            <family val="2"/>
          </rPr>
          <t xml:space="preserve">Guidance: `~($0.20)
Source: 4Q17 Earnings Presentation </t>
        </r>
      </text>
    </comment>
    <comment ref="BB83" authorId="3">
      <text>
        <r>
          <rPr>
            <sz val="9"/>
            <color indexed="81"/>
            <rFont val="Tahoma"/>
            <family val="2"/>
          </rPr>
          <t xml:space="preserve">PHI Guidance: $0.40 - $0.50
Source: 4Q17 Earnings Presentation 
PHI includes the consolidated results of Potomac Electric Power Company, Delmarva Power &amp; Light Company and Atlantic City Electric Company.
</t>
        </r>
      </text>
    </comment>
    <comment ref="BB84" authorId="3">
      <text>
        <r>
          <rPr>
            <sz val="9"/>
            <color indexed="81"/>
            <rFont val="Tahoma"/>
            <family val="2"/>
          </rPr>
          <t xml:space="preserve">PHI Guidance: $0.40 - $0.50
Source: 4Q17 Earnings Presentation 
PHI includes the consolidated results of Potomac Electric Power Company, Delmarva Power &amp; Light Company and Atlantic City Electric Company.
</t>
        </r>
      </text>
    </comment>
    <comment ref="BB85" authorId="3">
      <text>
        <r>
          <rPr>
            <sz val="9"/>
            <color indexed="81"/>
            <rFont val="Tahoma"/>
            <family val="2"/>
          </rPr>
          <t xml:space="preserve">PHI Guidance: $0.40 - $0.50
Source: 4Q17 Earnings Presentation 
PHI includes the consolidated results of Potomac Electric Power Company, Delmarva Power &amp; Light Company and Atlantic City Electric Company.
</t>
        </r>
      </text>
    </comment>
    <comment ref="BB114" authorId="10">
      <text>
        <r>
          <rPr>
            <b/>
            <sz val="9"/>
            <color indexed="81"/>
            <rFont val="Tahoma"/>
            <family val="2"/>
          </rPr>
          <t>McDermott, Devin (Research):</t>
        </r>
        <r>
          <rPr>
            <sz val="9"/>
            <color indexed="81"/>
            <rFont val="Tahoma"/>
            <family val="2"/>
          </rPr>
          <t xml:space="preserve">
set to hit 18% effective tax rate</t>
        </r>
      </text>
    </comment>
    <comment ref="BG114" authorId="10">
      <text>
        <r>
          <rPr>
            <b/>
            <sz val="9"/>
            <color indexed="81"/>
            <rFont val="Tahoma"/>
            <family val="2"/>
          </rPr>
          <t>McDermott, Devin (Research):</t>
        </r>
        <r>
          <rPr>
            <sz val="9"/>
            <color indexed="81"/>
            <rFont val="Tahoma"/>
            <family val="2"/>
          </rPr>
          <t xml:space="preserve">
set to hit 19% effective tax rate</t>
        </r>
      </text>
    </comment>
    <comment ref="BL114" authorId="10">
      <text>
        <r>
          <rPr>
            <b/>
            <sz val="9"/>
            <color indexed="81"/>
            <rFont val="Tahoma"/>
            <family val="2"/>
          </rPr>
          <t>McDermott, Devin (Research):</t>
        </r>
        <r>
          <rPr>
            <sz val="9"/>
            <color indexed="81"/>
            <rFont val="Tahoma"/>
            <family val="2"/>
          </rPr>
          <t xml:space="preserve">
set to hit 20% effective tax rate</t>
        </r>
      </text>
    </comment>
    <comment ref="BQ114" authorId="10">
      <text>
        <r>
          <rPr>
            <b/>
            <sz val="9"/>
            <color indexed="81"/>
            <rFont val="Tahoma"/>
            <family val="2"/>
          </rPr>
          <t>McDermott, Devin (Research):</t>
        </r>
        <r>
          <rPr>
            <sz val="9"/>
            <color indexed="81"/>
            <rFont val="Tahoma"/>
            <family val="2"/>
          </rPr>
          <t xml:space="preserve">
set to hit 20% effective tax rate</t>
        </r>
      </text>
    </comment>
    <comment ref="BB152" authorId="10">
      <text>
        <r>
          <rPr>
            <b/>
            <sz val="9"/>
            <color indexed="81"/>
            <rFont val="Tahoma"/>
            <family val="2"/>
          </rPr>
          <t>McDermott, Devin (Research):</t>
        </r>
        <r>
          <rPr>
            <sz val="9"/>
            <color indexed="81"/>
            <rFont val="Tahoma"/>
            <family val="2"/>
          </rPr>
          <t xml:space="preserve">
$850m guidance</t>
        </r>
      </text>
    </comment>
    <comment ref="BG152" authorId="10">
      <text>
        <r>
          <rPr>
            <b/>
            <sz val="9"/>
            <color indexed="81"/>
            <rFont val="Tahoma"/>
            <family val="2"/>
          </rPr>
          <t>McDermott, Devin (Research):</t>
        </r>
        <r>
          <rPr>
            <sz val="9"/>
            <color indexed="81"/>
            <rFont val="Tahoma"/>
            <family val="2"/>
          </rPr>
          <t xml:space="preserve">
$450m guidance for PHI, no guidance for legacy EXC, so we assume an incremental $200m. $650m total</t>
        </r>
      </text>
    </comment>
    <comment ref="DJ166" authorId="11">
      <text>
        <r>
          <rPr>
            <sz val="9"/>
            <color indexed="81"/>
            <rFont val="Tahoma"/>
            <family val="2"/>
          </rPr>
          <t>$1150m: Common stock issued from treasury stock
$43m: Proceeds from employee stock plans</t>
        </r>
      </text>
    </comment>
    <comment ref="DK166" authorId="8">
      <text>
        <r>
          <rPr>
            <sz val="9"/>
            <color indexed="81"/>
            <rFont val="Tahoma"/>
            <family val="2"/>
          </rPr>
          <t>$1150m: Common stock issued from treasury stock
$61m: Proceeds from employee stock plans</t>
        </r>
      </text>
    </comment>
    <comment ref="CV168" authorId="2">
      <text>
        <r>
          <rPr>
            <sz val="9"/>
            <color indexed="81"/>
            <rFont val="Tahoma"/>
            <family val="2"/>
          </rPr>
          <t xml:space="preserve">$415m : Distributions to noncontrolling interest of consolidated VIE
</t>
        </r>
      </text>
    </comment>
    <comment ref="CX168" authorId="2">
      <text>
        <r>
          <rPr>
            <sz val="9"/>
            <color indexed="81"/>
            <rFont val="Tahoma"/>
            <family val="2"/>
          </rPr>
          <t xml:space="preserve">$421m : Distributions to noncontrolling interest of consolidated VIE
</t>
        </r>
      </text>
    </comment>
    <comment ref="DF168" authorId="6">
      <text>
        <r>
          <rPr>
            <sz val="9"/>
            <color indexed="81"/>
            <rFont val="Tahoma"/>
            <family val="2"/>
          </rPr>
          <t>$190m: Redemption of preference stock
$30m : Restricted proceeds from issuance of long-term debt</t>
        </r>
      </text>
    </comment>
    <comment ref="DH168" authorId="6">
      <text>
        <r>
          <rPr>
            <sz val="9"/>
            <color indexed="81"/>
            <rFont val="Tahoma"/>
            <family val="2"/>
          </rPr>
          <t xml:space="preserve">$190m: Redemption of preference stock
$372m : Sale of noncontrolling interests
$85m: Other financing activities
</t>
        </r>
      </text>
    </comment>
    <comment ref="DK168" authorId="8">
      <text>
        <r>
          <rPr>
            <sz val="9"/>
            <color indexed="81"/>
            <rFont val="Tahoma"/>
            <family val="2"/>
          </rPr>
          <t>$396m: Sale of noncontrolling interest
$64m : Other financing activities</t>
        </r>
      </text>
    </comment>
  </commentList>
</comments>
</file>

<file path=xl/comments5.xml><?xml version="1.0" encoding="utf-8"?>
<comments xmlns="http://schemas.openxmlformats.org/spreadsheetml/2006/main">
  <authors>
    <author>rajeevl</author>
    <author>sunilt</author>
    <author>Tammannavar, Sunil (Research)</author>
    <author>Mendiratta, Divya (Research)</author>
    <author>McDermott, Devin (Research)</author>
    <author>ancsan</author>
    <author>$</author>
    <author>Kapoor, Vishal (Research)</author>
    <author>Dixit, Siddharth (Research)</author>
    <author>Ananth, Manoj (Research)</author>
    <author>Tabatabai, Arman (Research)</author>
    <author>Kobus, Jim (Research)</author>
    <author>MD</author>
    <author>ramrama</author>
    <author>Michael Dandurand</author>
  </authors>
  <commentList>
    <comment ref="C12" authorId="0">
      <text>
        <r>
          <rPr>
            <b/>
            <sz val="8"/>
            <color indexed="81"/>
            <rFont val="Tahoma"/>
            <family val="2"/>
          </rPr>
          <t>rajeevl:</t>
        </r>
        <r>
          <rPr>
            <sz val="8"/>
            <color indexed="81"/>
            <rFont val="Tahoma"/>
            <family val="2"/>
          </rPr>
          <t xml:space="preserve">
we add CENG O&amp;M b/c we include the margin impact above</t>
        </r>
      </text>
    </comment>
    <comment ref="C13" authorId="0">
      <text>
        <r>
          <rPr>
            <b/>
            <sz val="8"/>
            <color indexed="81"/>
            <rFont val="Tahoma"/>
            <family val="2"/>
          </rPr>
          <t>rajeevl:</t>
        </r>
        <r>
          <rPr>
            <sz val="8"/>
            <color indexed="81"/>
            <rFont val="Tahoma"/>
            <family val="2"/>
          </rPr>
          <t xml:space="preserve">
we add CENG D&amp;A b/c we include the margin impact above</t>
        </r>
      </text>
    </comment>
    <comment ref="C17" authorId="0">
      <text>
        <r>
          <rPr>
            <b/>
            <sz val="8"/>
            <color indexed="81"/>
            <rFont val="Tahoma"/>
            <family val="2"/>
          </rPr>
          <t>rajeevl:</t>
        </r>
        <r>
          <rPr>
            <sz val="8"/>
            <color indexed="81"/>
            <rFont val="Tahoma"/>
            <family val="2"/>
          </rPr>
          <t xml:space="preserve">
to be consistent with hedging disclosures we do not model equity income separately. We adjust O&amp;M, D&amp;A, and Taxes Other Than Income</t>
        </r>
      </text>
    </comment>
    <comment ref="AE21" authorId="1">
      <text>
        <r>
          <rPr>
            <sz val="8"/>
            <color indexed="81"/>
            <rFont val="Tahoma"/>
            <family val="2"/>
          </rPr>
          <t xml:space="preserve">$261m : Gain on consolidation of CENG
</t>
        </r>
        <r>
          <rPr>
            <sz val="8"/>
            <color indexed="81"/>
            <rFont val="Tahoma"/>
            <family val="2"/>
          </rPr>
          <t xml:space="preserve">
</t>
        </r>
      </text>
    </comment>
    <comment ref="AH21" authorId="2">
      <text>
        <r>
          <rPr>
            <sz val="9"/>
            <color indexed="81"/>
            <rFont val="Tahoma"/>
            <family val="2"/>
          </rPr>
          <t xml:space="preserve">$437m : Gain (loss) on sales of assets
$289m : Gain on consolidation and acquisition of businesses
</t>
        </r>
      </text>
    </comment>
    <comment ref="AW21" authorId="3">
      <text>
        <r>
          <rPr>
            <sz val="9"/>
            <color indexed="81"/>
            <rFont val="Tahoma"/>
            <family val="2"/>
          </rPr>
          <t>Includes:
Bargain purchase gain: $233mn
Gain on deconsolidation of business: $213mn</t>
        </r>
      </text>
    </comment>
    <comment ref="BB21" authorId="4">
      <text>
        <r>
          <rPr>
            <b/>
            <sz val="9"/>
            <color indexed="81"/>
            <rFont val="Tahoma"/>
            <family val="2"/>
          </rPr>
          <t>McDermott, Devin (Research):</t>
        </r>
        <r>
          <rPr>
            <sz val="9"/>
            <color indexed="81"/>
            <rFont val="Tahoma"/>
            <family val="2"/>
          </rPr>
          <t xml:space="preserve">
other revenue as per guidance</t>
        </r>
      </text>
    </comment>
    <comment ref="BG21" authorId="4">
      <text>
        <r>
          <rPr>
            <b/>
            <sz val="9"/>
            <color indexed="81"/>
            <rFont val="Tahoma"/>
            <family val="2"/>
          </rPr>
          <t>McDermott, Devin (Research):</t>
        </r>
        <r>
          <rPr>
            <sz val="9"/>
            <color indexed="81"/>
            <rFont val="Tahoma"/>
            <family val="2"/>
          </rPr>
          <t xml:space="preserve">
other revenue as per guidance</t>
        </r>
      </text>
    </comment>
    <comment ref="T36" authorId="0">
      <text>
        <r>
          <rPr>
            <b/>
            <sz val="8"/>
            <color indexed="81"/>
            <rFont val="Tahoma"/>
            <family val="2"/>
          </rPr>
          <t>rajeevl:</t>
        </r>
        <r>
          <rPr>
            <sz val="8"/>
            <color indexed="81"/>
            <rFont val="Tahoma"/>
            <family val="2"/>
          </rPr>
          <t xml:space="preserve">
we back out NDT realized gain which is in mgmt's guidance of ~$80mil A/T</t>
        </r>
      </text>
    </comment>
    <comment ref="V36" authorId="5">
      <text>
        <r>
          <rPr>
            <sz val="8"/>
            <color indexed="81"/>
            <rFont val="Tahoma"/>
            <family val="2"/>
          </rPr>
          <t>Source : 8K of 3Q12</t>
        </r>
      </text>
    </comment>
    <comment ref="X36" authorId="5">
      <text>
        <r>
          <rPr>
            <sz val="8"/>
            <color indexed="81"/>
            <rFont val="Tahoma"/>
            <family val="2"/>
          </rPr>
          <t>Source : 8K of 4Q12</t>
        </r>
      </text>
    </comment>
    <comment ref="Y36" authorId="5">
      <text>
        <r>
          <rPr>
            <sz val="8"/>
            <color indexed="81"/>
            <rFont val="Tahoma"/>
            <family val="2"/>
          </rPr>
          <t>Source : 8K of 1Q13</t>
        </r>
      </text>
    </comment>
    <comment ref="Z36" authorId="5">
      <text>
        <r>
          <rPr>
            <sz val="8"/>
            <color indexed="81"/>
            <rFont val="Tahoma"/>
            <family val="2"/>
          </rPr>
          <t>Source : 8K of 2Q13</t>
        </r>
      </text>
    </comment>
    <comment ref="AA36" authorId="5">
      <text>
        <r>
          <rPr>
            <sz val="8"/>
            <color indexed="81"/>
            <rFont val="Tahoma"/>
            <family val="2"/>
          </rPr>
          <t>Source : 8K of 3Q13</t>
        </r>
      </text>
    </comment>
    <comment ref="AC36" authorId="5">
      <text>
        <r>
          <rPr>
            <sz val="8"/>
            <color indexed="81"/>
            <rFont val="Tahoma"/>
            <family val="2"/>
          </rPr>
          <t>Source : 8K of 4Q13</t>
        </r>
      </text>
    </comment>
    <comment ref="AD36" authorId="1">
      <text>
        <r>
          <rPr>
            <sz val="8"/>
            <color indexed="81"/>
            <rFont val="Tahoma"/>
            <family val="2"/>
          </rPr>
          <t>Source : 8K of 1Q14</t>
        </r>
        <r>
          <rPr>
            <sz val="8"/>
            <color indexed="81"/>
            <rFont val="Tahoma"/>
            <family val="2"/>
          </rPr>
          <t xml:space="preserve">
</t>
        </r>
      </text>
    </comment>
    <comment ref="AE36" authorId="1">
      <text>
        <r>
          <rPr>
            <sz val="8"/>
            <color indexed="81"/>
            <rFont val="Tahoma"/>
            <family val="2"/>
          </rPr>
          <t>Source : 8K of 2Q14</t>
        </r>
        <r>
          <rPr>
            <sz val="8"/>
            <color indexed="81"/>
            <rFont val="Tahoma"/>
            <family val="2"/>
          </rPr>
          <t xml:space="preserve">
</t>
        </r>
      </text>
    </comment>
    <comment ref="AF36" authorId="5">
      <text>
        <r>
          <rPr>
            <sz val="8"/>
            <color indexed="81"/>
            <rFont val="Tahoma"/>
            <family val="2"/>
          </rPr>
          <t>Source : 8K of 3Q14</t>
        </r>
      </text>
    </comment>
    <comment ref="AH36" authorId="5">
      <text>
        <r>
          <rPr>
            <sz val="8"/>
            <color indexed="81"/>
            <rFont val="Tahoma"/>
            <family val="2"/>
          </rPr>
          <t>Source : 8K of 4Q14</t>
        </r>
      </text>
    </comment>
    <comment ref="AI36" authorId="6">
      <text>
        <r>
          <rPr>
            <sz val="9"/>
            <color indexed="81"/>
            <rFont val="Tahoma"/>
            <family val="2"/>
          </rPr>
          <t>Source: 8K 1Q15 dated 04/29/15</t>
        </r>
      </text>
    </comment>
    <comment ref="AJ36" authorId="6">
      <text>
        <r>
          <rPr>
            <sz val="9"/>
            <color indexed="81"/>
            <rFont val="Tahoma"/>
            <family val="2"/>
          </rPr>
          <t>Source: 8K 2Q15 dated 07/29/15</t>
        </r>
      </text>
    </comment>
    <comment ref="AK36" authorId="6">
      <text>
        <r>
          <rPr>
            <sz val="9"/>
            <color indexed="81"/>
            <rFont val="Tahoma"/>
            <family val="2"/>
          </rPr>
          <t>Source: 8K 3Q15 dated 10/30/15</t>
        </r>
      </text>
    </comment>
    <comment ref="AM36" authorId="6">
      <text>
        <r>
          <rPr>
            <sz val="9"/>
            <color indexed="81"/>
            <rFont val="Tahoma"/>
            <family val="2"/>
          </rPr>
          <t>Source: 8K 4Q15 dated 02/3/16</t>
        </r>
      </text>
    </comment>
    <comment ref="AN36" authorId="6">
      <text>
        <r>
          <rPr>
            <sz val="9"/>
            <color indexed="81"/>
            <rFont val="Tahoma"/>
            <family val="2"/>
          </rPr>
          <t>Source: 8K 1Q16 dated 05/06/16</t>
        </r>
      </text>
    </comment>
    <comment ref="AO36" authorId="6">
      <text>
        <r>
          <rPr>
            <sz val="9"/>
            <color indexed="81"/>
            <rFont val="Tahoma"/>
            <family val="2"/>
          </rPr>
          <t>Source: 8K 1Q16 dated 05/06/16</t>
        </r>
      </text>
    </comment>
    <comment ref="AP36" authorId="6">
      <text>
        <r>
          <rPr>
            <sz val="9"/>
            <color indexed="81"/>
            <rFont val="Tahoma"/>
            <family val="2"/>
          </rPr>
          <t>Source: 8K 3Q16 dated 10/26/16</t>
        </r>
      </text>
    </comment>
    <comment ref="AR36" authorId="7">
      <text>
        <r>
          <rPr>
            <sz val="9"/>
            <color indexed="81"/>
            <rFont val="Tahoma"/>
            <family val="2"/>
          </rPr>
          <t>Source: 8K 4Q16 dated 02/08/17</t>
        </r>
      </text>
    </comment>
    <comment ref="AS36" authorId="8">
      <text>
        <r>
          <rPr>
            <sz val="9"/>
            <color indexed="81"/>
            <rFont val="Tahoma"/>
            <family val="2"/>
          </rPr>
          <t xml:space="preserve">Source: 8K 1Q17 dated 05/03/17
</t>
        </r>
      </text>
    </comment>
    <comment ref="AT36" authorId="6">
      <text>
        <r>
          <rPr>
            <sz val="9"/>
            <color indexed="81"/>
            <rFont val="Tahoma"/>
            <family val="2"/>
          </rPr>
          <t>Source: 8K 2Q17 dated 08/02/17</t>
        </r>
      </text>
    </comment>
    <comment ref="AU36" authorId="9">
      <text>
        <r>
          <rPr>
            <sz val="9"/>
            <color indexed="81"/>
            <rFont val="Tahoma"/>
            <family val="2"/>
          </rPr>
          <t>Source: 8K 3Q17 dated 11/02/17</t>
        </r>
      </text>
    </comment>
    <comment ref="AW36" authorId="3">
      <text>
        <r>
          <rPr>
            <sz val="9"/>
            <color indexed="81"/>
            <rFont val="Tahoma"/>
            <family val="2"/>
          </rPr>
          <t xml:space="preserve">Source: 8k 4Q17
</t>
        </r>
      </text>
    </comment>
    <comment ref="C52" authorId="4">
      <text>
        <r>
          <rPr>
            <b/>
            <sz val="9"/>
            <color indexed="81"/>
            <rFont val="Tahoma"/>
            <family val="2"/>
          </rPr>
          <t>McDermott, Devin (Research):</t>
        </r>
        <r>
          <rPr>
            <sz val="9"/>
            <color indexed="81"/>
            <rFont val="Tahoma"/>
            <family val="2"/>
          </rPr>
          <t xml:space="preserve">
we adjust heat rates for PJM on the Price Deck tab, so we remove the gas/heat rate adjustment for PJM to avoid double counting</t>
        </r>
      </text>
    </comment>
    <comment ref="AJ85" authorId="4">
      <text>
        <r>
          <rPr>
            <b/>
            <sz val="9"/>
            <color indexed="81"/>
            <rFont val="Tahoma"/>
            <family val="2"/>
          </rPr>
          <t>McDermott, Devin (Research):</t>
        </r>
        <r>
          <rPr>
            <sz val="9"/>
            <color indexed="81"/>
            <rFont val="Tahoma"/>
            <family val="2"/>
          </rPr>
          <t xml:space="preserve">
DA price instead of RT due to large spreads</t>
        </r>
      </text>
    </comment>
    <comment ref="I144" authorId="4">
      <text>
        <r>
          <rPr>
            <b/>
            <sz val="9"/>
            <color indexed="81"/>
            <rFont val="Tahoma"/>
            <family val="2"/>
          </rPr>
          <t>McDermott, Devin (Research):</t>
        </r>
        <r>
          <rPr>
            <sz val="9"/>
            <color indexed="81"/>
            <rFont val="Tahoma"/>
            <family val="2"/>
          </rPr>
          <t xml:space="preserve">
PRB Coal 70% marginal, gas 30%.
</t>
        </r>
      </text>
    </comment>
    <comment ref="BY153" authorId="10">
      <text>
        <r>
          <rPr>
            <b/>
            <sz val="9"/>
            <color indexed="81"/>
            <rFont val="Tahoma"/>
            <family val="2"/>
          </rPr>
          <t>Tabatabai, Arman (Research):</t>
        </r>
        <r>
          <rPr>
            <sz val="9"/>
            <color indexed="81"/>
            <rFont val="Tahoma"/>
            <family val="2"/>
          </rPr>
          <t xml:space="preserve">
Includes CES and FitzPatrick Gross Margin</t>
        </r>
      </text>
    </comment>
    <comment ref="BZ153" authorId="10">
      <text>
        <r>
          <rPr>
            <b/>
            <sz val="9"/>
            <color indexed="81"/>
            <rFont val="Tahoma"/>
            <family val="2"/>
          </rPr>
          <t>Tabatabai, Arman (Research):</t>
        </r>
        <r>
          <rPr>
            <sz val="9"/>
            <color indexed="81"/>
            <rFont val="Tahoma"/>
            <family val="2"/>
          </rPr>
          <t xml:space="preserve">
Includes CES and FitzPatrick Gross Margin</t>
        </r>
      </text>
    </comment>
    <comment ref="CA153" authorId="10">
      <text>
        <r>
          <rPr>
            <b/>
            <sz val="9"/>
            <color indexed="81"/>
            <rFont val="Tahoma"/>
            <family val="2"/>
          </rPr>
          <t>Tabatabai, Arman (Research):</t>
        </r>
        <r>
          <rPr>
            <sz val="9"/>
            <color indexed="81"/>
            <rFont val="Tahoma"/>
            <family val="2"/>
          </rPr>
          <t xml:space="preserve">
Includes CES and FitzPatrick Gross Margin</t>
        </r>
      </text>
    </comment>
    <comment ref="BX164" authorId="4">
      <text>
        <r>
          <rPr>
            <b/>
            <sz val="9"/>
            <color indexed="81"/>
            <rFont val="Tahoma"/>
            <family val="2"/>
          </rPr>
          <t>McDermott, Devin (Research):</t>
        </r>
        <r>
          <rPr>
            <sz val="9"/>
            <color indexed="81"/>
            <rFont val="Tahoma"/>
            <family val="2"/>
          </rPr>
          <t xml:space="preserve">
We factor in asset sales</t>
        </r>
      </text>
    </comment>
    <comment ref="BY164" authorId="4">
      <text>
        <r>
          <rPr>
            <b/>
            <sz val="9"/>
            <color indexed="81"/>
            <rFont val="Tahoma"/>
            <family val="2"/>
          </rPr>
          <t>McDermott, Devin (Research):</t>
        </r>
        <r>
          <rPr>
            <sz val="9"/>
            <color indexed="81"/>
            <rFont val="Tahoma"/>
            <family val="2"/>
          </rPr>
          <t xml:space="preserve">
We factor in asset sales</t>
        </r>
      </text>
    </comment>
    <comment ref="BZ164" authorId="4">
      <text>
        <r>
          <rPr>
            <b/>
            <sz val="9"/>
            <color indexed="81"/>
            <rFont val="Tahoma"/>
            <family val="2"/>
          </rPr>
          <t>McDermott, Devin (Research):</t>
        </r>
        <r>
          <rPr>
            <sz val="9"/>
            <color indexed="81"/>
            <rFont val="Tahoma"/>
            <family val="2"/>
          </rPr>
          <t xml:space="preserve">
We factor in asset sales</t>
        </r>
      </text>
    </comment>
    <comment ref="BY170" authorId="4">
      <text>
        <r>
          <rPr>
            <b/>
            <sz val="9"/>
            <color indexed="81"/>
            <rFont val="Tahoma"/>
            <family val="2"/>
          </rPr>
          <t>McDermott, Devin (Research):</t>
        </r>
        <r>
          <rPr>
            <sz val="9"/>
            <color indexed="81"/>
            <rFont val="Tahoma"/>
            <family val="2"/>
          </rPr>
          <t xml:space="preserve">
includes FitzPatrick</t>
        </r>
      </text>
    </comment>
    <comment ref="BZ170" authorId="4">
      <text>
        <r>
          <rPr>
            <b/>
            <sz val="9"/>
            <color indexed="81"/>
            <rFont val="Tahoma"/>
            <family val="2"/>
          </rPr>
          <t>McDermott, Devin (Research):</t>
        </r>
        <r>
          <rPr>
            <sz val="9"/>
            <color indexed="81"/>
            <rFont val="Tahoma"/>
            <family val="2"/>
          </rPr>
          <t xml:space="preserve">
includes FitzPatrick</t>
        </r>
      </text>
    </comment>
    <comment ref="CA170" authorId="4">
      <text>
        <r>
          <rPr>
            <b/>
            <sz val="9"/>
            <color indexed="81"/>
            <rFont val="Tahoma"/>
            <family val="2"/>
          </rPr>
          <t>McDermott, Devin (Research):</t>
        </r>
        <r>
          <rPr>
            <sz val="9"/>
            <color indexed="81"/>
            <rFont val="Tahoma"/>
            <family val="2"/>
          </rPr>
          <t xml:space="preserve">
includes FitzPatrick</t>
        </r>
      </text>
    </comment>
    <comment ref="BX173" authorId="11">
      <text>
        <r>
          <rPr>
            <b/>
            <sz val="9"/>
            <color indexed="81"/>
            <rFont val="Tahoma"/>
            <family val="2"/>
          </rPr>
          <t>Tabatabai, Arman (Research):</t>
        </r>
        <r>
          <rPr>
            <sz val="9"/>
            <color indexed="81"/>
            <rFont val="Tahoma"/>
            <family val="2"/>
          </rPr>
          <t xml:space="preserve">
per EEI 2016 Slides, slide 27</t>
        </r>
      </text>
    </comment>
    <comment ref="BY173" authorId="11">
      <text>
        <r>
          <rPr>
            <b/>
            <sz val="9"/>
            <color indexed="81"/>
            <rFont val="Tahoma"/>
            <family val="2"/>
          </rPr>
          <t>Tabatabai, Arman (Research):</t>
        </r>
        <r>
          <rPr>
            <sz val="9"/>
            <color indexed="81"/>
            <rFont val="Tahoma"/>
            <family val="2"/>
          </rPr>
          <t xml:space="preserve">
EEI 2017 Presentation,slide  slide 40</t>
        </r>
      </text>
    </comment>
    <comment ref="BZ173" authorId="11">
      <text>
        <r>
          <rPr>
            <b/>
            <sz val="9"/>
            <color indexed="81"/>
            <rFont val="Tahoma"/>
            <family val="2"/>
          </rPr>
          <t>Tabatabai, Arman (Research):</t>
        </r>
        <r>
          <rPr>
            <sz val="9"/>
            <color indexed="81"/>
            <rFont val="Tahoma"/>
            <family val="2"/>
          </rPr>
          <t xml:space="preserve">
EEI 2017 Presentation,slide  slide 40</t>
        </r>
      </text>
    </comment>
    <comment ref="CA173" authorId="11">
      <text>
        <r>
          <rPr>
            <b/>
            <sz val="9"/>
            <color indexed="81"/>
            <rFont val="Tahoma"/>
            <family val="2"/>
          </rPr>
          <t>Tabatabai, Arman (Research):</t>
        </r>
        <r>
          <rPr>
            <sz val="9"/>
            <color indexed="81"/>
            <rFont val="Tahoma"/>
            <family val="2"/>
          </rPr>
          <t xml:space="preserve">
EEI 2017 Presentation,slide  slide 40</t>
        </r>
      </text>
    </comment>
    <comment ref="BX174" authorId="11">
      <text>
        <r>
          <rPr>
            <b/>
            <sz val="9"/>
            <color indexed="81"/>
            <rFont val="Tahoma"/>
            <family val="2"/>
          </rPr>
          <t>Tabatabai, Arman (Research):</t>
        </r>
        <r>
          <rPr>
            <sz val="9"/>
            <color indexed="81"/>
            <rFont val="Tahoma"/>
            <family val="2"/>
          </rPr>
          <t xml:space="preserve">
per EEI 2016 Slides, slide 27</t>
        </r>
      </text>
    </comment>
    <comment ref="BY174" authorId="11">
      <text>
        <r>
          <rPr>
            <b/>
            <sz val="9"/>
            <color indexed="81"/>
            <rFont val="Tahoma"/>
            <family val="2"/>
          </rPr>
          <t>Tabatabai, Arman (Research):</t>
        </r>
        <r>
          <rPr>
            <sz val="9"/>
            <color indexed="81"/>
            <rFont val="Tahoma"/>
            <family val="2"/>
          </rPr>
          <t xml:space="preserve">
EEI 2017 Presentation,slide  slide 40</t>
        </r>
      </text>
    </comment>
    <comment ref="BZ174" authorId="11">
      <text>
        <r>
          <rPr>
            <b/>
            <sz val="9"/>
            <color indexed="81"/>
            <rFont val="Tahoma"/>
            <family val="2"/>
          </rPr>
          <t>Tabatabai, Arman (Research):</t>
        </r>
        <r>
          <rPr>
            <sz val="9"/>
            <color indexed="81"/>
            <rFont val="Tahoma"/>
            <family val="2"/>
          </rPr>
          <t xml:space="preserve">
EEI 2017 Presentation,slide  slide 40</t>
        </r>
      </text>
    </comment>
    <comment ref="CA174" authorId="11">
      <text>
        <r>
          <rPr>
            <b/>
            <sz val="9"/>
            <color indexed="81"/>
            <rFont val="Tahoma"/>
            <family val="2"/>
          </rPr>
          <t>Tabatabai, Arman (Research):</t>
        </r>
        <r>
          <rPr>
            <sz val="9"/>
            <color indexed="81"/>
            <rFont val="Tahoma"/>
            <family val="2"/>
          </rPr>
          <t xml:space="preserve">
EEI 2017 Presentation,slide  slide 40</t>
        </r>
      </text>
    </comment>
    <comment ref="AR238" authorId="10">
      <text>
        <r>
          <rPr>
            <b/>
            <sz val="9"/>
            <color indexed="81"/>
            <rFont val="Tahoma"/>
            <family val="2"/>
          </rPr>
          <t>Tabatabai, Arman (Research):</t>
        </r>
        <r>
          <rPr>
            <sz val="9"/>
            <color indexed="81"/>
            <rFont val="Tahoma"/>
            <family val="2"/>
          </rPr>
          <t xml:space="preserve">
2016 EEI Slide Deck, slide 28</t>
        </r>
      </text>
    </comment>
    <comment ref="AW238" authorId="10">
      <text>
        <r>
          <rPr>
            <b/>
            <sz val="9"/>
            <color indexed="81"/>
            <rFont val="Tahoma"/>
            <family val="2"/>
          </rPr>
          <t>Tabatabai, Arman (Research):</t>
        </r>
        <r>
          <rPr>
            <sz val="9"/>
            <color indexed="81"/>
            <rFont val="Tahoma"/>
            <family val="2"/>
          </rPr>
          <t xml:space="preserve">
4Q16 Slide Deck, slide 46</t>
        </r>
      </text>
    </comment>
    <comment ref="BB238" authorId="10">
      <text>
        <r>
          <rPr>
            <b/>
            <sz val="9"/>
            <color indexed="81"/>
            <rFont val="Tahoma"/>
            <family val="2"/>
          </rPr>
          <t>Tabatabai, Arman (Research):</t>
        </r>
        <r>
          <rPr>
            <sz val="9"/>
            <color indexed="81"/>
            <rFont val="Tahoma"/>
            <family val="2"/>
          </rPr>
          <t xml:space="preserve">
4Q16 Slide Deck, slide 46</t>
        </r>
      </text>
    </comment>
    <comment ref="BG238" authorId="10">
      <text>
        <r>
          <rPr>
            <b/>
            <sz val="9"/>
            <color indexed="81"/>
            <rFont val="Tahoma"/>
            <family val="2"/>
          </rPr>
          <t>Tabatabai, Arman (Research):</t>
        </r>
        <r>
          <rPr>
            <sz val="9"/>
            <color indexed="81"/>
            <rFont val="Tahoma"/>
            <family val="2"/>
          </rPr>
          <t xml:space="preserve">
4Q16 Slide Deck, slide 46</t>
        </r>
      </text>
    </comment>
    <comment ref="BL238" authorId="4">
      <text>
        <r>
          <rPr>
            <b/>
            <sz val="9"/>
            <color indexed="81"/>
            <rFont val="Tahoma"/>
            <family val="2"/>
          </rPr>
          <t>McDermott, Devin (Research):</t>
        </r>
        <r>
          <rPr>
            <sz val="9"/>
            <color indexed="81"/>
            <rFont val="Tahoma"/>
            <family val="2"/>
          </rPr>
          <t xml:space="preserve">
assumed - not yet disclosed</t>
        </r>
      </text>
    </comment>
    <comment ref="BL239" authorId="4">
      <text>
        <r>
          <rPr>
            <b/>
            <sz val="9"/>
            <color indexed="81"/>
            <rFont val="Tahoma"/>
            <family val="2"/>
          </rPr>
          <t>McDermott, Devin (Research):</t>
        </r>
        <r>
          <rPr>
            <sz val="9"/>
            <color indexed="81"/>
            <rFont val="Tahoma"/>
            <family val="2"/>
          </rPr>
          <t xml:space="preserve">
assumed - not yet disclosed</t>
        </r>
      </text>
    </comment>
    <comment ref="BL240" authorId="4">
      <text>
        <r>
          <rPr>
            <b/>
            <sz val="9"/>
            <color indexed="81"/>
            <rFont val="Tahoma"/>
            <family val="2"/>
          </rPr>
          <t>McDermott, Devin (Research):</t>
        </r>
        <r>
          <rPr>
            <sz val="9"/>
            <color indexed="81"/>
            <rFont val="Tahoma"/>
            <family val="2"/>
          </rPr>
          <t xml:space="preserve">
assumed - not yet disclosed</t>
        </r>
      </text>
    </comment>
    <comment ref="BL241" authorId="4">
      <text>
        <r>
          <rPr>
            <b/>
            <sz val="9"/>
            <color indexed="81"/>
            <rFont val="Tahoma"/>
            <family val="2"/>
          </rPr>
          <t>McDermott, Devin (Research):</t>
        </r>
        <r>
          <rPr>
            <sz val="9"/>
            <color indexed="81"/>
            <rFont val="Tahoma"/>
            <family val="2"/>
          </rPr>
          <t xml:space="preserve">
assumed - not yet disclosed</t>
        </r>
      </text>
    </comment>
    <comment ref="BL242" authorId="4">
      <text>
        <r>
          <rPr>
            <b/>
            <sz val="9"/>
            <color indexed="81"/>
            <rFont val="Tahoma"/>
            <family val="2"/>
          </rPr>
          <t>McDermott, Devin (Research):</t>
        </r>
        <r>
          <rPr>
            <sz val="9"/>
            <color indexed="81"/>
            <rFont val="Tahoma"/>
            <family val="2"/>
          </rPr>
          <t xml:space="preserve">
assumed - not yet disclosed</t>
        </r>
      </text>
    </comment>
    <comment ref="BL243" authorId="4">
      <text>
        <r>
          <rPr>
            <b/>
            <sz val="9"/>
            <color indexed="81"/>
            <rFont val="Tahoma"/>
            <family val="2"/>
          </rPr>
          <t>McDermott, Devin (Research):</t>
        </r>
        <r>
          <rPr>
            <sz val="9"/>
            <color indexed="81"/>
            <rFont val="Tahoma"/>
            <family val="2"/>
          </rPr>
          <t xml:space="preserve">
assumed - not yet disclosed</t>
        </r>
      </text>
    </comment>
    <comment ref="BV269" authorId="0">
      <text>
        <r>
          <rPr>
            <b/>
            <sz val="8"/>
            <color indexed="81"/>
            <rFont val="Tahoma"/>
            <family val="2"/>
          </rPr>
          <t>rajeevl:</t>
        </r>
        <r>
          <rPr>
            <sz val="8"/>
            <color indexed="81"/>
            <rFont val="Tahoma"/>
            <family val="2"/>
          </rPr>
          <t xml:space="preserve">
we exclude the more costly EPU (except peach bottom), but include the more profitable MUR/Upgrades</t>
        </r>
      </text>
    </comment>
    <comment ref="CA271" authorId="0">
      <text>
        <r>
          <rPr>
            <b/>
            <sz val="8"/>
            <color indexed="81"/>
            <rFont val="Tahoma"/>
            <family val="2"/>
          </rPr>
          <t>rajeevl:</t>
        </r>
        <r>
          <rPr>
            <sz val="8"/>
            <color indexed="81"/>
            <rFont val="Tahoma"/>
            <family val="2"/>
          </rPr>
          <t xml:space="preserve">
assumes a deferral</t>
        </r>
      </text>
    </comment>
    <comment ref="AH273" authorId="12">
      <text>
        <r>
          <rPr>
            <b/>
            <sz val="9"/>
            <color indexed="81"/>
            <rFont val="Tahoma"/>
            <family val="2"/>
          </rPr>
          <t>MD:</t>
        </r>
        <r>
          <rPr>
            <sz val="9"/>
            <color indexed="81"/>
            <rFont val="Tahoma"/>
            <family val="2"/>
          </rPr>
          <t xml:space="preserve">
$1/mwh fuel adjustment for suspension of DOE fees</t>
        </r>
      </text>
    </comment>
    <comment ref="AW273" authorId="4">
      <text>
        <r>
          <rPr>
            <b/>
            <sz val="9"/>
            <color indexed="81"/>
            <rFont val="Tahoma"/>
            <family val="2"/>
          </rPr>
          <t>McDermott, Devin (Research):</t>
        </r>
        <r>
          <rPr>
            <sz val="9"/>
            <color indexed="81"/>
            <rFont val="Tahoma"/>
            <family val="2"/>
          </rPr>
          <t xml:space="preserve">
100% hedged though 2020, with declining forecasted nuclear fuel capex. </t>
        </r>
      </text>
    </comment>
    <comment ref="BB273" authorId="4">
      <text>
        <r>
          <rPr>
            <b/>
            <sz val="9"/>
            <color indexed="81"/>
            <rFont val="Tahoma"/>
            <family val="2"/>
          </rPr>
          <t>McDermott, Devin (Research):</t>
        </r>
        <r>
          <rPr>
            <sz val="9"/>
            <color indexed="81"/>
            <rFont val="Tahoma"/>
            <family val="2"/>
          </rPr>
          <t xml:space="preserve">
100% hedged though 2020, with declining forecasted nuclear fuel capex. </t>
        </r>
      </text>
    </comment>
    <comment ref="BG273" authorId="4">
      <text>
        <r>
          <rPr>
            <b/>
            <sz val="9"/>
            <color indexed="81"/>
            <rFont val="Tahoma"/>
            <family val="2"/>
          </rPr>
          <t>McDermott, Devin (Research):</t>
        </r>
        <r>
          <rPr>
            <sz val="9"/>
            <color indexed="81"/>
            <rFont val="Tahoma"/>
            <family val="2"/>
          </rPr>
          <t xml:space="preserve">
100% hedged though 2020, with declining forecasted nuclear fuel capex. </t>
        </r>
      </text>
    </comment>
    <comment ref="BL273" authorId="4">
      <text>
        <r>
          <rPr>
            <b/>
            <sz val="9"/>
            <color indexed="81"/>
            <rFont val="Tahoma"/>
            <family val="2"/>
          </rPr>
          <t>McDermott, Devin (Research):</t>
        </r>
        <r>
          <rPr>
            <sz val="9"/>
            <color indexed="81"/>
            <rFont val="Tahoma"/>
            <family val="2"/>
          </rPr>
          <t xml:space="preserve">
100% hedged though 2020, with declining forecasted nuclear fuel capex. </t>
        </r>
      </text>
    </comment>
    <comment ref="AI275" authorId="12">
      <text>
        <r>
          <rPr>
            <b/>
            <sz val="9"/>
            <color indexed="81"/>
            <rFont val="Tahoma"/>
            <family val="2"/>
          </rPr>
          <t>MD:</t>
        </r>
        <r>
          <rPr>
            <sz val="9"/>
            <color indexed="81"/>
            <rFont val="Tahoma"/>
            <family val="2"/>
          </rPr>
          <t xml:space="preserve">
65MW peach bottom uprate in 1Q15 and 1Q16 (2013 EEI deck)</t>
        </r>
      </text>
    </comment>
    <comment ref="AN275" authorId="12">
      <text>
        <r>
          <rPr>
            <b/>
            <sz val="9"/>
            <color indexed="81"/>
            <rFont val="Tahoma"/>
            <family val="2"/>
          </rPr>
          <t>MD:</t>
        </r>
        <r>
          <rPr>
            <sz val="9"/>
            <color indexed="81"/>
            <rFont val="Tahoma"/>
            <family val="2"/>
          </rPr>
          <t xml:space="preserve">
65MW peach bottom uprate in 1Q15 and 1Q16 (2013 EEI deck)</t>
        </r>
      </text>
    </comment>
    <comment ref="BA275" authorId="10">
      <text>
        <r>
          <rPr>
            <b/>
            <sz val="9"/>
            <color indexed="81"/>
            <rFont val="Tahoma"/>
            <family val="2"/>
          </rPr>
          <t>Tabatabai, Arman (Research):</t>
        </r>
        <r>
          <rPr>
            <sz val="9"/>
            <color indexed="81"/>
            <rFont val="Tahoma"/>
            <family val="2"/>
          </rPr>
          <t xml:space="preserve">
Oyster Creek retirement October 2018 </t>
        </r>
      </text>
    </comment>
    <comment ref="BF275" authorId="10">
      <text>
        <r>
          <rPr>
            <b/>
            <sz val="9"/>
            <color indexed="81"/>
            <rFont val="Tahoma"/>
            <family val="2"/>
          </rPr>
          <t>Tabatabai, Arman (Research):</t>
        </r>
        <r>
          <rPr>
            <sz val="9"/>
            <color indexed="81"/>
            <rFont val="Tahoma"/>
            <family val="2"/>
          </rPr>
          <t xml:space="preserve">
Three Mile Island retirement by 9/30/19</t>
        </r>
      </text>
    </comment>
    <comment ref="I285" authorId="0">
      <text>
        <r>
          <rPr>
            <b/>
            <sz val="8"/>
            <color indexed="81"/>
            <rFont val="Tahoma"/>
            <family val="2"/>
          </rPr>
          <t>rajeevl:</t>
        </r>
        <r>
          <rPr>
            <sz val="8"/>
            <color indexed="81"/>
            <rFont val="Tahoma"/>
            <family val="2"/>
          </rPr>
          <t xml:space="preserve">
per mgmt there is about 10% basis differential to consider in Illinois</t>
        </r>
      </text>
    </comment>
    <comment ref="N285" authorId="4">
      <text>
        <r>
          <rPr>
            <b/>
            <sz val="9"/>
            <color indexed="81"/>
            <rFont val="Tahoma"/>
            <family val="2"/>
          </rPr>
          <t>McDermott, Devin (Research):</t>
        </r>
        <r>
          <rPr>
            <sz val="9"/>
            <color indexed="81"/>
            <rFont val="Tahoma"/>
            <family val="2"/>
          </rPr>
          <t xml:space="preserve">
We assume basis improves slightly from coal and nuclear retirements in IL 2016-18.</t>
        </r>
      </text>
    </comment>
    <comment ref="AS290" authorId="10">
      <text>
        <r>
          <rPr>
            <b/>
            <sz val="9"/>
            <color indexed="81"/>
            <rFont val="Tahoma"/>
            <family val="2"/>
          </rPr>
          <t>Tabatabai, Arman (Research):</t>
        </r>
        <r>
          <rPr>
            <sz val="9"/>
            <color indexed="81"/>
            <rFont val="Tahoma"/>
            <family val="2"/>
          </rPr>
          <t xml:space="preserve">
in-line with midwest generation guidance</t>
        </r>
      </text>
    </comment>
    <comment ref="BH290" authorId="10">
      <text>
        <r>
          <rPr>
            <b/>
            <sz val="9"/>
            <color indexed="81"/>
            <rFont val="Tahoma"/>
            <family val="2"/>
          </rPr>
          <t>Tabatabai, Arman (Research):</t>
        </r>
        <r>
          <rPr>
            <sz val="9"/>
            <color indexed="81"/>
            <rFont val="Tahoma"/>
            <family val="2"/>
          </rPr>
          <t xml:space="preserve">
assumed outage</t>
        </r>
      </text>
    </comment>
    <comment ref="I298" authorId="0">
      <text>
        <r>
          <rPr>
            <b/>
            <sz val="8"/>
            <color indexed="81"/>
            <rFont val="Tahoma"/>
            <family val="2"/>
          </rPr>
          <t>rajeevl:</t>
        </r>
        <r>
          <rPr>
            <sz val="8"/>
            <color indexed="81"/>
            <rFont val="Tahoma"/>
            <family val="2"/>
          </rPr>
          <t xml:space="preserve">
per mgmt there is about 10% basis differential to consider in Illinois</t>
        </r>
      </text>
    </comment>
    <comment ref="AV298" authorId="10">
      <text>
        <r>
          <rPr>
            <b/>
            <sz val="9"/>
            <color indexed="81"/>
            <rFont val="Tahoma"/>
            <family val="2"/>
          </rPr>
          <t>Tabatabai, Arman (Research):</t>
        </r>
        <r>
          <rPr>
            <sz val="9"/>
            <color indexed="81"/>
            <rFont val="Tahoma"/>
            <family val="2"/>
          </rPr>
          <t xml:space="preserve">
3Q17 Earnings Release, delaying benefit of IL ZEC to January 2018 from december 2017</t>
        </r>
      </text>
    </comment>
    <comment ref="AW298" authorId="10">
      <text>
        <r>
          <rPr>
            <b/>
            <sz val="9"/>
            <color indexed="81"/>
            <rFont val="Tahoma"/>
            <family val="2"/>
          </rPr>
          <t>Tabatabai, Arman (Research):</t>
        </r>
        <r>
          <rPr>
            <sz val="9"/>
            <color indexed="81"/>
            <rFont val="Tahoma"/>
            <family val="2"/>
          </rPr>
          <t xml:space="preserve">
3Q17 Earnings Release, delaying benefit of IL ZEC to January 2018 from december 2017</t>
        </r>
      </text>
    </comment>
    <comment ref="AX298" authorId="10">
      <text>
        <r>
          <rPr>
            <b/>
            <sz val="9"/>
            <color indexed="81"/>
            <rFont val="Tahoma"/>
            <family val="2"/>
          </rPr>
          <t>Tabatabai, Arman (Research):</t>
        </r>
        <r>
          <rPr>
            <sz val="9"/>
            <color indexed="81"/>
            <rFont val="Tahoma"/>
            <family val="2"/>
          </rPr>
          <t xml:space="preserve">
IL ZEC </t>
        </r>
      </text>
    </comment>
    <comment ref="AY298" authorId="10">
      <text>
        <r>
          <rPr>
            <b/>
            <sz val="9"/>
            <color indexed="81"/>
            <rFont val="Tahoma"/>
            <family val="2"/>
          </rPr>
          <t>Tabatabai, Arman (Research):</t>
        </r>
        <r>
          <rPr>
            <sz val="9"/>
            <color indexed="81"/>
            <rFont val="Tahoma"/>
            <family val="2"/>
          </rPr>
          <t xml:space="preserve">
IL ZEC </t>
        </r>
      </text>
    </comment>
    <comment ref="AZ298" authorId="10">
      <text>
        <r>
          <rPr>
            <b/>
            <sz val="9"/>
            <color indexed="81"/>
            <rFont val="Tahoma"/>
            <family val="2"/>
          </rPr>
          <t>Tabatabai, Arman (Research):</t>
        </r>
        <r>
          <rPr>
            <sz val="9"/>
            <color indexed="81"/>
            <rFont val="Tahoma"/>
            <family val="2"/>
          </rPr>
          <t xml:space="preserve">
IL ZEC </t>
        </r>
      </text>
    </comment>
    <comment ref="BA298" authorId="10">
      <text>
        <r>
          <rPr>
            <b/>
            <sz val="9"/>
            <color indexed="81"/>
            <rFont val="Tahoma"/>
            <family val="2"/>
          </rPr>
          <t>Tabatabai, Arman (Research):</t>
        </r>
        <r>
          <rPr>
            <sz val="9"/>
            <color indexed="81"/>
            <rFont val="Tahoma"/>
            <family val="2"/>
          </rPr>
          <t xml:space="preserve">
IL ZEC </t>
        </r>
      </text>
    </comment>
    <comment ref="BB298" authorId="10">
      <text>
        <r>
          <rPr>
            <b/>
            <sz val="9"/>
            <color indexed="81"/>
            <rFont val="Tahoma"/>
            <family val="2"/>
          </rPr>
          <t>Tabatabai, Arman (Research):</t>
        </r>
        <r>
          <rPr>
            <sz val="9"/>
            <color indexed="81"/>
            <rFont val="Tahoma"/>
            <family val="2"/>
          </rPr>
          <t xml:space="preserve">
IL ZEC </t>
        </r>
      </text>
    </comment>
    <comment ref="BC298" authorId="10">
      <text>
        <r>
          <rPr>
            <b/>
            <sz val="9"/>
            <color indexed="81"/>
            <rFont val="Tahoma"/>
            <family val="2"/>
          </rPr>
          <t>Tabatabai, Arman (Research):</t>
        </r>
        <r>
          <rPr>
            <sz val="9"/>
            <color indexed="81"/>
            <rFont val="Tahoma"/>
            <family val="2"/>
          </rPr>
          <t xml:space="preserve">
IL ZEC </t>
        </r>
      </text>
    </comment>
    <comment ref="BD298" authorId="10">
      <text>
        <r>
          <rPr>
            <b/>
            <sz val="9"/>
            <color indexed="81"/>
            <rFont val="Tahoma"/>
            <family val="2"/>
          </rPr>
          <t>Tabatabai, Arman (Research):</t>
        </r>
        <r>
          <rPr>
            <sz val="9"/>
            <color indexed="81"/>
            <rFont val="Tahoma"/>
            <family val="2"/>
          </rPr>
          <t xml:space="preserve">
IL ZEC </t>
        </r>
      </text>
    </comment>
    <comment ref="BE298" authorId="10">
      <text>
        <r>
          <rPr>
            <b/>
            <sz val="9"/>
            <color indexed="81"/>
            <rFont val="Tahoma"/>
            <family val="2"/>
          </rPr>
          <t>Tabatabai, Arman (Research):</t>
        </r>
        <r>
          <rPr>
            <sz val="9"/>
            <color indexed="81"/>
            <rFont val="Tahoma"/>
            <family val="2"/>
          </rPr>
          <t xml:space="preserve">
IL ZEC </t>
        </r>
      </text>
    </comment>
    <comment ref="BF298" authorId="10">
      <text>
        <r>
          <rPr>
            <b/>
            <sz val="9"/>
            <color indexed="81"/>
            <rFont val="Tahoma"/>
            <family val="2"/>
          </rPr>
          <t>Tabatabai, Arman (Research):</t>
        </r>
        <r>
          <rPr>
            <sz val="9"/>
            <color indexed="81"/>
            <rFont val="Tahoma"/>
            <family val="2"/>
          </rPr>
          <t xml:space="preserve">
IL ZEC </t>
        </r>
      </text>
    </comment>
    <comment ref="BG298" authorId="10">
      <text>
        <r>
          <rPr>
            <b/>
            <sz val="9"/>
            <color indexed="81"/>
            <rFont val="Tahoma"/>
            <family val="2"/>
          </rPr>
          <t>Tabatabai, Arman (Research):</t>
        </r>
        <r>
          <rPr>
            <sz val="9"/>
            <color indexed="81"/>
            <rFont val="Tahoma"/>
            <family val="2"/>
          </rPr>
          <t xml:space="preserve">
IL ZEC </t>
        </r>
      </text>
    </comment>
    <comment ref="BH298" authorId="10">
      <text>
        <r>
          <rPr>
            <b/>
            <sz val="9"/>
            <color indexed="81"/>
            <rFont val="Tahoma"/>
            <family val="2"/>
          </rPr>
          <t>Tabatabai, Arman (Research):</t>
        </r>
        <r>
          <rPr>
            <sz val="9"/>
            <color indexed="81"/>
            <rFont val="Tahoma"/>
            <family val="2"/>
          </rPr>
          <t xml:space="preserve">
IL ZEC </t>
        </r>
      </text>
    </comment>
    <comment ref="BI298" authorId="10">
      <text>
        <r>
          <rPr>
            <b/>
            <sz val="9"/>
            <color indexed="81"/>
            <rFont val="Tahoma"/>
            <family val="2"/>
          </rPr>
          <t>Tabatabai, Arman (Research):</t>
        </r>
        <r>
          <rPr>
            <sz val="9"/>
            <color indexed="81"/>
            <rFont val="Tahoma"/>
            <family val="2"/>
          </rPr>
          <t xml:space="preserve">
IL ZEC </t>
        </r>
      </text>
    </comment>
    <comment ref="BJ298" authorId="10">
      <text>
        <r>
          <rPr>
            <b/>
            <sz val="9"/>
            <color indexed="81"/>
            <rFont val="Tahoma"/>
            <family val="2"/>
          </rPr>
          <t>Tabatabai, Arman (Research):</t>
        </r>
        <r>
          <rPr>
            <sz val="9"/>
            <color indexed="81"/>
            <rFont val="Tahoma"/>
            <family val="2"/>
          </rPr>
          <t xml:space="preserve">
IL ZEC </t>
        </r>
      </text>
    </comment>
    <comment ref="BK298" authorId="10">
      <text>
        <r>
          <rPr>
            <b/>
            <sz val="9"/>
            <color indexed="81"/>
            <rFont val="Tahoma"/>
            <family val="2"/>
          </rPr>
          <t>Tabatabai, Arman (Research):</t>
        </r>
        <r>
          <rPr>
            <sz val="9"/>
            <color indexed="81"/>
            <rFont val="Tahoma"/>
            <family val="2"/>
          </rPr>
          <t xml:space="preserve">
IL ZEC </t>
        </r>
      </text>
    </comment>
    <comment ref="BL298" authorId="10">
      <text>
        <r>
          <rPr>
            <b/>
            <sz val="9"/>
            <color indexed="81"/>
            <rFont val="Tahoma"/>
            <family val="2"/>
          </rPr>
          <t>Tabatabai, Arman (Research):</t>
        </r>
        <r>
          <rPr>
            <sz val="9"/>
            <color indexed="81"/>
            <rFont val="Tahoma"/>
            <family val="2"/>
          </rPr>
          <t xml:space="preserve">
IL ZEC </t>
        </r>
      </text>
    </comment>
    <comment ref="BM298" authorId="10">
      <text>
        <r>
          <rPr>
            <b/>
            <sz val="9"/>
            <color indexed="81"/>
            <rFont val="Tahoma"/>
            <family val="2"/>
          </rPr>
          <t>Tabatabai, Arman (Research):</t>
        </r>
        <r>
          <rPr>
            <sz val="9"/>
            <color indexed="81"/>
            <rFont val="Tahoma"/>
            <family val="2"/>
          </rPr>
          <t xml:space="preserve">
IL ZEC </t>
        </r>
      </text>
    </comment>
    <comment ref="BN298" authorId="10">
      <text>
        <r>
          <rPr>
            <b/>
            <sz val="9"/>
            <color indexed="81"/>
            <rFont val="Tahoma"/>
            <family val="2"/>
          </rPr>
          <t>Tabatabai, Arman (Research):</t>
        </r>
        <r>
          <rPr>
            <sz val="9"/>
            <color indexed="81"/>
            <rFont val="Tahoma"/>
            <family val="2"/>
          </rPr>
          <t xml:space="preserve">
IL ZEC </t>
        </r>
      </text>
    </comment>
    <comment ref="BO298" authorId="10">
      <text>
        <r>
          <rPr>
            <b/>
            <sz val="9"/>
            <color indexed="81"/>
            <rFont val="Tahoma"/>
            <family val="2"/>
          </rPr>
          <t>Tabatabai, Arman (Research):</t>
        </r>
        <r>
          <rPr>
            <sz val="9"/>
            <color indexed="81"/>
            <rFont val="Tahoma"/>
            <family val="2"/>
          </rPr>
          <t xml:space="preserve">
IL ZEC </t>
        </r>
      </text>
    </comment>
    <comment ref="BP298" authorId="10">
      <text>
        <r>
          <rPr>
            <b/>
            <sz val="9"/>
            <color indexed="81"/>
            <rFont val="Tahoma"/>
            <family val="2"/>
          </rPr>
          <t>Tabatabai, Arman (Research):</t>
        </r>
        <r>
          <rPr>
            <sz val="9"/>
            <color indexed="81"/>
            <rFont val="Tahoma"/>
            <family val="2"/>
          </rPr>
          <t xml:space="preserve">
IL ZEC </t>
        </r>
      </text>
    </comment>
    <comment ref="BQ298" authorId="10">
      <text>
        <r>
          <rPr>
            <b/>
            <sz val="9"/>
            <color indexed="81"/>
            <rFont val="Tahoma"/>
            <family val="2"/>
          </rPr>
          <t>Tabatabai, Arman (Research):</t>
        </r>
        <r>
          <rPr>
            <sz val="9"/>
            <color indexed="81"/>
            <rFont val="Tahoma"/>
            <family val="2"/>
          </rPr>
          <t xml:space="preserve">
IL ZEC </t>
        </r>
      </text>
    </comment>
    <comment ref="AS303" authorId="10">
      <text>
        <r>
          <rPr>
            <b/>
            <sz val="9"/>
            <color indexed="81"/>
            <rFont val="Tahoma"/>
            <family val="2"/>
          </rPr>
          <t>Tabatabai, Arman (Research):</t>
        </r>
        <r>
          <rPr>
            <sz val="9"/>
            <color indexed="81"/>
            <rFont val="Tahoma"/>
            <family val="2"/>
          </rPr>
          <t xml:space="preserve">
in-line with midwest generation guidance</t>
        </r>
      </text>
    </comment>
    <comment ref="I311" authorId="0">
      <text>
        <r>
          <rPr>
            <b/>
            <sz val="8"/>
            <color indexed="81"/>
            <rFont val="Tahoma"/>
            <family val="2"/>
          </rPr>
          <t>rajeevl:</t>
        </r>
        <r>
          <rPr>
            <sz val="8"/>
            <color indexed="81"/>
            <rFont val="Tahoma"/>
            <family val="2"/>
          </rPr>
          <t xml:space="preserve">
per mgmt there is about 10% basis differential to consider in Illinois</t>
        </r>
      </text>
    </comment>
    <comment ref="AV311" authorId="10">
      <text>
        <r>
          <rPr>
            <b/>
            <sz val="9"/>
            <color indexed="81"/>
            <rFont val="Tahoma"/>
            <family val="2"/>
          </rPr>
          <t>Tabatabai, Arman (Research):</t>
        </r>
        <r>
          <rPr>
            <sz val="9"/>
            <color indexed="81"/>
            <rFont val="Tahoma"/>
            <family val="2"/>
          </rPr>
          <t xml:space="preserve">
3Q17 Earnings Release, delaying benefit of IL ZEC to January 2018 from december 2017</t>
        </r>
      </text>
    </comment>
    <comment ref="AW311" authorId="10">
      <text>
        <r>
          <rPr>
            <b/>
            <sz val="9"/>
            <color indexed="81"/>
            <rFont val="Tahoma"/>
            <family val="2"/>
          </rPr>
          <t>Tabatabai, Arman (Research):</t>
        </r>
        <r>
          <rPr>
            <sz val="9"/>
            <color indexed="81"/>
            <rFont val="Tahoma"/>
            <family val="2"/>
          </rPr>
          <t xml:space="preserve">
3Q17 Earnings Release, delaying benefit of IL ZEC to January 2018 from december 2017</t>
        </r>
      </text>
    </comment>
    <comment ref="AX311" authorId="10">
      <text>
        <r>
          <rPr>
            <b/>
            <sz val="9"/>
            <color indexed="81"/>
            <rFont val="Tahoma"/>
            <family val="2"/>
          </rPr>
          <t>Tabatabai, Arman (Research):</t>
        </r>
        <r>
          <rPr>
            <sz val="9"/>
            <color indexed="81"/>
            <rFont val="Tahoma"/>
            <family val="2"/>
          </rPr>
          <t xml:space="preserve">
IL ZEC </t>
        </r>
      </text>
    </comment>
    <comment ref="AY311" authorId="10">
      <text>
        <r>
          <rPr>
            <b/>
            <sz val="9"/>
            <color indexed="81"/>
            <rFont val="Tahoma"/>
            <family val="2"/>
          </rPr>
          <t>Tabatabai, Arman (Research):</t>
        </r>
        <r>
          <rPr>
            <sz val="9"/>
            <color indexed="81"/>
            <rFont val="Tahoma"/>
            <family val="2"/>
          </rPr>
          <t xml:space="preserve">
IL ZEC </t>
        </r>
      </text>
    </comment>
    <comment ref="AZ311" authorId="10">
      <text>
        <r>
          <rPr>
            <b/>
            <sz val="9"/>
            <color indexed="81"/>
            <rFont val="Tahoma"/>
            <family val="2"/>
          </rPr>
          <t>Tabatabai, Arman (Research):</t>
        </r>
        <r>
          <rPr>
            <sz val="9"/>
            <color indexed="81"/>
            <rFont val="Tahoma"/>
            <family val="2"/>
          </rPr>
          <t xml:space="preserve">
IL ZEC </t>
        </r>
      </text>
    </comment>
    <comment ref="BA311" authorId="10">
      <text>
        <r>
          <rPr>
            <b/>
            <sz val="9"/>
            <color indexed="81"/>
            <rFont val="Tahoma"/>
            <family val="2"/>
          </rPr>
          <t>Tabatabai, Arman (Research):</t>
        </r>
        <r>
          <rPr>
            <sz val="9"/>
            <color indexed="81"/>
            <rFont val="Tahoma"/>
            <family val="2"/>
          </rPr>
          <t xml:space="preserve">
IL ZEC </t>
        </r>
      </text>
    </comment>
    <comment ref="BB311" authorId="10">
      <text>
        <r>
          <rPr>
            <b/>
            <sz val="9"/>
            <color indexed="81"/>
            <rFont val="Tahoma"/>
            <family val="2"/>
          </rPr>
          <t>Tabatabai, Arman (Research):</t>
        </r>
        <r>
          <rPr>
            <sz val="9"/>
            <color indexed="81"/>
            <rFont val="Tahoma"/>
            <family val="2"/>
          </rPr>
          <t xml:space="preserve">
IL ZEC </t>
        </r>
      </text>
    </comment>
    <comment ref="BC311" authorId="10">
      <text>
        <r>
          <rPr>
            <b/>
            <sz val="9"/>
            <color indexed="81"/>
            <rFont val="Tahoma"/>
            <family val="2"/>
          </rPr>
          <t>Tabatabai, Arman (Research):</t>
        </r>
        <r>
          <rPr>
            <sz val="9"/>
            <color indexed="81"/>
            <rFont val="Tahoma"/>
            <family val="2"/>
          </rPr>
          <t xml:space="preserve">
IL ZEC </t>
        </r>
      </text>
    </comment>
    <comment ref="BD311" authorId="10">
      <text>
        <r>
          <rPr>
            <b/>
            <sz val="9"/>
            <color indexed="81"/>
            <rFont val="Tahoma"/>
            <family val="2"/>
          </rPr>
          <t>Tabatabai, Arman (Research):</t>
        </r>
        <r>
          <rPr>
            <sz val="9"/>
            <color indexed="81"/>
            <rFont val="Tahoma"/>
            <family val="2"/>
          </rPr>
          <t xml:space="preserve">
IL ZEC </t>
        </r>
      </text>
    </comment>
    <comment ref="BE311" authorId="10">
      <text>
        <r>
          <rPr>
            <b/>
            <sz val="9"/>
            <color indexed="81"/>
            <rFont val="Tahoma"/>
            <family val="2"/>
          </rPr>
          <t>Tabatabai, Arman (Research):</t>
        </r>
        <r>
          <rPr>
            <sz val="9"/>
            <color indexed="81"/>
            <rFont val="Tahoma"/>
            <family val="2"/>
          </rPr>
          <t xml:space="preserve">
IL ZEC </t>
        </r>
      </text>
    </comment>
    <comment ref="BF311" authorId="10">
      <text>
        <r>
          <rPr>
            <b/>
            <sz val="9"/>
            <color indexed="81"/>
            <rFont val="Tahoma"/>
            <family val="2"/>
          </rPr>
          <t>Tabatabai, Arman (Research):</t>
        </r>
        <r>
          <rPr>
            <sz val="9"/>
            <color indexed="81"/>
            <rFont val="Tahoma"/>
            <family val="2"/>
          </rPr>
          <t xml:space="preserve">
IL ZEC </t>
        </r>
      </text>
    </comment>
    <comment ref="BG311" authorId="10">
      <text>
        <r>
          <rPr>
            <b/>
            <sz val="9"/>
            <color indexed="81"/>
            <rFont val="Tahoma"/>
            <family val="2"/>
          </rPr>
          <t>Tabatabai, Arman (Research):</t>
        </r>
        <r>
          <rPr>
            <sz val="9"/>
            <color indexed="81"/>
            <rFont val="Tahoma"/>
            <family val="2"/>
          </rPr>
          <t xml:space="preserve">
IL ZEC </t>
        </r>
      </text>
    </comment>
    <comment ref="BH311" authorId="10">
      <text>
        <r>
          <rPr>
            <b/>
            <sz val="9"/>
            <color indexed="81"/>
            <rFont val="Tahoma"/>
            <family val="2"/>
          </rPr>
          <t>Tabatabai, Arman (Research):</t>
        </r>
        <r>
          <rPr>
            <sz val="9"/>
            <color indexed="81"/>
            <rFont val="Tahoma"/>
            <family val="2"/>
          </rPr>
          <t xml:space="preserve">
IL ZEC </t>
        </r>
      </text>
    </comment>
    <comment ref="BI311" authorId="10">
      <text>
        <r>
          <rPr>
            <b/>
            <sz val="9"/>
            <color indexed="81"/>
            <rFont val="Tahoma"/>
            <family val="2"/>
          </rPr>
          <t>Tabatabai, Arman (Research):</t>
        </r>
        <r>
          <rPr>
            <sz val="9"/>
            <color indexed="81"/>
            <rFont val="Tahoma"/>
            <family val="2"/>
          </rPr>
          <t xml:space="preserve">
IL ZEC </t>
        </r>
      </text>
    </comment>
    <comment ref="BJ311" authorId="10">
      <text>
        <r>
          <rPr>
            <b/>
            <sz val="9"/>
            <color indexed="81"/>
            <rFont val="Tahoma"/>
            <family val="2"/>
          </rPr>
          <t>Tabatabai, Arman (Research):</t>
        </r>
        <r>
          <rPr>
            <sz val="9"/>
            <color indexed="81"/>
            <rFont val="Tahoma"/>
            <family val="2"/>
          </rPr>
          <t xml:space="preserve">
IL ZEC </t>
        </r>
      </text>
    </comment>
    <comment ref="BK311" authorId="10">
      <text>
        <r>
          <rPr>
            <b/>
            <sz val="9"/>
            <color indexed="81"/>
            <rFont val="Tahoma"/>
            <family val="2"/>
          </rPr>
          <t>Tabatabai, Arman (Research):</t>
        </r>
        <r>
          <rPr>
            <sz val="9"/>
            <color indexed="81"/>
            <rFont val="Tahoma"/>
            <family val="2"/>
          </rPr>
          <t xml:space="preserve">
IL ZEC </t>
        </r>
      </text>
    </comment>
    <comment ref="BL311" authorId="10">
      <text>
        <r>
          <rPr>
            <b/>
            <sz val="9"/>
            <color indexed="81"/>
            <rFont val="Tahoma"/>
            <family val="2"/>
          </rPr>
          <t>Tabatabai, Arman (Research):</t>
        </r>
        <r>
          <rPr>
            <sz val="9"/>
            <color indexed="81"/>
            <rFont val="Tahoma"/>
            <family val="2"/>
          </rPr>
          <t xml:space="preserve">
IL ZEC </t>
        </r>
      </text>
    </comment>
    <comment ref="BM311" authorId="10">
      <text>
        <r>
          <rPr>
            <b/>
            <sz val="9"/>
            <color indexed="81"/>
            <rFont val="Tahoma"/>
            <family val="2"/>
          </rPr>
          <t>Tabatabai, Arman (Research):</t>
        </r>
        <r>
          <rPr>
            <sz val="9"/>
            <color indexed="81"/>
            <rFont val="Tahoma"/>
            <family val="2"/>
          </rPr>
          <t xml:space="preserve">
IL ZEC </t>
        </r>
      </text>
    </comment>
    <comment ref="BN311" authorId="10">
      <text>
        <r>
          <rPr>
            <b/>
            <sz val="9"/>
            <color indexed="81"/>
            <rFont val="Tahoma"/>
            <family val="2"/>
          </rPr>
          <t>Tabatabai, Arman (Research):</t>
        </r>
        <r>
          <rPr>
            <sz val="9"/>
            <color indexed="81"/>
            <rFont val="Tahoma"/>
            <family val="2"/>
          </rPr>
          <t xml:space="preserve">
IL ZEC </t>
        </r>
      </text>
    </comment>
    <comment ref="BO311" authorId="10">
      <text>
        <r>
          <rPr>
            <b/>
            <sz val="9"/>
            <color indexed="81"/>
            <rFont val="Tahoma"/>
            <family val="2"/>
          </rPr>
          <t>Tabatabai, Arman (Research):</t>
        </r>
        <r>
          <rPr>
            <sz val="9"/>
            <color indexed="81"/>
            <rFont val="Tahoma"/>
            <family val="2"/>
          </rPr>
          <t xml:space="preserve">
IL ZEC </t>
        </r>
      </text>
    </comment>
    <comment ref="BP311" authorId="10">
      <text>
        <r>
          <rPr>
            <b/>
            <sz val="9"/>
            <color indexed="81"/>
            <rFont val="Tahoma"/>
            <family val="2"/>
          </rPr>
          <t>Tabatabai, Arman (Research):</t>
        </r>
        <r>
          <rPr>
            <sz val="9"/>
            <color indexed="81"/>
            <rFont val="Tahoma"/>
            <family val="2"/>
          </rPr>
          <t xml:space="preserve">
IL ZEC </t>
        </r>
      </text>
    </comment>
    <comment ref="BQ311" authorId="10">
      <text>
        <r>
          <rPr>
            <b/>
            <sz val="9"/>
            <color indexed="81"/>
            <rFont val="Tahoma"/>
            <family val="2"/>
          </rPr>
          <t>Tabatabai, Arman (Research):</t>
        </r>
        <r>
          <rPr>
            <sz val="9"/>
            <color indexed="81"/>
            <rFont val="Tahoma"/>
            <family val="2"/>
          </rPr>
          <t xml:space="preserve">
IL ZEC </t>
        </r>
      </text>
    </comment>
    <comment ref="AS316" authorId="10">
      <text>
        <r>
          <rPr>
            <b/>
            <sz val="9"/>
            <color indexed="81"/>
            <rFont val="Tahoma"/>
            <family val="2"/>
          </rPr>
          <t>Tabatabai, Arman (Research):</t>
        </r>
        <r>
          <rPr>
            <sz val="9"/>
            <color indexed="81"/>
            <rFont val="Tahoma"/>
            <family val="2"/>
          </rPr>
          <t xml:space="preserve">
in-line with midwest generation guidance</t>
        </r>
      </text>
    </comment>
    <comment ref="I325" authorId="12">
      <text>
        <r>
          <rPr>
            <b/>
            <sz val="9"/>
            <color indexed="81"/>
            <rFont val="Tahoma"/>
            <family val="2"/>
          </rPr>
          <t>MD:</t>
        </r>
        <r>
          <rPr>
            <sz val="9"/>
            <color indexed="81"/>
            <rFont val="Tahoma"/>
            <family val="2"/>
          </rPr>
          <t xml:space="preserve">
$1/mwh fuel adjustment for suspension of DOE fees</t>
        </r>
      </text>
    </comment>
    <comment ref="AO337" authorId="4">
      <text>
        <r>
          <rPr>
            <b/>
            <sz val="9"/>
            <color indexed="81"/>
            <rFont val="Tahoma"/>
            <family val="2"/>
          </rPr>
          <t>McDermott, Devin (Research):</t>
        </r>
        <r>
          <rPr>
            <sz val="9"/>
            <color indexed="81"/>
            <rFont val="Tahoma"/>
            <family val="2"/>
          </rPr>
          <t xml:space="preserve">
$52/MWh revenue requirement including capacity revenue</t>
        </r>
      </text>
    </comment>
    <comment ref="AR337" authorId="4">
      <text>
        <r>
          <rPr>
            <b/>
            <sz val="9"/>
            <color indexed="81"/>
            <rFont val="Tahoma"/>
            <family val="2"/>
          </rPr>
          <t>McDermott, Devin (Research):</t>
        </r>
        <r>
          <rPr>
            <sz val="9"/>
            <color indexed="81"/>
            <rFont val="Tahoma"/>
            <family val="2"/>
          </rPr>
          <t xml:space="preserve">
$52/MWh revenue requirement including capacity revenue</t>
        </r>
      </text>
    </comment>
    <comment ref="AV337" authorId="10">
      <text>
        <r>
          <rPr>
            <b/>
            <sz val="9"/>
            <color indexed="81"/>
            <rFont val="Tahoma"/>
            <family val="2"/>
          </rPr>
          <t>Tabatabai, Arman (Research):</t>
        </r>
        <r>
          <rPr>
            <sz val="9"/>
            <color indexed="81"/>
            <rFont val="Tahoma"/>
            <family val="2"/>
          </rPr>
          <t xml:space="preserve">
NY ZEC 
Tranche 1 yields $17.48, 8/2016 Analyst day, slide 93</t>
        </r>
      </text>
    </comment>
    <comment ref="AW337" authorId="10">
      <text>
        <r>
          <rPr>
            <b/>
            <sz val="9"/>
            <color indexed="81"/>
            <rFont val="Tahoma"/>
            <family val="2"/>
          </rPr>
          <t>Tabatabai, Arman (Research):</t>
        </r>
        <r>
          <rPr>
            <sz val="9"/>
            <color indexed="81"/>
            <rFont val="Tahoma"/>
            <family val="2"/>
          </rPr>
          <t xml:space="preserve">
NY ZEC 
Tranche 1 yields $17.48, 8/2016 Analyst day, slide 93</t>
        </r>
      </text>
    </comment>
    <comment ref="AX337" authorId="10">
      <text>
        <r>
          <rPr>
            <b/>
            <sz val="9"/>
            <color indexed="81"/>
            <rFont val="Tahoma"/>
            <family val="2"/>
          </rPr>
          <t>Tabatabai, Arman (Research):</t>
        </r>
        <r>
          <rPr>
            <sz val="9"/>
            <color indexed="81"/>
            <rFont val="Tahoma"/>
            <family val="2"/>
          </rPr>
          <t xml:space="preserve">
NY ZEC 
Tranche 1 yields $17.48, 8/2016 Analyst day, slide 93</t>
        </r>
      </text>
    </comment>
    <comment ref="AY337" authorId="10">
      <text>
        <r>
          <rPr>
            <b/>
            <sz val="9"/>
            <color indexed="81"/>
            <rFont val="Tahoma"/>
            <family val="2"/>
          </rPr>
          <t>Tabatabai, Arman (Research):</t>
        </r>
        <r>
          <rPr>
            <sz val="9"/>
            <color indexed="81"/>
            <rFont val="Tahoma"/>
            <family val="2"/>
          </rPr>
          <t xml:space="preserve">
NY ZEC 
Tranche 1 yields $17.48, 8/2016 Analyst day, slide 93</t>
        </r>
      </text>
    </comment>
    <comment ref="AZ337" authorId="10">
      <text>
        <r>
          <rPr>
            <b/>
            <sz val="9"/>
            <color indexed="81"/>
            <rFont val="Tahoma"/>
            <family val="2"/>
          </rPr>
          <t>Tabatabai, Arman (Research):</t>
        </r>
        <r>
          <rPr>
            <sz val="9"/>
            <color indexed="81"/>
            <rFont val="Tahoma"/>
            <family val="2"/>
          </rPr>
          <t xml:space="preserve">
NY ZEC 
Tranche 1 yields $17.48, 8/2016 Analyst day, slide 93</t>
        </r>
      </text>
    </comment>
    <comment ref="BA337" authorId="10">
      <text>
        <r>
          <rPr>
            <b/>
            <sz val="9"/>
            <color indexed="81"/>
            <rFont val="Tahoma"/>
            <family val="2"/>
          </rPr>
          <t>Tabatabai, Arman (Research):</t>
        </r>
        <r>
          <rPr>
            <sz val="9"/>
            <color indexed="81"/>
            <rFont val="Tahoma"/>
            <family val="2"/>
          </rPr>
          <t xml:space="preserve">
NY ZEC 
Tranche 1 yields $17.48, 8/2016 Analyst day, slide 93</t>
        </r>
      </text>
    </comment>
    <comment ref="BB337" authorId="10">
      <text>
        <r>
          <rPr>
            <b/>
            <sz val="9"/>
            <color indexed="81"/>
            <rFont val="Tahoma"/>
            <family val="2"/>
          </rPr>
          <t>Tabatabai, Arman (Research):</t>
        </r>
        <r>
          <rPr>
            <sz val="9"/>
            <color indexed="81"/>
            <rFont val="Tahoma"/>
            <family val="2"/>
          </rPr>
          <t xml:space="preserve">
NY ZEC 
Tranche 1 yields $17.48, 8/2016 Analyst day, slide 93</t>
        </r>
      </text>
    </comment>
    <comment ref="BC337" authorId="10">
      <text>
        <r>
          <rPr>
            <b/>
            <sz val="9"/>
            <color indexed="81"/>
            <rFont val="Tahoma"/>
            <family val="2"/>
          </rPr>
          <t>Tabatabai, Arman (Research):</t>
        </r>
        <r>
          <rPr>
            <sz val="9"/>
            <color indexed="81"/>
            <rFont val="Tahoma"/>
            <family val="2"/>
          </rPr>
          <t xml:space="preserve">
NY ZEC 
Tranche 1 yields $17.48, 8/2016 Analyst day, slide 93</t>
        </r>
      </text>
    </comment>
    <comment ref="BD337" authorId="10">
      <text>
        <r>
          <rPr>
            <b/>
            <sz val="9"/>
            <color indexed="81"/>
            <rFont val="Tahoma"/>
            <family val="2"/>
          </rPr>
          <t>Tabatabai, Arman (Research):</t>
        </r>
        <r>
          <rPr>
            <sz val="9"/>
            <color indexed="81"/>
            <rFont val="Tahoma"/>
            <family val="2"/>
          </rPr>
          <t xml:space="preserve">
NY ZEC 
Tranche 2; 4/1/19-3/31/2021
8/2016 Analyst day, slide 93</t>
        </r>
      </text>
    </comment>
    <comment ref="BE337" authorId="10">
      <text>
        <r>
          <rPr>
            <b/>
            <sz val="9"/>
            <color indexed="81"/>
            <rFont val="Tahoma"/>
            <family val="2"/>
          </rPr>
          <t>Tabatabai, Arman (Research):</t>
        </r>
        <r>
          <rPr>
            <sz val="9"/>
            <color indexed="81"/>
            <rFont val="Tahoma"/>
            <family val="2"/>
          </rPr>
          <t xml:space="preserve">
NY ZEC 
Tranche 2; 4/1/19-3/31/2021
8/2016 Analyst day, slide 93</t>
        </r>
      </text>
    </comment>
    <comment ref="BF337" authorId="10">
      <text>
        <r>
          <rPr>
            <b/>
            <sz val="9"/>
            <color indexed="81"/>
            <rFont val="Tahoma"/>
            <family val="2"/>
          </rPr>
          <t>Tabatabai, Arman (Research):</t>
        </r>
        <r>
          <rPr>
            <sz val="9"/>
            <color indexed="81"/>
            <rFont val="Tahoma"/>
            <family val="2"/>
          </rPr>
          <t xml:space="preserve">
NY ZEC 
Tranche 2; 4/1/19-3/31/2021
8/2016 Analyst day, slide 93</t>
        </r>
      </text>
    </comment>
    <comment ref="BG337" authorId="10">
      <text>
        <r>
          <rPr>
            <b/>
            <sz val="9"/>
            <color indexed="81"/>
            <rFont val="Tahoma"/>
            <family val="2"/>
          </rPr>
          <t>Tabatabai, Arman (Research):</t>
        </r>
        <r>
          <rPr>
            <sz val="9"/>
            <color indexed="81"/>
            <rFont val="Tahoma"/>
            <family val="2"/>
          </rPr>
          <t xml:space="preserve">
NY ZEC 
Tranche 2; 4/1/19-3/31/2021
8/2016 Analyst day, slide 93</t>
        </r>
      </text>
    </comment>
    <comment ref="BH337" authorId="10">
      <text>
        <r>
          <rPr>
            <b/>
            <sz val="9"/>
            <color indexed="81"/>
            <rFont val="Tahoma"/>
            <family val="2"/>
          </rPr>
          <t>Tabatabai, Arman (Research):</t>
        </r>
        <r>
          <rPr>
            <sz val="9"/>
            <color indexed="81"/>
            <rFont val="Tahoma"/>
            <family val="2"/>
          </rPr>
          <t xml:space="preserve">
NY ZEC 
Tranche 2; 4/1/19-3/31/2021
8/2016 Analyst day, slide 93</t>
        </r>
      </text>
    </comment>
    <comment ref="BI337" authorId="10">
      <text>
        <r>
          <rPr>
            <b/>
            <sz val="9"/>
            <color indexed="81"/>
            <rFont val="Tahoma"/>
            <family val="2"/>
          </rPr>
          <t>Tabatabai, Arman (Research):</t>
        </r>
        <r>
          <rPr>
            <sz val="9"/>
            <color indexed="81"/>
            <rFont val="Tahoma"/>
            <family val="2"/>
          </rPr>
          <t xml:space="preserve">
NY ZEC 
Tranche 2; 4/1/19-3/31/2021
8/2016 Analyst day, slide 93</t>
        </r>
      </text>
    </comment>
    <comment ref="BJ337" authorId="10">
      <text>
        <r>
          <rPr>
            <b/>
            <sz val="9"/>
            <color indexed="81"/>
            <rFont val="Tahoma"/>
            <family val="2"/>
          </rPr>
          <t>Tabatabai, Arman (Research):</t>
        </r>
        <r>
          <rPr>
            <sz val="9"/>
            <color indexed="81"/>
            <rFont val="Tahoma"/>
            <family val="2"/>
          </rPr>
          <t xml:space="preserve">
NY ZEC 
Tranche 2; 4/1/19-3/31/2021
8/2016 Analyst day, slide 93</t>
        </r>
      </text>
    </comment>
    <comment ref="BK337" authorId="10">
      <text>
        <r>
          <rPr>
            <b/>
            <sz val="9"/>
            <color indexed="81"/>
            <rFont val="Tahoma"/>
            <family val="2"/>
          </rPr>
          <t>Tabatabai, Arman (Research):</t>
        </r>
        <r>
          <rPr>
            <sz val="9"/>
            <color indexed="81"/>
            <rFont val="Tahoma"/>
            <family val="2"/>
          </rPr>
          <t xml:space="preserve">
NY ZEC 
Tranche 2; 4/1/19-3/31/2021
8/2016 Analyst day, slide 93</t>
        </r>
      </text>
    </comment>
    <comment ref="BL337" authorId="10">
      <text>
        <r>
          <rPr>
            <b/>
            <sz val="9"/>
            <color indexed="81"/>
            <rFont val="Tahoma"/>
            <family val="2"/>
          </rPr>
          <t>Tabatabai, Arman (Research):</t>
        </r>
        <r>
          <rPr>
            <sz val="9"/>
            <color indexed="81"/>
            <rFont val="Tahoma"/>
            <family val="2"/>
          </rPr>
          <t xml:space="preserve">
NY ZEC 
Tranche 2; 4/1/19-3/31/2021
8/2016 Analyst day, slide 93</t>
        </r>
      </text>
    </comment>
    <comment ref="BM337" authorId="10">
      <text>
        <r>
          <rPr>
            <b/>
            <sz val="9"/>
            <color indexed="81"/>
            <rFont val="Tahoma"/>
            <family val="2"/>
          </rPr>
          <t>Tabatabai, Arman (Research):</t>
        </r>
        <r>
          <rPr>
            <sz val="9"/>
            <color indexed="81"/>
            <rFont val="Tahoma"/>
            <family val="2"/>
          </rPr>
          <t xml:space="preserve">
NY ZEC 
Tranche 2; 4/1/19-3/31/2021
8/2016 Analyst day, slide 93</t>
        </r>
      </text>
    </comment>
    <comment ref="BN337" authorId="10">
      <text>
        <r>
          <rPr>
            <b/>
            <sz val="9"/>
            <color indexed="81"/>
            <rFont val="Tahoma"/>
            <family val="2"/>
          </rPr>
          <t>Tabatabai, Arman (Research):</t>
        </r>
        <r>
          <rPr>
            <sz val="9"/>
            <color indexed="81"/>
            <rFont val="Tahoma"/>
            <family val="2"/>
          </rPr>
          <t xml:space="preserve">
NY ZEC 
Tranche 2; 4/1/19-3/31/2021
8/2016 Analyst day, slide 93</t>
        </r>
      </text>
    </comment>
    <comment ref="BO337" authorId="10">
      <text>
        <r>
          <rPr>
            <b/>
            <sz val="9"/>
            <color indexed="81"/>
            <rFont val="Tahoma"/>
            <family val="2"/>
          </rPr>
          <t>Tabatabai, Arman (Research):</t>
        </r>
        <r>
          <rPr>
            <sz val="9"/>
            <color indexed="81"/>
            <rFont val="Tahoma"/>
            <family val="2"/>
          </rPr>
          <t xml:space="preserve">
NY ZEC 
Tranche 2; 4/1/19-3/31/2021
8/2016 Analyst day, slide 93</t>
        </r>
      </text>
    </comment>
    <comment ref="BP337" authorId="10">
      <text>
        <r>
          <rPr>
            <b/>
            <sz val="9"/>
            <color indexed="81"/>
            <rFont val="Tahoma"/>
            <family val="2"/>
          </rPr>
          <t>Tabatabai, Arman (Research):</t>
        </r>
        <r>
          <rPr>
            <sz val="9"/>
            <color indexed="81"/>
            <rFont val="Tahoma"/>
            <family val="2"/>
          </rPr>
          <t xml:space="preserve">
NY ZEC 
Tranche 2; 4/1/19-3/31/2021
8/2016 Analyst day, slide 93</t>
        </r>
      </text>
    </comment>
    <comment ref="BQ337" authorId="10">
      <text>
        <r>
          <rPr>
            <b/>
            <sz val="9"/>
            <color indexed="81"/>
            <rFont val="Tahoma"/>
            <family val="2"/>
          </rPr>
          <t>Tabatabai, Arman (Research):</t>
        </r>
        <r>
          <rPr>
            <sz val="9"/>
            <color indexed="81"/>
            <rFont val="Tahoma"/>
            <family val="2"/>
          </rPr>
          <t xml:space="preserve">
NY ZEC 
Tranche 2; 4/1/19-3/31/2021
8/2016 Analyst day, slide 93</t>
        </r>
      </text>
    </comment>
    <comment ref="BA342" authorId="10">
      <text>
        <r>
          <rPr>
            <b/>
            <sz val="9"/>
            <color indexed="81"/>
            <rFont val="Tahoma"/>
            <family val="2"/>
          </rPr>
          <t>Tabatabai, Arman (Research):</t>
        </r>
        <r>
          <rPr>
            <sz val="9"/>
            <color indexed="81"/>
            <rFont val="Tahoma"/>
            <family val="2"/>
          </rPr>
          <t xml:space="preserve">
2018 refueling outage</t>
        </r>
      </text>
    </comment>
    <comment ref="BC342" authorId="4">
      <text>
        <r>
          <rPr>
            <b/>
            <sz val="9"/>
            <color indexed="81"/>
            <rFont val="Tahoma"/>
            <family val="2"/>
          </rPr>
          <t>McDermott, Devin (Research):</t>
        </r>
        <r>
          <rPr>
            <sz val="9"/>
            <color indexed="81"/>
            <rFont val="Tahoma"/>
            <family val="2"/>
          </rPr>
          <t xml:space="preserve">
assumes normal outage cycle by 2019, in-line with other ExGen nukes &amp; gross margin guidance as per Nov 2016 EEI slides</t>
        </r>
      </text>
    </comment>
    <comment ref="AV350" authorId="10">
      <text>
        <r>
          <rPr>
            <b/>
            <sz val="9"/>
            <color indexed="81"/>
            <rFont val="Tahoma"/>
            <family val="2"/>
          </rPr>
          <t>Tabatabai, Arman (Research):</t>
        </r>
        <r>
          <rPr>
            <sz val="9"/>
            <color indexed="81"/>
            <rFont val="Tahoma"/>
            <family val="2"/>
          </rPr>
          <t xml:space="preserve">
NY ZEC 
Tranche 1 yields $17.48, 8/2016 Analyst day, slide 93</t>
        </r>
      </text>
    </comment>
    <comment ref="AW350" authorId="10">
      <text>
        <r>
          <rPr>
            <b/>
            <sz val="9"/>
            <color indexed="81"/>
            <rFont val="Tahoma"/>
            <family val="2"/>
          </rPr>
          <t>Tabatabai, Arman (Research):</t>
        </r>
        <r>
          <rPr>
            <sz val="9"/>
            <color indexed="81"/>
            <rFont val="Tahoma"/>
            <family val="2"/>
          </rPr>
          <t xml:space="preserve">
NY ZEC 
Tranche 1 yields $17.48, 8/2016 Analyst day, slide 93</t>
        </r>
      </text>
    </comment>
    <comment ref="AX350" authorId="10">
      <text>
        <r>
          <rPr>
            <b/>
            <sz val="9"/>
            <color indexed="81"/>
            <rFont val="Tahoma"/>
            <family val="2"/>
          </rPr>
          <t>Tabatabai, Arman (Research):</t>
        </r>
        <r>
          <rPr>
            <sz val="9"/>
            <color indexed="81"/>
            <rFont val="Tahoma"/>
            <family val="2"/>
          </rPr>
          <t xml:space="preserve">
NY ZEC 
Tranche 1 yields $17.48, 8/2016 Analyst day, slide 93</t>
        </r>
      </text>
    </comment>
    <comment ref="AY350" authorId="10">
      <text>
        <r>
          <rPr>
            <b/>
            <sz val="9"/>
            <color indexed="81"/>
            <rFont val="Tahoma"/>
            <family val="2"/>
          </rPr>
          <t>Tabatabai, Arman (Research):</t>
        </r>
        <r>
          <rPr>
            <sz val="9"/>
            <color indexed="81"/>
            <rFont val="Tahoma"/>
            <family val="2"/>
          </rPr>
          <t xml:space="preserve">
NY ZEC 
Tranche 1 yields $17.48, 8/2016 Analyst day, slide 93</t>
        </r>
      </text>
    </comment>
    <comment ref="AZ350" authorId="10">
      <text>
        <r>
          <rPr>
            <b/>
            <sz val="9"/>
            <color indexed="81"/>
            <rFont val="Tahoma"/>
            <family val="2"/>
          </rPr>
          <t>Tabatabai, Arman (Research):</t>
        </r>
        <r>
          <rPr>
            <sz val="9"/>
            <color indexed="81"/>
            <rFont val="Tahoma"/>
            <family val="2"/>
          </rPr>
          <t xml:space="preserve">
NY ZEC 
Tranche 1 yields $17.48, 8/2016 Analyst day, slide 93</t>
        </r>
      </text>
    </comment>
    <comment ref="BA350" authorId="10">
      <text>
        <r>
          <rPr>
            <b/>
            <sz val="9"/>
            <color indexed="81"/>
            <rFont val="Tahoma"/>
            <family val="2"/>
          </rPr>
          <t>Tabatabai, Arman (Research):</t>
        </r>
        <r>
          <rPr>
            <sz val="9"/>
            <color indexed="81"/>
            <rFont val="Tahoma"/>
            <family val="2"/>
          </rPr>
          <t xml:space="preserve">
NY ZEC 
Tranche 1 yields $17.48, 8/2016 Analyst day, slide 93</t>
        </r>
      </text>
    </comment>
    <comment ref="BB350" authorId="10">
      <text>
        <r>
          <rPr>
            <b/>
            <sz val="9"/>
            <color indexed="81"/>
            <rFont val="Tahoma"/>
            <family val="2"/>
          </rPr>
          <t>Tabatabai, Arman (Research):</t>
        </r>
        <r>
          <rPr>
            <sz val="9"/>
            <color indexed="81"/>
            <rFont val="Tahoma"/>
            <family val="2"/>
          </rPr>
          <t xml:space="preserve">
NY ZEC 
Tranche 1 yields $17.48, 8/2016 Analyst day, slide 93</t>
        </r>
      </text>
    </comment>
    <comment ref="BC350" authorId="10">
      <text>
        <r>
          <rPr>
            <b/>
            <sz val="9"/>
            <color indexed="81"/>
            <rFont val="Tahoma"/>
            <family val="2"/>
          </rPr>
          <t>Tabatabai, Arman (Research):</t>
        </r>
        <r>
          <rPr>
            <sz val="9"/>
            <color indexed="81"/>
            <rFont val="Tahoma"/>
            <family val="2"/>
          </rPr>
          <t xml:space="preserve">
NY ZEC 
Tranche 1 yields $17.48, 8/2016 Analyst day, slide 93</t>
        </r>
      </text>
    </comment>
    <comment ref="BD350" authorId="10">
      <text>
        <r>
          <rPr>
            <b/>
            <sz val="9"/>
            <color indexed="81"/>
            <rFont val="Tahoma"/>
            <family val="2"/>
          </rPr>
          <t>Tabatabai, Arman (Research):</t>
        </r>
        <r>
          <rPr>
            <sz val="9"/>
            <color indexed="81"/>
            <rFont val="Tahoma"/>
            <family val="2"/>
          </rPr>
          <t xml:space="preserve">
NY ZEC 
Tranche 2; 4/1/19-3/31/2021
8/2016 Analyst day, slide 93</t>
        </r>
      </text>
    </comment>
    <comment ref="BE350" authorId="10">
      <text>
        <r>
          <rPr>
            <b/>
            <sz val="9"/>
            <color indexed="81"/>
            <rFont val="Tahoma"/>
            <family val="2"/>
          </rPr>
          <t>Tabatabai, Arman (Research):</t>
        </r>
        <r>
          <rPr>
            <sz val="9"/>
            <color indexed="81"/>
            <rFont val="Tahoma"/>
            <family val="2"/>
          </rPr>
          <t xml:space="preserve">
NY ZEC 
Tranche 2; 4/1/19-3/31/2021
8/2016 Analyst day, slide 93</t>
        </r>
      </text>
    </comment>
    <comment ref="BF350" authorId="10">
      <text>
        <r>
          <rPr>
            <b/>
            <sz val="9"/>
            <color indexed="81"/>
            <rFont val="Tahoma"/>
            <family val="2"/>
          </rPr>
          <t>Tabatabai, Arman (Research):</t>
        </r>
        <r>
          <rPr>
            <sz val="9"/>
            <color indexed="81"/>
            <rFont val="Tahoma"/>
            <family val="2"/>
          </rPr>
          <t xml:space="preserve">
NY ZEC 
Tranche 2; 4/1/19-3/31/2021
8/2016 Analyst day, slide 93</t>
        </r>
      </text>
    </comment>
    <comment ref="BG350" authorId="10">
      <text>
        <r>
          <rPr>
            <b/>
            <sz val="9"/>
            <color indexed="81"/>
            <rFont val="Tahoma"/>
            <family val="2"/>
          </rPr>
          <t>Tabatabai, Arman (Research):</t>
        </r>
        <r>
          <rPr>
            <sz val="9"/>
            <color indexed="81"/>
            <rFont val="Tahoma"/>
            <family val="2"/>
          </rPr>
          <t xml:space="preserve">
NY ZEC 
Tranche 2; 4/1/19-3/31/2021
8/2016 Analyst day, slide 93</t>
        </r>
      </text>
    </comment>
    <comment ref="BH350" authorId="10">
      <text>
        <r>
          <rPr>
            <b/>
            <sz val="9"/>
            <color indexed="81"/>
            <rFont val="Tahoma"/>
            <family val="2"/>
          </rPr>
          <t>Tabatabai, Arman (Research):</t>
        </r>
        <r>
          <rPr>
            <sz val="9"/>
            <color indexed="81"/>
            <rFont val="Tahoma"/>
            <family val="2"/>
          </rPr>
          <t xml:space="preserve">
NY ZEC 
Tranche 2; 4/1/19-3/31/2021
8/2016 Analyst day, slide 93</t>
        </r>
      </text>
    </comment>
    <comment ref="BI350" authorId="10">
      <text>
        <r>
          <rPr>
            <b/>
            <sz val="9"/>
            <color indexed="81"/>
            <rFont val="Tahoma"/>
            <family val="2"/>
          </rPr>
          <t>Tabatabai, Arman (Research):</t>
        </r>
        <r>
          <rPr>
            <sz val="9"/>
            <color indexed="81"/>
            <rFont val="Tahoma"/>
            <family val="2"/>
          </rPr>
          <t xml:space="preserve">
NY ZEC 
Tranche 2; 4/1/19-3/31/2021
8/2016 Analyst day, slide 93</t>
        </r>
      </text>
    </comment>
    <comment ref="BJ350" authorId="10">
      <text>
        <r>
          <rPr>
            <b/>
            <sz val="9"/>
            <color indexed="81"/>
            <rFont val="Tahoma"/>
            <family val="2"/>
          </rPr>
          <t>Tabatabai, Arman (Research):</t>
        </r>
        <r>
          <rPr>
            <sz val="9"/>
            <color indexed="81"/>
            <rFont val="Tahoma"/>
            <family val="2"/>
          </rPr>
          <t xml:space="preserve">
NY ZEC 
Tranche 2; 4/1/19-3/31/2021
8/2016 Analyst day, slide 93</t>
        </r>
      </text>
    </comment>
    <comment ref="BK350" authorId="10">
      <text>
        <r>
          <rPr>
            <b/>
            <sz val="9"/>
            <color indexed="81"/>
            <rFont val="Tahoma"/>
            <family val="2"/>
          </rPr>
          <t>Tabatabai, Arman (Research):</t>
        </r>
        <r>
          <rPr>
            <sz val="9"/>
            <color indexed="81"/>
            <rFont val="Tahoma"/>
            <family val="2"/>
          </rPr>
          <t xml:space="preserve">
NY ZEC 
Tranche 2; 4/1/19-3/31/2021
8/2016 Analyst day, slide 93</t>
        </r>
      </text>
    </comment>
    <comment ref="BL350" authorId="10">
      <text>
        <r>
          <rPr>
            <b/>
            <sz val="9"/>
            <color indexed="81"/>
            <rFont val="Tahoma"/>
            <family val="2"/>
          </rPr>
          <t>Tabatabai, Arman (Research):</t>
        </r>
        <r>
          <rPr>
            <sz val="9"/>
            <color indexed="81"/>
            <rFont val="Tahoma"/>
            <family val="2"/>
          </rPr>
          <t xml:space="preserve">
NY ZEC 
Tranche 2; 4/1/19-3/31/2021
8/2016 Analyst day, slide 93</t>
        </r>
      </text>
    </comment>
    <comment ref="BM350" authorId="10">
      <text>
        <r>
          <rPr>
            <b/>
            <sz val="9"/>
            <color indexed="81"/>
            <rFont val="Tahoma"/>
            <family val="2"/>
          </rPr>
          <t>Tabatabai, Arman (Research):</t>
        </r>
        <r>
          <rPr>
            <sz val="9"/>
            <color indexed="81"/>
            <rFont val="Tahoma"/>
            <family val="2"/>
          </rPr>
          <t xml:space="preserve">
NY ZEC 
Tranche 2; 4/1/19-3/31/2021
8/2016 Analyst day, slide 93</t>
        </r>
      </text>
    </comment>
    <comment ref="BN350" authorId="10">
      <text>
        <r>
          <rPr>
            <b/>
            <sz val="9"/>
            <color indexed="81"/>
            <rFont val="Tahoma"/>
            <family val="2"/>
          </rPr>
          <t>Tabatabai, Arman (Research):</t>
        </r>
        <r>
          <rPr>
            <sz val="9"/>
            <color indexed="81"/>
            <rFont val="Tahoma"/>
            <family val="2"/>
          </rPr>
          <t xml:space="preserve">
NY ZEC 
Tranche 2; 4/1/19-3/31/2021
8/2016 Analyst day, slide 93</t>
        </r>
      </text>
    </comment>
    <comment ref="BO350" authorId="10">
      <text>
        <r>
          <rPr>
            <b/>
            <sz val="9"/>
            <color indexed="81"/>
            <rFont val="Tahoma"/>
            <family val="2"/>
          </rPr>
          <t>Tabatabai, Arman (Research):</t>
        </r>
        <r>
          <rPr>
            <sz val="9"/>
            <color indexed="81"/>
            <rFont val="Tahoma"/>
            <family val="2"/>
          </rPr>
          <t xml:space="preserve">
NY ZEC 
Tranche 2; 4/1/19-3/31/2021
8/2016 Analyst day, slide 93</t>
        </r>
      </text>
    </comment>
    <comment ref="BP350" authorId="10">
      <text>
        <r>
          <rPr>
            <b/>
            <sz val="9"/>
            <color indexed="81"/>
            <rFont val="Tahoma"/>
            <family val="2"/>
          </rPr>
          <t>Tabatabai, Arman (Research):</t>
        </r>
        <r>
          <rPr>
            <sz val="9"/>
            <color indexed="81"/>
            <rFont val="Tahoma"/>
            <family val="2"/>
          </rPr>
          <t xml:space="preserve">
NY ZEC 
Tranche 2; 4/1/19-3/31/2021
8/2016 Analyst day, slide 93</t>
        </r>
      </text>
    </comment>
    <comment ref="BQ350" authorId="10">
      <text>
        <r>
          <rPr>
            <b/>
            <sz val="9"/>
            <color indexed="81"/>
            <rFont val="Tahoma"/>
            <family val="2"/>
          </rPr>
          <t>Tabatabai, Arman (Research):</t>
        </r>
        <r>
          <rPr>
            <sz val="9"/>
            <color indexed="81"/>
            <rFont val="Tahoma"/>
            <family val="2"/>
          </rPr>
          <t xml:space="preserve">
NY ZEC 
Tranche 2; 4/1/19-3/31/2021
8/2016 Analyst day, slide 93</t>
        </r>
      </text>
    </comment>
    <comment ref="AZ355" authorId="10">
      <text>
        <r>
          <rPr>
            <b/>
            <sz val="9"/>
            <color indexed="81"/>
            <rFont val="Tahoma"/>
            <family val="2"/>
          </rPr>
          <t>Tabatabai, Arman (Research):</t>
        </r>
        <r>
          <rPr>
            <sz val="9"/>
            <color indexed="81"/>
            <rFont val="Tahoma"/>
            <family val="2"/>
          </rPr>
          <t xml:space="preserve">
2018 refueling outage</t>
        </r>
      </text>
    </comment>
    <comment ref="BC355" authorId="4">
      <text>
        <r>
          <rPr>
            <b/>
            <sz val="9"/>
            <color indexed="81"/>
            <rFont val="Tahoma"/>
            <family val="2"/>
          </rPr>
          <t>McDermott, Devin (Research):</t>
        </r>
        <r>
          <rPr>
            <sz val="9"/>
            <color indexed="81"/>
            <rFont val="Tahoma"/>
            <family val="2"/>
          </rPr>
          <t xml:space="preserve">
assumes normal outage cycle by 2019, in-line with other ExGen nukes &amp; gross margin guidance as per Nov 2016 EEI slides</t>
        </r>
      </text>
    </comment>
    <comment ref="AV363" authorId="10">
      <text>
        <r>
          <rPr>
            <b/>
            <sz val="9"/>
            <color indexed="81"/>
            <rFont val="Tahoma"/>
            <family val="2"/>
          </rPr>
          <t>Tabatabai, Arman (Research):</t>
        </r>
        <r>
          <rPr>
            <sz val="9"/>
            <color indexed="81"/>
            <rFont val="Tahoma"/>
            <family val="2"/>
          </rPr>
          <t xml:space="preserve">
NY ZEC 
Tranche 1 yields $17.48, 8/2016 Analyst day, slide 93</t>
        </r>
      </text>
    </comment>
    <comment ref="AW363" authorId="10">
      <text>
        <r>
          <rPr>
            <b/>
            <sz val="9"/>
            <color indexed="81"/>
            <rFont val="Tahoma"/>
            <family val="2"/>
          </rPr>
          <t>Tabatabai, Arman (Research):</t>
        </r>
        <r>
          <rPr>
            <sz val="9"/>
            <color indexed="81"/>
            <rFont val="Tahoma"/>
            <family val="2"/>
          </rPr>
          <t xml:space="preserve">
NY ZEC 
Tranche 1 yields $17.48, 8/2016 Analyst day, slide 93</t>
        </r>
      </text>
    </comment>
    <comment ref="AX363" authorId="10">
      <text>
        <r>
          <rPr>
            <b/>
            <sz val="9"/>
            <color indexed="81"/>
            <rFont val="Tahoma"/>
            <family val="2"/>
          </rPr>
          <t>Tabatabai, Arman (Research):</t>
        </r>
        <r>
          <rPr>
            <sz val="9"/>
            <color indexed="81"/>
            <rFont val="Tahoma"/>
            <family val="2"/>
          </rPr>
          <t xml:space="preserve">
NY ZEC 
Tranche 1 yields $17.48, 8/2016 Analyst day, slide 93</t>
        </r>
      </text>
    </comment>
    <comment ref="AY363" authorId="10">
      <text>
        <r>
          <rPr>
            <b/>
            <sz val="9"/>
            <color indexed="81"/>
            <rFont val="Tahoma"/>
            <family val="2"/>
          </rPr>
          <t>Tabatabai, Arman (Research):</t>
        </r>
        <r>
          <rPr>
            <sz val="9"/>
            <color indexed="81"/>
            <rFont val="Tahoma"/>
            <family val="2"/>
          </rPr>
          <t xml:space="preserve">
NY ZEC 
Tranche 1 yields $17.48, 8/2016 Analyst day, slide 93</t>
        </r>
      </text>
    </comment>
    <comment ref="AZ363" authorId="10">
      <text>
        <r>
          <rPr>
            <b/>
            <sz val="9"/>
            <color indexed="81"/>
            <rFont val="Tahoma"/>
            <family val="2"/>
          </rPr>
          <t>Tabatabai, Arman (Research):</t>
        </r>
        <r>
          <rPr>
            <sz val="9"/>
            <color indexed="81"/>
            <rFont val="Tahoma"/>
            <family val="2"/>
          </rPr>
          <t xml:space="preserve">
NY ZEC 
Tranche 1 yields $17.48, 8/2016 Analyst day, slide 93</t>
        </r>
      </text>
    </comment>
    <comment ref="BA363" authorId="10">
      <text>
        <r>
          <rPr>
            <b/>
            <sz val="9"/>
            <color indexed="81"/>
            <rFont val="Tahoma"/>
            <family val="2"/>
          </rPr>
          <t>Tabatabai, Arman (Research):</t>
        </r>
        <r>
          <rPr>
            <sz val="9"/>
            <color indexed="81"/>
            <rFont val="Tahoma"/>
            <family val="2"/>
          </rPr>
          <t xml:space="preserve">
NY ZEC 
Tranche 1 yields $17.48, 8/2016 Analyst day, slide 93</t>
        </r>
      </text>
    </comment>
    <comment ref="BB363" authorId="10">
      <text>
        <r>
          <rPr>
            <b/>
            <sz val="9"/>
            <color indexed="81"/>
            <rFont val="Tahoma"/>
            <family val="2"/>
          </rPr>
          <t>Tabatabai, Arman (Research):</t>
        </r>
        <r>
          <rPr>
            <sz val="9"/>
            <color indexed="81"/>
            <rFont val="Tahoma"/>
            <family val="2"/>
          </rPr>
          <t xml:space="preserve">
NY ZEC 
Tranche 1 yields $17.48, 8/2016 Analyst day, slide 93</t>
        </r>
      </text>
    </comment>
    <comment ref="BC363" authorId="10">
      <text>
        <r>
          <rPr>
            <b/>
            <sz val="9"/>
            <color indexed="81"/>
            <rFont val="Tahoma"/>
            <family val="2"/>
          </rPr>
          <t>Tabatabai, Arman (Research):</t>
        </r>
        <r>
          <rPr>
            <sz val="9"/>
            <color indexed="81"/>
            <rFont val="Tahoma"/>
            <family val="2"/>
          </rPr>
          <t xml:space="preserve">
NY ZEC 
Tranche 1 yields $17.48, 8/2016 Analyst day, slide 93</t>
        </r>
      </text>
    </comment>
    <comment ref="BD363" authorId="10">
      <text>
        <r>
          <rPr>
            <b/>
            <sz val="9"/>
            <color indexed="81"/>
            <rFont val="Tahoma"/>
            <family val="2"/>
          </rPr>
          <t>Tabatabai, Arman (Research):</t>
        </r>
        <r>
          <rPr>
            <sz val="9"/>
            <color indexed="81"/>
            <rFont val="Tahoma"/>
            <family val="2"/>
          </rPr>
          <t xml:space="preserve">
NY ZEC 
Tranche 2; 4/1/19-3/31/2021
8/2016 Analyst day, slide 93</t>
        </r>
      </text>
    </comment>
    <comment ref="BE363" authorId="10">
      <text>
        <r>
          <rPr>
            <b/>
            <sz val="9"/>
            <color indexed="81"/>
            <rFont val="Tahoma"/>
            <family val="2"/>
          </rPr>
          <t>Tabatabai, Arman (Research):</t>
        </r>
        <r>
          <rPr>
            <sz val="9"/>
            <color indexed="81"/>
            <rFont val="Tahoma"/>
            <family val="2"/>
          </rPr>
          <t xml:space="preserve">
NY ZEC 
Tranche 2; 4/1/19-3/31/2021
8/2016 Analyst day, slide 93</t>
        </r>
      </text>
    </comment>
    <comment ref="BF363" authorId="10">
      <text>
        <r>
          <rPr>
            <b/>
            <sz val="9"/>
            <color indexed="81"/>
            <rFont val="Tahoma"/>
            <family val="2"/>
          </rPr>
          <t>Tabatabai, Arman (Research):</t>
        </r>
        <r>
          <rPr>
            <sz val="9"/>
            <color indexed="81"/>
            <rFont val="Tahoma"/>
            <family val="2"/>
          </rPr>
          <t xml:space="preserve">
NY ZEC 
Tranche 2; 4/1/19-3/31/2021
8/2016 Analyst day, slide 93</t>
        </r>
      </text>
    </comment>
    <comment ref="BG363" authorId="10">
      <text>
        <r>
          <rPr>
            <b/>
            <sz val="9"/>
            <color indexed="81"/>
            <rFont val="Tahoma"/>
            <family val="2"/>
          </rPr>
          <t>Tabatabai, Arman (Research):</t>
        </r>
        <r>
          <rPr>
            <sz val="9"/>
            <color indexed="81"/>
            <rFont val="Tahoma"/>
            <family val="2"/>
          </rPr>
          <t xml:space="preserve">
NY ZEC 
Tranche 2; 4/1/19-3/31/2021
8/2016 Analyst day, slide 93</t>
        </r>
      </text>
    </comment>
    <comment ref="BH363" authorId="10">
      <text>
        <r>
          <rPr>
            <b/>
            <sz val="9"/>
            <color indexed="81"/>
            <rFont val="Tahoma"/>
            <family val="2"/>
          </rPr>
          <t>Tabatabai, Arman (Research):</t>
        </r>
        <r>
          <rPr>
            <sz val="9"/>
            <color indexed="81"/>
            <rFont val="Tahoma"/>
            <family val="2"/>
          </rPr>
          <t xml:space="preserve">
NY ZEC 
Tranche 2; 4/1/19-3/31/2021
8/2016 Analyst day, slide 93</t>
        </r>
      </text>
    </comment>
    <comment ref="BI363" authorId="10">
      <text>
        <r>
          <rPr>
            <b/>
            <sz val="9"/>
            <color indexed="81"/>
            <rFont val="Tahoma"/>
            <family val="2"/>
          </rPr>
          <t>Tabatabai, Arman (Research):</t>
        </r>
        <r>
          <rPr>
            <sz val="9"/>
            <color indexed="81"/>
            <rFont val="Tahoma"/>
            <family val="2"/>
          </rPr>
          <t xml:space="preserve">
NY ZEC 
Tranche 2; 4/1/19-3/31/2021
8/2016 Analyst day, slide 93</t>
        </r>
      </text>
    </comment>
    <comment ref="BJ363" authorId="10">
      <text>
        <r>
          <rPr>
            <b/>
            <sz val="9"/>
            <color indexed="81"/>
            <rFont val="Tahoma"/>
            <family val="2"/>
          </rPr>
          <t>Tabatabai, Arman (Research):</t>
        </r>
        <r>
          <rPr>
            <sz val="9"/>
            <color indexed="81"/>
            <rFont val="Tahoma"/>
            <family val="2"/>
          </rPr>
          <t xml:space="preserve">
NY ZEC 
Tranche 2; 4/1/19-3/31/2021
8/2016 Analyst day, slide 93</t>
        </r>
      </text>
    </comment>
    <comment ref="BK363" authorId="10">
      <text>
        <r>
          <rPr>
            <b/>
            <sz val="9"/>
            <color indexed="81"/>
            <rFont val="Tahoma"/>
            <family val="2"/>
          </rPr>
          <t>Tabatabai, Arman (Research):</t>
        </r>
        <r>
          <rPr>
            <sz val="9"/>
            <color indexed="81"/>
            <rFont val="Tahoma"/>
            <family val="2"/>
          </rPr>
          <t xml:space="preserve">
NY ZEC 
Tranche 2; 4/1/19-3/31/2021
8/2016 Analyst day, slide 93</t>
        </r>
      </text>
    </comment>
    <comment ref="BL363" authorId="10">
      <text>
        <r>
          <rPr>
            <b/>
            <sz val="9"/>
            <color indexed="81"/>
            <rFont val="Tahoma"/>
            <family val="2"/>
          </rPr>
          <t>Tabatabai, Arman (Research):</t>
        </r>
        <r>
          <rPr>
            <sz val="9"/>
            <color indexed="81"/>
            <rFont val="Tahoma"/>
            <family val="2"/>
          </rPr>
          <t xml:space="preserve">
NY ZEC 
Tranche 2; 4/1/19-3/31/2021
8/2016 Analyst day, slide 93</t>
        </r>
      </text>
    </comment>
    <comment ref="BM363" authorId="10">
      <text>
        <r>
          <rPr>
            <b/>
            <sz val="9"/>
            <color indexed="81"/>
            <rFont val="Tahoma"/>
            <family val="2"/>
          </rPr>
          <t>Tabatabai, Arman (Research):</t>
        </r>
        <r>
          <rPr>
            <sz val="9"/>
            <color indexed="81"/>
            <rFont val="Tahoma"/>
            <family val="2"/>
          </rPr>
          <t xml:space="preserve">
NY ZEC 
Tranche 2; 4/1/19-3/31/2021
8/2016 Analyst day, slide 93</t>
        </r>
      </text>
    </comment>
    <comment ref="BN363" authorId="10">
      <text>
        <r>
          <rPr>
            <b/>
            <sz val="9"/>
            <color indexed="81"/>
            <rFont val="Tahoma"/>
            <family val="2"/>
          </rPr>
          <t>Tabatabai, Arman (Research):</t>
        </r>
        <r>
          <rPr>
            <sz val="9"/>
            <color indexed="81"/>
            <rFont val="Tahoma"/>
            <family val="2"/>
          </rPr>
          <t xml:space="preserve">
NY ZEC 
Tranche 2; 4/1/19-3/31/2021
8/2016 Analyst day, slide 93</t>
        </r>
      </text>
    </comment>
    <comment ref="BO363" authorId="10">
      <text>
        <r>
          <rPr>
            <b/>
            <sz val="9"/>
            <color indexed="81"/>
            <rFont val="Tahoma"/>
            <family val="2"/>
          </rPr>
          <t>Tabatabai, Arman (Research):</t>
        </r>
        <r>
          <rPr>
            <sz val="9"/>
            <color indexed="81"/>
            <rFont val="Tahoma"/>
            <family val="2"/>
          </rPr>
          <t xml:space="preserve">
NY ZEC 
Tranche 2; 4/1/19-3/31/2021
8/2016 Analyst day, slide 93</t>
        </r>
      </text>
    </comment>
    <comment ref="BP363" authorId="10">
      <text>
        <r>
          <rPr>
            <b/>
            <sz val="9"/>
            <color indexed="81"/>
            <rFont val="Tahoma"/>
            <family val="2"/>
          </rPr>
          <t>Tabatabai, Arman (Research):</t>
        </r>
        <r>
          <rPr>
            <sz val="9"/>
            <color indexed="81"/>
            <rFont val="Tahoma"/>
            <family val="2"/>
          </rPr>
          <t xml:space="preserve">
NY ZEC 
Tranche 2; 4/1/19-3/31/2021
8/2016 Analyst day, slide 93</t>
        </r>
      </text>
    </comment>
    <comment ref="BQ363" authorId="10">
      <text>
        <r>
          <rPr>
            <b/>
            <sz val="9"/>
            <color indexed="81"/>
            <rFont val="Tahoma"/>
            <family val="2"/>
          </rPr>
          <t>Tabatabai, Arman (Research):</t>
        </r>
        <r>
          <rPr>
            <sz val="9"/>
            <color indexed="81"/>
            <rFont val="Tahoma"/>
            <family val="2"/>
          </rPr>
          <t xml:space="preserve">
NY ZEC 
Tranche 2; 4/1/19-3/31/2021
8/2016 Analyst day, slide 93</t>
        </r>
      </text>
    </comment>
    <comment ref="AT366" authorId="10">
      <text>
        <r>
          <rPr>
            <b/>
            <sz val="9"/>
            <color indexed="81"/>
            <rFont val="Tahoma"/>
            <family val="2"/>
          </rPr>
          <t>Tabatabai, Arman (Research):</t>
        </r>
        <r>
          <rPr>
            <sz val="9"/>
            <color indexed="81"/>
            <rFont val="Tahoma"/>
            <family val="2"/>
          </rPr>
          <t xml:space="preserve">
Exelon-Entergy James A. Fitzpatrick acquisition expected 2Q17 close date</t>
        </r>
      </text>
    </comment>
    <comment ref="BA368" authorId="10">
      <text>
        <r>
          <rPr>
            <b/>
            <sz val="9"/>
            <color indexed="81"/>
            <rFont val="Tahoma"/>
            <family val="2"/>
          </rPr>
          <t>Tabatabai, Arman (Research):</t>
        </r>
        <r>
          <rPr>
            <sz val="9"/>
            <color indexed="81"/>
            <rFont val="Tahoma"/>
            <family val="2"/>
          </rPr>
          <t xml:space="preserve">
2018 refueling outage</t>
        </r>
      </text>
    </comment>
    <comment ref="BC368" authorId="4">
      <text>
        <r>
          <rPr>
            <b/>
            <sz val="9"/>
            <color indexed="81"/>
            <rFont val="Tahoma"/>
            <family val="2"/>
          </rPr>
          <t>McDermott, Devin (Research):</t>
        </r>
        <r>
          <rPr>
            <sz val="9"/>
            <color indexed="81"/>
            <rFont val="Tahoma"/>
            <family val="2"/>
          </rPr>
          <t xml:space="preserve">
assumes normal outage cycle by 2019, in-line with other ExGen nukes &amp; gross margin guidance as per Nov 2016 EEI slides</t>
        </r>
      </text>
    </comment>
    <comment ref="I392" authorId="0">
      <text>
        <r>
          <rPr>
            <b/>
            <sz val="8"/>
            <color indexed="81"/>
            <rFont val="Tahoma"/>
            <family val="2"/>
          </rPr>
          <t>rajeevl:</t>
        </r>
        <r>
          <rPr>
            <sz val="8"/>
            <color indexed="81"/>
            <rFont val="Tahoma"/>
            <family val="2"/>
          </rPr>
          <t xml:space="preserve">
max level for quarter</t>
        </r>
      </text>
    </comment>
    <comment ref="AI392" authorId="4">
      <text>
        <r>
          <rPr>
            <b/>
            <sz val="9"/>
            <color indexed="81"/>
            <rFont val="Tahoma"/>
            <family val="2"/>
          </rPr>
          <t>McDermott, Devin (Research):</t>
        </r>
        <r>
          <rPr>
            <sz val="9"/>
            <color indexed="81"/>
            <rFont val="Tahoma"/>
            <family val="2"/>
          </rPr>
          <t xml:space="preserve">
Assumed due to cold weather / gas delivery</t>
        </r>
      </text>
    </comment>
    <comment ref="I405" authorId="0">
      <text>
        <r>
          <rPr>
            <b/>
            <sz val="8"/>
            <color indexed="81"/>
            <rFont val="Tahoma"/>
            <family val="2"/>
          </rPr>
          <t>rajeevl:</t>
        </r>
        <r>
          <rPr>
            <sz val="8"/>
            <color indexed="81"/>
            <rFont val="Tahoma"/>
            <family val="2"/>
          </rPr>
          <t xml:space="preserve">
max level for quarter</t>
        </r>
      </text>
    </comment>
    <comment ref="C412" authorId="0">
      <text>
        <r>
          <rPr>
            <b/>
            <sz val="8"/>
            <color indexed="81"/>
            <rFont val="Tahoma"/>
            <family val="2"/>
          </rPr>
          <t>rajeevl:</t>
        </r>
        <r>
          <rPr>
            <sz val="8"/>
            <color indexed="81"/>
            <rFont val="Tahoma"/>
            <family val="2"/>
          </rPr>
          <t xml:space="preserve">
plant is in Utah
</t>
        </r>
      </text>
    </comment>
    <comment ref="I418" authorId="0">
      <text>
        <r>
          <rPr>
            <b/>
            <sz val="8"/>
            <color indexed="81"/>
            <rFont val="Tahoma"/>
            <family val="2"/>
          </rPr>
          <t xml:space="preserve">ramrama:
</t>
        </r>
        <r>
          <rPr>
            <sz val="8"/>
            <color indexed="81"/>
            <rFont val="Tahoma"/>
            <family val="2"/>
          </rPr>
          <t>From SnL CP of West Valley UT in 2011</t>
        </r>
      </text>
    </comment>
    <comment ref="I429" authorId="4">
      <text>
        <r>
          <rPr>
            <b/>
            <sz val="9"/>
            <color indexed="81"/>
            <rFont val="Tahoma"/>
            <family val="2"/>
          </rPr>
          <t>McDermott, Devin (Research):</t>
        </r>
        <r>
          <rPr>
            <sz val="9"/>
            <color indexed="81"/>
            <rFont val="Tahoma"/>
            <family val="2"/>
          </rPr>
          <t xml:space="preserve">
we include Quail Run here due to the high heat rate and low capacity factor</t>
        </r>
      </text>
    </comment>
    <comment ref="AI429" authorId="4">
      <text>
        <r>
          <rPr>
            <b/>
            <sz val="9"/>
            <color indexed="81"/>
            <rFont val="Tahoma"/>
            <family val="2"/>
          </rPr>
          <t>McDermott, Devin (Research):</t>
        </r>
        <r>
          <rPr>
            <sz val="9"/>
            <color indexed="81"/>
            <rFont val="Tahoma"/>
            <family val="2"/>
          </rPr>
          <t xml:space="preserve">
Quail Run sale</t>
        </r>
      </text>
    </comment>
    <comment ref="AX429" authorId="10">
      <text>
        <r>
          <rPr>
            <b/>
            <sz val="9"/>
            <color indexed="81"/>
            <rFont val="Tahoma"/>
            <family val="2"/>
          </rPr>
          <t>Tabatabai, Arman (Research):</t>
        </r>
        <r>
          <rPr>
            <sz val="9"/>
            <color indexed="81"/>
            <rFont val="Tahoma"/>
            <family val="2"/>
          </rPr>
          <t xml:space="preserve">
EGTP Removal FY18 and FY19; footnotes slide 18 of 2017 EEI Presentation</t>
        </r>
      </text>
    </comment>
    <comment ref="I431" authorId="0">
      <text>
        <r>
          <rPr>
            <b/>
            <sz val="8"/>
            <color indexed="81"/>
            <rFont val="Tahoma"/>
            <family val="2"/>
          </rPr>
          <t>rajeevl:</t>
        </r>
        <r>
          <rPr>
            <sz val="8"/>
            <color indexed="81"/>
            <rFont val="Tahoma"/>
            <family val="2"/>
          </rPr>
          <t xml:space="preserve">
max level for quarter</t>
        </r>
      </text>
    </comment>
    <comment ref="AX443" authorId="10">
      <text>
        <r>
          <rPr>
            <b/>
            <sz val="9"/>
            <color indexed="81"/>
            <rFont val="Tahoma"/>
            <family val="2"/>
          </rPr>
          <t>Tabatabai, Arman (Research):</t>
        </r>
        <r>
          <rPr>
            <sz val="9"/>
            <color indexed="81"/>
            <rFont val="Tahoma"/>
            <family val="2"/>
          </rPr>
          <t xml:space="preserve">
EGTP Removal FY18 and FY19; footnotes slide 18 of 2017 EEI Presentation</t>
        </r>
      </text>
    </comment>
    <comment ref="AI481" authorId="4">
      <text>
        <r>
          <rPr>
            <b/>
            <sz val="9"/>
            <color indexed="81"/>
            <rFont val="Tahoma"/>
            <family val="2"/>
          </rPr>
          <t>McDermott, Devin (Research):</t>
        </r>
        <r>
          <rPr>
            <sz val="9"/>
            <color indexed="81"/>
            <rFont val="Tahoma"/>
            <family val="2"/>
          </rPr>
          <t xml:space="preserve">
adjustment to capture the delta between Z6 gas and AGT</t>
        </r>
      </text>
    </comment>
    <comment ref="AN481" authorId="4">
      <text>
        <r>
          <rPr>
            <b/>
            <sz val="9"/>
            <color indexed="81"/>
            <rFont val="Tahoma"/>
            <family val="2"/>
          </rPr>
          <t>McDermott, Devin (Research):</t>
        </r>
        <r>
          <rPr>
            <sz val="9"/>
            <color indexed="81"/>
            <rFont val="Tahoma"/>
            <family val="2"/>
          </rPr>
          <t xml:space="preserve">
adjustment to capture the delta between Z6 gas and AGT</t>
        </r>
      </text>
    </comment>
    <comment ref="AO481" authorId="4">
      <text>
        <r>
          <rPr>
            <b/>
            <sz val="9"/>
            <color indexed="81"/>
            <rFont val="Tahoma"/>
            <family val="2"/>
          </rPr>
          <t>McDermott, Devin (Research):</t>
        </r>
        <r>
          <rPr>
            <sz val="9"/>
            <color indexed="81"/>
            <rFont val="Tahoma"/>
            <family val="2"/>
          </rPr>
          <t xml:space="preserve">
adjusted based on disconnect in forward curve versus nat gas</t>
        </r>
      </text>
    </comment>
    <comment ref="AP481" authorId="4">
      <text>
        <r>
          <rPr>
            <b/>
            <sz val="9"/>
            <color indexed="81"/>
            <rFont val="Tahoma"/>
            <family val="2"/>
          </rPr>
          <t>McDermott, Devin (Research):</t>
        </r>
        <r>
          <rPr>
            <sz val="9"/>
            <color indexed="81"/>
            <rFont val="Tahoma"/>
            <family val="2"/>
          </rPr>
          <t xml:space="preserve">
adjusted based on disconnect in forward curve versus nat gas</t>
        </r>
      </text>
    </comment>
    <comment ref="AQ481" authorId="4">
      <text>
        <r>
          <rPr>
            <b/>
            <sz val="9"/>
            <color indexed="81"/>
            <rFont val="Tahoma"/>
            <family val="2"/>
          </rPr>
          <t>McDermott, Devin (Research):</t>
        </r>
        <r>
          <rPr>
            <sz val="9"/>
            <color indexed="81"/>
            <rFont val="Tahoma"/>
            <family val="2"/>
          </rPr>
          <t xml:space="preserve">
adjusted based on disconnect in forward curve versus nat gas</t>
        </r>
      </text>
    </comment>
    <comment ref="AR481" authorId="11">
      <text>
        <r>
          <rPr>
            <b/>
            <sz val="9"/>
            <color indexed="81"/>
            <rFont val="Tahoma"/>
            <family val="2"/>
          </rPr>
          <t>Kobus, Jim (Research):</t>
        </r>
        <r>
          <rPr>
            <sz val="9"/>
            <color indexed="81"/>
            <rFont val="Tahoma"/>
            <family val="2"/>
          </rPr>
          <t xml:space="preserve">
adjusted to tie out with $9.60 reference level sparkspread 4Q15 slide 15</t>
        </r>
      </text>
    </comment>
    <comment ref="AI483" authorId="4">
      <text>
        <r>
          <rPr>
            <b/>
            <sz val="9"/>
            <color indexed="81"/>
            <rFont val="Tahoma"/>
            <family val="2"/>
          </rPr>
          <t>McDermott, Devin (Research):</t>
        </r>
        <r>
          <rPr>
            <sz val="9"/>
            <color indexed="81"/>
            <rFont val="Tahoma"/>
            <family val="2"/>
          </rPr>
          <t xml:space="preserve">
Asset sale</t>
        </r>
      </text>
    </comment>
    <comment ref="C498" authorId="0">
      <text>
        <r>
          <rPr>
            <b/>
            <sz val="8"/>
            <color indexed="81"/>
            <rFont val="Tahoma"/>
            <family val="2"/>
          </rPr>
          <t>rajeevl:</t>
        </r>
        <r>
          <rPr>
            <sz val="8"/>
            <color indexed="81"/>
            <rFont val="Tahoma"/>
            <family val="2"/>
          </rPr>
          <t xml:space="preserve">
we use a Cinergy</t>
        </r>
      </text>
    </comment>
    <comment ref="I520" authorId="0">
      <text>
        <r>
          <rPr>
            <b/>
            <sz val="8"/>
            <color indexed="81"/>
            <rFont val="Tahoma"/>
            <family val="2"/>
          </rPr>
          <t>rajeevl:</t>
        </r>
        <r>
          <rPr>
            <sz val="8"/>
            <color indexed="81"/>
            <rFont val="Tahoma"/>
            <family val="2"/>
          </rPr>
          <t xml:space="preserve">
based on an $80/bbl oil price</t>
        </r>
      </text>
    </comment>
    <comment ref="I522" authorId="0">
      <text>
        <r>
          <rPr>
            <b/>
            <sz val="8"/>
            <color indexed="81"/>
            <rFont val="Tahoma"/>
            <family val="2"/>
          </rPr>
          <t>rajeevl:</t>
        </r>
        <r>
          <rPr>
            <sz val="8"/>
            <color indexed="81"/>
            <rFont val="Tahoma"/>
            <family val="2"/>
          </rPr>
          <t xml:space="preserve">
p.100 of 2012 analyst day</t>
        </r>
      </text>
    </comment>
    <comment ref="I524" authorId="13">
      <text>
        <r>
          <rPr>
            <b/>
            <sz val="8"/>
            <color indexed="81"/>
            <rFont val="Tahoma"/>
            <family val="2"/>
          </rPr>
          <t>ramrama:</t>
        </r>
        <r>
          <rPr>
            <sz val="8"/>
            <color indexed="81"/>
            <rFont val="Tahoma"/>
            <family val="2"/>
          </rPr>
          <t xml:space="preserve">
these units will not run owning to high fuel costs</t>
        </r>
      </text>
    </comment>
    <comment ref="I538" authorId="0">
      <text>
        <r>
          <rPr>
            <b/>
            <sz val="8"/>
            <color indexed="81"/>
            <rFont val="Tahoma"/>
            <family val="2"/>
          </rPr>
          <t xml:space="preserve">ramrama:
</t>
        </r>
        <r>
          <rPr>
            <sz val="8"/>
            <color indexed="81"/>
            <rFont val="Tahoma"/>
            <family val="2"/>
          </rPr>
          <t>From SnL CP of West Valley UT in 2011</t>
        </r>
      </text>
    </comment>
    <comment ref="I558" authorId="0">
      <text>
        <r>
          <rPr>
            <b/>
            <sz val="8"/>
            <color indexed="81"/>
            <rFont val="Tahoma"/>
            <family val="2"/>
          </rPr>
          <t>rajeevl:</t>
        </r>
        <r>
          <rPr>
            <sz val="8"/>
            <color indexed="81"/>
            <rFont val="Tahoma"/>
            <family val="2"/>
          </rPr>
          <t xml:space="preserve">
assumed contract price</t>
        </r>
      </text>
    </comment>
    <comment ref="AQ559" authorId="4">
      <text>
        <r>
          <rPr>
            <b/>
            <sz val="9"/>
            <color indexed="81"/>
            <rFont val="Tahoma"/>
            <family val="2"/>
          </rPr>
          <t>McDermott, Devin (Research):</t>
        </r>
        <r>
          <rPr>
            <sz val="9"/>
            <color indexed="81"/>
            <rFont val="Tahoma"/>
            <family val="2"/>
          </rPr>
          <t xml:space="preserve">
Michigan Wind 3 &amp; Bluestem Wind</t>
        </r>
      </text>
    </comment>
    <comment ref="I570" authorId="0">
      <text>
        <r>
          <rPr>
            <b/>
            <sz val="8"/>
            <color indexed="81"/>
            <rFont val="Tahoma"/>
            <family val="2"/>
          </rPr>
          <t>rajeevl:</t>
        </r>
        <r>
          <rPr>
            <sz val="8"/>
            <color indexed="81"/>
            <rFont val="Tahoma"/>
            <family val="2"/>
          </rPr>
          <t xml:space="preserve">
assumed contract price</t>
        </r>
      </text>
    </comment>
    <comment ref="I582" authorId="0">
      <text>
        <r>
          <rPr>
            <b/>
            <sz val="8"/>
            <color indexed="81"/>
            <rFont val="Tahoma"/>
            <family val="2"/>
          </rPr>
          <t>rajeevl:</t>
        </r>
        <r>
          <rPr>
            <sz val="8"/>
            <color indexed="81"/>
            <rFont val="Tahoma"/>
            <family val="2"/>
          </rPr>
          <t xml:space="preserve">
assumed contract price</t>
        </r>
      </text>
    </comment>
    <comment ref="AU583" authorId="10">
      <text>
        <r>
          <rPr>
            <b/>
            <sz val="9"/>
            <color indexed="81"/>
            <rFont val="Tahoma"/>
            <family val="2"/>
          </rPr>
          <t>Tabatabai, Arman (Research):</t>
        </r>
        <r>
          <rPr>
            <sz val="9"/>
            <color indexed="81"/>
            <rFont val="Tahoma"/>
            <family val="2"/>
          </rPr>
          <t xml:space="preserve">
Albany Green Energy </t>
        </r>
      </text>
    </comment>
    <comment ref="I606" authorId="0">
      <text>
        <r>
          <rPr>
            <b/>
            <sz val="8"/>
            <color indexed="81"/>
            <rFont val="Tahoma"/>
            <family val="2"/>
          </rPr>
          <t>rajeevl:</t>
        </r>
        <r>
          <rPr>
            <sz val="8"/>
            <color indexed="81"/>
            <rFont val="Tahoma"/>
            <family val="2"/>
          </rPr>
          <t xml:space="preserve">
Fuel cost is a multiple of off-peak, which includes some losses</t>
        </r>
      </text>
    </comment>
    <comment ref="AG621" authorId="4">
      <text>
        <r>
          <rPr>
            <b/>
            <sz val="9"/>
            <color indexed="81"/>
            <rFont val="Tahoma"/>
            <family val="2"/>
          </rPr>
          <t>McDermott, Devin (Research):</t>
        </r>
        <r>
          <rPr>
            <sz val="9"/>
            <color indexed="81"/>
            <rFont val="Tahoma"/>
            <family val="2"/>
          </rPr>
          <t xml:space="preserve">
Safe Harbor Sale</t>
        </r>
      </text>
    </comment>
    <comment ref="C642" authorId="0">
      <text>
        <r>
          <rPr>
            <b/>
            <sz val="8"/>
            <color indexed="81"/>
            <rFont val="Tahoma"/>
            <family val="2"/>
          </rPr>
          <t>rajeevl:</t>
        </r>
        <r>
          <rPr>
            <sz val="8"/>
            <color indexed="81"/>
            <rFont val="Tahoma"/>
            <family val="2"/>
          </rPr>
          <t xml:space="preserve">
keystone and conemaugh</t>
        </r>
      </text>
    </comment>
    <comment ref="AI646" authorId="4">
      <text>
        <r>
          <rPr>
            <b/>
            <sz val="9"/>
            <color indexed="81"/>
            <rFont val="Tahoma"/>
            <family val="2"/>
          </rPr>
          <t>McDermott, Devin (Research):</t>
        </r>
        <r>
          <rPr>
            <sz val="9"/>
            <color indexed="81"/>
            <rFont val="Tahoma"/>
            <family val="2"/>
          </rPr>
          <t xml:space="preserve">
Key/Con asset sale</t>
        </r>
      </text>
    </comment>
    <comment ref="C655" authorId="0">
      <text>
        <r>
          <rPr>
            <b/>
            <sz val="8"/>
            <color indexed="81"/>
            <rFont val="Tahoma"/>
            <family val="2"/>
          </rPr>
          <t xml:space="preserve">rajeevl:
</t>
        </r>
        <r>
          <rPr>
            <sz val="8"/>
            <color indexed="81"/>
            <rFont val="Tahoma"/>
            <family val="2"/>
          </rPr>
          <t>Waste coal and other coal</t>
        </r>
      </text>
    </comment>
    <comment ref="AP674" authorId="4">
      <text>
        <r>
          <rPr>
            <b/>
            <sz val="9"/>
            <color indexed="81"/>
            <rFont val="Tahoma"/>
            <family val="2"/>
          </rPr>
          <t>McDermott, Devin (Research):</t>
        </r>
        <r>
          <rPr>
            <sz val="9"/>
            <color indexed="81"/>
            <rFont val="Tahoma"/>
            <family val="2"/>
          </rPr>
          <t xml:space="preserve">
2015 EEI slides</t>
        </r>
      </text>
    </comment>
    <comment ref="AZ674" authorId="4">
      <text>
        <r>
          <rPr>
            <b/>
            <sz val="9"/>
            <color indexed="81"/>
            <rFont val="Tahoma"/>
            <family val="2"/>
          </rPr>
          <t>McDermott, Devin (Research):</t>
        </r>
        <r>
          <rPr>
            <sz val="9"/>
            <color indexed="81"/>
            <rFont val="Tahoma"/>
            <family val="2"/>
          </rPr>
          <t xml:space="preserve">
EEI disclosure</t>
        </r>
      </text>
    </comment>
    <comment ref="BB674" authorId="4">
      <text>
        <r>
          <rPr>
            <b/>
            <sz val="9"/>
            <color indexed="81"/>
            <rFont val="Tahoma"/>
            <family val="2"/>
          </rPr>
          <t>McDermott, Devin (Research):</t>
        </r>
        <r>
          <rPr>
            <sz val="9"/>
            <color indexed="81"/>
            <rFont val="Tahoma"/>
            <family val="2"/>
          </rPr>
          <t xml:space="preserve">
We exclude Quad Cities</t>
        </r>
      </text>
    </comment>
    <comment ref="BE674" authorId="4">
      <text>
        <r>
          <rPr>
            <b/>
            <sz val="9"/>
            <color indexed="81"/>
            <rFont val="Tahoma"/>
            <family val="2"/>
          </rPr>
          <t xml:space="preserve">Tabatabai, Arman (Research):
</t>
        </r>
        <r>
          <rPr>
            <sz val="9"/>
            <color indexed="81"/>
            <rFont val="Tahoma"/>
            <family val="2"/>
          </rPr>
          <t>8/2016 Analyst Day, slide 125</t>
        </r>
      </text>
    </comment>
    <comment ref="BJ674" authorId="4">
      <text>
        <r>
          <rPr>
            <b/>
            <sz val="9"/>
            <color indexed="81"/>
            <rFont val="Tahoma"/>
            <family val="2"/>
          </rPr>
          <t xml:space="preserve">Tabatabai, Arman (Research):
</t>
        </r>
        <r>
          <rPr>
            <sz val="9"/>
            <color indexed="81"/>
            <rFont val="Tahoma"/>
            <family val="2"/>
          </rPr>
          <t>2Q17 Presentation, slide 23</t>
        </r>
      </text>
    </comment>
    <comment ref="BM674" authorId="10">
      <text>
        <r>
          <rPr>
            <b/>
            <sz val="9"/>
            <color indexed="81"/>
            <rFont val="Tahoma"/>
            <family val="2"/>
          </rPr>
          <t>Tabatabai, Arman (Research):</t>
        </r>
        <r>
          <rPr>
            <sz val="9"/>
            <color indexed="81"/>
            <rFont val="Tahoma"/>
            <family val="2"/>
          </rPr>
          <t xml:space="preserve">
Assumes Byron clears terminally</t>
        </r>
      </text>
    </comment>
    <comment ref="I675" authorId="4">
      <text>
        <r>
          <rPr>
            <b/>
            <sz val="9"/>
            <color indexed="81"/>
            <rFont val="Tahoma"/>
            <family val="2"/>
          </rPr>
          <t>McDermott, Devin (Research):</t>
        </r>
        <r>
          <rPr>
            <sz val="9"/>
            <color indexed="81"/>
            <rFont val="Tahoma"/>
            <family val="2"/>
          </rPr>
          <t xml:space="preserve">
2013 EEI slides</t>
        </r>
      </text>
    </comment>
    <comment ref="AU679" authorId="4">
      <text>
        <r>
          <rPr>
            <b/>
            <sz val="9"/>
            <color indexed="81"/>
            <rFont val="Tahoma"/>
            <family val="2"/>
          </rPr>
          <t>McDermott, Devin (Research):</t>
        </r>
        <r>
          <rPr>
            <sz val="9"/>
            <color indexed="81"/>
            <rFont val="Tahoma"/>
            <family val="2"/>
          </rPr>
          <t xml:space="preserve">
Oyster Creek did not clear</t>
        </r>
      </text>
    </comment>
    <comment ref="AZ679" authorId="4">
      <text>
        <r>
          <rPr>
            <b/>
            <sz val="9"/>
            <color indexed="81"/>
            <rFont val="Tahoma"/>
            <family val="2"/>
          </rPr>
          <t>McDermott, Devin (Research):</t>
        </r>
        <r>
          <rPr>
            <sz val="9"/>
            <color indexed="81"/>
            <rFont val="Tahoma"/>
            <family val="2"/>
          </rPr>
          <t xml:space="preserve">
EEI disclosure</t>
        </r>
      </text>
    </comment>
    <comment ref="BE679" authorId="4">
      <text>
        <r>
          <rPr>
            <b/>
            <sz val="9"/>
            <color indexed="81"/>
            <rFont val="Tahoma"/>
            <family val="2"/>
          </rPr>
          <t xml:space="preserve">Tabatabai, Arman (Research):
</t>
        </r>
        <r>
          <rPr>
            <sz val="9"/>
            <color indexed="81"/>
            <rFont val="Tahoma"/>
            <family val="2"/>
          </rPr>
          <t>8/2016 Analyst Day, slide 125</t>
        </r>
      </text>
    </comment>
    <comment ref="BJ679" authorId="4">
      <text>
        <r>
          <rPr>
            <b/>
            <sz val="9"/>
            <color indexed="81"/>
            <rFont val="Tahoma"/>
            <family val="2"/>
          </rPr>
          <t xml:space="preserve">Tabatabai, Arman (Research):
</t>
        </r>
        <r>
          <rPr>
            <sz val="9"/>
            <color indexed="81"/>
            <rFont val="Tahoma"/>
            <family val="2"/>
          </rPr>
          <t>2Q17 Presentation, slide 23</t>
        </r>
      </text>
    </comment>
    <comment ref="I680" authorId="4">
      <text>
        <r>
          <rPr>
            <b/>
            <sz val="9"/>
            <color indexed="81"/>
            <rFont val="Tahoma"/>
            <family val="2"/>
          </rPr>
          <t>McDermott, Devin (Research):</t>
        </r>
        <r>
          <rPr>
            <sz val="9"/>
            <color indexed="81"/>
            <rFont val="Tahoma"/>
            <family val="2"/>
          </rPr>
          <t xml:space="preserve">
2013 EEI slides</t>
        </r>
      </text>
    </comment>
    <comment ref="AZ684" authorId="4">
      <text>
        <r>
          <rPr>
            <b/>
            <sz val="9"/>
            <color indexed="81"/>
            <rFont val="Tahoma"/>
            <family val="2"/>
          </rPr>
          <t>McDermott, Devin (Research):</t>
        </r>
        <r>
          <rPr>
            <sz val="9"/>
            <color indexed="81"/>
            <rFont val="Tahoma"/>
            <family val="2"/>
          </rPr>
          <t xml:space="preserve">
EEI disclosure</t>
        </r>
      </text>
    </comment>
    <comment ref="BE684" authorId="4">
      <text>
        <r>
          <rPr>
            <b/>
            <sz val="9"/>
            <color indexed="81"/>
            <rFont val="Tahoma"/>
            <family val="2"/>
          </rPr>
          <t xml:space="preserve">Tabatabai, Arman (Research):
</t>
        </r>
        <r>
          <rPr>
            <sz val="9"/>
            <color indexed="81"/>
            <rFont val="Tahoma"/>
            <family val="2"/>
          </rPr>
          <t>8/2016 Analyst Day, slide 125</t>
        </r>
      </text>
    </comment>
    <comment ref="BJ684" authorId="4">
      <text>
        <r>
          <rPr>
            <b/>
            <sz val="9"/>
            <color indexed="81"/>
            <rFont val="Tahoma"/>
            <family val="2"/>
          </rPr>
          <t xml:space="preserve">Tabatabai, Arman (Research):
</t>
        </r>
        <r>
          <rPr>
            <sz val="9"/>
            <color indexed="81"/>
            <rFont val="Tahoma"/>
            <family val="2"/>
          </rPr>
          <t>2Q17 Presentation, slide 23</t>
        </r>
      </text>
    </comment>
    <comment ref="I685" authorId="4">
      <text>
        <r>
          <rPr>
            <b/>
            <sz val="9"/>
            <color indexed="81"/>
            <rFont val="Tahoma"/>
            <family val="2"/>
          </rPr>
          <t>McDermott, Devin (Research):</t>
        </r>
        <r>
          <rPr>
            <sz val="9"/>
            <color indexed="81"/>
            <rFont val="Tahoma"/>
            <family val="2"/>
          </rPr>
          <t xml:space="preserve">
2013 EEI slides</t>
        </r>
      </text>
    </comment>
    <comment ref="AG689" authorId="4">
      <text>
        <r>
          <rPr>
            <b/>
            <sz val="9"/>
            <color indexed="81"/>
            <rFont val="Tahoma"/>
            <family val="2"/>
          </rPr>
          <t>McDermott, Devin (Research):</t>
        </r>
        <r>
          <rPr>
            <sz val="9"/>
            <color indexed="81"/>
            <rFont val="Tahoma"/>
            <family val="2"/>
          </rPr>
          <t xml:space="preserve">
Safe Harbor sale</t>
        </r>
      </text>
    </comment>
    <comment ref="AI689" authorId="4">
      <text>
        <r>
          <rPr>
            <b/>
            <sz val="9"/>
            <color indexed="81"/>
            <rFont val="Tahoma"/>
            <family val="2"/>
          </rPr>
          <t>McDermott, Devin (Research):</t>
        </r>
        <r>
          <rPr>
            <sz val="9"/>
            <color indexed="81"/>
            <rFont val="Tahoma"/>
            <family val="2"/>
          </rPr>
          <t xml:space="preserve">
Key/Con sale</t>
        </r>
      </text>
    </comment>
    <comment ref="AZ689" authorId="4">
      <text>
        <r>
          <rPr>
            <b/>
            <sz val="9"/>
            <color indexed="81"/>
            <rFont val="Tahoma"/>
            <family val="2"/>
          </rPr>
          <t>McDermott, Devin (Research):</t>
        </r>
        <r>
          <rPr>
            <sz val="9"/>
            <color indexed="81"/>
            <rFont val="Tahoma"/>
            <family val="2"/>
          </rPr>
          <t xml:space="preserve">
EEI disclosure</t>
        </r>
      </text>
    </comment>
    <comment ref="BE689" authorId="4">
      <text>
        <r>
          <rPr>
            <b/>
            <sz val="9"/>
            <color indexed="81"/>
            <rFont val="Tahoma"/>
            <family val="2"/>
          </rPr>
          <t xml:space="preserve">Tabatabai, Arman (Research):
</t>
        </r>
        <r>
          <rPr>
            <sz val="9"/>
            <color indexed="81"/>
            <rFont val="Tahoma"/>
            <family val="2"/>
          </rPr>
          <t>8/2016 Analyst Day, slide 125</t>
        </r>
      </text>
    </comment>
    <comment ref="BJ689" authorId="4">
      <text>
        <r>
          <rPr>
            <b/>
            <sz val="9"/>
            <color indexed="81"/>
            <rFont val="Tahoma"/>
            <family val="2"/>
          </rPr>
          <t xml:space="preserve">Tabatabai, Arman (Research):
</t>
        </r>
        <r>
          <rPr>
            <sz val="9"/>
            <color indexed="81"/>
            <rFont val="Tahoma"/>
            <family val="2"/>
          </rPr>
          <t>2Q17 Presentation, slide 23</t>
        </r>
      </text>
    </comment>
    <comment ref="I690" authorId="4">
      <text>
        <r>
          <rPr>
            <b/>
            <sz val="9"/>
            <color indexed="81"/>
            <rFont val="Tahoma"/>
            <family val="2"/>
          </rPr>
          <t>McDermott, Devin (Research):</t>
        </r>
        <r>
          <rPr>
            <sz val="9"/>
            <color indexed="81"/>
            <rFont val="Tahoma"/>
            <family val="2"/>
          </rPr>
          <t xml:space="preserve">
2013 EEI slides</t>
        </r>
      </text>
    </comment>
    <comment ref="AT694" authorId="4">
      <text>
        <r>
          <rPr>
            <b/>
            <sz val="9"/>
            <color indexed="81"/>
            <rFont val="Tahoma"/>
            <family val="2"/>
          </rPr>
          <t>McDermott, Devin (Research):</t>
        </r>
        <r>
          <rPr>
            <sz val="9"/>
            <color indexed="81"/>
            <rFont val="Tahoma"/>
            <family val="2"/>
          </rPr>
          <t xml:space="preserve">
FitzPatrick</t>
        </r>
      </text>
    </comment>
    <comment ref="I695" authorId="4">
      <text>
        <r>
          <rPr>
            <b/>
            <sz val="9"/>
            <color indexed="81"/>
            <rFont val="Tahoma"/>
            <family val="2"/>
          </rPr>
          <t>McDermott, Devin (Research):</t>
        </r>
        <r>
          <rPr>
            <sz val="9"/>
            <color indexed="81"/>
            <rFont val="Tahoma"/>
            <family val="2"/>
          </rPr>
          <t xml:space="preserve">
2013 EEI slides</t>
        </r>
      </text>
    </comment>
    <comment ref="AI699" authorId="4">
      <text>
        <r>
          <rPr>
            <b/>
            <sz val="9"/>
            <color indexed="81"/>
            <rFont val="Tahoma"/>
            <family val="2"/>
          </rPr>
          <t>McDermott, Devin (Research):</t>
        </r>
        <r>
          <rPr>
            <sz val="9"/>
            <color indexed="81"/>
            <rFont val="Tahoma"/>
            <family val="2"/>
          </rPr>
          <t xml:space="preserve">
Fore River asset sale</t>
        </r>
      </text>
    </comment>
    <comment ref="I700" authorId="4">
      <text>
        <r>
          <rPr>
            <b/>
            <sz val="9"/>
            <color indexed="81"/>
            <rFont val="Tahoma"/>
            <family val="2"/>
          </rPr>
          <t>McDermott, Devin (Research):</t>
        </r>
        <r>
          <rPr>
            <sz val="9"/>
            <color indexed="81"/>
            <rFont val="Tahoma"/>
            <family val="2"/>
          </rPr>
          <t xml:space="preserve">
2013 EEI slides</t>
        </r>
      </text>
    </comment>
    <comment ref="AZ704" authorId="4">
      <text>
        <r>
          <rPr>
            <b/>
            <sz val="9"/>
            <color indexed="81"/>
            <rFont val="Tahoma"/>
            <family val="2"/>
          </rPr>
          <t>McDermott, Devin (Research):</t>
        </r>
        <r>
          <rPr>
            <sz val="9"/>
            <color indexed="81"/>
            <rFont val="Tahoma"/>
            <family val="2"/>
          </rPr>
          <t xml:space="preserve">
planned in-service mid 2018</t>
        </r>
      </text>
    </comment>
    <comment ref="I705" authorId="4">
      <text>
        <r>
          <rPr>
            <b/>
            <sz val="9"/>
            <color indexed="81"/>
            <rFont val="Tahoma"/>
            <family val="2"/>
          </rPr>
          <t>McDermott, Devin (Research):</t>
        </r>
        <r>
          <rPr>
            <sz val="9"/>
            <color indexed="81"/>
            <rFont val="Tahoma"/>
            <family val="2"/>
          </rPr>
          <t xml:space="preserve">
4Q14 earnings slides</t>
        </r>
      </text>
    </comment>
    <comment ref="AX705" authorId="4">
      <text>
        <r>
          <rPr>
            <b/>
            <sz val="9"/>
            <color indexed="81"/>
            <rFont val="Tahoma"/>
            <family val="2"/>
          </rPr>
          <t>McDermott, Devin (Research):</t>
        </r>
        <r>
          <rPr>
            <sz val="9"/>
            <color indexed="81"/>
            <rFont val="Tahoma"/>
            <family val="2"/>
          </rPr>
          <t xml:space="preserve">
price for new build, 7-year lock in</t>
        </r>
      </text>
    </comment>
    <comment ref="AU709" authorId="10">
      <text>
        <r>
          <rPr>
            <b/>
            <sz val="9"/>
            <color indexed="81"/>
            <rFont val="Tahoma"/>
            <family val="2"/>
          </rPr>
          <t>Tabatabai, Arman (Research):</t>
        </r>
        <r>
          <rPr>
            <sz val="9"/>
            <color indexed="81"/>
            <rFont val="Tahoma"/>
            <family val="2"/>
          </rPr>
          <t xml:space="preserve">
Clinton retirement 6/1/2017, EXC 8/2016 analyst day slide 127, footnote</t>
        </r>
      </text>
    </comment>
    <comment ref="I710" authorId="4">
      <text>
        <r>
          <rPr>
            <b/>
            <sz val="9"/>
            <color indexed="81"/>
            <rFont val="Tahoma"/>
            <family val="2"/>
          </rPr>
          <t>McDermott, Devin (Research):</t>
        </r>
        <r>
          <rPr>
            <sz val="9"/>
            <color indexed="81"/>
            <rFont val="Tahoma"/>
            <family val="2"/>
          </rPr>
          <t xml:space="preserve">
2013 EEI slides</t>
        </r>
      </text>
    </comment>
    <comment ref="AJ710" authorId="4">
      <text>
        <r>
          <rPr>
            <b/>
            <sz val="9"/>
            <color indexed="81"/>
            <rFont val="Tahoma"/>
            <family val="2"/>
          </rPr>
          <t>McDermott, Devin (Research):</t>
        </r>
        <r>
          <rPr>
            <sz val="9"/>
            <color indexed="81"/>
            <rFont val="Tahoma"/>
            <family val="2"/>
          </rPr>
          <t xml:space="preserve">
Assumption due to retail sales</t>
        </r>
      </text>
    </comment>
    <comment ref="AI714" authorId="4">
      <text>
        <r>
          <rPr>
            <b/>
            <sz val="9"/>
            <color indexed="81"/>
            <rFont val="Tahoma"/>
            <family val="2"/>
          </rPr>
          <t>McDermott, Devin (Research):</t>
        </r>
        <r>
          <rPr>
            <sz val="9"/>
            <color indexed="81"/>
            <rFont val="Tahoma"/>
            <family val="2"/>
          </rPr>
          <t xml:space="preserve">
Quail Run asset sale</t>
        </r>
      </text>
    </comment>
    <comment ref="AO719" authorId="4">
      <text>
        <r>
          <rPr>
            <b/>
            <sz val="9"/>
            <color indexed="81"/>
            <rFont val="Tahoma"/>
            <family val="2"/>
          </rPr>
          <t>McDermott, Devin (Research):</t>
        </r>
        <r>
          <rPr>
            <sz val="9"/>
            <color indexed="81"/>
            <rFont val="Tahoma"/>
            <family val="2"/>
          </rPr>
          <t xml:space="preserve">
2015 EEI Slide 49</t>
        </r>
      </text>
    </comment>
    <comment ref="AU719" authorId="4">
      <text>
        <r>
          <rPr>
            <b/>
            <sz val="9"/>
            <color indexed="81"/>
            <rFont val="Tahoma"/>
            <family val="2"/>
          </rPr>
          <t>McDermott, Devin (Research):</t>
        </r>
        <r>
          <rPr>
            <sz val="9"/>
            <color indexed="81"/>
            <rFont val="Tahoma"/>
            <family val="2"/>
          </rPr>
          <t xml:space="preserve">
2015 EEI Slide 49</t>
        </r>
      </text>
    </comment>
    <comment ref="AZ719" authorId="4">
      <text>
        <r>
          <rPr>
            <b/>
            <sz val="9"/>
            <color indexed="81"/>
            <rFont val="Tahoma"/>
            <family val="2"/>
          </rPr>
          <t>McDermott, Devin (Research):</t>
        </r>
        <r>
          <rPr>
            <sz val="9"/>
            <color indexed="81"/>
            <rFont val="Tahoma"/>
            <family val="2"/>
          </rPr>
          <t xml:space="preserve">
base capacity as per EEI disclosure</t>
        </r>
      </text>
    </comment>
    <comment ref="BE719" authorId="4">
      <text>
        <r>
          <rPr>
            <b/>
            <sz val="9"/>
            <color indexed="81"/>
            <rFont val="Tahoma"/>
            <family val="2"/>
          </rPr>
          <t>Tabatabai, Arman (Research):</t>
        </r>
        <r>
          <rPr>
            <sz val="9"/>
            <color indexed="81"/>
            <rFont val="Tahoma"/>
            <family val="2"/>
          </rPr>
          <t xml:space="preserve">
base capacity as per 8/2016 Analyst Day, slide 125</t>
        </r>
      </text>
    </comment>
    <comment ref="BE720" authorId="4">
      <text>
        <r>
          <rPr>
            <b/>
            <sz val="9"/>
            <color indexed="81"/>
            <rFont val="Tahoma"/>
            <family val="2"/>
          </rPr>
          <t>McDermott, Devin (Research):</t>
        </r>
        <r>
          <rPr>
            <sz val="9"/>
            <color indexed="81"/>
            <rFont val="Tahoma"/>
            <family val="2"/>
          </rPr>
          <t xml:space="preserve">
price set based on total capacity revenue guidance as per 2Q17 earnings slide 23</t>
        </r>
      </text>
    </comment>
    <comment ref="AO721" authorId="4">
      <text>
        <r>
          <rPr>
            <b/>
            <sz val="9"/>
            <color indexed="81"/>
            <rFont val="Tahoma"/>
            <family val="2"/>
          </rPr>
          <t>McDermott, Devin (Research):</t>
        </r>
        <r>
          <rPr>
            <sz val="9"/>
            <color indexed="81"/>
            <rFont val="Tahoma"/>
            <family val="2"/>
          </rPr>
          <t xml:space="preserve">
reflects 1 month of the 2016/17 delivery year in 2Q</t>
        </r>
      </text>
    </comment>
    <comment ref="AT721" authorId="4">
      <text>
        <r>
          <rPr>
            <b/>
            <sz val="9"/>
            <color indexed="81"/>
            <rFont val="Tahoma"/>
            <family val="2"/>
          </rPr>
          <t>McDermott, Devin (Research):</t>
        </r>
        <r>
          <rPr>
            <sz val="9"/>
            <color indexed="81"/>
            <rFont val="Tahoma"/>
            <family val="2"/>
          </rPr>
          <t xml:space="preserve">
reflects 1 month of the 2017/18 delivery year in 2Q</t>
        </r>
      </text>
    </comment>
    <comment ref="AY721" authorId="4">
      <text>
        <r>
          <rPr>
            <b/>
            <sz val="9"/>
            <color indexed="81"/>
            <rFont val="Tahoma"/>
            <family val="2"/>
          </rPr>
          <t>McDermott, Devin (Research):</t>
        </r>
        <r>
          <rPr>
            <sz val="9"/>
            <color indexed="81"/>
            <rFont val="Tahoma"/>
            <family val="2"/>
          </rPr>
          <t xml:space="preserve">
reflects 1 month of the 2018/19 delivery year in 2Q</t>
        </r>
      </text>
    </comment>
    <comment ref="C734" authorId="0">
      <text>
        <r>
          <rPr>
            <b/>
            <sz val="8"/>
            <color indexed="81"/>
            <rFont val="Tahoma"/>
            <family val="2"/>
          </rPr>
          <t>rajeevl:</t>
        </r>
        <r>
          <rPr>
            <sz val="8"/>
            <color indexed="81"/>
            <rFont val="Tahoma"/>
            <family val="2"/>
          </rPr>
          <t xml:space="preserve">
analyst range provided was $2-4/,wh</t>
        </r>
      </text>
    </comment>
    <comment ref="BB734" authorId="4">
      <text>
        <r>
          <rPr>
            <b/>
            <sz val="9"/>
            <color indexed="81"/>
            <rFont val="Tahoma"/>
            <family val="2"/>
          </rPr>
          <t>McDermott, Devin (Research):</t>
        </r>
        <r>
          <rPr>
            <sz val="9"/>
            <color indexed="81"/>
            <rFont val="Tahoma"/>
            <family val="2"/>
          </rPr>
          <t xml:space="preserve">
set to tie to total hedge margin guidance</t>
        </r>
      </text>
    </comment>
    <comment ref="BG734" authorId="4">
      <text>
        <r>
          <rPr>
            <b/>
            <sz val="9"/>
            <color indexed="81"/>
            <rFont val="Tahoma"/>
            <family val="2"/>
          </rPr>
          <t>McDermott, Devin (Research):</t>
        </r>
        <r>
          <rPr>
            <sz val="9"/>
            <color indexed="81"/>
            <rFont val="Tahoma"/>
            <family val="2"/>
          </rPr>
          <t xml:space="preserve">
weakness in hedging outlook disclosed on 3Q17 call </t>
        </r>
      </text>
    </comment>
    <comment ref="BL734" authorId="4">
      <text>
        <r>
          <rPr>
            <b/>
            <sz val="9"/>
            <color indexed="81"/>
            <rFont val="Tahoma"/>
            <family val="2"/>
          </rPr>
          <t>McDermott, Devin (Research):</t>
        </r>
        <r>
          <rPr>
            <sz val="9"/>
            <color indexed="81"/>
            <rFont val="Tahoma"/>
            <family val="2"/>
          </rPr>
          <t xml:space="preserve">
weakness in hedging outlook disclosed on 3Q17 call </t>
        </r>
      </text>
    </comment>
    <comment ref="C735" authorId="0">
      <text>
        <r>
          <rPr>
            <b/>
            <sz val="8"/>
            <color indexed="81"/>
            <rFont val="Tahoma"/>
            <family val="2"/>
          </rPr>
          <t>rajeevl:</t>
        </r>
        <r>
          <rPr>
            <sz val="8"/>
            <color indexed="81"/>
            <rFont val="Tahoma"/>
            <family val="2"/>
          </rPr>
          <t xml:space="preserve">
analyst range provided was $1.50-3.00/,wh</t>
        </r>
      </text>
    </comment>
    <comment ref="C738" authorId="0">
      <text>
        <r>
          <rPr>
            <b/>
            <sz val="8"/>
            <color indexed="81"/>
            <rFont val="Tahoma"/>
            <family val="2"/>
          </rPr>
          <t>rajeevl:</t>
        </r>
        <r>
          <rPr>
            <sz val="8"/>
            <color indexed="81"/>
            <rFont val="Tahoma"/>
            <family val="2"/>
          </rPr>
          <t xml:space="preserve">
includes:
Electric Retail
Electric Wholesale
Portfolio Management &amp; Trading</t>
        </r>
      </text>
    </comment>
    <comment ref="AR741" authorId="4">
      <text>
        <r>
          <rPr>
            <b/>
            <sz val="9"/>
            <color indexed="81"/>
            <rFont val="Tahoma"/>
            <family val="2"/>
          </rPr>
          <t>McDermott, Devin (Research):</t>
        </r>
        <r>
          <rPr>
            <sz val="9"/>
            <color indexed="81"/>
            <rFont val="Tahoma"/>
            <family val="2"/>
          </rPr>
          <t xml:space="preserve">
assumed to tie to hedge guidance, potentially due to loss on sale of OTM options</t>
        </r>
      </text>
    </comment>
    <comment ref="AW741" authorId="4">
      <text>
        <r>
          <rPr>
            <b/>
            <sz val="9"/>
            <color indexed="81"/>
            <rFont val="Tahoma"/>
            <family val="2"/>
          </rPr>
          <t>McDermott, Devin (Research):</t>
        </r>
        <r>
          <rPr>
            <sz val="9"/>
            <color indexed="81"/>
            <rFont val="Tahoma"/>
            <family val="2"/>
          </rPr>
          <t xml:space="preserve">
assumed </t>
        </r>
      </text>
    </comment>
    <comment ref="C746" authorId="0">
      <text>
        <r>
          <rPr>
            <b/>
            <sz val="8"/>
            <color indexed="81"/>
            <rFont val="Tahoma"/>
            <family val="2"/>
          </rPr>
          <t>rajeevl:</t>
        </r>
        <r>
          <rPr>
            <sz val="8"/>
            <color indexed="81"/>
            <rFont val="Tahoma"/>
            <family val="2"/>
          </rPr>
          <t xml:space="preserve">
includes:
Gas Retail
Gas Wholesale
Load Response
Energy Efficiency</t>
        </r>
      </text>
    </comment>
    <comment ref="AM749" authorId="4">
      <text>
        <r>
          <rPr>
            <b/>
            <sz val="9"/>
            <color indexed="81"/>
            <rFont val="Tahoma"/>
            <family val="2"/>
          </rPr>
          <t>McDermott, Devin (Research):</t>
        </r>
        <r>
          <rPr>
            <sz val="9"/>
            <color indexed="81"/>
            <rFont val="Tahoma"/>
            <family val="2"/>
          </rPr>
          <t xml:space="preserve">
Included above, so we no longer include here</t>
        </r>
      </text>
    </comment>
    <comment ref="AM750" authorId="4">
      <text>
        <r>
          <rPr>
            <b/>
            <sz val="9"/>
            <color indexed="81"/>
            <rFont val="Tahoma"/>
            <family val="2"/>
          </rPr>
          <t>McDermott, Devin (Research):</t>
        </r>
        <r>
          <rPr>
            <sz val="9"/>
            <color indexed="81"/>
            <rFont val="Tahoma"/>
            <family val="2"/>
          </rPr>
          <t xml:space="preserve">
Included in retail guidance</t>
        </r>
      </text>
    </comment>
    <comment ref="AR750" authorId="4">
      <text>
        <r>
          <rPr>
            <b/>
            <sz val="9"/>
            <color indexed="81"/>
            <rFont val="Tahoma"/>
            <family val="2"/>
          </rPr>
          <t>McDermott, Devin (Research):</t>
        </r>
        <r>
          <rPr>
            <sz val="9"/>
            <color indexed="81"/>
            <rFont val="Tahoma"/>
            <family val="2"/>
          </rPr>
          <t xml:space="preserve">
Included in retail guidance</t>
        </r>
      </text>
    </comment>
    <comment ref="AW750" authorId="4">
      <text>
        <r>
          <rPr>
            <b/>
            <sz val="9"/>
            <color indexed="81"/>
            <rFont val="Tahoma"/>
            <family val="2"/>
          </rPr>
          <t>McDermott, Devin (Research):</t>
        </r>
        <r>
          <rPr>
            <sz val="9"/>
            <color indexed="81"/>
            <rFont val="Tahoma"/>
            <family val="2"/>
          </rPr>
          <t xml:space="preserve">
Included in retail guidance</t>
        </r>
      </text>
    </comment>
    <comment ref="BB750" authorId="4">
      <text>
        <r>
          <rPr>
            <b/>
            <sz val="9"/>
            <color indexed="81"/>
            <rFont val="Tahoma"/>
            <family val="2"/>
          </rPr>
          <t>McDermott, Devin (Research):</t>
        </r>
        <r>
          <rPr>
            <sz val="9"/>
            <color indexed="81"/>
            <rFont val="Tahoma"/>
            <family val="2"/>
          </rPr>
          <t xml:space="preserve">
Included in retail guidance</t>
        </r>
      </text>
    </comment>
    <comment ref="BG750" authorId="4">
      <text>
        <r>
          <rPr>
            <b/>
            <sz val="9"/>
            <color indexed="81"/>
            <rFont val="Tahoma"/>
            <family val="2"/>
          </rPr>
          <t>McDermott, Devin (Research):</t>
        </r>
        <r>
          <rPr>
            <sz val="9"/>
            <color indexed="81"/>
            <rFont val="Tahoma"/>
            <family val="2"/>
          </rPr>
          <t xml:space="preserve">
Included in retail guidance</t>
        </r>
      </text>
    </comment>
    <comment ref="BB757" authorId="4">
      <text>
        <r>
          <rPr>
            <b/>
            <sz val="9"/>
            <color indexed="81"/>
            <rFont val="Tahoma"/>
            <family val="2"/>
          </rPr>
          <t>McDermott, Devin (Research):</t>
        </r>
        <r>
          <rPr>
            <sz val="9"/>
            <color indexed="81"/>
            <rFont val="Tahoma"/>
            <family val="2"/>
          </rPr>
          <t xml:space="preserve">
we are $70-80m above guidance to reflect the impact of FitzPatrick,
We include O&amp;M iimpact from Quad Cities and Clinton continuing operations ($0.07 impact of plant retirements via 2016 analyst day)</t>
        </r>
      </text>
    </comment>
    <comment ref="BG757" authorId="4">
      <text>
        <r>
          <rPr>
            <b/>
            <sz val="9"/>
            <color indexed="81"/>
            <rFont val="Tahoma"/>
            <family val="2"/>
          </rPr>
          <t>McDermott, Devin (Research):</t>
        </r>
        <r>
          <rPr>
            <sz val="9"/>
            <color indexed="81"/>
            <rFont val="Tahoma"/>
            <family val="2"/>
          </rPr>
          <t xml:space="preserve">
we are $70-80m above guidance to reflect the impact of FitzPatrick
We include O&amp;M iimpact from Quad Cities and Clinton continuing operations ($0.07 impact of plant retirements via 2016 analyst day)</t>
        </r>
      </text>
    </comment>
    <comment ref="T758" authorId="0">
      <text>
        <r>
          <rPr>
            <b/>
            <sz val="8"/>
            <color indexed="81"/>
            <rFont val="Tahoma"/>
            <family val="2"/>
          </rPr>
          <t>rajeevl:</t>
        </r>
        <r>
          <rPr>
            <sz val="8"/>
            <color indexed="81"/>
            <rFont val="Tahoma"/>
            <family val="2"/>
          </rPr>
          <t xml:space="preserve">
non-recurring costs associated with FERC settlement and merger. P. 149 2012 1Q 10Q</t>
        </r>
      </text>
    </comment>
    <comment ref="U758" authorId="0">
      <text>
        <r>
          <rPr>
            <b/>
            <sz val="8"/>
            <color indexed="81"/>
            <rFont val="Tahoma"/>
            <family val="2"/>
          </rPr>
          <t>Michael Dandurand:</t>
        </r>
        <r>
          <rPr>
            <sz val="8"/>
            <color indexed="81"/>
            <rFont val="Tahoma"/>
            <family val="2"/>
          </rPr>
          <t xml:space="preserve">
non-recurring costs associated with merger. P. 171 2012 2Q 10Q</t>
        </r>
      </text>
    </comment>
    <comment ref="V758" authorId="5">
      <text>
        <r>
          <rPr>
            <sz val="8"/>
            <color indexed="81"/>
            <rFont val="Tahoma"/>
            <family val="2"/>
          </rPr>
          <t>$278mn Impairment of certain generating assets
$20mn Constellation merger and integration costs
$60mn Corporate allocations
Source : 3Q12, page 177</t>
        </r>
      </text>
    </comment>
    <comment ref="X758" authorId="5">
      <text>
        <r>
          <rPr>
            <sz val="8"/>
            <color indexed="81"/>
            <rFont val="Tahoma"/>
            <family val="2"/>
          </rPr>
          <t>Source ; 10K of FY12, page 117</t>
        </r>
      </text>
    </comment>
    <comment ref="Y758" authorId="1">
      <text>
        <r>
          <rPr>
            <sz val="8"/>
            <color indexed="81"/>
            <rFont val="Tahoma"/>
            <family val="2"/>
          </rPr>
          <t>1. Adjustment to exclude the impacts associated with the sale or retirement of generating stations.  
2.  Adjustment to exclude certain costs incurred associated with the merger, including transaction costs, employee-related expenses (e.g. severance, retirement, relocation and retention bonuses) integration initiatives and certain pre-acquisition contingencies.  
3.  Adjustment to exclude a 2013 charge to earnings related to Generation’s cancellation of previously capitalized nuclear uprate projects. 
Source : 8-K of 1Q13 page 9</t>
        </r>
      </text>
    </comment>
    <comment ref="Z758" authorId="1">
      <text>
        <r>
          <rPr>
            <sz val="8"/>
            <color indexed="81"/>
            <rFont val="Tahoma"/>
            <family val="2"/>
          </rPr>
          <t xml:space="preserve">1. Adjustment to exclude certain costs incurred associated with the merger, including transaction costs, employee-related expenses (e.g. severance, retirement, relocation and retention bonuses) integration initiatives and certain pre-acquisition contingencies.  
2. Adjustment to exclude a 2013 charge to earnings related to Generation’s cancellation of previously capitalized nuclear uprate projects.  
Source : 8-K of 2Q13, page 12
</t>
        </r>
      </text>
    </comment>
    <comment ref="AA758" authorId="1">
      <text>
        <r>
          <rPr>
            <sz val="8"/>
            <color indexed="81"/>
            <rFont val="Tahoma"/>
            <family val="2"/>
          </rPr>
          <t xml:space="preserve">1. Adjustment to exclude certain costs incurred associated with the merger, including employee-related expenses </t>
        </r>
        <r>
          <rPr>
            <sz val="8"/>
            <color indexed="81"/>
            <rFont val="Tahoma"/>
            <family val="2"/>
          </rPr>
          <t xml:space="preserve">
2. Adjustments to exclude earnings primarily related to the impairment of certain wind generating assets. 
3. Adjustment to exclude Generation’s 2013 asset retirement obligation for retired fossil power plants and 2012 decommissioning obligation for spent fuel at retired nuclear units
Source : 8-K of 3Q13, page no. 8</t>
        </r>
      </text>
    </comment>
    <comment ref="AC758" authorId="1">
      <text>
        <r>
          <rPr>
            <sz val="8"/>
            <color indexed="81"/>
            <rFont val="Tahoma"/>
            <family val="2"/>
          </rPr>
          <t xml:space="preserve">1. Adjustment to exclude certain costs incurred associated with the merger, including employee-related expenses </t>
        </r>
        <r>
          <rPr>
            <sz val="8"/>
            <color indexed="81"/>
            <rFont val="Tahoma"/>
            <family val="2"/>
          </rPr>
          <t xml:space="preserve">
2. Adjustment to exclude the impairment of certain wind generating assets. 
3. Adjustment to exclude Generation’s asset retirement obligation in 2013 primarily for asbestos at retired fossil power plants and a decrease in Generation’s asset retirement obligation for certain retired fossil-fueled generating stations in 2012. 
4. Adjustment to exclude estimated liabilities pursuant to the Midwest Generation bankruptcy.
5. Adjustment to exclude the impacts associated with the sale or retirement of generating stations. 
Source : 8--K of 4Q13, page no. 12</t>
        </r>
      </text>
    </comment>
    <comment ref="AD758" authorId="1">
      <text>
        <r>
          <rPr>
            <sz val="8"/>
            <color indexed="81"/>
            <rFont val="Tahoma"/>
            <family val="2"/>
          </rPr>
          <t>Adjustment to exclude certain costs incurred associated with the Constellation merger and Constellation Energy Nuclear Group, LLC (CENG) transaction, including employee-related expenses (e.g. severance, retirement, relocation and retention bonuses), integration initiatives, and certain pre-acquisition contingencies
Source : 8-K of 1Q14, page no. 9</t>
        </r>
      </text>
    </comment>
    <comment ref="AE758" authorId="1">
      <text>
        <r>
          <rPr>
            <sz val="8"/>
            <color indexed="81"/>
            <rFont val="Tahoma"/>
            <family val="2"/>
          </rPr>
          <t>1. Adjustment to exclude certain costs incurred associated with the Constellation merger and Constellation Energy Nuclear Group, LLC (CENG) transaction, including employee-related expenses (e.g. severance, retirement, relocation and retention bonuses), integration initiatives, and certain pre-acquisition contingencies</t>
        </r>
        <r>
          <rPr>
            <sz val="8"/>
            <color indexed="81"/>
            <rFont val="Tahoma"/>
            <family val="2"/>
          </rPr>
          <t xml:space="preserve">
2. Adjustment to exclude a 2014 charge to earnings primarily related to the impairment of certain wind generating assets and a 2013 charge to earnings primarily related to the 
cancellation of previously capitalized nuclear uprate projects.
3. Increase labor, contracting and materials costs of $126 million primarily due to the inclusion of CENG’s results.
4. Increase in the number of planned nuclear refueling outage days at Generation during the second quarter
Source : 8-K of 2Q14, page no. 12 and 10-Q of 2Q-14 page no. 158</t>
        </r>
      </text>
    </comment>
    <comment ref="AF758" authorId="2">
      <text>
        <r>
          <rPr>
            <sz val="9"/>
            <color indexed="81"/>
            <rFont val="Tahoma"/>
            <family val="2"/>
          </rPr>
          <t>1. Adjustment to exclude certain costs associated with the Constellation merger, PHI acquisition, and at Generation, the CENG integration, including professional fees, employee-related expenses, integration activities, upfront credit facilities fees, merger commitments, and certain pre-acquisition contingencies. 
2. Adjustment to exclude a 2014 charge to earnings primarily related to the impairment of certain assets held for sale and a 2013 charge to earnings primarily related to the impairment of certain wind generating assets.  
3. Adjustment to exclude the 2014 decrease in Generation’s nuclear decommissioning obligation and 2013 increase in Generation’s asset retirement obligation for retired fossil power plants.  
4. Adjustment to exclude the impacts associated with the sale of Generation’s ownership interest in generating stations, primarily the gain from the sale of Generation’s equity interest in Safe Harbor Water Power Corporation.  
5. Increase labor, contracting and materials costs of $126 million primarily due to the inclusion of CENG’s results.
Source : 8-K of 3Q14 and 10-Q of 3Q14</t>
        </r>
      </text>
    </comment>
    <comment ref="AH758" authorId="1">
      <text>
        <r>
          <rPr>
            <sz val="8"/>
            <color indexed="81"/>
            <rFont val="Tahoma"/>
            <family val="2"/>
          </rPr>
          <t xml:space="preserve">1. Adjustment to exclude certain costs associated with mergers and acquisitions, including professional fees, employee-related expenses, integration activities, upfront credit facilities, merger commitments, and certain pre-acquisition contingencies, if and when applicable to the Constellation merger in 2013 and the Constellation merger, CENG integration, acquisition of Integrys and pending PHI acquisition in 2014.  
2. Adjustment to exclude a 2014 charge to earnings primarily related to the impairment of wind generating assets, generating assets held for sale, and certain upstream assets, and a 2013 charge to earnings primarily related to the cancellation of previously capitalized nuclear uprate projects and impairment of certain wind generating assets.  
3. Adjustment to exclude the 2014 decrease in Generation’s nuclear decommissioning obligation and the 2013 increase in asset retirement obligation for asbestos at retired fossil power plants.  
4. Adjustment to exclude the impacts associated with the sales of Generation’s ownership interests in Safe Harbor Water Power Corporation and the Fore River and West Valley generating stations in 2014, and the sale or retirement of generating stations in 2013.  
5. Increase in Generation’s labor, contracting and materials costs of $361 million primarily due to the inclusion of CENG’s results 
6. Increase in Generation’s accretion expense of $78 million primarily due to the inclusion of CENG’s results </t>
        </r>
      </text>
    </comment>
    <comment ref="AM758" authorId="11">
      <text>
        <r>
          <rPr>
            <b/>
            <sz val="9"/>
            <color indexed="81"/>
            <rFont val="Tahoma"/>
            <family val="2"/>
          </rPr>
          <t>Kobus, Jim (Research):</t>
        </r>
        <r>
          <rPr>
            <sz val="9"/>
            <color indexed="81"/>
            <rFont val="Tahoma"/>
            <family val="2"/>
          </rPr>
          <t xml:space="preserve">
PHI acquisition costs, Direct cost of sales incurred to generate revenues for certain Constellation businesses, decommissioning, and "other" per 4Q15 slide 39</t>
        </r>
      </text>
    </comment>
    <comment ref="AS758" authorId="10">
      <text>
        <r>
          <rPr>
            <b/>
            <sz val="9"/>
            <color indexed="81"/>
            <rFont val="Tahoma"/>
            <family val="2"/>
          </rPr>
          <t xml:space="preserve">Tabatabai, Arman (Research):
</t>
        </r>
        <r>
          <rPr>
            <sz val="9"/>
            <color indexed="81"/>
            <rFont val="Tahoma"/>
            <family val="2"/>
          </rPr>
          <t>2Q17 Earnings Release page 28</t>
        </r>
      </text>
    </comment>
    <comment ref="AT758" authorId="10">
      <text>
        <r>
          <rPr>
            <b/>
            <sz val="9"/>
            <color indexed="81"/>
            <rFont val="Tahoma"/>
            <family val="2"/>
          </rPr>
          <t xml:space="preserve">Tabatabai, Arman (Research):
</t>
        </r>
        <r>
          <rPr>
            <sz val="9"/>
            <color indexed="81"/>
            <rFont val="Tahoma"/>
            <family val="2"/>
          </rPr>
          <t>2Q17 Earnings Release page 28</t>
        </r>
      </text>
    </comment>
    <comment ref="AU758" authorId="9">
      <text>
        <r>
          <rPr>
            <sz val="9"/>
            <color indexed="81"/>
            <rFont val="Tahoma"/>
            <family val="2"/>
          </rPr>
          <t xml:space="preserve">Source: 3Q17 Earnings Release dated 11/02/17 </t>
        </r>
      </text>
    </comment>
    <comment ref="AV758" authorId="10">
      <text>
        <r>
          <rPr>
            <b/>
            <sz val="9"/>
            <color indexed="81"/>
            <rFont val="Tahoma"/>
            <family val="2"/>
          </rPr>
          <t>Tabatabai, Arman (Research):</t>
        </r>
        <r>
          <rPr>
            <sz val="9"/>
            <color indexed="81"/>
            <rFont val="Tahoma"/>
            <family val="2"/>
          </rPr>
          <t xml:space="preserve">
100m impact from Three Mile Island Retirement +$450 EGTP impairment - 288m for first 9 months 2017+$125m other</t>
        </r>
      </text>
    </comment>
    <comment ref="C759" authorId="0">
      <text>
        <r>
          <rPr>
            <b/>
            <sz val="8"/>
            <color indexed="81"/>
            <rFont val="Tahoma"/>
            <family val="2"/>
          </rPr>
          <t>rajeevl:</t>
        </r>
        <r>
          <rPr>
            <sz val="8"/>
            <color indexed="81"/>
            <rFont val="Tahoma"/>
            <family val="2"/>
          </rPr>
          <t xml:space="preserve">
historically O&amp;M for CENG consolidated is $700mil (100%). We assume a lower level to include synergies. </t>
        </r>
      </text>
    </comment>
    <comment ref="Y759" authorId="14">
      <text>
        <r>
          <rPr>
            <b/>
            <sz val="8"/>
            <color indexed="81"/>
            <rFont val="Tahoma"/>
            <family val="2"/>
          </rPr>
          <t>Michael Dandurand:</t>
        </r>
        <r>
          <rPr>
            <sz val="8"/>
            <color indexed="81"/>
            <rFont val="Tahoma"/>
            <family val="2"/>
          </rPr>
          <t xml:space="preserve">
Adjusted to true-up the $350mm CENG 2012 Stub O&amp;M for a full 12 months</t>
        </r>
      </text>
    </comment>
    <comment ref="AM760" authorId="11">
      <text>
        <r>
          <rPr>
            <b/>
            <sz val="9"/>
            <color indexed="81"/>
            <rFont val="Tahoma"/>
            <family val="2"/>
          </rPr>
          <t>Kobus, Jim (Research):</t>
        </r>
        <r>
          <rPr>
            <sz val="9"/>
            <color indexed="81"/>
            <rFont val="Tahoma"/>
            <family val="2"/>
          </rPr>
          <t xml:space="preserve">
adjusted O&amp;M = $4,675</t>
        </r>
      </text>
    </comment>
    <comment ref="AR760" authorId="11">
      <text>
        <r>
          <rPr>
            <b/>
            <sz val="9"/>
            <color indexed="81"/>
            <rFont val="Tahoma"/>
            <family val="2"/>
          </rPr>
          <t>Tabatabai, Arman (Research):</t>
        </r>
        <r>
          <rPr>
            <sz val="9"/>
            <color indexed="81"/>
            <rFont val="Tahoma"/>
            <family val="2"/>
          </rPr>
          <t xml:space="preserve">
guidance = $4,525 (less $400 equals $4125</t>
        </r>
      </text>
    </comment>
    <comment ref="BB760" authorId="11">
      <text>
        <r>
          <rPr>
            <b/>
            <sz val="9"/>
            <color indexed="81"/>
            <rFont val="Tahoma"/>
            <family val="2"/>
          </rPr>
          <t>Tabatabai, Arman (Research):</t>
        </r>
        <r>
          <rPr>
            <sz val="9"/>
            <color indexed="81"/>
            <rFont val="Tahoma"/>
            <family val="2"/>
          </rPr>
          <t xml:space="preserve">
guidance = $4,725 (less $425 CENG equals $4,300, less $50 EGTP/TMI and $75 cost savings equal $4175</t>
        </r>
      </text>
    </comment>
    <comment ref="BG760" authorId="11">
      <text>
        <r>
          <rPr>
            <b/>
            <sz val="9"/>
            <color indexed="81"/>
            <rFont val="Tahoma"/>
            <family val="2"/>
          </rPr>
          <t>Tabatabai, Arman (Research):</t>
        </r>
        <r>
          <rPr>
            <sz val="9"/>
            <color indexed="81"/>
            <rFont val="Tahoma"/>
            <family val="2"/>
          </rPr>
          <t xml:space="preserve">
guidance = $4,725 (less $425 CENG equals $4,300, less $125 EGTP/TMI and $150 cost savings equal $4025</t>
        </r>
      </text>
    </comment>
    <comment ref="BL760" authorId="11">
      <text>
        <r>
          <rPr>
            <b/>
            <sz val="9"/>
            <color indexed="81"/>
            <rFont val="Tahoma"/>
            <family val="2"/>
          </rPr>
          <t>Tabatabai, Arman (Research):</t>
        </r>
        <r>
          <rPr>
            <sz val="9"/>
            <color indexed="81"/>
            <rFont val="Tahoma"/>
            <family val="2"/>
          </rPr>
          <t xml:space="preserve">
guidance = $4,775 (less $450 CENG equals $4,325, less $225 EGTP/TMI and $250 cost savings equal $3850</t>
        </r>
      </text>
    </comment>
    <comment ref="BG761" authorId="10">
      <text>
        <r>
          <rPr>
            <b/>
            <sz val="9"/>
            <color indexed="81"/>
            <rFont val="Tahoma"/>
            <family val="2"/>
          </rPr>
          <t>Tabatabai, Arman (Research):</t>
        </r>
        <r>
          <rPr>
            <sz val="9"/>
            <color indexed="81"/>
            <rFont val="Tahoma"/>
            <family val="2"/>
          </rPr>
          <t xml:space="preserve">
O&amp;M savings to reflects $0.05 of net accretion from TMI retirements (guidance of $0.04-0.07)</t>
        </r>
      </text>
    </comment>
    <comment ref="BL761" authorId="10">
      <text>
        <r>
          <rPr>
            <b/>
            <sz val="9"/>
            <color indexed="81"/>
            <rFont val="Tahoma"/>
            <family val="2"/>
          </rPr>
          <t>Tabatabai, Arman (Research):</t>
        </r>
        <r>
          <rPr>
            <sz val="9"/>
            <color indexed="81"/>
            <rFont val="Tahoma"/>
            <family val="2"/>
          </rPr>
          <t xml:space="preserve">
O&amp;M savings to reflects $0.05 of net accretion from TMI retirements (guidance of $0.04-0.07)</t>
        </r>
      </text>
    </comment>
    <comment ref="C777" authorId="0">
      <text>
        <r>
          <rPr>
            <b/>
            <sz val="8"/>
            <color indexed="81"/>
            <rFont val="Tahoma"/>
            <family val="2"/>
          </rPr>
          <t>rajeevl:</t>
        </r>
        <r>
          <rPr>
            <sz val="8"/>
            <color indexed="81"/>
            <rFont val="Tahoma"/>
            <family val="2"/>
          </rPr>
          <t xml:space="preserve">
$220mil consolidated for 100% historically</t>
        </r>
      </text>
    </comment>
    <comment ref="BB787" authorId="6">
      <text>
        <r>
          <rPr>
            <sz val="9"/>
            <color indexed="81"/>
            <rFont val="Tahoma"/>
            <family val="2"/>
          </rPr>
          <t>Committed Growth</t>
        </r>
      </text>
    </comment>
    <comment ref="BB790" authorId="4">
      <text>
        <r>
          <rPr>
            <b/>
            <sz val="9"/>
            <color indexed="81"/>
            <rFont val="Tahoma"/>
            <family val="2"/>
          </rPr>
          <t>McDermott, Devin (Research):</t>
        </r>
        <r>
          <rPr>
            <sz val="9"/>
            <color indexed="81"/>
            <rFont val="Tahoma"/>
            <family val="2"/>
          </rPr>
          <t xml:space="preserve">
adjusts for 50% stake in CENG, includes any fitzpatrick capex</t>
        </r>
      </text>
    </comment>
    <comment ref="BG790" authorId="4">
      <text>
        <r>
          <rPr>
            <b/>
            <sz val="9"/>
            <color indexed="81"/>
            <rFont val="Tahoma"/>
            <family val="2"/>
          </rPr>
          <t>McDermott, Devin (Research):</t>
        </r>
        <r>
          <rPr>
            <sz val="9"/>
            <color indexed="81"/>
            <rFont val="Tahoma"/>
            <family val="2"/>
          </rPr>
          <t xml:space="preserve">
adjusts for 50% stake in CENG, includes any fitzpatrick capex</t>
        </r>
      </text>
    </comment>
    <comment ref="BL790" authorId="4">
      <text>
        <r>
          <rPr>
            <b/>
            <sz val="9"/>
            <color indexed="81"/>
            <rFont val="Tahoma"/>
            <family val="2"/>
          </rPr>
          <t>McDermott, Devin (Research):</t>
        </r>
        <r>
          <rPr>
            <sz val="9"/>
            <color indexed="81"/>
            <rFont val="Tahoma"/>
            <family val="2"/>
          </rPr>
          <t xml:space="preserve">
adjusts for 50% stake in CENG, includes any fitzpatrick capex</t>
        </r>
      </text>
    </comment>
    <comment ref="BB791" authorId="6">
      <text>
        <r>
          <rPr>
            <sz val="9"/>
            <color indexed="81"/>
            <rFont val="Tahoma"/>
            <family val="2"/>
          </rPr>
          <t>Guidance:$2,275mn
Source: 4Q17 Presentation</t>
        </r>
      </text>
    </comment>
    <comment ref="BG791" authorId="6">
      <text>
        <r>
          <rPr>
            <sz val="9"/>
            <color indexed="81"/>
            <rFont val="Tahoma"/>
            <family val="2"/>
          </rPr>
          <t>Guidance:$1,850mn
Source: 4Q17 Presentation</t>
        </r>
      </text>
    </comment>
    <comment ref="BL791" authorId="6">
      <text>
        <r>
          <rPr>
            <sz val="9"/>
            <color indexed="81"/>
            <rFont val="Tahoma"/>
            <family val="2"/>
          </rPr>
          <t>Guidance:$1,825mn
Source: 4Q17 Presentation</t>
        </r>
      </text>
    </comment>
    <comment ref="BQ791" authorId="6">
      <text>
        <r>
          <rPr>
            <sz val="9"/>
            <color indexed="81"/>
            <rFont val="Tahoma"/>
            <family val="2"/>
          </rPr>
          <t>Guidance:$1,825mn
Source: 4Q17 Presentation</t>
        </r>
      </text>
    </comment>
    <comment ref="BB795" authorId="4">
      <text>
        <r>
          <rPr>
            <b/>
            <sz val="9"/>
            <color indexed="81"/>
            <rFont val="Tahoma"/>
            <family val="2"/>
          </rPr>
          <t>Tabatabai, Arman (Research):</t>
        </r>
        <r>
          <rPr>
            <sz val="9"/>
            <color indexed="81"/>
            <rFont val="Tahoma"/>
            <family val="2"/>
          </rPr>
          <t xml:space="preserve">
22% effective rate - 4Q17  Earnings Slide Deck, Slide 18</t>
        </r>
      </text>
    </comment>
    <comment ref="BG795" authorId="4">
      <text>
        <r>
          <rPr>
            <b/>
            <sz val="9"/>
            <color indexed="81"/>
            <rFont val="Tahoma"/>
            <family val="2"/>
          </rPr>
          <t>Tabatabai, Arman (Research):</t>
        </r>
        <r>
          <rPr>
            <sz val="9"/>
            <color indexed="81"/>
            <rFont val="Tahoma"/>
            <family val="2"/>
          </rPr>
          <t xml:space="preserve">
22% effective rate - 4Q17  Earnings Slide Deck, Slide 18</t>
        </r>
      </text>
    </comment>
    <comment ref="BL795" authorId="4">
      <text>
        <r>
          <rPr>
            <b/>
            <sz val="9"/>
            <color indexed="81"/>
            <rFont val="Tahoma"/>
            <family val="2"/>
          </rPr>
          <t>Tabatabai, Arman (Research):</t>
        </r>
        <r>
          <rPr>
            <sz val="9"/>
            <color indexed="81"/>
            <rFont val="Tahoma"/>
            <family val="2"/>
          </rPr>
          <t xml:space="preserve">
22% effective rate - 4Q17  Earnings Slide Deck, Slide 18</t>
        </r>
      </text>
    </comment>
    <comment ref="BQ795" authorId="4">
      <text>
        <r>
          <rPr>
            <b/>
            <sz val="9"/>
            <color indexed="81"/>
            <rFont val="Tahoma"/>
            <family val="2"/>
          </rPr>
          <t>Tabatabai, Arman (Research):</t>
        </r>
        <r>
          <rPr>
            <sz val="9"/>
            <color indexed="81"/>
            <rFont val="Tahoma"/>
            <family val="2"/>
          </rPr>
          <t xml:space="preserve">
21% effective rate - 4Q17  Earnings Slide Deck, Slide 18</t>
        </r>
      </text>
    </comment>
    <comment ref="C798" authorId="0">
      <text>
        <r>
          <rPr>
            <b/>
            <sz val="8"/>
            <color indexed="81"/>
            <rFont val="Tahoma"/>
            <family val="2"/>
          </rPr>
          <t>rajeevl:</t>
        </r>
        <r>
          <rPr>
            <sz val="8"/>
            <color indexed="81"/>
            <rFont val="Tahoma"/>
            <family val="2"/>
          </rPr>
          <t xml:space="preserve">
most projects came on-line in 2006+</t>
        </r>
      </text>
    </comment>
    <comment ref="C801" authorId="4">
      <text>
        <r>
          <rPr>
            <b/>
            <sz val="9"/>
            <color indexed="81"/>
            <rFont val="Tahoma"/>
            <family val="2"/>
          </rPr>
          <t>McDermott, Devin (Research):</t>
        </r>
        <r>
          <rPr>
            <sz val="9"/>
            <color indexed="81"/>
            <rFont val="Tahoma"/>
            <family val="2"/>
          </rPr>
          <t xml:space="preserve">
As per 1Q16 slide deck</t>
        </r>
      </text>
    </comment>
    <comment ref="BB802" authorId="4">
      <text>
        <r>
          <rPr>
            <b/>
            <sz val="9"/>
            <color indexed="81"/>
            <rFont val="Tahoma"/>
            <family val="2"/>
          </rPr>
          <t>McDermott, Devin (Research):</t>
        </r>
        <r>
          <rPr>
            <sz val="9"/>
            <color indexed="81"/>
            <rFont val="Tahoma"/>
            <family val="2"/>
          </rPr>
          <t xml:space="preserve">
1Q16 guidance</t>
        </r>
      </text>
    </comment>
    <comment ref="BG802" authorId="4">
      <text>
        <r>
          <rPr>
            <b/>
            <sz val="9"/>
            <color indexed="81"/>
            <rFont val="Tahoma"/>
            <family val="2"/>
          </rPr>
          <t>McDermott, Devin (Research):</t>
        </r>
        <r>
          <rPr>
            <sz val="9"/>
            <color indexed="81"/>
            <rFont val="Tahoma"/>
            <family val="2"/>
          </rPr>
          <t xml:space="preserve">
1Q16 guidance</t>
        </r>
      </text>
    </comment>
    <comment ref="BB822" authorId="11">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822" authorId="11">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822" authorId="11">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Q822" authorId="11">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823" authorId="0">
      <text>
        <r>
          <rPr>
            <b/>
            <sz val="8"/>
            <color indexed="81"/>
            <rFont val="Tahoma"/>
            <family val="2"/>
          </rPr>
          <t>rajeevl:</t>
        </r>
        <r>
          <rPr>
            <sz val="8"/>
            <color indexed="81"/>
            <rFont val="Tahoma"/>
            <family val="2"/>
          </rPr>
          <t xml:space="preserve">
pension contribution net of tax deduction benefit</t>
        </r>
      </text>
    </comment>
    <comment ref="BG823" authorId="0">
      <text>
        <r>
          <rPr>
            <b/>
            <sz val="8"/>
            <color indexed="81"/>
            <rFont val="Tahoma"/>
            <family val="2"/>
          </rPr>
          <t>rajeevl:</t>
        </r>
        <r>
          <rPr>
            <sz val="8"/>
            <color indexed="81"/>
            <rFont val="Tahoma"/>
            <family val="2"/>
          </rPr>
          <t xml:space="preserve">
pension contribution net of tax deduction benefit</t>
        </r>
      </text>
    </comment>
    <comment ref="BL823" authorId="0">
      <text>
        <r>
          <rPr>
            <b/>
            <sz val="8"/>
            <color indexed="81"/>
            <rFont val="Tahoma"/>
            <family val="2"/>
          </rPr>
          <t>rajeevl:</t>
        </r>
        <r>
          <rPr>
            <sz val="8"/>
            <color indexed="81"/>
            <rFont val="Tahoma"/>
            <family val="2"/>
          </rPr>
          <t xml:space="preserve">
pension contribution net of tax deduction benefit</t>
        </r>
      </text>
    </comment>
    <comment ref="AI848" authorId="6">
      <text>
        <r>
          <rPr>
            <sz val="9"/>
            <color indexed="81"/>
            <rFont val="Tahoma"/>
            <family val="2"/>
          </rPr>
          <t>Borrowings from Exelon intercompany money pool: $936m</t>
        </r>
      </text>
    </comment>
    <comment ref="AJ848" authorId="6">
      <text>
        <r>
          <rPr>
            <sz val="9"/>
            <color indexed="81"/>
            <rFont val="Tahoma"/>
            <family val="2"/>
          </rPr>
          <t>Borrowings from Exelon intercompany money pool: $638m</t>
        </r>
      </text>
    </comment>
    <comment ref="AK848" authorId="6">
      <text>
        <r>
          <rPr>
            <sz val="9"/>
            <color indexed="81"/>
            <rFont val="Tahoma"/>
            <family val="2"/>
          </rPr>
          <t>Borrowings from Exelon intercompany money pool: $1205m</t>
        </r>
      </text>
    </comment>
    <comment ref="AM848" authorId="6">
      <text>
        <r>
          <rPr>
            <sz val="9"/>
            <color indexed="81"/>
            <rFont val="Tahoma"/>
            <family val="2"/>
          </rPr>
          <t>Borrowings from Exelon intercompany money pool: $1252m</t>
        </r>
      </text>
    </comment>
    <comment ref="AN848" authorId="6">
      <text>
        <r>
          <rPr>
            <sz val="9"/>
            <color indexed="81"/>
            <rFont val="Tahoma"/>
            <family val="2"/>
          </rPr>
          <t>Borrowings from Exelon intercompany money pool: $63m</t>
        </r>
      </text>
    </comment>
    <comment ref="AO848" authorId="6">
      <text>
        <r>
          <rPr>
            <sz val="9"/>
            <color indexed="81"/>
            <rFont val="Tahoma"/>
            <family val="2"/>
          </rPr>
          <t>Borrowings from Exelon intercompany money pool: $638m</t>
        </r>
      </text>
    </comment>
    <comment ref="AP848" authorId="6">
      <text>
        <r>
          <rPr>
            <sz val="9"/>
            <color indexed="81"/>
            <rFont val="Tahoma"/>
            <family val="2"/>
          </rPr>
          <t>Borrowings from Exelon intercompany money pool: $461m</t>
        </r>
      </text>
    </comment>
    <comment ref="AR848" authorId="7">
      <text>
        <r>
          <rPr>
            <sz val="9"/>
            <color indexed="81"/>
            <rFont val="Tahoma"/>
            <family val="2"/>
          </rPr>
          <t>Borrowings from Exelon intercompany money pool: $55m</t>
        </r>
      </text>
    </comment>
    <comment ref="AS848" authorId="8">
      <text>
        <r>
          <rPr>
            <sz val="9"/>
            <color indexed="81"/>
            <rFont val="Tahoma"/>
            <family val="2"/>
          </rPr>
          <t>Borrowings from Exelon intercompany money pool: $54m</t>
        </r>
      </text>
    </comment>
    <comment ref="AT848" authorId="6">
      <text>
        <r>
          <rPr>
            <sz val="9"/>
            <color indexed="81"/>
            <rFont val="Tahoma"/>
            <family val="2"/>
          </rPr>
          <t>Borrowings from Exelon intercompany money pool: $251m</t>
        </r>
      </text>
    </comment>
    <comment ref="AU848" authorId="9">
      <text>
        <r>
          <rPr>
            <sz val="9"/>
            <color indexed="81"/>
            <rFont val="Tahoma"/>
            <family val="2"/>
          </rPr>
          <t>Borrowings from Exelon intercompany money pool: $146m</t>
        </r>
      </text>
    </comment>
    <comment ref="AW848" authorId="9">
      <text>
        <r>
          <rPr>
            <sz val="9"/>
            <color indexed="81"/>
            <rFont val="Tahoma"/>
            <family val="2"/>
          </rPr>
          <t>Borrowings from Exelon intercompany money pool: $2m</t>
        </r>
      </text>
    </comment>
  </commentList>
</comments>
</file>

<file path=xl/comments6.xml><?xml version="1.0" encoding="utf-8"?>
<comments xmlns="http://schemas.openxmlformats.org/spreadsheetml/2006/main">
  <authors>
    <author>ancsan</author>
    <author>Tabatabai, Arman (Research)</author>
    <author>$</author>
    <author>Kapoor, Vishal (Research)</author>
    <author>Ananth, Manoj (Research)</author>
    <author>Mendiratta, Divya (Research)</author>
    <author>Kobus, Jim (Research)</author>
    <author>Dixit, Siddharth (Research)</author>
    <author>rajeevl</author>
    <author>sunilt</author>
  </authors>
  <commentList>
    <comment ref="C19" authorId="0">
      <text>
        <r>
          <rPr>
            <sz val="8"/>
            <color indexed="81"/>
            <rFont val="Tahoma"/>
            <family val="2"/>
          </rPr>
          <t>Source - 10Q</t>
        </r>
      </text>
    </comment>
    <comment ref="AU20" authorId="1">
      <text>
        <r>
          <rPr>
            <b/>
            <sz val="9"/>
            <color indexed="81"/>
            <rFont val="Tahoma"/>
            <family val="2"/>
          </rPr>
          <t>Tabatabai, Arman (Research):</t>
        </r>
        <r>
          <rPr>
            <sz val="9"/>
            <color indexed="81"/>
            <rFont val="Tahoma"/>
            <family val="2"/>
          </rPr>
          <t xml:space="preserve">
back out $86m assocaited with like-kind tax court penalty</t>
        </r>
      </text>
    </comment>
    <comment ref="AU26" authorId="1">
      <text>
        <r>
          <rPr>
            <b/>
            <sz val="9"/>
            <color indexed="81"/>
            <rFont val="Tahoma"/>
            <family val="2"/>
          </rPr>
          <t>Tabatabai, Arman (Research):</t>
        </r>
        <r>
          <rPr>
            <sz val="9"/>
            <color indexed="81"/>
            <rFont val="Tahoma"/>
            <family val="2"/>
          </rPr>
          <t xml:space="preserve">
back out $105m assocaited with like-kind tax court penalty</t>
        </r>
      </text>
    </comment>
    <comment ref="X36" authorId="0">
      <text>
        <r>
          <rPr>
            <sz val="8"/>
            <color indexed="81"/>
            <rFont val="Tahoma"/>
            <family val="2"/>
          </rPr>
          <t>Source : 8K of 4Q12</t>
        </r>
      </text>
    </comment>
    <comment ref="Y36" authorId="0">
      <text>
        <r>
          <rPr>
            <sz val="8"/>
            <color indexed="81"/>
            <rFont val="Tahoma"/>
            <family val="2"/>
          </rPr>
          <t>Source : 8K of 1Q13</t>
        </r>
      </text>
    </comment>
    <comment ref="AA36" authorId="0">
      <text>
        <r>
          <rPr>
            <sz val="8"/>
            <color indexed="81"/>
            <rFont val="Tahoma"/>
            <family val="2"/>
          </rPr>
          <t>Source : 8K of 3Q13</t>
        </r>
      </text>
    </comment>
    <comment ref="AC36" authorId="0">
      <text>
        <r>
          <rPr>
            <sz val="8"/>
            <color indexed="81"/>
            <rFont val="Tahoma"/>
            <family val="2"/>
          </rPr>
          <t>Source : 8K of 4Q13</t>
        </r>
      </text>
    </comment>
    <comment ref="AH36" authorId="0">
      <text>
        <r>
          <rPr>
            <sz val="8"/>
            <color indexed="81"/>
            <rFont val="Tahoma"/>
            <family val="2"/>
          </rPr>
          <t>Source : 8K of 4Q14</t>
        </r>
      </text>
    </comment>
    <comment ref="AI36" authorId="2">
      <text>
        <r>
          <rPr>
            <sz val="9"/>
            <color indexed="81"/>
            <rFont val="Tahoma"/>
            <family val="2"/>
          </rPr>
          <t>Source: 8K 1Q15 dated 04/29/15</t>
        </r>
      </text>
    </comment>
    <comment ref="AJ36" authorId="2">
      <text>
        <r>
          <rPr>
            <sz val="9"/>
            <color indexed="81"/>
            <rFont val="Tahoma"/>
            <family val="2"/>
          </rPr>
          <t>Source: 8K 2Q15 dated 07/29/15</t>
        </r>
      </text>
    </comment>
    <comment ref="AK36" authorId="2">
      <text>
        <r>
          <rPr>
            <sz val="9"/>
            <color indexed="81"/>
            <rFont val="Tahoma"/>
            <family val="2"/>
          </rPr>
          <t>Source: 8K 3Q15 dated 10/30/15</t>
        </r>
      </text>
    </comment>
    <comment ref="AM36" authorId="2">
      <text>
        <r>
          <rPr>
            <sz val="9"/>
            <color indexed="81"/>
            <rFont val="Tahoma"/>
            <family val="2"/>
          </rPr>
          <t>Source: 8K 4Q15 dated 02/3/16</t>
        </r>
      </text>
    </comment>
    <comment ref="AN36" authorId="2">
      <text>
        <r>
          <rPr>
            <sz val="9"/>
            <color indexed="81"/>
            <rFont val="Tahoma"/>
            <family val="2"/>
          </rPr>
          <t>Source: 8K 1Q16 dated 05/06/16</t>
        </r>
      </text>
    </comment>
    <comment ref="AO36" authorId="2">
      <text>
        <r>
          <rPr>
            <sz val="9"/>
            <color indexed="81"/>
            <rFont val="Tahoma"/>
            <family val="2"/>
          </rPr>
          <t>Source: 8K 1Q16 dated 05/06/16</t>
        </r>
      </text>
    </comment>
    <comment ref="AP36" authorId="2">
      <text>
        <r>
          <rPr>
            <sz val="9"/>
            <color indexed="81"/>
            <rFont val="Tahoma"/>
            <family val="2"/>
          </rPr>
          <t>Source: 8K 3Q16 dated 10/26/16</t>
        </r>
      </text>
    </comment>
    <comment ref="AR36" authorId="3">
      <text>
        <r>
          <rPr>
            <sz val="9"/>
            <color indexed="81"/>
            <rFont val="Tahoma"/>
            <family val="2"/>
          </rPr>
          <t>Source: 8K 4Q16 dated 02/08/17</t>
        </r>
      </text>
    </comment>
    <comment ref="AT36" authorId="2">
      <text>
        <r>
          <rPr>
            <sz val="9"/>
            <color indexed="81"/>
            <rFont val="Tahoma"/>
            <family val="2"/>
          </rPr>
          <t>Source: 8K 2Q17 dated 08/02/17</t>
        </r>
      </text>
    </comment>
    <comment ref="AU36" authorId="4">
      <text>
        <r>
          <rPr>
            <sz val="9"/>
            <color indexed="81"/>
            <rFont val="Tahoma"/>
            <family val="2"/>
          </rPr>
          <t>Source: 8K 3Q17 dated 11/02/17</t>
        </r>
      </text>
    </comment>
    <comment ref="AW36" authorId="5">
      <text>
        <r>
          <rPr>
            <sz val="9"/>
            <color indexed="81"/>
            <rFont val="Tahoma"/>
            <family val="2"/>
          </rPr>
          <t xml:space="preserve">Source: 8k 4Q17
</t>
        </r>
      </text>
    </comment>
    <comment ref="BB46" authorId="6">
      <text>
        <r>
          <rPr>
            <sz val="9"/>
            <color indexed="81"/>
            <rFont val="Tahoma"/>
            <family val="2"/>
          </rPr>
          <t>Guidance = $1250-$1400
Source: Presentation 1Q 2016</t>
        </r>
      </text>
    </comment>
    <comment ref="BB54" authorId="1">
      <text>
        <r>
          <rPr>
            <b/>
            <sz val="9"/>
            <color indexed="81"/>
            <rFont val="Tahoma"/>
            <family val="2"/>
          </rPr>
          <t>Tabatabai, Arman (Research):</t>
        </r>
        <r>
          <rPr>
            <sz val="9"/>
            <color indexed="81"/>
            <rFont val="Tahoma"/>
            <family val="2"/>
          </rPr>
          <t xml:space="preserve">
net assumed revenue impact from tax reform based on benefit pass through to customers with neutral impact to pre-tax income</t>
        </r>
      </text>
    </comment>
    <comment ref="C110" authorId="0">
      <text>
        <r>
          <rPr>
            <sz val="8"/>
            <color indexed="81"/>
            <rFont val="Tahoma"/>
            <family val="2"/>
          </rPr>
          <t>Cooling/heating degree days being 4-6% above norm translates into 1% sales growth due to weather</t>
        </r>
      </text>
    </comment>
    <comment ref="AU110" authorId="7">
      <text>
        <r>
          <rPr>
            <sz val="9"/>
            <color indexed="81"/>
            <rFont val="Tahoma"/>
            <family val="2"/>
          </rPr>
          <t>Assumed since weather data not available.</t>
        </r>
      </text>
    </comment>
    <comment ref="AV110" authorId="7">
      <text>
        <r>
          <rPr>
            <sz val="9"/>
            <color indexed="81"/>
            <rFont val="Tahoma"/>
            <family val="2"/>
          </rPr>
          <t>Assumed since weather data not available.</t>
        </r>
      </text>
    </comment>
    <comment ref="Q116" authorId="8">
      <text>
        <r>
          <rPr>
            <b/>
            <sz val="8"/>
            <color indexed="81"/>
            <rFont val="Tahoma"/>
            <family val="2"/>
          </rPr>
          <t>rajeevl:</t>
        </r>
        <r>
          <rPr>
            <sz val="8"/>
            <color indexed="81"/>
            <rFont val="Tahoma"/>
            <family val="2"/>
          </rPr>
          <t xml:space="preserve">
</t>
        </r>
        <r>
          <rPr>
            <sz val="8"/>
            <color indexed="81"/>
            <rFont val="Tahoma"/>
            <family val="2"/>
          </rPr>
          <t>storm impact</t>
        </r>
      </text>
    </comment>
    <comment ref="AP132" authorId="9">
      <text>
        <r>
          <rPr>
            <sz val="8"/>
            <color indexed="81"/>
            <rFont val="Tahoma"/>
            <family val="2"/>
          </rPr>
          <t xml:space="preserve">Source : 10-Q of 3Q16, page no. 183
</t>
        </r>
      </text>
    </comment>
    <comment ref="AS132" authorId="7">
      <text>
        <r>
          <rPr>
            <sz val="9"/>
            <color indexed="81"/>
            <rFont val="Tahoma"/>
            <family val="2"/>
          </rPr>
          <t>Source : 10-Q of 1Q17, page no. 167</t>
        </r>
      </text>
    </comment>
    <comment ref="AT132" authorId="7">
      <text>
        <r>
          <rPr>
            <sz val="9"/>
            <color indexed="81"/>
            <rFont val="Tahoma"/>
            <family val="2"/>
          </rPr>
          <t>Source : 10-Q of 2Q17, page no. 180</t>
        </r>
      </text>
    </comment>
    <comment ref="AU132" authorId="4">
      <text>
        <r>
          <rPr>
            <sz val="9"/>
            <color indexed="81"/>
            <rFont val="Tahoma"/>
            <family val="2"/>
          </rPr>
          <t>Source : 10-Q of 3Q17 dated 11/02/17, page no. 169</t>
        </r>
      </text>
    </comment>
    <comment ref="AW132" authorId="4">
      <text>
        <r>
          <rPr>
            <sz val="9"/>
            <color indexed="81"/>
            <rFont val="Tahoma"/>
            <family val="2"/>
          </rPr>
          <t>Source : 10-K of FY17, page no. 544</t>
        </r>
      </text>
    </comment>
    <comment ref="BB141" authorId="2">
      <text>
        <r>
          <rPr>
            <sz val="9"/>
            <color indexed="81"/>
            <rFont val="Tahoma"/>
            <family val="2"/>
          </rPr>
          <t xml:space="preserve">Guidance : $2,125m
Source: Exelon 4Q17presentation </t>
        </r>
      </text>
    </comment>
    <comment ref="BG141" authorId="2">
      <text>
        <r>
          <rPr>
            <sz val="9"/>
            <color indexed="81"/>
            <rFont val="Tahoma"/>
            <family val="2"/>
          </rPr>
          <t xml:space="preserve">Guidance : $1,725m
Source: Exelon 4Q17 presentation </t>
        </r>
      </text>
    </comment>
    <comment ref="BL141" authorId="2">
      <text>
        <r>
          <rPr>
            <sz val="9"/>
            <color indexed="81"/>
            <rFont val="Tahoma"/>
            <family val="2"/>
          </rPr>
          <t xml:space="preserve">Guidance : $1,850m
Source: Exelon 4Q17 presentation </t>
        </r>
      </text>
    </comment>
    <comment ref="BQ141" authorId="2">
      <text>
        <r>
          <rPr>
            <sz val="9"/>
            <color indexed="81"/>
            <rFont val="Tahoma"/>
            <family val="2"/>
          </rPr>
          <t xml:space="preserve">Guidance : $1,850m
Source: Exelon 4Q17 presentation </t>
        </r>
      </text>
    </comment>
    <comment ref="BB165" authorId="6">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165" authorId="6">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165" authorId="6">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Q165" authorId="6">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167" authorId="8">
      <text>
        <r>
          <rPr>
            <b/>
            <sz val="8"/>
            <color indexed="81"/>
            <rFont val="Tahoma"/>
            <family val="2"/>
          </rPr>
          <t>rajeevl:</t>
        </r>
        <r>
          <rPr>
            <sz val="8"/>
            <color indexed="81"/>
            <rFont val="Tahoma"/>
            <family val="2"/>
          </rPr>
          <t xml:space="preserve">
pension contribution net of tax deduction benefit</t>
        </r>
      </text>
    </comment>
    <comment ref="BG167" authorId="8">
      <text>
        <r>
          <rPr>
            <b/>
            <sz val="8"/>
            <color indexed="81"/>
            <rFont val="Tahoma"/>
            <family val="2"/>
          </rPr>
          <t>rajeevl:</t>
        </r>
        <r>
          <rPr>
            <sz val="8"/>
            <color indexed="81"/>
            <rFont val="Tahoma"/>
            <family val="2"/>
          </rPr>
          <t xml:space="preserve">
pension contribution net of tax deduction benefit</t>
        </r>
      </text>
    </comment>
    <comment ref="BL167" authorId="8">
      <text>
        <r>
          <rPr>
            <b/>
            <sz val="8"/>
            <color indexed="81"/>
            <rFont val="Tahoma"/>
            <family val="2"/>
          </rPr>
          <t>rajeevl:</t>
        </r>
        <r>
          <rPr>
            <sz val="8"/>
            <color indexed="81"/>
            <rFont val="Tahoma"/>
            <family val="2"/>
          </rPr>
          <t xml:space="preserve">
pension contribution net of tax deduction benefit</t>
        </r>
      </text>
    </comment>
    <comment ref="AI230" authorId="1">
      <text>
        <r>
          <rPr>
            <b/>
            <sz val="9"/>
            <color indexed="81"/>
            <rFont val="Tahoma"/>
            <family val="2"/>
          </rPr>
          <t>Tabatabai, Arman (Research):</t>
        </r>
        <r>
          <rPr>
            <sz val="9"/>
            <color indexed="81"/>
            <rFont val="Tahoma"/>
            <family val="2"/>
          </rPr>
          <t xml:space="preserve">
assumption to tie out to rate base guidance</t>
        </r>
      </text>
    </comment>
    <comment ref="AJ230" authorId="1">
      <text>
        <r>
          <rPr>
            <b/>
            <sz val="9"/>
            <color indexed="81"/>
            <rFont val="Tahoma"/>
            <family val="2"/>
          </rPr>
          <t>Tabatabai, Arman (Research):</t>
        </r>
        <r>
          <rPr>
            <sz val="9"/>
            <color indexed="81"/>
            <rFont val="Tahoma"/>
            <family val="2"/>
          </rPr>
          <t xml:space="preserve">
assumption to tie out to rate base guidance</t>
        </r>
      </text>
    </comment>
    <comment ref="AK230" authorId="1">
      <text>
        <r>
          <rPr>
            <b/>
            <sz val="9"/>
            <color indexed="81"/>
            <rFont val="Tahoma"/>
            <family val="2"/>
          </rPr>
          <t>Tabatabai, Arman (Research):</t>
        </r>
        <r>
          <rPr>
            <sz val="9"/>
            <color indexed="81"/>
            <rFont val="Tahoma"/>
            <family val="2"/>
          </rPr>
          <t xml:space="preserve">
assumption to tie out to rate base guidance</t>
        </r>
      </text>
    </comment>
    <comment ref="AL230" authorId="1">
      <text>
        <r>
          <rPr>
            <b/>
            <sz val="9"/>
            <color indexed="81"/>
            <rFont val="Tahoma"/>
            <family val="2"/>
          </rPr>
          <t>Tabatabai, Arman (Research):</t>
        </r>
        <r>
          <rPr>
            <sz val="9"/>
            <color indexed="81"/>
            <rFont val="Tahoma"/>
            <family val="2"/>
          </rPr>
          <t xml:space="preserve">
assumption to tie out to rate base guidance</t>
        </r>
      </text>
    </comment>
    <comment ref="AS230" authorId="1">
      <text>
        <r>
          <rPr>
            <b/>
            <sz val="9"/>
            <color indexed="81"/>
            <rFont val="Tahoma"/>
            <family val="2"/>
          </rPr>
          <t>Tabatabai, Arman (Research):</t>
        </r>
        <r>
          <rPr>
            <sz val="9"/>
            <color indexed="81"/>
            <rFont val="Tahoma"/>
            <family val="2"/>
          </rPr>
          <t xml:space="preserve">
assumption to tie out to rate base guidance</t>
        </r>
      </text>
    </comment>
    <comment ref="AT230" authorId="1">
      <text>
        <r>
          <rPr>
            <b/>
            <sz val="9"/>
            <color indexed="81"/>
            <rFont val="Tahoma"/>
            <family val="2"/>
          </rPr>
          <t>Tabatabai, Arman (Research):</t>
        </r>
        <r>
          <rPr>
            <sz val="9"/>
            <color indexed="81"/>
            <rFont val="Tahoma"/>
            <family val="2"/>
          </rPr>
          <t xml:space="preserve">
assumption to tie out to rate base guidance</t>
        </r>
      </text>
    </comment>
    <comment ref="AU230" authorId="1">
      <text>
        <r>
          <rPr>
            <b/>
            <sz val="9"/>
            <color indexed="81"/>
            <rFont val="Tahoma"/>
            <family val="2"/>
          </rPr>
          <t>Tabatabai, Arman (Research):</t>
        </r>
        <r>
          <rPr>
            <sz val="9"/>
            <color indexed="81"/>
            <rFont val="Tahoma"/>
            <family val="2"/>
          </rPr>
          <t xml:space="preserve">
assumption to tie out to rate base guidance</t>
        </r>
      </text>
    </comment>
    <comment ref="AV230" authorId="1">
      <text>
        <r>
          <rPr>
            <b/>
            <sz val="9"/>
            <color indexed="81"/>
            <rFont val="Tahoma"/>
            <family val="2"/>
          </rPr>
          <t>Tabatabai, Arman (Research):</t>
        </r>
        <r>
          <rPr>
            <sz val="9"/>
            <color indexed="81"/>
            <rFont val="Tahoma"/>
            <family val="2"/>
          </rPr>
          <t xml:space="preserve">
assumption to tie out to rate base guidance</t>
        </r>
      </text>
    </comment>
    <comment ref="AX230" authorId="1">
      <text>
        <r>
          <rPr>
            <b/>
            <sz val="9"/>
            <color indexed="81"/>
            <rFont val="Tahoma"/>
            <family val="2"/>
          </rPr>
          <t>Tabatabai, Arman (Research):</t>
        </r>
        <r>
          <rPr>
            <sz val="9"/>
            <color indexed="81"/>
            <rFont val="Tahoma"/>
            <family val="2"/>
          </rPr>
          <t xml:space="preserve">
assumption to tie out to rate base guidance</t>
        </r>
      </text>
    </comment>
    <comment ref="AY230" authorId="1">
      <text>
        <r>
          <rPr>
            <b/>
            <sz val="9"/>
            <color indexed="81"/>
            <rFont val="Tahoma"/>
            <family val="2"/>
          </rPr>
          <t>Tabatabai, Arman (Research):</t>
        </r>
        <r>
          <rPr>
            <sz val="9"/>
            <color indexed="81"/>
            <rFont val="Tahoma"/>
            <family val="2"/>
          </rPr>
          <t xml:space="preserve">
assumption to tie out to rate base guidance</t>
        </r>
      </text>
    </comment>
    <comment ref="AZ230" authorId="1">
      <text>
        <r>
          <rPr>
            <b/>
            <sz val="9"/>
            <color indexed="81"/>
            <rFont val="Tahoma"/>
            <family val="2"/>
          </rPr>
          <t>Tabatabai, Arman (Research):</t>
        </r>
        <r>
          <rPr>
            <sz val="9"/>
            <color indexed="81"/>
            <rFont val="Tahoma"/>
            <family val="2"/>
          </rPr>
          <t xml:space="preserve">
assumption to tie out to rate base guidance</t>
        </r>
      </text>
    </comment>
    <comment ref="BA230" authorId="1">
      <text>
        <r>
          <rPr>
            <b/>
            <sz val="9"/>
            <color indexed="81"/>
            <rFont val="Tahoma"/>
            <family val="2"/>
          </rPr>
          <t>Tabatabai, Arman (Research):</t>
        </r>
        <r>
          <rPr>
            <sz val="9"/>
            <color indexed="81"/>
            <rFont val="Tahoma"/>
            <family val="2"/>
          </rPr>
          <t xml:space="preserve">
assumption to tie out to rate base guidance</t>
        </r>
      </text>
    </comment>
    <comment ref="BH230" authorId="1">
      <text>
        <r>
          <rPr>
            <b/>
            <sz val="9"/>
            <color indexed="81"/>
            <rFont val="Tahoma"/>
            <family val="2"/>
          </rPr>
          <t>Tabatabai, Arman (Research):</t>
        </r>
        <r>
          <rPr>
            <sz val="9"/>
            <color indexed="81"/>
            <rFont val="Tahoma"/>
            <family val="2"/>
          </rPr>
          <t xml:space="preserve">
assumption to tie out to rate base guidance</t>
        </r>
      </text>
    </comment>
    <comment ref="BI230" authorId="1">
      <text>
        <r>
          <rPr>
            <b/>
            <sz val="9"/>
            <color indexed="81"/>
            <rFont val="Tahoma"/>
            <family val="2"/>
          </rPr>
          <t>Tabatabai, Arman (Research):</t>
        </r>
        <r>
          <rPr>
            <sz val="9"/>
            <color indexed="81"/>
            <rFont val="Tahoma"/>
            <family val="2"/>
          </rPr>
          <t xml:space="preserve">
assumption to tie out to rate base guidance</t>
        </r>
      </text>
    </comment>
    <comment ref="BJ230" authorId="1">
      <text>
        <r>
          <rPr>
            <b/>
            <sz val="9"/>
            <color indexed="81"/>
            <rFont val="Tahoma"/>
            <family val="2"/>
          </rPr>
          <t>Tabatabai, Arman (Research):</t>
        </r>
        <r>
          <rPr>
            <sz val="9"/>
            <color indexed="81"/>
            <rFont val="Tahoma"/>
            <family val="2"/>
          </rPr>
          <t xml:space="preserve">
assumption to tie out to rate base guidance</t>
        </r>
      </text>
    </comment>
    <comment ref="BK230" authorId="1">
      <text>
        <r>
          <rPr>
            <b/>
            <sz val="9"/>
            <color indexed="81"/>
            <rFont val="Tahoma"/>
            <family val="2"/>
          </rPr>
          <t>Tabatabai, Arman (Research):</t>
        </r>
        <r>
          <rPr>
            <sz val="9"/>
            <color indexed="81"/>
            <rFont val="Tahoma"/>
            <family val="2"/>
          </rPr>
          <t xml:space="preserve">
assumption to tie out to rate base guidance</t>
        </r>
      </text>
    </comment>
    <comment ref="AM236" authorId="6">
      <text>
        <r>
          <rPr>
            <b/>
            <sz val="9"/>
            <color indexed="81"/>
            <rFont val="Tahoma"/>
            <family val="2"/>
          </rPr>
          <t>Tabatabai, Arman (Research):</t>
        </r>
        <r>
          <rPr>
            <sz val="9"/>
            <color indexed="81"/>
            <rFont val="Tahoma"/>
            <family val="2"/>
          </rPr>
          <t xml:space="preserve">
1Q16 earnings Slides, slide 29</t>
        </r>
      </text>
    </comment>
    <comment ref="AR236" authorId="6">
      <text>
        <r>
          <rPr>
            <b/>
            <sz val="9"/>
            <color indexed="81"/>
            <rFont val="Tahoma"/>
            <family val="2"/>
          </rPr>
          <t>Tabatabai, Arman (Research):</t>
        </r>
        <r>
          <rPr>
            <sz val="9"/>
            <color indexed="81"/>
            <rFont val="Tahoma"/>
            <family val="2"/>
          </rPr>
          <t xml:space="preserve">
per 4Q16 presentation results</t>
        </r>
      </text>
    </comment>
    <comment ref="AW236" authorId="6">
      <text>
        <r>
          <rPr>
            <b/>
            <sz val="9"/>
            <color indexed="81"/>
            <rFont val="Tahoma"/>
            <family val="2"/>
          </rPr>
          <t>Tabatabai, Arman (Research):</t>
        </r>
        <r>
          <rPr>
            <sz val="9"/>
            <color indexed="81"/>
            <rFont val="Tahoma"/>
            <family val="2"/>
          </rPr>
          <t xml:space="preserve">
per August 2016, analyst day</t>
        </r>
      </text>
    </comment>
    <comment ref="BB236" authorId="6">
      <text>
        <r>
          <rPr>
            <b/>
            <sz val="9"/>
            <color indexed="81"/>
            <rFont val="Tahoma"/>
            <family val="2"/>
          </rPr>
          <t>Tabatabai, Arman (Research):</t>
        </r>
        <r>
          <rPr>
            <sz val="9"/>
            <color indexed="81"/>
            <rFont val="Tahoma"/>
            <family val="2"/>
          </rPr>
          <t xml:space="preserve">
per August 2016, analyst day</t>
        </r>
      </text>
    </comment>
    <comment ref="BG236" authorId="6">
      <text>
        <r>
          <rPr>
            <b/>
            <sz val="9"/>
            <color indexed="81"/>
            <rFont val="Tahoma"/>
            <family val="2"/>
          </rPr>
          <t>Tabatabai, Arman (Research):</t>
        </r>
        <r>
          <rPr>
            <sz val="9"/>
            <color indexed="81"/>
            <rFont val="Tahoma"/>
            <family val="2"/>
          </rPr>
          <t xml:space="preserve">
per August 2016, analyst day</t>
        </r>
      </text>
    </comment>
    <comment ref="BL236" authorId="6">
      <text>
        <r>
          <rPr>
            <b/>
            <sz val="9"/>
            <color indexed="81"/>
            <rFont val="Tahoma"/>
            <family val="2"/>
          </rPr>
          <t>Tabatabai, Arman (Research):</t>
        </r>
        <r>
          <rPr>
            <sz val="9"/>
            <color indexed="81"/>
            <rFont val="Tahoma"/>
            <family val="2"/>
          </rPr>
          <t xml:space="preserve">
per August 2016, analyst day</t>
        </r>
      </text>
    </comment>
    <comment ref="AM239" authorId="6">
      <text>
        <r>
          <rPr>
            <b/>
            <sz val="9"/>
            <color indexed="81"/>
            <rFont val="Tahoma"/>
            <family val="2"/>
          </rPr>
          <t>Kobus, Jim (Research):</t>
        </r>
        <r>
          <rPr>
            <sz val="9"/>
            <color indexed="81"/>
            <rFont val="Tahoma"/>
            <family val="2"/>
          </rPr>
          <t xml:space="preserve">
per 4Q15 slide 31</t>
        </r>
      </text>
    </comment>
    <comment ref="C243" authorId="8">
      <text>
        <r>
          <rPr>
            <b/>
            <sz val="8"/>
            <color indexed="81"/>
            <rFont val="Tahoma"/>
            <family val="2"/>
          </rPr>
          <t>rajeevl:</t>
        </r>
        <r>
          <rPr>
            <sz val="8"/>
            <color indexed="81"/>
            <rFont val="Tahoma"/>
            <family val="2"/>
          </rPr>
          <t xml:space="preserve">
State level ROEs are determined by prior year's 30yr Treasury + 5.8%
Remaining portion is FERC with ROE of 11.5%. This business is about 25% of operations.</t>
        </r>
      </text>
    </comment>
    <comment ref="AM243" authorId="6">
      <text>
        <r>
          <rPr>
            <b/>
            <sz val="9"/>
            <color indexed="81"/>
            <rFont val="Tahoma"/>
            <family val="2"/>
          </rPr>
          <t>Kobus, Jim (Research):</t>
        </r>
        <r>
          <rPr>
            <sz val="9"/>
            <color indexed="81"/>
            <rFont val="Tahoma"/>
            <family val="2"/>
          </rPr>
          <t xml:space="preserve">
per 4Q15 slide 31</t>
        </r>
      </text>
    </comment>
    <comment ref="AR243" authorId="6">
      <text>
        <r>
          <rPr>
            <b/>
            <sz val="9"/>
            <color indexed="81"/>
            <rFont val="Tahoma"/>
            <family val="2"/>
          </rPr>
          <t>Kobus, Jim (Research):</t>
        </r>
        <r>
          <rPr>
            <sz val="9"/>
            <color indexed="81"/>
            <rFont val="Tahoma"/>
            <family val="2"/>
          </rPr>
          <t xml:space="preserve">
per 4Q16 slide 61</t>
        </r>
      </text>
    </comment>
    <comment ref="AW243" authorId="1">
      <text>
        <r>
          <rPr>
            <b/>
            <sz val="9"/>
            <color indexed="81"/>
            <rFont val="Tahoma"/>
            <family val="2"/>
          </rPr>
          <t>Tabatabai, Arman (Research):</t>
        </r>
        <r>
          <rPr>
            <sz val="9"/>
            <color indexed="81"/>
            <rFont val="Tahoma"/>
            <family val="2"/>
          </rPr>
          <t xml:space="preserve">
30 Year US Treasury Forwards as of 8/30/2017</t>
        </r>
      </text>
    </comment>
    <comment ref="BB243" authorId="1">
      <text>
        <r>
          <rPr>
            <b/>
            <sz val="9"/>
            <color indexed="81"/>
            <rFont val="Tahoma"/>
            <family val="2"/>
          </rPr>
          <t>Tabatabai, Arman (Research):</t>
        </r>
        <r>
          <rPr>
            <sz val="9"/>
            <color indexed="81"/>
            <rFont val="Tahoma"/>
            <family val="2"/>
          </rPr>
          <t xml:space="preserve">
30 Year US Treasury Forwards as of 3/16/2017</t>
        </r>
      </text>
    </comment>
    <comment ref="BG243" authorId="1">
      <text>
        <r>
          <rPr>
            <b/>
            <sz val="9"/>
            <color indexed="81"/>
            <rFont val="Tahoma"/>
            <family val="2"/>
          </rPr>
          <t>Tabatabai, Arman (Research):</t>
        </r>
        <r>
          <rPr>
            <sz val="9"/>
            <color indexed="81"/>
            <rFont val="Tahoma"/>
            <family val="2"/>
          </rPr>
          <t xml:space="preserve">
30 Year US Treasury Forwards as of 3/16/2017</t>
        </r>
      </text>
    </comment>
    <comment ref="BL243" authorId="1">
      <text>
        <r>
          <rPr>
            <b/>
            <sz val="9"/>
            <color indexed="81"/>
            <rFont val="Tahoma"/>
            <family val="2"/>
          </rPr>
          <t>Tabatabai, Arman (Research):</t>
        </r>
        <r>
          <rPr>
            <sz val="9"/>
            <color indexed="81"/>
            <rFont val="Tahoma"/>
            <family val="2"/>
          </rPr>
          <t xml:space="preserve">
30 Year US Treasury Forwards as of 3/16/2017</t>
        </r>
      </text>
    </comment>
    <comment ref="BQ243" authorId="1">
      <text>
        <r>
          <rPr>
            <b/>
            <sz val="9"/>
            <color indexed="81"/>
            <rFont val="Tahoma"/>
            <family val="2"/>
          </rPr>
          <t>Tabatabai, Arman (Research):</t>
        </r>
        <r>
          <rPr>
            <sz val="9"/>
            <color indexed="81"/>
            <rFont val="Tahoma"/>
            <family val="2"/>
          </rPr>
          <t xml:space="preserve">
30 Year US Treasury Forwards as of 3/16/2017</t>
        </r>
      </text>
    </comment>
  </commentList>
</comments>
</file>

<file path=xl/comments7.xml><?xml version="1.0" encoding="utf-8"?>
<comments xmlns="http://schemas.openxmlformats.org/spreadsheetml/2006/main">
  <authors>
    <author>ancsan</author>
    <author>$</author>
    <author>Kapoor, Vishal (Research)</author>
    <author>Dixit, Siddharth (Research)</author>
    <author>Ananth, Manoj (Research)</author>
    <author>Mendiratta, Divya (Research)</author>
    <author>Tabatabai, Arman (Research)</author>
    <author>sunilt</author>
    <author>Kobus, Jim (Research)</author>
    <author>rajeevl</author>
    <author>makam</author>
  </authors>
  <commentList>
    <comment ref="V39" authorId="0">
      <text>
        <r>
          <rPr>
            <sz val="8"/>
            <color indexed="81"/>
            <rFont val="Tahoma"/>
            <family val="2"/>
          </rPr>
          <t>Source : 8K of 3Q12</t>
        </r>
      </text>
    </comment>
    <comment ref="X39" authorId="0">
      <text>
        <r>
          <rPr>
            <sz val="8"/>
            <color indexed="81"/>
            <rFont val="Tahoma"/>
            <family val="2"/>
          </rPr>
          <t>Source : 8K of 4Q12</t>
        </r>
      </text>
    </comment>
    <comment ref="Y39" authorId="0">
      <text>
        <r>
          <rPr>
            <sz val="8"/>
            <color indexed="81"/>
            <rFont val="Tahoma"/>
            <family val="2"/>
          </rPr>
          <t>Source : 8K of 1Q13</t>
        </r>
      </text>
    </comment>
    <comment ref="Z39" authorId="0">
      <text>
        <r>
          <rPr>
            <sz val="8"/>
            <color indexed="81"/>
            <rFont val="Tahoma"/>
            <family val="2"/>
          </rPr>
          <t>Source : 8K of 2Q13</t>
        </r>
      </text>
    </comment>
    <comment ref="AA39" authorId="0">
      <text>
        <r>
          <rPr>
            <sz val="8"/>
            <color indexed="81"/>
            <rFont val="Tahoma"/>
            <family val="2"/>
          </rPr>
          <t>Source : 8K of 3Q13</t>
        </r>
      </text>
    </comment>
    <comment ref="AC39" authorId="0">
      <text>
        <r>
          <rPr>
            <sz val="8"/>
            <color indexed="81"/>
            <rFont val="Tahoma"/>
            <family val="2"/>
          </rPr>
          <t>Source : 8K of 4Q13</t>
        </r>
      </text>
    </comment>
    <comment ref="AH39" authorId="0">
      <text>
        <r>
          <rPr>
            <sz val="8"/>
            <color indexed="81"/>
            <rFont val="Tahoma"/>
            <family val="2"/>
          </rPr>
          <t>Source : 8K of 4Q14</t>
        </r>
      </text>
    </comment>
    <comment ref="AI39" authorId="1">
      <text>
        <r>
          <rPr>
            <sz val="9"/>
            <color indexed="81"/>
            <rFont val="Tahoma"/>
            <family val="2"/>
          </rPr>
          <t>Source: 8K 1Q15 dated 04/29/15</t>
        </r>
      </text>
    </comment>
    <comment ref="AJ39" authorId="1">
      <text>
        <r>
          <rPr>
            <sz val="9"/>
            <color indexed="81"/>
            <rFont val="Tahoma"/>
            <family val="2"/>
          </rPr>
          <t>Source: 8K 2Q15 dated 07/29/15</t>
        </r>
      </text>
    </comment>
    <comment ref="AK39" authorId="1">
      <text>
        <r>
          <rPr>
            <sz val="9"/>
            <color indexed="81"/>
            <rFont val="Tahoma"/>
            <family val="2"/>
          </rPr>
          <t>Source: 8K 3Q15 dated 10/30/15</t>
        </r>
      </text>
    </comment>
    <comment ref="AM39" authorId="1">
      <text>
        <r>
          <rPr>
            <sz val="9"/>
            <color indexed="81"/>
            <rFont val="Tahoma"/>
            <family val="2"/>
          </rPr>
          <t>Source: 8K 4Q15 dated 02/3/16</t>
        </r>
      </text>
    </comment>
    <comment ref="AN39" authorId="1">
      <text>
        <r>
          <rPr>
            <sz val="9"/>
            <color indexed="81"/>
            <rFont val="Tahoma"/>
            <family val="2"/>
          </rPr>
          <t>Source: 8K 1Q16 dated 05/06/16</t>
        </r>
      </text>
    </comment>
    <comment ref="AO39" authorId="1">
      <text>
        <r>
          <rPr>
            <sz val="9"/>
            <color indexed="81"/>
            <rFont val="Tahoma"/>
            <family val="2"/>
          </rPr>
          <t>Source: 8K 1Q16 dated 05/06/16</t>
        </r>
      </text>
    </comment>
    <comment ref="AP39" authorId="1">
      <text>
        <r>
          <rPr>
            <sz val="9"/>
            <color indexed="81"/>
            <rFont val="Tahoma"/>
            <family val="2"/>
          </rPr>
          <t>Source: 8K 3Q16 dated 10/26/16</t>
        </r>
      </text>
    </comment>
    <comment ref="AR39" authorId="2">
      <text>
        <r>
          <rPr>
            <sz val="9"/>
            <color indexed="81"/>
            <rFont val="Tahoma"/>
            <family val="2"/>
          </rPr>
          <t>Source: 8K 4Q16 dated 02/08/17</t>
        </r>
      </text>
    </comment>
    <comment ref="AS39" authorId="3">
      <text>
        <r>
          <rPr>
            <sz val="9"/>
            <color indexed="81"/>
            <rFont val="Tahoma"/>
            <family val="2"/>
          </rPr>
          <t xml:space="preserve">Source: 8K 1Q17 dated 05/03/17
</t>
        </r>
      </text>
    </comment>
    <comment ref="AT39" authorId="1">
      <text>
        <r>
          <rPr>
            <sz val="9"/>
            <color indexed="81"/>
            <rFont val="Tahoma"/>
            <family val="2"/>
          </rPr>
          <t>Source: 8K 2Q17 dated 08/02/17</t>
        </r>
      </text>
    </comment>
    <comment ref="AU39" authorId="4">
      <text>
        <r>
          <rPr>
            <sz val="9"/>
            <color indexed="81"/>
            <rFont val="Tahoma"/>
            <family val="2"/>
          </rPr>
          <t>Source: 8K 3Q17 dated 11/02/17</t>
        </r>
      </text>
    </comment>
    <comment ref="AW39" authorId="5">
      <text>
        <r>
          <rPr>
            <sz val="9"/>
            <color indexed="81"/>
            <rFont val="Tahoma"/>
            <family val="2"/>
          </rPr>
          <t xml:space="preserve">Source: 8k 4Q17 Pg 11
</t>
        </r>
      </text>
    </comment>
    <comment ref="BB54" authorId="6">
      <text>
        <r>
          <rPr>
            <b/>
            <sz val="9"/>
            <color indexed="81"/>
            <rFont val="Tahoma"/>
            <family val="2"/>
          </rPr>
          <t>Tabatabai, Arman (Research):</t>
        </r>
        <r>
          <rPr>
            <sz val="9"/>
            <color indexed="81"/>
            <rFont val="Tahoma"/>
            <family val="2"/>
          </rPr>
          <t xml:space="preserve">
3/29 requested $82m increase; assume get 40% request + net assumed revenue impact from tax reform based on benefit pass through to customers with neutral impact to pre-tax income</t>
        </r>
      </text>
    </comment>
    <comment ref="BG54" authorId="6">
      <text>
        <r>
          <rPr>
            <b/>
            <sz val="9"/>
            <color indexed="81"/>
            <rFont val="Tahoma"/>
            <family val="2"/>
          </rPr>
          <t>Tabatabai, Arman (Research):</t>
        </r>
        <r>
          <rPr>
            <sz val="9"/>
            <color indexed="81"/>
            <rFont val="Tahoma"/>
            <family val="2"/>
          </rPr>
          <t xml:space="preserve">
3/29 requested $82m increase; assume get 2/3 request, rates effective 1/1/19</t>
        </r>
      </text>
    </comment>
    <comment ref="C109" authorId="0">
      <text>
        <r>
          <rPr>
            <sz val="8"/>
            <color indexed="81"/>
            <rFont val="Tahoma"/>
            <family val="2"/>
          </rPr>
          <t>Cooling/heating degree days being 4-6% above norm translates into 1% sales growth due to weather</t>
        </r>
      </text>
    </comment>
    <comment ref="AU109" authorId="3">
      <text>
        <r>
          <rPr>
            <sz val="9"/>
            <color indexed="81"/>
            <rFont val="Tahoma"/>
            <family val="2"/>
          </rPr>
          <t>Assumed since weather data not available.</t>
        </r>
      </text>
    </comment>
    <comment ref="AV109" authorId="3">
      <text>
        <r>
          <rPr>
            <sz val="9"/>
            <color indexed="81"/>
            <rFont val="Tahoma"/>
            <family val="2"/>
          </rPr>
          <t>Assumed since weather data not available.</t>
        </r>
      </text>
    </comment>
    <comment ref="AP159" authorId="7">
      <text>
        <r>
          <rPr>
            <sz val="8"/>
            <color indexed="81"/>
            <rFont val="Tahoma"/>
            <family val="2"/>
          </rPr>
          <t xml:space="preserve">Source : 10-Q of 3Q16, page no. 183
</t>
        </r>
      </text>
    </comment>
    <comment ref="AS159" authorId="3">
      <text>
        <r>
          <rPr>
            <sz val="9"/>
            <color indexed="81"/>
            <rFont val="Tahoma"/>
            <family val="2"/>
          </rPr>
          <t>Source : 10-Q of 1Q17, page no. 167</t>
        </r>
      </text>
    </comment>
    <comment ref="AT159" authorId="3">
      <text>
        <r>
          <rPr>
            <sz val="9"/>
            <color indexed="81"/>
            <rFont val="Tahoma"/>
            <family val="2"/>
          </rPr>
          <t>Source : 10-Q of 2Q17, page no. 180</t>
        </r>
      </text>
    </comment>
    <comment ref="AU159" authorId="4">
      <text>
        <r>
          <rPr>
            <sz val="9"/>
            <color indexed="81"/>
            <rFont val="Tahoma"/>
            <family val="2"/>
          </rPr>
          <t>Source : 10-Q of 3Q17, page no. 169</t>
        </r>
      </text>
    </comment>
    <comment ref="AW159" authorId="4">
      <text>
        <r>
          <rPr>
            <sz val="9"/>
            <color indexed="81"/>
            <rFont val="Tahoma"/>
            <family val="2"/>
          </rPr>
          <t>Source : 10-K of FY17, page no. 544</t>
        </r>
      </text>
    </comment>
    <comment ref="BS169" authorId="8">
      <text>
        <r>
          <rPr>
            <b/>
            <sz val="9"/>
            <color indexed="81"/>
            <rFont val="Tahoma"/>
            <family val="2"/>
          </rPr>
          <t>Kobus, Jim (Research):</t>
        </r>
        <r>
          <rPr>
            <sz val="9"/>
            <color indexed="81"/>
            <rFont val="Tahoma"/>
            <family val="2"/>
          </rPr>
          <t xml:space="preserve">
per 10/22/15 approval</t>
        </r>
      </text>
    </comment>
    <comment ref="BB170" authorId="1">
      <text>
        <r>
          <rPr>
            <sz val="9"/>
            <color indexed="81"/>
            <rFont val="Tahoma"/>
            <family val="2"/>
          </rPr>
          <t xml:space="preserve">Guidance : $800m
Source: Exelon 4Q17 presentation </t>
        </r>
      </text>
    </comment>
    <comment ref="BG170" authorId="1">
      <text>
        <r>
          <rPr>
            <sz val="9"/>
            <color indexed="81"/>
            <rFont val="Tahoma"/>
            <family val="2"/>
          </rPr>
          <t xml:space="preserve">Guidance : $850m
Source: Exelon 4Q17presentation </t>
        </r>
      </text>
    </comment>
    <comment ref="BL170" authorId="1">
      <text>
        <r>
          <rPr>
            <sz val="9"/>
            <color indexed="81"/>
            <rFont val="Tahoma"/>
            <family val="2"/>
          </rPr>
          <t>Guidance : $825m
Source: Exelon analyst  presentation 4Q17</t>
        </r>
      </text>
    </comment>
    <comment ref="BQ170" authorId="1">
      <text>
        <r>
          <rPr>
            <sz val="9"/>
            <color indexed="81"/>
            <rFont val="Tahoma"/>
            <family val="2"/>
          </rPr>
          <t>Guidance : $825m
Source: Exelon analyst  presentation 4Q17</t>
        </r>
      </text>
    </comment>
    <comment ref="BB194" authorId="8">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194" authorId="8">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194" authorId="8">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Q194" authorId="8">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196" authorId="9">
      <text>
        <r>
          <rPr>
            <b/>
            <sz val="8"/>
            <color indexed="81"/>
            <rFont val="Tahoma"/>
            <family val="2"/>
          </rPr>
          <t>rajeevl:</t>
        </r>
        <r>
          <rPr>
            <sz val="8"/>
            <color indexed="81"/>
            <rFont val="Tahoma"/>
            <family val="2"/>
          </rPr>
          <t xml:space="preserve">
pension contribution net of tax deduction benefit</t>
        </r>
      </text>
    </comment>
    <comment ref="BG196" authorId="9">
      <text>
        <r>
          <rPr>
            <b/>
            <sz val="8"/>
            <color indexed="81"/>
            <rFont val="Tahoma"/>
            <family val="2"/>
          </rPr>
          <t>rajeevl:</t>
        </r>
        <r>
          <rPr>
            <sz val="8"/>
            <color indexed="81"/>
            <rFont val="Tahoma"/>
            <family val="2"/>
          </rPr>
          <t xml:space="preserve">
pension contribution net of tax deduction benefit</t>
        </r>
      </text>
    </comment>
    <comment ref="BL196" authorId="9">
      <text>
        <r>
          <rPr>
            <b/>
            <sz val="8"/>
            <color indexed="81"/>
            <rFont val="Tahoma"/>
            <family val="2"/>
          </rPr>
          <t>rajeevl:</t>
        </r>
        <r>
          <rPr>
            <sz val="8"/>
            <color indexed="81"/>
            <rFont val="Tahoma"/>
            <family val="2"/>
          </rPr>
          <t xml:space="preserve">
pension contribution net of tax deduction benefit</t>
        </r>
      </text>
    </comment>
    <comment ref="E254" authorId="9">
      <text>
        <r>
          <rPr>
            <b/>
            <sz val="8"/>
            <color indexed="81"/>
            <rFont val="Tahoma"/>
            <family val="2"/>
          </rPr>
          <t>rajeevl:</t>
        </r>
        <r>
          <rPr>
            <sz val="8"/>
            <color indexed="81"/>
            <rFont val="Tahoma"/>
            <family val="2"/>
          </rPr>
          <t xml:space="preserve">
assumed starting point</t>
        </r>
      </text>
    </comment>
    <comment ref="AN258" authorId="6">
      <text>
        <r>
          <rPr>
            <b/>
            <sz val="9"/>
            <color indexed="81"/>
            <rFont val="Tahoma"/>
            <family val="2"/>
          </rPr>
          <t>Tabatabai, Arman (Research):</t>
        </r>
        <r>
          <rPr>
            <sz val="9"/>
            <color indexed="81"/>
            <rFont val="Tahoma"/>
            <family val="2"/>
          </rPr>
          <t xml:space="preserve">
adjustment to tie to actual 2016 rate base</t>
        </r>
      </text>
    </comment>
    <comment ref="AX258" authorId="6">
      <text>
        <r>
          <rPr>
            <b/>
            <sz val="9"/>
            <color indexed="81"/>
            <rFont val="Tahoma"/>
            <family val="2"/>
          </rPr>
          <t>Tabatabai, Arman (Research):</t>
        </r>
        <r>
          <rPr>
            <sz val="9"/>
            <color indexed="81"/>
            <rFont val="Tahoma"/>
            <family val="2"/>
          </rPr>
          <t xml:space="preserve">
assumption to tie out to rate base guidance</t>
        </r>
      </text>
    </comment>
    <comment ref="AM264" authorId="8">
      <text>
        <r>
          <rPr>
            <b/>
            <sz val="9"/>
            <color indexed="81"/>
            <rFont val="Tahoma"/>
            <family val="2"/>
          </rPr>
          <t>Tabatabai, Arman (Research):</t>
        </r>
        <r>
          <rPr>
            <sz val="9"/>
            <color indexed="81"/>
            <rFont val="Tahoma"/>
            <family val="2"/>
          </rPr>
          <t xml:space="preserve">
1Q16 earnings Slides, slide 29</t>
        </r>
      </text>
    </comment>
    <comment ref="AR264" authorId="8">
      <text>
        <r>
          <rPr>
            <b/>
            <sz val="9"/>
            <color indexed="81"/>
            <rFont val="Tahoma"/>
            <family val="2"/>
          </rPr>
          <t>Tabatabai, Arman (Research):</t>
        </r>
        <r>
          <rPr>
            <sz val="9"/>
            <color indexed="81"/>
            <rFont val="Tahoma"/>
            <family val="2"/>
          </rPr>
          <t xml:space="preserve">
per 4Q16 Earnings Presentation</t>
        </r>
      </text>
    </comment>
    <comment ref="AW264" authorId="8">
      <text>
        <r>
          <rPr>
            <b/>
            <sz val="9"/>
            <color indexed="81"/>
            <rFont val="Tahoma"/>
            <family val="2"/>
          </rPr>
          <t>Tabatabai, Arman (Research):</t>
        </r>
        <r>
          <rPr>
            <sz val="9"/>
            <color indexed="81"/>
            <rFont val="Tahoma"/>
            <family val="2"/>
          </rPr>
          <t xml:space="preserve">
per 4Q16 Earnings Presentation</t>
        </r>
      </text>
    </comment>
    <comment ref="BB264" authorId="8">
      <text>
        <r>
          <rPr>
            <b/>
            <sz val="9"/>
            <color indexed="81"/>
            <rFont val="Tahoma"/>
            <family val="2"/>
          </rPr>
          <t>Tabatabai, Arman (Research):</t>
        </r>
        <r>
          <rPr>
            <sz val="9"/>
            <color indexed="81"/>
            <rFont val="Tahoma"/>
            <family val="2"/>
          </rPr>
          <t xml:space="preserve">
per 4Q17 Earnings Presentation</t>
        </r>
      </text>
    </comment>
    <comment ref="BG264" authorId="8">
      <text>
        <r>
          <rPr>
            <b/>
            <sz val="9"/>
            <color indexed="81"/>
            <rFont val="Tahoma"/>
            <family val="2"/>
          </rPr>
          <t>Tabatabai, Arman (Research):</t>
        </r>
        <r>
          <rPr>
            <sz val="9"/>
            <color indexed="81"/>
            <rFont val="Tahoma"/>
            <family val="2"/>
          </rPr>
          <t xml:space="preserve">
per 4Q17 Earnings Presentation</t>
        </r>
      </text>
    </comment>
    <comment ref="BL264" authorId="8">
      <text>
        <r>
          <rPr>
            <b/>
            <sz val="9"/>
            <color indexed="81"/>
            <rFont val="Tahoma"/>
            <family val="2"/>
          </rPr>
          <t>Tabatabai, Arman (Research):</t>
        </r>
        <r>
          <rPr>
            <sz val="9"/>
            <color indexed="81"/>
            <rFont val="Tahoma"/>
            <family val="2"/>
          </rPr>
          <t xml:space="preserve">
per 4Q17 Earnings Presentation</t>
        </r>
      </text>
    </comment>
    <comment ref="BQ264" authorId="8">
      <text>
        <r>
          <rPr>
            <b/>
            <sz val="9"/>
            <color indexed="81"/>
            <rFont val="Tahoma"/>
            <family val="2"/>
          </rPr>
          <t>Tabatabai, Arman (Research):</t>
        </r>
        <r>
          <rPr>
            <sz val="9"/>
            <color indexed="81"/>
            <rFont val="Tahoma"/>
            <family val="2"/>
          </rPr>
          <t xml:space="preserve">
per 4Q17 Earnings Presentation</t>
        </r>
      </text>
    </comment>
    <comment ref="C267" authorId="10">
      <text>
        <r>
          <rPr>
            <sz val="8"/>
            <color indexed="81"/>
            <rFont val="Tahoma"/>
            <family val="2"/>
          </rPr>
          <t xml:space="preserve">Exelon Corporation 2012 analyst meeting
Slide No - 81
</t>
        </r>
      </text>
    </comment>
    <comment ref="AM267" authorId="6">
      <text>
        <r>
          <rPr>
            <b/>
            <sz val="9"/>
            <color indexed="81"/>
            <rFont val="Tahoma"/>
            <family val="2"/>
          </rPr>
          <t>Tabatabai, Arman (Research):</t>
        </r>
        <r>
          <rPr>
            <sz val="9"/>
            <color indexed="81"/>
            <rFont val="Tahoma"/>
            <family val="2"/>
          </rPr>
          <t xml:space="preserve">
8/2016 Analyst Day, Slide 55</t>
        </r>
      </text>
    </comment>
    <comment ref="C271" authorId="10">
      <text>
        <r>
          <rPr>
            <sz val="8"/>
            <color indexed="81"/>
            <rFont val="Tahoma"/>
            <family val="2"/>
          </rPr>
          <t xml:space="preserve">Exelon Corporation 2012 analyst meeting
Slide No - 81
</t>
        </r>
      </text>
    </comment>
    <comment ref="AM271" authorId="8">
      <text>
        <r>
          <rPr>
            <b/>
            <sz val="9"/>
            <color indexed="81"/>
            <rFont val="Tahoma"/>
            <family val="2"/>
          </rPr>
          <t>Kobus, Jim (Research):</t>
        </r>
        <r>
          <rPr>
            <sz val="9"/>
            <color indexed="81"/>
            <rFont val="Tahoma"/>
            <family val="2"/>
          </rPr>
          <t xml:space="preserve">
per PECO settlement</t>
        </r>
      </text>
    </comment>
  </commentList>
</comments>
</file>

<file path=xl/comments8.xml><?xml version="1.0" encoding="utf-8"?>
<comments xmlns="http://schemas.openxmlformats.org/spreadsheetml/2006/main">
  <authors>
    <author>ancsan</author>
    <author>makam</author>
    <author>$</author>
    <author>Kapoor, Vishal (Research)</author>
    <author>Dixit, Siddharth (Research)</author>
    <author>Ananth, Manoj (Research)</author>
    <author>Mendiratta, Divya (Research)</author>
    <author>rajeevl</author>
    <author>Tabatabai, Arman (Research)</author>
    <author>sunilt</author>
    <author>Kobus, Jim (Research)</author>
    <author>RL</author>
  </authors>
  <commentList>
    <comment ref="C20" authorId="0">
      <text>
        <r>
          <rPr>
            <sz val="8"/>
            <color indexed="81"/>
            <rFont val="Tahoma"/>
            <family val="2"/>
          </rPr>
          <t>Source - 10Q</t>
        </r>
      </text>
    </comment>
    <comment ref="I37" authorId="1">
      <text>
        <r>
          <rPr>
            <sz val="8"/>
            <color indexed="81"/>
            <rFont val="Tahoma"/>
            <family val="2"/>
          </rPr>
          <t xml:space="preserve">Source: 8-K 4Q10 
Constellation Energy Filings
</t>
        </r>
      </text>
    </comment>
    <comment ref="J37" authorId="1">
      <text>
        <r>
          <rPr>
            <sz val="8"/>
            <color indexed="81"/>
            <rFont val="Tahoma"/>
            <family val="2"/>
          </rPr>
          <t xml:space="preserve">Source: 8-K 1Q11 Page:3
(Constellation Energy 8-K)
</t>
        </r>
      </text>
    </comment>
    <comment ref="N37" authorId="1">
      <text>
        <r>
          <rPr>
            <sz val="8"/>
            <color indexed="81"/>
            <rFont val="Tahoma"/>
            <family val="2"/>
          </rPr>
          <t xml:space="preserve">Source: 8-K 4Q11 Page: 3
Constellation Energy Filings
</t>
        </r>
      </text>
    </comment>
    <comment ref="P37" authorId="1">
      <text>
        <r>
          <rPr>
            <sz val="8"/>
            <color indexed="81"/>
            <rFont val="Tahoma"/>
            <family val="2"/>
          </rPr>
          <t xml:space="preserve">Source: 8-K 2Q11 Page: 3
(Constellation Energy Filings)
</t>
        </r>
      </text>
    </comment>
    <comment ref="Q37" authorId="1">
      <text>
        <r>
          <rPr>
            <sz val="8"/>
            <color indexed="81"/>
            <rFont val="Tahoma"/>
            <family val="2"/>
          </rPr>
          <t xml:space="preserve">Source: 3Q11 8-K Page: 3
Constellation Energy Filings
</t>
        </r>
      </text>
    </comment>
    <comment ref="S37" authorId="1">
      <text>
        <r>
          <rPr>
            <sz val="8"/>
            <color indexed="81"/>
            <rFont val="Tahoma"/>
            <family val="2"/>
          </rPr>
          <t xml:space="preserve">Source: 8-K 4Q11 Page: 3
Constellation Energy Filings
</t>
        </r>
      </text>
    </comment>
    <comment ref="V37" authorId="0">
      <text>
        <r>
          <rPr>
            <sz val="8"/>
            <color indexed="81"/>
            <rFont val="Tahoma"/>
            <family val="2"/>
          </rPr>
          <t>Source : 8K of 3Q12</t>
        </r>
      </text>
    </comment>
    <comment ref="X37" authorId="0">
      <text>
        <r>
          <rPr>
            <sz val="8"/>
            <color indexed="81"/>
            <rFont val="Tahoma"/>
            <family val="2"/>
          </rPr>
          <t>Source : 8K of 4Q12</t>
        </r>
      </text>
    </comment>
    <comment ref="Y37" authorId="0">
      <text>
        <r>
          <rPr>
            <sz val="8"/>
            <color indexed="81"/>
            <rFont val="Tahoma"/>
            <family val="2"/>
          </rPr>
          <t>Source : 8K of 1Q13</t>
        </r>
      </text>
    </comment>
    <comment ref="Z37" authorId="0">
      <text>
        <r>
          <rPr>
            <sz val="8"/>
            <color indexed="81"/>
            <rFont val="Tahoma"/>
            <family val="2"/>
          </rPr>
          <t>Source : 8K of 2Q13</t>
        </r>
      </text>
    </comment>
    <comment ref="AH37" authorId="0">
      <text>
        <r>
          <rPr>
            <sz val="8"/>
            <color indexed="81"/>
            <rFont val="Tahoma"/>
            <family val="2"/>
          </rPr>
          <t>Source : 8K of 4Q14</t>
        </r>
      </text>
    </comment>
    <comment ref="AI37" authorId="2">
      <text>
        <r>
          <rPr>
            <sz val="9"/>
            <color indexed="81"/>
            <rFont val="Tahoma"/>
            <family val="2"/>
          </rPr>
          <t>Source: 8K 1Q15 dated 04/29/15</t>
        </r>
      </text>
    </comment>
    <comment ref="AJ37" authorId="2">
      <text>
        <r>
          <rPr>
            <sz val="9"/>
            <color indexed="81"/>
            <rFont val="Tahoma"/>
            <family val="2"/>
          </rPr>
          <t>Source: 8K 2Q15 dated 07/29/15</t>
        </r>
      </text>
    </comment>
    <comment ref="AK37" authorId="2">
      <text>
        <r>
          <rPr>
            <sz val="9"/>
            <color indexed="81"/>
            <rFont val="Tahoma"/>
            <family val="2"/>
          </rPr>
          <t>Source: 8K 3Q15 dated 10/30/15</t>
        </r>
      </text>
    </comment>
    <comment ref="AM37" authorId="2">
      <text>
        <r>
          <rPr>
            <sz val="9"/>
            <color indexed="81"/>
            <rFont val="Tahoma"/>
            <family val="2"/>
          </rPr>
          <t>Source: 8K 4Q15 dated 02/3/16</t>
        </r>
      </text>
    </comment>
    <comment ref="AN37" authorId="2">
      <text>
        <r>
          <rPr>
            <sz val="9"/>
            <color indexed="81"/>
            <rFont val="Tahoma"/>
            <family val="2"/>
          </rPr>
          <t>Source: 8K 1Q16 dated 05/06/16</t>
        </r>
      </text>
    </comment>
    <comment ref="AO37" authorId="2">
      <text>
        <r>
          <rPr>
            <sz val="9"/>
            <color indexed="81"/>
            <rFont val="Tahoma"/>
            <family val="2"/>
          </rPr>
          <t>Source: 8K 1Q16 dated 05/06/16</t>
        </r>
      </text>
    </comment>
    <comment ref="AP37" authorId="2">
      <text>
        <r>
          <rPr>
            <sz val="9"/>
            <color indexed="81"/>
            <rFont val="Tahoma"/>
            <family val="2"/>
          </rPr>
          <t>Source: 8K 3Q16 dated 10/26/16</t>
        </r>
      </text>
    </comment>
    <comment ref="AR37" authorId="3">
      <text>
        <r>
          <rPr>
            <sz val="9"/>
            <color indexed="81"/>
            <rFont val="Tahoma"/>
            <family val="2"/>
          </rPr>
          <t>Source: 8K 4Q16 dated 02/08/17</t>
        </r>
      </text>
    </comment>
    <comment ref="AS37" authorId="4">
      <text>
        <r>
          <rPr>
            <sz val="9"/>
            <color indexed="81"/>
            <rFont val="Tahoma"/>
            <family val="2"/>
          </rPr>
          <t xml:space="preserve">Source: 8K 1Q17 dated 05/03/17
</t>
        </r>
      </text>
    </comment>
    <comment ref="AT37" authorId="2">
      <text>
        <r>
          <rPr>
            <sz val="9"/>
            <color indexed="81"/>
            <rFont val="Tahoma"/>
            <family val="2"/>
          </rPr>
          <t>Source: 8K 2Q17 dated 08/02/17</t>
        </r>
      </text>
    </comment>
    <comment ref="AU37" authorId="5">
      <text>
        <r>
          <rPr>
            <sz val="9"/>
            <color indexed="81"/>
            <rFont val="Tahoma"/>
            <family val="2"/>
          </rPr>
          <t>Source: 8K 3Q17 dated 11/02/17</t>
        </r>
      </text>
    </comment>
    <comment ref="AW37" authorId="6">
      <text>
        <r>
          <rPr>
            <sz val="9"/>
            <color indexed="81"/>
            <rFont val="Tahoma"/>
            <family val="2"/>
          </rPr>
          <t xml:space="preserve">Source: 8k 4Q17 Pg 11
</t>
        </r>
      </text>
    </comment>
    <comment ref="C52" authorId="7">
      <text>
        <r>
          <rPr>
            <b/>
            <sz val="8"/>
            <color indexed="81"/>
            <rFont val="Tahoma"/>
            <family val="2"/>
          </rPr>
          <t>rajeevl:</t>
        </r>
        <r>
          <rPr>
            <sz val="8"/>
            <color indexed="81"/>
            <rFont val="Tahoma"/>
            <family val="2"/>
          </rPr>
          <t xml:space="preserve">
we assume a rate filing every year and a half for both gas &amp; electric</t>
        </r>
      </text>
    </comment>
    <comment ref="BB52" authorId="8">
      <text>
        <r>
          <rPr>
            <b/>
            <sz val="9"/>
            <color indexed="81"/>
            <rFont val="Tahoma"/>
            <family val="2"/>
          </rPr>
          <t>Tabatabai, Arman (Research):</t>
        </r>
        <r>
          <rPr>
            <sz val="9"/>
            <color indexed="81"/>
            <rFont val="Tahoma"/>
            <family val="2"/>
          </rPr>
          <t xml:space="preserve">
+ net assumed revenue impact from tax reform based on benefit pass through to customers with neutral impact to pre-tax income</t>
        </r>
      </text>
    </comment>
    <comment ref="C55" authorId="7">
      <text>
        <r>
          <rPr>
            <b/>
            <sz val="8"/>
            <color indexed="81"/>
            <rFont val="Tahoma"/>
            <family val="2"/>
          </rPr>
          <t>rajeevl:</t>
        </r>
        <r>
          <rPr>
            <sz val="8"/>
            <color indexed="81"/>
            <rFont val="Tahoma"/>
            <family val="2"/>
          </rPr>
          <t xml:space="preserve">
we assume a rate filing every year and a half for both gas &amp; electric</t>
        </r>
      </text>
    </comment>
    <comment ref="BB55" authorId="8">
      <text>
        <r>
          <rPr>
            <b/>
            <sz val="9"/>
            <color indexed="81"/>
            <rFont val="Tahoma"/>
            <family val="2"/>
          </rPr>
          <t>Tabatabai, Arman (Research):</t>
        </r>
        <r>
          <rPr>
            <sz val="9"/>
            <color indexed="81"/>
            <rFont val="Tahoma"/>
            <family val="2"/>
          </rPr>
          <t xml:space="preserve">
+ net assumed revenue impact from tax reform based on benefit pass through to customers with neutral impact to pre-tax income</t>
        </r>
      </text>
    </comment>
    <comment ref="C108" authorId="0">
      <text>
        <r>
          <rPr>
            <sz val="8"/>
            <color indexed="81"/>
            <rFont val="Tahoma"/>
            <family val="2"/>
          </rPr>
          <t>Cooling/heating degree days being 4-6% above norm translates into 1% sales growth due to weather</t>
        </r>
      </text>
    </comment>
    <comment ref="AU108" authorId="4">
      <text>
        <r>
          <rPr>
            <sz val="9"/>
            <color indexed="81"/>
            <rFont val="Tahoma"/>
            <family val="2"/>
          </rPr>
          <t>Assumed since weather data not available.</t>
        </r>
      </text>
    </comment>
    <comment ref="AV108" authorId="4">
      <text>
        <r>
          <rPr>
            <sz val="9"/>
            <color indexed="81"/>
            <rFont val="Tahoma"/>
            <family val="2"/>
          </rPr>
          <t>Assumed since weather data not available.</t>
        </r>
      </text>
    </comment>
    <comment ref="Q141" authorId="7">
      <text>
        <r>
          <rPr>
            <b/>
            <sz val="8"/>
            <color indexed="81"/>
            <rFont val="Tahoma"/>
            <family val="2"/>
          </rPr>
          <t>rajeevl:</t>
        </r>
        <r>
          <rPr>
            <sz val="8"/>
            <color indexed="81"/>
            <rFont val="Tahoma"/>
            <family val="2"/>
          </rPr>
          <t xml:space="preserve">
storm expense. P.53 2011 10Q3</t>
        </r>
      </text>
    </comment>
    <comment ref="T141" authorId="7">
      <text>
        <r>
          <rPr>
            <b/>
            <sz val="8"/>
            <color indexed="81"/>
            <rFont val="Tahoma"/>
            <family val="2"/>
          </rPr>
          <t>rajeevl:</t>
        </r>
        <r>
          <rPr>
            <sz val="8"/>
            <color indexed="81"/>
            <rFont val="Tahoma"/>
            <family val="2"/>
          </rPr>
          <t xml:space="preserve">
charitable contribution</t>
        </r>
      </text>
    </comment>
    <comment ref="AI141" authorId="2">
      <text>
        <r>
          <rPr>
            <sz val="9"/>
            <color indexed="81"/>
            <rFont val="Tahoma"/>
            <family val="2"/>
          </rPr>
          <t>storm costs
Source: 10Q 1Q15 pg 131</t>
        </r>
      </text>
    </comment>
    <comment ref="AJ141" authorId="2">
      <text>
        <r>
          <rPr>
            <sz val="9"/>
            <color indexed="81"/>
            <rFont val="Tahoma"/>
            <family val="2"/>
          </rPr>
          <t>storm costs
Source: 10Q 2Q15 pg 146</t>
        </r>
      </text>
    </comment>
    <comment ref="AK141" authorId="2">
      <text>
        <r>
          <rPr>
            <sz val="9"/>
            <color indexed="81"/>
            <rFont val="Tahoma"/>
            <family val="2"/>
          </rPr>
          <t>storm costs
Source: 10Q 3Q15 pg 148</t>
        </r>
      </text>
    </comment>
    <comment ref="AL141" authorId="2">
      <text>
        <r>
          <rPr>
            <sz val="9"/>
            <color indexed="81"/>
            <rFont val="Tahoma"/>
            <family val="2"/>
          </rPr>
          <t>storm costs
Source: 10K 2015 pg 78</t>
        </r>
      </text>
    </comment>
    <comment ref="AN141" authorId="2">
      <text>
        <r>
          <rPr>
            <sz val="9"/>
            <color indexed="81"/>
            <rFont val="Tahoma"/>
            <family val="2"/>
          </rPr>
          <t>Storm Costs
Source: 10Q 1Q16 pg 180</t>
        </r>
      </text>
    </comment>
    <comment ref="AO141" authorId="2">
      <text>
        <r>
          <rPr>
            <sz val="9"/>
            <color indexed="81"/>
            <rFont val="Tahoma"/>
            <family val="2"/>
          </rPr>
          <t>storm costs
Source: 10Q 2Q16 pg 201</t>
        </r>
      </text>
    </comment>
    <comment ref="AP141" authorId="2">
      <text>
        <r>
          <rPr>
            <sz val="9"/>
            <color indexed="81"/>
            <rFont val="Tahoma"/>
            <family val="2"/>
          </rPr>
          <t>Storm Costs
Source: 10Q 3Q16, pg 202</t>
        </r>
      </text>
    </comment>
    <comment ref="AQ141" authorId="3">
      <text>
        <r>
          <rPr>
            <sz val="9"/>
            <color indexed="81"/>
            <rFont val="Tahoma"/>
            <family val="2"/>
          </rPr>
          <t>Reduction of regulatory assets and other long-lived assets
Source: 10K 2016 pg 87</t>
        </r>
      </text>
    </comment>
    <comment ref="AS141" authorId="2">
      <text>
        <r>
          <rPr>
            <sz val="9"/>
            <color indexed="81"/>
            <rFont val="Tahoma"/>
            <family val="2"/>
          </rPr>
          <t>Storm Costs
Source: 10Q 1Q17 pg 179</t>
        </r>
      </text>
    </comment>
    <comment ref="T157" authorId="7">
      <text>
        <r>
          <rPr>
            <b/>
            <sz val="8"/>
            <color indexed="81"/>
            <rFont val="Tahoma"/>
            <family val="2"/>
          </rPr>
          <t>rajeevl:</t>
        </r>
        <r>
          <rPr>
            <sz val="8"/>
            <color indexed="81"/>
            <rFont val="Tahoma"/>
            <family val="2"/>
          </rPr>
          <t xml:space="preserve">
p.120 of 2012 10Q</t>
        </r>
      </text>
    </comment>
    <comment ref="Y157" authorId="9">
      <text>
        <r>
          <rPr>
            <sz val="8"/>
            <color indexed="81"/>
            <rFont val="Tahoma"/>
            <family val="2"/>
          </rPr>
          <t>Source : 10-Q of 1Q13, page no. 132</t>
        </r>
        <r>
          <rPr>
            <sz val="8"/>
            <color indexed="81"/>
            <rFont val="Tahoma"/>
            <family val="2"/>
          </rPr>
          <t xml:space="preserve">
</t>
        </r>
      </text>
    </comment>
    <comment ref="Z157" authorId="9">
      <text>
        <r>
          <rPr>
            <sz val="8"/>
            <color indexed="81"/>
            <rFont val="Tahoma"/>
            <family val="2"/>
          </rPr>
          <t>Source : 10-Q of 2Q13, page no. 145</t>
        </r>
        <r>
          <rPr>
            <sz val="8"/>
            <color indexed="81"/>
            <rFont val="Tahoma"/>
            <family val="2"/>
          </rPr>
          <t xml:space="preserve">
</t>
        </r>
      </text>
    </comment>
    <comment ref="AD157" authorId="9">
      <text>
        <r>
          <rPr>
            <sz val="8"/>
            <color indexed="81"/>
            <rFont val="Tahoma"/>
            <family val="2"/>
          </rPr>
          <t>Source : 10-Q of 1Q14, page no. 123</t>
        </r>
        <r>
          <rPr>
            <sz val="8"/>
            <color indexed="81"/>
            <rFont val="Tahoma"/>
            <family val="2"/>
          </rPr>
          <t xml:space="preserve">
</t>
        </r>
      </text>
    </comment>
    <comment ref="AN157" authorId="9">
      <text>
        <r>
          <rPr>
            <sz val="8"/>
            <color indexed="81"/>
            <rFont val="Tahoma"/>
            <family val="2"/>
          </rPr>
          <t xml:space="preserve">Source : 10-Q of 1Q16, page no. 168, dated- 05/1016.
</t>
        </r>
      </text>
    </comment>
    <comment ref="AO157" authorId="9">
      <text>
        <r>
          <rPr>
            <sz val="8"/>
            <color indexed="81"/>
            <rFont val="Tahoma"/>
            <family val="2"/>
          </rPr>
          <t xml:space="preserve">Source : 10-Q of 2Q16, page no. 182.
</t>
        </r>
      </text>
    </comment>
    <comment ref="AP157" authorId="9">
      <text>
        <r>
          <rPr>
            <sz val="8"/>
            <color indexed="81"/>
            <rFont val="Tahoma"/>
            <family val="2"/>
          </rPr>
          <t xml:space="preserve">Source : 10-Q of 3Q16, page no. 183
</t>
        </r>
      </text>
    </comment>
    <comment ref="AS157" authorId="4">
      <text>
        <r>
          <rPr>
            <sz val="9"/>
            <color indexed="81"/>
            <rFont val="Tahoma"/>
            <family val="2"/>
          </rPr>
          <t>Source : 10-Q of 1Q17, page no. 167</t>
        </r>
      </text>
    </comment>
    <comment ref="AT157" authorId="4">
      <text>
        <r>
          <rPr>
            <sz val="9"/>
            <color indexed="81"/>
            <rFont val="Tahoma"/>
            <family val="2"/>
          </rPr>
          <t>Source : 10-Q of 2Q17, page no. 180</t>
        </r>
      </text>
    </comment>
    <comment ref="AU157" authorId="5">
      <text>
        <r>
          <rPr>
            <sz val="9"/>
            <color indexed="81"/>
            <rFont val="Tahoma"/>
            <family val="2"/>
          </rPr>
          <t>Source : 10-Q of 3Q17, page no. 169</t>
        </r>
      </text>
    </comment>
    <comment ref="AW157" authorId="5">
      <text>
        <r>
          <rPr>
            <sz val="9"/>
            <color indexed="81"/>
            <rFont val="Tahoma"/>
            <family val="2"/>
          </rPr>
          <t>Source : 10-K of FY17, page no. 544</t>
        </r>
      </text>
    </comment>
    <comment ref="C167" authorId="0">
      <text>
        <r>
          <rPr>
            <sz val="8"/>
            <color indexed="81"/>
            <rFont val="Tahoma"/>
            <family val="2"/>
          </rPr>
          <t>Source: Exelon Corporation 2012 analyst meeting Slide No: 84</t>
        </r>
      </text>
    </comment>
    <comment ref="BB167" authorId="2">
      <text>
        <r>
          <rPr>
            <sz val="9"/>
            <color indexed="81"/>
            <rFont val="Tahoma"/>
            <family val="2"/>
          </rPr>
          <t xml:space="preserve">Guidance : $1,000m
Source: Exelon 4Q17 presentation </t>
        </r>
      </text>
    </comment>
    <comment ref="BG167" authorId="2">
      <text>
        <r>
          <rPr>
            <sz val="9"/>
            <color indexed="81"/>
            <rFont val="Tahoma"/>
            <family val="2"/>
          </rPr>
          <t xml:space="preserve">Guidance : $1,100m
Source: Exelon 4Q17 presentation </t>
        </r>
      </text>
    </comment>
    <comment ref="BL167" authorId="2">
      <text>
        <r>
          <rPr>
            <sz val="9"/>
            <color indexed="81"/>
            <rFont val="Tahoma"/>
            <family val="2"/>
          </rPr>
          <t xml:space="preserve">Guidance : $1,050m
Source: Exelon 4Q17 presentation </t>
        </r>
      </text>
    </comment>
    <comment ref="BQ167" authorId="2">
      <text>
        <r>
          <rPr>
            <sz val="9"/>
            <color indexed="81"/>
            <rFont val="Tahoma"/>
            <family val="2"/>
          </rPr>
          <t xml:space="preserve">Guidance : $1,000m
Source: Exelon 4Q17 presentation </t>
        </r>
      </text>
    </comment>
    <comment ref="BB191" authorId="10">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191" authorId="10">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191" authorId="10">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Q191" authorId="10">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193" authorId="7">
      <text>
        <r>
          <rPr>
            <b/>
            <sz val="8"/>
            <color indexed="81"/>
            <rFont val="Tahoma"/>
            <family val="2"/>
          </rPr>
          <t>rajeevl:</t>
        </r>
        <r>
          <rPr>
            <sz val="8"/>
            <color indexed="81"/>
            <rFont val="Tahoma"/>
            <family val="2"/>
          </rPr>
          <t xml:space="preserve">
pension contribution net of tax deduction benefit</t>
        </r>
      </text>
    </comment>
    <comment ref="BG193" authorId="7">
      <text>
        <r>
          <rPr>
            <b/>
            <sz val="8"/>
            <color indexed="81"/>
            <rFont val="Tahoma"/>
            <family val="2"/>
          </rPr>
          <t>rajeevl:</t>
        </r>
        <r>
          <rPr>
            <sz val="8"/>
            <color indexed="81"/>
            <rFont val="Tahoma"/>
            <family val="2"/>
          </rPr>
          <t xml:space="preserve">
pension contribution net of tax deduction benefit</t>
        </r>
      </text>
    </comment>
    <comment ref="BL193" authorId="7">
      <text>
        <r>
          <rPr>
            <b/>
            <sz val="8"/>
            <color indexed="81"/>
            <rFont val="Tahoma"/>
            <family val="2"/>
          </rPr>
          <t>rajeevl:</t>
        </r>
        <r>
          <rPr>
            <sz val="8"/>
            <color indexed="81"/>
            <rFont val="Tahoma"/>
            <family val="2"/>
          </rPr>
          <t xml:space="preserve">
pension contribution net of tax deduction benefit</t>
        </r>
      </text>
    </comment>
    <comment ref="E255" authorId="7">
      <text>
        <r>
          <rPr>
            <b/>
            <sz val="8"/>
            <color indexed="81"/>
            <rFont val="Tahoma"/>
            <family val="2"/>
          </rPr>
          <t>rajeevl:</t>
        </r>
        <r>
          <rPr>
            <sz val="8"/>
            <color indexed="81"/>
            <rFont val="Tahoma"/>
            <family val="2"/>
          </rPr>
          <t xml:space="preserve">
an assumed starting point based on company guidance longer-term</t>
        </r>
      </text>
    </comment>
    <comment ref="AI259" authorId="8">
      <text>
        <r>
          <rPr>
            <b/>
            <sz val="9"/>
            <color indexed="81"/>
            <rFont val="Tahoma"/>
            <family val="2"/>
          </rPr>
          <t>Tabatabai, Arman (Research):</t>
        </r>
        <r>
          <rPr>
            <sz val="9"/>
            <color indexed="81"/>
            <rFont val="Tahoma"/>
            <family val="2"/>
          </rPr>
          <t xml:space="preserve">
assumption to tie out to rate base guidance</t>
        </r>
      </text>
    </comment>
    <comment ref="AJ259" authorId="8">
      <text>
        <r>
          <rPr>
            <b/>
            <sz val="9"/>
            <color indexed="81"/>
            <rFont val="Tahoma"/>
            <family val="2"/>
          </rPr>
          <t>Tabatabai, Arman (Research):</t>
        </r>
        <r>
          <rPr>
            <sz val="9"/>
            <color indexed="81"/>
            <rFont val="Tahoma"/>
            <family val="2"/>
          </rPr>
          <t xml:space="preserve">
assumption to tie out to rate base guidance</t>
        </r>
      </text>
    </comment>
    <comment ref="AK259" authorId="8">
      <text>
        <r>
          <rPr>
            <b/>
            <sz val="9"/>
            <color indexed="81"/>
            <rFont val="Tahoma"/>
            <family val="2"/>
          </rPr>
          <t>Tabatabai, Arman (Research):</t>
        </r>
        <r>
          <rPr>
            <sz val="9"/>
            <color indexed="81"/>
            <rFont val="Tahoma"/>
            <family val="2"/>
          </rPr>
          <t xml:space="preserve">
assumption to tie out to rate base guidance</t>
        </r>
      </text>
    </comment>
    <comment ref="AL259" authorId="8">
      <text>
        <r>
          <rPr>
            <b/>
            <sz val="9"/>
            <color indexed="81"/>
            <rFont val="Tahoma"/>
            <family val="2"/>
          </rPr>
          <t>Tabatabai, Arman (Research):</t>
        </r>
        <r>
          <rPr>
            <sz val="9"/>
            <color indexed="81"/>
            <rFont val="Tahoma"/>
            <family val="2"/>
          </rPr>
          <t xml:space="preserve">
assumption to tie out to rate base guidance</t>
        </r>
      </text>
    </comment>
    <comment ref="AN259" authorId="8">
      <text>
        <r>
          <rPr>
            <b/>
            <sz val="9"/>
            <color indexed="81"/>
            <rFont val="Tahoma"/>
            <family val="2"/>
          </rPr>
          <t>Tabatabai, Arman (Research):</t>
        </r>
        <r>
          <rPr>
            <sz val="9"/>
            <color indexed="81"/>
            <rFont val="Tahoma"/>
            <family val="2"/>
          </rPr>
          <t xml:space="preserve">
assumption to tie out to rate base guidance</t>
        </r>
      </text>
    </comment>
    <comment ref="AX259" authorId="8">
      <text>
        <r>
          <rPr>
            <b/>
            <sz val="9"/>
            <color indexed="81"/>
            <rFont val="Tahoma"/>
            <family val="2"/>
          </rPr>
          <t>Tabatabai, Arman (Research):</t>
        </r>
        <r>
          <rPr>
            <sz val="9"/>
            <color indexed="81"/>
            <rFont val="Tahoma"/>
            <family val="2"/>
          </rPr>
          <t xml:space="preserve">
assumption to tie out to rate base guidance</t>
        </r>
      </text>
    </comment>
    <comment ref="AY259" authorId="8">
      <text>
        <r>
          <rPr>
            <b/>
            <sz val="9"/>
            <color indexed="81"/>
            <rFont val="Tahoma"/>
            <family val="2"/>
          </rPr>
          <t>Tabatabai, Arman (Research):</t>
        </r>
        <r>
          <rPr>
            <sz val="9"/>
            <color indexed="81"/>
            <rFont val="Tahoma"/>
            <family val="2"/>
          </rPr>
          <t xml:space="preserve">
assumption to tie out to rate base guidance</t>
        </r>
      </text>
    </comment>
    <comment ref="AZ259" authorId="8">
      <text>
        <r>
          <rPr>
            <b/>
            <sz val="9"/>
            <color indexed="81"/>
            <rFont val="Tahoma"/>
            <family val="2"/>
          </rPr>
          <t>Tabatabai, Arman (Research):</t>
        </r>
        <r>
          <rPr>
            <sz val="9"/>
            <color indexed="81"/>
            <rFont val="Tahoma"/>
            <family val="2"/>
          </rPr>
          <t xml:space="preserve">
assumption to tie out to rate base guidance</t>
        </r>
      </text>
    </comment>
    <comment ref="BA259" authorId="8">
      <text>
        <r>
          <rPr>
            <b/>
            <sz val="9"/>
            <color indexed="81"/>
            <rFont val="Tahoma"/>
            <family val="2"/>
          </rPr>
          <t>Tabatabai, Arman (Research):</t>
        </r>
        <r>
          <rPr>
            <sz val="9"/>
            <color indexed="81"/>
            <rFont val="Tahoma"/>
            <family val="2"/>
          </rPr>
          <t xml:space="preserve">
assumption to tie out to rate base guidance</t>
        </r>
      </text>
    </comment>
    <comment ref="BC259" authorId="8">
      <text>
        <r>
          <rPr>
            <b/>
            <sz val="9"/>
            <color indexed="81"/>
            <rFont val="Tahoma"/>
            <family val="2"/>
          </rPr>
          <t>Tabatabai, Arman (Research):</t>
        </r>
        <r>
          <rPr>
            <sz val="9"/>
            <color indexed="81"/>
            <rFont val="Tahoma"/>
            <family val="2"/>
          </rPr>
          <t xml:space="preserve">
assumption to tie out to rate base guidance</t>
        </r>
      </text>
    </comment>
    <comment ref="AM265" authorId="10">
      <text>
        <r>
          <rPr>
            <b/>
            <sz val="9"/>
            <color indexed="81"/>
            <rFont val="Tahoma"/>
            <family val="2"/>
          </rPr>
          <t>Tabatabai, Arman (Research):</t>
        </r>
        <r>
          <rPr>
            <sz val="9"/>
            <color indexed="81"/>
            <rFont val="Tahoma"/>
            <family val="2"/>
          </rPr>
          <t xml:space="preserve">
1Q16 earnings Slides, slide 29</t>
        </r>
      </text>
    </comment>
    <comment ref="AR265" authorId="10">
      <text>
        <r>
          <rPr>
            <b/>
            <sz val="9"/>
            <color indexed="81"/>
            <rFont val="Tahoma"/>
            <family val="2"/>
          </rPr>
          <t>Tabatabai, Arman (Research):</t>
        </r>
        <r>
          <rPr>
            <sz val="9"/>
            <color indexed="81"/>
            <rFont val="Tahoma"/>
            <family val="2"/>
          </rPr>
          <t xml:space="preserve">
per 4Q16 Earnings Presentation</t>
        </r>
      </text>
    </comment>
    <comment ref="AW265" authorId="10">
      <text>
        <r>
          <rPr>
            <b/>
            <sz val="9"/>
            <color indexed="81"/>
            <rFont val="Tahoma"/>
            <family val="2"/>
          </rPr>
          <t>Tabatabai, Arman (Research):</t>
        </r>
        <r>
          <rPr>
            <sz val="9"/>
            <color indexed="81"/>
            <rFont val="Tahoma"/>
            <family val="2"/>
          </rPr>
          <t xml:space="preserve">
per 4Q16 Earnings Presentation</t>
        </r>
      </text>
    </comment>
    <comment ref="BB265" authorId="10">
      <text>
        <r>
          <rPr>
            <b/>
            <sz val="9"/>
            <color indexed="81"/>
            <rFont val="Tahoma"/>
            <family val="2"/>
          </rPr>
          <t>Tabatabai, Arman (Research):</t>
        </r>
        <r>
          <rPr>
            <sz val="9"/>
            <color indexed="81"/>
            <rFont val="Tahoma"/>
            <family val="2"/>
          </rPr>
          <t xml:space="preserve">
per 4Q16 Earnings Presentation</t>
        </r>
      </text>
    </comment>
    <comment ref="BG265" authorId="10">
      <text>
        <r>
          <rPr>
            <b/>
            <sz val="9"/>
            <color indexed="81"/>
            <rFont val="Tahoma"/>
            <family val="2"/>
          </rPr>
          <t>Tabatabai, Arman (Research):</t>
        </r>
        <r>
          <rPr>
            <sz val="9"/>
            <color indexed="81"/>
            <rFont val="Tahoma"/>
            <family val="2"/>
          </rPr>
          <t xml:space="preserve">
per 4Q16 Earnings Presentation</t>
        </r>
      </text>
    </comment>
    <comment ref="BL265" authorId="10">
      <text>
        <r>
          <rPr>
            <b/>
            <sz val="9"/>
            <color indexed="81"/>
            <rFont val="Tahoma"/>
            <family val="2"/>
          </rPr>
          <t>Tabatabai, Arman (Research):</t>
        </r>
        <r>
          <rPr>
            <sz val="9"/>
            <color indexed="81"/>
            <rFont val="Tahoma"/>
            <family val="2"/>
          </rPr>
          <t xml:space="preserve">
per 4Q16 Earnings Presentation</t>
        </r>
      </text>
    </comment>
    <comment ref="C268" authorId="1">
      <text>
        <r>
          <rPr>
            <sz val="8"/>
            <color indexed="81"/>
            <rFont val="Tahoma"/>
            <family val="2"/>
          </rPr>
          <t xml:space="preserve">Exelon Corporation 2012 analyst meeting
Slide No - 81
</t>
        </r>
      </text>
    </comment>
    <comment ref="X268" authorId="0">
      <text>
        <r>
          <rPr>
            <sz val="8"/>
            <color indexed="81"/>
            <rFont val="Tahoma"/>
            <family val="2"/>
          </rPr>
          <t>Guidance : 49%
Source : Edison Electric Institute Financial Conference, Slide 44</t>
        </r>
      </text>
    </comment>
    <comment ref="AH268" authorId="11">
      <text>
        <r>
          <rPr>
            <b/>
            <sz val="9"/>
            <color indexed="81"/>
            <rFont val="Tahoma"/>
            <family val="2"/>
          </rPr>
          <t>RL:</t>
        </r>
        <r>
          <rPr>
            <sz val="9"/>
            <color indexed="81"/>
            <rFont val="Tahoma"/>
            <family val="2"/>
          </rPr>
          <t xml:space="preserve">
new approved level</t>
        </r>
      </text>
    </comment>
    <comment ref="AM268" authorId="11">
      <text>
        <r>
          <rPr>
            <b/>
            <sz val="9"/>
            <color indexed="81"/>
            <rFont val="Tahoma"/>
            <family val="2"/>
          </rPr>
          <t>RL:</t>
        </r>
        <r>
          <rPr>
            <sz val="9"/>
            <color indexed="81"/>
            <rFont val="Tahoma"/>
            <family val="2"/>
          </rPr>
          <t xml:space="preserve">
requested per the rate case</t>
        </r>
      </text>
    </comment>
    <comment ref="AP268" authorId="10">
      <text>
        <r>
          <rPr>
            <b/>
            <sz val="9"/>
            <color indexed="81"/>
            <rFont val="Tahoma"/>
            <family val="2"/>
          </rPr>
          <t>Tabatabai, Arman (Research):</t>
        </r>
        <r>
          <rPr>
            <sz val="9"/>
            <color indexed="81"/>
            <rFont val="Tahoma"/>
            <family val="2"/>
          </rPr>
          <t xml:space="preserve">
7/29/16 Revised decision
51.9% Equity Ratio
Electric: $2.9b rate base, 9.75% ROE, $41.7m rate increase
Gas: $1.2b rate base, 9.65% ROE, $47.8m rate increase
FERC: 10% Base ROE + 0.5% RTO participation adder</t>
        </r>
      </text>
    </comment>
    <comment ref="AR268" authorId="10">
      <text>
        <r>
          <rPr>
            <b/>
            <sz val="9"/>
            <color indexed="81"/>
            <rFont val="Tahoma"/>
            <family val="2"/>
          </rPr>
          <t>Tabatabai, Arman (Research):</t>
        </r>
        <r>
          <rPr>
            <sz val="9"/>
            <color indexed="81"/>
            <rFont val="Tahoma"/>
            <family val="2"/>
          </rPr>
          <t xml:space="preserve">
7/29/16 Revised decision
51.9% Equity Ratio
Electric: $2.9b rate base, 9.75% ROE, $41.7m rate increase
Gas: $1.2b rate base, 9.65% ROE, $47.8m rate increase
FERC: 10% Base ROE + 0.5% RTO participation adder</t>
        </r>
      </text>
    </comment>
    <comment ref="C272" authorId="7">
      <text>
        <r>
          <rPr>
            <b/>
            <sz val="8"/>
            <color indexed="81"/>
            <rFont val="Tahoma"/>
            <family val="2"/>
          </rPr>
          <t>rajeevl:</t>
        </r>
        <r>
          <rPr>
            <sz val="8"/>
            <color indexed="81"/>
            <rFont val="Tahoma"/>
            <family val="2"/>
          </rPr>
          <t xml:space="preserve">
2011 case ROE for WGL plus transmission which gets an 11.3% ROE</t>
        </r>
      </text>
    </comment>
    <comment ref="X272" authorId="0">
      <text>
        <r>
          <rPr>
            <sz val="8"/>
            <color indexed="81"/>
            <rFont val="Tahoma"/>
            <family val="2"/>
          </rPr>
          <t>Guidance : 4-5%
Source : Edison Electric Institute Financial Conference, Slide 44</t>
        </r>
      </text>
    </comment>
    <comment ref="AM272" authorId="11">
      <text>
        <r>
          <rPr>
            <b/>
            <sz val="9"/>
            <color indexed="81"/>
            <rFont val="Tahoma"/>
            <family val="2"/>
          </rPr>
          <t>RL:</t>
        </r>
        <r>
          <rPr>
            <sz val="9"/>
            <color indexed="81"/>
            <rFont val="Tahoma"/>
            <family val="2"/>
          </rPr>
          <t xml:space="preserve">
ROE for electric per settlement (silent on level, but this will be used for AFUDC, etc.)</t>
        </r>
      </text>
    </comment>
    <comment ref="AP272" authorId="10">
      <text>
        <r>
          <rPr>
            <b/>
            <sz val="9"/>
            <color indexed="81"/>
            <rFont val="Tahoma"/>
            <family val="2"/>
          </rPr>
          <t>Tabatabai, Arman (Research):</t>
        </r>
        <r>
          <rPr>
            <sz val="9"/>
            <color indexed="81"/>
            <rFont val="Tahoma"/>
            <family val="2"/>
          </rPr>
          <t xml:space="preserve">
7/29/16 Revised decision
51.9% Equity Ratio
Electric: $2.9b rate base, 9.75% ROE, $41.7m rate increase +$2.4 from revised
Gas: $1.2b rate base, 9.65% ROE, $47.8m rate increase + $0.1 from revised
FERC: 10% Base ROE + 0.5% RTO participation adder</t>
        </r>
      </text>
    </comment>
    <comment ref="AR272" authorId="10">
      <text>
        <r>
          <rPr>
            <b/>
            <sz val="9"/>
            <color indexed="81"/>
            <rFont val="Tahoma"/>
            <family val="2"/>
          </rPr>
          <t>Tabatabai, Arman (Research):</t>
        </r>
        <r>
          <rPr>
            <sz val="9"/>
            <color indexed="81"/>
            <rFont val="Tahoma"/>
            <family val="2"/>
          </rPr>
          <t xml:space="preserve">
7/29/16 Revised decision
51.9% Equity Ratio
Electric: $2.9b rate base, 9.75% ROE, $41.7m rate increase
Gas: $1.2b rate base, 9.65% ROE, $47.8m rate increase
FERC: 10% Base ROE + 0.5% RTO participation adder</t>
        </r>
      </text>
    </comment>
  </commentList>
</comments>
</file>

<file path=xl/comments9.xml><?xml version="1.0" encoding="utf-8"?>
<comments xmlns="http://schemas.openxmlformats.org/spreadsheetml/2006/main">
  <authors>
    <author>McDermott, Devin (Research)</author>
    <author>mehtaba</author>
    <author>Tammannavar, Sunil (Research)</author>
    <author>Tabatabai, Arman (Research)</author>
    <author>Kobus, Jim (Research)</author>
    <author>RL</author>
    <author>Mendiratta, Divya (Research)</author>
    <author>MD</author>
    <author>Dandurand, Michael J (Research)</author>
  </authors>
  <commentList>
    <comment ref="BQ12" authorId="0">
      <text>
        <r>
          <rPr>
            <b/>
            <sz val="9"/>
            <color indexed="81"/>
            <rFont val="Tahoma"/>
            <family val="2"/>
          </rPr>
          <t>Tabatabai, Arman (Research):</t>
        </r>
        <r>
          <rPr>
            <sz val="9"/>
            <color indexed="81"/>
            <rFont val="Tahoma"/>
            <family val="2"/>
          </rPr>
          <t xml:space="preserve">
$130m 2020 run rate o&amp;m Savings</t>
        </r>
      </text>
    </comment>
    <comment ref="I20" authorId="1">
      <text>
        <r>
          <rPr>
            <sz val="8"/>
            <color indexed="81"/>
            <rFont val="Tahoma"/>
            <family val="2"/>
          </rPr>
          <t xml:space="preserve">$15mn:Restructuring charge
$11mn:Effects of divestiture-related claims
$1mn:Interest and dividend income
</t>
        </r>
      </text>
    </comment>
    <comment ref="AN33" authorId="2">
      <text>
        <r>
          <rPr>
            <sz val="9"/>
            <color indexed="81"/>
            <rFont val="Tahoma"/>
            <family val="2"/>
          </rPr>
          <t xml:space="preserve">PHI numbers adjusted here
</t>
        </r>
      </text>
    </comment>
    <comment ref="AO33" authorId="2">
      <text>
        <r>
          <rPr>
            <sz val="9"/>
            <color indexed="81"/>
            <rFont val="Tahoma"/>
            <family val="2"/>
          </rPr>
          <t xml:space="preserve">PHI numbers adjusted here
</t>
        </r>
      </text>
    </comment>
    <comment ref="AP33" authorId="2">
      <text>
        <r>
          <rPr>
            <sz val="9"/>
            <color indexed="81"/>
            <rFont val="Tahoma"/>
            <family val="2"/>
          </rPr>
          <t xml:space="preserve">PHI numbers adjusted here
</t>
        </r>
      </text>
    </comment>
    <comment ref="AW46" authorId="3">
      <text>
        <r>
          <rPr>
            <b/>
            <sz val="9"/>
            <color indexed="81"/>
            <rFont val="Tahoma"/>
            <family val="2"/>
          </rPr>
          <t>Tabatabai, Arman (Research):</t>
        </r>
        <r>
          <rPr>
            <sz val="9"/>
            <color indexed="81"/>
            <rFont val="Tahoma"/>
            <family val="2"/>
          </rPr>
          <t xml:space="preserve">
Revised request inclusive of tax reform $3.3m</t>
        </r>
      </text>
    </comment>
    <comment ref="BB46" authorId="0">
      <text>
        <r>
          <rPr>
            <b/>
            <sz val="9"/>
            <color indexed="81"/>
            <rFont val="Tahoma"/>
            <family val="2"/>
          </rPr>
          <t>McDermott, Devin (Research):</t>
        </r>
        <r>
          <rPr>
            <sz val="9"/>
            <color indexed="81"/>
            <rFont val="Tahoma"/>
            <family val="2"/>
          </rPr>
          <t xml:space="preserve">
assumed</t>
        </r>
      </text>
    </comment>
    <comment ref="BG46" authorId="0">
      <text>
        <r>
          <rPr>
            <b/>
            <sz val="9"/>
            <color indexed="81"/>
            <rFont val="Tahoma"/>
            <family val="2"/>
          </rPr>
          <t>McDermott, Devin (Research):</t>
        </r>
        <r>
          <rPr>
            <sz val="9"/>
            <color indexed="81"/>
            <rFont val="Tahoma"/>
            <family val="2"/>
          </rPr>
          <t xml:space="preserve">
assumed</t>
        </r>
      </text>
    </comment>
    <comment ref="AW47" authorId="3">
      <text>
        <r>
          <rPr>
            <b/>
            <sz val="9"/>
            <color indexed="81"/>
            <rFont val="Tahoma"/>
            <family val="2"/>
          </rPr>
          <t>Tabatabai, Arman (Research):</t>
        </r>
        <r>
          <rPr>
            <sz val="9"/>
            <color indexed="81"/>
            <rFont val="Tahoma"/>
            <family val="2"/>
          </rPr>
          <t xml:space="preserve">
Requested $66.2m, assume receives 25% of this+ net assumed revenue impact from tax reform based on benefit pass through to customers with neutral impact to pre-tax income</t>
        </r>
      </text>
    </comment>
    <comment ref="BG47" authorId="0">
      <text>
        <r>
          <rPr>
            <b/>
            <sz val="9"/>
            <color indexed="81"/>
            <rFont val="Tahoma"/>
            <family val="2"/>
          </rPr>
          <t>McDermott, Devin (Research):</t>
        </r>
        <r>
          <rPr>
            <sz val="9"/>
            <color indexed="81"/>
            <rFont val="Tahoma"/>
            <family val="2"/>
          </rPr>
          <t xml:space="preserve">
assumed</t>
        </r>
      </text>
    </comment>
    <comment ref="BN48" authorId="4">
      <text>
        <r>
          <rPr>
            <b/>
            <sz val="9"/>
            <color indexed="81"/>
            <rFont val="Tahoma"/>
            <family val="2"/>
          </rPr>
          <t>Tabatabai, Arman (Research):</t>
        </r>
        <r>
          <rPr>
            <sz val="9"/>
            <color indexed="81"/>
            <rFont val="Tahoma"/>
            <family val="2"/>
          </rPr>
          <t xml:space="preserve">
DC PLUG Surcharge Recovery Mechanism - 9.4% ROE, 8/2016 Analyst Day </t>
        </r>
      </text>
    </comment>
    <comment ref="BN49" authorId="4">
      <text>
        <r>
          <rPr>
            <b/>
            <sz val="9"/>
            <color indexed="81"/>
            <rFont val="Tahoma"/>
            <family val="2"/>
          </rPr>
          <t>Tabatabai, Arman (Research):</t>
        </r>
        <r>
          <rPr>
            <sz val="9"/>
            <color indexed="81"/>
            <rFont val="Tahoma"/>
            <family val="2"/>
          </rPr>
          <t xml:space="preserve">
FERC: 10% Base ROE + 0.5% RTO participation adder, 8/2016 Analyst Day </t>
        </r>
      </text>
    </comment>
    <comment ref="C51" authorId="5">
      <text>
        <r>
          <rPr>
            <b/>
            <sz val="8"/>
            <color indexed="81"/>
            <rFont val="Tahoma"/>
            <family val="2"/>
          </rPr>
          <t>RL:</t>
        </r>
        <r>
          <rPr>
            <sz val="8"/>
            <color indexed="81"/>
            <rFont val="Tahoma"/>
            <family val="2"/>
          </rPr>
          <t xml:space="preserve">
About 50% of O&amp;M relates to departmental costs (i.e. non-tracked). 
O&amp;M has increased at a high level historically, but largely due to tracked items (pension, DSM/EE, other). 
Going forward we forecast an increase only on tracked portion. </t>
        </r>
      </text>
    </comment>
    <comment ref="AW51" authorId="0">
      <text>
        <r>
          <rPr>
            <b/>
            <sz val="9"/>
            <color indexed="81"/>
            <rFont val="Tahoma"/>
            <family val="2"/>
          </rPr>
          <t>McDermott, Devin (Research):</t>
        </r>
        <r>
          <rPr>
            <sz val="9"/>
            <color indexed="81"/>
            <rFont val="Tahoma"/>
            <family val="2"/>
          </rPr>
          <t xml:space="preserve">
Synergies</t>
        </r>
      </text>
    </comment>
    <comment ref="BB51" authorId="0">
      <text>
        <r>
          <rPr>
            <b/>
            <sz val="9"/>
            <color indexed="81"/>
            <rFont val="Tahoma"/>
            <family val="2"/>
          </rPr>
          <t>McDermott, Devin (Research):</t>
        </r>
        <r>
          <rPr>
            <sz val="9"/>
            <color indexed="81"/>
            <rFont val="Tahoma"/>
            <family val="2"/>
          </rPr>
          <t xml:space="preserve">
Synergies</t>
        </r>
      </text>
    </comment>
    <comment ref="BG51" authorId="3">
      <text>
        <r>
          <rPr>
            <b/>
            <sz val="9"/>
            <color indexed="81"/>
            <rFont val="Tahoma"/>
            <family val="2"/>
          </rPr>
          <t>McDermott, Devin (Research):</t>
        </r>
        <r>
          <rPr>
            <sz val="9"/>
            <color indexed="81"/>
            <rFont val="Tahoma"/>
            <family val="2"/>
          </rPr>
          <t xml:space="preserve">
Synergies</t>
        </r>
      </text>
    </comment>
    <comment ref="C114" authorId="5">
      <text>
        <r>
          <rPr>
            <b/>
            <sz val="9"/>
            <color indexed="81"/>
            <rFont val="Tahoma"/>
            <family val="2"/>
          </rPr>
          <t>RL:</t>
        </r>
        <r>
          <rPr>
            <sz val="9"/>
            <color indexed="81"/>
            <rFont val="Tahoma"/>
            <family val="2"/>
          </rPr>
          <t xml:space="preserve">
$1bil project split 50/50 with city of DC over 7yrs. </t>
        </r>
      </text>
    </comment>
    <comment ref="AW117" authorId="6">
      <text>
        <r>
          <rPr>
            <sz val="9"/>
            <color indexed="81"/>
            <rFont val="Tahoma"/>
            <family val="2"/>
          </rPr>
          <t xml:space="preserve">Guidance: $725mn
Source: 4Q17 Presentation
</t>
        </r>
      </text>
    </comment>
    <comment ref="BB117" authorId="6">
      <text>
        <r>
          <rPr>
            <sz val="9"/>
            <color indexed="81"/>
            <rFont val="Tahoma"/>
            <family val="2"/>
          </rPr>
          <t xml:space="preserve">Guidance: $750mn
Source: 4Q17 Presentation
</t>
        </r>
      </text>
    </comment>
    <comment ref="BG117" authorId="6">
      <text>
        <r>
          <rPr>
            <sz val="9"/>
            <color indexed="81"/>
            <rFont val="Tahoma"/>
            <family val="2"/>
          </rPr>
          <t xml:space="preserve">Guidance: $850mn
Source: 4Q17 Presentation
</t>
        </r>
      </text>
    </comment>
    <comment ref="BL117" authorId="6">
      <text>
        <r>
          <rPr>
            <sz val="9"/>
            <color indexed="81"/>
            <rFont val="Tahoma"/>
            <family val="2"/>
          </rPr>
          <t xml:space="preserve">Guidance: $950mn
Source: 4Q17 Presentation
</t>
        </r>
      </text>
    </comment>
    <comment ref="AW145" authorId="4">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145" authorId="4">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145" authorId="4">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145" authorId="4">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AR248" authorId="0">
      <text>
        <r>
          <rPr>
            <b/>
            <sz val="9"/>
            <color indexed="81"/>
            <rFont val="Tahoma"/>
            <family val="2"/>
          </rPr>
          <t>Tabatabai, Arman (Research):</t>
        </r>
        <r>
          <rPr>
            <sz val="9"/>
            <color indexed="81"/>
            <rFont val="Tahoma"/>
            <family val="2"/>
          </rPr>
          <t xml:space="preserve">
IR: slide Bonus D rate base impact but negligible earnings impact</t>
        </r>
      </text>
    </comment>
    <comment ref="AW248" authorId="0">
      <text>
        <r>
          <rPr>
            <b/>
            <sz val="9"/>
            <color indexed="81"/>
            <rFont val="Tahoma"/>
            <family val="2"/>
          </rPr>
          <t>Tabatabai, Arman (Research):</t>
        </r>
        <r>
          <rPr>
            <sz val="9"/>
            <color indexed="81"/>
            <rFont val="Tahoma"/>
            <family val="2"/>
          </rPr>
          <t xml:space="preserve">
IR: slide Bonus D rate base impact but negligible earnings impact</t>
        </r>
      </text>
    </comment>
    <comment ref="BB248" authorId="0">
      <text>
        <r>
          <rPr>
            <b/>
            <sz val="9"/>
            <color indexed="81"/>
            <rFont val="Tahoma"/>
            <family val="2"/>
          </rPr>
          <t>Tabatabai, Arman (Research):</t>
        </r>
        <r>
          <rPr>
            <sz val="9"/>
            <color indexed="81"/>
            <rFont val="Tahoma"/>
            <family val="2"/>
          </rPr>
          <t xml:space="preserve">
IR: slide Bonus D rate base impact but negligible earnings impact</t>
        </r>
      </text>
    </comment>
    <comment ref="AD249" authorId="3">
      <text>
        <r>
          <rPr>
            <b/>
            <sz val="9"/>
            <color indexed="81"/>
            <rFont val="Tahoma"/>
            <family val="2"/>
          </rPr>
          <t>Tabatabai, Arman (Research):</t>
        </r>
        <r>
          <rPr>
            <sz val="9"/>
            <color indexed="81"/>
            <rFont val="Tahoma"/>
            <family val="2"/>
          </rPr>
          <t xml:space="preserve">
assumption to tie out to rate base guidance</t>
        </r>
      </text>
    </comment>
    <comment ref="AN249" authorId="3">
      <text>
        <r>
          <rPr>
            <b/>
            <sz val="9"/>
            <color indexed="81"/>
            <rFont val="Tahoma"/>
            <family val="2"/>
          </rPr>
          <t>Tabatabai, Arman (Research):</t>
        </r>
        <r>
          <rPr>
            <sz val="9"/>
            <color indexed="81"/>
            <rFont val="Tahoma"/>
            <family val="2"/>
          </rPr>
          <t xml:space="preserve">
assumption to tie out to rate base guidance</t>
        </r>
      </text>
    </comment>
    <comment ref="AO249" authorId="3">
      <text>
        <r>
          <rPr>
            <b/>
            <sz val="9"/>
            <color indexed="81"/>
            <rFont val="Tahoma"/>
            <family val="2"/>
          </rPr>
          <t>Tabatabai, Arman (Research):</t>
        </r>
        <r>
          <rPr>
            <sz val="9"/>
            <color indexed="81"/>
            <rFont val="Tahoma"/>
            <family val="2"/>
          </rPr>
          <t xml:space="preserve">
assumption to tie out to rate base guidance</t>
        </r>
      </text>
    </comment>
    <comment ref="AP249" authorId="3">
      <text>
        <r>
          <rPr>
            <b/>
            <sz val="9"/>
            <color indexed="81"/>
            <rFont val="Tahoma"/>
            <family val="2"/>
          </rPr>
          <t>Tabatabai, Arman (Research):</t>
        </r>
        <r>
          <rPr>
            <sz val="9"/>
            <color indexed="81"/>
            <rFont val="Tahoma"/>
            <family val="2"/>
          </rPr>
          <t xml:space="preserve">
assumption to tie out to rate base guidance</t>
        </r>
      </text>
    </comment>
    <comment ref="AQ249" authorId="3">
      <text>
        <r>
          <rPr>
            <b/>
            <sz val="9"/>
            <color indexed="81"/>
            <rFont val="Tahoma"/>
            <family val="2"/>
          </rPr>
          <t>Tabatabai, Arman (Research):</t>
        </r>
        <r>
          <rPr>
            <sz val="9"/>
            <color indexed="81"/>
            <rFont val="Tahoma"/>
            <family val="2"/>
          </rPr>
          <t xml:space="preserve">
assumption to tie out to rate base guidance</t>
        </r>
      </text>
    </comment>
    <comment ref="AS249" authorId="3">
      <text>
        <r>
          <rPr>
            <b/>
            <sz val="9"/>
            <color indexed="81"/>
            <rFont val="Tahoma"/>
            <family val="2"/>
          </rPr>
          <t>Tabatabai, Arman (Research):</t>
        </r>
        <r>
          <rPr>
            <sz val="9"/>
            <color indexed="81"/>
            <rFont val="Tahoma"/>
            <family val="2"/>
          </rPr>
          <t xml:space="preserve">
assumption to tie out to rate base guidance</t>
        </r>
      </text>
    </comment>
    <comment ref="AX249" authorId="3">
      <text>
        <r>
          <rPr>
            <b/>
            <sz val="9"/>
            <color indexed="81"/>
            <rFont val="Tahoma"/>
            <family val="2"/>
          </rPr>
          <t>Tabatabai, Arman (Research):</t>
        </r>
        <r>
          <rPr>
            <sz val="9"/>
            <color indexed="81"/>
            <rFont val="Tahoma"/>
            <family val="2"/>
          </rPr>
          <t xml:space="preserve">
assumption to tie out to rate base guidance</t>
        </r>
      </text>
    </comment>
    <comment ref="BC249" authorId="3">
      <text>
        <r>
          <rPr>
            <b/>
            <sz val="9"/>
            <color indexed="81"/>
            <rFont val="Tahoma"/>
            <family val="2"/>
          </rPr>
          <t>Tabatabai, Arman (Research):</t>
        </r>
        <r>
          <rPr>
            <sz val="9"/>
            <color indexed="81"/>
            <rFont val="Tahoma"/>
            <family val="2"/>
          </rPr>
          <t xml:space="preserve">
assumption to tie out to rate base guidance</t>
        </r>
      </text>
    </comment>
    <comment ref="X250" authorId="7">
      <text>
        <r>
          <rPr>
            <b/>
            <sz val="8"/>
            <color indexed="81"/>
            <rFont val="Tahoma"/>
            <family val="2"/>
          </rPr>
          <t>MD:</t>
        </r>
        <r>
          <rPr>
            <sz val="8"/>
            <color indexed="81"/>
            <rFont val="Tahoma"/>
            <family val="2"/>
          </rPr>
          <t xml:space="preserve">
2013 Estimated Rate Bate
Jan 2014 Investor Update</t>
        </r>
      </text>
    </comment>
    <comment ref="AH255" authorId="4">
      <text>
        <r>
          <rPr>
            <b/>
            <sz val="9"/>
            <color indexed="81"/>
            <rFont val="Tahoma"/>
            <family val="2"/>
          </rPr>
          <t>Tabatabai, Arman (Research):</t>
        </r>
        <r>
          <rPr>
            <sz val="9"/>
            <color indexed="81"/>
            <rFont val="Tahoma"/>
            <family val="2"/>
          </rPr>
          <t xml:space="preserve">
1Q16 earnings Slides, slide 29</t>
        </r>
      </text>
    </comment>
    <comment ref="AM255" authorId="4">
      <text>
        <r>
          <rPr>
            <b/>
            <sz val="9"/>
            <color indexed="81"/>
            <rFont val="Tahoma"/>
            <family val="2"/>
          </rPr>
          <t>Tabatabai, Arman (Research):</t>
        </r>
        <r>
          <rPr>
            <sz val="9"/>
            <color indexed="81"/>
            <rFont val="Tahoma"/>
            <family val="2"/>
          </rPr>
          <t xml:space="preserve">
per 4Q16 Presentation</t>
        </r>
      </text>
    </comment>
    <comment ref="AR255" authorId="4">
      <text>
        <r>
          <rPr>
            <b/>
            <sz val="9"/>
            <color indexed="81"/>
            <rFont val="Tahoma"/>
            <family val="2"/>
          </rPr>
          <t>Tabatabai, Arman (Research):</t>
        </r>
        <r>
          <rPr>
            <sz val="9"/>
            <color indexed="81"/>
            <rFont val="Tahoma"/>
            <family val="2"/>
          </rPr>
          <t xml:space="preserve">
per 4Q16 Presentation</t>
        </r>
      </text>
    </comment>
    <comment ref="AW255" authorId="4">
      <text>
        <r>
          <rPr>
            <b/>
            <sz val="9"/>
            <color indexed="81"/>
            <rFont val="Tahoma"/>
            <family val="2"/>
          </rPr>
          <t>Tabatabai, Arman (Research):</t>
        </r>
        <r>
          <rPr>
            <sz val="9"/>
            <color indexed="81"/>
            <rFont val="Tahoma"/>
            <family val="2"/>
          </rPr>
          <t xml:space="preserve">
per 4Q16 Presentation</t>
        </r>
      </text>
    </comment>
    <comment ref="BB255" authorId="4">
      <text>
        <r>
          <rPr>
            <b/>
            <sz val="9"/>
            <color indexed="81"/>
            <rFont val="Tahoma"/>
            <family val="2"/>
          </rPr>
          <t>Tabatabai, Arman (Research):</t>
        </r>
        <r>
          <rPr>
            <sz val="9"/>
            <color indexed="81"/>
            <rFont val="Tahoma"/>
            <family val="2"/>
          </rPr>
          <t xml:space="preserve">
per 4Q16 Presentation</t>
        </r>
      </text>
    </comment>
    <comment ref="BG255" authorId="4">
      <text>
        <r>
          <rPr>
            <b/>
            <sz val="9"/>
            <color indexed="81"/>
            <rFont val="Tahoma"/>
            <family val="2"/>
          </rPr>
          <t>Tabatabai, Arman (Research):</t>
        </r>
        <r>
          <rPr>
            <sz val="9"/>
            <color indexed="81"/>
            <rFont val="Tahoma"/>
            <family val="2"/>
          </rPr>
          <t xml:space="preserve">
per 4Q16 Presentation</t>
        </r>
      </text>
    </comment>
    <comment ref="S262" authorId="8">
      <text>
        <r>
          <rPr>
            <b/>
            <sz val="9"/>
            <color indexed="81"/>
            <rFont val="Tahoma"/>
            <family val="2"/>
          </rPr>
          <t>MD:</t>
        </r>
        <r>
          <rPr>
            <sz val="9"/>
            <color indexed="81"/>
            <rFont val="Tahoma"/>
            <family val="2"/>
          </rPr>
          <t>9.4% blend of DC and MD ROEs and 11.3% FERC ROE</t>
        </r>
      </text>
    </comment>
    <comment ref="AL262" authorId="8">
      <text>
        <r>
          <rPr>
            <b/>
            <sz val="9"/>
            <color indexed="81"/>
            <rFont val="Tahoma"/>
            <family val="2"/>
          </rPr>
          <t>MD:</t>
        </r>
        <r>
          <rPr>
            <sz val="9"/>
            <color indexed="81"/>
            <rFont val="Tahoma"/>
            <family val="2"/>
          </rPr>
          <t>blend of 9.4% DC, 9.55% MD and 10.5% FERC ROE</t>
        </r>
      </text>
    </comment>
  </commentList>
</comments>
</file>

<file path=xl/comments10.xml><?xml version="1.0" encoding="utf-8"?>
<comments xmlns="http://schemas.openxmlformats.org/spreadsheetml/2006/main">
  <authors>
    <author>Kapoor, Vishal (Research)</author>
    <author>Dixit, Siddharth (Research)</author>
    <author>Ananth, Manoj (Research)</author>
    <author>Mendiratta, Divya (Research)</author>
    <author>Tammannavar, Sunil (Research)</author>
    <author>mehtaba</author>
    <author>Tabatabai, Arman (Research)</author>
    <author>Kobus, Jim (Research)</author>
    <author>McDermott, Devin (Research)</author>
    <author>$</author>
    <author>MD</author>
  </authors>
  <commentList>
    <comment ref="AI9" authorId="0">
      <text>
        <r>
          <rPr>
            <sz val="8"/>
            <color indexed="81"/>
            <rFont val="Tahoma"/>
            <family val="2"/>
          </rPr>
          <t xml:space="preserve">Includes:
$2mn: Operating revenues from affiliates
</t>
        </r>
        <r>
          <rPr>
            <sz val="9"/>
            <color indexed="81"/>
            <rFont val="Tahoma"/>
            <family val="2"/>
          </rPr>
          <t xml:space="preserve">
</t>
        </r>
      </text>
    </comment>
    <comment ref="AJ9" authorId="0">
      <text>
        <r>
          <rPr>
            <sz val="8"/>
            <color indexed="81"/>
            <rFont val="Tahoma"/>
            <family val="2"/>
          </rPr>
          <t xml:space="preserve">Includes:
$2mn: Operating revenues from affiliates
</t>
        </r>
        <r>
          <rPr>
            <sz val="9"/>
            <color indexed="81"/>
            <rFont val="Tahoma"/>
            <family val="2"/>
          </rPr>
          <t xml:space="preserve">
</t>
        </r>
      </text>
    </comment>
    <comment ref="AK9" authorId="0">
      <text>
        <r>
          <rPr>
            <sz val="8"/>
            <color indexed="81"/>
            <rFont val="Tahoma"/>
            <family val="2"/>
          </rPr>
          <t xml:space="preserve">Includes:
$2mn: Operating revenues from affiliates
</t>
        </r>
        <r>
          <rPr>
            <sz val="9"/>
            <color indexed="81"/>
            <rFont val="Tahoma"/>
            <family val="2"/>
          </rPr>
          <t xml:space="preserve">
</t>
        </r>
      </text>
    </comment>
    <comment ref="AM9" authorId="0">
      <text>
        <r>
          <rPr>
            <sz val="9"/>
            <color indexed="81"/>
            <rFont val="Tahoma"/>
            <family val="2"/>
          </rPr>
          <t xml:space="preserve">Includes:
$7mn: Operating revenues from affiliates
</t>
        </r>
      </text>
    </comment>
    <comment ref="AN9" authorId="1">
      <text>
        <r>
          <rPr>
            <sz val="9"/>
            <color indexed="81"/>
            <rFont val="Tahoma"/>
            <family val="2"/>
          </rPr>
          <t>Includes:
$2mn: Operating revenues from affiliates</t>
        </r>
      </text>
    </comment>
    <comment ref="AO9" authorId="0">
      <text>
        <r>
          <rPr>
            <sz val="8"/>
            <color indexed="81"/>
            <rFont val="Tahoma"/>
            <family val="2"/>
          </rPr>
          <t>Includes:
$2mn: Operating revenues from affiliates</t>
        </r>
      </text>
    </comment>
    <comment ref="AP9" authorId="2">
      <text>
        <r>
          <rPr>
            <sz val="9"/>
            <color indexed="81"/>
            <rFont val="Tahoma"/>
            <family val="2"/>
          </rPr>
          <t>Includes:
$2mn: Operating revenues from affiliates</t>
        </r>
      </text>
    </comment>
    <comment ref="AR9" authorId="3">
      <text>
        <r>
          <rPr>
            <sz val="9"/>
            <color indexed="81"/>
            <rFont val="Tahoma"/>
            <family val="2"/>
          </rPr>
          <t xml:space="preserve">$8mn: Operating revenue from affiliates
</t>
        </r>
      </text>
    </comment>
    <comment ref="AI13" authorId="4">
      <text>
        <r>
          <rPr>
            <sz val="9"/>
            <color indexed="81"/>
            <rFont val="Tahoma"/>
            <family val="2"/>
          </rPr>
          <t xml:space="preserve">Gas purchased number not reported in the filings
</t>
        </r>
      </text>
    </comment>
    <comment ref="AJ13" authorId="4">
      <text>
        <r>
          <rPr>
            <sz val="9"/>
            <color indexed="81"/>
            <rFont val="Tahoma"/>
            <family val="2"/>
          </rPr>
          <t xml:space="preserve">Gas purchased number not reported in the filings
</t>
        </r>
      </text>
    </comment>
    <comment ref="AK13" authorId="4">
      <text>
        <r>
          <rPr>
            <sz val="9"/>
            <color indexed="81"/>
            <rFont val="Tahoma"/>
            <family val="2"/>
          </rPr>
          <t xml:space="preserve">Gas purchased number not reported in the filings
</t>
        </r>
      </text>
    </comment>
    <comment ref="AM13" authorId="0">
      <text>
        <r>
          <rPr>
            <sz val="9"/>
            <color indexed="81"/>
            <rFont val="Tahoma"/>
            <family val="2"/>
          </rPr>
          <t xml:space="preserve">Gas purchased number not reported in the filings
</t>
        </r>
      </text>
    </comment>
    <comment ref="AN13" authorId="1">
      <text>
        <r>
          <rPr>
            <sz val="9"/>
            <color indexed="81"/>
            <rFont val="Tahoma"/>
            <family val="2"/>
          </rPr>
          <t>Gas purchased number not reported in the filings</t>
        </r>
      </text>
    </comment>
    <comment ref="AO13" authorId="4">
      <text>
        <r>
          <rPr>
            <sz val="9"/>
            <color indexed="81"/>
            <rFont val="Tahoma"/>
            <family val="2"/>
          </rPr>
          <t xml:space="preserve">Gas purchased number not reported in the filings
</t>
        </r>
      </text>
    </comment>
    <comment ref="AP13" authorId="4">
      <text>
        <r>
          <rPr>
            <sz val="9"/>
            <color indexed="81"/>
            <rFont val="Tahoma"/>
            <family val="2"/>
          </rPr>
          <t xml:space="preserve">Gas purchased number not reported in the filings
</t>
        </r>
      </text>
    </comment>
    <comment ref="AR13" authorId="4">
      <text>
        <r>
          <rPr>
            <sz val="9"/>
            <color indexed="81"/>
            <rFont val="Tahoma"/>
            <family val="2"/>
          </rPr>
          <t xml:space="preserve">Gas purchased number not reported in the filings
</t>
        </r>
      </text>
    </comment>
    <comment ref="I26" authorId="5">
      <text>
        <r>
          <rPr>
            <sz val="8"/>
            <color indexed="81"/>
            <rFont val="Tahoma"/>
            <family val="2"/>
          </rPr>
          <t xml:space="preserve">$8mn:Restructuring charge
</t>
        </r>
      </text>
    </comment>
    <comment ref="AS53" authorId="6">
      <text>
        <r>
          <rPr>
            <b/>
            <sz val="9"/>
            <color indexed="81"/>
            <rFont val="Tahoma"/>
            <family val="2"/>
          </rPr>
          <t>Tabatabai, Arman (Research):</t>
        </r>
        <r>
          <rPr>
            <sz val="9"/>
            <color indexed="81"/>
            <rFont val="Tahoma"/>
            <family val="2"/>
          </rPr>
          <t xml:space="preserve">
$27m DPL rate increase request order expected 2/14/18</t>
        </r>
      </text>
    </comment>
    <comment ref="AW53" authorId="6">
      <text>
        <r>
          <rPr>
            <b/>
            <sz val="9"/>
            <color indexed="81"/>
            <rFont val="Tahoma"/>
            <family val="2"/>
          </rPr>
          <t>Tabatabai, Arman (Research):</t>
        </r>
        <r>
          <rPr>
            <sz val="9"/>
            <color indexed="81"/>
            <rFont val="Tahoma"/>
            <family val="2"/>
          </rPr>
          <t xml:space="preserve">
$13.4m increase approved on 3/1/18, retroactive to 2/9/18+ net assumed revenue impact from tax reform based on benefit pass through to customers with neutral impact to pre-tax income</t>
        </r>
      </text>
    </comment>
    <comment ref="AW54" authorId="6">
      <text>
        <r>
          <rPr>
            <b/>
            <sz val="9"/>
            <color indexed="81"/>
            <rFont val="Tahoma"/>
            <family val="2"/>
          </rPr>
          <t>Tabatabai, Arman (Research):</t>
        </r>
        <r>
          <rPr>
            <sz val="9"/>
            <color indexed="81"/>
            <rFont val="Tahoma"/>
            <family val="2"/>
          </rPr>
          <t xml:space="preserve">
$12.6m revised increase requested on 2/9/18, assume receives 25% of request</t>
        </r>
      </text>
    </comment>
    <comment ref="BN55" authorId="7">
      <text>
        <r>
          <rPr>
            <b/>
            <sz val="9"/>
            <color indexed="81"/>
            <rFont val="Tahoma"/>
            <family val="2"/>
          </rPr>
          <t>Tabatabai, Arman (Research):</t>
        </r>
        <r>
          <rPr>
            <sz val="9"/>
            <color indexed="81"/>
            <rFont val="Tahoma"/>
            <family val="2"/>
          </rPr>
          <t xml:space="preserve">
FERC: 10% Base ROE + 0.5% RTO participation adder, 8/2016 Analyst Day </t>
        </r>
      </text>
    </comment>
    <comment ref="AW56" authorId="6">
      <text>
        <r>
          <rPr>
            <b/>
            <sz val="9"/>
            <color indexed="81"/>
            <rFont val="Tahoma"/>
            <family val="2"/>
          </rPr>
          <t>Tabatabai, Arman (Research):</t>
        </r>
        <r>
          <rPr>
            <sz val="9"/>
            <color indexed="81"/>
            <rFont val="Tahoma"/>
            <family val="2"/>
          </rPr>
          <t xml:space="preserve">
$11m revised increase requested on 11/7/17, assume receives 25% of request</t>
        </r>
      </text>
    </comment>
    <comment ref="AW58" authorId="8">
      <text>
        <r>
          <rPr>
            <b/>
            <sz val="9"/>
            <color indexed="81"/>
            <rFont val="Tahoma"/>
            <family val="2"/>
          </rPr>
          <t>McDermott, Devin (Research):</t>
        </r>
        <r>
          <rPr>
            <sz val="9"/>
            <color indexed="81"/>
            <rFont val="Tahoma"/>
            <family val="2"/>
          </rPr>
          <t xml:space="preserve">
Synergies</t>
        </r>
      </text>
    </comment>
    <comment ref="BB58" authorId="8">
      <text>
        <r>
          <rPr>
            <b/>
            <sz val="9"/>
            <color indexed="81"/>
            <rFont val="Tahoma"/>
            <family val="2"/>
          </rPr>
          <t>McDermott, Devin (Research):</t>
        </r>
        <r>
          <rPr>
            <sz val="9"/>
            <color indexed="81"/>
            <rFont val="Tahoma"/>
            <family val="2"/>
          </rPr>
          <t xml:space="preserve">
Synergies</t>
        </r>
      </text>
    </comment>
    <comment ref="BG58" authorId="8">
      <text>
        <r>
          <rPr>
            <b/>
            <sz val="9"/>
            <color indexed="81"/>
            <rFont val="Tahoma"/>
            <family val="2"/>
          </rPr>
          <t>McDermott, Devin (Research):</t>
        </r>
        <r>
          <rPr>
            <sz val="9"/>
            <color indexed="81"/>
            <rFont val="Tahoma"/>
            <family val="2"/>
          </rPr>
          <t xml:space="preserve">
Synergies</t>
        </r>
      </text>
    </comment>
    <comment ref="AI97" authorId="4">
      <text>
        <r>
          <rPr>
            <sz val="9"/>
            <color indexed="81"/>
            <rFont val="Tahoma"/>
            <family val="2"/>
          </rPr>
          <t>DPL has changed its reporting structure. It now reports Retail sales and Transportion</t>
        </r>
      </text>
    </comment>
    <comment ref="AJ97" authorId="4">
      <text>
        <r>
          <rPr>
            <sz val="9"/>
            <color indexed="81"/>
            <rFont val="Tahoma"/>
            <family val="2"/>
          </rPr>
          <t>DPL has changed its reporting structure. It now reports Retail sales and Transportion</t>
        </r>
      </text>
    </comment>
    <comment ref="AK97" authorId="4">
      <text>
        <r>
          <rPr>
            <sz val="9"/>
            <color indexed="81"/>
            <rFont val="Tahoma"/>
            <family val="2"/>
          </rPr>
          <t>DPL has changed its reporting structure. It now reports Retail sales and Transportion</t>
        </r>
      </text>
    </comment>
    <comment ref="AM97" authorId="0">
      <text>
        <r>
          <rPr>
            <sz val="9"/>
            <color indexed="81"/>
            <rFont val="Tahoma"/>
            <family val="2"/>
          </rPr>
          <t>DPL has changed its reporting structure. It now reports Retail sales and Transportion</t>
        </r>
      </text>
    </comment>
    <comment ref="AN97" authorId="1">
      <text>
        <r>
          <rPr>
            <sz val="9"/>
            <color indexed="81"/>
            <rFont val="Tahoma"/>
            <family val="2"/>
          </rPr>
          <t>DPL has changed its reporting structure. It now reports Retail sales and Transportion</t>
        </r>
      </text>
    </comment>
    <comment ref="AO97" authorId="4">
      <text>
        <r>
          <rPr>
            <sz val="9"/>
            <color indexed="81"/>
            <rFont val="Tahoma"/>
            <family val="2"/>
          </rPr>
          <t>DPL has changed its reporting structure. It now reports Retail sales and Transportion</t>
        </r>
      </text>
    </comment>
    <comment ref="AP97" authorId="4">
      <text>
        <r>
          <rPr>
            <sz val="9"/>
            <color indexed="81"/>
            <rFont val="Tahoma"/>
            <family val="2"/>
          </rPr>
          <t>DPL has changed its reporting structure. It now reports Retail sales and Transportion</t>
        </r>
      </text>
    </comment>
    <comment ref="AR97" authorId="3">
      <text>
        <r>
          <rPr>
            <sz val="9"/>
            <color indexed="81"/>
            <rFont val="Tahoma"/>
            <family val="2"/>
          </rPr>
          <t xml:space="preserve">DPL has changed its reporting structure. It now reports Retail sales and Transportion
</t>
        </r>
      </text>
    </comment>
    <comment ref="AI98" authorId="4">
      <text>
        <r>
          <rPr>
            <sz val="9"/>
            <color indexed="81"/>
            <rFont val="Tahoma"/>
            <family val="2"/>
          </rPr>
          <t>DPL has changed its reporting structure. It now reports Retail sales and Transportion</t>
        </r>
      </text>
    </comment>
    <comment ref="AJ98" authorId="4">
      <text>
        <r>
          <rPr>
            <sz val="9"/>
            <color indexed="81"/>
            <rFont val="Tahoma"/>
            <family val="2"/>
          </rPr>
          <t>DPL has changed its reporting structure. It now reports Retail sales and Transportion</t>
        </r>
      </text>
    </comment>
    <comment ref="AK98" authorId="4">
      <text>
        <r>
          <rPr>
            <sz val="9"/>
            <color indexed="81"/>
            <rFont val="Tahoma"/>
            <family val="2"/>
          </rPr>
          <t>DPL has changed its reporting structure. It now reports Retail sales and Transportion</t>
        </r>
      </text>
    </comment>
    <comment ref="AM98" authorId="0">
      <text>
        <r>
          <rPr>
            <sz val="9"/>
            <color indexed="81"/>
            <rFont val="Tahoma"/>
            <family val="2"/>
          </rPr>
          <t>DPL has changed its reporting structure. It now reports Retail sales and Transportion</t>
        </r>
      </text>
    </comment>
    <comment ref="AN98" authorId="1">
      <text>
        <r>
          <rPr>
            <sz val="9"/>
            <color indexed="81"/>
            <rFont val="Tahoma"/>
            <family val="2"/>
          </rPr>
          <t>DPL has changed its reporting structure. It now reports Retail sales and Transportion</t>
        </r>
      </text>
    </comment>
    <comment ref="AO98" authorId="4">
      <text>
        <r>
          <rPr>
            <sz val="9"/>
            <color indexed="81"/>
            <rFont val="Tahoma"/>
            <family val="2"/>
          </rPr>
          <t>DPL has changed its reporting structure. It now reports Retail sales and Transportion</t>
        </r>
      </text>
    </comment>
    <comment ref="AP98" authorId="4">
      <text>
        <r>
          <rPr>
            <sz val="9"/>
            <color indexed="81"/>
            <rFont val="Tahoma"/>
            <family val="2"/>
          </rPr>
          <t>DPL has changed its reporting structure. It now reports Retail sales and Transportion</t>
        </r>
      </text>
    </comment>
    <comment ref="AR98" authorId="3">
      <text>
        <r>
          <rPr>
            <sz val="9"/>
            <color indexed="81"/>
            <rFont val="Tahoma"/>
            <family val="2"/>
          </rPr>
          <t xml:space="preserve">DPL has changed its reporting structure. It now reports Retail sales and Transportion
</t>
        </r>
      </text>
    </comment>
    <comment ref="AI99" authorId="4">
      <text>
        <r>
          <rPr>
            <sz val="9"/>
            <color indexed="81"/>
            <rFont val="Tahoma"/>
            <family val="2"/>
          </rPr>
          <t>DPL has changed its reporting structure. It now reports Retail sales and Transportion</t>
        </r>
      </text>
    </comment>
    <comment ref="AJ99" authorId="4">
      <text>
        <r>
          <rPr>
            <sz val="9"/>
            <color indexed="81"/>
            <rFont val="Tahoma"/>
            <family val="2"/>
          </rPr>
          <t>DPL has changed its reporting structure. It now reports Retail sales and Transportion</t>
        </r>
      </text>
    </comment>
    <comment ref="AK99" authorId="4">
      <text>
        <r>
          <rPr>
            <sz val="9"/>
            <color indexed="81"/>
            <rFont val="Tahoma"/>
            <family val="2"/>
          </rPr>
          <t>DPL has changed its reporting structure. It now reports Retail sales and Transportion</t>
        </r>
      </text>
    </comment>
    <comment ref="AM99" authorId="0">
      <text>
        <r>
          <rPr>
            <sz val="9"/>
            <color indexed="81"/>
            <rFont val="Tahoma"/>
            <family val="2"/>
          </rPr>
          <t>DPL has changed its reporting structure. It now reports Retail sales and Transportion</t>
        </r>
      </text>
    </comment>
    <comment ref="AN99" authorId="1">
      <text>
        <r>
          <rPr>
            <sz val="9"/>
            <color indexed="81"/>
            <rFont val="Tahoma"/>
            <family val="2"/>
          </rPr>
          <t>DPL has changed its reporting structure. It now reports Retail sales and Transportion</t>
        </r>
      </text>
    </comment>
    <comment ref="AO99" authorId="4">
      <text>
        <r>
          <rPr>
            <sz val="9"/>
            <color indexed="81"/>
            <rFont val="Tahoma"/>
            <family val="2"/>
          </rPr>
          <t>DPL has changed its reporting structure. It now reports Retail sales and Transportion</t>
        </r>
      </text>
    </comment>
    <comment ref="AP99" authorId="4">
      <text>
        <r>
          <rPr>
            <sz val="9"/>
            <color indexed="81"/>
            <rFont val="Tahoma"/>
            <family val="2"/>
          </rPr>
          <t>DPL has changed its reporting structure. It now reports Retail sales and Transportion</t>
        </r>
      </text>
    </comment>
    <comment ref="AR99" authorId="3">
      <text>
        <r>
          <rPr>
            <sz val="9"/>
            <color indexed="81"/>
            <rFont val="Tahoma"/>
            <family val="2"/>
          </rPr>
          <t xml:space="preserve">DPL has changed its reporting structure. It now reports Retail sales and Transportion
</t>
        </r>
      </text>
    </comment>
    <comment ref="AM132" authorId="0">
      <text>
        <r>
          <rPr>
            <sz val="9"/>
            <color indexed="81"/>
            <rFont val="Tahoma"/>
            <family val="2"/>
          </rPr>
          <t>Split not reported</t>
        </r>
      </text>
    </comment>
    <comment ref="AW150" authorId="9">
      <text>
        <r>
          <rPr>
            <sz val="9"/>
            <color indexed="81"/>
            <rFont val="Tahoma"/>
            <family val="2"/>
          </rPr>
          <t xml:space="preserve">Guidance : $400m
Source: Exelon 4Q17 presentation </t>
        </r>
      </text>
    </comment>
    <comment ref="BB150" authorId="9">
      <text>
        <r>
          <rPr>
            <sz val="9"/>
            <color indexed="81"/>
            <rFont val="Tahoma"/>
            <family val="2"/>
          </rPr>
          <t xml:space="preserve">Guidance : $325m
Source: Exelon 4Q17 presentation </t>
        </r>
      </text>
    </comment>
    <comment ref="BG150" authorId="9">
      <text>
        <r>
          <rPr>
            <sz val="9"/>
            <color indexed="81"/>
            <rFont val="Tahoma"/>
            <family val="2"/>
          </rPr>
          <t xml:space="preserve">Guidance : $350m
Source: Exelon 4Q17 presentation </t>
        </r>
      </text>
    </comment>
    <comment ref="BL150" authorId="9">
      <text>
        <r>
          <rPr>
            <sz val="9"/>
            <color indexed="81"/>
            <rFont val="Tahoma"/>
            <family val="2"/>
          </rPr>
          <t xml:space="preserve">Guidance : $325m
Source: Exelon 4Q17 presentation </t>
        </r>
      </text>
    </comment>
    <comment ref="AW176" authorId="7">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176" authorId="7">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176" authorId="7">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176" authorId="7">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AR280" authorId="8">
      <text>
        <r>
          <rPr>
            <b/>
            <sz val="9"/>
            <color indexed="81"/>
            <rFont val="Tahoma"/>
            <family val="2"/>
          </rPr>
          <t>Tabatabai, Arman (Research):</t>
        </r>
        <r>
          <rPr>
            <sz val="9"/>
            <color indexed="81"/>
            <rFont val="Tahoma"/>
            <family val="2"/>
          </rPr>
          <t xml:space="preserve">
IR: slide Bonus D rate base impact but negligible earnings impact</t>
        </r>
      </text>
    </comment>
    <comment ref="AW280" authorId="8">
      <text>
        <r>
          <rPr>
            <b/>
            <sz val="9"/>
            <color indexed="81"/>
            <rFont val="Tahoma"/>
            <family val="2"/>
          </rPr>
          <t>Tabatabai, Arman (Research):</t>
        </r>
        <r>
          <rPr>
            <sz val="9"/>
            <color indexed="81"/>
            <rFont val="Tahoma"/>
            <family val="2"/>
          </rPr>
          <t xml:space="preserve">
IR: slide Bonus D rate base impact but negligible earnings impact</t>
        </r>
      </text>
    </comment>
    <comment ref="BB280" authorId="8">
      <text>
        <r>
          <rPr>
            <b/>
            <sz val="9"/>
            <color indexed="81"/>
            <rFont val="Tahoma"/>
            <family val="2"/>
          </rPr>
          <t>Tabatabai, Arman (Research):</t>
        </r>
        <r>
          <rPr>
            <sz val="9"/>
            <color indexed="81"/>
            <rFont val="Tahoma"/>
            <family val="2"/>
          </rPr>
          <t xml:space="preserve">
IR: slide Bonus D rate base impact but negligible earnings impact</t>
        </r>
      </text>
    </comment>
    <comment ref="AD281" authorId="6">
      <text>
        <r>
          <rPr>
            <b/>
            <sz val="9"/>
            <color indexed="81"/>
            <rFont val="Tahoma"/>
            <family val="2"/>
          </rPr>
          <t>Tabatabai, Arman (Research):</t>
        </r>
        <r>
          <rPr>
            <sz val="9"/>
            <color indexed="81"/>
            <rFont val="Tahoma"/>
            <family val="2"/>
          </rPr>
          <t xml:space="preserve">
assumption to tie our to rate base guidance</t>
        </r>
      </text>
    </comment>
    <comment ref="AI281" authorId="6">
      <text>
        <r>
          <rPr>
            <b/>
            <sz val="9"/>
            <color indexed="81"/>
            <rFont val="Tahoma"/>
            <family val="2"/>
          </rPr>
          <t>Tabatabai, Arman (Research):</t>
        </r>
        <r>
          <rPr>
            <sz val="9"/>
            <color indexed="81"/>
            <rFont val="Tahoma"/>
            <family val="2"/>
          </rPr>
          <t xml:space="preserve">
assumption to tie out to rate base guidance</t>
        </r>
      </text>
    </comment>
    <comment ref="AS281" authorId="6">
      <text>
        <r>
          <rPr>
            <b/>
            <sz val="9"/>
            <color indexed="81"/>
            <rFont val="Tahoma"/>
            <family val="2"/>
          </rPr>
          <t>Tabatabai, Arman (Research):</t>
        </r>
        <r>
          <rPr>
            <sz val="9"/>
            <color indexed="81"/>
            <rFont val="Tahoma"/>
            <family val="2"/>
          </rPr>
          <t xml:space="preserve">
assumption to tie out to rate base guidance</t>
        </r>
      </text>
    </comment>
    <comment ref="AT281" authorId="6">
      <text>
        <r>
          <rPr>
            <b/>
            <sz val="9"/>
            <color indexed="81"/>
            <rFont val="Tahoma"/>
            <family val="2"/>
          </rPr>
          <t>Tabatabai, Arman (Research):</t>
        </r>
        <r>
          <rPr>
            <sz val="9"/>
            <color indexed="81"/>
            <rFont val="Tahoma"/>
            <family val="2"/>
          </rPr>
          <t xml:space="preserve">
assumption to tie out to rate base guidance</t>
        </r>
      </text>
    </comment>
    <comment ref="AU281" authorId="6">
      <text>
        <r>
          <rPr>
            <b/>
            <sz val="9"/>
            <color indexed="81"/>
            <rFont val="Tahoma"/>
            <family val="2"/>
          </rPr>
          <t>Tabatabai, Arman (Research):</t>
        </r>
        <r>
          <rPr>
            <sz val="9"/>
            <color indexed="81"/>
            <rFont val="Tahoma"/>
            <family val="2"/>
          </rPr>
          <t xml:space="preserve">
assumption to tie out to rate base guidance</t>
        </r>
      </text>
    </comment>
    <comment ref="AV281" authorId="6">
      <text>
        <r>
          <rPr>
            <b/>
            <sz val="9"/>
            <color indexed="81"/>
            <rFont val="Tahoma"/>
            <family val="2"/>
          </rPr>
          <t>Tabatabai, Arman (Research):</t>
        </r>
        <r>
          <rPr>
            <sz val="9"/>
            <color indexed="81"/>
            <rFont val="Tahoma"/>
            <family val="2"/>
          </rPr>
          <t xml:space="preserve">
assumption to tie out to rate base guidance</t>
        </r>
      </text>
    </comment>
    <comment ref="X282" authorId="10">
      <text>
        <r>
          <rPr>
            <b/>
            <sz val="8"/>
            <color indexed="81"/>
            <rFont val="Tahoma"/>
            <family val="2"/>
          </rPr>
          <t>MD:</t>
        </r>
        <r>
          <rPr>
            <sz val="8"/>
            <color indexed="81"/>
            <rFont val="Tahoma"/>
            <family val="2"/>
          </rPr>
          <t xml:space="preserve">
2013 Estimated Rate Bate
Jan 2014 Investor Update</t>
        </r>
      </text>
    </comment>
    <comment ref="AM282" authorId="9">
      <text>
        <r>
          <rPr>
            <sz val="9"/>
            <color indexed="81"/>
            <rFont val="Tahoma"/>
            <family val="2"/>
          </rPr>
          <t>2.5 b
Source: EEI 2015 presentation</t>
        </r>
      </text>
    </comment>
    <comment ref="AR282" authorId="9">
      <text>
        <r>
          <rPr>
            <sz val="9"/>
            <color indexed="81"/>
            <rFont val="Tahoma"/>
            <family val="2"/>
          </rPr>
          <t>2.7 b
Source: EEI 2015 presentation</t>
        </r>
      </text>
    </comment>
    <comment ref="AW282" authorId="9">
      <text>
        <r>
          <rPr>
            <sz val="9"/>
            <color indexed="81"/>
            <rFont val="Tahoma"/>
            <family val="2"/>
          </rPr>
          <t>3.0 b
Source: EEI 2015 presentation</t>
        </r>
      </text>
    </comment>
    <comment ref="AH287" authorId="7">
      <text>
        <r>
          <rPr>
            <b/>
            <sz val="9"/>
            <color indexed="81"/>
            <rFont val="Tahoma"/>
            <family val="2"/>
          </rPr>
          <t>Tabatabai, Arman (Research):</t>
        </r>
        <r>
          <rPr>
            <sz val="9"/>
            <color indexed="81"/>
            <rFont val="Tahoma"/>
            <family val="2"/>
          </rPr>
          <t xml:space="preserve">
1Q16 earnings Slides, slide 29</t>
        </r>
      </text>
    </comment>
    <comment ref="AM287" authorId="7">
      <text>
        <r>
          <rPr>
            <b/>
            <sz val="9"/>
            <color indexed="81"/>
            <rFont val="Tahoma"/>
            <family val="2"/>
          </rPr>
          <t>Tabatabai, Arman (Research):</t>
        </r>
        <r>
          <rPr>
            <sz val="9"/>
            <color indexed="81"/>
            <rFont val="Tahoma"/>
            <family val="2"/>
          </rPr>
          <t xml:space="preserve">
per 4Q16 Earnings Presentation</t>
        </r>
      </text>
    </comment>
    <comment ref="AR287" authorId="7">
      <text>
        <r>
          <rPr>
            <b/>
            <sz val="9"/>
            <color indexed="81"/>
            <rFont val="Tahoma"/>
            <family val="2"/>
          </rPr>
          <t>Tabatabai, Arman (Research):</t>
        </r>
        <r>
          <rPr>
            <sz val="9"/>
            <color indexed="81"/>
            <rFont val="Tahoma"/>
            <family val="2"/>
          </rPr>
          <t xml:space="preserve">
per 4Q16 Earnings Presentation</t>
        </r>
      </text>
    </comment>
    <comment ref="AW287" authorId="7">
      <text>
        <r>
          <rPr>
            <b/>
            <sz val="9"/>
            <color indexed="81"/>
            <rFont val="Tahoma"/>
            <family val="2"/>
          </rPr>
          <t>Tabatabai, Arman (Research):</t>
        </r>
        <r>
          <rPr>
            <sz val="9"/>
            <color indexed="81"/>
            <rFont val="Tahoma"/>
            <family val="2"/>
          </rPr>
          <t xml:space="preserve">
per 4Q16 Earnings Presentation</t>
        </r>
      </text>
    </comment>
    <comment ref="BB287" authorId="7">
      <text>
        <r>
          <rPr>
            <b/>
            <sz val="9"/>
            <color indexed="81"/>
            <rFont val="Tahoma"/>
            <family val="2"/>
          </rPr>
          <t>Tabatabai, Arman (Research):</t>
        </r>
        <r>
          <rPr>
            <sz val="9"/>
            <color indexed="81"/>
            <rFont val="Tahoma"/>
            <family val="2"/>
          </rPr>
          <t xml:space="preserve">
per 4Q16 Earnings Presentation</t>
        </r>
      </text>
    </comment>
    <comment ref="BG287" authorId="7">
      <text>
        <r>
          <rPr>
            <b/>
            <sz val="9"/>
            <color indexed="81"/>
            <rFont val="Tahoma"/>
            <family val="2"/>
          </rPr>
          <t>Tabatabai, Arman (Research):</t>
        </r>
        <r>
          <rPr>
            <sz val="9"/>
            <color indexed="81"/>
            <rFont val="Tahoma"/>
            <family val="2"/>
          </rPr>
          <t xml:space="preserve">
per 4Q16 Earnings Presentation</t>
        </r>
      </text>
    </comment>
    <comment ref="AP294" authorId="6">
      <text>
        <r>
          <rPr>
            <b/>
            <sz val="9"/>
            <color indexed="81"/>
            <rFont val="Tahoma"/>
            <family val="2"/>
          </rPr>
          <t>Tabatabai, Arman (Research):</t>
        </r>
        <r>
          <rPr>
            <sz val="9"/>
            <color indexed="81"/>
            <rFont val="Tahoma"/>
            <family val="2"/>
          </rPr>
          <t xml:space="preserve">
assumed 10% ROE post 2017 post rate decisions</t>
        </r>
      </text>
    </comment>
  </commentList>
</comments>
</file>

<file path=xl/comments11.xml><?xml version="1.0" encoding="utf-8"?>
<comments xmlns="http://schemas.openxmlformats.org/spreadsheetml/2006/main">
  <authors>
    <author>MD</author>
    <author>mehtaba</author>
    <author>Kobus, Jim (Research)</author>
    <author>RL</author>
    <author>McDermott, Devin (Research)</author>
    <author>Kapoor, Vishal (Research)</author>
    <author>rajeevl</author>
    <author>$</author>
    <author>Tabatabai, Arman (Research)</author>
  </authors>
  <commentList>
    <comment ref="C8" authorId="0">
      <text>
        <r>
          <rPr>
            <b/>
            <sz val="8"/>
            <color indexed="81"/>
            <rFont val="Tahoma"/>
            <family val="2"/>
          </rPr>
          <t xml:space="preserve">MD:
</t>
        </r>
        <r>
          <rPr>
            <sz val="8"/>
            <color indexed="81"/>
            <rFont val="Tahoma"/>
            <family val="2"/>
          </rPr>
          <t>Includes Deferred Electric service cost recovery, which is listed as an expense item on the Income Statement</t>
        </r>
      </text>
    </comment>
    <comment ref="I20" authorId="1">
      <text>
        <r>
          <rPr>
            <sz val="8"/>
            <color indexed="81"/>
            <rFont val="Tahoma"/>
            <family val="2"/>
          </rPr>
          <t xml:space="preserve">$6mn:Restructuring charge
</t>
        </r>
        <r>
          <rPr>
            <sz val="8"/>
            <color indexed="81"/>
            <rFont val="Tahoma"/>
            <family val="2"/>
          </rPr>
          <t xml:space="preserve">
</t>
        </r>
      </text>
    </comment>
    <comment ref="BN48" authorId="2">
      <text>
        <r>
          <rPr>
            <b/>
            <sz val="9"/>
            <color indexed="81"/>
            <rFont val="Tahoma"/>
            <family val="2"/>
          </rPr>
          <t>Tabatabai, Arman (Research):</t>
        </r>
        <r>
          <rPr>
            <sz val="9"/>
            <color indexed="81"/>
            <rFont val="Tahoma"/>
            <family val="2"/>
          </rPr>
          <t xml:space="preserve">
FERC: 10% Base ROE + 0.5% RTO participation adder, 8/2016 Analyst Day </t>
        </r>
      </text>
    </comment>
    <comment ref="C50" authorId="3">
      <text>
        <r>
          <rPr>
            <b/>
            <sz val="8"/>
            <color indexed="81"/>
            <rFont val="Tahoma"/>
            <family val="2"/>
          </rPr>
          <t>RL:</t>
        </r>
        <r>
          <rPr>
            <sz val="8"/>
            <color indexed="81"/>
            <rFont val="Tahoma"/>
            <family val="2"/>
          </rPr>
          <t xml:space="preserve">
Aabout 50% of O&amp;M relates to departmental costs (i.e. non-tracked). 
O&amp;M has increased at a high level historically, but largely due to tracked items (pension, DSM/EE, other). 
Going forward we forecast an increase only on tracked portion. </t>
        </r>
      </text>
    </comment>
    <comment ref="AW50" authorId="4">
      <text>
        <r>
          <rPr>
            <b/>
            <sz val="9"/>
            <color indexed="81"/>
            <rFont val="Tahoma"/>
            <family val="2"/>
          </rPr>
          <t>McDermott, Devin (Research):</t>
        </r>
        <r>
          <rPr>
            <sz val="9"/>
            <color indexed="81"/>
            <rFont val="Tahoma"/>
            <family val="2"/>
          </rPr>
          <t xml:space="preserve">
Synergies</t>
        </r>
      </text>
    </comment>
    <comment ref="BB50" authorId="4">
      <text>
        <r>
          <rPr>
            <b/>
            <sz val="9"/>
            <color indexed="81"/>
            <rFont val="Tahoma"/>
            <family val="2"/>
          </rPr>
          <t>McDermott, Devin (Research):</t>
        </r>
        <r>
          <rPr>
            <sz val="9"/>
            <color indexed="81"/>
            <rFont val="Tahoma"/>
            <family val="2"/>
          </rPr>
          <t xml:space="preserve">
Synergies</t>
        </r>
      </text>
    </comment>
    <comment ref="BG50" authorId="4">
      <text>
        <r>
          <rPr>
            <b/>
            <sz val="9"/>
            <color indexed="81"/>
            <rFont val="Tahoma"/>
            <family val="2"/>
          </rPr>
          <t>McDermott, Devin (Research):</t>
        </r>
        <r>
          <rPr>
            <sz val="9"/>
            <color indexed="81"/>
            <rFont val="Tahoma"/>
            <family val="2"/>
          </rPr>
          <t xml:space="preserve">
Synergies</t>
        </r>
      </text>
    </comment>
    <comment ref="AM100" authorId="5">
      <text>
        <r>
          <rPr>
            <sz val="9"/>
            <color indexed="81"/>
            <rFont val="Tahoma"/>
            <family val="2"/>
          </rPr>
          <t>Split not reported</t>
        </r>
      </text>
    </comment>
    <comment ref="X109" authorId="4">
      <text>
        <r>
          <rPr>
            <b/>
            <sz val="9"/>
            <color indexed="81"/>
            <rFont val="Tahoma"/>
            <family val="2"/>
          </rPr>
          <t xml:space="preserve">McDermott, Devin (Research):
</t>
        </r>
        <r>
          <rPr>
            <sz val="9"/>
            <color indexed="81"/>
            <rFont val="Tahoma"/>
            <family val="2"/>
          </rPr>
          <t>$12mil reduction in transition bond related D&amp;A in 2013. 10k p. 72</t>
        </r>
      </text>
    </comment>
    <comment ref="N110" authorId="6">
      <text>
        <r>
          <rPr>
            <sz val="8"/>
            <color indexed="81"/>
            <rFont val="Tahoma"/>
            <family val="2"/>
          </rPr>
          <t xml:space="preserve">Average D&amp;A rate per the 10K. We assume rest is transition bond related.
2012 10K p. 93 </t>
        </r>
      </text>
    </comment>
    <comment ref="S110" authorId="6">
      <text>
        <r>
          <rPr>
            <sz val="8"/>
            <color indexed="81"/>
            <rFont val="Tahoma"/>
            <family val="2"/>
          </rPr>
          <t xml:space="preserve">Average D&amp;A rate per the 10K. We assume rest is transition bond related.
2012 10K p. 93 </t>
        </r>
      </text>
    </comment>
    <comment ref="AW117" authorId="7">
      <text>
        <r>
          <rPr>
            <sz val="9"/>
            <color indexed="81"/>
            <rFont val="Tahoma"/>
            <family val="2"/>
          </rPr>
          <t xml:space="preserve">Guidance : $375m
Source: Exelon 4Q17 presentation </t>
        </r>
      </text>
    </comment>
    <comment ref="BB117" authorId="7">
      <text>
        <r>
          <rPr>
            <sz val="9"/>
            <color indexed="81"/>
            <rFont val="Tahoma"/>
            <family val="2"/>
          </rPr>
          <t xml:space="preserve">Guidance : $325m
Source: Exelon 4Q17 presentation </t>
        </r>
      </text>
    </comment>
    <comment ref="BG117" authorId="7">
      <text>
        <r>
          <rPr>
            <sz val="9"/>
            <color indexed="81"/>
            <rFont val="Tahoma"/>
            <family val="2"/>
          </rPr>
          <t xml:space="preserve">Guidance : $300m
Source: Exelon 4Q17 presentation </t>
        </r>
      </text>
    </comment>
    <comment ref="BL117" authorId="7">
      <text>
        <r>
          <rPr>
            <sz val="9"/>
            <color indexed="81"/>
            <rFont val="Tahoma"/>
            <family val="2"/>
          </rPr>
          <t xml:space="preserve">Guidance : $225m
Source: Exelon 4Q17 presentation </t>
        </r>
      </text>
    </comment>
    <comment ref="C130" authorId="6">
      <text>
        <r>
          <rPr>
            <b/>
            <sz val="8"/>
            <color indexed="81"/>
            <rFont val="Tahoma"/>
            <family val="2"/>
          </rPr>
          <t>rajeevl:</t>
        </r>
        <r>
          <rPr>
            <sz val="8"/>
            <color indexed="81"/>
            <rFont val="Tahoma"/>
            <family val="2"/>
          </rPr>
          <t xml:space="preserve">
we set the amortization and interest equal to actual interest and principal payments for simplicity. Company does not provide guidance. </t>
        </r>
      </text>
    </comment>
    <comment ref="AW145"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B145"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145"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145"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AR247" authorId="4">
      <text>
        <r>
          <rPr>
            <b/>
            <sz val="9"/>
            <color indexed="81"/>
            <rFont val="Tahoma"/>
            <family val="2"/>
          </rPr>
          <t>Tabatabai, Arman (Research):</t>
        </r>
        <r>
          <rPr>
            <sz val="9"/>
            <color indexed="81"/>
            <rFont val="Tahoma"/>
            <family val="2"/>
          </rPr>
          <t xml:space="preserve">
IR: slide Bonus D rate base impact but negligible earnings impact</t>
        </r>
      </text>
    </comment>
    <comment ref="AW247" authorId="4">
      <text>
        <r>
          <rPr>
            <b/>
            <sz val="9"/>
            <color indexed="81"/>
            <rFont val="Tahoma"/>
            <family val="2"/>
          </rPr>
          <t>Tabatabai, Arman (Research):</t>
        </r>
        <r>
          <rPr>
            <sz val="9"/>
            <color indexed="81"/>
            <rFont val="Tahoma"/>
            <family val="2"/>
          </rPr>
          <t xml:space="preserve">
IR: slide Bonus D rate base impact but negligible earnings impact</t>
        </r>
      </text>
    </comment>
    <comment ref="BB247" authorId="4">
      <text>
        <r>
          <rPr>
            <b/>
            <sz val="9"/>
            <color indexed="81"/>
            <rFont val="Tahoma"/>
            <family val="2"/>
          </rPr>
          <t>Tabatabai, Arman (Research):</t>
        </r>
        <r>
          <rPr>
            <sz val="9"/>
            <color indexed="81"/>
            <rFont val="Tahoma"/>
            <family val="2"/>
          </rPr>
          <t xml:space="preserve">
IR: slide Bonus D rate base impact but negligible earnings impact. We exclude the rate base impact in 2018 to tie with rate base guidance</t>
        </r>
      </text>
    </comment>
    <comment ref="AN248" authorId="8">
      <text>
        <r>
          <rPr>
            <b/>
            <sz val="9"/>
            <color indexed="81"/>
            <rFont val="Tahoma"/>
            <family val="2"/>
          </rPr>
          <t>Tabatabai, Arman (Research):</t>
        </r>
        <r>
          <rPr>
            <sz val="9"/>
            <color indexed="81"/>
            <rFont val="Tahoma"/>
            <family val="2"/>
          </rPr>
          <t xml:space="preserve">
assumption to tie out to rate base guidance</t>
        </r>
      </text>
    </comment>
    <comment ref="BC248" authorId="8">
      <text>
        <r>
          <rPr>
            <b/>
            <sz val="9"/>
            <color indexed="81"/>
            <rFont val="Tahoma"/>
            <family val="2"/>
          </rPr>
          <t>Tabatabai, Arman (Research):</t>
        </r>
        <r>
          <rPr>
            <sz val="9"/>
            <color indexed="81"/>
            <rFont val="Tahoma"/>
            <family val="2"/>
          </rPr>
          <t xml:space="preserve">
adjustment to tie to rate base guidance</t>
        </r>
      </text>
    </comment>
    <comment ref="BD248" authorId="8">
      <text>
        <r>
          <rPr>
            <b/>
            <sz val="9"/>
            <color indexed="81"/>
            <rFont val="Tahoma"/>
            <family val="2"/>
          </rPr>
          <t>Tabatabai, Arman (Research):</t>
        </r>
        <r>
          <rPr>
            <sz val="9"/>
            <color indexed="81"/>
            <rFont val="Tahoma"/>
            <family val="2"/>
          </rPr>
          <t xml:space="preserve">
adjustment to tie to rate base guidance</t>
        </r>
      </text>
    </comment>
    <comment ref="BE248" authorId="8">
      <text>
        <r>
          <rPr>
            <b/>
            <sz val="9"/>
            <color indexed="81"/>
            <rFont val="Tahoma"/>
            <family val="2"/>
          </rPr>
          <t>Tabatabai, Arman (Research):</t>
        </r>
        <r>
          <rPr>
            <sz val="9"/>
            <color indexed="81"/>
            <rFont val="Tahoma"/>
            <family val="2"/>
          </rPr>
          <t xml:space="preserve">
adjustment to tie to rate base guidance</t>
        </r>
      </text>
    </comment>
    <comment ref="BF248" authorId="8">
      <text>
        <r>
          <rPr>
            <b/>
            <sz val="9"/>
            <color indexed="81"/>
            <rFont val="Tahoma"/>
            <family val="2"/>
          </rPr>
          <t>Tabatabai, Arman (Research):</t>
        </r>
        <r>
          <rPr>
            <sz val="9"/>
            <color indexed="81"/>
            <rFont val="Tahoma"/>
            <family val="2"/>
          </rPr>
          <t xml:space="preserve">
adjustment to tie to rate base guidance</t>
        </r>
      </text>
    </comment>
    <comment ref="S249" authorId="0">
      <text>
        <r>
          <rPr>
            <b/>
            <sz val="8"/>
            <color indexed="81"/>
            <rFont val="Tahoma"/>
            <family val="2"/>
          </rPr>
          <t>MD:</t>
        </r>
        <r>
          <rPr>
            <sz val="8"/>
            <color indexed="81"/>
            <rFont val="Tahoma"/>
            <family val="2"/>
          </rPr>
          <t xml:space="preserve">
2013 Analyst Day</t>
        </r>
      </text>
    </comment>
    <comment ref="AM249" authorId="7">
      <text>
        <r>
          <rPr>
            <sz val="9"/>
            <color indexed="81"/>
            <rFont val="Tahoma"/>
            <family val="2"/>
          </rPr>
          <t>1.9 b
Source: EEI 2015 presentation</t>
        </r>
      </text>
    </comment>
    <comment ref="AR249" authorId="7">
      <text>
        <r>
          <rPr>
            <sz val="9"/>
            <color indexed="81"/>
            <rFont val="Tahoma"/>
            <family val="2"/>
          </rPr>
          <t>2.1 b
Source: EEI 2015 presentation</t>
        </r>
      </text>
    </comment>
    <comment ref="AW249" authorId="7">
      <text>
        <r>
          <rPr>
            <sz val="9"/>
            <color indexed="81"/>
            <rFont val="Tahoma"/>
            <family val="2"/>
          </rPr>
          <t>2.2 b
Source: EEI 2015 presentation</t>
        </r>
      </text>
    </comment>
    <comment ref="AH254" authorId="2">
      <text>
        <r>
          <rPr>
            <b/>
            <sz val="9"/>
            <color indexed="81"/>
            <rFont val="Tahoma"/>
            <family val="2"/>
          </rPr>
          <t>Tabatabai, Arman (Research):</t>
        </r>
        <r>
          <rPr>
            <sz val="9"/>
            <color indexed="81"/>
            <rFont val="Tahoma"/>
            <family val="2"/>
          </rPr>
          <t xml:space="preserve">
1Q16 earnings Slides, slide 29</t>
        </r>
      </text>
    </comment>
    <comment ref="AM254" authorId="2">
      <text>
        <r>
          <rPr>
            <b/>
            <sz val="9"/>
            <color indexed="81"/>
            <rFont val="Tahoma"/>
            <family val="2"/>
          </rPr>
          <t>Tabatabai, Arman (Research):</t>
        </r>
        <r>
          <rPr>
            <sz val="9"/>
            <color indexed="81"/>
            <rFont val="Tahoma"/>
            <family val="2"/>
          </rPr>
          <t xml:space="preserve">
per 4Q16 Earnings Presentation</t>
        </r>
      </text>
    </comment>
    <comment ref="AR254" authorId="2">
      <text>
        <r>
          <rPr>
            <b/>
            <sz val="9"/>
            <color indexed="81"/>
            <rFont val="Tahoma"/>
            <family val="2"/>
          </rPr>
          <t>Tabatabai, Arman (Research):</t>
        </r>
        <r>
          <rPr>
            <sz val="9"/>
            <color indexed="81"/>
            <rFont val="Tahoma"/>
            <family val="2"/>
          </rPr>
          <t xml:space="preserve">
per 4Q16 Earnings Presentation</t>
        </r>
      </text>
    </comment>
    <comment ref="AW254" authorId="2">
      <text>
        <r>
          <rPr>
            <b/>
            <sz val="9"/>
            <color indexed="81"/>
            <rFont val="Tahoma"/>
            <family val="2"/>
          </rPr>
          <t>Tabatabai, Arman (Research):</t>
        </r>
        <r>
          <rPr>
            <sz val="9"/>
            <color indexed="81"/>
            <rFont val="Tahoma"/>
            <family val="2"/>
          </rPr>
          <t xml:space="preserve">
per 4Q16 Earnings Presentation</t>
        </r>
      </text>
    </comment>
    <comment ref="BB254" authorId="2">
      <text>
        <r>
          <rPr>
            <b/>
            <sz val="9"/>
            <color indexed="81"/>
            <rFont val="Tahoma"/>
            <family val="2"/>
          </rPr>
          <t>Tabatabai, Arman (Research):</t>
        </r>
        <r>
          <rPr>
            <sz val="9"/>
            <color indexed="81"/>
            <rFont val="Tahoma"/>
            <family val="2"/>
          </rPr>
          <t xml:space="preserve">
per 4Q16 Earnings Presentation</t>
        </r>
      </text>
    </comment>
    <comment ref="BG254" authorId="2">
      <text>
        <r>
          <rPr>
            <b/>
            <sz val="9"/>
            <color indexed="81"/>
            <rFont val="Tahoma"/>
            <family val="2"/>
          </rPr>
          <t>Tabatabai, Arman (Research):</t>
        </r>
        <r>
          <rPr>
            <sz val="9"/>
            <color indexed="81"/>
            <rFont val="Tahoma"/>
            <family val="2"/>
          </rPr>
          <t xml:space="preserve">
per 4Q16 Earnings Presentation</t>
        </r>
      </text>
    </comment>
    <comment ref="AK257" authorId="2">
      <text>
        <r>
          <rPr>
            <b/>
            <sz val="9"/>
            <color indexed="81"/>
            <rFont val="Tahoma"/>
            <family val="2"/>
          </rPr>
          <t>Tabatabai, Arman (Research):</t>
        </r>
        <r>
          <rPr>
            <sz val="9"/>
            <color indexed="81"/>
            <rFont val="Tahoma"/>
            <family val="2"/>
          </rPr>
          <t xml:space="preserve">
8/24/16 Settlement approval
49.48% Equity Ratio
Electric Distribution: $1.2b rate base, 9.75% ROE, $45m rate increase
FERC: 10% Base ROE + 0.5% RTO participation adder</t>
        </r>
      </text>
    </comment>
    <comment ref="I261" authorId="6">
      <text>
        <r>
          <rPr>
            <b/>
            <sz val="8"/>
            <color indexed="81"/>
            <rFont val="Tahoma"/>
            <family val="2"/>
          </rPr>
          <t>rajeevl:</t>
        </r>
        <r>
          <rPr>
            <sz val="8"/>
            <color indexed="81"/>
            <rFont val="Tahoma"/>
            <family val="2"/>
          </rPr>
          <t xml:space="preserve">
10.15% electric
9.6% gas
9.6% steam
</t>
        </r>
      </text>
    </comment>
    <comment ref="AM261" authorId="2">
      <text>
        <r>
          <rPr>
            <b/>
            <sz val="9"/>
            <color indexed="81"/>
            <rFont val="Tahoma"/>
            <family val="2"/>
          </rPr>
          <t>Tabatabai, Arman (Research):</t>
        </r>
        <r>
          <rPr>
            <sz val="9"/>
            <color indexed="81"/>
            <rFont val="Tahoma"/>
            <family val="2"/>
          </rPr>
          <t xml:space="preserve">
8/24/16 Settlement approval
49.48% Equity Ratio
Electric Distribution: $1.2b rate base, 9.75% ROE, $45m rate increase
FERC: 10% Base ROE + 0.5% RTO participation adder</t>
        </r>
      </text>
    </comment>
  </commentList>
</comments>
</file>

<file path=xl/comments12.xml><?xml version="1.0" encoding="utf-8"?>
<comments xmlns="http://schemas.openxmlformats.org/spreadsheetml/2006/main">
  <authors>
    <author>rajeevl</author>
    <author>Ananth, Manoj (Research)</author>
    <author>Kobus, Jim (Research)</author>
  </authors>
  <commentList>
    <comment ref="T5" authorId="0">
      <text>
        <r>
          <rPr>
            <b/>
            <sz val="8"/>
            <color indexed="81"/>
            <rFont val="Tahoma"/>
            <family val="2"/>
          </rPr>
          <t>rajeevl:</t>
        </r>
        <r>
          <rPr>
            <sz val="8"/>
            <color indexed="81"/>
            <rFont val="Tahoma"/>
            <family val="2"/>
          </rPr>
          <t xml:space="preserve">
Given only 2 weeks of BGE, we do not back out its costs and revenues. As a results these figures include 2 weeks of BGE. </t>
        </r>
      </text>
    </comment>
    <comment ref="BB43" authorId="1">
      <text>
        <r>
          <rPr>
            <sz val="9"/>
            <color indexed="81"/>
            <rFont val="Tahoma"/>
            <family val="2"/>
          </rPr>
          <t>Guidance: ($0.20)
Source: 3Q17 Earnings Presentation dated 11/02/17</t>
        </r>
      </text>
    </comment>
    <comment ref="BB57"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G57"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L57"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 ref="BQ57" authorId="2">
      <text>
        <r>
          <rPr>
            <b/>
            <sz val="9"/>
            <color indexed="81"/>
            <rFont val="Tahoma"/>
            <family val="2"/>
          </rPr>
          <t>Kobus, Jim (Research):</t>
        </r>
        <r>
          <rPr>
            <sz val="9"/>
            <color indexed="81"/>
            <rFont val="Tahoma"/>
            <family val="2"/>
          </rPr>
          <t xml:space="preserve">
based on PBT segment weighting for post-tax reform consolidated cash tax rates 1% 2018. 4% 2019, 3% 2020, 3% 2021 , April 18 investor deck slide 30</t>
        </r>
      </text>
    </comment>
  </commentList>
</comments>
</file>

<file path=xl/comments13.xml><?xml version="1.0" encoding="utf-8"?>
<comments xmlns="http://schemas.openxmlformats.org/spreadsheetml/2006/main">
  <authors>
    <author>Tammannavar, Sunil (Research)</author>
    <author>sunilt</author>
    <author>MD</author>
    <author>Tabatabai, Arman (Research)</author>
    <author>Prashchi</author>
  </authors>
  <commentList>
    <comment ref="H54" authorId="0">
      <text>
        <r>
          <rPr>
            <sz val="9"/>
            <color indexed="81"/>
            <rFont val="Tahoma"/>
            <family val="2"/>
          </rPr>
          <t>Mar 1, 2019 - Sept 1, 2020</t>
        </r>
      </text>
    </comment>
    <comment ref="I54" authorId="0">
      <text>
        <r>
          <rPr>
            <sz val="9"/>
            <color indexed="81"/>
            <rFont val="Tahoma"/>
            <family val="2"/>
          </rPr>
          <t xml:space="preserve">2.500%-2.700%
</t>
        </r>
      </text>
    </comment>
    <comment ref="I69" authorId="1">
      <text>
        <r>
          <rPr>
            <sz val="8"/>
            <color indexed="81"/>
            <rFont val="Tahoma"/>
            <family val="2"/>
          </rPr>
          <t xml:space="preserve">LIBOR + 1.25%
</t>
        </r>
      </text>
    </comment>
    <comment ref="I70" authorId="1">
      <text>
        <r>
          <rPr>
            <sz val="8"/>
            <color indexed="81"/>
            <rFont val="Tahoma"/>
            <family val="2"/>
          </rPr>
          <t xml:space="preserve">LIBOR + 1.25%
</t>
        </r>
      </text>
    </comment>
    <comment ref="I71" authorId="1">
      <text>
        <r>
          <rPr>
            <sz val="8"/>
            <color indexed="81"/>
            <rFont val="Tahoma"/>
            <family val="2"/>
          </rPr>
          <t xml:space="preserve">LIBOR + 1.25%
</t>
        </r>
      </text>
    </comment>
    <comment ref="I76" authorId="1">
      <text>
        <r>
          <rPr>
            <sz val="8"/>
            <color indexed="81"/>
            <rFont val="Tahoma"/>
            <family val="2"/>
          </rPr>
          <t xml:space="preserve">LIBOR + 4.250%
</t>
        </r>
      </text>
    </comment>
    <comment ref="I77" authorId="1">
      <text>
        <r>
          <rPr>
            <sz val="8"/>
            <color indexed="81"/>
            <rFont val="Tahoma"/>
            <family val="2"/>
          </rPr>
          <t xml:space="preserve">LIBOR + 4.750%
</t>
        </r>
      </text>
    </comment>
    <comment ref="I84" authorId="1">
      <text>
        <r>
          <rPr>
            <sz val="8"/>
            <color indexed="81"/>
            <rFont val="Tahoma"/>
            <family val="2"/>
          </rPr>
          <t xml:space="preserve">LIBOR + 4.25%
</t>
        </r>
      </text>
    </comment>
    <comment ref="J235" authorId="2">
      <text>
        <r>
          <rPr>
            <b/>
            <sz val="8"/>
            <color indexed="81"/>
            <rFont val="Tahoma"/>
            <family val="2"/>
          </rPr>
          <t>MD:</t>
        </r>
        <r>
          <rPr>
            <sz val="8"/>
            <color indexed="81"/>
            <rFont val="Tahoma"/>
            <family val="2"/>
          </rPr>
          <t xml:space="preserve">
Assume Apr 2012 issuance based on Apr 1. 2022 maturity</t>
        </r>
      </text>
    </comment>
    <comment ref="I275" authorId="3">
      <text>
        <r>
          <rPr>
            <b/>
            <sz val="9"/>
            <color indexed="81"/>
            <rFont val="Tahoma"/>
            <family val="2"/>
          </rPr>
          <t>Tabatabai, Arman (Research):</t>
        </r>
        <r>
          <rPr>
            <sz val="9"/>
            <color indexed="81"/>
            <rFont val="Tahoma"/>
            <family val="2"/>
          </rPr>
          <t xml:space="preserve">
blended average of maturing bonds</t>
        </r>
      </text>
    </comment>
    <comment ref="I276" authorId="3">
      <text>
        <r>
          <rPr>
            <b/>
            <sz val="9"/>
            <color indexed="81"/>
            <rFont val="Tahoma"/>
            <family val="2"/>
          </rPr>
          <t>Tabatabai, Arman (Research):</t>
        </r>
        <r>
          <rPr>
            <sz val="9"/>
            <color indexed="81"/>
            <rFont val="Tahoma"/>
            <family val="2"/>
          </rPr>
          <t xml:space="preserve">
blended average of maturing bonds</t>
        </r>
      </text>
    </comment>
    <comment ref="I277" authorId="3">
      <text>
        <r>
          <rPr>
            <b/>
            <sz val="9"/>
            <color indexed="81"/>
            <rFont val="Tahoma"/>
            <family val="2"/>
          </rPr>
          <t>Tabatabai, Arman (Research):</t>
        </r>
        <r>
          <rPr>
            <sz val="9"/>
            <color indexed="81"/>
            <rFont val="Tahoma"/>
            <family val="2"/>
          </rPr>
          <t xml:space="preserve">
blended average of maturing bonds</t>
        </r>
      </text>
    </comment>
    <comment ref="I278" authorId="3">
      <text>
        <r>
          <rPr>
            <b/>
            <sz val="9"/>
            <color indexed="81"/>
            <rFont val="Tahoma"/>
            <family val="2"/>
          </rPr>
          <t>Tabatabai, Arman (Research):</t>
        </r>
        <r>
          <rPr>
            <sz val="9"/>
            <color indexed="81"/>
            <rFont val="Tahoma"/>
            <family val="2"/>
          </rPr>
          <t xml:space="preserve">
blended average of maturing bonds</t>
        </r>
      </text>
    </comment>
    <comment ref="I279" authorId="3">
      <text>
        <r>
          <rPr>
            <b/>
            <sz val="9"/>
            <color indexed="81"/>
            <rFont val="Tahoma"/>
            <family val="2"/>
          </rPr>
          <t>Tabatabai, Arman (Research):</t>
        </r>
        <r>
          <rPr>
            <sz val="9"/>
            <color indexed="81"/>
            <rFont val="Tahoma"/>
            <family val="2"/>
          </rPr>
          <t xml:space="preserve">
blended average of maturing bonds</t>
        </r>
      </text>
    </comment>
    <comment ref="J299" authorId="2">
      <text>
        <r>
          <rPr>
            <b/>
            <sz val="8"/>
            <color indexed="81"/>
            <rFont val="Tahoma"/>
            <family val="2"/>
          </rPr>
          <t>MD:</t>
        </r>
        <r>
          <rPr>
            <sz val="8"/>
            <color indexed="81"/>
            <rFont val="Tahoma"/>
            <family val="2"/>
          </rPr>
          <t xml:space="preserve">
Assume June issuance based on June 1, 2042 maturity</t>
        </r>
      </text>
    </comment>
    <comment ref="F300" authorId="0">
      <text>
        <r>
          <rPr>
            <sz val="9"/>
            <color indexed="81"/>
            <rFont val="Tahoma"/>
            <family val="2"/>
          </rPr>
          <t>Updated $30 nad $16 municipal bonds to match with the 10-K First mortgage bonds number</t>
        </r>
      </text>
    </comment>
    <comment ref="C308" authorId="4">
      <text>
        <r>
          <rPr>
            <sz val="8"/>
            <color indexed="81"/>
            <rFont val="Tahoma"/>
            <family val="2"/>
          </rPr>
          <t>Rates reset weekly; December 31, 2010 rates shown for Series 1995A (August 18, 2010 rate shown for Series 1994A).</t>
        </r>
      </text>
    </comment>
  </commentList>
</comments>
</file>

<file path=xl/comments14.xml><?xml version="1.0" encoding="utf-8"?>
<comments xmlns="http://schemas.openxmlformats.org/spreadsheetml/2006/main">
  <authors>
    <author>McDermott, Devin (Research)</author>
    <author>RL</author>
  </authors>
  <commentList>
    <comment ref="BX17" authorId="0">
      <text>
        <r>
          <rPr>
            <b/>
            <sz val="9"/>
            <color indexed="81"/>
            <rFont val="Tahoma"/>
            <family val="2"/>
          </rPr>
          <t>McDermott, Devin (Research):</t>
        </r>
        <r>
          <rPr>
            <sz val="9"/>
            <color indexed="81"/>
            <rFont val="Tahoma"/>
            <family val="2"/>
          </rPr>
          <t xml:space="preserve">
Includes carbon adder</t>
        </r>
      </text>
    </comment>
    <comment ref="BX25" authorId="0">
      <text>
        <r>
          <rPr>
            <b/>
            <sz val="9"/>
            <color indexed="81"/>
            <rFont val="Tahoma"/>
            <family val="2"/>
          </rPr>
          <t>McDermott, Devin (Research):</t>
        </r>
        <r>
          <rPr>
            <sz val="9"/>
            <color indexed="81"/>
            <rFont val="Tahoma"/>
            <family val="2"/>
          </rPr>
          <t xml:space="preserve">
Includes carbon adder</t>
        </r>
      </text>
    </comment>
    <comment ref="BX31" authorId="0">
      <text>
        <r>
          <rPr>
            <b/>
            <sz val="9"/>
            <color indexed="81"/>
            <rFont val="Tahoma"/>
            <family val="2"/>
          </rPr>
          <t>McDermott, Devin (Research):</t>
        </r>
        <r>
          <rPr>
            <sz val="9"/>
            <color indexed="81"/>
            <rFont val="Tahoma"/>
            <family val="2"/>
          </rPr>
          <t xml:space="preserve">
Includes carbon adder</t>
        </r>
      </text>
    </comment>
    <comment ref="BY35" authorId="0">
      <text>
        <r>
          <rPr>
            <b/>
            <sz val="9"/>
            <color indexed="81"/>
            <rFont val="Tahoma"/>
            <family val="2"/>
          </rPr>
          <t>McDermott, Devin (Research):</t>
        </r>
        <r>
          <rPr>
            <sz val="9"/>
            <color indexed="81"/>
            <rFont val="Tahoma"/>
            <family val="2"/>
          </rPr>
          <t xml:space="preserve">
Assumption</t>
        </r>
      </text>
    </comment>
    <comment ref="BZ36" authorId="1">
      <text>
        <r>
          <rPr>
            <b/>
            <sz val="8"/>
            <color indexed="81"/>
            <rFont val="Tahoma"/>
            <family val="2"/>
          </rPr>
          <t>RL:</t>
        </r>
        <r>
          <rPr>
            <sz val="8"/>
            <color indexed="81"/>
            <rFont val="Tahoma"/>
            <family val="2"/>
          </rPr>
          <t xml:space="preserve">
this is ventyx 2015 target</t>
        </r>
      </text>
    </comment>
    <comment ref="BZ37" authorId="1">
      <text>
        <r>
          <rPr>
            <b/>
            <sz val="8"/>
            <color indexed="81"/>
            <rFont val="Tahoma"/>
            <family val="2"/>
          </rPr>
          <t>RL:</t>
        </r>
        <r>
          <rPr>
            <sz val="8"/>
            <color indexed="81"/>
            <rFont val="Tahoma"/>
            <family val="2"/>
          </rPr>
          <t xml:space="preserve">
using market as prices would still need to move up to incent new generation from here.</t>
        </r>
      </text>
    </comment>
    <comment ref="BV58" authorId="1">
      <text>
        <r>
          <rPr>
            <b/>
            <sz val="8"/>
            <color indexed="81"/>
            <rFont val="Tahoma"/>
            <family val="2"/>
          </rPr>
          <t>RL:</t>
        </r>
        <r>
          <rPr>
            <sz val="8"/>
            <color indexed="81"/>
            <rFont val="Tahoma"/>
            <family val="2"/>
          </rPr>
          <t xml:space="preserve">
This includes:
- TETCO M3
- TCO
- Lebanon</t>
        </r>
      </text>
    </comment>
    <comment ref="BV61" authorId="1">
      <text>
        <r>
          <rPr>
            <b/>
            <sz val="8"/>
            <color indexed="81"/>
            <rFont val="Tahoma"/>
            <family val="2"/>
          </rPr>
          <t>RL:</t>
        </r>
        <r>
          <rPr>
            <sz val="8"/>
            <color indexed="81"/>
            <rFont val="Tahoma"/>
            <family val="2"/>
          </rPr>
          <t xml:space="preserve">
This includes:
- TETCO M3
- TCO
- Lebanon</t>
        </r>
      </text>
    </comment>
    <comment ref="BV64" authorId="1">
      <text>
        <r>
          <rPr>
            <b/>
            <sz val="8"/>
            <color indexed="81"/>
            <rFont val="Tahoma"/>
            <family val="2"/>
          </rPr>
          <t>RL:</t>
        </r>
        <r>
          <rPr>
            <sz val="8"/>
            <color indexed="81"/>
            <rFont val="Tahoma"/>
            <family val="2"/>
          </rPr>
          <t xml:space="preserve">
This includes:
- TETCO M3
- TCO
- Lebanon</t>
        </r>
      </text>
    </comment>
    <comment ref="BY83" authorId="0">
      <text>
        <r>
          <rPr>
            <b/>
            <sz val="9"/>
            <color indexed="81"/>
            <rFont val="Tahoma"/>
            <family val="2"/>
          </rPr>
          <t>McDermott, Devin (Research):</t>
        </r>
        <r>
          <rPr>
            <sz val="9"/>
            <color indexed="81"/>
            <rFont val="Tahoma"/>
            <family val="2"/>
          </rPr>
          <t xml:space="preserve">
Assumption</t>
        </r>
      </text>
    </comment>
    <comment ref="BW116" authorId="0">
      <text>
        <r>
          <rPr>
            <b/>
            <sz val="9"/>
            <color indexed="81"/>
            <rFont val="Tahoma"/>
            <family val="2"/>
          </rPr>
          <t>McDermott, Devin (Research):</t>
        </r>
        <r>
          <rPr>
            <sz val="9"/>
            <color indexed="81"/>
            <rFont val="Tahoma"/>
            <family val="2"/>
          </rPr>
          <t xml:space="preserve">
we model IL separately</t>
        </r>
      </text>
    </comment>
  </commentList>
</comments>
</file>

<file path=xl/comments15.xml><?xml version="1.0" encoding="utf-8"?>
<comments xmlns="http://schemas.openxmlformats.org/spreadsheetml/2006/main">
  <authors>
    <author>rajeevl</author>
  </authors>
  <commentList>
    <comment ref="H6" authorId="0">
      <text>
        <r>
          <rPr>
            <b/>
            <sz val="8"/>
            <color indexed="81"/>
            <rFont val="Tahoma"/>
            <family val="2"/>
          </rPr>
          <t>rajeevl:</t>
        </r>
        <r>
          <rPr>
            <sz val="8"/>
            <color indexed="81"/>
            <rFont val="Tahoma"/>
            <family val="2"/>
          </rPr>
          <t xml:space="preserve">
When the noted gas prices are entered, figures won't match b/c we make an adjustment to account for changing heat rates when gas prices move. Specifically, a $1 move in gas prices should equate to about a $0.75 move.</t>
        </r>
      </text>
    </comment>
    <comment ref="D62" authorId="0">
      <text>
        <r>
          <rPr>
            <b/>
            <sz val="8"/>
            <color indexed="81"/>
            <rFont val="Tahoma"/>
            <family val="2"/>
          </rPr>
          <t>rajeevl:</t>
        </r>
        <r>
          <rPr>
            <sz val="8"/>
            <color indexed="81"/>
            <rFont val="Tahoma"/>
            <family val="2"/>
          </rPr>
          <t xml:space="preserve">
10% margin assumed</t>
        </r>
      </text>
    </comment>
    <comment ref="D63" authorId="0">
      <text>
        <r>
          <rPr>
            <b/>
            <sz val="8"/>
            <color indexed="81"/>
            <rFont val="Tahoma"/>
            <family val="2"/>
          </rPr>
          <t>rajeevl:</t>
        </r>
        <r>
          <rPr>
            <sz val="8"/>
            <color indexed="81"/>
            <rFont val="Tahoma"/>
            <family val="2"/>
          </rPr>
          <t xml:space="preserve">
2GW at $100/mw-day</t>
        </r>
      </text>
    </comment>
    <comment ref="D64" authorId="0">
      <text>
        <r>
          <rPr>
            <b/>
            <sz val="8"/>
            <color indexed="81"/>
            <rFont val="Tahoma"/>
            <family val="2"/>
          </rPr>
          <t>rajeevl:</t>
        </r>
        <r>
          <rPr>
            <sz val="8"/>
            <color indexed="81"/>
            <rFont val="Tahoma"/>
            <family val="2"/>
          </rPr>
          <t xml:space="preserve">
assumed 1% (they have 2% of load response) of EE market of $5.5bil in revs (slide 52 3/2012 analyst day). </t>
        </r>
      </text>
    </comment>
    <comment ref="D65" authorId="0">
      <text>
        <r>
          <rPr>
            <b/>
            <sz val="8"/>
            <color indexed="81"/>
            <rFont val="Tahoma"/>
            <family val="2"/>
          </rPr>
          <t>rajeevl:</t>
        </r>
        <r>
          <rPr>
            <sz val="8"/>
            <color indexed="81"/>
            <rFont val="Tahoma"/>
            <family val="2"/>
          </rPr>
          <t xml:space="preserve">
59 mw in operation with 20% CF and $250/mwh power price</t>
        </r>
      </text>
    </comment>
    <comment ref="D66" authorId="0">
      <text>
        <r>
          <rPr>
            <b/>
            <sz val="8"/>
            <color indexed="81"/>
            <rFont val="Tahoma"/>
            <family val="2"/>
          </rPr>
          <t>rajeevl:</t>
        </r>
        <r>
          <rPr>
            <sz val="8"/>
            <color indexed="81"/>
            <rFont val="Tahoma"/>
            <family val="2"/>
          </rPr>
          <t xml:space="preserve">
plug</t>
        </r>
      </text>
    </comment>
    <comment ref="D68" authorId="0">
      <text>
        <r>
          <rPr>
            <b/>
            <sz val="8"/>
            <color indexed="81"/>
            <rFont val="Tahoma"/>
            <family val="2"/>
          </rPr>
          <t>rajeevl:</t>
        </r>
        <r>
          <rPr>
            <sz val="8"/>
            <color indexed="81"/>
            <rFont val="Tahoma"/>
            <family val="2"/>
          </rPr>
          <t xml:space="preserve">
$0.03 to $0.05 is guidance</t>
        </r>
      </text>
    </comment>
  </commentList>
</comments>
</file>

<file path=xl/sharedStrings.xml><?xml version="1.0" encoding="utf-8"?>
<sst xmlns="http://schemas.openxmlformats.org/spreadsheetml/2006/main" count="4904" uniqueCount="1875">
  <si>
    <t>Equity Risk Premium</t>
  </si>
  <si>
    <t>Consensus EPS</t>
  </si>
  <si>
    <t>Consensus EPS - High</t>
  </si>
  <si>
    <t>Consensus EPS - Low</t>
  </si>
  <si>
    <t>Deferred Taxes, Pension, and Other</t>
  </si>
  <si>
    <t>Maintanence CapEx (ex Nuclear Fuel)</t>
  </si>
  <si>
    <t>D&amp;A (ex Nuclear Fuel)</t>
  </si>
  <si>
    <t>Growth CapEx (Renewables, Uprates, and Other)</t>
  </si>
  <si>
    <t>Asset Sales and Other (with Coal Asset Sales)</t>
  </si>
  <si>
    <t>Free Cash Flow (post Growth Spend)</t>
  </si>
  <si>
    <t>Free Cash Flow (pre-Growth Spend)</t>
  </si>
  <si>
    <t>ExGen Free Cash Flow</t>
  </si>
  <si>
    <t>CREDIT RATINGS</t>
  </si>
  <si>
    <t>Exelon Corp.</t>
  </si>
  <si>
    <t>Exelon Generation</t>
  </si>
  <si>
    <t>PECO Energy</t>
  </si>
  <si>
    <t>Baltimore Gas &amp; Electric</t>
  </si>
  <si>
    <t>S&amp;P</t>
  </si>
  <si>
    <t>Moody's</t>
  </si>
  <si>
    <t>Fitch</t>
  </si>
  <si>
    <t>Baa2</t>
  </si>
  <si>
    <t>BBB-</t>
  </si>
  <si>
    <t>BBB+</t>
  </si>
  <si>
    <t>Baa1</t>
  </si>
  <si>
    <t>BBB</t>
  </si>
  <si>
    <t>Commonwealth Edison</t>
  </si>
  <si>
    <t>A3</t>
  </si>
  <si>
    <t>A1</t>
  </si>
  <si>
    <t>A-</t>
  </si>
  <si>
    <t>Terminal EV/EBITDA</t>
  </si>
  <si>
    <t>Terminal EBITDA</t>
  </si>
  <si>
    <t>Shares Outstanding (mil)</t>
  </si>
  <si>
    <t>ROE</t>
  </si>
  <si>
    <t>Rate Base</t>
  </si>
  <si>
    <t>Terminal</t>
  </si>
  <si>
    <t>Assumed Beta of Merchant Generation</t>
  </si>
  <si>
    <t>Power Price Sensitivity ($/mwh)</t>
  </si>
  <si>
    <t>Electric Sales Growth</t>
  </si>
  <si>
    <t>Modeled Utility Equity Ratio</t>
  </si>
  <si>
    <t>PEG.N,mscalc:targetPrice,,,,USD</t>
  </si>
  <si>
    <t>PEG.N,mscalc:closePriceCurrencyCalc</t>
  </si>
  <si>
    <t>Valuation Year</t>
  </si>
  <si>
    <t>Assumed Premium/Discount</t>
  </si>
  <si>
    <t>Adjusted P/E</t>
  </si>
  <si>
    <t>Implied Valuation</t>
  </si>
  <si>
    <t>Dividend</t>
  </si>
  <si>
    <t>HH Natural Gas Price Assumption ($/mmcf)</t>
  </si>
  <si>
    <t>Gas Price Sensitivity ($/mmcf)</t>
  </si>
  <si>
    <t>Assumed Allowed ROE</t>
  </si>
  <si>
    <t>Implied Equity Value as a Multiple of EBITDA</t>
  </si>
  <si>
    <t>Levered Free Cash Flow</t>
  </si>
  <si>
    <t>Unlevered Free Cash Flow (w/o interest)</t>
  </si>
  <si>
    <t>UTILITY RATE BASE AND ROE SENSITIVITY</t>
  </si>
  <si>
    <t>Debt/EBITDA</t>
  </si>
  <si>
    <t>Implied EV / EBITDA</t>
  </si>
  <si>
    <t>Implied Utility Earnings Potential ($mil)</t>
  </si>
  <si>
    <t>Cash Flow NPV</t>
  </si>
  <si>
    <t>Projected Diluted Shares Count ($mil)</t>
  </si>
  <si>
    <t>Equity Value</t>
  </si>
  <si>
    <t>Equity Value Per Share</t>
  </si>
  <si>
    <t>Total Operating Revenue</t>
  </si>
  <si>
    <t>Fuel</t>
  </si>
  <si>
    <t>Other</t>
  </si>
  <si>
    <t>Gross Margin</t>
  </si>
  <si>
    <t>Operating and Maintenance</t>
  </si>
  <si>
    <t>Taxes Other Than Income</t>
  </si>
  <si>
    <t>EBITDA</t>
  </si>
  <si>
    <t>Depreciation and Amortization</t>
  </si>
  <si>
    <t xml:space="preserve"> </t>
  </si>
  <si>
    <t>$m, unless stated otherwise</t>
  </si>
  <si>
    <t>Operating Income</t>
  </si>
  <si>
    <t>DIVIDEND AND EQUITY ASSUMPTIONS</t>
  </si>
  <si>
    <t>DEBT AND TAX ASSUMPTIONS</t>
  </si>
  <si>
    <t>PARENT LEVEL CASH FLOWS</t>
  </si>
  <si>
    <t>Payout Ratio</t>
  </si>
  <si>
    <t>Deferred Income Taxes</t>
  </si>
  <si>
    <t>Cash Flow From Operations</t>
  </si>
  <si>
    <t>Other Investment Cash Flow</t>
  </si>
  <si>
    <t>Cash Flow From Investing</t>
  </si>
  <si>
    <t>Operating Expense</t>
  </si>
  <si>
    <t>Total Interest Expense</t>
  </si>
  <si>
    <t>2670519</t>
  </si>
  <si>
    <t>Reported Net Income</t>
  </si>
  <si>
    <t>Reconciliation to Adjusted Earnings</t>
  </si>
  <si>
    <t>Total Operating Income</t>
  </si>
  <si>
    <t>Check</t>
  </si>
  <si>
    <t>Total Other Income</t>
  </si>
  <si>
    <t>Other (Non-Utility / Power operations)</t>
  </si>
  <si>
    <t>EBITDA by Business Segment</t>
  </si>
  <si>
    <t>Regulated / Unregulated EBITDA</t>
  </si>
  <si>
    <t>DIVIDEND AND SHARE COUNT DATA</t>
  </si>
  <si>
    <t>CASH FLOW PROFILE</t>
  </si>
  <si>
    <t>Dividend Per Share</t>
  </si>
  <si>
    <t>Regulated / Unregulated OCF</t>
  </si>
  <si>
    <t>Consolidated OCF</t>
  </si>
  <si>
    <t>Average Shares Outstanding</t>
  </si>
  <si>
    <t>MS Gas Assumption</t>
  </si>
  <si>
    <t>PJM E</t>
  </si>
  <si>
    <t>Size (MW)</t>
  </si>
  <si>
    <t>Energy ($/mwh)</t>
  </si>
  <si>
    <t>Implied Recurring FCF / Equity Yield</t>
  </si>
  <si>
    <t>Implied Equity / FCF</t>
  </si>
  <si>
    <t>Capacity ($/mw-day)</t>
  </si>
  <si>
    <t>Cost ($/kw)</t>
  </si>
  <si>
    <t>EBITDA Multiple</t>
  </si>
  <si>
    <t>Cost ($/mil)</t>
  </si>
  <si>
    <t>Value ($mil)</t>
  </si>
  <si>
    <t>EPU Math</t>
  </si>
  <si>
    <t>Regulated / Unregulated CapEx</t>
  </si>
  <si>
    <t>Diluted Average Shares Outstanding</t>
  </si>
  <si>
    <t>Consolidated CapEx</t>
  </si>
  <si>
    <t>VALUATION PROFILE</t>
  </si>
  <si>
    <t>2010A</t>
  </si>
  <si>
    <t>Holding &amp; Parent</t>
  </si>
  <si>
    <t>Operating Income - Holdings &amp; Parent</t>
  </si>
  <si>
    <t>Growth Rate (YoY)</t>
  </si>
  <si>
    <t>Holdings &amp; Parent</t>
  </si>
  <si>
    <t>Stock Price Estimate</t>
  </si>
  <si>
    <t>Share Issuance/(Repurchase) - mil shares</t>
  </si>
  <si>
    <t>Share Issuance/(Repurchase)</t>
  </si>
  <si>
    <t>Cash &amp; Cash Equivalents</t>
  </si>
  <si>
    <t>Operating Expenses</t>
  </si>
  <si>
    <t>Capacity Market (MW)</t>
  </si>
  <si>
    <t>Other Income, Net</t>
  </si>
  <si>
    <t>Electric Retail Sales Growth (YoY)</t>
  </si>
  <si>
    <t>O&amp;M Growth (YoY)</t>
  </si>
  <si>
    <t>Taxes Other Than Income (YoY)</t>
  </si>
  <si>
    <t>Earned ROE (includes AFUDC)</t>
  </si>
  <si>
    <t>ELECTRIC MARGINS</t>
  </si>
  <si>
    <t>Total Electric Revenues</t>
  </si>
  <si>
    <t>Electric Sales (GWh)</t>
  </si>
  <si>
    <t>Total Sales</t>
  </si>
  <si>
    <t>Total Sales Growth (YoY)</t>
  </si>
  <si>
    <t>Average Total Rate ($/mwh)</t>
  </si>
  <si>
    <t>Electric Rate Change (YoY)</t>
  </si>
  <si>
    <t>Fuel and Puchased Power Costs</t>
  </si>
  <si>
    <t>Fuel/Purchased Power</t>
  </si>
  <si>
    <t>Avg Fuel and Purchased Power Rate ($/mwh)</t>
  </si>
  <si>
    <t>Electric Margins</t>
  </si>
  <si>
    <t>GAS MARGINS</t>
  </si>
  <si>
    <t>Gas Margins</t>
  </si>
  <si>
    <t>Electric Utility Plant in Service and Other Property</t>
  </si>
  <si>
    <t>Net PP&amp;E</t>
  </si>
  <si>
    <t>Reported D&amp;A</t>
  </si>
  <si>
    <t>Adjusted D&amp;A</t>
  </si>
  <si>
    <t>D&amp;A Rate</t>
  </si>
  <si>
    <t>CWIP Rate (% of FY capex)</t>
  </si>
  <si>
    <t>CapEx</t>
  </si>
  <si>
    <t>Operating Cash Flow</t>
  </si>
  <si>
    <t>Other (includes asset sales)</t>
  </si>
  <si>
    <t>Investing Cash Flow</t>
  </si>
  <si>
    <t>Change in ST Debt</t>
  </si>
  <si>
    <t>Dividends and Capital Infusions</t>
  </si>
  <si>
    <t>Financing Cash Flow</t>
  </si>
  <si>
    <t>Net Change in Cash</t>
  </si>
  <si>
    <t>Beginning Cash Balance</t>
  </si>
  <si>
    <t>RATE BASE AND ROEs</t>
  </si>
  <si>
    <t>Average</t>
  </si>
  <si>
    <t>Deferred Taxes</t>
  </si>
  <si>
    <t>Electric Rate Change - Transmission</t>
  </si>
  <si>
    <t>Other Financing Cash Flow</t>
  </si>
  <si>
    <t>Cash Flow From Financing</t>
  </si>
  <si>
    <t>Increase / (Decrease) in Cash</t>
  </si>
  <si>
    <t>Natural Gas ($/mmcf)</t>
  </si>
  <si>
    <t>Gas Price Sensitivity (from valuation summary)</t>
  </si>
  <si>
    <t>Market Heat Rates (btu/kwh)</t>
  </si>
  <si>
    <t>Mass Hub ATC Price</t>
  </si>
  <si>
    <t>Assumed Price (Off-Peak) ($/mwh)</t>
  </si>
  <si>
    <t>Peak Production (gwh)</t>
  </si>
  <si>
    <t>Off Peak Production (gwh)</t>
  </si>
  <si>
    <t>Capacity Factor (%) - Peak</t>
  </si>
  <si>
    <t>Capacity Factor (%) - Off-Peak</t>
  </si>
  <si>
    <t>Total Capacity Factor (%) - All-Hours</t>
  </si>
  <si>
    <t>Total Production (gwh)</t>
  </si>
  <si>
    <t>PRODUCTION AND CAPACITY SUMMARY</t>
  </si>
  <si>
    <t>Coal Prices</t>
  </si>
  <si>
    <t>Hedges</t>
  </si>
  <si>
    <t>HEDGE CALCULATION</t>
  </si>
  <si>
    <t>Long-Term Debt (w/ current portion &amp; leases)</t>
  </si>
  <si>
    <t>Power Prices ($/MWh)</t>
  </si>
  <si>
    <t>PJM West ATC Price</t>
  </si>
  <si>
    <t>PJM East ATC Price</t>
  </si>
  <si>
    <t>Other Non-Current Assets</t>
  </si>
  <si>
    <t>Total Assets</t>
  </si>
  <si>
    <t>Gross PP&amp;E</t>
  </si>
  <si>
    <t>Accounts Payable</t>
  </si>
  <si>
    <t>Other Current Liabilities</t>
  </si>
  <si>
    <t>Total Current Liabilities</t>
  </si>
  <si>
    <t>Long Term Deferred Tax Liabilities</t>
  </si>
  <si>
    <t>Other Non-Current Liabilities</t>
  </si>
  <si>
    <t>Total Liabilities</t>
  </si>
  <si>
    <t>Minority Interests</t>
  </si>
  <si>
    <t>Preferred Equity</t>
  </si>
  <si>
    <t>Common Equity</t>
  </si>
  <si>
    <t>Assumed Price (ATC) ($/mwh)</t>
  </si>
  <si>
    <t>Assumed Fuel Price ($/mwh)</t>
  </si>
  <si>
    <t>Total MW On-Line</t>
  </si>
  <si>
    <t>Capacity Factor</t>
  </si>
  <si>
    <t>Production (gwh)</t>
  </si>
  <si>
    <t>Margins</t>
  </si>
  <si>
    <t>Assumed Price (Peak) ($/mwh)</t>
  </si>
  <si>
    <t>Coverage Ratios</t>
  </si>
  <si>
    <t>Cinergy</t>
  </si>
  <si>
    <t>1Q11</t>
  </si>
  <si>
    <t>2Q11</t>
  </si>
  <si>
    <t>3Q11</t>
  </si>
  <si>
    <t>4Q11</t>
  </si>
  <si>
    <t>1Q12</t>
  </si>
  <si>
    <t>2Q12</t>
  </si>
  <si>
    <t>3Q12</t>
  </si>
  <si>
    <t>4Q12</t>
  </si>
  <si>
    <t>1Q13</t>
  </si>
  <si>
    <t>2Q13</t>
  </si>
  <si>
    <t>3Q13</t>
  </si>
  <si>
    <t>4Q13</t>
  </si>
  <si>
    <t>1Q14</t>
  </si>
  <si>
    <t>2Q14</t>
  </si>
  <si>
    <t>3Q14</t>
  </si>
  <si>
    <t>4Q14</t>
  </si>
  <si>
    <t>TETCO M3</t>
  </si>
  <si>
    <t>Dividends</t>
  </si>
  <si>
    <t>Ending Cash Balance</t>
  </si>
  <si>
    <t>LTM FFO (Net Income + D&amp;A)</t>
  </si>
  <si>
    <t>Weekly Price Deck</t>
  </si>
  <si>
    <t>Increased Interest from LT Debt Issuance</t>
  </si>
  <si>
    <t>Decreased Interest from LT Debt Reduction</t>
  </si>
  <si>
    <t>LTM Interest Expense</t>
  </si>
  <si>
    <t>LTM EBIT</t>
  </si>
  <si>
    <t>LTM EBITDA</t>
  </si>
  <si>
    <t>Tax Rate (adjusted for AFUDC - Equity)</t>
  </si>
  <si>
    <t>Reported Tax Rate</t>
  </si>
  <si>
    <t>LTM Net Income</t>
  </si>
  <si>
    <t>Net Change in Interest Expense</t>
  </si>
  <si>
    <t>Working Capital, Net</t>
  </si>
  <si>
    <t>Long-Term Debt Issuance</t>
  </si>
  <si>
    <t>Long-Term Debt Maturity/Redemption</t>
  </si>
  <si>
    <t>Long-Term Debt Issuance/Maturity</t>
  </si>
  <si>
    <t>Exelon Corp. Dividend to Shareholders</t>
  </si>
  <si>
    <t>Bull Case Valuation (rounded)</t>
  </si>
  <si>
    <t>Interest Rate on Short Term Debt/Cash</t>
  </si>
  <si>
    <t>Issuance of LT Debt</t>
  </si>
  <si>
    <t>Tax Items</t>
  </si>
  <si>
    <t>Common Dividends</t>
  </si>
  <si>
    <t>Asset Sales/Other Investments</t>
  </si>
  <si>
    <t>ISO-NE Maine</t>
  </si>
  <si>
    <t>ISO-NE Connecticut</t>
  </si>
  <si>
    <t>ISO-NE NEMA-Boston</t>
  </si>
  <si>
    <t>Retirement of Debt</t>
  </si>
  <si>
    <t>Change in ST debt</t>
  </si>
  <si>
    <t>Common Equity Issuance/Reduction</t>
  </si>
  <si>
    <t>Beginning Balance</t>
  </si>
  <si>
    <t>Current portion of LT Debt</t>
  </si>
  <si>
    <t>Junior Subordinated Notes</t>
  </si>
  <si>
    <t>Nuclear Fuel Purchase Contract</t>
  </si>
  <si>
    <t>Common Stock</t>
  </si>
  <si>
    <t>Growth (YoY) - reflect modest cost cutting</t>
  </si>
  <si>
    <t>1Q10</t>
  </si>
  <si>
    <t>2Q10</t>
  </si>
  <si>
    <t>3Q10</t>
  </si>
  <si>
    <t>4Q10</t>
  </si>
  <si>
    <t>NYMEX Natural Gas - HH</t>
  </si>
  <si>
    <t>ExGen</t>
  </si>
  <si>
    <t>Parent</t>
  </si>
  <si>
    <t>Consolidated Exelon EPS</t>
  </si>
  <si>
    <t>MS Exelon EPS Forecast</t>
  </si>
  <si>
    <t>A</t>
  </si>
  <si>
    <t>Price Uplift</t>
  </si>
  <si>
    <t>No</t>
  </si>
  <si>
    <t>1Q2011A</t>
  </si>
  <si>
    <t>2Q2011A</t>
  </si>
  <si>
    <t>3Q2011A</t>
  </si>
  <si>
    <t>4Q2011A</t>
  </si>
  <si>
    <t>Total O&amp;M</t>
  </si>
  <si>
    <t>PP&amp;E, D&amp;A, AND CAPEX</t>
  </si>
  <si>
    <t>TAX ITEMS</t>
  </si>
  <si>
    <t>DEBT AND PREFERRED CALCULATIONS</t>
  </si>
  <si>
    <t>CASH FLOW STATEMENT</t>
  </si>
  <si>
    <t>INCOME STATEMENT</t>
  </si>
  <si>
    <t>Fuel Costs</t>
  </si>
  <si>
    <t>FFO Interest Coverage ((FFO + Int.) / Int.)</t>
  </si>
  <si>
    <t>Pretax Interest Coverage (EBIT / Int.)</t>
  </si>
  <si>
    <t>Equity Ratio</t>
  </si>
  <si>
    <t>Capacity Prices ($/MW-day)</t>
  </si>
  <si>
    <t>Capital Expenditures</t>
  </si>
  <si>
    <t>MERCHANT GENERATION VALUATION ASSUMPTIONS</t>
  </si>
  <si>
    <t>PEG.N,mscalc:sedolCodeCalc</t>
  </si>
  <si>
    <t>NA</t>
  </si>
  <si>
    <t/>
  </si>
  <si>
    <t>PJM RTO</t>
  </si>
  <si>
    <t>PJM MAAC</t>
  </si>
  <si>
    <t>PJM SW MAAC</t>
  </si>
  <si>
    <t>PJM EMAAC</t>
  </si>
  <si>
    <t>PJM DPL-South</t>
  </si>
  <si>
    <t>CO2</t>
  </si>
  <si>
    <t>NOX SEASONAL</t>
  </si>
  <si>
    <t>Natural Gas Basis/Coal Delivery Cost Assumptions</t>
  </si>
  <si>
    <t>RGGI CO2</t>
  </si>
  <si>
    <t>CSAPR 1 SOX</t>
  </si>
  <si>
    <t>CSAPR 2 SOX</t>
  </si>
  <si>
    <t>CSAPR 1 NOX</t>
  </si>
  <si>
    <t>CSAPR 2 NOX</t>
  </si>
  <si>
    <t>NYC</t>
  </si>
  <si>
    <t>ISO-NE</t>
  </si>
  <si>
    <t>NY ROS</t>
  </si>
  <si>
    <t>BALANCE SHEET</t>
  </si>
  <si>
    <t>Segment EPS</t>
  </si>
  <si>
    <t>Total EPS</t>
  </si>
  <si>
    <t>Segment CapEx</t>
  </si>
  <si>
    <t>Total CapEx</t>
  </si>
  <si>
    <t>YoY EPS Growth</t>
  </si>
  <si>
    <t>Actual Shares Outstanding</t>
  </si>
  <si>
    <t>Terminal Peak Spark</t>
  </si>
  <si>
    <t>$/mwh</t>
  </si>
  <si>
    <t>Terminal Peak HR</t>
  </si>
  <si>
    <t>btu/kwh</t>
  </si>
  <si>
    <t>CAPITALIZATION</t>
  </si>
  <si>
    <t>Cash &amp; Equivalents</t>
  </si>
  <si>
    <t>Short-Term Debt</t>
  </si>
  <si>
    <t>Interest Expense</t>
  </si>
  <si>
    <t>Other Income</t>
  </si>
  <si>
    <t>Income Tax</t>
  </si>
  <si>
    <t>Net Income</t>
  </si>
  <si>
    <t>3Q2009A</t>
  </si>
  <si>
    <t>4Q2009A</t>
  </si>
  <si>
    <t>1Q2010A</t>
  </si>
  <si>
    <t>2Q2010A</t>
  </si>
  <si>
    <t>3Q2010A</t>
  </si>
  <si>
    <t>4Q2010A</t>
  </si>
  <si>
    <t>EPS AND EBITDA PROFILE</t>
  </si>
  <si>
    <t>CAPITALIZATION PROFILE</t>
  </si>
  <si>
    <t>EPS by Business Segment</t>
  </si>
  <si>
    <t>Regulated / Unregulated EPS</t>
  </si>
  <si>
    <t>Merchant Power (includes parent)</t>
  </si>
  <si>
    <t>Basic Shares Outstanding</t>
  </si>
  <si>
    <t>Diluted Shares Outstanding</t>
  </si>
  <si>
    <t>Free Cash Flow</t>
  </si>
  <si>
    <t>Consolidated FCF (Pre-Dividends)</t>
  </si>
  <si>
    <t>Book Value Per Share</t>
  </si>
  <si>
    <t>Other Investing Activities</t>
  </si>
  <si>
    <t>Free Cash Flow (Post Dividends)</t>
  </si>
  <si>
    <t>LTM FFO (Net Income + D&amp;A + Nuclear Amortization)</t>
  </si>
  <si>
    <t>Return on Invested Capital</t>
  </si>
  <si>
    <t>AEP-Dayton / Tetco M3</t>
  </si>
  <si>
    <t>Return on Average Assets</t>
  </si>
  <si>
    <t>Other Financing Activities</t>
  </si>
  <si>
    <t>Equity Issuance / Buyback, Net</t>
  </si>
  <si>
    <t>Operating Income - Pepco</t>
  </si>
  <si>
    <t>Operating Income - DPL</t>
  </si>
  <si>
    <t>Operating Income - ACE</t>
  </si>
  <si>
    <t>Pepco</t>
  </si>
  <si>
    <t>DPL</t>
  </si>
  <si>
    <t>Current Share Price:</t>
  </si>
  <si>
    <t>LT Debt Issuance</t>
  </si>
  <si>
    <t>LT Debt Retirement</t>
  </si>
  <si>
    <t>ST Debt Change, Net</t>
  </si>
  <si>
    <t>Net Debt (Forecasted)</t>
  </si>
  <si>
    <t>Annual Change in Cash</t>
  </si>
  <si>
    <t>DEBT CALCULATIONS</t>
  </si>
  <si>
    <t>1Q2009A</t>
  </si>
  <si>
    <t>2Q2009A</t>
  </si>
  <si>
    <t>Adjusted/On-Going Net Income</t>
  </si>
  <si>
    <t>Accounts Receivable</t>
  </si>
  <si>
    <t>Inventories</t>
  </si>
  <si>
    <t>Total Current Assets</t>
  </si>
  <si>
    <t>Investments</t>
  </si>
  <si>
    <t>Retail sales</t>
  </si>
  <si>
    <t>Wholesale; New Busines</t>
  </si>
  <si>
    <t>Energy only; includes E&amp;P and hedged GM in the South, West, and Canada)</t>
  </si>
  <si>
    <t>Net Goodwill</t>
  </si>
  <si>
    <t>ASSUMPTIONS AND DRIVERS</t>
  </si>
  <si>
    <t>OPERATING EXPENSES</t>
  </si>
  <si>
    <t>Coal</t>
  </si>
  <si>
    <t>Total Liabilities and Equity</t>
  </si>
  <si>
    <t>Total Debt</t>
  </si>
  <si>
    <t>Leverage Ratios</t>
  </si>
  <si>
    <t>Total Debt / Total Cap</t>
  </si>
  <si>
    <t>Transco 6</t>
  </si>
  <si>
    <t>Updated as of</t>
  </si>
  <si>
    <t>NY Zone G / Transco Z6</t>
  </si>
  <si>
    <t>NY Zone J / Transco Z6</t>
  </si>
  <si>
    <t>Cinergy / HH</t>
  </si>
  <si>
    <t>NI Hub / HH</t>
  </si>
  <si>
    <t>ERCOT Houston / HH</t>
  </si>
  <si>
    <t>ERCOT North / HH</t>
  </si>
  <si>
    <t>ERCOT South / HH</t>
  </si>
  <si>
    <t>Palo Verde / SCAL</t>
  </si>
  <si>
    <t>SP 15 / SCAL</t>
  </si>
  <si>
    <t>NP 15 / SCAL</t>
  </si>
  <si>
    <t>Mid C / SCAL</t>
  </si>
  <si>
    <t>EPS $4.00 Natural Gas ($/MMBtu)</t>
  </si>
  <si>
    <t>EPS $3.50 Natural Gas ($/MMBtu)</t>
  </si>
  <si>
    <t>EPS $3.00 Natural Gas ($/MMBtu)</t>
  </si>
  <si>
    <t>Net Debt / EBITDA</t>
  </si>
  <si>
    <t>FFO / Total Debt</t>
  </si>
  <si>
    <t>Capacity Price ($/mw-day)</t>
  </si>
  <si>
    <t>Hydro</t>
  </si>
  <si>
    <t>Accumulated Depreciation</t>
  </si>
  <si>
    <t>Short Term Debt</t>
  </si>
  <si>
    <t>Long Term Debt</t>
  </si>
  <si>
    <t>Total</t>
  </si>
  <si>
    <t>X</t>
  </si>
  <si>
    <t>Equity</t>
  </si>
  <si>
    <t>Total Net PP&amp;E</t>
  </si>
  <si>
    <t>Beginning Rate Base</t>
  </si>
  <si>
    <t>Capex</t>
  </si>
  <si>
    <t>Ending Rate Base</t>
  </si>
  <si>
    <t>Residential</t>
  </si>
  <si>
    <t>EMAAC</t>
  </si>
  <si>
    <t>PSEG North</t>
  </si>
  <si>
    <t>Total Debt Issuances/Maturities and Interest Change</t>
  </si>
  <si>
    <t>O&amp;M Growth</t>
  </si>
  <si>
    <t>Financial Summary</t>
  </si>
  <si>
    <t xml:space="preserve">Representative FCF Yield to Equity </t>
  </si>
  <si>
    <t>Other Current Assets</t>
  </si>
  <si>
    <t>1Q15</t>
  </si>
  <si>
    <t>2Q15</t>
  </si>
  <si>
    <t>3Q15</t>
  </si>
  <si>
    <t>4Q15</t>
  </si>
  <si>
    <t>Reguatory Liabilities</t>
  </si>
  <si>
    <t>Modeled Equity Ratio</t>
  </si>
  <si>
    <t>Modeled ROE (includes AFUDC)</t>
  </si>
  <si>
    <t>Interest on Short Term Debt/Cash</t>
  </si>
  <si>
    <t>Deferred Taxes and Credits</t>
  </si>
  <si>
    <t>Plant Additions</t>
  </si>
  <si>
    <t>Other, Net</t>
  </si>
  <si>
    <t>Working Capital (net)</t>
  </si>
  <si>
    <t>Asset Sales and other Investments</t>
  </si>
  <si>
    <t>Discount Factor</t>
  </si>
  <si>
    <t>WACC</t>
  </si>
  <si>
    <t>Maint. Capex</t>
  </si>
  <si>
    <t>Authorized Equity Ratio</t>
  </si>
  <si>
    <t>Regulated Utilities</t>
  </si>
  <si>
    <t>New England</t>
  </si>
  <si>
    <t>PJM West</t>
  </si>
  <si>
    <t>2317087</t>
  </si>
  <si>
    <t>PRB Coal</t>
  </si>
  <si>
    <t>NY Zone G</t>
  </si>
  <si>
    <t>NY Zone J</t>
  </si>
  <si>
    <t>NY Zone A</t>
  </si>
  <si>
    <t>ERCOT Houston</t>
  </si>
  <si>
    <t>ERCOT South</t>
  </si>
  <si>
    <t>CAPP Coal</t>
  </si>
  <si>
    <t>Retail (excluding MtM)</t>
  </si>
  <si>
    <t>MARKET PRICES &amp; SENSITIVITIES</t>
  </si>
  <si>
    <t>Power Price Sensitivity ($/MWh)</t>
  </si>
  <si>
    <t>Adjusted / Operating EPS</t>
  </si>
  <si>
    <t>Impact of LT Gas Price on Dividend &amp; EPS Sustainability</t>
  </si>
  <si>
    <t>GAAP Reported EPS</t>
  </si>
  <si>
    <t>LT Debt  / Total Cap</t>
  </si>
  <si>
    <t>Capacity Price Needed</t>
  </si>
  <si>
    <t>$/MW-d</t>
  </si>
  <si>
    <t>ERCOT ($/mw-day)</t>
  </si>
  <si>
    <t>This sheet contains Factset binary data for use with this workbook's =FDS codes.  Modifying the worksheet's contents may damage the workbook's =FDS functionality.</t>
  </si>
  <si>
    <t>ETR.N,mscalc:closePriceCurrencyCalc</t>
  </si>
  <si>
    <t>ETR.N,mscalc:targetPrice,,,,USD</t>
  </si>
  <si>
    <t>ETR.N,mscalc:sedolCodeCalc</t>
  </si>
  <si>
    <t>78.5</t>
  </si>
  <si>
    <t>Morgan Stanley Price Deck</t>
  </si>
  <si>
    <t>Fuel Prices</t>
  </si>
  <si>
    <t>AEP Dayton</t>
  </si>
  <si>
    <t>$ / mmbtu (Basis Differential to Henry Hub)</t>
  </si>
  <si>
    <t>NY Zone A / Tetco M3</t>
  </si>
  <si>
    <t>PJM West / Tetco M3</t>
  </si>
  <si>
    <t>CAPP Coal (Delivery Cost $/t)</t>
  </si>
  <si>
    <t>PRB Coal (Delivery Cost $/t)</t>
  </si>
  <si>
    <t xml:space="preserve">Capital lease obligations </t>
  </si>
  <si>
    <t>2.500% Clean Horizons due June 7, 2030</t>
  </si>
  <si>
    <t>2.330% - 3.092% DOE Project Financing due January 5, 2037</t>
  </si>
  <si>
    <t>3.092% DOE Project Financing due January 5, 2037</t>
  </si>
  <si>
    <t>Consolidated Financials</t>
  </si>
  <si>
    <t>Regulatory Assets</t>
  </si>
  <si>
    <t>,mscalc:targetPrice,,,,USD</t>
  </si>
  <si>
    <t>,mscalc:closePriceCurrencyCalc</t>
  </si>
  <si>
    <t>,mscalc:sedolCodeCalc</t>
  </si>
  <si>
    <t>PEG.N,mscalc:targetPrice</t>
  </si>
  <si>
    <t>EBIT</t>
  </si>
  <si>
    <t>CWIP</t>
  </si>
  <si>
    <t>O&amp;M</t>
  </si>
  <si>
    <t>Tax Rate</t>
  </si>
  <si>
    <t>NI Hub</t>
  </si>
  <si>
    <t>ERCOT North</t>
  </si>
  <si>
    <t>Palo Verde</t>
  </si>
  <si>
    <t>SP 15</t>
  </si>
  <si>
    <t>NP 15</t>
  </si>
  <si>
    <t>Mid C</t>
  </si>
  <si>
    <t>Balance Check</t>
  </si>
  <si>
    <t>Consolidated EPS</t>
  </si>
  <si>
    <t>Dividend Yield</t>
  </si>
  <si>
    <t>Dividend Growth Rate</t>
  </si>
  <si>
    <t>Consolidated EBITDA</t>
  </si>
  <si>
    <t>Current Shares Outstanding</t>
  </si>
  <si>
    <t>Equity Market Capitalization</t>
  </si>
  <si>
    <t>Enterprise Value</t>
  </si>
  <si>
    <t>Cash</t>
  </si>
  <si>
    <t>Total Capitalization</t>
  </si>
  <si>
    <t>Price to Earnings</t>
  </si>
  <si>
    <t>EV / EBITDA</t>
  </si>
  <si>
    <t>Return on Average Equity</t>
  </si>
  <si>
    <t>1Q16</t>
  </si>
  <si>
    <t>2Q16</t>
  </si>
  <si>
    <t>3Q16</t>
  </si>
  <si>
    <t>4Q16</t>
  </si>
  <si>
    <t>Model</t>
  </si>
  <si>
    <t>Debt Profile</t>
  </si>
  <si>
    <t>Period Ended</t>
  </si>
  <si>
    <t>Cinergy On Peak</t>
  </si>
  <si>
    <t>Cinergy Off Peak</t>
  </si>
  <si>
    <t>Cinergy ATC Price</t>
  </si>
  <si>
    <t>PJM PRB Delivery Price ($/ton)</t>
  </si>
  <si>
    <t>ICAP</t>
  </si>
  <si>
    <t>UCAP</t>
  </si>
  <si>
    <t>NEPOOL - NEMA/Boston</t>
  </si>
  <si>
    <t>MAAC/EMAAC/SWMAAC</t>
  </si>
  <si>
    <t>Other Regions</t>
  </si>
  <si>
    <t>PJM Only</t>
  </si>
  <si>
    <t>Guidance</t>
  </si>
  <si>
    <t>POM Energy Services</t>
  </si>
  <si>
    <t>MAAC ($/mw-day)</t>
  </si>
  <si>
    <t>Marginal Plant Carbon Intensity (Tons/MWh)</t>
  </si>
  <si>
    <t>Modeled Equity Ratio (ex securitization)</t>
  </si>
  <si>
    <t>Power Price Impact ($/mwh)</t>
  </si>
  <si>
    <t>ExGen EBITDA</t>
  </si>
  <si>
    <t>EXGEN EV / EBITDA VALUATION</t>
  </si>
  <si>
    <t>Chicago Gas Basis ($/mmBtu)</t>
  </si>
  <si>
    <t>Chicago Basis</t>
  </si>
  <si>
    <t>Mty/Issue</t>
  </si>
  <si>
    <t>Rate</t>
  </si>
  <si>
    <t>Month</t>
  </si>
  <si>
    <t>Principal</t>
  </si>
  <si>
    <t>Maturities</t>
  </si>
  <si>
    <t>New Issues</t>
  </si>
  <si>
    <t>Net Annual Change</t>
  </si>
  <si>
    <t>Debt Maturities/Retirements</t>
  </si>
  <si>
    <t>Appalachian Basis</t>
  </si>
  <si>
    <t>MS Target Basis - PJM/AD</t>
  </si>
  <si>
    <t>Market Basis - PJM</t>
  </si>
  <si>
    <t>Market Basis - AD</t>
  </si>
  <si>
    <t>Differential (PJM)</t>
  </si>
  <si>
    <t>Differential (AD)</t>
  </si>
  <si>
    <t>Target</t>
  </si>
  <si>
    <t>Delta</t>
  </si>
  <si>
    <t>HR Adjusted Gas</t>
  </si>
  <si>
    <t>Net Issuances (Maturities) and Interest Change</t>
  </si>
  <si>
    <t>Retirement of LT Debt</t>
  </si>
  <si>
    <t>Other Modelware Items</t>
  </si>
  <si>
    <t>Unrecorded Goodwill from poolings,etc.</t>
  </si>
  <si>
    <t>Statutory Tax Rate</t>
  </si>
  <si>
    <t>Gross PP&amp;E In Service</t>
  </si>
  <si>
    <t>Retained Earnings</t>
  </si>
  <si>
    <t>USD</t>
  </si>
  <si>
    <t>Year</t>
  </si>
  <si>
    <t>AGT</t>
  </si>
  <si>
    <t>GEN.N,mscalc:targetPrice,,,,USD</t>
  </si>
  <si>
    <t>GEN.N,mscalc:sedolCodeCalc</t>
  </si>
  <si>
    <t>GEN.N,mscalc:closePriceCurrencyCalc</t>
  </si>
  <si>
    <t>Common Dividends, Total</t>
  </si>
  <si>
    <t>Ticker:</t>
  </si>
  <si>
    <t>Price Target</t>
  </si>
  <si>
    <t>Current Stock Price</t>
  </si>
  <si>
    <t>UFCF</t>
  </si>
  <si>
    <t>Interest</t>
  </si>
  <si>
    <t>Mass Hub</t>
  </si>
  <si>
    <t>Net Issuance</t>
  </si>
  <si>
    <t>Cash Taxes</t>
  </si>
  <si>
    <t>Tax Basis as a Multiple of EBITDA</t>
  </si>
  <si>
    <t>Implied Market Aggregate Value/EBITDA</t>
  </si>
  <si>
    <t>Annual Tax D&amp;A as a % of EBITDA</t>
  </si>
  <si>
    <t>Terminal Value</t>
  </si>
  <si>
    <t>On-Peak Regional Power Prices ($/MWh)</t>
  </si>
  <si>
    <t>Off-Peak Regional Power Prices ($/MWh)</t>
  </si>
  <si>
    <t>Coal Delivery Costs</t>
  </si>
  <si>
    <t>On-Peak Regional Heat Rates (btu/kWh)</t>
  </si>
  <si>
    <t>Off-Peak Regional Heat Rates (btu/kWh)</t>
  </si>
  <si>
    <t>Emissions Prices ($/ton)</t>
  </si>
  <si>
    <t>Maintenance Capex as a % of EBITDA</t>
  </si>
  <si>
    <t>Discounted Value of Cash Flows</t>
  </si>
  <si>
    <t>Profit Before Taxes</t>
  </si>
  <si>
    <t>Example EBITDA Level</t>
  </si>
  <si>
    <t>Cash Taxes Paid</t>
  </si>
  <si>
    <t>Free Cash Flow Available to Equity</t>
  </si>
  <si>
    <t>Terminal EBITDA Multiple Calculation</t>
  </si>
  <si>
    <t>Term. Year Tax Basis as Multiple of EBITDA</t>
  </si>
  <si>
    <t>Inflation Rate</t>
  </si>
  <si>
    <t>Terminal Year Debt/EBITDA</t>
  </si>
  <si>
    <t>Resulting Term. Value EBITDA Multiple</t>
  </si>
  <si>
    <t>Discounted</t>
  </si>
  <si>
    <t>MACRS</t>
  </si>
  <si>
    <t>D&amp;A</t>
  </si>
  <si>
    <t xml:space="preserve">Year 1 </t>
  </si>
  <si>
    <t>Valuation Summary</t>
  </si>
  <si>
    <t>BULL-BEAR CASE VALUATION</t>
  </si>
  <si>
    <t>BEAR</t>
  </si>
  <si>
    <t>BASE</t>
  </si>
  <si>
    <t>BULL</t>
  </si>
  <si>
    <t>Group Average P/E</t>
  </si>
  <si>
    <t>Price Return Potential</t>
  </si>
  <si>
    <t>Total Return Potential</t>
  </si>
  <si>
    <t>Assumed Allowed Equity Ratio</t>
  </si>
  <si>
    <t>Rating:</t>
  </si>
  <si>
    <t>Price Target:</t>
  </si>
  <si>
    <t>Date:</t>
  </si>
  <si>
    <t>Stephen Byrd</t>
  </si>
  <si>
    <t>(212) 761-3865</t>
  </si>
  <si>
    <t>stephen.byrd@morganstanley.com</t>
  </si>
  <si>
    <t>Base Case EPS</t>
  </si>
  <si>
    <t>% Hedged</t>
  </si>
  <si>
    <t>Assumed Earned ROE</t>
  </si>
  <si>
    <t>Nuclear</t>
  </si>
  <si>
    <t>Other Non-Recurring Items</t>
  </si>
  <si>
    <t>Base O&amp;M</t>
  </si>
  <si>
    <t>Growth (YoY)</t>
  </si>
  <si>
    <t>Preferred Stock</t>
  </si>
  <si>
    <t xml:space="preserve">      % of Total</t>
  </si>
  <si>
    <t>CREDIT STATS</t>
  </si>
  <si>
    <t>Net Debt / LTM EBITDA</t>
  </si>
  <si>
    <t>LT Debt  / Total Capitaliztion</t>
  </si>
  <si>
    <t>1Q2012A</t>
  </si>
  <si>
    <t>WACC for Genco</t>
  </si>
  <si>
    <t>EXC</t>
  </si>
  <si>
    <t>2011A</t>
  </si>
  <si>
    <t>AFUDC - Equity</t>
  </si>
  <si>
    <t>Allowed ROE</t>
  </si>
  <si>
    <t>Earned ROE (excludes AFUDC)</t>
  </si>
  <si>
    <t>Change in Margins (YoY)</t>
  </si>
  <si>
    <t>Nuclear Fuel, Net</t>
  </si>
  <si>
    <t>AFUDC DEBT AND EQUITY</t>
  </si>
  <si>
    <t>AFUDC - Equity as % of CWIP</t>
  </si>
  <si>
    <t>YTD CF Data (to calculate quarterly)</t>
  </si>
  <si>
    <t>FY2009A</t>
  </si>
  <si>
    <t>FY2010A</t>
  </si>
  <si>
    <t>FY2011A</t>
  </si>
  <si>
    <t>Nuclear Fuel Amortization</t>
  </si>
  <si>
    <t>AFUDC</t>
  </si>
  <si>
    <t>Nuclear Uprates</t>
  </si>
  <si>
    <t>Baltimore Gas and Electric Company</t>
  </si>
  <si>
    <t>PECO Energy Company</t>
  </si>
  <si>
    <t>Commonwealth Edison Company</t>
  </si>
  <si>
    <t>Exelon Generation Company</t>
  </si>
  <si>
    <t>EXC.N</t>
  </si>
  <si>
    <t>Exelon Corp</t>
  </si>
  <si>
    <t>New York</t>
  </si>
  <si>
    <t>ERCOT</t>
  </si>
  <si>
    <t>Gas Rate Change</t>
  </si>
  <si>
    <t>Gas Rate Change (YoY)</t>
  </si>
  <si>
    <t>Gas Retail Sales Growth (YoY)</t>
  </si>
  <si>
    <t>Purchased Power Cost</t>
  </si>
  <si>
    <t>Fuel Cost</t>
  </si>
  <si>
    <t>Avg Purchased Power Rate ($/mwh)</t>
  </si>
  <si>
    <t>Avg Fuel ($/Mcf)</t>
  </si>
  <si>
    <t>Average Total Rate ($/Mcf)</t>
  </si>
  <si>
    <t>Purchased Power Rate ($/mwh)</t>
  </si>
  <si>
    <t>Average Total Rate ($/mcf)</t>
  </si>
  <si>
    <t>Avg Fuel Rate ($/mcf)</t>
  </si>
  <si>
    <t>Gas Delivery</t>
  </si>
  <si>
    <t>Electric Transmission</t>
  </si>
  <si>
    <t>Smart Meter/Smart Grid</t>
  </si>
  <si>
    <t>Electric Distribution</t>
  </si>
  <si>
    <t>Smart Meter/ Smart Grid</t>
  </si>
  <si>
    <t>Exelon Corporation (Consolidated)</t>
  </si>
  <si>
    <t>Exelon Corporation Parent</t>
  </si>
  <si>
    <t>5.350% First and refunding mortgage bonds, due 03/01/18</t>
  </si>
  <si>
    <t>5.900% First and refunding mortgage bonds, due 05/01/34</t>
  </si>
  <si>
    <t>5.950% First and refunding mortgage bonds, due 10/01/36</t>
  </si>
  <si>
    <t>5.700% First and refunding mortgage bonds, due 03/15/37</t>
  </si>
  <si>
    <t>7.380% Series D trust preferred securities, due 04/06/28</t>
  </si>
  <si>
    <t>5.750% Trust preferred securities, due 06/15/33</t>
  </si>
  <si>
    <t>Guidance: ExGen capex</t>
  </si>
  <si>
    <t>Guidance: Utilities capex</t>
  </si>
  <si>
    <t>Guidance: Total capex</t>
  </si>
  <si>
    <t>MS: Utilities capex</t>
  </si>
  <si>
    <t>MS: ExGen capex</t>
  </si>
  <si>
    <t>MS: Total capex</t>
  </si>
  <si>
    <t>Total Diff: MS minus Guidance</t>
  </si>
  <si>
    <t>2Q2013A</t>
  </si>
  <si>
    <t>1Q2013A</t>
  </si>
  <si>
    <t>2.21% Upstream Gas Lending Agreement - ExGen, Due July 22, 2016</t>
  </si>
  <si>
    <t>Others</t>
  </si>
  <si>
    <t>Accounts payable &amp; Accrued liabilities</t>
  </si>
  <si>
    <t>Deferred income tax liabilities, net</t>
  </si>
  <si>
    <t>2.72%-2.81%DOE Project Financing - ExGen, Due Jan 05, 2037</t>
  </si>
  <si>
    <t>3.350% Senior notes, due July 1, 2023</t>
  </si>
  <si>
    <t>EXGEN VALUATION</t>
  </si>
  <si>
    <t>6.350% Trust preferred securities, due 03/15/33</t>
  </si>
  <si>
    <t>3.500% Senior unsecured notes, due Nov 15, 2021</t>
  </si>
  <si>
    <t>Forecasted Debt (includes Parent)</t>
  </si>
  <si>
    <t>$mil</t>
  </si>
  <si>
    <t>Utilities ($mil)</t>
  </si>
  <si>
    <t>ExGen / Parent ($mil)</t>
  </si>
  <si>
    <t>RTO $/MW-day Long-Term</t>
  </si>
  <si>
    <t>EMAAC $/MW-day Long-Term</t>
  </si>
  <si>
    <t>Gas Price Long-Term ($/MMBtu)</t>
  </si>
  <si>
    <t>($mil)</t>
  </si>
  <si>
    <t>Natural Gas Price ($MMBtu)</t>
  </si>
  <si>
    <t>Dividend Per Share Currently</t>
  </si>
  <si>
    <t>$mil, unless stated otherwise</t>
  </si>
  <si>
    <t>5.200% Senior unsecured notes, due 06/15/33</t>
  </si>
  <si>
    <t>6.350% Series B senior unsecured notes, due 10/01/36</t>
  </si>
  <si>
    <t>6.200% Trust preferred securities, due 10/15/43</t>
  </si>
  <si>
    <t>Regulatory Asset Amortization</t>
  </si>
  <si>
    <t>AFUDC DEBT EQUITY</t>
  </si>
  <si>
    <t>Number of Electric Customers (thousands)</t>
  </si>
  <si>
    <t>Number of Gas Customers (thousands)</t>
  </si>
  <si>
    <t>Electric Rate Change - Trackers (Smart Meter/Grid)</t>
  </si>
  <si>
    <t>O&amp;M Growth (YoY) - assumed cost mgmt</t>
  </si>
  <si>
    <t>Electric Rate Change</t>
  </si>
  <si>
    <t>Rate Stabilization Bonds (included above)</t>
  </si>
  <si>
    <t>LT Debt  / Total Capitalization</t>
  </si>
  <si>
    <t>Purchased Power Costs</t>
  </si>
  <si>
    <t xml:space="preserve">      % of Total (adjusted for rate stabilization bonds)</t>
  </si>
  <si>
    <t>Purchased Natural Gas</t>
  </si>
  <si>
    <t>2017-FY</t>
  </si>
  <si>
    <t>Regulatory and Other Items</t>
  </si>
  <si>
    <t>Noncontrolling Interests and Preference Dividends</t>
  </si>
  <si>
    <t>Guidance Rate Base - Year End</t>
  </si>
  <si>
    <t>Electric Rate Change - DSIC / Rate Case</t>
  </si>
  <si>
    <t>Gas Rate Change - DSIC / Rate Case</t>
  </si>
  <si>
    <t>Small Commercial &amp; Industrial</t>
  </si>
  <si>
    <t>Large Commercial &amp; Industrial</t>
  </si>
  <si>
    <t>Public Authorities &amp; Electric Railroads</t>
  </si>
  <si>
    <t>Mass Hub / Transco Z6</t>
  </si>
  <si>
    <t>PJM East / Tetco M3</t>
  </si>
  <si>
    <t>Retail Sales</t>
  </si>
  <si>
    <t>Potomac Electric Power Company</t>
  </si>
  <si>
    <t>Fuel and Purchased Power</t>
  </si>
  <si>
    <t>Depreciation &amp; Amortization</t>
  </si>
  <si>
    <t>Adjustments/Non-Recurring Items</t>
  </si>
  <si>
    <t>Electric Retail Sales Growth (YoY) - decoupled</t>
  </si>
  <si>
    <t>Electric Rate Change - Maryland</t>
  </si>
  <si>
    <t>Electric Rate Change - DC</t>
  </si>
  <si>
    <t>Electric Rate Change - DC Undergrounding</t>
  </si>
  <si>
    <t>Transmission Rate Change (Net of D&amp;A)</t>
  </si>
  <si>
    <t>Earned ROE</t>
  </si>
  <si>
    <t>Total Electric Sales</t>
  </si>
  <si>
    <t>Retail Sales Growth (YoY)</t>
  </si>
  <si>
    <t>Electric Margins ($/mwh)</t>
  </si>
  <si>
    <t>O&amp;M AND TAXES OTHER THAN INCOME</t>
  </si>
  <si>
    <t>Transmission</t>
  </si>
  <si>
    <t>Non-operating and other property</t>
  </si>
  <si>
    <t>PP&amp;E</t>
  </si>
  <si>
    <t>Total D&amp;A</t>
  </si>
  <si>
    <t>Other Amortization</t>
  </si>
  <si>
    <t>Net D&amp;A</t>
  </si>
  <si>
    <t>Interest on Short Term Debt</t>
  </si>
  <si>
    <t>Implied Preferred Interest Rate</t>
  </si>
  <si>
    <t>Preferred Dividend</t>
  </si>
  <si>
    <t>Long-Term Debt (w/ current maturities &amp; leases)</t>
  </si>
  <si>
    <t>Allowed Equity Ratio</t>
  </si>
  <si>
    <t>Modeled ROE</t>
  </si>
  <si>
    <t>Delmarva Power &amp; Light</t>
  </si>
  <si>
    <t>Electric</t>
  </si>
  <si>
    <t>Natural Gas</t>
  </si>
  <si>
    <t>Gas Purchased</t>
  </si>
  <si>
    <t>Total Gas and Fuel / Purchased Power</t>
  </si>
  <si>
    <t>Electric Retail Sales Growth</t>
  </si>
  <si>
    <t>Electric Rate Change - Delaware</t>
  </si>
  <si>
    <t>Fuel/Purchased Power and Deferred Costs</t>
  </si>
  <si>
    <t>Gas Sales (thousand dth)</t>
  </si>
  <si>
    <t xml:space="preserve">Residential     </t>
  </si>
  <si>
    <t>Commercial and Industrial</t>
  </si>
  <si>
    <t>Retail Sales Growth</t>
  </si>
  <si>
    <t>Average Total Gas Rate ($/MMcf)</t>
  </si>
  <si>
    <t>Purchased Gas Costs</t>
  </si>
  <si>
    <t>Average Purchased Gas Rate ($/MMcf)</t>
  </si>
  <si>
    <t>Atlantic City Electric</t>
  </si>
  <si>
    <t>Transition Bond Revenues - no EPS impact</t>
  </si>
  <si>
    <t>Transition Bond Funding Related</t>
  </si>
  <si>
    <t>Transition Bonds</t>
  </si>
  <si>
    <t>Transition Bonds Interest</t>
  </si>
  <si>
    <t xml:space="preserve">      % of Total (adjusted for securtization debt)</t>
  </si>
  <si>
    <t>Authorized/Assumed Equity Ratio</t>
  </si>
  <si>
    <r>
      <t xml:space="preserve">T&amp;D - </t>
    </r>
    <r>
      <rPr>
        <i/>
        <sz val="10"/>
        <rFont val="Arial"/>
        <family val="2"/>
      </rPr>
      <t>Regulated T&amp;D</t>
    </r>
  </si>
  <si>
    <t>Pepco Holdings (Parent Only)</t>
  </si>
  <si>
    <t>Notes (unsecured):</t>
  </si>
  <si>
    <t>Assumed Issuance 2018</t>
  </si>
  <si>
    <t>PEPCO</t>
  </si>
  <si>
    <t>Debentures:</t>
  </si>
  <si>
    <t>4.15% First mortgage bonds due March 15, 2043</t>
  </si>
  <si>
    <t>4.95% First mortgage bonds due November 15, 2043</t>
  </si>
  <si>
    <t>3.60% first mortgage bonds due March 15, 2024</t>
  </si>
  <si>
    <t>ACE</t>
  </si>
  <si>
    <t>Transition Bonds Issued by ACE Funding:</t>
  </si>
  <si>
    <t>DP&amp;L</t>
  </si>
  <si>
    <t>Medium-Term Notes (unsecured):</t>
  </si>
  <si>
    <t>7.56% - 7.58%</t>
  </si>
  <si>
    <t>Tax-Exempt Debt:</t>
  </si>
  <si>
    <t>Transportation and Other</t>
  </si>
  <si>
    <t>Common Equity (adjusted for goodwill)</t>
  </si>
  <si>
    <t>West SP15</t>
  </si>
  <si>
    <t>NY Zone A ATC Price</t>
  </si>
  <si>
    <t>ERCOT North ATC Price</t>
  </si>
  <si>
    <t>RTO</t>
  </si>
  <si>
    <t>SWMAAC</t>
  </si>
  <si>
    <t>MAAC</t>
  </si>
  <si>
    <t>Generation (GWH) - Region</t>
  </si>
  <si>
    <t>Wind</t>
  </si>
  <si>
    <t>Capacity (MW) - Fuel/Technology</t>
  </si>
  <si>
    <t>Expected Generation Hedged (%)</t>
  </si>
  <si>
    <t xml:space="preserve">Revenues </t>
  </si>
  <si>
    <t>Revenues</t>
  </si>
  <si>
    <t>Gas CCs - NEPOOL</t>
  </si>
  <si>
    <t>Gas CCs - Texas</t>
  </si>
  <si>
    <t>Gas CCs - Other (Alabama)</t>
  </si>
  <si>
    <t>MW On-Line</t>
  </si>
  <si>
    <t>CAPACITY MARGIN CALCULATION - AT MARKET</t>
  </si>
  <si>
    <t>1Q17</t>
  </si>
  <si>
    <t>2Q17</t>
  </si>
  <si>
    <t>3Q17</t>
  </si>
  <si>
    <t>4Q17</t>
  </si>
  <si>
    <t>Upstream Gas</t>
  </si>
  <si>
    <t>Solar</t>
  </si>
  <si>
    <t>MD Commitments</t>
  </si>
  <si>
    <t>Base Capex</t>
  </si>
  <si>
    <t>Gas Basis ($/mmcf)</t>
  </si>
  <si>
    <t>Mass Hub On Peak</t>
  </si>
  <si>
    <t>Mass Hub Off Peak</t>
  </si>
  <si>
    <t>NY Zone A On Peak</t>
  </si>
  <si>
    <t>NY Zone A Off Peak</t>
  </si>
  <si>
    <t>PJM West On Peak</t>
  </si>
  <si>
    <t>PJM West Off Peak</t>
  </si>
  <si>
    <t>PJM East On Peak</t>
  </si>
  <si>
    <t>PJM East Off Peak</t>
  </si>
  <si>
    <t>ERCOT North On Peak</t>
  </si>
  <si>
    <t>ERCOT North Off Peak</t>
  </si>
  <si>
    <t>NUCLEAR ENERGY MARGIN CALCULATION - AT MARKET</t>
  </si>
  <si>
    <t>Nuclear - PJM East (PA and NJ)</t>
  </si>
  <si>
    <t>COAL ENERGY MARGIN CALCULATION - AT MARKET</t>
  </si>
  <si>
    <t>5.750% Senior unsecured notes, due Oct 1, 2041</t>
  </si>
  <si>
    <t>FY2012A</t>
  </si>
  <si>
    <t>HYDRO ENERGY MARGIN CALCULATION - AT MARKET</t>
  </si>
  <si>
    <t>Coal - PJM West</t>
  </si>
  <si>
    <t>Gas CTs- PJM East</t>
  </si>
  <si>
    <t>Gas CTs - Texas</t>
  </si>
  <si>
    <t>Gas CTs - West</t>
  </si>
  <si>
    <t>Assumed Price</t>
  </si>
  <si>
    <t>By Asset Type</t>
  </si>
  <si>
    <t>By Region</t>
  </si>
  <si>
    <t>Currency</t>
  </si>
  <si>
    <t>ComEd Rate Base</t>
  </si>
  <si>
    <t>PECO Rate Base</t>
  </si>
  <si>
    <t>Total Utiility Rate Base ($mil)</t>
  </si>
  <si>
    <t>NPV of Other Adjustments</t>
  </si>
  <si>
    <t>Oil - PJM East and New England</t>
  </si>
  <si>
    <t>Assumed Contract Price ($/mwh)</t>
  </si>
  <si>
    <t>Coal - Other</t>
  </si>
  <si>
    <t xml:space="preserve">RENEWABLES ENERGY MARGIN CALCULATION </t>
  </si>
  <si>
    <t>Biomass and Landfill Gas</t>
  </si>
  <si>
    <t>PV On Peak</t>
  </si>
  <si>
    <t>PV Off Peak</t>
  </si>
  <si>
    <t>PV ATC Price</t>
  </si>
  <si>
    <t>Renewables</t>
  </si>
  <si>
    <t>Nuclear (energy only)</t>
  </si>
  <si>
    <t>Renewables (energy only)</t>
  </si>
  <si>
    <t>Nuclear Summary</t>
  </si>
  <si>
    <t>Capacity (MW)</t>
  </si>
  <si>
    <t>Capacity Factor (%)</t>
  </si>
  <si>
    <t>Coal Summary</t>
  </si>
  <si>
    <t>Hydro Summary</t>
  </si>
  <si>
    <t>Renewables Summary</t>
  </si>
  <si>
    <t>Coal (energy only)</t>
  </si>
  <si>
    <t>Gas and Oil (energy only)</t>
  </si>
  <si>
    <t>Hydro (energy only)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</si>
  <si>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</si>
  <si>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</si>
  <si>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</si>
  <si>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</si>
  <si>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</si>
  <si>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</si>
  <si>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</si>
  <si>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</si>
  <si>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</si>
  <si>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</si>
  <si>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</si>
  <si>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</si>
  <si>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</si>
  <si>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</si>
  <si>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</si>
  <si>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</si>
  <si>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</si>
  <si>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</si>
  <si>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</si>
  <si>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</si>
  <si>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</si>
  <si>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</si>
  <si>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</si>
  <si>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</si>
  <si>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</si>
  <si>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</si>
  <si>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</si>
  <si>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</si>
  <si>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</si>
  <si>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</si>
  <si>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</si>
  <si>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</si>
  <si>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</si>
  <si>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</si>
  <si>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</si>
  <si>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</si>
  <si>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</si>
  <si>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</si>
  <si>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</si>
  <si>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</si>
  <si>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</si>
  <si>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</si>
  <si>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</si>
  <si>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</si>
  <si>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</si>
  <si>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*Estimated</t>
  </si>
  <si>
    <t>Regular Update</t>
  </si>
  <si>
    <t>NorthAmerica</t>
  </si>
  <si>
    <t>30161N101</t>
  </si>
  <si>
    <t>[BRO MSA]</t>
  </si>
  <si>
    <t>[PRODUCT MODEL]</t>
  </si>
  <si>
    <t>[EMAIL_ALERT YES]</t>
  </si>
  <si>
    <t>[DISCIPLINE Company]</t>
  </si>
  <si>
    <t>[SUPPRESSED NO]</t>
  </si>
  <si>
    <t>[PSYM EXC.N(S&amp;P) (None)]</t>
  </si>
  <si>
    <t>[COU 1]</t>
  </si>
  <si>
    <t>[HL EXC.N Model]</t>
  </si>
  <si>
    <t>[IND ELECCO]</t>
  </si>
  <si>
    <t>3Q2013A</t>
  </si>
  <si>
    <t>4Q2013A</t>
  </si>
  <si>
    <t>2013A</t>
  </si>
  <si>
    <t>FY2013A</t>
  </si>
  <si>
    <t>4.8% First and refunding mortgage bonds, due 10/15/43</t>
  </si>
  <si>
    <t>4.600% Series 114 FMBs, due 08/15/43</t>
  </si>
  <si>
    <t>Capital Lease</t>
  </si>
  <si>
    <t>1Q2018E</t>
  </si>
  <si>
    <t>2Q2018E</t>
  </si>
  <si>
    <t>3Q2018E</t>
  </si>
  <si>
    <t>4Q2018E</t>
  </si>
  <si>
    <t>1Q18</t>
  </si>
  <si>
    <t>2Q18</t>
  </si>
  <si>
    <t>3Q18</t>
  </si>
  <si>
    <t>4Q18</t>
  </si>
  <si>
    <t>Assumed 2018</t>
  </si>
  <si>
    <t>2018E</t>
  </si>
  <si>
    <t>Market Adjustment</t>
  </si>
  <si>
    <t>TEXAS</t>
  </si>
  <si>
    <t>Market HR</t>
  </si>
  <si>
    <t>MIDWEST</t>
  </si>
  <si>
    <t>Target Peak HR</t>
  </si>
  <si>
    <t>Market Peak HR</t>
  </si>
  <si>
    <t>Differential in Peak HR</t>
  </si>
  <si>
    <t>NY LHV</t>
  </si>
  <si>
    <t>Utilities / Parent EPS</t>
  </si>
  <si>
    <t>Utilities / Parent Valuation</t>
  </si>
  <si>
    <t>ExGen Valuation</t>
  </si>
  <si>
    <t>Implied Utility / Parent EPS</t>
  </si>
  <si>
    <t>Utility / Parent Debt</t>
  </si>
  <si>
    <t>ExGen Debt</t>
  </si>
  <si>
    <t>Count</t>
  </si>
  <si>
    <t>Cooling/heating degree days above normal</t>
  </si>
  <si>
    <t>Sales growth due to weather</t>
  </si>
  <si>
    <t>Consolidated EPS Impact, calculated</t>
  </si>
  <si>
    <t>PJM Gas Basis ($/mmbtu)</t>
  </si>
  <si>
    <t>Cash and cash equivalents</t>
  </si>
  <si>
    <t>Deferred income tax assets, net</t>
  </si>
  <si>
    <t>Prepaid expenses and other</t>
  </si>
  <si>
    <t>Balance Sheet</t>
  </si>
  <si>
    <t>Goodwill</t>
  </si>
  <si>
    <t>Net Property, Plant and Equipment</t>
  </si>
  <si>
    <t xml:space="preserve">TOTAL ASSETS </t>
  </si>
  <si>
    <t>Short-term debt</t>
  </si>
  <si>
    <t>Current portion of long-term debt</t>
  </si>
  <si>
    <t>Long-term debt</t>
  </si>
  <si>
    <t>Premium on stock and other capital contributions</t>
  </si>
  <si>
    <t>Retained earnings</t>
  </si>
  <si>
    <t>Total Equity</t>
  </si>
  <si>
    <t xml:space="preserve">Accounts receivable, less allowance for uncollectible accounts </t>
  </si>
  <si>
    <t>Balance</t>
  </si>
  <si>
    <t>Total Liabilities &amp; Equities</t>
  </si>
  <si>
    <t>TOTAL ASSETS</t>
  </si>
  <si>
    <t>Current portion of long-term debt and project funding</t>
  </si>
  <si>
    <t>Capital lease obligations</t>
  </si>
  <si>
    <t>Common stock</t>
  </si>
  <si>
    <t>Accounts receivable, less allowance for uncollectible accounts</t>
  </si>
  <si>
    <t>Transition Bonds issued by ACE Funding</t>
  </si>
  <si>
    <t>ISO-NE NEMA/Boston ($/mw-day)</t>
  </si>
  <si>
    <t>New England NEMA/Boston</t>
  </si>
  <si>
    <t>2.150% Mortgage Bonds Series 115, due January 2019</t>
  </si>
  <si>
    <t>ExGen Renewables I Project Financing, due February 2021</t>
  </si>
  <si>
    <t>Taxes Paid</t>
  </si>
  <si>
    <t>3.800% Series 113 FMBs, due Oct 1, 2042</t>
  </si>
  <si>
    <t>6.150% Series 106 FMBs, due 09/15/17</t>
  </si>
  <si>
    <t>5.800% Series 108 FMBs, due 03/15/18</t>
  </si>
  <si>
    <t>4.000% Series 109 FMBs, due 08/01/20</t>
  </si>
  <si>
    <t>3.400% Series 112 FMBs, due 09/01/21</t>
  </si>
  <si>
    <t>5.875% Series 100 FMBs, due 02/01/33</t>
  </si>
  <si>
    <t>5.900% Series 103 FMBs, due 03/15/36</t>
  </si>
  <si>
    <t>6.450% Series 107 FMBs, due 01/15/38</t>
  </si>
  <si>
    <t>PJM NAPP Coal Prices - FOB ($/ton)</t>
  </si>
  <si>
    <t>PJM NAPP Delivery Price ($/ton)</t>
  </si>
  <si>
    <t>PJM Delivered NAPP Coal Prices ($/ton)</t>
  </si>
  <si>
    <t>West PRB Coal Prices - FOB ($/ton)</t>
  </si>
  <si>
    <t>Delivered PRB Coal Prices ($/ton)</t>
  </si>
  <si>
    <t>Hydro - Traditional (PJM West)</t>
  </si>
  <si>
    <t>Growth (%)</t>
  </si>
  <si>
    <t>[PANA MSA54148]</t>
  </si>
  <si>
    <t>2.800% Senior unsecured notes, due Aug 15, 2022</t>
  </si>
  <si>
    <t>2.375% First and refunding mortgage bonds, due Sept 15, 2022</t>
  </si>
  <si>
    <t>Gas &amp; Oil Summary</t>
  </si>
  <si>
    <t>Capacity Revenues (PJM and Northeast)</t>
  </si>
  <si>
    <t>MARGIN SUMMARY</t>
  </si>
  <si>
    <t>Retail (Executed &amp; To Go)</t>
  </si>
  <si>
    <t>GAS &amp; OIL ENERGY MARGIN CALCULATION - AT MARKET</t>
  </si>
  <si>
    <t>Mid-Atlantic</t>
  </si>
  <si>
    <t>Midwest</t>
  </si>
  <si>
    <t>Hedged Price ($/mwh)</t>
  </si>
  <si>
    <t>Market Price ($mwh)</t>
  </si>
  <si>
    <t>ERCOT (spark spread)</t>
  </si>
  <si>
    <t>New England (spark spread)</t>
  </si>
  <si>
    <t>Mid-Atlantic (ATC) - PJM West</t>
  </si>
  <si>
    <t>New York (ATC) - Zone A</t>
  </si>
  <si>
    <t>Gas CTs PJM West (NI Hub)</t>
  </si>
  <si>
    <t>Expected Generation (twh)</t>
  </si>
  <si>
    <t>Hydro - Pumped Storage (PJM East)</t>
  </si>
  <si>
    <t>Gas and Oil</t>
  </si>
  <si>
    <t>Generation (GWH) - Fuel</t>
  </si>
  <si>
    <t>Other (West, Southeast, etc.)</t>
  </si>
  <si>
    <t>Non-Power Margins</t>
  </si>
  <si>
    <t>Executed</t>
  </si>
  <si>
    <t>New Business / To Go</t>
  </si>
  <si>
    <t>Power Margins</t>
  </si>
  <si>
    <t>Total Volumes</t>
  </si>
  <si>
    <t>RETAIL MARGIN CALCULATION</t>
  </si>
  <si>
    <t>Purchased Power and Fuel</t>
  </si>
  <si>
    <t>CENG Add-Back - to adjust for equity method acct</t>
  </si>
  <si>
    <t>CENG D&amp;A - included in income statement above</t>
  </si>
  <si>
    <t>Equity in Loss of Unconsolidated Affiliates</t>
  </si>
  <si>
    <t>Wind PTCs</t>
  </si>
  <si>
    <t>PTC ($/mwh)</t>
  </si>
  <si>
    <t>5.15% notes due 2020</t>
  </si>
  <si>
    <t>7.60% Fixed−Rate notes due 2032</t>
  </si>
  <si>
    <t>Uprates</t>
  </si>
  <si>
    <t>Quad Cities</t>
  </si>
  <si>
    <t>Dresden</t>
  </si>
  <si>
    <t>Peach Bottom</t>
  </si>
  <si>
    <t>Limerick</t>
  </si>
  <si>
    <t>LaSalle</t>
  </si>
  <si>
    <t>Byron</t>
  </si>
  <si>
    <t>TMI</t>
  </si>
  <si>
    <t>PJM W/E</t>
  </si>
  <si>
    <t>West</t>
  </si>
  <si>
    <t>East</t>
  </si>
  <si>
    <t>CapEx, Net of Solar ITC</t>
  </si>
  <si>
    <r>
      <t xml:space="preserve">Gross Margin - </t>
    </r>
    <r>
      <rPr>
        <b/>
        <i/>
        <sz val="10"/>
        <rFont val="Arial"/>
        <family val="2"/>
      </rPr>
      <t>Consistent with Guidance</t>
    </r>
  </si>
  <si>
    <t>Purchased Power/Gas and Fuel</t>
  </si>
  <si>
    <t>PTCs - ExGen</t>
  </si>
  <si>
    <t>Tax Rate (adjusted for AFUDC-Equity / PTCs)</t>
  </si>
  <si>
    <t>Consolidated Payout Ratio</t>
  </si>
  <si>
    <t>Utility Payout Ratio</t>
  </si>
  <si>
    <t>Net Loss and D&amp;A (Parent)</t>
  </si>
  <si>
    <t>Generation, Net of Solar ITC</t>
  </si>
  <si>
    <t>UTILITY SUMMARY</t>
  </si>
  <si>
    <t>Utilities EPS</t>
  </si>
  <si>
    <t>ExGen EPS</t>
  </si>
  <si>
    <t>Parent EPS</t>
  </si>
  <si>
    <t>Implied EXC Valuation</t>
  </si>
  <si>
    <t>DIVERSIFIED P/E VALUATION</t>
  </si>
  <si>
    <t>Large Cap Group Average P/E</t>
  </si>
  <si>
    <t>EXC Implied Valuation</t>
  </si>
  <si>
    <t>Utilities Valuation</t>
  </si>
  <si>
    <t>ExGen/Parent</t>
  </si>
  <si>
    <t>BG&amp;E</t>
  </si>
  <si>
    <t>Total EXC 2013 EPS</t>
  </si>
  <si>
    <t>EPS Breakdown by Segment</t>
  </si>
  <si>
    <t>TERMINAL ASSUMPTIONS</t>
  </si>
  <si>
    <t>Natural Gas ($/mmbtu)</t>
  </si>
  <si>
    <t>Generation Margin</t>
  </si>
  <si>
    <t>Retail Margin</t>
  </si>
  <si>
    <t>Exelon Generation Company (includes legacy CEG debt)</t>
  </si>
  <si>
    <t>Tax-exempt variable rate notes, due April 1, 2024</t>
  </si>
  <si>
    <t>Gas CCs - Texas New Build</t>
  </si>
  <si>
    <t>New Build</t>
  </si>
  <si>
    <t>NI Hub On Peak (ex basis)</t>
  </si>
  <si>
    <t>NI Hub Off Peak (ex basis)</t>
  </si>
  <si>
    <t>NI Hub ATC Price (ex basis)</t>
  </si>
  <si>
    <t>NI Hub On Peak</t>
  </si>
  <si>
    <t>NI Hub Off Peak</t>
  </si>
  <si>
    <t>NI Hub Price</t>
  </si>
  <si>
    <t>Midwest (ATC) - NI Hub</t>
  </si>
  <si>
    <t>% Gas on Margin</t>
  </si>
  <si>
    <t>HR Assumption at $4 Gas</t>
  </si>
  <si>
    <t>Assumed Gas ($/mmBtu)</t>
  </si>
  <si>
    <t>Target Power Price Move ($/MWh)</t>
  </si>
  <si>
    <t>Modeled</t>
  </si>
  <si>
    <t>MS PJM Power/Gas Price View</t>
  </si>
  <si>
    <t>ERCOT Spark Spread Improvement</t>
  </si>
  <si>
    <t>IL Carbon Price ($/ton)</t>
  </si>
  <si>
    <t>Carbon Allowance Cost ($/Ton)</t>
  </si>
  <si>
    <t>TEG Retail</t>
  </si>
  <si>
    <t xml:space="preserve">Electric Retail Sales Growth (YoY) </t>
  </si>
  <si>
    <t>Pepco Rate Base</t>
  </si>
  <si>
    <t>DPL Rate Base</t>
  </si>
  <si>
    <t>ACE Rate Base</t>
  </si>
  <si>
    <t>Sacramento Solar Project Financing due December 31, 2030</t>
  </si>
  <si>
    <t>Denver International Airport Solar Loan due June 30, 2031</t>
  </si>
  <si>
    <t>Holyoke Solar, LLC Loan Agreement due December 31, 2031</t>
  </si>
  <si>
    <t>6.3% Senior Unsecured - ExGen, Due 2039</t>
  </si>
  <si>
    <t>4.3 Senior Unsecured - ExGen, Due 2022</t>
  </si>
  <si>
    <t>4.0% Senior Unsecured - ExGen, Due 2020</t>
  </si>
  <si>
    <t>6.2% Senior Unsecured - ExGen, Due 2017</t>
  </si>
  <si>
    <t>5.6% Senior Unsecured - ExGen, Due 2042</t>
  </si>
  <si>
    <t>Tax Rate (%)</t>
  </si>
  <si>
    <t>Reported Tax Rate (%) - includes PTCs</t>
  </si>
  <si>
    <t>Open GM</t>
  </si>
  <si>
    <t>MtM of Hedges</t>
  </si>
  <si>
    <t>EXC Guidance</t>
  </si>
  <si>
    <t>Non Power Executed</t>
  </si>
  <si>
    <t>Non Power To Go</t>
  </si>
  <si>
    <t>Power To Go</t>
  </si>
  <si>
    <t>MS Forecast</t>
  </si>
  <si>
    <t>Retail - All</t>
  </si>
  <si>
    <t>Difference</t>
  </si>
  <si>
    <t>PJM West Price</t>
  </si>
  <si>
    <t>EXC (ATC $/mwh)</t>
  </si>
  <si>
    <t>MS (ATC $/mwh)</t>
  </si>
  <si>
    <t>Difference (ATC $/mwh)</t>
  </si>
  <si>
    <t>MISO</t>
  </si>
  <si>
    <t>MS Volumes (gwh)</t>
  </si>
  <si>
    <t>ERCOT (ATC spark spread) - North</t>
  </si>
  <si>
    <t>New England (ATC spark spread) - Mass Hub</t>
  </si>
  <si>
    <t>EXC Open EPS (i.e. no hedges)</t>
  </si>
  <si>
    <t>% Generation Hedged</t>
  </si>
  <si>
    <t>Consensus</t>
  </si>
  <si>
    <t>Chart Data</t>
  </si>
  <si>
    <t>.</t>
  </si>
  <si>
    <t>Total Capex (ex nuclear fuel)</t>
  </si>
  <si>
    <t>Bonus Depreciation and Pension</t>
  </si>
  <si>
    <t>NAPP</t>
  </si>
  <si>
    <t>ILB</t>
  </si>
  <si>
    <t>Coal (Delivery Cost $/t)</t>
  </si>
  <si>
    <t>ATSI</t>
  </si>
  <si>
    <t>Current Net Debt (w/ parent)</t>
  </si>
  <si>
    <t>Solar (net of ITC)</t>
  </si>
  <si>
    <t>NPV of PTCs</t>
  </si>
  <si>
    <t>WIND PTC/ITC DETAIL</t>
  </si>
  <si>
    <t>Name</t>
  </si>
  <si>
    <t>MW</t>
  </si>
  <si>
    <t>PTCs</t>
  </si>
  <si>
    <t>Blue Breezes</t>
  </si>
  <si>
    <t>Faribault Co., MN</t>
  </si>
  <si>
    <t>Yes</t>
  </si>
  <si>
    <t>Cowell (Shane)</t>
  </si>
  <si>
    <t>Pipestone Co., MN</t>
  </si>
  <si>
    <t>Exelon Wind 1</t>
  </si>
  <si>
    <t>Hansford Co., TX</t>
  </si>
  <si>
    <t>Exelon Wind 2</t>
  </si>
  <si>
    <t>Exelon Wind 3</t>
  </si>
  <si>
    <t>Exelon Wind 5</t>
  </si>
  <si>
    <t>Sherman Co., TX</t>
  </si>
  <si>
    <t>Norgaard</t>
  </si>
  <si>
    <t>Lincoln Co., MN</t>
  </si>
  <si>
    <t>Wolf</t>
  </si>
  <si>
    <t>Nobles Co., MN</t>
  </si>
  <si>
    <t>AgriWind</t>
  </si>
  <si>
    <t>Bureau Co., IL</t>
  </si>
  <si>
    <t>Bluegrass Ridge</t>
  </si>
  <si>
    <t>Gentry Co., MO</t>
  </si>
  <si>
    <t>Exelon Wind 4</t>
  </si>
  <si>
    <t>Exelon Wind 6</t>
  </si>
  <si>
    <t>Brewster</t>
  </si>
  <si>
    <t>Parent Earnings Loss</t>
  </si>
  <si>
    <t>Jackson Co., MN</t>
  </si>
  <si>
    <t>Cisco</t>
  </si>
  <si>
    <t>Conception</t>
  </si>
  <si>
    <t>Nodaway Co., MO</t>
  </si>
  <si>
    <t>Cow Branch</t>
  </si>
  <si>
    <t>Atchinson Co., MO</t>
  </si>
  <si>
    <t>CP Windfarm</t>
  </si>
  <si>
    <t>Exelon Wind 7</t>
  </si>
  <si>
    <t>Moore Co., TX</t>
  </si>
  <si>
    <t>Exelon Wind 8</t>
  </si>
  <si>
    <t>Exelon Wind 9</t>
  </si>
  <si>
    <t>Exelon Wind 10</t>
  </si>
  <si>
    <t>Exelon Wind 11</t>
  </si>
  <si>
    <t>Ewington</t>
  </si>
  <si>
    <t>High Plains</t>
  </si>
  <si>
    <t>Loess Hills</t>
  </si>
  <si>
    <t>Atchinson Co., MO</t>
  </si>
  <si>
    <t>Marshall</t>
  </si>
  <si>
    <t>Lyon Co., MN</t>
  </si>
  <si>
    <t>Michigan Wind 1</t>
  </si>
  <si>
    <t>Bingham Twp., MI</t>
  </si>
  <si>
    <t>Cassia</t>
  </si>
  <si>
    <t>Twin Falls Co., ID</t>
  </si>
  <si>
    <t>Echo 1</t>
  </si>
  <si>
    <t>Umatilla Co., OR</t>
  </si>
  <si>
    <t>Echo 2</t>
  </si>
  <si>
    <t>Morrow Co., OR</t>
  </si>
  <si>
    <t>Echo 3</t>
  </si>
  <si>
    <t>Mountain Home</t>
  </si>
  <si>
    <t>Elmore Co., ID</t>
  </si>
  <si>
    <t>Threemile Canyon</t>
  </si>
  <si>
    <t>Greensburg</t>
  </si>
  <si>
    <t>Kiowa Co., KS</t>
  </si>
  <si>
    <t>Tuana Springs</t>
  </si>
  <si>
    <t>Twin Falls Co., ID</t>
  </si>
  <si>
    <t>Criterion</t>
  </si>
  <si>
    <t>Oakland, MD</t>
  </si>
  <si>
    <t>Harvest</t>
  </si>
  <si>
    <t>2Q2012A</t>
  </si>
  <si>
    <t>Huron Co., MI</t>
  </si>
  <si>
    <t>Michigan Wind 2</t>
  </si>
  <si>
    <t>New Projects</t>
  </si>
  <si>
    <t>Various</t>
  </si>
  <si>
    <t>CF (%)</t>
  </si>
  <si>
    <t>PJM East</t>
  </si>
  <si>
    <t>Location</t>
  </si>
  <si>
    <t>Retail Margins ($/mwh) - Mass and C&amp;I</t>
  </si>
  <si>
    <t>Wholesale ($/mwh) - Wholesale</t>
  </si>
  <si>
    <t>2Q2014A</t>
  </si>
  <si>
    <t>ComEd Earned ROE</t>
  </si>
  <si>
    <t>PECO Earned ROE</t>
  </si>
  <si>
    <t>Forecasted Earned ROE (line graph)</t>
  </si>
  <si>
    <t>BG&amp;E Earned ROE</t>
  </si>
  <si>
    <t>BG&amp;E Rate Base</t>
  </si>
  <si>
    <t>Forecasted Rate Base (for column chart)</t>
  </si>
  <si>
    <t>1Q2014A</t>
  </si>
  <si>
    <t>BG&amp;E Rate Base and Earned ROE (column &amp; line)</t>
  </si>
  <si>
    <t>Exelon Utilities</t>
  </si>
  <si>
    <t>PECO  Rate Base and EPS (column &amp; line)</t>
  </si>
  <si>
    <t>Research</t>
  </si>
  <si>
    <t>Guidance - Low</t>
  </si>
  <si>
    <t>Guidance - High</t>
  </si>
  <si>
    <t>PECO EPS</t>
  </si>
  <si>
    <t>ComEd EPS</t>
  </si>
  <si>
    <t>BG&amp;E EPS</t>
  </si>
  <si>
    <t>Total Utility EPS</t>
  </si>
  <si>
    <t>Gas</t>
  </si>
  <si>
    <t>Load Response</t>
  </si>
  <si>
    <t>Energy Efficiency</t>
  </si>
  <si>
    <t>Distributed Solar</t>
  </si>
  <si>
    <t>BG&amp;E Home</t>
  </si>
  <si>
    <t>Portfolio Management &amp; Trading</t>
  </si>
  <si>
    <t>Prop Trading</t>
  </si>
  <si>
    <t>Synergies</t>
  </si>
  <si>
    <t>Non-Power Estimate</t>
  </si>
  <si>
    <t>6.000% Continental Wind due Feb 28, 2033</t>
  </si>
  <si>
    <t>Constellation</t>
  </si>
  <si>
    <t>Electric Volumes (TWh)</t>
  </si>
  <si>
    <t>Gas Volumes (Bcf)</t>
  </si>
  <si>
    <t>2011a</t>
  </si>
  <si>
    <t>Retail Portion (%)</t>
  </si>
  <si>
    <t>New Business / To Go (adjusted for optimization)</t>
  </si>
  <si>
    <t>Power Volumes &amp; Margins</t>
  </si>
  <si>
    <t>Average Margin (includes optimzation)</t>
  </si>
  <si>
    <t>Power</t>
  </si>
  <si>
    <t>Non-Power</t>
  </si>
  <si>
    <t>Interest Rate on Short Term Debt</t>
  </si>
  <si>
    <t>Treasury stock</t>
  </si>
  <si>
    <t>3Q2012A</t>
  </si>
  <si>
    <t>4Q2012A</t>
  </si>
  <si>
    <t>2012A</t>
  </si>
  <si>
    <t>Degree Days</t>
  </si>
  <si>
    <t>Actual</t>
  </si>
  <si>
    <t>Heating Degree-Days</t>
  </si>
  <si>
    <t>Cooling Degree-Days</t>
  </si>
  <si>
    <t>Normal</t>
  </si>
  <si>
    <t>EXC.N,mscalc:targetPrice</t>
  </si>
  <si>
    <t>EXC.N,mscalc:targetPrice,,,,USD</t>
  </si>
  <si>
    <t>EXC.N,mscalc:closePriceCurrencyCalc</t>
  </si>
  <si>
    <t>EXC.N,mscalc:sedolCodeCalc</t>
  </si>
  <si>
    <t>$AH$2</t>
  </si>
  <si>
    <t>Estimated WACC</t>
  </si>
  <si>
    <t>FCF Yield on  Equity</t>
  </si>
  <si>
    <t>Gas Retail Sales Growth</t>
  </si>
  <si>
    <t>ComEd Dividend</t>
  </si>
  <si>
    <t>PECO Dividend</t>
  </si>
  <si>
    <t>Generation Dividend</t>
  </si>
  <si>
    <t>BGE Dividend</t>
  </si>
  <si>
    <t>Parent Level Equity Issuance</t>
  </si>
  <si>
    <t>Debt Maturity/Issuance, Net (Parent)</t>
  </si>
  <si>
    <t>Corporate Dividend Requirement</t>
  </si>
  <si>
    <t>Nuclear - Calvert Cliffs - CENG</t>
  </si>
  <si>
    <t>New York - CENG</t>
  </si>
  <si>
    <t>Mid-Atlantic - CENG</t>
  </si>
  <si>
    <t>Nuclear - Midwest (Illinois - NI Hub)</t>
  </si>
  <si>
    <t>CENG (New York &amp; Mid-Atlantic)</t>
  </si>
  <si>
    <t>Forced Outage Rate</t>
  </si>
  <si>
    <t>Dividends and Capital Infusion</t>
  </si>
  <si>
    <t>Dividends Paid</t>
  </si>
  <si>
    <t>EPS AND CAPEX BY BUSINESS SEGMENT</t>
  </si>
  <si>
    <t>Total Other Assets</t>
  </si>
  <si>
    <t>Total Other Liabilities</t>
  </si>
  <si>
    <t>SUBSIDIARY DEBT</t>
  </si>
  <si>
    <t>Total Operating Revenues</t>
  </si>
  <si>
    <t>5.625% Senior unsecured notes, due 06/15/35</t>
  </si>
  <si>
    <t>Other Adjustments (AFUDC + Removal Cost)</t>
  </si>
  <si>
    <t>Modeled Equity Ratio (excludes ST Debt)</t>
  </si>
  <si>
    <t>Modeled ROE (excludes AFUDC)</t>
  </si>
  <si>
    <t>Exelon Corporation</t>
  </si>
  <si>
    <t>Regulatory assets</t>
  </si>
  <si>
    <t>Regulatory liabilities</t>
  </si>
  <si>
    <t>Noncontrolling interests and preference stock dividends</t>
  </si>
  <si>
    <t>Number of Electric Customers</t>
  </si>
  <si>
    <t>Total Gas Revenues</t>
  </si>
  <si>
    <t>Deliveries to customers (in mmcf)</t>
  </si>
  <si>
    <t>Total Gas Deliveries</t>
  </si>
  <si>
    <t>Purchased Power</t>
  </si>
  <si>
    <t>Operating Income - Generation</t>
  </si>
  <si>
    <t>Operating Income - ComEd</t>
  </si>
  <si>
    <t>Operating Income - PECO</t>
  </si>
  <si>
    <t>Operating Income - BGE</t>
  </si>
  <si>
    <t>Generation</t>
  </si>
  <si>
    <t>ComEd</t>
  </si>
  <si>
    <t>PECO</t>
  </si>
  <si>
    <t>BGE</t>
  </si>
  <si>
    <t>Long-Term Debt</t>
  </si>
  <si>
    <t>Net Income Before Minorities</t>
  </si>
  <si>
    <t>YTD CF Data (To Calculate Quarterly)</t>
  </si>
  <si>
    <t>Total Debt / Total Capitalization</t>
  </si>
  <si>
    <t>ROEs</t>
  </si>
  <si>
    <t>Authorized/Assumed ROE</t>
  </si>
  <si>
    <t>Discounted Cash Flow - Key Assumptions</t>
  </si>
  <si>
    <t>Weighted Average Cost of Capital</t>
  </si>
  <si>
    <t>Implied Debt Value as a % of Ent Value</t>
  </si>
  <si>
    <t>Implied Equity Value as a % of Ent Value</t>
  </si>
  <si>
    <t>Hedge Benefit</t>
  </si>
  <si>
    <t>Open EBITDA</t>
  </si>
  <si>
    <t>DCF-Driven EV/EBITDA Multiple</t>
  </si>
  <si>
    <t>Implied EV</t>
  </si>
  <si>
    <t>NPV of Hedges</t>
  </si>
  <si>
    <t>Adjusted EV</t>
  </si>
  <si>
    <t>Per Share Value</t>
  </si>
  <si>
    <t>Implied in Share Price</t>
  </si>
  <si>
    <t>Electric Rate Change - Distribution</t>
  </si>
  <si>
    <t>Terminal Value Approach Used</t>
  </si>
  <si>
    <t>Cost of Long-Term Debt</t>
  </si>
  <si>
    <t xml:space="preserve">    Approach A - Perp. Growth Rate of</t>
  </si>
  <si>
    <t>Risk-Free Rate</t>
  </si>
  <si>
    <t xml:space="preserve">    Approach B - Terminal EBITDA of</t>
  </si>
  <si>
    <t>Optimization / Synergies / Trading / Other</t>
  </si>
  <si>
    <t>Nuclear Fuel</t>
  </si>
  <si>
    <t>Guidance Rate Base - Year-End</t>
  </si>
  <si>
    <t>Total Utility Rate Base ($mil) - Average</t>
  </si>
  <si>
    <t>David Arcaro</t>
  </si>
  <si>
    <t>(212) 761-1817</t>
  </si>
  <si>
    <t>david.arcaro@morganstanley.com</t>
  </si>
  <si>
    <t>ISO-NE New Build</t>
  </si>
  <si>
    <t>NEPOOL - SEMA-RI</t>
  </si>
  <si>
    <t>Chicago</t>
  </si>
  <si>
    <t>ISO-NE SEMA-RI</t>
  </si>
  <si>
    <t>2014A</t>
  </si>
  <si>
    <t>3Q2014A</t>
  </si>
  <si>
    <t>4Q2014A</t>
  </si>
  <si>
    <t>FY2014A</t>
  </si>
  <si>
    <t>4.70% Mortgage Bonds Series 116, due January 2044</t>
  </si>
  <si>
    <t>4.6% Senior notes, due 08/15/43</t>
  </si>
  <si>
    <t>3.10% Mortgage bonds Series 117, due Nov 1, 2024</t>
  </si>
  <si>
    <t>4.150% First and refunding mortgage bonds, due 10/01/2044</t>
  </si>
  <si>
    <t>ExGen Renewables I Project Financing, due September 2021</t>
  </si>
  <si>
    <t>5.200% Senior unsecured notes, due 10/01/19</t>
  </si>
  <si>
    <t>1Q19</t>
  </si>
  <si>
    <t>2Q19</t>
  </si>
  <si>
    <t>3Q19</t>
  </si>
  <si>
    <t>4Q19</t>
  </si>
  <si>
    <t>1Q20</t>
  </si>
  <si>
    <t>2Q20</t>
  </si>
  <si>
    <t>3Q20</t>
  </si>
  <si>
    <t>4Q20</t>
  </si>
  <si>
    <t>1Q2019E</t>
  </si>
  <si>
    <t>2Q2019E</t>
  </si>
  <si>
    <t>3Q2019E</t>
  </si>
  <si>
    <t>4Q2019E</t>
  </si>
  <si>
    <t>1Q2020E</t>
  </si>
  <si>
    <t>2Q2020E</t>
  </si>
  <si>
    <t>3Q2020E</t>
  </si>
  <si>
    <t>4Q2020E</t>
  </si>
  <si>
    <t>2019E</t>
  </si>
  <si>
    <t>2020E</t>
  </si>
  <si>
    <t>Assumed 2019</t>
  </si>
  <si>
    <t>Assumed 2020</t>
  </si>
  <si>
    <t>Assumed Issuance 2019</t>
  </si>
  <si>
    <t>Assumed Issuance 2020</t>
  </si>
  <si>
    <t>Distribution (ex-DC Undergrounding)</t>
  </si>
  <si>
    <t>DC Undergrounding</t>
  </si>
  <si>
    <t>Other Margin</t>
  </si>
  <si>
    <t>Terminal HH Gas for PJM</t>
  </si>
  <si>
    <t>Gas/Power Sensitivity Assumption:</t>
  </si>
  <si>
    <t>Gas Price:</t>
  </si>
  <si>
    <t>Indy Hub Basis</t>
  </si>
  <si>
    <t>Off-Peak Heat Rate Adjustments</t>
  </si>
  <si>
    <t>RTO/ComEd</t>
  </si>
  <si>
    <t>ComEd ($/mw-day)</t>
  </si>
  <si>
    <t>PJM/Texas Carbon Price ($/ton)</t>
  </si>
  <si>
    <t>Texas</t>
  </si>
  <si>
    <t>Carbon Price Impact</t>
  </si>
  <si>
    <t>Carbon Price ($/Ton)</t>
  </si>
  <si>
    <t>Coal Emissions Rate (ton/MWh)</t>
  </si>
  <si>
    <t>Marginal Gas Emissions Rate (ton/MWh)</t>
  </si>
  <si>
    <t>Power Price Impact</t>
  </si>
  <si>
    <t>Power Price Impact for Model ($/MWh):</t>
  </si>
  <si>
    <t>Heat Rate Adder (btu/kWh)</t>
  </si>
  <si>
    <t>Incl Carbon</t>
  </si>
  <si>
    <t xml:space="preserve">IL Carbon </t>
  </si>
  <si>
    <t>PJM/TX Carbon</t>
  </si>
  <si>
    <t>CCGT Allowance Cost ($/MWh)</t>
  </si>
  <si>
    <t>Gas Peaker Allowance Cost ($/MWh)</t>
  </si>
  <si>
    <t>Coal Plant Allowance Cost ($/MWh)</t>
  </si>
  <si>
    <t>Carbon Intensity (Tons/MWh)</t>
  </si>
  <si>
    <t>PJM Transition Auction Uplift</t>
  </si>
  <si>
    <t>EMAAC ($/mw-day)</t>
  </si>
  <si>
    <t>LTIIP Spend</t>
  </si>
  <si>
    <t>Legacy Utility Net Income</t>
  </si>
  <si>
    <t>2Q2015A</t>
  </si>
  <si>
    <t>3Q2015A</t>
  </si>
  <si>
    <t>4Q2015A</t>
  </si>
  <si>
    <t>FY2015A</t>
  </si>
  <si>
    <t>1Q2015A</t>
  </si>
  <si>
    <t>2015A</t>
  </si>
  <si>
    <t>3.950% Senior unsecured notes, due June 15, 2025</t>
  </si>
  <si>
    <t>4.950% Senior unsecured notes, due June 15, 2035</t>
  </si>
  <si>
    <t>5.100% Senior unsecured notes, due June 15, 2045</t>
  </si>
  <si>
    <t>1.550% Senior unsecured notes, due June 9, 2017</t>
  </si>
  <si>
    <t>2.850% Senior unsecured notes, due June 15, 2020</t>
  </si>
  <si>
    <t>Tax-exempt pollution control bonds</t>
  </si>
  <si>
    <t>2.950% Senior unsecured notes, due Jan 15, 2020</t>
  </si>
  <si>
    <t>3.150% First and refunding mortgage bonds, due Oct 15, 2025</t>
  </si>
  <si>
    <t>4.350% Series 119 first mortgage bonds, due Nov 15, 2045</t>
  </si>
  <si>
    <t>3.700% Series 118 first mortgage bonds, due Mar 1, 2045</t>
  </si>
  <si>
    <t>Electric Retail Sales Growth (YoY - Decoupled)</t>
  </si>
  <si>
    <t>Gas Retail Sales Growth (YoY - Decoupled)</t>
  </si>
  <si>
    <t>Guidance - Midpoint</t>
  </si>
  <si>
    <t>15-18e NI CAGR:</t>
  </si>
  <si>
    <t>Michigan Wind 3 &amp; Bluestem</t>
  </si>
  <si>
    <t>Growth Capex</t>
  </si>
  <si>
    <t>Arman Tabatabai</t>
  </si>
  <si>
    <t>(212) 761-6358</t>
  </si>
  <si>
    <t>arman.tabatabai@morganstanley.com</t>
  </si>
  <si>
    <t>EPS Impact ($/sh)</t>
  </si>
  <si>
    <t>Domestic Production Activites Reduction Adjustment ($m)</t>
  </si>
  <si>
    <t>Nuclear - NYISO - CENG (Ginna)</t>
  </si>
  <si>
    <t>Nuclear - NYISO - CENG (9 Mile)</t>
  </si>
  <si>
    <t>Nuclear - Midwest (Illinois - MISO/Cinergy) - Clinton</t>
  </si>
  <si>
    <t>Nuclear - Midwest (Illinois - NI Hub) - Quad Cities</t>
  </si>
  <si>
    <t>1Q2016A</t>
  </si>
  <si>
    <t>Albany Green Energy Project Financing</t>
  </si>
  <si>
    <t>Renewable Power Generation Nonrecourse Debt</t>
  </si>
  <si>
    <t>2Q2016A</t>
  </si>
  <si>
    <t>2.450% Senior unsecured notes, due April 15, 2021</t>
  </si>
  <si>
    <t>3.400% Senior unsecured notes, due April 15, 2026</t>
  </si>
  <si>
    <t>4.450% Senior unsecured notes, due April 15, 2046</t>
  </si>
  <si>
    <t>Energy Efficiency Project Financing</t>
  </si>
  <si>
    <t>2.550% Series 120 first mortgage bonds, due June 15, 2026</t>
  </si>
  <si>
    <t>3.650% Series 121 first mortgage bonds, due June 15, 2046</t>
  </si>
  <si>
    <t>Ethan C. Ellison</t>
  </si>
  <si>
    <t>(212) 296-5124</t>
  </si>
  <si>
    <t>ethan.ellison@morganstanley.com</t>
  </si>
  <si>
    <t>2016-17</t>
  </si>
  <si>
    <t>2018+</t>
  </si>
  <si>
    <t>RGGI</t>
  </si>
  <si>
    <t>Net Externality</t>
  </si>
  <si>
    <t>Conv. Rate</t>
  </si>
  <si>
    <t>Adj. SCC</t>
  </si>
  <si>
    <t>US Social Cost Carbon (SCC)</t>
  </si>
  <si>
    <t>Ref Price</t>
  </si>
  <si>
    <t>Zone A ATC</t>
  </si>
  <si>
    <t>Tranche 1</t>
  </si>
  <si>
    <t>+/-</t>
  </si>
  <si>
    <t>Upstate ZEC Price</t>
  </si>
  <si>
    <t>Tranche 2 2019</t>
  </si>
  <si>
    <t>Tranche 2 2020</t>
  </si>
  <si>
    <t>Capacity (EXC Disclosure)</t>
  </si>
  <si>
    <t>Heat Rate (SNL)</t>
  </si>
  <si>
    <t>Cap Factor (YTD Actual)</t>
  </si>
  <si>
    <t>Spark (EXC Disclosure)</t>
  </si>
  <si>
    <t>Latest Capacity Price ($/kw-m)</t>
  </si>
  <si>
    <t>Energy Margin ($m)</t>
  </si>
  <si>
    <t>Capacity Revenue ($m)</t>
  </si>
  <si>
    <t>O&amp;M ($m)</t>
  </si>
  <si>
    <t>EBITDA ($m)</t>
  </si>
  <si>
    <t>$/kW</t>
  </si>
  <si>
    <t>CCGT</t>
  </si>
  <si>
    <t>ST</t>
  </si>
  <si>
    <t>CT</t>
  </si>
  <si>
    <t>Asset Sales / Acquisitions</t>
  </si>
  <si>
    <t>Nuclear - NYISO (Fitzpatrick)</t>
  </si>
  <si>
    <t>New England / New York (CENG (New York &amp; Mid-Atlantic))</t>
  </si>
  <si>
    <t>New York (includes CENG)</t>
  </si>
  <si>
    <t>3Q2016A</t>
  </si>
  <si>
    <t>SolGen Nonrecourse Debt</t>
  </si>
  <si>
    <t>ExGen Texas Power Nonrecourse Debt</t>
  </si>
  <si>
    <t>1.70% First mortgage bonds, due September 15, 2021</t>
  </si>
  <si>
    <t>2.40% Notes, due August 15, 2026</t>
  </si>
  <si>
    <t>3.50% Notes, due August 15, 2046</t>
  </si>
  <si>
    <t>NY ZECs Calculation</t>
  </si>
  <si>
    <t>ZEC Price</t>
  </si>
  <si>
    <t>Year 1</t>
  </si>
  <si>
    <t>Year 2</t>
  </si>
  <si>
    <t>Year 3</t>
  </si>
  <si>
    <t>Year 4</t>
  </si>
  <si>
    <t>MWh Generated</t>
  </si>
  <si>
    <t>Non-Capped Benefit</t>
  </si>
  <si>
    <t>Capped ZEC Price</t>
  </si>
  <si>
    <t>NI Hub ATC</t>
  </si>
  <si>
    <t>Capped Benefit</t>
  </si>
  <si>
    <t xml:space="preserve">IL ZECs Quad Cities Benefit </t>
  </si>
  <si>
    <t xml:space="preserve">IL ZECs Clinton Benefit </t>
  </si>
  <si>
    <t>Cinergy ATC</t>
  </si>
  <si>
    <t>Capacity Price</t>
  </si>
  <si>
    <t>4Q2016A</t>
  </si>
  <si>
    <t>2016A</t>
  </si>
  <si>
    <t>FY2016A</t>
  </si>
  <si>
    <t>ExGen Valuation (ex-ZECs Benefit)</t>
  </si>
  <si>
    <t>NPV of ZECs</t>
  </si>
  <si>
    <t>ZECs NPV</t>
  </si>
  <si>
    <t>NY ZEC Margin Benefit</t>
  </si>
  <si>
    <t>IL ZES Margin Benefit</t>
  </si>
  <si>
    <t>Taxes Paid on ZEC Margin</t>
  </si>
  <si>
    <t>After-Tax NY ZEC Benefit</t>
  </si>
  <si>
    <t>NPV</t>
  </si>
  <si>
    <t>ZEC WACC Calculation</t>
  </si>
  <si>
    <t>ZEC Margin Benefit</t>
  </si>
  <si>
    <t>Equal-weight</t>
  </si>
  <si>
    <t>1Q2017A</t>
  </si>
  <si>
    <t>1Q2021E</t>
  </si>
  <si>
    <t>2Q2021E</t>
  </si>
  <si>
    <t>3Q2021E</t>
  </si>
  <si>
    <t>4Q2021E</t>
  </si>
  <si>
    <t>2021E</t>
  </si>
  <si>
    <t>Assumed 2021</t>
  </si>
  <si>
    <t>Assumed Issuance 2021</t>
  </si>
  <si>
    <t>1Q21</t>
  </si>
  <si>
    <t>2Q21</t>
  </si>
  <si>
    <t>3Q21</t>
  </si>
  <si>
    <t>4Q21</t>
  </si>
  <si>
    <t>2021 Forward Gas</t>
  </si>
  <si>
    <t>Differential vs 2021</t>
  </si>
  <si>
    <t>EPS 2013-2021 CAGR</t>
  </si>
  <si>
    <t>Year 5</t>
  </si>
  <si>
    <t>Tranche 2 2021</t>
  </si>
  <si>
    <t>Tranche 3 2021</t>
  </si>
  <si>
    <t>2019e</t>
  </si>
  <si>
    <t>2Q2017A</t>
  </si>
  <si>
    <t>ERCOT West</t>
  </si>
  <si>
    <t>3Q2017A</t>
  </si>
  <si>
    <t>42</t>
  </si>
  <si>
    <t>4Q2017A</t>
  </si>
  <si>
    <t>2017A</t>
  </si>
  <si>
    <t>FY2017A</t>
  </si>
  <si>
    <t>3.750% Senior unsecured notes, due Aug 15, 2047</t>
  </si>
  <si>
    <t>2.950% Series 122 first mortgage bonds, due Aug 15, 2027</t>
  </si>
  <si>
    <t>3.750% Series 123 first mortgage bonds, due Aug 15, 2047</t>
  </si>
  <si>
    <t>3.400% Senior unsecured notes, due Mar 15, 2022</t>
  </si>
  <si>
    <t>3.700% First and refunding mortgage bonds, due Sept 15, 2047</t>
  </si>
  <si>
    <t>MSA54148</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</si>
  <si>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</si>
  <si>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</si>
  <si>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</si>
  <si>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</si>
  <si>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</si>
  <si>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</si>
  <si>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</si>
  <si>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Stephen Byrd</t>
  </si>
  <si>
    <t>Date: 13 Apr 2018</t>
  </si>
  <si>
    <t>Ticker: EXC.N</t>
  </si>
  <si>
    <t>Stock Rating: Equal-Weight</t>
  </si>
  <si>
    <t>Industry: Diversified Utilities / IPPs</t>
  </si>
  <si>
    <t>Industry View: Attractive</t>
  </si>
  <si>
    <t>Price as of 13 Apr 2018: 38.44</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</si>
  <si>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</si>
  <si>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</si>
  <si>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</si>
  <si>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</si>
  <si>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Exelon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</si>
  <si>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</si>
  <si>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</si>
  <si>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</si>
  <si>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</si>
  <si>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</si>
  <si>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</si>
  <si>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</si>
  <si>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</si>
  <si>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</si>
  <si>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</si>
  <si>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</si>
  <si>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</si>
  <si>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</si>
  <si>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</si>
  <si>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</si>
  <si>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</si>
  <si>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</si>
  <si>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</si>
  <si>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</si>
  <si>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</si>
  <si>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</si>
  <si>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</si>
  <si>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</si>
  <si>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</si>
  <si>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</si>
  <si>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</si>
  <si>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</si>
  <si>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</si>
  <si>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</si>
  <si>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</si>
  <si>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</si>
  <si>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</si>
  <si>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</si>
  <si>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</si>
  <si>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</si>
  <si>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</si>
  <si>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</si>
  <si>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</si>
  <si>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</si>
  <si>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</si>
  <si>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</si>
  <si>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</si>
  <si>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</si>
  <si>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</si>
  <si>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</si>
  <si>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</si>
  <si>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</si>
  <si>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</si>
  <si>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</si>
  <si>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</si>
  <si>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</si>
  <si>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</si>
  <si>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</si>
  <si>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</si>
  <si>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</si>
  <si>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</si>
  <si>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</si>
  <si>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</si>
  <si>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</si>
  <si>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</si>
  <si>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</si>
  <si>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</si>
  <si>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</si>
  <si>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</si>
  <si>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</si>
  <si>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</si>
  <si>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</si>
  <si>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</si>
  <si>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</si>
  <si>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</si>
  <si>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</si>
  <si>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</si>
  <si>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</si>
  <si>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</si>
  <si>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</si>
  <si>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</si>
  <si>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</si>
  <si>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</si>
  <si>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</si>
  <si>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</si>
  <si>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</si>
  <si>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</si>
  <si>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</si>
  <si>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</si>
  <si>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</si>
  <si>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</si>
  <si>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</si>
  <si>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</si>
  <si>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</si>
  <si>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</si>
  <si>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</si>
  <si>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</si>
  <si>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</si>
  <si>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</si>
  <si>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</si>
  <si>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</si>
  <si>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</si>
  <si>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</si>
  <si>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</si>
  <si>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</si>
  <si>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</si>
  <si>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</si>
  <si>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</si>
  <si>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</si>
  <si>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</si>
  <si>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</si>
  <si>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</si>
  <si>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</si>
  <si>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</si>
  <si>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</si>
  <si>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</si>
  <si>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</si>
  <si>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</si>
  <si>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</si>
  <si>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</si>
  <si>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</si>
  <si>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</si>
  <si>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</si>
  <si>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</si>
  <si>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</si>
  <si>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</si>
  <si>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</si>
  <si>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</si>
  <si>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</si>
  <si>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</si>
  <si>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</si>
  <si>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</si>
  <si>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</si>
  <si>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</si>
  <si>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</si>
  <si>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</si>
  <si>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</si>
  <si>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</si>
  <si>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</si>
  <si>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</si>
  <si>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</si>
  <si>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</si>
  <si>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</si>
  <si>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</si>
  <si>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</si>
  <si>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</si>
  <si>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</si>
  <si>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</si>
  <si>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</si>
  <si>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</si>
  <si>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</si>
  <si>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</si>
  <si>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</si>
  <si>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</si>
  <si>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</si>
  <si>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</si>
  <si>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</si>
  <si>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</si>
  <si>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</si>
  <si>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</si>
  <si>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</si>
  <si>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</si>
  <si>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</si>
  <si>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</si>
  <si>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</si>
  <si>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</si>
  <si>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</si>
  <si>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</si>
  <si>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</si>
  <si>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</si>
  <si>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</si>
  <si>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</si>
  <si>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</si>
  <si>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</si>
  <si>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</si>
  <si>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</si>
  <si>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</si>
  <si>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</si>
  <si>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</si>
  <si>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</si>
  <si>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Exelon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</si>
  <si>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</si>
  <si>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</si>
  <si>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</si>
  <si>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</si>
  <si>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</si>
  <si>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</si>
  <si>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</si>
  <si>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</si>
  <si>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</si>
  <si>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</si>
  <si>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</si>
  <si>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</si>
  <si>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</si>
  <si>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</si>
  <si>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</si>
  <si>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</si>
  <si>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</si>
  <si>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</si>
  <si>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</si>
  <si>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</si>
  <si>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</si>
  <si>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</si>
  <si>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</si>
  <si>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</si>
  <si>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</si>
  <si>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</si>
  <si>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</si>
  <si>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</si>
  <si>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</si>
  <si>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</si>
  <si>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</si>
  <si>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</si>
  <si>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</si>
  <si>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</si>
  <si>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</si>
  <si>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</si>
  <si>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</si>
  <si>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</si>
  <si>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</si>
  <si>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</si>
  <si>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</si>
  <si>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</si>
  <si>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</si>
  <si>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</si>
  <si>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</si>
  <si>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</si>
  <si>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</si>
  <si>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</si>
  <si>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</si>
  <si>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</si>
  <si>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</si>
  <si>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</si>
  <si>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</si>
  <si>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</si>
  <si>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</si>
  <si>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</si>
  <si>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</si>
  <si>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</si>
  <si>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</si>
  <si>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</si>
  <si>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</si>
  <si>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</si>
  <si>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</si>
  <si>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</si>
  <si>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</si>
  <si>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</si>
  <si>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</si>
  <si>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</si>
  <si>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Exelon Corp.</t>
  </si>
  <si>
    <t>Within the last 12 months, Morgan Stanley has provided or is providing investment banking services to,</t>
  </si>
  <si>
    <t>or has an investment banking client relationship with, the following company: Exelon Corp.</t>
  </si>
  <si>
    <t>Within the last 12 months, Morgan Stanley has received compensation for products and services other than</t>
  </si>
  <si>
    <t>investment banking services from Exelon Corp.</t>
  </si>
  <si>
    <t>In the next 3 months, Morgan Stanley expects to receive or intends to seek compensation for investment</t>
  </si>
  <si>
    <t>banking services from Exelon Corp.</t>
  </si>
  <si>
    <t>Within the last 12 months, Morgan Stanley has received compensation for investment banking services from</t>
  </si>
  <si>
    <t>Within the last 12 months, Morgan Stanley managed or co-managed a public offering (or 144A offering) of</t>
  </si>
  <si>
    <t>securities of Exelon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</si>
  <si>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</si>
  <si>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</si>
  <si>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</si>
  <si>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</si>
  <si>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</si>
  <si>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Stephen C Byrd.</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</si>
  <si>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</si>
  <si>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</si>
  <si>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</si>
  <si>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</si>
  <si>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</si>
  <si>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</si>
  <si>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</si>
  <si>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</si>
  <si>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</si>
  <si>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</si>
  <si>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</si>
  <si>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</si>
  <si>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</si>
  <si>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</si>
  <si>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</si>
  <si>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</si>
  <si>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</si>
  <si>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</si>
  <si>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</si>
  <si>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</si>
  <si>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AdditionalInstructions</t>
  </si>
  <si>
    <t>Equal-Weight / Attractive</t>
  </si>
  <si>
    <t>tabataba</t>
  </si>
  <si>
    <t>L:\UTILITIES\Models\EXC\Published\EXC Model.xlsm</t>
  </si>
  <si>
    <t>[DOCDAT 2018-04-13]</t>
  </si>
  <si>
    <t>[DOCTIME 09:43]</t>
  </si>
  <si>
    <t>[ANA ]</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</si>
  <si>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</si>
  <si>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</si>
  <si>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</si>
  <si>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</si>
  <si>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</si>
  <si>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1000</t>
  </si>
  <si>
    <t>3) Set Maximum Change = 0.001</t>
  </si>
  <si>
    <t>Sheet Name</t>
  </si>
  <si>
    <t>Visible Status</t>
  </si>
  <si>
    <t>__FDSCACHE__</t>
  </si>
  <si>
    <t>ImportantDisclosures</t>
  </si>
  <si>
    <t>SheetVisibilityStatus</t>
  </si>
  <si>
    <t>CircularReferenceAlert</t>
  </si>
  <si>
    <t>Cover</t>
  </si>
  <si>
    <t>Valuation</t>
  </si>
  <si>
    <t>Financial</t>
  </si>
  <si>
    <t>Debt</t>
  </si>
  <si>
    <t>Market Prices</t>
  </si>
  <si>
    <t>IndexInformation</t>
  </si>
  <si>
    <t>ModPubIndex</t>
  </si>
  <si>
    <t>MW-Cache</t>
  </si>
  <si>
    <t>Target Price: 43</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</si>
</sst>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mmm\ yy"/>
    <numFmt numFmtId="165" formatCode="[$-F400]h:mm:ss\ AM/PM"/>
    <numFmt numFmtId="166" formatCode="0.0%"/>
    <numFmt numFmtId="167" formatCode="#,##0.0"/>
    <numFmt numFmtId="168" formatCode="0.0\x"/>
    <numFmt numFmtId="169" formatCode="m/d/yy;@"/>
    <numFmt numFmtId="170" formatCode="0&quot;A&quot;"/>
    <numFmt numFmtId="171" formatCode="0&quot;E&quot;"/>
    <numFmt numFmtId="172" formatCode="0.0"/>
    <numFmt numFmtId="173" formatCode="_(* #,##0_);_(* \(#,##0\);_(* &quot;-&quot;??_);_(@_)"/>
    <numFmt numFmtId="174" formatCode="0_);\(0\)"/>
    <numFmt numFmtId="175" formatCode="_(* #,##0.0_);_(* \(#,##0.0\);_(* &quot;-&quot;??_);_(@_)"/>
    <numFmt numFmtId="176" formatCode="0000&quot;E&quot;"/>
    <numFmt numFmtId="177" formatCode="0.0_);[Red]\(0.0\)"/>
    <numFmt numFmtId="178" formatCode="0_);[Red]\(0\)"/>
    <numFmt numFmtId="179" formatCode="0.000%"/>
    <numFmt numFmtId="180" formatCode="0000&quot;A&quot;"/>
    <numFmt numFmtId="181" formatCode="#,##0.0_);[Red]\(#,##0.0\)"/>
    <numFmt numFmtId="182" formatCode="&quot;$&quot;#,##0.0_);[Red]\(&quot;$&quot;#,##0.0\)"/>
    <numFmt numFmtId="183" formatCode="&quot;$&quot;#,##0.0"/>
    <numFmt numFmtId="184" formatCode="0.0_);\(0.0\)"/>
    <numFmt numFmtId="185" formatCode="0.0%_);\(0.0%\);&quot;–&quot;_)"/>
    <numFmt numFmtId="186" formatCode="&quot;$&quot;#,##0.000_);[Red]\(&quot;$&quot;#,##0.000\)"/>
    <numFmt numFmtId="187" formatCode="[$-409]mmmm\ d\,\ yyyy;@"/>
    <numFmt numFmtId="188" formatCode="&quot;$&quot;#,##0.0_);\(&quot;$&quot;#,##0.0\)"/>
    <numFmt numFmtId="189" formatCode="mm/dd/yy\ hh:mm"/>
    <numFmt numFmtId="190" formatCode="&quot;$&quot;#,##0.00"/>
    <numFmt numFmtId="191" formatCode="0.00_);\(0.00\)"/>
    <numFmt numFmtId="192" formatCode="_(* #,##0.0000_);_(* \(#,##0.0000\);_(* &quot;-&quot;??_);_(@_)"/>
    <numFmt numFmtId="193" formatCode="_(* #,##0.00000_);_(* \(#,##0.00000\);_(* &quot;-&quot;?????_);_(@_)"/>
    <numFmt numFmtId="194" formatCode="_(* #,##0.000_);_(* \(#,##0.000\);_(* &quot;-&quot;??_);_(@_)"/>
    <numFmt numFmtId="195" formatCode="&quot;$&quot;#,##0.00_);\(&quot;$&quot;#,##0.00\);\–_);&quot;–&quot;_)"/>
    <numFmt numFmtId="196" formatCode="_-* #,##0_-;\-* #,##0_-;_-* &quot;-&quot;??_-;_-@_-"/>
    <numFmt numFmtId="197" formatCode="General&quot;E&quot;"/>
    <numFmt numFmtId="198" formatCode="#,##0.0000_);\(#,##0.0000\)"/>
    <numFmt numFmtId="199" formatCode="General&quot;A&quot;"/>
  </numFmts>
  <fonts count="131">
    <font>
      <sz val="10"/>
      <name val="Arial"/>
    </font>
    <font>
      <sz val="10"/>
      <name val="Arial"/>
      <family val="2"/>
    </font>
    <font>
      <sz val="8"/>
      <name val="Arial"/>
      <family val="2"/>
    </font>
    <font>
      <b/>
      <sz val="10"/>
      <color indexed="9"/>
      <name val="Arial"/>
      <family val="2"/>
    </font>
    <font>
      <b/>
      <sz val="10"/>
      <name val="Arial"/>
      <family val="2"/>
    </font>
    <font>
      <sz val="10"/>
      <name val="Arial"/>
      <family val="2"/>
    </font>
    <font>
      <b/>
      <sz val="12"/>
      <color indexed="12"/>
      <name val="Arial"/>
      <family val="2"/>
    </font>
    <font>
      <b/>
      <sz val="14"/>
      <color indexed="9"/>
      <name val="Arial"/>
      <family val="2"/>
    </font>
    <font>
      <b/>
      <sz val="10"/>
      <color indexed="16"/>
      <name val="Arial"/>
      <family val="2"/>
    </font>
    <font>
      <b/>
      <sz val="10"/>
      <name val="Arial"/>
      <family val="2"/>
    </font>
    <font>
      <sz val="10"/>
      <color indexed="16"/>
      <name val="Arial"/>
      <family val="2"/>
    </font>
    <font>
      <b/>
      <sz val="10"/>
      <color indexed="16"/>
      <name val="Arial"/>
      <family val="2"/>
    </font>
    <font>
      <sz val="12"/>
      <name val="Arial"/>
      <family val="2"/>
    </font>
    <font>
      <b/>
      <sz val="12"/>
      <color indexed="16"/>
      <name val="Arial"/>
      <family val="2"/>
    </font>
    <font>
      <sz val="12"/>
      <color indexed="16"/>
      <name val="Arial"/>
      <family val="2"/>
    </font>
    <font>
      <i/>
      <sz val="10"/>
      <color indexed="9"/>
      <name val="Arial"/>
      <family val="2"/>
    </font>
    <font>
      <sz val="10"/>
      <color indexed="9"/>
      <name val="Arial"/>
      <family val="2"/>
    </font>
    <font>
      <sz val="12"/>
      <color indexed="53"/>
      <name val="Arial"/>
      <family val="2"/>
    </font>
    <font>
      <sz val="10"/>
      <color indexed="53"/>
      <name val="Arial"/>
      <family val="2"/>
    </font>
    <font>
      <sz val="10"/>
      <color indexed="16"/>
      <name val="Arial"/>
      <family val="2"/>
    </font>
    <font>
      <i/>
      <sz val="10"/>
      <name val="Arial"/>
      <family val="2"/>
    </font>
    <font>
      <b/>
      <sz val="10"/>
      <color indexed="8"/>
      <name val="Arial"/>
      <family val="2"/>
    </font>
    <font>
      <u/>
      <sz val="10"/>
      <name val="Arial"/>
      <family val="2"/>
    </font>
    <font>
      <sz val="8"/>
      <name val="Arial"/>
      <family val="2"/>
    </font>
    <font>
      <sz val="10"/>
      <color indexed="12"/>
      <name val="Arial"/>
      <family val="2"/>
    </font>
    <font>
      <u/>
      <sz val="10"/>
      <name val="Arial"/>
      <family val="2"/>
    </font>
    <font>
      <i/>
      <sz val="10"/>
      <color indexed="9"/>
      <name val="Arial"/>
      <family val="2"/>
    </font>
    <font>
      <b/>
      <sz val="8"/>
      <color indexed="16"/>
      <name val="Arial"/>
      <family val="2"/>
    </font>
    <font>
      <sz val="10"/>
      <color indexed="8"/>
      <name val="Arial"/>
      <family val="2"/>
    </font>
    <font>
      <b/>
      <i/>
      <sz val="10"/>
      <color indexed="9"/>
      <name val="Arial"/>
      <family val="2"/>
    </font>
    <font>
      <sz val="10"/>
      <color indexed="8"/>
      <name val="Arial"/>
      <family val="2"/>
    </font>
    <font>
      <b/>
      <sz val="8"/>
      <color indexed="81"/>
      <name val="Tahoma"/>
      <family val="2"/>
    </font>
    <font>
      <sz val="8"/>
      <color indexed="81"/>
      <name val="Tahoma"/>
      <family val="2"/>
    </font>
    <font>
      <b/>
      <sz val="10"/>
      <color indexed="60"/>
      <name val="Arial"/>
      <family val="2"/>
    </font>
    <font>
      <sz val="10"/>
      <color indexed="52"/>
      <name val="Arial"/>
      <family val="2"/>
    </font>
    <font>
      <b/>
      <sz val="10"/>
      <color indexed="63"/>
      <name val="Arial"/>
      <family val="2"/>
    </font>
    <font>
      <sz val="10"/>
      <color indexed="63"/>
      <name val="Arial"/>
      <family val="2"/>
    </font>
    <font>
      <sz val="10"/>
      <color indexed="63"/>
      <name val="Arial"/>
      <family val="2"/>
    </font>
    <font>
      <sz val="10"/>
      <color indexed="9"/>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color indexed="22"/>
      <name val="Arial"/>
      <family val="2"/>
    </font>
    <font>
      <b/>
      <u/>
      <sz val="10"/>
      <name val="Arial"/>
      <family val="2"/>
    </font>
    <font>
      <b/>
      <sz val="12"/>
      <color indexed="16"/>
      <name val="Arial"/>
      <family val="2"/>
    </font>
    <font>
      <sz val="12"/>
      <color indexed="16"/>
      <name val="Arial"/>
      <family val="2"/>
    </font>
    <font>
      <sz val="10"/>
      <name val="MS Sans Serif"/>
      <family val="2"/>
    </font>
    <font>
      <b/>
      <sz val="10"/>
      <color indexed="23"/>
      <name val="Arial"/>
      <family val="2"/>
    </font>
    <font>
      <sz val="10"/>
      <color indexed="11"/>
      <name val="Arial"/>
      <family val="2"/>
    </font>
    <font>
      <b/>
      <sz val="7"/>
      <color indexed="16"/>
      <name val="Arial"/>
      <family val="2"/>
    </font>
    <font>
      <b/>
      <sz val="12"/>
      <color indexed="9"/>
      <name val="Arial"/>
      <family val="2"/>
    </font>
    <font>
      <sz val="10"/>
      <color indexed="52"/>
      <name val="Arial"/>
      <family val="2"/>
    </font>
    <font>
      <sz val="10"/>
      <color indexed="13"/>
      <name val="Arial"/>
      <family val="2"/>
    </font>
    <font>
      <sz val="10"/>
      <color indexed="10"/>
      <name val="Arial"/>
      <family val="2"/>
    </font>
    <font>
      <b/>
      <sz val="12"/>
      <color indexed="9"/>
      <name val="Arial"/>
      <family val="2"/>
    </font>
    <font>
      <b/>
      <sz val="14"/>
      <color indexed="9"/>
      <name val="Arial"/>
      <family val="2"/>
    </font>
    <font>
      <sz val="10"/>
      <name val="Arial"/>
      <family val="2"/>
    </font>
    <font>
      <b/>
      <u/>
      <sz val="10"/>
      <color indexed="63"/>
      <name val="Arial"/>
      <family val="2"/>
    </font>
    <font>
      <sz val="7"/>
      <name val="Arial"/>
      <family val="2"/>
    </font>
    <font>
      <b/>
      <sz val="18"/>
      <color indexed="9"/>
      <name val="Arial"/>
      <family val="2"/>
    </font>
    <font>
      <b/>
      <sz val="11"/>
      <color indexed="16"/>
      <name val="Arial"/>
      <family val="2"/>
    </font>
    <font>
      <b/>
      <sz val="10"/>
      <color indexed="52"/>
      <name val="Arial"/>
      <family val="2"/>
    </font>
    <font>
      <i/>
      <sz val="10"/>
      <color indexed="63"/>
      <name val="Arial"/>
      <family val="2"/>
    </font>
    <font>
      <b/>
      <i/>
      <sz val="10"/>
      <name val="Arial"/>
      <family val="2"/>
    </font>
    <font>
      <sz val="10"/>
      <color indexed="60"/>
      <name val="Arial"/>
      <family val="2"/>
    </font>
    <font>
      <b/>
      <sz val="10"/>
      <color indexed="63"/>
      <name val="Arial"/>
      <family val="2"/>
    </font>
    <font>
      <i/>
      <sz val="10"/>
      <color indexed="55"/>
      <name val="Arial"/>
      <family val="2"/>
    </font>
    <font>
      <b/>
      <sz val="10"/>
      <color indexed="24"/>
      <name val="Arial"/>
      <family val="2"/>
    </font>
    <font>
      <sz val="10"/>
      <color indexed="46"/>
      <name val="Arial"/>
      <family val="2"/>
    </font>
    <font>
      <b/>
      <sz val="12"/>
      <color indexed="12"/>
      <name val="Arial"/>
      <family val="2"/>
    </font>
    <font>
      <sz val="8"/>
      <color indexed="9"/>
      <name val="Arial"/>
      <family val="2"/>
    </font>
    <font>
      <sz val="7"/>
      <color indexed="22"/>
      <name val="Arial"/>
      <family val="2"/>
    </font>
    <font>
      <sz val="10"/>
      <color indexed="60"/>
      <name val="Arial"/>
      <family val="2"/>
    </font>
    <font>
      <b/>
      <sz val="10"/>
      <name val="Times New Roman"/>
      <family val="1"/>
    </font>
    <font>
      <sz val="10"/>
      <color indexed="8"/>
      <name val="MS Sans Serif"/>
      <family val="2"/>
    </font>
    <font>
      <b/>
      <sz val="7.5"/>
      <name val="Times New Roman"/>
      <family val="1"/>
    </font>
    <font>
      <sz val="10"/>
      <name val="Arial"/>
      <family val="2"/>
    </font>
    <font>
      <i/>
      <sz val="10"/>
      <name val="Arial"/>
      <family val="2"/>
    </font>
    <font>
      <sz val="10"/>
      <name val="Arial"/>
      <family val="2"/>
    </font>
    <font>
      <i/>
      <sz val="10"/>
      <color indexed="60"/>
      <name val="Arial"/>
      <family val="2"/>
    </font>
    <font>
      <i/>
      <sz val="10"/>
      <color indexed="8"/>
      <name val="Arial"/>
      <family val="2"/>
    </font>
    <font>
      <b/>
      <u/>
      <sz val="10"/>
      <color indexed="52"/>
      <name val="Arial"/>
      <family val="2"/>
    </font>
    <font>
      <b/>
      <sz val="10"/>
      <color indexed="9"/>
      <name val="Arial"/>
      <family val="2"/>
    </font>
    <font>
      <sz val="10"/>
      <color indexed="54"/>
      <name val="Arial"/>
      <family val="2"/>
    </font>
    <font>
      <sz val="7.5"/>
      <name val="Arial"/>
      <family val="2"/>
    </font>
    <font>
      <sz val="10"/>
      <color indexed="51"/>
      <name val="Arial"/>
      <family val="2"/>
    </font>
    <font>
      <sz val="9"/>
      <name val="Arial"/>
      <family val="2"/>
    </font>
    <font>
      <b/>
      <sz val="12"/>
      <color indexed="16"/>
      <name val="Arial Narrow"/>
      <family val="2"/>
    </font>
    <font>
      <u/>
      <sz val="10"/>
      <color indexed="9"/>
      <name val="Arial"/>
      <family val="2"/>
    </font>
    <font>
      <b/>
      <sz val="10"/>
      <color indexed="10"/>
      <name val="Arial"/>
      <family val="2"/>
    </font>
    <font>
      <sz val="11"/>
      <name val="Arial"/>
      <family val="2"/>
    </font>
    <font>
      <i/>
      <sz val="10"/>
      <color indexed="52"/>
      <name val="Arial"/>
      <family val="2"/>
    </font>
    <font>
      <sz val="10"/>
      <name val="Arial"/>
      <family val="2"/>
    </font>
    <font>
      <sz val="9"/>
      <color indexed="81"/>
      <name val="Tahoma"/>
      <family val="2"/>
    </font>
    <font>
      <b/>
      <sz val="9"/>
      <color indexed="81"/>
      <name val="Tahoma"/>
      <family val="2"/>
    </font>
    <font>
      <sz val="10"/>
      <name val="Arial"/>
      <family val="2"/>
    </font>
    <font>
      <b/>
      <sz val="10"/>
      <color indexed="24"/>
      <name val="Arial"/>
      <family val="2"/>
    </font>
    <font>
      <sz val="10"/>
      <name val="Arial"/>
      <family val="2"/>
    </font>
    <font>
      <sz val="10"/>
      <color indexed="9"/>
      <name val="Arial"/>
      <family val="2"/>
    </font>
    <font>
      <u/>
      <sz val="10"/>
      <color indexed="63"/>
      <name val="Arial"/>
      <family val="2"/>
    </font>
    <font>
      <sz val="10"/>
      <color indexed="24"/>
      <name val="Arial"/>
      <family val="2"/>
    </font>
    <font>
      <b/>
      <sz val="10"/>
      <color indexed="24"/>
      <name val="Arial"/>
      <family val="2"/>
    </font>
    <font>
      <b/>
      <sz val="10"/>
      <color indexed="24"/>
      <name val="Arial"/>
      <family val="2"/>
    </font>
    <font>
      <sz val="10"/>
      <color indexed="24"/>
      <name val="Arial"/>
      <family val="2"/>
    </font>
    <font>
      <i/>
      <sz val="10"/>
      <color indexed="24"/>
      <name val="Arial"/>
      <family val="2"/>
    </font>
    <font>
      <b/>
      <u/>
      <sz val="10"/>
      <color indexed="24"/>
      <name val="Arial"/>
      <family val="2"/>
    </font>
    <font>
      <sz val="12"/>
      <name val="바탕체"/>
      <family val="3"/>
      <charset val="129"/>
    </font>
    <font>
      <sz val="12"/>
      <name val="바탕체"/>
      <family val="3"/>
    </font>
    <font>
      <b/>
      <sz val="10"/>
      <color rgb="FF0070C0"/>
      <name val="Arial"/>
      <family val="2"/>
    </font>
    <font>
      <sz val="10"/>
      <color theme="0" tint="-4.9989318521683403E-2"/>
      <name val="Arial"/>
      <family val="2"/>
    </font>
    <font>
      <sz val="10"/>
      <color rgb="FF0000FF"/>
      <name val="Arial"/>
      <family val="2"/>
    </font>
    <font>
      <b/>
      <u/>
      <sz val="10"/>
      <color rgb="FF0000FF"/>
      <name val="Arial"/>
      <family val="2"/>
    </font>
    <font>
      <sz val="10"/>
      <color theme="0" tint="-0.249977111117893"/>
      <name val="Arial"/>
      <family val="2"/>
    </font>
    <font>
      <b/>
      <sz val="10"/>
      <color rgb="FF0000FF"/>
      <name val="Arial"/>
      <family val="2"/>
    </font>
    <font>
      <sz val="10"/>
      <name val="Segoe UI"/>
      <family val="2"/>
    </font>
    <font>
      <sz val="10"/>
      <color indexed="4"/>
      <name val="Segoe UI"/>
      <family val="2"/>
    </font>
    <font>
      <b/>
      <sz val="10"/>
      <color indexed="0"/>
      <name val="Segoe UI"/>
      <family val="2"/>
    </font>
    <font>
      <sz val="10"/>
      <color indexed="2"/>
      <name val="Segoe UI"/>
      <family val="2"/>
    </font>
    <font>
      <b/>
      <i/>
      <sz val="10"/>
      <color indexed="4"/>
      <name val="Segoe UI"/>
      <family val="2"/>
    </font>
    <font>
      <i/>
      <sz val="10"/>
      <color rgb="FF0000FF"/>
      <name val="Arial"/>
      <family val="2"/>
    </font>
    <font>
      <b/>
      <u/>
      <sz val="10"/>
      <color theme="0"/>
      <name val="Arial"/>
      <family val="2"/>
    </font>
    <font>
      <sz val="10"/>
      <color theme="0"/>
      <name val="Arial"/>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4"/>
        <bgColor indexed="64"/>
      </patternFill>
    </fill>
    <fill>
      <patternFill patternType="solid">
        <fgColor indexed="9"/>
        <bgColor indexed="64"/>
      </patternFill>
    </fill>
    <fill>
      <patternFill patternType="solid">
        <fgColor indexed="16"/>
        <bgColor indexed="64"/>
      </patternFill>
    </fill>
    <fill>
      <patternFill patternType="solid">
        <fgColor theme="0" tint="-0.249977111117893"/>
        <bgColor indexed="64"/>
      </patternFill>
    </fill>
    <fill>
      <patternFill patternType="solid">
        <fgColor rgb="FFFF0000"/>
        <bgColor indexed="64"/>
      </patternFill>
    </fill>
    <fill>
      <patternFill patternType="solid">
        <fgColor indexed="48"/>
      </patternFill>
    </fill>
    <fill>
      <patternFill patternType="solid">
        <fgColor rgb="FF003366"/>
        <bgColor indexed="64"/>
      </patternFill>
    </fill>
    <fill>
      <patternFill patternType="solid">
        <fgColor rgb="FFFFFF00"/>
        <bgColor indexed="64"/>
      </patternFill>
    </fill>
    <fill>
      <patternFill patternType="solid">
        <fgColor indexed="65"/>
        <bgColor indexed="64"/>
      </patternFill>
    </fill>
  </fills>
  <borders count="67">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thin">
        <color indexed="8"/>
      </bottom>
      <diagonal/>
    </border>
    <border>
      <left style="medium">
        <color indexed="60"/>
      </left>
      <right/>
      <top/>
      <bottom/>
      <diagonal/>
    </border>
    <border>
      <left/>
      <right/>
      <top style="thin">
        <color indexed="64"/>
      </top>
      <bottom/>
      <diagonal/>
    </border>
    <border>
      <left/>
      <right/>
      <top style="thin">
        <color indexed="64"/>
      </top>
      <bottom style="medium">
        <color indexed="64"/>
      </bottom>
      <diagonal/>
    </border>
    <border>
      <left/>
      <right/>
      <top style="medium">
        <color indexed="64"/>
      </top>
      <bottom/>
      <diagonal/>
    </border>
    <border>
      <left/>
      <right style="thin">
        <color indexed="64"/>
      </right>
      <top/>
      <bottom/>
      <diagonal/>
    </border>
    <border>
      <left style="thin">
        <color indexed="64"/>
      </left>
      <right/>
      <top/>
      <bottom style="thin">
        <color indexed="64"/>
      </bottom>
      <diagonal/>
    </border>
    <border>
      <left/>
      <right/>
      <top style="thin">
        <color indexed="9"/>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9"/>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style="thin">
        <color indexed="9"/>
      </top>
      <bottom/>
      <diagonal/>
    </border>
    <border>
      <left/>
      <right style="thin">
        <color indexed="64"/>
      </right>
      <top style="thin">
        <color indexed="64"/>
      </top>
      <bottom/>
      <diagonal/>
    </border>
    <border>
      <left/>
      <right/>
      <top style="thin">
        <color indexed="9"/>
      </top>
      <bottom style="thin">
        <color indexed="53"/>
      </bottom>
      <diagonal/>
    </border>
    <border>
      <left style="thin">
        <color indexed="64"/>
      </left>
      <right/>
      <top style="thin">
        <color indexed="9"/>
      </top>
      <bottom style="thin">
        <color indexed="16"/>
      </bottom>
      <diagonal/>
    </border>
    <border>
      <left style="thin">
        <color indexed="64"/>
      </left>
      <right/>
      <top style="thin">
        <color indexed="64"/>
      </top>
      <bottom style="thin">
        <color indexed="16"/>
      </bottom>
      <diagonal/>
    </border>
    <border>
      <left/>
      <right/>
      <top style="thin">
        <color indexed="64"/>
      </top>
      <bottom style="thin">
        <color indexed="16"/>
      </bottom>
      <diagonal/>
    </border>
    <border>
      <left/>
      <right style="thin">
        <color indexed="64"/>
      </right>
      <top style="thin">
        <color indexed="64"/>
      </top>
      <bottom style="thin">
        <color indexed="16"/>
      </bottom>
      <diagonal/>
    </border>
    <border>
      <left/>
      <right/>
      <top style="thin">
        <color indexed="9"/>
      </top>
      <bottom style="thin">
        <color indexed="16"/>
      </bottom>
      <diagonal/>
    </border>
    <border>
      <left/>
      <right/>
      <top style="thin">
        <color indexed="9"/>
      </top>
      <bottom style="thin">
        <color indexed="9"/>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dashDot">
        <color indexed="16"/>
      </right>
      <top/>
      <bottom/>
      <diagonal/>
    </border>
    <border>
      <left style="thin">
        <color indexed="16"/>
      </left>
      <right/>
      <top/>
      <bottom/>
      <diagonal/>
    </border>
    <border>
      <left style="medium">
        <color indexed="16"/>
      </left>
      <right/>
      <top/>
      <bottom/>
      <diagonal/>
    </border>
    <border>
      <left style="medium">
        <color indexed="60"/>
      </left>
      <right/>
      <top style="medium">
        <color indexed="60"/>
      </top>
      <bottom style="thin">
        <color indexed="64"/>
      </bottom>
      <diagonal/>
    </border>
    <border>
      <left/>
      <right/>
      <top style="medium">
        <color indexed="60"/>
      </top>
      <bottom style="thin">
        <color indexed="64"/>
      </bottom>
      <diagonal/>
    </border>
    <border>
      <left style="thin">
        <color indexed="64"/>
      </left>
      <right/>
      <top style="medium">
        <color indexed="60"/>
      </top>
      <bottom/>
      <diagonal/>
    </border>
    <border>
      <left/>
      <right style="thin">
        <color indexed="64"/>
      </right>
      <top style="medium">
        <color indexed="60"/>
      </top>
      <bottom/>
      <diagonal/>
    </border>
    <border>
      <left/>
      <right/>
      <top style="medium">
        <color indexed="60"/>
      </top>
      <bottom/>
      <diagonal/>
    </border>
    <border>
      <left/>
      <right style="medium">
        <color indexed="60"/>
      </right>
      <top style="medium">
        <color indexed="60"/>
      </top>
      <bottom/>
      <diagonal/>
    </border>
    <border>
      <left/>
      <right style="medium">
        <color indexed="60"/>
      </right>
      <top/>
      <bottom/>
      <diagonal/>
    </border>
    <border>
      <left style="medium">
        <color indexed="60"/>
      </left>
      <right/>
      <top style="thin">
        <color indexed="64"/>
      </top>
      <bottom style="thin">
        <color indexed="64"/>
      </bottom>
      <diagonal/>
    </border>
    <border>
      <left style="medium">
        <color indexed="60"/>
      </left>
      <right style="dashDot">
        <color indexed="16"/>
      </right>
      <top/>
      <bottom style="medium">
        <color indexed="60"/>
      </bottom>
      <diagonal/>
    </border>
    <border>
      <left/>
      <right style="dashDot">
        <color indexed="16"/>
      </right>
      <top/>
      <bottom style="medium">
        <color indexed="60"/>
      </bottom>
      <diagonal/>
    </border>
    <border>
      <left style="thin">
        <color indexed="16"/>
      </left>
      <right/>
      <top/>
      <bottom style="medium">
        <color indexed="60"/>
      </bottom>
      <diagonal/>
    </border>
    <border>
      <left/>
      <right/>
      <top/>
      <bottom style="medium">
        <color indexed="60"/>
      </bottom>
      <diagonal/>
    </border>
    <border>
      <left/>
      <right style="medium">
        <color indexed="60"/>
      </right>
      <top/>
      <bottom style="medium">
        <color indexed="60"/>
      </bottom>
      <diagonal/>
    </border>
    <border>
      <left style="medium">
        <color indexed="64"/>
      </left>
      <right/>
      <top style="medium">
        <color indexed="64"/>
      </top>
      <bottom style="medium">
        <color indexed="64"/>
      </bottom>
      <diagonal/>
    </border>
    <border>
      <left/>
      <right style="thin">
        <color indexed="64"/>
      </right>
      <top style="medium">
        <color indexed="60"/>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rgb="FF000000"/>
      </right>
      <top/>
      <bottom/>
      <diagonal/>
    </border>
    <border>
      <left style="thin">
        <color indexed="64"/>
      </left>
      <right/>
      <top style="medium">
        <color indexed="64"/>
      </top>
      <bottom/>
      <diagonal/>
    </border>
    <border>
      <left/>
      <right style="thin">
        <color rgb="FF000000"/>
      </right>
      <top style="thin">
        <color indexed="64"/>
      </top>
      <bottom/>
      <diagonal/>
    </border>
    <border>
      <left/>
      <right style="thin">
        <color rgb="FF000000"/>
      </right>
      <top/>
      <bottom style="thin">
        <color indexed="64"/>
      </bottom>
      <diagonal/>
    </border>
    <border>
      <left style="thin">
        <color rgb="FF000000"/>
      </left>
      <right style="thin">
        <color rgb="FF000000"/>
      </right>
      <top style="thin">
        <color rgb="FF000000"/>
      </top>
      <bottom style="thin">
        <color rgb="FF000000"/>
      </bottom>
      <diagonal/>
    </border>
    <border>
      <left/>
      <right style="medium">
        <color rgb="FFFF0000"/>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68">
    <xf numFmtId="0" fontId="0" fillId="0" borderId="0"/>
    <xf numFmtId="0" fontId="1" fillId="0" borderId="0"/>
    <xf numFmtId="0" fontId="1" fillId="0" borderId="0"/>
    <xf numFmtId="0" fontId="1" fillId="0" borderId="0">
      <alignment vertical="top"/>
    </xf>
    <xf numFmtId="0" fontId="1" fillId="0" borderId="0">
      <alignment vertical="top"/>
    </xf>
    <xf numFmtId="0" fontId="76" fillId="0" borderId="0" applyNumberFormat="0" applyFont="0" applyFill="0" applyBorder="0" applyAlignment="0" applyProtection="0"/>
    <xf numFmtId="0" fontId="5" fillId="0" borderId="0" applyNumberFormat="0" applyFont="0" applyFill="0" applyBorder="0" applyAlignment="0" applyProtection="0"/>
    <xf numFmtId="0" fontId="1" fillId="0" borderId="0" applyNumberFormat="0" applyFont="0" applyFill="0" applyBorder="0" applyAlignment="0" applyProtection="0"/>
    <xf numFmtId="0" fontId="1" fillId="0" borderId="0"/>
    <xf numFmtId="0" fontId="39" fillId="0" borderId="0"/>
    <xf numFmtId="0" fontId="39" fillId="0" borderId="0"/>
    <xf numFmtId="0" fontId="48" fillId="0" borderId="0"/>
    <xf numFmtId="0" fontId="39" fillId="0" borderId="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1" fillId="0" borderId="0" applyFont="0" applyFill="0" applyBorder="0" applyAlignment="0" applyProtection="0"/>
    <xf numFmtId="0" fontId="40" fillId="0" borderId="0"/>
    <xf numFmtId="0" fontId="1" fillId="0" borderId="0"/>
    <xf numFmtId="0" fontId="1" fillId="0" borderId="0"/>
    <xf numFmtId="43" fontId="1" fillId="0" borderId="0" applyFont="0" applyFill="0" applyBorder="0" applyAlignment="0" applyProtection="0"/>
    <xf numFmtId="41" fontId="1" fillId="0" borderId="0" applyFont="0" applyFill="0" applyBorder="0" applyAlignment="0" applyProtection="0"/>
    <xf numFmtId="38" fontId="39" fillId="0" borderId="0" applyFont="0" applyFill="0" applyBorder="0" applyAlignment="0" applyProtection="0"/>
    <xf numFmtId="43" fontId="5" fillId="0" borderId="0" applyFont="0" applyFill="0" applyBorder="0" applyAlignment="0" applyProtection="0"/>
    <xf numFmtId="43" fontId="99" fillId="0" borderId="0" applyFont="0" applyFill="0" applyBorder="0" applyAlignment="0" applyProtection="0"/>
    <xf numFmtId="44" fontId="1" fillId="0" borderId="0" applyFont="0" applyFill="0" applyBorder="0" applyAlignment="0" applyProtection="0"/>
    <xf numFmtId="6" fontId="94" fillId="0" borderId="0" applyFont="0" applyFill="0" applyBorder="0" applyAlignment="0" applyProtection="0"/>
    <xf numFmtId="44" fontId="99" fillId="0" borderId="0" applyFont="0" applyFill="0" applyBorder="0" applyAlignment="0" applyProtection="0"/>
    <xf numFmtId="0" fontId="1" fillId="0" borderId="0"/>
    <xf numFmtId="0" fontId="76" fillId="0" borderId="0" applyNumberFormat="0" applyFont="0" applyFill="0" applyBorder="0" applyAlignment="0" applyProtection="0"/>
    <xf numFmtId="0" fontId="2" fillId="0" borderId="0"/>
    <xf numFmtId="0" fontId="76" fillId="0" borderId="0" applyNumberFormat="0" applyFont="0" applyFill="0" applyBorder="0" applyAlignment="0" applyProtection="0"/>
    <xf numFmtId="0" fontId="1" fillId="0" borderId="0"/>
    <xf numFmtId="0" fontId="5" fillId="0" borderId="0" applyNumberFormat="0" applyFont="0" applyFill="0" applyBorder="0" applyAlignment="0" applyProtection="0"/>
    <xf numFmtId="0" fontId="99" fillId="0" borderId="0"/>
    <xf numFmtId="0" fontId="5" fillId="0" borderId="0"/>
    <xf numFmtId="0" fontId="5" fillId="0" borderId="0"/>
    <xf numFmtId="0" fontId="5" fillId="0" borderId="0"/>
    <xf numFmtId="0" fontId="1" fillId="0" borderId="0"/>
    <xf numFmtId="0" fontId="1" fillId="0" borderId="0" applyNumberFormat="0" applyFont="0" applyFill="0" applyBorder="0" applyAlignment="0" applyProtection="0"/>
    <xf numFmtId="0" fontId="41" fillId="0" borderId="0">
      <alignment vertical="center"/>
    </xf>
    <xf numFmtId="9" fontId="1" fillId="0" borderId="0" applyFont="0" applyFill="0" applyBorder="0" applyAlignment="0" applyProtection="0"/>
    <xf numFmtId="9" fontId="5" fillId="0" borderId="0" applyFont="0" applyFill="0" applyBorder="0" applyAlignment="0" applyProtection="0"/>
    <xf numFmtId="0" fontId="1" fillId="3" borderId="0" applyNumberFormat="0" applyFont="0" applyBorder="0" applyAlignment="0" applyProtection="0"/>
    <xf numFmtId="0" fontId="42" fillId="0" borderId="0"/>
    <xf numFmtId="0" fontId="42" fillId="0" borderId="8">
      <alignment horizontal="centerContinuous"/>
    </xf>
    <xf numFmtId="0" fontId="43" fillId="0" borderId="8"/>
    <xf numFmtId="0" fontId="1" fillId="0" borderId="0" applyFont="0" applyFill="0" applyBorder="0" applyAlignment="0" applyProtection="0"/>
    <xf numFmtId="0" fontId="108" fillId="0" borderId="0" applyFont="0" applyFill="0" applyBorder="0" applyAlignment="0" applyProtection="0"/>
    <xf numFmtId="0" fontId="109" fillId="0" borderId="0"/>
    <xf numFmtId="0" fontId="1" fillId="0" borderId="0"/>
    <xf numFmtId="0" fontId="116" fillId="0" borderId="0"/>
    <xf numFmtId="0" fontId="119" fillId="0" borderId="0"/>
    <xf numFmtId="0" fontId="118" fillId="9" borderId="0"/>
    <xf numFmtId="0" fontId="116" fillId="0" borderId="0">
      <alignment wrapText="1"/>
    </xf>
    <xf numFmtId="0" fontId="118" fillId="0" borderId="0"/>
    <xf numFmtId="0" fontId="120" fillId="0" borderId="0"/>
    <xf numFmtId="0" fontId="117" fillId="0" borderId="0"/>
    <xf numFmtId="0" fontId="117" fillId="0" borderId="0"/>
    <xf numFmtId="0" fontId="1" fillId="0" borderId="0" applyNumberFormat="0" applyFont="0" applyFill="0" applyBorder="0" applyAlignment="0" applyProtection="0"/>
    <xf numFmtId="0" fontId="1" fillId="0" borderId="0"/>
    <xf numFmtId="0" fontId="1" fillId="0" borderId="0"/>
    <xf numFmtId="0" fontId="39"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24" fillId="0" borderId="0"/>
  </cellStyleXfs>
  <cellXfs count="2358">
    <xf numFmtId="0" fontId="0" fillId="0" borderId="0" xfId="0"/>
    <xf numFmtId="0" fontId="0" fillId="0" borderId="0" xfId="0" applyFill="1" applyBorder="1"/>
    <xf numFmtId="3" fontId="0" fillId="0" borderId="0" xfId="0" applyNumberFormat="1" applyFill="1" applyBorder="1"/>
    <xf numFmtId="0" fontId="0" fillId="2" borderId="0" xfId="0" applyFill="1" applyBorder="1"/>
    <xf numFmtId="0" fontId="0" fillId="0" borderId="0" xfId="0" applyFill="1"/>
    <xf numFmtId="0" fontId="12" fillId="0" borderId="0" xfId="0" applyFont="1"/>
    <xf numFmtId="165" fontId="7" fillId="6" borderId="0" xfId="0" applyNumberFormat="1" applyFont="1" applyFill="1"/>
    <xf numFmtId="165" fontId="6" fillId="6" borderId="0" xfId="0" applyNumberFormat="1" applyFont="1" applyFill="1"/>
    <xf numFmtId="165" fontId="13" fillId="6" borderId="0" xfId="0" applyNumberFormat="1" applyFont="1" applyFill="1"/>
    <xf numFmtId="165" fontId="14" fillId="6" borderId="0" xfId="0" applyNumberFormat="1" applyFont="1" applyFill="1"/>
    <xf numFmtId="165" fontId="11" fillId="6" borderId="0" xfId="0" applyNumberFormat="1" applyFont="1" applyFill="1"/>
    <xf numFmtId="165" fontId="10" fillId="6" borderId="0" xfId="0" applyNumberFormat="1" applyFont="1" applyFill="1"/>
    <xf numFmtId="165" fontId="15" fillId="6" borderId="0" xfId="0" applyNumberFormat="1" applyFont="1" applyFill="1"/>
    <xf numFmtId="0" fontId="1" fillId="0" borderId="0" xfId="0" applyFont="1" applyFill="1" applyBorder="1"/>
    <xf numFmtId="0" fontId="0" fillId="6" borderId="0" xfId="0" applyFill="1"/>
    <xf numFmtId="0" fontId="0" fillId="6" borderId="0" xfId="0" applyFill="1" applyBorder="1"/>
    <xf numFmtId="0" fontId="0" fillId="2" borderId="0" xfId="0" applyFill="1"/>
    <xf numFmtId="3" fontId="0" fillId="2" borderId="0" xfId="0" applyNumberFormat="1" applyFill="1" applyBorder="1"/>
    <xf numFmtId="164" fontId="0" fillId="0" borderId="0" xfId="0" applyNumberFormat="1"/>
    <xf numFmtId="0" fontId="0" fillId="0" borderId="0" xfId="0" applyBorder="1"/>
    <xf numFmtId="3" fontId="5" fillId="0" borderId="0" xfId="0" applyNumberFormat="1" applyFont="1" applyFill="1" applyBorder="1"/>
    <xf numFmtId="165" fontId="10" fillId="6" borderId="0" xfId="0" applyNumberFormat="1" applyFont="1" applyFill="1" applyAlignment="1">
      <alignment horizontal="right"/>
    </xf>
    <xf numFmtId="3" fontId="0" fillId="0" borderId="0" xfId="0" applyNumberFormat="1"/>
    <xf numFmtId="4" fontId="5" fillId="0" borderId="0" xfId="0" applyNumberFormat="1" applyFont="1" applyFill="1" applyBorder="1"/>
    <xf numFmtId="37" fontId="5" fillId="0" borderId="0" xfId="0" applyNumberFormat="1" applyFont="1" applyFill="1" applyBorder="1"/>
    <xf numFmtId="166" fontId="5" fillId="0" borderId="0" xfId="0" applyNumberFormat="1" applyFont="1" applyFill="1" applyBorder="1"/>
    <xf numFmtId="4" fontId="4" fillId="0" borderId="0" xfId="0" applyNumberFormat="1" applyFont="1" applyFill="1" applyBorder="1"/>
    <xf numFmtId="165" fontId="26" fillId="6" borderId="0" xfId="0" applyNumberFormat="1" applyFont="1" applyFill="1"/>
    <xf numFmtId="0" fontId="5" fillId="0" borderId="0" xfId="0" applyFont="1" applyFill="1" applyBorder="1"/>
    <xf numFmtId="165" fontId="3" fillId="6" borderId="0" xfId="0" applyNumberFormat="1" applyFont="1" applyFill="1" applyBorder="1"/>
    <xf numFmtId="3" fontId="37" fillId="0" borderId="0" xfId="0" applyNumberFormat="1" applyFont="1" applyFill="1" applyBorder="1"/>
    <xf numFmtId="0" fontId="1" fillId="0" borderId="0" xfId="0" applyFont="1"/>
    <xf numFmtId="0" fontId="4" fillId="0" borderId="0" xfId="0" applyFont="1" applyFill="1" applyBorder="1"/>
    <xf numFmtId="0" fontId="0" fillId="5" borderId="0" xfId="0" applyFill="1"/>
    <xf numFmtId="0" fontId="4" fillId="0" borderId="0" xfId="0" applyFont="1"/>
    <xf numFmtId="0" fontId="5" fillId="0" borderId="0" xfId="0" applyFont="1" applyFill="1" applyBorder="1" applyAlignment="1">
      <alignment horizontal="right"/>
    </xf>
    <xf numFmtId="0" fontId="5" fillId="2" borderId="0" xfId="0" applyFont="1" applyFill="1" applyBorder="1"/>
    <xf numFmtId="0" fontId="5" fillId="0" borderId="0" xfId="0" applyFont="1" applyFill="1" applyBorder="1" applyAlignment="1">
      <alignment horizontal="center"/>
    </xf>
    <xf numFmtId="0" fontId="16" fillId="0" borderId="0" xfId="0" applyFont="1" applyFill="1"/>
    <xf numFmtId="0" fontId="5" fillId="2" borderId="0" xfId="0" applyFont="1" applyFill="1" applyBorder="1" applyAlignment="1">
      <alignment horizontal="right"/>
    </xf>
    <xf numFmtId="0" fontId="5" fillId="0" borderId="0" xfId="0" applyFont="1" applyFill="1"/>
    <xf numFmtId="49" fontId="0" fillId="0" borderId="0" xfId="0" applyNumberFormat="1"/>
    <xf numFmtId="2" fontId="0" fillId="0" borderId="0" xfId="0" applyNumberFormat="1"/>
    <xf numFmtId="0" fontId="30" fillId="0" borderId="0" xfId="0" applyFont="1"/>
    <xf numFmtId="0" fontId="0" fillId="0" borderId="13" xfId="0" applyFill="1" applyBorder="1"/>
    <xf numFmtId="173" fontId="5" fillId="0" borderId="0" xfId="20" applyNumberFormat="1" applyFont="1" applyFill="1" applyBorder="1"/>
    <xf numFmtId="165" fontId="14" fillId="6" borderId="0" xfId="0" applyNumberFormat="1" applyFont="1" applyFill="1" applyAlignment="1">
      <alignment horizontal="right"/>
    </xf>
    <xf numFmtId="165" fontId="52" fillId="6" borderId="0" xfId="0" applyNumberFormat="1" applyFont="1" applyFill="1"/>
    <xf numFmtId="164" fontId="8" fillId="0" borderId="2" xfId="0" applyNumberFormat="1" applyFont="1" applyFill="1" applyBorder="1"/>
    <xf numFmtId="164" fontId="3" fillId="0" borderId="2" xfId="0" applyNumberFormat="1" applyFont="1" applyFill="1" applyBorder="1"/>
    <xf numFmtId="164" fontId="27" fillId="0" borderId="2" xfId="0" applyNumberFormat="1" applyFont="1" applyFill="1" applyBorder="1" applyAlignment="1">
      <alignment horizontal="right"/>
    </xf>
    <xf numFmtId="0" fontId="8" fillId="0" borderId="14" xfId="22" applyNumberFormat="1" applyFont="1" applyBorder="1" applyAlignment="1">
      <alignment horizontal="center"/>
    </xf>
    <xf numFmtId="0" fontId="8" fillId="0" borderId="2" xfId="22" applyNumberFormat="1" applyFont="1" applyBorder="1" applyAlignment="1">
      <alignment horizontal="center"/>
    </xf>
    <xf numFmtId="166" fontId="8" fillId="0" borderId="2" xfId="22" applyNumberFormat="1" applyFont="1" applyBorder="1" applyAlignment="1">
      <alignment horizontal="center"/>
    </xf>
    <xf numFmtId="38" fontId="8" fillId="0" borderId="2" xfId="22" applyNumberFormat="1" applyFont="1" applyBorder="1" applyAlignment="1">
      <alignment horizontal="center"/>
    </xf>
    <xf numFmtId="164" fontId="0" fillId="0" borderId="2" xfId="0" applyNumberFormat="1" applyFill="1" applyBorder="1"/>
    <xf numFmtId="176" fontId="8" fillId="0" borderId="15" xfId="0" applyNumberFormat="1" applyFont="1" applyFill="1" applyBorder="1" applyAlignment="1">
      <alignment horizontal="right"/>
    </xf>
    <xf numFmtId="164" fontId="8" fillId="2" borderId="16" xfId="0" applyNumberFormat="1" applyFont="1" applyFill="1" applyBorder="1" applyAlignment="1">
      <alignment horizontal="right"/>
    </xf>
    <xf numFmtId="164" fontId="8" fillId="2" borderId="4" xfId="0" applyNumberFormat="1" applyFont="1" applyFill="1" applyBorder="1" applyAlignment="1">
      <alignment horizontal="right"/>
    </xf>
    <xf numFmtId="164" fontId="8" fillId="2" borderId="17" xfId="0" applyNumberFormat="1" applyFont="1" applyFill="1" applyBorder="1" applyAlignment="1">
      <alignment horizontal="right"/>
    </xf>
    <xf numFmtId="0" fontId="8" fillId="0" borderId="18" xfId="0" applyNumberFormat="1" applyFont="1" applyFill="1" applyBorder="1" applyAlignment="1">
      <alignment horizontal="right"/>
    </xf>
    <xf numFmtId="0" fontId="4" fillId="0" borderId="3" xfId="0" applyFont="1" applyFill="1" applyBorder="1" applyAlignment="1"/>
    <xf numFmtId="0" fontId="20" fillId="0" borderId="11" xfId="0" applyFont="1" applyBorder="1" applyAlignment="1"/>
    <xf numFmtId="0" fontId="20" fillId="0" borderId="19" xfId="22" applyNumberFormat="1" applyFont="1" applyBorder="1" applyAlignment="1">
      <alignment horizontal="center"/>
    </xf>
    <xf numFmtId="0" fontId="20" fillId="0" borderId="11" xfId="22" applyNumberFormat="1" applyFont="1" applyBorder="1" applyAlignment="1">
      <alignment horizontal="center"/>
    </xf>
    <xf numFmtId="166" fontId="20" fillId="0" borderId="11" xfId="22" applyNumberFormat="1" applyFont="1" applyBorder="1" applyAlignment="1">
      <alignment horizontal="center"/>
    </xf>
    <xf numFmtId="38" fontId="20" fillId="0" borderId="11" xfId="22" applyNumberFormat="1" applyFont="1" applyBorder="1" applyAlignment="1">
      <alignment horizontal="center"/>
    </xf>
    <xf numFmtId="0" fontId="20" fillId="0" borderId="20" xfId="0" applyFont="1" applyBorder="1" applyAlignment="1">
      <alignment horizontal="left"/>
    </xf>
    <xf numFmtId="0" fontId="20" fillId="0" borderId="11" xfId="0" applyFont="1" applyBorder="1" applyAlignment="1">
      <alignment horizontal="right"/>
    </xf>
    <xf numFmtId="0" fontId="20" fillId="2" borderId="19" xfId="0" applyFont="1" applyFill="1" applyBorder="1" applyAlignment="1">
      <alignment horizontal="right"/>
    </xf>
    <xf numFmtId="0" fontId="20" fillId="2" borderId="11" xfId="0" applyFont="1" applyFill="1" applyBorder="1" applyAlignment="1">
      <alignment horizontal="right"/>
    </xf>
    <xf numFmtId="0" fontId="20" fillId="2" borderId="20" xfId="0" applyFont="1" applyFill="1" applyBorder="1" applyAlignment="1">
      <alignment horizontal="right"/>
    </xf>
    <xf numFmtId="0" fontId="20" fillId="0" borderId="20" xfId="0" applyFont="1" applyBorder="1" applyAlignment="1">
      <alignment horizontal="right"/>
    </xf>
    <xf numFmtId="0" fontId="3" fillId="6" borderId="0" xfId="0" applyFont="1" applyFill="1" applyBorder="1"/>
    <xf numFmtId="0" fontId="16" fillId="6" borderId="0" xfId="0" applyFont="1" applyFill="1"/>
    <xf numFmtId="38" fontId="5" fillId="0" borderId="1" xfId="0" applyNumberFormat="1" applyFont="1" applyFill="1" applyBorder="1" applyAlignment="1">
      <alignment horizontal="center"/>
    </xf>
    <xf numFmtId="38" fontId="5" fillId="0" borderId="0" xfId="0" applyNumberFormat="1" applyFont="1" applyFill="1" applyBorder="1" applyAlignment="1">
      <alignment horizontal="center"/>
    </xf>
    <xf numFmtId="1" fontId="5" fillId="0" borderId="0" xfId="0" applyNumberFormat="1" applyFont="1" applyFill="1" applyBorder="1" applyAlignment="1">
      <alignment horizontal="center"/>
    </xf>
    <xf numFmtId="166" fontId="5" fillId="0" borderId="0" xfId="0" applyNumberFormat="1" applyFont="1" applyFill="1" applyBorder="1" applyAlignment="1">
      <alignment horizontal="center"/>
    </xf>
    <xf numFmtId="172" fontId="5" fillId="0" borderId="0" xfId="0" applyNumberFormat="1" applyFont="1" applyFill="1" applyBorder="1" applyAlignment="1">
      <alignment horizontal="center"/>
    </xf>
    <xf numFmtId="173" fontId="5" fillId="0" borderId="13" xfId="20" applyNumberFormat="1" applyFont="1" applyFill="1" applyBorder="1" applyAlignment="1"/>
    <xf numFmtId="173" fontId="5" fillId="0" borderId="0" xfId="20" applyNumberFormat="1" applyFont="1" applyFill="1" applyBorder="1" applyAlignment="1">
      <alignment horizontal="right"/>
    </xf>
    <xf numFmtId="173" fontId="5" fillId="2" borderId="1" xfId="20" applyNumberFormat="1" applyFont="1" applyFill="1" applyBorder="1" applyAlignment="1">
      <alignment horizontal="right"/>
    </xf>
    <xf numFmtId="173" fontId="5" fillId="2" borderId="0" xfId="20" applyNumberFormat="1" applyFont="1" applyFill="1" applyBorder="1" applyAlignment="1">
      <alignment horizontal="right"/>
    </xf>
    <xf numFmtId="173" fontId="5" fillId="2" borderId="13" xfId="20" applyNumberFormat="1" applyFont="1" applyFill="1" applyBorder="1" applyAlignment="1">
      <alignment horizontal="right"/>
    </xf>
    <xf numFmtId="175" fontId="5" fillId="0" borderId="0" xfId="20" applyNumberFormat="1" applyFont="1" applyFill="1" applyBorder="1" applyAlignment="1">
      <alignment horizontal="right"/>
    </xf>
    <xf numFmtId="175" fontId="5" fillId="2" borderId="1" xfId="20" applyNumberFormat="1" applyFont="1" applyFill="1" applyBorder="1" applyAlignment="1">
      <alignment horizontal="right"/>
    </xf>
    <xf numFmtId="175" fontId="5" fillId="2" borderId="0" xfId="20" applyNumberFormat="1" applyFont="1" applyFill="1" applyBorder="1" applyAlignment="1">
      <alignment horizontal="right"/>
    </xf>
    <xf numFmtId="175" fontId="5" fillId="2" borderId="13" xfId="20" applyNumberFormat="1" applyFont="1" applyFill="1" applyBorder="1" applyAlignment="1">
      <alignment horizontal="right"/>
    </xf>
    <xf numFmtId="0" fontId="5" fillId="0" borderId="0" xfId="0" applyFont="1" applyFill="1" applyBorder="1" applyAlignment="1"/>
    <xf numFmtId="0" fontId="4" fillId="0" borderId="0" xfId="0" applyFont="1" applyFill="1" applyBorder="1" applyAlignment="1"/>
    <xf numFmtId="0" fontId="5" fillId="0" borderId="2" xfId="0" applyFont="1" applyFill="1" applyBorder="1" applyAlignment="1"/>
    <xf numFmtId="38" fontId="5" fillId="0" borderId="14" xfId="0" applyNumberFormat="1" applyFont="1" applyFill="1" applyBorder="1" applyAlignment="1">
      <alignment horizontal="center"/>
    </xf>
    <xf numFmtId="38" fontId="5" fillId="0" borderId="2" xfId="0" applyNumberFormat="1" applyFont="1" applyFill="1" applyBorder="1" applyAlignment="1">
      <alignment horizontal="center"/>
    </xf>
    <xf numFmtId="1" fontId="5" fillId="0" borderId="2" xfId="0" applyNumberFormat="1" applyFont="1" applyFill="1" applyBorder="1" applyAlignment="1">
      <alignment horizontal="center"/>
    </xf>
    <xf numFmtId="166" fontId="5" fillId="0" borderId="2" xfId="0" applyNumberFormat="1" applyFont="1" applyFill="1" applyBorder="1" applyAlignment="1">
      <alignment horizontal="center"/>
    </xf>
    <xf numFmtId="172" fontId="5" fillId="0" borderId="2" xfId="0" applyNumberFormat="1" applyFont="1" applyFill="1" applyBorder="1" applyAlignment="1">
      <alignment horizontal="center"/>
    </xf>
    <xf numFmtId="173" fontId="5" fillId="0" borderId="21" xfId="20" applyNumberFormat="1" applyFont="1" applyFill="1" applyBorder="1" applyAlignment="1"/>
    <xf numFmtId="173" fontId="5" fillId="0" borderId="2" xfId="20" applyNumberFormat="1" applyFont="1" applyFill="1" applyBorder="1" applyAlignment="1">
      <alignment horizontal="right"/>
    </xf>
    <xf numFmtId="173" fontId="5" fillId="2" borderId="14" xfId="20" applyNumberFormat="1" applyFont="1" applyFill="1" applyBorder="1" applyAlignment="1">
      <alignment horizontal="right"/>
    </xf>
    <xf numFmtId="173" fontId="5" fillId="2" borderId="2" xfId="20" applyNumberFormat="1" applyFont="1" applyFill="1" applyBorder="1" applyAlignment="1">
      <alignment horizontal="right"/>
    </xf>
    <xf numFmtId="173" fontId="5" fillId="2" borderId="21" xfId="20" applyNumberFormat="1" applyFont="1" applyFill="1" applyBorder="1" applyAlignment="1">
      <alignment horizontal="right"/>
    </xf>
    <xf numFmtId="175" fontId="5" fillId="0" borderId="2" xfId="20" applyNumberFormat="1" applyFont="1" applyFill="1" applyBorder="1" applyAlignment="1">
      <alignment horizontal="right"/>
    </xf>
    <xf numFmtId="175" fontId="5" fillId="2" borderId="14" xfId="20" applyNumberFormat="1" applyFont="1" applyFill="1" applyBorder="1" applyAlignment="1">
      <alignment horizontal="right"/>
    </xf>
    <xf numFmtId="175" fontId="5" fillId="2" borderId="2" xfId="20" applyNumberFormat="1" applyFont="1" applyFill="1" applyBorder="1" applyAlignment="1">
      <alignment horizontal="right"/>
    </xf>
    <xf numFmtId="175" fontId="5" fillId="2" borderId="21" xfId="20" applyNumberFormat="1" applyFont="1" applyFill="1" applyBorder="1" applyAlignment="1">
      <alignment horizontal="right"/>
    </xf>
    <xf numFmtId="38" fontId="4" fillId="0" borderId="1" xfId="0" applyNumberFormat="1" applyFont="1" applyFill="1" applyBorder="1" applyAlignment="1">
      <alignment horizontal="center"/>
    </xf>
    <xf numFmtId="38" fontId="4" fillId="0" borderId="0" xfId="25" applyNumberFormat="1" applyFont="1" applyFill="1" applyBorder="1" applyAlignment="1">
      <alignment horizontal="center"/>
    </xf>
    <xf numFmtId="1" fontId="4" fillId="0" borderId="0" xfId="0" applyNumberFormat="1" applyFont="1" applyFill="1" applyBorder="1" applyAlignment="1">
      <alignment horizontal="center"/>
    </xf>
    <xf numFmtId="166" fontId="4" fillId="0" borderId="0" xfId="0" applyNumberFormat="1" applyFont="1" applyFill="1" applyBorder="1" applyAlignment="1">
      <alignment horizontal="center"/>
    </xf>
    <xf numFmtId="172" fontId="4" fillId="0" borderId="0" xfId="0" applyNumberFormat="1" applyFont="1" applyFill="1" applyBorder="1" applyAlignment="1">
      <alignment horizontal="center"/>
    </xf>
    <xf numFmtId="173" fontId="4" fillId="0" borderId="0" xfId="20" applyNumberFormat="1" applyFont="1" applyFill="1" applyBorder="1" applyAlignment="1">
      <alignment horizontal="right"/>
    </xf>
    <xf numFmtId="173" fontId="4" fillId="2" borderId="1" xfId="20" applyNumberFormat="1" applyFont="1" applyFill="1" applyBorder="1" applyAlignment="1">
      <alignment horizontal="right"/>
    </xf>
    <xf numFmtId="173" fontId="4" fillId="2" borderId="0" xfId="20" applyNumberFormat="1" applyFont="1" applyFill="1" applyBorder="1" applyAlignment="1">
      <alignment horizontal="right"/>
    </xf>
    <xf numFmtId="173" fontId="4" fillId="2" borderId="13" xfId="20" applyNumberFormat="1" applyFont="1" applyFill="1" applyBorder="1" applyAlignment="1">
      <alignment horizontal="right"/>
    </xf>
    <xf numFmtId="175" fontId="4" fillId="0" borderId="0" xfId="20" applyNumberFormat="1" applyFont="1" applyFill="1" applyBorder="1" applyAlignment="1">
      <alignment horizontal="right"/>
    </xf>
    <xf numFmtId="175" fontId="4" fillId="2" borderId="1" xfId="20" applyNumberFormat="1" applyFont="1" applyFill="1" applyBorder="1" applyAlignment="1">
      <alignment horizontal="right"/>
    </xf>
    <xf numFmtId="175" fontId="4" fillId="2" borderId="0" xfId="20" applyNumberFormat="1" applyFont="1" applyFill="1" applyBorder="1" applyAlignment="1">
      <alignment horizontal="right"/>
    </xf>
    <xf numFmtId="175" fontId="4" fillId="2" borderId="13" xfId="20" applyNumberFormat="1" applyFont="1" applyFill="1" applyBorder="1" applyAlignment="1">
      <alignment horizontal="right"/>
    </xf>
    <xf numFmtId="38" fontId="4" fillId="0" borderId="0" xfId="0" applyNumberFormat="1" applyFont="1" applyFill="1" applyBorder="1" applyAlignment="1">
      <alignment horizontal="center"/>
    </xf>
    <xf numFmtId="0" fontId="5" fillId="0" borderId="3" xfId="0" applyFont="1" applyBorder="1" applyAlignment="1"/>
    <xf numFmtId="1" fontId="5" fillId="0" borderId="3" xfId="0" applyNumberFormat="1" applyFont="1" applyFill="1" applyBorder="1" applyAlignment="1">
      <alignment horizontal="center"/>
    </xf>
    <xf numFmtId="166" fontId="5" fillId="0" borderId="3" xfId="0" applyNumberFormat="1" applyFont="1" applyFill="1" applyBorder="1" applyAlignment="1">
      <alignment horizontal="center"/>
    </xf>
    <xf numFmtId="172" fontId="5" fillId="0" borderId="3" xfId="0" applyNumberFormat="1" applyFont="1" applyFill="1" applyBorder="1" applyAlignment="1">
      <alignment horizontal="center"/>
    </xf>
    <xf numFmtId="173" fontId="5" fillId="0" borderId="3" xfId="20" applyNumberFormat="1" applyFont="1" applyBorder="1" applyAlignment="1">
      <alignment horizontal="right"/>
    </xf>
    <xf numFmtId="175" fontId="5" fillId="0" borderId="3" xfId="20" applyNumberFormat="1" applyFont="1" applyBorder="1" applyAlignment="1">
      <alignment horizontal="right"/>
    </xf>
    <xf numFmtId="0" fontId="5" fillId="0" borderId="1" xfId="0" applyFont="1" applyFill="1" applyBorder="1" applyAlignment="1">
      <alignment horizontal="center"/>
    </xf>
    <xf numFmtId="166" fontId="25" fillId="0" borderId="0" xfId="22" applyNumberFormat="1" applyFont="1" applyFill="1" applyBorder="1" applyAlignment="1">
      <alignment horizontal="center"/>
    </xf>
    <xf numFmtId="38" fontId="25" fillId="0" borderId="0" xfId="22" applyNumberFormat="1" applyFont="1" applyFill="1" applyBorder="1" applyAlignment="1">
      <alignment horizontal="center"/>
    </xf>
    <xf numFmtId="0" fontId="5" fillId="0" borderId="13" xfId="0" applyFont="1" applyFill="1" applyBorder="1" applyAlignment="1">
      <alignment horizontal="center"/>
    </xf>
    <xf numFmtId="0" fontId="5" fillId="2" borderId="1" xfId="0" applyFont="1" applyFill="1" applyBorder="1" applyAlignment="1">
      <alignment horizontal="right"/>
    </xf>
    <xf numFmtId="0" fontId="5" fillId="2" borderId="13" xfId="0" applyFont="1" applyFill="1" applyBorder="1" applyAlignment="1">
      <alignment horizontal="right"/>
    </xf>
    <xf numFmtId="0" fontId="5" fillId="0" borderId="0" xfId="0" applyFont="1" applyBorder="1" applyAlignment="1">
      <alignment horizontal="center"/>
    </xf>
    <xf numFmtId="38" fontId="5" fillId="0" borderId="13" xfId="0" applyNumberFormat="1" applyFont="1" applyBorder="1" applyAlignment="1">
      <alignment horizontal="center"/>
    </xf>
    <xf numFmtId="38" fontId="5" fillId="0" borderId="0" xfId="0" applyNumberFormat="1" applyFont="1" applyBorder="1" applyAlignment="1">
      <alignment horizontal="right"/>
    </xf>
    <xf numFmtId="38" fontId="5" fillId="2" borderId="1" xfId="0" applyNumberFormat="1" applyFont="1" applyFill="1" applyBorder="1" applyAlignment="1">
      <alignment horizontal="right"/>
    </xf>
    <xf numFmtId="38" fontId="5" fillId="2" borderId="0" xfId="0" applyNumberFormat="1" applyFont="1" applyFill="1" applyBorder="1" applyAlignment="1">
      <alignment horizontal="right"/>
    </xf>
    <xf numFmtId="38" fontId="5" fillId="2" borderId="13" xfId="0" applyNumberFormat="1" applyFont="1" applyFill="1" applyBorder="1" applyAlignment="1">
      <alignment horizontal="right"/>
    </xf>
    <xf numFmtId="0" fontId="5" fillId="0" borderId="0" xfId="0" applyFont="1" applyBorder="1" applyAlignment="1">
      <alignment horizontal="right"/>
    </xf>
    <xf numFmtId="38" fontId="45" fillId="0" borderId="0" xfId="22" applyNumberFormat="1" applyFont="1" applyBorder="1" applyAlignment="1"/>
    <xf numFmtId="38" fontId="25" fillId="0" borderId="13" xfId="22" applyNumberFormat="1" applyFont="1" applyBorder="1" applyAlignment="1">
      <alignment horizontal="center"/>
    </xf>
    <xf numFmtId="177" fontId="5" fillId="0" borderId="0" xfId="0" applyNumberFormat="1" applyFont="1" applyBorder="1" applyAlignment="1">
      <alignment horizontal="right"/>
    </xf>
    <xf numFmtId="177" fontId="5" fillId="2" borderId="1" xfId="0" applyNumberFormat="1" applyFont="1" applyFill="1" applyBorder="1" applyAlignment="1">
      <alignment horizontal="right"/>
    </xf>
    <xf numFmtId="177" fontId="5" fillId="2" borderId="0" xfId="0" applyNumberFormat="1" applyFont="1" applyFill="1" applyBorder="1" applyAlignment="1">
      <alignment horizontal="right"/>
    </xf>
    <xf numFmtId="177" fontId="5" fillId="2" borderId="13" xfId="0" applyNumberFormat="1" applyFont="1" applyFill="1" applyBorder="1" applyAlignment="1">
      <alignment horizontal="right"/>
    </xf>
    <xf numFmtId="169" fontId="0" fillId="0" borderId="0" xfId="0" applyNumberFormat="1" applyFill="1"/>
    <xf numFmtId="38" fontId="5" fillId="0" borderId="0" xfId="22" applyNumberFormat="1" applyFont="1" applyBorder="1" applyAlignment="1"/>
    <xf numFmtId="38" fontId="5" fillId="0" borderId="1" xfId="22" applyNumberFormat="1" applyFont="1" applyFill="1" applyBorder="1" applyAlignment="1">
      <alignment horizontal="center"/>
    </xf>
    <xf numFmtId="38" fontId="53" fillId="0" borderId="0" xfId="22" applyNumberFormat="1" applyFont="1" applyFill="1" applyBorder="1" applyAlignment="1">
      <alignment horizontal="center"/>
    </xf>
    <xf numFmtId="38" fontId="5" fillId="0" borderId="0" xfId="22" applyNumberFormat="1" applyFont="1" applyFill="1" applyBorder="1" applyAlignment="1"/>
    <xf numFmtId="0" fontId="5" fillId="0" borderId="2" xfId="0" applyFont="1" applyBorder="1" applyAlignment="1">
      <alignment horizontal="left"/>
    </xf>
    <xf numFmtId="38" fontId="5" fillId="0" borderId="14" xfId="22" applyNumberFormat="1" applyFont="1" applyFill="1" applyBorder="1" applyAlignment="1">
      <alignment horizontal="center"/>
    </xf>
    <xf numFmtId="38" fontId="5" fillId="0" borderId="2" xfId="22" applyNumberFormat="1" applyFont="1" applyFill="1" applyBorder="1" applyAlignment="1">
      <alignment horizontal="center"/>
    </xf>
    <xf numFmtId="1" fontId="5" fillId="0" borderId="2" xfId="41" applyNumberFormat="1" applyFont="1" applyFill="1" applyBorder="1" applyAlignment="1">
      <alignment horizontal="center"/>
    </xf>
    <xf numFmtId="166" fontId="5" fillId="0" borderId="2" xfId="41" applyNumberFormat="1" applyFont="1" applyFill="1" applyBorder="1" applyAlignment="1">
      <alignment horizontal="center"/>
    </xf>
    <xf numFmtId="172" fontId="5" fillId="0" borderId="2" xfId="22" applyNumberFormat="1" applyFont="1" applyFill="1" applyBorder="1" applyAlignment="1">
      <alignment horizontal="center"/>
    </xf>
    <xf numFmtId="0" fontId="4" fillId="0" borderId="0" xfId="0" applyFont="1" applyFill="1"/>
    <xf numFmtId="38" fontId="4" fillId="0" borderId="0" xfId="22" applyNumberFormat="1" applyFont="1" applyBorder="1" applyAlignment="1"/>
    <xf numFmtId="38" fontId="4" fillId="0" borderId="1" xfId="25" applyNumberFormat="1" applyFont="1" applyFill="1" applyBorder="1" applyAlignment="1">
      <alignment horizontal="center"/>
    </xf>
    <xf numFmtId="1" fontId="4" fillId="0" borderId="0" xfId="22" applyNumberFormat="1" applyFont="1" applyFill="1" applyBorder="1" applyAlignment="1">
      <alignment horizontal="center"/>
    </xf>
    <xf numFmtId="166" fontId="4" fillId="0" borderId="0" xfId="22" applyNumberFormat="1" applyFont="1" applyFill="1" applyBorder="1" applyAlignment="1">
      <alignment horizontal="center"/>
    </xf>
    <xf numFmtId="172" fontId="4" fillId="0" borderId="0" xfId="22" applyNumberFormat="1" applyFont="1" applyFill="1" applyBorder="1" applyAlignment="1">
      <alignment horizontal="center"/>
    </xf>
    <xf numFmtId="173" fontId="4" fillId="0" borderId="13" xfId="20" applyNumberFormat="1" applyFont="1" applyBorder="1" applyAlignment="1"/>
    <xf numFmtId="173" fontId="4" fillId="0" borderId="0" xfId="20" applyNumberFormat="1" applyFont="1" applyBorder="1" applyAlignment="1">
      <alignment horizontal="right"/>
    </xf>
    <xf numFmtId="175" fontId="4" fillId="0" borderId="0" xfId="20" applyNumberFormat="1" applyFont="1" applyBorder="1" applyAlignment="1">
      <alignment horizontal="right"/>
    </xf>
    <xf numFmtId="38" fontId="5" fillId="0" borderId="0" xfId="22" applyNumberFormat="1" applyFont="1" applyFill="1" applyBorder="1" applyAlignment="1">
      <alignment horizontal="center"/>
    </xf>
    <xf numFmtId="1" fontId="5" fillId="0" borderId="0" xfId="22" applyNumberFormat="1" applyFont="1" applyFill="1" applyBorder="1" applyAlignment="1">
      <alignment horizontal="center"/>
    </xf>
    <xf numFmtId="172" fontId="5" fillId="0" borderId="0" xfId="22" applyNumberFormat="1" applyFont="1" applyFill="1" applyBorder="1" applyAlignment="1">
      <alignment horizontal="center"/>
    </xf>
    <xf numFmtId="0" fontId="45" fillId="0" borderId="0" xfId="0" applyFont="1" applyBorder="1" applyAlignment="1"/>
    <xf numFmtId="173" fontId="5" fillId="0" borderId="0" xfId="20" applyNumberFormat="1" applyFont="1" applyBorder="1" applyAlignment="1">
      <alignment horizontal="right"/>
    </xf>
    <xf numFmtId="175" fontId="5" fillId="0" borderId="0" xfId="20" applyNumberFormat="1" applyFont="1" applyBorder="1" applyAlignment="1">
      <alignment horizontal="right"/>
    </xf>
    <xf numFmtId="1" fontId="37" fillId="0" borderId="0" xfId="22" applyNumberFormat="1" applyFont="1" applyFill="1" applyBorder="1" applyAlignment="1">
      <alignment horizontal="center"/>
    </xf>
    <xf numFmtId="166" fontId="37" fillId="0" borderId="0" xfId="41" applyNumberFormat="1" applyFont="1" applyFill="1" applyBorder="1" applyAlignment="1">
      <alignment horizontal="center"/>
    </xf>
    <xf numFmtId="172" fontId="37" fillId="0" borderId="0" xfId="22" applyNumberFormat="1" applyFont="1" applyFill="1" applyBorder="1" applyAlignment="1">
      <alignment horizontal="center"/>
    </xf>
    <xf numFmtId="0" fontId="5" fillId="0" borderId="2" xfId="0" applyFont="1" applyFill="1" applyBorder="1" applyAlignment="1">
      <alignment horizontal="left"/>
    </xf>
    <xf numFmtId="0" fontId="54" fillId="0" borderId="2" xfId="0" applyFont="1" applyFill="1" applyBorder="1" applyAlignment="1">
      <alignment horizontal="left"/>
    </xf>
    <xf numFmtId="1" fontId="54" fillId="0" borderId="2" xfId="0" applyNumberFormat="1" applyFont="1" applyFill="1" applyBorder="1" applyAlignment="1">
      <alignment horizontal="center"/>
    </xf>
    <xf numFmtId="166" fontId="54" fillId="0" borderId="2" xfId="0" applyNumberFormat="1" applyFont="1" applyFill="1" applyBorder="1" applyAlignment="1">
      <alignment horizontal="center"/>
    </xf>
    <xf numFmtId="172" fontId="54" fillId="0" borderId="2" xfId="0" applyNumberFormat="1" applyFont="1" applyFill="1" applyBorder="1" applyAlignment="1">
      <alignment horizontal="center"/>
    </xf>
    <xf numFmtId="173" fontId="54" fillId="0" borderId="21" xfId="20" applyNumberFormat="1" applyFont="1" applyFill="1" applyBorder="1" applyAlignment="1"/>
    <xf numFmtId="173" fontId="4" fillId="0" borderId="13" xfId="20" applyNumberFormat="1" applyFont="1" applyFill="1" applyBorder="1" applyAlignment="1"/>
    <xf numFmtId="38" fontId="5" fillId="0" borderId="22" xfId="0" applyNumberFormat="1" applyFont="1" applyFill="1" applyBorder="1" applyAlignment="1">
      <alignment horizontal="center"/>
    </xf>
    <xf numFmtId="38" fontId="5" fillId="0" borderId="3" xfId="0" applyNumberFormat="1" applyFont="1" applyFill="1" applyBorder="1" applyAlignment="1">
      <alignment horizontal="center"/>
    </xf>
    <xf numFmtId="173" fontId="5" fillId="0" borderId="23" xfId="20" applyNumberFormat="1" applyFont="1" applyBorder="1" applyAlignment="1"/>
    <xf numFmtId="173" fontId="5" fillId="2" borderId="22" xfId="20" applyNumberFormat="1" applyFont="1" applyFill="1" applyBorder="1" applyAlignment="1">
      <alignment horizontal="right"/>
    </xf>
    <xf numFmtId="173" fontId="5" fillId="2" borderId="3" xfId="20" applyNumberFormat="1" applyFont="1" applyFill="1" applyBorder="1" applyAlignment="1">
      <alignment horizontal="right"/>
    </xf>
    <xf numFmtId="173" fontId="5" fillId="2" borderId="23" xfId="20" applyNumberFormat="1" applyFont="1" applyFill="1" applyBorder="1" applyAlignment="1">
      <alignment horizontal="right"/>
    </xf>
    <xf numFmtId="175" fontId="5" fillId="2" borderId="22" xfId="20" applyNumberFormat="1" applyFont="1" applyFill="1" applyBorder="1" applyAlignment="1">
      <alignment horizontal="right"/>
    </xf>
    <xf numFmtId="175" fontId="5" fillId="2" borderId="3" xfId="20" applyNumberFormat="1" applyFont="1" applyFill="1" applyBorder="1" applyAlignment="1">
      <alignment horizontal="right"/>
    </xf>
    <xf numFmtId="175" fontId="5" fillId="2" borderId="23" xfId="20" applyNumberFormat="1" applyFont="1" applyFill="1" applyBorder="1" applyAlignment="1">
      <alignment horizontal="right"/>
    </xf>
    <xf numFmtId="172" fontId="25" fillId="0" borderId="0" xfId="22" applyNumberFormat="1" applyFont="1" applyFill="1" applyBorder="1" applyAlignment="1">
      <alignment horizontal="center"/>
    </xf>
    <xf numFmtId="173" fontId="25" fillId="0" borderId="13" xfId="20" applyNumberFormat="1" applyFont="1" applyFill="1" applyBorder="1" applyAlignment="1">
      <alignment horizontal="center"/>
    </xf>
    <xf numFmtId="166" fontId="5" fillId="0" borderId="0" xfId="22" applyNumberFormat="1" applyFont="1" applyFill="1" applyBorder="1" applyAlignment="1">
      <alignment horizontal="center"/>
    </xf>
    <xf numFmtId="0" fontId="45" fillId="0" borderId="0" xfId="0" applyFont="1" applyFill="1" applyBorder="1" applyAlignment="1"/>
    <xf numFmtId="0" fontId="4" fillId="0" borderId="0" xfId="0" applyFont="1" applyBorder="1" applyAlignment="1"/>
    <xf numFmtId="0" fontId="5" fillId="0" borderId="0" xfId="0" applyFont="1" applyBorder="1" applyAlignment="1"/>
    <xf numFmtId="173" fontId="5" fillId="0" borderId="23" xfId="20" applyNumberFormat="1" applyFont="1" applyFill="1" applyBorder="1" applyAlignment="1"/>
    <xf numFmtId="173" fontId="5" fillId="0" borderId="3" xfId="20" applyNumberFormat="1" applyFont="1" applyFill="1" applyBorder="1" applyAlignment="1">
      <alignment horizontal="right"/>
    </xf>
    <xf numFmtId="175" fontId="5" fillId="0" borderId="3" xfId="20" applyNumberFormat="1" applyFont="1" applyFill="1" applyBorder="1" applyAlignment="1">
      <alignment horizontal="right"/>
    </xf>
    <xf numFmtId="0" fontId="4" fillId="0" borderId="3" xfId="0" applyFont="1" applyBorder="1" applyAlignment="1"/>
    <xf numFmtId="0" fontId="3" fillId="0" borderId="0" xfId="0" applyFont="1" applyFill="1" applyBorder="1"/>
    <xf numFmtId="8" fontId="0" fillId="0" borderId="0" xfId="0" applyNumberFormat="1" applyFill="1" applyBorder="1"/>
    <xf numFmtId="8" fontId="5" fillId="0" borderId="0" xfId="0" applyNumberFormat="1" applyFont="1" applyFill="1" applyBorder="1"/>
    <xf numFmtId="9" fontId="4" fillId="0" borderId="0" xfId="0" applyNumberFormat="1" applyFont="1" applyFill="1" applyBorder="1"/>
    <xf numFmtId="0" fontId="20" fillId="0" borderId="0" xfId="0" applyFont="1" applyFill="1" applyBorder="1" applyAlignment="1">
      <alignment horizontal="right"/>
    </xf>
    <xf numFmtId="38" fontId="25" fillId="0" borderId="1" xfId="22" applyNumberFormat="1" applyFont="1" applyFill="1" applyBorder="1" applyAlignment="1">
      <alignment horizontal="center"/>
    </xf>
    <xf numFmtId="169" fontId="0" fillId="0" borderId="0" xfId="0" applyNumberFormat="1"/>
    <xf numFmtId="172" fontId="37" fillId="0" borderId="0" xfId="0" applyNumberFormat="1" applyFont="1" applyFill="1" applyBorder="1" applyAlignment="1">
      <alignment horizontal="center"/>
    </xf>
    <xf numFmtId="165" fontId="18" fillId="0" borderId="0" xfId="0" applyNumberFormat="1" applyFont="1" applyFill="1" applyBorder="1"/>
    <xf numFmtId="165" fontId="10" fillId="0" borderId="0" xfId="0" applyNumberFormat="1" applyFont="1" applyFill="1" applyBorder="1"/>
    <xf numFmtId="0" fontId="3" fillId="6" borderId="16" xfId="0" applyFont="1" applyFill="1" applyBorder="1"/>
    <xf numFmtId="0" fontId="16" fillId="6" borderId="4" xfId="0" applyFont="1" applyFill="1" applyBorder="1"/>
    <xf numFmtId="0" fontId="20" fillId="0" borderId="0" xfId="0" applyFont="1"/>
    <xf numFmtId="165" fontId="10" fillId="0" borderId="0" xfId="0" applyNumberFormat="1" applyFont="1" applyFill="1" applyBorder="1" applyAlignment="1">
      <alignment horizontal="right"/>
    </xf>
    <xf numFmtId="165" fontId="15" fillId="6" borderId="4" xfId="0" applyNumberFormat="1" applyFont="1" applyFill="1" applyBorder="1"/>
    <xf numFmtId="165" fontId="11" fillId="6" borderId="4" xfId="0" applyNumberFormat="1" applyFont="1" applyFill="1" applyBorder="1"/>
    <xf numFmtId="165" fontId="11" fillId="6" borderId="17" xfId="0" applyNumberFormat="1" applyFont="1" applyFill="1" applyBorder="1"/>
    <xf numFmtId="165" fontId="29" fillId="0" borderId="0" xfId="0" applyNumberFormat="1" applyFont="1" applyFill="1" applyBorder="1"/>
    <xf numFmtId="175" fontId="28" fillId="0" borderId="2" xfId="20" applyNumberFormat="1" applyFont="1" applyFill="1" applyBorder="1" applyAlignment="1">
      <alignment horizontal="right"/>
    </xf>
    <xf numFmtId="175" fontId="28" fillId="2" borderId="14" xfId="20" applyNumberFormat="1" applyFont="1" applyFill="1" applyBorder="1" applyAlignment="1">
      <alignment horizontal="right"/>
    </xf>
    <xf numFmtId="175" fontId="28" fillId="2" borderId="2" xfId="20" applyNumberFormat="1" applyFont="1" applyFill="1" applyBorder="1" applyAlignment="1">
      <alignment horizontal="right"/>
    </xf>
    <xf numFmtId="175" fontId="28" fillId="2" borderId="21" xfId="20" applyNumberFormat="1" applyFont="1" applyFill="1" applyBorder="1" applyAlignment="1">
      <alignment horizontal="right"/>
    </xf>
    <xf numFmtId="9" fontId="20" fillId="0" borderId="0" xfId="0" applyNumberFormat="1" applyFont="1" applyFill="1" applyBorder="1"/>
    <xf numFmtId="0" fontId="20" fillId="0" borderId="0" xfId="0" applyFont="1" applyFill="1" applyBorder="1"/>
    <xf numFmtId="9" fontId="0" fillId="0" borderId="0" xfId="0" applyNumberFormat="1" applyFill="1" applyBorder="1"/>
    <xf numFmtId="38" fontId="4" fillId="0" borderId="0" xfId="22" applyNumberFormat="1" applyFont="1" applyFill="1" applyBorder="1"/>
    <xf numFmtId="38" fontId="5" fillId="0" borderId="0" xfId="22" applyNumberFormat="1" applyFont="1" applyFill="1" applyBorder="1"/>
    <xf numFmtId="173" fontId="0" fillId="0" borderId="0" xfId="20" applyNumberFormat="1" applyFont="1" applyFill="1" applyBorder="1"/>
    <xf numFmtId="173" fontId="4" fillId="0" borderId="0" xfId="20" applyNumberFormat="1" applyFont="1" applyFill="1" applyBorder="1"/>
    <xf numFmtId="168" fontId="5" fillId="0" borderId="0" xfId="0" applyNumberFormat="1" applyFont="1" applyFill="1" applyBorder="1"/>
    <xf numFmtId="9" fontId="0" fillId="0" borderId="0" xfId="41" applyFont="1" applyFill="1" applyBorder="1"/>
    <xf numFmtId="0" fontId="3" fillId="6" borderId="0" xfId="0" applyFont="1" applyFill="1"/>
    <xf numFmtId="0" fontId="5" fillId="0" borderId="0" xfId="0" applyFont="1"/>
    <xf numFmtId="173" fontId="37" fillId="0" borderId="0" xfId="20" applyNumberFormat="1" applyFont="1" applyFill="1"/>
    <xf numFmtId="4" fontId="0" fillId="0" borderId="0" xfId="0" applyNumberFormat="1"/>
    <xf numFmtId="0" fontId="0" fillId="0" borderId="4" xfId="0" applyBorder="1"/>
    <xf numFmtId="43" fontId="0" fillId="0" borderId="0" xfId="0" applyNumberFormat="1" applyFill="1"/>
    <xf numFmtId="3" fontId="5" fillId="2" borderId="0" xfId="0" applyNumberFormat="1" applyFont="1" applyFill="1" applyBorder="1"/>
    <xf numFmtId="0" fontId="1" fillId="2" borderId="0" xfId="0" applyFont="1" applyFill="1" applyBorder="1"/>
    <xf numFmtId="9" fontId="5" fillId="2" borderId="0" xfId="0" applyNumberFormat="1" applyFont="1" applyFill="1" applyBorder="1"/>
    <xf numFmtId="168" fontId="5" fillId="2" borderId="0" xfId="0" applyNumberFormat="1" applyFont="1" applyFill="1" applyBorder="1"/>
    <xf numFmtId="166" fontId="5" fillId="2" borderId="0" xfId="0" applyNumberFormat="1" applyFont="1" applyFill="1" applyBorder="1"/>
    <xf numFmtId="4" fontId="5" fillId="2" borderId="0" xfId="0" applyNumberFormat="1" applyFont="1" applyFill="1" applyBorder="1"/>
    <xf numFmtId="0" fontId="4" fillId="2" borderId="5" xfId="0" applyFont="1" applyFill="1" applyBorder="1" applyAlignment="1">
      <alignment horizontal="left"/>
    </xf>
    <xf numFmtId="37" fontId="5" fillId="2" borderId="0" xfId="0" applyNumberFormat="1" applyFont="1" applyFill="1" applyBorder="1"/>
    <xf numFmtId="0" fontId="5" fillId="0" borderId="0" xfId="0" applyFont="1" applyFill="1" applyAlignment="1">
      <alignment horizontal="left"/>
    </xf>
    <xf numFmtId="0" fontId="16" fillId="6" borderId="0" xfId="0" applyFont="1" applyFill="1" applyBorder="1"/>
    <xf numFmtId="0" fontId="4" fillId="2" borderId="16" xfId="0" applyFont="1" applyFill="1" applyBorder="1" applyAlignment="1">
      <alignment horizontal="left"/>
    </xf>
    <xf numFmtId="0" fontId="4" fillId="2" borderId="16" xfId="0" applyFont="1" applyFill="1" applyBorder="1"/>
    <xf numFmtId="164" fontId="4" fillId="5" borderId="24" xfId="0" applyNumberFormat="1" applyFont="1" applyFill="1" applyBorder="1"/>
    <xf numFmtId="3" fontId="19" fillId="2" borderId="0" xfId="0" applyNumberFormat="1" applyFont="1" applyFill="1" applyBorder="1"/>
    <xf numFmtId="4" fontId="4" fillId="2" borderId="0" xfId="0" applyNumberFormat="1" applyFont="1" applyFill="1" applyBorder="1"/>
    <xf numFmtId="9" fontId="20" fillId="2" borderId="0" xfId="0" applyNumberFormat="1" applyFont="1" applyFill="1" applyBorder="1"/>
    <xf numFmtId="9" fontId="0" fillId="2" borderId="0" xfId="0" applyNumberFormat="1" applyFill="1" applyBorder="1"/>
    <xf numFmtId="166" fontId="0" fillId="2" borderId="0" xfId="0" applyNumberFormat="1" applyFill="1" applyBorder="1"/>
    <xf numFmtId="166" fontId="37" fillId="2" borderId="0" xfId="41" applyNumberFormat="1" applyFont="1" applyFill="1" applyBorder="1"/>
    <xf numFmtId="3" fontId="37" fillId="2" borderId="0" xfId="0" applyNumberFormat="1" applyFont="1" applyFill="1" applyBorder="1"/>
    <xf numFmtId="166" fontId="37" fillId="2" borderId="0" xfId="0" applyNumberFormat="1" applyFont="1" applyFill="1" applyBorder="1"/>
    <xf numFmtId="173" fontId="9" fillId="2" borderId="0" xfId="20" applyNumberFormat="1" applyFont="1" applyFill="1" applyBorder="1"/>
    <xf numFmtId="173" fontId="0" fillId="2" borderId="0" xfId="20" applyNumberFormat="1" applyFont="1" applyFill="1" applyBorder="1"/>
    <xf numFmtId="173" fontId="5" fillId="2" borderId="0" xfId="20" applyNumberFormat="1" applyFont="1" applyFill="1" applyBorder="1"/>
    <xf numFmtId="173" fontId="4" fillId="2" borderId="0" xfId="20" applyNumberFormat="1" applyFont="1" applyFill="1" applyBorder="1"/>
    <xf numFmtId="173" fontId="36" fillId="2" borderId="0" xfId="20" applyNumberFormat="1" applyFont="1" applyFill="1" applyBorder="1"/>
    <xf numFmtId="173" fontId="19" fillId="2" borderId="0" xfId="20" applyNumberFormat="1" applyFont="1" applyFill="1" applyBorder="1"/>
    <xf numFmtId="173" fontId="1" fillId="2" borderId="0" xfId="20" applyNumberFormat="1" applyFont="1" applyFill="1" applyBorder="1"/>
    <xf numFmtId="37" fontId="4" fillId="2" borderId="0" xfId="0" applyNumberFormat="1" applyFont="1" applyFill="1" applyBorder="1"/>
    <xf numFmtId="173" fontId="37" fillId="2" borderId="0" xfId="20" applyNumberFormat="1" applyFont="1" applyFill="1" applyBorder="1"/>
    <xf numFmtId="3" fontId="19" fillId="2" borderId="1" xfId="0" applyNumberFormat="1" applyFont="1" applyFill="1" applyBorder="1"/>
    <xf numFmtId="3" fontId="19" fillId="2" borderId="13" xfId="0" applyNumberFormat="1" applyFont="1" applyFill="1" applyBorder="1"/>
    <xf numFmtId="3" fontId="5" fillId="2" borderId="1" xfId="0" applyNumberFormat="1" applyFont="1" applyFill="1" applyBorder="1"/>
    <xf numFmtId="3" fontId="5" fillId="2" borderId="13" xfId="0" applyNumberFormat="1" applyFont="1" applyFill="1" applyBorder="1"/>
    <xf numFmtId="3" fontId="0" fillId="2" borderId="1" xfId="0" applyNumberFormat="1" applyFill="1" applyBorder="1"/>
    <xf numFmtId="3" fontId="0" fillId="2" borderId="13" xfId="0" applyNumberFormat="1" applyFill="1" applyBorder="1"/>
    <xf numFmtId="0" fontId="0" fillId="2" borderId="1" xfId="0" applyFill="1" applyBorder="1"/>
    <xf numFmtId="0" fontId="0" fillId="2" borderId="13" xfId="0" applyFill="1" applyBorder="1"/>
    <xf numFmtId="9" fontId="20" fillId="2" borderId="1" xfId="0" applyNumberFormat="1" applyFont="1" applyFill="1" applyBorder="1"/>
    <xf numFmtId="9" fontId="20" fillId="2" borderId="13" xfId="0" applyNumberFormat="1" applyFont="1" applyFill="1" applyBorder="1"/>
    <xf numFmtId="9" fontId="0" fillId="2" borderId="1" xfId="0" applyNumberFormat="1" applyFill="1" applyBorder="1"/>
    <xf numFmtId="9" fontId="0" fillId="2" borderId="13" xfId="0" applyNumberFormat="1" applyFill="1" applyBorder="1"/>
    <xf numFmtId="166" fontId="0" fillId="2" borderId="13" xfId="0" applyNumberFormat="1" applyFill="1" applyBorder="1"/>
    <xf numFmtId="166" fontId="37" fillId="2" borderId="1" xfId="41" applyNumberFormat="1" applyFont="1" applyFill="1" applyBorder="1"/>
    <xf numFmtId="166" fontId="37" fillId="2" borderId="13" xfId="41" applyNumberFormat="1" applyFont="1" applyFill="1" applyBorder="1"/>
    <xf numFmtId="3" fontId="37" fillId="2" borderId="1" xfId="0" applyNumberFormat="1" applyFont="1" applyFill="1" applyBorder="1"/>
    <xf numFmtId="3" fontId="37" fillId="2" borderId="13" xfId="0" applyNumberFormat="1" applyFont="1" applyFill="1" applyBorder="1"/>
    <xf numFmtId="166" fontId="5" fillId="2" borderId="1" xfId="0" applyNumberFormat="1" applyFont="1" applyFill="1" applyBorder="1"/>
    <xf numFmtId="166" fontId="5" fillId="2" borderId="13" xfId="0" applyNumberFormat="1" applyFont="1" applyFill="1" applyBorder="1"/>
    <xf numFmtId="173" fontId="9" fillId="2" borderId="1" xfId="20" applyNumberFormat="1" applyFont="1" applyFill="1" applyBorder="1"/>
    <xf numFmtId="173" fontId="9" fillId="2" borderId="13" xfId="20" applyNumberFormat="1" applyFont="1" applyFill="1" applyBorder="1"/>
    <xf numFmtId="173" fontId="0" fillId="2" borderId="1" xfId="20" applyNumberFormat="1" applyFont="1" applyFill="1" applyBorder="1"/>
    <xf numFmtId="173" fontId="0" fillId="2" borderId="13" xfId="20" applyNumberFormat="1" applyFont="1" applyFill="1" applyBorder="1"/>
    <xf numFmtId="173" fontId="5" fillId="2" borderId="1" xfId="20" applyNumberFormat="1" applyFont="1" applyFill="1" applyBorder="1"/>
    <xf numFmtId="173" fontId="5" fillId="2" borderId="13" xfId="20" applyNumberFormat="1" applyFont="1" applyFill="1" applyBorder="1"/>
    <xf numFmtId="173" fontId="4" fillId="2" borderId="1" xfId="20" applyNumberFormat="1" applyFont="1" applyFill="1" applyBorder="1"/>
    <xf numFmtId="173" fontId="4" fillId="2" borderId="13" xfId="20" applyNumberFormat="1" applyFont="1" applyFill="1" applyBorder="1"/>
    <xf numFmtId="173" fontId="36" fillId="2" borderId="13" xfId="20" applyNumberFormat="1" applyFont="1" applyFill="1" applyBorder="1"/>
    <xf numFmtId="173" fontId="35" fillId="2" borderId="1" xfId="20" applyNumberFormat="1" applyFont="1" applyFill="1" applyBorder="1"/>
    <xf numFmtId="173" fontId="19" fillId="2" borderId="1" xfId="20" applyNumberFormat="1" applyFont="1" applyFill="1" applyBorder="1"/>
    <xf numFmtId="173" fontId="19" fillId="2" borderId="13" xfId="20" applyNumberFormat="1" applyFont="1" applyFill="1" applyBorder="1"/>
    <xf numFmtId="166" fontId="0" fillId="2" borderId="1" xfId="0" applyNumberFormat="1" applyFill="1" applyBorder="1"/>
    <xf numFmtId="173" fontId="1" fillId="2" borderId="13" xfId="20" applyNumberFormat="1" applyFont="1" applyFill="1" applyBorder="1"/>
    <xf numFmtId="173" fontId="1" fillId="2" borderId="1" xfId="20" applyNumberFormat="1" applyFont="1" applyFill="1" applyBorder="1"/>
    <xf numFmtId="37" fontId="4" fillId="2" borderId="1" xfId="0" applyNumberFormat="1" applyFont="1" applyFill="1" applyBorder="1"/>
    <xf numFmtId="37" fontId="4" fillId="2" borderId="13" xfId="0" applyNumberFormat="1" applyFont="1" applyFill="1" applyBorder="1"/>
    <xf numFmtId="9" fontId="5" fillId="2" borderId="1" xfId="0" applyNumberFormat="1" applyFont="1" applyFill="1" applyBorder="1"/>
    <xf numFmtId="9" fontId="5" fillId="2" borderId="13" xfId="0" applyNumberFormat="1" applyFont="1" applyFill="1" applyBorder="1"/>
    <xf numFmtId="0" fontId="5" fillId="2" borderId="1" xfId="0" applyFont="1" applyFill="1" applyBorder="1"/>
    <xf numFmtId="173" fontId="37" fillId="2" borderId="1" xfId="20" applyNumberFormat="1" applyFont="1" applyFill="1" applyBorder="1"/>
    <xf numFmtId="173" fontId="37" fillId="2" borderId="13" xfId="20" applyNumberFormat="1" applyFont="1" applyFill="1" applyBorder="1"/>
    <xf numFmtId="37" fontId="5" fillId="2" borderId="1" xfId="0" applyNumberFormat="1" applyFont="1" applyFill="1" applyBorder="1"/>
    <xf numFmtId="37" fontId="5" fillId="2" borderId="13" xfId="0" applyNumberFormat="1" applyFont="1" applyFill="1" applyBorder="1"/>
    <xf numFmtId="166" fontId="5" fillId="2" borderId="1" xfId="41" applyNumberFormat="1" applyFont="1" applyFill="1" applyBorder="1"/>
    <xf numFmtId="0" fontId="38" fillId="6" borderId="0" xfId="0" applyFont="1" applyFill="1"/>
    <xf numFmtId="0" fontId="61" fillId="6" borderId="0" xfId="0" applyFont="1" applyFill="1"/>
    <xf numFmtId="0" fontId="56" fillId="6" borderId="0" xfId="0" applyFont="1" applyFill="1"/>
    <xf numFmtId="7" fontId="56" fillId="6" borderId="0" xfId="0" applyNumberFormat="1" applyFont="1" applyFill="1" applyAlignment="1">
      <alignment horizontal="left"/>
    </xf>
    <xf numFmtId="0" fontId="10" fillId="5" borderId="0" xfId="0" applyFont="1" applyFill="1"/>
    <xf numFmtId="0" fontId="62" fillId="5" borderId="0" xfId="0" applyFont="1" applyFill="1"/>
    <xf numFmtId="0" fontId="8" fillId="5" borderId="0" xfId="0" applyFont="1" applyFill="1"/>
    <xf numFmtId="0" fontId="4" fillId="5" borderId="0" xfId="0" applyFont="1" applyFill="1"/>
    <xf numFmtId="166" fontId="5" fillId="2" borderId="0" xfId="41" applyNumberFormat="1" applyFont="1" applyFill="1" applyBorder="1"/>
    <xf numFmtId="166" fontId="5" fillId="2" borderId="13" xfId="41" applyNumberFormat="1" applyFont="1" applyFill="1" applyBorder="1"/>
    <xf numFmtId="173" fontId="0" fillId="2" borderId="1" xfId="0" applyNumberFormat="1" applyFill="1" applyBorder="1"/>
    <xf numFmtId="43" fontId="19" fillId="2" borderId="1" xfId="20" applyFont="1" applyFill="1" applyBorder="1"/>
    <xf numFmtId="43" fontId="19" fillId="2" borderId="0" xfId="20" applyFont="1" applyFill="1" applyBorder="1"/>
    <xf numFmtId="43" fontId="19" fillId="2" borderId="13" xfId="20" applyFont="1" applyFill="1" applyBorder="1"/>
    <xf numFmtId="166" fontId="34" fillId="0" borderId="0" xfId="22" applyNumberFormat="1" applyFont="1" applyFill="1" applyBorder="1" applyAlignment="1">
      <alignment horizontal="center"/>
    </xf>
    <xf numFmtId="38" fontId="37" fillId="0" borderId="0" xfId="22" applyNumberFormat="1" applyFont="1" applyFill="1" applyBorder="1" applyAlignment="1">
      <alignment horizontal="center"/>
    </xf>
    <xf numFmtId="166" fontId="53" fillId="0" borderId="0" xfId="22" applyNumberFormat="1" applyFont="1" applyFill="1" applyBorder="1" applyAlignment="1">
      <alignment horizontal="center"/>
    </xf>
    <xf numFmtId="38" fontId="4" fillId="0" borderId="5" xfId="25" applyNumberFormat="1" applyFont="1" applyFill="1" applyBorder="1" applyAlignment="1">
      <alignment horizontal="center"/>
    </xf>
    <xf numFmtId="0" fontId="1" fillId="2" borderId="0" xfId="0" applyFont="1" applyFill="1"/>
    <xf numFmtId="173" fontId="1" fillId="0" borderId="0" xfId="20" applyNumberFormat="1" applyFont="1" applyFill="1" applyBorder="1"/>
    <xf numFmtId="37" fontId="0" fillId="0" borderId="0" xfId="0" applyNumberFormat="1" applyFill="1" applyBorder="1"/>
    <xf numFmtId="37" fontId="0" fillId="2" borderId="1" xfId="0" applyNumberFormat="1" applyFill="1" applyBorder="1"/>
    <xf numFmtId="37" fontId="0" fillId="2" borderId="0" xfId="0" applyNumberFormat="1" applyFill="1" applyBorder="1"/>
    <xf numFmtId="37" fontId="0" fillId="2" borderId="13" xfId="0" applyNumberFormat="1" applyFill="1" applyBorder="1"/>
    <xf numFmtId="173" fontId="53" fillId="2" borderId="1" xfId="20" applyNumberFormat="1" applyFont="1" applyFill="1" applyBorder="1"/>
    <xf numFmtId="173" fontId="53" fillId="2" borderId="0" xfId="20" applyNumberFormat="1" applyFont="1" applyFill="1" applyBorder="1"/>
    <xf numFmtId="173" fontId="34" fillId="2" borderId="1" xfId="20" applyNumberFormat="1" applyFont="1" applyFill="1" applyBorder="1"/>
    <xf numFmtId="173" fontId="34" fillId="2" borderId="0" xfId="20" applyNumberFormat="1" applyFont="1" applyFill="1" applyBorder="1"/>
    <xf numFmtId="173" fontId="34" fillId="0" borderId="0" xfId="20" applyNumberFormat="1" applyFont="1" applyFill="1" applyBorder="1"/>
    <xf numFmtId="173" fontId="58" fillId="0" borderId="0" xfId="20" applyNumberFormat="1" applyFont="1" applyFill="1" applyBorder="1"/>
    <xf numFmtId="173" fontId="9" fillId="0" borderId="0" xfId="20" applyNumberFormat="1" applyFont="1" applyFill="1" applyBorder="1"/>
    <xf numFmtId="0" fontId="4" fillId="2" borderId="0" xfId="0" applyFont="1" applyFill="1" applyBorder="1"/>
    <xf numFmtId="173" fontId="63" fillId="2" borderId="0" xfId="20" applyNumberFormat="1" applyFont="1" applyFill="1" applyBorder="1"/>
    <xf numFmtId="173" fontId="63" fillId="0" borderId="0" xfId="20" applyNumberFormat="1" applyFont="1" applyFill="1" applyBorder="1"/>
    <xf numFmtId="173" fontId="5" fillId="2" borderId="1" xfId="0" applyNumberFormat="1" applyFont="1" applyFill="1" applyBorder="1"/>
    <xf numFmtId="173" fontId="5" fillId="2" borderId="0" xfId="0" applyNumberFormat="1" applyFont="1" applyFill="1" applyBorder="1"/>
    <xf numFmtId="173" fontId="5" fillId="2" borderId="13" xfId="0" applyNumberFormat="1" applyFont="1" applyFill="1" applyBorder="1"/>
    <xf numFmtId="173" fontId="4" fillId="0" borderId="0" xfId="0" applyNumberFormat="1" applyFont="1" applyFill="1" applyBorder="1"/>
    <xf numFmtId="173" fontId="5" fillId="0" borderId="0" xfId="0" applyNumberFormat="1" applyFont="1" applyFill="1" applyBorder="1"/>
    <xf numFmtId="173" fontId="4" fillId="2" borderId="1" xfId="0" applyNumberFormat="1" applyFont="1" applyFill="1" applyBorder="1"/>
    <xf numFmtId="173" fontId="4" fillId="2" borderId="0" xfId="0" applyNumberFormat="1" applyFont="1" applyFill="1" applyBorder="1"/>
    <xf numFmtId="173" fontId="4" fillId="2" borderId="13" xfId="0" applyNumberFormat="1" applyFont="1" applyFill="1" applyBorder="1"/>
    <xf numFmtId="173" fontId="58" fillId="2" borderId="0" xfId="20" applyNumberFormat="1" applyFont="1" applyFill="1" applyBorder="1"/>
    <xf numFmtId="173" fontId="58" fillId="2" borderId="13" xfId="20" applyNumberFormat="1" applyFont="1" applyFill="1" applyBorder="1"/>
    <xf numFmtId="7" fontId="9" fillId="2" borderId="16" xfId="0" applyNumberFormat="1" applyFont="1" applyFill="1" applyBorder="1"/>
    <xf numFmtId="7" fontId="9" fillId="2" borderId="4" xfId="0" applyNumberFormat="1" applyFont="1" applyFill="1" applyBorder="1"/>
    <xf numFmtId="7" fontId="9" fillId="2" borderId="17" xfId="0" applyNumberFormat="1" applyFont="1" applyFill="1" applyBorder="1"/>
    <xf numFmtId="7" fontId="9" fillId="0" borderId="4" xfId="0" applyNumberFormat="1" applyFont="1" applyFill="1" applyBorder="1"/>
    <xf numFmtId="166" fontId="5" fillId="0" borderId="0" xfId="41" applyNumberFormat="1" applyFont="1" applyFill="1" applyBorder="1"/>
    <xf numFmtId="7" fontId="4" fillId="2" borderId="1" xfId="0" applyNumberFormat="1" applyFont="1" applyFill="1" applyBorder="1"/>
    <xf numFmtId="7" fontId="4" fillId="2" borderId="0" xfId="0" applyNumberFormat="1" applyFont="1" applyFill="1" applyBorder="1"/>
    <xf numFmtId="7" fontId="4" fillId="2" borderId="13" xfId="0" applyNumberFormat="1" applyFont="1" applyFill="1" applyBorder="1"/>
    <xf numFmtId="7" fontId="5" fillId="2" borderId="1" xfId="0" applyNumberFormat="1" applyFont="1" applyFill="1" applyBorder="1"/>
    <xf numFmtId="7" fontId="5" fillId="2" borderId="0" xfId="0" applyNumberFormat="1" applyFont="1" applyFill="1" applyBorder="1"/>
    <xf numFmtId="7" fontId="5" fillId="2" borderId="13" xfId="0" applyNumberFormat="1" applyFont="1" applyFill="1" applyBorder="1"/>
    <xf numFmtId="7" fontId="5" fillId="0" borderId="0" xfId="0" applyNumberFormat="1" applyFont="1" applyFill="1" applyBorder="1"/>
    <xf numFmtId="0" fontId="4" fillId="0" borderId="16" xfId="0" applyFont="1" applyFill="1" applyBorder="1"/>
    <xf numFmtId="0" fontId="5" fillId="0" borderId="4" xfId="0" applyFont="1" applyFill="1" applyBorder="1"/>
    <xf numFmtId="173" fontId="58" fillId="2" borderId="1" xfId="20" applyNumberFormat="1" applyFont="1" applyFill="1" applyBorder="1"/>
    <xf numFmtId="7" fontId="58" fillId="2" borderId="1" xfId="0" applyNumberFormat="1" applyFont="1" applyFill="1" applyBorder="1"/>
    <xf numFmtId="7" fontId="58" fillId="2" borderId="0" xfId="0" applyNumberFormat="1" applyFont="1" applyFill="1" applyBorder="1"/>
    <xf numFmtId="7" fontId="58" fillId="2" borderId="13" xfId="0" applyNumberFormat="1" applyFont="1" applyFill="1" applyBorder="1"/>
    <xf numFmtId="7" fontId="58" fillId="0" borderId="0" xfId="0" applyNumberFormat="1" applyFont="1" applyFill="1" applyBorder="1"/>
    <xf numFmtId="37" fontId="1" fillId="0" borderId="0" xfId="0" applyNumberFormat="1" applyFont="1" applyFill="1" applyBorder="1"/>
    <xf numFmtId="166" fontId="20" fillId="0" borderId="0" xfId="0" applyNumberFormat="1" applyFont="1" applyFill="1" applyBorder="1"/>
    <xf numFmtId="166" fontId="20" fillId="2" borderId="1" xfId="0" applyNumberFormat="1" applyFont="1" applyFill="1" applyBorder="1"/>
    <xf numFmtId="166" fontId="20" fillId="2" borderId="0" xfId="0" applyNumberFormat="1" applyFont="1" applyFill="1" applyBorder="1"/>
    <xf numFmtId="166" fontId="20" fillId="2" borderId="13" xfId="0" applyNumberFormat="1" applyFont="1" applyFill="1" applyBorder="1"/>
    <xf numFmtId="174" fontId="3" fillId="6" borderId="0" xfId="0" applyNumberFormat="1" applyFont="1" applyFill="1" applyBorder="1"/>
    <xf numFmtId="0" fontId="0" fillId="0" borderId="10" xfId="0" applyFill="1" applyBorder="1"/>
    <xf numFmtId="0" fontId="0" fillId="0" borderId="2" xfId="0" applyFill="1" applyBorder="1"/>
    <xf numFmtId="4" fontId="20" fillId="2" borderId="0" xfId="0" applyNumberFormat="1" applyFont="1" applyFill="1" applyBorder="1"/>
    <xf numFmtId="174" fontId="5" fillId="0" borderId="0" xfId="0" applyNumberFormat="1" applyFont="1" applyFill="1" applyBorder="1"/>
    <xf numFmtId="174" fontId="20" fillId="0" borderId="0" xfId="0" applyNumberFormat="1" applyFont="1" applyFill="1" applyBorder="1"/>
    <xf numFmtId="166" fontId="20" fillId="0" borderId="0" xfId="41" applyNumberFormat="1" applyFont="1" applyFill="1" applyBorder="1"/>
    <xf numFmtId="166" fontId="20" fillId="2" borderId="1" xfId="41" applyNumberFormat="1" applyFont="1" applyFill="1" applyBorder="1"/>
    <xf numFmtId="166" fontId="20" fillId="2" borderId="0" xfId="41" applyNumberFormat="1" applyFont="1" applyFill="1" applyBorder="1"/>
    <xf numFmtId="166" fontId="20" fillId="2" borderId="13" xfId="41" applyNumberFormat="1" applyFont="1" applyFill="1" applyBorder="1"/>
    <xf numFmtId="38" fontId="4" fillId="0" borderId="0" xfId="22" applyNumberFormat="1" applyFont="1"/>
    <xf numFmtId="9" fontId="20" fillId="0" borderId="0" xfId="41" applyFont="1"/>
    <xf numFmtId="38" fontId="5" fillId="0" borderId="0" xfId="22" applyNumberFormat="1" applyFont="1"/>
    <xf numFmtId="4" fontId="65" fillId="0" borderId="0" xfId="0" applyNumberFormat="1" applyFont="1" applyFill="1" applyBorder="1"/>
    <xf numFmtId="38" fontId="4" fillId="0" borderId="0" xfId="22" applyNumberFormat="1" applyFont="1" applyFill="1"/>
    <xf numFmtId="38" fontId="5" fillId="0" borderId="0" xfId="22" applyNumberFormat="1" applyFont="1" applyFill="1"/>
    <xf numFmtId="172" fontId="4" fillId="0" borderId="10" xfId="22" applyNumberFormat="1" applyFont="1" applyFill="1" applyBorder="1" applyAlignment="1">
      <alignment horizontal="center"/>
    </xf>
    <xf numFmtId="38" fontId="4" fillId="0" borderId="0" xfId="22" applyFont="1"/>
    <xf numFmtId="38" fontId="5" fillId="0" borderId="0" xfId="22" applyFont="1"/>
    <xf numFmtId="7" fontId="4" fillId="0" borderId="0" xfId="20" applyNumberFormat="1" applyFont="1" applyFill="1" applyBorder="1"/>
    <xf numFmtId="7" fontId="4" fillId="2" borderId="1" xfId="20" applyNumberFormat="1" applyFont="1" applyFill="1" applyBorder="1"/>
    <xf numFmtId="7" fontId="4" fillId="2" borderId="0" xfId="20" applyNumberFormat="1" applyFont="1" applyFill="1" applyBorder="1"/>
    <xf numFmtId="7" fontId="4" fillId="2" borderId="13" xfId="20" applyNumberFormat="1" applyFont="1" applyFill="1" applyBorder="1"/>
    <xf numFmtId="7" fontId="5" fillId="0" borderId="0" xfId="20" applyNumberFormat="1" applyFont="1" applyFill="1" applyBorder="1"/>
    <xf numFmtId="7" fontId="5" fillId="2" borderId="1" xfId="20" applyNumberFormat="1" applyFont="1" applyFill="1" applyBorder="1"/>
    <xf numFmtId="7" fontId="5" fillId="2" borderId="0" xfId="20" applyNumberFormat="1" applyFont="1" applyFill="1" applyBorder="1"/>
    <xf numFmtId="7" fontId="5" fillId="2" borderId="13" xfId="20" applyNumberFormat="1" applyFont="1" applyFill="1" applyBorder="1"/>
    <xf numFmtId="6" fontId="5" fillId="0" borderId="0" xfId="26" applyFont="1"/>
    <xf numFmtId="6" fontId="4" fillId="0" borderId="0" xfId="26" applyFont="1"/>
    <xf numFmtId="9" fontId="20" fillId="0" borderId="0" xfId="41" applyFont="1" applyBorder="1"/>
    <xf numFmtId="38" fontId="5" fillId="0" borderId="0" xfId="22" applyNumberFormat="1" applyFont="1" applyBorder="1"/>
    <xf numFmtId="6" fontId="4" fillId="0" borderId="0" xfId="26" applyFont="1" applyBorder="1"/>
    <xf numFmtId="4" fontId="55" fillId="2" borderId="1" xfId="0" applyNumberFormat="1" applyFont="1" applyFill="1" applyBorder="1"/>
    <xf numFmtId="4" fontId="55" fillId="2" borderId="0" xfId="0" applyNumberFormat="1" applyFont="1" applyFill="1" applyBorder="1"/>
    <xf numFmtId="4" fontId="55" fillId="2" borderId="13" xfId="0" applyNumberFormat="1" applyFont="1" applyFill="1" applyBorder="1"/>
    <xf numFmtId="4" fontId="55" fillId="0" borderId="0" xfId="0" applyNumberFormat="1" applyFont="1" applyFill="1" applyBorder="1"/>
    <xf numFmtId="4" fontId="5" fillId="2" borderId="1" xfId="0" applyNumberFormat="1" applyFont="1" applyFill="1" applyBorder="1"/>
    <xf numFmtId="4" fontId="5" fillId="2" borderId="13" xfId="0" applyNumberFormat="1" applyFont="1" applyFill="1" applyBorder="1"/>
    <xf numFmtId="38" fontId="4" fillId="0" borderId="10" xfId="22" applyNumberFormat="1" applyFont="1" applyBorder="1" applyAlignment="1"/>
    <xf numFmtId="38" fontId="4" fillId="0" borderId="10" xfId="22" applyNumberFormat="1" applyFont="1" applyFill="1" applyBorder="1" applyAlignment="1"/>
    <xf numFmtId="38" fontId="4" fillId="0" borderId="10" xfId="25" applyNumberFormat="1" applyFont="1" applyFill="1" applyBorder="1" applyAlignment="1">
      <alignment horizontal="center"/>
    </xf>
    <xf numFmtId="1" fontId="4" fillId="0" borderId="10" xfId="22" applyNumberFormat="1" applyFont="1" applyFill="1" applyBorder="1" applyAlignment="1">
      <alignment horizontal="center"/>
    </xf>
    <xf numFmtId="166" fontId="4" fillId="0" borderId="10" xfId="22" applyNumberFormat="1" applyFont="1" applyFill="1" applyBorder="1" applyAlignment="1">
      <alignment horizontal="center"/>
    </xf>
    <xf numFmtId="172" fontId="35" fillId="0" borderId="10" xfId="22" applyNumberFormat="1" applyFont="1" applyFill="1" applyBorder="1" applyAlignment="1">
      <alignment horizontal="center"/>
    </xf>
    <xf numFmtId="173" fontId="4" fillId="0" borderId="25" xfId="20" applyNumberFormat="1" applyFont="1" applyFill="1" applyBorder="1" applyAlignment="1"/>
    <xf numFmtId="38" fontId="4" fillId="0" borderId="5" xfId="22" applyNumberFormat="1" applyFont="1" applyFill="1" applyBorder="1" applyAlignment="1">
      <alignment horizontal="center"/>
    </xf>
    <xf numFmtId="38" fontId="4" fillId="0" borderId="10" xfId="22" applyNumberFormat="1" applyFont="1" applyFill="1" applyBorder="1" applyAlignment="1">
      <alignment horizontal="center"/>
    </xf>
    <xf numFmtId="173" fontId="37" fillId="0" borderId="0" xfId="20" applyNumberFormat="1" applyFont="1" applyFill="1" applyBorder="1"/>
    <xf numFmtId="173" fontId="53" fillId="0" borderId="0" xfId="20" applyNumberFormat="1" applyFont="1" applyFill="1" applyBorder="1"/>
    <xf numFmtId="173" fontId="1" fillId="0" borderId="0" xfId="20" applyNumberFormat="1" applyFill="1" applyBorder="1"/>
    <xf numFmtId="38" fontId="59" fillId="0" borderId="0" xfId="22" applyNumberFormat="1" applyFont="1" applyBorder="1"/>
    <xf numFmtId="8" fontId="4" fillId="0" borderId="0" xfId="20" applyNumberFormat="1" applyFont="1" applyFill="1" applyBorder="1"/>
    <xf numFmtId="8" fontId="37" fillId="0" borderId="0" xfId="20" applyNumberFormat="1" applyFont="1" applyFill="1" applyBorder="1"/>
    <xf numFmtId="8" fontId="5" fillId="0" borderId="0" xfId="20" applyNumberFormat="1" applyFont="1" applyFill="1" applyBorder="1"/>
    <xf numFmtId="8" fontId="0" fillId="2" borderId="1" xfId="0" applyNumberFormat="1" applyFill="1" applyBorder="1"/>
    <xf numFmtId="8" fontId="0" fillId="2" borderId="0" xfId="0" applyNumberFormat="1" applyFill="1" applyBorder="1"/>
    <xf numFmtId="8" fontId="0" fillId="2" borderId="13" xfId="0" applyNumberFormat="1" applyFill="1" applyBorder="1"/>
    <xf numFmtId="7" fontId="0" fillId="2" borderId="1" xfId="0" applyNumberFormat="1" applyFill="1" applyBorder="1"/>
    <xf numFmtId="7" fontId="0" fillId="2" borderId="0" xfId="0" applyNumberFormat="1" applyFill="1" applyBorder="1"/>
    <xf numFmtId="7" fontId="0" fillId="2" borderId="13" xfId="0" applyNumberFormat="1" applyFill="1" applyBorder="1"/>
    <xf numFmtId="7" fontId="0" fillId="0" borderId="0" xfId="0" applyNumberFormat="1" applyFill="1" applyBorder="1"/>
    <xf numFmtId="0" fontId="37" fillId="0" borderId="0" xfId="0" applyFont="1" applyFill="1" applyBorder="1"/>
    <xf numFmtId="39" fontId="0" fillId="0" borderId="0" xfId="0" applyNumberFormat="1" applyFill="1" applyBorder="1"/>
    <xf numFmtId="39" fontId="0" fillId="2" borderId="1" xfId="0" applyNumberFormat="1" applyFill="1" applyBorder="1"/>
    <xf numFmtId="39" fontId="0" fillId="2" borderId="0" xfId="0" applyNumberFormat="1" applyFill="1" applyBorder="1"/>
    <xf numFmtId="39" fontId="0" fillId="2" borderId="13" xfId="0" applyNumberFormat="1" applyFill="1" applyBorder="1"/>
    <xf numFmtId="37" fontId="4" fillId="0" borderId="0" xfId="0" applyNumberFormat="1" applyFont="1" applyFill="1" applyBorder="1"/>
    <xf numFmtId="38" fontId="4" fillId="0" borderId="0" xfId="22" applyNumberFormat="1" applyFont="1" applyBorder="1"/>
    <xf numFmtId="5" fontId="0" fillId="2" borderId="1" xfId="0" applyNumberFormat="1" applyFill="1" applyBorder="1"/>
    <xf numFmtId="5" fontId="0" fillId="2" borderId="0" xfId="0" applyNumberFormat="1" applyFill="1" applyBorder="1"/>
    <xf numFmtId="5" fontId="0" fillId="2" borderId="13" xfId="0" applyNumberFormat="1" applyFill="1" applyBorder="1"/>
    <xf numFmtId="5" fontId="0" fillId="0" borderId="0" xfId="0" applyNumberFormat="1" applyFill="1" applyBorder="1"/>
    <xf numFmtId="5" fontId="4" fillId="2" borderId="1" xfId="0" applyNumberFormat="1" applyFont="1" applyFill="1" applyBorder="1"/>
    <xf numFmtId="5" fontId="4" fillId="2" borderId="0" xfId="0" applyNumberFormat="1" applyFont="1" applyFill="1" applyBorder="1"/>
    <xf numFmtId="5" fontId="4" fillId="2" borderId="13" xfId="0" applyNumberFormat="1" applyFont="1" applyFill="1" applyBorder="1"/>
    <xf numFmtId="5" fontId="4" fillId="0" borderId="0" xfId="0" applyNumberFormat="1" applyFont="1" applyFill="1" applyBorder="1"/>
    <xf numFmtId="5" fontId="5" fillId="2" borderId="1" xfId="0" applyNumberFormat="1" applyFont="1" applyFill="1" applyBorder="1"/>
    <xf numFmtId="5" fontId="5" fillId="2" borderId="0" xfId="0" applyNumberFormat="1" applyFont="1" applyFill="1" applyBorder="1"/>
    <xf numFmtId="5" fontId="5" fillId="2" borderId="13" xfId="0" applyNumberFormat="1" applyFont="1" applyFill="1" applyBorder="1"/>
    <xf numFmtId="0" fontId="33" fillId="0" borderId="0" xfId="0" applyFont="1" applyFill="1" applyBorder="1"/>
    <xf numFmtId="38" fontId="68" fillId="0" borderId="0" xfId="22" applyNumberFormat="1" applyFont="1"/>
    <xf numFmtId="43" fontId="5" fillId="2" borderId="0" xfId="20" applyFont="1" applyFill="1" applyBorder="1"/>
    <xf numFmtId="43" fontId="5" fillId="0" borderId="0" xfId="20" applyFont="1" applyFill="1" applyBorder="1"/>
    <xf numFmtId="173" fontId="68" fillId="2" borderId="1" xfId="20" applyNumberFormat="1" applyFont="1" applyFill="1" applyBorder="1"/>
    <xf numFmtId="173" fontId="68" fillId="2" borderId="0" xfId="20" applyNumberFormat="1" applyFont="1" applyFill="1" applyBorder="1"/>
    <xf numFmtId="173" fontId="68" fillId="2" borderId="13" xfId="20" applyNumberFormat="1" applyFont="1" applyFill="1" applyBorder="1"/>
    <xf numFmtId="173" fontId="68" fillId="0" borderId="0" xfId="20" applyNumberFormat="1" applyFont="1" applyBorder="1"/>
    <xf numFmtId="9" fontId="19" fillId="0" borderId="0" xfId="0" applyNumberFormat="1" applyFont="1" applyAlignment="1">
      <alignment horizontal="center"/>
    </xf>
    <xf numFmtId="3" fontId="4" fillId="0" borderId="0" xfId="0" applyNumberFormat="1" applyFont="1"/>
    <xf numFmtId="0" fontId="60" fillId="0" borderId="0" xfId="0" applyFont="1" applyAlignment="1">
      <alignment horizontal="left"/>
    </xf>
    <xf numFmtId="165" fontId="57" fillId="6" borderId="0" xfId="0" applyNumberFormat="1" applyFont="1" applyFill="1"/>
    <xf numFmtId="165" fontId="46" fillId="6" borderId="0" xfId="0" applyNumberFormat="1" applyFont="1" applyFill="1"/>
    <xf numFmtId="165" fontId="47" fillId="6" borderId="0" xfId="0" applyNumberFormat="1" applyFont="1" applyFill="1"/>
    <xf numFmtId="165" fontId="56" fillId="6" borderId="0" xfId="0" applyNumberFormat="1" applyFont="1" applyFill="1"/>
    <xf numFmtId="165" fontId="19" fillId="6" borderId="0" xfId="0" applyNumberFormat="1" applyFont="1" applyFill="1"/>
    <xf numFmtId="164" fontId="8" fillId="0" borderId="26" xfId="0" applyNumberFormat="1" applyFont="1" applyBorder="1"/>
    <xf numFmtId="164" fontId="19" fillId="0" borderId="26" xfId="0" applyNumberFormat="1" applyFont="1" applyBorder="1"/>
    <xf numFmtId="170" fontId="8" fillId="0" borderId="26" xfId="0" applyNumberFormat="1" applyFont="1" applyBorder="1" applyAlignment="1">
      <alignment horizontal="center"/>
    </xf>
    <xf numFmtId="171" fontId="8" fillId="0" borderId="26" xfId="0" applyNumberFormat="1" applyFont="1" applyBorder="1" applyAlignment="1">
      <alignment horizontal="center"/>
    </xf>
    <xf numFmtId="4" fontId="1" fillId="0" borderId="0" xfId="0" applyNumberFormat="1" applyFont="1"/>
    <xf numFmtId="0" fontId="23" fillId="0" borderId="0" xfId="0" applyFont="1" applyAlignment="1">
      <alignment horizontal="left"/>
    </xf>
    <xf numFmtId="0" fontId="25" fillId="0" borderId="0" xfId="0" applyFont="1" applyAlignment="1">
      <alignment horizontal="center"/>
    </xf>
    <xf numFmtId="8" fontId="0" fillId="0" borderId="0" xfId="0" applyNumberFormat="1"/>
    <xf numFmtId="7" fontId="1" fillId="0" borderId="0" xfId="0" applyNumberFormat="1" applyFont="1"/>
    <xf numFmtId="7" fontId="0" fillId="0" borderId="0" xfId="0" applyNumberFormat="1"/>
    <xf numFmtId="0" fontId="5" fillId="0" borderId="0" xfId="0" applyFont="1" applyAlignment="1">
      <alignment horizontal="left" indent="1"/>
    </xf>
    <xf numFmtId="3" fontId="1" fillId="0" borderId="0" xfId="0" applyNumberFormat="1" applyFont="1"/>
    <xf numFmtId="0" fontId="4" fillId="2" borderId="10" xfId="0" applyFont="1" applyFill="1" applyBorder="1"/>
    <xf numFmtId="8" fontId="4" fillId="2" borderId="10" xfId="0" applyNumberFormat="1" applyFont="1" applyFill="1" applyBorder="1"/>
    <xf numFmtId="7" fontId="4" fillId="2" borderId="10" xfId="0" applyNumberFormat="1" applyFont="1" applyFill="1" applyBorder="1"/>
    <xf numFmtId="0" fontId="4" fillId="2" borderId="1" xfId="0" applyFont="1" applyFill="1" applyBorder="1"/>
    <xf numFmtId="0" fontId="4" fillId="2" borderId="13" xfId="0" applyFont="1" applyFill="1" applyBorder="1"/>
    <xf numFmtId="0" fontId="4" fillId="2" borderId="14" xfId="0" applyFont="1" applyFill="1" applyBorder="1"/>
    <xf numFmtId="0" fontId="4" fillId="2" borderId="2" xfId="0" applyFont="1" applyFill="1" applyBorder="1"/>
    <xf numFmtId="9" fontId="4" fillId="2" borderId="2" xfId="0" applyNumberFormat="1" applyFont="1" applyFill="1" applyBorder="1"/>
    <xf numFmtId="9" fontId="4" fillId="2" borderId="2" xfId="41" applyNumberFormat="1" applyFont="1" applyFill="1" applyBorder="1"/>
    <xf numFmtId="9" fontId="4" fillId="2" borderId="21" xfId="0" applyNumberFormat="1" applyFont="1" applyFill="1" applyBorder="1"/>
    <xf numFmtId="0" fontId="4" fillId="0" borderId="0" xfId="0" applyFont="1" applyAlignment="1">
      <alignment horizontal="left" indent="1"/>
    </xf>
    <xf numFmtId="9" fontId="0" fillId="0" borderId="0" xfId="0" applyNumberFormat="1"/>
    <xf numFmtId="0" fontId="0" fillId="0" borderId="0" xfId="0" applyAlignment="1">
      <alignment horizontal="left"/>
    </xf>
    <xf numFmtId="0" fontId="1" fillId="0" borderId="0" xfId="0" applyFont="1" applyAlignment="1">
      <alignment horizontal="left"/>
    </xf>
    <xf numFmtId="9" fontId="5" fillId="0" borderId="0" xfId="0" applyNumberFormat="1" applyFont="1"/>
    <xf numFmtId="173" fontId="1" fillId="0" borderId="0" xfId="20" applyNumberFormat="1" applyBorder="1"/>
    <xf numFmtId="173" fontId="5" fillId="0" borderId="0" xfId="20" applyNumberFormat="1" applyFont="1"/>
    <xf numFmtId="0" fontId="1" fillId="0" borderId="0" xfId="0" applyFont="1" applyAlignment="1">
      <alignment horizontal="left" indent="1"/>
    </xf>
    <xf numFmtId="168" fontId="5" fillId="0" borderId="0" xfId="0" applyNumberFormat="1" applyFont="1"/>
    <xf numFmtId="0" fontId="23" fillId="0" borderId="0" xfId="0" applyFont="1"/>
    <xf numFmtId="173" fontId="1" fillId="0" borderId="0" xfId="20" applyNumberFormat="1" applyFont="1"/>
    <xf numFmtId="3" fontId="5" fillId="0" borderId="0" xfId="0" applyNumberFormat="1" applyFont="1"/>
    <xf numFmtId="0" fontId="5" fillId="2" borderId="4" xfId="0" applyFont="1" applyFill="1" applyBorder="1"/>
    <xf numFmtId="173" fontId="4" fillId="2" borderId="4" xfId="20" applyNumberFormat="1" applyFont="1" applyFill="1" applyBorder="1"/>
    <xf numFmtId="173" fontId="4" fillId="2" borderId="17" xfId="20" applyNumberFormat="1" applyFont="1" applyFill="1" applyBorder="1"/>
    <xf numFmtId="0" fontId="8" fillId="0" borderId="0" xfId="0" applyFont="1" applyAlignment="1">
      <alignment horizontal="left"/>
    </xf>
    <xf numFmtId="43" fontId="0" fillId="0" borderId="0" xfId="0" applyNumberFormat="1"/>
    <xf numFmtId="43" fontId="1" fillId="0" borderId="0" xfId="0" applyNumberFormat="1" applyFont="1"/>
    <xf numFmtId="0" fontId="5" fillId="0" borderId="0" xfId="0" applyFont="1" applyAlignment="1">
      <alignment horizontal="left"/>
    </xf>
    <xf numFmtId="0" fontId="4" fillId="0" borderId="0" xfId="0" applyFont="1" applyAlignment="1">
      <alignment horizontal="left"/>
    </xf>
    <xf numFmtId="8" fontId="4" fillId="0" borderId="0" xfId="0" applyNumberFormat="1" applyFont="1"/>
    <xf numFmtId="166" fontId="0" fillId="0" borderId="0" xfId="0" applyNumberFormat="1"/>
    <xf numFmtId="166" fontId="1" fillId="0" borderId="0" xfId="0" applyNumberFormat="1" applyFont="1"/>
    <xf numFmtId="173" fontId="1" fillId="0" borderId="0" xfId="20" applyNumberFormat="1"/>
    <xf numFmtId="173" fontId="4" fillId="0" borderId="0" xfId="20" applyNumberFormat="1" applyFont="1" applyBorder="1"/>
    <xf numFmtId="173" fontId="4" fillId="0" borderId="0" xfId="20" applyNumberFormat="1" applyFont="1"/>
    <xf numFmtId="181" fontId="5" fillId="0" borderId="0" xfId="22" quotePrefix="1" applyNumberFormat="1" applyFont="1" applyAlignment="1">
      <alignment horizontal="left"/>
    </xf>
    <xf numFmtId="0" fontId="19" fillId="0" borderId="0" xfId="0" applyFont="1"/>
    <xf numFmtId="166" fontId="5" fillId="0" borderId="0" xfId="0" applyNumberFormat="1" applyFont="1"/>
    <xf numFmtId="0" fontId="1" fillId="2" borderId="4" xfId="0" applyFont="1" applyFill="1" applyBorder="1"/>
    <xf numFmtId="8" fontId="5" fillId="0" borderId="0" xfId="0" applyNumberFormat="1" applyFont="1"/>
    <xf numFmtId="37" fontId="0" fillId="0" borderId="0" xfId="0" applyNumberFormat="1"/>
    <xf numFmtId="8" fontId="1" fillId="0" borderId="0" xfId="0" applyNumberFormat="1" applyFont="1"/>
    <xf numFmtId="173" fontId="5" fillId="0" borderId="0" xfId="20" applyNumberFormat="1" applyFont="1" applyAlignment="1">
      <alignment horizontal="left" indent="1"/>
    </xf>
    <xf numFmtId="173" fontId="1" fillId="0" borderId="0" xfId="20" applyNumberFormat="1" applyFont="1" applyBorder="1"/>
    <xf numFmtId="173" fontId="8" fillId="0" borderId="0" xfId="20" applyNumberFormat="1" applyFont="1"/>
    <xf numFmtId="173" fontId="8" fillId="0" borderId="0" xfId="20" applyNumberFormat="1" applyFont="1" applyBorder="1"/>
    <xf numFmtId="4" fontId="37" fillId="0" borderId="0" xfId="0" applyNumberFormat="1" applyFont="1"/>
    <xf numFmtId="173" fontId="4" fillId="0" borderId="0" xfId="0" applyNumberFormat="1" applyFont="1"/>
    <xf numFmtId="173" fontId="0" fillId="0" borderId="0" xfId="0" applyNumberFormat="1"/>
    <xf numFmtId="166" fontId="0" fillId="0" borderId="0" xfId="41" applyNumberFormat="1" applyFont="1"/>
    <xf numFmtId="0" fontId="5" fillId="0" borderId="0" xfId="0" applyFont="1" applyFill="1" applyAlignment="1">
      <alignment horizontal="left" indent="1"/>
    </xf>
    <xf numFmtId="0" fontId="0" fillId="0" borderId="25" xfId="0" applyFill="1" applyBorder="1"/>
    <xf numFmtId="0" fontId="0" fillId="2" borderId="2" xfId="0" applyFill="1" applyBorder="1"/>
    <xf numFmtId="0" fontId="0" fillId="2" borderId="21" xfId="0" applyFill="1" applyBorder="1"/>
    <xf numFmtId="0" fontId="0" fillId="2" borderId="14" xfId="0" applyFill="1" applyBorder="1"/>
    <xf numFmtId="38" fontId="9" fillId="0" borderId="0" xfId="22" applyNumberFormat="1" applyFont="1" applyBorder="1"/>
    <xf numFmtId="173" fontId="37" fillId="0" borderId="6" xfId="20" applyNumberFormat="1" applyFont="1" applyFill="1" applyBorder="1"/>
    <xf numFmtId="9" fontId="37" fillId="0" borderId="6" xfId="0" applyNumberFormat="1" applyFont="1" applyFill="1" applyBorder="1"/>
    <xf numFmtId="5" fontId="1" fillId="0" borderId="0" xfId="0" applyNumberFormat="1" applyFont="1" applyFill="1" applyBorder="1"/>
    <xf numFmtId="9" fontId="5" fillId="0" borderId="0" xfId="0" applyNumberFormat="1" applyFont="1" applyFill="1" applyBorder="1"/>
    <xf numFmtId="8" fontId="37" fillId="0" borderId="6" xfId="0" applyNumberFormat="1" applyFont="1" applyFill="1" applyBorder="1"/>
    <xf numFmtId="168" fontId="37" fillId="0" borderId="6" xfId="0" applyNumberFormat="1" applyFont="1" applyFill="1" applyBorder="1"/>
    <xf numFmtId="165" fontId="8" fillId="6" borderId="0" xfId="0" applyNumberFormat="1" applyFont="1" applyFill="1"/>
    <xf numFmtId="165" fontId="69" fillId="6" borderId="0" xfId="0" applyNumberFormat="1" applyFont="1" applyFill="1"/>
    <xf numFmtId="0" fontId="70" fillId="0" borderId="0" xfId="0" applyFont="1"/>
    <xf numFmtId="164" fontId="8" fillId="0" borderId="24" xfId="0" applyNumberFormat="1" applyFont="1" applyBorder="1"/>
    <xf numFmtId="164" fontId="27" fillId="0" borderId="24" xfId="0" applyNumberFormat="1" applyFont="1" applyBorder="1" applyAlignment="1">
      <alignment horizontal="right"/>
    </xf>
    <xf numFmtId="164" fontId="8" fillId="2" borderId="5" xfId="0" applyNumberFormat="1" applyFont="1" applyFill="1" applyBorder="1" applyAlignment="1">
      <alignment horizontal="right"/>
    </xf>
    <xf numFmtId="164" fontId="8" fillId="2" borderId="10" xfId="0" applyNumberFormat="1" applyFont="1" applyFill="1" applyBorder="1" applyAlignment="1">
      <alignment horizontal="right"/>
    </xf>
    <xf numFmtId="164" fontId="8" fillId="2" borderId="25" xfId="0" applyNumberFormat="1" applyFont="1" applyFill="1" applyBorder="1" applyAlignment="1">
      <alignment horizontal="right"/>
    </xf>
    <xf numFmtId="180" fontId="8" fillId="0" borderId="24" xfId="0" applyNumberFormat="1" applyFont="1" applyBorder="1" applyAlignment="1">
      <alignment horizontal="right"/>
    </xf>
    <xf numFmtId="176" fontId="8" fillId="0" borderId="24" xfId="0" applyNumberFormat="1" applyFont="1" applyBorder="1" applyAlignment="1">
      <alignment horizontal="right"/>
    </xf>
    <xf numFmtId="0" fontId="5" fillId="0" borderId="5" xfId="0" applyFont="1" applyFill="1" applyBorder="1"/>
    <xf numFmtId="0" fontId="0" fillId="2" borderId="5" xfId="0" applyFill="1" applyBorder="1"/>
    <xf numFmtId="0" fontId="0" fillId="2" borderId="10" xfId="0" applyFill="1" applyBorder="1"/>
    <xf numFmtId="0" fontId="0" fillId="2" borderId="25" xfId="0" applyFill="1" applyBorder="1"/>
    <xf numFmtId="38" fontId="59" fillId="0" borderId="1" xfId="22" applyNumberFormat="1" applyFont="1" applyBorder="1"/>
    <xf numFmtId="0" fontId="5" fillId="0" borderId="1" xfId="0" applyFont="1" applyFill="1" applyBorder="1"/>
    <xf numFmtId="38" fontId="5" fillId="0" borderId="1" xfId="22" applyNumberFormat="1" applyFont="1" applyBorder="1"/>
    <xf numFmtId="7" fontId="0" fillId="0" borderId="13" xfId="0" applyNumberFormat="1" applyFill="1" applyBorder="1"/>
    <xf numFmtId="0" fontId="0" fillId="0" borderId="1" xfId="0" applyFill="1" applyBorder="1"/>
    <xf numFmtId="5" fontId="0" fillId="0" borderId="13" xfId="0" applyNumberFormat="1" applyFill="1" applyBorder="1"/>
    <xf numFmtId="0" fontId="0" fillId="0" borderId="14" xfId="0" applyFill="1" applyBorder="1"/>
    <xf numFmtId="0" fontId="5" fillId="0" borderId="2" xfId="0" applyFont="1" applyFill="1" applyBorder="1"/>
    <xf numFmtId="0" fontId="0" fillId="0" borderId="21" xfId="0" applyFill="1" applyBorder="1"/>
    <xf numFmtId="6" fontId="0" fillId="2" borderId="1" xfId="0" applyNumberFormat="1" applyFill="1" applyBorder="1"/>
    <xf numFmtId="6" fontId="0" fillId="2" borderId="0" xfId="0" applyNumberFormat="1" applyFill="1" applyBorder="1"/>
    <xf numFmtId="6" fontId="0" fillId="2" borderId="13" xfId="0" applyNumberFormat="1" applyFill="1" applyBorder="1"/>
    <xf numFmtId="9" fontId="20" fillId="2" borderId="0" xfId="41" applyFont="1" applyFill="1" applyBorder="1"/>
    <xf numFmtId="0" fontId="28" fillId="0" borderId="0" xfId="0" applyFont="1" applyFill="1" applyBorder="1"/>
    <xf numFmtId="9" fontId="20" fillId="2" borderId="0" xfId="41" applyNumberFormat="1" applyFont="1" applyFill="1" applyBorder="1"/>
    <xf numFmtId="174" fontId="5" fillId="0" borderId="0" xfId="22" applyNumberFormat="1" applyFont="1"/>
    <xf numFmtId="165" fontId="71" fillId="6" borderId="0" xfId="0" applyNumberFormat="1" applyFont="1" applyFill="1"/>
    <xf numFmtId="173" fontId="21" fillId="2" borderId="1" xfId="20" applyNumberFormat="1" applyFont="1" applyFill="1" applyBorder="1"/>
    <xf numFmtId="173" fontId="21" fillId="2" borderId="0" xfId="20" applyNumberFormat="1" applyFont="1" applyFill="1" applyBorder="1"/>
    <xf numFmtId="173" fontId="21" fillId="2" borderId="13" xfId="20" applyNumberFormat="1" applyFont="1" applyFill="1" applyBorder="1"/>
    <xf numFmtId="173" fontId="21" fillId="0" borderId="0" xfId="20" applyNumberFormat="1" applyFont="1" applyFill="1" applyBorder="1"/>
    <xf numFmtId="8" fontId="1" fillId="0" borderId="0" xfId="20" applyNumberFormat="1" applyFont="1" applyFill="1" applyBorder="1"/>
    <xf numFmtId="173" fontId="63" fillId="2" borderId="1" xfId="20" applyNumberFormat="1" applyFont="1" applyFill="1" applyBorder="1"/>
    <xf numFmtId="173" fontId="28" fillId="2" borderId="13" xfId="20" applyNumberFormat="1" applyFont="1" applyFill="1" applyBorder="1"/>
    <xf numFmtId="9" fontId="1" fillId="0" borderId="0" xfId="20" applyNumberFormat="1" applyFont="1" applyFill="1" applyBorder="1"/>
    <xf numFmtId="173" fontId="53" fillId="2" borderId="13" xfId="20" applyNumberFormat="1" applyFont="1" applyFill="1" applyBorder="1"/>
    <xf numFmtId="173" fontId="37" fillId="2" borderId="0" xfId="20" applyNumberFormat="1" applyFont="1" applyFill="1"/>
    <xf numFmtId="173" fontId="28" fillId="0" borderId="0" xfId="20" applyNumberFormat="1" applyFont="1"/>
    <xf numFmtId="7" fontId="4" fillId="2" borderId="16" xfId="0" applyNumberFormat="1" applyFont="1" applyFill="1" applyBorder="1"/>
    <xf numFmtId="7" fontId="4" fillId="2" borderId="4" xfId="0" applyNumberFormat="1" applyFont="1" applyFill="1" applyBorder="1"/>
    <xf numFmtId="7" fontId="4" fillId="2" borderId="17" xfId="0" applyNumberFormat="1" applyFont="1" applyFill="1" applyBorder="1"/>
    <xf numFmtId="7" fontId="4" fillId="0" borderId="4" xfId="0" applyNumberFormat="1" applyFont="1" applyFill="1" applyBorder="1"/>
    <xf numFmtId="43" fontId="5" fillId="2" borderId="1" xfId="20" applyFont="1" applyFill="1" applyBorder="1"/>
    <xf numFmtId="43" fontId="5" fillId="2" borderId="13" xfId="20" applyFont="1" applyFill="1" applyBorder="1"/>
    <xf numFmtId="43" fontId="5" fillId="0" borderId="0" xfId="20" applyFont="1" applyBorder="1"/>
    <xf numFmtId="43" fontId="28" fillId="0" borderId="0" xfId="20" applyFont="1" applyBorder="1"/>
    <xf numFmtId="0" fontId="5" fillId="0" borderId="0" xfId="0" applyFont="1" applyBorder="1"/>
    <xf numFmtId="4" fontId="4" fillId="2" borderId="1" xfId="0" applyNumberFormat="1" applyFont="1" applyFill="1" applyBorder="1"/>
    <xf numFmtId="4" fontId="4" fillId="2" borderId="13" xfId="0" applyNumberFormat="1" applyFont="1" applyFill="1" applyBorder="1"/>
    <xf numFmtId="166" fontId="5" fillId="0" borderId="0" xfId="20" applyNumberFormat="1" applyFont="1" applyFill="1" applyBorder="1"/>
    <xf numFmtId="4" fontId="4" fillId="2" borderId="5" xfId="0" applyNumberFormat="1" applyFont="1" applyFill="1" applyBorder="1"/>
    <xf numFmtId="4" fontId="4" fillId="2" borderId="10" xfId="0" applyNumberFormat="1" applyFont="1" applyFill="1" applyBorder="1"/>
    <xf numFmtId="4" fontId="4" fillId="2" borderId="25" xfId="0" applyNumberFormat="1" applyFont="1" applyFill="1" applyBorder="1"/>
    <xf numFmtId="4" fontId="4" fillId="0" borderId="10" xfId="0" applyNumberFormat="1" applyFont="1" applyFill="1" applyBorder="1"/>
    <xf numFmtId="166" fontId="5" fillId="2" borderId="5" xfId="0" applyNumberFormat="1" applyFont="1" applyFill="1" applyBorder="1"/>
    <xf numFmtId="166" fontId="5" fillId="2" borderId="10" xfId="0" applyNumberFormat="1" applyFont="1" applyFill="1" applyBorder="1"/>
    <xf numFmtId="166" fontId="5" fillId="2" borderId="25" xfId="0" applyNumberFormat="1" applyFont="1" applyFill="1" applyBorder="1"/>
    <xf numFmtId="166" fontId="5" fillId="0" borderId="10" xfId="0" applyNumberFormat="1" applyFont="1" applyFill="1" applyBorder="1"/>
    <xf numFmtId="166" fontId="37" fillId="0" borderId="10" xfId="0" applyNumberFormat="1" applyFont="1" applyFill="1" applyBorder="1"/>
    <xf numFmtId="166" fontId="37" fillId="0" borderId="0" xfId="0" applyNumberFormat="1" applyFont="1" applyFill="1" applyBorder="1"/>
    <xf numFmtId="174" fontId="5" fillId="2" borderId="1" xfId="0" applyNumberFormat="1" applyFont="1" applyFill="1" applyBorder="1"/>
    <xf numFmtId="174" fontId="5" fillId="2" borderId="0" xfId="0" applyNumberFormat="1" applyFont="1" applyFill="1" applyBorder="1"/>
    <xf numFmtId="174" fontId="5" fillId="2" borderId="13" xfId="0" applyNumberFormat="1" applyFont="1" applyFill="1" applyBorder="1"/>
    <xf numFmtId="174" fontId="5" fillId="2" borderId="1" xfId="20" applyNumberFormat="1" applyFont="1" applyFill="1" applyBorder="1"/>
    <xf numFmtId="174" fontId="5" fillId="2" borderId="0" xfId="20" applyNumberFormat="1" applyFont="1" applyFill="1" applyBorder="1"/>
    <xf numFmtId="181" fontId="5" fillId="0" borderId="1" xfId="22" applyNumberFormat="1" applyFont="1" applyBorder="1" applyAlignment="1">
      <alignment horizontal="left"/>
    </xf>
    <xf numFmtId="181" fontId="5" fillId="0" borderId="14" xfId="22" applyNumberFormat="1" applyFont="1" applyBorder="1" applyAlignment="1">
      <alignment horizontal="left"/>
    </xf>
    <xf numFmtId="4" fontId="4" fillId="2" borderId="14" xfId="0" applyNumberFormat="1" applyFont="1" applyFill="1" applyBorder="1"/>
    <xf numFmtId="4" fontId="4" fillId="2" borderId="21" xfId="0" applyNumberFormat="1" applyFont="1" applyFill="1" applyBorder="1"/>
    <xf numFmtId="166" fontId="5" fillId="2" borderId="14" xfId="0" applyNumberFormat="1" applyFont="1" applyFill="1" applyBorder="1"/>
    <xf numFmtId="166" fontId="5" fillId="2" borderId="21" xfId="0" applyNumberFormat="1" applyFont="1" applyFill="1" applyBorder="1"/>
    <xf numFmtId="173" fontId="53" fillId="2" borderId="1" xfId="0" applyNumberFormat="1" applyFont="1" applyFill="1" applyBorder="1"/>
    <xf numFmtId="173" fontId="53" fillId="2" borderId="0" xfId="0" applyNumberFormat="1" applyFont="1" applyFill="1" applyBorder="1"/>
    <xf numFmtId="173" fontId="53" fillId="0" borderId="0" xfId="0" applyNumberFormat="1" applyFont="1" applyBorder="1"/>
    <xf numFmtId="182" fontId="4" fillId="2" borderId="1" xfId="25" applyNumberFormat="1" applyFont="1" applyFill="1" applyBorder="1"/>
    <xf numFmtId="182" fontId="4" fillId="2" borderId="0" xfId="25" applyNumberFormat="1" applyFont="1" applyFill="1" applyBorder="1"/>
    <xf numFmtId="182" fontId="4" fillId="2" borderId="13" xfId="25" applyNumberFormat="1" applyFont="1" applyFill="1" applyBorder="1"/>
    <xf numFmtId="182" fontId="4" fillId="0" borderId="0" xfId="25" applyNumberFormat="1" applyFont="1" applyFill="1" applyBorder="1"/>
    <xf numFmtId="183" fontId="4" fillId="2" borderId="1" xfId="0" applyNumberFormat="1" applyFont="1" applyFill="1" applyBorder="1"/>
    <xf numFmtId="183" fontId="4" fillId="2" borderId="0" xfId="0" applyNumberFormat="1" applyFont="1" applyFill="1" applyBorder="1"/>
    <xf numFmtId="183" fontId="5" fillId="0" borderId="0" xfId="0" applyNumberFormat="1" applyFont="1" applyFill="1" applyBorder="1"/>
    <xf numFmtId="182" fontId="4" fillId="2" borderId="1" xfId="0" applyNumberFormat="1" applyFont="1" applyFill="1" applyBorder="1"/>
    <xf numFmtId="182" fontId="4" fillId="2" borderId="0" xfId="0" applyNumberFormat="1" applyFont="1" applyFill="1" applyBorder="1"/>
    <xf numFmtId="182" fontId="4" fillId="2" borderId="13" xfId="0" applyNumberFormat="1" applyFont="1" applyFill="1" applyBorder="1"/>
    <xf numFmtId="182" fontId="4" fillId="0" borderId="0" xfId="0" applyNumberFormat="1" applyFont="1" applyFill="1" applyBorder="1"/>
    <xf numFmtId="4" fontId="65" fillId="2" borderId="1" xfId="0" applyNumberFormat="1" applyFont="1" applyFill="1" applyBorder="1"/>
    <xf numFmtId="4" fontId="65" fillId="2" borderId="0" xfId="0" applyNumberFormat="1" applyFont="1" applyFill="1" applyBorder="1"/>
    <xf numFmtId="4" fontId="65" fillId="2" borderId="13" xfId="0" applyNumberFormat="1" applyFont="1" applyFill="1" applyBorder="1"/>
    <xf numFmtId="174" fontId="4" fillId="0" borderId="0" xfId="0" applyNumberFormat="1" applyFont="1" applyFill="1" applyBorder="1"/>
    <xf numFmtId="9" fontId="35" fillId="0" borderId="0" xfId="0" applyNumberFormat="1" applyFont="1" applyFill="1" applyBorder="1"/>
    <xf numFmtId="4" fontId="20" fillId="2" borderId="1" xfId="0" applyNumberFormat="1" applyFont="1" applyFill="1" applyBorder="1"/>
    <xf numFmtId="4" fontId="20" fillId="2" borderId="13" xfId="0" applyNumberFormat="1" applyFont="1" applyFill="1" applyBorder="1"/>
    <xf numFmtId="173" fontId="53" fillId="0" borderId="0" xfId="20" applyNumberFormat="1" applyFont="1" applyBorder="1"/>
    <xf numFmtId="173" fontId="28" fillId="2" borderId="0" xfId="20" applyNumberFormat="1" applyFont="1" applyFill="1" applyBorder="1"/>
    <xf numFmtId="173" fontId="28" fillId="0" borderId="0" xfId="20" applyNumberFormat="1" applyFont="1" applyFill="1" applyBorder="1"/>
    <xf numFmtId="173" fontId="28" fillId="2" borderId="1" xfId="20" applyNumberFormat="1" applyFont="1" applyFill="1" applyBorder="1"/>
    <xf numFmtId="173" fontId="28" fillId="2" borderId="0" xfId="20" applyNumberFormat="1" applyFont="1" applyFill="1"/>
    <xf numFmtId="173" fontId="63" fillId="0" borderId="0" xfId="20" applyNumberFormat="1" applyFont="1" applyBorder="1"/>
    <xf numFmtId="174" fontId="5" fillId="0" borderId="0" xfId="0" applyNumberFormat="1" applyFont="1"/>
    <xf numFmtId="9" fontId="5" fillId="2" borderId="0" xfId="0" applyNumberFormat="1" applyFont="1" applyFill="1"/>
    <xf numFmtId="166" fontId="28" fillId="2" borderId="0" xfId="0" applyNumberFormat="1" applyFont="1" applyFill="1" applyBorder="1"/>
    <xf numFmtId="166" fontId="28" fillId="2" borderId="13" xfId="0" applyNumberFormat="1" applyFont="1" applyFill="1" applyBorder="1"/>
    <xf numFmtId="166" fontId="28" fillId="2" borderId="1" xfId="0" applyNumberFormat="1" applyFont="1" applyFill="1" applyBorder="1"/>
    <xf numFmtId="174" fontId="5" fillId="2" borderId="13" xfId="20" applyNumberFormat="1" applyFont="1" applyFill="1" applyBorder="1"/>
    <xf numFmtId="174" fontId="5" fillId="0" borderId="0" xfId="20" applyNumberFormat="1" applyFont="1" applyFill="1" applyBorder="1"/>
    <xf numFmtId="174" fontId="16" fillId="6" borderId="0" xfId="0" applyNumberFormat="1" applyFont="1" applyFill="1" applyBorder="1"/>
    <xf numFmtId="174" fontId="0" fillId="6" borderId="0" xfId="0" applyNumberFormat="1" applyFill="1" applyBorder="1"/>
    <xf numFmtId="173" fontId="1" fillId="2" borderId="0" xfId="20" applyNumberFormat="1" applyFill="1" applyBorder="1"/>
    <xf numFmtId="173" fontId="1" fillId="2" borderId="13" xfId="20" applyNumberFormat="1" applyFill="1" applyBorder="1"/>
    <xf numFmtId="173" fontId="55" fillId="2" borderId="1" xfId="20" applyNumberFormat="1" applyFont="1" applyFill="1" applyBorder="1"/>
    <xf numFmtId="173" fontId="55" fillId="2" borderId="0" xfId="20" applyNumberFormat="1" applyFont="1" applyFill="1" applyBorder="1"/>
    <xf numFmtId="173" fontId="55" fillId="2" borderId="13" xfId="20" applyNumberFormat="1" applyFont="1" applyFill="1" applyBorder="1"/>
    <xf numFmtId="173" fontId="55" fillId="0" borderId="0" xfId="20" applyNumberFormat="1" applyFont="1" applyFill="1" applyBorder="1"/>
    <xf numFmtId="168" fontId="5" fillId="2" borderId="13" xfId="0" applyNumberFormat="1" applyFont="1" applyFill="1" applyBorder="1"/>
    <xf numFmtId="168" fontId="5" fillId="2" borderId="1" xfId="0" applyNumberFormat="1" applyFont="1" applyFill="1" applyBorder="1"/>
    <xf numFmtId="173" fontId="4" fillId="2" borderId="0" xfId="20" applyNumberFormat="1" applyFont="1" applyFill="1"/>
    <xf numFmtId="173" fontId="35" fillId="0" borderId="0" xfId="20" applyNumberFormat="1" applyFont="1" applyFill="1" applyBorder="1"/>
    <xf numFmtId="173" fontId="63" fillId="2" borderId="13" xfId="20" applyNumberFormat="1" applyFont="1" applyFill="1" applyBorder="1"/>
    <xf numFmtId="166" fontId="37" fillId="2" borderId="1" xfId="0" applyNumberFormat="1" applyFont="1" applyFill="1" applyBorder="1"/>
    <xf numFmtId="166" fontId="37" fillId="2" borderId="13" xfId="0" applyNumberFormat="1" applyFont="1" applyFill="1" applyBorder="1"/>
    <xf numFmtId="166" fontId="28" fillId="0" borderId="0" xfId="0" applyNumberFormat="1" applyFont="1" applyFill="1" applyBorder="1"/>
    <xf numFmtId="0" fontId="0" fillId="0" borderId="10" xfId="0" applyBorder="1"/>
    <xf numFmtId="10" fontId="0" fillId="0" borderId="0" xfId="0" applyNumberFormat="1"/>
    <xf numFmtId="7" fontId="53" fillId="2" borderId="1" xfId="0" applyNumberFormat="1" applyFont="1" applyFill="1" applyBorder="1"/>
    <xf numFmtId="7" fontId="53" fillId="2" borderId="0" xfId="0" applyNumberFormat="1" applyFont="1" applyFill="1" applyBorder="1"/>
    <xf numFmtId="7" fontId="53" fillId="2" borderId="13" xfId="0" applyNumberFormat="1" applyFont="1" applyFill="1" applyBorder="1"/>
    <xf numFmtId="174" fontId="5" fillId="0" borderId="1" xfId="22" applyNumberFormat="1" applyFont="1" applyBorder="1" applyAlignment="1">
      <alignment horizontal="left"/>
    </xf>
    <xf numFmtId="4" fontId="4" fillId="2" borderId="2" xfId="0" applyNumberFormat="1" applyFont="1" applyFill="1" applyBorder="1"/>
    <xf numFmtId="3" fontId="35" fillId="2" borderId="1" xfId="0" applyNumberFormat="1" applyFont="1" applyFill="1" applyBorder="1"/>
    <xf numFmtId="3" fontId="35" fillId="2" borderId="0" xfId="0" applyNumberFormat="1" applyFont="1" applyFill="1" applyBorder="1"/>
    <xf numFmtId="3" fontId="35" fillId="2" borderId="13" xfId="0" applyNumberFormat="1" applyFont="1" applyFill="1" applyBorder="1"/>
    <xf numFmtId="1" fontId="4" fillId="0" borderId="0" xfId="0" applyNumberFormat="1" applyFont="1" applyFill="1" applyBorder="1"/>
    <xf numFmtId="0" fontId="5" fillId="2" borderId="13" xfId="0" applyFont="1" applyFill="1" applyBorder="1"/>
    <xf numFmtId="8" fontId="37" fillId="2" borderId="1" xfId="20" applyNumberFormat="1" applyFont="1" applyFill="1" applyBorder="1"/>
    <xf numFmtId="8" fontId="37" fillId="2" borderId="0" xfId="20" applyNumberFormat="1" applyFont="1" applyFill="1" applyBorder="1"/>
    <xf numFmtId="8" fontId="37" fillId="2" borderId="13" xfId="20" applyNumberFormat="1" applyFont="1" applyFill="1" applyBorder="1"/>
    <xf numFmtId="8" fontId="5" fillId="2" borderId="0" xfId="20" applyNumberFormat="1" applyFont="1" applyFill="1" applyBorder="1"/>
    <xf numFmtId="8" fontId="5" fillId="2" borderId="13" xfId="20" applyNumberFormat="1" applyFont="1" applyFill="1" applyBorder="1"/>
    <xf numFmtId="166" fontId="20" fillId="0" borderId="0" xfId="0" applyNumberFormat="1" applyFont="1" applyBorder="1"/>
    <xf numFmtId="8" fontId="5" fillId="2" borderId="1" xfId="20" applyNumberFormat="1" applyFont="1" applyFill="1" applyBorder="1"/>
    <xf numFmtId="165" fontId="56" fillId="6" borderId="0" xfId="0" applyNumberFormat="1" applyFont="1" applyFill="1" applyAlignment="1">
      <alignment horizontal="center"/>
    </xf>
    <xf numFmtId="164" fontId="8" fillId="0" borderId="0" xfId="0" applyNumberFormat="1" applyFont="1"/>
    <xf numFmtId="164" fontId="3" fillId="0" borderId="0" xfId="0" applyNumberFormat="1" applyFont="1"/>
    <xf numFmtId="164" fontId="27" fillId="0" borderId="0" xfId="0" applyNumberFormat="1" applyFont="1" applyAlignment="1">
      <alignment horizontal="right"/>
    </xf>
    <xf numFmtId="0" fontId="8" fillId="0" borderId="0" xfId="0" applyFont="1" applyAlignment="1">
      <alignment horizontal="right"/>
    </xf>
    <xf numFmtId="168" fontId="55" fillId="0" borderId="0" xfId="0" applyNumberFormat="1" applyFont="1" applyAlignment="1">
      <alignment horizontal="right"/>
    </xf>
    <xf numFmtId="168" fontId="37" fillId="0" borderId="0" xfId="0" applyNumberFormat="1" applyFont="1" applyAlignment="1">
      <alignment horizontal="right"/>
    </xf>
    <xf numFmtId="168" fontId="36" fillId="0" borderId="0" xfId="0" applyNumberFormat="1" applyFont="1" applyAlignment="1">
      <alignment horizontal="right"/>
    </xf>
    <xf numFmtId="168" fontId="0" fillId="0" borderId="0" xfId="0" applyNumberFormat="1" applyAlignment="1">
      <alignment horizontal="right"/>
    </xf>
    <xf numFmtId="166" fontId="24" fillId="0" borderId="0" xfId="0" applyNumberFormat="1" applyFont="1" applyAlignment="1">
      <alignment horizontal="right"/>
    </xf>
    <xf numFmtId="166" fontId="37" fillId="0" borderId="0" xfId="0" applyNumberFormat="1" applyFont="1" applyAlignment="1">
      <alignment horizontal="right"/>
    </xf>
    <xf numFmtId="0" fontId="4" fillId="2" borderId="4" xfId="0" applyFont="1" applyFill="1" applyBorder="1"/>
    <xf numFmtId="8" fontId="4" fillId="2" borderId="4" xfId="0" applyNumberFormat="1" applyFont="1" applyFill="1" applyBorder="1" applyAlignment="1">
      <alignment horizontal="right"/>
    </xf>
    <xf numFmtId="8" fontId="4" fillId="2" borderId="17" xfId="0" applyNumberFormat="1" applyFont="1" applyFill="1" applyBorder="1" applyAlignment="1">
      <alignment horizontal="right"/>
    </xf>
    <xf numFmtId="166" fontId="37" fillId="0" borderId="0" xfId="0" applyNumberFormat="1" applyFont="1"/>
    <xf numFmtId="0" fontId="0" fillId="2" borderId="4" xfId="0" applyFill="1" applyBorder="1"/>
    <xf numFmtId="166" fontId="4" fillId="2" borderId="4" xfId="0" applyNumberFormat="1" applyFont="1" applyFill="1" applyBorder="1"/>
    <xf numFmtId="166" fontId="4" fillId="2" borderId="17" xfId="0" applyNumberFormat="1" applyFont="1" applyFill="1" applyBorder="1"/>
    <xf numFmtId="7" fontId="36" fillId="0" borderId="0" xfId="0" applyNumberFormat="1" applyFont="1"/>
    <xf numFmtId="7" fontId="36" fillId="0" borderId="0" xfId="0" applyNumberFormat="1" applyFont="1" applyFill="1" applyBorder="1"/>
    <xf numFmtId="8" fontId="36" fillId="0" borderId="0" xfId="0" applyNumberFormat="1" applyFont="1"/>
    <xf numFmtId="3" fontId="0" fillId="0" borderId="0" xfId="0" applyNumberFormat="1" applyFill="1"/>
    <xf numFmtId="0" fontId="38" fillId="0" borderId="0" xfId="0" applyFont="1"/>
    <xf numFmtId="14" fontId="72" fillId="0" borderId="0" xfId="0" applyNumberFormat="1" applyFont="1" applyFill="1"/>
    <xf numFmtId="0" fontId="22" fillId="0" borderId="0" xfId="0" quotePrefix="1" applyFont="1" applyFill="1" applyAlignment="1">
      <alignment horizontal="right"/>
    </xf>
    <xf numFmtId="166" fontId="0" fillId="0" borderId="0" xfId="0" applyNumberFormat="1" applyFill="1"/>
    <xf numFmtId="0" fontId="35" fillId="0" borderId="6" xfId="0" applyFont="1" applyFill="1" applyBorder="1"/>
    <xf numFmtId="10" fontId="36" fillId="0" borderId="0" xfId="41" applyNumberFormat="1" applyFont="1" applyFill="1"/>
    <xf numFmtId="166" fontId="36" fillId="0" borderId="0" xfId="41" applyNumberFormat="1" applyFont="1" applyFill="1"/>
    <xf numFmtId="175" fontId="36" fillId="0" borderId="0" xfId="20" applyNumberFormat="1" applyFont="1" applyFill="1"/>
    <xf numFmtId="43" fontId="36" fillId="0" borderId="0" xfId="20" applyFont="1" applyFill="1"/>
    <xf numFmtId="0" fontId="4" fillId="0" borderId="0" xfId="0" applyFont="1" applyFill="1" applyAlignment="1">
      <alignment horizontal="left"/>
    </xf>
    <xf numFmtId="0" fontId="4" fillId="0" borderId="0" xfId="0" applyFont="1" applyFill="1" applyAlignment="1">
      <alignment horizontal="centerContinuous"/>
    </xf>
    <xf numFmtId="0" fontId="0" fillId="0" borderId="0" xfId="0" applyFill="1" applyAlignment="1">
      <alignment horizontal="centerContinuous"/>
    </xf>
    <xf numFmtId="166" fontId="4" fillId="2" borderId="17" xfId="41" applyNumberFormat="1" applyFont="1" applyFill="1" applyBorder="1"/>
    <xf numFmtId="175" fontId="0" fillId="0" borderId="0" xfId="0" applyNumberFormat="1" applyFill="1"/>
    <xf numFmtId="9" fontId="0" fillId="0" borderId="0" xfId="0" applyNumberFormat="1" applyFill="1"/>
    <xf numFmtId="173" fontId="5" fillId="0" borderId="0" xfId="0" applyNumberFormat="1" applyFont="1"/>
    <xf numFmtId="173" fontId="36" fillId="0" borderId="0" xfId="20" applyNumberFormat="1" applyFont="1" applyFill="1"/>
    <xf numFmtId="173" fontId="1" fillId="0" borderId="0" xfId="20" applyNumberFormat="1" applyFill="1"/>
    <xf numFmtId="37" fontId="4" fillId="0" borderId="0" xfId="0" applyNumberFormat="1" applyFont="1"/>
    <xf numFmtId="175" fontId="1" fillId="0" borderId="0" xfId="20" applyNumberFormat="1"/>
    <xf numFmtId="9" fontId="1" fillId="0" borderId="0" xfId="41" applyFill="1"/>
    <xf numFmtId="0" fontId="65" fillId="0" borderId="0" xfId="0" applyFont="1"/>
    <xf numFmtId="168" fontId="65" fillId="0" borderId="0" xfId="20" applyNumberFormat="1" applyFont="1"/>
    <xf numFmtId="166" fontId="20" fillId="0" borderId="0" xfId="0" applyNumberFormat="1" applyFont="1"/>
    <xf numFmtId="9" fontId="65" fillId="0" borderId="0" xfId="20" applyNumberFormat="1" applyFont="1"/>
    <xf numFmtId="37" fontId="4" fillId="0" borderId="0" xfId="20" applyNumberFormat="1" applyFont="1"/>
    <xf numFmtId="175" fontId="4" fillId="2" borderId="17" xfId="0" applyNumberFormat="1" applyFont="1" applyFill="1" applyBorder="1"/>
    <xf numFmtId="0" fontId="8" fillId="0" borderId="4" xfId="0" applyFont="1" applyBorder="1" applyAlignment="1">
      <alignment horizontal="right"/>
    </xf>
    <xf numFmtId="0" fontId="4" fillId="0" borderId="0" xfId="0" applyFont="1" applyAlignment="1">
      <alignment horizontal="right"/>
    </xf>
    <xf numFmtId="166" fontId="0" fillId="0" borderId="0" xfId="0" applyNumberFormat="1" applyAlignment="1">
      <alignment horizontal="right"/>
    </xf>
    <xf numFmtId="43" fontId="1" fillId="0" borderId="0" xfId="20"/>
    <xf numFmtId="179" fontId="1" fillId="0" borderId="0" xfId="41" applyNumberFormat="1"/>
    <xf numFmtId="37" fontId="4" fillId="0" borderId="0" xfId="20" applyNumberFormat="1" applyFont="1" applyFill="1" applyBorder="1"/>
    <xf numFmtId="0" fontId="66" fillId="0" borderId="0" xfId="0" applyFont="1"/>
    <xf numFmtId="7" fontId="4" fillId="2" borderId="25" xfId="0" applyNumberFormat="1" applyFont="1" applyFill="1" applyBorder="1"/>
    <xf numFmtId="9" fontId="20" fillId="0" borderId="0" xfId="41" applyFont="1" applyFill="1"/>
    <xf numFmtId="9" fontId="1" fillId="0" borderId="0" xfId="41" applyFont="1" applyFill="1"/>
    <xf numFmtId="14" fontId="73" fillId="0" borderId="0" xfId="0" applyNumberFormat="1" applyFont="1" applyFill="1" applyAlignment="1">
      <alignment horizontal="left"/>
    </xf>
    <xf numFmtId="14" fontId="73" fillId="0" borderId="0" xfId="0" applyNumberFormat="1" applyFont="1" applyFill="1"/>
    <xf numFmtId="173" fontId="0" fillId="0" borderId="0" xfId="20" applyNumberFormat="1" applyFont="1"/>
    <xf numFmtId="7" fontId="4" fillId="0" borderId="0" xfId="0" applyNumberFormat="1" applyFont="1"/>
    <xf numFmtId="8" fontId="65" fillId="0" borderId="0" xfId="0" applyNumberFormat="1" applyFont="1"/>
    <xf numFmtId="174" fontId="37" fillId="0" borderId="0" xfId="20" applyNumberFormat="1" applyFont="1" applyFill="1" applyBorder="1"/>
    <xf numFmtId="173" fontId="1" fillId="2" borderId="1" xfId="20" applyNumberFormat="1" applyFill="1" applyBorder="1"/>
    <xf numFmtId="173" fontId="1" fillId="0" borderId="13" xfId="20" applyNumberFormat="1" applyFill="1" applyBorder="1"/>
    <xf numFmtId="6" fontId="1" fillId="0" borderId="0" xfId="25" applyNumberFormat="1" applyFill="1" applyBorder="1"/>
    <xf numFmtId="6" fontId="1" fillId="2" borderId="1" xfId="25" applyNumberFormat="1" applyFill="1" applyBorder="1"/>
    <xf numFmtId="6" fontId="1" fillId="2" borderId="0" xfId="25" applyNumberFormat="1" applyFill="1" applyBorder="1"/>
    <xf numFmtId="6" fontId="1" fillId="2" borderId="13" xfId="25" applyNumberFormat="1" applyFill="1" applyBorder="1"/>
    <xf numFmtId="6" fontId="1" fillId="0" borderId="13" xfId="25" applyNumberFormat="1" applyFill="1" applyBorder="1"/>
    <xf numFmtId="9" fontId="1" fillId="0" borderId="0" xfId="20" applyNumberFormat="1" applyFill="1" applyBorder="1"/>
    <xf numFmtId="9" fontId="5" fillId="0" borderId="0" xfId="0" applyNumberFormat="1" applyFont="1" applyBorder="1"/>
    <xf numFmtId="9" fontId="28" fillId="0" borderId="0" xfId="0" applyNumberFormat="1" applyFont="1" applyBorder="1"/>
    <xf numFmtId="174" fontId="37" fillId="2" borderId="1" xfId="20" applyNumberFormat="1" applyFont="1" applyFill="1" applyBorder="1"/>
    <xf numFmtId="174" fontId="37" fillId="2" borderId="0" xfId="20" applyNumberFormat="1" applyFont="1" applyFill="1" applyBorder="1"/>
    <xf numFmtId="174" fontId="37" fillId="2" borderId="13" xfId="20" applyNumberFormat="1" applyFont="1" applyFill="1" applyBorder="1"/>
    <xf numFmtId="166" fontId="5" fillId="0" borderId="2" xfId="0" applyNumberFormat="1" applyFont="1" applyFill="1" applyBorder="1"/>
    <xf numFmtId="166" fontId="5" fillId="2" borderId="2" xfId="0" applyNumberFormat="1" applyFont="1" applyFill="1" applyBorder="1"/>
    <xf numFmtId="173" fontId="5" fillId="0" borderId="0" xfId="0" applyNumberFormat="1" applyFont="1" applyBorder="1"/>
    <xf numFmtId="173" fontId="5" fillId="0" borderId="0" xfId="20" applyNumberFormat="1" applyFont="1" applyBorder="1"/>
    <xf numFmtId="173" fontId="37" fillId="0" borderId="0" xfId="20" applyNumberFormat="1" applyFont="1" applyBorder="1"/>
    <xf numFmtId="0" fontId="8" fillId="0" borderId="0" xfId="0" applyFont="1" applyFill="1" applyBorder="1"/>
    <xf numFmtId="174" fontId="8" fillId="2" borderId="0" xfId="0" applyNumberFormat="1" applyFont="1" applyFill="1" applyBorder="1" applyAlignment="1">
      <alignment horizontal="right"/>
    </xf>
    <xf numFmtId="173" fontId="53" fillId="0" borderId="0" xfId="0" applyNumberFormat="1" applyFont="1"/>
    <xf numFmtId="173" fontId="4" fillId="0" borderId="0" xfId="20" applyNumberFormat="1" applyFont="1" applyFill="1" applyBorder="1" applyAlignment="1"/>
    <xf numFmtId="0" fontId="75" fillId="0" borderId="0" xfId="0" applyFont="1"/>
    <xf numFmtId="3" fontId="8" fillId="0" borderId="0" xfId="31" applyNumberFormat="1" applyFont="1" applyFill="1"/>
    <xf numFmtId="174" fontId="8" fillId="2" borderId="0" xfId="31" applyNumberFormat="1" applyFont="1" applyFill="1" applyBorder="1" applyAlignment="1">
      <alignment horizontal="right"/>
    </xf>
    <xf numFmtId="37" fontId="5" fillId="0" borderId="0" xfId="20" applyNumberFormat="1" applyFont="1" applyFill="1" applyBorder="1"/>
    <xf numFmtId="37" fontId="5" fillId="2" borderId="0" xfId="20" applyNumberFormat="1" applyFont="1" applyFill="1" applyBorder="1"/>
    <xf numFmtId="37" fontId="5" fillId="2" borderId="13" xfId="20" applyNumberFormat="1" applyFont="1" applyFill="1" applyBorder="1"/>
    <xf numFmtId="37" fontId="5" fillId="2" borderId="1" xfId="20" applyNumberFormat="1" applyFont="1" applyFill="1" applyBorder="1"/>
    <xf numFmtId="37" fontId="0" fillId="0" borderId="0" xfId="0" applyNumberFormat="1" applyFill="1" applyBorder="1" applyAlignment="1">
      <alignment horizontal="left"/>
    </xf>
    <xf numFmtId="37" fontId="4" fillId="2" borderId="1" xfId="20" applyNumberFormat="1" applyFont="1" applyFill="1" applyBorder="1"/>
    <xf numFmtId="37" fontId="4" fillId="2" borderId="0" xfId="20" applyNumberFormat="1" applyFont="1" applyFill="1" applyBorder="1"/>
    <xf numFmtId="37" fontId="4" fillId="2" borderId="13" xfId="20" applyNumberFormat="1" applyFont="1" applyFill="1" applyBorder="1"/>
    <xf numFmtId="37" fontId="53" fillId="0" borderId="0" xfId="0" applyNumberFormat="1" applyFont="1" applyFill="1" applyBorder="1"/>
    <xf numFmtId="43" fontId="4" fillId="0" borderId="0" xfId="20" applyFont="1" applyFill="1" applyBorder="1"/>
    <xf numFmtId="37" fontId="35" fillId="0" borderId="0" xfId="0" applyNumberFormat="1" applyFont="1" applyFill="1" applyBorder="1"/>
    <xf numFmtId="37" fontId="35" fillId="2" borderId="1" xfId="41" applyNumberFormat="1" applyFont="1" applyFill="1" applyBorder="1"/>
    <xf numFmtId="37" fontId="35" fillId="2" borderId="0" xfId="41" applyNumberFormat="1" applyFont="1" applyFill="1" applyBorder="1"/>
    <xf numFmtId="37" fontId="35" fillId="2" borderId="13" xfId="41" applyNumberFormat="1" applyFont="1" applyFill="1" applyBorder="1"/>
    <xf numFmtId="37" fontId="35" fillId="0" borderId="0" xfId="41" applyNumberFormat="1" applyFont="1" applyFill="1" applyBorder="1"/>
    <xf numFmtId="0" fontId="77" fillId="0" borderId="0" xfId="0" applyFont="1" applyFill="1" applyBorder="1" applyAlignment="1">
      <alignment horizontal="center"/>
    </xf>
    <xf numFmtId="37" fontId="5" fillId="0" borderId="0" xfId="0" applyNumberFormat="1" applyFont="1" applyFill="1" applyBorder="1" applyAlignment="1">
      <alignment horizontal="left"/>
    </xf>
    <xf numFmtId="37" fontId="28" fillId="0" borderId="0" xfId="0" applyNumberFormat="1" applyFont="1" applyFill="1" applyBorder="1"/>
    <xf numFmtId="37" fontId="5" fillId="0" borderId="0" xfId="0" applyNumberFormat="1" applyFont="1"/>
    <xf numFmtId="37" fontId="53" fillId="2" borderId="1" xfId="0" applyNumberFormat="1" applyFont="1" applyFill="1" applyBorder="1"/>
    <xf numFmtId="173" fontId="44" fillId="6" borderId="0" xfId="20" applyNumberFormat="1" applyFont="1" applyFill="1"/>
    <xf numFmtId="166" fontId="1" fillId="0" borderId="0" xfId="41" applyNumberFormat="1" applyFont="1" applyFill="1" applyBorder="1"/>
    <xf numFmtId="37" fontId="53" fillId="2" borderId="0" xfId="0" applyNumberFormat="1" applyFont="1" applyFill="1" applyBorder="1"/>
    <xf numFmtId="0" fontId="1" fillId="0" borderId="0" xfId="0" applyFont="1" applyFill="1"/>
    <xf numFmtId="172" fontId="37" fillId="0" borderId="0" xfId="0" applyNumberFormat="1" applyFont="1" applyFill="1" applyBorder="1" applyAlignment="1"/>
    <xf numFmtId="37" fontId="4" fillId="0" borderId="0" xfId="31" applyNumberFormat="1" applyFont="1" applyFill="1" applyBorder="1"/>
    <xf numFmtId="184" fontId="5" fillId="0" borderId="0" xfId="0" applyNumberFormat="1" applyFont="1" applyFill="1" applyBorder="1"/>
    <xf numFmtId="184" fontId="0" fillId="0" borderId="0" xfId="0" applyNumberFormat="1"/>
    <xf numFmtId="0" fontId="70" fillId="0" borderId="0" xfId="0" applyFont="1" applyBorder="1"/>
    <xf numFmtId="164" fontId="0" fillId="0" borderId="0" xfId="0" applyNumberFormat="1" applyBorder="1"/>
    <xf numFmtId="174" fontId="5" fillId="0" borderId="0" xfId="0" applyNumberFormat="1" applyFont="1" applyBorder="1"/>
    <xf numFmtId="173" fontId="36" fillId="2" borderId="1" xfId="20" applyNumberFormat="1" applyFont="1" applyFill="1" applyBorder="1"/>
    <xf numFmtId="168" fontId="4" fillId="0" borderId="0" xfId="0" applyNumberFormat="1" applyFont="1" applyFill="1" applyBorder="1"/>
    <xf numFmtId="0" fontId="4" fillId="0" borderId="0" xfId="0" applyFont="1" applyFill="1" applyAlignment="1">
      <alignment horizontal="left" vertical="top" wrapText="1"/>
    </xf>
    <xf numFmtId="173" fontId="53" fillId="0" borderId="0" xfId="0" applyNumberFormat="1" applyFont="1" applyFill="1" applyBorder="1"/>
    <xf numFmtId="173" fontId="53" fillId="0" borderId="0" xfId="0" applyNumberFormat="1" applyFont="1" applyFill="1"/>
    <xf numFmtId="0" fontId="1" fillId="0" borderId="0" xfId="0" applyFont="1" applyAlignment="1">
      <alignment horizontal="center"/>
    </xf>
    <xf numFmtId="0" fontId="58" fillId="0" borderId="0" xfId="0" applyFont="1" applyFill="1" applyBorder="1" applyAlignment="1">
      <alignment horizontal="center"/>
    </xf>
    <xf numFmtId="173" fontId="58" fillId="0" borderId="0" xfId="20" applyNumberFormat="1" applyFont="1" applyFill="1" applyBorder="1" applyAlignment="1">
      <alignment horizontal="center"/>
    </xf>
    <xf numFmtId="0" fontId="20" fillId="0" borderId="0" xfId="0" applyFont="1" applyFill="1" applyBorder="1" applyAlignment="1">
      <alignment horizontal="center"/>
    </xf>
    <xf numFmtId="0" fontId="58" fillId="0" borderId="0" xfId="0" applyFont="1" applyAlignment="1">
      <alignment horizontal="center"/>
    </xf>
    <xf numFmtId="173" fontId="9" fillId="0" borderId="0" xfId="20" applyNumberFormat="1" applyFont="1" applyFill="1" applyBorder="1" applyAlignment="1">
      <alignment horizontal="center"/>
    </xf>
    <xf numFmtId="37" fontId="5" fillId="0" borderId="0" xfId="0" applyNumberFormat="1" applyFont="1" applyFill="1" applyBorder="1" applyAlignment="1">
      <alignment horizontal="center"/>
    </xf>
    <xf numFmtId="173" fontId="5" fillId="0" borderId="0" xfId="20" applyNumberFormat="1" applyFont="1" applyFill="1" applyBorder="1" applyAlignment="1"/>
    <xf numFmtId="0" fontId="1" fillId="0" borderId="0" xfId="0" applyFont="1" applyBorder="1" applyAlignment="1">
      <alignment horizontal="center"/>
    </xf>
    <xf numFmtId="173" fontId="1" fillId="0" borderId="0" xfId="20" applyNumberFormat="1" applyFont="1" applyFill="1" applyBorder="1" applyAlignment="1">
      <alignment horizontal="center"/>
    </xf>
    <xf numFmtId="0" fontId="79" fillId="0" borderId="0" xfId="0" applyFont="1" applyFill="1" applyBorder="1" applyAlignment="1">
      <alignment horizontal="center"/>
    </xf>
    <xf numFmtId="173" fontId="80" fillId="0" borderId="0" xfId="20" applyNumberFormat="1" applyFont="1" applyFill="1" applyBorder="1" applyAlignment="1">
      <alignment horizontal="center"/>
    </xf>
    <xf numFmtId="0" fontId="80" fillId="0" borderId="0" xfId="0" applyFont="1" applyFill="1" applyBorder="1" applyAlignment="1">
      <alignment horizontal="center"/>
    </xf>
    <xf numFmtId="174" fontId="58" fillId="0" borderId="0" xfId="0" applyNumberFormat="1" applyFont="1" applyAlignment="1">
      <alignment horizontal="center"/>
    </xf>
    <xf numFmtId="174" fontId="58" fillId="0" borderId="0" xfId="0" applyNumberFormat="1" applyFont="1" applyFill="1" applyBorder="1" applyAlignment="1">
      <alignment horizontal="center"/>
    </xf>
    <xf numFmtId="174" fontId="80" fillId="0" borderId="0" xfId="0" applyNumberFormat="1" applyFont="1" applyFill="1" applyBorder="1" applyAlignment="1">
      <alignment horizontal="center"/>
    </xf>
    <xf numFmtId="0" fontId="67" fillId="0" borderId="0" xfId="0" applyFont="1" applyFill="1" applyBorder="1"/>
    <xf numFmtId="173" fontId="78" fillId="0" borderId="0" xfId="20" applyNumberFormat="1" applyFont="1" applyFill="1" applyBorder="1"/>
    <xf numFmtId="43" fontId="4" fillId="2" borderId="1" xfId="20" applyFont="1" applyFill="1" applyBorder="1"/>
    <xf numFmtId="43" fontId="4" fillId="2" borderId="0" xfId="20" applyFont="1" applyFill="1" applyBorder="1"/>
    <xf numFmtId="9" fontId="20" fillId="2" borderId="13" xfId="41" applyNumberFormat="1" applyFont="1" applyFill="1" applyBorder="1"/>
    <xf numFmtId="1" fontId="5" fillId="2" borderId="1" xfId="0" applyNumberFormat="1" applyFont="1" applyFill="1" applyBorder="1"/>
    <xf numFmtId="1" fontId="5" fillId="2" borderId="0" xfId="0" applyNumberFormat="1" applyFont="1" applyFill="1" applyBorder="1"/>
    <xf numFmtId="1" fontId="5" fillId="2" borderId="13" xfId="0" applyNumberFormat="1" applyFont="1" applyFill="1" applyBorder="1"/>
    <xf numFmtId="1" fontId="5" fillId="0" borderId="0" xfId="0" applyNumberFormat="1" applyFont="1" applyBorder="1"/>
    <xf numFmtId="1" fontId="28" fillId="0" borderId="0" xfId="0" applyNumberFormat="1" applyFont="1" applyBorder="1"/>
    <xf numFmtId="4" fontId="35" fillId="2" borderId="1" xfId="0" applyNumberFormat="1" applyFont="1" applyFill="1" applyBorder="1"/>
    <xf numFmtId="4" fontId="35" fillId="2" borderId="0" xfId="0" applyNumberFormat="1" applyFont="1" applyFill="1" applyBorder="1"/>
    <xf numFmtId="4" fontId="35" fillId="2" borderId="13" xfId="0" applyNumberFormat="1" applyFont="1" applyFill="1" applyBorder="1"/>
    <xf numFmtId="4" fontId="35" fillId="0" borderId="0" xfId="0" applyNumberFormat="1" applyFont="1" applyFill="1" applyBorder="1"/>
    <xf numFmtId="0" fontId="74" fillId="0" borderId="0" xfId="0" applyFont="1" applyFill="1"/>
    <xf numFmtId="0" fontId="81" fillId="0" borderId="0" xfId="0" applyFont="1" applyFill="1" applyBorder="1" applyAlignment="1">
      <alignment horizontal="left"/>
    </xf>
    <xf numFmtId="0" fontId="74" fillId="0" borderId="0" xfId="0" applyFont="1" applyFill="1" applyBorder="1" applyAlignment="1"/>
    <xf numFmtId="38" fontId="74" fillId="0" borderId="1" xfId="0" applyNumberFormat="1" applyFont="1" applyFill="1" applyBorder="1" applyAlignment="1">
      <alignment horizontal="center"/>
    </xf>
    <xf numFmtId="1" fontId="74" fillId="0" borderId="0" xfId="0" applyNumberFormat="1" applyFont="1" applyFill="1" applyBorder="1" applyAlignment="1">
      <alignment horizontal="center"/>
    </xf>
    <xf numFmtId="166" fontId="74" fillId="0" borderId="0" xfId="0" applyNumberFormat="1" applyFont="1" applyFill="1" applyBorder="1" applyAlignment="1">
      <alignment horizontal="center"/>
    </xf>
    <xf numFmtId="172" fontId="74" fillId="0" borderId="0" xfId="0" applyNumberFormat="1" applyFont="1" applyFill="1" applyBorder="1" applyAlignment="1">
      <alignment horizontal="center"/>
    </xf>
    <xf numFmtId="173" fontId="74" fillId="0" borderId="13" xfId="20" applyNumberFormat="1" applyFont="1" applyFill="1" applyBorder="1" applyAlignment="1"/>
    <xf numFmtId="173" fontId="74" fillId="0" borderId="0" xfId="20" applyNumberFormat="1" applyFont="1" applyFill="1" applyBorder="1" applyAlignment="1">
      <alignment horizontal="right"/>
    </xf>
    <xf numFmtId="173" fontId="74" fillId="2" borderId="1" xfId="20" applyNumberFormat="1" applyFont="1" applyFill="1" applyBorder="1" applyAlignment="1">
      <alignment horizontal="right"/>
    </xf>
    <xf numFmtId="173" fontId="74" fillId="2" borderId="0" xfId="20" applyNumberFormat="1" applyFont="1" applyFill="1" applyBorder="1" applyAlignment="1">
      <alignment horizontal="right"/>
    </xf>
    <xf numFmtId="173" fontId="74" fillId="2" borderId="13" xfId="20" applyNumberFormat="1" applyFont="1" applyFill="1" applyBorder="1" applyAlignment="1">
      <alignment horizontal="right"/>
    </xf>
    <xf numFmtId="175" fontId="74" fillId="0" borderId="0" xfId="20" applyNumberFormat="1" applyFont="1" applyFill="1" applyBorder="1" applyAlignment="1">
      <alignment horizontal="right"/>
    </xf>
    <xf numFmtId="175" fontId="74" fillId="2" borderId="1" xfId="20" applyNumberFormat="1" applyFont="1" applyFill="1" applyBorder="1" applyAlignment="1">
      <alignment horizontal="right"/>
    </xf>
    <xf numFmtId="175" fontId="74" fillId="2" borderId="0" xfId="20" applyNumberFormat="1" applyFont="1" applyFill="1" applyBorder="1" applyAlignment="1">
      <alignment horizontal="right"/>
    </xf>
    <xf numFmtId="175" fontId="74" fillId="2" borderId="13" xfId="20" applyNumberFormat="1" applyFont="1" applyFill="1" applyBorder="1" applyAlignment="1">
      <alignment horizontal="right"/>
    </xf>
    <xf numFmtId="0" fontId="74" fillId="0" borderId="0" xfId="0" applyFont="1"/>
    <xf numFmtId="166" fontId="1" fillId="0" borderId="0" xfId="0" applyNumberFormat="1" applyFont="1" applyFill="1"/>
    <xf numFmtId="166" fontId="1" fillId="0" borderId="0" xfId="41" applyNumberFormat="1" applyFont="1" applyFill="1"/>
    <xf numFmtId="173" fontId="58" fillId="0" borderId="0" xfId="0" applyNumberFormat="1" applyFont="1" applyFill="1" applyBorder="1"/>
    <xf numFmtId="166" fontId="82" fillId="0" borderId="0" xfId="0" applyNumberFormat="1" applyFont="1" applyBorder="1"/>
    <xf numFmtId="7" fontId="5" fillId="2" borderId="14" xfId="0" applyNumberFormat="1" applyFont="1" applyFill="1" applyBorder="1"/>
    <xf numFmtId="7" fontId="5" fillId="2" borderId="2" xfId="0" applyNumberFormat="1" applyFont="1" applyFill="1" applyBorder="1"/>
    <xf numFmtId="7" fontId="5" fillId="2" borderId="21" xfId="0" applyNumberFormat="1" applyFont="1" applyFill="1" applyBorder="1"/>
    <xf numFmtId="43" fontId="4" fillId="0" borderId="2" xfId="20" applyFont="1" applyFill="1" applyBorder="1"/>
    <xf numFmtId="43" fontId="4" fillId="2" borderId="2" xfId="20" applyFont="1" applyFill="1" applyBorder="1"/>
    <xf numFmtId="43" fontId="4" fillId="2" borderId="21" xfId="20" applyFont="1" applyFill="1" applyBorder="1"/>
    <xf numFmtId="43" fontId="4" fillId="2" borderId="14" xfId="20" applyFont="1" applyFill="1" applyBorder="1"/>
    <xf numFmtId="185" fontId="5" fillId="2" borderId="0" xfId="20" applyNumberFormat="1" applyFont="1" applyFill="1" applyBorder="1"/>
    <xf numFmtId="185" fontId="5" fillId="2" borderId="1" xfId="20" applyNumberFormat="1" applyFont="1" applyFill="1" applyBorder="1"/>
    <xf numFmtId="185" fontId="5" fillId="2" borderId="13" xfId="20" applyNumberFormat="1" applyFont="1" applyFill="1" applyBorder="1"/>
    <xf numFmtId="37" fontId="53" fillId="2" borderId="13" xfId="0" applyNumberFormat="1" applyFont="1" applyFill="1" applyBorder="1"/>
    <xf numFmtId="6" fontId="36" fillId="0" borderId="13" xfId="25" applyNumberFormat="1" applyFont="1" applyFill="1" applyBorder="1"/>
    <xf numFmtId="38" fontId="0" fillId="0" borderId="0" xfId="0" applyNumberFormat="1" applyFill="1" applyBorder="1"/>
    <xf numFmtId="166" fontId="36" fillId="0" borderId="0" xfId="0" applyNumberFormat="1" applyFont="1" applyFill="1" applyBorder="1"/>
    <xf numFmtId="173" fontId="35" fillId="0" borderId="6" xfId="20" applyNumberFormat="1" applyFont="1" applyFill="1" applyBorder="1"/>
    <xf numFmtId="37" fontId="1" fillId="2" borderId="1" xfId="20" applyNumberFormat="1" applyFill="1" applyBorder="1"/>
    <xf numFmtId="37" fontId="1" fillId="2" borderId="0" xfId="20" applyNumberFormat="1" applyFill="1" applyBorder="1"/>
    <xf numFmtId="37" fontId="1" fillId="2" borderId="13" xfId="20" applyNumberFormat="1" applyFill="1" applyBorder="1"/>
    <xf numFmtId="37" fontId="1" fillId="0" borderId="0" xfId="20" applyNumberFormat="1" applyFill="1" applyBorder="1"/>
    <xf numFmtId="0" fontId="59" fillId="0" borderId="0" xfId="5" applyFont="1" applyFill="1" applyBorder="1"/>
    <xf numFmtId="0" fontId="1" fillId="0" borderId="0" xfId="5" applyFont="1" applyFill="1" applyBorder="1"/>
    <xf numFmtId="4" fontId="4" fillId="2" borderId="1" xfId="5" applyNumberFormat="1" applyFont="1" applyFill="1" applyBorder="1"/>
    <xf numFmtId="4" fontId="4" fillId="2" borderId="0" xfId="5" applyNumberFormat="1" applyFont="1" applyFill="1" applyBorder="1"/>
    <xf numFmtId="4" fontId="4" fillId="2" borderId="13" xfId="5" applyNumberFormat="1" applyFont="1" applyFill="1" applyBorder="1"/>
    <xf numFmtId="4" fontId="4" fillId="0" borderId="0" xfId="5" applyNumberFormat="1" applyFont="1" applyFill="1" applyBorder="1"/>
    <xf numFmtId="0" fontId="5" fillId="0" borderId="0" xfId="5" applyFont="1" applyFill="1" applyBorder="1"/>
    <xf numFmtId="4" fontId="5" fillId="2" borderId="1" xfId="5" applyNumberFormat="1" applyFont="1" applyFill="1" applyBorder="1"/>
    <xf numFmtId="4" fontId="5" fillId="2" borderId="0" xfId="5" applyNumberFormat="1" applyFont="1" applyFill="1" applyBorder="1"/>
    <xf numFmtId="4" fontId="5" fillId="2" borderId="13" xfId="5" applyNumberFormat="1" applyFont="1" applyFill="1" applyBorder="1"/>
    <xf numFmtId="4" fontId="5" fillId="0" borderId="0" xfId="5" applyNumberFormat="1" applyFont="1" applyFill="1" applyBorder="1"/>
    <xf numFmtId="8" fontId="5" fillId="2" borderId="1" xfId="5" applyNumberFormat="1" applyFont="1" applyFill="1" applyBorder="1"/>
    <xf numFmtId="8" fontId="5" fillId="2" borderId="0" xfId="5" applyNumberFormat="1" applyFont="1" applyFill="1" applyBorder="1"/>
    <xf numFmtId="8" fontId="5" fillId="2" borderId="13" xfId="5" applyNumberFormat="1" applyFont="1" applyFill="1" applyBorder="1"/>
    <xf numFmtId="8" fontId="5" fillId="0" borderId="0" xfId="5" applyNumberFormat="1" applyFont="1" applyFill="1" applyBorder="1"/>
    <xf numFmtId="9" fontId="37" fillId="0" borderId="0" xfId="5" applyNumberFormat="1" applyFont="1" applyFill="1" applyBorder="1"/>
    <xf numFmtId="9" fontId="5" fillId="2" borderId="1" xfId="5" applyNumberFormat="1" applyFont="1" applyFill="1" applyBorder="1"/>
    <xf numFmtId="9" fontId="5" fillId="2" borderId="0" xfId="5" applyNumberFormat="1" applyFont="1" applyFill="1" applyBorder="1"/>
    <xf numFmtId="9" fontId="5" fillId="2" borderId="13" xfId="5" applyNumberFormat="1" applyFont="1" applyFill="1" applyBorder="1"/>
    <xf numFmtId="9" fontId="5" fillId="0" borderId="0" xfId="5" applyNumberFormat="1" applyFont="1" applyFill="1" applyBorder="1"/>
    <xf numFmtId="0" fontId="4" fillId="0" borderId="0" xfId="5" applyFont="1" applyFill="1" applyBorder="1"/>
    <xf numFmtId="5" fontId="5" fillId="2" borderId="1" xfId="20" applyNumberFormat="1" applyFont="1" applyFill="1" applyBorder="1"/>
    <xf numFmtId="5" fontId="5" fillId="2" borderId="0" xfId="20" applyNumberFormat="1" applyFont="1" applyFill="1" applyBorder="1"/>
    <xf numFmtId="5" fontId="5" fillId="2" borderId="13" xfId="20" applyNumberFormat="1" applyFont="1" applyFill="1" applyBorder="1"/>
    <xf numFmtId="5" fontId="5" fillId="0" borderId="0" xfId="20" applyNumberFormat="1" applyFont="1" applyFill="1" applyBorder="1"/>
    <xf numFmtId="175" fontId="55" fillId="2" borderId="1" xfId="20" applyNumberFormat="1" applyFont="1" applyFill="1" applyBorder="1"/>
    <xf numFmtId="175" fontId="55" fillId="2" borderId="0" xfId="20" applyNumberFormat="1" applyFont="1" applyFill="1" applyBorder="1"/>
    <xf numFmtId="175" fontId="55" fillId="2" borderId="13" xfId="20" applyNumberFormat="1" applyFont="1" applyFill="1" applyBorder="1"/>
    <xf numFmtId="175" fontId="55" fillId="0" borderId="0" xfId="20" applyNumberFormat="1" applyFont="1" applyFill="1" applyBorder="1"/>
    <xf numFmtId="173" fontId="58" fillId="2" borderId="1" xfId="0" applyNumberFormat="1" applyFont="1" applyFill="1" applyBorder="1"/>
    <xf numFmtId="173" fontId="58" fillId="2" borderId="0" xfId="0" applyNumberFormat="1" applyFont="1" applyFill="1" applyBorder="1"/>
    <xf numFmtId="173" fontId="58" fillId="2" borderId="13" xfId="0" applyNumberFormat="1" applyFont="1" applyFill="1" applyBorder="1"/>
    <xf numFmtId="7" fontId="9" fillId="0" borderId="17" xfId="0" applyNumberFormat="1" applyFont="1" applyFill="1" applyBorder="1"/>
    <xf numFmtId="173" fontId="37" fillId="0" borderId="0" xfId="0" applyNumberFormat="1" applyFont="1" applyFill="1" applyBorder="1"/>
    <xf numFmtId="7" fontId="1" fillId="0" borderId="0" xfId="0" applyNumberFormat="1" applyFont="1" applyFill="1"/>
    <xf numFmtId="7" fontId="0" fillId="0" borderId="0" xfId="0" applyNumberFormat="1" applyFill="1"/>
    <xf numFmtId="173" fontId="5" fillId="0" borderId="0" xfId="20" applyNumberFormat="1" applyFont="1" applyFill="1"/>
    <xf numFmtId="168" fontId="5" fillId="2" borderId="14" xfId="0" applyNumberFormat="1" applyFont="1" applyFill="1" applyBorder="1"/>
    <xf numFmtId="168" fontId="5" fillId="2" borderId="2" xfId="0" applyNumberFormat="1" applyFont="1" applyFill="1" applyBorder="1"/>
    <xf numFmtId="168" fontId="5" fillId="2" borderId="21" xfId="0" applyNumberFormat="1" applyFont="1" applyFill="1" applyBorder="1"/>
    <xf numFmtId="173" fontId="4" fillId="0" borderId="0" xfId="20" applyNumberFormat="1" applyFont="1" applyFill="1" applyBorder="1" applyAlignment="1">
      <alignment horizontal="center"/>
    </xf>
    <xf numFmtId="173" fontId="68" fillId="0" borderId="1" xfId="20" applyNumberFormat="1" applyFont="1" applyBorder="1"/>
    <xf numFmtId="173" fontId="53" fillId="0" borderId="1" xfId="20" applyNumberFormat="1" applyFont="1" applyFill="1" applyBorder="1"/>
    <xf numFmtId="173" fontId="5" fillId="0" borderId="1" xfId="20" applyNumberFormat="1" applyFont="1" applyFill="1" applyBorder="1"/>
    <xf numFmtId="173" fontId="4" fillId="0" borderId="1" xfId="20" applyNumberFormat="1" applyFont="1" applyFill="1" applyBorder="1"/>
    <xf numFmtId="173" fontId="4" fillId="0" borderId="1" xfId="0" applyNumberFormat="1" applyFont="1" applyFill="1" applyBorder="1"/>
    <xf numFmtId="173" fontId="5" fillId="0" borderId="1" xfId="0" applyNumberFormat="1" applyFont="1" applyFill="1" applyBorder="1"/>
    <xf numFmtId="166" fontId="20" fillId="0" borderId="1" xfId="41" applyNumberFormat="1" applyFont="1" applyFill="1" applyBorder="1"/>
    <xf numFmtId="3" fontId="5" fillId="0" borderId="1" xfId="0" applyNumberFormat="1" applyFont="1" applyFill="1" applyBorder="1"/>
    <xf numFmtId="4" fontId="4" fillId="0" borderId="1" xfId="0" applyNumberFormat="1" applyFont="1" applyFill="1" applyBorder="1"/>
    <xf numFmtId="7" fontId="5" fillId="0" borderId="1" xfId="0" applyNumberFormat="1" applyFont="1" applyFill="1" applyBorder="1"/>
    <xf numFmtId="9" fontId="20" fillId="0" borderId="1" xfId="0" applyNumberFormat="1" applyFont="1" applyFill="1" applyBorder="1"/>
    <xf numFmtId="7" fontId="5" fillId="0" borderId="1" xfId="20" applyNumberFormat="1" applyFont="1" applyFill="1" applyBorder="1"/>
    <xf numFmtId="7" fontId="4" fillId="0" borderId="1" xfId="20" applyNumberFormat="1" applyFont="1" applyFill="1" applyBorder="1"/>
    <xf numFmtId="0" fontId="4" fillId="0" borderId="1" xfId="0" applyFont="1" applyFill="1" applyBorder="1"/>
    <xf numFmtId="3" fontId="37" fillId="0" borderId="1" xfId="0" applyNumberFormat="1" applyFont="1" applyFill="1" applyBorder="1"/>
    <xf numFmtId="166" fontId="5" fillId="0" borderId="1" xfId="41" applyNumberFormat="1" applyFont="1" applyFill="1" applyBorder="1"/>
    <xf numFmtId="166" fontId="5" fillId="0" borderId="1" xfId="0" applyNumberFormat="1" applyFont="1" applyFill="1" applyBorder="1"/>
    <xf numFmtId="4" fontId="55" fillId="0" borderId="1" xfId="0" applyNumberFormat="1" applyFont="1" applyFill="1" applyBorder="1"/>
    <xf numFmtId="4" fontId="5" fillId="0" borderId="1" xfId="0" applyNumberFormat="1" applyFont="1" applyFill="1" applyBorder="1"/>
    <xf numFmtId="9" fontId="1" fillId="0" borderId="0" xfId="0" applyNumberFormat="1" applyFont="1" applyFill="1"/>
    <xf numFmtId="0" fontId="1" fillId="0" borderId="0" xfId="0" applyFont="1" applyFill="1" applyAlignment="1">
      <alignment horizontal="left"/>
    </xf>
    <xf numFmtId="173" fontId="1" fillId="0" borderId="0" xfId="20" applyNumberFormat="1" applyFont="1" applyFill="1"/>
    <xf numFmtId="0" fontId="5" fillId="0" borderId="1" xfId="0" applyFont="1" applyBorder="1"/>
    <xf numFmtId="0" fontId="4" fillId="0" borderId="0" xfId="0" applyFont="1" applyBorder="1"/>
    <xf numFmtId="0" fontId="4" fillId="0" borderId="0" xfId="0" applyFont="1" applyAlignment="1">
      <alignment horizontal="center"/>
    </xf>
    <xf numFmtId="166" fontId="4" fillId="2" borderId="1" xfId="0" applyNumberFormat="1" applyFont="1" applyFill="1" applyBorder="1"/>
    <xf numFmtId="166" fontId="4" fillId="2" borderId="0" xfId="0" applyNumberFormat="1" applyFont="1" applyFill="1" applyBorder="1"/>
    <xf numFmtId="166" fontId="4" fillId="2" borderId="13" xfId="0" applyNumberFormat="1" applyFont="1" applyFill="1" applyBorder="1"/>
    <xf numFmtId="166" fontId="35" fillId="0" borderId="0" xfId="0" applyNumberFormat="1" applyFont="1" applyFill="1" applyBorder="1"/>
    <xf numFmtId="0" fontId="58" fillId="0" borderId="0" xfId="0" applyFont="1" applyBorder="1" applyAlignment="1">
      <alignment horizontal="center"/>
    </xf>
    <xf numFmtId="166" fontId="5" fillId="0" borderId="0" xfId="0" applyNumberFormat="1" applyFont="1" applyFill="1"/>
    <xf numFmtId="173" fontId="0" fillId="0" borderId="0" xfId="0" applyNumberFormat="1" applyFill="1"/>
    <xf numFmtId="0" fontId="5" fillId="0" borderId="0" xfId="0" applyFont="1" applyFill="1" applyBorder="1" applyAlignment="1">
      <alignment horizontal="left"/>
    </xf>
    <xf numFmtId="41" fontId="5" fillId="0" borderId="0" xfId="0" applyNumberFormat="1" applyFont="1" applyFill="1" applyBorder="1"/>
    <xf numFmtId="41" fontId="4" fillId="0" borderId="0" xfId="0" applyNumberFormat="1" applyFont="1" applyFill="1" applyBorder="1"/>
    <xf numFmtId="41" fontId="0" fillId="0" borderId="0" xfId="0" applyNumberFormat="1" applyFill="1" applyBorder="1"/>
    <xf numFmtId="41" fontId="1" fillId="2" borderId="1" xfId="20" applyNumberFormat="1" applyFont="1" applyFill="1" applyBorder="1"/>
    <xf numFmtId="41" fontId="1" fillId="2" borderId="0" xfId="20" applyNumberFormat="1" applyFont="1" applyFill="1" applyBorder="1"/>
    <xf numFmtId="41" fontId="1" fillId="2" borderId="13" xfId="20" applyNumberFormat="1" applyFont="1" applyFill="1" applyBorder="1"/>
    <xf numFmtId="41" fontId="1" fillId="0" borderId="0" xfId="20" applyNumberFormat="1" applyFont="1" applyFill="1" applyBorder="1"/>
    <xf numFmtId="41" fontId="36" fillId="2" borderId="0" xfId="20" applyNumberFormat="1" applyFont="1" applyFill="1" applyBorder="1"/>
    <xf numFmtId="41" fontId="36" fillId="2" borderId="13" xfId="20" applyNumberFormat="1" applyFont="1" applyFill="1" applyBorder="1"/>
    <xf numFmtId="41" fontId="36" fillId="2" borderId="1" xfId="20" applyNumberFormat="1" applyFont="1" applyFill="1" applyBorder="1"/>
    <xf numFmtId="41" fontId="9" fillId="2" borderId="1" xfId="20" applyNumberFormat="1" applyFont="1" applyFill="1" applyBorder="1"/>
    <xf numFmtId="41" fontId="9" fillId="2" borderId="0" xfId="20" applyNumberFormat="1" applyFont="1" applyFill="1" applyBorder="1"/>
    <xf numFmtId="41" fontId="9" fillId="2" borderId="13" xfId="20" applyNumberFormat="1" applyFont="1" applyFill="1" applyBorder="1"/>
    <xf numFmtId="41" fontId="9" fillId="0" borderId="0" xfId="20" applyNumberFormat="1" applyFont="1" applyFill="1" applyBorder="1"/>
    <xf numFmtId="41" fontId="58" fillId="2" borderId="1" xfId="20" applyNumberFormat="1" applyFont="1" applyFill="1" applyBorder="1"/>
    <xf numFmtId="41" fontId="58" fillId="2" borderId="0" xfId="20" applyNumberFormat="1" applyFont="1" applyFill="1" applyBorder="1"/>
    <xf numFmtId="41" fontId="58" fillId="2" borderId="13" xfId="20" applyNumberFormat="1" applyFont="1" applyFill="1" applyBorder="1"/>
    <xf numFmtId="41" fontId="58" fillId="0" borderId="0" xfId="20" applyNumberFormat="1" applyFont="1" applyFill="1" applyBorder="1"/>
    <xf numFmtId="41" fontId="4" fillId="2" borderId="1" xfId="20" applyNumberFormat="1" applyFont="1" applyFill="1" applyBorder="1"/>
    <xf numFmtId="41" fontId="4" fillId="2" borderId="0" xfId="20" applyNumberFormat="1" applyFont="1" applyFill="1" applyBorder="1"/>
    <xf numFmtId="41" fontId="4" fillId="2" borderId="13" xfId="20" applyNumberFormat="1" applyFont="1" applyFill="1" applyBorder="1"/>
    <xf numFmtId="41" fontId="4" fillId="0" borderId="0" xfId="20" applyNumberFormat="1" applyFont="1" applyFill="1" applyBorder="1"/>
    <xf numFmtId="41" fontId="58" fillId="2" borderId="1" xfId="0" applyNumberFormat="1" applyFont="1" applyFill="1" applyBorder="1"/>
    <xf numFmtId="41" fontId="58" fillId="2" borderId="0" xfId="0" applyNumberFormat="1" applyFont="1" applyFill="1" applyBorder="1"/>
    <xf numFmtId="41" fontId="58" fillId="2" borderId="13" xfId="0" applyNumberFormat="1" applyFont="1" applyFill="1" applyBorder="1"/>
    <xf numFmtId="41" fontId="58" fillId="0" borderId="0" xfId="0" applyNumberFormat="1" applyFont="1" applyFill="1" applyBorder="1"/>
    <xf numFmtId="173" fontId="4" fillId="0" borderId="0" xfId="20" applyNumberFormat="1" applyFont="1" applyFill="1"/>
    <xf numFmtId="168" fontId="1" fillId="0" borderId="0" xfId="0" applyNumberFormat="1" applyFont="1" applyAlignment="1">
      <alignment horizontal="right"/>
    </xf>
    <xf numFmtId="8" fontId="5" fillId="0" borderId="0" xfId="0" applyNumberFormat="1" applyFont="1" applyFill="1" applyAlignment="1">
      <alignment horizontal="right"/>
    </xf>
    <xf numFmtId="8" fontId="37" fillId="0" borderId="6" xfId="20" applyNumberFormat="1" applyFont="1" applyFill="1" applyBorder="1"/>
    <xf numFmtId="6" fontId="37" fillId="0" borderId="6" xfId="20" applyNumberFormat="1" applyFont="1" applyFill="1" applyBorder="1"/>
    <xf numFmtId="0" fontId="5" fillId="0" borderId="0" xfId="0" applyFont="1" applyAlignment="1">
      <alignment horizontal="center"/>
    </xf>
    <xf numFmtId="0" fontId="74" fillId="0" borderId="0" xfId="0" applyFont="1" applyFill="1" applyBorder="1"/>
    <xf numFmtId="38" fontId="83" fillId="0" borderId="0" xfId="22" applyNumberFormat="1" applyFont="1" applyBorder="1"/>
    <xf numFmtId="182" fontId="0" fillId="2" borderId="1" xfId="0" applyNumberFormat="1" applyFill="1" applyBorder="1"/>
    <xf numFmtId="182" fontId="0" fillId="2" borderId="0" xfId="0" applyNumberFormat="1" applyFill="1" applyBorder="1"/>
    <xf numFmtId="182" fontId="0" fillId="2" borderId="13" xfId="0" applyNumberFormat="1" applyFill="1" applyBorder="1"/>
    <xf numFmtId="182" fontId="36" fillId="0" borderId="0" xfId="0" applyNumberFormat="1" applyFont="1" applyFill="1" applyBorder="1"/>
    <xf numFmtId="182" fontId="0" fillId="0" borderId="0" xfId="0" applyNumberFormat="1" applyFill="1" applyBorder="1"/>
    <xf numFmtId="182" fontId="1" fillId="0" borderId="0" xfId="0" applyNumberFormat="1" applyFont="1" applyFill="1" applyBorder="1"/>
    <xf numFmtId="173" fontId="36" fillId="0" borderId="0" xfId="20" applyNumberFormat="1" applyFont="1" applyFill="1" applyBorder="1"/>
    <xf numFmtId="9" fontId="5" fillId="0" borderId="0" xfId="20" applyNumberFormat="1" applyFont="1" applyFill="1" applyBorder="1"/>
    <xf numFmtId="173" fontId="5" fillId="0" borderId="0" xfId="20" applyNumberFormat="1" applyFont="1" applyFill="1" applyBorder="1" applyAlignment="1">
      <alignment horizontal="center"/>
    </xf>
    <xf numFmtId="8" fontId="37" fillId="0" borderId="0" xfId="0" applyNumberFormat="1" applyFont="1" applyFill="1" applyBorder="1"/>
    <xf numFmtId="8" fontId="5" fillId="2" borderId="13" xfId="0" applyNumberFormat="1" applyFont="1" applyFill="1" applyBorder="1"/>
    <xf numFmtId="8" fontId="5" fillId="2" borderId="1" xfId="0" applyNumberFormat="1" applyFont="1" applyFill="1" applyBorder="1"/>
    <xf numFmtId="8" fontId="5" fillId="2" borderId="0" xfId="0" applyNumberFormat="1" applyFont="1" applyFill="1" applyBorder="1"/>
    <xf numFmtId="173" fontId="5" fillId="0" borderId="0" xfId="0" applyNumberFormat="1" applyFont="1" applyFill="1"/>
    <xf numFmtId="9" fontId="20" fillId="0" borderId="1" xfId="41" applyNumberFormat="1" applyFont="1" applyFill="1" applyBorder="1"/>
    <xf numFmtId="9" fontId="20" fillId="0" borderId="0" xfId="41" applyNumberFormat="1" applyFont="1" applyFill="1" applyBorder="1"/>
    <xf numFmtId="9" fontId="20" fillId="2" borderId="1" xfId="41" applyNumberFormat="1" applyFont="1" applyFill="1" applyBorder="1"/>
    <xf numFmtId="180" fontId="8" fillId="0" borderId="27" xfId="0" applyNumberFormat="1" applyFont="1" applyBorder="1" applyAlignment="1">
      <alignment horizontal="right"/>
    </xf>
    <xf numFmtId="164" fontId="8" fillId="2" borderId="28" xfId="0" applyNumberFormat="1" applyFont="1" applyFill="1" applyBorder="1" applyAlignment="1">
      <alignment horizontal="right"/>
    </xf>
    <xf numFmtId="164" fontId="8" fillId="2" borderId="29" xfId="0" applyNumberFormat="1" applyFont="1" applyFill="1" applyBorder="1" applyAlignment="1">
      <alignment horizontal="right"/>
    </xf>
    <xf numFmtId="164" fontId="8" fillId="2" borderId="30" xfId="0" applyNumberFormat="1" applyFont="1" applyFill="1" applyBorder="1" applyAlignment="1">
      <alignment horizontal="right"/>
    </xf>
    <xf numFmtId="180" fontId="8" fillId="0" borderId="31" xfId="0" applyNumberFormat="1" applyFont="1" applyBorder="1" applyAlignment="1">
      <alignment horizontal="right"/>
    </xf>
    <xf numFmtId="176" fontId="8" fillId="0" borderId="31" xfId="0" applyNumberFormat="1" applyFont="1" applyBorder="1" applyAlignment="1">
      <alignment horizontal="right"/>
    </xf>
    <xf numFmtId="168" fontId="4" fillId="0" borderId="0" xfId="0" applyNumberFormat="1" applyFont="1" applyAlignment="1">
      <alignment horizontal="right"/>
    </xf>
    <xf numFmtId="0" fontId="0" fillId="0" borderId="0" xfId="0" applyAlignment="1">
      <alignment horizontal="right"/>
    </xf>
    <xf numFmtId="166" fontId="36" fillId="0" borderId="0" xfId="0" applyNumberFormat="1" applyFont="1" applyAlignment="1">
      <alignment horizontal="right"/>
    </xf>
    <xf numFmtId="173" fontId="36" fillId="0" borderId="0" xfId="20" applyNumberFormat="1" applyFont="1"/>
    <xf numFmtId="173" fontId="36" fillId="0" borderId="0" xfId="0" applyNumberFormat="1" applyFont="1"/>
    <xf numFmtId="0" fontId="12" fillId="0" borderId="0" xfId="0" applyFont="1" applyFill="1"/>
    <xf numFmtId="173" fontId="4" fillId="0" borderId="0" xfId="0" applyNumberFormat="1" applyFont="1" applyFill="1"/>
    <xf numFmtId="174" fontId="5" fillId="0" borderId="0" xfId="0" applyNumberFormat="1" applyFont="1" applyFill="1"/>
    <xf numFmtId="173" fontId="35" fillId="2" borderId="13" xfId="20" applyNumberFormat="1" applyFont="1" applyFill="1" applyBorder="1"/>
    <xf numFmtId="0" fontId="84" fillId="6" borderId="0" xfId="0" applyFont="1" applyFill="1" applyBorder="1"/>
    <xf numFmtId="0" fontId="4" fillId="0" borderId="0" xfId="0" applyFont="1" applyFill="1" applyBorder="1" applyAlignment="1">
      <alignment horizontal="left"/>
    </xf>
    <xf numFmtId="0" fontId="4" fillId="0" borderId="0" xfId="0" applyFont="1" applyFill="1" applyBorder="1" applyAlignment="1">
      <alignment horizontal="right"/>
    </xf>
    <xf numFmtId="9" fontId="36" fillId="0" borderId="0" xfId="0" applyNumberFormat="1" applyFont="1"/>
    <xf numFmtId="8" fontId="1" fillId="0" borderId="0" xfId="0" applyNumberFormat="1" applyFont="1" applyFill="1"/>
    <xf numFmtId="173" fontId="4" fillId="0" borderId="0" xfId="0" applyNumberFormat="1" applyFont="1" applyAlignment="1"/>
    <xf numFmtId="173" fontId="4" fillId="0" borderId="10" xfId="20" applyNumberFormat="1" applyFont="1" applyBorder="1"/>
    <xf numFmtId="173" fontId="35" fillId="0" borderId="0" xfId="20" applyNumberFormat="1" applyFont="1" applyFill="1"/>
    <xf numFmtId="6" fontId="4" fillId="2" borderId="6" xfId="20" applyNumberFormat="1" applyFont="1" applyFill="1" applyBorder="1"/>
    <xf numFmtId="175" fontId="5" fillId="0" borderId="0" xfId="20" applyNumberFormat="1" applyFont="1" applyFill="1" applyBorder="1"/>
    <xf numFmtId="173" fontId="20" fillId="0" borderId="0" xfId="20" applyNumberFormat="1" applyFont="1" applyFill="1" applyBorder="1"/>
    <xf numFmtId="165" fontId="47" fillId="6" borderId="0" xfId="0" applyNumberFormat="1" applyFont="1" applyFill="1" applyBorder="1"/>
    <xf numFmtId="173" fontId="70" fillId="0" borderId="0" xfId="20" applyNumberFormat="1" applyFont="1"/>
    <xf numFmtId="165" fontId="8" fillId="0" borderId="0" xfId="0" applyNumberFormat="1" applyFont="1" applyFill="1"/>
    <xf numFmtId="0" fontId="85" fillId="2" borderId="1" xfId="0" applyFont="1" applyFill="1" applyBorder="1"/>
    <xf numFmtId="0" fontId="85" fillId="2" borderId="0" xfId="0" applyFont="1" applyFill="1" applyBorder="1"/>
    <xf numFmtId="0" fontId="85" fillId="2" borderId="13" xfId="0" applyFont="1" applyFill="1" applyBorder="1"/>
    <xf numFmtId="173" fontId="5" fillId="0" borderId="0" xfId="20" applyNumberFormat="1" applyFont="1" applyFill="1" applyBorder="1" applyAlignment="1">
      <alignment wrapText="1"/>
    </xf>
    <xf numFmtId="173" fontId="5" fillId="0" borderId="0" xfId="0" applyNumberFormat="1" applyFont="1" applyFill="1" applyBorder="1" applyAlignment="1">
      <alignment wrapText="1"/>
    </xf>
    <xf numFmtId="0" fontId="5" fillId="0" borderId="0" xfId="0" applyFont="1" applyFill="1" applyBorder="1" applyAlignment="1">
      <alignment wrapText="1"/>
    </xf>
    <xf numFmtId="173" fontId="4" fillId="0" borderId="0" xfId="20" applyNumberFormat="1" applyFont="1" applyFill="1" applyBorder="1" applyAlignment="1">
      <alignment horizontal="left" vertical="top" wrapText="1" indent="1"/>
    </xf>
    <xf numFmtId="173" fontId="86" fillId="0" borderId="0" xfId="20" applyNumberFormat="1" applyFont="1" applyFill="1" applyBorder="1" applyAlignment="1">
      <alignment wrapText="1"/>
    </xf>
    <xf numFmtId="0" fontId="86" fillId="0" borderId="0" xfId="0" applyFont="1" applyFill="1" applyBorder="1" applyAlignment="1">
      <alignment wrapText="1"/>
    </xf>
    <xf numFmtId="173" fontId="5" fillId="0" borderId="0" xfId="20" applyNumberFormat="1" applyFont="1" applyFill="1" applyBorder="1" applyAlignment="1">
      <alignment horizontal="left" vertical="top" wrapText="1" indent="3"/>
    </xf>
    <xf numFmtId="173" fontId="5" fillId="0" borderId="0" xfId="20" applyNumberFormat="1" applyFont="1" applyFill="1" applyBorder="1" applyAlignment="1">
      <alignment horizontal="right" wrapText="1"/>
    </xf>
    <xf numFmtId="173" fontId="5" fillId="0" borderId="0" xfId="0" applyNumberFormat="1" applyFont="1" applyFill="1" applyBorder="1" applyAlignment="1">
      <alignment horizontal="right" wrapText="1"/>
    </xf>
    <xf numFmtId="0" fontId="5" fillId="0" borderId="0" xfId="0" applyFont="1" applyFill="1" applyBorder="1" applyAlignment="1">
      <alignment horizontal="right" wrapText="1"/>
    </xf>
    <xf numFmtId="3" fontId="5" fillId="0" borderId="0" xfId="0" applyNumberFormat="1" applyFont="1" applyFill="1" applyBorder="1" applyAlignment="1">
      <alignment horizontal="right" wrapText="1"/>
    </xf>
    <xf numFmtId="173" fontId="86" fillId="0" borderId="0" xfId="0" applyNumberFormat="1" applyFont="1" applyFill="1" applyBorder="1" applyAlignment="1">
      <alignment wrapText="1"/>
    </xf>
    <xf numFmtId="43" fontId="5" fillId="0" borderId="0" xfId="20" applyFont="1" applyFill="1" applyBorder="1" applyAlignment="1">
      <alignment horizontal="left" vertical="top" wrapText="1" indent="3"/>
    </xf>
    <xf numFmtId="173" fontId="53" fillId="2" borderId="13" xfId="0" applyNumberFormat="1" applyFont="1" applyFill="1" applyBorder="1"/>
    <xf numFmtId="7" fontId="5" fillId="0" borderId="2" xfId="0" applyNumberFormat="1" applyFont="1" applyFill="1" applyBorder="1"/>
    <xf numFmtId="7" fontId="4" fillId="0" borderId="16" xfId="0" applyNumberFormat="1" applyFont="1" applyFill="1" applyBorder="1"/>
    <xf numFmtId="8" fontId="5" fillId="0" borderId="0" xfId="0" applyNumberFormat="1" applyFont="1" applyBorder="1"/>
    <xf numFmtId="1" fontId="5" fillId="0" borderId="0" xfId="0" applyNumberFormat="1" applyFont="1" applyFill="1" applyBorder="1"/>
    <xf numFmtId="175" fontId="5" fillId="2" borderId="0" xfId="20" applyNumberFormat="1" applyFont="1" applyFill="1" applyBorder="1"/>
    <xf numFmtId="175" fontId="5" fillId="2" borderId="13" xfId="20" applyNumberFormat="1" applyFont="1" applyFill="1" applyBorder="1"/>
    <xf numFmtId="43" fontId="5" fillId="0" borderId="1" xfId="20" applyFont="1" applyFill="1" applyBorder="1"/>
    <xf numFmtId="9" fontId="5" fillId="2" borderId="1" xfId="41" applyNumberFormat="1" applyFont="1" applyFill="1" applyBorder="1"/>
    <xf numFmtId="9" fontId="5" fillId="2" borderId="0" xfId="41" applyNumberFormat="1" applyFont="1" applyFill="1" applyBorder="1"/>
    <xf numFmtId="9" fontId="5" fillId="2" borderId="13" xfId="41" applyNumberFormat="1" applyFont="1" applyFill="1" applyBorder="1"/>
    <xf numFmtId="9" fontId="5" fillId="0" borderId="1" xfId="41" applyNumberFormat="1" applyFont="1" applyFill="1" applyBorder="1"/>
    <xf numFmtId="9" fontId="5" fillId="0" borderId="0" xfId="41" applyNumberFormat="1" applyFont="1" applyFill="1" applyBorder="1"/>
    <xf numFmtId="168" fontId="5" fillId="0" borderId="1" xfId="0" applyNumberFormat="1" applyFont="1" applyFill="1" applyBorder="1"/>
    <xf numFmtId="9" fontId="5" fillId="0" borderId="1" xfId="0" applyNumberFormat="1" applyFont="1" applyFill="1" applyBorder="1"/>
    <xf numFmtId="0" fontId="5" fillId="6" borderId="0" xfId="0" applyFont="1" applyFill="1" applyBorder="1"/>
    <xf numFmtId="166" fontId="5" fillId="0" borderId="0" xfId="0" applyNumberFormat="1" applyFont="1" applyBorder="1"/>
    <xf numFmtId="3" fontId="5" fillId="0" borderId="0" xfId="0" applyNumberFormat="1" applyFont="1" applyBorder="1"/>
    <xf numFmtId="0" fontId="87" fillId="0" borderId="0" xfId="0" applyFont="1" applyFill="1" applyBorder="1"/>
    <xf numFmtId="173" fontId="4" fillId="0" borderId="10" xfId="20" applyNumberFormat="1" applyFont="1" applyFill="1" applyBorder="1" applyAlignment="1">
      <alignment horizontal="center"/>
    </xf>
    <xf numFmtId="8" fontId="5" fillId="0" borderId="0" xfId="0" applyNumberFormat="1" applyFont="1" applyFill="1"/>
    <xf numFmtId="7" fontId="5" fillId="0" borderId="0" xfId="0" applyNumberFormat="1" applyFont="1" applyFill="1"/>
    <xf numFmtId="0" fontId="4" fillId="0" borderId="0" xfId="0" applyFont="1" applyFill="1" applyAlignment="1">
      <alignment horizontal="right"/>
    </xf>
    <xf numFmtId="37" fontId="37" fillId="0" borderId="6" xfId="5" applyNumberFormat="1" applyFont="1" applyFill="1" applyBorder="1"/>
    <xf numFmtId="6" fontId="37" fillId="0" borderId="0" xfId="0" applyNumberFormat="1" applyFont="1" applyFill="1" applyBorder="1" applyAlignment="1">
      <alignment horizontal="right"/>
    </xf>
    <xf numFmtId="9" fontId="5" fillId="0" borderId="0" xfId="0" applyNumberFormat="1" applyFont="1" applyFill="1"/>
    <xf numFmtId="0" fontId="67" fillId="0" borderId="0" xfId="0" applyFont="1" applyFill="1" applyBorder="1" applyAlignment="1">
      <alignment horizontal="right"/>
    </xf>
    <xf numFmtId="9" fontId="37" fillId="0" borderId="0" xfId="0" applyNumberFormat="1" applyFont="1" applyFill="1"/>
    <xf numFmtId="8" fontId="4" fillId="0" borderId="0" xfId="0" applyNumberFormat="1" applyFont="1" applyFill="1"/>
    <xf numFmtId="9" fontId="4" fillId="0" borderId="0" xfId="0" applyNumberFormat="1" applyFont="1" applyFill="1"/>
    <xf numFmtId="0" fontId="88" fillId="0" borderId="0" xfId="0" applyFont="1" applyFill="1" applyBorder="1" applyAlignment="1">
      <alignment horizontal="right" wrapText="1"/>
    </xf>
    <xf numFmtId="7" fontId="4" fillId="0" borderId="0" xfId="0" applyNumberFormat="1" applyFont="1" applyFill="1"/>
    <xf numFmtId="43" fontId="4" fillId="0" borderId="0" xfId="0" applyNumberFormat="1" applyFont="1"/>
    <xf numFmtId="8" fontId="0" fillId="0" borderId="0" xfId="0" applyNumberFormat="1" applyFill="1"/>
    <xf numFmtId="0" fontId="3" fillId="6" borderId="0" xfId="0" applyFont="1" applyFill="1" applyAlignment="1">
      <alignment horizontal="right"/>
    </xf>
    <xf numFmtId="173" fontId="0" fillId="0" borderId="0" xfId="20" applyNumberFormat="1" applyFont="1" applyFill="1"/>
    <xf numFmtId="8" fontId="4" fillId="2" borderId="21" xfId="0" applyNumberFormat="1" applyFont="1" applyFill="1" applyBorder="1"/>
    <xf numFmtId="0" fontId="3" fillId="6" borderId="0" xfId="0" applyFont="1" applyFill="1" applyAlignment="1">
      <alignment horizontal="center"/>
    </xf>
    <xf numFmtId="0" fontId="0" fillId="0" borderId="0" xfId="0" applyFill="1" applyAlignment="1">
      <alignment horizontal="center" wrapText="1"/>
    </xf>
    <xf numFmtId="9" fontId="4" fillId="2" borderId="17" xfId="0" applyNumberFormat="1" applyFont="1" applyFill="1" applyBorder="1"/>
    <xf numFmtId="8" fontId="5" fillId="0" borderId="0" xfId="20" applyNumberFormat="1" applyFont="1" applyFill="1"/>
    <xf numFmtId="168" fontId="5" fillId="0" borderId="0" xfId="20" applyNumberFormat="1" applyFont="1"/>
    <xf numFmtId="37" fontId="5" fillId="0" borderId="0" xfId="0" applyNumberFormat="1" applyFont="1" applyAlignment="1">
      <alignment horizontal="right"/>
    </xf>
    <xf numFmtId="166" fontId="5" fillId="0" borderId="0" xfId="0" applyNumberFormat="1" applyFont="1" applyAlignment="1">
      <alignment horizontal="right"/>
    </xf>
    <xf numFmtId="0" fontId="16" fillId="6" borderId="3" xfId="0" applyFont="1" applyFill="1" applyBorder="1"/>
    <xf numFmtId="0" fontId="16" fillId="6" borderId="3" xfId="0" applyFont="1" applyFill="1" applyBorder="1" applyAlignment="1">
      <alignment horizontal="right"/>
    </xf>
    <xf numFmtId="37" fontId="0" fillId="0" borderId="0" xfId="0" applyNumberFormat="1" applyFill="1"/>
    <xf numFmtId="37" fontId="4" fillId="0" borderId="0" xfId="0" applyNumberFormat="1" applyFont="1" applyFill="1"/>
    <xf numFmtId="0" fontId="20" fillId="0" borderId="0" xfId="0" applyFont="1" applyFill="1"/>
    <xf numFmtId="166" fontId="64" fillId="0" borderId="0" xfId="0" applyNumberFormat="1" applyFont="1" applyFill="1"/>
    <xf numFmtId="166" fontId="20" fillId="0" borderId="0" xfId="0" applyNumberFormat="1" applyFont="1" applyFill="1"/>
    <xf numFmtId="9" fontId="4" fillId="0" borderId="0" xfId="20" applyNumberFormat="1" applyFont="1" applyFill="1" applyBorder="1"/>
    <xf numFmtId="10" fontId="5" fillId="0" borderId="0" xfId="20" applyNumberFormat="1" applyFont="1" applyFill="1" applyBorder="1"/>
    <xf numFmtId="166" fontId="4" fillId="0" borderId="0" xfId="20" applyNumberFormat="1" applyFont="1" applyFill="1" applyBorder="1"/>
    <xf numFmtId="166" fontId="4" fillId="2" borderId="1" xfId="20" applyNumberFormat="1" applyFont="1" applyFill="1" applyBorder="1"/>
    <xf numFmtId="166" fontId="4" fillId="2" borderId="0" xfId="20" applyNumberFormat="1" applyFont="1" applyFill="1" applyBorder="1"/>
    <xf numFmtId="166" fontId="4" fillId="2" borderId="13" xfId="20" applyNumberFormat="1" applyFont="1" applyFill="1" applyBorder="1"/>
    <xf numFmtId="9" fontId="1" fillId="0" borderId="0" xfId="0" applyNumberFormat="1" applyFont="1"/>
    <xf numFmtId="173" fontId="35" fillId="2" borderId="0" xfId="20" applyNumberFormat="1" applyFont="1" applyFill="1" applyBorder="1"/>
    <xf numFmtId="0" fontId="36" fillId="0" borderId="0" xfId="0" applyFont="1" applyFill="1"/>
    <xf numFmtId="173" fontId="36" fillId="0" borderId="0" xfId="0" applyNumberFormat="1" applyFont="1" applyFill="1"/>
    <xf numFmtId="173" fontId="35" fillId="0" borderId="0" xfId="0" applyNumberFormat="1" applyFont="1" applyFill="1"/>
    <xf numFmtId="14" fontId="3" fillId="6" borderId="0" xfId="0" applyNumberFormat="1" applyFont="1" applyFill="1" applyAlignment="1">
      <alignment horizontal="right" wrapText="1"/>
    </xf>
    <xf numFmtId="0" fontId="16" fillId="6" borderId="0" xfId="0" applyFont="1" applyFill="1" applyAlignment="1">
      <alignment horizontal="right"/>
    </xf>
    <xf numFmtId="6" fontId="5" fillId="0" borderId="0" xfId="0" applyNumberFormat="1" applyFont="1"/>
    <xf numFmtId="8" fontId="4" fillId="2" borderId="7" xfId="0" applyNumberFormat="1" applyFont="1" applyFill="1" applyBorder="1"/>
    <xf numFmtId="8" fontId="5" fillId="0" borderId="2" xfId="0" applyNumberFormat="1" applyFont="1" applyFill="1" applyBorder="1"/>
    <xf numFmtId="8" fontId="4" fillId="2" borderId="16" xfId="0" applyNumberFormat="1" applyFont="1" applyFill="1" applyBorder="1"/>
    <xf numFmtId="0" fontId="4" fillId="0" borderId="5" xfId="0" applyFont="1" applyBorder="1"/>
    <xf numFmtId="0" fontId="4" fillId="0" borderId="14" xfId="0" applyFont="1" applyBorder="1"/>
    <xf numFmtId="8" fontId="4" fillId="0" borderId="0" xfId="0" applyNumberFormat="1" applyFont="1" applyFill="1" applyBorder="1"/>
    <xf numFmtId="8" fontId="4" fillId="0" borderId="25" xfId="0" applyNumberFormat="1" applyFont="1" applyFill="1" applyBorder="1"/>
    <xf numFmtId="8" fontId="35" fillId="0" borderId="21" xfId="0" applyNumberFormat="1" applyFont="1" applyFill="1" applyBorder="1"/>
    <xf numFmtId="10" fontId="4" fillId="0" borderId="0" xfId="0" applyNumberFormat="1" applyFont="1" applyFill="1" applyBorder="1"/>
    <xf numFmtId="10" fontId="1" fillId="0" borderId="0" xfId="20" applyNumberFormat="1" applyFont="1" applyFill="1" applyBorder="1"/>
    <xf numFmtId="7" fontId="37" fillId="0" borderId="0" xfId="0" applyNumberFormat="1" applyFont="1" applyFill="1"/>
    <xf numFmtId="168" fontId="37" fillId="0" borderId="0" xfId="0" applyNumberFormat="1" applyFont="1" applyFill="1"/>
    <xf numFmtId="186" fontId="20" fillId="0" borderId="0" xfId="41" applyNumberFormat="1" applyFont="1" applyFill="1" applyBorder="1"/>
    <xf numFmtId="0" fontId="89" fillId="5" borderId="0" xfId="37" applyFont="1" applyFill="1" applyBorder="1" applyAlignment="1">
      <alignment horizontal="left"/>
    </xf>
    <xf numFmtId="0" fontId="62" fillId="5" borderId="0" xfId="5" applyFont="1" applyFill="1"/>
    <xf numFmtId="0" fontId="89" fillId="5" borderId="0" xfId="37" quotePrefix="1" applyFont="1" applyFill="1" applyBorder="1" applyAlignment="1">
      <alignment horizontal="left"/>
    </xf>
    <xf numFmtId="8" fontId="0" fillId="0" borderId="4" xfId="0" applyNumberFormat="1" applyBorder="1"/>
    <xf numFmtId="6" fontId="4" fillId="0" borderId="0" xfId="0" applyNumberFormat="1" applyFont="1" applyBorder="1"/>
    <xf numFmtId="6" fontId="4" fillId="0" borderId="0" xfId="20" applyNumberFormat="1" applyFont="1" applyFill="1"/>
    <xf numFmtId="0" fontId="10" fillId="6" borderId="0" xfId="0" applyFont="1" applyFill="1"/>
    <xf numFmtId="0" fontId="0" fillId="0" borderId="0" xfId="0" quotePrefix="1" applyFill="1"/>
    <xf numFmtId="1" fontId="0" fillId="0" borderId="0" xfId="0" applyNumberFormat="1" applyFill="1"/>
    <xf numFmtId="1" fontId="4" fillId="0" borderId="0" xfId="0" applyNumberFormat="1" applyFont="1" applyFill="1"/>
    <xf numFmtId="0" fontId="45" fillId="0" borderId="0" xfId="0" applyFont="1" applyFill="1"/>
    <xf numFmtId="0" fontId="4" fillId="4" borderId="0" xfId="0" applyFont="1" applyFill="1"/>
    <xf numFmtId="9" fontId="4" fillId="4" borderId="0" xfId="0" applyNumberFormat="1" applyFont="1" applyFill="1"/>
    <xf numFmtId="173" fontId="44" fillId="6" borderId="0" xfId="20" applyNumberFormat="1" applyFont="1" applyFill="1" applyBorder="1"/>
    <xf numFmtId="165" fontId="19" fillId="6" borderId="0" xfId="0" applyNumberFormat="1" applyFont="1" applyFill="1" applyBorder="1"/>
    <xf numFmtId="173" fontId="0" fillId="2" borderId="0" xfId="0" applyNumberFormat="1" applyFill="1" applyBorder="1"/>
    <xf numFmtId="8" fontId="53" fillId="2" borderId="1" xfId="0" applyNumberFormat="1" applyFont="1" applyFill="1" applyBorder="1"/>
    <xf numFmtId="8" fontId="53" fillId="2" borderId="0" xfId="0" applyNumberFormat="1" applyFont="1" applyFill="1" applyBorder="1"/>
    <xf numFmtId="165" fontId="14" fillId="6" borderId="0" xfId="0" applyNumberFormat="1" applyFont="1" applyFill="1" applyBorder="1"/>
    <xf numFmtId="165" fontId="10" fillId="6" borderId="0" xfId="0" applyNumberFormat="1" applyFont="1" applyFill="1" applyBorder="1"/>
    <xf numFmtId="38" fontId="4" fillId="0" borderId="0" xfId="0" applyNumberFormat="1" applyFont="1" applyFill="1"/>
    <xf numFmtId="8" fontId="28" fillId="0" borderId="0" xfId="0" applyNumberFormat="1" applyFont="1" applyBorder="1"/>
    <xf numFmtId="4" fontId="82" fillId="0" borderId="0" xfId="0" applyNumberFormat="1" applyFont="1" applyBorder="1"/>
    <xf numFmtId="9" fontId="2" fillId="0" borderId="0" xfId="0" applyNumberFormat="1" applyFont="1" applyFill="1"/>
    <xf numFmtId="188" fontId="4" fillId="0" borderId="0" xfId="0" applyNumberFormat="1" applyFont="1"/>
    <xf numFmtId="9" fontId="36" fillId="0" borderId="0" xfId="41" applyFont="1" applyFill="1"/>
    <xf numFmtId="9" fontId="0" fillId="0" borderId="0" xfId="41" applyFont="1" applyFill="1"/>
    <xf numFmtId="10" fontId="0" fillId="0" borderId="0" xfId="41" applyNumberFormat="1" applyFont="1"/>
    <xf numFmtId="164" fontId="4" fillId="0" borderId="0" xfId="0" applyNumberFormat="1" applyFont="1" applyAlignment="1">
      <alignment horizontal="left"/>
    </xf>
    <xf numFmtId="165" fontId="17" fillId="6" borderId="0" xfId="36" applyNumberFormat="1" applyFont="1" applyFill="1"/>
    <xf numFmtId="165" fontId="17" fillId="6" borderId="0" xfId="35" applyNumberFormat="1" applyFont="1" applyFill="1"/>
    <xf numFmtId="0" fontId="5" fillId="0" borderId="0" xfId="36"/>
    <xf numFmtId="165" fontId="8" fillId="6" borderId="0" xfId="36" applyNumberFormat="1" applyFont="1" applyFill="1" applyBorder="1"/>
    <xf numFmtId="165" fontId="18" fillId="6" borderId="0" xfId="36" applyNumberFormat="1" applyFont="1" applyFill="1"/>
    <xf numFmtId="165" fontId="18" fillId="6" borderId="0" xfId="36" applyNumberFormat="1" applyFont="1" applyFill="1" applyBorder="1"/>
    <xf numFmtId="165" fontId="18" fillId="6" borderId="0" xfId="35" applyNumberFormat="1" applyFont="1" applyFill="1"/>
    <xf numFmtId="164" fontId="8" fillId="0" borderId="32" xfId="36" applyNumberFormat="1" applyFont="1" applyFill="1" applyBorder="1"/>
    <xf numFmtId="164" fontId="8" fillId="0" borderId="31" xfId="36" quotePrefix="1" applyNumberFormat="1" applyFont="1" applyFill="1" applyBorder="1"/>
    <xf numFmtId="164" fontId="33" fillId="0" borderId="33" xfId="36" applyNumberFormat="1" applyFont="1" applyFill="1" applyBorder="1" applyAlignment="1">
      <alignment horizontal="center"/>
    </xf>
    <xf numFmtId="164" fontId="16" fillId="0" borderId="31" xfId="36" applyNumberFormat="1" applyFont="1" applyFill="1" applyBorder="1"/>
    <xf numFmtId="170" fontId="8" fillId="2" borderId="1" xfId="36" applyNumberFormat="1" applyFont="1" applyFill="1" applyBorder="1" applyAlignment="1">
      <alignment horizontal="right"/>
    </xf>
    <xf numFmtId="170" fontId="8" fillId="2" borderId="0" xfId="36" applyNumberFormat="1" applyFont="1" applyFill="1" applyBorder="1" applyAlignment="1">
      <alignment horizontal="right"/>
    </xf>
    <xf numFmtId="171" fontId="8" fillId="2" borderId="13" xfId="36" applyNumberFormat="1" applyFont="1" applyFill="1" applyBorder="1" applyAlignment="1">
      <alignment horizontal="right"/>
    </xf>
    <xf numFmtId="170" fontId="8" fillId="2" borderId="13" xfId="36" applyNumberFormat="1" applyFont="1" applyFill="1" applyBorder="1" applyAlignment="1">
      <alignment horizontal="right"/>
    </xf>
    <xf numFmtId="170" fontId="8" fillId="0" borderId="0" xfId="36" applyNumberFormat="1" applyFont="1" applyFill="1" applyBorder="1" applyAlignment="1">
      <alignment horizontal="center"/>
    </xf>
    <xf numFmtId="170" fontId="49" fillId="0" borderId="0" xfId="36" applyNumberFormat="1" applyFont="1" applyFill="1" applyBorder="1" applyAlignment="1">
      <alignment horizontal="center"/>
    </xf>
    <xf numFmtId="1" fontId="8" fillId="0" borderId="0" xfId="36" applyNumberFormat="1" applyFont="1" applyFill="1" applyBorder="1" applyAlignment="1">
      <alignment horizontal="center"/>
    </xf>
    <xf numFmtId="171" fontId="8" fillId="0" borderId="0" xfId="36" applyNumberFormat="1" applyFont="1" applyFill="1" applyBorder="1" applyAlignment="1">
      <alignment horizontal="center"/>
    </xf>
    <xf numFmtId="0" fontId="8" fillId="0" borderId="34" xfId="36" applyFont="1" applyBorder="1" applyAlignment="1"/>
    <xf numFmtId="165" fontId="16" fillId="0" borderId="0" xfId="36" applyNumberFormat="1" applyFont="1"/>
    <xf numFmtId="0" fontId="5" fillId="0" borderId="0" xfId="36" applyFill="1" applyBorder="1"/>
    <xf numFmtId="164" fontId="33" fillId="0" borderId="0" xfId="36" applyNumberFormat="1" applyFont="1" applyFill="1" applyBorder="1" applyAlignment="1">
      <alignment horizontal="center"/>
    </xf>
    <xf numFmtId="164" fontId="5" fillId="0" borderId="0" xfId="36" applyNumberFormat="1" applyFont="1" applyFill="1" applyBorder="1"/>
    <xf numFmtId="0" fontId="3" fillId="6" borderId="14" xfId="36" applyFont="1" applyFill="1" applyBorder="1" applyAlignment="1">
      <alignment horizontal="left"/>
    </xf>
    <xf numFmtId="0" fontId="16" fillId="6" borderId="2" xfId="36" applyFont="1" applyFill="1" applyBorder="1" applyAlignment="1">
      <alignment horizontal="left"/>
    </xf>
    <xf numFmtId="0" fontId="16" fillId="6" borderId="4" xfId="36" applyFont="1" applyFill="1" applyBorder="1" applyAlignment="1">
      <alignment horizontal="left"/>
    </xf>
    <xf numFmtId="0" fontId="8" fillId="2" borderId="1" xfId="36" applyFont="1" applyFill="1" applyBorder="1" applyAlignment="1">
      <alignment horizontal="centerContinuous"/>
    </xf>
    <xf numFmtId="0" fontId="8" fillId="2" borderId="13" xfId="36" applyFont="1" applyFill="1" applyBorder="1" applyAlignment="1">
      <alignment horizontal="centerContinuous"/>
    </xf>
    <xf numFmtId="0" fontId="8" fillId="2" borderId="0" xfId="36" applyFont="1" applyFill="1" applyBorder="1" applyAlignment="1">
      <alignment horizontal="centerContinuous"/>
    </xf>
    <xf numFmtId="0" fontId="8" fillId="0" borderId="0" xfId="36" applyFont="1" applyFill="1" applyBorder="1" applyAlignment="1">
      <alignment horizontal="centerContinuous"/>
    </xf>
    <xf numFmtId="0" fontId="5" fillId="0" borderId="0" xfId="36" applyBorder="1" applyAlignment="1"/>
    <xf numFmtId="0" fontId="5" fillId="0" borderId="34" xfId="36" applyBorder="1" applyAlignment="1"/>
    <xf numFmtId="0" fontId="5" fillId="0" borderId="0" xfId="36" applyAlignment="1"/>
    <xf numFmtId="0" fontId="8" fillId="0" borderId="0" xfId="36" applyFont="1" applyFill="1" applyAlignment="1">
      <alignment horizontal="left"/>
    </xf>
    <xf numFmtId="4" fontId="50" fillId="2" borderId="13" xfId="36" applyNumberFormat="1" applyFont="1" applyFill="1" applyBorder="1" applyAlignment="1">
      <alignment horizontal="right"/>
    </xf>
    <xf numFmtId="4" fontId="50" fillId="2" borderId="1" xfId="36" applyNumberFormat="1" applyFont="1" applyFill="1" applyBorder="1" applyAlignment="1">
      <alignment horizontal="right"/>
    </xf>
    <xf numFmtId="4" fontId="50" fillId="2" borderId="0" xfId="36" applyNumberFormat="1" applyFont="1" applyFill="1" applyBorder="1" applyAlignment="1">
      <alignment horizontal="right"/>
    </xf>
    <xf numFmtId="4" fontId="50" fillId="0" borderId="0" xfId="36" applyNumberFormat="1" applyFont="1" applyFill="1" applyBorder="1" applyAlignment="1">
      <alignment horizontal="right"/>
    </xf>
    <xf numFmtId="0" fontId="5" fillId="0" borderId="0" xfId="36" applyBorder="1"/>
    <xf numFmtId="0" fontId="5" fillId="0" borderId="34" xfId="36" applyBorder="1"/>
    <xf numFmtId="3" fontId="36" fillId="0" borderId="0" xfId="36" applyNumberFormat="1" applyFont="1" applyFill="1" applyBorder="1" applyAlignment="1">
      <alignment horizontal="center"/>
    </xf>
    <xf numFmtId="4" fontId="36" fillId="2" borderId="1" xfId="36" applyNumberFormat="1" applyFont="1" applyFill="1" applyBorder="1" applyAlignment="1">
      <alignment horizontal="right"/>
    </xf>
    <xf numFmtId="4" fontId="36" fillId="2" borderId="0" xfId="36" applyNumberFormat="1" applyFont="1" applyFill="1" applyBorder="1" applyAlignment="1">
      <alignment horizontal="right"/>
    </xf>
    <xf numFmtId="4" fontId="36" fillId="2" borderId="13" xfId="36" applyNumberFormat="1" applyFont="1" applyFill="1" applyBorder="1" applyAlignment="1">
      <alignment horizontal="right"/>
    </xf>
    <xf numFmtId="4" fontId="36" fillId="0" borderId="0" xfId="36" applyNumberFormat="1" applyFont="1" applyFill="1" applyBorder="1" applyAlignment="1">
      <alignment horizontal="right"/>
    </xf>
    <xf numFmtId="0" fontId="4" fillId="0" borderId="14" xfId="36" applyFont="1" applyBorder="1"/>
    <xf numFmtId="0" fontId="5" fillId="0" borderId="35" xfId="36" applyBorder="1"/>
    <xf numFmtId="0" fontId="35" fillId="0" borderId="0" xfId="36" applyFont="1" applyBorder="1"/>
    <xf numFmtId="0" fontId="4" fillId="0" borderId="0" xfId="36" applyFont="1"/>
    <xf numFmtId="0" fontId="3" fillId="6" borderId="16" xfId="36" applyFont="1" applyFill="1" applyBorder="1" applyAlignment="1">
      <alignment horizontal="left"/>
    </xf>
    <xf numFmtId="0" fontId="36" fillId="2" borderId="13" xfId="36" applyFont="1" applyFill="1" applyBorder="1" applyAlignment="1">
      <alignment horizontal="centerContinuous"/>
    </xf>
    <xf numFmtId="0" fontId="36" fillId="2" borderId="0" xfId="36" applyFont="1" applyFill="1" applyBorder="1" applyAlignment="1">
      <alignment horizontal="centerContinuous"/>
    </xf>
    <xf numFmtId="0" fontId="36" fillId="0" borderId="0" xfId="36" applyFont="1" applyFill="1" applyBorder="1" applyAlignment="1">
      <alignment horizontal="centerContinuous"/>
    </xf>
    <xf numFmtId="0" fontId="36" fillId="0" borderId="0" xfId="36" applyFont="1" applyAlignment="1">
      <alignment horizontal="right"/>
    </xf>
    <xf numFmtId="0" fontId="4" fillId="0" borderId="0" xfId="36" applyFont="1" applyFill="1" applyAlignment="1">
      <alignment horizontal="left"/>
    </xf>
    <xf numFmtId="9" fontId="36" fillId="0" borderId="0" xfId="36" applyNumberFormat="1" applyFont="1" applyFill="1" applyBorder="1" applyAlignment="1">
      <alignment horizontal="center"/>
    </xf>
    <xf numFmtId="0" fontId="5" fillId="0" borderId="0" xfId="36" applyFont="1" applyFill="1" applyAlignment="1">
      <alignment horizontal="left"/>
    </xf>
    <xf numFmtId="0" fontId="5" fillId="0" borderId="0" xfId="36" applyFont="1" applyBorder="1"/>
    <xf numFmtId="0" fontId="51" fillId="0" borderId="0" xfId="36" applyFont="1" applyFill="1"/>
    <xf numFmtId="0" fontId="66" fillId="0" borderId="34" xfId="36" applyFont="1" applyBorder="1"/>
    <xf numFmtId="0" fontId="8" fillId="6" borderId="0" xfId="36" applyFont="1" applyFill="1" applyBorder="1" applyAlignment="1">
      <alignment horizontal="left"/>
    </xf>
    <xf numFmtId="0" fontId="8" fillId="6" borderId="0" xfId="36" applyFont="1" applyFill="1" applyBorder="1" applyAlignment="1">
      <alignment horizontal="centerContinuous"/>
    </xf>
    <xf numFmtId="2" fontId="36" fillId="2" borderId="1" xfId="36" applyNumberFormat="1" applyFont="1" applyFill="1" applyBorder="1" applyAlignment="1">
      <alignment horizontal="right"/>
    </xf>
    <xf numFmtId="2" fontId="36" fillId="2" borderId="0" xfId="36" applyNumberFormat="1" applyFont="1" applyFill="1" applyBorder="1" applyAlignment="1">
      <alignment horizontal="right"/>
    </xf>
    <xf numFmtId="2" fontId="36" fillId="2" borderId="13" xfId="36" applyNumberFormat="1" applyFont="1" applyFill="1" applyBorder="1" applyAlignment="1">
      <alignment horizontal="right"/>
    </xf>
    <xf numFmtId="0" fontId="8" fillId="0" borderId="0" xfId="36" applyFont="1" applyFill="1" applyBorder="1" applyAlignment="1">
      <alignment horizontal="left"/>
    </xf>
    <xf numFmtId="0" fontId="4" fillId="0" borderId="0" xfId="36" applyFont="1" applyFill="1" applyBorder="1"/>
    <xf numFmtId="3" fontId="36" fillId="2" borderId="1" xfId="36" applyNumberFormat="1" applyFont="1" applyFill="1" applyBorder="1" applyAlignment="1">
      <alignment horizontal="right"/>
    </xf>
    <xf numFmtId="3" fontId="36" fillId="2" borderId="0" xfId="36" applyNumberFormat="1" applyFont="1" applyFill="1" applyBorder="1" applyAlignment="1">
      <alignment horizontal="right"/>
    </xf>
    <xf numFmtId="3" fontId="36" fillId="2" borderId="13" xfId="36" applyNumberFormat="1" applyFont="1" applyFill="1" applyBorder="1" applyAlignment="1">
      <alignment horizontal="right"/>
    </xf>
    <xf numFmtId="3" fontId="36" fillId="0" borderId="0" xfId="36" applyNumberFormat="1" applyFont="1" applyFill="1" applyBorder="1" applyAlignment="1">
      <alignment horizontal="right"/>
    </xf>
    <xf numFmtId="0" fontId="5" fillId="0" borderId="0" xfId="33" applyNumberFormat="1" applyFont="1" applyFill="1" applyBorder="1" applyAlignment="1"/>
    <xf numFmtId="0" fontId="5" fillId="6" borderId="36" xfId="36" applyFill="1" applyBorder="1"/>
    <xf numFmtId="0" fontId="5" fillId="6" borderId="36" xfId="36" applyFill="1" applyBorder="1" applyAlignment="1">
      <alignment horizontal="left"/>
    </xf>
    <xf numFmtId="0" fontId="5" fillId="6" borderId="37" xfId="36" applyFill="1" applyBorder="1"/>
    <xf numFmtId="0" fontId="5" fillId="6" borderId="0" xfId="36" applyFill="1" applyBorder="1"/>
    <xf numFmtId="0" fontId="5" fillId="0" borderId="38" xfId="36" applyBorder="1"/>
    <xf numFmtId="0" fontId="3" fillId="6" borderId="39" xfId="36" applyFont="1" applyFill="1" applyBorder="1"/>
    <xf numFmtId="0" fontId="16" fillId="6" borderId="40" xfId="36" applyFont="1" applyFill="1" applyBorder="1"/>
    <xf numFmtId="0" fontId="8" fillId="2" borderId="41" xfId="36" applyFont="1" applyFill="1" applyBorder="1" applyAlignment="1">
      <alignment horizontal="centerContinuous"/>
    </xf>
    <xf numFmtId="0" fontId="8" fillId="2" borderId="42" xfId="36" applyFont="1" applyFill="1" applyBorder="1" applyAlignment="1">
      <alignment horizontal="centerContinuous"/>
    </xf>
    <xf numFmtId="0" fontId="8" fillId="2" borderId="43" xfId="36" applyFont="1" applyFill="1" applyBorder="1" applyAlignment="1">
      <alignment horizontal="centerContinuous"/>
    </xf>
    <xf numFmtId="0" fontId="8" fillId="2" borderId="44" xfId="36" applyFont="1" applyFill="1" applyBorder="1" applyAlignment="1">
      <alignment horizontal="centerContinuous"/>
    </xf>
    <xf numFmtId="0" fontId="8" fillId="0" borderId="9" xfId="36" applyFont="1" applyFill="1" applyBorder="1"/>
    <xf numFmtId="4" fontId="50" fillId="2" borderId="45" xfId="36" applyNumberFormat="1" applyFont="1" applyFill="1" applyBorder="1" applyAlignment="1">
      <alignment horizontal="right"/>
    </xf>
    <xf numFmtId="0" fontId="3" fillId="6" borderId="46" xfId="36" applyFont="1" applyFill="1" applyBorder="1"/>
    <xf numFmtId="0" fontId="4" fillId="0" borderId="0" xfId="36" applyFont="1" applyFill="1" applyBorder="1" applyAlignment="1">
      <alignment horizontal="right"/>
    </xf>
    <xf numFmtId="0" fontId="5" fillId="0" borderId="9" xfId="36" applyFont="1" applyFill="1" applyBorder="1"/>
    <xf numFmtId="0" fontId="5" fillId="0" borderId="0" xfId="36" applyFont="1" applyFill="1" applyBorder="1"/>
    <xf numFmtId="0" fontId="8" fillId="0" borderId="9" xfId="36" applyFont="1" applyFill="1" applyBorder="1" applyAlignment="1">
      <alignment horizontal="left"/>
    </xf>
    <xf numFmtId="0" fontId="5" fillId="6" borderId="47" xfId="36" applyFill="1" applyBorder="1"/>
    <xf numFmtId="0" fontId="5" fillId="6" borderId="48" xfId="36" applyFill="1" applyBorder="1"/>
    <xf numFmtId="0" fontId="5" fillId="6" borderId="49" xfId="36" applyFill="1" applyBorder="1"/>
    <xf numFmtId="0" fontId="5" fillId="6" borderId="50" xfId="36" applyFill="1" applyBorder="1"/>
    <xf numFmtId="0" fontId="5" fillId="6" borderId="51" xfId="36" applyFill="1" applyBorder="1"/>
    <xf numFmtId="0" fontId="5" fillId="0" borderId="0" xfId="36" applyAlignment="1">
      <alignment horizontal="right"/>
    </xf>
    <xf numFmtId="0" fontId="8" fillId="0" borderId="0" xfId="0" applyFont="1" applyAlignment="1">
      <alignment horizontal="center"/>
    </xf>
    <xf numFmtId="165" fontId="15" fillId="6" borderId="0" xfId="29" applyNumberFormat="1" applyFont="1" applyFill="1"/>
    <xf numFmtId="187" fontId="15" fillId="6" borderId="0" xfId="29" applyNumberFormat="1" applyFont="1" applyFill="1" applyAlignment="1">
      <alignment horizontal="left"/>
    </xf>
    <xf numFmtId="0" fontId="5" fillId="0" borderId="0" xfId="29" applyFont="1"/>
    <xf numFmtId="4" fontId="4" fillId="0" borderId="0" xfId="29" applyNumberFormat="1" applyFont="1" applyFill="1" applyBorder="1" applyAlignment="1">
      <alignment horizontal="right"/>
    </xf>
    <xf numFmtId="0" fontId="5" fillId="0" borderId="0" xfId="29" applyNumberFormat="1" applyFont="1" applyFill="1" applyBorder="1" applyAlignment="1"/>
    <xf numFmtId="4" fontId="5" fillId="0" borderId="0" xfId="29" applyNumberFormat="1" applyFont="1" applyFill="1" applyBorder="1" applyAlignment="1">
      <alignment horizontal="right"/>
    </xf>
    <xf numFmtId="0" fontId="5" fillId="0" borderId="0" xfId="29" applyFont="1" applyFill="1" applyBorder="1" applyAlignment="1">
      <alignment horizontal="centerContinuous"/>
    </xf>
    <xf numFmtId="0" fontId="5" fillId="0" borderId="5" xfId="29" applyFont="1" applyBorder="1"/>
    <xf numFmtId="0" fontId="5" fillId="0" borderId="25" xfId="29" applyFont="1" applyFill="1" applyBorder="1"/>
    <xf numFmtId="4" fontId="5" fillId="0" borderId="0" xfId="29" applyNumberFormat="1" applyFont="1" applyBorder="1" applyAlignment="1">
      <alignment horizontal="right"/>
    </xf>
    <xf numFmtId="0" fontId="5" fillId="0" borderId="1" xfId="29" applyFont="1" applyBorder="1"/>
    <xf numFmtId="0" fontId="5" fillId="0" borderId="13" xfId="29" applyFont="1" applyFill="1" applyBorder="1"/>
    <xf numFmtId="4" fontId="5" fillId="0" borderId="34" xfId="29" applyNumberFormat="1" applyFont="1" applyBorder="1" applyAlignment="1">
      <alignment horizontal="right"/>
    </xf>
    <xf numFmtId="173" fontId="5" fillId="0" borderId="2" xfId="29" applyNumberFormat="1" applyFont="1" applyFill="1" applyBorder="1"/>
    <xf numFmtId="0" fontId="5" fillId="0" borderId="21" xfId="29" applyFont="1" applyFill="1" applyBorder="1"/>
    <xf numFmtId="3" fontId="5" fillId="0" borderId="0" xfId="29" applyNumberFormat="1" applyFont="1" applyFill="1" applyBorder="1" applyAlignment="1">
      <alignment horizontal="right"/>
    </xf>
    <xf numFmtId="0" fontId="5" fillId="0" borderId="0" xfId="29" applyNumberFormat="1" applyFont="1" applyFill="1" applyBorder="1" applyAlignment="1">
      <alignment horizontal="left"/>
    </xf>
    <xf numFmtId="0" fontId="5" fillId="0" borderId="0" xfId="29" applyFont="1" applyFill="1"/>
    <xf numFmtId="165" fontId="7" fillId="0" borderId="0" xfId="29" applyNumberFormat="1" applyFont="1" applyFill="1"/>
    <xf numFmtId="165" fontId="52" fillId="0" borderId="0" xfId="29" applyNumberFormat="1" applyFont="1" applyFill="1"/>
    <xf numFmtId="0" fontId="5" fillId="0" borderId="9" xfId="29" applyNumberFormat="1" applyFont="1" applyFill="1" applyBorder="1" applyAlignment="1"/>
    <xf numFmtId="165" fontId="15" fillId="0" borderId="0" xfId="29" applyNumberFormat="1" applyFont="1" applyFill="1"/>
    <xf numFmtId="0" fontId="5" fillId="0" borderId="0" xfId="29" applyFont="1" applyAlignment="1">
      <alignment horizontal="right"/>
    </xf>
    <xf numFmtId="0" fontId="53" fillId="0" borderId="0" xfId="0" applyFont="1" applyFill="1" applyBorder="1"/>
    <xf numFmtId="8" fontId="53" fillId="0" borderId="0" xfId="41" applyNumberFormat="1" applyFont="1" applyFill="1" applyBorder="1"/>
    <xf numFmtId="8" fontId="53" fillId="0" borderId="0" xfId="0" applyNumberFormat="1" applyFont="1" applyFill="1" applyBorder="1"/>
    <xf numFmtId="8" fontId="63" fillId="0" borderId="0" xfId="20" applyNumberFormat="1" applyFont="1" applyFill="1" applyBorder="1"/>
    <xf numFmtId="8" fontId="53" fillId="0" borderId="0" xfId="0" applyNumberFormat="1" applyFont="1" applyFill="1" applyBorder="1" applyAlignment="1">
      <alignment horizontal="center"/>
    </xf>
    <xf numFmtId="8" fontId="53" fillId="2" borderId="1" xfId="41" applyNumberFormat="1" applyFont="1" applyFill="1" applyBorder="1"/>
    <xf numFmtId="8" fontId="53" fillId="2" borderId="0" xfId="41" applyNumberFormat="1" applyFont="1" applyFill="1" applyBorder="1"/>
    <xf numFmtId="8" fontId="53" fillId="2" borderId="13" xfId="41" applyNumberFormat="1" applyFont="1" applyFill="1" applyBorder="1"/>
    <xf numFmtId="8" fontId="63" fillId="0" borderId="0" xfId="0" applyNumberFormat="1" applyFont="1" applyFill="1" applyBorder="1"/>
    <xf numFmtId="8" fontId="63" fillId="2" borderId="1" xfId="41" applyNumberFormat="1" applyFont="1" applyFill="1" applyBorder="1"/>
    <xf numFmtId="8" fontId="63" fillId="2" borderId="0" xfId="41" applyNumberFormat="1" applyFont="1" applyFill="1" applyBorder="1"/>
    <xf numFmtId="8" fontId="63" fillId="2" borderId="13" xfId="41" applyNumberFormat="1" applyFont="1" applyFill="1" applyBorder="1"/>
    <xf numFmtId="8" fontId="63" fillId="0" borderId="0" xfId="41" applyNumberFormat="1" applyFont="1" applyFill="1" applyBorder="1"/>
    <xf numFmtId="8" fontId="20" fillId="0" borderId="0" xfId="0" applyNumberFormat="1" applyFont="1"/>
    <xf numFmtId="8" fontId="35" fillId="0" borderId="0" xfId="20" applyNumberFormat="1" applyFont="1" applyFill="1" applyBorder="1"/>
    <xf numFmtId="8" fontId="0" fillId="0" borderId="0" xfId="20" applyNumberFormat="1" applyFont="1"/>
    <xf numFmtId="9" fontId="5" fillId="0" borderId="0" xfId="29" applyNumberFormat="1" applyFont="1" applyBorder="1" applyAlignment="1">
      <alignment horizontal="right"/>
    </xf>
    <xf numFmtId="9" fontId="50" fillId="0" borderId="0" xfId="36" applyNumberFormat="1" applyFont="1" applyFill="1" applyBorder="1" applyAlignment="1">
      <alignment horizontal="right"/>
    </xf>
    <xf numFmtId="164" fontId="33" fillId="0" borderId="52" xfId="36" applyNumberFormat="1" applyFont="1" applyFill="1" applyBorder="1" applyAlignment="1">
      <alignment horizontal="left"/>
    </xf>
    <xf numFmtId="39" fontId="0" fillId="0" borderId="13" xfId="0" applyNumberFormat="1" applyFill="1" applyBorder="1"/>
    <xf numFmtId="8" fontId="20" fillId="0" borderId="0" xfId="41" applyNumberFormat="1" applyFont="1" applyFill="1" applyBorder="1"/>
    <xf numFmtId="8" fontId="20" fillId="2" borderId="1" xfId="41" applyNumberFormat="1" applyFont="1" applyFill="1" applyBorder="1"/>
    <xf numFmtId="8" fontId="20" fillId="2" borderId="0" xfId="41" applyNumberFormat="1" applyFont="1" applyFill="1" applyBorder="1"/>
    <xf numFmtId="8" fontId="20" fillId="2" borderId="13" xfId="41" applyNumberFormat="1" applyFont="1" applyFill="1" applyBorder="1"/>
    <xf numFmtId="166" fontId="4" fillId="0" borderId="0" xfId="0" applyNumberFormat="1" applyFont="1" applyFill="1" applyBorder="1"/>
    <xf numFmtId="37" fontId="1" fillId="2" borderId="0" xfId="0" applyNumberFormat="1" applyFont="1" applyFill="1" applyBorder="1"/>
    <xf numFmtId="173" fontId="5" fillId="2" borderId="0" xfId="20" applyNumberFormat="1" applyFont="1" applyFill="1"/>
    <xf numFmtId="173" fontId="53" fillId="2" borderId="0" xfId="20" applyNumberFormat="1" applyFont="1" applyFill="1"/>
    <xf numFmtId="180" fontId="8" fillId="0" borderId="15" xfId="0" applyNumberFormat="1" applyFont="1" applyFill="1" applyBorder="1" applyAlignment="1">
      <alignment horizontal="right"/>
    </xf>
    <xf numFmtId="0" fontId="1" fillId="2" borderId="0" xfId="32" applyFill="1"/>
    <xf numFmtId="0" fontId="20" fillId="0" borderId="0" xfId="0" applyFont="1" applyFill="1" applyBorder="1" applyAlignment="1">
      <alignment wrapText="1"/>
    </xf>
    <xf numFmtId="37" fontId="20" fillId="0" borderId="0" xfId="0" applyNumberFormat="1" applyFont="1" applyFill="1" applyBorder="1"/>
    <xf numFmtId="37" fontId="5" fillId="0" borderId="0" xfId="0" applyNumberFormat="1" applyFont="1" applyFill="1" applyBorder="1" applyAlignment="1">
      <alignment wrapText="1"/>
    </xf>
    <xf numFmtId="37" fontId="65" fillId="2" borderId="1" xfId="0" applyNumberFormat="1" applyFont="1" applyFill="1" applyBorder="1"/>
    <xf numFmtId="37" fontId="65" fillId="2" borderId="0" xfId="0" applyNumberFormat="1" applyFont="1" applyFill="1" applyBorder="1"/>
    <xf numFmtId="37" fontId="65" fillId="2" borderId="13" xfId="0" applyNumberFormat="1" applyFont="1" applyFill="1" applyBorder="1"/>
    <xf numFmtId="37" fontId="65" fillId="0" borderId="0" xfId="0" applyNumberFormat="1" applyFont="1" applyFill="1" applyBorder="1"/>
    <xf numFmtId="37" fontId="20" fillId="2" borderId="1" xfId="0" applyNumberFormat="1" applyFont="1" applyFill="1" applyBorder="1"/>
    <xf numFmtId="37" fontId="20" fillId="2" borderId="0" xfId="0" applyNumberFormat="1" applyFont="1" applyFill="1" applyBorder="1"/>
    <xf numFmtId="37" fontId="20" fillId="2" borderId="13" xfId="0" applyNumberFormat="1" applyFont="1" applyFill="1" applyBorder="1"/>
    <xf numFmtId="0" fontId="0" fillId="0" borderId="0" xfId="0" applyNumberFormat="1" applyFill="1" applyAlignment="1">
      <alignment horizontal="left"/>
    </xf>
    <xf numFmtId="7" fontId="53" fillId="0" borderId="0" xfId="20" applyNumberFormat="1" applyFont="1" applyFill="1" applyBorder="1"/>
    <xf numFmtId="41" fontId="5" fillId="2" borderId="0" xfId="20" applyNumberFormat="1" applyFont="1" applyFill="1" applyBorder="1"/>
    <xf numFmtId="41" fontId="5" fillId="2" borderId="13" xfId="20" applyNumberFormat="1" applyFont="1" applyFill="1" applyBorder="1"/>
    <xf numFmtId="41" fontId="5" fillId="0" borderId="0" xfId="20" applyNumberFormat="1" applyFont="1" applyFill="1" applyBorder="1"/>
    <xf numFmtId="1" fontId="55" fillId="0" borderId="0" xfId="22" applyNumberFormat="1" applyFont="1" applyFill="1" applyBorder="1" applyAlignment="1">
      <alignment horizontal="center"/>
    </xf>
    <xf numFmtId="38" fontId="4" fillId="0" borderId="0" xfId="22" applyNumberFormat="1" applyFont="1" applyFill="1" applyBorder="1" applyAlignment="1"/>
    <xf numFmtId="0" fontId="34" fillId="0" borderId="0" xfId="0" applyFont="1" applyFill="1" applyAlignment="1">
      <alignment horizontal="center"/>
    </xf>
    <xf numFmtId="38" fontId="74" fillId="0" borderId="0" xfId="0" applyNumberFormat="1" applyFont="1" applyFill="1" applyBorder="1" applyAlignment="1">
      <alignment horizontal="center"/>
    </xf>
    <xf numFmtId="9" fontId="5" fillId="0" borderId="0" xfId="41" applyFont="1" applyFill="1" applyBorder="1"/>
    <xf numFmtId="166" fontId="5" fillId="2" borderId="0" xfId="5" applyNumberFormat="1" applyFont="1" applyFill="1" applyBorder="1"/>
    <xf numFmtId="166" fontId="1" fillId="2" borderId="0" xfId="41" applyNumberFormat="1" applyFont="1" applyFill="1" applyBorder="1"/>
    <xf numFmtId="37" fontId="4" fillId="0" borderId="0" xfId="0" applyNumberFormat="1" applyFont="1" applyFill="1" applyBorder="1" applyAlignment="1">
      <alignment horizontal="center"/>
    </xf>
    <xf numFmtId="4" fontId="35" fillId="2" borderId="0" xfId="36" applyNumberFormat="1" applyFont="1" applyFill="1" applyBorder="1" applyAlignment="1">
      <alignment horizontal="right"/>
    </xf>
    <xf numFmtId="4" fontId="35" fillId="2" borderId="13" xfId="36" applyNumberFormat="1" applyFont="1" applyFill="1" applyBorder="1" applyAlignment="1">
      <alignment horizontal="right"/>
    </xf>
    <xf numFmtId="3" fontId="35" fillId="2" borderId="0" xfId="36" applyNumberFormat="1" applyFont="1" applyFill="1" applyBorder="1" applyAlignment="1">
      <alignment horizontal="right"/>
    </xf>
    <xf numFmtId="3" fontId="35" fillId="2" borderId="13" xfId="36" applyNumberFormat="1" applyFont="1" applyFill="1" applyBorder="1" applyAlignment="1">
      <alignment horizontal="right"/>
    </xf>
    <xf numFmtId="164" fontId="16" fillId="0" borderId="31" xfId="36" applyNumberFormat="1" applyFont="1" applyFill="1" applyBorder="1" applyAlignment="1">
      <alignment horizontal="center"/>
    </xf>
    <xf numFmtId="164" fontId="5" fillId="0" borderId="0" xfId="36" applyNumberFormat="1" applyFont="1" applyFill="1" applyBorder="1" applyAlignment="1">
      <alignment horizontal="center"/>
    </xf>
    <xf numFmtId="0" fontId="16" fillId="6" borderId="17" xfId="36" applyFont="1" applyFill="1" applyBorder="1" applyAlignment="1">
      <alignment horizontal="center"/>
    </xf>
    <xf numFmtId="0" fontId="22" fillId="0" borderId="0" xfId="36" applyFont="1" applyFill="1" applyBorder="1" applyAlignment="1">
      <alignment horizontal="center"/>
    </xf>
    <xf numFmtId="0" fontId="8" fillId="6" borderId="0" xfId="36" applyFont="1" applyFill="1" applyBorder="1" applyAlignment="1">
      <alignment horizontal="center"/>
    </xf>
    <xf numFmtId="0" fontId="4" fillId="0" borderId="0" xfId="36" applyFont="1" applyFill="1" applyBorder="1" applyAlignment="1">
      <alignment horizontal="center"/>
    </xf>
    <xf numFmtId="0" fontId="90" fillId="6" borderId="0" xfId="36" applyFont="1" applyFill="1" applyBorder="1" applyAlignment="1">
      <alignment horizontal="center"/>
    </xf>
    <xf numFmtId="0" fontId="5" fillId="0" borderId="0" xfId="29" applyNumberFormat="1" applyFont="1" applyFill="1" applyBorder="1" applyAlignment="1">
      <alignment horizontal="center"/>
    </xf>
    <xf numFmtId="0" fontId="5" fillId="6" borderId="36" xfId="36" applyFill="1" applyBorder="1" applyAlignment="1">
      <alignment horizontal="center"/>
    </xf>
    <xf numFmtId="0" fontId="5" fillId="0" borderId="0" xfId="36" applyAlignment="1">
      <alignment horizontal="center"/>
    </xf>
    <xf numFmtId="0" fontId="16" fillId="6" borderId="53" xfId="36" applyFont="1" applyFill="1" applyBorder="1" applyAlignment="1">
      <alignment horizontal="center"/>
    </xf>
    <xf numFmtId="0" fontId="5" fillId="6" borderId="48" xfId="36" applyFill="1" applyBorder="1" applyAlignment="1">
      <alignment horizontal="center"/>
    </xf>
    <xf numFmtId="0" fontId="5" fillId="0" borderId="0" xfId="29" applyFont="1" applyAlignment="1">
      <alignment horizontal="center"/>
    </xf>
    <xf numFmtId="38" fontId="35" fillId="0" borderId="1" xfId="22" applyNumberFormat="1" applyFont="1" applyBorder="1"/>
    <xf numFmtId="39" fontId="4" fillId="0" borderId="0" xfId="0" applyNumberFormat="1" applyFont="1" applyFill="1" applyBorder="1"/>
    <xf numFmtId="0" fontId="4" fillId="0" borderId="10" xfId="0" applyFont="1" applyFill="1" applyBorder="1"/>
    <xf numFmtId="0" fontId="4" fillId="0" borderId="25" xfId="0" applyFont="1" applyFill="1" applyBorder="1"/>
    <xf numFmtId="173" fontId="37" fillId="0" borderId="13" xfId="20" applyNumberFormat="1" applyFont="1" applyFill="1" applyBorder="1"/>
    <xf numFmtId="0" fontId="4" fillId="0" borderId="1" xfId="0" applyFont="1" applyBorder="1"/>
    <xf numFmtId="173" fontId="4" fillId="0" borderId="13" xfId="20" applyNumberFormat="1" applyFont="1" applyFill="1" applyBorder="1"/>
    <xf numFmtId="0" fontId="5" fillId="0" borderId="13" xfId="0" applyFont="1" applyFill="1" applyBorder="1"/>
    <xf numFmtId="0" fontId="4" fillId="0" borderId="13" xfId="0" applyFont="1" applyFill="1" applyBorder="1"/>
    <xf numFmtId="173" fontId="5" fillId="0" borderId="13" xfId="20" applyNumberFormat="1" applyFont="1" applyFill="1" applyBorder="1"/>
    <xf numFmtId="8" fontId="37" fillId="0" borderId="13" xfId="0" applyNumberFormat="1" applyFont="1" applyFill="1" applyBorder="1"/>
    <xf numFmtId="8" fontId="5" fillId="0" borderId="13" xfId="0" applyNumberFormat="1" applyFont="1" applyFill="1" applyBorder="1"/>
    <xf numFmtId="7" fontId="5" fillId="0" borderId="13" xfId="0" applyNumberFormat="1" applyFont="1" applyFill="1" applyBorder="1"/>
    <xf numFmtId="0" fontId="5" fillId="0" borderId="14" xfId="0" applyFont="1" applyFill="1" applyBorder="1"/>
    <xf numFmtId="173" fontId="5" fillId="0" borderId="2" xfId="20" applyNumberFormat="1" applyFont="1" applyFill="1" applyBorder="1"/>
    <xf numFmtId="173" fontId="5" fillId="0" borderId="21" xfId="20" applyNumberFormat="1" applyFont="1" applyFill="1" applyBorder="1"/>
    <xf numFmtId="38" fontId="20" fillId="0" borderId="0" xfId="22" applyNumberFormat="1" applyFont="1"/>
    <xf numFmtId="173" fontId="20" fillId="2" borderId="1" xfId="20" applyNumberFormat="1" applyFont="1" applyFill="1" applyBorder="1"/>
    <xf numFmtId="173" fontId="20" fillId="2" borderId="0" xfId="20" applyNumberFormat="1" applyFont="1" applyFill="1" applyBorder="1"/>
    <xf numFmtId="173" fontId="20" fillId="2" borderId="13" xfId="20" applyNumberFormat="1" applyFont="1" applyFill="1" applyBorder="1"/>
    <xf numFmtId="173" fontId="93" fillId="0" borderId="0" xfId="20" applyNumberFormat="1" applyFont="1" applyFill="1" applyBorder="1"/>
    <xf numFmtId="9" fontId="20" fillId="0" borderId="0" xfId="20" applyNumberFormat="1" applyFont="1" applyFill="1" applyBorder="1"/>
    <xf numFmtId="166" fontId="20" fillId="0" borderId="0" xfId="20" applyNumberFormat="1" applyFont="1" applyFill="1" applyBorder="1"/>
    <xf numFmtId="166" fontId="20" fillId="2" borderId="1" xfId="20" applyNumberFormat="1" applyFont="1" applyFill="1" applyBorder="1"/>
    <xf numFmtId="166" fontId="20" fillId="2" borderId="0" xfId="20" applyNumberFormat="1" applyFont="1" applyFill="1" applyBorder="1"/>
    <xf numFmtId="166" fontId="20" fillId="2" borderId="13" xfId="20" applyNumberFormat="1" applyFont="1" applyFill="1" applyBorder="1"/>
    <xf numFmtId="164" fontId="5" fillId="5" borderId="24" xfId="0" applyNumberFormat="1" applyFont="1" applyFill="1" applyBorder="1" applyAlignment="1">
      <alignment horizontal="right"/>
    </xf>
    <xf numFmtId="0" fontId="36" fillId="0" borderId="0" xfId="0" applyFont="1"/>
    <xf numFmtId="41" fontId="0" fillId="0" borderId="0" xfId="0" applyNumberFormat="1"/>
    <xf numFmtId="4" fontId="5" fillId="0" borderId="0" xfId="29" applyNumberFormat="1" applyFont="1" applyFill="1" applyBorder="1" applyAlignment="1">
      <alignment horizontal="centerContinuous"/>
    </xf>
    <xf numFmtId="3" fontId="47" fillId="6" borderId="0" xfId="0" applyNumberFormat="1" applyFont="1" applyFill="1"/>
    <xf numFmtId="3" fontId="19" fillId="6" borderId="0" xfId="0" applyNumberFormat="1" applyFont="1" applyFill="1"/>
    <xf numFmtId="3" fontId="36" fillId="0" borderId="0" xfId="41" applyNumberFormat="1" applyFont="1"/>
    <xf numFmtId="3" fontId="0" fillId="0" borderId="0" xfId="20" applyNumberFormat="1" applyFont="1"/>
    <xf numFmtId="3" fontId="0" fillId="0" borderId="0" xfId="41" applyNumberFormat="1" applyFont="1"/>
    <xf numFmtId="3" fontId="0" fillId="2" borderId="0" xfId="0" applyNumberFormat="1" applyFill="1"/>
    <xf numFmtId="1" fontId="0" fillId="0" borderId="0" xfId="0" applyNumberFormat="1"/>
    <xf numFmtId="3" fontId="36" fillId="0" borderId="9" xfId="36" applyNumberFormat="1" applyFont="1" applyFill="1" applyBorder="1" applyAlignment="1">
      <alignment horizontal="right"/>
    </xf>
    <xf numFmtId="0" fontId="59" fillId="0" borderId="0" xfId="36" applyFont="1"/>
    <xf numFmtId="3" fontId="5" fillId="0" borderId="0" xfId="36" applyNumberFormat="1" applyFont="1"/>
    <xf numFmtId="0" fontId="5" fillId="0" borderId="0" xfId="36" applyFont="1"/>
    <xf numFmtId="7" fontId="5" fillId="0" borderId="0" xfId="36" applyNumberFormat="1" applyFont="1"/>
    <xf numFmtId="7" fontId="4" fillId="0" borderId="0" xfId="36" applyNumberFormat="1" applyFont="1"/>
    <xf numFmtId="173" fontId="5" fillId="0" borderId="0" xfId="36" applyNumberFormat="1" applyFont="1"/>
    <xf numFmtId="8" fontId="5" fillId="0" borderId="25" xfId="36" applyNumberFormat="1" applyFont="1" applyBorder="1"/>
    <xf numFmtId="8" fontId="4" fillId="0" borderId="21" xfId="36" applyNumberFormat="1" applyFont="1" applyBorder="1"/>
    <xf numFmtId="0" fontId="5" fillId="0" borderId="1" xfId="36" applyFont="1" applyBorder="1"/>
    <xf numFmtId="8" fontId="5" fillId="0" borderId="13" xfId="36" applyNumberFormat="1" applyFont="1" applyBorder="1"/>
    <xf numFmtId="0" fontId="4" fillId="0" borderId="0" xfId="36" applyFont="1" applyAlignment="1">
      <alignment horizontal="right"/>
    </xf>
    <xf numFmtId="0" fontId="70" fillId="0" borderId="0" xfId="0" applyFont="1" applyFill="1" applyBorder="1"/>
    <xf numFmtId="164" fontId="0" fillId="0" borderId="0" xfId="0" applyNumberFormat="1" applyFill="1" applyBorder="1"/>
    <xf numFmtId="174" fontId="37" fillId="0" borderId="0" xfId="0" applyNumberFormat="1" applyFont="1" applyFill="1" applyBorder="1"/>
    <xf numFmtId="0" fontId="0" fillId="0" borderId="0" xfId="41" applyNumberFormat="1" applyFont="1"/>
    <xf numFmtId="0" fontId="5" fillId="0" borderId="1" xfId="36" applyBorder="1"/>
    <xf numFmtId="0" fontId="5" fillId="0" borderId="13" xfId="36" applyBorder="1"/>
    <xf numFmtId="0" fontId="5" fillId="0" borderId="16" xfId="36" applyFont="1" applyBorder="1"/>
    <xf numFmtId="0" fontId="5" fillId="0" borderId="4" xfId="36" applyBorder="1"/>
    <xf numFmtId="0" fontId="5" fillId="0" borderId="17" xfId="36" applyFont="1" applyBorder="1"/>
    <xf numFmtId="0" fontId="5" fillId="0" borderId="1" xfId="0" applyFont="1" applyBorder="1" applyAlignment="1">
      <alignment horizontal="left"/>
    </xf>
    <xf numFmtId="173" fontId="4" fillId="0" borderId="13" xfId="20" applyNumberFormat="1" applyFont="1" applyFill="1" applyBorder="1" applyAlignment="1">
      <alignment horizontal="right"/>
    </xf>
    <xf numFmtId="173" fontId="5" fillId="0" borderId="13" xfId="0" applyNumberFormat="1" applyFont="1" applyFill="1" applyBorder="1"/>
    <xf numFmtId="0" fontId="5" fillId="0" borderId="14" xfId="0" applyFont="1" applyBorder="1"/>
    <xf numFmtId="0" fontId="5" fillId="0" borderId="2" xfId="0" applyFont="1" applyFill="1" applyBorder="1" applyAlignment="1">
      <alignment horizontal="center"/>
    </xf>
    <xf numFmtId="173" fontId="5" fillId="0" borderId="2" xfId="0" applyNumberFormat="1" applyFont="1" applyFill="1" applyBorder="1"/>
    <xf numFmtId="173" fontId="5" fillId="0" borderId="21" xfId="0" applyNumberFormat="1" applyFont="1" applyFill="1" applyBorder="1"/>
    <xf numFmtId="173" fontId="97" fillId="2" borderId="1" xfId="20" applyNumberFormat="1" applyFont="1" applyFill="1" applyBorder="1"/>
    <xf numFmtId="173" fontId="97" fillId="2" borderId="0" xfId="20" applyNumberFormat="1" applyFont="1" applyFill="1" applyBorder="1"/>
    <xf numFmtId="173" fontId="97" fillId="2" borderId="13" xfId="20" applyNumberFormat="1" applyFont="1" applyFill="1" applyBorder="1"/>
    <xf numFmtId="173" fontId="97" fillId="0" borderId="0" xfId="20" applyNumberFormat="1" applyFont="1" applyFill="1" applyBorder="1"/>
    <xf numFmtId="37" fontId="97" fillId="0" borderId="0" xfId="0" applyNumberFormat="1" applyFont="1" applyFill="1" applyBorder="1"/>
    <xf numFmtId="37" fontId="36" fillId="2" borderId="1" xfId="0" applyNumberFormat="1" applyFont="1" applyFill="1" applyBorder="1"/>
    <xf numFmtId="9" fontId="36" fillId="0" borderId="0" xfId="20" applyNumberFormat="1" applyFont="1" applyFill="1" applyBorder="1"/>
    <xf numFmtId="8" fontId="36" fillId="0" borderId="0" xfId="20" applyNumberFormat="1" applyFont="1" applyFill="1" applyBorder="1"/>
    <xf numFmtId="166" fontId="36" fillId="2" borderId="13" xfId="0" applyNumberFormat="1" applyFont="1" applyFill="1" applyBorder="1"/>
    <xf numFmtId="8" fontId="36" fillId="0" borderId="0" xfId="0" applyNumberFormat="1" applyFont="1" applyFill="1" applyBorder="1"/>
    <xf numFmtId="173" fontId="34" fillId="0" borderId="0" xfId="20" applyNumberFormat="1" applyFont="1" applyBorder="1"/>
    <xf numFmtId="166" fontId="36" fillId="2" borderId="0" xfId="0" applyNumberFormat="1" applyFont="1" applyFill="1" applyBorder="1"/>
    <xf numFmtId="173" fontId="34" fillId="0" borderId="0" xfId="0" applyNumberFormat="1" applyFont="1" applyFill="1"/>
    <xf numFmtId="173" fontId="34" fillId="2" borderId="0" xfId="23" applyNumberFormat="1" applyFont="1" applyFill="1" applyBorder="1"/>
    <xf numFmtId="173" fontId="28" fillId="2" borderId="13" xfId="23" applyNumberFormat="1" applyFont="1" applyFill="1" applyBorder="1"/>
    <xf numFmtId="173" fontId="34" fillId="0" borderId="0" xfId="23" applyNumberFormat="1" applyFont="1" applyFill="1" applyBorder="1"/>
    <xf numFmtId="173" fontId="4" fillId="2" borderId="0" xfId="23" applyNumberFormat="1" applyFont="1" applyFill="1" applyBorder="1"/>
    <xf numFmtId="173" fontId="4" fillId="2" borderId="13" xfId="23" applyNumberFormat="1" applyFont="1" applyFill="1" applyBorder="1"/>
    <xf numFmtId="173" fontId="4" fillId="0" borderId="0" xfId="23" applyNumberFormat="1" applyFont="1" applyFill="1" applyBorder="1"/>
    <xf numFmtId="173" fontId="5" fillId="2" borderId="0" xfId="23" applyNumberFormat="1" applyFont="1" applyFill="1" applyBorder="1"/>
    <xf numFmtId="173" fontId="5" fillId="2" borderId="13" xfId="23" applyNumberFormat="1" applyFont="1" applyFill="1" applyBorder="1"/>
    <xf numFmtId="173" fontId="5" fillId="0" borderId="0" xfId="23" applyNumberFormat="1" applyFont="1" applyFill="1" applyBorder="1"/>
    <xf numFmtId="173" fontId="36" fillId="2" borderId="0" xfId="23" applyNumberFormat="1" applyFont="1" applyFill="1" applyBorder="1"/>
    <xf numFmtId="173" fontId="36" fillId="2" borderId="13" xfId="23" applyNumberFormat="1" applyFont="1" applyFill="1" applyBorder="1"/>
    <xf numFmtId="173" fontId="36" fillId="0" borderId="0" xfId="23" applyNumberFormat="1" applyFont="1" applyFill="1" applyBorder="1"/>
    <xf numFmtId="174" fontId="36" fillId="2" borderId="0" xfId="23" applyNumberFormat="1" applyFont="1" applyFill="1" applyBorder="1"/>
    <xf numFmtId="174" fontId="36" fillId="2" borderId="13" xfId="23" applyNumberFormat="1" applyFont="1" applyFill="1" applyBorder="1"/>
    <xf numFmtId="174" fontId="5" fillId="0" borderId="0" xfId="23" applyNumberFormat="1" applyFont="1" applyFill="1" applyBorder="1"/>
    <xf numFmtId="174" fontId="5" fillId="2" borderId="0" xfId="23" applyNumberFormat="1" applyFont="1" applyFill="1" applyBorder="1"/>
    <xf numFmtId="174" fontId="5" fillId="2" borderId="13" xfId="23" applyNumberFormat="1" applyFont="1" applyFill="1" applyBorder="1"/>
    <xf numFmtId="173" fontId="34" fillId="2" borderId="0" xfId="0" applyNumberFormat="1" applyFont="1" applyFill="1" applyBorder="1"/>
    <xf numFmtId="173" fontId="34" fillId="0" borderId="0" xfId="23" applyNumberFormat="1" applyFont="1" applyBorder="1"/>
    <xf numFmtId="173" fontId="34" fillId="0" borderId="0" xfId="0" applyNumberFormat="1" applyFont="1" applyBorder="1"/>
    <xf numFmtId="37" fontId="34" fillId="2" borderId="0" xfId="0" applyNumberFormat="1" applyFont="1" applyFill="1" applyBorder="1"/>
    <xf numFmtId="37" fontId="34" fillId="0" borderId="0" xfId="0" applyNumberFormat="1" applyFont="1" applyFill="1" applyBorder="1"/>
    <xf numFmtId="173" fontId="34" fillId="2" borderId="13" xfId="23" applyNumberFormat="1" applyFont="1" applyFill="1" applyBorder="1"/>
    <xf numFmtId="166" fontId="5" fillId="2" borderId="13" xfId="42" applyNumberFormat="1" applyFont="1" applyFill="1" applyBorder="1"/>
    <xf numFmtId="166" fontId="5" fillId="0" borderId="0" xfId="42" applyNumberFormat="1" applyFont="1" applyFill="1" applyBorder="1"/>
    <xf numFmtId="166" fontId="5" fillId="2" borderId="0" xfId="42" applyNumberFormat="1" applyFont="1" applyFill="1" applyBorder="1"/>
    <xf numFmtId="7" fontId="4" fillId="2" borderId="0" xfId="23" applyNumberFormat="1" applyFont="1" applyFill="1" applyBorder="1"/>
    <xf numFmtId="173" fontId="63" fillId="2" borderId="0" xfId="23" applyNumberFormat="1" applyFont="1" applyFill="1" applyBorder="1"/>
    <xf numFmtId="173" fontId="21" fillId="2" borderId="13" xfId="23" applyNumberFormat="1" applyFont="1" applyFill="1" applyBorder="1"/>
    <xf numFmtId="173" fontId="21" fillId="0" borderId="0" xfId="23" applyNumberFormat="1" applyFont="1" applyFill="1" applyBorder="1"/>
    <xf numFmtId="173" fontId="4" fillId="0" borderId="0" xfId="23" applyNumberFormat="1" applyFont="1" applyBorder="1"/>
    <xf numFmtId="173" fontId="28" fillId="0" borderId="0" xfId="23" applyNumberFormat="1" applyFont="1" applyFill="1" applyBorder="1"/>
    <xf numFmtId="173" fontId="28" fillId="2" borderId="0" xfId="23" applyNumberFormat="1" applyFont="1" applyFill="1" applyBorder="1"/>
    <xf numFmtId="173" fontId="21" fillId="2" borderId="0" xfId="23" applyNumberFormat="1" applyFont="1" applyFill="1" applyBorder="1"/>
    <xf numFmtId="173" fontId="55" fillId="2" borderId="0" xfId="23" applyNumberFormat="1" applyFont="1" applyFill="1" applyBorder="1"/>
    <xf numFmtId="173" fontId="55" fillId="2" borderId="13" xfId="23" applyNumberFormat="1" applyFont="1" applyFill="1" applyBorder="1"/>
    <xf numFmtId="173" fontId="55" fillId="0" borderId="0" xfId="23" applyNumberFormat="1" applyFont="1" applyFill="1" applyBorder="1"/>
    <xf numFmtId="173" fontId="63" fillId="0" borderId="0" xfId="23" applyNumberFormat="1" applyFont="1" applyFill="1" applyBorder="1"/>
    <xf numFmtId="173" fontId="63" fillId="2" borderId="13" xfId="23" applyNumberFormat="1" applyFont="1" applyFill="1" applyBorder="1"/>
    <xf numFmtId="166" fontId="20" fillId="2" borderId="0" xfId="23" applyNumberFormat="1" applyFont="1" applyFill="1" applyBorder="1"/>
    <xf numFmtId="166" fontId="20" fillId="2" borderId="13" xfId="23" applyNumberFormat="1" applyFont="1" applyFill="1" applyBorder="1"/>
    <xf numFmtId="166" fontId="20" fillId="0" borderId="0" xfId="23" applyNumberFormat="1" applyFont="1" applyFill="1" applyBorder="1"/>
    <xf numFmtId="9" fontId="4" fillId="0" borderId="0" xfId="23" applyNumberFormat="1" applyFont="1" applyFill="1" applyBorder="1"/>
    <xf numFmtId="173" fontId="35" fillId="0" borderId="0" xfId="23" applyNumberFormat="1" applyFont="1" applyFill="1" applyBorder="1"/>
    <xf numFmtId="166" fontId="5" fillId="0" borderId="0" xfId="23" applyNumberFormat="1" applyFont="1" applyFill="1" applyBorder="1"/>
    <xf numFmtId="174" fontId="36" fillId="0" borderId="0" xfId="23" applyNumberFormat="1" applyFont="1" applyFill="1" applyBorder="1"/>
    <xf numFmtId="173" fontId="63" fillId="0" borderId="0" xfId="23" applyNumberFormat="1" applyFont="1" applyBorder="1"/>
    <xf numFmtId="173" fontId="4" fillId="2" borderId="0" xfId="23" applyNumberFormat="1" applyFont="1" applyFill="1"/>
    <xf numFmtId="173" fontId="4" fillId="0" borderId="0" xfId="23" applyNumberFormat="1" applyFont="1"/>
    <xf numFmtId="166" fontId="4" fillId="2" borderId="0" xfId="23" applyNumberFormat="1" applyFont="1" applyFill="1" applyBorder="1"/>
    <xf numFmtId="166" fontId="4" fillId="2" borderId="13" xfId="23" applyNumberFormat="1" applyFont="1" applyFill="1" applyBorder="1"/>
    <xf numFmtId="166" fontId="4" fillId="0" borderId="0" xfId="23" applyNumberFormat="1" applyFont="1" applyFill="1" applyBorder="1"/>
    <xf numFmtId="173" fontId="5" fillId="0" borderId="0" xfId="23" applyNumberFormat="1" applyFont="1" applyBorder="1"/>
    <xf numFmtId="43" fontId="4" fillId="2" borderId="21" xfId="23" applyFont="1" applyFill="1" applyBorder="1"/>
    <xf numFmtId="43" fontId="4" fillId="0" borderId="2" xfId="23" applyFont="1" applyFill="1" applyBorder="1"/>
    <xf numFmtId="173" fontId="34" fillId="2" borderId="13" xfId="0" applyNumberFormat="1" applyFont="1" applyFill="1" applyBorder="1"/>
    <xf numFmtId="173" fontId="5" fillId="2" borderId="0" xfId="23" applyNumberFormat="1" applyFont="1" applyFill="1"/>
    <xf numFmtId="175" fontId="55" fillId="2" borderId="0" xfId="23" applyNumberFormat="1" applyFont="1" applyFill="1" applyBorder="1"/>
    <xf numFmtId="175" fontId="55" fillId="2" borderId="13" xfId="23" applyNumberFormat="1" applyFont="1" applyFill="1" applyBorder="1"/>
    <xf numFmtId="175" fontId="55" fillId="0" borderId="0" xfId="23" applyNumberFormat="1" applyFont="1" applyFill="1" applyBorder="1"/>
    <xf numFmtId="173" fontId="20" fillId="2" borderId="0" xfId="23" applyNumberFormat="1" applyFont="1" applyFill="1" applyBorder="1"/>
    <xf numFmtId="173" fontId="20" fillId="2" borderId="13" xfId="23" applyNumberFormat="1" applyFont="1" applyFill="1" applyBorder="1"/>
    <xf numFmtId="9" fontId="20" fillId="0" borderId="0" xfId="23" applyNumberFormat="1" applyFont="1" applyFill="1" applyBorder="1"/>
    <xf numFmtId="3" fontId="10" fillId="2" borderId="0" xfId="0" applyNumberFormat="1" applyFont="1" applyFill="1" applyBorder="1"/>
    <xf numFmtId="3" fontId="10" fillId="2" borderId="13" xfId="0" applyNumberFormat="1" applyFont="1" applyFill="1" applyBorder="1"/>
    <xf numFmtId="41" fontId="5" fillId="2" borderId="0" xfId="23" applyNumberFormat="1" applyFont="1" applyFill="1" applyBorder="1"/>
    <xf numFmtId="41" fontId="5" fillId="2" borderId="13" xfId="23" applyNumberFormat="1" applyFont="1" applyFill="1" applyBorder="1"/>
    <xf numFmtId="41" fontId="5" fillId="0" borderId="0" xfId="23" applyNumberFormat="1" applyFont="1" applyFill="1" applyBorder="1"/>
    <xf numFmtId="41" fontId="4" fillId="2" borderId="0" xfId="23" applyNumberFormat="1" applyFont="1" applyFill="1" applyBorder="1"/>
    <xf numFmtId="41" fontId="4" fillId="2" borderId="13" xfId="23" applyNumberFormat="1" applyFont="1" applyFill="1" applyBorder="1"/>
    <xf numFmtId="41" fontId="4" fillId="0" borderId="0" xfId="23" applyNumberFormat="1" applyFont="1" applyFill="1" applyBorder="1"/>
    <xf numFmtId="173" fontId="0" fillId="2" borderId="0" xfId="23" applyNumberFormat="1" applyFont="1" applyFill="1" applyBorder="1"/>
    <xf numFmtId="173" fontId="0" fillId="2" borderId="13" xfId="23" applyNumberFormat="1" applyFont="1" applyFill="1" applyBorder="1"/>
    <xf numFmtId="173" fontId="0" fillId="0" borderId="0" xfId="23" applyNumberFormat="1" applyFont="1" applyFill="1" applyBorder="1"/>
    <xf numFmtId="173" fontId="34" fillId="0" borderId="0" xfId="0" applyNumberFormat="1" applyFont="1"/>
    <xf numFmtId="1" fontId="34" fillId="0" borderId="0" xfId="22" applyNumberFormat="1" applyFont="1" applyFill="1" applyBorder="1" applyAlignment="1">
      <alignment horizontal="center"/>
    </xf>
    <xf numFmtId="38" fontId="34" fillId="0" borderId="0" xfId="22" applyNumberFormat="1" applyFont="1" applyFill="1" applyBorder="1" applyAlignment="1">
      <alignment horizontal="center"/>
    </xf>
    <xf numFmtId="166" fontId="36" fillId="0" borderId="0" xfId="42" applyNumberFormat="1" applyFont="1" applyFill="1" applyAlignment="1">
      <alignment horizontal="center"/>
    </xf>
    <xf numFmtId="166" fontId="34" fillId="0" borderId="0" xfId="42" applyNumberFormat="1" applyFont="1" applyFill="1" applyAlignment="1">
      <alignment horizontal="center"/>
    </xf>
    <xf numFmtId="169" fontId="5" fillId="0" borderId="0" xfId="0" applyNumberFormat="1" applyFont="1" applyFill="1"/>
    <xf numFmtId="166" fontId="36" fillId="0" borderId="0" xfId="42" applyNumberFormat="1" applyFont="1" applyFill="1" applyBorder="1" applyAlignment="1">
      <alignment horizontal="center"/>
    </xf>
    <xf numFmtId="1" fontId="36" fillId="0" borderId="0" xfId="22" applyNumberFormat="1" applyFont="1" applyFill="1" applyBorder="1" applyAlignment="1">
      <alignment horizontal="center"/>
    </xf>
    <xf numFmtId="173" fontId="68" fillId="2" borderId="0" xfId="23" applyNumberFormat="1" applyFont="1" applyFill="1" applyBorder="1"/>
    <xf numFmtId="173" fontId="68" fillId="2" borderId="13" xfId="23" applyNumberFormat="1" applyFont="1" applyFill="1" applyBorder="1"/>
    <xf numFmtId="173" fontId="68" fillId="0" borderId="0" xfId="23" applyNumberFormat="1" applyFont="1" applyBorder="1"/>
    <xf numFmtId="166" fontId="20" fillId="2" borderId="0" xfId="42" applyNumberFormat="1" applyFont="1" applyFill="1" applyBorder="1"/>
    <xf numFmtId="166" fontId="20" fillId="2" borderId="13" xfId="42" applyNumberFormat="1" applyFont="1" applyFill="1" applyBorder="1"/>
    <xf numFmtId="166" fontId="20" fillId="0" borderId="0" xfId="42" applyNumberFormat="1" applyFont="1" applyFill="1" applyBorder="1"/>
    <xf numFmtId="8" fontId="20" fillId="0" borderId="0" xfId="42" applyNumberFormat="1" applyFont="1" applyFill="1" applyBorder="1"/>
    <xf numFmtId="8" fontId="34" fillId="2" borderId="0" xfId="42" applyNumberFormat="1" applyFont="1" applyFill="1" applyBorder="1"/>
    <xf numFmtId="8" fontId="34" fillId="2" borderId="13" xfId="42" applyNumberFormat="1" applyFont="1" applyFill="1" applyBorder="1"/>
    <xf numFmtId="8" fontId="34" fillId="0" borderId="0" xfId="42" applyNumberFormat="1" applyFont="1" applyFill="1" applyBorder="1"/>
    <xf numFmtId="8" fontId="34" fillId="2" borderId="0" xfId="0" applyNumberFormat="1" applyFont="1" applyFill="1" applyBorder="1"/>
    <xf numFmtId="7" fontId="5" fillId="2" borderId="13" xfId="23" applyNumberFormat="1" applyFont="1" applyFill="1" applyBorder="1"/>
    <xf numFmtId="7" fontId="34" fillId="0" borderId="0" xfId="23" applyNumberFormat="1" applyFont="1" applyFill="1" applyBorder="1"/>
    <xf numFmtId="9" fontId="20" fillId="0" borderId="0" xfId="42" applyNumberFormat="1" applyFont="1" applyFill="1" applyBorder="1"/>
    <xf numFmtId="3" fontId="36" fillId="2" borderId="0" xfId="0" applyNumberFormat="1" applyFont="1" applyFill="1" applyBorder="1"/>
    <xf numFmtId="3" fontId="36" fillId="2" borderId="13" xfId="0" applyNumberFormat="1" applyFont="1" applyFill="1" applyBorder="1"/>
    <xf numFmtId="166" fontId="36" fillId="2" borderId="0" xfId="42" applyNumberFormat="1" applyFont="1" applyFill="1" applyBorder="1"/>
    <xf numFmtId="166" fontId="36" fillId="2" borderId="13" xfId="42" applyNumberFormat="1" applyFont="1" applyFill="1" applyBorder="1"/>
    <xf numFmtId="3" fontId="36" fillId="0" borderId="0" xfId="0" applyNumberFormat="1" applyFont="1" applyFill="1" applyBorder="1"/>
    <xf numFmtId="37" fontId="4" fillId="2" borderId="0" xfId="23" applyNumberFormat="1" applyFont="1" applyFill="1" applyBorder="1"/>
    <xf numFmtId="37" fontId="4" fillId="2" borderId="13" xfId="23" applyNumberFormat="1" applyFont="1" applyFill="1" applyBorder="1"/>
    <xf numFmtId="37" fontId="4" fillId="0" borderId="0" xfId="23" applyNumberFormat="1" applyFont="1" applyFill="1" applyBorder="1"/>
    <xf numFmtId="173" fontId="10" fillId="2" borderId="0" xfId="23" applyNumberFormat="1" applyFont="1" applyFill="1" applyBorder="1"/>
    <xf numFmtId="173" fontId="10" fillId="2" borderId="13" xfId="23" applyNumberFormat="1" applyFont="1" applyFill="1" applyBorder="1"/>
    <xf numFmtId="9" fontId="5" fillId="2" borderId="0" xfId="42" applyNumberFormat="1" applyFont="1" applyFill="1" applyBorder="1"/>
    <xf numFmtId="9" fontId="5" fillId="2" borderId="13" xfId="42" applyNumberFormat="1" applyFont="1" applyFill="1" applyBorder="1"/>
    <xf numFmtId="9" fontId="5" fillId="0" borderId="0" xfId="42" applyNumberFormat="1" applyFont="1" applyFill="1" applyBorder="1"/>
    <xf numFmtId="173" fontId="34" fillId="0" borderId="0" xfId="0" applyNumberFormat="1" applyFont="1" applyFill="1" applyBorder="1"/>
    <xf numFmtId="43" fontId="1" fillId="2" borderId="1" xfId="20" applyNumberFormat="1" applyFill="1" applyBorder="1"/>
    <xf numFmtId="173" fontId="98" fillId="2" borderId="1" xfId="20" applyNumberFormat="1" applyFont="1" applyFill="1" applyBorder="1"/>
    <xf numFmtId="4" fontId="91" fillId="0" borderId="0" xfId="0" applyNumberFormat="1" applyFont="1" applyFill="1" applyBorder="1"/>
    <xf numFmtId="8" fontId="33" fillId="0" borderId="0" xfId="20" applyNumberFormat="1" applyFont="1" applyFill="1" applyBorder="1"/>
    <xf numFmtId="8" fontId="5" fillId="0" borderId="1" xfId="0" applyNumberFormat="1" applyFont="1" applyFill="1" applyBorder="1"/>
    <xf numFmtId="7" fontId="0" fillId="0" borderId="1" xfId="0" applyNumberFormat="1" applyFill="1" applyBorder="1"/>
    <xf numFmtId="0" fontId="10" fillId="0" borderId="0" xfId="36" applyFont="1"/>
    <xf numFmtId="0" fontId="99" fillId="0" borderId="0" xfId="36" applyFont="1" applyFill="1" applyBorder="1"/>
    <xf numFmtId="0" fontId="99" fillId="2" borderId="45" xfId="36" applyFont="1" applyFill="1" applyBorder="1"/>
    <xf numFmtId="0" fontId="99" fillId="2" borderId="0" xfId="36" applyFont="1" applyFill="1" applyBorder="1"/>
    <xf numFmtId="0" fontId="99" fillId="2" borderId="13" xfId="36" applyFont="1" applyFill="1" applyBorder="1"/>
    <xf numFmtId="0" fontId="99" fillId="2" borderId="1" xfId="36" applyFont="1" applyFill="1" applyBorder="1"/>
    <xf numFmtId="4" fontId="99" fillId="0" borderId="0" xfId="36" applyNumberFormat="1" applyFont="1" applyFill="1" applyBorder="1" applyAlignment="1">
      <alignment horizontal="right"/>
    </xf>
    <xf numFmtId="4" fontId="99" fillId="0" borderId="9" xfId="36" applyNumberFormat="1" applyFont="1" applyFill="1" applyBorder="1" applyAlignment="1">
      <alignment horizontal="right"/>
    </xf>
    <xf numFmtId="4" fontId="99" fillId="2" borderId="45" xfId="36" applyNumberFormat="1" applyFont="1" applyFill="1" applyBorder="1" applyAlignment="1">
      <alignment horizontal="right"/>
    </xf>
    <xf numFmtId="4" fontId="99" fillId="2" borderId="0" xfId="36" applyNumberFormat="1" applyFont="1" applyFill="1" applyBorder="1" applyAlignment="1">
      <alignment horizontal="right"/>
    </xf>
    <xf numFmtId="4" fontId="99" fillId="2" borderId="13" xfId="36" applyNumberFormat="1" applyFont="1" applyFill="1" applyBorder="1" applyAlignment="1">
      <alignment horizontal="right"/>
    </xf>
    <xf numFmtId="4" fontId="99" fillId="2" borderId="1" xfId="36" applyNumberFormat="1" applyFont="1" applyFill="1" applyBorder="1" applyAlignment="1">
      <alignment horizontal="right"/>
    </xf>
    <xf numFmtId="0" fontId="99" fillId="0" borderId="0" xfId="36" applyFont="1" applyFill="1" applyBorder="1" applyAlignment="1">
      <alignment horizontal="center"/>
    </xf>
    <xf numFmtId="0" fontId="99" fillId="0" borderId="9" xfId="36" applyFont="1" applyFill="1" applyBorder="1"/>
    <xf numFmtId="3" fontId="99" fillId="0" borderId="0" xfId="36" applyNumberFormat="1" applyFont="1" applyFill="1" applyBorder="1" applyAlignment="1">
      <alignment horizontal="right"/>
    </xf>
    <xf numFmtId="3" fontId="99" fillId="0" borderId="9" xfId="36" applyNumberFormat="1" applyFont="1" applyBorder="1" applyAlignment="1">
      <alignment horizontal="right"/>
    </xf>
    <xf numFmtId="3" fontId="99" fillId="2" borderId="45" xfId="34" applyNumberFormat="1" applyFont="1" applyFill="1" applyBorder="1" applyAlignment="1">
      <alignment horizontal="right"/>
    </xf>
    <xf numFmtId="3" fontId="99" fillId="2" borderId="0" xfId="34" applyNumberFormat="1" applyFont="1" applyFill="1" applyBorder="1" applyAlignment="1">
      <alignment horizontal="right"/>
    </xf>
    <xf numFmtId="3" fontId="99" fillId="2" borderId="13" xfId="34" applyNumberFormat="1" applyFont="1" applyFill="1" applyBorder="1" applyAlignment="1">
      <alignment horizontal="right"/>
    </xf>
    <xf numFmtId="3" fontId="99" fillId="2" borderId="1" xfId="34" applyNumberFormat="1" applyFont="1" applyFill="1" applyBorder="1" applyAlignment="1">
      <alignment horizontal="right"/>
    </xf>
    <xf numFmtId="4" fontId="99" fillId="2" borderId="1" xfId="34" applyNumberFormat="1" applyFont="1" applyFill="1" applyBorder="1" applyAlignment="1">
      <alignment horizontal="right"/>
    </xf>
    <xf numFmtId="167" fontId="99" fillId="0" borderId="0" xfId="36" applyNumberFormat="1" applyFont="1" applyFill="1" applyBorder="1" applyAlignment="1">
      <alignment horizontal="center"/>
    </xf>
    <xf numFmtId="3" fontId="5" fillId="0" borderId="0" xfId="29" applyNumberFormat="1" applyFont="1" applyBorder="1" applyAlignment="1">
      <alignment horizontal="right"/>
    </xf>
    <xf numFmtId="3" fontId="36" fillId="2" borderId="45" xfId="34" applyNumberFormat="1" applyFont="1" applyFill="1" applyBorder="1" applyAlignment="1">
      <alignment horizontal="right"/>
    </xf>
    <xf numFmtId="3" fontId="36" fillId="2" borderId="0" xfId="34" applyNumberFormat="1" applyFont="1" applyFill="1" applyBorder="1" applyAlignment="1">
      <alignment horizontal="right"/>
    </xf>
    <xf numFmtId="3" fontId="36" fillId="2" borderId="13" xfId="34" applyNumberFormat="1" applyFont="1" applyFill="1" applyBorder="1" applyAlignment="1">
      <alignment horizontal="right"/>
    </xf>
    <xf numFmtId="3" fontId="36" fillId="2" borderId="1" xfId="34" applyNumberFormat="1" applyFont="1" applyFill="1" applyBorder="1" applyAlignment="1">
      <alignment horizontal="right"/>
    </xf>
    <xf numFmtId="0" fontId="99" fillId="0" borderId="0" xfId="29" applyFont="1" applyFill="1" applyBorder="1"/>
    <xf numFmtId="0" fontId="99" fillId="0" borderId="0" xfId="29" applyFont="1" applyFill="1"/>
    <xf numFmtId="3" fontId="55" fillId="2" borderId="45" xfId="34" applyNumberFormat="1" applyFont="1" applyFill="1" applyBorder="1" applyAlignment="1">
      <alignment horizontal="right"/>
    </xf>
    <xf numFmtId="3" fontId="55" fillId="2" borderId="0" xfId="34" applyNumberFormat="1" applyFont="1" applyFill="1" applyBorder="1" applyAlignment="1">
      <alignment horizontal="right"/>
    </xf>
    <xf numFmtId="3" fontId="5" fillId="0" borderId="0" xfId="29" applyNumberFormat="1" applyFont="1" applyFill="1" applyBorder="1" applyAlignment="1">
      <alignment horizontal="centerContinuous"/>
    </xf>
    <xf numFmtId="0" fontId="35" fillId="0" borderId="9" xfId="36" applyFont="1" applyFill="1" applyBorder="1" applyAlignment="1">
      <alignment horizontal="centerContinuous"/>
    </xf>
    <xf numFmtId="0" fontId="36" fillId="2" borderId="13" xfId="34" applyFont="1" applyFill="1" applyBorder="1" applyAlignment="1">
      <alignment horizontal="centerContinuous"/>
    </xf>
    <xf numFmtId="0" fontId="99" fillId="2" borderId="0" xfId="34" applyFont="1" applyFill="1" applyBorder="1" applyAlignment="1">
      <alignment horizontal="centerContinuous"/>
    </xf>
    <xf numFmtId="0" fontId="4" fillId="2" borderId="1" xfId="34" applyFont="1" applyFill="1" applyBorder="1" applyAlignment="1">
      <alignment horizontal="centerContinuous"/>
    </xf>
    <xf numFmtId="0" fontId="99" fillId="2" borderId="13" xfId="34" applyFont="1" applyFill="1" applyBorder="1" applyAlignment="1">
      <alignment horizontal="centerContinuous"/>
    </xf>
    <xf numFmtId="3" fontId="34" fillId="2" borderId="0" xfId="34" applyNumberFormat="1" applyFont="1" applyFill="1" applyBorder="1" applyAlignment="1">
      <alignment horizontal="right"/>
    </xf>
    <xf numFmtId="3" fontId="34" fillId="2" borderId="13" xfId="34" applyNumberFormat="1" applyFont="1" applyFill="1" applyBorder="1" applyAlignment="1">
      <alignment horizontal="right"/>
    </xf>
    <xf numFmtId="3" fontId="34" fillId="2" borderId="1" xfId="34" applyNumberFormat="1" applyFont="1" applyFill="1" applyBorder="1" applyAlignment="1">
      <alignment horizontal="right"/>
    </xf>
    <xf numFmtId="0" fontId="35" fillId="2" borderId="0" xfId="36" applyFont="1" applyFill="1" applyBorder="1" applyAlignment="1">
      <alignment horizontal="centerContinuous"/>
    </xf>
    <xf numFmtId="0" fontId="35" fillId="2" borderId="13" xfId="36" applyFont="1" applyFill="1" applyBorder="1" applyAlignment="1">
      <alignment horizontal="centerContinuous"/>
    </xf>
    <xf numFmtId="0" fontId="35" fillId="2" borderId="1" xfId="36" applyFont="1" applyFill="1" applyBorder="1" applyAlignment="1">
      <alignment horizontal="centerContinuous"/>
    </xf>
    <xf numFmtId="0" fontId="99" fillId="2" borderId="0" xfId="36" applyFont="1" applyFill="1" applyBorder="1" applyAlignment="1">
      <alignment horizontal="centerContinuous"/>
    </xf>
    <xf numFmtId="0" fontId="4" fillId="2" borderId="1" xfId="36" applyFont="1" applyFill="1" applyBorder="1" applyAlignment="1">
      <alignment horizontal="centerContinuous"/>
    </xf>
    <xf numFmtId="0" fontId="99" fillId="2" borderId="13" xfId="36" applyFont="1" applyFill="1" applyBorder="1" applyAlignment="1">
      <alignment horizontal="centerContinuous"/>
    </xf>
    <xf numFmtId="3" fontId="99" fillId="2" borderId="0" xfId="36" applyNumberFormat="1" applyFont="1" applyFill="1" applyBorder="1" applyAlignment="1">
      <alignment horizontal="right"/>
    </xf>
    <xf numFmtId="3" fontId="99" fillId="2" borderId="1" xfId="36" applyNumberFormat="1" applyFont="1" applyFill="1" applyBorder="1" applyAlignment="1">
      <alignment horizontal="right"/>
    </xf>
    <xf numFmtId="3" fontId="99" fillId="2" borderId="13" xfId="36" applyNumberFormat="1" applyFont="1" applyFill="1" applyBorder="1" applyAlignment="1">
      <alignment horizontal="right"/>
    </xf>
    <xf numFmtId="0" fontId="35" fillId="0" borderId="0" xfId="36" applyFont="1" applyFill="1" applyBorder="1" applyAlignment="1">
      <alignment horizontal="centerContinuous"/>
    </xf>
    <xf numFmtId="0" fontId="99" fillId="0" borderId="34" xfId="36" applyNumberFormat="1" applyFont="1" applyFill="1" applyBorder="1" applyAlignment="1">
      <alignment horizontal="right"/>
    </xf>
    <xf numFmtId="0" fontId="10" fillId="6" borderId="0" xfId="36" applyFont="1" applyFill="1" applyBorder="1" applyAlignment="1">
      <alignment horizontal="center"/>
    </xf>
    <xf numFmtId="0" fontId="10" fillId="6" borderId="0" xfId="36" applyFont="1" applyFill="1" applyBorder="1"/>
    <xf numFmtId="0" fontId="99" fillId="6" borderId="0" xfId="36" applyFont="1" applyFill="1" applyBorder="1"/>
    <xf numFmtId="39" fontId="99" fillId="0" borderId="0" xfId="36" applyNumberFormat="1" applyFont="1" applyFill="1" applyBorder="1" applyAlignment="1">
      <alignment horizontal="right"/>
    </xf>
    <xf numFmtId="39" fontId="99" fillId="0" borderId="34" xfId="36" applyNumberFormat="1" applyFont="1" applyFill="1" applyBorder="1" applyAlignment="1">
      <alignment horizontal="right"/>
    </xf>
    <xf numFmtId="0" fontId="5" fillId="0" borderId="0" xfId="6" applyFont="1" applyFill="1" applyBorder="1" applyAlignment="1">
      <alignment horizontal="centerContinuous"/>
    </xf>
    <xf numFmtId="2" fontId="99" fillId="2" borderId="0" xfId="36" applyNumberFormat="1" applyFont="1" applyFill="1" applyBorder="1" applyAlignment="1">
      <alignment horizontal="right"/>
    </xf>
    <xf numFmtId="2" fontId="99" fillId="2" borderId="1" xfId="36" applyNumberFormat="1" applyFont="1" applyFill="1" applyBorder="1" applyAlignment="1">
      <alignment horizontal="right"/>
    </xf>
    <xf numFmtId="2" fontId="99" fillId="2" borderId="13" xfId="36" applyNumberFormat="1" applyFont="1" applyFill="1" applyBorder="1" applyAlignment="1">
      <alignment horizontal="right"/>
    </xf>
    <xf numFmtId="4" fontId="35" fillId="0" borderId="0" xfId="36" applyNumberFormat="1" applyFont="1" applyFill="1" applyBorder="1" applyAlignment="1">
      <alignment horizontal="right"/>
    </xf>
    <xf numFmtId="4" fontId="55" fillId="2" borderId="0" xfId="36" applyNumberFormat="1" applyFont="1" applyFill="1" applyBorder="1" applyAlignment="1">
      <alignment horizontal="right"/>
    </xf>
    <xf numFmtId="4" fontId="55" fillId="2" borderId="1" xfId="36" applyNumberFormat="1" applyFont="1" applyFill="1" applyBorder="1" applyAlignment="1">
      <alignment horizontal="right"/>
    </xf>
    <xf numFmtId="4" fontId="55" fillId="2" borderId="13" xfId="36" applyNumberFormat="1" applyFont="1" applyFill="1" applyBorder="1" applyAlignment="1">
      <alignment horizontal="right"/>
    </xf>
    <xf numFmtId="0" fontId="10" fillId="0" borderId="0" xfId="36" applyFont="1" applyFill="1" applyBorder="1" applyAlignment="1">
      <alignment horizontal="centerContinuous"/>
    </xf>
    <xf numFmtId="0" fontId="10" fillId="2" borderId="43" xfId="36" applyFont="1" applyFill="1" applyBorder="1" applyAlignment="1">
      <alignment horizontal="centerContinuous"/>
    </xf>
    <xf numFmtId="0" fontId="10" fillId="2" borderId="42" xfId="36" applyFont="1" applyFill="1" applyBorder="1" applyAlignment="1">
      <alignment horizontal="centerContinuous"/>
    </xf>
    <xf numFmtId="0" fontId="99" fillId="0" borderId="0" xfId="36" applyFont="1" applyFill="1" applyBorder="1" applyAlignment="1">
      <alignment horizontal="left"/>
    </xf>
    <xf numFmtId="0" fontId="99" fillId="0" borderId="0" xfId="36" applyFont="1" applyFill="1"/>
    <xf numFmtId="3" fontId="99" fillId="0" borderId="0" xfId="36" applyNumberFormat="1" applyFont="1" applyBorder="1" applyAlignment="1">
      <alignment horizontal="right"/>
    </xf>
    <xf numFmtId="0" fontId="99" fillId="0" borderId="0" xfId="36" applyFont="1" applyFill="1" applyAlignment="1">
      <alignment horizontal="left"/>
    </xf>
    <xf numFmtId="3" fontId="55" fillId="2" borderId="13" xfId="36" applyNumberFormat="1" applyFont="1" applyFill="1" applyBorder="1" applyAlignment="1">
      <alignment horizontal="right"/>
    </xf>
    <xf numFmtId="3" fontId="55" fillId="2" borderId="0" xfId="36" applyNumberFormat="1" applyFont="1" applyFill="1" applyBorder="1" applyAlignment="1">
      <alignment horizontal="right"/>
    </xf>
    <xf numFmtId="0" fontId="10" fillId="6" borderId="0" xfId="36" applyFont="1" applyFill="1" applyBorder="1" applyAlignment="1">
      <alignment horizontal="left"/>
    </xf>
    <xf numFmtId="0" fontId="99" fillId="6" borderId="0" xfId="36" applyFont="1" applyFill="1" applyAlignment="1">
      <alignment horizontal="left"/>
    </xf>
    <xf numFmtId="0" fontId="99" fillId="0" borderId="0" xfId="34" applyFont="1" applyFill="1"/>
    <xf numFmtId="7" fontId="36" fillId="0" borderId="0" xfId="36" applyNumberFormat="1" applyFont="1"/>
    <xf numFmtId="173" fontId="5" fillId="0" borderId="0" xfId="24" applyNumberFormat="1" applyFont="1" applyBorder="1"/>
    <xf numFmtId="8" fontId="36" fillId="0" borderId="10" xfId="29" applyNumberFormat="1" applyFont="1" applyFill="1" applyBorder="1"/>
    <xf numFmtId="6" fontId="5" fillId="0" borderId="4" xfId="27" applyNumberFormat="1" applyFont="1" applyBorder="1"/>
    <xf numFmtId="0" fontId="66" fillId="0" borderId="0" xfId="36" applyFont="1"/>
    <xf numFmtId="0" fontId="10" fillId="2" borderId="0" xfId="36" applyFont="1" applyFill="1" applyBorder="1" applyAlignment="1">
      <alignment horizontal="centerContinuous"/>
    </xf>
    <xf numFmtId="0" fontId="10" fillId="2" borderId="13" xfId="36" applyFont="1" applyFill="1" applyBorder="1" applyAlignment="1">
      <alignment horizontal="centerContinuous"/>
    </xf>
    <xf numFmtId="0" fontId="10" fillId="0" borderId="0" xfId="36" applyFont="1" applyAlignment="1"/>
    <xf numFmtId="0" fontId="10" fillId="0" borderId="0" xfId="36" applyFont="1" applyBorder="1" applyAlignment="1"/>
    <xf numFmtId="165" fontId="8" fillId="6" borderId="0" xfId="36" applyNumberFormat="1" applyFont="1" applyFill="1"/>
    <xf numFmtId="165" fontId="8" fillId="6" borderId="0" xfId="29" applyNumberFormat="1" applyFont="1" applyFill="1"/>
    <xf numFmtId="165" fontId="52" fillId="6" borderId="0" xfId="35" applyNumberFormat="1" applyFont="1" applyFill="1"/>
    <xf numFmtId="165" fontId="14" fillId="6" borderId="0" xfId="36" applyNumberFormat="1" applyFont="1" applyFill="1"/>
    <xf numFmtId="165" fontId="14" fillId="6" borderId="0" xfId="36" applyNumberFormat="1" applyFont="1" applyFill="1" applyAlignment="1">
      <alignment horizontal="right"/>
    </xf>
    <xf numFmtId="165" fontId="14" fillId="6" borderId="0" xfId="36" applyNumberFormat="1" applyFont="1" applyFill="1" applyAlignment="1">
      <alignment horizontal="center"/>
    </xf>
    <xf numFmtId="165" fontId="6" fillId="6" borderId="0" xfId="33" applyNumberFormat="1" applyFont="1" applyFill="1"/>
    <xf numFmtId="165" fontId="52" fillId="6" borderId="0" xfId="33" applyNumberFormat="1" applyFont="1" applyFill="1"/>
    <xf numFmtId="165" fontId="6" fillId="6" borderId="0" xfId="36" applyNumberFormat="1" applyFont="1" applyFill="1" applyBorder="1"/>
    <xf numFmtId="165" fontId="13" fillId="6" borderId="0" xfId="36" applyNumberFormat="1" applyFont="1" applyFill="1"/>
    <xf numFmtId="165" fontId="13" fillId="6" borderId="0" xfId="36" applyNumberFormat="1" applyFont="1" applyFill="1" applyAlignment="1">
      <alignment horizontal="right"/>
    </xf>
    <xf numFmtId="165" fontId="13" fillId="6" borderId="0" xfId="36" applyNumberFormat="1" applyFont="1" applyFill="1" applyAlignment="1">
      <alignment horizontal="center"/>
    </xf>
    <xf numFmtId="165" fontId="13" fillId="6" borderId="0" xfId="33" applyNumberFormat="1" applyFont="1" applyFill="1"/>
    <xf numFmtId="165" fontId="7" fillId="6" borderId="0" xfId="33" applyNumberFormat="1" applyFont="1" applyFill="1"/>
    <xf numFmtId="7" fontId="4" fillId="0" borderId="17" xfId="0" applyNumberFormat="1" applyFont="1" applyFill="1" applyBorder="1"/>
    <xf numFmtId="9" fontId="37" fillId="0" borderId="6" xfId="5" applyNumberFormat="1" applyFont="1" applyFill="1" applyBorder="1"/>
    <xf numFmtId="0" fontId="64" fillId="0" borderId="0" xfId="6" applyFont="1" applyAlignment="1">
      <alignment horizontal="right"/>
    </xf>
    <xf numFmtId="0" fontId="100" fillId="0" borderId="0" xfId="0" applyFont="1"/>
    <xf numFmtId="4" fontId="0" fillId="2" borderId="1" xfId="0" applyNumberFormat="1" applyFill="1" applyBorder="1"/>
    <xf numFmtId="4" fontId="0" fillId="2" borderId="0" xfId="0" applyNumberFormat="1" applyFill="1" applyBorder="1"/>
    <xf numFmtId="4" fontId="0" fillId="2" borderId="13" xfId="0" applyNumberFormat="1" applyFill="1" applyBorder="1"/>
    <xf numFmtId="38" fontId="5" fillId="0" borderId="2" xfId="0" applyNumberFormat="1" applyFont="1" applyFill="1" applyBorder="1" applyAlignment="1">
      <alignment horizontal="right"/>
    </xf>
    <xf numFmtId="165" fontId="7" fillId="6" borderId="0" xfId="5" applyNumberFormat="1" applyFont="1" applyFill="1"/>
    <xf numFmtId="165" fontId="13" fillId="6" borderId="0" xfId="5" applyNumberFormat="1" applyFont="1" applyFill="1"/>
    <xf numFmtId="165" fontId="14" fillId="6" borderId="0" xfId="5" applyNumberFormat="1" applyFont="1" applyFill="1"/>
    <xf numFmtId="165" fontId="14" fillId="6" borderId="0" xfId="5" applyNumberFormat="1" applyFont="1" applyFill="1" applyBorder="1"/>
    <xf numFmtId="0" fontId="12" fillId="0" borderId="0" xfId="5" applyFont="1"/>
    <xf numFmtId="0" fontId="1" fillId="0" borderId="0" xfId="39"/>
    <xf numFmtId="165" fontId="6" fillId="6" borderId="0" xfId="5" applyNumberFormat="1" applyFont="1" applyFill="1"/>
    <xf numFmtId="165" fontId="52" fillId="6" borderId="0" xfId="5" applyNumberFormat="1" applyFont="1" applyFill="1"/>
    <xf numFmtId="165" fontId="8" fillId="6" borderId="0" xfId="5" applyNumberFormat="1" applyFont="1" applyFill="1"/>
    <xf numFmtId="165" fontId="15" fillId="6" borderId="0" xfId="5" applyNumberFormat="1" applyFont="1" applyFill="1"/>
    <xf numFmtId="165" fontId="69" fillId="6" borderId="0" xfId="5" applyNumberFormat="1" applyFont="1" applyFill="1"/>
    <xf numFmtId="165" fontId="10" fillId="6" borderId="0" xfId="5" applyNumberFormat="1" applyFont="1" applyFill="1"/>
    <xf numFmtId="0" fontId="70" fillId="0" borderId="0" xfId="5" applyFont="1"/>
    <xf numFmtId="164" fontId="8" fillId="0" borderId="24" xfId="5" applyNumberFormat="1" applyFont="1" applyFill="1" applyBorder="1"/>
    <xf numFmtId="164" fontId="3" fillId="0" borderId="24" xfId="5" applyNumberFormat="1" applyFont="1" applyFill="1" applyBorder="1"/>
    <xf numFmtId="164" fontId="27" fillId="0" borderId="24" xfId="5" applyNumberFormat="1" applyFont="1" applyFill="1" applyBorder="1" applyAlignment="1">
      <alignment horizontal="right"/>
    </xf>
    <xf numFmtId="164" fontId="8" fillId="2" borderId="5" xfId="5" applyNumberFormat="1" applyFont="1" applyFill="1" applyBorder="1" applyAlignment="1">
      <alignment horizontal="right"/>
    </xf>
    <xf numFmtId="164" fontId="8" fillId="2" borderId="10" xfId="5" applyNumberFormat="1" applyFont="1" applyFill="1" applyBorder="1" applyAlignment="1">
      <alignment horizontal="right"/>
    </xf>
    <xf numFmtId="164" fontId="8" fillId="2" borderId="25" xfId="5" applyNumberFormat="1" applyFont="1" applyFill="1" applyBorder="1" applyAlignment="1">
      <alignment horizontal="right"/>
    </xf>
    <xf numFmtId="180" fontId="8" fillId="0" borderId="24" xfId="5" applyNumberFormat="1" applyFont="1" applyFill="1" applyBorder="1" applyAlignment="1">
      <alignment horizontal="right"/>
    </xf>
    <xf numFmtId="176" fontId="8" fillId="0" borderId="24" xfId="5" applyNumberFormat="1" applyFont="1" applyFill="1" applyBorder="1" applyAlignment="1">
      <alignment horizontal="right"/>
    </xf>
    <xf numFmtId="164" fontId="1" fillId="0" borderId="24" xfId="5" applyNumberFormat="1" applyFont="1" applyFill="1" applyBorder="1"/>
    <xf numFmtId="0" fontId="1" fillId="0" borderId="0" xfId="5" applyFont="1" applyBorder="1"/>
    <xf numFmtId="0" fontId="3" fillId="6" borderId="0" xfId="5" applyFont="1" applyFill="1" applyBorder="1"/>
    <xf numFmtId="0" fontId="16" fillId="6" borderId="0" xfId="5" applyFont="1" applyFill="1" applyBorder="1"/>
    <xf numFmtId="0" fontId="1" fillId="6" borderId="0" xfId="5" applyFont="1" applyFill="1" applyBorder="1"/>
    <xf numFmtId="173" fontId="34" fillId="2" borderId="13" xfId="20" applyNumberFormat="1" applyFont="1" applyFill="1" applyBorder="1"/>
    <xf numFmtId="0" fontId="34" fillId="0" borderId="0" xfId="5" applyFont="1"/>
    <xf numFmtId="0" fontId="5" fillId="0" borderId="0" xfId="39" applyFont="1"/>
    <xf numFmtId="7" fontId="5" fillId="2" borderId="1" xfId="5" applyNumberFormat="1" applyFont="1" applyFill="1" applyBorder="1"/>
    <xf numFmtId="7" fontId="5" fillId="2" borderId="0" xfId="5" applyNumberFormat="1" applyFont="1" applyFill="1" applyBorder="1"/>
    <xf numFmtId="7" fontId="5" fillId="2" borderId="13" xfId="5" applyNumberFormat="1" applyFont="1" applyFill="1" applyBorder="1"/>
    <xf numFmtId="7" fontId="5" fillId="0" borderId="0" xfId="5" applyNumberFormat="1" applyFont="1" applyFill="1" applyBorder="1"/>
    <xf numFmtId="0" fontId="4" fillId="0" borderId="16" xfId="5" applyFont="1" applyFill="1" applyBorder="1"/>
    <xf numFmtId="0" fontId="5" fillId="0" borderId="4" xfId="5" applyFont="1" applyFill="1" applyBorder="1"/>
    <xf numFmtId="7" fontId="4" fillId="2" borderId="4" xfId="5" applyNumberFormat="1" applyFont="1" applyFill="1" applyBorder="1"/>
    <xf numFmtId="7" fontId="4" fillId="2" borderId="17" xfId="5" applyNumberFormat="1" applyFont="1" applyFill="1" applyBorder="1"/>
    <xf numFmtId="7" fontId="4" fillId="0" borderId="4" xfId="5" applyNumberFormat="1" applyFont="1" applyFill="1" applyBorder="1"/>
    <xf numFmtId="7" fontId="4" fillId="2" borderId="16" xfId="5" applyNumberFormat="1" applyFont="1" applyFill="1" applyBorder="1"/>
    <xf numFmtId="7" fontId="4" fillId="0" borderId="17" xfId="5" applyNumberFormat="1" applyFont="1" applyFill="1" applyBorder="1"/>
    <xf numFmtId="0" fontId="5" fillId="0" borderId="0" xfId="5" applyFont="1" applyFill="1"/>
    <xf numFmtId="0" fontId="20" fillId="0" borderId="0" xfId="5" applyFont="1" applyFill="1" applyBorder="1"/>
    <xf numFmtId="166" fontId="5" fillId="2" borderId="1" xfId="5" applyNumberFormat="1" applyFont="1" applyFill="1" applyBorder="1"/>
    <xf numFmtId="166" fontId="5" fillId="2" borderId="13" xfId="5" applyNumberFormat="1" applyFont="1" applyFill="1" applyBorder="1"/>
    <xf numFmtId="166" fontId="28" fillId="0" borderId="0" xfId="5" applyNumberFormat="1" applyFont="1" applyBorder="1"/>
    <xf numFmtId="9" fontId="28" fillId="0" borderId="0" xfId="5" applyNumberFormat="1" applyFont="1" applyBorder="1"/>
    <xf numFmtId="0" fontId="5" fillId="0" borderId="0" xfId="5" applyFont="1"/>
    <xf numFmtId="0" fontId="5" fillId="0" borderId="5" xfId="5" applyFont="1" applyFill="1" applyBorder="1"/>
    <xf numFmtId="0" fontId="1" fillId="0" borderId="10" xfId="5" applyFont="1" applyFill="1" applyBorder="1"/>
    <xf numFmtId="166" fontId="5" fillId="2" borderId="5" xfId="5" applyNumberFormat="1" applyFont="1" applyFill="1" applyBorder="1"/>
    <xf numFmtId="166" fontId="5" fillId="2" borderId="10" xfId="5" applyNumberFormat="1" applyFont="1" applyFill="1" applyBorder="1"/>
    <xf numFmtId="166" fontId="5" fillId="2" borderId="25" xfId="5" applyNumberFormat="1" applyFont="1" applyFill="1" applyBorder="1"/>
    <xf numFmtId="166" fontId="5" fillId="0" borderId="10" xfId="5" applyNumberFormat="1" applyFont="1" applyFill="1" applyBorder="1"/>
    <xf numFmtId="166" fontId="36" fillId="0" borderId="10" xfId="5" applyNumberFormat="1" applyFont="1" applyFill="1" applyBorder="1"/>
    <xf numFmtId="0" fontId="5" fillId="0" borderId="1" xfId="5" applyFont="1" applyFill="1" applyBorder="1"/>
    <xf numFmtId="166" fontId="5" fillId="0" borderId="0" xfId="5" applyNumberFormat="1" applyFont="1" applyFill="1" applyBorder="1"/>
    <xf numFmtId="166" fontId="36" fillId="0" borderId="0" xfId="5" applyNumberFormat="1" applyFont="1" applyFill="1" applyBorder="1"/>
    <xf numFmtId="166" fontId="36" fillId="0" borderId="13" xfId="5" applyNumberFormat="1" applyFont="1" applyFill="1" applyBorder="1"/>
    <xf numFmtId="174" fontId="5" fillId="0" borderId="0" xfId="5" applyNumberFormat="1" applyFont="1" applyFill="1" applyBorder="1"/>
    <xf numFmtId="174" fontId="5" fillId="2" borderId="1" xfId="5" applyNumberFormat="1" applyFont="1" applyFill="1" applyBorder="1"/>
    <xf numFmtId="174" fontId="5" fillId="2" borderId="0" xfId="5" applyNumberFormat="1" applyFont="1" applyFill="1" applyBorder="1"/>
    <xf numFmtId="174" fontId="5" fillId="2" borderId="13" xfId="5" applyNumberFormat="1" applyFont="1" applyFill="1" applyBorder="1"/>
    <xf numFmtId="174" fontId="36" fillId="0" borderId="0" xfId="20" applyNumberFormat="1" applyFont="1" applyFill="1" applyBorder="1"/>
    <xf numFmtId="174" fontId="36" fillId="2" borderId="1" xfId="20" applyNumberFormat="1" applyFont="1" applyFill="1" applyBorder="1"/>
    <xf numFmtId="174" fontId="36" fillId="2" borderId="0" xfId="20" applyNumberFormat="1" applyFont="1" applyFill="1" applyBorder="1"/>
    <xf numFmtId="166" fontId="35" fillId="0" borderId="6" xfId="5" applyNumberFormat="1" applyFont="1" applyFill="1" applyBorder="1" applyAlignment="1">
      <alignment horizontal="center"/>
    </xf>
    <xf numFmtId="4" fontId="4" fillId="0" borderId="13" xfId="5" applyNumberFormat="1" applyFont="1" applyFill="1" applyBorder="1"/>
    <xf numFmtId="166" fontId="5" fillId="0" borderId="13" xfId="5" applyNumberFormat="1" applyFont="1" applyFill="1" applyBorder="1"/>
    <xf numFmtId="0" fontId="1" fillId="0" borderId="2" xfId="5" applyFont="1" applyFill="1" applyBorder="1"/>
    <xf numFmtId="166" fontId="5" fillId="2" borderId="14" xfId="5" applyNumberFormat="1" applyFont="1" applyFill="1" applyBorder="1"/>
    <xf numFmtId="166" fontId="5" fillId="2" borderId="2" xfId="5" applyNumberFormat="1" applyFont="1" applyFill="1" applyBorder="1"/>
    <xf numFmtId="166" fontId="5" fillId="2" borderId="21" xfId="5" applyNumberFormat="1" applyFont="1" applyFill="1" applyBorder="1"/>
    <xf numFmtId="166" fontId="5" fillId="0" borderId="2" xfId="5" applyNumberFormat="1" applyFont="1" applyFill="1" applyBorder="1"/>
    <xf numFmtId="166" fontId="5" fillId="0" borderId="21" xfId="5" applyNumberFormat="1" applyFont="1" applyFill="1" applyBorder="1"/>
    <xf numFmtId="173" fontId="34" fillId="2" borderId="1" xfId="5" applyNumberFormat="1" applyFont="1" applyFill="1" applyBorder="1"/>
    <xf numFmtId="173" fontId="34" fillId="2" borderId="0" xfId="5" applyNumberFormat="1" applyFont="1" applyFill="1" applyBorder="1"/>
    <xf numFmtId="173" fontId="5" fillId="2" borderId="13" xfId="5" applyNumberFormat="1" applyFont="1" applyFill="1" applyBorder="1"/>
    <xf numFmtId="173" fontId="34" fillId="0" borderId="0" xfId="5" applyNumberFormat="1" applyFont="1" applyBorder="1"/>
    <xf numFmtId="9" fontId="5" fillId="0" borderId="0" xfId="21" applyNumberFormat="1" applyFont="1"/>
    <xf numFmtId="173" fontId="5" fillId="0" borderId="0" xfId="5" applyNumberFormat="1" applyFont="1" applyBorder="1"/>
    <xf numFmtId="173" fontId="5" fillId="2" borderId="1" xfId="5" applyNumberFormat="1" applyFont="1" applyFill="1" applyBorder="1"/>
    <xf numFmtId="173" fontId="5" fillId="2" borderId="0" xfId="5" applyNumberFormat="1" applyFont="1" applyFill="1" applyBorder="1"/>
    <xf numFmtId="182" fontId="4" fillId="2" borderId="1" xfId="5" applyNumberFormat="1" applyFont="1" applyFill="1" applyBorder="1"/>
    <xf numFmtId="182" fontId="4" fillId="2" borderId="0" xfId="5" applyNumberFormat="1" applyFont="1" applyFill="1" applyBorder="1"/>
    <xf numFmtId="182" fontId="4" fillId="2" borderId="13" xfId="5" applyNumberFormat="1" applyFont="1" applyFill="1" applyBorder="1"/>
    <xf numFmtId="182" fontId="4" fillId="0" borderId="0" xfId="5" applyNumberFormat="1" applyFont="1" applyFill="1" applyBorder="1"/>
    <xf numFmtId="173" fontId="4" fillId="2" borderId="1" xfId="5" applyNumberFormat="1" applyFont="1" applyFill="1" applyBorder="1"/>
    <xf numFmtId="173" fontId="4" fillId="2" borderId="0" xfId="5" applyNumberFormat="1" applyFont="1" applyFill="1" applyBorder="1"/>
    <xf numFmtId="173" fontId="4" fillId="2" borderId="13" xfId="5" applyNumberFormat="1" applyFont="1" applyFill="1" applyBorder="1"/>
    <xf numFmtId="173" fontId="4" fillId="0" borderId="0" xfId="5" applyNumberFormat="1" applyFont="1" applyFill="1" applyBorder="1"/>
    <xf numFmtId="166" fontId="20" fillId="2" borderId="1" xfId="5" applyNumberFormat="1" applyFont="1" applyFill="1" applyBorder="1"/>
    <xf numFmtId="166" fontId="20" fillId="2" borderId="0" xfId="5" applyNumberFormat="1" applyFont="1" applyFill="1" applyBorder="1"/>
    <xf numFmtId="166" fontId="20" fillId="2" borderId="13" xfId="5" applyNumberFormat="1" applyFont="1" applyFill="1" applyBorder="1"/>
    <xf numFmtId="166" fontId="20" fillId="0" borderId="0" xfId="5" applyNumberFormat="1" applyFont="1" applyFill="1" applyBorder="1"/>
    <xf numFmtId="182" fontId="5" fillId="2" borderId="1" xfId="25" applyNumberFormat="1" applyFont="1" applyFill="1" applyBorder="1"/>
    <xf numFmtId="182" fontId="5" fillId="2" borderId="0" xfId="25" applyNumberFormat="1" applyFont="1" applyFill="1" applyBorder="1"/>
    <xf numFmtId="182" fontId="5" fillId="2" borderId="13" xfId="25" applyNumberFormat="1" applyFont="1" applyFill="1" applyBorder="1"/>
    <xf numFmtId="182" fontId="5" fillId="0" borderId="0" xfId="25" applyNumberFormat="1" applyFont="1" applyFill="1" applyBorder="1"/>
    <xf numFmtId="174" fontId="4" fillId="0" borderId="0" xfId="5" applyNumberFormat="1" applyFont="1" applyFill="1" applyBorder="1"/>
    <xf numFmtId="174" fontId="20" fillId="0" borderId="0" xfId="5" applyNumberFormat="1" applyFont="1" applyFill="1" applyBorder="1"/>
    <xf numFmtId="9" fontId="20" fillId="2" borderId="1" xfId="5" applyNumberFormat="1" applyFont="1" applyFill="1" applyBorder="1"/>
    <xf numFmtId="9" fontId="20" fillId="2" borderId="0" xfId="5" applyNumberFormat="1" applyFont="1" applyFill="1" applyBorder="1"/>
    <xf numFmtId="9" fontId="20" fillId="2" borderId="13" xfId="5" applyNumberFormat="1" applyFont="1" applyFill="1" applyBorder="1"/>
    <xf numFmtId="9" fontId="20" fillId="0" borderId="0" xfId="5" applyNumberFormat="1" applyFont="1" applyFill="1" applyBorder="1"/>
    <xf numFmtId="0" fontId="5" fillId="0" borderId="0" xfId="5" applyFont="1" applyFill="1" applyBorder="1" applyAlignment="1">
      <alignment wrapText="1"/>
    </xf>
    <xf numFmtId="174" fontId="5" fillId="0" borderId="0" xfId="39" applyNumberFormat="1" applyFont="1"/>
    <xf numFmtId="9" fontId="5" fillId="2" borderId="1" xfId="39" applyNumberFormat="1" applyFont="1" applyFill="1" applyBorder="1"/>
    <xf numFmtId="9" fontId="5" fillId="2" borderId="0" xfId="39" applyNumberFormat="1" applyFont="1" applyFill="1"/>
    <xf numFmtId="9" fontId="5" fillId="2" borderId="13" xfId="39" applyNumberFormat="1" applyFont="1" applyFill="1" applyBorder="1"/>
    <xf numFmtId="9" fontId="5" fillId="0" borderId="0" xfId="39" applyNumberFormat="1" applyFont="1"/>
    <xf numFmtId="166" fontId="28" fillId="2" borderId="0" xfId="5" applyNumberFormat="1" applyFont="1" applyFill="1" applyBorder="1"/>
    <xf numFmtId="166" fontId="28" fillId="2" borderId="13" xfId="5" applyNumberFormat="1" applyFont="1" applyFill="1" applyBorder="1"/>
    <xf numFmtId="174" fontId="36" fillId="0" borderId="0" xfId="5" applyNumberFormat="1" applyFont="1" applyFill="1" applyBorder="1"/>
    <xf numFmtId="174" fontId="3" fillId="6" borderId="0" xfId="5" applyNumberFormat="1" applyFont="1" applyFill="1" applyBorder="1"/>
    <xf numFmtId="174" fontId="16" fillId="6" borderId="0" xfId="5" applyNumberFormat="1" applyFont="1" applyFill="1" applyBorder="1"/>
    <xf numFmtId="174" fontId="1" fillId="6" borderId="0" xfId="5" applyNumberFormat="1" applyFont="1" applyFill="1" applyBorder="1"/>
    <xf numFmtId="174" fontId="55" fillId="0" borderId="0" xfId="20" applyNumberFormat="1" applyFont="1" applyFill="1" applyBorder="1"/>
    <xf numFmtId="0" fontId="8" fillId="0" borderId="0" xfId="5" applyFont="1" applyFill="1" applyBorder="1"/>
    <xf numFmtId="174" fontId="8" fillId="2" borderId="0" xfId="5" applyNumberFormat="1" applyFont="1" applyFill="1" applyBorder="1" applyAlignment="1">
      <alignment horizontal="right"/>
    </xf>
    <xf numFmtId="37" fontId="1" fillId="0" borderId="0" xfId="5" applyNumberFormat="1" applyFont="1" applyFill="1" applyBorder="1" applyAlignment="1">
      <alignment horizontal="left"/>
    </xf>
    <xf numFmtId="173" fontId="34" fillId="0" borderId="0" xfId="5" applyNumberFormat="1" applyFont="1"/>
    <xf numFmtId="168" fontId="5" fillId="2" borderId="1" xfId="5" applyNumberFormat="1" applyFont="1" applyFill="1" applyBorder="1"/>
    <xf numFmtId="168" fontId="5" fillId="2" borderId="0" xfId="5" applyNumberFormat="1" applyFont="1" applyFill="1" applyBorder="1"/>
    <xf numFmtId="168" fontId="5" fillId="2" borderId="13" xfId="5" applyNumberFormat="1" applyFont="1" applyFill="1" applyBorder="1"/>
    <xf numFmtId="168" fontId="5" fillId="0" borderId="0" xfId="5" applyNumberFormat="1" applyFont="1" applyFill="1" applyBorder="1"/>
    <xf numFmtId="166" fontId="36" fillId="2" borderId="1" xfId="5" applyNumberFormat="1" applyFont="1" applyFill="1" applyBorder="1"/>
    <xf numFmtId="166" fontId="36" fillId="2" borderId="0" xfId="5" applyNumberFormat="1" applyFont="1" applyFill="1" applyBorder="1"/>
    <xf numFmtId="166" fontId="36" fillId="2" borderId="13" xfId="5" applyNumberFormat="1" applyFont="1" applyFill="1" applyBorder="1"/>
    <xf numFmtId="166" fontId="28" fillId="2" borderId="1" xfId="5" applyNumberFormat="1" applyFont="1" applyFill="1" applyBorder="1"/>
    <xf numFmtId="166" fontId="28" fillId="0" borderId="0" xfId="5" applyNumberFormat="1" applyFont="1" applyFill="1" applyBorder="1"/>
    <xf numFmtId="166" fontId="28" fillId="2" borderId="14" xfId="5" applyNumberFormat="1" applyFont="1" applyFill="1" applyBorder="1"/>
    <xf numFmtId="166" fontId="28" fillId="2" borderId="2" xfId="5" applyNumberFormat="1" applyFont="1" applyFill="1" applyBorder="1"/>
    <xf numFmtId="166" fontId="28" fillId="2" borderId="21" xfId="5" applyNumberFormat="1" applyFont="1" applyFill="1" applyBorder="1"/>
    <xf numFmtId="43" fontId="1" fillId="0" borderId="0" xfId="39" applyNumberFormat="1"/>
    <xf numFmtId="0" fontId="4" fillId="0" borderId="0" xfId="5" applyFont="1" applyFill="1"/>
    <xf numFmtId="173" fontId="4" fillId="0" borderId="0" xfId="5" applyNumberFormat="1" applyFont="1" applyBorder="1"/>
    <xf numFmtId="8" fontId="1" fillId="0" borderId="0" xfId="5" applyNumberFormat="1" applyFont="1" applyFill="1" applyBorder="1"/>
    <xf numFmtId="8" fontId="4" fillId="2" borderId="1" xfId="5" applyNumberFormat="1" applyFont="1" applyFill="1" applyBorder="1"/>
    <xf numFmtId="8" fontId="4" fillId="2" borderId="0" xfId="5" applyNumberFormat="1" applyFont="1" applyFill="1" applyBorder="1"/>
    <xf numFmtId="8" fontId="4" fillId="2" borderId="13" xfId="5" applyNumberFormat="1" applyFont="1" applyFill="1" applyBorder="1"/>
    <xf numFmtId="8" fontId="4" fillId="0" borderId="0" xfId="5" applyNumberFormat="1" applyFont="1" applyFill="1" applyBorder="1"/>
    <xf numFmtId="174" fontId="5" fillId="2" borderId="14" xfId="5" applyNumberFormat="1" applyFont="1" applyFill="1" applyBorder="1"/>
    <xf numFmtId="174" fontId="5" fillId="2" borderId="2" xfId="5" applyNumberFormat="1" applyFont="1" applyFill="1" applyBorder="1"/>
    <xf numFmtId="174" fontId="5" fillId="2" borderId="21" xfId="5" applyNumberFormat="1" applyFont="1" applyFill="1" applyBorder="1"/>
    <xf numFmtId="9" fontId="1" fillId="0" borderId="0" xfId="5" applyNumberFormat="1" applyFont="1"/>
    <xf numFmtId="0" fontId="4" fillId="0" borderId="0" xfId="5" applyFont="1"/>
    <xf numFmtId="10" fontId="1" fillId="0" borderId="0" xfId="5" applyNumberFormat="1" applyFont="1"/>
    <xf numFmtId="17" fontId="1" fillId="0" borderId="0" xfId="5" applyNumberFormat="1" applyFont="1"/>
    <xf numFmtId="8" fontId="1" fillId="0" borderId="0" xfId="5" applyNumberFormat="1" applyFont="1"/>
    <xf numFmtId="0" fontId="4" fillId="0" borderId="4" xfId="5" applyFont="1" applyFill="1" applyBorder="1"/>
    <xf numFmtId="0" fontId="4" fillId="0" borderId="14" xfId="5" applyFont="1" applyFill="1" applyBorder="1"/>
    <xf numFmtId="4" fontId="4" fillId="2" borderId="14" xfId="5" applyNumberFormat="1" applyFont="1" applyFill="1" applyBorder="1"/>
    <xf numFmtId="4" fontId="4" fillId="2" borderId="2" xfId="5" applyNumberFormat="1" applyFont="1" applyFill="1" applyBorder="1"/>
    <xf numFmtId="4" fontId="4" fillId="2" borderId="21" xfId="5" applyNumberFormat="1" applyFont="1" applyFill="1" applyBorder="1"/>
    <xf numFmtId="4" fontId="4" fillId="0" borderId="2" xfId="5" applyNumberFormat="1" applyFont="1" applyFill="1" applyBorder="1"/>
    <xf numFmtId="9" fontId="4" fillId="2" borderId="1" xfId="5" applyNumberFormat="1" applyFont="1" applyFill="1" applyBorder="1"/>
    <xf numFmtId="43" fontId="5" fillId="2" borderId="1" xfId="20" applyNumberFormat="1" applyFont="1" applyFill="1" applyBorder="1"/>
    <xf numFmtId="43" fontId="5" fillId="2" borderId="0" xfId="20" applyNumberFormat="1" applyFont="1" applyFill="1" applyBorder="1"/>
    <xf numFmtId="43" fontId="5" fillId="2" borderId="13" xfId="20" applyNumberFormat="1" applyFont="1" applyFill="1" applyBorder="1"/>
    <xf numFmtId="0" fontId="0" fillId="0" borderId="0" xfId="5" applyFont="1" applyFill="1"/>
    <xf numFmtId="0" fontId="16" fillId="6" borderId="0" xfId="5" applyFont="1" applyFill="1"/>
    <xf numFmtId="0" fontId="0" fillId="6" borderId="0" xfId="5" applyFont="1" applyFill="1" applyBorder="1"/>
    <xf numFmtId="38" fontId="5" fillId="0" borderId="1" xfId="5" applyNumberFormat="1" applyFont="1" applyFill="1" applyBorder="1" applyAlignment="1">
      <alignment horizontal="center"/>
    </xf>
    <xf numFmtId="38" fontId="5" fillId="0" borderId="0" xfId="5" applyNumberFormat="1" applyFont="1" applyFill="1" applyBorder="1" applyAlignment="1">
      <alignment horizontal="center"/>
    </xf>
    <xf numFmtId="38" fontId="22" fillId="0" borderId="0" xfId="22" applyNumberFormat="1" applyFont="1" applyFill="1" applyBorder="1" applyAlignment="1">
      <alignment horizontal="center"/>
    </xf>
    <xf numFmtId="172" fontId="22" fillId="0" borderId="0" xfId="22" applyNumberFormat="1" applyFont="1" applyFill="1" applyBorder="1" applyAlignment="1">
      <alignment horizontal="center"/>
    </xf>
    <xf numFmtId="0" fontId="4" fillId="0" borderId="0" xfId="5" applyFont="1" applyFill="1" applyBorder="1" applyAlignment="1"/>
    <xf numFmtId="1" fontId="5" fillId="0" borderId="0" xfId="5" applyNumberFormat="1" applyFont="1" applyFill="1" applyBorder="1" applyAlignment="1">
      <alignment horizontal="center"/>
    </xf>
    <xf numFmtId="166" fontId="5" fillId="0" borderId="0" xfId="5" applyNumberFormat="1" applyFont="1" applyFill="1" applyBorder="1" applyAlignment="1">
      <alignment horizontal="center"/>
    </xf>
    <xf numFmtId="172" fontId="5" fillId="0" borderId="0" xfId="5" applyNumberFormat="1" applyFont="1" applyFill="1" applyBorder="1" applyAlignment="1">
      <alignment horizontal="center"/>
    </xf>
    <xf numFmtId="38" fontId="22" fillId="0" borderId="1" xfId="22" applyNumberFormat="1" applyFont="1" applyFill="1" applyBorder="1" applyAlignment="1">
      <alignment horizontal="center"/>
    </xf>
    <xf numFmtId="169" fontId="20" fillId="0" borderId="0" xfId="5" applyNumberFormat="1" applyFont="1" applyFill="1"/>
    <xf numFmtId="10" fontId="5" fillId="0" borderId="0" xfId="5" applyNumberFormat="1" applyFont="1" applyFill="1" applyAlignment="1">
      <alignment horizontal="left"/>
    </xf>
    <xf numFmtId="166" fontId="34" fillId="0" borderId="0" xfId="41" applyNumberFormat="1" applyFont="1" applyFill="1" applyBorder="1" applyAlignment="1">
      <alignment horizontal="center"/>
    </xf>
    <xf numFmtId="172" fontId="36" fillId="0" borderId="0" xfId="22" applyNumberFormat="1" applyFont="1" applyFill="1" applyBorder="1" applyAlignment="1">
      <alignment horizontal="center"/>
    </xf>
    <xf numFmtId="38" fontId="5" fillId="0" borderId="2" xfId="22" applyNumberFormat="1" applyFont="1" applyBorder="1" applyAlignment="1"/>
    <xf numFmtId="1" fontId="5" fillId="0" borderId="2" xfId="22" applyNumberFormat="1" applyFont="1" applyFill="1" applyBorder="1" applyAlignment="1">
      <alignment horizontal="center"/>
    </xf>
    <xf numFmtId="38" fontId="4" fillId="0" borderId="1" xfId="22" applyNumberFormat="1" applyFont="1" applyFill="1" applyBorder="1" applyAlignment="1">
      <alignment horizontal="center"/>
    </xf>
    <xf numFmtId="38" fontId="4" fillId="0" borderId="0" xfId="22" applyNumberFormat="1" applyFont="1" applyFill="1" applyBorder="1" applyAlignment="1">
      <alignment horizontal="center"/>
    </xf>
    <xf numFmtId="0" fontId="45" fillId="0" borderId="0" xfId="5" applyFont="1" applyBorder="1" applyAlignment="1"/>
    <xf numFmtId="0" fontId="5" fillId="0" borderId="0" xfId="5" applyFont="1" applyBorder="1" applyAlignment="1">
      <alignment horizontal="left"/>
    </xf>
    <xf numFmtId="38" fontId="36" fillId="0" borderId="1" xfId="22" applyNumberFormat="1" applyFont="1" applyFill="1" applyBorder="1" applyAlignment="1">
      <alignment horizontal="center"/>
    </xf>
    <xf numFmtId="38" fontId="36" fillId="0" borderId="0" xfId="22" applyNumberFormat="1" applyFont="1" applyFill="1" applyBorder="1" applyAlignment="1">
      <alignment horizontal="center"/>
    </xf>
    <xf numFmtId="166" fontId="36" fillId="0" borderId="0" xfId="41" applyNumberFormat="1" applyFont="1" applyFill="1" applyBorder="1" applyAlignment="1">
      <alignment horizontal="center"/>
    </xf>
    <xf numFmtId="0" fontId="5" fillId="0" borderId="2" xfId="5" applyFont="1" applyFill="1" applyBorder="1" applyAlignment="1">
      <alignment horizontal="left"/>
    </xf>
    <xf numFmtId="0" fontId="54" fillId="0" borderId="2" xfId="5" applyFont="1" applyFill="1" applyBorder="1" applyAlignment="1">
      <alignment horizontal="left"/>
    </xf>
    <xf numFmtId="38" fontId="5" fillId="0" borderId="14" xfId="5" applyNumberFormat="1" applyFont="1" applyFill="1" applyBorder="1" applyAlignment="1">
      <alignment horizontal="center"/>
    </xf>
    <xf numFmtId="38" fontId="5" fillId="0" borderId="2" xfId="5" applyNumberFormat="1" applyFont="1" applyFill="1" applyBorder="1" applyAlignment="1">
      <alignment horizontal="center"/>
    </xf>
    <xf numFmtId="1" fontId="54" fillId="0" borderId="2" xfId="5" applyNumberFormat="1" applyFont="1" applyFill="1" applyBorder="1" applyAlignment="1">
      <alignment horizontal="center"/>
    </xf>
    <xf numFmtId="0" fontId="4" fillId="0" borderId="0" xfId="5" applyFont="1" applyBorder="1" applyAlignment="1"/>
    <xf numFmtId="1" fontId="4" fillId="0" borderId="0" xfId="5" applyNumberFormat="1" applyFont="1" applyFill="1" applyBorder="1" applyAlignment="1">
      <alignment horizontal="center"/>
    </xf>
    <xf numFmtId="166" fontId="4" fillId="0" borderId="0" xfId="5" applyNumberFormat="1" applyFont="1" applyFill="1" applyBorder="1" applyAlignment="1">
      <alignment horizontal="center"/>
    </xf>
    <xf numFmtId="172" fontId="4" fillId="0" borderId="0" xfId="5" applyNumberFormat="1" applyFont="1" applyFill="1" applyBorder="1" applyAlignment="1">
      <alignment horizontal="center"/>
    </xf>
    <xf numFmtId="0" fontId="5" fillId="0" borderId="0" xfId="5" applyFont="1" applyBorder="1" applyAlignment="1"/>
    <xf numFmtId="38" fontId="4" fillId="0" borderId="1" xfId="5" applyNumberFormat="1" applyFont="1" applyFill="1" applyBorder="1" applyAlignment="1">
      <alignment horizontal="center"/>
    </xf>
    <xf numFmtId="38" fontId="4" fillId="0" borderId="0" xfId="5" applyNumberFormat="1" applyFont="1" applyFill="1" applyBorder="1" applyAlignment="1">
      <alignment horizontal="center"/>
    </xf>
    <xf numFmtId="0" fontId="4" fillId="0" borderId="3" xfId="5" applyFont="1" applyFill="1" applyBorder="1" applyAlignment="1"/>
    <xf numFmtId="38" fontId="5" fillId="0" borderId="22" xfId="5" applyNumberFormat="1" applyFont="1" applyFill="1" applyBorder="1" applyAlignment="1">
      <alignment horizontal="center"/>
    </xf>
    <xf numFmtId="38" fontId="5" fillId="0" borderId="3" xfId="5" applyNumberFormat="1" applyFont="1" applyFill="1" applyBorder="1" applyAlignment="1">
      <alignment horizontal="center"/>
    </xf>
    <xf numFmtId="1" fontId="5" fillId="0" borderId="3" xfId="5" applyNumberFormat="1" applyFont="1" applyFill="1" applyBorder="1" applyAlignment="1">
      <alignment horizontal="center"/>
    </xf>
    <xf numFmtId="0" fontId="5" fillId="0" borderId="1" xfId="5" applyFont="1" applyFill="1" applyBorder="1" applyAlignment="1">
      <alignment horizontal="center"/>
    </xf>
    <xf numFmtId="0" fontId="5" fillId="0" borderId="0" xfId="5" applyFont="1" applyFill="1" applyBorder="1" applyAlignment="1">
      <alignment horizontal="center"/>
    </xf>
    <xf numFmtId="166" fontId="22" fillId="0" borderId="0" xfId="22" applyNumberFormat="1" applyFont="1" applyFill="1" applyBorder="1" applyAlignment="1">
      <alignment horizontal="center"/>
    </xf>
    <xf numFmtId="172" fontId="34" fillId="0" borderId="0" xfId="22" applyNumberFormat="1" applyFont="1" applyFill="1" applyBorder="1" applyAlignment="1">
      <alignment horizontal="center"/>
    </xf>
    <xf numFmtId="9" fontId="5" fillId="0" borderId="0" xfId="5" applyNumberFormat="1" applyFont="1" applyFill="1"/>
    <xf numFmtId="0" fontId="5" fillId="0" borderId="2" xfId="5" applyFont="1" applyBorder="1" applyAlignment="1">
      <alignment horizontal="left"/>
    </xf>
    <xf numFmtId="172" fontId="35" fillId="0" borderId="0" xfId="22" applyNumberFormat="1" applyFont="1" applyFill="1" applyBorder="1" applyAlignment="1">
      <alignment horizontal="center"/>
    </xf>
    <xf numFmtId="172" fontId="36" fillId="0" borderId="0" xfId="5" applyNumberFormat="1" applyFont="1" applyFill="1" applyBorder="1" applyAlignment="1">
      <alignment horizontal="center"/>
    </xf>
    <xf numFmtId="172" fontId="35" fillId="0" borderId="0" xfId="5" applyNumberFormat="1" applyFont="1" applyFill="1" applyBorder="1" applyAlignment="1">
      <alignment horizontal="center"/>
    </xf>
    <xf numFmtId="0" fontId="5" fillId="0" borderId="3" xfId="5" applyFont="1" applyBorder="1" applyAlignment="1"/>
    <xf numFmtId="172" fontId="101" fillId="0" borderId="0" xfId="22" applyNumberFormat="1" applyFont="1" applyFill="1" applyBorder="1" applyAlignment="1">
      <alignment horizontal="center"/>
    </xf>
    <xf numFmtId="169" fontId="20" fillId="0" borderId="0" xfId="5" applyNumberFormat="1" applyFont="1" applyFill="1" applyAlignment="1">
      <alignment wrapText="1"/>
    </xf>
    <xf numFmtId="1" fontId="36" fillId="0" borderId="2" xfId="22" applyNumberFormat="1" applyFont="1" applyFill="1" applyBorder="1" applyAlignment="1">
      <alignment horizontal="center"/>
    </xf>
    <xf numFmtId="0" fontId="45" fillId="0" borderId="0" xfId="5" applyFont="1" applyFill="1" applyBorder="1" applyAlignment="1"/>
    <xf numFmtId="0" fontId="5" fillId="0" borderId="0" xfId="5" applyFont="1" applyFill="1" applyBorder="1" applyAlignment="1">
      <alignment horizontal="left"/>
    </xf>
    <xf numFmtId="177" fontId="5" fillId="0" borderId="12" xfId="0" applyNumberFormat="1" applyFont="1" applyFill="1" applyBorder="1" applyAlignment="1">
      <alignment horizontal="right"/>
    </xf>
    <xf numFmtId="177" fontId="5" fillId="0" borderId="0" xfId="0" applyNumberFormat="1" applyFont="1" applyFill="1" applyBorder="1" applyAlignment="1">
      <alignment horizontal="right"/>
    </xf>
    <xf numFmtId="178" fontId="5" fillId="0" borderId="0" xfId="20" applyNumberFormat="1" applyFont="1" applyFill="1" applyBorder="1" applyAlignment="1">
      <alignment horizontal="right"/>
    </xf>
    <xf numFmtId="177" fontId="5" fillId="0" borderId="2" xfId="20" applyNumberFormat="1" applyFont="1" applyFill="1" applyBorder="1" applyAlignment="1">
      <alignment horizontal="right"/>
    </xf>
    <xf numFmtId="38" fontId="5" fillId="0" borderId="0" xfId="22" applyNumberFormat="1" applyFont="1" applyFill="1" applyBorder="1" applyAlignment="1">
      <alignment horizontal="right"/>
    </xf>
    <xf numFmtId="38" fontId="5" fillId="0" borderId="2" xfId="22" applyNumberFormat="1" applyFont="1" applyFill="1" applyBorder="1" applyAlignment="1">
      <alignment horizontal="right"/>
    </xf>
    <xf numFmtId="38" fontId="4" fillId="0" borderId="10" xfId="22" applyNumberFormat="1" applyFont="1" applyFill="1" applyBorder="1" applyAlignment="1">
      <alignment horizontal="right"/>
    </xf>
    <xf numFmtId="38" fontId="4" fillId="0" borderId="0" xfId="22" applyNumberFormat="1" applyFont="1" applyFill="1" applyBorder="1" applyAlignment="1">
      <alignment horizontal="right"/>
    </xf>
    <xf numFmtId="38" fontId="28" fillId="0" borderId="0" xfId="0" applyNumberFormat="1" applyFont="1" applyFill="1" applyBorder="1" applyAlignment="1">
      <alignment horizontal="right"/>
    </xf>
    <xf numFmtId="38" fontId="54" fillId="0" borderId="2" xfId="0" applyNumberFormat="1" applyFont="1" applyFill="1" applyBorder="1" applyAlignment="1">
      <alignment horizontal="right"/>
    </xf>
    <xf numFmtId="38" fontId="4" fillId="0" borderId="0" xfId="0" applyNumberFormat="1" applyFont="1" applyFill="1" applyBorder="1" applyAlignment="1">
      <alignment horizontal="right"/>
    </xf>
    <xf numFmtId="38" fontId="5" fillId="0" borderId="0" xfId="0" applyNumberFormat="1" applyFont="1" applyFill="1" applyBorder="1" applyAlignment="1">
      <alignment horizontal="right"/>
    </xf>
    <xf numFmtId="38" fontId="5" fillId="0" borderId="3" xfId="0" applyNumberFormat="1" applyFont="1" applyBorder="1" applyAlignment="1">
      <alignment horizontal="right"/>
    </xf>
    <xf numFmtId="38" fontId="5" fillId="0" borderId="3" xfId="0" applyNumberFormat="1" applyFont="1" applyFill="1" applyBorder="1" applyAlignment="1">
      <alignment horizontal="right"/>
    </xf>
    <xf numFmtId="166" fontId="54" fillId="0" borderId="2" xfId="5" applyNumberFormat="1" applyFont="1" applyFill="1" applyBorder="1" applyAlignment="1">
      <alignment horizontal="center"/>
    </xf>
    <xf numFmtId="172" fontId="54" fillId="0" borderId="2" xfId="5" applyNumberFormat="1" applyFont="1" applyFill="1" applyBorder="1" applyAlignment="1">
      <alignment horizontal="center"/>
    </xf>
    <xf numFmtId="0" fontId="0" fillId="0" borderId="2" xfId="0" applyBorder="1"/>
    <xf numFmtId="166" fontId="5" fillId="0" borderId="3" xfId="5" applyNumberFormat="1" applyFont="1" applyFill="1" applyBorder="1" applyAlignment="1">
      <alignment horizontal="center"/>
    </xf>
    <xf numFmtId="172" fontId="5" fillId="0" borderId="3" xfId="5" applyNumberFormat="1" applyFont="1" applyFill="1" applyBorder="1" applyAlignment="1">
      <alignment horizontal="center"/>
    </xf>
    <xf numFmtId="0" fontId="0" fillId="0" borderId="3" xfId="0" applyBorder="1"/>
    <xf numFmtId="38" fontId="5" fillId="0" borderId="3" xfId="22" applyNumberFormat="1" applyFont="1" applyFill="1" applyBorder="1" applyAlignment="1">
      <alignment horizontal="right"/>
    </xf>
    <xf numFmtId="172" fontId="36" fillId="0" borderId="2" xfId="22" applyNumberFormat="1" applyFont="1" applyFill="1" applyBorder="1" applyAlignment="1">
      <alignment horizontal="center"/>
    </xf>
    <xf numFmtId="172" fontId="36" fillId="0" borderId="2" xfId="5" applyNumberFormat="1" applyFont="1" applyFill="1" applyBorder="1" applyAlignment="1">
      <alignment horizontal="center"/>
    </xf>
    <xf numFmtId="172" fontId="36" fillId="0" borderId="3" xfId="5" applyNumberFormat="1" applyFont="1" applyFill="1" applyBorder="1" applyAlignment="1">
      <alignment horizontal="center"/>
    </xf>
    <xf numFmtId="166" fontId="36" fillId="0" borderId="2" xfId="41" applyNumberFormat="1" applyFont="1" applyFill="1" applyBorder="1" applyAlignment="1">
      <alignment horizontal="center"/>
    </xf>
    <xf numFmtId="193" fontId="37" fillId="2" borderId="1" xfId="20" applyNumberFormat="1" applyFont="1" applyFill="1" applyBorder="1"/>
    <xf numFmtId="193" fontId="37" fillId="2" borderId="0" xfId="20" applyNumberFormat="1" applyFont="1" applyFill="1" applyBorder="1"/>
    <xf numFmtId="193" fontId="37" fillId="2" borderId="13" xfId="20" applyNumberFormat="1" applyFont="1" applyFill="1" applyBorder="1"/>
    <xf numFmtId="193" fontId="5" fillId="0" borderId="0" xfId="20" applyNumberFormat="1" applyFont="1" applyFill="1" applyBorder="1"/>
    <xf numFmtId="192" fontId="4" fillId="0" borderId="0" xfId="20" applyNumberFormat="1" applyFont="1" applyFill="1" applyBorder="1"/>
    <xf numFmtId="192" fontId="4" fillId="2" borderId="1" xfId="20" applyNumberFormat="1" applyFont="1" applyFill="1" applyBorder="1"/>
    <xf numFmtId="192" fontId="4" fillId="2" borderId="0" xfId="20" applyNumberFormat="1" applyFont="1" applyFill="1" applyBorder="1"/>
    <xf numFmtId="192" fontId="4" fillId="2" borderId="13" xfId="20" applyNumberFormat="1" applyFont="1" applyFill="1" applyBorder="1"/>
    <xf numFmtId="174" fontId="4" fillId="2" borderId="1" xfId="5" applyNumberFormat="1" applyFont="1" applyFill="1" applyBorder="1"/>
    <xf numFmtId="174" fontId="4" fillId="2" borderId="0" xfId="5" applyNumberFormat="1" applyFont="1" applyFill="1" applyBorder="1"/>
    <xf numFmtId="174" fontId="4" fillId="2" borderId="13" xfId="5" applyNumberFormat="1" applyFont="1" applyFill="1" applyBorder="1"/>
    <xf numFmtId="0" fontId="4" fillId="0" borderId="0" xfId="39" applyFont="1"/>
    <xf numFmtId="174" fontId="58" fillId="2" borderId="0" xfId="5" applyNumberFormat="1" applyFont="1" applyFill="1" applyBorder="1"/>
    <xf numFmtId="174" fontId="58" fillId="2" borderId="13" xfId="5" applyNumberFormat="1" applyFont="1" applyFill="1" applyBorder="1"/>
    <xf numFmtId="174" fontId="58" fillId="0" borderId="0" xfId="5" applyNumberFormat="1" applyFont="1" applyFill="1" applyBorder="1"/>
    <xf numFmtId="174" fontId="58" fillId="2" borderId="1" xfId="5" applyNumberFormat="1" applyFont="1" applyFill="1" applyBorder="1"/>
    <xf numFmtId="0" fontId="58" fillId="0" borderId="0" xfId="39" applyFont="1"/>
    <xf numFmtId="173" fontId="9" fillId="0" borderId="0" xfId="20" applyNumberFormat="1" applyFont="1" applyBorder="1"/>
    <xf numFmtId="4" fontId="58" fillId="2" borderId="1" xfId="5" applyNumberFormat="1" applyFont="1" applyFill="1" applyBorder="1"/>
    <xf numFmtId="4" fontId="58" fillId="2" borderId="0" xfId="5" applyNumberFormat="1" applyFont="1" applyFill="1" applyBorder="1"/>
    <xf numFmtId="4" fontId="58" fillId="2" borderId="13" xfId="5" applyNumberFormat="1" applyFont="1" applyFill="1" applyBorder="1"/>
    <xf numFmtId="4" fontId="58" fillId="0" borderId="0" xfId="5" applyNumberFormat="1" applyFont="1" applyFill="1" applyBorder="1"/>
    <xf numFmtId="166" fontId="4" fillId="0" borderId="0" xfId="41" applyNumberFormat="1" applyFont="1" applyFill="1" applyBorder="1"/>
    <xf numFmtId="173" fontId="103" fillId="2" borderId="1" xfId="20" applyNumberFormat="1" applyFont="1" applyFill="1" applyBorder="1"/>
    <xf numFmtId="37" fontId="103" fillId="2" borderId="1" xfId="0" applyNumberFormat="1" applyFont="1" applyFill="1" applyBorder="1"/>
    <xf numFmtId="173" fontId="36" fillId="0" borderId="0" xfId="23" applyNumberFormat="1" applyFont="1"/>
    <xf numFmtId="8" fontId="5" fillId="0" borderId="0" xfId="36" applyNumberFormat="1"/>
    <xf numFmtId="0" fontId="102" fillId="0" borderId="6" xfId="0" applyFont="1" applyFill="1" applyBorder="1"/>
    <xf numFmtId="174" fontId="1" fillId="0" borderId="0" xfId="0" applyNumberFormat="1" applyFont="1" applyFill="1" applyBorder="1"/>
    <xf numFmtId="173" fontId="1" fillId="0" borderId="0" xfId="0" applyNumberFormat="1" applyFont="1"/>
    <xf numFmtId="194" fontId="5" fillId="0" borderId="0" xfId="0" applyNumberFormat="1" applyFont="1" applyFill="1"/>
    <xf numFmtId="194" fontId="5" fillId="0" borderId="0" xfId="0" applyNumberFormat="1" applyFont="1" applyFill="1" applyBorder="1"/>
    <xf numFmtId="194" fontId="5" fillId="2" borderId="1" xfId="0" applyNumberFormat="1" applyFont="1" applyFill="1" applyBorder="1"/>
    <xf numFmtId="194" fontId="5" fillId="2" borderId="0" xfId="0" applyNumberFormat="1" applyFont="1" applyFill="1" applyBorder="1"/>
    <xf numFmtId="194" fontId="5" fillId="2" borderId="13" xfId="0" applyNumberFormat="1" applyFont="1" applyFill="1" applyBorder="1"/>
    <xf numFmtId="194" fontId="5" fillId="0" borderId="1" xfId="20" applyNumberFormat="1" applyFont="1" applyFill="1" applyBorder="1"/>
    <xf numFmtId="194" fontId="5" fillId="2" borderId="1" xfId="20" applyNumberFormat="1" applyFont="1" applyFill="1" applyBorder="1"/>
    <xf numFmtId="194" fontId="5" fillId="2" borderId="0" xfId="20" applyNumberFormat="1" applyFont="1" applyFill="1" applyBorder="1"/>
    <xf numFmtId="194" fontId="5" fillId="2" borderId="13" xfId="20" applyNumberFormat="1" applyFont="1" applyFill="1" applyBorder="1"/>
    <xf numFmtId="194" fontId="5" fillId="0" borderId="0" xfId="20" applyNumberFormat="1" applyFont="1" applyFill="1" applyBorder="1"/>
    <xf numFmtId="194" fontId="37" fillId="2" borderId="1" xfId="20" applyNumberFormat="1" applyFont="1" applyFill="1" applyBorder="1"/>
    <xf numFmtId="194" fontId="37" fillId="2" borderId="0" xfId="20" applyNumberFormat="1" applyFont="1" applyFill="1" applyBorder="1"/>
    <xf numFmtId="194" fontId="37" fillId="2" borderId="13" xfId="20" applyNumberFormat="1" applyFont="1" applyFill="1" applyBorder="1"/>
    <xf numFmtId="194" fontId="5" fillId="0" borderId="0" xfId="0" applyNumberFormat="1" applyFont="1" applyFill="1" applyBorder="1" applyAlignment="1">
      <alignment horizontal="center"/>
    </xf>
    <xf numFmtId="174" fontId="1" fillId="0" borderId="0" xfId="5" applyNumberFormat="1" applyFont="1" applyFill="1" applyBorder="1"/>
    <xf numFmtId="174" fontId="1" fillId="2" borderId="1" xfId="5" applyNumberFormat="1" applyFont="1" applyFill="1" applyBorder="1"/>
    <xf numFmtId="174" fontId="1" fillId="2" borderId="0" xfId="5" applyNumberFormat="1" applyFont="1" applyFill="1" applyBorder="1"/>
    <xf numFmtId="174" fontId="1" fillId="2" borderId="13" xfId="5" applyNumberFormat="1" applyFont="1" applyFill="1" applyBorder="1"/>
    <xf numFmtId="9" fontId="1" fillId="2" borderId="1" xfId="39" applyNumberFormat="1" applyFont="1" applyFill="1" applyBorder="1"/>
    <xf numFmtId="9" fontId="1" fillId="2" borderId="0" xfId="39" applyNumberFormat="1" applyFont="1" applyFill="1"/>
    <xf numFmtId="0" fontId="1" fillId="0" borderId="1" xfId="0" applyFont="1" applyFill="1" applyBorder="1"/>
    <xf numFmtId="173" fontId="104" fillId="2" borderId="1" xfId="20" applyNumberFormat="1" applyFont="1" applyFill="1" applyBorder="1"/>
    <xf numFmtId="37" fontId="104" fillId="2" borderId="1" xfId="0" applyNumberFormat="1" applyFont="1" applyFill="1" applyBorder="1"/>
    <xf numFmtId="0" fontId="1" fillId="0" borderId="0" xfId="5" applyFont="1" applyFill="1" applyBorder="1" applyAlignment="1">
      <alignment horizontal="right"/>
    </xf>
    <xf numFmtId="173" fontId="28" fillId="0" borderId="0" xfId="0" applyNumberFormat="1" applyFont="1" applyBorder="1"/>
    <xf numFmtId="173" fontId="1" fillId="0" borderId="0" xfId="39" applyNumberFormat="1"/>
    <xf numFmtId="37" fontId="104" fillId="2" borderId="13" xfId="0" applyNumberFormat="1" applyFont="1" applyFill="1" applyBorder="1"/>
    <xf numFmtId="168" fontId="105" fillId="0" borderId="0" xfId="0" applyNumberFormat="1" applyFont="1" applyAlignment="1">
      <alignment horizontal="right"/>
    </xf>
    <xf numFmtId="166" fontId="1" fillId="2" borderId="1" xfId="0" applyNumberFormat="1" applyFont="1" applyFill="1" applyBorder="1"/>
    <xf numFmtId="166" fontId="1" fillId="2" borderId="0" xfId="0" applyNumberFormat="1" applyFont="1" applyFill="1" applyBorder="1"/>
    <xf numFmtId="166" fontId="1" fillId="2" borderId="13" xfId="0" applyNumberFormat="1" applyFont="1" applyFill="1" applyBorder="1"/>
    <xf numFmtId="166" fontId="1" fillId="0" borderId="0" xfId="0" applyNumberFormat="1" applyFont="1" applyFill="1" applyBorder="1"/>
    <xf numFmtId="38" fontId="1" fillId="0" borderId="0" xfId="22" applyNumberFormat="1" applyFont="1"/>
    <xf numFmtId="6" fontId="105" fillId="0" borderId="13" xfId="25" applyNumberFormat="1" applyFont="1" applyFill="1" applyBorder="1"/>
    <xf numFmtId="173" fontId="104" fillId="2" borderId="13" xfId="20" applyNumberFormat="1" applyFont="1" applyFill="1" applyBorder="1"/>
    <xf numFmtId="173" fontId="105" fillId="0" borderId="0" xfId="20" applyNumberFormat="1" applyFont="1" applyFill="1" applyBorder="1"/>
    <xf numFmtId="9" fontId="106" fillId="0" borderId="0" xfId="0" applyNumberFormat="1" applyFont="1" applyFill="1" applyBorder="1"/>
    <xf numFmtId="9" fontId="105" fillId="0" borderId="0" xfId="20" applyNumberFormat="1" applyFont="1" applyFill="1" applyBorder="1"/>
    <xf numFmtId="8" fontId="105" fillId="0" borderId="0" xfId="20" applyNumberFormat="1" applyFont="1" applyFill="1" applyBorder="1"/>
    <xf numFmtId="0" fontId="107" fillId="0" borderId="0" xfId="0" applyFont="1" applyFill="1"/>
    <xf numFmtId="43" fontId="105" fillId="2" borderId="0" xfId="20" applyNumberFormat="1" applyFont="1" applyFill="1" applyBorder="1"/>
    <xf numFmtId="173" fontId="105" fillId="2" borderId="0" xfId="20" applyNumberFormat="1" applyFont="1" applyFill="1" applyBorder="1"/>
    <xf numFmtId="8" fontId="105" fillId="0" borderId="0" xfId="0" applyNumberFormat="1" applyFont="1" applyFill="1" applyAlignment="1">
      <alignment horizontal="right"/>
    </xf>
    <xf numFmtId="166" fontId="105" fillId="0" borderId="0" xfId="0" applyNumberFormat="1" applyFont="1" applyAlignment="1">
      <alignment horizontal="right"/>
    </xf>
    <xf numFmtId="8" fontId="104" fillId="0" borderId="0" xfId="20" applyNumberFormat="1" applyFont="1" applyFill="1"/>
    <xf numFmtId="8" fontId="104" fillId="0" borderId="0" xfId="0" applyNumberFormat="1" applyFont="1" applyFill="1"/>
    <xf numFmtId="8" fontId="105" fillId="0" borderId="0" xfId="0" applyNumberFormat="1" applyFont="1" applyFill="1" applyBorder="1" applyAlignment="1">
      <alignment horizontal="center"/>
    </xf>
    <xf numFmtId="8" fontId="104" fillId="2" borderId="6" xfId="0" applyNumberFormat="1" applyFont="1" applyFill="1" applyBorder="1" applyAlignment="1">
      <alignment horizontal="center"/>
    </xf>
    <xf numFmtId="7" fontId="105" fillId="0" borderId="0" xfId="0" applyNumberFormat="1" applyFont="1" applyFill="1" applyBorder="1" applyAlignment="1">
      <alignment horizontal="center"/>
    </xf>
    <xf numFmtId="6" fontId="105" fillId="0" borderId="0" xfId="0" applyNumberFormat="1" applyFont="1" applyFill="1" applyBorder="1" applyAlignment="1">
      <alignment horizontal="center"/>
    </xf>
    <xf numFmtId="6" fontId="105" fillId="0" borderId="7" xfId="0" applyNumberFormat="1" applyFont="1" applyFill="1" applyBorder="1" applyAlignment="1">
      <alignment horizontal="center"/>
    </xf>
    <xf numFmtId="6" fontId="105" fillId="0" borderId="54" xfId="0" applyNumberFormat="1" applyFont="1" applyFill="1" applyBorder="1" applyAlignment="1">
      <alignment horizontal="center"/>
    </xf>
    <xf numFmtId="7" fontId="106" fillId="0" borderId="0" xfId="6" applyNumberFormat="1" applyFont="1" applyAlignment="1">
      <alignment horizontal="right"/>
    </xf>
    <xf numFmtId="7" fontId="105" fillId="0" borderId="0" xfId="0" applyNumberFormat="1" applyFont="1"/>
    <xf numFmtId="8" fontId="105" fillId="0" borderId="0" xfId="0" applyNumberFormat="1" applyFont="1"/>
    <xf numFmtId="166" fontId="105" fillId="0" borderId="0" xfId="0" applyNumberFormat="1" applyFont="1"/>
    <xf numFmtId="166" fontId="1" fillId="0" borderId="0" xfId="0" applyNumberFormat="1" applyFont="1" applyAlignment="1">
      <alignment horizontal="right"/>
    </xf>
    <xf numFmtId="0" fontId="1" fillId="0" borderId="0" xfId="36" applyFont="1"/>
    <xf numFmtId="173" fontId="110" fillId="2" borderId="1" xfId="20" applyNumberFormat="1" applyFont="1" applyFill="1" applyBorder="1"/>
    <xf numFmtId="37" fontId="110" fillId="2" borderId="1" xfId="0" applyNumberFormat="1" applyFont="1" applyFill="1" applyBorder="1"/>
    <xf numFmtId="0" fontId="1" fillId="0" borderId="0" xfId="28"/>
    <xf numFmtId="0" fontId="4" fillId="0" borderId="0" xfId="20" applyNumberFormat="1" applyFont="1" applyFill="1" applyBorder="1"/>
    <xf numFmtId="7" fontId="4" fillId="0" borderId="0" xfId="0" applyNumberFormat="1" applyFont="1" applyAlignment="1">
      <alignment horizontal="right"/>
    </xf>
    <xf numFmtId="14" fontId="52" fillId="6" borderId="0" xfId="5" applyNumberFormat="1" applyFont="1" applyFill="1" applyAlignment="1">
      <alignment horizontal="left"/>
    </xf>
    <xf numFmtId="7" fontId="0" fillId="0" borderId="56" xfId="0" applyNumberFormat="1" applyFill="1" applyBorder="1"/>
    <xf numFmtId="0" fontId="89" fillId="5" borderId="0" xfId="38" applyFont="1" applyFill="1" applyBorder="1" applyAlignment="1">
      <alignment horizontal="left"/>
    </xf>
    <xf numFmtId="5" fontId="110" fillId="2" borderId="1" xfId="0" applyNumberFormat="1" applyFont="1" applyFill="1" applyBorder="1"/>
    <xf numFmtId="9" fontId="111" fillId="6" borderId="0" xfId="41" applyFont="1" applyFill="1"/>
    <xf numFmtId="166" fontId="111" fillId="6" borderId="0" xfId="41" applyNumberFormat="1" applyFont="1" applyFill="1"/>
    <xf numFmtId="0" fontId="52" fillId="6" borderId="0" xfId="0" applyFont="1" applyFill="1"/>
    <xf numFmtId="9" fontId="5" fillId="0" borderId="0" xfId="41" applyFont="1" applyFill="1" applyBorder="1" applyAlignment="1">
      <alignment horizontal="center"/>
    </xf>
    <xf numFmtId="169" fontId="1" fillId="0" borderId="0" xfId="0" applyNumberFormat="1" applyFont="1" applyFill="1"/>
    <xf numFmtId="169" fontId="1" fillId="0" borderId="0" xfId="0" applyNumberFormat="1" applyFont="1"/>
    <xf numFmtId="173" fontId="5" fillId="0" borderId="1" xfId="20" applyNumberFormat="1" applyFont="1" applyFill="1" applyBorder="1" applyAlignment="1">
      <alignment horizontal="right"/>
    </xf>
    <xf numFmtId="173" fontId="5" fillId="0" borderId="14" xfId="20" applyNumberFormat="1" applyFont="1" applyFill="1" applyBorder="1" applyAlignment="1">
      <alignment horizontal="right"/>
    </xf>
    <xf numFmtId="173" fontId="5" fillId="0" borderId="22" xfId="20" applyNumberFormat="1" applyFont="1" applyFill="1" applyBorder="1" applyAlignment="1">
      <alignment horizontal="right"/>
    </xf>
    <xf numFmtId="175" fontId="5" fillId="0" borderId="57" xfId="20" applyNumberFormat="1" applyFont="1" applyFill="1" applyBorder="1" applyAlignment="1">
      <alignment horizontal="right"/>
    </xf>
    <xf numFmtId="175" fontId="5" fillId="0" borderId="1" xfId="20" applyNumberFormat="1" applyFont="1" applyFill="1" applyBorder="1" applyAlignment="1">
      <alignment horizontal="right"/>
    </xf>
    <xf numFmtId="175" fontId="5" fillId="0" borderId="14" xfId="20" applyNumberFormat="1" applyFont="1" applyFill="1" applyBorder="1" applyAlignment="1">
      <alignment horizontal="right"/>
    </xf>
    <xf numFmtId="175" fontId="4" fillId="0" borderId="1" xfId="20" applyNumberFormat="1" applyFont="1" applyFill="1" applyBorder="1" applyAlignment="1">
      <alignment horizontal="right"/>
    </xf>
    <xf numFmtId="175" fontId="74" fillId="0" borderId="1" xfId="20" applyNumberFormat="1" applyFont="1" applyFill="1" applyBorder="1" applyAlignment="1">
      <alignment horizontal="right"/>
    </xf>
    <xf numFmtId="0" fontId="5" fillId="0" borderId="1" xfId="0" applyFont="1" applyFill="1" applyBorder="1" applyAlignment="1">
      <alignment horizontal="right"/>
    </xf>
    <xf numFmtId="0" fontId="5" fillId="0" borderId="1" xfId="0" applyFont="1" applyBorder="1" applyAlignment="1">
      <alignment horizontal="right"/>
    </xf>
    <xf numFmtId="177" fontId="5" fillId="0" borderId="1" xfId="0" applyNumberFormat="1" applyFont="1" applyBorder="1" applyAlignment="1">
      <alignment horizontal="right"/>
    </xf>
    <xf numFmtId="175" fontId="4" fillId="0" borderId="1" xfId="20" applyNumberFormat="1" applyFont="1" applyBorder="1" applyAlignment="1">
      <alignment horizontal="right"/>
    </xf>
    <xf numFmtId="175" fontId="5" fillId="0" borderId="1" xfId="20" applyNumberFormat="1" applyFont="1" applyBorder="1" applyAlignment="1">
      <alignment horizontal="right"/>
    </xf>
    <xf numFmtId="175" fontId="5" fillId="0" borderId="22" xfId="20" applyNumberFormat="1" applyFont="1" applyBorder="1" applyAlignment="1">
      <alignment horizontal="right"/>
    </xf>
    <xf numFmtId="175" fontId="28" fillId="0" borderId="14" xfId="20" applyNumberFormat="1" applyFont="1" applyFill="1" applyBorder="1" applyAlignment="1">
      <alignment horizontal="right"/>
    </xf>
    <xf numFmtId="175" fontId="5" fillId="0" borderId="22" xfId="20" applyNumberFormat="1" applyFont="1" applyFill="1" applyBorder="1" applyAlignment="1">
      <alignment horizontal="right"/>
    </xf>
    <xf numFmtId="174" fontId="1" fillId="2" borderId="1" xfId="20" applyNumberFormat="1" applyFont="1" applyFill="1" applyBorder="1"/>
    <xf numFmtId="174" fontId="1" fillId="2" borderId="0" xfId="20" applyNumberFormat="1" applyFont="1" applyFill="1" applyBorder="1"/>
    <xf numFmtId="174" fontId="1" fillId="2" borderId="13" xfId="20" applyNumberFormat="1" applyFont="1" applyFill="1" applyBorder="1"/>
    <xf numFmtId="166" fontId="1" fillId="2" borderId="5" xfId="5" applyNumberFormat="1" applyFont="1" applyFill="1" applyBorder="1"/>
    <xf numFmtId="166" fontId="1" fillId="2" borderId="10" xfId="5" applyNumberFormat="1" applyFont="1" applyFill="1" applyBorder="1"/>
    <xf numFmtId="166" fontId="1" fillId="2" borderId="25" xfId="5" applyNumberFormat="1" applyFont="1" applyFill="1" applyBorder="1"/>
    <xf numFmtId="166" fontId="1" fillId="2" borderId="1" xfId="5" applyNumberFormat="1" applyFont="1" applyFill="1" applyBorder="1"/>
    <xf numFmtId="166" fontId="1" fillId="2" borderId="0" xfId="5" applyNumberFormat="1" applyFont="1" applyFill="1" applyBorder="1"/>
    <xf numFmtId="166" fontId="1" fillId="2" borderId="13" xfId="5" applyNumberFormat="1" applyFont="1" applyFill="1" applyBorder="1"/>
    <xf numFmtId="0" fontId="1" fillId="0" borderId="0" xfId="5" applyFont="1" applyBorder="1" applyAlignment="1">
      <alignment horizontal="left"/>
    </xf>
    <xf numFmtId="166" fontId="112" fillId="0" borderId="0" xfId="0" applyNumberFormat="1" applyFont="1" applyFill="1" applyBorder="1"/>
    <xf numFmtId="166" fontId="112" fillId="2" borderId="1" xfId="0" applyNumberFormat="1" applyFont="1" applyFill="1" applyBorder="1"/>
    <xf numFmtId="166" fontId="112" fillId="2" borderId="0" xfId="0" applyNumberFormat="1" applyFont="1" applyFill="1" applyBorder="1"/>
    <xf numFmtId="166" fontId="112" fillId="2" borderId="13" xfId="0" applyNumberFormat="1" applyFont="1" applyFill="1" applyBorder="1"/>
    <xf numFmtId="174" fontId="112" fillId="0" borderId="0" xfId="20" applyNumberFormat="1" applyFont="1" applyFill="1" applyBorder="1"/>
    <xf numFmtId="173" fontId="112" fillId="0" borderId="0" xfId="20" applyNumberFormat="1" applyFont="1" applyFill="1" applyBorder="1"/>
    <xf numFmtId="166" fontId="36" fillId="0" borderId="56" xfId="5" applyNumberFormat="1" applyFont="1" applyFill="1" applyBorder="1"/>
    <xf numFmtId="4" fontId="4" fillId="0" borderId="56" xfId="5" applyNumberFormat="1" applyFont="1" applyFill="1" applyBorder="1"/>
    <xf numFmtId="166" fontId="5" fillId="0" borderId="56" xfId="5" applyNumberFormat="1" applyFont="1" applyFill="1" applyBorder="1"/>
    <xf numFmtId="4" fontId="4" fillId="0" borderId="59" xfId="5" applyNumberFormat="1" applyFont="1" applyFill="1" applyBorder="1"/>
    <xf numFmtId="173" fontId="112" fillId="2" borderId="1" xfId="20" applyNumberFormat="1" applyFont="1" applyFill="1" applyBorder="1"/>
    <xf numFmtId="173" fontId="112" fillId="2" borderId="0" xfId="20" applyNumberFormat="1" applyFont="1" applyFill="1" applyBorder="1"/>
    <xf numFmtId="173" fontId="112" fillId="2" borderId="13" xfId="20" applyNumberFormat="1" applyFont="1" applyFill="1" applyBorder="1"/>
    <xf numFmtId="195" fontId="5" fillId="0" borderId="0" xfId="20" applyNumberFormat="1" applyFont="1" applyFill="1" applyBorder="1"/>
    <xf numFmtId="0" fontId="20" fillId="0" borderId="1" xfId="22" applyNumberFormat="1" applyFont="1" applyBorder="1" applyAlignment="1">
      <alignment horizontal="right"/>
    </xf>
    <xf numFmtId="0" fontId="1" fillId="0" borderId="0" xfId="50"/>
    <xf numFmtId="0" fontId="45" fillId="0" borderId="0" xfId="50" applyFont="1"/>
    <xf numFmtId="4" fontId="1" fillId="0" borderId="0" xfId="50" applyNumberFormat="1" applyFill="1"/>
    <xf numFmtId="8" fontId="1" fillId="0" borderId="0" xfId="50" applyNumberFormat="1"/>
    <xf numFmtId="0" fontId="1" fillId="0" borderId="0" xfId="50" applyFont="1" applyFill="1" applyAlignment="1">
      <alignment horizontal="left"/>
    </xf>
    <xf numFmtId="9" fontId="102" fillId="0" borderId="0" xfId="41" applyFont="1"/>
    <xf numFmtId="9" fontId="1" fillId="0" borderId="0" xfId="41" applyFont="1"/>
    <xf numFmtId="0" fontId="59" fillId="0" borderId="0" xfId="50" applyFont="1"/>
    <xf numFmtId="0" fontId="10" fillId="0" borderId="0" xfId="50" applyFont="1"/>
    <xf numFmtId="0" fontId="4" fillId="0" borderId="0" xfId="50" applyFont="1"/>
    <xf numFmtId="166" fontId="36" fillId="0" borderId="0" xfId="7" applyNumberFormat="1" applyFont="1" applyFill="1" applyBorder="1"/>
    <xf numFmtId="166" fontId="1" fillId="2" borderId="1" xfId="7" applyNumberFormat="1" applyFont="1" applyFill="1" applyBorder="1"/>
    <xf numFmtId="166" fontId="1" fillId="2" borderId="0" xfId="7" applyNumberFormat="1" applyFont="1" applyFill="1" applyBorder="1"/>
    <xf numFmtId="166" fontId="1" fillId="2" borderId="13" xfId="7" applyNumberFormat="1" applyFont="1" applyFill="1" applyBorder="1"/>
    <xf numFmtId="173" fontId="34" fillId="0" borderId="0" xfId="20" applyNumberFormat="1" applyFont="1" applyFill="1" applyBorder="1"/>
    <xf numFmtId="174" fontId="36" fillId="0" borderId="0" xfId="5" applyNumberFormat="1" applyFont="1" applyFill="1" applyBorder="1"/>
    <xf numFmtId="173" fontId="36" fillId="0" borderId="0" xfId="20" applyNumberFormat="1" applyFont="1" applyFill="1" applyBorder="1"/>
    <xf numFmtId="174" fontId="36" fillId="0" borderId="0" xfId="20" applyNumberFormat="1" applyFont="1" applyFill="1" applyBorder="1"/>
    <xf numFmtId="0" fontId="1" fillId="0" borderId="5" xfId="36" applyFont="1" applyBorder="1"/>
    <xf numFmtId="9" fontId="112" fillId="2" borderId="1" xfId="0" applyNumberFormat="1" applyFont="1" applyFill="1" applyBorder="1"/>
    <xf numFmtId="1" fontId="36" fillId="2" borderId="0" xfId="34" applyNumberFormat="1" applyFont="1" applyFill="1" applyBorder="1" applyAlignment="1">
      <alignment horizontal="right"/>
    </xf>
    <xf numFmtId="1" fontId="36" fillId="2" borderId="13" xfId="34" applyNumberFormat="1" applyFont="1" applyFill="1" applyBorder="1" applyAlignment="1">
      <alignment horizontal="right"/>
    </xf>
    <xf numFmtId="1" fontId="36" fillId="2" borderId="1" xfId="34" applyNumberFormat="1" applyFont="1" applyFill="1" applyBorder="1" applyAlignment="1">
      <alignment horizontal="right"/>
    </xf>
    <xf numFmtId="1" fontId="55" fillId="2" borderId="0" xfId="34" applyNumberFormat="1" applyFont="1" applyFill="1" applyBorder="1" applyAlignment="1">
      <alignment horizontal="right"/>
    </xf>
    <xf numFmtId="0" fontId="1" fillId="0" borderId="0" xfId="36" applyFont="1" applyAlignment="1">
      <alignment horizontal="right"/>
    </xf>
    <xf numFmtId="6" fontId="5" fillId="0" borderId="0" xfId="36" applyNumberFormat="1"/>
    <xf numFmtId="0" fontId="1" fillId="7" borderId="0" xfId="50" applyFill="1"/>
    <xf numFmtId="8" fontId="1" fillId="7" borderId="0" xfId="50" applyNumberFormat="1" applyFill="1"/>
    <xf numFmtId="0" fontId="112" fillId="0" borderId="0" xfId="36" applyFont="1"/>
    <xf numFmtId="0" fontId="113" fillId="0" borderId="0" xfId="50" applyFont="1"/>
    <xf numFmtId="173" fontId="114" fillId="0" borderId="0" xfId="20" applyNumberFormat="1" applyFont="1"/>
    <xf numFmtId="44" fontId="102" fillId="0" borderId="0" xfId="25" applyFont="1"/>
    <xf numFmtId="0" fontId="1" fillId="0" borderId="14" xfId="29" applyFont="1" applyBorder="1"/>
    <xf numFmtId="173" fontId="5" fillId="8" borderId="2" xfId="29" applyNumberFormat="1" applyFont="1" applyFill="1" applyBorder="1"/>
    <xf numFmtId="43" fontId="5" fillId="0" borderId="0" xfId="36" applyNumberFormat="1" applyFont="1"/>
    <xf numFmtId="3" fontId="5" fillId="8" borderId="0" xfId="36" applyNumberFormat="1" applyFont="1" applyFill="1"/>
    <xf numFmtId="173" fontId="5" fillId="8" borderId="0" xfId="36" applyNumberFormat="1" applyFont="1" applyFill="1"/>
    <xf numFmtId="8" fontId="5" fillId="0" borderId="0" xfId="36" applyNumberFormat="1" applyFont="1"/>
    <xf numFmtId="8" fontId="10" fillId="0" borderId="0" xfId="36" applyNumberFormat="1" applyFont="1"/>
    <xf numFmtId="0" fontId="4" fillId="8" borderId="0" xfId="36" applyFont="1" applyFill="1"/>
    <xf numFmtId="173" fontId="112" fillId="8" borderId="0" xfId="20" applyNumberFormat="1" applyFont="1" applyFill="1"/>
    <xf numFmtId="0" fontId="5" fillId="8" borderId="0" xfId="36" applyFill="1"/>
    <xf numFmtId="3" fontId="36" fillId="8" borderId="0" xfId="36" applyNumberFormat="1" applyFont="1" applyFill="1" applyBorder="1" applyAlignment="1">
      <alignment horizontal="right"/>
    </xf>
    <xf numFmtId="0" fontId="102" fillId="0" borderId="0" xfId="0" applyFont="1" applyFill="1" applyBorder="1"/>
    <xf numFmtId="44" fontId="102" fillId="8" borderId="0" xfId="25" applyFont="1" applyFill="1"/>
    <xf numFmtId="0" fontId="112" fillId="0" borderId="6" xfId="0" applyFont="1" applyFill="1" applyBorder="1"/>
    <xf numFmtId="5" fontId="112" fillId="2" borderId="0" xfId="0" applyNumberFormat="1" applyFont="1" applyFill="1" applyBorder="1"/>
    <xf numFmtId="7" fontId="112" fillId="2" borderId="0" xfId="0" applyNumberFormat="1" applyFont="1" applyFill="1" applyBorder="1"/>
    <xf numFmtId="182" fontId="112" fillId="2" borderId="0" xfId="0" applyNumberFormat="1" applyFont="1" applyFill="1" applyBorder="1"/>
    <xf numFmtId="182" fontId="112" fillId="2" borderId="1" xfId="0" applyNumberFormat="1" applyFont="1" applyFill="1" applyBorder="1"/>
    <xf numFmtId="37" fontId="115" fillId="2" borderId="0" xfId="0" applyNumberFormat="1" applyFont="1" applyFill="1" applyBorder="1"/>
    <xf numFmtId="5" fontId="1" fillId="2" borderId="1" xfId="0" applyNumberFormat="1" applyFont="1" applyFill="1" applyBorder="1"/>
    <xf numFmtId="6" fontId="1" fillId="2" borderId="13" xfId="20" applyNumberFormat="1" applyFont="1" applyFill="1" applyBorder="1"/>
    <xf numFmtId="37" fontId="115" fillId="2" borderId="0" xfId="20" applyNumberFormat="1" applyFont="1" applyFill="1" applyBorder="1"/>
    <xf numFmtId="6" fontId="112" fillId="2" borderId="1" xfId="20" applyNumberFormat="1" applyFont="1" applyFill="1" applyBorder="1"/>
    <xf numFmtId="6" fontId="1" fillId="2" borderId="0" xfId="20" applyNumberFormat="1" applyFont="1" applyFill="1" applyBorder="1"/>
    <xf numFmtId="6" fontId="5" fillId="0" borderId="0" xfId="20" applyNumberFormat="1" applyFont="1" applyFill="1" applyBorder="1"/>
    <xf numFmtId="6" fontId="1" fillId="2" borderId="1" xfId="20" applyNumberFormat="1" applyFont="1" applyFill="1" applyBorder="1"/>
    <xf numFmtId="1" fontId="5" fillId="0" borderId="60" xfId="0" applyNumberFormat="1" applyFont="1" applyFill="1" applyBorder="1"/>
    <xf numFmtId="7" fontId="112" fillId="2" borderId="13" xfId="0" applyNumberFormat="1" applyFont="1" applyFill="1" applyBorder="1"/>
    <xf numFmtId="6" fontId="102" fillId="0" borderId="7" xfId="0" applyNumberFormat="1" applyFont="1" applyFill="1" applyBorder="1" applyAlignment="1">
      <alignment horizontal="center"/>
    </xf>
    <xf numFmtId="3" fontId="82" fillId="0" borderId="0" xfId="0" applyNumberFormat="1" applyFont="1" applyBorder="1"/>
    <xf numFmtId="173" fontId="1" fillId="2" borderId="13" xfId="0" applyNumberFormat="1" applyFont="1" applyFill="1" applyBorder="1"/>
    <xf numFmtId="0" fontId="1" fillId="2" borderId="0" xfId="32" applyFont="1" applyFill="1"/>
    <xf numFmtId="187" fontId="15" fillId="6" borderId="0" xfId="7" applyNumberFormat="1" applyFont="1" applyFill="1" applyAlignment="1">
      <alignment horizontal="left"/>
    </xf>
    <xf numFmtId="173" fontId="1" fillId="0" borderId="0" xfId="0" applyNumberFormat="1" applyFont="1" applyBorder="1"/>
    <xf numFmtId="173" fontId="1" fillId="0" borderId="0" xfId="23" applyNumberFormat="1" applyFont="1" applyFill="1" applyBorder="1"/>
    <xf numFmtId="173" fontId="112" fillId="0" borderId="0" xfId="23" applyNumberFormat="1" applyFont="1" applyBorder="1"/>
    <xf numFmtId="173" fontId="112" fillId="0" borderId="0" xfId="20" applyNumberFormat="1" applyFont="1" applyBorder="1"/>
    <xf numFmtId="173" fontId="112" fillId="0" borderId="0" xfId="23" applyNumberFormat="1" applyFont="1" applyFill="1" applyBorder="1"/>
    <xf numFmtId="173" fontId="112" fillId="2" borderId="0" xfId="23" applyNumberFormat="1" applyFont="1" applyFill="1" applyBorder="1"/>
    <xf numFmtId="173" fontId="1" fillId="2" borderId="13" xfId="23" applyNumberFormat="1" applyFont="1" applyFill="1" applyBorder="1"/>
    <xf numFmtId="38" fontId="1" fillId="0" borderId="0" xfId="22" applyNumberFormat="1" applyFont="1" applyBorder="1" applyAlignment="1"/>
    <xf numFmtId="38" fontId="1" fillId="0" borderId="1" xfId="22" applyNumberFormat="1" applyFont="1" applyFill="1" applyBorder="1" applyAlignment="1">
      <alignment horizontal="center"/>
    </xf>
    <xf numFmtId="0" fontId="1" fillId="0" borderId="0" xfId="30" applyNumberFormat="1" applyFont="1" applyFill="1" applyAlignment="1">
      <alignment horizontal="left"/>
    </xf>
    <xf numFmtId="38" fontId="1" fillId="0" borderId="0" xfId="22" applyNumberFormat="1" applyFont="1" applyFill="1" applyBorder="1" applyAlignment="1"/>
    <xf numFmtId="38" fontId="1" fillId="0" borderId="0" xfId="22" applyNumberFormat="1" applyFont="1" applyFill="1" applyBorder="1" applyAlignment="1">
      <alignment horizontal="center"/>
    </xf>
    <xf numFmtId="10" fontId="1" fillId="0" borderId="0" xfId="5" applyNumberFormat="1" applyFont="1" applyFill="1" applyAlignment="1">
      <alignment horizontal="left"/>
    </xf>
    <xf numFmtId="37" fontId="5" fillId="0" borderId="1" xfId="22" applyNumberFormat="1" applyFont="1" applyFill="1" applyBorder="1" applyAlignment="1">
      <alignment horizontal="center"/>
    </xf>
    <xf numFmtId="37" fontId="5" fillId="0" borderId="0" xfId="22" applyNumberFormat="1" applyFont="1" applyFill="1" applyBorder="1" applyAlignment="1">
      <alignment horizontal="center"/>
    </xf>
    <xf numFmtId="166" fontId="34" fillId="0" borderId="0" xfId="41" applyNumberFormat="1" applyFont="1" applyFill="1" applyAlignment="1">
      <alignment horizontal="center"/>
    </xf>
    <xf numFmtId="0" fontId="53" fillId="0" borderId="0" xfId="0" applyFont="1" applyFill="1" applyAlignment="1">
      <alignment horizontal="center"/>
    </xf>
    <xf numFmtId="0" fontId="36" fillId="0" borderId="0" xfId="0" applyFont="1" applyFill="1" applyAlignment="1">
      <alignment horizontal="center"/>
    </xf>
    <xf numFmtId="166" fontId="36" fillId="0" borderId="0" xfId="41" applyNumberFormat="1" applyFont="1" applyFill="1" applyAlignment="1">
      <alignment horizontal="center"/>
    </xf>
    <xf numFmtId="38" fontId="0" fillId="0" borderId="0" xfId="0" applyNumberFormat="1" applyFill="1"/>
    <xf numFmtId="196" fontId="5" fillId="2" borderId="13" xfId="20" applyNumberFormat="1" applyFont="1" applyFill="1" applyBorder="1"/>
    <xf numFmtId="0" fontId="1" fillId="0" borderId="0" xfId="5" applyFont="1" applyFill="1"/>
    <xf numFmtId="0" fontId="1" fillId="0" borderId="5" xfId="0" applyFont="1" applyFill="1" applyBorder="1"/>
    <xf numFmtId="173" fontId="115" fillId="0" borderId="0" xfId="20" applyNumberFormat="1" applyFont="1" applyFill="1" applyBorder="1"/>
    <xf numFmtId="8" fontId="34" fillId="0" borderId="0" xfId="0" applyNumberFormat="1" applyFont="1" applyFill="1" applyBorder="1"/>
    <xf numFmtId="173" fontId="112" fillId="2" borderId="13" xfId="23" applyNumberFormat="1" applyFont="1" applyFill="1" applyBorder="1"/>
    <xf numFmtId="6" fontId="112" fillId="2" borderId="0" xfId="0" applyNumberFormat="1" applyFont="1" applyFill="1" applyBorder="1"/>
    <xf numFmtId="166" fontId="4" fillId="0" borderId="6" xfId="0" applyNumberFormat="1" applyFont="1" applyFill="1" applyBorder="1"/>
    <xf numFmtId="7" fontId="1" fillId="2" borderId="1" xfId="0" applyNumberFormat="1" applyFont="1" applyFill="1" applyBorder="1"/>
    <xf numFmtId="173" fontId="115" fillId="2" borderId="13" xfId="20" applyNumberFormat="1" applyFont="1" applyFill="1" applyBorder="1"/>
    <xf numFmtId="179" fontId="5" fillId="0" borderId="0" xfId="0" applyNumberFormat="1" applyFont="1" applyFill="1"/>
    <xf numFmtId="0" fontId="1" fillId="0" borderId="0" xfId="0" applyFont="1" applyFill="1" applyBorder="1" applyAlignment="1">
      <alignment horizontal="right"/>
    </xf>
    <xf numFmtId="6" fontId="36" fillId="0" borderId="0" xfId="0" applyNumberFormat="1" applyFont="1" applyFill="1" applyBorder="1" applyAlignment="1">
      <alignment horizontal="center"/>
    </xf>
    <xf numFmtId="173" fontId="82" fillId="0" borderId="0" xfId="20" applyNumberFormat="1" applyFont="1" applyBorder="1"/>
    <xf numFmtId="8" fontId="112" fillId="0" borderId="0" xfId="0" applyNumberFormat="1" applyFont="1" applyFill="1" applyBorder="1"/>
    <xf numFmtId="8" fontId="112" fillId="2" borderId="0" xfId="20" applyNumberFormat="1" applyFont="1" applyFill="1" applyBorder="1"/>
    <xf numFmtId="7" fontId="112" fillId="2" borderId="1" xfId="0" applyNumberFormat="1" applyFont="1" applyFill="1" applyBorder="1"/>
    <xf numFmtId="7" fontId="112" fillId="0" borderId="0" xfId="0" applyNumberFormat="1" applyFont="1" applyFill="1" applyBorder="1"/>
    <xf numFmtId="7" fontId="1" fillId="2" borderId="0" xfId="0" applyNumberFormat="1" applyFont="1" applyFill="1" applyBorder="1"/>
    <xf numFmtId="7" fontId="1" fillId="2" borderId="13" xfId="0" applyNumberFormat="1" applyFont="1" applyFill="1" applyBorder="1"/>
    <xf numFmtId="173" fontId="115" fillId="2" borderId="0" xfId="20" applyNumberFormat="1" applyFont="1" applyFill="1" applyBorder="1"/>
    <xf numFmtId="37" fontId="112" fillId="2" borderId="0" xfId="0" applyNumberFormat="1" applyFont="1" applyFill="1" applyBorder="1"/>
    <xf numFmtId="37" fontId="1" fillId="2" borderId="1" xfId="0" applyNumberFormat="1" applyFont="1" applyFill="1" applyBorder="1"/>
    <xf numFmtId="43" fontId="1" fillId="0" borderId="0" xfId="20" applyNumberFormat="1"/>
    <xf numFmtId="0" fontId="4" fillId="0" borderId="5" xfId="0" applyFont="1" applyBorder="1" applyAlignment="1">
      <alignment horizontal="left"/>
    </xf>
    <xf numFmtId="0" fontId="4" fillId="0" borderId="10" xfId="0" applyFont="1" applyBorder="1" applyAlignment="1">
      <alignment horizontal="center"/>
    </xf>
    <xf numFmtId="191" fontId="5" fillId="2" borderId="0" xfId="20" applyNumberFormat="1" applyFont="1" applyFill="1" applyBorder="1"/>
    <xf numFmtId="9" fontId="1" fillId="0" borderId="0" xfId="39" applyNumberFormat="1"/>
    <xf numFmtId="166" fontId="1" fillId="0" borderId="0" xfId="39" applyNumberFormat="1"/>
    <xf numFmtId="10" fontId="1" fillId="0" borderId="0" xfId="39" applyNumberFormat="1"/>
    <xf numFmtId="10" fontId="4" fillId="0" borderId="0" xfId="39" applyNumberFormat="1" applyFont="1"/>
    <xf numFmtId="43" fontId="4" fillId="0" borderId="0" xfId="20" applyNumberFormat="1" applyFont="1" applyFill="1" applyBorder="1"/>
    <xf numFmtId="0" fontId="0" fillId="0" borderId="0" xfId="7" applyFont="1" applyFill="1" applyBorder="1"/>
    <xf numFmtId="10" fontId="5" fillId="0" borderId="0" xfId="5" applyNumberFormat="1" applyFont="1" applyFill="1" applyBorder="1" applyAlignment="1">
      <alignment horizontal="center"/>
    </xf>
    <xf numFmtId="175" fontId="4" fillId="0" borderId="0" xfId="20" applyNumberFormat="1" applyFont="1" applyFill="1" applyBorder="1"/>
    <xf numFmtId="172" fontId="1" fillId="0" borderId="0" xfId="39" applyNumberFormat="1"/>
    <xf numFmtId="173" fontId="65" fillId="0" borderId="0" xfId="39" applyNumberFormat="1" applyFont="1"/>
    <xf numFmtId="0" fontId="65" fillId="0" borderId="0" xfId="39" applyFont="1"/>
    <xf numFmtId="0" fontId="1" fillId="0" borderId="0" xfId="0" applyFont="1" applyBorder="1"/>
    <xf numFmtId="43" fontId="4" fillId="2" borderId="1" xfId="20" applyNumberFormat="1" applyFont="1" applyFill="1" applyBorder="1"/>
    <xf numFmtId="43" fontId="58" fillId="0" borderId="0" xfId="20" applyNumberFormat="1" applyFont="1" applyFill="1" applyBorder="1"/>
    <xf numFmtId="0" fontId="45" fillId="0" borderId="0" xfId="39" applyFont="1" applyAlignment="1">
      <alignment horizontal="center"/>
    </xf>
    <xf numFmtId="0" fontId="4" fillId="0" borderId="0" xfId="39" applyFont="1" applyAlignment="1">
      <alignment horizontal="center"/>
    </xf>
    <xf numFmtId="0" fontId="4" fillId="0" borderId="10" xfId="0" applyFont="1" applyBorder="1" applyAlignment="1">
      <alignment horizontal="center" wrapText="1"/>
    </xf>
    <xf numFmtId="0" fontId="4" fillId="0" borderId="25" xfId="0" applyFont="1" applyBorder="1" applyAlignment="1">
      <alignment horizontal="center" wrapText="1"/>
    </xf>
    <xf numFmtId="0" fontId="4" fillId="0" borderId="0" xfId="0" applyFont="1" applyAlignment="1">
      <alignment horizontal="center" wrapText="1"/>
    </xf>
    <xf numFmtId="0" fontId="1" fillId="0" borderId="1" xfId="0" applyFont="1" applyBorder="1"/>
    <xf numFmtId="173" fontId="0" fillId="0" borderId="0" xfId="20" applyNumberFormat="1" applyFont="1" applyBorder="1"/>
    <xf numFmtId="9" fontId="112" fillId="0" borderId="0" xfId="41" applyFont="1" applyBorder="1" applyAlignment="1">
      <alignment horizontal="center"/>
    </xf>
    <xf numFmtId="8" fontId="112" fillId="0" borderId="0" xfId="0" applyNumberFormat="1" applyFont="1" applyBorder="1"/>
    <xf numFmtId="8" fontId="0" fillId="0" borderId="0" xfId="0" applyNumberFormat="1" applyBorder="1"/>
    <xf numFmtId="6" fontId="0" fillId="0" borderId="0" xfId="0" applyNumberFormat="1" applyBorder="1" applyAlignment="1">
      <alignment horizontal="right"/>
    </xf>
    <xf numFmtId="6" fontId="0" fillId="0" borderId="0" xfId="0" applyNumberFormat="1" applyBorder="1"/>
    <xf numFmtId="6" fontId="0" fillId="0" borderId="13" xfId="0" applyNumberFormat="1" applyBorder="1"/>
    <xf numFmtId="6" fontId="0" fillId="0" borderId="0" xfId="0" applyNumberFormat="1"/>
    <xf numFmtId="0" fontId="112" fillId="0" borderId="0" xfId="0" applyFont="1" applyBorder="1" applyAlignment="1">
      <alignment horizontal="center"/>
    </xf>
    <xf numFmtId="6" fontId="112" fillId="0" borderId="0" xfId="0" applyNumberFormat="1" applyFont="1" applyBorder="1" applyAlignment="1">
      <alignment horizontal="right"/>
    </xf>
    <xf numFmtId="173" fontId="4" fillId="0" borderId="2" xfId="20" applyNumberFormat="1" applyFont="1" applyBorder="1"/>
    <xf numFmtId="0" fontId="4" fillId="0" borderId="2" xfId="0" applyFont="1" applyBorder="1"/>
    <xf numFmtId="6" fontId="4" fillId="0" borderId="2" xfId="0" applyNumberFormat="1" applyFont="1" applyBorder="1"/>
    <xf numFmtId="6" fontId="4" fillId="0" borderId="21" xfId="0" applyNumberFormat="1" applyFont="1" applyBorder="1"/>
    <xf numFmtId="174" fontId="1" fillId="0" borderId="56" xfId="20" applyNumberFormat="1" applyFont="1" applyFill="1" applyBorder="1"/>
    <xf numFmtId="43" fontId="5" fillId="0" borderId="0" xfId="20" applyNumberFormat="1" applyFont="1" applyFill="1" applyBorder="1"/>
    <xf numFmtId="166" fontId="112" fillId="2" borderId="0" xfId="5" applyNumberFormat="1" applyFont="1" applyFill="1" applyBorder="1"/>
    <xf numFmtId="38" fontId="1" fillId="0" borderId="0" xfId="22" applyNumberFormat="1" applyFont="1" applyBorder="1"/>
    <xf numFmtId="0" fontId="0" fillId="0" borderId="1" xfId="0" applyBorder="1"/>
    <xf numFmtId="0" fontId="0" fillId="0" borderId="13" xfId="0" applyBorder="1"/>
    <xf numFmtId="38" fontId="1" fillId="0" borderId="0" xfId="22" applyNumberFormat="1" applyFont="1" applyFill="1" applyBorder="1"/>
    <xf numFmtId="0" fontId="122" fillId="10" borderId="0" xfId="0" quotePrefix="1" applyFont="1" applyFill="1" applyAlignment="1">
      <alignment horizontal="center"/>
    </xf>
    <xf numFmtId="0" fontId="123" fillId="10" borderId="0" xfId="0" applyFont="1" applyFill="1"/>
    <xf numFmtId="0" fontId="0" fillId="0" borderId="25" xfId="0" applyBorder="1"/>
    <xf numFmtId="0" fontId="0" fillId="0" borderId="21" xfId="0" applyBorder="1"/>
    <xf numFmtId="4" fontId="1" fillId="2" borderId="1" xfId="60" applyNumberFormat="1" applyFont="1" applyFill="1" applyBorder="1" applyAlignment="1">
      <alignment horizontal="right"/>
    </xf>
    <xf numFmtId="4" fontId="1" fillId="2" borderId="0" xfId="60" applyNumberFormat="1" applyFont="1" applyFill="1" applyBorder="1" applyAlignment="1">
      <alignment horizontal="right"/>
    </xf>
    <xf numFmtId="4" fontId="1" fillId="2" borderId="13" xfId="60" applyNumberFormat="1" applyFont="1" applyFill="1" applyBorder="1" applyAlignment="1">
      <alignment horizontal="right"/>
    </xf>
    <xf numFmtId="4" fontId="36" fillId="2" borderId="13" xfId="60" applyNumberFormat="1" applyFont="1" applyFill="1" applyBorder="1" applyAlignment="1">
      <alignment horizontal="right"/>
    </xf>
    <xf numFmtId="4" fontId="36" fillId="2" borderId="0" xfId="60" applyNumberFormat="1" applyFont="1" applyFill="1" applyBorder="1" applyAlignment="1">
      <alignment horizontal="right"/>
    </xf>
    <xf numFmtId="4" fontId="36" fillId="2" borderId="1" xfId="60" applyNumberFormat="1" applyFont="1" applyFill="1" applyBorder="1" applyAlignment="1">
      <alignment horizontal="right"/>
    </xf>
    <xf numFmtId="0" fontId="4" fillId="2" borderId="1" xfId="60" applyFont="1" applyFill="1" applyBorder="1" applyAlignment="1">
      <alignment horizontal="centerContinuous"/>
    </xf>
    <xf numFmtId="0" fontId="1" fillId="2" borderId="0" xfId="60" applyFont="1" applyFill="1" applyBorder="1" applyAlignment="1">
      <alignment horizontal="centerContinuous"/>
    </xf>
    <xf numFmtId="0" fontId="1" fillId="2" borderId="13" xfId="60" applyFont="1" applyFill="1" applyBorder="1" applyAlignment="1">
      <alignment horizontal="centerContinuous"/>
    </xf>
    <xf numFmtId="0" fontId="36" fillId="2" borderId="0" xfId="60" applyFont="1" applyFill="1" applyBorder="1" applyAlignment="1">
      <alignment horizontal="centerContinuous"/>
    </xf>
    <xf numFmtId="0" fontId="36" fillId="2" borderId="1" xfId="60" applyFont="1" applyFill="1" applyBorder="1" applyAlignment="1">
      <alignment horizontal="centerContinuous"/>
    </xf>
    <xf numFmtId="0" fontId="36" fillId="2" borderId="13" xfId="60" applyFont="1" applyFill="1" applyBorder="1" applyAlignment="1">
      <alignment horizontal="centerContinuous"/>
    </xf>
    <xf numFmtId="0" fontId="35" fillId="2" borderId="0" xfId="60" applyFont="1" applyFill="1" applyBorder="1" applyAlignment="1">
      <alignment horizontal="centerContinuous"/>
    </xf>
    <xf numFmtId="0" fontId="35" fillId="2" borderId="13" xfId="60" applyFont="1" applyFill="1" applyBorder="1" applyAlignment="1">
      <alignment horizontal="centerContinuous"/>
    </xf>
    <xf numFmtId="0" fontId="1" fillId="2" borderId="1" xfId="60" applyFont="1" applyFill="1" applyBorder="1" applyAlignment="1">
      <alignment horizontal="centerContinuous"/>
    </xf>
    <xf numFmtId="2" fontId="1" fillId="2" borderId="1" xfId="60" applyNumberFormat="1" applyFont="1" applyFill="1" applyBorder="1" applyAlignment="1">
      <alignment horizontal="right"/>
    </xf>
    <xf numFmtId="2" fontId="1" fillId="2" borderId="0" xfId="60" applyNumberFormat="1" applyFont="1" applyFill="1" applyBorder="1" applyAlignment="1">
      <alignment horizontal="right"/>
    </xf>
    <xf numFmtId="2" fontId="1" fillId="2" borderId="13" xfId="60" applyNumberFormat="1" applyFont="1" applyFill="1" applyBorder="1" applyAlignment="1">
      <alignment horizontal="right"/>
    </xf>
    <xf numFmtId="2" fontId="36" fillId="2" borderId="13" xfId="60" applyNumberFormat="1" applyFont="1" applyFill="1" applyBorder="1" applyAlignment="1">
      <alignment horizontal="right"/>
    </xf>
    <xf numFmtId="2" fontId="36" fillId="2" borderId="0" xfId="60" applyNumberFormat="1" applyFont="1" applyFill="1" applyBorder="1" applyAlignment="1">
      <alignment horizontal="right"/>
    </xf>
    <xf numFmtId="3" fontId="1" fillId="2" borderId="1" xfId="60" applyNumberFormat="1" applyFont="1" applyFill="1" applyBorder="1" applyAlignment="1">
      <alignment horizontal="right"/>
    </xf>
    <xf numFmtId="3" fontId="1" fillId="2" borderId="0" xfId="60" applyNumberFormat="1" applyFont="1" applyFill="1" applyBorder="1" applyAlignment="1">
      <alignment horizontal="right"/>
    </xf>
    <xf numFmtId="3" fontId="1" fillId="2" borderId="13" xfId="60" applyNumberFormat="1" applyFont="1" applyFill="1" applyBorder="1" applyAlignment="1">
      <alignment horizontal="right"/>
    </xf>
    <xf numFmtId="3" fontId="36" fillId="2" borderId="13" xfId="60" applyNumberFormat="1" applyFont="1" applyFill="1" applyBorder="1" applyAlignment="1">
      <alignment horizontal="right"/>
    </xf>
    <xf numFmtId="3" fontId="36" fillId="2" borderId="0" xfId="60" applyNumberFormat="1" applyFont="1" applyFill="1" applyBorder="1" applyAlignment="1">
      <alignment horizontal="right"/>
    </xf>
    <xf numFmtId="9" fontId="4" fillId="2" borderId="0" xfId="41" applyFont="1" applyFill="1" applyBorder="1"/>
    <xf numFmtId="0" fontId="89" fillId="5" borderId="0" xfId="0" applyFont="1" applyFill="1"/>
    <xf numFmtId="173" fontId="0" fillId="0" borderId="0" xfId="0" applyNumberFormat="1" applyFill="1" applyBorder="1"/>
    <xf numFmtId="43" fontId="0" fillId="0" borderId="0" xfId="0" applyNumberFormat="1" applyFill="1" applyBorder="1"/>
    <xf numFmtId="7" fontId="37" fillId="2" borderId="0" xfId="20" applyNumberFormat="1" applyFont="1" applyFill="1" applyBorder="1"/>
    <xf numFmtId="43" fontId="37" fillId="2" borderId="13" xfId="20" applyNumberFormat="1" applyFont="1" applyFill="1" applyBorder="1"/>
    <xf numFmtId="43" fontId="1" fillId="0" borderId="0" xfId="20" applyNumberFormat="1" applyFont="1" applyFill="1" applyBorder="1"/>
    <xf numFmtId="0" fontId="123" fillId="10" borderId="0" xfId="0" applyFont="1" applyFill="1" applyAlignment="1">
      <alignment horizontal="center"/>
    </xf>
    <xf numFmtId="0" fontId="122" fillId="10" borderId="0" xfId="0" applyFont="1" applyFill="1" applyAlignment="1">
      <alignment horizontal="center"/>
    </xf>
    <xf numFmtId="190" fontId="5" fillId="0" borderId="0" xfId="0" applyNumberFormat="1" applyFont="1" applyFill="1" applyAlignment="1">
      <alignment horizontal="center"/>
    </xf>
    <xf numFmtId="8" fontId="5" fillId="0" borderId="0" xfId="0" applyNumberFormat="1" applyFont="1" applyFill="1" applyAlignment="1">
      <alignment horizontal="center"/>
    </xf>
    <xf numFmtId="7" fontId="5" fillId="0" borderId="0" xfId="0" applyNumberFormat="1" applyFont="1" applyFill="1" applyAlignment="1">
      <alignment horizontal="center"/>
    </xf>
    <xf numFmtId="190" fontId="1" fillId="0" borderId="0" xfId="0" applyNumberFormat="1" applyFont="1" applyFill="1" applyAlignment="1">
      <alignment horizontal="center"/>
    </xf>
    <xf numFmtId="37" fontId="5" fillId="0" borderId="0" xfId="0" applyNumberFormat="1" applyFont="1" applyFill="1" applyAlignment="1">
      <alignment horizontal="center"/>
    </xf>
    <xf numFmtId="6" fontId="5" fillId="0" borderId="0" xfId="0" applyNumberFormat="1" applyFont="1" applyFill="1" applyAlignment="1">
      <alignment horizontal="center"/>
    </xf>
    <xf numFmtId="0" fontId="5" fillId="0" borderId="0" xfId="0" applyFont="1" applyFill="1" applyAlignment="1">
      <alignment horizontal="center"/>
    </xf>
    <xf numFmtId="2" fontId="5" fillId="0" borderId="0" xfId="0" applyNumberFormat="1" applyFont="1" applyFill="1" applyAlignment="1">
      <alignment horizontal="center"/>
    </xf>
    <xf numFmtId="0" fontId="1" fillId="0" borderId="0" xfId="0" applyFont="1" applyFill="1" applyAlignment="1">
      <alignment horizontal="center"/>
    </xf>
    <xf numFmtId="0" fontId="62" fillId="5" borderId="0" xfId="59" applyFont="1" applyFill="1"/>
    <xf numFmtId="0" fontId="112" fillId="2" borderId="1" xfId="0" applyFont="1" applyFill="1" applyBorder="1"/>
    <xf numFmtId="0" fontId="112" fillId="2" borderId="0" xfId="0" applyFont="1" applyFill="1" applyBorder="1"/>
    <xf numFmtId="0" fontId="112" fillId="2" borderId="13" xfId="0" applyFont="1" applyFill="1" applyBorder="1"/>
    <xf numFmtId="9" fontId="112" fillId="2" borderId="0" xfId="0" applyNumberFormat="1" applyFont="1" applyFill="1" applyBorder="1"/>
    <xf numFmtId="9" fontId="112" fillId="2" borderId="13" xfId="0" applyNumberFormat="1" applyFont="1" applyFill="1" applyBorder="1"/>
    <xf numFmtId="8" fontId="4" fillId="0" borderId="0" xfId="20" applyNumberFormat="1" applyFont="1" applyFill="1"/>
    <xf numFmtId="0" fontId="35" fillId="2" borderId="61" xfId="36" applyFont="1" applyFill="1" applyBorder="1" applyAlignment="1">
      <alignment horizontal="centerContinuous"/>
    </xf>
    <xf numFmtId="3" fontId="36" fillId="2" borderId="61" xfId="34" applyNumberFormat="1" applyFont="1" applyFill="1" applyBorder="1" applyAlignment="1">
      <alignment horizontal="right"/>
    </xf>
    <xf numFmtId="0" fontId="1" fillId="0" borderId="0" xfId="61" applyFill="1" applyBorder="1"/>
    <xf numFmtId="0" fontId="1" fillId="0" borderId="0" xfId="61" applyFill="1"/>
    <xf numFmtId="0" fontId="4" fillId="2" borderId="16" xfId="61" applyFont="1" applyFill="1" applyBorder="1"/>
    <xf numFmtId="197" fontId="8" fillId="0" borderId="0" xfId="0" applyNumberFormat="1" applyFont="1" applyAlignment="1">
      <alignment horizontal="right"/>
    </xf>
    <xf numFmtId="0" fontId="4" fillId="2" borderId="4" xfId="61" applyFont="1" applyFill="1" applyBorder="1"/>
    <xf numFmtId="1" fontId="4" fillId="0" borderId="0" xfId="0" applyNumberFormat="1" applyFont="1"/>
    <xf numFmtId="166" fontId="4" fillId="2" borderId="1" xfId="5" applyNumberFormat="1" applyFont="1" applyFill="1" applyBorder="1"/>
    <xf numFmtId="166" fontId="4" fillId="2" borderId="0" xfId="5" applyNumberFormat="1" applyFont="1" applyFill="1" applyBorder="1"/>
    <xf numFmtId="166" fontId="4" fillId="2" borderId="13" xfId="5" applyNumberFormat="1" applyFont="1" applyFill="1" applyBorder="1"/>
    <xf numFmtId="7" fontId="105" fillId="0" borderId="55" xfId="0" applyNumberFormat="1" applyFont="1" applyFill="1" applyBorder="1" applyAlignment="1">
      <alignment horizontal="center"/>
    </xf>
    <xf numFmtId="7" fontId="105" fillId="0" borderId="7" xfId="0" applyNumberFormat="1" applyFont="1" applyFill="1" applyBorder="1" applyAlignment="1">
      <alignment horizontal="center"/>
    </xf>
    <xf numFmtId="4" fontId="36" fillId="2" borderId="45" xfId="60" applyNumberFormat="1" applyFont="1" applyFill="1" applyBorder="1" applyAlignment="1">
      <alignment horizontal="right"/>
    </xf>
    <xf numFmtId="0" fontId="35" fillId="2" borderId="45" xfId="60" applyFont="1" applyFill="1" applyBorder="1" applyAlignment="1">
      <alignment horizontal="centerContinuous"/>
    </xf>
    <xf numFmtId="2" fontId="36" fillId="2" borderId="45" xfId="60" applyNumberFormat="1" applyFont="1" applyFill="1" applyBorder="1" applyAlignment="1">
      <alignment horizontal="right"/>
    </xf>
    <xf numFmtId="3" fontId="36" fillId="2" borderId="45" xfId="60" applyNumberFormat="1" applyFont="1" applyFill="1" applyBorder="1" applyAlignment="1">
      <alignment horizontal="right"/>
    </xf>
    <xf numFmtId="3" fontId="36" fillId="2" borderId="45" xfId="36" applyNumberFormat="1" applyFont="1" applyFill="1" applyBorder="1" applyAlignment="1">
      <alignment horizontal="right"/>
    </xf>
    <xf numFmtId="7" fontId="1" fillId="0" borderId="0" xfId="0" applyNumberFormat="1" applyFont="1" applyFill="1" applyBorder="1"/>
    <xf numFmtId="166" fontId="1" fillId="0" borderId="0" xfId="5" applyNumberFormat="1" applyFont="1" applyFill="1" applyBorder="1"/>
    <xf numFmtId="174" fontId="5" fillId="0" borderId="1" xfId="5" applyNumberFormat="1" applyFont="1" applyFill="1" applyBorder="1"/>
    <xf numFmtId="173" fontId="1" fillId="0" borderId="0" xfId="0" applyNumberFormat="1" applyFont="1" applyFill="1" applyBorder="1"/>
    <xf numFmtId="166" fontId="1" fillId="2" borderId="1" xfId="41" applyNumberFormat="1" applyFont="1" applyFill="1" applyBorder="1"/>
    <xf numFmtId="166" fontId="1" fillId="2" borderId="13" xfId="41" applyNumberFormat="1" applyFont="1" applyFill="1" applyBorder="1"/>
    <xf numFmtId="174" fontId="1" fillId="0" borderId="13" xfId="20" applyNumberFormat="1" applyFont="1" applyFill="1" applyBorder="1"/>
    <xf numFmtId="0" fontId="1" fillId="0" borderId="1" xfId="5" applyFont="1" applyFill="1" applyBorder="1"/>
    <xf numFmtId="166" fontId="1" fillId="0" borderId="13" xfId="0" applyNumberFormat="1" applyFont="1" applyFill="1" applyBorder="1"/>
    <xf numFmtId="166" fontId="112" fillId="0" borderId="10" xfId="0" applyNumberFormat="1" applyFont="1" applyFill="1" applyBorder="1"/>
    <xf numFmtId="4" fontId="115" fillId="0" borderId="0" xfId="0" applyNumberFormat="1" applyFont="1" applyFill="1" applyBorder="1"/>
    <xf numFmtId="166" fontId="112" fillId="0" borderId="13" xfId="0" applyNumberFormat="1" applyFont="1" applyFill="1" applyBorder="1"/>
    <xf numFmtId="166" fontId="112" fillId="0" borderId="25" xfId="0" applyNumberFormat="1" applyFont="1" applyFill="1" applyBorder="1"/>
    <xf numFmtId="174" fontId="112" fillId="0" borderId="13" xfId="20" applyNumberFormat="1" applyFont="1" applyFill="1" applyBorder="1"/>
    <xf numFmtId="166" fontId="112" fillId="0" borderId="0" xfId="5" applyNumberFormat="1" applyFont="1" applyFill="1" applyBorder="1"/>
    <xf numFmtId="174" fontId="112" fillId="0" borderId="0" xfId="5" applyNumberFormat="1" applyFont="1" applyFill="1" applyBorder="1"/>
    <xf numFmtId="166" fontId="112" fillId="0" borderId="56" xfId="5" applyNumberFormat="1" applyFont="1" applyFill="1" applyBorder="1"/>
    <xf numFmtId="174" fontId="112" fillId="0" borderId="56" xfId="20" applyNumberFormat="1" applyFont="1" applyFill="1" applyBorder="1"/>
    <xf numFmtId="166" fontId="112" fillId="0" borderId="58" xfId="5" applyNumberFormat="1" applyFont="1" applyFill="1" applyBorder="1"/>
    <xf numFmtId="7" fontId="1" fillId="0" borderId="0" xfId="0" applyNumberFormat="1" applyFont="1" applyFill="1" applyAlignment="1">
      <alignment horizontal="center"/>
    </xf>
    <xf numFmtId="43" fontId="1" fillId="0" borderId="0" xfId="20" applyNumberFormat="1" applyFill="1"/>
    <xf numFmtId="174" fontId="1" fillId="0" borderId="0" xfId="20" applyNumberFormat="1" applyFont="1" applyFill="1" applyBorder="1"/>
    <xf numFmtId="192" fontId="28" fillId="0" borderId="0" xfId="20" applyNumberFormat="1" applyFont="1" applyFill="1" applyBorder="1"/>
    <xf numFmtId="190" fontId="5" fillId="2" borderId="1" xfId="0" applyNumberFormat="1" applyFont="1" applyFill="1" applyBorder="1"/>
    <xf numFmtId="190" fontId="5" fillId="2" borderId="0" xfId="0" applyNumberFormat="1" applyFont="1" applyFill="1" applyBorder="1"/>
    <xf numFmtId="190" fontId="5" fillId="2" borderId="13" xfId="0" applyNumberFormat="1" applyFont="1" applyFill="1" applyBorder="1"/>
    <xf numFmtId="0" fontId="1" fillId="0" borderId="0" xfId="50" applyFont="1" applyFill="1" applyBorder="1"/>
    <xf numFmtId="198" fontId="0" fillId="2" borderId="13" xfId="0" applyNumberFormat="1" applyFill="1" applyBorder="1"/>
    <xf numFmtId="173" fontId="5" fillId="0" borderId="13" xfId="20" applyNumberFormat="1" applyFont="1" applyFill="1" applyBorder="1" applyAlignment="1">
      <alignment horizontal="right"/>
    </xf>
    <xf numFmtId="173" fontId="4" fillId="11" borderId="0" xfId="20" applyNumberFormat="1" applyFont="1" applyFill="1" applyBorder="1"/>
    <xf numFmtId="173" fontId="4" fillId="11" borderId="13" xfId="20" applyNumberFormat="1" applyFont="1" applyFill="1" applyBorder="1"/>
    <xf numFmtId="166" fontId="121" fillId="2" borderId="1" xfId="0" applyNumberFormat="1" applyFont="1" applyFill="1" applyBorder="1"/>
    <xf numFmtId="8" fontId="112" fillId="2" borderId="1" xfId="0" applyNumberFormat="1" applyFont="1" applyFill="1" applyBorder="1"/>
    <xf numFmtId="9" fontId="36" fillId="0" borderId="0" xfId="41" applyNumberFormat="1" applyFont="1" applyFill="1"/>
    <xf numFmtId="190" fontId="28" fillId="0" borderId="0" xfId="0" applyNumberFormat="1" applyFont="1" applyBorder="1"/>
    <xf numFmtId="199" fontId="8" fillId="0" borderId="0" xfId="0" applyNumberFormat="1" applyFont="1" applyAlignment="1">
      <alignment horizontal="right"/>
    </xf>
    <xf numFmtId="37" fontId="1" fillId="0" borderId="1" xfId="22" applyNumberFormat="1" applyFont="1" applyFill="1" applyBorder="1" applyAlignment="1">
      <alignment horizontal="center"/>
    </xf>
    <xf numFmtId="37" fontId="1" fillId="0" borderId="0" xfId="22" applyNumberFormat="1" applyFont="1" applyFill="1" applyBorder="1" applyAlignment="1">
      <alignment horizontal="center"/>
    </xf>
    <xf numFmtId="0" fontId="1" fillId="0" borderId="0" xfId="5" applyFont="1" applyFill="1" applyBorder="1" applyAlignment="1">
      <alignment horizontal="center"/>
    </xf>
    <xf numFmtId="1" fontId="1" fillId="0" borderId="0" xfId="22" applyNumberFormat="1" applyFont="1" applyFill="1" applyBorder="1" applyAlignment="1">
      <alignment horizontal="center"/>
    </xf>
    <xf numFmtId="166" fontId="1" fillId="0" borderId="0" xfId="5" applyNumberFormat="1" applyFont="1" applyFill="1" applyBorder="1" applyAlignment="1">
      <alignment horizontal="center"/>
    </xf>
    <xf numFmtId="38" fontId="1" fillId="0" borderId="0" xfId="0" applyNumberFormat="1" applyFont="1" applyFill="1" applyBorder="1" applyAlignment="1">
      <alignment horizontal="center"/>
    </xf>
    <xf numFmtId="173" fontId="1" fillId="0" borderId="0" xfId="20" applyNumberFormat="1" applyFont="1" applyFill="1" applyBorder="1"/>
    <xf numFmtId="38" fontId="4" fillId="0" borderId="0" xfId="25" applyNumberFormat="1" applyFont="1" applyFill="1" applyBorder="1" applyAlignment="1">
      <alignment horizontal="center"/>
    </xf>
    <xf numFmtId="38" fontId="22" fillId="0" borderId="0" xfId="22" applyNumberFormat="1" applyFont="1" applyFill="1" applyBorder="1" applyAlignment="1">
      <alignment horizontal="center"/>
    </xf>
    <xf numFmtId="38" fontId="1" fillId="0" borderId="0" xfId="22" applyNumberFormat="1" applyFont="1" applyBorder="1" applyAlignment="1"/>
    <xf numFmtId="38" fontId="34" fillId="0" borderId="0" xfId="22" applyNumberFormat="1" applyFont="1" applyFill="1" applyBorder="1" applyAlignment="1">
      <alignment horizontal="center"/>
    </xf>
    <xf numFmtId="1" fontId="34" fillId="0" borderId="0" xfId="22" applyNumberFormat="1" applyFont="1" applyFill="1" applyBorder="1" applyAlignment="1">
      <alignment horizontal="center"/>
    </xf>
    <xf numFmtId="38" fontId="1" fillId="0" borderId="0" xfId="22" applyNumberFormat="1" applyFont="1" applyFill="1" applyBorder="1" applyAlignment="1"/>
    <xf numFmtId="38" fontId="1" fillId="0" borderId="0" xfId="22" applyNumberFormat="1" applyFont="1" applyFill="1" applyBorder="1" applyAlignment="1">
      <alignment horizontal="center"/>
    </xf>
    <xf numFmtId="38" fontId="36" fillId="0" borderId="0" xfId="22" applyNumberFormat="1" applyFont="1" applyFill="1" applyBorder="1" applyAlignment="1">
      <alignment horizontal="center"/>
    </xf>
    <xf numFmtId="173" fontId="34" fillId="2" borderId="0" xfId="20" applyNumberFormat="1" applyFont="1" applyFill="1" applyBorder="1"/>
    <xf numFmtId="173" fontId="21" fillId="2" borderId="13" xfId="20" applyNumberFormat="1" applyFont="1" applyFill="1" applyBorder="1"/>
    <xf numFmtId="166" fontId="34" fillId="0" borderId="0" xfId="41" applyNumberFormat="1" applyFont="1" applyFill="1" applyBorder="1" applyAlignment="1">
      <alignment horizontal="center"/>
    </xf>
    <xf numFmtId="0" fontId="1" fillId="0" borderId="0" xfId="5" applyFont="1" applyBorder="1" applyAlignment="1">
      <alignment horizontal="left"/>
    </xf>
    <xf numFmtId="172" fontId="34" fillId="0" borderId="0" xfId="22" applyNumberFormat="1" applyFont="1" applyFill="1" applyBorder="1" applyAlignment="1">
      <alignment horizontal="center"/>
    </xf>
    <xf numFmtId="37" fontId="1" fillId="0" borderId="0" xfId="22" applyNumberFormat="1" applyFont="1" applyFill="1" applyBorder="1" applyAlignment="1">
      <alignment horizontal="center"/>
    </xf>
    <xf numFmtId="9" fontId="37" fillId="2" borderId="1" xfId="20" applyNumberFormat="1" applyFont="1" applyFill="1" applyBorder="1"/>
    <xf numFmtId="9" fontId="37" fillId="2" borderId="0" xfId="20" applyNumberFormat="1" applyFont="1" applyFill="1" applyBorder="1"/>
    <xf numFmtId="9" fontId="37" fillId="2" borderId="13" xfId="20" applyNumberFormat="1" applyFont="1" applyFill="1" applyBorder="1"/>
    <xf numFmtId="2" fontId="5" fillId="0" borderId="0" xfId="0" applyNumberFormat="1" applyFont="1" applyFill="1" applyBorder="1"/>
    <xf numFmtId="0" fontId="1" fillId="12" borderId="0" xfId="67" applyFont="1" applyFill="1" applyAlignment="1">
      <alignment vertical="top"/>
    </xf>
    <xf numFmtId="0" fontId="1" fillId="12" borderId="0" xfId="28" applyFill="1" applyAlignment="1">
      <alignment vertical="top"/>
    </xf>
    <xf numFmtId="0" fontId="1" fillId="12" borderId="0" xfId="28" applyFill="1"/>
    <xf numFmtId="0" fontId="92" fillId="12" borderId="0" xfId="67" applyFont="1" applyFill="1" applyAlignment="1">
      <alignment horizontal="left" vertical="top"/>
    </xf>
    <xf numFmtId="0" fontId="1" fillId="12" borderId="0" xfId="28" applyFont="1" applyFill="1" applyAlignment="1">
      <alignment vertical="top"/>
    </xf>
    <xf numFmtId="0" fontId="20" fillId="12" borderId="0" xfId="67" applyFont="1" applyFill="1" applyAlignment="1">
      <alignment vertical="top"/>
    </xf>
    <xf numFmtId="0" fontId="0" fillId="12" borderId="0" xfId="0" applyFill="1" applyAlignment="1">
      <alignment vertical="top"/>
    </xf>
    <xf numFmtId="0" fontId="125" fillId="12" borderId="0" xfId="0" applyFont="1" applyFill="1" applyAlignment="1">
      <alignment vertical="top"/>
    </xf>
    <xf numFmtId="0" fontId="126" fillId="12" borderId="0" xfId="0" applyFont="1" applyFill="1" applyAlignment="1">
      <alignment vertical="top"/>
    </xf>
    <xf numFmtId="0" fontId="125" fillId="12" borderId="60" xfId="0" applyFont="1" applyFill="1" applyBorder="1" applyAlignment="1">
      <alignment vertical="top"/>
    </xf>
    <xf numFmtId="9" fontId="125" fillId="12" borderId="60" xfId="0" applyNumberFormat="1" applyFont="1" applyFill="1" applyBorder="1" applyAlignment="1">
      <alignment vertical="top"/>
    </xf>
    <xf numFmtId="3" fontId="125" fillId="12" borderId="60" xfId="0" applyNumberFormat="1" applyFont="1" applyFill="1" applyBorder="1" applyAlignment="1">
      <alignment vertical="top"/>
    </xf>
    <xf numFmtId="2" fontId="1" fillId="0" borderId="0" xfId="28" applyNumberFormat="1" applyAlignment="1">
      <alignment horizontal="left"/>
    </xf>
    <xf numFmtId="0" fontId="1" fillId="0" borderId="0" xfId="28" applyNumberFormat="1" applyAlignment="1">
      <alignment horizontal="left"/>
    </xf>
    <xf numFmtId="1" fontId="1" fillId="0" borderId="0" xfId="28" applyNumberFormat="1" applyAlignment="1">
      <alignment horizontal="left"/>
    </xf>
    <xf numFmtId="0" fontId="1" fillId="0" borderId="0" xfId="28" applyFont="1"/>
    <xf numFmtId="189" fontId="1" fillId="0" borderId="0" xfId="28" applyNumberFormat="1" applyAlignment="1">
      <alignment horizontal="left"/>
    </xf>
    <xf numFmtId="49" fontId="1" fillId="0" borderId="0" xfId="28" applyNumberFormat="1"/>
    <xf numFmtId="0" fontId="127" fillId="0" borderId="0" xfId="28" applyFont="1" applyAlignment="1">
      <alignment wrapText="1"/>
    </xf>
    <xf numFmtId="0" fontId="127" fillId="0" borderId="0" xfId="28" applyFont="1" applyAlignment="1">
      <alignment horizontal="left" wrapText="1" indent="3"/>
    </xf>
    <xf numFmtId="0" fontId="127" fillId="0" borderId="0" xfId="28" applyFont="1" applyAlignment="1">
      <alignment horizontal="left" wrapText="1" indent="1"/>
    </xf>
    <xf numFmtId="0" fontId="129" fillId="0" borderId="0" xfId="28" applyFont="1" applyAlignment="1">
      <alignment wrapText="1"/>
    </xf>
    <xf numFmtId="0" fontId="0" fillId="12" borderId="66" xfId="0" applyFill="1" applyBorder="1" applyAlignment="1">
      <alignment vertical="top"/>
    </xf>
    <xf numFmtId="0" fontId="125" fillId="12" borderId="0" xfId="0" applyFont="1" applyFill="1" applyAlignment="1">
      <alignment vertical="top"/>
    </xf>
    <xf numFmtId="0" fontId="125" fillId="12" borderId="62" xfId="0" applyFont="1" applyFill="1" applyBorder="1" applyAlignment="1">
      <alignment vertical="top"/>
    </xf>
    <xf numFmtId="0" fontId="125" fillId="12" borderId="63" xfId="0" applyFont="1" applyFill="1" applyBorder="1" applyAlignment="1">
      <alignment vertical="top"/>
    </xf>
    <xf numFmtId="0" fontId="125" fillId="12" borderId="64" xfId="0" applyFont="1" applyFill="1" applyBorder="1" applyAlignment="1">
      <alignment vertical="top"/>
    </xf>
    <xf numFmtId="0" fontId="126" fillId="12" borderId="0" xfId="0" applyFont="1" applyFill="1" applyAlignment="1">
      <alignment vertical="top"/>
    </xf>
    <xf numFmtId="0" fontId="0" fillId="12" borderId="0" xfId="0" applyFill="1" applyAlignment="1">
      <alignment vertical="top"/>
    </xf>
    <xf numFmtId="0" fontId="0" fillId="12" borderId="65" xfId="0" applyFill="1" applyBorder="1" applyAlignment="1">
      <alignment vertical="top"/>
    </xf>
  </cellXfs>
  <cellStyles count="68">
    <cellStyle name=" 1" xfId="1"/>
    <cellStyle name=" 1 2" xfId="2"/>
    <cellStyle name=" 2" xfId="3"/>
    <cellStyle name=" 2 2" xfId="4"/>
    <cellStyle name="******************************************" xfId="5"/>
    <cellStyle name="****************************************** 2" xfId="6"/>
    <cellStyle name="****************************************** 2 2" xfId="7"/>
    <cellStyle name="****************************************** 3" xfId="59"/>
    <cellStyle name="_SUMMARY " xfId="8"/>
    <cellStyle name="0_Capex &amp; Depreciation " xfId="9"/>
    <cellStyle name="0_P&amp;L-adj " xfId="10"/>
    <cellStyle name="0_Quarterly " xfId="11"/>
    <cellStyle name="0_Quarterly  2" xfId="62"/>
    <cellStyle name="0_Valuing BP " xfId="12"/>
    <cellStyle name="ÅëÈ­ [0]_cover " xfId="13"/>
    <cellStyle name="ÅëÈ­_cover " xfId="14"/>
    <cellStyle name="ÄÞ¸¶ [0]_cover " xfId="15"/>
    <cellStyle name="ÄÞ¸¶_cover " xfId="16"/>
    <cellStyle name="c_HardInc " xfId="17"/>
    <cellStyle name="C￥AØ_¿μ¾÷CoE² " xfId="18"/>
    <cellStyle name="Ç¥ÁØ_cover " xfId="19"/>
    <cellStyle name="Comma" xfId="20" builtinId="3"/>
    <cellStyle name="Comma [0]" xfId="21" builtinId="6"/>
    <cellStyle name="Comma [0]_FORECAST" xfId="22"/>
    <cellStyle name="Comma 2" xfId="23"/>
    <cellStyle name="Comma 2 2" xfId="63"/>
    <cellStyle name="Comma 3" xfId="24"/>
    <cellStyle name="Comma 3 2" xfId="64"/>
    <cellStyle name="Currency" xfId="25" builtinId="4"/>
    <cellStyle name="Currency [0]_FORECAST" xfId="26"/>
    <cellStyle name="Currency 2" xfId="27"/>
    <cellStyle name="Currency 2 2" xfId="65"/>
    <cellStyle name="Fail" xfId="52"/>
    <cellStyle name="FiscalPeriod" xfId="53"/>
    <cellStyle name="Hidden" xfId="54"/>
    <cellStyle name="MetricLabel" xfId="55"/>
    <cellStyle name="MetricLabelBlue" xfId="56"/>
    <cellStyle name="MetricValue" xfId="57"/>
    <cellStyle name="Normal" xfId="0" builtinId="0"/>
    <cellStyle name="Normal 2" xfId="28"/>
    <cellStyle name="Normal 3" xfId="51"/>
    <cellStyle name="Normal_AEP Model WIP 02.01.13" xfId="29"/>
    <cellStyle name="Normal_Debt" xfId="30"/>
    <cellStyle name="Normal_DisclaimerSheet Samples" xfId="67"/>
    <cellStyle name="Normal_EXC" xfId="31"/>
    <cellStyle name="Normal_EXC Model 02.07.13 WIP v4" xfId="32"/>
    <cellStyle name="Normal_EXC Model WIP" xfId="61"/>
    <cellStyle name="Normal_MS Price Deck 3.30.12" xfId="33"/>
    <cellStyle name="Normal_NEE Model 1.10.12" xfId="60"/>
    <cellStyle name="Normal_NEE Model 1.10.12 2" xfId="34"/>
    <cellStyle name="Normal_NEE Model 1.10.12_FE Model 01.31.13 WIP v2" xfId="35"/>
    <cellStyle name="Normal_NEE Model 1.10.12_FE Model 02.01.13 WIP" xfId="36"/>
    <cellStyle name="Normal_NEE Model 1.10.12_FE Model 02.01.13 WIP 2" xfId="50"/>
    <cellStyle name="Normal_PFE_WYEwk-old" xfId="37"/>
    <cellStyle name="Normal_PFE_WYEwk-old 2" xfId="38"/>
    <cellStyle name="Normal_POM_092514" xfId="39"/>
    <cellStyle name="p " xfId="40"/>
    <cellStyle name="Pass" xfId="58"/>
    <cellStyle name="Percent" xfId="41" builtinId="5"/>
    <cellStyle name="Percent 2" xfId="42"/>
    <cellStyle name="Percent 2 2" xfId="66"/>
    <cellStyle name="RRSInstruction" xfId="43"/>
    <cellStyle name="s_HardInc " xfId="44"/>
    <cellStyle name="s_Valuation " xfId="45"/>
    <cellStyle name="ssp " xfId="46"/>
    <cellStyle name="콤마 [0]_ 2팀층별 " xfId="47"/>
    <cellStyle name="콤마_ 2팀층별 " xfId="48"/>
    <cellStyle name="표준_0N-HANDLING " xfId="49"/>
  </cellStyles>
  <dxfs count="12">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63"/>
      </font>
    </dxf>
    <dxf>
      <font>
        <condense val="0"/>
        <extend val="0"/>
        <color indexed="12"/>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125A31"/>
      <rgbColor rgb="00E2E7E8"/>
      <rgbColor rgb="009DC9DC"/>
      <rgbColor rgb="00B2122B"/>
      <rgbColor rgb="00FC7114"/>
      <rgbColor rgb="00F8CD14"/>
      <rgbColor rgb="00003366"/>
      <rgbColor rgb="004091BF"/>
      <rgbColor rgb="00FCAE91"/>
      <rgbColor rgb="002270AB"/>
      <rgbColor rgb="00E3EEDE"/>
      <rgbColor rgb="0069ADCA"/>
      <rgbColor rgb="00CED5D7"/>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800080"/>
      <rgbColor rgb="00FFFFCC"/>
      <rgbColor rgb="0097A5BB"/>
      <rgbColor rgb="00F7BEBF"/>
      <rgbColor rgb="00EFC1D2"/>
      <rgbColor rgb="00EFC49F"/>
      <rgbColor rgb="00ECD7B2"/>
      <rgbColor rgb="00A6DAC5"/>
      <rgbColor rgb="00C7E5BE"/>
      <rgbColor rgb="00A1D399"/>
      <rgbColor rgb="0041A95C"/>
      <rgbColor rgb="00E5EEF7"/>
      <rgbColor rgb="00238B45"/>
      <rgbColor rgb="001B4694"/>
      <rgbColor rgb="00C6D9E2"/>
      <rgbColor rgb="00969696"/>
      <rgbColor rgb="00FB9A7A"/>
      <rgbColor rgb="0074BE74"/>
      <rgbColor rgb="00EE7F81"/>
      <rgbColor rgb="00F26163"/>
      <rgbColor rgb="00FF0000"/>
      <rgbColor rgb="00A55628"/>
      <rgbColor rgb="00FDCDB8"/>
      <rgbColor rgb="000000FF"/>
    </indexedColors>
    <mruColors>
      <color rgb="FF003366"/>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externalLinks/externalLink1.xml" Type="http://schemas.openxmlformats.org/officeDocument/2006/relationships/externalLink"/>
<Relationship Id="rId24" Target="externalLinks/externalLink2.xml" Type="http://schemas.openxmlformats.org/officeDocument/2006/relationships/externalLink"/>
<Relationship Id="rId25" Target="externalLinks/externalLink3.xml" Type="http://schemas.openxmlformats.org/officeDocument/2006/relationships/externalLink"/>
<Relationship Id="rId26" Target="externalLinks/externalLink4.xml" Type="http://schemas.openxmlformats.org/officeDocument/2006/relationships/externalLink"/>
<Relationship Id="rId27" Target="externalLinks/externalLink5.xml" Type="http://schemas.openxmlformats.org/officeDocument/2006/relationships/externalLink"/>
<Relationship Id="rId28" Target="externalLinks/externalLink6.xml" Type="http://schemas.openxmlformats.org/officeDocument/2006/relationships/externalLink"/>
<Relationship Id="rId29" Target="externalLinks/externalLink7.xml" Type="http://schemas.openxmlformats.org/officeDocument/2006/relationships/externalLink"/>
<Relationship Id="rId3" Target="worksheets/sheet3.xml" Type="http://schemas.openxmlformats.org/officeDocument/2006/relationships/worksheet"/>
<Relationship Id="rId30" Target="externalLinks/externalLink8.xml" Type="http://schemas.openxmlformats.org/officeDocument/2006/relationships/externalLink"/>
<Relationship Id="rId31" Target="externalLinks/externalLink9.xml" Type="http://schemas.openxmlformats.org/officeDocument/2006/relationships/externalLink"/>
<Relationship Id="rId32" Target="externalLinks/externalLink10.xml" Type="http://schemas.openxmlformats.org/officeDocument/2006/relationships/externalLink"/>
<Relationship Id="rId33" Target="externalLinks/externalLink11.xml" Type="http://schemas.openxmlformats.org/officeDocument/2006/relationships/externalLink"/>
<Relationship Id="rId34" Target="externalLinks/externalLink12.xml" Type="http://schemas.openxmlformats.org/officeDocument/2006/relationships/externalLink"/>
<Relationship Id="rId35" Target="externalLinks/externalLink13.xml" Type="http://schemas.openxmlformats.org/officeDocument/2006/relationships/externalLink"/>
<Relationship Id="rId36" Target="externalLinks/externalLink14.xml" Type="http://schemas.openxmlformats.org/officeDocument/2006/relationships/externalLink"/>
<Relationship Id="rId37" Target="externalLinks/externalLink15.xml" Type="http://schemas.openxmlformats.org/officeDocument/2006/relationships/externalLink"/>
<Relationship Id="rId38" Target="theme/theme1.xml" Type="http://schemas.openxmlformats.org/officeDocument/2006/relationships/theme"/>
<Relationship Id="rId39" Target="styles.xml" Type="http://schemas.openxmlformats.org/officeDocument/2006/relationships/styles"/>
<Relationship Id="rId4" Target="worksheets/sheet4.xml" Type="http://schemas.openxmlformats.org/officeDocument/2006/relationships/worksheet"/>
<Relationship Id="rId40" Target="sharedStrings.xml" Type="http://schemas.openxmlformats.org/officeDocument/2006/relationships/sharedStrings"/>
<Relationship Id="rId41" Target="calcChain.xml" Type="http://schemas.openxmlformats.org/officeDocument/2006/relationships/calcChain"/>
<Relationship Id="rId42" Target="../customXml/item1.xml" Type="http://schemas.openxmlformats.org/officeDocument/2006/relationships/customXml"/>
<Relationship Id="rId43" Target="../customXml/item2.xml" Type="http://schemas.openxmlformats.org/officeDocument/2006/relationships/customXml"/>
<Relationship Id="rId44"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5.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6.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7.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8.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9.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0.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11.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2.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3.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4.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5.xml.rels><?xml version="1.0" encoding="UTF-8" standalone="yes"?>
<Relationships xmlns="http://schemas.openxmlformats.org/package/2006/relationships">
<Relationship Id="rId1" Target="../media/image4.png" Type="http://schemas.openxmlformats.org/officeDocument/2006/relationships/image"/>
</Relationships>

</file>

<file path=xl/drawings/_rels/drawing16.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452609" name="Picture 1" descr="C:\Users\tabataba\AppData\Local\Temp\MercuryPriceRatingHistoryChart\EXC.N_2018_04_12_18_41_2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453633" name="Button 1" hidden="1">
              <a:extLst>
                <a:ext uri="{63B3BB69-23CF-44E3-9099-C40C66FF867C}">
                  <a14:compatExt spid="_x0000_s453633"/>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453634" name="Button 2" hidden="1">
              <a:extLst>
                <a:ext uri="{63B3BB69-23CF-44E3-9099-C40C66FF867C}">
                  <a14:compatExt spid="_x0000_s453634"/>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600075</xdr:colOff>
      <xdr:row>2</xdr:row>
      <xdr:rowOff>38100</xdr:rowOff>
    </xdr:from>
    <xdr:to>
      <xdr:col>10</xdr:col>
      <xdr:colOff>257175</xdr:colOff>
      <xdr:row>4</xdr:row>
      <xdr:rowOff>0</xdr:rowOff>
    </xdr:to>
    <xdr:pic>
      <xdr:nvPicPr>
        <xdr:cNvPr id="37936"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238750" y="561975"/>
          <a:ext cx="376237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72</xdr:col>
      <xdr:colOff>1562100</xdr:colOff>
      <xdr:row>1</xdr:row>
      <xdr:rowOff>85725</xdr:rowOff>
    </xdr:from>
    <xdr:to>
      <xdr:col>76</xdr:col>
      <xdr:colOff>476250</xdr:colOff>
      <xdr:row>2</xdr:row>
      <xdr:rowOff>180975</xdr:rowOff>
    </xdr:to>
    <xdr:pic>
      <xdr:nvPicPr>
        <xdr:cNvPr id="79249" name="Picture 6"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56159" y="276225"/>
          <a:ext cx="2993091"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93</xdr:col>
      <xdr:colOff>314325</xdr:colOff>
      <xdr:row>1</xdr:row>
      <xdr:rowOff>57150</xdr:rowOff>
    </xdr:from>
    <xdr:to>
      <xdr:col>118</xdr:col>
      <xdr:colOff>472888</xdr:colOff>
      <xdr:row>2</xdr:row>
      <xdr:rowOff>152400</xdr:rowOff>
    </xdr:to>
    <xdr:pic>
      <xdr:nvPicPr>
        <xdr:cNvPr id="75828" name="Picture 6"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247650"/>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33</xdr:col>
      <xdr:colOff>28575</xdr:colOff>
      <xdr:row>1</xdr:row>
      <xdr:rowOff>38100</xdr:rowOff>
    </xdr:from>
    <xdr:to>
      <xdr:col>53</xdr:col>
      <xdr:colOff>514350</xdr:colOff>
      <xdr:row>2</xdr:row>
      <xdr:rowOff>123825</xdr:rowOff>
    </xdr:to>
    <xdr:pic>
      <xdr:nvPicPr>
        <xdr:cNvPr id="48866" name="Picture 14"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28600"/>
          <a:ext cx="29813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28</xdr:col>
      <xdr:colOff>560294</xdr:colOff>
      <xdr:row>1</xdr:row>
      <xdr:rowOff>66675</xdr:rowOff>
    </xdr:from>
    <xdr:to>
      <xdr:col>53</xdr:col>
      <xdr:colOff>569819</xdr:colOff>
      <xdr:row>2</xdr:row>
      <xdr:rowOff>161925</xdr:rowOff>
    </xdr:to>
    <xdr:pic>
      <xdr:nvPicPr>
        <xdr:cNvPr id="192923"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35588" y="257175"/>
          <a:ext cx="3035113"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28</xdr:col>
      <xdr:colOff>638175</xdr:colOff>
      <xdr:row>1</xdr:row>
      <xdr:rowOff>47625</xdr:rowOff>
    </xdr:from>
    <xdr:to>
      <xdr:col>53</xdr:col>
      <xdr:colOff>342339</xdr:colOff>
      <xdr:row>2</xdr:row>
      <xdr:rowOff>142875</xdr:rowOff>
    </xdr:to>
    <xdr:pic>
      <xdr:nvPicPr>
        <xdr:cNvPr id="85360"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24700" y="238125"/>
          <a:ext cx="301942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33</xdr:col>
      <xdr:colOff>47625</xdr:colOff>
      <xdr:row>1</xdr:row>
      <xdr:rowOff>47625</xdr:rowOff>
    </xdr:from>
    <xdr:to>
      <xdr:col>54</xdr:col>
      <xdr:colOff>0</xdr:colOff>
      <xdr:row>2</xdr:row>
      <xdr:rowOff>142875</xdr:rowOff>
    </xdr:to>
    <xdr:pic>
      <xdr:nvPicPr>
        <xdr:cNvPr id="84442"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0" y="238125"/>
          <a:ext cx="3009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33</xdr:col>
      <xdr:colOff>47625</xdr:colOff>
      <xdr:row>1</xdr:row>
      <xdr:rowOff>66675</xdr:rowOff>
    </xdr:from>
    <xdr:to>
      <xdr:col>54</xdr:col>
      <xdr:colOff>0</xdr:colOff>
      <xdr:row>2</xdr:row>
      <xdr:rowOff>161925</xdr:rowOff>
    </xdr:to>
    <xdr:pic>
      <xdr:nvPicPr>
        <xdr:cNvPr id="83352"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53250" y="257175"/>
          <a:ext cx="3009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28</xdr:col>
      <xdr:colOff>9525</xdr:colOff>
      <xdr:row>1</xdr:row>
      <xdr:rowOff>85725</xdr:rowOff>
    </xdr:from>
    <xdr:to>
      <xdr:col>49</xdr:col>
      <xdr:colOff>0</xdr:colOff>
      <xdr:row>2</xdr:row>
      <xdr:rowOff>180975</xdr:rowOff>
    </xdr:to>
    <xdr:pic>
      <xdr:nvPicPr>
        <xdr:cNvPr id="363633"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43650" y="276225"/>
          <a:ext cx="3000375"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28</xdr:col>
      <xdr:colOff>9525</xdr:colOff>
      <xdr:row>1</xdr:row>
      <xdr:rowOff>47625</xdr:rowOff>
    </xdr:from>
    <xdr:to>
      <xdr:col>49</xdr:col>
      <xdr:colOff>0</xdr:colOff>
      <xdr:row>2</xdr:row>
      <xdr:rowOff>142875</xdr:rowOff>
    </xdr:to>
    <xdr:pic>
      <xdr:nvPicPr>
        <xdr:cNvPr id="364640"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43650" y="238125"/>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28</xdr:col>
      <xdr:colOff>19050</xdr:colOff>
      <xdr:row>1</xdr:row>
      <xdr:rowOff>47625</xdr:rowOff>
    </xdr:from>
    <xdr:to>
      <xdr:col>49</xdr:col>
      <xdr:colOff>0</xdr:colOff>
      <xdr:row>2</xdr:row>
      <xdr:rowOff>142875</xdr:rowOff>
    </xdr:to>
    <xdr:pic>
      <xdr:nvPicPr>
        <xdr:cNvPr id="365663" name="Picture 12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3175" y="238125"/>
          <a:ext cx="29908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33</xdr:col>
      <xdr:colOff>19050</xdr:colOff>
      <xdr:row>1</xdr:row>
      <xdr:rowOff>57150</xdr:rowOff>
    </xdr:from>
    <xdr:to>
      <xdr:col>54</xdr:col>
      <xdr:colOff>0</xdr:colOff>
      <xdr:row>2</xdr:row>
      <xdr:rowOff>142875</xdr:rowOff>
    </xdr:to>
    <xdr:pic>
      <xdr:nvPicPr>
        <xdr:cNvPr id="49689" name="Picture 16"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7050" y="247650"/>
          <a:ext cx="29908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142875</xdr:colOff>
      <xdr:row>1</xdr:row>
      <xdr:rowOff>85725</xdr:rowOff>
    </xdr:from>
    <xdr:to>
      <xdr:col>9</xdr:col>
      <xdr:colOff>342900</xdr:colOff>
      <xdr:row>2</xdr:row>
      <xdr:rowOff>180975</xdr:rowOff>
    </xdr:to>
    <xdr:pic>
      <xdr:nvPicPr>
        <xdr:cNvPr id="69395"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57675" y="276225"/>
          <a:ext cx="300990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19</xdr:col>
      <xdr:colOff>342900</xdr:colOff>
      <xdr:row>0</xdr:row>
      <xdr:rowOff>133350</xdr:rowOff>
    </xdr:from>
    <xdr:to>
      <xdr:col>24</xdr:col>
      <xdr:colOff>447675</xdr:colOff>
      <xdr:row>1</xdr:row>
      <xdr:rowOff>180975</xdr:rowOff>
    </xdr:to>
    <xdr:pic>
      <xdr:nvPicPr>
        <xdr:cNvPr id="298134"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54100" y="133350"/>
          <a:ext cx="300990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2.xml.rels><?xml version="1.0" encoding="UTF-8" standalone="yes"?>
<Relationships xmlns="http://schemas.openxmlformats.org/package/2006/relationships">
<Relationship Id="rId1" Target="NA/NY/LIB/ER/UTILITIES/Models/Rebuild/NVE/NVE%2010.4.11.xls" TargetMode="External" Type="http://schemas.microsoft.com/office/2006/relationships/xlExternalLinkPath/xlAlternateStartup"/>
</Relationships>

</file>

<file path=xl/externalLinks/_rels/externalLink3.xml.rels><?xml version="1.0" encoding="UTF-8" standalone="yes"?>
<Relationships xmlns="http://schemas.openxmlformats.org/package/2006/relationships">
<Relationship Id="rId1" Target="NA/NY/LIB/ER/UTILITIES/Models/Rebuild/NVE/NVE%20Model%2011.14.11.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UTILITIES/Models/CPN/CPN%20Model%2011.6.12%20WIP%20v2.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C/UTILITY/Power/Utilities/WEC/Models/Initiation/Previous%20JPM%20WEC%20Model%2007%20Apr%2004.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C/UTILITY/Power/Models/Working/PNW%20Model%20Jen.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Volumes/NO%20NAME/UTILITY/Power/Utilities/WEC/Models/Initiation/Previous%20JPM%20WEC%20Model%2007%20Apr%2004.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9.xml.rels><?xml version="1.0" encoding="UTF-8" standalone="yes"?>
<Relationships xmlns="http://schemas.openxmlformats.org/package/2006/relationships">
<Relationship Id="rId1" Target="file://///consltdb3/JOBS/F/RefCase%20Spring%202006/Northeast/Report/Tables&amp;Figures/Table%205-4%20Northeast%20Market%20Area%20Summary.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UTILITIES/Price%20Deck/MS%20New%20Price%20Deck%20122811.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Price%20Deck/MS%20New%20Price%20Deck%20100711.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Program%20Files/MSERXlAddins/Model/ERModelPublish.xla"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UTILITIES/Models/EXC/Published%20Model/EXC%20Model%2011.1.12.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UTILITIES/Models/Rebuild/EIX/EMG%205.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Flow"/>
      <sheetName val="upside_downside"/>
      <sheetName val="Income Statement"/>
      <sheetName val="Balance Sheet"/>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FX"/>
      <sheetName val="Interims"/>
      <sheetName val="Financial Statements"/>
      <sheetName val="Summary"/>
      <sheetName val="Floater Demand"/>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 Detail "/>
      <sheetName val="Model"/>
      <sheetName val="Sheet4"/>
      <sheetName val="ForeignStake"/>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Valuation Summary"/>
      <sheetName val="__FDSCACHE__"/>
      <sheetName val="Financial Summary"/>
      <sheetName val="NVE - Consolidated"/>
      <sheetName val="Nevada Power"/>
      <sheetName val="Sierra Power"/>
      <sheetName val="Parent"/>
      <sheetName val="Debt"/>
      <sheetName val="EPS Walk"/>
      <sheetName val="MWA RR"/>
      <sheetName val="Note Tables"/>
      <sheetName val="mwareDates"/>
      <sheetName val="Capex Chart"/>
      <sheetName val="FCF-Div. Working Chart"/>
      <sheetName val="MW FDS"/>
      <sheetName val="mwareSettings"/>
      <sheetName val="MW-Cache"/>
      <sheetName val="Summary"/>
      <sheetName val="misc"/>
      <sheetName val="Margins"/>
      <sheetName val="BS"/>
      <sheetName val="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A1" t="str">
            <v>RRS-5.13</v>
          </cell>
          <cell r="D1" t="str">
            <v>RISK-REWARD SNAPSHOT
(You must upload your model to ModelWare to capture changes to your scenario values and NOT delete this worksheet.)</v>
          </cell>
          <cell r="I1" t="str">
            <v>Select Language</v>
          </cell>
          <cell r="N1" t="str">
            <v>http://ChartGallery</v>
          </cell>
          <cell r="O1" t="str">
            <v>http://ChartGallery</v>
          </cell>
          <cell r="AA1" t="str">
            <v>ElementName</v>
          </cell>
          <cell r="AB1" t="str">
            <v>ScaleOverride</v>
          </cell>
          <cell r="AC1" t="str">
            <v>UnitOverride</v>
          </cell>
          <cell r="AD1" t="str">
            <v>ReverseSign</v>
          </cell>
          <cell r="AE1" t="str">
            <v>IsDrivingAssumption</v>
          </cell>
          <cell r="AF1" t="str">
            <v>SegmentID</v>
          </cell>
        </row>
        <row r="2">
          <cell r="B2" t="str">
            <v>Instructions:</v>
          </cell>
          <cell r="G2" t="str">
            <v>Is refreshing chart data too slow? Read below to improve performance.</v>
          </cell>
          <cell r="AQ2" t="str">
            <v>Refer to cell G2 to learn about improving chart refresh performance</v>
          </cell>
        </row>
        <row r="4">
          <cell r="B4" t="str">
            <v>Ticker:</v>
          </cell>
          <cell r="C4" t="str">
            <v>NVE.N</v>
          </cell>
          <cell r="E4" t="str">
            <v>Company Name:</v>
          </cell>
          <cell r="F4" t="str">
            <v>NV Energy Inc.</v>
          </cell>
          <cell r="I4" t="str">
            <v>Sedol:</v>
          </cell>
          <cell r="J4">
            <v>244379</v>
          </cell>
          <cell r="K4" t="str">
            <v>NA</v>
          </cell>
        </row>
        <row r="5">
          <cell r="B5" t="str">
            <v xml:space="preserve">Chart Data Inputs (decimal formats will reflect on chart): </v>
          </cell>
          <cell r="H5" t="str">
            <v>Risk Reward Chart Gallery 
(Click on the below image for other Risk-Reward Charts)</v>
          </cell>
        </row>
        <row r="6">
          <cell r="B6" t="str">
            <v>Bull Case</v>
          </cell>
          <cell r="C6">
            <v>17.5</v>
          </cell>
          <cell r="AA6" t="str">
            <v>mstag:bullCaseValueEstimatePerShare</v>
          </cell>
          <cell r="AB6">
            <v>0</v>
          </cell>
          <cell r="AC6" t="str">
            <v>ISO4217:USD</v>
          </cell>
          <cell r="AD6" t="b">
            <v>0</v>
          </cell>
        </row>
        <row r="7">
          <cell r="B7" t="str">
            <v>Base Case</v>
          </cell>
          <cell r="C7">
            <v>16.5</v>
          </cell>
          <cell r="AA7" t="str">
            <v>mstag:met_12monthIntrinsicValueEstimate</v>
          </cell>
          <cell r="AB7">
            <v>0</v>
          </cell>
          <cell r="AC7" t="str">
            <v>ISO4217:USD</v>
          </cell>
          <cell r="AD7" t="b">
            <v>0</v>
          </cell>
        </row>
        <row r="8">
          <cell r="B8" t="str">
            <v>Bear Case</v>
          </cell>
          <cell r="C8">
            <v>14</v>
          </cell>
          <cell r="K8" t="str">
            <v>日本語</v>
          </cell>
          <cell r="M8" t="str">
            <v>-</v>
          </cell>
          <cell r="AA8" t="str">
            <v>mstag:bearCaseValueEstimatePerShare</v>
          </cell>
          <cell r="AB8">
            <v>0</v>
          </cell>
          <cell r="AC8" t="str">
            <v>ISO4217:USD</v>
          </cell>
          <cell r="AD8" t="b">
            <v>0</v>
          </cell>
        </row>
        <row r="9">
          <cell r="B9" t="str">
            <v>Extreme Upside</v>
          </cell>
          <cell r="K9" t="str">
            <v>English</v>
          </cell>
          <cell r="L9" t="str">
            <v>年</v>
          </cell>
          <cell r="M9" t="str">
            <v>月</v>
          </cell>
          <cell r="N9" t="str">
            <v>-</v>
          </cell>
          <cell r="AA9" t="str">
            <v>mstag:extremeBullCaseValueEstimatePerShare</v>
          </cell>
          <cell r="AB9">
            <v>0</v>
          </cell>
          <cell r="AC9" t="str">
            <v>ISO4217:USD</v>
          </cell>
          <cell r="AD9" t="b">
            <v>0</v>
          </cell>
          <cell r="AH9" t="str">
            <v>Other Refresh Chart Option</v>
          </cell>
        </row>
        <row r="10">
          <cell r="B10" t="str">
            <v>Extreme Downside</v>
          </cell>
          <cell r="O10" t="b">
            <v>0</v>
          </cell>
          <cell r="AA10" t="str">
            <v>mstag:extremeBearCaseValueEstimatePerShare</v>
          </cell>
          <cell r="AB10">
            <v>0</v>
          </cell>
          <cell r="AC10" t="str">
            <v>ISO4217:USD</v>
          </cell>
          <cell r="AD10" t="b">
            <v>0</v>
          </cell>
        </row>
        <row r="11">
          <cell r="B11" t="str">
            <v>Price Target</v>
          </cell>
          <cell r="O11" t="b">
            <v>1</v>
          </cell>
        </row>
        <row r="12">
          <cell r="B12" t="str">
            <v>Currency</v>
          </cell>
          <cell r="C12" t="str">
            <v>USD American Dollar</v>
          </cell>
          <cell r="F12">
            <v>0</v>
          </cell>
        </row>
        <row r="13">
          <cell r="B13" t="str">
            <v>Currency Symbol</v>
          </cell>
          <cell r="C13" t="str">
            <v>$</v>
          </cell>
          <cell r="F13">
            <v>0</v>
          </cell>
          <cell r="I13" t="str">
            <v xml:space="preserve">WARNINGDONOTEDIT_RRS4RL~NVE.N~ </v>
          </cell>
        </row>
        <row r="14">
          <cell r="B14" t="str">
            <v>"Refresh RR Chart" updates chart dates below, as of today. If your PT time horizon is &gt; 1yr. or price history is &lt; 2yrs., adjust Start/End dates and select "Apply Manually Adjusted Dates" option.</v>
          </cell>
        </row>
        <row r="15">
          <cell r="B15" t="str">
            <v>Start Date (-2 Yrs)</v>
          </cell>
          <cell r="C15">
            <v>40050</v>
          </cell>
          <cell r="E15" t="str">
            <v>NA</v>
          </cell>
          <cell r="F15" t="str">
            <v>USD</v>
          </cell>
        </row>
        <row r="16">
          <cell r="B16" t="str">
            <v>End Date (+1 Yr)</v>
          </cell>
          <cell r="C16">
            <v>41146</v>
          </cell>
          <cell r="E16" t="str">
            <v>NA</v>
          </cell>
          <cell r="F16" t="str">
            <v>USD</v>
          </cell>
        </row>
        <row r="17">
          <cell r="B17">
            <v>14.35</v>
          </cell>
          <cell r="C17" t="str">
            <v>Hand entert Share Price</v>
          </cell>
          <cell r="H17" t="str">
            <v>2007-FY</v>
          </cell>
        </row>
        <row r="18">
          <cell r="B18" t="b">
            <v>0</v>
          </cell>
          <cell r="C18">
            <v>40780</v>
          </cell>
        </row>
        <row r="19">
          <cell r="C19" t="str">
            <v>2009-FY</v>
          </cell>
        </row>
        <row r="34">
          <cell r="A34" t="str">
            <v>BullCase</v>
          </cell>
        </row>
        <row r="52">
          <cell r="A52">
            <v>41146</v>
          </cell>
          <cell r="B52">
            <v>764</v>
          </cell>
          <cell r="N52" t="str">
            <v>Aug-12</v>
          </cell>
          <cell r="R52" t="b">
            <v>1</v>
          </cell>
        </row>
        <row r="53">
          <cell r="A53" t="str">
            <v>Header</v>
          </cell>
          <cell r="B53" t="str">
            <v>Date</v>
          </cell>
          <cell r="C53" t="str">
            <v>Past/Future</v>
          </cell>
          <cell r="D53" t="str">
            <v>Historical Stock Performance</v>
          </cell>
          <cell r="E53" t="str">
            <v>Extreme Upside Cone</v>
          </cell>
          <cell r="F53" t="str">
            <v>Blue Cone</v>
          </cell>
          <cell r="G53" t="str">
            <v>Extreme Downside Cone</v>
          </cell>
          <cell r="H53" t="str">
            <v>White Mask</v>
          </cell>
          <cell r="I53" t="str">
            <v>Current Stock Price</v>
          </cell>
          <cell r="J53" t="str">
            <v>Extreme Upside Price(Aug-12)</v>
          </cell>
          <cell r="K53" t="str">
            <v>Bull Price(Aug-12)</v>
          </cell>
          <cell r="L53" t="str">
            <v>Bear Price(Aug-12)</v>
          </cell>
          <cell r="M53" t="str">
            <v>Extreme Downside Price(Aug-12)</v>
          </cell>
          <cell r="N53" t="str">
            <v>Base Case  (Aug-12)</v>
          </cell>
          <cell r="O53" t="str">
            <v>Gray Line</v>
          </cell>
          <cell r="P53" t="str">
            <v>Prices</v>
          </cell>
          <cell r="Q53" t="str">
            <v>Volume</v>
          </cell>
          <cell r="R53" t="str">
            <v>Base Case(Aug-12)</v>
          </cell>
          <cell r="S53" t="str">
            <v>Header Row</v>
          </cell>
          <cell r="T53">
            <v>53</v>
          </cell>
          <cell r="U53">
            <v>0</v>
          </cell>
          <cell r="AI53" t="str">
            <v xml:space="preserve">Display </v>
          </cell>
          <cell r="AJ53" t="str">
            <v>Symbol</v>
          </cell>
          <cell r="AK53" t="str">
            <v>Unit</v>
          </cell>
          <cell r="AL53" t="str">
            <v>FactsetUnit</v>
          </cell>
          <cell r="AM53" t="str">
            <v>Right alligned</v>
          </cell>
          <cell r="AN53" t="str">
            <v>Display 2 Decimal Places for Currency Amount</v>
          </cell>
        </row>
        <row r="54">
          <cell r="A54">
            <v>40050</v>
          </cell>
          <cell r="B54">
            <v>40050</v>
          </cell>
          <cell r="C54" t="str">
            <v>Past</v>
          </cell>
          <cell r="D54">
            <v>12.21</v>
          </cell>
          <cell r="E54" t="e">
            <v>#N/A</v>
          </cell>
          <cell r="F54" t="e">
            <v>#N/A</v>
          </cell>
          <cell r="G54" t="e">
            <v>#N/A</v>
          </cell>
          <cell r="H54" t="e">
            <v>#N/A</v>
          </cell>
          <cell r="I54" t="e">
            <v>#N/A</v>
          </cell>
          <cell r="J54" t="e">
            <v>#N/A</v>
          </cell>
          <cell r="K54" t="e">
            <v>#N/A</v>
          </cell>
          <cell r="L54" t="e">
            <v>#N/A</v>
          </cell>
          <cell r="M54" t="e">
            <v>#N/A</v>
          </cell>
          <cell r="N54" t="e">
            <v>#N/A</v>
          </cell>
          <cell r="O54" t="e">
            <v>#N/A</v>
          </cell>
          <cell r="P54">
            <v>12.21</v>
          </cell>
          <cell r="Q54">
            <v>1.3155129999999999</v>
          </cell>
          <cell r="R54" t="e">
            <v>#N/A</v>
          </cell>
          <cell r="S54" t="str">
            <v>Count</v>
          </cell>
          <cell r="T54">
            <v>764</v>
          </cell>
          <cell r="U54">
            <v>17.5</v>
          </cell>
          <cell r="AI54" t="str">
            <v>AED UAE Dirham</v>
          </cell>
          <cell r="AJ54" t="str">
            <v>AED</v>
          </cell>
          <cell r="AK54" t="str">
            <v>AED</v>
          </cell>
          <cell r="AL54" t="str">
            <v>AED</v>
          </cell>
          <cell r="AM54">
            <v>0</v>
          </cell>
          <cell r="AN54">
            <v>2</v>
          </cell>
        </row>
        <row r="55">
          <cell r="A55">
            <v>40051</v>
          </cell>
          <cell r="B55">
            <v>40051</v>
          </cell>
          <cell r="C55" t="str">
            <v>Past</v>
          </cell>
          <cell r="D55">
            <v>12.3</v>
          </cell>
          <cell r="E55" t="e">
            <v>#N/A</v>
          </cell>
          <cell r="F55" t="e">
            <v>#N/A</v>
          </cell>
          <cell r="G55" t="e">
            <v>#N/A</v>
          </cell>
          <cell r="H55" t="e">
            <v>#N/A</v>
          </cell>
          <cell r="I55" t="e">
            <v>#N/A</v>
          </cell>
          <cell r="J55" t="e">
            <v>#N/A</v>
          </cell>
          <cell r="K55" t="e">
            <v>#N/A</v>
          </cell>
          <cell r="L55" t="e">
            <v>#N/A</v>
          </cell>
          <cell r="M55" t="e">
            <v>#N/A</v>
          </cell>
          <cell r="N55" t="e">
            <v>#N/A</v>
          </cell>
          <cell r="O55" t="e">
            <v>#N/A</v>
          </cell>
          <cell r="P55">
            <v>12.3</v>
          </cell>
          <cell r="Q55">
            <v>1.131678</v>
          </cell>
          <cell r="R55" t="e">
            <v>#N/A</v>
          </cell>
          <cell r="S55" t="str">
            <v>Curr Price</v>
          </cell>
          <cell r="T55">
            <v>14.35</v>
          </cell>
          <cell r="U55">
            <v>506</v>
          </cell>
          <cell r="V55">
            <v>55.094300000000004</v>
          </cell>
          <cell r="AI55" t="str">
            <v>ARS Argentinian Pesos</v>
          </cell>
          <cell r="AJ55" t="str">
            <v>Ar$</v>
          </cell>
          <cell r="AK55" t="str">
            <v>ARS</v>
          </cell>
          <cell r="AL55" t="str">
            <v>ARS</v>
          </cell>
          <cell r="AM55">
            <v>0</v>
          </cell>
          <cell r="AN55">
            <v>2</v>
          </cell>
        </row>
        <row r="56">
          <cell r="A56">
            <v>40052</v>
          </cell>
          <cell r="B56">
            <v>40052</v>
          </cell>
          <cell r="C56" t="str">
            <v>Past</v>
          </cell>
          <cell r="D56">
            <v>12.22</v>
          </cell>
          <cell r="E56" t="e">
            <v>#N/A</v>
          </cell>
          <cell r="F56" t="e">
            <v>#N/A</v>
          </cell>
          <cell r="G56" t="e">
            <v>#N/A</v>
          </cell>
          <cell r="H56" t="e">
            <v>#N/A</v>
          </cell>
          <cell r="I56" t="e">
            <v>#N/A</v>
          </cell>
          <cell r="J56" t="e">
            <v>#N/A</v>
          </cell>
          <cell r="K56" t="e">
            <v>#N/A</v>
          </cell>
          <cell r="L56" t="e">
            <v>#N/A</v>
          </cell>
          <cell r="M56" t="e">
            <v>#N/A</v>
          </cell>
          <cell r="N56" t="e">
            <v>#N/A</v>
          </cell>
          <cell r="O56" t="e">
            <v>#N/A</v>
          </cell>
          <cell r="P56">
            <v>12.22</v>
          </cell>
          <cell r="Q56">
            <v>0.87458399999999992</v>
          </cell>
          <cell r="R56" t="e">
            <v>#N/A</v>
          </cell>
          <cell r="S56" t="str">
            <v>Curr Price Date</v>
          </cell>
          <cell r="T56">
            <v>40780</v>
          </cell>
          <cell r="U56">
            <v>40519.771412037036</v>
          </cell>
          <cell r="AI56" t="str">
            <v>AUD Australian Dollar</v>
          </cell>
          <cell r="AJ56" t="str">
            <v>A$</v>
          </cell>
          <cell r="AK56" t="str">
            <v>AUD</v>
          </cell>
          <cell r="AL56" t="str">
            <v>AUD</v>
          </cell>
          <cell r="AM56">
            <v>0</v>
          </cell>
          <cell r="AN56">
            <v>2</v>
          </cell>
        </row>
        <row r="57">
          <cell r="A57">
            <v>40053</v>
          </cell>
          <cell r="B57">
            <v>40053</v>
          </cell>
          <cell r="C57" t="str">
            <v>Past</v>
          </cell>
          <cell r="D57">
            <v>12.22</v>
          </cell>
          <cell r="E57" t="e">
            <v>#N/A</v>
          </cell>
          <cell r="F57" t="e">
            <v>#N/A</v>
          </cell>
          <cell r="G57" t="e">
            <v>#N/A</v>
          </cell>
          <cell r="H57" t="e">
            <v>#N/A</v>
          </cell>
          <cell r="I57" t="e">
            <v>#N/A</v>
          </cell>
          <cell r="J57" t="e">
            <v>#N/A</v>
          </cell>
          <cell r="K57" t="e">
            <v>#N/A</v>
          </cell>
          <cell r="L57" t="e">
            <v>#N/A</v>
          </cell>
          <cell r="M57" t="e">
            <v>#N/A</v>
          </cell>
          <cell r="N57" t="e">
            <v>#N/A</v>
          </cell>
          <cell r="O57" t="e">
            <v>#N/A</v>
          </cell>
          <cell r="P57">
            <v>12.22</v>
          </cell>
          <cell r="Q57">
            <v>1.1191689999999999</v>
          </cell>
          <cell r="R57" t="e">
            <v>#N/A</v>
          </cell>
          <cell r="S57" t="str">
            <v>Bull-Curr</v>
          </cell>
          <cell r="T57">
            <v>3.1500000000000004</v>
          </cell>
          <cell r="U57">
            <v>1.2162162162162163E-2</v>
          </cell>
          <cell r="AI57" t="str">
            <v>BGL Bulgarian levs</v>
          </cell>
          <cell r="AJ57" t="str">
            <v>BGL</v>
          </cell>
          <cell r="AK57" t="str">
            <v>BGL</v>
          </cell>
          <cell r="AL57" t="str">
            <v>BGN</v>
          </cell>
          <cell r="AM57">
            <v>0</v>
          </cell>
          <cell r="AN57">
            <v>2</v>
          </cell>
        </row>
        <row r="58">
          <cell r="A58">
            <v>40056</v>
          </cell>
          <cell r="B58">
            <v>40056</v>
          </cell>
          <cell r="C58" t="str">
            <v>Past</v>
          </cell>
          <cell r="D58">
            <v>12.06</v>
          </cell>
          <cell r="E58" t="e">
            <v>#N/A</v>
          </cell>
          <cell r="F58" t="e">
            <v>#N/A</v>
          </cell>
          <cell r="G58" t="e">
            <v>#N/A</v>
          </cell>
          <cell r="H58" t="e">
            <v>#N/A</v>
          </cell>
          <cell r="I58" t="e">
            <v>#N/A</v>
          </cell>
          <cell r="J58" t="e">
            <v>#N/A</v>
          </cell>
          <cell r="K58" t="e">
            <v>#N/A</v>
          </cell>
          <cell r="L58" t="e">
            <v>#N/A</v>
          </cell>
          <cell r="M58" t="e">
            <v>#N/A</v>
          </cell>
          <cell r="N58" t="e">
            <v>#N/A</v>
          </cell>
          <cell r="O58" t="e">
            <v>#N/A</v>
          </cell>
          <cell r="P58">
            <v>12.06</v>
          </cell>
          <cell r="Q58">
            <v>1.369715</v>
          </cell>
          <cell r="R58" t="e">
            <v>#N/A</v>
          </cell>
          <cell r="S58" t="str">
            <v>Upp-Cur</v>
          </cell>
          <cell r="T58">
            <v>-14.35</v>
          </cell>
          <cell r="U58">
            <v>-5.5405405405405402E-2</v>
          </cell>
          <cell r="AI58" t="str">
            <v>BMD Bermudan Dollars</v>
          </cell>
          <cell r="AJ58" t="str">
            <v>BMD</v>
          </cell>
          <cell r="AK58" t="str">
            <v>BMD</v>
          </cell>
          <cell r="AL58" t="str">
            <v>BMD</v>
          </cell>
          <cell r="AM58">
            <v>0</v>
          </cell>
          <cell r="AN58">
            <v>2</v>
          </cell>
        </row>
        <row r="59">
          <cell r="A59">
            <v>40057</v>
          </cell>
          <cell r="B59">
            <v>40057</v>
          </cell>
          <cell r="C59" t="str">
            <v>Past</v>
          </cell>
          <cell r="D59">
            <v>11.93</v>
          </cell>
          <cell r="E59" t="e">
            <v>#N/A</v>
          </cell>
          <cell r="F59" t="e">
            <v>#N/A</v>
          </cell>
          <cell r="G59" t="e">
            <v>#N/A</v>
          </cell>
          <cell r="H59" t="e">
            <v>#N/A</v>
          </cell>
          <cell r="I59" t="e">
            <v>#N/A</v>
          </cell>
          <cell r="J59" t="e">
            <v>#N/A</v>
          </cell>
          <cell r="K59" t="e">
            <v>#N/A</v>
          </cell>
          <cell r="L59" t="e">
            <v>#N/A</v>
          </cell>
          <cell r="M59" t="e">
            <v>#N/A</v>
          </cell>
          <cell r="N59" t="e">
            <v>#N/A</v>
          </cell>
          <cell r="O59" t="e">
            <v>#N/A</v>
          </cell>
          <cell r="P59">
            <v>11.93</v>
          </cell>
          <cell r="Q59">
            <v>1.273631</v>
          </cell>
          <cell r="R59" t="e">
            <v>#N/A</v>
          </cell>
          <cell r="S59" t="str">
            <v>Curr-Bear</v>
          </cell>
          <cell r="T59">
            <v>0.34999999999999964</v>
          </cell>
          <cell r="U59">
            <v>1.3513513513513499E-3</v>
          </cell>
          <cell r="AI59" t="str">
            <v>BRL Brazilian Real</v>
          </cell>
          <cell r="AJ59" t="str">
            <v>R$</v>
          </cell>
          <cell r="AK59" t="str">
            <v>BRL</v>
          </cell>
          <cell r="AL59" t="str">
            <v>BRL</v>
          </cell>
          <cell r="AM59">
            <v>0</v>
          </cell>
          <cell r="AN59">
            <v>2</v>
          </cell>
        </row>
        <row r="60">
          <cell r="A60">
            <v>40058</v>
          </cell>
          <cell r="B60">
            <v>40058</v>
          </cell>
          <cell r="C60" t="str">
            <v>Past</v>
          </cell>
          <cell r="D60">
            <v>11.86</v>
          </cell>
          <cell r="E60" t="e">
            <v>#N/A</v>
          </cell>
          <cell r="F60" t="e">
            <v>#N/A</v>
          </cell>
          <cell r="G60" t="e">
            <v>#N/A</v>
          </cell>
          <cell r="H60" t="e">
            <v>#N/A</v>
          </cell>
          <cell r="I60" t="e">
            <v>#N/A</v>
          </cell>
          <cell r="J60" t="e">
            <v>#N/A</v>
          </cell>
          <cell r="K60" t="e">
            <v>#N/A</v>
          </cell>
          <cell r="L60" t="e">
            <v>#N/A</v>
          </cell>
          <cell r="M60" t="e">
            <v>#N/A</v>
          </cell>
          <cell r="N60" t="e">
            <v>#N/A</v>
          </cell>
          <cell r="O60" t="e">
            <v>#N/A</v>
          </cell>
          <cell r="P60">
            <v>11.86</v>
          </cell>
          <cell r="Q60">
            <v>0.99380199999999996</v>
          </cell>
          <cell r="R60" t="e">
            <v>#N/A</v>
          </cell>
          <cell r="S60" t="str">
            <v>Curr-Lower</v>
          </cell>
          <cell r="T60">
            <v>14.35</v>
          </cell>
          <cell r="U60">
            <v>5.5405405405405402E-2</v>
          </cell>
          <cell r="AI60" t="str">
            <v>CAD Canadian Dollars</v>
          </cell>
          <cell r="AJ60" t="str">
            <v>C$</v>
          </cell>
          <cell r="AK60" t="str">
            <v>CAD</v>
          </cell>
          <cell r="AL60" t="str">
            <v>CAD</v>
          </cell>
          <cell r="AM60">
            <v>0</v>
          </cell>
          <cell r="AN60">
            <v>2</v>
          </cell>
        </row>
        <row r="61">
          <cell r="A61">
            <v>40059</v>
          </cell>
          <cell r="B61">
            <v>40059</v>
          </cell>
          <cell r="C61" t="str">
            <v>Past</v>
          </cell>
          <cell r="D61">
            <v>11.82</v>
          </cell>
          <cell r="E61" t="e">
            <v>#N/A</v>
          </cell>
          <cell r="F61" t="e">
            <v>#N/A</v>
          </cell>
          <cell r="G61" t="e">
            <v>#N/A</v>
          </cell>
          <cell r="H61" t="e">
            <v>#N/A</v>
          </cell>
          <cell r="I61" t="e">
            <v>#N/A</v>
          </cell>
          <cell r="J61" t="e">
            <v>#N/A</v>
          </cell>
          <cell r="K61" t="e">
            <v>#N/A</v>
          </cell>
          <cell r="L61" t="e">
            <v>#N/A</v>
          </cell>
          <cell r="M61" t="e">
            <v>#N/A</v>
          </cell>
          <cell r="N61" t="e">
            <v>#N/A</v>
          </cell>
          <cell r="O61" t="e">
            <v>#N/A</v>
          </cell>
          <cell r="P61">
            <v>11.82</v>
          </cell>
          <cell r="Q61">
            <v>1.1897</v>
          </cell>
          <cell r="R61" t="e">
            <v>#N/A</v>
          </cell>
          <cell r="S61" t="str">
            <v>PriceFoundAt</v>
          </cell>
          <cell r="T61">
            <v>506</v>
          </cell>
          <cell r="AI61" t="str">
            <v>CHF Swiss Francs</v>
          </cell>
          <cell r="AJ61" t="str">
            <v>SFr</v>
          </cell>
          <cell r="AK61" t="str">
            <v>CHF</v>
          </cell>
          <cell r="AL61" t="str">
            <v>CHF</v>
          </cell>
          <cell r="AM61">
            <v>0</v>
          </cell>
          <cell r="AN61">
            <v>2</v>
          </cell>
        </row>
        <row r="62">
          <cell r="A62">
            <v>40060</v>
          </cell>
          <cell r="B62">
            <v>40060</v>
          </cell>
          <cell r="C62" t="str">
            <v>Past</v>
          </cell>
          <cell r="D62">
            <v>11.81</v>
          </cell>
          <cell r="E62" t="e">
            <v>#N/A</v>
          </cell>
          <cell r="F62" t="e">
            <v>#N/A</v>
          </cell>
          <cell r="G62" t="e">
            <v>#N/A</v>
          </cell>
          <cell r="H62" t="e">
            <v>#N/A</v>
          </cell>
          <cell r="I62" t="e">
            <v>#N/A</v>
          </cell>
          <cell r="J62" t="e">
            <v>#N/A</v>
          </cell>
          <cell r="K62" t="e">
            <v>#N/A</v>
          </cell>
          <cell r="L62" t="e">
            <v>#N/A</v>
          </cell>
          <cell r="M62" t="e">
            <v>#N/A</v>
          </cell>
          <cell r="N62" t="e">
            <v>#N/A</v>
          </cell>
          <cell r="O62" t="e">
            <v>#N/A</v>
          </cell>
          <cell r="P62">
            <v>11.81</v>
          </cell>
          <cell r="Q62">
            <v>1.1005549999999999</v>
          </cell>
          <cell r="R62" t="e">
            <v>#N/A</v>
          </cell>
          <cell r="S62" t="str">
            <v>Starting Point</v>
          </cell>
          <cell r="T62">
            <v>559</v>
          </cell>
          <cell r="AI62" t="str">
            <v>CLP Chilean Pesos</v>
          </cell>
          <cell r="AJ62" t="str">
            <v>CLP</v>
          </cell>
          <cell r="AK62" t="str">
            <v>CLP</v>
          </cell>
          <cell r="AL62" t="str">
            <v>CLP</v>
          </cell>
          <cell r="AM62">
            <v>0</v>
          </cell>
          <cell r="AN62">
            <v>2</v>
          </cell>
        </row>
        <row r="63">
          <cell r="A63">
            <v>40064</v>
          </cell>
          <cell r="B63">
            <v>40064</v>
          </cell>
          <cell r="C63" t="str">
            <v>Past</v>
          </cell>
          <cell r="D63">
            <v>11.83</v>
          </cell>
          <cell r="E63" t="e">
            <v>#N/A</v>
          </cell>
          <cell r="F63" t="e">
            <v>#N/A</v>
          </cell>
          <cell r="G63" t="e">
            <v>#N/A</v>
          </cell>
          <cell r="H63" t="e">
            <v>#N/A</v>
          </cell>
          <cell r="I63" t="e">
            <v>#N/A</v>
          </cell>
          <cell r="J63" t="e">
            <v>#N/A</v>
          </cell>
          <cell r="K63" t="e">
            <v>#N/A</v>
          </cell>
          <cell r="L63" t="e">
            <v>#N/A</v>
          </cell>
          <cell r="M63" t="e">
            <v>#N/A</v>
          </cell>
          <cell r="N63" t="e">
            <v>#N/A</v>
          </cell>
          <cell r="O63" t="e">
            <v>#N/A</v>
          </cell>
          <cell r="P63">
            <v>11.83</v>
          </cell>
          <cell r="Q63">
            <v>1.2291809999999999</v>
          </cell>
          <cell r="R63" t="e">
            <v>#N/A</v>
          </cell>
          <cell r="S63" t="str">
            <v>Saved</v>
          </cell>
          <cell r="T63">
            <v>259</v>
          </cell>
          <cell r="AI63" t="str">
            <v>CNY Chinese Renminbi Yuan</v>
          </cell>
          <cell r="AJ63" t="str">
            <v>Rmb</v>
          </cell>
          <cell r="AK63" t="str">
            <v>CNY</v>
          </cell>
          <cell r="AL63" t="str">
            <v>CNY</v>
          </cell>
          <cell r="AM63">
            <v>0</v>
          </cell>
          <cell r="AN63">
            <v>2</v>
          </cell>
        </row>
        <row r="64">
          <cell r="A64">
            <v>40065</v>
          </cell>
          <cell r="B64">
            <v>40065</v>
          </cell>
          <cell r="C64" t="str">
            <v>Past</v>
          </cell>
          <cell r="D64">
            <v>11.85</v>
          </cell>
          <cell r="E64" t="e">
            <v>#N/A</v>
          </cell>
          <cell r="F64" t="e">
            <v>#N/A</v>
          </cell>
          <cell r="G64" t="e">
            <v>#N/A</v>
          </cell>
          <cell r="H64" t="e">
            <v>#N/A</v>
          </cell>
          <cell r="I64" t="e">
            <v>#N/A</v>
          </cell>
          <cell r="J64" t="e">
            <v>#N/A</v>
          </cell>
          <cell r="K64" t="e">
            <v>#N/A</v>
          </cell>
          <cell r="L64" t="e">
            <v>#N/A</v>
          </cell>
          <cell r="M64" t="e">
            <v>#N/A</v>
          </cell>
          <cell r="N64" t="e">
            <v>#N/A</v>
          </cell>
          <cell r="O64" t="e">
            <v>#N/A</v>
          </cell>
          <cell r="P64">
            <v>11.85</v>
          </cell>
          <cell r="Q64">
            <v>1.3311300000000001</v>
          </cell>
          <cell r="R64" t="e">
            <v>#N/A</v>
          </cell>
          <cell r="S64" t="str">
            <v>Right alligned</v>
          </cell>
          <cell r="T64">
            <v>0</v>
          </cell>
          <cell r="AI64" t="str">
            <v>COP Colombian Peso</v>
          </cell>
          <cell r="AJ64" t="str">
            <v>COP</v>
          </cell>
          <cell r="AK64" t="str">
            <v>COP</v>
          </cell>
          <cell r="AL64" t="str">
            <v>COP</v>
          </cell>
          <cell r="AM64">
            <v>0</v>
          </cell>
          <cell r="AN64">
            <v>2</v>
          </cell>
        </row>
        <row r="65">
          <cell r="A65">
            <v>40066</v>
          </cell>
          <cell r="B65">
            <v>40066</v>
          </cell>
          <cell r="C65" t="str">
            <v>Past</v>
          </cell>
          <cell r="D65">
            <v>11.88</v>
          </cell>
          <cell r="E65" t="e">
            <v>#N/A</v>
          </cell>
          <cell r="F65" t="e">
            <v>#N/A</v>
          </cell>
          <cell r="G65" t="e">
            <v>#N/A</v>
          </cell>
          <cell r="H65" t="e">
            <v>#N/A</v>
          </cell>
          <cell r="I65" t="e">
            <v>#N/A</v>
          </cell>
          <cell r="J65" t="e">
            <v>#N/A</v>
          </cell>
          <cell r="K65" t="e">
            <v>#N/A</v>
          </cell>
          <cell r="L65" t="e">
            <v>#N/A</v>
          </cell>
          <cell r="M65" t="e">
            <v>#N/A</v>
          </cell>
          <cell r="N65" t="e">
            <v>#N/A</v>
          </cell>
          <cell r="O65" t="e">
            <v>#N/A</v>
          </cell>
          <cell r="P65">
            <v>11.88</v>
          </cell>
          <cell r="Q65">
            <v>2.2897369999999997</v>
          </cell>
          <cell r="R65" t="e">
            <v>#N/A</v>
          </cell>
          <cell r="S65" t="str">
            <v>Decimal</v>
          </cell>
          <cell r="T65">
            <v>2</v>
          </cell>
          <cell r="AI65" t="str">
            <v>CZK Czech Krona</v>
          </cell>
          <cell r="AJ65" t="str">
            <v>Kcs</v>
          </cell>
          <cell r="AK65" t="str">
            <v>CZK</v>
          </cell>
          <cell r="AL65" t="str">
            <v>CZK</v>
          </cell>
          <cell r="AM65">
            <v>0</v>
          </cell>
          <cell r="AN65">
            <v>2</v>
          </cell>
        </row>
        <row r="66">
          <cell r="A66">
            <v>40067</v>
          </cell>
          <cell r="B66">
            <v>40067</v>
          </cell>
          <cell r="C66" t="str">
            <v>Past</v>
          </cell>
          <cell r="D66">
            <v>11.56</v>
          </cell>
          <cell r="E66" t="e">
            <v>#N/A</v>
          </cell>
          <cell r="F66" t="e">
            <v>#N/A</v>
          </cell>
          <cell r="G66" t="e">
            <v>#N/A</v>
          </cell>
          <cell r="H66" t="e">
            <v>#N/A</v>
          </cell>
          <cell r="I66" t="e">
            <v>#N/A</v>
          </cell>
          <cell r="J66" t="e">
            <v>#N/A</v>
          </cell>
          <cell r="K66" t="e">
            <v>#N/A</v>
          </cell>
          <cell r="L66" t="e">
            <v>#N/A</v>
          </cell>
          <cell r="M66" t="e">
            <v>#N/A</v>
          </cell>
          <cell r="N66" t="e">
            <v>#N/A</v>
          </cell>
          <cell r="O66" t="e">
            <v>#N/A</v>
          </cell>
          <cell r="P66">
            <v>11.56</v>
          </cell>
          <cell r="Q66">
            <v>4.1574999999999998</v>
          </cell>
          <cell r="R66" t="e">
            <v>#N/A</v>
          </cell>
          <cell r="S66" t="str">
            <v>default StartDate</v>
          </cell>
          <cell r="T66">
            <v>40050</v>
          </cell>
          <cell r="AI66" t="str">
            <v>DKK Danish Krone</v>
          </cell>
          <cell r="AJ66" t="str">
            <v>DKr</v>
          </cell>
          <cell r="AK66" t="str">
            <v>DKK</v>
          </cell>
          <cell r="AL66" t="str">
            <v>DKK</v>
          </cell>
          <cell r="AM66">
            <v>0</v>
          </cell>
          <cell r="AN66">
            <v>2</v>
          </cell>
        </row>
        <row r="67">
          <cell r="A67">
            <v>40070</v>
          </cell>
          <cell r="B67">
            <v>40070</v>
          </cell>
          <cell r="C67" t="str">
            <v>Past</v>
          </cell>
          <cell r="D67">
            <v>11.76</v>
          </cell>
          <cell r="E67" t="e">
            <v>#N/A</v>
          </cell>
          <cell r="F67" t="e">
            <v>#N/A</v>
          </cell>
          <cell r="G67" t="e">
            <v>#N/A</v>
          </cell>
          <cell r="H67" t="e">
            <v>#N/A</v>
          </cell>
          <cell r="I67" t="e">
            <v>#N/A</v>
          </cell>
          <cell r="J67" t="e">
            <v>#N/A</v>
          </cell>
          <cell r="K67" t="e">
            <v>#N/A</v>
          </cell>
          <cell r="L67" t="e">
            <v>#N/A</v>
          </cell>
          <cell r="M67" t="e">
            <v>#N/A</v>
          </cell>
          <cell r="N67" t="e">
            <v>#N/A</v>
          </cell>
          <cell r="O67" t="e">
            <v>#N/A</v>
          </cell>
          <cell r="P67">
            <v>11.76</v>
          </cell>
          <cell r="Q67">
            <v>3.4181539999999999</v>
          </cell>
          <cell r="R67" t="e">
            <v>#N/A</v>
          </cell>
          <cell r="S67" t="str">
            <v>default EndDate</v>
          </cell>
          <cell r="T67">
            <v>41146</v>
          </cell>
          <cell r="AI67" t="str">
            <v>DZD Algerian Dinar</v>
          </cell>
          <cell r="AJ67" t="str">
            <v>DZD</v>
          </cell>
          <cell r="AK67" t="str">
            <v>DZD</v>
          </cell>
          <cell r="AL67" t="str">
            <v>DZD</v>
          </cell>
          <cell r="AM67">
            <v>0</v>
          </cell>
          <cell r="AN67">
            <v>2</v>
          </cell>
        </row>
        <row r="68">
          <cell r="A68">
            <v>40071</v>
          </cell>
          <cell r="B68">
            <v>40071</v>
          </cell>
          <cell r="C68" t="str">
            <v>Past</v>
          </cell>
          <cell r="D68">
            <v>11.71</v>
          </cell>
          <cell r="E68" t="e">
            <v>#N/A</v>
          </cell>
          <cell r="F68" t="e">
            <v>#N/A</v>
          </cell>
          <cell r="G68" t="e">
            <v>#N/A</v>
          </cell>
          <cell r="H68" t="e">
            <v>#N/A</v>
          </cell>
          <cell r="I68" t="e">
            <v>#N/A</v>
          </cell>
          <cell r="J68" t="e">
            <v>#N/A</v>
          </cell>
          <cell r="K68" t="e">
            <v>#N/A</v>
          </cell>
          <cell r="L68" t="e">
            <v>#N/A</v>
          </cell>
          <cell r="M68" t="e">
            <v>#N/A</v>
          </cell>
          <cell r="N68" t="e">
            <v>#N/A</v>
          </cell>
          <cell r="O68" t="e">
            <v>#N/A</v>
          </cell>
          <cell r="P68">
            <v>11.71</v>
          </cell>
          <cell r="Q68">
            <v>3.6388000000000003</v>
          </cell>
          <cell r="R68" t="e">
            <v>#N/A</v>
          </cell>
          <cell r="S68" t="str">
            <v>Max sharePrice</v>
          </cell>
          <cell r="T68">
            <v>15.89</v>
          </cell>
          <cell r="AI68" t="str">
            <v>EGP Egyptian Pound</v>
          </cell>
          <cell r="AJ68" t="str">
            <v>EGP</v>
          </cell>
          <cell r="AK68" t="str">
            <v>EGP</v>
          </cell>
          <cell r="AL68" t="str">
            <v>EGP</v>
          </cell>
          <cell r="AM68">
            <v>0</v>
          </cell>
          <cell r="AN68">
            <v>2</v>
          </cell>
        </row>
        <row r="69">
          <cell r="A69">
            <v>40072</v>
          </cell>
          <cell r="B69">
            <v>40072</v>
          </cell>
          <cell r="C69" t="str">
            <v>Past</v>
          </cell>
          <cell r="D69">
            <v>11.76</v>
          </cell>
          <cell r="E69" t="e">
            <v>#N/A</v>
          </cell>
          <cell r="F69" t="e">
            <v>#N/A</v>
          </cell>
          <cell r="G69" t="e">
            <v>#N/A</v>
          </cell>
          <cell r="H69" t="e">
            <v>#N/A</v>
          </cell>
          <cell r="I69" t="e">
            <v>#N/A</v>
          </cell>
          <cell r="J69" t="e">
            <v>#N/A</v>
          </cell>
          <cell r="K69" t="e">
            <v>#N/A</v>
          </cell>
          <cell r="L69" t="e">
            <v>#N/A</v>
          </cell>
          <cell r="M69" t="e">
            <v>#N/A</v>
          </cell>
          <cell r="N69" t="e">
            <v>#N/A</v>
          </cell>
          <cell r="O69" t="e">
            <v>#N/A</v>
          </cell>
          <cell r="P69">
            <v>11.76</v>
          </cell>
          <cell r="Q69">
            <v>2.8619700000000003</v>
          </cell>
          <cell r="R69" t="e">
            <v>#N/A</v>
          </cell>
          <cell r="AI69" t="str">
            <v>EUR Euro</v>
          </cell>
          <cell r="AJ69" t="str">
            <v>€</v>
          </cell>
          <cell r="AK69" t="str">
            <v>EUR</v>
          </cell>
          <cell r="AL69" t="str">
            <v>EUR</v>
          </cell>
          <cell r="AM69">
            <v>0</v>
          </cell>
          <cell r="AN69">
            <v>2</v>
          </cell>
        </row>
        <row r="70">
          <cell r="A70">
            <v>40073</v>
          </cell>
          <cell r="B70">
            <v>40073</v>
          </cell>
          <cell r="C70" t="str">
            <v>Past</v>
          </cell>
          <cell r="D70">
            <v>11.85</v>
          </cell>
          <cell r="E70" t="e">
            <v>#N/A</v>
          </cell>
          <cell r="F70" t="e">
            <v>#N/A</v>
          </cell>
          <cell r="G70" t="e">
            <v>#N/A</v>
          </cell>
          <cell r="H70" t="e">
            <v>#N/A</v>
          </cell>
          <cell r="I70" t="e">
            <v>#N/A</v>
          </cell>
          <cell r="J70" t="e">
            <v>#N/A</v>
          </cell>
          <cell r="K70" t="e">
            <v>#N/A</v>
          </cell>
          <cell r="L70" t="e">
            <v>#N/A</v>
          </cell>
          <cell r="M70" t="e">
            <v>#N/A</v>
          </cell>
          <cell r="N70" t="e">
            <v>#N/A</v>
          </cell>
          <cell r="O70" t="e">
            <v>#N/A</v>
          </cell>
          <cell r="P70">
            <v>11.85</v>
          </cell>
          <cell r="Q70">
            <v>2.6357729999999999</v>
          </cell>
          <cell r="R70" t="e">
            <v>#N/A</v>
          </cell>
          <cell r="AI70" t="str">
            <v>GBp British Pence</v>
          </cell>
          <cell r="AJ70" t="str">
            <v>p</v>
          </cell>
          <cell r="AK70" t="str">
            <v>GBp</v>
          </cell>
          <cell r="AL70" t="str">
            <v>GBX</v>
          </cell>
          <cell r="AM70">
            <v>1</v>
          </cell>
          <cell r="AN70">
            <v>0</v>
          </cell>
        </row>
        <row r="71">
          <cell r="A71">
            <v>40074</v>
          </cell>
          <cell r="B71">
            <v>40074</v>
          </cell>
          <cell r="C71" t="str">
            <v>Past</v>
          </cell>
          <cell r="D71">
            <v>11.8</v>
          </cell>
          <cell r="E71" t="e">
            <v>#N/A</v>
          </cell>
          <cell r="F71" t="e">
            <v>#N/A</v>
          </cell>
          <cell r="G71" t="e">
            <v>#N/A</v>
          </cell>
          <cell r="H71" t="e">
            <v>#N/A</v>
          </cell>
          <cell r="I71" t="e">
            <v>#N/A</v>
          </cell>
          <cell r="J71" t="e">
            <v>#N/A</v>
          </cell>
          <cell r="K71" t="e">
            <v>#N/A</v>
          </cell>
          <cell r="L71" t="e">
            <v>#N/A</v>
          </cell>
          <cell r="M71" t="e">
            <v>#N/A</v>
          </cell>
          <cell r="N71" t="e">
            <v>#N/A</v>
          </cell>
          <cell r="O71" t="e">
            <v>#N/A</v>
          </cell>
          <cell r="P71">
            <v>11.8</v>
          </cell>
          <cell r="Q71">
            <v>2.2391289999999997</v>
          </cell>
          <cell r="R71" t="e">
            <v>#N/A</v>
          </cell>
          <cell r="AI71" t="str">
            <v>GBP British Pound</v>
          </cell>
          <cell r="AJ71" t="str">
            <v>₤</v>
          </cell>
          <cell r="AK71" t="str">
            <v>GBP</v>
          </cell>
          <cell r="AL71" t="str">
            <v>GBP</v>
          </cell>
          <cell r="AM71">
            <v>0</v>
          </cell>
          <cell r="AN71">
            <v>2</v>
          </cell>
        </row>
        <row r="72">
          <cell r="A72">
            <v>40077</v>
          </cell>
          <cell r="B72">
            <v>40077</v>
          </cell>
          <cell r="C72" t="str">
            <v>Past</v>
          </cell>
          <cell r="D72">
            <v>11.82</v>
          </cell>
          <cell r="E72" t="e">
            <v>#N/A</v>
          </cell>
          <cell r="F72" t="e">
            <v>#N/A</v>
          </cell>
          <cell r="G72" t="e">
            <v>#N/A</v>
          </cell>
          <cell r="H72" t="e">
            <v>#N/A</v>
          </cell>
          <cell r="I72" t="e">
            <v>#N/A</v>
          </cell>
          <cell r="J72" t="e">
            <v>#N/A</v>
          </cell>
          <cell r="K72" t="e">
            <v>#N/A</v>
          </cell>
          <cell r="L72" t="e">
            <v>#N/A</v>
          </cell>
          <cell r="M72" t="e">
            <v>#N/A</v>
          </cell>
          <cell r="N72" t="e">
            <v>#N/A</v>
          </cell>
          <cell r="O72" t="e">
            <v>#N/A</v>
          </cell>
          <cell r="P72">
            <v>11.82</v>
          </cell>
          <cell r="Q72">
            <v>2.264758</v>
          </cell>
          <cell r="R72" t="e">
            <v>#N/A</v>
          </cell>
          <cell r="AI72" t="str">
            <v>HKD Hong Kong Dollar</v>
          </cell>
          <cell r="AJ72" t="str">
            <v>HK$</v>
          </cell>
          <cell r="AK72" t="str">
            <v>HKD</v>
          </cell>
          <cell r="AL72" t="str">
            <v>HKD</v>
          </cell>
          <cell r="AM72">
            <v>0</v>
          </cell>
          <cell r="AN72">
            <v>2</v>
          </cell>
        </row>
        <row r="73">
          <cell r="A73">
            <v>40078</v>
          </cell>
          <cell r="B73">
            <v>40078</v>
          </cell>
          <cell r="C73" t="str">
            <v>Past</v>
          </cell>
          <cell r="D73">
            <v>11.72</v>
          </cell>
          <cell r="E73" t="e">
            <v>#N/A</v>
          </cell>
          <cell r="F73" t="e">
            <v>#N/A</v>
          </cell>
          <cell r="G73" t="e">
            <v>#N/A</v>
          </cell>
          <cell r="H73" t="e">
            <v>#N/A</v>
          </cell>
          <cell r="I73" t="e">
            <v>#N/A</v>
          </cell>
          <cell r="J73" t="e">
            <v>#N/A</v>
          </cell>
          <cell r="K73" t="e">
            <v>#N/A</v>
          </cell>
          <cell r="L73" t="e">
            <v>#N/A</v>
          </cell>
          <cell r="M73" t="e">
            <v>#N/A</v>
          </cell>
          <cell r="N73" t="e">
            <v>#N/A</v>
          </cell>
          <cell r="O73" t="e">
            <v>#N/A</v>
          </cell>
          <cell r="P73">
            <v>11.72</v>
          </cell>
          <cell r="Q73">
            <v>1.6808400000000001</v>
          </cell>
          <cell r="R73" t="e">
            <v>#N/A</v>
          </cell>
          <cell r="AI73" t="str">
            <v>HUF Hungarian forint</v>
          </cell>
          <cell r="AJ73" t="str">
            <v>Ft</v>
          </cell>
          <cell r="AK73" t="str">
            <v>HUF</v>
          </cell>
          <cell r="AL73" t="str">
            <v>HUF</v>
          </cell>
          <cell r="AM73">
            <v>0</v>
          </cell>
          <cell r="AN73">
            <v>2</v>
          </cell>
        </row>
        <row r="74">
          <cell r="A74">
            <v>40079</v>
          </cell>
          <cell r="B74">
            <v>40079</v>
          </cell>
          <cell r="C74" t="str">
            <v>Past</v>
          </cell>
          <cell r="D74">
            <v>11.64</v>
          </cell>
          <cell r="E74" t="e">
            <v>#N/A</v>
          </cell>
          <cell r="F74" t="e">
            <v>#N/A</v>
          </cell>
          <cell r="G74" t="e">
            <v>#N/A</v>
          </cell>
          <cell r="H74" t="e">
            <v>#N/A</v>
          </cell>
          <cell r="I74" t="e">
            <v>#N/A</v>
          </cell>
          <cell r="J74" t="e">
            <v>#N/A</v>
          </cell>
          <cell r="K74" t="e">
            <v>#N/A</v>
          </cell>
          <cell r="L74" t="e">
            <v>#N/A</v>
          </cell>
          <cell r="M74" t="e">
            <v>#N/A</v>
          </cell>
          <cell r="N74" t="e">
            <v>#N/A</v>
          </cell>
          <cell r="O74" t="e">
            <v>#N/A</v>
          </cell>
          <cell r="P74">
            <v>11.64</v>
          </cell>
          <cell r="Q74">
            <v>2.3194809999999997</v>
          </cell>
          <cell r="R74" t="e">
            <v>#N/A</v>
          </cell>
          <cell r="AI74" t="str">
            <v>IDR Indonesian Rupiah</v>
          </cell>
          <cell r="AJ74" t="str">
            <v>Rp</v>
          </cell>
          <cell r="AK74" t="str">
            <v>IDR</v>
          </cell>
          <cell r="AL74" t="str">
            <v>IDR</v>
          </cell>
          <cell r="AM74">
            <v>0</v>
          </cell>
          <cell r="AN74">
            <v>0</v>
          </cell>
        </row>
        <row r="75">
          <cell r="A75">
            <v>40080</v>
          </cell>
          <cell r="B75">
            <v>40080</v>
          </cell>
          <cell r="C75" t="str">
            <v>Past</v>
          </cell>
          <cell r="D75">
            <v>11.54</v>
          </cell>
          <cell r="E75" t="e">
            <v>#N/A</v>
          </cell>
          <cell r="F75" t="e">
            <v>#N/A</v>
          </cell>
          <cell r="G75" t="e">
            <v>#N/A</v>
          </cell>
          <cell r="H75" t="e">
            <v>#N/A</v>
          </cell>
          <cell r="I75" t="e">
            <v>#N/A</v>
          </cell>
          <cell r="J75" t="e">
            <v>#N/A</v>
          </cell>
          <cell r="K75" t="e">
            <v>#N/A</v>
          </cell>
          <cell r="L75" t="e">
            <v>#N/A</v>
          </cell>
          <cell r="M75" t="e">
            <v>#N/A</v>
          </cell>
          <cell r="N75" t="e">
            <v>#N/A</v>
          </cell>
          <cell r="O75" t="e">
            <v>#N/A</v>
          </cell>
          <cell r="P75">
            <v>11.54</v>
          </cell>
          <cell r="Q75">
            <v>2.1152579999999999</v>
          </cell>
          <cell r="R75" t="e">
            <v>#N/A</v>
          </cell>
          <cell r="AI75" t="str">
            <v>ILS Israeli shekel</v>
          </cell>
          <cell r="AJ75" t="str">
            <v>ILS</v>
          </cell>
          <cell r="AK75" t="str">
            <v>ILS</v>
          </cell>
          <cell r="AL75" t="str">
            <v>ILS</v>
          </cell>
          <cell r="AM75">
            <v>0</v>
          </cell>
          <cell r="AN75">
            <v>2</v>
          </cell>
        </row>
        <row r="76">
          <cell r="A76">
            <v>40081</v>
          </cell>
          <cell r="B76">
            <v>40081</v>
          </cell>
          <cell r="C76" t="str">
            <v>Past</v>
          </cell>
          <cell r="D76">
            <v>11.49</v>
          </cell>
          <cell r="E76" t="e">
            <v>#N/A</v>
          </cell>
          <cell r="F76" t="e">
            <v>#N/A</v>
          </cell>
          <cell r="G76" t="e">
            <v>#N/A</v>
          </cell>
          <cell r="H76" t="e">
            <v>#N/A</v>
          </cell>
          <cell r="I76" t="e">
            <v>#N/A</v>
          </cell>
          <cell r="J76" t="e">
            <v>#N/A</v>
          </cell>
          <cell r="K76" t="e">
            <v>#N/A</v>
          </cell>
          <cell r="L76" t="e">
            <v>#N/A</v>
          </cell>
          <cell r="M76" t="e">
            <v>#N/A</v>
          </cell>
          <cell r="N76" t="e">
            <v>#N/A</v>
          </cell>
          <cell r="O76" t="e">
            <v>#N/A</v>
          </cell>
          <cell r="P76">
            <v>11.49</v>
          </cell>
          <cell r="Q76">
            <v>3.0800739999999998</v>
          </cell>
          <cell r="R76" t="e">
            <v>#N/A</v>
          </cell>
          <cell r="AI76" t="str">
            <v>INR Indian Rupee</v>
          </cell>
          <cell r="AJ76" t="str">
            <v>Rs.</v>
          </cell>
          <cell r="AK76" t="str">
            <v>INR</v>
          </cell>
          <cell r="AL76" t="str">
            <v>INR</v>
          </cell>
          <cell r="AM76">
            <v>0</v>
          </cell>
          <cell r="AN76">
            <v>2</v>
          </cell>
        </row>
        <row r="77">
          <cell r="A77">
            <v>40084</v>
          </cell>
          <cell r="B77">
            <v>40084</v>
          </cell>
          <cell r="C77" t="str">
            <v>Past</v>
          </cell>
          <cell r="D77">
            <v>11.6</v>
          </cell>
          <cell r="E77" t="e">
            <v>#N/A</v>
          </cell>
          <cell r="F77" t="e">
            <v>#N/A</v>
          </cell>
          <cell r="G77" t="e">
            <v>#N/A</v>
          </cell>
          <cell r="H77" t="e">
            <v>#N/A</v>
          </cell>
          <cell r="I77" t="e">
            <v>#N/A</v>
          </cell>
          <cell r="J77" t="e">
            <v>#N/A</v>
          </cell>
          <cell r="K77" t="e">
            <v>#N/A</v>
          </cell>
          <cell r="L77" t="e">
            <v>#N/A</v>
          </cell>
          <cell r="M77" t="e">
            <v>#N/A</v>
          </cell>
          <cell r="N77" t="e">
            <v>#N/A</v>
          </cell>
          <cell r="O77" t="e">
            <v>#N/A</v>
          </cell>
          <cell r="P77">
            <v>11.6</v>
          </cell>
          <cell r="Q77">
            <v>1.955897</v>
          </cell>
          <cell r="R77" t="e">
            <v>#N/A</v>
          </cell>
          <cell r="AI77" t="str">
            <v>IQD Iraqi Dinar</v>
          </cell>
          <cell r="AJ77" t="str">
            <v>IQD</v>
          </cell>
          <cell r="AK77" t="str">
            <v>IQD</v>
          </cell>
          <cell r="AL77" t="str">
            <v>IQD</v>
          </cell>
          <cell r="AM77">
            <v>0</v>
          </cell>
          <cell r="AN77">
            <v>2</v>
          </cell>
        </row>
        <row r="78">
          <cell r="A78">
            <v>40085</v>
          </cell>
          <cell r="B78">
            <v>40085</v>
          </cell>
          <cell r="C78" t="str">
            <v>Past</v>
          </cell>
          <cell r="D78">
            <v>11.58</v>
          </cell>
          <cell r="E78" t="e">
            <v>#N/A</v>
          </cell>
          <cell r="F78" t="e">
            <v>#N/A</v>
          </cell>
          <cell r="G78" t="e">
            <v>#N/A</v>
          </cell>
          <cell r="H78" t="e">
            <v>#N/A</v>
          </cell>
          <cell r="I78" t="e">
            <v>#N/A</v>
          </cell>
          <cell r="J78" t="e">
            <v>#N/A</v>
          </cell>
          <cell r="K78" t="e">
            <v>#N/A</v>
          </cell>
          <cell r="L78" t="e">
            <v>#N/A</v>
          </cell>
          <cell r="M78" t="e">
            <v>#N/A</v>
          </cell>
          <cell r="N78" t="e">
            <v>#N/A</v>
          </cell>
          <cell r="O78" t="e">
            <v>#N/A</v>
          </cell>
          <cell r="P78">
            <v>11.58</v>
          </cell>
          <cell r="Q78">
            <v>1.5703909999999999</v>
          </cell>
          <cell r="R78" t="e">
            <v>#N/A</v>
          </cell>
          <cell r="AI78" t="str">
            <v>IRR Iranian Rial</v>
          </cell>
          <cell r="AJ78" t="str">
            <v>IRR</v>
          </cell>
          <cell r="AK78" t="str">
            <v>IRR</v>
          </cell>
          <cell r="AL78" t="str">
            <v>IRR</v>
          </cell>
          <cell r="AM78">
            <v>0</v>
          </cell>
          <cell r="AN78">
            <v>2</v>
          </cell>
        </row>
        <row r="79">
          <cell r="A79">
            <v>40086</v>
          </cell>
          <cell r="B79">
            <v>40086</v>
          </cell>
          <cell r="C79" t="str">
            <v>Past</v>
          </cell>
          <cell r="D79">
            <v>11.59</v>
          </cell>
          <cell r="E79" t="e">
            <v>#N/A</v>
          </cell>
          <cell r="F79" t="e">
            <v>#N/A</v>
          </cell>
          <cell r="G79" t="e">
            <v>#N/A</v>
          </cell>
          <cell r="H79" t="e">
            <v>#N/A</v>
          </cell>
          <cell r="I79" t="e">
            <v>#N/A</v>
          </cell>
          <cell r="J79" t="e">
            <v>#N/A</v>
          </cell>
          <cell r="K79" t="e">
            <v>#N/A</v>
          </cell>
          <cell r="L79" t="e">
            <v>#N/A</v>
          </cell>
          <cell r="M79" t="e">
            <v>#N/A</v>
          </cell>
          <cell r="N79" t="e">
            <v>#N/A</v>
          </cell>
          <cell r="O79" t="e">
            <v>#N/A</v>
          </cell>
          <cell r="P79">
            <v>11.59</v>
          </cell>
          <cell r="Q79">
            <v>2.2237610000000001</v>
          </cell>
          <cell r="R79" t="e">
            <v>#N/A</v>
          </cell>
          <cell r="AI79" t="str">
            <v>ISK Iceland Krona</v>
          </cell>
          <cell r="AJ79" t="str">
            <v>kr</v>
          </cell>
          <cell r="AK79" t="str">
            <v>ISK</v>
          </cell>
          <cell r="AL79" t="str">
            <v>ISK</v>
          </cell>
          <cell r="AM79">
            <v>0</v>
          </cell>
          <cell r="AN79">
            <v>2</v>
          </cell>
        </row>
        <row r="80">
          <cell r="A80">
            <v>40087</v>
          </cell>
          <cell r="B80">
            <v>40087</v>
          </cell>
          <cell r="C80" t="str">
            <v>Past</v>
          </cell>
          <cell r="D80">
            <v>11.47</v>
          </cell>
          <cell r="E80" t="e">
            <v>#N/A</v>
          </cell>
          <cell r="F80" t="e">
            <v>#N/A</v>
          </cell>
          <cell r="G80" t="e">
            <v>#N/A</v>
          </cell>
          <cell r="H80" t="e">
            <v>#N/A</v>
          </cell>
          <cell r="I80" t="e">
            <v>#N/A</v>
          </cell>
          <cell r="J80" t="e">
            <v>#N/A</v>
          </cell>
          <cell r="K80" t="e">
            <v>#N/A</v>
          </cell>
          <cell r="L80" t="e">
            <v>#N/A</v>
          </cell>
          <cell r="M80" t="e">
            <v>#N/A</v>
          </cell>
          <cell r="N80" t="e">
            <v>#N/A</v>
          </cell>
          <cell r="O80" t="e">
            <v>#N/A</v>
          </cell>
          <cell r="P80">
            <v>11.47</v>
          </cell>
          <cell r="Q80">
            <v>3.3032800000000004</v>
          </cell>
          <cell r="R80" t="e">
            <v>#N/A</v>
          </cell>
          <cell r="AI80" t="str">
            <v>JMD Jamaican Dollars</v>
          </cell>
          <cell r="AJ80" t="str">
            <v>JMD</v>
          </cell>
          <cell r="AK80" t="str">
            <v>JMD</v>
          </cell>
          <cell r="AL80" t="str">
            <v>JMD</v>
          </cell>
          <cell r="AM80">
            <v>0</v>
          </cell>
          <cell r="AN80">
            <v>2</v>
          </cell>
        </row>
        <row r="81">
          <cell r="A81">
            <v>40088</v>
          </cell>
          <cell r="B81">
            <v>40088</v>
          </cell>
          <cell r="C81" t="str">
            <v>Past</v>
          </cell>
          <cell r="D81">
            <v>11.26</v>
          </cell>
          <cell r="E81" t="e">
            <v>#N/A</v>
          </cell>
          <cell r="F81" t="e">
            <v>#N/A</v>
          </cell>
          <cell r="G81" t="e">
            <v>#N/A</v>
          </cell>
          <cell r="H81" t="e">
            <v>#N/A</v>
          </cell>
          <cell r="I81" t="e">
            <v>#N/A</v>
          </cell>
          <cell r="J81" t="e">
            <v>#N/A</v>
          </cell>
          <cell r="K81" t="e">
            <v>#N/A</v>
          </cell>
          <cell r="L81" t="e">
            <v>#N/A</v>
          </cell>
          <cell r="M81" t="e">
            <v>#N/A</v>
          </cell>
          <cell r="N81" t="e">
            <v>#N/A</v>
          </cell>
          <cell r="O81" t="e">
            <v>#N/A</v>
          </cell>
          <cell r="P81">
            <v>11.26</v>
          </cell>
          <cell r="Q81">
            <v>3.5768739999999997</v>
          </cell>
          <cell r="R81" t="e">
            <v>#N/A</v>
          </cell>
          <cell r="AI81" t="str">
            <v>JPY Japanese Yen</v>
          </cell>
          <cell r="AJ81" t="str">
            <v>¥</v>
          </cell>
          <cell r="AK81" t="str">
            <v>JPY</v>
          </cell>
          <cell r="AL81" t="str">
            <v>JPY</v>
          </cell>
          <cell r="AM81">
            <v>0</v>
          </cell>
          <cell r="AN81">
            <v>0</v>
          </cell>
        </row>
        <row r="82">
          <cell r="A82">
            <v>40091</v>
          </cell>
          <cell r="B82">
            <v>40091</v>
          </cell>
          <cell r="C82" t="str">
            <v>Past</v>
          </cell>
          <cell r="D82">
            <v>11.39</v>
          </cell>
          <cell r="E82" t="e">
            <v>#N/A</v>
          </cell>
          <cell r="F82" t="e">
            <v>#N/A</v>
          </cell>
          <cell r="G82" t="e">
            <v>#N/A</v>
          </cell>
          <cell r="H82" t="e">
            <v>#N/A</v>
          </cell>
          <cell r="I82" t="e">
            <v>#N/A</v>
          </cell>
          <cell r="J82" t="e">
            <v>#N/A</v>
          </cell>
          <cell r="K82" t="e">
            <v>#N/A</v>
          </cell>
          <cell r="L82" t="e">
            <v>#N/A</v>
          </cell>
          <cell r="M82" t="e">
            <v>#N/A</v>
          </cell>
          <cell r="N82" t="e">
            <v>#N/A</v>
          </cell>
          <cell r="O82" t="e">
            <v>#N/A</v>
          </cell>
          <cell r="P82">
            <v>11.39</v>
          </cell>
          <cell r="Q82">
            <v>3.0325839999999999</v>
          </cell>
          <cell r="R82" t="e">
            <v>#N/A</v>
          </cell>
          <cell r="AI82" t="str">
            <v>KES Kenyan Shilling</v>
          </cell>
          <cell r="AJ82" t="str">
            <v>KES</v>
          </cell>
          <cell r="AK82" t="str">
            <v>KES</v>
          </cell>
          <cell r="AL82" t="str">
            <v>KES</v>
          </cell>
          <cell r="AM82">
            <v>0</v>
          </cell>
          <cell r="AN82">
            <v>0</v>
          </cell>
        </row>
        <row r="83">
          <cell r="A83">
            <v>40092</v>
          </cell>
          <cell r="B83">
            <v>40092</v>
          </cell>
          <cell r="C83" t="str">
            <v>Past</v>
          </cell>
          <cell r="D83">
            <v>11.43</v>
          </cell>
          <cell r="E83" t="e">
            <v>#N/A</v>
          </cell>
          <cell r="F83" t="e">
            <v>#N/A</v>
          </cell>
          <cell r="G83" t="e">
            <v>#N/A</v>
          </cell>
          <cell r="H83" t="e">
            <v>#N/A</v>
          </cell>
          <cell r="I83" t="e">
            <v>#N/A</v>
          </cell>
          <cell r="J83" t="e">
            <v>#N/A</v>
          </cell>
          <cell r="K83" t="e">
            <v>#N/A</v>
          </cell>
          <cell r="L83" t="e">
            <v>#N/A</v>
          </cell>
          <cell r="M83" t="e">
            <v>#N/A</v>
          </cell>
          <cell r="N83" t="e">
            <v>#N/A</v>
          </cell>
          <cell r="O83" t="e">
            <v>#N/A</v>
          </cell>
          <cell r="P83">
            <v>11.43</v>
          </cell>
          <cell r="Q83">
            <v>2.647376</v>
          </cell>
          <cell r="R83" t="e">
            <v>#N/A</v>
          </cell>
          <cell r="AI83" t="str">
            <v>KRW South Korean Won</v>
          </cell>
          <cell r="AJ83" t="str">
            <v>₩</v>
          </cell>
          <cell r="AK83" t="str">
            <v>KRW</v>
          </cell>
          <cell r="AL83" t="str">
            <v>KRW</v>
          </cell>
          <cell r="AM83">
            <v>0</v>
          </cell>
          <cell r="AN83">
            <v>0</v>
          </cell>
        </row>
        <row r="84">
          <cell r="A84">
            <v>40093</v>
          </cell>
          <cell r="B84">
            <v>40093</v>
          </cell>
          <cell r="C84" t="str">
            <v>Past</v>
          </cell>
          <cell r="D84">
            <v>11.36</v>
          </cell>
          <cell r="E84" t="e">
            <v>#N/A</v>
          </cell>
          <cell r="F84" t="e">
            <v>#N/A</v>
          </cell>
          <cell r="G84" t="e">
            <v>#N/A</v>
          </cell>
          <cell r="H84" t="e">
            <v>#N/A</v>
          </cell>
          <cell r="I84" t="e">
            <v>#N/A</v>
          </cell>
          <cell r="J84" t="e">
            <v>#N/A</v>
          </cell>
          <cell r="K84" t="e">
            <v>#N/A</v>
          </cell>
          <cell r="L84" t="e">
            <v>#N/A</v>
          </cell>
          <cell r="M84" t="e">
            <v>#N/A</v>
          </cell>
          <cell r="N84" t="e">
            <v>#N/A</v>
          </cell>
          <cell r="O84" t="e">
            <v>#N/A</v>
          </cell>
          <cell r="P84">
            <v>11.36</v>
          </cell>
          <cell r="Q84">
            <v>2.1541139999999999</v>
          </cell>
          <cell r="R84" t="e">
            <v>#N/A</v>
          </cell>
          <cell r="AI84" t="str">
            <v>KWD Kuwaiti Dinar</v>
          </cell>
          <cell r="AJ84" t="str">
            <v>KWD</v>
          </cell>
          <cell r="AK84" t="str">
            <v>KWD</v>
          </cell>
          <cell r="AL84" t="str">
            <v>KWD</v>
          </cell>
          <cell r="AM84">
            <v>0</v>
          </cell>
          <cell r="AN84">
            <v>2</v>
          </cell>
        </row>
        <row r="85">
          <cell r="A85">
            <v>40094</v>
          </cell>
          <cell r="B85">
            <v>40094</v>
          </cell>
          <cell r="C85" t="str">
            <v>Past</v>
          </cell>
          <cell r="D85">
            <v>11.37</v>
          </cell>
          <cell r="E85" t="e">
            <v>#N/A</v>
          </cell>
          <cell r="F85" t="e">
            <v>#N/A</v>
          </cell>
          <cell r="G85" t="e">
            <v>#N/A</v>
          </cell>
          <cell r="H85" t="e">
            <v>#N/A</v>
          </cell>
          <cell r="I85" t="e">
            <v>#N/A</v>
          </cell>
          <cell r="J85" t="e">
            <v>#N/A</v>
          </cell>
          <cell r="K85" t="e">
            <v>#N/A</v>
          </cell>
          <cell r="L85" t="e">
            <v>#N/A</v>
          </cell>
          <cell r="M85" t="e">
            <v>#N/A</v>
          </cell>
          <cell r="N85" t="e">
            <v>#N/A</v>
          </cell>
          <cell r="O85" t="e">
            <v>#N/A</v>
          </cell>
          <cell r="P85">
            <v>11.37</v>
          </cell>
          <cell r="Q85">
            <v>3.583091</v>
          </cell>
          <cell r="R85" t="e">
            <v>#N/A</v>
          </cell>
          <cell r="AI85" t="str">
            <v>KYD Cayman Dollars</v>
          </cell>
          <cell r="AJ85" t="str">
            <v>KYD</v>
          </cell>
          <cell r="AK85" t="str">
            <v>KYD</v>
          </cell>
          <cell r="AL85" t="str">
            <v>KYD</v>
          </cell>
          <cell r="AM85">
            <v>0</v>
          </cell>
          <cell r="AN85">
            <v>2</v>
          </cell>
        </row>
        <row r="86">
          <cell r="A86">
            <v>40095</v>
          </cell>
          <cell r="B86">
            <v>40095</v>
          </cell>
          <cell r="C86" t="str">
            <v>Past</v>
          </cell>
          <cell r="D86">
            <v>11.54</v>
          </cell>
          <cell r="E86" t="e">
            <v>#N/A</v>
          </cell>
          <cell r="F86" t="e">
            <v>#N/A</v>
          </cell>
          <cell r="G86" t="e">
            <v>#N/A</v>
          </cell>
          <cell r="H86" t="e">
            <v>#N/A</v>
          </cell>
          <cell r="I86" t="e">
            <v>#N/A</v>
          </cell>
          <cell r="J86" t="e">
            <v>#N/A</v>
          </cell>
          <cell r="K86" t="e">
            <v>#N/A</v>
          </cell>
          <cell r="L86" t="e">
            <v>#N/A</v>
          </cell>
          <cell r="M86" t="e">
            <v>#N/A</v>
          </cell>
          <cell r="N86" t="e">
            <v>#N/A</v>
          </cell>
          <cell r="O86" t="e">
            <v>#N/A</v>
          </cell>
          <cell r="P86">
            <v>11.54</v>
          </cell>
          <cell r="Q86">
            <v>3.244996</v>
          </cell>
          <cell r="R86" t="e">
            <v>#N/A</v>
          </cell>
          <cell r="AI86" t="str">
            <v>LKR Sri Lankan Rupee</v>
          </cell>
          <cell r="AJ86" t="str">
            <v>LKR</v>
          </cell>
          <cell r="AK86" t="str">
            <v>LKR</v>
          </cell>
          <cell r="AL86" t="str">
            <v>LKR</v>
          </cell>
          <cell r="AM86">
            <v>0</v>
          </cell>
          <cell r="AN86">
            <v>2</v>
          </cell>
        </row>
        <row r="87">
          <cell r="A87">
            <v>40098</v>
          </cell>
          <cell r="B87">
            <v>40098</v>
          </cell>
          <cell r="C87" t="str">
            <v>Past</v>
          </cell>
          <cell r="D87">
            <v>11.6</v>
          </cell>
          <cell r="E87" t="e">
            <v>#N/A</v>
          </cell>
          <cell r="F87" t="e">
            <v>#N/A</v>
          </cell>
          <cell r="G87" t="e">
            <v>#N/A</v>
          </cell>
          <cell r="H87" t="e">
            <v>#N/A</v>
          </cell>
          <cell r="I87" t="e">
            <v>#N/A</v>
          </cell>
          <cell r="J87" t="e">
            <v>#N/A</v>
          </cell>
          <cell r="K87" t="e">
            <v>#N/A</v>
          </cell>
          <cell r="L87" t="e">
            <v>#N/A</v>
          </cell>
          <cell r="M87" t="e">
            <v>#N/A</v>
          </cell>
          <cell r="N87" t="e">
            <v>#N/A</v>
          </cell>
          <cell r="O87" t="e">
            <v>#N/A</v>
          </cell>
          <cell r="P87">
            <v>11.6</v>
          </cell>
          <cell r="Q87">
            <v>1.45696</v>
          </cell>
          <cell r="R87" t="e">
            <v>#N/A</v>
          </cell>
          <cell r="AI87" t="str">
            <v>MAD Moroccan Dirham</v>
          </cell>
          <cell r="AJ87" t="str">
            <v>MAD</v>
          </cell>
          <cell r="AK87" t="str">
            <v>MAD</v>
          </cell>
          <cell r="AL87" t="str">
            <v>MAD</v>
          </cell>
          <cell r="AM87">
            <v>0</v>
          </cell>
          <cell r="AN87">
            <v>2</v>
          </cell>
        </row>
        <row r="88">
          <cell r="A88">
            <v>40099</v>
          </cell>
          <cell r="B88">
            <v>40099</v>
          </cell>
          <cell r="C88" t="str">
            <v>Past</v>
          </cell>
          <cell r="D88">
            <v>11.46</v>
          </cell>
          <cell r="E88" t="e">
            <v>#N/A</v>
          </cell>
          <cell r="F88" t="e">
            <v>#N/A</v>
          </cell>
          <cell r="G88" t="e">
            <v>#N/A</v>
          </cell>
          <cell r="H88" t="e">
            <v>#N/A</v>
          </cell>
          <cell r="I88" t="e">
            <v>#N/A</v>
          </cell>
          <cell r="J88" t="e">
            <v>#N/A</v>
          </cell>
          <cell r="K88" t="e">
            <v>#N/A</v>
          </cell>
          <cell r="L88" t="e">
            <v>#N/A</v>
          </cell>
          <cell r="M88" t="e">
            <v>#N/A</v>
          </cell>
          <cell r="N88" t="e">
            <v>#N/A</v>
          </cell>
          <cell r="O88" t="e">
            <v>#N/A</v>
          </cell>
          <cell r="P88">
            <v>11.46</v>
          </cell>
          <cell r="Q88">
            <v>2.1492249999999999</v>
          </cell>
          <cell r="R88" t="e">
            <v>#N/A</v>
          </cell>
          <cell r="AI88" t="str">
            <v>MXN Mexican Pesos (new)</v>
          </cell>
          <cell r="AJ88" t="str">
            <v>M$</v>
          </cell>
          <cell r="AK88" t="str">
            <v>MXN</v>
          </cell>
          <cell r="AL88" t="str">
            <v>MXN</v>
          </cell>
          <cell r="AM88">
            <v>0</v>
          </cell>
          <cell r="AN88">
            <v>2</v>
          </cell>
        </row>
        <row r="89">
          <cell r="A89">
            <v>40100</v>
          </cell>
          <cell r="B89">
            <v>40100</v>
          </cell>
          <cell r="C89" t="str">
            <v>Past</v>
          </cell>
          <cell r="D89">
            <v>11.58</v>
          </cell>
          <cell r="E89" t="e">
            <v>#N/A</v>
          </cell>
          <cell r="F89" t="e">
            <v>#N/A</v>
          </cell>
          <cell r="G89" t="e">
            <v>#N/A</v>
          </cell>
          <cell r="H89" t="e">
            <v>#N/A</v>
          </cell>
          <cell r="I89" t="e">
            <v>#N/A</v>
          </cell>
          <cell r="J89" t="e">
            <v>#N/A</v>
          </cell>
          <cell r="K89" t="e">
            <v>#N/A</v>
          </cell>
          <cell r="L89" t="e">
            <v>#N/A</v>
          </cell>
          <cell r="M89" t="e">
            <v>#N/A</v>
          </cell>
          <cell r="N89" t="e">
            <v>#N/A</v>
          </cell>
          <cell r="O89" t="e">
            <v>#N/A</v>
          </cell>
          <cell r="P89">
            <v>11.58</v>
          </cell>
          <cell r="Q89">
            <v>2.0291129999999997</v>
          </cell>
          <cell r="R89" t="e">
            <v>#N/A</v>
          </cell>
          <cell r="AI89" t="str">
            <v>MYR Malaysian Ringgit</v>
          </cell>
          <cell r="AJ89" t="str">
            <v>RM</v>
          </cell>
          <cell r="AK89" t="str">
            <v>MYR</v>
          </cell>
          <cell r="AL89" t="str">
            <v>MYR</v>
          </cell>
          <cell r="AM89">
            <v>0</v>
          </cell>
          <cell r="AN89">
            <v>2</v>
          </cell>
        </row>
        <row r="90">
          <cell r="A90">
            <v>40101</v>
          </cell>
          <cell r="B90">
            <v>40101</v>
          </cell>
          <cell r="C90" t="str">
            <v>Past</v>
          </cell>
          <cell r="D90">
            <v>11.64</v>
          </cell>
          <cell r="E90" t="e">
            <v>#N/A</v>
          </cell>
          <cell r="F90" t="e">
            <v>#N/A</v>
          </cell>
          <cell r="G90" t="e">
            <v>#N/A</v>
          </cell>
          <cell r="H90" t="e">
            <v>#N/A</v>
          </cell>
          <cell r="I90" t="e">
            <v>#N/A</v>
          </cell>
          <cell r="J90" t="e">
            <v>#N/A</v>
          </cell>
          <cell r="K90" t="e">
            <v>#N/A</v>
          </cell>
          <cell r="L90" t="e">
            <v>#N/A</v>
          </cell>
          <cell r="M90" t="e">
            <v>#N/A</v>
          </cell>
          <cell r="N90" t="e">
            <v>#N/A</v>
          </cell>
          <cell r="O90" t="e">
            <v>#N/A</v>
          </cell>
          <cell r="P90">
            <v>11.64</v>
          </cell>
          <cell r="Q90">
            <v>1.4275819999999999</v>
          </cell>
          <cell r="R90" t="e">
            <v>#N/A</v>
          </cell>
          <cell r="AI90" t="str">
            <v>NOK Norwegian Krone</v>
          </cell>
          <cell r="AJ90" t="str">
            <v>NKr</v>
          </cell>
          <cell r="AK90" t="str">
            <v>NOK</v>
          </cell>
          <cell r="AL90" t="str">
            <v>NOK</v>
          </cell>
          <cell r="AM90">
            <v>0</v>
          </cell>
          <cell r="AN90">
            <v>2</v>
          </cell>
        </row>
        <row r="91">
          <cell r="A91">
            <v>40102</v>
          </cell>
          <cell r="B91">
            <v>40102</v>
          </cell>
          <cell r="C91" t="str">
            <v>Past</v>
          </cell>
          <cell r="D91">
            <v>11.56</v>
          </cell>
          <cell r="E91" t="e">
            <v>#N/A</v>
          </cell>
          <cell r="F91" t="e">
            <v>#N/A</v>
          </cell>
          <cell r="G91" t="e">
            <v>#N/A</v>
          </cell>
          <cell r="H91" t="e">
            <v>#N/A</v>
          </cell>
          <cell r="I91" t="e">
            <v>#N/A</v>
          </cell>
          <cell r="J91" t="e">
            <v>#N/A</v>
          </cell>
          <cell r="K91" t="e">
            <v>#N/A</v>
          </cell>
          <cell r="L91" t="e">
            <v>#N/A</v>
          </cell>
          <cell r="M91" t="e">
            <v>#N/A</v>
          </cell>
          <cell r="N91" t="e">
            <v>#N/A</v>
          </cell>
          <cell r="O91" t="e">
            <v>#N/A</v>
          </cell>
          <cell r="P91">
            <v>11.56</v>
          </cell>
          <cell r="Q91">
            <v>1.6266229999999999</v>
          </cell>
          <cell r="R91" t="e">
            <v>#N/A</v>
          </cell>
          <cell r="AI91" t="str">
            <v>NZD New Zealand Dollars</v>
          </cell>
          <cell r="AJ91" t="str">
            <v>NZ$</v>
          </cell>
          <cell r="AK91" t="str">
            <v>NZD</v>
          </cell>
          <cell r="AL91" t="str">
            <v>NZD</v>
          </cell>
          <cell r="AM91">
            <v>0</v>
          </cell>
          <cell r="AN91">
            <v>2</v>
          </cell>
        </row>
        <row r="92">
          <cell r="A92">
            <v>40105</v>
          </cell>
          <cell r="B92">
            <v>40105</v>
          </cell>
          <cell r="C92" t="str">
            <v>Past</v>
          </cell>
          <cell r="D92">
            <v>11.61</v>
          </cell>
          <cell r="E92" t="e">
            <v>#N/A</v>
          </cell>
          <cell r="F92" t="e">
            <v>#N/A</v>
          </cell>
          <cell r="G92" t="e">
            <v>#N/A</v>
          </cell>
          <cell r="H92" t="e">
            <v>#N/A</v>
          </cell>
          <cell r="I92" t="e">
            <v>#N/A</v>
          </cell>
          <cell r="J92" t="e">
            <v>#N/A</v>
          </cell>
          <cell r="K92" t="e">
            <v>#N/A</v>
          </cell>
          <cell r="L92" t="e">
            <v>#N/A</v>
          </cell>
          <cell r="M92" t="e">
            <v>#N/A</v>
          </cell>
          <cell r="N92" t="e">
            <v>#N/A</v>
          </cell>
          <cell r="O92" t="e">
            <v>#N/A</v>
          </cell>
          <cell r="P92">
            <v>11.61</v>
          </cell>
          <cell r="Q92">
            <v>1.6260700000000001</v>
          </cell>
          <cell r="R92" t="e">
            <v>#N/A</v>
          </cell>
          <cell r="AI92" t="str">
            <v>OMR Rial Omani</v>
          </cell>
          <cell r="AJ92" t="str">
            <v>OMR</v>
          </cell>
          <cell r="AK92" t="str">
            <v>OMR</v>
          </cell>
          <cell r="AL92" t="str">
            <v>OMR</v>
          </cell>
          <cell r="AM92">
            <v>0</v>
          </cell>
          <cell r="AN92">
            <v>2</v>
          </cell>
        </row>
        <row r="93">
          <cell r="A93">
            <v>40106</v>
          </cell>
          <cell r="B93">
            <v>40106</v>
          </cell>
          <cell r="C93" t="str">
            <v>Past</v>
          </cell>
          <cell r="D93">
            <v>11.46</v>
          </cell>
          <cell r="E93" t="e">
            <v>#N/A</v>
          </cell>
          <cell r="F93" t="e">
            <v>#N/A</v>
          </cell>
          <cell r="G93" t="e">
            <v>#N/A</v>
          </cell>
          <cell r="H93" t="e">
            <v>#N/A</v>
          </cell>
          <cell r="I93" t="e">
            <v>#N/A</v>
          </cell>
          <cell r="J93" t="e">
            <v>#N/A</v>
          </cell>
          <cell r="K93" t="e">
            <v>#N/A</v>
          </cell>
          <cell r="L93" t="e">
            <v>#N/A</v>
          </cell>
          <cell r="M93" t="e">
            <v>#N/A</v>
          </cell>
          <cell r="N93" t="e">
            <v>#N/A</v>
          </cell>
          <cell r="O93" t="e">
            <v>#N/A</v>
          </cell>
          <cell r="P93">
            <v>11.46</v>
          </cell>
          <cell r="Q93">
            <v>1.2816339999999999</v>
          </cell>
          <cell r="R93" t="e">
            <v>#N/A</v>
          </cell>
          <cell r="AI93" t="str">
            <v>PAB Panamanian Balboa</v>
          </cell>
          <cell r="AJ93" t="str">
            <v>PAB</v>
          </cell>
          <cell r="AK93" t="str">
            <v>PAB</v>
          </cell>
          <cell r="AL93" t="str">
            <v>PAB</v>
          </cell>
          <cell r="AM93">
            <v>0</v>
          </cell>
          <cell r="AN93">
            <v>2</v>
          </cell>
        </row>
        <row r="94">
          <cell r="A94">
            <v>40107</v>
          </cell>
          <cell r="B94">
            <v>40107</v>
          </cell>
          <cell r="C94" t="str">
            <v>Past</v>
          </cell>
          <cell r="D94">
            <v>11.34</v>
          </cell>
          <cell r="E94" t="e">
            <v>#N/A</v>
          </cell>
          <cell r="F94" t="e">
            <v>#N/A</v>
          </cell>
          <cell r="G94" t="e">
            <v>#N/A</v>
          </cell>
          <cell r="H94" t="e">
            <v>#N/A</v>
          </cell>
          <cell r="I94" t="e">
            <v>#N/A</v>
          </cell>
          <cell r="J94" t="e">
            <v>#N/A</v>
          </cell>
          <cell r="K94" t="e">
            <v>#N/A</v>
          </cell>
          <cell r="L94" t="e">
            <v>#N/A</v>
          </cell>
          <cell r="M94" t="e">
            <v>#N/A</v>
          </cell>
          <cell r="N94" t="e">
            <v>#N/A</v>
          </cell>
          <cell r="O94" t="e">
            <v>#N/A</v>
          </cell>
          <cell r="P94">
            <v>11.34</v>
          </cell>
          <cell r="Q94">
            <v>1.940421</v>
          </cell>
          <cell r="R94" t="e">
            <v>#N/A</v>
          </cell>
          <cell r="AI94" t="str">
            <v>PEN Peruvian PEN</v>
          </cell>
          <cell r="AJ94" t="str">
            <v>PEN</v>
          </cell>
          <cell r="AK94" t="str">
            <v>PEN</v>
          </cell>
          <cell r="AL94" t="str">
            <v>PEN</v>
          </cell>
          <cell r="AM94">
            <v>0</v>
          </cell>
          <cell r="AN94">
            <v>2</v>
          </cell>
        </row>
        <row r="95">
          <cell r="A95">
            <v>40108</v>
          </cell>
          <cell r="B95">
            <v>40108</v>
          </cell>
          <cell r="C95" t="str">
            <v>Past</v>
          </cell>
          <cell r="D95">
            <v>11.33</v>
          </cell>
          <cell r="E95" t="e">
            <v>#N/A</v>
          </cell>
          <cell r="F95" t="e">
            <v>#N/A</v>
          </cell>
          <cell r="G95" t="e">
            <v>#N/A</v>
          </cell>
          <cell r="H95" t="e">
            <v>#N/A</v>
          </cell>
          <cell r="I95" t="e">
            <v>#N/A</v>
          </cell>
          <cell r="J95" t="e">
            <v>#N/A</v>
          </cell>
          <cell r="K95" t="e">
            <v>#N/A</v>
          </cell>
          <cell r="L95" t="e">
            <v>#N/A</v>
          </cell>
          <cell r="M95" t="e">
            <v>#N/A</v>
          </cell>
          <cell r="N95" t="e">
            <v>#N/A</v>
          </cell>
          <cell r="O95" t="e">
            <v>#N/A</v>
          </cell>
          <cell r="P95">
            <v>11.33</v>
          </cell>
          <cell r="Q95">
            <v>2.0317000000000003</v>
          </cell>
          <cell r="R95" t="e">
            <v>#N/A</v>
          </cell>
          <cell r="AI95" t="str">
            <v>PHP Philippino Peso</v>
          </cell>
          <cell r="AJ95" t="str">
            <v>PP</v>
          </cell>
          <cell r="AK95" t="str">
            <v>PHP</v>
          </cell>
          <cell r="AL95" t="str">
            <v>PHP</v>
          </cell>
          <cell r="AM95">
            <v>0</v>
          </cell>
          <cell r="AN95">
            <v>2</v>
          </cell>
        </row>
        <row r="96">
          <cell r="A96">
            <v>40109</v>
          </cell>
          <cell r="B96">
            <v>40109</v>
          </cell>
          <cell r="C96" t="str">
            <v>Past</v>
          </cell>
          <cell r="D96">
            <v>11.28</v>
          </cell>
          <cell r="E96" t="e">
            <v>#N/A</v>
          </cell>
          <cell r="F96" t="e">
            <v>#N/A</v>
          </cell>
          <cell r="G96" t="e">
            <v>#N/A</v>
          </cell>
          <cell r="H96" t="e">
            <v>#N/A</v>
          </cell>
          <cell r="I96" t="e">
            <v>#N/A</v>
          </cell>
          <cell r="J96" t="e">
            <v>#N/A</v>
          </cell>
          <cell r="K96" t="e">
            <v>#N/A</v>
          </cell>
          <cell r="L96" t="e">
            <v>#N/A</v>
          </cell>
          <cell r="M96" t="e">
            <v>#N/A</v>
          </cell>
          <cell r="N96" t="e">
            <v>#N/A</v>
          </cell>
          <cell r="O96" t="e">
            <v>#N/A</v>
          </cell>
          <cell r="P96">
            <v>11.28</v>
          </cell>
          <cell r="Q96">
            <v>2.386104</v>
          </cell>
          <cell r="R96" t="e">
            <v>#N/A</v>
          </cell>
          <cell r="AI96" t="str">
            <v>PKR Pakistani Rupee</v>
          </cell>
          <cell r="AJ96" t="str">
            <v>Rs.</v>
          </cell>
          <cell r="AK96" t="str">
            <v>PKR</v>
          </cell>
          <cell r="AL96" t="str">
            <v>PKR</v>
          </cell>
          <cell r="AM96">
            <v>0</v>
          </cell>
          <cell r="AN96">
            <v>2</v>
          </cell>
        </row>
        <row r="97">
          <cell r="A97">
            <v>40112</v>
          </cell>
          <cell r="B97">
            <v>40112</v>
          </cell>
          <cell r="C97" t="str">
            <v>Past</v>
          </cell>
          <cell r="D97">
            <v>11.37</v>
          </cell>
          <cell r="E97" t="e">
            <v>#N/A</v>
          </cell>
          <cell r="F97" t="e">
            <v>#N/A</v>
          </cell>
          <cell r="G97" t="e">
            <v>#N/A</v>
          </cell>
          <cell r="H97" t="e">
            <v>#N/A</v>
          </cell>
          <cell r="I97" t="e">
            <v>#N/A</v>
          </cell>
          <cell r="J97" t="e">
            <v>#N/A</v>
          </cell>
          <cell r="K97" t="e">
            <v>#N/A</v>
          </cell>
          <cell r="L97" t="e">
            <v>#N/A</v>
          </cell>
          <cell r="M97" t="e">
            <v>#N/A</v>
          </cell>
          <cell r="N97" t="e">
            <v>#N/A</v>
          </cell>
          <cell r="O97" t="e">
            <v>#N/A</v>
          </cell>
          <cell r="P97">
            <v>11.37</v>
          </cell>
          <cell r="Q97">
            <v>3.054189</v>
          </cell>
          <cell r="R97" t="e">
            <v>#N/A</v>
          </cell>
          <cell r="AI97" t="str">
            <v>PLN Polish Zloty</v>
          </cell>
          <cell r="AJ97" t="str">
            <v>zł</v>
          </cell>
          <cell r="AK97" t="str">
            <v>PLN</v>
          </cell>
          <cell r="AL97" t="str">
            <v>PLN</v>
          </cell>
          <cell r="AM97">
            <v>0</v>
          </cell>
          <cell r="AN97">
            <v>2</v>
          </cell>
        </row>
        <row r="98">
          <cell r="A98">
            <v>40113</v>
          </cell>
          <cell r="B98">
            <v>40113</v>
          </cell>
          <cell r="C98" t="str">
            <v>Past</v>
          </cell>
          <cell r="D98">
            <v>11.44</v>
          </cell>
          <cell r="E98" t="e">
            <v>#N/A</v>
          </cell>
          <cell r="F98" t="e">
            <v>#N/A</v>
          </cell>
          <cell r="G98" t="e">
            <v>#N/A</v>
          </cell>
          <cell r="H98" t="e">
            <v>#N/A</v>
          </cell>
          <cell r="I98" t="e">
            <v>#N/A</v>
          </cell>
          <cell r="J98" t="e">
            <v>#N/A</v>
          </cell>
          <cell r="K98" t="e">
            <v>#N/A</v>
          </cell>
          <cell r="L98" t="e">
            <v>#N/A</v>
          </cell>
          <cell r="M98" t="e">
            <v>#N/A</v>
          </cell>
          <cell r="N98" t="e">
            <v>#N/A</v>
          </cell>
          <cell r="O98" t="e">
            <v>#N/A</v>
          </cell>
          <cell r="P98">
            <v>11.44</v>
          </cell>
          <cell r="Q98">
            <v>2.2041369999999998</v>
          </cell>
          <cell r="R98" t="e">
            <v>#N/A</v>
          </cell>
          <cell r="AI98" t="str">
            <v>QAR Qatari Riyal</v>
          </cell>
          <cell r="AJ98" t="str">
            <v>QAR</v>
          </cell>
          <cell r="AK98" t="str">
            <v>QAR</v>
          </cell>
          <cell r="AL98" t="str">
            <v>QAR</v>
          </cell>
          <cell r="AM98">
            <v>0</v>
          </cell>
          <cell r="AN98">
            <v>2</v>
          </cell>
        </row>
        <row r="99">
          <cell r="A99">
            <v>40114</v>
          </cell>
          <cell r="B99">
            <v>40114</v>
          </cell>
          <cell r="C99" t="str">
            <v>Past</v>
          </cell>
          <cell r="D99">
            <v>11.46</v>
          </cell>
          <cell r="E99" t="e">
            <v>#N/A</v>
          </cell>
          <cell r="F99" t="e">
            <v>#N/A</v>
          </cell>
          <cell r="G99" t="e">
            <v>#N/A</v>
          </cell>
          <cell r="H99" t="e">
            <v>#N/A</v>
          </cell>
          <cell r="I99" t="e">
            <v>#N/A</v>
          </cell>
          <cell r="J99" t="e">
            <v>#N/A</v>
          </cell>
          <cell r="K99" t="e">
            <v>#N/A</v>
          </cell>
          <cell r="L99" t="e">
            <v>#N/A</v>
          </cell>
          <cell r="M99" t="e">
            <v>#N/A</v>
          </cell>
          <cell r="N99" t="e">
            <v>#N/A</v>
          </cell>
          <cell r="O99" t="e">
            <v>#N/A</v>
          </cell>
          <cell r="P99">
            <v>11.46</v>
          </cell>
          <cell r="Q99">
            <v>3.8279000000000001</v>
          </cell>
          <cell r="R99" t="e">
            <v>#N/A</v>
          </cell>
          <cell r="AI99" t="str">
            <v>RUB Russian Rouble</v>
          </cell>
          <cell r="AJ99" t="str">
            <v>RUB</v>
          </cell>
          <cell r="AK99" t="str">
            <v>RUB</v>
          </cell>
          <cell r="AL99" t="str">
            <v>RUB</v>
          </cell>
          <cell r="AM99">
            <v>0</v>
          </cell>
          <cell r="AN99">
            <v>2</v>
          </cell>
        </row>
        <row r="100">
          <cell r="A100">
            <v>40115</v>
          </cell>
          <cell r="B100">
            <v>40115</v>
          </cell>
          <cell r="C100" t="str">
            <v>Past</v>
          </cell>
          <cell r="D100">
            <v>11.71</v>
          </cell>
          <cell r="E100" t="e">
            <v>#N/A</v>
          </cell>
          <cell r="F100" t="e">
            <v>#N/A</v>
          </cell>
          <cell r="G100" t="e">
            <v>#N/A</v>
          </cell>
          <cell r="H100" t="e">
            <v>#N/A</v>
          </cell>
          <cell r="I100" t="e">
            <v>#N/A</v>
          </cell>
          <cell r="J100" t="e">
            <v>#N/A</v>
          </cell>
          <cell r="K100" t="e">
            <v>#N/A</v>
          </cell>
          <cell r="L100" t="e">
            <v>#N/A</v>
          </cell>
          <cell r="M100" t="e">
            <v>#N/A</v>
          </cell>
          <cell r="N100" t="e">
            <v>#N/A</v>
          </cell>
          <cell r="O100" t="e">
            <v>#N/A</v>
          </cell>
          <cell r="P100">
            <v>11.71</v>
          </cell>
          <cell r="Q100">
            <v>2.7270479999999999</v>
          </cell>
          <cell r="R100" t="e">
            <v>#N/A</v>
          </cell>
          <cell r="AI100" t="str">
            <v>SAR Saudi Riyal</v>
          </cell>
          <cell r="AJ100" t="str">
            <v>SAR</v>
          </cell>
          <cell r="AK100" t="str">
            <v>SAR</v>
          </cell>
          <cell r="AL100" t="str">
            <v>SAR</v>
          </cell>
          <cell r="AM100">
            <v>0</v>
          </cell>
          <cell r="AN100">
            <v>2</v>
          </cell>
        </row>
        <row r="101">
          <cell r="A101">
            <v>40116</v>
          </cell>
          <cell r="B101">
            <v>40116</v>
          </cell>
          <cell r="C101" t="str">
            <v>Past</v>
          </cell>
          <cell r="D101">
            <v>11.46</v>
          </cell>
          <cell r="E101" t="e">
            <v>#N/A</v>
          </cell>
          <cell r="F101" t="e">
            <v>#N/A</v>
          </cell>
          <cell r="G101" t="e">
            <v>#N/A</v>
          </cell>
          <cell r="H101" t="e">
            <v>#N/A</v>
          </cell>
          <cell r="I101" t="e">
            <v>#N/A</v>
          </cell>
          <cell r="J101" t="e">
            <v>#N/A</v>
          </cell>
          <cell r="K101" t="e">
            <v>#N/A</v>
          </cell>
          <cell r="L101" t="e">
            <v>#N/A</v>
          </cell>
          <cell r="M101" t="e">
            <v>#N/A</v>
          </cell>
          <cell r="N101" t="e">
            <v>#N/A</v>
          </cell>
          <cell r="O101" t="e">
            <v>#N/A</v>
          </cell>
          <cell r="P101">
            <v>11.46</v>
          </cell>
          <cell r="Q101">
            <v>3.0121819999999997</v>
          </cell>
          <cell r="R101" t="e">
            <v>#N/A</v>
          </cell>
          <cell r="AI101" t="str">
            <v>SEK Swedish Krona</v>
          </cell>
          <cell r="AJ101" t="str">
            <v>SKr</v>
          </cell>
          <cell r="AK101" t="str">
            <v>SEK</v>
          </cell>
          <cell r="AL101" t="str">
            <v>SEK</v>
          </cell>
          <cell r="AM101">
            <v>0</v>
          </cell>
          <cell r="AN101">
            <v>2</v>
          </cell>
        </row>
        <row r="102">
          <cell r="A102">
            <v>40119</v>
          </cell>
          <cell r="B102">
            <v>40119</v>
          </cell>
          <cell r="C102" t="str">
            <v>Past</v>
          </cell>
          <cell r="D102">
            <v>11.34</v>
          </cell>
          <cell r="E102" t="e">
            <v>#N/A</v>
          </cell>
          <cell r="F102" t="e">
            <v>#N/A</v>
          </cell>
          <cell r="G102" t="e">
            <v>#N/A</v>
          </cell>
          <cell r="H102" t="e">
            <v>#N/A</v>
          </cell>
          <cell r="I102" t="e">
            <v>#N/A</v>
          </cell>
          <cell r="J102" t="e">
            <v>#N/A</v>
          </cell>
          <cell r="K102" t="e">
            <v>#N/A</v>
          </cell>
          <cell r="L102" t="e">
            <v>#N/A</v>
          </cell>
          <cell r="M102" t="e">
            <v>#N/A</v>
          </cell>
          <cell r="N102" t="e">
            <v>#N/A</v>
          </cell>
          <cell r="O102" t="e">
            <v>#N/A</v>
          </cell>
          <cell r="P102">
            <v>11.34</v>
          </cell>
          <cell r="Q102">
            <v>3.8830300000000002</v>
          </cell>
          <cell r="R102" t="e">
            <v>#N/A</v>
          </cell>
          <cell r="AI102" t="str">
            <v>SGD Singapore Dollar</v>
          </cell>
          <cell r="AJ102" t="str">
            <v>S$</v>
          </cell>
          <cell r="AK102" t="str">
            <v>SGD</v>
          </cell>
          <cell r="AL102" t="str">
            <v>SGD</v>
          </cell>
          <cell r="AM102">
            <v>0</v>
          </cell>
          <cell r="AN102">
            <v>2</v>
          </cell>
        </row>
        <row r="103">
          <cell r="A103">
            <v>40120</v>
          </cell>
          <cell r="B103">
            <v>40120</v>
          </cell>
          <cell r="C103" t="str">
            <v>Past</v>
          </cell>
          <cell r="D103">
            <v>11.46</v>
          </cell>
          <cell r="E103" t="e">
            <v>#N/A</v>
          </cell>
          <cell r="F103" t="e">
            <v>#N/A</v>
          </cell>
          <cell r="G103" t="e">
            <v>#N/A</v>
          </cell>
          <cell r="H103" t="e">
            <v>#N/A</v>
          </cell>
          <cell r="I103" t="e">
            <v>#N/A</v>
          </cell>
          <cell r="J103" t="e">
            <v>#N/A</v>
          </cell>
          <cell r="K103" t="e">
            <v>#N/A</v>
          </cell>
          <cell r="L103" t="e">
            <v>#N/A</v>
          </cell>
          <cell r="M103" t="e">
            <v>#N/A</v>
          </cell>
          <cell r="N103" t="e">
            <v>#N/A</v>
          </cell>
          <cell r="O103" t="e">
            <v>#N/A</v>
          </cell>
          <cell r="P103">
            <v>11.46</v>
          </cell>
          <cell r="Q103">
            <v>2.5635779999999997</v>
          </cell>
          <cell r="R103" t="e">
            <v>#N/A</v>
          </cell>
          <cell r="AI103" t="str">
            <v>THB Thailand Baht</v>
          </cell>
          <cell r="AJ103" t="str">
            <v>Bt</v>
          </cell>
          <cell r="AK103" t="str">
            <v>THB</v>
          </cell>
          <cell r="AL103" t="str">
            <v>THB</v>
          </cell>
          <cell r="AM103">
            <v>0</v>
          </cell>
          <cell r="AN103">
            <v>2</v>
          </cell>
        </row>
        <row r="104">
          <cell r="A104">
            <v>40121</v>
          </cell>
          <cell r="B104">
            <v>40121</v>
          </cell>
          <cell r="C104" t="str">
            <v>Past</v>
          </cell>
          <cell r="D104">
            <v>11.5</v>
          </cell>
          <cell r="E104" t="e">
            <v>#N/A</v>
          </cell>
          <cell r="F104" t="e">
            <v>#N/A</v>
          </cell>
          <cell r="G104" t="e">
            <v>#N/A</v>
          </cell>
          <cell r="H104" t="e">
            <v>#N/A</v>
          </cell>
          <cell r="I104" t="e">
            <v>#N/A</v>
          </cell>
          <cell r="J104" t="e">
            <v>#N/A</v>
          </cell>
          <cell r="K104" t="e">
            <v>#N/A</v>
          </cell>
          <cell r="L104" t="e">
            <v>#N/A</v>
          </cell>
          <cell r="M104" t="e">
            <v>#N/A</v>
          </cell>
          <cell r="N104" t="e">
            <v>#N/A</v>
          </cell>
          <cell r="O104" t="e">
            <v>#N/A</v>
          </cell>
          <cell r="P104">
            <v>11.5</v>
          </cell>
          <cell r="Q104">
            <v>2.1466309999999997</v>
          </cell>
          <cell r="R104" t="e">
            <v>#N/A</v>
          </cell>
          <cell r="AI104" t="str">
            <v>TND Tunisian Dinar</v>
          </cell>
          <cell r="AJ104" t="str">
            <v>TND</v>
          </cell>
          <cell r="AK104" t="str">
            <v>TND</v>
          </cell>
          <cell r="AL104" t="str">
            <v>TND</v>
          </cell>
          <cell r="AM104">
            <v>0</v>
          </cell>
          <cell r="AN104">
            <v>2</v>
          </cell>
        </row>
        <row r="105">
          <cell r="A105">
            <v>40122</v>
          </cell>
          <cell r="B105">
            <v>40122</v>
          </cell>
          <cell r="C105" t="str">
            <v>Past</v>
          </cell>
          <cell r="D105">
            <v>11.73</v>
          </cell>
          <cell r="E105" t="e">
            <v>#N/A</v>
          </cell>
          <cell r="F105" t="e">
            <v>#N/A</v>
          </cell>
          <cell r="G105" t="e">
            <v>#N/A</v>
          </cell>
          <cell r="H105" t="e">
            <v>#N/A</v>
          </cell>
          <cell r="I105" t="e">
            <v>#N/A</v>
          </cell>
          <cell r="J105" t="e">
            <v>#N/A</v>
          </cell>
          <cell r="K105" t="e">
            <v>#N/A</v>
          </cell>
          <cell r="L105" t="e">
            <v>#N/A</v>
          </cell>
          <cell r="M105" t="e">
            <v>#N/A</v>
          </cell>
          <cell r="N105" t="e">
            <v>#N/A</v>
          </cell>
          <cell r="O105" t="e">
            <v>#N/A</v>
          </cell>
          <cell r="P105">
            <v>11.73</v>
          </cell>
          <cell r="Q105">
            <v>1.6737000000000002</v>
          </cell>
          <cell r="R105" t="e">
            <v>#N/A</v>
          </cell>
          <cell r="AI105" t="str">
            <v>TRY Turkish Lira</v>
          </cell>
          <cell r="AJ105" t="str">
            <v>TL</v>
          </cell>
          <cell r="AK105" t="str">
            <v>TRY</v>
          </cell>
          <cell r="AL105" t="str">
            <v>TRY</v>
          </cell>
          <cell r="AM105">
            <v>0</v>
          </cell>
          <cell r="AN105">
            <v>2</v>
          </cell>
        </row>
        <row r="106">
          <cell r="A106">
            <v>40123</v>
          </cell>
          <cell r="B106">
            <v>40123</v>
          </cell>
          <cell r="C106" t="str">
            <v>Past</v>
          </cell>
          <cell r="D106">
            <v>11.76</v>
          </cell>
          <cell r="E106" t="e">
            <v>#N/A</v>
          </cell>
          <cell r="F106" t="e">
            <v>#N/A</v>
          </cell>
          <cell r="G106" t="e">
            <v>#N/A</v>
          </cell>
          <cell r="H106" t="e">
            <v>#N/A</v>
          </cell>
          <cell r="I106" t="e">
            <v>#N/A</v>
          </cell>
          <cell r="J106" t="e">
            <v>#N/A</v>
          </cell>
          <cell r="K106" t="e">
            <v>#N/A</v>
          </cell>
          <cell r="L106" t="e">
            <v>#N/A</v>
          </cell>
          <cell r="M106" t="e">
            <v>#N/A</v>
          </cell>
          <cell r="N106" t="e">
            <v>#N/A</v>
          </cell>
          <cell r="O106" t="e">
            <v>#N/A</v>
          </cell>
          <cell r="P106">
            <v>11.76</v>
          </cell>
          <cell r="Q106">
            <v>1.227522</v>
          </cell>
          <cell r="R106" t="e">
            <v>#N/A</v>
          </cell>
          <cell r="AI106" t="str">
            <v>TWD New Taiwan Dollar</v>
          </cell>
          <cell r="AJ106" t="str">
            <v>NT$</v>
          </cell>
          <cell r="AK106" t="str">
            <v>TWD</v>
          </cell>
          <cell r="AL106" t="str">
            <v>TWD</v>
          </cell>
          <cell r="AM106">
            <v>0</v>
          </cell>
          <cell r="AN106">
            <v>2</v>
          </cell>
        </row>
        <row r="107">
          <cell r="A107">
            <v>40126</v>
          </cell>
          <cell r="B107">
            <v>40126</v>
          </cell>
          <cell r="C107" t="str">
            <v>Past</v>
          </cell>
          <cell r="D107">
            <v>11.76</v>
          </cell>
          <cell r="E107" t="e">
            <v>#N/A</v>
          </cell>
          <cell r="F107" t="e">
            <v>#N/A</v>
          </cell>
          <cell r="G107" t="e">
            <v>#N/A</v>
          </cell>
          <cell r="H107" t="e">
            <v>#N/A</v>
          </cell>
          <cell r="I107" t="e">
            <v>#N/A</v>
          </cell>
          <cell r="J107" t="e">
            <v>#N/A</v>
          </cell>
          <cell r="K107" t="e">
            <v>#N/A</v>
          </cell>
          <cell r="L107" t="e">
            <v>#N/A</v>
          </cell>
          <cell r="M107" t="e">
            <v>#N/A</v>
          </cell>
          <cell r="N107" t="e">
            <v>#N/A</v>
          </cell>
          <cell r="O107" t="e">
            <v>#N/A</v>
          </cell>
          <cell r="P107">
            <v>11.76</v>
          </cell>
          <cell r="Q107">
            <v>2.7558609999999999</v>
          </cell>
          <cell r="R107" t="e">
            <v>#N/A</v>
          </cell>
          <cell r="AI107" t="str">
            <v>UAH Ukrainian Hryvnia</v>
          </cell>
          <cell r="AJ107" t="str">
            <v>UAH</v>
          </cell>
          <cell r="AK107" t="str">
            <v>UAH</v>
          </cell>
          <cell r="AL107" t="str">
            <v>UAH</v>
          </cell>
          <cell r="AM107">
            <v>0</v>
          </cell>
          <cell r="AN107">
            <v>2</v>
          </cell>
        </row>
        <row r="108">
          <cell r="A108">
            <v>40127</v>
          </cell>
          <cell r="B108">
            <v>40127</v>
          </cell>
          <cell r="C108" t="str">
            <v>Past</v>
          </cell>
          <cell r="D108">
            <v>12.04</v>
          </cell>
          <cell r="E108" t="e">
            <v>#N/A</v>
          </cell>
          <cell r="F108" t="e">
            <v>#N/A</v>
          </cell>
          <cell r="G108" t="e">
            <v>#N/A</v>
          </cell>
          <cell r="H108" t="e">
            <v>#N/A</v>
          </cell>
          <cell r="I108" t="e">
            <v>#N/A</v>
          </cell>
          <cell r="J108" t="e">
            <v>#N/A</v>
          </cell>
          <cell r="K108" t="e">
            <v>#N/A</v>
          </cell>
          <cell r="L108" t="e">
            <v>#N/A</v>
          </cell>
          <cell r="M108" t="e">
            <v>#N/A</v>
          </cell>
          <cell r="N108" t="e">
            <v>#N/A</v>
          </cell>
          <cell r="O108" t="e">
            <v>#N/A</v>
          </cell>
          <cell r="P108">
            <v>12.04</v>
          </cell>
          <cell r="Q108">
            <v>5.5502000000000002</v>
          </cell>
          <cell r="R108" t="e">
            <v>#N/A</v>
          </cell>
          <cell r="AI108" t="str">
            <v>USD American Dollar</v>
          </cell>
          <cell r="AJ108" t="str">
            <v>$</v>
          </cell>
          <cell r="AK108" t="str">
            <v>USD</v>
          </cell>
          <cell r="AL108" t="str">
            <v>USD</v>
          </cell>
          <cell r="AM108">
            <v>0</v>
          </cell>
          <cell r="AN108">
            <v>2</v>
          </cell>
        </row>
        <row r="109">
          <cell r="A109">
            <v>40128</v>
          </cell>
          <cell r="B109">
            <v>40128</v>
          </cell>
          <cell r="C109" t="str">
            <v>Past</v>
          </cell>
          <cell r="D109">
            <v>11.87</v>
          </cell>
          <cell r="E109" t="e">
            <v>#N/A</v>
          </cell>
          <cell r="F109" t="e">
            <v>#N/A</v>
          </cell>
          <cell r="G109" t="e">
            <v>#N/A</v>
          </cell>
          <cell r="H109" t="e">
            <v>#N/A</v>
          </cell>
          <cell r="I109" t="e">
            <v>#N/A</v>
          </cell>
          <cell r="J109" t="e">
            <v>#N/A</v>
          </cell>
          <cell r="K109" t="e">
            <v>#N/A</v>
          </cell>
          <cell r="L109" t="e">
            <v>#N/A</v>
          </cell>
          <cell r="M109" t="e">
            <v>#N/A</v>
          </cell>
          <cell r="N109" t="e">
            <v>#N/A</v>
          </cell>
          <cell r="O109" t="e">
            <v>#N/A</v>
          </cell>
          <cell r="P109">
            <v>11.87</v>
          </cell>
          <cell r="Q109">
            <v>1.5279600000000002</v>
          </cell>
          <cell r="R109" t="e">
            <v>#N/A</v>
          </cell>
          <cell r="AI109" t="str">
            <v>VEB Venezuelan Bolivar</v>
          </cell>
          <cell r="AJ109" t="str">
            <v>VEB</v>
          </cell>
          <cell r="AK109" t="str">
            <v>VEB</v>
          </cell>
          <cell r="AL109" t="str">
            <v>VEB</v>
          </cell>
          <cell r="AM109">
            <v>0</v>
          </cell>
          <cell r="AN109">
            <v>2</v>
          </cell>
        </row>
        <row r="110">
          <cell r="A110">
            <v>40129</v>
          </cell>
          <cell r="B110">
            <v>40129</v>
          </cell>
          <cell r="C110" t="str">
            <v>Past</v>
          </cell>
          <cell r="D110">
            <v>11.68</v>
          </cell>
          <cell r="E110" t="e">
            <v>#N/A</v>
          </cell>
          <cell r="F110" t="e">
            <v>#N/A</v>
          </cell>
          <cell r="G110" t="e">
            <v>#N/A</v>
          </cell>
          <cell r="H110" t="e">
            <v>#N/A</v>
          </cell>
          <cell r="I110" t="e">
            <v>#N/A</v>
          </cell>
          <cell r="J110" t="e">
            <v>#N/A</v>
          </cell>
          <cell r="K110" t="e">
            <v>#N/A</v>
          </cell>
          <cell r="L110" t="e">
            <v>#N/A</v>
          </cell>
          <cell r="M110" t="e">
            <v>#N/A</v>
          </cell>
          <cell r="N110" t="e">
            <v>#N/A</v>
          </cell>
          <cell r="O110" t="e">
            <v>#N/A</v>
          </cell>
          <cell r="P110">
            <v>11.68</v>
          </cell>
          <cell r="Q110">
            <v>1.0482609999999999</v>
          </cell>
          <cell r="R110" t="e">
            <v>#N/A</v>
          </cell>
          <cell r="AI110" t="str">
            <v>ZAc South African Cent</v>
          </cell>
          <cell r="AJ110" t="str">
            <v>ZAc</v>
          </cell>
          <cell r="AK110" t="str">
            <v>ZAc</v>
          </cell>
          <cell r="AL110" t="str">
            <v>ZAc</v>
          </cell>
          <cell r="AM110">
            <v>0</v>
          </cell>
          <cell r="AN110">
            <v>0</v>
          </cell>
        </row>
        <row r="111">
          <cell r="A111">
            <v>40130</v>
          </cell>
          <cell r="B111">
            <v>40130</v>
          </cell>
          <cell r="C111" t="str">
            <v>Past</v>
          </cell>
          <cell r="D111">
            <v>11.79</v>
          </cell>
          <cell r="E111" t="e">
            <v>#N/A</v>
          </cell>
          <cell r="F111" t="e">
            <v>#N/A</v>
          </cell>
          <cell r="G111" t="e">
            <v>#N/A</v>
          </cell>
          <cell r="H111" t="e">
            <v>#N/A</v>
          </cell>
          <cell r="I111" t="e">
            <v>#N/A</v>
          </cell>
          <cell r="J111" t="e">
            <v>#N/A</v>
          </cell>
          <cell r="K111" t="e">
            <v>#N/A</v>
          </cell>
          <cell r="L111" t="e">
            <v>#N/A</v>
          </cell>
          <cell r="M111" t="e">
            <v>#N/A</v>
          </cell>
          <cell r="N111" t="e">
            <v>#N/A</v>
          </cell>
          <cell r="O111" t="e">
            <v>#N/A</v>
          </cell>
          <cell r="P111">
            <v>11.79</v>
          </cell>
          <cell r="Q111">
            <v>1.274297</v>
          </cell>
          <cell r="R111" t="e">
            <v>#N/A</v>
          </cell>
          <cell r="AI111" t="str">
            <v>ZAR South African rand</v>
          </cell>
          <cell r="AJ111" t="str">
            <v>ZAR</v>
          </cell>
          <cell r="AK111" t="str">
            <v>ZAR</v>
          </cell>
          <cell r="AL111" t="str">
            <v>ZAR</v>
          </cell>
          <cell r="AM111">
            <v>0</v>
          </cell>
          <cell r="AN111">
            <v>2</v>
          </cell>
        </row>
        <row r="112">
          <cell r="A112">
            <v>40133</v>
          </cell>
          <cell r="B112">
            <v>40133</v>
          </cell>
          <cell r="C112" t="str">
            <v>Past</v>
          </cell>
          <cell r="D112">
            <v>11.94</v>
          </cell>
          <cell r="E112" t="e">
            <v>#N/A</v>
          </cell>
          <cell r="F112" t="e">
            <v>#N/A</v>
          </cell>
          <cell r="G112" t="e">
            <v>#N/A</v>
          </cell>
          <cell r="H112" t="e">
            <v>#N/A</v>
          </cell>
          <cell r="I112" t="e">
            <v>#N/A</v>
          </cell>
          <cell r="J112" t="e">
            <v>#N/A</v>
          </cell>
          <cell r="K112" t="e">
            <v>#N/A</v>
          </cell>
          <cell r="L112" t="e">
            <v>#N/A</v>
          </cell>
          <cell r="M112" t="e">
            <v>#N/A</v>
          </cell>
          <cell r="N112" t="e">
            <v>#N/A</v>
          </cell>
          <cell r="O112" t="e">
            <v>#N/A</v>
          </cell>
          <cell r="P112">
            <v>11.94</v>
          </cell>
          <cell r="Q112">
            <v>0.62196399999999996</v>
          </cell>
          <cell r="R112" t="e">
            <v>#N/A</v>
          </cell>
          <cell r="AI112" t="str">
            <v xml:space="preserve">ZMK Zambian Kwacha </v>
          </cell>
          <cell r="AJ112" t="str">
            <v>ZMK</v>
          </cell>
          <cell r="AK112" t="str">
            <v>ZMK</v>
          </cell>
          <cell r="AL112" t="str">
            <v>ZMK</v>
          </cell>
          <cell r="AM112">
            <v>0</v>
          </cell>
          <cell r="AN112">
            <v>2</v>
          </cell>
        </row>
        <row r="113">
          <cell r="A113">
            <v>40134</v>
          </cell>
          <cell r="B113">
            <v>40134</v>
          </cell>
          <cell r="C113" t="str">
            <v>Past</v>
          </cell>
          <cell r="D113">
            <v>11.9</v>
          </cell>
          <cell r="E113" t="e">
            <v>#N/A</v>
          </cell>
          <cell r="F113" t="e">
            <v>#N/A</v>
          </cell>
          <cell r="G113" t="e">
            <v>#N/A</v>
          </cell>
          <cell r="H113" t="e">
            <v>#N/A</v>
          </cell>
          <cell r="I113" t="e">
            <v>#N/A</v>
          </cell>
          <cell r="J113" t="e">
            <v>#N/A</v>
          </cell>
          <cell r="K113" t="e">
            <v>#N/A</v>
          </cell>
          <cell r="L113" t="e">
            <v>#N/A</v>
          </cell>
          <cell r="M113" t="e">
            <v>#N/A</v>
          </cell>
          <cell r="N113" t="e">
            <v>#N/A</v>
          </cell>
          <cell r="O113" t="e">
            <v>#N/A</v>
          </cell>
          <cell r="P113">
            <v>11.9</v>
          </cell>
          <cell r="Q113">
            <v>0.67125299999999999</v>
          </cell>
          <cell r="R113" t="e">
            <v>#N/A</v>
          </cell>
        </row>
        <row r="114">
          <cell r="A114">
            <v>40135</v>
          </cell>
          <cell r="B114">
            <v>40135</v>
          </cell>
          <cell r="C114" t="str">
            <v>Past</v>
          </cell>
          <cell r="D114">
            <v>11.76</v>
          </cell>
          <cell r="E114" t="e">
            <v>#N/A</v>
          </cell>
          <cell r="F114" t="e">
            <v>#N/A</v>
          </cell>
          <cell r="G114" t="e">
            <v>#N/A</v>
          </cell>
          <cell r="H114" t="e">
            <v>#N/A</v>
          </cell>
          <cell r="I114" t="e">
            <v>#N/A</v>
          </cell>
          <cell r="J114" t="e">
            <v>#N/A</v>
          </cell>
          <cell r="K114" t="e">
            <v>#N/A</v>
          </cell>
          <cell r="L114" t="e">
            <v>#N/A</v>
          </cell>
          <cell r="M114" t="e">
            <v>#N/A</v>
          </cell>
          <cell r="N114" t="e">
            <v>#N/A</v>
          </cell>
          <cell r="O114" t="e">
            <v>#N/A</v>
          </cell>
          <cell r="P114">
            <v>11.76</v>
          </cell>
          <cell r="Q114">
            <v>0.64498599999999995</v>
          </cell>
          <cell r="R114" t="e">
            <v>#N/A</v>
          </cell>
        </row>
        <row r="115">
          <cell r="A115">
            <v>40136</v>
          </cell>
          <cell r="B115">
            <v>40136</v>
          </cell>
          <cell r="C115" t="str">
            <v>Past</v>
          </cell>
          <cell r="D115">
            <v>11.56</v>
          </cell>
          <cell r="E115" t="e">
            <v>#N/A</v>
          </cell>
          <cell r="F115" t="e">
            <v>#N/A</v>
          </cell>
          <cell r="G115" t="e">
            <v>#N/A</v>
          </cell>
          <cell r="H115" t="e">
            <v>#N/A</v>
          </cell>
          <cell r="I115" t="e">
            <v>#N/A</v>
          </cell>
          <cell r="J115" t="e">
            <v>#N/A</v>
          </cell>
          <cell r="K115" t="e">
            <v>#N/A</v>
          </cell>
          <cell r="L115" t="e">
            <v>#N/A</v>
          </cell>
          <cell r="M115" t="e">
            <v>#N/A</v>
          </cell>
          <cell r="N115" t="e">
            <v>#N/A</v>
          </cell>
          <cell r="O115" t="e">
            <v>#N/A</v>
          </cell>
          <cell r="P115">
            <v>11.56</v>
          </cell>
          <cell r="Q115">
            <v>1.2904279999999999</v>
          </cell>
          <cell r="R115" t="e">
            <v>#N/A</v>
          </cell>
        </row>
        <row r="116">
          <cell r="A116">
            <v>40137</v>
          </cell>
          <cell r="B116">
            <v>40137</v>
          </cell>
          <cell r="C116" t="str">
            <v>Past</v>
          </cell>
          <cell r="D116">
            <v>11.49</v>
          </cell>
          <cell r="E116" t="e">
            <v>#N/A</v>
          </cell>
          <cell r="F116" t="e">
            <v>#N/A</v>
          </cell>
          <cell r="G116" t="e">
            <v>#N/A</v>
          </cell>
          <cell r="H116" t="e">
            <v>#N/A</v>
          </cell>
          <cell r="I116" t="e">
            <v>#N/A</v>
          </cell>
          <cell r="J116" t="e">
            <v>#N/A</v>
          </cell>
          <cell r="K116" t="e">
            <v>#N/A</v>
          </cell>
          <cell r="L116" t="e">
            <v>#N/A</v>
          </cell>
          <cell r="M116" t="e">
            <v>#N/A</v>
          </cell>
          <cell r="N116" t="e">
            <v>#N/A</v>
          </cell>
          <cell r="O116" t="e">
            <v>#N/A</v>
          </cell>
          <cell r="P116">
            <v>11.49</v>
          </cell>
          <cell r="Q116">
            <v>0.70999499999999993</v>
          </cell>
          <cell r="R116" t="e">
            <v>#N/A</v>
          </cell>
        </row>
        <row r="117">
          <cell r="A117">
            <v>40140</v>
          </cell>
          <cell r="B117">
            <v>40140</v>
          </cell>
          <cell r="C117" t="str">
            <v>Past</v>
          </cell>
          <cell r="D117">
            <v>11.67</v>
          </cell>
          <cell r="E117" t="e">
            <v>#N/A</v>
          </cell>
          <cell r="F117" t="e">
            <v>#N/A</v>
          </cell>
          <cell r="G117" t="e">
            <v>#N/A</v>
          </cell>
          <cell r="H117" t="e">
            <v>#N/A</v>
          </cell>
          <cell r="I117" t="e">
            <v>#N/A</v>
          </cell>
          <cell r="J117" t="e">
            <v>#N/A</v>
          </cell>
          <cell r="K117" t="e">
            <v>#N/A</v>
          </cell>
          <cell r="L117" t="e">
            <v>#N/A</v>
          </cell>
          <cell r="M117" t="e">
            <v>#N/A</v>
          </cell>
          <cell r="N117" t="e">
            <v>#N/A</v>
          </cell>
          <cell r="O117" t="e">
            <v>#N/A</v>
          </cell>
          <cell r="P117">
            <v>11.67</v>
          </cell>
          <cell r="Q117">
            <v>1.04413</v>
          </cell>
          <cell r="R117" t="e">
            <v>#N/A</v>
          </cell>
        </row>
        <row r="118">
          <cell r="A118">
            <v>40141</v>
          </cell>
          <cell r="B118">
            <v>40141</v>
          </cell>
          <cell r="C118" t="str">
            <v>Past</v>
          </cell>
          <cell r="D118">
            <v>11.61</v>
          </cell>
          <cell r="E118" t="e">
            <v>#N/A</v>
          </cell>
          <cell r="F118" t="e">
            <v>#N/A</v>
          </cell>
          <cell r="G118" t="e">
            <v>#N/A</v>
          </cell>
          <cell r="H118" t="e">
            <v>#N/A</v>
          </cell>
          <cell r="I118" t="e">
            <v>#N/A</v>
          </cell>
          <cell r="J118" t="e">
            <v>#N/A</v>
          </cell>
          <cell r="K118" t="e">
            <v>#N/A</v>
          </cell>
          <cell r="L118" t="e">
            <v>#N/A</v>
          </cell>
          <cell r="M118" t="e">
            <v>#N/A</v>
          </cell>
          <cell r="N118" t="e">
            <v>#N/A</v>
          </cell>
          <cell r="O118" t="e">
            <v>#N/A</v>
          </cell>
          <cell r="P118">
            <v>11.61</v>
          </cell>
          <cell r="Q118">
            <v>1.9307329999999998</v>
          </cell>
          <cell r="R118" t="e">
            <v>#N/A</v>
          </cell>
        </row>
        <row r="119">
          <cell r="A119">
            <v>40142</v>
          </cell>
          <cell r="B119">
            <v>40142</v>
          </cell>
          <cell r="C119" t="str">
            <v>Past</v>
          </cell>
          <cell r="D119">
            <v>11.65</v>
          </cell>
          <cell r="E119" t="e">
            <v>#N/A</v>
          </cell>
          <cell r="F119" t="e">
            <v>#N/A</v>
          </cell>
          <cell r="G119" t="e">
            <v>#N/A</v>
          </cell>
          <cell r="H119" t="e">
            <v>#N/A</v>
          </cell>
          <cell r="I119" t="e">
            <v>#N/A</v>
          </cell>
          <cell r="J119" t="e">
            <v>#N/A</v>
          </cell>
          <cell r="K119" t="e">
            <v>#N/A</v>
          </cell>
          <cell r="L119" t="e">
            <v>#N/A</v>
          </cell>
          <cell r="M119" t="e">
            <v>#N/A</v>
          </cell>
          <cell r="N119" t="e">
            <v>#N/A</v>
          </cell>
          <cell r="O119" t="e">
            <v>#N/A</v>
          </cell>
          <cell r="P119">
            <v>11.65</v>
          </cell>
          <cell r="Q119">
            <v>0.93092900000000001</v>
          </cell>
          <cell r="R119" t="e">
            <v>#N/A</v>
          </cell>
        </row>
        <row r="120">
          <cell r="A120">
            <v>40144</v>
          </cell>
          <cell r="B120">
            <v>40144</v>
          </cell>
          <cell r="C120" t="str">
            <v>Past</v>
          </cell>
          <cell r="D120">
            <v>11.44</v>
          </cell>
          <cell r="E120" t="e">
            <v>#N/A</v>
          </cell>
          <cell r="F120" t="e">
            <v>#N/A</v>
          </cell>
          <cell r="G120" t="e">
            <v>#N/A</v>
          </cell>
          <cell r="H120" t="e">
            <v>#N/A</v>
          </cell>
          <cell r="I120" t="e">
            <v>#N/A</v>
          </cell>
          <cell r="J120" t="e">
            <v>#N/A</v>
          </cell>
          <cell r="K120" t="e">
            <v>#N/A</v>
          </cell>
          <cell r="L120" t="e">
            <v>#N/A</v>
          </cell>
          <cell r="M120" t="e">
            <v>#N/A</v>
          </cell>
          <cell r="N120" t="e">
            <v>#N/A</v>
          </cell>
          <cell r="O120" t="e">
            <v>#N/A</v>
          </cell>
          <cell r="P120">
            <v>11.44</v>
          </cell>
          <cell r="Q120">
            <v>0.54460500000000001</v>
          </cell>
          <cell r="R120" t="e">
            <v>#N/A</v>
          </cell>
        </row>
        <row r="121">
          <cell r="A121">
            <v>40147</v>
          </cell>
          <cell r="B121">
            <v>40147</v>
          </cell>
          <cell r="C121" t="str">
            <v>Past</v>
          </cell>
          <cell r="D121">
            <v>11.64</v>
          </cell>
          <cell r="E121" t="e">
            <v>#N/A</v>
          </cell>
          <cell r="F121" t="e">
            <v>#N/A</v>
          </cell>
          <cell r="G121" t="e">
            <v>#N/A</v>
          </cell>
          <cell r="H121" t="e">
            <v>#N/A</v>
          </cell>
          <cell r="I121" t="e">
            <v>#N/A</v>
          </cell>
          <cell r="J121" t="e">
            <v>#N/A</v>
          </cell>
          <cell r="K121" t="e">
            <v>#N/A</v>
          </cell>
          <cell r="L121" t="e">
            <v>#N/A</v>
          </cell>
          <cell r="M121" t="e">
            <v>#N/A</v>
          </cell>
          <cell r="N121" t="e">
            <v>#N/A</v>
          </cell>
          <cell r="O121" t="e">
            <v>#N/A</v>
          </cell>
          <cell r="P121">
            <v>11.64</v>
          </cell>
          <cell r="Q121">
            <v>3.259204</v>
          </cell>
          <cell r="R121" t="e">
            <v>#N/A</v>
          </cell>
        </row>
        <row r="122">
          <cell r="A122">
            <v>40148</v>
          </cell>
          <cell r="B122">
            <v>40148</v>
          </cell>
          <cell r="C122" t="str">
            <v>Past</v>
          </cell>
          <cell r="D122">
            <v>11.92</v>
          </cell>
          <cell r="E122" t="e">
            <v>#N/A</v>
          </cell>
          <cell r="F122" t="e">
            <v>#N/A</v>
          </cell>
          <cell r="G122" t="e">
            <v>#N/A</v>
          </cell>
          <cell r="H122" t="e">
            <v>#N/A</v>
          </cell>
          <cell r="I122" t="e">
            <v>#N/A</v>
          </cell>
          <cell r="J122" t="e">
            <v>#N/A</v>
          </cell>
          <cell r="K122" t="e">
            <v>#N/A</v>
          </cell>
          <cell r="L122" t="e">
            <v>#N/A</v>
          </cell>
          <cell r="M122" t="e">
            <v>#N/A</v>
          </cell>
          <cell r="N122" t="e">
            <v>#N/A</v>
          </cell>
          <cell r="O122" t="e">
            <v>#N/A</v>
          </cell>
          <cell r="P122">
            <v>11.92</v>
          </cell>
          <cell r="Q122">
            <v>4.5483539999999998</v>
          </cell>
          <cell r="R122" t="e">
            <v>#N/A</v>
          </cell>
        </row>
        <row r="123">
          <cell r="A123">
            <v>40149</v>
          </cell>
          <cell r="B123">
            <v>40149</v>
          </cell>
          <cell r="C123" t="str">
            <v>Past</v>
          </cell>
          <cell r="D123">
            <v>12.08</v>
          </cell>
          <cell r="E123" t="e">
            <v>#N/A</v>
          </cell>
          <cell r="F123" t="e">
            <v>#N/A</v>
          </cell>
          <cell r="G123" t="e">
            <v>#N/A</v>
          </cell>
          <cell r="H123" t="e">
            <v>#N/A</v>
          </cell>
          <cell r="I123" t="e">
            <v>#N/A</v>
          </cell>
          <cell r="J123" t="e">
            <v>#N/A</v>
          </cell>
          <cell r="K123" t="e">
            <v>#N/A</v>
          </cell>
          <cell r="L123" t="e">
            <v>#N/A</v>
          </cell>
          <cell r="M123" t="e">
            <v>#N/A</v>
          </cell>
          <cell r="N123" t="e">
            <v>#N/A</v>
          </cell>
          <cell r="O123" t="e">
            <v>#N/A</v>
          </cell>
          <cell r="P123">
            <v>12.08</v>
          </cell>
          <cell r="Q123">
            <v>1.643826</v>
          </cell>
          <cell r="R123" t="e">
            <v>#N/A</v>
          </cell>
        </row>
        <row r="124">
          <cell r="A124">
            <v>40150</v>
          </cell>
          <cell r="B124">
            <v>40150</v>
          </cell>
          <cell r="C124" t="str">
            <v>Past</v>
          </cell>
          <cell r="D124">
            <v>12.01</v>
          </cell>
          <cell r="E124" t="e">
            <v>#N/A</v>
          </cell>
          <cell r="F124" t="e">
            <v>#N/A</v>
          </cell>
          <cell r="G124" t="e">
            <v>#N/A</v>
          </cell>
          <cell r="H124" t="e">
            <v>#N/A</v>
          </cell>
          <cell r="I124" t="e">
            <v>#N/A</v>
          </cell>
          <cell r="J124" t="e">
            <v>#N/A</v>
          </cell>
          <cell r="K124" t="e">
            <v>#N/A</v>
          </cell>
          <cell r="L124" t="e">
            <v>#N/A</v>
          </cell>
          <cell r="M124" t="e">
            <v>#N/A</v>
          </cell>
          <cell r="N124" t="e">
            <v>#N/A</v>
          </cell>
          <cell r="O124" t="e">
            <v>#N/A</v>
          </cell>
          <cell r="P124">
            <v>12.01</v>
          </cell>
          <cell r="Q124">
            <v>2.0495200000000002</v>
          </cell>
          <cell r="R124" t="e">
            <v>#N/A</v>
          </cell>
        </row>
        <row r="125">
          <cell r="A125">
            <v>40151</v>
          </cell>
          <cell r="B125">
            <v>40151</v>
          </cell>
          <cell r="C125" t="str">
            <v>Past</v>
          </cell>
          <cell r="D125">
            <v>12</v>
          </cell>
          <cell r="E125" t="e">
            <v>#N/A</v>
          </cell>
          <cell r="F125" t="e">
            <v>#N/A</v>
          </cell>
          <cell r="G125" t="e">
            <v>#N/A</v>
          </cell>
          <cell r="H125" t="e">
            <v>#N/A</v>
          </cell>
          <cell r="I125" t="e">
            <v>#N/A</v>
          </cell>
          <cell r="J125" t="e">
            <v>#N/A</v>
          </cell>
          <cell r="K125" t="e">
            <v>#N/A</v>
          </cell>
          <cell r="L125" t="e">
            <v>#N/A</v>
          </cell>
          <cell r="M125" t="e">
            <v>#N/A</v>
          </cell>
          <cell r="N125" t="e">
            <v>#N/A</v>
          </cell>
          <cell r="O125" t="e">
            <v>#N/A</v>
          </cell>
          <cell r="P125">
            <v>12</v>
          </cell>
          <cell r="Q125">
            <v>1.6330449999999999</v>
          </cell>
          <cell r="R125" t="e">
            <v>#N/A</v>
          </cell>
        </row>
        <row r="126">
          <cell r="A126">
            <v>40154</v>
          </cell>
          <cell r="B126">
            <v>40154</v>
          </cell>
          <cell r="C126" t="str">
            <v>Past</v>
          </cell>
          <cell r="D126">
            <v>11.98</v>
          </cell>
          <cell r="E126" t="e">
            <v>#N/A</v>
          </cell>
          <cell r="F126" t="e">
            <v>#N/A</v>
          </cell>
          <cell r="G126" t="e">
            <v>#N/A</v>
          </cell>
          <cell r="H126" t="e">
            <v>#N/A</v>
          </cell>
          <cell r="I126" t="e">
            <v>#N/A</v>
          </cell>
          <cell r="J126" t="e">
            <v>#N/A</v>
          </cell>
          <cell r="K126" t="e">
            <v>#N/A</v>
          </cell>
          <cell r="L126" t="e">
            <v>#N/A</v>
          </cell>
          <cell r="M126" t="e">
            <v>#N/A</v>
          </cell>
          <cell r="N126" t="e">
            <v>#N/A</v>
          </cell>
          <cell r="O126" t="e">
            <v>#N/A</v>
          </cell>
          <cell r="P126">
            <v>11.98</v>
          </cell>
          <cell r="Q126">
            <v>1.9720549999999999</v>
          </cell>
          <cell r="R126" t="e">
            <v>#N/A</v>
          </cell>
        </row>
        <row r="127">
          <cell r="A127">
            <v>40155</v>
          </cell>
          <cell r="B127">
            <v>40155</v>
          </cell>
          <cell r="C127" t="str">
            <v>Past</v>
          </cell>
          <cell r="D127">
            <v>11.96</v>
          </cell>
          <cell r="E127" t="e">
            <v>#N/A</v>
          </cell>
          <cell r="F127" t="e">
            <v>#N/A</v>
          </cell>
          <cell r="G127" t="e">
            <v>#N/A</v>
          </cell>
          <cell r="H127" t="e">
            <v>#N/A</v>
          </cell>
          <cell r="I127" t="e">
            <v>#N/A</v>
          </cell>
          <cell r="J127" t="e">
            <v>#N/A</v>
          </cell>
          <cell r="K127" t="e">
            <v>#N/A</v>
          </cell>
          <cell r="L127" t="e">
            <v>#N/A</v>
          </cell>
          <cell r="M127" t="e">
            <v>#N/A</v>
          </cell>
          <cell r="N127" t="e">
            <v>#N/A</v>
          </cell>
          <cell r="O127" t="e">
            <v>#N/A</v>
          </cell>
          <cell r="P127">
            <v>11.96</v>
          </cell>
          <cell r="Q127">
            <v>1.403686</v>
          </cell>
          <cell r="R127" t="e">
            <v>#N/A</v>
          </cell>
        </row>
        <row r="128">
          <cell r="A128">
            <v>40156</v>
          </cell>
          <cell r="B128">
            <v>40156</v>
          </cell>
          <cell r="C128" t="str">
            <v>Past</v>
          </cell>
          <cell r="D128">
            <v>11.9</v>
          </cell>
          <cell r="E128" t="e">
            <v>#N/A</v>
          </cell>
          <cell r="F128" t="e">
            <v>#N/A</v>
          </cell>
          <cell r="G128" t="e">
            <v>#N/A</v>
          </cell>
          <cell r="H128" t="e">
            <v>#N/A</v>
          </cell>
          <cell r="I128" t="e">
            <v>#N/A</v>
          </cell>
          <cell r="J128" t="e">
            <v>#N/A</v>
          </cell>
          <cell r="K128" t="e">
            <v>#N/A</v>
          </cell>
          <cell r="L128" t="e">
            <v>#N/A</v>
          </cell>
          <cell r="M128" t="e">
            <v>#N/A</v>
          </cell>
          <cell r="N128" t="e">
            <v>#N/A</v>
          </cell>
          <cell r="O128" t="e">
            <v>#N/A</v>
          </cell>
          <cell r="P128">
            <v>11.9</v>
          </cell>
          <cell r="Q128">
            <v>1.402925</v>
          </cell>
          <cell r="R128" t="e">
            <v>#N/A</v>
          </cell>
        </row>
        <row r="129">
          <cell r="A129">
            <v>40157</v>
          </cell>
          <cell r="B129">
            <v>40157</v>
          </cell>
          <cell r="C129" t="str">
            <v>Past</v>
          </cell>
          <cell r="D129">
            <v>11.92</v>
          </cell>
          <cell r="E129" t="e">
            <v>#N/A</v>
          </cell>
          <cell r="F129" t="e">
            <v>#N/A</v>
          </cell>
          <cell r="G129" t="e">
            <v>#N/A</v>
          </cell>
          <cell r="H129" t="e">
            <v>#N/A</v>
          </cell>
          <cell r="I129" t="e">
            <v>#N/A</v>
          </cell>
          <cell r="J129" t="e">
            <v>#N/A</v>
          </cell>
          <cell r="K129" t="e">
            <v>#N/A</v>
          </cell>
          <cell r="L129" t="e">
            <v>#N/A</v>
          </cell>
          <cell r="M129" t="e">
            <v>#N/A</v>
          </cell>
          <cell r="N129" t="e">
            <v>#N/A</v>
          </cell>
          <cell r="O129" t="e">
            <v>#N/A</v>
          </cell>
          <cell r="P129">
            <v>11.92</v>
          </cell>
          <cell r="Q129">
            <v>1.6281049999999999</v>
          </cell>
          <cell r="R129" t="e">
            <v>#N/A</v>
          </cell>
        </row>
        <row r="130">
          <cell r="A130">
            <v>40158</v>
          </cell>
          <cell r="B130">
            <v>40158</v>
          </cell>
          <cell r="C130" t="str">
            <v>Past</v>
          </cell>
          <cell r="D130">
            <v>12.26</v>
          </cell>
          <cell r="E130" t="e">
            <v>#N/A</v>
          </cell>
          <cell r="F130" t="e">
            <v>#N/A</v>
          </cell>
          <cell r="G130" t="e">
            <v>#N/A</v>
          </cell>
          <cell r="H130" t="e">
            <v>#N/A</v>
          </cell>
          <cell r="I130" t="e">
            <v>#N/A</v>
          </cell>
          <cell r="J130" t="e">
            <v>#N/A</v>
          </cell>
          <cell r="K130" t="e">
            <v>#N/A</v>
          </cell>
          <cell r="L130" t="e">
            <v>#N/A</v>
          </cell>
          <cell r="M130" t="e">
            <v>#N/A</v>
          </cell>
          <cell r="N130" t="e">
            <v>#N/A</v>
          </cell>
          <cell r="O130" t="e">
            <v>#N/A</v>
          </cell>
          <cell r="P130">
            <v>12.26</v>
          </cell>
          <cell r="Q130">
            <v>2.5341459999999998</v>
          </cell>
          <cell r="R130" t="e">
            <v>#N/A</v>
          </cell>
        </row>
        <row r="131">
          <cell r="A131">
            <v>40161</v>
          </cell>
          <cell r="B131">
            <v>40161</v>
          </cell>
          <cell r="C131" t="str">
            <v>Past</v>
          </cell>
          <cell r="D131">
            <v>12.39</v>
          </cell>
          <cell r="E131" t="e">
            <v>#N/A</v>
          </cell>
          <cell r="F131" t="e">
            <v>#N/A</v>
          </cell>
          <cell r="G131" t="e">
            <v>#N/A</v>
          </cell>
          <cell r="H131" t="e">
            <v>#N/A</v>
          </cell>
          <cell r="I131" t="e">
            <v>#N/A</v>
          </cell>
          <cell r="J131" t="e">
            <v>#N/A</v>
          </cell>
          <cell r="K131" t="e">
            <v>#N/A</v>
          </cell>
          <cell r="L131" t="e">
            <v>#N/A</v>
          </cell>
          <cell r="M131" t="e">
            <v>#N/A</v>
          </cell>
          <cell r="N131" t="e">
            <v>#N/A</v>
          </cell>
          <cell r="O131" t="e">
            <v>#N/A</v>
          </cell>
          <cell r="P131">
            <v>12.39</v>
          </cell>
          <cell r="Q131">
            <v>1.5428109999999999</v>
          </cell>
          <cell r="R131" t="e">
            <v>#N/A</v>
          </cell>
        </row>
        <row r="132">
          <cell r="A132">
            <v>40162</v>
          </cell>
          <cell r="B132">
            <v>40162</v>
          </cell>
          <cell r="C132" t="str">
            <v>Past</v>
          </cell>
          <cell r="D132">
            <v>12.49</v>
          </cell>
          <cell r="E132" t="e">
            <v>#N/A</v>
          </cell>
          <cell r="F132" t="e">
            <v>#N/A</v>
          </cell>
          <cell r="G132" t="e">
            <v>#N/A</v>
          </cell>
          <cell r="H132" t="e">
            <v>#N/A</v>
          </cell>
          <cell r="I132" t="e">
            <v>#N/A</v>
          </cell>
          <cell r="J132" t="e">
            <v>#N/A</v>
          </cell>
          <cell r="K132" t="e">
            <v>#N/A</v>
          </cell>
          <cell r="L132" t="e">
            <v>#N/A</v>
          </cell>
          <cell r="M132" t="e">
            <v>#N/A</v>
          </cell>
          <cell r="N132" t="e">
            <v>#N/A</v>
          </cell>
          <cell r="O132" t="e">
            <v>#N/A</v>
          </cell>
          <cell r="P132">
            <v>12.49</v>
          </cell>
          <cell r="Q132">
            <v>1.816954</v>
          </cell>
          <cell r="R132" t="e">
            <v>#N/A</v>
          </cell>
        </row>
        <row r="133">
          <cell r="A133">
            <v>40163</v>
          </cell>
          <cell r="B133">
            <v>40163</v>
          </cell>
          <cell r="C133" t="str">
            <v>Past</v>
          </cell>
          <cell r="D133">
            <v>12.67</v>
          </cell>
          <cell r="E133" t="e">
            <v>#N/A</v>
          </cell>
          <cell r="F133" t="e">
            <v>#N/A</v>
          </cell>
          <cell r="G133" t="e">
            <v>#N/A</v>
          </cell>
          <cell r="H133" t="e">
            <v>#N/A</v>
          </cell>
          <cell r="I133" t="e">
            <v>#N/A</v>
          </cell>
          <cell r="J133" t="e">
            <v>#N/A</v>
          </cell>
          <cell r="K133" t="e">
            <v>#N/A</v>
          </cell>
          <cell r="L133" t="e">
            <v>#N/A</v>
          </cell>
          <cell r="M133" t="e">
            <v>#N/A</v>
          </cell>
          <cell r="N133" t="e">
            <v>#N/A</v>
          </cell>
          <cell r="O133" t="e">
            <v>#N/A</v>
          </cell>
          <cell r="P133">
            <v>12.67</v>
          </cell>
          <cell r="Q133">
            <v>3.4078200000000001</v>
          </cell>
          <cell r="R133" t="e">
            <v>#N/A</v>
          </cell>
        </row>
        <row r="134">
          <cell r="A134">
            <v>40164</v>
          </cell>
          <cell r="B134">
            <v>40164</v>
          </cell>
          <cell r="C134" t="str">
            <v>Past</v>
          </cell>
          <cell r="D134">
            <v>12.37</v>
          </cell>
          <cell r="E134" t="e">
            <v>#N/A</v>
          </cell>
          <cell r="F134" t="e">
            <v>#N/A</v>
          </cell>
          <cell r="G134" t="e">
            <v>#N/A</v>
          </cell>
          <cell r="H134" t="e">
            <v>#N/A</v>
          </cell>
          <cell r="I134" t="e">
            <v>#N/A</v>
          </cell>
          <cell r="J134" t="e">
            <v>#N/A</v>
          </cell>
          <cell r="K134" t="e">
            <v>#N/A</v>
          </cell>
          <cell r="L134" t="e">
            <v>#N/A</v>
          </cell>
          <cell r="M134" t="e">
            <v>#N/A</v>
          </cell>
          <cell r="N134" t="e">
            <v>#N/A</v>
          </cell>
          <cell r="O134" t="e">
            <v>#N/A</v>
          </cell>
          <cell r="P134">
            <v>12.37</v>
          </cell>
          <cell r="Q134">
            <v>2.987034</v>
          </cell>
          <cell r="R134" t="e">
            <v>#N/A</v>
          </cell>
        </row>
        <row r="135">
          <cell r="A135">
            <v>40165</v>
          </cell>
          <cell r="B135">
            <v>40165</v>
          </cell>
          <cell r="C135" t="str">
            <v>Past</v>
          </cell>
          <cell r="D135">
            <v>12.39</v>
          </cell>
          <cell r="E135" t="e">
            <v>#N/A</v>
          </cell>
          <cell r="F135" t="e">
            <v>#N/A</v>
          </cell>
          <cell r="G135" t="e">
            <v>#N/A</v>
          </cell>
          <cell r="H135" t="e">
            <v>#N/A</v>
          </cell>
          <cell r="I135" t="e">
            <v>#N/A</v>
          </cell>
          <cell r="J135" t="e">
            <v>#N/A</v>
          </cell>
          <cell r="K135" t="e">
            <v>#N/A</v>
          </cell>
          <cell r="L135" t="e">
            <v>#N/A</v>
          </cell>
          <cell r="M135" t="e">
            <v>#N/A</v>
          </cell>
          <cell r="N135" t="e">
            <v>#N/A</v>
          </cell>
          <cell r="O135" t="e">
            <v>#N/A</v>
          </cell>
          <cell r="P135">
            <v>12.39</v>
          </cell>
          <cell r="Q135">
            <v>2.0287000000000002</v>
          </cell>
          <cell r="R135" t="e">
            <v>#N/A</v>
          </cell>
        </row>
        <row r="136">
          <cell r="A136">
            <v>40168</v>
          </cell>
          <cell r="B136">
            <v>40168</v>
          </cell>
          <cell r="C136" t="str">
            <v>Past</v>
          </cell>
          <cell r="D136">
            <v>12.55</v>
          </cell>
          <cell r="E136" t="e">
            <v>#N/A</v>
          </cell>
          <cell r="F136" t="e">
            <v>#N/A</v>
          </cell>
          <cell r="G136" t="e">
            <v>#N/A</v>
          </cell>
          <cell r="H136" t="e">
            <v>#N/A</v>
          </cell>
          <cell r="I136" t="e">
            <v>#N/A</v>
          </cell>
          <cell r="J136" t="e">
            <v>#N/A</v>
          </cell>
          <cell r="K136" t="e">
            <v>#N/A</v>
          </cell>
          <cell r="L136" t="e">
            <v>#N/A</v>
          </cell>
          <cell r="M136" t="e">
            <v>#N/A</v>
          </cell>
          <cell r="N136" t="e">
            <v>#N/A</v>
          </cell>
          <cell r="O136" t="e">
            <v>#N/A</v>
          </cell>
          <cell r="P136">
            <v>12.55</v>
          </cell>
          <cell r="Q136">
            <v>1.2931679999999999</v>
          </cell>
          <cell r="R136" t="e">
            <v>#N/A</v>
          </cell>
        </row>
        <row r="137">
          <cell r="A137">
            <v>40169</v>
          </cell>
          <cell r="B137">
            <v>40169</v>
          </cell>
          <cell r="C137" t="str">
            <v>Past</v>
          </cell>
          <cell r="D137">
            <v>12.51</v>
          </cell>
          <cell r="E137" t="e">
            <v>#N/A</v>
          </cell>
          <cell r="F137" t="e">
            <v>#N/A</v>
          </cell>
          <cell r="G137" t="e">
            <v>#N/A</v>
          </cell>
          <cell r="H137" t="e">
            <v>#N/A</v>
          </cell>
          <cell r="I137" t="e">
            <v>#N/A</v>
          </cell>
          <cell r="J137" t="e">
            <v>#N/A</v>
          </cell>
          <cell r="K137" t="e">
            <v>#N/A</v>
          </cell>
          <cell r="L137" t="e">
            <v>#N/A</v>
          </cell>
          <cell r="M137" t="e">
            <v>#N/A</v>
          </cell>
          <cell r="N137" t="e">
            <v>#N/A</v>
          </cell>
          <cell r="O137" t="e">
            <v>#N/A</v>
          </cell>
          <cell r="P137">
            <v>12.51</v>
          </cell>
          <cell r="Q137">
            <v>0.98313899999999999</v>
          </cell>
          <cell r="R137" t="e">
            <v>#N/A</v>
          </cell>
        </row>
        <row r="138">
          <cell r="A138">
            <v>40170</v>
          </cell>
          <cell r="B138">
            <v>40170</v>
          </cell>
          <cell r="C138" t="str">
            <v>Past</v>
          </cell>
          <cell r="D138">
            <v>12.53</v>
          </cell>
          <cell r="E138" t="e">
            <v>#N/A</v>
          </cell>
          <cell r="F138" t="e">
            <v>#N/A</v>
          </cell>
          <cell r="G138" t="e">
            <v>#N/A</v>
          </cell>
          <cell r="H138" t="e">
            <v>#N/A</v>
          </cell>
          <cell r="I138" t="e">
            <v>#N/A</v>
          </cell>
          <cell r="J138" t="e">
            <v>#N/A</v>
          </cell>
          <cell r="K138" t="e">
            <v>#N/A</v>
          </cell>
          <cell r="L138" t="e">
            <v>#N/A</v>
          </cell>
          <cell r="M138" t="e">
            <v>#N/A</v>
          </cell>
          <cell r="N138" t="e">
            <v>#N/A</v>
          </cell>
          <cell r="O138" t="e">
            <v>#N/A</v>
          </cell>
          <cell r="P138">
            <v>12.53</v>
          </cell>
          <cell r="Q138">
            <v>1.043939</v>
          </cell>
          <cell r="R138" t="e">
            <v>#N/A</v>
          </cell>
        </row>
        <row r="139">
          <cell r="A139">
            <v>40171</v>
          </cell>
          <cell r="B139">
            <v>40171</v>
          </cell>
          <cell r="C139" t="str">
            <v>Past</v>
          </cell>
          <cell r="D139">
            <v>12.54</v>
          </cell>
          <cell r="E139" t="e">
            <v>#N/A</v>
          </cell>
          <cell r="F139" t="e">
            <v>#N/A</v>
          </cell>
          <cell r="G139" t="e">
            <v>#N/A</v>
          </cell>
          <cell r="H139" t="e">
            <v>#N/A</v>
          </cell>
          <cell r="I139" t="e">
            <v>#N/A</v>
          </cell>
          <cell r="J139" t="e">
            <v>#N/A</v>
          </cell>
          <cell r="K139" t="e">
            <v>#N/A</v>
          </cell>
          <cell r="L139" t="e">
            <v>#N/A</v>
          </cell>
          <cell r="M139" t="e">
            <v>#N/A</v>
          </cell>
          <cell r="N139" t="e">
            <v>#N/A</v>
          </cell>
          <cell r="O139" t="e">
            <v>#N/A</v>
          </cell>
          <cell r="P139">
            <v>12.54</v>
          </cell>
          <cell r="Q139">
            <v>0.188083</v>
          </cell>
          <cell r="R139" t="e">
            <v>#N/A</v>
          </cell>
        </row>
        <row r="140">
          <cell r="A140">
            <v>40175</v>
          </cell>
          <cell r="B140">
            <v>40175</v>
          </cell>
          <cell r="C140" t="str">
            <v>Past</v>
          </cell>
          <cell r="D140">
            <v>12.52</v>
          </cell>
          <cell r="E140" t="e">
            <v>#N/A</v>
          </cell>
          <cell r="F140" t="e">
            <v>#N/A</v>
          </cell>
          <cell r="G140" t="e">
            <v>#N/A</v>
          </cell>
          <cell r="H140" t="e">
            <v>#N/A</v>
          </cell>
          <cell r="I140" t="e">
            <v>#N/A</v>
          </cell>
          <cell r="J140" t="e">
            <v>#N/A</v>
          </cell>
          <cell r="K140" t="e">
            <v>#N/A</v>
          </cell>
          <cell r="L140" t="e">
            <v>#N/A</v>
          </cell>
          <cell r="M140" t="e">
            <v>#N/A</v>
          </cell>
          <cell r="N140" t="e">
            <v>#N/A</v>
          </cell>
          <cell r="O140" t="e">
            <v>#N/A</v>
          </cell>
          <cell r="P140">
            <v>12.52</v>
          </cell>
          <cell r="Q140">
            <v>1.007449</v>
          </cell>
          <cell r="R140" t="e">
            <v>#N/A</v>
          </cell>
        </row>
        <row r="141">
          <cell r="A141">
            <v>40176</v>
          </cell>
          <cell r="B141">
            <v>40176</v>
          </cell>
          <cell r="C141" t="str">
            <v>Past</v>
          </cell>
          <cell r="D141">
            <v>12.53</v>
          </cell>
          <cell r="E141" t="e">
            <v>#N/A</v>
          </cell>
          <cell r="F141" t="e">
            <v>#N/A</v>
          </cell>
          <cell r="G141" t="e">
            <v>#N/A</v>
          </cell>
          <cell r="H141" t="e">
            <v>#N/A</v>
          </cell>
          <cell r="I141" t="e">
            <v>#N/A</v>
          </cell>
          <cell r="J141" t="e">
            <v>#N/A</v>
          </cell>
          <cell r="K141" t="e">
            <v>#N/A</v>
          </cell>
          <cell r="L141" t="e">
            <v>#N/A</v>
          </cell>
          <cell r="M141" t="e">
            <v>#N/A</v>
          </cell>
          <cell r="N141" t="e">
            <v>#N/A</v>
          </cell>
          <cell r="O141" t="e">
            <v>#N/A</v>
          </cell>
          <cell r="P141">
            <v>12.53</v>
          </cell>
          <cell r="Q141">
            <v>1.2915209999999999</v>
          </cell>
          <cell r="R141" t="e">
            <v>#N/A</v>
          </cell>
        </row>
        <row r="142">
          <cell r="A142">
            <v>40177</v>
          </cell>
          <cell r="B142">
            <v>40177</v>
          </cell>
          <cell r="C142" t="str">
            <v>Past</v>
          </cell>
          <cell r="D142">
            <v>12.57</v>
          </cell>
          <cell r="E142" t="e">
            <v>#N/A</v>
          </cell>
          <cell r="F142" t="e">
            <v>#N/A</v>
          </cell>
          <cell r="G142" t="e">
            <v>#N/A</v>
          </cell>
          <cell r="H142" t="e">
            <v>#N/A</v>
          </cell>
          <cell r="I142" t="e">
            <v>#N/A</v>
          </cell>
          <cell r="J142" t="e">
            <v>#N/A</v>
          </cell>
          <cell r="K142" t="e">
            <v>#N/A</v>
          </cell>
          <cell r="L142" t="e">
            <v>#N/A</v>
          </cell>
          <cell r="M142" t="e">
            <v>#N/A</v>
          </cell>
          <cell r="N142" t="e">
            <v>#N/A</v>
          </cell>
          <cell r="O142" t="e">
            <v>#N/A</v>
          </cell>
          <cell r="P142">
            <v>12.57</v>
          </cell>
          <cell r="Q142">
            <v>0.81364099999999995</v>
          </cell>
          <cell r="R142" t="e">
            <v>#N/A</v>
          </cell>
        </row>
        <row r="143">
          <cell r="A143">
            <v>40178</v>
          </cell>
          <cell r="B143">
            <v>40178</v>
          </cell>
          <cell r="C143" t="str">
            <v>Past</v>
          </cell>
          <cell r="D143">
            <v>12.38</v>
          </cell>
          <cell r="E143" t="e">
            <v>#N/A</v>
          </cell>
          <cell r="F143" t="e">
            <v>#N/A</v>
          </cell>
          <cell r="G143" t="e">
            <v>#N/A</v>
          </cell>
          <cell r="H143" t="e">
            <v>#N/A</v>
          </cell>
          <cell r="I143" t="e">
            <v>#N/A</v>
          </cell>
          <cell r="J143" t="e">
            <v>#N/A</v>
          </cell>
          <cell r="K143" t="e">
            <v>#N/A</v>
          </cell>
          <cell r="L143" t="e">
            <v>#N/A</v>
          </cell>
          <cell r="M143" t="e">
            <v>#N/A</v>
          </cell>
          <cell r="N143" t="e">
            <v>#N/A</v>
          </cell>
          <cell r="O143" t="e">
            <v>#N/A</v>
          </cell>
          <cell r="P143">
            <v>12.38</v>
          </cell>
          <cell r="Q143">
            <v>0.75707799999999992</v>
          </cell>
          <cell r="R143" t="e">
            <v>#N/A</v>
          </cell>
        </row>
        <row r="144">
          <cell r="A144">
            <v>40182</v>
          </cell>
          <cell r="B144">
            <v>40182</v>
          </cell>
          <cell r="C144" t="str">
            <v>Past</v>
          </cell>
          <cell r="D144">
            <v>12.49</v>
          </cell>
          <cell r="E144" t="e">
            <v>#N/A</v>
          </cell>
          <cell r="F144" t="e">
            <v>#N/A</v>
          </cell>
          <cell r="G144" t="e">
            <v>#N/A</v>
          </cell>
          <cell r="H144" t="e">
            <v>#N/A</v>
          </cell>
          <cell r="I144" t="e">
            <v>#N/A</v>
          </cell>
          <cell r="J144" t="e">
            <v>#N/A</v>
          </cell>
          <cell r="K144" t="e">
            <v>#N/A</v>
          </cell>
          <cell r="L144" t="e">
            <v>#N/A</v>
          </cell>
          <cell r="M144" t="e">
            <v>#N/A</v>
          </cell>
          <cell r="N144" t="e">
            <v>#N/A</v>
          </cell>
          <cell r="O144" t="e">
            <v>#N/A</v>
          </cell>
          <cell r="P144">
            <v>12.49</v>
          </cell>
          <cell r="Q144">
            <v>1.3208600000000001</v>
          </cell>
          <cell r="R144" t="e">
            <v>#N/A</v>
          </cell>
        </row>
        <row r="145">
          <cell r="A145">
            <v>40183</v>
          </cell>
          <cell r="B145">
            <v>40183</v>
          </cell>
          <cell r="C145" t="str">
            <v>Past</v>
          </cell>
          <cell r="D145">
            <v>12.22</v>
          </cell>
          <cell r="E145" t="e">
            <v>#N/A</v>
          </cell>
          <cell r="F145" t="e">
            <v>#N/A</v>
          </cell>
          <cell r="G145" t="e">
            <v>#N/A</v>
          </cell>
          <cell r="H145" t="e">
            <v>#N/A</v>
          </cell>
          <cell r="I145" t="e">
            <v>#N/A</v>
          </cell>
          <cell r="J145" t="e">
            <v>#N/A</v>
          </cell>
          <cell r="K145" t="e">
            <v>#N/A</v>
          </cell>
          <cell r="L145" t="e">
            <v>#N/A</v>
          </cell>
          <cell r="M145" t="e">
            <v>#N/A</v>
          </cell>
          <cell r="N145" t="e">
            <v>#N/A</v>
          </cell>
          <cell r="O145" t="e">
            <v>#N/A</v>
          </cell>
          <cell r="P145">
            <v>12.22</v>
          </cell>
          <cell r="Q145">
            <v>2.594293</v>
          </cell>
          <cell r="R145" t="e">
            <v>#N/A</v>
          </cell>
        </row>
        <row r="146">
          <cell r="A146">
            <v>40184</v>
          </cell>
          <cell r="B146">
            <v>40184</v>
          </cell>
          <cell r="C146" t="str">
            <v>Past</v>
          </cell>
          <cell r="D146">
            <v>12.18</v>
          </cell>
          <cell r="E146" t="e">
            <v>#N/A</v>
          </cell>
          <cell r="F146" t="e">
            <v>#N/A</v>
          </cell>
          <cell r="G146" t="e">
            <v>#N/A</v>
          </cell>
          <cell r="H146" t="e">
            <v>#N/A</v>
          </cell>
          <cell r="I146" t="e">
            <v>#N/A</v>
          </cell>
          <cell r="J146" t="e">
            <v>#N/A</v>
          </cell>
          <cell r="K146" t="e">
            <v>#N/A</v>
          </cell>
          <cell r="L146" t="e">
            <v>#N/A</v>
          </cell>
          <cell r="M146" t="e">
            <v>#N/A</v>
          </cell>
          <cell r="N146" t="e">
            <v>#N/A</v>
          </cell>
          <cell r="O146" t="e">
            <v>#N/A</v>
          </cell>
          <cell r="P146">
            <v>12.18</v>
          </cell>
          <cell r="Q146">
            <v>2.7537319999999998</v>
          </cell>
          <cell r="R146" t="e">
            <v>#N/A</v>
          </cell>
        </row>
        <row r="147">
          <cell r="A147">
            <v>40185</v>
          </cell>
          <cell r="B147">
            <v>40185</v>
          </cell>
          <cell r="C147" t="str">
            <v>Past</v>
          </cell>
          <cell r="D147">
            <v>11.95</v>
          </cell>
          <cell r="E147" t="e">
            <v>#N/A</v>
          </cell>
          <cell r="F147" t="e">
            <v>#N/A</v>
          </cell>
          <cell r="G147" t="e">
            <v>#N/A</v>
          </cell>
          <cell r="H147" t="e">
            <v>#N/A</v>
          </cell>
          <cell r="I147" t="e">
            <v>#N/A</v>
          </cell>
          <cell r="J147" t="e">
            <v>#N/A</v>
          </cell>
          <cell r="K147" t="e">
            <v>#N/A</v>
          </cell>
          <cell r="L147" t="e">
            <v>#N/A</v>
          </cell>
          <cell r="M147" t="e">
            <v>#N/A</v>
          </cell>
          <cell r="N147" t="e">
            <v>#N/A</v>
          </cell>
          <cell r="O147" t="e">
            <v>#N/A</v>
          </cell>
          <cell r="P147">
            <v>11.95</v>
          </cell>
          <cell r="Q147">
            <v>2.590455</v>
          </cell>
          <cell r="R147" t="e">
            <v>#N/A</v>
          </cell>
        </row>
        <row r="148">
          <cell r="A148">
            <v>40186</v>
          </cell>
          <cell r="B148">
            <v>40186</v>
          </cell>
          <cell r="C148" t="str">
            <v>Past</v>
          </cell>
          <cell r="D148">
            <v>11.88</v>
          </cell>
          <cell r="E148" t="e">
            <v>#N/A</v>
          </cell>
          <cell r="F148" t="e">
            <v>#N/A</v>
          </cell>
          <cell r="G148" t="e">
            <v>#N/A</v>
          </cell>
          <cell r="H148" t="e">
            <v>#N/A</v>
          </cell>
          <cell r="I148" t="e">
            <v>#N/A</v>
          </cell>
          <cell r="J148" t="e">
            <v>#N/A</v>
          </cell>
          <cell r="K148" t="e">
            <v>#N/A</v>
          </cell>
          <cell r="L148" t="e">
            <v>#N/A</v>
          </cell>
          <cell r="M148" t="e">
            <v>#N/A</v>
          </cell>
          <cell r="N148" t="e">
            <v>#N/A</v>
          </cell>
          <cell r="O148" t="e">
            <v>#N/A</v>
          </cell>
          <cell r="P148">
            <v>11.88</v>
          </cell>
          <cell r="Q148">
            <v>2.3484229999999999</v>
          </cell>
          <cell r="R148" t="e">
            <v>#N/A</v>
          </cell>
        </row>
        <row r="149">
          <cell r="A149">
            <v>40189</v>
          </cell>
          <cell r="B149">
            <v>40189</v>
          </cell>
          <cell r="C149" t="str">
            <v>Past</v>
          </cell>
          <cell r="D149">
            <v>11.93</v>
          </cell>
          <cell r="E149" t="e">
            <v>#N/A</v>
          </cell>
          <cell r="F149" t="e">
            <v>#N/A</v>
          </cell>
          <cell r="G149" t="e">
            <v>#N/A</v>
          </cell>
          <cell r="H149" t="e">
            <v>#N/A</v>
          </cell>
          <cell r="I149" t="e">
            <v>#N/A</v>
          </cell>
          <cell r="J149" t="e">
            <v>#N/A</v>
          </cell>
          <cell r="K149" t="e">
            <v>#N/A</v>
          </cell>
          <cell r="L149" t="e">
            <v>#N/A</v>
          </cell>
          <cell r="M149" t="e">
            <v>#N/A</v>
          </cell>
          <cell r="N149" t="e">
            <v>#N/A</v>
          </cell>
          <cell r="O149" t="e">
            <v>#N/A</v>
          </cell>
          <cell r="P149">
            <v>11.93</v>
          </cell>
          <cell r="Q149">
            <v>5.0173579999999998</v>
          </cell>
          <cell r="R149" t="e">
            <v>#N/A</v>
          </cell>
        </row>
        <row r="150">
          <cell r="A150">
            <v>40190</v>
          </cell>
          <cell r="B150">
            <v>40190</v>
          </cell>
          <cell r="C150" t="str">
            <v>Past</v>
          </cell>
          <cell r="D150">
            <v>12.17</v>
          </cell>
          <cell r="E150" t="e">
            <v>#N/A</v>
          </cell>
          <cell r="F150" t="e">
            <v>#N/A</v>
          </cell>
          <cell r="G150" t="e">
            <v>#N/A</v>
          </cell>
          <cell r="H150" t="e">
            <v>#N/A</v>
          </cell>
          <cell r="I150" t="e">
            <v>#N/A</v>
          </cell>
          <cell r="J150" t="e">
            <v>#N/A</v>
          </cell>
          <cell r="K150" t="e">
            <v>#N/A</v>
          </cell>
          <cell r="L150" t="e">
            <v>#N/A</v>
          </cell>
          <cell r="M150" t="e">
            <v>#N/A</v>
          </cell>
          <cell r="N150" t="e">
            <v>#N/A</v>
          </cell>
          <cell r="O150" t="e">
            <v>#N/A</v>
          </cell>
          <cell r="P150">
            <v>12.17</v>
          </cell>
          <cell r="Q150">
            <v>6.0215049999999994</v>
          </cell>
          <cell r="R150" t="e">
            <v>#N/A</v>
          </cell>
        </row>
        <row r="151">
          <cell r="A151">
            <v>40191</v>
          </cell>
          <cell r="B151">
            <v>40191</v>
          </cell>
          <cell r="C151" t="str">
            <v>Past</v>
          </cell>
          <cell r="D151">
            <v>12.36</v>
          </cell>
          <cell r="E151" t="e">
            <v>#N/A</v>
          </cell>
          <cell r="F151" t="e">
            <v>#N/A</v>
          </cell>
          <cell r="G151" t="e">
            <v>#N/A</v>
          </cell>
          <cell r="H151" t="e">
            <v>#N/A</v>
          </cell>
          <cell r="I151" t="e">
            <v>#N/A</v>
          </cell>
          <cell r="J151" t="e">
            <v>#N/A</v>
          </cell>
          <cell r="K151" t="e">
            <v>#N/A</v>
          </cell>
          <cell r="L151" t="e">
            <v>#N/A</v>
          </cell>
          <cell r="M151" t="e">
            <v>#N/A</v>
          </cell>
          <cell r="N151" t="e">
            <v>#N/A</v>
          </cell>
          <cell r="O151" t="e">
            <v>#N/A</v>
          </cell>
          <cell r="P151">
            <v>12.36</v>
          </cell>
          <cell r="Q151">
            <v>2.7192000000000003</v>
          </cell>
          <cell r="R151" t="e">
            <v>#N/A</v>
          </cell>
        </row>
        <row r="152">
          <cell r="A152">
            <v>40192</v>
          </cell>
          <cell r="B152">
            <v>40192</v>
          </cell>
          <cell r="C152" t="str">
            <v>Past</v>
          </cell>
          <cell r="D152">
            <v>12.37</v>
          </cell>
          <cell r="E152" t="e">
            <v>#N/A</v>
          </cell>
          <cell r="F152" t="e">
            <v>#N/A</v>
          </cell>
          <cell r="G152" t="e">
            <v>#N/A</v>
          </cell>
          <cell r="H152" t="e">
            <v>#N/A</v>
          </cell>
          <cell r="I152" t="e">
            <v>#N/A</v>
          </cell>
          <cell r="J152" t="e">
            <v>#N/A</v>
          </cell>
          <cell r="K152" t="e">
            <v>#N/A</v>
          </cell>
          <cell r="L152" t="e">
            <v>#N/A</v>
          </cell>
          <cell r="M152" t="e">
            <v>#N/A</v>
          </cell>
          <cell r="N152" t="e">
            <v>#N/A</v>
          </cell>
          <cell r="O152" t="e">
            <v>#N/A</v>
          </cell>
          <cell r="P152">
            <v>12.37</v>
          </cell>
          <cell r="Q152">
            <v>1.4913419999999999</v>
          </cell>
          <cell r="R152" t="e">
            <v>#N/A</v>
          </cell>
        </row>
        <row r="153">
          <cell r="A153">
            <v>40193</v>
          </cell>
          <cell r="B153">
            <v>40193</v>
          </cell>
          <cell r="C153" t="str">
            <v>Past</v>
          </cell>
          <cell r="D153">
            <v>12.31</v>
          </cell>
          <cell r="E153" t="e">
            <v>#N/A</v>
          </cell>
          <cell r="F153" t="e">
            <v>#N/A</v>
          </cell>
          <cell r="G153" t="e">
            <v>#N/A</v>
          </cell>
          <cell r="H153" t="e">
            <v>#N/A</v>
          </cell>
          <cell r="I153" t="e">
            <v>#N/A</v>
          </cell>
          <cell r="J153" t="e">
            <v>#N/A</v>
          </cell>
          <cell r="K153" t="e">
            <v>#N/A</v>
          </cell>
          <cell r="L153" t="e">
            <v>#N/A</v>
          </cell>
          <cell r="M153" t="e">
            <v>#N/A</v>
          </cell>
          <cell r="N153" t="e">
            <v>#N/A</v>
          </cell>
          <cell r="O153" t="e">
            <v>#N/A</v>
          </cell>
          <cell r="P153">
            <v>12.31</v>
          </cell>
          <cell r="Q153">
            <v>2.846365</v>
          </cell>
          <cell r="R153" t="e">
            <v>#N/A</v>
          </cell>
        </row>
        <row r="154">
          <cell r="A154">
            <v>40197</v>
          </cell>
          <cell r="B154">
            <v>40197</v>
          </cell>
          <cell r="C154" t="str">
            <v>Past</v>
          </cell>
          <cell r="D154">
            <v>12.5</v>
          </cell>
          <cell r="E154" t="e">
            <v>#N/A</v>
          </cell>
          <cell r="F154" t="e">
            <v>#N/A</v>
          </cell>
          <cell r="G154" t="e">
            <v>#N/A</v>
          </cell>
          <cell r="H154" t="e">
            <v>#N/A</v>
          </cell>
          <cell r="I154" t="e">
            <v>#N/A</v>
          </cell>
          <cell r="J154" t="e">
            <v>#N/A</v>
          </cell>
          <cell r="K154" t="e">
            <v>#N/A</v>
          </cell>
          <cell r="L154" t="e">
            <v>#N/A</v>
          </cell>
          <cell r="M154" t="e">
            <v>#N/A</v>
          </cell>
          <cell r="N154" t="e">
            <v>#N/A</v>
          </cell>
          <cell r="O154" t="e">
            <v>#N/A</v>
          </cell>
          <cell r="P154">
            <v>12.5</v>
          </cell>
          <cell r="Q154">
            <v>2.921125</v>
          </cell>
          <cell r="R154" t="e">
            <v>#N/A</v>
          </cell>
        </row>
        <row r="155">
          <cell r="A155">
            <v>40198</v>
          </cell>
          <cell r="B155">
            <v>40198</v>
          </cell>
          <cell r="C155" t="str">
            <v>Past</v>
          </cell>
          <cell r="D155">
            <v>12.54</v>
          </cell>
          <cell r="E155" t="e">
            <v>#N/A</v>
          </cell>
          <cell r="F155" t="e">
            <v>#N/A</v>
          </cell>
          <cell r="G155" t="e">
            <v>#N/A</v>
          </cell>
          <cell r="H155" t="e">
            <v>#N/A</v>
          </cell>
          <cell r="I155" t="e">
            <v>#N/A</v>
          </cell>
          <cell r="J155" t="e">
            <v>#N/A</v>
          </cell>
          <cell r="K155" t="e">
            <v>#N/A</v>
          </cell>
          <cell r="L155" t="e">
            <v>#N/A</v>
          </cell>
          <cell r="M155" t="e">
            <v>#N/A</v>
          </cell>
          <cell r="N155" t="e">
            <v>#N/A</v>
          </cell>
          <cell r="O155" t="e">
            <v>#N/A</v>
          </cell>
          <cell r="P155">
            <v>12.54</v>
          </cell>
          <cell r="Q155">
            <v>5.5452529999999998</v>
          </cell>
          <cell r="R155" t="e">
            <v>#N/A</v>
          </cell>
        </row>
        <row r="156">
          <cell r="A156">
            <v>40199</v>
          </cell>
          <cell r="B156">
            <v>40199</v>
          </cell>
          <cell r="C156" t="str">
            <v>Past</v>
          </cell>
          <cell r="D156">
            <v>12.28</v>
          </cell>
          <cell r="E156" t="e">
            <v>#N/A</v>
          </cell>
          <cell r="F156" t="e">
            <v>#N/A</v>
          </cell>
          <cell r="G156" t="e">
            <v>#N/A</v>
          </cell>
          <cell r="H156" t="e">
            <v>#N/A</v>
          </cell>
          <cell r="I156" t="e">
            <v>#N/A</v>
          </cell>
          <cell r="J156" t="e">
            <v>#N/A</v>
          </cell>
          <cell r="K156" t="e">
            <v>#N/A</v>
          </cell>
          <cell r="L156" t="e">
            <v>#N/A</v>
          </cell>
          <cell r="M156" t="e">
            <v>#N/A</v>
          </cell>
          <cell r="N156" t="e">
            <v>#N/A</v>
          </cell>
          <cell r="O156" t="e">
            <v>#N/A</v>
          </cell>
          <cell r="P156">
            <v>12.28</v>
          </cell>
          <cell r="Q156">
            <v>3.254715</v>
          </cell>
          <cell r="R156" t="e">
            <v>#N/A</v>
          </cell>
        </row>
        <row r="157">
          <cell r="A157">
            <v>40200</v>
          </cell>
          <cell r="B157">
            <v>40200</v>
          </cell>
          <cell r="C157" t="str">
            <v>Past</v>
          </cell>
          <cell r="D157">
            <v>11.99</v>
          </cell>
          <cell r="E157" t="e">
            <v>#N/A</v>
          </cell>
          <cell r="F157" t="e">
            <v>#N/A</v>
          </cell>
          <cell r="G157" t="e">
            <v>#N/A</v>
          </cell>
          <cell r="H157" t="e">
            <v>#N/A</v>
          </cell>
          <cell r="I157" t="e">
            <v>#N/A</v>
          </cell>
          <cell r="J157" t="e">
            <v>#N/A</v>
          </cell>
          <cell r="K157" t="e">
            <v>#N/A</v>
          </cell>
          <cell r="L157" t="e">
            <v>#N/A</v>
          </cell>
          <cell r="M157" t="e">
            <v>#N/A</v>
          </cell>
          <cell r="N157" t="e">
            <v>#N/A</v>
          </cell>
          <cell r="O157" t="e">
            <v>#N/A</v>
          </cell>
          <cell r="P157">
            <v>11.99</v>
          </cell>
          <cell r="Q157">
            <v>2.027603</v>
          </cell>
          <cell r="R157" t="e">
            <v>#N/A</v>
          </cell>
        </row>
        <row r="158">
          <cell r="A158">
            <v>40203</v>
          </cell>
          <cell r="B158">
            <v>40203</v>
          </cell>
          <cell r="C158" t="str">
            <v>Past</v>
          </cell>
          <cell r="D158">
            <v>12.01</v>
          </cell>
          <cell r="E158" t="e">
            <v>#N/A</v>
          </cell>
          <cell r="F158" t="e">
            <v>#N/A</v>
          </cell>
          <cell r="G158" t="e">
            <v>#N/A</v>
          </cell>
          <cell r="H158" t="e">
            <v>#N/A</v>
          </cell>
          <cell r="I158" t="e">
            <v>#N/A</v>
          </cell>
          <cell r="J158" t="e">
            <v>#N/A</v>
          </cell>
          <cell r="K158" t="e">
            <v>#N/A</v>
          </cell>
          <cell r="L158" t="e">
            <v>#N/A</v>
          </cell>
          <cell r="M158" t="e">
            <v>#N/A</v>
          </cell>
          <cell r="N158" t="e">
            <v>#N/A</v>
          </cell>
          <cell r="O158" t="e">
            <v>#N/A</v>
          </cell>
          <cell r="P158">
            <v>12.01</v>
          </cell>
          <cell r="Q158">
            <v>2.0521279999999997</v>
          </cell>
          <cell r="R158" t="e">
            <v>#N/A</v>
          </cell>
        </row>
        <row r="159">
          <cell r="A159">
            <v>40204</v>
          </cell>
          <cell r="B159">
            <v>40204</v>
          </cell>
          <cell r="C159" t="str">
            <v>Past</v>
          </cell>
          <cell r="D159">
            <v>11.98</v>
          </cell>
          <cell r="E159" t="e">
            <v>#N/A</v>
          </cell>
          <cell r="F159" t="e">
            <v>#N/A</v>
          </cell>
          <cell r="G159" t="e">
            <v>#N/A</v>
          </cell>
          <cell r="H159" t="e">
            <v>#N/A</v>
          </cell>
          <cell r="I159" t="e">
            <v>#N/A</v>
          </cell>
          <cell r="J159" t="e">
            <v>#N/A</v>
          </cell>
          <cell r="K159" t="e">
            <v>#N/A</v>
          </cell>
          <cell r="L159" t="e">
            <v>#N/A</v>
          </cell>
          <cell r="M159" t="e">
            <v>#N/A</v>
          </cell>
          <cell r="N159" t="e">
            <v>#N/A</v>
          </cell>
          <cell r="O159" t="e">
            <v>#N/A</v>
          </cell>
          <cell r="P159">
            <v>11.98</v>
          </cell>
          <cell r="Q159">
            <v>1.741779</v>
          </cell>
          <cell r="R159" t="e">
            <v>#N/A</v>
          </cell>
        </row>
        <row r="160">
          <cell r="A160">
            <v>40205</v>
          </cell>
          <cell r="B160">
            <v>40205</v>
          </cell>
          <cell r="C160" t="str">
            <v>Past</v>
          </cell>
          <cell r="D160">
            <v>11.85</v>
          </cell>
          <cell r="E160" t="e">
            <v>#N/A</v>
          </cell>
          <cell r="F160" t="e">
            <v>#N/A</v>
          </cell>
          <cell r="G160" t="e">
            <v>#N/A</v>
          </cell>
          <cell r="H160" t="e">
            <v>#N/A</v>
          </cell>
          <cell r="I160" t="e">
            <v>#N/A</v>
          </cell>
          <cell r="J160" t="e">
            <v>#N/A</v>
          </cell>
          <cell r="K160" t="e">
            <v>#N/A</v>
          </cell>
          <cell r="L160" t="e">
            <v>#N/A</v>
          </cell>
          <cell r="M160" t="e">
            <v>#N/A</v>
          </cell>
          <cell r="N160" t="e">
            <v>#N/A</v>
          </cell>
          <cell r="O160" t="e">
            <v>#N/A</v>
          </cell>
          <cell r="P160">
            <v>11.85</v>
          </cell>
          <cell r="Q160">
            <v>2.2158500000000001</v>
          </cell>
          <cell r="R160" t="e">
            <v>#N/A</v>
          </cell>
        </row>
        <row r="161">
          <cell r="A161">
            <v>40206</v>
          </cell>
          <cell r="B161">
            <v>40206</v>
          </cell>
          <cell r="C161" t="str">
            <v>Past</v>
          </cell>
          <cell r="D161">
            <v>11.74</v>
          </cell>
          <cell r="E161" t="e">
            <v>#N/A</v>
          </cell>
          <cell r="F161" t="e">
            <v>#N/A</v>
          </cell>
          <cell r="G161" t="e">
            <v>#N/A</v>
          </cell>
          <cell r="H161" t="e">
            <v>#N/A</v>
          </cell>
          <cell r="I161" t="e">
            <v>#N/A</v>
          </cell>
          <cell r="J161" t="e">
            <v>#N/A</v>
          </cell>
          <cell r="K161" t="e">
            <v>#N/A</v>
          </cell>
          <cell r="L161" t="e">
            <v>#N/A</v>
          </cell>
          <cell r="M161" t="e">
            <v>#N/A</v>
          </cell>
          <cell r="N161" t="e">
            <v>#N/A</v>
          </cell>
          <cell r="O161" t="e">
            <v>#N/A</v>
          </cell>
          <cell r="P161">
            <v>11.74</v>
          </cell>
          <cell r="Q161">
            <v>2.1453059999999997</v>
          </cell>
          <cell r="R161" t="e">
            <v>#N/A</v>
          </cell>
        </row>
        <row r="162">
          <cell r="A162">
            <v>40207</v>
          </cell>
          <cell r="B162">
            <v>40207</v>
          </cell>
          <cell r="C162" t="str">
            <v>Past</v>
          </cell>
          <cell r="D162">
            <v>11.52</v>
          </cell>
          <cell r="E162" t="e">
            <v>#N/A</v>
          </cell>
          <cell r="F162" t="e">
            <v>#N/A</v>
          </cell>
          <cell r="G162" t="e">
            <v>#N/A</v>
          </cell>
          <cell r="H162" t="e">
            <v>#N/A</v>
          </cell>
          <cell r="I162" t="e">
            <v>#N/A</v>
          </cell>
          <cell r="J162" t="e">
            <v>#N/A</v>
          </cell>
          <cell r="K162" t="e">
            <v>#N/A</v>
          </cell>
          <cell r="L162" t="e">
            <v>#N/A</v>
          </cell>
          <cell r="M162" t="e">
            <v>#N/A</v>
          </cell>
          <cell r="N162" t="e">
            <v>#N/A</v>
          </cell>
          <cell r="O162" t="e">
            <v>#N/A</v>
          </cell>
          <cell r="P162">
            <v>11.52</v>
          </cell>
          <cell r="Q162">
            <v>2.407451</v>
          </cell>
          <cell r="R162" t="e">
            <v>#N/A</v>
          </cell>
        </row>
        <row r="163">
          <cell r="A163">
            <v>40210</v>
          </cell>
          <cell r="B163">
            <v>40210</v>
          </cell>
          <cell r="C163" t="str">
            <v>Past</v>
          </cell>
          <cell r="D163">
            <v>11.58</v>
          </cell>
          <cell r="E163" t="e">
            <v>#N/A</v>
          </cell>
          <cell r="F163" t="e">
            <v>#N/A</v>
          </cell>
          <cell r="G163" t="e">
            <v>#N/A</v>
          </cell>
          <cell r="H163" t="e">
            <v>#N/A</v>
          </cell>
          <cell r="I163" t="e">
            <v>#N/A</v>
          </cell>
          <cell r="J163" t="e">
            <v>#N/A</v>
          </cell>
          <cell r="K163" t="e">
            <v>#N/A</v>
          </cell>
          <cell r="L163" t="e">
            <v>#N/A</v>
          </cell>
          <cell r="M163" t="e">
            <v>#N/A</v>
          </cell>
          <cell r="N163" t="e">
            <v>#N/A</v>
          </cell>
          <cell r="O163" t="e">
            <v>#N/A</v>
          </cell>
          <cell r="P163">
            <v>11.58</v>
          </cell>
          <cell r="Q163">
            <v>1.7375529999999999</v>
          </cell>
          <cell r="R163" t="e">
            <v>#N/A</v>
          </cell>
        </row>
        <row r="164">
          <cell r="A164">
            <v>40211</v>
          </cell>
          <cell r="B164">
            <v>40211</v>
          </cell>
          <cell r="C164" t="str">
            <v>Past</v>
          </cell>
          <cell r="D164">
            <v>11.71</v>
          </cell>
          <cell r="E164" t="e">
            <v>#N/A</v>
          </cell>
          <cell r="F164" t="e">
            <v>#N/A</v>
          </cell>
          <cell r="G164" t="e">
            <v>#N/A</v>
          </cell>
          <cell r="H164" t="e">
            <v>#N/A</v>
          </cell>
          <cell r="I164" t="e">
            <v>#N/A</v>
          </cell>
          <cell r="J164" t="e">
            <v>#N/A</v>
          </cell>
          <cell r="K164" t="e">
            <v>#N/A</v>
          </cell>
          <cell r="L164" t="e">
            <v>#N/A</v>
          </cell>
          <cell r="M164" t="e">
            <v>#N/A</v>
          </cell>
          <cell r="N164" t="e">
            <v>#N/A</v>
          </cell>
          <cell r="O164" t="e">
            <v>#N/A</v>
          </cell>
          <cell r="P164">
            <v>11.71</v>
          </cell>
          <cell r="Q164">
            <v>2.8388329999999997</v>
          </cell>
          <cell r="R164" t="e">
            <v>#N/A</v>
          </cell>
        </row>
        <row r="165">
          <cell r="A165">
            <v>40212</v>
          </cell>
          <cell r="B165">
            <v>40212</v>
          </cell>
          <cell r="C165" t="str">
            <v>Past</v>
          </cell>
          <cell r="D165">
            <v>11.47</v>
          </cell>
          <cell r="E165" t="e">
            <v>#N/A</v>
          </cell>
          <cell r="F165" t="e">
            <v>#N/A</v>
          </cell>
          <cell r="G165" t="e">
            <v>#N/A</v>
          </cell>
          <cell r="H165" t="e">
            <v>#N/A</v>
          </cell>
          <cell r="I165" t="e">
            <v>#N/A</v>
          </cell>
          <cell r="J165" t="e">
            <v>#N/A</v>
          </cell>
          <cell r="K165" t="e">
            <v>#N/A</v>
          </cell>
          <cell r="L165" t="e">
            <v>#N/A</v>
          </cell>
          <cell r="M165" t="e">
            <v>#N/A</v>
          </cell>
          <cell r="N165" t="e">
            <v>#N/A</v>
          </cell>
          <cell r="O165" t="e">
            <v>#N/A</v>
          </cell>
          <cell r="P165">
            <v>11.47</v>
          </cell>
          <cell r="Q165">
            <v>8.2753759999999996</v>
          </cell>
          <cell r="R165" t="e">
            <v>#N/A</v>
          </cell>
        </row>
        <row r="166">
          <cell r="A166">
            <v>40213</v>
          </cell>
          <cell r="B166">
            <v>40213</v>
          </cell>
          <cell r="C166" t="str">
            <v>Past</v>
          </cell>
          <cell r="D166">
            <v>11.44</v>
          </cell>
          <cell r="E166" t="e">
            <v>#N/A</v>
          </cell>
          <cell r="F166" t="e">
            <v>#N/A</v>
          </cell>
          <cell r="G166" t="e">
            <v>#N/A</v>
          </cell>
          <cell r="H166" t="e">
            <v>#N/A</v>
          </cell>
          <cell r="I166" t="e">
            <v>#N/A</v>
          </cell>
          <cell r="J166" t="e">
            <v>#N/A</v>
          </cell>
          <cell r="K166" t="e">
            <v>#N/A</v>
          </cell>
          <cell r="L166" t="e">
            <v>#N/A</v>
          </cell>
          <cell r="M166" t="e">
            <v>#N/A</v>
          </cell>
          <cell r="N166" t="e">
            <v>#N/A</v>
          </cell>
          <cell r="O166" t="e">
            <v>#N/A</v>
          </cell>
          <cell r="P166">
            <v>11.44</v>
          </cell>
          <cell r="Q166">
            <v>5.2136639999999996</v>
          </cell>
          <cell r="R166" t="e">
            <v>#N/A</v>
          </cell>
        </row>
        <row r="167">
          <cell r="A167">
            <v>40214</v>
          </cell>
          <cell r="B167">
            <v>40214</v>
          </cell>
          <cell r="C167" t="str">
            <v>Past</v>
          </cell>
          <cell r="D167">
            <v>11.36</v>
          </cell>
          <cell r="E167" t="e">
            <v>#N/A</v>
          </cell>
          <cell r="F167" t="e">
            <v>#N/A</v>
          </cell>
          <cell r="G167" t="e">
            <v>#N/A</v>
          </cell>
          <cell r="H167" t="e">
            <v>#N/A</v>
          </cell>
          <cell r="I167" t="e">
            <v>#N/A</v>
          </cell>
          <cell r="J167" t="e">
            <v>#N/A</v>
          </cell>
          <cell r="K167" t="e">
            <v>#N/A</v>
          </cell>
          <cell r="L167" t="e">
            <v>#N/A</v>
          </cell>
          <cell r="M167" t="e">
            <v>#N/A</v>
          </cell>
          <cell r="N167" t="e">
            <v>#N/A</v>
          </cell>
          <cell r="O167" t="e">
            <v>#N/A</v>
          </cell>
          <cell r="P167">
            <v>11.36</v>
          </cell>
          <cell r="Q167">
            <v>3.9470300000000003</v>
          </cell>
          <cell r="R167" t="e">
            <v>#N/A</v>
          </cell>
        </row>
        <row r="168">
          <cell r="A168">
            <v>40217</v>
          </cell>
          <cell r="B168">
            <v>40217</v>
          </cell>
          <cell r="C168" t="str">
            <v>Past</v>
          </cell>
          <cell r="D168">
            <v>11.17</v>
          </cell>
          <cell r="E168" t="e">
            <v>#N/A</v>
          </cell>
          <cell r="F168" t="e">
            <v>#N/A</v>
          </cell>
          <cell r="G168" t="e">
            <v>#N/A</v>
          </cell>
          <cell r="H168" t="e">
            <v>#N/A</v>
          </cell>
          <cell r="I168" t="e">
            <v>#N/A</v>
          </cell>
          <cell r="J168" t="e">
            <v>#N/A</v>
          </cell>
          <cell r="K168" t="e">
            <v>#N/A</v>
          </cell>
          <cell r="L168" t="e">
            <v>#N/A</v>
          </cell>
          <cell r="M168" t="e">
            <v>#N/A</v>
          </cell>
          <cell r="N168" t="e">
            <v>#N/A</v>
          </cell>
          <cell r="O168" t="e">
            <v>#N/A</v>
          </cell>
          <cell r="P168">
            <v>11.17</v>
          </cell>
          <cell r="Q168">
            <v>2.7023820000000001</v>
          </cell>
          <cell r="R168" t="e">
            <v>#N/A</v>
          </cell>
        </row>
        <row r="169">
          <cell r="A169">
            <v>40218</v>
          </cell>
          <cell r="B169">
            <v>40218</v>
          </cell>
          <cell r="C169" t="str">
            <v>Past</v>
          </cell>
          <cell r="D169">
            <v>11.17</v>
          </cell>
          <cell r="E169" t="e">
            <v>#N/A</v>
          </cell>
          <cell r="F169" t="e">
            <v>#N/A</v>
          </cell>
          <cell r="G169" t="e">
            <v>#N/A</v>
          </cell>
          <cell r="H169" t="e">
            <v>#N/A</v>
          </cell>
          <cell r="I169" t="e">
            <v>#N/A</v>
          </cell>
          <cell r="J169" t="e">
            <v>#N/A</v>
          </cell>
          <cell r="K169" t="e">
            <v>#N/A</v>
          </cell>
          <cell r="L169" t="e">
            <v>#N/A</v>
          </cell>
          <cell r="M169" t="e">
            <v>#N/A</v>
          </cell>
          <cell r="N169" t="e">
            <v>#N/A</v>
          </cell>
          <cell r="O169" t="e">
            <v>#N/A</v>
          </cell>
          <cell r="P169">
            <v>11.17</v>
          </cell>
          <cell r="Q169">
            <v>2.2356449999999999</v>
          </cell>
          <cell r="R169" t="e">
            <v>#N/A</v>
          </cell>
        </row>
        <row r="170">
          <cell r="A170">
            <v>40219</v>
          </cell>
          <cell r="B170">
            <v>40219</v>
          </cell>
          <cell r="C170" t="str">
            <v>Past</v>
          </cell>
          <cell r="D170">
            <v>11.08</v>
          </cell>
          <cell r="E170" t="e">
            <v>#N/A</v>
          </cell>
          <cell r="F170" t="e">
            <v>#N/A</v>
          </cell>
          <cell r="G170" t="e">
            <v>#N/A</v>
          </cell>
          <cell r="H170" t="e">
            <v>#N/A</v>
          </cell>
          <cell r="I170" t="e">
            <v>#N/A</v>
          </cell>
          <cell r="J170" t="e">
            <v>#N/A</v>
          </cell>
          <cell r="K170" t="e">
            <v>#N/A</v>
          </cell>
          <cell r="L170" t="e">
            <v>#N/A</v>
          </cell>
          <cell r="M170" t="e">
            <v>#N/A</v>
          </cell>
          <cell r="N170" t="e">
            <v>#N/A</v>
          </cell>
          <cell r="O170" t="e">
            <v>#N/A</v>
          </cell>
          <cell r="P170">
            <v>11.08</v>
          </cell>
          <cell r="Q170">
            <v>1.5576589999999999</v>
          </cell>
          <cell r="R170" t="e">
            <v>#N/A</v>
          </cell>
        </row>
        <row r="171">
          <cell r="A171">
            <v>40220</v>
          </cell>
          <cell r="B171">
            <v>40220</v>
          </cell>
          <cell r="C171" t="str">
            <v>Past</v>
          </cell>
          <cell r="D171">
            <v>11.1</v>
          </cell>
          <cell r="E171" t="e">
            <v>#N/A</v>
          </cell>
          <cell r="F171" t="e">
            <v>#N/A</v>
          </cell>
          <cell r="G171" t="e">
            <v>#N/A</v>
          </cell>
          <cell r="H171" t="e">
            <v>#N/A</v>
          </cell>
          <cell r="I171" t="e">
            <v>#N/A</v>
          </cell>
          <cell r="J171" t="e">
            <v>#N/A</v>
          </cell>
          <cell r="K171" t="e">
            <v>#N/A</v>
          </cell>
          <cell r="L171" t="e">
            <v>#N/A</v>
          </cell>
          <cell r="M171" t="e">
            <v>#N/A</v>
          </cell>
          <cell r="N171" t="e">
            <v>#N/A</v>
          </cell>
          <cell r="O171" t="e">
            <v>#N/A</v>
          </cell>
          <cell r="P171">
            <v>11.1</v>
          </cell>
          <cell r="Q171">
            <v>3.0232400000000004</v>
          </cell>
          <cell r="R171" t="e">
            <v>#N/A</v>
          </cell>
        </row>
        <row r="172">
          <cell r="A172">
            <v>40221</v>
          </cell>
          <cell r="B172">
            <v>40221</v>
          </cell>
          <cell r="C172" t="str">
            <v>Past</v>
          </cell>
          <cell r="D172">
            <v>11.09</v>
          </cell>
          <cell r="E172" t="e">
            <v>#N/A</v>
          </cell>
          <cell r="F172" t="e">
            <v>#N/A</v>
          </cell>
          <cell r="G172" t="e">
            <v>#N/A</v>
          </cell>
          <cell r="H172" t="e">
            <v>#N/A</v>
          </cell>
          <cell r="I172" t="e">
            <v>#N/A</v>
          </cell>
          <cell r="J172" t="e">
            <v>#N/A</v>
          </cell>
          <cell r="K172" t="e">
            <v>#N/A</v>
          </cell>
          <cell r="L172" t="e">
            <v>#N/A</v>
          </cell>
          <cell r="M172" t="e">
            <v>#N/A</v>
          </cell>
          <cell r="N172" t="e">
            <v>#N/A</v>
          </cell>
          <cell r="O172" t="e">
            <v>#N/A</v>
          </cell>
          <cell r="P172">
            <v>11.09</v>
          </cell>
          <cell r="Q172">
            <v>2.0410629999999998</v>
          </cell>
          <cell r="R172" t="e">
            <v>#N/A</v>
          </cell>
        </row>
        <row r="173">
          <cell r="A173">
            <v>40225</v>
          </cell>
          <cell r="B173">
            <v>40225</v>
          </cell>
          <cell r="C173" t="str">
            <v>Past</v>
          </cell>
          <cell r="D173">
            <v>11.34</v>
          </cell>
          <cell r="E173" t="e">
            <v>#N/A</v>
          </cell>
          <cell r="F173" t="e">
            <v>#N/A</v>
          </cell>
          <cell r="G173" t="e">
            <v>#N/A</v>
          </cell>
          <cell r="H173" t="e">
            <v>#N/A</v>
          </cell>
          <cell r="I173" t="e">
            <v>#N/A</v>
          </cell>
          <cell r="J173" t="e">
            <v>#N/A</v>
          </cell>
          <cell r="K173" t="e">
            <v>#N/A</v>
          </cell>
          <cell r="L173" t="e">
            <v>#N/A</v>
          </cell>
          <cell r="M173" t="e">
            <v>#N/A</v>
          </cell>
          <cell r="N173" t="e">
            <v>#N/A</v>
          </cell>
          <cell r="O173" t="e">
            <v>#N/A</v>
          </cell>
          <cell r="P173">
            <v>11.34</v>
          </cell>
          <cell r="Q173">
            <v>1.205857</v>
          </cell>
          <cell r="R173" t="e">
            <v>#N/A</v>
          </cell>
        </row>
        <row r="174">
          <cell r="A174">
            <v>40226</v>
          </cell>
          <cell r="B174">
            <v>40226</v>
          </cell>
          <cell r="C174" t="str">
            <v>Past</v>
          </cell>
          <cell r="D174">
            <v>11.39</v>
          </cell>
          <cell r="E174" t="e">
            <v>#N/A</v>
          </cell>
          <cell r="F174" t="e">
            <v>#N/A</v>
          </cell>
          <cell r="G174" t="e">
            <v>#N/A</v>
          </cell>
          <cell r="H174" t="e">
            <v>#N/A</v>
          </cell>
          <cell r="I174" t="e">
            <v>#N/A</v>
          </cell>
          <cell r="J174" t="e">
            <v>#N/A</v>
          </cell>
          <cell r="K174" t="e">
            <v>#N/A</v>
          </cell>
          <cell r="L174" t="e">
            <v>#N/A</v>
          </cell>
          <cell r="M174" t="e">
            <v>#N/A</v>
          </cell>
          <cell r="N174" t="e">
            <v>#N/A</v>
          </cell>
          <cell r="O174" t="e">
            <v>#N/A</v>
          </cell>
          <cell r="P174">
            <v>11.39</v>
          </cell>
          <cell r="Q174">
            <v>1.968005</v>
          </cell>
          <cell r="R174" t="e">
            <v>#N/A</v>
          </cell>
        </row>
        <row r="175">
          <cell r="A175">
            <v>40227</v>
          </cell>
          <cell r="B175">
            <v>40227</v>
          </cell>
          <cell r="C175" t="str">
            <v>Past</v>
          </cell>
          <cell r="D175">
            <v>11.4</v>
          </cell>
          <cell r="E175" t="e">
            <v>#N/A</v>
          </cell>
          <cell r="F175" t="e">
            <v>#N/A</v>
          </cell>
          <cell r="G175" t="e">
            <v>#N/A</v>
          </cell>
          <cell r="H175" t="e">
            <v>#N/A</v>
          </cell>
          <cell r="I175" t="e">
            <v>#N/A</v>
          </cell>
          <cell r="J175" t="e">
            <v>#N/A</v>
          </cell>
          <cell r="K175" t="e">
            <v>#N/A</v>
          </cell>
          <cell r="L175" t="e">
            <v>#N/A</v>
          </cell>
          <cell r="M175" t="e">
            <v>#N/A</v>
          </cell>
          <cell r="N175" t="e">
            <v>#N/A</v>
          </cell>
          <cell r="O175" t="e">
            <v>#N/A</v>
          </cell>
          <cell r="P175">
            <v>11.4</v>
          </cell>
          <cell r="Q175">
            <v>1.733876</v>
          </cell>
          <cell r="R175" t="e">
            <v>#N/A</v>
          </cell>
        </row>
        <row r="176">
          <cell r="A176">
            <v>40228</v>
          </cell>
          <cell r="B176">
            <v>40228</v>
          </cell>
          <cell r="C176" t="str">
            <v>Past</v>
          </cell>
          <cell r="D176">
            <v>11.56</v>
          </cell>
          <cell r="E176" t="e">
            <v>#N/A</v>
          </cell>
          <cell r="F176" t="e">
            <v>#N/A</v>
          </cell>
          <cell r="G176" t="e">
            <v>#N/A</v>
          </cell>
          <cell r="H176" t="e">
            <v>#N/A</v>
          </cell>
          <cell r="I176" t="e">
            <v>#N/A</v>
          </cell>
          <cell r="J176" t="e">
            <v>#N/A</v>
          </cell>
          <cell r="K176" t="e">
            <v>#N/A</v>
          </cell>
          <cell r="L176" t="e">
            <v>#N/A</v>
          </cell>
          <cell r="M176" t="e">
            <v>#N/A</v>
          </cell>
          <cell r="N176" t="e">
            <v>#N/A</v>
          </cell>
          <cell r="O176" t="e">
            <v>#N/A</v>
          </cell>
          <cell r="P176">
            <v>11.56</v>
          </cell>
          <cell r="Q176">
            <v>1.7208400000000001</v>
          </cell>
          <cell r="R176" t="e">
            <v>#N/A</v>
          </cell>
        </row>
        <row r="177">
          <cell r="A177">
            <v>40231</v>
          </cell>
          <cell r="B177">
            <v>40231</v>
          </cell>
          <cell r="C177" t="str">
            <v>Past</v>
          </cell>
          <cell r="D177">
            <v>11.49</v>
          </cell>
          <cell r="E177" t="e">
            <v>#N/A</v>
          </cell>
          <cell r="F177" t="e">
            <v>#N/A</v>
          </cell>
          <cell r="G177" t="e">
            <v>#N/A</v>
          </cell>
          <cell r="H177" t="e">
            <v>#N/A</v>
          </cell>
          <cell r="I177" t="e">
            <v>#N/A</v>
          </cell>
          <cell r="J177" t="e">
            <v>#N/A</v>
          </cell>
          <cell r="K177" t="e">
            <v>#N/A</v>
          </cell>
          <cell r="L177" t="e">
            <v>#N/A</v>
          </cell>
          <cell r="M177" t="e">
            <v>#N/A</v>
          </cell>
          <cell r="N177" t="e">
            <v>#N/A</v>
          </cell>
          <cell r="O177" t="e">
            <v>#N/A</v>
          </cell>
          <cell r="P177">
            <v>11.49</v>
          </cell>
          <cell r="Q177">
            <v>0.80953000000000008</v>
          </cell>
          <cell r="R177" t="e">
            <v>#N/A</v>
          </cell>
        </row>
        <row r="178">
          <cell r="A178">
            <v>40232</v>
          </cell>
          <cell r="B178">
            <v>40232</v>
          </cell>
          <cell r="C178" t="str">
            <v>Past</v>
          </cell>
          <cell r="D178">
            <v>11.31</v>
          </cell>
          <cell r="E178" t="e">
            <v>#N/A</v>
          </cell>
          <cell r="F178" t="e">
            <v>#N/A</v>
          </cell>
          <cell r="G178" t="e">
            <v>#N/A</v>
          </cell>
          <cell r="H178" t="e">
            <v>#N/A</v>
          </cell>
          <cell r="I178" t="e">
            <v>#N/A</v>
          </cell>
          <cell r="J178" t="e">
            <v>#N/A</v>
          </cell>
          <cell r="K178" t="e">
            <v>#N/A</v>
          </cell>
          <cell r="L178" t="e">
            <v>#N/A</v>
          </cell>
          <cell r="M178" t="e">
            <v>#N/A</v>
          </cell>
          <cell r="N178" t="e">
            <v>#N/A</v>
          </cell>
          <cell r="O178" t="e">
            <v>#N/A</v>
          </cell>
          <cell r="P178">
            <v>11.31</v>
          </cell>
          <cell r="Q178">
            <v>2.328532</v>
          </cell>
          <cell r="R178" t="e">
            <v>#N/A</v>
          </cell>
        </row>
        <row r="179">
          <cell r="A179">
            <v>40233</v>
          </cell>
          <cell r="B179">
            <v>40233</v>
          </cell>
          <cell r="C179" t="str">
            <v>Past</v>
          </cell>
          <cell r="D179">
            <v>11.28</v>
          </cell>
          <cell r="E179" t="e">
            <v>#N/A</v>
          </cell>
          <cell r="F179" t="e">
            <v>#N/A</v>
          </cell>
          <cell r="G179" t="e">
            <v>#N/A</v>
          </cell>
          <cell r="H179" t="e">
            <v>#N/A</v>
          </cell>
          <cell r="I179" t="e">
            <v>#N/A</v>
          </cell>
          <cell r="J179" t="e">
            <v>#N/A</v>
          </cell>
          <cell r="K179" t="e">
            <v>#N/A</v>
          </cell>
          <cell r="L179" t="e">
            <v>#N/A</v>
          </cell>
          <cell r="M179" t="e">
            <v>#N/A</v>
          </cell>
          <cell r="N179" t="e">
            <v>#N/A</v>
          </cell>
          <cell r="O179" t="e">
            <v>#N/A</v>
          </cell>
          <cell r="P179">
            <v>11.28</v>
          </cell>
          <cell r="Q179">
            <v>2.9020509999999997</v>
          </cell>
          <cell r="R179" t="e">
            <v>#N/A</v>
          </cell>
        </row>
        <row r="180">
          <cell r="A180">
            <v>40234</v>
          </cell>
          <cell r="B180">
            <v>40234</v>
          </cell>
          <cell r="C180" t="str">
            <v>Past</v>
          </cell>
          <cell r="D180">
            <v>11.23</v>
          </cell>
          <cell r="E180" t="e">
            <v>#N/A</v>
          </cell>
          <cell r="F180" t="e">
            <v>#N/A</v>
          </cell>
          <cell r="G180" t="e">
            <v>#N/A</v>
          </cell>
          <cell r="H180" t="e">
            <v>#N/A</v>
          </cell>
          <cell r="I180" t="e">
            <v>#N/A</v>
          </cell>
          <cell r="J180" t="e">
            <v>#N/A</v>
          </cell>
          <cell r="K180" t="e">
            <v>#N/A</v>
          </cell>
          <cell r="L180" t="e">
            <v>#N/A</v>
          </cell>
          <cell r="M180" t="e">
            <v>#N/A</v>
          </cell>
          <cell r="N180" t="e">
            <v>#N/A</v>
          </cell>
          <cell r="O180" t="e">
            <v>#N/A</v>
          </cell>
          <cell r="P180">
            <v>11.23</v>
          </cell>
          <cell r="Q180">
            <v>2.0132189999999999</v>
          </cell>
          <cell r="R180" t="e">
            <v>#N/A</v>
          </cell>
        </row>
        <row r="181">
          <cell r="A181">
            <v>40235</v>
          </cell>
          <cell r="B181">
            <v>40235</v>
          </cell>
          <cell r="C181" t="str">
            <v>Past</v>
          </cell>
          <cell r="D181">
            <v>11.11</v>
          </cell>
          <cell r="E181" t="e">
            <v>#N/A</v>
          </cell>
          <cell r="F181" t="e">
            <v>#N/A</v>
          </cell>
          <cell r="G181" t="e">
            <v>#N/A</v>
          </cell>
          <cell r="H181" t="e">
            <v>#N/A</v>
          </cell>
          <cell r="I181" t="e">
            <v>#N/A</v>
          </cell>
          <cell r="J181" t="e">
            <v>#N/A</v>
          </cell>
          <cell r="K181" t="e">
            <v>#N/A</v>
          </cell>
          <cell r="L181" t="e">
            <v>#N/A</v>
          </cell>
          <cell r="M181" t="e">
            <v>#N/A</v>
          </cell>
          <cell r="N181" t="e">
            <v>#N/A</v>
          </cell>
          <cell r="O181" t="e">
            <v>#N/A</v>
          </cell>
          <cell r="P181">
            <v>11.11</v>
          </cell>
          <cell r="Q181">
            <v>2.0343549999999997</v>
          </cell>
          <cell r="R181" t="e">
            <v>#N/A</v>
          </cell>
        </row>
        <row r="182">
          <cell r="A182">
            <v>40238</v>
          </cell>
          <cell r="B182">
            <v>40238</v>
          </cell>
          <cell r="C182" t="str">
            <v>Past</v>
          </cell>
          <cell r="D182">
            <v>11.55</v>
          </cell>
          <cell r="E182" t="e">
            <v>#N/A</v>
          </cell>
          <cell r="F182" t="e">
            <v>#N/A</v>
          </cell>
          <cell r="G182" t="e">
            <v>#N/A</v>
          </cell>
          <cell r="H182" t="e">
            <v>#N/A</v>
          </cell>
          <cell r="I182" t="e">
            <v>#N/A</v>
          </cell>
          <cell r="J182" t="e">
            <v>#N/A</v>
          </cell>
          <cell r="K182" t="e">
            <v>#N/A</v>
          </cell>
          <cell r="L182" t="e">
            <v>#N/A</v>
          </cell>
          <cell r="M182" t="e">
            <v>#N/A</v>
          </cell>
          <cell r="N182" t="e">
            <v>#N/A</v>
          </cell>
          <cell r="O182" t="e">
            <v>#N/A</v>
          </cell>
          <cell r="P182">
            <v>11.55</v>
          </cell>
          <cell r="Q182">
            <v>3.2926409999999997</v>
          </cell>
          <cell r="R182" t="e">
            <v>#N/A</v>
          </cell>
        </row>
        <row r="183">
          <cell r="A183">
            <v>40239</v>
          </cell>
          <cell r="B183">
            <v>40239</v>
          </cell>
          <cell r="C183" t="str">
            <v>Past</v>
          </cell>
          <cell r="D183">
            <v>11.68</v>
          </cell>
          <cell r="E183" t="e">
            <v>#N/A</v>
          </cell>
          <cell r="F183" t="e">
            <v>#N/A</v>
          </cell>
          <cell r="G183" t="e">
            <v>#N/A</v>
          </cell>
          <cell r="H183" t="e">
            <v>#N/A</v>
          </cell>
          <cell r="I183" t="e">
            <v>#N/A</v>
          </cell>
          <cell r="J183" t="e">
            <v>#N/A</v>
          </cell>
          <cell r="K183" t="e">
            <v>#N/A</v>
          </cell>
          <cell r="L183" t="e">
            <v>#N/A</v>
          </cell>
          <cell r="M183" t="e">
            <v>#N/A</v>
          </cell>
          <cell r="N183" t="e">
            <v>#N/A</v>
          </cell>
          <cell r="O183" t="e">
            <v>#N/A</v>
          </cell>
          <cell r="P183">
            <v>11.68</v>
          </cell>
          <cell r="Q183">
            <v>1.8359489999999998</v>
          </cell>
          <cell r="R183" t="e">
            <v>#N/A</v>
          </cell>
        </row>
        <row r="184">
          <cell r="A184">
            <v>40240</v>
          </cell>
          <cell r="B184">
            <v>40240</v>
          </cell>
          <cell r="C184" t="str">
            <v>Past</v>
          </cell>
          <cell r="D184">
            <v>11.62</v>
          </cell>
          <cell r="E184" t="e">
            <v>#N/A</v>
          </cell>
          <cell r="F184" t="e">
            <v>#N/A</v>
          </cell>
          <cell r="G184" t="e">
            <v>#N/A</v>
          </cell>
          <cell r="H184" t="e">
            <v>#N/A</v>
          </cell>
          <cell r="I184" t="e">
            <v>#N/A</v>
          </cell>
          <cell r="J184" t="e">
            <v>#N/A</v>
          </cell>
          <cell r="K184" t="e">
            <v>#N/A</v>
          </cell>
          <cell r="L184" t="e">
            <v>#N/A</v>
          </cell>
          <cell r="M184" t="e">
            <v>#N/A</v>
          </cell>
          <cell r="N184" t="e">
            <v>#N/A</v>
          </cell>
          <cell r="O184" t="e">
            <v>#N/A</v>
          </cell>
          <cell r="P184">
            <v>11.62</v>
          </cell>
          <cell r="Q184">
            <v>1.013161</v>
          </cell>
          <cell r="R184" t="e">
            <v>#N/A</v>
          </cell>
        </row>
        <row r="185">
          <cell r="A185">
            <v>40241</v>
          </cell>
          <cell r="B185">
            <v>40241</v>
          </cell>
          <cell r="C185" t="str">
            <v>Past</v>
          </cell>
          <cell r="D185">
            <v>11.6</v>
          </cell>
          <cell r="E185" t="e">
            <v>#N/A</v>
          </cell>
          <cell r="F185" t="e">
            <v>#N/A</v>
          </cell>
          <cell r="G185" t="e">
            <v>#N/A</v>
          </cell>
          <cell r="H185" t="e">
            <v>#N/A</v>
          </cell>
          <cell r="I185" t="e">
            <v>#N/A</v>
          </cell>
          <cell r="J185" t="e">
            <v>#N/A</v>
          </cell>
          <cell r="K185" t="e">
            <v>#N/A</v>
          </cell>
          <cell r="L185" t="e">
            <v>#N/A</v>
          </cell>
          <cell r="M185" t="e">
            <v>#N/A</v>
          </cell>
          <cell r="N185" t="e">
            <v>#N/A</v>
          </cell>
          <cell r="O185" t="e">
            <v>#N/A</v>
          </cell>
          <cell r="P185">
            <v>11.6</v>
          </cell>
          <cell r="Q185">
            <v>0.86625799999999997</v>
          </cell>
          <cell r="R185" t="e">
            <v>#N/A</v>
          </cell>
        </row>
        <row r="186">
          <cell r="A186">
            <v>40242</v>
          </cell>
          <cell r="B186">
            <v>40242</v>
          </cell>
          <cell r="C186" t="str">
            <v>Past</v>
          </cell>
          <cell r="D186">
            <v>11.7</v>
          </cell>
          <cell r="E186" t="e">
            <v>#N/A</v>
          </cell>
          <cell r="F186" t="e">
            <v>#N/A</v>
          </cell>
          <cell r="G186" t="e">
            <v>#N/A</v>
          </cell>
          <cell r="H186" t="e">
            <v>#N/A</v>
          </cell>
          <cell r="I186" t="e">
            <v>#N/A</v>
          </cell>
          <cell r="J186" t="e">
            <v>#N/A</v>
          </cell>
          <cell r="K186" t="e">
            <v>#N/A</v>
          </cell>
          <cell r="L186" t="e">
            <v>#N/A</v>
          </cell>
          <cell r="M186" t="e">
            <v>#N/A</v>
          </cell>
          <cell r="N186" t="e">
            <v>#N/A</v>
          </cell>
          <cell r="O186" t="e">
            <v>#N/A</v>
          </cell>
          <cell r="P186">
            <v>11.7</v>
          </cell>
          <cell r="Q186">
            <v>0.73514099999999993</v>
          </cell>
          <cell r="R186" t="e">
            <v>#N/A</v>
          </cell>
        </row>
        <row r="187">
          <cell r="A187">
            <v>40245</v>
          </cell>
          <cell r="B187">
            <v>40245</v>
          </cell>
          <cell r="C187" t="str">
            <v>Past</v>
          </cell>
          <cell r="D187">
            <v>11.65</v>
          </cell>
          <cell r="E187" t="e">
            <v>#N/A</v>
          </cell>
          <cell r="F187" t="e">
            <v>#N/A</v>
          </cell>
          <cell r="G187" t="e">
            <v>#N/A</v>
          </cell>
          <cell r="H187" t="e">
            <v>#N/A</v>
          </cell>
          <cell r="I187" t="e">
            <v>#N/A</v>
          </cell>
          <cell r="J187" t="e">
            <v>#N/A</v>
          </cell>
          <cell r="K187" t="e">
            <v>#N/A</v>
          </cell>
          <cell r="L187" t="e">
            <v>#N/A</v>
          </cell>
          <cell r="M187" t="e">
            <v>#N/A</v>
          </cell>
          <cell r="N187" t="e">
            <v>#N/A</v>
          </cell>
          <cell r="O187" t="e">
            <v>#N/A</v>
          </cell>
          <cell r="P187">
            <v>11.65</v>
          </cell>
          <cell r="Q187">
            <v>0.86661699999999997</v>
          </cell>
          <cell r="R187" t="e">
            <v>#N/A</v>
          </cell>
        </row>
        <row r="188">
          <cell r="A188">
            <v>40246</v>
          </cell>
          <cell r="B188">
            <v>40246</v>
          </cell>
          <cell r="C188" t="str">
            <v>Past</v>
          </cell>
          <cell r="D188">
            <v>11.72</v>
          </cell>
          <cell r="E188" t="e">
            <v>#N/A</v>
          </cell>
          <cell r="F188" t="e">
            <v>#N/A</v>
          </cell>
          <cell r="G188" t="e">
            <v>#N/A</v>
          </cell>
          <cell r="H188" t="e">
            <v>#N/A</v>
          </cell>
          <cell r="I188" t="e">
            <v>#N/A</v>
          </cell>
          <cell r="J188" t="e">
            <v>#N/A</v>
          </cell>
          <cell r="K188" t="e">
            <v>#N/A</v>
          </cell>
          <cell r="L188" t="e">
            <v>#N/A</v>
          </cell>
          <cell r="M188" t="e">
            <v>#N/A</v>
          </cell>
          <cell r="N188" t="e">
            <v>#N/A</v>
          </cell>
          <cell r="O188" t="e">
            <v>#N/A</v>
          </cell>
          <cell r="P188">
            <v>11.72</v>
          </cell>
          <cell r="Q188">
            <v>1.2221309999999999</v>
          </cell>
          <cell r="R188" t="e">
            <v>#N/A</v>
          </cell>
        </row>
        <row r="189">
          <cell r="A189">
            <v>40247</v>
          </cell>
          <cell r="B189">
            <v>40247</v>
          </cell>
          <cell r="C189" t="str">
            <v>Past</v>
          </cell>
          <cell r="D189">
            <v>11.6</v>
          </cell>
          <cell r="E189" t="e">
            <v>#N/A</v>
          </cell>
          <cell r="F189" t="e">
            <v>#N/A</v>
          </cell>
          <cell r="G189" t="e">
            <v>#N/A</v>
          </cell>
          <cell r="H189" t="e">
            <v>#N/A</v>
          </cell>
          <cell r="I189" t="e">
            <v>#N/A</v>
          </cell>
          <cell r="J189" t="e">
            <v>#N/A</v>
          </cell>
          <cell r="K189" t="e">
            <v>#N/A</v>
          </cell>
          <cell r="L189" t="e">
            <v>#N/A</v>
          </cell>
          <cell r="M189" t="e">
            <v>#N/A</v>
          </cell>
          <cell r="N189" t="e">
            <v>#N/A</v>
          </cell>
          <cell r="O189" t="e">
            <v>#N/A</v>
          </cell>
          <cell r="P189">
            <v>11.6</v>
          </cell>
          <cell r="Q189">
            <v>2.0219130000000001</v>
          </cell>
          <cell r="R189" t="e">
            <v>#N/A</v>
          </cell>
        </row>
        <row r="190">
          <cell r="A190">
            <v>40248</v>
          </cell>
          <cell r="B190">
            <v>40248</v>
          </cell>
          <cell r="C190" t="str">
            <v>Past</v>
          </cell>
          <cell r="D190">
            <v>11.72</v>
          </cell>
          <cell r="E190" t="e">
            <v>#N/A</v>
          </cell>
          <cell r="F190" t="e">
            <v>#N/A</v>
          </cell>
          <cell r="G190" t="e">
            <v>#N/A</v>
          </cell>
          <cell r="H190" t="e">
            <v>#N/A</v>
          </cell>
          <cell r="I190" t="e">
            <v>#N/A</v>
          </cell>
          <cell r="J190" t="e">
            <v>#N/A</v>
          </cell>
          <cell r="K190" t="e">
            <v>#N/A</v>
          </cell>
          <cell r="L190" t="e">
            <v>#N/A</v>
          </cell>
          <cell r="M190" t="e">
            <v>#N/A</v>
          </cell>
          <cell r="N190" t="e">
            <v>#N/A</v>
          </cell>
          <cell r="O190" t="e">
            <v>#N/A</v>
          </cell>
          <cell r="P190">
            <v>11.72</v>
          </cell>
          <cell r="Q190">
            <v>1.8552769999999998</v>
          </cell>
          <cell r="R190" t="e">
            <v>#N/A</v>
          </cell>
        </row>
        <row r="191">
          <cell r="A191">
            <v>40249</v>
          </cell>
          <cell r="B191">
            <v>40249</v>
          </cell>
          <cell r="C191" t="str">
            <v>Past</v>
          </cell>
          <cell r="D191">
            <v>11.69</v>
          </cell>
          <cell r="E191" t="e">
            <v>#N/A</v>
          </cell>
          <cell r="F191" t="e">
            <v>#N/A</v>
          </cell>
          <cell r="G191" t="e">
            <v>#N/A</v>
          </cell>
          <cell r="H191" t="e">
            <v>#N/A</v>
          </cell>
          <cell r="I191" t="e">
            <v>#N/A</v>
          </cell>
          <cell r="J191" t="e">
            <v>#N/A</v>
          </cell>
          <cell r="K191" t="e">
            <v>#N/A</v>
          </cell>
          <cell r="L191" t="e">
            <v>#N/A</v>
          </cell>
          <cell r="M191" t="e">
            <v>#N/A</v>
          </cell>
          <cell r="N191" t="e">
            <v>#N/A</v>
          </cell>
          <cell r="O191" t="e">
            <v>#N/A</v>
          </cell>
          <cell r="P191">
            <v>11.69</v>
          </cell>
          <cell r="Q191">
            <v>1.565866</v>
          </cell>
          <cell r="R191" t="e">
            <v>#N/A</v>
          </cell>
        </row>
        <row r="192">
          <cell r="A192">
            <v>40252</v>
          </cell>
          <cell r="B192">
            <v>40252</v>
          </cell>
          <cell r="C192" t="str">
            <v>Past</v>
          </cell>
          <cell r="D192">
            <v>11.76</v>
          </cell>
          <cell r="E192" t="e">
            <v>#N/A</v>
          </cell>
          <cell r="F192" t="e">
            <v>#N/A</v>
          </cell>
          <cell r="G192" t="e">
            <v>#N/A</v>
          </cell>
          <cell r="H192" t="e">
            <v>#N/A</v>
          </cell>
          <cell r="I192" t="e">
            <v>#N/A</v>
          </cell>
          <cell r="J192" t="e">
            <v>#N/A</v>
          </cell>
          <cell r="K192" t="e">
            <v>#N/A</v>
          </cell>
          <cell r="L192" t="e">
            <v>#N/A</v>
          </cell>
          <cell r="M192" t="e">
            <v>#N/A</v>
          </cell>
          <cell r="N192" t="e">
            <v>#N/A</v>
          </cell>
          <cell r="O192" t="e">
            <v>#N/A</v>
          </cell>
          <cell r="P192">
            <v>11.76</v>
          </cell>
          <cell r="Q192">
            <v>1.1150229999999999</v>
          </cell>
          <cell r="R192" t="e">
            <v>#N/A</v>
          </cell>
        </row>
        <row r="193">
          <cell r="A193">
            <v>40253</v>
          </cell>
          <cell r="B193">
            <v>40253</v>
          </cell>
          <cell r="C193" t="str">
            <v>Past</v>
          </cell>
          <cell r="D193">
            <v>11.93</v>
          </cell>
          <cell r="E193" t="e">
            <v>#N/A</v>
          </cell>
          <cell r="F193" t="e">
            <v>#N/A</v>
          </cell>
          <cell r="G193" t="e">
            <v>#N/A</v>
          </cell>
          <cell r="H193" t="e">
            <v>#N/A</v>
          </cell>
          <cell r="I193" t="e">
            <v>#N/A</v>
          </cell>
          <cell r="J193" t="e">
            <v>#N/A</v>
          </cell>
          <cell r="K193" t="e">
            <v>#N/A</v>
          </cell>
          <cell r="L193" t="e">
            <v>#N/A</v>
          </cell>
          <cell r="M193" t="e">
            <v>#N/A</v>
          </cell>
          <cell r="N193" t="e">
            <v>#N/A</v>
          </cell>
          <cell r="O193" t="e">
            <v>#N/A</v>
          </cell>
          <cell r="P193">
            <v>11.93</v>
          </cell>
          <cell r="Q193">
            <v>1.731938</v>
          </cell>
          <cell r="R193" t="e">
            <v>#N/A</v>
          </cell>
        </row>
        <row r="194">
          <cell r="A194">
            <v>40254</v>
          </cell>
          <cell r="B194">
            <v>40254</v>
          </cell>
          <cell r="C194" t="str">
            <v>Past</v>
          </cell>
          <cell r="D194">
            <v>12.02</v>
          </cell>
          <cell r="E194" t="e">
            <v>#N/A</v>
          </cell>
          <cell r="F194" t="e">
            <v>#N/A</v>
          </cell>
          <cell r="G194" t="e">
            <v>#N/A</v>
          </cell>
          <cell r="H194" t="e">
            <v>#N/A</v>
          </cell>
          <cell r="I194" t="e">
            <v>#N/A</v>
          </cell>
          <cell r="J194" t="e">
            <v>#N/A</v>
          </cell>
          <cell r="K194" t="e">
            <v>#N/A</v>
          </cell>
          <cell r="L194" t="e">
            <v>#N/A</v>
          </cell>
          <cell r="M194" t="e">
            <v>#N/A</v>
          </cell>
          <cell r="N194" t="e">
            <v>#N/A</v>
          </cell>
          <cell r="O194" t="e">
            <v>#N/A</v>
          </cell>
          <cell r="P194">
            <v>12.02</v>
          </cell>
          <cell r="Q194">
            <v>1.4566429999999999</v>
          </cell>
          <cell r="R194" t="e">
            <v>#N/A</v>
          </cell>
        </row>
        <row r="195">
          <cell r="A195">
            <v>40255</v>
          </cell>
          <cell r="B195">
            <v>40255</v>
          </cell>
          <cell r="C195" t="str">
            <v>Past</v>
          </cell>
          <cell r="D195">
            <v>12.03</v>
          </cell>
          <cell r="E195" t="e">
            <v>#N/A</v>
          </cell>
          <cell r="F195" t="e">
            <v>#N/A</v>
          </cell>
          <cell r="G195" t="e">
            <v>#N/A</v>
          </cell>
          <cell r="H195" t="e">
            <v>#N/A</v>
          </cell>
          <cell r="I195" t="e">
            <v>#N/A</v>
          </cell>
          <cell r="J195" t="e">
            <v>#N/A</v>
          </cell>
          <cell r="K195" t="e">
            <v>#N/A</v>
          </cell>
          <cell r="L195" t="e">
            <v>#N/A</v>
          </cell>
          <cell r="M195" t="e">
            <v>#N/A</v>
          </cell>
          <cell r="N195" t="e">
            <v>#N/A</v>
          </cell>
          <cell r="O195" t="e">
            <v>#N/A</v>
          </cell>
          <cell r="P195">
            <v>12.03</v>
          </cell>
          <cell r="Q195">
            <v>0.810307</v>
          </cell>
          <cell r="R195" t="e">
            <v>#N/A</v>
          </cell>
        </row>
        <row r="196">
          <cell r="A196">
            <v>40256</v>
          </cell>
          <cell r="B196">
            <v>40256</v>
          </cell>
          <cell r="C196" t="str">
            <v>Past</v>
          </cell>
          <cell r="D196">
            <v>12</v>
          </cell>
          <cell r="E196" t="e">
            <v>#N/A</v>
          </cell>
          <cell r="F196" t="e">
            <v>#N/A</v>
          </cell>
          <cell r="G196" t="e">
            <v>#N/A</v>
          </cell>
          <cell r="H196" t="e">
            <v>#N/A</v>
          </cell>
          <cell r="I196" t="e">
            <v>#N/A</v>
          </cell>
          <cell r="J196" t="e">
            <v>#N/A</v>
          </cell>
          <cell r="K196" t="e">
            <v>#N/A</v>
          </cell>
          <cell r="L196" t="e">
            <v>#N/A</v>
          </cell>
          <cell r="M196" t="e">
            <v>#N/A</v>
          </cell>
          <cell r="N196" t="e">
            <v>#N/A</v>
          </cell>
          <cell r="O196" t="e">
            <v>#N/A</v>
          </cell>
          <cell r="P196">
            <v>12</v>
          </cell>
          <cell r="Q196">
            <v>1.940742</v>
          </cell>
          <cell r="R196" t="e">
            <v>#N/A</v>
          </cell>
        </row>
        <row r="197">
          <cell r="A197">
            <v>40259</v>
          </cell>
          <cell r="B197">
            <v>40259</v>
          </cell>
          <cell r="C197" t="str">
            <v>Past</v>
          </cell>
          <cell r="D197">
            <v>12.07</v>
          </cell>
          <cell r="E197" t="e">
            <v>#N/A</v>
          </cell>
          <cell r="F197" t="e">
            <v>#N/A</v>
          </cell>
          <cell r="G197" t="e">
            <v>#N/A</v>
          </cell>
          <cell r="H197" t="e">
            <v>#N/A</v>
          </cell>
          <cell r="I197" t="e">
            <v>#N/A</v>
          </cell>
          <cell r="J197" t="e">
            <v>#N/A</v>
          </cell>
          <cell r="K197" t="e">
            <v>#N/A</v>
          </cell>
          <cell r="L197" t="e">
            <v>#N/A</v>
          </cell>
          <cell r="M197" t="e">
            <v>#N/A</v>
          </cell>
          <cell r="N197" t="e">
            <v>#N/A</v>
          </cell>
          <cell r="O197" t="e">
            <v>#N/A</v>
          </cell>
          <cell r="P197">
            <v>12.07</v>
          </cell>
          <cell r="Q197">
            <v>2.8972189999999998</v>
          </cell>
          <cell r="R197" t="e">
            <v>#N/A</v>
          </cell>
        </row>
        <row r="198">
          <cell r="A198">
            <v>40260</v>
          </cell>
          <cell r="B198">
            <v>40260</v>
          </cell>
          <cell r="C198" t="str">
            <v>Past</v>
          </cell>
          <cell r="D198">
            <v>12.1</v>
          </cell>
          <cell r="E198" t="e">
            <v>#N/A</v>
          </cell>
          <cell r="F198" t="e">
            <v>#N/A</v>
          </cell>
          <cell r="G198" t="e">
            <v>#N/A</v>
          </cell>
          <cell r="H198" t="e">
            <v>#N/A</v>
          </cell>
          <cell r="I198" t="e">
            <v>#N/A</v>
          </cell>
          <cell r="J198" t="e">
            <v>#N/A</v>
          </cell>
          <cell r="K198" t="e">
            <v>#N/A</v>
          </cell>
          <cell r="L198" t="e">
            <v>#N/A</v>
          </cell>
          <cell r="M198" t="e">
            <v>#N/A</v>
          </cell>
          <cell r="N198" t="e">
            <v>#N/A</v>
          </cell>
          <cell r="O198" t="e">
            <v>#N/A</v>
          </cell>
          <cell r="P198">
            <v>12.1</v>
          </cell>
          <cell r="Q198">
            <v>1.913257</v>
          </cell>
          <cell r="R198" t="e">
            <v>#N/A</v>
          </cell>
        </row>
        <row r="199">
          <cell r="A199">
            <v>40261</v>
          </cell>
          <cell r="B199">
            <v>40261</v>
          </cell>
          <cell r="C199" t="str">
            <v>Past</v>
          </cell>
          <cell r="D199">
            <v>11.93</v>
          </cell>
          <cell r="E199" t="e">
            <v>#N/A</v>
          </cell>
          <cell r="F199" t="e">
            <v>#N/A</v>
          </cell>
          <cell r="G199" t="e">
            <v>#N/A</v>
          </cell>
          <cell r="H199" t="e">
            <v>#N/A</v>
          </cell>
          <cell r="I199" t="e">
            <v>#N/A</v>
          </cell>
          <cell r="J199" t="e">
            <v>#N/A</v>
          </cell>
          <cell r="K199" t="e">
            <v>#N/A</v>
          </cell>
          <cell r="L199" t="e">
            <v>#N/A</v>
          </cell>
          <cell r="M199" t="e">
            <v>#N/A</v>
          </cell>
          <cell r="N199" t="e">
            <v>#N/A</v>
          </cell>
          <cell r="O199" t="e">
            <v>#N/A</v>
          </cell>
          <cell r="P199">
            <v>11.93</v>
          </cell>
          <cell r="Q199">
            <v>1.8157200000000002</v>
          </cell>
          <cell r="R199" t="e">
            <v>#N/A</v>
          </cell>
        </row>
        <row r="200">
          <cell r="A200">
            <v>40262</v>
          </cell>
          <cell r="B200">
            <v>40262</v>
          </cell>
          <cell r="C200" t="str">
            <v>Past</v>
          </cell>
          <cell r="D200">
            <v>11.8</v>
          </cell>
          <cell r="E200" t="e">
            <v>#N/A</v>
          </cell>
          <cell r="F200" t="e">
            <v>#N/A</v>
          </cell>
          <cell r="G200" t="e">
            <v>#N/A</v>
          </cell>
          <cell r="H200" t="e">
            <v>#N/A</v>
          </cell>
          <cell r="I200" t="e">
            <v>#N/A</v>
          </cell>
          <cell r="J200" t="e">
            <v>#N/A</v>
          </cell>
          <cell r="K200" t="e">
            <v>#N/A</v>
          </cell>
          <cell r="L200" t="e">
            <v>#N/A</v>
          </cell>
          <cell r="M200" t="e">
            <v>#N/A</v>
          </cell>
          <cell r="N200" t="e">
            <v>#N/A</v>
          </cell>
          <cell r="O200" t="e">
            <v>#N/A</v>
          </cell>
          <cell r="P200">
            <v>11.8</v>
          </cell>
          <cell r="Q200">
            <v>1.4980149999999999</v>
          </cell>
          <cell r="R200" t="e">
            <v>#N/A</v>
          </cell>
        </row>
        <row r="201">
          <cell r="A201">
            <v>40263</v>
          </cell>
          <cell r="B201">
            <v>40263</v>
          </cell>
          <cell r="C201" t="str">
            <v>Past</v>
          </cell>
          <cell r="D201">
            <v>12.2</v>
          </cell>
          <cell r="E201" t="e">
            <v>#N/A</v>
          </cell>
          <cell r="F201" t="e">
            <v>#N/A</v>
          </cell>
          <cell r="G201" t="e">
            <v>#N/A</v>
          </cell>
          <cell r="H201" t="e">
            <v>#N/A</v>
          </cell>
          <cell r="I201" t="e">
            <v>#N/A</v>
          </cell>
          <cell r="J201" t="e">
            <v>#N/A</v>
          </cell>
          <cell r="K201" t="e">
            <v>#N/A</v>
          </cell>
          <cell r="L201" t="e">
            <v>#N/A</v>
          </cell>
          <cell r="M201" t="e">
            <v>#N/A</v>
          </cell>
          <cell r="N201" t="e">
            <v>#N/A</v>
          </cell>
          <cell r="O201" t="e">
            <v>#N/A</v>
          </cell>
          <cell r="P201">
            <v>12.2</v>
          </cell>
          <cell r="Q201">
            <v>3.5113669999999999</v>
          </cell>
          <cell r="R201" t="e">
            <v>#N/A</v>
          </cell>
        </row>
        <row r="202">
          <cell r="A202">
            <v>40266</v>
          </cell>
          <cell r="B202">
            <v>40266</v>
          </cell>
          <cell r="C202" t="str">
            <v>Past</v>
          </cell>
          <cell r="D202">
            <v>12.33</v>
          </cell>
          <cell r="E202" t="e">
            <v>#N/A</v>
          </cell>
          <cell r="F202" t="e">
            <v>#N/A</v>
          </cell>
          <cell r="G202" t="e">
            <v>#N/A</v>
          </cell>
          <cell r="H202" t="e">
            <v>#N/A</v>
          </cell>
          <cell r="I202" t="e">
            <v>#N/A</v>
          </cell>
          <cell r="J202" t="e">
            <v>#N/A</v>
          </cell>
          <cell r="K202" t="e">
            <v>#N/A</v>
          </cell>
          <cell r="L202" t="e">
            <v>#N/A</v>
          </cell>
          <cell r="M202" t="e">
            <v>#N/A</v>
          </cell>
          <cell r="N202" t="e">
            <v>#N/A</v>
          </cell>
          <cell r="O202" t="e">
            <v>#N/A</v>
          </cell>
          <cell r="P202">
            <v>12.33</v>
          </cell>
          <cell r="Q202">
            <v>0.98394199999999998</v>
          </cell>
          <cell r="R202" t="e">
            <v>#N/A</v>
          </cell>
        </row>
        <row r="203">
          <cell r="A203">
            <v>40267</v>
          </cell>
          <cell r="B203">
            <v>40267</v>
          </cell>
          <cell r="C203" t="str">
            <v>Past</v>
          </cell>
          <cell r="D203">
            <v>12.39</v>
          </cell>
          <cell r="E203" t="e">
            <v>#N/A</v>
          </cell>
          <cell r="F203" t="e">
            <v>#N/A</v>
          </cell>
          <cell r="G203" t="e">
            <v>#N/A</v>
          </cell>
          <cell r="H203" t="e">
            <v>#N/A</v>
          </cell>
          <cell r="I203" t="e">
            <v>#N/A</v>
          </cell>
          <cell r="J203" t="e">
            <v>#N/A</v>
          </cell>
          <cell r="K203" t="e">
            <v>#N/A</v>
          </cell>
          <cell r="L203" t="e">
            <v>#N/A</v>
          </cell>
          <cell r="M203" t="e">
            <v>#N/A</v>
          </cell>
          <cell r="N203" t="e">
            <v>#N/A</v>
          </cell>
          <cell r="O203" t="e">
            <v>#N/A</v>
          </cell>
          <cell r="P203">
            <v>12.39</v>
          </cell>
          <cell r="Q203">
            <v>1.0866149999999999</v>
          </cell>
          <cell r="R203" t="e">
            <v>#N/A</v>
          </cell>
        </row>
        <row r="204">
          <cell r="A204">
            <v>40268</v>
          </cell>
          <cell r="B204">
            <v>40268</v>
          </cell>
          <cell r="C204" t="str">
            <v>Past</v>
          </cell>
          <cell r="D204">
            <v>12.33</v>
          </cell>
          <cell r="E204" t="e">
            <v>#N/A</v>
          </cell>
          <cell r="F204" t="e">
            <v>#N/A</v>
          </cell>
          <cell r="G204" t="e">
            <v>#N/A</v>
          </cell>
          <cell r="H204" t="e">
            <v>#N/A</v>
          </cell>
          <cell r="I204" t="e">
            <v>#N/A</v>
          </cell>
          <cell r="J204" t="e">
            <v>#N/A</v>
          </cell>
          <cell r="K204" t="e">
            <v>#N/A</v>
          </cell>
          <cell r="L204" t="e">
            <v>#N/A</v>
          </cell>
          <cell r="M204" t="e">
            <v>#N/A</v>
          </cell>
          <cell r="N204" t="e">
            <v>#N/A</v>
          </cell>
          <cell r="O204" t="e">
            <v>#N/A</v>
          </cell>
          <cell r="P204">
            <v>12.33</v>
          </cell>
          <cell r="Q204">
            <v>1.941349</v>
          </cell>
          <cell r="R204" t="e">
            <v>#N/A</v>
          </cell>
        </row>
        <row r="205">
          <cell r="A205">
            <v>40269</v>
          </cell>
          <cell r="B205">
            <v>40269</v>
          </cell>
          <cell r="C205" t="str">
            <v>Past</v>
          </cell>
          <cell r="D205">
            <v>12.37</v>
          </cell>
          <cell r="E205" t="e">
            <v>#N/A</v>
          </cell>
          <cell r="F205" t="e">
            <v>#N/A</v>
          </cell>
          <cell r="G205" t="e">
            <v>#N/A</v>
          </cell>
          <cell r="H205" t="e">
            <v>#N/A</v>
          </cell>
          <cell r="I205" t="e">
            <v>#N/A</v>
          </cell>
          <cell r="J205" t="e">
            <v>#N/A</v>
          </cell>
          <cell r="K205" t="e">
            <v>#N/A</v>
          </cell>
          <cell r="L205" t="e">
            <v>#N/A</v>
          </cell>
          <cell r="M205" t="e">
            <v>#N/A</v>
          </cell>
          <cell r="N205" t="e">
            <v>#N/A</v>
          </cell>
          <cell r="O205" t="e">
            <v>#N/A</v>
          </cell>
          <cell r="P205">
            <v>12.37</v>
          </cell>
          <cell r="Q205">
            <v>1.3437249999999998</v>
          </cell>
          <cell r="R205" t="e">
            <v>#N/A</v>
          </cell>
        </row>
        <row r="206">
          <cell r="A206">
            <v>40273</v>
          </cell>
          <cell r="B206">
            <v>40273</v>
          </cell>
          <cell r="C206" t="str">
            <v>Past</v>
          </cell>
          <cell r="D206">
            <v>12.49</v>
          </cell>
          <cell r="E206" t="e">
            <v>#N/A</v>
          </cell>
          <cell r="F206" t="e">
            <v>#N/A</v>
          </cell>
          <cell r="G206" t="e">
            <v>#N/A</v>
          </cell>
          <cell r="H206" t="e">
            <v>#N/A</v>
          </cell>
          <cell r="I206" t="e">
            <v>#N/A</v>
          </cell>
          <cell r="J206" t="e">
            <v>#N/A</v>
          </cell>
          <cell r="K206" t="e">
            <v>#N/A</v>
          </cell>
          <cell r="L206" t="e">
            <v>#N/A</v>
          </cell>
          <cell r="M206" t="e">
            <v>#N/A</v>
          </cell>
          <cell r="N206" t="e">
            <v>#N/A</v>
          </cell>
          <cell r="O206" t="e">
            <v>#N/A</v>
          </cell>
          <cell r="P206">
            <v>12.49</v>
          </cell>
          <cell r="Q206">
            <v>0.89013000000000009</v>
          </cell>
          <cell r="R206" t="e">
            <v>#N/A</v>
          </cell>
        </row>
        <row r="207">
          <cell r="A207">
            <v>40274</v>
          </cell>
          <cell r="B207">
            <v>40274</v>
          </cell>
          <cell r="C207" t="str">
            <v>Past</v>
          </cell>
          <cell r="D207">
            <v>12.58</v>
          </cell>
          <cell r="E207" t="e">
            <v>#N/A</v>
          </cell>
          <cell r="F207" t="e">
            <v>#N/A</v>
          </cell>
          <cell r="G207" t="e">
            <v>#N/A</v>
          </cell>
          <cell r="H207" t="e">
            <v>#N/A</v>
          </cell>
          <cell r="I207" t="e">
            <v>#N/A</v>
          </cell>
          <cell r="J207" t="e">
            <v>#N/A</v>
          </cell>
          <cell r="K207" t="e">
            <v>#N/A</v>
          </cell>
          <cell r="L207" t="e">
            <v>#N/A</v>
          </cell>
          <cell r="M207" t="e">
            <v>#N/A</v>
          </cell>
          <cell r="N207" t="e">
            <v>#N/A</v>
          </cell>
          <cell r="O207" t="e">
            <v>#N/A</v>
          </cell>
          <cell r="P207">
            <v>12.58</v>
          </cell>
          <cell r="Q207">
            <v>1.018416</v>
          </cell>
          <cell r="R207" t="e">
            <v>#N/A</v>
          </cell>
        </row>
        <row r="208">
          <cell r="A208">
            <v>40275</v>
          </cell>
          <cell r="B208">
            <v>40275</v>
          </cell>
          <cell r="C208" t="str">
            <v>Past</v>
          </cell>
          <cell r="D208">
            <v>12.44</v>
          </cell>
          <cell r="E208" t="e">
            <v>#N/A</v>
          </cell>
          <cell r="F208" t="e">
            <v>#N/A</v>
          </cell>
          <cell r="G208" t="e">
            <v>#N/A</v>
          </cell>
          <cell r="H208" t="e">
            <v>#N/A</v>
          </cell>
          <cell r="I208" t="e">
            <v>#N/A</v>
          </cell>
          <cell r="J208" t="e">
            <v>#N/A</v>
          </cell>
          <cell r="K208" t="e">
            <v>#N/A</v>
          </cell>
          <cell r="L208" t="e">
            <v>#N/A</v>
          </cell>
          <cell r="M208" t="e">
            <v>#N/A</v>
          </cell>
          <cell r="N208" t="e">
            <v>#N/A</v>
          </cell>
          <cell r="O208" t="e">
            <v>#N/A</v>
          </cell>
          <cell r="P208">
            <v>12.44</v>
          </cell>
          <cell r="Q208">
            <v>0.93972099999999992</v>
          </cell>
          <cell r="R208" t="e">
            <v>#N/A</v>
          </cell>
        </row>
        <row r="209">
          <cell r="A209">
            <v>40276</v>
          </cell>
          <cell r="B209">
            <v>40276</v>
          </cell>
          <cell r="C209" t="str">
            <v>Past</v>
          </cell>
          <cell r="D209">
            <v>12.3</v>
          </cell>
          <cell r="E209" t="e">
            <v>#N/A</v>
          </cell>
          <cell r="F209" t="e">
            <v>#N/A</v>
          </cell>
          <cell r="G209" t="e">
            <v>#N/A</v>
          </cell>
          <cell r="H209" t="e">
            <v>#N/A</v>
          </cell>
          <cell r="I209" t="e">
            <v>#N/A</v>
          </cell>
          <cell r="J209" t="e">
            <v>#N/A</v>
          </cell>
          <cell r="K209" t="e">
            <v>#N/A</v>
          </cell>
          <cell r="L209" t="e">
            <v>#N/A</v>
          </cell>
          <cell r="M209" t="e">
            <v>#N/A</v>
          </cell>
          <cell r="N209" t="e">
            <v>#N/A</v>
          </cell>
          <cell r="O209" t="e">
            <v>#N/A</v>
          </cell>
          <cell r="P209">
            <v>12.3</v>
          </cell>
          <cell r="Q209">
            <v>0.7571500000000001</v>
          </cell>
          <cell r="R209" t="e">
            <v>#N/A</v>
          </cell>
        </row>
        <row r="210">
          <cell r="A210">
            <v>40277</v>
          </cell>
          <cell r="B210">
            <v>40277</v>
          </cell>
          <cell r="C210" t="str">
            <v>Past</v>
          </cell>
          <cell r="D210">
            <v>12.29</v>
          </cell>
          <cell r="E210" t="e">
            <v>#N/A</v>
          </cell>
          <cell r="F210" t="e">
            <v>#N/A</v>
          </cell>
          <cell r="G210" t="e">
            <v>#N/A</v>
          </cell>
          <cell r="H210" t="e">
            <v>#N/A</v>
          </cell>
          <cell r="I210" t="e">
            <v>#N/A</v>
          </cell>
          <cell r="J210" t="e">
            <v>#N/A</v>
          </cell>
          <cell r="K210" t="e">
            <v>#N/A</v>
          </cell>
          <cell r="L210" t="e">
            <v>#N/A</v>
          </cell>
          <cell r="M210" t="e">
            <v>#N/A</v>
          </cell>
          <cell r="N210" t="e">
            <v>#N/A</v>
          </cell>
          <cell r="O210" t="e">
            <v>#N/A</v>
          </cell>
          <cell r="P210">
            <v>12.29</v>
          </cell>
          <cell r="Q210">
            <v>1.188437</v>
          </cell>
          <cell r="R210" t="e">
            <v>#N/A</v>
          </cell>
        </row>
        <row r="211">
          <cell r="A211">
            <v>40280</v>
          </cell>
          <cell r="B211">
            <v>40280</v>
          </cell>
          <cell r="C211" t="str">
            <v>Past</v>
          </cell>
          <cell r="D211">
            <v>12.45</v>
          </cell>
          <cell r="E211" t="e">
            <v>#N/A</v>
          </cell>
          <cell r="F211" t="e">
            <v>#N/A</v>
          </cell>
          <cell r="G211" t="e">
            <v>#N/A</v>
          </cell>
          <cell r="H211" t="e">
            <v>#N/A</v>
          </cell>
          <cell r="I211" t="e">
            <v>#N/A</v>
          </cell>
          <cell r="J211" t="e">
            <v>#N/A</v>
          </cell>
          <cell r="K211" t="e">
            <v>#N/A</v>
          </cell>
          <cell r="L211" t="e">
            <v>#N/A</v>
          </cell>
          <cell r="M211" t="e">
            <v>#N/A</v>
          </cell>
          <cell r="N211" t="e">
            <v>#N/A</v>
          </cell>
          <cell r="O211" t="e">
            <v>#N/A</v>
          </cell>
          <cell r="P211">
            <v>12.45</v>
          </cell>
          <cell r="Q211">
            <v>1.376951</v>
          </cell>
          <cell r="R211" t="e">
            <v>#N/A</v>
          </cell>
        </row>
        <row r="212">
          <cell r="A212">
            <v>40281</v>
          </cell>
          <cell r="B212">
            <v>40281</v>
          </cell>
          <cell r="C212" t="str">
            <v>Past</v>
          </cell>
          <cell r="D212">
            <v>12.35</v>
          </cell>
          <cell r="E212" t="e">
            <v>#N/A</v>
          </cell>
          <cell r="F212" t="e">
            <v>#N/A</v>
          </cell>
          <cell r="G212" t="e">
            <v>#N/A</v>
          </cell>
          <cell r="H212" t="e">
            <v>#N/A</v>
          </cell>
          <cell r="I212" t="e">
            <v>#N/A</v>
          </cell>
          <cell r="J212" t="e">
            <v>#N/A</v>
          </cell>
          <cell r="K212" t="e">
            <v>#N/A</v>
          </cell>
          <cell r="L212" t="e">
            <v>#N/A</v>
          </cell>
          <cell r="M212" t="e">
            <v>#N/A</v>
          </cell>
          <cell r="N212" t="e">
            <v>#N/A</v>
          </cell>
          <cell r="O212" t="e">
            <v>#N/A</v>
          </cell>
          <cell r="P212">
            <v>12.35</v>
          </cell>
          <cell r="Q212">
            <v>1.2989089999999999</v>
          </cell>
          <cell r="R212" t="e">
            <v>#N/A</v>
          </cell>
        </row>
        <row r="213">
          <cell r="A213">
            <v>40282</v>
          </cell>
          <cell r="B213">
            <v>40282</v>
          </cell>
          <cell r="C213" t="str">
            <v>Past</v>
          </cell>
          <cell r="D213">
            <v>12.52</v>
          </cell>
          <cell r="E213" t="e">
            <v>#N/A</v>
          </cell>
          <cell r="F213" t="e">
            <v>#N/A</v>
          </cell>
          <cell r="G213" t="e">
            <v>#N/A</v>
          </cell>
          <cell r="H213" t="e">
            <v>#N/A</v>
          </cell>
          <cell r="I213" t="e">
            <v>#N/A</v>
          </cell>
          <cell r="J213" t="e">
            <v>#N/A</v>
          </cell>
          <cell r="K213" t="e">
            <v>#N/A</v>
          </cell>
          <cell r="L213" t="e">
            <v>#N/A</v>
          </cell>
          <cell r="M213" t="e">
            <v>#N/A</v>
          </cell>
          <cell r="N213" t="e">
            <v>#N/A</v>
          </cell>
          <cell r="O213" t="e">
            <v>#N/A</v>
          </cell>
          <cell r="P213">
            <v>12.52</v>
          </cell>
          <cell r="Q213">
            <v>2.1197759999999999</v>
          </cell>
          <cell r="R213" t="e">
            <v>#N/A</v>
          </cell>
        </row>
        <row r="214">
          <cell r="A214">
            <v>40283</v>
          </cell>
          <cell r="B214">
            <v>40283</v>
          </cell>
          <cell r="C214" t="str">
            <v>Past</v>
          </cell>
          <cell r="D214">
            <v>12.46</v>
          </cell>
          <cell r="E214" t="e">
            <v>#N/A</v>
          </cell>
          <cell r="F214" t="e">
            <v>#N/A</v>
          </cell>
          <cell r="G214" t="e">
            <v>#N/A</v>
          </cell>
          <cell r="H214" t="e">
            <v>#N/A</v>
          </cell>
          <cell r="I214" t="e">
            <v>#N/A</v>
          </cell>
          <cell r="J214" t="e">
            <v>#N/A</v>
          </cell>
          <cell r="K214" t="e">
            <v>#N/A</v>
          </cell>
          <cell r="L214" t="e">
            <v>#N/A</v>
          </cell>
          <cell r="M214" t="e">
            <v>#N/A</v>
          </cell>
          <cell r="N214" t="e">
            <v>#N/A</v>
          </cell>
          <cell r="O214" t="e">
            <v>#N/A</v>
          </cell>
          <cell r="P214">
            <v>12.46</v>
          </cell>
          <cell r="Q214">
            <v>1.5679889999999999</v>
          </cell>
          <cell r="R214" t="e">
            <v>#N/A</v>
          </cell>
        </row>
        <row r="215">
          <cell r="A215">
            <v>40284</v>
          </cell>
          <cell r="B215">
            <v>40284</v>
          </cell>
          <cell r="C215" t="str">
            <v>Past</v>
          </cell>
          <cell r="D215">
            <v>12.26</v>
          </cell>
          <cell r="E215" t="e">
            <v>#N/A</v>
          </cell>
          <cell r="F215" t="e">
            <v>#N/A</v>
          </cell>
          <cell r="G215" t="e">
            <v>#N/A</v>
          </cell>
          <cell r="H215" t="e">
            <v>#N/A</v>
          </cell>
          <cell r="I215" t="e">
            <v>#N/A</v>
          </cell>
          <cell r="J215" t="e">
            <v>#N/A</v>
          </cell>
          <cell r="K215" t="e">
            <v>#N/A</v>
          </cell>
          <cell r="L215" t="e">
            <v>#N/A</v>
          </cell>
          <cell r="M215" t="e">
            <v>#N/A</v>
          </cell>
          <cell r="N215" t="e">
            <v>#N/A</v>
          </cell>
          <cell r="O215" t="e">
            <v>#N/A</v>
          </cell>
          <cell r="P215">
            <v>12.26</v>
          </cell>
          <cell r="Q215">
            <v>1.6249600000000002</v>
          </cell>
          <cell r="R215" t="e">
            <v>#N/A</v>
          </cell>
        </row>
        <row r="216">
          <cell r="A216">
            <v>40287</v>
          </cell>
          <cell r="B216">
            <v>40287</v>
          </cell>
          <cell r="C216" t="str">
            <v>Past</v>
          </cell>
          <cell r="D216">
            <v>12.32</v>
          </cell>
          <cell r="E216" t="e">
            <v>#N/A</v>
          </cell>
          <cell r="F216" t="e">
            <v>#N/A</v>
          </cell>
          <cell r="G216" t="e">
            <v>#N/A</v>
          </cell>
          <cell r="H216" t="e">
            <v>#N/A</v>
          </cell>
          <cell r="I216" t="e">
            <v>#N/A</v>
          </cell>
          <cell r="J216" t="e">
            <v>#N/A</v>
          </cell>
          <cell r="K216" t="e">
            <v>#N/A</v>
          </cell>
          <cell r="L216" t="e">
            <v>#N/A</v>
          </cell>
          <cell r="M216" t="e">
            <v>#N/A</v>
          </cell>
          <cell r="N216" t="e">
            <v>#N/A</v>
          </cell>
          <cell r="O216" t="e">
            <v>#N/A</v>
          </cell>
          <cell r="P216">
            <v>12.32</v>
          </cell>
          <cell r="Q216">
            <v>2.0003889999999998</v>
          </cell>
          <cell r="R216" t="e">
            <v>#N/A</v>
          </cell>
        </row>
        <row r="217">
          <cell r="A217">
            <v>40288</v>
          </cell>
          <cell r="B217">
            <v>40288</v>
          </cell>
          <cell r="C217" t="str">
            <v>Past</v>
          </cell>
          <cell r="D217">
            <v>12.52</v>
          </cell>
          <cell r="E217" t="e">
            <v>#N/A</v>
          </cell>
          <cell r="F217" t="e">
            <v>#N/A</v>
          </cell>
          <cell r="G217" t="e">
            <v>#N/A</v>
          </cell>
          <cell r="H217" t="e">
            <v>#N/A</v>
          </cell>
          <cell r="I217" t="e">
            <v>#N/A</v>
          </cell>
          <cell r="J217" t="e">
            <v>#N/A</v>
          </cell>
          <cell r="K217" t="e">
            <v>#N/A</v>
          </cell>
          <cell r="L217" t="e">
            <v>#N/A</v>
          </cell>
          <cell r="M217" t="e">
            <v>#N/A</v>
          </cell>
          <cell r="N217" t="e">
            <v>#N/A</v>
          </cell>
          <cell r="O217" t="e">
            <v>#N/A</v>
          </cell>
          <cell r="P217">
            <v>12.52</v>
          </cell>
          <cell r="Q217">
            <v>1.9799049999999998</v>
          </cell>
          <cell r="R217" t="e">
            <v>#N/A</v>
          </cell>
        </row>
        <row r="218">
          <cell r="A218">
            <v>40289</v>
          </cell>
          <cell r="B218">
            <v>40289</v>
          </cell>
          <cell r="C218" t="str">
            <v>Past</v>
          </cell>
          <cell r="D218">
            <v>12.68</v>
          </cell>
          <cell r="E218" t="e">
            <v>#N/A</v>
          </cell>
          <cell r="F218" t="e">
            <v>#N/A</v>
          </cell>
          <cell r="G218" t="e">
            <v>#N/A</v>
          </cell>
          <cell r="H218" t="e">
            <v>#N/A</v>
          </cell>
          <cell r="I218" t="e">
            <v>#N/A</v>
          </cell>
          <cell r="J218" t="e">
            <v>#N/A</v>
          </cell>
          <cell r="K218" t="e">
            <v>#N/A</v>
          </cell>
          <cell r="L218" t="e">
            <v>#N/A</v>
          </cell>
          <cell r="M218" t="e">
            <v>#N/A</v>
          </cell>
          <cell r="N218" t="e">
            <v>#N/A</v>
          </cell>
          <cell r="O218" t="e">
            <v>#N/A</v>
          </cell>
          <cell r="P218">
            <v>12.68</v>
          </cell>
          <cell r="Q218">
            <v>1.3910549999999999</v>
          </cell>
          <cell r="R218" t="e">
            <v>#N/A</v>
          </cell>
        </row>
        <row r="219">
          <cell r="A219">
            <v>40290</v>
          </cell>
          <cell r="B219">
            <v>40290</v>
          </cell>
          <cell r="C219" t="str">
            <v>Past</v>
          </cell>
          <cell r="D219">
            <v>12.67</v>
          </cell>
          <cell r="E219" t="e">
            <v>#N/A</v>
          </cell>
          <cell r="F219" t="e">
            <v>#N/A</v>
          </cell>
          <cell r="G219" t="e">
            <v>#N/A</v>
          </cell>
          <cell r="H219" t="e">
            <v>#N/A</v>
          </cell>
          <cell r="I219" t="e">
            <v>#N/A</v>
          </cell>
          <cell r="J219" t="e">
            <v>#N/A</v>
          </cell>
          <cell r="K219" t="e">
            <v>#N/A</v>
          </cell>
          <cell r="L219" t="e">
            <v>#N/A</v>
          </cell>
          <cell r="M219" t="e">
            <v>#N/A</v>
          </cell>
          <cell r="N219" t="e">
            <v>#N/A</v>
          </cell>
          <cell r="O219" t="e">
            <v>#N/A</v>
          </cell>
          <cell r="P219">
            <v>12.67</v>
          </cell>
          <cell r="Q219">
            <v>1.328667</v>
          </cell>
          <cell r="R219" t="e">
            <v>#N/A</v>
          </cell>
        </row>
        <row r="220">
          <cell r="A220">
            <v>40291</v>
          </cell>
          <cell r="B220">
            <v>40291</v>
          </cell>
          <cell r="C220" t="str">
            <v>Past</v>
          </cell>
          <cell r="D220">
            <v>12.8</v>
          </cell>
          <cell r="E220" t="e">
            <v>#N/A</v>
          </cell>
          <cell r="F220" t="e">
            <v>#N/A</v>
          </cell>
          <cell r="G220" t="e">
            <v>#N/A</v>
          </cell>
          <cell r="H220" t="e">
            <v>#N/A</v>
          </cell>
          <cell r="I220" t="e">
            <v>#N/A</v>
          </cell>
          <cell r="J220" t="e">
            <v>#N/A</v>
          </cell>
          <cell r="K220" t="e">
            <v>#N/A</v>
          </cell>
          <cell r="L220" t="e">
            <v>#N/A</v>
          </cell>
          <cell r="M220" t="e">
            <v>#N/A</v>
          </cell>
          <cell r="N220" t="e">
            <v>#N/A</v>
          </cell>
          <cell r="O220" t="e">
            <v>#N/A</v>
          </cell>
          <cell r="P220">
            <v>12.8</v>
          </cell>
          <cell r="Q220">
            <v>1.840479</v>
          </cell>
          <cell r="R220" t="e">
            <v>#N/A</v>
          </cell>
        </row>
        <row r="221">
          <cell r="A221">
            <v>40294</v>
          </cell>
          <cell r="B221">
            <v>40294</v>
          </cell>
          <cell r="C221" t="str">
            <v>Past</v>
          </cell>
          <cell r="D221">
            <v>12.83</v>
          </cell>
          <cell r="E221" t="e">
            <v>#N/A</v>
          </cell>
          <cell r="F221" t="e">
            <v>#N/A</v>
          </cell>
          <cell r="G221" t="e">
            <v>#N/A</v>
          </cell>
          <cell r="H221" t="e">
            <v>#N/A</v>
          </cell>
          <cell r="I221" t="e">
            <v>#N/A</v>
          </cell>
          <cell r="J221" t="e">
            <v>#N/A</v>
          </cell>
          <cell r="K221" t="e">
            <v>#N/A</v>
          </cell>
          <cell r="L221" t="e">
            <v>#N/A</v>
          </cell>
          <cell r="M221" t="e">
            <v>#N/A</v>
          </cell>
          <cell r="N221" t="e">
            <v>#N/A</v>
          </cell>
          <cell r="O221" t="e">
            <v>#N/A</v>
          </cell>
          <cell r="P221">
            <v>12.83</v>
          </cell>
          <cell r="Q221">
            <v>1.8009769999999998</v>
          </cell>
          <cell r="R221" t="e">
            <v>#N/A</v>
          </cell>
        </row>
        <row r="222">
          <cell r="A222">
            <v>40295</v>
          </cell>
          <cell r="B222">
            <v>40295</v>
          </cell>
          <cell r="C222" t="str">
            <v>Past</v>
          </cell>
          <cell r="D222">
            <v>12.5</v>
          </cell>
          <cell r="E222" t="e">
            <v>#N/A</v>
          </cell>
          <cell r="F222" t="e">
            <v>#N/A</v>
          </cell>
          <cell r="G222" t="e">
            <v>#N/A</v>
          </cell>
          <cell r="H222" t="e">
            <v>#N/A</v>
          </cell>
          <cell r="I222" t="e">
            <v>#N/A</v>
          </cell>
          <cell r="J222" t="e">
            <v>#N/A</v>
          </cell>
          <cell r="K222" t="e">
            <v>#N/A</v>
          </cell>
          <cell r="L222" t="e">
            <v>#N/A</v>
          </cell>
          <cell r="M222" t="e">
            <v>#N/A</v>
          </cell>
          <cell r="N222" t="e">
            <v>#N/A</v>
          </cell>
          <cell r="O222" t="e">
            <v>#N/A</v>
          </cell>
          <cell r="P222">
            <v>12.5</v>
          </cell>
          <cell r="Q222">
            <v>2.283982</v>
          </cell>
          <cell r="R222" t="e">
            <v>#N/A</v>
          </cell>
        </row>
        <row r="223">
          <cell r="A223">
            <v>40296</v>
          </cell>
          <cell r="B223">
            <v>40296</v>
          </cell>
          <cell r="C223" t="str">
            <v>Past</v>
          </cell>
          <cell r="D223">
            <v>12.57</v>
          </cell>
          <cell r="E223" t="e">
            <v>#N/A</v>
          </cell>
          <cell r="F223" t="e">
            <v>#N/A</v>
          </cell>
          <cell r="G223" t="e">
            <v>#N/A</v>
          </cell>
          <cell r="H223" t="e">
            <v>#N/A</v>
          </cell>
          <cell r="I223" t="e">
            <v>#N/A</v>
          </cell>
          <cell r="J223" t="e">
            <v>#N/A</v>
          </cell>
          <cell r="K223" t="e">
            <v>#N/A</v>
          </cell>
          <cell r="L223" t="e">
            <v>#N/A</v>
          </cell>
          <cell r="M223" t="e">
            <v>#N/A</v>
          </cell>
          <cell r="N223" t="e">
            <v>#N/A</v>
          </cell>
          <cell r="O223" t="e">
            <v>#N/A</v>
          </cell>
          <cell r="P223">
            <v>12.57</v>
          </cell>
          <cell r="Q223">
            <v>1.881316</v>
          </cell>
          <cell r="R223" t="e">
            <v>#N/A</v>
          </cell>
        </row>
        <row r="224">
          <cell r="A224">
            <v>40297</v>
          </cell>
          <cell r="B224">
            <v>40297</v>
          </cell>
          <cell r="C224" t="str">
            <v>Past</v>
          </cell>
          <cell r="D224">
            <v>12.61</v>
          </cell>
          <cell r="E224" t="e">
            <v>#N/A</v>
          </cell>
          <cell r="F224" t="e">
            <v>#N/A</v>
          </cell>
          <cell r="G224" t="e">
            <v>#N/A</v>
          </cell>
          <cell r="H224" t="e">
            <v>#N/A</v>
          </cell>
          <cell r="I224" t="e">
            <v>#N/A</v>
          </cell>
          <cell r="J224" t="e">
            <v>#N/A</v>
          </cell>
          <cell r="K224" t="e">
            <v>#N/A</v>
          </cell>
          <cell r="L224" t="e">
            <v>#N/A</v>
          </cell>
          <cell r="M224" t="e">
            <v>#N/A</v>
          </cell>
          <cell r="N224" t="e">
            <v>#N/A</v>
          </cell>
          <cell r="O224" t="e">
            <v>#N/A</v>
          </cell>
          <cell r="P224">
            <v>12.61</v>
          </cell>
          <cell r="Q224">
            <v>1.0299</v>
          </cell>
          <cell r="R224" t="e">
            <v>#N/A</v>
          </cell>
        </row>
        <row r="225">
          <cell r="A225">
            <v>40298</v>
          </cell>
          <cell r="B225">
            <v>40298</v>
          </cell>
          <cell r="C225" t="str">
            <v>Past</v>
          </cell>
          <cell r="D225">
            <v>12.49</v>
          </cell>
          <cell r="E225" t="e">
            <v>#N/A</v>
          </cell>
          <cell r="F225" t="e">
            <v>#N/A</v>
          </cell>
          <cell r="G225" t="e">
            <v>#N/A</v>
          </cell>
          <cell r="H225" t="e">
            <v>#N/A</v>
          </cell>
          <cell r="I225" t="e">
            <v>#N/A</v>
          </cell>
          <cell r="J225" t="e">
            <v>#N/A</v>
          </cell>
          <cell r="K225" t="e">
            <v>#N/A</v>
          </cell>
          <cell r="L225" t="e">
            <v>#N/A</v>
          </cell>
          <cell r="M225" t="e">
            <v>#N/A</v>
          </cell>
          <cell r="N225" t="e">
            <v>#N/A</v>
          </cell>
          <cell r="O225" t="e">
            <v>#N/A</v>
          </cell>
          <cell r="P225">
            <v>12.49</v>
          </cell>
          <cell r="Q225">
            <v>1.550983</v>
          </cell>
          <cell r="R225" t="e">
            <v>#N/A</v>
          </cell>
        </row>
        <row r="226">
          <cell r="A226">
            <v>40301</v>
          </cell>
          <cell r="B226">
            <v>40301</v>
          </cell>
          <cell r="C226" t="str">
            <v>Past</v>
          </cell>
          <cell r="D226">
            <v>12.74</v>
          </cell>
          <cell r="E226" t="e">
            <v>#N/A</v>
          </cell>
          <cell r="F226" t="e">
            <v>#N/A</v>
          </cell>
          <cell r="G226" t="e">
            <v>#N/A</v>
          </cell>
          <cell r="H226" t="e">
            <v>#N/A</v>
          </cell>
          <cell r="I226" t="e">
            <v>#N/A</v>
          </cell>
          <cell r="J226" t="e">
            <v>#N/A</v>
          </cell>
          <cell r="K226" t="e">
            <v>#N/A</v>
          </cell>
          <cell r="L226" t="e">
            <v>#N/A</v>
          </cell>
          <cell r="M226" t="e">
            <v>#N/A</v>
          </cell>
          <cell r="N226" t="e">
            <v>#N/A</v>
          </cell>
          <cell r="O226" t="e">
            <v>#N/A</v>
          </cell>
          <cell r="P226">
            <v>12.74</v>
          </cell>
          <cell r="Q226">
            <v>0.98091000000000006</v>
          </cell>
          <cell r="R226" t="e">
            <v>#N/A</v>
          </cell>
        </row>
        <row r="227">
          <cell r="A227">
            <v>40302</v>
          </cell>
          <cell r="B227">
            <v>40302</v>
          </cell>
          <cell r="C227" t="str">
            <v>Past</v>
          </cell>
          <cell r="D227">
            <v>12.55</v>
          </cell>
          <cell r="E227" t="e">
            <v>#N/A</v>
          </cell>
          <cell r="F227" t="e">
            <v>#N/A</v>
          </cell>
          <cell r="G227" t="e">
            <v>#N/A</v>
          </cell>
          <cell r="H227" t="e">
            <v>#N/A</v>
          </cell>
          <cell r="I227" t="e">
            <v>#N/A</v>
          </cell>
          <cell r="J227" t="e">
            <v>#N/A</v>
          </cell>
          <cell r="K227" t="e">
            <v>#N/A</v>
          </cell>
          <cell r="L227" t="e">
            <v>#N/A</v>
          </cell>
          <cell r="M227" t="e">
            <v>#N/A</v>
          </cell>
          <cell r="N227" t="e">
            <v>#N/A</v>
          </cell>
          <cell r="O227" t="e">
            <v>#N/A</v>
          </cell>
          <cell r="P227">
            <v>12.55</v>
          </cell>
          <cell r="Q227">
            <v>2.0831219999999999</v>
          </cell>
          <cell r="R227" t="e">
            <v>#N/A</v>
          </cell>
        </row>
        <row r="228">
          <cell r="A228">
            <v>40303</v>
          </cell>
          <cell r="B228">
            <v>40303</v>
          </cell>
          <cell r="C228" t="str">
            <v>Past</v>
          </cell>
          <cell r="D228">
            <v>12.32</v>
          </cell>
          <cell r="E228" t="e">
            <v>#N/A</v>
          </cell>
          <cell r="F228" t="e">
            <v>#N/A</v>
          </cell>
          <cell r="G228" t="e">
            <v>#N/A</v>
          </cell>
          <cell r="H228" t="e">
            <v>#N/A</v>
          </cell>
          <cell r="I228" t="e">
            <v>#N/A</v>
          </cell>
          <cell r="J228" t="e">
            <v>#N/A</v>
          </cell>
          <cell r="K228" t="e">
            <v>#N/A</v>
          </cell>
          <cell r="L228" t="e">
            <v>#N/A</v>
          </cell>
          <cell r="M228" t="e">
            <v>#N/A</v>
          </cell>
          <cell r="N228" t="e">
            <v>#N/A</v>
          </cell>
          <cell r="O228" t="e">
            <v>#N/A</v>
          </cell>
          <cell r="P228">
            <v>12.32</v>
          </cell>
          <cell r="Q228">
            <v>1.9299929999999998</v>
          </cell>
          <cell r="R228" t="e">
            <v>#N/A</v>
          </cell>
        </row>
        <row r="229">
          <cell r="A229">
            <v>40304</v>
          </cell>
          <cell r="B229">
            <v>40304</v>
          </cell>
          <cell r="C229" t="str">
            <v>Past</v>
          </cell>
          <cell r="D229">
            <v>11.84</v>
          </cell>
          <cell r="E229" t="e">
            <v>#N/A</v>
          </cell>
          <cell r="F229" t="e">
            <v>#N/A</v>
          </cell>
          <cell r="G229" t="e">
            <v>#N/A</v>
          </cell>
          <cell r="H229" t="e">
            <v>#N/A</v>
          </cell>
          <cell r="I229" t="e">
            <v>#N/A</v>
          </cell>
          <cell r="J229" t="e">
            <v>#N/A</v>
          </cell>
          <cell r="K229" t="e">
            <v>#N/A</v>
          </cell>
          <cell r="L229" t="e">
            <v>#N/A</v>
          </cell>
          <cell r="M229" t="e">
            <v>#N/A</v>
          </cell>
          <cell r="N229" t="e">
            <v>#N/A</v>
          </cell>
          <cell r="O229" t="e">
            <v>#N/A</v>
          </cell>
          <cell r="P229">
            <v>11.84</v>
          </cell>
          <cell r="Q229">
            <v>3.275773</v>
          </cell>
          <cell r="R229" t="e">
            <v>#N/A</v>
          </cell>
        </row>
        <row r="230">
          <cell r="A230">
            <v>40305</v>
          </cell>
          <cell r="B230">
            <v>40305</v>
          </cell>
          <cell r="C230" t="str">
            <v>Past</v>
          </cell>
          <cell r="D230">
            <v>11.95</v>
          </cell>
          <cell r="E230" t="e">
            <v>#N/A</v>
          </cell>
          <cell r="F230" t="e">
            <v>#N/A</v>
          </cell>
          <cell r="G230" t="e">
            <v>#N/A</v>
          </cell>
          <cell r="H230" t="e">
            <v>#N/A</v>
          </cell>
          <cell r="I230" t="e">
            <v>#N/A</v>
          </cell>
          <cell r="J230" t="e">
            <v>#N/A</v>
          </cell>
          <cell r="K230" t="e">
            <v>#N/A</v>
          </cell>
          <cell r="L230" t="e">
            <v>#N/A</v>
          </cell>
          <cell r="M230" t="e">
            <v>#N/A</v>
          </cell>
          <cell r="N230" t="e">
            <v>#N/A</v>
          </cell>
          <cell r="O230" t="e">
            <v>#N/A</v>
          </cell>
          <cell r="P230">
            <v>11.95</v>
          </cell>
          <cell r="Q230">
            <v>3.9817559999999999</v>
          </cell>
          <cell r="R230" t="e">
            <v>#N/A</v>
          </cell>
        </row>
        <row r="231">
          <cell r="A231">
            <v>40308</v>
          </cell>
          <cell r="B231">
            <v>40308</v>
          </cell>
          <cell r="C231" t="str">
            <v>Past</v>
          </cell>
          <cell r="D231">
            <v>12.42</v>
          </cell>
          <cell r="E231" t="e">
            <v>#N/A</v>
          </cell>
          <cell r="F231" t="e">
            <v>#N/A</v>
          </cell>
          <cell r="G231" t="e">
            <v>#N/A</v>
          </cell>
          <cell r="H231" t="e">
            <v>#N/A</v>
          </cell>
          <cell r="I231" t="e">
            <v>#N/A</v>
          </cell>
          <cell r="J231" t="e">
            <v>#N/A</v>
          </cell>
          <cell r="K231" t="e">
            <v>#N/A</v>
          </cell>
          <cell r="L231" t="e">
            <v>#N/A</v>
          </cell>
          <cell r="M231" t="e">
            <v>#N/A</v>
          </cell>
          <cell r="N231" t="e">
            <v>#N/A</v>
          </cell>
          <cell r="O231" t="e">
            <v>#N/A</v>
          </cell>
          <cell r="P231">
            <v>12.42</v>
          </cell>
          <cell r="Q231">
            <v>1.6023179999999999</v>
          </cell>
          <cell r="R231" t="e">
            <v>#N/A</v>
          </cell>
        </row>
        <row r="232">
          <cell r="A232">
            <v>40309</v>
          </cell>
          <cell r="B232">
            <v>40309</v>
          </cell>
          <cell r="C232" t="str">
            <v>Past</v>
          </cell>
          <cell r="D232">
            <v>12.46</v>
          </cell>
          <cell r="E232" t="e">
            <v>#N/A</v>
          </cell>
          <cell r="F232" t="e">
            <v>#N/A</v>
          </cell>
          <cell r="G232" t="e">
            <v>#N/A</v>
          </cell>
          <cell r="H232" t="e">
            <v>#N/A</v>
          </cell>
          <cell r="I232" t="e">
            <v>#N/A</v>
          </cell>
          <cell r="J232" t="e">
            <v>#N/A</v>
          </cell>
          <cell r="K232" t="e">
            <v>#N/A</v>
          </cell>
          <cell r="L232" t="e">
            <v>#N/A</v>
          </cell>
          <cell r="M232" t="e">
            <v>#N/A</v>
          </cell>
          <cell r="N232" t="e">
            <v>#N/A</v>
          </cell>
          <cell r="O232" t="e">
            <v>#N/A</v>
          </cell>
          <cell r="P232">
            <v>12.46</v>
          </cell>
          <cell r="Q232">
            <v>1.645672</v>
          </cell>
          <cell r="R232" t="e">
            <v>#N/A</v>
          </cell>
        </row>
        <row r="233">
          <cell r="A233">
            <v>40310</v>
          </cell>
          <cell r="B233">
            <v>40310</v>
          </cell>
          <cell r="C233" t="str">
            <v>Past</v>
          </cell>
          <cell r="D233">
            <v>12.74</v>
          </cell>
          <cell r="E233" t="e">
            <v>#N/A</v>
          </cell>
          <cell r="F233" t="e">
            <v>#N/A</v>
          </cell>
          <cell r="G233" t="e">
            <v>#N/A</v>
          </cell>
          <cell r="H233" t="e">
            <v>#N/A</v>
          </cell>
          <cell r="I233" t="e">
            <v>#N/A</v>
          </cell>
          <cell r="J233" t="e">
            <v>#N/A</v>
          </cell>
          <cell r="K233" t="e">
            <v>#N/A</v>
          </cell>
          <cell r="L233" t="e">
            <v>#N/A</v>
          </cell>
          <cell r="M233" t="e">
            <v>#N/A</v>
          </cell>
          <cell r="N233" t="e">
            <v>#N/A</v>
          </cell>
          <cell r="O233" t="e">
            <v>#N/A</v>
          </cell>
          <cell r="P233">
            <v>12.74</v>
          </cell>
          <cell r="Q233">
            <v>1.823553</v>
          </cell>
          <cell r="R233" t="e">
            <v>#N/A</v>
          </cell>
        </row>
        <row r="234">
          <cell r="A234">
            <v>40311</v>
          </cell>
          <cell r="B234">
            <v>40311</v>
          </cell>
          <cell r="C234" t="str">
            <v>Past</v>
          </cell>
          <cell r="D234">
            <v>12.56</v>
          </cell>
          <cell r="E234" t="e">
            <v>#N/A</v>
          </cell>
          <cell r="F234" t="e">
            <v>#N/A</v>
          </cell>
          <cell r="G234" t="e">
            <v>#N/A</v>
          </cell>
          <cell r="H234" t="e">
            <v>#N/A</v>
          </cell>
          <cell r="I234" t="e">
            <v>#N/A</v>
          </cell>
          <cell r="J234" t="e">
            <v>#N/A</v>
          </cell>
          <cell r="K234" t="e">
            <v>#N/A</v>
          </cell>
          <cell r="L234" t="e">
            <v>#N/A</v>
          </cell>
          <cell r="M234" t="e">
            <v>#N/A</v>
          </cell>
          <cell r="N234" t="e">
            <v>#N/A</v>
          </cell>
          <cell r="O234" t="e">
            <v>#N/A</v>
          </cell>
          <cell r="P234">
            <v>12.56</v>
          </cell>
          <cell r="Q234">
            <v>1.317496</v>
          </cell>
          <cell r="R234" t="e">
            <v>#N/A</v>
          </cell>
        </row>
        <row r="235">
          <cell r="A235">
            <v>40312</v>
          </cell>
          <cell r="B235">
            <v>40312</v>
          </cell>
          <cell r="C235" t="str">
            <v>Past</v>
          </cell>
          <cell r="D235">
            <v>12.41</v>
          </cell>
          <cell r="E235" t="e">
            <v>#N/A</v>
          </cell>
          <cell r="F235" t="e">
            <v>#N/A</v>
          </cell>
          <cell r="G235" t="e">
            <v>#N/A</v>
          </cell>
          <cell r="H235" t="e">
            <v>#N/A</v>
          </cell>
          <cell r="I235" t="e">
            <v>#N/A</v>
          </cell>
          <cell r="J235" t="e">
            <v>#N/A</v>
          </cell>
          <cell r="K235" t="e">
            <v>#N/A</v>
          </cell>
          <cell r="L235" t="e">
            <v>#N/A</v>
          </cell>
          <cell r="M235" t="e">
            <v>#N/A</v>
          </cell>
          <cell r="N235" t="e">
            <v>#N/A</v>
          </cell>
          <cell r="O235" t="e">
            <v>#N/A</v>
          </cell>
          <cell r="P235">
            <v>12.41</v>
          </cell>
          <cell r="Q235">
            <v>1.7794029999999998</v>
          </cell>
          <cell r="R235" t="e">
            <v>#N/A</v>
          </cell>
        </row>
        <row r="236">
          <cell r="A236">
            <v>40315</v>
          </cell>
          <cell r="B236">
            <v>40315</v>
          </cell>
          <cell r="C236" t="str">
            <v>Past</v>
          </cell>
          <cell r="D236">
            <v>12.35</v>
          </cell>
          <cell r="E236" t="e">
            <v>#N/A</v>
          </cell>
          <cell r="F236" t="e">
            <v>#N/A</v>
          </cell>
          <cell r="G236" t="e">
            <v>#N/A</v>
          </cell>
          <cell r="H236" t="e">
            <v>#N/A</v>
          </cell>
          <cell r="I236" t="e">
            <v>#N/A</v>
          </cell>
          <cell r="J236" t="e">
            <v>#N/A</v>
          </cell>
          <cell r="K236" t="e">
            <v>#N/A</v>
          </cell>
          <cell r="L236" t="e">
            <v>#N/A</v>
          </cell>
          <cell r="M236" t="e">
            <v>#N/A</v>
          </cell>
          <cell r="N236" t="e">
            <v>#N/A</v>
          </cell>
          <cell r="O236" t="e">
            <v>#N/A</v>
          </cell>
          <cell r="P236">
            <v>12.35</v>
          </cell>
          <cell r="Q236">
            <v>1.611421</v>
          </cell>
          <cell r="R236" t="e">
            <v>#N/A</v>
          </cell>
        </row>
        <row r="237">
          <cell r="A237">
            <v>40316</v>
          </cell>
          <cell r="B237">
            <v>40316</v>
          </cell>
          <cell r="C237" t="str">
            <v>Past</v>
          </cell>
          <cell r="D237">
            <v>12.25</v>
          </cell>
          <cell r="E237" t="e">
            <v>#N/A</v>
          </cell>
          <cell r="F237" t="e">
            <v>#N/A</v>
          </cell>
          <cell r="G237" t="e">
            <v>#N/A</v>
          </cell>
          <cell r="H237" t="e">
            <v>#N/A</v>
          </cell>
          <cell r="I237" t="e">
            <v>#N/A</v>
          </cell>
          <cell r="J237" t="e">
            <v>#N/A</v>
          </cell>
          <cell r="K237" t="e">
            <v>#N/A</v>
          </cell>
          <cell r="L237" t="e">
            <v>#N/A</v>
          </cell>
          <cell r="M237" t="e">
            <v>#N/A</v>
          </cell>
          <cell r="N237" t="e">
            <v>#N/A</v>
          </cell>
          <cell r="O237" t="e">
            <v>#N/A</v>
          </cell>
          <cell r="P237">
            <v>12.25</v>
          </cell>
          <cell r="Q237">
            <v>1.4101409999999999</v>
          </cell>
          <cell r="R237" t="e">
            <v>#N/A</v>
          </cell>
        </row>
        <row r="238">
          <cell r="A238">
            <v>40317</v>
          </cell>
          <cell r="B238">
            <v>40317</v>
          </cell>
          <cell r="C238" t="str">
            <v>Past</v>
          </cell>
          <cell r="D238">
            <v>12.12</v>
          </cell>
          <cell r="E238" t="e">
            <v>#N/A</v>
          </cell>
          <cell r="F238" t="e">
            <v>#N/A</v>
          </cell>
          <cell r="G238" t="e">
            <v>#N/A</v>
          </cell>
          <cell r="H238" t="e">
            <v>#N/A</v>
          </cell>
          <cell r="I238" t="e">
            <v>#N/A</v>
          </cell>
          <cell r="J238" t="e">
            <v>#N/A</v>
          </cell>
          <cell r="K238" t="e">
            <v>#N/A</v>
          </cell>
          <cell r="L238" t="e">
            <v>#N/A</v>
          </cell>
          <cell r="M238" t="e">
            <v>#N/A</v>
          </cell>
          <cell r="N238" t="e">
            <v>#N/A</v>
          </cell>
          <cell r="O238" t="e">
            <v>#N/A</v>
          </cell>
          <cell r="P238">
            <v>12.12</v>
          </cell>
          <cell r="Q238">
            <v>2.0616829999999999</v>
          </cell>
          <cell r="R238" t="e">
            <v>#N/A</v>
          </cell>
        </row>
        <row r="239">
          <cell r="A239">
            <v>40318</v>
          </cell>
          <cell r="B239">
            <v>40318</v>
          </cell>
          <cell r="C239" t="str">
            <v>Past</v>
          </cell>
          <cell r="D239">
            <v>11.77</v>
          </cell>
          <cell r="E239" t="e">
            <v>#N/A</v>
          </cell>
          <cell r="F239" t="e">
            <v>#N/A</v>
          </cell>
          <cell r="G239" t="e">
            <v>#N/A</v>
          </cell>
          <cell r="H239" t="e">
            <v>#N/A</v>
          </cell>
          <cell r="I239" t="e">
            <v>#N/A</v>
          </cell>
          <cell r="J239" t="e">
            <v>#N/A</v>
          </cell>
          <cell r="K239" t="e">
            <v>#N/A</v>
          </cell>
          <cell r="L239" t="e">
            <v>#N/A</v>
          </cell>
          <cell r="M239" t="e">
            <v>#N/A</v>
          </cell>
          <cell r="N239" t="e">
            <v>#N/A</v>
          </cell>
          <cell r="O239" t="e">
            <v>#N/A</v>
          </cell>
          <cell r="P239">
            <v>11.77</v>
          </cell>
          <cell r="Q239">
            <v>2.752262</v>
          </cell>
          <cell r="R239" t="e">
            <v>#N/A</v>
          </cell>
        </row>
        <row r="240">
          <cell r="A240">
            <v>40319</v>
          </cell>
          <cell r="B240">
            <v>40319</v>
          </cell>
          <cell r="C240" t="str">
            <v>Past</v>
          </cell>
          <cell r="D240">
            <v>11.89</v>
          </cell>
          <cell r="E240" t="e">
            <v>#N/A</v>
          </cell>
          <cell r="F240" t="e">
            <v>#N/A</v>
          </cell>
          <cell r="G240" t="e">
            <v>#N/A</v>
          </cell>
          <cell r="H240" t="e">
            <v>#N/A</v>
          </cell>
          <cell r="I240" t="e">
            <v>#N/A</v>
          </cell>
          <cell r="J240" t="e">
            <v>#N/A</v>
          </cell>
          <cell r="K240" t="e">
            <v>#N/A</v>
          </cell>
          <cell r="L240" t="e">
            <v>#N/A</v>
          </cell>
          <cell r="M240" t="e">
            <v>#N/A</v>
          </cell>
          <cell r="N240" t="e">
            <v>#N/A</v>
          </cell>
          <cell r="O240" t="e">
            <v>#N/A</v>
          </cell>
          <cell r="P240">
            <v>11.89</v>
          </cell>
          <cell r="Q240">
            <v>2.8777209999999998</v>
          </cell>
          <cell r="R240" t="e">
            <v>#N/A</v>
          </cell>
        </row>
        <row r="241">
          <cell r="A241">
            <v>40322</v>
          </cell>
          <cell r="B241">
            <v>40322</v>
          </cell>
          <cell r="C241" t="str">
            <v>Past</v>
          </cell>
          <cell r="D241">
            <v>11.81</v>
          </cell>
          <cell r="E241" t="e">
            <v>#N/A</v>
          </cell>
          <cell r="F241" t="e">
            <v>#N/A</v>
          </cell>
          <cell r="G241" t="e">
            <v>#N/A</v>
          </cell>
          <cell r="H241" t="e">
            <v>#N/A</v>
          </cell>
          <cell r="I241" t="e">
            <v>#N/A</v>
          </cell>
          <cell r="J241" t="e">
            <v>#N/A</v>
          </cell>
          <cell r="K241" t="e">
            <v>#N/A</v>
          </cell>
          <cell r="L241" t="e">
            <v>#N/A</v>
          </cell>
          <cell r="M241" t="e">
            <v>#N/A</v>
          </cell>
          <cell r="N241" t="e">
            <v>#N/A</v>
          </cell>
          <cell r="O241" t="e">
            <v>#N/A</v>
          </cell>
          <cell r="P241">
            <v>11.81</v>
          </cell>
          <cell r="Q241">
            <v>2.0820590000000001</v>
          </cell>
          <cell r="R241" t="e">
            <v>#N/A</v>
          </cell>
        </row>
        <row r="242">
          <cell r="A242">
            <v>40323</v>
          </cell>
          <cell r="B242">
            <v>40323</v>
          </cell>
          <cell r="C242" t="str">
            <v>Past</v>
          </cell>
          <cell r="D242">
            <v>11.69</v>
          </cell>
          <cell r="E242" t="e">
            <v>#N/A</v>
          </cell>
          <cell r="F242" t="e">
            <v>#N/A</v>
          </cell>
          <cell r="G242" t="e">
            <v>#N/A</v>
          </cell>
          <cell r="H242" t="e">
            <v>#N/A</v>
          </cell>
          <cell r="I242" t="e">
            <v>#N/A</v>
          </cell>
          <cell r="J242" t="e">
            <v>#N/A</v>
          </cell>
          <cell r="K242" t="e">
            <v>#N/A</v>
          </cell>
          <cell r="L242" t="e">
            <v>#N/A</v>
          </cell>
          <cell r="M242" t="e">
            <v>#N/A</v>
          </cell>
          <cell r="N242" t="e">
            <v>#N/A</v>
          </cell>
          <cell r="O242" t="e">
            <v>#N/A</v>
          </cell>
          <cell r="P242">
            <v>11.69</v>
          </cell>
          <cell r="Q242">
            <v>4.9853079999999999</v>
          </cell>
          <cell r="R242" t="e">
            <v>#N/A</v>
          </cell>
        </row>
        <row r="243">
          <cell r="A243">
            <v>40324</v>
          </cell>
          <cell r="B243">
            <v>40324</v>
          </cell>
          <cell r="C243" t="str">
            <v>Past</v>
          </cell>
          <cell r="D243">
            <v>11.78</v>
          </cell>
          <cell r="E243" t="e">
            <v>#N/A</v>
          </cell>
          <cell r="F243" t="e">
            <v>#N/A</v>
          </cell>
          <cell r="G243" t="e">
            <v>#N/A</v>
          </cell>
          <cell r="H243" t="e">
            <v>#N/A</v>
          </cell>
          <cell r="I243" t="e">
            <v>#N/A</v>
          </cell>
          <cell r="J243" t="e">
            <v>#N/A</v>
          </cell>
          <cell r="K243" t="e">
            <v>#N/A</v>
          </cell>
          <cell r="L243" t="e">
            <v>#N/A</v>
          </cell>
          <cell r="M243" t="e">
            <v>#N/A</v>
          </cell>
          <cell r="N243" t="e">
            <v>#N/A</v>
          </cell>
          <cell r="O243" t="e">
            <v>#N/A</v>
          </cell>
          <cell r="P243">
            <v>11.78</v>
          </cell>
          <cell r="Q243">
            <v>3.5629729999999999</v>
          </cell>
          <cell r="R243" t="e">
            <v>#N/A</v>
          </cell>
        </row>
        <row r="244">
          <cell r="A244">
            <v>40325</v>
          </cell>
          <cell r="B244">
            <v>40325</v>
          </cell>
          <cell r="C244" t="str">
            <v>Past</v>
          </cell>
          <cell r="D244">
            <v>11.69</v>
          </cell>
          <cell r="E244" t="e">
            <v>#N/A</v>
          </cell>
          <cell r="F244" t="e">
            <v>#N/A</v>
          </cell>
          <cell r="G244" t="e">
            <v>#N/A</v>
          </cell>
          <cell r="H244" t="e">
            <v>#N/A</v>
          </cell>
          <cell r="I244" t="e">
            <v>#N/A</v>
          </cell>
          <cell r="J244" t="e">
            <v>#N/A</v>
          </cell>
          <cell r="K244" t="e">
            <v>#N/A</v>
          </cell>
          <cell r="L244" t="e">
            <v>#N/A</v>
          </cell>
          <cell r="M244" t="e">
            <v>#N/A</v>
          </cell>
          <cell r="N244" t="e">
            <v>#N/A</v>
          </cell>
          <cell r="O244" t="e">
            <v>#N/A</v>
          </cell>
          <cell r="P244">
            <v>11.69</v>
          </cell>
          <cell r="Q244">
            <v>1.725136</v>
          </cell>
          <cell r="R244" t="e">
            <v>#N/A</v>
          </cell>
        </row>
        <row r="245">
          <cell r="A245">
            <v>40326</v>
          </cell>
          <cell r="B245">
            <v>40326</v>
          </cell>
          <cell r="C245" t="str">
            <v>Past</v>
          </cell>
          <cell r="D245">
            <v>11.79</v>
          </cell>
          <cell r="E245" t="e">
            <v>#N/A</v>
          </cell>
          <cell r="F245" t="e">
            <v>#N/A</v>
          </cell>
          <cell r="G245" t="e">
            <v>#N/A</v>
          </cell>
          <cell r="H245" t="e">
            <v>#N/A</v>
          </cell>
          <cell r="I245" t="e">
            <v>#N/A</v>
          </cell>
          <cell r="J245" t="e">
            <v>#N/A</v>
          </cell>
          <cell r="K245" t="e">
            <v>#N/A</v>
          </cell>
          <cell r="L245" t="e">
            <v>#N/A</v>
          </cell>
          <cell r="M245" t="e">
            <v>#N/A</v>
          </cell>
          <cell r="N245" t="e">
            <v>#N/A</v>
          </cell>
          <cell r="O245" t="e">
            <v>#N/A</v>
          </cell>
          <cell r="P245">
            <v>11.79</v>
          </cell>
          <cell r="Q245">
            <v>2.8304469999999999</v>
          </cell>
          <cell r="R245" t="e">
            <v>#N/A</v>
          </cell>
        </row>
        <row r="246">
          <cell r="A246">
            <v>40330</v>
          </cell>
          <cell r="B246">
            <v>40330</v>
          </cell>
          <cell r="C246" t="str">
            <v>Past</v>
          </cell>
          <cell r="D246">
            <v>11.6</v>
          </cell>
          <cell r="E246" t="e">
            <v>#N/A</v>
          </cell>
          <cell r="F246" t="e">
            <v>#N/A</v>
          </cell>
          <cell r="G246" t="e">
            <v>#N/A</v>
          </cell>
          <cell r="H246" t="e">
            <v>#N/A</v>
          </cell>
          <cell r="I246" t="e">
            <v>#N/A</v>
          </cell>
          <cell r="J246" t="e">
            <v>#N/A</v>
          </cell>
          <cell r="K246" t="e">
            <v>#N/A</v>
          </cell>
          <cell r="L246" t="e">
            <v>#N/A</v>
          </cell>
          <cell r="M246" t="e">
            <v>#N/A</v>
          </cell>
          <cell r="N246" t="e">
            <v>#N/A</v>
          </cell>
          <cell r="O246" t="e">
            <v>#N/A</v>
          </cell>
          <cell r="P246">
            <v>11.6</v>
          </cell>
          <cell r="Q246">
            <v>1.8102</v>
          </cell>
          <cell r="R246" t="e">
            <v>#N/A</v>
          </cell>
        </row>
        <row r="247">
          <cell r="A247">
            <v>40331</v>
          </cell>
          <cell r="B247">
            <v>40331</v>
          </cell>
          <cell r="C247" t="str">
            <v>Past</v>
          </cell>
          <cell r="D247">
            <v>11.87</v>
          </cell>
          <cell r="E247" t="e">
            <v>#N/A</v>
          </cell>
          <cell r="F247" t="e">
            <v>#N/A</v>
          </cell>
          <cell r="G247" t="e">
            <v>#N/A</v>
          </cell>
          <cell r="H247" t="e">
            <v>#N/A</v>
          </cell>
          <cell r="I247" t="e">
            <v>#N/A</v>
          </cell>
          <cell r="J247" t="e">
            <v>#N/A</v>
          </cell>
          <cell r="K247" t="e">
            <v>#N/A</v>
          </cell>
          <cell r="L247" t="e">
            <v>#N/A</v>
          </cell>
          <cell r="M247" t="e">
            <v>#N/A</v>
          </cell>
          <cell r="N247" t="e">
            <v>#N/A</v>
          </cell>
          <cell r="O247" t="e">
            <v>#N/A</v>
          </cell>
          <cell r="P247">
            <v>11.87</v>
          </cell>
          <cell r="Q247">
            <v>1.2998000000000001</v>
          </cell>
          <cell r="R247" t="e">
            <v>#N/A</v>
          </cell>
        </row>
        <row r="248">
          <cell r="A248">
            <v>40332</v>
          </cell>
          <cell r="B248">
            <v>40332</v>
          </cell>
          <cell r="C248" t="str">
            <v>Past</v>
          </cell>
          <cell r="D248">
            <v>12.14</v>
          </cell>
          <cell r="E248" t="e">
            <v>#N/A</v>
          </cell>
          <cell r="F248" t="e">
            <v>#N/A</v>
          </cell>
          <cell r="G248" t="e">
            <v>#N/A</v>
          </cell>
          <cell r="H248" t="e">
            <v>#N/A</v>
          </cell>
          <cell r="I248" t="e">
            <v>#N/A</v>
          </cell>
          <cell r="J248" t="e">
            <v>#N/A</v>
          </cell>
          <cell r="K248" t="e">
            <v>#N/A</v>
          </cell>
          <cell r="L248" t="e">
            <v>#N/A</v>
          </cell>
          <cell r="M248" t="e">
            <v>#N/A</v>
          </cell>
          <cell r="N248" t="e">
            <v>#N/A</v>
          </cell>
          <cell r="O248" t="e">
            <v>#N/A</v>
          </cell>
          <cell r="P248">
            <v>12.14</v>
          </cell>
          <cell r="Q248">
            <v>1.155041</v>
          </cell>
          <cell r="R248" t="e">
            <v>#N/A</v>
          </cell>
        </row>
        <row r="249">
          <cell r="A249">
            <v>40333</v>
          </cell>
          <cell r="B249">
            <v>40333</v>
          </cell>
          <cell r="C249" t="str">
            <v>Past</v>
          </cell>
          <cell r="D249">
            <v>11.7</v>
          </cell>
          <cell r="E249" t="e">
            <v>#N/A</v>
          </cell>
          <cell r="F249" t="e">
            <v>#N/A</v>
          </cell>
          <cell r="G249" t="e">
            <v>#N/A</v>
          </cell>
          <cell r="H249" t="e">
            <v>#N/A</v>
          </cell>
          <cell r="I249" t="e">
            <v>#N/A</v>
          </cell>
          <cell r="J249" t="e">
            <v>#N/A</v>
          </cell>
          <cell r="K249" t="e">
            <v>#N/A</v>
          </cell>
          <cell r="L249" t="e">
            <v>#N/A</v>
          </cell>
          <cell r="M249" t="e">
            <v>#N/A</v>
          </cell>
          <cell r="N249" t="e">
            <v>#N/A</v>
          </cell>
          <cell r="O249" t="e">
            <v>#N/A</v>
          </cell>
          <cell r="P249">
            <v>11.7</v>
          </cell>
          <cell r="Q249">
            <v>2.746337</v>
          </cell>
          <cell r="R249" t="e">
            <v>#N/A</v>
          </cell>
        </row>
        <row r="250">
          <cell r="A250">
            <v>40336</v>
          </cell>
          <cell r="B250">
            <v>40336</v>
          </cell>
          <cell r="C250" t="str">
            <v>Past</v>
          </cell>
          <cell r="D250">
            <v>11.88</v>
          </cell>
          <cell r="E250" t="e">
            <v>#N/A</v>
          </cell>
          <cell r="F250" t="e">
            <v>#N/A</v>
          </cell>
          <cell r="G250" t="e">
            <v>#N/A</v>
          </cell>
          <cell r="H250" t="e">
            <v>#N/A</v>
          </cell>
          <cell r="I250" t="e">
            <v>#N/A</v>
          </cell>
          <cell r="J250" t="e">
            <v>#N/A</v>
          </cell>
          <cell r="K250" t="e">
            <v>#N/A</v>
          </cell>
          <cell r="L250" t="e">
            <v>#N/A</v>
          </cell>
          <cell r="M250" t="e">
            <v>#N/A</v>
          </cell>
          <cell r="N250" t="e">
            <v>#N/A</v>
          </cell>
          <cell r="O250" t="e">
            <v>#N/A</v>
          </cell>
          <cell r="P250">
            <v>11.88</v>
          </cell>
          <cell r="Q250">
            <v>2.357313</v>
          </cell>
          <cell r="R250" t="e">
            <v>#N/A</v>
          </cell>
        </row>
        <row r="251">
          <cell r="A251">
            <v>40337</v>
          </cell>
          <cell r="B251">
            <v>40337</v>
          </cell>
          <cell r="C251" t="str">
            <v>Past</v>
          </cell>
          <cell r="D251">
            <v>11.96</v>
          </cell>
          <cell r="E251" t="e">
            <v>#N/A</v>
          </cell>
          <cell r="F251" t="e">
            <v>#N/A</v>
          </cell>
          <cell r="G251" t="e">
            <v>#N/A</v>
          </cell>
          <cell r="H251" t="e">
            <v>#N/A</v>
          </cell>
          <cell r="I251" t="e">
            <v>#N/A</v>
          </cell>
          <cell r="J251" t="e">
            <v>#N/A</v>
          </cell>
          <cell r="K251" t="e">
            <v>#N/A</v>
          </cell>
          <cell r="L251" t="e">
            <v>#N/A</v>
          </cell>
          <cell r="M251" t="e">
            <v>#N/A</v>
          </cell>
          <cell r="N251" t="e">
            <v>#N/A</v>
          </cell>
          <cell r="O251" t="e">
            <v>#N/A</v>
          </cell>
          <cell r="P251">
            <v>11.96</v>
          </cell>
          <cell r="Q251">
            <v>2.3212519999999999</v>
          </cell>
          <cell r="R251" t="e">
            <v>#N/A</v>
          </cell>
        </row>
        <row r="252">
          <cell r="A252">
            <v>40338</v>
          </cell>
          <cell r="B252">
            <v>40338</v>
          </cell>
          <cell r="C252" t="str">
            <v>Past</v>
          </cell>
          <cell r="D252">
            <v>11.75</v>
          </cell>
          <cell r="E252" t="e">
            <v>#N/A</v>
          </cell>
          <cell r="F252" t="e">
            <v>#N/A</v>
          </cell>
          <cell r="G252" t="e">
            <v>#N/A</v>
          </cell>
          <cell r="H252" t="e">
            <v>#N/A</v>
          </cell>
          <cell r="I252" t="e">
            <v>#N/A</v>
          </cell>
          <cell r="J252" t="e">
            <v>#N/A</v>
          </cell>
          <cell r="K252" t="e">
            <v>#N/A</v>
          </cell>
          <cell r="L252" t="e">
            <v>#N/A</v>
          </cell>
          <cell r="M252" t="e">
            <v>#N/A</v>
          </cell>
          <cell r="N252" t="e">
            <v>#N/A</v>
          </cell>
          <cell r="O252" t="e">
            <v>#N/A</v>
          </cell>
          <cell r="P252">
            <v>11.75</v>
          </cell>
          <cell r="Q252">
            <v>1.6222349999999999</v>
          </cell>
          <cell r="R252" t="e">
            <v>#N/A</v>
          </cell>
        </row>
        <row r="253">
          <cell r="A253">
            <v>40339</v>
          </cell>
          <cell r="B253">
            <v>40339</v>
          </cell>
          <cell r="C253" t="str">
            <v>Past</v>
          </cell>
          <cell r="D253">
            <v>12.06</v>
          </cell>
          <cell r="E253" t="e">
            <v>#N/A</v>
          </cell>
          <cell r="F253" t="e">
            <v>#N/A</v>
          </cell>
          <cell r="G253" t="e">
            <v>#N/A</v>
          </cell>
          <cell r="H253" t="e">
            <v>#N/A</v>
          </cell>
          <cell r="I253" t="e">
            <v>#N/A</v>
          </cell>
          <cell r="J253" t="e">
            <v>#N/A</v>
          </cell>
          <cell r="K253" t="e">
            <v>#N/A</v>
          </cell>
          <cell r="L253" t="e">
            <v>#N/A</v>
          </cell>
          <cell r="M253" t="e">
            <v>#N/A</v>
          </cell>
          <cell r="N253" t="e">
            <v>#N/A</v>
          </cell>
          <cell r="O253" t="e">
            <v>#N/A</v>
          </cell>
          <cell r="P253">
            <v>12.06</v>
          </cell>
          <cell r="Q253">
            <v>1.7997719999999999</v>
          </cell>
          <cell r="R253" t="e">
            <v>#N/A</v>
          </cell>
        </row>
        <row r="254">
          <cell r="A254">
            <v>40340</v>
          </cell>
          <cell r="B254">
            <v>40340</v>
          </cell>
          <cell r="C254" t="str">
            <v>Past</v>
          </cell>
          <cell r="D254">
            <v>12.06</v>
          </cell>
          <cell r="E254" t="e">
            <v>#N/A</v>
          </cell>
          <cell r="F254" t="e">
            <v>#N/A</v>
          </cell>
          <cell r="G254" t="e">
            <v>#N/A</v>
          </cell>
          <cell r="H254" t="e">
            <v>#N/A</v>
          </cell>
          <cell r="I254" t="e">
            <v>#N/A</v>
          </cell>
          <cell r="J254" t="e">
            <v>#N/A</v>
          </cell>
          <cell r="K254" t="e">
            <v>#N/A</v>
          </cell>
          <cell r="L254" t="e">
            <v>#N/A</v>
          </cell>
          <cell r="M254" t="e">
            <v>#N/A</v>
          </cell>
          <cell r="N254" t="e">
            <v>#N/A</v>
          </cell>
          <cell r="O254" t="e">
            <v>#N/A</v>
          </cell>
          <cell r="P254">
            <v>12.06</v>
          </cell>
          <cell r="Q254">
            <v>1.7262029999999999</v>
          </cell>
          <cell r="R254" t="e">
            <v>#N/A</v>
          </cell>
        </row>
        <row r="255">
          <cell r="A255">
            <v>40343</v>
          </cell>
          <cell r="B255">
            <v>40343</v>
          </cell>
          <cell r="C255" t="str">
            <v>Past</v>
          </cell>
          <cell r="D255">
            <v>12.21</v>
          </cell>
          <cell r="E255" t="e">
            <v>#N/A</v>
          </cell>
          <cell r="F255" t="e">
            <v>#N/A</v>
          </cell>
          <cell r="G255" t="e">
            <v>#N/A</v>
          </cell>
          <cell r="H255" t="e">
            <v>#N/A</v>
          </cell>
          <cell r="I255" t="e">
            <v>#N/A</v>
          </cell>
          <cell r="J255" t="e">
            <v>#N/A</v>
          </cell>
          <cell r="K255" t="e">
            <v>#N/A</v>
          </cell>
          <cell r="L255" t="e">
            <v>#N/A</v>
          </cell>
          <cell r="M255" t="e">
            <v>#N/A</v>
          </cell>
          <cell r="N255" t="e">
            <v>#N/A</v>
          </cell>
          <cell r="O255" t="e">
            <v>#N/A</v>
          </cell>
          <cell r="P255">
            <v>12.21</v>
          </cell>
          <cell r="Q255">
            <v>2.7275359999999997</v>
          </cell>
          <cell r="R255" t="e">
            <v>#N/A</v>
          </cell>
        </row>
        <row r="256">
          <cell r="A256">
            <v>40344</v>
          </cell>
          <cell r="B256">
            <v>40344</v>
          </cell>
          <cell r="C256" t="str">
            <v>Past</v>
          </cell>
          <cell r="D256">
            <v>12.52</v>
          </cell>
          <cell r="E256" t="e">
            <v>#N/A</v>
          </cell>
          <cell r="F256" t="e">
            <v>#N/A</v>
          </cell>
          <cell r="G256" t="e">
            <v>#N/A</v>
          </cell>
          <cell r="H256" t="e">
            <v>#N/A</v>
          </cell>
          <cell r="I256" t="e">
            <v>#N/A</v>
          </cell>
          <cell r="J256" t="e">
            <v>#N/A</v>
          </cell>
          <cell r="K256" t="e">
            <v>#N/A</v>
          </cell>
          <cell r="L256" t="e">
            <v>#N/A</v>
          </cell>
          <cell r="M256" t="e">
            <v>#N/A</v>
          </cell>
          <cell r="N256" t="e">
            <v>#N/A</v>
          </cell>
          <cell r="O256" t="e">
            <v>#N/A</v>
          </cell>
          <cell r="P256">
            <v>12.52</v>
          </cell>
          <cell r="Q256">
            <v>3.219265</v>
          </cell>
          <cell r="R256" t="e">
            <v>#N/A</v>
          </cell>
        </row>
        <row r="257">
          <cell r="A257">
            <v>40345</v>
          </cell>
          <cell r="B257">
            <v>40345</v>
          </cell>
          <cell r="C257" t="str">
            <v>Past</v>
          </cell>
          <cell r="D257">
            <v>12.6</v>
          </cell>
          <cell r="E257" t="e">
            <v>#N/A</v>
          </cell>
          <cell r="F257" t="e">
            <v>#N/A</v>
          </cell>
          <cell r="G257" t="e">
            <v>#N/A</v>
          </cell>
          <cell r="H257" t="e">
            <v>#N/A</v>
          </cell>
          <cell r="I257" t="e">
            <v>#N/A</v>
          </cell>
          <cell r="J257" t="e">
            <v>#N/A</v>
          </cell>
          <cell r="K257" t="e">
            <v>#N/A</v>
          </cell>
          <cell r="L257" t="e">
            <v>#N/A</v>
          </cell>
          <cell r="M257" t="e">
            <v>#N/A</v>
          </cell>
          <cell r="N257" t="e">
            <v>#N/A</v>
          </cell>
          <cell r="O257" t="e">
            <v>#N/A</v>
          </cell>
          <cell r="P257">
            <v>12.6</v>
          </cell>
          <cell r="Q257">
            <v>2.083361</v>
          </cell>
          <cell r="R257" t="e">
            <v>#N/A</v>
          </cell>
        </row>
        <row r="258">
          <cell r="A258">
            <v>40346</v>
          </cell>
          <cell r="B258">
            <v>40346</v>
          </cell>
          <cell r="C258" t="str">
            <v>Past</v>
          </cell>
          <cell r="D258">
            <v>12.72</v>
          </cell>
          <cell r="E258" t="e">
            <v>#N/A</v>
          </cell>
          <cell r="F258" t="e">
            <v>#N/A</v>
          </cell>
          <cell r="G258" t="e">
            <v>#N/A</v>
          </cell>
          <cell r="H258" t="e">
            <v>#N/A</v>
          </cell>
          <cell r="I258" t="e">
            <v>#N/A</v>
          </cell>
          <cell r="J258" t="e">
            <v>#N/A</v>
          </cell>
          <cell r="K258" t="e">
            <v>#N/A</v>
          </cell>
          <cell r="L258" t="e">
            <v>#N/A</v>
          </cell>
          <cell r="M258" t="e">
            <v>#N/A</v>
          </cell>
          <cell r="N258" t="e">
            <v>#N/A</v>
          </cell>
          <cell r="O258" t="e">
            <v>#N/A</v>
          </cell>
          <cell r="P258">
            <v>12.72</v>
          </cell>
          <cell r="Q258">
            <v>2.4469629999999998</v>
          </cell>
          <cell r="R258" t="e">
            <v>#N/A</v>
          </cell>
        </row>
        <row r="259">
          <cell r="A259">
            <v>40347</v>
          </cell>
          <cell r="B259">
            <v>40347</v>
          </cell>
          <cell r="C259" t="str">
            <v>Past</v>
          </cell>
          <cell r="D259">
            <v>12.59</v>
          </cell>
          <cell r="E259" t="e">
            <v>#N/A</v>
          </cell>
          <cell r="F259" t="e">
            <v>#N/A</v>
          </cell>
          <cell r="G259" t="e">
            <v>#N/A</v>
          </cell>
          <cell r="H259" t="e">
            <v>#N/A</v>
          </cell>
          <cell r="I259" t="e">
            <v>#N/A</v>
          </cell>
          <cell r="J259" t="e">
            <v>#N/A</v>
          </cell>
          <cell r="K259" t="e">
            <v>#N/A</v>
          </cell>
          <cell r="L259" t="e">
            <v>#N/A</v>
          </cell>
          <cell r="M259" t="e">
            <v>#N/A</v>
          </cell>
          <cell r="N259" t="e">
            <v>#N/A</v>
          </cell>
          <cell r="O259" t="e">
            <v>#N/A</v>
          </cell>
          <cell r="P259">
            <v>12.59</v>
          </cell>
          <cell r="Q259">
            <v>1.9597</v>
          </cell>
          <cell r="R259" t="e">
            <v>#N/A</v>
          </cell>
        </row>
        <row r="260">
          <cell r="A260">
            <v>40350</v>
          </cell>
          <cell r="B260">
            <v>40350</v>
          </cell>
          <cell r="C260" t="str">
            <v>Past</v>
          </cell>
          <cell r="D260">
            <v>12.49</v>
          </cell>
          <cell r="E260" t="e">
            <v>#N/A</v>
          </cell>
          <cell r="F260" t="e">
            <v>#N/A</v>
          </cell>
          <cell r="G260" t="e">
            <v>#N/A</v>
          </cell>
          <cell r="H260" t="e">
            <v>#N/A</v>
          </cell>
          <cell r="I260" t="e">
            <v>#N/A</v>
          </cell>
          <cell r="J260" t="e">
            <v>#N/A</v>
          </cell>
          <cell r="K260" t="e">
            <v>#N/A</v>
          </cell>
          <cell r="L260" t="e">
            <v>#N/A</v>
          </cell>
          <cell r="M260" t="e">
            <v>#N/A</v>
          </cell>
          <cell r="N260" t="e">
            <v>#N/A</v>
          </cell>
          <cell r="O260" t="e">
            <v>#N/A</v>
          </cell>
          <cell r="P260">
            <v>12.49</v>
          </cell>
          <cell r="Q260">
            <v>3.2103129999999998</v>
          </cell>
          <cell r="R260" t="e">
            <v>#N/A</v>
          </cell>
        </row>
        <row r="261">
          <cell r="A261">
            <v>40351</v>
          </cell>
          <cell r="B261">
            <v>40351</v>
          </cell>
          <cell r="C261" t="str">
            <v>Past</v>
          </cell>
          <cell r="D261">
            <v>12.19</v>
          </cell>
          <cell r="E261" t="e">
            <v>#N/A</v>
          </cell>
          <cell r="F261" t="e">
            <v>#N/A</v>
          </cell>
          <cell r="G261" t="e">
            <v>#N/A</v>
          </cell>
          <cell r="H261" t="e">
            <v>#N/A</v>
          </cell>
          <cell r="I261" t="e">
            <v>#N/A</v>
          </cell>
          <cell r="J261" t="e">
            <v>#N/A</v>
          </cell>
          <cell r="K261" t="e">
            <v>#N/A</v>
          </cell>
          <cell r="L261" t="e">
            <v>#N/A</v>
          </cell>
          <cell r="M261" t="e">
            <v>#N/A</v>
          </cell>
          <cell r="N261" t="e">
            <v>#N/A</v>
          </cell>
          <cell r="O261" t="e">
            <v>#N/A</v>
          </cell>
          <cell r="P261">
            <v>12.19</v>
          </cell>
          <cell r="Q261">
            <v>1.522295</v>
          </cell>
          <cell r="R261" t="e">
            <v>#N/A</v>
          </cell>
        </row>
        <row r="262">
          <cell r="A262">
            <v>40352</v>
          </cell>
          <cell r="B262">
            <v>40352</v>
          </cell>
          <cell r="C262" t="str">
            <v>Past</v>
          </cell>
          <cell r="D262">
            <v>12.02</v>
          </cell>
          <cell r="E262" t="e">
            <v>#N/A</v>
          </cell>
          <cell r="F262" t="e">
            <v>#N/A</v>
          </cell>
          <cell r="G262" t="e">
            <v>#N/A</v>
          </cell>
          <cell r="H262" t="e">
            <v>#N/A</v>
          </cell>
          <cell r="I262" t="e">
            <v>#N/A</v>
          </cell>
          <cell r="J262" t="e">
            <v>#N/A</v>
          </cell>
          <cell r="K262" t="e">
            <v>#N/A</v>
          </cell>
          <cell r="L262" t="e">
            <v>#N/A</v>
          </cell>
          <cell r="M262" t="e">
            <v>#N/A</v>
          </cell>
          <cell r="N262" t="e">
            <v>#N/A</v>
          </cell>
          <cell r="O262" t="e">
            <v>#N/A</v>
          </cell>
          <cell r="P262">
            <v>12.02</v>
          </cell>
          <cell r="Q262">
            <v>0.87350099999999997</v>
          </cell>
          <cell r="R262" t="e">
            <v>#N/A</v>
          </cell>
        </row>
        <row r="263">
          <cell r="A263">
            <v>40353</v>
          </cell>
          <cell r="B263">
            <v>40353</v>
          </cell>
          <cell r="C263" t="str">
            <v>Past</v>
          </cell>
          <cell r="D263">
            <v>11.96</v>
          </cell>
          <cell r="E263" t="e">
            <v>#N/A</v>
          </cell>
          <cell r="F263" t="e">
            <v>#N/A</v>
          </cell>
          <cell r="G263" t="e">
            <v>#N/A</v>
          </cell>
          <cell r="H263" t="e">
            <v>#N/A</v>
          </cell>
          <cell r="I263" t="e">
            <v>#N/A</v>
          </cell>
          <cell r="J263" t="e">
            <v>#N/A</v>
          </cell>
          <cell r="K263" t="e">
            <v>#N/A</v>
          </cell>
          <cell r="L263" t="e">
            <v>#N/A</v>
          </cell>
          <cell r="M263" t="e">
            <v>#N/A</v>
          </cell>
          <cell r="N263" t="e">
            <v>#N/A</v>
          </cell>
          <cell r="O263" t="e">
            <v>#N/A</v>
          </cell>
          <cell r="P263">
            <v>11.96</v>
          </cell>
          <cell r="Q263">
            <v>2.462377</v>
          </cell>
          <cell r="R263" t="e">
            <v>#N/A</v>
          </cell>
        </row>
        <row r="264">
          <cell r="A264">
            <v>40354</v>
          </cell>
          <cell r="B264">
            <v>40354</v>
          </cell>
          <cell r="C264" t="str">
            <v>Past</v>
          </cell>
          <cell r="D264">
            <v>12.07</v>
          </cell>
          <cell r="E264" t="e">
            <v>#N/A</v>
          </cell>
          <cell r="F264" t="e">
            <v>#N/A</v>
          </cell>
          <cell r="G264" t="e">
            <v>#N/A</v>
          </cell>
          <cell r="H264" t="e">
            <v>#N/A</v>
          </cell>
          <cell r="I264" t="e">
            <v>#N/A</v>
          </cell>
          <cell r="J264" t="e">
            <v>#N/A</v>
          </cell>
          <cell r="K264" t="e">
            <v>#N/A</v>
          </cell>
          <cell r="L264" t="e">
            <v>#N/A</v>
          </cell>
          <cell r="M264" t="e">
            <v>#N/A</v>
          </cell>
          <cell r="N264" t="e">
            <v>#N/A</v>
          </cell>
          <cell r="O264" t="e">
            <v>#N/A</v>
          </cell>
          <cell r="P264">
            <v>12.07</v>
          </cell>
          <cell r="Q264">
            <v>3.9080569999999999</v>
          </cell>
          <cell r="R264" t="e">
            <v>#N/A</v>
          </cell>
        </row>
        <row r="265">
          <cell r="A265">
            <v>40357</v>
          </cell>
          <cell r="B265">
            <v>40357</v>
          </cell>
          <cell r="C265" t="str">
            <v>Past</v>
          </cell>
          <cell r="D265">
            <v>12.13</v>
          </cell>
          <cell r="E265" t="e">
            <v>#N/A</v>
          </cell>
          <cell r="F265" t="e">
            <v>#N/A</v>
          </cell>
          <cell r="G265" t="e">
            <v>#N/A</v>
          </cell>
          <cell r="H265" t="e">
            <v>#N/A</v>
          </cell>
          <cell r="I265" t="e">
            <v>#N/A</v>
          </cell>
          <cell r="J265" t="e">
            <v>#N/A</v>
          </cell>
          <cell r="K265" t="e">
            <v>#N/A</v>
          </cell>
          <cell r="L265" t="e">
            <v>#N/A</v>
          </cell>
          <cell r="M265" t="e">
            <v>#N/A</v>
          </cell>
          <cell r="N265" t="e">
            <v>#N/A</v>
          </cell>
          <cell r="O265" t="e">
            <v>#N/A</v>
          </cell>
          <cell r="P265">
            <v>12.13</v>
          </cell>
          <cell r="Q265">
            <v>1.9079279999999998</v>
          </cell>
          <cell r="R265" t="e">
            <v>#N/A</v>
          </cell>
        </row>
        <row r="266">
          <cell r="A266">
            <v>40358</v>
          </cell>
          <cell r="B266">
            <v>40358</v>
          </cell>
          <cell r="C266" t="str">
            <v>Past</v>
          </cell>
          <cell r="D266">
            <v>11.93</v>
          </cell>
          <cell r="E266" t="e">
            <v>#N/A</v>
          </cell>
          <cell r="F266" t="e">
            <v>#N/A</v>
          </cell>
          <cell r="G266" t="e">
            <v>#N/A</v>
          </cell>
          <cell r="H266" t="e">
            <v>#N/A</v>
          </cell>
          <cell r="I266" t="e">
            <v>#N/A</v>
          </cell>
          <cell r="J266" t="e">
            <v>#N/A</v>
          </cell>
          <cell r="K266" t="e">
            <v>#N/A</v>
          </cell>
          <cell r="L266" t="e">
            <v>#N/A</v>
          </cell>
          <cell r="M266" t="e">
            <v>#N/A</v>
          </cell>
          <cell r="N266" t="e">
            <v>#N/A</v>
          </cell>
          <cell r="O266" t="e">
            <v>#N/A</v>
          </cell>
          <cell r="P266">
            <v>11.93</v>
          </cell>
          <cell r="Q266">
            <v>2.6454580000000001</v>
          </cell>
          <cell r="R266" t="e">
            <v>#N/A</v>
          </cell>
        </row>
        <row r="267">
          <cell r="A267">
            <v>40359</v>
          </cell>
          <cell r="B267">
            <v>40359</v>
          </cell>
          <cell r="C267" t="str">
            <v>Past</v>
          </cell>
          <cell r="D267">
            <v>11.81</v>
          </cell>
          <cell r="E267" t="e">
            <v>#N/A</v>
          </cell>
          <cell r="F267" t="e">
            <v>#N/A</v>
          </cell>
          <cell r="G267" t="e">
            <v>#N/A</v>
          </cell>
          <cell r="H267" t="e">
            <v>#N/A</v>
          </cell>
          <cell r="I267" t="e">
            <v>#N/A</v>
          </cell>
          <cell r="J267" t="e">
            <v>#N/A</v>
          </cell>
          <cell r="K267" t="e">
            <v>#N/A</v>
          </cell>
          <cell r="L267" t="e">
            <v>#N/A</v>
          </cell>
          <cell r="M267" t="e">
            <v>#N/A</v>
          </cell>
          <cell r="N267" t="e">
            <v>#N/A</v>
          </cell>
          <cell r="O267" t="e">
            <v>#N/A</v>
          </cell>
          <cell r="P267">
            <v>11.81</v>
          </cell>
          <cell r="Q267">
            <v>3.2041879999999998</v>
          </cell>
          <cell r="R267" t="e">
            <v>#N/A</v>
          </cell>
        </row>
        <row r="268">
          <cell r="A268">
            <v>40360</v>
          </cell>
          <cell r="B268">
            <v>40360</v>
          </cell>
          <cell r="C268" t="str">
            <v>Past</v>
          </cell>
          <cell r="D268">
            <v>11.75</v>
          </cell>
          <cell r="E268" t="e">
            <v>#N/A</v>
          </cell>
          <cell r="F268" t="e">
            <v>#N/A</v>
          </cell>
          <cell r="G268" t="e">
            <v>#N/A</v>
          </cell>
          <cell r="H268" t="e">
            <v>#N/A</v>
          </cell>
          <cell r="I268" t="e">
            <v>#N/A</v>
          </cell>
          <cell r="J268" t="e">
            <v>#N/A</v>
          </cell>
          <cell r="K268" t="e">
            <v>#N/A</v>
          </cell>
          <cell r="L268" t="e">
            <v>#N/A</v>
          </cell>
          <cell r="M268" t="e">
            <v>#N/A</v>
          </cell>
          <cell r="N268" t="e">
            <v>#N/A</v>
          </cell>
          <cell r="O268" t="e">
            <v>#N/A</v>
          </cell>
          <cell r="P268">
            <v>11.75</v>
          </cell>
          <cell r="Q268">
            <v>2.2558889999999998</v>
          </cell>
          <cell r="R268" t="e">
            <v>#N/A</v>
          </cell>
        </row>
        <row r="269">
          <cell r="A269">
            <v>40361</v>
          </cell>
          <cell r="B269">
            <v>40361</v>
          </cell>
          <cell r="C269" t="str">
            <v>Past</v>
          </cell>
          <cell r="D269">
            <v>11.79</v>
          </cell>
          <cell r="E269" t="e">
            <v>#N/A</v>
          </cell>
          <cell r="F269" t="e">
            <v>#N/A</v>
          </cell>
          <cell r="G269" t="e">
            <v>#N/A</v>
          </cell>
          <cell r="H269" t="e">
            <v>#N/A</v>
          </cell>
          <cell r="I269" t="e">
            <v>#N/A</v>
          </cell>
          <cell r="J269" t="e">
            <v>#N/A</v>
          </cell>
          <cell r="K269" t="e">
            <v>#N/A</v>
          </cell>
          <cell r="L269" t="e">
            <v>#N/A</v>
          </cell>
          <cell r="M269" t="e">
            <v>#N/A</v>
          </cell>
          <cell r="N269" t="e">
            <v>#N/A</v>
          </cell>
          <cell r="O269" t="e">
            <v>#N/A</v>
          </cell>
          <cell r="P269">
            <v>11.79</v>
          </cell>
          <cell r="Q269">
            <v>1.5568379999999999</v>
          </cell>
          <cell r="R269" t="e">
            <v>#N/A</v>
          </cell>
        </row>
        <row r="270">
          <cell r="A270">
            <v>40365</v>
          </cell>
          <cell r="B270">
            <v>40365</v>
          </cell>
          <cell r="C270" t="str">
            <v>Past</v>
          </cell>
          <cell r="D270">
            <v>11.95</v>
          </cell>
          <cell r="E270" t="e">
            <v>#N/A</v>
          </cell>
          <cell r="F270" t="e">
            <v>#N/A</v>
          </cell>
          <cell r="G270" t="e">
            <v>#N/A</v>
          </cell>
          <cell r="H270" t="e">
            <v>#N/A</v>
          </cell>
          <cell r="I270" t="e">
            <v>#N/A</v>
          </cell>
          <cell r="J270" t="e">
            <v>#N/A</v>
          </cell>
          <cell r="K270" t="e">
            <v>#N/A</v>
          </cell>
          <cell r="L270" t="e">
            <v>#N/A</v>
          </cell>
          <cell r="M270" t="e">
            <v>#N/A</v>
          </cell>
          <cell r="N270" t="e">
            <v>#N/A</v>
          </cell>
          <cell r="O270" t="e">
            <v>#N/A</v>
          </cell>
          <cell r="P270">
            <v>11.95</v>
          </cell>
          <cell r="Q270">
            <v>2.0747359999999997</v>
          </cell>
          <cell r="R270" t="e">
            <v>#N/A</v>
          </cell>
        </row>
        <row r="271">
          <cell r="A271">
            <v>40366</v>
          </cell>
          <cell r="B271">
            <v>40366</v>
          </cell>
          <cell r="C271" t="str">
            <v>Past</v>
          </cell>
          <cell r="D271">
            <v>12.3</v>
          </cell>
          <cell r="E271" t="e">
            <v>#N/A</v>
          </cell>
          <cell r="F271" t="e">
            <v>#N/A</v>
          </cell>
          <cell r="G271" t="e">
            <v>#N/A</v>
          </cell>
          <cell r="H271" t="e">
            <v>#N/A</v>
          </cell>
          <cell r="I271" t="e">
            <v>#N/A</v>
          </cell>
          <cell r="J271" t="e">
            <v>#N/A</v>
          </cell>
          <cell r="K271" t="e">
            <v>#N/A</v>
          </cell>
          <cell r="L271" t="e">
            <v>#N/A</v>
          </cell>
          <cell r="M271" t="e">
            <v>#N/A</v>
          </cell>
          <cell r="N271" t="e">
            <v>#N/A</v>
          </cell>
          <cell r="O271" t="e">
            <v>#N/A</v>
          </cell>
          <cell r="P271">
            <v>12.3</v>
          </cell>
          <cell r="Q271">
            <v>1.5029669999999999</v>
          </cell>
          <cell r="R271" t="e">
            <v>#N/A</v>
          </cell>
        </row>
        <row r="272">
          <cell r="A272">
            <v>40367</v>
          </cell>
          <cell r="B272">
            <v>40367</v>
          </cell>
          <cell r="C272" t="str">
            <v>Past</v>
          </cell>
          <cell r="D272">
            <v>12.26</v>
          </cell>
          <cell r="E272" t="e">
            <v>#N/A</v>
          </cell>
          <cell r="F272" t="e">
            <v>#N/A</v>
          </cell>
          <cell r="G272" t="e">
            <v>#N/A</v>
          </cell>
          <cell r="H272" t="e">
            <v>#N/A</v>
          </cell>
          <cell r="I272" t="e">
            <v>#N/A</v>
          </cell>
          <cell r="J272" t="e">
            <v>#N/A</v>
          </cell>
          <cell r="K272" t="e">
            <v>#N/A</v>
          </cell>
          <cell r="L272" t="e">
            <v>#N/A</v>
          </cell>
          <cell r="M272" t="e">
            <v>#N/A</v>
          </cell>
          <cell r="N272" t="e">
            <v>#N/A</v>
          </cell>
          <cell r="O272" t="e">
            <v>#N/A</v>
          </cell>
          <cell r="P272">
            <v>12.26</v>
          </cell>
          <cell r="Q272">
            <v>1.6987000000000001</v>
          </cell>
          <cell r="R272" t="e">
            <v>#N/A</v>
          </cell>
        </row>
        <row r="273">
          <cell r="A273">
            <v>40368</v>
          </cell>
          <cell r="B273">
            <v>40368</v>
          </cell>
          <cell r="C273" t="str">
            <v>Past</v>
          </cell>
          <cell r="D273">
            <v>12.6</v>
          </cell>
          <cell r="E273" t="e">
            <v>#N/A</v>
          </cell>
          <cell r="F273" t="e">
            <v>#N/A</v>
          </cell>
          <cell r="G273" t="e">
            <v>#N/A</v>
          </cell>
          <cell r="H273" t="e">
            <v>#N/A</v>
          </cell>
          <cell r="I273" t="e">
            <v>#N/A</v>
          </cell>
          <cell r="J273" t="e">
            <v>#N/A</v>
          </cell>
          <cell r="K273" t="e">
            <v>#N/A</v>
          </cell>
          <cell r="L273" t="e">
            <v>#N/A</v>
          </cell>
          <cell r="M273" t="e">
            <v>#N/A</v>
          </cell>
          <cell r="N273" t="e">
            <v>#N/A</v>
          </cell>
          <cell r="O273" t="e">
            <v>#N/A</v>
          </cell>
          <cell r="P273">
            <v>12.6</v>
          </cell>
          <cell r="Q273">
            <v>2.9425400000000002</v>
          </cell>
          <cell r="R273" t="e">
            <v>#N/A</v>
          </cell>
        </row>
        <row r="274">
          <cell r="A274">
            <v>40371</v>
          </cell>
          <cell r="B274">
            <v>40371</v>
          </cell>
          <cell r="C274" t="str">
            <v>Past</v>
          </cell>
          <cell r="D274">
            <v>12.68</v>
          </cell>
          <cell r="E274" t="e">
            <v>#N/A</v>
          </cell>
          <cell r="F274" t="e">
            <v>#N/A</v>
          </cell>
          <cell r="G274" t="e">
            <v>#N/A</v>
          </cell>
          <cell r="H274" t="e">
            <v>#N/A</v>
          </cell>
          <cell r="I274" t="e">
            <v>#N/A</v>
          </cell>
          <cell r="J274" t="e">
            <v>#N/A</v>
          </cell>
          <cell r="K274" t="e">
            <v>#N/A</v>
          </cell>
          <cell r="L274" t="e">
            <v>#N/A</v>
          </cell>
          <cell r="M274" t="e">
            <v>#N/A</v>
          </cell>
          <cell r="N274" t="e">
            <v>#N/A</v>
          </cell>
          <cell r="O274" t="e">
            <v>#N/A</v>
          </cell>
          <cell r="P274">
            <v>12.68</v>
          </cell>
          <cell r="Q274">
            <v>1.863105</v>
          </cell>
          <cell r="R274" t="e">
            <v>#N/A</v>
          </cell>
        </row>
        <row r="275">
          <cell r="A275">
            <v>40372</v>
          </cell>
          <cell r="B275">
            <v>40372</v>
          </cell>
          <cell r="C275" t="str">
            <v>Past</v>
          </cell>
          <cell r="D275">
            <v>12.68</v>
          </cell>
          <cell r="E275" t="e">
            <v>#N/A</v>
          </cell>
          <cell r="F275" t="e">
            <v>#N/A</v>
          </cell>
          <cell r="G275" t="e">
            <v>#N/A</v>
          </cell>
          <cell r="H275" t="e">
            <v>#N/A</v>
          </cell>
          <cell r="I275" t="e">
            <v>#N/A</v>
          </cell>
          <cell r="J275" t="e">
            <v>#N/A</v>
          </cell>
          <cell r="K275" t="e">
            <v>#N/A</v>
          </cell>
          <cell r="L275" t="e">
            <v>#N/A</v>
          </cell>
          <cell r="M275" t="e">
            <v>#N/A</v>
          </cell>
          <cell r="N275" t="e">
            <v>#N/A</v>
          </cell>
          <cell r="O275" t="e">
            <v>#N/A</v>
          </cell>
          <cell r="P275">
            <v>12.68</v>
          </cell>
          <cell r="Q275">
            <v>1.8854229999999998</v>
          </cell>
          <cell r="R275" t="e">
            <v>#N/A</v>
          </cell>
        </row>
        <row r="276">
          <cell r="A276">
            <v>40373</v>
          </cell>
          <cell r="B276">
            <v>40373</v>
          </cell>
          <cell r="C276" t="str">
            <v>Past</v>
          </cell>
          <cell r="D276">
            <v>12.76</v>
          </cell>
          <cell r="E276" t="e">
            <v>#N/A</v>
          </cell>
          <cell r="F276" t="e">
            <v>#N/A</v>
          </cell>
          <cell r="G276" t="e">
            <v>#N/A</v>
          </cell>
          <cell r="H276" t="e">
            <v>#N/A</v>
          </cell>
          <cell r="I276" t="e">
            <v>#N/A</v>
          </cell>
          <cell r="J276" t="e">
            <v>#N/A</v>
          </cell>
          <cell r="K276" t="e">
            <v>#N/A</v>
          </cell>
          <cell r="L276" t="e">
            <v>#N/A</v>
          </cell>
          <cell r="M276" t="e">
            <v>#N/A</v>
          </cell>
          <cell r="N276" t="e">
            <v>#N/A</v>
          </cell>
          <cell r="O276" t="e">
            <v>#N/A</v>
          </cell>
          <cell r="P276">
            <v>12.76</v>
          </cell>
          <cell r="Q276">
            <v>3.8541569999999998</v>
          </cell>
          <cell r="R276" t="e">
            <v>#N/A</v>
          </cell>
        </row>
        <row r="277">
          <cell r="A277">
            <v>40374</v>
          </cell>
          <cell r="B277">
            <v>40374</v>
          </cell>
          <cell r="C277" t="str">
            <v>Past</v>
          </cell>
          <cell r="D277">
            <v>12.77</v>
          </cell>
          <cell r="E277" t="e">
            <v>#N/A</v>
          </cell>
          <cell r="F277" t="e">
            <v>#N/A</v>
          </cell>
          <cell r="G277" t="e">
            <v>#N/A</v>
          </cell>
          <cell r="H277" t="e">
            <v>#N/A</v>
          </cell>
          <cell r="I277" t="e">
            <v>#N/A</v>
          </cell>
          <cell r="J277" t="e">
            <v>#N/A</v>
          </cell>
          <cell r="K277" t="e">
            <v>#N/A</v>
          </cell>
          <cell r="L277" t="e">
            <v>#N/A</v>
          </cell>
          <cell r="M277" t="e">
            <v>#N/A</v>
          </cell>
          <cell r="N277" t="e">
            <v>#N/A</v>
          </cell>
          <cell r="O277" t="e">
            <v>#N/A</v>
          </cell>
          <cell r="P277">
            <v>12.77</v>
          </cell>
          <cell r="Q277">
            <v>1.5362</v>
          </cell>
          <cell r="R277" t="e">
            <v>#N/A</v>
          </cell>
        </row>
        <row r="278">
          <cell r="A278">
            <v>40375</v>
          </cell>
          <cell r="B278">
            <v>40375</v>
          </cell>
          <cell r="C278" t="str">
            <v>Past</v>
          </cell>
          <cell r="D278">
            <v>12.39</v>
          </cell>
          <cell r="E278" t="e">
            <v>#N/A</v>
          </cell>
          <cell r="F278" t="e">
            <v>#N/A</v>
          </cell>
          <cell r="G278" t="e">
            <v>#N/A</v>
          </cell>
          <cell r="H278" t="e">
            <v>#N/A</v>
          </cell>
          <cell r="I278" t="e">
            <v>#N/A</v>
          </cell>
          <cell r="J278" t="e">
            <v>#N/A</v>
          </cell>
          <cell r="K278" t="e">
            <v>#N/A</v>
          </cell>
          <cell r="L278" t="e">
            <v>#N/A</v>
          </cell>
          <cell r="M278" t="e">
            <v>#N/A</v>
          </cell>
          <cell r="N278" t="e">
            <v>#N/A</v>
          </cell>
          <cell r="O278" t="e">
            <v>#N/A</v>
          </cell>
          <cell r="P278">
            <v>12.39</v>
          </cell>
          <cell r="Q278">
            <v>2.187497</v>
          </cell>
          <cell r="R278" t="e">
            <v>#N/A</v>
          </cell>
        </row>
        <row r="279">
          <cell r="A279">
            <v>40378</v>
          </cell>
          <cell r="B279">
            <v>40378</v>
          </cell>
          <cell r="C279" t="str">
            <v>Past</v>
          </cell>
          <cell r="D279">
            <v>12.57</v>
          </cell>
          <cell r="E279" t="e">
            <v>#N/A</v>
          </cell>
          <cell r="F279" t="e">
            <v>#N/A</v>
          </cell>
          <cell r="G279" t="e">
            <v>#N/A</v>
          </cell>
          <cell r="H279" t="e">
            <v>#N/A</v>
          </cell>
          <cell r="I279" t="e">
            <v>#N/A</v>
          </cell>
          <cell r="J279" t="e">
            <v>#N/A</v>
          </cell>
          <cell r="K279" t="e">
            <v>#N/A</v>
          </cell>
          <cell r="L279" t="e">
            <v>#N/A</v>
          </cell>
          <cell r="M279" t="e">
            <v>#N/A</v>
          </cell>
          <cell r="N279" t="e">
            <v>#N/A</v>
          </cell>
          <cell r="O279" t="e">
            <v>#N/A</v>
          </cell>
          <cell r="P279">
            <v>12.57</v>
          </cell>
          <cell r="Q279">
            <v>1.995854</v>
          </cell>
          <cell r="R279" t="e">
            <v>#N/A</v>
          </cell>
        </row>
        <row r="280">
          <cell r="A280">
            <v>40379</v>
          </cell>
          <cell r="B280">
            <v>40379</v>
          </cell>
          <cell r="C280" t="str">
            <v>Past</v>
          </cell>
          <cell r="D280">
            <v>12.63</v>
          </cell>
          <cell r="E280" t="e">
            <v>#N/A</v>
          </cell>
          <cell r="F280" t="e">
            <v>#N/A</v>
          </cell>
          <cell r="G280" t="e">
            <v>#N/A</v>
          </cell>
          <cell r="H280" t="e">
            <v>#N/A</v>
          </cell>
          <cell r="I280" t="e">
            <v>#N/A</v>
          </cell>
          <cell r="J280" t="e">
            <v>#N/A</v>
          </cell>
          <cell r="K280" t="e">
            <v>#N/A</v>
          </cell>
          <cell r="L280" t="e">
            <v>#N/A</v>
          </cell>
          <cell r="M280" t="e">
            <v>#N/A</v>
          </cell>
          <cell r="N280" t="e">
            <v>#N/A</v>
          </cell>
          <cell r="O280" t="e">
            <v>#N/A</v>
          </cell>
          <cell r="P280">
            <v>12.63</v>
          </cell>
          <cell r="Q280">
            <v>2.4046590000000001</v>
          </cell>
          <cell r="R280" t="e">
            <v>#N/A</v>
          </cell>
        </row>
        <row r="281">
          <cell r="A281">
            <v>40380</v>
          </cell>
          <cell r="B281">
            <v>40380</v>
          </cell>
          <cell r="C281" t="str">
            <v>Past</v>
          </cell>
          <cell r="D281">
            <v>12.55</v>
          </cell>
          <cell r="E281" t="e">
            <v>#N/A</v>
          </cell>
          <cell r="F281" t="e">
            <v>#N/A</v>
          </cell>
          <cell r="G281" t="e">
            <v>#N/A</v>
          </cell>
          <cell r="H281" t="e">
            <v>#N/A</v>
          </cell>
          <cell r="I281" t="e">
            <v>#N/A</v>
          </cell>
          <cell r="J281" t="e">
            <v>#N/A</v>
          </cell>
          <cell r="K281" t="e">
            <v>#N/A</v>
          </cell>
          <cell r="L281" t="e">
            <v>#N/A</v>
          </cell>
          <cell r="M281" t="e">
            <v>#N/A</v>
          </cell>
          <cell r="N281" t="e">
            <v>#N/A</v>
          </cell>
          <cell r="O281" t="e">
            <v>#N/A</v>
          </cell>
          <cell r="P281">
            <v>12.55</v>
          </cell>
          <cell r="Q281">
            <v>3.4714669999999996</v>
          </cell>
          <cell r="R281" t="e">
            <v>#N/A</v>
          </cell>
        </row>
        <row r="282">
          <cell r="A282">
            <v>40381</v>
          </cell>
          <cell r="B282">
            <v>40381</v>
          </cell>
          <cell r="C282" t="str">
            <v>Past</v>
          </cell>
          <cell r="D282">
            <v>12.78</v>
          </cell>
          <cell r="E282" t="e">
            <v>#N/A</v>
          </cell>
          <cell r="F282" t="e">
            <v>#N/A</v>
          </cell>
          <cell r="G282" t="e">
            <v>#N/A</v>
          </cell>
          <cell r="H282" t="e">
            <v>#N/A</v>
          </cell>
          <cell r="I282" t="e">
            <v>#N/A</v>
          </cell>
          <cell r="J282" t="e">
            <v>#N/A</v>
          </cell>
          <cell r="K282" t="e">
            <v>#N/A</v>
          </cell>
          <cell r="L282" t="e">
            <v>#N/A</v>
          </cell>
          <cell r="M282" t="e">
            <v>#N/A</v>
          </cell>
          <cell r="N282" t="e">
            <v>#N/A</v>
          </cell>
          <cell r="O282" t="e">
            <v>#N/A</v>
          </cell>
          <cell r="P282">
            <v>12.78</v>
          </cell>
          <cell r="Q282">
            <v>1.318586</v>
          </cell>
          <cell r="R282" t="e">
            <v>#N/A</v>
          </cell>
        </row>
        <row r="283">
          <cell r="A283">
            <v>40382</v>
          </cell>
          <cell r="B283">
            <v>40382</v>
          </cell>
          <cell r="C283" t="str">
            <v>Past</v>
          </cell>
          <cell r="D283">
            <v>12.82</v>
          </cell>
          <cell r="E283" t="e">
            <v>#N/A</v>
          </cell>
          <cell r="F283" t="e">
            <v>#N/A</v>
          </cell>
          <cell r="G283" t="e">
            <v>#N/A</v>
          </cell>
          <cell r="H283" t="e">
            <v>#N/A</v>
          </cell>
          <cell r="I283" t="e">
            <v>#N/A</v>
          </cell>
          <cell r="J283" t="e">
            <v>#N/A</v>
          </cell>
          <cell r="K283" t="e">
            <v>#N/A</v>
          </cell>
          <cell r="L283" t="e">
            <v>#N/A</v>
          </cell>
          <cell r="M283" t="e">
            <v>#N/A</v>
          </cell>
          <cell r="N283" t="e">
            <v>#N/A</v>
          </cell>
          <cell r="O283" t="e">
            <v>#N/A</v>
          </cell>
          <cell r="P283">
            <v>12.82</v>
          </cell>
          <cell r="Q283">
            <v>1.328279</v>
          </cell>
          <cell r="R283" t="e">
            <v>#N/A</v>
          </cell>
        </row>
        <row r="284">
          <cell r="A284">
            <v>40385</v>
          </cell>
          <cell r="B284">
            <v>40385</v>
          </cell>
          <cell r="C284" t="str">
            <v>Past</v>
          </cell>
          <cell r="D284">
            <v>12.88</v>
          </cell>
          <cell r="E284" t="e">
            <v>#N/A</v>
          </cell>
          <cell r="F284" t="e">
            <v>#N/A</v>
          </cell>
          <cell r="G284" t="e">
            <v>#N/A</v>
          </cell>
          <cell r="H284" t="e">
            <v>#N/A</v>
          </cell>
          <cell r="I284" t="e">
            <v>#N/A</v>
          </cell>
          <cell r="J284" t="e">
            <v>#N/A</v>
          </cell>
          <cell r="K284" t="e">
            <v>#N/A</v>
          </cell>
          <cell r="L284" t="e">
            <v>#N/A</v>
          </cell>
          <cell r="M284" t="e">
            <v>#N/A</v>
          </cell>
          <cell r="N284" t="e">
            <v>#N/A</v>
          </cell>
          <cell r="O284" t="e">
            <v>#N/A</v>
          </cell>
          <cell r="P284">
            <v>12.88</v>
          </cell>
          <cell r="Q284">
            <v>1.9803439999999999</v>
          </cell>
          <cell r="R284" t="e">
            <v>#N/A</v>
          </cell>
        </row>
        <row r="285">
          <cell r="A285">
            <v>40386</v>
          </cell>
          <cell r="B285">
            <v>40386</v>
          </cell>
          <cell r="C285" t="str">
            <v>Past</v>
          </cell>
          <cell r="D285">
            <v>13.12</v>
          </cell>
          <cell r="E285" t="e">
            <v>#N/A</v>
          </cell>
          <cell r="F285" t="e">
            <v>#N/A</v>
          </cell>
          <cell r="G285" t="e">
            <v>#N/A</v>
          </cell>
          <cell r="H285" t="e">
            <v>#N/A</v>
          </cell>
          <cell r="I285" t="e">
            <v>#N/A</v>
          </cell>
          <cell r="J285" t="e">
            <v>#N/A</v>
          </cell>
          <cell r="K285" t="e">
            <v>#N/A</v>
          </cell>
          <cell r="L285" t="e">
            <v>#N/A</v>
          </cell>
          <cell r="M285" t="e">
            <v>#N/A</v>
          </cell>
          <cell r="N285" t="e">
            <v>#N/A</v>
          </cell>
          <cell r="O285" t="e">
            <v>#N/A</v>
          </cell>
          <cell r="P285">
            <v>13.12</v>
          </cell>
          <cell r="Q285">
            <v>2.9478309999999999</v>
          </cell>
          <cell r="R285" t="e">
            <v>#N/A</v>
          </cell>
        </row>
        <row r="286">
          <cell r="A286">
            <v>40387</v>
          </cell>
          <cell r="B286">
            <v>40387</v>
          </cell>
          <cell r="C286" t="str">
            <v>Past</v>
          </cell>
          <cell r="D286">
            <v>12.93</v>
          </cell>
          <cell r="E286" t="e">
            <v>#N/A</v>
          </cell>
          <cell r="F286" t="e">
            <v>#N/A</v>
          </cell>
          <cell r="G286" t="e">
            <v>#N/A</v>
          </cell>
          <cell r="H286" t="e">
            <v>#N/A</v>
          </cell>
          <cell r="I286" t="e">
            <v>#N/A</v>
          </cell>
          <cell r="J286" t="e">
            <v>#N/A</v>
          </cell>
          <cell r="K286" t="e">
            <v>#N/A</v>
          </cell>
          <cell r="L286" t="e">
            <v>#N/A</v>
          </cell>
          <cell r="M286" t="e">
            <v>#N/A</v>
          </cell>
          <cell r="N286" t="e">
            <v>#N/A</v>
          </cell>
          <cell r="O286" t="e">
            <v>#N/A</v>
          </cell>
          <cell r="P286">
            <v>12.93</v>
          </cell>
          <cell r="Q286">
            <v>1.091621</v>
          </cell>
          <cell r="R286" t="e">
            <v>#N/A</v>
          </cell>
        </row>
        <row r="287">
          <cell r="A287">
            <v>40388</v>
          </cell>
          <cell r="B287">
            <v>40388</v>
          </cell>
          <cell r="C287" t="str">
            <v>Past</v>
          </cell>
          <cell r="D287">
            <v>12.73</v>
          </cell>
          <cell r="E287" t="e">
            <v>#N/A</v>
          </cell>
          <cell r="F287" t="e">
            <v>#N/A</v>
          </cell>
          <cell r="G287" t="e">
            <v>#N/A</v>
          </cell>
          <cell r="H287" t="e">
            <v>#N/A</v>
          </cell>
          <cell r="I287" t="e">
            <v>#N/A</v>
          </cell>
          <cell r="J287" t="e">
            <v>#N/A</v>
          </cell>
          <cell r="K287" t="e">
            <v>#N/A</v>
          </cell>
          <cell r="L287" t="e">
            <v>#N/A</v>
          </cell>
          <cell r="M287" t="e">
            <v>#N/A</v>
          </cell>
          <cell r="N287" t="e">
            <v>#N/A</v>
          </cell>
          <cell r="O287" t="e">
            <v>#N/A</v>
          </cell>
          <cell r="P287">
            <v>12.73</v>
          </cell>
          <cell r="Q287">
            <v>1.718626</v>
          </cell>
          <cell r="R287" t="e">
            <v>#N/A</v>
          </cell>
        </row>
        <row r="288">
          <cell r="A288">
            <v>40389</v>
          </cell>
          <cell r="B288">
            <v>40389</v>
          </cell>
          <cell r="C288" t="str">
            <v>Past</v>
          </cell>
          <cell r="D288">
            <v>12.7</v>
          </cell>
          <cell r="E288" t="e">
            <v>#N/A</v>
          </cell>
          <cell r="F288" t="e">
            <v>#N/A</v>
          </cell>
          <cell r="G288" t="e">
            <v>#N/A</v>
          </cell>
          <cell r="H288" t="e">
            <v>#N/A</v>
          </cell>
          <cell r="I288" t="e">
            <v>#N/A</v>
          </cell>
          <cell r="J288" t="e">
            <v>#N/A</v>
          </cell>
          <cell r="K288" t="e">
            <v>#N/A</v>
          </cell>
          <cell r="L288" t="e">
            <v>#N/A</v>
          </cell>
          <cell r="M288" t="e">
            <v>#N/A</v>
          </cell>
          <cell r="N288" t="e">
            <v>#N/A</v>
          </cell>
          <cell r="O288" t="e">
            <v>#N/A</v>
          </cell>
          <cell r="P288">
            <v>12.7</v>
          </cell>
          <cell r="Q288">
            <v>1.846115</v>
          </cell>
          <cell r="R288" t="e">
            <v>#N/A</v>
          </cell>
        </row>
        <row r="289">
          <cell r="A289">
            <v>40392</v>
          </cell>
          <cell r="B289">
            <v>40392</v>
          </cell>
          <cell r="C289" t="str">
            <v>Past</v>
          </cell>
          <cell r="D289">
            <v>12.82</v>
          </cell>
          <cell r="E289" t="e">
            <v>#N/A</v>
          </cell>
          <cell r="F289" t="e">
            <v>#N/A</v>
          </cell>
          <cell r="G289" t="e">
            <v>#N/A</v>
          </cell>
          <cell r="H289" t="e">
            <v>#N/A</v>
          </cell>
          <cell r="I289" t="e">
            <v>#N/A</v>
          </cell>
          <cell r="J289" t="e">
            <v>#N/A</v>
          </cell>
          <cell r="K289" t="e">
            <v>#N/A</v>
          </cell>
          <cell r="L289" t="e">
            <v>#N/A</v>
          </cell>
          <cell r="M289" t="e">
            <v>#N/A</v>
          </cell>
          <cell r="N289" t="e">
            <v>#N/A</v>
          </cell>
          <cell r="O289" t="e">
            <v>#N/A</v>
          </cell>
          <cell r="P289">
            <v>12.82</v>
          </cell>
          <cell r="Q289">
            <v>1.8807369999999999</v>
          </cell>
          <cell r="R289" t="e">
            <v>#N/A</v>
          </cell>
        </row>
        <row r="290">
          <cell r="A290">
            <v>40393</v>
          </cell>
          <cell r="B290">
            <v>40393</v>
          </cell>
          <cell r="C290" t="str">
            <v>Past</v>
          </cell>
          <cell r="D290">
            <v>12.77</v>
          </cell>
          <cell r="E290" t="e">
            <v>#N/A</v>
          </cell>
          <cell r="F290" t="e">
            <v>#N/A</v>
          </cell>
          <cell r="G290" t="e">
            <v>#N/A</v>
          </cell>
          <cell r="H290" t="e">
            <v>#N/A</v>
          </cell>
          <cell r="I290" t="e">
            <v>#N/A</v>
          </cell>
          <cell r="J290" t="e">
            <v>#N/A</v>
          </cell>
          <cell r="K290" t="e">
            <v>#N/A</v>
          </cell>
          <cell r="L290" t="e">
            <v>#N/A</v>
          </cell>
          <cell r="M290" t="e">
            <v>#N/A</v>
          </cell>
          <cell r="N290" t="e">
            <v>#N/A</v>
          </cell>
          <cell r="O290" t="e">
            <v>#N/A</v>
          </cell>
          <cell r="P290">
            <v>12.77</v>
          </cell>
          <cell r="Q290">
            <v>1.263906</v>
          </cell>
          <cell r="R290" t="e">
            <v>#N/A</v>
          </cell>
        </row>
        <row r="291">
          <cell r="A291">
            <v>40394</v>
          </cell>
          <cell r="B291">
            <v>40394</v>
          </cell>
          <cell r="C291" t="str">
            <v>Past</v>
          </cell>
          <cell r="D291">
            <v>12.78</v>
          </cell>
          <cell r="E291" t="e">
            <v>#N/A</v>
          </cell>
          <cell r="F291" t="e">
            <v>#N/A</v>
          </cell>
          <cell r="G291" t="e">
            <v>#N/A</v>
          </cell>
          <cell r="H291" t="e">
            <v>#N/A</v>
          </cell>
          <cell r="I291" t="e">
            <v>#N/A</v>
          </cell>
          <cell r="J291" t="e">
            <v>#N/A</v>
          </cell>
          <cell r="K291" t="e">
            <v>#N/A</v>
          </cell>
          <cell r="L291" t="e">
            <v>#N/A</v>
          </cell>
          <cell r="M291" t="e">
            <v>#N/A</v>
          </cell>
          <cell r="N291" t="e">
            <v>#N/A</v>
          </cell>
          <cell r="O291" t="e">
            <v>#N/A</v>
          </cell>
          <cell r="P291">
            <v>12.78</v>
          </cell>
          <cell r="Q291">
            <v>1.3239029999999998</v>
          </cell>
          <cell r="R291" t="e">
            <v>#N/A</v>
          </cell>
        </row>
        <row r="292">
          <cell r="A292">
            <v>40395</v>
          </cell>
          <cell r="B292">
            <v>40395</v>
          </cell>
          <cell r="C292" t="str">
            <v>Past</v>
          </cell>
          <cell r="D292">
            <v>12.9</v>
          </cell>
          <cell r="E292" t="e">
            <v>#N/A</v>
          </cell>
          <cell r="F292" t="e">
            <v>#N/A</v>
          </cell>
          <cell r="G292" t="e">
            <v>#N/A</v>
          </cell>
          <cell r="H292" t="e">
            <v>#N/A</v>
          </cell>
          <cell r="I292" t="e">
            <v>#N/A</v>
          </cell>
          <cell r="J292" t="e">
            <v>#N/A</v>
          </cell>
          <cell r="K292" t="e">
            <v>#N/A</v>
          </cell>
          <cell r="L292" t="e">
            <v>#N/A</v>
          </cell>
          <cell r="M292" t="e">
            <v>#N/A</v>
          </cell>
          <cell r="N292" t="e">
            <v>#N/A</v>
          </cell>
          <cell r="O292" t="e">
            <v>#N/A</v>
          </cell>
          <cell r="P292">
            <v>12.9</v>
          </cell>
          <cell r="Q292">
            <v>0.96239399999999997</v>
          </cell>
          <cell r="R292" t="e">
            <v>#N/A</v>
          </cell>
        </row>
        <row r="293">
          <cell r="A293">
            <v>40396</v>
          </cell>
          <cell r="B293">
            <v>40396</v>
          </cell>
          <cell r="C293" t="str">
            <v>Past</v>
          </cell>
          <cell r="D293">
            <v>12.86</v>
          </cell>
          <cell r="E293" t="e">
            <v>#N/A</v>
          </cell>
          <cell r="F293" t="e">
            <v>#N/A</v>
          </cell>
          <cell r="G293" t="e">
            <v>#N/A</v>
          </cell>
          <cell r="H293" t="e">
            <v>#N/A</v>
          </cell>
          <cell r="I293" t="e">
            <v>#N/A</v>
          </cell>
          <cell r="J293" t="e">
            <v>#N/A</v>
          </cell>
          <cell r="K293" t="e">
            <v>#N/A</v>
          </cell>
          <cell r="L293" t="e">
            <v>#N/A</v>
          </cell>
          <cell r="M293" t="e">
            <v>#N/A</v>
          </cell>
          <cell r="N293" t="e">
            <v>#N/A</v>
          </cell>
          <cell r="O293" t="e">
            <v>#N/A</v>
          </cell>
          <cell r="P293">
            <v>12.86</v>
          </cell>
          <cell r="Q293">
            <v>1.220923</v>
          </cell>
          <cell r="R293" t="e">
            <v>#N/A</v>
          </cell>
        </row>
        <row r="294">
          <cell r="A294">
            <v>40399</v>
          </cell>
          <cell r="B294">
            <v>40399</v>
          </cell>
          <cell r="C294" t="str">
            <v>Past</v>
          </cell>
          <cell r="D294">
            <v>12.99</v>
          </cell>
          <cell r="E294" t="e">
            <v>#N/A</v>
          </cell>
          <cell r="F294" t="e">
            <v>#N/A</v>
          </cell>
          <cell r="G294" t="e">
            <v>#N/A</v>
          </cell>
          <cell r="H294" t="e">
            <v>#N/A</v>
          </cell>
          <cell r="I294" t="e">
            <v>#N/A</v>
          </cell>
          <cell r="J294" t="e">
            <v>#N/A</v>
          </cell>
          <cell r="K294" t="e">
            <v>#N/A</v>
          </cell>
          <cell r="L294" t="e">
            <v>#N/A</v>
          </cell>
          <cell r="M294" t="e">
            <v>#N/A</v>
          </cell>
          <cell r="N294" t="e">
            <v>#N/A</v>
          </cell>
          <cell r="O294" t="e">
            <v>#N/A</v>
          </cell>
          <cell r="P294">
            <v>12.99</v>
          </cell>
          <cell r="Q294">
            <v>1.9647569999999999</v>
          </cell>
          <cell r="R294" t="e">
            <v>#N/A</v>
          </cell>
        </row>
        <row r="295">
          <cell r="A295">
            <v>40400</v>
          </cell>
          <cell r="B295">
            <v>40400</v>
          </cell>
          <cell r="C295" t="str">
            <v>Past</v>
          </cell>
          <cell r="D295">
            <v>12.96</v>
          </cell>
          <cell r="E295" t="e">
            <v>#N/A</v>
          </cell>
          <cell r="F295" t="e">
            <v>#N/A</v>
          </cell>
          <cell r="G295" t="e">
            <v>#N/A</v>
          </cell>
          <cell r="H295" t="e">
            <v>#N/A</v>
          </cell>
          <cell r="I295" t="e">
            <v>#N/A</v>
          </cell>
          <cell r="J295" t="e">
            <v>#N/A</v>
          </cell>
          <cell r="K295" t="e">
            <v>#N/A</v>
          </cell>
          <cell r="L295" t="e">
            <v>#N/A</v>
          </cell>
          <cell r="M295" t="e">
            <v>#N/A</v>
          </cell>
          <cell r="N295" t="e">
            <v>#N/A</v>
          </cell>
          <cell r="O295" t="e">
            <v>#N/A</v>
          </cell>
          <cell r="P295">
            <v>12.96</v>
          </cell>
          <cell r="Q295">
            <v>1.34331</v>
          </cell>
          <cell r="R295" t="e">
            <v>#N/A</v>
          </cell>
        </row>
        <row r="296">
          <cell r="A296">
            <v>40401</v>
          </cell>
          <cell r="B296">
            <v>40401</v>
          </cell>
          <cell r="C296" t="str">
            <v>Past</v>
          </cell>
          <cell r="D296">
            <v>12.69</v>
          </cell>
          <cell r="E296" t="e">
            <v>#N/A</v>
          </cell>
          <cell r="F296" t="e">
            <v>#N/A</v>
          </cell>
          <cell r="G296" t="e">
            <v>#N/A</v>
          </cell>
          <cell r="H296" t="e">
            <v>#N/A</v>
          </cell>
          <cell r="I296" t="e">
            <v>#N/A</v>
          </cell>
          <cell r="J296" t="e">
            <v>#N/A</v>
          </cell>
          <cell r="K296" t="e">
            <v>#N/A</v>
          </cell>
          <cell r="L296" t="e">
            <v>#N/A</v>
          </cell>
          <cell r="M296" t="e">
            <v>#N/A</v>
          </cell>
          <cell r="N296" t="e">
            <v>#N/A</v>
          </cell>
          <cell r="O296" t="e">
            <v>#N/A</v>
          </cell>
          <cell r="P296">
            <v>12.69</v>
          </cell>
          <cell r="Q296">
            <v>1.5584</v>
          </cell>
          <cell r="R296" t="e">
            <v>#N/A</v>
          </cell>
        </row>
        <row r="297">
          <cell r="A297">
            <v>40402</v>
          </cell>
          <cell r="B297">
            <v>40402</v>
          </cell>
          <cell r="C297" t="str">
            <v>Past</v>
          </cell>
          <cell r="D297">
            <v>12.75</v>
          </cell>
          <cell r="E297" t="e">
            <v>#N/A</v>
          </cell>
          <cell r="F297" t="e">
            <v>#N/A</v>
          </cell>
          <cell r="G297" t="e">
            <v>#N/A</v>
          </cell>
          <cell r="H297" t="e">
            <v>#N/A</v>
          </cell>
          <cell r="I297" t="e">
            <v>#N/A</v>
          </cell>
          <cell r="J297" t="e">
            <v>#N/A</v>
          </cell>
          <cell r="K297" t="e">
            <v>#N/A</v>
          </cell>
          <cell r="L297" t="e">
            <v>#N/A</v>
          </cell>
          <cell r="M297" t="e">
            <v>#N/A</v>
          </cell>
          <cell r="N297" t="e">
            <v>#N/A</v>
          </cell>
          <cell r="O297" t="e">
            <v>#N/A</v>
          </cell>
          <cell r="P297">
            <v>12.75</v>
          </cell>
          <cell r="Q297">
            <v>2.0656810000000001</v>
          </cell>
          <cell r="R297" t="e">
            <v>#N/A</v>
          </cell>
        </row>
        <row r="298">
          <cell r="A298">
            <v>40403</v>
          </cell>
          <cell r="B298">
            <v>40403</v>
          </cell>
          <cell r="C298" t="str">
            <v>Past</v>
          </cell>
          <cell r="D298">
            <v>12.82</v>
          </cell>
          <cell r="E298" t="e">
            <v>#N/A</v>
          </cell>
          <cell r="F298" t="e">
            <v>#N/A</v>
          </cell>
          <cell r="G298" t="e">
            <v>#N/A</v>
          </cell>
          <cell r="H298" t="e">
            <v>#N/A</v>
          </cell>
          <cell r="I298" t="e">
            <v>#N/A</v>
          </cell>
          <cell r="J298" t="e">
            <v>#N/A</v>
          </cell>
          <cell r="K298" t="e">
            <v>#N/A</v>
          </cell>
          <cell r="L298" t="e">
            <v>#N/A</v>
          </cell>
          <cell r="M298" t="e">
            <v>#N/A</v>
          </cell>
          <cell r="N298" t="e">
            <v>#N/A</v>
          </cell>
          <cell r="O298" t="e">
            <v>#N/A</v>
          </cell>
          <cell r="P298">
            <v>12.82</v>
          </cell>
          <cell r="Q298">
            <v>0.93745000000000012</v>
          </cell>
          <cell r="R298" t="e">
            <v>#N/A</v>
          </cell>
        </row>
        <row r="299">
          <cell r="A299">
            <v>40406</v>
          </cell>
          <cell r="B299">
            <v>40406</v>
          </cell>
          <cell r="C299" t="str">
            <v>Past</v>
          </cell>
          <cell r="D299">
            <v>12.82</v>
          </cell>
          <cell r="E299" t="e">
            <v>#N/A</v>
          </cell>
          <cell r="F299" t="e">
            <v>#N/A</v>
          </cell>
          <cell r="G299" t="e">
            <v>#N/A</v>
          </cell>
          <cell r="H299" t="e">
            <v>#N/A</v>
          </cell>
          <cell r="I299" t="e">
            <v>#N/A</v>
          </cell>
          <cell r="J299" t="e">
            <v>#N/A</v>
          </cell>
          <cell r="K299" t="e">
            <v>#N/A</v>
          </cell>
          <cell r="L299" t="e">
            <v>#N/A</v>
          </cell>
          <cell r="M299" t="e">
            <v>#N/A</v>
          </cell>
          <cell r="N299" t="e">
            <v>#N/A</v>
          </cell>
          <cell r="O299" t="e">
            <v>#N/A</v>
          </cell>
          <cell r="P299">
            <v>12.82</v>
          </cell>
          <cell r="Q299">
            <v>0.783667</v>
          </cell>
          <cell r="R299" t="e">
            <v>#N/A</v>
          </cell>
        </row>
        <row r="300">
          <cell r="A300">
            <v>40407</v>
          </cell>
          <cell r="B300">
            <v>40407</v>
          </cell>
          <cell r="C300" t="str">
            <v>Past</v>
          </cell>
          <cell r="D300">
            <v>12.95</v>
          </cell>
          <cell r="E300" t="e">
            <v>#N/A</v>
          </cell>
          <cell r="F300" t="e">
            <v>#N/A</v>
          </cell>
          <cell r="G300" t="e">
            <v>#N/A</v>
          </cell>
          <cell r="H300" t="e">
            <v>#N/A</v>
          </cell>
          <cell r="I300" t="e">
            <v>#N/A</v>
          </cell>
          <cell r="J300" t="e">
            <v>#N/A</v>
          </cell>
          <cell r="K300" t="e">
            <v>#N/A</v>
          </cell>
          <cell r="L300" t="e">
            <v>#N/A</v>
          </cell>
          <cell r="M300" t="e">
            <v>#N/A</v>
          </cell>
          <cell r="N300" t="e">
            <v>#N/A</v>
          </cell>
          <cell r="O300" t="e">
            <v>#N/A</v>
          </cell>
          <cell r="P300">
            <v>12.95</v>
          </cell>
          <cell r="Q300">
            <v>0.81975599999999993</v>
          </cell>
          <cell r="R300" t="e">
            <v>#N/A</v>
          </cell>
        </row>
        <row r="301">
          <cell r="A301">
            <v>40408</v>
          </cell>
          <cell r="B301">
            <v>40408</v>
          </cell>
          <cell r="C301" t="str">
            <v>Past</v>
          </cell>
          <cell r="D301">
            <v>12.84</v>
          </cell>
          <cell r="E301" t="e">
            <v>#N/A</v>
          </cell>
          <cell r="F301" t="e">
            <v>#N/A</v>
          </cell>
          <cell r="G301" t="e">
            <v>#N/A</v>
          </cell>
          <cell r="H301" t="e">
            <v>#N/A</v>
          </cell>
          <cell r="I301" t="e">
            <v>#N/A</v>
          </cell>
          <cell r="J301" t="e">
            <v>#N/A</v>
          </cell>
          <cell r="K301" t="e">
            <v>#N/A</v>
          </cell>
          <cell r="L301" t="e">
            <v>#N/A</v>
          </cell>
          <cell r="M301" t="e">
            <v>#N/A</v>
          </cell>
          <cell r="N301" t="e">
            <v>#N/A</v>
          </cell>
          <cell r="O301" t="e">
            <v>#N/A</v>
          </cell>
          <cell r="P301">
            <v>12.84</v>
          </cell>
          <cell r="Q301">
            <v>1.089143</v>
          </cell>
          <cell r="R301" t="e">
            <v>#N/A</v>
          </cell>
        </row>
        <row r="302">
          <cell r="A302">
            <v>40409</v>
          </cell>
          <cell r="B302">
            <v>40409</v>
          </cell>
          <cell r="C302" t="str">
            <v>Past</v>
          </cell>
          <cell r="D302">
            <v>12.6</v>
          </cell>
          <cell r="E302" t="e">
            <v>#N/A</v>
          </cell>
          <cell r="F302" t="e">
            <v>#N/A</v>
          </cell>
          <cell r="G302" t="e">
            <v>#N/A</v>
          </cell>
          <cell r="H302" t="e">
            <v>#N/A</v>
          </cell>
          <cell r="I302" t="e">
            <v>#N/A</v>
          </cell>
          <cell r="J302" t="e">
            <v>#N/A</v>
          </cell>
          <cell r="K302" t="e">
            <v>#N/A</v>
          </cell>
          <cell r="L302" t="e">
            <v>#N/A</v>
          </cell>
          <cell r="M302" t="e">
            <v>#N/A</v>
          </cell>
          <cell r="N302" t="e">
            <v>#N/A</v>
          </cell>
          <cell r="O302" t="e">
            <v>#N/A</v>
          </cell>
          <cell r="P302">
            <v>12.6</v>
          </cell>
          <cell r="Q302">
            <v>0.71370099999999992</v>
          </cell>
          <cell r="R302" t="e">
            <v>#N/A</v>
          </cell>
        </row>
        <row r="303">
          <cell r="A303">
            <v>40410</v>
          </cell>
          <cell r="B303">
            <v>40410</v>
          </cell>
          <cell r="C303" t="str">
            <v>Past</v>
          </cell>
          <cell r="D303">
            <v>12.57</v>
          </cell>
          <cell r="E303" t="e">
            <v>#N/A</v>
          </cell>
          <cell r="F303" t="e">
            <v>#N/A</v>
          </cell>
          <cell r="G303" t="e">
            <v>#N/A</v>
          </cell>
          <cell r="H303" t="e">
            <v>#N/A</v>
          </cell>
          <cell r="I303" t="e">
            <v>#N/A</v>
          </cell>
          <cell r="J303" t="e">
            <v>#N/A</v>
          </cell>
          <cell r="K303" t="e">
            <v>#N/A</v>
          </cell>
          <cell r="L303" t="e">
            <v>#N/A</v>
          </cell>
          <cell r="M303" t="e">
            <v>#N/A</v>
          </cell>
          <cell r="N303" t="e">
            <v>#N/A</v>
          </cell>
          <cell r="O303" t="e">
            <v>#N/A</v>
          </cell>
          <cell r="P303">
            <v>12.57</v>
          </cell>
          <cell r="Q303">
            <v>1.371812</v>
          </cell>
          <cell r="R303" t="e">
            <v>#N/A</v>
          </cell>
        </row>
        <row r="304">
          <cell r="A304">
            <v>40413</v>
          </cell>
          <cell r="B304">
            <v>40413</v>
          </cell>
          <cell r="C304" t="str">
            <v>Past</v>
          </cell>
          <cell r="D304">
            <v>12.56</v>
          </cell>
          <cell r="E304" t="e">
            <v>#N/A</v>
          </cell>
          <cell r="F304" t="e">
            <v>#N/A</v>
          </cell>
          <cell r="G304" t="e">
            <v>#N/A</v>
          </cell>
          <cell r="H304" t="e">
            <v>#N/A</v>
          </cell>
          <cell r="I304" t="e">
            <v>#N/A</v>
          </cell>
          <cell r="J304" t="e">
            <v>#N/A</v>
          </cell>
          <cell r="K304" t="e">
            <v>#N/A</v>
          </cell>
          <cell r="L304" t="e">
            <v>#N/A</v>
          </cell>
          <cell r="M304" t="e">
            <v>#N/A</v>
          </cell>
          <cell r="N304" t="e">
            <v>#N/A</v>
          </cell>
          <cell r="O304" t="e">
            <v>#N/A</v>
          </cell>
          <cell r="P304">
            <v>12.56</v>
          </cell>
          <cell r="Q304">
            <v>1.7882069999999999</v>
          </cell>
          <cell r="R304" t="e">
            <v>#N/A</v>
          </cell>
        </row>
        <row r="305">
          <cell r="A305">
            <v>40414</v>
          </cell>
          <cell r="B305">
            <v>40414</v>
          </cell>
          <cell r="C305" t="str">
            <v>Past</v>
          </cell>
          <cell r="D305">
            <v>12.51</v>
          </cell>
          <cell r="E305" t="e">
            <v>#N/A</v>
          </cell>
          <cell r="F305" t="e">
            <v>#N/A</v>
          </cell>
          <cell r="G305" t="e">
            <v>#N/A</v>
          </cell>
          <cell r="H305" t="e">
            <v>#N/A</v>
          </cell>
          <cell r="I305" t="e">
            <v>#N/A</v>
          </cell>
          <cell r="J305" t="e">
            <v>#N/A</v>
          </cell>
          <cell r="K305" t="e">
            <v>#N/A</v>
          </cell>
          <cell r="L305" t="e">
            <v>#N/A</v>
          </cell>
          <cell r="M305" t="e">
            <v>#N/A</v>
          </cell>
          <cell r="N305" t="e">
            <v>#N/A</v>
          </cell>
          <cell r="O305" t="e">
            <v>#N/A</v>
          </cell>
          <cell r="P305">
            <v>12.51</v>
          </cell>
          <cell r="Q305">
            <v>1.018284</v>
          </cell>
          <cell r="R305" t="e">
            <v>#N/A</v>
          </cell>
        </row>
        <row r="306">
          <cell r="A306">
            <v>40415</v>
          </cell>
          <cell r="B306">
            <v>40415</v>
          </cell>
          <cell r="C306" t="str">
            <v>Past</v>
          </cell>
          <cell r="D306">
            <v>12.51</v>
          </cell>
          <cell r="E306" t="e">
            <v>#N/A</v>
          </cell>
          <cell r="F306" t="e">
            <v>#N/A</v>
          </cell>
          <cell r="G306" t="e">
            <v>#N/A</v>
          </cell>
          <cell r="H306" t="e">
            <v>#N/A</v>
          </cell>
          <cell r="I306" t="e">
            <v>#N/A</v>
          </cell>
          <cell r="J306" t="e">
            <v>#N/A</v>
          </cell>
          <cell r="K306" t="e">
            <v>#N/A</v>
          </cell>
          <cell r="L306" t="e">
            <v>#N/A</v>
          </cell>
          <cell r="M306" t="e">
            <v>#N/A</v>
          </cell>
          <cell r="N306" t="e">
            <v>#N/A</v>
          </cell>
          <cell r="O306" t="e">
            <v>#N/A</v>
          </cell>
          <cell r="P306">
            <v>12.51</v>
          </cell>
          <cell r="Q306">
            <v>1.948426</v>
          </cell>
          <cell r="R306" t="e">
            <v>#N/A</v>
          </cell>
        </row>
        <row r="307">
          <cell r="A307">
            <v>40416</v>
          </cell>
          <cell r="B307">
            <v>40416</v>
          </cell>
          <cell r="C307" t="str">
            <v>Past</v>
          </cell>
          <cell r="D307">
            <v>12.51</v>
          </cell>
          <cell r="E307" t="e">
            <v>#N/A</v>
          </cell>
          <cell r="F307" t="e">
            <v>#N/A</v>
          </cell>
          <cell r="G307" t="e">
            <v>#N/A</v>
          </cell>
          <cell r="H307" t="e">
            <v>#N/A</v>
          </cell>
          <cell r="I307" t="e">
            <v>#N/A</v>
          </cell>
          <cell r="J307" t="e">
            <v>#N/A</v>
          </cell>
          <cell r="K307" t="e">
            <v>#N/A</v>
          </cell>
          <cell r="L307" t="e">
            <v>#N/A</v>
          </cell>
          <cell r="M307" t="e">
            <v>#N/A</v>
          </cell>
          <cell r="N307" t="e">
            <v>#N/A</v>
          </cell>
          <cell r="O307" t="e">
            <v>#N/A</v>
          </cell>
          <cell r="P307">
            <v>12.51</v>
          </cell>
          <cell r="Q307">
            <v>1.2078149999999999</v>
          </cell>
          <cell r="R307" t="e">
            <v>#N/A</v>
          </cell>
        </row>
        <row r="308">
          <cell r="A308">
            <v>40417</v>
          </cell>
          <cell r="B308">
            <v>40417</v>
          </cell>
          <cell r="C308" t="str">
            <v>Past</v>
          </cell>
          <cell r="D308">
            <v>12.8</v>
          </cell>
          <cell r="E308" t="e">
            <v>#N/A</v>
          </cell>
          <cell r="F308" t="e">
            <v>#N/A</v>
          </cell>
          <cell r="G308" t="e">
            <v>#N/A</v>
          </cell>
          <cell r="H308" t="e">
            <v>#N/A</v>
          </cell>
          <cell r="I308" t="e">
            <v>#N/A</v>
          </cell>
          <cell r="J308" t="e">
            <v>#N/A</v>
          </cell>
          <cell r="K308" t="e">
            <v>#N/A</v>
          </cell>
          <cell r="L308" t="e">
            <v>#N/A</v>
          </cell>
          <cell r="M308" t="e">
            <v>#N/A</v>
          </cell>
          <cell r="N308" t="e">
            <v>#N/A</v>
          </cell>
          <cell r="O308" t="e">
            <v>#N/A</v>
          </cell>
          <cell r="P308">
            <v>12.8</v>
          </cell>
          <cell r="Q308">
            <v>2.2369500000000002</v>
          </cell>
          <cell r="R308" t="e">
            <v>#N/A</v>
          </cell>
        </row>
        <row r="309">
          <cell r="A309">
            <v>40420</v>
          </cell>
          <cell r="B309">
            <v>40420</v>
          </cell>
          <cell r="C309" t="str">
            <v>Past</v>
          </cell>
          <cell r="D309">
            <v>12.64</v>
          </cell>
          <cell r="E309" t="e">
            <v>#N/A</v>
          </cell>
          <cell r="F309" t="e">
            <v>#N/A</v>
          </cell>
          <cell r="G309" t="e">
            <v>#N/A</v>
          </cell>
          <cell r="H309" t="e">
            <v>#N/A</v>
          </cell>
          <cell r="I309" t="e">
            <v>#N/A</v>
          </cell>
          <cell r="J309" t="e">
            <v>#N/A</v>
          </cell>
          <cell r="K309" t="e">
            <v>#N/A</v>
          </cell>
          <cell r="L309" t="e">
            <v>#N/A</v>
          </cell>
          <cell r="M309" t="e">
            <v>#N/A</v>
          </cell>
          <cell r="N309" t="e">
            <v>#N/A</v>
          </cell>
          <cell r="O309" t="e">
            <v>#N/A</v>
          </cell>
          <cell r="P309">
            <v>12.64</v>
          </cell>
          <cell r="Q309">
            <v>1.491317</v>
          </cell>
          <cell r="R309" t="e">
            <v>#N/A</v>
          </cell>
        </row>
        <row r="310">
          <cell r="A310">
            <v>40421</v>
          </cell>
          <cell r="B310">
            <v>40421</v>
          </cell>
          <cell r="C310" t="str">
            <v>Past</v>
          </cell>
          <cell r="D310">
            <v>12.8</v>
          </cell>
          <cell r="E310" t="e">
            <v>#N/A</v>
          </cell>
          <cell r="F310" t="e">
            <v>#N/A</v>
          </cell>
          <cell r="G310" t="e">
            <v>#N/A</v>
          </cell>
          <cell r="H310" t="e">
            <v>#N/A</v>
          </cell>
          <cell r="I310" t="e">
            <v>#N/A</v>
          </cell>
          <cell r="J310" t="e">
            <v>#N/A</v>
          </cell>
          <cell r="K310" t="e">
            <v>#N/A</v>
          </cell>
          <cell r="L310" t="e">
            <v>#N/A</v>
          </cell>
          <cell r="M310" t="e">
            <v>#N/A</v>
          </cell>
          <cell r="N310" t="e">
            <v>#N/A</v>
          </cell>
          <cell r="O310" t="e">
            <v>#N/A</v>
          </cell>
          <cell r="P310">
            <v>12.8</v>
          </cell>
          <cell r="Q310">
            <v>1.946672</v>
          </cell>
          <cell r="R310" t="e">
            <v>#N/A</v>
          </cell>
        </row>
        <row r="311">
          <cell r="A311">
            <v>40422</v>
          </cell>
          <cell r="B311">
            <v>40422</v>
          </cell>
          <cell r="C311" t="str">
            <v>Past</v>
          </cell>
          <cell r="D311">
            <v>13.13</v>
          </cell>
          <cell r="E311" t="e">
            <v>#N/A</v>
          </cell>
          <cell r="F311" t="e">
            <v>#N/A</v>
          </cell>
          <cell r="G311" t="e">
            <v>#N/A</v>
          </cell>
          <cell r="H311" t="e">
            <v>#N/A</v>
          </cell>
          <cell r="I311" t="e">
            <v>#N/A</v>
          </cell>
          <cell r="J311" t="e">
            <v>#N/A</v>
          </cell>
          <cell r="K311" t="e">
            <v>#N/A</v>
          </cell>
          <cell r="L311" t="e">
            <v>#N/A</v>
          </cell>
          <cell r="M311" t="e">
            <v>#N/A</v>
          </cell>
          <cell r="N311" t="e">
            <v>#N/A</v>
          </cell>
          <cell r="O311" t="e">
            <v>#N/A</v>
          </cell>
          <cell r="P311">
            <v>13.13</v>
          </cell>
          <cell r="Q311">
            <v>2.65388</v>
          </cell>
          <cell r="R311" t="e">
            <v>#N/A</v>
          </cell>
        </row>
        <row r="312">
          <cell r="A312">
            <v>40423</v>
          </cell>
          <cell r="B312">
            <v>40423</v>
          </cell>
          <cell r="C312" t="str">
            <v>Past</v>
          </cell>
          <cell r="D312">
            <v>13.07</v>
          </cell>
          <cell r="E312" t="e">
            <v>#N/A</v>
          </cell>
          <cell r="F312" t="e">
            <v>#N/A</v>
          </cell>
          <cell r="G312" t="e">
            <v>#N/A</v>
          </cell>
          <cell r="H312" t="e">
            <v>#N/A</v>
          </cell>
          <cell r="I312" t="e">
            <v>#N/A</v>
          </cell>
          <cell r="J312" t="e">
            <v>#N/A</v>
          </cell>
          <cell r="K312" t="e">
            <v>#N/A</v>
          </cell>
          <cell r="L312" t="e">
            <v>#N/A</v>
          </cell>
          <cell r="M312" t="e">
            <v>#N/A</v>
          </cell>
          <cell r="N312" t="e">
            <v>#N/A</v>
          </cell>
          <cell r="O312" t="e">
            <v>#N/A</v>
          </cell>
          <cell r="P312">
            <v>13.07</v>
          </cell>
          <cell r="Q312">
            <v>3.9073409999999997</v>
          </cell>
          <cell r="R312" t="e">
            <v>#N/A</v>
          </cell>
        </row>
        <row r="313">
          <cell r="A313">
            <v>40424</v>
          </cell>
          <cell r="B313">
            <v>40424</v>
          </cell>
          <cell r="C313" t="str">
            <v>Past</v>
          </cell>
          <cell r="D313">
            <v>13.21</v>
          </cell>
          <cell r="E313" t="e">
            <v>#N/A</v>
          </cell>
          <cell r="F313" t="e">
            <v>#N/A</v>
          </cell>
          <cell r="G313" t="e">
            <v>#N/A</v>
          </cell>
          <cell r="H313" t="e">
            <v>#N/A</v>
          </cell>
          <cell r="I313" t="e">
            <v>#N/A</v>
          </cell>
          <cell r="J313" t="e">
            <v>#N/A</v>
          </cell>
          <cell r="K313" t="e">
            <v>#N/A</v>
          </cell>
          <cell r="L313" t="e">
            <v>#N/A</v>
          </cell>
          <cell r="M313" t="e">
            <v>#N/A</v>
          </cell>
          <cell r="N313" t="e">
            <v>#N/A</v>
          </cell>
          <cell r="O313" t="e">
            <v>#N/A</v>
          </cell>
          <cell r="P313">
            <v>13.21</v>
          </cell>
          <cell r="Q313">
            <v>1.7133909999999999</v>
          </cell>
          <cell r="R313" t="e">
            <v>#N/A</v>
          </cell>
        </row>
        <row r="314">
          <cell r="A314">
            <v>40428</v>
          </cell>
          <cell r="B314">
            <v>40428</v>
          </cell>
          <cell r="C314" t="str">
            <v>Past</v>
          </cell>
          <cell r="D314">
            <v>13.13</v>
          </cell>
          <cell r="E314" t="e">
            <v>#N/A</v>
          </cell>
          <cell r="F314" t="e">
            <v>#N/A</v>
          </cell>
          <cell r="G314" t="e">
            <v>#N/A</v>
          </cell>
          <cell r="H314" t="e">
            <v>#N/A</v>
          </cell>
          <cell r="I314" t="e">
            <v>#N/A</v>
          </cell>
          <cell r="J314" t="e">
            <v>#N/A</v>
          </cell>
          <cell r="K314" t="e">
            <v>#N/A</v>
          </cell>
          <cell r="L314" t="e">
            <v>#N/A</v>
          </cell>
          <cell r="M314" t="e">
            <v>#N/A</v>
          </cell>
          <cell r="N314" t="e">
            <v>#N/A</v>
          </cell>
          <cell r="O314" t="e">
            <v>#N/A</v>
          </cell>
          <cell r="P314">
            <v>13.13</v>
          </cell>
          <cell r="Q314">
            <v>1.388282</v>
          </cell>
          <cell r="R314" t="e">
            <v>#N/A</v>
          </cell>
        </row>
        <row r="315">
          <cell r="A315">
            <v>40429</v>
          </cell>
          <cell r="B315">
            <v>40429</v>
          </cell>
          <cell r="C315" t="str">
            <v>Past</v>
          </cell>
          <cell r="D315">
            <v>12.95</v>
          </cell>
          <cell r="E315" t="e">
            <v>#N/A</v>
          </cell>
          <cell r="F315" t="e">
            <v>#N/A</v>
          </cell>
          <cell r="G315" t="e">
            <v>#N/A</v>
          </cell>
          <cell r="H315" t="e">
            <v>#N/A</v>
          </cell>
          <cell r="I315" t="e">
            <v>#N/A</v>
          </cell>
          <cell r="J315" t="e">
            <v>#N/A</v>
          </cell>
          <cell r="K315" t="e">
            <v>#N/A</v>
          </cell>
          <cell r="L315" t="e">
            <v>#N/A</v>
          </cell>
          <cell r="M315" t="e">
            <v>#N/A</v>
          </cell>
          <cell r="N315" t="e">
            <v>#N/A</v>
          </cell>
          <cell r="O315" t="e">
            <v>#N/A</v>
          </cell>
          <cell r="P315">
            <v>12.95</v>
          </cell>
          <cell r="Q315">
            <v>1.844096</v>
          </cell>
          <cell r="R315" t="e">
            <v>#N/A</v>
          </cell>
        </row>
        <row r="316">
          <cell r="A316">
            <v>40430</v>
          </cell>
          <cell r="B316">
            <v>40430</v>
          </cell>
          <cell r="C316" t="str">
            <v>Past</v>
          </cell>
          <cell r="D316">
            <v>13</v>
          </cell>
          <cell r="E316" t="e">
            <v>#N/A</v>
          </cell>
          <cell r="F316" t="e">
            <v>#N/A</v>
          </cell>
          <cell r="G316" t="e">
            <v>#N/A</v>
          </cell>
          <cell r="H316" t="e">
            <v>#N/A</v>
          </cell>
          <cell r="I316" t="e">
            <v>#N/A</v>
          </cell>
          <cell r="J316" t="e">
            <v>#N/A</v>
          </cell>
          <cell r="K316" t="e">
            <v>#N/A</v>
          </cell>
          <cell r="L316" t="e">
            <v>#N/A</v>
          </cell>
          <cell r="M316" t="e">
            <v>#N/A</v>
          </cell>
          <cell r="N316" t="e">
            <v>#N/A</v>
          </cell>
          <cell r="O316" t="e">
            <v>#N/A</v>
          </cell>
          <cell r="P316">
            <v>13</v>
          </cell>
          <cell r="Q316">
            <v>2.1684220000000001</v>
          </cell>
          <cell r="R316" t="e">
            <v>#N/A</v>
          </cell>
        </row>
        <row r="317">
          <cell r="A317">
            <v>40431</v>
          </cell>
          <cell r="B317">
            <v>40431</v>
          </cell>
          <cell r="C317" t="str">
            <v>Past</v>
          </cell>
          <cell r="D317">
            <v>12.95</v>
          </cell>
          <cell r="E317" t="e">
            <v>#N/A</v>
          </cell>
          <cell r="F317" t="e">
            <v>#N/A</v>
          </cell>
          <cell r="G317" t="e">
            <v>#N/A</v>
          </cell>
          <cell r="H317" t="e">
            <v>#N/A</v>
          </cell>
          <cell r="I317" t="e">
            <v>#N/A</v>
          </cell>
          <cell r="J317" t="e">
            <v>#N/A</v>
          </cell>
          <cell r="K317" t="e">
            <v>#N/A</v>
          </cell>
          <cell r="L317" t="e">
            <v>#N/A</v>
          </cell>
          <cell r="M317" t="e">
            <v>#N/A</v>
          </cell>
          <cell r="N317" t="e">
            <v>#N/A</v>
          </cell>
          <cell r="O317" t="e">
            <v>#N/A</v>
          </cell>
          <cell r="P317">
            <v>12.95</v>
          </cell>
          <cell r="Q317">
            <v>3.4128089999999998</v>
          </cell>
          <cell r="R317" t="e">
            <v>#N/A</v>
          </cell>
        </row>
        <row r="318">
          <cell r="A318">
            <v>40434</v>
          </cell>
          <cell r="B318">
            <v>40434</v>
          </cell>
          <cell r="C318" t="str">
            <v>Past</v>
          </cell>
          <cell r="D318">
            <v>13.13</v>
          </cell>
          <cell r="E318" t="e">
            <v>#N/A</v>
          </cell>
          <cell r="F318" t="e">
            <v>#N/A</v>
          </cell>
          <cell r="G318" t="e">
            <v>#N/A</v>
          </cell>
          <cell r="H318" t="e">
            <v>#N/A</v>
          </cell>
          <cell r="I318" t="e">
            <v>#N/A</v>
          </cell>
          <cell r="J318" t="e">
            <v>#N/A</v>
          </cell>
          <cell r="K318" t="e">
            <v>#N/A</v>
          </cell>
          <cell r="L318" t="e">
            <v>#N/A</v>
          </cell>
          <cell r="M318" t="e">
            <v>#N/A</v>
          </cell>
          <cell r="N318" t="e">
            <v>#N/A</v>
          </cell>
          <cell r="O318" t="e">
            <v>#N/A</v>
          </cell>
          <cell r="P318">
            <v>13.13</v>
          </cell>
          <cell r="Q318">
            <v>1.9109800000000001</v>
          </cell>
          <cell r="R318" t="e">
            <v>#N/A</v>
          </cell>
        </row>
        <row r="319">
          <cell r="A319">
            <v>40435</v>
          </cell>
          <cell r="B319">
            <v>40435</v>
          </cell>
          <cell r="C319" t="str">
            <v>Past</v>
          </cell>
          <cell r="D319">
            <v>13.1</v>
          </cell>
          <cell r="E319" t="e">
            <v>#N/A</v>
          </cell>
          <cell r="F319" t="e">
            <v>#N/A</v>
          </cell>
          <cell r="G319" t="e">
            <v>#N/A</v>
          </cell>
          <cell r="H319" t="e">
            <v>#N/A</v>
          </cell>
          <cell r="I319" t="e">
            <v>#N/A</v>
          </cell>
          <cell r="J319" t="e">
            <v>#N/A</v>
          </cell>
          <cell r="K319" t="e">
            <v>#N/A</v>
          </cell>
          <cell r="L319" t="e">
            <v>#N/A</v>
          </cell>
          <cell r="M319" t="e">
            <v>#N/A</v>
          </cell>
          <cell r="N319" t="e">
            <v>#N/A</v>
          </cell>
          <cell r="O319" t="e">
            <v>#N/A</v>
          </cell>
          <cell r="P319">
            <v>13.1</v>
          </cell>
          <cell r="Q319">
            <v>1.5091000000000001</v>
          </cell>
          <cell r="R319" t="e">
            <v>#N/A</v>
          </cell>
        </row>
        <row r="320">
          <cell r="A320">
            <v>40436</v>
          </cell>
          <cell r="B320">
            <v>40436</v>
          </cell>
          <cell r="C320" t="str">
            <v>Past</v>
          </cell>
          <cell r="D320">
            <v>12.92</v>
          </cell>
          <cell r="E320" t="e">
            <v>#N/A</v>
          </cell>
          <cell r="F320" t="e">
            <v>#N/A</v>
          </cell>
          <cell r="G320" t="e">
            <v>#N/A</v>
          </cell>
          <cell r="H320" t="e">
            <v>#N/A</v>
          </cell>
          <cell r="I320" t="e">
            <v>#N/A</v>
          </cell>
          <cell r="J320" t="e">
            <v>#N/A</v>
          </cell>
          <cell r="K320" t="e">
            <v>#N/A</v>
          </cell>
          <cell r="L320" t="e">
            <v>#N/A</v>
          </cell>
          <cell r="M320" t="e">
            <v>#N/A</v>
          </cell>
          <cell r="N320" t="e">
            <v>#N/A</v>
          </cell>
          <cell r="O320" t="e">
            <v>#N/A</v>
          </cell>
          <cell r="P320">
            <v>12.92</v>
          </cell>
          <cell r="Q320">
            <v>2.0562860000000001</v>
          </cell>
          <cell r="R320" t="e">
            <v>#N/A</v>
          </cell>
        </row>
        <row r="321">
          <cell r="A321">
            <v>40437</v>
          </cell>
          <cell r="B321">
            <v>40437</v>
          </cell>
          <cell r="C321" t="str">
            <v>Past</v>
          </cell>
          <cell r="D321">
            <v>12.71</v>
          </cell>
          <cell r="E321" t="e">
            <v>#N/A</v>
          </cell>
          <cell r="F321" t="e">
            <v>#N/A</v>
          </cell>
          <cell r="G321" t="e">
            <v>#N/A</v>
          </cell>
          <cell r="H321" t="e">
            <v>#N/A</v>
          </cell>
          <cell r="I321" t="e">
            <v>#N/A</v>
          </cell>
          <cell r="J321" t="e">
            <v>#N/A</v>
          </cell>
          <cell r="K321" t="e">
            <v>#N/A</v>
          </cell>
          <cell r="L321" t="e">
            <v>#N/A</v>
          </cell>
          <cell r="M321" t="e">
            <v>#N/A</v>
          </cell>
          <cell r="N321" t="e">
            <v>#N/A</v>
          </cell>
          <cell r="O321" t="e">
            <v>#N/A</v>
          </cell>
          <cell r="P321">
            <v>12.71</v>
          </cell>
          <cell r="Q321">
            <v>1.4083539999999999</v>
          </cell>
          <cell r="R321" t="e">
            <v>#N/A</v>
          </cell>
        </row>
        <row r="322">
          <cell r="A322">
            <v>40438</v>
          </cell>
          <cell r="B322">
            <v>40438</v>
          </cell>
          <cell r="C322" t="str">
            <v>Past</v>
          </cell>
          <cell r="D322">
            <v>12.68</v>
          </cell>
          <cell r="E322" t="e">
            <v>#N/A</v>
          </cell>
          <cell r="F322" t="e">
            <v>#N/A</v>
          </cell>
          <cell r="G322" t="e">
            <v>#N/A</v>
          </cell>
          <cell r="H322" t="e">
            <v>#N/A</v>
          </cell>
          <cell r="I322" t="e">
            <v>#N/A</v>
          </cell>
          <cell r="J322" t="e">
            <v>#N/A</v>
          </cell>
          <cell r="K322" t="e">
            <v>#N/A</v>
          </cell>
          <cell r="L322" t="e">
            <v>#N/A</v>
          </cell>
          <cell r="M322" t="e">
            <v>#N/A</v>
          </cell>
          <cell r="N322" t="e">
            <v>#N/A</v>
          </cell>
          <cell r="O322" t="e">
            <v>#N/A</v>
          </cell>
          <cell r="P322">
            <v>12.68</v>
          </cell>
          <cell r="Q322">
            <v>1.7802609999999999</v>
          </cell>
          <cell r="R322" t="e">
            <v>#N/A</v>
          </cell>
        </row>
        <row r="323">
          <cell r="A323">
            <v>40441</v>
          </cell>
          <cell r="B323">
            <v>40441</v>
          </cell>
          <cell r="C323" t="str">
            <v>Past</v>
          </cell>
          <cell r="D323">
            <v>12.91</v>
          </cell>
          <cell r="E323" t="e">
            <v>#N/A</v>
          </cell>
          <cell r="F323" t="e">
            <v>#N/A</v>
          </cell>
          <cell r="G323" t="e">
            <v>#N/A</v>
          </cell>
          <cell r="H323" t="e">
            <v>#N/A</v>
          </cell>
          <cell r="I323" t="e">
            <v>#N/A</v>
          </cell>
          <cell r="J323" t="e">
            <v>#N/A</v>
          </cell>
          <cell r="K323" t="e">
            <v>#N/A</v>
          </cell>
          <cell r="L323" t="e">
            <v>#N/A</v>
          </cell>
          <cell r="M323" t="e">
            <v>#N/A</v>
          </cell>
          <cell r="N323" t="e">
            <v>#N/A</v>
          </cell>
          <cell r="O323" t="e">
            <v>#N/A</v>
          </cell>
          <cell r="P323">
            <v>12.91</v>
          </cell>
          <cell r="Q323">
            <v>1.297507</v>
          </cell>
          <cell r="R323" t="e">
            <v>#N/A</v>
          </cell>
        </row>
        <row r="324">
          <cell r="A324">
            <v>40442</v>
          </cell>
          <cell r="B324">
            <v>40442</v>
          </cell>
          <cell r="C324" t="str">
            <v>Past</v>
          </cell>
          <cell r="D324">
            <v>12.81</v>
          </cell>
          <cell r="E324" t="e">
            <v>#N/A</v>
          </cell>
          <cell r="F324" t="e">
            <v>#N/A</v>
          </cell>
          <cell r="G324" t="e">
            <v>#N/A</v>
          </cell>
          <cell r="H324" t="e">
            <v>#N/A</v>
          </cell>
          <cell r="I324" t="e">
            <v>#N/A</v>
          </cell>
          <cell r="J324" t="e">
            <v>#N/A</v>
          </cell>
          <cell r="K324" t="e">
            <v>#N/A</v>
          </cell>
          <cell r="L324" t="e">
            <v>#N/A</v>
          </cell>
          <cell r="M324" t="e">
            <v>#N/A</v>
          </cell>
          <cell r="N324" t="e">
            <v>#N/A</v>
          </cell>
          <cell r="O324" t="e">
            <v>#N/A</v>
          </cell>
          <cell r="P324">
            <v>12.81</v>
          </cell>
          <cell r="Q324">
            <v>1.4411429999999998</v>
          </cell>
          <cell r="R324" t="e">
            <v>#N/A</v>
          </cell>
        </row>
        <row r="325">
          <cell r="A325">
            <v>40443</v>
          </cell>
          <cell r="B325">
            <v>40443</v>
          </cell>
          <cell r="C325" t="str">
            <v>Past</v>
          </cell>
          <cell r="D325">
            <v>12.88</v>
          </cell>
          <cell r="E325" t="e">
            <v>#N/A</v>
          </cell>
          <cell r="F325" t="e">
            <v>#N/A</v>
          </cell>
          <cell r="G325" t="e">
            <v>#N/A</v>
          </cell>
          <cell r="H325" t="e">
            <v>#N/A</v>
          </cell>
          <cell r="I325" t="e">
            <v>#N/A</v>
          </cell>
          <cell r="J325" t="e">
            <v>#N/A</v>
          </cell>
          <cell r="K325" t="e">
            <v>#N/A</v>
          </cell>
          <cell r="L325" t="e">
            <v>#N/A</v>
          </cell>
          <cell r="M325" t="e">
            <v>#N/A</v>
          </cell>
          <cell r="N325" t="e">
            <v>#N/A</v>
          </cell>
          <cell r="O325" t="e">
            <v>#N/A</v>
          </cell>
          <cell r="P325">
            <v>12.88</v>
          </cell>
          <cell r="Q325">
            <v>0.79303000000000001</v>
          </cell>
          <cell r="R325" t="e">
            <v>#N/A</v>
          </cell>
        </row>
        <row r="326">
          <cell r="A326">
            <v>40444</v>
          </cell>
          <cell r="B326">
            <v>40444</v>
          </cell>
          <cell r="C326" t="str">
            <v>Past</v>
          </cell>
          <cell r="D326">
            <v>12.95</v>
          </cell>
          <cell r="E326" t="e">
            <v>#N/A</v>
          </cell>
          <cell r="F326" t="e">
            <v>#N/A</v>
          </cell>
          <cell r="G326" t="e">
            <v>#N/A</v>
          </cell>
          <cell r="H326" t="e">
            <v>#N/A</v>
          </cell>
          <cell r="I326" t="e">
            <v>#N/A</v>
          </cell>
          <cell r="J326" t="e">
            <v>#N/A</v>
          </cell>
          <cell r="K326" t="e">
            <v>#N/A</v>
          </cell>
          <cell r="L326" t="e">
            <v>#N/A</v>
          </cell>
          <cell r="M326" t="e">
            <v>#N/A</v>
          </cell>
          <cell r="N326" t="e">
            <v>#N/A</v>
          </cell>
          <cell r="O326" t="e">
            <v>#N/A</v>
          </cell>
          <cell r="P326">
            <v>12.95</v>
          </cell>
          <cell r="Q326">
            <v>1.457676</v>
          </cell>
          <cell r="R326" t="e">
            <v>#N/A</v>
          </cell>
        </row>
        <row r="327">
          <cell r="A327">
            <v>40445</v>
          </cell>
          <cell r="B327">
            <v>40445</v>
          </cell>
          <cell r="C327" t="str">
            <v>Past</v>
          </cell>
          <cell r="D327">
            <v>13.16</v>
          </cell>
          <cell r="E327" t="e">
            <v>#N/A</v>
          </cell>
          <cell r="F327" t="e">
            <v>#N/A</v>
          </cell>
          <cell r="G327" t="e">
            <v>#N/A</v>
          </cell>
          <cell r="H327" t="e">
            <v>#N/A</v>
          </cell>
          <cell r="I327" t="e">
            <v>#N/A</v>
          </cell>
          <cell r="J327" t="e">
            <v>#N/A</v>
          </cell>
          <cell r="K327" t="e">
            <v>#N/A</v>
          </cell>
          <cell r="L327" t="e">
            <v>#N/A</v>
          </cell>
          <cell r="M327" t="e">
            <v>#N/A</v>
          </cell>
          <cell r="N327" t="e">
            <v>#N/A</v>
          </cell>
          <cell r="O327" t="e">
            <v>#N/A</v>
          </cell>
          <cell r="P327">
            <v>13.16</v>
          </cell>
          <cell r="Q327">
            <v>0.86191600000000002</v>
          </cell>
          <cell r="R327" t="e">
            <v>#N/A</v>
          </cell>
        </row>
        <row r="328">
          <cell r="A328">
            <v>40448</v>
          </cell>
          <cell r="B328">
            <v>40448</v>
          </cell>
          <cell r="C328" t="str">
            <v>Past</v>
          </cell>
          <cell r="D328">
            <v>13.18</v>
          </cell>
          <cell r="E328" t="e">
            <v>#N/A</v>
          </cell>
          <cell r="F328" t="e">
            <v>#N/A</v>
          </cell>
          <cell r="G328" t="e">
            <v>#N/A</v>
          </cell>
          <cell r="H328" t="e">
            <v>#N/A</v>
          </cell>
          <cell r="I328" t="e">
            <v>#N/A</v>
          </cell>
          <cell r="J328" t="e">
            <v>#N/A</v>
          </cell>
          <cell r="K328" t="e">
            <v>#N/A</v>
          </cell>
          <cell r="L328" t="e">
            <v>#N/A</v>
          </cell>
          <cell r="M328" t="e">
            <v>#N/A</v>
          </cell>
          <cell r="N328" t="e">
            <v>#N/A</v>
          </cell>
          <cell r="O328" t="e">
            <v>#N/A</v>
          </cell>
          <cell r="P328">
            <v>13.18</v>
          </cell>
          <cell r="Q328">
            <v>1.1820059999999999</v>
          </cell>
          <cell r="R328" t="e">
            <v>#N/A</v>
          </cell>
        </row>
        <row r="329">
          <cell r="A329">
            <v>40449</v>
          </cell>
          <cell r="B329">
            <v>40449</v>
          </cell>
          <cell r="C329" t="str">
            <v>Past</v>
          </cell>
          <cell r="D329">
            <v>13.02</v>
          </cell>
          <cell r="E329" t="e">
            <v>#N/A</v>
          </cell>
          <cell r="F329" t="e">
            <v>#N/A</v>
          </cell>
          <cell r="G329" t="e">
            <v>#N/A</v>
          </cell>
          <cell r="H329" t="e">
            <v>#N/A</v>
          </cell>
          <cell r="I329" t="e">
            <v>#N/A</v>
          </cell>
          <cell r="J329" t="e">
            <v>#N/A</v>
          </cell>
          <cell r="K329" t="e">
            <v>#N/A</v>
          </cell>
          <cell r="L329" t="e">
            <v>#N/A</v>
          </cell>
          <cell r="M329" t="e">
            <v>#N/A</v>
          </cell>
          <cell r="N329" t="e">
            <v>#N/A</v>
          </cell>
          <cell r="O329" t="e">
            <v>#N/A</v>
          </cell>
          <cell r="P329">
            <v>13.02</v>
          </cell>
          <cell r="Q329">
            <v>2.1931620000000001</v>
          </cell>
          <cell r="R329" t="e">
            <v>#N/A</v>
          </cell>
        </row>
        <row r="330">
          <cell r="A330">
            <v>40450</v>
          </cell>
          <cell r="B330">
            <v>40450</v>
          </cell>
          <cell r="C330" t="str">
            <v>Past</v>
          </cell>
          <cell r="D330">
            <v>12.99</v>
          </cell>
          <cell r="E330" t="e">
            <v>#N/A</v>
          </cell>
          <cell r="F330" t="e">
            <v>#N/A</v>
          </cell>
          <cell r="G330" t="e">
            <v>#N/A</v>
          </cell>
          <cell r="H330" t="e">
            <v>#N/A</v>
          </cell>
          <cell r="I330" t="e">
            <v>#N/A</v>
          </cell>
          <cell r="J330" t="e">
            <v>#N/A</v>
          </cell>
          <cell r="K330" t="e">
            <v>#N/A</v>
          </cell>
          <cell r="L330" t="e">
            <v>#N/A</v>
          </cell>
          <cell r="M330" t="e">
            <v>#N/A</v>
          </cell>
          <cell r="N330" t="e">
            <v>#N/A</v>
          </cell>
          <cell r="O330" t="e">
            <v>#N/A</v>
          </cell>
          <cell r="P330">
            <v>12.99</v>
          </cell>
          <cell r="Q330">
            <v>1.350544</v>
          </cell>
          <cell r="R330" t="e">
            <v>#N/A</v>
          </cell>
        </row>
        <row r="331">
          <cell r="A331">
            <v>40451</v>
          </cell>
          <cell r="B331">
            <v>40451</v>
          </cell>
          <cell r="C331" t="str">
            <v>Past</v>
          </cell>
          <cell r="D331">
            <v>13.15</v>
          </cell>
          <cell r="E331" t="e">
            <v>#N/A</v>
          </cell>
          <cell r="F331" t="e">
            <v>#N/A</v>
          </cell>
          <cell r="G331" t="e">
            <v>#N/A</v>
          </cell>
          <cell r="H331" t="e">
            <v>#N/A</v>
          </cell>
          <cell r="I331" t="e">
            <v>#N/A</v>
          </cell>
          <cell r="J331" t="e">
            <v>#N/A</v>
          </cell>
          <cell r="K331" t="e">
            <v>#N/A</v>
          </cell>
          <cell r="L331" t="e">
            <v>#N/A</v>
          </cell>
          <cell r="M331" t="e">
            <v>#N/A</v>
          </cell>
          <cell r="N331" t="e">
            <v>#N/A</v>
          </cell>
          <cell r="O331" t="e">
            <v>#N/A</v>
          </cell>
          <cell r="P331">
            <v>13.15</v>
          </cell>
          <cell r="Q331">
            <v>1.4850939999999999</v>
          </cell>
          <cell r="R331" t="e">
            <v>#N/A</v>
          </cell>
        </row>
        <row r="332">
          <cell r="A332">
            <v>40452</v>
          </cell>
          <cell r="B332">
            <v>40452</v>
          </cell>
          <cell r="C332" t="str">
            <v>Past</v>
          </cell>
          <cell r="D332">
            <v>13.13</v>
          </cell>
          <cell r="E332" t="e">
            <v>#N/A</v>
          </cell>
          <cell r="F332" t="e">
            <v>#N/A</v>
          </cell>
          <cell r="G332" t="e">
            <v>#N/A</v>
          </cell>
          <cell r="H332" t="e">
            <v>#N/A</v>
          </cell>
          <cell r="I332" t="e">
            <v>#N/A</v>
          </cell>
          <cell r="J332" t="e">
            <v>#N/A</v>
          </cell>
          <cell r="K332" t="e">
            <v>#N/A</v>
          </cell>
          <cell r="L332" t="e">
            <v>#N/A</v>
          </cell>
          <cell r="M332" t="e">
            <v>#N/A</v>
          </cell>
          <cell r="N332" t="e">
            <v>#N/A</v>
          </cell>
          <cell r="O332" t="e">
            <v>#N/A</v>
          </cell>
          <cell r="P332">
            <v>13.13</v>
          </cell>
          <cell r="Q332">
            <v>1.921621</v>
          </cell>
          <cell r="R332" t="e">
            <v>#N/A</v>
          </cell>
        </row>
        <row r="333">
          <cell r="A333">
            <v>40455</v>
          </cell>
          <cell r="B333">
            <v>40455</v>
          </cell>
          <cell r="C333" t="str">
            <v>Past</v>
          </cell>
          <cell r="D333">
            <v>12.94</v>
          </cell>
          <cell r="E333" t="e">
            <v>#N/A</v>
          </cell>
          <cell r="F333" t="e">
            <v>#N/A</v>
          </cell>
          <cell r="G333" t="e">
            <v>#N/A</v>
          </cell>
          <cell r="H333" t="e">
            <v>#N/A</v>
          </cell>
          <cell r="I333" t="e">
            <v>#N/A</v>
          </cell>
          <cell r="J333" t="e">
            <v>#N/A</v>
          </cell>
          <cell r="K333" t="e">
            <v>#N/A</v>
          </cell>
          <cell r="L333" t="e">
            <v>#N/A</v>
          </cell>
          <cell r="M333" t="e">
            <v>#N/A</v>
          </cell>
          <cell r="N333" t="e">
            <v>#N/A</v>
          </cell>
          <cell r="O333" t="e">
            <v>#N/A</v>
          </cell>
          <cell r="P333">
            <v>12.94</v>
          </cell>
          <cell r="Q333">
            <v>1.977595</v>
          </cell>
          <cell r="R333" t="e">
            <v>#N/A</v>
          </cell>
        </row>
        <row r="334">
          <cell r="A334">
            <v>40456</v>
          </cell>
          <cell r="B334">
            <v>40456</v>
          </cell>
          <cell r="C334" t="str">
            <v>Past</v>
          </cell>
          <cell r="D334">
            <v>12.94</v>
          </cell>
          <cell r="E334" t="e">
            <v>#N/A</v>
          </cell>
          <cell r="F334" t="e">
            <v>#N/A</v>
          </cell>
          <cell r="G334" t="e">
            <v>#N/A</v>
          </cell>
          <cell r="H334" t="e">
            <v>#N/A</v>
          </cell>
          <cell r="I334" t="e">
            <v>#N/A</v>
          </cell>
          <cell r="J334" t="e">
            <v>#N/A</v>
          </cell>
          <cell r="K334" t="e">
            <v>#N/A</v>
          </cell>
          <cell r="L334" t="e">
            <v>#N/A</v>
          </cell>
          <cell r="M334" t="e">
            <v>#N/A</v>
          </cell>
          <cell r="N334" t="e">
            <v>#N/A</v>
          </cell>
          <cell r="O334" t="e">
            <v>#N/A</v>
          </cell>
          <cell r="P334">
            <v>12.94</v>
          </cell>
          <cell r="Q334">
            <v>2.0961650000000001</v>
          </cell>
          <cell r="R334" t="e">
            <v>#N/A</v>
          </cell>
        </row>
        <row r="335">
          <cell r="A335">
            <v>40457</v>
          </cell>
          <cell r="B335">
            <v>40457</v>
          </cell>
          <cell r="C335" t="str">
            <v>Past</v>
          </cell>
          <cell r="D335">
            <v>12.87</v>
          </cell>
          <cell r="E335" t="e">
            <v>#N/A</v>
          </cell>
          <cell r="F335" t="e">
            <v>#N/A</v>
          </cell>
          <cell r="G335" t="e">
            <v>#N/A</v>
          </cell>
          <cell r="H335" t="e">
            <v>#N/A</v>
          </cell>
          <cell r="I335" t="e">
            <v>#N/A</v>
          </cell>
          <cell r="J335" t="e">
            <v>#N/A</v>
          </cell>
          <cell r="K335" t="e">
            <v>#N/A</v>
          </cell>
          <cell r="L335" t="e">
            <v>#N/A</v>
          </cell>
          <cell r="M335" t="e">
            <v>#N/A</v>
          </cell>
          <cell r="N335" t="e">
            <v>#N/A</v>
          </cell>
          <cell r="O335" t="e">
            <v>#N/A</v>
          </cell>
          <cell r="P335">
            <v>12.87</v>
          </cell>
          <cell r="Q335">
            <v>1.6934449999999999</v>
          </cell>
          <cell r="R335" t="e">
            <v>#N/A</v>
          </cell>
        </row>
        <row r="336">
          <cell r="A336">
            <v>40458</v>
          </cell>
          <cell r="B336">
            <v>40458</v>
          </cell>
          <cell r="C336" t="str">
            <v>Past</v>
          </cell>
          <cell r="D336">
            <v>12.95</v>
          </cell>
          <cell r="E336" t="e">
            <v>#N/A</v>
          </cell>
          <cell r="F336" t="e">
            <v>#N/A</v>
          </cell>
          <cell r="G336" t="e">
            <v>#N/A</v>
          </cell>
          <cell r="H336" t="e">
            <v>#N/A</v>
          </cell>
          <cell r="I336" t="e">
            <v>#N/A</v>
          </cell>
          <cell r="J336" t="e">
            <v>#N/A</v>
          </cell>
          <cell r="K336" t="e">
            <v>#N/A</v>
          </cell>
          <cell r="L336" t="e">
            <v>#N/A</v>
          </cell>
          <cell r="M336" t="e">
            <v>#N/A</v>
          </cell>
          <cell r="N336" t="e">
            <v>#N/A</v>
          </cell>
          <cell r="O336" t="e">
            <v>#N/A</v>
          </cell>
          <cell r="P336">
            <v>12.95</v>
          </cell>
          <cell r="Q336">
            <v>1.0372839999999999</v>
          </cell>
          <cell r="R336" t="e">
            <v>#N/A</v>
          </cell>
        </row>
        <row r="337">
          <cell r="A337">
            <v>40459</v>
          </cell>
          <cell r="B337">
            <v>40459</v>
          </cell>
          <cell r="C337" t="str">
            <v>Past</v>
          </cell>
          <cell r="D337">
            <v>13.07</v>
          </cell>
          <cell r="E337" t="e">
            <v>#N/A</v>
          </cell>
          <cell r="F337" t="e">
            <v>#N/A</v>
          </cell>
          <cell r="G337" t="e">
            <v>#N/A</v>
          </cell>
          <cell r="H337" t="e">
            <v>#N/A</v>
          </cell>
          <cell r="I337" t="e">
            <v>#N/A</v>
          </cell>
          <cell r="J337" t="e">
            <v>#N/A</v>
          </cell>
          <cell r="K337" t="e">
            <v>#N/A</v>
          </cell>
          <cell r="L337" t="e">
            <v>#N/A</v>
          </cell>
          <cell r="M337" t="e">
            <v>#N/A</v>
          </cell>
          <cell r="N337" t="e">
            <v>#N/A</v>
          </cell>
          <cell r="O337" t="e">
            <v>#N/A</v>
          </cell>
          <cell r="P337">
            <v>13.07</v>
          </cell>
          <cell r="Q337">
            <v>1.3130230000000001</v>
          </cell>
          <cell r="R337" t="e">
            <v>#N/A</v>
          </cell>
        </row>
        <row r="338">
          <cell r="A338">
            <v>40462</v>
          </cell>
          <cell r="B338">
            <v>40462</v>
          </cell>
          <cell r="C338" t="str">
            <v>Past</v>
          </cell>
          <cell r="D338">
            <v>12.99</v>
          </cell>
          <cell r="E338" t="e">
            <v>#N/A</v>
          </cell>
          <cell r="F338" t="e">
            <v>#N/A</v>
          </cell>
          <cell r="G338" t="e">
            <v>#N/A</v>
          </cell>
          <cell r="H338" t="e">
            <v>#N/A</v>
          </cell>
          <cell r="I338" t="e">
            <v>#N/A</v>
          </cell>
          <cell r="J338" t="e">
            <v>#N/A</v>
          </cell>
          <cell r="K338" t="e">
            <v>#N/A</v>
          </cell>
          <cell r="L338" t="e">
            <v>#N/A</v>
          </cell>
          <cell r="M338" t="e">
            <v>#N/A</v>
          </cell>
          <cell r="N338" t="e">
            <v>#N/A</v>
          </cell>
          <cell r="O338" t="e">
            <v>#N/A</v>
          </cell>
          <cell r="P338">
            <v>12.99</v>
          </cell>
          <cell r="Q338">
            <v>2.0637059999999998</v>
          </cell>
          <cell r="R338" t="e">
            <v>#N/A</v>
          </cell>
        </row>
        <row r="339">
          <cell r="A339">
            <v>40463</v>
          </cell>
          <cell r="B339">
            <v>40463</v>
          </cell>
          <cell r="C339" t="str">
            <v>Past</v>
          </cell>
          <cell r="D339">
            <v>13.06</v>
          </cell>
          <cell r="E339" t="e">
            <v>#N/A</v>
          </cell>
          <cell r="F339" t="e">
            <v>#N/A</v>
          </cell>
          <cell r="G339" t="e">
            <v>#N/A</v>
          </cell>
          <cell r="H339" t="e">
            <v>#N/A</v>
          </cell>
          <cell r="I339" t="e">
            <v>#N/A</v>
          </cell>
          <cell r="J339" t="e">
            <v>#N/A</v>
          </cell>
          <cell r="K339" t="e">
            <v>#N/A</v>
          </cell>
          <cell r="L339" t="e">
            <v>#N/A</v>
          </cell>
          <cell r="M339" t="e">
            <v>#N/A</v>
          </cell>
          <cell r="N339" t="e">
            <v>#N/A</v>
          </cell>
          <cell r="O339" t="e">
            <v>#N/A</v>
          </cell>
          <cell r="P339">
            <v>13.06</v>
          </cell>
          <cell r="Q339">
            <v>1.4325909999999999</v>
          </cell>
          <cell r="R339" t="e">
            <v>#N/A</v>
          </cell>
        </row>
        <row r="340">
          <cell r="A340">
            <v>40464</v>
          </cell>
          <cell r="B340">
            <v>40464</v>
          </cell>
          <cell r="C340" t="str">
            <v>Past</v>
          </cell>
          <cell r="D340">
            <v>13.01</v>
          </cell>
          <cell r="E340" t="e">
            <v>#N/A</v>
          </cell>
          <cell r="F340" t="e">
            <v>#N/A</v>
          </cell>
          <cell r="G340" t="e">
            <v>#N/A</v>
          </cell>
          <cell r="H340" t="e">
            <v>#N/A</v>
          </cell>
          <cell r="I340" t="e">
            <v>#N/A</v>
          </cell>
          <cell r="J340" t="e">
            <v>#N/A</v>
          </cell>
          <cell r="K340" t="e">
            <v>#N/A</v>
          </cell>
          <cell r="L340" t="e">
            <v>#N/A</v>
          </cell>
          <cell r="M340" t="e">
            <v>#N/A</v>
          </cell>
          <cell r="N340" t="e">
            <v>#N/A</v>
          </cell>
          <cell r="O340" t="e">
            <v>#N/A</v>
          </cell>
          <cell r="P340">
            <v>13.01</v>
          </cell>
          <cell r="Q340">
            <v>1.2016229999999999</v>
          </cell>
          <cell r="R340" t="e">
            <v>#N/A</v>
          </cell>
        </row>
        <row r="341">
          <cell r="A341">
            <v>40465</v>
          </cell>
          <cell r="B341">
            <v>40465</v>
          </cell>
          <cell r="C341" t="str">
            <v>Past</v>
          </cell>
          <cell r="D341">
            <v>13.09</v>
          </cell>
          <cell r="E341" t="e">
            <v>#N/A</v>
          </cell>
          <cell r="F341" t="e">
            <v>#N/A</v>
          </cell>
          <cell r="G341" t="e">
            <v>#N/A</v>
          </cell>
          <cell r="H341" t="e">
            <v>#N/A</v>
          </cell>
          <cell r="I341" t="e">
            <v>#N/A</v>
          </cell>
          <cell r="J341" t="e">
            <v>#N/A</v>
          </cell>
          <cell r="K341" t="e">
            <v>#N/A</v>
          </cell>
          <cell r="L341" t="e">
            <v>#N/A</v>
          </cell>
          <cell r="M341" t="e">
            <v>#N/A</v>
          </cell>
          <cell r="N341" t="e">
            <v>#N/A</v>
          </cell>
          <cell r="O341" t="e">
            <v>#N/A</v>
          </cell>
          <cell r="P341">
            <v>13.09</v>
          </cell>
          <cell r="Q341">
            <v>0.89577699999999993</v>
          </cell>
          <cell r="R341" t="e">
            <v>#N/A</v>
          </cell>
        </row>
        <row r="342">
          <cell r="A342">
            <v>40466</v>
          </cell>
          <cell r="B342">
            <v>40466</v>
          </cell>
          <cell r="C342" t="str">
            <v>Past</v>
          </cell>
          <cell r="D342">
            <v>13.16</v>
          </cell>
          <cell r="E342" t="e">
            <v>#N/A</v>
          </cell>
          <cell r="F342" t="e">
            <v>#N/A</v>
          </cell>
          <cell r="G342" t="e">
            <v>#N/A</v>
          </cell>
          <cell r="H342" t="e">
            <v>#N/A</v>
          </cell>
          <cell r="I342" t="e">
            <v>#N/A</v>
          </cell>
          <cell r="J342" t="e">
            <v>#N/A</v>
          </cell>
          <cell r="K342" t="e">
            <v>#N/A</v>
          </cell>
          <cell r="L342" t="e">
            <v>#N/A</v>
          </cell>
          <cell r="M342" t="e">
            <v>#N/A</v>
          </cell>
          <cell r="N342" t="e">
            <v>#N/A</v>
          </cell>
          <cell r="O342" t="e">
            <v>#N/A</v>
          </cell>
          <cell r="P342">
            <v>13.16</v>
          </cell>
          <cell r="Q342">
            <v>1.373721</v>
          </cell>
          <cell r="R342" t="e">
            <v>#N/A</v>
          </cell>
        </row>
        <row r="343">
          <cell r="A343">
            <v>40469</v>
          </cell>
          <cell r="B343">
            <v>40469</v>
          </cell>
          <cell r="C343" t="str">
            <v>Past</v>
          </cell>
          <cell r="D343">
            <v>13.25</v>
          </cell>
          <cell r="E343" t="e">
            <v>#N/A</v>
          </cell>
          <cell r="F343" t="e">
            <v>#N/A</v>
          </cell>
          <cell r="G343" t="e">
            <v>#N/A</v>
          </cell>
          <cell r="H343" t="e">
            <v>#N/A</v>
          </cell>
          <cell r="I343" t="e">
            <v>#N/A</v>
          </cell>
          <cell r="J343" t="e">
            <v>#N/A</v>
          </cell>
          <cell r="K343" t="e">
            <v>#N/A</v>
          </cell>
          <cell r="L343" t="e">
            <v>#N/A</v>
          </cell>
          <cell r="M343" t="e">
            <v>#N/A</v>
          </cell>
          <cell r="N343" t="e">
            <v>#N/A</v>
          </cell>
          <cell r="O343" t="e">
            <v>#N/A</v>
          </cell>
          <cell r="P343">
            <v>13.25</v>
          </cell>
          <cell r="Q343">
            <v>0.72126899999999994</v>
          </cell>
          <cell r="R343" t="e">
            <v>#N/A</v>
          </cell>
        </row>
        <row r="344">
          <cell r="A344">
            <v>40470</v>
          </cell>
          <cell r="B344">
            <v>40470</v>
          </cell>
          <cell r="C344" t="str">
            <v>Past</v>
          </cell>
          <cell r="D344">
            <v>13.14</v>
          </cell>
          <cell r="E344" t="e">
            <v>#N/A</v>
          </cell>
          <cell r="F344" t="e">
            <v>#N/A</v>
          </cell>
          <cell r="G344" t="e">
            <v>#N/A</v>
          </cell>
          <cell r="H344" t="e">
            <v>#N/A</v>
          </cell>
          <cell r="I344" t="e">
            <v>#N/A</v>
          </cell>
          <cell r="J344" t="e">
            <v>#N/A</v>
          </cell>
          <cell r="K344" t="e">
            <v>#N/A</v>
          </cell>
          <cell r="L344" t="e">
            <v>#N/A</v>
          </cell>
          <cell r="M344" t="e">
            <v>#N/A</v>
          </cell>
          <cell r="N344" t="e">
            <v>#N/A</v>
          </cell>
          <cell r="O344" t="e">
            <v>#N/A</v>
          </cell>
          <cell r="P344">
            <v>13.14</v>
          </cell>
          <cell r="Q344">
            <v>3.069394</v>
          </cell>
          <cell r="R344" t="e">
            <v>#N/A</v>
          </cell>
        </row>
        <row r="345">
          <cell r="A345">
            <v>40471</v>
          </cell>
          <cell r="B345">
            <v>40471</v>
          </cell>
          <cell r="C345" t="str">
            <v>Past</v>
          </cell>
          <cell r="D345">
            <v>13.19</v>
          </cell>
          <cell r="E345" t="e">
            <v>#N/A</v>
          </cell>
          <cell r="F345" t="e">
            <v>#N/A</v>
          </cell>
          <cell r="G345" t="e">
            <v>#N/A</v>
          </cell>
          <cell r="H345" t="e">
            <v>#N/A</v>
          </cell>
          <cell r="I345" t="e">
            <v>#N/A</v>
          </cell>
          <cell r="J345" t="e">
            <v>#N/A</v>
          </cell>
          <cell r="K345" t="e">
            <v>#N/A</v>
          </cell>
          <cell r="L345" t="e">
            <v>#N/A</v>
          </cell>
          <cell r="M345" t="e">
            <v>#N/A</v>
          </cell>
          <cell r="N345" t="e">
            <v>#N/A</v>
          </cell>
          <cell r="O345" t="e">
            <v>#N/A</v>
          </cell>
          <cell r="P345">
            <v>13.19</v>
          </cell>
          <cell r="Q345">
            <v>1.592768</v>
          </cell>
          <cell r="R345" t="e">
            <v>#N/A</v>
          </cell>
        </row>
        <row r="346">
          <cell r="A346">
            <v>40472</v>
          </cell>
          <cell r="B346">
            <v>40472</v>
          </cell>
          <cell r="C346" t="str">
            <v>Past</v>
          </cell>
          <cell r="D346">
            <v>13.17</v>
          </cell>
          <cell r="E346" t="e">
            <v>#N/A</v>
          </cell>
          <cell r="F346" t="e">
            <v>#N/A</v>
          </cell>
          <cell r="G346" t="e">
            <v>#N/A</v>
          </cell>
          <cell r="H346" t="e">
            <v>#N/A</v>
          </cell>
          <cell r="I346" t="e">
            <v>#N/A</v>
          </cell>
          <cell r="J346" t="e">
            <v>#N/A</v>
          </cell>
          <cell r="K346" t="e">
            <v>#N/A</v>
          </cell>
          <cell r="L346" t="e">
            <v>#N/A</v>
          </cell>
          <cell r="M346" t="e">
            <v>#N/A</v>
          </cell>
          <cell r="N346" t="e">
            <v>#N/A</v>
          </cell>
          <cell r="O346" t="e">
            <v>#N/A</v>
          </cell>
          <cell r="P346">
            <v>13.17</v>
          </cell>
          <cell r="Q346">
            <v>2.0111460000000001</v>
          </cell>
          <cell r="R346" t="e">
            <v>#N/A</v>
          </cell>
        </row>
        <row r="347">
          <cell r="A347">
            <v>40473</v>
          </cell>
          <cell r="B347">
            <v>40473</v>
          </cell>
          <cell r="C347" t="str">
            <v>Past</v>
          </cell>
          <cell r="D347">
            <v>13.08</v>
          </cell>
          <cell r="E347" t="e">
            <v>#N/A</v>
          </cell>
          <cell r="F347" t="e">
            <v>#N/A</v>
          </cell>
          <cell r="G347" t="e">
            <v>#N/A</v>
          </cell>
          <cell r="H347" t="e">
            <v>#N/A</v>
          </cell>
          <cell r="I347" t="e">
            <v>#N/A</v>
          </cell>
          <cell r="J347" t="e">
            <v>#N/A</v>
          </cell>
          <cell r="K347" t="e">
            <v>#N/A</v>
          </cell>
          <cell r="L347" t="e">
            <v>#N/A</v>
          </cell>
          <cell r="M347" t="e">
            <v>#N/A</v>
          </cell>
          <cell r="N347" t="e">
            <v>#N/A</v>
          </cell>
          <cell r="O347" t="e">
            <v>#N/A</v>
          </cell>
          <cell r="P347">
            <v>13.08</v>
          </cell>
          <cell r="Q347">
            <v>3.1426209999999997</v>
          </cell>
          <cell r="R347" t="e">
            <v>#N/A</v>
          </cell>
        </row>
        <row r="348">
          <cell r="A348">
            <v>40476</v>
          </cell>
          <cell r="B348">
            <v>40476</v>
          </cell>
          <cell r="C348" t="str">
            <v>Past</v>
          </cell>
          <cell r="D348">
            <v>12.99</v>
          </cell>
          <cell r="E348" t="e">
            <v>#N/A</v>
          </cell>
          <cell r="F348" t="e">
            <v>#N/A</v>
          </cell>
          <cell r="G348" t="e">
            <v>#N/A</v>
          </cell>
          <cell r="H348" t="e">
            <v>#N/A</v>
          </cell>
          <cell r="I348" t="e">
            <v>#N/A</v>
          </cell>
          <cell r="J348" t="e">
            <v>#N/A</v>
          </cell>
          <cell r="K348" t="e">
            <v>#N/A</v>
          </cell>
          <cell r="L348" t="e">
            <v>#N/A</v>
          </cell>
          <cell r="M348" t="e">
            <v>#N/A</v>
          </cell>
          <cell r="N348" t="e">
            <v>#N/A</v>
          </cell>
          <cell r="O348" t="e">
            <v>#N/A</v>
          </cell>
          <cell r="P348">
            <v>12.99</v>
          </cell>
          <cell r="Q348">
            <v>2.530951</v>
          </cell>
          <cell r="R348" t="e">
            <v>#N/A</v>
          </cell>
        </row>
        <row r="349">
          <cell r="A349">
            <v>40477</v>
          </cell>
          <cell r="B349">
            <v>40477</v>
          </cell>
          <cell r="C349" t="str">
            <v>Past</v>
          </cell>
          <cell r="D349">
            <v>13.5</v>
          </cell>
          <cell r="E349" t="e">
            <v>#N/A</v>
          </cell>
          <cell r="F349" t="e">
            <v>#N/A</v>
          </cell>
          <cell r="G349" t="e">
            <v>#N/A</v>
          </cell>
          <cell r="H349" t="e">
            <v>#N/A</v>
          </cell>
          <cell r="I349" t="e">
            <v>#N/A</v>
          </cell>
          <cell r="J349" t="e">
            <v>#N/A</v>
          </cell>
          <cell r="K349" t="e">
            <v>#N/A</v>
          </cell>
          <cell r="L349" t="e">
            <v>#N/A</v>
          </cell>
          <cell r="M349" t="e">
            <v>#N/A</v>
          </cell>
          <cell r="N349" t="e">
            <v>#N/A</v>
          </cell>
          <cell r="O349" t="e">
            <v>#N/A</v>
          </cell>
          <cell r="P349">
            <v>13.5</v>
          </cell>
          <cell r="Q349">
            <v>5.4561000000000002</v>
          </cell>
          <cell r="R349" t="e">
            <v>#N/A</v>
          </cell>
        </row>
        <row r="350">
          <cell r="A350">
            <v>40478</v>
          </cell>
          <cell r="B350">
            <v>40478</v>
          </cell>
          <cell r="C350" t="str">
            <v>Past</v>
          </cell>
          <cell r="D350">
            <v>13.56</v>
          </cell>
          <cell r="E350" t="e">
            <v>#N/A</v>
          </cell>
          <cell r="F350" t="e">
            <v>#N/A</v>
          </cell>
          <cell r="G350" t="e">
            <v>#N/A</v>
          </cell>
          <cell r="H350" t="e">
            <v>#N/A</v>
          </cell>
          <cell r="I350" t="e">
            <v>#N/A</v>
          </cell>
          <cell r="J350" t="e">
            <v>#N/A</v>
          </cell>
          <cell r="K350" t="e">
            <v>#N/A</v>
          </cell>
          <cell r="L350" t="e">
            <v>#N/A</v>
          </cell>
          <cell r="M350" t="e">
            <v>#N/A</v>
          </cell>
          <cell r="N350" t="e">
            <v>#N/A</v>
          </cell>
          <cell r="O350" t="e">
            <v>#N/A</v>
          </cell>
          <cell r="P350">
            <v>13.56</v>
          </cell>
          <cell r="Q350">
            <v>2.7789239999999999</v>
          </cell>
          <cell r="R350" t="e">
            <v>#N/A</v>
          </cell>
        </row>
        <row r="351">
          <cell r="A351">
            <v>40479</v>
          </cell>
          <cell r="B351">
            <v>40479</v>
          </cell>
          <cell r="C351" t="str">
            <v>Past</v>
          </cell>
          <cell r="D351">
            <v>13.61</v>
          </cell>
          <cell r="E351" t="e">
            <v>#N/A</v>
          </cell>
          <cell r="F351" t="e">
            <v>#N/A</v>
          </cell>
          <cell r="G351" t="e">
            <v>#N/A</v>
          </cell>
          <cell r="H351" t="e">
            <v>#N/A</v>
          </cell>
          <cell r="I351" t="e">
            <v>#N/A</v>
          </cell>
          <cell r="J351" t="e">
            <v>#N/A</v>
          </cell>
          <cell r="K351" t="e">
            <v>#N/A</v>
          </cell>
          <cell r="L351" t="e">
            <v>#N/A</v>
          </cell>
          <cell r="M351" t="e">
            <v>#N/A</v>
          </cell>
          <cell r="N351" t="e">
            <v>#N/A</v>
          </cell>
          <cell r="O351" t="e">
            <v>#N/A</v>
          </cell>
          <cell r="P351">
            <v>13.61</v>
          </cell>
          <cell r="Q351">
            <v>2.4458409999999997</v>
          </cell>
          <cell r="R351" t="e">
            <v>#N/A</v>
          </cell>
        </row>
        <row r="352">
          <cell r="A352">
            <v>40480</v>
          </cell>
          <cell r="B352">
            <v>40480</v>
          </cell>
          <cell r="C352" t="str">
            <v>Past</v>
          </cell>
          <cell r="D352">
            <v>13.67</v>
          </cell>
          <cell r="E352" t="e">
            <v>#N/A</v>
          </cell>
          <cell r="F352" t="e">
            <v>#N/A</v>
          </cell>
          <cell r="G352" t="e">
            <v>#N/A</v>
          </cell>
          <cell r="H352" t="e">
            <v>#N/A</v>
          </cell>
          <cell r="I352" t="e">
            <v>#N/A</v>
          </cell>
          <cell r="J352" t="e">
            <v>#N/A</v>
          </cell>
          <cell r="K352" t="e">
            <v>#N/A</v>
          </cell>
          <cell r="L352" t="e">
            <v>#N/A</v>
          </cell>
          <cell r="M352" t="e">
            <v>#N/A</v>
          </cell>
          <cell r="N352" t="e">
            <v>#N/A</v>
          </cell>
          <cell r="O352" t="e">
            <v>#N/A</v>
          </cell>
          <cell r="P352">
            <v>13.67</v>
          </cell>
          <cell r="Q352">
            <v>1.4752000000000001</v>
          </cell>
          <cell r="R352" t="e">
            <v>#N/A</v>
          </cell>
        </row>
        <row r="353">
          <cell r="A353">
            <v>40483</v>
          </cell>
          <cell r="B353">
            <v>40483</v>
          </cell>
          <cell r="C353" t="str">
            <v>Past</v>
          </cell>
          <cell r="D353">
            <v>13.68</v>
          </cell>
          <cell r="E353" t="e">
            <v>#N/A</v>
          </cell>
          <cell r="F353" t="e">
            <v>#N/A</v>
          </cell>
          <cell r="G353" t="e">
            <v>#N/A</v>
          </cell>
          <cell r="H353" t="e">
            <v>#N/A</v>
          </cell>
          <cell r="I353" t="e">
            <v>#N/A</v>
          </cell>
          <cell r="J353" t="e">
            <v>#N/A</v>
          </cell>
          <cell r="K353" t="e">
            <v>#N/A</v>
          </cell>
          <cell r="L353" t="e">
            <v>#N/A</v>
          </cell>
          <cell r="M353" t="e">
            <v>#N/A</v>
          </cell>
          <cell r="N353" t="e">
            <v>#N/A</v>
          </cell>
          <cell r="O353" t="e">
            <v>#N/A</v>
          </cell>
          <cell r="P353">
            <v>13.68</v>
          </cell>
          <cell r="Q353">
            <v>1.9509209999999999</v>
          </cell>
          <cell r="R353" t="e">
            <v>#N/A</v>
          </cell>
        </row>
        <row r="354">
          <cell r="A354">
            <v>40484</v>
          </cell>
          <cell r="B354">
            <v>40484</v>
          </cell>
          <cell r="C354" t="str">
            <v>Past</v>
          </cell>
          <cell r="D354">
            <v>13.83</v>
          </cell>
          <cell r="E354" t="e">
            <v>#N/A</v>
          </cell>
          <cell r="F354" t="e">
            <v>#N/A</v>
          </cell>
          <cell r="G354" t="e">
            <v>#N/A</v>
          </cell>
          <cell r="H354" t="e">
            <v>#N/A</v>
          </cell>
          <cell r="I354" t="e">
            <v>#N/A</v>
          </cell>
          <cell r="J354" t="e">
            <v>#N/A</v>
          </cell>
          <cell r="K354" t="e">
            <v>#N/A</v>
          </cell>
          <cell r="L354" t="e">
            <v>#N/A</v>
          </cell>
          <cell r="M354" t="e">
            <v>#N/A</v>
          </cell>
          <cell r="N354" t="e">
            <v>#N/A</v>
          </cell>
          <cell r="O354" t="e">
            <v>#N/A</v>
          </cell>
          <cell r="P354">
            <v>13.83</v>
          </cell>
          <cell r="Q354">
            <v>1.22519</v>
          </cell>
          <cell r="R354" t="e">
            <v>#N/A</v>
          </cell>
        </row>
        <row r="355">
          <cell r="A355">
            <v>40485</v>
          </cell>
          <cell r="B355">
            <v>40485</v>
          </cell>
          <cell r="C355" t="str">
            <v>Past</v>
          </cell>
          <cell r="D355">
            <v>13.83</v>
          </cell>
          <cell r="E355" t="e">
            <v>#N/A</v>
          </cell>
          <cell r="F355" t="e">
            <v>#N/A</v>
          </cell>
          <cell r="G355" t="e">
            <v>#N/A</v>
          </cell>
          <cell r="H355" t="e">
            <v>#N/A</v>
          </cell>
          <cell r="I355" t="e">
            <v>#N/A</v>
          </cell>
          <cell r="J355" t="e">
            <v>#N/A</v>
          </cell>
          <cell r="K355" t="e">
            <v>#N/A</v>
          </cell>
          <cell r="L355" t="e">
            <v>#N/A</v>
          </cell>
          <cell r="M355" t="e">
            <v>#N/A</v>
          </cell>
          <cell r="N355" t="e">
            <v>#N/A</v>
          </cell>
          <cell r="O355" t="e">
            <v>#N/A</v>
          </cell>
          <cell r="P355">
            <v>13.83</v>
          </cell>
          <cell r="Q355">
            <v>1.352117</v>
          </cell>
          <cell r="R355" t="e">
            <v>#N/A</v>
          </cell>
        </row>
        <row r="356">
          <cell r="A356">
            <v>40486</v>
          </cell>
          <cell r="B356">
            <v>40486</v>
          </cell>
          <cell r="C356" t="str">
            <v>Past</v>
          </cell>
          <cell r="D356">
            <v>14.01</v>
          </cell>
          <cell r="E356" t="e">
            <v>#N/A</v>
          </cell>
          <cell r="F356" t="e">
            <v>#N/A</v>
          </cell>
          <cell r="G356" t="e">
            <v>#N/A</v>
          </cell>
          <cell r="H356" t="e">
            <v>#N/A</v>
          </cell>
          <cell r="I356" t="e">
            <v>#N/A</v>
          </cell>
          <cell r="J356" t="e">
            <v>#N/A</v>
          </cell>
          <cell r="K356" t="e">
            <v>#N/A</v>
          </cell>
          <cell r="L356" t="e">
            <v>#N/A</v>
          </cell>
          <cell r="M356" t="e">
            <v>#N/A</v>
          </cell>
          <cell r="N356" t="e">
            <v>#N/A</v>
          </cell>
          <cell r="O356" t="e">
            <v>#N/A</v>
          </cell>
          <cell r="P356">
            <v>14.01</v>
          </cell>
          <cell r="Q356">
            <v>1.294834</v>
          </cell>
          <cell r="R356" t="e">
            <v>#N/A</v>
          </cell>
        </row>
        <row r="357">
          <cell r="A357">
            <v>40487</v>
          </cell>
          <cell r="B357">
            <v>40487</v>
          </cell>
          <cell r="C357" t="str">
            <v>Past</v>
          </cell>
          <cell r="D357">
            <v>14.08</v>
          </cell>
          <cell r="E357" t="e">
            <v>#N/A</v>
          </cell>
          <cell r="F357" t="e">
            <v>#N/A</v>
          </cell>
          <cell r="G357" t="e">
            <v>#N/A</v>
          </cell>
          <cell r="H357" t="e">
            <v>#N/A</v>
          </cell>
          <cell r="I357" t="e">
            <v>#N/A</v>
          </cell>
          <cell r="J357" t="e">
            <v>#N/A</v>
          </cell>
          <cell r="K357" t="e">
            <v>#N/A</v>
          </cell>
          <cell r="L357" t="e">
            <v>#N/A</v>
          </cell>
          <cell r="M357" t="e">
            <v>#N/A</v>
          </cell>
          <cell r="N357" t="e">
            <v>#N/A</v>
          </cell>
          <cell r="O357" t="e">
            <v>#N/A</v>
          </cell>
          <cell r="P357">
            <v>14.08</v>
          </cell>
          <cell r="Q357">
            <v>1.4330669999999999</v>
          </cell>
          <cell r="R357" t="e">
            <v>#N/A</v>
          </cell>
        </row>
        <row r="358">
          <cell r="A358">
            <v>40490</v>
          </cell>
          <cell r="B358">
            <v>40490</v>
          </cell>
          <cell r="C358" t="str">
            <v>Past</v>
          </cell>
          <cell r="D358">
            <v>14.04</v>
          </cell>
          <cell r="E358" t="e">
            <v>#N/A</v>
          </cell>
          <cell r="F358" t="e">
            <v>#N/A</v>
          </cell>
          <cell r="G358" t="e">
            <v>#N/A</v>
          </cell>
          <cell r="H358" t="e">
            <v>#N/A</v>
          </cell>
          <cell r="I358" t="e">
            <v>#N/A</v>
          </cell>
          <cell r="J358" t="e">
            <v>#N/A</v>
          </cell>
          <cell r="K358" t="e">
            <v>#N/A</v>
          </cell>
          <cell r="L358" t="e">
            <v>#N/A</v>
          </cell>
          <cell r="M358" t="e">
            <v>#N/A</v>
          </cell>
          <cell r="N358" t="e">
            <v>#N/A</v>
          </cell>
          <cell r="O358" t="e">
            <v>#N/A</v>
          </cell>
          <cell r="P358">
            <v>14.04</v>
          </cell>
          <cell r="Q358">
            <v>1.399796</v>
          </cell>
          <cell r="R358" t="e">
            <v>#N/A</v>
          </cell>
        </row>
        <row r="359">
          <cell r="A359">
            <v>40491</v>
          </cell>
          <cell r="B359">
            <v>40491</v>
          </cell>
          <cell r="C359" t="str">
            <v>Past</v>
          </cell>
          <cell r="D359">
            <v>13.95</v>
          </cell>
          <cell r="E359" t="e">
            <v>#N/A</v>
          </cell>
          <cell r="F359" t="e">
            <v>#N/A</v>
          </cell>
          <cell r="G359" t="e">
            <v>#N/A</v>
          </cell>
          <cell r="H359" t="e">
            <v>#N/A</v>
          </cell>
          <cell r="I359" t="e">
            <v>#N/A</v>
          </cell>
          <cell r="J359" t="e">
            <v>#N/A</v>
          </cell>
          <cell r="K359" t="e">
            <v>#N/A</v>
          </cell>
          <cell r="L359" t="e">
            <v>#N/A</v>
          </cell>
          <cell r="M359" t="e">
            <v>#N/A</v>
          </cell>
          <cell r="N359" t="e">
            <v>#N/A</v>
          </cell>
          <cell r="O359" t="e">
            <v>#N/A</v>
          </cell>
          <cell r="P359">
            <v>13.95</v>
          </cell>
          <cell r="Q359">
            <v>1.2766789999999999</v>
          </cell>
          <cell r="R359" t="e">
            <v>#N/A</v>
          </cell>
        </row>
        <row r="360">
          <cell r="A360">
            <v>40492</v>
          </cell>
          <cell r="B360">
            <v>40492</v>
          </cell>
          <cell r="C360" t="str">
            <v>Past</v>
          </cell>
          <cell r="D360">
            <v>13.85</v>
          </cell>
          <cell r="E360" t="e">
            <v>#N/A</v>
          </cell>
          <cell r="F360" t="e">
            <v>#N/A</v>
          </cell>
          <cell r="G360" t="e">
            <v>#N/A</v>
          </cell>
          <cell r="H360" t="e">
            <v>#N/A</v>
          </cell>
          <cell r="I360" t="e">
            <v>#N/A</v>
          </cell>
          <cell r="J360" t="e">
            <v>#N/A</v>
          </cell>
          <cell r="K360" t="e">
            <v>#N/A</v>
          </cell>
          <cell r="L360" t="e">
            <v>#N/A</v>
          </cell>
          <cell r="M360" t="e">
            <v>#N/A</v>
          </cell>
          <cell r="N360" t="e">
            <v>#N/A</v>
          </cell>
          <cell r="O360" t="e">
            <v>#N/A</v>
          </cell>
          <cell r="P360">
            <v>13.85</v>
          </cell>
          <cell r="Q360">
            <v>1.4169559999999999</v>
          </cell>
          <cell r="R360" t="e">
            <v>#N/A</v>
          </cell>
        </row>
        <row r="361">
          <cell r="A361">
            <v>40493</v>
          </cell>
          <cell r="B361">
            <v>40493</v>
          </cell>
          <cell r="C361" t="str">
            <v>Past</v>
          </cell>
          <cell r="D361">
            <v>13.81</v>
          </cell>
          <cell r="E361" t="e">
            <v>#N/A</v>
          </cell>
          <cell r="F361" t="e">
            <v>#N/A</v>
          </cell>
          <cell r="G361" t="e">
            <v>#N/A</v>
          </cell>
          <cell r="H361" t="e">
            <v>#N/A</v>
          </cell>
          <cell r="I361" t="e">
            <v>#N/A</v>
          </cell>
          <cell r="J361" t="e">
            <v>#N/A</v>
          </cell>
          <cell r="K361" t="e">
            <v>#N/A</v>
          </cell>
          <cell r="L361" t="e">
            <v>#N/A</v>
          </cell>
          <cell r="M361" t="e">
            <v>#N/A</v>
          </cell>
          <cell r="N361" t="e">
            <v>#N/A</v>
          </cell>
          <cell r="O361" t="e">
            <v>#N/A</v>
          </cell>
          <cell r="P361">
            <v>13.81</v>
          </cell>
          <cell r="Q361">
            <v>1.0204959999999998</v>
          </cell>
          <cell r="R361" t="e">
            <v>#N/A</v>
          </cell>
        </row>
        <row r="362">
          <cell r="A362">
            <v>40494</v>
          </cell>
          <cell r="B362">
            <v>40494</v>
          </cell>
          <cell r="C362" t="str">
            <v>Past</v>
          </cell>
          <cell r="D362">
            <v>13.78</v>
          </cell>
          <cell r="E362" t="e">
            <v>#N/A</v>
          </cell>
          <cell r="F362" t="e">
            <v>#N/A</v>
          </cell>
          <cell r="G362" t="e">
            <v>#N/A</v>
          </cell>
          <cell r="H362" t="e">
            <v>#N/A</v>
          </cell>
          <cell r="I362" t="e">
            <v>#N/A</v>
          </cell>
          <cell r="J362" t="e">
            <v>#N/A</v>
          </cell>
          <cell r="K362" t="e">
            <v>#N/A</v>
          </cell>
          <cell r="L362" t="e">
            <v>#N/A</v>
          </cell>
          <cell r="M362" t="e">
            <v>#N/A</v>
          </cell>
          <cell r="N362" t="e">
            <v>#N/A</v>
          </cell>
          <cell r="O362" t="e">
            <v>#N/A</v>
          </cell>
          <cell r="P362">
            <v>13.78</v>
          </cell>
          <cell r="Q362">
            <v>2.466567</v>
          </cell>
          <cell r="R362" t="e">
            <v>#N/A</v>
          </cell>
        </row>
        <row r="363">
          <cell r="A363">
            <v>40497</v>
          </cell>
          <cell r="B363">
            <v>40497</v>
          </cell>
          <cell r="C363" t="str">
            <v>Past</v>
          </cell>
          <cell r="D363">
            <v>13.86</v>
          </cell>
          <cell r="E363" t="e">
            <v>#N/A</v>
          </cell>
          <cell r="F363" t="e">
            <v>#N/A</v>
          </cell>
          <cell r="G363" t="e">
            <v>#N/A</v>
          </cell>
          <cell r="H363" t="e">
            <v>#N/A</v>
          </cell>
          <cell r="I363" t="e">
            <v>#N/A</v>
          </cell>
          <cell r="J363" t="e">
            <v>#N/A</v>
          </cell>
          <cell r="K363" t="e">
            <v>#N/A</v>
          </cell>
          <cell r="L363" t="e">
            <v>#N/A</v>
          </cell>
          <cell r="M363" t="e">
            <v>#N/A</v>
          </cell>
          <cell r="N363" t="e">
            <v>#N/A</v>
          </cell>
          <cell r="O363" t="e">
            <v>#N/A</v>
          </cell>
          <cell r="P363">
            <v>13.86</v>
          </cell>
          <cell r="Q363">
            <v>1.445506</v>
          </cell>
          <cell r="R363" t="e">
            <v>#N/A</v>
          </cell>
        </row>
        <row r="364">
          <cell r="A364">
            <v>40498</v>
          </cell>
          <cell r="B364">
            <v>40498</v>
          </cell>
          <cell r="C364" t="str">
            <v>Past</v>
          </cell>
          <cell r="D364">
            <v>13.58</v>
          </cell>
          <cell r="E364" t="e">
            <v>#N/A</v>
          </cell>
          <cell r="F364" t="e">
            <v>#N/A</v>
          </cell>
          <cell r="G364" t="e">
            <v>#N/A</v>
          </cell>
          <cell r="H364" t="e">
            <v>#N/A</v>
          </cell>
          <cell r="I364" t="e">
            <v>#N/A</v>
          </cell>
          <cell r="J364" t="e">
            <v>#N/A</v>
          </cell>
          <cell r="K364" t="e">
            <v>#N/A</v>
          </cell>
          <cell r="L364" t="e">
            <v>#N/A</v>
          </cell>
          <cell r="M364" t="e">
            <v>#N/A</v>
          </cell>
          <cell r="N364" t="e">
            <v>#N/A</v>
          </cell>
          <cell r="O364" t="e">
            <v>#N/A</v>
          </cell>
          <cell r="P364">
            <v>13.58</v>
          </cell>
          <cell r="Q364">
            <v>2.116126</v>
          </cell>
          <cell r="R364" t="e">
            <v>#N/A</v>
          </cell>
        </row>
        <row r="365">
          <cell r="A365">
            <v>40499</v>
          </cell>
          <cell r="B365">
            <v>40499</v>
          </cell>
          <cell r="C365" t="str">
            <v>Past</v>
          </cell>
          <cell r="D365">
            <v>13.57</v>
          </cell>
          <cell r="E365" t="e">
            <v>#N/A</v>
          </cell>
          <cell r="F365" t="e">
            <v>#N/A</v>
          </cell>
          <cell r="G365" t="e">
            <v>#N/A</v>
          </cell>
          <cell r="H365" t="e">
            <v>#N/A</v>
          </cell>
          <cell r="I365" t="e">
            <v>#N/A</v>
          </cell>
          <cell r="J365" t="e">
            <v>#N/A</v>
          </cell>
          <cell r="K365" t="e">
            <v>#N/A</v>
          </cell>
          <cell r="L365" t="e">
            <v>#N/A</v>
          </cell>
          <cell r="M365" t="e">
            <v>#N/A</v>
          </cell>
          <cell r="N365" t="e">
            <v>#N/A</v>
          </cell>
          <cell r="O365" t="e">
            <v>#N/A</v>
          </cell>
          <cell r="P365">
            <v>13.57</v>
          </cell>
          <cell r="Q365">
            <v>1.1772229999999999</v>
          </cell>
          <cell r="R365" t="e">
            <v>#N/A</v>
          </cell>
        </row>
        <row r="366">
          <cell r="A366">
            <v>40500</v>
          </cell>
          <cell r="B366">
            <v>40500</v>
          </cell>
          <cell r="C366" t="str">
            <v>Past</v>
          </cell>
          <cell r="D366">
            <v>13.69</v>
          </cell>
          <cell r="E366" t="e">
            <v>#N/A</v>
          </cell>
          <cell r="F366" t="e">
            <v>#N/A</v>
          </cell>
          <cell r="G366" t="e">
            <v>#N/A</v>
          </cell>
          <cell r="H366" t="e">
            <v>#N/A</v>
          </cell>
          <cell r="I366" t="e">
            <v>#N/A</v>
          </cell>
          <cell r="J366" t="e">
            <v>#N/A</v>
          </cell>
          <cell r="K366" t="e">
            <v>#N/A</v>
          </cell>
          <cell r="L366" t="e">
            <v>#N/A</v>
          </cell>
          <cell r="M366" t="e">
            <v>#N/A</v>
          </cell>
          <cell r="N366" t="e">
            <v>#N/A</v>
          </cell>
          <cell r="O366" t="e">
            <v>#N/A</v>
          </cell>
          <cell r="P366">
            <v>13.69</v>
          </cell>
          <cell r="Q366">
            <v>0.73825699999999994</v>
          </cell>
          <cell r="R366" t="e">
            <v>#N/A</v>
          </cell>
        </row>
        <row r="367">
          <cell r="A367">
            <v>40501</v>
          </cell>
          <cell r="B367">
            <v>40501</v>
          </cell>
          <cell r="C367" t="str">
            <v>Past</v>
          </cell>
          <cell r="D367">
            <v>13.71</v>
          </cell>
          <cell r="E367" t="e">
            <v>#N/A</v>
          </cell>
          <cell r="F367" t="e">
            <v>#N/A</v>
          </cell>
          <cell r="G367" t="e">
            <v>#N/A</v>
          </cell>
          <cell r="H367" t="e">
            <v>#N/A</v>
          </cell>
          <cell r="I367" t="e">
            <v>#N/A</v>
          </cell>
          <cell r="J367" t="e">
            <v>#N/A</v>
          </cell>
          <cell r="K367" t="e">
            <v>#N/A</v>
          </cell>
          <cell r="L367" t="e">
            <v>#N/A</v>
          </cell>
          <cell r="M367" t="e">
            <v>#N/A</v>
          </cell>
          <cell r="N367" t="e">
            <v>#N/A</v>
          </cell>
          <cell r="O367" t="e">
            <v>#N/A</v>
          </cell>
          <cell r="P367">
            <v>13.71</v>
          </cell>
          <cell r="Q367">
            <v>0.69165399999999999</v>
          </cell>
          <cell r="R367" t="e">
            <v>#N/A</v>
          </cell>
        </row>
        <row r="368">
          <cell r="A368">
            <v>40504</v>
          </cell>
          <cell r="B368">
            <v>40504</v>
          </cell>
          <cell r="C368" t="str">
            <v>Past</v>
          </cell>
          <cell r="D368">
            <v>13.9</v>
          </cell>
          <cell r="E368" t="e">
            <v>#N/A</v>
          </cell>
          <cell r="F368" t="e">
            <v>#N/A</v>
          </cell>
          <cell r="G368" t="e">
            <v>#N/A</v>
          </cell>
          <cell r="H368" t="e">
            <v>#N/A</v>
          </cell>
          <cell r="I368" t="e">
            <v>#N/A</v>
          </cell>
          <cell r="J368" t="e">
            <v>#N/A</v>
          </cell>
          <cell r="K368" t="e">
            <v>#N/A</v>
          </cell>
          <cell r="L368" t="e">
            <v>#N/A</v>
          </cell>
          <cell r="M368" t="e">
            <v>#N/A</v>
          </cell>
          <cell r="N368" t="e">
            <v>#N/A</v>
          </cell>
          <cell r="O368" t="e">
            <v>#N/A</v>
          </cell>
          <cell r="P368">
            <v>13.9</v>
          </cell>
          <cell r="Q368">
            <v>1.7465309999999998</v>
          </cell>
          <cell r="R368" t="e">
            <v>#N/A</v>
          </cell>
        </row>
        <row r="369">
          <cell r="A369">
            <v>40505</v>
          </cell>
          <cell r="B369">
            <v>40505</v>
          </cell>
          <cell r="C369" t="str">
            <v>Past</v>
          </cell>
          <cell r="D369">
            <v>13.77</v>
          </cell>
          <cell r="E369" t="e">
            <v>#N/A</v>
          </cell>
          <cell r="F369" t="e">
            <v>#N/A</v>
          </cell>
          <cell r="G369" t="e">
            <v>#N/A</v>
          </cell>
          <cell r="H369" t="e">
            <v>#N/A</v>
          </cell>
          <cell r="I369" t="e">
            <v>#N/A</v>
          </cell>
          <cell r="J369" t="e">
            <v>#N/A</v>
          </cell>
          <cell r="K369" t="e">
            <v>#N/A</v>
          </cell>
          <cell r="L369" t="e">
            <v>#N/A</v>
          </cell>
          <cell r="M369" t="e">
            <v>#N/A</v>
          </cell>
          <cell r="N369" t="e">
            <v>#N/A</v>
          </cell>
          <cell r="O369" t="e">
            <v>#N/A</v>
          </cell>
          <cell r="P369">
            <v>13.77</v>
          </cell>
          <cell r="Q369">
            <v>1.594803</v>
          </cell>
          <cell r="R369" t="e">
            <v>#N/A</v>
          </cell>
        </row>
        <row r="370">
          <cell r="A370">
            <v>40506</v>
          </cell>
          <cell r="B370">
            <v>40506</v>
          </cell>
          <cell r="C370" t="str">
            <v>Past</v>
          </cell>
          <cell r="D370">
            <v>13.92</v>
          </cell>
          <cell r="E370" t="e">
            <v>#N/A</v>
          </cell>
          <cell r="F370" t="e">
            <v>#N/A</v>
          </cell>
          <cell r="G370" t="e">
            <v>#N/A</v>
          </cell>
          <cell r="H370" t="e">
            <v>#N/A</v>
          </cell>
          <cell r="I370" t="e">
            <v>#N/A</v>
          </cell>
          <cell r="J370" t="e">
            <v>#N/A</v>
          </cell>
          <cell r="K370" t="e">
            <v>#N/A</v>
          </cell>
          <cell r="L370" t="e">
            <v>#N/A</v>
          </cell>
          <cell r="M370" t="e">
            <v>#N/A</v>
          </cell>
          <cell r="N370" t="e">
            <v>#N/A</v>
          </cell>
          <cell r="O370" t="e">
            <v>#N/A</v>
          </cell>
          <cell r="P370">
            <v>13.92</v>
          </cell>
          <cell r="Q370">
            <v>1.474548</v>
          </cell>
          <cell r="R370" t="e">
            <v>#N/A</v>
          </cell>
        </row>
        <row r="371">
          <cell r="A371">
            <v>40508</v>
          </cell>
          <cell r="B371">
            <v>40508</v>
          </cell>
          <cell r="C371" t="str">
            <v>Past</v>
          </cell>
          <cell r="D371">
            <v>13.83</v>
          </cell>
          <cell r="E371" t="e">
            <v>#N/A</v>
          </cell>
          <cell r="F371" t="e">
            <v>#N/A</v>
          </cell>
          <cell r="G371" t="e">
            <v>#N/A</v>
          </cell>
          <cell r="H371" t="e">
            <v>#N/A</v>
          </cell>
          <cell r="I371" t="e">
            <v>#N/A</v>
          </cell>
          <cell r="J371" t="e">
            <v>#N/A</v>
          </cell>
          <cell r="K371" t="e">
            <v>#N/A</v>
          </cell>
          <cell r="L371" t="e">
            <v>#N/A</v>
          </cell>
          <cell r="M371" t="e">
            <v>#N/A</v>
          </cell>
          <cell r="N371" t="e">
            <v>#N/A</v>
          </cell>
          <cell r="O371" t="e">
            <v>#N/A</v>
          </cell>
          <cell r="P371">
            <v>13.83</v>
          </cell>
          <cell r="Q371">
            <v>0.74225599999999992</v>
          </cell>
          <cell r="R371" t="e">
            <v>#N/A</v>
          </cell>
        </row>
        <row r="372">
          <cell r="A372">
            <v>40511</v>
          </cell>
          <cell r="B372">
            <v>40511</v>
          </cell>
          <cell r="C372" t="str">
            <v>Past</v>
          </cell>
          <cell r="D372">
            <v>13.7</v>
          </cell>
          <cell r="E372" t="e">
            <v>#N/A</v>
          </cell>
          <cell r="F372" t="e">
            <v>#N/A</v>
          </cell>
          <cell r="G372" t="e">
            <v>#N/A</v>
          </cell>
          <cell r="H372" t="e">
            <v>#N/A</v>
          </cell>
          <cell r="I372" t="e">
            <v>#N/A</v>
          </cell>
          <cell r="J372" t="e">
            <v>#N/A</v>
          </cell>
          <cell r="K372" t="e">
            <v>#N/A</v>
          </cell>
          <cell r="L372" t="e">
            <v>#N/A</v>
          </cell>
          <cell r="M372" t="e">
            <v>#N/A</v>
          </cell>
          <cell r="N372" t="e">
            <v>#N/A</v>
          </cell>
          <cell r="O372" t="e">
            <v>#N/A</v>
          </cell>
          <cell r="P372">
            <v>13.7</v>
          </cell>
          <cell r="Q372">
            <v>1.363807</v>
          </cell>
          <cell r="R372" t="e">
            <v>#N/A</v>
          </cell>
        </row>
        <row r="373">
          <cell r="A373">
            <v>40512</v>
          </cell>
          <cell r="B373">
            <v>40512</v>
          </cell>
          <cell r="C373" t="str">
            <v>Past</v>
          </cell>
          <cell r="D373">
            <v>13.69</v>
          </cell>
          <cell r="E373" t="e">
            <v>#N/A</v>
          </cell>
          <cell r="F373" t="e">
            <v>#N/A</v>
          </cell>
          <cell r="G373" t="e">
            <v>#N/A</v>
          </cell>
          <cell r="H373" t="e">
            <v>#N/A</v>
          </cell>
          <cell r="I373" t="e">
            <v>#N/A</v>
          </cell>
          <cell r="J373" t="e">
            <v>#N/A</v>
          </cell>
          <cell r="K373" t="e">
            <v>#N/A</v>
          </cell>
          <cell r="L373" t="e">
            <v>#N/A</v>
          </cell>
          <cell r="M373" t="e">
            <v>#N/A</v>
          </cell>
          <cell r="N373" t="e">
            <v>#N/A</v>
          </cell>
          <cell r="O373" t="e">
            <v>#N/A</v>
          </cell>
          <cell r="P373">
            <v>13.69</v>
          </cell>
          <cell r="Q373">
            <v>1.213838</v>
          </cell>
          <cell r="R373" t="e">
            <v>#N/A</v>
          </cell>
        </row>
        <row r="374">
          <cell r="A374">
            <v>40513</v>
          </cell>
          <cell r="B374">
            <v>40513</v>
          </cell>
          <cell r="C374" t="str">
            <v>Past</v>
          </cell>
          <cell r="D374">
            <v>13.89</v>
          </cell>
          <cell r="E374" t="e">
            <v>#N/A</v>
          </cell>
          <cell r="F374" t="e">
            <v>#N/A</v>
          </cell>
          <cell r="G374" t="e">
            <v>#N/A</v>
          </cell>
          <cell r="H374" t="e">
            <v>#N/A</v>
          </cell>
          <cell r="I374" t="e">
            <v>#N/A</v>
          </cell>
          <cell r="J374" t="e">
            <v>#N/A</v>
          </cell>
          <cell r="K374" t="e">
            <v>#N/A</v>
          </cell>
          <cell r="L374" t="e">
            <v>#N/A</v>
          </cell>
          <cell r="M374" t="e">
            <v>#N/A</v>
          </cell>
          <cell r="N374" t="e">
            <v>#N/A</v>
          </cell>
          <cell r="O374" t="e">
            <v>#N/A</v>
          </cell>
          <cell r="P374">
            <v>13.89</v>
          </cell>
          <cell r="Q374">
            <v>1.3721729999999999</v>
          </cell>
          <cell r="R374" t="e">
            <v>#N/A</v>
          </cell>
        </row>
        <row r="375">
          <cell r="A375">
            <v>40514</v>
          </cell>
          <cell r="B375">
            <v>40514</v>
          </cell>
          <cell r="C375" t="str">
            <v>Past</v>
          </cell>
          <cell r="D375">
            <v>13.94</v>
          </cell>
          <cell r="E375" t="e">
            <v>#N/A</v>
          </cell>
          <cell r="F375" t="e">
            <v>#N/A</v>
          </cell>
          <cell r="G375" t="e">
            <v>#N/A</v>
          </cell>
          <cell r="H375" t="e">
            <v>#N/A</v>
          </cell>
          <cell r="I375" t="e">
            <v>#N/A</v>
          </cell>
          <cell r="J375" t="e">
            <v>#N/A</v>
          </cell>
          <cell r="K375" t="e">
            <v>#N/A</v>
          </cell>
          <cell r="L375" t="e">
            <v>#N/A</v>
          </cell>
          <cell r="M375" t="e">
            <v>#N/A</v>
          </cell>
          <cell r="N375" t="e">
            <v>#N/A</v>
          </cell>
          <cell r="O375" t="e">
            <v>#N/A</v>
          </cell>
          <cell r="P375">
            <v>13.94</v>
          </cell>
          <cell r="Q375">
            <v>1.5730659999999999</v>
          </cell>
          <cell r="R375" t="e">
            <v>#N/A</v>
          </cell>
        </row>
        <row r="376">
          <cell r="A376">
            <v>40515</v>
          </cell>
          <cell r="B376">
            <v>40515</v>
          </cell>
          <cell r="C376" t="str">
            <v>Past</v>
          </cell>
          <cell r="D376">
            <v>13.92</v>
          </cell>
          <cell r="E376" t="e">
            <v>#N/A</v>
          </cell>
          <cell r="F376" t="e">
            <v>#N/A</v>
          </cell>
          <cell r="G376" t="e">
            <v>#N/A</v>
          </cell>
          <cell r="H376" t="e">
            <v>#N/A</v>
          </cell>
          <cell r="I376" t="e">
            <v>#N/A</v>
          </cell>
          <cell r="J376" t="e">
            <v>#N/A</v>
          </cell>
          <cell r="K376" t="e">
            <v>#N/A</v>
          </cell>
          <cell r="L376" t="e">
            <v>#N/A</v>
          </cell>
          <cell r="M376" t="e">
            <v>#N/A</v>
          </cell>
          <cell r="N376" t="e">
            <v>#N/A</v>
          </cell>
          <cell r="O376" t="e">
            <v>#N/A</v>
          </cell>
          <cell r="P376">
            <v>13.92</v>
          </cell>
          <cell r="Q376">
            <v>1.3870339999999999</v>
          </cell>
          <cell r="R376" t="e">
            <v>#N/A</v>
          </cell>
        </row>
        <row r="377">
          <cell r="A377">
            <v>40518</v>
          </cell>
          <cell r="B377">
            <v>40518</v>
          </cell>
          <cell r="C377" t="str">
            <v>Past</v>
          </cell>
          <cell r="D377">
            <v>13.9</v>
          </cell>
          <cell r="E377" t="e">
            <v>#N/A</v>
          </cell>
          <cell r="F377" t="e">
            <v>#N/A</v>
          </cell>
          <cell r="G377" t="e">
            <v>#N/A</v>
          </cell>
          <cell r="H377" t="e">
            <v>#N/A</v>
          </cell>
          <cell r="I377" t="e">
            <v>#N/A</v>
          </cell>
          <cell r="J377" t="e">
            <v>#N/A</v>
          </cell>
          <cell r="K377" t="e">
            <v>#N/A</v>
          </cell>
          <cell r="L377" t="e">
            <v>#N/A</v>
          </cell>
          <cell r="M377" t="e">
            <v>#N/A</v>
          </cell>
          <cell r="N377" t="e">
            <v>#N/A</v>
          </cell>
          <cell r="O377" t="e">
            <v>#N/A</v>
          </cell>
          <cell r="P377">
            <v>13.9</v>
          </cell>
          <cell r="Q377">
            <v>0.99063099999999993</v>
          </cell>
          <cell r="R377" t="e">
            <v>#N/A</v>
          </cell>
        </row>
        <row r="378">
          <cell r="A378">
            <v>40519</v>
          </cell>
          <cell r="B378">
            <v>40519</v>
          </cell>
          <cell r="C378" t="str">
            <v>Past</v>
          </cell>
          <cell r="D378">
            <v>13.85</v>
          </cell>
          <cell r="E378" t="e">
            <v>#N/A</v>
          </cell>
          <cell r="F378" t="e">
            <v>#N/A</v>
          </cell>
          <cell r="G378" t="e">
            <v>#N/A</v>
          </cell>
          <cell r="H378" t="e">
            <v>#N/A</v>
          </cell>
          <cell r="I378" t="e">
            <v>#N/A</v>
          </cell>
          <cell r="J378" t="e">
            <v>#N/A</v>
          </cell>
          <cell r="K378" t="e">
            <v>#N/A</v>
          </cell>
          <cell r="L378" t="e">
            <v>#N/A</v>
          </cell>
          <cell r="M378" t="e">
            <v>#N/A</v>
          </cell>
          <cell r="N378" t="e">
            <v>#N/A</v>
          </cell>
          <cell r="O378" t="e">
            <v>#N/A</v>
          </cell>
          <cell r="P378">
            <v>13.85</v>
          </cell>
          <cell r="Q378">
            <v>1.4670259999999999</v>
          </cell>
          <cell r="R378" t="e">
            <v>#N/A</v>
          </cell>
        </row>
        <row r="379">
          <cell r="A379">
            <v>40520</v>
          </cell>
          <cell r="B379">
            <v>40520</v>
          </cell>
          <cell r="C379" t="str">
            <v>Past</v>
          </cell>
          <cell r="D379">
            <v>13.68</v>
          </cell>
          <cell r="E379" t="e">
            <v>#N/A</v>
          </cell>
          <cell r="F379" t="e">
            <v>#N/A</v>
          </cell>
          <cell r="G379" t="e">
            <v>#N/A</v>
          </cell>
          <cell r="H379" t="e">
            <v>#N/A</v>
          </cell>
          <cell r="I379" t="e">
            <v>#N/A</v>
          </cell>
          <cell r="J379" t="e">
            <v>#N/A</v>
          </cell>
          <cell r="K379" t="e">
            <v>#N/A</v>
          </cell>
          <cell r="L379" t="e">
            <v>#N/A</v>
          </cell>
          <cell r="M379" t="e">
            <v>#N/A</v>
          </cell>
          <cell r="N379" t="e">
            <v>#N/A</v>
          </cell>
          <cell r="O379" t="e">
            <v>#N/A</v>
          </cell>
          <cell r="P379">
            <v>13.68</v>
          </cell>
          <cell r="Q379">
            <v>1.306387</v>
          </cell>
          <cell r="R379" t="e">
            <v>#N/A</v>
          </cell>
        </row>
        <row r="380">
          <cell r="A380">
            <v>40521</v>
          </cell>
          <cell r="B380">
            <v>40521</v>
          </cell>
          <cell r="C380" t="str">
            <v>Past</v>
          </cell>
          <cell r="D380">
            <v>13.76</v>
          </cell>
          <cell r="E380" t="e">
            <v>#N/A</v>
          </cell>
          <cell r="F380" t="e">
            <v>#N/A</v>
          </cell>
          <cell r="G380" t="e">
            <v>#N/A</v>
          </cell>
          <cell r="H380" t="e">
            <v>#N/A</v>
          </cell>
          <cell r="I380" t="e">
            <v>#N/A</v>
          </cell>
          <cell r="J380" t="e">
            <v>#N/A</v>
          </cell>
          <cell r="K380" t="e">
            <v>#N/A</v>
          </cell>
          <cell r="L380" t="e">
            <v>#N/A</v>
          </cell>
          <cell r="M380" t="e">
            <v>#N/A</v>
          </cell>
          <cell r="N380" t="e">
            <v>#N/A</v>
          </cell>
          <cell r="O380" t="e">
            <v>#N/A</v>
          </cell>
          <cell r="P380">
            <v>13.76</v>
          </cell>
          <cell r="Q380">
            <v>1.0436049999999999</v>
          </cell>
          <cell r="R380" t="e">
            <v>#N/A</v>
          </cell>
        </row>
        <row r="381">
          <cell r="A381">
            <v>40522</v>
          </cell>
          <cell r="B381">
            <v>40522</v>
          </cell>
          <cell r="C381" t="str">
            <v>Past</v>
          </cell>
          <cell r="D381">
            <v>13.85</v>
          </cell>
          <cell r="E381" t="e">
            <v>#N/A</v>
          </cell>
          <cell r="F381" t="e">
            <v>#N/A</v>
          </cell>
          <cell r="G381" t="e">
            <v>#N/A</v>
          </cell>
          <cell r="H381" t="e">
            <v>#N/A</v>
          </cell>
          <cell r="I381" t="e">
            <v>#N/A</v>
          </cell>
          <cell r="J381" t="e">
            <v>#N/A</v>
          </cell>
          <cell r="K381" t="e">
            <v>#N/A</v>
          </cell>
          <cell r="L381" t="e">
            <v>#N/A</v>
          </cell>
          <cell r="M381" t="e">
            <v>#N/A</v>
          </cell>
          <cell r="N381" t="e">
            <v>#N/A</v>
          </cell>
          <cell r="O381" t="e">
            <v>#N/A</v>
          </cell>
          <cell r="P381">
            <v>13.85</v>
          </cell>
          <cell r="Q381">
            <v>0.75632599999999994</v>
          </cell>
          <cell r="R381" t="e">
            <v>#N/A</v>
          </cell>
        </row>
        <row r="382">
          <cell r="A382">
            <v>40525</v>
          </cell>
          <cell r="B382">
            <v>40525</v>
          </cell>
          <cell r="C382" t="str">
            <v>Past</v>
          </cell>
          <cell r="D382">
            <v>13.92</v>
          </cell>
          <cell r="E382" t="e">
            <v>#N/A</v>
          </cell>
          <cell r="F382" t="e">
            <v>#N/A</v>
          </cell>
          <cell r="G382" t="e">
            <v>#N/A</v>
          </cell>
          <cell r="H382" t="e">
            <v>#N/A</v>
          </cell>
          <cell r="I382" t="e">
            <v>#N/A</v>
          </cell>
          <cell r="J382" t="e">
            <v>#N/A</v>
          </cell>
          <cell r="K382" t="e">
            <v>#N/A</v>
          </cell>
          <cell r="L382" t="e">
            <v>#N/A</v>
          </cell>
          <cell r="M382" t="e">
            <v>#N/A</v>
          </cell>
          <cell r="N382" t="e">
            <v>#N/A</v>
          </cell>
          <cell r="O382" t="e">
            <v>#N/A</v>
          </cell>
          <cell r="P382">
            <v>13.92</v>
          </cell>
          <cell r="Q382">
            <v>1.0436159999999999</v>
          </cell>
          <cell r="R382" t="e">
            <v>#N/A</v>
          </cell>
        </row>
        <row r="383">
          <cell r="A383">
            <v>40526</v>
          </cell>
          <cell r="B383">
            <v>40526</v>
          </cell>
          <cell r="C383" t="str">
            <v>Past</v>
          </cell>
          <cell r="D383">
            <v>13.99</v>
          </cell>
          <cell r="E383" t="e">
            <v>#N/A</v>
          </cell>
          <cell r="F383" t="e">
            <v>#N/A</v>
          </cell>
          <cell r="G383" t="e">
            <v>#N/A</v>
          </cell>
          <cell r="H383" t="e">
            <v>#N/A</v>
          </cell>
          <cell r="I383" t="e">
            <v>#N/A</v>
          </cell>
          <cell r="J383" t="e">
            <v>#N/A</v>
          </cell>
          <cell r="K383" t="e">
            <v>#N/A</v>
          </cell>
          <cell r="L383" t="e">
            <v>#N/A</v>
          </cell>
          <cell r="M383" t="e">
            <v>#N/A</v>
          </cell>
          <cell r="N383" t="e">
            <v>#N/A</v>
          </cell>
          <cell r="O383" t="e">
            <v>#N/A</v>
          </cell>
          <cell r="P383">
            <v>13.99</v>
          </cell>
          <cell r="Q383">
            <v>1.1892600000000002</v>
          </cell>
          <cell r="R383" t="e">
            <v>#N/A</v>
          </cell>
        </row>
        <row r="384">
          <cell r="A384">
            <v>40527</v>
          </cell>
          <cell r="B384">
            <v>40527</v>
          </cell>
          <cell r="C384" t="str">
            <v>Past</v>
          </cell>
          <cell r="D384">
            <v>13.75</v>
          </cell>
          <cell r="E384" t="e">
            <v>#N/A</v>
          </cell>
          <cell r="F384" t="e">
            <v>#N/A</v>
          </cell>
          <cell r="G384" t="e">
            <v>#N/A</v>
          </cell>
          <cell r="H384" t="e">
            <v>#N/A</v>
          </cell>
          <cell r="I384" t="e">
            <v>#N/A</v>
          </cell>
          <cell r="J384" t="e">
            <v>#N/A</v>
          </cell>
          <cell r="K384" t="e">
            <v>#N/A</v>
          </cell>
          <cell r="L384" t="e">
            <v>#N/A</v>
          </cell>
          <cell r="M384" t="e">
            <v>#N/A</v>
          </cell>
          <cell r="N384" t="e">
            <v>#N/A</v>
          </cell>
          <cell r="O384" t="e">
            <v>#N/A</v>
          </cell>
          <cell r="P384">
            <v>13.75</v>
          </cell>
          <cell r="Q384">
            <v>1.3205</v>
          </cell>
          <cell r="R384" t="e">
            <v>#N/A</v>
          </cell>
        </row>
        <row r="385">
          <cell r="A385">
            <v>40528</v>
          </cell>
          <cell r="B385">
            <v>40528</v>
          </cell>
          <cell r="C385" t="str">
            <v>Past</v>
          </cell>
          <cell r="D385">
            <v>14.08</v>
          </cell>
          <cell r="E385" t="e">
            <v>#N/A</v>
          </cell>
          <cell r="F385" t="e">
            <v>#N/A</v>
          </cell>
          <cell r="G385" t="e">
            <v>#N/A</v>
          </cell>
          <cell r="H385" t="e">
            <v>#N/A</v>
          </cell>
          <cell r="I385" t="e">
            <v>#N/A</v>
          </cell>
          <cell r="J385" t="e">
            <v>#N/A</v>
          </cell>
          <cell r="K385" t="e">
            <v>#N/A</v>
          </cell>
          <cell r="L385" t="e">
            <v>#N/A</v>
          </cell>
          <cell r="M385" t="e">
            <v>#N/A</v>
          </cell>
          <cell r="N385" t="e">
            <v>#N/A</v>
          </cell>
          <cell r="O385" t="e">
            <v>#N/A</v>
          </cell>
          <cell r="P385">
            <v>14.08</v>
          </cell>
          <cell r="Q385">
            <v>1.730621</v>
          </cell>
          <cell r="R385" t="e">
            <v>#N/A</v>
          </cell>
        </row>
        <row r="386">
          <cell r="A386">
            <v>40529</v>
          </cell>
          <cell r="B386">
            <v>40529</v>
          </cell>
          <cell r="C386" t="str">
            <v>Past</v>
          </cell>
          <cell r="D386">
            <v>14.28</v>
          </cell>
          <cell r="E386" t="e">
            <v>#N/A</v>
          </cell>
          <cell r="F386" t="e">
            <v>#N/A</v>
          </cell>
          <cell r="G386" t="e">
            <v>#N/A</v>
          </cell>
          <cell r="H386" t="e">
            <v>#N/A</v>
          </cell>
          <cell r="I386" t="e">
            <v>#N/A</v>
          </cell>
          <cell r="J386" t="e">
            <v>#N/A</v>
          </cell>
          <cell r="K386" t="e">
            <v>#N/A</v>
          </cell>
          <cell r="L386" t="e">
            <v>#N/A</v>
          </cell>
          <cell r="M386" t="e">
            <v>#N/A</v>
          </cell>
          <cell r="N386" t="e">
            <v>#N/A</v>
          </cell>
          <cell r="O386" t="e">
            <v>#N/A</v>
          </cell>
          <cell r="P386">
            <v>14.28</v>
          </cell>
          <cell r="Q386">
            <v>2.4079000000000002</v>
          </cell>
          <cell r="R386" t="e">
            <v>#N/A</v>
          </cell>
        </row>
        <row r="387">
          <cell r="A387">
            <v>40532</v>
          </cell>
          <cell r="B387">
            <v>40532</v>
          </cell>
          <cell r="C387" t="str">
            <v>Past</v>
          </cell>
          <cell r="D387">
            <v>14.29</v>
          </cell>
          <cell r="E387" t="e">
            <v>#N/A</v>
          </cell>
          <cell r="F387" t="e">
            <v>#N/A</v>
          </cell>
          <cell r="G387" t="e">
            <v>#N/A</v>
          </cell>
          <cell r="H387" t="e">
            <v>#N/A</v>
          </cell>
          <cell r="I387" t="e">
            <v>#N/A</v>
          </cell>
          <cell r="J387" t="e">
            <v>#N/A</v>
          </cell>
          <cell r="K387" t="e">
            <v>#N/A</v>
          </cell>
          <cell r="L387" t="e">
            <v>#N/A</v>
          </cell>
          <cell r="M387" t="e">
            <v>#N/A</v>
          </cell>
          <cell r="N387" t="e">
            <v>#N/A</v>
          </cell>
          <cell r="O387" t="e">
            <v>#N/A</v>
          </cell>
          <cell r="P387">
            <v>14.29</v>
          </cell>
          <cell r="Q387">
            <v>1.9979749999999998</v>
          </cell>
          <cell r="R387" t="e">
            <v>#N/A</v>
          </cell>
        </row>
        <row r="388">
          <cell r="A388">
            <v>40533</v>
          </cell>
          <cell r="B388">
            <v>40533</v>
          </cell>
          <cell r="C388" t="str">
            <v>Past</v>
          </cell>
          <cell r="D388">
            <v>14.25</v>
          </cell>
          <cell r="E388" t="e">
            <v>#N/A</v>
          </cell>
          <cell r="F388" t="e">
            <v>#N/A</v>
          </cell>
          <cell r="G388" t="e">
            <v>#N/A</v>
          </cell>
          <cell r="H388" t="e">
            <v>#N/A</v>
          </cell>
          <cell r="I388" t="e">
            <v>#N/A</v>
          </cell>
          <cell r="J388" t="e">
            <v>#N/A</v>
          </cell>
          <cell r="K388" t="e">
            <v>#N/A</v>
          </cell>
          <cell r="L388" t="e">
            <v>#N/A</v>
          </cell>
          <cell r="M388" t="e">
            <v>#N/A</v>
          </cell>
          <cell r="N388" t="e">
            <v>#N/A</v>
          </cell>
          <cell r="O388" t="e">
            <v>#N/A</v>
          </cell>
          <cell r="P388">
            <v>14.25</v>
          </cell>
          <cell r="Q388">
            <v>1.2516749999999999</v>
          </cell>
          <cell r="R388" t="e">
            <v>#N/A</v>
          </cell>
        </row>
        <row r="389">
          <cell r="A389">
            <v>40534</v>
          </cell>
          <cell r="B389">
            <v>40534</v>
          </cell>
          <cell r="C389" t="str">
            <v>Past</v>
          </cell>
          <cell r="D389">
            <v>14.28</v>
          </cell>
          <cell r="E389" t="e">
            <v>#N/A</v>
          </cell>
          <cell r="F389" t="e">
            <v>#N/A</v>
          </cell>
          <cell r="G389" t="e">
            <v>#N/A</v>
          </cell>
          <cell r="H389" t="e">
            <v>#N/A</v>
          </cell>
          <cell r="I389" t="e">
            <v>#N/A</v>
          </cell>
          <cell r="J389" t="e">
            <v>#N/A</v>
          </cell>
          <cell r="K389" t="e">
            <v>#N/A</v>
          </cell>
          <cell r="L389" t="e">
            <v>#N/A</v>
          </cell>
          <cell r="M389" t="e">
            <v>#N/A</v>
          </cell>
          <cell r="N389" t="e">
            <v>#N/A</v>
          </cell>
          <cell r="O389" t="e">
            <v>#N/A</v>
          </cell>
          <cell r="P389">
            <v>14.28</v>
          </cell>
          <cell r="Q389">
            <v>0.79402699999999993</v>
          </cell>
          <cell r="R389" t="e">
            <v>#N/A</v>
          </cell>
        </row>
        <row r="390">
          <cell r="A390">
            <v>40535</v>
          </cell>
          <cell r="B390">
            <v>40535</v>
          </cell>
          <cell r="C390" t="str">
            <v>Past</v>
          </cell>
          <cell r="D390">
            <v>14.18</v>
          </cell>
          <cell r="E390" t="e">
            <v>#N/A</v>
          </cell>
          <cell r="F390" t="e">
            <v>#N/A</v>
          </cell>
          <cell r="G390" t="e">
            <v>#N/A</v>
          </cell>
          <cell r="H390" t="e">
            <v>#N/A</v>
          </cell>
          <cell r="I390" t="e">
            <v>#N/A</v>
          </cell>
          <cell r="J390" t="e">
            <v>#N/A</v>
          </cell>
          <cell r="K390" t="e">
            <v>#N/A</v>
          </cell>
          <cell r="L390" t="e">
            <v>#N/A</v>
          </cell>
          <cell r="M390" t="e">
            <v>#N/A</v>
          </cell>
          <cell r="N390" t="e">
            <v>#N/A</v>
          </cell>
          <cell r="O390" t="e">
            <v>#N/A</v>
          </cell>
          <cell r="P390">
            <v>14.18</v>
          </cell>
          <cell r="Q390">
            <v>0.76441799999999993</v>
          </cell>
          <cell r="R390" t="e">
            <v>#N/A</v>
          </cell>
        </row>
        <row r="391">
          <cell r="A391">
            <v>40539</v>
          </cell>
          <cell r="B391">
            <v>40539</v>
          </cell>
          <cell r="C391" t="str">
            <v>Past</v>
          </cell>
          <cell r="D391">
            <v>14.08</v>
          </cell>
          <cell r="E391" t="e">
            <v>#N/A</v>
          </cell>
          <cell r="F391" t="e">
            <v>#N/A</v>
          </cell>
          <cell r="G391" t="e">
            <v>#N/A</v>
          </cell>
          <cell r="H391" t="e">
            <v>#N/A</v>
          </cell>
          <cell r="I391" t="e">
            <v>#N/A</v>
          </cell>
          <cell r="J391" t="e">
            <v>#N/A</v>
          </cell>
          <cell r="K391" t="e">
            <v>#N/A</v>
          </cell>
          <cell r="L391" t="e">
            <v>#N/A</v>
          </cell>
          <cell r="M391" t="e">
            <v>#N/A</v>
          </cell>
          <cell r="N391" t="e">
            <v>#N/A</v>
          </cell>
          <cell r="O391" t="e">
            <v>#N/A</v>
          </cell>
          <cell r="P391">
            <v>14.08</v>
          </cell>
          <cell r="Q391">
            <v>0.87445699999999993</v>
          </cell>
          <cell r="R391" t="e">
            <v>#N/A</v>
          </cell>
        </row>
        <row r="392">
          <cell r="A392">
            <v>40540</v>
          </cell>
          <cell r="B392">
            <v>40540</v>
          </cell>
          <cell r="C392" t="str">
            <v>Past</v>
          </cell>
          <cell r="D392">
            <v>14.11</v>
          </cell>
          <cell r="E392" t="e">
            <v>#N/A</v>
          </cell>
          <cell r="F392" t="e">
            <v>#N/A</v>
          </cell>
          <cell r="G392" t="e">
            <v>#N/A</v>
          </cell>
          <cell r="H392" t="e">
            <v>#N/A</v>
          </cell>
          <cell r="I392" t="e">
            <v>#N/A</v>
          </cell>
          <cell r="J392" t="e">
            <v>#N/A</v>
          </cell>
          <cell r="K392" t="e">
            <v>#N/A</v>
          </cell>
          <cell r="L392" t="e">
            <v>#N/A</v>
          </cell>
          <cell r="M392" t="e">
            <v>#N/A</v>
          </cell>
          <cell r="N392" t="e">
            <v>#N/A</v>
          </cell>
          <cell r="O392" t="e">
            <v>#N/A</v>
          </cell>
          <cell r="P392">
            <v>14.11</v>
          </cell>
          <cell r="Q392">
            <v>0.879606</v>
          </cell>
          <cell r="R392" t="e">
            <v>#N/A</v>
          </cell>
        </row>
        <row r="393">
          <cell r="A393">
            <v>40541</v>
          </cell>
          <cell r="B393">
            <v>40541</v>
          </cell>
          <cell r="C393" t="str">
            <v>Past</v>
          </cell>
          <cell r="D393">
            <v>14.03</v>
          </cell>
          <cell r="E393" t="e">
            <v>#N/A</v>
          </cell>
          <cell r="F393" t="e">
            <v>#N/A</v>
          </cell>
          <cell r="G393" t="e">
            <v>#N/A</v>
          </cell>
          <cell r="H393" t="e">
            <v>#N/A</v>
          </cell>
          <cell r="I393" t="e">
            <v>#N/A</v>
          </cell>
          <cell r="J393" t="e">
            <v>#N/A</v>
          </cell>
          <cell r="K393" t="e">
            <v>#N/A</v>
          </cell>
          <cell r="L393" t="e">
            <v>#N/A</v>
          </cell>
          <cell r="M393" t="e">
            <v>#N/A</v>
          </cell>
          <cell r="N393" t="e">
            <v>#N/A</v>
          </cell>
          <cell r="O393" t="e">
            <v>#N/A</v>
          </cell>
          <cell r="P393">
            <v>14.03</v>
          </cell>
          <cell r="Q393">
            <v>0.75955799999999996</v>
          </cell>
          <cell r="R393" t="e">
            <v>#N/A</v>
          </cell>
        </row>
        <row r="394">
          <cell r="A394">
            <v>40542</v>
          </cell>
          <cell r="B394">
            <v>40542</v>
          </cell>
          <cell r="C394" t="str">
            <v>Past</v>
          </cell>
          <cell r="D394">
            <v>14.07</v>
          </cell>
          <cell r="E394" t="e">
            <v>#N/A</v>
          </cell>
          <cell r="F394" t="e">
            <v>#N/A</v>
          </cell>
          <cell r="G394" t="e">
            <v>#N/A</v>
          </cell>
          <cell r="H394" t="e">
            <v>#N/A</v>
          </cell>
          <cell r="I394" t="e">
            <v>#N/A</v>
          </cell>
          <cell r="J394" t="e">
            <v>#N/A</v>
          </cell>
          <cell r="K394" t="e">
            <v>#N/A</v>
          </cell>
          <cell r="L394" t="e">
            <v>#N/A</v>
          </cell>
          <cell r="M394" t="e">
            <v>#N/A</v>
          </cell>
          <cell r="N394" t="e">
            <v>#N/A</v>
          </cell>
          <cell r="O394" t="e">
            <v>#N/A</v>
          </cell>
          <cell r="P394">
            <v>14.07</v>
          </cell>
          <cell r="Q394">
            <v>0.94450699999999999</v>
          </cell>
          <cell r="R394" t="e">
            <v>#N/A</v>
          </cell>
        </row>
        <row r="395">
          <cell r="A395">
            <v>40543</v>
          </cell>
          <cell r="B395">
            <v>40543</v>
          </cell>
          <cell r="C395" t="str">
            <v>Past</v>
          </cell>
          <cell r="D395">
            <v>14.05</v>
          </cell>
          <cell r="E395" t="e">
            <v>#N/A</v>
          </cell>
          <cell r="F395" t="e">
            <v>#N/A</v>
          </cell>
          <cell r="G395" t="e">
            <v>#N/A</v>
          </cell>
          <cell r="H395" t="e">
            <v>#N/A</v>
          </cell>
          <cell r="I395" t="e">
            <v>#N/A</v>
          </cell>
          <cell r="J395" t="e">
            <v>#N/A</v>
          </cell>
          <cell r="K395" t="e">
            <v>#N/A</v>
          </cell>
          <cell r="L395" t="e">
            <v>#N/A</v>
          </cell>
          <cell r="M395" t="e">
            <v>#N/A</v>
          </cell>
          <cell r="N395" t="e">
            <v>#N/A</v>
          </cell>
          <cell r="O395" t="e">
            <v>#N/A</v>
          </cell>
          <cell r="P395">
            <v>14.05</v>
          </cell>
          <cell r="Q395">
            <v>1.224086</v>
          </cell>
          <cell r="R395" t="e">
            <v>#N/A</v>
          </cell>
        </row>
        <row r="396">
          <cell r="A396">
            <v>40546</v>
          </cell>
          <cell r="B396">
            <v>40546</v>
          </cell>
          <cell r="C396" t="str">
            <v>Past</v>
          </cell>
          <cell r="D396">
            <v>14.06</v>
          </cell>
          <cell r="E396" t="e">
            <v>#N/A</v>
          </cell>
          <cell r="F396" t="e">
            <v>#N/A</v>
          </cell>
          <cell r="G396" t="e">
            <v>#N/A</v>
          </cell>
          <cell r="H396" t="e">
            <v>#N/A</v>
          </cell>
          <cell r="I396" t="e">
            <v>#N/A</v>
          </cell>
          <cell r="J396" t="e">
            <v>#N/A</v>
          </cell>
          <cell r="K396" t="e">
            <v>#N/A</v>
          </cell>
          <cell r="L396" t="e">
            <v>#N/A</v>
          </cell>
          <cell r="M396" t="e">
            <v>#N/A</v>
          </cell>
          <cell r="N396" t="e">
            <v>#N/A</v>
          </cell>
          <cell r="O396" t="e">
            <v>#N/A</v>
          </cell>
          <cell r="P396">
            <v>14.06</v>
          </cell>
          <cell r="Q396">
            <v>1.7396849999999999</v>
          </cell>
          <cell r="R396" t="e">
            <v>#N/A</v>
          </cell>
        </row>
        <row r="397">
          <cell r="A397">
            <v>40547</v>
          </cell>
          <cell r="B397">
            <v>40547</v>
          </cell>
          <cell r="C397" t="str">
            <v>Past</v>
          </cell>
          <cell r="D397">
            <v>14.08</v>
          </cell>
          <cell r="E397" t="e">
            <v>#N/A</v>
          </cell>
          <cell r="F397" t="e">
            <v>#N/A</v>
          </cell>
          <cell r="G397" t="e">
            <v>#N/A</v>
          </cell>
          <cell r="H397" t="e">
            <v>#N/A</v>
          </cell>
          <cell r="I397" t="e">
            <v>#N/A</v>
          </cell>
          <cell r="J397" t="e">
            <v>#N/A</v>
          </cell>
          <cell r="K397" t="e">
            <v>#N/A</v>
          </cell>
          <cell r="L397" t="e">
            <v>#N/A</v>
          </cell>
          <cell r="M397" t="e">
            <v>#N/A</v>
          </cell>
          <cell r="N397" t="e">
            <v>#N/A</v>
          </cell>
          <cell r="O397" t="e">
            <v>#N/A</v>
          </cell>
          <cell r="P397">
            <v>14.08</v>
          </cell>
          <cell r="Q397">
            <v>2.190725</v>
          </cell>
          <cell r="R397" t="e">
            <v>#N/A</v>
          </cell>
        </row>
        <row r="398">
          <cell r="A398">
            <v>40548</v>
          </cell>
          <cell r="B398">
            <v>40548</v>
          </cell>
          <cell r="C398" t="str">
            <v>Past</v>
          </cell>
          <cell r="D398">
            <v>13.93</v>
          </cell>
          <cell r="E398" t="e">
            <v>#N/A</v>
          </cell>
          <cell r="F398" t="e">
            <v>#N/A</v>
          </cell>
          <cell r="G398" t="e">
            <v>#N/A</v>
          </cell>
          <cell r="H398" t="e">
            <v>#N/A</v>
          </cell>
          <cell r="I398" t="e">
            <v>#N/A</v>
          </cell>
          <cell r="J398" t="e">
            <v>#N/A</v>
          </cell>
          <cell r="K398" t="e">
            <v>#N/A</v>
          </cell>
          <cell r="L398" t="e">
            <v>#N/A</v>
          </cell>
          <cell r="M398" t="e">
            <v>#N/A</v>
          </cell>
          <cell r="N398" t="e">
            <v>#N/A</v>
          </cell>
          <cell r="O398" t="e">
            <v>#N/A</v>
          </cell>
          <cell r="P398">
            <v>13.93</v>
          </cell>
          <cell r="Q398">
            <v>1.9877959999999999</v>
          </cell>
          <cell r="R398" t="e">
            <v>#N/A</v>
          </cell>
        </row>
        <row r="399">
          <cell r="A399">
            <v>40549</v>
          </cell>
          <cell r="B399">
            <v>40549</v>
          </cell>
          <cell r="C399" t="str">
            <v>Past</v>
          </cell>
          <cell r="D399">
            <v>14.11</v>
          </cell>
          <cell r="E399" t="e">
            <v>#N/A</v>
          </cell>
          <cell r="F399" t="e">
            <v>#N/A</v>
          </cell>
          <cell r="G399" t="e">
            <v>#N/A</v>
          </cell>
          <cell r="H399" t="e">
            <v>#N/A</v>
          </cell>
          <cell r="I399" t="e">
            <v>#N/A</v>
          </cell>
          <cell r="J399" t="e">
            <v>#N/A</v>
          </cell>
          <cell r="K399" t="e">
            <v>#N/A</v>
          </cell>
          <cell r="L399" t="e">
            <v>#N/A</v>
          </cell>
          <cell r="M399" t="e">
            <v>#N/A</v>
          </cell>
          <cell r="N399" t="e">
            <v>#N/A</v>
          </cell>
          <cell r="O399" t="e">
            <v>#N/A</v>
          </cell>
          <cell r="P399">
            <v>14.11</v>
          </cell>
          <cell r="Q399">
            <v>1.7270289999999999</v>
          </cell>
          <cell r="R399" t="e">
            <v>#N/A</v>
          </cell>
        </row>
        <row r="400">
          <cell r="A400">
            <v>40550</v>
          </cell>
          <cell r="B400">
            <v>40550</v>
          </cell>
          <cell r="C400" t="str">
            <v>Past</v>
          </cell>
          <cell r="D400">
            <v>14.37</v>
          </cell>
          <cell r="E400" t="e">
            <v>#N/A</v>
          </cell>
          <cell r="F400" t="e">
            <v>#N/A</v>
          </cell>
          <cell r="G400" t="e">
            <v>#N/A</v>
          </cell>
          <cell r="H400" t="e">
            <v>#N/A</v>
          </cell>
          <cell r="I400" t="e">
            <v>#N/A</v>
          </cell>
          <cell r="J400" t="e">
            <v>#N/A</v>
          </cell>
          <cell r="K400" t="e">
            <v>#N/A</v>
          </cell>
          <cell r="L400" t="e">
            <v>#N/A</v>
          </cell>
          <cell r="M400" t="e">
            <v>#N/A</v>
          </cell>
          <cell r="N400" t="e">
            <v>#N/A</v>
          </cell>
          <cell r="O400" t="e">
            <v>#N/A</v>
          </cell>
          <cell r="P400">
            <v>14.37</v>
          </cell>
          <cell r="Q400">
            <v>3.0117249999999998</v>
          </cell>
          <cell r="R400" t="e">
            <v>#N/A</v>
          </cell>
        </row>
        <row r="401">
          <cell r="A401">
            <v>40553</v>
          </cell>
          <cell r="B401">
            <v>40553</v>
          </cell>
          <cell r="C401" t="str">
            <v>Past</v>
          </cell>
          <cell r="D401">
            <v>14.61</v>
          </cell>
          <cell r="E401" t="e">
            <v>#N/A</v>
          </cell>
          <cell r="F401" t="e">
            <v>#N/A</v>
          </cell>
          <cell r="G401" t="e">
            <v>#N/A</v>
          </cell>
          <cell r="H401" t="e">
            <v>#N/A</v>
          </cell>
          <cell r="I401" t="e">
            <v>#N/A</v>
          </cell>
          <cell r="J401" t="e">
            <v>#N/A</v>
          </cell>
          <cell r="K401" t="e">
            <v>#N/A</v>
          </cell>
          <cell r="L401" t="e">
            <v>#N/A</v>
          </cell>
          <cell r="M401" t="e">
            <v>#N/A</v>
          </cell>
          <cell r="N401" t="e">
            <v>#N/A</v>
          </cell>
          <cell r="O401" t="e">
            <v>#N/A</v>
          </cell>
          <cell r="P401">
            <v>14.61</v>
          </cell>
          <cell r="Q401">
            <v>4.0006430000000002</v>
          </cell>
          <cell r="R401" t="e">
            <v>#N/A</v>
          </cell>
        </row>
        <row r="402">
          <cell r="A402">
            <v>40554</v>
          </cell>
          <cell r="B402">
            <v>40554</v>
          </cell>
          <cell r="C402" t="str">
            <v>Past</v>
          </cell>
          <cell r="D402">
            <v>14.51</v>
          </cell>
          <cell r="E402" t="e">
            <v>#N/A</v>
          </cell>
          <cell r="F402" t="e">
            <v>#N/A</v>
          </cell>
          <cell r="G402" t="e">
            <v>#N/A</v>
          </cell>
          <cell r="H402" t="e">
            <v>#N/A</v>
          </cell>
          <cell r="I402" t="e">
            <v>#N/A</v>
          </cell>
          <cell r="J402" t="e">
            <v>#N/A</v>
          </cell>
          <cell r="K402" t="e">
            <v>#N/A</v>
          </cell>
          <cell r="L402" t="e">
            <v>#N/A</v>
          </cell>
          <cell r="M402" t="e">
            <v>#N/A</v>
          </cell>
          <cell r="N402" t="e">
            <v>#N/A</v>
          </cell>
          <cell r="O402" t="e">
            <v>#N/A</v>
          </cell>
          <cell r="P402">
            <v>14.51</v>
          </cell>
          <cell r="Q402">
            <v>4.0806439999999995</v>
          </cell>
          <cell r="R402" t="e">
            <v>#N/A</v>
          </cell>
        </row>
        <row r="403">
          <cell r="A403">
            <v>40555</v>
          </cell>
          <cell r="B403">
            <v>40555</v>
          </cell>
          <cell r="C403" t="str">
            <v>Past</v>
          </cell>
          <cell r="D403">
            <v>14.43</v>
          </cell>
          <cell r="E403" t="e">
            <v>#N/A</v>
          </cell>
          <cell r="F403" t="e">
            <v>#N/A</v>
          </cell>
          <cell r="G403" t="e">
            <v>#N/A</v>
          </cell>
          <cell r="H403" t="e">
            <v>#N/A</v>
          </cell>
          <cell r="I403" t="e">
            <v>#N/A</v>
          </cell>
          <cell r="J403" t="e">
            <v>#N/A</v>
          </cell>
          <cell r="K403" t="e">
            <v>#N/A</v>
          </cell>
          <cell r="L403" t="e">
            <v>#N/A</v>
          </cell>
          <cell r="M403" t="e">
            <v>#N/A</v>
          </cell>
          <cell r="N403" t="e">
            <v>#N/A</v>
          </cell>
          <cell r="O403" t="e">
            <v>#N/A</v>
          </cell>
          <cell r="P403">
            <v>14.43</v>
          </cell>
          <cell r="Q403">
            <v>2.0791939999999998</v>
          </cell>
          <cell r="R403" t="e">
            <v>#N/A</v>
          </cell>
        </row>
        <row r="404">
          <cell r="A404">
            <v>40556</v>
          </cell>
          <cell r="B404">
            <v>40556</v>
          </cell>
          <cell r="C404" t="str">
            <v>Past</v>
          </cell>
          <cell r="D404">
            <v>14.36</v>
          </cell>
          <cell r="E404" t="e">
            <v>#N/A</v>
          </cell>
          <cell r="F404" t="e">
            <v>#N/A</v>
          </cell>
          <cell r="G404" t="e">
            <v>#N/A</v>
          </cell>
          <cell r="H404" t="e">
            <v>#N/A</v>
          </cell>
          <cell r="I404" t="e">
            <v>#N/A</v>
          </cell>
          <cell r="J404" t="e">
            <v>#N/A</v>
          </cell>
          <cell r="K404" t="e">
            <v>#N/A</v>
          </cell>
          <cell r="L404" t="e">
            <v>#N/A</v>
          </cell>
          <cell r="M404" t="e">
            <v>#N/A</v>
          </cell>
          <cell r="N404" t="e">
            <v>#N/A</v>
          </cell>
          <cell r="O404" t="e">
            <v>#N/A</v>
          </cell>
          <cell r="P404">
            <v>14.36</v>
          </cell>
          <cell r="Q404">
            <v>1.522567</v>
          </cell>
          <cell r="R404" t="e">
            <v>#N/A</v>
          </cell>
        </row>
        <row r="405">
          <cell r="A405">
            <v>40557</v>
          </cell>
          <cell r="B405">
            <v>40557</v>
          </cell>
          <cell r="C405" t="str">
            <v>Past</v>
          </cell>
          <cell r="D405">
            <v>14.27</v>
          </cell>
          <cell r="E405" t="e">
            <v>#N/A</v>
          </cell>
          <cell r="F405" t="e">
            <v>#N/A</v>
          </cell>
          <cell r="G405" t="e">
            <v>#N/A</v>
          </cell>
          <cell r="H405" t="e">
            <v>#N/A</v>
          </cell>
          <cell r="I405" t="e">
            <v>#N/A</v>
          </cell>
          <cell r="J405" t="e">
            <v>#N/A</v>
          </cell>
          <cell r="K405" t="e">
            <v>#N/A</v>
          </cell>
          <cell r="L405" t="e">
            <v>#N/A</v>
          </cell>
          <cell r="M405" t="e">
            <v>#N/A</v>
          </cell>
          <cell r="N405" t="e">
            <v>#N/A</v>
          </cell>
          <cell r="O405" t="e">
            <v>#N/A</v>
          </cell>
          <cell r="P405">
            <v>14.27</v>
          </cell>
          <cell r="Q405">
            <v>2.7702709999999997</v>
          </cell>
          <cell r="R405" t="e">
            <v>#N/A</v>
          </cell>
        </row>
        <row r="406">
          <cell r="A406">
            <v>40561</v>
          </cell>
          <cell r="B406">
            <v>40561</v>
          </cell>
          <cell r="C406" t="str">
            <v>Past</v>
          </cell>
          <cell r="D406">
            <v>14.38</v>
          </cell>
          <cell r="E406" t="e">
            <v>#N/A</v>
          </cell>
          <cell r="F406" t="e">
            <v>#N/A</v>
          </cell>
          <cell r="G406" t="e">
            <v>#N/A</v>
          </cell>
          <cell r="H406" t="e">
            <v>#N/A</v>
          </cell>
          <cell r="I406" t="e">
            <v>#N/A</v>
          </cell>
          <cell r="J406" t="e">
            <v>#N/A</v>
          </cell>
          <cell r="K406" t="e">
            <v>#N/A</v>
          </cell>
          <cell r="L406" t="e">
            <v>#N/A</v>
          </cell>
          <cell r="M406" t="e">
            <v>#N/A</v>
          </cell>
          <cell r="N406" t="e">
            <v>#N/A</v>
          </cell>
          <cell r="O406" t="e">
            <v>#N/A</v>
          </cell>
          <cell r="P406">
            <v>14.38</v>
          </cell>
          <cell r="Q406">
            <v>2.0298439999999998</v>
          </cell>
          <cell r="R406" t="e">
            <v>#N/A</v>
          </cell>
        </row>
        <row r="407">
          <cell r="A407">
            <v>40562</v>
          </cell>
          <cell r="B407">
            <v>40562</v>
          </cell>
          <cell r="C407" t="str">
            <v>Past</v>
          </cell>
          <cell r="D407">
            <v>14.21</v>
          </cell>
          <cell r="E407" t="e">
            <v>#N/A</v>
          </cell>
          <cell r="F407" t="e">
            <v>#N/A</v>
          </cell>
          <cell r="G407" t="e">
            <v>#N/A</v>
          </cell>
          <cell r="H407" t="e">
            <v>#N/A</v>
          </cell>
          <cell r="I407" t="e">
            <v>#N/A</v>
          </cell>
          <cell r="J407" t="e">
            <v>#N/A</v>
          </cell>
          <cell r="K407" t="e">
            <v>#N/A</v>
          </cell>
          <cell r="L407" t="e">
            <v>#N/A</v>
          </cell>
          <cell r="M407" t="e">
            <v>#N/A</v>
          </cell>
          <cell r="N407" t="e">
            <v>#N/A</v>
          </cell>
          <cell r="O407" t="e">
            <v>#N/A</v>
          </cell>
          <cell r="P407">
            <v>14.21</v>
          </cell>
          <cell r="Q407">
            <v>3.6351309999999999</v>
          </cell>
          <cell r="R407" t="e">
            <v>#N/A</v>
          </cell>
        </row>
        <row r="408">
          <cell r="A408">
            <v>40563</v>
          </cell>
          <cell r="B408">
            <v>40563</v>
          </cell>
          <cell r="C408" t="str">
            <v>Past</v>
          </cell>
          <cell r="D408">
            <v>14.19</v>
          </cell>
          <cell r="E408" t="e">
            <v>#N/A</v>
          </cell>
          <cell r="F408" t="e">
            <v>#N/A</v>
          </cell>
          <cell r="G408" t="e">
            <v>#N/A</v>
          </cell>
          <cell r="H408" t="e">
            <v>#N/A</v>
          </cell>
          <cell r="I408" t="e">
            <v>#N/A</v>
          </cell>
          <cell r="J408" t="e">
            <v>#N/A</v>
          </cell>
          <cell r="K408" t="e">
            <v>#N/A</v>
          </cell>
          <cell r="L408" t="e">
            <v>#N/A</v>
          </cell>
          <cell r="M408" t="e">
            <v>#N/A</v>
          </cell>
          <cell r="N408" t="e">
            <v>#N/A</v>
          </cell>
          <cell r="O408" t="e">
            <v>#N/A</v>
          </cell>
          <cell r="P408">
            <v>14.19</v>
          </cell>
          <cell r="Q408">
            <v>3.5365069999999998</v>
          </cell>
          <cell r="R408" t="e">
            <v>#N/A</v>
          </cell>
        </row>
        <row r="409">
          <cell r="A409">
            <v>40564</v>
          </cell>
          <cell r="B409">
            <v>40564</v>
          </cell>
          <cell r="C409" t="str">
            <v>Past</v>
          </cell>
          <cell r="D409">
            <v>14.25</v>
          </cell>
          <cell r="E409" t="e">
            <v>#N/A</v>
          </cell>
          <cell r="F409" t="e">
            <v>#N/A</v>
          </cell>
          <cell r="G409" t="e">
            <v>#N/A</v>
          </cell>
          <cell r="H409" t="e">
            <v>#N/A</v>
          </cell>
          <cell r="I409" t="e">
            <v>#N/A</v>
          </cell>
          <cell r="J409" t="e">
            <v>#N/A</v>
          </cell>
          <cell r="K409" t="e">
            <v>#N/A</v>
          </cell>
          <cell r="L409" t="e">
            <v>#N/A</v>
          </cell>
          <cell r="M409" t="e">
            <v>#N/A</v>
          </cell>
          <cell r="N409" t="e">
            <v>#N/A</v>
          </cell>
          <cell r="O409" t="e">
            <v>#N/A</v>
          </cell>
          <cell r="P409">
            <v>14.25</v>
          </cell>
          <cell r="Q409">
            <v>2.2865470000000001</v>
          </cell>
          <cell r="R409" t="e">
            <v>#N/A</v>
          </cell>
        </row>
        <row r="410">
          <cell r="A410">
            <v>40567</v>
          </cell>
          <cell r="B410">
            <v>40567</v>
          </cell>
          <cell r="C410" t="str">
            <v>Past</v>
          </cell>
          <cell r="D410">
            <v>14.49</v>
          </cell>
          <cell r="E410" t="e">
            <v>#N/A</v>
          </cell>
          <cell r="F410" t="e">
            <v>#N/A</v>
          </cell>
          <cell r="G410" t="e">
            <v>#N/A</v>
          </cell>
          <cell r="H410" t="e">
            <v>#N/A</v>
          </cell>
          <cell r="I410" t="e">
            <v>#N/A</v>
          </cell>
          <cell r="J410" t="e">
            <v>#N/A</v>
          </cell>
          <cell r="K410" t="e">
            <v>#N/A</v>
          </cell>
          <cell r="L410" t="e">
            <v>#N/A</v>
          </cell>
          <cell r="M410" t="e">
            <v>#N/A</v>
          </cell>
          <cell r="N410" t="e">
            <v>#N/A</v>
          </cell>
          <cell r="O410" t="e">
            <v>#N/A</v>
          </cell>
          <cell r="P410">
            <v>14.49</v>
          </cell>
          <cell r="Q410">
            <v>2.6884429999999999</v>
          </cell>
          <cell r="R410" t="e">
            <v>#N/A</v>
          </cell>
        </row>
        <row r="411">
          <cell r="A411">
            <v>40568</v>
          </cell>
          <cell r="B411">
            <v>40568</v>
          </cell>
          <cell r="C411" t="str">
            <v>Past</v>
          </cell>
          <cell r="D411">
            <v>14.43</v>
          </cell>
          <cell r="E411" t="e">
            <v>#N/A</v>
          </cell>
          <cell r="F411" t="e">
            <v>#N/A</v>
          </cell>
          <cell r="G411" t="e">
            <v>#N/A</v>
          </cell>
          <cell r="H411" t="e">
            <v>#N/A</v>
          </cell>
          <cell r="I411" t="e">
            <v>#N/A</v>
          </cell>
          <cell r="J411" t="e">
            <v>#N/A</v>
          </cell>
          <cell r="K411" t="e">
            <v>#N/A</v>
          </cell>
          <cell r="L411" t="e">
            <v>#N/A</v>
          </cell>
          <cell r="M411" t="e">
            <v>#N/A</v>
          </cell>
          <cell r="N411" t="e">
            <v>#N/A</v>
          </cell>
          <cell r="O411" t="e">
            <v>#N/A</v>
          </cell>
          <cell r="P411">
            <v>14.43</v>
          </cell>
          <cell r="Q411">
            <v>2.0426500000000001</v>
          </cell>
          <cell r="R411" t="e">
            <v>#N/A</v>
          </cell>
        </row>
        <row r="412">
          <cell r="A412">
            <v>40569</v>
          </cell>
          <cell r="B412">
            <v>40569</v>
          </cell>
          <cell r="C412" t="str">
            <v>Past</v>
          </cell>
          <cell r="D412">
            <v>14.39</v>
          </cell>
          <cell r="E412" t="e">
            <v>#N/A</v>
          </cell>
          <cell r="F412" t="e">
            <v>#N/A</v>
          </cell>
          <cell r="G412" t="e">
            <v>#N/A</v>
          </cell>
          <cell r="H412" t="e">
            <v>#N/A</v>
          </cell>
          <cell r="I412" t="e">
            <v>#N/A</v>
          </cell>
          <cell r="J412" t="e">
            <v>#N/A</v>
          </cell>
          <cell r="K412" t="e">
            <v>#N/A</v>
          </cell>
          <cell r="L412" t="e">
            <v>#N/A</v>
          </cell>
          <cell r="M412" t="e">
            <v>#N/A</v>
          </cell>
          <cell r="N412" t="e">
            <v>#N/A</v>
          </cell>
          <cell r="O412" t="e">
            <v>#N/A</v>
          </cell>
          <cell r="P412">
            <v>14.39</v>
          </cell>
          <cell r="Q412">
            <v>1.254094</v>
          </cell>
          <cell r="R412" t="e">
            <v>#N/A</v>
          </cell>
        </row>
        <row r="413">
          <cell r="A413">
            <v>40570</v>
          </cell>
          <cell r="B413">
            <v>40570</v>
          </cell>
          <cell r="C413" t="str">
            <v>Past</v>
          </cell>
          <cell r="D413">
            <v>14.54</v>
          </cell>
          <cell r="E413" t="e">
            <v>#N/A</v>
          </cell>
          <cell r="F413" t="e">
            <v>#N/A</v>
          </cell>
          <cell r="G413" t="e">
            <v>#N/A</v>
          </cell>
          <cell r="H413" t="e">
            <v>#N/A</v>
          </cell>
          <cell r="I413" t="e">
            <v>#N/A</v>
          </cell>
          <cell r="J413" t="e">
            <v>#N/A</v>
          </cell>
          <cell r="K413" t="e">
            <v>#N/A</v>
          </cell>
          <cell r="L413" t="e">
            <v>#N/A</v>
          </cell>
          <cell r="M413" t="e">
            <v>#N/A</v>
          </cell>
          <cell r="N413" t="e">
            <v>#N/A</v>
          </cell>
          <cell r="O413" t="e">
            <v>#N/A</v>
          </cell>
          <cell r="P413">
            <v>14.54</v>
          </cell>
          <cell r="Q413">
            <v>2.1760169999999999</v>
          </cell>
          <cell r="R413" t="e">
            <v>#N/A</v>
          </cell>
        </row>
        <row r="414">
          <cell r="A414">
            <v>40571</v>
          </cell>
          <cell r="B414">
            <v>40571</v>
          </cell>
          <cell r="C414" t="str">
            <v>Past</v>
          </cell>
          <cell r="D414">
            <v>14.37</v>
          </cell>
          <cell r="E414" t="e">
            <v>#N/A</v>
          </cell>
          <cell r="F414" t="e">
            <v>#N/A</v>
          </cell>
          <cell r="G414" t="e">
            <v>#N/A</v>
          </cell>
          <cell r="H414" t="e">
            <v>#N/A</v>
          </cell>
          <cell r="I414" t="e">
            <v>#N/A</v>
          </cell>
          <cell r="J414" t="e">
            <v>#N/A</v>
          </cell>
          <cell r="K414" t="e">
            <v>#N/A</v>
          </cell>
          <cell r="L414" t="e">
            <v>#N/A</v>
          </cell>
          <cell r="M414" t="e">
            <v>#N/A</v>
          </cell>
          <cell r="N414" t="e">
            <v>#N/A</v>
          </cell>
          <cell r="O414" t="e">
            <v>#N/A</v>
          </cell>
          <cell r="P414">
            <v>14.37</v>
          </cell>
          <cell r="Q414">
            <v>1.1273309999999999</v>
          </cell>
          <cell r="R414" t="e">
            <v>#N/A</v>
          </cell>
        </row>
        <row r="415">
          <cell r="A415">
            <v>40574</v>
          </cell>
          <cell r="B415">
            <v>40574</v>
          </cell>
          <cell r="C415" t="str">
            <v>Past</v>
          </cell>
          <cell r="D415">
            <v>14.37</v>
          </cell>
          <cell r="E415" t="e">
            <v>#N/A</v>
          </cell>
          <cell r="F415" t="e">
            <v>#N/A</v>
          </cell>
          <cell r="G415" t="e">
            <v>#N/A</v>
          </cell>
          <cell r="H415" t="e">
            <v>#N/A</v>
          </cell>
          <cell r="I415" t="e">
            <v>#N/A</v>
          </cell>
          <cell r="J415" t="e">
            <v>#N/A</v>
          </cell>
          <cell r="K415" t="e">
            <v>#N/A</v>
          </cell>
          <cell r="L415" t="e">
            <v>#N/A</v>
          </cell>
          <cell r="M415" t="e">
            <v>#N/A</v>
          </cell>
          <cell r="N415" t="e">
            <v>#N/A</v>
          </cell>
          <cell r="O415" t="e">
            <v>#N/A</v>
          </cell>
          <cell r="P415">
            <v>14.37</v>
          </cell>
          <cell r="Q415">
            <v>2.4396409999999999</v>
          </cell>
          <cell r="R415" t="e">
            <v>#N/A</v>
          </cell>
        </row>
        <row r="416">
          <cell r="A416">
            <v>40575</v>
          </cell>
          <cell r="B416">
            <v>40575</v>
          </cell>
          <cell r="C416" t="str">
            <v>Past</v>
          </cell>
          <cell r="D416">
            <v>14.65</v>
          </cell>
          <cell r="E416" t="e">
            <v>#N/A</v>
          </cell>
          <cell r="F416" t="e">
            <v>#N/A</v>
          </cell>
          <cell r="G416" t="e">
            <v>#N/A</v>
          </cell>
          <cell r="H416" t="e">
            <v>#N/A</v>
          </cell>
          <cell r="I416" t="e">
            <v>#N/A</v>
          </cell>
          <cell r="J416" t="e">
            <v>#N/A</v>
          </cell>
          <cell r="K416" t="e">
            <v>#N/A</v>
          </cell>
          <cell r="L416" t="e">
            <v>#N/A</v>
          </cell>
          <cell r="M416" t="e">
            <v>#N/A</v>
          </cell>
          <cell r="N416" t="e">
            <v>#N/A</v>
          </cell>
          <cell r="O416" t="e">
            <v>#N/A</v>
          </cell>
          <cell r="P416">
            <v>14.65</v>
          </cell>
          <cell r="Q416">
            <v>1.3703000000000001</v>
          </cell>
          <cell r="R416" t="e">
            <v>#N/A</v>
          </cell>
        </row>
        <row r="417">
          <cell r="A417">
            <v>40576</v>
          </cell>
          <cell r="B417">
            <v>40576</v>
          </cell>
          <cell r="C417" t="str">
            <v>Past</v>
          </cell>
          <cell r="D417">
            <v>14.55</v>
          </cell>
          <cell r="E417" t="e">
            <v>#N/A</v>
          </cell>
          <cell r="F417" t="e">
            <v>#N/A</v>
          </cell>
          <cell r="G417" t="e">
            <v>#N/A</v>
          </cell>
          <cell r="H417" t="e">
            <v>#N/A</v>
          </cell>
          <cell r="I417" t="e">
            <v>#N/A</v>
          </cell>
          <cell r="J417" t="e">
            <v>#N/A</v>
          </cell>
          <cell r="K417" t="e">
            <v>#N/A</v>
          </cell>
          <cell r="L417" t="e">
            <v>#N/A</v>
          </cell>
          <cell r="M417" t="e">
            <v>#N/A</v>
          </cell>
          <cell r="N417" t="e">
            <v>#N/A</v>
          </cell>
          <cell r="O417" t="e">
            <v>#N/A</v>
          </cell>
          <cell r="P417">
            <v>14.55</v>
          </cell>
          <cell r="Q417">
            <v>0.97767199999999999</v>
          </cell>
          <cell r="R417" t="e">
            <v>#N/A</v>
          </cell>
        </row>
        <row r="418">
          <cell r="A418">
            <v>40577</v>
          </cell>
          <cell r="B418">
            <v>40577</v>
          </cell>
          <cell r="C418" t="str">
            <v>Past</v>
          </cell>
          <cell r="D418">
            <v>14.55</v>
          </cell>
          <cell r="E418" t="e">
            <v>#N/A</v>
          </cell>
          <cell r="F418" t="e">
            <v>#N/A</v>
          </cell>
          <cell r="G418" t="e">
            <v>#N/A</v>
          </cell>
          <cell r="H418" t="e">
            <v>#N/A</v>
          </cell>
          <cell r="I418" t="e">
            <v>#N/A</v>
          </cell>
          <cell r="J418" t="e">
            <v>#N/A</v>
          </cell>
          <cell r="K418" t="e">
            <v>#N/A</v>
          </cell>
          <cell r="L418" t="e">
            <v>#N/A</v>
          </cell>
          <cell r="M418" t="e">
            <v>#N/A</v>
          </cell>
          <cell r="N418" t="e">
            <v>#N/A</v>
          </cell>
          <cell r="O418" t="e">
            <v>#N/A</v>
          </cell>
          <cell r="P418">
            <v>14.55</v>
          </cell>
          <cell r="Q418">
            <v>1.0440859999999998</v>
          </cell>
          <cell r="R418" t="e">
            <v>#N/A</v>
          </cell>
        </row>
        <row r="419">
          <cell r="A419">
            <v>40578</v>
          </cell>
          <cell r="B419">
            <v>40578</v>
          </cell>
          <cell r="C419" t="str">
            <v>Past</v>
          </cell>
          <cell r="D419">
            <v>14.47</v>
          </cell>
          <cell r="E419" t="e">
            <v>#N/A</v>
          </cell>
          <cell r="F419" t="e">
            <v>#N/A</v>
          </cell>
          <cell r="G419" t="e">
            <v>#N/A</v>
          </cell>
          <cell r="H419" t="e">
            <v>#N/A</v>
          </cell>
          <cell r="I419" t="e">
            <v>#N/A</v>
          </cell>
          <cell r="J419" t="e">
            <v>#N/A</v>
          </cell>
          <cell r="K419" t="e">
            <v>#N/A</v>
          </cell>
          <cell r="L419" t="e">
            <v>#N/A</v>
          </cell>
          <cell r="M419" t="e">
            <v>#N/A</v>
          </cell>
          <cell r="N419" t="e">
            <v>#N/A</v>
          </cell>
          <cell r="O419" t="e">
            <v>#N/A</v>
          </cell>
          <cell r="P419">
            <v>14.47</v>
          </cell>
          <cell r="Q419">
            <v>0.59531299999999998</v>
          </cell>
          <cell r="R419" t="e">
            <v>#N/A</v>
          </cell>
        </row>
        <row r="420">
          <cell r="A420">
            <v>40581</v>
          </cell>
          <cell r="B420">
            <v>40581</v>
          </cell>
          <cell r="C420" t="str">
            <v>Past</v>
          </cell>
          <cell r="D420">
            <v>14.54</v>
          </cell>
          <cell r="E420" t="e">
            <v>#N/A</v>
          </cell>
          <cell r="F420" t="e">
            <v>#N/A</v>
          </cell>
          <cell r="G420" t="e">
            <v>#N/A</v>
          </cell>
          <cell r="H420" t="e">
            <v>#N/A</v>
          </cell>
          <cell r="I420" t="e">
            <v>#N/A</v>
          </cell>
          <cell r="J420" t="e">
            <v>#N/A</v>
          </cell>
          <cell r="K420" t="e">
            <v>#N/A</v>
          </cell>
          <cell r="L420" t="e">
            <v>#N/A</v>
          </cell>
          <cell r="M420" t="e">
            <v>#N/A</v>
          </cell>
          <cell r="N420" t="e">
            <v>#N/A</v>
          </cell>
          <cell r="O420" t="e">
            <v>#N/A</v>
          </cell>
          <cell r="P420">
            <v>14.54</v>
          </cell>
          <cell r="Q420">
            <v>0.78476099999999993</v>
          </cell>
          <cell r="R420" t="e">
            <v>#N/A</v>
          </cell>
        </row>
        <row r="421">
          <cell r="A421">
            <v>40582</v>
          </cell>
          <cell r="B421">
            <v>40582</v>
          </cell>
          <cell r="C421" t="str">
            <v>Past</v>
          </cell>
          <cell r="D421">
            <v>14.53</v>
          </cell>
          <cell r="E421" t="e">
            <v>#N/A</v>
          </cell>
          <cell r="F421" t="e">
            <v>#N/A</v>
          </cell>
          <cell r="G421" t="e">
            <v>#N/A</v>
          </cell>
          <cell r="H421" t="e">
            <v>#N/A</v>
          </cell>
          <cell r="I421" t="e">
            <v>#N/A</v>
          </cell>
          <cell r="J421" t="e">
            <v>#N/A</v>
          </cell>
          <cell r="K421" t="e">
            <v>#N/A</v>
          </cell>
          <cell r="L421" t="e">
            <v>#N/A</v>
          </cell>
          <cell r="M421" t="e">
            <v>#N/A</v>
          </cell>
          <cell r="N421" t="e">
            <v>#N/A</v>
          </cell>
          <cell r="O421" t="e">
            <v>#N/A</v>
          </cell>
          <cell r="P421">
            <v>14.53</v>
          </cell>
          <cell r="Q421">
            <v>1.0100449999999999</v>
          </cell>
          <cell r="R421" t="e">
            <v>#N/A</v>
          </cell>
        </row>
        <row r="422">
          <cell r="A422">
            <v>40583</v>
          </cell>
          <cell r="B422">
            <v>40583</v>
          </cell>
          <cell r="C422" t="str">
            <v>Past</v>
          </cell>
          <cell r="D422">
            <v>14.51</v>
          </cell>
          <cell r="E422" t="e">
            <v>#N/A</v>
          </cell>
          <cell r="F422" t="e">
            <v>#N/A</v>
          </cell>
          <cell r="G422" t="e">
            <v>#N/A</v>
          </cell>
          <cell r="H422" t="e">
            <v>#N/A</v>
          </cell>
          <cell r="I422" t="e">
            <v>#N/A</v>
          </cell>
          <cell r="J422" t="e">
            <v>#N/A</v>
          </cell>
          <cell r="K422" t="e">
            <v>#N/A</v>
          </cell>
          <cell r="L422" t="e">
            <v>#N/A</v>
          </cell>
          <cell r="M422" t="e">
            <v>#N/A</v>
          </cell>
          <cell r="N422" t="e">
            <v>#N/A</v>
          </cell>
          <cell r="O422" t="e">
            <v>#N/A</v>
          </cell>
          <cell r="P422">
            <v>14.51</v>
          </cell>
          <cell r="Q422">
            <v>1.1109639999999998</v>
          </cell>
          <cell r="R422" t="e">
            <v>#N/A</v>
          </cell>
        </row>
        <row r="423">
          <cell r="A423">
            <v>40584</v>
          </cell>
          <cell r="B423">
            <v>40584</v>
          </cell>
          <cell r="C423" t="str">
            <v>Past</v>
          </cell>
          <cell r="D423">
            <v>14.61</v>
          </cell>
          <cell r="E423" t="e">
            <v>#N/A</v>
          </cell>
          <cell r="F423" t="e">
            <v>#N/A</v>
          </cell>
          <cell r="G423" t="e">
            <v>#N/A</v>
          </cell>
          <cell r="H423" t="e">
            <v>#N/A</v>
          </cell>
          <cell r="I423" t="e">
            <v>#N/A</v>
          </cell>
          <cell r="J423" t="e">
            <v>#N/A</v>
          </cell>
          <cell r="K423" t="e">
            <v>#N/A</v>
          </cell>
          <cell r="L423" t="e">
            <v>#N/A</v>
          </cell>
          <cell r="M423" t="e">
            <v>#N/A</v>
          </cell>
          <cell r="N423" t="e">
            <v>#N/A</v>
          </cell>
          <cell r="O423" t="e">
            <v>#N/A</v>
          </cell>
          <cell r="P423">
            <v>14.61</v>
          </cell>
          <cell r="Q423">
            <v>1.1675180000000001</v>
          </cell>
          <cell r="R423" t="e">
            <v>#N/A</v>
          </cell>
        </row>
        <row r="424">
          <cell r="A424">
            <v>40585</v>
          </cell>
          <cell r="B424">
            <v>40585</v>
          </cell>
          <cell r="C424" t="str">
            <v>Past</v>
          </cell>
          <cell r="D424">
            <v>14.59</v>
          </cell>
          <cell r="E424" t="e">
            <v>#N/A</v>
          </cell>
          <cell r="F424" t="e">
            <v>#N/A</v>
          </cell>
          <cell r="G424" t="e">
            <v>#N/A</v>
          </cell>
          <cell r="H424" t="e">
            <v>#N/A</v>
          </cell>
          <cell r="I424" t="e">
            <v>#N/A</v>
          </cell>
          <cell r="J424" t="e">
            <v>#N/A</v>
          </cell>
          <cell r="K424" t="e">
            <v>#N/A</v>
          </cell>
          <cell r="L424" t="e">
            <v>#N/A</v>
          </cell>
          <cell r="M424" t="e">
            <v>#N/A</v>
          </cell>
          <cell r="N424" t="e">
            <v>#N/A</v>
          </cell>
          <cell r="O424" t="e">
            <v>#N/A</v>
          </cell>
          <cell r="P424">
            <v>14.59</v>
          </cell>
          <cell r="Q424">
            <v>1.118268</v>
          </cell>
          <cell r="R424" t="e">
            <v>#N/A</v>
          </cell>
        </row>
        <row r="425">
          <cell r="A425">
            <v>40588</v>
          </cell>
          <cell r="B425">
            <v>40588</v>
          </cell>
          <cell r="C425" t="str">
            <v>Past</v>
          </cell>
          <cell r="D425">
            <v>14.58</v>
          </cell>
          <cell r="E425" t="e">
            <v>#N/A</v>
          </cell>
          <cell r="F425" t="e">
            <v>#N/A</v>
          </cell>
          <cell r="G425" t="e">
            <v>#N/A</v>
          </cell>
          <cell r="H425" t="e">
            <v>#N/A</v>
          </cell>
          <cell r="I425" t="e">
            <v>#N/A</v>
          </cell>
          <cell r="J425" t="e">
            <v>#N/A</v>
          </cell>
          <cell r="K425" t="e">
            <v>#N/A</v>
          </cell>
          <cell r="L425" t="e">
            <v>#N/A</v>
          </cell>
          <cell r="M425" t="e">
            <v>#N/A</v>
          </cell>
          <cell r="N425" t="e">
            <v>#N/A</v>
          </cell>
          <cell r="O425" t="e">
            <v>#N/A</v>
          </cell>
          <cell r="P425">
            <v>14.58</v>
          </cell>
          <cell r="Q425">
            <v>1.7586619999999999</v>
          </cell>
          <cell r="R425" t="e">
            <v>#N/A</v>
          </cell>
        </row>
        <row r="426">
          <cell r="A426">
            <v>40589</v>
          </cell>
          <cell r="B426">
            <v>40589</v>
          </cell>
          <cell r="C426" t="str">
            <v>Past</v>
          </cell>
          <cell r="D426">
            <v>14.68</v>
          </cell>
          <cell r="E426" t="e">
            <v>#N/A</v>
          </cell>
          <cell r="F426" t="e">
            <v>#N/A</v>
          </cell>
          <cell r="G426" t="e">
            <v>#N/A</v>
          </cell>
          <cell r="H426" t="e">
            <v>#N/A</v>
          </cell>
          <cell r="I426" t="e">
            <v>#N/A</v>
          </cell>
          <cell r="J426" t="e">
            <v>#N/A</v>
          </cell>
          <cell r="K426" t="e">
            <v>#N/A</v>
          </cell>
          <cell r="L426" t="e">
            <v>#N/A</v>
          </cell>
          <cell r="M426" t="e">
            <v>#N/A</v>
          </cell>
          <cell r="N426" t="e">
            <v>#N/A</v>
          </cell>
          <cell r="O426" t="e">
            <v>#N/A</v>
          </cell>
          <cell r="P426">
            <v>14.68</v>
          </cell>
          <cell r="Q426">
            <v>1.2413719999999999</v>
          </cell>
          <cell r="R426" t="e">
            <v>#N/A</v>
          </cell>
        </row>
        <row r="427">
          <cell r="A427">
            <v>40590</v>
          </cell>
          <cell r="B427">
            <v>40590</v>
          </cell>
          <cell r="C427" t="str">
            <v>Past</v>
          </cell>
          <cell r="D427">
            <v>14.74</v>
          </cell>
          <cell r="E427" t="e">
            <v>#N/A</v>
          </cell>
          <cell r="F427" t="e">
            <v>#N/A</v>
          </cell>
          <cell r="G427" t="e">
            <v>#N/A</v>
          </cell>
          <cell r="H427" t="e">
            <v>#N/A</v>
          </cell>
          <cell r="I427" t="e">
            <v>#N/A</v>
          </cell>
          <cell r="J427" t="e">
            <v>#N/A</v>
          </cell>
          <cell r="K427" t="e">
            <v>#N/A</v>
          </cell>
          <cell r="L427" t="e">
            <v>#N/A</v>
          </cell>
          <cell r="M427" t="e">
            <v>#N/A</v>
          </cell>
          <cell r="N427" t="e">
            <v>#N/A</v>
          </cell>
          <cell r="O427" t="e">
            <v>#N/A</v>
          </cell>
          <cell r="P427">
            <v>14.74</v>
          </cell>
          <cell r="Q427">
            <v>1.006011</v>
          </cell>
          <cell r="R427" t="e">
            <v>#N/A</v>
          </cell>
        </row>
        <row r="428">
          <cell r="A428">
            <v>40591</v>
          </cell>
          <cell r="B428">
            <v>40591</v>
          </cell>
          <cell r="C428" t="str">
            <v>Past</v>
          </cell>
          <cell r="D428">
            <v>14.78</v>
          </cell>
          <cell r="E428" t="e">
            <v>#N/A</v>
          </cell>
          <cell r="F428" t="e">
            <v>#N/A</v>
          </cell>
          <cell r="G428" t="e">
            <v>#N/A</v>
          </cell>
          <cell r="H428" t="e">
            <v>#N/A</v>
          </cell>
          <cell r="I428" t="e">
            <v>#N/A</v>
          </cell>
          <cell r="J428" t="e">
            <v>#N/A</v>
          </cell>
          <cell r="K428" t="e">
            <v>#N/A</v>
          </cell>
          <cell r="L428" t="e">
            <v>#N/A</v>
          </cell>
          <cell r="M428" t="e">
            <v>#N/A</v>
          </cell>
          <cell r="N428" t="e">
            <v>#N/A</v>
          </cell>
          <cell r="O428" t="e">
            <v>#N/A</v>
          </cell>
          <cell r="P428">
            <v>14.78</v>
          </cell>
          <cell r="Q428">
            <v>1.5522549999999999</v>
          </cell>
          <cell r="R428" t="e">
            <v>#N/A</v>
          </cell>
        </row>
        <row r="429">
          <cell r="A429">
            <v>40592</v>
          </cell>
          <cell r="B429">
            <v>40592</v>
          </cell>
          <cell r="C429" t="str">
            <v>Past</v>
          </cell>
          <cell r="D429">
            <v>14.92</v>
          </cell>
          <cell r="E429" t="e">
            <v>#N/A</v>
          </cell>
          <cell r="F429" t="e">
            <v>#N/A</v>
          </cell>
          <cell r="G429" t="e">
            <v>#N/A</v>
          </cell>
          <cell r="H429" t="e">
            <v>#N/A</v>
          </cell>
          <cell r="I429" t="e">
            <v>#N/A</v>
          </cell>
          <cell r="J429" t="e">
            <v>#N/A</v>
          </cell>
          <cell r="K429" t="e">
            <v>#N/A</v>
          </cell>
          <cell r="L429" t="e">
            <v>#N/A</v>
          </cell>
          <cell r="M429" t="e">
            <v>#N/A</v>
          </cell>
          <cell r="N429" t="e">
            <v>#N/A</v>
          </cell>
          <cell r="O429" t="e">
            <v>#N/A</v>
          </cell>
          <cell r="P429">
            <v>14.92</v>
          </cell>
          <cell r="Q429">
            <v>3.2853879999999998</v>
          </cell>
          <cell r="R429" t="e">
            <v>#N/A</v>
          </cell>
        </row>
        <row r="430">
          <cell r="A430">
            <v>40596</v>
          </cell>
          <cell r="B430">
            <v>40596</v>
          </cell>
          <cell r="C430" t="str">
            <v>Past</v>
          </cell>
          <cell r="D430">
            <v>14.86</v>
          </cell>
          <cell r="E430" t="e">
            <v>#N/A</v>
          </cell>
          <cell r="F430" t="e">
            <v>#N/A</v>
          </cell>
          <cell r="G430" t="e">
            <v>#N/A</v>
          </cell>
          <cell r="H430" t="e">
            <v>#N/A</v>
          </cell>
          <cell r="I430" t="e">
            <v>#N/A</v>
          </cell>
          <cell r="J430" t="e">
            <v>#N/A</v>
          </cell>
          <cell r="K430" t="e">
            <v>#N/A</v>
          </cell>
          <cell r="L430" t="e">
            <v>#N/A</v>
          </cell>
          <cell r="M430" t="e">
            <v>#N/A</v>
          </cell>
          <cell r="N430" t="e">
            <v>#N/A</v>
          </cell>
          <cell r="O430" t="e">
            <v>#N/A</v>
          </cell>
          <cell r="P430">
            <v>14.86</v>
          </cell>
          <cell r="Q430">
            <v>1.7888649999999999</v>
          </cell>
          <cell r="R430" t="e">
            <v>#N/A</v>
          </cell>
        </row>
        <row r="431">
          <cell r="A431">
            <v>40597</v>
          </cell>
          <cell r="B431">
            <v>40597</v>
          </cell>
          <cell r="C431" t="str">
            <v>Past</v>
          </cell>
          <cell r="D431">
            <v>14.69</v>
          </cell>
          <cell r="E431" t="e">
            <v>#N/A</v>
          </cell>
          <cell r="F431" t="e">
            <v>#N/A</v>
          </cell>
          <cell r="G431" t="e">
            <v>#N/A</v>
          </cell>
          <cell r="H431" t="e">
            <v>#N/A</v>
          </cell>
          <cell r="I431" t="e">
            <v>#N/A</v>
          </cell>
          <cell r="J431" t="e">
            <v>#N/A</v>
          </cell>
          <cell r="K431" t="e">
            <v>#N/A</v>
          </cell>
          <cell r="L431" t="e">
            <v>#N/A</v>
          </cell>
          <cell r="M431" t="e">
            <v>#N/A</v>
          </cell>
          <cell r="N431" t="e">
            <v>#N/A</v>
          </cell>
          <cell r="O431" t="e">
            <v>#N/A</v>
          </cell>
          <cell r="P431">
            <v>14.69</v>
          </cell>
          <cell r="Q431">
            <v>1.544481</v>
          </cell>
          <cell r="R431" t="e">
            <v>#N/A</v>
          </cell>
        </row>
        <row r="432">
          <cell r="A432">
            <v>40598</v>
          </cell>
          <cell r="B432">
            <v>40598</v>
          </cell>
          <cell r="C432" t="str">
            <v>Past</v>
          </cell>
          <cell r="D432">
            <v>14.56</v>
          </cell>
          <cell r="E432" t="e">
            <v>#N/A</v>
          </cell>
          <cell r="F432" t="e">
            <v>#N/A</v>
          </cell>
          <cell r="G432" t="e">
            <v>#N/A</v>
          </cell>
          <cell r="H432" t="e">
            <v>#N/A</v>
          </cell>
          <cell r="I432" t="e">
            <v>#N/A</v>
          </cell>
          <cell r="J432" t="e">
            <v>#N/A</v>
          </cell>
          <cell r="K432" t="e">
            <v>#N/A</v>
          </cell>
          <cell r="L432" t="e">
            <v>#N/A</v>
          </cell>
          <cell r="M432" t="e">
            <v>#N/A</v>
          </cell>
          <cell r="N432" t="e">
            <v>#N/A</v>
          </cell>
          <cell r="O432" t="e">
            <v>#N/A</v>
          </cell>
          <cell r="P432">
            <v>14.56</v>
          </cell>
          <cell r="Q432">
            <v>1.3997700000000002</v>
          </cell>
          <cell r="R432" t="e">
            <v>#N/A</v>
          </cell>
        </row>
        <row r="433">
          <cell r="A433">
            <v>40599</v>
          </cell>
          <cell r="B433">
            <v>40599</v>
          </cell>
          <cell r="C433" t="str">
            <v>Past</v>
          </cell>
          <cell r="D433">
            <v>14.63</v>
          </cell>
          <cell r="E433" t="e">
            <v>#N/A</v>
          </cell>
          <cell r="F433" t="e">
            <v>#N/A</v>
          </cell>
          <cell r="G433" t="e">
            <v>#N/A</v>
          </cell>
          <cell r="H433" t="e">
            <v>#N/A</v>
          </cell>
          <cell r="I433" t="e">
            <v>#N/A</v>
          </cell>
          <cell r="J433" t="e">
            <v>#N/A</v>
          </cell>
          <cell r="K433" t="e">
            <v>#N/A</v>
          </cell>
          <cell r="L433" t="e">
            <v>#N/A</v>
          </cell>
          <cell r="M433" t="e">
            <v>#N/A</v>
          </cell>
          <cell r="N433" t="e">
            <v>#N/A</v>
          </cell>
          <cell r="O433" t="e">
            <v>#N/A</v>
          </cell>
          <cell r="P433">
            <v>14.63</v>
          </cell>
          <cell r="Q433">
            <v>1.2756859999999999</v>
          </cell>
          <cell r="R433" t="e">
            <v>#N/A</v>
          </cell>
        </row>
        <row r="434">
          <cell r="A434">
            <v>40602</v>
          </cell>
          <cell r="B434">
            <v>40602</v>
          </cell>
          <cell r="C434" t="str">
            <v>Past</v>
          </cell>
          <cell r="D434">
            <v>14.69</v>
          </cell>
          <cell r="E434" t="e">
            <v>#N/A</v>
          </cell>
          <cell r="F434" t="e">
            <v>#N/A</v>
          </cell>
          <cell r="G434" t="e">
            <v>#N/A</v>
          </cell>
          <cell r="H434" t="e">
            <v>#N/A</v>
          </cell>
          <cell r="I434" t="e">
            <v>#N/A</v>
          </cell>
          <cell r="J434" t="e">
            <v>#N/A</v>
          </cell>
          <cell r="K434" t="e">
            <v>#N/A</v>
          </cell>
          <cell r="L434" t="e">
            <v>#N/A</v>
          </cell>
          <cell r="M434" t="e">
            <v>#N/A</v>
          </cell>
          <cell r="N434" t="e">
            <v>#N/A</v>
          </cell>
          <cell r="O434" t="e">
            <v>#N/A</v>
          </cell>
          <cell r="P434">
            <v>14.69</v>
          </cell>
          <cell r="Q434">
            <v>1.8974500000000001</v>
          </cell>
          <cell r="R434" t="e">
            <v>#N/A</v>
          </cell>
        </row>
        <row r="435">
          <cell r="A435">
            <v>40603</v>
          </cell>
          <cell r="B435">
            <v>40603</v>
          </cell>
          <cell r="C435" t="str">
            <v>Past</v>
          </cell>
          <cell r="D435">
            <v>14.55</v>
          </cell>
          <cell r="E435" t="e">
            <v>#N/A</v>
          </cell>
          <cell r="F435" t="e">
            <v>#N/A</v>
          </cell>
          <cell r="G435" t="e">
            <v>#N/A</v>
          </cell>
          <cell r="H435" t="e">
            <v>#N/A</v>
          </cell>
          <cell r="I435" t="e">
            <v>#N/A</v>
          </cell>
          <cell r="J435" t="e">
            <v>#N/A</v>
          </cell>
          <cell r="K435" t="e">
            <v>#N/A</v>
          </cell>
          <cell r="L435" t="e">
            <v>#N/A</v>
          </cell>
          <cell r="M435" t="e">
            <v>#N/A</v>
          </cell>
          <cell r="N435" t="e">
            <v>#N/A</v>
          </cell>
          <cell r="O435" t="e">
            <v>#N/A</v>
          </cell>
          <cell r="P435">
            <v>14.55</v>
          </cell>
          <cell r="Q435">
            <v>1.179567</v>
          </cell>
          <cell r="R435" t="e">
            <v>#N/A</v>
          </cell>
        </row>
        <row r="436">
          <cell r="A436">
            <v>40604</v>
          </cell>
          <cell r="B436">
            <v>40604</v>
          </cell>
          <cell r="C436" t="str">
            <v>Past</v>
          </cell>
          <cell r="D436">
            <v>14.64</v>
          </cell>
          <cell r="E436" t="e">
            <v>#N/A</v>
          </cell>
          <cell r="F436" t="e">
            <v>#N/A</v>
          </cell>
          <cell r="G436" t="e">
            <v>#N/A</v>
          </cell>
          <cell r="H436" t="e">
            <v>#N/A</v>
          </cell>
          <cell r="I436" t="e">
            <v>#N/A</v>
          </cell>
          <cell r="J436" t="e">
            <v>#N/A</v>
          </cell>
          <cell r="K436" t="e">
            <v>#N/A</v>
          </cell>
          <cell r="L436" t="e">
            <v>#N/A</v>
          </cell>
          <cell r="M436" t="e">
            <v>#N/A</v>
          </cell>
          <cell r="N436" t="e">
            <v>#N/A</v>
          </cell>
          <cell r="O436" t="e">
            <v>#N/A</v>
          </cell>
          <cell r="P436">
            <v>14.64</v>
          </cell>
          <cell r="Q436">
            <v>1.235517</v>
          </cell>
          <cell r="R436" t="e">
            <v>#N/A</v>
          </cell>
        </row>
        <row r="437">
          <cell r="A437">
            <v>40605</v>
          </cell>
          <cell r="B437">
            <v>40605</v>
          </cell>
          <cell r="C437" t="str">
            <v>Past</v>
          </cell>
          <cell r="D437">
            <v>14.83</v>
          </cell>
          <cell r="E437" t="e">
            <v>#N/A</v>
          </cell>
          <cell r="F437" t="e">
            <v>#N/A</v>
          </cell>
          <cell r="G437" t="e">
            <v>#N/A</v>
          </cell>
          <cell r="H437" t="e">
            <v>#N/A</v>
          </cell>
          <cell r="I437" t="e">
            <v>#N/A</v>
          </cell>
          <cell r="J437" t="e">
            <v>#N/A</v>
          </cell>
          <cell r="K437" t="e">
            <v>#N/A</v>
          </cell>
          <cell r="L437" t="e">
            <v>#N/A</v>
          </cell>
          <cell r="M437" t="e">
            <v>#N/A</v>
          </cell>
          <cell r="N437" t="e">
            <v>#N/A</v>
          </cell>
          <cell r="O437" t="e">
            <v>#N/A</v>
          </cell>
          <cell r="P437">
            <v>14.83</v>
          </cell>
          <cell r="Q437">
            <v>1.411872</v>
          </cell>
          <cell r="R437" t="e">
            <v>#N/A</v>
          </cell>
        </row>
        <row r="438">
          <cell r="A438">
            <v>40606</v>
          </cell>
          <cell r="B438">
            <v>40606</v>
          </cell>
          <cell r="C438" t="str">
            <v>Past</v>
          </cell>
          <cell r="D438">
            <v>14.68</v>
          </cell>
          <cell r="E438" t="e">
            <v>#N/A</v>
          </cell>
          <cell r="F438" t="e">
            <v>#N/A</v>
          </cell>
          <cell r="G438" t="e">
            <v>#N/A</v>
          </cell>
          <cell r="H438" t="e">
            <v>#N/A</v>
          </cell>
          <cell r="I438" t="e">
            <v>#N/A</v>
          </cell>
          <cell r="J438" t="e">
            <v>#N/A</v>
          </cell>
          <cell r="K438" t="e">
            <v>#N/A</v>
          </cell>
          <cell r="L438" t="e">
            <v>#N/A</v>
          </cell>
          <cell r="M438" t="e">
            <v>#N/A</v>
          </cell>
          <cell r="N438" t="e">
            <v>#N/A</v>
          </cell>
          <cell r="O438" t="e">
            <v>#N/A</v>
          </cell>
          <cell r="P438">
            <v>14.68</v>
          </cell>
          <cell r="Q438">
            <v>0.85889299999999991</v>
          </cell>
          <cell r="R438" t="e">
            <v>#N/A</v>
          </cell>
        </row>
        <row r="439">
          <cell r="A439">
            <v>40609</v>
          </cell>
          <cell r="B439">
            <v>40609</v>
          </cell>
          <cell r="C439" t="str">
            <v>Past</v>
          </cell>
          <cell r="D439">
            <v>14.7</v>
          </cell>
          <cell r="E439" t="e">
            <v>#N/A</v>
          </cell>
          <cell r="F439" t="e">
            <v>#N/A</v>
          </cell>
          <cell r="G439" t="e">
            <v>#N/A</v>
          </cell>
          <cell r="H439" t="e">
            <v>#N/A</v>
          </cell>
          <cell r="I439" t="e">
            <v>#N/A</v>
          </cell>
          <cell r="J439" t="e">
            <v>#N/A</v>
          </cell>
          <cell r="K439" t="e">
            <v>#N/A</v>
          </cell>
          <cell r="L439" t="e">
            <v>#N/A</v>
          </cell>
          <cell r="M439" t="e">
            <v>#N/A</v>
          </cell>
          <cell r="N439" t="e">
            <v>#N/A</v>
          </cell>
          <cell r="O439" t="e">
            <v>#N/A</v>
          </cell>
          <cell r="P439">
            <v>14.7</v>
          </cell>
          <cell r="Q439">
            <v>1.3134239999999999</v>
          </cell>
          <cell r="R439" t="e">
            <v>#N/A</v>
          </cell>
        </row>
        <row r="440">
          <cell r="A440">
            <v>40610</v>
          </cell>
          <cell r="B440">
            <v>40610</v>
          </cell>
          <cell r="C440" t="str">
            <v>Past</v>
          </cell>
          <cell r="D440">
            <v>14.88</v>
          </cell>
          <cell r="E440" t="e">
            <v>#N/A</v>
          </cell>
          <cell r="F440" t="e">
            <v>#N/A</v>
          </cell>
          <cell r="G440" t="e">
            <v>#N/A</v>
          </cell>
          <cell r="H440" t="e">
            <v>#N/A</v>
          </cell>
          <cell r="I440" t="e">
            <v>#N/A</v>
          </cell>
          <cell r="J440" t="e">
            <v>#N/A</v>
          </cell>
          <cell r="K440" t="e">
            <v>#N/A</v>
          </cell>
          <cell r="L440" t="e">
            <v>#N/A</v>
          </cell>
          <cell r="M440" t="e">
            <v>#N/A</v>
          </cell>
          <cell r="N440" t="e">
            <v>#N/A</v>
          </cell>
          <cell r="O440" t="e">
            <v>#N/A</v>
          </cell>
          <cell r="P440">
            <v>14.88</v>
          </cell>
          <cell r="Q440">
            <v>1.3189700000000002</v>
          </cell>
          <cell r="R440" t="e">
            <v>#N/A</v>
          </cell>
        </row>
        <row r="441">
          <cell r="A441">
            <v>40611</v>
          </cell>
          <cell r="B441">
            <v>40611</v>
          </cell>
          <cell r="C441" t="str">
            <v>Past</v>
          </cell>
          <cell r="D441">
            <v>14.91</v>
          </cell>
          <cell r="E441" t="e">
            <v>#N/A</v>
          </cell>
          <cell r="F441" t="e">
            <v>#N/A</v>
          </cell>
          <cell r="G441" t="e">
            <v>#N/A</v>
          </cell>
          <cell r="H441" t="e">
            <v>#N/A</v>
          </cell>
          <cell r="I441" t="e">
            <v>#N/A</v>
          </cell>
          <cell r="J441" t="e">
            <v>#N/A</v>
          </cell>
          <cell r="K441" t="e">
            <v>#N/A</v>
          </cell>
          <cell r="L441" t="e">
            <v>#N/A</v>
          </cell>
          <cell r="M441" t="e">
            <v>#N/A</v>
          </cell>
          <cell r="N441" t="e">
            <v>#N/A</v>
          </cell>
          <cell r="O441" t="e">
            <v>#N/A</v>
          </cell>
          <cell r="P441">
            <v>14.91</v>
          </cell>
          <cell r="Q441">
            <v>1.1770129999999999</v>
          </cell>
          <cell r="R441" t="e">
            <v>#N/A</v>
          </cell>
        </row>
        <row r="442">
          <cell r="A442">
            <v>40612</v>
          </cell>
          <cell r="B442">
            <v>40612</v>
          </cell>
          <cell r="C442" t="str">
            <v>Past</v>
          </cell>
          <cell r="D442">
            <v>14.67</v>
          </cell>
          <cell r="E442" t="e">
            <v>#N/A</v>
          </cell>
          <cell r="F442" t="e">
            <v>#N/A</v>
          </cell>
          <cell r="G442" t="e">
            <v>#N/A</v>
          </cell>
          <cell r="H442" t="e">
            <v>#N/A</v>
          </cell>
          <cell r="I442" t="e">
            <v>#N/A</v>
          </cell>
          <cell r="J442" t="e">
            <v>#N/A</v>
          </cell>
          <cell r="K442" t="e">
            <v>#N/A</v>
          </cell>
          <cell r="L442" t="e">
            <v>#N/A</v>
          </cell>
          <cell r="M442" t="e">
            <v>#N/A</v>
          </cell>
          <cell r="N442" t="e">
            <v>#N/A</v>
          </cell>
          <cell r="O442" t="e">
            <v>#N/A</v>
          </cell>
          <cell r="P442">
            <v>14.67</v>
          </cell>
          <cell r="Q442">
            <v>2.195319</v>
          </cell>
          <cell r="R442" t="e">
            <v>#N/A</v>
          </cell>
        </row>
        <row r="443">
          <cell r="A443">
            <v>40613</v>
          </cell>
          <cell r="B443">
            <v>40613</v>
          </cell>
          <cell r="C443" t="str">
            <v>Past</v>
          </cell>
          <cell r="D443">
            <v>14.83</v>
          </cell>
          <cell r="E443" t="e">
            <v>#N/A</v>
          </cell>
          <cell r="F443" t="e">
            <v>#N/A</v>
          </cell>
          <cell r="G443" t="e">
            <v>#N/A</v>
          </cell>
          <cell r="H443" t="e">
            <v>#N/A</v>
          </cell>
          <cell r="I443" t="e">
            <v>#N/A</v>
          </cell>
          <cell r="J443" t="e">
            <v>#N/A</v>
          </cell>
          <cell r="K443" t="e">
            <v>#N/A</v>
          </cell>
          <cell r="L443" t="e">
            <v>#N/A</v>
          </cell>
          <cell r="M443" t="e">
            <v>#N/A</v>
          </cell>
          <cell r="N443" t="e">
            <v>#N/A</v>
          </cell>
          <cell r="O443" t="e">
            <v>#N/A</v>
          </cell>
          <cell r="P443">
            <v>14.83</v>
          </cell>
          <cell r="Q443">
            <v>2.5068239999999999</v>
          </cell>
          <cell r="R443" t="e">
            <v>#N/A</v>
          </cell>
        </row>
        <row r="444">
          <cell r="A444">
            <v>40616</v>
          </cell>
          <cell r="B444">
            <v>40616</v>
          </cell>
          <cell r="C444" t="str">
            <v>Past</v>
          </cell>
          <cell r="D444">
            <v>14.83</v>
          </cell>
          <cell r="E444" t="e">
            <v>#N/A</v>
          </cell>
          <cell r="F444" t="e">
            <v>#N/A</v>
          </cell>
          <cell r="G444" t="e">
            <v>#N/A</v>
          </cell>
          <cell r="H444" t="e">
            <v>#N/A</v>
          </cell>
          <cell r="I444" t="e">
            <v>#N/A</v>
          </cell>
          <cell r="J444" t="e">
            <v>#N/A</v>
          </cell>
          <cell r="K444" t="e">
            <v>#N/A</v>
          </cell>
          <cell r="L444" t="e">
            <v>#N/A</v>
          </cell>
          <cell r="M444" t="e">
            <v>#N/A</v>
          </cell>
          <cell r="N444" t="e">
            <v>#N/A</v>
          </cell>
          <cell r="O444" t="e">
            <v>#N/A</v>
          </cell>
          <cell r="P444">
            <v>14.83</v>
          </cell>
          <cell r="Q444">
            <v>1.7697939999999999</v>
          </cell>
          <cell r="R444" t="e">
            <v>#N/A</v>
          </cell>
        </row>
        <row r="445">
          <cell r="A445">
            <v>40617</v>
          </cell>
          <cell r="B445">
            <v>40617</v>
          </cell>
          <cell r="C445" t="str">
            <v>Past</v>
          </cell>
          <cell r="D445">
            <v>14.54</v>
          </cell>
          <cell r="E445" t="e">
            <v>#N/A</v>
          </cell>
          <cell r="F445" t="e">
            <v>#N/A</v>
          </cell>
          <cell r="G445" t="e">
            <v>#N/A</v>
          </cell>
          <cell r="H445" t="e">
            <v>#N/A</v>
          </cell>
          <cell r="I445" t="e">
            <v>#N/A</v>
          </cell>
          <cell r="J445" t="e">
            <v>#N/A</v>
          </cell>
          <cell r="K445" t="e">
            <v>#N/A</v>
          </cell>
          <cell r="L445" t="e">
            <v>#N/A</v>
          </cell>
          <cell r="M445" t="e">
            <v>#N/A</v>
          </cell>
          <cell r="N445" t="e">
            <v>#N/A</v>
          </cell>
          <cell r="O445" t="e">
            <v>#N/A</v>
          </cell>
          <cell r="P445">
            <v>14.54</v>
          </cell>
          <cell r="Q445">
            <v>1.7034609999999999</v>
          </cell>
          <cell r="R445" t="e">
            <v>#N/A</v>
          </cell>
        </row>
        <row r="446">
          <cell r="A446">
            <v>40618</v>
          </cell>
          <cell r="B446">
            <v>40618</v>
          </cell>
          <cell r="C446" t="str">
            <v>Past</v>
          </cell>
          <cell r="D446">
            <v>14.31</v>
          </cell>
          <cell r="E446" t="e">
            <v>#N/A</v>
          </cell>
          <cell r="F446" t="e">
            <v>#N/A</v>
          </cell>
          <cell r="G446" t="e">
            <v>#N/A</v>
          </cell>
          <cell r="H446" t="e">
            <v>#N/A</v>
          </cell>
          <cell r="I446" t="e">
            <v>#N/A</v>
          </cell>
          <cell r="J446" t="e">
            <v>#N/A</v>
          </cell>
          <cell r="K446" t="e">
            <v>#N/A</v>
          </cell>
          <cell r="L446" t="e">
            <v>#N/A</v>
          </cell>
          <cell r="M446" t="e">
            <v>#N/A</v>
          </cell>
          <cell r="N446" t="e">
            <v>#N/A</v>
          </cell>
          <cell r="O446" t="e">
            <v>#N/A</v>
          </cell>
          <cell r="P446">
            <v>14.31</v>
          </cell>
          <cell r="Q446">
            <v>2.262054</v>
          </cell>
          <cell r="R446" t="e">
            <v>#N/A</v>
          </cell>
        </row>
        <row r="447">
          <cell r="A447">
            <v>40619</v>
          </cell>
          <cell r="B447">
            <v>40619</v>
          </cell>
          <cell r="C447" t="str">
            <v>Past</v>
          </cell>
          <cell r="D447">
            <v>14.33</v>
          </cell>
          <cell r="E447" t="e">
            <v>#N/A</v>
          </cell>
          <cell r="F447" t="e">
            <v>#N/A</v>
          </cell>
          <cell r="G447" t="e">
            <v>#N/A</v>
          </cell>
          <cell r="H447" t="e">
            <v>#N/A</v>
          </cell>
          <cell r="I447" t="e">
            <v>#N/A</v>
          </cell>
          <cell r="J447" t="e">
            <v>#N/A</v>
          </cell>
          <cell r="K447" t="e">
            <v>#N/A</v>
          </cell>
          <cell r="L447" t="e">
            <v>#N/A</v>
          </cell>
          <cell r="M447" t="e">
            <v>#N/A</v>
          </cell>
          <cell r="N447" t="e">
            <v>#N/A</v>
          </cell>
          <cell r="O447" t="e">
            <v>#N/A</v>
          </cell>
          <cell r="P447">
            <v>14.33</v>
          </cell>
          <cell r="Q447">
            <v>1.7244809999999999</v>
          </cell>
          <cell r="R447" t="e">
            <v>#N/A</v>
          </cell>
        </row>
        <row r="448">
          <cell r="A448">
            <v>40620</v>
          </cell>
          <cell r="B448">
            <v>40620</v>
          </cell>
          <cell r="C448" t="str">
            <v>Past</v>
          </cell>
          <cell r="D448">
            <v>14.35</v>
          </cell>
          <cell r="E448" t="e">
            <v>#N/A</v>
          </cell>
          <cell r="F448" t="e">
            <v>#N/A</v>
          </cell>
          <cell r="G448" t="e">
            <v>#N/A</v>
          </cell>
          <cell r="H448" t="e">
            <v>#N/A</v>
          </cell>
          <cell r="I448" t="e">
            <v>#N/A</v>
          </cell>
          <cell r="J448" t="e">
            <v>#N/A</v>
          </cell>
          <cell r="K448" t="e">
            <v>#N/A</v>
          </cell>
          <cell r="L448" t="e">
            <v>#N/A</v>
          </cell>
          <cell r="M448" t="e">
            <v>#N/A</v>
          </cell>
          <cell r="N448" t="e">
            <v>#N/A</v>
          </cell>
          <cell r="O448" t="e">
            <v>#N/A</v>
          </cell>
          <cell r="P448">
            <v>14.35</v>
          </cell>
          <cell r="Q448">
            <v>1.5717639999999999</v>
          </cell>
          <cell r="R448" t="e">
            <v>#N/A</v>
          </cell>
        </row>
        <row r="449">
          <cell r="A449">
            <v>40623</v>
          </cell>
          <cell r="B449">
            <v>40623</v>
          </cell>
          <cell r="C449" t="str">
            <v>Past</v>
          </cell>
          <cell r="D449">
            <v>14.68</v>
          </cell>
          <cell r="E449" t="e">
            <v>#N/A</v>
          </cell>
          <cell r="F449" t="e">
            <v>#N/A</v>
          </cell>
          <cell r="G449" t="e">
            <v>#N/A</v>
          </cell>
          <cell r="H449" t="e">
            <v>#N/A</v>
          </cell>
          <cell r="I449" t="e">
            <v>#N/A</v>
          </cell>
          <cell r="J449" t="e">
            <v>#N/A</v>
          </cell>
          <cell r="K449" t="e">
            <v>#N/A</v>
          </cell>
          <cell r="L449" t="e">
            <v>#N/A</v>
          </cell>
          <cell r="M449" t="e">
            <v>#N/A</v>
          </cell>
          <cell r="N449" t="e">
            <v>#N/A</v>
          </cell>
          <cell r="O449" t="e">
            <v>#N/A</v>
          </cell>
          <cell r="P449">
            <v>14.68</v>
          </cell>
          <cell r="Q449">
            <v>1.8070109999999999</v>
          </cell>
          <cell r="R449" t="e">
            <v>#N/A</v>
          </cell>
        </row>
        <row r="450">
          <cell r="A450">
            <v>40624</v>
          </cell>
          <cell r="B450">
            <v>40624</v>
          </cell>
          <cell r="C450" t="str">
            <v>Past</v>
          </cell>
          <cell r="D450">
            <v>14.54</v>
          </cell>
          <cell r="E450" t="e">
            <v>#N/A</v>
          </cell>
          <cell r="F450" t="e">
            <v>#N/A</v>
          </cell>
          <cell r="G450" t="e">
            <v>#N/A</v>
          </cell>
          <cell r="H450" t="e">
            <v>#N/A</v>
          </cell>
          <cell r="I450" t="e">
            <v>#N/A</v>
          </cell>
          <cell r="J450" t="e">
            <v>#N/A</v>
          </cell>
          <cell r="K450" t="e">
            <v>#N/A</v>
          </cell>
          <cell r="L450" t="e">
            <v>#N/A</v>
          </cell>
          <cell r="M450" t="e">
            <v>#N/A</v>
          </cell>
          <cell r="N450" t="e">
            <v>#N/A</v>
          </cell>
          <cell r="O450" t="e">
            <v>#N/A</v>
          </cell>
          <cell r="P450">
            <v>14.54</v>
          </cell>
          <cell r="Q450">
            <v>1.435576</v>
          </cell>
          <cell r="R450" t="e">
            <v>#N/A</v>
          </cell>
        </row>
        <row r="451">
          <cell r="A451">
            <v>40625</v>
          </cell>
          <cell r="B451">
            <v>40625</v>
          </cell>
          <cell r="C451" t="str">
            <v>Past</v>
          </cell>
          <cell r="D451">
            <v>14.49</v>
          </cell>
          <cell r="E451" t="e">
            <v>#N/A</v>
          </cell>
          <cell r="F451" t="e">
            <v>#N/A</v>
          </cell>
          <cell r="G451" t="e">
            <v>#N/A</v>
          </cell>
          <cell r="H451" t="e">
            <v>#N/A</v>
          </cell>
          <cell r="I451" t="e">
            <v>#N/A</v>
          </cell>
          <cell r="J451" t="e">
            <v>#N/A</v>
          </cell>
          <cell r="K451" t="e">
            <v>#N/A</v>
          </cell>
          <cell r="L451" t="e">
            <v>#N/A</v>
          </cell>
          <cell r="M451" t="e">
            <v>#N/A</v>
          </cell>
          <cell r="N451" t="e">
            <v>#N/A</v>
          </cell>
          <cell r="O451" t="e">
            <v>#N/A</v>
          </cell>
          <cell r="P451">
            <v>14.49</v>
          </cell>
          <cell r="Q451">
            <v>1.24529</v>
          </cell>
          <cell r="R451" t="e">
            <v>#N/A</v>
          </cell>
        </row>
        <row r="452">
          <cell r="A452">
            <v>40626</v>
          </cell>
          <cell r="B452">
            <v>40626</v>
          </cell>
          <cell r="C452" t="str">
            <v>Past</v>
          </cell>
          <cell r="D452">
            <v>14.5</v>
          </cell>
          <cell r="E452" t="e">
            <v>#N/A</v>
          </cell>
          <cell r="F452" t="e">
            <v>#N/A</v>
          </cell>
          <cell r="G452" t="e">
            <v>#N/A</v>
          </cell>
          <cell r="H452" t="e">
            <v>#N/A</v>
          </cell>
          <cell r="I452" t="e">
            <v>#N/A</v>
          </cell>
          <cell r="J452" t="e">
            <v>#N/A</v>
          </cell>
          <cell r="K452" t="e">
            <v>#N/A</v>
          </cell>
          <cell r="L452" t="e">
            <v>#N/A</v>
          </cell>
          <cell r="M452" t="e">
            <v>#N/A</v>
          </cell>
          <cell r="N452" t="e">
            <v>#N/A</v>
          </cell>
          <cell r="O452" t="e">
            <v>#N/A</v>
          </cell>
          <cell r="P452">
            <v>14.5</v>
          </cell>
          <cell r="Q452">
            <v>1.491544</v>
          </cell>
          <cell r="R452" t="e">
            <v>#N/A</v>
          </cell>
        </row>
        <row r="453">
          <cell r="A453">
            <v>40627</v>
          </cell>
          <cell r="B453">
            <v>40627</v>
          </cell>
          <cell r="C453" t="str">
            <v>Past</v>
          </cell>
          <cell r="D453">
            <v>14.58</v>
          </cell>
          <cell r="E453" t="e">
            <v>#N/A</v>
          </cell>
          <cell r="F453" t="e">
            <v>#N/A</v>
          </cell>
          <cell r="G453" t="e">
            <v>#N/A</v>
          </cell>
          <cell r="H453" t="e">
            <v>#N/A</v>
          </cell>
          <cell r="I453" t="e">
            <v>#N/A</v>
          </cell>
          <cell r="J453" t="e">
            <v>#N/A</v>
          </cell>
          <cell r="K453" t="e">
            <v>#N/A</v>
          </cell>
          <cell r="L453" t="e">
            <v>#N/A</v>
          </cell>
          <cell r="M453" t="e">
            <v>#N/A</v>
          </cell>
          <cell r="N453" t="e">
            <v>#N/A</v>
          </cell>
          <cell r="O453" t="e">
            <v>#N/A</v>
          </cell>
          <cell r="P453">
            <v>14.58</v>
          </cell>
          <cell r="Q453">
            <v>1.252939</v>
          </cell>
          <cell r="R453" t="e">
            <v>#N/A</v>
          </cell>
        </row>
        <row r="454">
          <cell r="A454">
            <v>40630</v>
          </cell>
          <cell r="B454">
            <v>40630</v>
          </cell>
          <cell r="C454" t="str">
            <v>Past</v>
          </cell>
          <cell r="D454">
            <v>14.53</v>
          </cell>
          <cell r="E454" t="e">
            <v>#N/A</v>
          </cell>
          <cell r="F454" t="e">
            <v>#N/A</v>
          </cell>
          <cell r="G454" t="e">
            <v>#N/A</v>
          </cell>
          <cell r="H454" t="e">
            <v>#N/A</v>
          </cell>
          <cell r="I454" t="e">
            <v>#N/A</v>
          </cell>
          <cell r="J454" t="e">
            <v>#N/A</v>
          </cell>
          <cell r="K454" t="e">
            <v>#N/A</v>
          </cell>
          <cell r="L454" t="e">
            <v>#N/A</v>
          </cell>
          <cell r="M454" t="e">
            <v>#N/A</v>
          </cell>
          <cell r="N454" t="e">
            <v>#N/A</v>
          </cell>
          <cell r="O454" t="e">
            <v>#N/A</v>
          </cell>
          <cell r="P454">
            <v>14.53</v>
          </cell>
          <cell r="Q454">
            <v>1.033458</v>
          </cell>
          <cell r="R454" t="e">
            <v>#N/A</v>
          </cell>
        </row>
        <row r="455">
          <cell r="A455">
            <v>40631</v>
          </cell>
          <cell r="B455">
            <v>40631</v>
          </cell>
          <cell r="C455" t="str">
            <v>Past</v>
          </cell>
          <cell r="D455">
            <v>14.7</v>
          </cell>
          <cell r="E455" t="e">
            <v>#N/A</v>
          </cell>
          <cell r="F455" t="e">
            <v>#N/A</v>
          </cell>
          <cell r="G455" t="e">
            <v>#N/A</v>
          </cell>
          <cell r="H455" t="e">
            <v>#N/A</v>
          </cell>
          <cell r="I455" t="e">
            <v>#N/A</v>
          </cell>
          <cell r="J455" t="e">
            <v>#N/A</v>
          </cell>
          <cell r="K455" t="e">
            <v>#N/A</v>
          </cell>
          <cell r="L455" t="e">
            <v>#N/A</v>
          </cell>
          <cell r="M455" t="e">
            <v>#N/A</v>
          </cell>
          <cell r="N455" t="e">
            <v>#N/A</v>
          </cell>
          <cell r="O455" t="e">
            <v>#N/A</v>
          </cell>
          <cell r="P455">
            <v>14.7</v>
          </cell>
          <cell r="Q455">
            <v>1.3141769999999999</v>
          </cell>
          <cell r="R455" t="e">
            <v>#N/A</v>
          </cell>
        </row>
        <row r="456">
          <cell r="A456">
            <v>40632</v>
          </cell>
          <cell r="B456">
            <v>40632</v>
          </cell>
          <cell r="C456" t="str">
            <v>Past</v>
          </cell>
          <cell r="D456">
            <v>14.89</v>
          </cell>
          <cell r="E456" t="e">
            <v>#N/A</v>
          </cell>
          <cell r="F456" t="e">
            <v>#N/A</v>
          </cell>
          <cell r="G456" t="e">
            <v>#N/A</v>
          </cell>
          <cell r="H456" t="e">
            <v>#N/A</v>
          </cell>
          <cell r="I456" t="e">
            <v>#N/A</v>
          </cell>
          <cell r="J456" t="e">
            <v>#N/A</v>
          </cell>
          <cell r="K456" t="e">
            <v>#N/A</v>
          </cell>
          <cell r="L456" t="e">
            <v>#N/A</v>
          </cell>
          <cell r="M456" t="e">
            <v>#N/A</v>
          </cell>
          <cell r="N456" t="e">
            <v>#N/A</v>
          </cell>
          <cell r="O456" t="e">
            <v>#N/A</v>
          </cell>
          <cell r="P456">
            <v>14.89</v>
          </cell>
          <cell r="Q456">
            <v>1.3115600000000001</v>
          </cell>
          <cell r="R456" t="e">
            <v>#N/A</v>
          </cell>
        </row>
        <row r="457">
          <cell r="A457">
            <v>40633</v>
          </cell>
          <cell r="B457">
            <v>40633</v>
          </cell>
          <cell r="C457" t="str">
            <v>Past</v>
          </cell>
          <cell r="D457">
            <v>14.89</v>
          </cell>
          <cell r="E457" t="e">
            <v>#N/A</v>
          </cell>
          <cell r="F457" t="e">
            <v>#N/A</v>
          </cell>
          <cell r="G457" t="e">
            <v>#N/A</v>
          </cell>
          <cell r="H457" t="e">
            <v>#N/A</v>
          </cell>
          <cell r="I457" t="e">
            <v>#N/A</v>
          </cell>
          <cell r="J457" t="e">
            <v>#N/A</v>
          </cell>
          <cell r="K457" t="e">
            <v>#N/A</v>
          </cell>
          <cell r="L457" t="e">
            <v>#N/A</v>
          </cell>
          <cell r="M457" t="e">
            <v>#N/A</v>
          </cell>
          <cell r="N457" t="e">
            <v>#N/A</v>
          </cell>
          <cell r="O457" t="e">
            <v>#N/A</v>
          </cell>
          <cell r="P457">
            <v>14.89</v>
          </cell>
          <cell r="Q457">
            <v>0.96714199999999995</v>
          </cell>
          <cell r="R457" t="e">
            <v>#N/A</v>
          </cell>
        </row>
        <row r="458">
          <cell r="A458">
            <v>40634</v>
          </cell>
          <cell r="B458">
            <v>40634</v>
          </cell>
          <cell r="C458" t="str">
            <v>Past</v>
          </cell>
          <cell r="D458">
            <v>15.03</v>
          </cell>
          <cell r="E458" t="e">
            <v>#N/A</v>
          </cell>
          <cell r="F458" t="e">
            <v>#N/A</v>
          </cell>
          <cell r="G458" t="e">
            <v>#N/A</v>
          </cell>
          <cell r="H458" t="e">
            <v>#N/A</v>
          </cell>
          <cell r="I458" t="e">
            <v>#N/A</v>
          </cell>
          <cell r="J458" t="e">
            <v>#N/A</v>
          </cell>
          <cell r="K458" t="e">
            <v>#N/A</v>
          </cell>
          <cell r="L458" t="e">
            <v>#N/A</v>
          </cell>
          <cell r="M458" t="e">
            <v>#N/A</v>
          </cell>
          <cell r="N458" t="e">
            <v>#N/A</v>
          </cell>
          <cell r="O458" t="e">
            <v>#N/A</v>
          </cell>
          <cell r="P458">
            <v>15.03</v>
          </cell>
          <cell r="Q458">
            <v>1.0310729999999999</v>
          </cell>
          <cell r="R458" t="e">
            <v>#N/A</v>
          </cell>
        </row>
        <row r="459">
          <cell r="A459">
            <v>40637</v>
          </cell>
          <cell r="B459">
            <v>40637</v>
          </cell>
          <cell r="C459" t="str">
            <v>Past</v>
          </cell>
          <cell r="D459">
            <v>15.07</v>
          </cell>
          <cell r="E459" t="e">
            <v>#N/A</v>
          </cell>
          <cell r="F459" t="e">
            <v>#N/A</v>
          </cell>
          <cell r="G459" t="e">
            <v>#N/A</v>
          </cell>
          <cell r="H459" t="e">
            <v>#N/A</v>
          </cell>
          <cell r="I459" t="e">
            <v>#N/A</v>
          </cell>
          <cell r="J459" t="e">
            <v>#N/A</v>
          </cell>
          <cell r="K459" t="e">
            <v>#N/A</v>
          </cell>
          <cell r="L459" t="e">
            <v>#N/A</v>
          </cell>
          <cell r="M459" t="e">
            <v>#N/A</v>
          </cell>
          <cell r="N459" t="e">
            <v>#N/A</v>
          </cell>
          <cell r="O459" t="e">
            <v>#N/A</v>
          </cell>
          <cell r="P459">
            <v>15.07</v>
          </cell>
          <cell r="Q459">
            <v>1.8920779999999999</v>
          </cell>
          <cell r="R459" t="e">
            <v>#N/A</v>
          </cell>
        </row>
        <row r="460">
          <cell r="A460">
            <v>40638</v>
          </cell>
          <cell r="B460">
            <v>40638</v>
          </cell>
          <cell r="C460" t="str">
            <v>Past</v>
          </cell>
          <cell r="D460">
            <v>15.08</v>
          </cell>
          <cell r="E460" t="e">
            <v>#N/A</v>
          </cell>
          <cell r="F460" t="e">
            <v>#N/A</v>
          </cell>
          <cell r="G460" t="e">
            <v>#N/A</v>
          </cell>
          <cell r="H460" t="e">
            <v>#N/A</v>
          </cell>
          <cell r="I460" t="e">
            <v>#N/A</v>
          </cell>
          <cell r="J460" t="e">
            <v>#N/A</v>
          </cell>
          <cell r="K460" t="e">
            <v>#N/A</v>
          </cell>
          <cell r="L460" t="e">
            <v>#N/A</v>
          </cell>
          <cell r="M460" t="e">
            <v>#N/A</v>
          </cell>
          <cell r="N460" t="e">
            <v>#N/A</v>
          </cell>
          <cell r="O460" t="e">
            <v>#N/A</v>
          </cell>
          <cell r="P460">
            <v>15.08</v>
          </cell>
          <cell r="Q460">
            <v>1.070727</v>
          </cell>
          <cell r="R460" t="e">
            <v>#N/A</v>
          </cell>
        </row>
        <row r="461">
          <cell r="A461">
            <v>40639</v>
          </cell>
          <cell r="B461">
            <v>40639</v>
          </cell>
          <cell r="C461" t="str">
            <v>Past</v>
          </cell>
          <cell r="D461">
            <v>15.22</v>
          </cell>
          <cell r="E461" t="e">
            <v>#N/A</v>
          </cell>
          <cell r="F461" t="e">
            <v>#N/A</v>
          </cell>
          <cell r="G461" t="e">
            <v>#N/A</v>
          </cell>
          <cell r="H461" t="e">
            <v>#N/A</v>
          </cell>
          <cell r="I461" t="e">
            <v>#N/A</v>
          </cell>
          <cell r="J461" t="e">
            <v>#N/A</v>
          </cell>
          <cell r="K461" t="e">
            <v>#N/A</v>
          </cell>
          <cell r="L461" t="e">
            <v>#N/A</v>
          </cell>
          <cell r="M461" t="e">
            <v>#N/A</v>
          </cell>
          <cell r="N461" t="e">
            <v>#N/A</v>
          </cell>
          <cell r="O461" t="e">
            <v>#N/A</v>
          </cell>
          <cell r="P461">
            <v>15.22</v>
          </cell>
          <cell r="Q461">
            <v>2.4883349999999997</v>
          </cell>
          <cell r="R461" t="e">
            <v>#N/A</v>
          </cell>
        </row>
        <row r="462">
          <cell r="A462">
            <v>40640</v>
          </cell>
          <cell r="B462">
            <v>40640</v>
          </cell>
          <cell r="C462" t="str">
            <v>Past</v>
          </cell>
          <cell r="D462">
            <v>15.03</v>
          </cell>
          <cell r="E462" t="e">
            <v>#N/A</v>
          </cell>
          <cell r="F462" t="e">
            <v>#N/A</v>
          </cell>
          <cell r="G462" t="e">
            <v>#N/A</v>
          </cell>
          <cell r="H462" t="e">
            <v>#N/A</v>
          </cell>
          <cell r="I462" t="e">
            <v>#N/A</v>
          </cell>
          <cell r="J462" t="e">
            <v>#N/A</v>
          </cell>
          <cell r="K462" t="e">
            <v>#N/A</v>
          </cell>
          <cell r="L462" t="e">
            <v>#N/A</v>
          </cell>
          <cell r="M462" t="e">
            <v>#N/A</v>
          </cell>
          <cell r="N462" t="e">
            <v>#N/A</v>
          </cell>
          <cell r="O462" t="e">
            <v>#N/A</v>
          </cell>
          <cell r="P462">
            <v>15.03</v>
          </cell>
          <cell r="Q462">
            <v>1.381759</v>
          </cell>
          <cell r="R462" t="e">
            <v>#N/A</v>
          </cell>
        </row>
        <row r="463">
          <cell r="A463">
            <v>40641</v>
          </cell>
          <cell r="B463">
            <v>40641</v>
          </cell>
          <cell r="C463" t="str">
            <v>Past</v>
          </cell>
          <cell r="D463">
            <v>15.03</v>
          </cell>
          <cell r="E463" t="e">
            <v>#N/A</v>
          </cell>
          <cell r="F463" t="e">
            <v>#N/A</v>
          </cell>
          <cell r="G463" t="e">
            <v>#N/A</v>
          </cell>
          <cell r="H463" t="e">
            <v>#N/A</v>
          </cell>
          <cell r="I463" t="e">
            <v>#N/A</v>
          </cell>
          <cell r="J463" t="e">
            <v>#N/A</v>
          </cell>
          <cell r="K463" t="e">
            <v>#N/A</v>
          </cell>
          <cell r="L463" t="e">
            <v>#N/A</v>
          </cell>
          <cell r="M463" t="e">
            <v>#N/A</v>
          </cell>
          <cell r="N463" t="e">
            <v>#N/A</v>
          </cell>
          <cell r="O463" t="e">
            <v>#N/A</v>
          </cell>
          <cell r="P463">
            <v>15.03</v>
          </cell>
          <cell r="Q463">
            <v>1.7781319999999998</v>
          </cell>
          <cell r="R463" t="e">
            <v>#N/A</v>
          </cell>
        </row>
        <row r="464">
          <cell r="A464">
            <v>40644</v>
          </cell>
          <cell r="B464">
            <v>40644</v>
          </cell>
          <cell r="C464" t="str">
            <v>Past</v>
          </cell>
          <cell r="D464">
            <v>14.74</v>
          </cell>
          <cell r="E464" t="e">
            <v>#N/A</v>
          </cell>
          <cell r="F464" t="e">
            <v>#N/A</v>
          </cell>
          <cell r="G464" t="e">
            <v>#N/A</v>
          </cell>
          <cell r="H464" t="e">
            <v>#N/A</v>
          </cell>
          <cell r="I464" t="e">
            <v>#N/A</v>
          </cell>
          <cell r="J464" t="e">
            <v>#N/A</v>
          </cell>
          <cell r="K464" t="e">
            <v>#N/A</v>
          </cell>
          <cell r="L464" t="e">
            <v>#N/A</v>
          </cell>
          <cell r="M464" t="e">
            <v>#N/A</v>
          </cell>
          <cell r="N464" t="e">
            <v>#N/A</v>
          </cell>
          <cell r="O464" t="e">
            <v>#N/A</v>
          </cell>
          <cell r="P464">
            <v>14.74</v>
          </cell>
          <cell r="Q464">
            <v>1.324306</v>
          </cell>
          <cell r="R464" t="e">
            <v>#N/A</v>
          </cell>
        </row>
        <row r="465">
          <cell r="A465">
            <v>40645</v>
          </cell>
          <cell r="B465">
            <v>40645</v>
          </cell>
          <cell r="C465" t="str">
            <v>Past</v>
          </cell>
          <cell r="D465">
            <v>14.64</v>
          </cell>
          <cell r="E465" t="e">
            <v>#N/A</v>
          </cell>
          <cell r="F465" t="e">
            <v>#N/A</v>
          </cell>
          <cell r="G465" t="e">
            <v>#N/A</v>
          </cell>
          <cell r="H465" t="e">
            <v>#N/A</v>
          </cell>
          <cell r="I465" t="e">
            <v>#N/A</v>
          </cell>
          <cell r="J465" t="e">
            <v>#N/A</v>
          </cell>
          <cell r="K465" t="e">
            <v>#N/A</v>
          </cell>
          <cell r="L465" t="e">
            <v>#N/A</v>
          </cell>
          <cell r="M465" t="e">
            <v>#N/A</v>
          </cell>
          <cell r="N465" t="e">
            <v>#N/A</v>
          </cell>
          <cell r="O465" t="e">
            <v>#N/A</v>
          </cell>
          <cell r="P465">
            <v>14.64</v>
          </cell>
          <cell r="Q465">
            <v>0.74409799999999993</v>
          </cell>
          <cell r="R465" t="e">
            <v>#N/A</v>
          </cell>
        </row>
        <row r="466">
          <cell r="A466">
            <v>40646</v>
          </cell>
          <cell r="B466">
            <v>40646</v>
          </cell>
          <cell r="C466" t="str">
            <v>Past</v>
          </cell>
          <cell r="D466">
            <v>14.68</v>
          </cell>
          <cell r="E466" t="e">
            <v>#N/A</v>
          </cell>
          <cell r="F466" t="e">
            <v>#N/A</v>
          </cell>
          <cell r="G466" t="e">
            <v>#N/A</v>
          </cell>
          <cell r="H466" t="e">
            <v>#N/A</v>
          </cell>
          <cell r="I466" t="e">
            <v>#N/A</v>
          </cell>
          <cell r="J466" t="e">
            <v>#N/A</v>
          </cell>
          <cell r="K466" t="e">
            <v>#N/A</v>
          </cell>
          <cell r="L466" t="e">
            <v>#N/A</v>
          </cell>
          <cell r="M466" t="e">
            <v>#N/A</v>
          </cell>
          <cell r="N466" t="e">
            <v>#N/A</v>
          </cell>
          <cell r="O466" t="e">
            <v>#N/A</v>
          </cell>
          <cell r="P466">
            <v>14.68</v>
          </cell>
          <cell r="Q466">
            <v>0.85418099999999997</v>
          </cell>
          <cell r="R466" t="e">
            <v>#N/A</v>
          </cell>
        </row>
        <row r="467">
          <cell r="A467">
            <v>40647</v>
          </cell>
          <cell r="B467">
            <v>40647</v>
          </cell>
          <cell r="C467" t="str">
            <v>Past</v>
          </cell>
          <cell r="D467">
            <v>14.78</v>
          </cell>
          <cell r="E467" t="e">
            <v>#N/A</v>
          </cell>
          <cell r="F467" t="e">
            <v>#N/A</v>
          </cell>
          <cell r="G467" t="e">
            <v>#N/A</v>
          </cell>
          <cell r="H467" t="e">
            <v>#N/A</v>
          </cell>
          <cell r="I467" t="e">
            <v>#N/A</v>
          </cell>
          <cell r="J467" t="e">
            <v>#N/A</v>
          </cell>
          <cell r="K467" t="e">
            <v>#N/A</v>
          </cell>
          <cell r="L467" t="e">
            <v>#N/A</v>
          </cell>
          <cell r="M467" t="e">
            <v>#N/A</v>
          </cell>
          <cell r="N467" t="e">
            <v>#N/A</v>
          </cell>
          <cell r="O467" t="e">
            <v>#N/A</v>
          </cell>
          <cell r="P467">
            <v>14.78</v>
          </cell>
          <cell r="Q467">
            <v>0.80073699999999992</v>
          </cell>
          <cell r="R467" t="e">
            <v>#N/A</v>
          </cell>
        </row>
        <row r="468">
          <cell r="A468">
            <v>40648</v>
          </cell>
          <cell r="B468">
            <v>40648</v>
          </cell>
          <cell r="C468" t="str">
            <v>Past</v>
          </cell>
          <cell r="D468">
            <v>14.87</v>
          </cell>
          <cell r="E468" t="e">
            <v>#N/A</v>
          </cell>
          <cell r="F468" t="e">
            <v>#N/A</v>
          </cell>
          <cell r="G468" t="e">
            <v>#N/A</v>
          </cell>
          <cell r="H468" t="e">
            <v>#N/A</v>
          </cell>
          <cell r="I468" t="e">
            <v>#N/A</v>
          </cell>
          <cell r="J468" t="e">
            <v>#N/A</v>
          </cell>
          <cell r="K468" t="e">
            <v>#N/A</v>
          </cell>
          <cell r="L468" t="e">
            <v>#N/A</v>
          </cell>
          <cell r="M468" t="e">
            <v>#N/A</v>
          </cell>
          <cell r="N468" t="e">
            <v>#N/A</v>
          </cell>
          <cell r="O468" t="e">
            <v>#N/A</v>
          </cell>
          <cell r="P468">
            <v>14.87</v>
          </cell>
          <cell r="Q468">
            <v>0.85800100000000001</v>
          </cell>
          <cell r="R468" t="e">
            <v>#N/A</v>
          </cell>
        </row>
        <row r="469">
          <cell r="A469">
            <v>40651</v>
          </cell>
          <cell r="B469">
            <v>40651</v>
          </cell>
          <cell r="C469" t="str">
            <v>Past</v>
          </cell>
          <cell r="D469">
            <v>14.66</v>
          </cell>
          <cell r="E469" t="e">
            <v>#N/A</v>
          </cell>
          <cell r="F469" t="e">
            <v>#N/A</v>
          </cell>
          <cell r="G469" t="e">
            <v>#N/A</v>
          </cell>
          <cell r="H469" t="e">
            <v>#N/A</v>
          </cell>
          <cell r="I469" t="e">
            <v>#N/A</v>
          </cell>
          <cell r="J469" t="e">
            <v>#N/A</v>
          </cell>
          <cell r="K469" t="e">
            <v>#N/A</v>
          </cell>
          <cell r="L469" t="e">
            <v>#N/A</v>
          </cell>
          <cell r="M469" t="e">
            <v>#N/A</v>
          </cell>
          <cell r="N469" t="e">
            <v>#N/A</v>
          </cell>
          <cell r="O469" t="e">
            <v>#N/A</v>
          </cell>
          <cell r="P469">
            <v>14.66</v>
          </cell>
          <cell r="Q469">
            <v>1.6471739999999999</v>
          </cell>
          <cell r="R469" t="e">
            <v>#N/A</v>
          </cell>
        </row>
        <row r="470">
          <cell r="A470">
            <v>40652</v>
          </cell>
          <cell r="B470">
            <v>40652</v>
          </cell>
          <cell r="C470" t="str">
            <v>Past</v>
          </cell>
          <cell r="D470">
            <v>14.67</v>
          </cell>
          <cell r="E470" t="e">
            <v>#N/A</v>
          </cell>
          <cell r="F470" t="e">
            <v>#N/A</v>
          </cell>
          <cell r="G470" t="e">
            <v>#N/A</v>
          </cell>
          <cell r="H470" t="e">
            <v>#N/A</v>
          </cell>
          <cell r="I470" t="e">
            <v>#N/A</v>
          </cell>
          <cell r="J470" t="e">
            <v>#N/A</v>
          </cell>
          <cell r="K470" t="e">
            <v>#N/A</v>
          </cell>
          <cell r="L470" t="e">
            <v>#N/A</v>
          </cell>
          <cell r="M470" t="e">
            <v>#N/A</v>
          </cell>
          <cell r="N470" t="e">
            <v>#N/A</v>
          </cell>
          <cell r="O470" t="e">
            <v>#N/A</v>
          </cell>
          <cell r="P470">
            <v>14.67</v>
          </cell>
          <cell r="Q470">
            <v>0.76988299999999998</v>
          </cell>
          <cell r="R470" t="e">
            <v>#N/A</v>
          </cell>
        </row>
        <row r="471">
          <cell r="A471">
            <v>40653</v>
          </cell>
          <cell r="B471">
            <v>40653</v>
          </cell>
          <cell r="C471" t="str">
            <v>Past</v>
          </cell>
          <cell r="D471">
            <v>14.87</v>
          </cell>
          <cell r="E471" t="e">
            <v>#N/A</v>
          </cell>
          <cell r="F471" t="e">
            <v>#N/A</v>
          </cell>
          <cell r="G471" t="e">
            <v>#N/A</v>
          </cell>
          <cell r="H471" t="e">
            <v>#N/A</v>
          </cell>
          <cell r="I471" t="e">
            <v>#N/A</v>
          </cell>
          <cell r="J471" t="e">
            <v>#N/A</v>
          </cell>
          <cell r="K471" t="e">
            <v>#N/A</v>
          </cell>
          <cell r="L471" t="e">
            <v>#N/A</v>
          </cell>
          <cell r="M471" t="e">
            <v>#N/A</v>
          </cell>
          <cell r="N471" t="e">
            <v>#N/A</v>
          </cell>
          <cell r="O471" t="e">
            <v>#N/A</v>
          </cell>
          <cell r="P471">
            <v>14.87</v>
          </cell>
          <cell r="Q471">
            <v>1.3099069999999999</v>
          </cell>
          <cell r="R471" t="e">
            <v>#N/A</v>
          </cell>
        </row>
        <row r="472">
          <cell r="A472">
            <v>40654</v>
          </cell>
          <cell r="B472">
            <v>40654</v>
          </cell>
          <cell r="C472" t="str">
            <v>Past</v>
          </cell>
          <cell r="D472">
            <v>14.9</v>
          </cell>
          <cell r="E472" t="e">
            <v>#N/A</v>
          </cell>
          <cell r="F472" t="e">
            <v>#N/A</v>
          </cell>
          <cell r="G472" t="e">
            <v>#N/A</v>
          </cell>
          <cell r="H472" t="e">
            <v>#N/A</v>
          </cell>
          <cell r="I472" t="e">
            <v>#N/A</v>
          </cell>
          <cell r="J472" t="e">
            <v>#N/A</v>
          </cell>
          <cell r="K472" t="e">
            <v>#N/A</v>
          </cell>
          <cell r="L472" t="e">
            <v>#N/A</v>
          </cell>
          <cell r="M472" t="e">
            <v>#N/A</v>
          </cell>
          <cell r="N472" t="e">
            <v>#N/A</v>
          </cell>
          <cell r="O472" t="e">
            <v>#N/A</v>
          </cell>
          <cell r="P472">
            <v>14.9</v>
          </cell>
          <cell r="Q472">
            <v>0.91618899999999992</v>
          </cell>
          <cell r="R472" t="e">
            <v>#N/A</v>
          </cell>
        </row>
        <row r="473">
          <cell r="A473">
            <v>40658</v>
          </cell>
          <cell r="B473">
            <v>40658</v>
          </cell>
          <cell r="C473" t="str">
            <v>Past</v>
          </cell>
          <cell r="D473">
            <v>14.89</v>
          </cell>
          <cell r="E473" t="e">
            <v>#N/A</v>
          </cell>
          <cell r="F473" t="e">
            <v>#N/A</v>
          </cell>
          <cell r="G473" t="e">
            <v>#N/A</v>
          </cell>
          <cell r="H473" t="e">
            <v>#N/A</v>
          </cell>
          <cell r="I473" t="e">
            <v>#N/A</v>
          </cell>
          <cell r="J473" t="e">
            <v>#N/A</v>
          </cell>
          <cell r="K473" t="e">
            <v>#N/A</v>
          </cell>
          <cell r="L473" t="e">
            <v>#N/A</v>
          </cell>
          <cell r="M473" t="e">
            <v>#N/A</v>
          </cell>
          <cell r="N473" t="e">
            <v>#N/A</v>
          </cell>
          <cell r="O473" t="e">
            <v>#N/A</v>
          </cell>
          <cell r="P473">
            <v>14.89</v>
          </cell>
          <cell r="Q473">
            <v>0.50272499999999998</v>
          </cell>
          <cell r="R473" t="e">
            <v>#N/A</v>
          </cell>
        </row>
        <row r="474">
          <cell r="A474">
            <v>40659</v>
          </cell>
          <cell r="B474">
            <v>40659</v>
          </cell>
          <cell r="C474" t="str">
            <v>Past</v>
          </cell>
          <cell r="D474">
            <v>14.99</v>
          </cell>
          <cell r="E474" t="e">
            <v>#N/A</v>
          </cell>
          <cell r="F474" t="e">
            <v>#N/A</v>
          </cell>
          <cell r="G474" t="e">
            <v>#N/A</v>
          </cell>
          <cell r="H474" t="e">
            <v>#N/A</v>
          </cell>
          <cell r="I474" t="e">
            <v>#N/A</v>
          </cell>
          <cell r="J474" t="e">
            <v>#N/A</v>
          </cell>
          <cell r="K474" t="e">
            <v>#N/A</v>
          </cell>
          <cell r="L474" t="e">
            <v>#N/A</v>
          </cell>
          <cell r="M474" t="e">
            <v>#N/A</v>
          </cell>
          <cell r="N474" t="e">
            <v>#N/A</v>
          </cell>
          <cell r="O474" t="e">
            <v>#N/A</v>
          </cell>
          <cell r="P474">
            <v>14.99</v>
          </cell>
          <cell r="Q474">
            <v>1.0861239999999999</v>
          </cell>
          <cell r="R474" t="e">
            <v>#N/A</v>
          </cell>
        </row>
        <row r="475">
          <cell r="A475">
            <v>40660</v>
          </cell>
          <cell r="B475">
            <v>40660</v>
          </cell>
          <cell r="C475" t="str">
            <v>Past</v>
          </cell>
          <cell r="D475">
            <v>15.02</v>
          </cell>
          <cell r="E475" t="e">
            <v>#N/A</v>
          </cell>
          <cell r="F475" t="e">
            <v>#N/A</v>
          </cell>
          <cell r="G475" t="e">
            <v>#N/A</v>
          </cell>
          <cell r="H475" t="e">
            <v>#N/A</v>
          </cell>
          <cell r="I475" t="e">
            <v>#N/A</v>
          </cell>
          <cell r="J475" t="e">
            <v>#N/A</v>
          </cell>
          <cell r="K475" t="e">
            <v>#N/A</v>
          </cell>
          <cell r="L475" t="e">
            <v>#N/A</v>
          </cell>
          <cell r="M475" t="e">
            <v>#N/A</v>
          </cell>
          <cell r="N475" t="e">
            <v>#N/A</v>
          </cell>
          <cell r="O475" t="e">
            <v>#N/A</v>
          </cell>
          <cell r="P475">
            <v>15.02</v>
          </cell>
          <cell r="Q475">
            <v>1.3666639999999999</v>
          </cell>
          <cell r="R475" t="e">
            <v>#N/A</v>
          </cell>
        </row>
        <row r="476">
          <cell r="A476">
            <v>40661</v>
          </cell>
          <cell r="B476">
            <v>40661</v>
          </cell>
          <cell r="C476" t="str">
            <v>Past</v>
          </cell>
          <cell r="D476">
            <v>15.13</v>
          </cell>
          <cell r="E476" t="e">
            <v>#N/A</v>
          </cell>
          <cell r="F476" t="e">
            <v>#N/A</v>
          </cell>
          <cell r="G476" t="e">
            <v>#N/A</v>
          </cell>
          <cell r="H476" t="e">
            <v>#N/A</v>
          </cell>
          <cell r="I476" t="e">
            <v>#N/A</v>
          </cell>
          <cell r="J476" t="e">
            <v>#N/A</v>
          </cell>
          <cell r="K476" t="e">
            <v>#N/A</v>
          </cell>
          <cell r="L476" t="e">
            <v>#N/A</v>
          </cell>
          <cell r="M476" t="e">
            <v>#N/A</v>
          </cell>
          <cell r="N476" t="e">
            <v>#N/A</v>
          </cell>
          <cell r="O476" t="e">
            <v>#N/A</v>
          </cell>
          <cell r="P476">
            <v>15.13</v>
          </cell>
          <cell r="Q476">
            <v>3.1455869999999999</v>
          </cell>
          <cell r="R476" t="e">
            <v>#N/A</v>
          </cell>
        </row>
        <row r="477">
          <cell r="A477">
            <v>40662</v>
          </cell>
          <cell r="B477">
            <v>40662</v>
          </cell>
          <cell r="C477" t="str">
            <v>Past</v>
          </cell>
          <cell r="D477">
            <v>15.19</v>
          </cell>
          <cell r="E477" t="e">
            <v>#N/A</v>
          </cell>
          <cell r="F477" t="e">
            <v>#N/A</v>
          </cell>
          <cell r="G477" t="e">
            <v>#N/A</v>
          </cell>
          <cell r="H477" t="e">
            <v>#N/A</v>
          </cell>
          <cell r="I477" t="e">
            <v>#N/A</v>
          </cell>
          <cell r="J477" t="e">
            <v>#N/A</v>
          </cell>
          <cell r="K477" t="e">
            <v>#N/A</v>
          </cell>
          <cell r="L477" t="e">
            <v>#N/A</v>
          </cell>
          <cell r="M477" t="e">
            <v>#N/A</v>
          </cell>
          <cell r="N477" t="e">
            <v>#N/A</v>
          </cell>
          <cell r="O477" t="e">
            <v>#N/A</v>
          </cell>
          <cell r="P477">
            <v>15.19</v>
          </cell>
          <cell r="Q477">
            <v>1.173627</v>
          </cell>
          <cell r="R477" t="e">
            <v>#N/A</v>
          </cell>
        </row>
        <row r="478">
          <cell r="A478">
            <v>40665</v>
          </cell>
          <cell r="B478">
            <v>40665</v>
          </cell>
          <cell r="C478" t="str">
            <v>Past</v>
          </cell>
          <cell r="D478">
            <v>15.23</v>
          </cell>
          <cell r="E478" t="e">
            <v>#N/A</v>
          </cell>
          <cell r="F478" t="e">
            <v>#N/A</v>
          </cell>
          <cell r="G478" t="e">
            <v>#N/A</v>
          </cell>
          <cell r="H478" t="e">
            <v>#N/A</v>
          </cell>
          <cell r="I478" t="e">
            <v>#N/A</v>
          </cell>
          <cell r="J478" t="e">
            <v>#N/A</v>
          </cell>
          <cell r="K478" t="e">
            <v>#N/A</v>
          </cell>
          <cell r="L478" t="e">
            <v>#N/A</v>
          </cell>
          <cell r="M478" t="e">
            <v>#N/A</v>
          </cell>
          <cell r="N478" t="e">
            <v>#N/A</v>
          </cell>
          <cell r="O478" t="e">
            <v>#N/A</v>
          </cell>
          <cell r="P478">
            <v>15.23</v>
          </cell>
          <cell r="Q478">
            <v>1.4589559999999999</v>
          </cell>
          <cell r="R478" t="e">
            <v>#N/A</v>
          </cell>
        </row>
        <row r="479">
          <cell r="A479">
            <v>40666</v>
          </cell>
          <cell r="B479">
            <v>40666</v>
          </cell>
          <cell r="C479" t="str">
            <v>Past</v>
          </cell>
          <cell r="D479">
            <v>15.35</v>
          </cell>
          <cell r="E479" t="e">
            <v>#N/A</v>
          </cell>
          <cell r="F479" t="e">
            <v>#N/A</v>
          </cell>
          <cell r="G479" t="e">
            <v>#N/A</v>
          </cell>
          <cell r="H479" t="e">
            <v>#N/A</v>
          </cell>
          <cell r="I479" t="e">
            <v>#N/A</v>
          </cell>
          <cell r="J479" t="e">
            <v>#N/A</v>
          </cell>
          <cell r="K479" t="e">
            <v>#N/A</v>
          </cell>
          <cell r="L479" t="e">
            <v>#N/A</v>
          </cell>
          <cell r="M479" t="e">
            <v>#N/A</v>
          </cell>
          <cell r="N479" t="e">
            <v>#N/A</v>
          </cell>
          <cell r="O479" t="e">
            <v>#N/A</v>
          </cell>
          <cell r="P479">
            <v>15.35</v>
          </cell>
          <cell r="Q479">
            <v>1.2028179999999999</v>
          </cell>
          <cell r="R479" t="e">
            <v>#N/A</v>
          </cell>
        </row>
        <row r="480">
          <cell r="A480">
            <v>40667</v>
          </cell>
          <cell r="B480">
            <v>40667</v>
          </cell>
          <cell r="C480" t="str">
            <v>Past</v>
          </cell>
          <cell r="D480">
            <v>15.35</v>
          </cell>
          <cell r="E480" t="e">
            <v>#N/A</v>
          </cell>
          <cell r="F480" t="e">
            <v>#N/A</v>
          </cell>
          <cell r="G480" t="e">
            <v>#N/A</v>
          </cell>
          <cell r="H480" t="e">
            <v>#N/A</v>
          </cell>
          <cell r="I480" t="e">
            <v>#N/A</v>
          </cell>
          <cell r="J480" t="e">
            <v>#N/A</v>
          </cell>
          <cell r="K480" t="e">
            <v>#N/A</v>
          </cell>
          <cell r="L480" t="e">
            <v>#N/A</v>
          </cell>
          <cell r="M480" t="e">
            <v>#N/A</v>
          </cell>
          <cell r="N480" t="e">
            <v>#N/A</v>
          </cell>
          <cell r="O480" t="e">
            <v>#N/A</v>
          </cell>
          <cell r="P480">
            <v>15.35</v>
          </cell>
          <cell r="Q480">
            <v>1.497406</v>
          </cell>
          <cell r="R480" t="e">
            <v>#N/A</v>
          </cell>
        </row>
        <row r="481">
          <cell r="A481">
            <v>40668</v>
          </cell>
          <cell r="B481">
            <v>40668</v>
          </cell>
          <cell r="C481" t="str">
            <v>Past</v>
          </cell>
          <cell r="D481">
            <v>15.32</v>
          </cell>
          <cell r="E481" t="e">
            <v>#N/A</v>
          </cell>
          <cell r="F481" t="e">
            <v>#N/A</v>
          </cell>
          <cell r="G481" t="e">
            <v>#N/A</v>
          </cell>
          <cell r="H481" t="e">
            <v>#N/A</v>
          </cell>
          <cell r="I481" t="e">
            <v>#N/A</v>
          </cell>
          <cell r="J481" t="e">
            <v>#N/A</v>
          </cell>
          <cell r="K481" t="e">
            <v>#N/A</v>
          </cell>
          <cell r="L481" t="e">
            <v>#N/A</v>
          </cell>
          <cell r="M481" t="e">
            <v>#N/A</v>
          </cell>
          <cell r="N481" t="e">
            <v>#N/A</v>
          </cell>
          <cell r="O481" t="e">
            <v>#N/A</v>
          </cell>
          <cell r="P481">
            <v>15.32</v>
          </cell>
          <cell r="Q481">
            <v>1.251004</v>
          </cell>
          <cell r="R481" t="e">
            <v>#N/A</v>
          </cell>
        </row>
        <row r="482">
          <cell r="A482">
            <v>40669</v>
          </cell>
          <cell r="B482">
            <v>40669</v>
          </cell>
          <cell r="C482" t="str">
            <v>Past</v>
          </cell>
          <cell r="D482">
            <v>15.45</v>
          </cell>
          <cell r="E482" t="e">
            <v>#N/A</v>
          </cell>
          <cell r="F482" t="e">
            <v>#N/A</v>
          </cell>
          <cell r="G482" t="e">
            <v>#N/A</v>
          </cell>
          <cell r="H482" t="e">
            <v>#N/A</v>
          </cell>
          <cell r="I482" t="e">
            <v>#N/A</v>
          </cell>
          <cell r="J482" t="e">
            <v>#N/A</v>
          </cell>
          <cell r="K482" t="e">
            <v>#N/A</v>
          </cell>
          <cell r="L482" t="e">
            <v>#N/A</v>
          </cell>
          <cell r="M482" t="e">
            <v>#N/A</v>
          </cell>
          <cell r="N482" t="e">
            <v>#N/A</v>
          </cell>
          <cell r="O482" t="e">
            <v>#N/A</v>
          </cell>
          <cell r="P482">
            <v>15.45</v>
          </cell>
          <cell r="Q482">
            <v>1.1364030000000001</v>
          </cell>
          <cell r="R482" t="e">
            <v>#N/A</v>
          </cell>
        </row>
        <row r="483">
          <cell r="A483">
            <v>40672</v>
          </cell>
          <cell r="B483">
            <v>40672</v>
          </cell>
          <cell r="C483" t="str">
            <v>Past</v>
          </cell>
          <cell r="D483">
            <v>15.47</v>
          </cell>
          <cell r="E483" t="e">
            <v>#N/A</v>
          </cell>
          <cell r="F483" t="e">
            <v>#N/A</v>
          </cell>
          <cell r="G483" t="e">
            <v>#N/A</v>
          </cell>
          <cell r="H483" t="e">
            <v>#N/A</v>
          </cell>
          <cell r="I483" t="e">
            <v>#N/A</v>
          </cell>
          <cell r="J483" t="e">
            <v>#N/A</v>
          </cell>
          <cell r="K483" t="e">
            <v>#N/A</v>
          </cell>
          <cell r="L483" t="e">
            <v>#N/A</v>
          </cell>
          <cell r="M483" t="e">
            <v>#N/A</v>
          </cell>
          <cell r="N483" t="e">
            <v>#N/A</v>
          </cell>
          <cell r="O483" t="e">
            <v>#N/A</v>
          </cell>
          <cell r="P483">
            <v>15.47</v>
          </cell>
          <cell r="Q483">
            <v>0.66692499999999999</v>
          </cell>
          <cell r="R483" t="e">
            <v>#N/A</v>
          </cell>
        </row>
        <row r="484">
          <cell r="A484">
            <v>40673</v>
          </cell>
          <cell r="B484">
            <v>40673</v>
          </cell>
          <cell r="C484" t="str">
            <v>Past</v>
          </cell>
          <cell r="D484">
            <v>15.73</v>
          </cell>
          <cell r="E484" t="e">
            <v>#N/A</v>
          </cell>
          <cell r="F484" t="e">
            <v>#N/A</v>
          </cell>
          <cell r="G484" t="e">
            <v>#N/A</v>
          </cell>
          <cell r="H484" t="e">
            <v>#N/A</v>
          </cell>
          <cell r="I484" t="e">
            <v>#N/A</v>
          </cell>
          <cell r="J484" t="e">
            <v>#N/A</v>
          </cell>
          <cell r="K484" t="e">
            <v>#N/A</v>
          </cell>
          <cell r="L484" t="e">
            <v>#N/A</v>
          </cell>
          <cell r="M484" t="e">
            <v>#N/A</v>
          </cell>
          <cell r="N484" t="e">
            <v>#N/A</v>
          </cell>
          <cell r="O484" t="e">
            <v>#N/A</v>
          </cell>
          <cell r="P484">
            <v>15.73</v>
          </cell>
          <cell r="Q484">
            <v>1.8866289999999999</v>
          </cell>
          <cell r="R484" t="e">
            <v>#N/A</v>
          </cell>
        </row>
        <row r="485">
          <cell r="A485">
            <v>40674</v>
          </cell>
          <cell r="B485">
            <v>40674</v>
          </cell>
          <cell r="C485" t="str">
            <v>Past</v>
          </cell>
          <cell r="D485">
            <v>15.7</v>
          </cell>
          <cell r="E485" t="e">
            <v>#N/A</v>
          </cell>
          <cell r="F485" t="e">
            <v>#N/A</v>
          </cell>
          <cell r="G485" t="e">
            <v>#N/A</v>
          </cell>
          <cell r="H485" t="e">
            <v>#N/A</v>
          </cell>
          <cell r="I485" t="e">
            <v>#N/A</v>
          </cell>
          <cell r="J485" t="e">
            <v>#N/A</v>
          </cell>
          <cell r="K485" t="e">
            <v>#N/A</v>
          </cell>
          <cell r="L485" t="e">
            <v>#N/A</v>
          </cell>
          <cell r="M485" t="e">
            <v>#N/A</v>
          </cell>
          <cell r="N485" t="e">
            <v>#N/A</v>
          </cell>
          <cell r="O485" t="e">
            <v>#N/A</v>
          </cell>
          <cell r="P485">
            <v>15.7</v>
          </cell>
          <cell r="Q485">
            <v>1.11927</v>
          </cell>
          <cell r="R485" t="e">
            <v>#N/A</v>
          </cell>
        </row>
        <row r="486">
          <cell r="A486">
            <v>40675</v>
          </cell>
          <cell r="B486">
            <v>40675</v>
          </cell>
          <cell r="C486" t="str">
            <v>Past</v>
          </cell>
          <cell r="D486">
            <v>15.84</v>
          </cell>
          <cell r="E486" t="e">
            <v>#N/A</v>
          </cell>
          <cell r="F486" t="e">
            <v>#N/A</v>
          </cell>
          <cell r="G486" t="e">
            <v>#N/A</v>
          </cell>
          <cell r="H486" t="e">
            <v>#N/A</v>
          </cell>
          <cell r="I486" t="e">
            <v>#N/A</v>
          </cell>
          <cell r="J486" t="e">
            <v>#N/A</v>
          </cell>
          <cell r="K486" t="e">
            <v>#N/A</v>
          </cell>
          <cell r="L486" t="e">
            <v>#N/A</v>
          </cell>
          <cell r="M486" t="e">
            <v>#N/A</v>
          </cell>
          <cell r="N486" t="e">
            <v>#N/A</v>
          </cell>
          <cell r="O486" t="e">
            <v>#N/A</v>
          </cell>
          <cell r="P486">
            <v>15.84</v>
          </cell>
          <cell r="Q486">
            <v>1.401851</v>
          </cell>
          <cell r="R486" t="e">
            <v>#N/A</v>
          </cell>
        </row>
        <row r="487">
          <cell r="A487">
            <v>40676</v>
          </cell>
          <cell r="B487">
            <v>40676</v>
          </cell>
          <cell r="C487" t="str">
            <v>Past</v>
          </cell>
          <cell r="D487">
            <v>15.73</v>
          </cell>
          <cell r="E487" t="e">
            <v>#N/A</v>
          </cell>
          <cell r="F487" t="e">
            <v>#N/A</v>
          </cell>
          <cell r="G487" t="e">
            <v>#N/A</v>
          </cell>
          <cell r="H487" t="e">
            <v>#N/A</v>
          </cell>
          <cell r="I487" t="e">
            <v>#N/A</v>
          </cell>
          <cell r="J487" t="e">
            <v>#N/A</v>
          </cell>
          <cell r="K487" t="e">
            <v>#N/A</v>
          </cell>
          <cell r="L487" t="e">
            <v>#N/A</v>
          </cell>
          <cell r="M487" t="e">
            <v>#N/A</v>
          </cell>
          <cell r="N487" t="e">
            <v>#N/A</v>
          </cell>
          <cell r="O487" t="e">
            <v>#N/A</v>
          </cell>
          <cell r="P487">
            <v>15.73</v>
          </cell>
          <cell r="Q487">
            <v>1.107809</v>
          </cell>
          <cell r="R487" t="e">
            <v>#N/A</v>
          </cell>
        </row>
        <row r="488">
          <cell r="A488">
            <v>40679</v>
          </cell>
          <cell r="B488">
            <v>40679</v>
          </cell>
          <cell r="C488" t="str">
            <v>Past</v>
          </cell>
          <cell r="D488">
            <v>15.68</v>
          </cell>
          <cell r="E488" t="e">
            <v>#N/A</v>
          </cell>
          <cell r="F488" t="e">
            <v>#N/A</v>
          </cell>
          <cell r="G488" t="e">
            <v>#N/A</v>
          </cell>
          <cell r="H488" t="e">
            <v>#N/A</v>
          </cell>
          <cell r="I488" t="e">
            <v>#N/A</v>
          </cell>
          <cell r="J488" t="e">
            <v>#N/A</v>
          </cell>
          <cell r="K488" t="e">
            <v>#N/A</v>
          </cell>
          <cell r="L488" t="e">
            <v>#N/A</v>
          </cell>
          <cell r="M488" t="e">
            <v>#N/A</v>
          </cell>
          <cell r="N488" t="e">
            <v>#N/A</v>
          </cell>
          <cell r="O488" t="e">
            <v>#N/A</v>
          </cell>
          <cell r="P488">
            <v>15.68</v>
          </cell>
          <cell r="Q488">
            <v>0.97081499999999998</v>
          </cell>
          <cell r="R488" t="e">
            <v>#N/A</v>
          </cell>
        </row>
        <row r="489">
          <cell r="A489">
            <v>40680</v>
          </cell>
          <cell r="B489">
            <v>40680</v>
          </cell>
          <cell r="C489" t="str">
            <v>Past</v>
          </cell>
          <cell r="D489">
            <v>15.7</v>
          </cell>
          <cell r="E489" t="e">
            <v>#N/A</v>
          </cell>
          <cell r="F489" t="e">
            <v>#N/A</v>
          </cell>
          <cell r="G489" t="e">
            <v>#N/A</v>
          </cell>
          <cell r="H489" t="e">
            <v>#N/A</v>
          </cell>
          <cell r="I489" t="e">
            <v>#N/A</v>
          </cell>
          <cell r="J489" t="e">
            <v>#N/A</v>
          </cell>
          <cell r="K489" t="e">
            <v>#N/A</v>
          </cell>
          <cell r="L489" t="e">
            <v>#N/A</v>
          </cell>
          <cell r="M489" t="e">
            <v>#N/A</v>
          </cell>
          <cell r="N489" t="e">
            <v>#N/A</v>
          </cell>
          <cell r="O489" t="e">
            <v>#N/A</v>
          </cell>
          <cell r="P489">
            <v>15.7</v>
          </cell>
          <cell r="Q489">
            <v>1.0844129999999998</v>
          </cell>
          <cell r="R489" t="e">
            <v>#N/A</v>
          </cell>
        </row>
        <row r="490">
          <cell r="A490">
            <v>40681</v>
          </cell>
          <cell r="B490">
            <v>40681</v>
          </cell>
          <cell r="C490" t="str">
            <v>Past</v>
          </cell>
          <cell r="D490">
            <v>15.74</v>
          </cell>
          <cell r="E490" t="e">
            <v>#N/A</v>
          </cell>
          <cell r="F490" t="e">
            <v>#N/A</v>
          </cell>
          <cell r="G490" t="e">
            <v>#N/A</v>
          </cell>
          <cell r="H490" t="e">
            <v>#N/A</v>
          </cell>
          <cell r="I490" t="e">
            <v>#N/A</v>
          </cell>
          <cell r="J490" t="e">
            <v>#N/A</v>
          </cell>
          <cell r="K490" t="e">
            <v>#N/A</v>
          </cell>
          <cell r="L490" t="e">
            <v>#N/A</v>
          </cell>
          <cell r="M490" t="e">
            <v>#N/A</v>
          </cell>
          <cell r="N490" t="e">
            <v>#N/A</v>
          </cell>
          <cell r="O490" t="e">
            <v>#N/A</v>
          </cell>
          <cell r="P490">
            <v>15.74</v>
          </cell>
          <cell r="Q490">
            <v>1.2470839999999999</v>
          </cell>
          <cell r="R490" t="e">
            <v>#N/A</v>
          </cell>
        </row>
        <row r="491">
          <cell r="A491">
            <v>40682</v>
          </cell>
          <cell r="B491">
            <v>40682</v>
          </cell>
          <cell r="C491" t="str">
            <v>Past</v>
          </cell>
          <cell r="D491">
            <v>15.83</v>
          </cell>
          <cell r="E491" t="e">
            <v>#N/A</v>
          </cell>
          <cell r="F491" t="e">
            <v>#N/A</v>
          </cell>
          <cell r="G491" t="e">
            <v>#N/A</v>
          </cell>
          <cell r="H491" t="e">
            <v>#N/A</v>
          </cell>
          <cell r="I491" t="e">
            <v>#N/A</v>
          </cell>
          <cell r="J491" t="e">
            <v>#N/A</v>
          </cell>
          <cell r="K491" t="e">
            <v>#N/A</v>
          </cell>
          <cell r="L491" t="e">
            <v>#N/A</v>
          </cell>
          <cell r="M491" t="e">
            <v>#N/A</v>
          </cell>
          <cell r="N491" t="e">
            <v>#N/A</v>
          </cell>
          <cell r="O491" t="e">
            <v>#N/A</v>
          </cell>
          <cell r="P491">
            <v>15.83</v>
          </cell>
          <cell r="Q491">
            <v>1.4872179999999999</v>
          </cell>
          <cell r="R491" t="e">
            <v>#N/A</v>
          </cell>
        </row>
        <row r="492">
          <cell r="A492">
            <v>40683</v>
          </cell>
          <cell r="B492">
            <v>40683</v>
          </cell>
          <cell r="C492" t="str">
            <v>Past</v>
          </cell>
          <cell r="D492">
            <v>15.89</v>
          </cell>
          <cell r="E492" t="e">
            <v>#N/A</v>
          </cell>
          <cell r="F492" t="e">
            <v>#N/A</v>
          </cell>
          <cell r="G492" t="e">
            <v>#N/A</v>
          </cell>
          <cell r="H492" t="e">
            <v>#N/A</v>
          </cell>
          <cell r="I492" t="e">
            <v>#N/A</v>
          </cell>
          <cell r="J492" t="e">
            <v>#N/A</v>
          </cell>
          <cell r="K492" t="e">
            <v>#N/A</v>
          </cell>
          <cell r="L492" t="e">
            <v>#N/A</v>
          </cell>
          <cell r="M492" t="e">
            <v>#N/A</v>
          </cell>
          <cell r="N492" t="e">
            <v>#N/A</v>
          </cell>
          <cell r="O492" t="e">
            <v>#N/A</v>
          </cell>
          <cell r="P492">
            <v>15.89</v>
          </cell>
          <cell r="Q492">
            <v>1.526613</v>
          </cell>
          <cell r="R492" t="e">
            <v>#N/A</v>
          </cell>
        </row>
        <row r="493">
          <cell r="A493">
            <v>40686</v>
          </cell>
          <cell r="B493">
            <v>40686</v>
          </cell>
          <cell r="C493" t="str">
            <v>Past</v>
          </cell>
          <cell r="D493">
            <v>15.58</v>
          </cell>
          <cell r="E493" t="e">
            <v>#N/A</v>
          </cell>
          <cell r="F493" t="e">
            <v>#N/A</v>
          </cell>
          <cell r="G493" t="e">
            <v>#N/A</v>
          </cell>
          <cell r="H493" t="e">
            <v>#N/A</v>
          </cell>
          <cell r="I493" t="e">
            <v>#N/A</v>
          </cell>
          <cell r="J493" t="e">
            <v>#N/A</v>
          </cell>
          <cell r="K493" t="e">
            <v>#N/A</v>
          </cell>
          <cell r="L493" t="e">
            <v>#N/A</v>
          </cell>
          <cell r="M493" t="e">
            <v>#N/A</v>
          </cell>
          <cell r="N493" t="e">
            <v>#N/A</v>
          </cell>
          <cell r="O493" t="e">
            <v>#N/A</v>
          </cell>
          <cell r="P493">
            <v>15.58</v>
          </cell>
          <cell r="Q493">
            <v>0.90938699999999995</v>
          </cell>
          <cell r="R493" t="e">
            <v>#N/A</v>
          </cell>
        </row>
        <row r="494">
          <cell r="A494">
            <v>40687</v>
          </cell>
          <cell r="B494">
            <v>40687</v>
          </cell>
          <cell r="C494" t="str">
            <v>Past</v>
          </cell>
          <cell r="D494">
            <v>15.45</v>
          </cell>
          <cell r="E494" t="e">
            <v>#N/A</v>
          </cell>
          <cell r="F494" t="e">
            <v>#N/A</v>
          </cell>
          <cell r="G494" t="e">
            <v>#N/A</v>
          </cell>
          <cell r="H494" t="e">
            <v>#N/A</v>
          </cell>
          <cell r="I494" t="e">
            <v>#N/A</v>
          </cell>
          <cell r="J494" t="e">
            <v>#N/A</v>
          </cell>
          <cell r="K494" t="e">
            <v>#N/A</v>
          </cell>
          <cell r="L494" t="e">
            <v>#N/A</v>
          </cell>
          <cell r="M494" t="e">
            <v>#N/A</v>
          </cell>
          <cell r="N494" t="e">
            <v>#N/A</v>
          </cell>
          <cell r="O494" t="e">
            <v>#N/A</v>
          </cell>
          <cell r="P494">
            <v>15.45</v>
          </cell>
          <cell r="Q494">
            <v>1.10145</v>
          </cell>
          <cell r="R494" t="e">
            <v>#N/A</v>
          </cell>
        </row>
        <row r="495">
          <cell r="A495">
            <v>40688</v>
          </cell>
          <cell r="B495">
            <v>40688</v>
          </cell>
          <cell r="C495" t="str">
            <v>Past</v>
          </cell>
          <cell r="D495">
            <v>15.44</v>
          </cell>
          <cell r="E495" t="e">
            <v>#N/A</v>
          </cell>
          <cell r="F495" t="e">
            <v>#N/A</v>
          </cell>
          <cell r="G495" t="e">
            <v>#N/A</v>
          </cell>
          <cell r="H495" t="e">
            <v>#N/A</v>
          </cell>
          <cell r="I495" t="e">
            <v>#N/A</v>
          </cell>
          <cell r="J495" t="e">
            <v>#N/A</v>
          </cell>
          <cell r="K495" t="e">
            <v>#N/A</v>
          </cell>
          <cell r="L495" t="e">
            <v>#N/A</v>
          </cell>
          <cell r="M495" t="e">
            <v>#N/A</v>
          </cell>
          <cell r="N495" t="e">
            <v>#N/A</v>
          </cell>
          <cell r="O495" t="e">
            <v>#N/A</v>
          </cell>
          <cell r="P495">
            <v>15.44</v>
          </cell>
          <cell r="Q495">
            <v>0.66003800000000001</v>
          </cell>
          <cell r="R495" t="e">
            <v>#N/A</v>
          </cell>
        </row>
        <row r="496">
          <cell r="A496">
            <v>40689</v>
          </cell>
          <cell r="B496">
            <v>40689</v>
          </cell>
          <cell r="C496" t="str">
            <v>Past</v>
          </cell>
          <cell r="D496">
            <v>15.54</v>
          </cell>
          <cell r="E496" t="e">
            <v>#N/A</v>
          </cell>
          <cell r="F496" t="e">
            <v>#N/A</v>
          </cell>
          <cell r="G496" t="e">
            <v>#N/A</v>
          </cell>
          <cell r="H496" t="e">
            <v>#N/A</v>
          </cell>
          <cell r="I496" t="e">
            <v>#N/A</v>
          </cell>
          <cell r="J496" t="e">
            <v>#N/A</v>
          </cell>
          <cell r="K496" t="e">
            <v>#N/A</v>
          </cell>
          <cell r="L496" t="e">
            <v>#N/A</v>
          </cell>
          <cell r="M496" t="e">
            <v>#N/A</v>
          </cell>
          <cell r="N496" t="e">
            <v>#N/A</v>
          </cell>
          <cell r="O496" t="e">
            <v>#N/A</v>
          </cell>
          <cell r="P496">
            <v>15.54</v>
          </cell>
          <cell r="Q496">
            <v>1.0232129999999999</v>
          </cell>
          <cell r="R496" t="e">
            <v>#N/A</v>
          </cell>
        </row>
        <row r="497">
          <cell r="A497">
            <v>40690</v>
          </cell>
          <cell r="B497">
            <v>40690</v>
          </cell>
          <cell r="C497" t="str">
            <v>Past</v>
          </cell>
          <cell r="D497">
            <v>15.54</v>
          </cell>
          <cell r="E497" t="e">
            <v>#N/A</v>
          </cell>
          <cell r="F497" t="e">
            <v>#N/A</v>
          </cell>
          <cell r="G497" t="e">
            <v>#N/A</v>
          </cell>
          <cell r="H497" t="e">
            <v>#N/A</v>
          </cell>
          <cell r="I497" t="e">
            <v>#N/A</v>
          </cell>
          <cell r="J497" t="e">
            <v>#N/A</v>
          </cell>
          <cell r="K497" t="e">
            <v>#N/A</v>
          </cell>
          <cell r="L497" t="e">
            <v>#N/A</v>
          </cell>
          <cell r="M497" t="e">
            <v>#N/A</v>
          </cell>
          <cell r="N497" t="e">
            <v>#N/A</v>
          </cell>
          <cell r="O497" t="e">
            <v>#N/A</v>
          </cell>
          <cell r="P497">
            <v>15.54</v>
          </cell>
          <cell r="Q497">
            <v>0.67053600000000002</v>
          </cell>
          <cell r="R497" t="e">
            <v>#N/A</v>
          </cell>
        </row>
        <row r="498">
          <cell r="A498">
            <v>40694</v>
          </cell>
          <cell r="B498">
            <v>40694</v>
          </cell>
          <cell r="C498" t="str">
            <v>Past</v>
          </cell>
          <cell r="D498">
            <v>15.77</v>
          </cell>
          <cell r="E498" t="e">
            <v>#N/A</v>
          </cell>
          <cell r="F498" t="e">
            <v>#N/A</v>
          </cell>
          <cell r="G498" t="e">
            <v>#N/A</v>
          </cell>
          <cell r="H498" t="e">
            <v>#N/A</v>
          </cell>
          <cell r="I498" t="e">
            <v>#N/A</v>
          </cell>
          <cell r="J498" t="e">
            <v>#N/A</v>
          </cell>
          <cell r="K498" t="e">
            <v>#N/A</v>
          </cell>
          <cell r="L498" t="e">
            <v>#N/A</v>
          </cell>
          <cell r="M498" t="e">
            <v>#N/A</v>
          </cell>
          <cell r="N498" t="e">
            <v>#N/A</v>
          </cell>
          <cell r="O498" t="e">
            <v>#N/A</v>
          </cell>
          <cell r="P498">
            <v>15.77</v>
          </cell>
          <cell r="Q498">
            <v>1.214715</v>
          </cell>
          <cell r="R498" t="e">
            <v>#N/A</v>
          </cell>
        </row>
        <row r="499">
          <cell r="A499">
            <v>40695</v>
          </cell>
          <cell r="B499">
            <v>40695</v>
          </cell>
          <cell r="C499" t="str">
            <v>Past</v>
          </cell>
          <cell r="D499">
            <v>15.54</v>
          </cell>
          <cell r="E499" t="e">
            <v>#N/A</v>
          </cell>
          <cell r="F499" t="e">
            <v>#N/A</v>
          </cell>
          <cell r="G499" t="e">
            <v>#N/A</v>
          </cell>
          <cell r="H499" t="e">
            <v>#N/A</v>
          </cell>
          <cell r="I499" t="e">
            <v>#N/A</v>
          </cell>
          <cell r="J499" t="e">
            <v>#N/A</v>
          </cell>
          <cell r="K499" t="e">
            <v>#N/A</v>
          </cell>
          <cell r="L499" t="e">
            <v>#N/A</v>
          </cell>
          <cell r="M499" t="e">
            <v>#N/A</v>
          </cell>
          <cell r="N499" t="e">
            <v>#N/A</v>
          </cell>
          <cell r="O499" t="e">
            <v>#N/A</v>
          </cell>
          <cell r="P499">
            <v>15.54</v>
          </cell>
          <cell r="Q499">
            <v>1.767245</v>
          </cell>
          <cell r="R499" t="e">
            <v>#N/A</v>
          </cell>
        </row>
        <row r="500">
          <cell r="A500">
            <v>40696</v>
          </cell>
          <cell r="B500">
            <v>40696</v>
          </cell>
          <cell r="C500" t="str">
            <v>Past</v>
          </cell>
          <cell r="D500">
            <v>15.48</v>
          </cell>
          <cell r="E500" t="e">
            <v>#N/A</v>
          </cell>
          <cell r="F500" t="e">
            <v>#N/A</v>
          </cell>
          <cell r="G500" t="e">
            <v>#N/A</v>
          </cell>
          <cell r="H500" t="e">
            <v>#N/A</v>
          </cell>
          <cell r="I500" t="e">
            <v>#N/A</v>
          </cell>
          <cell r="J500" t="e">
            <v>#N/A</v>
          </cell>
          <cell r="K500" t="e">
            <v>#N/A</v>
          </cell>
          <cell r="L500" t="e">
            <v>#N/A</v>
          </cell>
          <cell r="M500" t="e">
            <v>#N/A</v>
          </cell>
          <cell r="N500" t="e">
            <v>#N/A</v>
          </cell>
          <cell r="O500" t="e">
            <v>#N/A</v>
          </cell>
          <cell r="P500">
            <v>15.48</v>
          </cell>
          <cell r="Q500">
            <v>1.4389000000000001</v>
          </cell>
          <cell r="R500" t="e">
            <v>#N/A</v>
          </cell>
        </row>
        <row r="501">
          <cell r="A501">
            <v>40697</v>
          </cell>
          <cell r="B501">
            <v>40697</v>
          </cell>
          <cell r="C501" t="str">
            <v>Past</v>
          </cell>
          <cell r="D501">
            <v>15.21</v>
          </cell>
          <cell r="E501" t="e">
            <v>#N/A</v>
          </cell>
          <cell r="F501" t="e">
            <v>#N/A</v>
          </cell>
          <cell r="G501" t="e">
            <v>#N/A</v>
          </cell>
          <cell r="H501" t="e">
            <v>#N/A</v>
          </cell>
          <cell r="I501" t="e">
            <v>#N/A</v>
          </cell>
          <cell r="J501" t="e">
            <v>#N/A</v>
          </cell>
          <cell r="K501" t="e">
            <v>#N/A</v>
          </cell>
          <cell r="L501" t="e">
            <v>#N/A</v>
          </cell>
          <cell r="M501" t="e">
            <v>#N/A</v>
          </cell>
          <cell r="N501" t="e">
            <v>#N/A</v>
          </cell>
          <cell r="O501" t="e">
            <v>#N/A</v>
          </cell>
          <cell r="P501">
            <v>15.21</v>
          </cell>
          <cell r="Q501">
            <v>1.2053719999999999</v>
          </cell>
          <cell r="R501" t="e">
            <v>#N/A</v>
          </cell>
        </row>
        <row r="502">
          <cell r="A502">
            <v>40700</v>
          </cell>
          <cell r="B502">
            <v>40700</v>
          </cell>
          <cell r="C502" t="str">
            <v>Past</v>
          </cell>
          <cell r="D502">
            <v>15.03</v>
          </cell>
          <cell r="E502" t="e">
            <v>#N/A</v>
          </cell>
          <cell r="F502" t="e">
            <v>#N/A</v>
          </cell>
          <cell r="G502" t="e">
            <v>#N/A</v>
          </cell>
          <cell r="H502" t="e">
            <v>#N/A</v>
          </cell>
          <cell r="I502" t="e">
            <v>#N/A</v>
          </cell>
          <cell r="J502" t="e">
            <v>#N/A</v>
          </cell>
          <cell r="K502" t="e">
            <v>#N/A</v>
          </cell>
          <cell r="L502" t="e">
            <v>#N/A</v>
          </cell>
          <cell r="M502" t="e">
            <v>#N/A</v>
          </cell>
          <cell r="N502" t="e">
            <v>#N/A</v>
          </cell>
          <cell r="O502" t="e">
            <v>#N/A</v>
          </cell>
          <cell r="P502">
            <v>15.03</v>
          </cell>
          <cell r="Q502">
            <v>1.5388409999999999</v>
          </cell>
          <cell r="R502" t="e">
            <v>#N/A</v>
          </cell>
        </row>
        <row r="503">
          <cell r="A503">
            <v>40701</v>
          </cell>
          <cell r="B503">
            <v>40701</v>
          </cell>
          <cell r="C503" t="str">
            <v>Past</v>
          </cell>
          <cell r="D503">
            <v>15.2</v>
          </cell>
          <cell r="E503" t="e">
            <v>#N/A</v>
          </cell>
          <cell r="F503" t="e">
            <v>#N/A</v>
          </cell>
          <cell r="G503" t="e">
            <v>#N/A</v>
          </cell>
          <cell r="H503" t="e">
            <v>#N/A</v>
          </cell>
          <cell r="I503" t="e">
            <v>#N/A</v>
          </cell>
          <cell r="J503" t="e">
            <v>#N/A</v>
          </cell>
          <cell r="K503" t="e">
            <v>#N/A</v>
          </cell>
          <cell r="L503" t="e">
            <v>#N/A</v>
          </cell>
          <cell r="M503" t="e">
            <v>#N/A</v>
          </cell>
          <cell r="N503" t="e">
            <v>#N/A</v>
          </cell>
          <cell r="O503" t="e">
            <v>#N/A</v>
          </cell>
          <cell r="P503">
            <v>15.2</v>
          </cell>
          <cell r="Q503">
            <v>3.3628109999999998</v>
          </cell>
          <cell r="R503" t="e">
            <v>#N/A</v>
          </cell>
        </row>
        <row r="504">
          <cell r="A504">
            <v>40702</v>
          </cell>
          <cell r="B504">
            <v>40702</v>
          </cell>
          <cell r="C504" t="str">
            <v>Past</v>
          </cell>
          <cell r="D504">
            <v>15.55</v>
          </cell>
          <cell r="E504" t="e">
            <v>#N/A</v>
          </cell>
          <cell r="F504" t="e">
            <v>#N/A</v>
          </cell>
          <cell r="G504" t="e">
            <v>#N/A</v>
          </cell>
          <cell r="H504" t="e">
            <v>#N/A</v>
          </cell>
          <cell r="I504" t="e">
            <v>#N/A</v>
          </cell>
          <cell r="J504" t="e">
            <v>#N/A</v>
          </cell>
          <cell r="K504" t="e">
            <v>#N/A</v>
          </cell>
          <cell r="L504" t="e">
            <v>#N/A</v>
          </cell>
          <cell r="M504" t="e">
            <v>#N/A</v>
          </cell>
          <cell r="N504" t="e">
            <v>#N/A</v>
          </cell>
          <cell r="O504" t="e">
            <v>#N/A</v>
          </cell>
          <cell r="P504">
            <v>15.55</v>
          </cell>
          <cell r="Q504">
            <v>3.4263000000000003</v>
          </cell>
          <cell r="R504" t="e">
            <v>#N/A</v>
          </cell>
        </row>
        <row r="505">
          <cell r="A505">
            <v>40703</v>
          </cell>
          <cell r="B505">
            <v>40703</v>
          </cell>
          <cell r="C505" t="str">
            <v>Past</v>
          </cell>
          <cell r="D505">
            <v>15.38</v>
          </cell>
          <cell r="E505" t="e">
            <v>#N/A</v>
          </cell>
          <cell r="F505" t="e">
            <v>#N/A</v>
          </cell>
          <cell r="G505" t="e">
            <v>#N/A</v>
          </cell>
          <cell r="H505" t="e">
            <v>#N/A</v>
          </cell>
          <cell r="I505" t="e">
            <v>#N/A</v>
          </cell>
          <cell r="J505" t="e">
            <v>#N/A</v>
          </cell>
          <cell r="K505" t="e">
            <v>#N/A</v>
          </cell>
          <cell r="L505" t="e">
            <v>#N/A</v>
          </cell>
          <cell r="M505" t="e">
            <v>#N/A</v>
          </cell>
          <cell r="N505" t="e">
            <v>#N/A</v>
          </cell>
          <cell r="O505" t="e">
            <v>#N/A</v>
          </cell>
          <cell r="P505">
            <v>15.38</v>
          </cell>
          <cell r="Q505">
            <v>4.3216890000000001</v>
          </cell>
          <cell r="R505" t="e">
            <v>#N/A</v>
          </cell>
        </row>
        <row r="506">
          <cell r="A506">
            <v>40704</v>
          </cell>
          <cell r="B506">
            <v>40704</v>
          </cell>
          <cell r="C506" t="str">
            <v>Past</v>
          </cell>
          <cell r="D506">
            <v>15.69</v>
          </cell>
          <cell r="E506" t="e">
            <v>#N/A</v>
          </cell>
          <cell r="F506" t="e">
            <v>#N/A</v>
          </cell>
          <cell r="G506" t="e">
            <v>#N/A</v>
          </cell>
          <cell r="H506" t="e">
            <v>#N/A</v>
          </cell>
          <cell r="I506" t="e">
            <v>#N/A</v>
          </cell>
          <cell r="J506" t="e">
            <v>#N/A</v>
          </cell>
          <cell r="K506" t="e">
            <v>#N/A</v>
          </cell>
          <cell r="L506" t="e">
            <v>#N/A</v>
          </cell>
          <cell r="M506" t="e">
            <v>#N/A</v>
          </cell>
          <cell r="N506" t="e">
            <v>#N/A</v>
          </cell>
          <cell r="O506" t="e">
            <v>#N/A</v>
          </cell>
          <cell r="P506">
            <v>15.69</v>
          </cell>
          <cell r="Q506">
            <v>4.2505619999999995</v>
          </cell>
          <cell r="R506" t="e">
            <v>#N/A</v>
          </cell>
        </row>
        <row r="507">
          <cell r="A507">
            <v>40707</v>
          </cell>
          <cell r="B507">
            <v>40707</v>
          </cell>
          <cell r="C507" t="str">
            <v>Past</v>
          </cell>
          <cell r="D507">
            <v>15.65</v>
          </cell>
          <cell r="E507" t="e">
            <v>#N/A</v>
          </cell>
          <cell r="F507" t="e">
            <v>#N/A</v>
          </cell>
          <cell r="G507" t="e">
            <v>#N/A</v>
          </cell>
          <cell r="H507" t="e">
            <v>#N/A</v>
          </cell>
          <cell r="I507" t="e">
            <v>#N/A</v>
          </cell>
          <cell r="J507" t="e">
            <v>#N/A</v>
          </cell>
          <cell r="K507" t="e">
            <v>#N/A</v>
          </cell>
          <cell r="L507" t="e">
            <v>#N/A</v>
          </cell>
          <cell r="M507" t="e">
            <v>#N/A</v>
          </cell>
          <cell r="N507" t="e">
            <v>#N/A</v>
          </cell>
          <cell r="O507" t="e">
            <v>#N/A</v>
          </cell>
          <cell r="P507">
            <v>15.65</v>
          </cell>
          <cell r="Q507">
            <v>4.1095300000000003</v>
          </cell>
          <cell r="R507" t="e">
            <v>#N/A</v>
          </cell>
        </row>
        <row r="508">
          <cell r="A508">
            <v>40708</v>
          </cell>
          <cell r="B508">
            <v>40708</v>
          </cell>
          <cell r="C508" t="str">
            <v>Past</v>
          </cell>
          <cell r="D508">
            <v>15.54</v>
          </cell>
          <cell r="E508" t="e">
            <v>#N/A</v>
          </cell>
          <cell r="F508" t="e">
            <v>#N/A</v>
          </cell>
          <cell r="G508" t="e">
            <v>#N/A</v>
          </cell>
          <cell r="H508" t="e">
            <v>#N/A</v>
          </cell>
          <cell r="I508" t="e">
            <v>#N/A</v>
          </cell>
          <cell r="J508" t="e">
            <v>#N/A</v>
          </cell>
          <cell r="K508" t="e">
            <v>#N/A</v>
          </cell>
          <cell r="L508" t="e">
            <v>#N/A</v>
          </cell>
          <cell r="M508" t="e">
            <v>#N/A</v>
          </cell>
          <cell r="N508" t="e">
            <v>#N/A</v>
          </cell>
          <cell r="O508" t="e">
            <v>#N/A</v>
          </cell>
          <cell r="P508">
            <v>15.54</v>
          </cell>
          <cell r="Q508">
            <v>4.4835189999999994</v>
          </cell>
          <cell r="R508" t="e">
            <v>#N/A</v>
          </cell>
        </row>
        <row r="509">
          <cell r="A509">
            <v>40709</v>
          </cell>
          <cell r="B509">
            <v>40709</v>
          </cell>
          <cell r="C509" t="str">
            <v>Past</v>
          </cell>
          <cell r="D509">
            <v>15.37</v>
          </cell>
          <cell r="E509" t="e">
            <v>#N/A</v>
          </cell>
          <cell r="F509" t="e">
            <v>#N/A</v>
          </cell>
          <cell r="G509" t="e">
            <v>#N/A</v>
          </cell>
          <cell r="H509" t="e">
            <v>#N/A</v>
          </cell>
          <cell r="I509" t="e">
            <v>#N/A</v>
          </cell>
          <cell r="J509" t="e">
            <v>#N/A</v>
          </cell>
          <cell r="K509" t="e">
            <v>#N/A</v>
          </cell>
          <cell r="L509" t="e">
            <v>#N/A</v>
          </cell>
          <cell r="M509" t="e">
            <v>#N/A</v>
          </cell>
          <cell r="N509" t="e">
            <v>#N/A</v>
          </cell>
          <cell r="O509" t="e">
            <v>#N/A</v>
          </cell>
          <cell r="P509">
            <v>15.37</v>
          </cell>
          <cell r="Q509">
            <v>2.9629879999999997</v>
          </cell>
          <cell r="R509" t="e">
            <v>#N/A</v>
          </cell>
        </row>
        <row r="510">
          <cell r="A510">
            <v>40710</v>
          </cell>
          <cell r="B510">
            <v>40710</v>
          </cell>
          <cell r="C510" t="str">
            <v>Past</v>
          </cell>
          <cell r="D510">
            <v>15.4</v>
          </cell>
          <cell r="E510" t="e">
            <v>#N/A</v>
          </cell>
          <cell r="F510" t="e">
            <v>#N/A</v>
          </cell>
          <cell r="G510" t="e">
            <v>#N/A</v>
          </cell>
          <cell r="H510" t="e">
            <v>#N/A</v>
          </cell>
          <cell r="I510" t="e">
            <v>#N/A</v>
          </cell>
          <cell r="J510" t="e">
            <v>#N/A</v>
          </cell>
          <cell r="K510" t="e">
            <v>#N/A</v>
          </cell>
          <cell r="L510" t="e">
            <v>#N/A</v>
          </cell>
          <cell r="M510" t="e">
            <v>#N/A</v>
          </cell>
          <cell r="N510" t="e">
            <v>#N/A</v>
          </cell>
          <cell r="O510" t="e">
            <v>#N/A</v>
          </cell>
          <cell r="P510">
            <v>15.4</v>
          </cell>
          <cell r="Q510">
            <v>2.338606</v>
          </cell>
          <cell r="R510" t="e">
            <v>#N/A</v>
          </cell>
        </row>
        <row r="511">
          <cell r="A511">
            <v>40711</v>
          </cell>
          <cell r="B511">
            <v>40711</v>
          </cell>
          <cell r="C511" t="str">
            <v>Past</v>
          </cell>
          <cell r="D511">
            <v>15.45</v>
          </cell>
          <cell r="E511" t="e">
            <v>#N/A</v>
          </cell>
          <cell r="F511" t="e">
            <v>#N/A</v>
          </cell>
          <cell r="G511" t="e">
            <v>#N/A</v>
          </cell>
          <cell r="H511" t="e">
            <v>#N/A</v>
          </cell>
          <cell r="I511" t="e">
            <v>#N/A</v>
          </cell>
          <cell r="J511" t="e">
            <v>#N/A</v>
          </cell>
          <cell r="K511" t="e">
            <v>#N/A</v>
          </cell>
          <cell r="L511" t="e">
            <v>#N/A</v>
          </cell>
          <cell r="M511" t="e">
            <v>#N/A</v>
          </cell>
          <cell r="N511" t="e">
            <v>#N/A</v>
          </cell>
          <cell r="O511" t="e">
            <v>#N/A</v>
          </cell>
          <cell r="P511">
            <v>15.45</v>
          </cell>
          <cell r="Q511">
            <v>2.8604409999999998</v>
          </cell>
          <cell r="R511" t="e">
            <v>#N/A</v>
          </cell>
        </row>
        <row r="512">
          <cell r="A512">
            <v>40714</v>
          </cell>
          <cell r="B512">
            <v>40714</v>
          </cell>
          <cell r="C512" t="str">
            <v>Past</v>
          </cell>
          <cell r="D512">
            <v>15.4</v>
          </cell>
          <cell r="E512" t="e">
            <v>#N/A</v>
          </cell>
          <cell r="F512" t="e">
            <v>#N/A</v>
          </cell>
          <cell r="G512" t="e">
            <v>#N/A</v>
          </cell>
          <cell r="H512" t="e">
            <v>#N/A</v>
          </cell>
          <cell r="I512" t="e">
            <v>#N/A</v>
          </cell>
          <cell r="J512" t="e">
            <v>#N/A</v>
          </cell>
          <cell r="K512" t="e">
            <v>#N/A</v>
          </cell>
          <cell r="L512" t="e">
            <v>#N/A</v>
          </cell>
          <cell r="M512" t="e">
            <v>#N/A</v>
          </cell>
          <cell r="N512" t="e">
            <v>#N/A</v>
          </cell>
          <cell r="O512" t="e">
            <v>#N/A</v>
          </cell>
          <cell r="P512">
            <v>15.4</v>
          </cell>
          <cell r="Q512">
            <v>3.7483</v>
          </cell>
          <cell r="R512" t="e">
            <v>#N/A</v>
          </cell>
        </row>
        <row r="513">
          <cell r="A513">
            <v>40715</v>
          </cell>
          <cell r="B513">
            <v>40715</v>
          </cell>
          <cell r="C513" t="str">
            <v>Past</v>
          </cell>
          <cell r="D513">
            <v>15.5</v>
          </cell>
          <cell r="E513" t="e">
            <v>#N/A</v>
          </cell>
          <cell r="F513" t="e">
            <v>#N/A</v>
          </cell>
          <cell r="G513" t="e">
            <v>#N/A</v>
          </cell>
          <cell r="H513" t="e">
            <v>#N/A</v>
          </cell>
          <cell r="I513" t="e">
            <v>#N/A</v>
          </cell>
          <cell r="J513" t="e">
            <v>#N/A</v>
          </cell>
          <cell r="K513" t="e">
            <v>#N/A</v>
          </cell>
          <cell r="L513" t="e">
            <v>#N/A</v>
          </cell>
          <cell r="M513" t="e">
            <v>#N/A</v>
          </cell>
          <cell r="N513" t="e">
            <v>#N/A</v>
          </cell>
          <cell r="O513" t="e">
            <v>#N/A</v>
          </cell>
          <cell r="P513">
            <v>15.5</v>
          </cell>
          <cell r="Q513">
            <v>4.0320909999999994</v>
          </cell>
          <cell r="R513" t="e">
            <v>#N/A</v>
          </cell>
        </row>
        <row r="514">
          <cell r="A514">
            <v>40716</v>
          </cell>
          <cell r="B514">
            <v>40716</v>
          </cell>
          <cell r="C514" t="str">
            <v>Past</v>
          </cell>
          <cell r="D514">
            <v>15.32</v>
          </cell>
          <cell r="E514" t="e">
            <v>#N/A</v>
          </cell>
          <cell r="F514" t="e">
            <v>#N/A</v>
          </cell>
          <cell r="G514" t="e">
            <v>#N/A</v>
          </cell>
          <cell r="H514" t="e">
            <v>#N/A</v>
          </cell>
          <cell r="I514" t="e">
            <v>#N/A</v>
          </cell>
          <cell r="J514" t="e">
            <v>#N/A</v>
          </cell>
          <cell r="K514" t="e">
            <v>#N/A</v>
          </cell>
          <cell r="L514" t="e">
            <v>#N/A</v>
          </cell>
          <cell r="M514" t="e">
            <v>#N/A</v>
          </cell>
          <cell r="N514" t="e">
            <v>#N/A</v>
          </cell>
          <cell r="O514" t="e">
            <v>#N/A</v>
          </cell>
          <cell r="P514">
            <v>15.32</v>
          </cell>
          <cell r="Q514">
            <v>2.2638000000000003</v>
          </cell>
          <cell r="R514" t="e">
            <v>#N/A</v>
          </cell>
        </row>
        <row r="515">
          <cell r="A515">
            <v>40717</v>
          </cell>
          <cell r="B515">
            <v>40717</v>
          </cell>
          <cell r="C515" t="str">
            <v>Past</v>
          </cell>
          <cell r="D515">
            <v>15.1</v>
          </cell>
          <cell r="E515" t="e">
            <v>#N/A</v>
          </cell>
          <cell r="F515" t="e">
            <v>#N/A</v>
          </cell>
          <cell r="G515" t="e">
            <v>#N/A</v>
          </cell>
          <cell r="H515" t="e">
            <v>#N/A</v>
          </cell>
          <cell r="I515" t="e">
            <v>#N/A</v>
          </cell>
          <cell r="J515" t="e">
            <v>#N/A</v>
          </cell>
          <cell r="K515" t="e">
            <v>#N/A</v>
          </cell>
          <cell r="L515" t="e">
            <v>#N/A</v>
          </cell>
          <cell r="M515" t="e">
            <v>#N/A</v>
          </cell>
          <cell r="N515" t="e">
            <v>#N/A</v>
          </cell>
          <cell r="O515" t="e">
            <v>#N/A</v>
          </cell>
          <cell r="P515">
            <v>15.1</v>
          </cell>
          <cell r="Q515">
            <v>3.6845919999999999</v>
          </cell>
          <cell r="R515" t="e">
            <v>#N/A</v>
          </cell>
        </row>
        <row r="516">
          <cell r="A516">
            <v>40718</v>
          </cell>
          <cell r="B516">
            <v>40718</v>
          </cell>
          <cell r="C516" t="str">
            <v>Past</v>
          </cell>
          <cell r="D516">
            <v>15.1</v>
          </cell>
          <cell r="E516" t="e">
            <v>#N/A</v>
          </cell>
          <cell r="F516" t="e">
            <v>#N/A</v>
          </cell>
          <cell r="G516" t="e">
            <v>#N/A</v>
          </cell>
          <cell r="H516" t="e">
            <v>#N/A</v>
          </cell>
          <cell r="I516" t="e">
            <v>#N/A</v>
          </cell>
          <cell r="J516" t="e">
            <v>#N/A</v>
          </cell>
          <cell r="K516" t="e">
            <v>#N/A</v>
          </cell>
          <cell r="L516" t="e">
            <v>#N/A</v>
          </cell>
          <cell r="M516" t="e">
            <v>#N/A</v>
          </cell>
          <cell r="N516" t="e">
            <v>#N/A</v>
          </cell>
          <cell r="O516" t="e">
            <v>#N/A</v>
          </cell>
          <cell r="P516">
            <v>15.1</v>
          </cell>
          <cell r="Q516">
            <v>2.8938419999999998</v>
          </cell>
          <cell r="R516" t="e">
            <v>#N/A</v>
          </cell>
        </row>
        <row r="517">
          <cell r="A517">
            <v>40721</v>
          </cell>
          <cell r="B517">
            <v>40721</v>
          </cell>
          <cell r="C517" t="str">
            <v>Past</v>
          </cell>
          <cell r="D517">
            <v>15.23</v>
          </cell>
          <cell r="E517" t="e">
            <v>#N/A</v>
          </cell>
          <cell r="F517" t="e">
            <v>#N/A</v>
          </cell>
          <cell r="G517" t="e">
            <v>#N/A</v>
          </cell>
          <cell r="H517" t="e">
            <v>#N/A</v>
          </cell>
          <cell r="I517" t="e">
            <v>#N/A</v>
          </cell>
          <cell r="J517" t="e">
            <v>#N/A</v>
          </cell>
          <cell r="K517" t="e">
            <v>#N/A</v>
          </cell>
          <cell r="L517" t="e">
            <v>#N/A</v>
          </cell>
          <cell r="M517" t="e">
            <v>#N/A</v>
          </cell>
          <cell r="N517" t="e">
            <v>#N/A</v>
          </cell>
          <cell r="O517" t="e">
            <v>#N/A</v>
          </cell>
          <cell r="P517">
            <v>15.23</v>
          </cell>
          <cell r="Q517">
            <v>1.7149000000000001</v>
          </cell>
          <cell r="R517" t="e">
            <v>#N/A</v>
          </cell>
        </row>
        <row r="518">
          <cell r="A518">
            <v>40722</v>
          </cell>
          <cell r="B518">
            <v>40722</v>
          </cell>
          <cell r="C518" t="str">
            <v>Past</v>
          </cell>
          <cell r="D518">
            <v>15.24</v>
          </cell>
          <cell r="E518" t="e">
            <v>#N/A</v>
          </cell>
          <cell r="F518" t="e">
            <v>#N/A</v>
          </cell>
          <cell r="G518" t="e">
            <v>#N/A</v>
          </cell>
          <cell r="H518" t="e">
            <v>#N/A</v>
          </cell>
          <cell r="I518" t="e">
            <v>#N/A</v>
          </cell>
          <cell r="J518" t="e">
            <v>#N/A</v>
          </cell>
          <cell r="K518" t="e">
            <v>#N/A</v>
          </cell>
          <cell r="L518" t="e">
            <v>#N/A</v>
          </cell>
          <cell r="M518" t="e">
            <v>#N/A</v>
          </cell>
          <cell r="N518" t="e">
            <v>#N/A</v>
          </cell>
          <cell r="O518" t="e">
            <v>#N/A</v>
          </cell>
          <cell r="P518">
            <v>15.24</v>
          </cell>
          <cell r="Q518">
            <v>2.6037949999999999</v>
          </cell>
          <cell r="R518" t="e">
            <v>#N/A</v>
          </cell>
        </row>
        <row r="519">
          <cell r="A519">
            <v>40723</v>
          </cell>
          <cell r="B519">
            <v>40723</v>
          </cell>
          <cell r="C519" t="str">
            <v>Past</v>
          </cell>
          <cell r="D519">
            <v>15.31</v>
          </cell>
          <cell r="E519" t="e">
            <v>#N/A</v>
          </cell>
          <cell r="F519" t="e">
            <v>#N/A</v>
          </cell>
          <cell r="G519" t="e">
            <v>#N/A</v>
          </cell>
          <cell r="H519" t="e">
            <v>#N/A</v>
          </cell>
          <cell r="I519" t="e">
            <v>#N/A</v>
          </cell>
          <cell r="J519" t="e">
            <v>#N/A</v>
          </cell>
          <cell r="K519" t="e">
            <v>#N/A</v>
          </cell>
          <cell r="L519" t="e">
            <v>#N/A</v>
          </cell>
          <cell r="M519" t="e">
            <v>#N/A</v>
          </cell>
          <cell r="N519" t="e">
            <v>#N/A</v>
          </cell>
          <cell r="O519" t="e">
            <v>#N/A</v>
          </cell>
          <cell r="P519">
            <v>15.31</v>
          </cell>
          <cell r="Q519">
            <v>2.3394059999999999</v>
          </cell>
          <cell r="R519" t="e">
            <v>#N/A</v>
          </cell>
        </row>
        <row r="520">
          <cell r="A520">
            <v>40724</v>
          </cell>
          <cell r="B520">
            <v>40724</v>
          </cell>
          <cell r="C520" t="str">
            <v>Past</v>
          </cell>
          <cell r="D520">
            <v>15.35</v>
          </cell>
          <cell r="E520" t="e">
            <v>#N/A</v>
          </cell>
          <cell r="F520" t="e">
            <v>#N/A</v>
          </cell>
          <cell r="G520" t="e">
            <v>#N/A</v>
          </cell>
          <cell r="H520" t="e">
            <v>#N/A</v>
          </cell>
          <cell r="I520" t="e">
            <v>#N/A</v>
          </cell>
          <cell r="J520" t="e">
            <v>#N/A</v>
          </cell>
          <cell r="K520" t="e">
            <v>#N/A</v>
          </cell>
          <cell r="L520" t="e">
            <v>#N/A</v>
          </cell>
          <cell r="M520" t="e">
            <v>#N/A</v>
          </cell>
          <cell r="N520" t="e">
            <v>#N/A</v>
          </cell>
          <cell r="O520" t="e">
            <v>#N/A</v>
          </cell>
          <cell r="P520">
            <v>15.35</v>
          </cell>
          <cell r="Q520">
            <v>2.2514089999999998</v>
          </cell>
          <cell r="R520" t="e">
            <v>#N/A</v>
          </cell>
        </row>
        <row r="521">
          <cell r="A521">
            <v>40725</v>
          </cell>
          <cell r="B521">
            <v>40725</v>
          </cell>
          <cell r="C521" t="str">
            <v>Past</v>
          </cell>
          <cell r="D521">
            <v>15.59</v>
          </cell>
          <cell r="E521" t="e">
            <v>#N/A</v>
          </cell>
          <cell r="F521" t="e">
            <v>#N/A</v>
          </cell>
          <cell r="G521" t="e">
            <v>#N/A</v>
          </cell>
          <cell r="H521" t="e">
            <v>#N/A</v>
          </cell>
          <cell r="I521" t="e">
            <v>#N/A</v>
          </cell>
          <cell r="J521" t="e">
            <v>#N/A</v>
          </cell>
          <cell r="K521" t="e">
            <v>#N/A</v>
          </cell>
          <cell r="L521" t="e">
            <v>#N/A</v>
          </cell>
          <cell r="M521" t="e">
            <v>#N/A</v>
          </cell>
          <cell r="N521" t="e">
            <v>#N/A</v>
          </cell>
          <cell r="O521" t="e">
            <v>#N/A</v>
          </cell>
          <cell r="P521">
            <v>15.59</v>
          </cell>
          <cell r="Q521">
            <v>1.3990500000000001</v>
          </cell>
          <cell r="R521" t="e">
            <v>#N/A</v>
          </cell>
        </row>
        <row r="522">
          <cell r="A522">
            <v>40729</v>
          </cell>
          <cell r="B522">
            <v>40729</v>
          </cell>
          <cell r="C522" t="str">
            <v>Past</v>
          </cell>
          <cell r="D522">
            <v>15.55</v>
          </cell>
          <cell r="E522" t="e">
            <v>#N/A</v>
          </cell>
          <cell r="F522" t="e">
            <v>#N/A</v>
          </cell>
          <cell r="G522" t="e">
            <v>#N/A</v>
          </cell>
          <cell r="H522" t="e">
            <v>#N/A</v>
          </cell>
          <cell r="I522" t="e">
            <v>#N/A</v>
          </cell>
          <cell r="J522" t="e">
            <v>#N/A</v>
          </cell>
          <cell r="K522" t="e">
            <v>#N/A</v>
          </cell>
          <cell r="L522" t="e">
            <v>#N/A</v>
          </cell>
          <cell r="M522" t="e">
            <v>#N/A</v>
          </cell>
          <cell r="N522" t="e">
            <v>#N/A</v>
          </cell>
          <cell r="O522" t="e">
            <v>#N/A</v>
          </cell>
          <cell r="P522">
            <v>15.55</v>
          </cell>
          <cell r="Q522">
            <v>1.5489000000000002</v>
          </cell>
          <cell r="R522" t="e">
            <v>#N/A</v>
          </cell>
        </row>
        <row r="523">
          <cell r="A523">
            <v>40730</v>
          </cell>
          <cell r="B523">
            <v>40730</v>
          </cell>
          <cell r="C523" t="str">
            <v>Past</v>
          </cell>
          <cell r="D523">
            <v>15.59</v>
          </cell>
          <cell r="E523" t="e">
            <v>#N/A</v>
          </cell>
          <cell r="F523" t="e">
            <v>#N/A</v>
          </cell>
          <cell r="G523" t="e">
            <v>#N/A</v>
          </cell>
          <cell r="H523" t="e">
            <v>#N/A</v>
          </cell>
          <cell r="I523" t="e">
            <v>#N/A</v>
          </cell>
          <cell r="J523" t="e">
            <v>#N/A</v>
          </cell>
          <cell r="K523" t="e">
            <v>#N/A</v>
          </cell>
          <cell r="L523" t="e">
            <v>#N/A</v>
          </cell>
          <cell r="M523" t="e">
            <v>#N/A</v>
          </cell>
          <cell r="N523" t="e">
            <v>#N/A</v>
          </cell>
          <cell r="O523" t="e">
            <v>#N/A</v>
          </cell>
          <cell r="P523">
            <v>15.59</v>
          </cell>
          <cell r="Q523">
            <v>1.2207249999999998</v>
          </cell>
          <cell r="R523" t="e">
            <v>#N/A</v>
          </cell>
        </row>
        <row r="524">
          <cell r="A524">
            <v>40731</v>
          </cell>
          <cell r="B524">
            <v>40731</v>
          </cell>
          <cell r="C524" t="str">
            <v>Past</v>
          </cell>
          <cell r="D524">
            <v>15.61</v>
          </cell>
          <cell r="E524" t="e">
            <v>#N/A</v>
          </cell>
          <cell r="F524" t="e">
            <v>#N/A</v>
          </cell>
          <cell r="G524" t="e">
            <v>#N/A</v>
          </cell>
          <cell r="H524" t="e">
            <v>#N/A</v>
          </cell>
          <cell r="I524" t="e">
            <v>#N/A</v>
          </cell>
          <cell r="J524" t="e">
            <v>#N/A</v>
          </cell>
          <cell r="K524" t="e">
            <v>#N/A</v>
          </cell>
          <cell r="L524" t="e">
            <v>#N/A</v>
          </cell>
          <cell r="M524" t="e">
            <v>#N/A</v>
          </cell>
          <cell r="N524" t="e">
            <v>#N/A</v>
          </cell>
          <cell r="O524" t="e">
            <v>#N/A</v>
          </cell>
          <cell r="P524">
            <v>15.61</v>
          </cell>
          <cell r="Q524">
            <v>1.3784529999999999</v>
          </cell>
          <cell r="R524" t="e">
            <v>#N/A</v>
          </cell>
        </row>
        <row r="525">
          <cell r="A525">
            <v>40732</v>
          </cell>
          <cell r="B525">
            <v>40732</v>
          </cell>
          <cell r="C525" t="str">
            <v>Past</v>
          </cell>
          <cell r="D525">
            <v>15.51</v>
          </cell>
          <cell r="E525" t="e">
            <v>#N/A</v>
          </cell>
          <cell r="F525" t="e">
            <v>#N/A</v>
          </cell>
          <cell r="G525" t="e">
            <v>#N/A</v>
          </cell>
          <cell r="H525" t="e">
            <v>#N/A</v>
          </cell>
          <cell r="I525" t="e">
            <v>#N/A</v>
          </cell>
          <cell r="J525" t="e">
            <v>#N/A</v>
          </cell>
          <cell r="K525" t="e">
            <v>#N/A</v>
          </cell>
          <cell r="L525" t="e">
            <v>#N/A</v>
          </cell>
          <cell r="M525" t="e">
            <v>#N/A</v>
          </cell>
          <cell r="N525" t="e">
            <v>#N/A</v>
          </cell>
          <cell r="O525" t="e">
            <v>#N/A</v>
          </cell>
          <cell r="P525">
            <v>15.51</v>
          </cell>
          <cell r="Q525">
            <v>1.8003829999999998</v>
          </cell>
          <cell r="R525" t="e">
            <v>#N/A</v>
          </cell>
        </row>
        <row r="526">
          <cell r="A526">
            <v>40735</v>
          </cell>
          <cell r="B526">
            <v>40735</v>
          </cell>
          <cell r="C526" t="str">
            <v>Past</v>
          </cell>
          <cell r="D526">
            <v>15.24</v>
          </cell>
          <cell r="E526" t="e">
            <v>#N/A</v>
          </cell>
          <cell r="F526" t="e">
            <v>#N/A</v>
          </cell>
          <cell r="G526" t="e">
            <v>#N/A</v>
          </cell>
          <cell r="H526" t="e">
            <v>#N/A</v>
          </cell>
          <cell r="I526" t="e">
            <v>#N/A</v>
          </cell>
          <cell r="J526" t="e">
            <v>#N/A</v>
          </cell>
          <cell r="K526" t="e">
            <v>#N/A</v>
          </cell>
          <cell r="L526" t="e">
            <v>#N/A</v>
          </cell>
          <cell r="M526" t="e">
            <v>#N/A</v>
          </cell>
          <cell r="N526" t="e">
            <v>#N/A</v>
          </cell>
          <cell r="O526" t="e">
            <v>#N/A</v>
          </cell>
          <cell r="P526">
            <v>15.24</v>
          </cell>
          <cell r="Q526">
            <v>1.3767149999999999</v>
          </cell>
          <cell r="R526" t="e">
            <v>#N/A</v>
          </cell>
        </row>
        <row r="527">
          <cell r="A527">
            <v>40736</v>
          </cell>
          <cell r="B527">
            <v>40736</v>
          </cell>
          <cell r="C527" t="str">
            <v>Past</v>
          </cell>
          <cell r="D527">
            <v>15.29</v>
          </cell>
          <cell r="E527" t="e">
            <v>#N/A</v>
          </cell>
          <cell r="F527" t="e">
            <v>#N/A</v>
          </cell>
          <cell r="G527" t="e">
            <v>#N/A</v>
          </cell>
          <cell r="H527" t="e">
            <v>#N/A</v>
          </cell>
          <cell r="I527" t="e">
            <v>#N/A</v>
          </cell>
          <cell r="J527" t="e">
            <v>#N/A</v>
          </cell>
          <cell r="K527" t="e">
            <v>#N/A</v>
          </cell>
          <cell r="L527" t="e">
            <v>#N/A</v>
          </cell>
          <cell r="M527" t="e">
            <v>#N/A</v>
          </cell>
          <cell r="N527" t="e">
            <v>#N/A</v>
          </cell>
          <cell r="O527" t="e">
            <v>#N/A</v>
          </cell>
          <cell r="P527">
            <v>15.29</v>
          </cell>
          <cell r="Q527">
            <v>1.7635969999999999</v>
          </cell>
          <cell r="R527" t="e">
            <v>#N/A</v>
          </cell>
        </row>
        <row r="528">
          <cell r="A528">
            <v>40737</v>
          </cell>
          <cell r="B528">
            <v>40737</v>
          </cell>
          <cell r="C528" t="str">
            <v>Past</v>
          </cell>
          <cell r="D528">
            <v>15.3</v>
          </cell>
          <cell r="E528" t="e">
            <v>#N/A</v>
          </cell>
          <cell r="F528" t="e">
            <v>#N/A</v>
          </cell>
          <cell r="G528" t="e">
            <v>#N/A</v>
          </cell>
          <cell r="H528" t="e">
            <v>#N/A</v>
          </cell>
          <cell r="I528" t="e">
            <v>#N/A</v>
          </cell>
          <cell r="J528" t="e">
            <v>#N/A</v>
          </cell>
          <cell r="K528" t="e">
            <v>#N/A</v>
          </cell>
          <cell r="L528" t="e">
            <v>#N/A</v>
          </cell>
          <cell r="M528" t="e">
            <v>#N/A</v>
          </cell>
          <cell r="N528" t="e">
            <v>#N/A</v>
          </cell>
          <cell r="O528" t="e">
            <v>#N/A</v>
          </cell>
          <cell r="P528">
            <v>15.3</v>
          </cell>
          <cell r="Q528">
            <v>1.718731</v>
          </cell>
          <cell r="R528" t="e">
            <v>#N/A</v>
          </cell>
        </row>
        <row r="529">
          <cell r="A529">
            <v>40738</v>
          </cell>
          <cell r="B529">
            <v>40738</v>
          </cell>
          <cell r="C529" t="str">
            <v>Past</v>
          </cell>
          <cell r="D529">
            <v>15.16</v>
          </cell>
          <cell r="E529" t="e">
            <v>#N/A</v>
          </cell>
          <cell r="F529" t="e">
            <v>#N/A</v>
          </cell>
          <cell r="G529" t="e">
            <v>#N/A</v>
          </cell>
          <cell r="H529" t="e">
            <v>#N/A</v>
          </cell>
          <cell r="I529" t="e">
            <v>#N/A</v>
          </cell>
          <cell r="J529" t="e">
            <v>#N/A</v>
          </cell>
          <cell r="K529" t="e">
            <v>#N/A</v>
          </cell>
          <cell r="L529" t="e">
            <v>#N/A</v>
          </cell>
          <cell r="M529" t="e">
            <v>#N/A</v>
          </cell>
          <cell r="N529" t="e">
            <v>#N/A</v>
          </cell>
          <cell r="O529" t="e">
            <v>#N/A</v>
          </cell>
          <cell r="P529">
            <v>15.16</v>
          </cell>
          <cell r="Q529">
            <v>1.5739669999999999</v>
          </cell>
          <cell r="R529" t="e">
            <v>#N/A</v>
          </cell>
        </row>
        <row r="530">
          <cell r="A530">
            <v>40739</v>
          </cell>
          <cell r="B530">
            <v>40739</v>
          </cell>
          <cell r="C530" t="str">
            <v>Past</v>
          </cell>
          <cell r="D530">
            <v>15.22</v>
          </cell>
          <cell r="E530" t="e">
            <v>#N/A</v>
          </cell>
          <cell r="F530" t="e">
            <v>#N/A</v>
          </cell>
          <cell r="G530" t="e">
            <v>#N/A</v>
          </cell>
          <cell r="H530" t="e">
            <v>#N/A</v>
          </cell>
          <cell r="I530" t="e">
            <v>#N/A</v>
          </cell>
          <cell r="J530" t="e">
            <v>#N/A</v>
          </cell>
          <cell r="K530" t="e">
            <v>#N/A</v>
          </cell>
          <cell r="L530" t="e">
            <v>#N/A</v>
          </cell>
          <cell r="M530" t="e">
            <v>#N/A</v>
          </cell>
          <cell r="N530" t="e">
            <v>#N/A</v>
          </cell>
          <cell r="O530" t="e">
            <v>#N/A</v>
          </cell>
          <cell r="P530">
            <v>15.22</v>
          </cell>
          <cell r="Q530">
            <v>1.518662</v>
          </cell>
          <cell r="R530" t="e">
            <v>#N/A</v>
          </cell>
        </row>
        <row r="531">
          <cell r="A531">
            <v>40742</v>
          </cell>
          <cell r="B531">
            <v>40742</v>
          </cell>
          <cell r="C531" t="str">
            <v>Past</v>
          </cell>
          <cell r="D531">
            <v>15.08</v>
          </cell>
          <cell r="E531" t="e">
            <v>#N/A</v>
          </cell>
          <cell r="F531" t="e">
            <v>#N/A</v>
          </cell>
          <cell r="G531" t="e">
            <v>#N/A</v>
          </cell>
          <cell r="H531" t="e">
            <v>#N/A</v>
          </cell>
          <cell r="I531" t="e">
            <v>#N/A</v>
          </cell>
          <cell r="J531" t="e">
            <v>#N/A</v>
          </cell>
          <cell r="K531" t="e">
            <v>#N/A</v>
          </cell>
          <cell r="L531" t="e">
            <v>#N/A</v>
          </cell>
          <cell r="M531" t="e">
            <v>#N/A</v>
          </cell>
          <cell r="N531" t="e">
            <v>#N/A</v>
          </cell>
          <cell r="O531" t="e">
            <v>#N/A</v>
          </cell>
          <cell r="P531">
            <v>15.08</v>
          </cell>
          <cell r="Q531">
            <v>1.8748959999999999</v>
          </cell>
          <cell r="R531" t="e">
            <v>#N/A</v>
          </cell>
        </row>
        <row r="532">
          <cell r="A532">
            <v>40743</v>
          </cell>
          <cell r="B532">
            <v>40743</v>
          </cell>
          <cell r="C532" t="str">
            <v>Past</v>
          </cell>
          <cell r="D532">
            <v>15.12</v>
          </cell>
          <cell r="E532" t="e">
            <v>#N/A</v>
          </cell>
          <cell r="F532" t="e">
            <v>#N/A</v>
          </cell>
          <cell r="G532" t="e">
            <v>#N/A</v>
          </cell>
          <cell r="H532" t="e">
            <v>#N/A</v>
          </cell>
          <cell r="I532" t="e">
            <v>#N/A</v>
          </cell>
          <cell r="J532" t="e">
            <v>#N/A</v>
          </cell>
          <cell r="K532" t="e">
            <v>#N/A</v>
          </cell>
          <cell r="L532" t="e">
            <v>#N/A</v>
          </cell>
          <cell r="M532" t="e">
            <v>#N/A</v>
          </cell>
          <cell r="N532" t="e">
            <v>#N/A</v>
          </cell>
          <cell r="O532" t="e">
            <v>#N/A</v>
          </cell>
          <cell r="P532">
            <v>15.12</v>
          </cell>
          <cell r="Q532">
            <v>1.273741</v>
          </cell>
          <cell r="R532" t="e">
            <v>#N/A</v>
          </cell>
        </row>
        <row r="533">
          <cell r="A533">
            <v>40744</v>
          </cell>
          <cell r="B533">
            <v>40744</v>
          </cell>
          <cell r="C533" t="str">
            <v>Past</v>
          </cell>
          <cell r="D533">
            <v>15.34</v>
          </cell>
          <cell r="E533" t="e">
            <v>#N/A</v>
          </cell>
          <cell r="F533" t="e">
            <v>#N/A</v>
          </cell>
          <cell r="G533" t="e">
            <v>#N/A</v>
          </cell>
          <cell r="H533" t="e">
            <v>#N/A</v>
          </cell>
          <cell r="I533" t="e">
            <v>#N/A</v>
          </cell>
          <cell r="J533" t="e">
            <v>#N/A</v>
          </cell>
          <cell r="K533" t="e">
            <v>#N/A</v>
          </cell>
          <cell r="L533" t="e">
            <v>#N/A</v>
          </cell>
          <cell r="M533" t="e">
            <v>#N/A</v>
          </cell>
          <cell r="N533" t="e">
            <v>#N/A</v>
          </cell>
          <cell r="O533" t="e">
            <v>#N/A</v>
          </cell>
          <cell r="P533">
            <v>15.34</v>
          </cell>
          <cell r="Q533">
            <v>1.0193000000000001</v>
          </cell>
          <cell r="R533" t="e">
            <v>#N/A</v>
          </cell>
        </row>
        <row r="534">
          <cell r="A534">
            <v>40745</v>
          </cell>
          <cell r="B534">
            <v>40745</v>
          </cell>
          <cell r="C534" t="str">
            <v>Past</v>
          </cell>
          <cell r="D534">
            <v>15.47</v>
          </cell>
          <cell r="E534" t="e">
            <v>#N/A</v>
          </cell>
          <cell r="F534" t="e">
            <v>#N/A</v>
          </cell>
          <cell r="G534" t="e">
            <v>#N/A</v>
          </cell>
          <cell r="H534" t="e">
            <v>#N/A</v>
          </cell>
          <cell r="I534" t="e">
            <v>#N/A</v>
          </cell>
          <cell r="J534" t="e">
            <v>#N/A</v>
          </cell>
          <cell r="K534" t="e">
            <v>#N/A</v>
          </cell>
          <cell r="L534" t="e">
            <v>#N/A</v>
          </cell>
          <cell r="M534" t="e">
            <v>#N/A</v>
          </cell>
          <cell r="N534" t="e">
            <v>#N/A</v>
          </cell>
          <cell r="O534" t="e">
            <v>#N/A</v>
          </cell>
          <cell r="P534">
            <v>15.47</v>
          </cell>
          <cell r="Q534">
            <v>1.356128</v>
          </cell>
          <cell r="R534" t="e">
            <v>#N/A</v>
          </cell>
        </row>
        <row r="535">
          <cell r="A535">
            <v>40746</v>
          </cell>
          <cell r="B535">
            <v>40746</v>
          </cell>
          <cell r="C535" t="str">
            <v>Past</v>
          </cell>
          <cell r="D535">
            <v>15.27</v>
          </cell>
          <cell r="E535" t="e">
            <v>#N/A</v>
          </cell>
          <cell r="F535" t="e">
            <v>#N/A</v>
          </cell>
          <cell r="G535" t="e">
            <v>#N/A</v>
          </cell>
          <cell r="H535" t="e">
            <v>#N/A</v>
          </cell>
          <cell r="I535" t="e">
            <v>#N/A</v>
          </cell>
          <cell r="J535" t="e">
            <v>#N/A</v>
          </cell>
          <cell r="K535" t="e">
            <v>#N/A</v>
          </cell>
          <cell r="L535" t="e">
            <v>#N/A</v>
          </cell>
          <cell r="M535" t="e">
            <v>#N/A</v>
          </cell>
          <cell r="N535" t="e">
            <v>#N/A</v>
          </cell>
          <cell r="O535" t="e">
            <v>#N/A</v>
          </cell>
          <cell r="P535">
            <v>15.27</v>
          </cell>
          <cell r="Q535">
            <v>1.5000300000000002</v>
          </cell>
          <cell r="R535" t="e">
            <v>#N/A</v>
          </cell>
        </row>
        <row r="536">
          <cell r="A536">
            <v>40749</v>
          </cell>
          <cell r="B536">
            <v>40749</v>
          </cell>
          <cell r="C536" t="str">
            <v>Past</v>
          </cell>
          <cell r="D536">
            <v>15.17</v>
          </cell>
          <cell r="E536" t="e">
            <v>#N/A</v>
          </cell>
          <cell r="F536" t="e">
            <v>#N/A</v>
          </cell>
          <cell r="G536" t="e">
            <v>#N/A</v>
          </cell>
          <cell r="H536" t="e">
            <v>#N/A</v>
          </cell>
          <cell r="I536" t="e">
            <v>#N/A</v>
          </cell>
          <cell r="J536" t="e">
            <v>#N/A</v>
          </cell>
          <cell r="K536" t="e">
            <v>#N/A</v>
          </cell>
          <cell r="L536" t="e">
            <v>#N/A</v>
          </cell>
          <cell r="M536" t="e">
            <v>#N/A</v>
          </cell>
          <cell r="N536" t="e">
            <v>#N/A</v>
          </cell>
          <cell r="O536" t="e">
            <v>#N/A</v>
          </cell>
          <cell r="P536">
            <v>15.17</v>
          </cell>
          <cell r="Q536">
            <v>1.7525819999999999</v>
          </cell>
          <cell r="R536" t="e">
            <v>#N/A</v>
          </cell>
        </row>
        <row r="537">
          <cell r="A537">
            <v>40750</v>
          </cell>
          <cell r="B537">
            <v>40750</v>
          </cell>
          <cell r="C537" t="str">
            <v>Past</v>
          </cell>
          <cell r="D537">
            <v>15.11</v>
          </cell>
          <cell r="E537" t="e">
            <v>#N/A</v>
          </cell>
          <cell r="F537" t="e">
            <v>#N/A</v>
          </cell>
          <cell r="G537" t="e">
            <v>#N/A</v>
          </cell>
          <cell r="H537" t="e">
            <v>#N/A</v>
          </cell>
          <cell r="I537" t="e">
            <v>#N/A</v>
          </cell>
          <cell r="J537" t="e">
            <v>#N/A</v>
          </cell>
          <cell r="K537" t="e">
            <v>#N/A</v>
          </cell>
          <cell r="L537" t="e">
            <v>#N/A</v>
          </cell>
          <cell r="M537" t="e">
            <v>#N/A</v>
          </cell>
          <cell r="N537" t="e">
            <v>#N/A</v>
          </cell>
          <cell r="O537" t="e">
            <v>#N/A</v>
          </cell>
          <cell r="P537">
            <v>15.11</v>
          </cell>
          <cell r="Q537">
            <v>0.94330799999999992</v>
          </cell>
          <cell r="R537" t="e">
            <v>#N/A</v>
          </cell>
        </row>
        <row r="538">
          <cell r="A538">
            <v>40751</v>
          </cell>
          <cell r="B538">
            <v>40751</v>
          </cell>
          <cell r="C538" t="str">
            <v>Past</v>
          </cell>
          <cell r="D538">
            <v>15.08</v>
          </cell>
          <cell r="E538" t="e">
            <v>#N/A</v>
          </cell>
          <cell r="F538" t="e">
            <v>#N/A</v>
          </cell>
          <cell r="G538" t="e">
            <v>#N/A</v>
          </cell>
          <cell r="H538" t="e">
            <v>#N/A</v>
          </cell>
          <cell r="I538" t="e">
            <v>#N/A</v>
          </cell>
          <cell r="J538" t="e">
            <v>#N/A</v>
          </cell>
          <cell r="K538" t="e">
            <v>#N/A</v>
          </cell>
          <cell r="L538" t="e">
            <v>#N/A</v>
          </cell>
          <cell r="M538" t="e">
            <v>#N/A</v>
          </cell>
          <cell r="N538" t="e">
            <v>#N/A</v>
          </cell>
          <cell r="O538" t="e">
            <v>#N/A</v>
          </cell>
          <cell r="P538">
            <v>15.08</v>
          </cell>
          <cell r="Q538">
            <v>1.8040179999999999</v>
          </cell>
          <cell r="R538" t="e">
            <v>#N/A</v>
          </cell>
        </row>
        <row r="539">
          <cell r="A539">
            <v>40752</v>
          </cell>
          <cell r="B539">
            <v>40752</v>
          </cell>
          <cell r="C539" t="str">
            <v>Past</v>
          </cell>
          <cell r="D539">
            <v>15.01</v>
          </cell>
          <cell r="E539" t="e">
            <v>#N/A</v>
          </cell>
          <cell r="F539" t="e">
            <v>#N/A</v>
          </cell>
          <cell r="G539" t="e">
            <v>#N/A</v>
          </cell>
          <cell r="H539" t="e">
            <v>#N/A</v>
          </cell>
          <cell r="I539" t="e">
            <v>#N/A</v>
          </cell>
          <cell r="J539" t="e">
            <v>#N/A</v>
          </cell>
          <cell r="K539" t="e">
            <v>#N/A</v>
          </cell>
          <cell r="L539" t="e">
            <v>#N/A</v>
          </cell>
          <cell r="M539" t="e">
            <v>#N/A</v>
          </cell>
          <cell r="N539" t="e">
            <v>#N/A</v>
          </cell>
          <cell r="O539" t="e">
            <v>#N/A</v>
          </cell>
          <cell r="P539">
            <v>15.01</v>
          </cell>
          <cell r="Q539">
            <v>1.6958300000000002</v>
          </cell>
          <cell r="R539" t="e">
            <v>#N/A</v>
          </cell>
        </row>
        <row r="540">
          <cell r="A540">
            <v>40753</v>
          </cell>
          <cell r="B540">
            <v>40753</v>
          </cell>
          <cell r="C540" t="str">
            <v>Past</v>
          </cell>
          <cell r="D540">
            <v>14.84</v>
          </cell>
          <cell r="E540" t="e">
            <v>#N/A</v>
          </cell>
          <cell r="F540" t="e">
            <v>#N/A</v>
          </cell>
          <cell r="G540" t="e">
            <v>#N/A</v>
          </cell>
          <cell r="H540" t="e">
            <v>#N/A</v>
          </cell>
          <cell r="I540" t="e">
            <v>#N/A</v>
          </cell>
          <cell r="J540" t="e">
            <v>#N/A</v>
          </cell>
          <cell r="K540" t="e">
            <v>#N/A</v>
          </cell>
          <cell r="L540" t="e">
            <v>#N/A</v>
          </cell>
          <cell r="M540" t="e">
            <v>#N/A</v>
          </cell>
          <cell r="N540" t="e">
            <v>#N/A</v>
          </cell>
          <cell r="O540" t="e">
            <v>#N/A</v>
          </cell>
          <cell r="P540">
            <v>14.84</v>
          </cell>
          <cell r="Q540">
            <v>2.0042</v>
          </cell>
          <cell r="R540" t="e">
            <v>#N/A</v>
          </cell>
        </row>
        <row r="541">
          <cell r="A541">
            <v>40756</v>
          </cell>
          <cell r="B541">
            <v>40756</v>
          </cell>
          <cell r="C541" t="str">
            <v>Past</v>
          </cell>
          <cell r="D541">
            <v>14.55</v>
          </cell>
          <cell r="E541" t="e">
            <v>#N/A</v>
          </cell>
          <cell r="F541" t="e">
            <v>#N/A</v>
          </cell>
          <cell r="G541" t="e">
            <v>#N/A</v>
          </cell>
          <cell r="H541" t="e">
            <v>#N/A</v>
          </cell>
          <cell r="I541" t="e">
            <v>#N/A</v>
          </cell>
          <cell r="J541" t="e">
            <v>#N/A</v>
          </cell>
          <cell r="K541" t="e">
            <v>#N/A</v>
          </cell>
          <cell r="L541" t="e">
            <v>#N/A</v>
          </cell>
          <cell r="M541" t="e">
            <v>#N/A</v>
          </cell>
          <cell r="N541" t="e">
            <v>#N/A</v>
          </cell>
          <cell r="O541" t="e">
            <v>#N/A</v>
          </cell>
          <cell r="P541">
            <v>14.55</v>
          </cell>
          <cell r="Q541">
            <v>5.4451649999999994</v>
          </cell>
          <cell r="R541" t="e">
            <v>#N/A</v>
          </cell>
        </row>
        <row r="542">
          <cell r="A542">
            <v>40757</v>
          </cell>
          <cell r="B542">
            <v>40757</v>
          </cell>
          <cell r="C542" t="str">
            <v>Past</v>
          </cell>
          <cell r="D542">
            <v>14.24</v>
          </cell>
          <cell r="E542" t="e">
            <v>#N/A</v>
          </cell>
          <cell r="F542" t="e">
            <v>#N/A</v>
          </cell>
          <cell r="G542" t="e">
            <v>#N/A</v>
          </cell>
          <cell r="H542" t="e">
            <v>#N/A</v>
          </cell>
          <cell r="I542" t="e">
            <v>#N/A</v>
          </cell>
          <cell r="J542" t="e">
            <v>#N/A</v>
          </cell>
          <cell r="K542" t="e">
            <v>#N/A</v>
          </cell>
          <cell r="L542" t="e">
            <v>#N/A</v>
          </cell>
          <cell r="M542" t="e">
            <v>#N/A</v>
          </cell>
          <cell r="N542" t="e">
            <v>#N/A</v>
          </cell>
          <cell r="O542" t="e">
            <v>#N/A</v>
          </cell>
          <cell r="P542">
            <v>14.24</v>
          </cell>
          <cell r="Q542">
            <v>4.5422519999999995</v>
          </cell>
          <cell r="R542" t="e">
            <v>#N/A</v>
          </cell>
        </row>
        <row r="543">
          <cell r="A543">
            <v>40758</v>
          </cell>
          <cell r="B543">
            <v>40758</v>
          </cell>
          <cell r="C543" t="str">
            <v>Past</v>
          </cell>
          <cell r="D543">
            <v>14.26</v>
          </cell>
          <cell r="E543" t="e">
            <v>#N/A</v>
          </cell>
          <cell r="F543" t="e">
            <v>#N/A</v>
          </cell>
          <cell r="G543" t="e">
            <v>#N/A</v>
          </cell>
          <cell r="H543" t="e">
            <v>#N/A</v>
          </cell>
          <cell r="I543" t="e">
            <v>#N/A</v>
          </cell>
          <cell r="J543" t="e">
            <v>#N/A</v>
          </cell>
          <cell r="K543" t="e">
            <v>#N/A</v>
          </cell>
          <cell r="L543" t="e">
            <v>#N/A</v>
          </cell>
          <cell r="M543" t="e">
            <v>#N/A</v>
          </cell>
          <cell r="N543" t="e">
            <v>#N/A</v>
          </cell>
          <cell r="O543" t="e">
            <v>#N/A</v>
          </cell>
          <cell r="P543">
            <v>14.26</v>
          </cell>
          <cell r="Q543">
            <v>3.8783000000000003</v>
          </cell>
          <cell r="R543" t="e">
            <v>#N/A</v>
          </cell>
        </row>
        <row r="544">
          <cell r="A544">
            <v>40759</v>
          </cell>
          <cell r="B544">
            <v>40759</v>
          </cell>
          <cell r="C544" t="str">
            <v>Past</v>
          </cell>
          <cell r="D544">
            <v>13.68</v>
          </cell>
          <cell r="E544" t="e">
            <v>#N/A</v>
          </cell>
          <cell r="F544" t="e">
            <v>#N/A</v>
          </cell>
          <cell r="G544" t="e">
            <v>#N/A</v>
          </cell>
          <cell r="H544" t="e">
            <v>#N/A</v>
          </cell>
          <cell r="I544" t="e">
            <v>#N/A</v>
          </cell>
          <cell r="J544" t="e">
            <v>#N/A</v>
          </cell>
          <cell r="K544" t="e">
            <v>#N/A</v>
          </cell>
          <cell r="L544" t="e">
            <v>#N/A</v>
          </cell>
          <cell r="M544" t="e">
            <v>#N/A</v>
          </cell>
          <cell r="N544" t="e">
            <v>#N/A</v>
          </cell>
          <cell r="O544" t="e">
            <v>#N/A</v>
          </cell>
          <cell r="P544">
            <v>13.68</v>
          </cell>
          <cell r="Q544">
            <v>3.3178739999999998</v>
          </cell>
          <cell r="R544" t="e">
            <v>#N/A</v>
          </cell>
        </row>
        <row r="545">
          <cell r="A545">
            <v>40760</v>
          </cell>
          <cell r="B545">
            <v>40760</v>
          </cell>
          <cell r="C545" t="str">
            <v>Past</v>
          </cell>
          <cell r="D545">
            <v>13.43</v>
          </cell>
          <cell r="E545" t="e">
            <v>#N/A</v>
          </cell>
          <cell r="F545" t="e">
            <v>#N/A</v>
          </cell>
          <cell r="G545" t="e">
            <v>#N/A</v>
          </cell>
          <cell r="H545" t="e">
            <v>#N/A</v>
          </cell>
          <cell r="I545" t="e">
            <v>#N/A</v>
          </cell>
          <cell r="J545" t="e">
            <v>#N/A</v>
          </cell>
          <cell r="K545" t="e">
            <v>#N/A</v>
          </cell>
          <cell r="L545" t="e">
            <v>#N/A</v>
          </cell>
          <cell r="M545" t="e">
            <v>#N/A</v>
          </cell>
          <cell r="N545" t="e">
            <v>#N/A</v>
          </cell>
          <cell r="O545" t="e">
            <v>#N/A</v>
          </cell>
          <cell r="P545">
            <v>13.43</v>
          </cell>
          <cell r="Q545">
            <v>10.9306</v>
          </cell>
          <cell r="R545" t="e">
            <v>#N/A</v>
          </cell>
        </row>
        <row r="546">
          <cell r="A546">
            <v>40763</v>
          </cell>
          <cell r="B546">
            <v>40763</v>
          </cell>
          <cell r="C546" t="str">
            <v>Past</v>
          </cell>
          <cell r="D546">
            <v>12.48</v>
          </cell>
          <cell r="E546" t="e">
            <v>#N/A</v>
          </cell>
          <cell r="F546" t="e">
            <v>#N/A</v>
          </cell>
          <cell r="G546" t="e">
            <v>#N/A</v>
          </cell>
          <cell r="H546" t="e">
            <v>#N/A</v>
          </cell>
          <cell r="I546" t="e">
            <v>#N/A</v>
          </cell>
          <cell r="J546" t="e">
            <v>#N/A</v>
          </cell>
          <cell r="K546" t="e">
            <v>#N/A</v>
          </cell>
          <cell r="L546" t="e">
            <v>#N/A</v>
          </cell>
          <cell r="M546" t="e">
            <v>#N/A</v>
          </cell>
          <cell r="N546" t="e">
            <v>#N/A</v>
          </cell>
          <cell r="O546" t="e">
            <v>#N/A</v>
          </cell>
          <cell r="P546">
            <v>12.48</v>
          </cell>
          <cell r="Q546">
            <v>5.4664239999999999</v>
          </cell>
          <cell r="R546" t="e">
            <v>#N/A</v>
          </cell>
        </row>
        <row r="547">
          <cell r="A547">
            <v>40764</v>
          </cell>
          <cell r="B547">
            <v>40764</v>
          </cell>
          <cell r="C547" t="str">
            <v>Past</v>
          </cell>
          <cell r="D547">
            <v>13.03</v>
          </cell>
          <cell r="E547" t="e">
            <v>#N/A</v>
          </cell>
          <cell r="F547" t="e">
            <v>#N/A</v>
          </cell>
          <cell r="G547" t="e">
            <v>#N/A</v>
          </cell>
          <cell r="H547" t="e">
            <v>#N/A</v>
          </cell>
          <cell r="I547" t="e">
            <v>#N/A</v>
          </cell>
          <cell r="J547" t="e">
            <v>#N/A</v>
          </cell>
          <cell r="K547" t="e">
            <v>#N/A</v>
          </cell>
          <cell r="L547" t="e">
            <v>#N/A</v>
          </cell>
          <cell r="M547" t="e">
            <v>#N/A</v>
          </cell>
          <cell r="N547" t="e">
            <v>#N/A</v>
          </cell>
          <cell r="O547" t="e">
            <v>#N/A</v>
          </cell>
          <cell r="P547">
            <v>13.03</v>
          </cell>
          <cell r="Q547">
            <v>10.383920000000002</v>
          </cell>
          <cell r="R547" t="e">
            <v>#N/A</v>
          </cell>
        </row>
        <row r="548">
          <cell r="A548">
            <v>40765</v>
          </cell>
          <cell r="B548">
            <v>40765</v>
          </cell>
          <cell r="C548" t="str">
            <v>Past</v>
          </cell>
          <cell r="D548">
            <v>12.99</v>
          </cell>
          <cell r="E548" t="e">
            <v>#N/A</v>
          </cell>
          <cell r="F548" t="e">
            <v>#N/A</v>
          </cell>
          <cell r="G548" t="e">
            <v>#N/A</v>
          </cell>
          <cell r="H548" t="e">
            <v>#N/A</v>
          </cell>
          <cell r="I548" t="e">
            <v>#N/A</v>
          </cell>
          <cell r="J548" t="e">
            <v>#N/A</v>
          </cell>
          <cell r="K548" t="e">
            <v>#N/A</v>
          </cell>
          <cell r="L548" t="e">
            <v>#N/A</v>
          </cell>
          <cell r="M548" t="e">
            <v>#N/A</v>
          </cell>
          <cell r="N548" t="e">
            <v>#N/A</v>
          </cell>
          <cell r="O548" t="e">
            <v>#N/A</v>
          </cell>
          <cell r="P548">
            <v>12.99</v>
          </cell>
          <cell r="Q548">
            <v>6.6745519999999994</v>
          </cell>
          <cell r="R548" t="e">
            <v>#N/A</v>
          </cell>
        </row>
        <row r="549">
          <cell r="A549">
            <v>40766</v>
          </cell>
          <cell r="B549">
            <v>40766</v>
          </cell>
          <cell r="C549" t="str">
            <v>Past</v>
          </cell>
          <cell r="D549">
            <v>13.8</v>
          </cell>
          <cell r="E549" t="e">
            <v>#N/A</v>
          </cell>
          <cell r="F549" t="e">
            <v>#N/A</v>
          </cell>
          <cell r="G549" t="e">
            <v>#N/A</v>
          </cell>
          <cell r="H549" t="e">
            <v>#N/A</v>
          </cell>
          <cell r="I549" t="e">
            <v>#N/A</v>
          </cell>
          <cell r="J549" t="e">
            <v>#N/A</v>
          </cell>
          <cell r="K549" t="e">
            <v>#N/A</v>
          </cell>
          <cell r="L549" t="e">
            <v>#N/A</v>
          </cell>
          <cell r="M549" t="e">
            <v>#N/A</v>
          </cell>
          <cell r="N549" t="e">
            <v>#N/A</v>
          </cell>
          <cell r="O549" t="e">
            <v>#N/A</v>
          </cell>
          <cell r="P549">
            <v>13.8</v>
          </cell>
          <cell r="Q549">
            <v>5.9046940000000001</v>
          </cell>
          <cell r="R549" t="e">
            <v>#N/A</v>
          </cell>
        </row>
        <row r="550">
          <cell r="A550">
            <v>40767</v>
          </cell>
          <cell r="B550">
            <v>40767</v>
          </cell>
          <cell r="C550" t="str">
            <v>Past</v>
          </cell>
          <cell r="D550">
            <v>13.74</v>
          </cell>
          <cell r="E550" t="e">
            <v>#N/A</v>
          </cell>
          <cell r="F550" t="e">
            <v>#N/A</v>
          </cell>
          <cell r="G550" t="e">
            <v>#N/A</v>
          </cell>
          <cell r="H550" t="e">
            <v>#N/A</v>
          </cell>
          <cell r="I550" t="e">
            <v>#N/A</v>
          </cell>
          <cell r="J550" t="e">
            <v>#N/A</v>
          </cell>
          <cell r="K550" t="e">
            <v>#N/A</v>
          </cell>
          <cell r="L550" t="e">
            <v>#N/A</v>
          </cell>
          <cell r="M550" t="e">
            <v>#N/A</v>
          </cell>
          <cell r="N550" t="e">
            <v>#N/A</v>
          </cell>
          <cell r="O550" t="e">
            <v>#N/A</v>
          </cell>
          <cell r="P550">
            <v>13.74</v>
          </cell>
          <cell r="Q550">
            <v>3.7796319999999999</v>
          </cell>
          <cell r="R550" t="e">
            <v>#N/A</v>
          </cell>
        </row>
        <row r="551">
          <cell r="A551">
            <v>40770</v>
          </cell>
          <cell r="B551">
            <v>40770</v>
          </cell>
          <cell r="C551" t="str">
            <v>Past</v>
          </cell>
          <cell r="D551">
            <v>14.3</v>
          </cell>
          <cell r="E551" t="e">
            <v>#N/A</v>
          </cell>
          <cell r="F551" t="e">
            <v>#N/A</v>
          </cell>
          <cell r="G551" t="e">
            <v>#N/A</v>
          </cell>
          <cell r="H551" t="e">
            <v>#N/A</v>
          </cell>
          <cell r="I551" t="e">
            <v>#N/A</v>
          </cell>
          <cell r="J551" t="e">
            <v>#N/A</v>
          </cell>
          <cell r="K551" t="e">
            <v>#N/A</v>
          </cell>
          <cell r="L551" t="e">
            <v>#N/A</v>
          </cell>
          <cell r="M551" t="e">
            <v>#N/A</v>
          </cell>
          <cell r="N551" t="e">
            <v>#N/A</v>
          </cell>
          <cell r="O551" t="e">
            <v>#N/A</v>
          </cell>
          <cell r="P551">
            <v>14.3</v>
          </cell>
          <cell r="Q551">
            <v>3.0225</v>
          </cell>
          <cell r="R551" t="e">
            <v>#N/A</v>
          </cell>
        </row>
        <row r="552">
          <cell r="A552">
            <v>40771</v>
          </cell>
          <cell r="B552">
            <v>40771</v>
          </cell>
          <cell r="C552" t="str">
            <v>Past</v>
          </cell>
          <cell r="D552">
            <v>14.63</v>
          </cell>
          <cell r="E552" t="e">
            <v>#N/A</v>
          </cell>
          <cell r="F552" t="e">
            <v>#N/A</v>
          </cell>
          <cell r="G552" t="e">
            <v>#N/A</v>
          </cell>
          <cell r="H552" t="e">
            <v>#N/A</v>
          </cell>
          <cell r="I552" t="e">
            <v>#N/A</v>
          </cell>
          <cell r="J552" t="e">
            <v>#N/A</v>
          </cell>
          <cell r="K552" t="e">
            <v>#N/A</v>
          </cell>
          <cell r="L552" t="e">
            <v>#N/A</v>
          </cell>
          <cell r="M552" t="e">
            <v>#N/A</v>
          </cell>
          <cell r="N552" t="e">
            <v>#N/A</v>
          </cell>
          <cell r="O552" t="e">
            <v>#N/A</v>
          </cell>
          <cell r="P552">
            <v>14.63</v>
          </cell>
          <cell r="Q552">
            <v>11.01886</v>
          </cell>
          <cell r="R552" t="e">
            <v>#N/A</v>
          </cell>
        </row>
        <row r="553">
          <cell r="A553">
            <v>40772</v>
          </cell>
          <cell r="B553">
            <v>40772</v>
          </cell>
          <cell r="C553" t="str">
            <v>Past</v>
          </cell>
          <cell r="D553">
            <v>14.49</v>
          </cell>
          <cell r="E553" t="e">
            <v>#N/A</v>
          </cell>
          <cell r="F553" t="e">
            <v>#N/A</v>
          </cell>
          <cell r="G553" t="e">
            <v>#N/A</v>
          </cell>
          <cell r="H553" t="e">
            <v>#N/A</v>
          </cell>
          <cell r="I553" t="e">
            <v>#N/A</v>
          </cell>
          <cell r="J553" t="e">
            <v>#N/A</v>
          </cell>
          <cell r="K553" t="e">
            <v>#N/A</v>
          </cell>
          <cell r="L553" t="e">
            <v>#N/A</v>
          </cell>
          <cell r="M553" t="e">
            <v>#N/A</v>
          </cell>
          <cell r="N553" t="e">
            <v>#N/A</v>
          </cell>
          <cell r="O553" t="e">
            <v>#N/A</v>
          </cell>
          <cell r="P553">
            <v>14.49</v>
          </cell>
          <cell r="Q553">
            <v>3.505992</v>
          </cell>
          <cell r="R553" t="e">
            <v>#N/A</v>
          </cell>
        </row>
        <row r="554">
          <cell r="A554">
            <v>40773</v>
          </cell>
          <cell r="B554">
            <v>40773</v>
          </cell>
          <cell r="C554" t="str">
            <v>Past</v>
          </cell>
          <cell r="D554">
            <v>14.3</v>
          </cell>
          <cell r="E554" t="e">
            <v>#N/A</v>
          </cell>
          <cell r="F554" t="e">
            <v>#N/A</v>
          </cell>
          <cell r="G554" t="e">
            <v>#N/A</v>
          </cell>
          <cell r="H554" t="e">
            <v>#N/A</v>
          </cell>
          <cell r="I554" t="e">
            <v>#N/A</v>
          </cell>
          <cell r="J554" t="e">
            <v>#N/A</v>
          </cell>
          <cell r="K554" t="e">
            <v>#N/A</v>
          </cell>
          <cell r="L554" t="e">
            <v>#N/A</v>
          </cell>
          <cell r="M554" t="e">
            <v>#N/A</v>
          </cell>
          <cell r="N554" t="e">
            <v>#N/A</v>
          </cell>
          <cell r="O554" t="e">
            <v>#N/A</v>
          </cell>
          <cell r="P554">
            <v>14.3</v>
          </cell>
          <cell r="Q554">
            <v>4.7268319999999999</v>
          </cell>
          <cell r="R554" t="e">
            <v>#N/A</v>
          </cell>
        </row>
        <row r="555">
          <cell r="A555">
            <v>40774</v>
          </cell>
          <cell r="B555">
            <v>40774</v>
          </cell>
          <cell r="C555" t="str">
            <v>Past</v>
          </cell>
          <cell r="D555">
            <v>14.46</v>
          </cell>
          <cell r="E555" t="e">
            <v>#N/A</v>
          </cell>
          <cell r="F555" t="e">
            <v>#N/A</v>
          </cell>
          <cell r="G555" t="e">
            <v>#N/A</v>
          </cell>
          <cell r="H555" t="e">
            <v>#N/A</v>
          </cell>
          <cell r="I555" t="e">
            <v>#N/A</v>
          </cell>
          <cell r="J555" t="e">
            <v>#N/A</v>
          </cell>
          <cell r="K555" t="e">
            <v>#N/A</v>
          </cell>
          <cell r="L555" t="e">
            <v>#N/A</v>
          </cell>
          <cell r="M555" t="e">
            <v>#N/A</v>
          </cell>
          <cell r="N555" t="e">
            <v>#N/A</v>
          </cell>
          <cell r="O555" t="e">
            <v>#N/A</v>
          </cell>
          <cell r="P555">
            <v>14.46</v>
          </cell>
          <cell r="Q555">
            <v>7.8624469999999995</v>
          </cell>
          <cell r="R555" t="e">
            <v>#N/A</v>
          </cell>
        </row>
        <row r="556">
          <cell r="A556">
            <v>40777</v>
          </cell>
          <cell r="B556">
            <v>40777</v>
          </cell>
          <cell r="C556" t="str">
            <v>Past</v>
          </cell>
          <cell r="D556">
            <v>14.22</v>
          </cell>
          <cell r="E556" t="e">
            <v>#N/A</v>
          </cell>
          <cell r="F556" t="e">
            <v>#N/A</v>
          </cell>
          <cell r="G556" t="e">
            <v>#N/A</v>
          </cell>
          <cell r="H556" t="e">
            <v>#N/A</v>
          </cell>
          <cell r="I556" t="e">
            <v>#N/A</v>
          </cell>
          <cell r="J556" t="e">
            <v>#N/A</v>
          </cell>
          <cell r="K556" t="e">
            <v>#N/A</v>
          </cell>
          <cell r="L556" t="e">
            <v>#N/A</v>
          </cell>
          <cell r="M556" t="e">
            <v>#N/A</v>
          </cell>
          <cell r="N556" t="e">
            <v>#N/A</v>
          </cell>
          <cell r="O556" t="e">
            <v>#N/A</v>
          </cell>
          <cell r="P556">
            <v>14.22</v>
          </cell>
          <cell r="Q556">
            <v>3.313774</v>
          </cell>
          <cell r="R556" t="e">
            <v>#N/A</v>
          </cell>
        </row>
        <row r="557">
          <cell r="A557">
            <v>40778</v>
          </cell>
          <cell r="B557">
            <v>40778</v>
          </cell>
          <cell r="C557" t="str">
            <v>Past</v>
          </cell>
          <cell r="D557">
            <v>14.34</v>
          </cell>
          <cell r="E557" t="e">
            <v>#N/A</v>
          </cell>
          <cell r="F557" t="e">
            <v>#N/A</v>
          </cell>
          <cell r="G557" t="e">
            <v>#N/A</v>
          </cell>
          <cell r="H557" t="e">
            <v>#N/A</v>
          </cell>
          <cell r="I557" t="e">
            <v>#N/A</v>
          </cell>
          <cell r="J557" t="e">
            <v>#N/A</v>
          </cell>
          <cell r="K557" t="e">
            <v>#N/A</v>
          </cell>
          <cell r="L557" t="e">
            <v>#N/A</v>
          </cell>
          <cell r="M557" t="e">
            <v>#N/A</v>
          </cell>
          <cell r="N557" t="e">
            <v>#N/A</v>
          </cell>
          <cell r="O557" t="e">
            <v>#N/A</v>
          </cell>
          <cell r="P557">
            <v>14.34</v>
          </cell>
          <cell r="Q557">
            <v>5.3917320000000002</v>
          </cell>
          <cell r="R557" t="e">
            <v>#N/A</v>
          </cell>
        </row>
        <row r="558">
          <cell r="A558">
            <v>40779</v>
          </cell>
          <cell r="B558">
            <v>40779</v>
          </cell>
          <cell r="C558" t="str">
            <v>Past</v>
          </cell>
          <cell r="D558">
            <v>14.6</v>
          </cell>
          <cell r="E558" t="e">
            <v>#N/A</v>
          </cell>
          <cell r="F558" t="e">
            <v>#N/A</v>
          </cell>
          <cell r="G558" t="e">
            <v>#N/A</v>
          </cell>
          <cell r="H558" t="e">
            <v>#N/A</v>
          </cell>
          <cell r="I558" t="e">
            <v>#N/A</v>
          </cell>
          <cell r="J558" t="e">
            <v>#N/A</v>
          </cell>
          <cell r="K558" t="e">
            <v>#N/A</v>
          </cell>
          <cell r="L558" t="e">
            <v>#N/A</v>
          </cell>
          <cell r="M558" t="e">
            <v>#N/A</v>
          </cell>
          <cell r="N558" t="e">
            <v>#N/A</v>
          </cell>
          <cell r="O558">
            <v>0</v>
          </cell>
          <cell r="P558">
            <v>14.6</v>
          </cell>
          <cell r="Q558">
            <v>2.3300529999999999</v>
          </cell>
          <cell r="R558" t="e">
            <v>#N/A</v>
          </cell>
        </row>
        <row r="559">
          <cell r="A559">
            <v>40780</v>
          </cell>
          <cell r="B559">
            <v>40780</v>
          </cell>
          <cell r="C559" t="str">
            <v>Current</v>
          </cell>
          <cell r="D559">
            <v>14.35</v>
          </cell>
          <cell r="E559">
            <v>14.35</v>
          </cell>
          <cell r="F559">
            <v>14.35</v>
          </cell>
          <cell r="G559">
            <v>14.35</v>
          </cell>
          <cell r="H559">
            <v>14.35</v>
          </cell>
          <cell r="I559">
            <v>14.35</v>
          </cell>
          <cell r="J559" t="e">
            <v>#N/A</v>
          </cell>
          <cell r="K559" t="e">
            <v>#N/A</v>
          </cell>
          <cell r="L559" t="e">
            <v>#N/A</v>
          </cell>
          <cell r="M559" t="e">
            <v>#N/A</v>
          </cell>
          <cell r="N559" t="e">
            <v>#N/A</v>
          </cell>
          <cell r="O559">
            <v>55.094300000000004</v>
          </cell>
          <cell r="P559">
            <v>14.35</v>
          </cell>
          <cell r="Q559">
            <v>2.5751249999999999</v>
          </cell>
          <cell r="R559" t="e">
            <v>#N/A</v>
          </cell>
        </row>
        <row r="560">
          <cell r="A560">
            <v>40781</v>
          </cell>
          <cell r="B560">
            <v>40781</v>
          </cell>
          <cell r="C560" t="str">
            <v>Future</v>
          </cell>
          <cell r="D560" t="e">
            <v>#N/A</v>
          </cell>
          <cell r="E560">
            <v>14.294594594594594</v>
          </cell>
          <cell r="F560">
            <v>14.362162162162162</v>
          </cell>
          <cell r="G560">
            <v>14.348648648648648</v>
          </cell>
          <cell r="H560">
            <v>14.348648648648648</v>
          </cell>
          <cell r="I560" t="e">
            <v>#N/A</v>
          </cell>
          <cell r="J560" t="e">
            <v>#N/A</v>
          </cell>
          <cell r="K560" t="e">
            <v>#N/A</v>
          </cell>
          <cell r="L560" t="e">
            <v>#N/A</v>
          </cell>
          <cell r="M560" t="e">
            <v>#N/A</v>
          </cell>
          <cell r="N560" t="e">
            <v>#N/A</v>
          </cell>
          <cell r="O560" t="e">
            <v>#N/A</v>
          </cell>
          <cell r="P560">
            <v>14.52</v>
          </cell>
          <cell r="Q560">
            <v>0</v>
          </cell>
          <cell r="R560" t="e">
            <v>#N/A</v>
          </cell>
        </row>
        <row r="561">
          <cell r="A561">
            <v>40784</v>
          </cell>
          <cell r="B561">
            <v>40784</v>
          </cell>
          <cell r="C561" t="str">
            <v>Future</v>
          </cell>
          <cell r="D561" t="e">
            <v>#N/A</v>
          </cell>
          <cell r="E561">
            <v>14.239189189189188</v>
          </cell>
          <cell r="F561">
            <v>14.374324324324325</v>
          </cell>
          <cell r="G561">
            <v>14.347297297297297</v>
          </cell>
          <cell r="H561">
            <v>14.347297297297297</v>
          </cell>
          <cell r="I561" t="e">
            <v>#N/A</v>
          </cell>
          <cell r="J561" t="e">
            <v>#N/A</v>
          </cell>
          <cell r="K561" t="e">
            <v>#N/A</v>
          </cell>
          <cell r="L561" t="e">
            <v>#N/A</v>
          </cell>
          <cell r="M561" t="e">
            <v>#N/A</v>
          </cell>
          <cell r="N561" t="e">
            <v>#N/A</v>
          </cell>
          <cell r="O561" t="e">
            <v>#N/A</v>
          </cell>
          <cell r="P561">
            <v>14.52</v>
          </cell>
          <cell r="Q561" t="str">
            <v/>
          </cell>
          <cell r="R561" t="e">
            <v>#N/A</v>
          </cell>
        </row>
        <row r="562">
          <cell r="A562">
            <v>40785</v>
          </cell>
          <cell r="B562">
            <v>40785</v>
          </cell>
          <cell r="C562" t="str">
            <v>Future</v>
          </cell>
          <cell r="D562" t="e">
            <v>#N/A</v>
          </cell>
          <cell r="E562">
            <v>14.183783783783783</v>
          </cell>
          <cell r="F562">
            <v>14.386486486486488</v>
          </cell>
          <cell r="G562">
            <v>14.345945945945946</v>
          </cell>
          <cell r="H562">
            <v>14.345945945945946</v>
          </cell>
          <cell r="I562" t="e">
            <v>#N/A</v>
          </cell>
          <cell r="J562" t="e">
            <v>#N/A</v>
          </cell>
          <cell r="K562" t="e">
            <v>#N/A</v>
          </cell>
          <cell r="L562" t="e">
            <v>#N/A</v>
          </cell>
          <cell r="M562" t="e">
            <v>#N/A</v>
          </cell>
          <cell r="N562" t="e">
            <v>#N/A</v>
          </cell>
          <cell r="O562" t="e">
            <v>#N/A</v>
          </cell>
          <cell r="P562">
            <v>14.52</v>
          </cell>
          <cell r="Q562" t="str">
            <v/>
          </cell>
          <cell r="R562" t="e">
            <v>#N/A</v>
          </cell>
        </row>
        <row r="563">
          <cell r="A563">
            <v>40786</v>
          </cell>
          <cell r="B563">
            <v>40786</v>
          </cell>
          <cell r="C563" t="str">
            <v>Future</v>
          </cell>
          <cell r="D563" t="e">
            <v>#N/A</v>
          </cell>
          <cell r="E563">
            <v>14.128378378378377</v>
          </cell>
          <cell r="F563">
            <v>14.398648648648651</v>
          </cell>
          <cell r="G563">
            <v>14.344594594594595</v>
          </cell>
          <cell r="H563">
            <v>14.344594594594595</v>
          </cell>
          <cell r="I563" t="e">
            <v>#N/A</v>
          </cell>
          <cell r="J563" t="e">
            <v>#N/A</v>
          </cell>
          <cell r="K563" t="e">
            <v>#N/A</v>
          </cell>
          <cell r="L563" t="e">
            <v>#N/A</v>
          </cell>
          <cell r="M563" t="e">
            <v>#N/A</v>
          </cell>
          <cell r="N563" t="e">
            <v>#N/A</v>
          </cell>
          <cell r="O563" t="e">
            <v>#N/A</v>
          </cell>
          <cell r="P563">
            <v>14.52</v>
          </cell>
          <cell r="Q563" t="str">
            <v/>
          </cell>
          <cell r="R563" t="e">
            <v>#N/A</v>
          </cell>
        </row>
        <row r="564">
          <cell r="A564">
            <v>40787</v>
          </cell>
          <cell r="B564">
            <v>40787</v>
          </cell>
          <cell r="C564" t="str">
            <v>Future</v>
          </cell>
          <cell r="D564" t="e">
            <v>#N/A</v>
          </cell>
          <cell r="E564">
            <v>14.072972972972972</v>
          </cell>
          <cell r="F564">
            <v>14.410810810810814</v>
          </cell>
          <cell r="G564">
            <v>14.343243243243244</v>
          </cell>
          <cell r="H564">
            <v>14.343243243243244</v>
          </cell>
          <cell r="I564" t="e">
            <v>#N/A</v>
          </cell>
          <cell r="J564" t="e">
            <v>#N/A</v>
          </cell>
          <cell r="K564" t="e">
            <v>#N/A</v>
          </cell>
          <cell r="L564" t="e">
            <v>#N/A</v>
          </cell>
          <cell r="M564" t="e">
            <v>#N/A</v>
          </cell>
          <cell r="N564" t="e">
            <v>#N/A</v>
          </cell>
          <cell r="O564" t="e">
            <v>#N/A</v>
          </cell>
          <cell r="P564">
            <v>14.52</v>
          </cell>
          <cell r="Q564" t="str">
            <v/>
          </cell>
          <cell r="R564" t="e">
            <v>#N/A</v>
          </cell>
        </row>
        <row r="565">
          <cell r="A565">
            <v>40788</v>
          </cell>
          <cell r="B565">
            <v>40788</v>
          </cell>
          <cell r="C565" t="str">
            <v>Future</v>
          </cell>
          <cell r="D565" t="e">
            <v>#N/A</v>
          </cell>
          <cell r="E565">
            <v>14.017567567567566</v>
          </cell>
          <cell r="F565">
            <v>14.422972972972977</v>
          </cell>
          <cell r="G565">
            <v>14.341891891891892</v>
          </cell>
          <cell r="H565">
            <v>14.341891891891892</v>
          </cell>
          <cell r="I565" t="e">
            <v>#N/A</v>
          </cell>
          <cell r="J565" t="e">
            <v>#N/A</v>
          </cell>
          <cell r="K565" t="e">
            <v>#N/A</v>
          </cell>
          <cell r="L565" t="e">
            <v>#N/A</v>
          </cell>
          <cell r="M565" t="e">
            <v>#N/A</v>
          </cell>
          <cell r="N565" t="e">
            <v>#N/A</v>
          </cell>
          <cell r="O565" t="e">
            <v>#N/A</v>
          </cell>
          <cell r="P565">
            <v>14.52</v>
          </cell>
          <cell r="Q565" t="str">
            <v/>
          </cell>
          <cell r="R565" t="e">
            <v>#N/A</v>
          </cell>
        </row>
        <row r="566">
          <cell r="A566">
            <v>40792</v>
          </cell>
          <cell r="B566">
            <v>40792</v>
          </cell>
          <cell r="C566" t="str">
            <v>Future</v>
          </cell>
          <cell r="D566" t="e">
            <v>#N/A</v>
          </cell>
          <cell r="E566">
            <v>13.96216216216216</v>
          </cell>
          <cell r="F566">
            <v>14.435135135135139</v>
          </cell>
          <cell r="G566">
            <v>14.340540540540541</v>
          </cell>
          <cell r="H566">
            <v>14.340540540540541</v>
          </cell>
          <cell r="I566" t="e">
            <v>#N/A</v>
          </cell>
          <cell r="J566" t="e">
            <v>#N/A</v>
          </cell>
          <cell r="K566" t="e">
            <v>#N/A</v>
          </cell>
          <cell r="L566" t="e">
            <v>#N/A</v>
          </cell>
          <cell r="M566" t="e">
            <v>#N/A</v>
          </cell>
          <cell r="N566" t="e">
            <v>#N/A</v>
          </cell>
          <cell r="O566" t="e">
            <v>#N/A</v>
          </cell>
          <cell r="P566">
            <v>14.52</v>
          </cell>
          <cell r="Q566" t="str">
            <v/>
          </cell>
          <cell r="R566" t="e">
            <v>#N/A</v>
          </cell>
        </row>
        <row r="567">
          <cell r="A567">
            <v>40793</v>
          </cell>
          <cell r="B567">
            <v>40793</v>
          </cell>
          <cell r="C567" t="str">
            <v>Future</v>
          </cell>
          <cell r="D567" t="e">
            <v>#N/A</v>
          </cell>
          <cell r="E567">
            <v>13.906756756756755</v>
          </cell>
          <cell r="F567">
            <v>14.447297297297302</v>
          </cell>
          <cell r="G567">
            <v>14.33918918918919</v>
          </cell>
          <cell r="H567">
            <v>14.33918918918919</v>
          </cell>
          <cell r="I567" t="e">
            <v>#N/A</v>
          </cell>
          <cell r="J567" t="e">
            <v>#N/A</v>
          </cell>
          <cell r="K567" t="e">
            <v>#N/A</v>
          </cell>
          <cell r="L567" t="e">
            <v>#N/A</v>
          </cell>
          <cell r="M567" t="e">
            <v>#N/A</v>
          </cell>
          <cell r="N567" t="e">
            <v>#N/A</v>
          </cell>
          <cell r="O567" t="e">
            <v>#N/A</v>
          </cell>
          <cell r="P567">
            <v>14.52</v>
          </cell>
          <cell r="Q567" t="str">
            <v/>
          </cell>
          <cell r="R567" t="e">
            <v>#N/A</v>
          </cell>
        </row>
        <row r="568">
          <cell r="A568">
            <v>40794</v>
          </cell>
          <cell r="B568">
            <v>40794</v>
          </cell>
          <cell r="C568" t="str">
            <v>Future</v>
          </cell>
          <cell r="D568" t="e">
            <v>#N/A</v>
          </cell>
          <cell r="E568">
            <v>13.851351351351349</v>
          </cell>
          <cell r="F568">
            <v>14.459459459459465</v>
          </cell>
          <cell r="G568">
            <v>14.337837837837839</v>
          </cell>
          <cell r="H568">
            <v>14.337837837837839</v>
          </cell>
          <cell r="I568" t="e">
            <v>#N/A</v>
          </cell>
          <cell r="J568" t="e">
            <v>#N/A</v>
          </cell>
          <cell r="K568" t="e">
            <v>#N/A</v>
          </cell>
          <cell r="L568" t="e">
            <v>#N/A</v>
          </cell>
          <cell r="M568" t="e">
            <v>#N/A</v>
          </cell>
          <cell r="N568" t="e">
            <v>#N/A</v>
          </cell>
          <cell r="O568" t="e">
            <v>#N/A</v>
          </cell>
          <cell r="P568">
            <v>14.52</v>
          </cell>
          <cell r="Q568" t="str">
            <v/>
          </cell>
          <cell r="R568" t="e">
            <v>#N/A</v>
          </cell>
        </row>
        <row r="569">
          <cell r="A569">
            <v>40795</v>
          </cell>
          <cell r="B569">
            <v>40795</v>
          </cell>
          <cell r="C569" t="str">
            <v>Future</v>
          </cell>
          <cell r="D569" t="e">
            <v>#N/A</v>
          </cell>
          <cell r="E569">
            <v>13.795945945945943</v>
          </cell>
          <cell r="F569">
            <v>14.471621621621628</v>
          </cell>
          <cell r="G569">
            <v>14.336486486486487</v>
          </cell>
          <cell r="H569">
            <v>14.336486486486487</v>
          </cell>
          <cell r="I569" t="e">
            <v>#N/A</v>
          </cell>
          <cell r="J569" t="e">
            <v>#N/A</v>
          </cell>
          <cell r="K569" t="e">
            <v>#N/A</v>
          </cell>
          <cell r="L569" t="e">
            <v>#N/A</v>
          </cell>
          <cell r="M569" t="e">
            <v>#N/A</v>
          </cell>
          <cell r="N569" t="e">
            <v>#N/A</v>
          </cell>
          <cell r="O569" t="e">
            <v>#N/A</v>
          </cell>
          <cell r="P569">
            <v>14.52</v>
          </cell>
          <cell r="Q569" t="str">
            <v/>
          </cell>
          <cell r="R569" t="e">
            <v>#N/A</v>
          </cell>
        </row>
        <row r="570">
          <cell r="A570">
            <v>40798</v>
          </cell>
          <cell r="B570">
            <v>40798</v>
          </cell>
          <cell r="C570" t="str">
            <v>Future</v>
          </cell>
          <cell r="D570" t="e">
            <v>#N/A</v>
          </cell>
          <cell r="E570">
            <v>13.740540540540538</v>
          </cell>
          <cell r="F570">
            <v>14.483783783783791</v>
          </cell>
          <cell r="G570">
            <v>14.335135135135136</v>
          </cell>
          <cell r="H570">
            <v>14.335135135135136</v>
          </cell>
          <cell r="I570" t="e">
            <v>#N/A</v>
          </cell>
          <cell r="J570" t="e">
            <v>#N/A</v>
          </cell>
          <cell r="K570" t="e">
            <v>#N/A</v>
          </cell>
          <cell r="L570" t="e">
            <v>#N/A</v>
          </cell>
          <cell r="M570" t="e">
            <v>#N/A</v>
          </cell>
          <cell r="N570" t="e">
            <v>#N/A</v>
          </cell>
          <cell r="O570" t="e">
            <v>#N/A</v>
          </cell>
          <cell r="P570">
            <v>14.52</v>
          </cell>
          <cell r="Q570" t="str">
            <v/>
          </cell>
          <cell r="R570" t="e">
            <v>#N/A</v>
          </cell>
        </row>
        <row r="571">
          <cell r="A571">
            <v>40799</v>
          </cell>
          <cell r="B571">
            <v>40799</v>
          </cell>
          <cell r="C571" t="str">
            <v>Future</v>
          </cell>
          <cell r="D571" t="e">
            <v>#N/A</v>
          </cell>
          <cell r="E571">
            <v>13.685135135135132</v>
          </cell>
          <cell r="F571">
            <v>14.495945945945953</v>
          </cell>
          <cell r="G571">
            <v>14.333783783783785</v>
          </cell>
          <cell r="H571">
            <v>14.333783783783785</v>
          </cell>
          <cell r="I571" t="e">
            <v>#N/A</v>
          </cell>
          <cell r="J571" t="e">
            <v>#N/A</v>
          </cell>
          <cell r="K571" t="e">
            <v>#N/A</v>
          </cell>
          <cell r="L571" t="e">
            <v>#N/A</v>
          </cell>
          <cell r="M571" t="e">
            <v>#N/A</v>
          </cell>
          <cell r="N571" t="e">
            <v>#N/A</v>
          </cell>
          <cell r="O571" t="e">
            <v>#N/A</v>
          </cell>
          <cell r="P571">
            <v>14.52</v>
          </cell>
          <cell r="Q571" t="str">
            <v/>
          </cell>
          <cell r="R571" t="e">
            <v>#N/A</v>
          </cell>
        </row>
        <row r="572">
          <cell r="A572">
            <v>40800</v>
          </cell>
          <cell r="B572">
            <v>40800</v>
          </cell>
          <cell r="C572" t="str">
            <v>Future</v>
          </cell>
          <cell r="D572" t="e">
            <v>#N/A</v>
          </cell>
          <cell r="E572">
            <v>13.629729729729727</v>
          </cell>
          <cell r="F572">
            <v>14.508108108108116</v>
          </cell>
          <cell r="G572">
            <v>14.332432432432434</v>
          </cell>
          <cell r="H572">
            <v>14.332432432432434</v>
          </cell>
          <cell r="I572" t="e">
            <v>#N/A</v>
          </cell>
          <cell r="J572" t="e">
            <v>#N/A</v>
          </cell>
          <cell r="K572" t="e">
            <v>#N/A</v>
          </cell>
          <cell r="L572" t="e">
            <v>#N/A</v>
          </cell>
          <cell r="M572" t="e">
            <v>#N/A</v>
          </cell>
          <cell r="N572" t="e">
            <v>#N/A</v>
          </cell>
          <cell r="O572" t="e">
            <v>#N/A</v>
          </cell>
          <cell r="P572">
            <v>14.52</v>
          </cell>
          <cell r="Q572" t="str">
            <v/>
          </cell>
          <cell r="R572" t="e">
            <v>#N/A</v>
          </cell>
        </row>
        <row r="573">
          <cell r="A573">
            <v>40801</v>
          </cell>
          <cell r="B573">
            <v>40801</v>
          </cell>
          <cell r="C573" t="str">
            <v>Future</v>
          </cell>
          <cell r="D573" t="e">
            <v>#N/A</v>
          </cell>
          <cell r="E573">
            <v>13.574324324324321</v>
          </cell>
          <cell r="F573">
            <v>14.520270270270279</v>
          </cell>
          <cell r="G573">
            <v>14.331081081081082</v>
          </cell>
          <cell r="H573">
            <v>14.331081081081082</v>
          </cell>
          <cell r="I573" t="e">
            <v>#N/A</v>
          </cell>
          <cell r="J573" t="e">
            <v>#N/A</v>
          </cell>
          <cell r="K573" t="e">
            <v>#N/A</v>
          </cell>
          <cell r="L573" t="e">
            <v>#N/A</v>
          </cell>
          <cell r="M573" t="e">
            <v>#N/A</v>
          </cell>
          <cell r="N573" t="e">
            <v>#N/A</v>
          </cell>
          <cell r="O573" t="e">
            <v>#N/A</v>
          </cell>
          <cell r="P573">
            <v>14.52</v>
          </cell>
          <cell r="Q573" t="str">
            <v/>
          </cell>
          <cell r="R573" t="e">
            <v>#N/A</v>
          </cell>
        </row>
        <row r="574">
          <cell r="A574">
            <v>40802</v>
          </cell>
          <cell r="B574">
            <v>40802</v>
          </cell>
          <cell r="C574" t="str">
            <v>Future</v>
          </cell>
          <cell r="D574" t="e">
            <v>#N/A</v>
          </cell>
          <cell r="E574">
            <v>13.518918918918915</v>
          </cell>
          <cell r="F574">
            <v>14.532432432432442</v>
          </cell>
          <cell r="G574">
            <v>14.329729729729731</v>
          </cell>
          <cell r="H574">
            <v>14.329729729729731</v>
          </cell>
          <cell r="I574" t="e">
            <v>#N/A</v>
          </cell>
          <cell r="J574" t="e">
            <v>#N/A</v>
          </cell>
          <cell r="K574" t="e">
            <v>#N/A</v>
          </cell>
          <cell r="L574" t="e">
            <v>#N/A</v>
          </cell>
          <cell r="M574" t="e">
            <v>#N/A</v>
          </cell>
          <cell r="N574" t="e">
            <v>#N/A</v>
          </cell>
          <cell r="O574" t="e">
            <v>#N/A</v>
          </cell>
          <cell r="P574">
            <v>14.52</v>
          </cell>
          <cell r="Q574" t="str">
            <v/>
          </cell>
          <cell r="R574" t="e">
            <v>#N/A</v>
          </cell>
        </row>
        <row r="575">
          <cell r="A575">
            <v>40805</v>
          </cell>
          <cell r="B575">
            <v>40805</v>
          </cell>
          <cell r="C575" t="str">
            <v>Future</v>
          </cell>
          <cell r="D575" t="e">
            <v>#N/A</v>
          </cell>
          <cell r="E575">
            <v>13.46351351351351</v>
          </cell>
          <cell r="F575">
            <v>14.544594594594605</v>
          </cell>
          <cell r="G575">
            <v>14.32837837837838</v>
          </cell>
          <cell r="H575">
            <v>14.32837837837838</v>
          </cell>
          <cell r="I575" t="e">
            <v>#N/A</v>
          </cell>
          <cell r="J575" t="e">
            <v>#N/A</v>
          </cell>
          <cell r="K575" t="e">
            <v>#N/A</v>
          </cell>
          <cell r="L575" t="e">
            <v>#N/A</v>
          </cell>
          <cell r="M575" t="e">
            <v>#N/A</v>
          </cell>
          <cell r="N575" t="e">
            <v>#N/A</v>
          </cell>
          <cell r="O575" t="e">
            <v>#N/A</v>
          </cell>
          <cell r="P575">
            <v>14.52</v>
          </cell>
          <cell r="Q575" t="str">
            <v/>
          </cell>
          <cell r="R575" t="e">
            <v>#N/A</v>
          </cell>
        </row>
        <row r="576">
          <cell r="A576">
            <v>40806</v>
          </cell>
          <cell r="B576">
            <v>40806</v>
          </cell>
          <cell r="C576" t="str">
            <v>Future</v>
          </cell>
          <cell r="D576" t="e">
            <v>#N/A</v>
          </cell>
          <cell r="E576">
            <v>13.408108108108104</v>
          </cell>
          <cell r="F576">
            <v>14.556756756756768</v>
          </cell>
          <cell r="G576">
            <v>14.327027027027029</v>
          </cell>
          <cell r="H576">
            <v>14.327027027027029</v>
          </cell>
          <cell r="I576" t="e">
            <v>#N/A</v>
          </cell>
          <cell r="J576" t="e">
            <v>#N/A</v>
          </cell>
          <cell r="K576" t="e">
            <v>#N/A</v>
          </cell>
          <cell r="L576" t="e">
            <v>#N/A</v>
          </cell>
          <cell r="M576" t="e">
            <v>#N/A</v>
          </cell>
          <cell r="N576" t="e">
            <v>#N/A</v>
          </cell>
          <cell r="O576" t="e">
            <v>#N/A</v>
          </cell>
          <cell r="P576">
            <v>14.52</v>
          </cell>
          <cell r="Q576" t="str">
            <v/>
          </cell>
          <cell r="R576" t="e">
            <v>#N/A</v>
          </cell>
        </row>
        <row r="577">
          <cell r="A577">
            <v>40807</v>
          </cell>
          <cell r="B577">
            <v>40807</v>
          </cell>
          <cell r="C577" t="str">
            <v>Future</v>
          </cell>
          <cell r="D577" t="e">
            <v>#N/A</v>
          </cell>
          <cell r="E577">
            <v>13.352702702702699</v>
          </cell>
          <cell r="F577">
            <v>14.56891891891893</v>
          </cell>
          <cell r="G577">
            <v>14.325675675675678</v>
          </cell>
          <cell r="H577">
            <v>14.325675675675678</v>
          </cell>
          <cell r="I577" t="e">
            <v>#N/A</v>
          </cell>
          <cell r="J577" t="e">
            <v>#N/A</v>
          </cell>
          <cell r="K577" t="e">
            <v>#N/A</v>
          </cell>
          <cell r="L577" t="e">
            <v>#N/A</v>
          </cell>
          <cell r="M577" t="e">
            <v>#N/A</v>
          </cell>
          <cell r="N577" t="e">
            <v>#N/A</v>
          </cell>
          <cell r="O577" t="e">
            <v>#N/A</v>
          </cell>
          <cell r="P577">
            <v>14.52</v>
          </cell>
          <cell r="Q577" t="str">
            <v/>
          </cell>
          <cell r="R577" t="e">
            <v>#N/A</v>
          </cell>
        </row>
        <row r="578">
          <cell r="A578">
            <v>40808</v>
          </cell>
          <cell r="B578">
            <v>40808</v>
          </cell>
          <cell r="C578" t="str">
            <v>Future</v>
          </cell>
          <cell r="D578" t="e">
            <v>#N/A</v>
          </cell>
          <cell r="E578">
            <v>13.297297297297293</v>
          </cell>
          <cell r="F578">
            <v>14.581081081081093</v>
          </cell>
          <cell r="G578">
            <v>14.324324324324326</v>
          </cell>
          <cell r="H578">
            <v>14.324324324324326</v>
          </cell>
          <cell r="I578" t="e">
            <v>#N/A</v>
          </cell>
          <cell r="J578" t="e">
            <v>#N/A</v>
          </cell>
          <cell r="K578" t="e">
            <v>#N/A</v>
          </cell>
          <cell r="L578" t="e">
            <v>#N/A</v>
          </cell>
          <cell r="M578" t="e">
            <v>#N/A</v>
          </cell>
          <cell r="N578" t="e">
            <v>#N/A</v>
          </cell>
          <cell r="O578" t="e">
            <v>#N/A</v>
          </cell>
          <cell r="P578">
            <v>14.52</v>
          </cell>
          <cell r="Q578" t="str">
            <v/>
          </cell>
          <cell r="R578" t="e">
            <v>#N/A</v>
          </cell>
        </row>
        <row r="579">
          <cell r="A579">
            <v>40809</v>
          </cell>
          <cell r="B579">
            <v>40809</v>
          </cell>
          <cell r="C579" t="str">
            <v>Future</v>
          </cell>
          <cell r="D579" t="e">
            <v>#N/A</v>
          </cell>
          <cell r="E579">
            <v>13.241891891891887</v>
          </cell>
          <cell r="F579">
            <v>14.593243243243256</v>
          </cell>
          <cell r="G579">
            <v>14.322972972972975</v>
          </cell>
          <cell r="H579">
            <v>14.322972972972975</v>
          </cell>
          <cell r="I579" t="e">
            <v>#N/A</v>
          </cell>
          <cell r="J579" t="e">
            <v>#N/A</v>
          </cell>
          <cell r="K579" t="e">
            <v>#N/A</v>
          </cell>
          <cell r="L579" t="e">
            <v>#N/A</v>
          </cell>
          <cell r="M579" t="e">
            <v>#N/A</v>
          </cell>
          <cell r="N579" t="e">
            <v>#N/A</v>
          </cell>
          <cell r="O579" t="e">
            <v>#N/A</v>
          </cell>
          <cell r="P579">
            <v>14.52</v>
          </cell>
          <cell r="Q579" t="str">
            <v/>
          </cell>
          <cell r="R579" t="e">
            <v>#N/A</v>
          </cell>
        </row>
        <row r="580">
          <cell r="A580">
            <v>40812</v>
          </cell>
          <cell r="B580">
            <v>40812</v>
          </cell>
          <cell r="C580" t="str">
            <v>Future</v>
          </cell>
          <cell r="D580" t="e">
            <v>#N/A</v>
          </cell>
          <cell r="E580">
            <v>13.186486486486482</v>
          </cell>
          <cell r="F580">
            <v>14.605405405405419</v>
          </cell>
          <cell r="G580">
            <v>14.321621621621624</v>
          </cell>
          <cell r="H580">
            <v>14.321621621621624</v>
          </cell>
          <cell r="I580" t="e">
            <v>#N/A</v>
          </cell>
          <cell r="J580" t="e">
            <v>#N/A</v>
          </cell>
          <cell r="K580" t="e">
            <v>#N/A</v>
          </cell>
          <cell r="L580" t="e">
            <v>#N/A</v>
          </cell>
          <cell r="M580" t="e">
            <v>#N/A</v>
          </cell>
          <cell r="N580" t="e">
            <v>#N/A</v>
          </cell>
          <cell r="O580" t="e">
            <v>#N/A</v>
          </cell>
          <cell r="P580">
            <v>14.52</v>
          </cell>
          <cell r="Q580" t="str">
            <v/>
          </cell>
          <cell r="R580" t="e">
            <v>#N/A</v>
          </cell>
        </row>
        <row r="581">
          <cell r="A581">
            <v>40813</v>
          </cell>
          <cell r="B581">
            <v>40813</v>
          </cell>
          <cell r="C581" t="str">
            <v>Future</v>
          </cell>
          <cell r="D581" t="e">
            <v>#N/A</v>
          </cell>
          <cell r="E581">
            <v>13.131081081081076</v>
          </cell>
          <cell r="F581">
            <v>14.617567567567582</v>
          </cell>
          <cell r="G581">
            <v>14.320270270270273</v>
          </cell>
          <cell r="H581">
            <v>14.320270270270273</v>
          </cell>
          <cell r="I581" t="e">
            <v>#N/A</v>
          </cell>
          <cell r="J581" t="e">
            <v>#N/A</v>
          </cell>
          <cell r="K581" t="e">
            <v>#N/A</v>
          </cell>
          <cell r="L581" t="e">
            <v>#N/A</v>
          </cell>
          <cell r="M581" t="e">
            <v>#N/A</v>
          </cell>
          <cell r="N581" t="e">
            <v>#N/A</v>
          </cell>
          <cell r="O581" t="e">
            <v>#N/A</v>
          </cell>
          <cell r="P581">
            <v>14.52</v>
          </cell>
          <cell r="Q581" t="str">
            <v/>
          </cell>
          <cell r="R581" t="e">
            <v>#N/A</v>
          </cell>
        </row>
        <row r="582">
          <cell r="A582">
            <v>40814</v>
          </cell>
          <cell r="B582">
            <v>40814</v>
          </cell>
          <cell r="C582" t="str">
            <v>Future</v>
          </cell>
          <cell r="D582" t="e">
            <v>#N/A</v>
          </cell>
          <cell r="E582">
            <v>13.07567567567567</v>
          </cell>
          <cell r="F582">
            <v>14.629729729729744</v>
          </cell>
          <cell r="G582">
            <v>14.318918918918921</v>
          </cell>
          <cell r="H582">
            <v>14.318918918918921</v>
          </cell>
          <cell r="I582" t="e">
            <v>#N/A</v>
          </cell>
          <cell r="J582" t="e">
            <v>#N/A</v>
          </cell>
          <cell r="K582" t="e">
            <v>#N/A</v>
          </cell>
          <cell r="L582" t="e">
            <v>#N/A</v>
          </cell>
          <cell r="M582" t="e">
            <v>#N/A</v>
          </cell>
          <cell r="N582" t="e">
            <v>#N/A</v>
          </cell>
          <cell r="O582" t="e">
            <v>#N/A</v>
          </cell>
          <cell r="P582">
            <v>14.52</v>
          </cell>
          <cell r="Q582" t="str">
            <v/>
          </cell>
          <cell r="R582" t="e">
            <v>#N/A</v>
          </cell>
        </row>
        <row r="583">
          <cell r="A583">
            <v>40815</v>
          </cell>
          <cell r="B583">
            <v>40815</v>
          </cell>
          <cell r="C583" t="str">
            <v>Future</v>
          </cell>
          <cell r="D583" t="e">
            <v>#N/A</v>
          </cell>
          <cell r="E583">
            <v>13.020270270270265</v>
          </cell>
          <cell r="F583">
            <v>14.641891891891907</v>
          </cell>
          <cell r="G583">
            <v>14.31756756756757</v>
          </cell>
          <cell r="H583">
            <v>14.31756756756757</v>
          </cell>
          <cell r="I583" t="e">
            <v>#N/A</v>
          </cell>
          <cell r="J583" t="e">
            <v>#N/A</v>
          </cell>
          <cell r="K583" t="e">
            <v>#N/A</v>
          </cell>
          <cell r="L583" t="e">
            <v>#N/A</v>
          </cell>
          <cell r="M583" t="e">
            <v>#N/A</v>
          </cell>
          <cell r="N583" t="e">
            <v>#N/A</v>
          </cell>
          <cell r="O583" t="e">
            <v>#N/A</v>
          </cell>
          <cell r="P583">
            <v>14.52</v>
          </cell>
          <cell r="Q583" t="str">
            <v/>
          </cell>
          <cell r="R583" t="e">
            <v>#N/A</v>
          </cell>
        </row>
        <row r="584">
          <cell r="A584">
            <v>40816</v>
          </cell>
          <cell r="B584">
            <v>40816</v>
          </cell>
          <cell r="C584" t="str">
            <v>Future</v>
          </cell>
          <cell r="D584" t="e">
            <v>#N/A</v>
          </cell>
          <cell r="E584">
            <v>12.964864864864859</v>
          </cell>
          <cell r="F584">
            <v>14.65405405405407</v>
          </cell>
          <cell r="G584">
            <v>14.316216216216219</v>
          </cell>
          <cell r="H584">
            <v>14.316216216216219</v>
          </cell>
          <cell r="I584" t="e">
            <v>#N/A</v>
          </cell>
          <cell r="J584" t="e">
            <v>#N/A</v>
          </cell>
          <cell r="K584" t="e">
            <v>#N/A</v>
          </cell>
          <cell r="L584" t="e">
            <v>#N/A</v>
          </cell>
          <cell r="M584" t="e">
            <v>#N/A</v>
          </cell>
          <cell r="N584" t="e">
            <v>#N/A</v>
          </cell>
          <cell r="O584" t="e">
            <v>#N/A</v>
          </cell>
          <cell r="P584">
            <v>14.52</v>
          </cell>
          <cell r="Q584" t="str">
            <v/>
          </cell>
          <cell r="R584" t="e">
            <v>#N/A</v>
          </cell>
        </row>
        <row r="585">
          <cell r="A585">
            <v>40819</v>
          </cell>
          <cell r="B585">
            <v>40819</v>
          </cell>
          <cell r="C585" t="str">
            <v>Future</v>
          </cell>
          <cell r="D585" t="e">
            <v>#N/A</v>
          </cell>
          <cell r="E585">
            <v>12.909459459459454</v>
          </cell>
          <cell r="F585">
            <v>14.666216216216233</v>
          </cell>
          <cell r="G585">
            <v>14.314864864864868</v>
          </cell>
          <cell r="H585">
            <v>14.314864864864868</v>
          </cell>
          <cell r="I585" t="e">
            <v>#N/A</v>
          </cell>
          <cell r="J585" t="e">
            <v>#N/A</v>
          </cell>
          <cell r="K585" t="e">
            <v>#N/A</v>
          </cell>
          <cell r="L585" t="e">
            <v>#N/A</v>
          </cell>
          <cell r="M585" t="e">
            <v>#N/A</v>
          </cell>
          <cell r="N585" t="e">
            <v>#N/A</v>
          </cell>
          <cell r="O585" t="e">
            <v>#N/A</v>
          </cell>
          <cell r="P585">
            <v>14.52</v>
          </cell>
          <cell r="Q585" t="str">
            <v/>
          </cell>
          <cell r="R585" t="e">
            <v>#N/A</v>
          </cell>
        </row>
        <row r="586">
          <cell r="A586">
            <v>40820</v>
          </cell>
          <cell r="B586">
            <v>40820</v>
          </cell>
          <cell r="C586" t="str">
            <v>Future</v>
          </cell>
          <cell r="D586" t="e">
            <v>#N/A</v>
          </cell>
          <cell r="E586">
            <v>12.854054054054048</v>
          </cell>
          <cell r="F586">
            <v>14.678378378378396</v>
          </cell>
          <cell r="G586">
            <v>14.313513513513517</v>
          </cell>
          <cell r="H586">
            <v>14.313513513513517</v>
          </cell>
          <cell r="I586" t="e">
            <v>#N/A</v>
          </cell>
          <cell r="J586" t="e">
            <v>#N/A</v>
          </cell>
          <cell r="K586" t="e">
            <v>#N/A</v>
          </cell>
          <cell r="L586" t="e">
            <v>#N/A</v>
          </cell>
          <cell r="M586" t="e">
            <v>#N/A</v>
          </cell>
          <cell r="N586" t="e">
            <v>#N/A</v>
          </cell>
          <cell r="O586" t="e">
            <v>#N/A</v>
          </cell>
          <cell r="P586">
            <v>14.52</v>
          </cell>
          <cell r="Q586" t="str">
            <v/>
          </cell>
          <cell r="R586" t="e">
            <v>#N/A</v>
          </cell>
        </row>
        <row r="587">
          <cell r="A587">
            <v>40821</v>
          </cell>
          <cell r="B587">
            <v>40821</v>
          </cell>
          <cell r="C587" t="str">
            <v>Future</v>
          </cell>
          <cell r="D587" t="e">
            <v>#N/A</v>
          </cell>
          <cell r="E587">
            <v>12.798648648648642</v>
          </cell>
          <cell r="F587">
            <v>14.690540540540558</v>
          </cell>
          <cell r="G587">
            <v>14.312162162162165</v>
          </cell>
          <cell r="H587">
            <v>14.312162162162165</v>
          </cell>
          <cell r="I587" t="e">
            <v>#N/A</v>
          </cell>
          <cell r="J587" t="e">
            <v>#N/A</v>
          </cell>
          <cell r="K587" t="e">
            <v>#N/A</v>
          </cell>
          <cell r="L587" t="e">
            <v>#N/A</v>
          </cell>
          <cell r="M587" t="e">
            <v>#N/A</v>
          </cell>
          <cell r="N587" t="e">
            <v>#N/A</v>
          </cell>
          <cell r="O587" t="e">
            <v>#N/A</v>
          </cell>
          <cell r="P587">
            <v>14.52</v>
          </cell>
          <cell r="Q587" t="str">
            <v/>
          </cell>
          <cell r="R587" t="e">
            <v>#N/A</v>
          </cell>
        </row>
        <row r="588">
          <cell r="A588">
            <v>40822</v>
          </cell>
          <cell r="B588">
            <v>40822</v>
          </cell>
          <cell r="C588" t="str">
            <v>Future</v>
          </cell>
          <cell r="D588" t="e">
            <v>#N/A</v>
          </cell>
          <cell r="E588">
            <v>12.743243243243237</v>
          </cell>
          <cell r="F588">
            <v>14.702702702702721</v>
          </cell>
          <cell r="G588">
            <v>14.310810810810814</v>
          </cell>
          <cell r="H588">
            <v>14.310810810810814</v>
          </cell>
          <cell r="I588" t="e">
            <v>#N/A</v>
          </cell>
          <cell r="J588" t="e">
            <v>#N/A</v>
          </cell>
          <cell r="K588" t="e">
            <v>#N/A</v>
          </cell>
          <cell r="L588" t="e">
            <v>#N/A</v>
          </cell>
          <cell r="M588" t="e">
            <v>#N/A</v>
          </cell>
          <cell r="N588" t="e">
            <v>#N/A</v>
          </cell>
          <cell r="O588" t="e">
            <v>#N/A</v>
          </cell>
          <cell r="P588">
            <v>14.52</v>
          </cell>
          <cell r="Q588" t="str">
            <v/>
          </cell>
          <cell r="R588" t="e">
            <v>#N/A</v>
          </cell>
        </row>
        <row r="589">
          <cell r="A589">
            <v>40823</v>
          </cell>
          <cell r="B589">
            <v>40823</v>
          </cell>
          <cell r="C589" t="str">
            <v>Future</v>
          </cell>
          <cell r="D589" t="e">
            <v>#N/A</v>
          </cell>
          <cell r="E589">
            <v>12.687837837837831</v>
          </cell>
          <cell r="F589">
            <v>14.714864864864884</v>
          </cell>
          <cell r="G589">
            <v>14.309459459459463</v>
          </cell>
          <cell r="H589">
            <v>14.309459459459463</v>
          </cell>
          <cell r="I589" t="e">
            <v>#N/A</v>
          </cell>
          <cell r="J589" t="e">
            <v>#N/A</v>
          </cell>
          <cell r="K589" t="e">
            <v>#N/A</v>
          </cell>
          <cell r="L589" t="e">
            <v>#N/A</v>
          </cell>
          <cell r="M589" t="e">
            <v>#N/A</v>
          </cell>
          <cell r="N589" t="e">
            <v>#N/A</v>
          </cell>
          <cell r="O589" t="e">
            <v>#N/A</v>
          </cell>
          <cell r="P589">
            <v>14.52</v>
          </cell>
          <cell r="Q589" t="str">
            <v/>
          </cell>
          <cell r="R589" t="e">
            <v>#N/A</v>
          </cell>
        </row>
        <row r="590">
          <cell r="A590">
            <v>40826</v>
          </cell>
          <cell r="B590">
            <v>40826</v>
          </cell>
          <cell r="C590" t="str">
            <v>Future</v>
          </cell>
          <cell r="D590" t="e">
            <v>#N/A</v>
          </cell>
          <cell r="E590">
            <v>12.632432432432426</v>
          </cell>
          <cell r="F590">
            <v>14.727027027027047</v>
          </cell>
          <cell r="G590">
            <v>14.308108108108112</v>
          </cell>
          <cell r="H590">
            <v>14.308108108108112</v>
          </cell>
          <cell r="I590" t="e">
            <v>#N/A</v>
          </cell>
          <cell r="J590" t="e">
            <v>#N/A</v>
          </cell>
          <cell r="K590" t="e">
            <v>#N/A</v>
          </cell>
          <cell r="L590" t="e">
            <v>#N/A</v>
          </cell>
          <cell r="M590" t="e">
            <v>#N/A</v>
          </cell>
          <cell r="N590" t="e">
            <v>#N/A</v>
          </cell>
          <cell r="O590" t="e">
            <v>#N/A</v>
          </cell>
          <cell r="P590">
            <v>14.52</v>
          </cell>
          <cell r="Q590" t="str">
            <v/>
          </cell>
          <cell r="R590" t="e">
            <v>#N/A</v>
          </cell>
        </row>
        <row r="591">
          <cell r="A591">
            <v>40827</v>
          </cell>
          <cell r="B591">
            <v>40827</v>
          </cell>
          <cell r="C591" t="str">
            <v>Future</v>
          </cell>
          <cell r="D591" t="e">
            <v>#N/A</v>
          </cell>
          <cell r="E591">
            <v>12.57702702702702</v>
          </cell>
          <cell r="F591">
            <v>14.73918918918921</v>
          </cell>
          <cell r="G591">
            <v>14.30675675675676</v>
          </cell>
          <cell r="H591">
            <v>14.30675675675676</v>
          </cell>
          <cell r="I591" t="e">
            <v>#N/A</v>
          </cell>
          <cell r="J591" t="e">
            <v>#N/A</v>
          </cell>
          <cell r="K591" t="e">
            <v>#N/A</v>
          </cell>
          <cell r="L591" t="e">
            <v>#N/A</v>
          </cell>
          <cell r="M591" t="e">
            <v>#N/A</v>
          </cell>
          <cell r="N591" t="e">
            <v>#N/A</v>
          </cell>
          <cell r="O591" t="e">
            <v>#N/A</v>
          </cell>
          <cell r="P591">
            <v>14.52</v>
          </cell>
          <cell r="Q591" t="str">
            <v/>
          </cell>
          <cell r="R591" t="e">
            <v>#N/A</v>
          </cell>
        </row>
        <row r="592">
          <cell r="A592">
            <v>40828</v>
          </cell>
          <cell r="B592">
            <v>40828</v>
          </cell>
          <cell r="C592" t="str">
            <v>Future</v>
          </cell>
          <cell r="D592" t="e">
            <v>#N/A</v>
          </cell>
          <cell r="E592">
            <v>12.521621621621614</v>
          </cell>
          <cell r="F592">
            <v>14.751351351351373</v>
          </cell>
          <cell r="G592">
            <v>14.305405405405409</v>
          </cell>
          <cell r="H592">
            <v>14.305405405405409</v>
          </cell>
          <cell r="I592" t="e">
            <v>#N/A</v>
          </cell>
          <cell r="J592" t="e">
            <v>#N/A</v>
          </cell>
          <cell r="K592" t="e">
            <v>#N/A</v>
          </cell>
          <cell r="L592" t="e">
            <v>#N/A</v>
          </cell>
          <cell r="M592" t="e">
            <v>#N/A</v>
          </cell>
          <cell r="N592" t="e">
            <v>#N/A</v>
          </cell>
          <cell r="O592" t="e">
            <v>#N/A</v>
          </cell>
          <cell r="P592">
            <v>14.52</v>
          </cell>
          <cell r="Q592" t="str">
            <v/>
          </cell>
          <cell r="R592" t="e">
            <v>#N/A</v>
          </cell>
        </row>
        <row r="593">
          <cell r="A593">
            <v>40829</v>
          </cell>
          <cell r="B593">
            <v>40829</v>
          </cell>
          <cell r="C593" t="str">
            <v>Future</v>
          </cell>
          <cell r="D593" t="e">
            <v>#N/A</v>
          </cell>
          <cell r="E593">
            <v>12.466216216216209</v>
          </cell>
          <cell r="F593">
            <v>14.763513513513535</v>
          </cell>
          <cell r="G593">
            <v>14.304054054054058</v>
          </cell>
          <cell r="H593">
            <v>14.304054054054058</v>
          </cell>
          <cell r="I593" t="e">
            <v>#N/A</v>
          </cell>
          <cell r="J593" t="e">
            <v>#N/A</v>
          </cell>
          <cell r="K593" t="e">
            <v>#N/A</v>
          </cell>
          <cell r="L593" t="e">
            <v>#N/A</v>
          </cell>
          <cell r="M593" t="e">
            <v>#N/A</v>
          </cell>
          <cell r="N593" t="e">
            <v>#N/A</v>
          </cell>
          <cell r="O593" t="e">
            <v>#N/A</v>
          </cell>
          <cell r="P593">
            <v>14.52</v>
          </cell>
          <cell r="Q593" t="str">
            <v/>
          </cell>
          <cell r="R593" t="e">
            <v>#N/A</v>
          </cell>
        </row>
        <row r="594">
          <cell r="A594">
            <v>40830</v>
          </cell>
          <cell r="B594">
            <v>40830</v>
          </cell>
          <cell r="C594" t="str">
            <v>Future</v>
          </cell>
          <cell r="D594" t="e">
            <v>#N/A</v>
          </cell>
          <cell r="E594">
            <v>12.410810810810803</v>
          </cell>
          <cell r="F594">
            <v>14.775675675675698</v>
          </cell>
          <cell r="G594">
            <v>14.302702702702707</v>
          </cell>
          <cell r="H594">
            <v>14.302702702702707</v>
          </cell>
          <cell r="I594" t="e">
            <v>#N/A</v>
          </cell>
          <cell r="J594" t="e">
            <v>#N/A</v>
          </cell>
          <cell r="K594" t="e">
            <v>#N/A</v>
          </cell>
          <cell r="L594" t="e">
            <v>#N/A</v>
          </cell>
          <cell r="M594" t="e">
            <v>#N/A</v>
          </cell>
          <cell r="N594" t="e">
            <v>#N/A</v>
          </cell>
          <cell r="O594" t="e">
            <v>#N/A</v>
          </cell>
          <cell r="P594">
            <v>14.52</v>
          </cell>
          <cell r="Q594" t="str">
            <v/>
          </cell>
          <cell r="R594" t="e">
            <v>#N/A</v>
          </cell>
        </row>
        <row r="595">
          <cell r="A595">
            <v>40833</v>
          </cell>
          <cell r="B595">
            <v>40833</v>
          </cell>
          <cell r="C595" t="str">
            <v>Future</v>
          </cell>
          <cell r="D595" t="e">
            <v>#N/A</v>
          </cell>
          <cell r="E595">
            <v>12.355405405405397</v>
          </cell>
          <cell r="F595">
            <v>14.787837837837861</v>
          </cell>
          <cell r="G595">
            <v>14.301351351351355</v>
          </cell>
          <cell r="H595">
            <v>14.301351351351355</v>
          </cell>
          <cell r="I595" t="e">
            <v>#N/A</v>
          </cell>
          <cell r="J595" t="e">
            <v>#N/A</v>
          </cell>
          <cell r="K595" t="e">
            <v>#N/A</v>
          </cell>
          <cell r="L595" t="e">
            <v>#N/A</v>
          </cell>
          <cell r="M595" t="e">
            <v>#N/A</v>
          </cell>
          <cell r="N595" t="e">
            <v>#N/A</v>
          </cell>
          <cell r="O595" t="e">
            <v>#N/A</v>
          </cell>
          <cell r="P595">
            <v>14.52</v>
          </cell>
          <cell r="Q595" t="str">
            <v/>
          </cell>
          <cell r="R595" t="e">
            <v>#N/A</v>
          </cell>
        </row>
        <row r="596">
          <cell r="A596">
            <v>40834</v>
          </cell>
          <cell r="B596">
            <v>40834</v>
          </cell>
          <cell r="C596" t="str">
            <v>Future</v>
          </cell>
          <cell r="D596" t="e">
            <v>#N/A</v>
          </cell>
          <cell r="E596">
            <v>12.299999999999992</v>
          </cell>
          <cell r="F596">
            <v>14.800000000000024</v>
          </cell>
          <cell r="G596">
            <v>14.300000000000004</v>
          </cell>
          <cell r="H596">
            <v>14.300000000000004</v>
          </cell>
          <cell r="I596" t="e">
            <v>#N/A</v>
          </cell>
          <cell r="J596" t="e">
            <v>#N/A</v>
          </cell>
          <cell r="K596" t="e">
            <v>#N/A</v>
          </cell>
          <cell r="L596" t="e">
            <v>#N/A</v>
          </cell>
          <cell r="M596" t="e">
            <v>#N/A</v>
          </cell>
          <cell r="N596" t="e">
            <v>#N/A</v>
          </cell>
          <cell r="O596" t="e">
            <v>#N/A</v>
          </cell>
          <cell r="P596">
            <v>14.52</v>
          </cell>
          <cell r="Q596" t="str">
            <v/>
          </cell>
          <cell r="R596" t="e">
            <v>#N/A</v>
          </cell>
        </row>
        <row r="597">
          <cell r="A597">
            <v>40835</v>
          </cell>
          <cell r="B597">
            <v>40835</v>
          </cell>
          <cell r="C597" t="str">
            <v>Future</v>
          </cell>
          <cell r="D597" t="e">
            <v>#N/A</v>
          </cell>
          <cell r="E597">
            <v>12.244594594594586</v>
          </cell>
          <cell r="F597">
            <v>14.812162162162187</v>
          </cell>
          <cell r="G597">
            <v>14.298648648648653</v>
          </cell>
          <cell r="H597">
            <v>14.298648648648653</v>
          </cell>
          <cell r="I597" t="e">
            <v>#N/A</v>
          </cell>
          <cell r="J597" t="e">
            <v>#N/A</v>
          </cell>
          <cell r="K597" t="e">
            <v>#N/A</v>
          </cell>
          <cell r="L597" t="e">
            <v>#N/A</v>
          </cell>
          <cell r="M597" t="e">
            <v>#N/A</v>
          </cell>
          <cell r="N597" t="e">
            <v>#N/A</v>
          </cell>
          <cell r="O597" t="e">
            <v>#N/A</v>
          </cell>
          <cell r="P597">
            <v>14.52</v>
          </cell>
          <cell r="Q597" t="str">
            <v/>
          </cell>
          <cell r="R597" t="e">
            <v>#N/A</v>
          </cell>
        </row>
        <row r="598">
          <cell r="A598">
            <v>40836</v>
          </cell>
          <cell r="B598">
            <v>40836</v>
          </cell>
          <cell r="C598" t="str">
            <v>Future</v>
          </cell>
          <cell r="D598" t="e">
            <v>#N/A</v>
          </cell>
          <cell r="E598">
            <v>12.189189189189181</v>
          </cell>
          <cell r="F598">
            <v>14.824324324324349</v>
          </cell>
          <cell r="G598">
            <v>14.297297297297302</v>
          </cell>
          <cell r="H598">
            <v>14.297297297297302</v>
          </cell>
          <cell r="I598" t="e">
            <v>#N/A</v>
          </cell>
          <cell r="J598" t="e">
            <v>#N/A</v>
          </cell>
          <cell r="K598" t="e">
            <v>#N/A</v>
          </cell>
          <cell r="L598" t="e">
            <v>#N/A</v>
          </cell>
          <cell r="M598" t="e">
            <v>#N/A</v>
          </cell>
          <cell r="N598" t="e">
            <v>#N/A</v>
          </cell>
          <cell r="O598" t="e">
            <v>#N/A</v>
          </cell>
          <cell r="P598">
            <v>14.52</v>
          </cell>
          <cell r="Q598" t="str">
            <v/>
          </cell>
          <cell r="R598" t="e">
            <v>#N/A</v>
          </cell>
        </row>
        <row r="599">
          <cell r="A599">
            <v>40837</v>
          </cell>
          <cell r="B599">
            <v>40837</v>
          </cell>
          <cell r="C599" t="str">
            <v>Future</v>
          </cell>
          <cell r="D599" t="e">
            <v>#N/A</v>
          </cell>
          <cell r="E599">
            <v>12.133783783783775</v>
          </cell>
          <cell r="F599">
            <v>14.836486486486512</v>
          </cell>
          <cell r="G599">
            <v>14.295945945945951</v>
          </cell>
          <cell r="H599">
            <v>14.295945945945951</v>
          </cell>
          <cell r="I599" t="e">
            <v>#N/A</v>
          </cell>
          <cell r="J599" t="e">
            <v>#N/A</v>
          </cell>
          <cell r="K599" t="e">
            <v>#N/A</v>
          </cell>
          <cell r="L599" t="e">
            <v>#N/A</v>
          </cell>
          <cell r="M599" t="e">
            <v>#N/A</v>
          </cell>
          <cell r="N599" t="e">
            <v>#N/A</v>
          </cell>
          <cell r="O599" t="e">
            <v>#N/A</v>
          </cell>
          <cell r="P599">
            <v>14.52</v>
          </cell>
          <cell r="Q599" t="str">
            <v/>
          </cell>
          <cell r="R599" t="e">
            <v>#N/A</v>
          </cell>
        </row>
        <row r="600">
          <cell r="A600">
            <v>40840</v>
          </cell>
          <cell r="B600">
            <v>40840</v>
          </cell>
          <cell r="C600" t="str">
            <v>Future</v>
          </cell>
          <cell r="D600" t="e">
            <v>#N/A</v>
          </cell>
          <cell r="E600">
            <v>12.078378378378369</v>
          </cell>
          <cell r="F600">
            <v>14.848648648648675</v>
          </cell>
          <cell r="G600">
            <v>14.294594594594599</v>
          </cell>
          <cell r="H600">
            <v>14.294594594594599</v>
          </cell>
          <cell r="I600" t="e">
            <v>#N/A</v>
          </cell>
          <cell r="J600" t="e">
            <v>#N/A</v>
          </cell>
          <cell r="K600" t="e">
            <v>#N/A</v>
          </cell>
          <cell r="L600" t="e">
            <v>#N/A</v>
          </cell>
          <cell r="M600" t="e">
            <v>#N/A</v>
          </cell>
          <cell r="N600" t="e">
            <v>#N/A</v>
          </cell>
          <cell r="O600" t="e">
            <v>#N/A</v>
          </cell>
          <cell r="P600">
            <v>14.52</v>
          </cell>
          <cell r="Q600" t="str">
            <v/>
          </cell>
          <cell r="R600" t="e">
            <v>#N/A</v>
          </cell>
        </row>
        <row r="601">
          <cell r="A601">
            <v>40841</v>
          </cell>
          <cell r="B601">
            <v>40841</v>
          </cell>
          <cell r="C601" t="str">
            <v>Future</v>
          </cell>
          <cell r="D601" t="e">
            <v>#N/A</v>
          </cell>
          <cell r="E601">
            <v>12.022972972972964</v>
          </cell>
          <cell r="F601">
            <v>14.860810810810838</v>
          </cell>
          <cell r="G601">
            <v>14.293243243243248</v>
          </cell>
          <cell r="H601">
            <v>14.293243243243248</v>
          </cell>
          <cell r="I601" t="e">
            <v>#N/A</v>
          </cell>
          <cell r="J601" t="e">
            <v>#N/A</v>
          </cell>
          <cell r="K601" t="e">
            <v>#N/A</v>
          </cell>
          <cell r="L601" t="e">
            <v>#N/A</v>
          </cell>
          <cell r="M601" t="e">
            <v>#N/A</v>
          </cell>
          <cell r="N601" t="e">
            <v>#N/A</v>
          </cell>
          <cell r="O601" t="e">
            <v>#N/A</v>
          </cell>
          <cell r="P601">
            <v>14.52</v>
          </cell>
          <cell r="Q601" t="str">
            <v/>
          </cell>
          <cell r="R601" t="e">
            <v>#N/A</v>
          </cell>
        </row>
        <row r="602">
          <cell r="A602">
            <v>40842</v>
          </cell>
          <cell r="B602">
            <v>40842</v>
          </cell>
          <cell r="C602" t="str">
            <v>Future</v>
          </cell>
          <cell r="D602" t="e">
            <v>#N/A</v>
          </cell>
          <cell r="E602">
            <v>11.967567567567558</v>
          </cell>
          <cell r="F602">
            <v>14.872972972973001</v>
          </cell>
          <cell r="G602">
            <v>14.291891891891897</v>
          </cell>
          <cell r="H602">
            <v>14.291891891891897</v>
          </cell>
          <cell r="I602" t="e">
            <v>#N/A</v>
          </cell>
          <cell r="J602" t="e">
            <v>#N/A</v>
          </cell>
          <cell r="K602" t="e">
            <v>#N/A</v>
          </cell>
          <cell r="L602" t="e">
            <v>#N/A</v>
          </cell>
          <cell r="M602" t="e">
            <v>#N/A</v>
          </cell>
          <cell r="N602" t="e">
            <v>#N/A</v>
          </cell>
          <cell r="O602" t="e">
            <v>#N/A</v>
          </cell>
          <cell r="P602">
            <v>14.52</v>
          </cell>
          <cell r="Q602" t="str">
            <v/>
          </cell>
          <cell r="R602" t="e">
            <v>#N/A</v>
          </cell>
        </row>
        <row r="603">
          <cell r="A603">
            <v>40843</v>
          </cell>
          <cell r="B603">
            <v>40843</v>
          </cell>
          <cell r="C603" t="str">
            <v>Future</v>
          </cell>
          <cell r="D603" t="e">
            <v>#N/A</v>
          </cell>
          <cell r="E603">
            <v>11.912162162162153</v>
          </cell>
          <cell r="F603">
            <v>14.885135135135164</v>
          </cell>
          <cell r="G603">
            <v>14.290540540540546</v>
          </cell>
          <cell r="H603">
            <v>14.290540540540546</v>
          </cell>
          <cell r="I603" t="e">
            <v>#N/A</v>
          </cell>
          <cell r="J603" t="e">
            <v>#N/A</v>
          </cell>
          <cell r="K603" t="e">
            <v>#N/A</v>
          </cell>
          <cell r="L603" t="e">
            <v>#N/A</v>
          </cell>
          <cell r="M603" t="e">
            <v>#N/A</v>
          </cell>
          <cell r="N603" t="e">
            <v>#N/A</v>
          </cell>
          <cell r="O603" t="e">
            <v>#N/A</v>
          </cell>
          <cell r="P603">
            <v>14.52</v>
          </cell>
          <cell r="Q603" t="str">
            <v/>
          </cell>
          <cell r="R603" t="e">
            <v>#N/A</v>
          </cell>
        </row>
        <row r="604">
          <cell r="A604">
            <v>40844</v>
          </cell>
          <cell r="B604">
            <v>40844</v>
          </cell>
          <cell r="C604" t="str">
            <v>Future</v>
          </cell>
          <cell r="D604" t="e">
            <v>#N/A</v>
          </cell>
          <cell r="E604">
            <v>11.856756756756747</v>
          </cell>
          <cell r="F604">
            <v>14.897297297297326</v>
          </cell>
          <cell r="G604">
            <v>14.289189189189194</v>
          </cell>
          <cell r="H604">
            <v>14.289189189189194</v>
          </cell>
          <cell r="I604" t="e">
            <v>#N/A</v>
          </cell>
          <cell r="J604" t="e">
            <v>#N/A</v>
          </cell>
          <cell r="K604" t="e">
            <v>#N/A</v>
          </cell>
          <cell r="L604" t="e">
            <v>#N/A</v>
          </cell>
          <cell r="M604" t="e">
            <v>#N/A</v>
          </cell>
          <cell r="N604" t="e">
            <v>#N/A</v>
          </cell>
          <cell r="O604" t="e">
            <v>#N/A</v>
          </cell>
          <cell r="P604">
            <v>14.52</v>
          </cell>
          <cell r="Q604" t="str">
            <v/>
          </cell>
          <cell r="R604" t="e">
            <v>#N/A</v>
          </cell>
        </row>
        <row r="605">
          <cell r="A605">
            <v>40847</v>
          </cell>
          <cell r="B605">
            <v>40847</v>
          </cell>
          <cell r="C605" t="str">
            <v>Future</v>
          </cell>
          <cell r="D605" t="e">
            <v>#N/A</v>
          </cell>
          <cell r="E605">
            <v>11.801351351351341</v>
          </cell>
          <cell r="F605">
            <v>14.909459459459489</v>
          </cell>
          <cell r="G605">
            <v>14.287837837837843</v>
          </cell>
          <cell r="H605">
            <v>14.287837837837843</v>
          </cell>
          <cell r="I605" t="e">
            <v>#N/A</v>
          </cell>
          <cell r="J605" t="e">
            <v>#N/A</v>
          </cell>
          <cell r="K605" t="e">
            <v>#N/A</v>
          </cell>
          <cell r="L605" t="e">
            <v>#N/A</v>
          </cell>
          <cell r="M605" t="e">
            <v>#N/A</v>
          </cell>
          <cell r="N605" t="e">
            <v>#N/A</v>
          </cell>
          <cell r="O605" t="e">
            <v>#N/A</v>
          </cell>
          <cell r="P605">
            <v>14.52</v>
          </cell>
          <cell r="Q605" t="str">
            <v/>
          </cell>
          <cell r="R605" t="e">
            <v>#N/A</v>
          </cell>
        </row>
        <row r="606">
          <cell r="A606">
            <v>40848</v>
          </cell>
          <cell r="B606">
            <v>40848</v>
          </cell>
          <cell r="C606" t="str">
            <v>Future</v>
          </cell>
          <cell r="D606" t="e">
            <v>#N/A</v>
          </cell>
          <cell r="E606">
            <v>11.745945945945936</v>
          </cell>
          <cell r="F606">
            <v>14.921621621621652</v>
          </cell>
          <cell r="G606">
            <v>14.286486486486492</v>
          </cell>
          <cell r="H606">
            <v>14.286486486486492</v>
          </cell>
          <cell r="I606" t="e">
            <v>#N/A</v>
          </cell>
          <cell r="J606" t="e">
            <v>#N/A</v>
          </cell>
          <cell r="K606" t="e">
            <v>#N/A</v>
          </cell>
          <cell r="L606" t="e">
            <v>#N/A</v>
          </cell>
          <cell r="M606" t="e">
            <v>#N/A</v>
          </cell>
          <cell r="N606" t="e">
            <v>#N/A</v>
          </cell>
          <cell r="O606" t="e">
            <v>#N/A</v>
          </cell>
          <cell r="P606">
            <v>14.52</v>
          </cell>
          <cell r="Q606" t="str">
            <v/>
          </cell>
          <cell r="R606" t="e">
            <v>#N/A</v>
          </cell>
        </row>
        <row r="607">
          <cell r="A607">
            <v>40849</v>
          </cell>
          <cell r="B607">
            <v>40849</v>
          </cell>
          <cell r="C607" t="str">
            <v>Future</v>
          </cell>
          <cell r="D607" t="e">
            <v>#N/A</v>
          </cell>
          <cell r="E607">
            <v>11.69054054054053</v>
          </cell>
          <cell r="F607">
            <v>14.933783783783815</v>
          </cell>
          <cell r="G607">
            <v>14.285135135135141</v>
          </cell>
          <cell r="H607">
            <v>14.285135135135141</v>
          </cell>
          <cell r="I607" t="e">
            <v>#N/A</v>
          </cell>
          <cell r="J607" t="e">
            <v>#N/A</v>
          </cell>
          <cell r="K607" t="e">
            <v>#N/A</v>
          </cell>
          <cell r="L607" t="e">
            <v>#N/A</v>
          </cell>
          <cell r="M607" t="e">
            <v>#N/A</v>
          </cell>
          <cell r="N607" t="e">
            <v>#N/A</v>
          </cell>
          <cell r="O607" t="e">
            <v>#N/A</v>
          </cell>
          <cell r="P607">
            <v>14.52</v>
          </cell>
          <cell r="Q607" t="str">
            <v/>
          </cell>
          <cell r="R607" t="e">
            <v>#N/A</v>
          </cell>
        </row>
        <row r="608">
          <cell r="A608">
            <v>40850</v>
          </cell>
          <cell r="B608">
            <v>40850</v>
          </cell>
          <cell r="C608" t="str">
            <v>Future</v>
          </cell>
          <cell r="D608" t="e">
            <v>#N/A</v>
          </cell>
          <cell r="E608">
            <v>11.635135135135124</v>
          </cell>
          <cell r="F608">
            <v>14.945945945945978</v>
          </cell>
          <cell r="G608">
            <v>14.28378378378379</v>
          </cell>
          <cell r="H608">
            <v>14.28378378378379</v>
          </cell>
          <cell r="I608" t="e">
            <v>#N/A</v>
          </cell>
          <cell r="J608" t="e">
            <v>#N/A</v>
          </cell>
          <cell r="K608" t="e">
            <v>#N/A</v>
          </cell>
          <cell r="L608" t="e">
            <v>#N/A</v>
          </cell>
          <cell r="M608" t="e">
            <v>#N/A</v>
          </cell>
          <cell r="N608" t="e">
            <v>#N/A</v>
          </cell>
          <cell r="O608" t="e">
            <v>#N/A</v>
          </cell>
          <cell r="P608">
            <v>14.52</v>
          </cell>
          <cell r="Q608" t="str">
            <v/>
          </cell>
          <cell r="R608" t="e">
            <v>#N/A</v>
          </cell>
        </row>
        <row r="609">
          <cell r="A609">
            <v>40851</v>
          </cell>
          <cell r="B609">
            <v>40851</v>
          </cell>
          <cell r="C609" t="str">
            <v>Future</v>
          </cell>
          <cell r="D609" t="e">
            <v>#N/A</v>
          </cell>
          <cell r="E609">
            <v>11.579729729729719</v>
          </cell>
          <cell r="F609">
            <v>14.95810810810814</v>
          </cell>
          <cell r="G609">
            <v>14.282432432432438</v>
          </cell>
          <cell r="H609">
            <v>14.282432432432438</v>
          </cell>
          <cell r="I609" t="e">
            <v>#N/A</v>
          </cell>
          <cell r="J609" t="e">
            <v>#N/A</v>
          </cell>
          <cell r="K609" t="e">
            <v>#N/A</v>
          </cell>
          <cell r="L609" t="e">
            <v>#N/A</v>
          </cell>
          <cell r="M609" t="e">
            <v>#N/A</v>
          </cell>
          <cell r="N609" t="e">
            <v>#N/A</v>
          </cell>
          <cell r="O609" t="e">
            <v>#N/A</v>
          </cell>
          <cell r="P609">
            <v>14.52</v>
          </cell>
          <cell r="Q609" t="str">
            <v/>
          </cell>
          <cell r="R609" t="e">
            <v>#N/A</v>
          </cell>
        </row>
        <row r="610">
          <cell r="A610">
            <v>40854</v>
          </cell>
          <cell r="B610">
            <v>40854</v>
          </cell>
          <cell r="C610" t="str">
            <v>Future</v>
          </cell>
          <cell r="D610" t="e">
            <v>#N/A</v>
          </cell>
          <cell r="E610">
            <v>11.524324324324313</v>
          </cell>
          <cell r="F610">
            <v>14.970270270270303</v>
          </cell>
          <cell r="G610">
            <v>14.281081081081087</v>
          </cell>
          <cell r="H610">
            <v>14.281081081081087</v>
          </cell>
          <cell r="I610" t="e">
            <v>#N/A</v>
          </cell>
          <cell r="J610" t="e">
            <v>#N/A</v>
          </cell>
          <cell r="K610" t="e">
            <v>#N/A</v>
          </cell>
          <cell r="L610" t="e">
            <v>#N/A</v>
          </cell>
          <cell r="M610" t="e">
            <v>#N/A</v>
          </cell>
          <cell r="N610" t="e">
            <v>#N/A</v>
          </cell>
          <cell r="O610" t="e">
            <v>#N/A</v>
          </cell>
          <cell r="P610">
            <v>14.52</v>
          </cell>
          <cell r="Q610" t="str">
            <v/>
          </cell>
          <cell r="R610" t="e">
            <v>#N/A</v>
          </cell>
        </row>
        <row r="611">
          <cell r="A611">
            <v>40855</v>
          </cell>
          <cell r="B611">
            <v>40855</v>
          </cell>
          <cell r="C611" t="str">
            <v>Future</v>
          </cell>
          <cell r="D611" t="e">
            <v>#N/A</v>
          </cell>
          <cell r="E611">
            <v>11.468918918918908</v>
          </cell>
          <cell r="F611">
            <v>14.982432432432466</v>
          </cell>
          <cell r="G611">
            <v>14.279729729729736</v>
          </cell>
          <cell r="H611">
            <v>14.279729729729736</v>
          </cell>
          <cell r="I611" t="e">
            <v>#N/A</v>
          </cell>
          <cell r="J611" t="e">
            <v>#N/A</v>
          </cell>
          <cell r="K611" t="e">
            <v>#N/A</v>
          </cell>
          <cell r="L611" t="e">
            <v>#N/A</v>
          </cell>
          <cell r="M611" t="e">
            <v>#N/A</v>
          </cell>
          <cell r="N611" t="e">
            <v>#N/A</v>
          </cell>
          <cell r="O611" t="e">
            <v>#N/A</v>
          </cell>
          <cell r="P611">
            <v>14.52</v>
          </cell>
          <cell r="Q611" t="str">
            <v/>
          </cell>
          <cell r="R611" t="e">
            <v>#N/A</v>
          </cell>
        </row>
        <row r="612">
          <cell r="A612">
            <v>40856</v>
          </cell>
          <cell r="B612">
            <v>40856</v>
          </cell>
          <cell r="C612" t="str">
            <v>Future</v>
          </cell>
          <cell r="D612" t="e">
            <v>#N/A</v>
          </cell>
          <cell r="E612">
            <v>11.413513513513502</v>
          </cell>
          <cell r="F612">
            <v>14.994594594594629</v>
          </cell>
          <cell r="G612">
            <v>14.278378378378385</v>
          </cell>
          <cell r="H612">
            <v>14.278378378378385</v>
          </cell>
          <cell r="I612" t="e">
            <v>#N/A</v>
          </cell>
          <cell r="J612" t="e">
            <v>#N/A</v>
          </cell>
          <cell r="K612" t="e">
            <v>#N/A</v>
          </cell>
          <cell r="L612" t="e">
            <v>#N/A</v>
          </cell>
          <cell r="M612" t="e">
            <v>#N/A</v>
          </cell>
          <cell r="N612" t="e">
            <v>#N/A</v>
          </cell>
          <cell r="O612" t="e">
            <v>#N/A</v>
          </cell>
          <cell r="P612">
            <v>14.52</v>
          </cell>
          <cell r="Q612" t="str">
            <v/>
          </cell>
          <cell r="R612" t="e">
            <v>#N/A</v>
          </cell>
        </row>
        <row r="613">
          <cell r="A613">
            <v>40857</v>
          </cell>
          <cell r="B613">
            <v>40857</v>
          </cell>
          <cell r="C613" t="str">
            <v>Future</v>
          </cell>
          <cell r="D613" t="e">
            <v>#N/A</v>
          </cell>
          <cell r="E613">
            <v>11.358108108108096</v>
          </cell>
          <cell r="F613">
            <v>15.006756756756792</v>
          </cell>
          <cell r="G613">
            <v>14.277027027027033</v>
          </cell>
          <cell r="H613">
            <v>14.277027027027033</v>
          </cell>
          <cell r="I613" t="e">
            <v>#N/A</v>
          </cell>
          <cell r="J613" t="e">
            <v>#N/A</v>
          </cell>
          <cell r="K613" t="e">
            <v>#N/A</v>
          </cell>
          <cell r="L613" t="e">
            <v>#N/A</v>
          </cell>
          <cell r="M613" t="e">
            <v>#N/A</v>
          </cell>
          <cell r="N613" t="e">
            <v>#N/A</v>
          </cell>
          <cell r="O613" t="e">
            <v>#N/A</v>
          </cell>
          <cell r="P613">
            <v>14.52</v>
          </cell>
          <cell r="Q613" t="str">
            <v/>
          </cell>
          <cell r="R613" t="e">
            <v>#N/A</v>
          </cell>
        </row>
        <row r="614">
          <cell r="A614">
            <v>40858</v>
          </cell>
          <cell r="B614">
            <v>40858</v>
          </cell>
          <cell r="C614" t="str">
            <v>Future</v>
          </cell>
          <cell r="D614" t="e">
            <v>#N/A</v>
          </cell>
          <cell r="E614">
            <v>11.302702702702691</v>
          </cell>
          <cell r="F614">
            <v>15.018918918918954</v>
          </cell>
          <cell r="G614">
            <v>14.275675675675682</v>
          </cell>
          <cell r="H614">
            <v>14.275675675675682</v>
          </cell>
          <cell r="I614" t="e">
            <v>#N/A</v>
          </cell>
          <cell r="J614" t="e">
            <v>#N/A</v>
          </cell>
          <cell r="K614" t="e">
            <v>#N/A</v>
          </cell>
          <cell r="L614" t="e">
            <v>#N/A</v>
          </cell>
          <cell r="M614" t="e">
            <v>#N/A</v>
          </cell>
          <cell r="N614" t="e">
            <v>#N/A</v>
          </cell>
          <cell r="O614" t="e">
            <v>#N/A</v>
          </cell>
          <cell r="P614">
            <v>14.52</v>
          </cell>
          <cell r="Q614" t="str">
            <v/>
          </cell>
          <cell r="R614" t="e">
            <v>#N/A</v>
          </cell>
        </row>
        <row r="615">
          <cell r="A615">
            <v>40861</v>
          </cell>
          <cell r="B615">
            <v>40861</v>
          </cell>
          <cell r="C615" t="str">
            <v>Future</v>
          </cell>
          <cell r="D615" t="e">
            <v>#N/A</v>
          </cell>
          <cell r="E615">
            <v>11.247297297297285</v>
          </cell>
          <cell r="F615">
            <v>15.031081081081117</v>
          </cell>
          <cell r="G615">
            <v>14.274324324324331</v>
          </cell>
          <cell r="H615">
            <v>14.274324324324331</v>
          </cell>
          <cell r="I615" t="e">
            <v>#N/A</v>
          </cell>
          <cell r="J615" t="e">
            <v>#N/A</v>
          </cell>
          <cell r="K615" t="e">
            <v>#N/A</v>
          </cell>
          <cell r="L615" t="e">
            <v>#N/A</v>
          </cell>
          <cell r="M615" t="e">
            <v>#N/A</v>
          </cell>
          <cell r="N615" t="e">
            <v>#N/A</v>
          </cell>
          <cell r="O615" t="e">
            <v>#N/A</v>
          </cell>
          <cell r="P615">
            <v>14.52</v>
          </cell>
          <cell r="Q615" t="str">
            <v/>
          </cell>
          <cell r="R615" t="e">
            <v>#N/A</v>
          </cell>
        </row>
        <row r="616">
          <cell r="A616">
            <v>40862</v>
          </cell>
          <cell r="B616">
            <v>40862</v>
          </cell>
          <cell r="C616" t="str">
            <v>Future</v>
          </cell>
          <cell r="D616" t="e">
            <v>#N/A</v>
          </cell>
          <cell r="E616">
            <v>11.191891891891879</v>
          </cell>
          <cell r="F616">
            <v>15.04324324324328</v>
          </cell>
          <cell r="G616">
            <v>14.27297297297298</v>
          </cell>
          <cell r="H616">
            <v>14.27297297297298</v>
          </cell>
          <cell r="I616" t="e">
            <v>#N/A</v>
          </cell>
          <cell r="J616" t="e">
            <v>#N/A</v>
          </cell>
          <cell r="K616" t="e">
            <v>#N/A</v>
          </cell>
          <cell r="L616" t="e">
            <v>#N/A</v>
          </cell>
          <cell r="M616" t="e">
            <v>#N/A</v>
          </cell>
          <cell r="N616" t="e">
            <v>#N/A</v>
          </cell>
          <cell r="O616" t="e">
            <v>#N/A</v>
          </cell>
          <cell r="P616">
            <v>14.52</v>
          </cell>
          <cell r="Q616" t="str">
            <v/>
          </cell>
          <cell r="R616" t="e">
            <v>#N/A</v>
          </cell>
        </row>
        <row r="617">
          <cell r="A617">
            <v>40863</v>
          </cell>
          <cell r="B617">
            <v>40863</v>
          </cell>
          <cell r="C617" t="str">
            <v>Future</v>
          </cell>
          <cell r="D617" t="e">
            <v>#N/A</v>
          </cell>
          <cell r="E617">
            <v>11.136486486486474</v>
          </cell>
          <cell r="F617">
            <v>15.055405405405443</v>
          </cell>
          <cell r="G617">
            <v>14.271621621621629</v>
          </cell>
          <cell r="H617">
            <v>14.271621621621629</v>
          </cell>
          <cell r="I617" t="e">
            <v>#N/A</v>
          </cell>
          <cell r="J617" t="e">
            <v>#N/A</v>
          </cell>
          <cell r="K617" t="e">
            <v>#N/A</v>
          </cell>
          <cell r="L617" t="e">
            <v>#N/A</v>
          </cell>
          <cell r="M617" t="e">
            <v>#N/A</v>
          </cell>
          <cell r="N617" t="e">
            <v>#N/A</v>
          </cell>
          <cell r="O617" t="e">
            <v>#N/A</v>
          </cell>
          <cell r="P617">
            <v>14.52</v>
          </cell>
          <cell r="Q617" t="str">
            <v/>
          </cell>
          <cell r="R617" t="e">
            <v>#N/A</v>
          </cell>
        </row>
        <row r="618">
          <cell r="A618">
            <v>40864</v>
          </cell>
          <cell r="B618">
            <v>40864</v>
          </cell>
          <cell r="C618" t="str">
            <v>Future</v>
          </cell>
          <cell r="D618" t="e">
            <v>#N/A</v>
          </cell>
          <cell r="E618">
            <v>11.081081081081068</v>
          </cell>
          <cell r="F618">
            <v>15.067567567567606</v>
          </cell>
          <cell r="G618">
            <v>14.270270270270277</v>
          </cell>
          <cell r="H618">
            <v>14.270270270270277</v>
          </cell>
          <cell r="I618" t="e">
            <v>#N/A</v>
          </cell>
          <cell r="J618" t="e">
            <v>#N/A</v>
          </cell>
          <cell r="K618" t="e">
            <v>#N/A</v>
          </cell>
          <cell r="L618" t="e">
            <v>#N/A</v>
          </cell>
          <cell r="M618" t="e">
            <v>#N/A</v>
          </cell>
          <cell r="N618" t="e">
            <v>#N/A</v>
          </cell>
          <cell r="O618" t="e">
            <v>#N/A</v>
          </cell>
          <cell r="P618">
            <v>14.52</v>
          </cell>
          <cell r="Q618" t="str">
            <v/>
          </cell>
          <cell r="R618" t="e">
            <v>#N/A</v>
          </cell>
        </row>
        <row r="619">
          <cell r="A619">
            <v>40865</v>
          </cell>
          <cell r="B619">
            <v>40865</v>
          </cell>
          <cell r="C619" t="str">
            <v>Future</v>
          </cell>
          <cell r="D619" t="e">
            <v>#N/A</v>
          </cell>
          <cell r="E619">
            <v>11.025675675675663</v>
          </cell>
          <cell r="F619">
            <v>15.079729729729769</v>
          </cell>
          <cell r="G619">
            <v>14.268918918918926</v>
          </cell>
          <cell r="H619">
            <v>14.268918918918926</v>
          </cell>
          <cell r="I619" t="e">
            <v>#N/A</v>
          </cell>
          <cell r="J619" t="e">
            <v>#N/A</v>
          </cell>
          <cell r="K619" t="e">
            <v>#N/A</v>
          </cell>
          <cell r="L619" t="e">
            <v>#N/A</v>
          </cell>
          <cell r="M619" t="e">
            <v>#N/A</v>
          </cell>
          <cell r="N619" t="e">
            <v>#N/A</v>
          </cell>
          <cell r="O619" t="e">
            <v>#N/A</v>
          </cell>
          <cell r="P619">
            <v>14.52</v>
          </cell>
          <cell r="Q619" t="str">
            <v/>
          </cell>
          <cell r="R619" t="e">
            <v>#N/A</v>
          </cell>
        </row>
        <row r="620">
          <cell r="A620">
            <v>40868</v>
          </cell>
          <cell r="B620">
            <v>40868</v>
          </cell>
          <cell r="C620" t="str">
            <v>Future</v>
          </cell>
          <cell r="D620" t="e">
            <v>#N/A</v>
          </cell>
          <cell r="E620">
            <v>10.970270270270257</v>
          </cell>
          <cell r="F620">
            <v>15.091891891891931</v>
          </cell>
          <cell r="G620">
            <v>14.267567567567575</v>
          </cell>
          <cell r="H620">
            <v>14.267567567567575</v>
          </cell>
          <cell r="I620" t="e">
            <v>#N/A</v>
          </cell>
          <cell r="J620" t="e">
            <v>#N/A</v>
          </cell>
          <cell r="K620" t="e">
            <v>#N/A</v>
          </cell>
          <cell r="L620" t="e">
            <v>#N/A</v>
          </cell>
          <cell r="M620" t="e">
            <v>#N/A</v>
          </cell>
          <cell r="N620" t="e">
            <v>#N/A</v>
          </cell>
          <cell r="O620" t="e">
            <v>#N/A</v>
          </cell>
          <cell r="P620">
            <v>14.52</v>
          </cell>
          <cell r="Q620" t="str">
            <v/>
          </cell>
          <cell r="R620" t="e">
            <v>#N/A</v>
          </cell>
        </row>
        <row r="621">
          <cell r="A621">
            <v>40869</v>
          </cell>
          <cell r="B621">
            <v>40869</v>
          </cell>
          <cell r="C621" t="str">
            <v>Future</v>
          </cell>
          <cell r="D621" t="e">
            <v>#N/A</v>
          </cell>
          <cell r="E621">
            <v>10.914864864864851</v>
          </cell>
          <cell r="F621">
            <v>15.104054054054094</v>
          </cell>
          <cell r="G621">
            <v>14.266216216216224</v>
          </cell>
          <cell r="H621">
            <v>14.266216216216224</v>
          </cell>
          <cell r="I621" t="e">
            <v>#N/A</v>
          </cell>
          <cell r="J621" t="e">
            <v>#N/A</v>
          </cell>
          <cell r="K621" t="e">
            <v>#N/A</v>
          </cell>
          <cell r="L621" t="e">
            <v>#N/A</v>
          </cell>
          <cell r="M621" t="e">
            <v>#N/A</v>
          </cell>
          <cell r="N621" t="e">
            <v>#N/A</v>
          </cell>
          <cell r="O621" t="e">
            <v>#N/A</v>
          </cell>
          <cell r="P621">
            <v>14.52</v>
          </cell>
          <cell r="Q621" t="str">
            <v/>
          </cell>
          <cell r="R621" t="e">
            <v>#N/A</v>
          </cell>
        </row>
        <row r="622">
          <cell r="A622">
            <v>40870</v>
          </cell>
          <cell r="B622">
            <v>40870</v>
          </cell>
          <cell r="C622" t="str">
            <v>Future</v>
          </cell>
          <cell r="D622" t="e">
            <v>#N/A</v>
          </cell>
          <cell r="E622">
            <v>10.859459459459446</v>
          </cell>
          <cell r="F622">
            <v>15.116216216216257</v>
          </cell>
          <cell r="G622">
            <v>14.264864864864872</v>
          </cell>
          <cell r="H622">
            <v>14.264864864864872</v>
          </cell>
          <cell r="I622" t="e">
            <v>#N/A</v>
          </cell>
          <cell r="J622" t="e">
            <v>#N/A</v>
          </cell>
          <cell r="K622" t="e">
            <v>#N/A</v>
          </cell>
          <cell r="L622" t="e">
            <v>#N/A</v>
          </cell>
          <cell r="M622" t="e">
            <v>#N/A</v>
          </cell>
          <cell r="N622" t="e">
            <v>#N/A</v>
          </cell>
          <cell r="O622" t="e">
            <v>#N/A</v>
          </cell>
          <cell r="P622">
            <v>14.52</v>
          </cell>
          <cell r="Q622" t="str">
            <v/>
          </cell>
          <cell r="R622" t="e">
            <v>#N/A</v>
          </cell>
        </row>
        <row r="623">
          <cell r="A623">
            <v>40872</v>
          </cell>
          <cell r="B623">
            <v>40872</v>
          </cell>
          <cell r="C623" t="str">
            <v>Future</v>
          </cell>
          <cell r="D623" t="e">
            <v>#N/A</v>
          </cell>
          <cell r="E623">
            <v>10.80405405405404</v>
          </cell>
          <cell r="F623">
            <v>15.12837837837842</v>
          </cell>
          <cell r="G623">
            <v>14.263513513513521</v>
          </cell>
          <cell r="H623">
            <v>14.263513513513521</v>
          </cell>
          <cell r="I623" t="e">
            <v>#N/A</v>
          </cell>
          <cell r="J623" t="e">
            <v>#N/A</v>
          </cell>
          <cell r="K623" t="e">
            <v>#N/A</v>
          </cell>
          <cell r="L623" t="e">
            <v>#N/A</v>
          </cell>
          <cell r="M623" t="e">
            <v>#N/A</v>
          </cell>
          <cell r="N623" t="e">
            <v>#N/A</v>
          </cell>
          <cell r="O623" t="e">
            <v>#N/A</v>
          </cell>
          <cell r="P623">
            <v>14.52</v>
          </cell>
          <cell r="Q623" t="str">
            <v/>
          </cell>
          <cell r="R623" t="e">
            <v>#N/A</v>
          </cell>
        </row>
        <row r="624">
          <cell r="A624">
            <v>40875</v>
          </cell>
          <cell r="B624">
            <v>40875</v>
          </cell>
          <cell r="C624" t="str">
            <v>Future</v>
          </cell>
          <cell r="D624" t="e">
            <v>#N/A</v>
          </cell>
          <cell r="E624">
            <v>10.748648648648635</v>
          </cell>
          <cell r="F624">
            <v>15.140540540540583</v>
          </cell>
          <cell r="G624">
            <v>14.26216216216217</v>
          </cell>
          <cell r="H624">
            <v>14.26216216216217</v>
          </cell>
          <cell r="I624" t="e">
            <v>#N/A</v>
          </cell>
          <cell r="J624" t="e">
            <v>#N/A</v>
          </cell>
          <cell r="K624" t="e">
            <v>#N/A</v>
          </cell>
          <cell r="L624" t="e">
            <v>#N/A</v>
          </cell>
          <cell r="M624" t="e">
            <v>#N/A</v>
          </cell>
          <cell r="N624" t="e">
            <v>#N/A</v>
          </cell>
          <cell r="O624" t="e">
            <v>#N/A</v>
          </cell>
          <cell r="P624">
            <v>14.52</v>
          </cell>
          <cell r="Q624" t="str">
            <v/>
          </cell>
          <cell r="R624" t="e">
            <v>#N/A</v>
          </cell>
        </row>
        <row r="625">
          <cell r="A625">
            <v>40876</v>
          </cell>
          <cell r="B625">
            <v>40876</v>
          </cell>
          <cell r="C625" t="str">
            <v>Future</v>
          </cell>
          <cell r="D625" t="e">
            <v>#N/A</v>
          </cell>
          <cell r="E625">
            <v>10.693243243243229</v>
          </cell>
          <cell r="F625">
            <v>15.152702702702745</v>
          </cell>
          <cell r="G625">
            <v>14.260810810810819</v>
          </cell>
          <cell r="H625">
            <v>14.260810810810819</v>
          </cell>
          <cell r="I625" t="e">
            <v>#N/A</v>
          </cell>
          <cell r="J625" t="e">
            <v>#N/A</v>
          </cell>
          <cell r="K625" t="e">
            <v>#N/A</v>
          </cell>
          <cell r="L625" t="e">
            <v>#N/A</v>
          </cell>
          <cell r="M625" t="e">
            <v>#N/A</v>
          </cell>
          <cell r="N625" t="e">
            <v>#N/A</v>
          </cell>
          <cell r="O625" t="e">
            <v>#N/A</v>
          </cell>
          <cell r="P625">
            <v>14.52</v>
          </cell>
          <cell r="Q625" t="str">
            <v/>
          </cell>
          <cell r="R625" t="e">
            <v>#N/A</v>
          </cell>
        </row>
        <row r="626">
          <cell r="A626">
            <v>40877</v>
          </cell>
          <cell r="B626">
            <v>40877</v>
          </cell>
          <cell r="C626" t="str">
            <v>Future</v>
          </cell>
          <cell r="D626" t="e">
            <v>#N/A</v>
          </cell>
          <cell r="E626">
            <v>10.637837837837823</v>
          </cell>
          <cell r="F626">
            <v>15.164864864864908</v>
          </cell>
          <cell r="G626">
            <v>14.259459459459467</v>
          </cell>
          <cell r="H626">
            <v>14.259459459459467</v>
          </cell>
          <cell r="I626" t="e">
            <v>#N/A</v>
          </cell>
          <cell r="J626" t="e">
            <v>#N/A</v>
          </cell>
          <cell r="K626" t="e">
            <v>#N/A</v>
          </cell>
          <cell r="L626" t="e">
            <v>#N/A</v>
          </cell>
          <cell r="M626" t="e">
            <v>#N/A</v>
          </cell>
          <cell r="N626" t="e">
            <v>#N/A</v>
          </cell>
          <cell r="O626" t="e">
            <v>#N/A</v>
          </cell>
          <cell r="P626">
            <v>14.52</v>
          </cell>
          <cell r="Q626" t="str">
            <v/>
          </cell>
          <cell r="R626" t="e">
            <v>#N/A</v>
          </cell>
        </row>
        <row r="627">
          <cell r="A627">
            <v>40878</v>
          </cell>
          <cell r="B627">
            <v>40878</v>
          </cell>
          <cell r="C627" t="str">
            <v>Future</v>
          </cell>
          <cell r="D627" t="e">
            <v>#N/A</v>
          </cell>
          <cell r="E627">
            <v>10.582432432432418</v>
          </cell>
          <cell r="F627">
            <v>15.177027027027071</v>
          </cell>
          <cell r="G627">
            <v>14.258108108108116</v>
          </cell>
          <cell r="H627">
            <v>14.258108108108116</v>
          </cell>
          <cell r="I627" t="e">
            <v>#N/A</v>
          </cell>
          <cell r="J627" t="e">
            <v>#N/A</v>
          </cell>
          <cell r="K627" t="e">
            <v>#N/A</v>
          </cell>
          <cell r="L627" t="e">
            <v>#N/A</v>
          </cell>
          <cell r="M627" t="e">
            <v>#N/A</v>
          </cell>
          <cell r="N627" t="e">
            <v>#N/A</v>
          </cell>
          <cell r="O627" t="e">
            <v>#N/A</v>
          </cell>
          <cell r="P627">
            <v>14.52</v>
          </cell>
          <cell r="Q627" t="str">
            <v/>
          </cell>
          <cell r="R627" t="e">
            <v>#N/A</v>
          </cell>
        </row>
        <row r="628">
          <cell r="A628">
            <v>40879</v>
          </cell>
          <cell r="B628">
            <v>40879</v>
          </cell>
          <cell r="C628" t="str">
            <v>Future</v>
          </cell>
          <cell r="D628" t="e">
            <v>#N/A</v>
          </cell>
          <cell r="E628">
            <v>10.527027027027012</v>
          </cell>
          <cell r="F628">
            <v>15.189189189189234</v>
          </cell>
          <cell r="G628">
            <v>14.256756756756765</v>
          </cell>
          <cell r="H628">
            <v>14.256756756756765</v>
          </cell>
          <cell r="I628" t="e">
            <v>#N/A</v>
          </cell>
          <cell r="J628" t="e">
            <v>#N/A</v>
          </cell>
          <cell r="K628" t="e">
            <v>#N/A</v>
          </cell>
          <cell r="L628" t="e">
            <v>#N/A</v>
          </cell>
          <cell r="M628" t="e">
            <v>#N/A</v>
          </cell>
          <cell r="N628" t="e">
            <v>#N/A</v>
          </cell>
          <cell r="O628" t="e">
            <v>#N/A</v>
          </cell>
          <cell r="P628">
            <v>14.52</v>
          </cell>
          <cell r="Q628" t="str">
            <v/>
          </cell>
          <cell r="R628" t="e">
            <v>#N/A</v>
          </cell>
        </row>
        <row r="629">
          <cell r="A629">
            <v>40882</v>
          </cell>
          <cell r="B629">
            <v>40882</v>
          </cell>
          <cell r="C629" t="str">
            <v>Future</v>
          </cell>
          <cell r="D629" t="e">
            <v>#N/A</v>
          </cell>
          <cell r="E629">
            <v>10.471621621621606</v>
          </cell>
          <cell r="F629">
            <v>15.201351351351397</v>
          </cell>
          <cell r="G629">
            <v>14.255405405405414</v>
          </cell>
          <cell r="H629">
            <v>14.255405405405414</v>
          </cell>
          <cell r="I629" t="e">
            <v>#N/A</v>
          </cell>
          <cell r="J629" t="e">
            <v>#N/A</v>
          </cell>
          <cell r="K629" t="e">
            <v>#N/A</v>
          </cell>
          <cell r="L629" t="e">
            <v>#N/A</v>
          </cell>
          <cell r="M629" t="e">
            <v>#N/A</v>
          </cell>
          <cell r="N629" t="e">
            <v>#N/A</v>
          </cell>
          <cell r="O629" t="e">
            <v>#N/A</v>
          </cell>
          <cell r="P629">
            <v>14.52</v>
          </cell>
          <cell r="Q629" t="str">
            <v/>
          </cell>
          <cell r="R629" t="e">
            <v>#N/A</v>
          </cell>
        </row>
        <row r="630">
          <cell r="A630">
            <v>40883</v>
          </cell>
          <cell r="B630">
            <v>40883</v>
          </cell>
          <cell r="C630" t="str">
            <v>Future</v>
          </cell>
          <cell r="D630" t="e">
            <v>#N/A</v>
          </cell>
          <cell r="E630">
            <v>10.416216216216201</v>
          </cell>
          <cell r="F630">
            <v>15.21351351351356</v>
          </cell>
          <cell r="G630">
            <v>14.254054054054063</v>
          </cell>
          <cell r="H630">
            <v>14.254054054054063</v>
          </cell>
          <cell r="I630" t="e">
            <v>#N/A</v>
          </cell>
          <cell r="J630" t="e">
            <v>#N/A</v>
          </cell>
          <cell r="K630" t="e">
            <v>#N/A</v>
          </cell>
          <cell r="L630" t="e">
            <v>#N/A</v>
          </cell>
          <cell r="M630" t="e">
            <v>#N/A</v>
          </cell>
          <cell r="N630" t="e">
            <v>#N/A</v>
          </cell>
          <cell r="O630" t="e">
            <v>#N/A</v>
          </cell>
          <cell r="P630">
            <v>14.52</v>
          </cell>
          <cell r="Q630" t="str">
            <v/>
          </cell>
          <cell r="R630" t="e">
            <v>#N/A</v>
          </cell>
        </row>
        <row r="631">
          <cell r="A631">
            <v>40884</v>
          </cell>
          <cell r="B631">
            <v>40884</v>
          </cell>
          <cell r="C631" t="str">
            <v>Future</v>
          </cell>
          <cell r="D631" t="e">
            <v>#N/A</v>
          </cell>
          <cell r="E631">
            <v>10.360810810810795</v>
          </cell>
          <cell r="F631">
            <v>15.225675675675722</v>
          </cell>
          <cell r="G631">
            <v>14.252702702702711</v>
          </cell>
          <cell r="H631">
            <v>14.252702702702711</v>
          </cell>
          <cell r="I631" t="e">
            <v>#N/A</v>
          </cell>
          <cell r="J631" t="e">
            <v>#N/A</v>
          </cell>
          <cell r="K631" t="e">
            <v>#N/A</v>
          </cell>
          <cell r="L631" t="e">
            <v>#N/A</v>
          </cell>
          <cell r="M631" t="e">
            <v>#N/A</v>
          </cell>
          <cell r="N631" t="e">
            <v>#N/A</v>
          </cell>
          <cell r="O631" t="e">
            <v>#N/A</v>
          </cell>
          <cell r="P631">
            <v>14.52</v>
          </cell>
          <cell r="Q631" t="str">
            <v/>
          </cell>
          <cell r="R631" t="e">
            <v>#N/A</v>
          </cell>
        </row>
        <row r="632">
          <cell r="A632">
            <v>40885</v>
          </cell>
          <cell r="B632">
            <v>40885</v>
          </cell>
          <cell r="C632" t="str">
            <v>Future</v>
          </cell>
          <cell r="D632" t="e">
            <v>#N/A</v>
          </cell>
          <cell r="E632">
            <v>10.30540540540539</v>
          </cell>
          <cell r="F632">
            <v>15.237837837837885</v>
          </cell>
          <cell r="G632">
            <v>14.25135135135136</v>
          </cell>
          <cell r="H632">
            <v>14.25135135135136</v>
          </cell>
          <cell r="I632" t="e">
            <v>#N/A</v>
          </cell>
          <cell r="J632" t="e">
            <v>#N/A</v>
          </cell>
          <cell r="K632" t="e">
            <v>#N/A</v>
          </cell>
          <cell r="L632" t="e">
            <v>#N/A</v>
          </cell>
          <cell r="M632" t="e">
            <v>#N/A</v>
          </cell>
          <cell r="N632" t="e">
            <v>#N/A</v>
          </cell>
          <cell r="O632" t="e">
            <v>#N/A</v>
          </cell>
          <cell r="P632">
            <v>14.52</v>
          </cell>
          <cell r="Q632" t="str">
            <v/>
          </cell>
          <cell r="R632" t="e">
            <v>#N/A</v>
          </cell>
        </row>
        <row r="633">
          <cell r="A633">
            <v>40886</v>
          </cell>
          <cell r="B633">
            <v>40886</v>
          </cell>
          <cell r="C633" t="str">
            <v>Future</v>
          </cell>
          <cell r="D633" t="e">
            <v>#N/A</v>
          </cell>
          <cell r="E633">
            <v>10.249999999999984</v>
          </cell>
          <cell r="F633">
            <v>15.250000000000048</v>
          </cell>
          <cell r="G633">
            <v>14.250000000000009</v>
          </cell>
          <cell r="H633">
            <v>14.250000000000009</v>
          </cell>
          <cell r="I633" t="e">
            <v>#N/A</v>
          </cell>
          <cell r="J633" t="e">
            <v>#N/A</v>
          </cell>
          <cell r="K633" t="e">
            <v>#N/A</v>
          </cell>
          <cell r="L633" t="e">
            <v>#N/A</v>
          </cell>
          <cell r="M633" t="e">
            <v>#N/A</v>
          </cell>
          <cell r="N633" t="e">
            <v>#N/A</v>
          </cell>
          <cell r="O633" t="e">
            <v>#N/A</v>
          </cell>
          <cell r="P633">
            <v>14.52</v>
          </cell>
          <cell r="Q633" t="str">
            <v/>
          </cell>
          <cell r="R633" t="e">
            <v>#N/A</v>
          </cell>
        </row>
        <row r="634">
          <cell r="A634">
            <v>40889</v>
          </cell>
          <cell r="B634">
            <v>40889</v>
          </cell>
          <cell r="C634" t="str">
            <v>Future</v>
          </cell>
          <cell r="D634" t="e">
            <v>#N/A</v>
          </cell>
          <cell r="E634">
            <v>10.194594594594578</v>
          </cell>
          <cell r="F634">
            <v>15.262162162162211</v>
          </cell>
          <cell r="G634">
            <v>14.248648648648658</v>
          </cell>
          <cell r="H634">
            <v>14.248648648648658</v>
          </cell>
          <cell r="I634" t="e">
            <v>#N/A</v>
          </cell>
          <cell r="J634" t="e">
            <v>#N/A</v>
          </cell>
          <cell r="K634" t="e">
            <v>#N/A</v>
          </cell>
          <cell r="L634" t="e">
            <v>#N/A</v>
          </cell>
          <cell r="M634" t="e">
            <v>#N/A</v>
          </cell>
          <cell r="N634" t="e">
            <v>#N/A</v>
          </cell>
          <cell r="O634" t="e">
            <v>#N/A</v>
          </cell>
          <cell r="P634">
            <v>14.52</v>
          </cell>
          <cell r="Q634" t="str">
            <v/>
          </cell>
          <cell r="R634" t="e">
            <v>#N/A</v>
          </cell>
        </row>
        <row r="635">
          <cell r="A635">
            <v>40890</v>
          </cell>
          <cell r="B635">
            <v>40890</v>
          </cell>
          <cell r="C635" t="str">
            <v>Future</v>
          </cell>
          <cell r="D635" t="e">
            <v>#N/A</v>
          </cell>
          <cell r="E635">
            <v>10.139189189189173</v>
          </cell>
          <cell r="F635">
            <v>15.274324324324374</v>
          </cell>
          <cell r="G635">
            <v>14.247297297297306</v>
          </cell>
          <cell r="H635">
            <v>14.247297297297306</v>
          </cell>
          <cell r="I635" t="e">
            <v>#N/A</v>
          </cell>
          <cell r="J635" t="e">
            <v>#N/A</v>
          </cell>
          <cell r="K635" t="e">
            <v>#N/A</v>
          </cell>
          <cell r="L635" t="e">
            <v>#N/A</v>
          </cell>
          <cell r="M635" t="e">
            <v>#N/A</v>
          </cell>
          <cell r="N635" t="e">
            <v>#N/A</v>
          </cell>
          <cell r="O635" t="e">
            <v>#N/A</v>
          </cell>
          <cell r="P635">
            <v>14.52</v>
          </cell>
          <cell r="Q635" t="str">
            <v/>
          </cell>
          <cell r="R635" t="e">
            <v>#N/A</v>
          </cell>
        </row>
        <row r="636">
          <cell r="A636">
            <v>40891</v>
          </cell>
          <cell r="B636">
            <v>40891</v>
          </cell>
          <cell r="C636" t="str">
            <v>Future</v>
          </cell>
          <cell r="D636" t="e">
            <v>#N/A</v>
          </cell>
          <cell r="E636">
            <v>10.083783783783767</v>
          </cell>
          <cell r="F636">
            <v>15.286486486486536</v>
          </cell>
          <cell r="G636">
            <v>14.245945945945955</v>
          </cell>
          <cell r="H636">
            <v>14.245945945945955</v>
          </cell>
          <cell r="I636" t="e">
            <v>#N/A</v>
          </cell>
          <cell r="J636" t="e">
            <v>#N/A</v>
          </cell>
          <cell r="K636" t="e">
            <v>#N/A</v>
          </cell>
          <cell r="L636" t="e">
            <v>#N/A</v>
          </cell>
          <cell r="M636" t="e">
            <v>#N/A</v>
          </cell>
          <cell r="N636" t="e">
            <v>#N/A</v>
          </cell>
          <cell r="O636" t="e">
            <v>#N/A</v>
          </cell>
          <cell r="P636">
            <v>14.52</v>
          </cell>
          <cell r="Q636" t="str">
            <v/>
          </cell>
          <cell r="R636" t="e">
            <v>#N/A</v>
          </cell>
        </row>
        <row r="637">
          <cell r="A637">
            <v>40892</v>
          </cell>
          <cell r="B637">
            <v>40892</v>
          </cell>
          <cell r="C637" t="str">
            <v>Future</v>
          </cell>
          <cell r="D637" t="e">
            <v>#N/A</v>
          </cell>
          <cell r="E637">
            <v>10.028378378378362</v>
          </cell>
          <cell r="F637">
            <v>15.298648648648699</v>
          </cell>
          <cell r="G637">
            <v>14.244594594594604</v>
          </cell>
          <cell r="H637">
            <v>14.244594594594604</v>
          </cell>
          <cell r="I637" t="e">
            <v>#N/A</v>
          </cell>
          <cell r="J637" t="e">
            <v>#N/A</v>
          </cell>
          <cell r="K637" t="e">
            <v>#N/A</v>
          </cell>
          <cell r="L637" t="e">
            <v>#N/A</v>
          </cell>
          <cell r="M637" t="e">
            <v>#N/A</v>
          </cell>
          <cell r="N637" t="e">
            <v>#N/A</v>
          </cell>
          <cell r="O637" t="e">
            <v>#N/A</v>
          </cell>
          <cell r="P637">
            <v>14.52</v>
          </cell>
          <cell r="Q637" t="str">
            <v/>
          </cell>
          <cell r="R637" t="e">
            <v>#N/A</v>
          </cell>
        </row>
        <row r="638">
          <cell r="A638">
            <v>40893</v>
          </cell>
          <cell r="B638">
            <v>40893</v>
          </cell>
          <cell r="C638" t="str">
            <v>Future</v>
          </cell>
          <cell r="D638" t="e">
            <v>#N/A</v>
          </cell>
          <cell r="E638">
            <v>9.9729729729729559</v>
          </cell>
          <cell r="F638">
            <v>15.310810810810862</v>
          </cell>
          <cell r="G638">
            <v>14.243243243243253</v>
          </cell>
          <cell r="H638">
            <v>14.243243243243253</v>
          </cell>
          <cell r="I638" t="e">
            <v>#N/A</v>
          </cell>
          <cell r="J638" t="e">
            <v>#N/A</v>
          </cell>
          <cell r="K638" t="e">
            <v>#N/A</v>
          </cell>
          <cell r="L638" t="e">
            <v>#N/A</v>
          </cell>
          <cell r="M638" t="e">
            <v>#N/A</v>
          </cell>
          <cell r="N638" t="e">
            <v>#N/A</v>
          </cell>
          <cell r="O638" t="e">
            <v>#N/A</v>
          </cell>
          <cell r="P638">
            <v>14.52</v>
          </cell>
          <cell r="Q638" t="str">
            <v/>
          </cell>
          <cell r="R638" t="e">
            <v>#N/A</v>
          </cell>
        </row>
        <row r="639">
          <cell r="A639">
            <v>40896</v>
          </cell>
          <cell r="B639">
            <v>40896</v>
          </cell>
          <cell r="C639" t="str">
            <v>Future</v>
          </cell>
          <cell r="D639" t="e">
            <v>#N/A</v>
          </cell>
          <cell r="E639">
            <v>9.9175675675675503</v>
          </cell>
          <cell r="F639">
            <v>15.322972972973025</v>
          </cell>
          <cell r="G639">
            <v>14.241891891891902</v>
          </cell>
          <cell r="H639">
            <v>14.241891891891902</v>
          </cell>
          <cell r="I639" t="e">
            <v>#N/A</v>
          </cell>
          <cell r="J639" t="e">
            <v>#N/A</v>
          </cell>
          <cell r="K639" t="e">
            <v>#N/A</v>
          </cell>
          <cell r="L639" t="e">
            <v>#N/A</v>
          </cell>
          <cell r="M639" t="e">
            <v>#N/A</v>
          </cell>
          <cell r="N639" t="e">
            <v>#N/A</v>
          </cell>
          <cell r="O639" t="e">
            <v>#N/A</v>
          </cell>
          <cell r="P639">
            <v>14.52</v>
          </cell>
          <cell r="Q639" t="str">
            <v/>
          </cell>
          <cell r="R639" t="e">
            <v>#N/A</v>
          </cell>
        </row>
        <row r="640">
          <cell r="A640">
            <v>40897</v>
          </cell>
          <cell r="B640">
            <v>40897</v>
          </cell>
          <cell r="C640" t="str">
            <v>Future</v>
          </cell>
          <cell r="D640" t="e">
            <v>#N/A</v>
          </cell>
          <cell r="E640">
            <v>9.8621621621621447</v>
          </cell>
          <cell r="F640">
            <v>15.335135135135188</v>
          </cell>
          <cell r="G640">
            <v>14.24054054054055</v>
          </cell>
          <cell r="H640">
            <v>14.24054054054055</v>
          </cell>
          <cell r="I640" t="e">
            <v>#N/A</v>
          </cell>
          <cell r="J640" t="e">
            <v>#N/A</v>
          </cell>
          <cell r="K640" t="e">
            <v>#N/A</v>
          </cell>
          <cell r="L640" t="e">
            <v>#N/A</v>
          </cell>
          <cell r="M640" t="e">
            <v>#N/A</v>
          </cell>
          <cell r="N640" t="e">
            <v>#N/A</v>
          </cell>
          <cell r="O640" t="e">
            <v>#N/A</v>
          </cell>
          <cell r="P640">
            <v>14.52</v>
          </cell>
          <cell r="Q640" t="str">
            <v/>
          </cell>
          <cell r="R640" t="e">
            <v>#N/A</v>
          </cell>
        </row>
        <row r="641">
          <cell r="A641">
            <v>40898</v>
          </cell>
          <cell r="B641">
            <v>40898</v>
          </cell>
          <cell r="C641" t="str">
            <v>Future</v>
          </cell>
          <cell r="D641" t="e">
            <v>#N/A</v>
          </cell>
          <cell r="E641">
            <v>9.8067567567567391</v>
          </cell>
          <cell r="F641">
            <v>15.34729729729735</v>
          </cell>
          <cell r="G641">
            <v>14.239189189189199</v>
          </cell>
          <cell r="H641">
            <v>14.239189189189199</v>
          </cell>
          <cell r="I641" t="e">
            <v>#N/A</v>
          </cell>
          <cell r="J641" t="e">
            <v>#N/A</v>
          </cell>
          <cell r="K641" t="e">
            <v>#N/A</v>
          </cell>
          <cell r="L641" t="e">
            <v>#N/A</v>
          </cell>
          <cell r="M641" t="e">
            <v>#N/A</v>
          </cell>
          <cell r="N641" t="e">
            <v>#N/A</v>
          </cell>
          <cell r="O641" t="e">
            <v>#N/A</v>
          </cell>
          <cell r="P641">
            <v>14.52</v>
          </cell>
          <cell r="Q641" t="str">
            <v/>
          </cell>
          <cell r="R641" t="e">
            <v>#N/A</v>
          </cell>
        </row>
        <row r="642">
          <cell r="A642">
            <v>40899</v>
          </cell>
          <cell r="B642">
            <v>40899</v>
          </cell>
          <cell r="C642" t="str">
            <v>Future</v>
          </cell>
          <cell r="D642" t="e">
            <v>#N/A</v>
          </cell>
          <cell r="E642">
            <v>9.7513513513513335</v>
          </cell>
          <cell r="F642">
            <v>15.359459459459513</v>
          </cell>
          <cell r="G642">
            <v>14.237837837837848</v>
          </cell>
          <cell r="H642">
            <v>14.237837837837848</v>
          </cell>
          <cell r="I642" t="e">
            <v>#N/A</v>
          </cell>
          <cell r="J642" t="e">
            <v>#N/A</v>
          </cell>
          <cell r="K642" t="e">
            <v>#N/A</v>
          </cell>
          <cell r="L642" t="e">
            <v>#N/A</v>
          </cell>
          <cell r="M642" t="e">
            <v>#N/A</v>
          </cell>
          <cell r="N642" t="e">
            <v>#N/A</v>
          </cell>
          <cell r="O642" t="e">
            <v>#N/A</v>
          </cell>
          <cell r="P642">
            <v>14.52</v>
          </cell>
          <cell r="Q642" t="str">
            <v/>
          </cell>
          <cell r="R642" t="e">
            <v>#N/A</v>
          </cell>
        </row>
        <row r="643">
          <cell r="A643">
            <v>40900</v>
          </cell>
          <cell r="B643">
            <v>40900</v>
          </cell>
          <cell r="C643" t="str">
            <v>Future</v>
          </cell>
          <cell r="D643" t="e">
            <v>#N/A</v>
          </cell>
          <cell r="E643">
            <v>9.6959459459459278</v>
          </cell>
          <cell r="F643">
            <v>15.371621621621676</v>
          </cell>
          <cell r="G643">
            <v>14.236486486486497</v>
          </cell>
          <cell r="H643">
            <v>14.236486486486497</v>
          </cell>
          <cell r="I643" t="e">
            <v>#N/A</v>
          </cell>
          <cell r="J643" t="e">
            <v>#N/A</v>
          </cell>
          <cell r="K643" t="e">
            <v>#N/A</v>
          </cell>
          <cell r="L643" t="e">
            <v>#N/A</v>
          </cell>
          <cell r="M643" t="e">
            <v>#N/A</v>
          </cell>
          <cell r="N643" t="e">
            <v>#N/A</v>
          </cell>
          <cell r="O643" t="e">
            <v>#N/A</v>
          </cell>
          <cell r="P643">
            <v>14.52</v>
          </cell>
          <cell r="Q643" t="str">
            <v/>
          </cell>
          <cell r="R643" t="e">
            <v>#N/A</v>
          </cell>
        </row>
        <row r="644">
          <cell r="A644">
            <v>40904</v>
          </cell>
          <cell r="B644">
            <v>40904</v>
          </cell>
          <cell r="C644" t="str">
            <v>Future</v>
          </cell>
          <cell r="D644" t="e">
            <v>#N/A</v>
          </cell>
          <cell r="E644">
            <v>9.6405405405405222</v>
          </cell>
          <cell r="F644">
            <v>15.383783783783839</v>
          </cell>
          <cell r="G644">
            <v>14.235135135135145</v>
          </cell>
          <cell r="H644">
            <v>14.235135135135145</v>
          </cell>
          <cell r="I644" t="e">
            <v>#N/A</v>
          </cell>
          <cell r="J644" t="e">
            <v>#N/A</v>
          </cell>
          <cell r="K644" t="e">
            <v>#N/A</v>
          </cell>
          <cell r="L644" t="e">
            <v>#N/A</v>
          </cell>
          <cell r="M644" t="e">
            <v>#N/A</v>
          </cell>
          <cell r="N644" t="e">
            <v>#N/A</v>
          </cell>
          <cell r="O644" t="e">
            <v>#N/A</v>
          </cell>
          <cell r="P644">
            <v>14.52</v>
          </cell>
          <cell r="Q644" t="str">
            <v/>
          </cell>
          <cell r="R644" t="e">
            <v>#N/A</v>
          </cell>
        </row>
        <row r="645">
          <cell r="A645">
            <v>40905</v>
          </cell>
          <cell r="B645">
            <v>40905</v>
          </cell>
          <cell r="C645" t="str">
            <v>Future</v>
          </cell>
          <cell r="D645" t="e">
            <v>#N/A</v>
          </cell>
          <cell r="E645">
            <v>9.5851351351351166</v>
          </cell>
          <cell r="F645">
            <v>15.395945945946002</v>
          </cell>
          <cell r="G645">
            <v>14.233783783783794</v>
          </cell>
          <cell r="H645">
            <v>14.233783783783794</v>
          </cell>
          <cell r="I645" t="e">
            <v>#N/A</v>
          </cell>
          <cell r="J645" t="e">
            <v>#N/A</v>
          </cell>
          <cell r="K645" t="e">
            <v>#N/A</v>
          </cell>
          <cell r="L645" t="e">
            <v>#N/A</v>
          </cell>
          <cell r="M645" t="e">
            <v>#N/A</v>
          </cell>
          <cell r="N645" t="e">
            <v>#N/A</v>
          </cell>
          <cell r="O645" t="e">
            <v>#N/A</v>
          </cell>
          <cell r="P645">
            <v>14.52</v>
          </cell>
          <cell r="Q645" t="str">
            <v/>
          </cell>
          <cell r="R645" t="e">
            <v>#N/A</v>
          </cell>
        </row>
        <row r="646">
          <cell r="A646">
            <v>40906</v>
          </cell>
          <cell r="B646">
            <v>40906</v>
          </cell>
          <cell r="C646" t="str">
            <v>Future</v>
          </cell>
          <cell r="D646" t="e">
            <v>#N/A</v>
          </cell>
          <cell r="E646">
            <v>9.529729729729711</v>
          </cell>
          <cell r="F646">
            <v>15.408108108108165</v>
          </cell>
          <cell r="G646">
            <v>14.232432432432443</v>
          </cell>
          <cell r="H646">
            <v>14.232432432432443</v>
          </cell>
          <cell r="I646" t="e">
            <v>#N/A</v>
          </cell>
          <cell r="J646" t="e">
            <v>#N/A</v>
          </cell>
          <cell r="K646" t="e">
            <v>#N/A</v>
          </cell>
          <cell r="L646" t="e">
            <v>#N/A</v>
          </cell>
          <cell r="M646" t="e">
            <v>#N/A</v>
          </cell>
          <cell r="N646" t="e">
            <v>#N/A</v>
          </cell>
          <cell r="O646" t="e">
            <v>#N/A</v>
          </cell>
          <cell r="P646">
            <v>14.52</v>
          </cell>
          <cell r="Q646" t="str">
            <v/>
          </cell>
          <cell r="R646" t="e">
            <v>#N/A</v>
          </cell>
        </row>
        <row r="647">
          <cell r="A647">
            <v>40907</v>
          </cell>
          <cell r="B647">
            <v>40907</v>
          </cell>
          <cell r="C647" t="str">
            <v>Future</v>
          </cell>
          <cell r="D647" t="e">
            <v>#N/A</v>
          </cell>
          <cell r="E647">
            <v>9.4743243243243054</v>
          </cell>
          <cell r="F647">
            <v>15.420270270270327</v>
          </cell>
          <cell r="G647">
            <v>14.231081081081092</v>
          </cell>
          <cell r="H647">
            <v>14.231081081081092</v>
          </cell>
          <cell r="I647" t="e">
            <v>#N/A</v>
          </cell>
          <cell r="J647" t="e">
            <v>#N/A</v>
          </cell>
          <cell r="K647" t="e">
            <v>#N/A</v>
          </cell>
          <cell r="L647" t="e">
            <v>#N/A</v>
          </cell>
          <cell r="M647" t="e">
            <v>#N/A</v>
          </cell>
          <cell r="N647" t="e">
            <v>#N/A</v>
          </cell>
          <cell r="O647" t="e">
            <v>#N/A</v>
          </cell>
          <cell r="P647">
            <v>14.52</v>
          </cell>
          <cell r="Q647" t="str">
            <v/>
          </cell>
          <cell r="R647" t="e">
            <v>#N/A</v>
          </cell>
        </row>
        <row r="648">
          <cell r="A648">
            <v>40910</v>
          </cell>
          <cell r="B648">
            <v>40910</v>
          </cell>
          <cell r="C648" t="str">
            <v>Future</v>
          </cell>
          <cell r="D648" t="e">
            <v>#N/A</v>
          </cell>
          <cell r="E648">
            <v>9.4189189189188998</v>
          </cell>
          <cell r="F648">
            <v>15.43243243243249</v>
          </cell>
          <cell r="G648">
            <v>14.22972972972974</v>
          </cell>
          <cell r="H648">
            <v>14.22972972972974</v>
          </cell>
          <cell r="I648" t="e">
            <v>#N/A</v>
          </cell>
          <cell r="J648" t="e">
            <v>#N/A</v>
          </cell>
          <cell r="K648" t="e">
            <v>#N/A</v>
          </cell>
          <cell r="L648" t="e">
            <v>#N/A</v>
          </cell>
          <cell r="M648" t="e">
            <v>#N/A</v>
          </cell>
          <cell r="N648" t="e">
            <v>#N/A</v>
          </cell>
          <cell r="O648" t="e">
            <v>#N/A</v>
          </cell>
          <cell r="P648">
            <v>14.52</v>
          </cell>
          <cell r="Q648" t="str">
            <v/>
          </cell>
          <cell r="R648" t="e">
            <v>#N/A</v>
          </cell>
        </row>
        <row r="649">
          <cell r="A649">
            <v>40911</v>
          </cell>
          <cell r="B649">
            <v>40911</v>
          </cell>
          <cell r="C649" t="str">
            <v>Future</v>
          </cell>
          <cell r="D649" t="e">
            <v>#N/A</v>
          </cell>
          <cell r="E649">
            <v>9.3635135135134941</v>
          </cell>
          <cell r="F649">
            <v>15.444594594594653</v>
          </cell>
          <cell r="G649">
            <v>14.228378378378389</v>
          </cell>
          <cell r="H649">
            <v>14.228378378378389</v>
          </cell>
          <cell r="I649" t="e">
            <v>#N/A</v>
          </cell>
          <cell r="J649" t="e">
            <v>#N/A</v>
          </cell>
          <cell r="K649" t="e">
            <v>#N/A</v>
          </cell>
          <cell r="L649" t="e">
            <v>#N/A</v>
          </cell>
          <cell r="M649" t="e">
            <v>#N/A</v>
          </cell>
          <cell r="N649" t="e">
            <v>#N/A</v>
          </cell>
          <cell r="O649" t="e">
            <v>#N/A</v>
          </cell>
          <cell r="P649">
            <v>14.52</v>
          </cell>
          <cell r="Q649" t="str">
            <v/>
          </cell>
          <cell r="R649" t="e">
            <v>#N/A</v>
          </cell>
        </row>
        <row r="650">
          <cell r="A650">
            <v>40912</v>
          </cell>
          <cell r="B650">
            <v>40912</v>
          </cell>
          <cell r="C650" t="str">
            <v>Future</v>
          </cell>
          <cell r="D650" t="e">
            <v>#N/A</v>
          </cell>
          <cell r="E650">
            <v>9.3081081081080885</v>
          </cell>
          <cell r="F650">
            <v>15.456756756756816</v>
          </cell>
          <cell r="G650">
            <v>14.227027027027038</v>
          </cell>
          <cell r="H650">
            <v>14.227027027027038</v>
          </cell>
          <cell r="I650" t="e">
            <v>#N/A</v>
          </cell>
          <cell r="J650" t="e">
            <v>#N/A</v>
          </cell>
          <cell r="K650" t="e">
            <v>#N/A</v>
          </cell>
          <cell r="L650" t="e">
            <v>#N/A</v>
          </cell>
          <cell r="M650" t="e">
            <v>#N/A</v>
          </cell>
          <cell r="N650" t="e">
            <v>#N/A</v>
          </cell>
          <cell r="O650" t="e">
            <v>#N/A</v>
          </cell>
          <cell r="P650">
            <v>14.52</v>
          </cell>
          <cell r="Q650" t="str">
            <v/>
          </cell>
          <cell r="R650" t="e">
            <v>#N/A</v>
          </cell>
        </row>
        <row r="651">
          <cell r="A651">
            <v>40913</v>
          </cell>
          <cell r="B651">
            <v>40913</v>
          </cell>
          <cell r="C651" t="str">
            <v>Future</v>
          </cell>
          <cell r="D651" t="e">
            <v>#N/A</v>
          </cell>
          <cell r="E651">
            <v>9.2527027027026829</v>
          </cell>
          <cell r="F651">
            <v>15.468918918918979</v>
          </cell>
          <cell r="G651">
            <v>14.225675675675687</v>
          </cell>
          <cell r="H651">
            <v>14.225675675675687</v>
          </cell>
          <cell r="I651" t="e">
            <v>#N/A</v>
          </cell>
          <cell r="J651" t="e">
            <v>#N/A</v>
          </cell>
          <cell r="K651" t="e">
            <v>#N/A</v>
          </cell>
          <cell r="L651" t="e">
            <v>#N/A</v>
          </cell>
          <cell r="M651" t="e">
            <v>#N/A</v>
          </cell>
          <cell r="N651" t="e">
            <v>#N/A</v>
          </cell>
          <cell r="O651" t="e">
            <v>#N/A</v>
          </cell>
          <cell r="P651">
            <v>14.52</v>
          </cell>
          <cell r="Q651" t="str">
            <v/>
          </cell>
          <cell r="R651" t="e">
            <v>#N/A</v>
          </cell>
        </row>
        <row r="652">
          <cell r="A652">
            <v>40914</v>
          </cell>
          <cell r="B652">
            <v>40914</v>
          </cell>
          <cell r="C652" t="str">
            <v>Future</v>
          </cell>
          <cell r="D652" t="e">
            <v>#N/A</v>
          </cell>
          <cell r="E652">
            <v>9.1972972972972773</v>
          </cell>
          <cell r="F652">
            <v>15.481081081081141</v>
          </cell>
          <cell r="G652">
            <v>14.224324324324336</v>
          </cell>
          <cell r="H652">
            <v>14.224324324324336</v>
          </cell>
          <cell r="I652" t="e">
            <v>#N/A</v>
          </cell>
          <cell r="J652" t="e">
            <v>#N/A</v>
          </cell>
          <cell r="K652" t="e">
            <v>#N/A</v>
          </cell>
          <cell r="L652" t="e">
            <v>#N/A</v>
          </cell>
          <cell r="M652" t="e">
            <v>#N/A</v>
          </cell>
          <cell r="N652" t="e">
            <v>#N/A</v>
          </cell>
          <cell r="O652" t="e">
            <v>#N/A</v>
          </cell>
          <cell r="P652">
            <v>14.52</v>
          </cell>
          <cell r="Q652" t="str">
            <v/>
          </cell>
          <cell r="R652" t="e">
            <v>#N/A</v>
          </cell>
        </row>
        <row r="653">
          <cell r="A653">
            <v>40917</v>
          </cell>
          <cell r="B653">
            <v>40917</v>
          </cell>
          <cell r="C653" t="str">
            <v>Future</v>
          </cell>
          <cell r="D653" t="e">
            <v>#N/A</v>
          </cell>
          <cell r="E653">
            <v>9.1418918918918717</v>
          </cell>
          <cell r="F653">
            <v>15.493243243243304</v>
          </cell>
          <cell r="G653">
            <v>14.222972972972984</v>
          </cell>
          <cell r="H653">
            <v>14.222972972972984</v>
          </cell>
          <cell r="I653" t="e">
            <v>#N/A</v>
          </cell>
          <cell r="J653" t="e">
            <v>#N/A</v>
          </cell>
          <cell r="K653" t="e">
            <v>#N/A</v>
          </cell>
          <cell r="L653" t="e">
            <v>#N/A</v>
          </cell>
          <cell r="M653" t="e">
            <v>#N/A</v>
          </cell>
          <cell r="N653" t="e">
            <v>#N/A</v>
          </cell>
          <cell r="O653" t="e">
            <v>#N/A</v>
          </cell>
          <cell r="P653">
            <v>14.52</v>
          </cell>
          <cell r="Q653" t="str">
            <v/>
          </cell>
          <cell r="R653" t="e">
            <v>#N/A</v>
          </cell>
        </row>
        <row r="654">
          <cell r="A654">
            <v>40918</v>
          </cell>
          <cell r="B654">
            <v>40918</v>
          </cell>
          <cell r="C654" t="str">
            <v>Future</v>
          </cell>
          <cell r="D654" t="e">
            <v>#N/A</v>
          </cell>
          <cell r="E654">
            <v>9.0864864864864661</v>
          </cell>
          <cell r="F654">
            <v>15.505405405405467</v>
          </cell>
          <cell r="G654">
            <v>14.221621621621633</v>
          </cell>
          <cell r="H654">
            <v>14.221621621621633</v>
          </cell>
          <cell r="I654" t="e">
            <v>#N/A</v>
          </cell>
          <cell r="J654" t="e">
            <v>#N/A</v>
          </cell>
          <cell r="K654" t="e">
            <v>#N/A</v>
          </cell>
          <cell r="L654" t="e">
            <v>#N/A</v>
          </cell>
          <cell r="M654" t="e">
            <v>#N/A</v>
          </cell>
          <cell r="N654" t="e">
            <v>#N/A</v>
          </cell>
          <cell r="O654" t="e">
            <v>#N/A</v>
          </cell>
          <cell r="P654">
            <v>14.52</v>
          </cell>
          <cell r="Q654" t="str">
            <v/>
          </cell>
          <cell r="R654" t="e">
            <v>#N/A</v>
          </cell>
        </row>
        <row r="655">
          <cell r="A655">
            <v>40919</v>
          </cell>
          <cell r="B655">
            <v>40919</v>
          </cell>
          <cell r="C655" t="str">
            <v>Future</v>
          </cell>
          <cell r="D655" t="e">
            <v>#N/A</v>
          </cell>
          <cell r="E655">
            <v>9.0310810810810604</v>
          </cell>
          <cell r="F655">
            <v>15.51756756756763</v>
          </cell>
          <cell r="G655">
            <v>14.220270270270282</v>
          </cell>
          <cell r="H655">
            <v>14.220270270270282</v>
          </cell>
          <cell r="I655" t="e">
            <v>#N/A</v>
          </cell>
          <cell r="J655" t="e">
            <v>#N/A</v>
          </cell>
          <cell r="K655" t="e">
            <v>#N/A</v>
          </cell>
          <cell r="L655" t="e">
            <v>#N/A</v>
          </cell>
          <cell r="M655" t="e">
            <v>#N/A</v>
          </cell>
          <cell r="N655" t="e">
            <v>#N/A</v>
          </cell>
          <cell r="O655" t="e">
            <v>#N/A</v>
          </cell>
          <cell r="P655">
            <v>14.52</v>
          </cell>
          <cell r="Q655" t="str">
            <v/>
          </cell>
          <cell r="R655" t="e">
            <v>#N/A</v>
          </cell>
        </row>
        <row r="656">
          <cell r="A656">
            <v>40920</v>
          </cell>
          <cell r="B656">
            <v>40920</v>
          </cell>
          <cell r="C656" t="str">
            <v>Future</v>
          </cell>
          <cell r="D656" t="e">
            <v>#N/A</v>
          </cell>
          <cell r="E656">
            <v>8.9756756756756548</v>
          </cell>
          <cell r="F656">
            <v>15.529729729729793</v>
          </cell>
          <cell r="G656">
            <v>14.218918918918931</v>
          </cell>
          <cell r="H656">
            <v>14.218918918918931</v>
          </cell>
          <cell r="I656" t="e">
            <v>#N/A</v>
          </cell>
          <cell r="J656" t="e">
            <v>#N/A</v>
          </cell>
          <cell r="K656" t="e">
            <v>#N/A</v>
          </cell>
          <cell r="L656" t="e">
            <v>#N/A</v>
          </cell>
          <cell r="M656" t="e">
            <v>#N/A</v>
          </cell>
          <cell r="N656" t="e">
            <v>#N/A</v>
          </cell>
          <cell r="O656" t="e">
            <v>#N/A</v>
          </cell>
          <cell r="P656">
            <v>14.52</v>
          </cell>
          <cell r="Q656" t="str">
            <v/>
          </cell>
          <cell r="R656" t="e">
            <v>#N/A</v>
          </cell>
        </row>
        <row r="657">
          <cell r="A657">
            <v>40921</v>
          </cell>
          <cell r="B657">
            <v>40921</v>
          </cell>
          <cell r="C657" t="str">
            <v>Future</v>
          </cell>
          <cell r="D657" t="e">
            <v>#N/A</v>
          </cell>
          <cell r="E657">
            <v>8.9202702702702492</v>
          </cell>
          <cell r="F657">
            <v>15.541891891891956</v>
          </cell>
          <cell r="G657">
            <v>14.217567567567579</v>
          </cell>
          <cell r="H657">
            <v>14.217567567567579</v>
          </cell>
          <cell r="I657" t="e">
            <v>#N/A</v>
          </cell>
          <cell r="J657" t="e">
            <v>#N/A</v>
          </cell>
          <cell r="K657" t="e">
            <v>#N/A</v>
          </cell>
          <cell r="L657" t="e">
            <v>#N/A</v>
          </cell>
          <cell r="M657" t="e">
            <v>#N/A</v>
          </cell>
          <cell r="N657" t="e">
            <v>#N/A</v>
          </cell>
          <cell r="O657" t="e">
            <v>#N/A</v>
          </cell>
          <cell r="P657">
            <v>14.52</v>
          </cell>
          <cell r="Q657" t="str">
            <v/>
          </cell>
          <cell r="R657" t="e">
            <v>#N/A</v>
          </cell>
        </row>
        <row r="658">
          <cell r="A658">
            <v>40924</v>
          </cell>
          <cell r="B658">
            <v>40924</v>
          </cell>
          <cell r="C658" t="str">
            <v>Future</v>
          </cell>
          <cell r="D658" t="e">
            <v>#N/A</v>
          </cell>
          <cell r="E658">
            <v>8.8648648648648436</v>
          </cell>
          <cell r="F658">
            <v>15.554054054054118</v>
          </cell>
          <cell r="G658">
            <v>14.216216216216228</v>
          </cell>
          <cell r="H658">
            <v>14.216216216216228</v>
          </cell>
          <cell r="I658" t="e">
            <v>#N/A</v>
          </cell>
          <cell r="J658" t="e">
            <v>#N/A</v>
          </cell>
          <cell r="K658" t="e">
            <v>#N/A</v>
          </cell>
          <cell r="L658" t="e">
            <v>#N/A</v>
          </cell>
          <cell r="M658" t="e">
            <v>#N/A</v>
          </cell>
          <cell r="N658" t="e">
            <v>#N/A</v>
          </cell>
          <cell r="O658" t="e">
            <v>#N/A</v>
          </cell>
          <cell r="P658">
            <v>14.52</v>
          </cell>
          <cell r="Q658" t="str">
            <v/>
          </cell>
          <cell r="R658" t="e">
            <v>#N/A</v>
          </cell>
        </row>
        <row r="659">
          <cell r="A659">
            <v>40925</v>
          </cell>
          <cell r="B659">
            <v>40925</v>
          </cell>
          <cell r="C659" t="str">
            <v>Future</v>
          </cell>
          <cell r="D659" t="e">
            <v>#N/A</v>
          </cell>
          <cell r="E659">
            <v>8.809459459459438</v>
          </cell>
          <cell r="F659">
            <v>15.566216216216281</v>
          </cell>
          <cell r="G659">
            <v>14.214864864864877</v>
          </cell>
          <cell r="H659">
            <v>14.214864864864877</v>
          </cell>
          <cell r="I659" t="e">
            <v>#N/A</v>
          </cell>
          <cell r="J659" t="e">
            <v>#N/A</v>
          </cell>
          <cell r="K659" t="e">
            <v>#N/A</v>
          </cell>
          <cell r="L659" t="e">
            <v>#N/A</v>
          </cell>
          <cell r="M659" t="e">
            <v>#N/A</v>
          </cell>
          <cell r="N659" t="e">
            <v>#N/A</v>
          </cell>
          <cell r="O659" t="e">
            <v>#N/A</v>
          </cell>
          <cell r="P659">
            <v>14.52</v>
          </cell>
          <cell r="Q659" t="str">
            <v/>
          </cell>
          <cell r="R659" t="e">
            <v>#N/A</v>
          </cell>
        </row>
        <row r="660">
          <cell r="A660">
            <v>40926</v>
          </cell>
          <cell r="B660">
            <v>40926</v>
          </cell>
          <cell r="C660" t="str">
            <v>Future</v>
          </cell>
          <cell r="D660" t="e">
            <v>#N/A</v>
          </cell>
          <cell r="E660">
            <v>8.7540540540540324</v>
          </cell>
          <cell r="F660">
            <v>15.578378378378444</v>
          </cell>
          <cell r="G660">
            <v>14.213513513513526</v>
          </cell>
          <cell r="H660">
            <v>14.213513513513526</v>
          </cell>
          <cell r="I660" t="e">
            <v>#N/A</v>
          </cell>
          <cell r="J660" t="e">
            <v>#N/A</v>
          </cell>
          <cell r="K660" t="e">
            <v>#N/A</v>
          </cell>
          <cell r="L660" t="e">
            <v>#N/A</v>
          </cell>
          <cell r="M660" t="e">
            <v>#N/A</v>
          </cell>
          <cell r="N660" t="e">
            <v>#N/A</v>
          </cell>
          <cell r="O660" t="e">
            <v>#N/A</v>
          </cell>
          <cell r="P660">
            <v>14.52</v>
          </cell>
          <cell r="Q660" t="str">
            <v/>
          </cell>
          <cell r="R660" t="e">
            <v>#N/A</v>
          </cell>
        </row>
        <row r="661">
          <cell r="A661">
            <v>40927</v>
          </cell>
          <cell r="B661">
            <v>40927</v>
          </cell>
          <cell r="C661" t="str">
            <v>Future</v>
          </cell>
          <cell r="D661" t="e">
            <v>#N/A</v>
          </cell>
          <cell r="E661">
            <v>8.6986486486486267</v>
          </cell>
          <cell r="F661">
            <v>15.590540540540607</v>
          </cell>
          <cell r="G661">
            <v>14.212162162162175</v>
          </cell>
          <cell r="H661">
            <v>14.212162162162175</v>
          </cell>
          <cell r="I661" t="e">
            <v>#N/A</v>
          </cell>
          <cell r="J661" t="e">
            <v>#N/A</v>
          </cell>
          <cell r="K661" t="e">
            <v>#N/A</v>
          </cell>
          <cell r="L661" t="e">
            <v>#N/A</v>
          </cell>
          <cell r="M661" t="e">
            <v>#N/A</v>
          </cell>
          <cell r="N661" t="e">
            <v>#N/A</v>
          </cell>
          <cell r="O661" t="e">
            <v>#N/A</v>
          </cell>
          <cell r="P661">
            <v>14.52</v>
          </cell>
          <cell r="Q661" t="str">
            <v/>
          </cell>
          <cell r="R661" t="e">
            <v>#N/A</v>
          </cell>
        </row>
        <row r="662">
          <cell r="A662">
            <v>40928</v>
          </cell>
          <cell r="B662">
            <v>40928</v>
          </cell>
          <cell r="C662" t="str">
            <v>Future</v>
          </cell>
          <cell r="D662" t="e">
            <v>#N/A</v>
          </cell>
          <cell r="E662">
            <v>8.6432432432432211</v>
          </cell>
          <cell r="F662">
            <v>15.60270270270277</v>
          </cell>
          <cell r="G662">
            <v>14.210810810810823</v>
          </cell>
          <cell r="H662">
            <v>14.210810810810823</v>
          </cell>
          <cell r="I662" t="e">
            <v>#N/A</v>
          </cell>
          <cell r="J662" t="e">
            <v>#N/A</v>
          </cell>
          <cell r="K662" t="e">
            <v>#N/A</v>
          </cell>
          <cell r="L662" t="e">
            <v>#N/A</v>
          </cell>
          <cell r="M662" t="e">
            <v>#N/A</v>
          </cell>
          <cell r="N662" t="e">
            <v>#N/A</v>
          </cell>
          <cell r="O662" t="e">
            <v>#N/A</v>
          </cell>
          <cell r="P662">
            <v>14.52</v>
          </cell>
          <cell r="Q662" t="str">
            <v/>
          </cell>
          <cell r="R662" t="e">
            <v>#N/A</v>
          </cell>
        </row>
        <row r="663">
          <cell r="A663">
            <v>40931</v>
          </cell>
          <cell r="B663">
            <v>40931</v>
          </cell>
          <cell r="C663" t="str">
            <v>Future</v>
          </cell>
          <cell r="D663" t="e">
            <v>#N/A</v>
          </cell>
          <cell r="E663">
            <v>8.5878378378378155</v>
          </cell>
          <cell r="F663">
            <v>15.614864864864932</v>
          </cell>
          <cell r="G663">
            <v>14.209459459459472</v>
          </cell>
          <cell r="H663">
            <v>14.209459459459472</v>
          </cell>
          <cell r="I663" t="e">
            <v>#N/A</v>
          </cell>
          <cell r="J663" t="e">
            <v>#N/A</v>
          </cell>
          <cell r="K663" t="e">
            <v>#N/A</v>
          </cell>
          <cell r="L663" t="e">
            <v>#N/A</v>
          </cell>
          <cell r="M663" t="e">
            <v>#N/A</v>
          </cell>
          <cell r="N663" t="e">
            <v>#N/A</v>
          </cell>
          <cell r="O663" t="e">
            <v>#N/A</v>
          </cell>
          <cell r="P663">
            <v>14.52</v>
          </cell>
          <cell r="Q663" t="str">
            <v/>
          </cell>
          <cell r="R663" t="e">
            <v>#N/A</v>
          </cell>
        </row>
        <row r="664">
          <cell r="A664">
            <v>40932</v>
          </cell>
          <cell r="B664">
            <v>40932</v>
          </cell>
          <cell r="C664" t="str">
            <v>Future</v>
          </cell>
          <cell r="D664" t="e">
            <v>#N/A</v>
          </cell>
          <cell r="E664">
            <v>8.5324324324324099</v>
          </cell>
          <cell r="F664">
            <v>15.627027027027095</v>
          </cell>
          <cell r="G664">
            <v>14.208108108108121</v>
          </cell>
          <cell r="H664">
            <v>14.208108108108121</v>
          </cell>
          <cell r="I664" t="e">
            <v>#N/A</v>
          </cell>
          <cell r="J664" t="e">
            <v>#N/A</v>
          </cell>
          <cell r="K664" t="e">
            <v>#N/A</v>
          </cell>
          <cell r="L664" t="e">
            <v>#N/A</v>
          </cell>
          <cell r="M664" t="e">
            <v>#N/A</v>
          </cell>
          <cell r="N664" t="e">
            <v>#N/A</v>
          </cell>
          <cell r="O664" t="e">
            <v>#N/A</v>
          </cell>
          <cell r="P664">
            <v>14.52</v>
          </cell>
          <cell r="Q664" t="str">
            <v/>
          </cell>
          <cell r="R664" t="e">
            <v>#N/A</v>
          </cell>
        </row>
        <row r="665">
          <cell r="A665">
            <v>40933</v>
          </cell>
          <cell r="B665">
            <v>40933</v>
          </cell>
          <cell r="C665" t="str">
            <v>Future</v>
          </cell>
          <cell r="D665" t="e">
            <v>#N/A</v>
          </cell>
          <cell r="E665">
            <v>8.4770270270270043</v>
          </cell>
          <cell r="F665">
            <v>15.639189189189258</v>
          </cell>
          <cell r="G665">
            <v>14.20675675675677</v>
          </cell>
          <cell r="H665">
            <v>14.20675675675677</v>
          </cell>
          <cell r="I665" t="e">
            <v>#N/A</v>
          </cell>
          <cell r="J665" t="e">
            <v>#N/A</v>
          </cell>
          <cell r="K665" t="e">
            <v>#N/A</v>
          </cell>
          <cell r="L665" t="e">
            <v>#N/A</v>
          </cell>
          <cell r="M665" t="e">
            <v>#N/A</v>
          </cell>
          <cell r="N665" t="e">
            <v>#N/A</v>
          </cell>
          <cell r="O665" t="e">
            <v>#N/A</v>
          </cell>
          <cell r="P665">
            <v>14.52</v>
          </cell>
          <cell r="Q665" t="str">
            <v/>
          </cell>
          <cell r="R665" t="e">
            <v>#N/A</v>
          </cell>
        </row>
        <row r="666">
          <cell r="A666">
            <v>40934</v>
          </cell>
          <cell r="B666">
            <v>40934</v>
          </cell>
          <cell r="C666" t="str">
            <v>Future</v>
          </cell>
          <cell r="D666" t="e">
            <v>#N/A</v>
          </cell>
          <cell r="E666">
            <v>8.4216216216215987</v>
          </cell>
          <cell r="F666">
            <v>15.651351351351421</v>
          </cell>
          <cell r="G666">
            <v>14.205405405405418</v>
          </cell>
          <cell r="H666">
            <v>14.205405405405418</v>
          </cell>
          <cell r="I666" t="e">
            <v>#N/A</v>
          </cell>
          <cell r="J666" t="e">
            <v>#N/A</v>
          </cell>
          <cell r="K666" t="e">
            <v>#N/A</v>
          </cell>
          <cell r="L666" t="e">
            <v>#N/A</v>
          </cell>
          <cell r="M666" t="e">
            <v>#N/A</v>
          </cell>
          <cell r="N666" t="e">
            <v>#N/A</v>
          </cell>
          <cell r="O666" t="e">
            <v>#N/A</v>
          </cell>
          <cell r="P666">
            <v>14.52</v>
          </cell>
          <cell r="Q666" t="str">
            <v/>
          </cell>
          <cell r="R666" t="e">
            <v>#N/A</v>
          </cell>
        </row>
        <row r="667">
          <cell r="A667">
            <v>40935</v>
          </cell>
          <cell r="B667">
            <v>40935</v>
          </cell>
          <cell r="C667" t="str">
            <v>Future</v>
          </cell>
          <cell r="D667" t="e">
            <v>#N/A</v>
          </cell>
          <cell r="E667">
            <v>8.366216216216193</v>
          </cell>
          <cell r="F667">
            <v>15.663513513513584</v>
          </cell>
          <cell r="G667">
            <v>14.204054054054067</v>
          </cell>
          <cell r="H667">
            <v>14.204054054054067</v>
          </cell>
          <cell r="I667" t="e">
            <v>#N/A</v>
          </cell>
          <cell r="J667" t="e">
            <v>#N/A</v>
          </cell>
          <cell r="K667" t="e">
            <v>#N/A</v>
          </cell>
          <cell r="L667" t="e">
            <v>#N/A</v>
          </cell>
          <cell r="M667" t="e">
            <v>#N/A</v>
          </cell>
          <cell r="N667" t="e">
            <v>#N/A</v>
          </cell>
          <cell r="O667" t="e">
            <v>#N/A</v>
          </cell>
          <cell r="P667">
            <v>14.52</v>
          </cell>
          <cell r="Q667" t="str">
            <v/>
          </cell>
          <cell r="R667" t="e">
            <v>#N/A</v>
          </cell>
        </row>
        <row r="668">
          <cell r="A668">
            <v>40938</v>
          </cell>
          <cell r="B668">
            <v>40938</v>
          </cell>
          <cell r="C668" t="str">
            <v>Future</v>
          </cell>
          <cell r="D668" t="e">
            <v>#N/A</v>
          </cell>
          <cell r="E668">
            <v>8.3108108108107874</v>
          </cell>
          <cell r="F668">
            <v>15.675675675675746</v>
          </cell>
          <cell r="G668">
            <v>14.202702702702716</v>
          </cell>
          <cell r="H668">
            <v>14.202702702702716</v>
          </cell>
          <cell r="I668" t="e">
            <v>#N/A</v>
          </cell>
          <cell r="J668" t="e">
            <v>#N/A</v>
          </cell>
          <cell r="K668" t="e">
            <v>#N/A</v>
          </cell>
          <cell r="L668" t="e">
            <v>#N/A</v>
          </cell>
          <cell r="M668" t="e">
            <v>#N/A</v>
          </cell>
          <cell r="N668" t="e">
            <v>#N/A</v>
          </cell>
          <cell r="O668" t="e">
            <v>#N/A</v>
          </cell>
          <cell r="P668">
            <v>14.52</v>
          </cell>
          <cell r="Q668" t="str">
            <v/>
          </cell>
          <cell r="R668" t="e">
            <v>#N/A</v>
          </cell>
        </row>
        <row r="669">
          <cell r="A669">
            <v>40939</v>
          </cell>
          <cell r="B669">
            <v>40939</v>
          </cell>
          <cell r="C669" t="str">
            <v>Future</v>
          </cell>
          <cell r="D669" t="e">
            <v>#N/A</v>
          </cell>
          <cell r="E669">
            <v>8.2554054054053818</v>
          </cell>
          <cell r="F669">
            <v>15.687837837837909</v>
          </cell>
          <cell r="G669">
            <v>14.201351351351365</v>
          </cell>
          <cell r="H669">
            <v>14.201351351351365</v>
          </cell>
          <cell r="I669" t="e">
            <v>#N/A</v>
          </cell>
          <cell r="J669" t="e">
            <v>#N/A</v>
          </cell>
          <cell r="K669" t="e">
            <v>#N/A</v>
          </cell>
          <cell r="L669" t="e">
            <v>#N/A</v>
          </cell>
          <cell r="M669" t="e">
            <v>#N/A</v>
          </cell>
          <cell r="N669" t="e">
            <v>#N/A</v>
          </cell>
          <cell r="O669" t="e">
            <v>#N/A</v>
          </cell>
          <cell r="P669">
            <v>14.52</v>
          </cell>
          <cell r="Q669" t="str">
            <v/>
          </cell>
          <cell r="R669" t="e">
            <v>#N/A</v>
          </cell>
        </row>
        <row r="670">
          <cell r="A670">
            <v>40940</v>
          </cell>
          <cell r="B670">
            <v>40940</v>
          </cell>
          <cell r="C670" t="str">
            <v>Future</v>
          </cell>
          <cell r="D670" t="e">
            <v>#N/A</v>
          </cell>
          <cell r="E670">
            <v>8.1999999999999762</v>
          </cell>
          <cell r="F670">
            <v>15.700000000000072</v>
          </cell>
          <cell r="G670">
            <v>14.200000000000014</v>
          </cell>
          <cell r="H670">
            <v>14.200000000000014</v>
          </cell>
          <cell r="I670" t="e">
            <v>#N/A</v>
          </cell>
          <cell r="J670" t="e">
            <v>#N/A</v>
          </cell>
          <cell r="K670" t="e">
            <v>#N/A</v>
          </cell>
          <cell r="L670" t="e">
            <v>#N/A</v>
          </cell>
          <cell r="M670" t="e">
            <v>#N/A</v>
          </cell>
          <cell r="N670" t="e">
            <v>#N/A</v>
          </cell>
          <cell r="O670" t="e">
            <v>#N/A</v>
          </cell>
          <cell r="P670">
            <v>14.52</v>
          </cell>
          <cell r="Q670" t="str">
            <v/>
          </cell>
          <cell r="R670" t="e">
            <v>#N/A</v>
          </cell>
        </row>
        <row r="671">
          <cell r="A671">
            <v>40941</v>
          </cell>
          <cell r="B671">
            <v>40941</v>
          </cell>
          <cell r="C671" t="str">
            <v>Future</v>
          </cell>
          <cell r="D671" t="e">
            <v>#N/A</v>
          </cell>
          <cell r="E671">
            <v>8.1445945945945706</v>
          </cell>
          <cell r="F671">
            <v>15.712162162162235</v>
          </cell>
          <cell r="G671">
            <v>14.198648648648662</v>
          </cell>
          <cell r="H671">
            <v>14.198648648648662</v>
          </cell>
          <cell r="I671" t="e">
            <v>#N/A</v>
          </cell>
          <cell r="J671" t="e">
            <v>#N/A</v>
          </cell>
          <cell r="K671" t="e">
            <v>#N/A</v>
          </cell>
          <cell r="L671" t="e">
            <v>#N/A</v>
          </cell>
          <cell r="M671" t="e">
            <v>#N/A</v>
          </cell>
          <cell r="N671" t="e">
            <v>#N/A</v>
          </cell>
          <cell r="O671" t="e">
            <v>#N/A</v>
          </cell>
          <cell r="P671">
            <v>14.52</v>
          </cell>
          <cell r="Q671" t="str">
            <v/>
          </cell>
          <cell r="R671" t="e">
            <v>#N/A</v>
          </cell>
        </row>
        <row r="672">
          <cell r="A672">
            <v>40942</v>
          </cell>
          <cell r="B672">
            <v>40942</v>
          </cell>
          <cell r="C672" t="str">
            <v>Future</v>
          </cell>
          <cell r="D672" t="e">
            <v>#N/A</v>
          </cell>
          <cell r="E672">
            <v>8.089189189189165</v>
          </cell>
          <cell r="F672">
            <v>15.724324324324398</v>
          </cell>
          <cell r="G672">
            <v>14.197297297297311</v>
          </cell>
          <cell r="H672">
            <v>14.197297297297311</v>
          </cell>
          <cell r="I672" t="e">
            <v>#N/A</v>
          </cell>
          <cell r="J672" t="e">
            <v>#N/A</v>
          </cell>
          <cell r="K672" t="e">
            <v>#N/A</v>
          </cell>
          <cell r="L672" t="e">
            <v>#N/A</v>
          </cell>
          <cell r="M672" t="e">
            <v>#N/A</v>
          </cell>
          <cell r="N672" t="e">
            <v>#N/A</v>
          </cell>
          <cell r="O672" t="e">
            <v>#N/A</v>
          </cell>
          <cell r="P672">
            <v>14.52</v>
          </cell>
          <cell r="Q672" t="str">
            <v/>
          </cell>
          <cell r="R672" t="e">
            <v>#N/A</v>
          </cell>
        </row>
        <row r="673">
          <cell r="A673">
            <v>40945</v>
          </cell>
          <cell r="B673">
            <v>40945</v>
          </cell>
          <cell r="C673" t="str">
            <v>Future</v>
          </cell>
          <cell r="D673" t="e">
            <v>#N/A</v>
          </cell>
          <cell r="E673">
            <v>8.0337837837837593</v>
          </cell>
          <cell r="F673">
            <v>15.736486486486561</v>
          </cell>
          <cell r="G673">
            <v>14.19594594594596</v>
          </cell>
          <cell r="H673">
            <v>14.19594594594596</v>
          </cell>
          <cell r="I673" t="e">
            <v>#N/A</v>
          </cell>
          <cell r="J673" t="e">
            <v>#N/A</v>
          </cell>
          <cell r="K673" t="e">
            <v>#N/A</v>
          </cell>
          <cell r="L673" t="e">
            <v>#N/A</v>
          </cell>
          <cell r="M673" t="e">
            <v>#N/A</v>
          </cell>
          <cell r="N673" t="e">
            <v>#N/A</v>
          </cell>
          <cell r="O673" t="e">
            <v>#N/A</v>
          </cell>
          <cell r="P673">
            <v>14.52</v>
          </cell>
          <cell r="Q673" t="str">
            <v/>
          </cell>
          <cell r="R673" t="e">
            <v>#N/A</v>
          </cell>
        </row>
        <row r="674">
          <cell r="A674">
            <v>40946</v>
          </cell>
          <cell r="B674">
            <v>40946</v>
          </cell>
          <cell r="C674" t="str">
            <v>Future</v>
          </cell>
          <cell r="D674" t="e">
            <v>#N/A</v>
          </cell>
          <cell r="E674">
            <v>7.9783783783783537</v>
          </cell>
          <cell r="F674">
            <v>15.748648648648723</v>
          </cell>
          <cell r="G674">
            <v>14.194594594594609</v>
          </cell>
          <cell r="H674">
            <v>14.194594594594609</v>
          </cell>
          <cell r="I674" t="e">
            <v>#N/A</v>
          </cell>
          <cell r="J674" t="e">
            <v>#N/A</v>
          </cell>
          <cell r="K674" t="e">
            <v>#N/A</v>
          </cell>
          <cell r="L674" t="e">
            <v>#N/A</v>
          </cell>
          <cell r="M674" t="e">
            <v>#N/A</v>
          </cell>
          <cell r="N674" t="e">
            <v>#N/A</v>
          </cell>
          <cell r="O674" t="e">
            <v>#N/A</v>
          </cell>
          <cell r="P674">
            <v>14.52</v>
          </cell>
          <cell r="Q674" t="str">
            <v/>
          </cell>
          <cell r="R674" t="e">
            <v>#N/A</v>
          </cell>
        </row>
        <row r="675">
          <cell r="A675">
            <v>40947</v>
          </cell>
          <cell r="B675">
            <v>40947</v>
          </cell>
          <cell r="C675" t="str">
            <v>Future</v>
          </cell>
          <cell r="D675" t="e">
            <v>#N/A</v>
          </cell>
          <cell r="E675">
            <v>7.9229729729729481</v>
          </cell>
          <cell r="F675">
            <v>15.760810810810886</v>
          </cell>
          <cell r="G675">
            <v>14.193243243243257</v>
          </cell>
          <cell r="H675">
            <v>14.193243243243257</v>
          </cell>
          <cell r="I675" t="e">
            <v>#N/A</v>
          </cell>
          <cell r="J675" t="e">
            <v>#N/A</v>
          </cell>
          <cell r="K675" t="e">
            <v>#N/A</v>
          </cell>
          <cell r="L675" t="e">
            <v>#N/A</v>
          </cell>
          <cell r="M675" t="e">
            <v>#N/A</v>
          </cell>
          <cell r="N675" t="e">
            <v>#N/A</v>
          </cell>
          <cell r="O675" t="e">
            <v>#N/A</v>
          </cell>
          <cell r="P675">
            <v>14.52</v>
          </cell>
          <cell r="Q675" t="str">
            <v/>
          </cell>
          <cell r="R675" t="e">
            <v>#N/A</v>
          </cell>
        </row>
        <row r="676">
          <cell r="A676">
            <v>40948</v>
          </cell>
          <cell r="B676">
            <v>40948</v>
          </cell>
          <cell r="C676" t="str">
            <v>Future</v>
          </cell>
          <cell r="D676" t="e">
            <v>#N/A</v>
          </cell>
          <cell r="E676">
            <v>7.8675675675675425</v>
          </cell>
          <cell r="F676">
            <v>15.772972972973049</v>
          </cell>
          <cell r="G676">
            <v>14.191891891891906</v>
          </cell>
          <cell r="H676">
            <v>14.191891891891906</v>
          </cell>
          <cell r="I676" t="e">
            <v>#N/A</v>
          </cell>
          <cell r="J676" t="e">
            <v>#N/A</v>
          </cell>
          <cell r="K676" t="e">
            <v>#N/A</v>
          </cell>
          <cell r="L676" t="e">
            <v>#N/A</v>
          </cell>
          <cell r="M676" t="e">
            <v>#N/A</v>
          </cell>
          <cell r="N676" t="e">
            <v>#N/A</v>
          </cell>
          <cell r="O676" t="e">
            <v>#N/A</v>
          </cell>
          <cell r="P676">
            <v>14.52</v>
          </cell>
          <cell r="Q676" t="str">
            <v/>
          </cell>
          <cell r="R676" t="e">
            <v>#N/A</v>
          </cell>
        </row>
        <row r="677">
          <cell r="A677">
            <v>40949</v>
          </cell>
          <cell r="B677">
            <v>40949</v>
          </cell>
          <cell r="C677" t="str">
            <v>Future</v>
          </cell>
          <cell r="D677" t="e">
            <v>#N/A</v>
          </cell>
          <cell r="E677">
            <v>7.8121621621621369</v>
          </cell>
          <cell r="F677">
            <v>15.785135135135212</v>
          </cell>
          <cell r="G677">
            <v>14.190540540540555</v>
          </cell>
          <cell r="H677">
            <v>14.190540540540555</v>
          </cell>
          <cell r="I677" t="e">
            <v>#N/A</v>
          </cell>
          <cell r="J677" t="e">
            <v>#N/A</v>
          </cell>
          <cell r="K677" t="e">
            <v>#N/A</v>
          </cell>
          <cell r="L677" t="e">
            <v>#N/A</v>
          </cell>
          <cell r="M677" t="e">
            <v>#N/A</v>
          </cell>
          <cell r="N677" t="e">
            <v>#N/A</v>
          </cell>
          <cell r="O677" t="e">
            <v>#N/A</v>
          </cell>
          <cell r="P677">
            <v>14.52</v>
          </cell>
          <cell r="Q677" t="str">
            <v/>
          </cell>
          <cell r="R677" t="e">
            <v>#N/A</v>
          </cell>
        </row>
        <row r="678">
          <cell r="A678">
            <v>40952</v>
          </cell>
          <cell r="B678">
            <v>40952</v>
          </cell>
          <cell r="C678" t="str">
            <v>Future</v>
          </cell>
          <cell r="D678" t="e">
            <v>#N/A</v>
          </cell>
          <cell r="E678">
            <v>7.7567567567567313</v>
          </cell>
          <cell r="F678">
            <v>15.797297297297375</v>
          </cell>
          <cell r="G678">
            <v>14.189189189189204</v>
          </cell>
          <cell r="H678">
            <v>14.189189189189204</v>
          </cell>
          <cell r="I678" t="e">
            <v>#N/A</v>
          </cell>
          <cell r="J678" t="e">
            <v>#N/A</v>
          </cell>
          <cell r="K678" t="e">
            <v>#N/A</v>
          </cell>
          <cell r="L678" t="e">
            <v>#N/A</v>
          </cell>
          <cell r="M678" t="e">
            <v>#N/A</v>
          </cell>
          <cell r="N678" t="e">
            <v>#N/A</v>
          </cell>
          <cell r="O678" t="e">
            <v>#N/A</v>
          </cell>
          <cell r="P678">
            <v>14.52</v>
          </cell>
          <cell r="Q678" t="str">
            <v/>
          </cell>
          <cell r="R678" t="e">
            <v>#N/A</v>
          </cell>
        </row>
        <row r="679">
          <cell r="A679">
            <v>40953</v>
          </cell>
          <cell r="B679">
            <v>40953</v>
          </cell>
          <cell r="C679" t="str">
            <v>Future</v>
          </cell>
          <cell r="D679" t="e">
            <v>#N/A</v>
          </cell>
          <cell r="E679">
            <v>7.7013513513513256</v>
          </cell>
          <cell r="F679">
            <v>15.809459459459537</v>
          </cell>
          <cell r="G679">
            <v>14.187837837837852</v>
          </cell>
          <cell r="H679">
            <v>14.187837837837852</v>
          </cell>
          <cell r="I679" t="e">
            <v>#N/A</v>
          </cell>
          <cell r="J679" t="e">
            <v>#N/A</v>
          </cell>
          <cell r="K679" t="e">
            <v>#N/A</v>
          </cell>
          <cell r="L679" t="e">
            <v>#N/A</v>
          </cell>
          <cell r="M679" t="e">
            <v>#N/A</v>
          </cell>
          <cell r="N679" t="e">
            <v>#N/A</v>
          </cell>
          <cell r="O679" t="e">
            <v>#N/A</v>
          </cell>
          <cell r="P679">
            <v>14.52</v>
          </cell>
          <cell r="Q679" t="str">
            <v/>
          </cell>
          <cell r="R679" t="e">
            <v>#N/A</v>
          </cell>
        </row>
        <row r="680">
          <cell r="A680">
            <v>40954</v>
          </cell>
          <cell r="B680">
            <v>40954</v>
          </cell>
          <cell r="C680" t="str">
            <v>Future</v>
          </cell>
          <cell r="D680" t="e">
            <v>#N/A</v>
          </cell>
          <cell r="E680">
            <v>7.64594594594592</v>
          </cell>
          <cell r="F680">
            <v>15.8216216216217</v>
          </cell>
          <cell r="G680">
            <v>14.186486486486501</v>
          </cell>
          <cell r="H680">
            <v>14.186486486486501</v>
          </cell>
          <cell r="I680" t="e">
            <v>#N/A</v>
          </cell>
          <cell r="J680" t="e">
            <v>#N/A</v>
          </cell>
          <cell r="K680" t="e">
            <v>#N/A</v>
          </cell>
          <cell r="L680" t="e">
            <v>#N/A</v>
          </cell>
          <cell r="M680" t="e">
            <v>#N/A</v>
          </cell>
          <cell r="N680" t="e">
            <v>#N/A</v>
          </cell>
          <cell r="O680" t="e">
            <v>#N/A</v>
          </cell>
          <cell r="P680">
            <v>14.52</v>
          </cell>
          <cell r="Q680" t="str">
            <v/>
          </cell>
          <cell r="R680" t="e">
            <v>#N/A</v>
          </cell>
        </row>
        <row r="681">
          <cell r="A681">
            <v>40955</v>
          </cell>
          <cell r="B681">
            <v>40955</v>
          </cell>
          <cell r="C681" t="str">
            <v>Future</v>
          </cell>
          <cell r="D681" t="e">
            <v>#N/A</v>
          </cell>
          <cell r="E681">
            <v>7.5905405405405144</v>
          </cell>
          <cell r="F681">
            <v>15.833783783783863</v>
          </cell>
          <cell r="G681">
            <v>14.18513513513515</v>
          </cell>
          <cell r="H681">
            <v>14.18513513513515</v>
          </cell>
          <cell r="I681" t="e">
            <v>#N/A</v>
          </cell>
          <cell r="J681" t="e">
            <v>#N/A</v>
          </cell>
          <cell r="K681" t="e">
            <v>#N/A</v>
          </cell>
          <cell r="L681" t="e">
            <v>#N/A</v>
          </cell>
          <cell r="M681" t="e">
            <v>#N/A</v>
          </cell>
          <cell r="N681" t="e">
            <v>#N/A</v>
          </cell>
          <cell r="O681" t="e">
            <v>#N/A</v>
          </cell>
          <cell r="P681">
            <v>14.52</v>
          </cell>
          <cell r="Q681" t="str">
            <v/>
          </cell>
          <cell r="R681" t="e">
            <v>#N/A</v>
          </cell>
        </row>
        <row r="682">
          <cell r="A682">
            <v>40956</v>
          </cell>
          <cell r="B682">
            <v>40956</v>
          </cell>
          <cell r="C682" t="str">
            <v>Future</v>
          </cell>
          <cell r="D682" t="e">
            <v>#N/A</v>
          </cell>
          <cell r="E682">
            <v>7.5351351351351088</v>
          </cell>
          <cell r="F682">
            <v>15.845945945946026</v>
          </cell>
          <cell r="G682">
            <v>14.183783783783799</v>
          </cell>
          <cell r="H682">
            <v>14.183783783783799</v>
          </cell>
          <cell r="I682" t="e">
            <v>#N/A</v>
          </cell>
          <cell r="J682" t="e">
            <v>#N/A</v>
          </cell>
          <cell r="K682" t="e">
            <v>#N/A</v>
          </cell>
          <cell r="L682" t="e">
            <v>#N/A</v>
          </cell>
          <cell r="M682" t="e">
            <v>#N/A</v>
          </cell>
          <cell r="N682" t="e">
            <v>#N/A</v>
          </cell>
          <cell r="O682" t="e">
            <v>#N/A</v>
          </cell>
          <cell r="P682">
            <v>14.52</v>
          </cell>
          <cell r="Q682" t="str">
            <v/>
          </cell>
          <cell r="R682" t="e">
            <v>#N/A</v>
          </cell>
        </row>
        <row r="683">
          <cell r="A683">
            <v>40959</v>
          </cell>
          <cell r="B683">
            <v>40959</v>
          </cell>
          <cell r="C683" t="str">
            <v>Future</v>
          </cell>
          <cell r="D683" t="e">
            <v>#N/A</v>
          </cell>
          <cell r="E683">
            <v>7.4797297297297032</v>
          </cell>
          <cell r="F683">
            <v>15.858108108108189</v>
          </cell>
          <cell r="G683">
            <v>14.182432432432448</v>
          </cell>
          <cell r="H683">
            <v>14.182432432432448</v>
          </cell>
          <cell r="I683" t="e">
            <v>#N/A</v>
          </cell>
          <cell r="J683" t="e">
            <v>#N/A</v>
          </cell>
          <cell r="K683" t="e">
            <v>#N/A</v>
          </cell>
          <cell r="L683" t="e">
            <v>#N/A</v>
          </cell>
          <cell r="M683" t="e">
            <v>#N/A</v>
          </cell>
          <cell r="N683" t="e">
            <v>#N/A</v>
          </cell>
          <cell r="O683" t="e">
            <v>#N/A</v>
          </cell>
          <cell r="P683">
            <v>14.52</v>
          </cell>
          <cell r="Q683" t="str">
            <v/>
          </cell>
          <cell r="R683" t="e">
            <v>#N/A</v>
          </cell>
        </row>
        <row r="684">
          <cell r="A684">
            <v>40960</v>
          </cell>
          <cell r="B684">
            <v>40960</v>
          </cell>
          <cell r="C684" t="str">
            <v>Future</v>
          </cell>
          <cell r="D684" t="e">
            <v>#N/A</v>
          </cell>
          <cell r="E684">
            <v>7.4243243243242976</v>
          </cell>
          <cell r="F684">
            <v>15.870270270270352</v>
          </cell>
          <cell r="G684">
            <v>14.181081081081096</v>
          </cell>
          <cell r="H684">
            <v>14.181081081081096</v>
          </cell>
          <cell r="I684" t="e">
            <v>#N/A</v>
          </cell>
          <cell r="J684" t="e">
            <v>#N/A</v>
          </cell>
          <cell r="K684" t="e">
            <v>#N/A</v>
          </cell>
          <cell r="L684" t="e">
            <v>#N/A</v>
          </cell>
          <cell r="M684" t="e">
            <v>#N/A</v>
          </cell>
          <cell r="N684" t="e">
            <v>#N/A</v>
          </cell>
          <cell r="O684" t="e">
            <v>#N/A</v>
          </cell>
          <cell r="P684">
            <v>14.52</v>
          </cell>
          <cell r="Q684" t="str">
            <v/>
          </cell>
          <cell r="R684" t="e">
            <v>#N/A</v>
          </cell>
        </row>
        <row r="685">
          <cell r="A685">
            <v>40961</v>
          </cell>
          <cell r="B685">
            <v>40961</v>
          </cell>
          <cell r="C685" t="str">
            <v>Future</v>
          </cell>
          <cell r="D685" t="e">
            <v>#N/A</v>
          </cell>
          <cell r="E685">
            <v>7.3689189189188919</v>
          </cell>
          <cell r="F685">
            <v>15.882432432432514</v>
          </cell>
          <cell r="G685">
            <v>14.179729729729745</v>
          </cell>
          <cell r="H685">
            <v>14.179729729729745</v>
          </cell>
          <cell r="I685" t="e">
            <v>#N/A</v>
          </cell>
          <cell r="J685" t="e">
            <v>#N/A</v>
          </cell>
          <cell r="K685" t="e">
            <v>#N/A</v>
          </cell>
          <cell r="L685" t="e">
            <v>#N/A</v>
          </cell>
          <cell r="M685" t="e">
            <v>#N/A</v>
          </cell>
          <cell r="N685" t="e">
            <v>#N/A</v>
          </cell>
          <cell r="O685" t="e">
            <v>#N/A</v>
          </cell>
          <cell r="P685">
            <v>14.52</v>
          </cell>
          <cell r="Q685" t="str">
            <v/>
          </cell>
          <cell r="R685" t="e">
            <v>#N/A</v>
          </cell>
        </row>
        <row r="686">
          <cell r="A686">
            <v>40962</v>
          </cell>
          <cell r="B686">
            <v>40962</v>
          </cell>
          <cell r="C686" t="str">
            <v>Future</v>
          </cell>
          <cell r="D686" t="e">
            <v>#N/A</v>
          </cell>
          <cell r="E686">
            <v>7.3135135135134863</v>
          </cell>
          <cell r="F686">
            <v>15.894594594594677</v>
          </cell>
          <cell r="G686">
            <v>14.178378378378394</v>
          </cell>
          <cell r="H686">
            <v>14.178378378378394</v>
          </cell>
          <cell r="I686" t="e">
            <v>#N/A</v>
          </cell>
          <cell r="J686" t="e">
            <v>#N/A</v>
          </cell>
          <cell r="K686" t="e">
            <v>#N/A</v>
          </cell>
          <cell r="L686" t="e">
            <v>#N/A</v>
          </cell>
          <cell r="M686" t="e">
            <v>#N/A</v>
          </cell>
          <cell r="N686" t="e">
            <v>#N/A</v>
          </cell>
          <cell r="O686" t="e">
            <v>#N/A</v>
          </cell>
          <cell r="P686">
            <v>14.52</v>
          </cell>
          <cell r="Q686" t="str">
            <v/>
          </cell>
          <cell r="R686" t="e">
            <v>#N/A</v>
          </cell>
        </row>
        <row r="687">
          <cell r="A687">
            <v>40963</v>
          </cell>
          <cell r="B687">
            <v>40963</v>
          </cell>
          <cell r="C687" t="str">
            <v>Future</v>
          </cell>
          <cell r="D687" t="e">
            <v>#N/A</v>
          </cell>
          <cell r="E687">
            <v>7.2581081081080807</v>
          </cell>
          <cell r="F687">
            <v>15.90675675675684</v>
          </cell>
          <cell r="G687">
            <v>14.177027027027043</v>
          </cell>
          <cell r="H687">
            <v>14.177027027027043</v>
          </cell>
          <cell r="I687" t="e">
            <v>#N/A</v>
          </cell>
          <cell r="J687" t="e">
            <v>#N/A</v>
          </cell>
          <cell r="K687" t="e">
            <v>#N/A</v>
          </cell>
          <cell r="L687" t="e">
            <v>#N/A</v>
          </cell>
          <cell r="M687" t="e">
            <v>#N/A</v>
          </cell>
          <cell r="N687" t="e">
            <v>#N/A</v>
          </cell>
          <cell r="O687" t="e">
            <v>#N/A</v>
          </cell>
          <cell r="P687">
            <v>14.52</v>
          </cell>
          <cell r="Q687" t="str">
            <v/>
          </cell>
          <cell r="R687" t="e">
            <v>#N/A</v>
          </cell>
        </row>
        <row r="688">
          <cell r="A688">
            <v>40966</v>
          </cell>
          <cell r="B688">
            <v>40966</v>
          </cell>
          <cell r="C688" t="str">
            <v>Future</v>
          </cell>
          <cell r="D688" t="e">
            <v>#N/A</v>
          </cell>
          <cell r="E688">
            <v>7.2027027027026751</v>
          </cell>
          <cell r="F688">
            <v>15.918918918919003</v>
          </cell>
          <cell r="G688">
            <v>14.175675675675691</v>
          </cell>
          <cell r="H688">
            <v>14.175675675675691</v>
          </cell>
          <cell r="I688" t="e">
            <v>#N/A</v>
          </cell>
          <cell r="J688" t="e">
            <v>#N/A</v>
          </cell>
          <cell r="K688" t="e">
            <v>#N/A</v>
          </cell>
          <cell r="L688" t="e">
            <v>#N/A</v>
          </cell>
          <cell r="M688" t="e">
            <v>#N/A</v>
          </cell>
          <cell r="N688" t="e">
            <v>#N/A</v>
          </cell>
          <cell r="O688" t="e">
            <v>#N/A</v>
          </cell>
          <cell r="P688">
            <v>14.52</v>
          </cell>
          <cell r="Q688" t="str">
            <v/>
          </cell>
          <cell r="R688" t="e">
            <v>#N/A</v>
          </cell>
        </row>
        <row r="689">
          <cell r="A689">
            <v>40967</v>
          </cell>
          <cell r="B689">
            <v>40967</v>
          </cell>
          <cell r="C689" t="str">
            <v>Future</v>
          </cell>
          <cell r="D689" t="e">
            <v>#N/A</v>
          </cell>
          <cell r="E689">
            <v>7.1472972972972695</v>
          </cell>
          <cell r="F689">
            <v>15.931081081081166</v>
          </cell>
          <cell r="G689">
            <v>14.17432432432434</v>
          </cell>
          <cell r="H689">
            <v>14.17432432432434</v>
          </cell>
          <cell r="I689" t="e">
            <v>#N/A</v>
          </cell>
          <cell r="J689" t="e">
            <v>#N/A</v>
          </cell>
          <cell r="K689" t="e">
            <v>#N/A</v>
          </cell>
          <cell r="L689" t="e">
            <v>#N/A</v>
          </cell>
          <cell r="M689" t="e">
            <v>#N/A</v>
          </cell>
          <cell r="N689" t="e">
            <v>#N/A</v>
          </cell>
          <cell r="O689" t="e">
            <v>#N/A</v>
          </cell>
          <cell r="P689">
            <v>14.52</v>
          </cell>
          <cell r="Q689" t="str">
            <v/>
          </cell>
          <cell r="R689" t="e">
            <v>#N/A</v>
          </cell>
        </row>
        <row r="690">
          <cell r="A690">
            <v>40968</v>
          </cell>
          <cell r="B690">
            <v>40968</v>
          </cell>
          <cell r="C690" t="str">
            <v>Future</v>
          </cell>
          <cell r="D690" t="e">
            <v>#N/A</v>
          </cell>
          <cell r="E690">
            <v>7.0918918918918639</v>
          </cell>
          <cell r="F690">
            <v>15.943243243243328</v>
          </cell>
          <cell r="G690">
            <v>14.172972972972989</v>
          </cell>
          <cell r="H690">
            <v>14.172972972972989</v>
          </cell>
          <cell r="I690" t="e">
            <v>#N/A</v>
          </cell>
          <cell r="J690" t="e">
            <v>#N/A</v>
          </cell>
          <cell r="K690" t="e">
            <v>#N/A</v>
          </cell>
          <cell r="L690" t="e">
            <v>#N/A</v>
          </cell>
          <cell r="M690" t="e">
            <v>#N/A</v>
          </cell>
          <cell r="N690" t="e">
            <v>#N/A</v>
          </cell>
          <cell r="O690" t="e">
            <v>#N/A</v>
          </cell>
          <cell r="P690">
            <v>14.52</v>
          </cell>
          <cell r="Q690" t="str">
            <v/>
          </cell>
          <cell r="R690" t="e">
            <v>#N/A</v>
          </cell>
        </row>
        <row r="691">
          <cell r="A691">
            <v>40969</v>
          </cell>
          <cell r="B691">
            <v>40969</v>
          </cell>
          <cell r="C691" t="str">
            <v>Future</v>
          </cell>
          <cell r="D691" t="e">
            <v>#N/A</v>
          </cell>
          <cell r="E691">
            <v>7.0364864864864582</v>
          </cell>
          <cell r="F691">
            <v>15.955405405405491</v>
          </cell>
          <cell r="G691">
            <v>14.171621621621638</v>
          </cell>
          <cell r="H691">
            <v>14.171621621621638</v>
          </cell>
          <cell r="I691" t="e">
            <v>#N/A</v>
          </cell>
          <cell r="J691" t="e">
            <v>#N/A</v>
          </cell>
          <cell r="K691" t="e">
            <v>#N/A</v>
          </cell>
          <cell r="L691" t="e">
            <v>#N/A</v>
          </cell>
          <cell r="M691" t="e">
            <v>#N/A</v>
          </cell>
          <cell r="N691" t="e">
            <v>#N/A</v>
          </cell>
          <cell r="O691" t="e">
            <v>#N/A</v>
          </cell>
          <cell r="P691">
            <v>14.52</v>
          </cell>
          <cell r="Q691" t="str">
            <v/>
          </cell>
          <cell r="R691" t="e">
            <v>#N/A</v>
          </cell>
        </row>
        <row r="692">
          <cell r="A692">
            <v>40970</v>
          </cell>
          <cell r="B692">
            <v>40970</v>
          </cell>
          <cell r="C692" t="str">
            <v>Future</v>
          </cell>
          <cell r="D692" t="e">
            <v>#N/A</v>
          </cell>
          <cell r="E692">
            <v>6.9810810810810526</v>
          </cell>
          <cell r="F692">
            <v>15.967567567567654</v>
          </cell>
          <cell r="G692">
            <v>14.170270270270287</v>
          </cell>
          <cell r="H692">
            <v>14.170270270270287</v>
          </cell>
          <cell r="I692" t="e">
            <v>#N/A</v>
          </cell>
          <cell r="J692" t="e">
            <v>#N/A</v>
          </cell>
          <cell r="K692" t="e">
            <v>#N/A</v>
          </cell>
          <cell r="L692" t="e">
            <v>#N/A</v>
          </cell>
          <cell r="M692" t="e">
            <v>#N/A</v>
          </cell>
          <cell r="N692" t="e">
            <v>#N/A</v>
          </cell>
          <cell r="O692" t="e">
            <v>#N/A</v>
          </cell>
          <cell r="P692">
            <v>14.52</v>
          </cell>
          <cell r="Q692" t="str">
            <v/>
          </cell>
          <cell r="R692" t="e">
            <v>#N/A</v>
          </cell>
        </row>
        <row r="693">
          <cell r="A693">
            <v>40973</v>
          </cell>
          <cell r="B693">
            <v>40973</v>
          </cell>
          <cell r="C693" t="str">
            <v>Future</v>
          </cell>
          <cell r="D693" t="e">
            <v>#N/A</v>
          </cell>
          <cell r="E693">
            <v>6.925675675675647</v>
          </cell>
          <cell r="F693">
            <v>15.979729729729817</v>
          </cell>
          <cell r="G693">
            <v>14.168918918918935</v>
          </cell>
          <cell r="H693">
            <v>14.168918918918935</v>
          </cell>
          <cell r="I693" t="e">
            <v>#N/A</v>
          </cell>
          <cell r="J693" t="e">
            <v>#N/A</v>
          </cell>
          <cell r="K693" t="e">
            <v>#N/A</v>
          </cell>
          <cell r="L693" t="e">
            <v>#N/A</v>
          </cell>
          <cell r="M693" t="e">
            <v>#N/A</v>
          </cell>
          <cell r="N693" t="e">
            <v>#N/A</v>
          </cell>
          <cell r="O693" t="e">
            <v>#N/A</v>
          </cell>
          <cell r="P693">
            <v>14.52</v>
          </cell>
          <cell r="Q693" t="str">
            <v/>
          </cell>
          <cell r="R693" t="e">
            <v>#N/A</v>
          </cell>
        </row>
        <row r="694">
          <cell r="A694">
            <v>40974</v>
          </cell>
          <cell r="B694">
            <v>40974</v>
          </cell>
          <cell r="C694" t="str">
            <v>Future</v>
          </cell>
          <cell r="D694" t="e">
            <v>#N/A</v>
          </cell>
          <cell r="E694">
            <v>6.8702702702702414</v>
          </cell>
          <cell r="F694">
            <v>15.99189189189198</v>
          </cell>
          <cell r="G694">
            <v>14.167567567567584</v>
          </cell>
          <cell r="H694">
            <v>14.167567567567584</v>
          </cell>
          <cell r="I694" t="e">
            <v>#N/A</v>
          </cell>
          <cell r="J694" t="e">
            <v>#N/A</v>
          </cell>
          <cell r="K694" t="e">
            <v>#N/A</v>
          </cell>
          <cell r="L694" t="e">
            <v>#N/A</v>
          </cell>
          <cell r="M694" t="e">
            <v>#N/A</v>
          </cell>
          <cell r="N694" t="e">
            <v>#N/A</v>
          </cell>
          <cell r="O694" t="e">
            <v>#N/A</v>
          </cell>
          <cell r="P694">
            <v>14.52</v>
          </cell>
          <cell r="Q694" t="str">
            <v/>
          </cell>
          <cell r="R694" t="e">
            <v>#N/A</v>
          </cell>
        </row>
        <row r="695">
          <cell r="A695">
            <v>40975</v>
          </cell>
          <cell r="B695">
            <v>40975</v>
          </cell>
          <cell r="C695" t="str">
            <v>Future</v>
          </cell>
          <cell r="D695" t="e">
            <v>#N/A</v>
          </cell>
          <cell r="E695">
            <v>6.8148648648648358</v>
          </cell>
          <cell r="F695">
            <v>16.004054054054141</v>
          </cell>
          <cell r="G695">
            <v>14.166216216216233</v>
          </cell>
          <cell r="H695">
            <v>14.166216216216233</v>
          </cell>
          <cell r="I695" t="e">
            <v>#N/A</v>
          </cell>
          <cell r="J695" t="e">
            <v>#N/A</v>
          </cell>
          <cell r="K695" t="e">
            <v>#N/A</v>
          </cell>
          <cell r="L695" t="e">
            <v>#N/A</v>
          </cell>
          <cell r="M695" t="e">
            <v>#N/A</v>
          </cell>
          <cell r="N695" t="e">
            <v>#N/A</v>
          </cell>
          <cell r="O695" t="e">
            <v>#N/A</v>
          </cell>
          <cell r="P695">
            <v>14.52</v>
          </cell>
          <cell r="Q695" t="str">
            <v/>
          </cell>
          <cell r="R695" t="e">
            <v>#N/A</v>
          </cell>
        </row>
        <row r="696">
          <cell r="A696">
            <v>40976</v>
          </cell>
          <cell r="B696">
            <v>40976</v>
          </cell>
          <cell r="C696" t="str">
            <v>Future</v>
          </cell>
          <cell r="D696" t="e">
            <v>#N/A</v>
          </cell>
          <cell r="E696">
            <v>6.7594594594594302</v>
          </cell>
          <cell r="F696">
            <v>16.016216216216304</v>
          </cell>
          <cell r="G696">
            <v>14.164864864864882</v>
          </cell>
          <cell r="H696">
            <v>14.164864864864882</v>
          </cell>
          <cell r="I696" t="e">
            <v>#N/A</v>
          </cell>
          <cell r="J696" t="e">
            <v>#N/A</v>
          </cell>
          <cell r="K696" t="e">
            <v>#N/A</v>
          </cell>
          <cell r="L696" t="e">
            <v>#N/A</v>
          </cell>
          <cell r="M696" t="e">
            <v>#N/A</v>
          </cell>
          <cell r="N696" t="e">
            <v>#N/A</v>
          </cell>
          <cell r="O696" t="e">
            <v>#N/A</v>
          </cell>
          <cell r="P696">
            <v>14.52</v>
          </cell>
          <cell r="Q696" t="str">
            <v/>
          </cell>
          <cell r="R696" t="e">
            <v>#N/A</v>
          </cell>
        </row>
        <row r="697">
          <cell r="A697">
            <v>40977</v>
          </cell>
          <cell r="B697">
            <v>40977</v>
          </cell>
          <cell r="C697" t="str">
            <v>Future</v>
          </cell>
          <cell r="D697" t="e">
            <v>#N/A</v>
          </cell>
          <cell r="E697">
            <v>6.7040540540540245</v>
          </cell>
          <cell r="F697">
            <v>16.028378378378466</v>
          </cell>
          <cell r="G697">
            <v>14.16351351351353</v>
          </cell>
          <cell r="H697">
            <v>14.16351351351353</v>
          </cell>
          <cell r="I697" t="e">
            <v>#N/A</v>
          </cell>
          <cell r="J697" t="e">
            <v>#N/A</v>
          </cell>
          <cell r="K697" t="e">
            <v>#N/A</v>
          </cell>
          <cell r="L697" t="e">
            <v>#N/A</v>
          </cell>
          <cell r="M697" t="e">
            <v>#N/A</v>
          </cell>
          <cell r="N697" t="e">
            <v>#N/A</v>
          </cell>
          <cell r="O697" t="e">
            <v>#N/A</v>
          </cell>
          <cell r="P697">
            <v>14.52</v>
          </cell>
          <cell r="Q697" t="str">
            <v/>
          </cell>
          <cell r="R697" t="e">
            <v>#N/A</v>
          </cell>
        </row>
        <row r="698">
          <cell r="A698">
            <v>40980</v>
          </cell>
          <cell r="B698">
            <v>40980</v>
          </cell>
          <cell r="C698" t="str">
            <v>Future</v>
          </cell>
          <cell r="D698" t="e">
            <v>#N/A</v>
          </cell>
          <cell r="E698">
            <v>6.6486486486486189</v>
          </cell>
          <cell r="F698">
            <v>16.040540540540629</v>
          </cell>
          <cell r="G698">
            <v>14.162162162162179</v>
          </cell>
          <cell r="H698">
            <v>14.162162162162179</v>
          </cell>
          <cell r="I698" t="e">
            <v>#N/A</v>
          </cell>
          <cell r="J698" t="e">
            <v>#N/A</v>
          </cell>
          <cell r="K698" t="e">
            <v>#N/A</v>
          </cell>
          <cell r="L698" t="e">
            <v>#N/A</v>
          </cell>
          <cell r="M698" t="e">
            <v>#N/A</v>
          </cell>
          <cell r="N698" t="e">
            <v>#N/A</v>
          </cell>
          <cell r="O698" t="e">
            <v>#N/A</v>
          </cell>
          <cell r="P698">
            <v>14.52</v>
          </cell>
          <cell r="Q698" t="str">
            <v/>
          </cell>
          <cell r="R698" t="e">
            <v>#N/A</v>
          </cell>
        </row>
        <row r="699">
          <cell r="A699">
            <v>40981</v>
          </cell>
          <cell r="B699">
            <v>40981</v>
          </cell>
          <cell r="C699" t="str">
            <v>Future</v>
          </cell>
          <cell r="D699" t="e">
            <v>#N/A</v>
          </cell>
          <cell r="E699">
            <v>6.5932432432432133</v>
          </cell>
          <cell r="F699">
            <v>16.052702702702792</v>
          </cell>
          <cell r="G699">
            <v>14.160810810810828</v>
          </cell>
          <cell r="H699">
            <v>14.160810810810828</v>
          </cell>
          <cell r="I699" t="e">
            <v>#N/A</v>
          </cell>
          <cell r="J699" t="e">
            <v>#N/A</v>
          </cell>
          <cell r="K699" t="e">
            <v>#N/A</v>
          </cell>
          <cell r="L699" t="e">
            <v>#N/A</v>
          </cell>
          <cell r="M699" t="e">
            <v>#N/A</v>
          </cell>
          <cell r="N699" t="e">
            <v>#N/A</v>
          </cell>
          <cell r="O699" t="e">
            <v>#N/A</v>
          </cell>
          <cell r="P699">
            <v>14.52</v>
          </cell>
          <cell r="Q699" t="str">
            <v/>
          </cell>
          <cell r="R699" t="e">
            <v>#N/A</v>
          </cell>
        </row>
        <row r="700">
          <cell r="A700">
            <v>40982</v>
          </cell>
          <cell r="B700">
            <v>40982</v>
          </cell>
          <cell r="C700" t="str">
            <v>Future</v>
          </cell>
          <cell r="D700" t="e">
            <v>#N/A</v>
          </cell>
          <cell r="E700">
            <v>6.5378378378378077</v>
          </cell>
          <cell r="F700">
            <v>16.064864864864955</v>
          </cell>
          <cell r="G700">
            <v>14.159459459459477</v>
          </cell>
          <cell r="H700">
            <v>14.159459459459477</v>
          </cell>
          <cell r="I700" t="e">
            <v>#N/A</v>
          </cell>
          <cell r="J700" t="e">
            <v>#N/A</v>
          </cell>
          <cell r="K700" t="e">
            <v>#N/A</v>
          </cell>
          <cell r="L700" t="e">
            <v>#N/A</v>
          </cell>
          <cell r="M700" t="e">
            <v>#N/A</v>
          </cell>
          <cell r="N700" t="e">
            <v>#N/A</v>
          </cell>
          <cell r="O700" t="e">
            <v>#N/A</v>
          </cell>
          <cell r="P700">
            <v>14.52</v>
          </cell>
          <cell r="Q700" t="str">
            <v/>
          </cell>
          <cell r="R700" t="e">
            <v>#N/A</v>
          </cell>
        </row>
        <row r="701">
          <cell r="A701">
            <v>40983</v>
          </cell>
          <cell r="B701">
            <v>40983</v>
          </cell>
          <cell r="C701" t="str">
            <v>Future</v>
          </cell>
          <cell r="D701" t="e">
            <v>#N/A</v>
          </cell>
          <cell r="E701">
            <v>6.4824324324324021</v>
          </cell>
          <cell r="F701">
            <v>16.077027027027118</v>
          </cell>
          <cell r="G701">
            <v>14.158108108108125</v>
          </cell>
          <cell r="H701">
            <v>14.158108108108125</v>
          </cell>
          <cell r="I701" t="e">
            <v>#N/A</v>
          </cell>
          <cell r="J701" t="e">
            <v>#N/A</v>
          </cell>
          <cell r="K701" t="e">
            <v>#N/A</v>
          </cell>
          <cell r="L701" t="e">
            <v>#N/A</v>
          </cell>
          <cell r="M701" t="e">
            <v>#N/A</v>
          </cell>
          <cell r="N701" t="e">
            <v>#N/A</v>
          </cell>
          <cell r="O701" t="e">
            <v>#N/A</v>
          </cell>
          <cell r="P701">
            <v>14.52</v>
          </cell>
          <cell r="Q701" t="str">
            <v/>
          </cell>
          <cell r="R701" t="e">
            <v>#N/A</v>
          </cell>
        </row>
        <row r="702">
          <cell r="A702">
            <v>40984</v>
          </cell>
          <cell r="B702">
            <v>40984</v>
          </cell>
          <cell r="C702" t="str">
            <v>Future</v>
          </cell>
          <cell r="D702" t="e">
            <v>#N/A</v>
          </cell>
          <cell r="E702">
            <v>6.4270270270269965</v>
          </cell>
          <cell r="F702">
            <v>16.08918918918928</v>
          </cell>
          <cell r="G702">
            <v>14.156756756756774</v>
          </cell>
          <cell r="H702">
            <v>14.156756756756774</v>
          </cell>
          <cell r="I702" t="e">
            <v>#N/A</v>
          </cell>
          <cell r="J702" t="e">
            <v>#N/A</v>
          </cell>
          <cell r="K702" t="e">
            <v>#N/A</v>
          </cell>
          <cell r="L702" t="e">
            <v>#N/A</v>
          </cell>
          <cell r="M702" t="e">
            <v>#N/A</v>
          </cell>
          <cell r="N702" t="e">
            <v>#N/A</v>
          </cell>
          <cell r="O702" t="e">
            <v>#N/A</v>
          </cell>
          <cell r="P702">
            <v>14.52</v>
          </cell>
          <cell r="Q702" t="str">
            <v/>
          </cell>
          <cell r="R702" t="e">
            <v>#N/A</v>
          </cell>
        </row>
        <row r="703">
          <cell r="A703">
            <v>40987</v>
          </cell>
          <cell r="B703">
            <v>40987</v>
          </cell>
          <cell r="C703" t="str">
            <v>Future</v>
          </cell>
          <cell r="D703" t="e">
            <v>#N/A</v>
          </cell>
          <cell r="E703">
            <v>6.3716216216215908</v>
          </cell>
          <cell r="F703">
            <v>16.101351351351443</v>
          </cell>
          <cell r="G703">
            <v>14.155405405405423</v>
          </cell>
          <cell r="H703">
            <v>14.155405405405423</v>
          </cell>
          <cell r="I703" t="e">
            <v>#N/A</v>
          </cell>
          <cell r="J703" t="e">
            <v>#N/A</v>
          </cell>
          <cell r="K703" t="e">
            <v>#N/A</v>
          </cell>
          <cell r="L703" t="e">
            <v>#N/A</v>
          </cell>
          <cell r="M703" t="e">
            <v>#N/A</v>
          </cell>
          <cell r="N703" t="e">
            <v>#N/A</v>
          </cell>
          <cell r="O703" t="e">
            <v>#N/A</v>
          </cell>
          <cell r="P703">
            <v>14.52</v>
          </cell>
          <cell r="Q703" t="str">
            <v/>
          </cell>
          <cell r="R703" t="e">
            <v>#N/A</v>
          </cell>
        </row>
        <row r="704">
          <cell r="A704">
            <v>40988</v>
          </cell>
          <cell r="B704">
            <v>40988</v>
          </cell>
          <cell r="C704" t="str">
            <v>Future</v>
          </cell>
          <cell r="D704" t="e">
            <v>#N/A</v>
          </cell>
          <cell r="E704">
            <v>6.3162162162161852</v>
          </cell>
          <cell r="F704">
            <v>16.113513513513606</v>
          </cell>
          <cell r="G704">
            <v>14.154054054054072</v>
          </cell>
          <cell r="H704">
            <v>14.154054054054072</v>
          </cell>
          <cell r="I704" t="e">
            <v>#N/A</v>
          </cell>
          <cell r="J704" t="e">
            <v>#N/A</v>
          </cell>
          <cell r="K704" t="e">
            <v>#N/A</v>
          </cell>
          <cell r="L704" t="e">
            <v>#N/A</v>
          </cell>
          <cell r="M704" t="e">
            <v>#N/A</v>
          </cell>
          <cell r="N704" t="e">
            <v>#N/A</v>
          </cell>
          <cell r="O704" t="e">
            <v>#N/A</v>
          </cell>
          <cell r="P704">
            <v>14.52</v>
          </cell>
          <cell r="Q704" t="str">
            <v/>
          </cell>
          <cell r="R704" t="e">
            <v>#N/A</v>
          </cell>
        </row>
        <row r="705">
          <cell r="A705">
            <v>40989</v>
          </cell>
          <cell r="B705">
            <v>40989</v>
          </cell>
          <cell r="C705" t="str">
            <v>Future</v>
          </cell>
          <cell r="D705" t="e">
            <v>#N/A</v>
          </cell>
          <cell r="E705">
            <v>6.2608108108107796</v>
          </cell>
          <cell r="F705">
            <v>16.125675675675769</v>
          </cell>
          <cell r="G705">
            <v>14.152702702702721</v>
          </cell>
          <cell r="H705">
            <v>14.152702702702721</v>
          </cell>
          <cell r="I705" t="e">
            <v>#N/A</v>
          </cell>
          <cell r="J705" t="e">
            <v>#N/A</v>
          </cell>
          <cell r="K705" t="e">
            <v>#N/A</v>
          </cell>
          <cell r="L705" t="e">
            <v>#N/A</v>
          </cell>
          <cell r="M705" t="e">
            <v>#N/A</v>
          </cell>
          <cell r="N705" t="e">
            <v>#N/A</v>
          </cell>
          <cell r="O705" t="e">
            <v>#N/A</v>
          </cell>
          <cell r="P705">
            <v>14.52</v>
          </cell>
          <cell r="Q705" t="str">
            <v/>
          </cell>
          <cell r="R705" t="e">
            <v>#N/A</v>
          </cell>
        </row>
        <row r="706">
          <cell r="A706">
            <v>40990</v>
          </cell>
          <cell r="B706">
            <v>40990</v>
          </cell>
          <cell r="C706" t="str">
            <v>Future</v>
          </cell>
          <cell r="D706" t="e">
            <v>#N/A</v>
          </cell>
          <cell r="E706">
            <v>6.205405405405374</v>
          </cell>
          <cell r="F706">
            <v>16.137837837837932</v>
          </cell>
          <cell r="G706">
            <v>14.151351351351369</v>
          </cell>
          <cell r="H706">
            <v>14.151351351351369</v>
          </cell>
          <cell r="I706" t="e">
            <v>#N/A</v>
          </cell>
          <cell r="J706" t="e">
            <v>#N/A</v>
          </cell>
          <cell r="K706" t="e">
            <v>#N/A</v>
          </cell>
          <cell r="L706" t="e">
            <v>#N/A</v>
          </cell>
          <cell r="M706" t="e">
            <v>#N/A</v>
          </cell>
          <cell r="N706" t="e">
            <v>#N/A</v>
          </cell>
          <cell r="O706" t="e">
            <v>#N/A</v>
          </cell>
          <cell r="P706">
            <v>14.52</v>
          </cell>
          <cell r="Q706" t="str">
            <v/>
          </cell>
          <cell r="R706" t="e">
            <v>#N/A</v>
          </cell>
        </row>
        <row r="707">
          <cell r="A707">
            <v>40991</v>
          </cell>
          <cell r="B707">
            <v>40991</v>
          </cell>
          <cell r="C707" t="str">
            <v>Future</v>
          </cell>
          <cell r="D707" t="e">
            <v>#N/A</v>
          </cell>
          <cell r="E707">
            <v>6.1499999999999684</v>
          </cell>
          <cell r="F707">
            <v>16.150000000000095</v>
          </cell>
          <cell r="G707">
            <v>14.150000000000018</v>
          </cell>
          <cell r="H707">
            <v>14.150000000000018</v>
          </cell>
          <cell r="I707" t="e">
            <v>#N/A</v>
          </cell>
          <cell r="J707" t="e">
            <v>#N/A</v>
          </cell>
          <cell r="K707" t="e">
            <v>#N/A</v>
          </cell>
          <cell r="L707" t="e">
            <v>#N/A</v>
          </cell>
          <cell r="M707" t="e">
            <v>#N/A</v>
          </cell>
          <cell r="N707" t="e">
            <v>#N/A</v>
          </cell>
          <cell r="O707" t="e">
            <v>#N/A</v>
          </cell>
          <cell r="P707">
            <v>14.52</v>
          </cell>
          <cell r="Q707" t="str">
            <v/>
          </cell>
          <cell r="R707" t="e">
            <v>#N/A</v>
          </cell>
        </row>
        <row r="708">
          <cell r="A708">
            <v>40994</v>
          </cell>
          <cell r="B708">
            <v>40994</v>
          </cell>
          <cell r="C708" t="str">
            <v>Future</v>
          </cell>
          <cell r="D708" t="e">
            <v>#N/A</v>
          </cell>
          <cell r="E708">
            <v>6.0945945945945628</v>
          </cell>
          <cell r="F708">
            <v>16.162162162162257</v>
          </cell>
          <cell r="G708">
            <v>14.148648648648667</v>
          </cell>
          <cell r="H708">
            <v>14.148648648648667</v>
          </cell>
          <cell r="I708" t="e">
            <v>#N/A</v>
          </cell>
          <cell r="J708" t="e">
            <v>#N/A</v>
          </cell>
          <cell r="K708" t="e">
            <v>#N/A</v>
          </cell>
          <cell r="L708" t="e">
            <v>#N/A</v>
          </cell>
          <cell r="M708" t="e">
            <v>#N/A</v>
          </cell>
          <cell r="N708" t="e">
            <v>#N/A</v>
          </cell>
          <cell r="O708" t="e">
            <v>#N/A</v>
          </cell>
          <cell r="P708">
            <v>14.52</v>
          </cell>
          <cell r="Q708" t="str">
            <v/>
          </cell>
          <cell r="R708" t="e">
            <v>#N/A</v>
          </cell>
        </row>
        <row r="709">
          <cell r="A709">
            <v>40995</v>
          </cell>
          <cell r="B709">
            <v>40995</v>
          </cell>
          <cell r="C709" t="str">
            <v>Future</v>
          </cell>
          <cell r="D709" t="e">
            <v>#N/A</v>
          </cell>
          <cell r="E709">
            <v>6.0391891891891571</v>
          </cell>
          <cell r="F709">
            <v>16.17432432432442</v>
          </cell>
          <cell r="G709">
            <v>14.147297297297316</v>
          </cell>
          <cell r="H709">
            <v>14.147297297297316</v>
          </cell>
          <cell r="I709" t="e">
            <v>#N/A</v>
          </cell>
          <cell r="J709" t="e">
            <v>#N/A</v>
          </cell>
          <cell r="K709" t="e">
            <v>#N/A</v>
          </cell>
          <cell r="L709" t="e">
            <v>#N/A</v>
          </cell>
          <cell r="M709" t="e">
            <v>#N/A</v>
          </cell>
          <cell r="N709" t="e">
            <v>#N/A</v>
          </cell>
          <cell r="O709" t="e">
            <v>#N/A</v>
          </cell>
          <cell r="P709">
            <v>14.52</v>
          </cell>
          <cell r="Q709" t="str">
            <v/>
          </cell>
          <cell r="R709" t="e">
            <v>#N/A</v>
          </cell>
        </row>
        <row r="710">
          <cell r="A710">
            <v>40996</v>
          </cell>
          <cell r="B710">
            <v>40996</v>
          </cell>
          <cell r="C710" t="str">
            <v>Future</v>
          </cell>
          <cell r="D710" t="e">
            <v>#N/A</v>
          </cell>
          <cell r="E710">
            <v>5.9837837837837515</v>
          </cell>
          <cell r="F710">
            <v>16.186486486486583</v>
          </cell>
          <cell r="G710">
            <v>14.145945945945964</v>
          </cell>
          <cell r="H710">
            <v>14.145945945945964</v>
          </cell>
          <cell r="I710" t="e">
            <v>#N/A</v>
          </cell>
          <cell r="J710" t="e">
            <v>#N/A</v>
          </cell>
          <cell r="K710" t="e">
            <v>#N/A</v>
          </cell>
          <cell r="L710" t="e">
            <v>#N/A</v>
          </cell>
          <cell r="M710" t="e">
            <v>#N/A</v>
          </cell>
          <cell r="N710" t="e">
            <v>#N/A</v>
          </cell>
          <cell r="O710" t="e">
            <v>#N/A</v>
          </cell>
          <cell r="P710">
            <v>14.52</v>
          </cell>
          <cell r="Q710" t="str">
            <v/>
          </cell>
          <cell r="R710" t="e">
            <v>#N/A</v>
          </cell>
        </row>
        <row r="711">
          <cell r="A711">
            <v>40997</v>
          </cell>
          <cell r="B711">
            <v>40997</v>
          </cell>
          <cell r="C711" t="str">
            <v>Future</v>
          </cell>
          <cell r="D711" t="e">
            <v>#N/A</v>
          </cell>
          <cell r="E711">
            <v>5.9283783783783459</v>
          </cell>
          <cell r="F711">
            <v>16.198648648648746</v>
          </cell>
          <cell r="G711">
            <v>14.144594594594613</v>
          </cell>
          <cell r="H711">
            <v>14.144594594594613</v>
          </cell>
          <cell r="I711" t="e">
            <v>#N/A</v>
          </cell>
          <cell r="J711" t="e">
            <v>#N/A</v>
          </cell>
          <cell r="K711" t="e">
            <v>#N/A</v>
          </cell>
          <cell r="L711" t="e">
            <v>#N/A</v>
          </cell>
          <cell r="M711" t="e">
            <v>#N/A</v>
          </cell>
          <cell r="N711" t="e">
            <v>#N/A</v>
          </cell>
          <cell r="O711" t="e">
            <v>#N/A</v>
          </cell>
          <cell r="P711">
            <v>14.52</v>
          </cell>
          <cell r="Q711" t="str">
            <v/>
          </cell>
          <cell r="R711" t="e">
            <v>#N/A</v>
          </cell>
        </row>
        <row r="712">
          <cell r="A712">
            <v>40998</v>
          </cell>
          <cell r="B712">
            <v>40998</v>
          </cell>
          <cell r="C712" t="str">
            <v>Future</v>
          </cell>
          <cell r="D712" t="e">
            <v>#N/A</v>
          </cell>
          <cell r="E712">
            <v>5.8729729729729403</v>
          </cell>
          <cell r="F712">
            <v>16.210810810810909</v>
          </cell>
          <cell r="G712">
            <v>14.143243243243262</v>
          </cell>
          <cell r="H712">
            <v>14.143243243243262</v>
          </cell>
          <cell r="I712" t="e">
            <v>#N/A</v>
          </cell>
          <cell r="J712" t="e">
            <v>#N/A</v>
          </cell>
          <cell r="K712" t="e">
            <v>#N/A</v>
          </cell>
          <cell r="L712" t="e">
            <v>#N/A</v>
          </cell>
          <cell r="M712" t="e">
            <v>#N/A</v>
          </cell>
          <cell r="N712" t="e">
            <v>#N/A</v>
          </cell>
          <cell r="O712" t="e">
            <v>#N/A</v>
          </cell>
          <cell r="P712">
            <v>14.52</v>
          </cell>
          <cell r="Q712" t="str">
            <v/>
          </cell>
          <cell r="R712" t="e">
            <v>#N/A</v>
          </cell>
        </row>
        <row r="713">
          <cell r="A713">
            <v>41001</v>
          </cell>
          <cell r="B713">
            <v>41001</v>
          </cell>
          <cell r="C713" t="str">
            <v>Future</v>
          </cell>
          <cell r="D713" t="e">
            <v>#N/A</v>
          </cell>
          <cell r="E713">
            <v>5.8175675675675347</v>
          </cell>
          <cell r="F713">
            <v>16.222972972973071</v>
          </cell>
          <cell r="G713">
            <v>14.141891891891911</v>
          </cell>
          <cell r="H713">
            <v>14.141891891891911</v>
          </cell>
          <cell r="I713" t="e">
            <v>#N/A</v>
          </cell>
          <cell r="J713" t="e">
            <v>#N/A</v>
          </cell>
          <cell r="K713" t="e">
            <v>#N/A</v>
          </cell>
          <cell r="L713" t="e">
            <v>#N/A</v>
          </cell>
          <cell r="M713" t="e">
            <v>#N/A</v>
          </cell>
          <cell r="N713" t="e">
            <v>#N/A</v>
          </cell>
          <cell r="O713" t="e">
            <v>#N/A</v>
          </cell>
          <cell r="P713">
            <v>14.52</v>
          </cell>
          <cell r="Q713" t="str">
            <v/>
          </cell>
          <cell r="R713" t="e">
            <v>#N/A</v>
          </cell>
        </row>
        <row r="714">
          <cell r="A714">
            <v>41002</v>
          </cell>
          <cell r="B714">
            <v>41002</v>
          </cell>
          <cell r="C714" t="str">
            <v>Future</v>
          </cell>
          <cell r="D714" t="e">
            <v>#N/A</v>
          </cell>
          <cell r="E714">
            <v>5.7621621621621291</v>
          </cell>
          <cell r="F714">
            <v>16.235135135135234</v>
          </cell>
          <cell r="G714">
            <v>14.14054054054056</v>
          </cell>
          <cell r="H714">
            <v>14.14054054054056</v>
          </cell>
          <cell r="I714" t="e">
            <v>#N/A</v>
          </cell>
          <cell r="J714" t="e">
            <v>#N/A</v>
          </cell>
          <cell r="K714" t="e">
            <v>#N/A</v>
          </cell>
          <cell r="L714" t="e">
            <v>#N/A</v>
          </cell>
          <cell r="M714" t="e">
            <v>#N/A</v>
          </cell>
          <cell r="N714" t="e">
            <v>#N/A</v>
          </cell>
          <cell r="O714" t="e">
            <v>#N/A</v>
          </cell>
          <cell r="P714">
            <v>14.52</v>
          </cell>
          <cell r="Q714" t="str">
            <v/>
          </cell>
          <cell r="R714" t="e">
            <v>#N/A</v>
          </cell>
        </row>
        <row r="715">
          <cell r="A715">
            <v>41003</v>
          </cell>
          <cell r="B715">
            <v>41003</v>
          </cell>
          <cell r="C715" t="str">
            <v>Future</v>
          </cell>
          <cell r="D715" t="e">
            <v>#N/A</v>
          </cell>
          <cell r="E715">
            <v>5.7067567567567234</v>
          </cell>
          <cell r="F715">
            <v>16.247297297297397</v>
          </cell>
          <cell r="G715">
            <v>14.139189189189208</v>
          </cell>
          <cell r="H715">
            <v>14.139189189189208</v>
          </cell>
          <cell r="I715" t="e">
            <v>#N/A</v>
          </cell>
          <cell r="J715" t="e">
            <v>#N/A</v>
          </cell>
          <cell r="K715" t="e">
            <v>#N/A</v>
          </cell>
          <cell r="L715" t="e">
            <v>#N/A</v>
          </cell>
          <cell r="M715" t="e">
            <v>#N/A</v>
          </cell>
          <cell r="N715" t="e">
            <v>#N/A</v>
          </cell>
          <cell r="O715" t="e">
            <v>#N/A</v>
          </cell>
          <cell r="P715">
            <v>14.52</v>
          </cell>
          <cell r="Q715" t="str">
            <v/>
          </cell>
          <cell r="R715" t="e">
            <v>#N/A</v>
          </cell>
        </row>
        <row r="716">
          <cell r="A716">
            <v>41004</v>
          </cell>
          <cell r="B716">
            <v>41004</v>
          </cell>
          <cell r="C716" t="str">
            <v>Future</v>
          </cell>
          <cell r="D716" t="e">
            <v>#N/A</v>
          </cell>
          <cell r="E716">
            <v>5.6513513513513178</v>
          </cell>
          <cell r="F716">
            <v>16.25945945945956</v>
          </cell>
          <cell r="G716">
            <v>14.137837837837857</v>
          </cell>
          <cell r="H716">
            <v>14.137837837837857</v>
          </cell>
          <cell r="I716" t="e">
            <v>#N/A</v>
          </cell>
          <cell r="J716" t="e">
            <v>#N/A</v>
          </cell>
          <cell r="K716" t="e">
            <v>#N/A</v>
          </cell>
          <cell r="L716" t="e">
            <v>#N/A</v>
          </cell>
          <cell r="M716" t="e">
            <v>#N/A</v>
          </cell>
          <cell r="N716" t="e">
            <v>#N/A</v>
          </cell>
          <cell r="O716" t="e">
            <v>#N/A</v>
          </cell>
          <cell r="P716">
            <v>14.52</v>
          </cell>
          <cell r="Q716" t="str">
            <v/>
          </cell>
          <cell r="R716" t="e">
            <v>#N/A</v>
          </cell>
        </row>
        <row r="717">
          <cell r="A717">
            <v>41005</v>
          </cell>
          <cell r="B717">
            <v>41005</v>
          </cell>
          <cell r="C717" t="str">
            <v>Future</v>
          </cell>
          <cell r="D717" t="e">
            <v>#N/A</v>
          </cell>
          <cell r="E717">
            <v>5.5959459459459122</v>
          </cell>
          <cell r="F717">
            <v>16.271621621621723</v>
          </cell>
          <cell r="G717">
            <v>14.136486486486506</v>
          </cell>
          <cell r="H717">
            <v>14.136486486486506</v>
          </cell>
          <cell r="I717" t="e">
            <v>#N/A</v>
          </cell>
          <cell r="J717" t="e">
            <v>#N/A</v>
          </cell>
          <cell r="K717" t="e">
            <v>#N/A</v>
          </cell>
          <cell r="L717" t="e">
            <v>#N/A</v>
          </cell>
          <cell r="M717" t="e">
            <v>#N/A</v>
          </cell>
          <cell r="N717" t="e">
            <v>#N/A</v>
          </cell>
          <cell r="O717" t="e">
            <v>#N/A</v>
          </cell>
          <cell r="P717">
            <v>14.52</v>
          </cell>
          <cell r="Q717" t="str">
            <v/>
          </cell>
          <cell r="R717" t="e">
            <v>#N/A</v>
          </cell>
        </row>
        <row r="718">
          <cell r="A718">
            <v>41008</v>
          </cell>
          <cell r="B718">
            <v>41008</v>
          </cell>
          <cell r="C718" t="str">
            <v>Future</v>
          </cell>
          <cell r="D718" t="e">
            <v>#N/A</v>
          </cell>
          <cell r="E718">
            <v>5.5405405405405066</v>
          </cell>
          <cell r="F718">
            <v>16.283783783783885</v>
          </cell>
          <cell r="G718">
            <v>14.135135135135155</v>
          </cell>
          <cell r="H718">
            <v>14.135135135135155</v>
          </cell>
          <cell r="I718" t="e">
            <v>#N/A</v>
          </cell>
          <cell r="J718" t="e">
            <v>#N/A</v>
          </cell>
          <cell r="K718" t="e">
            <v>#N/A</v>
          </cell>
          <cell r="L718" t="e">
            <v>#N/A</v>
          </cell>
          <cell r="M718" t="e">
            <v>#N/A</v>
          </cell>
          <cell r="N718" t="e">
            <v>#N/A</v>
          </cell>
          <cell r="O718" t="e">
            <v>#N/A</v>
          </cell>
          <cell r="P718">
            <v>14.52</v>
          </cell>
          <cell r="Q718" t="str">
            <v/>
          </cell>
          <cell r="R718" t="e">
            <v>#N/A</v>
          </cell>
        </row>
        <row r="719">
          <cell r="A719">
            <v>41009</v>
          </cell>
          <cell r="B719">
            <v>41009</v>
          </cell>
          <cell r="C719" t="str">
            <v>Future</v>
          </cell>
          <cell r="D719" t="e">
            <v>#N/A</v>
          </cell>
          <cell r="E719">
            <v>5.485135135135101</v>
          </cell>
          <cell r="F719">
            <v>16.295945945946048</v>
          </cell>
          <cell r="G719">
            <v>14.133783783783803</v>
          </cell>
          <cell r="H719">
            <v>14.133783783783803</v>
          </cell>
          <cell r="I719" t="e">
            <v>#N/A</v>
          </cell>
          <cell r="J719" t="e">
            <v>#N/A</v>
          </cell>
          <cell r="K719" t="e">
            <v>#N/A</v>
          </cell>
          <cell r="L719" t="e">
            <v>#N/A</v>
          </cell>
          <cell r="M719" t="e">
            <v>#N/A</v>
          </cell>
          <cell r="N719" t="e">
            <v>#N/A</v>
          </cell>
          <cell r="O719" t="e">
            <v>#N/A</v>
          </cell>
          <cell r="P719">
            <v>14.52</v>
          </cell>
          <cell r="Q719" t="str">
            <v/>
          </cell>
          <cell r="R719" t="e">
            <v>#N/A</v>
          </cell>
        </row>
        <row r="720">
          <cell r="A720">
            <v>41010</v>
          </cell>
          <cell r="B720">
            <v>41010</v>
          </cell>
          <cell r="C720" t="str">
            <v>Future</v>
          </cell>
          <cell r="D720" t="e">
            <v>#N/A</v>
          </cell>
          <cell r="E720">
            <v>5.4297297297296954</v>
          </cell>
          <cell r="F720">
            <v>16.308108108108211</v>
          </cell>
          <cell r="G720">
            <v>14.132432432432452</v>
          </cell>
          <cell r="H720">
            <v>14.132432432432452</v>
          </cell>
          <cell r="I720" t="e">
            <v>#N/A</v>
          </cell>
          <cell r="J720" t="e">
            <v>#N/A</v>
          </cell>
          <cell r="K720" t="e">
            <v>#N/A</v>
          </cell>
          <cell r="L720" t="e">
            <v>#N/A</v>
          </cell>
          <cell r="M720" t="e">
            <v>#N/A</v>
          </cell>
          <cell r="N720" t="e">
            <v>#N/A</v>
          </cell>
          <cell r="O720" t="e">
            <v>#N/A</v>
          </cell>
          <cell r="P720">
            <v>14.52</v>
          </cell>
          <cell r="Q720" t="str">
            <v/>
          </cell>
          <cell r="R720" t="e">
            <v>#N/A</v>
          </cell>
        </row>
        <row r="721">
          <cell r="A721">
            <v>41011</v>
          </cell>
          <cell r="B721">
            <v>41011</v>
          </cell>
          <cell r="C721" t="str">
            <v>Future</v>
          </cell>
          <cell r="D721" t="e">
            <v>#N/A</v>
          </cell>
          <cell r="E721">
            <v>5.3743243243242897</v>
          </cell>
          <cell r="F721">
            <v>16.320270270270374</v>
          </cell>
          <cell r="G721">
            <v>14.131081081081101</v>
          </cell>
          <cell r="H721">
            <v>14.131081081081101</v>
          </cell>
          <cell r="I721" t="e">
            <v>#N/A</v>
          </cell>
          <cell r="J721" t="e">
            <v>#N/A</v>
          </cell>
          <cell r="K721" t="e">
            <v>#N/A</v>
          </cell>
          <cell r="L721" t="e">
            <v>#N/A</v>
          </cell>
          <cell r="M721" t="e">
            <v>#N/A</v>
          </cell>
          <cell r="N721" t="e">
            <v>#N/A</v>
          </cell>
          <cell r="O721" t="e">
            <v>#N/A</v>
          </cell>
          <cell r="P721">
            <v>14.52</v>
          </cell>
          <cell r="Q721" t="str">
            <v/>
          </cell>
          <cell r="R721" t="e">
            <v>#N/A</v>
          </cell>
        </row>
        <row r="722">
          <cell r="A722">
            <v>41012</v>
          </cell>
          <cell r="B722">
            <v>41012</v>
          </cell>
          <cell r="C722" t="str">
            <v>Future</v>
          </cell>
          <cell r="D722" t="e">
            <v>#N/A</v>
          </cell>
          <cell r="E722">
            <v>5.3189189189188841</v>
          </cell>
          <cell r="F722">
            <v>16.332432432432537</v>
          </cell>
          <cell r="G722">
            <v>14.12972972972975</v>
          </cell>
          <cell r="H722">
            <v>14.12972972972975</v>
          </cell>
          <cell r="I722" t="e">
            <v>#N/A</v>
          </cell>
          <cell r="J722" t="e">
            <v>#N/A</v>
          </cell>
          <cell r="K722" t="e">
            <v>#N/A</v>
          </cell>
          <cell r="L722" t="e">
            <v>#N/A</v>
          </cell>
          <cell r="M722" t="e">
            <v>#N/A</v>
          </cell>
          <cell r="N722" t="e">
            <v>#N/A</v>
          </cell>
          <cell r="O722" t="e">
            <v>#N/A</v>
          </cell>
          <cell r="P722">
            <v>14.52</v>
          </cell>
          <cell r="Q722" t="str">
            <v/>
          </cell>
          <cell r="R722" t="e">
            <v>#N/A</v>
          </cell>
        </row>
        <row r="723">
          <cell r="A723">
            <v>41015</v>
          </cell>
          <cell r="B723">
            <v>41015</v>
          </cell>
          <cell r="C723" t="str">
            <v>Future</v>
          </cell>
          <cell r="D723" t="e">
            <v>#N/A</v>
          </cell>
          <cell r="E723">
            <v>5.2635135135134785</v>
          </cell>
          <cell r="F723">
            <v>16.3445945945947</v>
          </cell>
          <cell r="G723">
            <v>14.128378378378398</v>
          </cell>
          <cell r="H723">
            <v>14.128378378378398</v>
          </cell>
          <cell r="I723" t="e">
            <v>#N/A</v>
          </cell>
          <cell r="J723" t="e">
            <v>#N/A</v>
          </cell>
          <cell r="K723" t="e">
            <v>#N/A</v>
          </cell>
          <cell r="L723" t="e">
            <v>#N/A</v>
          </cell>
          <cell r="M723" t="e">
            <v>#N/A</v>
          </cell>
          <cell r="N723" t="e">
            <v>#N/A</v>
          </cell>
          <cell r="O723" t="e">
            <v>#N/A</v>
          </cell>
          <cell r="P723">
            <v>14.52</v>
          </cell>
          <cell r="Q723" t="str">
            <v/>
          </cell>
          <cell r="R723" t="e">
            <v>#N/A</v>
          </cell>
        </row>
        <row r="724">
          <cell r="A724">
            <v>41016</v>
          </cell>
          <cell r="B724">
            <v>41016</v>
          </cell>
          <cell r="C724" t="str">
            <v>Future</v>
          </cell>
          <cell r="D724" t="e">
            <v>#N/A</v>
          </cell>
          <cell r="E724">
            <v>5.2081081081080729</v>
          </cell>
          <cell r="F724">
            <v>16.356756756756862</v>
          </cell>
          <cell r="G724">
            <v>14.127027027027047</v>
          </cell>
          <cell r="H724">
            <v>14.127027027027047</v>
          </cell>
          <cell r="I724" t="e">
            <v>#N/A</v>
          </cell>
          <cell r="J724" t="e">
            <v>#N/A</v>
          </cell>
          <cell r="K724" t="e">
            <v>#N/A</v>
          </cell>
          <cell r="L724" t="e">
            <v>#N/A</v>
          </cell>
          <cell r="M724" t="e">
            <v>#N/A</v>
          </cell>
          <cell r="N724" t="e">
            <v>#N/A</v>
          </cell>
          <cell r="O724" t="e">
            <v>#N/A</v>
          </cell>
          <cell r="P724">
            <v>14.52</v>
          </cell>
          <cell r="Q724" t="str">
            <v/>
          </cell>
          <cell r="R724" t="e">
            <v>#N/A</v>
          </cell>
        </row>
        <row r="725">
          <cell r="A725">
            <v>41017</v>
          </cell>
          <cell r="B725">
            <v>41017</v>
          </cell>
          <cell r="C725" t="str">
            <v>Future</v>
          </cell>
          <cell r="D725" t="e">
            <v>#N/A</v>
          </cell>
          <cell r="E725">
            <v>5.1527027027026673</v>
          </cell>
          <cell r="F725">
            <v>16.368918918919025</v>
          </cell>
          <cell r="G725">
            <v>14.125675675675696</v>
          </cell>
          <cell r="H725">
            <v>14.125675675675696</v>
          </cell>
          <cell r="I725" t="e">
            <v>#N/A</v>
          </cell>
          <cell r="J725" t="e">
            <v>#N/A</v>
          </cell>
          <cell r="K725" t="e">
            <v>#N/A</v>
          </cell>
          <cell r="L725" t="e">
            <v>#N/A</v>
          </cell>
          <cell r="M725" t="e">
            <v>#N/A</v>
          </cell>
          <cell r="N725" t="e">
            <v>#N/A</v>
          </cell>
          <cell r="O725" t="e">
            <v>#N/A</v>
          </cell>
          <cell r="P725">
            <v>14.52</v>
          </cell>
          <cell r="Q725" t="str">
            <v/>
          </cell>
          <cell r="R725" t="e">
            <v>#N/A</v>
          </cell>
        </row>
        <row r="726">
          <cell r="A726">
            <v>41018</v>
          </cell>
          <cell r="B726">
            <v>41018</v>
          </cell>
          <cell r="C726" t="str">
            <v>Future</v>
          </cell>
          <cell r="D726" t="e">
            <v>#N/A</v>
          </cell>
          <cell r="E726">
            <v>5.0972972972972617</v>
          </cell>
          <cell r="F726">
            <v>16.381081081081188</v>
          </cell>
          <cell r="G726">
            <v>14.124324324324345</v>
          </cell>
          <cell r="H726">
            <v>14.124324324324345</v>
          </cell>
          <cell r="I726" t="e">
            <v>#N/A</v>
          </cell>
          <cell r="J726" t="e">
            <v>#N/A</v>
          </cell>
          <cell r="K726" t="e">
            <v>#N/A</v>
          </cell>
          <cell r="L726" t="e">
            <v>#N/A</v>
          </cell>
          <cell r="M726" t="e">
            <v>#N/A</v>
          </cell>
          <cell r="N726" t="e">
            <v>#N/A</v>
          </cell>
          <cell r="O726" t="e">
            <v>#N/A</v>
          </cell>
          <cell r="P726">
            <v>14.52</v>
          </cell>
          <cell r="Q726" t="str">
            <v/>
          </cell>
          <cell r="R726" t="e">
            <v>#N/A</v>
          </cell>
        </row>
        <row r="727">
          <cell r="A727">
            <v>41019</v>
          </cell>
          <cell r="B727">
            <v>41019</v>
          </cell>
          <cell r="C727" t="str">
            <v>Future</v>
          </cell>
          <cell r="D727" t="e">
            <v>#N/A</v>
          </cell>
          <cell r="E727">
            <v>5.041891891891856</v>
          </cell>
          <cell r="F727">
            <v>16.393243243243351</v>
          </cell>
          <cell r="G727">
            <v>14.122972972972994</v>
          </cell>
          <cell r="H727">
            <v>14.122972972972994</v>
          </cell>
          <cell r="I727" t="e">
            <v>#N/A</v>
          </cell>
          <cell r="J727" t="e">
            <v>#N/A</v>
          </cell>
          <cell r="K727" t="e">
            <v>#N/A</v>
          </cell>
          <cell r="L727" t="e">
            <v>#N/A</v>
          </cell>
          <cell r="M727" t="e">
            <v>#N/A</v>
          </cell>
          <cell r="N727" t="e">
            <v>#N/A</v>
          </cell>
          <cell r="O727" t="e">
            <v>#N/A</v>
          </cell>
          <cell r="P727">
            <v>14.52</v>
          </cell>
          <cell r="Q727" t="str">
            <v/>
          </cell>
          <cell r="R727" t="e">
            <v>#N/A</v>
          </cell>
        </row>
        <row r="728">
          <cell r="A728">
            <v>41022</v>
          </cell>
          <cell r="B728">
            <v>41022</v>
          </cell>
          <cell r="C728" t="str">
            <v>Future</v>
          </cell>
          <cell r="D728" t="e">
            <v>#N/A</v>
          </cell>
          <cell r="E728">
            <v>4.9864864864864504</v>
          </cell>
          <cell r="F728">
            <v>16.405405405405514</v>
          </cell>
          <cell r="G728">
            <v>14.121621621621642</v>
          </cell>
          <cell r="H728">
            <v>14.121621621621642</v>
          </cell>
          <cell r="I728" t="e">
            <v>#N/A</v>
          </cell>
          <cell r="J728" t="e">
            <v>#N/A</v>
          </cell>
          <cell r="K728" t="e">
            <v>#N/A</v>
          </cell>
          <cell r="L728" t="e">
            <v>#N/A</v>
          </cell>
          <cell r="M728" t="e">
            <v>#N/A</v>
          </cell>
          <cell r="N728" t="e">
            <v>#N/A</v>
          </cell>
          <cell r="O728" t="e">
            <v>#N/A</v>
          </cell>
          <cell r="P728">
            <v>14.52</v>
          </cell>
          <cell r="Q728" t="str">
            <v/>
          </cell>
          <cell r="R728" t="e">
            <v>#N/A</v>
          </cell>
        </row>
        <row r="729">
          <cell r="A729">
            <v>41023</v>
          </cell>
          <cell r="B729">
            <v>41023</v>
          </cell>
          <cell r="C729" t="str">
            <v>Future</v>
          </cell>
          <cell r="D729" t="e">
            <v>#N/A</v>
          </cell>
          <cell r="E729">
            <v>4.9310810810810448</v>
          </cell>
          <cell r="F729">
            <v>16.417567567567676</v>
          </cell>
          <cell r="G729">
            <v>14.120270270270291</v>
          </cell>
          <cell r="H729">
            <v>14.120270270270291</v>
          </cell>
          <cell r="I729" t="e">
            <v>#N/A</v>
          </cell>
          <cell r="J729" t="e">
            <v>#N/A</v>
          </cell>
          <cell r="K729" t="e">
            <v>#N/A</v>
          </cell>
          <cell r="L729" t="e">
            <v>#N/A</v>
          </cell>
          <cell r="M729" t="e">
            <v>#N/A</v>
          </cell>
          <cell r="N729" t="e">
            <v>#N/A</v>
          </cell>
          <cell r="O729" t="e">
            <v>#N/A</v>
          </cell>
          <cell r="P729">
            <v>14.52</v>
          </cell>
          <cell r="Q729" t="str">
            <v/>
          </cell>
          <cell r="R729" t="e">
            <v>#N/A</v>
          </cell>
        </row>
        <row r="730">
          <cell r="A730">
            <v>41024</v>
          </cell>
          <cell r="B730">
            <v>41024</v>
          </cell>
          <cell r="C730" t="str">
            <v>Future</v>
          </cell>
          <cell r="D730" t="e">
            <v>#N/A</v>
          </cell>
          <cell r="E730">
            <v>4.8756756756756392</v>
          </cell>
          <cell r="F730">
            <v>16.429729729729839</v>
          </cell>
          <cell r="G730">
            <v>14.11891891891894</v>
          </cell>
          <cell r="H730">
            <v>14.11891891891894</v>
          </cell>
          <cell r="I730" t="e">
            <v>#N/A</v>
          </cell>
          <cell r="J730" t="e">
            <v>#N/A</v>
          </cell>
          <cell r="K730" t="e">
            <v>#N/A</v>
          </cell>
          <cell r="L730" t="e">
            <v>#N/A</v>
          </cell>
          <cell r="M730" t="e">
            <v>#N/A</v>
          </cell>
          <cell r="N730" t="e">
            <v>#N/A</v>
          </cell>
          <cell r="O730" t="e">
            <v>#N/A</v>
          </cell>
          <cell r="P730">
            <v>14.52</v>
          </cell>
          <cell r="Q730" t="str">
            <v/>
          </cell>
          <cell r="R730" t="e">
            <v>#N/A</v>
          </cell>
        </row>
        <row r="731">
          <cell r="A731">
            <v>41025</v>
          </cell>
          <cell r="B731">
            <v>41025</v>
          </cell>
          <cell r="C731" t="str">
            <v>Future</v>
          </cell>
          <cell r="D731" t="e">
            <v>#N/A</v>
          </cell>
          <cell r="E731">
            <v>4.8202702702702336</v>
          </cell>
          <cell r="F731">
            <v>16.441891891892002</v>
          </cell>
          <cell r="G731">
            <v>14.117567567567589</v>
          </cell>
          <cell r="H731">
            <v>14.117567567567589</v>
          </cell>
          <cell r="I731" t="e">
            <v>#N/A</v>
          </cell>
          <cell r="J731" t="e">
            <v>#N/A</v>
          </cell>
          <cell r="K731" t="e">
            <v>#N/A</v>
          </cell>
          <cell r="L731" t="e">
            <v>#N/A</v>
          </cell>
          <cell r="M731" t="e">
            <v>#N/A</v>
          </cell>
          <cell r="N731" t="e">
            <v>#N/A</v>
          </cell>
          <cell r="O731" t="e">
            <v>#N/A</v>
          </cell>
          <cell r="P731">
            <v>14.52</v>
          </cell>
          <cell r="Q731" t="str">
            <v/>
          </cell>
          <cell r="R731" t="e">
            <v>#N/A</v>
          </cell>
        </row>
        <row r="732">
          <cell r="A732">
            <v>41026</v>
          </cell>
          <cell r="B732">
            <v>41026</v>
          </cell>
          <cell r="C732" t="str">
            <v>Future</v>
          </cell>
          <cell r="D732" t="e">
            <v>#N/A</v>
          </cell>
          <cell r="E732">
            <v>4.764864864864828</v>
          </cell>
          <cell r="F732">
            <v>16.454054054054165</v>
          </cell>
          <cell r="G732">
            <v>14.116216216216237</v>
          </cell>
          <cell r="H732">
            <v>14.116216216216237</v>
          </cell>
          <cell r="I732" t="e">
            <v>#N/A</v>
          </cell>
          <cell r="J732" t="e">
            <v>#N/A</v>
          </cell>
          <cell r="K732" t="e">
            <v>#N/A</v>
          </cell>
          <cell r="L732" t="e">
            <v>#N/A</v>
          </cell>
          <cell r="M732" t="e">
            <v>#N/A</v>
          </cell>
          <cell r="N732" t="e">
            <v>#N/A</v>
          </cell>
          <cell r="O732" t="e">
            <v>#N/A</v>
          </cell>
          <cell r="P732">
            <v>14.52</v>
          </cell>
          <cell r="Q732" t="str">
            <v/>
          </cell>
          <cell r="R732" t="e">
            <v>#N/A</v>
          </cell>
        </row>
        <row r="733">
          <cell r="A733">
            <v>41029</v>
          </cell>
          <cell r="B733">
            <v>41029</v>
          </cell>
          <cell r="C733" t="str">
            <v>Future</v>
          </cell>
          <cell r="D733" t="e">
            <v>#N/A</v>
          </cell>
          <cell r="E733">
            <v>4.7094594594594223</v>
          </cell>
          <cell r="F733">
            <v>16.466216216216328</v>
          </cell>
          <cell r="G733">
            <v>14.114864864864886</v>
          </cell>
          <cell r="H733">
            <v>14.114864864864886</v>
          </cell>
          <cell r="I733" t="e">
            <v>#N/A</v>
          </cell>
          <cell r="J733" t="e">
            <v>#N/A</v>
          </cell>
          <cell r="K733" t="e">
            <v>#N/A</v>
          </cell>
          <cell r="L733" t="e">
            <v>#N/A</v>
          </cell>
          <cell r="M733" t="e">
            <v>#N/A</v>
          </cell>
          <cell r="N733" t="e">
            <v>#N/A</v>
          </cell>
          <cell r="O733" t="e">
            <v>#N/A</v>
          </cell>
          <cell r="P733">
            <v>14.52</v>
          </cell>
          <cell r="Q733" t="str">
            <v/>
          </cell>
          <cell r="R733" t="e">
            <v>#N/A</v>
          </cell>
        </row>
        <row r="734">
          <cell r="A734">
            <v>41030</v>
          </cell>
          <cell r="B734">
            <v>41030</v>
          </cell>
          <cell r="C734" t="str">
            <v>Future</v>
          </cell>
          <cell r="D734" t="e">
            <v>#N/A</v>
          </cell>
          <cell r="E734">
            <v>4.6540540540540167</v>
          </cell>
          <cell r="F734">
            <v>16.478378378378491</v>
          </cell>
          <cell r="G734">
            <v>14.113513513513535</v>
          </cell>
          <cell r="H734">
            <v>14.113513513513535</v>
          </cell>
          <cell r="I734" t="e">
            <v>#N/A</v>
          </cell>
          <cell r="J734" t="e">
            <v>#N/A</v>
          </cell>
          <cell r="K734" t="e">
            <v>#N/A</v>
          </cell>
          <cell r="L734" t="e">
            <v>#N/A</v>
          </cell>
          <cell r="M734" t="e">
            <v>#N/A</v>
          </cell>
          <cell r="N734" t="e">
            <v>#N/A</v>
          </cell>
          <cell r="O734" t="e">
            <v>#N/A</v>
          </cell>
          <cell r="P734">
            <v>14.52</v>
          </cell>
          <cell r="Q734" t="str">
            <v/>
          </cell>
          <cell r="R734" t="e">
            <v>#N/A</v>
          </cell>
        </row>
        <row r="735">
          <cell r="A735">
            <v>41031</v>
          </cell>
          <cell r="B735">
            <v>41031</v>
          </cell>
          <cell r="C735" t="str">
            <v>Future</v>
          </cell>
          <cell r="D735" t="e">
            <v>#N/A</v>
          </cell>
          <cell r="E735">
            <v>4.5986486486486111</v>
          </cell>
          <cell r="F735">
            <v>16.490540540540653</v>
          </cell>
          <cell r="G735">
            <v>14.112162162162184</v>
          </cell>
          <cell r="H735">
            <v>14.112162162162184</v>
          </cell>
          <cell r="I735" t="e">
            <v>#N/A</v>
          </cell>
          <cell r="J735" t="e">
            <v>#N/A</v>
          </cell>
          <cell r="K735" t="e">
            <v>#N/A</v>
          </cell>
          <cell r="L735" t="e">
            <v>#N/A</v>
          </cell>
          <cell r="M735" t="e">
            <v>#N/A</v>
          </cell>
          <cell r="N735" t="e">
            <v>#N/A</v>
          </cell>
          <cell r="O735" t="e">
            <v>#N/A</v>
          </cell>
          <cell r="P735">
            <v>14.52</v>
          </cell>
          <cell r="Q735" t="str">
            <v/>
          </cell>
          <cell r="R735" t="e">
            <v>#N/A</v>
          </cell>
        </row>
        <row r="736">
          <cell r="A736">
            <v>41032</v>
          </cell>
          <cell r="B736">
            <v>41032</v>
          </cell>
          <cell r="C736" t="str">
            <v>Future</v>
          </cell>
          <cell r="D736" t="e">
            <v>#N/A</v>
          </cell>
          <cell r="E736">
            <v>4.5432432432432055</v>
          </cell>
          <cell r="F736">
            <v>16.502702702702816</v>
          </cell>
          <cell r="G736">
            <v>14.110810810810833</v>
          </cell>
          <cell r="H736">
            <v>14.110810810810833</v>
          </cell>
          <cell r="I736" t="e">
            <v>#N/A</v>
          </cell>
          <cell r="J736" t="e">
            <v>#N/A</v>
          </cell>
          <cell r="K736" t="e">
            <v>#N/A</v>
          </cell>
          <cell r="L736" t="e">
            <v>#N/A</v>
          </cell>
          <cell r="M736" t="e">
            <v>#N/A</v>
          </cell>
          <cell r="N736" t="e">
            <v>#N/A</v>
          </cell>
          <cell r="O736" t="e">
            <v>#N/A</v>
          </cell>
          <cell r="P736">
            <v>14.52</v>
          </cell>
          <cell r="Q736" t="str">
            <v/>
          </cell>
          <cell r="R736" t="e">
            <v>#N/A</v>
          </cell>
        </row>
        <row r="737">
          <cell r="A737">
            <v>41033</v>
          </cell>
          <cell r="B737">
            <v>41033</v>
          </cell>
          <cell r="C737" t="str">
            <v>Future</v>
          </cell>
          <cell r="D737" t="e">
            <v>#N/A</v>
          </cell>
          <cell r="E737">
            <v>4.4878378378377999</v>
          </cell>
          <cell r="F737">
            <v>16.514864864864979</v>
          </cell>
          <cell r="G737">
            <v>14.109459459459481</v>
          </cell>
          <cell r="H737">
            <v>14.109459459459481</v>
          </cell>
          <cell r="I737" t="e">
            <v>#N/A</v>
          </cell>
          <cell r="J737" t="e">
            <v>#N/A</v>
          </cell>
          <cell r="K737" t="e">
            <v>#N/A</v>
          </cell>
          <cell r="L737" t="e">
            <v>#N/A</v>
          </cell>
          <cell r="M737" t="e">
            <v>#N/A</v>
          </cell>
          <cell r="N737" t="e">
            <v>#N/A</v>
          </cell>
          <cell r="O737" t="e">
            <v>#N/A</v>
          </cell>
          <cell r="P737">
            <v>14.52</v>
          </cell>
          <cell r="Q737" t="str">
            <v/>
          </cell>
          <cell r="R737" t="e">
            <v>#N/A</v>
          </cell>
        </row>
        <row r="738">
          <cell r="A738">
            <v>41036</v>
          </cell>
          <cell r="B738">
            <v>41036</v>
          </cell>
          <cell r="C738" t="str">
            <v>Future</v>
          </cell>
          <cell r="D738" t="e">
            <v>#N/A</v>
          </cell>
          <cell r="E738">
            <v>4.4324324324323943</v>
          </cell>
          <cell r="F738">
            <v>16.527027027027142</v>
          </cell>
          <cell r="G738">
            <v>14.10810810810813</v>
          </cell>
          <cell r="H738">
            <v>14.10810810810813</v>
          </cell>
          <cell r="I738" t="e">
            <v>#N/A</v>
          </cell>
          <cell r="J738" t="e">
            <v>#N/A</v>
          </cell>
          <cell r="K738" t="e">
            <v>#N/A</v>
          </cell>
          <cell r="L738" t="e">
            <v>#N/A</v>
          </cell>
          <cell r="M738" t="e">
            <v>#N/A</v>
          </cell>
          <cell r="N738" t="e">
            <v>#N/A</v>
          </cell>
          <cell r="O738" t="e">
            <v>#N/A</v>
          </cell>
          <cell r="P738">
            <v>14.52</v>
          </cell>
          <cell r="Q738" t="str">
            <v/>
          </cell>
          <cell r="R738" t="e">
            <v>#N/A</v>
          </cell>
        </row>
        <row r="739">
          <cell r="A739">
            <v>41037</v>
          </cell>
          <cell r="B739">
            <v>41037</v>
          </cell>
          <cell r="C739" t="str">
            <v>Future</v>
          </cell>
          <cell r="D739" t="e">
            <v>#N/A</v>
          </cell>
          <cell r="E739">
            <v>4.3770270270269886</v>
          </cell>
          <cell r="F739">
            <v>16.539189189189305</v>
          </cell>
          <cell r="G739">
            <v>14.106756756756779</v>
          </cell>
          <cell r="H739">
            <v>14.106756756756779</v>
          </cell>
          <cell r="I739" t="e">
            <v>#N/A</v>
          </cell>
          <cell r="J739" t="e">
            <v>#N/A</v>
          </cell>
          <cell r="K739" t="e">
            <v>#N/A</v>
          </cell>
          <cell r="L739" t="e">
            <v>#N/A</v>
          </cell>
          <cell r="M739" t="e">
            <v>#N/A</v>
          </cell>
          <cell r="N739" t="e">
            <v>#N/A</v>
          </cell>
          <cell r="O739" t="e">
            <v>#N/A</v>
          </cell>
          <cell r="P739">
            <v>14.52</v>
          </cell>
          <cell r="Q739" t="str">
            <v/>
          </cell>
          <cell r="R739" t="e">
            <v>#N/A</v>
          </cell>
        </row>
        <row r="740">
          <cell r="A740">
            <v>41038</v>
          </cell>
          <cell r="B740">
            <v>41038</v>
          </cell>
          <cell r="C740" t="str">
            <v>Future</v>
          </cell>
          <cell r="D740" t="e">
            <v>#N/A</v>
          </cell>
          <cell r="E740">
            <v>4.321621621621583</v>
          </cell>
          <cell r="F740">
            <v>16.551351351351467</v>
          </cell>
          <cell r="G740">
            <v>14.105405405405428</v>
          </cell>
          <cell r="H740">
            <v>14.105405405405428</v>
          </cell>
          <cell r="I740" t="e">
            <v>#N/A</v>
          </cell>
          <cell r="J740" t="e">
            <v>#N/A</v>
          </cell>
          <cell r="K740" t="e">
            <v>#N/A</v>
          </cell>
          <cell r="L740" t="e">
            <v>#N/A</v>
          </cell>
          <cell r="M740" t="e">
            <v>#N/A</v>
          </cell>
          <cell r="N740" t="e">
            <v>#N/A</v>
          </cell>
          <cell r="O740" t="e">
            <v>#N/A</v>
          </cell>
          <cell r="P740">
            <v>14.52</v>
          </cell>
          <cell r="Q740" t="str">
            <v/>
          </cell>
          <cell r="R740" t="e">
            <v>#N/A</v>
          </cell>
        </row>
        <row r="741">
          <cell r="A741">
            <v>41039</v>
          </cell>
          <cell r="B741">
            <v>41039</v>
          </cell>
          <cell r="C741" t="str">
            <v>Future</v>
          </cell>
          <cell r="D741" t="e">
            <v>#N/A</v>
          </cell>
          <cell r="E741">
            <v>4.2662162162161774</v>
          </cell>
          <cell r="F741">
            <v>16.56351351351363</v>
          </cell>
          <cell r="G741">
            <v>14.104054054054076</v>
          </cell>
          <cell r="H741">
            <v>14.104054054054076</v>
          </cell>
          <cell r="I741" t="e">
            <v>#N/A</v>
          </cell>
          <cell r="J741" t="e">
            <v>#N/A</v>
          </cell>
          <cell r="K741" t="e">
            <v>#N/A</v>
          </cell>
          <cell r="L741" t="e">
            <v>#N/A</v>
          </cell>
          <cell r="M741" t="e">
            <v>#N/A</v>
          </cell>
          <cell r="N741" t="e">
            <v>#N/A</v>
          </cell>
          <cell r="O741" t="e">
            <v>#N/A</v>
          </cell>
          <cell r="P741">
            <v>14.52</v>
          </cell>
          <cell r="Q741" t="str">
            <v/>
          </cell>
          <cell r="R741" t="e">
            <v>#N/A</v>
          </cell>
        </row>
        <row r="742">
          <cell r="A742">
            <v>41040</v>
          </cell>
          <cell r="B742">
            <v>41040</v>
          </cell>
          <cell r="C742" t="str">
            <v>Future</v>
          </cell>
          <cell r="D742" t="e">
            <v>#N/A</v>
          </cell>
          <cell r="E742">
            <v>4.2108108108107718</v>
          </cell>
          <cell r="F742">
            <v>16.575675675675793</v>
          </cell>
          <cell r="G742">
            <v>14.102702702702725</v>
          </cell>
          <cell r="H742">
            <v>14.102702702702725</v>
          </cell>
          <cell r="I742" t="e">
            <v>#N/A</v>
          </cell>
          <cell r="J742" t="e">
            <v>#N/A</v>
          </cell>
          <cell r="K742" t="e">
            <v>#N/A</v>
          </cell>
          <cell r="L742" t="e">
            <v>#N/A</v>
          </cell>
          <cell r="M742" t="e">
            <v>#N/A</v>
          </cell>
          <cell r="N742" t="e">
            <v>#N/A</v>
          </cell>
          <cell r="O742" t="e">
            <v>#N/A</v>
          </cell>
          <cell r="P742">
            <v>14.52</v>
          </cell>
          <cell r="Q742" t="str">
            <v/>
          </cell>
          <cell r="R742" t="e">
            <v>#N/A</v>
          </cell>
        </row>
        <row r="743">
          <cell r="A743">
            <v>41043</v>
          </cell>
          <cell r="B743">
            <v>41043</v>
          </cell>
          <cell r="C743" t="str">
            <v>Future</v>
          </cell>
          <cell r="D743" t="e">
            <v>#N/A</v>
          </cell>
          <cell r="E743">
            <v>4.1554054054053662</v>
          </cell>
          <cell r="F743">
            <v>16.587837837837956</v>
          </cell>
          <cell r="G743">
            <v>14.101351351351374</v>
          </cell>
          <cell r="H743">
            <v>14.101351351351374</v>
          </cell>
          <cell r="I743" t="e">
            <v>#N/A</v>
          </cell>
          <cell r="J743" t="e">
            <v>#N/A</v>
          </cell>
          <cell r="K743" t="e">
            <v>#N/A</v>
          </cell>
          <cell r="L743" t="e">
            <v>#N/A</v>
          </cell>
          <cell r="M743" t="e">
            <v>#N/A</v>
          </cell>
          <cell r="N743" t="e">
            <v>#N/A</v>
          </cell>
          <cell r="O743" t="e">
            <v>#N/A</v>
          </cell>
          <cell r="P743">
            <v>14.52</v>
          </cell>
          <cell r="Q743" t="str">
            <v/>
          </cell>
          <cell r="R743" t="e">
            <v>#N/A</v>
          </cell>
        </row>
        <row r="744">
          <cell r="A744">
            <v>41044</v>
          </cell>
          <cell r="B744">
            <v>41044</v>
          </cell>
          <cell r="C744" t="str">
            <v>Future</v>
          </cell>
          <cell r="D744" t="e">
            <v>#N/A</v>
          </cell>
          <cell r="E744">
            <v>4.0999999999999606</v>
          </cell>
          <cell r="F744">
            <v>16.600000000000119</v>
          </cell>
          <cell r="G744">
            <v>14.100000000000023</v>
          </cell>
          <cell r="H744">
            <v>14.100000000000023</v>
          </cell>
          <cell r="I744" t="e">
            <v>#N/A</v>
          </cell>
          <cell r="J744" t="e">
            <v>#N/A</v>
          </cell>
          <cell r="K744" t="e">
            <v>#N/A</v>
          </cell>
          <cell r="L744" t="e">
            <v>#N/A</v>
          </cell>
          <cell r="M744" t="e">
            <v>#N/A</v>
          </cell>
          <cell r="N744" t="e">
            <v>#N/A</v>
          </cell>
          <cell r="O744" t="e">
            <v>#N/A</v>
          </cell>
          <cell r="P744">
            <v>14.52</v>
          </cell>
          <cell r="Q744" t="str">
            <v/>
          </cell>
          <cell r="R744" t="e">
            <v>#N/A</v>
          </cell>
        </row>
        <row r="745">
          <cell r="A745">
            <v>41045</v>
          </cell>
          <cell r="B745">
            <v>41045</v>
          </cell>
          <cell r="C745" t="str">
            <v>Future</v>
          </cell>
          <cell r="D745" t="e">
            <v>#N/A</v>
          </cell>
          <cell r="E745">
            <v>4.0445945945945549</v>
          </cell>
          <cell r="F745">
            <v>16.612162162162281</v>
          </cell>
          <cell r="G745">
            <v>14.098648648648672</v>
          </cell>
          <cell r="H745">
            <v>14.098648648648672</v>
          </cell>
          <cell r="I745" t="e">
            <v>#N/A</v>
          </cell>
          <cell r="J745" t="e">
            <v>#N/A</v>
          </cell>
          <cell r="K745" t="e">
            <v>#N/A</v>
          </cell>
          <cell r="L745" t="e">
            <v>#N/A</v>
          </cell>
          <cell r="M745" t="e">
            <v>#N/A</v>
          </cell>
          <cell r="N745" t="e">
            <v>#N/A</v>
          </cell>
          <cell r="O745" t="e">
            <v>#N/A</v>
          </cell>
          <cell r="P745">
            <v>14.52</v>
          </cell>
          <cell r="Q745" t="str">
            <v/>
          </cell>
          <cell r="R745" t="e">
            <v>#N/A</v>
          </cell>
        </row>
        <row r="746">
          <cell r="A746">
            <v>41046</v>
          </cell>
          <cell r="B746">
            <v>41046</v>
          </cell>
          <cell r="C746" t="str">
            <v>Future</v>
          </cell>
          <cell r="D746" t="e">
            <v>#N/A</v>
          </cell>
          <cell r="E746">
            <v>3.9891891891891493</v>
          </cell>
          <cell r="F746">
            <v>16.624324324324444</v>
          </cell>
          <cell r="G746">
            <v>14.09729729729732</v>
          </cell>
          <cell r="H746">
            <v>14.09729729729732</v>
          </cell>
          <cell r="I746" t="e">
            <v>#N/A</v>
          </cell>
          <cell r="J746" t="e">
            <v>#N/A</v>
          </cell>
          <cell r="K746" t="e">
            <v>#N/A</v>
          </cell>
          <cell r="L746" t="e">
            <v>#N/A</v>
          </cell>
          <cell r="M746" t="e">
            <v>#N/A</v>
          </cell>
          <cell r="N746" t="e">
            <v>#N/A</v>
          </cell>
          <cell r="O746" t="e">
            <v>#N/A</v>
          </cell>
          <cell r="P746">
            <v>14.52</v>
          </cell>
          <cell r="Q746" t="str">
            <v/>
          </cell>
          <cell r="R746" t="e">
            <v>#N/A</v>
          </cell>
        </row>
        <row r="747">
          <cell r="A747">
            <v>41047</v>
          </cell>
          <cell r="B747">
            <v>41047</v>
          </cell>
          <cell r="C747" t="str">
            <v>Future</v>
          </cell>
          <cell r="D747" t="e">
            <v>#N/A</v>
          </cell>
          <cell r="E747">
            <v>3.9337837837837437</v>
          </cell>
          <cell r="F747">
            <v>16.636486486486607</v>
          </cell>
          <cell r="G747">
            <v>14.095945945945969</v>
          </cell>
          <cell r="H747">
            <v>14.095945945945969</v>
          </cell>
          <cell r="I747" t="e">
            <v>#N/A</v>
          </cell>
          <cell r="J747" t="e">
            <v>#N/A</v>
          </cell>
          <cell r="K747" t="e">
            <v>#N/A</v>
          </cell>
          <cell r="L747" t="e">
            <v>#N/A</v>
          </cell>
          <cell r="M747" t="e">
            <v>#N/A</v>
          </cell>
          <cell r="N747" t="e">
            <v>#N/A</v>
          </cell>
          <cell r="O747" t="e">
            <v>#N/A</v>
          </cell>
          <cell r="P747">
            <v>14.52</v>
          </cell>
          <cell r="Q747" t="str">
            <v/>
          </cell>
          <cell r="R747" t="e">
            <v>#N/A</v>
          </cell>
        </row>
        <row r="748">
          <cell r="A748">
            <v>41050</v>
          </cell>
          <cell r="B748">
            <v>41050</v>
          </cell>
          <cell r="C748" t="str">
            <v>Future</v>
          </cell>
          <cell r="D748" t="e">
            <v>#N/A</v>
          </cell>
          <cell r="E748">
            <v>3.8783783783783381</v>
          </cell>
          <cell r="F748">
            <v>16.64864864864877</v>
          </cell>
          <cell r="G748">
            <v>14.094594594594618</v>
          </cell>
          <cell r="H748">
            <v>14.094594594594618</v>
          </cell>
          <cell r="I748" t="e">
            <v>#N/A</v>
          </cell>
          <cell r="J748" t="e">
            <v>#N/A</v>
          </cell>
          <cell r="K748" t="e">
            <v>#N/A</v>
          </cell>
          <cell r="L748" t="e">
            <v>#N/A</v>
          </cell>
          <cell r="M748" t="e">
            <v>#N/A</v>
          </cell>
          <cell r="N748" t="e">
            <v>#N/A</v>
          </cell>
          <cell r="O748" t="e">
            <v>#N/A</v>
          </cell>
          <cell r="P748">
            <v>14.52</v>
          </cell>
          <cell r="Q748" t="str">
            <v/>
          </cell>
          <cell r="R748" t="e">
            <v>#N/A</v>
          </cell>
        </row>
        <row r="749">
          <cell r="A749">
            <v>41051</v>
          </cell>
          <cell r="B749">
            <v>41051</v>
          </cell>
          <cell r="C749" t="str">
            <v>Future</v>
          </cell>
          <cell r="D749" t="e">
            <v>#N/A</v>
          </cell>
          <cell r="E749">
            <v>3.8229729729729325</v>
          </cell>
          <cell r="F749">
            <v>16.660810810810933</v>
          </cell>
          <cell r="G749">
            <v>14.093243243243267</v>
          </cell>
          <cell r="H749">
            <v>14.093243243243267</v>
          </cell>
          <cell r="I749" t="e">
            <v>#N/A</v>
          </cell>
          <cell r="J749" t="e">
            <v>#N/A</v>
          </cell>
          <cell r="K749" t="e">
            <v>#N/A</v>
          </cell>
          <cell r="L749" t="e">
            <v>#N/A</v>
          </cell>
          <cell r="M749" t="e">
            <v>#N/A</v>
          </cell>
          <cell r="N749" t="e">
            <v>#N/A</v>
          </cell>
          <cell r="O749" t="e">
            <v>#N/A</v>
          </cell>
          <cell r="P749">
            <v>14.52</v>
          </cell>
          <cell r="Q749" t="str">
            <v/>
          </cell>
          <cell r="R749" t="e">
            <v>#N/A</v>
          </cell>
        </row>
        <row r="750">
          <cell r="A750">
            <v>41052</v>
          </cell>
          <cell r="B750">
            <v>41052</v>
          </cell>
          <cell r="C750" t="str">
            <v>Future</v>
          </cell>
          <cell r="D750" t="e">
            <v>#N/A</v>
          </cell>
          <cell r="E750">
            <v>3.7675675675675269</v>
          </cell>
          <cell r="F750">
            <v>16.672972972973096</v>
          </cell>
          <cell r="G750">
            <v>14.091891891891915</v>
          </cell>
          <cell r="H750">
            <v>14.091891891891915</v>
          </cell>
          <cell r="I750" t="e">
            <v>#N/A</v>
          </cell>
          <cell r="J750" t="e">
            <v>#N/A</v>
          </cell>
          <cell r="K750" t="e">
            <v>#N/A</v>
          </cell>
          <cell r="L750" t="e">
            <v>#N/A</v>
          </cell>
          <cell r="M750" t="e">
            <v>#N/A</v>
          </cell>
          <cell r="N750" t="e">
            <v>#N/A</v>
          </cell>
          <cell r="O750" t="e">
            <v>#N/A</v>
          </cell>
          <cell r="P750">
            <v>14.52</v>
          </cell>
          <cell r="Q750" t="str">
            <v/>
          </cell>
          <cell r="R750" t="e">
            <v>#N/A</v>
          </cell>
        </row>
        <row r="751">
          <cell r="A751">
            <v>41053</v>
          </cell>
          <cell r="B751">
            <v>41053</v>
          </cell>
          <cell r="C751" t="str">
            <v>Future</v>
          </cell>
          <cell r="D751" t="e">
            <v>#N/A</v>
          </cell>
          <cell r="E751">
            <v>3.7121621621621212</v>
          </cell>
          <cell r="F751">
            <v>16.685135135135258</v>
          </cell>
          <cell r="G751">
            <v>14.090540540540564</v>
          </cell>
          <cell r="H751">
            <v>14.090540540540564</v>
          </cell>
          <cell r="I751" t="e">
            <v>#N/A</v>
          </cell>
          <cell r="J751" t="e">
            <v>#N/A</v>
          </cell>
          <cell r="K751" t="e">
            <v>#N/A</v>
          </cell>
          <cell r="L751" t="e">
            <v>#N/A</v>
          </cell>
          <cell r="M751" t="e">
            <v>#N/A</v>
          </cell>
          <cell r="N751" t="e">
            <v>#N/A</v>
          </cell>
          <cell r="O751" t="e">
            <v>#N/A</v>
          </cell>
          <cell r="P751">
            <v>14.52</v>
          </cell>
          <cell r="Q751" t="str">
            <v/>
          </cell>
          <cell r="R751" t="e">
            <v>#N/A</v>
          </cell>
        </row>
        <row r="752">
          <cell r="A752">
            <v>41054</v>
          </cell>
          <cell r="B752">
            <v>41054</v>
          </cell>
          <cell r="C752" t="str">
            <v>Future</v>
          </cell>
          <cell r="D752" t="e">
            <v>#N/A</v>
          </cell>
          <cell r="E752">
            <v>3.6567567567567156</v>
          </cell>
          <cell r="F752">
            <v>16.697297297297421</v>
          </cell>
          <cell r="G752">
            <v>14.089189189189213</v>
          </cell>
          <cell r="H752">
            <v>14.089189189189213</v>
          </cell>
          <cell r="I752" t="e">
            <v>#N/A</v>
          </cell>
          <cell r="J752" t="e">
            <v>#N/A</v>
          </cell>
          <cell r="K752" t="e">
            <v>#N/A</v>
          </cell>
          <cell r="L752" t="e">
            <v>#N/A</v>
          </cell>
          <cell r="M752" t="e">
            <v>#N/A</v>
          </cell>
          <cell r="N752" t="e">
            <v>#N/A</v>
          </cell>
          <cell r="O752" t="e">
            <v>#N/A</v>
          </cell>
          <cell r="P752">
            <v>14.52</v>
          </cell>
          <cell r="Q752" t="str">
            <v/>
          </cell>
          <cell r="R752" t="e">
            <v>#N/A</v>
          </cell>
        </row>
        <row r="753">
          <cell r="A753">
            <v>41057</v>
          </cell>
          <cell r="B753">
            <v>41057</v>
          </cell>
          <cell r="C753" t="str">
            <v>Future</v>
          </cell>
          <cell r="D753" t="e">
            <v>#N/A</v>
          </cell>
          <cell r="E753">
            <v>3.60135135135131</v>
          </cell>
          <cell r="F753">
            <v>16.709459459459584</v>
          </cell>
          <cell r="G753">
            <v>14.087837837837862</v>
          </cell>
          <cell r="H753">
            <v>14.087837837837862</v>
          </cell>
          <cell r="I753" t="e">
            <v>#N/A</v>
          </cell>
          <cell r="J753" t="e">
            <v>#N/A</v>
          </cell>
          <cell r="K753" t="e">
            <v>#N/A</v>
          </cell>
          <cell r="L753" t="e">
            <v>#N/A</v>
          </cell>
          <cell r="M753" t="e">
            <v>#N/A</v>
          </cell>
          <cell r="N753" t="e">
            <v>#N/A</v>
          </cell>
          <cell r="O753" t="e">
            <v>#N/A</v>
          </cell>
          <cell r="P753">
            <v>14.52</v>
          </cell>
          <cell r="Q753" t="str">
            <v/>
          </cell>
          <cell r="R753" t="e">
            <v>#N/A</v>
          </cell>
        </row>
        <row r="754">
          <cell r="A754">
            <v>41058</v>
          </cell>
          <cell r="B754">
            <v>41058</v>
          </cell>
          <cell r="C754" t="str">
            <v>Future</v>
          </cell>
          <cell r="D754" t="e">
            <v>#N/A</v>
          </cell>
          <cell r="E754">
            <v>3.5459459459459044</v>
          </cell>
          <cell r="F754">
            <v>16.721621621621747</v>
          </cell>
          <cell r="G754">
            <v>14.08648648648651</v>
          </cell>
          <cell r="H754">
            <v>14.08648648648651</v>
          </cell>
          <cell r="I754" t="e">
            <v>#N/A</v>
          </cell>
          <cell r="J754" t="e">
            <v>#N/A</v>
          </cell>
          <cell r="K754" t="e">
            <v>#N/A</v>
          </cell>
          <cell r="L754" t="e">
            <v>#N/A</v>
          </cell>
          <cell r="M754" t="e">
            <v>#N/A</v>
          </cell>
          <cell r="N754" t="e">
            <v>#N/A</v>
          </cell>
          <cell r="O754" t="e">
            <v>#N/A</v>
          </cell>
          <cell r="P754">
            <v>14.52</v>
          </cell>
          <cell r="Q754" t="str">
            <v/>
          </cell>
          <cell r="R754" t="e">
            <v>#N/A</v>
          </cell>
        </row>
        <row r="755">
          <cell r="A755">
            <v>41059</v>
          </cell>
          <cell r="B755">
            <v>41059</v>
          </cell>
          <cell r="C755" t="str">
            <v>Future</v>
          </cell>
          <cell r="D755" t="e">
            <v>#N/A</v>
          </cell>
          <cell r="E755">
            <v>3.4905405405404988</v>
          </cell>
          <cell r="F755">
            <v>16.73378378378391</v>
          </cell>
          <cell r="G755">
            <v>14.085135135135159</v>
          </cell>
          <cell r="H755">
            <v>14.085135135135159</v>
          </cell>
          <cell r="I755" t="e">
            <v>#N/A</v>
          </cell>
          <cell r="J755" t="e">
            <v>#N/A</v>
          </cell>
          <cell r="K755" t="e">
            <v>#N/A</v>
          </cell>
          <cell r="L755" t="e">
            <v>#N/A</v>
          </cell>
          <cell r="M755" t="e">
            <v>#N/A</v>
          </cell>
          <cell r="N755" t="e">
            <v>#N/A</v>
          </cell>
          <cell r="O755" t="e">
            <v>#N/A</v>
          </cell>
          <cell r="P755">
            <v>14.52</v>
          </cell>
          <cell r="Q755" t="str">
            <v/>
          </cell>
          <cell r="R755" t="e">
            <v>#N/A</v>
          </cell>
        </row>
        <row r="756">
          <cell r="A756">
            <v>41060</v>
          </cell>
          <cell r="B756">
            <v>41060</v>
          </cell>
          <cell r="C756" t="str">
            <v>Future</v>
          </cell>
          <cell r="D756" t="e">
            <v>#N/A</v>
          </cell>
          <cell r="E756">
            <v>3.4351351351350932</v>
          </cell>
          <cell r="F756">
            <v>16.745945945946072</v>
          </cell>
          <cell r="G756">
            <v>14.083783783783808</v>
          </cell>
          <cell r="H756">
            <v>14.083783783783808</v>
          </cell>
          <cell r="I756" t="e">
            <v>#N/A</v>
          </cell>
          <cell r="J756" t="e">
            <v>#N/A</v>
          </cell>
          <cell r="K756" t="e">
            <v>#N/A</v>
          </cell>
          <cell r="L756" t="e">
            <v>#N/A</v>
          </cell>
          <cell r="M756" t="e">
            <v>#N/A</v>
          </cell>
          <cell r="N756" t="e">
            <v>#N/A</v>
          </cell>
          <cell r="O756" t="e">
            <v>#N/A</v>
          </cell>
          <cell r="P756">
            <v>14.52</v>
          </cell>
          <cell r="Q756" t="str">
            <v/>
          </cell>
          <cell r="R756" t="e">
            <v>#N/A</v>
          </cell>
        </row>
        <row r="757">
          <cell r="A757">
            <v>41061</v>
          </cell>
          <cell r="B757">
            <v>41061</v>
          </cell>
          <cell r="C757" t="str">
            <v>Future</v>
          </cell>
          <cell r="D757" t="e">
            <v>#N/A</v>
          </cell>
          <cell r="E757">
            <v>3.3797297297296875</v>
          </cell>
          <cell r="F757">
            <v>16.758108108108235</v>
          </cell>
          <cell r="G757">
            <v>14.082432432432457</v>
          </cell>
          <cell r="H757">
            <v>14.082432432432457</v>
          </cell>
          <cell r="I757" t="e">
            <v>#N/A</v>
          </cell>
          <cell r="J757" t="e">
            <v>#N/A</v>
          </cell>
          <cell r="K757" t="e">
            <v>#N/A</v>
          </cell>
          <cell r="L757" t="e">
            <v>#N/A</v>
          </cell>
          <cell r="M757" t="e">
            <v>#N/A</v>
          </cell>
          <cell r="N757" t="e">
            <v>#N/A</v>
          </cell>
          <cell r="O757" t="e">
            <v>#N/A</v>
          </cell>
          <cell r="P757">
            <v>14.52</v>
          </cell>
          <cell r="Q757" t="str">
            <v/>
          </cell>
          <cell r="R757" t="e">
            <v>#N/A</v>
          </cell>
        </row>
        <row r="758">
          <cell r="A758">
            <v>41064</v>
          </cell>
          <cell r="B758">
            <v>41064</v>
          </cell>
          <cell r="C758" t="str">
            <v>Future</v>
          </cell>
          <cell r="D758" t="e">
            <v>#N/A</v>
          </cell>
          <cell r="E758">
            <v>3.3243243243242819</v>
          </cell>
          <cell r="F758">
            <v>16.770270270270398</v>
          </cell>
          <cell r="G758">
            <v>14.081081081081106</v>
          </cell>
          <cell r="H758">
            <v>14.081081081081106</v>
          </cell>
          <cell r="I758" t="e">
            <v>#N/A</v>
          </cell>
          <cell r="J758" t="e">
            <v>#N/A</v>
          </cell>
          <cell r="K758" t="e">
            <v>#N/A</v>
          </cell>
          <cell r="L758" t="e">
            <v>#N/A</v>
          </cell>
          <cell r="M758" t="e">
            <v>#N/A</v>
          </cell>
          <cell r="N758" t="e">
            <v>#N/A</v>
          </cell>
          <cell r="O758" t="e">
            <v>#N/A</v>
          </cell>
          <cell r="P758">
            <v>14.52</v>
          </cell>
          <cell r="Q758" t="str">
            <v/>
          </cell>
          <cell r="R758" t="e">
            <v>#N/A</v>
          </cell>
        </row>
        <row r="759">
          <cell r="A759">
            <v>41065</v>
          </cell>
          <cell r="B759">
            <v>41065</v>
          </cell>
          <cell r="C759" t="str">
            <v>Future</v>
          </cell>
          <cell r="D759" t="e">
            <v>#N/A</v>
          </cell>
          <cell r="E759">
            <v>3.2689189189188763</v>
          </cell>
          <cell r="F759">
            <v>16.782432432432561</v>
          </cell>
          <cell r="G759">
            <v>14.079729729729754</v>
          </cell>
          <cell r="H759">
            <v>14.079729729729754</v>
          </cell>
          <cell r="I759" t="e">
            <v>#N/A</v>
          </cell>
          <cell r="J759" t="e">
            <v>#N/A</v>
          </cell>
          <cell r="K759" t="e">
            <v>#N/A</v>
          </cell>
          <cell r="L759" t="e">
            <v>#N/A</v>
          </cell>
          <cell r="M759" t="e">
            <v>#N/A</v>
          </cell>
          <cell r="N759" t="e">
            <v>#N/A</v>
          </cell>
          <cell r="O759" t="e">
            <v>#N/A</v>
          </cell>
          <cell r="P759">
            <v>14.52</v>
          </cell>
          <cell r="Q759" t="str">
            <v/>
          </cell>
          <cell r="R759" t="e">
            <v>#N/A</v>
          </cell>
        </row>
        <row r="760">
          <cell r="A760">
            <v>41066</v>
          </cell>
          <cell r="B760">
            <v>41066</v>
          </cell>
          <cell r="C760" t="str">
            <v>Future</v>
          </cell>
          <cell r="D760" t="e">
            <v>#N/A</v>
          </cell>
          <cell r="E760">
            <v>3.2135135135134707</v>
          </cell>
          <cell r="F760">
            <v>16.794594594594724</v>
          </cell>
          <cell r="G760">
            <v>14.078378378378403</v>
          </cell>
          <cell r="H760">
            <v>14.078378378378403</v>
          </cell>
          <cell r="I760" t="e">
            <v>#N/A</v>
          </cell>
          <cell r="J760" t="e">
            <v>#N/A</v>
          </cell>
          <cell r="K760" t="e">
            <v>#N/A</v>
          </cell>
          <cell r="L760" t="e">
            <v>#N/A</v>
          </cell>
          <cell r="M760" t="e">
            <v>#N/A</v>
          </cell>
          <cell r="N760" t="e">
            <v>#N/A</v>
          </cell>
          <cell r="O760" t="e">
            <v>#N/A</v>
          </cell>
          <cell r="P760">
            <v>14.52</v>
          </cell>
          <cell r="Q760" t="str">
            <v/>
          </cell>
          <cell r="R760" t="e">
            <v>#N/A</v>
          </cell>
        </row>
        <row r="761">
          <cell r="A761">
            <v>41067</v>
          </cell>
          <cell r="B761">
            <v>41067</v>
          </cell>
          <cell r="C761" t="str">
            <v>Future</v>
          </cell>
          <cell r="D761" t="e">
            <v>#N/A</v>
          </cell>
          <cell r="E761">
            <v>3.1581081081080651</v>
          </cell>
          <cell r="F761">
            <v>16.806756756756887</v>
          </cell>
          <cell r="G761">
            <v>14.077027027027052</v>
          </cell>
          <cell r="H761">
            <v>14.077027027027052</v>
          </cell>
          <cell r="I761" t="e">
            <v>#N/A</v>
          </cell>
          <cell r="J761" t="e">
            <v>#N/A</v>
          </cell>
          <cell r="K761" t="e">
            <v>#N/A</v>
          </cell>
          <cell r="L761" t="e">
            <v>#N/A</v>
          </cell>
          <cell r="M761" t="e">
            <v>#N/A</v>
          </cell>
          <cell r="N761" t="e">
            <v>#N/A</v>
          </cell>
          <cell r="O761" t="e">
            <v>#N/A</v>
          </cell>
          <cell r="P761">
            <v>14.52</v>
          </cell>
          <cell r="Q761" t="str">
            <v/>
          </cell>
          <cell r="R761" t="e">
            <v>#N/A</v>
          </cell>
        </row>
        <row r="762">
          <cell r="A762">
            <v>41068</v>
          </cell>
          <cell r="B762">
            <v>41068</v>
          </cell>
          <cell r="C762" t="str">
            <v>Future</v>
          </cell>
          <cell r="D762" t="e">
            <v>#N/A</v>
          </cell>
          <cell r="E762">
            <v>3.1027027027026595</v>
          </cell>
          <cell r="F762">
            <v>16.818918918919049</v>
          </cell>
          <cell r="G762">
            <v>14.075675675675701</v>
          </cell>
          <cell r="H762">
            <v>14.075675675675701</v>
          </cell>
          <cell r="I762" t="e">
            <v>#N/A</v>
          </cell>
          <cell r="J762" t="e">
            <v>#N/A</v>
          </cell>
          <cell r="K762" t="e">
            <v>#N/A</v>
          </cell>
          <cell r="L762" t="e">
            <v>#N/A</v>
          </cell>
          <cell r="M762" t="e">
            <v>#N/A</v>
          </cell>
          <cell r="N762" t="e">
            <v>#N/A</v>
          </cell>
          <cell r="O762" t="e">
            <v>#N/A</v>
          </cell>
          <cell r="P762">
            <v>14.52</v>
          </cell>
          <cell r="Q762" t="str">
            <v/>
          </cell>
          <cell r="R762" t="e">
            <v>#N/A</v>
          </cell>
        </row>
        <row r="763">
          <cell r="A763">
            <v>41071</v>
          </cell>
          <cell r="B763">
            <v>41071</v>
          </cell>
          <cell r="C763" t="str">
            <v>Future</v>
          </cell>
          <cell r="D763" t="e">
            <v>#N/A</v>
          </cell>
          <cell r="E763">
            <v>3.0472972972972538</v>
          </cell>
          <cell r="F763">
            <v>16.831081081081212</v>
          </cell>
          <cell r="G763">
            <v>14.074324324324349</v>
          </cell>
          <cell r="H763">
            <v>14.074324324324349</v>
          </cell>
          <cell r="I763" t="e">
            <v>#N/A</v>
          </cell>
          <cell r="J763" t="e">
            <v>#N/A</v>
          </cell>
          <cell r="K763" t="e">
            <v>#N/A</v>
          </cell>
          <cell r="L763" t="e">
            <v>#N/A</v>
          </cell>
          <cell r="M763" t="e">
            <v>#N/A</v>
          </cell>
          <cell r="N763" t="e">
            <v>#N/A</v>
          </cell>
          <cell r="O763" t="e">
            <v>#N/A</v>
          </cell>
          <cell r="P763">
            <v>14.52</v>
          </cell>
          <cell r="Q763" t="str">
            <v/>
          </cell>
          <cell r="R763" t="e">
            <v>#N/A</v>
          </cell>
        </row>
        <row r="764">
          <cell r="A764">
            <v>41072</v>
          </cell>
          <cell r="B764">
            <v>41072</v>
          </cell>
          <cell r="C764" t="str">
            <v>Future</v>
          </cell>
          <cell r="D764" t="e">
            <v>#N/A</v>
          </cell>
          <cell r="E764">
            <v>2.9918918918918482</v>
          </cell>
          <cell r="F764">
            <v>16.843243243243375</v>
          </cell>
          <cell r="G764">
            <v>14.072972972972998</v>
          </cell>
          <cell r="H764">
            <v>14.072972972972998</v>
          </cell>
          <cell r="I764" t="e">
            <v>#N/A</v>
          </cell>
          <cell r="J764" t="e">
            <v>#N/A</v>
          </cell>
          <cell r="K764" t="e">
            <v>#N/A</v>
          </cell>
          <cell r="L764" t="e">
            <v>#N/A</v>
          </cell>
          <cell r="M764" t="e">
            <v>#N/A</v>
          </cell>
          <cell r="N764" t="e">
            <v>#N/A</v>
          </cell>
          <cell r="O764" t="e">
            <v>#N/A</v>
          </cell>
          <cell r="P764">
            <v>14.52</v>
          </cell>
          <cell r="Q764" t="str">
            <v/>
          </cell>
          <cell r="R764" t="e">
            <v>#N/A</v>
          </cell>
        </row>
        <row r="765">
          <cell r="A765">
            <v>41073</v>
          </cell>
          <cell r="B765">
            <v>41073</v>
          </cell>
          <cell r="C765" t="str">
            <v>Future</v>
          </cell>
          <cell r="D765" t="e">
            <v>#N/A</v>
          </cell>
          <cell r="E765">
            <v>2.9364864864864426</v>
          </cell>
          <cell r="F765">
            <v>16.855405405405538</v>
          </cell>
          <cell r="G765">
            <v>14.071621621621647</v>
          </cell>
          <cell r="H765">
            <v>14.071621621621647</v>
          </cell>
          <cell r="I765" t="e">
            <v>#N/A</v>
          </cell>
          <cell r="J765" t="e">
            <v>#N/A</v>
          </cell>
          <cell r="K765" t="e">
            <v>#N/A</v>
          </cell>
          <cell r="L765" t="e">
            <v>#N/A</v>
          </cell>
          <cell r="M765" t="e">
            <v>#N/A</v>
          </cell>
          <cell r="N765" t="e">
            <v>#N/A</v>
          </cell>
          <cell r="O765" t="e">
            <v>#N/A</v>
          </cell>
          <cell r="P765">
            <v>14.52</v>
          </cell>
          <cell r="Q765" t="str">
            <v/>
          </cell>
          <cell r="R765" t="e">
            <v>#N/A</v>
          </cell>
        </row>
        <row r="766">
          <cell r="A766">
            <v>41074</v>
          </cell>
          <cell r="B766">
            <v>41074</v>
          </cell>
          <cell r="C766" t="str">
            <v>Future</v>
          </cell>
          <cell r="D766" t="e">
            <v>#N/A</v>
          </cell>
          <cell r="E766">
            <v>2.881081081081037</v>
          </cell>
          <cell r="F766">
            <v>16.867567567567701</v>
          </cell>
          <cell r="G766">
            <v>14.070270270270296</v>
          </cell>
          <cell r="H766">
            <v>14.070270270270296</v>
          </cell>
          <cell r="I766" t="e">
            <v>#N/A</v>
          </cell>
          <cell r="J766" t="e">
            <v>#N/A</v>
          </cell>
          <cell r="K766" t="e">
            <v>#N/A</v>
          </cell>
          <cell r="L766" t="e">
            <v>#N/A</v>
          </cell>
          <cell r="M766" t="e">
            <v>#N/A</v>
          </cell>
          <cell r="N766" t="e">
            <v>#N/A</v>
          </cell>
          <cell r="O766" t="e">
            <v>#N/A</v>
          </cell>
          <cell r="P766">
            <v>14.52</v>
          </cell>
          <cell r="Q766" t="str">
            <v/>
          </cell>
          <cell r="R766" t="e">
            <v>#N/A</v>
          </cell>
        </row>
        <row r="767">
          <cell r="A767">
            <v>41075</v>
          </cell>
          <cell r="B767">
            <v>41075</v>
          </cell>
          <cell r="C767" t="str">
            <v>Future</v>
          </cell>
          <cell r="D767" t="e">
            <v>#N/A</v>
          </cell>
          <cell r="E767">
            <v>2.8256756756756314</v>
          </cell>
          <cell r="F767">
            <v>16.879729729729863</v>
          </cell>
          <cell r="G767">
            <v>14.068918918918945</v>
          </cell>
          <cell r="H767">
            <v>14.068918918918945</v>
          </cell>
          <cell r="I767" t="e">
            <v>#N/A</v>
          </cell>
          <cell r="J767" t="e">
            <v>#N/A</v>
          </cell>
          <cell r="K767" t="e">
            <v>#N/A</v>
          </cell>
          <cell r="L767" t="e">
            <v>#N/A</v>
          </cell>
          <cell r="M767" t="e">
            <v>#N/A</v>
          </cell>
          <cell r="N767" t="e">
            <v>#N/A</v>
          </cell>
          <cell r="O767" t="e">
            <v>#N/A</v>
          </cell>
          <cell r="P767">
            <v>14.52</v>
          </cell>
          <cell r="Q767" t="str">
            <v/>
          </cell>
          <cell r="R767" t="e">
            <v>#N/A</v>
          </cell>
        </row>
        <row r="768">
          <cell r="A768">
            <v>41078</v>
          </cell>
          <cell r="B768">
            <v>41078</v>
          </cell>
          <cell r="C768" t="str">
            <v>Future</v>
          </cell>
          <cell r="D768" t="e">
            <v>#N/A</v>
          </cell>
          <cell r="E768">
            <v>2.7702702702702258</v>
          </cell>
          <cell r="F768">
            <v>16.891891891892026</v>
          </cell>
          <cell r="G768">
            <v>14.067567567567593</v>
          </cell>
          <cell r="H768">
            <v>14.067567567567593</v>
          </cell>
          <cell r="I768" t="e">
            <v>#N/A</v>
          </cell>
          <cell r="J768" t="e">
            <v>#N/A</v>
          </cell>
          <cell r="K768" t="e">
            <v>#N/A</v>
          </cell>
          <cell r="L768" t="e">
            <v>#N/A</v>
          </cell>
          <cell r="M768" t="e">
            <v>#N/A</v>
          </cell>
          <cell r="N768" t="e">
            <v>#N/A</v>
          </cell>
          <cell r="O768" t="e">
            <v>#N/A</v>
          </cell>
          <cell r="P768">
            <v>14.52</v>
          </cell>
          <cell r="Q768" t="str">
            <v/>
          </cell>
          <cell r="R768" t="e">
            <v>#N/A</v>
          </cell>
        </row>
        <row r="769">
          <cell r="A769">
            <v>41079</v>
          </cell>
          <cell r="B769">
            <v>41079</v>
          </cell>
          <cell r="C769" t="str">
            <v>Future</v>
          </cell>
          <cell r="D769" t="e">
            <v>#N/A</v>
          </cell>
          <cell r="E769">
            <v>2.7148648648648201</v>
          </cell>
          <cell r="F769">
            <v>16.904054054054189</v>
          </cell>
          <cell r="G769">
            <v>14.066216216216242</v>
          </cell>
          <cell r="H769">
            <v>14.066216216216242</v>
          </cell>
          <cell r="I769" t="e">
            <v>#N/A</v>
          </cell>
          <cell r="J769" t="e">
            <v>#N/A</v>
          </cell>
          <cell r="K769" t="e">
            <v>#N/A</v>
          </cell>
          <cell r="L769" t="e">
            <v>#N/A</v>
          </cell>
          <cell r="M769" t="e">
            <v>#N/A</v>
          </cell>
          <cell r="N769" t="e">
            <v>#N/A</v>
          </cell>
          <cell r="O769" t="e">
            <v>#N/A</v>
          </cell>
          <cell r="P769">
            <v>14.52</v>
          </cell>
          <cell r="Q769" t="str">
            <v/>
          </cell>
          <cell r="R769" t="e">
            <v>#N/A</v>
          </cell>
        </row>
        <row r="770">
          <cell r="A770">
            <v>41080</v>
          </cell>
          <cell r="B770">
            <v>41080</v>
          </cell>
          <cell r="C770" t="str">
            <v>Future</v>
          </cell>
          <cell r="D770" t="e">
            <v>#N/A</v>
          </cell>
          <cell r="E770">
            <v>2.6594594594594145</v>
          </cell>
          <cell r="F770">
            <v>16.916216216216352</v>
          </cell>
          <cell r="G770">
            <v>14.064864864864891</v>
          </cell>
          <cell r="H770">
            <v>14.064864864864891</v>
          </cell>
          <cell r="I770" t="e">
            <v>#N/A</v>
          </cell>
          <cell r="J770" t="e">
            <v>#N/A</v>
          </cell>
          <cell r="K770" t="e">
            <v>#N/A</v>
          </cell>
          <cell r="L770" t="e">
            <v>#N/A</v>
          </cell>
          <cell r="M770" t="e">
            <v>#N/A</v>
          </cell>
          <cell r="N770" t="e">
            <v>#N/A</v>
          </cell>
          <cell r="O770" t="e">
            <v>#N/A</v>
          </cell>
          <cell r="P770">
            <v>14.52</v>
          </cell>
          <cell r="Q770" t="str">
            <v/>
          </cell>
          <cell r="R770" t="e">
            <v>#N/A</v>
          </cell>
        </row>
        <row r="771">
          <cell r="A771">
            <v>41081</v>
          </cell>
          <cell r="B771">
            <v>41081</v>
          </cell>
          <cell r="C771" t="str">
            <v>Future</v>
          </cell>
          <cell r="D771" t="e">
            <v>#N/A</v>
          </cell>
          <cell r="E771">
            <v>2.6040540540540089</v>
          </cell>
          <cell r="F771">
            <v>16.928378378378515</v>
          </cell>
          <cell r="G771">
            <v>14.06351351351354</v>
          </cell>
          <cell r="H771">
            <v>14.06351351351354</v>
          </cell>
          <cell r="I771" t="e">
            <v>#N/A</v>
          </cell>
          <cell r="J771" t="e">
            <v>#N/A</v>
          </cell>
          <cell r="K771" t="e">
            <v>#N/A</v>
          </cell>
          <cell r="L771" t="e">
            <v>#N/A</v>
          </cell>
          <cell r="M771" t="e">
            <v>#N/A</v>
          </cell>
          <cell r="N771" t="e">
            <v>#N/A</v>
          </cell>
          <cell r="O771" t="e">
            <v>#N/A</v>
          </cell>
          <cell r="P771">
            <v>14.52</v>
          </cell>
          <cell r="Q771" t="str">
            <v/>
          </cell>
          <cell r="R771" t="e">
            <v>#N/A</v>
          </cell>
        </row>
        <row r="772">
          <cell r="A772">
            <v>41082</v>
          </cell>
          <cell r="B772">
            <v>41082</v>
          </cell>
          <cell r="C772" t="str">
            <v>Future</v>
          </cell>
          <cell r="D772" t="e">
            <v>#N/A</v>
          </cell>
          <cell r="E772">
            <v>2.5486486486486033</v>
          </cell>
          <cell r="F772">
            <v>16.940540540540677</v>
          </cell>
          <cell r="G772">
            <v>14.062162162162188</v>
          </cell>
          <cell r="H772">
            <v>14.062162162162188</v>
          </cell>
          <cell r="I772" t="e">
            <v>#N/A</v>
          </cell>
          <cell r="J772" t="e">
            <v>#N/A</v>
          </cell>
          <cell r="K772" t="e">
            <v>#N/A</v>
          </cell>
          <cell r="L772" t="e">
            <v>#N/A</v>
          </cell>
          <cell r="M772" t="e">
            <v>#N/A</v>
          </cell>
          <cell r="N772" t="e">
            <v>#N/A</v>
          </cell>
          <cell r="O772" t="e">
            <v>#N/A</v>
          </cell>
          <cell r="P772">
            <v>14.52</v>
          </cell>
          <cell r="Q772" t="str">
            <v/>
          </cell>
          <cell r="R772" t="e">
            <v>#N/A</v>
          </cell>
        </row>
        <row r="773">
          <cell r="A773">
            <v>41085</v>
          </cell>
          <cell r="B773">
            <v>41085</v>
          </cell>
          <cell r="C773" t="str">
            <v>Future</v>
          </cell>
          <cell r="D773" t="e">
            <v>#N/A</v>
          </cell>
          <cell r="E773">
            <v>2.4932432432431977</v>
          </cell>
          <cell r="F773">
            <v>16.95270270270284</v>
          </cell>
          <cell r="G773">
            <v>14.060810810810837</v>
          </cell>
          <cell r="H773">
            <v>14.060810810810837</v>
          </cell>
          <cell r="I773" t="e">
            <v>#N/A</v>
          </cell>
          <cell r="J773" t="e">
            <v>#N/A</v>
          </cell>
          <cell r="K773" t="e">
            <v>#N/A</v>
          </cell>
          <cell r="L773" t="e">
            <v>#N/A</v>
          </cell>
          <cell r="M773" t="e">
            <v>#N/A</v>
          </cell>
          <cell r="N773" t="e">
            <v>#N/A</v>
          </cell>
          <cell r="O773" t="e">
            <v>#N/A</v>
          </cell>
          <cell r="P773">
            <v>14.52</v>
          </cell>
          <cell r="Q773" t="str">
            <v/>
          </cell>
          <cell r="R773" t="e">
            <v>#N/A</v>
          </cell>
        </row>
        <row r="774">
          <cell r="A774">
            <v>41086</v>
          </cell>
          <cell r="B774">
            <v>41086</v>
          </cell>
          <cell r="C774" t="str">
            <v>Future</v>
          </cell>
          <cell r="D774" t="e">
            <v>#N/A</v>
          </cell>
          <cell r="E774">
            <v>2.4378378378377921</v>
          </cell>
          <cell r="F774">
            <v>16.964864864865003</v>
          </cell>
          <cell r="G774">
            <v>14.059459459459486</v>
          </cell>
          <cell r="H774">
            <v>14.059459459459486</v>
          </cell>
          <cell r="I774" t="e">
            <v>#N/A</v>
          </cell>
          <cell r="J774" t="e">
            <v>#N/A</v>
          </cell>
          <cell r="K774" t="e">
            <v>#N/A</v>
          </cell>
          <cell r="L774" t="e">
            <v>#N/A</v>
          </cell>
          <cell r="M774" t="e">
            <v>#N/A</v>
          </cell>
          <cell r="N774" t="e">
            <v>#N/A</v>
          </cell>
          <cell r="O774" t="e">
            <v>#N/A</v>
          </cell>
          <cell r="P774">
            <v>14.52</v>
          </cell>
          <cell r="Q774" t="str">
            <v/>
          </cell>
          <cell r="R774" t="e">
            <v>#N/A</v>
          </cell>
        </row>
        <row r="775">
          <cell r="A775">
            <v>41087</v>
          </cell>
          <cell r="B775">
            <v>41087</v>
          </cell>
          <cell r="C775" t="str">
            <v>Future</v>
          </cell>
          <cell r="D775" t="e">
            <v>#N/A</v>
          </cell>
          <cell r="E775">
            <v>2.3824324324323864</v>
          </cell>
          <cell r="F775">
            <v>16.977027027027166</v>
          </cell>
          <cell r="G775">
            <v>14.058108108108135</v>
          </cell>
          <cell r="H775">
            <v>14.058108108108135</v>
          </cell>
          <cell r="I775" t="e">
            <v>#N/A</v>
          </cell>
          <cell r="J775" t="e">
            <v>#N/A</v>
          </cell>
          <cell r="K775" t="e">
            <v>#N/A</v>
          </cell>
          <cell r="L775" t="e">
            <v>#N/A</v>
          </cell>
          <cell r="M775" t="e">
            <v>#N/A</v>
          </cell>
          <cell r="N775" t="e">
            <v>#N/A</v>
          </cell>
          <cell r="O775" t="e">
            <v>#N/A</v>
          </cell>
          <cell r="P775">
            <v>14.52</v>
          </cell>
          <cell r="Q775" t="str">
            <v/>
          </cell>
          <cell r="R775" t="e">
            <v>#N/A</v>
          </cell>
        </row>
        <row r="776">
          <cell r="A776">
            <v>41088</v>
          </cell>
          <cell r="B776">
            <v>41088</v>
          </cell>
          <cell r="C776" t="str">
            <v>Future</v>
          </cell>
          <cell r="D776" t="e">
            <v>#N/A</v>
          </cell>
          <cell r="E776">
            <v>2.3270270270269808</v>
          </cell>
          <cell r="F776">
            <v>16.989189189189329</v>
          </cell>
          <cell r="G776">
            <v>14.056756756756783</v>
          </cell>
          <cell r="H776">
            <v>14.056756756756783</v>
          </cell>
          <cell r="I776" t="e">
            <v>#N/A</v>
          </cell>
          <cell r="J776" t="e">
            <v>#N/A</v>
          </cell>
          <cell r="K776" t="e">
            <v>#N/A</v>
          </cell>
          <cell r="L776" t="e">
            <v>#N/A</v>
          </cell>
          <cell r="M776" t="e">
            <v>#N/A</v>
          </cell>
          <cell r="N776" t="e">
            <v>#N/A</v>
          </cell>
          <cell r="O776" t="e">
            <v>#N/A</v>
          </cell>
          <cell r="P776">
            <v>14.52</v>
          </cell>
          <cell r="Q776" t="str">
            <v/>
          </cell>
          <cell r="R776" t="e">
            <v>#N/A</v>
          </cell>
        </row>
        <row r="777">
          <cell r="A777">
            <v>41089</v>
          </cell>
          <cell r="B777">
            <v>41089</v>
          </cell>
          <cell r="C777" t="str">
            <v>Future</v>
          </cell>
          <cell r="D777" t="e">
            <v>#N/A</v>
          </cell>
          <cell r="E777">
            <v>2.2716216216215752</v>
          </cell>
          <cell r="F777">
            <v>17.001351351351492</v>
          </cell>
          <cell r="G777">
            <v>14.055405405405432</v>
          </cell>
          <cell r="H777">
            <v>14.055405405405432</v>
          </cell>
          <cell r="I777" t="e">
            <v>#N/A</v>
          </cell>
          <cell r="J777" t="e">
            <v>#N/A</v>
          </cell>
          <cell r="K777" t="e">
            <v>#N/A</v>
          </cell>
          <cell r="L777" t="e">
            <v>#N/A</v>
          </cell>
          <cell r="M777" t="e">
            <v>#N/A</v>
          </cell>
          <cell r="N777" t="e">
            <v>#N/A</v>
          </cell>
          <cell r="O777" t="e">
            <v>#N/A</v>
          </cell>
          <cell r="P777">
            <v>14.52</v>
          </cell>
          <cell r="Q777" t="str">
            <v/>
          </cell>
          <cell r="R777" t="e">
            <v>#N/A</v>
          </cell>
        </row>
        <row r="778">
          <cell r="A778">
            <v>41092</v>
          </cell>
          <cell r="B778">
            <v>41092</v>
          </cell>
          <cell r="C778" t="str">
            <v>Future</v>
          </cell>
          <cell r="D778" t="e">
            <v>#N/A</v>
          </cell>
          <cell r="E778">
            <v>2.2162162162161696</v>
          </cell>
          <cell r="F778">
            <v>17.013513513513654</v>
          </cell>
          <cell r="G778">
            <v>14.054054054054081</v>
          </cell>
          <cell r="H778">
            <v>14.054054054054081</v>
          </cell>
          <cell r="I778" t="e">
            <v>#N/A</v>
          </cell>
          <cell r="J778" t="e">
            <v>#N/A</v>
          </cell>
          <cell r="K778" t="e">
            <v>#N/A</v>
          </cell>
          <cell r="L778" t="e">
            <v>#N/A</v>
          </cell>
          <cell r="M778" t="e">
            <v>#N/A</v>
          </cell>
          <cell r="N778" t="e">
            <v>#N/A</v>
          </cell>
          <cell r="O778" t="e">
            <v>#N/A</v>
          </cell>
          <cell r="P778">
            <v>14.52</v>
          </cell>
          <cell r="Q778" t="str">
            <v/>
          </cell>
          <cell r="R778" t="e">
            <v>#N/A</v>
          </cell>
        </row>
        <row r="779">
          <cell r="A779">
            <v>41093</v>
          </cell>
          <cell r="B779">
            <v>41093</v>
          </cell>
          <cell r="C779" t="str">
            <v>Future</v>
          </cell>
          <cell r="D779" t="e">
            <v>#N/A</v>
          </cell>
          <cell r="E779">
            <v>2.160810810810764</v>
          </cell>
          <cell r="F779">
            <v>17.025675675675817</v>
          </cell>
          <cell r="G779">
            <v>14.05270270270273</v>
          </cell>
          <cell r="H779">
            <v>14.05270270270273</v>
          </cell>
          <cell r="I779" t="e">
            <v>#N/A</v>
          </cell>
          <cell r="J779" t="e">
            <v>#N/A</v>
          </cell>
          <cell r="K779" t="e">
            <v>#N/A</v>
          </cell>
          <cell r="L779" t="e">
            <v>#N/A</v>
          </cell>
          <cell r="M779" t="e">
            <v>#N/A</v>
          </cell>
          <cell r="N779" t="e">
            <v>#N/A</v>
          </cell>
          <cell r="O779" t="e">
            <v>#N/A</v>
          </cell>
          <cell r="P779">
            <v>14.52</v>
          </cell>
          <cell r="Q779" t="str">
            <v/>
          </cell>
          <cell r="R779" t="e">
            <v>#N/A</v>
          </cell>
        </row>
        <row r="780">
          <cell r="A780">
            <v>41094</v>
          </cell>
          <cell r="B780">
            <v>41094</v>
          </cell>
          <cell r="C780" t="str">
            <v>Future</v>
          </cell>
          <cell r="D780" t="e">
            <v>#N/A</v>
          </cell>
          <cell r="E780">
            <v>2.1054054054053584</v>
          </cell>
          <cell r="F780">
            <v>17.03783783783798</v>
          </cell>
          <cell r="G780">
            <v>14.051351351351379</v>
          </cell>
          <cell r="H780">
            <v>14.051351351351379</v>
          </cell>
          <cell r="I780" t="e">
            <v>#N/A</v>
          </cell>
          <cell r="J780" t="e">
            <v>#N/A</v>
          </cell>
          <cell r="K780" t="e">
            <v>#N/A</v>
          </cell>
          <cell r="L780" t="e">
            <v>#N/A</v>
          </cell>
          <cell r="M780" t="e">
            <v>#N/A</v>
          </cell>
          <cell r="N780" t="e">
            <v>#N/A</v>
          </cell>
          <cell r="O780" t="e">
            <v>#N/A</v>
          </cell>
          <cell r="P780">
            <v>14.52</v>
          </cell>
          <cell r="Q780" t="str">
            <v/>
          </cell>
          <cell r="R780" t="e">
            <v>#N/A</v>
          </cell>
        </row>
        <row r="781">
          <cell r="A781">
            <v>41095</v>
          </cell>
          <cell r="B781">
            <v>41095</v>
          </cell>
          <cell r="C781" t="str">
            <v>Future</v>
          </cell>
          <cell r="D781" t="e">
            <v>#N/A</v>
          </cell>
          <cell r="E781">
            <v>2.0499999999999527</v>
          </cell>
          <cell r="F781">
            <v>17.050000000000143</v>
          </cell>
          <cell r="G781">
            <v>14.050000000000027</v>
          </cell>
          <cell r="H781">
            <v>14.050000000000027</v>
          </cell>
          <cell r="I781" t="e">
            <v>#N/A</v>
          </cell>
          <cell r="J781" t="e">
            <v>#N/A</v>
          </cell>
          <cell r="K781" t="e">
            <v>#N/A</v>
          </cell>
          <cell r="L781" t="e">
            <v>#N/A</v>
          </cell>
          <cell r="M781" t="e">
            <v>#N/A</v>
          </cell>
          <cell r="N781" t="e">
            <v>#N/A</v>
          </cell>
          <cell r="O781" t="e">
            <v>#N/A</v>
          </cell>
          <cell r="P781">
            <v>14.52</v>
          </cell>
          <cell r="Q781" t="str">
            <v/>
          </cell>
          <cell r="R781" t="e">
            <v>#N/A</v>
          </cell>
        </row>
        <row r="782">
          <cell r="A782">
            <v>41096</v>
          </cell>
          <cell r="B782">
            <v>41096</v>
          </cell>
          <cell r="C782" t="str">
            <v>Future</v>
          </cell>
          <cell r="D782" t="e">
            <v>#N/A</v>
          </cell>
          <cell r="E782">
            <v>1.9945945945945474</v>
          </cell>
          <cell r="F782">
            <v>17.062162162162306</v>
          </cell>
          <cell r="G782">
            <v>14.048648648648676</v>
          </cell>
          <cell r="H782">
            <v>14.048648648648676</v>
          </cell>
          <cell r="I782" t="e">
            <v>#N/A</v>
          </cell>
          <cell r="J782" t="e">
            <v>#N/A</v>
          </cell>
          <cell r="K782" t="e">
            <v>#N/A</v>
          </cell>
          <cell r="L782" t="e">
            <v>#N/A</v>
          </cell>
          <cell r="M782" t="e">
            <v>#N/A</v>
          </cell>
          <cell r="N782" t="e">
            <v>#N/A</v>
          </cell>
          <cell r="O782" t="e">
            <v>#N/A</v>
          </cell>
          <cell r="P782">
            <v>14.52</v>
          </cell>
          <cell r="Q782" t="str">
            <v/>
          </cell>
          <cell r="R782" t="e">
            <v>#N/A</v>
          </cell>
        </row>
        <row r="783">
          <cell r="A783">
            <v>41099</v>
          </cell>
          <cell r="B783">
            <v>41099</v>
          </cell>
          <cell r="C783" t="str">
            <v>Future</v>
          </cell>
          <cell r="D783" t="e">
            <v>#N/A</v>
          </cell>
          <cell r="E783">
            <v>1.939189189189142</v>
          </cell>
          <cell r="F783">
            <v>17.074324324324468</v>
          </cell>
          <cell r="G783">
            <v>14.047297297297325</v>
          </cell>
          <cell r="H783">
            <v>14.047297297297325</v>
          </cell>
          <cell r="I783" t="e">
            <v>#N/A</v>
          </cell>
          <cell r="J783" t="e">
            <v>#N/A</v>
          </cell>
          <cell r="K783" t="e">
            <v>#N/A</v>
          </cell>
          <cell r="L783" t="e">
            <v>#N/A</v>
          </cell>
          <cell r="M783" t="e">
            <v>#N/A</v>
          </cell>
          <cell r="N783" t="e">
            <v>#N/A</v>
          </cell>
          <cell r="O783" t="e">
            <v>#N/A</v>
          </cell>
          <cell r="P783">
            <v>14.52</v>
          </cell>
          <cell r="Q783" t="str">
            <v/>
          </cell>
          <cell r="R783" t="e">
            <v>#N/A</v>
          </cell>
        </row>
        <row r="784">
          <cell r="A784">
            <v>41100</v>
          </cell>
          <cell r="B784">
            <v>41100</v>
          </cell>
          <cell r="C784" t="str">
            <v>Future</v>
          </cell>
          <cell r="D784" t="e">
            <v>#N/A</v>
          </cell>
          <cell r="E784">
            <v>1.8837837837837366</v>
          </cell>
          <cell r="F784">
            <v>17.086486486486631</v>
          </cell>
          <cell r="G784">
            <v>14.045945945945974</v>
          </cell>
          <cell r="H784">
            <v>14.045945945945974</v>
          </cell>
          <cell r="I784" t="e">
            <v>#N/A</v>
          </cell>
          <cell r="J784" t="e">
            <v>#N/A</v>
          </cell>
          <cell r="K784" t="e">
            <v>#N/A</v>
          </cell>
          <cell r="L784" t="e">
            <v>#N/A</v>
          </cell>
          <cell r="M784" t="e">
            <v>#N/A</v>
          </cell>
          <cell r="N784" t="e">
            <v>#N/A</v>
          </cell>
          <cell r="O784" t="e">
            <v>#N/A</v>
          </cell>
          <cell r="P784">
            <v>14.52</v>
          </cell>
          <cell r="Q784" t="str">
            <v/>
          </cell>
          <cell r="R784" t="e">
            <v>#N/A</v>
          </cell>
        </row>
        <row r="785">
          <cell r="A785">
            <v>41101</v>
          </cell>
          <cell r="B785">
            <v>41101</v>
          </cell>
          <cell r="C785" t="str">
            <v>Future</v>
          </cell>
          <cell r="D785" t="e">
            <v>#N/A</v>
          </cell>
          <cell r="E785">
            <v>1.8283783783783312</v>
          </cell>
          <cell r="F785">
            <v>17.098648648648794</v>
          </cell>
          <cell r="G785">
            <v>14.044594594594622</v>
          </cell>
          <cell r="H785">
            <v>14.044594594594622</v>
          </cell>
          <cell r="I785" t="e">
            <v>#N/A</v>
          </cell>
          <cell r="J785" t="e">
            <v>#N/A</v>
          </cell>
          <cell r="K785" t="e">
            <v>#N/A</v>
          </cell>
          <cell r="L785" t="e">
            <v>#N/A</v>
          </cell>
          <cell r="M785" t="e">
            <v>#N/A</v>
          </cell>
          <cell r="N785" t="e">
            <v>#N/A</v>
          </cell>
          <cell r="O785" t="e">
            <v>#N/A</v>
          </cell>
          <cell r="P785">
            <v>14.52</v>
          </cell>
          <cell r="Q785" t="str">
            <v/>
          </cell>
          <cell r="R785" t="e">
            <v>#N/A</v>
          </cell>
        </row>
        <row r="786">
          <cell r="A786">
            <v>41102</v>
          </cell>
          <cell r="B786">
            <v>41102</v>
          </cell>
          <cell r="C786" t="str">
            <v>Future</v>
          </cell>
          <cell r="D786" t="e">
            <v>#N/A</v>
          </cell>
          <cell r="E786">
            <v>1.7729729729729258</v>
          </cell>
          <cell r="F786">
            <v>17.110810810810957</v>
          </cell>
          <cell r="G786">
            <v>14.043243243243271</v>
          </cell>
          <cell r="H786">
            <v>14.043243243243271</v>
          </cell>
          <cell r="I786" t="e">
            <v>#N/A</v>
          </cell>
          <cell r="J786" t="e">
            <v>#N/A</v>
          </cell>
          <cell r="K786" t="e">
            <v>#N/A</v>
          </cell>
          <cell r="L786" t="e">
            <v>#N/A</v>
          </cell>
          <cell r="M786" t="e">
            <v>#N/A</v>
          </cell>
          <cell r="N786" t="e">
            <v>#N/A</v>
          </cell>
          <cell r="O786" t="e">
            <v>#N/A</v>
          </cell>
          <cell r="P786">
            <v>14.52</v>
          </cell>
          <cell r="Q786" t="str">
            <v/>
          </cell>
          <cell r="R786" t="e">
            <v>#N/A</v>
          </cell>
        </row>
        <row r="787">
          <cell r="A787">
            <v>41103</v>
          </cell>
          <cell r="B787">
            <v>41103</v>
          </cell>
          <cell r="C787" t="str">
            <v>Future</v>
          </cell>
          <cell r="D787" t="e">
            <v>#N/A</v>
          </cell>
          <cell r="E787">
            <v>1.7175675675675204</v>
          </cell>
          <cell r="F787">
            <v>17.12297297297312</v>
          </cell>
          <cell r="G787">
            <v>14.04189189189192</v>
          </cell>
          <cell r="H787">
            <v>14.04189189189192</v>
          </cell>
          <cell r="I787" t="e">
            <v>#N/A</v>
          </cell>
          <cell r="J787" t="e">
            <v>#N/A</v>
          </cell>
          <cell r="K787" t="e">
            <v>#N/A</v>
          </cell>
          <cell r="L787" t="e">
            <v>#N/A</v>
          </cell>
          <cell r="M787" t="e">
            <v>#N/A</v>
          </cell>
          <cell r="N787" t="e">
            <v>#N/A</v>
          </cell>
          <cell r="O787" t="e">
            <v>#N/A</v>
          </cell>
          <cell r="P787">
            <v>14.52</v>
          </cell>
          <cell r="Q787" t="str">
            <v/>
          </cell>
          <cell r="R787" t="e">
            <v>#N/A</v>
          </cell>
        </row>
        <row r="788">
          <cell r="A788">
            <v>41106</v>
          </cell>
          <cell r="B788">
            <v>41106</v>
          </cell>
          <cell r="C788" t="str">
            <v>Future</v>
          </cell>
          <cell r="D788" t="e">
            <v>#N/A</v>
          </cell>
          <cell r="E788">
            <v>1.662162162162115</v>
          </cell>
          <cell r="F788">
            <v>17.135135135135283</v>
          </cell>
          <cell r="G788">
            <v>14.040540540540569</v>
          </cell>
          <cell r="H788">
            <v>14.040540540540569</v>
          </cell>
          <cell r="I788" t="e">
            <v>#N/A</v>
          </cell>
          <cell r="J788" t="e">
            <v>#N/A</v>
          </cell>
          <cell r="K788" t="e">
            <v>#N/A</v>
          </cell>
          <cell r="L788" t="e">
            <v>#N/A</v>
          </cell>
          <cell r="M788" t="e">
            <v>#N/A</v>
          </cell>
          <cell r="N788" t="e">
            <v>#N/A</v>
          </cell>
          <cell r="O788" t="e">
            <v>#N/A</v>
          </cell>
          <cell r="P788">
            <v>14.52</v>
          </cell>
          <cell r="Q788" t="str">
            <v/>
          </cell>
          <cell r="R788" t="e">
            <v>#N/A</v>
          </cell>
        </row>
        <row r="789">
          <cell r="A789">
            <v>41107</v>
          </cell>
          <cell r="B789">
            <v>41107</v>
          </cell>
          <cell r="C789" t="str">
            <v>Future</v>
          </cell>
          <cell r="D789" t="e">
            <v>#N/A</v>
          </cell>
          <cell r="E789">
            <v>1.6067567567567096</v>
          </cell>
          <cell r="F789">
            <v>17.147297297297445</v>
          </cell>
          <cell r="G789">
            <v>14.039189189189218</v>
          </cell>
          <cell r="H789">
            <v>14.039189189189218</v>
          </cell>
          <cell r="I789" t="e">
            <v>#N/A</v>
          </cell>
          <cell r="J789" t="e">
            <v>#N/A</v>
          </cell>
          <cell r="K789" t="e">
            <v>#N/A</v>
          </cell>
          <cell r="L789" t="e">
            <v>#N/A</v>
          </cell>
          <cell r="M789" t="e">
            <v>#N/A</v>
          </cell>
          <cell r="N789" t="e">
            <v>#N/A</v>
          </cell>
          <cell r="O789" t="e">
            <v>#N/A</v>
          </cell>
          <cell r="P789">
            <v>14.52</v>
          </cell>
          <cell r="Q789" t="str">
            <v/>
          </cell>
          <cell r="R789" t="e">
            <v>#N/A</v>
          </cell>
        </row>
        <row r="790">
          <cell r="A790">
            <v>41108</v>
          </cell>
          <cell r="B790">
            <v>41108</v>
          </cell>
          <cell r="C790" t="str">
            <v>Future</v>
          </cell>
          <cell r="D790" t="e">
            <v>#N/A</v>
          </cell>
          <cell r="E790">
            <v>1.5513513513513042</v>
          </cell>
          <cell r="F790">
            <v>17.159459459459608</v>
          </cell>
          <cell r="G790">
            <v>14.037837837837866</v>
          </cell>
          <cell r="H790">
            <v>14.037837837837866</v>
          </cell>
          <cell r="I790" t="e">
            <v>#N/A</v>
          </cell>
          <cell r="J790" t="e">
            <v>#N/A</v>
          </cell>
          <cell r="K790" t="e">
            <v>#N/A</v>
          </cell>
          <cell r="L790" t="e">
            <v>#N/A</v>
          </cell>
          <cell r="M790" t="e">
            <v>#N/A</v>
          </cell>
          <cell r="N790" t="e">
            <v>#N/A</v>
          </cell>
          <cell r="O790" t="e">
            <v>#N/A</v>
          </cell>
          <cell r="P790">
            <v>14.52</v>
          </cell>
          <cell r="Q790" t="str">
            <v/>
          </cell>
          <cell r="R790" t="e">
            <v>#N/A</v>
          </cell>
        </row>
        <row r="791">
          <cell r="A791">
            <v>41109</v>
          </cell>
          <cell r="B791">
            <v>41109</v>
          </cell>
          <cell r="C791" t="str">
            <v>Future</v>
          </cell>
          <cell r="D791" t="e">
            <v>#N/A</v>
          </cell>
          <cell r="E791">
            <v>1.4959459459458988</v>
          </cell>
          <cell r="F791">
            <v>17.171621621621771</v>
          </cell>
          <cell r="G791">
            <v>14.036486486486515</v>
          </cell>
          <cell r="H791">
            <v>14.036486486486515</v>
          </cell>
          <cell r="I791" t="e">
            <v>#N/A</v>
          </cell>
          <cell r="J791" t="e">
            <v>#N/A</v>
          </cell>
          <cell r="K791" t="e">
            <v>#N/A</v>
          </cell>
          <cell r="L791" t="e">
            <v>#N/A</v>
          </cell>
          <cell r="M791" t="e">
            <v>#N/A</v>
          </cell>
          <cell r="N791" t="e">
            <v>#N/A</v>
          </cell>
          <cell r="O791" t="e">
            <v>#N/A</v>
          </cell>
          <cell r="P791">
            <v>14.52</v>
          </cell>
          <cell r="Q791" t="str">
            <v/>
          </cell>
          <cell r="R791" t="e">
            <v>#N/A</v>
          </cell>
        </row>
        <row r="792">
          <cell r="A792">
            <v>41110</v>
          </cell>
          <cell r="B792">
            <v>41110</v>
          </cell>
          <cell r="C792" t="str">
            <v>Future</v>
          </cell>
          <cell r="D792" t="e">
            <v>#N/A</v>
          </cell>
          <cell r="E792">
            <v>1.4405405405404934</v>
          </cell>
          <cell r="F792">
            <v>17.183783783783934</v>
          </cell>
          <cell r="G792">
            <v>14.035135135135164</v>
          </cell>
          <cell r="H792">
            <v>14.035135135135164</v>
          </cell>
          <cell r="I792" t="e">
            <v>#N/A</v>
          </cell>
          <cell r="J792" t="e">
            <v>#N/A</v>
          </cell>
          <cell r="K792" t="e">
            <v>#N/A</v>
          </cell>
          <cell r="L792" t="e">
            <v>#N/A</v>
          </cell>
          <cell r="M792" t="e">
            <v>#N/A</v>
          </cell>
          <cell r="N792" t="e">
            <v>#N/A</v>
          </cell>
          <cell r="O792" t="e">
            <v>#N/A</v>
          </cell>
          <cell r="P792">
            <v>14.52</v>
          </cell>
          <cell r="Q792" t="str">
            <v/>
          </cell>
          <cell r="R792" t="e">
            <v>#N/A</v>
          </cell>
        </row>
        <row r="793">
          <cell r="A793">
            <v>41113</v>
          </cell>
          <cell r="B793">
            <v>41113</v>
          </cell>
          <cell r="C793" t="str">
            <v>Future</v>
          </cell>
          <cell r="D793" t="e">
            <v>#N/A</v>
          </cell>
          <cell r="E793">
            <v>1.385135135135088</v>
          </cell>
          <cell r="F793">
            <v>17.195945945946097</v>
          </cell>
          <cell r="G793">
            <v>14.033783783783813</v>
          </cell>
          <cell r="H793">
            <v>14.033783783783813</v>
          </cell>
          <cell r="I793" t="e">
            <v>#N/A</v>
          </cell>
          <cell r="J793" t="e">
            <v>#N/A</v>
          </cell>
          <cell r="K793" t="e">
            <v>#N/A</v>
          </cell>
          <cell r="L793" t="e">
            <v>#N/A</v>
          </cell>
          <cell r="M793" t="e">
            <v>#N/A</v>
          </cell>
          <cell r="N793" t="e">
            <v>#N/A</v>
          </cell>
          <cell r="O793" t="e">
            <v>#N/A</v>
          </cell>
          <cell r="P793">
            <v>14.52</v>
          </cell>
          <cell r="Q793" t="str">
            <v/>
          </cell>
          <cell r="R793" t="e">
            <v>#N/A</v>
          </cell>
        </row>
        <row r="794">
          <cell r="A794">
            <v>41114</v>
          </cell>
          <cell r="B794">
            <v>41114</v>
          </cell>
          <cell r="C794" t="str">
            <v>Future</v>
          </cell>
          <cell r="D794" t="e">
            <v>#N/A</v>
          </cell>
          <cell r="E794">
            <v>1.3297297297296826</v>
          </cell>
          <cell r="F794">
            <v>17.208108108108259</v>
          </cell>
          <cell r="G794">
            <v>14.032432432432461</v>
          </cell>
          <cell r="H794">
            <v>14.032432432432461</v>
          </cell>
          <cell r="I794" t="e">
            <v>#N/A</v>
          </cell>
          <cell r="J794" t="e">
            <v>#N/A</v>
          </cell>
          <cell r="K794" t="e">
            <v>#N/A</v>
          </cell>
          <cell r="L794" t="e">
            <v>#N/A</v>
          </cell>
          <cell r="M794" t="e">
            <v>#N/A</v>
          </cell>
          <cell r="N794" t="e">
            <v>#N/A</v>
          </cell>
          <cell r="O794" t="e">
            <v>#N/A</v>
          </cell>
          <cell r="P794">
            <v>14.52</v>
          </cell>
          <cell r="Q794" t="str">
            <v/>
          </cell>
          <cell r="R794" t="e">
            <v>#N/A</v>
          </cell>
        </row>
        <row r="795">
          <cell r="A795">
            <v>41115</v>
          </cell>
          <cell r="B795">
            <v>41115</v>
          </cell>
          <cell r="C795" t="str">
            <v>Future</v>
          </cell>
          <cell r="D795" t="e">
            <v>#N/A</v>
          </cell>
          <cell r="E795">
            <v>1.2743243243242772</v>
          </cell>
          <cell r="F795">
            <v>17.220270270270422</v>
          </cell>
          <cell r="G795">
            <v>14.03108108108111</v>
          </cell>
          <cell r="H795">
            <v>14.03108108108111</v>
          </cell>
          <cell r="I795" t="e">
            <v>#N/A</v>
          </cell>
          <cell r="J795" t="e">
            <v>#N/A</v>
          </cell>
          <cell r="K795" t="e">
            <v>#N/A</v>
          </cell>
          <cell r="L795" t="e">
            <v>#N/A</v>
          </cell>
          <cell r="M795" t="e">
            <v>#N/A</v>
          </cell>
          <cell r="N795" t="e">
            <v>#N/A</v>
          </cell>
          <cell r="O795" t="e">
            <v>#N/A</v>
          </cell>
          <cell r="P795">
            <v>14.52</v>
          </cell>
          <cell r="Q795" t="str">
            <v/>
          </cell>
          <cell r="R795" t="e">
            <v>#N/A</v>
          </cell>
        </row>
        <row r="796">
          <cell r="A796">
            <v>41116</v>
          </cell>
          <cell r="B796">
            <v>41116</v>
          </cell>
          <cell r="C796" t="str">
            <v>Future</v>
          </cell>
          <cell r="D796" t="e">
            <v>#N/A</v>
          </cell>
          <cell r="E796">
            <v>1.2189189189188718</v>
          </cell>
          <cell r="F796">
            <v>17.232432432432585</v>
          </cell>
          <cell r="G796">
            <v>14.029729729729759</v>
          </cell>
          <cell r="H796">
            <v>14.029729729729759</v>
          </cell>
          <cell r="I796" t="e">
            <v>#N/A</v>
          </cell>
          <cell r="J796" t="e">
            <v>#N/A</v>
          </cell>
          <cell r="K796" t="e">
            <v>#N/A</v>
          </cell>
          <cell r="L796" t="e">
            <v>#N/A</v>
          </cell>
          <cell r="M796" t="e">
            <v>#N/A</v>
          </cell>
          <cell r="N796" t="e">
            <v>#N/A</v>
          </cell>
          <cell r="O796" t="e">
            <v>#N/A</v>
          </cell>
          <cell r="P796">
            <v>14.52</v>
          </cell>
          <cell r="Q796" t="str">
            <v/>
          </cell>
          <cell r="R796" t="e">
            <v>#N/A</v>
          </cell>
        </row>
        <row r="797">
          <cell r="A797">
            <v>41117</v>
          </cell>
          <cell r="B797">
            <v>41117</v>
          </cell>
          <cell r="C797" t="str">
            <v>Future</v>
          </cell>
          <cell r="D797" t="e">
            <v>#N/A</v>
          </cell>
          <cell r="E797">
            <v>1.1635135135134664</v>
          </cell>
          <cell r="F797">
            <v>17.244594594594748</v>
          </cell>
          <cell r="G797">
            <v>14.028378378378408</v>
          </cell>
          <cell r="H797">
            <v>14.028378378378408</v>
          </cell>
          <cell r="I797" t="e">
            <v>#N/A</v>
          </cell>
          <cell r="J797" t="e">
            <v>#N/A</v>
          </cell>
          <cell r="K797" t="e">
            <v>#N/A</v>
          </cell>
          <cell r="L797" t="e">
            <v>#N/A</v>
          </cell>
          <cell r="M797" t="e">
            <v>#N/A</v>
          </cell>
          <cell r="N797" t="e">
            <v>#N/A</v>
          </cell>
          <cell r="O797" t="e">
            <v>#N/A</v>
          </cell>
          <cell r="P797">
            <v>14.52</v>
          </cell>
          <cell r="Q797" t="str">
            <v/>
          </cell>
          <cell r="R797" t="e">
            <v>#N/A</v>
          </cell>
        </row>
        <row r="798">
          <cell r="A798">
            <v>41120</v>
          </cell>
          <cell r="B798">
            <v>41120</v>
          </cell>
          <cell r="C798" t="str">
            <v>Future</v>
          </cell>
          <cell r="D798" t="e">
            <v>#N/A</v>
          </cell>
          <cell r="E798">
            <v>1.108108108108061</v>
          </cell>
          <cell r="F798">
            <v>17.256756756756911</v>
          </cell>
          <cell r="G798">
            <v>14.027027027027057</v>
          </cell>
          <cell r="H798">
            <v>14.027027027027057</v>
          </cell>
          <cell r="I798" t="e">
            <v>#N/A</v>
          </cell>
          <cell r="J798" t="e">
            <v>#N/A</v>
          </cell>
          <cell r="K798" t="e">
            <v>#N/A</v>
          </cell>
          <cell r="L798" t="e">
            <v>#N/A</v>
          </cell>
          <cell r="M798" t="e">
            <v>#N/A</v>
          </cell>
          <cell r="N798" t="e">
            <v>#N/A</v>
          </cell>
          <cell r="O798" t="e">
            <v>#N/A</v>
          </cell>
          <cell r="P798">
            <v>14.52</v>
          </cell>
          <cell r="Q798" t="str">
            <v/>
          </cell>
          <cell r="R798" t="e">
            <v>#N/A</v>
          </cell>
        </row>
        <row r="799">
          <cell r="A799">
            <v>41121</v>
          </cell>
          <cell r="B799">
            <v>41121</v>
          </cell>
          <cell r="C799" t="str">
            <v>Future</v>
          </cell>
          <cell r="D799" t="e">
            <v>#N/A</v>
          </cell>
          <cell r="E799">
            <v>1.0527027027026556</v>
          </cell>
          <cell r="F799">
            <v>17.268918918919073</v>
          </cell>
          <cell r="G799">
            <v>14.025675675675705</v>
          </cell>
          <cell r="H799">
            <v>14.025675675675705</v>
          </cell>
          <cell r="I799" t="e">
            <v>#N/A</v>
          </cell>
          <cell r="J799" t="e">
            <v>#N/A</v>
          </cell>
          <cell r="K799" t="e">
            <v>#N/A</v>
          </cell>
          <cell r="L799" t="e">
            <v>#N/A</v>
          </cell>
          <cell r="M799" t="e">
            <v>#N/A</v>
          </cell>
          <cell r="N799" t="e">
            <v>#N/A</v>
          </cell>
          <cell r="O799" t="e">
            <v>#N/A</v>
          </cell>
          <cell r="P799">
            <v>14.52</v>
          </cell>
          <cell r="Q799" t="str">
            <v/>
          </cell>
          <cell r="R799" t="e">
            <v>#N/A</v>
          </cell>
        </row>
        <row r="800">
          <cell r="A800">
            <v>41122</v>
          </cell>
          <cell r="B800">
            <v>41122</v>
          </cell>
          <cell r="C800" t="str">
            <v>Future</v>
          </cell>
          <cell r="D800" t="e">
            <v>#N/A</v>
          </cell>
          <cell r="E800">
            <v>0.99729729729725025</v>
          </cell>
          <cell r="F800">
            <v>17.281081081081236</v>
          </cell>
          <cell r="G800">
            <v>14.024324324324354</v>
          </cell>
          <cell r="H800">
            <v>14.024324324324354</v>
          </cell>
          <cell r="I800" t="e">
            <v>#N/A</v>
          </cell>
          <cell r="J800" t="e">
            <v>#N/A</v>
          </cell>
          <cell r="K800" t="e">
            <v>#N/A</v>
          </cell>
          <cell r="L800" t="e">
            <v>#N/A</v>
          </cell>
          <cell r="M800" t="e">
            <v>#N/A</v>
          </cell>
          <cell r="N800" t="e">
            <v>#N/A</v>
          </cell>
          <cell r="O800" t="e">
            <v>#N/A</v>
          </cell>
          <cell r="P800">
            <v>14.52</v>
          </cell>
          <cell r="Q800" t="str">
            <v/>
          </cell>
          <cell r="R800" t="e">
            <v>#N/A</v>
          </cell>
        </row>
        <row r="801">
          <cell r="A801">
            <v>41123</v>
          </cell>
          <cell r="B801">
            <v>41123</v>
          </cell>
          <cell r="C801" t="str">
            <v>Future</v>
          </cell>
          <cell r="D801" t="e">
            <v>#N/A</v>
          </cell>
          <cell r="E801">
            <v>0.94189189189184486</v>
          </cell>
          <cell r="F801">
            <v>17.293243243243399</v>
          </cell>
          <cell r="G801">
            <v>14.022972972973003</v>
          </cell>
          <cell r="H801">
            <v>14.022972972973003</v>
          </cell>
          <cell r="I801" t="e">
            <v>#N/A</v>
          </cell>
          <cell r="J801" t="e">
            <v>#N/A</v>
          </cell>
          <cell r="K801" t="e">
            <v>#N/A</v>
          </cell>
          <cell r="L801" t="e">
            <v>#N/A</v>
          </cell>
          <cell r="M801" t="e">
            <v>#N/A</v>
          </cell>
          <cell r="N801" t="e">
            <v>#N/A</v>
          </cell>
          <cell r="O801" t="e">
            <v>#N/A</v>
          </cell>
          <cell r="P801">
            <v>14.52</v>
          </cell>
          <cell r="Q801" t="str">
            <v/>
          </cell>
          <cell r="R801" t="e">
            <v>#N/A</v>
          </cell>
        </row>
        <row r="802">
          <cell r="A802">
            <v>41124</v>
          </cell>
          <cell r="B802">
            <v>41124</v>
          </cell>
          <cell r="C802" t="str">
            <v>Future</v>
          </cell>
          <cell r="D802" t="e">
            <v>#N/A</v>
          </cell>
          <cell r="E802">
            <v>0.88648648648643946</v>
          </cell>
          <cell r="F802">
            <v>17.305405405405562</v>
          </cell>
          <cell r="G802">
            <v>14.021621621621652</v>
          </cell>
          <cell r="H802">
            <v>14.021621621621652</v>
          </cell>
          <cell r="I802" t="e">
            <v>#N/A</v>
          </cell>
          <cell r="J802" t="e">
            <v>#N/A</v>
          </cell>
          <cell r="K802" t="e">
            <v>#N/A</v>
          </cell>
          <cell r="L802" t="e">
            <v>#N/A</v>
          </cell>
          <cell r="M802" t="e">
            <v>#N/A</v>
          </cell>
          <cell r="N802" t="e">
            <v>#N/A</v>
          </cell>
          <cell r="O802" t="e">
            <v>#N/A</v>
          </cell>
          <cell r="P802">
            <v>14.52</v>
          </cell>
          <cell r="Q802" t="str">
            <v/>
          </cell>
          <cell r="R802" t="e">
            <v>#N/A</v>
          </cell>
        </row>
        <row r="803">
          <cell r="A803">
            <v>41127</v>
          </cell>
          <cell r="B803">
            <v>41127</v>
          </cell>
          <cell r="C803" t="str">
            <v>Future</v>
          </cell>
          <cell r="D803" t="e">
            <v>#N/A</v>
          </cell>
          <cell r="E803">
            <v>0.83108108108103407</v>
          </cell>
          <cell r="F803">
            <v>17.317567567567725</v>
          </cell>
          <cell r="G803">
            <v>14.0202702702703</v>
          </cell>
          <cell r="H803">
            <v>14.0202702702703</v>
          </cell>
          <cell r="I803" t="e">
            <v>#N/A</v>
          </cell>
          <cell r="J803" t="e">
            <v>#N/A</v>
          </cell>
          <cell r="K803" t="e">
            <v>#N/A</v>
          </cell>
          <cell r="L803" t="e">
            <v>#N/A</v>
          </cell>
          <cell r="M803" t="e">
            <v>#N/A</v>
          </cell>
          <cell r="N803" t="e">
            <v>#N/A</v>
          </cell>
          <cell r="O803" t="e">
            <v>#N/A</v>
          </cell>
          <cell r="P803">
            <v>14.52</v>
          </cell>
          <cell r="Q803" t="str">
            <v/>
          </cell>
          <cell r="R803" t="e">
            <v>#N/A</v>
          </cell>
        </row>
        <row r="804">
          <cell r="A804">
            <v>41128</v>
          </cell>
          <cell r="B804">
            <v>41128</v>
          </cell>
          <cell r="C804" t="str">
            <v>Future</v>
          </cell>
          <cell r="D804" t="e">
            <v>#N/A</v>
          </cell>
          <cell r="E804">
            <v>0.77567567567562867</v>
          </cell>
          <cell r="F804">
            <v>17.329729729729888</v>
          </cell>
          <cell r="G804">
            <v>14.018918918918949</v>
          </cell>
          <cell r="H804">
            <v>14.018918918918949</v>
          </cell>
          <cell r="I804" t="e">
            <v>#N/A</v>
          </cell>
          <cell r="J804" t="e">
            <v>#N/A</v>
          </cell>
          <cell r="K804" t="e">
            <v>#N/A</v>
          </cell>
          <cell r="L804" t="e">
            <v>#N/A</v>
          </cell>
          <cell r="M804" t="e">
            <v>#N/A</v>
          </cell>
          <cell r="N804" t="e">
            <v>#N/A</v>
          </cell>
          <cell r="O804" t="e">
            <v>#N/A</v>
          </cell>
          <cell r="P804">
            <v>14.52</v>
          </cell>
          <cell r="Q804" t="str">
            <v/>
          </cell>
          <cell r="R804" t="e">
            <v>#N/A</v>
          </cell>
        </row>
        <row r="805">
          <cell r="A805">
            <v>41129</v>
          </cell>
          <cell r="B805">
            <v>41129</v>
          </cell>
          <cell r="C805" t="str">
            <v>Future</v>
          </cell>
          <cell r="D805" t="e">
            <v>#N/A</v>
          </cell>
          <cell r="E805">
            <v>0.72027027027022328</v>
          </cell>
          <cell r="F805">
            <v>17.34189189189205</v>
          </cell>
          <cell r="G805">
            <v>14.017567567567598</v>
          </cell>
          <cell r="H805">
            <v>14.017567567567598</v>
          </cell>
          <cell r="I805" t="e">
            <v>#N/A</v>
          </cell>
          <cell r="J805" t="e">
            <v>#N/A</v>
          </cell>
          <cell r="K805" t="e">
            <v>#N/A</v>
          </cell>
          <cell r="L805" t="e">
            <v>#N/A</v>
          </cell>
          <cell r="M805" t="e">
            <v>#N/A</v>
          </cell>
          <cell r="N805" t="e">
            <v>#N/A</v>
          </cell>
          <cell r="O805" t="e">
            <v>#N/A</v>
          </cell>
          <cell r="P805">
            <v>14.52</v>
          </cell>
          <cell r="Q805" t="str">
            <v/>
          </cell>
          <cell r="R805" t="e">
            <v>#N/A</v>
          </cell>
        </row>
        <row r="806">
          <cell r="A806">
            <v>41130</v>
          </cell>
          <cell r="B806">
            <v>41130</v>
          </cell>
          <cell r="C806" t="str">
            <v>Future</v>
          </cell>
          <cell r="D806" t="e">
            <v>#N/A</v>
          </cell>
          <cell r="E806">
            <v>0.66486486486481788</v>
          </cell>
          <cell r="F806">
            <v>17.354054054054213</v>
          </cell>
          <cell r="G806">
            <v>14.016216216216247</v>
          </cell>
          <cell r="H806">
            <v>14.016216216216247</v>
          </cell>
          <cell r="I806" t="e">
            <v>#N/A</v>
          </cell>
          <cell r="J806" t="e">
            <v>#N/A</v>
          </cell>
          <cell r="K806" t="e">
            <v>#N/A</v>
          </cell>
          <cell r="L806" t="e">
            <v>#N/A</v>
          </cell>
          <cell r="M806" t="e">
            <v>#N/A</v>
          </cell>
          <cell r="N806" t="e">
            <v>#N/A</v>
          </cell>
          <cell r="O806" t="e">
            <v>#N/A</v>
          </cell>
          <cell r="P806">
            <v>14.52</v>
          </cell>
          <cell r="Q806" t="str">
            <v/>
          </cell>
          <cell r="R806" t="e">
            <v>#N/A</v>
          </cell>
        </row>
        <row r="807">
          <cell r="A807">
            <v>41131</v>
          </cell>
          <cell r="B807">
            <v>41131</v>
          </cell>
          <cell r="C807" t="str">
            <v>Future</v>
          </cell>
          <cell r="D807" t="e">
            <v>#N/A</v>
          </cell>
          <cell r="E807">
            <v>0.60945945945941249</v>
          </cell>
          <cell r="F807">
            <v>17.366216216216376</v>
          </cell>
          <cell r="G807">
            <v>14.014864864864895</v>
          </cell>
          <cell r="H807">
            <v>14.014864864864895</v>
          </cell>
          <cell r="I807" t="e">
            <v>#N/A</v>
          </cell>
          <cell r="J807" t="e">
            <v>#N/A</v>
          </cell>
          <cell r="K807" t="e">
            <v>#N/A</v>
          </cell>
          <cell r="L807" t="e">
            <v>#N/A</v>
          </cell>
          <cell r="M807" t="e">
            <v>#N/A</v>
          </cell>
          <cell r="N807" t="e">
            <v>#N/A</v>
          </cell>
          <cell r="O807" t="e">
            <v>#N/A</v>
          </cell>
          <cell r="P807">
            <v>14.52</v>
          </cell>
          <cell r="Q807" t="str">
            <v/>
          </cell>
          <cell r="R807" t="e">
            <v>#N/A</v>
          </cell>
        </row>
        <row r="808">
          <cell r="A808">
            <v>41134</v>
          </cell>
          <cell r="B808">
            <v>41134</v>
          </cell>
          <cell r="C808" t="str">
            <v>Future</v>
          </cell>
          <cell r="D808" t="e">
            <v>#N/A</v>
          </cell>
          <cell r="E808">
            <v>0.55405405405400709</v>
          </cell>
          <cell r="F808">
            <v>17.378378378378539</v>
          </cell>
          <cell r="G808">
            <v>14.013513513513544</v>
          </cell>
          <cell r="H808">
            <v>14.013513513513544</v>
          </cell>
          <cell r="I808" t="e">
            <v>#N/A</v>
          </cell>
          <cell r="J808" t="e">
            <v>#N/A</v>
          </cell>
          <cell r="K808" t="e">
            <v>#N/A</v>
          </cell>
          <cell r="L808" t="e">
            <v>#N/A</v>
          </cell>
          <cell r="M808" t="e">
            <v>#N/A</v>
          </cell>
          <cell r="N808" t="e">
            <v>#N/A</v>
          </cell>
          <cell r="O808" t="e">
            <v>#N/A</v>
          </cell>
          <cell r="P808">
            <v>14.52</v>
          </cell>
          <cell r="Q808" t="str">
            <v/>
          </cell>
          <cell r="R808" t="e">
            <v>#N/A</v>
          </cell>
        </row>
        <row r="809">
          <cell r="A809">
            <v>41135</v>
          </cell>
          <cell r="B809">
            <v>41135</v>
          </cell>
          <cell r="C809" t="str">
            <v>Future</v>
          </cell>
          <cell r="D809" t="e">
            <v>#N/A</v>
          </cell>
          <cell r="E809">
            <v>0.4986486486486017</v>
          </cell>
          <cell r="F809">
            <v>17.390540540540702</v>
          </cell>
          <cell r="G809">
            <v>14.012162162162193</v>
          </cell>
          <cell r="H809">
            <v>14.012162162162193</v>
          </cell>
          <cell r="I809" t="e">
            <v>#N/A</v>
          </cell>
          <cell r="J809" t="e">
            <v>#N/A</v>
          </cell>
          <cell r="K809" t="e">
            <v>#N/A</v>
          </cell>
          <cell r="L809" t="e">
            <v>#N/A</v>
          </cell>
          <cell r="M809" t="e">
            <v>#N/A</v>
          </cell>
          <cell r="N809" t="e">
            <v>#N/A</v>
          </cell>
          <cell r="O809" t="e">
            <v>#N/A</v>
          </cell>
          <cell r="P809">
            <v>14.52</v>
          </cell>
          <cell r="Q809" t="str">
            <v/>
          </cell>
          <cell r="R809" t="e">
            <v>#N/A</v>
          </cell>
        </row>
        <row r="810">
          <cell r="A810">
            <v>41136</v>
          </cell>
          <cell r="B810">
            <v>41136</v>
          </cell>
          <cell r="C810" t="str">
            <v>Future</v>
          </cell>
          <cell r="D810" t="e">
            <v>#N/A</v>
          </cell>
          <cell r="E810">
            <v>0.44324324324319631</v>
          </cell>
          <cell r="F810">
            <v>17.402702702702864</v>
          </cell>
          <cell r="G810">
            <v>14.010810810810842</v>
          </cell>
          <cell r="H810">
            <v>14.010810810810842</v>
          </cell>
          <cell r="I810" t="e">
            <v>#N/A</v>
          </cell>
          <cell r="J810" t="e">
            <v>#N/A</v>
          </cell>
          <cell r="K810" t="e">
            <v>#N/A</v>
          </cell>
          <cell r="L810" t="e">
            <v>#N/A</v>
          </cell>
          <cell r="M810" t="e">
            <v>#N/A</v>
          </cell>
          <cell r="N810" t="e">
            <v>#N/A</v>
          </cell>
          <cell r="O810" t="e">
            <v>#N/A</v>
          </cell>
          <cell r="P810">
            <v>14.52</v>
          </cell>
          <cell r="Q810" t="str">
            <v/>
          </cell>
          <cell r="R810" t="e">
            <v>#N/A</v>
          </cell>
        </row>
        <row r="811">
          <cell r="A811">
            <v>41137</v>
          </cell>
          <cell r="B811">
            <v>41137</v>
          </cell>
          <cell r="C811" t="str">
            <v>Future</v>
          </cell>
          <cell r="D811" t="e">
            <v>#N/A</v>
          </cell>
          <cell r="E811">
            <v>0.38783783783779091</v>
          </cell>
          <cell r="F811">
            <v>17.414864864865027</v>
          </cell>
          <cell r="G811">
            <v>14.009459459459491</v>
          </cell>
          <cell r="H811">
            <v>14.009459459459491</v>
          </cell>
          <cell r="I811" t="e">
            <v>#N/A</v>
          </cell>
          <cell r="J811" t="e">
            <v>#N/A</v>
          </cell>
          <cell r="K811" t="e">
            <v>#N/A</v>
          </cell>
          <cell r="L811" t="e">
            <v>#N/A</v>
          </cell>
          <cell r="M811" t="e">
            <v>#N/A</v>
          </cell>
          <cell r="N811" t="e">
            <v>#N/A</v>
          </cell>
          <cell r="O811" t="e">
            <v>#N/A</v>
          </cell>
          <cell r="P811">
            <v>14.52</v>
          </cell>
          <cell r="Q811" t="str">
            <v/>
          </cell>
          <cell r="R811" t="e">
            <v>#N/A</v>
          </cell>
        </row>
        <row r="812">
          <cell r="A812">
            <v>41138</v>
          </cell>
          <cell r="B812">
            <v>41138</v>
          </cell>
          <cell r="C812" t="str">
            <v>Future</v>
          </cell>
          <cell r="D812" t="e">
            <v>#N/A</v>
          </cell>
          <cell r="E812">
            <v>0.33243243243238552</v>
          </cell>
          <cell r="F812">
            <v>17.42702702702719</v>
          </cell>
          <cell r="G812">
            <v>14.008108108108139</v>
          </cell>
          <cell r="H812">
            <v>14.008108108108139</v>
          </cell>
          <cell r="I812" t="e">
            <v>#N/A</v>
          </cell>
          <cell r="J812" t="e">
            <v>#N/A</v>
          </cell>
          <cell r="K812" t="e">
            <v>#N/A</v>
          </cell>
          <cell r="L812" t="e">
            <v>#N/A</v>
          </cell>
          <cell r="M812" t="e">
            <v>#N/A</v>
          </cell>
          <cell r="N812" t="e">
            <v>#N/A</v>
          </cell>
          <cell r="O812" t="e">
            <v>#N/A</v>
          </cell>
          <cell r="P812">
            <v>14.52</v>
          </cell>
          <cell r="Q812" t="str">
            <v/>
          </cell>
          <cell r="R812" t="e">
            <v>#N/A</v>
          </cell>
        </row>
        <row r="813">
          <cell r="A813">
            <v>41141</v>
          </cell>
          <cell r="B813">
            <v>41141</v>
          </cell>
          <cell r="C813" t="str">
            <v>Future</v>
          </cell>
          <cell r="D813" t="e">
            <v>#N/A</v>
          </cell>
          <cell r="E813">
            <v>0.27702702702698012</v>
          </cell>
          <cell r="F813">
            <v>17.439189189189353</v>
          </cell>
          <cell r="G813">
            <v>14.006756756756788</v>
          </cell>
          <cell r="H813">
            <v>14.006756756756788</v>
          </cell>
          <cell r="I813" t="e">
            <v>#N/A</v>
          </cell>
          <cell r="J813" t="e">
            <v>#N/A</v>
          </cell>
          <cell r="K813" t="e">
            <v>#N/A</v>
          </cell>
          <cell r="L813" t="e">
            <v>#N/A</v>
          </cell>
          <cell r="M813" t="e">
            <v>#N/A</v>
          </cell>
          <cell r="N813" t="e">
            <v>#N/A</v>
          </cell>
          <cell r="O813" t="e">
            <v>#N/A</v>
          </cell>
          <cell r="P813">
            <v>14.52</v>
          </cell>
          <cell r="Q813" t="str">
            <v/>
          </cell>
          <cell r="R813" t="e">
            <v>#N/A</v>
          </cell>
        </row>
        <row r="814">
          <cell r="A814">
            <v>41142</v>
          </cell>
          <cell r="B814">
            <v>41142</v>
          </cell>
          <cell r="C814" t="str">
            <v>Future</v>
          </cell>
          <cell r="D814" t="e">
            <v>#N/A</v>
          </cell>
          <cell r="E814">
            <v>0.22162162162157473</v>
          </cell>
          <cell r="F814">
            <v>17.451351351351516</v>
          </cell>
          <cell r="G814">
            <v>14.005405405405437</v>
          </cell>
          <cell r="H814">
            <v>14.005405405405437</v>
          </cell>
          <cell r="I814" t="e">
            <v>#N/A</v>
          </cell>
          <cell r="J814" t="e">
            <v>#N/A</v>
          </cell>
          <cell r="K814" t="e">
            <v>#N/A</v>
          </cell>
          <cell r="L814" t="e">
            <v>#N/A</v>
          </cell>
          <cell r="M814" t="e">
            <v>#N/A</v>
          </cell>
          <cell r="N814" t="e">
            <v>#N/A</v>
          </cell>
          <cell r="O814" t="e">
            <v>#N/A</v>
          </cell>
          <cell r="P814">
            <v>14.52</v>
          </cell>
          <cell r="Q814" t="str">
            <v/>
          </cell>
          <cell r="R814" t="e">
            <v>#N/A</v>
          </cell>
        </row>
        <row r="815">
          <cell r="A815">
            <v>41143</v>
          </cell>
          <cell r="B815">
            <v>41143</v>
          </cell>
          <cell r="C815" t="str">
            <v>Future</v>
          </cell>
          <cell r="D815" t="e">
            <v>#N/A</v>
          </cell>
          <cell r="E815">
            <v>0.16621621621616933</v>
          </cell>
          <cell r="F815">
            <v>17.463513513513679</v>
          </cell>
          <cell r="G815">
            <v>14.004054054054086</v>
          </cell>
          <cell r="H815">
            <v>14.004054054054086</v>
          </cell>
          <cell r="I815" t="e">
            <v>#N/A</v>
          </cell>
          <cell r="J815" t="e">
            <v>#N/A</v>
          </cell>
          <cell r="K815" t="e">
            <v>#N/A</v>
          </cell>
          <cell r="L815" t="e">
            <v>#N/A</v>
          </cell>
          <cell r="M815" t="e">
            <v>#N/A</v>
          </cell>
          <cell r="N815" t="e">
            <v>#N/A</v>
          </cell>
          <cell r="O815" t="e">
            <v>#N/A</v>
          </cell>
          <cell r="P815">
            <v>14.52</v>
          </cell>
          <cell r="Q815" t="str">
            <v/>
          </cell>
          <cell r="R815" t="e">
            <v>#N/A</v>
          </cell>
        </row>
        <row r="816">
          <cell r="A816">
            <v>41144</v>
          </cell>
          <cell r="B816">
            <v>41144</v>
          </cell>
          <cell r="C816" t="str">
            <v>Future</v>
          </cell>
          <cell r="D816" t="e">
            <v>#N/A</v>
          </cell>
          <cell r="E816">
            <v>0.11081081081076394</v>
          </cell>
          <cell r="F816">
            <v>17.475675675675841</v>
          </cell>
          <cell r="G816">
            <v>14.002702702702734</v>
          </cell>
          <cell r="H816">
            <v>14.002702702702734</v>
          </cell>
          <cell r="I816" t="e">
            <v>#N/A</v>
          </cell>
          <cell r="J816" t="e">
            <v>#N/A</v>
          </cell>
          <cell r="K816" t="e">
            <v>#N/A</v>
          </cell>
          <cell r="L816" t="e">
            <v>#N/A</v>
          </cell>
          <cell r="M816" t="e">
            <v>#N/A</v>
          </cell>
          <cell r="N816" t="e">
            <v>#N/A</v>
          </cell>
          <cell r="O816" t="e">
            <v>#N/A</v>
          </cell>
          <cell r="P816">
            <v>14.52</v>
          </cell>
          <cell r="Q816" t="str">
            <v/>
          </cell>
          <cell r="R816" t="e">
            <v>#N/A</v>
          </cell>
        </row>
        <row r="817">
          <cell r="A817">
            <v>41145</v>
          </cell>
          <cell r="B817">
            <v>41145</v>
          </cell>
          <cell r="C817" t="str">
            <v>Future</v>
          </cell>
          <cell r="D817" t="e">
            <v>#N/A</v>
          </cell>
          <cell r="E817">
            <v>5.5405405405358536E-2</v>
          </cell>
          <cell r="F817">
            <v>17.487837837838004</v>
          </cell>
          <cell r="G817">
            <v>14.001351351351383</v>
          </cell>
          <cell r="H817">
            <v>14.001351351351383</v>
          </cell>
          <cell r="I817" t="e">
            <v>#N/A</v>
          </cell>
          <cell r="J817" t="e">
            <v>#N/A</v>
          </cell>
          <cell r="K817">
            <v>17.5</v>
          </cell>
          <cell r="L817">
            <v>14</v>
          </cell>
          <cell r="M817" t="e">
            <v>#N/A</v>
          </cell>
          <cell r="N817">
            <v>16.5</v>
          </cell>
          <cell r="O817" t="e">
            <v>#N/A</v>
          </cell>
          <cell r="P817">
            <v>14.52</v>
          </cell>
          <cell r="Q817" t="str">
            <v/>
          </cell>
          <cell r="R817">
            <v>16.5</v>
          </cell>
        </row>
        <row r="818">
          <cell r="A818" t="str">
            <v/>
          </cell>
          <cell r="B818" t="str">
            <v/>
          </cell>
          <cell r="C818" t="str">
            <v>Future</v>
          </cell>
          <cell r="D818" t="e">
            <v>#N/A</v>
          </cell>
          <cell r="E818">
            <v>-4.686528942698942E-14</v>
          </cell>
          <cell r="F818">
            <v>17.500000000000167</v>
          </cell>
          <cell r="G818">
            <v>14.000000000000032</v>
          </cell>
          <cell r="H818">
            <v>14.000000000000032</v>
          </cell>
          <cell r="I818" t="e">
            <v>#N/A</v>
          </cell>
          <cell r="J818" t="e">
            <v>#N/A</v>
          </cell>
          <cell r="K818">
            <v>17.5</v>
          </cell>
          <cell r="L818">
            <v>14</v>
          </cell>
          <cell r="M818" t="e">
            <v>#N/A</v>
          </cell>
          <cell r="N818">
            <v>16.5</v>
          </cell>
          <cell r="O818" t="e">
            <v>#N/A</v>
          </cell>
          <cell r="P818" t="str">
            <v/>
          </cell>
          <cell r="Q818" t="str">
            <v/>
          </cell>
          <cell r="R818">
            <v>16.5</v>
          </cell>
        </row>
        <row r="819">
          <cell r="A819" t="str">
            <v/>
          </cell>
          <cell r="B819" t="str">
            <v/>
          </cell>
          <cell r="C819" t="str">
            <v>Future</v>
          </cell>
          <cell r="D819" t="e">
            <v>#N/A</v>
          </cell>
          <cell r="E819">
            <v>-5.5405405405452267E-2</v>
          </cell>
          <cell r="F819">
            <v>17.51216216216233</v>
          </cell>
          <cell r="G819">
            <v>13.998648648648681</v>
          </cell>
          <cell r="H819">
            <v>13.998648648648681</v>
          </cell>
          <cell r="I819" t="e">
            <v>#N/A</v>
          </cell>
          <cell r="J819" t="e">
            <v>#N/A</v>
          </cell>
          <cell r="K819">
            <v>17.5</v>
          </cell>
          <cell r="L819">
            <v>14</v>
          </cell>
          <cell r="M819" t="e">
            <v>#N/A</v>
          </cell>
          <cell r="N819">
            <v>16.5</v>
          </cell>
          <cell r="O819" t="e">
            <v>#N/A</v>
          </cell>
          <cell r="P819" t="str">
            <v/>
          </cell>
          <cell r="Q819" t="str">
            <v/>
          </cell>
          <cell r="R819">
            <v>16.5</v>
          </cell>
        </row>
        <row r="820">
          <cell r="A820" t="str">
            <v/>
          </cell>
          <cell r="B820" t="str">
            <v/>
          </cell>
          <cell r="C820" t="str">
            <v>Future</v>
          </cell>
          <cell r="D820" t="e">
            <v>#N/A</v>
          </cell>
          <cell r="E820">
            <v>-0.11081081081085767</v>
          </cell>
          <cell r="F820">
            <v>17.524324324324493</v>
          </cell>
          <cell r="G820">
            <v>13.99729729729733</v>
          </cell>
          <cell r="H820">
            <v>13.99729729729733</v>
          </cell>
          <cell r="I820" t="e">
            <v>#N/A</v>
          </cell>
          <cell r="J820" t="e">
            <v>#N/A</v>
          </cell>
          <cell r="K820">
            <v>17.5</v>
          </cell>
          <cell r="L820">
            <v>14</v>
          </cell>
          <cell r="M820" t="e">
            <v>#N/A</v>
          </cell>
          <cell r="N820">
            <v>16.5</v>
          </cell>
          <cell r="O820" t="e">
            <v>#N/A</v>
          </cell>
          <cell r="P820" t="str">
            <v/>
          </cell>
          <cell r="Q820" t="str">
            <v/>
          </cell>
          <cell r="R820">
            <v>16.5</v>
          </cell>
        </row>
        <row r="821">
          <cell r="A821" t="str">
            <v/>
          </cell>
          <cell r="B821" t="str">
            <v/>
          </cell>
          <cell r="C821" t="str">
            <v>Future</v>
          </cell>
          <cell r="D821" t="e">
            <v>#N/A</v>
          </cell>
          <cell r="E821">
            <v>-0.16621621621626306</v>
          </cell>
          <cell r="F821">
            <v>17.536486486486655</v>
          </cell>
          <cell r="G821">
            <v>13.995945945945978</v>
          </cell>
          <cell r="H821">
            <v>13.995945945945978</v>
          </cell>
          <cell r="I821" t="e">
            <v>#N/A</v>
          </cell>
          <cell r="J821" t="e">
            <v>#N/A</v>
          </cell>
          <cell r="K821">
            <v>17.5</v>
          </cell>
          <cell r="L821">
            <v>14</v>
          </cell>
          <cell r="M821" t="e">
            <v>#N/A</v>
          </cell>
          <cell r="N821">
            <v>16.5</v>
          </cell>
          <cell r="O821" t="e">
            <v>#N/A</v>
          </cell>
          <cell r="P821" t="str">
            <v/>
          </cell>
          <cell r="Q821" t="str">
            <v/>
          </cell>
          <cell r="R821">
            <v>16.5</v>
          </cell>
        </row>
        <row r="822">
          <cell r="A822" t="str">
            <v/>
          </cell>
          <cell r="B822" t="str">
            <v/>
          </cell>
          <cell r="C822" t="str">
            <v>Future</v>
          </cell>
          <cell r="D822" t="e">
            <v>#N/A</v>
          </cell>
          <cell r="E822">
            <v>-0.22162162162166846</v>
          </cell>
          <cell r="F822">
            <v>17.548648648648818</v>
          </cell>
          <cell r="G822">
            <v>13.994594594594627</v>
          </cell>
          <cell r="H822">
            <v>13.994594594594627</v>
          </cell>
          <cell r="I822" t="e">
            <v>#N/A</v>
          </cell>
          <cell r="J822" t="e">
            <v>#N/A</v>
          </cell>
          <cell r="K822">
            <v>17.5</v>
          </cell>
          <cell r="L822">
            <v>14</v>
          </cell>
          <cell r="M822" t="e">
            <v>#N/A</v>
          </cell>
          <cell r="N822">
            <v>16.5</v>
          </cell>
          <cell r="O822" t="e">
            <v>#N/A</v>
          </cell>
          <cell r="P822" t="str">
            <v/>
          </cell>
          <cell r="Q822" t="str">
            <v/>
          </cell>
          <cell r="R822">
            <v>16.5</v>
          </cell>
        </row>
        <row r="823">
          <cell r="A823" t="str">
            <v/>
          </cell>
          <cell r="B823" t="str">
            <v/>
          </cell>
          <cell r="C823" t="str">
            <v>Future</v>
          </cell>
          <cell r="D823" t="e">
            <v>#N/A</v>
          </cell>
          <cell r="E823">
            <v>-0.27702702702707388</v>
          </cell>
          <cell r="F823">
            <v>17.560810810810981</v>
          </cell>
          <cell r="G823">
            <v>13.993243243243276</v>
          </cell>
          <cell r="H823">
            <v>13.993243243243276</v>
          </cell>
          <cell r="I823" t="e">
            <v>#N/A</v>
          </cell>
          <cell r="J823" t="e">
            <v>#N/A</v>
          </cell>
          <cell r="K823">
            <v>17.5</v>
          </cell>
          <cell r="L823">
            <v>14</v>
          </cell>
          <cell r="M823" t="e">
            <v>#N/A</v>
          </cell>
          <cell r="N823">
            <v>16.5</v>
          </cell>
          <cell r="O823" t="e">
            <v>#N/A</v>
          </cell>
          <cell r="P823" t="str">
            <v/>
          </cell>
          <cell r="Q823" t="str">
            <v/>
          </cell>
          <cell r="R823">
            <v>16.5</v>
          </cell>
        </row>
        <row r="824">
          <cell r="A824" t="str">
            <v/>
          </cell>
          <cell r="B824" t="str">
            <v/>
          </cell>
          <cell r="C824" t="str">
            <v>Future</v>
          </cell>
          <cell r="D824" t="e">
            <v>#N/A</v>
          </cell>
          <cell r="E824">
            <v>-0.33243243243247927</v>
          </cell>
          <cell r="F824">
            <v>17.572972972973144</v>
          </cell>
          <cell r="G824">
            <v>13.991891891891925</v>
          </cell>
          <cell r="H824">
            <v>13.991891891891925</v>
          </cell>
          <cell r="I824" t="e">
            <v>#N/A</v>
          </cell>
          <cell r="J824" t="e">
            <v>#N/A</v>
          </cell>
          <cell r="K824">
            <v>17.5</v>
          </cell>
          <cell r="L824">
            <v>14</v>
          </cell>
          <cell r="M824" t="e">
            <v>#N/A</v>
          </cell>
          <cell r="N824">
            <v>16.5</v>
          </cell>
          <cell r="O824" t="e">
            <v>#N/A</v>
          </cell>
          <cell r="P824" t="str">
            <v/>
          </cell>
          <cell r="Q824" t="str">
            <v/>
          </cell>
          <cell r="R824">
            <v>16.5</v>
          </cell>
        </row>
        <row r="825">
          <cell r="A825" t="str">
            <v/>
          </cell>
          <cell r="B825" t="str">
            <v/>
          </cell>
          <cell r="C825" t="str">
            <v>Future</v>
          </cell>
          <cell r="D825" t="e">
            <v>#N/A</v>
          </cell>
          <cell r="E825">
            <v>-0.38783783783788467</v>
          </cell>
          <cell r="F825">
            <v>17.585135135135307</v>
          </cell>
          <cell r="G825">
            <v>13.990540540540573</v>
          </cell>
          <cell r="H825">
            <v>13.990540540540573</v>
          </cell>
          <cell r="I825" t="e">
            <v>#N/A</v>
          </cell>
          <cell r="J825" t="e">
            <v>#N/A</v>
          </cell>
          <cell r="K825">
            <v>17.5</v>
          </cell>
          <cell r="L825">
            <v>14</v>
          </cell>
          <cell r="M825" t="e">
            <v>#N/A</v>
          </cell>
          <cell r="N825">
            <v>16.5</v>
          </cell>
          <cell r="O825" t="e">
            <v>#N/A</v>
          </cell>
          <cell r="P825" t="str">
            <v/>
          </cell>
          <cell r="Q825" t="str">
            <v/>
          </cell>
          <cell r="R825">
            <v>16.5</v>
          </cell>
        </row>
        <row r="826">
          <cell r="A826" t="str">
            <v/>
          </cell>
          <cell r="B826" t="str">
            <v/>
          </cell>
          <cell r="C826" t="str">
            <v>Future</v>
          </cell>
          <cell r="D826" t="e">
            <v>#N/A</v>
          </cell>
          <cell r="E826">
            <v>-0.44324324324329006</v>
          </cell>
          <cell r="F826">
            <v>17.597297297297469</v>
          </cell>
          <cell r="G826">
            <v>13.989189189189222</v>
          </cell>
          <cell r="H826">
            <v>13.989189189189222</v>
          </cell>
          <cell r="I826" t="e">
            <v>#N/A</v>
          </cell>
          <cell r="J826" t="e">
            <v>#N/A</v>
          </cell>
          <cell r="K826">
            <v>17.5</v>
          </cell>
          <cell r="L826">
            <v>14</v>
          </cell>
          <cell r="M826" t="e">
            <v>#N/A</v>
          </cell>
          <cell r="N826">
            <v>16.5</v>
          </cell>
          <cell r="O826" t="e">
            <v>#N/A</v>
          </cell>
          <cell r="P826" t="str">
            <v/>
          </cell>
          <cell r="Q826" t="str">
            <v/>
          </cell>
          <cell r="R826">
            <v>16.5</v>
          </cell>
        </row>
        <row r="827">
          <cell r="A827" t="str">
            <v/>
          </cell>
          <cell r="B827" t="str">
            <v/>
          </cell>
          <cell r="C827" t="str">
            <v>Future</v>
          </cell>
          <cell r="D827" t="e">
            <v>#N/A</v>
          </cell>
          <cell r="E827">
            <v>-0.49864864864869546</v>
          </cell>
          <cell r="F827">
            <v>17.609459459459632</v>
          </cell>
          <cell r="G827">
            <v>13.987837837837871</v>
          </cell>
          <cell r="H827">
            <v>13.987837837837871</v>
          </cell>
          <cell r="I827" t="e">
            <v>#N/A</v>
          </cell>
          <cell r="J827" t="e">
            <v>#N/A</v>
          </cell>
          <cell r="K827">
            <v>17.5</v>
          </cell>
          <cell r="L827">
            <v>14</v>
          </cell>
          <cell r="M827" t="e">
            <v>#N/A</v>
          </cell>
          <cell r="N827">
            <v>16.5</v>
          </cell>
          <cell r="O827" t="e">
            <v>#N/A</v>
          </cell>
          <cell r="P827" t="str">
            <v/>
          </cell>
          <cell r="Q827" t="str">
            <v/>
          </cell>
          <cell r="R827">
            <v>16.5</v>
          </cell>
        </row>
        <row r="828">
          <cell r="A828" t="str">
            <v/>
          </cell>
          <cell r="B828" t="str">
            <v/>
          </cell>
          <cell r="C828" t="str">
            <v>Future</v>
          </cell>
          <cell r="D828" t="e">
            <v>#N/A</v>
          </cell>
          <cell r="E828">
            <v>-0.55405405405410091</v>
          </cell>
          <cell r="F828">
            <v>17.621621621621795</v>
          </cell>
          <cell r="G828">
            <v>13.98648648648652</v>
          </cell>
          <cell r="H828">
            <v>13.98648648648652</v>
          </cell>
          <cell r="I828" t="e">
            <v>#N/A</v>
          </cell>
          <cell r="J828" t="e">
            <v>#N/A</v>
          </cell>
          <cell r="K828">
            <v>17.5</v>
          </cell>
          <cell r="L828">
            <v>14</v>
          </cell>
          <cell r="M828" t="e">
            <v>#N/A</v>
          </cell>
          <cell r="N828">
            <v>16.5</v>
          </cell>
          <cell r="O828" t="e">
            <v>#N/A</v>
          </cell>
          <cell r="P828" t="str">
            <v/>
          </cell>
          <cell r="Q828" t="str">
            <v/>
          </cell>
          <cell r="R828">
            <v>16.5</v>
          </cell>
        </row>
        <row r="829">
          <cell r="A829" t="str">
            <v/>
          </cell>
          <cell r="B829" t="str">
            <v/>
          </cell>
          <cell r="C829" t="str">
            <v>Future</v>
          </cell>
          <cell r="D829" t="e">
            <v>#N/A</v>
          </cell>
          <cell r="E829">
            <v>-0.6094594594595063</v>
          </cell>
          <cell r="F829">
            <v>17.633783783783958</v>
          </cell>
          <cell r="G829">
            <v>13.985135135135168</v>
          </cell>
          <cell r="H829">
            <v>13.985135135135168</v>
          </cell>
          <cell r="I829" t="e">
            <v>#N/A</v>
          </cell>
          <cell r="J829" t="e">
            <v>#N/A</v>
          </cell>
          <cell r="K829">
            <v>17.5</v>
          </cell>
          <cell r="L829">
            <v>14</v>
          </cell>
          <cell r="M829" t="e">
            <v>#N/A</v>
          </cell>
          <cell r="N829">
            <v>16.5</v>
          </cell>
          <cell r="O829" t="e">
            <v>#N/A</v>
          </cell>
          <cell r="P829" t="str">
            <v/>
          </cell>
          <cell r="Q829" t="str">
            <v/>
          </cell>
          <cell r="R829">
            <v>16.5</v>
          </cell>
        </row>
        <row r="830">
          <cell r="A830" t="str">
            <v/>
          </cell>
          <cell r="B830" t="str">
            <v/>
          </cell>
          <cell r="C830" t="str">
            <v>Future</v>
          </cell>
          <cell r="D830" t="e">
            <v>#N/A</v>
          </cell>
          <cell r="E830">
            <v>-0.6648648648649117</v>
          </cell>
          <cell r="F830">
            <v>17.645945945946121</v>
          </cell>
          <cell r="G830">
            <v>13.983783783783817</v>
          </cell>
          <cell r="H830">
            <v>13.983783783783817</v>
          </cell>
          <cell r="I830" t="e">
            <v>#N/A</v>
          </cell>
          <cell r="J830" t="e">
            <v>#N/A</v>
          </cell>
          <cell r="K830">
            <v>17.5</v>
          </cell>
          <cell r="L830">
            <v>14</v>
          </cell>
          <cell r="M830" t="e">
            <v>#N/A</v>
          </cell>
          <cell r="N830">
            <v>16.5</v>
          </cell>
          <cell r="O830" t="e">
            <v>#N/A</v>
          </cell>
          <cell r="P830" t="str">
            <v/>
          </cell>
          <cell r="Q830" t="str">
            <v/>
          </cell>
          <cell r="R830">
            <v>16.5</v>
          </cell>
        </row>
        <row r="831">
          <cell r="A831" t="str">
            <v/>
          </cell>
          <cell r="B831" t="str">
            <v/>
          </cell>
          <cell r="C831" t="str">
            <v>Future</v>
          </cell>
          <cell r="D831" t="e">
            <v>#N/A</v>
          </cell>
          <cell r="E831">
            <v>-0.72027027027031709</v>
          </cell>
          <cell r="F831">
            <v>17.658108108108284</v>
          </cell>
          <cell r="G831">
            <v>13.982432432432466</v>
          </cell>
          <cell r="H831">
            <v>13.982432432432466</v>
          </cell>
          <cell r="I831" t="e">
            <v>#N/A</v>
          </cell>
          <cell r="J831" t="e">
            <v>#N/A</v>
          </cell>
          <cell r="K831">
            <v>17.5</v>
          </cell>
          <cell r="L831">
            <v>14</v>
          </cell>
          <cell r="M831" t="e">
            <v>#N/A</v>
          </cell>
          <cell r="N831">
            <v>16.5</v>
          </cell>
          <cell r="O831" t="e">
            <v>#N/A</v>
          </cell>
          <cell r="P831" t="str">
            <v/>
          </cell>
          <cell r="Q831" t="str">
            <v/>
          </cell>
          <cell r="R831">
            <v>16.5</v>
          </cell>
        </row>
        <row r="832">
          <cell r="A832" t="str">
            <v/>
          </cell>
          <cell r="B832" t="str">
            <v/>
          </cell>
          <cell r="C832" t="str">
            <v>Future</v>
          </cell>
          <cell r="D832" t="e">
            <v>#N/A</v>
          </cell>
          <cell r="E832">
            <v>-0.77567567567572249</v>
          </cell>
          <cell r="F832">
            <v>17.670270270270446</v>
          </cell>
          <cell r="G832">
            <v>13.981081081081115</v>
          </cell>
          <cell r="H832">
            <v>13.981081081081115</v>
          </cell>
          <cell r="I832" t="e">
            <v>#N/A</v>
          </cell>
          <cell r="J832" t="e">
            <v>#N/A</v>
          </cell>
          <cell r="K832">
            <v>17.5</v>
          </cell>
          <cell r="L832">
            <v>14</v>
          </cell>
          <cell r="M832" t="e">
            <v>#N/A</v>
          </cell>
          <cell r="N832">
            <v>16.5</v>
          </cell>
          <cell r="O832" t="e">
            <v>#N/A</v>
          </cell>
          <cell r="P832" t="str">
            <v/>
          </cell>
          <cell r="Q832" t="str">
            <v/>
          </cell>
          <cell r="R832">
            <v>16.5</v>
          </cell>
        </row>
        <row r="833">
          <cell r="A833" t="str">
            <v/>
          </cell>
          <cell r="B833" t="str">
            <v/>
          </cell>
          <cell r="C833" t="str">
            <v>Future</v>
          </cell>
          <cell r="D833" t="e">
            <v>#N/A</v>
          </cell>
          <cell r="E833">
            <v>-0.83108108108112788</v>
          </cell>
          <cell r="F833">
            <v>17.682432432432609</v>
          </cell>
          <cell r="G833">
            <v>13.979729729729764</v>
          </cell>
          <cell r="H833">
            <v>13.979729729729764</v>
          </cell>
          <cell r="I833" t="e">
            <v>#N/A</v>
          </cell>
          <cell r="J833" t="e">
            <v>#N/A</v>
          </cell>
          <cell r="K833">
            <v>17.5</v>
          </cell>
          <cell r="L833">
            <v>14</v>
          </cell>
          <cell r="M833" t="e">
            <v>#N/A</v>
          </cell>
          <cell r="N833">
            <v>16.5</v>
          </cell>
          <cell r="O833" t="e">
            <v>#N/A</v>
          </cell>
          <cell r="P833" t="str">
            <v/>
          </cell>
          <cell r="Q833" t="str">
            <v/>
          </cell>
          <cell r="R833">
            <v>16.5</v>
          </cell>
        </row>
        <row r="834">
          <cell r="A834" t="str">
            <v/>
          </cell>
          <cell r="B834" t="str">
            <v/>
          </cell>
          <cell r="C834" t="str">
            <v>Future</v>
          </cell>
          <cell r="D834" t="e">
            <v>#N/A</v>
          </cell>
          <cell r="E834">
            <v>-0.88648648648653328</v>
          </cell>
          <cell r="F834">
            <v>17.694594594594772</v>
          </cell>
          <cell r="G834">
            <v>13.978378378378412</v>
          </cell>
          <cell r="H834">
            <v>13.978378378378412</v>
          </cell>
          <cell r="I834" t="e">
            <v>#N/A</v>
          </cell>
          <cell r="J834" t="e">
            <v>#N/A</v>
          </cell>
          <cell r="K834">
            <v>17.5</v>
          </cell>
          <cell r="L834">
            <v>14</v>
          </cell>
          <cell r="M834" t="e">
            <v>#N/A</v>
          </cell>
          <cell r="N834">
            <v>16.5</v>
          </cell>
          <cell r="O834" t="e">
            <v>#N/A</v>
          </cell>
          <cell r="P834" t="str">
            <v/>
          </cell>
          <cell r="Q834" t="str">
            <v/>
          </cell>
          <cell r="R834">
            <v>16.5</v>
          </cell>
        </row>
        <row r="835">
          <cell r="A835" t="str">
            <v/>
          </cell>
          <cell r="B835" t="str">
            <v/>
          </cell>
          <cell r="C835" t="str">
            <v>Future</v>
          </cell>
          <cell r="D835" t="e">
            <v>#N/A</v>
          </cell>
          <cell r="E835">
            <v>-0.94189189189193867</v>
          </cell>
          <cell r="F835">
            <v>17.706756756756935</v>
          </cell>
          <cell r="G835">
            <v>13.977027027027061</v>
          </cell>
          <cell r="H835">
            <v>13.977027027027061</v>
          </cell>
          <cell r="I835" t="e">
            <v>#N/A</v>
          </cell>
          <cell r="J835" t="e">
            <v>#N/A</v>
          </cell>
          <cell r="K835">
            <v>17.5</v>
          </cell>
          <cell r="L835">
            <v>14</v>
          </cell>
          <cell r="M835" t="e">
            <v>#N/A</v>
          </cell>
          <cell r="N835">
            <v>16.5</v>
          </cell>
          <cell r="O835" t="e">
            <v>#N/A</v>
          </cell>
          <cell r="P835" t="str">
            <v/>
          </cell>
          <cell r="Q835" t="str">
            <v/>
          </cell>
          <cell r="R835">
            <v>16.5</v>
          </cell>
        </row>
        <row r="836">
          <cell r="A836" t="str">
            <v/>
          </cell>
          <cell r="B836" t="str">
            <v/>
          </cell>
          <cell r="C836" t="str">
            <v>Future</v>
          </cell>
          <cell r="D836" t="e">
            <v>#N/A</v>
          </cell>
          <cell r="E836">
            <v>-0.99729729729734407</v>
          </cell>
          <cell r="F836">
            <v>17.718918918919098</v>
          </cell>
          <cell r="G836">
            <v>13.97567567567571</v>
          </cell>
          <cell r="H836">
            <v>13.97567567567571</v>
          </cell>
          <cell r="I836" t="e">
            <v>#N/A</v>
          </cell>
          <cell r="J836" t="e">
            <v>#N/A</v>
          </cell>
          <cell r="K836">
            <v>17.5</v>
          </cell>
          <cell r="L836">
            <v>14</v>
          </cell>
          <cell r="M836" t="e">
            <v>#N/A</v>
          </cell>
          <cell r="N836">
            <v>16.5</v>
          </cell>
          <cell r="O836" t="e">
            <v>#N/A</v>
          </cell>
          <cell r="P836" t="str">
            <v/>
          </cell>
          <cell r="Q836" t="str">
            <v/>
          </cell>
          <cell r="R836">
            <v>16.5</v>
          </cell>
        </row>
        <row r="837">
          <cell r="A837" t="str">
            <v/>
          </cell>
          <cell r="B837" t="str">
            <v/>
          </cell>
          <cell r="C837" t="str">
            <v>Future</v>
          </cell>
          <cell r="D837" t="e">
            <v>#N/A</v>
          </cell>
          <cell r="E837">
            <v>-1.0527027027027496</v>
          </cell>
          <cell r="F837">
            <v>17.73108108108126</v>
          </cell>
          <cell r="G837">
            <v>13.974324324324359</v>
          </cell>
          <cell r="H837">
            <v>13.974324324324359</v>
          </cell>
          <cell r="I837" t="e">
            <v>#N/A</v>
          </cell>
          <cell r="J837" t="e">
            <v>#N/A</v>
          </cell>
          <cell r="K837">
            <v>17.5</v>
          </cell>
          <cell r="L837">
            <v>14</v>
          </cell>
          <cell r="M837" t="e">
            <v>#N/A</v>
          </cell>
          <cell r="N837">
            <v>16.5</v>
          </cell>
          <cell r="O837" t="e">
            <v>#N/A</v>
          </cell>
          <cell r="P837" t="str">
            <v/>
          </cell>
          <cell r="Q837" t="str">
            <v/>
          </cell>
          <cell r="R837">
            <v>16.5</v>
          </cell>
        </row>
        <row r="838">
          <cell r="A838" t="str">
            <v/>
          </cell>
          <cell r="B838" t="str">
            <v/>
          </cell>
          <cell r="C838" t="str">
            <v>Future</v>
          </cell>
          <cell r="D838" t="e">
            <v>#N/A</v>
          </cell>
          <cell r="E838">
            <v>-1.108108108108155</v>
          </cell>
          <cell r="F838">
            <v>17.743243243243423</v>
          </cell>
          <cell r="G838">
            <v>13.972972972973007</v>
          </cell>
          <cell r="H838">
            <v>13.972972972973007</v>
          </cell>
          <cell r="I838" t="e">
            <v>#N/A</v>
          </cell>
          <cell r="J838" t="e">
            <v>#N/A</v>
          </cell>
          <cell r="K838">
            <v>17.5</v>
          </cell>
          <cell r="L838">
            <v>14</v>
          </cell>
          <cell r="M838" t="e">
            <v>#N/A</v>
          </cell>
          <cell r="N838">
            <v>16.5</v>
          </cell>
          <cell r="O838" t="e">
            <v>#N/A</v>
          </cell>
          <cell r="P838" t="str">
            <v/>
          </cell>
          <cell r="Q838" t="str">
            <v/>
          </cell>
          <cell r="R838">
            <v>16.5</v>
          </cell>
        </row>
        <row r="839">
          <cell r="A839" t="str">
            <v/>
          </cell>
          <cell r="B839" t="str">
            <v/>
          </cell>
          <cell r="C839" t="str">
            <v>Future</v>
          </cell>
          <cell r="D839" t="e">
            <v>#N/A</v>
          </cell>
          <cell r="E839">
            <v>-1.1635135135135604</v>
          </cell>
          <cell r="F839">
            <v>17.755405405405586</v>
          </cell>
          <cell r="G839">
            <v>13.971621621621656</v>
          </cell>
          <cell r="H839">
            <v>13.971621621621656</v>
          </cell>
          <cell r="I839" t="e">
            <v>#N/A</v>
          </cell>
          <cell r="J839" t="e">
            <v>#N/A</v>
          </cell>
          <cell r="K839">
            <v>17.5</v>
          </cell>
          <cell r="L839">
            <v>14</v>
          </cell>
          <cell r="M839" t="e">
            <v>#N/A</v>
          </cell>
          <cell r="N839">
            <v>16.5</v>
          </cell>
          <cell r="O839" t="e">
            <v>#N/A</v>
          </cell>
          <cell r="P839" t="str">
            <v/>
          </cell>
          <cell r="Q839" t="str">
            <v/>
          </cell>
          <cell r="R839">
            <v>16.5</v>
          </cell>
        </row>
        <row r="840">
          <cell r="A840" t="str">
            <v/>
          </cell>
          <cell r="B840" t="str">
            <v/>
          </cell>
          <cell r="C840" t="str">
            <v>Future</v>
          </cell>
          <cell r="D840" t="e">
            <v>#N/A</v>
          </cell>
          <cell r="E840">
            <v>-1.2189189189189658</v>
          </cell>
          <cell r="F840">
            <v>17.767567567567749</v>
          </cell>
          <cell r="G840">
            <v>13.970270270270305</v>
          </cell>
          <cell r="H840">
            <v>13.970270270270305</v>
          </cell>
          <cell r="I840" t="e">
            <v>#N/A</v>
          </cell>
          <cell r="J840" t="e">
            <v>#N/A</v>
          </cell>
          <cell r="K840">
            <v>17.5</v>
          </cell>
          <cell r="L840">
            <v>14</v>
          </cell>
          <cell r="M840" t="e">
            <v>#N/A</v>
          </cell>
          <cell r="N840">
            <v>16.5</v>
          </cell>
          <cell r="O840" t="e">
            <v>#N/A</v>
          </cell>
          <cell r="P840" t="str">
            <v/>
          </cell>
          <cell r="Q840" t="str">
            <v/>
          </cell>
          <cell r="R840">
            <v>16.5</v>
          </cell>
        </row>
        <row r="841">
          <cell r="A841" t="str">
            <v/>
          </cell>
          <cell r="B841" t="str">
            <v/>
          </cell>
          <cell r="C841" t="str">
            <v>Future</v>
          </cell>
          <cell r="D841" t="e">
            <v>#N/A</v>
          </cell>
          <cell r="E841">
            <v>-1.2743243243243711</v>
          </cell>
          <cell r="F841">
            <v>17.779729729729912</v>
          </cell>
          <cell r="G841">
            <v>13.968918918918954</v>
          </cell>
          <cell r="H841">
            <v>13.968918918918954</v>
          </cell>
          <cell r="I841" t="e">
            <v>#N/A</v>
          </cell>
          <cell r="J841" t="e">
            <v>#N/A</v>
          </cell>
          <cell r="K841">
            <v>17.5</v>
          </cell>
          <cell r="L841">
            <v>14</v>
          </cell>
          <cell r="M841" t="e">
            <v>#N/A</v>
          </cell>
          <cell r="N841">
            <v>16.5</v>
          </cell>
          <cell r="O841" t="e">
            <v>#N/A</v>
          </cell>
          <cell r="P841" t="str">
            <v/>
          </cell>
          <cell r="Q841" t="str">
            <v/>
          </cell>
          <cell r="R841">
            <v>16.5</v>
          </cell>
        </row>
        <row r="842">
          <cell r="A842" t="str">
            <v/>
          </cell>
          <cell r="B842" t="str">
            <v/>
          </cell>
          <cell r="C842" t="str">
            <v>Future</v>
          </cell>
          <cell r="D842" t="e">
            <v>#N/A</v>
          </cell>
          <cell r="E842">
            <v>-1.3297297297297765</v>
          </cell>
          <cell r="F842">
            <v>17.791891891892075</v>
          </cell>
          <cell r="G842">
            <v>13.967567567567603</v>
          </cell>
          <cell r="H842">
            <v>13.967567567567603</v>
          </cell>
          <cell r="I842" t="e">
            <v>#N/A</v>
          </cell>
          <cell r="J842" t="e">
            <v>#N/A</v>
          </cell>
          <cell r="K842">
            <v>17.5</v>
          </cell>
          <cell r="L842">
            <v>14</v>
          </cell>
          <cell r="M842" t="e">
            <v>#N/A</v>
          </cell>
          <cell r="N842">
            <v>16.5</v>
          </cell>
          <cell r="O842" t="e">
            <v>#N/A</v>
          </cell>
          <cell r="P842" t="str">
            <v/>
          </cell>
          <cell r="Q842" t="str">
            <v/>
          </cell>
          <cell r="R842">
            <v>16.5</v>
          </cell>
        </row>
        <row r="843">
          <cell r="A843" t="str">
            <v/>
          </cell>
          <cell r="B843" t="str">
            <v/>
          </cell>
          <cell r="C843" t="str">
            <v>Future</v>
          </cell>
          <cell r="D843" t="e">
            <v>#N/A</v>
          </cell>
          <cell r="E843">
            <v>-1.3851351351351819</v>
          </cell>
          <cell r="F843">
            <v>17.804054054054237</v>
          </cell>
          <cell r="G843">
            <v>13.966216216216251</v>
          </cell>
          <cell r="H843">
            <v>13.966216216216251</v>
          </cell>
          <cell r="I843" t="e">
            <v>#N/A</v>
          </cell>
          <cell r="J843" t="e">
            <v>#N/A</v>
          </cell>
          <cell r="K843">
            <v>17.5</v>
          </cell>
          <cell r="L843">
            <v>14</v>
          </cell>
          <cell r="M843" t="e">
            <v>#N/A</v>
          </cell>
          <cell r="N843">
            <v>16.5</v>
          </cell>
          <cell r="O843" t="e">
            <v>#N/A</v>
          </cell>
          <cell r="P843" t="str">
            <v/>
          </cell>
          <cell r="Q843" t="str">
            <v/>
          </cell>
          <cell r="R843">
            <v>16.5</v>
          </cell>
        </row>
        <row r="844">
          <cell r="A844" t="str">
            <v/>
          </cell>
          <cell r="B844" t="str">
            <v/>
          </cell>
          <cell r="C844" t="str">
            <v>Future</v>
          </cell>
          <cell r="D844" t="e">
            <v>#N/A</v>
          </cell>
          <cell r="E844">
            <v>-1.4405405405405873</v>
          </cell>
          <cell r="F844">
            <v>17.8162162162164</v>
          </cell>
          <cell r="G844">
            <v>13.9648648648649</v>
          </cell>
          <cell r="H844">
            <v>13.9648648648649</v>
          </cell>
          <cell r="I844" t="e">
            <v>#N/A</v>
          </cell>
          <cell r="J844" t="e">
            <v>#N/A</v>
          </cell>
          <cell r="K844">
            <v>17.5</v>
          </cell>
          <cell r="L844">
            <v>14</v>
          </cell>
          <cell r="M844" t="e">
            <v>#N/A</v>
          </cell>
          <cell r="N844">
            <v>16.5</v>
          </cell>
          <cell r="O844" t="e">
            <v>#N/A</v>
          </cell>
          <cell r="P844" t="str">
            <v/>
          </cell>
          <cell r="Q844" t="str">
            <v/>
          </cell>
          <cell r="R844">
            <v>16.5</v>
          </cell>
        </row>
        <row r="845">
          <cell r="A845" t="str">
            <v/>
          </cell>
          <cell r="B845" t="str">
            <v/>
          </cell>
          <cell r="C845" t="str">
            <v>Future</v>
          </cell>
          <cell r="D845" t="e">
            <v>#N/A</v>
          </cell>
          <cell r="E845">
            <v>-1.4959459459459927</v>
          </cell>
          <cell r="F845">
            <v>17.828378378378563</v>
          </cell>
          <cell r="G845">
            <v>13.963513513513549</v>
          </cell>
          <cell r="H845">
            <v>13.963513513513549</v>
          </cell>
          <cell r="I845" t="e">
            <v>#N/A</v>
          </cell>
          <cell r="J845" t="e">
            <v>#N/A</v>
          </cell>
          <cell r="K845">
            <v>17.5</v>
          </cell>
          <cell r="L845">
            <v>14</v>
          </cell>
          <cell r="M845" t="e">
            <v>#N/A</v>
          </cell>
          <cell r="N845">
            <v>16.5</v>
          </cell>
          <cell r="O845" t="e">
            <v>#N/A</v>
          </cell>
          <cell r="P845" t="str">
            <v/>
          </cell>
          <cell r="Q845" t="str">
            <v/>
          </cell>
          <cell r="R845">
            <v>16.5</v>
          </cell>
        </row>
        <row r="846">
          <cell r="A846" t="str">
            <v/>
          </cell>
          <cell r="B846" t="str">
            <v/>
          </cell>
          <cell r="C846" t="str">
            <v>Future</v>
          </cell>
          <cell r="D846" t="e">
            <v>#N/A</v>
          </cell>
          <cell r="E846">
            <v>-1.5513513513513981</v>
          </cell>
          <cell r="F846">
            <v>17.840540540540726</v>
          </cell>
          <cell r="G846">
            <v>13.962162162162198</v>
          </cell>
          <cell r="H846">
            <v>13.962162162162198</v>
          </cell>
          <cell r="I846" t="e">
            <v>#N/A</v>
          </cell>
          <cell r="J846" t="e">
            <v>#N/A</v>
          </cell>
          <cell r="K846">
            <v>17.5</v>
          </cell>
          <cell r="L846">
            <v>14</v>
          </cell>
          <cell r="M846" t="e">
            <v>#N/A</v>
          </cell>
          <cell r="N846">
            <v>16.5</v>
          </cell>
          <cell r="O846" t="e">
            <v>#N/A</v>
          </cell>
          <cell r="P846" t="str">
            <v/>
          </cell>
          <cell r="Q846" t="str">
            <v/>
          </cell>
          <cell r="R846">
            <v>16.5</v>
          </cell>
        </row>
        <row r="847">
          <cell r="A847" t="str">
            <v/>
          </cell>
          <cell r="B847" t="str">
            <v/>
          </cell>
          <cell r="C847" t="str">
            <v>Future</v>
          </cell>
          <cell r="D847" t="e">
            <v>#N/A</v>
          </cell>
          <cell r="E847">
            <v>-1.6067567567568035</v>
          </cell>
          <cell r="F847">
            <v>17.852702702702889</v>
          </cell>
          <cell r="G847">
            <v>13.960810810810846</v>
          </cell>
          <cell r="H847">
            <v>13.960810810810846</v>
          </cell>
          <cell r="I847" t="e">
            <v>#N/A</v>
          </cell>
          <cell r="J847" t="e">
            <v>#N/A</v>
          </cell>
          <cell r="K847">
            <v>17.5</v>
          </cell>
          <cell r="L847">
            <v>14</v>
          </cell>
          <cell r="M847" t="e">
            <v>#N/A</v>
          </cell>
          <cell r="N847">
            <v>16.5</v>
          </cell>
          <cell r="O847" t="e">
            <v>#N/A</v>
          </cell>
          <cell r="P847" t="str">
            <v/>
          </cell>
          <cell r="Q847" t="str">
            <v/>
          </cell>
          <cell r="R847">
            <v>16.5</v>
          </cell>
        </row>
        <row r="848">
          <cell r="A848" t="str">
            <v/>
          </cell>
          <cell r="B848" t="str">
            <v/>
          </cell>
          <cell r="C848" t="str">
            <v>Future</v>
          </cell>
          <cell r="D848" t="e">
            <v>#N/A</v>
          </cell>
          <cell r="E848">
            <v>-1.6621621621622089</v>
          </cell>
          <cell r="F848">
            <v>17.864864864865051</v>
          </cell>
          <cell r="G848">
            <v>13.959459459459495</v>
          </cell>
          <cell r="H848">
            <v>13.959459459459495</v>
          </cell>
          <cell r="I848" t="e">
            <v>#N/A</v>
          </cell>
          <cell r="J848" t="e">
            <v>#N/A</v>
          </cell>
          <cell r="K848">
            <v>17.5</v>
          </cell>
          <cell r="L848">
            <v>14</v>
          </cell>
          <cell r="M848" t="e">
            <v>#N/A</v>
          </cell>
          <cell r="N848">
            <v>16.5</v>
          </cell>
          <cell r="O848" t="e">
            <v>#N/A</v>
          </cell>
          <cell r="P848" t="str">
            <v/>
          </cell>
          <cell r="Q848" t="str">
            <v/>
          </cell>
          <cell r="R848">
            <v>16.5</v>
          </cell>
        </row>
        <row r="849">
          <cell r="A849" t="str">
            <v/>
          </cell>
          <cell r="B849" t="str">
            <v/>
          </cell>
          <cell r="C849" t="str">
            <v>Future</v>
          </cell>
          <cell r="D849" t="e">
            <v>#N/A</v>
          </cell>
          <cell r="E849">
            <v>-1.7175675675676143</v>
          </cell>
          <cell r="F849">
            <v>17.877027027027214</v>
          </cell>
          <cell r="G849">
            <v>13.958108108108144</v>
          </cell>
          <cell r="H849">
            <v>13.958108108108144</v>
          </cell>
          <cell r="I849" t="e">
            <v>#N/A</v>
          </cell>
          <cell r="J849" t="e">
            <v>#N/A</v>
          </cell>
          <cell r="K849">
            <v>17.5</v>
          </cell>
          <cell r="L849">
            <v>14</v>
          </cell>
          <cell r="M849" t="e">
            <v>#N/A</v>
          </cell>
          <cell r="N849">
            <v>16.5</v>
          </cell>
          <cell r="O849" t="e">
            <v>#N/A</v>
          </cell>
          <cell r="P849" t="str">
            <v/>
          </cell>
          <cell r="Q849" t="str">
            <v/>
          </cell>
          <cell r="R849">
            <v>16.5</v>
          </cell>
        </row>
        <row r="850">
          <cell r="A850" t="str">
            <v/>
          </cell>
          <cell r="B850" t="str">
            <v/>
          </cell>
          <cell r="C850" t="str">
            <v>Future</v>
          </cell>
          <cell r="D850" t="e">
            <v>#N/A</v>
          </cell>
          <cell r="E850">
            <v>-1.7729729729730197</v>
          </cell>
          <cell r="F850">
            <v>17.889189189189377</v>
          </cell>
          <cell r="G850">
            <v>13.956756756756793</v>
          </cell>
          <cell r="H850">
            <v>13.956756756756793</v>
          </cell>
          <cell r="I850" t="e">
            <v>#N/A</v>
          </cell>
          <cell r="J850" t="e">
            <v>#N/A</v>
          </cell>
          <cell r="K850">
            <v>17.5</v>
          </cell>
          <cell r="L850">
            <v>14</v>
          </cell>
          <cell r="M850" t="e">
            <v>#N/A</v>
          </cell>
          <cell r="N850">
            <v>16.5</v>
          </cell>
          <cell r="O850" t="e">
            <v>#N/A</v>
          </cell>
          <cell r="P850" t="str">
            <v/>
          </cell>
          <cell r="Q850" t="str">
            <v/>
          </cell>
          <cell r="R850">
            <v>16.5</v>
          </cell>
        </row>
        <row r="851">
          <cell r="A851" t="str">
            <v/>
          </cell>
          <cell r="B851" t="str">
            <v/>
          </cell>
          <cell r="C851" t="str">
            <v>Future</v>
          </cell>
          <cell r="D851" t="e">
            <v>#N/A</v>
          </cell>
          <cell r="E851">
            <v>-1.8283783783784251</v>
          </cell>
          <cell r="F851">
            <v>17.90135135135154</v>
          </cell>
          <cell r="G851">
            <v>13.955405405405441</v>
          </cell>
          <cell r="H851">
            <v>13.955405405405441</v>
          </cell>
          <cell r="I851" t="e">
            <v>#N/A</v>
          </cell>
          <cell r="J851" t="e">
            <v>#N/A</v>
          </cell>
          <cell r="K851">
            <v>17.5</v>
          </cell>
          <cell r="L851">
            <v>14</v>
          </cell>
          <cell r="M851" t="e">
            <v>#N/A</v>
          </cell>
          <cell r="N851">
            <v>16.5</v>
          </cell>
          <cell r="O851" t="e">
            <v>#N/A</v>
          </cell>
          <cell r="P851" t="str">
            <v/>
          </cell>
          <cell r="Q851" t="str">
            <v/>
          </cell>
          <cell r="R851">
            <v>16.5</v>
          </cell>
        </row>
        <row r="852">
          <cell r="A852" t="str">
            <v/>
          </cell>
          <cell r="B852" t="str">
            <v/>
          </cell>
          <cell r="C852" t="str">
            <v>Future</v>
          </cell>
          <cell r="D852" t="e">
            <v>#N/A</v>
          </cell>
          <cell r="E852">
            <v>-1.8837837837838305</v>
          </cell>
          <cell r="F852">
            <v>17.913513513513703</v>
          </cell>
          <cell r="G852">
            <v>13.95405405405409</v>
          </cell>
          <cell r="H852">
            <v>13.95405405405409</v>
          </cell>
          <cell r="I852" t="e">
            <v>#N/A</v>
          </cell>
          <cell r="J852" t="e">
            <v>#N/A</v>
          </cell>
          <cell r="K852">
            <v>17.5</v>
          </cell>
          <cell r="L852">
            <v>14</v>
          </cell>
          <cell r="M852" t="e">
            <v>#N/A</v>
          </cell>
          <cell r="N852">
            <v>16.5</v>
          </cell>
          <cell r="O852" t="e">
            <v>#N/A</v>
          </cell>
          <cell r="P852" t="str">
            <v/>
          </cell>
          <cell r="Q852" t="str">
            <v/>
          </cell>
          <cell r="R852">
            <v>16.5</v>
          </cell>
        </row>
        <row r="853">
          <cell r="A853" t="str">
            <v/>
          </cell>
          <cell r="B853" t="str">
            <v/>
          </cell>
          <cell r="C853" t="str">
            <v>Future</v>
          </cell>
          <cell r="D853" t="e">
            <v>#N/A</v>
          </cell>
          <cell r="E853">
            <v>-1.9391891891892359</v>
          </cell>
          <cell r="F853">
            <v>17.925675675675866</v>
          </cell>
          <cell r="G853">
            <v>13.952702702702739</v>
          </cell>
          <cell r="H853">
            <v>13.952702702702739</v>
          </cell>
          <cell r="I853" t="e">
            <v>#N/A</v>
          </cell>
          <cell r="J853" t="e">
            <v>#N/A</v>
          </cell>
          <cell r="K853">
            <v>17.5</v>
          </cell>
          <cell r="L853">
            <v>14</v>
          </cell>
          <cell r="M853" t="e">
            <v>#N/A</v>
          </cell>
          <cell r="N853">
            <v>16.5</v>
          </cell>
          <cell r="O853" t="e">
            <v>#N/A</v>
          </cell>
          <cell r="P853" t="str">
            <v/>
          </cell>
          <cell r="Q853" t="str">
            <v/>
          </cell>
          <cell r="R853">
            <v>16.5</v>
          </cell>
        </row>
        <row r="854">
          <cell r="A854" t="str">
            <v/>
          </cell>
          <cell r="B854" t="str">
            <v/>
          </cell>
          <cell r="C854" t="str">
            <v>Future</v>
          </cell>
          <cell r="D854" t="e">
            <v>#N/A</v>
          </cell>
          <cell r="E854">
            <v>-1.9945945945946413</v>
          </cell>
          <cell r="F854">
            <v>17.937837837838028</v>
          </cell>
          <cell r="G854">
            <v>13.951351351351388</v>
          </cell>
          <cell r="H854">
            <v>13.951351351351388</v>
          </cell>
          <cell r="I854" t="e">
            <v>#N/A</v>
          </cell>
          <cell r="J854" t="e">
            <v>#N/A</v>
          </cell>
          <cell r="K854">
            <v>17.5</v>
          </cell>
          <cell r="L854">
            <v>14</v>
          </cell>
          <cell r="M854" t="e">
            <v>#N/A</v>
          </cell>
          <cell r="N854">
            <v>16.5</v>
          </cell>
          <cell r="O854" t="e">
            <v>#N/A</v>
          </cell>
          <cell r="P854" t="str">
            <v/>
          </cell>
          <cell r="Q854" t="str">
            <v/>
          </cell>
          <cell r="R854">
            <v>16.5</v>
          </cell>
        </row>
        <row r="855">
          <cell r="A855" t="str">
            <v/>
          </cell>
          <cell r="B855" t="str">
            <v/>
          </cell>
          <cell r="C855" t="str">
            <v>Future</v>
          </cell>
          <cell r="D855" t="e">
            <v>#N/A</v>
          </cell>
          <cell r="E855">
            <v>-2.0500000000000469</v>
          </cell>
          <cell r="F855">
            <v>17.950000000000191</v>
          </cell>
          <cell r="G855">
            <v>13.950000000000037</v>
          </cell>
          <cell r="H855">
            <v>13.950000000000037</v>
          </cell>
          <cell r="I855" t="e">
            <v>#N/A</v>
          </cell>
          <cell r="J855" t="e">
            <v>#N/A</v>
          </cell>
          <cell r="K855">
            <v>17.5</v>
          </cell>
          <cell r="L855">
            <v>14</v>
          </cell>
          <cell r="M855" t="e">
            <v>#N/A</v>
          </cell>
          <cell r="N855">
            <v>16.5</v>
          </cell>
          <cell r="O855" t="e">
            <v>#N/A</v>
          </cell>
          <cell r="P855" t="str">
            <v/>
          </cell>
          <cell r="Q855" t="str">
            <v/>
          </cell>
          <cell r="R855">
            <v>16.5</v>
          </cell>
        </row>
        <row r="856">
          <cell r="A856" t="str">
            <v/>
          </cell>
          <cell r="B856" t="str">
            <v/>
          </cell>
          <cell r="C856" t="str">
            <v>Future</v>
          </cell>
          <cell r="D856" t="e">
            <v>#N/A</v>
          </cell>
          <cell r="E856">
            <v>-2.1054054054054525</v>
          </cell>
          <cell r="F856">
            <v>17.962162162162354</v>
          </cell>
          <cell r="G856">
            <v>13.948648648648685</v>
          </cell>
          <cell r="H856">
            <v>13.948648648648685</v>
          </cell>
          <cell r="I856" t="e">
            <v>#N/A</v>
          </cell>
          <cell r="J856" t="e">
            <v>#N/A</v>
          </cell>
          <cell r="K856">
            <v>17.5</v>
          </cell>
          <cell r="L856">
            <v>14</v>
          </cell>
          <cell r="M856" t="e">
            <v>#N/A</v>
          </cell>
          <cell r="N856">
            <v>16.5</v>
          </cell>
          <cell r="O856" t="e">
            <v>#N/A</v>
          </cell>
          <cell r="P856" t="str">
            <v/>
          </cell>
          <cell r="Q856" t="str">
            <v/>
          </cell>
          <cell r="R856">
            <v>16.5</v>
          </cell>
        </row>
        <row r="857">
          <cell r="A857" t="str">
            <v/>
          </cell>
          <cell r="B857" t="str">
            <v/>
          </cell>
          <cell r="C857" t="str">
            <v>Future</v>
          </cell>
          <cell r="D857" t="e">
            <v>#N/A</v>
          </cell>
          <cell r="E857">
            <v>-2.1608108108108581</v>
          </cell>
          <cell r="F857">
            <v>17.974324324324517</v>
          </cell>
          <cell r="G857">
            <v>13.947297297297334</v>
          </cell>
          <cell r="H857">
            <v>13.947297297297334</v>
          </cell>
          <cell r="I857" t="e">
            <v>#N/A</v>
          </cell>
          <cell r="J857" t="e">
            <v>#N/A</v>
          </cell>
          <cell r="K857">
            <v>17.5</v>
          </cell>
          <cell r="L857">
            <v>14</v>
          </cell>
          <cell r="M857" t="e">
            <v>#N/A</v>
          </cell>
          <cell r="N857">
            <v>16.5</v>
          </cell>
          <cell r="O857" t="e">
            <v>#N/A</v>
          </cell>
          <cell r="P857" t="str">
            <v/>
          </cell>
          <cell r="Q857" t="str">
            <v/>
          </cell>
          <cell r="R857">
            <v>16.5</v>
          </cell>
        </row>
        <row r="858">
          <cell r="A858" t="str">
            <v/>
          </cell>
          <cell r="B858" t="str">
            <v/>
          </cell>
          <cell r="C858" t="str">
            <v>Future</v>
          </cell>
          <cell r="D858" t="e">
            <v>#N/A</v>
          </cell>
          <cell r="E858">
            <v>-2.2162162162162637</v>
          </cell>
          <cell r="F858">
            <v>17.98648648648668</v>
          </cell>
          <cell r="G858">
            <v>13.945945945945983</v>
          </cell>
          <cell r="H858">
            <v>13.945945945945983</v>
          </cell>
          <cell r="I858" t="e">
            <v>#N/A</v>
          </cell>
          <cell r="J858" t="e">
            <v>#N/A</v>
          </cell>
          <cell r="K858">
            <v>17.5</v>
          </cell>
          <cell r="L858">
            <v>14</v>
          </cell>
          <cell r="M858" t="e">
            <v>#N/A</v>
          </cell>
          <cell r="N858">
            <v>16.5</v>
          </cell>
          <cell r="O858" t="e">
            <v>#N/A</v>
          </cell>
          <cell r="P858" t="str">
            <v/>
          </cell>
          <cell r="Q858" t="str">
            <v/>
          </cell>
          <cell r="R858">
            <v>16.5</v>
          </cell>
        </row>
        <row r="859">
          <cell r="A859" t="str">
            <v/>
          </cell>
          <cell r="B859" t="str">
            <v/>
          </cell>
          <cell r="C859" t="str">
            <v>Future</v>
          </cell>
          <cell r="D859" t="e">
            <v>#N/A</v>
          </cell>
          <cell r="E859">
            <v>-2.2716216216216694</v>
          </cell>
          <cell r="F859">
            <v>17.998648648648842</v>
          </cell>
          <cell r="G859">
            <v>13.944594594594632</v>
          </cell>
          <cell r="H859">
            <v>13.944594594594632</v>
          </cell>
          <cell r="I859" t="e">
            <v>#N/A</v>
          </cell>
          <cell r="J859" t="e">
            <v>#N/A</v>
          </cell>
          <cell r="K859">
            <v>17.5</v>
          </cell>
          <cell r="L859">
            <v>14</v>
          </cell>
          <cell r="M859" t="e">
            <v>#N/A</v>
          </cell>
          <cell r="N859">
            <v>16.5</v>
          </cell>
          <cell r="O859" t="e">
            <v>#N/A</v>
          </cell>
          <cell r="P859" t="str">
            <v/>
          </cell>
          <cell r="Q859" t="str">
            <v/>
          </cell>
          <cell r="R859">
            <v>16.5</v>
          </cell>
        </row>
        <row r="860">
          <cell r="A860" t="str">
            <v/>
          </cell>
          <cell r="B860" t="str">
            <v/>
          </cell>
          <cell r="C860" t="str">
            <v>Future</v>
          </cell>
          <cell r="D860" t="e">
            <v>#N/A</v>
          </cell>
          <cell r="E860">
            <v>-2.327027027027075</v>
          </cell>
          <cell r="F860">
            <v>18.010810810811005</v>
          </cell>
          <cell r="G860">
            <v>13.94324324324328</v>
          </cell>
          <cell r="H860">
            <v>13.94324324324328</v>
          </cell>
          <cell r="I860" t="e">
            <v>#N/A</v>
          </cell>
          <cell r="J860" t="e">
            <v>#N/A</v>
          </cell>
          <cell r="K860">
            <v>17.5</v>
          </cell>
          <cell r="L860">
            <v>14</v>
          </cell>
          <cell r="M860" t="e">
            <v>#N/A</v>
          </cell>
          <cell r="N860">
            <v>16.5</v>
          </cell>
          <cell r="O860" t="e">
            <v>#N/A</v>
          </cell>
          <cell r="P860" t="str">
            <v/>
          </cell>
          <cell r="Q860" t="str">
            <v/>
          </cell>
          <cell r="R860">
            <v>16.5</v>
          </cell>
        </row>
        <row r="861">
          <cell r="A861" t="str">
            <v/>
          </cell>
          <cell r="B861" t="str">
            <v/>
          </cell>
          <cell r="C861" t="str">
            <v>Future</v>
          </cell>
          <cell r="D861" t="e">
            <v>#N/A</v>
          </cell>
          <cell r="E861">
            <v>-2.3824324324324806</v>
          </cell>
          <cell r="F861">
            <v>18.022972972973168</v>
          </cell>
          <cell r="G861">
            <v>13.941891891891929</v>
          </cell>
          <cell r="H861">
            <v>13.941891891891929</v>
          </cell>
          <cell r="I861" t="e">
            <v>#N/A</v>
          </cell>
          <cell r="J861" t="e">
            <v>#N/A</v>
          </cell>
          <cell r="K861">
            <v>17.5</v>
          </cell>
          <cell r="L861">
            <v>14</v>
          </cell>
          <cell r="M861" t="e">
            <v>#N/A</v>
          </cell>
          <cell r="N861">
            <v>16.5</v>
          </cell>
          <cell r="O861" t="e">
            <v>#N/A</v>
          </cell>
          <cell r="P861" t="str">
            <v/>
          </cell>
          <cell r="Q861" t="str">
            <v/>
          </cell>
          <cell r="R861">
            <v>16.5</v>
          </cell>
        </row>
        <row r="862">
          <cell r="A862" t="str">
            <v/>
          </cell>
          <cell r="B862" t="str">
            <v/>
          </cell>
          <cell r="C862" t="str">
            <v>Future</v>
          </cell>
          <cell r="D862" t="e">
            <v>#N/A</v>
          </cell>
          <cell r="E862">
            <v>-2.4378378378378862</v>
          </cell>
          <cell r="F862">
            <v>18.035135135135331</v>
          </cell>
          <cell r="G862">
            <v>13.940540540540578</v>
          </cell>
          <cell r="H862">
            <v>13.940540540540578</v>
          </cell>
          <cell r="I862" t="e">
            <v>#N/A</v>
          </cell>
          <cell r="J862" t="e">
            <v>#N/A</v>
          </cell>
          <cell r="K862">
            <v>17.5</v>
          </cell>
          <cell r="L862">
            <v>14</v>
          </cell>
          <cell r="M862" t="e">
            <v>#N/A</v>
          </cell>
          <cell r="N862">
            <v>16.5</v>
          </cell>
          <cell r="O862" t="e">
            <v>#N/A</v>
          </cell>
          <cell r="P862" t="str">
            <v/>
          </cell>
          <cell r="Q862" t="str">
            <v/>
          </cell>
          <cell r="R862">
            <v>16.5</v>
          </cell>
        </row>
        <row r="863">
          <cell r="A863" t="str">
            <v/>
          </cell>
          <cell r="B863" t="str">
            <v/>
          </cell>
          <cell r="C863" t="str">
            <v>Future</v>
          </cell>
          <cell r="D863" t="e">
            <v>#N/A</v>
          </cell>
          <cell r="E863">
            <v>-2.4932432432432918</v>
          </cell>
          <cell r="F863">
            <v>18.047297297297494</v>
          </cell>
          <cell r="G863">
            <v>13.939189189189227</v>
          </cell>
          <cell r="H863">
            <v>13.939189189189227</v>
          </cell>
          <cell r="I863" t="e">
            <v>#N/A</v>
          </cell>
          <cell r="J863" t="e">
            <v>#N/A</v>
          </cell>
          <cell r="K863">
            <v>17.5</v>
          </cell>
          <cell r="L863">
            <v>14</v>
          </cell>
          <cell r="M863" t="e">
            <v>#N/A</v>
          </cell>
          <cell r="N863">
            <v>16.5</v>
          </cell>
          <cell r="O863" t="e">
            <v>#N/A</v>
          </cell>
          <cell r="P863" t="str">
            <v/>
          </cell>
          <cell r="Q863" t="str">
            <v/>
          </cell>
          <cell r="R863">
            <v>16.5</v>
          </cell>
        </row>
        <row r="864">
          <cell r="A864" t="str">
            <v/>
          </cell>
          <cell r="B864" t="str">
            <v/>
          </cell>
          <cell r="C864" t="str">
            <v>Future</v>
          </cell>
          <cell r="D864" t="e">
            <v>#N/A</v>
          </cell>
          <cell r="E864">
            <v>-2.5486486486486974</v>
          </cell>
          <cell r="F864">
            <v>18.059459459459656</v>
          </cell>
          <cell r="G864">
            <v>13.937837837837876</v>
          </cell>
          <cell r="H864">
            <v>13.937837837837876</v>
          </cell>
          <cell r="I864" t="e">
            <v>#N/A</v>
          </cell>
          <cell r="J864" t="e">
            <v>#N/A</v>
          </cell>
          <cell r="K864">
            <v>17.5</v>
          </cell>
          <cell r="L864">
            <v>14</v>
          </cell>
          <cell r="M864" t="e">
            <v>#N/A</v>
          </cell>
          <cell r="N864">
            <v>16.5</v>
          </cell>
          <cell r="O864" t="e">
            <v>#N/A</v>
          </cell>
          <cell r="P864" t="str">
            <v/>
          </cell>
          <cell r="Q864" t="str">
            <v/>
          </cell>
          <cell r="R864">
            <v>16.5</v>
          </cell>
        </row>
        <row r="865">
          <cell r="A865" t="str">
            <v/>
          </cell>
          <cell r="B865" t="str">
            <v/>
          </cell>
          <cell r="C865" t="str">
            <v>Future</v>
          </cell>
          <cell r="D865" t="e">
            <v>#N/A</v>
          </cell>
          <cell r="E865">
            <v>-2.6040540540541031</v>
          </cell>
          <cell r="F865">
            <v>18.071621621621819</v>
          </cell>
          <cell r="G865">
            <v>13.936486486486524</v>
          </cell>
          <cell r="H865">
            <v>13.936486486486524</v>
          </cell>
          <cell r="I865" t="e">
            <v>#N/A</v>
          </cell>
          <cell r="J865" t="e">
            <v>#N/A</v>
          </cell>
          <cell r="K865">
            <v>17.5</v>
          </cell>
          <cell r="L865">
            <v>14</v>
          </cell>
          <cell r="M865" t="e">
            <v>#N/A</v>
          </cell>
          <cell r="N865">
            <v>16.5</v>
          </cell>
          <cell r="O865" t="e">
            <v>#N/A</v>
          </cell>
          <cell r="P865" t="str">
            <v/>
          </cell>
          <cell r="Q865" t="str">
            <v/>
          </cell>
          <cell r="R865">
            <v>16.5</v>
          </cell>
        </row>
        <row r="866">
          <cell r="A866" t="str">
            <v/>
          </cell>
          <cell r="B866" t="str">
            <v/>
          </cell>
          <cell r="C866" t="str">
            <v>Future</v>
          </cell>
          <cell r="D866" t="e">
            <v>#N/A</v>
          </cell>
          <cell r="E866">
            <v>-2.6594594594595087</v>
          </cell>
          <cell r="F866">
            <v>18.083783783783982</v>
          </cell>
          <cell r="G866">
            <v>13.935135135135173</v>
          </cell>
          <cell r="H866">
            <v>13.935135135135173</v>
          </cell>
          <cell r="I866" t="e">
            <v>#N/A</v>
          </cell>
          <cell r="J866" t="e">
            <v>#N/A</v>
          </cell>
          <cell r="K866">
            <v>17.5</v>
          </cell>
          <cell r="L866">
            <v>14</v>
          </cell>
          <cell r="M866" t="e">
            <v>#N/A</v>
          </cell>
          <cell r="N866">
            <v>16.5</v>
          </cell>
          <cell r="O866" t="e">
            <v>#N/A</v>
          </cell>
          <cell r="P866" t="str">
            <v/>
          </cell>
          <cell r="Q866" t="str">
            <v/>
          </cell>
          <cell r="R866">
            <v>16.5</v>
          </cell>
        </row>
        <row r="867">
          <cell r="A867" t="str">
            <v/>
          </cell>
          <cell r="B867" t="str">
            <v/>
          </cell>
          <cell r="C867" t="str">
            <v>Future</v>
          </cell>
          <cell r="D867" t="e">
            <v>#N/A</v>
          </cell>
          <cell r="E867">
            <v>-2.7148648648649143</v>
          </cell>
          <cell r="F867">
            <v>18.095945945946145</v>
          </cell>
          <cell r="G867">
            <v>13.933783783783822</v>
          </cell>
          <cell r="H867">
            <v>13.933783783783822</v>
          </cell>
          <cell r="I867" t="e">
            <v>#N/A</v>
          </cell>
          <cell r="J867" t="e">
            <v>#N/A</v>
          </cell>
          <cell r="K867">
            <v>17.5</v>
          </cell>
          <cell r="L867">
            <v>14</v>
          </cell>
          <cell r="M867" t="e">
            <v>#N/A</v>
          </cell>
          <cell r="N867">
            <v>16.5</v>
          </cell>
          <cell r="O867" t="e">
            <v>#N/A</v>
          </cell>
          <cell r="P867" t="str">
            <v/>
          </cell>
          <cell r="Q867" t="str">
            <v/>
          </cell>
          <cell r="R867">
            <v>16.5</v>
          </cell>
        </row>
        <row r="868">
          <cell r="A868" t="str">
            <v/>
          </cell>
          <cell r="B868" t="str">
            <v/>
          </cell>
          <cell r="C868" t="str">
            <v>Future</v>
          </cell>
          <cell r="D868" t="e">
            <v>#N/A</v>
          </cell>
          <cell r="E868">
            <v>-2.7702702702703199</v>
          </cell>
          <cell r="F868">
            <v>18.108108108108308</v>
          </cell>
          <cell r="G868">
            <v>13.932432432432471</v>
          </cell>
          <cell r="H868">
            <v>13.932432432432471</v>
          </cell>
          <cell r="I868" t="e">
            <v>#N/A</v>
          </cell>
          <cell r="J868" t="e">
            <v>#N/A</v>
          </cell>
          <cell r="K868">
            <v>17.5</v>
          </cell>
          <cell r="L868">
            <v>14</v>
          </cell>
          <cell r="M868" t="e">
            <v>#N/A</v>
          </cell>
          <cell r="N868">
            <v>16.5</v>
          </cell>
          <cell r="O868" t="e">
            <v>#N/A</v>
          </cell>
          <cell r="P868" t="str">
            <v/>
          </cell>
          <cell r="Q868" t="str">
            <v/>
          </cell>
          <cell r="R868">
            <v>16.5</v>
          </cell>
        </row>
        <row r="869">
          <cell r="A869" t="str">
            <v/>
          </cell>
          <cell r="B869" t="str">
            <v/>
          </cell>
          <cell r="C869" t="str">
            <v>Future</v>
          </cell>
          <cell r="D869" t="e">
            <v>#N/A</v>
          </cell>
          <cell r="E869">
            <v>-2.8256756756757255</v>
          </cell>
          <cell r="F869">
            <v>18.120270270270471</v>
          </cell>
          <cell r="G869">
            <v>13.931081081081119</v>
          </cell>
          <cell r="H869">
            <v>13.931081081081119</v>
          </cell>
          <cell r="I869" t="e">
            <v>#N/A</v>
          </cell>
          <cell r="J869" t="e">
            <v>#N/A</v>
          </cell>
          <cell r="K869">
            <v>17.5</v>
          </cell>
          <cell r="L869">
            <v>14</v>
          </cell>
          <cell r="M869" t="e">
            <v>#N/A</v>
          </cell>
          <cell r="N869">
            <v>16.5</v>
          </cell>
          <cell r="O869" t="e">
            <v>#N/A</v>
          </cell>
          <cell r="P869" t="str">
            <v/>
          </cell>
          <cell r="Q869" t="str">
            <v/>
          </cell>
          <cell r="R869">
            <v>16.5</v>
          </cell>
        </row>
        <row r="870">
          <cell r="A870" t="str">
            <v/>
          </cell>
          <cell r="B870" t="str">
            <v/>
          </cell>
          <cell r="C870" t="str">
            <v>Future</v>
          </cell>
          <cell r="D870" t="e">
            <v>#N/A</v>
          </cell>
          <cell r="E870">
            <v>-2.8810810810811311</v>
          </cell>
          <cell r="F870">
            <v>18.132432432432633</v>
          </cell>
          <cell r="G870">
            <v>13.929729729729768</v>
          </cell>
          <cell r="H870">
            <v>13.929729729729768</v>
          </cell>
          <cell r="I870" t="e">
            <v>#N/A</v>
          </cell>
          <cell r="J870" t="e">
            <v>#N/A</v>
          </cell>
          <cell r="K870">
            <v>17.5</v>
          </cell>
          <cell r="L870">
            <v>14</v>
          </cell>
          <cell r="M870" t="e">
            <v>#N/A</v>
          </cell>
          <cell r="N870">
            <v>16.5</v>
          </cell>
          <cell r="O870" t="e">
            <v>#N/A</v>
          </cell>
          <cell r="P870" t="str">
            <v/>
          </cell>
          <cell r="Q870" t="str">
            <v/>
          </cell>
          <cell r="R870">
            <v>16.5</v>
          </cell>
        </row>
        <row r="871">
          <cell r="A871" t="str">
            <v/>
          </cell>
          <cell r="B871" t="str">
            <v/>
          </cell>
          <cell r="C871" t="str">
            <v>Future</v>
          </cell>
          <cell r="D871" t="e">
            <v>#N/A</v>
          </cell>
          <cell r="E871">
            <v>-2.9364864864865368</v>
          </cell>
          <cell r="F871">
            <v>18.144594594594796</v>
          </cell>
          <cell r="G871">
            <v>13.928378378378417</v>
          </cell>
          <cell r="H871">
            <v>13.928378378378417</v>
          </cell>
          <cell r="I871" t="e">
            <v>#N/A</v>
          </cell>
          <cell r="J871" t="e">
            <v>#N/A</v>
          </cell>
          <cell r="K871">
            <v>17.5</v>
          </cell>
          <cell r="L871">
            <v>14</v>
          </cell>
          <cell r="M871" t="e">
            <v>#N/A</v>
          </cell>
          <cell r="N871">
            <v>16.5</v>
          </cell>
          <cell r="O871" t="e">
            <v>#N/A</v>
          </cell>
          <cell r="P871" t="str">
            <v/>
          </cell>
          <cell r="Q871" t="str">
            <v/>
          </cell>
          <cell r="R871">
            <v>16.5</v>
          </cell>
        </row>
        <row r="872">
          <cell r="A872" t="str">
            <v/>
          </cell>
          <cell r="B872" t="str">
            <v/>
          </cell>
          <cell r="C872" t="str">
            <v>Future</v>
          </cell>
          <cell r="D872" t="e">
            <v>#N/A</v>
          </cell>
          <cell r="E872">
            <v>-2.9918918918919424</v>
          </cell>
          <cell r="F872">
            <v>18.156756756756959</v>
          </cell>
          <cell r="G872">
            <v>13.927027027027066</v>
          </cell>
          <cell r="H872">
            <v>13.927027027027066</v>
          </cell>
          <cell r="I872" t="e">
            <v>#N/A</v>
          </cell>
          <cell r="J872" t="e">
            <v>#N/A</v>
          </cell>
          <cell r="K872">
            <v>17.5</v>
          </cell>
          <cell r="L872">
            <v>14</v>
          </cell>
          <cell r="M872" t="e">
            <v>#N/A</v>
          </cell>
          <cell r="N872">
            <v>16.5</v>
          </cell>
          <cell r="O872" t="e">
            <v>#N/A</v>
          </cell>
          <cell r="P872" t="str">
            <v/>
          </cell>
          <cell r="Q872" t="str">
            <v/>
          </cell>
          <cell r="R872">
            <v>16.5</v>
          </cell>
        </row>
        <row r="873">
          <cell r="A873" t="str">
            <v/>
          </cell>
          <cell r="B873" t="str">
            <v/>
          </cell>
          <cell r="C873" t="str">
            <v>Future</v>
          </cell>
          <cell r="D873" t="e">
            <v>#N/A</v>
          </cell>
          <cell r="E873">
            <v>-3.047297297297348</v>
          </cell>
          <cell r="F873">
            <v>18.168918918919122</v>
          </cell>
          <cell r="G873">
            <v>13.925675675675715</v>
          </cell>
          <cell r="H873">
            <v>13.925675675675715</v>
          </cell>
          <cell r="I873" t="e">
            <v>#N/A</v>
          </cell>
          <cell r="J873" t="e">
            <v>#N/A</v>
          </cell>
          <cell r="K873">
            <v>17.5</v>
          </cell>
          <cell r="L873">
            <v>14</v>
          </cell>
          <cell r="M873" t="e">
            <v>#N/A</v>
          </cell>
          <cell r="N873">
            <v>16.5</v>
          </cell>
          <cell r="O873" t="e">
            <v>#N/A</v>
          </cell>
          <cell r="P873" t="str">
            <v/>
          </cell>
          <cell r="Q873" t="str">
            <v/>
          </cell>
          <cell r="R873">
            <v>16.5</v>
          </cell>
        </row>
        <row r="874">
          <cell r="A874" t="str">
            <v/>
          </cell>
          <cell r="B874" t="str">
            <v/>
          </cell>
          <cell r="C874" t="str">
            <v>Future</v>
          </cell>
          <cell r="D874" t="e">
            <v>#N/A</v>
          </cell>
          <cell r="E874">
            <v>-3.1027027027027536</v>
          </cell>
          <cell r="F874">
            <v>18.181081081081285</v>
          </cell>
          <cell r="G874">
            <v>13.924324324324363</v>
          </cell>
          <cell r="H874">
            <v>13.924324324324363</v>
          </cell>
          <cell r="I874" t="e">
            <v>#N/A</v>
          </cell>
          <cell r="J874" t="e">
            <v>#N/A</v>
          </cell>
          <cell r="K874">
            <v>17.5</v>
          </cell>
          <cell r="L874">
            <v>14</v>
          </cell>
          <cell r="M874" t="e">
            <v>#N/A</v>
          </cell>
          <cell r="N874">
            <v>16.5</v>
          </cell>
          <cell r="O874" t="e">
            <v>#N/A</v>
          </cell>
          <cell r="P874" t="str">
            <v/>
          </cell>
          <cell r="Q874" t="str">
            <v/>
          </cell>
          <cell r="R874">
            <v>16.5</v>
          </cell>
        </row>
        <row r="875">
          <cell r="A875" t="str">
            <v/>
          </cell>
          <cell r="B875" t="str">
            <v/>
          </cell>
          <cell r="C875" t="str">
            <v>Future</v>
          </cell>
          <cell r="D875" t="e">
            <v>#N/A</v>
          </cell>
          <cell r="E875">
            <v>-3.1581081081081592</v>
          </cell>
          <cell r="F875">
            <v>18.193243243243447</v>
          </cell>
          <cell r="G875">
            <v>13.922972972973012</v>
          </cell>
          <cell r="H875">
            <v>13.922972972973012</v>
          </cell>
          <cell r="I875" t="e">
            <v>#N/A</v>
          </cell>
          <cell r="J875" t="e">
            <v>#N/A</v>
          </cell>
          <cell r="K875">
            <v>17.5</v>
          </cell>
          <cell r="L875">
            <v>14</v>
          </cell>
          <cell r="M875" t="e">
            <v>#N/A</v>
          </cell>
          <cell r="N875">
            <v>16.5</v>
          </cell>
          <cell r="O875" t="e">
            <v>#N/A</v>
          </cell>
          <cell r="P875" t="str">
            <v/>
          </cell>
          <cell r="Q875" t="str">
            <v/>
          </cell>
          <cell r="R875">
            <v>16.5</v>
          </cell>
        </row>
        <row r="876">
          <cell r="A876" t="str">
            <v/>
          </cell>
          <cell r="B876" t="str">
            <v/>
          </cell>
          <cell r="C876" t="str">
            <v>Future</v>
          </cell>
          <cell r="D876" t="e">
            <v>#N/A</v>
          </cell>
          <cell r="E876">
            <v>-3.2135135135135648</v>
          </cell>
          <cell r="F876">
            <v>18.20540540540561</v>
          </cell>
          <cell r="G876">
            <v>13.921621621621661</v>
          </cell>
          <cell r="H876">
            <v>13.921621621621661</v>
          </cell>
          <cell r="I876" t="e">
            <v>#N/A</v>
          </cell>
          <cell r="J876" t="e">
            <v>#N/A</v>
          </cell>
          <cell r="K876">
            <v>17.5</v>
          </cell>
          <cell r="L876">
            <v>14</v>
          </cell>
          <cell r="M876" t="e">
            <v>#N/A</v>
          </cell>
          <cell r="N876">
            <v>16.5</v>
          </cell>
          <cell r="O876" t="e">
            <v>#N/A</v>
          </cell>
          <cell r="P876" t="str">
            <v/>
          </cell>
          <cell r="Q876" t="str">
            <v/>
          </cell>
          <cell r="R876">
            <v>16.5</v>
          </cell>
        </row>
        <row r="877">
          <cell r="A877" t="str">
            <v/>
          </cell>
          <cell r="B877" t="str">
            <v/>
          </cell>
          <cell r="C877" t="str">
            <v>Future</v>
          </cell>
          <cell r="D877" t="e">
            <v>#N/A</v>
          </cell>
          <cell r="E877">
            <v>-3.2689189189189705</v>
          </cell>
          <cell r="F877">
            <v>18.217567567567773</v>
          </cell>
          <cell r="G877">
            <v>13.92027027027031</v>
          </cell>
          <cell r="H877">
            <v>13.92027027027031</v>
          </cell>
          <cell r="I877" t="e">
            <v>#N/A</v>
          </cell>
          <cell r="J877" t="e">
            <v>#N/A</v>
          </cell>
          <cell r="K877">
            <v>17.5</v>
          </cell>
          <cell r="L877">
            <v>14</v>
          </cell>
          <cell r="M877" t="e">
            <v>#N/A</v>
          </cell>
          <cell r="N877">
            <v>16.5</v>
          </cell>
          <cell r="O877" t="e">
            <v>#N/A</v>
          </cell>
          <cell r="P877" t="str">
            <v/>
          </cell>
          <cell r="Q877" t="str">
            <v/>
          </cell>
          <cell r="R877">
            <v>16.5</v>
          </cell>
        </row>
        <row r="878">
          <cell r="A878" t="str">
            <v/>
          </cell>
          <cell r="B878" t="str">
            <v/>
          </cell>
          <cell r="C878" t="str">
            <v>Future</v>
          </cell>
          <cell r="D878" t="e">
            <v>#N/A</v>
          </cell>
          <cell r="E878">
            <v>-3.3243243243243761</v>
          </cell>
          <cell r="F878">
            <v>18.229729729729936</v>
          </cell>
          <cell r="G878">
            <v>13.918918918918958</v>
          </cell>
          <cell r="H878">
            <v>13.918918918918958</v>
          </cell>
          <cell r="I878" t="e">
            <v>#N/A</v>
          </cell>
          <cell r="J878" t="e">
            <v>#N/A</v>
          </cell>
          <cell r="K878">
            <v>17.5</v>
          </cell>
          <cell r="L878">
            <v>14</v>
          </cell>
          <cell r="M878" t="e">
            <v>#N/A</v>
          </cell>
          <cell r="N878">
            <v>16.5</v>
          </cell>
          <cell r="O878" t="e">
            <v>#N/A</v>
          </cell>
          <cell r="P878" t="str">
            <v/>
          </cell>
          <cell r="Q878" t="str">
            <v/>
          </cell>
          <cell r="R878">
            <v>16.5</v>
          </cell>
        </row>
        <row r="879">
          <cell r="A879" t="str">
            <v/>
          </cell>
          <cell r="B879" t="str">
            <v/>
          </cell>
          <cell r="C879" t="str">
            <v>Future</v>
          </cell>
          <cell r="D879" t="e">
            <v>#N/A</v>
          </cell>
          <cell r="E879">
            <v>-3.3797297297297817</v>
          </cell>
          <cell r="F879">
            <v>18.241891891892099</v>
          </cell>
          <cell r="G879">
            <v>13.917567567567607</v>
          </cell>
          <cell r="H879">
            <v>13.917567567567607</v>
          </cell>
          <cell r="I879" t="e">
            <v>#N/A</v>
          </cell>
          <cell r="J879" t="e">
            <v>#N/A</v>
          </cell>
          <cell r="K879">
            <v>17.5</v>
          </cell>
          <cell r="L879">
            <v>14</v>
          </cell>
          <cell r="M879" t="e">
            <v>#N/A</v>
          </cell>
          <cell r="N879">
            <v>16.5</v>
          </cell>
          <cell r="O879" t="e">
            <v>#N/A</v>
          </cell>
          <cell r="P879" t="str">
            <v/>
          </cell>
          <cell r="Q879" t="str">
            <v/>
          </cell>
          <cell r="R879">
            <v>16.5</v>
          </cell>
        </row>
        <row r="880">
          <cell r="A880" t="str">
            <v/>
          </cell>
          <cell r="B880" t="str">
            <v/>
          </cell>
          <cell r="C880" t="str">
            <v>Future</v>
          </cell>
          <cell r="D880" t="e">
            <v>#N/A</v>
          </cell>
          <cell r="E880">
            <v>-3.4351351351351873</v>
          </cell>
          <cell r="F880">
            <v>18.254054054054262</v>
          </cell>
          <cell r="G880">
            <v>13.916216216216256</v>
          </cell>
          <cell r="H880">
            <v>13.916216216216256</v>
          </cell>
          <cell r="I880" t="e">
            <v>#N/A</v>
          </cell>
          <cell r="J880" t="e">
            <v>#N/A</v>
          </cell>
          <cell r="K880">
            <v>17.5</v>
          </cell>
          <cell r="L880">
            <v>14</v>
          </cell>
          <cell r="M880" t="e">
            <v>#N/A</v>
          </cell>
          <cell r="N880">
            <v>16.5</v>
          </cell>
          <cell r="O880" t="e">
            <v>#N/A</v>
          </cell>
          <cell r="P880" t="str">
            <v/>
          </cell>
          <cell r="Q880" t="str">
            <v/>
          </cell>
          <cell r="R880">
            <v>16.5</v>
          </cell>
        </row>
        <row r="881">
          <cell r="A881" t="str">
            <v/>
          </cell>
          <cell r="B881" t="str">
            <v/>
          </cell>
          <cell r="C881" t="str">
            <v>Future</v>
          </cell>
          <cell r="D881" t="e">
            <v>#N/A</v>
          </cell>
          <cell r="E881">
            <v>-3.4905405405405929</v>
          </cell>
          <cell r="F881">
            <v>18.266216216216424</v>
          </cell>
          <cell r="G881">
            <v>13.914864864864905</v>
          </cell>
          <cell r="H881">
            <v>13.914864864864905</v>
          </cell>
          <cell r="I881" t="e">
            <v>#N/A</v>
          </cell>
          <cell r="J881" t="e">
            <v>#N/A</v>
          </cell>
          <cell r="K881">
            <v>17.5</v>
          </cell>
          <cell r="L881">
            <v>14</v>
          </cell>
          <cell r="M881" t="e">
            <v>#N/A</v>
          </cell>
          <cell r="N881">
            <v>16.5</v>
          </cell>
          <cell r="O881" t="e">
            <v>#N/A</v>
          </cell>
          <cell r="P881" t="str">
            <v/>
          </cell>
          <cell r="Q881" t="str">
            <v/>
          </cell>
          <cell r="R881">
            <v>16.5</v>
          </cell>
        </row>
        <row r="882">
          <cell r="A882" t="str">
            <v/>
          </cell>
          <cell r="B882" t="str">
            <v/>
          </cell>
          <cell r="C882" t="str">
            <v>Future</v>
          </cell>
          <cell r="D882" t="e">
            <v>#N/A</v>
          </cell>
          <cell r="E882">
            <v>-3.5459459459459985</v>
          </cell>
          <cell r="F882">
            <v>18.278378378378587</v>
          </cell>
          <cell r="G882">
            <v>13.913513513513553</v>
          </cell>
          <cell r="H882">
            <v>13.913513513513553</v>
          </cell>
          <cell r="I882" t="e">
            <v>#N/A</v>
          </cell>
          <cell r="J882" t="e">
            <v>#N/A</v>
          </cell>
          <cell r="K882">
            <v>17.5</v>
          </cell>
          <cell r="L882">
            <v>14</v>
          </cell>
          <cell r="M882" t="e">
            <v>#N/A</v>
          </cell>
          <cell r="N882">
            <v>16.5</v>
          </cell>
          <cell r="O882" t="e">
            <v>#N/A</v>
          </cell>
          <cell r="P882" t="str">
            <v/>
          </cell>
          <cell r="Q882" t="str">
            <v/>
          </cell>
          <cell r="R882">
            <v>16.5</v>
          </cell>
        </row>
        <row r="883">
          <cell r="A883" t="str">
            <v/>
          </cell>
          <cell r="B883" t="str">
            <v/>
          </cell>
          <cell r="C883" t="str">
            <v>Future</v>
          </cell>
          <cell r="D883" t="e">
            <v>#N/A</v>
          </cell>
          <cell r="E883">
            <v>-3.6013513513514042</v>
          </cell>
          <cell r="F883">
            <v>18.29054054054075</v>
          </cell>
          <cell r="G883">
            <v>13.912162162162202</v>
          </cell>
          <cell r="H883">
            <v>13.912162162162202</v>
          </cell>
          <cell r="I883" t="e">
            <v>#N/A</v>
          </cell>
          <cell r="J883" t="e">
            <v>#N/A</v>
          </cell>
          <cell r="K883">
            <v>17.5</v>
          </cell>
          <cell r="L883">
            <v>14</v>
          </cell>
          <cell r="M883" t="e">
            <v>#N/A</v>
          </cell>
          <cell r="N883">
            <v>16.5</v>
          </cell>
          <cell r="O883" t="e">
            <v>#N/A</v>
          </cell>
          <cell r="P883" t="str">
            <v/>
          </cell>
          <cell r="Q883" t="str">
            <v/>
          </cell>
          <cell r="R883">
            <v>16.5</v>
          </cell>
        </row>
        <row r="884">
          <cell r="A884" t="str">
            <v/>
          </cell>
          <cell r="B884" t="str">
            <v/>
          </cell>
          <cell r="C884" t="str">
            <v>Future</v>
          </cell>
          <cell r="D884" t="e">
            <v>#N/A</v>
          </cell>
          <cell r="E884">
            <v>-3.6567567567568098</v>
          </cell>
          <cell r="F884">
            <v>18.302702702702913</v>
          </cell>
          <cell r="G884">
            <v>13.910810810810851</v>
          </cell>
          <cell r="H884">
            <v>13.910810810810851</v>
          </cell>
          <cell r="I884" t="e">
            <v>#N/A</v>
          </cell>
          <cell r="J884" t="e">
            <v>#N/A</v>
          </cell>
          <cell r="K884">
            <v>17.5</v>
          </cell>
          <cell r="L884">
            <v>14</v>
          </cell>
          <cell r="M884" t="e">
            <v>#N/A</v>
          </cell>
          <cell r="N884">
            <v>16.5</v>
          </cell>
          <cell r="O884" t="e">
            <v>#N/A</v>
          </cell>
          <cell r="P884" t="str">
            <v/>
          </cell>
          <cell r="Q884" t="str">
            <v/>
          </cell>
          <cell r="R884">
            <v>16.5</v>
          </cell>
        </row>
        <row r="885">
          <cell r="A885" t="str">
            <v/>
          </cell>
          <cell r="B885" t="str">
            <v/>
          </cell>
          <cell r="C885" t="str">
            <v>Future</v>
          </cell>
          <cell r="D885" t="e">
            <v>#N/A</v>
          </cell>
          <cell r="E885">
            <v>-3.7121621621622154</v>
          </cell>
          <cell r="F885">
            <v>18.314864864865076</v>
          </cell>
          <cell r="G885">
            <v>13.9094594594595</v>
          </cell>
          <cell r="H885">
            <v>13.9094594594595</v>
          </cell>
          <cell r="I885" t="e">
            <v>#N/A</v>
          </cell>
          <cell r="J885" t="e">
            <v>#N/A</v>
          </cell>
          <cell r="K885">
            <v>17.5</v>
          </cell>
          <cell r="L885">
            <v>14</v>
          </cell>
          <cell r="M885" t="e">
            <v>#N/A</v>
          </cell>
          <cell r="N885">
            <v>16.5</v>
          </cell>
          <cell r="O885" t="e">
            <v>#N/A</v>
          </cell>
          <cell r="P885" t="str">
            <v/>
          </cell>
          <cell r="Q885" t="str">
            <v/>
          </cell>
          <cell r="R885">
            <v>16.5</v>
          </cell>
        </row>
        <row r="886">
          <cell r="A886" t="str">
            <v/>
          </cell>
          <cell r="B886" t="str">
            <v/>
          </cell>
          <cell r="C886" t="str">
            <v>Future</v>
          </cell>
          <cell r="D886" t="e">
            <v>#N/A</v>
          </cell>
          <cell r="E886">
            <v>-3.767567567567621</v>
          </cell>
          <cell r="F886">
            <v>18.327027027027238</v>
          </cell>
          <cell r="G886">
            <v>13.908108108108149</v>
          </cell>
          <cell r="H886">
            <v>13.908108108108149</v>
          </cell>
          <cell r="I886" t="e">
            <v>#N/A</v>
          </cell>
          <cell r="J886" t="e">
            <v>#N/A</v>
          </cell>
          <cell r="K886">
            <v>17.5</v>
          </cell>
          <cell r="L886">
            <v>14</v>
          </cell>
          <cell r="M886" t="e">
            <v>#N/A</v>
          </cell>
          <cell r="N886">
            <v>16.5</v>
          </cell>
          <cell r="O886" t="e">
            <v>#N/A</v>
          </cell>
          <cell r="P886" t="str">
            <v/>
          </cell>
          <cell r="Q886" t="str">
            <v/>
          </cell>
          <cell r="R886">
            <v>16.5</v>
          </cell>
        </row>
        <row r="887">
          <cell r="A887" t="str">
            <v/>
          </cell>
          <cell r="B887" t="str">
            <v/>
          </cell>
          <cell r="C887" t="str">
            <v>Future</v>
          </cell>
          <cell r="D887" t="e">
            <v>#N/A</v>
          </cell>
          <cell r="E887">
            <v>-3.8229729729730266</v>
          </cell>
          <cell r="F887">
            <v>18.339189189189401</v>
          </cell>
          <cell r="G887">
            <v>13.906756756756797</v>
          </cell>
          <cell r="H887">
            <v>13.906756756756797</v>
          </cell>
          <cell r="I887" t="e">
            <v>#N/A</v>
          </cell>
          <cell r="J887" t="e">
            <v>#N/A</v>
          </cell>
          <cell r="K887">
            <v>17.5</v>
          </cell>
          <cell r="L887">
            <v>14</v>
          </cell>
          <cell r="M887" t="e">
            <v>#N/A</v>
          </cell>
          <cell r="N887">
            <v>16.5</v>
          </cell>
          <cell r="O887" t="e">
            <v>#N/A</v>
          </cell>
          <cell r="P887" t="str">
            <v/>
          </cell>
          <cell r="Q887" t="str">
            <v/>
          </cell>
          <cell r="R887">
            <v>16.5</v>
          </cell>
        </row>
        <row r="888">
          <cell r="A888" t="str">
            <v/>
          </cell>
          <cell r="B888" t="str">
            <v/>
          </cell>
          <cell r="C888" t="str">
            <v>Future</v>
          </cell>
          <cell r="D888" t="e">
            <v>#N/A</v>
          </cell>
          <cell r="E888">
            <v>-3.8783783783784322</v>
          </cell>
          <cell r="F888">
            <v>18.351351351351564</v>
          </cell>
          <cell r="G888">
            <v>13.905405405405446</v>
          </cell>
          <cell r="H888">
            <v>13.905405405405446</v>
          </cell>
          <cell r="I888" t="e">
            <v>#N/A</v>
          </cell>
          <cell r="J888" t="e">
            <v>#N/A</v>
          </cell>
          <cell r="K888">
            <v>17.5</v>
          </cell>
          <cell r="L888">
            <v>14</v>
          </cell>
          <cell r="M888" t="e">
            <v>#N/A</v>
          </cell>
          <cell r="N888">
            <v>16.5</v>
          </cell>
          <cell r="O888" t="e">
            <v>#N/A</v>
          </cell>
          <cell r="P888" t="str">
            <v/>
          </cell>
          <cell r="Q888" t="str">
            <v/>
          </cell>
          <cell r="R888">
            <v>16.5</v>
          </cell>
        </row>
        <row r="889">
          <cell r="A889" t="str">
            <v/>
          </cell>
          <cell r="B889" t="str">
            <v/>
          </cell>
          <cell r="C889" t="str">
            <v>Future</v>
          </cell>
          <cell r="D889" t="e">
            <v>#N/A</v>
          </cell>
          <cell r="E889">
            <v>-3.9337837837838379</v>
          </cell>
          <cell r="F889">
            <v>18.363513513513727</v>
          </cell>
          <cell r="G889">
            <v>13.904054054054095</v>
          </cell>
          <cell r="H889">
            <v>13.904054054054095</v>
          </cell>
          <cell r="I889" t="e">
            <v>#N/A</v>
          </cell>
          <cell r="J889" t="e">
            <v>#N/A</v>
          </cell>
          <cell r="K889">
            <v>17.5</v>
          </cell>
          <cell r="L889">
            <v>14</v>
          </cell>
          <cell r="M889" t="e">
            <v>#N/A</v>
          </cell>
          <cell r="N889">
            <v>16.5</v>
          </cell>
          <cell r="O889" t="e">
            <v>#N/A</v>
          </cell>
          <cell r="P889" t="str">
            <v/>
          </cell>
          <cell r="Q889" t="str">
            <v/>
          </cell>
          <cell r="R889">
            <v>16.5</v>
          </cell>
        </row>
        <row r="890">
          <cell r="A890" t="str">
            <v/>
          </cell>
          <cell r="B890" t="str">
            <v/>
          </cell>
          <cell r="C890" t="str">
            <v>Future</v>
          </cell>
          <cell r="D890" t="e">
            <v>#N/A</v>
          </cell>
          <cell r="E890">
            <v>-3.9891891891892435</v>
          </cell>
          <cell r="F890">
            <v>18.37567567567589</v>
          </cell>
          <cell r="G890">
            <v>13.902702702702744</v>
          </cell>
          <cell r="H890">
            <v>13.902702702702744</v>
          </cell>
          <cell r="I890" t="e">
            <v>#N/A</v>
          </cell>
          <cell r="J890" t="e">
            <v>#N/A</v>
          </cell>
          <cell r="K890">
            <v>17.5</v>
          </cell>
          <cell r="L890">
            <v>14</v>
          </cell>
          <cell r="M890" t="e">
            <v>#N/A</v>
          </cell>
          <cell r="N890">
            <v>16.5</v>
          </cell>
          <cell r="O890" t="e">
            <v>#N/A</v>
          </cell>
          <cell r="P890" t="str">
            <v/>
          </cell>
          <cell r="Q890" t="str">
            <v/>
          </cell>
          <cell r="R890">
            <v>16.5</v>
          </cell>
        </row>
        <row r="891">
          <cell r="A891" t="str">
            <v/>
          </cell>
          <cell r="B891" t="str">
            <v/>
          </cell>
          <cell r="C891" t="str">
            <v>Future</v>
          </cell>
          <cell r="D891" t="e">
            <v>#N/A</v>
          </cell>
          <cell r="E891">
            <v>-4.0445945945946491</v>
          </cell>
          <cell r="F891">
            <v>18.387837837838052</v>
          </cell>
          <cell r="G891">
            <v>13.901351351351392</v>
          </cell>
          <cell r="H891">
            <v>13.901351351351392</v>
          </cell>
          <cell r="I891" t="e">
            <v>#N/A</v>
          </cell>
          <cell r="J891" t="e">
            <v>#N/A</v>
          </cell>
          <cell r="K891">
            <v>17.5</v>
          </cell>
          <cell r="L891">
            <v>14</v>
          </cell>
          <cell r="M891" t="e">
            <v>#N/A</v>
          </cell>
          <cell r="N891">
            <v>16.5</v>
          </cell>
          <cell r="O891" t="e">
            <v>#N/A</v>
          </cell>
          <cell r="P891" t="str">
            <v/>
          </cell>
          <cell r="Q891" t="str">
            <v/>
          </cell>
          <cell r="R891">
            <v>16.5</v>
          </cell>
        </row>
        <row r="892">
          <cell r="A892" t="str">
            <v/>
          </cell>
          <cell r="B892" t="str">
            <v/>
          </cell>
          <cell r="C892" t="str">
            <v>Future</v>
          </cell>
          <cell r="D892" t="e">
            <v>#N/A</v>
          </cell>
          <cell r="E892">
            <v>-4.1000000000000547</v>
          </cell>
          <cell r="F892">
            <v>18.400000000000215</v>
          </cell>
          <cell r="G892">
            <v>13.900000000000041</v>
          </cell>
          <cell r="H892">
            <v>13.900000000000041</v>
          </cell>
          <cell r="I892" t="e">
            <v>#N/A</v>
          </cell>
          <cell r="J892" t="e">
            <v>#N/A</v>
          </cell>
          <cell r="K892">
            <v>17.5</v>
          </cell>
          <cell r="L892">
            <v>14</v>
          </cell>
          <cell r="M892" t="e">
            <v>#N/A</v>
          </cell>
          <cell r="N892">
            <v>16.5</v>
          </cell>
          <cell r="O892" t="e">
            <v>#N/A</v>
          </cell>
          <cell r="P892" t="str">
            <v/>
          </cell>
          <cell r="Q892" t="str">
            <v/>
          </cell>
          <cell r="R892">
            <v>16.5</v>
          </cell>
        </row>
        <row r="893">
          <cell r="A893" t="str">
            <v/>
          </cell>
          <cell r="B893" t="str">
            <v/>
          </cell>
          <cell r="C893" t="str">
            <v>Future</v>
          </cell>
          <cell r="D893" t="e">
            <v>#N/A</v>
          </cell>
          <cell r="E893">
            <v>-4.1554054054054603</v>
          </cell>
          <cell r="F893">
            <v>18.412162162162378</v>
          </cell>
          <cell r="G893">
            <v>13.89864864864869</v>
          </cell>
          <cell r="H893">
            <v>13.89864864864869</v>
          </cell>
          <cell r="I893" t="e">
            <v>#N/A</v>
          </cell>
          <cell r="J893" t="e">
            <v>#N/A</v>
          </cell>
          <cell r="K893">
            <v>17.5</v>
          </cell>
          <cell r="L893">
            <v>14</v>
          </cell>
          <cell r="M893" t="e">
            <v>#N/A</v>
          </cell>
          <cell r="N893">
            <v>16.5</v>
          </cell>
          <cell r="O893" t="e">
            <v>#N/A</v>
          </cell>
          <cell r="P893" t="str">
            <v/>
          </cell>
          <cell r="Q893" t="str">
            <v/>
          </cell>
          <cell r="R893">
            <v>16.5</v>
          </cell>
        </row>
        <row r="894">
          <cell r="A894" t="str">
            <v/>
          </cell>
          <cell r="B894" t="str">
            <v/>
          </cell>
          <cell r="C894" t="str">
            <v>Future</v>
          </cell>
          <cell r="D894" t="e">
            <v>#N/A</v>
          </cell>
          <cell r="E894">
            <v>-4.2108108108108659</v>
          </cell>
          <cell r="F894">
            <v>18.424324324324541</v>
          </cell>
          <cell r="G894">
            <v>13.897297297297339</v>
          </cell>
          <cell r="H894">
            <v>13.897297297297339</v>
          </cell>
          <cell r="I894" t="e">
            <v>#N/A</v>
          </cell>
          <cell r="J894" t="e">
            <v>#N/A</v>
          </cell>
          <cell r="K894">
            <v>17.5</v>
          </cell>
          <cell r="L894">
            <v>14</v>
          </cell>
          <cell r="M894" t="e">
            <v>#N/A</v>
          </cell>
          <cell r="N894">
            <v>16.5</v>
          </cell>
          <cell r="O894" t="e">
            <v>#N/A</v>
          </cell>
          <cell r="P894" t="str">
            <v/>
          </cell>
          <cell r="Q894" t="str">
            <v/>
          </cell>
          <cell r="R894">
            <v>16.5</v>
          </cell>
        </row>
        <row r="895">
          <cell r="A895" t="str">
            <v/>
          </cell>
          <cell r="B895" t="str">
            <v/>
          </cell>
          <cell r="C895" t="str">
            <v>Future</v>
          </cell>
          <cell r="D895" t="e">
            <v>#N/A</v>
          </cell>
          <cell r="E895">
            <v>-4.2662162162162716</v>
          </cell>
          <cell r="F895">
            <v>18.436486486486704</v>
          </cell>
          <cell r="G895">
            <v>13.895945945945988</v>
          </cell>
          <cell r="H895">
            <v>13.895945945945988</v>
          </cell>
          <cell r="I895" t="e">
            <v>#N/A</v>
          </cell>
          <cell r="J895" t="e">
            <v>#N/A</v>
          </cell>
          <cell r="K895">
            <v>17.5</v>
          </cell>
          <cell r="L895">
            <v>14</v>
          </cell>
          <cell r="M895" t="e">
            <v>#N/A</v>
          </cell>
          <cell r="N895">
            <v>16.5</v>
          </cell>
          <cell r="O895" t="e">
            <v>#N/A</v>
          </cell>
          <cell r="P895" t="str">
            <v/>
          </cell>
          <cell r="Q895" t="str">
            <v/>
          </cell>
          <cell r="R895">
            <v>16.5</v>
          </cell>
        </row>
        <row r="896">
          <cell r="A896" t="str">
            <v/>
          </cell>
          <cell r="B896" t="str">
            <v/>
          </cell>
          <cell r="C896" t="str">
            <v>Future</v>
          </cell>
          <cell r="D896" t="e">
            <v>#N/A</v>
          </cell>
          <cell r="E896">
            <v>-4.3216216216216772</v>
          </cell>
          <cell r="F896">
            <v>18.448648648648867</v>
          </cell>
          <cell r="G896">
            <v>13.894594594594636</v>
          </cell>
          <cell r="H896">
            <v>13.894594594594636</v>
          </cell>
          <cell r="I896" t="e">
            <v>#N/A</v>
          </cell>
          <cell r="J896" t="e">
            <v>#N/A</v>
          </cell>
          <cell r="K896">
            <v>17.5</v>
          </cell>
          <cell r="L896">
            <v>14</v>
          </cell>
          <cell r="M896" t="e">
            <v>#N/A</v>
          </cell>
          <cell r="N896">
            <v>16.5</v>
          </cell>
          <cell r="O896" t="e">
            <v>#N/A</v>
          </cell>
          <cell r="P896" t="str">
            <v/>
          </cell>
          <cell r="Q896" t="str">
            <v/>
          </cell>
          <cell r="R896">
            <v>16.5</v>
          </cell>
        </row>
        <row r="897">
          <cell r="A897" t="str">
            <v/>
          </cell>
          <cell r="B897" t="str">
            <v/>
          </cell>
          <cell r="C897" t="str">
            <v>Future</v>
          </cell>
          <cell r="D897" t="e">
            <v>#N/A</v>
          </cell>
          <cell r="E897">
            <v>-4.3770270270270828</v>
          </cell>
          <cell r="F897">
            <v>18.460810810811029</v>
          </cell>
          <cell r="G897">
            <v>13.893243243243285</v>
          </cell>
          <cell r="H897">
            <v>13.893243243243285</v>
          </cell>
          <cell r="I897" t="e">
            <v>#N/A</v>
          </cell>
          <cell r="J897" t="e">
            <v>#N/A</v>
          </cell>
          <cell r="K897">
            <v>17.5</v>
          </cell>
          <cell r="L897">
            <v>14</v>
          </cell>
          <cell r="M897" t="e">
            <v>#N/A</v>
          </cell>
          <cell r="N897">
            <v>16.5</v>
          </cell>
          <cell r="O897" t="e">
            <v>#N/A</v>
          </cell>
          <cell r="P897" t="str">
            <v/>
          </cell>
          <cell r="Q897" t="str">
            <v/>
          </cell>
          <cell r="R897">
            <v>16.5</v>
          </cell>
        </row>
        <row r="898">
          <cell r="A898" t="str">
            <v/>
          </cell>
          <cell r="B898" t="str">
            <v/>
          </cell>
          <cell r="C898" t="str">
            <v>Future</v>
          </cell>
          <cell r="D898" t="e">
            <v>#N/A</v>
          </cell>
          <cell r="E898">
            <v>-4.4324324324324884</v>
          </cell>
          <cell r="F898">
            <v>18.472972972973192</v>
          </cell>
          <cell r="G898">
            <v>13.891891891891934</v>
          </cell>
          <cell r="H898">
            <v>13.891891891891934</v>
          </cell>
          <cell r="I898" t="e">
            <v>#N/A</v>
          </cell>
          <cell r="J898" t="e">
            <v>#N/A</v>
          </cell>
          <cell r="K898">
            <v>17.5</v>
          </cell>
          <cell r="L898">
            <v>14</v>
          </cell>
          <cell r="M898" t="e">
            <v>#N/A</v>
          </cell>
          <cell r="N898">
            <v>16.5</v>
          </cell>
          <cell r="O898" t="e">
            <v>#N/A</v>
          </cell>
          <cell r="P898" t="str">
            <v/>
          </cell>
          <cell r="Q898" t="str">
            <v/>
          </cell>
          <cell r="R898">
            <v>16.5</v>
          </cell>
        </row>
        <row r="899">
          <cell r="A899" t="str">
            <v/>
          </cell>
          <cell r="B899" t="str">
            <v/>
          </cell>
          <cell r="C899" t="str">
            <v>Future</v>
          </cell>
          <cell r="D899" t="e">
            <v>#N/A</v>
          </cell>
          <cell r="E899">
            <v>-4.487837837837894</v>
          </cell>
          <cell r="F899">
            <v>18.485135135135355</v>
          </cell>
          <cell r="G899">
            <v>13.890540540540583</v>
          </cell>
          <cell r="H899">
            <v>13.890540540540583</v>
          </cell>
          <cell r="I899" t="e">
            <v>#N/A</v>
          </cell>
          <cell r="J899" t="e">
            <v>#N/A</v>
          </cell>
          <cell r="K899">
            <v>17.5</v>
          </cell>
          <cell r="L899">
            <v>14</v>
          </cell>
          <cell r="M899" t="e">
            <v>#N/A</v>
          </cell>
          <cell r="N899">
            <v>16.5</v>
          </cell>
          <cell r="O899" t="e">
            <v>#N/A</v>
          </cell>
          <cell r="P899" t="str">
            <v/>
          </cell>
          <cell r="Q899" t="str">
            <v/>
          </cell>
          <cell r="R899">
            <v>16.5</v>
          </cell>
        </row>
        <row r="900">
          <cell r="A900" t="str">
            <v/>
          </cell>
          <cell r="B900" t="str">
            <v/>
          </cell>
          <cell r="C900" t="str">
            <v>Future</v>
          </cell>
          <cell r="D900" t="e">
            <v>#N/A</v>
          </cell>
          <cell r="E900">
            <v>-4.5432432432432996</v>
          </cell>
          <cell r="F900">
            <v>18.497297297297518</v>
          </cell>
          <cell r="G900">
            <v>13.889189189189231</v>
          </cell>
          <cell r="H900">
            <v>13.889189189189231</v>
          </cell>
          <cell r="I900" t="e">
            <v>#N/A</v>
          </cell>
          <cell r="J900" t="e">
            <v>#N/A</v>
          </cell>
          <cell r="K900">
            <v>17.5</v>
          </cell>
          <cell r="L900">
            <v>14</v>
          </cell>
          <cell r="M900" t="e">
            <v>#N/A</v>
          </cell>
          <cell r="N900">
            <v>16.5</v>
          </cell>
          <cell r="O900" t="e">
            <v>#N/A</v>
          </cell>
          <cell r="P900" t="str">
            <v/>
          </cell>
          <cell r="Q900" t="str">
            <v/>
          </cell>
          <cell r="R900">
            <v>16.5</v>
          </cell>
        </row>
        <row r="901">
          <cell r="A901" t="str">
            <v/>
          </cell>
          <cell r="B901" t="str">
            <v/>
          </cell>
          <cell r="C901" t="str">
            <v>Future</v>
          </cell>
          <cell r="D901" t="e">
            <v>#N/A</v>
          </cell>
          <cell r="E901">
            <v>-4.5986486486487053</v>
          </cell>
          <cell r="F901">
            <v>18.509459459459681</v>
          </cell>
          <cell r="G901">
            <v>13.88783783783788</v>
          </cell>
          <cell r="H901">
            <v>13.88783783783788</v>
          </cell>
          <cell r="I901" t="e">
            <v>#N/A</v>
          </cell>
          <cell r="J901" t="e">
            <v>#N/A</v>
          </cell>
          <cell r="K901">
            <v>17.5</v>
          </cell>
          <cell r="L901">
            <v>14</v>
          </cell>
          <cell r="M901" t="e">
            <v>#N/A</v>
          </cell>
          <cell r="N901">
            <v>16.5</v>
          </cell>
          <cell r="O901" t="e">
            <v>#N/A</v>
          </cell>
          <cell r="P901" t="str">
            <v/>
          </cell>
          <cell r="Q901" t="str">
            <v/>
          </cell>
          <cell r="R901">
            <v>16.5</v>
          </cell>
        </row>
        <row r="902">
          <cell r="A902" t="str">
            <v/>
          </cell>
          <cell r="B902" t="str">
            <v/>
          </cell>
          <cell r="C902" t="str">
            <v>Future</v>
          </cell>
          <cell r="D902" t="e">
            <v>#N/A</v>
          </cell>
          <cell r="E902">
            <v>-4.6540540540541109</v>
          </cell>
          <cell r="F902">
            <v>18.521621621621843</v>
          </cell>
          <cell r="G902">
            <v>13.886486486486529</v>
          </cell>
          <cell r="H902">
            <v>13.886486486486529</v>
          </cell>
          <cell r="I902" t="e">
            <v>#N/A</v>
          </cell>
          <cell r="J902" t="e">
            <v>#N/A</v>
          </cell>
          <cell r="K902">
            <v>17.5</v>
          </cell>
          <cell r="L902">
            <v>14</v>
          </cell>
          <cell r="M902" t="e">
            <v>#N/A</v>
          </cell>
          <cell r="N902">
            <v>16.5</v>
          </cell>
          <cell r="O902" t="e">
            <v>#N/A</v>
          </cell>
          <cell r="P902" t="str">
            <v/>
          </cell>
          <cell r="Q902" t="str">
            <v/>
          </cell>
          <cell r="R902">
            <v>16.5</v>
          </cell>
        </row>
        <row r="903">
          <cell r="A903" t="str">
            <v/>
          </cell>
          <cell r="B903" t="str">
            <v/>
          </cell>
          <cell r="C903" t="str">
            <v>Future</v>
          </cell>
          <cell r="D903" t="e">
            <v>#N/A</v>
          </cell>
          <cell r="E903">
            <v>-4.7094594594595165</v>
          </cell>
          <cell r="F903">
            <v>18.533783783784006</v>
          </cell>
          <cell r="G903">
            <v>13.885135135135178</v>
          </cell>
          <cell r="H903">
            <v>13.885135135135178</v>
          </cell>
          <cell r="I903" t="e">
            <v>#N/A</v>
          </cell>
          <cell r="J903" t="e">
            <v>#N/A</v>
          </cell>
          <cell r="K903">
            <v>17.5</v>
          </cell>
          <cell r="L903">
            <v>14</v>
          </cell>
          <cell r="M903" t="e">
            <v>#N/A</v>
          </cell>
          <cell r="N903">
            <v>16.5</v>
          </cell>
          <cell r="O903" t="e">
            <v>#N/A</v>
          </cell>
          <cell r="P903" t="str">
            <v/>
          </cell>
          <cell r="Q903" t="str">
            <v/>
          </cell>
          <cell r="R903">
            <v>16.5</v>
          </cell>
        </row>
        <row r="904">
          <cell r="A904" t="str">
            <v/>
          </cell>
          <cell r="B904" t="str">
            <v/>
          </cell>
          <cell r="C904" t="str">
            <v>Future</v>
          </cell>
          <cell r="D904" t="e">
            <v>#N/A</v>
          </cell>
          <cell r="E904">
            <v>-4.7648648648649221</v>
          </cell>
          <cell r="F904">
            <v>18.545945945946169</v>
          </cell>
          <cell r="G904">
            <v>13.883783783783826</v>
          </cell>
          <cell r="H904">
            <v>13.883783783783826</v>
          </cell>
          <cell r="I904" t="e">
            <v>#N/A</v>
          </cell>
          <cell r="J904" t="e">
            <v>#N/A</v>
          </cell>
          <cell r="K904">
            <v>17.5</v>
          </cell>
          <cell r="L904">
            <v>14</v>
          </cell>
          <cell r="M904" t="e">
            <v>#N/A</v>
          </cell>
          <cell r="N904">
            <v>16.5</v>
          </cell>
          <cell r="O904" t="e">
            <v>#N/A</v>
          </cell>
          <cell r="P904" t="str">
            <v/>
          </cell>
          <cell r="Q904" t="str">
            <v/>
          </cell>
          <cell r="R904">
            <v>16.5</v>
          </cell>
        </row>
        <row r="905">
          <cell r="A905" t="str">
            <v/>
          </cell>
          <cell r="B905" t="str">
            <v/>
          </cell>
          <cell r="C905" t="str">
            <v>Future</v>
          </cell>
          <cell r="D905" t="e">
            <v>#N/A</v>
          </cell>
          <cell r="E905">
            <v>-4.8202702702703277</v>
          </cell>
          <cell r="F905">
            <v>18.558108108108332</v>
          </cell>
          <cell r="G905">
            <v>13.882432432432475</v>
          </cell>
          <cell r="H905">
            <v>13.882432432432475</v>
          </cell>
          <cell r="I905" t="e">
            <v>#N/A</v>
          </cell>
          <cell r="J905" t="e">
            <v>#N/A</v>
          </cell>
          <cell r="K905">
            <v>17.5</v>
          </cell>
          <cell r="L905">
            <v>14</v>
          </cell>
          <cell r="M905" t="e">
            <v>#N/A</v>
          </cell>
          <cell r="N905">
            <v>16.5</v>
          </cell>
          <cell r="O905" t="e">
            <v>#N/A</v>
          </cell>
          <cell r="P905" t="str">
            <v/>
          </cell>
          <cell r="Q905" t="str">
            <v/>
          </cell>
          <cell r="R905">
            <v>16.5</v>
          </cell>
        </row>
        <row r="906">
          <cell r="A906" t="str">
            <v/>
          </cell>
          <cell r="B906" t="str">
            <v/>
          </cell>
          <cell r="C906" t="str">
            <v>Future</v>
          </cell>
          <cell r="D906" t="e">
            <v>#N/A</v>
          </cell>
          <cell r="E906">
            <v>-4.8756756756757333</v>
          </cell>
          <cell r="F906">
            <v>18.570270270270495</v>
          </cell>
          <cell r="G906">
            <v>13.881081081081124</v>
          </cell>
          <cell r="H906">
            <v>13.881081081081124</v>
          </cell>
          <cell r="I906" t="e">
            <v>#N/A</v>
          </cell>
          <cell r="J906" t="e">
            <v>#N/A</v>
          </cell>
          <cell r="K906">
            <v>17.5</v>
          </cell>
          <cell r="L906">
            <v>14</v>
          </cell>
          <cell r="M906" t="e">
            <v>#N/A</v>
          </cell>
          <cell r="N906">
            <v>16.5</v>
          </cell>
          <cell r="O906" t="e">
            <v>#N/A</v>
          </cell>
          <cell r="P906" t="str">
            <v/>
          </cell>
          <cell r="Q906" t="str">
            <v/>
          </cell>
          <cell r="R906">
            <v>16.5</v>
          </cell>
        </row>
        <row r="907">
          <cell r="A907" t="str">
            <v/>
          </cell>
          <cell r="B907" t="str">
            <v/>
          </cell>
          <cell r="C907" t="str">
            <v>Future</v>
          </cell>
          <cell r="D907" t="e">
            <v>#N/A</v>
          </cell>
          <cell r="E907">
            <v>-4.931081081081139</v>
          </cell>
          <cell r="F907">
            <v>18.582432432432658</v>
          </cell>
          <cell r="G907">
            <v>13.879729729729773</v>
          </cell>
          <cell r="H907">
            <v>13.879729729729773</v>
          </cell>
          <cell r="I907" t="e">
            <v>#N/A</v>
          </cell>
          <cell r="J907" t="e">
            <v>#N/A</v>
          </cell>
          <cell r="K907">
            <v>17.5</v>
          </cell>
          <cell r="L907">
            <v>14</v>
          </cell>
          <cell r="M907" t="e">
            <v>#N/A</v>
          </cell>
          <cell r="N907">
            <v>16.5</v>
          </cell>
          <cell r="O907" t="e">
            <v>#N/A</v>
          </cell>
          <cell r="P907" t="str">
            <v/>
          </cell>
          <cell r="Q907" t="str">
            <v/>
          </cell>
          <cell r="R907">
            <v>16.5</v>
          </cell>
        </row>
        <row r="908">
          <cell r="A908" t="str">
            <v/>
          </cell>
          <cell r="B908" t="str">
            <v/>
          </cell>
          <cell r="C908" t="str">
            <v>Future</v>
          </cell>
          <cell r="D908" t="e">
            <v>#N/A</v>
          </cell>
          <cell r="E908">
            <v>-4.9864864864865446</v>
          </cell>
          <cell r="F908">
            <v>18.59459459459482</v>
          </cell>
          <cell r="G908">
            <v>13.878378378378422</v>
          </cell>
          <cell r="H908">
            <v>13.878378378378422</v>
          </cell>
          <cell r="I908" t="e">
            <v>#N/A</v>
          </cell>
          <cell r="J908" t="e">
            <v>#N/A</v>
          </cell>
          <cell r="K908">
            <v>17.5</v>
          </cell>
          <cell r="L908">
            <v>14</v>
          </cell>
          <cell r="M908" t="e">
            <v>#N/A</v>
          </cell>
          <cell r="N908">
            <v>16.5</v>
          </cell>
          <cell r="O908" t="e">
            <v>#N/A</v>
          </cell>
          <cell r="P908" t="str">
            <v/>
          </cell>
          <cell r="Q908" t="str">
            <v/>
          </cell>
          <cell r="R908">
            <v>16.5</v>
          </cell>
        </row>
        <row r="909">
          <cell r="A909" t="str">
            <v/>
          </cell>
          <cell r="B909" t="str">
            <v/>
          </cell>
          <cell r="C909" t="str">
            <v>Future</v>
          </cell>
          <cell r="D909" t="e">
            <v>#N/A</v>
          </cell>
          <cell r="E909">
            <v>-5.0418918918919502</v>
          </cell>
          <cell r="F909">
            <v>18.606756756756983</v>
          </cell>
          <cell r="G909">
            <v>13.87702702702707</v>
          </cell>
          <cell r="H909">
            <v>13.87702702702707</v>
          </cell>
          <cell r="I909" t="e">
            <v>#N/A</v>
          </cell>
          <cell r="J909" t="e">
            <v>#N/A</v>
          </cell>
          <cell r="K909">
            <v>17.5</v>
          </cell>
          <cell r="L909">
            <v>14</v>
          </cell>
          <cell r="M909" t="e">
            <v>#N/A</v>
          </cell>
          <cell r="N909">
            <v>16.5</v>
          </cell>
          <cell r="O909" t="e">
            <v>#N/A</v>
          </cell>
          <cell r="P909" t="str">
            <v/>
          </cell>
          <cell r="Q909" t="str">
            <v/>
          </cell>
          <cell r="R909">
            <v>16.5</v>
          </cell>
        </row>
        <row r="910">
          <cell r="A910" t="str">
            <v/>
          </cell>
          <cell r="B910" t="str">
            <v/>
          </cell>
          <cell r="C910" t="str">
            <v>Future</v>
          </cell>
          <cell r="D910" t="e">
            <v>#N/A</v>
          </cell>
          <cell r="E910">
            <v>-5.0972972972973558</v>
          </cell>
          <cell r="F910">
            <v>18.618918918919146</v>
          </cell>
          <cell r="G910">
            <v>13.875675675675719</v>
          </cell>
          <cell r="H910">
            <v>13.875675675675719</v>
          </cell>
          <cell r="I910" t="e">
            <v>#N/A</v>
          </cell>
          <cell r="J910" t="e">
            <v>#N/A</v>
          </cell>
          <cell r="K910">
            <v>17.5</v>
          </cell>
          <cell r="L910">
            <v>14</v>
          </cell>
          <cell r="M910" t="e">
            <v>#N/A</v>
          </cell>
          <cell r="N910">
            <v>16.5</v>
          </cell>
          <cell r="O910" t="e">
            <v>#N/A</v>
          </cell>
          <cell r="P910" t="str">
            <v/>
          </cell>
          <cell r="Q910" t="str">
            <v/>
          </cell>
          <cell r="R910">
            <v>16.5</v>
          </cell>
        </row>
        <row r="911">
          <cell r="A911" t="str">
            <v/>
          </cell>
          <cell r="B911" t="str">
            <v/>
          </cell>
          <cell r="C911" t="str">
            <v>Future</v>
          </cell>
          <cell r="D911" t="e">
            <v>#N/A</v>
          </cell>
          <cell r="E911">
            <v>-5.1527027027027614</v>
          </cell>
          <cell r="F911">
            <v>18.631081081081309</v>
          </cell>
          <cell r="G911">
            <v>13.874324324324368</v>
          </cell>
          <cell r="H911">
            <v>13.874324324324368</v>
          </cell>
          <cell r="I911" t="e">
            <v>#N/A</v>
          </cell>
          <cell r="J911" t="e">
            <v>#N/A</v>
          </cell>
          <cell r="K911">
            <v>17.5</v>
          </cell>
          <cell r="L911">
            <v>14</v>
          </cell>
          <cell r="M911" t="e">
            <v>#N/A</v>
          </cell>
          <cell r="N911">
            <v>16.5</v>
          </cell>
          <cell r="O911" t="e">
            <v>#N/A</v>
          </cell>
          <cell r="P911" t="str">
            <v/>
          </cell>
          <cell r="Q911" t="str">
            <v/>
          </cell>
          <cell r="R911">
            <v>16.5</v>
          </cell>
        </row>
        <row r="912">
          <cell r="A912" t="str">
            <v/>
          </cell>
          <cell r="B912" t="str">
            <v/>
          </cell>
          <cell r="C912" t="str">
            <v>Future</v>
          </cell>
          <cell r="D912" t="e">
            <v>#N/A</v>
          </cell>
          <cell r="E912">
            <v>-5.208108108108167</v>
          </cell>
          <cell r="F912">
            <v>18.643243243243472</v>
          </cell>
          <cell r="G912">
            <v>13.872972972973017</v>
          </cell>
          <cell r="H912">
            <v>13.872972972973017</v>
          </cell>
          <cell r="I912" t="e">
            <v>#N/A</v>
          </cell>
          <cell r="J912" t="e">
            <v>#N/A</v>
          </cell>
          <cell r="K912">
            <v>17.5</v>
          </cell>
          <cell r="L912">
            <v>14</v>
          </cell>
          <cell r="M912" t="e">
            <v>#N/A</v>
          </cell>
          <cell r="N912">
            <v>16.5</v>
          </cell>
          <cell r="O912" t="e">
            <v>#N/A</v>
          </cell>
          <cell r="P912" t="str">
            <v/>
          </cell>
          <cell r="Q912" t="str">
            <v/>
          </cell>
          <cell r="R912">
            <v>16.5</v>
          </cell>
        </row>
        <row r="913">
          <cell r="A913" t="str">
            <v/>
          </cell>
          <cell r="B913" t="str">
            <v/>
          </cell>
          <cell r="C913" t="str">
            <v>Future</v>
          </cell>
          <cell r="D913" t="e">
            <v>#N/A</v>
          </cell>
          <cell r="E913">
            <v>-5.2635135135135727</v>
          </cell>
          <cell r="F913">
            <v>18.655405405405634</v>
          </cell>
          <cell r="G913">
            <v>13.871621621621665</v>
          </cell>
          <cell r="H913">
            <v>13.871621621621665</v>
          </cell>
          <cell r="I913" t="e">
            <v>#N/A</v>
          </cell>
          <cell r="J913" t="e">
            <v>#N/A</v>
          </cell>
          <cell r="K913">
            <v>17.5</v>
          </cell>
          <cell r="L913">
            <v>14</v>
          </cell>
          <cell r="M913" t="e">
            <v>#N/A</v>
          </cell>
          <cell r="N913">
            <v>16.5</v>
          </cell>
          <cell r="O913" t="e">
            <v>#N/A</v>
          </cell>
          <cell r="P913" t="str">
            <v/>
          </cell>
          <cell r="Q913" t="str">
            <v/>
          </cell>
          <cell r="R913">
            <v>16.5</v>
          </cell>
        </row>
        <row r="914">
          <cell r="A914" t="str">
            <v/>
          </cell>
          <cell r="B914" t="str">
            <v/>
          </cell>
          <cell r="C914" t="str">
            <v>Future</v>
          </cell>
          <cell r="D914" t="e">
            <v>#N/A</v>
          </cell>
          <cell r="E914">
            <v>-5.3189189189189783</v>
          </cell>
          <cell r="F914">
            <v>18.667567567567797</v>
          </cell>
          <cell r="G914">
            <v>13.870270270270314</v>
          </cell>
          <cell r="H914">
            <v>13.870270270270314</v>
          </cell>
          <cell r="I914" t="e">
            <v>#N/A</v>
          </cell>
          <cell r="J914" t="e">
            <v>#N/A</v>
          </cell>
          <cell r="K914">
            <v>17.5</v>
          </cell>
          <cell r="L914">
            <v>14</v>
          </cell>
          <cell r="M914" t="e">
            <v>#N/A</v>
          </cell>
          <cell r="N914">
            <v>16.5</v>
          </cell>
          <cell r="O914" t="e">
            <v>#N/A</v>
          </cell>
          <cell r="P914" t="str">
            <v/>
          </cell>
          <cell r="Q914" t="str">
            <v/>
          </cell>
          <cell r="R914">
            <v>16.5</v>
          </cell>
        </row>
        <row r="915">
          <cell r="A915" t="str">
            <v/>
          </cell>
          <cell r="B915" t="str">
            <v/>
          </cell>
          <cell r="C915" t="str">
            <v>Future</v>
          </cell>
          <cell r="D915" t="e">
            <v>#N/A</v>
          </cell>
          <cell r="E915">
            <v>-5.3743243243243839</v>
          </cell>
          <cell r="F915">
            <v>18.67972972972996</v>
          </cell>
          <cell r="G915">
            <v>13.868918918918963</v>
          </cell>
          <cell r="H915">
            <v>13.868918918918963</v>
          </cell>
          <cell r="I915" t="e">
            <v>#N/A</v>
          </cell>
          <cell r="J915" t="e">
            <v>#N/A</v>
          </cell>
          <cell r="K915">
            <v>17.5</v>
          </cell>
          <cell r="L915">
            <v>14</v>
          </cell>
          <cell r="M915" t="e">
            <v>#N/A</v>
          </cell>
          <cell r="N915">
            <v>16.5</v>
          </cell>
          <cell r="O915" t="e">
            <v>#N/A</v>
          </cell>
          <cell r="P915" t="str">
            <v/>
          </cell>
          <cell r="Q915" t="str">
            <v/>
          </cell>
          <cell r="R915">
            <v>16.5</v>
          </cell>
        </row>
        <row r="916">
          <cell r="A916" t="str">
            <v/>
          </cell>
          <cell r="B916" t="str">
            <v/>
          </cell>
          <cell r="C916" t="str">
            <v>Future</v>
          </cell>
          <cell r="D916" t="e">
            <v>#N/A</v>
          </cell>
          <cell r="E916">
            <v>-5.4297297297297895</v>
          </cell>
          <cell r="F916">
            <v>18.691891891892123</v>
          </cell>
          <cell r="G916">
            <v>13.867567567567612</v>
          </cell>
          <cell r="H916">
            <v>13.867567567567612</v>
          </cell>
          <cell r="I916" t="e">
            <v>#N/A</v>
          </cell>
          <cell r="J916" t="e">
            <v>#N/A</v>
          </cell>
          <cell r="K916">
            <v>17.5</v>
          </cell>
          <cell r="L916">
            <v>14</v>
          </cell>
          <cell r="M916" t="e">
            <v>#N/A</v>
          </cell>
          <cell r="N916">
            <v>16.5</v>
          </cell>
          <cell r="O916" t="e">
            <v>#N/A</v>
          </cell>
          <cell r="P916" t="str">
            <v/>
          </cell>
          <cell r="Q916" t="str">
            <v/>
          </cell>
          <cell r="R916">
            <v>16.5</v>
          </cell>
        </row>
        <row r="917">
          <cell r="A917" t="str">
            <v/>
          </cell>
          <cell r="B917" t="str">
            <v/>
          </cell>
          <cell r="C917" t="str">
            <v>Future</v>
          </cell>
          <cell r="D917" t="e">
            <v>#N/A</v>
          </cell>
          <cell r="E917">
            <v>-5.4851351351351951</v>
          </cell>
          <cell r="F917">
            <v>18.704054054054286</v>
          </cell>
          <cell r="G917">
            <v>13.866216216216261</v>
          </cell>
          <cell r="H917">
            <v>13.866216216216261</v>
          </cell>
          <cell r="I917" t="e">
            <v>#N/A</v>
          </cell>
          <cell r="J917" t="e">
            <v>#N/A</v>
          </cell>
          <cell r="K917">
            <v>17.5</v>
          </cell>
          <cell r="L917">
            <v>14</v>
          </cell>
          <cell r="M917" t="e">
            <v>#N/A</v>
          </cell>
          <cell r="N917">
            <v>16.5</v>
          </cell>
          <cell r="O917" t="e">
            <v>#N/A</v>
          </cell>
          <cell r="P917" t="str">
            <v/>
          </cell>
          <cell r="Q917" t="str">
            <v/>
          </cell>
          <cell r="R917">
            <v>16.5</v>
          </cell>
        </row>
        <row r="918">
          <cell r="A918" t="str">
            <v/>
          </cell>
          <cell r="B918" t="str">
            <v/>
          </cell>
          <cell r="C918" t="str">
            <v>Future</v>
          </cell>
          <cell r="D918" t="e">
            <v>#N/A</v>
          </cell>
          <cell r="E918">
            <v>-5.5405405405406007</v>
          </cell>
          <cell r="F918">
            <v>18.716216216216448</v>
          </cell>
          <cell r="G918">
            <v>13.864864864864909</v>
          </cell>
          <cell r="H918">
            <v>13.864864864864909</v>
          </cell>
          <cell r="I918" t="e">
            <v>#N/A</v>
          </cell>
          <cell r="J918" t="e">
            <v>#N/A</v>
          </cell>
          <cell r="K918">
            <v>17.5</v>
          </cell>
          <cell r="L918">
            <v>14</v>
          </cell>
          <cell r="M918" t="e">
            <v>#N/A</v>
          </cell>
          <cell r="N918">
            <v>16.5</v>
          </cell>
          <cell r="O918" t="e">
            <v>#N/A</v>
          </cell>
          <cell r="P918" t="str">
            <v/>
          </cell>
          <cell r="Q918" t="str">
            <v/>
          </cell>
          <cell r="R918">
            <v>16.5</v>
          </cell>
        </row>
        <row r="919">
          <cell r="A919" t="str">
            <v/>
          </cell>
          <cell r="B919" t="str">
            <v/>
          </cell>
          <cell r="C919" t="str">
            <v>Future</v>
          </cell>
          <cell r="D919" t="e">
            <v>#N/A</v>
          </cell>
          <cell r="E919">
            <v>-5.5959459459460064</v>
          </cell>
          <cell r="F919">
            <v>18.728378378378611</v>
          </cell>
          <cell r="G919">
            <v>13.863513513513558</v>
          </cell>
          <cell r="H919">
            <v>13.863513513513558</v>
          </cell>
          <cell r="I919" t="e">
            <v>#N/A</v>
          </cell>
          <cell r="J919" t="e">
            <v>#N/A</v>
          </cell>
          <cell r="K919">
            <v>17.5</v>
          </cell>
          <cell r="L919">
            <v>14</v>
          </cell>
          <cell r="M919" t="e">
            <v>#N/A</v>
          </cell>
          <cell r="N919">
            <v>16.5</v>
          </cell>
          <cell r="O919" t="e">
            <v>#N/A</v>
          </cell>
          <cell r="P919" t="str">
            <v/>
          </cell>
          <cell r="Q919" t="str">
            <v/>
          </cell>
          <cell r="R919">
            <v>16.5</v>
          </cell>
        </row>
        <row r="920">
          <cell r="A920" t="str">
            <v/>
          </cell>
          <cell r="B920" t="str">
            <v/>
          </cell>
          <cell r="C920" t="str">
            <v>Future</v>
          </cell>
          <cell r="D920" t="e">
            <v>#N/A</v>
          </cell>
          <cell r="E920">
            <v>-5.651351351351412</v>
          </cell>
          <cell r="F920">
            <v>18.740540540540774</v>
          </cell>
          <cell r="G920">
            <v>13.862162162162207</v>
          </cell>
          <cell r="H920">
            <v>13.862162162162207</v>
          </cell>
          <cell r="I920" t="e">
            <v>#N/A</v>
          </cell>
          <cell r="J920" t="e">
            <v>#N/A</v>
          </cell>
          <cell r="K920">
            <v>17.5</v>
          </cell>
          <cell r="L920">
            <v>14</v>
          </cell>
          <cell r="M920" t="e">
            <v>#N/A</v>
          </cell>
          <cell r="N920">
            <v>16.5</v>
          </cell>
          <cell r="O920" t="e">
            <v>#N/A</v>
          </cell>
          <cell r="P920" t="str">
            <v/>
          </cell>
          <cell r="Q920" t="str">
            <v/>
          </cell>
          <cell r="R920">
            <v>16.5</v>
          </cell>
        </row>
        <row r="921">
          <cell r="A921" t="str">
            <v/>
          </cell>
          <cell r="B921" t="str">
            <v/>
          </cell>
          <cell r="C921" t="str">
            <v>Future</v>
          </cell>
          <cell r="D921" t="e">
            <v>#N/A</v>
          </cell>
          <cell r="E921">
            <v>-5.7067567567568176</v>
          </cell>
          <cell r="F921">
            <v>18.752702702702937</v>
          </cell>
          <cell r="G921">
            <v>13.860810810810856</v>
          </cell>
          <cell r="H921">
            <v>13.860810810810856</v>
          </cell>
          <cell r="I921" t="e">
            <v>#N/A</v>
          </cell>
          <cell r="J921" t="e">
            <v>#N/A</v>
          </cell>
          <cell r="K921">
            <v>17.5</v>
          </cell>
          <cell r="L921">
            <v>14</v>
          </cell>
          <cell r="M921" t="e">
            <v>#N/A</v>
          </cell>
          <cell r="N921">
            <v>16.5</v>
          </cell>
          <cell r="O921" t="e">
            <v>#N/A</v>
          </cell>
          <cell r="P921" t="str">
            <v/>
          </cell>
          <cell r="Q921" t="str">
            <v/>
          </cell>
          <cell r="R921">
            <v>16.5</v>
          </cell>
        </row>
        <row r="922">
          <cell r="A922" t="str">
            <v/>
          </cell>
          <cell r="B922" t="str">
            <v/>
          </cell>
          <cell r="C922" t="str">
            <v>Future</v>
          </cell>
          <cell r="D922" t="e">
            <v>#N/A</v>
          </cell>
          <cell r="E922">
            <v>-5.7621621621622232</v>
          </cell>
          <cell r="F922">
            <v>18.7648648648651</v>
          </cell>
          <cell r="G922">
            <v>13.859459459459504</v>
          </cell>
          <cell r="H922">
            <v>13.859459459459504</v>
          </cell>
          <cell r="I922" t="e">
            <v>#N/A</v>
          </cell>
          <cell r="J922" t="e">
            <v>#N/A</v>
          </cell>
          <cell r="K922">
            <v>17.5</v>
          </cell>
          <cell r="L922">
            <v>14</v>
          </cell>
          <cell r="M922" t="e">
            <v>#N/A</v>
          </cell>
          <cell r="N922">
            <v>16.5</v>
          </cell>
          <cell r="O922" t="e">
            <v>#N/A</v>
          </cell>
          <cell r="P922" t="str">
            <v/>
          </cell>
          <cell r="Q922" t="str">
            <v/>
          </cell>
          <cell r="R922">
            <v>16.5</v>
          </cell>
        </row>
        <row r="923">
          <cell r="A923" t="str">
            <v/>
          </cell>
          <cell r="B923" t="str">
            <v/>
          </cell>
          <cell r="C923" t="str">
            <v>Future</v>
          </cell>
          <cell r="D923" t="e">
            <v>#N/A</v>
          </cell>
          <cell r="E923">
            <v>-5.8175675675676288</v>
          </cell>
          <cell r="F923">
            <v>18.777027027027263</v>
          </cell>
          <cell r="G923">
            <v>13.858108108108153</v>
          </cell>
          <cell r="H923">
            <v>13.858108108108153</v>
          </cell>
          <cell r="I923" t="e">
            <v>#N/A</v>
          </cell>
          <cell r="J923" t="e">
            <v>#N/A</v>
          </cell>
          <cell r="K923">
            <v>17.5</v>
          </cell>
          <cell r="L923">
            <v>14</v>
          </cell>
          <cell r="M923" t="e">
            <v>#N/A</v>
          </cell>
          <cell r="N923">
            <v>16.5</v>
          </cell>
          <cell r="O923" t="e">
            <v>#N/A</v>
          </cell>
          <cell r="P923" t="str">
            <v/>
          </cell>
          <cell r="Q923" t="str">
            <v/>
          </cell>
          <cell r="R923">
            <v>16.5</v>
          </cell>
        </row>
        <row r="924">
          <cell r="A924" t="str">
            <v/>
          </cell>
          <cell r="B924" t="str">
            <v/>
          </cell>
          <cell r="C924" t="str">
            <v>Future</v>
          </cell>
          <cell r="D924" t="e">
            <v>#N/A</v>
          </cell>
          <cell r="E924">
            <v>-5.8729729729730344</v>
          </cell>
          <cell r="F924">
            <v>18.789189189189425</v>
          </cell>
          <cell r="G924">
            <v>13.856756756756802</v>
          </cell>
          <cell r="H924">
            <v>13.856756756756802</v>
          </cell>
          <cell r="I924" t="e">
            <v>#N/A</v>
          </cell>
          <cell r="J924" t="e">
            <v>#N/A</v>
          </cell>
          <cell r="K924">
            <v>17.5</v>
          </cell>
          <cell r="L924">
            <v>14</v>
          </cell>
          <cell r="M924" t="e">
            <v>#N/A</v>
          </cell>
          <cell r="N924">
            <v>16.5</v>
          </cell>
          <cell r="O924" t="e">
            <v>#N/A</v>
          </cell>
          <cell r="P924" t="str">
            <v/>
          </cell>
          <cell r="Q924" t="str">
            <v/>
          </cell>
          <cell r="R924">
            <v>16.5</v>
          </cell>
        </row>
        <row r="925">
          <cell r="A925" t="str">
            <v/>
          </cell>
          <cell r="B925" t="str">
            <v/>
          </cell>
          <cell r="C925" t="str">
            <v>Future</v>
          </cell>
          <cell r="D925" t="e">
            <v>#N/A</v>
          </cell>
          <cell r="E925">
            <v>-5.9283783783784401</v>
          </cell>
          <cell r="F925">
            <v>18.801351351351588</v>
          </cell>
          <cell r="G925">
            <v>13.855405405405451</v>
          </cell>
          <cell r="H925">
            <v>13.855405405405451</v>
          </cell>
          <cell r="I925" t="e">
            <v>#N/A</v>
          </cell>
          <cell r="J925" t="e">
            <v>#N/A</v>
          </cell>
          <cell r="K925">
            <v>17.5</v>
          </cell>
          <cell r="L925">
            <v>14</v>
          </cell>
          <cell r="M925" t="e">
            <v>#N/A</v>
          </cell>
          <cell r="N925">
            <v>16.5</v>
          </cell>
          <cell r="O925" t="e">
            <v>#N/A</v>
          </cell>
          <cell r="P925" t="str">
            <v/>
          </cell>
          <cell r="Q925" t="str">
            <v/>
          </cell>
          <cell r="R925">
            <v>16.5</v>
          </cell>
        </row>
        <row r="926">
          <cell r="A926" t="str">
            <v/>
          </cell>
          <cell r="B926" t="str">
            <v/>
          </cell>
          <cell r="C926" t="str">
            <v>Future</v>
          </cell>
          <cell r="D926" t="e">
            <v>#N/A</v>
          </cell>
          <cell r="E926">
            <v>-5.9837837837838457</v>
          </cell>
          <cell r="F926">
            <v>18.813513513513751</v>
          </cell>
          <cell r="G926">
            <v>13.8540540540541</v>
          </cell>
          <cell r="H926">
            <v>13.8540540540541</v>
          </cell>
          <cell r="I926" t="e">
            <v>#N/A</v>
          </cell>
          <cell r="J926" t="e">
            <v>#N/A</v>
          </cell>
          <cell r="K926">
            <v>17.5</v>
          </cell>
          <cell r="L926">
            <v>14</v>
          </cell>
          <cell r="M926" t="e">
            <v>#N/A</v>
          </cell>
          <cell r="N926">
            <v>16.5</v>
          </cell>
          <cell r="O926" t="e">
            <v>#N/A</v>
          </cell>
          <cell r="P926" t="str">
            <v/>
          </cell>
          <cell r="Q926" t="str">
            <v/>
          </cell>
          <cell r="R926">
            <v>16.5</v>
          </cell>
        </row>
        <row r="927">
          <cell r="A927" t="str">
            <v/>
          </cell>
          <cell r="B927" t="str">
            <v/>
          </cell>
          <cell r="C927" t="str">
            <v>Future</v>
          </cell>
          <cell r="D927" t="e">
            <v>#N/A</v>
          </cell>
          <cell r="E927">
            <v>-6.0391891891892513</v>
          </cell>
          <cell r="F927">
            <v>18.825675675675914</v>
          </cell>
          <cell r="G927">
            <v>13.852702702702748</v>
          </cell>
          <cell r="H927">
            <v>13.852702702702748</v>
          </cell>
          <cell r="I927" t="e">
            <v>#N/A</v>
          </cell>
          <cell r="J927" t="e">
            <v>#N/A</v>
          </cell>
          <cell r="K927">
            <v>17.5</v>
          </cell>
          <cell r="L927">
            <v>14</v>
          </cell>
          <cell r="M927" t="e">
            <v>#N/A</v>
          </cell>
          <cell r="N927">
            <v>16.5</v>
          </cell>
          <cell r="O927" t="e">
            <v>#N/A</v>
          </cell>
          <cell r="P927" t="str">
            <v/>
          </cell>
          <cell r="Q927" t="str">
            <v/>
          </cell>
          <cell r="R927">
            <v>16.5</v>
          </cell>
        </row>
        <row r="928">
          <cell r="A928" t="str">
            <v/>
          </cell>
          <cell r="B928" t="str">
            <v/>
          </cell>
          <cell r="C928" t="str">
            <v>Future</v>
          </cell>
          <cell r="D928" t="e">
            <v>#N/A</v>
          </cell>
          <cell r="E928">
            <v>-6.0945945945946569</v>
          </cell>
          <cell r="F928">
            <v>18.837837837838077</v>
          </cell>
          <cell r="G928">
            <v>13.851351351351397</v>
          </cell>
          <cell r="H928">
            <v>13.851351351351397</v>
          </cell>
          <cell r="I928" t="e">
            <v>#N/A</v>
          </cell>
          <cell r="J928" t="e">
            <v>#N/A</v>
          </cell>
          <cell r="K928">
            <v>17.5</v>
          </cell>
          <cell r="L928">
            <v>14</v>
          </cell>
          <cell r="M928" t="e">
            <v>#N/A</v>
          </cell>
          <cell r="N928">
            <v>16.5</v>
          </cell>
          <cell r="O928" t="e">
            <v>#N/A</v>
          </cell>
          <cell r="P928" t="str">
            <v/>
          </cell>
          <cell r="Q928" t="str">
            <v/>
          </cell>
          <cell r="R928">
            <v>16.5</v>
          </cell>
        </row>
        <row r="929">
          <cell r="A929" t="str">
            <v/>
          </cell>
          <cell r="B929" t="str">
            <v/>
          </cell>
          <cell r="C929" t="str">
            <v>Future</v>
          </cell>
          <cell r="D929" t="e">
            <v>#N/A</v>
          </cell>
          <cell r="E929">
            <v>-6.1500000000000625</v>
          </cell>
          <cell r="F929">
            <v>18.850000000000239</v>
          </cell>
          <cell r="G929">
            <v>13.850000000000046</v>
          </cell>
          <cell r="H929">
            <v>13.850000000000046</v>
          </cell>
          <cell r="I929" t="e">
            <v>#N/A</v>
          </cell>
          <cell r="J929" t="e">
            <v>#N/A</v>
          </cell>
          <cell r="K929">
            <v>17.5</v>
          </cell>
          <cell r="L929">
            <v>14</v>
          </cell>
          <cell r="M929" t="e">
            <v>#N/A</v>
          </cell>
          <cell r="N929">
            <v>16.5</v>
          </cell>
          <cell r="O929" t="e">
            <v>#N/A</v>
          </cell>
          <cell r="P929" t="str">
            <v/>
          </cell>
          <cell r="Q929" t="str">
            <v/>
          </cell>
          <cell r="R929">
            <v>16.5</v>
          </cell>
        </row>
        <row r="930">
          <cell r="A930" t="str">
            <v/>
          </cell>
          <cell r="B930" t="str">
            <v/>
          </cell>
          <cell r="C930" t="str">
            <v>Future</v>
          </cell>
          <cell r="D930" t="e">
            <v>#N/A</v>
          </cell>
          <cell r="E930">
            <v>-6.2054054054054681</v>
          </cell>
          <cell r="F930">
            <v>18.862162162162402</v>
          </cell>
          <cell r="G930">
            <v>13.848648648648695</v>
          </cell>
          <cell r="H930">
            <v>13.848648648648695</v>
          </cell>
          <cell r="I930" t="e">
            <v>#N/A</v>
          </cell>
          <cell r="J930" t="e">
            <v>#N/A</v>
          </cell>
          <cell r="K930">
            <v>17.5</v>
          </cell>
          <cell r="L930">
            <v>14</v>
          </cell>
          <cell r="M930" t="e">
            <v>#N/A</v>
          </cell>
          <cell r="N930">
            <v>16.5</v>
          </cell>
          <cell r="O930" t="e">
            <v>#N/A</v>
          </cell>
          <cell r="P930" t="str">
            <v/>
          </cell>
          <cell r="Q930" t="str">
            <v/>
          </cell>
          <cell r="R930">
            <v>16.5</v>
          </cell>
        </row>
        <row r="931">
          <cell r="A931" t="str">
            <v/>
          </cell>
          <cell r="B931" t="str">
            <v/>
          </cell>
          <cell r="C931" t="str">
            <v>Future</v>
          </cell>
          <cell r="D931" t="e">
            <v>#N/A</v>
          </cell>
          <cell r="E931">
            <v>-6.2608108108108738</v>
          </cell>
          <cell r="F931">
            <v>18.874324324324565</v>
          </cell>
          <cell r="G931">
            <v>13.847297297297343</v>
          </cell>
          <cell r="H931">
            <v>13.847297297297343</v>
          </cell>
          <cell r="I931" t="e">
            <v>#N/A</v>
          </cell>
          <cell r="J931" t="e">
            <v>#N/A</v>
          </cell>
          <cell r="K931">
            <v>17.5</v>
          </cell>
          <cell r="L931">
            <v>14</v>
          </cell>
          <cell r="M931" t="e">
            <v>#N/A</v>
          </cell>
          <cell r="N931">
            <v>16.5</v>
          </cell>
          <cell r="O931" t="e">
            <v>#N/A</v>
          </cell>
          <cell r="P931" t="str">
            <v/>
          </cell>
          <cell r="Q931" t="str">
            <v/>
          </cell>
          <cell r="R931">
            <v>16.5</v>
          </cell>
        </row>
        <row r="932">
          <cell r="A932" t="str">
            <v/>
          </cell>
          <cell r="B932" t="str">
            <v/>
          </cell>
          <cell r="C932" t="str">
            <v>Future</v>
          </cell>
          <cell r="D932" t="e">
            <v>#N/A</v>
          </cell>
          <cell r="E932">
            <v>-6.3162162162162794</v>
          </cell>
          <cell r="F932">
            <v>18.886486486486728</v>
          </cell>
          <cell r="G932">
            <v>13.845945945945992</v>
          </cell>
          <cell r="H932">
            <v>13.845945945945992</v>
          </cell>
          <cell r="I932" t="e">
            <v>#N/A</v>
          </cell>
          <cell r="J932" t="e">
            <v>#N/A</v>
          </cell>
          <cell r="K932">
            <v>17.5</v>
          </cell>
          <cell r="L932">
            <v>14</v>
          </cell>
          <cell r="M932" t="e">
            <v>#N/A</v>
          </cell>
          <cell r="N932">
            <v>16.5</v>
          </cell>
          <cell r="O932" t="e">
            <v>#N/A</v>
          </cell>
          <cell r="P932" t="str">
            <v/>
          </cell>
          <cell r="Q932" t="str">
            <v/>
          </cell>
          <cell r="R932">
            <v>16.5</v>
          </cell>
        </row>
        <row r="933">
          <cell r="A933" t="str">
            <v/>
          </cell>
          <cell r="B933" t="str">
            <v/>
          </cell>
          <cell r="C933" t="str">
            <v>Future</v>
          </cell>
          <cell r="D933" t="e">
            <v>#N/A</v>
          </cell>
          <cell r="E933">
            <v>-6.371621621621685</v>
          </cell>
          <cell r="F933">
            <v>18.898648648648891</v>
          </cell>
          <cell r="G933">
            <v>13.844594594594641</v>
          </cell>
          <cell r="H933">
            <v>13.844594594594641</v>
          </cell>
          <cell r="I933" t="e">
            <v>#N/A</v>
          </cell>
          <cell r="J933" t="e">
            <v>#N/A</v>
          </cell>
          <cell r="K933">
            <v>17.5</v>
          </cell>
          <cell r="L933">
            <v>14</v>
          </cell>
          <cell r="M933" t="e">
            <v>#N/A</v>
          </cell>
          <cell r="N933">
            <v>16.5</v>
          </cell>
          <cell r="O933" t="e">
            <v>#N/A</v>
          </cell>
          <cell r="P933" t="str">
            <v/>
          </cell>
          <cell r="Q933" t="str">
            <v/>
          </cell>
          <cell r="R933">
            <v>16.5</v>
          </cell>
        </row>
        <row r="934">
          <cell r="A934" t="str">
            <v/>
          </cell>
          <cell r="B934" t="str">
            <v/>
          </cell>
          <cell r="C934" t="str">
            <v>Future</v>
          </cell>
          <cell r="D934" t="e">
            <v>#N/A</v>
          </cell>
          <cell r="E934">
            <v>-6.4270270270270906</v>
          </cell>
          <cell r="F934">
            <v>18.910810810811054</v>
          </cell>
          <cell r="G934">
            <v>13.84324324324329</v>
          </cell>
          <cell r="H934">
            <v>13.84324324324329</v>
          </cell>
          <cell r="I934" t="e">
            <v>#N/A</v>
          </cell>
          <cell r="J934" t="e">
            <v>#N/A</v>
          </cell>
          <cell r="K934">
            <v>17.5</v>
          </cell>
          <cell r="L934">
            <v>14</v>
          </cell>
          <cell r="M934" t="e">
            <v>#N/A</v>
          </cell>
          <cell r="N934">
            <v>16.5</v>
          </cell>
          <cell r="O934" t="e">
            <v>#N/A</v>
          </cell>
          <cell r="P934" t="str">
            <v/>
          </cell>
          <cell r="Q934" t="str">
            <v/>
          </cell>
          <cell r="R934">
            <v>16.5</v>
          </cell>
        </row>
        <row r="935">
          <cell r="A935" t="str">
            <v/>
          </cell>
          <cell r="B935" t="str">
            <v/>
          </cell>
          <cell r="C935" t="str">
            <v>Future</v>
          </cell>
          <cell r="D935" t="e">
            <v>#N/A</v>
          </cell>
          <cell r="E935">
            <v>-6.4824324324324962</v>
          </cell>
          <cell r="F935">
            <v>18.922972972973216</v>
          </cell>
          <cell r="G935">
            <v>13.841891891891938</v>
          </cell>
          <cell r="H935">
            <v>13.841891891891938</v>
          </cell>
          <cell r="I935" t="e">
            <v>#N/A</v>
          </cell>
          <cell r="J935" t="e">
            <v>#N/A</v>
          </cell>
          <cell r="K935">
            <v>17.5</v>
          </cell>
          <cell r="L935">
            <v>14</v>
          </cell>
          <cell r="M935" t="e">
            <v>#N/A</v>
          </cell>
          <cell r="N935">
            <v>16.5</v>
          </cell>
          <cell r="O935" t="e">
            <v>#N/A</v>
          </cell>
          <cell r="P935" t="str">
            <v/>
          </cell>
          <cell r="Q935" t="str">
            <v/>
          </cell>
          <cell r="R935">
            <v>16.5</v>
          </cell>
        </row>
        <row r="936">
          <cell r="A936" t="str">
            <v/>
          </cell>
          <cell r="B936" t="str">
            <v/>
          </cell>
          <cell r="C936" t="str">
            <v>Future</v>
          </cell>
          <cell r="D936" t="e">
            <v>#N/A</v>
          </cell>
          <cell r="E936">
            <v>-6.5378378378379018</v>
          </cell>
          <cell r="F936">
            <v>18.935135135135379</v>
          </cell>
          <cell r="G936">
            <v>13.840540540540587</v>
          </cell>
          <cell r="H936">
            <v>13.840540540540587</v>
          </cell>
          <cell r="I936" t="e">
            <v>#N/A</v>
          </cell>
          <cell r="J936" t="e">
            <v>#N/A</v>
          </cell>
          <cell r="K936">
            <v>17.5</v>
          </cell>
          <cell r="L936">
            <v>14</v>
          </cell>
          <cell r="M936" t="e">
            <v>#N/A</v>
          </cell>
          <cell r="N936">
            <v>16.5</v>
          </cell>
          <cell r="O936" t="e">
            <v>#N/A</v>
          </cell>
          <cell r="P936" t="str">
            <v/>
          </cell>
          <cell r="Q936" t="str">
            <v/>
          </cell>
          <cell r="R936">
            <v>16.5</v>
          </cell>
        </row>
        <row r="937">
          <cell r="A937" t="str">
            <v/>
          </cell>
          <cell r="B937" t="str">
            <v/>
          </cell>
          <cell r="C937" t="str">
            <v>Future</v>
          </cell>
          <cell r="D937" t="e">
            <v>#N/A</v>
          </cell>
          <cell r="E937">
            <v>-6.5932432432433075</v>
          </cell>
          <cell r="F937">
            <v>18.947297297297542</v>
          </cell>
          <cell r="G937">
            <v>13.839189189189236</v>
          </cell>
          <cell r="H937">
            <v>13.839189189189236</v>
          </cell>
          <cell r="I937" t="e">
            <v>#N/A</v>
          </cell>
          <cell r="J937" t="e">
            <v>#N/A</v>
          </cell>
          <cell r="K937">
            <v>17.5</v>
          </cell>
          <cell r="L937">
            <v>14</v>
          </cell>
          <cell r="M937" t="e">
            <v>#N/A</v>
          </cell>
          <cell r="N937">
            <v>16.5</v>
          </cell>
          <cell r="O937" t="e">
            <v>#N/A</v>
          </cell>
          <cell r="P937" t="str">
            <v/>
          </cell>
          <cell r="Q937" t="str">
            <v/>
          </cell>
          <cell r="R937">
            <v>16.5</v>
          </cell>
        </row>
        <row r="938">
          <cell r="A938" t="str">
            <v/>
          </cell>
          <cell r="B938" t="str">
            <v/>
          </cell>
          <cell r="C938" t="str">
            <v>Future</v>
          </cell>
          <cell r="D938" t="e">
            <v>#N/A</v>
          </cell>
          <cell r="E938">
            <v>-6.6486486486487131</v>
          </cell>
          <cell r="F938">
            <v>18.959459459459705</v>
          </cell>
          <cell r="G938">
            <v>13.837837837837885</v>
          </cell>
          <cell r="H938">
            <v>13.837837837837885</v>
          </cell>
          <cell r="I938" t="e">
            <v>#N/A</v>
          </cell>
          <cell r="J938" t="e">
            <v>#N/A</v>
          </cell>
          <cell r="K938">
            <v>17.5</v>
          </cell>
          <cell r="L938">
            <v>14</v>
          </cell>
          <cell r="M938" t="e">
            <v>#N/A</v>
          </cell>
          <cell r="N938">
            <v>16.5</v>
          </cell>
          <cell r="O938" t="e">
            <v>#N/A</v>
          </cell>
          <cell r="P938" t="str">
            <v/>
          </cell>
          <cell r="Q938" t="str">
            <v/>
          </cell>
          <cell r="R938">
            <v>16.5</v>
          </cell>
        </row>
        <row r="939">
          <cell r="A939" t="str">
            <v/>
          </cell>
          <cell r="B939" t="str">
            <v/>
          </cell>
          <cell r="C939" t="str">
            <v>Future</v>
          </cell>
          <cell r="D939" t="e">
            <v>#N/A</v>
          </cell>
          <cell r="E939">
            <v>-6.7040540540541187</v>
          </cell>
          <cell r="F939">
            <v>18.971621621621868</v>
          </cell>
          <cell r="G939">
            <v>13.836486486486534</v>
          </cell>
          <cell r="H939">
            <v>13.836486486486534</v>
          </cell>
          <cell r="I939" t="e">
            <v>#N/A</v>
          </cell>
          <cell r="J939" t="e">
            <v>#N/A</v>
          </cell>
          <cell r="K939">
            <v>17.5</v>
          </cell>
          <cell r="L939">
            <v>14</v>
          </cell>
          <cell r="M939" t="e">
            <v>#N/A</v>
          </cell>
          <cell r="N939">
            <v>16.5</v>
          </cell>
          <cell r="O939" t="e">
            <v>#N/A</v>
          </cell>
          <cell r="P939" t="str">
            <v/>
          </cell>
          <cell r="Q939" t="str">
            <v/>
          </cell>
          <cell r="R939">
            <v>16.5</v>
          </cell>
        </row>
        <row r="940">
          <cell r="A940" t="str">
            <v/>
          </cell>
          <cell r="B940" t="str">
            <v/>
          </cell>
          <cell r="C940" t="str">
            <v>Future</v>
          </cell>
          <cell r="D940" t="e">
            <v>#N/A</v>
          </cell>
          <cell r="E940">
            <v>-6.7594594594595243</v>
          </cell>
          <cell r="F940">
            <v>18.98378378378403</v>
          </cell>
          <cell r="G940">
            <v>13.835135135135182</v>
          </cell>
          <cell r="H940">
            <v>13.835135135135182</v>
          </cell>
          <cell r="I940" t="e">
            <v>#N/A</v>
          </cell>
          <cell r="J940" t="e">
            <v>#N/A</v>
          </cell>
          <cell r="K940">
            <v>17.5</v>
          </cell>
          <cell r="L940">
            <v>14</v>
          </cell>
          <cell r="M940" t="e">
            <v>#N/A</v>
          </cell>
          <cell r="N940">
            <v>16.5</v>
          </cell>
          <cell r="O940" t="e">
            <v>#N/A</v>
          </cell>
          <cell r="P940" t="str">
            <v/>
          </cell>
          <cell r="Q940" t="str">
            <v/>
          </cell>
          <cell r="R940">
            <v>16.5</v>
          </cell>
        </row>
        <row r="941">
          <cell r="A941" t="str">
            <v/>
          </cell>
          <cell r="B941" t="str">
            <v/>
          </cell>
          <cell r="C941" t="str">
            <v>Future</v>
          </cell>
          <cell r="D941" t="e">
            <v>#N/A</v>
          </cell>
          <cell r="E941">
            <v>-6.8148648648649299</v>
          </cell>
          <cell r="F941">
            <v>18.995945945946193</v>
          </cell>
          <cell r="G941">
            <v>13.833783783783831</v>
          </cell>
          <cell r="H941">
            <v>13.833783783783831</v>
          </cell>
          <cell r="I941" t="e">
            <v>#N/A</v>
          </cell>
          <cell r="J941" t="e">
            <v>#N/A</v>
          </cell>
          <cell r="K941">
            <v>17.5</v>
          </cell>
          <cell r="L941">
            <v>14</v>
          </cell>
          <cell r="M941" t="e">
            <v>#N/A</v>
          </cell>
          <cell r="N941">
            <v>16.5</v>
          </cell>
          <cell r="O941" t="e">
            <v>#N/A</v>
          </cell>
          <cell r="P941" t="str">
            <v/>
          </cell>
          <cell r="Q941" t="str">
            <v/>
          </cell>
          <cell r="R941">
            <v>16.5</v>
          </cell>
        </row>
        <row r="942">
          <cell r="A942" t="str">
            <v/>
          </cell>
          <cell r="B942" t="str">
            <v/>
          </cell>
          <cell r="C942" t="str">
            <v>Future</v>
          </cell>
          <cell r="D942" t="e">
            <v>#N/A</v>
          </cell>
          <cell r="E942">
            <v>-6.8702702702703355</v>
          </cell>
          <cell r="F942">
            <v>19.008108108108356</v>
          </cell>
          <cell r="G942">
            <v>13.83243243243248</v>
          </cell>
          <cell r="H942">
            <v>13.83243243243248</v>
          </cell>
          <cell r="I942" t="e">
            <v>#N/A</v>
          </cell>
          <cell r="J942" t="e">
            <v>#N/A</v>
          </cell>
          <cell r="K942">
            <v>17.5</v>
          </cell>
          <cell r="L942">
            <v>14</v>
          </cell>
          <cell r="M942" t="e">
            <v>#N/A</v>
          </cell>
          <cell r="N942">
            <v>16.5</v>
          </cell>
          <cell r="O942" t="e">
            <v>#N/A</v>
          </cell>
          <cell r="P942" t="str">
            <v/>
          </cell>
          <cell r="Q942" t="str">
            <v/>
          </cell>
          <cell r="R942">
            <v>16.5</v>
          </cell>
        </row>
        <row r="943">
          <cell r="A943" t="str">
            <v/>
          </cell>
          <cell r="B943" t="str">
            <v/>
          </cell>
          <cell r="C943" t="str">
            <v>Future</v>
          </cell>
          <cell r="D943" t="e">
            <v>#N/A</v>
          </cell>
          <cell r="E943">
            <v>-6.9256756756757412</v>
          </cell>
          <cell r="F943">
            <v>19.020270270270519</v>
          </cell>
          <cell r="G943">
            <v>13.831081081081129</v>
          </cell>
          <cell r="H943">
            <v>13.831081081081129</v>
          </cell>
          <cell r="I943" t="e">
            <v>#N/A</v>
          </cell>
          <cell r="J943" t="e">
            <v>#N/A</v>
          </cell>
          <cell r="K943">
            <v>17.5</v>
          </cell>
          <cell r="L943">
            <v>14</v>
          </cell>
          <cell r="M943" t="e">
            <v>#N/A</v>
          </cell>
          <cell r="N943">
            <v>16.5</v>
          </cell>
          <cell r="O943" t="e">
            <v>#N/A</v>
          </cell>
          <cell r="P943" t="str">
            <v/>
          </cell>
          <cell r="Q943" t="str">
            <v/>
          </cell>
          <cell r="R943">
            <v>16.5</v>
          </cell>
        </row>
        <row r="944">
          <cell r="A944" t="str">
            <v/>
          </cell>
          <cell r="B944" t="str">
            <v/>
          </cell>
          <cell r="C944" t="str">
            <v>Future</v>
          </cell>
          <cell r="D944" t="e">
            <v>#N/A</v>
          </cell>
          <cell r="E944">
            <v>-6.9810810810811468</v>
          </cell>
          <cell r="F944">
            <v>19.032432432432682</v>
          </cell>
          <cell r="G944">
            <v>13.829729729729777</v>
          </cell>
          <cell r="H944">
            <v>13.829729729729777</v>
          </cell>
          <cell r="I944" t="e">
            <v>#N/A</v>
          </cell>
          <cell r="J944" t="e">
            <v>#N/A</v>
          </cell>
          <cell r="K944">
            <v>17.5</v>
          </cell>
          <cell r="L944">
            <v>14</v>
          </cell>
          <cell r="M944" t="e">
            <v>#N/A</v>
          </cell>
          <cell r="N944">
            <v>16.5</v>
          </cell>
          <cell r="O944" t="e">
            <v>#N/A</v>
          </cell>
          <cell r="P944" t="str">
            <v/>
          </cell>
          <cell r="Q944" t="str">
            <v/>
          </cell>
          <cell r="R944">
            <v>16.5</v>
          </cell>
        </row>
        <row r="945">
          <cell r="A945" t="str">
            <v/>
          </cell>
          <cell r="B945" t="str">
            <v/>
          </cell>
          <cell r="C945" t="str">
            <v>Future</v>
          </cell>
          <cell r="D945" t="e">
            <v>#N/A</v>
          </cell>
          <cell r="E945">
            <v>-7.0364864864865524</v>
          </cell>
          <cell r="F945">
            <v>19.044594594594844</v>
          </cell>
          <cell r="G945">
            <v>13.828378378378426</v>
          </cell>
          <cell r="H945">
            <v>13.828378378378426</v>
          </cell>
          <cell r="I945" t="e">
            <v>#N/A</v>
          </cell>
          <cell r="J945" t="e">
            <v>#N/A</v>
          </cell>
          <cell r="K945">
            <v>17.5</v>
          </cell>
          <cell r="L945">
            <v>14</v>
          </cell>
          <cell r="M945" t="e">
            <v>#N/A</v>
          </cell>
          <cell r="N945">
            <v>16.5</v>
          </cell>
          <cell r="O945" t="e">
            <v>#N/A</v>
          </cell>
          <cell r="P945" t="str">
            <v/>
          </cell>
          <cell r="Q945" t="str">
            <v/>
          </cell>
          <cell r="R945">
            <v>16.5</v>
          </cell>
        </row>
        <row r="946">
          <cell r="A946" t="str">
            <v/>
          </cell>
          <cell r="B946" t="str">
            <v/>
          </cell>
          <cell r="C946" t="str">
            <v>Future</v>
          </cell>
          <cell r="D946" t="e">
            <v>#N/A</v>
          </cell>
          <cell r="E946">
            <v>-7.091891891891958</v>
          </cell>
          <cell r="F946">
            <v>19.056756756757007</v>
          </cell>
          <cell r="G946">
            <v>13.827027027027075</v>
          </cell>
          <cell r="H946">
            <v>13.827027027027075</v>
          </cell>
          <cell r="I946" t="e">
            <v>#N/A</v>
          </cell>
          <cell r="J946" t="e">
            <v>#N/A</v>
          </cell>
          <cell r="K946">
            <v>17.5</v>
          </cell>
          <cell r="L946">
            <v>14</v>
          </cell>
          <cell r="M946" t="e">
            <v>#N/A</v>
          </cell>
          <cell r="N946">
            <v>16.5</v>
          </cell>
          <cell r="O946" t="e">
            <v>#N/A</v>
          </cell>
          <cell r="P946" t="str">
            <v/>
          </cell>
          <cell r="Q946" t="str">
            <v/>
          </cell>
          <cell r="R946">
            <v>16.5</v>
          </cell>
        </row>
        <row r="947">
          <cell r="A947" t="str">
            <v/>
          </cell>
          <cell r="B947" t="str">
            <v/>
          </cell>
          <cell r="C947" t="str">
            <v>Future</v>
          </cell>
          <cell r="D947" t="e">
            <v>#N/A</v>
          </cell>
          <cell r="E947">
            <v>-7.1472972972973636</v>
          </cell>
          <cell r="F947">
            <v>19.06891891891917</v>
          </cell>
          <cell r="G947">
            <v>13.825675675675724</v>
          </cell>
          <cell r="H947">
            <v>13.825675675675724</v>
          </cell>
          <cell r="I947" t="e">
            <v>#N/A</v>
          </cell>
          <cell r="J947" t="e">
            <v>#N/A</v>
          </cell>
          <cell r="K947">
            <v>17.5</v>
          </cell>
          <cell r="L947">
            <v>14</v>
          </cell>
          <cell r="M947" t="e">
            <v>#N/A</v>
          </cell>
          <cell r="N947">
            <v>16.5</v>
          </cell>
          <cell r="O947" t="e">
            <v>#N/A</v>
          </cell>
          <cell r="P947" t="str">
            <v/>
          </cell>
          <cell r="Q947" t="str">
            <v/>
          </cell>
          <cell r="R947">
            <v>16.5</v>
          </cell>
        </row>
        <row r="948">
          <cell r="A948" t="str">
            <v/>
          </cell>
          <cell r="B948" t="str">
            <v/>
          </cell>
          <cell r="C948" t="str">
            <v>Future</v>
          </cell>
          <cell r="D948" t="e">
            <v>#N/A</v>
          </cell>
          <cell r="E948">
            <v>-7.2027027027027692</v>
          </cell>
          <cell r="F948">
            <v>19.081081081081333</v>
          </cell>
          <cell r="G948">
            <v>13.824324324324373</v>
          </cell>
          <cell r="H948">
            <v>13.824324324324373</v>
          </cell>
          <cell r="I948" t="e">
            <v>#N/A</v>
          </cell>
          <cell r="J948" t="e">
            <v>#N/A</v>
          </cell>
          <cell r="K948">
            <v>17.5</v>
          </cell>
          <cell r="L948">
            <v>14</v>
          </cell>
          <cell r="M948" t="e">
            <v>#N/A</v>
          </cell>
          <cell r="N948">
            <v>16.5</v>
          </cell>
          <cell r="O948" t="e">
            <v>#N/A</v>
          </cell>
          <cell r="P948" t="str">
            <v/>
          </cell>
          <cell r="Q948" t="str">
            <v/>
          </cell>
          <cell r="R948">
            <v>16.5</v>
          </cell>
        </row>
        <row r="949">
          <cell r="A949" t="str">
            <v/>
          </cell>
          <cell r="B949" t="str">
            <v/>
          </cell>
          <cell r="C949" t="str">
            <v>Future</v>
          </cell>
          <cell r="D949" t="e">
            <v>#N/A</v>
          </cell>
          <cell r="E949">
            <v>-7.2581081081081749</v>
          </cell>
          <cell r="F949">
            <v>19.093243243243496</v>
          </cell>
          <cell r="G949">
            <v>13.822972972973021</v>
          </cell>
          <cell r="H949">
            <v>13.822972972973021</v>
          </cell>
          <cell r="I949" t="e">
            <v>#N/A</v>
          </cell>
          <cell r="J949" t="e">
            <v>#N/A</v>
          </cell>
          <cell r="K949">
            <v>17.5</v>
          </cell>
          <cell r="L949">
            <v>14</v>
          </cell>
          <cell r="M949" t="e">
            <v>#N/A</v>
          </cell>
          <cell r="N949">
            <v>16.5</v>
          </cell>
          <cell r="O949" t="e">
            <v>#N/A</v>
          </cell>
          <cell r="P949" t="str">
            <v/>
          </cell>
          <cell r="Q949" t="str">
            <v/>
          </cell>
          <cell r="R949">
            <v>16.5</v>
          </cell>
        </row>
        <row r="950">
          <cell r="A950" t="str">
            <v/>
          </cell>
          <cell r="B950" t="str">
            <v/>
          </cell>
          <cell r="C950" t="str">
            <v>Future</v>
          </cell>
          <cell r="D950" t="e">
            <v>#N/A</v>
          </cell>
          <cell r="E950">
            <v>-7.3135135135135805</v>
          </cell>
          <cell r="F950">
            <v>19.105405405405659</v>
          </cell>
          <cell r="G950">
            <v>13.82162162162167</v>
          </cell>
          <cell r="H950">
            <v>13.82162162162167</v>
          </cell>
          <cell r="I950" t="e">
            <v>#N/A</v>
          </cell>
          <cell r="J950" t="e">
            <v>#N/A</v>
          </cell>
          <cell r="K950">
            <v>17.5</v>
          </cell>
          <cell r="L950">
            <v>14</v>
          </cell>
          <cell r="M950" t="e">
            <v>#N/A</v>
          </cell>
          <cell r="N950">
            <v>16.5</v>
          </cell>
          <cell r="O950" t="e">
            <v>#N/A</v>
          </cell>
          <cell r="P950" t="str">
            <v/>
          </cell>
          <cell r="Q950" t="str">
            <v/>
          </cell>
          <cell r="R950">
            <v>16.5</v>
          </cell>
        </row>
        <row r="951">
          <cell r="A951" t="str">
            <v/>
          </cell>
          <cell r="B951" t="str">
            <v/>
          </cell>
          <cell r="C951" t="str">
            <v>Future</v>
          </cell>
          <cell r="D951" t="e">
            <v>#N/A</v>
          </cell>
          <cell r="E951">
            <v>-7.3689189189189861</v>
          </cell>
          <cell r="F951">
            <v>19.117567567567821</v>
          </cell>
          <cell r="G951">
            <v>13.820270270270319</v>
          </cell>
          <cell r="H951">
            <v>13.820270270270319</v>
          </cell>
          <cell r="I951" t="e">
            <v>#N/A</v>
          </cell>
          <cell r="J951" t="e">
            <v>#N/A</v>
          </cell>
          <cell r="K951">
            <v>17.5</v>
          </cell>
          <cell r="L951">
            <v>14</v>
          </cell>
          <cell r="M951" t="e">
            <v>#N/A</v>
          </cell>
          <cell r="N951">
            <v>16.5</v>
          </cell>
          <cell r="O951" t="e">
            <v>#N/A</v>
          </cell>
          <cell r="P951" t="str">
            <v/>
          </cell>
          <cell r="Q951" t="str">
            <v/>
          </cell>
          <cell r="R951">
            <v>16.5</v>
          </cell>
        </row>
        <row r="952">
          <cell r="A952" t="str">
            <v/>
          </cell>
          <cell r="B952" t="str">
            <v/>
          </cell>
          <cell r="C952" t="str">
            <v>Future</v>
          </cell>
          <cell r="D952" t="e">
            <v>#N/A</v>
          </cell>
          <cell r="E952">
            <v>-7.4243243243243917</v>
          </cell>
          <cell r="F952">
            <v>19.129729729729984</v>
          </cell>
          <cell r="G952">
            <v>13.818918918918968</v>
          </cell>
          <cell r="H952">
            <v>13.818918918918968</v>
          </cell>
          <cell r="I952" t="e">
            <v>#N/A</v>
          </cell>
          <cell r="J952" t="e">
            <v>#N/A</v>
          </cell>
          <cell r="K952">
            <v>17.5</v>
          </cell>
          <cell r="L952">
            <v>14</v>
          </cell>
          <cell r="M952" t="e">
            <v>#N/A</v>
          </cell>
          <cell r="N952">
            <v>16.5</v>
          </cell>
          <cell r="O952" t="e">
            <v>#N/A</v>
          </cell>
          <cell r="P952" t="str">
            <v/>
          </cell>
          <cell r="Q952" t="str">
            <v/>
          </cell>
          <cell r="R952">
            <v>16.5</v>
          </cell>
        </row>
        <row r="953">
          <cell r="A953" t="str">
            <v/>
          </cell>
          <cell r="B953" t="str">
            <v/>
          </cell>
          <cell r="C953" t="str">
            <v>Future</v>
          </cell>
          <cell r="D953" t="e">
            <v>#N/A</v>
          </cell>
          <cell r="E953">
            <v>-7.4797297297297973</v>
          </cell>
          <cell r="F953">
            <v>19.141891891892147</v>
          </cell>
          <cell r="G953">
            <v>13.817567567567616</v>
          </cell>
          <cell r="H953">
            <v>13.817567567567616</v>
          </cell>
          <cell r="I953" t="e">
            <v>#N/A</v>
          </cell>
          <cell r="J953" t="e">
            <v>#N/A</v>
          </cell>
          <cell r="K953">
            <v>17.5</v>
          </cell>
          <cell r="L953">
            <v>14</v>
          </cell>
          <cell r="M953" t="e">
            <v>#N/A</v>
          </cell>
          <cell r="N953">
            <v>16.5</v>
          </cell>
          <cell r="O953" t="e">
            <v>#N/A</v>
          </cell>
          <cell r="P953" t="str">
            <v/>
          </cell>
          <cell r="Q953" t="str">
            <v/>
          </cell>
          <cell r="R953">
            <v>16.5</v>
          </cell>
        </row>
        <row r="954">
          <cell r="A954" t="str">
            <v/>
          </cell>
          <cell r="B954" t="str">
            <v/>
          </cell>
          <cell r="C954" t="str">
            <v>Future</v>
          </cell>
          <cell r="D954" t="e">
            <v>#N/A</v>
          </cell>
          <cell r="E954">
            <v>-7.5351351351352029</v>
          </cell>
          <cell r="F954">
            <v>19.15405405405431</v>
          </cell>
          <cell r="G954">
            <v>13.816216216216265</v>
          </cell>
          <cell r="H954">
            <v>13.816216216216265</v>
          </cell>
          <cell r="I954" t="e">
            <v>#N/A</v>
          </cell>
          <cell r="J954" t="e">
            <v>#N/A</v>
          </cell>
          <cell r="K954">
            <v>17.5</v>
          </cell>
          <cell r="L954">
            <v>14</v>
          </cell>
          <cell r="M954" t="e">
            <v>#N/A</v>
          </cell>
          <cell r="N954">
            <v>16.5</v>
          </cell>
          <cell r="O954" t="e">
            <v>#N/A</v>
          </cell>
          <cell r="P954" t="str">
            <v/>
          </cell>
          <cell r="Q954" t="str">
            <v/>
          </cell>
          <cell r="R954">
            <v>16.5</v>
          </cell>
        </row>
        <row r="955">
          <cell r="A955" t="str">
            <v/>
          </cell>
          <cell r="B955" t="str">
            <v/>
          </cell>
          <cell r="C955" t="str">
            <v>Future</v>
          </cell>
          <cell r="D955" t="e">
            <v>#N/A</v>
          </cell>
          <cell r="E955">
            <v>-7.5905405405406086</v>
          </cell>
          <cell r="F955">
            <v>19.166216216216473</v>
          </cell>
          <cell r="G955">
            <v>13.814864864864914</v>
          </cell>
          <cell r="H955">
            <v>13.814864864864914</v>
          </cell>
          <cell r="I955" t="e">
            <v>#N/A</v>
          </cell>
          <cell r="J955" t="e">
            <v>#N/A</v>
          </cell>
          <cell r="K955">
            <v>17.5</v>
          </cell>
          <cell r="L955">
            <v>14</v>
          </cell>
          <cell r="M955" t="e">
            <v>#N/A</v>
          </cell>
          <cell r="N955">
            <v>16.5</v>
          </cell>
          <cell r="O955" t="e">
            <v>#N/A</v>
          </cell>
          <cell r="P955" t="str">
            <v/>
          </cell>
          <cell r="Q955" t="str">
            <v/>
          </cell>
          <cell r="R955">
            <v>16.5</v>
          </cell>
        </row>
        <row r="956">
          <cell r="A956" t="str">
            <v/>
          </cell>
          <cell r="B956" t="str">
            <v/>
          </cell>
          <cell r="C956" t="str">
            <v>Future</v>
          </cell>
          <cell r="D956" t="e">
            <v>#N/A</v>
          </cell>
          <cell r="E956">
            <v>-7.6459459459460142</v>
          </cell>
          <cell r="F956">
            <v>19.178378378378635</v>
          </cell>
          <cell r="G956">
            <v>13.813513513513563</v>
          </cell>
          <cell r="H956">
            <v>13.813513513513563</v>
          </cell>
          <cell r="I956" t="e">
            <v>#N/A</v>
          </cell>
          <cell r="J956" t="e">
            <v>#N/A</v>
          </cell>
          <cell r="K956">
            <v>17.5</v>
          </cell>
          <cell r="L956">
            <v>14</v>
          </cell>
          <cell r="M956" t="e">
            <v>#N/A</v>
          </cell>
          <cell r="N956">
            <v>16.5</v>
          </cell>
          <cell r="O956" t="e">
            <v>#N/A</v>
          </cell>
          <cell r="P956" t="str">
            <v/>
          </cell>
          <cell r="Q956" t="str">
            <v/>
          </cell>
          <cell r="R956">
            <v>16.5</v>
          </cell>
        </row>
        <row r="957">
          <cell r="A957" t="str">
            <v/>
          </cell>
          <cell r="B957" t="str">
            <v/>
          </cell>
          <cell r="C957" t="str">
            <v>Future</v>
          </cell>
          <cell r="D957" t="e">
            <v>#N/A</v>
          </cell>
          <cell r="E957">
            <v>-7.7013513513514198</v>
          </cell>
          <cell r="F957">
            <v>19.190540540540798</v>
          </cell>
          <cell r="G957">
            <v>13.812162162162211</v>
          </cell>
          <cell r="H957">
            <v>13.812162162162211</v>
          </cell>
          <cell r="I957" t="e">
            <v>#N/A</v>
          </cell>
          <cell r="J957" t="e">
            <v>#N/A</v>
          </cell>
          <cell r="K957">
            <v>17.5</v>
          </cell>
          <cell r="L957">
            <v>14</v>
          </cell>
          <cell r="M957" t="e">
            <v>#N/A</v>
          </cell>
          <cell r="N957">
            <v>16.5</v>
          </cell>
          <cell r="O957" t="e">
            <v>#N/A</v>
          </cell>
          <cell r="P957" t="str">
            <v/>
          </cell>
          <cell r="Q957" t="str">
            <v/>
          </cell>
          <cell r="R957">
            <v>16.5</v>
          </cell>
        </row>
        <row r="958">
          <cell r="A958" t="str">
            <v/>
          </cell>
          <cell r="B958" t="str">
            <v/>
          </cell>
          <cell r="C958" t="str">
            <v>Future</v>
          </cell>
          <cell r="D958" t="e">
            <v>#N/A</v>
          </cell>
          <cell r="E958">
            <v>-7.7567567567568254</v>
          </cell>
          <cell r="F958">
            <v>19.202702702702961</v>
          </cell>
          <cell r="G958">
            <v>13.81081081081086</v>
          </cell>
          <cell r="H958">
            <v>13.81081081081086</v>
          </cell>
          <cell r="I958" t="e">
            <v>#N/A</v>
          </cell>
          <cell r="J958" t="e">
            <v>#N/A</v>
          </cell>
          <cell r="K958">
            <v>17.5</v>
          </cell>
          <cell r="L958">
            <v>14</v>
          </cell>
          <cell r="M958" t="e">
            <v>#N/A</v>
          </cell>
          <cell r="N958">
            <v>16.5</v>
          </cell>
          <cell r="O958" t="e">
            <v>#N/A</v>
          </cell>
          <cell r="P958" t="str">
            <v/>
          </cell>
          <cell r="Q958" t="str">
            <v/>
          </cell>
          <cell r="R958">
            <v>16.5</v>
          </cell>
        </row>
        <row r="959">
          <cell r="A959" t="str">
            <v/>
          </cell>
          <cell r="B959" t="str">
            <v/>
          </cell>
          <cell r="C959" t="str">
            <v>Future</v>
          </cell>
          <cell r="D959" t="e">
            <v>#N/A</v>
          </cell>
          <cell r="E959">
            <v>-7.812162162162231</v>
          </cell>
          <cell r="F959">
            <v>19.214864864865124</v>
          </cell>
          <cell r="G959">
            <v>13.809459459459509</v>
          </cell>
          <cell r="H959">
            <v>13.809459459459509</v>
          </cell>
          <cell r="I959" t="e">
            <v>#N/A</v>
          </cell>
          <cell r="J959" t="e">
            <v>#N/A</v>
          </cell>
          <cell r="K959">
            <v>17.5</v>
          </cell>
          <cell r="L959">
            <v>14</v>
          </cell>
          <cell r="M959" t="e">
            <v>#N/A</v>
          </cell>
          <cell r="N959">
            <v>16.5</v>
          </cell>
          <cell r="O959" t="e">
            <v>#N/A</v>
          </cell>
          <cell r="P959" t="str">
            <v/>
          </cell>
          <cell r="Q959" t="str">
            <v/>
          </cell>
          <cell r="R959">
            <v>16.5</v>
          </cell>
        </row>
        <row r="960">
          <cell r="A960" t="str">
            <v/>
          </cell>
          <cell r="B960" t="str">
            <v/>
          </cell>
          <cell r="C960" t="str">
            <v>Future</v>
          </cell>
          <cell r="D960" t="e">
            <v>#N/A</v>
          </cell>
          <cell r="E960">
            <v>-7.8675675675676366</v>
          </cell>
          <cell r="F960">
            <v>19.227027027027287</v>
          </cell>
          <cell r="G960">
            <v>13.808108108108158</v>
          </cell>
          <cell r="H960">
            <v>13.808108108108158</v>
          </cell>
          <cell r="I960" t="e">
            <v>#N/A</v>
          </cell>
          <cell r="J960" t="e">
            <v>#N/A</v>
          </cell>
          <cell r="K960">
            <v>17.5</v>
          </cell>
          <cell r="L960">
            <v>14</v>
          </cell>
          <cell r="M960" t="e">
            <v>#N/A</v>
          </cell>
          <cell r="N960">
            <v>16.5</v>
          </cell>
          <cell r="O960" t="e">
            <v>#N/A</v>
          </cell>
          <cell r="P960" t="str">
            <v/>
          </cell>
          <cell r="Q960" t="str">
            <v/>
          </cell>
          <cell r="R960">
            <v>16.5</v>
          </cell>
        </row>
        <row r="961">
          <cell r="A961" t="str">
            <v/>
          </cell>
          <cell r="B961" t="str">
            <v/>
          </cell>
          <cell r="C961" t="str">
            <v>Future</v>
          </cell>
          <cell r="D961" t="e">
            <v>#N/A</v>
          </cell>
          <cell r="E961">
            <v>-7.9229729729730423</v>
          </cell>
          <cell r="F961">
            <v>19.23918918918945</v>
          </cell>
          <cell r="G961">
            <v>13.806756756756807</v>
          </cell>
          <cell r="H961">
            <v>13.806756756756807</v>
          </cell>
          <cell r="I961" t="e">
            <v>#N/A</v>
          </cell>
          <cell r="J961" t="e">
            <v>#N/A</v>
          </cell>
          <cell r="K961">
            <v>17.5</v>
          </cell>
          <cell r="L961">
            <v>14</v>
          </cell>
          <cell r="M961" t="e">
            <v>#N/A</v>
          </cell>
          <cell r="N961">
            <v>16.5</v>
          </cell>
          <cell r="O961" t="e">
            <v>#N/A</v>
          </cell>
          <cell r="P961" t="str">
            <v/>
          </cell>
          <cell r="Q961" t="str">
            <v/>
          </cell>
          <cell r="R961">
            <v>16.5</v>
          </cell>
        </row>
        <row r="962">
          <cell r="A962" t="str">
            <v/>
          </cell>
          <cell r="B962" t="str">
            <v/>
          </cell>
          <cell r="C962" t="str">
            <v>Future</v>
          </cell>
          <cell r="D962" t="e">
            <v>#N/A</v>
          </cell>
          <cell r="E962">
            <v>-7.9783783783784479</v>
          </cell>
          <cell r="F962">
            <v>19.251351351351612</v>
          </cell>
          <cell r="G962">
            <v>13.805405405405455</v>
          </cell>
          <cell r="H962">
            <v>13.805405405405455</v>
          </cell>
          <cell r="I962" t="e">
            <v>#N/A</v>
          </cell>
          <cell r="J962" t="e">
            <v>#N/A</v>
          </cell>
          <cell r="K962">
            <v>17.5</v>
          </cell>
          <cell r="L962">
            <v>14</v>
          </cell>
          <cell r="M962" t="e">
            <v>#N/A</v>
          </cell>
          <cell r="N962">
            <v>16.5</v>
          </cell>
          <cell r="O962" t="e">
            <v>#N/A</v>
          </cell>
          <cell r="P962" t="str">
            <v/>
          </cell>
          <cell r="Q962" t="str">
            <v/>
          </cell>
          <cell r="R962">
            <v>16.5</v>
          </cell>
        </row>
        <row r="963">
          <cell r="A963" t="str">
            <v/>
          </cell>
          <cell r="B963" t="str">
            <v/>
          </cell>
          <cell r="C963" t="str">
            <v>Future</v>
          </cell>
          <cell r="D963" t="e">
            <v>#N/A</v>
          </cell>
          <cell r="E963">
            <v>-8.0337837837838535</v>
          </cell>
          <cell r="F963">
            <v>19.263513513513775</v>
          </cell>
          <cell r="G963">
            <v>13.804054054054104</v>
          </cell>
          <cell r="H963">
            <v>13.804054054054104</v>
          </cell>
          <cell r="I963" t="e">
            <v>#N/A</v>
          </cell>
          <cell r="J963" t="e">
            <v>#N/A</v>
          </cell>
          <cell r="K963">
            <v>17.5</v>
          </cell>
          <cell r="L963">
            <v>14</v>
          </cell>
          <cell r="M963" t="e">
            <v>#N/A</v>
          </cell>
          <cell r="N963">
            <v>16.5</v>
          </cell>
          <cell r="O963" t="e">
            <v>#N/A</v>
          </cell>
          <cell r="P963" t="str">
            <v/>
          </cell>
          <cell r="Q963" t="str">
            <v/>
          </cell>
          <cell r="R963">
            <v>16.5</v>
          </cell>
        </row>
        <row r="964">
          <cell r="A964" t="str">
            <v/>
          </cell>
          <cell r="B964" t="str">
            <v/>
          </cell>
          <cell r="C964" t="str">
            <v>Future</v>
          </cell>
          <cell r="D964" t="e">
            <v>#N/A</v>
          </cell>
          <cell r="E964">
            <v>-8.0891891891892591</v>
          </cell>
          <cell r="F964">
            <v>19.275675675675938</v>
          </cell>
          <cell r="G964">
            <v>13.802702702702753</v>
          </cell>
          <cell r="H964">
            <v>13.802702702702753</v>
          </cell>
          <cell r="I964" t="e">
            <v>#N/A</v>
          </cell>
          <cell r="J964" t="e">
            <v>#N/A</v>
          </cell>
          <cell r="K964">
            <v>17.5</v>
          </cell>
          <cell r="L964">
            <v>14</v>
          </cell>
          <cell r="M964" t="e">
            <v>#N/A</v>
          </cell>
          <cell r="N964">
            <v>16.5</v>
          </cell>
          <cell r="O964" t="e">
            <v>#N/A</v>
          </cell>
          <cell r="P964" t="str">
            <v/>
          </cell>
          <cell r="Q964" t="str">
            <v/>
          </cell>
          <cell r="R964">
            <v>16.5</v>
          </cell>
        </row>
        <row r="965">
          <cell r="A965" t="str">
            <v/>
          </cell>
          <cell r="B965" t="str">
            <v/>
          </cell>
          <cell r="C965" t="str">
            <v>Future</v>
          </cell>
          <cell r="D965" t="e">
            <v>#N/A</v>
          </cell>
          <cell r="E965">
            <v>-8.1445945945946647</v>
          </cell>
          <cell r="F965">
            <v>19.287837837838101</v>
          </cell>
          <cell r="G965">
            <v>13.801351351351402</v>
          </cell>
          <cell r="H965">
            <v>13.801351351351402</v>
          </cell>
          <cell r="I965" t="e">
            <v>#N/A</v>
          </cell>
          <cell r="J965" t="e">
            <v>#N/A</v>
          </cell>
          <cell r="K965">
            <v>17.5</v>
          </cell>
          <cell r="L965">
            <v>14</v>
          </cell>
          <cell r="M965" t="e">
            <v>#N/A</v>
          </cell>
          <cell r="N965">
            <v>16.5</v>
          </cell>
          <cell r="O965" t="e">
            <v>#N/A</v>
          </cell>
          <cell r="P965" t="str">
            <v/>
          </cell>
          <cell r="Q965" t="str">
            <v/>
          </cell>
          <cell r="R965">
            <v>16.5</v>
          </cell>
        </row>
        <row r="966">
          <cell r="A966" t="str">
            <v/>
          </cell>
          <cell r="B966" t="str">
            <v/>
          </cell>
          <cell r="C966" t="str">
            <v>Future</v>
          </cell>
          <cell r="D966" t="e">
            <v>#N/A</v>
          </cell>
          <cell r="E966">
            <v>-8.2000000000000703</v>
          </cell>
          <cell r="F966">
            <v>19.300000000000264</v>
          </cell>
          <cell r="G966">
            <v>13.80000000000005</v>
          </cell>
          <cell r="H966">
            <v>13.80000000000005</v>
          </cell>
          <cell r="I966" t="e">
            <v>#N/A</v>
          </cell>
          <cell r="J966" t="e">
            <v>#N/A</v>
          </cell>
          <cell r="K966">
            <v>17.5</v>
          </cell>
          <cell r="L966">
            <v>14</v>
          </cell>
          <cell r="M966" t="e">
            <v>#N/A</v>
          </cell>
          <cell r="N966">
            <v>16.5</v>
          </cell>
          <cell r="O966" t="e">
            <v>#N/A</v>
          </cell>
          <cell r="P966" t="str">
            <v/>
          </cell>
          <cell r="Q966" t="str">
            <v/>
          </cell>
          <cell r="R966">
            <v>16.5</v>
          </cell>
        </row>
        <row r="967">
          <cell r="A967" t="str">
            <v/>
          </cell>
          <cell r="B967" t="str">
            <v/>
          </cell>
          <cell r="C967" t="str">
            <v>Future</v>
          </cell>
          <cell r="D967" t="e">
            <v>#N/A</v>
          </cell>
          <cell r="E967">
            <v>-8.255405405405476</v>
          </cell>
          <cell r="F967">
            <v>19.312162162162426</v>
          </cell>
          <cell r="G967">
            <v>13.798648648648699</v>
          </cell>
          <cell r="H967">
            <v>13.798648648648699</v>
          </cell>
          <cell r="I967" t="e">
            <v>#N/A</v>
          </cell>
          <cell r="J967" t="e">
            <v>#N/A</v>
          </cell>
          <cell r="K967">
            <v>17.5</v>
          </cell>
          <cell r="L967">
            <v>14</v>
          </cell>
          <cell r="M967" t="e">
            <v>#N/A</v>
          </cell>
          <cell r="N967">
            <v>16.5</v>
          </cell>
          <cell r="O967" t="e">
            <v>#N/A</v>
          </cell>
          <cell r="P967" t="str">
            <v/>
          </cell>
          <cell r="Q967" t="str">
            <v/>
          </cell>
          <cell r="R967">
            <v>16.5</v>
          </cell>
        </row>
        <row r="968">
          <cell r="A968" t="str">
            <v/>
          </cell>
          <cell r="B968" t="str">
            <v/>
          </cell>
          <cell r="C968" t="str">
            <v>Future</v>
          </cell>
          <cell r="D968" t="e">
            <v>#N/A</v>
          </cell>
          <cell r="E968">
            <v>-8.3108108108108816</v>
          </cell>
          <cell r="F968">
            <v>19.324324324324589</v>
          </cell>
          <cell r="G968">
            <v>13.797297297297348</v>
          </cell>
          <cell r="H968">
            <v>13.797297297297348</v>
          </cell>
          <cell r="I968" t="e">
            <v>#N/A</v>
          </cell>
          <cell r="J968" t="e">
            <v>#N/A</v>
          </cell>
          <cell r="K968">
            <v>17.5</v>
          </cell>
          <cell r="L968">
            <v>14</v>
          </cell>
          <cell r="M968" t="e">
            <v>#N/A</v>
          </cell>
          <cell r="N968">
            <v>16.5</v>
          </cell>
          <cell r="O968" t="e">
            <v>#N/A</v>
          </cell>
          <cell r="P968" t="str">
            <v/>
          </cell>
          <cell r="Q968" t="str">
            <v/>
          </cell>
          <cell r="R968">
            <v>16.5</v>
          </cell>
        </row>
        <row r="969">
          <cell r="A969" t="str">
            <v/>
          </cell>
          <cell r="B969" t="str">
            <v/>
          </cell>
          <cell r="C969" t="str">
            <v>Future</v>
          </cell>
          <cell r="D969" t="e">
            <v>#N/A</v>
          </cell>
          <cell r="E969">
            <v>-8.3662162162162872</v>
          </cell>
          <cell r="F969">
            <v>19.336486486486752</v>
          </cell>
          <cell r="G969">
            <v>13.795945945945997</v>
          </cell>
          <cell r="H969">
            <v>13.795945945945997</v>
          </cell>
          <cell r="I969" t="e">
            <v>#N/A</v>
          </cell>
          <cell r="J969" t="e">
            <v>#N/A</v>
          </cell>
          <cell r="K969">
            <v>17.5</v>
          </cell>
          <cell r="L969">
            <v>14</v>
          </cell>
          <cell r="M969" t="e">
            <v>#N/A</v>
          </cell>
          <cell r="N969">
            <v>16.5</v>
          </cell>
          <cell r="O969" t="e">
            <v>#N/A</v>
          </cell>
          <cell r="P969" t="str">
            <v/>
          </cell>
          <cell r="Q969" t="str">
            <v/>
          </cell>
          <cell r="R969">
            <v>16.5</v>
          </cell>
        </row>
        <row r="970">
          <cell r="A970" t="str">
            <v/>
          </cell>
          <cell r="B970" t="str">
            <v/>
          </cell>
          <cell r="C970" t="str">
            <v>Future</v>
          </cell>
          <cell r="D970" t="e">
            <v>#N/A</v>
          </cell>
          <cell r="E970">
            <v>-8.4216216216216928</v>
          </cell>
          <cell r="F970">
            <v>19.348648648648915</v>
          </cell>
          <cell r="G970">
            <v>13.794594594594646</v>
          </cell>
          <cell r="H970">
            <v>13.794594594594646</v>
          </cell>
          <cell r="I970" t="e">
            <v>#N/A</v>
          </cell>
          <cell r="J970" t="e">
            <v>#N/A</v>
          </cell>
          <cell r="K970">
            <v>17.5</v>
          </cell>
          <cell r="L970">
            <v>14</v>
          </cell>
          <cell r="M970" t="e">
            <v>#N/A</v>
          </cell>
          <cell r="N970">
            <v>16.5</v>
          </cell>
          <cell r="O970" t="e">
            <v>#N/A</v>
          </cell>
          <cell r="P970" t="str">
            <v/>
          </cell>
          <cell r="Q970" t="str">
            <v/>
          </cell>
          <cell r="R970">
            <v>16.5</v>
          </cell>
        </row>
        <row r="971">
          <cell r="A971" t="str">
            <v/>
          </cell>
          <cell r="B971" t="str">
            <v/>
          </cell>
          <cell r="C971" t="str">
            <v>Future</v>
          </cell>
          <cell r="D971" t="e">
            <v>#N/A</v>
          </cell>
          <cell r="E971">
            <v>-8.4770270270270984</v>
          </cell>
          <cell r="F971">
            <v>19.360810810811078</v>
          </cell>
          <cell r="G971">
            <v>13.793243243243294</v>
          </cell>
          <cell r="H971">
            <v>13.793243243243294</v>
          </cell>
          <cell r="I971" t="e">
            <v>#N/A</v>
          </cell>
          <cell r="J971" t="e">
            <v>#N/A</v>
          </cell>
          <cell r="K971">
            <v>17.5</v>
          </cell>
          <cell r="L971">
            <v>14</v>
          </cell>
          <cell r="M971" t="e">
            <v>#N/A</v>
          </cell>
          <cell r="N971">
            <v>16.5</v>
          </cell>
          <cell r="O971" t="e">
            <v>#N/A</v>
          </cell>
          <cell r="P971" t="str">
            <v/>
          </cell>
          <cell r="Q971" t="str">
            <v/>
          </cell>
          <cell r="R971">
            <v>16.5</v>
          </cell>
        </row>
        <row r="972">
          <cell r="A972" t="str">
            <v/>
          </cell>
          <cell r="B972" t="str">
            <v/>
          </cell>
          <cell r="C972" t="str">
            <v>Future</v>
          </cell>
          <cell r="D972" t="e">
            <v>#N/A</v>
          </cell>
          <cell r="E972">
            <v>-8.532432432432504</v>
          </cell>
          <cell r="F972">
            <v>19.372972972973241</v>
          </cell>
          <cell r="G972">
            <v>13.791891891891943</v>
          </cell>
          <cell r="H972">
            <v>13.791891891891943</v>
          </cell>
          <cell r="I972" t="e">
            <v>#N/A</v>
          </cell>
          <cell r="J972" t="e">
            <v>#N/A</v>
          </cell>
          <cell r="K972">
            <v>17.5</v>
          </cell>
          <cell r="L972">
            <v>14</v>
          </cell>
          <cell r="M972" t="e">
            <v>#N/A</v>
          </cell>
          <cell r="N972">
            <v>16.5</v>
          </cell>
          <cell r="O972" t="e">
            <v>#N/A</v>
          </cell>
          <cell r="P972" t="str">
            <v/>
          </cell>
          <cell r="Q972" t="str">
            <v/>
          </cell>
          <cell r="R972">
            <v>16.5</v>
          </cell>
        </row>
        <row r="973">
          <cell r="A973" t="str">
            <v/>
          </cell>
          <cell r="B973" t="str">
            <v/>
          </cell>
          <cell r="C973" t="str">
            <v>Future</v>
          </cell>
          <cell r="D973" t="e">
            <v>#N/A</v>
          </cell>
          <cell r="E973">
            <v>-8.5878378378379097</v>
          </cell>
          <cell r="F973">
            <v>19.385135135135403</v>
          </cell>
          <cell r="G973">
            <v>13.790540540540592</v>
          </cell>
          <cell r="H973">
            <v>13.790540540540592</v>
          </cell>
          <cell r="I973" t="e">
            <v>#N/A</v>
          </cell>
          <cell r="J973" t="e">
            <v>#N/A</v>
          </cell>
          <cell r="K973">
            <v>17.5</v>
          </cell>
          <cell r="L973">
            <v>14</v>
          </cell>
          <cell r="M973" t="e">
            <v>#N/A</v>
          </cell>
          <cell r="N973">
            <v>16.5</v>
          </cell>
          <cell r="O973" t="e">
            <v>#N/A</v>
          </cell>
          <cell r="P973" t="str">
            <v/>
          </cell>
          <cell r="Q973" t="str">
            <v/>
          </cell>
          <cell r="R973">
            <v>16.5</v>
          </cell>
        </row>
        <row r="974">
          <cell r="A974" t="str">
            <v/>
          </cell>
          <cell r="B974" t="str">
            <v/>
          </cell>
          <cell r="C974" t="str">
            <v>Future</v>
          </cell>
          <cell r="D974" t="e">
            <v>#N/A</v>
          </cell>
          <cell r="E974">
            <v>-8.6432432432433153</v>
          </cell>
          <cell r="F974">
            <v>19.397297297297566</v>
          </cell>
          <cell r="G974">
            <v>13.789189189189241</v>
          </cell>
          <cell r="H974">
            <v>13.789189189189241</v>
          </cell>
          <cell r="I974" t="e">
            <v>#N/A</v>
          </cell>
          <cell r="J974" t="e">
            <v>#N/A</v>
          </cell>
          <cell r="K974">
            <v>17.5</v>
          </cell>
          <cell r="L974">
            <v>14</v>
          </cell>
          <cell r="M974" t="e">
            <v>#N/A</v>
          </cell>
          <cell r="N974">
            <v>16.5</v>
          </cell>
          <cell r="O974" t="e">
            <v>#N/A</v>
          </cell>
          <cell r="P974" t="str">
            <v/>
          </cell>
          <cell r="Q974" t="str">
            <v/>
          </cell>
          <cell r="R974">
            <v>16.5</v>
          </cell>
        </row>
        <row r="975">
          <cell r="A975" t="str">
            <v/>
          </cell>
          <cell r="B975" t="str">
            <v/>
          </cell>
          <cell r="C975" t="str">
            <v>Future</v>
          </cell>
          <cell r="D975" t="e">
            <v>#N/A</v>
          </cell>
          <cell r="E975">
            <v>-8.6986486486487209</v>
          </cell>
          <cell r="F975">
            <v>19.409459459459729</v>
          </cell>
          <cell r="G975">
            <v>13.787837837837889</v>
          </cell>
          <cell r="H975">
            <v>13.787837837837889</v>
          </cell>
          <cell r="I975" t="e">
            <v>#N/A</v>
          </cell>
          <cell r="J975" t="e">
            <v>#N/A</v>
          </cell>
          <cell r="K975">
            <v>17.5</v>
          </cell>
          <cell r="L975">
            <v>14</v>
          </cell>
          <cell r="M975" t="e">
            <v>#N/A</v>
          </cell>
          <cell r="N975">
            <v>16.5</v>
          </cell>
          <cell r="O975" t="e">
            <v>#N/A</v>
          </cell>
          <cell r="P975" t="str">
            <v/>
          </cell>
          <cell r="Q975" t="str">
            <v/>
          </cell>
          <cell r="R975">
            <v>16.5</v>
          </cell>
        </row>
        <row r="976">
          <cell r="A976" t="str">
            <v/>
          </cell>
          <cell r="B976" t="str">
            <v/>
          </cell>
          <cell r="C976" t="str">
            <v>Future</v>
          </cell>
          <cell r="D976" t="e">
            <v>#N/A</v>
          </cell>
          <cell r="E976">
            <v>-8.7540540540541265</v>
          </cell>
          <cell r="F976">
            <v>19.421621621621892</v>
          </cell>
          <cell r="G976">
            <v>13.786486486486538</v>
          </cell>
          <cell r="H976">
            <v>13.786486486486538</v>
          </cell>
          <cell r="I976" t="e">
            <v>#N/A</v>
          </cell>
          <cell r="J976" t="e">
            <v>#N/A</v>
          </cell>
          <cell r="K976">
            <v>17.5</v>
          </cell>
          <cell r="L976">
            <v>14</v>
          </cell>
          <cell r="M976" t="e">
            <v>#N/A</v>
          </cell>
          <cell r="N976">
            <v>16.5</v>
          </cell>
          <cell r="O976" t="e">
            <v>#N/A</v>
          </cell>
          <cell r="P976" t="str">
            <v/>
          </cell>
          <cell r="Q976" t="str">
            <v/>
          </cell>
          <cell r="R976">
            <v>16.5</v>
          </cell>
        </row>
        <row r="977">
          <cell r="A977" t="str">
            <v/>
          </cell>
          <cell r="B977" t="str">
            <v/>
          </cell>
          <cell r="C977" t="str">
            <v>Future</v>
          </cell>
          <cell r="D977" t="e">
            <v>#N/A</v>
          </cell>
          <cell r="E977">
            <v>-8.8094594594595321</v>
          </cell>
          <cell r="F977">
            <v>19.433783783784055</v>
          </cell>
          <cell r="G977">
            <v>13.785135135135187</v>
          </cell>
          <cell r="H977">
            <v>13.785135135135187</v>
          </cell>
          <cell r="I977" t="e">
            <v>#N/A</v>
          </cell>
          <cell r="J977" t="e">
            <v>#N/A</v>
          </cell>
          <cell r="K977">
            <v>17.5</v>
          </cell>
          <cell r="L977">
            <v>14</v>
          </cell>
          <cell r="M977" t="e">
            <v>#N/A</v>
          </cell>
          <cell r="N977">
            <v>16.5</v>
          </cell>
          <cell r="O977" t="e">
            <v>#N/A</v>
          </cell>
          <cell r="P977" t="str">
            <v/>
          </cell>
          <cell r="Q977" t="str">
            <v/>
          </cell>
          <cell r="R977">
            <v>16.5</v>
          </cell>
        </row>
        <row r="978">
          <cell r="A978" t="str">
            <v/>
          </cell>
          <cell r="B978" t="str">
            <v/>
          </cell>
          <cell r="C978" t="str">
            <v>Future</v>
          </cell>
          <cell r="D978" t="e">
            <v>#N/A</v>
          </cell>
          <cell r="E978">
            <v>-8.8648648648649377</v>
          </cell>
          <cell r="F978">
            <v>19.445945945946217</v>
          </cell>
          <cell r="G978">
            <v>13.783783783783836</v>
          </cell>
          <cell r="H978">
            <v>13.783783783783836</v>
          </cell>
          <cell r="I978" t="e">
            <v>#N/A</v>
          </cell>
          <cell r="J978" t="e">
            <v>#N/A</v>
          </cell>
          <cell r="K978">
            <v>17.5</v>
          </cell>
          <cell r="L978">
            <v>14</v>
          </cell>
          <cell r="M978" t="e">
            <v>#N/A</v>
          </cell>
          <cell r="N978">
            <v>16.5</v>
          </cell>
          <cell r="O978" t="e">
            <v>#N/A</v>
          </cell>
          <cell r="P978" t="str">
            <v/>
          </cell>
          <cell r="Q978" t="str">
            <v/>
          </cell>
          <cell r="R978">
            <v>16.5</v>
          </cell>
        </row>
        <row r="979">
          <cell r="A979" t="str">
            <v/>
          </cell>
          <cell r="B979" t="str">
            <v/>
          </cell>
          <cell r="C979" t="str">
            <v>Future</v>
          </cell>
          <cell r="D979" t="e">
            <v>#N/A</v>
          </cell>
          <cell r="E979">
            <v>-8.9202702702703434</v>
          </cell>
          <cell r="F979">
            <v>19.45810810810838</v>
          </cell>
          <cell r="G979">
            <v>13.782432432432485</v>
          </cell>
          <cell r="H979">
            <v>13.782432432432485</v>
          </cell>
          <cell r="I979" t="e">
            <v>#N/A</v>
          </cell>
          <cell r="J979" t="e">
            <v>#N/A</v>
          </cell>
          <cell r="K979">
            <v>17.5</v>
          </cell>
          <cell r="L979">
            <v>14</v>
          </cell>
          <cell r="M979" t="e">
            <v>#N/A</v>
          </cell>
          <cell r="N979">
            <v>16.5</v>
          </cell>
          <cell r="O979" t="e">
            <v>#N/A</v>
          </cell>
          <cell r="P979" t="str">
            <v/>
          </cell>
          <cell r="Q979" t="str">
            <v/>
          </cell>
          <cell r="R979">
            <v>16.5</v>
          </cell>
        </row>
        <row r="980">
          <cell r="A980" t="str">
            <v/>
          </cell>
          <cell r="B980" t="str">
            <v/>
          </cell>
          <cell r="C980" t="str">
            <v>Future</v>
          </cell>
          <cell r="D980" t="e">
            <v>#N/A</v>
          </cell>
          <cell r="E980">
            <v>-8.975675675675749</v>
          </cell>
          <cell r="F980">
            <v>19.470270270270543</v>
          </cell>
          <cell r="G980">
            <v>13.781081081081133</v>
          </cell>
          <cell r="H980">
            <v>13.781081081081133</v>
          </cell>
          <cell r="I980" t="e">
            <v>#N/A</v>
          </cell>
          <cell r="J980" t="e">
            <v>#N/A</v>
          </cell>
          <cell r="K980">
            <v>17.5</v>
          </cell>
          <cell r="L980">
            <v>14</v>
          </cell>
          <cell r="M980" t="e">
            <v>#N/A</v>
          </cell>
          <cell r="N980">
            <v>16.5</v>
          </cell>
          <cell r="O980" t="e">
            <v>#N/A</v>
          </cell>
          <cell r="P980" t="str">
            <v/>
          </cell>
          <cell r="Q980" t="str">
            <v/>
          </cell>
          <cell r="R980">
            <v>16.5</v>
          </cell>
        </row>
        <row r="981">
          <cell r="A981" t="str">
            <v/>
          </cell>
          <cell r="B981" t="str">
            <v/>
          </cell>
          <cell r="C981" t="str">
            <v>Future</v>
          </cell>
          <cell r="D981" t="e">
            <v>#N/A</v>
          </cell>
          <cell r="E981">
            <v>-9.0310810810811546</v>
          </cell>
          <cell r="F981">
            <v>19.482432432432706</v>
          </cell>
          <cell r="G981">
            <v>13.779729729729782</v>
          </cell>
          <cell r="H981">
            <v>13.779729729729782</v>
          </cell>
          <cell r="I981" t="e">
            <v>#N/A</v>
          </cell>
          <cell r="J981" t="e">
            <v>#N/A</v>
          </cell>
          <cell r="K981">
            <v>17.5</v>
          </cell>
          <cell r="L981">
            <v>14</v>
          </cell>
          <cell r="M981" t="e">
            <v>#N/A</v>
          </cell>
          <cell r="N981">
            <v>16.5</v>
          </cell>
          <cell r="O981" t="e">
            <v>#N/A</v>
          </cell>
          <cell r="P981" t="str">
            <v/>
          </cell>
          <cell r="Q981" t="str">
            <v/>
          </cell>
          <cell r="R981">
            <v>16.5</v>
          </cell>
        </row>
        <row r="982">
          <cell r="A982" t="str">
            <v/>
          </cell>
          <cell r="B982" t="str">
            <v/>
          </cell>
          <cell r="C982" t="str">
            <v>Future</v>
          </cell>
          <cell r="D982" t="e">
            <v>#N/A</v>
          </cell>
          <cell r="E982">
            <v>-9.0864864864865602</v>
          </cell>
          <cell r="F982">
            <v>19.494594594594869</v>
          </cell>
          <cell r="G982">
            <v>13.778378378378431</v>
          </cell>
          <cell r="H982">
            <v>13.778378378378431</v>
          </cell>
          <cell r="I982" t="e">
            <v>#N/A</v>
          </cell>
          <cell r="J982" t="e">
            <v>#N/A</v>
          </cell>
          <cell r="K982">
            <v>17.5</v>
          </cell>
          <cell r="L982">
            <v>14</v>
          </cell>
          <cell r="M982" t="e">
            <v>#N/A</v>
          </cell>
          <cell r="N982">
            <v>16.5</v>
          </cell>
          <cell r="O982" t="e">
            <v>#N/A</v>
          </cell>
          <cell r="P982" t="str">
            <v/>
          </cell>
          <cell r="Q982" t="str">
            <v/>
          </cell>
          <cell r="R982">
            <v>16.5</v>
          </cell>
        </row>
        <row r="983">
          <cell r="A983" t="str">
            <v/>
          </cell>
          <cell r="B983" t="str">
            <v/>
          </cell>
          <cell r="C983" t="str">
            <v>Future</v>
          </cell>
          <cell r="D983" t="e">
            <v>#N/A</v>
          </cell>
          <cell r="E983">
            <v>-9.1418918918919658</v>
          </cell>
          <cell r="F983">
            <v>19.506756756757031</v>
          </cell>
          <cell r="G983">
            <v>13.77702702702708</v>
          </cell>
          <cell r="H983">
            <v>13.77702702702708</v>
          </cell>
          <cell r="I983" t="e">
            <v>#N/A</v>
          </cell>
          <cell r="J983" t="e">
            <v>#N/A</v>
          </cell>
          <cell r="K983">
            <v>17.5</v>
          </cell>
          <cell r="L983">
            <v>14</v>
          </cell>
          <cell r="M983" t="e">
            <v>#N/A</v>
          </cell>
          <cell r="N983">
            <v>16.5</v>
          </cell>
          <cell r="O983" t="e">
            <v>#N/A</v>
          </cell>
          <cell r="P983" t="str">
            <v/>
          </cell>
          <cell r="Q983" t="str">
            <v/>
          </cell>
          <cell r="R983">
            <v>16.5</v>
          </cell>
        </row>
        <row r="984">
          <cell r="A984" t="str">
            <v/>
          </cell>
          <cell r="B984" t="str">
            <v/>
          </cell>
          <cell r="C984" t="str">
            <v>Future</v>
          </cell>
          <cell r="D984" t="e">
            <v>#N/A</v>
          </cell>
          <cell r="E984">
            <v>-9.1972972972973714</v>
          </cell>
          <cell r="F984">
            <v>19.518918918919194</v>
          </cell>
          <cell r="G984">
            <v>13.775675675675728</v>
          </cell>
          <cell r="H984">
            <v>13.775675675675728</v>
          </cell>
          <cell r="I984" t="e">
            <v>#N/A</v>
          </cell>
          <cell r="J984" t="e">
            <v>#N/A</v>
          </cell>
          <cell r="K984">
            <v>17.5</v>
          </cell>
          <cell r="L984">
            <v>14</v>
          </cell>
          <cell r="M984" t="e">
            <v>#N/A</v>
          </cell>
          <cell r="N984">
            <v>16.5</v>
          </cell>
          <cell r="O984" t="e">
            <v>#N/A</v>
          </cell>
          <cell r="P984" t="str">
            <v/>
          </cell>
          <cell r="Q984" t="str">
            <v/>
          </cell>
          <cell r="R984">
            <v>16.5</v>
          </cell>
        </row>
        <row r="985">
          <cell r="A985" t="str">
            <v/>
          </cell>
          <cell r="B985" t="str">
            <v/>
          </cell>
          <cell r="C985" t="str">
            <v>Future</v>
          </cell>
          <cell r="D985" t="e">
            <v>#N/A</v>
          </cell>
          <cell r="E985">
            <v>-9.2527027027027771</v>
          </cell>
          <cell r="F985">
            <v>19.531081081081357</v>
          </cell>
          <cell r="G985">
            <v>13.774324324324377</v>
          </cell>
          <cell r="H985">
            <v>13.774324324324377</v>
          </cell>
          <cell r="I985" t="e">
            <v>#N/A</v>
          </cell>
          <cell r="J985" t="e">
            <v>#N/A</v>
          </cell>
          <cell r="K985">
            <v>17.5</v>
          </cell>
          <cell r="L985">
            <v>14</v>
          </cell>
          <cell r="M985" t="e">
            <v>#N/A</v>
          </cell>
          <cell r="N985">
            <v>16.5</v>
          </cell>
          <cell r="O985" t="e">
            <v>#N/A</v>
          </cell>
          <cell r="P985" t="str">
            <v/>
          </cell>
          <cell r="Q985" t="str">
            <v/>
          </cell>
          <cell r="R985">
            <v>16.5</v>
          </cell>
        </row>
        <row r="986">
          <cell r="A986" t="str">
            <v/>
          </cell>
          <cell r="B986" t="str">
            <v/>
          </cell>
          <cell r="C986" t="str">
            <v>Future</v>
          </cell>
          <cell r="D986" t="e">
            <v>#N/A</v>
          </cell>
          <cell r="E986">
            <v>-9.3081081081081827</v>
          </cell>
          <cell r="F986">
            <v>19.54324324324352</v>
          </cell>
          <cell r="G986">
            <v>13.772972972973026</v>
          </cell>
          <cell r="H986">
            <v>13.772972972973026</v>
          </cell>
          <cell r="I986" t="e">
            <v>#N/A</v>
          </cell>
          <cell r="J986" t="e">
            <v>#N/A</v>
          </cell>
          <cell r="K986">
            <v>17.5</v>
          </cell>
          <cell r="L986">
            <v>14</v>
          </cell>
          <cell r="M986" t="e">
            <v>#N/A</v>
          </cell>
          <cell r="N986">
            <v>16.5</v>
          </cell>
          <cell r="O986" t="e">
            <v>#N/A</v>
          </cell>
          <cell r="P986" t="str">
            <v/>
          </cell>
          <cell r="Q986" t="str">
            <v/>
          </cell>
          <cell r="R986">
            <v>16.5</v>
          </cell>
        </row>
        <row r="987">
          <cell r="A987" t="str">
            <v/>
          </cell>
          <cell r="B987" t="str">
            <v/>
          </cell>
          <cell r="C987" t="str">
            <v>Future</v>
          </cell>
          <cell r="D987" t="e">
            <v>#N/A</v>
          </cell>
          <cell r="E987">
            <v>-9.3635135135135883</v>
          </cell>
          <cell r="F987">
            <v>19.555405405405683</v>
          </cell>
          <cell r="G987">
            <v>13.771621621621675</v>
          </cell>
          <cell r="H987">
            <v>13.771621621621675</v>
          </cell>
          <cell r="I987" t="e">
            <v>#N/A</v>
          </cell>
          <cell r="J987" t="e">
            <v>#N/A</v>
          </cell>
          <cell r="K987">
            <v>17.5</v>
          </cell>
          <cell r="L987">
            <v>14</v>
          </cell>
          <cell r="M987" t="e">
            <v>#N/A</v>
          </cell>
          <cell r="N987">
            <v>16.5</v>
          </cell>
          <cell r="O987" t="e">
            <v>#N/A</v>
          </cell>
          <cell r="P987" t="str">
            <v/>
          </cell>
          <cell r="Q987" t="str">
            <v/>
          </cell>
          <cell r="R987">
            <v>16.5</v>
          </cell>
        </row>
        <row r="988">
          <cell r="A988" t="str">
            <v/>
          </cell>
          <cell r="B988" t="str">
            <v/>
          </cell>
          <cell r="C988" t="str">
            <v>Future</v>
          </cell>
          <cell r="D988" t="e">
            <v>#N/A</v>
          </cell>
          <cell r="E988">
            <v>-9.4189189189189939</v>
          </cell>
          <cell r="F988">
            <v>19.567567567567846</v>
          </cell>
          <cell r="G988">
            <v>13.770270270270323</v>
          </cell>
          <cell r="H988">
            <v>13.770270270270323</v>
          </cell>
          <cell r="I988" t="e">
            <v>#N/A</v>
          </cell>
          <cell r="J988" t="e">
            <v>#N/A</v>
          </cell>
          <cell r="K988">
            <v>17.5</v>
          </cell>
          <cell r="L988">
            <v>14</v>
          </cell>
          <cell r="M988" t="e">
            <v>#N/A</v>
          </cell>
          <cell r="N988">
            <v>16.5</v>
          </cell>
          <cell r="O988" t="e">
            <v>#N/A</v>
          </cell>
          <cell r="P988" t="str">
            <v/>
          </cell>
          <cell r="Q988" t="str">
            <v/>
          </cell>
          <cell r="R988">
            <v>16.5</v>
          </cell>
        </row>
        <row r="989">
          <cell r="A989" t="str">
            <v/>
          </cell>
          <cell r="B989" t="str">
            <v/>
          </cell>
          <cell r="C989" t="str">
            <v>Future</v>
          </cell>
          <cell r="D989" t="e">
            <v>#N/A</v>
          </cell>
          <cell r="E989">
            <v>-9.4743243243243995</v>
          </cell>
          <cell r="F989">
            <v>19.579729729730008</v>
          </cell>
          <cell r="G989">
            <v>13.768918918918972</v>
          </cell>
          <cell r="H989">
            <v>13.768918918918972</v>
          </cell>
          <cell r="I989" t="e">
            <v>#N/A</v>
          </cell>
          <cell r="J989" t="e">
            <v>#N/A</v>
          </cell>
          <cell r="K989">
            <v>17.5</v>
          </cell>
          <cell r="L989">
            <v>14</v>
          </cell>
          <cell r="M989" t="e">
            <v>#N/A</v>
          </cell>
          <cell r="N989">
            <v>16.5</v>
          </cell>
          <cell r="O989" t="e">
            <v>#N/A</v>
          </cell>
          <cell r="P989" t="str">
            <v/>
          </cell>
          <cell r="Q989" t="str">
            <v/>
          </cell>
          <cell r="R989">
            <v>16.5</v>
          </cell>
        </row>
        <row r="990">
          <cell r="A990" t="str">
            <v/>
          </cell>
          <cell r="B990" t="str">
            <v/>
          </cell>
          <cell r="C990" t="str">
            <v>Future</v>
          </cell>
          <cell r="D990" t="e">
            <v>#N/A</v>
          </cell>
          <cell r="E990">
            <v>-9.5297297297298051</v>
          </cell>
          <cell r="F990">
            <v>19.591891891892171</v>
          </cell>
          <cell r="G990">
            <v>13.767567567567621</v>
          </cell>
          <cell r="H990">
            <v>13.767567567567621</v>
          </cell>
          <cell r="I990" t="e">
            <v>#N/A</v>
          </cell>
          <cell r="J990" t="e">
            <v>#N/A</v>
          </cell>
          <cell r="K990">
            <v>17.5</v>
          </cell>
          <cell r="L990">
            <v>14</v>
          </cell>
          <cell r="M990" t="e">
            <v>#N/A</v>
          </cell>
          <cell r="N990">
            <v>16.5</v>
          </cell>
          <cell r="O990" t="e">
            <v>#N/A</v>
          </cell>
          <cell r="P990" t="str">
            <v/>
          </cell>
          <cell r="Q990" t="str">
            <v/>
          </cell>
          <cell r="R990">
            <v>16.5</v>
          </cell>
        </row>
        <row r="991">
          <cell r="A991" t="str">
            <v/>
          </cell>
          <cell r="B991" t="str">
            <v/>
          </cell>
          <cell r="C991" t="str">
            <v>Future</v>
          </cell>
          <cell r="D991" t="e">
            <v>#N/A</v>
          </cell>
          <cell r="E991">
            <v>-9.5851351351352108</v>
          </cell>
          <cell r="F991">
            <v>19.604054054054334</v>
          </cell>
          <cell r="G991">
            <v>13.76621621621627</v>
          </cell>
          <cell r="H991">
            <v>13.76621621621627</v>
          </cell>
          <cell r="I991" t="e">
            <v>#N/A</v>
          </cell>
          <cell r="J991" t="e">
            <v>#N/A</v>
          </cell>
          <cell r="K991">
            <v>17.5</v>
          </cell>
          <cell r="L991">
            <v>14</v>
          </cell>
          <cell r="M991" t="e">
            <v>#N/A</v>
          </cell>
          <cell r="N991">
            <v>16.5</v>
          </cell>
          <cell r="O991" t="e">
            <v>#N/A</v>
          </cell>
          <cell r="P991" t="str">
            <v/>
          </cell>
          <cell r="Q991" t="str">
            <v/>
          </cell>
          <cell r="R991">
            <v>16.5</v>
          </cell>
        </row>
        <row r="992">
          <cell r="A992" t="str">
            <v/>
          </cell>
          <cell r="B992" t="str">
            <v/>
          </cell>
          <cell r="C992" t="str">
            <v>Future</v>
          </cell>
          <cell r="D992" t="e">
            <v>#N/A</v>
          </cell>
          <cell r="E992">
            <v>-9.6405405405406164</v>
          </cell>
          <cell r="F992">
            <v>19.616216216216497</v>
          </cell>
          <cell r="G992">
            <v>13.764864864864919</v>
          </cell>
          <cell r="H992">
            <v>13.764864864864919</v>
          </cell>
          <cell r="I992" t="e">
            <v>#N/A</v>
          </cell>
          <cell r="J992" t="e">
            <v>#N/A</v>
          </cell>
          <cell r="K992">
            <v>17.5</v>
          </cell>
          <cell r="L992">
            <v>14</v>
          </cell>
          <cell r="M992" t="e">
            <v>#N/A</v>
          </cell>
          <cell r="N992">
            <v>16.5</v>
          </cell>
          <cell r="O992" t="e">
            <v>#N/A</v>
          </cell>
          <cell r="P992" t="str">
            <v/>
          </cell>
          <cell r="Q992" t="str">
            <v/>
          </cell>
          <cell r="R992">
            <v>16.5</v>
          </cell>
        </row>
        <row r="993">
          <cell r="A993" t="str">
            <v/>
          </cell>
          <cell r="B993" t="str">
            <v/>
          </cell>
          <cell r="C993" t="str">
            <v>Future</v>
          </cell>
          <cell r="D993" t="e">
            <v>#N/A</v>
          </cell>
          <cell r="E993">
            <v>-9.695945945946022</v>
          </cell>
          <cell r="F993">
            <v>19.62837837837866</v>
          </cell>
          <cell r="G993">
            <v>13.763513513513567</v>
          </cell>
          <cell r="H993">
            <v>13.763513513513567</v>
          </cell>
          <cell r="I993" t="e">
            <v>#N/A</v>
          </cell>
          <cell r="J993" t="e">
            <v>#N/A</v>
          </cell>
          <cell r="K993">
            <v>17.5</v>
          </cell>
          <cell r="L993">
            <v>14</v>
          </cell>
          <cell r="M993" t="e">
            <v>#N/A</v>
          </cell>
          <cell r="N993">
            <v>16.5</v>
          </cell>
          <cell r="O993" t="e">
            <v>#N/A</v>
          </cell>
          <cell r="P993" t="str">
            <v/>
          </cell>
          <cell r="Q993" t="str">
            <v/>
          </cell>
          <cell r="R993">
            <v>16.5</v>
          </cell>
        </row>
        <row r="994">
          <cell r="A994" t="str">
            <v/>
          </cell>
          <cell r="B994" t="str">
            <v/>
          </cell>
          <cell r="C994" t="str">
            <v>Future</v>
          </cell>
          <cell r="D994" t="e">
            <v>#N/A</v>
          </cell>
          <cell r="E994">
            <v>-9.7513513513514276</v>
          </cell>
          <cell r="F994">
            <v>19.640540540540822</v>
          </cell>
          <cell r="G994">
            <v>13.762162162162216</v>
          </cell>
          <cell r="H994">
            <v>13.762162162162216</v>
          </cell>
          <cell r="I994" t="e">
            <v>#N/A</v>
          </cell>
          <cell r="J994" t="e">
            <v>#N/A</v>
          </cell>
          <cell r="K994">
            <v>17.5</v>
          </cell>
          <cell r="L994">
            <v>14</v>
          </cell>
          <cell r="M994" t="e">
            <v>#N/A</v>
          </cell>
          <cell r="N994">
            <v>16.5</v>
          </cell>
          <cell r="O994" t="e">
            <v>#N/A</v>
          </cell>
          <cell r="P994" t="str">
            <v/>
          </cell>
          <cell r="Q994" t="str">
            <v/>
          </cell>
          <cell r="R994">
            <v>16.5</v>
          </cell>
        </row>
        <row r="995">
          <cell r="A995" t="str">
            <v/>
          </cell>
          <cell r="B995" t="str">
            <v/>
          </cell>
          <cell r="C995" t="str">
            <v>Future</v>
          </cell>
          <cell r="D995" t="e">
            <v>#N/A</v>
          </cell>
          <cell r="E995">
            <v>-9.8067567567568332</v>
          </cell>
          <cell r="F995">
            <v>19.652702702702985</v>
          </cell>
          <cell r="G995">
            <v>13.760810810810865</v>
          </cell>
          <cell r="H995">
            <v>13.760810810810865</v>
          </cell>
          <cell r="I995" t="e">
            <v>#N/A</v>
          </cell>
          <cell r="J995" t="e">
            <v>#N/A</v>
          </cell>
          <cell r="K995">
            <v>17.5</v>
          </cell>
          <cell r="L995">
            <v>14</v>
          </cell>
          <cell r="M995" t="e">
            <v>#N/A</v>
          </cell>
          <cell r="N995">
            <v>16.5</v>
          </cell>
          <cell r="O995" t="e">
            <v>#N/A</v>
          </cell>
          <cell r="P995" t="str">
            <v/>
          </cell>
          <cell r="Q995" t="str">
            <v/>
          </cell>
          <cell r="R995">
            <v>16.5</v>
          </cell>
        </row>
        <row r="996">
          <cell r="A996" t="str">
            <v/>
          </cell>
          <cell r="B996" t="str">
            <v/>
          </cell>
          <cell r="C996" t="str">
            <v>Future</v>
          </cell>
          <cell r="D996" t="e">
            <v>#N/A</v>
          </cell>
          <cell r="E996">
            <v>-9.8621621621622388</v>
          </cell>
          <cell r="F996">
            <v>19.664864864865148</v>
          </cell>
          <cell r="G996">
            <v>13.759459459459514</v>
          </cell>
          <cell r="H996">
            <v>13.759459459459514</v>
          </cell>
          <cell r="I996" t="e">
            <v>#N/A</v>
          </cell>
          <cell r="J996" t="e">
            <v>#N/A</v>
          </cell>
          <cell r="K996">
            <v>17.5</v>
          </cell>
          <cell r="L996">
            <v>14</v>
          </cell>
          <cell r="M996" t="e">
            <v>#N/A</v>
          </cell>
          <cell r="N996">
            <v>16.5</v>
          </cell>
          <cell r="O996" t="e">
            <v>#N/A</v>
          </cell>
          <cell r="P996" t="str">
            <v/>
          </cell>
          <cell r="Q996" t="str">
            <v/>
          </cell>
          <cell r="R996">
            <v>16.5</v>
          </cell>
        </row>
        <row r="997">
          <cell r="A997" t="str">
            <v/>
          </cell>
          <cell r="B997" t="str">
            <v/>
          </cell>
          <cell r="C997" t="str">
            <v>Future</v>
          </cell>
          <cell r="D997" t="e">
            <v>#N/A</v>
          </cell>
          <cell r="E997">
            <v>-9.9175675675676445</v>
          </cell>
          <cell r="F997">
            <v>19.677027027027311</v>
          </cell>
          <cell r="G997">
            <v>13.758108108108162</v>
          </cell>
          <cell r="H997">
            <v>13.758108108108162</v>
          </cell>
          <cell r="I997" t="e">
            <v>#N/A</v>
          </cell>
          <cell r="J997" t="e">
            <v>#N/A</v>
          </cell>
          <cell r="K997">
            <v>17.5</v>
          </cell>
          <cell r="L997">
            <v>14</v>
          </cell>
          <cell r="M997" t="e">
            <v>#N/A</v>
          </cell>
          <cell r="N997">
            <v>16.5</v>
          </cell>
          <cell r="O997" t="e">
            <v>#N/A</v>
          </cell>
          <cell r="P997" t="str">
            <v/>
          </cell>
          <cell r="Q997" t="str">
            <v/>
          </cell>
          <cell r="R997">
            <v>16.5</v>
          </cell>
        </row>
        <row r="998">
          <cell r="A998" t="str">
            <v/>
          </cell>
          <cell r="B998" t="str">
            <v/>
          </cell>
          <cell r="C998" t="str">
            <v>Future</v>
          </cell>
          <cell r="D998" t="e">
            <v>#N/A</v>
          </cell>
          <cell r="E998">
            <v>-9.9729729729730501</v>
          </cell>
          <cell r="F998">
            <v>19.689189189189474</v>
          </cell>
          <cell r="G998">
            <v>13.756756756756811</v>
          </cell>
          <cell r="H998">
            <v>13.756756756756811</v>
          </cell>
          <cell r="I998" t="e">
            <v>#N/A</v>
          </cell>
          <cell r="J998" t="e">
            <v>#N/A</v>
          </cell>
          <cell r="K998">
            <v>17.5</v>
          </cell>
          <cell r="L998">
            <v>14</v>
          </cell>
          <cell r="M998" t="e">
            <v>#N/A</v>
          </cell>
          <cell r="N998">
            <v>16.5</v>
          </cell>
          <cell r="O998" t="e">
            <v>#N/A</v>
          </cell>
          <cell r="P998" t="str">
            <v/>
          </cell>
          <cell r="Q998" t="str">
            <v/>
          </cell>
          <cell r="R998">
            <v>16.5</v>
          </cell>
        </row>
        <row r="999">
          <cell r="A999" t="str">
            <v/>
          </cell>
          <cell r="B999" t="str">
            <v/>
          </cell>
          <cell r="C999" t="str">
            <v>Future</v>
          </cell>
          <cell r="D999" t="e">
            <v>#N/A</v>
          </cell>
          <cell r="E999">
            <v>-10.028378378378456</v>
          </cell>
          <cell r="F999">
            <v>19.701351351351637</v>
          </cell>
          <cell r="G999">
            <v>13.75540540540546</v>
          </cell>
          <cell r="H999">
            <v>13.75540540540546</v>
          </cell>
          <cell r="I999" t="e">
            <v>#N/A</v>
          </cell>
          <cell r="J999" t="e">
            <v>#N/A</v>
          </cell>
          <cell r="K999">
            <v>17.5</v>
          </cell>
          <cell r="L999">
            <v>14</v>
          </cell>
          <cell r="M999" t="e">
            <v>#N/A</v>
          </cell>
          <cell r="N999">
            <v>16.5</v>
          </cell>
          <cell r="O999" t="e">
            <v>#N/A</v>
          </cell>
          <cell r="P999" t="str">
            <v/>
          </cell>
          <cell r="Q999" t="str">
            <v/>
          </cell>
          <cell r="R999">
            <v>16.5</v>
          </cell>
        </row>
        <row r="1000">
          <cell r="A1000" t="str">
            <v/>
          </cell>
          <cell r="B1000" t="str">
            <v/>
          </cell>
          <cell r="C1000" t="str">
            <v>Future</v>
          </cell>
          <cell r="D1000" t="e">
            <v>#N/A</v>
          </cell>
          <cell r="E1000">
            <v>-10.083783783783861</v>
          </cell>
          <cell r="F1000">
            <v>19.713513513513799</v>
          </cell>
          <cell r="G1000">
            <v>13.754054054054109</v>
          </cell>
          <cell r="H1000">
            <v>13.754054054054109</v>
          </cell>
          <cell r="I1000" t="e">
            <v>#N/A</v>
          </cell>
          <cell r="J1000" t="e">
            <v>#N/A</v>
          </cell>
          <cell r="K1000">
            <v>17.5</v>
          </cell>
          <cell r="L1000">
            <v>14</v>
          </cell>
          <cell r="M1000" t="e">
            <v>#N/A</v>
          </cell>
          <cell r="N1000">
            <v>16.5</v>
          </cell>
          <cell r="O1000" t="e">
            <v>#N/A</v>
          </cell>
          <cell r="P1000" t="str">
            <v/>
          </cell>
          <cell r="Q1000" t="str">
            <v/>
          </cell>
          <cell r="R1000">
            <v>16.5</v>
          </cell>
        </row>
        <row r="1001">
          <cell r="A1001" t="str">
            <v/>
          </cell>
          <cell r="B1001" t="str">
            <v/>
          </cell>
          <cell r="C1001" t="str">
            <v>Future</v>
          </cell>
          <cell r="D1001" t="e">
            <v>#N/A</v>
          </cell>
          <cell r="E1001">
            <v>-10.139189189189267</v>
          </cell>
          <cell r="F1001">
            <v>19.725675675675962</v>
          </cell>
          <cell r="G1001">
            <v>13.752702702702758</v>
          </cell>
          <cell r="H1001">
            <v>13.752702702702758</v>
          </cell>
          <cell r="I1001" t="e">
            <v>#N/A</v>
          </cell>
          <cell r="J1001" t="e">
            <v>#N/A</v>
          </cell>
          <cell r="K1001">
            <v>17.5</v>
          </cell>
          <cell r="L1001">
            <v>14</v>
          </cell>
          <cell r="M1001" t="e">
            <v>#N/A</v>
          </cell>
          <cell r="N1001">
            <v>16.5</v>
          </cell>
          <cell r="O1001" t="e">
            <v>#N/A</v>
          </cell>
          <cell r="P1001" t="str">
            <v/>
          </cell>
          <cell r="Q1001" t="str">
            <v/>
          </cell>
          <cell r="R1001">
            <v>16.5</v>
          </cell>
        </row>
        <row r="1002">
          <cell r="A1002" t="str">
            <v/>
          </cell>
          <cell r="B1002" t="str">
            <v/>
          </cell>
          <cell r="C1002" t="str">
            <v>Future</v>
          </cell>
          <cell r="D1002" t="e">
            <v>#N/A</v>
          </cell>
          <cell r="E1002">
            <v>-10.194594594594673</v>
          </cell>
          <cell r="F1002">
            <v>19.737837837838125</v>
          </cell>
          <cell r="G1002">
            <v>13.751351351351406</v>
          </cell>
          <cell r="H1002">
            <v>13.751351351351406</v>
          </cell>
          <cell r="I1002" t="e">
            <v>#N/A</v>
          </cell>
          <cell r="J1002" t="e">
            <v>#N/A</v>
          </cell>
          <cell r="K1002">
            <v>17.5</v>
          </cell>
          <cell r="L1002">
            <v>14</v>
          </cell>
          <cell r="M1002" t="e">
            <v>#N/A</v>
          </cell>
          <cell r="N1002">
            <v>16.5</v>
          </cell>
          <cell r="O1002" t="e">
            <v>#N/A</v>
          </cell>
          <cell r="P1002" t="str">
            <v/>
          </cell>
          <cell r="Q1002" t="str">
            <v/>
          </cell>
          <cell r="R1002">
            <v>16.5</v>
          </cell>
        </row>
        <row r="1003">
          <cell r="A1003" t="str">
            <v/>
          </cell>
          <cell r="B1003" t="str">
            <v/>
          </cell>
          <cell r="C1003" t="str">
            <v>Future</v>
          </cell>
          <cell r="D1003" t="e">
            <v>#N/A</v>
          </cell>
          <cell r="E1003">
            <v>-10.250000000000078</v>
          </cell>
          <cell r="F1003">
            <v>19.750000000000288</v>
          </cell>
          <cell r="G1003">
            <v>13.750000000000055</v>
          </cell>
          <cell r="H1003">
            <v>13.750000000000055</v>
          </cell>
          <cell r="I1003" t="e">
            <v>#N/A</v>
          </cell>
          <cell r="J1003" t="e">
            <v>#N/A</v>
          </cell>
          <cell r="K1003">
            <v>17.5</v>
          </cell>
          <cell r="L1003">
            <v>14</v>
          </cell>
          <cell r="M1003" t="e">
            <v>#N/A</v>
          </cell>
          <cell r="N1003">
            <v>16.5</v>
          </cell>
          <cell r="O1003" t="e">
            <v>#N/A</v>
          </cell>
          <cell r="P1003" t="str">
            <v/>
          </cell>
          <cell r="Q1003" t="str">
            <v/>
          </cell>
          <cell r="R1003">
            <v>16.5</v>
          </cell>
        </row>
        <row r="1004">
          <cell r="A1004" t="str">
            <v/>
          </cell>
          <cell r="B1004" t="str">
            <v/>
          </cell>
          <cell r="C1004" t="str">
            <v>Future</v>
          </cell>
          <cell r="D1004" t="e">
            <v>#N/A</v>
          </cell>
          <cell r="E1004">
            <v>-10.305405405405484</v>
          </cell>
          <cell r="F1004">
            <v>19.762162162162451</v>
          </cell>
          <cell r="G1004">
            <v>13.748648648648704</v>
          </cell>
          <cell r="H1004">
            <v>13.748648648648704</v>
          </cell>
          <cell r="I1004" t="e">
            <v>#N/A</v>
          </cell>
          <cell r="J1004" t="e">
            <v>#N/A</v>
          </cell>
          <cell r="K1004">
            <v>17.5</v>
          </cell>
          <cell r="L1004">
            <v>14</v>
          </cell>
          <cell r="M1004" t="e">
            <v>#N/A</v>
          </cell>
          <cell r="N1004">
            <v>16.5</v>
          </cell>
          <cell r="O1004" t="e">
            <v>#N/A</v>
          </cell>
          <cell r="P1004" t="str">
            <v/>
          </cell>
          <cell r="Q1004" t="str">
            <v/>
          </cell>
          <cell r="R1004">
            <v>16.5</v>
          </cell>
        </row>
        <row r="1005">
          <cell r="A1005" t="str">
            <v/>
          </cell>
          <cell r="B1005" t="str">
            <v/>
          </cell>
          <cell r="C1005" t="str">
            <v>Future</v>
          </cell>
          <cell r="D1005" t="e">
            <v>#N/A</v>
          </cell>
          <cell r="E1005">
            <v>-10.360810810810889</v>
          </cell>
          <cell r="F1005">
            <v>19.774324324324613</v>
          </cell>
          <cell r="G1005">
            <v>13.747297297297353</v>
          </cell>
          <cell r="H1005">
            <v>13.747297297297353</v>
          </cell>
          <cell r="I1005" t="e">
            <v>#N/A</v>
          </cell>
          <cell r="J1005" t="e">
            <v>#N/A</v>
          </cell>
          <cell r="K1005">
            <v>17.5</v>
          </cell>
          <cell r="L1005">
            <v>14</v>
          </cell>
          <cell r="M1005" t="e">
            <v>#N/A</v>
          </cell>
          <cell r="N1005">
            <v>16.5</v>
          </cell>
          <cell r="O1005" t="e">
            <v>#N/A</v>
          </cell>
          <cell r="P1005" t="str">
            <v/>
          </cell>
          <cell r="Q1005" t="str">
            <v/>
          </cell>
          <cell r="R1005">
            <v>16.5</v>
          </cell>
        </row>
        <row r="1006">
          <cell r="A1006" t="str">
            <v/>
          </cell>
          <cell r="B1006" t="str">
            <v/>
          </cell>
          <cell r="C1006" t="str">
            <v>Future</v>
          </cell>
          <cell r="D1006" t="e">
            <v>#N/A</v>
          </cell>
          <cell r="E1006">
            <v>-10.416216216216295</v>
          </cell>
          <cell r="F1006">
            <v>19.786486486486776</v>
          </cell>
          <cell r="G1006">
            <v>13.745945945946001</v>
          </cell>
          <cell r="H1006">
            <v>13.745945945946001</v>
          </cell>
          <cell r="I1006" t="e">
            <v>#N/A</v>
          </cell>
          <cell r="J1006" t="e">
            <v>#N/A</v>
          </cell>
          <cell r="K1006">
            <v>17.5</v>
          </cell>
          <cell r="L1006">
            <v>14</v>
          </cell>
          <cell r="M1006" t="e">
            <v>#N/A</v>
          </cell>
          <cell r="N1006">
            <v>16.5</v>
          </cell>
          <cell r="O1006" t="e">
            <v>#N/A</v>
          </cell>
          <cell r="P1006" t="str">
            <v/>
          </cell>
          <cell r="Q1006" t="str">
            <v/>
          </cell>
          <cell r="R1006">
            <v>16.5</v>
          </cell>
        </row>
        <row r="1007">
          <cell r="A1007" t="str">
            <v/>
          </cell>
          <cell r="B1007" t="str">
            <v/>
          </cell>
          <cell r="C1007" t="str">
            <v>Future</v>
          </cell>
          <cell r="D1007" t="e">
            <v>#N/A</v>
          </cell>
          <cell r="E1007">
            <v>-10.471621621621701</v>
          </cell>
          <cell r="F1007">
            <v>19.798648648648939</v>
          </cell>
          <cell r="G1007">
            <v>13.74459459459465</v>
          </cell>
          <cell r="H1007">
            <v>13.74459459459465</v>
          </cell>
          <cell r="I1007" t="e">
            <v>#N/A</v>
          </cell>
          <cell r="J1007" t="e">
            <v>#N/A</v>
          </cell>
          <cell r="K1007">
            <v>17.5</v>
          </cell>
          <cell r="L1007">
            <v>14</v>
          </cell>
          <cell r="M1007" t="e">
            <v>#N/A</v>
          </cell>
          <cell r="N1007">
            <v>16.5</v>
          </cell>
          <cell r="O1007" t="e">
            <v>#N/A</v>
          </cell>
          <cell r="P1007" t="str">
            <v/>
          </cell>
          <cell r="Q1007" t="str">
            <v/>
          </cell>
          <cell r="R1007">
            <v>16.5</v>
          </cell>
        </row>
        <row r="1008">
          <cell r="A1008" t="str">
            <v/>
          </cell>
          <cell r="B1008" t="str">
            <v/>
          </cell>
          <cell r="C1008" t="str">
            <v>Future</v>
          </cell>
          <cell r="D1008" t="e">
            <v>#N/A</v>
          </cell>
          <cell r="E1008">
            <v>-10.527027027027106</v>
          </cell>
          <cell r="F1008">
            <v>19.810810810811102</v>
          </cell>
          <cell r="G1008">
            <v>13.743243243243299</v>
          </cell>
          <cell r="H1008">
            <v>13.743243243243299</v>
          </cell>
          <cell r="I1008" t="e">
            <v>#N/A</v>
          </cell>
          <cell r="J1008" t="e">
            <v>#N/A</v>
          </cell>
          <cell r="K1008">
            <v>17.5</v>
          </cell>
          <cell r="L1008">
            <v>14</v>
          </cell>
          <cell r="M1008" t="e">
            <v>#N/A</v>
          </cell>
          <cell r="N1008">
            <v>16.5</v>
          </cell>
          <cell r="O1008" t="e">
            <v>#N/A</v>
          </cell>
          <cell r="P1008" t="str">
            <v/>
          </cell>
          <cell r="Q1008" t="str">
            <v/>
          </cell>
          <cell r="R1008">
            <v>16.5</v>
          </cell>
        </row>
        <row r="1009">
          <cell r="A1009" t="str">
            <v/>
          </cell>
          <cell r="B1009" t="str">
            <v/>
          </cell>
          <cell r="C1009" t="str">
            <v>Future</v>
          </cell>
          <cell r="D1009" t="e">
            <v>#N/A</v>
          </cell>
          <cell r="E1009">
            <v>-10.582432432432512</v>
          </cell>
          <cell r="F1009">
            <v>19.822972972973265</v>
          </cell>
          <cell r="G1009">
            <v>13.741891891891948</v>
          </cell>
          <cell r="H1009">
            <v>13.741891891891948</v>
          </cell>
          <cell r="I1009" t="e">
            <v>#N/A</v>
          </cell>
          <cell r="J1009" t="e">
            <v>#N/A</v>
          </cell>
          <cell r="K1009">
            <v>17.5</v>
          </cell>
          <cell r="L1009">
            <v>14</v>
          </cell>
          <cell r="M1009" t="e">
            <v>#N/A</v>
          </cell>
          <cell r="N1009">
            <v>16.5</v>
          </cell>
          <cell r="O1009" t="e">
            <v>#N/A</v>
          </cell>
          <cell r="P1009" t="str">
            <v/>
          </cell>
          <cell r="Q1009" t="str">
            <v/>
          </cell>
          <cell r="R1009">
            <v>16.5</v>
          </cell>
        </row>
        <row r="1010">
          <cell r="A1010" t="str">
            <v/>
          </cell>
          <cell r="B1010" t="str">
            <v/>
          </cell>
          <cell r="C1010" t="str">
            <v>Future</v>
          </cell>
          <cell r="D1010" t="e">
            <v>#N/A</v>
          </cell>
          <cell r="E1010">
            <v>-10.637837837837917</v>
          </cell>
          <cell r="F1010">
            <v>19.835135135135427</v>
          </cell>
          <cell r="G1010">
            <v>13.740540540540596</v>
          </cell>
          <cell r="H1010">
            <v>13.740540540540596</v>
          </cell>
          <cell r="I1010" t="e">
            <v>#N/A</v>
          </cell>
          <cell r="J1010" t="e">
            <v>#N/A</v>
          </cell>
          <cell r="K1010">
            <v>17.5</v>
          </cell>
          <cell r="L1010">
            <v>14</v>
          </cell>
          <cell r="M1010" t="e">
            <v>#N/A</v>
          </cell>
          <cell r="N1010">
            <v>16.5</v>
          </cell>
          <cell r="O1010" t="e">
            <v>#N/A</v>
          </cell>
          <cell r="P1010" t="str">
            <v/>
          </cell>
          <cell r="Q1010" t="str">
            <v/>
          </cell>
          <cell r="R1010">
            <v>16.5</v>
          </cell>
        </row>
        <row r="1011">
          <cell r="A1011" t="str">
            <v/>
          </cell>
          <cell r="B1011" t="str">
            <v/>
          </cell>
          <cell r="C1011" t="str">
            <v>Future</v>
          </cell>
          <cell r="D1011" t="e">
            <v>#N/A</v>
          </cell>
          <cell r="E1011">
            <v>-10.693243243243323</v>
          </cell>
          <cell r="F1011">
            <v>19.84729729729759</v>
          </cell>
          <cell r="G1011">
            <v>13.739189189189245</v>
          </cell>
          <cell r="H1011">
            <v>13.739189189189245</v>
          </cell>
          <cell r="I1011" t="e">
            <v>#N/A</v>
          </cell>
          <cell r="J1011" t="e">
            <v>#N/A</v>
          </cell>
          <cell r="K1011">
            <v>17.5</v>
          </cell>
          <cell r="L1011">
            <v>14</v>
          </cell>
          <cell r="M1011" t="e">
            <v>#N/A</v>
          </cell>
          <cell r="N1011">
            <v>16.5</v>
          </cell>
          <cell r="O1011" t="e">
            <v>#N/A</v>
          </cell>
          <cell r="P1011" t="str">
            <v/>
          </cell>
          <cell r="Q1011" t="str">
            <v/>
          </cell>
          <cell r="R1011">
            <v>16.5</v>
          </cell>
        </row>
        <row r="1012">
          <cell r="A1012" t="str">
            <v/>
          </cell>
          <cell r="B1012" t="str">
            <v/>
          </cell>
          <cell r="C1012" t="str">
            <v>Future</v>
          </cell>
          <cell r="D1012" t="e">
            <v>#N/A</v>
          </cell>
          <cell r="E1012">
            <v>-10.748648648648729</v>
          </cell>
          <cell r="F1012">
            <v>19.859459459459753</v>
          </cell>
          <cell r="G1012">
            <v>13.737837837837894</v>
          </cell>
          <cell r="H1012">
            <v>13.737837837837894</v>
          </cell>
          <cell r="I1012" t="e">
            <v>#N/A</v>
          </cell>
          <cell r="J1012" t="e">
            <v>#N/A</v>
          </cell>
          <cell r="K1012">
            <v>17.5</v>
          </cell>
          <cell r="L1012">
            <v>14</v>
          </cell>
          <cell r="M1012" t="e">
            <v>#N/A</v>
          </cell>
          <cell r="N1012">
            <v>16.5</v>
          </cell>
          <cell r="O1012" t="e">
            <v>#N/A</v>
          </cell>
          <cell r="P1012" t="str">
            <v/>
          </cell>
          <cell r="Q1012" t="str">
            <v/>
          </cell>
          <cell r="R1012">
            <v>16.5</v>
          </cell>
        </row>
        <row r="1013">
          <cell r="A1013" t="str">
            <v/>
          </cell>
          <cell r="B1013" t="str">
            <v/>
          </cell>
          <cell r="C1013" t="str">
            <v>Future</v>
          </cell>
          <cell r="D1013" t="e">
            <v>#N/A</v>
          </cell>
          <cell r="E1013">
            <v>-10.804054054054134</v>
          </cell>
          <cell r="F1013">
            <v>19.871621621621916</v>
          </cell>
          <cell r="G1013">
            <v>13.736486486486543</v>
          </cell>
          <cell r="H1013">
            <v>13.736486486486543</v>
          </cell>
          <cell r="I1013" t="e">
            <v>#N/A</v>
          </cell>
          <cell r="J1013" t="e">
            <v>#N/A</v>
          </cell>
          <cell r="K1013">
            <v>17.5</v>
          </cell>
          <cell r="L1013">
            <v>14</v>
          </cell>
          <cell r="M1013" t="e">
            <v>#N/A</v>
          </cell>
          <cell r="N1013">
            <v>16.5</v>
          </cell>
          <cell r="O1013" t="e">
            <v>#N/A</v>
          </cell>
          <cell r="P1013" t="str">
            <v/>
          </cell>
          <cell r="Q1013" t="str">
            <v/>
          </cell>
          <cell r="R1013">
            <v>16.5</v>
          </cell>
        </row>
        <row r="1014">
          <cell r="A1014" t="str">
            <v/>
          </cell>
          <cell r="B1014" t="str">
            <v/>
          </cell>
          <cell r="C1014" t="str">
            <v>Future</v>
          </cell>
          <cell r="D1014" t="e">
            <v>#N/A</v>
          </cell>
          <cell r="E1014">
            <v>-10.85945945945954</v>
          </cell>
          <cell r="F1014">
            <v>19.883783783784079</v>
          </cell>
          <cell r="G1014">
            <v>13.735135135135192</v>
          </cell>
          <cell r="H1014">
            <v>13.735135135135192</v>
          </cell>
          <cell r="I1014" t="e">
            <v>#N/A</v>
          </cell>
          <cell r="J1014" t="e">
            <v>#N/A</v>
          </cell>
          <cell r="K1014">
            <v>17.5</v>
          </cell>
          <cell r="L1014">
            <v>14</v>
          </cell>
          <cell r="M1014" t="e">
            <v>#N/A</v>
          </cell>
          <cell r="N1014">
            <v>16.5</v>
          </cell>
          <cell r="O1014" t="e">
            <v>#N/A</v>
          </cell>
          <cell r="P1014" t="str">
            <v/>
          </cell>
          <cell r="Q1014" t="str">
            <v/>
          </cell>
          <cell r="R1014">
            <v>16.5</v>
          </cell>
        </row>
        <row r="1015">
          <cell r="A1015" t="str">
            <v/>
          </cell>
          <cell r="B1015" t="str">
            <v/>
          </cell>
          <cell r="C1015" t="str">
            <v>Future</v>
          </cell>
          <cell r="D1015" t="e">
            <v>#N/A</v>
          </cell>
          <cell r="E1015">
            <v>-10.914864864864946</v>
          </cell>
          <cell r="F1015">
            <v>19.895945945946242</v>
          </cell>
          <cell r="G1015">
            <v>13.73378378378384</v>
          </cell>
          <cell r="H1015">
            <v>13.73378378378384</v>
          </cell>
          <cell r="I1015" t="e">
            <v>#N/A</v>
          </cell>
          <cell r="J1015" t="e">
            <v>#N/A</v>
          </cell>
          <cell r="K1015">
            <v>17.5</v>
          </cell>
          <cell r="L1015">
            <v>14</v>
          </cell>
          <cell r="M1015" t="e">
            <v>#N/A</v>
          </cell>
          <cell r="N1015">
            <v>16.5</v>
          </cell>
          <cell r="O1015" t="e">
            <v>#N/A</v>
          </cell>
          <cell r="P1015" t="str">
            <v/>
          </cell>
          <cell r="Q1015" t="str">
            <v/>
          </cell>
          <cell r="R1015">
            <v>16.5</v>
          </cell>
        </row>
        <row r="1016">
          <cell r="A1016" t="str">
            <v/>
          </cell>
          <cell r="B1016" t="str">
            <v/>
          </cell>
          <cell r="C1016" t="str">
            <v>Future</v>
          </cell>
          <cell r="D1016" t="e">
            <v>#N/A</v>
          </cell>
          <cell r="E1016">
            <v>-10.970270270270351</v>
          </cell>
          <cell r="F1016">
            <v>19.908108108108404</v>
          </cell>
          <cell r="G1016">
            <v>13.732432432432489</v>
          </cell>
          <cell r="H1016">
            <v>13.732432432432489</v>
          </cell>
          <cell r="I1016" t="e">
            <v>#N/A</v>
          </cell>
          <cell r="J1016" t="e">
            <v>#N/A</v>
          </cell>
          <cell r="K1016">
            <v>17.5</v>
          </cell>
          <cell r="L1016">
            <v>14</v>
          </cell>
          <cell r="M1016" t="e">
            <v>#N/A</v>
          </cell>
          <cell r="N1016">
            <v>16.5</v>
          </cell>
          <cell r="O1016" t="e">
            <v>#N/A</v>
          </cell>
          <cell r="P1016" t="str">
            <v/>
          </cell>
          <cell r="Q1016" t="str">
            <v/>
          </cell>
          <cell r="R1016">
            <v>16.5</v>
          </cell>
        </row>
        <row r="1017">
          <cell r="A1017" t="str">
            <v/>
          </cell>
          <cell r="B1017" t="str">
            <v/>
          </cell>
          <cell r="C1017" t="str">
            <v>Future</v>
          </cell>
          <cell r="D1017" t="e">
            <v>#N/A</v>
          </cell>
          <cell r="E1017">
            <v>-11.025675675675757</v>
          </cell>
          <cell r="F1017">
            <v>19.920270270270567</v>
          </cell>
          <cell r="G1017">
            <v>13.731081081081138</v>
          </cell>
          <cell r="H1017">
            <v>13.731081081081138</v>
          </cell>
          <cell r="I1017" t="e">
            <v>#N/A</v>
          </cell>
          <cell r="J1017" t="e">
            <v>#N/A</v>
          </cell>
          <cell r="K1017">
            <v>17.5</v>
          </cell>
          <cell r="L1017">
            <v>14</v>
          </cell>
          <cell r="M1017" t="e">
            <v>#N/A</v>
          </cell>
          <cell r="N1017">
            <v>16.5</v>
          </cell>
          <cell r="O1017" t="e">
            <v>#N/A</v>
          </cell>
          <cell r="P1017" t="str">
            <v/>
          </cell>
          <cell r="Q1017" t="str">
            <v/>
          </cell>
          <cell r="R1017">
            <v>16.5</v>
          </cell>
        </row>
        <row r="1018">
          <cell r="A1018" t="str">
            <v/>
          </cell>
          <cell r="B1018" t="str">
            <v/>
          </cell>
          <cell r="C1018" t="str">
            <v>Future</v>
          </cell>
          <cell r="D1018" t="e">
            <v>#N/A</v>
          </cell>
          <cell r="E1018">
            <v>-11.081081081081162</v>
          </cell>
          <cell r="F1018">
            <v>19.93243243243273</v>
          </cell>
          <cell r="G1018">
            <v>13.729729729729787</v>
          </cell>
          <cell r="H1018">
            <v>13.729729729729787</v>
          </cell>
          <cell r="I1018" t="e">
            <v>#N/A</v>
          </cell>
          <cell r="J1018" t="e">
            <v>#N/A</v>
          </cell>
          <cell r="K1018">
            <v>17.5</v>
          </cell>
          <cell r="L1018">
            <v>14</v>
          </cell>
          <cell r="M1018" t="e">
            <v>#N/A</v>
          </cell>
          <cell r="N1018">
            <v>16.5</v>
          </cell>
          <cell r="O1018" t="e">
            <v>#N/A</v>
          </cell>
          <cell r="P1018" t="str">
            <v/>
          </cell>
          <cell r="Q1018" t="str">
            <v/>
          </cell>
          <cell r="R1018">
            <v>16.5</v>
          </cell>
        </row>
        <row r="1019">
          <cell r="A1019" t="str">
            <v/>
          </cell>
          <cell r="B1019" t="str">
            <v/>
          </cell>
          <cell r="C1019" t="str">
            <v>Future</v>
          </cell>
          <cell r="D1019" t="e">
            <v>#N/A</v>
          </cell>
          <cell r="E1019">
            <v>-11.136486486486568</v>
          </cell>
          <cell r="F1019">
            <v>19.944594594594893</v>
          </cell>
          <cell r="G1019">
            <v>13.728378378378435</v>
          </cell>
          <cell r="H1019">
            <v>13.728378378378435</v>
          </cell>
          <cell r="I1019" t="e">
            <v>#N/A</v>
          </cell>
          <cell r="J1019" t="e">
            <v>#N/A</v>
          </cell>
          <cell r="K1019">
            <v>17.5</v>
          </cell>
          <cell r="L1019">
            <v>14</v>
          </cell>
          <cell r="M1019" t="e">
            <v>#N/A</v>
          </cell>
          <cell r="N1019">
            <v>16.5</v>
          </cell>
          <cell r="O1019" t="e">
            <v>#N/A</v>
          </cell>
          <cell r="P1019" t="str">
            <v/>
          </cell>
          <cell r="Q1019" t="str">
            <v/>
          </cell>
          <cell r="R1019">
            <v>16.5</v>
          </cell>
        </row>
        <row r="1020">
          <cell r="A1020" t="str">
            <v/>
          </cell>
          <cell r="B1020" t="str">
            <v/>
          </cell>
          <cell r="C1020" t="str">
            <v>Future</v>
          </cell>
          <cell r="D1020" t="e">
            <v>#N/A</v>
          </cell>
          <cell r="E1020">
            <v>-11.191891891891974</v>
          </cell>
          <cell r="F1020">
            <v>19.956756756757056</v>
          </cell>
          <cell r="G1020">
            <v>13.727027027027084</v>
          </cell>
          <cell r="H1020">
            <v>13.727027027027084</v>
          </cell>
          <cell r="I1020" t="e">
            <v>#N/A</v>
          </cell>
          <cell r="J1020" t="e">
            <v>#N/A</v>
          </cell>
          <cell r="K1020">
            <v>17.5</v>
          </cell>
          <cell r="L1020">
            <v>14</v>
          </cell>
          <cell r="M1020" t="e">
            <v>#N/A</v>
          </cell>
          <cell r="N1020">
            <v>16.5</v>
          </cell>
          <cell r="O1020" t="e">
            <v>#N/A</v>
          </cell>
          <cell r="P1020" t="str">
            <v/>
          </cell>
          <cell r="Q1020" t="str">
            <v/>
          </cell>
          <cell r="R1020">
            <v>16.5</v>
          </cell>
        </row>
        <row r="1021">
          <cell r="A1021" t="str">
            <v/>
          </cell>
          <cell r="B1021" t="str">
            <v/>
          </cell>
          <cell r="C1021" t="str">
            <v>Future</v>
          </cell>
          <cell r="D1021" t="e">
            <v>#N/A</v>
          </cell>
          <cell r="E1021">
            <v>-11.247297297297379</v>
          </cell>
          <cell r="F1021">
            <v>19.968918918919218</v>
          </cell>
          <cell r="G1021">
            <v>13.725675675675733</v>
          </cell>
          <cell r="H1021">
            <v>13.725675675675733</v>
          </cell>
          <cell r="I1021" t="e">
            <v>#N/A</v>
          </cell>
          <cell r="J1021" t="e">
            <v>#N/A</v>
          </cell>
          <cell r="K1021">
            <v>17.5</v>
          </cell>
          <cell r="L1021">
            <v>14</v>
          </cell>
          <cell r="M1021" t="e">
            <v>#N/A</v>
          </cell>
          <cell r="N1021">
            <v>16.5</v>
          </cell>
          <cell r="O1021" t="e">
            <v>#N/A</v>
          </cell>
          <cell r="P1021" t="str">
            <v/>
          </cell>
          <cell r="Q1021" t="str">
            <v/>
          </cell>
          <cell r="R1021">
            <v>16.5</v>
          </cell>
        </row>
        <row r="1022">
          <cell r="A1022" t="str">
            <v/>
          </cell>
          <cell r="B1022" t="str">
            <v/>
          </cell>
          <cell r="C1022" t="str">
            <v>Future</v>
          </cell>
          <cell r="D1022" t="e">
            <v>#N/A</v>
          </cell>
          <cell r="E1022">
            <v>-11.302702702702785</v>
          </cell>
          <cell r="F1022">
            <v>19.981081081081381</v>
          </cell>
          <cell r="G1022">
            <v>13.724324324324382</v>
          </cell>
          <cell r="H1022">
            <v>13.724324324324382</v>
          </cell>
          <cell r="I1022" t="e">
            <v>#N/A</v>
          </cell>
          <cell r="J1022" t="e">
            <v>#N/A</v>
          </cell>
          <cell r="K1022">
            <v>17.5</v>
          </cell>
          <cell r="L1022">
            <v>14</v>
          </cell>
          <cell r="M1022" t="e">
            <v>#N/A</v>
          </cell>
          <cell r="N1022">
            <v>16.5</v>
          </cell>
          <cell r="O1022" t="e">
            <v>#N/A</v>
          </cell>
          <cell r="P1022" t="str">
            <v/>
          </cell>
          <cell r="Q1022" t="str">
            <v/>
          </cell>
          <cell r="R1022">
            <v>16.5</v>
          </cell>
        </row>
        <row r="1023">
          <cell r="A1023" t="str">
            <v/>
          </cell>
          <cell r="B1023" t="str">
            <v/>
          </cell>
          <cell r="C1023" t="str">
            <v>Future</v>
          </cell>
          <cell r="D1023" t="e">
            <v>#N/A</v>
          </cell>
          <cell r="E1023">
            <v>-11.35810810810819</v>
          </cell>
          <cell r="F1023">
            <v>19.993243243243544</v>
          </cell>
          <cell r="G1023">
            <v>13.722972972973031</v>
          </cell>
          <cell r="H1023">
            <v>13.722972972973031</v>
          </cell>
          <cell r="I1023" t="e">
            <v>#N/A</v>
          </cell>
          <cell r="J1023" t="e">
            <v>#N/A</v>
          </cell>
          <cell r="K1023">
            <v>17.5</v>
          </cell>
          <cell r="L1023">
            <v>14</v>
          </cell>
          <cell r="M1023" t="e">
            <v>#N/A</v>
          </cell>
          <cell r="N1023">
            <v>16.5</v>
          </cell>
          <cell r="O1023" t="e">
            <v>#N/A</v>
          </cell>
          <cell r="P1023" t="str">
            <v/>
          </cell>
          <cell r="Q1023" t="str">
            <v/>
          </cell>
          <cell r="R1023">
            <v>16.5</v>
          </cell>
        </row>
        <row r="1024">
          <cell r="A1024" t="str">
            <v/>
          </cell>
          <cell r="B1024" t="str">
            <v/>
          </cell>
          <cell r="C1024" t="str">
            <v>Future</v>
          </cell>
          <cell r="D1024" t="e">
            <v>#N/A</v>
          </cell>
          <cell r="E1024">
            <v>-11.413513513513596</v>
          </cell>
          <cell r="F1024">
            <v>20.005405405405707</v>
          </cell>
          <cell r="G1024">
            <v>13.721621621621679</v>
          </cell>
          <cell r="H1024">
            <v>13.721621621621679</v>
          </cell>
          <cell r="I1024" t="e">
            <v>#N/A</v>
          </cell>
          <cell r="J1024" t="e">
            <v>#N/A</v>
          </cell>
          <cell r="K1024">
            <v>17.5</v>
          </cell>
          <cell r="L1024">
            <v>14</v>
          </cell>
          <cell r="M1024" t="e">
            <v>#N/A</v>
          </cell>
          <cell r="N1024">
            <v>16.5</v>
          </cell>
          <cell r="O1024" t="e">
            <v>#N/A</v>
          </cell>
          <cell r="P1024" t="str">
            <v/>
          </cell>
          <cell r="Q1024" t="str">
            <v/>
          </cell>
          <cell r="R1024">
            <v>16.5</v>
          </cell>
        </row>
        <row r="1025">
          <cell r="A1025" t="str">
            <v/>
          </cell>
          <cell r="B1025" t="str">
            <v/>
          </cell>
          <cell r="C1025" t="str">
            <v>Future</v>
          </cell>
          <cell r="D1025" t="e">
            <v>#N/A</v>
          </cell>
          <cell r="E1025">
            <v>-11.468918918919002</v>
          </cell>
          <cell r="F1025">
            <v>20.01756756756787</v>
          </cell>
          <cell r="G1025">
            <v>13.720270270270328</v>
          </cell>
          <cell r="H1025">
            <v>13.720270270270328</v>
          </cell>
          <cell r="I1025" t="e">
            <v>#N/A</v>
          </cell>
          <cell r="J1025" t="e">
            <v>#N/A</v>
          </cell>
          <cell r="K1025">
            <v>17.5</v>
          </cell>
          <cell r="L1025">
            <v>14</v>
          </cell>
          <cell r="M1025" t="e">
            <v>#N/A</v>
          </cell>
          <cell r="N1025">
            <v>16.5</v>
          </cell>
          <cell r="O1025" t="e">
            <v>#N/A</v>
          </cell>
          <cell r="P1025" t="str">
            <v/>
          </cell>
          <cell r="Q1025" t="str">
            <v/>
          </cell>
          <cell r="R1025">
            <v>16.5</v>
          </cell>
        </row>
        <row r="1026">
          <cell r="A1026" t="str">
            <v/>
          </cell>
          <cell r="B1026" t="str">
            <v/>
          </cell>
          <cell r="C1026" t="str">
            <v>Future</v>
          </cell>
          <cell r="D1026" t="e">
            <v>#N/A</v>
          </cell>
          <cell r="E1026">
            <v>-11.524324324324407</v>
          </cell>
          <cell r="F1026">
            <v>20.029729729730033</v>
          </cell>
          <cell r="G1026">
            <v>13.718918918918977</v>
          </cell>
          <cell r="H1026">
            <v>13.718918918918977</v>
          </cell>
          <cell r="I1026" t="e">
            <v>#N/A</v>
          </cell>
          <cell r="J1026" t="e">
            <v>#N/A</v>
          </cell>
          <cell r="K1026">
            <v>17.5</v>
          </cell>
          <cell r="L1026">
            <v>14</v>
          </cell>
          <cell r="M1026" t="e">
            <v>#N/A</v>
          </cell>
          <cell r="N1026">
            <v>16.5</v>
          </cell>
          <cell r="O1026" t="e">
            <v>#N/A</v>
          </cell>
          <cell r="P1026" t="str">
            <v/>
          </cell>
          <cell r="Q1026" t="str">
            <v/>
          </cell>
          <cell r="R1026">
            <v>16.5</v>
          </cell>
        </row>
        <row r="1027">
          <cell r="A1027" t="str">
            <v/>
          </cell>
          <cell r="B1027" t="str">
            <v/>
          </cell>
          <cell r="C1027" t="str">
            <v>Future</v>
          </cell>
          <cell r="D1027" t="e">
            <v>#N/A</v>
          </cell>
          <cell r="E1027">
            <v>-11.579729729729813</v>
          </cell>
          <cell r="F1027">
            <v>20.041891891892195</v>
          </cell>
          <cell r="G1027">
            <v>13.717567567567626</v>
          </cell>
          <cell r="H1027">
            <v>13.717567567567626</v>
          </cell>
          <cell r="I1027" t="e">
            <v>#N/A</v>
          </cell>
          <cell r="J1027" t="e">
            <v>#N/A</v>
          </cell>
          <cell r="K1027">
            <v>17.5</v>
          </cell>
          <cell r="L1027">
            <v>14</v>
          </cell>
          <cell r="M1027" t="e">
            <v>#N/A</v>
          </cell>
          <cell r="N1027">
            <v>16.5</v>
          </cell>
          <cell r="O1027" t="e">
            <v>#N/A</v>
          </cell>
          <cell r="P1027" t="str">
            <v/>
          </cell>
          <cell r="Q1027" t="str">
            <v/>
          </cell>
          <cell r="R1027">
            <v>16.5</v>
          </cell>
        </row>
        <row r="1028">
          <cell r="A1028" t="str">
            <v/>
          </cell>
          <cell r="B1028" t="str">
            <v/>
          </cell>
          <cell r="C1028" t="str">
            <v>Future</v>
          </cell>
          <cell r="D1028" t="e">
            <v>#N/A</v>
          </cell>
          <cell r="E1028">
            <v>-11.635135135135219</v>
          </cell>
          <cell r="F1028">
            <v>20.054054054054358</v>
          </cell>
          <cell r="G1028">
            <v>13.716216216216274</v>
          </cell>
          <cell r="H1028">
            <v>13.716216216216274</v>
          </cell>
          <cell r="I1028" t="e">
            <v>#N/A</v>
          </cell>
          <cell r="J1028" t="e">
            <v>#N/A</v>
          </cell>
          <cell r="K1028">
            <v>17.5</v>
          </cell>
          <cell r="L1028">
            <v>14</v>
          </cell>
          <cell r="M1028" t="e">
            <v>#N/A</v>
          </cell>
          <cell r="N1028">
            <v>16.5</v>
          </cell>
          <cell r="O1028" t="e">
            <v>#N/A</v>
          </cell>
          <cell r="P1028" t="str">
            <v/>
          </cell>
          <cell r="Q1028" t="str">
            <v/>
          </cell>
          <cell r="R1028">
            <v>16.5</v>
          </cell>
        </row>
        <row r="1029">
          <cell r="A1029" t="str">
            <v/>
          </cell>
          <cell r="B1029" t="str">
            <v/>
          </cell>
          <cell r="C1029" t="str">
            <v>Future</v>
          </cell>
          <cell r="D1029" t="e">
            <v>#N/A</v>
          </cell>
          <cell r="E1029">
            <v>-11.690540540540624</v>
          </cell>
          <cell r="F1029">
            <v>20.066216216216521</v>
          </cell>
          <cell r="G1029">
            <v>13.714864864864923</v>
          </cell>
          <cell r="H1029">
            <v>13.714864864864923</v>
          </cell>
          <cell r="I1029" t="e">
            <v>#N/A</v>
          </cell>
          <cell r="J1029" t="e">
            <v>#N/A</v>
          </cell>
          <cell r="K1029">
            <v>17.5</v>
          </cell>
          <cell r="L1029">
            <v>14</v>
          </cell>
          <cell r="M1029" t="e">
            <v>#N/A</v>
          </cell>
          <cell r="N1029">
            <v>16.5</v>
          </cell>
          <cell r="O1029" t="e">
            <v>#N/A</v>
          </cell>
          <cell r="P1029" t="str">
            <v/>
          </cell>
          <cell r="Q1029" t="str">
            <v/>
          </cell>
          <cell r="R1029">
            <v>16.5</v>
          </cell>
        </row>
        <row r="1030">
          <cell r="A1030" t="str">
            <v/>
          </cell>
          <cell r="B1030" t="str">
            <v/>
          </cell>
          <cell r="C1030" t="str">
            <v>Future</v>
          </cell>
          <cell r="D1030" t="e">
            <v>#N/A</v>
          </cell>
          <cell r="E1030">
            <v>-11.74594594594603</v>
          </cell>
          <cell r="F1030">
            <v>20.078378378378684</v>
          </cell>
          <cell r="G1030">
            <v>13.713513513513572</v>
          </cell>
          <cell r="H1030">
            <v>13.713513513513572</v>
          </cell>
          <cell r="I1030" t="e">
            <v>#N/A</v>
          </cell>
          <cell r="J1030" t="e">
            <v>#N/A</v>
          </cell>
          <cell r="K1030">
            <v>17.5</v>
          </cell>
          <cell r="L1030">
            <v>14</v>
          </cell>
          <cell r="M1030" t="e">
            <v>#N/A</v>
          </cell>
          <cell r="N1030">
            <v>16.5</v>
          </cell>
          <cell r="O1030" t="e">
            <v>#N/A</v>
          </cell>
          <cell r="P1030" t="str">
            <v/>
          </cell>
          <cell r="Q1030" t="str">
            <v/>
          </cell>
          <cell r="R1030">
            <v>16.5</v>
          </cell>
        </row>
        <row r="1031">
          <cell r="A1031" t="str">
            <v/>
          </cell>
          <cell r="B1031" t="str">
            <v/>
          </cell>
          <cell r="C1031" t="str">
            <v>Future</v>
          </cell>
          <cell r="D1031" t="e">
            <v>#N/A</v>
          </cell>
          <cell r="E1031">
            <v>-11.801351351351435</v>
          </cell>
          <cell r="F1031">
            <v>20.090540540540847</v>
          </cell>
          <cell r="G1031">
            <v>13.712162162162221</v>
          </cell>
          <cell r="H1031">
            <v>13.712162162162221</v>
          </cell>
          <cell r="I1031" t="e">
            <v>#N/A</v>
          </cell>
          <cell r="J1031" t="e">
            <v>#N/A</v>
          </cell>
          <cell r="K1031">
            <v>17.5</v>
          </cell>
          <cell r="L1031">
            <v>14</v>
          </cell>
          <cell r="M1031" t="e">
            <v>#N/A</v>
          </cell>
          <cell r="N1031">
            <v>16.5</v>
          </cell>
          <cell r="O1031" t="e">
            <v>#N/A</v>
          </cell>
          <cell r="P1031" t="str">
            <v/>
          </cell>
          <cell r="Q1031" t="str">
            <v/>
          </cell>
          <cell r="R1031">
            <v>16.5</v>
          </cell>
        </row>
        <row r="1032">
          <cell r="A1032" t="str">
            <v/>
          </cell>
          <cell r="B1032" t="str">
            <v/>
          </cell>
          <cell r="C1032" t="str">
            <v>Future</v>
          </cell>
          <cell r="D1032" t="e">
            <v>#N/A</v>
          </cell>
          <cell r="E1032">
            <v>-11.856756756756841</v>
          </cell>
          <cell r="F1032">
            <v>20.102702702703009</v>
          </cell>
          <cell r="G1032">
            <v>13.710810810810869</v>
          </cell>
          <cell r="H1032">
            <v>13.710810810810869</v>
          </cell>
          <cell r="I1032" t="e">
            <v>#N/A</v>
          </cell>
          <cell r="J1032" t="e">
            <v>#N/A</v>
          </cell>
          <cell r="K1032">
            <v>17.5</v>
          </cell>
          <cell r="L1032">
            <v>14</v>
          </cell>
          <cell r="M1032" t="e">
            <v>#N/A</v>
          </cell>
          <cell r="N1032">
            <v>16.5</v>
          </cell>
          <cell r="O1032" t="e">
            <v>#N/A</v>
          </cell>
          <cell r="P1032" t="str">
            <v/>
          </cell>
          <cell r="Q1032" t="str">
            <v/>
          </cell>
          <cell r="R1032">
            <v>16.5</v>
          </cell>
        </row>
        <row r="1033">
          <cell r="A1033" t="str">
            <v/>
          </cell>
          <cell r="B1033" t="str">
            <v/>
          </cell>
          <cell r="C1033" t="str">
            <v>Future</v>
          </cell>
          <cell r="D1033" t="e">
            <v>#N/A</v>
          </cell>
          <cell r="E1033">
            <v>-11.912162162162247</v>
          </cell>
          <cell r="F1033">
            <v>20.114864864865172</v>
          </cell>
          <cell r="G1033">
            <v>13.709459459459518</v>
          </cell>
          <cell r="H1033">
            <v>13.709459459459518</v>
          </cell>
          <cell r="I1033" t="e">
            <v>#N/A</v>
          </cell>
          <cell r="J1033" t="e">
            <v>#N/A</v>
          </cell>
          <cell r="K1033">
            <v>17.5</v>
          </cell>
          <cell r="L1033">
            <v>14</v>
          </cell>
          <cell r="M1033" t="e">
            <v>#N/A</v>
          </cell>
          <cell r="N1033">
            <v>16.5</v>
          </cell>
          <cell r="O1033" t="e">
            <v>#N/A</v>
          </cell>
          <cell r="P1033" t="str">
            <v/>
          </cell>
          <cell r="Q1033" t="str">
            <v/>
          </cell>
          <cell r="R1033">
            <v>16.5</v>
          </cell>
        </row>
        <row r="1034">
          <cell r="A1034" t="str">
            <v/>
          </cell>
          <cell r="B1034" t="str">
            <v/>
          </cell>
          <cell r="C1034" t="str">
            <v>Future</v>
          </cell>
          <cell r="D1034" t="e">
            <v>#N/A</v>
          </cell>
          <cell r="E1034">
            <v>-11.967567567567652</v>
          </cell>
          <cell r="F1034">
            <v>20.127027027027335</v>
          </cell>
          <cell r="G1034">
            <v>13.708108108108167</v>
          </cell>
          <cell r="H1034">
            <v>13.708108108108167</v>
          </cell>
          <cell r="I1034" t="e">
            <v>#N/A</v>
          </cell>
          <cell r="J1034" t="e">
            <v>#N/A</v>
          </cell>
          <cell r="K1034">
            <v>17.5</v>
          </cell>
          <cell r="L1034">
            <v>14</v>
          </cell>
          <cell r="M1034" t="e">
            <v>#N/A</v>
          </cell>
          <cell r="N1034">
            <v>16.5</v>
          </cell>
          <cell r="O1034" t="e">
            <v>#N/A</v>
          </cell>
          <cell r="P1034" t="str">
            <v/>
          </cell>
          <cell r="Q1034" t="str">
            <v/>
          </cell>
          <cell r="R1034">
            <v>16.5</v>
          </cell>
        </row>
        <row r="1035">
          <cell r="A1035" t="str">
            <v/>
          </cell>
          <cell r="B1035" t="str">
            <v/>
          </cell>
          <cell r="C1035" t="str">
            <v>Future</v>
          </cell>
          <cell r="D1035" t="e">
            <v>#N/A</v>
          </cell>
          <cell r="E1035">
            <v>-12.022972972973058</v>
          </cell>
          <cell r="F1035">
            <v>20.139189189189498</v>
          </cell>
          <cell r="G1035">
            <v>13.706756756756816</v>
          </cell>
          <cell r="H1035">
            <v>13.706756756756816</v>
          </cell>
          <cell r="I1035" t="e">
            <v>#N/A</v>
          </cell>
          <cell r="J1035" t="e">
            <v>#N/A</v>
          </cell>
          <cell r="K1035">
            <v>17.5</v>
          </cell>
          <cell r="L1035">
            <v>14</v>
          </cell>
          <cell r="M1035" t="e">
            <v>#N/A</v>
          </cell>
          <cell r="N1035">
            <v>16.5</v>
          </cell>
          <cell r="O1035" t="e">
            <v>#N/A</v>
          </cell>
          <cell r="P1035" t="str">
            <v/>
          </cell>
          <cell r="Q1035" t="str">
            <v/>
          </cell>
          <cell r="R1035">
            <v>16.5</v>
          </cell>
        </row>
        <row r="1036">
          <cell r="A1036" t="str">
            <v/>
          </cell>
          <cell r="B1036" t="str">
            <v/>
          </cell>
          <cell r="C1036" t="str">
            <v>Future</v>
          </cell>
          <cell r="D1036" t="e">
            <v>#N/A</v>
          </cell>
          <cell r="E1036">
            <v>-12.078378378378464</v>
          </cell>
          <cell r="F1036">
            <v>20.151351351351661</v>
          </cell>
          <cell r="G1036">
            <v>13.705405405405465</v>
          </cell>
          <cell r="H1036">
            <v>13.705405405405465</v>
          </cell>
          <cell r="I1036" t="e">
            <v>#N/A</v>
          </cell>
          <cell r="J1036" t="e">
            <v>#N/A</v>
          </cell>
          <cell r="K1036">
            <v>17.5</v>
          </cell>
          <cell r="L1036">
            <v>14</v>
          </cell>
          <cell r="M1036" t="e">
            <v>#N/A</v>
          </cell>
          <cell r="N1036">
            <v>16.5</v>
          </cell>
          <cell r="O1036" t="e">
            <v>#N/A</v>
          </cell>
          <cell r="P1036" t="str">
            <v/>
          </cell>
          <cell r="Q1036" t="str">
            <v/>
          </cell>
          <cell r="R1036">
            <v>16.5</v>
          </cell>
        </row>
        <row r="1037">
          <cell r="A1037" t="str">
            <v/>
          </cell>
          <cell r="B1037" t="str">
            <v/>
          </cell>
          <cell r="C1037" t="str">
            <v>Future</v>
          </cell>
          <cell r="D1037" t="e">
            <v>#N/A</v>
          </cell>
          <cell r="E1037">
            <v>-12.133783783783869</v>
          </cell>
          <cell r="F1037">
            <v>20.163513513513823</v>
          </cell>
          <cell r="G1037">
            <v>13.704054054054113</v>
          </cell>
          <cell r="H1037">
            <v>13.704054054054113</v>
          </cell>
          <cell r="I1037" t="e">
            <v>#N/A</v>
          </cell>
          <cell r="J1037" t="e">
            <v>#N/A</v>
          </cell>
          <cell r="K1037">
            <v>17.5</v>
          </cell>
          <cell r="L1037">
            <v>14</v>
          </cell>
          <cell r="M1037" t="e">
            <v>#N/A</v>
          </cell>
          <cell r="N1037">
            <v>16.5</v>
          </cell>
          <cell r="O1037" t="e">
            <v>#N/A</v>
          </cell>
          <cell r="P1037" t="str">
            <v/>
          </cell>
          <cell r="Q1037" t="str">
            <v/>
          </cell>
          <cell r="R1037">
            <v>16.5</v>
          </cell>
        </row>
        <row r="1038">
          <cell r="A1038" t="str">
            <v/>
          </cell>
          <cell r="B1038" t="str">
            <v/>
          </cell>
          <cell r="C1038" t="str">
            <v>Future</v>
          </cell>
          <cell r="D1038" t="e">
            <v>#N/A</v>
          </cell>
          <cell r="E1038">
            <v>-12.189189189189275</v>
          </cell>
          <cell r="F1038">
            <v>20.175675675675986</v>
          </cell>
          <cell r="G1038">
            <v>13.702702702702762</v>
          </cell>
          <cell r="H1038">
            <v>13.702702702702762</v>
          </cell>
          <cell r="I1038" t="e">
            <v>#N/A</v>
          </cell>
          <cell r="J1038" t="e">
            <v>#N/A</v>
          </cell>
          <cell r="K1038">
            <v>17.5</v>
          </cell>
          <cell r="L1038">
            <v>14</v>
          </cell>
          <cell r="M1038" t="e">
            <v>#N/A</v>
          </cell>
          <cell r="N1038">
            <v>16.5</v>
          </cell>
          <cell r="O1038" t="e">
            <v>#N/A</v>
          </cell>
          <cell r="P1038" t="str">
            <v/>
          </cell>
          <cell r="Q1038" t="str">
            <v/>
          </cell>
          <cell r="R1038">
            <v>16.5</v>
          </cell>
        </row>
        <row r="1039">
          <cell r="A1039" t="str">
            <v/>
          </cell>
          <cell r="B1039" t="str">
            <v/>
          </cell>
          <cell r="C1039" t="str">
            <v>Future</v>
          </cell>
          <cell r="D1039" t="e">
            <v>#N/A</v>
          </cell>
          <cell r="E1039">
            <v>-12.24459459459468</v>
          </cell>
          <cell r="F1039">
            <v>20.187837837838149</v>
          </cell>
          <cell r="G1039">
            <v>13.701351351351411</v>
          </cell>
          <cell r="H1039">
            <v>13.701351351351411</v>
          </cell>
          <cell r="I1039" t="e">
            <v>#N/A</v>
          </cell>
          <cell r="J1039" t="e">
            <v>#N/A</v>
          </cell>
          <cell r="K1039">
            <v>17.5</v>
          </cell>
          <cell r="L1039">
            <v>14</v>
          </cell>
          <cell r="M1039" t="e">
            <v>#N/A</v>
          </cell>
          <cell r="N1039">
            <v>16.5</v>
          </cell>
          <cell r="O1039" t="e">
            <v>#N/A</v>
          </cell>
          <cell r="P1039" t="str">
            <v/>
          </cell>
          <cell r="Q1039" t="str">
            <v/>
          </cell>
          <cell r="R1039">
            <v>16.5</v>
          </cell>
        </row>
        <row r="1040">
          <cell r="A1040" t="str">
            <v/>
          </cell>
          <cell r="B1040" t="str">
            <v/>
          </cell>
          <cell r="C1040" t="str">
            <v>Future</v>
          </cell>
          <cell r="D1040" t="e">
            <v>#N/A</v>
          </cell>
          <cell r="E1040">
            <v>-12.300000000000086</v>
          </cell>
          <cell r="F1040">
            <v>20.200000000000312</v>
          </cell>
          <cell r="G1040">
            <v>13.70000000000006</v>
          </cell>
          <cell r="H1040">
            <v>13.70000000000006</v>
          </cell>
          <cell r="I1040" t="e">
            <v>#N/A</v>
          </cell>
          <cell r="J1040" t="e">
            <v>#N/A</v>
          </cell>
          <cell r="K1040">
            <v>17.5</v>
          </cell>
          <cell r="L1040">
            <v>14</v>
          </cell>
          <cell r="M1040" t="e">
            <v>#N/A</v>
          </cell>
          <cell r="N1040">
            <v>16.5</v>
          </cell>
          <cell r="O1040" t="e">
            <v>#N/A</v>
          </cell>
          <cell r="P1040" t="str">
            <v/>
          </cell>
          <cell r="Q1040" t="str">
            <v/>
          </cell>
          <cell r="R1040">
            <v>16.5</v>
          </cell>
        </row>
        <row r="1041">
          <cell r="A1041" t="str">
            <v/>
          </cell>
          <cell r="B1041" t="str">
            <v/>
          </cell>
          <cell r="C1041" t="str">
            <v>Future</v>
          </cell>
          <cell r="D1041" t="e">
            <v>#N/A</v>
          </cell>
          <cell r="E1041">
            <v>-12.355405405405492</v>
          </cell>
          <cell r="F1041">
            <v>20.212162162162475</v>
          </cell>
          <cell r="G1041">
            <v>13.698648648648708</v>
          </cell>
          <cell r="H1041">
            <v>13.698648648648708</v>
          </cell>
          <cell r="I1041" t="e">
            <v>#N/A</v>
          </cell>
          <cell r="J1041" t="e">
            <v>#N/A</v>
          </cell>
          <cell r="K1041">
            <v>17.5</v>
          </cell>
          <cell r="L1041">
            <v>14</v>
          </cell>
          <cell r="M1041" t="e">
            <v>#N/A</v>
          </cell>
          <cell r="N1041">
            <v>16.5</v>
          </cell>
          <cell r="O1041" t="e">
            <v>#N/A</v>
          </cell>
          <cell r="P1041" t="str">
            <v/>
          </cell>
          <cell r="Q1041" t="str">
            <v/>
          </cell>
          <cell r="R1041">
            <v>16.5</v>
          </cell>
        </row>
        <row r="1042">
          <cell r="A1042" t="str">
            <v/>
          </cell>
          <cell r="B1042" t="str">
            <v/>
          </cell>
          <cell r="C1042" t="str">
            <v>Future</v>
          </cell>
          <cell r="D1042" t="e">
            <v>#N/A</v>
          </cell>
          <cell r="E1042">
            <v>-12.410810810810897</v>
          </cell>
          <cell r="F1042">
            <v>20.224324324324638</v>
          </cell>
          <cell r="G1042">
            <v>13.697297297297357</v>
          </cell>
          <cell r="H1042">
            <v>13.697297297297357</v>
          </cell>
          <cell r="I1042" t="e">
            <v>#N/A</v>
          </cell>
          <cell r="J1042" t="e">
            <v>#N/A</v>
          </cell>
          <cell r="K1042">
            <v>17.5</v>
          </cell>
          <cell r="L1042">
            <v>14</v>
          </cell>
          <cell r="M1042" t="e">
            <v>#N/A</v>
          </cell>
          <cell r="N1042">
            <v>16.5</v>
          </cell>
          <cell r="O1042" t="e">
            <v>#N/A</v>
          </cell>
          <cell r="P1042" t="str">
            <v/>
          </cell>
          <cell r="Q1042" t="str">
            <v/>
          </cell>
          <cell r="R1042">
            <v>16.5</v>
          </cell>
        </row>
        <row r="1043">
          <cell r="A1043" t="str">
            <v/>
          </cell>
          <cell r="B1043" t="str">
            <v/>
          </cell>
          <cell r="C1043" t="str">
            <v>Future</v>
          </cell>
          <cell r="D1043" t="e">
            <v>#N/A</v>
          </cell>
          <cell r="E1043">
            <v>-12.466216216216303</v>
          </cell>
          <cell r="F1043">
            <v>20.2364864864868</v>
          </cell>
          <cell r="G1043">
            <v>13.695945945946006</v>
          </cell>
          <cell r="H1043">
            <v>13.695945945946006</v>
          </cell>
          <cell r="I1043" t="e">
            <v>#N/A</v>
          </cell>
          <cell r="J1043" t="e">
            <v>#N/A</v>
          </cell>
          <cell r="K1043">
            <v>17.5</v>
          </cell>
          <cell r="L1043">
            <v>14</v>
          </cell>
          <cell r="M1043" t="e">
            <v>#N/A</v>
          </cell>
          <cell r="N1043">
            <v>16.5</v>
          </cell>
          <cell r="O1043" t="e">
            <v>#N/A</v>
          </cell>
          <cell r="P1043" t="str">
            <v/>
          </cell>
          <cell r="Q1043" t="str">
            <v/>
          </cell>
          <cell r="R1043">
            <v>16.5</v>
          </cell>
        </row>
        <row r="1044">
          <cell r="A1044" t="str">
            <v/>
          </cell>
          <cell r="B1044" t="str">
            <v/>
          </cell>
          <cell r="C1044" t="str">
            <v>Future</v>
          </cell>
          <cell r="D1044" t="e">
            <v>#N/A</v>
          </cell>
          <cell r="E1044">
            <v>-12.521621621621708</v>
          </cell>
          <cell r="F1044">
            <v>20.248648648648963</v>
          </cell>
          <cell r="G1044">
            <v>13.694594594594655</v>
          </cell>
          <cell r="H1044">
            <v>13.694594594594655</v>
          </cell>
          <cell r="I1044" t="e">
            <v>#N/A</v>
          </cell>
          <cell r="J1044" t="e">
            <v>#N/A</v>
          </cell>
          <cell r="K1044">
            <v>17.5</v>
          </cell>
          <cell r="L1044">
            <v>14</v>
          </cell>
          <cell r="M1044" t="e">
            <v>#N/A</v>
          </cell>
          <cell r="N1044">
            <v>16.5</v>
          </cell>
          <cell r="O1044" t="e">
            <v>#N/A</v>
          </cell>
          <cell r="P1044" t="str">
            <v/>
          </cell>
          <cell r="Q1044" t="str">
            <v/>
          </cell>
          <cell r="R1044">
            <v>16.5</v>
          </cell>
        </row>
        <row r="1045">
          <cell r="A1045" t="str">
            <v/>
          </cell>
          <cell r="B1045" t="str">
            <v/>
          </cell>
          <cell r="C1045" t="str">
            <v>Future</v>
          </cell>
          <cell r="D1045" t="e">
            <v>#N/A</v>
          </cell>
          <cell r="E1045">
            <v>-12.577027027027114</v>
          </cell>
          <cell r="F1045">
            <v>20.260810810811126</v>
          </cell>
          <cell r="G1045">
            <v>13.693243243243304</v>
          </cell>
          <cell r="H1045">
            <v>13.693243243243304</v>
          </cell>
          <cell r="I1045" t="e">
            <v>#N/A</v>
          </cell>
          <cell r="J1045" t="e">
            <v>#N/A</v>
          </cell>
          <cell r="K1045">
            <v>17.5</v>
          </cell>
          <cell r="L1045">
            <v>14</v>
          </cell>
          <cell r="M1045" t="e">
            <v>#N/A</v>
          </cell>
          <cell r="N1045">
            <v>16.5</v>
          </cell>
          <cell r="O1045" t="e">
            <v>#N/A</v>
          </cell>
          <cell r="P1045" t="str">
            <v/>
          </cell>
          <cell r="Q1045" t="str">
            <v/>
          </cell>
          <cell r="R1045">
            <v>16.5</v>
          </cell>
        </row>
        <row r="1046">
          <cell r="A1046" t="str">
            <v/>
          </cell>
          <cell r="B1046" t="str">
            <v/>
          </cell>
          <cell r="C1046" t="str">
            <v>Future</v>
          </cell>
          <cell r="D1046" t="e">
            <v>#N/A</v>
          </cell>
          <cell r="E1046">
            <v>-12.63243243243252</v>
          </cell>
          <cell r="F1046">
            <v>20.272972972973289</v>
          </cell>
          <cell r="G1046">
            <v>13.691891891891952</v>
          </cell>
          <cell r="H1046">
            <v>13.691891891891952</v>
          </cell>
          <cell r="I1046" t="e">
            <v>#N/A</v>
          </cell>
          <cell r="J1046" t="e">
            <v>#N/A</v>
          </cell>
          <cell r="K1046">
            <v>17.5</v>
          </cell>
          <cell r="L1046">
            <v>14</v>
          </cell>
          <cell r="M1046" t="e">
            <v>#N/A</v>
          </cell>
          <cell r="N1046">
            <v>16.5</v>
          </cell>
          <cell r="O1046" t="e">
            <v>#N/A</v>
          </cell>
          <cell r="P1046" t="str">
            <v/>
          </cell>
          <cell r="Q1046" t="str">
            <v/>
          </cell>
          <cell r="R1046">
            <v>16.5</v>
          </cell>
        </row>
        <row r="1047">
          <cell r="A1047" t="str">
            <v/>
          </cell>
          <cell r="B1047" t="str">
            <v/>
          </cell>
          <cell r="C1047" t="str">
            <v>Future</v>
          </cell>
          <cell r="D1047" t="e">
            <v>#N/A</v>
          </cell>
          <cell r="E1047">
            <v>-12.687837837837925</v>
          </cell>
          <cell r="F1047">
            <v>20.285135135135452</v>
          </cell>
          <cell r="G1047">
            <v>13.690540540540601</v>
          </cell>
          <cell r="H1047">
            <v>13.690540540540601</v>
          </cell>
          <cell r="I1047" t="e">
            <v>#N/A</v>
          </cell>
          <cell r="J1047" t="e">
            <v>#N/A</v>
          </cell>
          <cell r="K1047">
            <v>17.5</v>
          </cell>
          <cell r="L1047">
            <v>14</v>
          </cell>
          <cell r="M1047" t="e">
            <v>#N/A</v>
          </cell>
          <cell r="N1047">
            <v>16.5</v>
          </cell>
          <cell r="O1047" t="e">
            <v>#N/A</v>
          </cell>
          <cell r="P1047" t="str">
            <v/>
          </cell>
          <cell r="Q1047" t="str">
            <v/>
          </cell>
          <cell r="R1047">
            <v>16.5</v>
          </cell>
        </row>
        <row r="1048">
          <cell r="A1048" t="str">
            <v/>
          </cell>
          <cell r="B1048" t="str">
            <v/>
          </cell>
          <cell r="C1048" t="str">
            <v>Future</v>
          </cell>
          <cell r="D1048" t="e">
            <v>#N/A</v>
          </cell>
          <cell r="E1048">
            <v>-12.743243243243331</v>
          </cell>
          <cell r="F1048">
            <v>20.297297297297614</v>
          </cell>
          <cell r="G1048">
            <v>13.68918918918925</v>
          </cell>
          <cell r="H1048">
            <v>13.68918918918925</v>
          </cell>
          <cell r="I1048" t="e">
            <v>#N/A</v>
          </cell>
          <cell r="J1048" t="e">
            <v>#N/A</v>
          </cell>
          <cell r="K1048">
            <v>17.5</v>
          </cell>
          <cell r="L1048">
            <v>14</v>
          </cell>
          <cell r="M1048" t="e">
            <v>#N/A</v>
          </cell>
          <cell r="N1048">
            <v>16.5</v>
          </cell>
          <cell r="O1048" t="e">
            <v>#N/A</v>
          </cell>
          <cell r="P1048" t="str">
            <v/>
          </cell>
          <cell r="Q1048" t="str">
            <v/>
          </cell>
          <cell r="R1048">
            <v>16.5</v>
          </cell>
        </row>
        <row r="1049">
          <cell r="A1049" t="str">
            <v/>
          </cell>
          <cell r="B1049" t="str">
            <v/>
          </cell>
          <cell r="C1049" t="str">
            <v>Future</v>
          </cell>
          <cell r="D1049" t="e">
            <v>#N/A</v>
          </cell>
          <cell r="E1049">
            <v>-12.798648648648737</v>
          </cell>
          <cell r="F1049">
            <v>20.309459459459777</v>
          </cell>
          <cell r="G1049">
            <v>13.687837837837899</v>
          </cell>
          <cell r="H1049">
            <v>13.687837837837899</v>
          </cell>
          <cell r="I1049" t="e">
            <v>#N/A</v>
          </cell>
          <cell r="J1049" t="e">
            <v>#N/A</v>
          </cell>
          <cell r="K1049">
            <v>17.5</v>
          </cell>
          <cell r="L1049">
            <v>14</v>
          </cell>
          <cell r="M1049" t="e">
            <v>#N/A</v>
          </cell>
          <cell r="N1049">
            <v>16.5</v>
          </cell>
          <cell r="O1049" t="e">
            <v>#N/A</v>
          </cell>
          <cell r="P1049" t="str">
            <v/>
          </cell>
          <cell r="Q1049" t="str">
            <v/>
          </cell>
          <cell r="R1049">
            <v>16.5</v>
          </cell>
        </row>
        <row r="1050">
          <cell r="A1050" t="str">
            <v/>
          </cell>
          <cell r="B1050" t="str">
            <v/>
          </cell>
          <cell r="C1050" t="str">
            <v>Future</v>
          </cell>
          <cell r="D1050" t="e">
            <v>#N/A</v>
          </cell>
          <cell r="E1050">
            <v>-12.854054054054142</v>
          </cell>
          <cell r="F1050">
            <v>20.32162162162194</v>
          </cell>
          <cell r="G1050">
            <v>13.686486486486547</v>
          </cell>
          <cell r="H1050">
            <v>13.686486486486547</v>
          </cell>
          <cell r="I1050" t="e">
            <v>#N/A</v>
          </cell>
          <cell r="J1050" t="e">
            <v>#N/A</v>
          </cell>
          <cell r="K1050">
            <v>17.5</v>
          </cell>
          <cell r="L1050">
            <v>14</v>
          </cell>
          <cell r="M1050" t="e">
            <v>#N/A</v>
          </cell>
          <cell r="N1050">
            <v>16.5</v>
          </cell>
          <cell r="O1050" t="e">
            <v>#N/A</v>
          </cell>
          <cell r="P1050" t="str">
            <v/>
          </cell>
          <cell r="Q1050" t="str">
            <v/>
          </cell>
          <cell r="R1050">
            <v>16.5</v>
          </cell>
        </row>
        <row r="1051">
          <cell r="A1051" t="str">
            <v/>
          </cell>
          <cell r="B1051" t="str">
            <v/>
          </cell>
          <cell r="C1051" t="str">
            <v>Future</v>
          </cell>
          <cell r="D1051" t="e">
            <v>#N/A</v>
          </cell>
          <cell r="E1051">
            <v>-12.909459459459548</v>
          </cell>
          <cell r="F1051">
            <v>20.333783783784103</v>
          </cell>
          <cell r="G1051">
            <v>13.685135135135196</v>
          </cell>
          <cell r="H1051">
            <v>13.685135135135196</v>
          </cell>
          <cell r="I1051" t="e">
            <v>#N/A</v>
          </cell>
          <cell r="J1051" t="e">
            <v>#N/A</v>
          </cell>
          <cell r="K1051">
            <v>17.5</v>
          </cell>
          <cell r="L1051">
            <v>14</v>
          </cell>
          <cell r="M1051" t="e">
            <v>#N/A</v>
          </cell>
          <cell r="N1051">
            <v>16.5</v>
          </cell>
          <cell r="O1051" t="e">
            <v>#N/A</v>
          </cell>
          <cell r="P1051" t="str">
            <v/>
          </cell>
          <cell r="Q1051" t="str">
            <v/>
          </cell>
          <cell r="R1051">
            <v>16.5</v>
          </cell>
        </row>
        <row r="1052">
          <cell r="A1052" t="str">
            <v/>
          </cell>
          <cell r="B1052" t="str">
            <v/>
          </cell>
          <cell r="C1052" t="str">
            <v>Future</v>
          </cell>
          <cell r="D1052" t="e">
            <v>#N/A</v>
          </cell>
          <cell r="E1052">
            <v>-12.964864864864953</v>
          </cell>
          <cell r="F1052">
            <v>20.345945945946266</v>
          </cell>
          <cell r="G1052">
            <v>13.683783783783845</v>
          </cell>
          <cell r="H1052">
            <v>13.683783783783845</v>
          </cell>
          <cell r="I1052" t="e">
            <v>#N/A</v>
          </cell>
          <cell r="J1052" t="e">
            <v>#N/A</v>
          </cell>
          <cell r="K1052">
            <v>17.5</v>
          </cell>
          <cell r="L1052">
            <v>14</v>
          </cell>
          <cell r="M1052" t="e">
            <v>#N/A</v>
          </cell>
          <cell r="N1052">
            <v>16.5</v>
          </cell>
          <cell r="O1052" t="e">
            <v>#N/A</v>
          </cell>
          <cell r="P1052" t="str">
            <v/>
          </cell>
          <cell r="Q1052" t="str">
            <v/>
          </cell>
          <cell r="R1052">
            <v>16.5</v>
          </cell>
        </row>
        <row r="1053">
          <cell r="A1053" t="str">
            <v/>
          </cell>
          <cell r="B1053" t="str">
            <v/>
          </cell>
          <cell r="C1053" t="str">
            <v>Future</v>
          </cell>
          <cell r="D1053" t="e">
            <v>#N/A</v>
          </cell>
          <cell r="E1053">
            <v>-13.020270270270359</v>
          </cell>
          <cell r="F1053">
            <v>20.358108108108429</v>
          </cell>
          <cell r="G1053">
            <v>13.682432432432494</v>
          </cell>
          <cell r="H1053">
            <v>13.682432432432494</v>
          </cell>
          <cell r="I1053" t="e">
            <v>#N/A</v>
          </cell>
          <cell r="J1053" t="e">
            <v>#N/A</v>
          </cell>
          <cell r="K1053">
            <v>17.5</v>
          </cell>
          <cell r="L1053">
            <v>14</v>
          </cell>
          <cell r="M1053" t="e">
            <v>#N/A</v>
          </cell>
          <cell r="N1053">
            <v>16.5</v>
          </cell>
          <cell r="O1053" t="e">
            <v>#N/A</v>
          </cell>
          <cell r="P1053" t="str">
            <v/>
          </cell>
          <cell r="Q1053" t="str">
            <v/>
          </cell>
          <cell r="R1053">
            <v>16.5</v>
          </cell>
        </row>
        <row r="1054">
          <cell r="A1054" t="str">
            <v/>
          </cell>
          <cell r="B1054" t="str">
            <v/>
          </cell>
          <cell r="C1054" t="str">
            <v>Future</v>
          </cell>
          <cell r="D1054" t="e">
            <v>#N/A</v>
          </cell>
          <cell r="E1054">
            <v>-13.075675675675765</v>
          </cell>
          <cell r="F1054">
            <v>20.370270270270591</v>
          </cell>
          <cell r="G1054">
            <v>13.681081081081143</v>
          </cell>
          <cell r="H1054">
            <v>13.681081081081143</v>
          </cell>
          <cell r="I1054" t="e">
            <v>#N/A</v>
          </cell>
          <cell r="J1054" t="e">
            <v>#N/A</v>
          </cell>
          <cell r="K1054">
            <v>17.5</v>
          </cell>
          <cell r="L1054">
            <v>14</v>
          </cell>
          <cell r="M1054" t="e">
            <v>#N/A</v>
          </cell>
          <cell r="N1054">
            <v>16.5</v>
          </cell>
          <cell r="O1054" t="e">
            <v>#N/A</v>
          </cell>
          <cell r="P1054" t="str">
            <v/>
          </cell>
          <cell r="Q1054" t="str">
            <v/>
          </cell>
          <cell r="R1054">
            <v>16.5</v>
          </cell>
        </row>
        <row r="1055">
          <cell r="A1055" t="str">
            <v/>
          </cell>
          <cell r="B1055" t="str">
            <v/>
          </cell>
          <cell r="C1055" t="str">
            <v>Future</v>
          </cell>
          <cell r="D1055" t="e">
            <v>#N/A</v>
          </cell>
          <cell r="E1055">
            <v>-13.13108108108117</v>
          </cell>
          <cell r="F1055">
            <v>20.382432432432754</v>
          </cell>
          <cell r="G1055">
            <v>13.679729729729791</v>
          </cell>
          <cell r="H1055">
            <v>13.679729729729791</v>
          </cell>
          <cell r="I1055" t="e">
            <v>#N/A</v>
          </cell>
          <cell r="J1055" t="e">
            <v>#N/A</v>
          </cell>
          <cell r="K1055">
            <v>17.5</v>
          </cell>
          <cell r="L1055">
            <v>14</v>
          </cell>
          <cell r="M1055" t="e">
            <v>#N/A</v>
          </cell>
          <cell r="N1055">
            <v>16.5</v>
          </cell>
          <cell r="O1055" t="e">
            <v>#N/A</v>
          </cell>
          <cell r="P1055" t="str">
            <v/>
          </cell>
          <cell r="Q1055" t="str">
            <v/>
          </cell>
          <cell r="R1055">
            <v>16.5</v>
          </cell>
        </row>
        <row r="1056">
          <cell r="A1056" t="str">
            <v/>
          </cell>
          <cell r="B1056" t="str">
            <v/>
          </cell>
          <cell r="C1056" t="str">
            <v>Future</v>
          </cell>
          <cell r="D1056" t="e">
            <v>#N/A</v>
          </cell>
          <cell r="E1056">
            <v>-13.186486486486576</v>
          </cell>
          <cell r="F1056">
            <v>20.394594594594917</v>
          </cell>
          <cell r="G1056">
            <v>13.67837837837844</v>
          </cell>
          <cell r="H1056">
            <v>13.67837837837844</v>
          </cell>
          <cell r="I1056" t="e">
            <v>#N/A</v>
          </cell>
          <cell r="J1056" t="e">
            <v>#N/A</v>
          </cell>
          <cell r="K1056">
            <v>17.5</v>
          </cell>
          <cell r="L1056">
            <v>14</v>
          </cell>
          <cell r="M1056" t="e">
            <v>#N/A</v>
          </cell>
          <cell r="N1056">
            <v>16.5</v>
          </cell>
          <cell r="O1056" t="e">
            <v>#N/A</v>
          </cell>
          <cell r="P1056" t="str">
            <v/>
          </cell>
          <cell r="Q1056" t="str">
            <v/>
          </cell>
          <cell r="R1056">
            <v>16.5</v>
          </cell>
        </row>
        <row r="1057">
          <cell r="A1057" t="str">
            <v/>
          </cell>
          <cell r="B1057" t="str">
            <v/>
          </cell>
          <cell r="C1057" t="str">
            <v>Future</v>
          </cell>
          <cell r="D1057" t="e">
            <v>#N/A</v>
          </cell>
          <cell r="E1057">
            <v>-13.241891891891981</v>
          </cell>
          <cell r="F1057">
            <v>20.40675675675708</v>
          </cell>
          <cell r="G1057">
            <v>13.677027027027089</v>
          </cell>
          <cell r="H1057">
            <v>13.677027027027089</v>
          </cell>
          <cell r="I1057" t="e">
            <v>#N/A</v>
          </cell>
          <cell r="J1057" t="e">
            <v>#N/A</v>
          </cell>
          <cell r="K1057">
            <v>17.5</v>
          </cell>
          <cell r="L1057">
            <v>14</v>
          </cell>
          <cell r="M1057" t="e">
            <v>#N/A</v>
          </cell>
          <cell r="N1057">
            <v>16.5</v>
          </cell>
          <cell r="O1057" t="e">
            <v>#N/A</v>
          </cell>
          <cell r="P1057" t="str">
            <v/>
          </cell>
          <cell r="Q1057" t="str">
            <v/>
          </cell>
          <cell r="R1057">
            <v>16.5</v>
          </cell>
        </row>
        <row r="1058">
          <cell r="A1058" t="str">
            <v/>
          </cell>
          <cell r="B1058" t="str">
            <v/>
          </cell>
          <cell r="C1058" t="str">
            <v>Future</v>
          </cell>
          <cell r="D1058" t="e">
            <v>#N/A</v>
          </cell>
          <cell r="E1058">
            <v>-13.297297297297387</v>
          </cell>
          <cell r="F1058">
            <v>20.418918918919243</v>
          </cell>
          <cell r="G1058">
            <v>13.675675675675738</v>
          </cell>
          <cell r="H1058">
            <v>13.675675675675738</v>
          </cell>
          <cell r="I1058" t="e">
            <v>#N/A</v>
          </cell>
          <cell r="J1058" t="e">
            <v>#N/A</v>
          </cell>
          <cell r="K1058">
            <v>17.5</v>
          </cell>
          <cell r="L1058">
            <v>14</v>
          </cell>
          <cell r="M1058" t="e">
            <v>#N/A</v>
          </cell>
          <cell r="N1058">
            <v>16.5</v>
          </cell>
          <cell r="O1058" t="e">
            <v>#N/A</v>
          </cell>
          <cell r="P1058" t="str">
            <v/>
          </cell>
          <cell r="Q1058" t="str">
            <v/>
          </cell>
          <cell r="R1058">
            <v>16.5</v>
          </cell>
        </row>
        <row r="1059">
          <cell r="A1059" t="str">
            <v/>
          </cell>
          <cell r="B1059" t="str">
            <v/>
          </cell>
          <cell r="C1059" t="str">
            <v>Future</v>
          </cell>
          <cell r="D1059" t="e">
            <v>#N/A</v>
          </cell>
          <cell r="E1059">
            <v>-13.352702702702793</v>
          </cell>
          <cell r="F1059">
            <v>20.431081081081405</v>
          </cell>
          <cell r="G1059">
            <v>13.674324324324386</v>
          </cell>
          <cell r="H1059">
            <v>13.674324324324386</v>
          </cell>
          <cell r="I1059" t="e">
            <v>#N/A</v>
          </cell>
          <cell r="J1059" t="e">
            <v>#N/A</v>
          </cell>
          <cell r="K1059">
            <v>17.5</v>
          </cell>
          <cell r="L1059">
            <v>14</v>
          </cell>
          <cell r="M1059" t="e">
            <v>#N/A</v>
          </cell>
          <cell r="N1059">
            <v>16.5</v>
          </cell>
          <cell r="O1059" t="e">
            <v>#N/A</v>
          </cell>
          <cell r="P1059" t="str">
            <v/>
          </cell>
          <cell r="Q1059" t="str">
            <v/>
          </cell>
          <cell r="R1059">
            <v>16.5</v>
          </cell>
        </row>
        <row r="1060">
          <cell r="A1060" t="str">
            <v/>
          </cell>
          <cell r="B1060" t="str">
            <v/>
          </cell>
          <cell r="C1060" t="str">
            <v>Future</v>
          </cell>
          <cell r="D1060" t="e">
            <v>#N/A</v>
          </cell>
          <cell r="E1060">
            <v>-13.408108108108198</v>
          </cell>
          <cell r="F1060">
            <v>20.443243243243568</v>
          </cell>
          <cell r="G1060">
            <v>13.672972972973035</v>
          </cell>
          <cell r="H1060">
            <v>13.672972972973035</v>
          </cell>
          <cell r="I1060" t="e">
            <v>#N/A</v>
          </cell>
          <cell r="J1060" t="e">
            <v>#N/A</v>
          </cell>
          <cell r="K1060">
            <v>17.5</v>
          </cell>
          <cell r="L1060">
            <v>14</v>
          </cell>
          <cell r="M1060" t="e">
            <v>#N/A</v>
          </cell>
          <cell r="N1060">
            <v>16.5</v>
          </cell>
          <cell r="O1060" t="e">
            <v>#N/A</v>
          </cell>
          <cell r="P1060" t="str">
            <v/>
          </cell>
          <cell r="Q1060" t="str">
            <v/>
          </cell>
          <cell r="R1060">
            <v>16.5</v>
          </cell>
        </row>
        <row r="1061">
          <cell r="A1061" t="str">
            <v/>
          </cell>
          <cell r="B1061" t="str">
            <v/>
          </cell>
          <cell r="C1061" t="str">
            <v>Future</v>
          </cell>
          <cell r="D1061" t="e">
            <v>#N/A</v>
          </cell>
          <cell r="E1061">
            <v>-13.463513513513604</v>
          </cell>
          <cell r="F1061">
            <v>20.455405405405731</v>
          </cell>
          <cell r="G1061">
            <v>13.671621621621684</v>
          </cell>
          <cell r="H1061">
            <v>13.671621621621684</v>
          </cell>
          <cell r="I1061" t="e">
            <v>#N/A</v>
          </cell>
          <cell r="J1061" t="e">
            <v>#N/A</v>
          </cell>
          <cell r="K1061">
            <v>17.5</v>
          </cell>
          <cell r="L1061">
            <v>14</v>
          </cell>
          <cell r="M1061" t="e">
            <v>#N/A</v>
          </cell>
          <cell r="N1061">
            <v>16.5</v>
          </cell>
          <cell r="O1061" t="e">
            <v>#N/A</v>
          </cell>
          <cell r="P1061" t="str">
            <v/>
          </cell>
          <cell r="Q1061" t="str">
            <v/>
          </cell>
          <cell r="R1061">
            <v>16.5</v>
          </cell>
        </row>
        <row r="1062">
          <cell r="A1062" t="str">
            <v/>
          </cell>
          <cell r="B1062" t="str">
            <v/>
          </cell>
          <cell r="C1062" t="str">
            <v>Future</v>
          </cell>
          <cell r="D1062" t="e">
            <v>#N/A</v>
          </cell>
          <cell r="E1062">
            <v>-13.51891891891901</v>
          </cell>
          <cell r="F1062">
            <v>20.467567567567894</v>
          </cell>
          <cell r="G1062">
            <v>13.670270270270333</v>
          </cell>
          <cell r="H1062">
            <v>13.670270270270333</v>
          </cell>
          <cell r="I1062" t="e">
            <v>#N/A</v>
          </cell>
          <cell r="J1062" t="e">
            <v>#N/A</v>
          </cell>
          <cell r="K1062">
            <v>17.5</v>
          </cell>
          <cell r="L1062">
            <v>14</v>
          </cell>
          <cell r="M1062" t="e">
            <v>#N/A</v>
          </cell>
          <cell r="N1062">
            <v>16.5</v>
          </cell>
          <cell r="O1062" t="e">
            <v>#N/A</v>
          </cell>
          <cell r="P1062" t="str">
            <v/>
          </cell>
          <cell r="Q1062" t="str">
            <v/>
          </cell>
          <cell r="R1062">
            <v>16.5</v>
          </cell>
        </row>
        <row r="1063">
          <cell r="A1063" t="str">
            <v/>
          </cell>
          <cell r="B1063" t="str">
            <v/>
          </cell>
          <cell r="C1063" t="str">
            <v>Future</v>
          </cell>
          <cell r="D1063" t="e">
            <v>#N/A</v>
          </cell>
          <cell r="E1063">
            <v>-13.574324324324415</v>
          </cell>
          <cell r="F1063">
            <v>20.479729729730057</v>
          </cell>
          <cell r="G1063">
            <v>13.668918918918981</v>
          </cell>
          <cell r="H1063">
            <v>13.668918918918981</v>
          </cell>
          <cell r="I1063" t="e">
            <v>#N/A</v>
          </cell>
          <cell r="J1063" t="e">
            <v>#N/A</v>
          </cell>
          <cell r="K1063">
            <v>17.5</v>
          </cell>
          <cell r="L1063">
            <v>14</v>
          </cell>
          <cell r="M1063" t="e">
            <v>#N/A</v>
          </cell>
          <cell r="N1063">
            <v>16.5</v>
          </cell>
          <cell r="O1063" t="e">
            <v>#N/A</v>
          </cell>
          <cell r="P1063" t="str">
            <v/>
          </cell>
          <cell r="Q1063" t="str">
            <v/>
          </cell>
          <cell r="R1063">
            <v>16.5</v>
          </cell>
        </row>
        <row r="1064">
          <cell r="A1064" t="str">
            <v/>
          </cell>
          <cell r="B1064" t="str">
            <v/>
          </cell>
          <cell r="C1064" t="str">
            <v>Future</v>
          </cell>
          <cell r="D1064" t="e">
            <v>#N/A</v>
          </cell>
          <cell r="E1064">
            <v>-13.629729729729821</v>
          </cell>
          <cell r="F1064">
            <v>20.491891891892219</v>
          </cell>
          <cell r="G1064">
            <v>13.66756756756763</v>
          </cell>
          <cell r="H1064">
            <v>13.66756756756763</v>
          </cell>
          <cell r="I1064" t="e">
            <v>#N/A</v>
          </cell>
          <cell r="J1064" t="e">
            <v>#N/A</v>
          </cell>
          <cell r="K1064">
            <v>17.5</v>
          </cell>
          <cell r="L1064">
            <v>14</v>
          </cell>
          <cell r="M1064" t="e">
            <v>#N/A</v>
          </cell>
          <cell r="N1064">
            <v>16.5</v>
          </cell>
          <cell r="O1064" t="e">
            <v>#N/A</v>
          </cell>
          <cell r="P1064" t="str">
            <v/>
          </cell>
          <cell r="Q1064" t="str">
            <v/>
          </cell>
          <cell r="R1064">
            <v>16.5</v>
          </cell>
        </row>
        <row r="1065">
          <cell r="A1065" t="str">
            <v/>
          </cell>
          <cell r="B1065" t="str">
            <v/>
          </cell>
          <cell r="C1065" t="str">
            <v>Future</v>
          </cell>
          <cell r="D1065" t="e">
            <v>#N/A</v>
          </cell>
          <cell r="E1065">
            <v>-13.685135135135226</v>
          </cell>
          <cell r="F1065">
            <v>20.504054054054382</v>
          </cell>
          <cell r="G1065">
            <v>13.666216216216279</v>
          </cell>
          <cell r="H1065">
            <v>13.666216216216279</v>
          </cell>
          <cell r="I1065" t="e">
            <v>#N/A</v>
          </cell>
          <cell r="J1065" t="e">
            <v>#N/A</v>
          </cell>
          <cell r="K1065">
            <v>17.5</v>
          </cell>
          <cell r="L1065">
            <v>14</v>
          </cell>
          <cell r="M1065" t="e">
            <v>#N/A</v>
          </cell>
          <cell r="N1065">
            <v>16.5</v>
          </cell>
          <cell r="O1065" t="e">
            <v>#N/A</v>
          </cell>
          <cell r="P1065" t="str">
            <v/>
          </cell>
          <cell r="Q1065" t="str">
            <v/>
          </cell>
          <cell r="R1065">
            <v>16.5</v>
          </cell>
        </row>
        <row r="1066">
          <cell r="A1066" t="str">
            <v/>
          </cell>
          <cell r="B1066" t="str">
            <v/>
          </cell>
          <cell r="C1066" t="str">
            <v>Future</v>
          </cell>
          <cell r="D1066" t="e">
            <v>#N/A</v>
          </cell>
          <cell r="E1066">
            <v>-13.740540540540632</v>
          </cell>
          <cell r="F1066">
            <v>20.516216216216545</v>
          </cell>
          <cell r="G1066">
            <v>13.664864864864928</v>
          </cell>
          <cell r="H1066">
            <v>13.664864864864928</v>
          </cell>
          <cell r="I1066" t="e">
            <v>#N/A</v>
          </cell>
          <cell r="J1066" t="e">
            <v>#N/A</v>
          </cell>
          <cell r="K1066">
            <v>17.5</v>
          </cell>
          <cell r="L1066">
            <v>14</v>
          </cell>
          <cell r="M1066" t="e">
            <v>#N/A</v>
          </cell>
          <cell r="N1066">
            <v>16.5</v>
          </cell>
          <cell r="O1066" t="e">
            <v>#N/A</v>
          </cell>
          <cell r="P1066" t="str">
            <v/>
          </cell>
          <cell r="Q1066" t="str">
            <v/>
          </cell>
          <cell r="R1066">
            <v>16.5</v>
          </cell>
        </row>
        <row r="1067">
          <cell r="A1067" t="str">
            <v/>
          </cell>
          <cell r="B1067" t="str">
            <v/>
          </cell>
          <cell r="C1067" t="str">
            <v>Future</v>
          </cell>
          <cell r="D1067" t="e">
            <v>#N/A</v>
          </cell>
          <cell r="E1067">
            <v>-13.795945945946038</v>
          </cell>
          <cell r="F1067">
            <v>20.528378378378708</v>
          </cell>
          <cell r="G1067">
            <v>13.663513513513577</v>
          </cell>
          <cell r="H1067">
            <v>13.663513513513577</v>
          </cell>
          <cell r="I1067" t="e">
            <v>#N/A</v>
          </cell>
          <cell r="J1067" t="e">
            <v>#N/A</v>
          </cell>
          <cell r="K1067">
            <v>17.5</v>
          </cell>
          <cell r="L1067">
            <v>14</v>
          </cell>
          <cell r="M1067" t="e">
            <v>#N/A</v>
          </cell>
          <cell r="N1067">
            <v>16.5</v>
          </cell>
          <cell r="O1067" t="e">
            <v>#N/A</v>
          </cell>
          <cell r="P1067" t="str">
            <v/>
          </cell>
          <cell r="Q1067" t="str">
            <v/>
          </cell>
          <cell r="R1067">
            <v>16.5</v>
          </cell>
        </row>
        <row r="1068">
          <cell r="A1068" t="str">
            <v/>
          </cell>
          <cell r="B1068" t="str">
            <v/>
          </cell>
          <cell r="C1068" t="str">
            <v>Future</v>
          </cell>
          <cell r="D1068" t="e">
            <v>#N/A</v>
          </cell>
          <cell r="E1068">
            <v>-13.851351351351443</v>
          </cell>
          <cell r="F1068">
            <v>20.540540540540871</v>
          </cell>
          <cell r="G1068">
            <v>13.662162162162225</v>
          </cell>
          <cell r="H1068">
            <v>13.662162162162225</v>
          </cell>
          <cell r="I1068" t="e">
            <v>#N/A</v>
          </cell>
          <cell r="J1068" t="e">
            <v>#N/A</v>
          </cell>
          <cell r="K1068">
            <v>17.5</v>
          </cell>
          <cell r="L1068">
            <v>14</v>
          </cell>
          <cell r="M1068" t="e">
            <v>#N/A</v>
          </cell>
          <cell r="N1068">
            <v>16.5</v>
          </cell>
          <cell r="O1068" t="e">
            <v>#N/A</v>
          </cell>
          <cell r="P1068" t="str">
            <v/>
          </cell>
          <cell r="Q1068" t="str">
            <v/>
          </cell>
          <cell r="R1068">
            <v>16.5</v>
          </cell>
        </row>
        <row r="1069">
          <cell r="A1069" t="str">
            <v/>
          </cell>
          <cell r="B1069" t="str">
            <v/>
          </cell>
          <cell r="C1069" t="str">
            <v>Future</v>
          </cell>
          <cell r="D1069" t="e">
            <v>#N/A</v>
          </cell>
          <cell r="E1069">
            <v>-13.906756756756849</v>
          </cell>
          <cell r="F1069">
            <v>20.552702702703034</v>
          </cell>
          <cell r="G1069">
            <v>13.660810810810874</v>
          </cell>
          <cell r="H1069">
            <v>13.660810810810874</v>
          </cell>
          <cell r="I1069" t="e">
            <v>#N/A</v>
          </cell>
          <cell r="J1069" t="e">
            <v>#N/A</v>
          </cell>
          <cell r="K1069">
            <v>17.5</v>
          </cell>
          <cell r="L1069">
            <v>14</v>
          </cell>
          <cell r="M1069" t="e">
            <v>#N/A</v>
          </cell>
          <cell r="N1069">
            <v>16.5</v>
          </cell>
          <cell r="O1069" t="e">
            <v>#N/A</v>
          </cell>
          <cell r="P1069" t="str">
            <v/>
          </cell>
          <cell r="Q1069" t="str">
            <v/>
          </cell>
          <cell r="R1069">
            <v>16.5</v>
          </cell>
        </row>
        <row r="1070">
          <cell r="A1070" t="str">
            <v/>
          </cell>
          <cell r="B1070" t="str">
            <v/>
          </cell>
          <cell r="C1070" t="str">
            <v>Future</v>
          </cell>
          <cell r="D1070" t="e">
            <v>#N/A</v>
          </cell>
          <cell r="E1070">
            <v>-13.962162162162254</v>
          </cell>
          <cell r="F1070">
            <v>20.564864864865196</v>
          </cell>
          <cell r="G1070">
            <v>13.659459459459523</v>
          </cell>
          <cell r="H1070">
            <v>13.659459459459523</v>
          </cell>
          <cell r="I1070" t="e">
            <v>#N/A</v>
          </cell>
          <cell r="J1070" t="e">
            <v>#N/A</v>
          </cell>
          <cell r="K1070">
            <v>17.5</v>
          </cell>
          <cell r="L1070">
            <v>14</v>
          </cell>
          <cell r="M1070" t="e">
            <v>#N/A</v>
          </cell>
          <cell r="N1070">
            <v>16.5</v>
          </cell>
          <cell r="O1070" t="e">
            <v>#N/A</v>
          </cell>
          <cell r="P1070" t="str">
            <v/>
          </cell>
          <cell r="Q1070" t="str">
            <v/>
          </cell>
          <cell r="R1070">
            <v>16.5</v>
          </cell>
        </row>
        <row r="1071">
          <cell r="A1071" t="str">
            <v/>
          </cell>
          <cell r="B1071" t="str">
            <v/>
          </cell>
          <cell r="C1071" t="str">
            <v>Future</v>
          </cell>
          <cell r="D1071" t="e">
            <v>#N/A</v>
          </cell>
          <cell r="E1071">
            <v>-14.01756756756766</v>
          </cell>
          <cell r="F1071">
            <v>20.577027027027359</v>
          </cell>
          <cell r="G1071">
            <v>13.658108108108172</v>
          </cell>
          <cell r="H1071">
            <v>13.658108108108172</v>
          </cell>
          <cell r="I1071" t="e">
            <v>#N/A</v>
          </cell>
          <cell r="J1071" t="e">
            <v>#N/A</v>
          </cell>
          <cell r="K1071">
            <v>17.5</v>
          </cell>
          <cell r="L1071">
            <v>14</v>
          </cell>
          <cell r="M1071" t="e">
            <v>#N/A</v>
          </cell>
          <cell r="N1071">
            <v>16.5</v>
          </cell>
          <cell r="O1071" t="e">
            <v>#N/A</v>
          </cell>
          <cell r="P1071" t="str">
            <v/>
          </cell>
          <cell r="Q1071" t="str">
            <v/>
          </cell>
          <cell r="R1071">
            <v>16.5</v>
          </cell>
        </row>
        <row r="1072">
          <cell r="A1072" t="str">
            <v/>
          </cell>
          <cell r="B1072" t="str">
            <v/>
          </cell>
          <cell r="C1072" t="str">
            <v>Future</v>
          </cell>
          <cell r="D1072" t="e">
            <v>#N/A</v>
          </cell>
          <cell r="E1072">
            <v>-14.072972972973066</v>
          </cell>
          <cell r="F1072">
            <v>20.589189189189522</v>
          </cell>
          <cell r="G1072">
            <v>13.65675675675682</v>
          </cell>
          <cell r="H1072">
            <v>13.65675675675682</v>
          </cell>
          <cell r="I1072" t="e">
            <v>#N/A</v>
          </cell>
          <cell r="J1072" t="e">
            <v>#N/A</v>
          </cell>
          <cell r="K1072">
            <v>17.5</v>
          </cell>
          <cell r="L1072">
            <v>14</v>
          </cell>
          <cell r="M1072" t="e">
            <v>#N/A</v>
          </cell>
          <cell r="N1072">
            <v>16.5</v>
          </cell>
          <cell r="O1072" t="e">
            <v>#N/A</v>
          </cell>
          <cell r="P1072" t="str">
            <v/>
          </cell>
          <cell r="Q1072" t="str">
            <v/>
          </cell>
          <cell r="R1072">
            <v>16.5</v>
          </cell>
        </row>
        <row r="1073">
          <cell r="A1073" t="str">
            <v/>
          </cell>
          <cell r="B1073" t="str">
            <v/>
          </cell>
          <cell r="C1073" t="str">
            <v>Future</v>
          </cell>
          <cell r="D1073" t="e">
            <v>#N/A</v>
          </cell>
          <cell r="E1073">
            <v>-14.128378378378471</v>
          </cell>
          <cell r="F1073">
            <v>20.601351351351685</v>
          </cell>
          <cell r="G1073">
            <v>13.655405405405469</v>
          </cell>
          <cell r="H1073">
            <v>13.655405405405469</v>
          </cell>
          <cell r="I1073" t="e">
            <v>#N/A</v>
          </cell>
          <cell r="J1073" t="e">
            <v>#N/A</v>
          </cell>
          <cell r="K1073">
            <v>17.5</v>
          </cell>
          <cell r="L1073">
            <v>14</v>
          </cell>
          <cell r="M1073" t="e">
            <v>#N/A</v>
          </cell>
          <cell r="N1073">
            <v>16.5</v>
          </cell>
          <cell r="O1073" t="e">
            <v>#N/A</v>
          </cell>
          <cell r="P1073" t="str">
            <v/>
          </cell>
          <cell r="Q1073" t="str">
            <v/>
          </cell>
          <cell r="R1073">
            <v>16.5</v>
          </cell>
        </row>
        <row r="1074">
          <cell r="A1074" t="str">
            <v/>
          </cell>
          <cell r="B1074" t="str">
            <v/>
          </cell>
          <cell r="C1074" t="str">
            <v>Future</v>
          </cell>
          <cell r="D1074" t="e">
            <v>#N/A</v>
          </cell>
          <cell r="E1074">
            <v>-14.183783783783877</v>
          </cell>
          <cell r="F1074">
            <v>20.613513513513848</v>
          </cell>
          <cell r="G1074">
            <v>13.654054054054118</v>
          </cell>
          <cell r="H1074">
            <v>13.654054054054118</v>
          </cell>
          <cell r="I1074" t="e">
            <v>#N/A</v>
          </cell>
          <cell r="J1074" t="e">
            <v>#N/A</v>
          </cell>
          <cell r="K1074">
            <v>17.5</v>
          </cell>
          <cell r="L1074">
            <v>14</v>
          </cell>
          <cell r="M1074" t="e">
            <v>#N/A</v>
          </cell>
          <cell r="N1074">
            <v>16.5</v>
          </cell>
          <cell r="O1074" t="e">
            <v>#N/A</v>
          </cell>
          <cell r="P1074" t="str">
            <v/>
          </cell>
          <cell r="Q1074" t="str">
            <v/>
          </cell>
          <cell r="R1074">
            <v>16.5</v>
          </cell>
        </row>
        <row r="1075">
          <cell r="A1075" t="str">
            <v/>
          </cell>
          <cell r="B1075" t="str">
            <v/>
          </cell>
          <cell r="C1075" t="str">
            <v>Future</v>
          </cell>
          <cell r="D1075" t="e">
            <v>#N/A</v>
          </cell>
          <cell r="E1075">
            <v>-14.239189189189283</v>
          </cell>
          <cell r="F1075">
            <v>20.62567567567601</v>
          </cell>
          <cell r="G1075">
            <v>13.652702702702767</v>
          </cell>
          <cell r="H1075">
            <v>13.652702702702767</v>
          </cell>
          <cell r="I1075" t="e">
            <v>#N/A</v>
          </cell>
          <cell r="J1075" t="e">
            <v>#N/A</v>
          </cell>
          <cell r="K1075">
            <v>17.5</v>
          </cell>
          <cell r="L1075">
            <v>14</v>
          </cell>
          <cell r="M1075" t="e">
            <v>#N/A</v>
          </cell>
          <cell r="N1075">
            <v>16.5</v>
          </cell>
          <cell r="O1075" t="e">
            <v>#N/A</v>
          </cell>
          <cell r="P1075" t="str">
            <v/>
          </cell>
          <cell r="Q1075" t="str">
            <v/>
          </cell>
          <cell r="R1075">
            <v>16.5</v>
          </cell>
        </row>
        <row r="1076">
          <cell r="A1076" t="str">
            <v/>
          </cell>
          <cell r="B1076" t="str">
            <v/>
          </cell>
          <cell r="C1076" t="str">
            <v>Future</v>
          </cell>
          <cell r="D1076" t="e">
            <v>#N/A</v>
          </cell>
          <cell r="E1076">
            <v>-14.294594594594688</v>
          </cell>
          <cell r="F1076">
            <v>20.637837837838173</v>
          </cell>
          <cell r="G1076">
            <v>13.651351351351416</v>
          </cell>
          <cell r="H1076">
            <v>13.651351351351416</v>
          </cell>
          <cell r="I1076" t="e">
            <v>#N/A</v>
          </cell>
          <cell r="J1076" t="e">
            <v>#N/A</v>
          </cell>
          <cell r="K1076">
            <v>17.5</v>
          </cell>
          <cell r="L1076">
            <v>14</v>
          </cell>
          <cell r="M1076" t="e">
            <v>#N/A</v>
          </cell>
          <cell r="N1076">
            <v>16.5</v>
          </cell>
          <cell r="O1076" t="e">
            <v>#N/A</v>
          </cell>
          <cell r="P1076" t="str">
            <v/>
          </cell>
          <cell r="Q1076" t="str">
            <v/>
          </cell>
          <cell r="R1076">
            <v>16.5</v>
          </cell>
        </row>
        <row r="1077">
          <cell r="A1077" t="str">
            <v/>
          </cell>
          <cell r="B1077" t="str">
            <v/>
          </cell>
          <cell r="C1077" t="str">
            <v>Future</v>
          </cell>
          <cell r="D1077" t="e">
            <v>#N/A</v>
          </cell>
          <cell r="E1077">
            <v>-14.350000000000094</v>
          </cell>
          <cell r="F1077">
            <v>20.650000000000336</v>
          </cell>
          <cell r="G1077">
            <v>13.650000000000064</v>
          </cell>
          <cell r="H1077">
            <v>13.650000000000064</v>
          </cell>
          <cell r="I1077" t="e">
            <v>#N/A</v>
          </cell>
          <cell r="J1077" t="e">
            <v>#N/A</v>
          </cell>
          <cell r="K1077">
            <v>17.5</v>
          </cell>
          <cell r="L1077">
            <v>14</v>
          </cell>
          <cell r="M1077" t="e">
            <v>#N/A</v>
          </cell>
          <cell r="N1077">
            <v>16.5</v>
          </cell>
          <cell r="O1077" t="e">
            <v>#N/A</v>
          </cell>
          <cell r="P1077" t="str">
            <v/>
          </cell>
          <cell r="Q1077" t="str">
            <v/>
          </cell>
          <cell r="R1077">
            <v>16.5</v>
          </cell>
        </row>
        <row r="1078">
          <cell r="A1078" t="str">
            <v/>
          </cell>
          <cell r="B1078" t="str">
            <v/>
          </cell>
          <cell r="C1078" t="str">
            <v>Future</v>
          </cell>
          <cell r="D1078" t="e">
            <v>#N/A</v>
          </cell>
          <cell r="E1078">
            <v>-14.405405405405499</v>
          </cell>
          <cell r="F1078">
            <v>20.662162162162499</v>
          </cell>
          <cell r="G1078">
            <v>13.648648648648713</v>
          </cell>
          <cell r="H1078">
            <v>13.648648648648713</v>
          </cell>
          <cell r="I1078" t="e">
            <v>#N/A</v>
          </cell>
          <cell r="J1078" t="e">
            <v>#N/A</v>
          </cell>
          <cell r="K1078">
            <v>17.5</v>
          </cell>
          <cell r="L1078">
            <v>14</v>
          </cell>
          <cell r="M1078" t="e">
            <v>#N/A</v>
          </cell>
          <cell r="N1078">
            <v>16.5</v>
          </cell>
          <cell r="O1078" t="e">
            <v>#N/A</v>
          </cell>
          <cell r="P1078" t="str">
            <v/>
          </cell>
          <cell r="Q1078" t="str">
            <v/>
          </cell>
          <cell r="R1078">
            <v>16.5</v>
          </cell>
        </row>
        <row r="1079">
          <cell r="A1079" t="str">
            <v/>
          </cell>
          <cell r="B1079" t="str">
            <v/>
          </cell>
          <cell r="C1079" t="str">
            <v>Future</v>
          </cell>
          <cell r="D1079" t="e">
            <v>#N/A</v>
          </cell>
          <cell r="E1079">
            <v>-14.460810810810905</v>
          </cell>
          <cell r="F1079">
            <v>20.674324324324662</v>
          </cell>
          <cell r="G1079">
            <v>13.647297297297362</v>
          </cell>
          <cell r="H1079">
            <v>13.647297297297362</v>
          </cell>
          <cell r="I1079" t="e">
            <v>#N/A</v>
          </cell>
          <cell r="J1079" t="e">
            <v>#N/A</v>
          </cell>
          <cell r="K1079">
            <v>17.5</v>
          </cell>
          <cell r="L1079">
            <v>14</v>
          </cell>
          <cell r="M1079" t="e">
            <v>#N/A</v>
          </cell>
          <cell r="N1079">
            <v>16.5</v>
          </cell>
          <cell r="O1079" t="e">
            <v>#N/A</v>
          </cell>
          <cell r="P1079" t="str">
            <v/>
          </cell>
          <cell r="Q1079" t="str">
            <v/>
          </cell>
          <cell r="R1079">
            <v>16.5</v>
          </cell>
        </row>
        <row r="1080">
          <cell r="A1080" t="str">
            <v/>
          </cell>
          <cell r="B1080" t="str">
            <v/>
          </cell>
          <cell r="C1080" t="str">
            <v>Future</v>
          </cell>
          <cell r="D1080" t="e">
            <v>#N/A</v>
          </cell>
          <cell r="E1080">
            <v>-14.516216216216311</v>
          </cell>
          <cell r="F1080">
            <v>20.686486486486825</v>
          </cell>
          <cell r="G1080">
            <v>13.645945945946011</v>
          </cell>
          <cell r="H1080">
            <v>13.645945945946011</v>
          </cell>
          <cell r="I1080" t="e">
            <v>#N/A</v>
          </cell>
          <cell r="J1080" t="e">
            <v>#N/A</v>
          </cell>
          <cell r="K1080">
            <v>17.5</v>
          </cell>
          <cell r="L1080">
            <v>14</v>
          </cell>
          <cell r="M1080" t="e">
            <v>#N/A</v>
          </cell>
          <cell r="N1080">
            <v>16.5</v>
          </cell>
          <cell r="O1080" t="e">
            <v>#N/A</v>
          </cell>
          <cell r="P1080" t="str">
            <v/>
          </cell>
          <cell r="Q1080" t="str">
            <v/>
          </cell>
          <cell r="R1080">
            <v>16.5</v>
          </cell>
        </row>
        <row r="1081">
          <cell r="A1081" t="str">
            <v/>
          </cell>
          <cell r="B1081" t="str">
            <v/>
          </cell>
          <cell r="C1081" t="str">
            <v>Future</v>
          </cell>
          <cell r="D1081" t="e">
            <v>#N/A</v>
          </cell>
          <cell r="E1081">
            <v>-14.571621621621716</v>
          </cell>
          <cell r="F1081">
            <v>20.698648648648987</v>
          </cell>
          <cell r="G1081">
            <v>13.644594594594659</v>
          </cell>
          <cell r="H1081">
            <v>13.644594594594659</v>
          </cell>
          <cell r="I1081" t="e">
            <v>#N/A</v>
          </cell>
          <cell r="J1081" t="e">
            <v>#N/A</v>
          </cell>
          <cell r="K1081">
            <v>17.5</v>
          </cell>
          <cell r="L1081">
            <v>14</v>
          </cell>
          <cell r="M1081" t="e">
            <v>#N/A</v>
          </cell>
          <cell r="N1081">
            <v>16.5</v>
          </cell>
          <cell r="O1081" t="e">
            <v>#N/A</v>
          </cell>
          <cell r="P1081" t="str">
            <v/>
          </cell>
          <cell r="Q1081" t="str">
            <v/>
          </cell>
          <cell r="R1081">
            <v>16.5</v>
          </cell>
        </row>
        <row r="1082">
          <cell r="A1082" t="str">
            <v/>
          </cell>
          <cell r="B1082" t="str">
            <v/>
          </cell>
          <cell r="C1082" t="str">
            <v>Future</v>
          </cell>
          <cell r="D1082" t="e">
            <v>#N/A</v>
          </cell>
          <cell r="E1082">
            <v>-14.627027027027122</v>
          </cell>
          <cell r="F1082">
            <v>20.71081081081115</v>
          </cell>
          <cell r="G1082">
            <v>13.643243243243308</v>
          </cell>
          <cell r="H1082">
            <v>13.643243243243308</v>
          </cell>
          <cell r="I1082" t="e">
            <v>#N/A</v>
          </cell>
          <cell r="J1082" t="e">
            <v>#N/A</v>
          </cell>
          <cell r="K1082">
            <v>17.5</v>
          </cell>
          <cell r="L1082">
            <v>14</v>
          </cell>
          <cell r="M1082" t="e">
            <v>#N/A</v>
          </cell>
          <cell r="N1082">
            <v>16.5</v>
          </cell>
          <cell r="O1082" t="e">
            <v>#N/A</v>
          </cell>
          <cell r="P1082" t="str">
            <v/>
          </cell>
          <cell r="Q1082" t="str">
            <v/>
          </cell>
          <cell r="R1082">
            <v>16.5</v>
          </cell>
        </row>
        <row r="1083">
          <cell r="A1083" t="str">
            <v/>
          </cell>
          <cell r="B1083" t="str">
            <v/>
          </cell>
          <cell r="C1083" t="str">
            <v>Future</v>
          </cell>
          <cell r="D1083" t="e">
            <v>#N/A</v>
          </cell>
          <cell r="E1083">
            <v>-14.682432432432527</v>
          </cell>
          <cell r="F1083">
            <v>20.722972972973313</v>
          </cell>
          <cell r="G1083">
            <v>13.641891891891957</v>
          </cell>
          <cell r="H1083">
            <v>13.641891891891957</v>
          </cell>
          <cell r="I1083" t="e">
            <v>#N/A</v>
          </cell>
          <cell r="J1083" t="e">
            <v>#N/A</v>
          </cell>
          <cell r="K1083">
            <v>17.5</v>
          </cell>
          <cell r="L1083">
            <v>14</v>
          </cell>
          <cell r="M1083" t="e">
            <v>#N/A</v>
          </cell>
          <cell r="N1083">
            <v>16.5</v>
          </cell>
          <cell r="O1083" t="e">
            <v>#N/A</v>
          </cell>
          <cell r="P1083" t="str">
            <v/>
          </cell>
          <cell r="Q1083" t="str">
            <v/>
          </cell>
          <cell r="R1083">
            <v>16.5</v>
          </cell>
        </row>
        <row r="1084">
          <cell r="A1084" t="str">
            <v/>
          </cell>
          <cell r="B1084" t="str">
            <v/>
          </cell>
          <cell r="C1084" t="str">
            <v>Future</v>
          </cell>
          <cell r="D1084" t="e">
            <v>#N/A</v>
          </cell>
          <cell r="E1084">
            <v>-14.737837837837933</v>
          </cell>
          <cell r="F1084">
            <v>20.735135135135476</v>
          </cell>
          <cell r="G1084">
            <v>13.640540540540606</v>
          </cell>
          <cell r="H1084">
            <v>13.640540540540606</v>
          </cell>
          <cell r="I1084" t="e">
            <v>#N/A</v>
          </cell>
          <cell r="J1084" t="e">
            <v>#N/A</v>
          </cell>
          <cell r="K1084">
            <v>17.5</v>
          </cell>
          <cell r="L1084">
            <v>14</v>
          </cell>
          <cell r="M1084" t="e">
            <v>#N/A</v>
          </cell>
          <cell r="N1084">
            <v>16.5</v>
          </cell>
          <cell r="O1084" t="e">
            <v>#N/A</v>
          </cell>
          <cell r="P1084" t="str">
            <v/>
          </cell>
          <cell r="Q1084" t="str">
            <v/>
          </cell>
          <cell r="R1084">
            <v>16.5</v>
          </cell>
        </row>
        <row r="1085">
          <cell r="A1085" t="str">
            <v/>
          </cell>
          <cell r="B1085" t="str">
            <v/>
          </cell>
          <cell r="C1085" t="str">
            <v>Future</v>
          </cell>
          <cell r="D1085" t="e">
            <v>#N/A</v>
          </cell>
          <cell r="E1085">
            <v>-14.793243243243339</v>
          </cell>
          <cell r="F1085">
            <v>20.747297297297639</v>
          </cell>
          <cell r="G1085">
            <v>13.639189189189254</v>
          </cell>
          <cell r="H1085">
            <v>13.639189189189254</v>
          </cell>
          <cell r="I1085" t="e">
            <v>#N/A</v>
          </cell>
          <cell r="J1085" t="e">
            <v>#N/A</v>
          </cell>
          <cell r="K1085">
            <v>17.5</v>
          </cell>
          <cell r="L1085">
            <v>14</v>
          </cell>
          <cell r="M1085" t="e">
            <v>#N/A</v>
          </cell>
          <cell r="N1085">
            <v>16.5</v>
          </cell>
          <cell r="O1085" t="e">
            <v>#N/A</v>
          </cell>
          <cell r="P1085" t="str">
            <v/>
          </cell>
          <cell r="Q1085" t="str">
            <v/>
          </cell>
          <cell r="R1085">
            <v>16.5</v>
          </cell>
        </row>
        <row r="1086">
          <cell r="A1086" t="str">
            <v/>
          </cell>
          <cell r="B1086" t="str">
            <v/>
          </cell>
          <cell r="C1086" t="str">
            <v>Future</v>
          </cell>
          <cell r="D1086" t="e">
            <v>#N/A</v>
          </cell>
          <cell r="E1086">
            <v>-14.848648648648744</v>
          </cell>
          <cell r="F1086">
            <v>20.759459459459801</v>
          </cell>
          <cell r="G1086">
            <v>13.637837837837903</v>
          </cell>
          <cell r="H1086">
            <v>13.637837837837903</v>
          </cell>
          <cell r="I1086" t="e">
            <v>#N/A</v>
          </cell>
          <cell r="J1086" t="e">
            <v>#N/A</v>
          </cell>
          <cell r="K1086">
            <v>17.5</v>
          </cell>
          <cell r="L1086">
            <v>14</v>
          </cell>
          <cell r="M1086" t="e">
            <v>#N/A</v>
          </cell>
          <cell r="N1086">
            <v>16.5</v>
          </cell>
          <cell r="O1086" t="e">
            <v>#N/A</v>
          </cell>
          <cell r="P1086" t="str">
            <v/>
          </cell>
          <cell r="Q1086" t="str">
            <v/>
          </cell>
          <cell r="R1086">
            <v>16.5</v>
          </cell>
        </row>
        <row r="1087">
          <cell r="A1087" t="str">
            <v/>
          </cell>
          <cell r="B1087" t="str">
            <v/>
          </cell>
          <cell r="C1087" t="str">
            <v>Future</v>
          </cell>
          <cell r="D1087" t="e">
            <v>#N/A</v>
          </cell>
          <cell r="E1087">
            <v>-14.90405405405415</v>
          </cell>
          <cell r="F1087">
            <v>20.771621621621964</v>
          </cell>
          <cell r="G1087">
            <v>13.636486486486552</v>
          </cell>
          <cell r="H1087">
            <v>13.636486486486552</v>
          </cell>
          <cell r="I1087" t="e">
            <v>#N/A</v>
          </cell>
          <cell r="J1087" t="e">
            <v>#N/A</v>
          </cell>
          <cell r="K1087">
            <v>17.5</v>
          </cell>
          <cell r="L1087">
            <v>14</v>
          </cell>
          <cell r="M1087" t="e">
            <v>#N/A</v>
          </cell>
          <cell r="N1087">
            <v>16.5</v>
          </cell>
          <cell r="O1087" t="e">
            <v>#N/A</v>
          </cell>
          <cell r="P1087" t="str">
            <v/>
          </cell>
          <cell r="Q1087" t="str">
            <v/>
          </cell>
          <cell r="R1087">
            <v>16.5</v>
          </cell>
        </row>
        <row r="1088">
          <cell r="A1088" t="str">
            <v/>
          </cell>
          <cell r="B1088" t="str">
            <v/>
          </cell>
          <cell r="C1088" t="str">
            <v>Future</v>
          </cell>
          <cell r="D1088" t="e">
            <v>#N/A</v>
          </cell>
          <cell r="E1088">
            <v>-14.959459459459556</v>
          </cell>
          <cell r="F1088">
            <v>20.783783783784127</v>
          </cell>
          <cell r="G1088">
            <v>13.635135135135201</v>
          </cell>
          <cell r="H1088">
            <v>13.635135135135201</v>
          </cell>
          <cell r="I1088" t="e">
            <v>#N/A</v>
          </cell>
          <cell r="J1088" t="e">
            <v>#N/A</v>
          </cell>
          <cell r="K1088">
            <v>17.5</v>
          </cell>
          <cell r="L1088">
            <v>14</v>
          </cell>
          <cell r="M1088" t="e">
            <v>#N/A</v>
          </cell>
          <cell r="N1088">
            <v>16.5</v>
          </cell>
          <cell r="O1088" t="e">
            <v>#N/A</v>
          </cell>
          <cell r="P1088" t="str">
            <v/>
          </cell>
          <cell r="Q1088" t="str">
            <v/>
          </cell>
          <cell r="R1088">
            <v>16.5</v>
          </cell>
        </row>
        <row r="1089">
          <cell r="A1089" t="str">
            <v/>
          </cell>
          <cell r="B1089" t="str">
            <v/>
          </cell>
          <cell r="C1089" t="str">
            <v>Future</v>
          </cell>
          <cell r="D1089" t="e">
            <v>#N/A</v>
          </cell>
          <cell r="E1089">
            <v>-15.014864864864961</v>
          </cell>
          <cell r="F1089">
            <v>20.79594594594629</v>
          </cell>
          <cell r="G1089">
            <v>13.63378378378385</v>
          </cell>
          <cell r="H1089">
            <v>13.63378378378385</v>
          </cell>
          <cell r="I1089" t="e">
            <v>#N/A</v>
          </cell>
          <cell r="J1089" t="e">
            <v>#N/A</v>
          </cell>
          <cell r="K1089">
            <v>17.5</v>
          </cell>
          <cell r="L1089">
            <v>14</v>
          </cell>
          <cell r="M1089" t="e">
            <v>#N/A</v>
          </cell>
          <cell r="N1089">
            <v>16.5</v>
          </cell>
          <cell r="O1089" t="e">
            <v>#N/A</v>
          </cell>
          <cell r="P1089" t="str">
            <v/>
          </cell>
          <cell r="Q1089" t="str">
            <v/>
          </cell>
          <cell r="R1089">
            <v>16.5</v>
          </cell>
        </row>
        <row r="1090">
          <cell r="A1090" t="str">
            <v/>
          </cell>
          <cell r="B1090" t="str">
            <v/>
          </cell>
          <cell r="C1090" t="str">
            <v>Future</v>
          </cell>
          <cell r="D1090" t="e">
            <v>#N/A</v>
          </cell>
          <cell r="E1090">
            <v>-15.070270270270367</v>
          </cell>
          <cell r="F1090">
            <v>20.808108108108453</v>
          </cell>
          <cell r="G1090">
            <v>13.632432432432498</v>
          </cell>
          <cell r="H1090">
            <v>13.632432432432498</v>
          </cell>
          <cell r="I1090" t="e">
            <v>#N/A</v>
          </cell>
          <cell r="J1090" t="e">
            <v>#N/A</v>
          </cell>
          <cell r="K1090">
            <v>17.5</v>
          </cell>
          <cell r="L1090">
            <v>14</v>
          </cell>
          <cell r="M1090" t="e">
            <v>#N/A</v>
          </cell>
          <cell r="N1090">
            <v>16.5</v>
          </cell>
          <cell r="O1090" t="e">
            <v>#N/A</v>
          </cell>
          <cell r="P1090" t="str">
            <v/>
          </cell>
          <cell r="Q1090" t="str">
            <v/>
          </cell>
          <cell r="R1090">
            <v>16.5</v>
          </cell>
        </row>
        <row r="1091">
          <cell r="A1091" t="str">
            <v/>
          </cell>
          <cell r="B1091" t="str">
            <v/>
          </cell>
          <cell r="C1091" t="str">
            <v>Future</v>
          </cell>
          <cell r="D1091" t="e">
            <v>#N/A</v>
          </cell>
          <cell r="E1091">
            <v>-15.125675675675772</v>
          </cell>
          <cell r="F1091">
            <v>20.820270270270615</v>
          </cell>
          <cell r="G1091">
            <v>13.631081081081147</v>
          </cell>
          <cell r="H1091">
            <v>13.631081081081147</v>
          </cell>
          <cell r="I1091" t="e">
            <v>#N/A</v>
          </cell>
          <cell r="J1091" t="e">
            <v>#N/A</v>
          </cell>
          <cell r="K1091">
            <v>17.5</v>
          </cell>
          <cell r="L1091">
            <v>14</v>
          </cell>
          <cell r="M1091" t="e">
            <v>#N/A</v>
          </cell>
          <cell r="N1091">
            <v>16.5</v>
          </cell>
          <cell r="O1091" t="e">
            <v>#N/A</v>
          </cell>
          <cell r="P1091" t="str">
            <v/>
          </cell>
          <cell r="Q1091" t="str">
            <v/>
          </cell>
          <cell r="R1091">
            <v>16.5</v>
          </cell>
        </row>
        <row r="1092">
          <cell r="A1092" t="str">
            <v/>
          </cell>
          <cell r="B1092" t="str">
            <v/>
          </cell>
          <cell r="C1092" t="str">
            <v>Future</v>
          </cell>
          <cell r="D1092" t="e">
            <v>#N/A</v>
          </cell>
          <cell r="E1092">
            <v>-15.181081081081178</v>
          </cell>
          <cell r="F1092">
            <v>20.832432432432778</v>
          </cell>
          <cell r="G1092">
            <v>13.629729729729796</v>
          </cell>
          <cell r="H1092">
            <v>13.629729729729796</v>
          </cell>
          <cell r="I1092" t="e">
            <v>#N/A</v>
          </cell>
          <cell r="J1092" t="e">
            <v>#N/A</v>
          </cell>
          <cell r="K1092">
            <v>17.5</v>
          </cell>
          <cell r="L1092">
            <v>14</v>
          </cell>
          <cell r="M1092" t="e">
            <v>#N/A</v>
          </cell>
          <cell r="N1092">
            <v>16.5</v>
          </cell>
          <cell r="O1092" t="e">
            <v>#N/A</v>
          </cell>
          <cell r="P1092" t="str">
            <v/>
          </cell>
          <cell r="Q1092" t="str">
            <v/>
          </cell>
          <cell r="R1092">
            <v>16.5</v>
          </cell>
        </row>
        <row r="1093">
          <cell r="A1093" t="str">
            <v/>
          </cell>
          <cell r="B1093" t="str">
            <v/>
          </cell>
          <cell r="C1093" t="str">
            <v>Future</v>
          </cell>
          <cell r="D1093" t="e">
            <v>#N/A</v>
          </cell>
          <cell r="E1093">
            <v>-15.236486486486584</v>
          </cell>
          <cell r="F1093">
            <v>20.844594594594941</v>
          </cell>
          <cell r="G1093">
            <v>13.628378378378445</v>
          </cell>
          <cell r="H1093">
            <v>13.628378378378445</v>
          </cell>
          <cell r="I1093" t="e">
            <v>#N/A</v>
          </cell>
          <cell r="J1093" t="e">
            <v>#N/A</v>
          </cell>
          <cell r="K1093">
            <v>17.5</v>
          </cell>
          <cell r="L1093">
            <v>14</v>
          </cell>
          <cell r="M1093" t="e">
            <v>#N/A</v>
          </cell>
          <cell r="N1093">
            <v>16.5</v>
          </cell>
          <cell r="O1093" t="e">
            <v>#N/A</v>
          </cell>
          <cell r="P1093" t="str">
            <v/>
          </cell>
          <cell r="Q1093" t="str">
            <v/>
          </cell>
          <cell r="R1093">
            <v>16.5</v>
          </cell>
        </row>
        <row r="1094">
          <cell r="A1094" t="str">
            <v/>
          </cell>
          <cell r="B1094" t="str">
            <v/>
          </cell>
          <cell r="C1094" t="str">
            <v>Future</v>
          </cell>
          <cell r="D1094" t="e">
            <v>#N/A</v>
          </cell>
          <cell r="E1094">
            <v>-15.291891891891989</v>
          </cell>
          <cell r="F1094">
            <v>20.856756756757104</v>
          </cell>
          <cell r="G1094">
            <v>13.627027027027093</v>
          </cell>
          <cell r="H1094">
            <v>13.627027027027093</v>
          </cell>
          <cell r="I1094" t="e">
            <v>#N/A</v>
          </cell>
          <cell r="J1094" t="e">
            <v>#N/A</v>
          </cell>
          <cell r="K1094">
            <v>17.5</v>
          </cell>
          <cell r="L1094">
            <v>14</v>
          </cell>
          <cell r="M1094" t="e">
            <v>#N/A</v>
          </cell>
          <cell r="N1094">
            <v>16.5</v>
          </cell>
          <cell r="O1094" t="e">
            <v>#N/A</v>
          </cell>
          <cell r="P1094" t="str">
            <v/>
          </cell>
          <cell r="Q1094" t="str">
            <v/>
          </cell>
          <cell r="R1094">
            <v>16.5</v>
          </cell>
        </row>
        <row r="1095">
          <cell r="A1095" t="str">
            <v/>
          </cell>
          <cell r="B1095" t="str">
            <v/>
          </cell>
          <cell r="C1095" t="str">
            <v>Future</v>
          </cell>
          <cell r="D1095" t="e">
            <v>#N/A</v>
          </cell>
          <cell r="E1095">
            <v>-15.347297297297395</v>
          </cell>
          <cell r="F1095">
            <v>20.868918918919267</v>
          </cell>
          <cell r="G1095">
            <v>13.625675675675742</v>
          </cell>
          <cell r="H1095">
            <v>13.625675675675742</v>
          </cell>
          <cell r="I1095" t="e">
            <v>#N/A</v>
          </cell>
          <cell r="J1095" t="e">
            <v>#N/A</v>
          </cell>
          <cell r="K1095">
            <v>17.5</v>
          </cell>
          <cell r="L1095">
            <v>14</v>
          </cell>
          <cell r="M1095" t="e">
            <v>#N/A</v>
          </cell>
          <cell r="N1095">
            <v>16.5</v>
          </cell>
          <cell r="O1095" t="e">
            <v>#N/A</v>
          </cell>
          <cell r="P1095" t="str">
            <v/>
          </cell>
          <cell r="Q1095" t="str">
            <v/>
          </cell>
          <cell r="R1095">
            <v>16.5</v>
          </cell>
        </row>
        <row r="1096">
          <cell r="A1096" t="str">
            <v/>
          </cell>
          <cell r="B1096" t="str">
            <v/>
          </cell>
          <cell r="C1096" t="str">
            <v>Future</v>
          </cell>
          <cell r="D1096" t="e">
            <v>#N/A</v>
          </cell>
          <cell r="E1096">
            <v>-15.402702702702801</v>
          </cell>
          <cell r="F1096">
            <v>20.88108108108143</v>
          </cell>
          <cell r="G1096">
            <v>13.624324324324391</v>
          </cell>
          <cell r="H1096">
            <v>13.624324324324391</v>
          </cell>
          <cell r="I1096" t="e">
            <v>#N/A</v>
          </cell>
          <cell r="J1096" t="e">
            <v>#N/A</v>
          </cell>
          <cell r="K1096">
            <v>17.5</v>
          </cell>
          <cell r="L1096">
            <v>14</v>
          </cell>
          <cell r="M1096" t="e">
            <v>#N/A</v>
          </cell>
          <cell r="N1096">
            <v>16.5</v>
          </cell>
          <cell r="O1096" t="e">
            <v>#N/A</v>
          </cell>
          <cell r="P1096" t="str">
            <v/>
          </cell>
          <cell r="Q1096" t="str">
            <v/>
          </cell>
          <cell r="R1096">
            <v>16.5</v>
          </cell>
        </row>
        <row r="1097">
          <cell r="A1097" t="str">
            <v/>
          </cell>
          <cell r="B1097" t="str">
            <v/>
          </cell>
          <cell r="C1097" t="str">
            <v>Future</v>
          </cell>
          <cell r="D1097" t="e">
            <v>#N/A</v>
          </cell>
          <cell r="E1097">
            <v>-15.458108108108206</v>
          </cell>
          <cell r="F1097">
            <v>20.893243243243592</v>
          </cell>
          <cell r="G1097">
            <v>13.62297297297304</v>
          </cell>
          <cell r="H1097">
            <v>13.62297297297304</v>
          </cell>
          <cell r="I1097" t="e">
            <v>#N/A</v>
          </cell>
          <cell r="J1097" t="e">
            <v>#N/A</v>
          </cell>
          <cell r="K1097">
            <v>17.5</v>
          </cell>
          <cell r="L1097">
            <v>14</v>
          </cell>
          <cell r="M1097" t="e">
            <v>#N/A</v>
          </cell>
          <cell r="N1097">
            <v>16.5</v>
          </cell>
          <cell r="O1097" t="e">
            <v>#N/A</v>
          </cell>
          <cell r="P1097" t="str">
            <v/>
          </cell>
          <cell r="Q1097" t="str">
            <v/>
          </cell>
          <cell r="R1097">
            <v>16.5</v>
          </cell>
        </row>
        <row r="1098">
          <cell r="A1098" t="str">
            <v/>
          </cell>
          <cell r="B1098" t="str">
            <v/>
          </cell>
          <cell r="C1098" t="str">
            <v>Future</v>
          </cell>
          <cell r="D1098" t="e">
            <v>#N/A</v>
          </cell>
          <cell r="E1098">
            <v>-15.513513513513612</v>
          </cell>
          <cell r="F1098">
            <v>20.905405405405755</v>
          </cell>
          <cell r="G1098">
            <v>13.621621621621689</v>
          </cell>
          <cell r="H1098">
            <v>13.621621621621689</v>
          </cell>
          <cell r="I1098" t="e">
            <v>#N/A</v>
          </cell>
          <cell r="J1098" t="e">
            <v>#N/A</v>
          </cell>
          <cell r="K1098">
            <v>17.5</v>
          </cell>
          <cell r="L1098">
            <v>14</v>
          </cell>
          <cell r="M1098" t="e">
            <v>#N/A</v>
          </cell>
          <cell r="N1098">
            <v>16.5</v>
          </cell>
          <cell r="O1098" t="e">
            <v>#N/A</v>
          </cell>
          <cell r="P1098" t="str">
            <v/>
          </cell>
          <cell r="Q1098" t="str">
            <v/>
          </cell>
          <cell r="R1098">
            <v>16.5</v>
          </cell>
        </row>
        <row r="1099">
          <cell r="A1099" t="str">
            <v/>
          </cell>
          <cell r="B1099" t="str">
            <v/>
          </cell>
          <cell r="C1099" t="str">
            <v>Future</v>
          </cell>
          <cell r="D1099" t="e">
            <v>#N/A</v>
          </cell>
          <cell r="E1099">
            <v>-15.568918918919017</v>
          </cell>
          <cell r="F1099">
            <v>20.917567567567918</v>
          </cell>
          <cell r="G1099">
            <v>13.620270270270337</v>
          </cell>
          <cell r="H1099">
            <v>13.620270270270337</v>
          </cell>
          <cell r="I1099" t="e">
            <v>#N/A</v>
          </cell>
          <cell r="J1099" t="e">
            <v>#N/A</v>
          </cell>
          <cell r="K1099">
            <v>17.5</v>
          </cell>
          <cell r="L1099">
            <v>14</v>
          </cell>
          <cell r="M1099" t="e">
            <v>#N/A</v>
          </cell>
          <cell r="N1099">
            <v>16.5</v>
          </cell>
          <cell r="O1099" t="e">
            <v>#N/A</v>
          </cell>
          <cell r="P1099" t="str">
            <v/>
          </cell>
          <cell r="Q1099" t="str">
            <v/>
          </cell>
          <cell r="R1099">
            <v>16.5</v>
          </cell>
        </row>
        <row r="1100">
          <cell r="A1100" t="str">
            <v/>
          </cell>
          <cell r="B1100" t="str">
            <v/>
          </cell>
          <cell r="C1100" t="str">
            <v>Future</v>
          </cell>
          <cell r="D1100" t="e">
            <v>#N/A</v>
          </cell>
          <cell r="E1100">
            <v>-15.624324324324423</v>
          </cell>
          <cell r="F1100">
            <v>20.929729729730081</v>
          </cell>
          <cell r="G1100">
            <v>13.618918918918986</v>
          </cell>
          <cell r="H1100">
            <v>13.618918918918986</v>
          </cell>
          <cell r="I1100" t="e">
            <v>#N/A</v>
          </cell>
          <cell r="J1100" t="e">
            <v>#N/A</v>
          </cell>
          <cell r="K1100">
            <v>17.5</v>
          </cell>
          <cell r="L1100">
            <v>14</v>
          </cell>
          <cell r="M1100" t="e">
            <v>#N/A</v>
          </cell>
          <cell r="N1100">
            <v>16.5</v>
          </cell>
          <cell r="O1100" t="e">
            <v>#N/A</v>
          </cell>
          <cell r="P1100" t="str">
            <v/>
          </cell>
          <cell r="Q1100" t="str">
            <v/>
          </cell>
          <cell r="R1100">
            <v>16.5</v>
          </cell>
        </row>
        <row r="1101">
          <cell r="A1101" t="str">
            <v/>
          </cell>
          <cell r="B1101" t="str">
            <v/>
          </cell>
          <cell r="C1101" t="str">
            <v>Future</v>
          </cell>
          <cell r="D1101" t="e">
            <v>#N/A</v>
          </cell>
          <cell r="E1101">
            <v>-15.679729729729829</v>
          </cell>
          <cell r="F1101">
            <v>20.941891891892244</v>
          </cell>
          <cell r="G1101">
            <v>13.617567567567635</v>
          </cell>
          <cell r="H1101">
            <v>13.617567567567635</v>
          </cell>
          <cell r="I1101" t="e">
            <v>#N/A</v>
          </cell>
          <cell r="J1101" t="e">
            <v>#N/A</v>
          </cell>
          <cell r="K1101">
            <v>17.5</v>
          </cell>
          <cell r="L1101">
            <v>14</v>
          </cell>
          <cell r="M1101" t="e">
            <v>#N/A</v>
          </cell>
          <cell r="N1101">
            <v>16.5</v>
          </cell>
          <cell r="O1101" t="e">
            <v>#N/A</v>
          </cell>
          <cell r="P1101" t="str">
            <v/>
          </cell>
          <cell r="Q1101" t="str">
            <v/>
          </cell>
          <cell r="R1101">
            <v>16.5</v>
          </cell>
        </row>
        <row r="1102">
          <cell r="A1102" t="str">
            <v/>
          </cell>
          <cell r="B1102" t="str">
            <v/>
          </cell>
          <cell r="C1102" t="str">
            <v>Future</v>
          </cell>
          <cell r="D1102" t="e">
            <v>#N/A</v>
          </cell>
          <cell r="E1102">
            <v>-15.735135135135234</v>
          </cell>
          <cell r="F1102">
            <v>20.954054054054406</v>
          </cell>
          <cell r="G1102">
            <v>13.616216216216284</v>
          </cell>
          <cell r="H1102">
            <v>13.616216216216284</v>
          </cell>
          <cell r="I1102" t="e">
            <v>#N/A</v>
          </cell>
          <cell r="J1102" t="e">
            <v>#N/A</v>
          </cell>
          <cell r="K1102">
            <v>17.5</v>
          </cell>
          <cell r="L1102">
            <v>14</v>
          </cell>
          <cell r="M1102" t="e">
            <v>#N/A</v>
          </cell>
          <cell r="N1102">
            <v>16.5</v>
          </cell>
          <cell r="O1102" t="e">
            <v>#N/A</v>
          </cell>
          <cell r="P1102" t="str">
            <v/>
          </cell>
          <cell r="Q1102" t="str">
            <v/>
          </cell>
          <cell r="R1102">
            <v>16.5</v>
          </cell>
        </row>
        <row r="1103">
          <cell r="A1103" t="str">
            <v/>
          </cell>
          <cell r="B1103" t="str">
            <v/>
          </cell>
          <cell r="C1103" t="str">
            <v>Future</v>
          </cell>
          <cell r="D1103" t="e">
            <v>#N/A</v>
          </cell>
          <cell r="E1103">
            <v>-15.79054054054064</v>
          </cell>
          <cell r="F1103">
            <v>20.966216216216569</v>
          </cell>
          <cell r="G1103">
            <v>13.614864864864932</v>
          </cell>
          <cell r="H1103">
            <v>13.614864864864932</v>
          </cell>
          <cell r="I1103" t="e">
            <v>#N/A</v>
          </cell>
          <cell r="J1103" t="e">
            <v>#N/A</v>
          </cell>
          <cell r="K1103">
            <v>17.5</v>
          </cell>
          <cell r="L1103">
            <v>14</v>
          </cell>
          <cell r="M1103" t="e">
            <v>#N/A</v>
          </cell>
          <cell r="N1103">
            <v>16.5</v>
          </cell>
          <cell r="O1103" t="e">
            <v>#N/A</v>
          </cell>
          <cell r="P1103" t="str">
            <v/>
          </cell>
          <cell r="Q1103" t="str">
            <v/>
          </cell>
          <cell r="R1103">
            <v>16.5</v>
          </cell>
        </row>
        <row r="1104">
          <cell r="A1104" t="str">
            <v/>
          </cell>
          <cell r="B1104" t="str">
            <v/>
          </cell>
          <cell r="C1104" t="str">
            <v>Future</v>
          </cell>
          <cell r="D1104" t="e">
            <v>#N/A</v>
          </cell>
          <cell r="E1104">
            <v>-15.845945945946045</v>
          </cell>
          <cell r="F1104">
            <v>20.978378378378732</v>
          </cell>
          <cell r="G1104">
            <v>13.613513513513581</v>
          </cell>
          <cell r="H1104">
            <v>13.613513513513581</v>
          </cell>
          <cell r="I1104" t="e">
            <v>#N/A</v>
          </cell>
          <cell r="J1104" t="e">
            <v>#N/A</v>
          </cell>
          <cell r="K1104">
            <v>17.5</v>
          </cell>
          <cell r="L1104">
            <v>14</v>
          </cell>
          <cell r="M1104" t="e">
            <v>#N/A</v>
          </cell>
          <cell r="N1104">
            <v>16.5</v>
          </cell>
          <cell r="O1104" t="e">
            <v>#N/A</v>
          </cell>
          <cell r="P1104" t="str">
            <v/>
          </cell>
          <cell r="Q1104" t="str">
            <v/>
          </cell>
          <cell r="R1104">
            <v>16.5</v>
          </cell>
        </row>
        <row r="1105">
          <cell r="A1105" t="str">
            <v/>
          </cell>
          <cell r="B1105" t="str">
            <v/>
          </cell>
          <cell r="C1105" t="str">
            <v>Future</v>
          </cell>
          <cell r="D1105" t="e">
            <v>#N/A</v>
          </cell>
          <cell r="E1105">
            <v>-15.901351351351451</v>
          </cell>
          <cell r="F1105">
            <v>20.990540540540895</v>
          </cell>
          <cell r="G1105">
            <v>13.61216216216223</v>
          </cell>
          <cell r="H1105">
            <v>13.61216216216223</v>
          </cell>
          <cell r="I1105" t="e">
            <v>#N/A</v>
          </cell>
          <cell r="J1105" t="e">
            <v>#N/A</v>
          </cell>
          <cell r="K1105">
            <v>17.5</v>
          </cell>
          <cell r="L1105">
            <v>14</v>
          </cell>
          <cell r="M1105" t="e">
            <v>#N/A</v>
          </cell>
          <cell r="N1105">
            <v>16.5</v>
          </cell>
          <cell r="O1105" t="e">
            <v>#N/A</v>
          </cell>
          <cell r="P1105" t="str">
            <v/>
          </cell>
          <cell r="Q1105" t="str">
            <v/>
          </cell>
          <cell r="R1105">
            <v>16.5</v>
          </cell>
        </row>
        <row r="1106">
          <cell r="A1106" t="str">
            <v/>
          </cell>
          <cell r="B1106" t="str">
            <v/>
          </cell>
          <cell r="C1106" t="str">
            <v>Future</v>
          </cell>
          <cell r="D1106" t="e">
            <v>#N/A</v>
          </cell>
          <cell r="E1106">
            <v>-15.956756756756857</v>
          </cell>
          <cell r="F1106">
            <v>21.002702702703058</v>
          </cell>
          <cell r="G1106">
            <v>13.610810810810879</v>
          </cell>
          <cell r="H1106">
            <v>13.610810810810879</v>
          </cell>
          <cell r="I1106" t="e">
            <v>#N/A</v>
          </cell>
          <cell r="J1106" t="e">
            <v>#N/A</v>
          </cell>
          <cell r="K1106">
            <v>17.5</v>
          </cell>
          <cell r="L1106">
            <v>14</v>
          </cell>
          <cell r="M1106" t="e">
            <v>#N/A</v>
          </cell>
          <cell r="N1106">
            <v>16.5</v>
          </cell>
          <cell r="O1106" t="e">
            <v>#N/A</v>
          </cell>
          <cell r="P1106" t="str">
            <v/>
          </cell>
          <cell r="Q1106" t="str">
            <v/>
          </cell>
          <cell r="R1106">
            <v>16.5</v>
          </cell>
        </row>
        <row r="1107">
          <cell r="A1107" t="str">
            <v/>
          </cell>
          <cell r="B1107" t="str">
            <v/>
          </cell>
          <cell r="C1107" t="str">
            <v>Future</v>
          </cell>
          <cell r="D1107" t="e">
            <v>#N/A</v>
          </cell>
          <cell r="E1107">
            <v>-16.012162162162262</v>
          </cell>
          <cell r="F1107">
            <v>21.014864864865221</v>
          </cell>
          <cell r="G1107">
            <v>13.609459459459528</v>
          </cell>
          <cell r="H1107">
            <v>13.609459459459528</v>
          </cell>
          <cell r="I1107" t="e">
            <v>#N/A</v>
          </cell>
          <cell r="J1107" t="e">
            <v>#N/A</v>
          </cell>
          <cell r="K1107">
            <v>17.5</v>
          </cell>
          <cell r="L1107">
            <v>14</v>
          </cell>
          <cell r="M1107" t="e">
            <v>#N/A</v>
          </cell>
          <cell r="N1107">
            <v>16.5</v>
          </cell>
          <cell r="O1107" t="e">
            <v>#N/A</v>
          </cell>
          <cell r="P1107" t="str">
            <v/>
          </cell>
          <cell r="Q1107" t="str">
            <v/>
          </cell>
          <cell r="R1107">
            <v>16.5</v>
          </cell>
        </row>
        <row r="1108">
          <cell r="A1108" t="str">
            <v/>
          </cell>
          <cell r="B1108" t="str">
            <v/>
          </cell>
          <cell r="C1108" t="str">
            <v>Future</v>
          </cell>
          <cell r="D1108" t="e">
            <v>#N/A</v>
          </cell>
          <cell r="E1108">
            <v>-16.067567567567668</v>
          </cell>
          <cell r="F1108">
            <v>21.027027027027383</v>
          </cell>
          <cell r="G1108">
            <v>13.608108108108176</v>
          </cell>
          <cell r="H1108">
            <v>13.608108108108176</v>
          </cell>
          <cell r="I1108" t="e">
            <v>#N/A</v>
          </cell>
          <cell r="J1108" t="e">
            <v>#N/A</v>
          </cell>
          <cell r="K1108">
            <v>17.5</v>
          </cell>
          <cell r="L1108">
            <v>14</v>
          </cell>
          <cell r="M1108" t="e">
            <v>#N/A</v>
          </cell>
          <cell r="N1108">
            <v>16.5</v>
          </cell>
          <cell r="O1108" t="e">
            <v>#N/A</v>
          </cell>
          <cell r="P1108" t="str">
            <v/>
          </cell>
          <cell r="Q1108" t="str">
            <v/>
          </cell>
          <cell r="R1108">
            <v>16.5</v>
          </cell>
        </row>
        <row r="1109">
          <cell r="A1109" t="str">
            <v/>
          </cell>
          <cell r="B1109" t="str">
            <v/>
          </cell>
          <cell r="C1109" t="str">
            <v>Future</v>
          </cell>
          <cell r="D1109" t="e">
            <v>#N/A</v>
          </cell>
          <cell r="E1109">
            <v>-16.122972972973074</v>
          </cell>
          <cell r="F1109">
            <v>21.039189189189546</v>
          </cell>
          <cell r="G1109">
            <v>13.606756756756825</v>
          </cell>
          <cell r="H1109">
            <v>13.606756756756825</v>
          </cell>
          <cell r="I1109" t="e">
            <v>#N/A</v>
          </cell>
          <cell r="J1109" t="e">
            <v>#N/A</v>
          </cell>
          <cell r="K1109">
            <v>17.5</v>
          </cell>
          <cell r="L1109">
            <v>14</v>
          </cell>
          <cell r="M1109" t="e">
            <v>#N/A</v>
          </cell>
          <cell r="N1109">
            <v>16.5</v>
          </cell>
          <cell r="O1109" t="e">
            <v>#N/A</v>
          </cell>
          <cell r="P1109" t="str">
            <v/>
          </cell>
          <cell r="Q1109" t="str">
            <v/>
          </cell>
          <cell r="R1109">
            <v>16.5</v>
          </cell>
        </row>
        <row r="1110">
          <cell r="A1110" t="str">
            <v/>
          </cell>
          <cell r="B1110" t="str">
            <v/>
          </cell>
          <cell r="C1110" t="str">
            <v>Future</v>
          </cell>
          <cell r="D1110" t="e">
            <v>#N/A</v>
          </cell>
          <cell r="E1110">
            <v>-16.178378378378479</v>
          </cell>
          <cell r="F1110">
            <v>21.051351351351709</v>
          </cell>
          <cell r="G1110">
            <v>13.605405405405474</v>
          </cell>
          <cell r="H1110">
            <v>13.605405405405474</v>
          </cell>
          <cell r="I1110" t="e">
            <v>#N/A</v>
          </cell>
          <cell r="J1110" t="e">
            <v>#N/A</v>
          </cell>
          <cell r="K1110">
            <v>17.5</v>
          </cell>
          <cell r="L1110">
            <v>14</v>
          </cell>
          <cell r="M1110" t="e">
            <v>#N/A</v>
          </cell>
          <cell r="N1110">
            <v>16.5</v>
          </cell>
          <cell r="O1110" t="e">
            <v>#N/A</v>
          </cell>
          <cell r="P1110" t="str">
            <v/>
          </cell>
          <cell r="Q1110" t="str">
            <v/>
          </cell>
          <cell r="R1110">
            <v>16.5</v>
          </cell>
        </row>
        <row r="1111">
          <cell r="A1111" t="str">
            <v/>
          </cell>
          <cell r="B1111" t="str">
            <v/>
          </cell>
          <cell r="C1111" t="str">
            <v>Future</v>
          </cell>
          <cell r="D1111" t="e">
            <v>#N/A</v>
          </cell>
          <cell r="E1111">
            <v>-16.233783783783885</v>
          </cell>
          <cell r="F1111">
            <v>21.063513513513872</v>
          </cell>
          <cell r="G1111">
            <v>13.604054054054123</v>
          </cell>
          <cell r="H1111">
            <v>13.604054054054123</v>
          </cell>
          <cell r="I1111" t="e">
            <v>#N/A</v>
          </cell>
          <cell r="J1111" t="e">
            <v>#N/A</v>
          </cell>
          <cell r="K1111">
            <v>17.5</v>
          </cell>
          <cell r="L1111">
            <v>14</v>
          </cell>
          <cell r="M1111" t="e">
            <v>#N/A</v>
          </cell>
          <cell r="N1111">
            <v>16.5</v>
          </cell>
          <cell r="O1111" t="e">
            <v>#N/A</v>
          </cell>
          <cell r="P1111" t="str">
            <v/>
          </cell>
          <cell r="Q1111" t="str">
            <v/>
          </cell>
          <cell r="R1111">
            <v>16.5</v>
          </cell>
        </row>
        <row r="1112">
          <cell r="A1112" t="str">
            <v/>
          </cell>
          <cell r="B1112" t="str">
            <v/>
          </cell>
          <cell r="C1112" t="str">
            <v>Future</v>
          </cell>
          <cell r="D1112" t="e">
            <v>#N/A</v>
          </cell>
          <cell r="E1112">
            <v>-16.28918918918929</v>
          </cell>
          <cell r="F1112">
            <v>21.075675675676035</v>
          </cell>
          <cell r="G1112">
            <v>13.602702702702771</v>
          </cell>
          <cell r="H1112">
            <v>13.602702702702771</v>
          </cell>
          <cell r="I1112" t="e">
            <v>#N/A</v>
          </cell>
          <cell r="J1112" t="e">
            <v>#N/A</v>
          </cell>
          <cell r="K1112">
            <v>17.5</v>
          </cell>
          <cell r="L1112">
            <v>14</v>
          </cell>
          <cell r="M1112" t="e">
            <v>#N/A</v>
          </cell>
          <cell r="N1112">
            <v>16.5</v>
          </cell>
          <cell r="O1112" t="e">
            <v>#N/A</v>
          </cell>
          <cell r="P1112" t="str">
            <v/>
          </cell>
          <cell r="Q1112" t="str">
            <v/>
          </cell>
          <cell r="R1112">
            <v>16.5</v>
          </cell>
        </row>
        <row r="1113">
          <cell r="A1113" t="str">
            <v/>
          </cell>
          <cell r="B1113" t="str">
            <v/>
          </cell>
          <cell r="C1113" t="str">
            <v>Future</v>
          </cell>
          <cell r="D1113" t="e">
            <v>#N/A</v>
          </cell>
          <cell r="E1113">
            <v>-16.344594594594696</v>
          </cell>
          <cell r="F1113">
            <v>21.087837837838197</v>
          </cell>
          <cell r="G1113">
            <v>13.60135135135142</v>
          </cell>
          <cell r="H1113">
            <v>13.60135135135142</v>
          </cell>
          <cell r="I1113" t="e">
            <v>#N/A</v>
          </cell>
          <cell r="J1113" t="e">
            <v>#N/A</v>
          </cell>
          <cell r="K1113">
            <v>17.5</v>
          </cell>
          <cell r="L1113">
            <v>14</v>
          </cell>
          <cell r="M1113" t="e">
            <v>#N/A</v>
          </cell>
          <cell r="N1113">
            <v>16.5</v>
          </cell>
          <cell r="O1113" t="e">
            <v>#N/A</v>
          </cell>
          <cell r="P1113" t="str">
            <v/>
          </cell>
          <cell r="Q1113" t="str">
            <v/>
          </cell>
          <cell r="R1113">
            <v>16.5</v>
          </cell>
        </row>
        <row r="1114">
          <cell r="A1114" t="str">
            <v/>
          </cell>
          <cell r="B1114" t="str">
            <v/>
          </cell>
          <cell r="C1114" t="str">
            <v>Future</v>
          </cell>
          <cell r="D1114" t="e">
            <v>#N/A</v>
          </cell>
          <cell r="E1114">
            <v>-16.400000000000102</v>
          </cell>
          <cell r="F1114">
            <v>21.10000000000036</v>
          </cell>
          <cell r="G1114">
            <v>13.600000000000069</v>
          </cell>
          <cell r="H1114">
            <v>13.600000000000069</v>
          </cell>
          <cell r="I1114" t="e">
            <v>#N/A</v>
          </cell>
          <cell r="J1114" t="e">
            <v>#N/A</v>
          </cell>
          <cell r="K1114">
            <v>17.5</v>
          </cell>
          <cell r="L1114">
            <v>14</v>
          </cell>
          <cell r="M1114" t="e">
            <v>#N/A</v>
          </cell>
          <cell r="N1114">
            <v>16.5</v>
          </cell>
          <cell r="O1114" t="e">
            <v>#N/A</v>
          </cell>
          <cell r="P1114" t="str">
            <v/>
          </cell>
          <cell r="Q1114" t="str">
            <v/>
          </cell>
          <cell r="R1114">
            <v>16.5</v>
          </cell>
        </row>
        <row r="1115">
          <cell r="A1115" t="str">
            <v/>
          </cell>
          <cell r="B1115" t="str">
            <v/>
          </cell>
          <cell r="C1115" t="str">
            <v>Future</v>
          </cell>
          <cell r="D1115" t="e">
            <v>#N/A</v>
          </cell>
          <cell r="E1115">
            <v>-16.455405405405507</v>
          </cell>
          <cell r="F1115">
            <v>21.112162162162523</v>
          </cell>
          <cell r="G1115">
            <v>13.598648648648718</v>
          </cell>
          <cell r="H1115">
            <v>13.598648648648718</v>
          </cell>
          <cell r="I1115" t="e">
            <v>#N/A</v>
          </cell>
          <cell r="J1115" t="e">
            <v>#N/A</v>
          </cell>
          <cell r="K1115">
            <v>17.5</v>
          </cell>
          <cell r="L1115">
            <v>14</v>
          </cell>
          <cell r="M1115" t="e">
            <v>#N/A</v>
          </cell>
          <cell r="N1115">
            <v>16.5</v>
          </cell>
          <cell r="O1115" t="e">
            <v>#N/A</v>
          </cell>
          <cell r="P1115" t="str">
            <v/>
          </cell>
          <cell r="Q1115" t="str">
            <v/>
          </cell>
          <cell r="R1115">
            <v>16.5</v>
          </cell>
        </row>
        <row r="1116">
          <cell r="A1116" t="str">
            <v/>
          </cell>
          <cell r="B1116" t="str">
            <v/>
          </cell>
          <cell r="C1116" t="str">
            <v>Future</v>
          </cell>
          <cell r="D1116" t="e">
            <v>#N/A</v>
          </cell>
          <cell r="E1116">
            <v>-16.510810810810913</v>
          </cell>
          <cell r="F1116">
            <v>21.124324324324686</v>
          </cell>
          <cell r="G1116">
            <v>13.597297297297366</v>
          </cell>
          <cell r="H1116">
            <v>13.597297297297366</v>
          </cell>
          <cell r="I1116" t="e">
            <v>#N/A</v>
          </cell>
          <cell r="J1116" t="e">
            <v>#N/A</v>
          </cell>
          <cell r="K1116">
            <v>17.5</v>
          </cell>
          <cell r="L1116">
            <v>14</v>
          </cell>
          <cell r="M1116" t="e">
            <v>#N/A</v>
          </cell>
          <cell r="N1116">
            <v>16.5</v>
          </cell>
          <cell r="O1116" t="e">
            <v>#N/A</v>
          </cell>
          <cell r="P1116" t="str">
            <v/>
          </cell>
          <cell r="Q1116" t="str">
            <v/>
          </cell>
          <cell r="R1116">
            <v>16.5</v>
          </cell>
        </row>
        <row r="1117">
          <cell r="A1117" t="str">
            <v/>
          </cell>
          <cell r="B1117" t="str">
            <v/>
          </cell>
          <cell r="C1117" t="str">
            <v>Future</v>
          </cell>
          <cell r="D1117" t="e">
            <v>#N/A</v>
          </cell>
          <cell r="E1117">
            <v>-16.566216216216318</v>
          </cell>
          <cell r="F1117">
            <v>21.136486486486849</v>
          </cell>
          <cell r="G1117">
            <v>13.595945945946015</v>
          </cell>
          <cell r="H1117">
            <v>13.595945945946015</v>
          </cell>
          <cell r="I1117" t="e">
            <v>#N/A</v>
          </cell>
          <cell r="J1117" t="e">
            <v>#N/A</v>
          </cell>
          <cell r="K1117">
            <v>17.5</v>
          </cell>
          <cell r="L1117">
            <v>14</v>
          </cell>
          <cell r="M1117" t="e">
            <v>#N/A</v>
          </cell>
          <cell r="N1117">
            <v>16.5</v>
          </cell>
          <cell r="O1117" t="e">
            <v>#N/A</v>
          </cell>
          <cell r="P1117" t="str">
            <v/>
          </cell>
          <cell r="Q1117" t="str">
            <v/>
          </cell>
          <cell r="R1117">
            <v>16.5</v>
          </cell>
        </row>
        <row r="1118">
          <cell r="A1118" t="str">
            <v/>
          </cell>
          <cell r="B1118" t="str">
            <v/>
          </cell>
          <cell r="C1118" t="str">
            <v>Future</v>
          </cell>
          <cell r="D1118" t="e">
            <v>#N/A</v>
          </cell>
          <cell r="E1118">
            <v>-16.621621621621724</v>
          </cell>
          <cell r="F1118">
            <v>21.148648648649012</v>
          </cell>
          <cell r="G1118">
            <v>13.594594594594664</v>
          </cell>
          <cell r="H1118">
            <v>13.594594594594664</v>
          </cell>
          <cell r="I1118" t="e">
            <v>#N/A</v>
          </cell>
          <cell r="J1118" t="e">
            <v>#N/A</v>
          </cell>
          <cell r="K1118">
            <v>17.5</v>
          </cell>
          <cell r="L1118">
            <v>14</v>
          </cell>
          <cell r="M1118" t="e">
            <v>#N/A</v>
          </cell>
          <cell r="N1118">
            <v>16.5</v>
          </cell>
          <cell r="O1118" t="e">
            <v>#N/A</v>
          </cell>
          <cell r="P1118" t="str">
            <v/>
          </cell>
          <cell r="Q1118" t="str">
            <v/>
          </cell>
          <cell r="R1118">
            <v>16.5</v>
          </cell>
        </row>
        <row r="1119">
          <cell r="A1119" t="str">
            <v/>
          </cell>
          <cell r="B1119" t="str">
            <v/>
          </cell>
          <cell r="C1119" t="str">
            <v>Future</v>
          </cell>
          <cell r="D1119" t="e">
            <v>#N/A</v>
          </cell>
          <cell r="E1119">
            <v>-16.67702702702713</v>
          </cell>
          <cell r="F1119">
            <v>21.160810810811174</v>
          </cell>
          <cell r="G1119">
            <v>13.593243243243313</v>
          </cell>
          <cell r="H1119">
            <v>13.593243243243313</v>
          </cell>
          <cell r="I1119" t="e">
            <v>#N/A</v>
          </cell>
          <cell r="J1119" t="e">
            <v>#N/A</v>
          </cell>
          <cell r="K1119">
            <v>17.5</v>
          </cell>
          <cell r="L1119">
            <v>14</v>
          </cell>
          <cell r="M1119" t="e">
            <v>#N/A</v>
          </cell>
          <cell r="N1119">
            <v>16.5</v>
          </cell>
          <cell r="O1119" t="e">
            <v>#N/A</v>
          </cell>
          <cell r="P1119" t="str">
            <v/>
          </cell>
          <cell r="Q1119" t="str">
            <v/>
          </cell>
          <cell r="R1119">
            <v>16.5</v>
          </cell>
        </row>
        <row r="1120">
          <cell r="A1120" t="str">
            <v/>
          </cell>
          <cell r="B1120" t="str">
            <v/>
          </cell>
          <cell r="C1120" t="str">
            <v>Future</v>
          </cell>
          <cell r="D1120" t="e">
            <v>#N/A</v>
          </cell>
          <cell r="E1120">
            <v>-16.732432432432535</v>
          </cell>
          <cell r="F1120">
            <v>21.172972972973337</v>
          </cell>
          <cell r="G1120">
            <v>13.591891891891962</v>
          </cell>
          <cell r="H1120">
            <v>13.591891891891962</v>
          </cell>
          <cell r="I1120" t="e">
            <v>#N/A</v>
          </cell>
          <cell r="J1120" t="e">
            <v>#N/A</v>
          </cell>
          <cell r="K1120">
            <v>17.5</v>
          </cell>
          <cell r="L1120">
            <v>14</v>
          </cell>
          <cell r="M1120" t="e">
            <v>#N/A</v>
          </cell>
          <cell r="N1120">
            <v>16.5</v>
          </cell>
          <cell r="O1120" t="e">
            <v>#N/A</v>
          </cell>
          <cell r="P1120" t="str">
            <v/>
          </cell>
          <cell r="Q1120" t="str">
            <v/>
          </cell>
          <cell r="R1120">
            <v>16.5</v>
          </cell>
        </row>
        <row r="1121">
          <cell r="A1121" t="str">
            <v/>
          </cell>
          <cell r="B1121" t="str">
            <v/>
          </cell>
          <cell r="C1121" t="str">
            <v>Future</v>
          </cell>
          <cell r="D1121" t="e">
            <v>#N/A</v>
          </cell>
          <cell r="E1121">
            <v>-16.787837837837941</v>
          </cell>
          <cell r="F1121">
            <v>21.1851351351355</v>
          </cell>
          <cell r="G1121">
            <v>13.59054054054061</v>
          </cell>
          <cell r="H1121">
            <v>13.59054054054061</v>
          </cell>
          <cell r="I1121" t="e">
            <v>#N/A</v>
          </cell>
          <cell r="J1121" t="e">
            <v>#N/A</v>
          </cell>
          <cell r="K1121">
            <v>17.5</v>
          </cell>
          <cell r="L1121">
            <v>14</v>
          </cell>
          <cell r="M1121" t="e">
            <v>#N/A</v>
          </cell>
          <cell r="N1121">
            <v>16.5</v>
          </cell>
          <cell r="O1121" t="e">
            <v>#N/A</v>
          </cell>
          <cell r="P1121" t="str">
            <v/>
          </cell>
          <cell r="Q1121" t="str">
            <v/>
          </cell>
          <cell r="R1121">
            <v>16.5</v>
          </cell>
        </row>
        <row r="1122">
          <cell r="A1122" t="str">
            <v/>
          </cell>
          <cell r="B1122" t="str">
            <v/>
          </cell>
          <cell r="C1122" t="str">
            <v>Future</v>
          </cell>
          <cell r="D1122" t="e">
            <v>#N/A</v>
          </cell>
          <cell r="E1122">
            <v>-16.843243243243347</v>
          </cell>
          <cell r="F1122">
            <v>21.197297297297663</v>
          </cell>
          <cell r="G1122">
            <v>13.589189189189259</v>
          </cell>
          <cell r="H1122">
            <v>13.589189189189259</v>
          </cell>
          <cell r="I1122" t="e">
            <v>#N/A</v>
          </cell>
          <cell r="J1122" t="e">
            <v>#N/A</v>
          </cell>
          <cell r="K1122">
            <v>17.5</v>
          </cell>
          <cell r="L1122">
            <v>14</v>
          </cell>
          <cell r="M1122" t="e">
            <v>#N/A</v>
          </cell>
          <cell r="N1122">
            <v>16.5</v>
          </cell>
          <cell r="O1122" t="e">
            <v>#N/A</v>
          </cell>
          <cell r="P1122" t="str">
            <v/>
          </cell>
          <cell r="Q1122" t="str">
            <v/>
          </cell>
          <cell r="R1122">
            <v>16.5</v>
          </cell>
        </row>
        <row r="1123">
          <cell r="A1123" t="str">
            <v/>
          </cell>
          <cell r="B1123" t="str">
            <v/>
          </cell>
          <cell r="C1123" t="str">
            <v>Future</v>
          </cell>
          <cell r="D1123" t="e">
            <v>#N/A</v>
          </cell>
          <cell r="E1123">
            <v>-16.898648648648752</v>
          </cell>
          <cell r="F1123">
            <v>21.209459459459826</v>
          </cell>
          <cell r="G1123">
            <v>13.587837837837908</v>
          </cell>
          <cell r="H1123">
            <v>13.587837837837908</v>
          </cell>
          <cell r="I1123" t="e">
            <v>#N/A</v>
          </cell>
          <cell r="J1123" t="e">
            <v>#N/A</v>
          </cell>
          <cell r="K1123">
            <v>17.5</v>
          </cell>
          <cell r="L1123">
            <v>14</v>
          </cell>
          <cell r="M1123" t="e">
            <v>#N/A</v>
          </cell>
          <cell r="N1123">
            <v>16.5</v>
          </cell>
          <cell r="O1123" t="e">
            <v>#N/A</v>
          </cell>
          <cell r="P1123" t="str">
            <v/>
          </cell>
          <cell r="Q1123" t="str">
            <v/>
          </cell>
          <cell r="R1123">
            <v>16.5</v>
          </cell>
        </row>
        <row r="1124">
          <cell r="A1124" t="str">
            <v/>
          </cell>
          <cell r="B1124" t="str">
            <v/>
          </cell>
          <cell r="C1124" t="str">
            <v>Future</v>
          </cell>
          <cell r="D1124" t="e">
            <v>#N/A</v>
          </cell>
          <cell r="E1124">
            <v>-16.954054054054158</v>
          </cell>
          <cell r="F1124">
            <v>21.221621621621988</v>
          </cell>
          <cell r="G1124">
            <v>13.586486486486557</v>
          </cell>
          <cell r="H1124">
            <v>13.586486486486557</v>
          </cell>
          <cell r="I1124" t="e">
            <v>#N/A</v>
          </cell>
          <cell r="J1124" t="e">
            <v>#N/A</v>
          </cell>
          <cell r="K1124">
            <v>17.5</v>
          </cell>
          <cell r="L1124">
            <v>14</v>
          </cell>
          <cell r="M1124" t="e">
            <v>#N/A</v>
          </cell>
          <cell r="N1124">
            <v>16.5</v>
          </cell>
          <cell r="O1124" t="e">
            <v>#N/A</v>
          </cell>
          <cell r="P1124" t="str">
            <v/>
          </cell>
          <cell r="Q1124" t="str">
            <v/>
          </cell>
          <cell r="R1124">
            <v>16.5</v>
          </cell>
        </row>
        <row r="1125">
          <cell r="A1125" t="str">
            <v/>
          </cell>
          <cell r="B1125" t="str">
            <v/>
          </cell>
          <cell r="C1125" t="str">
            <v>Future</v>
          </cell>
          <cell r="D1125" t="e">
            <v>#N/A</v>
          </cell>
          <cell r="E1125">
            <v>-17.009459459459563</v>
          </cell>
          <cell r="F1125">
            <v>21.233783783784151</v>
          </cell>
          <cell r="G1125">
            <v>13.585135135135205</v>
          </cell>
          <cell r="H1125">
            <v>13.585135135135205</v>
          </cell>
          <cell r="I1125" t="e">
            <v>#N/A</v>
          </cell>
          <cell r="J1125" t="e">
            <v>#N/A</v>
          </cell>
          <cell r="K1125">
            <v>17.5</v>
          </cell>
          <cell r="L1125">
            <v>14</v>
          </cell>
          <cell r="M1125" t="e">
            <v>#N/A</v>
          </cell>
          <cell r="N1125">
            <v>16.5</v>
          </cell>
          <cell r="O1125" t="e">
            <v>#N/A</v>
          </cell>
          <cell r="P1125" t="str">
            <v/>
          </cell>
          <cell r="Q1125" t="str">
            <v/>
          </cell>
          <cell r="R1125">
            <v>16.5</v>
          </cell>
        </row>
        <row r="1126">
          <cell r="A1126" t="str">
            <v/>
          </cell>
          <cell r="B1126" t="str">
            <v/>
          </cell>
          <cell r="C1126" t="str">
            <v>Future</v>
          </cell>
          <cell r="D1126" t="e">
            <v>#N/A</v>
          </cell>
          <cell r="E1126">
            <v>-17.064864864864969</v>
          </cell>
          <cell r="F1126">
            <v>21.245945945946314</v>
          </cell>
          <cell r="G1126">
            <v>13.583783783783854</v>
          </cell>
          <cell r="H1126">
            <v>13.583783783783854</v>
          </cell>
          <cell r="I1126" t="e">
            <v>#N/A</v>
          </cell>
          <cell r="J1126" t="e">
            <v>#N/A</v>
          </cell>
          <cell r="K1126">
            <v>17.5</v>
          </cell>
          <cell r="L1126">
            <v>14</v>
          </cell>
          <cell r="M1126" t="e">
            <v>#N/A</v>
          </cell>
          <cell r="N1126">
            <v>16.5</v>
          </cell>
          <cell r="O1126" t="e">
            <v>#N/A</v>
          </cell>
          <cell r="P1126" t="str">
            <v/>
          </cell>
          <cell r="Q1126" t="str">
            <v/>
          </cell>
          <cell r="R1126">
            <v>16.5</v>
          </cell>
        </row>
        <row r="1127">
          <cell r="A1127" t="str">
            <v/>
          </cell>
          <cell r="B1127" t="str">
            <v/>
          </cell>
          <cell r="C1127" t="str">
            <v>Future</v>
          </cell>
          <cell r="D1127" t="e">
            <v>#N/A</v>
          </cell>
          <cell r="E1127">
            <v>-17.120270270270375</v>
          </cell>
          <cell r="F1127">
            <v>21.258108108108477</v>
          </cell>
          <cell r="G1127">
            <v>13.582432432432503</v>
          </cell>
          <cell r="H1127">
            <v>13.582432432432503</v>
          </cell>
          <cell r="I1127" t="e">
            <v>#N/A</v>
          </cell>
          <cell r="J1127" t="e">
            <v>#N/A</v>
          </cell>
          <cell r="K1127">
            <v>17.5</v>
          </cell>
          <cell r="L1127">
            <v>14</v>
          </cell>
          <cell r="M1127" t="e">
            <v>#N/A</v>
          </cell>
          <cell r="N1127">
            <v>16.5</v>
          </cell>
          <cell r="O1127" t="e">
            <v>#N/A</v>
          </cell>
          <cell r="P1127" t="str">
            <v/>
          </cell>
          <cell r="Q1127" t="str">
            <v/>
          </cell>
          <cell r="R1127">
            <v>16.5</v>
          </cell>
        </row>
        <row r="1128">
          <cell r="A1128" t="str">
            <v/>
          </cell>
          <cell r="B1128" t="str">
            <v/>
          </cell>
          <cell r="C1128" t="str">
            <v>Future</v>
          </cell>
          <cell r="D1128" t="e">
            <v>#N/A</v>
          </cell>
          <cell r="E1128">
            <v>-17.17567567567578</v>
          </cell>
          <cell r="F1128">
            <v>21.27027027027064</v>
          </cell>
          <cell r="G1128">
            <v>13.581081081081152</v>
          </cell>
          <cell r="H1128">
            <v>13.581081081081152</v>
          </cell>
          <cell r="I1128" t="e">
            <v>#N/A</v>
          </cell>
          <cell r="J1128" t="e">
            <v>#N/A</v>
          </cell>
          <cell r="K1128">
            <v>17.5</v>
          </cell>
          <cell r="L1128">
            <v>14</v>
          </cell>
          <cell r="M1128" t="e">
            <v>#N/A</v>
          </cell>
          <cell r="N1128">
            <v>16.5</v>
          </cell>
          <cell r="O1128" t="e">
            <v>#N/A</v>
          </cell>
          <cell r="P1128" t="str">
            <v/>
          </cell>
          <cell r="Q1128" t="str">
            <v/>
          </cell>
          <cell r="R1128">
            <v>16.5</v>
          </cell>
        </row>
        <row r="1129">
          <cell r="A1129" t="str">
            <v/>
          </cell>
          <cell r="B1129" t="str">
            <v/>
          </cell>
          <cell r="C1129" t="str">
            <v>Future</v>
          </cell>
          <cell r="D1129" t="e">
            <v>#N/A</v>
          </cell>
          <cell r="E1129">
            <v>-17.231081081081186</v>
          </cell>
          <cell r="F1129">
            <v>21.282432432432802</v>
          </cell>
          <cell r="G1129">
            <v>13.579729729729801</v>
          </cell>
          <cell r="H1129">
            <v>13.579729729729801</v>
          </cell>
          <cell r="I1129" t="e">
            <v>#N/A</v>
          </cell>
          <cell r="J1129" t="e">
            <v>#N/A</v>
          </cell>
          <cell r="K1129">
            <v>17.5</v>
          </cell>
          <cell r="L1129">
            <v>14</v>
          </cell>
          <cell r="M1129" t="e">
            <v>#N/A</v>
          </cell>
          <cell r="N1129">
            <v>16.5</v>
          </cell>
          <cell r="O1129" t="e">
            <v>#N/A</v>
          </cell>
          <cell r="P1129" t="str">
            <v/>
          </cell>
          <cell r="Q1129" t="str">
            <v/>
          </cell>
          <cell r="R1129">
            <v>16.5</v>
          </cell>
        </row>
        <row r="1130">
          <cell r="A1130" t="str">
            <v/>
          </cell>
          <cell r="B1130" t="str">
            <v/>
          </cell>
          <cell r="C1130" t="str">
            <v>Future</v>
          </cell>
          <cell r="D1130" t="e">
            <v>#N/A</v>
          </cell>
          <cell r="E1130">
            <v>-17.286486486486591</v>
          </cell>
          <cell r="F1130">
            <v>21.294594594594965</v>
          </cell>
          <cell r="G1130">
            <v>13.578378378378449</v>
          </cell>
          <cell r="H1130">
            <v>13.578378378378449</v>
          </cell>
          <cell r="I1130" t="e">
            <v>#N/A</v>
          </cell>
          <cell r="J1130" t="e">
            <v>#N/A</v>
          </cell>
          <cell r="K1130">
            <v>17.5</v>
          </cell>
          <cell r="L1130">
            <v>14</v>
          </cell>
          <cell r="M1130" t="e">
            <v>#N/A</v>
          </cell>
          <cell r="N1130">
            <v>16.5</v>
          </cell>
          <cell r="O1130" t="e">
            <v>#N/A</v>
          </cell>
          <cell r="P1130" t="str">
            <v/>
          </cell>
          <cell r="Q1130" t="str">
            <v/>
          </cell>
          <cell r="R1130">
            <v>16.5</v>
          </cell>
        </row>
        <row r="1131">
          <cell r="A1131" t="str">
            <v/>
          </cell>
          <cell r="B1131" t="str">
            <v/>
          </cell>
          <cell r="C1131" t="str">
            <v>Future</v>
          </cell>
          <cell r="D1131" t="e">
            <v>#N/A</v>
          </cell>
          <cell r="E1131">
            <v>-17.341891891891997</v>
          </cell>
          <cell r="F1131">
            <v>21.306756756757128</v>
          </cell>
          <cell r="G1131">
            <v>13.577027027027098</v>
          </cell>
          <cell r="H1131">
            <v>13.577027027027098</v>
          </cell>
          <cell r="I1131" t="e">
            <v>#N/A</v>
          </cell>
          <cell r="J1131" t="e">
            <v>#N/A</v>
          </cell>
          <cell r="K1131">
            <v>17.5</v>
          </cell>
          <cell r="L1131">
            <v>14</v>
          </cell>
          <cell r="M1131" t="e">
            <v>#N/A</v>
          </cell>
          <cell r="N1131">
            <v>16.5</v>
          </cell>
          <cell r="O1131" t="e">
            <v>#N/A</v>
          </cell>
          <cell r="P1131" t="str">
            <v/>
          </cell>
          <cell r="Q1131" t="str">
            <v/>
          </cell>
          <cell r="R1131">
            <v>16.5</v>
          </cell>
        </row>
        <row r="1132">
          <cell r="A1132" t="str">
            <v/>
          </cell>
          <cell r="B1132" t="str">
            <v/>
          </cell>
          <cell r="C1132" t="str">
            <v>Future</v>
          </cell>
          <cell r="D1132" t="e">
            <v>#N/A</v>
          </cell>
          <cell r="E1132">
            <v>-17.397297297297403</v>
          </cell>
          <cell r="F1132">
            <v>21.318918918919291</v>
          </cell>
          <cell r="G1132">
            <v>13.575675675675747</v>
          </cell>
          <cell r="H1132">
            <v>13.575675675675747</v>
          </cell>
          <cell r="I1132" t="e">
            <v>#N/A</v>
          </cell>
          <cell r="J1132" t="e">
            <v>#N/A</v>
          </cell>
          <cell r="K1132">
            <v>17.5</v>
          </cell>
          <cell r="L1132">
            <v>14</v>
          </cell>
          <cell r="M1132" t="e">
            <v>#N/A</v>
          </cell>
          <cell r="N1132">
            <v>16.5</v>
          </cell>
          <cell r="O1132" t="e">
            <v>#N/A</v>
          </cell>
          <cell r="P1132" t="str">
            <v/>
          </cell>
          <cell r="Q1132" t="str">
            <v/>
          </cell>
          <cell r="R1132">
            <v>16.5</v>
          </cell>
        </row>
        <row r="1133">
          <cell r="A1133" t="str">
            <v/>
          </cell>
          <cell r="B1133" t="str">
            <v/>
          </cell>
          <cell r="C1133" t="str">
            <v>Future</v>
          </cell>
          <cell r="D1133" t="e">
            <v>#N/A</v>
          </cell>
          <cell r="E1133">
            <v>-17.452702702702808</v>
          </cell>
          <cell r="F1133">
            <v>21.331081081081454</v>
          </cell>
          <cell r="G1133">
            <v>13.574324324324396</v>
          </cell>
          <cell r="H1133">
            <v>13.574324324324396</v>
          </cell>
          <cell r="I1133" t="e">
            <v>#N/A</v>
          </cell>
          <cell r="J1133" t="e">
            <v>#N/A</v>
          </cell>
          <cell r="K1133">
            <v>17.5</v>
          </cell>
          <cell r="L1133">
            <v>14</v>
          </cell>
          <cell r="M1133" t="e">
            <v>#N/A</v>
          </cell>
          <cell r="N1133">
            <v>16.5</v>
          </cell>
          <cell r="O1133" t="e">
            <v>#N/A</v>
          </cell>
          <cell r="P1133" t="str">
            <v/>
          </cell>
          <cell r="Q1133" t="str">
            <v/>
          </cell>
          <cell r="R1133">
            <v>16.5</v>
          </cell>
        </row>
        <row r="1134">
          <cell r="A1134" t="str">
            <v/>
          </cell>
          <cell r="B1134" t="str">
            <v/>
          </cell>
          <cell r="C1134" t="str">
            <v>Future</v>
          </cell>
          <cell r="D1134" t="e">
            <v>#N/A</v>
          </cell>
          <cell r="E1134">
            <v>-17.508108108108214</v>
          </cell>
          <cell r="F1134">
            <v>21.343243243243617</v>
          </cell>
          <cell r="G1134">
            <v>13.572972972973044</v>
          </cell>
          <cell r="H1134">
            <v>13.572972972973044</v>
          </cell>
          <cell r="I1134" t="e">
            <v>#N/A</v>
          </cell>
          <cell r="J1134" t="e">
            <v>#N/A</v>
          </cell>
          <cell r="K1134">
            <v>17.5</v>
          </cell>
          <cell r="L1134">
            <v>14</v>
          </cell>
          <cell r="M1134" t="e">
            <v>#N/A</v>
          </cell>
          <cell r="N1134">
            <v>16.5</v>
          </cell>
          <cell r="O1134" t="e">
            <v>#N/A</v>
          </cell>
          <cell r="P1134" t="str">
            <v/>
          </cell>
          <cell r="Q1134" t="str">
            <v/>
          </cell>
          <cell r="R1134">
            <v>16.5</v>
          </cell>
        </row>
        <row r="1135">
          <cell r="A1135" t="str">
            <v/>
          </cell>
          <cell r="B1135" t="str">
            <v/>
          </cell>
          <cell r="C1135" t="str">
            <v>Future</v>
          </cell>
          <cell r="D1135" t="e">
            <v>#N/A</v>
          </cell>
          <cell r="E1135">
            <v>-17.56351351351362</v>
          </cell>
          <cell r="F1135">
            <v>21.355405405405779</v>
          </cell>
          <cell r="G1135">
            <v>13.571621621621693</v>
          </cell>
          <cell r="H1135">
            <v>13.571621621621693</v>
          </cell>
          <cell r="I1135" t="e">
            <v>#N/A</v>
          </cell>
          <cell r="J1135" t="e">
            <v>#N/A</v>
          </cell>
          <cell r="K1135">
            <v>17.5</v>
          </cell>
          <cell r="L1135">
            <v>14</v>
          </cell>
          <cell r="M1135" t="e">
            <v>#N/A</v>
          </cell>
          <cell r="N1135">
            <v>16.5</v>
          </cell>
          <cell r="O1135" t="e">
            <v>#N/A</v>
          </cell>
          <cell r="P1135" t="str">
            <v/>
          </cell>
          <cell r="Q1135" t="str">
            <v/>
          </cell>
          <cell r="R1135">
            <v>16.5</v>
          </cell>
        </row>
        <row r="1136">
          <cell r="A1136" t="str">
            <v/>
          </cell>
          <cell r="B1136" t="str">
            <v/>
          </cell>
          <cell r="C1136" t="str">
            <v>Future</v>
          </cell>
          <cell r="D1136" t="e">
            <v>#N/A</v>
          </cell>
          <cell r="E1136">
            <v>-17.618918918919025</v>
          </cell>
          <cell r="F1136">
            <v>21.367567567567942</v>
          </cell>
          <cell r="G1136">
            <v>13.570270270270342</v>
          </cell>
          <cell r="H1136">
            <v>13.570270270270342</v>
          </cell>
          <cell r="I1136" t="e">
            <v>#N/A</v>
          </cell>
          <cell r="J1136" t="e">
            <v>#N/A</v>
          </cell>
          <cell r="K1136">
            <v>17.5</v>
          </cell>
          <cell r="L1136">
            <v>14</v>
          </cell>
          <cell r="M1136" t="e">
            <v>#N/A</v>
          </cell>
          <cell r="N1136">
            <v>16.5</v>
          </cell>
          <cell r="O1136" t="e">
            <v>#N/A</v>
          </cell>
          <cell r="P1136" t="str">
            <v/>
          </cell>
          <cell r="Q1136" t="str">
            <v/>
          </cell>
          <cell r="R1136">
            <v>16.5</v>
          </cell>
        </row>
        <row r="1137">
          <cell r="A1137" t="str">
            <v/>
          </cell>
          <cell r="B1137" t="str">
            <v/>
          </cell>
          <cell r="C1137" t="str">
            <v>Future</v>
          </cell>
          <cell r="D1137" t="e">
            <v>#N/A</v>
          </cell>
          <cell r="E1137">
            <v>-17.674324324324431</v>
          </cell>
          <cell r="F1137">
            <v>21.379729729730105</v>
          </cell>
          <cell r="G1137">
            <v>13.568918918918991</v>
          </cell>
          <cell r="H1137">
            <v>13.568918918918991</v>
          </cell>
          <cell r="I1137" t="e">
            <v>#N/A</v>
          </cell>
          <cell r="J1137" t="e">
            <v>#N/A</v>
          </cell>
          <cell r="K1137">
            <v>17.5</v>
          </cell>
          <cell r="L1137">
            <v>14</v>
          </cell>
          <cell r="M1137" t="e">
            <v>#N/A</v>
          </cell>
          <cell r="N1137">
            <v>16.5</v>
          </cell>
          <cell r="O1137" t="e">
            <v>#N/A</v>
          </cell>
          <cell r="P1137" t="str">
            <v/>
          </cell>
          <cell r="Q1137" t="str">
            <v/>
          </cell>
          <cell r="R1137">
            <v>16.5</v>
          </cell>
        </row>
        <row r="1138">
          <cell r="A1138" t="str">
            <v/>
          </cell>
          <cell r="B1138" t="str">
            <v/>
          </cell>
          <cell r="C1138" t="str">
            <v>Future</v>
          </cell>
          <cell r="D1138" t="e">
            <v>#N/A</v>
          </cell>
          <cell r="E1138">
            <v>-17.729729729729836</v>
          </cell>
          <cell r="F1138">
            <v>21.391891891892268</v>
          </cell>
          <cell r="G1138">
            <v>13.567567567567639</v>
          </cell>
          <cell r="H1138">
            <v>13.567567567567639</v>
          </cell>
          <cell r="I1138" t="e">
            <v>#N/A</v>
          </cell>
          <cell r="J1138" t="e">
            <v>#N/A</v>
          </cell>
          <cell r="K1138">
            <v>17.5</v>
          </cell>
          <cell r="L1138">
            <v>14</v>
          </cell>
          <cell r="M1138" t="e">
            <v>#N/A</v>
          </cell>
          <cell r="N1138">
            <v>16.5</v>
          </cell>
          <cell r="O1138" t="e">
            <v>#N/A</v>
          </cell>
          <cell r="P1138" t="str">
            <v/>
          </cell>
          <cell r="Q1138" t="str">
            <v/>
          </cell>
          <cell r="R1138">
            <v>16.5</v>
          </cell>
        </row>
        <row r="1139">
          <cell r="A1139" t="str">
            <v/>
          </cell>
          <cell r="B1139" t="str">
            <v/>
          </cell>
          <cell r="C1139" t="str">
            <v>Future</v>
          </cell>
          <cell r="D1139" t="e">
            <v>#N/A</v>
          </cell>
          <cell r="E1139">
            <v>-17.785135135135242</v>
          </cell>
          <cell r="F1139">
            <v>21.404054054054431</v>
          </cell>
          <cell r="G1139">
            <v>13.566216216216288</v>
          </cell>
          <cell r="H1139">
            <v>13.566216216216288</v>
          </cell>
          <cell r="I1139" t="e">
            <v>#N/A</v>
          </cell>
          <cell r="J1139" t="e">
            <v>#N/A</v>
          </cell>
          <cell r="K1139">
            <v>17.5</v>
          </cell>
          <cell r="L1139">
            <v>14</v>
          </cell>
          <cell r="M1139" t="e">
            <v>#N/A</v>
          </cell>
          <cell r="N1139">
            <v>16.5</v>
          </cell>
          <cell r="O1139" t="e">
            <v>#N/A</v>
          </cell>
          <cell r="P1139" t="str">
            <v/>
          </cell>
          <cell r="Q1139" t="str">
            <v/>
          </cell>
          <cell r="R1139">
            <v>16.5</v>
          </cell>
        </row>
        <row r="1140">
          <cell r="A1140" t="str">
            <v/>
          </cell>
          <cell r="B1140" t="str">
            <v/>
          </cell>
          <cell r="C1140" t="str">
            <v>Future</v>
          </cell>
          <cell r="D1140" t="e">
            <v>#N/A</v>
          </cell>
          <cell r="E1140">
            <v>-17.840540540540648</v>
          </cell>
          <cell r="F1140">
            <v>21.416216216216593</v>
          </cell>
          <cell r="G1140">
            <v>13.564864864864937</v>
          </cell>
          <cell r="H1140">
            <v>13.564864864864937</v>
          </cell>
          <cell r="I1140" t="e">
            <v>#N/A</v>
          </cell>
          <cell r="J1140" t="e">
            <v>#N/A</v>
          </cell>
          <cell r="K1140">
            <v>17.5</v>
          </cell>
          <cell r="L1140">
            <v>14</v>
          </cell>
          <cell r="M1140" t="e">
            <v>#N/A</v>
          </cell>
          <cell r="N1140">
            <v>16.5</v>
          </cell>
          <cell r="O1140" t="e">
            <v>#N/A</v>
          </cell>
          <cell r="P1140" t="str">
            <v/>
          </cell>
          <cell r="Q1140" t="str">
            <v/>
          </cell>
          <cell r="R1140">
            <v>16.5</v>
          </cell>
        </row>
        <row r="1141">
          <cell r="A1141" t="str">
            <v/>
          </cell>
          <cell r="B1141" t="str">
            <v/>
          </cell>
          <cell r="C1141" t="str">
            <v>Future</v>
          </cell>
          <cell r="D1141" t="e">
            <v>#N/A</v>
          </cell>
          <cell r="E1141">
            <v>-17.895945945946053</v>
          </cell>
          <cell r="F1141">
            <v>21.428378378378756</v>
          </cell>
          <cell r="G1141">
            <v>13.563513513513586</v>
          </cell>
          <cell r="H1141">
            <v>13.563513513513586</v>
          </cell>
          <cell r="I1141" t="e">
            <v>#N/A</v>
          </cell>
          <cell r="J1141" t="e">
            <v>#N/A</v>
          </cell>
          <cell r="K1141">
            <v>17.5</v>
          </cell>
          <cell r="L1141">
            <v>14</v>
          </cell>
          <cell r="M1141" t="e">
            <v>#N/A</v>
          </cell>
          <cell r="N1141">
            <v>16.5</v>
          </cell>
          <cell r="O1141" t="e">
            <v>#N/A</v>
          </cell>
          <cell r="P1141" t="str">
            <v/>
          </cell>
          <cell r="Q1141" t="str">
            <v/>
          </cell>
          <cell r="R1141">
            <v>16.5</v>
          </cell>
        </row>
        <row r="1142">
          <cell r="A1142" t="str">
            <v/>
          </cell>
          <cell r="B1142" t="str">
            <v/>
          </cell>
          <cell r="C1142" t="str">
            <v>Future</v>
          </cell>
          <cell r="D1142" t="e">
            <v>#N/A</v>
          </cell>
          <cell r="E1142">
            <v>-17.951351351351459</v>
          </cell>
          <cell r="F1142">
            <v>21.440540540540919</v>
          </cell>
          <cell r="G1142">
            <v>13.562162162162235</v>
          </cell>
          <cell r="H1142">
            <v>13.562162162162235</v>
          </cell>
          <cell r="I1142" t="e">
            <v>#N/A</v>
          </cell>
          <cell r="J1142" t="e">
            <v>#N/A</v>
          </cell>
          <cell r="K1142">
            <v>17.5</v>
          </cell>
          <cell r="L1142">
            <v>14</v>
          </cell>
          <cell r="M1142" t="e">
            <v>#N/A</v>
          </cell>
          <cell r="N1142">
            <v>16.5</v>
          </cell>
          <cell r="O1142" t="e">
            <v>#N/A</v>
          </cell>
          <cell r="P1142" t="str">
            <v/>
          </cell>
          <cell r="Q1142" t="str">
            <v/>
          </cell>
          <cell r="R1142">
            <v>16.5</v>
          </cell>
        </row>
        <row r="1143">
          <cell r="A1143" t="str">
            <v/>
          </cell>
          <cell r="B1143" t="str">
            <v/>
          </cell>
          <cell r="C1143" t="str">
            <v>Future</v>
          </cell>
          <cell r="D1143" t="e">
            <v>#N/A</v>
          </cell>
          <cell r="E1143">
            <v>-18.006756756756864</v>
          </cell>
          <cell r="F1143">
            <v>21.452702702703082</v>
          </cell>
          <cell r="G1143">
            <v>13.560810810810883</v>
          </cell>
          <cell r="H1143">
            <v>13.560810810810883</v>
          </cell>
          <cell r="I1143" t="e">
            <v>#N/A</v>
          </cell>
          <cell r="J1143" t="e">
            <v>#N/A</v>
          </cell>
          <cell r="K1143">
            <v>17.5</v>
          </cell>
          <cell r="L1143">
            <v>14</v>
          </cell>
          <cell r="M1143" t="e">
            <v>#N/A</v>
          </cell>
          <cell r="N1143">
            <v>16.5</v>
          </cell>
          <cell r="O1143" t="e">
            <v>#N/A</v>
          </cell>
          <cell r="P1143" t="str">
            <v/>
          </cell>
          <cell r="Q1143" t="str">
            <v/>
          </cell>
          <cell r="R1143">
            <v>16.5</v>
          </cell>
        </row>
        <row r="1144">
          <cell r="A1144" t="str">
            <v/>
          </cell>
          <cell r="B1144" t="str">
            <v/>
          </cell>
          <cell r="C1144" t="str">
            <v>Future</v>
          </cell>
          <cell r="D1144" t="e">
            <v>#N/A</v>
          </cell>
          <cell r="E1144">
            <v>-18.06216216216227</v>
          </cell>
          <cell r="F1144">
            <v>21.464864864865245</v>
          </cell>
          <cell r="G1144">
            <v>13.559459459459532</v>
          </cell>
          <cell r="H1144">
            <v>13.559459459459532</v>
          </cell>
          <cell r="I1144" t="e">
            <v>#N/A</v>
          </cell>
          <cell r="J1144" t="e">
            <v>#N/A</v>
          </cell>
          <cell r="K1144">
            <v>17.5</v>
          </cell>
          <cell r="L1144">
            <v>14</v>
          </cell>
          <cell r="M1144" t="e">
            <v>#N/A</v>
          </cell>
          <cell r="N1144">
            <v>16.5</v>
          </cell>
          <cell r="O1144" t="e">
            <v>#N/A</v>
          </cell>
          <cell r="P1144" t="str">
            <v/>
          </cell>
          <cell r="Q1144" t="str">
            <v/>
          </cell>
          <cell r="R1144">
            <v>16.5</v>
          </cell>
        </row>
        <row r="1145">
          <cell r="A1145" t="str">
            <v/>
          </cell>
          <cell r="B1145" t="str">
            <v/>
          </cell>
          <cell r="C1145" t="str">
            <v>Future</v>
          </cell>
          <cell r="D1145" t="e">
            <v>#N/A</v>
          </cell>
          <cell r="E1145">
            <v>-18.117567567567676</v>
          </cell>
          <cell r="F1145">
            <v>21.477027027027408</v>
          </cell>
          <cell r="G1145">
            <v>13.558108108108181</v>
          </cell>
          <cell r="H1145">
            <v>13.558108108108181</v>
          </cell>
          <cell r="I1145" t="e">
            <v>#N/A</v>
          </cell>
          <cell r="J1145" t="e">
            <v>#N/A</v>
          </cell>
          <cell r="K1145">
            <v>17.5</v>
          </cell>
          <cell r="L1145">
            <v>14</v>
          </cell>
          <cell r="M1145" t="e">
            <v>#N/A</v>
          </cell>
          <cell r="N1145">
            <v>16.5</v>
          </cell>
          <cell r="O1145" t="e">
            <v>#N/A</v>
          </cell>
          <cell r="P1145" t="str">
            <v/>
          </cell>
          <cell r="Q1145" t="str">
            <v/>
          </cell>
          <cell r="R1145">
            <v>16.5</v>
          </cell>
        </row>
        <row r="1146">
          <cell r="A1146" t="str">
            <v/>
          </cell>
          <cell r="B1146" t="str">
            <v/>
          </cell>
          <cell r="C1146" t="str">
            <v>Future</v>
          </cell>
          <cell r="D1146" t="e">
            <v>#N/A</v>
          </cell>
          <cell r="E1146">
            <v>-18.172972972973081</v>
          </cell>
          <cell r="F1146">
            <v>21.48918918918957</v>
          </cell>
          <cell r="G1146">
            <v>13.55675675675683</v>
          </cell>
          <cell r="H1146">
            <v>13.55675675675683</v>
          </cell>
          <cell r="I1146" t="e">
            <v>#N/A</v>
          </cell>
          <cell r="J1146" t="e">
            <v>#N/A</v>
          </cell>
          <cell r="K1146">
            <v>17.5</v>
          </cell>
          <cell r="L1146">
            <v>14</v>
          </cell>
          <cell r="M1146" t="e">
            <v>#N/A</v>
          </cell>
          <cell r="N1146">
            <v>16.5</v>
          </cell>
          <cell r="O1146" t="e">
            <v>#N/A</v>
          </cell>
          <cell r="P1146" t="str">
            <v/>
          </cell>
          <cell r="Q1146" t="str">
            <v/>
          </cell>
          <cell r="R1146">
            <v>16.5</v>
          </cell>
        </row>
        <row r="1147">
          <cell r="A1147" t="str">
            <v/>
          </cell>
          <cell r="B1147" t="str">
            <v/>
          </cell>
          <cell r="C1147" t="str">
            <v>Future</v>
          </cell>
          <cell r="D1147" t="e">
            <v>#N/A</v>
          </cell>
          <cell r="E1147">
            <v>-18.228378378378487</v>
          </cell>
          <cell r="F1147">
            <v>21.501351351351733</v>
          </cell>
          <cell r="G1147">
            <v>13.555405405405478</v>
          </cell>
          <cell r="H1147">
            <v>13.555405405405478</v>
          </cell>
          <cell r="I1147" t="e">
            <v>#N/A</v>
          </cell>
          <cell r="J1147" t="e">
            <v>#N/A</v>
          </cell>
          <cell r="K1147">
            <v>17.5</v>
          </cell>
          <cell r="L1147">
            <v>14</v>
          </cell>
          <cell r="M1147" t="e">
            <v>#N/A</v>
          </cell>
          <cell r="N1147">
            <v>16.5</v>
          </cell>
          <cell r="O1147" t="e">
            <v>#N/A</v>
          </cell>
          <cell r="P1147" t="str">
            <v/>
          </cell>
          <cell r="Q1147" t="str">
            <v/>
          </cell>
          <cell r="R1147">
            <v>16.5</v>
          </cell>
        </row>
        <row r="1148">
          <cell r="A1148" t="str">
            <v/>
          </cell>
          <cell r="B1148" t="str">
            <v/>
          </cell>
          <cell r="C1148" t="str">
            <v>Future</v>
          </cell>
          <cell r="D1148" t="e">
            <v>#N/A</v>
          </cell>
          <cell r="E1148">
            <v>-18.283783783783893</v>
          </cell>
          <cell r="F1148">
            <v>21.513513513513896</v>
          </cell>
          <cell r="G1148">
            <v>13.554054054054127</v>
          </cell>
          <cell r="H1148">
            <v>13.554054054054127</v>
          </cell>
          <cell r="I1148" t="e">
            <v>#N/A</v>
          </cell>
          <cell r="J1148" t="e">
            <v>#N/A</v>
          </cell>
          <cell r="K1148">
            <v>17.5</v>
          </cell>
          <cell r="L1148">
            <v>14</v>
          </cell>
          <cell r="M1148" t="e">
            <v>#N/A</v>
          </cell>
          <cell r="N1148">
            <v>16.5</v>
          </cell>
          <cell r="O1148" t="e">
            <v>#N/A</v>
          </cell>
          <cell r="P1148" t="str">
            <v/>
          </cell>
          <cell r="Q1148" t="str">
            <v/>
          </cell>
          <cell r="R1148">
            <v>16.5</v>
          </cell>
        </row>
        <row r="1149">
          <cell r="A1149" t="str">
            <v/>
          </cell>
          <cell r="B1149" t="str">
            <v/>
          </cell>
          <cell r="C1149" t="str">
            <v>Future</v>
          </cell>
          <cell r="D1149" t="e">
            <v>#N/A</v>
          </cell>
          <cell r="E1149">
            <v>-18.339189189189298</v>
          </cell>
          <cell r="F1149">
            <v>21.525675675676059</v>
          </cell>
          <cell r="G1149">
            <v>13.552702702702776</v>
          </cell>
          <cell r="H1149">
            <v>13.552702702702776</v>
          </cell>
          <cell r="I1149" t="e">
            <v>#N/A</v>
          </cell>
          <cell r="J1149" t="e">
            <v>#N/A</v>
          </cell>
          <cell r="K1149">
            <v>17.5</v>
          </cell>
          <cell r="L1149">
            <v>14</v>
          </cell>
          <cell r="M1149" t="e">
            <v>#N/A</v>
          </cell>
          <cell r="N1149">
            <v>16.5</v>
          </cell>
          <cell r="O1149" t="e">
            <v>#N/A</v>
          </cell>
          <cell r="P1149" t="str">
            <v/>
          </cell>
          <cell r="Q1149" t="str">
            <v/>
          </cell>
          <cell r="R1149">
            <v>16.5</v>
          </cell>
        </row>
        <row r="1150">
          <cell r="A1150" t="str">
            <v/>
          </cell>
          <cell r="B1150" t="str">
            <v/>
          </cell>
          <cell r="C1150" t="str">
            <v>Future</v>
          </cell>
          <cell r="D1150" t="e">
            <v>#N/A</v>
          </cell>
          <cell r="E1150">
            <v>-18.394594594594704</v>
          </cell>
          <cell r="F1150">
            <v>21.537837837838222</v>
          </cell>
          <cell r="G1150">
            <v>13.551351351351425</v>
          </cell>
          <cell r="H1150">
            <v>13.551351351351425</v>
          </cell>
          <cell r="I1150" t="e">
            <v>#N/A</v>
          </cell>
          <cell r="J1150" t="e">
            <v>#N/A</v>
          </cell>
          <cell r="K1150">
            <v>17.5</v>
          </cell>
          <cell r="L1150">
            <v>14</v>
          </cell>
          <cell r="M1150" t="e">
            <v>#N/A</v>
          </cell>
          <cell r="N1150">
            <v>16.5</v>
          </cell>
          <cell r="O1150" t="e">
            <v>#N/A</v>
          </cell>
          <cell r="P1150" t="str">
            <v/>
          </cell>
          <cell r="Q1150" t="str">
            <v/>
          </cell>
          <cell r="R1150">
            <v>16.5</v>
          </cell>
        </row>
        <row r="1151">
          <cell r="A1151" t="str">
            <v/>
          </cell>
          <cell r="B1151" t="str">
            <v/>
          </cell>
          <cell r="C1151" t="str">
            <v>Future</v>
          </cell>
          <cell r="D1151" t="e">
            <v>#N/A</v>
          </cell>
          <cell r="E1151">
            <v>-18.450000000000109</v>
          </cell>
          <cell r="F1151">
            <v>21.550000000000384</v>
          </cell>
          <cell r="G1151">
            <v>13.550000000000074</v>
          </cell>
          <cell r="H1151">
            <v>13.550000000000074</v>
          </cell>
          <cell r="I1151" t="e">
            <v>#N/A</v>
          </cell>
          <cell r="J1151" t="e">
            <v>#N/A</v>
          </cell>
          <cell r="K1151">
            <v>17.5</v>
          </cell>
          <cell r="L1151">
            <v>14</v>
          </cell>
          <cell r="M1151" t="e">
            <v>#N/A</v>
          </cell>
          <cell r="N1151">
            <v>16.5</v>
          </cell>
          <cell r="O1151" t="e">
            <v>#N/A</v>
          </cell>
          <cell r="P1151" t="str">
            <v/>
          </cell>
          <cell r="Q1151" t="str">
            <v/>
          </cell>
          <cell r="R1151">
            <v>16.5</v>
          </cell>
        </row>
        <row r="1152">
          <cell r="A1152" t="str">
            <v/>
          </cell>
          <cell r="B1152" t="str">
            <v/>
          </cell>
          <cell r="C1152" t="str">
            <v>Future</v>
          </cell>
          <cell r="D1152" t="e">
            <v>#N/A</v>
          </cell>
          <cell r="E1152">
            <v>-18.505405405405515</v>
          </cell>
          <cell r="F1152">
            <v>21.562162162162547</v>
          </cell>
          <cell r="G1152">
            <v>13.548648648648722</v>
          </cell>
          <cell r="H1152">
            <v>13.548648648648722</v>
          </cell>
          <cell r="I1152" t="e">
            <v>#N/A</v>
          </cell>
          <cell r="J1152" t="e">
            <v>#N/A</v>
          </cell>
          <cell r="K1152">
            <v>17.5</v>
          </cell>
          <cell r="L1152">
            <v>14</v>
          </cell>
          <cell r="M1152" t="e">
            <v>#N/A</v>
          </cell>
          <cell r="N1152">
            <v>16.5</v>
          </cell>
          <cell r="O1152" t="e">
            <v>#N/A</v>
          </cell>
          <cell r="P1152" t="str">
            <v/>
          </cell>
          <cell r="Q1152" t="str">
            <v/>
          </cell>
          <cell r="R1152">
            <v>16.5</v>
          </cell>
        </row>
        <row r="1153">
          <cell r="A1153" t="str">
            <v/>
          </cell>
          <cell r="B1153" t="str">
            <v/>
          </cell>
          <cell r="C1153" t="str">
            <v>Future</v>
          </cell>
          <cell r="D1153" t="e">
            <v>#N/A</v>
          </cell>
          <cell r="E1153">
            <v>-18.560810810810921</v>
          </cell>
          <cell r="F1153">
            <v>21.57432432432471</v>
          </cell>
          <cell r="G1153">
            <v>13.547297297297371</v>
          </cell>
          <cell r="H1153">
            <v>13.547297297297371</v>
          </cell>
          <cell r="I1153" t="e">
            <v>#N/A</v>
          </cell>
          <cell r="J1153" t="e">
            <v>#N/A</v>
          </cell>
          <cell r="K1153">
            <v>17.5</v>
          </cell>
          <cell r="L1153">
            <v>14</v>
          </cell>
          <cell r="M1153" t="e">
            <v>#N/A</v>
          </cell>
          <cell r="N1153">
            <v>16.5</v>
          </cell>
          <cell r="O1153" t="e">
            <v>#N/A</v>
          </cell>
          <cell r="P1153" t="str">
            <v/>
          </cell>
          <cell r="Q1153" t="str">
            <v/>
          </cell>
          <cell r="R1153">
            <v>16.5</v>
          </cell>
        </row>
        <row r="1154">
          <cell r="A1154" t="str">
            <v/>
          </cell>
          <cell r="B1154" t="str">
            <v/>
          </cell>
          <cell r="C1154" t="str">
            <v>Future</v>
          </cell>
          <cell r="D1154" t="e">
            <v>#N/A</v>
          </cell>
          <cell r="E1154">
            <v>-18.616216216216326</v>
          </cell>
          <cell r="F1154">
            <v>21.586486486486873</v>
          </cell>
          <cell r="G1154">
            <v>13.54594594594602</v>
          </cell>
          <cell r="H1154">
            <v>13.54594594594602</v>
          </cell>
          <cell r="I1154" t="e">
            <v>#N/A</v>
          </cell>
          <cell r="J1154" t="e">
            <v>#N/A</v>
          </cell>
          <cell r="K1154">
            <v>17.5</v>
          </cell>
          <cell r="L1154">
            <v>14</v>
          </cell>
          <cell r="M1154" t="e">
            <v>#N/A</v>
          </cell>
          <cell r="N1154">
            <v>16.5</v>
          </cell>
          <cell r="O1154" t="e">
            <v>#N/A</v>
          </cell>
          <cell r="P1154" t="str">
            <v/>
          </cell>
          <cell r="Q1154" t="str">
            <v/>
          </cell>
          <cell r="R1154">
            <v>16.5</v>
          </cell>
        </row>
        <row r="1155">
          <cell r="A1155" t="str">
            <v/>
          </cell>
          <cell r="B1155" t="str">
            <v/>
          </cell>
          <cell r="C1155" t="str">
            <v>Future</v>
          </cell>
          <cell r="D1155" t="e">
            <v>#N/A</v>
          </cell>
          <cell r="E1155">
            <v>-18.671621621621732</v>
          </cell>
          <cell r="F1155">
            <v>21.598648648649036</v>
          </cell>
          <cell r="G1155">
            <v>13.544594594594669</v>
          </cell>
          <cell r="H1155">
            <v>13.544594594594669</v>
          </cell>
          <cell r="I1155" t="e">
            <v>#N/A</v>
          </cell>
          <cell r="J1155" t="e">
            <v>#N/A</v>
          </cell>
          <cell r="K1155">
            <v>17.5</v>
          </cell>
          <cell r="L1155">
            <v>14</v>
          </cell>
          <cell r="M1155" t="e">
            <v>#N/A</v>
          </cell>
          <cell r="N1155">
            <v>16.5</v>
          </cell>
          <cell r="O1155" t="e">
            <v>#N/A</v>
          </cell>
          <cell r="P1155" t="str">
            <v/>
          </cell>
          <cell r="Q1155" t="str">
            <v/>
          </cell>
          <cell r="R1155">
            <v>16.5</v>
          </cell>
        </row>
        <row r="1156">
          <cell r="A1156" t="str">
            <v/>
          </cell>
          <cell r="B1156" t="str">
            <v/>
          </cell>
          <cell r="C1156" t="str">
            <v>Future</v>
          </cell>
          <cell r="D1156" t="e">
            <v>#N/A</v>
          </cell>
          <cell r="E1156">
            <v>-18.727027027027138</v>
          </cell>
          <cell r="F1156">
            <v>21.610810810811198</v>
          </cell>
          <cell r="G1156">
            <v>13.543243243243317</v>
          </cell>
          <cell r="H1156">
            <v>13.543243243243317</v>
          </cell>
          <cell r="I1156" t="e">
            <v>#N/A</v>
          </cell>
          <cell r="J1156" t="e">
            <v>#N/A</v>
          </cell>
          <cell r="K1156">
            <v>17.5</v>
          </cell>
          <cell r="L1156">
            <v>14</v>
          </cell>
          <cell r="M1156" t="e">
            <v>#N/A</v>
          </cell>
          <cell r="N1156">
            <v>16.5</v>
          </cell>
          <cell r="O1156" t="e">
            <v>#N/A</v>
          </cell>
          <cell r="P1156" t="str">
            <v/>
          </cell>
          <cell r="Q1156" t="str">
            <v/>
          </cell>
          <cell r="R1156">
            <v>16.5</v>
          </cell>
        </row>
        <row r="1157">
          <cell r="A1157" t="str">
            <v/>
          </cell>
          <cell r="B1157" t="str">
            <v/>
          </cell>
          <cell r="C1157" t="str">
            <v>Future</v>
          </cell>
          <cell r="D1157" t="e">
            <v>#N/A</v>
          </cell>
          <cell r="E1157">
            <v>-18.782432432432543</v>
          </cell>
          <cell r="F1157">
            <v>21.622972972973361</v>
          </cell>
          <cell r="G1157">
            <v>13.541891891891966</v>
          </cell>
          <cell r="H1157">
            <v>13.541891891891966</v>
          </cell>
          <cell r="I1157" t="e">
            <v>#N/A</v>
          </cell>
          <cell r="J1157" t="e">
            <v>#N/A</v>
          </cell>
          <cell r="K1157">
            <v>17.5</v>
          </cell>
          <cell r="L1157">
            <v>14</v>
          </cell>
          <cell r="M1157" t="e">
            <v>#N/A</v>
          </cell>
          <cell r="N1157">
            <v>16.5</v>
          </cell>
          <cell r="O1157" t="e">
            <v>#N/A</v>
          </cell>
          <cell r="P1157" t="str">
            <v/>
          </cell>
          <cell r="Q1157" t="str">
            <v/>
          </cell>
          <cell r="R1157">
            <v>16.5</v>
          </cell>
        </row>
        <row r="1158">
          <cell r="A1158" t="str">
            <v/>
          </cell>
          <cell r="B1158" t="str">
            <v/>
          </cell>
          <cell r="C1158" t="str">
            <v>Future</v>
          </cell>
          <cell r="D1158" t="e">
            <v>#N/A</v>
          </cell>
          <cell r="E1158">
            <v>-18.837837837837949</v>
          </cell>
          <cell r="F1158">
            <v>21.635135135135524</v>
          </cell>
          <cell r="G1158">
            <v>13.540540540540615</v>
          </cell>
          <cell r="H1158">
            <v>13.540540540540615</v>
          </cell>
          <cell r="I1158" t="e">
            <v>#N/A</v>
          </cell>
          <cell r="J1158" t="e">
            <v>#N/A</v>
          </cell>
          <cell r="K1158">
            <v>17.5</v>
          </cell>
          <cell r="L1158">
            <v>14</v>
          </cell>
          <cell r="M1158" t="e">
            <v>#N/A</v>
          </cell>
          <cell r="N1158">
            <v>16.5</v>
          </cell>
          <cell r="O1158" t="e">
            <v>#N/A</v>
          </cell>
          <cell r="P1158" t="str">
            <v/>
          </cell>
          <cell r="Q1158" t="str">
            <v/>
          </cell>
          <cell r="R1158">
            <v>16.5</v>
          </cell>
        </row>
        <row r="1159">
          <cell r="A1159" t="str">
            <v/>
          </cell>
          <cell r="B1159" t="str">
            <v/>
          </cell>
          <cell r="C1159" t="str">
            <v>Future</v>
          </cell>
          <cell r="D1159" t="e">
            <v>#N/A</v>
          </cell>
          <cell r="E1159">
            <v>-18.893243243243354</v>
          </cell>
          <cell r="F1159">
            <v>21.647297297297687</v>
          </cell>
          <cell r="G1159">
            <v>13.539189189189264</v>
          </cell>
          <cell r="H1159">
            <v>13.539189189189264</v>
          </cell>
          <cell r="I1159" t="e">
            <v>#N/A</v>
          </cell>
          <cell r="J1159" t="e">
            <v>#N/A</v>
          </cell>
          <cell r="K1159">
            <v>17.5</v>
          </cell>
          <cell r="L1159">
            <v>14</v>
          </cell>
          <cell r="M1159" t="e">
            <v>#N/A</v>
          </cell>
          <cell r="N1159">
            <v>16.5</v>
          </cell>
          <cell r="O1159" t="e">
            <v>#N/A</v>
          </cell>
          <cell r="P1159" t="str">
            <v/>
          </cell>
          <cell r="Q1159" t="str">
            <v/>
          </cell>
          <cell r="R1159">
            <v>16.5</v>
          </cell>
        </row>
        <row r="1160">
          <cell r="A1160" t="str">
            <v/>
          </cell>
          <cell r="B1160" t="str">
            <v/>
          </cell>
          <cell r="C1160" t="str">
            <v>Future</v>
          </cell>
          <cell r="D1160" t="e">
            <v>#N/A</v>
          </cell>
          <cell r="E1160">
            <v>-18.94864864864876</v>
          </cell>
          <cell r="F1160">
            <v>21.65945945945985</v>
          </cell>
          <cell r="G1160">
            <v>13.537837837837913</v>
          </cell>
          <cell r="H1160">
            <v>13.537837837837913</v>
          </cell>
          <cell r="I1160" t="e">
            <v>#N/A</v>
          </cell>
          <cell r="J1160" t="e">
            <v>#N/A</v>
          </cell>
          <cell r="K1160">
            <v>17.5</v>
          </cell>
          <cell r="L1160">
            <v>14</v>
          </cell>
          <cell r="M1160" t="e">
            <v>#N/A</v>
          </cell>
          <cell r="N1160">
            <v>16.5</v>
          </cell>
          <cell r="O1160" t="e">
            <v>#N/A</v>
          </cell>
          <cell r="P1160" t="str">
            <v/>
          </cell>
          <cell r="Q1160" t="str">
            <v/>
          </cell>
          <cell r="R1160">
            <v>16.5</v>
          </cell>
        </row>
        <row r="1161">
          <cell r="A1161" t="str">
            <v/>
          </cell>
          <cell r="B1161" t="str">
            <v/>
          </cell>
          <cell r="C1161" t="str">
            <v>Future</v>
          </cell>
          <cell r="D1161" t="e">
            <v>#N/A</v>
          </cell>
          <cell r="E1161">
            <v>-19.004054054054166</v>
          </cell>
          <cell r="F1161">
            <v>21.671621621622013</v>
          </cell>
          <cell r="G1161">
            <v>13.536486486486561</v>
          </cell>
          <cell r="H1161">
            <v>13.536486486486561</v>
          </cell>
          <cell r="I1161" t="e">
            <v>#N/A</v>
          </cell>
          <cell r="J1161" t="e">
            <v>#N/A</v>
          </cell>
          <cell r="K1161">
            <v>17.5</v>
          </cell>
          <cell r="L1161">
            <v>14</v>
          </cell>
          <cell r="M1161" t="e">
            <v>#N/A</v>
          </cell>
          <cell r="N1161">
            <v>16.5</v>
          </cell>
          <cell r="O1161" t="e">
            <v>#N/A</v>
          </cell>
          <cell r="P1161" t="str">
            <v/>
          </cell>
          <cell r="Q1161" t="str">
            <v/>
          </cell>
          <cell r="R1161">
            <v>16.5</v>
          </cell>
        </row>
        <row r="1162">
          <cell r="A1162" t="str">
            <v/>
          </cell>
          <cell r="B1162" t="str">
            <v/>
          </cell>
          <cell r="C1162" t="str">
            <v>Future</v>
          </cell>
          <cell r="D1162" t="e">
            <v>#N/A</v>
          </cell>
          <cell r="E1162">
            <v>-19.059459459459571</v>
          </cell>
          <cell r="F1162">
            <v>21.683783783784175</v>
          </cell>
          <cell r="G1162">
            <v>13.53513513513521</v>
          </cell>
          <cell r="H1162">
            <v>13.53513513513521</v>
          </cell>
          <cell r="I1162" t="e">
            <v>#N/A</v>
          </cell>
          <cell r="J1162" t="e">
            <v>#N/A</v>
          </cell>
          <cell r="K1162">
            <v>17.5</v>
          </cell>
          <cell r="L1162">
            <v>14</v>
          </cell>
          <cell r="M1162" t="e">
            <v>#N/A</v>
          </cell>
          <cell r="N1162">
            <v>16.5</v>
          </cell>
          <cell r="O1162" t="e">
            <v>#N/A</v>
          </cell>
          <cell r="P1162" t="str">
            <v/>
          </cell>
          <cell r="Q1162" t="str">
            <v/>
          </cell>
          <cell r="R1162">
            <v>16.5</v>
          </cell>
        </row>
        <row r="1163">
          <cell r="A1163" t="str">
            <v/>
          </cell>
          <cell r="B1163" t="str">
            <v/>
          </cell>
          <cell r="C1163" t="str">
            <v>Future</v>
          </cell>
          <cell r="D1163" t="e">
            <v>#N/A</v>
          </cell>
          <cell r="E1163">
            <v>-19.114864864864977</v>
          </cell>
          <cell r="F1163">
            <v>21.695945945946338</v>
          </cell>
          <cell r="G1163">
            <v>13.533783783783859</v>
          </cell>
          <cell r="H1163">
            <v>13.533783783783859</v>
          </cell>
          <cell r="I1163" t="e">
            <v>#N/A</v>
          </cell>
          <cell r="J1163" t="e">
            <v>#N/A</v>
          </cell>
          <cell r="K1163">
            <v>17.5</v>
          </cell>
          <cell r="L1163">
            <v>14</v>
          </cell>
          <cell r="M1163" t="e">
            <v>#N/A</v>
          </cell>
          <cell r="N1163">
            <v>16.5</v>
          </cell>
          <cell r="O1163" t="e">
            <v>#N/A</v>
          </cell>
          <cell r="P1163" t="str">
            <v/>
          </cell>
          <cell r="Q1163" t="str">
            <v/>
          </cell>
          <cell r="R1163">
            <v>16.5</v>
          </cell>
        </row>
        <row r="1164">
          <cell r="A1164" t="str">
            <v/>
          </cell>
          <cell r="B1164" t="str">
            <v/>
          </cell>
          <cell r="C1164" t="str">
            <v>Future</v>
          </cell>
          <cell r="D1164" t="e">
            <v>#N/A</v>
          </cell>
          <cell r="E1164">
            <v>-19.170270270270382</v>
          </cell>
          <cell r="F1164">
            <v>21.708108108108501</v>
          </cell>
          <cell r="G1164">
            <v>13.532432432432508</v>
          </cell>
          <cell r="H1164">
            <v>13.532432432432508</v>
          </cell>
          <cell r="I1164" t="e">
            <v>#N/A</v>
          </cell>
          <cell r="J1164" t="e">
            <v>#N/A</v>
          </cell>
          <cell r="K1164">
            <v>17.5</v>
          </cell>
          <cell r="L1164">
            <v>14</v>
          </cell>
          <cell r="M1164" t="e">
            <v>#N/A</v>
          </cell>
          <cell r="N1164">
            <v>16.5</v>
          </cell>
          <cell r="O1164" t="e">
            <v>#N/A</v>
          </cell>
          <cell r="P1164" t="str">
            <v/>
          </cell>
          <cell r="Q1164" t="str">
            <v/>
          </cell>
          <cell r="R1164">
            <v>16.5</v>
          </cell>
        </row>
        <row r="1165">
          <cell r="A1165" t="str">
            <v/>
          </cell>
          <cell r="B1165" t="str">
            <v/>
          </cell>
          <cell r="C1165" t="str">
            <v>Future</v>
          </cell>
          <cell r="D1165" t="e">
            <v>#N/A</v>
          </cell>
          <cell r="E1165">
            <v>-19.225675675675788</v>
          </cell>
          <cell r="F1165">
            <v>21.720270270270664</v>
          </cell>
          <cell r="G1165">
            <v>13.531081081081156</v>
          </cell>
          <cell r="H1165">
            <v>13.531081081081156</v>
          </cell>
          <cell r="I1165" t="e">
            <v>#N/A</v>
          </cell>
          <cell r="J1165" t="e">
            <v>#N/A</v>
          </cell>
          <cell r="K1165">
            <v>17.5</v>
          </cell>
          <cell r="L1165">
            <v>14</v>
          </cell>
          <cell r="M1165" t="e">
            <v>#N/A</v>
          </cell>
          <cell r="N1165">
            <v>16.5</v>
          </cell>
          <cell r="O1165" t="e">
            <v>#N/A</v>
          </cell>
          <cell r="P1165" t="str">
            <v/>
          </cell>
          <cell r="Q1165" t="str">
            <v/>
          </cell>
          <cell r="R1165">
            <v>16.5</v>
          </cell>
        </row>
        <row r="1166">
          <cell r="A1166" t="str">
            <v/>
          </cell>
          <cell r="B1166" t="str">
            <v/>
          </cell>
          <cell r="C1166" t="str">
            <v>Future</v>
          </cell>
          <cell r="D1166" t="e">
            <v>#N/A</v>
          </cell>
          <cell r="E1166">
            <v>-19.281081081081194</v>
          </cell>
          <cell r="F1166">
            <v>21.732432432432827</v>
          </cell>
          <cell r="G1166">
            <v>13.529729729729805</v>
          </cell>
          <cell r="H1166">
            <v>13.529729729729805</v>
          </cell>
          <cell r="I1166" t="e">
            <v>#N/A</v>
          </cell>
          <cell r="J1166" t="e">
            <v>#N/A</v>
          </cell>
          <cell r="K1166">
            <v>17.5</v>
          </cell>
          <cell r="L1166">
            <v>14</v>
          </cell>
          <cell r="M1166" t="e">
            <v>#N/A</v>
          </cell>
          <cell r="N1166">
            <v>16.5</v>
          </cell>
          <cell r="O1166" t="e">
            <v>#N/A</v>
          </cell>
          <cell r="P1166" t="str">
            <v/>
          </cell>
          <cell r="Q1166" t="str">
            <v/>
          </cell>
          <cell r="R1166">
            <v>16.5</v>
          </cell>
        </row>
        <row r="1167">
          <cell r="A1167" t="str">
            <v/>
          </cell>
          <cell r="B1167" t="str">
            <v/>
          </cell>
          <cell r="C1167" t="str">
            <v>Future</v>
          </cell>
          <cell r="D1167" t="e">
            <v>#N/A</v>
          </cell>
          <cell r="E1167">
            <v>-19.336486486486599</v>
          </cell>
          <cell r="F1167">
            <v>21.744594594594989</v>
          </cell>
          <cell r="G1167">
            <v>13.528378378378454</v>
          </cell>
          <cell r="H1167">
            <v>13.528378378378454</v>
          </cell>
          <cell r="I1167" t="e">
            <v>#N/A</v>
          </cell>
          <cell r="J1167" t="e">
            <v>#N/A</v>
          </cell>
          <cell r="K1167">
            <v>17.5</v>
          </cell>
          <cell r="L1167">
            <v>14</v>
          </cell>
          <cell r="M1167" t="e">
            <v>#N/A</v>
          </cell>
          <cell r="N1167">
            <v>16.5</v>
          </cell>
          <cell r="O1167" t="e">
            <v>#N/A</v>
          </cell>
          <cell r="P1167" t="str">
            <v/>
          </cell>
          <cell r="Q1167" t="str">
            <v/>
          </cell>
          <cell r="R1167">
            <v>16.5</v>
          </cell>
        </row>
        <row r="1168">
          <cell r="A1168" t="str">
            <v/>
          </cell>
          <cell r="B1168" t="str">
            <v/>
          </cell>
          <cell r="C1168" t="str">
            <v>Future</v>
          </cell>
          <cell r="D1168" t="e">
            <v>#N/A</v>
          </cell>
          <cell r="E1168">
            <v>-19.391891891892005</v>
          </cell>
          <cell r="F1168">
            <v>21.756756756757152</v>
          </cell>
          <cell r="G1168">
            <v>13.527027027027103</v>
          </cell>
          <cell r="H1168">
            <v>13.527027027027103</v>
          </cell>
          <cell r="I1168" t="e">
            <v>#N/A</v>
          </cell>
          <cell r="J1168" t="e">
            <v>#N/A</v>
          </cell>
          <cell r="K1168">
            <v>17.5</v>
          </cell>
          <cell r="L1168">
            <v>14</v>
          </cell>
          <cell r="M1168" t="e">
            <v>#N/A</v>
          </cell>
          <cell r="N1168">
            <v>16.5</v>
          </cell>
          <cell r="O1168" t="e">
            <v>#N/A</v>
          </cell>
          <cell r="P1168" t="str">
            <v/>
          </cell>
          <cell r="Q1168" t="str">
            <v/>
          </cell>
          <cell r="R1168">
            <v>16.5</v>
          </cell>
        </row>
        <row r="1169">
          <cell r="A1169" t="str">
            <v/>
          </cell>
          <cell r="B1169" t="str">
            <v/>
          </cell>
          <cell r="C1169" t="str">
            <v>Future</v>
          </cell>
          <cell r="D1169" t="e">
            <v>#N/A</v>
          </cell>
          <cell r="E1169">
            <v>-19.447297297297411</v>
          </cell>
          <cell r="F1169">
            <v>21.768918918919315</v>
          </cell>
          <cell r="G1169">
            <v>13.525675675675751</v>
          </cell>
          <cell r="H1169">
            <v>13.525675675675751</v>
          </cell>
          <cell r="I1169" t="e">
            <v>#N/A</v>
          </cell>
          <cell r="J1169" t="e">
            <v>#N/A</v>
          </cell>
          <cell r="K1169">
            <v>17.5</v>
          </cell>
          <cell r="L1169">
            <v>14</v>
          </cell>
          <cell r="M1169" t="e">
            <v>#N/A</v>
          </cell>
          <cell r="N1169">
            <v>16.5</v>
          </cell>
          <cell r="O1169" t="e">
            <v>#N/A</v>
          </cell>
          <cell r="P1169" t="str">
            <v/>
          </cell>
          <cell r="Q1169" t="str">
            <v/>
          </cell>
          <cell r="R1169">
            <v>16.5</v>
          </cell>
        </row>
        <row r="1170">
          <cell r="A1170" t="str">
            <v/>
          </cell>
          <cell r="B1170" t="str">
            <v/>
          </cell>
          <cell r="C1170" t="str">
            <v>Future</v>
          </cell>
          <cell r="D1170" t="e">
            <v>#N/A</v>
          </cell>
          <cell r="E1170">
            <v>-19.502702702702816</v>
          </cell>
          <cell r="F1170">
            <v>21.781081081081478</v>
          </cell>
          <cell r="G1170">
            <v>13.5243243243244</v>
          </cell>
          <cell r="H1170">
            <v>13.5243243243244</v>
          </cell>
          <cell r="I1170" t="e">
            <v>#N/A</v>
          </cell>
          <cell r="J1170" t="e">
            <v>#N/A</v>
          </cell>
          <cell r="K1170">
            <v>17.5</v>
          </cell>
          <cell r="L1170">
            <v>14</v>
          </cell>
          <cell r="M1170" t="e">
            <v>#N/A</v>
          </cell>
          <cell r="N1170">
            <v>16.5</v>
          </cell>
          <cell r="O1170" t="e">
            <v>#N/A</v>
          </cell>
          <cell r="P1170" t="str">
            <v/>
          </cell>
          <cell r="Q1170" t="str">
            <v/>
          </cell>
          <cell r="R1170">
            <v>16.5</v>
          </cell>
        </row>
        <row r="1171">
          <cell r="A1171" t="str">
            <v/>
          </cell>
          <cell r="B1171" t="str">
            <v/>
          </cell>
          <cell r="C1171" t="str">
            <v>Future</v>
          </cell>
          <cell r="D1171" t="e">
            <v>#N/A</v>
          </cell>
          <cell r="E1171">
            <v>-19.558108108108222</v>
          </cell>
          <cell r="F1171">
            <v>21.793243243243641</v>
          </cell>
          <cell r="G1171">
            <v>13.522972972973049</v>
          </cell>
          <cell r="H1171">
            <v>13.522972972973049</v>
          </cell>
          <cell r="I1171" t="e">
            <v>#N/A</v>
          </cell>
          <cell r="J1171" t="e">
            <v>#N/A</v>
          </cell>
          <cell r="K1171">
            <v>17.5</v>
          </cell>
          <cell r="L1171">
            <v>14</v>
          </cell>
          <cell r="M1171" t="e">
            <v>#N/A</v>
          </cell>
          <cell r="N1171">
            <v>16.5</v>
          </cell>
          <cell r="O1171" t="e">
            <v>#N/A</v>
          </cell>
          <cell r="P1171" t="str">
            <v/>
          </cell>
          <cell r="Q1171" t="str">
            <v/>
          </cell>
          <cell r="R1171">
            <v>16.5</v>
          </cell>
        </row>
        <row r="1172">
          <cell r="A1172" t="str">
            <v/>
          </cell>
          <cell r="B1172" t="str">
            <v/>
          </cell>
          <cell r="C1172" t="str">
            <v>Future</v>
          </cell>
          <cell r="D1172" t="e">
            <v>#N/A</v>
          </cell>
          <cell r="E1172">
            <v>-19.613513513513627</v>
          </cell>
          <cell r="F1172">
            <v>21.805405405405804</v>
          </cell>
          <cell r="G1172">
            <v>13.521621621621698</v>
          </cell>
          <cell r="H1172">
            <v>13.521621621621698</v>
          </cell>
          <cell r="I1172" t="e">
            <v>#N/A</v>
          </cell>
          <cell r="J1172" t="e">
            <v>#N/A</v>
          </cell>
          <cell r="K1172">
            <v>17.5</v>
          </cell>
          <cell r="L1172">
            <v>14</v>
          </cell>
          <cell r="M1172" t="e">
            <v>#N/A</v>
          </cell>
          <cell r="N1172">
            <v>16.5</v>
          </cell>
          <cell r="O1172" t="e">
            <v>#N/A</v>
          </cell>
          <cell r="P1172" t="str">
            <v/>
          </cell>
          <cell r="Q1172" t="str">
            <v/>
          </cell>
          <cell r="R1172">
            <v>16.5</v>
          </cell>
        </row>
        <row r="1173">
          <cell r="A1173" t="str">
            <v/>
          </cell>
          <cell r="B1173" t="str">
            <v/>
          </cell>
          <cell r="C1173" t="str">
            <v>Future</v>
          </cell>
          <cell r="D1173" t="e">
            <v>#N/A</v>
          </cell>
          <cell r="E1173">
            <v>-19.668918918919033</v>
          </cell>
          <cell r="F1173">
            <v>21.817567567567966</v>
          </cell>
          <cell r="G1173">
            <v>13.520270270270347</v>
          </cell>
          <cell r="H1173">
            <v>13.520270270270347</v>
          </cell>
          <cell r="I1173" t="e">
            <v>#N/A</v>
          </cell>
          <cell r="J1173" t="e">
            <v>#N/A</v>
          </cell>
          <cell r="K1173">
            <v>17.5</v>
          </cell>
          <cell r="L1173">
            <v>14</v>
          </cell>
          <cell r="M1173" t="e">
            <v>#N/A</v>
          </cell>
          <cell r="N1173">
            <v>16.5</v>
          </cell>
          <cell r="O1173" t="e">
            <v>#N/A</v>
          </cell>
          <cell r="P1173" t="str">
            <v/>
          </cell>
          <cell r="Q1173" t="str">
            <v/>
          </cell>
          <cell r="R1173">
            <v>16.5</v>
          </cell>
        </row>
        <row r="1174">
          <cell r="A1174" t="str">
            <v/>
          </cell>
          <cell r="B1174" t="str">
            <v/>
          </cell>
          <cell r="C1174" t="str">
            <v>Future</v>
          </cell>
          <cell r="D1174" t="e">
            <v>#N/A</v>
          </cell>
          <cell r="E1174">
            <v>-19.724324324324439</v>
          </cell>
          <cell r="F1174">
            <v>21.829729729730129</v>
          </cell>
          <cell r="G1174">
            <v>13.518918918918995</v>
          </cell>
          <cell r="H1174">
            <v>13.518918918918995</v>
          </cell>
          <cell r="I1174" t="e">
            <v>#N/A</v>
          </cell>
          <cell r="J1174" t="e">
            <v>#N/A</v>
          </cell>
          <cell r="K1174">
            <v>17.5</v>
          </cell>
          <cell r="L1174">
            <v>14</v>
          </cell>
          <cell r="M1174" t="e">
            <v>#N/A</v>
          </cell>
          <cell r="N1174">
            <v>16.5</v>
          </cell>
          <cell r="O1174" t="e">
            <v>#N/A</v>
          </cell>
          <cell r="P1174" t="str">
            <v/>
          </cell>
          <cell r="Q1174" t="str">
            <v/>
          </cell>
          <cell r="R1174">
            <v>16.5</v>
          </cell>
        </row>
        <row r="1175">
          <cell r="A1175" t="str">
            <v/>
          </cell>
          <cell r="B1175" t="str">
            <v/>
          </cell>
          <cell r="C1175" t="str">
            <v>Future</v>
          </cell>
          <cell r="D1175" t="e">
            <v>#N/A</v>
          </cell>
          <cell r="E1175">
            <v>-19.779729729729844</v>
          </cell>
          <cell r="F1175">
            <v>21.841891891892292</v>
          </cell>
          <cell r="G1175">
            <v>13.517567567567644</v>
          </cell>
          <cell r="H1175">
            <v>13.517567567567644</v>
          </cell>
          <cell r="I1175" t="e">
            <v>#N/A</v>
          </cell>
          <cell r="J1175" t="e">
            <v>#N/A</v>
          </cell>
          <cell r="K1175">
            <v>17.5</v>
          </cell>
          <cell r="L1175">
            <v>14</v>
          </cell>
          <cell r="M1175" t="e">
            <v>#N/A</v>
          </cell>
          <cell r="N1175">
            <v>16.5</v>
          </cell>
          <cell r="O1175" t="e">
            <v>#N/A</v>
          </cell>
          <cell r="P1175" t="str">
            <v/>
          </cell>
          <cell r="Q1175" t="str">
            <v/>
          </cell>
          <cell r="R1175">
            <v>16.5</v>
          </cell>
        </row>
        <row r="1176">
          <cell r="A1176" t="str">
            <v/>
          </cell>
          <cell r="B1176" t="str">
            <v/>
          </cell>
          <cell r="C1176" t="str">
            <v>Future</v>
          </cell>
          <cell r="D1176" t="e">
            <v>#N/A</v>
          </cell>
          <cell r="E1176">
            <v>-19.83513513513525</v>
          </cell>
          <cell r="F1176">
            <v>21.854054054054455</v>
          </cell>
          <cell r="G1176">
            <v>13.516216216216293</v>
          </cell>
          <cell r="H1176">
            <v>13.516216216216293</v>
          </cell>
          <cell r="I1176" t="e">
            <v>#N/A</v>
          </cell>
          <cell r="J1176" t="e">
            <v>#N/A</v>
          </cell>
          <cell r="K1176">
            <v>17.5</v>
          </cell>
          <cell r="L1176">
            <v>14</v>
          </cell>
          <cell r="M1176" t="e">
            <v>#N/A</v>
          </cell>
          <cell r="N1176">
            <v>16.5</v>
          </cell>
          <cell r="O1176" t="e">
            <v>#N/A</v>
          </cell>
          <cell r="P1176" t="str">
            <v/>
          </cell>
          <cell r="Q1176" t="str">
            <v/>
          </cell>
          <cell r="R1176">
            <v>16.5</v>
          </cell>
        </row>
        <row r="1177">
          <cell r="A1177" t="str">
            <v/>
          </cell>
          <cell r="B1177" t="str">
            <v/>
          </cell>
          <cell r="C1177" t="str">
            <v>Future</v>
          </cell>
          <cell r="D1177" t="e">
            <v>#N/A</v>
          </cell>
          <cell r="E1177">
            <v>-19.890540540540655</v>
          </cell>
          <cell r="F1177">
            <v>21.866216216216618</v>
          </cell>
          <cell r="G1177">
            <v>13.514864864864942</v>
          </cell>
          <cell r="H1177">
            <v>13.514864864864942</v>
          </cell>
          <cell r="I1177" t="e">
            <v>#N/A</v>
          </cell>
          <cell r="J1177" t="e">
            <v>#N/A</v>
          </cell>
          <cell r="K1177">
            <v>17.5</v>
          </cell>
          <cell r="L1177">
            <v>14</v>
          </cell>
          <cell r="M1177" t="e">
            <v>#N/A</v>
          </cell>
          <cell r="N1177">
            <v>16.5</v>
          </cell>
          <cell r="O1177" t="e">
            <v>#N/A</v>
          </cell>
          <cell r="P1177" t="str">
            <v/>
          </cell>
          <cell r="Q1177" t="str">
            <v/>
          </cell>
          <cell r="R1177">
            <v>16.5</v>
          </cell>
        </row>
        <row r="1178">
          <cell r="A1178" t="str">
            <v/>
          </cell>
          <cell r="B1178" t="str">
            <v/>
          </cell>
          <cell r="C1178" t="str">
            <v>Future</v>
          </cell>
          <cell r="D1178" t="e">
            <v>#N/A</v>
          </cell>
          <cell r="E1178">
            <v>-19.945945945946061</v>
          </cell>
          <cell r="F1178">
            <v>21.87837837837878</v>
          </cell>
          <cell r="G1178">
            <v>13.51351351351359</v>
          </cell>
          <cell r="H1178">
            <v>13.51351351351359</v>
          </cell>
          <cell r="I1178" t="e">
            <v>#N/A</v>
          </cell>
          <cell r="J1178" t="e">
            <v>#N/A</v>
          </cell>
          <cell r="K1178">
            <v>17.5</v>
          </cell>
          <cell r="L1178">
            <v>14</v>
          </cell>
          <cell r="M1178" t="e">
            <v>#N/A</v>
          </cell>
          <cell r="N1178">
            <v>16.5</v>
          </cell>
          <cell r="O1178" t="e">
            <v>#N/A</v>
          </cell>
          <cell r="P1178" t="str">
            <v/>
          </cell>
          <cell r="Q1178" t="str">
            <v/>
          </cell>
          <cell r="R1178">
            <v>16.5</v>
          </cell>
        </row>
        <row r="1179">
          <cell r="A1179" t="str">
            <v/>
          </cell>
          <cell r="B1179" t="str">
            <v/>
          </cell>
          <cell r="C1179" t="str">
            <v>Future</v>
          </cell>
          <cell r="D1179" t="e">
            <v>#N/A</v>
          </cell>
          <cell r="E1179">
            <v>-20.001351351351467</v>
          </cell>
          <cell r="F1179">
            <v>21.890540540540943</v>
          </cell>
          <cell r="G1179">
            <v>13.512162162162239</v>
          </cell>
          <cell r="H1179">
            <v>13.512162162162239</v>
          </cell>
          <cell r="I1179" t="e">
            <v>#N/A</v>
          </cell>
          <cell r="J1179" t="e">
            <v>#N/A</v>
          </cell>
          <cell r="K1179">
            <v>17.5</v>
          </cell>
          <cell r="L1179">
            <v>14</v>
          </cell>
          <cell r="M1179" t="e">
            <v>#N/A</v>
          </cell>
          <cell r="N1179">
            <v>16.5</v>
          </cell>
          <cell r="O1179" t="e">
            <v>#N/A</v>
          </cell>
          <cell r="P1179" t="str">
            <v/>
          </cell>
          <cell r="Q1179" t="str">
            <v/>
          </cell>
          <cell r="R1179">
            <v>16.5</v>
          </cell>
        </row>
        <row r="1180">
          <cell r="A1180" t="str">
            <v/>
          </cell>
          <cell r="B1180" t="str">
            <v/>
          </cell>
          <cell r="C1180" t="str">
            <v>Future</v>
          </cell>
          <cell r="D1180" t="e">
            <v>#N/A</v>
          </cell>
          <cell r="E1180">
            <v>-20.056756756756872</v>
          </cell>
          <cell r="F1180">
            <v>21.902702702703106</v>
          </cell>
          <cell r="G1180">
            <v>13.510810810810888</v>
          </cell>
          <cell r="H1180">
            <v>13.510810810810888</v>
          </cell>
          <cell r="I1180" t="e">
            <v>#N/A</v>
          </cell>
          <cell r="J1180" t="e">
            <v>#N/A</v>
          </cell>
          <cell r="K1180">
            <v>17.5</v>
          </cell>
          <cell r="L1180">
            <v>14</v>
          </cell>
          <cell r="M1180" t="e">
            <v>#N/A</v>
          </cell>
          <cell r="N1180">
            <v>16.5</v>
          </cell>
          <cell r="O1180" t="e">
            <v>#N/A</v>
          </cell>
          <cell r="P1180" t="str">
            <v/>
          </cell>
          <cell r="Q1180" t="str">
            <v/>
          </cell>
          <cell r="R1180">
            <v>16.5</v>
          </cell>
        </row>
        <row r="1181">
          <cell r="A1181" t="str">
            <v/>
          </cell>
          <cell r="B1181" t="str">
            <v/>
          </cell>
          <cell r="C1181" t="str">
            <v>Future</v>
          </cell>
          <cell r="D1181" t="e">
            <v>#N/A</v>
          </cell>
          <cell r="E1181">
            <v>-20.112162162162278</v>
          </cell>
          <cell r="F1181">
            <v>21.914864864865269</v>
          </cell>
          <cell r="G1181">
            <v>13.509459459459537</v>
          </cell>
          <cell r="H1181">
            <v>13.509459459459537</v>
          </cell>
          <cell r="I1181" t="e">
            <v>#N/A</v>
          </cell>
          <cell r="J1181" t="e">
            <v>#N/A</v>
          </cell>
          <cell r="K1181">
            <v>17.5</v>
          </cell>
          <cell r="L1181">
            <v>14</v>
          </cell>
          <cell r="M1181" t="e">
            <v>#N/A</v>
          </cell>
          <cell r="N1181">
            <v>16.5</v>
          </cell>
          <cell r="O1181" t="e">
            <v>#N/A</v>
          </cell>
          <cell r="P1181" t="str">
            <v/>
          </cell>
          <cell r="Q1181" t="str">
            <v/>
          </cell>
          <cell r="R1181">
            <v>16.5</v>
          </cell>
        </row>
        <row r="1182">
          <cell r="A1182" t="str">
            <v/>
          </cell>
          <cell r="B1182" t="str">
            <v/>
          </cell>
          <cell r="C1182" t="str">
            <v>Future</v>
          </cell>
          <cell r="D1182" t="e">
            <v>#N/A</v>
          </cell>
          <cell r="E1182">
            <v>-20.167567567567684</v>
          </cell>
          <cell r="F1182">
            <v>21.927027027027432</v>
          </cell>
          <cell r="G1182">
            <v>13.508108108108186</v>
          </cell>
          <cell r="H1182">
            <v>13.508108108108186</v>
          </cell>
          <cell r="I1182" t="e">
            <v>#N/A</v>
          </cell>
          <cell r="J1182" t="e">
            <v>#N/A</v>
          </cell>
          <cell r="K1182">
            <v>17.5</v>
          </cell>
          <cell r="L1182">
            <v>14</v>
          </cell>
          <cell r="M1182" t="e">
            <v>#N/A</v>
          </cell>
          <cell r="N1182">
            <v>16.5</v>
          </cell>
          <cell r="O1182" t="e">
            <v>#N/A</v>
          </cell>
          <cell r="P1182" t="str">
            <v/>
          </cell>
          <cell r="Q1182" t="str">
            <v/>
          </cell>
          <cell r="R1182">
            <v>16.5</v>
          </cell>
        </row>
        <row r="1183">
          <cell r="A1183" t="str">
            <v/>
          </cell>
          <cell r="B1183" t="str">
            <v/>
          </cell>
          <cell r="C1183" t="str">
            <v>Future</v>
          </cell>
          <cell r="D1183" t="e">
            <v>#N/A</v>
          </cell>
          <cell r="E1183">
            <v>-20.222972972973089</v>
          </cell>
          <cell r="F1183">
            <v>21.939189189189594</v>
          </cell>
          <cell r="G1183">
            <v>13.506756756756834</v>
          </cell>
          <cell r="H1183">
            <v>13.506756756756834</v>
          </cell>
          <cell r="I1183" t="e">
            <v>#N/A</v>
          </cell>
          <cell r="J1183" t="e">
            <v>#N/A</v>
          </cell>
          <cell r="K1183">
            <v>17.5</v>
          </cell>
          <cell r="L1183">
            <v>14</v>
          </cell>
          <cell r="M1183" t="e">
            <v>#N/A</v>
          </cell>
          <cell r="N1183">
            <v>16.5</v>
          </cell>
          <cell r="O1183" t="e">
            <v>#N/A</v>
          </cell>
          <cell r="P1183" t="str">
            <v/>
          </cell>
          <cell r="Q1183" t="str">
            <v/>
          </cell>
          <cell r="R1183">
            <v>16.5</v>
          </cell>
        </row>
        <row r="1184">
          <cell r="A1184" t="str">
            <v/>
          </cell>
          <cell r="B1184" t="str">
            <v/>
          </cell>
          <cell r="C1184" t="str">
            <v>Future</v>
          </cell>
          <cell r="D1184" t="e">
            <v>#N/A</v>
          </cell>
          <cell r="E1184">
            <v>-20.278378378378495</v>
          </cell>
          <cell r="F1184">
            <v>21.951351351351757</v>
          </cell>
          <cell r="G1184">
            <v>13.505405405405483</v>
          </cell>
          <cell r="H1184">
            <v>13.505405405405483</v>
          </cell>
          <cell r="I1184" t="e">
            <v>#N/A</v>
          </cell>
          <cell r="J1184" t="e">
            <v>#N/A</v>
          </cell>
          <cell r="K1184">
            <v>17.5</v>
          </cell>
          <cell r="L1184">
            <v>14</v>
          </cell>
          <cell r="M1184" t="e">
            <v>#N/A</v>
          </cell>
          <cell r="N1184">
            <v>16.5</v>
          </cell>
          <cell r="O1184" t="e">
            <v>#N/A</v>
          </cell>
          <cell r="P1184" t="str">
            <v/>
          </cell>
          <cell r="Q1184" t="str">
            <v/>
          </cell>
          <cell r="R1184">
            <v>16.5</v>
          </cell>
        </row>
        <row r="1185">
          <cell r="A1185" t="str">
            <v/>
          </cell>
          <cell r="B1185" t="str">
            <v/>
          </cell>
          <cell r="C1185" t="str">
            <v>Future</v>
          </cell>
          <cell r="D1185" t="e">
            <v>#N/A</v>
          </cell>
          <cell r="E1185">
            <v>-20.3337837837839</v>
          </cell>
          <cell r="F1185">
            <v>21.96351351351392</v>
          </cell>
          <cell r="G1185">
            <v>13.504054054054132</v>
          </cell>
          <cell r="H1185">
            <v>13.504054054054132</v>
          </cell>
          <cell r="I1185" t="e">
            <v>#N/A</v>
          </cell>
          <cell r="J1185" t="e">
            <v>#N/A</v>
          </cell>
          <cell r="K1185">
            <v>17.5</v>
          </cell>
          <cell r="L1185">
            <v>14</v>
          </cell>
          <cell r="M1185" t="e">
            <v>#N/A</v>
          </cell>
          <cell r="N1185">
            <v>16.5</v>
          </cell>
          <cell r="O1185" t="e">
            <v>#N/A</v>
          </cell>
          <cell r="P1185" t="str">
            <v/>
          </cell>
          <cell r="Q1185" t="str">
            <v/>
          </cell>
          <cell r="R1185">
            <v>16.5</v>
          </cell>
        </row>
        <row r="1186">
          <cell r="A1186" t="str">
            <v/>
          </cell>
          <cell r="B1186" t="str">
            <v/>
          </cell>
          <cell r="C1186" t="str">
            <v>Future</v>
          </cell>
          <cell r="D1186" t="e">
            <v>#N/A</v>
          </cell>
          <cell r="E1186">
            <v>-20.389189189189306</v>
          </cell>
          <cell r="F1186">
            <v>21.975675675676083</v>
          </cell>
          <cell r="G1186">
            <v>13.502702702702781</v>
          </cell>
          <cell r="H1186">
            <v>13.502702702702781</v>
          </cell>
          <cell r="I1186" t="e">
            <v>#N/A</v>
          </cell>
          <cell r="J1186" t="e">
            <v>#N/A</v>
          </cell>
          <cell r="K1186">
            <v>17.5</v>
          </cell>
          <cell r="L1186">
            <v>14</v>
          </cell>
          <cell r="M1186" t="e">
            <v>#N/A</v>
          </cell>
          <cell r="N1186">
            <v>16.5</v>
          </cell>
          <cell r="O1186" t="e">
            <v>#N/A</v>
          </cell>
          <cell r="P1186" t="str">
            <v/>
          </cell>
          <cell r="Q1186" t="str">
            <v/>
          </cell>
          <cell r="R1186">
            <v>16.5</v>
          </cell>
        </row>
        <row r="1187">
          <cell r="A1187" t="str">
            <v/>
          </cell>
          <cell r="B1187" t="str">
            <v/>
          </cell>
          <cell r="C1187" t="str">
            <v>Future</v>
          </cell>
          <cell r="D1187" t="e">
            <v>#N/A</v>
          </cell>
          <cell r="E1187">
            <v>-20.444594594594712</v>
          </cell>
          <cell r="F1187">
            <v>21.987837837838246</v>
          </cell>
          <cell r="G1187">
            <v>13.501351351351429</v>
          </cell>
          <cell r="H1187">
            <v>13.501351351351429</v>
          </cell>
          <cell r="I1187" t="e">
            <v>#N/A</v>
          </cell>
          <cell r="J1187" t="e">
            <v>#N/A</v>
          </cell>
          <cell r="K1187">
            <v>17.5</v>
          </cell>
          <cell r="L1187">
            <v>14</v>
          </cell>
          <cell r="M1187" t="e">
            <v>#N/A</v>
          </cell>
          <cell r="N1187">
            <v>16.5</v>
          </cell>
          <cell r="O1187" t="e">
            <v>#N/A</v>
          </cell>
          <cell r="P1187" t="str">
            <v/>
          </cell>
          <cell r="Q1187" t="str">
            <v/>
          </cell>
          <cell r="R1187">
            <v>16.5</v>
          </cell>
        </row>
        <row r="1188">
          <cell r="A1188" t="str">
            <v/>
          </cell>
          <cell r="B1188" t="str">
            <v/>
          </cell>
          <cell r="C1188" t="str">
            <v>Future</v>
          </cell>
          <cell r="D1188" t="e">
            <v>#N/A</v>
          </cell>
          <cell r="E1188">
            <v>-20.500000000000117</v>
          </cell>
          <cell r="F1188">
            <v>22.000000000000409</v>
          </cell>
          <cell r="G1188">
            <v>13.500000000000078</v>
          </cell>
          <cell r="H1188">
            <v>13.500000000000078</v>
          </cell>
          <cell r="I1188" t="e">
            <v>#N/A</v>
          </cell>
          <cell r="J1188" t="e">
            <v>#N/A</v>
          </cell>
          <cell r="K1188">
            <v>17.5</v>
          </cell>
          <cell r="L1188">
            <v>14</v>
          </cell>
          <cell r="M1188" t="e">
            <v>#N/A</v>
          </cell>
          <cell r="N1188">
            <v>16.5</v>
          </cell>
          <cell r="O1188" t="e">
            <v>#N/A</v>
          </cell>
          <cell r="P1188" t="str">
            <v/>
          </cell>
          <cell r="Q1188" t="str">
            <v/>
          </cell>
          <cell r="R1188">
            <v>16.5</v>
          </cell>
        </row>
        <row r="1189">
          <cell r="A1189" t="str">
            <v/>
          </cell>
          <cell r="B1189" t="str">
            <v/>
          </cell>
          <cell r="C1189" t="str">
            <v>Future</v>
          </cell>
          <cell r="D1189" t="e">
            <v>#N/A</v>
          </cell>
          <cell r="E1189">
            <v>-20.555405405405523</v>
          </cell>
          <cell r="F1189">
            <v>22.012162162162571</v>
          </cell>
          <cell r="G1189">
            <v>13.498648648648727</v>
          </cell>
          <cell r="H1189">
            <v>13.498648648648727</v>
          </cell>
          <cell r="I1189" t="e">
            <v>#N/A</v>
          </cell>
          <cell r="J1189" t="e">
            <v>#N/A</v>
          </cell>
          <cell r="K1189">
            <v>17.5</v>
          </cell>
          <cell r="L1189">
            <v>14</v>
          </cell>
          <cell r="M1189" t="e">
            <v>#N/A</v>
          </cell>
          <cell r="N1189">
            <v>16.5</v>
          </cell>
          <cell r="O1189" t="e">
            <v>#N/A</v>
          </cell>
          <cell r="P1189" t="str">
            <v/>
          </cell>
          <cell r="Q1189" t="str">
            <v/>
          </cell>
          <cell r="R1189">
            <v>16.5</v>
          </cell>
        </row>
        <row r="1190">
          <cell r="A1190" t="str">
            <v/>
          </cell>
          <cell r="B1190" t="str">
            <v/>
          </cell>
          <cell r="C1190" t="str">
            <v>Future</v>
          </cell>
          <cell r="D1190" t="e">
            <v>#N/A</v>
          </cell>
          <cell r="E1190">
            <v>-20.610810810810928</v>
          </cell>
          <cell r="F1190">
            <v>22.024324324324734</v>
          </cell>
          <cell r="G1190">
            <v>13.497297297297376</v>
          </cell>
          <cell r="H1190">
            <v>13.497297297297376</v>
          </cell>
          <cell r="I1190" t="e">
            <v>#N/A</v>
          </cell>
          <cell r="J1190" t="e">
            <v>#N/A</v>
          </cell>
          <cell r="K1190">
            <v>17.5</v>
          </cell>
          <cell r="L1190">
            <v>14</v>
          </cell>
          <cell r="M1190" t="e">
            <v>#N/A</v>
          </cell>
          <cell r="N1190">
            <v>16.5</v>
          </cell>
          <cell r="O1190" t="e">
            <v>#N/A</v>
          </cell>
          <cell r="P1190" t="str">
            <v/>
          </cell>
          <cell r="Q1190" t="str">
            <v/>
          </cell>
          <cell r="R1190">
            <v>16.5</v>
          </cell>
        </row>
        <row r="1191">
          <cell r="A1191" t="str">
            <v/>
          </cell>
          <cell r="B1191" t="str">
            <v/>
          </cell>
          <cell r="C1191" t="str">
            <v>Future</v>
          </cell>
          <cell r="D1191" t="e">
            <v>#N/A</v>
          </cell>
          <cell r="E1191">
            <v>-20.666216216216334</v>
          </cell>
          <cell r="F1191">
            <v>22.036486486486897</v>
          </cell>
          <cell r="G1191">
            <v>13.495945945946024</v>
          </cell>
          <cell r="H1191">
            <v>13.495945945946024</v>
          </cell>
          <cell r="I1191" t="e">
            <v>#N/A</v>
          </cell>
          <cell r="J1191" t="e">
            <v>#N/A</v>
          </cell>
          <cell r="K1191">
            <v>17.5</v>
          </cell>
          <cell r="L1191">
            <v>14</v>
          </cell>
          <cell r="M1191" t="e">
            <v>#N/A</v>
          </cell>
          <cell r="N1191">
            <v>16.5</v>
          </cell>
          <cell r="O1191" t="e">
            <v>#N/A</v>
          </cell>
          <cell r="P1191" t="str">
            <v/>
          </cell>
          <cell r="Q1191" t="str">
            <v/>
          </cell>
          <cell r="R1191">
            <v>16.5</v>
          </cell>
        </row>
        <row r="1192">
          <cell r="A1192" t="str">
            <v/>
          </cell>
          <cell r="B1192" t="str">
            <v/>
          </cell>
          <cell r="C1192" t="str">
            <v>Future</v>
          </cell>
          <cell r="D1192" t="e">
            <v>#N/A</v>
          </cell>
          <cell r="E1192">
            <v>-20.72162162162174</v>
          </cell>
          <cell r="F1192">
            <v>22.04864864864906</v>
          </cell>
          <cell r="G1192">
            <v>13.494594594594673</v>
          </cell>
          <cell r="H1192">
            <v>13.494594594594673</v>
          </cell>
          <cell r="I1192" t="e">
            <v>#N/A</v>
          </cell>
          <cell r="J1192" t="e">
            <v>#N/A</v>
          </cell>
          <cell r="K1192">
            <v>17.5</v>
          </cell>
          <cell r="L1192">
            <v>14</v>
          </cell>
          <cell r="M1192" t="e">
            <v>#N/A</v>
          </cell>
          <cell r="N1192">
            <v>16.5</v>
          </cell>
          <cell r="O1192" t="e">
            <v>#N/A</v>
          </cell>
          <cell r="P1192" t="str">
            <v/>
          </cell>
          <cell r="Q1192" t="str">
            <v/>
          </cell>
          <cell r="R1192">
            <v>16.5</v>
          </cell>
        </row>
        <row r="1193">
          <cell r="A1193" t="str">
            <v/>
          </cell>
          <cell r="B1193" t="str">
            <v/>
          </cell>
          <cell r="C1193" t="str">
            <v>Future</v>
          </cell>
          <cell r="D1193" t="e">
            <v>#N/A</v>
          </cell>
          <cell r="E1193">
            <v>-20.777027027027145</v>
          </cell>
          <cell r="F1193">
            <v>22.060810810811223</v>
          </cell>
          <cell r="G1193">
            <v>13.493243243243322</v>
          </cell>
          <cell r="H1193">
            <v>13.493243243243322</v>
          </cell>
          <cell r="I1193" t="e">
            <v>#N/A</v>
          </cell>
          <cell r="J1193" t="e">
            <v>#N/A</v>
          </cell>
          <cell r="K1193">
            <v>17.5</v>
          </cell>
          <cell r="L1193">
            <v>14</v>
          </cell>
          <cell r="M1193" t="e">
            <v>#N/A</v>
          </cell>
          <cell r="N1193">
            <v>16.5</v>
          </cell>
          <cell r="O1193" t="e">
            <v>#N/A</v>
          </cell>
          <cell r="P1193" t="str">
            <v/>
          </cell>
          <cell r="Q1193" t="str">
            <v/>
          </cell>
          <cell r="R1193">
            <v>16.5</v>
          </cell>
        </row>
        <row r="1194">
          <cell r="A1194" t="str">
            <v/>
          </cell>
          <cell r="B1194" t="str">
            <v/>
          </cell>
          <cell r="C1194" t="str">
            <v>Future</v>
          </cell>
          <cell r="D1194" t="e">
            <v>#N/A</v>
          </cell>
          <cell r="E1194">
            <v>-20.832432432432551</v>
          </cell>
          <cell r="F1194">
            <v>22.072972972973385</v>
          </cell>
          <cell r="G1194">
            <v>13.491891891891971</v>
          </cell>
          <cell r="H1194">
            <v>13.491891891891971</v>
          </cell>
          <cell r="I1194" t="e">
            <v>#N/A</v>
          </cell>
          <cell r="J1194" t="e">
            <v>#N/A</v>
          </cell>
          <cell r="K1194">
            <v>17.5</v>
          </cell>
          <cell r="L1194">
            <v>14</v>
          </cell>
          <cell r="M1194" t="e">
            <v>#N/A</v>
          </cell>
          <cell r="N1194">
            <v>16.5</v>
          </cell>
          <cell r="O1194" t="e">
            <v>#N/A</v>
          </cell>
          <cell r="P1194" t="str">
            <v/>
          </cell>
          <cell r="Q1194" t="str">
            <v/>
          </cell>
          <cell r="R1194">
            <v>16.5</v>
          </cell>
        </row>
        <row r="1195">
          <cell r="A1195" t="str">
            <v/>
          </cell>
          <cell r="B1195" t="str">
            <v/>
          </cell>
          <cell r="C1195" t="str">
            <v>Future</v>
          </cell>
          <cell r="D1195" t="e">
            <v>#N/A</v>
          </cell>
          <cell r="E1195">
            <v>-20.887837837837957</v>
          </cell>
          <cell r="F1195">
            <v>22.085135135135548</v>
          </cell>
          <cell r="G1195">
            <v>13.49054054054062</v>
          </cell>
          <cell r="H1195">
            <v>13.49054054054062</v>
          </cell>
          <cell r="I1195" t="e">
            <v>#N/A</v>
          </cell>
          <cell r="J1195" t="e">
            <v>#N/A</v>
          </cell>
          <cell r="K1195">
            <v>17.5</v>
          </cell>
          <cell r="L1195">
            <v>14</v>
          </cell>
          <cell r="M1195" t="e">
            <v>#N/A</v>
          </cell>
          <cell r="N1195">
            <v>16.5</v>
          </cell>
          <cell r="O1195" t="e">
            <v>#N/A</v>
          </cell>
          <cell r="P1195" t="str">
            <v/>
          </cell>
          <cell r="Q1195" t="str">
            <v/>
          </cell>
          <cell r="R1195">
            <v>16.5</v>
          </cell>
        </row>
        <row r="1196">
          <cell r="A1196" t="str">
            <v/>
          </cell>
          <cell r="B1196" t="str">
            <v/>
          </cell>
          <cell r="C1196" t="str">
            <v>Future</v>
          </cell>
          <cell r="D1196" t="e">
            <v>#N/A</v>
          </cell>
          <cell r="E1196">
            <v>-20.943243243243362</v>
          </cell>
          <cell r="F1196">
            <v>22.097297297297711</v>
          </cell>
          <cell r="G1196">
            <v>13.489189189189268</v>
          </cell>
          <cell r="H1196">
            <v>13.489189189189268</v>
          </cell>
          <cell r="I1196" t="e">
            <v>#N/A</v>
          </cell>
          <cell r="J1196" t="e">
            <v>#N/A</v>
          </cell>
          <cell r="K1196">
            <v>17.5</v>
          </cell>
          <cell r="L1196">
            <v>14</v>
          </cell>
          <cell r="M1196" t="e">
            <v>#N/A</v>
          </cell>
          <cell r="N1196">
            <v>16.5</v>
          </cell>
          <cell r="O1196" t="e">
            <v>#N/A</v>
          </cell>
          <cell r="P1196" t="str">
            <v/>
          </cell>
          <cell r="Q1196" t="str">
            <v/>
          </cell>
          <cell r="R1196">
            <v>16.5</v>
          </cell>
        </row>
        <row r="1197">
          <cell r="A1197" t="str">
            <v/>
          </cell>
          <cell r="B1197" t="str">
            <v/>
          </cell>
          <cell r="C1197" t="str">
            <v>Future</v>
          </cell>
          <cell r="D1197" t="e">
            <v>#N/A</v>
          </cell>
          <cell r="E1197">
            <v>-20.998648648648768</v>
          </cell>
          <cell r="F1197">
            <v>22.109459459459874</v>
          </cell>
          <cell r="G1197">
            <v>13.487837837837917</v>
          </cell>
          <cell r="H1197">
            <v>13.487837837837917</v>
          </cell>
          <cell r="I1197" t="e">
            <v>#N/A</v>
          </cell>
          <cell r="J1197" t="e">
            <v>#N/A</v>
          </cell>
          <cell r="K1197">
            <v>17.5</v>
          </cell>
          <cell r="L1197">
            <v>14</v>
          </cell>
          <cell r="M1197" t="e">
            <v>#N/A</v>
          </cell>
          <cell r="N1197">
            <v>16.5</v>
          </cell>
          <cell r="O1197" t="e">
            <v>#N/A</v>
          </cell>
          <cell r="P1197" t="str">
            <v/>
          </cell>
          <cell r="Q1197" t="str">
            <v/>
          </cell>
          <cell r="R1197">
            <v>16.5</v>
          </cell>
        </row>
        <row r="1198">
          <cell r="A1198" t="str">
            <v/>
          </cell>
          <cell r="B1198" t="str">
            <v/>
          </cell>
          <cell r="C1198" t="str">
            <v>Future</v>
          </cell>
          <cell r="D1198" t="e">
            <v>#N/A</v>
          </cell>
          <cell r="E1198">
            <v>-21.054054054054173</v>
          </cell>
          <cell r="F1198">
            <v>22.121621621622037</v>
          </cell>
          <cell r="G1198">
            <v>13.486486486486566</v>
          </cell>
          <cell r="H1198">
            <v>13.486486486486566</v>
          </cell>
          <cell r="I1198" t="e">
            <v>#N/A</v>
          </cell>
          <cell r="J1198" t="e">
            <v>#N/A</v>
          </cell>
          <cell r="K1198">
            <v>17.5</v>
          </cell>
          <cell r="L1198">
            <v>14</v>
          </cell>
          <cell r="M1198" t="e">
            <v>#N/A</v>
          </cell>
          <cell r="N1198">
            <v>16.5</v>
          </cell>
          <cell r="O1198" t="e">
            <v>#N/A</v>
          </cell>
          <cell r="P1198" t="str">
            <v/>
          </cell>
          <cell r="Q1198" t="str">
            <v/>
          </cell>
          <cell r="R1198">
            <v>16.5</v>
          </cell>
        </row>
        <row r="1199">
          <cell r="A1199" t="str">
            <v/>
          </cell>
          <cell r="B1199" t="str">
            <v/>
          </cell>
          <cell r="C1199" t="str">
            <v>Future</v>
          </cell>
          <cell r="D1199" t="e">
            <v>#N/A</v>
          </cell>
          <cell r="E1199">
            <v>-21.109459459459579</v>
          </cell>
          <cell r="F1199">
            <v>22.1337837837842</v>
          </cell>
          <cell r="G1199">
            <v>13.485135135135215</v>
          </cell>
          <cell r="H1199">
            <v>13.485135135135215</v>
          </cell>
          <cell r="I1199" t="e">
            <v>#N/A</v>
          </cell>
          <cell r="J1199" t="e">
            <v>#N/A</v>
          </cell>
          <cell r="K1199">
            <v>17.5</v>
          </cell>
          <cell r="L1199">
            <v>14</v>
          </cell>
          <cell r="M1199" t="e">
            <v>#N/A</v>
          </cell>
          <cell r="N1199">
            <v>16.5</v>
          </cell>
          <cell r="O1199" t="e">
            <v>#N/A</v>
          </cell>
          <cell r="P1199" t="str">
            <v/>
          </cell>
          <cell r="Q1199" t="str">
            <v/>
          </cell>
          <cell r="R1199">
            <v>16.5</v>
          </cell>
        </row>
        <row r="1200">
          <cell r="A1200" t="str">
            <v/>
          </cell>
          <cell r="B1200" t="str">
            <v/>
          </cell>
          <cell r="C1200" t="str">
            <v>Future</v>
          </cell>
          <cell r="D1200" t="e">
            <v>#N/A</v>
          </cell>
          <cell r="E1200">
            <v>-21.164864864864985</v>
          </cell>
          <cell r="F1200">
            <v>22.145945945946362</v>
          </cell>
          <cell r="G1200">
            <v>13.483783783783863</v>
          </cell>
          <cell r="H1200">
            <v>13.483783783783863</v>
          </cell>
          <cell r="I1200" t="e">
            <v>#N/A</v>
          </cell>
          <cell r="J1200" t="e">
            <v>#N/A</v>
          </cell>
          <cell r="K1200">
            <v>17.5</v>
          </cell>
          <cell r="L1200">
            <v>14</v>
          </cell>
          <cell r="M1200" t="e">
            <v>#N/A</v>
          </cell>
          <cell r="N1200">
            <v>16.5</v>
          </cell>
          <cell r="O1200" t="e">
            <v>#N/A</v>
          </cell>
          <cell r="P1200" t="str">
            <v/>
          </cell>
          <cell r="Q1200" t="str">
            <v/>
          </cell>
          <cell r="R1200">
            <v>16.5</v>
          </cell>
        </row>
        <row r="1201">
          <cell r="A1201" t="str">
            <v/>
          </cell>
          <cell r="B1201" t="str">
            <v/>
          </cell>
          <cell r="C1201" t="str">
            <v>Future</v>
          </cell>
          <cell r="D1201" t="e">
            <v>#N/A</v>
          </cell>
          <cell r="E1201">
            <v>-21.22027027027039</v>
          </cell>
          <cell r="F1201">
            <v>22.158108108108525</v>
          </cell>
          <cell r="G1201">
            <v>13.482432432432512</v>
          </cell>
          <cell r="H1201">
            <v>13.482432432432512</v>
          </cell>
          <cell r="I1201" t="e">
            <v>#N/A</v>
          </cell>
          <cell r="J1201" t="e">
            <v>#N/A</v>
          </cell>
          <cell r="K1201">
            <v>17.5</v>
          </cell>
          <cell r="L1201">
            <v>14</v>
          </cell>
          <cell r="M1201" t="e">
            <v>#N/A</v>
          </cell>
          <cell r="N1201">
            <v>16.5</v>
          </cell>
          <cell r="O1201" t="e">
            <v>#N/A</v>
          </cell>
          <cell r="P1201" t="str">
            <v/>
          </cell>
          <cell r="Q1201" t="str">
            <v/>
          </cell>
          <cell r="R1201">
            <v>16.5</v>
          </cell>
        </row>
        <row r="1202">
          <cell r="A1202" t="str">
            <v/>
          </cell>
          <cell r="B1202" t="str">
            <v/>
          </cell>
          <cell r="C1202" t="str">
            <v>Future</v>
          </cell>
          <cell r="D1202" t="e">
            <v>#N/A</v>
          </cell>
          <cell r="E1202">
            <v>-21.275675675675796</v>
          </cell>
          <cell r="F1202">
            <v>22.170270270270688</v>
          </cell>
          <cell r="G1202">
            <v>13.481081081081161</v>
          </cell>
          <cell r="H1202">
            <v>13.481081081081161</v>
          </cell>
          <cell r="I1202" t="e">
            <v>#N/A</v>
          </cell>
          <cell r="J1202" t="e">
            <v>#N/A</v>
          </cell>
          <cell r="K1202">
            <v>17.5</v>
          </cell>
          <cell r="L1202">
            <v>14</v>
          </cell>
          <cell r="M1202" t="e">
            <v>#N/A</v>
          </cell>
          <cell r="N1202">
            <v>16.5</v>
          </cell>
          <cell r="O1202" t="e">
            <v>#N/A</v>
          </cell>
          <cell r="P1202" t="str">
            <v/>
          </cell>
          <cell r="Q1202" t="str">
            <v/>
          </cell>
          <cell r="R1202">
            <v>16.5</v>
          </cell>
        </row>
        <row r="1203">
          <cell r="A1203" t="str">
            <v/>
          </cell>
          <cell r="B1203" t="str">
            <v/>
          </cell>
          <cell r="C1203" t="str">
            <v>Future</v>
          </cell>
          <cell r="D1203" t="e">
            <v>#N/A</v>
          </cell>
          <cell r="E1203">
            <v>-21.331081081081201</v>
          </cell>
          <cell r="F1203">
            <v>22.182432432432851</v>
          </cell>
          <cell r="G1203">
            <v>13.47972972972981</v>
          </cell>
          <cell r="H1203">
            <v>13.47972972972981</v>
          </cell>
          <cell r="I1203" t="e">
            <v>#N/A</v>
          </cell>
          <cell r="J1203" t="e">
            <v>#N/A</v>
          </cell>
          <cell r="K1203">
            <v>17.5</v>
          </cell>
          <cell r="L1203">
            <v>14</v>
          </cell>
          <cell r="M1203" t="e">
            <v>#N/A</v>
          </cell>
          <cell r="N1203">
            <v>16.5</v>
          </cell>
          <cell r="O1203" t="e">
            <v>#N/A</v>
          </cell>
          <cell r="P1203" t="str">
            <v/>
          </cell>
          <cell r="Q1203" t="str">
            <v/>
          </cell>
          <cell r="R1203">
            <v>16.5</v>
          </cell>
        </row>
        <row r="1204">
          <cell r="A1204" t="str">
            <v/>
          </cell>
          <cell r="B1204" t="str">
            <v/>
          </cell>
          <cell r="C1204" t="str">
            <v>Future</v>
          </cell>
          <cell r="D1204" t="e">
            <v>#N/A</v>
          </cell>
          <cell r="E1204">
            <v>-21.386486486486607</v>
          </cell>
          <cell r="F1204">
            <v>22.194594594595014</v>
          </cell>
          <cell r="G1204">
            <v>13.478378378378459</v>
          </cell>
          <cell r="H1204">
            <v>13.478378378378459</v>
          </cell>
          <cell r="I1204" t="e">
            <v>#N/A</v>
          </cell>
          <cell r="J1204" t="e">
            <v>#N/A</v>
          </cell>
          <cell r="K1204">
            <v>17.5</v>
          </cell>
          <cell r="L1204">
            <v>14</v>
          </cell>
          <cell r="M1204" t="e">
            <v>#N/A</v>
          </cell>
          <cell r="N1204">
            <v>16.5</v>
          </cell>
          <cell r="O1204" t="e">
            <v>#N/A</v>
          </cell>
          <cell r="P1204" t="str">
            <v/>
          </cell>
          <cell r="Q1204" t="str">
            <v/>
          </cell>
          <cell r="R1204">
            <v>16.5</v>
          </cell>
        </row>
        <row r="1205">
          <cell r="A1205" t="str">
            <v/>
          </cell>
          <cell r="B1205" t="str">
            <v/>
          </cell>
          <cell r="C1205" t="str">
            <v>Future</v>
          </cell>
          <cell r="D1205" t="e">
            <v>#N/A</v>
          </cell>
          <cell r="E1205">
            <v>-21.441891891892013</v>
          </cell>
          <cell r="F1205">
            <v>22.206756756757176</v>
          </cell>
          <cell r="G1205">
            <v>13.477027027027107</v>
          </cell>
          <cell r="H1205">
            <v>13.477027027027107</v>
          </cell>
          <cell r="I1205" t="e">
            <v>#N/A</v>
          </cell>
          <cell r="J1205" t="e">
            <v>#N/A</v>
          </cell>
          <cell r="K1205">
            <v>17.5</v>
          </cell>
          <cell r="L1205">
            <v>14</v>
          </cell>
          <cell r="M1205" t="e">
            <v>#N/A</v>
          </cell>
          <cell r="N1205">
            <v>16.5</v>
          </cell>
          <cell r="O1205" t="e">
            <v>#N/A</v>
          </cell>
          <cell r="P1205" t="str">
            <v/>
          </cell>
          <cell r="Q1205" t="str">
            <v/>
          </cell>
          <cell r="R1205">
            <v>16.5</v>
          </cell>
        </row>
        <row r="1206">
          <cell r="A1206" t="str">
            <v/>
          </cell>
          <cell r="B1206" t="str">
            <v/>
          </cell>
          <cell r="C1206" t="str">
            <v>Future</v>
          </cell>
          <cell r="D1206" t="e">
            <v>#N/A</v>
          </cell>
          <cell r="E1206">
            <v>-21.497297297297418</v>
          </cell>
          <cell r="F1206">
            <v>22.218918918919339</v>
          </cell>
          <cell r="G1206">
            <v>13.475675675675756</v>
          </cell>
          <cell r="H1206">
            <v>13.475675675675756</v>
          </cell>
          <cell r="I1206" t="e">
            <v>#N/A</v>
          </cell>
          <cell r="J1206" t="e">
            <v>#N/A</v>
          </cell>
          <cell r="K1206">
            <v>17.5</v>
          </cell>
          <cell r="L1206">
            <v>14</v>
          </cell>
          <cell r="M1206" t="e">
            <v>#N/A</v>
          </cell>
          <cell r="N1206">
            <v>16.5</v>
          </cell>
          <cell r="O1206" t="e">
            <v>#N/A</v>
          </cell>
          <cell r="P1206" t="str">
            <v/>
          </cell>
          <cell r="Q1206" t="str">
            <v/>
          </cell>
          <cell r="R1206">
            <v>16.5</v>
          </cell>
        </row>
        <row r="1207">
          <cell r="A1207" t="str">
            <v/>
          </cell>
          <cell r="B1207" t="str">
            <v/>
          </cell>
          <cell r="C1207" t="str">
            <v>Future</v>
          </cell>
          <cell r="D1207" t="e">
            <v>#N/A</v>
          </cell>
          <cell r="E1207">
            <v>-21.552702702702824</v>
          </cell>
          <cell r="F1207">
            <v>22.231081081081502</v>
          </cell>
          <cell r="G1207">
            <v>13.474324324324405</v>
          </cell>
          <cell r="H1207">
            <v>13.474324324324405</v>
          </cell>
          <cell r="I1207" t="e">
            <v>#N/A</v>
          </cell>
          <cell r="J1207" t="e">
            <v>#N/A</v>
          </cell>
          <cell r="K1207">
            <v>17.5</v>
          </cell>
          <cell r="L1207">
            <v>14</v>
          </cell>
          <cell r="M1207" t="e">
            <v>#N/A</v>
          </cell>
          <cell r="N1207">
            <v>16.5</v>
          </cell>
          <cell r="O1207" t="e">
            <v>#N/A</v>
          </cell>
          <cell r="P1207" t="str">
            <v/>
          </cell>
          <cell r="Q1207" t="str">
            <v/>
          </cell>
          <cell r="R1207">
            <v>16.5</v>
          </cell>
        </row>
        <row r="1208">
          <cell r="A1208" t="str">
            <v/>
          </cell>
          <cell r="B1208" t="str">
            <v/>
          </cell>
          <cell r="C1208" t="str">
            <v>Future</v>
          </cell>
          <cell r="D1208" t="e">
            <v>#N/A</v>
          </cell>
          <cell r="E1208">
            <v>-21.60810810810823</v>
          </cell>
          <cell r="F1208">
            <v>22.243243243243665</v>
          </cell>
          <cell r="G1208">
            <v>13.472972972973054</v>
          </cell>
          <cell r="H1208">
            <v>13.472972972973054</v>
          </cell>
          <cell r="I1208" t="e">
            <v>#N/A</v>
          </cell>
          <cell r="J1208" t="e">
            <v>#N/A</v>
          </cell>
          <cell r="K1208">
            <v>17.5</v>
          </cell>
          <cell r="L1208">
            <v>14</v>
          </cell>
          <cell r="M1208" t="e">
            <v>#N/A</v>
          </cell>
          <cell r="N1208">
            <v>16.5</v>
          </cell>
          <cell r="O1208" t="e">
            <v>#N/A</v>
          </cell>
          <cell r="P1208" t="str">
            <v/>
          </cell>
          <cell r="Q1208" t="str">
            <v/>
          </cell>
          <cell r="R1208">
            <v>16.5</v>
          </cell>
        </row>
        <row r="1209">
          <cell r="A1209" t="str">
            <v/>
          </cell>
          <cell r="B1209" t="str">
            <v/>
          </cell>
          <cell r="C1209" t="str">
            <v>Future</v>
          </cell>
          <cell r="D1209" t="e">
            <v>#N/A</v>
          </cell>
          <cell r="E1209">
            <v>-21.663513513513635</v>
          </cell>
          <cell r="F1209">
            <v>22.255405405405828</v>
          </cell>
          <cell r="G1209">
            <v>13.471621621621702</v>
          </cell>
          <cell r="H1209">
            <v>13.471621621621702</v>
          </cell>
          <cell r="I1209" t="e">
            <v>#N/A</v>
          </cell>
          <cell r="J1209" t="e">
            <v>#N/A</v>
          </cell>
          <cell r="K1209">
            <v>17.5</v>
          </cell>
          <cell r="L1209">
            <v>14</v>
          </cell>
          <cell r="M1209" t="e">
            <v>#N/A</v>
          </cell>
          <cell r="N1209">
            <v>16.5</v>
          </cell>
          <cell r="O1209" t="e">
            <v>#N/A</v>
          </cell>
          <cell r="P1209" t="str">
            <v/>
          </cell>
          <cell r="Q1209" t="str">
            <v/>
          </cell>
          <cell r="R1209">
            <v>16.5</v>
          </cell>
        </row>
        <row r="1210">
          <cell r="A1210" t="str">
            <v/>
          </cell>
          <cell r="B1210" t="str">
            <v/>
          </cell>
          <cell r="C1210" t="str">
            <v>Future</v>
          </cell>
          <cell r="D1210" t="e">
            <v>#N/A</v>
          </cell>
          <cell r="E1210">
            <v>-21.718918918919041</v>
          </cell>
          <cell r="F1210">
            <v>22.26756756756799</v>
          </cell>
          <cell r="G1210">
            <v>13.470270270270351</v>
          </cell>
          <cell r="H1210">
            <v>13.470270270270351</v>
          </cell>
          <cell r="I1210" t="e">
            <v>#N/A</v>
          </cell>
          <cell r="J1210" t="e">
            <v>#N/A</v>
          </cell>
          <cell r="K1210">
            <v>17.5</v>
          </cell>
          <cell r="L1210">
            <v>14</v>
          </cell>
          <cell r="M1210" t="e">
            <v>#N/A</v>
          </cell>
          <cell r="N1210">
            <v>16.5</v>
          </cell>
          <cell r="O1210" t="e">
            <v>#N/A</v>
          </cell>
          <cell r="P1210" t="str">
            <v/>
          </cell>
          <cell r="Q1210" t="str">
            <v/>
          </cell>
          <cell r="R1210">
            <v>16.5</v>
          </cell>
        </row>
        <row r="1211">
          <cell r="A1211" t="str">
            <v/>
          </cell>
          <cell r="B1211" t="str">
            <v/>
          </cell>
          <cell r="C1211" t="str">
            <v>Future</v>
          </cell>
          <cell r="D1211" t="e">
            <v>#N/A</v>
          </cell>
          <cell r="E1211">
            <v>-21.774324324324446</v>
          </cell>
          <cell r="F1211">
            <v>22.279729729730153</v>
          </cell>
          <cell r="G1211">
            <v>13.468918918919</v>
          </cell>
          <cell r="H1211">
            <v>13.468918918919</v>
          </cell>
          <cell r="I1211" t="e">
            <v>#N/A</v>
          </cell>
          <cell r="J1211" t="e">
            <v>#N/A</v>
          </cell>
          <cell r="K1211">
            <v>17.5</v>
          </cell>
          <cell r="L1211">
            <v>14</v>
          </cell>
          <cell r="M1211" t="e">
            <v>#N/A</v>
          </cell>
          <cell r="N1211">
            <v>16.5</v>
          </cell>
          <cell r="O1211" t="e">
            <v>#N/A</v>
          </cell>
          <cell r="P1211" t="str">
            <v/>
          </cell>
          <cell r="Q1211" t="str">
            <v/>
          </cell>
          <cell r="R1211">
            <v>16.5</v>
          </cell>
        </row>
        <row r="1212">
          <cell r="A1212" t="str">
            <v/>
          </cell>
          <cell r="B1212" t="str">
            <v/>
          </cell>
          <cell r="C1212" t="str">
            <v>Future</v>
          </cell>
          <cell r="D1212" t="e">
            <v>#N/A</v>
          </cell>
          <cell r="E1212">
            <v>-21.829729729729852</v>
          </cell>
          <cell r="F1212">
            <v>22.291891891892316</v>
          </cell>
          <cell r="G1212">
            <v>13.467567567567649</v>
          </cell>
          <cell r="H1212">
            <v>13.467567567567649</v>
          </cell>
          <cell r="I1212" t="e">
            <v>#N/A</v>
          </cell>
          <cell r="J1212" t="e">
            <v>#N/A</v>
          </cell>
          <cell r="K1212">
            <v>17.5</v>
          </cell>
          <cell r="L1212">
            <v>14</v>
          </cell>
          <cell r="M1212" t="e">
            <v>#N/A</v>
          </cell>
          <cell r="N1212">
            <v>16.5</v>
          </cell>
          <cell r="O1212" t="e">
            <v>#N/A</v>
          </cell>
          <cell r="P1212" t="str">
            <v/>
          </cell>
          <cell r="Q1212" t="str">
            <v/>
          </cell>
          <cell r="R1212">
            <v>16.5</v>
          </cell>
        </row>
        <row r="1213">
          <cell r="A1213" t="str">
            <v/>
          </cell>
          <cell r="B1213" t="str">
            <v/>
          </cell>
          <cell r="C1213" t="str">
            <v>Future</v>
          </cell>
          <cell r="D1213" t="e">
            <v>#N/A</v>
          </cell>
          <cell r="E1213">
            <v>-21.885135135135258</v>
          </cell>
          <cell r="F1213">
            <v>22.304054054054479</v>
          </cell>
          <cell r="G1213">
            <v>13.466216216216297</v>
          </cell>
          <cell r="H1213">
            <v>13.466216216216297</v>
          </cell>
          <cell r="I1213" t="e">
            <v>#N/A</v>
          </cell>
          <cell r="J1213" t="e">
            <v>#N/A</v>
          </cell>
          <cell r="K1213">
            <v>17.5</v>
          </cell>
          <cell r="L1213">
            <v>14</v>
          </cell>
          <cell r="M1213" t="e">
            <v>#N/A</v>
          </cell>
          <cell r="N1213">
            <v>16.5</v>
          </cell>
          <cell r="O1213" t="e">
            <v>#N/A</v>
          </cell>
          <cell r="P1213" t="str">
            <v/>
          </cell>
          <cell r="Q1213" t="str">
            <v/>
          </cell>
          <cell r="R1213">
            <v>16.5</v>
          </cell>
        </row>
        <row r="1214">
          <cell r="A1214" t="str">
            <v/>
          </cell>
          <cell r="B1214" t="str">
            <v/>
          </cell>
          <cell r="C1214" t="str">
            <v>Future</v>
          </cell>
          <cell r="D1214" t="e">
            <v>#N/A</v>
          </cell>
          <cell r="E1214">
            <v>-21.940540540540663</v>
          </cell>
          <cell r="F1214">
            <v>22.316216216216642</v>
          </cell>
          <cell r="G1214">
            <v>13.464864864864946</v>
          </cell>
          <cell r="H1214">
            <v>13.464864864864946</v>
          </cell>
          <cell r="I1214" t="e">
            <v>#N/A</v>
          </cell>
          <cell r="J1214" t="e">
            <v>#N/A</v>
          </cell>
          <cell r="K1214">
            <v>17.5</v>
          </cell>
          <cell r="L1214">
            <v>14</v>
          </cell>
          <cell r="M1214" t="e">
            <v>#N/A</v>
          </cell>
          <cell r="N1214">
            <v>16.5</v>
          </cell>
          <cell r="O1214" t="e">
            <v>#N/A</v>
          </cell>
          <cell r="P1214" t="str">
            <v/>
          </cell>
          <cell r="Q1214" t="str">
            <v/>
          </cell>
          <cell r="R1214">
            <v>16.5</v>
          </cell>
        </row>
        <row r="1215">
          <cell r="A1215" t="str">
            <v/>
          </cell>
          <cell r="B1215" t="str">
            <v/>
          </cell>
          <cell r="C1215" t="str">
            <v>Future</v>
          </cell>
          <cell r="D1215" t="e">
            <v>#N/A</v>
          </cell>
          <cell r="E1215">
            <v>-21.995945945946069</v>
          </cell>
          <cell r="F1215">
            <v>22.328378378378805</v>
          </cell>
          <cell r="G1215">
            <v>13.463513513513595</v>
          </cell>
          <cell r="H1215">
            <v>13.463513513513595</v>
          </cell>
          <cell r="I1215" t="e">
            <v>#N/A</v>
          </cell>
          <cell r="J1215" t="e">
            <v>#N/A</v>
          </cell>
          <cell r="K1215">
            <v>17.5</v>
          </cell>
          <cell r="L1215">
            <v>14</v>
          </cell>
          <cell r="M1215" t="e">
            <v>#N/A</v>
          </cell>
          <cell r="N1215">
            <v>16.5</v>
          </cell>
          <cell r="O1215" t="e">
            <v>#N/A</v>
          </cell>
          <cell r="P1215" t="str">
            <v/>
          </cell>
          <cell r="Q1215" t="str">
            <v/>
          </cell>
          <cell r="R1215">
            <v>16.5</v>
          </cell>
        </row>
        <row r="1216">
          <cell r="A1216" t="str">
            <v/>
          </cell>
          <cell r="B1216" t="str">
            <v/>
          </cell>
          <cell r="C1216" t="str">
            <v>Future</v>
          </cell>
          <cell r="D1216" t="e">
            <v>#N/A</v>
          </cell>
          <cell r="E1216">
            <v>-22.051351351351475</v>
          </cell>
          <cell r="F1216">
            <v>22.340540540540967</v>
          </cell>
          <cell r="G1216">
            <v>13.462162162162244</v>
          </cell>
          <cell r="H1216">
            <v>13.462162162162244</v>
          </cell>
          <cell r="I1216" t="e">
            <v>#N/A</v>
          </cell>
          <cell r="J1216" t="e">
            <v>#N/A</v>
          </cell>
          <cell r="K1216">
            <v>17.5</v>
          </cell>
          <cell r="L1216">
            <v>14</v>
          </cell>
          <cell r="M1216" t="e">
            <v>#N/A</v>
          </cell>
          <cell r="N1216">
            <v>16.5</v>
          </cell>
          <cell r="O1216" t="e">
            <v>#N/A</v>
          </cell>
          <cell r="P1216" t="str">
            <v/>
          </cell>
          <cell r="Q1216" t="str">
            <v/>
          </cell>
          <cell r="R1216">
            <v>16.5</v>
          </cell>
        </row>
        <row r="1217">
          <cell r="A1217" t="str">
            <v/>
          </cell>
          <cell r="B1217" t="str">
            <v/>
          </cell>
          <cell r="C1217" t="str">
            <v>Future</v>
          </cell>
          <cell r="D1217" t="e">
            <v>#N/A</v>
          </cell>
          <cell r="E1217">
            <v>-22.10675675675688</v>
          </cell>
          <cell r="F1217">
            <v>22.35270270270313</v>
          </cell>
          <cell r="G1217">
            <v>13.460810810810893</v>
          </cell>
          <cell r="H1217">
            <v>13.460810810810893</v>
          </cell>
          <cell r="I1217" t="e">
            <v>#N/A</v>
          </cell>
          <cell r="J1217" t="e">
            <v>#N/A</v>
          </cell>
          <cell r="K1217">
            <v>17.5</v>
          </cell>
          <cell r="L1217">
            <v>14</v>
          </cell>
          <cell r="M1217" t="e">
            <v>#N/A</v>
          </cell>
          <cell r="N1217">
            <v>16.5</v>
          </cell>
          <cell r="O1217" t="e">
            <v>#N/A</v>
          </cell>
          <cell r="P1217" t="str">
            <v/>
          </cell>
          <cell r="Q1217" t="str">
            <v/>
          </cell>
          <cell r="R1217">
            <v>16.5</v>
          </cell>
        </row>
        <row r="1218">
          <cell r="A1218" t="str">
            <v/>
          </cell>
          <cell r="B1218" t="str">
            <v/>
          </cell>
          <cell r="C1218" t="str">
            <v>Future</v>
          </cell>
          <cell r="D1218" t="e">
            <v>#N/A</v>
          </cell>
          <cell r="E1218">
            <v>-22.162162162162286</v>
          </cell>
          <cell r="F1218">
            <v>22.364864864865293</v>
          </cell>
          <cell r="G1218">
            <v>13.459459459459541</v>
          </cell>
          <cell r="H1218">
            <v>13.459459459459541</v>
          </cell>
          <cell r="I1218" t="e">
            <v>#N/A</v>
          </cell>
          <cell r="J1218" t="e">
            <v>#N/A</v>
          </cell>
          <cell r="K1218">
            <v>17.5</v>
          </cell>
          <cell r="L1218">
            <v>14</v>
          </cell>
          <cell r="M1218" t="e">
            <v>#N/A</v>
          </cell>
          <cell r="N1218">
            <v>16.5</v>
          </cell>
          <cell r="O1218" t="e">
            <v>#N/A</v>
          </cell>
          <cell r="P1218" t="str">
            <v/>
          </cell>
          <cell r="Q1218" t="str">
            <v/>
          </cell>
          <cell r="R1218">
            <v>16.5</v>
          </cell>
        </row>
        <row r="1219">
          <cell r="A1219" t="str">
            <v/>
          </cell>
          <cell r="B1219" t="str">
            <v/>
          </cell>
          <cell r="C1219" t="str">
            <v>Future</v>
          </cell>
          <cell r="D1219" t="e">
            <v>#N/A</v>
          </cell>
          <cell r="E1219">
            <v>-22.217567567567691</v>
          </cell>
          <cell r="F1219">
            <v>22.377027027027456</v>
          </cell>
          <cell r="G1219">
            <v>13.45810810810819</v>
          </cell>
          <cell r="H1219">
            <v>13.45810810810819</v>
          </cell>
          <cell r="I1219" t="e">
            <v>#N/A</v>
          </cell>
          <cell r="J1219" t="e">
            <v>#N/A</v>
          </cell>
          <cell r="K1219">
            <v>17.5</v>
          </cell>
          <cell r="L1219">
            <v>14</v>
          </cell>
          <cell r="M1219" t="e">
            <v>#N/A</v>
          </cell>
          <cell r="N1219">
            <v>16.5</v>
          </cell>
          <cell r="O1219" t="e">
            <v>#N/A</v>
          </cell>
          <cell r="P1219" t="str">
            <v/>
          </cell>
          <cell r="Q1219" t="str">
            <v/>
          </cell>
          <cell r="R1219">
            <v>16.5</v>
          </cell>
        </row>
        <row r="1220">
          <cell r="A1220" t="str">
            <v/>
          </cell>
          <cell r="B1220" t="str">
            <v/>
          </cell>
          <cell r="C1220" t="str">
            <v>Future</v>
          </cell>
          <cell r="D1220" t="e">
            <v>#N/A</v>
          </cell>
          <cell r="E1220">
            <v>-22.272972972973097</v>
          </cell>
          <cell r="F1220">
            <v>22.389189189189619</v>
          </cell>
          <cell r="G1220">
            <v>13.456756756756839</v>
          </cell>
          <cell r="H1220">
            <v>13.456756756756839</v>
          </cell>
          <cell r="I1220" t="e">
            <v>#N/A</v>
          </cell>
          <cell r="J1220" t="e">
            <v>#N/A</v>
          </cell>
          <cell r="K1220">
            <v>17.5</v>
          </cell>
          <cell r="L1220">
            <v>14</v>
          </cell>
          <cell r="M1220" t="e">
            <v>#N/A</v>
          </cell>
          <cell r="N1220">
            <v>16.5</v>
          </cell>
          <cell r="O1220" t="e">
            <v>#N/A</v>
          </cell>
          <cell r="P1220" t="str">
            <v/>
          </cell>
          <cell r="Q1220" t="str">
            <v/>
          </cell>
          <cell r="R1220">
            <v>16.5</v>
          </cell>
        </row>
        <row r="1221">
          <cell r="A1221" t="str">
            <v/>
          </cell>
          <cell r="B1221" t="str">
            <v/>
          </cell>
          <cell r="C1221" t="str">
            <v>Future</v>
          </cell>
          <cell r="D1221" t="e">
            <v>#N/A</v>
          </cell>
          <cell r="E1221">
            <v>-22.328378378378503</v>
          </cell>
          <cell r="F1221">
            <v>22.401351351351781</v>
          </cell>
          <cell r="G1221">
            <v>13.455405405405488</v>
          </cell>
          <cell r="H1221">
            <v>13.455405405405488</v>
          </cell>
          <cell r="I1221" t="e">
            <v>#N/A</v>
          </cell>
          <cell r="J1221" t="e">
            <v>#N/A</v>
          </cell>
          <cell r="K1221">
            <v>17.5</v>
          </cell>
          <cell r="L1221">
            <v>14</v>
          </cell>
          <cell r="M1221" t="e">
            <v>#N/A</v>
          </cell>
          <cell r="N1221">
            <v>16.5</v>
          </cell>
          <cell r="O1221" t="e">
            <v>#N/A</v>
          </cell>
          <cell r="P1221" t="str">
            <v/>
          </cell>
          <cell r="Q1221" t="str">
            <v/>
          </cell>
          <cell r="R1221">
            <v>16.5</v>
          </cell>
        </row>
        <row r="1222">
          <cell r="A1222" t="str">
            <v/>
          </cell>
          <cell r="B1222" t="str">
            <v/>
          </cell>
          <cell r="C1222" t="str">
            <v>Future</v>
          </cell>
          <cell r="D1222" t="e">
            <v>#N/A</v>
          </cell>
          <cell r="E1222">
            <v>-22.383783783783908</v>
          </cell>
          <cell r="F1222">
            <v>22.413513513513944</v>
          </cell>
          <cell r="G1222">
            <v>13.454054054054136</v>
          </cell>
          <cell r="H1222">
            <v>13.454054054054136</v>
          </cell>
          <cell r="I1222" t="e">
            <v>#N/A</v>
          </cell>
          <cell r="J1222" t="e">
            <v>#N/A</v>
          </cell>
          <cell r="K1222">
            <v>17.5</v>
          </cell>
          <cell r="L1222">
            <v>14</v>
          </cell>
          <cell r="M1222" t="e">
            <v>#N/A</v>
          </cell>
          <cell r="N1222">
            <v>16.5</v>
          </cell>
          <cell r="O1222" t="e">
            <v>#N/A</v>
          </cell>
          <cell r="P1222" t="str">
            <v/>
          </cell>
          <cell r="Q1222" t="str">
            <v/>
          </cell>
          <cell r="R1222">
            <v>16.5</v>
          </cell>
        </row>
        <row r="1223">
          <cell r="A1223" t="str">
            <v/>
          </cell>
          <cell r="B1223" t="str">
            <v/>
          </cell>
          <cell r="C1223" t="str">
            <v>Future</v>
          </cell>
          <cell r="D1223" t="e">
            <v>#N/A</v>
          </cell>
          <cell r="E1223">
            <v>-22.439189189189314</v>
          </cell>
          <cell r="F1223">
            <v>22.425675675676107</v>
          </cell>
          <cell r="G1223">
            <v>13.452702702702785</v>
          </cell>
          <cell r="H1223">
            <v>13.452702702702785</v>
          </cell>
          <cell r="I1223" t="e">
            <v>#N/A</v>
          </cell>
          <cell r="J1223" t="e">
            <v>#N/A</v>
          </cell>
          <cell r="K1223">
            <v>17.5</v>
          </cell>
          <cell r="L1223">
            <v>14</v>
          </cell>
          <cell r="M1223" t="e">
            <v>#N/A</v>
          </cell>
          <cell r="N1223">
            <v>16.5</v>
          </cell>
          <cell r="O1223" t="e">
            <v>#N/A</v>
          </cell>
          <cell r="P1223" t="str">
            <v/>
          </cell>
          <cell r="Q1223" t="str">
            <v/>
          </cell>
          <cell r="R1223">
            <v>16.5</v>
          </cell>
        </row>
        <row r="1224">
          <cell r="A1224" t="str">
            <v/>
          </cell>
          <cell r="B1224" t="str">
            <v/>
          </cell>
          <cell r="C1224" t="str">
            <v>Future</v>
          </cell>
          <cell r="D1224" t="e">
            <v>#N/A</v>
          </cell>
          <cell r="E1224">
            <v>-22.494594594594719</v>
          </cell>
          <cell r="F1224">
            <v>22.43783783783827</v>
          </cell>
          <cell r="G1224">
            <v>13.451351351351434</v>
          </cell>
          <cell r="H1224">
            <v>13.451351351351434</v>
          </cell>
          <cell r="I1224" t="e">
            <v>#N/A</v>
          </cell>
          <cell r="J1224" t="e">
            <v>#N/A</v>
          </cell>
          <cell r="K1224">
            <v>17.5</v>
          </cell>
          <cell r="L1224">
            <v>14</v>
          </cell>
          <cell r="M1224" t="e">
            <v>#N/A</v>
          </cell>
          <cell r="N1224">
            <v>16.5</v>
          </cell>
          <cell r="O1224" t="e">
            <v>#N/A</v>
          </cell>
          <cell r="P1224" t="str">
            <v/>
          </cell>
          <cell r="Q1224" t="str">
            <v/>
          </cell>
          <cell r="R1224">
            <v>16.5</v>
          </cell>
        </row>
        <row r="1225">
          <cell r="A1225" t="str">
            <v/>
          </cell>
          <cell r="B1225" t="str">
            <v/>
          </cell>
          <cell r="C1225" t="str">
            <v>Future</v>
          </cell>
          <cell r="D1225" t="e">
            <v>#N/A</v>
          </cell>
          <cell r="E1225">
            <v>-22.550000000000125</v>
          </cell>
          <cell r="F1225">
            <v>22.450000000000433</v>
          </cell>
          <cell r="G1225">
            <v>13.450000000000083</v>
          </cell>
          <cell r="H1225">
            <v>13.450000000000083</v>
          </cell>
          <cell r="I1225" t="e">
            <v>#N/A</v>
          </cell>
          <cell r="J1225" t="e">
            <v>#N/A</v>
          </cell>
          <cell r="K1225">
            <v>17.5</v>
          </cell>
          <cell r="L1225">
            <v>14</v>
          </cell>
          <cell r="M1225" t="e">
            <v>#N/A</v>
          </cell>
          <cell r="N1225">
            <v>16.5</v>
          </cell>
          <cell r="O1225" t="e">
            <v>#N/A</v>
          </cell>
          <cell r="P1225" t="str">
            <v/>
          </cell>
          <cell r="Q1225" t="str">
            <v/>
          </cell>
          <cell r="R1225">
            <v>16.5</v>
          </cell>
        </row>
        <row r="1226">
          <cell r="A1226" t="str">
            <v/>
          </cell>
          <cell r="B1226" t="str">
            <v/>
          </cell>
          <cell r="C1226" t="str">
            <v>Future</v>
          </cell>
          <cell r="D1226" t="e">
            <v>#N/A</v>
          </cell>
          <cell r="E1226">
            <v>-22.605405405405531</v>
          </cell>
          <cell r="F1226">
            <v>22.462162162162596</v>
          </cell>
          <cell r="G1226">
            <v>13.448648648648732</v>
          </cell>
          <cell r="H1226">
            <v>13.448648648648732</v>
          </cell>
          <cell r="I1226" t="e">
            <v>#N/A</v>
          </cell>
          <cell r="J1226" t="e">
            <v>#N/A</v>
          </cell>
          <cell r="K1226">
            <v>17.5</v>
          </cell>
          <cell r="L1226">
            <v>14</v>
          </cell>
          <cell r="M1226" t="e">
            <v>#N/A</v>
          </cell>
          <cell r="N1226">
            <v>16.5</v>
          </cell>
          <cell r="O1226" t="e">
            <v>#N/A</v>
          </cell>
          <cell r="P1226" t="str">
            <v/>
          </cell>
          <cell r="Q1226" t="str">
            <v/>
          </cell>
          <cell r="R1226">
            <v>16.5</v>
          </cell>
        </row>
        <row r="1227">
          <cell r="A1227" t="str">
            <v/>
          </cell>
          <cell r="B1227" t="str">
            <v/>
          </cell>
          <cell r="C1227" t="str">
            <v>Future</v>
          </cell>
          <cell r="D1227" t="e">
            <v>#N/A</v>
          </cell>
          <cell r="E1227">
            <v>-22.660810810810936</v>
          </cell>
          <cell r="F1227">
            <v>22.474324324324758</v>
          </cell>
          <cell r="G1227">
            <v>13.44729729729738</v>
          </cell>
          <cell r="H1227">
            <v>13.44729729729738</v>
          </cell>
          <cell r="I1227" t="e">
            <v>#N/A</v>
          </cell>
          <cell r="J1227" t="e">
            <v>#N/A</v>
          </cell>
          <cell r="K1227">
            <v>17.5</v>
          </cell>
          <cell r="L1227">
            <v>14</v>
          </cell>
          <cell r="M1227" t="e">
            <v>#N/A</v>
          </cell>
          <cell r="N1227">
            <v>16.5</v>
          </cell>
          <cell r="O1227" t="e">
            <v>#N/A</v>
          </cell>
          <cell r="P1227" t="str">
            <v/>
          </cell>
          <cell r="Q1227" t="str">
            <v/>
          </cell>
          <cell r="R1227">
            <v>16.5</v>
          </cell>
        </row>
        <row r="1228">
          <cell r="A1228" t="str">
            <v/>
          </cell>
          <cell r="B1228" t="str">
            <v/>
          </cell>
          <cell r="C1228" t="str">
            <v>Future</v>
          </cell>
          <cell r="D1228" t="e">
            <v>#N/A</v>
          </cell>
          <cell r="E1228">
            <v>-22.716216216216342</v>
          </cell>
          <cell r="F1228">
            <v>22.486486486486921</v>
          </cell>
          <cell r="G1228">
            <v>13.445945945946029</v>
          </cell>
          <cell r="H1228">
            <v>13.445945945946029</v>
          </cell>
          <cell r="I1228" t="e">
            <v>#N/A</v>
          </cell>
          <cell r="J1228" t="e">
            <v>#N/A</v>
          </cell>
          <cell r="K1228">
            <v>17.5</v>
          </cell>
          <cell r="L1228">
            <v>14</v>
          </cell>
          <cell r="M1228" t="e">
            <v>#N/A</v>
          </cell>
          <cell r="N1228">
            <v>16.5</v>
          </cell>
          <cell r="O1228" t="e">
            <v>#N/A</v>
          </cell>
          <cell r="P1228" t="str">
            <v/>
          </cell>
          <cell r="Q1228" t="str">
            <v/>
          </cell>
          <cell r="R1228">
            <v>16.5</v>
          </cell>
        </row>
        <row r="1229">
          <cell r="A1229" t="str">
            <v/>
          </cell>
          <cell r="B1229" t="str">
            <v/>
          </cell>
          <cell r="C1229" t="str">
            <v>Future</v>
          </cell>
          <cell r="D1229" t="e">
            <v>#N/A</v>
          </cell>
          <cell r="E1229">
            <v>-22.771621621621748</v>
          </cell>
          <cell r="F1229">
            <v>22.498648648649084</v>
          </cell>
          <cell r="G1229">
            <v>13.444594594594678</v>
          </cell>
          <cell r="H1229">
            <v>13.444594594594678</v>
          </cell>
          <cell r="I1229" t="e">
            <v>#N/A</v>
          </cell>
          <cell r="J1229" t="e">
            <v>#N/A</v>
          </cell>
          <cell r="K1229">
            <v>17.5</v>
          </cell>
          <cell r="L1229">
            <v>14</v>
          </cell>
          <cell r="M1229" t="e">
            <v>#N/A</v>
          </cell>
          <cell r="N1229">
            <v>16.5</v>
          </cell>
          <cell r="O1229" t="e">
            <v>#N/A</v>
          </cell>
          <cell r="P1229" t="str">
            <v/>
          </cell>
          <cell r="Q1229" t="str">
            <v/>
          </cell>
          <cell r="R1229">
            <v>16.5</v>
          </cell>
        </row>
        <row r="1230">
          <cell r="A1230" t="str">
            <v/>
          </cell>
          <cell r="B1230" t="str">
            <v/>
          </cell>
          <cell r="C1230" t="str">
            <v>Future</v>
          </cell>
          <cell r="D1230" t="e">
            <v>#N/A</v>
          </cell>
          <cell r="E1230">
            <v>-22.827027027027153</v>
          </cell>
          <cell r="F1230">
            <v>22.510810810811247</v>
          </cell>
          <cell r="G1230">
            <v>13.443243243243327</v>
          </cell>
          <cell r="H1230">
            <v>13.443243243243327</v>
          </cell>
          <cell r="I1230" t="e">
            <v>#N/A</v>
          </cell>
          <cell r="J1230" t="e">
            <v>#N/A</v>
          </cell>
          <cell r="K1230">
            <v>17.5</v>
          </cell>
          <cell r="L1230">
            <v>14</v>
          </cell>
          <cell r="M1230" t="e">
            <v>#N/A</v>
          </cell>
          <cell r="N1230">
            <v>16.5</v>
          </cell>
          <cell r="O1230" t="e">
            <v>#N/A</v>
          </cell>
          <cell r="P1230" t="str">
            <v/>
          </cell>
          <cell r="Q1230" t="str">
            <v/>
          </cell>
          <cell r="R1230">
            <v>16.5</v>
          </cell>
        </row>
        <row r="1231">
          <cell r="A1231" t="str">
            <v/>
          </cell>
          <cell r="B1231" t="str">
            <v/>
          </cell>
          <cell r="C1231" t="str">
            <v>Future</v>
          </cell>
          <cell r="D1231" t="e">
            <v>#N/A</v>
          </cell>
          <cell r="E1231">
            <v>-22.882432432432559</v>
          </cell>
          <cell r="F1231">
            <v>22.52297297297341</v>
          </cell>
          <cell r="G1231">
            <v>13.441891891891975</v>
          </cell>
          <cell r="H1231">
            <v>13.441891891891975</v>
          </cell>
          <cell r="I1231" t="e">
            <v>#N/A</v>
          </cell>
          <cell r="J1231" t="e">
            <v>#N/A</v>
          </cell>
          <cell r="K1231">
            <v>17.5</v>
          </cell>
          <cell r="L1231">
            <v>14</v>
          </cell>
          <cell r="M1231" t="e">
            <v>#N/A</v>
          </cell>
          <cell r="N1231">
            <v>16.5</v>
          </cell>
          <cell r="O1231" t="e">
            <v>#N/A</v>
          </cell>
          <cell r="P1231" t="str">
            <v/>
          </cell>
          <cell r="Q1231" t="str">
            <v/>
          </cell>
          <cell r="R1231">
            <v>16.5</v>
          </cell>
        </row>
        <row r="1232">
          <cell r="A1232" t="str">
            <v/>
          </cell>
          <cell r="B1232" t="str">
            <v/>
          </cell>
          <cell r="C1232" t="str">
            <v>Future</v>
          </cell>
          <cell r="D1232" t="e">
            <v>#N/A</v>
          </cell>
          <cell r="E1232">
            <v>-22.937837837837964</v>
          </cell>
          <cell r="F1232">
            <v>22.535135135135572</v>
          </cell>
          <cell r="G1232">
            <v>13.440540540540624</v>
          </cell>
          <cell r="H1232">
            <v>13.440540540540624</v>
          </cell>
          <cell r="I1232" t="e">
            <v>#N/A</v>
          </cell>
          <cell r="J1232" t="e">
            <v>#N/A</v>
          </cell>
          <cell r="K1232">
            <v>17.5</v>
          </cell>
          <cell r="L1232">
            <v>14</v>
          </cell>
          <cell r="M1232" t="e">
            <v>#N/A</v>
          </cell>
          <cell r="N1232">
            <v>16.5</v>
          </cell>
          <cell r="O1232" t="e">
            <v>#N/A</v>
          </cell>
          <cell r="P1232" t="str">
            <v/>
          </cell>
          <cell r="Q1232" t="str">
            <v/>
          </cell>
          <cell r="R1232">
            <v>16.5</v>
          </cell>
        </row>
        <row r="1233">
          <cell r="A1233" t="str">
            <v/>
          </cell>
          <cell r="B1233" t="str">
            <v/>
          </cell>
          <cell r="C1233" t="str">
            <v>Future</v>
          </cell>
          <cell r="D1233" t="e">
            <v>#N/A</v>
          </cell>
          <cell r="E1233">
            <v>-22.99324324324337</v>
          </cell>
          <cell r="F1233">
            <v>22.547297297297735</v>
          </cell>
          <cell r="G1233">
            <v>13.439189189189273</v>
          </cell>
          <cell r="H1233">
            <v>13.439189189189273</v>
          </cell>
          <cell r="I1233" t="e">
            <v>#N/A</v>
          </cell>
          <cell r="J1233" t="e">
            <v>#N/A</v>
          </cell>
          <cell r="K1233">
            <v>17.5</v>
          </cell>
          <cell r="L1233">
            <v>14</v>
          </cell>
          <cell r="M1233" t="e">
            <v>#N/A</v>
          </cell>
          <cell r="N1233">
            <v>16.5</v>
          </cell>
          <cell r="O1233" t="e">
            <v>#N/A</v>
          </cell>
          <cell r="P1233" t="str">
            <v/>
          </cell>
          <cell r="Q1233" t="str">
            <v/>
          </cell>
          <cell r="R1233">
            <v>16.5</v>
          </cell>
        </row>
        <row r="1234">
          <cell r="A1234" t="str">
            <v/>
          </cell>
          <cell r="B1234" t="str">
            <v/>
          </cell>
          <cell r="C1234" t="str">
            <v>Future</v>
          </cell>
          <cell r="D1234" t="e">
            <v>#N/A</v>
          </cell>
          <cell r="E1234">
            <v>-23.048648648648776</v>
          </cell>
          <cell r="F1234">
            <v>22.559459459459898</v>
          </cell>
          <cell r="G1234">
            <v>13.437837837837922</v>
          </cell>
          <cell r="H1234">
            <v>13.437837837837922</v>
          </cell>
          <cell r="I1234" t="e">
            <v>#N/A</v>
          </cell>
          <cell r="J1234" t="e">
            <v>#N/A</v>
          </cell>
          <cell r="K1234">
            <v>17.5</v>
          </cell>
          <cell r="L1234">
            <v>14</v>
          </cell>
          <cell r="M1234" t="e">
            <v>#N/A</v>
          </cell>
          <cell r="N1234">
            <v>16.5</v>
          </cell>
          <cell r="O1234" t="e">
            <v>#N/A</v>
          </cell>
          <cell r="P1234" t="str">
            <v/>
          </cell>
          <cell r="Q1234" t="str">
            <v/>
          </cell>
          <cell r="R1234">
            <v>16.5</v>
          </cell>
        </row>
        <row r="1235">
          <cell r="A1235" t="str">
            <v/>
          </cell>
          <cell r="B1235" t="str">
            <v/>
          </cell>
          <cell r="C1235" t="str">
            <v>Future</v>
          </cell>
          <cell r="D1235" t="e">
            <v>#N/A</v>
          </cell>
          <cell r="E1235">
            <v>-23.104054054054181</v>
          </cell>
          <cell r="F1235">
            <v>22.571621621622061</v>
          </cell>
          <cell r="G1235">
            <v>13.436486486486571</v>
          </cell>
          <cell r="H1235">
            <v>13.436486486486571</v>
          </cell>
          <cell r="I1235" t="e">
            <v>#N/A</v>
          </cell>
          <cell r="J1235" t="e">
            <v>#N/A</v>
          </cell>
          <cell r="K1235">
            <v>17.5</v>
          </cell>
          <cell r="L1235">
            <v>14</v>
          </cell>
          <cell r="M1235" t="e">
            <v>#N/A</v>
          </cell>
          <cell r="N1235">
            <v>16.5</v>
          </cell>
          <cell r="O1235" t="e">
            <v>#N/A</v>
          </cell>
          <cell r="P1235" t="str">
            <v/>
          </cell>
          <cell r="Q1235" t="str">
            <v/>
          </cell>
          <cell r="R1235">
            <v>16.5</v>
          </cell>
        </row>
        <row r="1236">
          <cell r="A1236" t="str">
            <v/>
          </cell>
          <cell r="B1236" t="str">
            <v/>
          </cell>
          <cell r="C1236" t="str">
            <v>Future</v>
          </cell>
          <cell r="D1236" t="e">
            <v>#N/A</v>
          </cell>
          <cell r="E1236">
            <v>-23.159459459459587</v>
          </cell>
          <cell r="F1236">
            <v>22.583783783784224</v>
          </cell>
          <cell r="G1236">
            <v>13.435135135135219</v>
          </cell>
          <cell r="H1236">
            <v>13.435135135135219</v>
          </cell>
          <cell r="I1236" t="e">
            <v>#N/A</v>
          </cell>
          <cell r="J1236" t="e">
            <v>#N/A</v>
          </cell>
          <cell r="K1236">
            <v>17.5</v>
          </cell>
          <cell r="L1236">
            <v>14</v>
          </cell>
          <cell r="M1236" t="e">
            <v>#N/A</v>
          </cell>
          <cell r="N1236">
            <v>16.5</v>
          </cell>
          <cell r="O1236" t="e">
            <v>#N/A</v>
          </cell>
          <cell r="P1236" t="str">
            <v/>
          </cell>
          <cell r="Q1236" t="str">
            <v/>
          </cell>
          <cell r="R1236">
            <v>16.5</v>
          </cell>
        </row>
        <row r="1237">
          <cell r="A1237" t="str">
            <v/>
          </cell>
          <cell r="B1237" t="str">
            <v/>
          </cell>
          <cell r="C1237" t="str">
            <v>Future</v>
          </cell>
          <cell r="D1237" t="e">
            <v>#N/A</v>
          </cell>
          <cell r="E1237">
            <v>-23.214864864864992</v>
          </cell>
          <cell r="F1237">
            <v>22.595945945946387</v>
          </cell>
          <cell r="G1237">
            <v>13.433783783783868</v>
          </cell>
          <cell r="H1237">
            <v>13.433783783783868</v>
          </cell>
          <cell r="I1237" t="e">
            <v>#N/A</v>
          </cell>
          <cell r="J1237" t="e">
            <v>#N/A</v>
          </cell>
          <cell r="K1237">
            <v>17.5</v>
          </cell>
          <cell r="L1237">
            <v>14</v>
          </cell>
          <cell r="M1237" t="e">
            <v>#N/A</v>
          </cell>
          <cell r="N1237">
            <v>16.5</v>
          </cell>
          <cell r="O1237" t="e">
            <v>#N/A</v>
          </cell>
          <cell r="P1237" t="str">
            <v/>
          </cell>
          <cell r="Q1237" t="str">
            <v/>
          </cell>
          <cell r="R1237">
            <v>16.5</v>
          </cell>
        </row>
        <row r="1238">
          <cell r="A1238" t="str">
            <v/>
          </cell>
          <cell r="B1238" t="str">
            <v/>
          </cell>
          <cell r="C1238" t="str">
            <v>Future</v>
          </cell>
          <cell r="D1238" t="e">
            <v>#N/A</v>
          </cell>
          <cell r="E1238">
            <v>-23.270270270270398</v>
          </cell>
          <cell r="F1238">
            <v>22.608108108108549</v>
          </cell>
          <cell r="G1238">
            <v>13.432432432432517</v>
          </cell>
          <cell r="H1238">
            <v>13.432432432432517</v>
          </cell>
          <cell r="I1238" t="e">
            <v>#N/A</v>
          </cell>
          <cell r="J1238" t="e">
            <v>#N/A</v>
          </cell>
          <cell r="K1238">
            <v>17.5</v>
          </cell>
          <cell r="L1238">
            <v>14</v>
          </cell>
          <cell r="M1238" t="e">
            <v>#N/A</v>
          </cell>
          <cell r="N1238">
            <v>16.5</v>
          </cell>
          <cell r="O1238" t="e">
            <v>#N/A</v>
          </cell>
          <cell r="P1238" t="str">
            <v/>
          </cell>
          <cell r="Q1238" t="str">
            <v/>
          </cell>
          <cell r="R1238">
            <v>16.5</v>
          </cell>
        </row>
        <row r="1239">
          <cell r="A1239" t="str">
            <v/>
          </cell>
          <cell r="B1239" t="str">
            <v/>
          </cell>
          <cell r="C1239" t="str">
            <v>Future</v>
          </cell>
          <cell r="D1239" t="e">
            <v>#N/A</v>
          </cell>
          <cell r="E1239">
            <v>-23.325675675675804</v>
          </cell>
          <cell r="F1239">
            <v>22.620270270270712</v>
          </cell>
          <cell r="G1239">
            <v>13.431081081081166</v>
          </cell>
          <cell r="H1239">
            <v>13.431081081081166</v>
          </cell>
          <cell r="I1239" t="e">
            <v>#N/A</v>
          </cell>
          <cell r="J1239" t="e">
            <v>#N/A</v>
          </cell>
          <cell r="K1239">
            <v>17.5</v>
          </cell>
          <cell r="L1239">
            <v>14</v>
          </cell>
          <cell r="M1239" t="e">
            <v>#N/A</v>
          </cell>
          <cell r="N1239">
            <v>16.5</v>
          </cell>
          <cell r="O1239" t="e">
            <v>#N/A</v>
          </cell>
          <cell r="P1239" t="str">
            <v/>
          </cell>
          <cell r="Q1239" t="str">
            <v/>
          </cell>
          <cell r="R1239">
            <v>16.5</v>
          </cell>
        </row>
        <row r="1240">
          <cell r="A1240" t="str">
            <v/>
          </cell>
          <cell r="B1240" t="str">
            <v/>
          </cell>
          <cell r="C1240" t="str">
            <v>Future</v>
          </cell>
          <cell r="D1240" t="e">
            <v>#N/A</v>
          </cell>
          <cell r="E1240">
            <v>-23.381081081081209</v>
          </cell>
          <cell r="F1240">
            <v>22.632432432432875</v>
          </cell>
          <cell r="G1240">
            <v>13.429729729729814</v>
          </cell>
          <cell r="H1240">
            <v>13.429729729729814</v>
          </cell>
          <cell r="I1240" t="e">
            <v>#N/A</v>
          </cell>
          <cell r="J1240" t="e">
            <v>#N/A</v>
          </cell>
          <cell r="K1240">
            <v>17.5</v>
          </cell>
          <cell r="L1240">
            <v>14</v>
          </cell>
          <cell r="M1240" t="e">
            <v>#N/A</v>
          </cell>
          <cell r="N1240">
            <v>16.5</v>
          </cell>
          <cell r="O1240" t="e">
            <v>#N/A</v>
          </cell>
          <cell r="P1240" t="str">
            <v/>
          </cell>
          <cell r="Q1240" t="str">
            <v/>
          </cell>
          <cell r="R1240">
            <v>16.5</v>
          </cell>
        </row>
        <row r="1241">
          <cell r="A1241" t="str">
            <v/>
          </cell>
          <cell r="B1241" t="str">
            <v/>
          </cell>
          <cell r="C1241" t="str">
            <v>Future</v>
          </cell>
          <cell r="D1241" t="e">
            <v>#N/A</v>
          </cell>
          <cell r="E1241">
            <v>-23.436486486486615</v>
          </cell>
          <cell r="F1241">
            <v>22.644594594595038</v>
          </cell>
          <cell r="G1241">
            <v>13.428378378378463</v>
          </cell>
          <cell r="H1241">
            <v>13.428378378378463</v>
          </cell>
          <cell r="I1241" t="e">
            <v>#N/A</v>
          </cell>
          <cell r="J1241" t="e">
            <v>#N/A</v>
          </cell>
          <cell r="K1241">
            <v>17.5</v>
          </cell>
          <cell r="L1241">
            <v>14</v>
          </cell>
          <cell r="M1241" t="e">
            <v>#N/A</v>
          </cell>
          <cell r="N1241">
            <v>16.5</v>
          </cell>
          <cell r="O1241" t="e">
            <v>#N/A</v>
          </cell>
          <cell r="P1241" t="str">
            <v/>
          </cell>
          <cell r="Q1241" t="str">
            <v/>
          </cell>
          <cell r="R1241">
            <v>16.5</v>
          </cell>
        </row>
        <row r="1242">
          <cell r="A1242" t="str">
            <v/>
          </cell>
          <cell r="B1242" t="str">
            <v/>
          </cell>
          <cell r="C1242" t="str">
            <v>Future</v>
          </cell>
          <cell r="D1242" t="e">
            <v>#N/A</v>
          </cell>
          <cell r="E1242">
            <v>-23.491891891892021</v>
          </cell>
          <cell r="F1242">
            <v>22.656756756757201</v>
          </cell>
          <cell r="G1242">
            <v>13.427027027027112</v>
          </cell>
          <cell r="H1242">
            <v>13.427027027027112</v>
          </cell>
          <cell r="I1242" t="e">
            <v>#N/A</v>
          </cell>
          <cell r="J1242" t="e">
            <v>#N/A</v>
          </cell>
          <cell r="K1242">
            <v>17.5</v>
          </cell>
          <cell r="L1242">
            <v>14</v>
          </cell>
          <cell r="M1242" t="e">
            <v>#N/A</v>
          </cell>
          <cell r="N1242">
            <v>16.5</v>
          </cell>
          <cell r="O1242" t="e">
            <v>#N/A</v>
          </cell>
          <cell r="P1242" t="str">
            <v/>
          </cell>
          <cell r="Q1242" t="str">
            <v/>
          </cell>
          <cell r="R1242">
            <v>16.5</v>
          </cell>
        </row>
        <row r="1243">
          <cell r="A1243" t="str">
            <v/>
          </cell>
          <cell r="B1243" t="str">
            <v/>
          </cell>
          <cell r="C1243" t="str">
            <v>Future</v>
          </cell>
          <cell r="D1243" t="e">
            <v>#N/A</v>
          </cell>
          <cell r="E1243">
            <v>-23.547297297297426</v>
          </cell>
          <cell r="F1243">
            <v>22.668918918919363</v>
          </cell>
          <cell r="G1243">
            <v>13.425675675675761</v>
          </cell>
          <cell r="H1243">
            <v>13.425675675675761</v>
          </cell>
          <cell r="I1243" t="e">
            <v>#N/A</v>
          </cell>
          <cell r="J1243" t="e">
            <v>#N/A</v>
          </cell>
          <cell r="K1243">
            <v>17.5</v>
          </cell>
          <cell r="L1243">
            <v>14</v>
          </cell>
          <cell r="M1243" t="e">
            <v>#N/A</v>
          </cell>
          <cell r="N1243">
            <v>16.5</v>
          </cell>
          <cell r="O1243" t="e">
            <v>#N/A</v>
          </cell>
          <cell r="P1243" t="str">
            <v/>
          </cell>
          <cell r="Q1243" t="str">
            <v/>
          </cell>
          <cell r="R1243">
            <v>16.5</v>
          </cell>
        </row>
        <row r="1244">
          <cell r="A1244" t="str">
            <v/>
          </cell>
          <cell r="B1244" t="str">
            <v/>
          </cell>
          <cell r="C1244" t="str">
            <v>Future</v>
          </cell>
          <cell r="D1244" t="e">
            <v>#N/A</v>
          </cell>
          <cell r="E1244">
            <v>-23.602702702702832</v>
          </cell>
          <cell r="F1244">
            <v>22.681081081081526</v>
          </cell>
          <cell r="G1244">
            <v>13.424324324324409</v>
          </cell>
          <cell r="H1244">
            <v>13.424324324324409</v>
          </cell>
          <cell r="I1244" t="e">
            <v>#N/A</v>
          </cell>
          <cell r="J1244" t="e">
            <v>#N/A</v>
          </cell>
          <cell r="K1244">
            <v>17.5</v>
          </cell>
          <cell r="L1244">
            <v>14</v>
          </cell>
          <cell r="M1244" t="e">
            <v>#N/A</v>
          </cell>
          <cell r="N1244">
            <v>16.5</v>
          </cell>
          <cell r="O1244" t="e">
            <v>#N/A</v>
          </cell>
          <cell r="P1244" t="str">
            <v/>
          </cell>
          <cell r="Q1244" t="str">
            <v/>
          </cell>
          <cell r="R1244">
            <v>16.5</v>
          </cell>
        </row>
        <row r="1245">
          <cell r="A1245" t="str">
            <v/>
          </cell>
          <cell r="B1245" t="str">
            <v/>
          </cell>
          <cell r="C1245" t="str">
            <v>Future</v>
          </cell>
          <cell r="D1245" t="e">
            <v>#N/A</v>
          </cell>
          <cell r="E1245">
            <v>-23.658108108108237</v>
          </cell>
          <cell r="F1245">
            <v>22.693243243243689</v>
          </cell>
          <cell r="G1245">
            <v>13.422972972973058</v>
          </cell>
          <cell r="H1245">
            <v>13.422972972973058</v>
          </cell>
          <cell r="I1245" t="e">
            <v>#N/A</v>
          </cell>
          <cell r="J1245" t="e">
            <v>#N/A</v>
          </cell>
          <cell r="K1245">
            <v>17.5</v>
          </cell>
          <cell r="L1245">
            <v>14</v>
          </cell>
          <cell r="M1245" t="e">
            <v>#N/A</v>
          </cell>
          <cell r="N1245">
            <v>16.5</v>
          </cell>
          <cell r="O1245" t="e">
            <v>#N/A</v>
          </cell>
          <cell r="P1245" t="str">
            <v/>
          </cell>
          <cell r="Q1245" t="str">
            <v/>
          </cell>
          <cell r="R1245">
            <v>16.5</v>
          </cell>
        </row>
        <row r="1246">
          <cell r="A1246" t="str">
            <v/>
          </cell>
          <cell r="B1246" t="str">
            <v/>
          </cell>
          <cell r="C1246" t="str">
            <v>Future</v>
          </cell>
          <cell r="D1246" t="e">
            <v>#N/A</v>
          </cell>
          <cell r="E1246">
            <v>-23.713513513513643</v>
          </cell>
          <cell r="F1246">
            <v>22.705405405405852</v>
          </cell>
          <cell r="G1246">
            <v>13.421621621621707</v>
          </cell>
          <cell r="H1246">
            <v>13.421621621621707</v>
          </cell>
          <cell r="I1246" t="e">
            <v>#N/A</v>
          </cell>
          <cell r="J1246" t="e">
            <v>#N/A</v>
          </cell>
          <cell r="K1246">
            <v>17.5</v>
          </cell>
          <cell r="L1246">
            <v>14</v>
          </cell>
          <cell r="M1246" t="e">
            <v>#N/A</v>
          </cell>
          <cell r="N1246">
            <v>16.5</v>
          </cell>
          <cell r="O1246" t="e">
            <v>#N/A</v>
          </cell>
          <cell r="P1246" t="str">
            <v/>
          </cell>
          <cell r="Q1246" t="str">
            <v/>
          </cell>
          <cell r="R1246">
            <v>16.5</v>
          </cell>
        </row>
        <row r="1247">
          <cell r="A1247" t="str">
            <v/>
          </cell>
          <cell r="B1247" t="str">
            <v/>
          </cell>
          <cell r="C1247" t="str">
            <v>Future</v>
          </cell>
          <cell r="D1247" t="e">
            <v>#N/A</v>
          </cell>
          <cell r="E1247">
            <v>-23.768918918919049</v>
          </cell>
          <cell r="F1247">
            <v>22.717567567568015</v>
          </cell>
          <cell r="G1247">
            <v>13.420270270270356</v>
          </cell>
          <cell r="H1247">
            <v>13.420270270270356</v>
          </cell>
          <cell r="I1247" t="e">
            <v>#N/A</v>
          </cell>
          <cell r="J1247" t="e">
            <v>#N/A</v>
          </cell>
          <cell r="K1247">
            <v>17.5</v>
          </cell>
          <cell r="L1247">
            <v>14</v>
          </cell>
          <cell r="M1247" t="e">
            <v>#N/A</v>
          </cell>
          <cell r="N1247">
            <v>16.5</v>
          </cell>
          <cell r="O1247" t="e">
            <v>#N/A</v>
          </cell>
          <cell r="P1247" t="str">
            <v/>
          </cell>
          <cell r="Q1247" t="str">
            <v/>
          </cell>
          <cell r="R1247">
            <v>16.5</v>
          </cell>
        </row>
        <row r="1248">
          <cell r="A1248" t="str">
            <v/>
          </cell>
          <cell r="B1248" t="str">
            <v/>
          </cell>
          <cell r="C1248" t="str">
            <v>Future</v>
          </cell>
          <cell r="D1248" t="e">
            <v>#N/A</v>
          </cell>
          <cell r="E1248">
            <v>-23.824324324324454</v>
          </cell>
          <cell r="F1248">
            <v>22.729729729730177</v>
          </cell>
          <cell r="G1248">
            <v>13.418918918919005</v>
          </cell>
          <cell r="H1248">
            <v>13.418918918919005</v>
          </cell>
          <cell r="I1248" t="e">
            <v>#N/A</v>
          </cell>
          <cell r="J1248" t="e">
            <v>#N/A</v>
          </cell>
          <cell r="K1248">
            <v>17.5</v>
          </cell>
          <cell r="L1248">
            <v>14</v>
          </cell>
          <cell r="M1248" t="e">
            <v>#N/A</v>
          </cell>
          <cell r="N1248">
            <v>16.5</v>
          </cell>
          <cell r="O1248" t="e">
            <v>#N/A</v>
          </cell>
          <cell r="P1248" t="str">
            <v/>
          </cell>
          <cell r="Q1248" t="str">
            <v/>
          </cell>
          <cell r="R1248">
            <v>16.5</v>
          </cell>
        </row>
        <row r="1249">
          <cell r="A1249" t="str">
            <v/>
          </cell>
          <cell r="B1249" t="str">
            <v/>
          </cell>
          <cell r="C1249" t="str">
            <v>Future</v>
          </cell>
          <cell r="D1249" t="e">
            <v>#N/A</v>
          </cell>
          <cell r="E1249">
            <v>-23.87972972972986</v>
          </cell>
          <cell r="F1249">
            <v>22.74189189189234</v>
          </cell>
          <cell r="G1249">
            <v>13.417567567567653</v>
          </cell>
          <cell r="H1249">
            <v>13.417567567567653</v>
          </cell>
          <cell r="I1249" t="e">
            <v>#N/A</v>
          </cell>
          <cell r="J1249" t="e">
            <v>#N/A</v>
          </cell>
          <cell r="K1249">
            <v>17.5</v>
          </cell>
          <cell r="L1249">
            <v>14</v>
          </cell>
          <cell r="M1249" t="e">
            <v>#N/A</v>
          </cell>
          <cell r="N1249">
            <v>16.5</v>
          </cell>
          <cell r="O1249" t="e">
            <v>#N/A</v>
          </cell>
          <cell r="P1249" t="str">
            <v/>
          </cell>
          <cell r="Q1249" t="str">
            <v/>
          </cell>
          <cell r="R1249">
            <v>16.5</v>
          </cell>
        </row>
        <row r="1250">
          <cell r="A1250" t="str">
            <v/>
          </cell>
          <cell r="B1250" t="str">
            <v/>
          </cell>
          <cell r="C1250" t="str">
            <v>Future</v>
          </cell>
          <cell r="D1250" t="e">
            <v>#N/A</v>
          </cell>
          <cell r="E1250">
            <v>-23.935135135135265</v>
          </cell>
          <cell r="F1250">
            <v>22.754054054054503</v>
          </cell>
          <cell r="G1250">
            <v>13.416216216216302</v>
          </cell>
          <cell r="H1250">
            <v>13.416216216216302</v>
          </cell>
          <cell r="I1250" t="e">
            <v>#N/A</v>
          </cell>
          <cell r="J1250" t="e">
            <v>#N/A</v>
          </cell>
          <cell r="K1250">
            <v>17.5</v>
          </cell>
          <cell r="L1250">
            <v>14</v>
          </cell>
          <cell r="M1250" t="e">
            <v>#N/A</v>
          </cell>
          <cell r="N1250">
            <v>16.5</v>
          </cell>
          <cell r="O1250" t="e">
            <v>#N/A</v>
          </cell>
          <cell r="P1250" t="str">
            <v/>
          </cell>
          <cell r="Q1250" t="str">
            <v/>
          </cell>
          <cell r="R1250">
            <v>16.5</v>
          </cell>
        </row>
        <row r="1251">
          <cell r="A1251" t="str">
            <v/>
          </cell>
          <cell r="B1251" t="str">
            <v/>
          </cell>
          <cell r="C1251" t="str">
            <v>Future</v>
          </cell>
          <cell r="D1251" t="e">
            <v>#N/A</v>
          </cell>
          <cell r="E1251">
            <v>-23.990540540540671</v>
          </cell>
          <cell r="F1251">
            <v>22.766216216216666</v>
          </cell>
          <cell r="G1251">
            <v>13.414864864864951</v>
          </cell>
          <cell r="H1251">
            <v>13.414864864864951</v>
          </cell>
          <cell r="I1251" t="e">
            <v>#N/A</v>
          </cell>
          <cell r="J1251" t="e">
            <v>#N/A</v>
          </cell>
          <cell r="K1251">
            <v>17.5</v>
          </cell>
          <cell r="L1251">
            <v>14</v>
          </cell>
          <cell r="M1251" t="e">
            <v>#N/A</v>
          </cell>
          <cell r="N1251">
            <v>16.5</v>
          </cell>
          <cell r="O1251" t="e">
            <v>#N/A</v>
          </cell>
          <cell r="P1251" t="str">
            <v/>
          </cell>
          <cell r="Q1251" t="str">
            <v/>
          </cell>
          <cell r="R1251">
            <v>16.5</v>
          </cell>
        </row>
        <row r="1252">
          <cell r="A1252" t="str">
            <v/>
          </cell>
          <cell r="B1252" t="str">
            <v/>
          </cell>
          <cell r="C1252" t="str">
            <v>Future</v>
          </cell>
          <cell r="D1252" t="e">
            <v>#N/A</v>
          </cell>
          <cell r="E1252">
            <v>-24.045945945946077</v>
          </cell>
          <cell r="F1252">
            <v>22.778378378378829</v>
          </cell>
          <cell r="G1252">
            <v>13.4135135135136</v>
          </cell>
          <cell r="H1252">
            <v>13.4135135135136</v>
          </cell>
          <cell r="I1252" t="e">
            <v>#N/A</v>
          </cell>
          <cell r="J1252" t="e">
            <v>#N/A</v>
          </cell>
          <cell r="K1252">
            <v>17.5</v>
          </cell>
          <cell r="L1252">
            <v>14</v>
          </cell>
          <cell r="M1252" t="e">
            <v>#N/A</v>
          </cell>
          <cell r="N1252">
            <v>16.5</v>
          </cell>
          <cell r="O1252" t="e">
            <v>#N/A</v>
          </cell>
          <cell r="P1252" t="str">
            <v/>
          </cell>
          <cell r="Q1252" t="str">
            <v/>
          </cell>
          <cell r="R1252">
            <v>16.5</v>
          </cell>
        </row>
        <row r="1253">
          <cell r="A1253" t="str">
            <v/>
          </cell>
          <cell r="P1253" t="str">
            <v/>
          </cell>
          <cell r="Q1253" t="str">
            <v/>
          </cell>
        </row>
      </sheetData>
      <sheetData sheetId="11" refreshError="1"/>
      <sheetData sheetId="12" refreshError="1"/>
      <sheetData sheetId="13" refreshError="1">
        <row r="1">
          <cell r="N1" t="str">
            <v>SmartCharts</v>
          </cell>
          <cell r="AW1" t="str">
            <v>.</v>
          </cell>
        </row>
        <row r="2">
          <cell r="AW2" t="str">
            <v>.</v>
          </cell>
        </row>
        <row r="3">
          <cell r="AW3" t="str">
            <v>.</v>
          </cell>
        </row>
        <row r="4">
          <cell r="AW4" t="str">
            <v>.</v>
          </cell>
        </row>
        <row r="5">
          <cell r="C5" t="str">
            <v>Define value axis here:</v>
          </cell>
        </row>
        <row r="6">
          <cell r="C6" t="str">
            <v>Capex ($mil)</v>
          </cell>
        </row>
        <row r="10">
          <cell r="C10" t="str">
            <v>Input your data here:</v>
          </cell>
          <cell r="AW10" t="str">
            <v>.</v>
          </cell>
        </row>
        <row r="11">
          <cell r="C11">
            <v>2009</v>
          </cell>
          <cell r="D11">
            <v>800.62199999999996</v>
          </cell>
        </row>
        <row r="12">
          <cell r="C12">
            <v>2010</v>
          </cell>
          <cell r="D12">
            <v>568.05700000000002</v>
          </cell>
          <cell r="AW12" t="str">
            <v>.</v>
          </cell>
        </row>
        <row r="13">
          <cell r="C13" t="str">
            <v>2011e</v>
          </cell>
          <cell r="D13">
            <v>488.18299999999999</v>
          </cell>
          <cell r="AW13" t="str">
            <v>.</v>
          </cell>
        </row>
        <row r="14">
          <cell r="C14" t="str">
            <v>2012e</v>
          </cell>
          <cell r="D14">
            <v>473.17525000000001</v>
          </cell>
          <cell r="AW14" t="str">
            <v>.</v>
          </cell>
        </row>
        <row r="15">
          <cell r="C15" t="str">
            <v>2013e</v>
          </cell>
          <cell r="D15">
            <v>411.15758333333338</v>
          </cell>
          <cell r="AW15" t="str">
            <v>.</v>
          </cell>
        </row>
        <row r="16">
          <cell r="C16" t="str">
            <v>2014e</v>
          </cell>
          <cell r="D16">
            <v>411.15758333333338</v>
          </cell>
          <cell r="AW16" t="str">
            <v>.</v>
          </cell>
        </row>
        <row r="17">
          <cell r="C17" t="str">
            <v>2015e</v>
          </cell>
          <cell r="D17">
            <v>411.15758333333338</v>
          </cell>
          <cell r="AW17" t="str">
            <v>.</v>
          </cell>
        </row>
        <row r="18">
          <cell r="AW18" t="str">
            <v>.</v>
          </cell>
        </row>
        <row r="19">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4" refreshError="1">
        <row r="1">
          <cell r="P1" t="str">
            <v>SmartCharts</v>
          </cell>
        </row>
        <row r="6">
          <cell r="C6" t="str">
            <v>Input value axis title here:</v>
          </cell>
        </row>
        <row r="7">
          <cell r="C7" t="str">
            <v>Current Dividend as % of Projected FCF</v>
          </cell>
        </row>
        <row r="10">
          <cell r="C10" t="str">
            <v>Input your data here:</v>
          </cell>
          <cell r="BB10" t="str">
            <v>.</v>
          </cell>
        </row>
        <row r="11">
          <cell r="D11" t="str">
            <v>Pre-Dividend FCF</v>
          </cell>
          <cell r="E11" t="str">
            <v>Current Dividend</v>
          </cell>
          <cell r="F11" t="str">
            <v>Div. / FCF</v>
          </cell>
          <cell r="AB11" t="str">
            <v>Cells below are used for chart calculations; please do not make any changes</v>
          </cell>
        </row>
        <row r="12">
          <cell r="AB12">
            <v>244.75657931408091</v>
          </cell>
          <cell r="AC12">
            <v>244.75657931408091</v>
          </cell>
        </row>
        <row r="13">
          <cell r="AB13">
            <v>244.75657931408091</v>
          </cell>
          <cell r="AC13">
            <v>244.75657931408091</v>
          </cell>
        </row>
        <row r="14">
          <cell r="C14" t="str">
            <v>2011e</v>
          </cell>
          <cell r="D14">
            <v>96.736330472514965</v>
          </cell>
          <cell r="E14">
            <v>113</v>
          </cell>
          <cell r="F14">
            <v>1.1681236971471223</v>
          </cell>
          <cell r="AB14">
            <v>148.02024884156594</v>
          </cell>
          <cell r="AC14">
            <v>131.75657931408091</v>
          </cell>
        </row>
        <row r="15">
          <cell r="C15" t="str">
            <v>2012e</v>
          </cell>
          <cell r="D15">
            <v>170.37541823634081</v>
          </cell>
          <cell r="E15">
            <v>113</v>
          </cell>
          <cell r="F15">
            <v>0.66324121853804663</v>
          </cell>
          <cell r="AB15">
            <v>74.381161077740103</v>
          </cell>
          <cell r="AC15">
            <v>131.75657931408091</v>
          </cell>
        </row>
        <row r="16">
          <cell r="C16" t="str">
            <v>2013e</v>
          </cell>
          <cell r="D16">
            <v>192.95025703722308</v>
          </cell>
          <cell r="E16">
            <v>113</v>
          </cell>
          <cell r="F16">
            <v>0.58564316904848979</v>
          </cell>
          <cell r="AB16">
            <v>51.806322276857827</v>
          </cell>
          <cell r="AC16">
            <v>131.75657931408091</v>
          </cell>
        </row>
        <row r="17">
          <cell r="C17" t="str">
            <v>2014e</v>
          </cell>
          <cell r="D17">
            <v>216.27040321437914</v>
          </cell>
          <cell r="E17">
            <v>113</v>
          </cell>
          <cell r="F17">
            <v>0.52249405522210157</v>
          </cell>
          <cell r="AB17">
            <v>28.486176099701765</v>
          </cell>
          <cell r="AC17">
            <v>131.75657931408091</v>
          </cell>
        </row>
        <row r="18">
          <cell r="C18" t="str">
            <v>2015e</v>
          </cell>
          <cell r="D18">
            <v>244.75657931408091</v>
          </cell>
          <cell r="E18">
            <v>113</v>
          </cell>
          <cell r="F18">
            <v>0.46168319689986403</v>
          </cell>
          <cell r="AB18">
            <v>0</v>
          </cell>
          <cell r="AC18">
            <v>131.75657931408091</v>
          </cell>
        </row>
        <row r="19">
          <cell r="AB19">
            <v>244.75657931408091</v>
          </cell>
          <cell r="AC19">
            <v>244.75657931408091</v>
          </cell>
        </row>
        <row r="20">
          <cell r="AB20">
            <v>244.75657931408091</v>
          </cell>
          <cell r="AC20">
            <v>244.75657931408091</v>
          </cell>
        </row>
        <row r="21">
          <cell r="AB21">
            <v>244.75657931408091</v>
          </cell>
          <cell r="AC21">
            <v>244.75657931408091</v>
          </cell>
        </row>
        <row r="22">
          <cell r="AB22">
            <v>244.75657931408091</v>
          </cell>
          <cell r="AC22">
            <v>244.75657931408091</v>
          </cell>
        </row>
        <row r="23">
          <cell r="AB23">
            <v>244.75657931408091</v>
          </cell>
          <cell r="AC23">
            <v>244.75657931408091</v>
          </cell>
        </row>
        <row r="24">
          <cell r="AB24">
            <v>244.75657931408091</v>
          </cell>
          <cell r="AC24">
            <v>244.75657931408091</v>
          </cell>
        </row>
        <row r="25">
          <cell r="AB25">
            <v>244.75657931408091</v>
          </cell>
          <cell r="AC25">
            <v>244.75657931408091</v>
          </cell>
        </row>
        <row r="26">
          <cell r="AB26">
            <v>244.75657931408091</v>
          </cell>
          <cell r="AC26">
            <v>244.75657931408091</v>
          </cell>
        </row>
        <row r="27">
          <cell r="AB27">
            <v>244.75657931408091</v>
          </cell>
          <cell r="AC27">
            <v>244.75657931408091</v>
          </cell>
        </row>
        <row r="28">
          <cell r="AB28">
            <v>244.75657931408091</v>
          </cell>
          <cell r="AC28">
            <v>244.75657931408091</v>
          </cell>
        </row>
        <row r="29">
          <cell r="AB29">
            <v>244.75657931408091</v>
          </cell>
          <cell r="AC29">
            <v>244.75657931408091</v>
          </cell>
        </row>
        <row r="30">
          <cell r="AB30">
            <v>244.75657931408091</v>
          </cell>
          <cell r="AC30">
            <v>244.75657931408091</v>
          </cell>
        </row>
        <row r="31">
          <cell r="AB31">
            <v>244.75657931408091</v>
          </cell>
          <cell r="AC31">
            <v>244.75657931408091</v>
          </cell>
        </row>
        <row r="998">
          <cell r="R998" t="str">
            <v>.</v>
          </cell>
          <cell r="S998" t="str">
            <v>.</v>
          </cell>
          <cell r="T998" t="str">
            <v>.</v>
          </cell>
          <cell r="U998" t="str">
            <v>.</v>
          </cell>
          <cell r="V998" t="str">
            <v>.</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Valuation Summary"/>
      <sheetName val="__FDSCACHE__"/>
      <sheetName val="Financial Summary"/>
      <sheetName val="NVE - Consolidated"/>
      <sheetName val="Nevada Power"/>
      <sheetName val="Sierra Power"/>
      <sheetName val="Parent"/>
      <sheetName val="Debt"/>
      <sheetName val="EPS Walk"/>
      <sheetName val="Note Tables"/>
      <sheetName val="mwareDates"/>
      <sheetName val="Capex Chart"/>
      <sheetName val="FCF-Div. Working Chart"/>
      <sheetName val="MW FDS"/>
      <sheetName val="MWA RR (2)"/>
      <sheetName val="mwareSettings"/>
      <sheetName val="MW-Cache"/>
      <sheetName val="Summary"/>
      <sheetName val="Financials"/>
      <sheetName val="MWA RR"/>
      <sheetName val="Scorecard"/>
    </sheetNames>
    <sheetDataSet>
      <sheetData sheetId="0" refreshError="1"/>
      <sheetData sheetId="1" refreshError="1"/>
      <sheetData sheetId="2" refreshError="1"/>
      <sheetData sheetId="3" refreshError="1">
        <row r="2">
          <cell r="B2" t="str">
            <v>NV Energy</v>
          </cell>
        </row>
        <row r="3">
          <cell r="B3" t="str">
            <v>Financial Summary</v>
          </cell>
        </row>
        <row r="4">
          <cell r="B4" t="str">
            <v>$m, unless stated otherwise</v>
          </cell>
        </row>
        <row r="5">
          <cell r="B5" t="str">
            <v>Period Ended</v>
          </cell>
          <cell r="I5">
            <v>2009</v>
          </cell>
          <cell r="N5">
            <v>2010</v>
          </cell>
          <cell r="S5">
            <v>2011</v>
          </cell>
          <cell r="X5">
            <v>2012</v>
          </cell>
          <cell r="AC5">
            <v>2013</v>
          </cell>
          <cell r="AH5">
            <v>2014</v>
          </cell>
          <cell r="AM5">
            <v>2015</v>
          </cell>
          <cell r="AO5" t="str">
            <v>Period Ended</v>
          </cell>
          <cell r="AW5">
            <v>2009</v>
          </cell>
          <cell r="BB5">
            <v>2010</v>
          </cell>
          <cell r="BG5">
            <v>2011</v>
          </cell>
          <cell r="BL5">
            <v>2012</v>
          </cell>
          <cell r="BQ5">
            <v>2013</v>
          </cell>
          <cell r="BV5">
            <v>2014</v>
          </cell>
          <cell r="CA5">
            <v>2015</v>
          </cell>
        </row>
        <row r="7">
          <cell r="B7" t="str">
            <v>EPS AND EBITDA PROFILE</v>
          </cell>
          <cell r="AP7" t="str">
            <v>CAPITALIZATION PROFILE</v>
          </cell>
        </row>
        <row r="9">
          <cell r="C9" t="str">
            <v>EPS by Business Segment</v>
          </cell>
          <cell r="AQ9" t="str">
            <v>Cash</v>
          </cell>
          <cell r="AW9">
            <v>62.706000000000003</v>
          </cell>
          <cell r="BB9">
            <v>86.188999999999993</v>
          </cell>
          <cell r="BG9">
            <v>214.61727950251523</v>
          </cell>
          <cell r="BL9">
            <v>240.56529358885604</v>
          </cell>
          <cell r="BQ9">
            <v>265.84944011607911</v>
          </cell>
          <cell r="BV9">
            <v>386.21502646045826</v>
          </cell>
          <cell r="CA9">
            <v>381.82808254453914</v>
          </cell>
        </row>
        <row r="10">
          <cell r="C10" t="str">
            <v>Nevada Power</v>
          </cell>
          <cell r="I10">
            <v>0.57098225684245008</v>
          </cell>
          <cell r="N10">
            <v>0.78691105583816123</v>
          </cell>
          <cell r="S10">
            <v>0.64430447573699823</v>
          </cell>
          <cell r="X10">
            <v>1.0234410013720265</v>
          </cell>
          <cell r="AC10">
            <v>1.0471710948644808</v>
          </cell>
          <cell r="AH10">
            <v>1.0830719624121479</v>
          </cell>
          <cell r="AM10">
            <v>1.1820805154946072</v>
          </cell>
        </row>
        <row r="11">
          <cell r="C11" t="str">
            <v>Sierra Pacific Power</v>
          </cell>
          <cell r="I11">
            <v>0.31076106044897717</v>
          </cell>
          <cell r="N11">
            <v>0.30629110892201944</v>
          </cell>
          <cell r="S11">
            <v>0.30268756480263276</v>
          </cell>
          <cell r="X11">
            <v>0.31215547901530016</v>
          </cell>
          <cell r="AC11">
            <v>0.32721191357364682</v>
          </cell>
          <cell r="AH11">
            <v>0.36481066593765932</v>
          </cell>
          <cell r="AM11">
            <v>0.36374936985680045</v>
          </cell>
          <cell r="AQ11" t="str">
            <v>Short Term Debt</v>
          </cell>
          <cell r="AW11">
            <v>0</v>
          </cell>
          <cell r="BB11">
            <v>0</v>
          </cell>
          <cell r="BG11">
            <v>0</v>
          </cell>
          <cell r="BL11">
            <v>0</v>
          </cell>
          <cell r="BQ11">
            <v>0</v>
          </cell>
          <cell r="BV11">
            <v>0</v>
          </cell>
          <cell r="CA11">
            <v>0</v>
          </cell>
        </row>
        <row r="12">
          <cell r="C12" t="str">
            <v>Parent &amp; Other</v>
          </cell>
          <cell r="I12">
            <v>-0.10389033303618954</v>
          </cell>
          <cell r="N12">
            <v>-0.13260553515664844</v>
          </cell>
          <cell r="S12">
            <v>-9.1192023357962365E-2</v>
          </cell>
          <cell r="X12">
            <v>-8.9444278664941604E-2</v>
          </cell>
          <cell r="AC12">
            <v>-8.7148762122346318E-2</v>
          </cell>
          <cell r="AH12">
            <v>-8.0633309316615026E-2</v>
          </cell>
          <cell r="AM12">
            <v>-7.5917040694008744E-2</v>
          </cell>
          <cell r="AQ12" t="str">
            <v>Long Term Debt</v>
          </cell>
          <cell r="AW12">
            <v>5437.8310000000001</v>
          </cell>
          <cell r="BB12">
            <v>5280.0380000000005</v>
          </cell>
          <cell r="BG12">
            <v>5230.0380000000005</v>
          </cell>
          <cell r="BL12">
            <v>5150.0380000000005</v>
          </cell>
          <cell r="BQ12">
            <v>5075.0380000000005</v>
          </cell>
          <cell r="BV12">
            <v>5100.0380000000005</v>
          </cell>
          <cell r="CA12">
            <v>5000.0380000000005</v>
          </cell>
        </row>
        <row r="13">
          <cell r="C13" t="str">
            <v>Consolidated EPS</v>
          </cell>
          <cell r="E13">
            <v>0</v>
          </cell>
          <cell r="F13">
            <v>0</v>
          </cell>
          <cell r="G13">
            <v>0</v>
          </cell>
          <cell r="H13">
            <v>0</v>
          </cell>
          <cell r="I13">
            <v>0.77785298425523774</v>
          </cell>
          <cell r="J13">
            <v>0</v>
          </cell>
          <cell r="K13">
            <v>0</v>
          </cell>
          <cell r="L13">
            <v>0</v>
          </cell>
          <cell r="M13">
            <v>0</v>
          </cell>
          <cell r="N13">
            <v>0.9605966296035322</v>
          </cell>
          <cell r="O13">
            <v>0</v>
          </cell>
          <cell r="P13">
            <v>0</v>
          </cell>
          <cell r="Q13">
            <v>0</v>
          </cell>
          <cell r="R13">
            <v>0</v>
          </cell>
          <cell r="S13">
            <v>0.85580001718166865</v>
          </cell>
          <cell r="T13">
            <v>0</v>
          </cell>
          <cell r="U13">
            <v>0</v>
          </cell>
          <cell r="V13">
            <v>0</v>
          </cell>
          <cell r="W13">
            <v>0</v>
          </cell>
          <cell r="X13">
            <v>1.2461522017223849</v>
          </cell>
          <cell r="Y13">
            <v>0</v>
          </cell>
          <cell r="Z13">
            <v>0</v>
          </cell>
          <cell r="AA13">
            <v>0</v>
          </cell>
          <cell r="AB13">
            <v>0</v>
          </cell>
          <cell r="AC13">
            <v>1.2872342463157813</v>
          </cell>
          <cell r="AD13">
            <v>0</v>
          </cell>
          <cell r="AE13">
            <v>0</v>
          </cell>
          <cell r="AF13">
            <v>0</v>
          </cell>
          <cell r="AG13">
            <v>0</v>
          </cell>
          <cell r="AH13">
            <v>1.3672493190331922</v>
          </cell>
          <cell r="AI13">
            <v>0</v>
          </cell>
          <cell r="AJ13">
            <v>0</v>
          </cell>
          <cell r="AK13">
            <v>0</v>
          </cell>
          <cell r="AL13">
            <v>0</v>
          </cell>
          <cell r="AM13">
            <v>1.4699128446573988</v>
          </cell>
          <cell r="AQ13" t="str">
            <v>Total Debt</v>
          </cell>
          <cell r="AW13">
            <v>5437.8310000000001</v>
          </cell>
          <cell r="BB13">
            <v>5280.0380000000005</v>
          </cell>
          <cell r="BG13">
            <v>5230.0380000000005</v>
          </cell>
          <cell r="BL13">
            <v>5150.0380000000005</v>
          </cell>
          <cell r="BQ13">
            <v>5075.0380000000005</v>
          </cell>
          <cell r="BV13">
            <v>5100.0380000000005</v>
          </cell>
          <cell r="CA13">
            <v>5000.0380000000005</v>
          </cell>
        </row>
        <row r="14">
          <cell r="C14" t="str">
            <v>Growth</v>
          </cell>
          <cell r="N14">
            <v>0.2349333987877722</v>
          </cell>
          <cell r="S14">
            <v>-0.10909533636935242</v>
          </cell>
          <cell r="X14">
            <v>0.45612546938971676</v>
          </cell>
          <cell r="AC14">
            <v>3.296711632544902E-2</v>
          </cell>
          <cell r="AH14">
            <v>6.2160459874668339E-2</v>
          </cell>
          <cell r="AM14">
            <v>7.5087640706818393E-2</v>
          </cell>
        </row>
        <row r="15">
          <cell r="AQ15" t="str">
            <v>Preferred Equity</v>
          </cell>
          <cell r="AW15">
            <v>0</v>
          </cell>
          <cell r="BB15">
            <v>0</v>
          </cell>
          <cell r="BG15">
            <v>0</v>
          </cell>
          <cell r="BL15">
            <v>0</v>
          </cell>
          <cell r="BQ15">
            <v>0</v>
          </cell>
          <cell r="BV15">
            <v>0</v>
          </cell>
          <cell r="CA15">
            <v>0</v>
          </cell>
        </row>
        <row r="16">
          <cell r="C16" t="str">
            <v>Regulated / Unregulated EPS</v>
          </cell>
          <cell r="AQ16" t="str">
            <v>Common Equity</v>
          </cell>
          <cell r="AW16">
            <v>3223.922</v>
          </cell>
          <cell r="BB16">
            <v>3350.8180000000002</v>
          </cell>
          <cell r="BG16">
            <v>3437.9657186990507</v>
          </cell>
          <cell r="BL16">
            <v>3603.339317189053</v>
          </cell>
          <cell r="BQ16">
            <v>3750.1929482659471</v>
          </cell>
          <cell r="BV16">
            <v>3887.7369601607984</v>
          </cell>
          <cell r="CA16">
            <v>4021.3292751369854</v>
          </cell>
        </row>
        <row r="17">
          <cell r="C17" t="str">
            <v>Regulated Utility (includes Parent)</v>
          </cell>
          <cell r="I17">
            <v>1</v>
          </cell>
          <cell r="N17">
            <v>1</v>
          </cell>
          <cell r="S17">
            <v>1</v>
          </cell>
          <cell r="X17">
            <v>1</v>
          </cell>
          <cell r="AC17">
            <v>1</v>
          </cell>
          <cell r="AH17">
            <v>1</v>
          </cell>
          <cell r="AM17">
            <v>1</v>
          </cell>
        </row>
        <row r="18">
          <cell r="C18" t="str">
            <v>Merchant Power</v>
          </cell>
          <cell r="I18">
            <v>0</v>
          </cell>
          <cell r="N18">
            <v>0</v>
          </cell>
          <cell r="S18">
            <v>0</v>
          </cell>
          <cell r="X18">
            <v>0</v>
          </cell>
          <cell r="AC18">
            <v>0</v>
          </cell>
          <cell r="AH18">
            <v>0</v>
          </cell>
          <cell r="AM18">
            <v>0</v>
          </cell>
          <cell r="AQ18" t="str">
            <v>Total Capitalization</v>
          </cell>
          <cell r="AW18">
            <v>8661.7530000000006</v>
          </cell>
          <cell r="BB18">
            <v>8630.8559999999998</v>
          </cell>
          <cell r="BG18">
            <v>8668.0037186990521</v>
          </cell>
          <cell r="BL18">
            <v>8753.3773171890534</v>
          </cell>
          <cell r="BQ18">
            <v>8825.2309482659475</v>
          </cell>
          <cell r="BV18">
            <v>8987.7749601607993</v>
          </cell>
          <cell r="CA18">
            <v>9021.367275136985</v>
          </cell>
        </row>
        <row r="19">
          <cell r="C19" t="str">
            <v>Other (Non-Utility / Power operations)</v>
          </cell>
          <cell r="I19">
            <v>0</v>
          </cell>
          <cell r="N19">
            <v>0</v>
          </cell>
          <cell r="S19">
            <v>0</v>
          </cell>
          <cell r="X19">
            <v>0</v>
          </cell>
          <cell r="AC19">
            <v>0</v>
          </cell>
          <cell r="AH19">
            <v>0</v>
          </cell>
          <cell r="AM19">
            <v>0</v>
          </cell>
        </row>
        <row r="20">
          <cell r="AQ20" t="str">
            <v>Leverage Ratios</v>
          </cell>
        </row>
        <row r="21">
          <cell r="C21" t="str">
            <v>EBITDA by Business Segment</v>
          </cell>
          <cell r="AQ21" t="str">
            <v>LT Debt  / Total Cap</v>
          </cell>
          <cell r="AW21">
            <v>0.62779797576772278</v>
          </cell>
          <cell r="BB21">
            <v>0.61176295839022232</v>
          </cell>
          <cell r="BG21">
            <v>0.60337283759090921</v>
          </cell>
          <cell r="BL21">
            <v>0.58834868112983585</v>
          </cell>
          <cell r="BQ21">
            <v>0.57506007828579087</v>
          </cell>
          <cell r="BV21">
            <v>0.56744166633081305</v>
          </cell>
          <cell r="CA21">
            <v>0.55424392417546009</v>
          </cell>
        </row>
        <row r="22">
          <cell r="C22" t="str">
            <v>Nevada Power</v>
          </cell>
          <cell r="I22">
            <v>638.06100000000015</v>
          </cell>
          <cell r="N22">
            <v>718.31899999999973</v>
          </cell>
          <cell r="S22">
            <v>692.29769453775964</v>
          </cell>
          <cell r="X22">
            <v>841.88870360407191</v>
          </cell>
          <cell r="AC22">
            <v>850.41700135407177</v>
          </cell>
          <cell r="AH22">
            <v>864.69057499275152</v>
          </cell>
          <cell r="AM22">
            <v>899.03739152422258</v>
          </cell>
          <cell r="AQ22" t="str">
            <v>Total Debt / Total Cap</v>
          </cell>
          <cell r="AW22">
            <v>0.62779797576772278</v>
          </cell>
          <cell r="BB22">
            <v>0.61176295839022232</v>
          </cell>
          <cell r="BG22">
            <v>0.60337283759090921</v>
          </cell>
          <cell r="BL22">
            <v>0.58834868112983585</v>
          </cell>
          <cell r="BQ22">
            <v>0.57506007828579087</v>
          </cell>
          <cell r="BV22">
            <v>0.56744166633081305</v>
          </cell>
          <cell r="CA22">
            <v>0.55424392417546009</v>
          </cell>
        </row>
        <row r="23">
          <cell r="C23" t="str">
            <v>Sierra Pacific Power</v>
          </cell>
          <cell r="I23">
            <v>279.77100000000007</v>
          </cell>
          <cell r="N23">
            <v>288.10000000000014</v>
          </cell>
          <cell r="S23">
            <v>279.46208999999993</v>
          </cell>
          <cell r="X23">
            <v>285.56132590000004</v>
          </cell>
          <cell r="AC23">
            <v>292.7860310609999</v>
          </cell>
          <cell r="AH23">
            <v>308.195814640295</v>
          </cell>
          <cell r="AM23">
            <v>310.7371373663899</v>
          </cell>
          <cell r="AQ23" t="str">
            <v>Net Debt / LTM EBITDA</v>
          </cell>
          <cell r="AW23">
            <v>9.5289611635167173</v>
          </cell>
          <cell r="BB23">
            <v>5.1586822630130387</v>
          </cell>
          <cell r="BG23">
            <v>5.1825058249274631</v>
          </cell>
          <cell r="BL23">
            <v>4.3699965085036743</v>
          </cell>
          <cell r="BQ23">
            <v>4.2215377092954229</v>
          </cell>
          <cell r="BV23">
            <v>4.0327469079517408</v>
          </cell>
          <cell r="CA23">
            <v>3.8300775201351303</v>
          </cell>
        </row>
        <row r="24">
          <cell r="C24" t="str">
            <v>Corporate &amp; Other</v>
          </cell>
          <cell r="I24">
            <v>-3.2100000000001785</v>
          </cell>
          <cell r="N24">
            <v>0.39800000000031943</v>
          </cell>
          <cell r="S24">
            <v>-4</v>
          </cell>
          <cell r="X24">
            <v>-4</v>
          </cell>
          <cell r="AC24">
            <v>-4</v>
          </cell>
          <cell r="AH24">
            <v>-4</v>
          </cell>
          <cell r="AM24">
            <v>-4</v>
          </cell>
          <cell r="AQ24" t="str">
            <v>FFO / Total Debt</v>
          </cell>
          <cell r="AW24">
            <v>9.2841612768031948E-2</v>
          </cell>
          <cell r="BB24">
            <v>0.10606798663191445</v>
          </cell>
          <cell r="BG24">
            <v>0.10614772684448458</v>
          </cell>
          <cell r="BL24">
            <v>0.12894625005493404</v>
          </cell>
          <cell r="BQ24">
            <v>0.13391727507747295</v>
          </cell>
          <cell r="BV24">
            <v>0.13783336634977697</v>
          </cell>
          <cell r="CA24">
            <v>0.14628720464754197</v>
          </cell>
        </row>
        <row r="25">
          <cell r="C25" t="str">
            <v>Consolidated EBITDA</v>
          </cell>
          <cell r="E25">
            <v>0</v>
          </cell>
          <cell r="F25">
            <v>0</v>
          </cell>
          <cell r="G25">
            <v>0</v>
          </cell>
          <cell r="H25">
            <v>0</v>
          </cell>
          <cell r="I25">
            <v>914.62200000000007</v>
          </cell>
          <cell r="J25">
            <v>0</v>
          </cell>
          <cell r="K25">
            <v>0</v>
          </cell>
          <cell r="L25">
            <v>0</v>
          </cell>
          <cell r="M25">
            <v>0</v>
          </cell>
          <cell r="N25">
            <v>1006.8170000000002</v>
          </cell>
          <cell r="O25">
            <v>0</v>
          </cell>
          <cell r="P25">
            <v>0</v>
          </cell>
          <cell r="Q25">
            <v>0</v>
          </cell>
          <cell r="R25">
            <v>0</v>
          </cell>
          <cell r="S25">
            <v>967.75978453775951</v>
          </cell>
          <cell r="T25">
            <v>0</v>
          </cell>
          <cell r="U25">
            <v>0</v>
          </cell>
          <cell r="V25">
            <v>0</v>
          </cell>
          <cell r="W25">
            <v>0</v>
          </cell>
          <cell r="X25">
            <v>1123.4500295040721</v>
          </cell>
          <cell r="Y25">
            <v>0</v>
          </cell>
          <cell r="Z25">
            <v>0</v>
          </cell>
          <cell r="AA25">
            <v>0</v>
          </cell>
          <cell r="AB25">
            <v>0</v>
          </cell>
          <cell r="AC25">
            <v>1139.2030324150717</v>
          </cell>
          <cell r="AD25">
            <v>0</v>
          </cell>
          <cell r="AE25">
            <v>0</v>
          </cell>
          <cell r="AF25">
            <v>0</v>
          </cell>
          <cell r="AG25">
            <v>0</v>
          </cell>
          <cell r="AH25">
            <v>1168.8863896330465</v>
          </cell>
          <cell r="AI25">
            <v>0</v>
          </cell>
          <cell r="AJ25">
            <v>0</v>
          </cell>
          <cell r="AK25">
            <v>0</v>
          </cell>
          <cell r="AL25">
            <v>0</v>
          </cell>
          <cell r="AM25">
            <v>1205.7745288906126</v>
          </cell>
        </row>
        <row r="26">
          <cell r="AQ26" t="str">
            <v>Coverage Ratios</v>
          </cell>
        </row>
        <row r="27">
          <cell r="C27" t="str">
            <v>Regulated / Unregulated EBITDA</v>
          </cell>
          <cell r="AQ27" t="str">
            <v>FFO Interest Coverage ((FFO + Int.) / Int.)</v>
          </cell>
          <cell r="AW27">
            <v>2.4998989880984213</v>
          </cell>
          <cell r="BB27">
            <v>2.6208371559964934</v>
          </cell>
          <cell r="BG27">
            <v>2.7123600298622179</v>
          </cell>
          <cell r="BL27">
            <v>3.1101216481176945</v>
          </cell>
          <cell r="BQ27">
            <v>3.1946835077986964</v>
          </cell>
          <cell r="BV27">
            <v>3.2984109011742175</v>
          </cell>
          <cell r="CA27">
            <v>3.4286793911401889</v>
          </cell>
        </row>
        <row r="28">
          <cell r="C28" t="str">
            <v>Regulated Utility (includes Parent)</v>
          </cell>
          <cell r="I28">
            <v>1</v>
          </cell>
          <cell r="N28">
            <v>1</v>
          </cell>
          <cell r="S28">
            <v>1</v>
          </cell>
          <cell r="X28">
            <v>1</v>
          </cell>
          <cell r="AC28">
            <v>1</v>
          </cell>
          <cell r="AH28">
            <v>1</v>
          </cell>
          <cell r="AM28">
            <v>1</v>
          </cell>
          <cell r="AQ28" t="str">
            <v>Pretax Interest Coverage (EBIT / Int.)</v>
          </cell>
          <cell r="AW28">
            <v>1.7608780905185477</v>
          </cell>
          <cell r="BB28">
            <v>1.9499431303487145</v>
          </cell>
          <cell r="BG28">
            <v>1.8971263364762765</v>
          </cell>
          <cell r="BL28">
            <v>2.3963998899974324</v>
          </cell>
          <cell r="BQ28">
            <v>2.4673973891223868</v>
          </cell>
          <cell r="BV28">
            <v>2.5809875708239618</v>
          </cell>
          <cell r="CA28">
            <v>2.7295980496810768</v>
          </cell>
        </row>
        <row r="29">
          <cell r="C29" t="str">
            <v>Merchant Power</v>
          </cell>
          <cell r="I29">
            <v>0</v>
          </cell>
          <cell r="N29">
            <v>0</v>
          </cell>
          <cell r="S29">
            <v>0</v>
          </cell>
          <cell r="X29">
            <v>0</v>
          </cell>
          <cell r="AC29">
            <v>0</v>
          </cell>
          <cell r="AH29">
            <v>0</v>
          </cell>
          <cell r="AM29">
            <v>0</v>
          </cell>
        </row>
        <row r="30">
          <cell r="C30" t="str">
            <v>Other (Non-Utility / Power operations)</v>
          </cell>
          <cell r="I30">
            <v>0</v>
          </cell>
          <cell r="N30">
            <v>0</v>
          </cell>
          <cell r="S30">
            <v>0</v>
          </cell>
          <cell r="X30">
            <v>0</v>
          </cell>
          <cell r="AC30">
            <v>0</v>
          </cell>
          <cell r="AH30">
            <v>0</v>
          </cell>
          <cell r="AM30">
            <v>0</v>
          </cell>
        </row>
        <row r="33">
          <cell r="B33" t="str">
            <v>DIVIDEND AND SHARE COUNT DATA</v>
          </cell>
          <cell r="AP33" t="str">
            <v>CASH FLOW PROFILE</v>
          </cell>
        </row>
        <row r="35">
          <cell r="C35" t="str">
            <v>Dividend Per Share</v>
          </cell>
          <cell r="E35">
            <v>0.1</v>
          </cell>
          <cell r="F35">
            <v>0.1</v>
          </cell>
          <cell r="G35">
            <v>0.1</v>
          </cell>
          <cell r="H35">
            <v>0.10999999999999993</v>
          </cell>
          <cell r="I35">
            <v>0.41</v>
          </cell>
          <cell r="J35">
            <v>0.11</v>
          </cell>
          <cell r="K35">
            <v>0.11</v>
          </cell>
          <cell r="L35">
            <v>0.11</v>
          </cell>
          <cell r="M35">
            <v>0.12</v>
          </cell>
          <cell r="N35">
            <v>0.45</v>
          </cell>
          <cell r="O35">
            <v>0.12</v>
          </cell>
          <cell r="P35">
            <v>0.12</v>
          </cell>
          <cell r="Q35">
            <v>0.12</v>
          </cell>
          <cell r="R35">
            <v>0.13</v>
          </cell>
          <cell r="S35">
            <v>0.49</v>
          </cell>
          <cell r="T35">
            <v>0.13</v>
          </cell>
          <cell r="U35">
            <v>0.13</v>
          </cell>
          <cell r="V35">
            <v>0.13</v>
          </cell>
          <cell r="W35">
            <v>0.16</v>
          </cell>
          <cell r="X35">
            <v>0.55000000000000004</v>
          </cell>
          <cell r="Y35">
            <v>0.16</v>
          </cell>
          <cell r="Z35">
            <v>0.16</v>
          </cell>
          <cell r="AA35">
            <v>0.16</v>
          </cell>
          <cell r="AB35">
            <v>0.19</v>
          </cell>
          <cell r="AC35">
            <v>0.66999999999999993</v>
          </cell>
          <cell r="AD35">
            <v>0.19</v>
          </cell>
          <cell r="AE35">
            <v>0.19</v>
          </cell>
          <cell r="AF35">
            <v>0.19</v>
          </cell>
          <cell r="AG35">
            <v>0.22</v>
          </cell>
          <cell r="AH35">
            <v>0.79</v>
          </cell>
          <cell r="AI35">
            <v>0.22</v>
          </cell>
          <cell r="AJ35">
            <v>0.22</v>
          </cell>
          <cell r="AK35">
            <v>0.22</v>
          </cell>
          <cell r="AL35">
            <v>0.25</v>
          </cell>
          <cell r="AM35">
            <v>0.91</v>
          </cell>
          <cell r="AQ35" t="str">
            <v>Regulated / Unregulated OCF</v>
          </cell>
        </row>
        <row r="36">
          <cell r="C36" t="str">
            <v>Dividend Yield</v>
          </cell>
          <cell r="I36">
            <v>2.8571428571428571E-2</v>
          </cell>
          <cell r="N36">
            <v>3.1358885017421602E-2</v>
          </cell>
          <cell r="S36">
            <v>3.4146341463414637E-2</v>
          </cell>
          <cell r="X36">
            <v>3.8327526132404185E-2</v>
          </cell>
          <cell r="AC36">
            <v>4.6689895470383269E-2</v>
          </cell>
          <cell r="AH36">
            <v>5.5052264808362374E-2</v>
          </cell>
          <cell r="AM36">
            <v>6.3414634146341464E-2</v>
          </cell>
          <cell r="AQ36" t="str">
            <v>Regulated Utility (includes parent)</v>
          </cell>
          <cell r="AW36">
            <v>751.52100000000007</v>
          </cell>
          <cell r="BB36">
            <v>886.452</v>
          </cell>
          <cell r="BG36">
            <v>649.91933047251496</v>
          </cell>
          <cell r="BL36">
            <v>708.55066823634081</v>
          </cell>
          <cell r="BQ36">
            <v>669.10784037055646</v>
          </cell>
          <cell r="BV36">
            <v>692.42798654771252</v>
          </cell>
          <cell r="CA36">
            <v>720.91416264741429</v>
          </cell>
        </row>
        <row r="37">
          <cell r="C37" t="str">
            <v>Dividend Payout Ratio</v>
          </cell>
          <cell r="I37">
            <v>0.52709189049722305</v>
          </cell>
          <cell r="N37">
            <v>0.46845885789306679</v>
          </cell>
          <cell r="S37">
            <v>0.57256367160832056</v>
          </cell>
          <cell r="X37">
            <v>0.44135860711060065</v>
          </cell>
          <cell r="AC37">
            <v>0.52049578537676433</v>
          </cell>
          <cell r="AH37">
            <v>0.57780244539351744</v>
          </cell>
          <cell r="AM37">
            <v>0.61908432415399373</v>
          </cell>
          <cell r="AQ37" t="str">
            <v>Merchant Power</v>
          </cell>
          <cell r="AW37">
            <v>0</v>
          </cell>
          <cell r="BB37">
            <v>0</v>
          </cell>
          <cell r="BG37">
            <v>0</v>
          </cell>
          <cell r="BL37">
            <v>0</v>
          </cell>
          <cell r="BQ37">
            <v>0</v>
          </cell>
          <cell r="BV37">
            <v>0</v>
          </cell>
          <cell r="CA37">
            <v>0</v>
          </cell>
        </row>
        <row r="38">
          <cell r="C38" t="str">
            <v>Dividend Growth Rate</v>
          </cell>
          <cell r="N38">
            <v>9.7560975609756184E-2</v>
          </cell>
          <cell r="S38">
            <v>8.8888888888888795E-2</v>
          </cell>
          <cell r="X38">
            <v>0.12244897959183687</v>
          </cell>
          <cell r="AC38">
            <v>0.21818181818181803</v>
          </cell>
          <cell r="AH38">
            <v>0.17910447761194037</v>
          </cell>
          <cell r="AM38">
            <v>0.15189873417721511</v>
          </cell>
          <cell r="AQ38" t="str">
            <v>Other (non-utility/power operations)</v>
          </cell>
          <cell r="AW38">
            <v>0</v>
          </cell>
          <cell r="BB38">
            <v>0</v>
          </cell>
          <cell r="BG38">
            <v>0</v>
          </cell>
          <cell r="BL38">
            <v>0</v>
          </cell>
          <cell r="BQ38">
            <v>0</v>
          </cell>
          <cell r="BV38">
            <v>0</v>
          </cell>
          <cell r="CA38">
            <v>0</v>
          </cell>
        </row>
        <row r="39">
          <cell r="AQ39" t="str">
            <v>Consolidated OCF</v>
          </cell>
          <cell r="AW39">
            <v>751.52100000000007</v>
          </cell>
          <cell r="BB39">
            <v>886.452</v>
          </cell>
          <cell r="BG39">
            <v>649.91933047251496</v>
          </cell>
          <cell r="BL39">
            <v>708.55066823634081</v>
          </cell>
          <cell r="BQ39">
            <v>669.10784037055646</v>
          </cell>
          <cell r="BV39">
            <v>692.42798654771252</v>
          </cell>
          <cell r="CA39">
            <v>720.91416264741429</v>
          </cell>
        </row>
        <row r="40">
          <cell r="C40" t="str">
            <v>Actual Shares Outstanding</v>
          </cell>
          <cell r="I40">
            <v>235.834169</v>
          </cell>
          <cell r="N40">
            <v>235.322553</v>
          </cell>
          <cell r="S40">
            <v>235.322553</v>
          </cell>
          <cell r="X40">
            <v>235.322553</v>
          </cell>
          <cell r="AC40">
            <v>235.322553</v>
          </cell>
          <cell r="AH40">
            <v>235.322553</v>
          </cell>
          <cell r="AM40">
            <v>235.322553</v>
          </cell>
        </row>
        <row r="41">
          <cell r="C41" t="str">
            <v>Average Shares Outstanding</v>
          </cell>
          <cell r="I41">
            <v>234.542292</v>
          </cell>
          <cell r="N41">
            <v>235.04834700000001</v>
          </cell>
          <cell r="S41">
            <v>235.322553</v>
          </cell>
          <cell r="X41">
            <v>235.322553</v>
          </cell>
          <cell r="AC41">
            <v>235.322553</v>
          </cell>
          <cell r="AH41">
            <v>235.322553</v>
          </cell>
          <cell r="AM41">
            <v>235.322553</v>
          </cell>
          <cell r="AQ41" t="str">
            <v>Regulated / Unregulated CapEx</v>
          </cell>
        </row>
        <row r="42">
          <cell r="C42" t="str">
            <v>Diluted Average Shares Outstanding</v>
          </cell>
          <cell r="I42">
            <v>235.180688</v>
          </cell>
          <cell r="N42">
            <v>236.29481200000001</v>
          </cell>
          <cell r="S42">
            <v>236.569018</v>
          </cell>
          <cell r="X42">
            <v>236.569018</v>
          </cell>
          <cell r="AC42">
            <v>236.569018</v>
          </cell>
          <cell r="AH42">
            <v>236.569018</v>
          </cell>
          <cell r="AM42">
            <v>236.569018</v>
          </cell>
          <cell r="AQ42" t="str">
            <v>Regulated Utility (includes parent)</v>
          </cell>
          <cell r="AW42">
            <v>843.13199999999995</v>
          </cell>
          <cell r="BB42">
            <v>629.49599999999998</v>
          </cell>
          <cell r="BG42">
            <v>553.18299999999999</v>
          </cell>
          <cell r="BL42">
            <v>538.17525000000001</v>
          </cell>
          <cell r="BQ42">
            <v>476.15758333333338</v>
          </cell>
          <cell r="BV42">
            <v>476.15758333333338</v>
          </cell>
          <cell r="CA42">
            <v>476.15758333333338</v>
          </cell>
        </row>
        <row r="43">
          <cell r="AQ43" t="str">
            <v>Merchant Power</v>
          </cell>
          <cell r="AW43">
            <v>0</v>
          </cell>
          <cell r="BB43">
            <v>0</v>
          </cell>
          <cell r="BG43">
            <v>0</v>
          </cell>
          <cell r="BL43">
            <v>0</v>
          </cell>
          <cell r="BQ43">
            <v>0</v>
          </cell>
          <cell r="BV43">
            <v>0</v>
          </cell>
          <cell r="CA43">
            <v>0</v>
          </cell>
        </row>
        <row r="44">
          <cell r="AQ44" t="str">
            <v>Other (non-utility/power operations)</v>
          </cell>
          <cell r="AW44">
            <v>0</v>
          </cell>
          <cell r="BB44">
            <v>0</v>
          </cell>
          <cell r="BG44">
            <v>0</v>
          </cell>
          <cell r="BL44">
            <v>0</v>
          </cell>
          <cell r="BQ44">
            <v>0</v>
          </cell>
          <cell r="BV44">
            <v>0</v>
          </cell>
          <cell r="CA44">
            <v>0</v>
          </cell>
        </row>
        <row r="45">
          <cell r="AQ45" t="str">
            <v>Consolidated CapEx</v>
          </cell>
          <cell r="AW45">
            <v>843.13199999999995</v>
          </cell>
          <cell r="BB45">
            <v>629.49599999999998</v>
          </cell>
          <cell r="BG45">
            <v>553.18299999999999</v>
          </cell>
          <cell r="BL45">
            <v>538.17525000000001</v>
          </cell>
          <cell r="BQ45">
            <v>476.15758333333338</v>
          </cell>
          <cell r="BV45">
            <v>476.15758333333338</v>
          </cell>
          <cell r="CA45">
            <v>476.15758333333338</v>
          </cell>
        </row>
        <row r="47">
          <cell r="B47" t="str">
            <v>VALUATION PROFILE</v>
          </cell>
          <cell r="AQ47" t="str">
            <v>Free Cash Flow</v>
          </cell>
        </row>
        <row r="48">
          <cell r="AQ48" t="str">
            <v>Regulated Utility (includes parent)</v>
          </cell>
          <cell r="AW48">
            <v>-91.610999999999876</v>
          </cell>
          <cell r="BB48">
            <v>256.95600000000002</v>
          </cell>
          <cell r="BG48">
            <v>96.736330472514965</v>
          </cell>
          <cell r="BL48">
            <v>170.37541823634081</v>
          </cell>
          <cell r="BQ48">
            <v>192.95025703722308</v>
          </cell>
          <cell r="BV48">
            <v>216.27040321437914</v>
          </cell>
          <cell r="CA48">
            <v>244.75657931408091</v>
          </cell>
        </row>
        <row r="49">
          <cell r="C49" t="str">
            <v>Price to Earnings</v>
          </cell>
          <cell r="F49" t="e">
            <v>#NAME?</v>
          </cell>
          <cell r="G49" t="e">
            <v>#NAME?</v>
          </cell>
          <cell r="H49" t="e">
            <v>#NAME?</v>
          </cell>
          <cell r="K49" t="e">
            <v>#NAME?</v>
          </cell>
          <cell r="L49" t="e">
            <v>#NAME?</v>
          </cell>
          <cell r="M49" t="e">
            <v>#NAME?</v>
          </cell>
          <cell r="N49">
            <v>14.938632468367796</v>
          </cell>
          <cell r="O49" t="e">
            <v>#NAME?</v>
          </cell>
          <cell r="P49" t="e">
            <v>#NAME?</v>
          </cell>
          <cell r="Q49" t="e">
            <v>#NAME?</v>
          </cell>
          <cell r="S49">
            <v>16.767936097100815</v>
          </cell>
          <cell r="T49" t="e">
            <v>#NAME?</v>
          </cell>
          <cell r="U49" t="e">
            <v>#NAME?</v>
          </cell>
          <cell r="V49" t="e">
            <v>#NAME?</v>
          </cell>
          <cell r="X49">
            <v>11.515447294612942</v>
          </cell>
          <cell r="Y49" t="e">
            <v>#NAME?</v>
          </cell>
          <cell r="Z49" t="e">
            <v>#NAME?</v>
          </cell>
          <cell r="AA49" t="e">
            <v>#NAME?</v>
          </cell>
          <cell r="AC49">
            <v>11.147932119636669</v>
          </cell>
          <cell r="AD49" t="e">
            <v>#NAME?</v>
          </cell>
          <cell r="AE49" t="e">
            <v>#NAME?</v>
          </cell>
          <cell r="AF49" t="e">
            <v>#NAME?</v>
          </cell>
          <cell r="AH49">
            <v>10.495525432148071</v>
          </cell>
          <cell r="AI49" t="e">
            <v>#NAME?</v>
          </cell>
          <cell r="AJ49" t="e">
            <v>#NAME?</v>
          </cell>
          <cell r="AK49" t="e">
            <v>#NAME?</v>
          </cell>
          <cell r="AM49">
            <v>9.7624835731975921</v>
          </cell>
          <cell r="AQ49" t="str">
            <v>Merchant Power</v>
          </cell>
          <cell r="AW49">
            <v>0</v>
          </cell>
          <cell r="BB49">
            <v>0</v>
          </cell>
          <cell r="BG49">
            <v>0</v>
          </cell>
          <cell r="BL49">
            <v>0</v>
          </cell>
          <cell r="BQ49">
            <v>0</v>
          </cell>
          <cell r="BV49">
            <v>0</v>
          </cell>
          <cell r="CA49">
            <v>0</v>
          </cell>
        </row>
        <row r="50">
          <cell r="C50" t="str">
            <v>EV / EBITDA</v>
          </cell>
          <cell r="F50" t="e">
            <v>#NAME?</v>
          </cell>
          <cell r="G50" t="e">
            <v>#NAME?</v>
          </cell>
          <cell r="H50" t="e">
            <v>#NAME?</v>
          </cell>
          <cell r="K50" t="e">
            <v>#NAME?</v>
          </cell>
          <cell r="L50" t="e">
            <v>#NAME?</v>
          </cell>
          <cell r="M50" t="e">
            <v>#NAME?</v>
          </cell>
          <cell r="N50">
            <v>8.5222238500144485</v>
          </cell>
          <cell r="O50" t="e">
            <v>#NAME?</v>
          </cell>
          <cell r="P50" t="e">
            <v>#NAME?</v>
          </cell>
          <cell r="Q50" t="e">
            <v>#NAME?</v>
          </cell>
          <cell r="S50">
            <v>8.681794495635673</v>
          </cell>
          <cell r="T50" t="e">
            <v>#NAME?</v>
          </cell>
          <cell r="U50" t="e">
            <v>#NAME?</v>
          </cell>
          <cell r="V50" t="e">
            <v>#NAME?</v>
          </cell>
          <cell r="X50">
            <v>7.3843458440899665</v>
          </cell>
          <cell r="Y50" t="e">
            <v>#NAME?</v>
          </cell>
          <cell r="Z50" t="e">
            <v>#NAME?</v>
          </cell>
          <cell r="AA50" t="e">
            <v>#NAME?</v>
          </cell>
          <cell r="AC50">
            <v>7.194204348727375</v>
          </cell>
          <cell r="AD50" t="e">
            <v>#NAME?</v>
          </cell>
          <cell r="AE50" t="e">
            <v>#NAME?</v>
          </cell>
          <cell r="AF50" t="e">
            <v>#NAME?</v>
          </cell>
          <cell r="AH50">
            <v>6.9299239818187148</v>
          </cell>
          <cell r="AI50" t="e">
            <v>#NAME?</v>
          </cell>
          <cell r="AJ50" t="e">
            <v>#NAME?</v>
          </cell>
          <cell r="AK50" t="e">
            <v>#NAME?</v>
          </cell>
          <cell r="AM50">
            <v>6.6386215462854947</v>
          </cell>
          <cell r="AQ50" t="str">
            <v>Other (non-utility/power operations)</v>
          </cell>
          <cell r="AW50">
            <v>0</v>
          </cell>
          <cell r="BB50">
            <v>0</v>
          </cell>
          <cell r="BG50">
            <v>0</v>
          </cell>
          <cell r="BL50">
            <v>0</v>
          </cell>
          <cell r="BQ50">
            <v>0</v>
          </cell>
          <cell r="BV50">
            <v>0</v>
          </cell>
          <cell r="CA50">
            <v>0</v>
          </cell>
        </row>
        <row r="51">
          <cell r="C51" t="str">
            <v>Dividend Yield</v>
          </cell>
          <cell r="F51" t="e">
            <v>#NAME?</v>
          </cell>
          <cell r="G51" t="e">
            <v>#NAME?</v>
          </cell>
          <cell r="H51" t="e">
            <v>#NAME?</v>
          </cell>
          <cell r="K51" t="e">
            <v>#NAME?</v>
          </cell>
          <cell r="L51" t="e">
            <v>#NAME?</v>
          </cell>
          <cell r="M51" t="e">
            <v>#NAME?</v>
          </cell>
          <cell r="N51">
            <v>3.1358885017421602E-2</v>
          </cell>
          <cell r="O51" t="e">
            <v>#NAME?</v>
          </cell>
          <cell r="P51" t="e">
            <v>#NAME?</v>
          </cell>
          <cell r="Q51" t="e">
            <v>#NAME?</v>
          </cell>
          <cell r="S51">
            <v>3.4146341463414637E-2</v>
          </cell>
          <cell r="T51" t="e">
            <v>#NAME?</v>
          </cell>
          <cell r="U51" t="e">
            <v>#NAME?</v>
          </cell>
          <cell r="V51" t="e">
            <v>#NAME?</v>
          </cell>
          <cell r="X51">
            <v>3.8327526132404185E-2</v>
          </cell>
          <cell r="Y51" t="e">
            <v>#NAME?</v>
          </cell>
          <cell r="Z51" t="e">
            <v>#NAME?</v>
          </cell>
          <cell r="AA51" t="e">
            <v>#NAME?</v>
          </cell>
          <cell r="AC51">
            <v>4.6689895470383269E-2</v>
          </cell>
          <cell r="AD51" t="e">
            <v>#NAME?</v>
          </cell>
          <cell r="AE51" t="e">
            <v>#NAME?</v>
          </cell>
          <cell r="AF51" t="e">
            <v>#NAME?</v>
          </cell>
          <cell r="AH51">
            <v>5.5052264808362374E-2</v>
          </cell>
          <cell r="AI51" t="e">
            <v>#NAME?</v>
          </cell>
          <cell r="AJ51" t="e">
            <v>#NAME?</v>
          </cell>
          <cell r="AK51" t="e">
            <v>#NAME?</v>
          </cell>
          <cell r="AM51">
            <v>6.3414634146341464E-2</v>
          </cell>
          <cell r="AQ51" t="str">
            <v>Consolidated FCF (Pre-Dividends)</v>
          </cell>
          <cell r="AW51">
            <v>-91.610999999999876</v>
          </cell>
          <cell r="BB51">
            <v>256.95600000000002</v>
          </cell>
          <cell r="BG51">
            <v>96.736330472514965</v>
          </cell>
          <cell r="BL51">
            <v>170.37541823634081</v>
          </cell>
          <cell r="BQ51">
            <v>192.95025703722308</v>
          </cell>
          <cell r="BV51">
            <v>216.27040321437914</v>
          </cell>
          <cell r="CA51">
            <v>244.75657931408091</v>
          </cell>
        </row>
        <row r="52">
          <cell r="C52" t="str">
            <v>Book Value Per Share</v>
          </cell>
          <cell r="N52">
            <v>14.198922840277808</v>
          </cell>
          <cell r="S52">
            <v>14.568206917632667</v>
          </cell>
          <cell r="X52">
            <v>15.268969228441138</v>
          </cell>
          <cell r="AC52">
            <v>15.89125410827509</v>
          </cell>
          <cell r="AH52">
            <v>16.474089944789412</v>
          </cell>
          <cell r="AM52">
            <v>17.040180664249846</v>
          </cell>
          <cell r="AQ52" t="str">
            <v>Asset Sales and Other Investing Activities</v>
          </cell>
          <cell r="AW52">
            <v>42.51</v>
          </cell>
          <cell r="BB52">
            <v>61.439000000000007</v>
          </cell>
          <cell r="BG52">
            <v>197</v>
          </cell>
          <cell r="BL52">
            <v>65</v>
          </cell>
          <cell r="BQ52">
            <v>65</v>
          </cell>
          <cell r="BV52">
            <v>65</v>
          </cell>
          <cell r="CA52">
            <v>65</v>
          </cell>
        </row>
        <row r="53">
          <cell r="AI53" t="e">
            <v>#DIV/0!</v>
          </cell>
          <cell r="AJ53" t="e">
            <v>#DIV/0!</v>
          </cell>
          <cell r="AK53" t="e">
            <v>#DIV/0!</v>
          </cell>
          <cell r="AQ53" t="str">
            <v>Dividends</v>
          </cell>
          <cell r="AW53">
            <v>96.125</v>
          </cell>
          <cell r="BB53">
            <v>105.79900000000001</v>
          </cell>
          <cell r="BG53">
            <v>115.30805097</v>
          </cell>
          <cell r="BL53">
            <v>129.42740415</v>
          </cell>
          <cell r="BQ53">
            <v>157.66611051000001</v>
          </cell>
          <cell r="BV53">
            <v>185.90481686999999</v>
          </cell>
          <cell r="CA53">
            <v>214.14352322999997</v>
          </cell>
        </row>
        <row r="54">
          <cell r="C54" t="str">
            <v>Return on Average Equity</v>
          </cell>
          <cell r="G54">
            <v>0.28369855101953462</v>
          </cell>
          <cell r="H54">
            <v>0.30626823266015091</v>
          </cell>
          <cell r="L54">
            <v>0.30626823266015091</v>
          </cell>
          <cell r="M54">
            <v>0.28510549890465897</v>
          </cell>
          <cell r="N54">
            <v>6.9047293124899323E-2</v>
          </cell>
          <cell r="O54">
            <v>0.30983831750266577</v>
          </cell>
          <cell r="P54">
            <v>0.30607413360613378</v>
          </cell>
          <cell r="Q54">
            <v>0.30490945277694065</v>
          </cell>
          <cell r="S54">
            <v>5.9644194912677972E-2</v>
          </cell>
          <cell r="T54">
            <v>0.30607413360613378</v>
          </cell>
          <cell r="U54">
            <v>0.30490945277694065</v>
          </cell>
          <cell r="V54" t="e">
            <v>#DIV/0!</v>
          </cell>
          <cell r="X54">
            <v>8.3734762558208067E-2</v>
          </cell>
          <cell r="Y54">
            <v>0.30490945277694065</v>
          </cell>
          <cell r="Z54" t="e">
            <v>#DIV/0!</v>
          </cell>
          <cell r="AA54" t="e">
            <v>#DIV/0!</v>
          </cell>
          <cell r="AC54">
            <v>8.2822711751045081E-2</v>
          </cell>
          <cell r="AD54" t="e">
            <v>#DIV/0!</v>
          </cell>
          <cell r="AE54" t="e">
            <v>#DIV/0!</v>
          </cell>
          <cell r="AF54" t="e">
            <v>#DIV/0!</v>
          </cell>
          <cell r="AH54">
            <v>8.469541685843375E-2</v>
          </cell>
          <cell r="AI54" t="e">
            <v>#NAME?</v>
          </cell>
          <cell r="AJ54" t="e">
            <v>#NAME?</v>
          </cell>
          <cell r="AK54" t="e">
            <v>#NAME?</v>
          </cell>
          <cell r="AM54">
            <v>8.7933474789794783E-2</v>
          </cell>
          <cell r="AQ54" t="str">
            <v>Free Cash Flow (Post Dividends)</v>
          </cell>
          <cell r="AS54">
            <v>0</v>
          </cell>
          <cell r="AT54">
            <v>0</v>
          </cell>
          <cell r="AU54">
            <v>0</v>
          </cell>
          <cell r="AV54">
            <v>0</v>
          </cell>
          <cell r="AW54">
            <v>-145.22599999999989</v>
          </cell>
          <cell r="AX54">
            <v>0</v>
          </cell>
          <cell r="AY54">
            <v>0</v>
          </cell>
          <cell r="AZ54">
            <v>0</v>
          </cell>
          <cell r="BA54">
            <v>0</v>
          </cell>
          <cell r="BB54">
            <v>212.59600000000003</v>
          </cell>
          <cell r="BC54">
            <v>0</v>
          </cell>
          <cell r="BD54">
            <v>0</v>
          </cell>
          <cell r="BE54">
            <v>0</v>
          </cell>
          <cell r="BF54">
            <v>0</v>
          </cell>
          <cell r="BG54">
            <v>178.42827950251495</v>
          </cell>
          <cell r="BH54">
            <v>0</v>
          </cell>
          <cell r="BI54">
            <v>0</v>
          </cell>
          <cell r="BJ54">
            <v>0</v>
          </cell>
          <cell r="BK54">
            <v>0</v>
          </cell>
          <cell r="BL54">
            <v>105.94801408634081</v>
          </cell>
          <cell r="BM54">
            <v>0</v>
          </cell>
          <cell r="BN54">
            <v>0</v>
          </cell>
          <cell r="BO54">
            <v>0</v>
          </cell>
          <cell r="BP54">
            <v>0</v>
          </cell>
          <cell r="BQ54">
            <v>100.28414652722307</v>
          </cell>
          <cell r="BR54">
            <v>0</v>
          </cell>
          <cell r="BS54">
            <v>0</v>
          </cell>
          <cell r="BT54">
            <v>0</v>
          </cell>
          <cell r="BU54">
            <v>0</v>
          </cell>
          <cell r="BV54">
            <v>95.365586344379153</v>
          </cell>
          <cell r="BW54">
            <v>0</v>
          </cell>
          <cell r="BX54">
            <v>0</v>
          </cell>
          <cell r="BY54">
            <v>0</v>
          </cell>
          <cell r="BZ54">
            <v>0</v>
          </cell>
          <cell r="CA54">
            <v>95.613056084080938</v>
          </cell>
        </row>
        <row r="55">
          <cell r="C55" t="str">
            <v>Return on Invested Capital</v>
          </cell>
          <cell r="N55">
            <v>4.229627105248112E-2</v>
          </cell>
          <cell r="S55">
            <v>3.8399818426003991E-2</v>
          </cell>
          <cell r="X55">
            <v>4.6137780781766967E-2</v>
          </cell>
          <cell r="AC55">
            <v>4.6378463031126062E-2</v>
          </cell>
          <cell r="AH55">
            <v>4.7684134169814332E-2</v>
          </cell>
          <cell r="AM55">
            <v>4.9436807811758167E-2</v>
          </cell>
        </row>
        <row r="56">
          <cell r="C56" t="str">
            <v>Return on Average Assets</v>
          </cell>
          <cell r="G56" t="e">
            <v>#REF!</v>
          </cell>
          <cell r="H56" t="e">
            <v>#NAME?</v>
          </cell>
          <cell r="L56" t="e">
            <v>#REF!</v>
          </cell>
          <cell r="M56" t="e">
            <v>#NAME?</v>
          </cell>
          <cell r="N56">
            <v>1.9666656139498605E-2</v>
          </cell>
          <cell r="O56" t="e">
            <v>#NAME?</v>
          </cell>
          <cell r="P56" t="e">
            <v>#NAME?</v>
          </cell>
          <cell r="Q56" t="e">
            <v>#NAME?</v>
          </cell>
          <cell r="S56">
            <v>1.7240194155403763E-2</v>
          </cell>
          <cell r="T56" t="e">
            <v>#NAME?</v>
          </cell>
          <cell r="U56" t="e">
            <v>#NAME?</v>
          </cell>
          <cell r="V56" t="e">
            <v>#NAME?</v>
          </cell>
          <cell r="X56">
            <v>2.4800280995565121E-2</v>
          </cell>
          <cell r="Y56" t="e">
            <v>#NAME?</v>
          </cell>
          <cell r="Z56" t="e">
            <v>#NAME?</v>
          </cell>
          <cell r="AA56" t="e">
            <v>#NAME?</v>
          </cell>
          <cell r="AC56">
            <v>2.5391210942742704E-2</v>
          </cell>
          <cell r="AD56" t="e">
            <v>#NAME?</v>
          </cell>
          <cell r="AE56" t="e">
            <v>#NAME?</v>
          </cell>
          <cell r="AF56" t="e">
            <v>#NAME?</v>
          </cell>
          <cell r="AH56">
            <v>2.6708539785112523E-2</v>
          </cell>
          <cell r="AM56">
            <v>2.8483365475604015E-2</v>
          </cell>
          <cell r="AQ56" t="str">
            <v>Other Financing Activities</v>
          </cell>
        </row>
        <row r="57">
          <cell r="AQ57" t="str">
            <v>Equity Issuance / Buyback, Net</v>
          </cell>
          <cell r="AW57">
            <v>6.0510000000000002</v>
          </cell>
          <cell r="BB57">
            <v>6.1139999999999999</v>
          </cell>
          <cell r="BG57">
            <v>0</v>
          </cell>
          <cell r="BL57">
            <v>0</v>
          </cell>
          <cell r="BQ57">
            <v>0</v>
          </cell>
          <cell r="BV57">
            <v>0</v>
          </cell>
          <cell r="CA57">
            <v>0</v>
          </cell>
        </row>
        <row r="58">
          <cell r="C58" t="str">
            <v>Current Share Price:</v>
          </cell>
          <cell r="N58">
            <v>14.35</v>
          </cell>
          <cell r="S58">
            <v>14.35</v>
          </cell>
          <cell r="X58">
            <v>14.35</v>
          </cell>
          <cell r="AC58">
            <v>14.35</v>
          </cell>
          <cell r="AH58">
            <v>14.35</v>
          </cell>
          <cell r="AM58">
            <v>14.35</v>
          </cell>
          <cell r="AQ58" t="str">
            <v>LT Debt Issuance</v>
          </cell>
          <cell r="AW58">
            <v>1418.8720000000001</v>
          </cell>
          <cell r="BB58">
            <v>985.41899999999998</v>
          </cell>
          <cell r="BG58">
            <v>300</v>
          </cell>
          <cell r="BL58">
            <v>50</v>
          </cell>
          <cell r="BQ58">
            <v>175</v>
          </cell>
          <cell r="BV58">
            <v>150</v>
          </cell>
          <cell r="CA58">
            <v>150</v>
          </cell>
        </row>
        <row r="59">
          <cell r="C59" t="str">
            <v>Current Shares Outstanding</v>
          </cell>
          <cell r="N59">
            <v>235.99100000000001</v>
          </cell>
          <cell r="S59">
            <v>235.99100000000001</v>
          </cell>
          <cell r="X59">
            <v>235.99100000000001</v>
          </cell>
          <cell r="AC59">
            <v>235.99100000000001</v>
          </cell>
          <cell r="AH59">
            <v>235.99100000000001</v>
          </cell>
          <cell r="AM59">
            <v>235.99100000000001</v>
          </cell>
          <cell r="AQ59" t="str">
            <v>LT Debt Retirement</v>
          </cell>
          <cell r="AW59">
            <v>-1271.3499999999999</v>
          </cell>
          <cell r="BB59">
            <v>-1180.646</v>
          </cell>
          <cell r="BG59">
            <v>-350</v>
          </cell>
          <cell r="BL59">
            <v>-130</v>
          </cell>
          <cell r="BQ59">
            <v>-250</v>
          </cell>
          <cell r="BV59">
            <v>-125</v>
          </cell>
          <cell r="CA59">
            <v>-250</v>
          </cell>
        </row>
        <row r="60">
          <cell r="C60" t="str">
            <v>Equity Market Capitalization</v>
          </cell>
          <cell r="N60">
            <v>3386.4708500000002</v>
          </cell>
          <cell r="S60">
            <v>3386.4708500000002</v>
          </cell>
          <cell r="X60">
            <v>3386.4708500000002</v>
          </cell>
          <cell r="AC60">
            <v>3386.4708500000002</v>
          </cell>
          <cell r="AH60">
            <v>3386.4708500000002</v>
          </cell>
          <cell r="AM60">
            <v>3386.4708500000002</v>
          </cell>
          <cell r="AQ60" t="str">
            <v>ST Debt Change, Net</v>
          </cell>
          <cell r="AW60">
            <v>0</v>
          </cell>
          <cell r="BB60">
            <v>0</v>
          </cell>
          <cell r="BG60">
            <v>0</v>
          </cell>
          <cell r="BL60">
            <v>0</v>
          </cell>
          <cell r="BQ60">
            <v>0</v>
          </cell>
          <cell r="BV60">
            <v>0</v>
          </cell>
          <cell r="CA60">
            <v>0</v>
          </cell>
        </row>
        <row r="61">
          <cell r="C61" t="str">
            <v>Net Debt (Forecasted)</v>
          </cell>
          <cell r="N61">
            <v>5193.8490000000002</v>
          </cell>
          <cell r="S61">
            <v>5015.4207204974855</v>
          </cell>
          <cell r="X61">
            <v>4909.4727064111448</v>
          </cell>
          <cell r="AC61">
            <v>4809.1885598839217</v>
          </cell>
          <cell r="AH61">
            <v>4713.8229735395425</v>
          </cell>
          <cell r="AM61">
            <v>4618.2099174554614</v>
          </cell>
          <cell r="AQ61" t="str">
            <v>Other</v>
          </cell>
          <cell r="AW61">
            <v>0</v>
          </cell>
          <cell r="BB61">
            <v>0</v>
          </cell>
          <cell r="BG61">
            <v>0</v>
          </cell>
          <cell r="BL61">
            <v>0</v>
          </cell>
          <cell r="BQ61">
            <v>0</v>
          </cell>
          <cell r="BV61">
            <v>0</v>
          </cell>
          <cell r="CA61">
            <v>0</v>
          </cell>
        </row>
        <row r="62">
          <cell r="C62" t="str">
            <v>Enterprise Value</v>
          </cell>
          <cell r="N62">
            <v>8580.3198499999999</v>
          </cell>
          <cell r="S62">
            <v>8401.8915704974861</v>
          </cell>
          <cell r="X62">
            <v>8295.9435564111445</v>
          </cell>
          <cell r="AC62">
            <v>8195.6594098839214</v>
          </cell>
          <cell r="AH62">
            <v>8100.2938235395432</v>
          </cell>
          <cell r="AM62">
            <v>8004.680767455462</v>
          </cell>
          <cell r="AQ62" t="str">
            <v>Annual Change in Cash</v>
          </cell>
          <cell r="AW62">
            <v>8.3470000000002074</v>
          </cell>
          <cell r="BB62">
            <v>23.482999999999947</v>
          </cell>
          <cell r="BG62">
            <v>128.42827950251495</v>
          </cell>
          <cell r="BL62">
            <v>25.948014086340805</v>
          </cell>
          <cell r="BQ62">
            <v>25.284146527223072</v>
          </cell>
          <cell r="BV62">
            <v>120.36558634437915</v>
          </cell>
          <cell r="CA62">
            <v>-4.386943915919062</v>
          </cell>
        </row>
        <row r="65">
          <cell r="AQ65" t="str">
            <v>OCF</v>
          </cell>
          <cell r="AW65">
            <v>751.52100000000007</v>
          </cell>
          <cell r="AX65">
            <v>0</v>
          </cell>
          <cell r="AY65">
            <v>0</v>
          </cell>
          <cell r="AZ65">
            <v>0</v>
          </cell>
          <cell r="BA65">
            <v>0</v>
          </cell>
          <cell r="BB65">
            <v>886.452</v>
          </cell>
          <cell r="BC65">
            <v>0</v>
          </cell>
          <cell r="BD65">
            <v>0</v>
          </cell>
          <cell r="BE65">
            <v>0</v>
          </cell>
          <cell r="BF65">
            <v>0</v>
          </cell>
          <cell r="BG65">
            <v>649.91933047251496</v>
          </cell>
          <cell r="BH65">
            <v>0</v>
          </cell>
          <cell r="BI65">
            <v>0</v>
          </cell>
          <cell r="BJ65">
            <v>0</v>
          </cell>
          <cell r="BK65">
            <v>0</v>
          </cell>
          <cell r="BL65">
            <v>708.55066823634081</v>
          </cell>
          <cell r="BM65">
            <v>0</v>
          </cell>
          <cell r="BN65">
            <v>0</v>
          </cell>
          <cell r="BO65">
            <v>0</v>
          </cell>
          <cell r="BP65">
            <v>0</v>
          </cell>
          <cell r="BQ65">
            <v>669.10784037055646</v>
          </cell>
          <cell r="BR65">
            <v>0</v>
          </cell>
          <cell r="BS65">
            <v>0</v>
          </cell>
          <cell r="BT65">
            <v>0</v>
          </cell>
          <cell r="BU65">
            <v>0</v>
          </cell>
          <cell r="BV65">
            <v>692.42798654771252</v>
          </cell>
          <cell r="BW65">
            <v>0</v>
          </cell>
          <cell r="BX65">
            <v>0</v>
          </cell>
          <cell r="BY65">
            <v>0</v>
          </cell>
          <cell r="BZ65">
            <v>0</v>
          </cell>
          <cell r="CA65">
            <v>720.91416264741429</v>
          </cell>
        </row>
        <row r="66">
          <cell r="AQ66" t="str">
            <v>Capex</v>
          </cell>
          <cell r="AW66">
            <v>800.62199999999996</v>
          </cell>
          <cell r="AX66">
            <v>0</v>
          </cell>
          <cell r="AY66">
            <v>0</v>
          </cell>
          <cell r="AZ66">
            <v>0</v>
          </cell>
          <cell r="BA66">
            <v>0</v>
          </cell>
          <cell r="BB66">
            <v>568.05700000000002</v>
          </cell>
          <cell r="BC66">
            <v>0</v>
          </cell>
          <cell r="BD66">
            <v>0</v>
          </cell>
          <cell r="BE66">
            <v>0</v>
          </cell>
          <cell r="BF66">
            <v>0</v>
          </cell>
          <cell r="BG66">
            <v>356.18299999999999</v>
          </cell>
          <cell r="BH66">
            <v>0</v>
          </cell>
          <cell r="BI66">
            <v>0</v>
          </cell>
          <cell r="BJ66">
            <v>0</v>
          </cell>
          <cell r="BK66">
            <v>0</v>
          </cell>
          <cell r="BL66">
            <v>473.17525000000001</v>
          </cell>
          <cell r="BM66">
            <v>0</v>
          </cell>
          <cell r="BN66">
            <v>0</v>
          </cell>
          <cell r="BO66">
            <v>0</v>
          </cell>
          <cell r="BP66">
            <v>0</v>
          </cell>
          <cell r="BQ66">
            <v>411.15758333333338</v>
          </cell>
          <cell r="BR66">
            <v>0</v>
          </cell>
          <cell r="BS66">
            <v>0</v>
          </cell>
          <cell r="BT66">
            <v>0</v>
          </cell>
          <cell r="BU66">
            <v>0</v>
          </cell>
          <cell r="BV66">
            <v>411.15758333333338</v>
          </cell>
          <cell r="BW66">
            <v>0</v>
          </cell>
          <cell r="BX66">
            <v>0</v>
          </cell>
          <cell r="BY66">
            <v>0</v>
          </cell>
          <cell r="BZ66">
            <v>0</v>
          </cell>
          <cell r="CA66">
            <v>411.15758333333338</v>
          </cell>
        </row>
        <row r="67">
          <cell r="AQ67" t="str">
            <v>Dividend</v>
          </cell>
          <cell r="AW67">
            <v>113</v>
          </cell>
          <cell r="AX67">
            <v>113</v>
          </cell>
          <cell r="AY67">
            <v>113</v>
          </cell>
          <cell r="AZ67">
            <v>113</v>
          </cell>
          <cell r="BA67">
            <v>113</v>
          </cell>
          <cell r="BB67">
            <v>113</v>
          </cell>
          <cell r="BC67">
            <v>113</v>
          </cell>
          <cell r="BD67">
            <v>113</v>
          </cell>
          <cell r="BE67">
            <v>113</v>
          </cell>
          <cell r="BF67">
            <v>113</v>
          </cell>
          <cell r="BG67">
            <v>113</v>
          </cell>
          <cell r="BH67">
            <v>113</v>
          </cell>
          <cell r="BI67">
            <v>113</v>
          </cell>
          <cell r="BJ67">
            <v>113</v>
          </cell>
          <cell r="BK67">
            <v>113</v>
          </cell>
          <cell r="BL67">
            <v>113</v>
          </cell>
          <cell r="BM67">
            <v>113</v>
          </cell>
          <cell r="BN67">
            <v>113</v>
          </cell>
          <cell r="BO67">
            <v>113</v>
          </cell>
          <cell r="BP67">
            <v>113</v>
          </cell>
          <cell r="BQ67">
            <v>113</v>
          </cell>
          <cell r="BR67">
            <v>113</v>
          </cell>
          <cell r="BS67">
            <v>113</v>
          </cell>
          <cell r="BT67">
            <v>113</v>
          </cell>
          <cell r="BU67">
            <v>113</v>
          </cell>
          <cell r="BV67">
            <v>113</v>
          </cell>
          <cell r="BW67">
            <v>113</v>
          </cell>
          <cell r="BX67">
            <v>113</v>
          </cell>
          <cell r="BY67">
            <v>113</v>
          </cell>
          <cell r="BZ67">
            <v>113</v>
          </cell>
          <cell r="CA67">
            <v>113</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
      <sheetName val="Valuation Summary"/>
      <sheetName val="SE Asset Sale PPAs"/>
      <sheetName val="Dispatch Assumptions"/>
      <sheetName val="Consolidated"/>
      <sheetName val="Southeast"/>
      <sheetName val="West"/>
      <sheetName val="Texas"/>
      <sheetName val="MW-Cache"/>
      <sheetName val="Northeast"/>
      <sheetName val="Parent"/>
      <sheetName val="Market Prices"/>
      <sheetName val="Debts"/>
      <sheetName val="SE Assets &amp; RFPs"/>
      <sheetName val="CPN Operating Plants"/>
      <sheetName val="Trading Vol"/>
      <sheetName val="Peak Dmnd"/>
      <sheetName val="New Resources"/>
      <sheetName val="ERCOT Res Margin"/>
      <sheetName val="ERCOT Margin Upside"/>
      <sheetName val="TX Brownfield"/>
      <sheetName val="mwareDates"/>
      <sheetName val="Sheet3"/>
      <sheetName val="Sheet2"/>
      <sheetName val="Plant Details"/>
      <sheetName val="Note Summary"/>
      <sheetName val="Financial Summary"/>
      <sheetName val="MWA RR"/>
      <sheetName val="Plants"/>
      <sheetName val="mwareSettings"/>
      <sheetName val="Summary"/>
      <sheetName val="ModelPaste"/>
      <sheetName val="Bal Sheet &amp; Cash Flow"/>
      <sheetName val="Gas"/>
      <sheetName val="Off Peak"/>
      <sheetName val="Peak"/>
    </sheetNames>
    <sheetDataSet>
      <sheetData sheetId="0" refreshError="1"/>
      <sheetData sheetId="1" refreshError="1"/>
      <sheetData sheetId="2" refreshError="1">
        <row r="10">
          <cell r="R10">
            <v>11</v>
          </cell>
        </row>
        <row r="27">
          <cell r="AN27">
            <v>12</v>
          </cell>
          <cell r="AQ27">
            <v>0.95</v>
          </cell>
        </row>
        <row r="28">
          <cell r="AN28">
            <v>7</v>
          </cell>
          <cell r="AQ28">
            <v>0.8</v>
          </cell>
        </row>
        <row r="29">
          <cell r="AN29">
            <v>2</v>
          </cell>
          <cell r="AQ29">
            <v>0.5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1">
          <cell r="P1" t="str">
            <v>SmartCharts</v>
          </cell>
        </row>
        <row r="4">
          <cell r="A4">
            <v>2018</v>
          </cell>
          <cell r="B4">
            <v>2018</v>
          </cell>
          <cell r="C4">
            <v>2018</v>
          </cell>
          <cell r="D4">
            <v>2018</v>
          </cell>
        </row>
        <row r="5">
          <cell r="C5" t="str">
            <v>Define value axis here:</v>
          </cell>
        </row>
        <row r="6">
          <cell r="C6" t="str">
            <v>New Resources Needed (MW)</v>
          </cell>
        </row>
        <row r="8">
          <cell r="H8" t="str">
            <v/>
          </cell>
        </row>
        <row r="9">
          <cell r="C9" t="str">
            <v>Input your data here:</v>
          </cell>
        </row>
        <row r="11">
          <cell r="D11" t="str">
            <v>ERCOT 10/22 Moody's Low Case</v>
          </cell>
          <cell r="E11" t="str">
            <v>MS Case I</v>
          </cell>
          <cell r="F11" t="str">
            <v>MS Case II</v>
          </cell>
          <cell r="G11" t="str">
            <v>MS Case III</v>
          </cell>
          <cell r="AA11" t="str">
            <v>ERCOT 10/22 Moody's Low Case</v>
          </cell>
          <cell r="AB11" t="str">
            <v>MS Case I</v>
          </cell>
          <cell r="AC11" t="str">
            <v>MS Case II</v>
          </cell>
          <cell r="AD11" t="str">
            <v>MS Case III</v>
          </cell>
        </row>
        <row r="12">
          <cell r="C12">
            <v>2015</v>
          </cell>
          <cell r="D12">
            <v>1829.1000000000008</v>
          </cell>
          <cell r="E12">
            <v>8563.9671936000123</v>
          </cell>
          <cell r="F12">
            <v>5737.6133217900006</v>
          </cell>
          <cell r="G12">
            <v>3309.6342930000051</v>
          </cell>
          <cell r="Z12">
            <v>2015</v>
          </cell>
          <cell r="AA12">
            <v>1829.1000000000008</v>
          </cell>
          <cell r="AB12">
            <v>8563.9671936000123</v>
          </cell>
          <cell r="AC12">
            <v>5737.6133217900006</v>
          </cell>
          <cell r="AD12">
            <v>3309.6342930000051</v>
          </cell>
        </row>
        <row r="13">
          <cell r="C13">
            <v>2016</v>
          </cell>
          <cell r="D13">
            <v>1672.8625000000006</v>
          </cell>
          <cell r="E13">
            <v>11972.445881344011</v>
          </cell>
          <cell r="F13">
            <v>8199.4317214437051</v>
          </cell>
          <cell r="G13">
            <v>5698.6133217900006</v>
          </cell>
          <cell r="Z13">
            <v>2016</v>
          </cell>
          <cell r="AA13">
            <v>1672.8625000000006</v>
          </cell>
          <cell r="AB13">
            <v>11972.445881344011</v>
          </cell>
          <cell r="AC13">
            <v>8199.4317214437051</v>
          </cell>
          <cell r="AD13">
            <v>5698.6133217900006</v>
          </cell>
        </row>
        <row r="14">
          <cell r="C14">
            <v>2017</v>
          </cell>
          <cell r="D14">
            <v>1666.7750000000008</v>
          </cell>
          <cell r="E14">
            <v>14501.823716597781</v>
          </cell>
          <cell r="F14">
            <v>9719.2746730870258</v>
          </cell>
          <cell r="G14">
            <v>7143.4317214437051</v>
          </cell>
          <cell r="Z14">
            <v>2017</v>
          </cell>
          <cell r="AA14">
            <v>1666.7750000000008</v>
          </cell>
          <cell r="AB14">
            <v>14501.823716597781</v>
          </cell>
          <cell r="AC14">
            <v>9719.2746730870258</v>
          </cell>
          <cell r="AD14">
            <v>7143.4317214437051</v>
          </cell>
        </row>
        <row r="15">
          <cell r="C15">
            <v>2018</v>
          </cell>
          <cell r="D15">
            <v>1268.825000000001</v>
          </cell>
          <cell r="E15">
            <v>17054.616665261696</v>
          </cell>
          <cell r="F15">
            <v>11196.392913279642</v>
          </cell>
          <cell r="G15">
            <v>8543.2746730870258</v>
          </cell>
          <cell r="Z15">
            <v>2018</v>
          </cell>
          <cell r="AA15">
            <v>1268.825000000001</v>
          </cell>
          <cell r="AB15">
            <v>17054.616665261696</v>
          </cell>
          <cell r="AC15">
            <v>11196.392913279642</v>
          </cell>
          <cell r="AD15">
            <v>8543.2746730870258</v>
          </cell>
        </row>
        <row r="16">
          <cell r="Z16" t="b">
            <v>0</v>
          </cell>
          <cell r="AA16" t="b">
            <v>0</v>
          </cell>
          <cell r="AB16" t="b">
            <v>0</v>
          </cell>
          <cell r="AC16" t="b">
            <v>0</v>
          </cell>
          <cell r="AD16" t="b">
            <v>0</v>
          </cell>
        </row>
        <row r="17">
          <cell r="Z17" t="b">
            <v>0</v>
          </cell>
          <cell r="AA17" t="b">
            <v>0</v>
          </cell>
          <cell r="AB17" t="b">
            <v>0</v>
          </cell>
          <cell r="AC17" t="b">
            <v>0</v>
          </cell>
          <cell r="AD17" t="b">
            <v>0</v>
          </cell>
        </row>
        <row r="18">
          <cell r="Z18" t="b">
            <v>0</v>
          </cell>
          <cell r="AA18" t="b">
            <v>0</v>
          </cell>
          <cell r="AB18" t="b">
            <v>0</v>
          </cell>
          <cell r="AC18" t="b">
            <v>0</v>
          </cell>
          <cell r="AD18" t="b">
            <v>0</v>
          </cell>
        </row>
        <row r="19">
          <cell r="Z19" t="b">
            <v>0</v>
          </cell>
          <cell r="AA19" t="b">
            <v>0</v>
          </cell>
          <cell r="AB19" t="b">
            <v>0</v>
          </cell>
          <cell r="AC19" t="b">
            <v>0</v>
          </cell>
          <cell r="AD19" t="b">
            <v>0</v>
          </cell>
        </row>
        <row r="20">
          <cell r="Z20" t="b">
            <v>0</v>
          </cell>
          <cell r="AA20" t="b">
            <v>0</v>
          </cell>
          <cell r="AB20" t="b">
            <v>0</v>
          </cell>
          <cell r="AC20" t="b">
            <v>0</v>
          </cell>
          <cell r="AD20" t="b">
            <v>0</v>
          </cell>
        </row>
        <row r="21">
          <cell r="Z21" t="b">
            <v>0</v>
          </cell>
          <cell r="AA21" t="b">
            <v>0</v>
          </cell>
          <cell r="AB21" t="b">
            <v>0</v>
          </cell>
          <cell r="AC21" t="b">
            <v>0</v>
          </cell>
          <cell r="AD21" t="b">
            <v>0</v>
          </cell>
        </row>
        <row r="22">
          <cell r="Z22" t="b">
            <v>0</v>
          </cell>
          <cell r="AA22" t="b">
            <v>0</v>
          </cell>
          <cell r="AB22" t="b">
            <v>0</v>
          </cell>
          <cell r="AC22" t="b">
            <v>0</v>
          </cell>
          <cell r="AD22" t="b">
            <v>0</v>
          </cell>
        </row>
        <row r="23">
          <cell r="Z23" t="b">
            <v>0</v>
          </cell>
          <cell r="AA23" t="b">
            <v>0</v>
          </cell>
          <cell r="AB23" t="b">
            <v>0</v>
          </cell>
          <cell r="AC23" t="b">
            <v>0</v>
          </cell>
          <cell r="AD23" t="b">
            <v>0</v>
          </cell>
        </row>
        <row r="24">
          <cell r="Z24" t="b">
            <v>0</v>
          </cell>
          <cell r="AA24" t="b">
            <v>0</v>
          </cell>
          <cell r="AB24" t="b">
            <v>0</v>
          </cell>
          <cell r="AC24" t="b">
            <v>0</v>
          </cell>
          <cell r="AD24" t="b">
            <v>0</v>
          </cell>
        </row>
        <row r="25">
          <cell r="Z25" t="b">
            <v>0</v>
          </cell>
          <cell r="AA25" t="b">
            <v>0</v>
          </cell>
          <cell r="AB25" t="b">
            <v>0</v>
          </cell>
          <cell r="AC25" t="b">
            <v>0</v>
          </cell>
          <cell r="AD25" t="b">
            <v>0</v>
          </cell>
        </row>
        <row r="26">
          <cell r="Z26" t="b">
            <v>0</v>
          </cell>
          <cell r="AA26" t="b">
            <v>0</v>
          </cell>
          <cell r="AB26" t="b">
            <v>0</v>
          </cell>
          <cell r="AC26" t="b">
            <v>0</v>
          </cell>
          <cell r="AD26" t="b">
            <v>0</v>
          </cell>
        </row>
        <row r="27">
          <cell r="Z27" t="b">
            <v>0</v>
          </cell>
          <cell r="AA27" t="b">
            <v>0</v>
          </cell>
          <cell r="AB27" t="b">
            <v>0</v>
          </cell>
          <cell r="AC27" t="b">
            <v>0</v>
          </cell>
          <cell r="AD27" t="b">
            <v>0</v>
          </cell>
        </row>
        <row r="28">
          <cell r="Z28" t="b">
            <v>0</v>
          </cell>
          <cell r="AA28" t="b">
            <v>0</v>
          </cell>
          <cell r="AB28" t="b">
            <v>0</v>
          </cell>
          <cell r="AC28" t="b">
            <v>0</v>
          </cell>
          <cell r="AD28" t="b">
            <v>0</v>
          </cell>
        </row>
        <row r="29">
          <cell r="Z29" t="b">
            <v>0</v>
          </cell>
          <cell r="AA29" t="b">
            <v>0</v>
          </cell>
          <cell r="AB29" t="b">
            <v>0</v>
          </cell>
          <cell r="AC29" t="b">
            <v>0</v>
          </cell>
          <cell r="AD29" t="b">
            <v>0</v>
          </cell>
        </row>
        <row r="30">
          <cell r="Z30" t="b">
            <v>0</v>
          </cell>
          <cell r="AA30" t="b">
            <v>0</v>
          </cell>
          <cell r="AB30" t="b">
            <v>0</v>
          </cell>
          <cell r="AC30" t="b">
            <v>0</v>
          </cell>
          <cell r="AD30" t="b">
            <v>0</v>
          </cell>
        </row>
        <row r="31">
          <cell r="Z31" t="b">
            <v>0</v>
          </cell>
          <cell r="AA31" t="b">
            <v>0</v>
          </cell>
          <cell r="AB31" t="b">
            <v>0</v>
          </cell>
          <cell r="AC31" t="b">
            <v>0</v>
          </cell>
          <cell r="AD31" t="b">
            <v>0</v>
          </cell>
        </row>
        <row r="32">
          <cell r="Z32" t="b">
            <v>0</v>
          </cell>
          <cell r="AA32" t="b">
            <v>0</v>
          </cell>
          <cell r="AB32" t="b">
            <v>0</v>
          </cell>
          <cell r="AC32" t="b">
            <v>0</v>
          </cell>
          <cell r="AD32" t="b">
            <v>0</v>
          </cell>
        </row>
        <row r="33">
          <cell r="Z33" t="b">
            <v>0</v>
          </cell>
          <cell r="AA33" t="b">
            <v>0</v>
          </cell>
          <cell r="AB33" t="b">
            <v>0</v>
          </cell>
          <cell r="AC33" t="b">
            <v>0</v>
          </cell>
          <cell r="AD33" t="b">
            <v>0</v>
          </cell>
        </row>
        <row r="34">
          <cell r="Z34" t="b">
            <v>0</v>
          </cell>
          <cell r="AA34" t="b">
            <v>0</v>
          </cell>
          <cell r="AB34" t="b">
            <v>0</v>
          </cell>
          <cell r="AC34" t="b">
            <v>0</v>
          </cell>
          <cell r="AD34" t="b">
            <v>0</v>
          </cell>
        </row>
        <row r="35">
          <cell r="Z35" t="b">
            <v>0</v>
          </cell>
          <cell r="AA35" t="b">
            <v>0</v>
          </cell>
          <cell r="AB35" t="b">
            <v>0</v>
          </cell>
          <cell r="AC35" t="b">
            <v>0</v>
          </cell>
          <cell r="AD35" t="b">
            <v>0</v>
          </cell>
        </row>
        <row r="36">
          <cell r="Z36" t="b">
            <v>0</v>
          </cell>
          <cell r="AA36" t="b">
            <v>0</v>
          </cell>
          <cell r="AB36" t="b">
            <v>0</v>
          </cell>
          <cell r="AC36" t="b">
            <v>0</v>
          </cell>
          <cell r="AD36" t="b">
            <v>0</v>
          </cell>
        </row>
        <row r="37">
          <cell r="Z37" t="b">
            <v>0</v>
          </cell>
          <cell r="AA37" t="b">
            <v>0</v>
          </cell>
          <cell r="AB37" t="b">
            <v>0</v>
          </cell>
          <cell r="AC37" t="b">
            <v>0</v>
          </cell>
          <cell r="AD37" t="b">
            <v>0</v>
          </cell>
        </row>
        <row r="38">
          <cell r="Z38" t="b">
            <v>0</v>
          </cell>
          <cell r="AA38" t="b">
            <v>0</v>
          </cell>
          <cell r="AB38" t="b">
            <v>0</v>
          </cell>
          <cell r="AC38" t="b">
            <v>0</v>
          </cell>
          <cell r="AD38" t="b">
            <v>0</v>
          </cell>
        </row>
        <row r="39">
          <cell r="Z39" t="b">
            <v>0</v>
          </cell>
          <cell r="AA39" t="b">
            <v>0</v>
          </cell>
          <cell r="AB39" t="b">
            <v>0</v>
          </cell>
          <cell r="AC39" t="b">
            <v>0</v>
          </cell>
          <cell r="AD39" t="b">
            <v>0</v>
          </cell>
        </row>
        <row r="40">
          <cell r="Z40" t="b">
            <v>0</v>
          </cell>
          <cell r="AA40" t="b">
            <v>0</v>
          </cell>
          <cell r="AB40" t="b">
            <v>0</v>
          </cell>
          <cell r="AC40" t="b">
            <v>0</v>
          </cell>
          <cell r="AD40" t="b">
            <v>0</v>
          </cell>
        </row>
        <row r="41">
          <cell r="Z41" t="b">
            <v>0</v>
          </cell>
          <cell r="AA41" t="b">
            <v>0</v>
          </cell>
          <cell r="AB41" t="b">
            <v>0</v>
          </cell>
          <cell r="AC41" t="b">
            <v>0</v>
          </cell>
          <cell r="AD41" t="b">
            <v>0</v>
          </cell>
        </row>
        <row r="42">
          <cell r="Z42" t="b">
            <v>0</v>
          </cell>
          <cell r="AA42" t="b">
            <v>0</v>
          </cell>
          <cell r="AB42" t="b">
            <v>0</v>
          </cell>
          <cell r="AC42" t="b">
            <v>0</v>
          </cell>
          <cell r="AD42" t="b">
            <v>0</v>
          </cell>
        </row>
        <row r="43">
          <cell r="Z43" t="b">
            <v>0</v>
          </cell>
          <cell r="AA43" t="b">
            <v>0</v>
          </cell>
          <cell r="AB43" t="b">
            <v>0</v>
          </cell>
          <cell r="AC43" t="b">
            <v>0</v>
          </cell>
          <cell r="AD43" t="b">
            <v>0</v>
          </cell>
        </row>
        <row r="44">
          <cell r="Z44" t="b">
            <v>0</v>
          </cell>
          <cell r="AA44" t="b">
            <v>0</v>
          </cell>
          <cell r="AB44" t="b">
            <v>0</v>
          </cell>
          <cell r="AC44" t="b">
            <v>0</v>
          </cell>
          <cell r="AD44" t="b">
            <v>0</v>
          </cell>
        </row>
        <row r="45">
          <cell r="Z45" t="b">
            <v>0</v>
          </cell>
          <cell r="AA45" t="b">
            <v>0</v>
          </cell>
          <cell r="AB45" t="b">
            <v>0</v>
          </cell>
          <cell r="AC45" t="b">
            <v>0</v>
          </cell>
          <cell r="AD45" t="b">
            <v>0</v>
          </cell>
        </row>
        <row r="46">
          <cell r="Z46" t="b">
            <v>0</v>
          </cell>
          <cell r="AA46" t="b">
            <v>0</v>
          </cell>
          <cell r="AB46" t="b">
            <v>0</v>
          </cell>
          <cell r="AC46" t="b">
            <v>0</v>
          </cell>
          <cell r="AD46" t="b">
            <v>0</v>
          </cell>
        </row>
        <row r="47">
          <cell r="Z47" t="b">
            <v>0</v>
          </cell>
          <cell r="AA47" t="b">
            <v>0</v>
          </cell>
          <cell r="AB47" t="b">
            <v>0</v>
          </cell>
          <cell r="AC47" t="b">
            <v>0</v>
          </cell>
          <cell r="AD47" t="b">
            <v>0</v>
          </cell>
        </row>
        <row r="48">
          <cell r="Z48" t="b">
            <v>0</v>
          </cell>
          <cell r="AA48" t="b">
            <v>0</v>
          </cell>
          <cell r="AB48" t="b">
            <v>0</v>
          </cell>
          <cell r="AC48" t="b">
            <v>0</v>
          </cell>
          <cell r="AD48" t="b">
            <v>0</v>
          </cell>
        </row>
        <row r="49">
          <cell r="Z49" t="b">
            <v>0</v>
          </cell>
          <cell r="AA49" t="b">
            <v>0</v>
          </cell>
          <cell r="AB49" t="b">
            <v>0</v>
          </cell>
          <cell r="AC49" t="b">
            <v>0</v>
          </cell>
          <cell r="AD49" t="b">
            <v>0</v>
          </cell>
        </row>
        <row r="50">
          <cell r="Z50" t="b">
            <v>0</v>
          </cell>
          <cell r="AA50" t="b">
            <v>0</v>
          </cell>
          <cell r="AB50" t="b">
            <v>0</v>
          </cell>
          <cell r="AC50" t="b">
            <v>0</v>
          </cell>
          <cell r="AD50" t="b">
            <v>0</v>
          </cell>
        </row>
        <row r="51">
          <cell r="Z51" t="b">
            <v>0</v>
          </cell>
          <cell r="AA51" t="b">
            <v>0</v>
          </cell>
          <cell r="AB51" t="b">
            <v>0</v>
          </cell>
          <cell r="AC51" t="b">
            <v>0</v>
          </cell>
          <cell r="AD51" t="b">
            <v>0</v>
          </cell>
        </row>
        <row r="52">
          <cell r="Z52" t="b">
            <v>0</v>
          </cell>
          <cell r="AA52" t="b">
            <v>0</v>
          </cell>
          <cell r="AB52" t="b">
            <v>0</v>
          </cell>
          <cell r="AC52" t="b">
            <v>0</v>
          </cell>
          <cell r="AD52" t="b">
            <v>0</v>
          </cell>
        </row>
        <row r="53">
          <cell r="Z53" t="b">
            <v>0</v>
          </cell>
          <cell r="AA53" t="b">
            <v>0</v>
          </cell>
          <cell r="AB53" t="b">
            <v>0</v>
          </cell>
          <cell r="AC53" t="b">
            <v>0</v>
          </cell>
          <cell r="AD53" t="b">
            <v>0</v>
          </cell>
        </row>
        <row r="54">
          <cell r="Z54" t="b">
            <v>0</v>
          </cell>
          <cell r="AA54" t="b">
            <v>0</v>
          </cell>
          <cell r="AB54" t="b">
            <v>0</v>
          </cell>
          <cell r="AC54" t="b">
            <v>0</v>
          </cell>
          <cell r="AD54" t="b">
            <v>0</v>
          </cell>
        </row>
        <row r="55">
          <cell r="Z55" t="b">
            <v>0</v>
          </cell>
          <cell r="AA55" t="b">
            <v>0</v>
          </cell>
          <cell r="AB55" t="b">
            <v>0</v>
          </cell>
          <cell r="AC55" t="b">
            <v>0</v>
          </cell>
          <cell r="AD55" t="b">
            <v>0</v>
          </cell>
        </row>
        <row r="56">
          <cell r="Z56" t="b">
            <v>0</v>
          </cell>
          <cell r="AA56" t="b">
            <v>0</v>
          </cell>
          <cell r="AB56" t="b">
            <v>0</v>
          </cell>
          <cell r="AC56" t="b">
            <v>0</v>
          </cell>
          <cell r="AD56" t="b">
            <v>0</v>
          </cell>
        </row>
        <row r="57">
          <cell r="Z57" t="b">
            <v>0</v>
          </cell>
          <cell r="AA57" t="b">
            <v>0</v>
          </cell>
          <cell r="AB57" t="b">
            <v>0</v>
          </cell>
          <cell r="AC57" t="b">
            <v>0</v>
          </cell>
          <cell r="AD57" t="b">
            <v>0</v>
          </cell>
        </row>
        <row r="58">
          <cell r="Z58" t="b">
            <v>0</v>
          </cell>
          <cell r="AA58" t="b">
            <v>0</v>
          </cell>
          <cell r="AB58" t="b">
            <v>0</v>
          </cell>
          <cell r="AC58" t="b">
            <v>0</v>
          </cell>
          <cell r="AD58" t="b">
            <v>0</v>
          </cell>
        </row>
        <row r="59">
          <cell r="Z59" t="b">
            <v>0</v>
          </cell>
          <cell r="AA59" t="b">
            <v>0</v>
          </cell>
          <cell r="AB59" t="b">
            <v>0</v>
          </cell>
          <cell r="AC59" t="b">
            <v>0</v>
          </cell>
          <cell r="AD59" t="b">
            <v>0</v>
          </cell>
        </row>
        <row r="60">
          <cell r="Z60" t="b">
            <v>0</v>
          </cell>
          <cell r="AA60" t="b">
            <v>0</v>
          </cell>
          <cell r="AB60" t="b">
            <v>0</v>
          </cell>
          <cell r="AC60" t="b">
            <v>0</v>
          </cell>
          <cell r="AD60" t="b">
            <v>0</v>
          </cell>
        </row>
        <row r="61">
          <cell r="Z61" t="b">
            <v>0</v>
          </cell>
          <cell r="AA61" t="b">
            <v>0</v>
          </cell>
          <cell r="AB61" t="b">
            <v>0</v>
          </cell>
          <cell r="AC61" t="b">
            <v>0</v>
          </cell>
          <cell r="AD61" t="b">
            <v>0</v>
          </cell>
        </row>
        <row r="62">
          <cell r="Z62" t="b">
            <v>0</v>
          </cell>
          <cell r="AA62" t="b">
            <v>0</v>
          </cell>
          <cell r="AB62" t="b">
            <v>0</v>
          </cell>
          <cell r="AC62" t="b">
            <v>0</v>
          </cell>
          <cell r="AD62" t="b">
            <v>0</v>
          </cell>
        </row>
        <row r="63">
          <cell r="Z63" t="b">
            <v>0</v>
          </cell>
          <cell r="AA63" t="b">
            <v>0</v>
          </cell>
          <cell r="AB63" t="b">
            <v>0</v>
          </cell>
          <cell r="AC63" t="b">
            <v>0</v>
          </cell>
          <cell r="AD63" t="b">
            <v>0</v>
          </cell>
        </row>
        <row r="64">
          <cell r="Z64" t="b">
            <v>0</v>
          </cell>
          <cell r="AA64" t="b">
            <v>0</v>
          </cell>
          <cell r="AB64" t="b">
            <v>0</v>
          </cell>
          <cell r="AC64" t="b">
            <v>0</v>
          </cell>
          <cell r="AD64" t="b">
            <v>0</v>
          </cell>
        </row>
        <row r="65">
          <cell r="Z65" t="b">
            <v>0</v>
          </cell>
          <cell r="AA65" t="b">
            <v>0</v>
          </cell>
          <cell r="AB65" t="b">
            <v>0</v>
          </cell>
          <cell r="AC65" t="b">
            <v>0</v>
          </cell>
          <cell r="AD65" t="b">
            <v>0</v>
          </cell>
        </row>
        <row r="66">
          <cell r="Z66" t="b">
            <v>0</v>
          </cell>
          <cell r="AA66" t="b">
            <v>0</v>
          </cell>
          <cell r="AB66" t="b">
            <v>0</v>
          </cell>
          <cell r="AC66" t="b">
            <v>0</v>
          </cell>
          <cell r="AD66" t="b">
            <v>0</v>
          </cell>
        </row>
        <row r="67">
          <cell r="Z67" t="b">
            <v>0</v>
          </cell>
          <cell r="AA67" t="b">
            <v>0</v>
          </cell>
          <cell r="AB67" t="b">
            <v>0</v>
          </cell>
          <cell r="AC67" t="b">
            <v>0</v>
          </cell>
          <cell r="AD67" t="b">
            <v>0</v>
          </cell>
        </row>
        <row r="68">
          <cell r="Z68" t="b">
            <v>0</v>
          </cell>
          <cell r="AA68" t="b">
            <v>0</v>
          </cell>
          <cell r="AB68" t="b">
            <v>0</v>
          </cell>
          <cell r="AC68" t="b">
            <v>0</v>
          </cell>
          <cell r="AD68" t="b">
            <v>0</v>
          </cell>
        </row>
        <row r="69">
          <cell r="Z69" t="b">
            <v>0</v>
          </cell>
          <cell r="AA69" t="b">
            <v>0</v>
          </cell>
          <cell r="AB69" t="b">
            <v>0</v>
          </cell>
          <cell r="AC69" t="b">
            <v>0</v>
          </cell>
          <cell r="AD69" t="b">
            <v>0</v>
          </cell>
        </row>
        <row r="70">
          <cell r="Z70" t="b">
            <v>0</v>
          </cell>
          <cell r="AA70" t="b">
            <v>0</v>
          </cell>
          <cell r="AB70" t="b">
            <v>0</v>
          </cell>
          <cell r="AC70" t="b">
            <v>0</v>
          </cell>
          <cell r="AD70" t="b">
            <v>0</v>
          </cell>
        </row>
        <row r="71">
          <cell r="Z71" t="b">
            <v>0</v>
          </cell>
          <cell r="AA71" t="b">
            <v>0</v>
          </cell>
          <cell r="AB71" t="b">
            <v>0</v>
          </cell>
          <cell r="AC71" t="b">
            <v>0</v>
          </cell>
          <cell r="AD71" t="b">
            <v>0</v>
          </cell>
        </row>
        <row r="72">
          <cell r="Z72" t="b">
            <v>0</v>
          </cell>
          <cell r="AA72" t="b">
            <v>0</v>
          </cell>
          <cell r="AB72" t="b">
            <v>0</v>
          </cell>
          <cell r="AC72" t="b">
            <v>0</v>
          </cell>
          <cell r="AD72" t="b">
            <v>0</v>
          </cell>
        </row>
        <row r="73">
          <cell r="Z73" t="b">
            <v>0</v>
          </cell>
          <cell r="AA73" t="b">
            <v>0</v>
          </cell>
          <cell r="AB73" t="b">
            <v>0</v>
          </cell>
          <cell r="AC73" t="b">
            <v>0</v>
          </cell>
          <cell r="AD73" t="b">
            <v>0</v>
          </cell>
        </row>
        <row r="74">
          <cell r="Z74" t="b">
            <v>0</v>
          </cell>
          <cell r="AA74" t="b">
            <v>0</v>
          </cell>
          <cell r="AB74" t="b">
            <v>0</v>
          </cell>
          <cell r="AC74" t="b">
            <v>0</v>
          </cell>
          <cell r="AD74" t="b">
            <v>0</v>
          </cell>
        </row>
        <row r="75">
          <cell r="Z75" t="b">
            <v>0</v>
          </cell>
          <cell r="AA75" t="b">
            <v>0</v>
          </cell>
          <cell r="AB75" t="b">
            <v>0</v>
          </cell>
          <cell r="AC75" t="b">
            <v>0</v>
          </cell>
          <cell r="AD75" t="b">
            <v>0</v>
          </cell>
        </row>
        <row r="76">
          <cell r="Z76" t="b">
            <v>0</v>
          </cell>
          <cell r="AA76" t="b">
            <v>0</v>
          </cell>
          <cell r="AB76" t="b">
            <v>0</v>
          </cell>
          <cell r="AC76" t="b">
            <v>0</v>
          </cell>
          <cell r="AD76" t="b">
            <v>0</v>
          </cell>
        </row>
        <row r="77">
          <cell r="Z77" t="b">
            <v>0</v>
          </cell>
          <cell r="AA77" t="b">
            <v>0</v>
          </cell>
          <cell r="AB77" t="b">
            <v>0</v>
          </cell>
          <cell r="AC77" t="b">
            <v>0</v>
          </cell>
          <cell r="AD77" t="b">
            <v>0</v>
          </cell>
        </row>
        <row r="78">
          <cell r="Z78" t="b">
            <v>0</v>
          </cell>
          <cell r="AA78" t="b">
            <v>0</v>
          </cell>
          <cell r="AB78" t="b">
            <v>0</v>
          </cell>
          <cell r="AC78" t="b">
            <v>0</v>
          </cell>
          <cell r="AD78" t="b">
            <v>0</v>
          </cell>
        </row>
        <row r="79">
          <cell r="Z79" t="b">
            <v>0</v>
          </cell>
          <cell r="AA79" t="b">
            <v>0</v>
          </cell>
          <cell r="AB79" t="b">
            <v>0</v>
          </cell>
          <cell r="AC79" t="b">
            <v>0</v>
          </cell>
          <cell r="AD79" t="b">
            <v>0</v>
          </cell>
        </row>
        <row r="80">
          <cell r="Z80" t="b">
            <v>0</v>
          </cell>
          <cell r="AA80" t="b">
            <v>0</v>
          </cell>
          <cell r="AB80" t="b">
            <v>0</v>
          </cell>
          <cell r="AC80" t="b">
            <v>0</v>
          </cell>
          <cell r="AD80" t="b">
            <v>0</v>
          </cell>
        </row>
        <row r="81">
          <cell r="Z81" t="b">
            <v>0</v>
          </cell>
          <cell r="AA81" t="b">
            <v>0</v>
          </cell>
          <cell r="AB81" t="b">
            <v>0</v>
          </cell>
          <cell r="AC81" t="b">
            <v>0</v>
          </cell>
          <cell r="AD81" t="b">
            <v>0</v>
          </cell>
        </row>
        <row r="82">
          <cell r="Z82" t="b">
            <v>0</v>
          </cell>
          <cell r="AA82" t="b">
            <v>0</v>
          </cell>
          <cell r="AB82" t="b">
            <v>0</v>
          </cell>
          <cell r="AC82" t="b">
            <v>0</v>
          </cell>
          <cell r="AD82" t="b">
            <v>0</v>
          </cell>
        </row>
        <row r="83">
          <cell r="Z83" t="b">
            <v>0</v>
          </cell>
          <cell r="AA83" t="b">
            <v>0</v>
          </cell>
          <cell r="AB83" t="b">
            <v>0</v>
          </cell>
          <cell r="AC83" t="b">
            <v>0</v>
          </cell>
          <cell r="AD83" t="b">
            <v>0</v>
          </cell>
        </row>
        <row r="84">
          <cell r="Z84" t="b">
            <v>0</v>
          </cell>
          <cell r="AA84" t="b">
            <v>0</v>
          </cell>
          <cell r="AB84" t="b">
            <v>0</v>
          </cell>
          <cell r="AC84" t="b">
            <v>0</v>
          </cell>
          <cell r="AD84" t="b">
            <v>0</v>
          </cell>
        </row>
        <row r="85">
          <cell r="Z85" t="b">
            <v>0</v>
          </cell>
          <cell r="AA85" t="b">
            <v>0</v>
          </cell>
          <cell r="AB85" t="b">
            <v>0</v>
          </cell>
          <cell r="AC85" t="b">
            <v>0</v>
          </cell>
          <cell r="AD85" t="b">
            <v>0</v>
          </cell>
        </row>
        <row r="86">
          <cell r="Z86" t="b">
            <v>0</v>
          </cell>
          <cell r="AA86" t="b">
            <v>0</v>
          </cell>
          <cell r="AB86" t="b">
            <v>0</v>
          </cell>
          <cell r="AC86" t="b">
            <v>0</v>
          </cell>
          <cell r="AD86" t="b">
            <v>0</v>
          </cell>
        </row>
        <row r="87">
          <cell r="Z87" t="b">
            <v>0</v>
          </cell>
          <cell r="AA87" t="b">
            <v>0</v>
          </cell>
          <cell r="AB87" t="b">
            <v>0</v>
          </cell>
          <cell r="AC87" t="b">
            <v>0</v>
          </cell>
          <cell r="AD87" t="b">
            <v>0</v>
          </cell>
        </row>
        <row r="88">
          <cell r="Z88" t="b">
            <v>0</v>
          </cell>
          <cell r="AA88" t="b">
            <v>0</v>
          </cell>
          <cell r="AB88" t="b">
            <v>0</v>
          </cell>
          <cell r="AC88" t="b">
            <v>0</v>
          </cell>
          <cell r="AD88" t="b">
            <v>0</v>
          </cell>
        </row>
        <row r="89">
          <cell r="Z89" t="b">
            <v>0</v>
          </cell>
          <cell r="AA89" t="b">
            <v>0</v>
          </cell>
          <cell r="AB89" t="b">
            <v>0</v>
          </cell>
          <cell r="AC89" t="b">
            <v>0</v>
          </cell>
          <cell r="AD89" t="b">
            <v>0</v>
          </cell>
        </row>
        <row r="90">
          <cell r="Z90" t="b">
            <v>0</v>
          </cell>
          <cell r="AA90" t="b">
            <v>0</v>
          </cell>
          <cell r="AB90" t="b">
            <v>0</v>
          </cell>
          <cell r="AC90" t="b">
            <v>0</v>
          </cell>
          <cell r="AD90" t="b">
            <v>0</v>
          </cell>
        </row>
        <row r="91">
          <cell r="Z91" t="b">
            <v>0</v>
          </cell>
          <cell r="AA91" t="b">
            <v>0</v>
          </cell>
          <cell r="AB91" t="b">
            <v>0</v>
          </cell>
          <cell r="AC91" t="b">
            <v>0</v>
          </cell>
          <cell r="AD91" t="b">
            <v>0</v>
          </cell>
        </row>
        <row r="92">
          <cell r="Z92" t="b">
            <v>0</v>
          </cell>
          <cell r="AA92" t="b">
            <v>0</v>
          </cell>
          <cell r="AB92" t="b">
            <v>0</v>
          </cell>
          <cell r="AC92" t="b">
            <v>0</v>
          </cell>
          <cell r="AD92" t="b">
            <v>0</v>
          </cell>
        </row>
        <row r="93">
          <cell r="Z93" t="b">
            <v>0</v>
          </cell>
          <cell r="AA93" t="b">
            <v>0</v>
          </cell>
          <cell r="AB93" t="b">
            <v>0</v>
          </cell>
          <cell r="AC93" t="b">
            <v>0</v>
          </cell>
          <cell r="AD93" t="b">
            <v>0</v>
          </cell>
        </row>
        <row r="94">
          <cell r="Z94" t="b">
            <v>0</v>
          </cell>
          <cell r="AA94" t="b">
            <v>0</v>
          </cell>
          <cell r="AB94" t="b">
            <v>0</v>
          </cell>
          <cell r="AC94" t="b">
            <v>0</v>
          </cell>
          <cell r="AD94" t="b">
            <v>0</v>
          </cell>
        </row>
        <row r="95">
          <cell r="Z95" t="b">
            <v>0</v>
          </cell>
          <cell r="AA95" t="b">
            <v>0</v>
          </cell>
          <cell r="AB95" t="b">
            <v>0</v>
          </cell>
          <cell r="AC95" t="b">
            <v>0</v>
          </cell>
          <cell r="AD95" t="b">
            <v>0</v>
          </cell>
        </row>
        <row r="96">
          <cell r="Z96" t="b">
            <v>0</v>
          </cell>
          <cell r="AA96" t="b">
            <v>0</v>
          </cell>
          <cell r="AB96" t="b">
            <v>0</v>
          </cell>
          <cell r="AC96" t="b">
            <v>0</v>
          </cell>
          <cell r="AD96" t="b">
            <v>0</v>
          </cell>
        </row>
        <row r="97">
          <cell r="Z97" t="b">
            <v>0</v>
          </cell>
          <cell r="AA97" t="b">
            <v>0</v>
          </cell>
          <cell r="AB97" t="b">
            <v>0</v>
          </cell>
          <cell r="AC97" t="b">
            <v>0</v>
          </cell>
          <cell r="AD97" t="b">
            <v>0</v>
          </cell>
        </row>
        <row r="98">
          <cell r="Z98" t="b">
            <v>0</v>
          </cell>
          <cell r="AA98" t="b">
            <v>0</v>
          </cell>
          <cell r="AB98" t="b">
            <v>0</v>
          </cell>
          <cell r="AC98" t="b">
            <v>0</v>
          </cell>
          <cell r="AD98" t="b">
            <v>0</v>
          </cell>
        </row>
        <row r="99">
          <cell r="Z99" t="b">
            <v>0</v>
          </cell>
          <cell r="AA99" t="b">
            <v>0</v>
          </cell>
          <cell r="AB99" t="b">
            <v>0</v>
          </cell>
          <cell r="AC99" t="b">
            <v>0</v>
          </cell>
          <cell r="AD99" t="b">
            <v>0</v>
          </cell>
        </row>
        <row r="100">
          <cell r="Z100" t="b">
            <v>0</v>
          </cell>
          <cell r="AA100" t="b">
            <v>0</v>
          </cell>
          <cell r="AB100" t="b">
            <v>0</v>
          </cell>
          <cell r="AC100" t="b">
            <v>0</v>
          </cell>
          <cell r="AD100" t="b">
            <v>0</v>
          </cell>
        </row>
        <row r="101">
          <cell r="Z101" t="b">
            <v>0</v>
          </cell>
          <cell r="AA101" t="b">
            <v>0</v>
          </cell>
          <cell r="AB101" t="b">
            <v>0</v>
          </cell>
          <cell r="AC101" t="b">
            <v>0</v>
          </cell>
          <cell r="AD101" t="b">
            <v>0</v>
          </cell>
        </row>
        <row r="102">
          <cell r="Z102" t="b">
            <v>0</v>
          </cell>
          <cell r="AA102" t="b">
            <v>0</v>
          </cell>
          <cell r="AB102" t="b">
            <v>0</v>
          </cell>
          <cell r="AC102" t="b">
            <v>0</v>
          </cell>
          <cell r="AD102" t="b">
            <v>0</v>
          </cell>
        </row>
        <row r="103">
          <cell r="Z103" t="b">
            <v>0</v>
          </cell>
          <cell r="AA103" t="b">
            <v>0</v>
          </cell>
          <cell r="AB103" t="b">
            <v>0</v>
          </cell>
          <cell r="AC103" t="b">
            <v>0</v>
          </cell>
          <cell r="AD103" t="b">
            <v>0</v>
          </cell>
        </row>
        <row r="104">
          <cell r="Z104" t="b">
            <v>0</v>
          </cell>
          <cell r="AA104" t="b">
            <v>0</v>
          </cell>
          <cell r="AB104" t="b">
            <v>0</v>
          </cell>
          <cell r="AC104" t="b">
            <v>0</v>
          </cell>
          <cell r="AD104" t="b">
            <v>0</v>
          </cell>
        </row>
        <row r="105">
          <cell r="Z105" t="b">
            <v>0</v>
          </cell>
          <cell r="AA105" t="b">
            <v>0</v>
          </cell>
          <cell r="AB105" t="b">
            <v>0</v>
          </cell>
          <cell r="AC105" t="b">
            <v>0</v>
          </cell>
          <cell r="AD105" t="b">
            <v>0</v>
          </cell>
        </row>
        <row r="106">
          <cell r="Z106" t="b">
            <v>0</v>
          </cell>
          <cell r="AA106" t="b">
            <v>0</v>
          </cell>
          <cell r="AB106" t="b">
            <v>0</v>
          </cell>
          <cell r="AC106" t="b">
            <v>0</v>
          </cell>
          <cell r="AD106" t="b">
            <v>0</v>
          </cell>
        </row>
        <row r="107">
          <cell r="Z107" t="b">
            <v>0</v>
          </cell>
          <cell r="AA107" t="b">
            <v>0</v>
          </cell>
          <cell r="AB107" t="b">
            <v>0</v>
          </cell>
          <cell r="AC107" t="b">
            <v>0</v>
          </cell>
          <cell r="AD107" t="b">
            <v>0</v>
          </cell>
        </row>
        <row r="108">
          <cell r="Z108" t="b">
            <v>0</v>
          </cell>
          <cell r="AA108" t="b">
            <v>0</v>
          </cell>
          <cell r="AB108" t="b">
            <v>0</v>
          </cell>
          <cell r="AC108" t="b">
            <v>0</v>
          </cell>
          <cell r="AD108" t="b">
            <v>0</v>
          </cell>
        </row>
        <row r="109">
          <cell r="Z109" t="b">
            <v>0</v>
          </cell>
          <cell r="AA109" t="b">
            <v>0</v>
          </cell>
          <cell r="AB109" t="b">
            <v>0</v>
          </cell>
          <cell r="AC109" t="b">
            <v>0</v>
          </cell>
          <cell r="AD109" t="b">
            <v>0</v>
          </cell>
        </row>
        <row r="110">
          <cell r="Z110" t="b">
            <v>0</v>
          </cell>
          <cell r="AA110" t="b">
            <v>0</v>
          </cell>
          <cell r="AB110" t="b">
            <v>0</v>
          </cell>
          <cell r="AC110" t="b">
            <v>0</v>
          </cell>
          <cell r="AD110" t="b">
            <v>0</v>
          </cell>
        </row>
        <row r="111">
          <cell r="Z111" t="b">
            <v>0</v>
          </cell>
          <cell r="AA111" t="b">
            <v>0</v>
          </cell>
          <cell r="AB111" t="b">
            <v>0</v>
          </cell>
          <cell r="AC111" t="b">
            <v>0</v>
          </cell>
          <cell r="AD111" t="b">
            <v>0</v>
          </cell>
        </row>
        <row r="112">
          <cell r="Z112" t="b">
            <v>0</v>
          </cell>
          <cell r="AA112" t="b">
            <v>0</v>
          </cell>
          <cell r="AB112" t="b">
            <v>0</v>
          </cell>
          <cell r="AC112" t="b">
            <v>0</v>
          </cell>
          <cell r="AD112" t="b">
            <v>0</v>
          </cell>
        </row>
        <row r="113">
          <cell r="Z113" t="b">
            <v>0</v>
          </cell>
          <cell r="AA113" t="b">
            <v>0</v>
          </cell>
          <cell r="AB113" t="b">
            <v>0</v>
          </cell>
          <cell r="AC113" t="b">
            <v>0</v>
          </cell>
          <cell r="AD113" t="b">
            <v>0</v>
          </cell>
        </row>
        <row r="114">
          <cell r="Z114" t="b">
            <v>0</v>
          </cell>
          <cell r="AA114" t="b">
            <v>0</v>
          </cell>
          <cell r="AB114" t="b">
            <v>0</v>
          </cell>
          <cell r="AC114" t="b">
            <v>0</v>
          </cell>
          <cell r="AD114" t="b">
            <v>0</v>
          </cell>
        </row>
        <row r="115">
          <cell r="Z115" t="b">
            <v>0</v>
          </cell>
          <cell r="AA115" t="b">
            <v>0</v>
          </cell>
          <cell r="AB115" t="b">
            <v>0</v>
          </cell>
          <cell r="AC115" t="b">
            <v>0</v>
          </cell>
          <cell r="AD115" t="b">
            <v>0</v>
          </cell>
        </row>
        <row r="116">
          <cell r="Z116" t="b">
            <v>0</v>
          </cell>
          <cell r="AA116" t="b">
            <v>0</v>
          </cell>
          <cell r="AB116" t="b">
            <v>0</v>
          </cell>
          <cell r="AC116" t="b">
            <v>0</v>
          </cell>
          <cell r="AD116" t="b">
            <v>0</v>
          </cell>
        </row>
        <row r="117">
          <cell r="Z117" t="b">
            <v>0</v>
          </cell>
          <cell r="AA117" t="b">
            <v>0</v>
          </cell>
          <cell r="AB117" t="b">
            <v>0</v>
          </cell>
          <cell r="AC117" t="b">
            <v>0</v>
          </cell>
          <cell r="AD117" t="b">
            <v>0</v>
          </cell>
        </row>
        <row r="118">
          <cell r="Z118" t="b">
            <v>0</v>
          </cell>
          <cell r="AA118" t="b">
            <v>0</v>
          </cell>
          <cell r="AB118" t="b">
            <v>0</v>
          </cell>
          <cell r="AC118" t="b">
            <v>0</v>
          </cell>
          <cell r="AD118" t="b">
            <v>0</v>
          </cell>
        </row>
        <row r="119">
          <cell r="Z119" t="b">
            <v>0</v>
          </cell>
          <cell r="AA119" t="b">
            <v>0</v>
          </cell>
          <cell r="AB119" t="b">
            <v>0</v>
          </cell>
          <cell r="AC119" t="b">
            <v>0</v>
          </cell>
          <cell r="AD119" t="b">
            <v>0</v>
          </cell>
        </row>
        <row r="120">
          <cell r="Z120" t="b">
            <v>0</v>
          </cell>
          <cell r="AA120" t="b">
            <v>0</v>
          </cell>
          <cell r="AB120" t="b">
            <v>0</v>
          </cell>
          <cell r="AC120" t="b">
            <v>0</v>
          </cell>
          <cell r="AD120" t="b">
            <v>0</v>
          </cell>
        </row>
        <row r="121">
          <cell r="Z121" t="b">
            <v>0</v>
          </cell>
          <cell r="AA121" t="b">
            <v>0</v>
          </cell>
          <cell r="AB121" t="b">
            <v>0</v>
          </cell>
          <cell r="AC121" t="b">
            <v>0</v>
          </cell>
          <cell r="AD121" t="b">
            <v>0</v>
          </cell>
        </row>
        <row r="122">
          <cell r="Z122" t="b">
            <v>0</v>
          </cell>
          <cell r="AA122" t="b">
            <v>0</v>
          </cell>
          <cell r="AB122" t="b">
            <v>0</v>
          </cell>
          <cell r="AC122" t="b">
            <v>0</v>
          </cell>
          <cell r="AD122" t="b">
            <v>0</v>
          </cell>
        </row>
        <row r="123">
          <cell r="Z123" t="b">
            <v>0</v>
          </cell>
          <cell r="AA123" t="b">
            <v>0</v>
          </cell>
          <cell r="AB123" t="b">
            <v>0</v>
          </cell>
          <cell r="AC123" t="b">
            <v>0</v>
          </cell>
          <cell r="AD123" t="b">
            <v>0</v>
          </cell>
        </row>
        <row r="124">
          <cell r="Z124" t="b">
            <v>0</v>
          </cell>
          <cell r="AA124" t="b">
            <v>0</v>
          </cell>
          <cell r="AB124" t="b">
            <v>0</v>
          </cell>
          <cell r="AC124" t="b">
            <v>0</v>
          </cell>
          <cell r="AD124" t="b">
            <v>0</v>
          </cell>
        </row>
        <row r="125">
          <cell r="Z125" t="b">
            <v>0</v>
          </cell>
          <cell r="AA125" t="b">
            <v>0</v>
          </cell>
          <cell r="AB125" t="b">
            <v>0</v>
          </cell>
          <cell r="AC125" t="b">
            <v>0</v>
          </cell>
          <cell r="AD125" t="b">
            <v>0</v>
          </cell>
        </row>
        <row r="126">
          <cell r="Z126" t="b">
            <v>0</v>
          </cell>
          <cell r="AA126" t="b">
            <v>0</v>
          </cell>
          <cell r="AB126" t="b">
            <v>0</v>
          </cell>
          <cell r="AC126" t="b">
            <v>0</v>
          </cell>
          <cell r="AD126" t="b">
            <v>0</v>
          </cell>
        </row>
        <row r="127">
          <cell r="Z127" t="b">
            <v>0</v>
          </cell>
          <cell r="AA127" t="b">
            <v>0</v>
          </cell>
          <cell r="AB127" t="b">
            <v>0</v>
          </cell>
          <cell r="AC127" t="b">
            <v>0</v>
          </cell>
          <cell r="AD127" t="b">
            <v>0</v>
          </cell>
        </row>
        <row r="128">
          <cell r="Z128" t="b">
            <v>0</v>
          </cell>
          <cell r="AA128" t="b">
            <v>0</v>
          </cell>
          <cell r="AB128" t="b">
            <v>0</v>
          </cell>
          <cell r="AC128" t="b">
            <v>0</v>
          </cell>
          <cell r="AD128" t="b">
            <v>0</v>
          </cell>
        </row>
        <row r="129">
          <cell r="Z129" t="b">
            <v>0</v>
          </cell>
          <cell r="AA129" t="b">
            <v>0</v>
          </cell>
          <cell r="AB129" t="b">
            <v>0</v>
          </cell>
          <cell r="AC129" t="b">
            <v>0</v>
          </cell>
          <cell r="AD129" t="b">
            <v>0</v>
          </cell>
        </row>
        <row r="130">
          <cell r="Z130" t="b">
            <v>0</v>
          </cell>
          <cell r="AA130" t="b">
            <v>0</v>
          </cell>
          <cell r="AB130" t="b">
            <v>0</v>
          </cell>
          <cell r="AC130" t="b">
            <v>0</v>
          </cell>
          <cell r="AD130" t="b">
            <v>0</v>
          </cell>
        </row>
        <row r="131">
          <cell r="Z131" t="b">
            <v>0</v>
          </cell>
          <cell r="AA131" t="b">
            <v>0</v>
          </cell>
          <cell r="AB131" t="b">
            <v>0</v>
          </cell>
          <cell r="AC131" t="b">
            <v>0</v>
          </cell>
          <cell r="AD131" t="b">
            <v>0</v>
          </cell>
        </row>
        <row r="132">
          <cell r="Z132" t="b">
            <v>0</v>
          </cell>
          <cell r="AA132" t="b">
            <v>0</v>
          </cell>
          <cell r="AB132" t="b">
            <v>0</v>
          </cell>
          <cell r="AC132" t="b">
            <v>0</v>
          </cell>
          <cell r="AD132" t="b">
            <v>0</v>
          </cell>
        </row>
        <row r="133">
          <cell r="Z133" t="b">
            <v>0</v>
          </cell>
          <cell r="AA133" t="b">
            <v>0</v>
          </cell>
          <cell r="AB133" t="b">
            <v>0</v>
          </cell>
          <cell r="AC133" t="b">
            <v>0</v>
          </cell>
          <cell r="AD133" t="b">
            <v>0</v>
          </cell>
        </row>
        <row r="134">
          <cell r="Z134" t="b">
            <v>0</v>
          </cell>
          <cell r="AA134" t="b">
            <v>0</v>
          </cell>
          <cell r="AB134" t="b">
            <v>0</v>
          </cell>
          <cell r="AC134" t="b">
            <v>0</v>
          </cell>
          <cell r="AD134" t="b">
            <v>0</v>
          </cell>
        </row>
        <row r="135">
          <cell r="Z135" t="b">
            <v>0</v>
          </cell>
          <cell r="AA135" t="b">
            <v>0</v>
          </cell>
          <cell r="AB135" t="b">
            <v>0</v>
          </cell>
          <cell r="AC135" t="b">
            <v>0</v>
          </cell>
          <cell r="AD135" t="b">
            <v>0</v>
          </cell>
        </row>
        <row r="136">
          <cell r="Z136" t="b">
            <v>0</v>
          </cell>
          <cell r="AA136" t="b">
            <v>0</v>
          </cell>
          <cell r="AB136" t="b">
            <v>0</v>
          </cell>
          <cell r="AC136" t="b">
            <v>0</v>
          </cell>
          <cell r="AD136" t="b">
            <v>0</v>
          </cell>
        </row>
        <row r="137">
          <cell r="Z137" t="b">
            <v>0</v>
          </cell>
          <cell r="AA137" t="b">
            <v>0</v>
          </cell>
          <cell r="AB137" t="b">
            <v>0</v>
          </cell>
          <cell r="AC137" t="b">
            <v>0</v>
          </cell>
          <cell r="AD137" t="b">
            <v>0</v>
          </cell>
        </row>
        <row r="138">
          <cell r="Z138" t="b">
            <v>0</v>
          </cell>
          <cell r="AA138" t="b">
            <v>0</v>
          </cell>
          <cell r="AB138" t="b">
            <v>0</v>
          </cell>
          <cell r="AC138" t="b">
            <v>0</v>
          </cell>
          <cell r="AD138" t="b">
            <v>0</v>
          </cell>
        </row>
        <row r="139">
          <cell r="Z139" t="b">
            <v>0</v>
          </cell>
          <cell r="AA139" t="b">
            <v>0</v>
          </cell>
          <cell r="AB139" t="b">
            <v>0</v>
          </cell>
          <cell r="AC139" t="b">
            <v>0</v>
          </cell>
          <cell r="AD139" t="b">
            <v>0</v>
          </cell>
        </row>
        <row r="140">
          <cell r="Z140" t="b">
            <v>0</v>
          </cell>
          <cell r="AA140" t="b">
            <v>0</v>
          </cell>
          <cell r="AB140" t="b">
            <v>0</v>
          </cell>
          <cell r="AC140" t="b">
            <v>0</v>
          </cell>
          <cell r="AD140" t="b">
            <v>0</v>
          </cell>
        </row>
        <row r="141">
          <cell r="Z141" t="b">
            <v>0</v>
          </cell>
          <cell r="AA141" t="b">
            <v>0</v>
          </cell>
          <cell r="AB141" t="b">
            <v>0</v>
          </cell>
          <cell r="AC141" t="b">
            <v>0</v>
          </cell>
          <cell r="AD141" t="b">
            <v>0</v>
          </cell>
        </row>
        <row r="142">
          <cell r="Z142" t="b">
            <v>0</v>
          </cell>
          <cell r="AA142" t="b">
            <v>0</v>
          </cell>
          <cell r="AB142" t="b">
            <v>0</v>
          </cell>
          <cell r="AC142" t="b">
            <v>0</v>
          </cell>
          <cell r="AD142" t="b">
            <v>0</v>
          </cell>
        </row>
        <row r="143">
          <cell r="Z143" t="b">
            <v>0</v>
          </cell>
          <cell r="AA143" t="b">
            <v>0</v>
          </cell>
          <cell r="AB143" t="b">
            <v>0</v>
          </cell>
          <cell r="AC143" t="b">
            <v>0</v>
          </cell>
          <cell r="AD143" t="b">
            <v>0</v>
          </cell>
        </row>
        <row r="144">
          <cell r="Z144" t="b">
            <v>0</v>
          </cell>
          <cell r="AA144" t="b">
            <v>0</v>
          </cell>
          <cell r="AB144" t="b">
            <v>0</v>
          </cell>
          <cell r="AC144" t="b">
            <v>0</v>
          </cell>
          <cell r="AD144" t="b">
            <v>0</v>
          </cell>
        </row>
        <row r="145">
          <cell r="Z145" t="b">
            <v>0</v>
          </cell>
          <cell r="AA145" t="b">
            <v>0</v>
          </cell>
          <cell r="AB145" t="b">
            <v>0</v>
          </cell>
          <cell r="AC145" t="b">
            <v>0</v>
          </cell>
          <cell r="AD145" t="b">
            <v>0</v>
          </cell>
        </row>
        <row r="146">
          <cell r="Z146" t="b">
            <v>0</v>
          </cell>
          <cell r="AA146" t="b">
            <v>0</v>
          </cell>
          <cell r="AB146" t="b">
            <v>0</v>
          </cell>
          <cell r="AC146" t="b">
            <v>0</v>
          </cell>
          <cell r="AD146" t="b">
            <v>0</v>
          </cell>
        </row>
        <row r="147">
          <cell r="Z147" t="b">
            <v>0</v>
          </cell>
          <cell r="AA147" t="b">
            <v>0</v>
          </cell>
          <cell r="AB147" t="b">
            <v>0</v>
          </cell>
          <cell r="AC147" t="b">
            <v>0</v>
          </cell>
          <cell r="AD147" t="b">
            <v>0</v>
          </cell>
        </row>
        <row r="148">
          <cell r="Z148" t="b">
            <v>0</v>
          </cell>
          <cell r="AA148" t="b">
            <v>0</v>
          </cell>
          <cell r="AB148" t="b">
            <v>0</v>
          </cell>
          <cell r="AC148" t="b">
            <v>0</v>
          </cell>
          <cell r="AD148" t="b">
            <v>0</v>
          </cell>
        </row>
        <row r="149">
          <cell r="Z149" t="b">
            <v>0</v>
          </cell>
          <cell r="AA149" t="b">
            <v>0</v>
          </cell>
          <cell r="AB149" t="b">
            <v>0</v>
          </cell>
          <cell r="AC149" t="b">
            <v>0</v>
          </cell>
          <cell r="AD149" t="b">
            <v>0</v>
          </cell>
        </row>
        <row r="150">
          <cell r="Z150" t="b">
            <v>0</v>
          </cell>
          <cell r="AA150" t="b">
            <v>0</v>
          </cell>
          <cell r="AB150" t="b">
            <v>0</v>
          </cell>
          <cell r="AC150" t="b">
            <v>0</v>
          </cell>
          <cell r="AD150" t="b">
            <v>0</v>
          </cell>
        </row>
        <row r="151">
          <cell r="Z151" t="b">
            <v>0</v>
          </cell>
          <cell r="AA151" t="b">
            <v>0</v>
          </cell>
          <cell r="AB151" t="b">
            <v>0</v>
          </cell>
          <cell r="AC151" t="b">
            <v>0</v>
          </cell>
          <cell r="AD151" t="b">
            <v>0</v>
          </cell>
        </row>
        <row r="152">
          <cell r="Z152" t="b">
            <v>0</v>
          </cell>
          <cell r="AA152" t="b">
            <v>0</v>
          </cell>
          <cell r="AB152" t="b">
            <v>0</v>
          </cell>
          <cell r="AC152" t="b">
            <v>0</v>
          </cell>
          <cell r="AD152" t="b">
            <v>0</v>
          </cell>
        </row>
        <row r="153">
          <cell r="Z153" t="b">
            <v>0</v>
          </cell>
          <cell r="AA153" t="b">
            <v>0</v>
          </cell>
          <cell r="AB153" t="b">
            <v>0</v>
          </cell>
          <cell r="AC153" t="b">
            <v>0</v>
          </cell>
          <cell r="AD153" t="b">
            <v>0</v>
          </cell>
        </row>
        <row r="154">
          <cell r="Z154" t="b">
            <v>0</v>
          </cell>
          <cell r="AA154" t="b">
            <v>0</v>
          </cell>
          <cell r="AB154" t="b">
            <v>0</v>
          </cell>
          <cell r="AC154" t="b">
            <v>0</v>
          </cell>
          <cell r="AD154" t="b">
            <v>0</v>
          </cell>
        </row>
        <row r="155">
          <cell r="Z155" t="b">
            <v>0</v>
          </cell>
          <cell r="AA155" t="b">
            <v>0</v>
          </cell>
          <cell r="AB155" t="b">
            <v>0</v>
          </cell>
          <cell r="AC155" t="b">
            <v>0</v>
          </cell>
          <cell r="AD155" t="b">
            <v>0</v>
          </cell>
        </row>
        <row r="156">
          <cell r="Z156" t="b">
            <v>0</v>
          </cell>
          <cell r="AA156" t="b">
            <v>0</v>
          </cell>
          <cell r="AB156" t="b">
            <v>0</v>
          </cell>
          <cell r="AC156" t="b">
            <v>0</v>
          </cell>
          <cell r="AD156" t="b">
            <v>0</v>
          </cell>
        </row>
        <row r="157">
          <cell r="Z157" t="b">
            <v>0</v>
          </cell>
          <cell r="AA157" t="b">
            <v>0</v>
          </cell>
          <cell r="AB157" t="b">
            <v>0</v>
          </cell>
          <cell r="AC157" t="b">
            <v>0</v>
          </cell>
          <cell r="AD157" t="b">
            <v>0</v>
          </cell>
        </row>
        <row r="158">
          <cell r="Z158" t="b">
            <v>0</v>
          </cell>
          <cell r="AA158" t="b">
            <v>0</v>
          </cell>
          <cell r="AB158" t="b">
            <v>0</v>
          </cell>
          <cell r="AC158" t="b">
            <v>0</v>
          </cell>
          <cell r="AD158" t="b">
            <v>0</v>
          </cell>
        </row>
        <row r="159">
          <cell r="Z159" t="b">
            <v>0</v>
          </cell>
          <cell r="AA159" t="b">
            <v>0</v>
          </cell>
          <cell r="AB159" t="b">
            <v>0</v>
          </cell>
          <cell r="AC159" t="b">
            <v>0</v>
          </cell>
          <cell r="AD159" t="b">
            <v>0</v>
          </cell>
        </row>
        <row r="160">
          <cell r="Z160" t="b">
            <v>0</v>
          </cell>
          <cell r="AA160" t="b">
            <v>0</v>
          </cell>
          <cell r="AB160" t="b">
            <v>0</v>
          </cell>
          <cell r="AC160" t="b">
            <v>0</v>
          </cell>
          <cell r="AD160" t="b">
            <v>0</v>
          </cell>
        </row>
        <row r="161">
          <cell r="Z161" t="b">
            <v>0</v>
          </cell>
          <cell r="AA161" t="b">
            <v>0</v>
          </cell>
          <cell r="AB161" t="b">
            <v>0</v>
          </cell>
          <cell r="AC161" t="b">
            <v>0</v>
          </cell>
          <cell r="AD161" t="b">
            <v>0</v>
          </cell>
        </row>
        <row r="162">
          <cell r="Z162" t="b">
            <v>0</v>
          </cell>
          <cell r="AA162" t="b">
            <v>0</v>
          </cell>
          <cell r="AB162" t="b">
            <v>0</v>
          </cell>
          <cell r="AC162" t="b">
            <v>0</v>
          </cell>
          <cell r="AD162" t="b">
            <v>0</v>
          </cell>
        </row>
        <row r="163">
          <cell r="Z163" t="b">
            <v>0</v>
          </cell>
          <cell r="AA163" t="b">
            <v>0</v>
          </cell>
          <cell r="AB163" t="b">
            <v>0</v>
          </cell>
          <cell r="AC163" t="b">
            <v>0</v>
          </cell>
          <cell r="AD163" t="b">
            <v>0</v>
          </cell>
        </row>
        <row r="164">
          <cell r="Z164" t="b">
            <v>0</v>
          </cell>
          <cell r="AA164" t="b">
            <v>0</v>
          </cell>
          <cell r="AB164" t="b">
            <v>0</v>
          </cell>
          <cell r="AC164" t="b">
            <v>0</v>
          </cell>
          <cell r="AD164" t="b">
            <v>0</v>
          </cell>
        </row>
        <row r="165">
          <cell r="Z165" t="b">
            <v>0</v>
          </cell>
          <cell r="AA165" t="b">
            <v>0</v>
          </cell>
          <cell r="AB165" t="b">
            <v>0</v>
          </cell>
          <cell r="AC165" t="b">
            <v>0</v>
          </cell>
          <cell r="AD165" t="b">
            <v>0</v>
          </cell>
        </row>
        <row r="166">
          <cell r="Z166" t="b">
            <v>0</v>
          </cell>
          <cell r="AA166" t="b">
            <v>0</v>
          </cell>
          <cell r="AB166" t="b">
            <v>0</v>
          </cell>
          <cell r="AC166" t="b">
            <v>0</v>
          </cell>
          <cell r="AD166" t="b">
            <v>0</v>
          </cell>
        </row>
        <row r="167">
          <cell r="Z167" t="b">
            <v>0</v>
          </cell>
          <cell r="AA167" t="b">
            <v>0</v>
          </cell>
          <cell r="AB167" t="b">
            <v>0</v>
          </cell>
          <cell r="AC167" t="b">
            <v>0</v>
          </cell>
          <cell r="AD167" t="b">
            <v>0</v>
          </cell>
        </row>
        <row r="168">
          <cell r="Z168" t="b">
            <v>0</v>
          </cell>
          <cell r="AA168" t="b">
            <v>0</v>
          </cell>
          <cell r="AB168" t="b">
            <v>0</v>
          </cell>
          <cell r="AC168" t="b">
            <v>0</v>
          </cell>
          <cell r="AD168" t="b">
            <v>0</v>
          </cell>
        </row>
        <row r="169">
          <cell r="Z169" t="b">
            <v>0</v>
          </cell>
          <cell r="AA169" t="b">
            <v>0</v>
          </cell>
          <cell r="AB169" t="b">
            <v>0</v>
          </cell>
          <cell r="AC169" t="b">
            <v>0</v>
          </cell>
          <cell r="AD169" t="b">
            <v>0</v>
          </cell>
        </row>
        <row r="170">
          <cell r="Z170" t="b">
            <v>0</v>
          </cell>
          <cell r="AA170" t="b">
            <v>0</v>
          </cell>
          <cell r="AB170" t="b">
            <v>0</v>
          </cell>
          <cell r="AC170" t="b">
            <v>0</v>
          </cell>
          <cell r="AD170" t="b">
            <v>0</v>
          </cell>
        </row>
        <row r="171">
          <cell r="Z171" t="b">
            <v>0</v>
          </cell>
          <cell r="AA171" t="b">
            <v>0</v>
          </cell>
          <cell r="AB171" t="b">
            <v>0</v>
          </cell>
          <cell r="AC171" t="b">
            <v>0</v>
          </cell>
          <cell r="AD171" t="b">
            <v>0</v>
          </cell>
        </row>
        <row r="172">
          <cell r="Z172" t="b">
            <v>0</v>
          </cell>
          <cell r="AA172" t="b">
            <v>0</v>
          </cell>
          <cell r="AB172" t="b">
            <v>0</v>
          </cell>
          <cell r="AC172" t="b">
            <v>0</v>
          </cell>
          <cell r="AD172" t="b">
            <v>0</v>
          </cell>
        </row>
        <row r="173">
          <cell r="Z173" t="b">
            <v>0</v>
          </cell>
          <cell r="AA173" t="b">
            <v>0</v>
          </cell>
          <cell r="AB173" t="b">
            <v>0</v>
          </cell>
          <cell r="AC173" t="b">
            <v>0</v>
          </cell>
          <cell r="AD173" t="b">
            <v>0</v>
          </cell>
        </row>
        <row r="174">
          <cell r="Z174" t="b">
            <v>0</v>
          </cell>
          <cell r="AA174" t="b">
            <v>0</v>
          </cell>
          <cell r="AB174" t="b">
            <v>0</v>
          </cell>
          <cell r="AC174" t="b">
            <v>0</v>
          </cell>
          <cell r="AD174" t="b">
            <v>0</v>
          </cell>
        </row>
        <row r="175">
          <cell r="Z175" t="b">
            <v>0</v>
          </cell>
          <cell r="AA175" t="b">
            <v>0</v>
          </cell>
          <cell r="AB175" t="b">
            <v>0</v>
          </cell>
          <cell r="AC175" t="b">
            <v>0</v>
          </cell>
          <cell r="AD175" t="b">
            <v>0</v>
          </cell>
        </row>
        <row r="176">
          <cell r="Z176" t="b">
            <v>0</v>
          </cell>
          <cell r="AA176" t="b">
            <v>0</v>
          </cell>
          <cell r="AB176" t="b">
            <v>0</v>
          </cell>
          <cell r="AC176" t="b">
            <v>0</v>
          </cell>
          <cell r="AD176" t="b">
            <v>0</v>
          </cell>
        </row>
        <row r="177">
          <cell r="Z177" t="b">
            <v>0</v>
          </cell>
          <cell r="AA177" t="b">
            <v>0</v>
          </cell>
          <cell r="AB177" t="b">
            <v>0</v>
          </cell>
          <cell r="AC177" t="b">
            <v>0</v>
          </cell>
          <cell r="AD177" t="b">
            <v>0</v>
          </cell>
        </row>
        <row r="178">
          <cell r="Z178" t="b">
            <v>0</v>
          </cell>
          <cell r="AA178" t="b">
            <v>0</v>
          </cell>
          <cell r="AB178" t="b">
            <v>0</v>
          </cell>
          <cell r="AC178" t="b">
            <v>0</v>
          </cell>
          <cell r="AD178" t="b">
            <v>0</v>
          </cell>
        </row>
        <row r="179">
          <cell r="Z179" t="b">
            <v>0</v>
          </cell>
          <cell r="AA179" t="b">
            <v>0</v>
          </cell>
          <cell r="AB179" t="b">
            <v>0</v>
          </cell>
          <cell r="AC179" t="b">
            <v>0</v>
          </cell>
          <cell r="AD179" t="b">
            <v>0</v>
          </cell>
        </row>
        <row r="180">
          <cell r="Z180" t="b">
            <v>0</v>
          </cell>
          <cell r="AA180" t="b">
            <v>0</v>
          </cell>
          <cell r="AB180" t="b">
            <v>0</v>
          </cell>
          <cell r="AC180" t="b">
            <v>0</v>
          </cell>
          <cell r="AD180" t="b">
            <v>0</v>
          </cell>
        </row>
        <row r="181">
          <cell r="Z181" t="b">
            <v>0</v>
          </cell>
          <cell r="AA181" t="b">
            <v>0</v>
          </cell>
          <cell r="AB181" t="b">
            <v>0</v>
          </cell>
          <cell r="AC181" t="b">
            <v>0</v>
          </cell>
          <cell r="AD181" t="b">
            <v>0</v>
          </cell>
        </row>
        <row r="182">
          <cell r="Z182" t="b">
            <v>0</v>
          </cell>
          <cell r="AA182" t="b">
            <v>0</v>
          </cell>
          <cell r="AB182" t="b">
            <v>0</v>
          </cell>
          <cell r="AC182" t="b">
            <v>0</v>
          </cell>
          <cell r="AD182" t="b">
            <v>0</v>
          </cell>
        </row>
        <row r="183">
          <cell r="Z183" t="b">
            <v>0</v>
          </cell>
          <cell r="AA183" t="b">
            <v>0</v>
          </cell>
          <cell r="AB183" t="b">
            <v>0</v>
          </cell>
          <cell r="AC183" t="b">
            <v>0</v>
          </cell>
          <cell r="AD183" t="b">
            <v>0</v>
          </cell>
        </row>
        <row r="184">
          <cell r="Z184" t="b">
            <v>0</v>
          </cell>
          <cell r="AA184" t="b">
            <v>0</v>
          </cell>
          <cell r="AB184" t="b">
            <v>0</v>
          </cell>
          <cell r="AC184" t="b">
            <v>0</v>
          </cell>
          <cell r="AD184" t="b">
            <v>0</v>
          </cell>
        </row>
        <row r="185">
          <cell r="Z185" t="b">
            <v>0</v>
          </cell>
          <cell r="AA185" t="b">
            <v>0</v>
          </cell>
          <cell r="AB185" t="b">
            <v>0</v>
          </cell>
          <cell r="AC185" t="b">
            <v>0</v>
          </cell>
          <cell r="AD185" t="b">
            <v>0</v>
          </cell>
        </row>
        <row r="186">
          <cell r="Z186" t="b">
            <v>0</v>
          </cell>
          <cell r="AA186" t="b">
            <v>0</v>
          </cell>
          <cell r="AB186" t="b">
            <v>0</v>
          </cell>
          <cell r="AC186" t="b">
            <v>0</v>
          </cell>
          <cell r="AD186" t="b">
            <v>0</v>
          </cell>
        </row>
        <row r="187">
          <cell r="Z187" t="b">
            <v>0</v>
          </cell>
          <cell r="AA187" t="b">
            <v>0</v>
          </cell>
          <cell r="AB187" t="b">
            <v>0</v>
          </cell>
          <cell r="AC187" t="b">
            <v>0</v>
          </cell>
          <cell r="AD187" t="b">
            <v>0</v>
          </cell>
        </row>
        <row r="188">
          <cell r="Z188" t="b">
            <v>0</v>
          </cell>
          <cell r="AA188" t="b">
            <v>0</v>
          </cell>
          <cell r="AB188" t="b">
            <v>0</v>
          </cell>
          <cell r="AC188" t="b">
            <v>0</v>
          </cell>
          <cell r="AD188" t="b">
            <v>0</v>
          </cell>
        </row>
        <row r="189">
          <cell r="Z189" t="b">
            <v>0</v>
          </cell>
          <cell r="AA189" t="b">
            <v>0</v>
          </cell>
          <cell r="AB189" t="b">
            <v>0</v>
          </cell>
          <cell r="AC189" t="b">
            <v>0</v>
          </cell>
          <cell r="AD189" t="b">
            <v>0</v>
          </cell>
        </row>
        <row r="190">
          <cell r="Z190" t="b">
            <v>0</v>
          </cell>
          <cell r="AA190" t="b">
            <v>0</v>
          </cell>
          <cell r="AB190" t="b">
            <v>0</v>
          </cell>
          <cell r="AC190" t="b">
            <v>0</v>
          </cell>
          <cell r="AD190" t="b">
            <v>0</v>
          </cell>
        </row>
        <row r="191">
          <cell r="Z191" t="b">
            <v>0</v>
          </cell>
          <cell r="AA191" t="b">
            <v>0</v>
          </cell>
          <cell r="AB191" t="b">
            <v>0</v>
          </cell>
          <cell r="AC191" t="b">
            <v>0</v>
          </cell>
          <cell r="AD191" t="b">
            <v>0</v>
          </cell>
        </row>
        <row r="192">
          <cell r="Z192" t="b">
            <v>0</v>
          </cell>
          <cell r="AA192" t="b">
            <v>0</v>
          </cell>
          <cell r="AB192" t="b">
            <v>0</v>
          </cell>
          <cell r="AC192" t="b">
            <v>0</v>
          </cell>
          <cell r="AD192" t="b">
            <v>0</v>
          </cell>
        </row>
        <row r="193">
          <cell r="Z193" t="b">
            <v>0</v>
          </cell>
          <cell r="AA193" t="b">
            <v>0</v>
          </cell>
          <cell r="AB193" t="b">
            <v>0</v>
          </cell>
          <cell r="AC193" t="b">
            <v>0</v>
          </cell>
          <cell r="AD193" t="b">
            <v>0</v>
          </cell>
        </row>
        <row r="194">
          <cell r="Z194" t="b">
            <v>0</v>
          </cell>
          <cell r="AA194" t="b">
            <v>0</v>
          </cell>
          <cell r="AB194" t="b">
            <v>0</v>
          </cell>
          <cell r="AC194" t="b">
            <v>0</v>
          </cell>
          <cell r="AD194" t="b">
            <v>0</v>
          </cell>
        </row>
        <row r="195">
          <cell r="Z195" t="b">
            <v>0</v>
          </cell>
          <cell r="AA195" t="b">
            <v>0</v>
          </cell>
          <cell r="AB195" t="b">
            <v>0</v>
          </cell>
          <cell r="AC195" t="b">
            <v>0</v>
          </cell>
          <cell r="AD195" t="b">
            <v>0</v>
          </cell>
        </row>
        <row r="196">
          <cell r="Z196" t="b">
            <v>0</v>
          </cell>
          <cell r="AA196" t="b">
            <v>0</v>
          </cell>
          <cell r="AB196" t="b">
            <v>0</v>
          </cell>
          <cell r="AC196" t="b">
            <v>0</v>
          </cell>
          <cell r="AD196" t="b">
            <v>0</v>
          </cell>
        </row>
        <row r="197">
          <cell r="Z197" t="b">
            <v>0</v>
          </cell>
          <cell r="AA197" t="b">
            <v>0</v>
          </cell>
          <cell r="AB197" t="b">
            <v>0</v>
          </cell>
          <cell r="AC197" t="b">
            <v>0</v>
          </cell>
          <cell r="AD197" t="b">
            <v>0</v>
          </cell>
        </row>
        <row r="198">
          <cell r="Z198" t="b">
            <v>0</v>
          </cell>
          <cell r="AA198" t="b">
            <v>0</v>
          </cell>
          <cell r="AB198" t="b">
            <v>0</v>
          </cell>
          <cell r="AC198" t="b">
            <v>0</v>
          </cell>
          <cell r="AD198" t="b">
            <v>0</v>
          </cell>
        </row>
        <row r="199">
          <cell r="Z199" t="b">
            <v>0</v>
          </cell>
          <cell r="AA199" t="b">
            <v>0</v>
          </cell>
          <cell r="AB199" t="b">
            <v>0</v>
          </cell>
          <cell r="AC199" t="b">
            <v>0</v>
          </cell>
          <cell r="AD199" t="b">
            <v>0</v>
          </cell>
        </row>
        <row r="200">
          <cell r="Z200" t="b">
            <v>0</v>
          </cell>
          <cell r="AA200" t="b">
            <v>0</v>
          </cell>
          <cell r="AB200" t="b">
            <v>0</v>
          </cell>
          <cell r="AC200" t="b">
            <v>0</v>
          </cell>
          <cell r="AD200" t="b">
            <v>0</v>
          </cell>
        </row>
        <row r="201">
          <cell r="Z201" t="b">
            <v>0</v>
          </cell>
          <cell r="AA201" t="b">
            <v>0</v>
          </cell>
          <cell r="AB201" t="b">
            <v>0</v>
          </cell>
          <cell r="AC201" t="b">
            <v>0</v>
          </cell>
          <cell r="AD201" t="b">
            <v>0</v>
          </cell>
        </row>
        <row r="202">
          <cell r="Z202" t="b">
            <v>0</v>
          </cell>
          <cell r="AA202" t="b">
            <v>0</v>
          </cell>
          <cell r="AB202" t="b">
            <v>0</v>
          </cell>
          <cell r="AC202" t="b">
            <v>0</v>
          </cell>
          <cell r="AD202" t="b">
            <v>0</v>
          </cell>
        </row>
        <row r="203">
          <cell r="Z203" t="b">
            <v>0</v>
          </cell>
          <cell r="AA203" t="b">
            <v>0</v>
          </cell>
          <cell r="AB203" t="b">
            <v>0</v>
          </cell>
          <cell r="AC203" t="b">
            <v>0</v>
          </cell>
          <cell r="AD203" t="b">
            <v>0</v>
          </cell>
        </row>
        <row r="204">
          <cell r="Z204" t="b">
            <v>0</v>
          </cell>
          <cell r="AA204" t="b">
            <v>0</v>
          </cell>
          <cell r="AB204" t="b">
            <v>0</v>
          </cell>
          <cell r="AC204" t="b">
            <v>0</v>
          </cell>
          <cell r="AD204" t="b">
            <v>0</v>
          </cell>
        </row>
        <row r="205">
          <cell r="Z205" t="b">
            <v>0</v>
          </cell>
          <cell r="AA205" t="b">
            <v>0</v>
          </cell>
          <cell r="AB205" t="b">
            <v>0</v>
          </cell>
          <cell r="AC205" t="b">
            <v>0</v>
          </cell>
          <cell r="AD205" t="b">
            <v>0</v>
          </cell>
        </row>
        <row r="206">
          <cell r="Z206" t="b">
            <v>0</v>
          </cell>
          <cell r="AA206" t="b">
            <v>0</v>
          </cell>
          <cell r="AB206" t="b">
            <v>0</v>
          </cell>
          <cell r="AC206" t="b">
            <v>0</v>
          </cell>
          <cell r="AD206" t="b">
            <v>0</v>
          </cell>
        </row>
        <row r="207">
          <cell r="Z207" t="b">
            <v>0</v>
          </cell>
          <cell r="AA207" t="b">
            <v>0</v>
          </cell>
          <cell r="AB207" t="b">
            <v>0</v>
          </cell>
          <cell r="AC207" t="b">
            <v>0</v>
          </cell>
          <cell r="AD207" t="b">
            <v>0</v>
          </cell>
        </row>
        <row r="208">
          <cell r="Z208" t="b">
            <v>0</v>
          </cell>
          <cell r="AA208" t="b">
            <v>0</v>
          </cell>
          <cell r="AB208" t="b">
            <v>0</v>
          </cell>
          <cell r="AC208" t="b">
            <v>0</v>
          </cell>
          <cell r="AD208" t="b">
            <v>0</v>
          </cell>
        </row>
        <row r="209">
          <cell r="Z209" t="b">
            <v>0</v>
          </cell>
          <cell r="AA209" t="b">
            <v>0</v>
          </cell>
          <cell r="AB209" t="b">
            <v>0</v>
          </cell>
          <cell r="AC209" t="b">
            <v>0</v>
          </cell>
          <cell r="AD209" t="b">
            <v>0</v>
          </cell>
        </row>
        <row r="210">
          <cell r="Z210" t="b">
            <v>0</v>
          </cell>
          <cell r="AA210" t="b">
            <v>0</v>
          </cell>
          <cell r="AB210" t="b">
            <v>0</v>
          </cell>
          <cell r="AC210" t="b">
            <v>0</v>
          </cell>
          <cell r="AD210" t="b">
            <v>0</v>
          </cell>
        </row>
        <row r="211">
          <cell r="Z211" t="b">
            <v>0</v>
          </cell>
          <cell r="AA211" t="b">
            <v>0</v>
          </cell>
          <cell r="AB211" t="b">
            <v>0</v>
          </cell>
          <cell r="AC211" t="b">
            <v>0</v>
          </cell>
          <cell r="AD211" t="b">
            <v>0</v>
          </cell>
        </row>
        <row r="212">
          <cell r="Z212" t="b">
            <v>0</v>
          </cell>
          <cell r="AA212" t="b">
            <v>0</v>
          </cell>
          <cell r="AB212" t="b">
            <v>0</v>
          </cell>
          <cell r="AC212" t="b">
            <v>0</v>
          </cell>
          <cell r="AD212" t="b">
            <v>0</v>
          </cell>
        </row>
        <row r="213">
          <cell r="Z213" t="b">
            <v>0</v>
          </cell>
          <cell r="AA213" t="b">
            <v>0</v>
          </cell>
          <cell r="AB213" t="b">
            <v>0</v>
          </cell>
          <cell r="AC213" t="b">
            <v>0</v>
          </cell>
          <cell r="AD213" t="b">
            <v>0</v>
          </cell>
        </row>
        <row r="214">
          <cell r="Z214" t="b">
            <v>0</v>
          </cell>
          <cell r="AA214" t="b">
            <v>0</v>
          </cell>
          <cell r="AB214" t="b">
            <v>0</v>
          </cell>
          <cell r="AC214" t="b">
            <v>0</v>
          </cell>
          <cell r="AD214" t="b">
            <v>0</v>
          </cell>
        </row>
        <row r="215">
          <cell r="Z215" t="b">
            <v>0</v>
          </cell>
          <cell r="AA215" t="b">
            <v>0</v>
          </cell>
          <cell r="AB215" t="b">
            <v>0</v>
          </cell>
          <cell r="AC215" t="b">
            <v>0</v>
          </cell>
          <cell r="AD215" t="b">
            <v>0</v>
          </cell>
        </row>
        <row r="216">
          <cell r="Z216" t="b">
            <v>0</v>
          </cell>
          <cell r="AA216" t="b">
            <v>0</v>
          </cell>
          <cell r="AB216" t="b">
            <v>0</v>
          </cell>
          <cell r="AC216" t="b">
            <v>0</v>
          </cell>
          <cell r="AD216" t="b">
            <v>0</v>
          </cell>
        </row>
        <row r="217">
          <cell r="Z217" t="b">
            <v>0</v>
          </cell>
          <cell r="AA217" t="b">
            <v>0</v>
          </cell>
          <cell r="AB217" t="b">
            <v>0</v>
          </cell>
          <cell r="AC217" t="b">
            <v>0</v>
          </cell>
          <cell r="AD217" t="b">
            <v>0</v>
          </cell>
        </row>
        <row r="218">
          <cell r="Z218" t="b">
            <v>0</v>
          </cell>
          <cell r="AA218" t="b">
            <v>0</v>
          </cell>
          <cell r="AB218" t="b">
            <v>0</v>
          </cell>
          <cell r="AC218" t="b">
            <v>0</v>
          </cell>
          <cell r="AD218" t="b">
            <v>0</v>
          </cell>
        </row>
        <row r="219">
          <cell r="Z219" t="b">
            <v>0</v>
          </cell>
          <cell r="AA219" t="b">
            <v>0</v>
          </cell>
          <cell r="AB219" t="b">
            <v>0</v>
          </cell>
          <cell r="AC219" t="b">
            <v>0</v>
          </cell>
          <cell r="AD219" t="b">
            <v>0</v>
          </cell>
        </row>
        <row r="220">
          <cell r="Z220" t="b">
            <v>0</v>
          </cell>
          <cell r="AA220" t="b">
            <v>0</v>
          </cell>
          <cell r="AB220" t="b">
            <v>0</v>
          </cell>
          <cell r="AC220" t="b">
            <v>0</v>
          </cell>
          <cell r="AD220" t="b">
            <v>0</v>
          </cell>
        </row>
        <row r="221">
          <cell r="Z221" t="b">
            <v>0</v>
          </cell>
          <cell r="AA221" t="b">
            <v>0</v>
          </cell>
          <cell r="AB221" t="b">
            <v>0</v>
          </cell>
          <cell r="AC221" t="b">
            <v>0</v>
          </cell>
          <cell r="AD221" t="b">
            <v>0</v>
          </cell>
        </row>
        <row r="222">
          <cell r="Z222" t="b">
            <v>0</v>
          </cell>
          <cell r="AA222" t="b">
            <v>0</v>
          </cell>
          <cell r="AB222" t="b">
            <v>0</v>
          </cell>
          <cell r="AC222" t="b">
            <v>0</v>
          </cell>
          <cell r="AD222" t="b">
            <v>0</v>
          </cell>
        </row>
        <row r="223">
          <cell r="Z223" t="b">
            <v>0</v>
          </cell>
          <cell r="AA223" t="b">
            <v>0</v>
          </cell>
          <cell r="AB223" t="b">
            <v>0</v>
          </cell>
          <cell r="AC223" t="b">
            <v>0</v>
          </cell>
          <cell r="AD223" t="b">
            <v>0</v>
          </cell>
        </row>
        <row r="224">
          <cell r="Z224" t="b">
            <v>0</v>
          </cell>
          <cell r="AA224" t="b">
            <v>0</v>
          </cell>
          <cell r="AB224" t="b">
            <v>0</v>
          </cell>
          <cell r="AC224" t="b">
            <v>0</v>
          </cell>
          <cell r="AD224" t="b">
            <v>0</v>
          </cell>
        </row>
        <row r="225">
          <cell r="Z225" t="b">
            <v>0</v>
          </cell>
          <cell r="AA225" t="b">
            <v>0</v>
          </cell>
          <cell r="AB225" t="b">
            <v>0</v>
          </cell>
          <cell r="AC225" t="b">
            <v>0</v>
          </cell>
          <cell r="AD225" t="b">
            <v>0</v>
          </cell>
        </row>
        <row r="226">
          <cell r="Z226" t="b">
            <v>0</v>
          </cell>
          <cell r="AA226" t="b">
            <v>0</v>
          </cell>
          <cell r="AB226" t="b">
            <v>0</v>
          </cell>
          <cell r="AC226" t="b">
            <v>0</v>
          </cell>
          <cell r="AD226" t="b">
            <v>0</v>
          </cell>
        </row>
        <row r="227">
          <cell r="Z227" t="b">
            <v>0</v>
          </cell>
          <cell r="AA227" t="b">
            <v>0</v>
          </cell>
          <cell r="AB227" t="b">
            <v>0</v>
          </cell>
          <cell r="AC227" t="b">
            <v>0</v>
          </cell>
          <cell r="AD227" t="b">
            <v>0</v>
          </cell>
        </row>
        <row r="228">
          <cell r="Z228" t="b">
            <v>0</v>
          </cell>
          <cell r="AA228" t="b">
            <v>0</v>
          </cell>
          <cell r="AB228" t="b">
            <v>0</v>
          </cell>
          <cell r="AC228" t="b">
            <v>0</v>
          </cell>
          <cell r="AD228" t="b">
            <v>0</v>
          </cell>
        </row>
        <row r="229">
          <cell r="Z229" t="b">
            <v>0</v>
          </cell>
          <cell r="AA229" t="b">
            <v>0</v>
          </cell>
          <cell r="AB229" t="b">
            <v>0</v>
          </cell>
          <cell r="AC229" t="b">
            <v>0</v>
          </cell>
          <cell r="AD229" t="b">
            <v>0</v>
          </cell>
        </row>
        <row r="230">
          <cell r="Z230" t="b">
            <v>0</v>
          </cell>
          <cell r="AA230" t="b">
            <v>0</v>
          </cell>
          <cell r="AB230" t="b">
            <v>0</v>
          </cell>
          <cell r="AC230" t="b">
            <v>0</v>
          </cell>
          <cell r="AD230" t="b">
            <v>0</v>
          </cell>
        </row>
        <row r="231">
          <cell r="Z231" t="b">
            <v>0</v>
          </cell>
          <cell r="AA231" t="b">
            <v>0</v>
          </cell>
          <cell r="AB231" t="b">
            <v>0</v>
          </cell>
          <cell r="AC231" t="b">
            <v>0</v>
          </cell>
          <cell r="AD231" t="b">
            <v>0</v>
          </cell>
        </row>
        <row r="232">
          <cell r="Z232" t="b">
            <v>0</v>
          </cell>
          <cell r="AA232" t="b">
            <v>0</v>
          </cell>
          <cell r="AB232" t="b">
            <v>0</v>
          </cell>
          <cell r="AC232" t="b">
            <v>0</v>
          </cell>
          <cell r="AD232" t="b">
            <v>0</v>
          </cell>
        </row>
        <row r="233">
          <cell r="Z233" t="b">
            <v>0</v>
          </cell>
          <cell r="AA233" t="b">
            <v>0</v>
          </cell>
          <cell r="AB233" t="b">
            <v>0</v>
          </cell>
          <cell r="AC233" t="b">
            <v>0</v>
          </cell>
          <cell r="AD233" t="b">
            <v>0</v>
          </cell>
        </row>
        <row r="234">
          <cell r="Z234" t="b">
            <v>0</v>
          </cell>
          <cell r="AA234" t="b">
            <v>0</v>
          </cell>
          <cell r="AB234" t="b">
            <v>0</v>
          </cell>
          <cell r="AC234" t="b">
            <v>0</v>
          </cell>
          <cell r="AD234" t="b">
            <v>0</v>
          </cell>
        </row>
        <row r="235">
          <cell r="Z235" t="b">
            <v>0</v>
          </cell>
          <cell r="AA235" t="b">
            <v>0</v>
          </cell>
          <cell r="AB235" t="b">
            <v>0</v>
          </cell>
          <cell r="AC235" t="b">
            <v>0</v>
          </cell>
          <cell r="AD235" t="b">
            <v>0</v>
          </cell>
        </row>
        <row r="236">
          <cell r="Z236" t="b">
            <v>0</v>
          </cell>
          <cell r="AA236" t="b">
            <v>0</v>
          </cell>
          <cell r="AB236" t="b">
            <v>0</v>
          </cell>
          <cell r="AC236" t="b">
            <v>0</v>
          </cell>
          <cell r="AD236" t="b">
            <v>0</v>
          </cell>
        </row>
        <row r="237">
          <cell r="Z237" t="b">
            <v>0</v>
          </cell>
          <cell r="AA237" t="b">
            <v>0</v>
          </cell>
          <cell r="AB237" t="b">
            <v>0</v>
          </cell>
          <cell r="AC237" t="b">
            <v>0</v>
          </cell>
          <cell r="AD237" t="b">
            <v>0</v>
          </cell>
        </row>
        <row r="238">
          <cell r="Z238" t="b">
            <v>0</v>
          </cell>
          <cell r="AA238" t="b">
            <v>0</v>
          </cell>
          <cell r="AB238" t="b">
            <v>0</v>
          </cell>
          <cell r="AC238" t="b">
            <v>0</v>
          </cell>
          <cell r="AD238" t="b">
            <v>0</v>
          </cell>
        </row>
        <row r="239">
          <cell r="Z239" t="b">
            <v>0</v>
          </cell>
          <cell r="AA239" t="b">
            <v>0</v>
          </cell>
          <cell r="AB239" t="b">
            <v>0</v>
          </cell>
          <cell r="AC239" t="b">
            <v>0</v>
          </cell>
          <cell r="AD239" t="b">
            <v>0</v>
          </cell>
        </row>
        <row r="240">
          <cell r="Z240" t="b">
            <v>0</v>
          </cell>
          <cell r="AA240" t="b">
            <v>0</v>
          </cell>
          <cell r="AB240" t="b">
            <v>0</v>
          </cell>
          <cell r="AC240" t="b">
            <v>0</v>
          </cell>
          <cell r="AD240" t="b">
            <v>0</v>
          </cell>
        </row>
        <row r="241">
          <cell r="Z241" t="b">
            <v>0</v>
          </cell>
          <cell r="AA241" t="b">
            <v>0</v>
          </cell>
          <cell r="AB241" t="b">
            <v>0</v>
          </cell>
          <cell r="AC241" t="b">
            <v>0</v>
          </cell>
          <cell r="AD241" t="b">
            <v>0</v>
          </cell>
        </row>
        <row r="242">
          <cell r="Z242" t="b">
            <v>0</v>
          </cell>
          <cell r="AA242" t="b">
            <v>0</v>
          </cell>
          <cell r="AB242" t="b">
            <v>0</v>
          </cell>
          <cell r="AC242" t="b">
            <v>0</v>
          </cell>
          <cell r="AD242" t="b">
            <v>0</v>
          </cell>
        </row>
        <row r="243">
          <cell r="Z243" t="b">
            <v>0</v>
          </cell>
          <cell r="AA243" t="b">
            <v>0</v>
          </cell>
          <cell r="AB243" t="b">
            <v>0</v>
          </cell>
          <cell r="AC243" t="b">
            <v>0</v>
          </cell>
          <cell r="AD243" t="b">
            <v>0</v>
          </cell>
        </row>
        <row r="244">
          <cell r="Z244" t="b">
            <v>0</v>
          </cell>
          <cell r="AA244" t="b">
            <v>0</v>
          </cell>
          <cell r="AB244" t="b">
            <v>0</v>
          </cell>
          <cell r="AC244" t="b">
            <v>0</v>
          </cell>
          <cell r="AD244" t="b">
            <v>0</v>
          </cell>
        </row>
        <row r="245">
          <cell r="Z245" t="b">
            <v>0</v>
          </cell>
          <cell r="AA245" t="b">
            <v>0</v>
          </cell>
          <cell r="AB245" t="b">
            <v>0</v>
          </cell>
          <cell r="AC245" t="b">
            <v>0</v>
          </cell>
          <cell r="AD245" t="b">
            <v>0</v>
          </cell>
        </row>
        <row r="246">
          <cell r="Z246" t="b">
            <v>0</v>
          </cell>
          <cell r="AA246" t="b">
            <v>0</v>
          </cell>
          <cell r="AB246" t="b">
            <v>0</v>
          </cell>
          <cell r="AC246" t="b">
            <v>0</v>
          </cell>
          <cell r="AD246" t="b">
            <v>0</v>
          </cell>
        </row>
        <row r="247">
          <cell r="Z247" t="b">
            <v>0</v>
          </cell>
          <cell r="AA247" t="b">
            <v>0</v>
          </cell>
          <cell r="AB247" t="b">
            <v>0</v>
          </cell>
          <cell r="AC247" t="b">
            <v>0</v>
          </cell>
          <cell r="AD247" t="b">
            <v>0</v>
          </cell>
        </row>
        <row r="248">
          <cell r="Z248" t="b">
            <v>0</v>
          </cell>
          <cell r="AA248" t="b">
            <v>0</v>
          </cell>
          <cell r="AB248" t="b">
            <v>0</v>
          </cell>
          <cell r="AC248" t="b">
            <v>0</v>
          </cell>
          <cell r="AD248" t="b">
            <v>0</v>
          </cell>
        </row>
        <row r="249">
          <cell r="Z249" t="b">
            <v>0</v>
          </cell>
          <cell r="AA249" t="b">
            <v>0</v>
          </cell>
          <cell r="AB249" t="b">
            <v>0</v>
          </cell>
          <cell r="AC249" t="b">
            <v>0</v>
          </cell>
          <cell r="AD249" t="b">
            <v>0</v>
          </cell>
        </row>
        <row r="250">
          <cell r="Z250" t="b">
            <v>0</v>
          </cell>
          <cell r="AA250" t="b">
            <v>0</v>
          </cell>
          <cell r="AB250" t="b">
            <v>0</v>
          </cell>
          <cell r="AC250" t="b">
            <v>0</v>
          </cell>
          <cell r="AD250" t="b">
            <v>0</v>
          </cell>
        </row>
        <row r="251">
          <cell r="Z251" t="b">
            <v>0</v>
          </cell>
          <cell r="AA251" t="b">
            <v>0</v>
          </cell>
          <cell r="AB251" t="b">
            <v>0</v>
          </cell>
          <cell r="AC251" t="b">
            <v>0</v>
          </cell>
          <cell r="AD251" t="b">
            <v>0</v>
          </cell>
        </row>
        <row r="252">
          <cell r="Z252" t="b">
            <v>0</v>
          </cell>
          <cell r="AA252" t="b">
            <v>0</v>
          </cell>
          <cell r="AB252" t="b">
            <v>0</v>
          </cell>
          <cell r="AC252" t="b">
            <v>0</v>
          </cell>
          <cell r="AD252" t="b">
            <v>0</v>
          </cell>
        </row>
        <row r="253">
          <cell r="Z253" t="b">
            <v>0</v>
          </cell>
          <cell r="AA253" t="b">
            <v>0</v>
          </cell>
          <cell r="AB253" t="b">
            <v>0</v>
          </cell>
          <cell r="AC253" t="b">
            <v>0</v>
          </cell>
          <cell r="AD253" t="b">
            <v>0</v>
          </cell>
        </row>
        <row r="254">
          <cell r="Z254" t="b">
            <v>0</v>
          </cell>
          <cell r="AA254" t="b">
            <v>0</v>
          </cell>
          <cell r="AB254" t="b">
            <v>0</v>
          </cell>
          <cell r="AC254" t="b">
            <v>0</v>
          </cell>
          <cell r="AD254" t="b">
            <v>0</v>
          </cell>
        </row>
        <row r="255">
          <cell r="Z255" t="b">
            <v>0</v>
          </cell>
          <cell r="AA255" t="b">
            <v>0</v>
          </cell>
          <cell r="AB255" t="b">
            <v>0</v>
          </cell>
          <cell r="AC255" t="b">
            <v>0</v>
          </cell>
          <cell r="AD255" t="b">
            <v>0</v>
          </cell>
        </row>
        <row r="256">
          <cell r="Z256" t="b">
            <v>0</v>
          </cell>
          <cell r="AA256" t="b">
            <v>0</v>
          </cell>
          <cell r="AB256" t="b">
            <v>0</v>
          </cell>
          <cell r="AC256" t="b">
            <v>0</v>
          </cell>
          <cell r="AD256" t="b">
            <v>0</v>
          </cell>
        </row>
        <row r="257">
          <cell r="Z257" t="b">
            <v>0</v>
          </cell>
          <cell r="AA257" t="b">
            <v>0</v>
          </cell>
          <cell r="AB257" t="b">
            <v>0</v>
          </cell>
          <cell r="AC257" t="b">
            <v>0</v>
          </cell>
          <cell r="AD257" t="b">
            <v>0</v>
          </cell>
        </row>
        <row r="258">
          <cell r="Z258" t="b">
            <v>0</v>
          </cell>
          <cell r="AA258" t="b">
            <v>0</v>
          </cell>
          <cell r="AB258" t="b">
            <v>0</v>
          </cell>
          <cell r="AC258" t="b">
            <v>0</v>
          </cell>
          <cell r="AD258" t="b">
            <v>0</v>
          </cell>
        </row>
        <row r="259">
          <cell r="Z259" t="b">
            <v>0</v>
          </cell>
          <cell r="AA259" t="b">
            <v>0</v>
          </cell>
          <cell r="AB259" t="b">
            <v>0</v>
          </cell>
          <cell r="AC259" t="b">
            <v>0</v>
          </cell>
          <cell r="AD259" t="b">
            <v>0</v>
          </cell>
        </row>
        <row r="260">
          <cell r="Z260" t="b">
            <v>0</v>
          </cell>
          <cell r="AA260" t="b">
            <v>0</v>
          </cell>
          <cell r="AB260" t="b">
            <v>0</v>
          </cell>
          <cell r="AC260" t="b">
            <v>0</v>
          </cell>
          <cell r="AD260" t="b">
            <v>0</v>
          </cell>
        </row>
        <row r="261">
          <cell r="Z261" t="b">
            <v>0</v>
          </cell>
          <cell r="AA261" t="b">
            <v>0</v>
          </cell>
          <cell r="AB261" t="b">
            <v>0</v>
          </cell>
          <cell r="AC261" t="b">
            <v>0</v>
          </cell>
          <cell r="AD261" t="b">
            <v>0</v>
          </cell>
        </row>
        <row r="262">
          <cell r="Z262" t="b">
            <v>0</v>
          </cell>
          <cell r="AA262" t="b">
            <v>0</v>
          </cell>
          <cell r="AB262" t="b">
            <v>0</v>
          </cell>
          <cell r="AC262" t="b">
            <v>0</v>
          </cell>
          <cell r="AD262" t="b">
            <v>0</v>
          </cell>
        </row>
        <row r="263">
          <cell r="Z263" t="b">
            <v>0</v>
          </cell>
          <cell r="AA263" t="b">
            <v>0</v>
          </cell>
          <cell r="AB263" t="b">
            <v>0</v>
          </cell>
          <cell r="AC263" t="b">
            <v>0</v>
          </cell>
          <cell r="AD263" t="b">
            <v>0</v>
          </cell>
        </row>
        <row r="264">
          <cell r="Z264" t="b">
            <v>0</v>
          </cell>
          <cell r="AA264" t="b">
            <v>0</v>
          </cell>
          <cell r="AB264" t="b">
            <v>0</v>
          </cell>
          <cell r="AC264" t="b">
            <v>0</v>
          </cell>
          <cell r="AD264" t="b">
            <v>0</v>
          </cell>
        </row>
        <row r="265">
          <cell r="Z265" t="b">
            <v>0</v>
          </cell>
          <cell r="AA265" t="b">
            <v>0</v>
          </cell>
          <cell r="AB265" t="b">
            <v>0</v>
          </cell>
          <cell r="AC265" t="b">
            <v>0</v>
          </cell>
          <cell r="AD265" t="b">
            <v>0</v>
          </cell>
        </row>
        <row r="266">
          <cell r="Z266" t="b">
            <v>0</v>
          </cell>
          <cell r="AA266" t="b">
            <v>0</v>
          </cell>
          <cell r="AB266" t="b">
            <v>0</v>
          </cell>
          <cell r="AC266" t="b">
            <v>0</v>
          </cell>
          <cell r="AD266" t="b">
            <v>0</v>
          </cell>
        </row>
        <row r="267">
          <cell r="Z267" t="b">
            <v>0</v>
          </cell>
          <cell r="AA267" t="b">
            <v>0</v>
          </cell>
          <cell r="AB267" t="b">
            <v>0</v>
          </cell>
          <cell r="AC267" t="b">
            <v>0</v>
          </cell>
          <cell r="AD267" t="b">
            <v>0</v>
          </cell>
        </row>
        <row r="268">
          <cell r="Z268" t="b">
            <v>0</v>
          </cell>
          <cell r="AA268" t="b">
            <v>0</v>
          </cell>
          <cell r="AB268" t="b">
            <v>0</v>
          </cell>
          <cell r="AC268" t="b">
            <v>0</v>
          </cell>
          <cell r="AD268" t="b">
            <v>0</v>
          </cell>
        </row>
        <row r="269">
          <cell r="Z269" t="b">
            <v>0</v>
          </cell>
          <cell r="AA269" t="b">
            <v>0</v>
          </cell>
          <cell r="AB269" t="b">
            <v>0</v>
          </cell>
          <cell r="AC269" t="b">
            <v>0</v>
          </cell>
          <cell r="AD269" t="b">
            <v>0</v>
          </cell>
        </row>
        <row r="270">
          <cell r="Z270" t="b">
            <v>0</v>
          </cell>
          <cell r="AA270" t="b">
            <v>0</v>
          </cell>
          <cell r="AB270" t="b">
            <v>0</v>
          </cell>
          <cell r="AC270" t="b">
            <v>0</v>
          </cell>
          <cell r="AD270" t="b">
            <v>0</v>
          </cell>
        </row>
        <row r="271">
          <cell r="Z271" t="b">
            <v>0</v>
          </cell>
          <cell r="AA271" t="b">
            <v>0</v>
          </cell>
          <cell r="AB271" t="b">
            <v>0</v>
          </cell>
          <cell r="AC271" t="b">
            <v>0</v>
          </cell>
          <cell r="AD271" t="b">
            <v>0</v>
          </cell>
        </row>
        <row r="272">
          <cell r="Z272" t="b">
            <v>0</v>
          </cell>
          <cell r="AA272" t="b">
            <v>0</v>
          </cell>
          <cell r="AB272" t="b">
            <v>0</v>
          </cell>
          <cell r="AC272" t="b">
            <v>0</v>
          </cell>
          <cell r="AD272" t="b">
            <v>0</v>
          </cell>
        </row>
        <row r="273">
          <cell r="Z273" t="b">
            <v>0</v>
          </cell>
          <cell r="AA273" t="b">
            <v>0</v>
          </cell>
          <cell r="AB273" t="b">
            <v>0</v>
          </cell>
          <cell r="AC273" t="b">
            <v>0</v>
          </cell>
          <cell r="AD273" t="b">
            <v>0</v>
          </cell>
        </row>
        <row r="274">
          <cell r="Z274" t="b">
            <v>0</v>
          </cell>
          <cell r="AA274" t="b">
            <v>0</v>
          </cell>
          <cell r="AB274" t="b">
            <v>0</v>
          </cell>
          <cell r="AC274" t="b">
            <v>0</v>
          </cell>
          <cell r="AD274" t="b">
            <v>0</v>
          </cell>
        </row>
        <row r="275">
          <cell r="Z275" t="b">
            <v>0</v>
          </cell>
          <cell r="AA275" t="b">
            <v>0</v>
          </cell>
          <cell r="AB275" t="b">
            <v>0</v>
          </cell>
          <cell r="AC275" t="b">
            <v>0</v>
          </cell>
          <cell r="AD275" t="b">
            <v>0</v>
          </cell>
        </row>
        <row r="276">
          <cell r="Z276" t="b">
            <v>0</v>
          </cell>
          <cell r="AA276" t="b">
            <v>0</v>
          </cell>
          <cell r="AB276" t="b">
            <v>0</v>
          </cell>
          <cell r="AC276" t="b">
            <v>0</v>
          </cell>
          <cell r="AD276" t="b">
            <v>0</v>
          </cell>
        </row>
        <row r="277">
          <cell r="Z277" t="b">
            <v>0</v>
          </cell>
          <cell r="AA277" t="b">
            <v>0</v>
          </cell>
          <cell r="AB277" t="b">
            <v>0</v>
          </cell>
          <cell r="AC277" t="b">
            <v>0</v>
          </cell>
          <cell r="AD277" t="b">
            <v>0</v>
          </cell>
        </row>
        <row r="278">
          <cell r="Z278" t="b">
            <v>0</v>
          </cell>
          <cell r="AA278" t="b">
            <v>0</v>
          </cell>
          <cell r="AB278" t="b">
            <v>0</v>
          </cell>
          <cell r="AC278" t="b">
            <v>0</v>
          </cell>
          <cell r="AD278" t="b">
            <v>0</v>
          </cell>
        </row>
        <row r="279">
          <cell r="Z279" t="b">
            <v>0</v>
          </cell>
          <cell r="AA279" t="b">
            <v>0</v>
          </cell>
          <cell r="AB279" t="b">
            <v>0</v>
          </cell>
          <cell r="AC279" t="b">
            <v>0</v>
          </cell>
          <cell r="AD279" t="b">
            <v>0</v>
          </cell>
        </row>
        <row r="280">
          <cell r="Z280" t="b">
            <v>0</v>
          </cell>
          <cell r="AA280" t="b">
            <v>0</v>
          </cell>
          <cell r="AB280" t="b">
            <v>0</v>
          </cell>
          <cell r="AC280" t="b">
            <v>0</v>
          </cell>
          <cell r="AD280" t="b">
            <v>0</v>
          </cell>
        </row>
        <row r="281">
          <cell r="Z281" t="b">
            <v>0</v>
          </cell>
          <cell r="AA281" t="b">
            <v>0</v>
          </cell>
          <cell r="AB281" t="b">
            <v>0</v>
          </cell>
          <cell r="AC281" t="b">
            <v>0</v>
          </cell>
          <cell r="AD281" t="b">
            <v>0</v>
          </cell>
        </row>
        <row r="282">
          <cell r="Z282" t="b">
            <v>0</v>
          </cell>
          <cell r="AA282" t="b">
            <v>0</v>
          </cell>
          <cell r="AB282" t="b">
            <v>0</v>
          </cell>
          <cell r="AC282" t="b">
            <v>0</v>
          </cell>
          <cell r="AD282" t="b">
            <v>0</v>
          </cell>
        </row>
        <row r="283">
          <cell r="Z283" t="b">
            <v>0</v>
          </cell>
          <cell r="AA283" t="b">
            <v>0</v>
          </cell>
          <cell r="AB283" t="b">
            <v>0</v>
          </cell>
          <cell r="AC283" t="b">
            <v>0</v>
          </cell>
          <cell r="AD283" t="b">
            <v>0</v>
          </cell>
        </row>
        <row r="284">
          <cell r="Z284" t="b">
            <v>0</v>
          </cell>
          <cell r="AA284" t="b">
            <v>0</v>
          </cell>
          <cell r="AB284" t="b">
            <v>0</v>
          </cell>
          <cell r="AC284" t="b">
            <v>0</v>
          </cell>
          <cell r="AD284" t="b">
            <v>0</v>
          </cell>
        </row>
        <row r="285">
          <cell r="Z285" t="b">
            <v>0</v>
          </cell>
          <cell r="AA285" t="b">
            <v>0</v>
          </cell>
          <cell r="AB285" t="b">
            <v>0</v>
          </cell>
          <cell r="AC285" t="b">
            <v>0</v>
          </cell>
          <cell r="AD285" t="b">
            <v>0</v>
          </cell>
        </row>
        <row r="286">
          <cell r="Z286" t="b">
            <v>0</v>
          </cell>
          <cell r="AA286" t="b">
            <v>0</v>
          </cell>
          <cell r="AB286" t="b">
            <v>0</v>
          </cell>
          <cell r="AC286" t="b">
            <v>0</v>
          </cell>
          <cell r="AD286" t="b">
            <v>0</v>
          </cell>
        </row>
        <row r="287">
          <cell r="Z287" t="b">
            <v>0</v>
          </cell>
          <cell r="AA287" t="b">
            <v>0</v>
          </cell>
          <cell r="AB287" t="b">
            <v>0</v>
          </cell>
          <cell r="AC287" t="b">
            <v>0</v>
          </cell>
          <cell r="AD287" t="b">
            <v>0</v>
          </cell>
        </row>
        <row r="288">
          <cell r="Z288" t="b">
            <v>0</v>
          </cell>
          <cell r="AA288" t="b">
            <v>0</v>
          </cell>
          <cell r="AB288" t="b">
            <v>0</v>
          </cell>
          <cell r="AC288" t="b">
            <v>0</v>
          </cell>
          <cell r="AD288" t="b">
            <v>0</v>
          </cell>
        </row>
        <row r="289">
          <cell r="Z289" t="b">
            <v>0</v>
          </cell>
          <cell r="AA289" t="b">
            <v>0</v>
          </cell>
          <cell r="AB289" t="b">
            <v>0</v>
          </cell>
          <cell r="AC289" t="b">
            <v>0</v>
          </cell>
          <cell r="AD289" t="b">
            <v>0</v>
          </cell>
        </row>
        <row r="290">
          <cell r="Z290" t="b">
            <v>0</v>
          </cell>
          <cell r="AA290" t="b">
            <v>0</v>
          </cell>
          <cell r="AB290" t="b">
            <v>0</v>
          </cell>
          <cell r="AC290" t="b">
            <v>0</v>
          </cell>
          <cell r="AD290" t="b">
            <v>0</v>
          </cell>
        </row>
        <row r="291">
          <cell r="Z291" t="b">
            <v>0</v>
          </cell>
          <cell r="AA291" t="b">
            <v>0</v>
          </cell>
          <cell r="AB291" t="b">
            <v>0</v>
          </cell>
          <cell r="AC291" t="b">
            <v>0</v>
          </cell>
          <cell r="AD291" t="b">
            <v>0</v>
          </cell>
        </row>
        <row r="292">
          <cell r="Z292" t="b">
            <v>0</v>
          </cell>
          <cell r="AA292" t="b">
            <v>0</v>
          </cell>
          <cell r="AB292" t="b">
            <v>0</v>
          </cell>
          <cell r="AC292" t="b">
            <v>0</v>
          </cell>
          <cell r="AD292" t="b">
            <v>0</v>
          </cell>
        </row>
        <row r="293">
          <cell r="Z293" t="b">
            <v>0</v>
          </cell>
          <cell r="AA293" t="b">
            <v>0</v>
          </cell>
          <cell r="AB293" t="b">
            <v>0</v>
          </cell>
          <cell r="AC293" t="b">
            <v>0</v>
          </cell>
          <cell r="AD293" t="b">
            <v>0</v>
          </cell>
        </row>
        <row r="294">
          <cell r="Z294" t="b">
            <v>0</v>
          </cell>
          <cell r="AA294" t="b">
            <v>0</v>
          </cell>
          <cell r="AB294" t="b">
            <v>0</v>
          </cell>
          <cell r="AC294" t="b">
            <v>0</v>
          </cell>
          <cell r="AD294" t="b">
            <v>0</v>
          </cell>
        </row>
        <row r="295">
          <cell r="Z295" t="b">
            <v>0</v>
          </cell>
          <cell r="AA295" t="b">
            <v>0</v>
          </cell>
          <cell r="AB295" t="b">
            <v>0</v>
          </cell>
          <cell r="AC295" t="b">
            <v>0</v>
          </cell>
          <cell r="AD295" t="b">
            <v>0</v>
          </cell>
        </row>
        <row r="296">
          <cell r="Z296" t="b">
            <v>0</v>
          </cell>
          <cell r="AA296" t="b">
            <v>0</v>
          </cell>
          <cell r="AB296" t="b">
            <v>0</v>
          </cell>
          <cell r="AC296" t="b">
            <v>0</v>
          </cell>
          <cell r="AD296" t="b">
            <v>0</v>
          </cell>
        </row>
        <row r="297">
          <cell r="Z297" t="b">
            <v>0</v>
          </cell>
          <cell r="AA297" t="b">
            <v>0</v>
          </cell>
          <cell r="AB297" t="b">
            <v>0</v>
          </cell>
          <cell r="AC297" t="b">
            <v>0</v>
          </cell>
          <cell r="AD297" t="b">
            <v>0</v>
          </cell>
        </row>
        <row r="298">
          <cell r="Z298" t="b">
            <v>0</v>
          </cell>
          <cell r="AA298" t="b">
            <v>0</v>
          </cell>
          <cell r="AB298" t="b">
            <v>0</v>
          </cell>
          <cell r="AC298" t="b">
            <v>0</v>
          </cell>
          <cell r="AD298" t="b">
            <v>0</v>
          </cell>
        </row>
        <row r="299">
          <cell r="Z299" t="b">
            <v>0</v>
          </cell>
          <cell r="AA299" t="b">
            <v>0</v>
          </cell>
          <cell r="AB299" t="b">
            <v>0</v>
          </cell>
          <cell r="AC299" t="b">
            <v>0</v>
          </cell>
          <cell r="AD299" t="b">
            <v>0</v>
          </cell>
        </row>
        <row r="300">
          <cell r="Z300" t="b">
            <v>0</v>
          </cell>
          <cell r="AA300" t="b">
            <v>0</v>
          </cell>
          <cell r="AB300" t="b">
            <v>0</v>
          </cell>
          <cell r="AC300" t="b">
            <v>0</v>
          </cell>
          <cell r="AD300" t="b">
            <v>0</v>
          </cell>
        </row>
        <row r="301">
          <cell r="Z301" t="b">
            <v>0</v>
          </cell>
          <cell r="AA301" t="b">
            <v>0</v>
          </cell>
          <cell r="AB301" t="b">
            <v>0</v>
          </cell>
          <cell r="AC301" t="b">
            <v>0</v>
          </cell>
          <cell r="AD301" t="b">
            <v>0</v>
          </cell>
        </row>
        <row r="302">
          <cell r="Z302" t="b">
            <v>0</v>
          </cell>
          <cell r="AA302" t="b">
            <v>0</v>
          </cell>
          <cell r="AB302" t="b">
            <v>0</v>
          </cell>
          <cell r="AC302" t="b">
            <v>0</v>
          </cell>
          <cell r="AD302" t="b">
            <v>0</v>
          </cell>
        </row>
        <row r="303">
          <cell r="Z303" t="b">
            <v>0</v>
          </cell>
          <cell r="AA303" t="b">
            <v>0</v>
          </cell>
          <cell r="AB303" t="b">
            <v>0</v>
          </cell>
          <cell r="AC303" t="b">
            <v>0</v>
          </cell>
          <cell r="AD303" t="b">
            <v>0</v>
          </cell>
        </row>
        <row r="304">
          <cell r="Z304" t="b">
            <v>0</v>
          </cell>
          <cell r="AA304" t="b">
            <v>0</v>
          </cell>
          <cell r="AB304" t="b">
            <v>0</v>
          </cell>
          <cell r="AC304" t="b">
            <v>0</v>
          </cell>
          <cell r="AD304" t="b">
            <v>0</v>
          </cell>
        </row>
        <row r="305">
          <cell r="Z305" t="b">
            <v>0</v>
          </cell>
          <cell r="AA305" t="b">
            <v>0</v>
          </cell>
          <cell r="AB305" t="b">
            <v>0</v>
          </cell>
          <cell r="AC305" t="b">
            <v>0</v>
          </cell>
          <cell r="AD305" t="b">
            <v>0</v>
          </cell>
        </row>
        <row r="306">
          <cell r="Z306" t="b">
            <v>0</v>
          </cell>
          <cell r="AA306" t="b">
            <v>0</v>
          </cell>
          <cell r="AB306" t="b">
            <v>0</v>
          </cell>
          <cell r="AC306" t="b">
            <v>0</v>
          </cell>
          <cell r="AD306" t="b">
            <v>0</v>
          </cell>
        </row>
        <row r="307">
          <cell r="Z307" t="b">
            <v>0</v>
          </cell>
          <cell r="AA307" t="b">
            <v>0</v>
          </cell>
          <cell r="AB307" t="b">
            <v>0</v>
          </cell>
          <cell r="AC307" t="b">
            <v>0</v>
          </cell>
          <cell r="AD307" t="b">
            <v>0</v>
          </cell>
        </row>
        <row r="308">
          <cell r="Z308" t="b">
            <v>0</v>
          </cell>
          <cell r="AA308" t="b">
            <v>0</v>
          </cell>
          <cell r="AB308" t="b">
            <v>0</v>
          </cell>
          <cell r="AC308" t="b">
            <v>0</v>
          </cell>
          <cell r="AD308" t="b">
            <v>0</v>
          </cell>
        </row>
        <row r="309">
          <cell r="Z309" t="b">
            <v>0</v>
          </cell>
          <cell r="AA309" t="b">
            <v>0</v>
          </cell>
          <cell r="AB309" t="b">
            <v>0</v>
          </cell>
          <cell r="AC309" t="b">
            <v>0</v>
          </cell>
          <cell r="AD309" t="b">
            <v>0</v>
          </cell>
        </row>
        <row r="310">
          <cell r="Z310" t="b">
            <v>0</v>
          </cell>
          <cell r="AA310" t="b">
            <v>0</v>
          </cell>
          <cell r="AB310" t="b">
            <v>0</v>
          </cell>
          <cell r="AC310" t="b">
            <v>0</v>
          </cell>
          <cell r="AD310" t="b">
            <v>0</v>
          </cell>
        </row>
        <row r="311">
          <cell r="Z311" t="b">
            <v>0</v>
          </cell>
          <cell r="AA311" t="b">
            <v>0</v>
          </cell>
          <cell r="AB311" t="b">
            <v>0</v>
          </cell>
          <cell r="AC311" t="b">
            <v>0</v>
          </cell>
          <cell r="AD311" t="b">
            <v>0</v>
          </cell>
        </row>
        <row r="312">
          <cell r="Z312" t="b">
            <v>0</v>
          </cell>
          <cell r="AA312" t="b">
            <v>0</v>
          </cell>
          <cell r="AB312" t="b">
            <v>0</v>
          </cell>
          <cell r="AC312" t="b">
            <v>0</v>
          </cell>
          <cell r="AD312" t="b">
            <v>0</v>
          </cell>
        </row>
        <row r="313">
          <cell r="Z313" t="b">
            <v>0</v>
          </cell>
          <cell r="AA313" t="b">
            <v>0</v>
          </cell>
          <cell r="AB313" t="b">
            <v>0</v>
          </cell>
          <cell r="AC313" t="b">
            <v>0</v>
          </cell>
          <cell r="AD313" t="b">
            <v>0</v>
          </cell>
        </row>
        <row r="314">
          <cell r="Z314" t="b">
            <v>0</v>
          </cell>
          <cell r="AA314" t="b">
            <v>0</v>
          </cell>
          <cell r="AB314" t="b">
            <v>0</v>
          </cell>
          <cell r="AC314" t="b">
            <v>0</v>
          </cell>
          <cell r="AD314" t="b">
            <v>0</v>
          </cell>
        </row>
        <row r="315">
          <cell r="Z315" t="b">
            <v>0</v>
          </cell>
          <cell r="AA315" t="b">
            <v>0</v>
          </cell>
          <cell r="AB315" t="b">
            <v>0</v>
          </cell>
          <cell r="AC315" t="b">
            <v>0</v>
          </cell>
          <cell r="AD315" t="b">
            <v>0</v>
          </cell>
        </row>
        <row r="316">
          <cell r="Z316" t="b">
            <v>0</v>
          </cell>
          <cell r="AA316" t="b">
            <v>0</v>
          </cell>
          <cell r="AB316" t="b">
            <v>0</v>
          </cell>
          <cell r="AC316" t="b">
            <v>0</v>
          </cell>
          <cell r="AD316" t="b">
            <v>0</v>
          </cell>
        </row>
        <row r="317">
          <cell r="Z317" t="b">
            <v>0</v>
          </cell>
          <cell r="AA317" t="b">
            <v>0</v>
          </cell>
          <cell r="AB317" t="b">
            <v>0</v>
          </cell>
          <cell r="AC317" t="b">
            <v>0</v>
          </cell>
          <cell r="AD317" t="b">
            <v>0</v>
          </cell>
        </row>
        <row r="318">
          <cell r="Z318" t="b">
            <v>0</v>
          </cell>
          <cell r="AA318" t="b">
            <v>0</v>
          </cell>
          <cell r="AB318" t="b">
            <v>0</v>
          </cell>
          <cell r="AC318" t="b">
            <v>0</v>
          </cell>
          <cell r="AD318" t="b">
            <v>0</v>
          </cell>
        </row>
        <row r="319">
          <cell r="Z319" t="b">
            <v>0</v>
          </cell>
          <cell r="AA319" t="b">
            <v>0</v>
          </cell>
          <cell r="AB319" t="b">
            <v>0</v>
          </cell>
          <cell r="AC319" t="b">
            <v>0</v>
          </cell>
          <cell r="AD319" t="b">
            <v>0</v>
          </cell>
        </row>
        <row r="320">
          <cell r="Z320" t="b">
            <v>0</v>
          </cell>
          <cell r="AA320" t="b">
            <v>0</v>
          </cell>
          <cell r="AB320" t="b">
            <v>0</v>
          </cell>
          <cell r="AC320" t="b">
            <v>0</v>
          </cell>
          <cell r="AD320" t="b">
            <v>0</v>
          </cell>
        </row>
        <row r="321">
          <cell r="Z321" t="b">
            <v>0</v>
          </cell>
          <cell r="AA321" t="b">
            <v>0</v>
          </cell>
          <cell r="AB321" t="b">
            <v>0</v>
          </cell>
          <cell r="AC321" t="b">
            <v>0</v>
          </cell>
          <cell r="AD321" t="b">
            <v>0</v>
          </cell>
        </row>
        <row r="322">
          <cell r="Z322" t="b">
            <v>0</v>
          </cell>
          <cell r="AA322" t="b">
            <v>0</v>
          </cell>
          <cell r="AB322" t="b">
            <v>0</v>
          </cell>
          <cell r="AC322" t="b">
            <v>0</v>
          </cell>
          <cell r="AD322" t="b">
            <v>0</v>
          </cell>
        </row>
        <row r="323">
          <cell r="Z323" t="b">
            <v>0</v>
          </cell>
          <cell r="AA323" t="b">
            <v>0</v>
          </cell>
          <cell r="AB323" t="b">
            <v>0</v>
          </cell>
          <cell r="AC323" t="b">
            <v>0</v>
          </cell>
          <cell r="AD323" t="b">
            <v>0</v>
          </cell>
        </row>
        <row r="324">
          <cell r="Z324" t="b">
            <v>0</v>
          </cell>
          <cell r="AA324" t="b">
            <v>0</v>
          </cell>
          <cell r="AB324" t="b">
            <v>0</v>
          </cell>
          <cell r="AC324" t="b">
            <v>0</v>
          </cell>
          <cell r="AD324" t="b">
            <v>0</v>
          </cell>
        </row>
        <row r="325">
          <cell r="Z325" t="b">
            <v>0</v>
          </cell>
          <cell r="AA325" t="b">
            <v>0</v>
          </cell>
          <cell r="AB325" t="b">
            <v>0</v>
          </cell>
          <cell r="AC325" t="b">
            <v>0</v>
          </cell>
          <cell r="AD325" t="b">
            <v>0</v>
          </cell>
        </row>
        <row r="326">
          <cell r="Z326" t="b">
            <v>0</v>
          </cell>
          <cell r="AA326" t="b">
            <v>0</v>
          </cell>
          <cell r="AB326" t="b">
            <v>0</v>
          </cell>
          <cell r="AC326" t="b">
            <v>0</v>
          </cell>
          <cell r="AD326" t="b">
            <v>0</v>
          </cell>
        </row>
        <row r="327">
          <cell r="Z327" t="b">
            <v>0</v>
          </cell>
          <cell r="AA327" t="b">
            <v>0</v>
          </cell>
          <cell r="AB327" t="b">
            <v>0</v>
          </cell>
          <cell r="AC327" t="b">
            <v>0</v>
          </cell>
          <cell r="AD327" t="b">
            <v>0</v>
          </cell>
        </row>
        <row r="328">
          <cell r="Z328" t="b">
            <v>0</v>
          </cell>
          <cell r="AA328" t="b">
            <v>0</v>
          </cell>
          <cell r="AB328" t="b">
            <v>0</v>
          </cell>
          <cell r="AC328" t="b">
            <v>0</v>
          </cell>
          <cell r="AD328" t="b">
            <v>0</v>
          </cell>
        </row>
        <row r="329">
          <cell r="Z329" t="b">
            <v>0</v>
          </cell>
          <cell r="AA329" t="b">
            <v>0</v>
          </cell>
          <cell r="AB329" t="b">
            <v>0</v>
          </cell>
          <cell r="AC329" t="b">
            <v>0</v>
          </cell>
          <cell r="AD329" t="b">
            <v>0</v>
          </cell>
        </row>
        <row r="330">
          <cell r="Z330" t="b">
            <v>0</v>
          </cell>
          <cell r="AA330" t="b">
            <v>0</v>
          </cell>
          <cell r="AB330" t="b">
            <v>0</v>
          </cell>
          <cell r="AC330" t="b">
            <v>0</v>
          </cell>
          <cell r="AD330" t="b">
            <v>0</v>
          </cell>
        </row>
        <row r="331">
          <cell r="Z331" t="b">
            <v>0</v>
          </cell>
          <cell r="AA331" t="b">
            <v>0</v>
          </cell>
          <cell r="AB331" t="b">
            <v>0</v>
          </cell>
          <cell r="AC331" t="b">
            <v>0</v>
          </cell>
          <cell r="AD331" t="b">
            <v>0</v>
          </cell>
        </row>
        <row r="332">
          <cell r="Z332" t="b">
            <v>0</v>
          </cell>
          <cell r="AA332" t="b">
            <v>0</v>
          </cell>
          <cell r="AB332" t="b">
            <v>0</v>
          </cell>
          <cell r="AC332" t="b">
            <v>0</v>
          </cell>
          <cell r="AD332" t="b">
            <v>0</v>
          </cell>
        </row>
        <row r="333">
          <cell r="Z333" t="b">
            <v>0</v>
          </cell>
          <cell r="AA333" t="b">
            <v>0</v>
          </cell>
          <cell r="AB333" t="b">
            <v>0</v>
          </cell>
          <cell r="AC333" t="b">
            <v>0</v>
          </cell>
          <cell r="AD333" t="b">
            <v>0</v>
          </cell>
        </row>
        <row r="334">
          <cell r="Z334" t="b">
            <v>0</v>
          </cell>
          <cell r="AA334" t="b">
            <v>0</v>
          </cell>
          <cell r="AB334" t="b">
            <v>0</v>
          </cell>
          <cell r="AC334" t="b">
            <v>0</v>
          </cell>
          <cell r="AD334" t="b">
            <v>0</v>
          </cell>
        </row>
        <row r="335">
          <cell r="Z335" t="b">
            <v>0</v>
          </cell>
          <cell r="AA335" t="b">
            <v>0</v>
          </cell>
          <cell r="AB335" t="b">
            <v>0</v>
          </cell>
          <cell r="AC335" t="b">
            <v>0</v>
          </cell>
          <cell r="AD335" t="b">
            <v>0</v>
          </cell>
        </row>
        <row r="336">
          <cell r="Z336" t="b">
            <v>0</v>
          </cell>
          <cell r="AA336" t="b">
            <v>0</v>
          </cell>
          <cell r="AB336" t="b">
            <v>0</v>
          </cell>
          <cell r="AC336" t="b">
            <v>0</v>
          </cell>
          <cell r="AD336" t="b">
            <v>0</v>
          </cell>
        </row>
        <row r="337">
          <cell r="Z337" t="b">
            <v>0</v>
          </cell>
          <cell r="AA337" t="b">
            <v>0</v>
          </cell>
          <cell r="AB337" t="b">
            <v>0</v>
          </cell>
          <cell r="AC337" t="b">
            <v>0</v>
          </cell>
          <cell r="AD337" t="b">
            <v>0</v>
          </cell>
        </row>
        <row r="338">
          <cell r="Z338" t="b">
            <v>0</v>
          </cell>
          <cell r="AA338" t="b">
            <v>0</v>
          </cell>
          <cell r="AB338" t="b">
            <v>0</v>
          </cell>
          <cell r="AC338" t="b">
            <v>0</v>
          </cell>
          <cell r="AD338" t="b">
            <v>0</v>
          </cell>
        </row>
        <row r="339">
          <cell r="Z339" t="b">
            <v>0</v>
          </cell>
          <cell r="AA339" t="b">
            <v>0</v>
          </cell>
          <cell r="AB339" t="b">
            <v>0</v>
          </cell>
          <cell r="AC339" t="b">
            <v>0</v>
          </cell>
          <cell r="AD339" t="b">
            <v>0</v>
          </cell>
        </row>
        <row r="340">
          <cell r="Z340" t="b">
            <v>0</v>
          </cell>
          <cell r="AA340" t="b">
            <v>0</v>
          </cell>
          <cell r="AB340" t="b">
            <v>0</v>
          </cell>
          <cell r="AC340" t="b">
            <v>0</v>
          </cell>
          <cell r="AD340" t="b">
            <v>0</v>
          </cell>
        </row>
        <row r="341">
          <cell r="Z341" t="b">
            <v>0</v>
          </cell>
          <cell r="AA341" t="b">
            <v>0</v>
          </cell>
          <cell r="AB341" t="b">
            <v>0</v>
          </cell>
          <cell r="AC341" t="b">
            <v>0</v>
          </cell>
          <cell r="AD341" t="b">
            <v>0</v>
          </cell>
        </row>
        <row r="342">
          <cell r="Z342" t="b">
            <v>0</v>
          </cell>
          <cell r="AA342" t="b">
            <v>0</v>
          </cell>
          <cell r="AB342" t="b">
            <v>0</v>
          </cell>
          <cell r="AC342" t="b">
            <v>0</v>
          </cell>
          <cell r="AD342" t="b">
            <v>0</v>
          </cell>
        </row>
        <row r="343">
          <cell r="Z343" t="b">
            <v>0</v>
          </cell>
          <cell r="AA343" t="b">
            <v>0</v>
          </cell>
          <cell r="AB343" t="b">
            <v>0</v>
          </cell>
          <cell r="AC343" t="b">
            <v>0</v>
          </cell>
          <cell r="AD343" t="b">
            <v>0</v>
          </cell>
        </row>
        <row r="344">
          <cell r="Z344" t="b">
            <v>0</v>
          </cell>
          <cell r="AA344" t="b">
            <v>0</v>
          </cell>
          <cell r="AB344" t="b">
            <v>0</v>
          </cell>
          <cell r="AC344" t="b">
            <v>0</v>
          </cell>
          <cell r="AD344" t="b">
            <v>0</v>
          </cell>
        </row>
        <row r="345">
          <cell r="Z345" t="b">
            <v>0</v>
          </cell>
          <cell r="AA345" t="b">
            <v>0</v>
          </cell>
          <cell r="AB345" t="b">
            <v>0</v>
          </cell>
          <cell r="AC345" t="b">
            <v>0</v>
          </cell>
          <cell r="AD345" t="b">
            <v>0</v>
          </cell>
        </row>
        <row r="346">
          <cell r="Z346" t="b">
            <v>0</v>
          </cell>
          <cell r="AA346" t="b">
            <v>0</v>
          </cell>
          <cell r="AB346" t="b">
            <v>0</v>
          </cell>
          <cell r="AC346" t="b">
            <v>0</v>
          </cell>
          <cell r="AD346" t="b">
            <v>0</v>
          </cell>
        </row>
        <row r="347">
          <cell r="Z347" t="b">
            <v>0</v>
          </cell>
          <cell r="AA347" t="b">
            <v>0</v>
          </cell>
          <cell r="AB347" t="b">
            <v>0</v>
          </cell>
          <cell r="AC347" t="b">
            <v>0</v>
          </cell>
          <cell r="AD347" t="b">
            <v>0</v>
          </cell>
        </row>
        <row r="348">
          <cell r="Z348" t="b">
            <v>0</v>
          </cell>
          <cell r="AA348" t="b">
            <v>0</v>
          </cell>
          <cell r="AB348" t="b">
            <v>0</v>
          </cell>
          <cell r="AC348" t="b">
            <v>0</v>
          </cell>
          <cell r="AD348" t="b">
            <v>0</v>
          </cell>
        </row>
        <row r="349">
          <cell r="Z349" t="b">
            <v>0</v>
          </cell>
          <cell r="AA349" t="b">
            <v>0</v>
          </cell>
          <cell r="AB349" t="b">
            <v>0</v>
          </cell>
          <cell r="AC349" t="b">
            <v>0</v>
          </cell>
          <cell r="AD349" t="b">
            <v>0</v>
          </cell>
        </row>
        <row r="350">
          <cell r="Z350" t="b">
            <v>0</v>
          </cell>
          <cell r="AA350" t="b">
            <v>0</v>
          </cell>
          <cell r="AB350" t="b">
            <v>0</v>
          </cell>
          <cell r="AC350" t="b">
            <v>0</v>
          </cell>
          <cell r="AD350" t="b">
            <v>0</v>
          </cell>
        </row>
        <row r="351">
          <cell r="Z351" t="b">
            <v>0</v>
          </cell>
          <cell r="AA351" t="b">
            <v>0</v>
          </cell>
          <cell r="AB351" t="b">
            <v>0</v>
          </cell>
          <cell r="AC351" t="b">
            <v>0</v>
          </cell>
          <cell r="AD351" t="b">
            <v>0</v>
          </cell>
        </row>
        <row r="352">
          <cell r="Z352" t="b">
            <v>0</v>
          </cell>
          <cell r="AA352" t="b">
            <v>0</v>
          </cell>
          <cell r="AB352" t="b">
            <v>0</v>
          </cell>
          <cell r="AC352" t="b">
            <v>0</v>
          </cell>
          <cell r="AD352" t="b">
            <v>0</v>
          </cell>
        </row>
        <row r="353">
          <cell r="Z353" t="b">
            <v>0</v>
          </cell>
          <cell r="AA353" t="b">
            <v>0</v>
          </cell>
          <cell r="AB353" t="b">
            <v>0</v>
          </cell>
          <cell r="AC353" t="b">
            <v>0</v>
          </cell>
          <cell r="AD353" t="b">
            <v>0</v>
          </cell>
        </row>
        <row r="354">
          <cell r="Z354" t="b">
            <v>0</v>
          </cell>
          <cell r="AA354" t="b">
            <v>0</v>
          </cell>
          <cell r="AB354" t="b">
            <v>0</v>
          </cell>
          <cell r="AC354" t="b">
            <v>0</v>
          </cell>
          <cell r="AD354" t="b">
            <v>0</v>
          </cell>
        </row>
        <row r="355">
          <cell r="Z355" t="b">
            <v>0</v>
          </cell>
          <cell r="AA355" t="b">
            <v>0</v>
          </cell>
          <cell r="AB355" t="b">
            <v>0</v>
          </cell>
          <cell r="AC355" t="b">
            <v>0</v>
          </cell>
          <cell r="AD355" t="b">
            <v>0</v>
          </cell>
        </row>
        <row r="356">
          <cell r="Z356" t="b">
            <v>0</v>
          </cell>
          <cell r="AA356" t="b">
            <v>0</v>
          </cell>
          <cell r="AB356" t="b">
            <v>0</v>
          </cell>
          <cell r="AC356" t="b">
            <v>0</v>
          </cell>
          <cell r="AD356" t="b">
            <v>0</v>
          </cell>
        </row>
        <row r="357">
          <cell r="Z357" t="b">
            <v>0</v>
          </cell>
          <cell r="AA357" t="b">
            <v>0</v>
          </cell>
          <cell r="AB357" t="b">
            <v>0</v>
          </cell>
          <cell r="AC357" t="b">
            <v>0</v>
          </cell>
          <cell r="AD357" t="b">
            <v>0</v>
          </cell>
        </row>
        <row r="358">
          <cell r="Z358" t="b">
            <v>0</v>
          </cell>
          <cell r="AA358" t="b">
            <v>0</v>
          </cell>
          <cell r="AB358" t="b">
            <v>0</v>
          </cell>
          <cell r="AC358" t="b">
            <v>0</v>
          </cell>
          <cell r="AD358" t="b">
            <v>0</v>
          </cell>
        </row>
        <row r="359">
          <cell r="Z359" t="b">
            <v>0</v>
          </cell>
          <cell r="AA359" t="b">
            <v>0</v>
          </cell>
          <cell r="AB359" t="b">
            <v>0</v>
          </cell>
          <cell r="AC359" t="b">
            <v>0</v>
          </cell>
          <cell r="AD359" t="b">
            <v>0</v>
          </cell>
        </row>
        <row r="360">
          <cell r="Z360" t="b">
            <v>0</v>
          </cell>
          <cell r="AA360" t="b">
            <v>0</v>
          </cell>
          <cell r="AB360" t="b">
            <v>0</v>
          </cell>
          <cell r="AC360" t="b">
            <v>0</v>
          </cell>
          <cell r="AD360" t="b">
            <v>0</v>
          </cell>
        </row>
        <row r="361">
          <cell r="Z361" t="b">
            <v>0</v>
          </cell>
          <cell r="AA361" t="b">
            <v>0</v>
          </cell>
          <cell r="AB361" t="b">
            <v>0</v>
          </cell>
          <cell r="AC361" t="b">
            <v>0</v>
          </cell>
          <cell r="AD361" t="b">
            <v>0</v>
          </cell>
        </row>
        <row r="362">
          <cell r="Z362" t="b">
            <v>0</v>
          </cell>
          <cell r="AA362" t="b">
            <v>0</v>
          </cell>
          <cell r="AB362" t="b">
            <v>0</v>
          </cell>
          <cell r="AC362" t="b">
            <v>0</v>
          </cell>
          <cell r="AD362" t="b">
            <v>0</v>
          </cell>
        </row>
        <row r="363">
          <cell r="Z363" t="b">
            <v>0</v>
          </cell>
          <cell r="AA363" t="b">
            <v>0</v>
          </cell>
          <cell r="AB363" t="b">
            <v>0</v>
          </cell>
          <cell r="AC363" t="b">
            <v>0</v>
          </cell>
          <cell r="AD363" t="b">
            <v>0</v>
          </cell>
        </row>
        <row r="364">
          <cell r="Z364" t="b">
            <v>0</v>
          </cell>
          <cell r="AA364" t="b">
            <v>0</v>
          </cell>
          <cell r="AB364" t="b">
            <v>0</v>
          </cell>
          <cell r="AC364" t="b">
            <v>0</v>
          </cell>
          <cell r="AD364" t="b">
            <v>0</v>
          </cell>
        </row>
        <row r="365">
          <cell r="Z365" t="b">
            <v>0</v>
          </cell>
          <cell r="AA365" t="b">
            <v>0</v>
          </cell>
          <cell r="AB365" t="b">
            <v>0</v>
          </cell>
          <cell r="AC365" t="b">
            <v>0</v>
          </cell>
          <cell r="AD365" t="b">
            <v>0</v>
          </cell>
        </row>
        <row r="366">
          <cell r="Z366" t="b">
            <v>0</v>
          </cell>
          <cell r="AA366" t="b">
            <v>0</v>
          </cell>
          <cell r="AB366" t="b">
            <v>0</v>
          </cell>
          <cell r="AC366" t="b">
            <v>0</v>
          </cell>
          <cell r="AD366" t="b">
            <v>0</v>
          </cell>
        </row>
        <row r="367">
          <cell r="Z367" t="b">
            <v>0</v>
          </cell>
          <cell r="AA367" t="b">
            <v>0</v>
          </cell>
          <cell r="AB367" t="b">
            <v>0</v>
          </cell>
          <cell r="AC367" t="b">
            <v>0</v>
          </cell>
          <cell r="AD367" t="b">
            <v>0</v>
          </cell>
        </row>
        <row r="368">
          <cell r="Z368" t="b">
            <v>0</v>
          </cell>
          <cell r="AA368" t="b">
            <v>0</v>
          </cell>
          <cell r="AB368" t="b">
            <v>0</v>
          </cell>
          <cell r="AC368" t="b">
            <v>0</v>
          </cell>
          <cell r="AD368" t="b">
            <v>0</v>
          </cell>
        </row>
        <row r="369">
          <cell r="Z369" t="b">
            <v>0</v>
          </cell>
          <cell r="AA369" t="b">
            <v>0</v>
          </cell>
          <cell r="AB369" t="b">
            <v>0</v>
          </cell>
          <cell r="AC369" t="b">
            <v>0</v>
          </cell>
          <cell r="AD369" t="b">
            <v>0</v>
          </cell>
        </row>
        <row r="370">
          <cell r="Z370" t="b">
            <v>0</v>
          </cell>
          <cell r="AA370" t="b">
            <v>0</v>
          </cell>
          <cell r="AB370" t="b">
            <v>0</v>
          </cell>
          <cell r="AC370" t="b">
            <v>0</v>
          </cell>
          <cell r="AD370" t="b">
            <v>0</v>
          </cell>
        </row>
        <row r="371">
          <cell r="Z371" t="b">
            <v>0</v>
          </cell>
          <cell r="AA371" t="b">
            <v>0</v>
          </cell>
          <cell r="AB371" t="b">
            <v>0</v>
          </cell>
          <cell r="AC371" t="b">
            <v>0</v>
          </cell>
          <cell r="AD371" t="b">
            <v>0</v>
          </cell>
        </row>
        <row r="372">
          <cell r="Z372" t="b">
            <v>0</v>
          </cell>
          <cell r="AA372" t="b">
            <v>0</v>
          </cell>
          <cell r="AB372" t="b">
            <v>0</v>
          </cell>
          <cell r="AC372" t="b">
            <v>0</v>
          </cell>
          <cell r="AD372" t="b">
            <v>0</v>
          </cell>
        </row>
        <row r="373">
          <cell r="Z373" t="b">
            <v>0</v>
          </cell>
          <cell r="AA373" t="b">
            <v>0</v>
          </cell>
          <cell r="AB373" t="b">
            <v>0</v>
          </cell>
          <cell r="AC373" t="b">
            <v>0</v>
          </cell>
          <cell r="AD373" t="b">
            <v>0</v>
          </cell>
        </row>
        <row r="374">
          <cell r="Z374" t="b">
            <v>0</v>
          </cell>
          <cell r="AA374" t="b">
            <v>0</v>
          </cell>
          <cell r="AB374" t="b">
            <v>0</v>
          </cell>
          <cell r="AC374" t="b">
            <v>0</v>
          </cell>
          <cell r="AD374" t="b">
            <v>0</v>
          </cell>
        </row>
        <row r="375">
          <cell r="Z375" t="b">
            <v>0</v>
          </cell>
          <cell r="AA375" t="b">
            <v>0</v>
          </cell>
          <cell r="AB375" t="b">
            <v>0</v>
          </cell>
          <cell r="AC375" t="b">
            <v>0</v>
          </cell>
          <cell r="AD375" t="b">
            <v>0</v>
          </cell>
        </row>
        <row r="376">
          <cell r="Z376" t="b">
            <v>0</v>
          </cell>
          <cell r="AA376" t="b">
            <v>0</v>
          </cell>
          <cell r="AB376" t="b">
            <v>0</v>
          </cell>
          <cell r="AC376" t="b">
            <v>0</v>
          </cell>
          <cell r="AD376" t="b">
            <v>0</v>
          </cell>
        </row>
        <row r="377">
          <cell r="Z377" t="b">
            <v>0</v>
          </cell>
          <cell r="AA377" t="b">
            <v>0</v>
          </cell>
          <cell r="AB377" t="b">
            <v>0</v>
          </cell>
          <cell r="AC377" t="b">
            <v>0</v>
          </cell>
          <cell r="AD377" t="b">
            <v>0</v>
          </cell>
        </row>
        <row r="378">
          <cell r="Z378" t="b">
            <v>0</v>
          </cell>
          <cell r="AA378" t="b">
            <v>0</v>
          </cell>
          <cell r="AB378" t="b">
            <v>0</v>
          </cell>
          <cell r="AC378" t="b">
            <v>0</v>
          </cell>
          <cell r="AD378" t="b">
            <v>0</v>
          </cell>
        </row>
        <row r="379">
          <cell r="Z379" t="b">
            <v>0</v>
          </cell>
          <cell r="AA379" t="b">
            <v>0</v>
          </cell>
          <cell r="AB379" t="b">
            <v>0</v>
          </cell>
          <cell r="AC379" t="b">
            <v>0</v>
          </cell>
          <cell r="AD379" t="b">
            <v>0</v>
          </cell>
        </row>
        <row r="380">
          <cell r="Z380" t="b">
            <v>0</v>
          </cell>
          <cell r="AA380" t="b">
            <v>0</v>
          </cell>
          <cell r="AB380" t="b">
            <v>0</v>
          </cell>
          <cell r="AC380" t="b">
            <v>0</v>
          </cell>
          <cell r="AD380" t="b">
            <v>0</v>
          </cell>
        </row>
        <row r="381">
          <cell r="Z381" t="b">
            <v>0</v>
          </cell>
          <cell r="AA381" t="b">
            <v>0</v>
          </cell>
          <cell r="AB381" t="b">
            <v>0</v>
          </cell>
          <cell r="AC381" t="b">
            <v>0</v>
          </cell>
          <cell r="AD381" t="b">
            <v>0</v>
          </cell>
        </row>
        <row r="382">
          <cell r="Z382" t="b">
            <v>0</v>
          </cell>
          <cell r="AA382" t="b">
            <v>0</v>
          </cell>
          <cell r="AB382" t="b">
            <v>0</v>
          </cell>
          <cell r="AC382" t="b">
            <v>0</v>
          </cell>
          <cell r="AD382" t="b">
            <v>0</v>
          </cell>
        </row>
        <row r="383">
          <cell r="Z383" t="b">
            <v>0</v>
          </cell>
          <cell r="AA383" t="b">
            <v>0</v>
          </cell>
          <cell r="AB383" t="b">
            <v>0</v>
          </cell>
          <cell r="AC383" t="b">
            <v>0</v>
          </cell>
          <cell r="AD383" t="b">
            <v>0</v>
          </cell>
        </row>
        <row r="384">
          <cell r="Z384" t="b">
            <v>0</v>
          </cell>
          <cell r="AA384" t="b">
            <v>0</v>
          </cell>
          <cell r="AB384" t="b">
            <v>0</v>
          </cell>
          <cell r="AC384" t="b">
            <v>0</v>
          </cell>
          <cell r="AD384" t="b">
            <v>0</v>
          </cell>
        </row>
        <row r="385">
          <cell r="Z385" t="b">
            <v>0</v>
          </cell>
          <cell r="AA385" t="b">
            <v>0</v>
          </cell>
          <cell r="AB385" t="b">
            <v>0</v>
          </cell>
          <cell r="AC385" t="b">
            <v>0</v>
          </cell>
          <cell r="AD385" t="b">
            <v>0</v>
          </cell>
        </row>
        <row r="386">
          <cell r="Z386" t="b">
            <v>0</v>
          </cell>
          <cell r="AA386" t="b">
            <v>0</v>
          </cell>
          <cell r="AB386" t="b">
            <v>0</v>
          </cell>
          <cell r="AC386" t="b">
            <v>0</v>
          </cell>
          <cell r="AD386" t="b">
            <v>0</v>
          </cell>
        </row>
        <row r="387">
          <cell r="Z387" t="b">
            <v>0</v>
          </cell>
          <cell r="AA387" t="b">
            <v>0</v>
          </cell>
          <cell r="AB387" t="b">
            <v>0</v>
          </cell>
          <cell r="AC387" t="b">
            <v>0</v>
          </cell>
          <cell r="AD387" t="b">
            <v>0</v>
          </cell>
        </row>
        <row r="388">
          <cell r="Z388" t="b">
            <v>0</v>
          </cell>
          <cell r="AA388" t="b">
            <v>0</v>
          </cell>
          <cell r="AB388" t="b">
            <v>0</v>
          </cell>
          <cell r="AC388" t="b">
            <v>0</v>
          </cell>
          <cell r="AD388" t="b">
            <v>0</v>
          </cell>
        </row>
        <row r="389">
          <cell r="Z389" t="b">
            <v>0</v>
          </cell>
          <cell r="AA389" t="b">
            <v>0</v>
          </cell>
          <cell r="AB389" t="b">
            <v>0</v>
          </cell>
          <cell r="AC389" t="b">
            <v>0</v>
          </cell>
          <cell r="AD389" t="b">
            <v>0</v>
          </cell>
        </row>
        <row r="390">
          <cell r="Z390" t="b">
            <v>0</v>
          </cell>
          <cell r="AA390" t="b">
            <v>0</v>
          </cell>
          <cell r="AB390" t="b">
            <v>0</v>
          </cell>
          <cell r="AC390" t="b">
            <v>0</v>
          </cell>
          <cell r="AD390" t="b">
            <v>0</v>
          </cell>
        </row>
        <row r="391">
          <cell r="Z391" t="b">
            <v>0</v>
          </cell>
          <cell r="AA391" t="b">
            <v>0</v>
          </cell>
          <cell r="AB391" t="b">
            <v>0</v>
          </cell>
          <cell r="AC391" t="b">
            <v>0</v>
          </cell>
          <cell r="AD391" t="b">
            <v>0</v>
          </cell>
        </row>
        <row r="392">
          <cell r="Z392" t="b">
            <v>0</v>
          </cell>
          <cell r="AA392" t="b">
            <v>0</v>
          </cell>
          <cell r="AB392" t="b">
            <v>0</v>
          </cell>
          <cell r="AC392" t="b">
            <v>0</v>
          </cell>
          <cell r="AD392" t="b">
            <v>0</v>
          </cell>
        </row>
        <row r="393">
          <cell r="Z393" t="b">
            <v>0</v>
          </cell>
          <cell r="AA393" t="b">
            <v>0</v>
          </cell>
          <cell r="AB393" t="b">
            <v>0</v>
          </cell>
          <cell r="AC393" t="b">
            <v>0</v>
          </cell>
          <cell r="AD393" t="b">
            <v>0</v>
          </cell>
        </row>
        <row r="394">
          <cell r="Z394" t="b">
            <v>0</v>
          </cell>
          <cell r="AA394" t="b">
            <v>0</v>
          </cell>
          <cell r="AB394" t="b">
            <v>0</v>
          </cell>
          <cell r="AC394" t="b">
            <v>0</v>
          </cell>
          <cell r="AD394" t="b">
            <v>0</v>
          </cell>
        </row>
        <row r="395">
          <cell r="Z395" t="b">
            <v>0</v>
          </cell>
          <cell r="AA395" t="b">
            <v>0</v>
          </cell>
          <cell r="AB395" t="b">
            <v>0</v>
          </cell>
          <cell r="AC395" t="b">
            <v>0</v>
          </cell>
          <cell r="AD395" t="b">
            <v>0</v>
          </cell>
        </row>
        <row r="396">
          <cell r="Z396" t="b">
            <v>0</v>
          </cell>
          <cell r="AA396" t="b">
            <v>0</v>
          </cell>
          <cell r="AB396" t="b">
            <v>0</v>
          </cell>
          <cell r="AC396" t="b">
            <v>0</v>
          </cell>
          <cell r="AD396" t="b">
            <v>0</v>
          </cell>
        </row>
        <row r="397">
          <cell r="Z397" t="b">
            <v>0</v>
          </cell>
          <cell r="AA397" t="b">
            <v>0</v>
          </cell>
          <cell r="AB397" t="b">
            <v>0</v>
          </cell>
          <cell r="AC397" t="b">
            <v>0</v>
          </cell>
          <cell r="AD397" t="b">
            <v>0</v>
          </cell>
        </row>
        <row r="398">
          <cell r="Z398" t="b">
            <v>0</v>
          </cell>
          <cell r="AA398" t="b">
            <v>0</v>
          </cell>
          <cell r="AB398" t="b">
            <v>0</v>
          </cell>
          <cell r="AC398" t="b">
            <v>0</v>
          </cell>
          <cell r="AD398" t="b">
            <v>0</v>
          </cell>
        </row>
        <row r="399">
          <cell r="Z399" t="b">
            <v>0</v>
          </cell>
          <cell r="AA399" t="b">
            <v>0</v>
          </cell>
          <cell r="AB399" t="b">
            <v>0</v>
          </cell>
          <cell r="AC399" t="b">
            <v>0</v>
          </cell>
          <cell r="AD399" t="b">
            <v>0</v>
          </cell>
        </row>
        <row r="400">
          <cell r="Z400" t="b">
            <v>0</v>
          </cell>
          <cell r="AA400" t="b">
            <v>0</v>
          </cell>
          <cell r="AB400" t="b">
            <v>0</v>
          </cell>
          <cell r="AC400" t="b">
            <v>0</v>
          </cell>
          <cell r="AD400" t="b">
            <v>0</v>
          </cell>
        </row>
        <row r="401">
          <cell r="Z401" t="b">
            <v>0</v>
          </cell>
          <cell r="AA401" t="b">
            <v>0</v>
          </cell>
          <cell r="AB401" t="b">
            <v>0</v>
          </cell>
          <cell r="AC401" t="b">
            <v>0</v>
          </cell>
          <cell r="AD401" t="b">
            <v>0</v>
          </cell>
        </row>
        <row r="402">
          <cell r="Z402" t="b">
            <v>0</v>
          </cell>
          <cell r="AA402" t="b">
            <v>0</v>
          </cell>
          <cell r="AB402" t="b">
            <v>0</v>
          </cell>
          <cell r="AC402" t="b">
            <v>0</v>
          </cell>
          <cell r="AD402" t="b">
            <v>0</v>
          </cell>
        </row>
        <row r="403">
          <cell r="Z403" t="b">
            <v>0</v>
          </cell>
          <cell r="AA403" t="b">
            <v>0</v>
          </cell>
          <cell r="AB403" t="b">
            <v>0</v>
          </cell>
          <cell r="AC403" t="b">
            <v>0</v>
          </cell>
          <cell r="AD403" t="b">
            <v>0</v>
          </cell>
        </row>
        <row r="404">
          <cell r="Z404" t="b">
            <v>0</v>
          </cell>
          <cell r="AA404" t="b">
            <v>0</v>
          </cell>
          <cell r="AB404" t="b">
            <v>0</v>
          </cell>
          <cell r="AC404" t="b">
            <v>0</v>
          </cell>
          <cell r="AD404" t="b">
            <v>0</v>
          </cell>
        </row>
        <row r="405">
          <cell r="Z405" t="b">
            <v>0</v>
          </cell>
          <cell r="AA405" t="b">
            <v>0</v>
          </cell>
          <cell r="AB405" t="b">
            <v>0</v>
          </cell>
          <cell r="AC405" t="b">
            <v>0</v>
          </cell>
          <cell r="AD405" t="b">
            <v>0</v>
          </cell>
        </row>
        <row r="406">
          <cell r="Z406" t="b">
            <v>0</v>
          </cell>
          <cell r="AA406" t="b">
            <v>0</v>
          </cell>
          <cell r="AB406" t="b">
            <v>0</v>
          </cell>
          <cell r="AC406" t="b">
            <v>0</v>
          </cell>
          <cell r="AD406" t="b">
            <v>0</v>
          </cell>
        </row>
        <row r="407">
          <cell r="Z407" t="b">
            <v>0</v>
          </cell>
          <cell r="AA407" t="b">
            <v>0</v>
          </cell>
          <cell r="AB407" t="b">
            <v>0</v>
          </cell>
          <cell r="AC407" t="b">
            <v>0</v>
          </cell>
          <cell r="AD407" t="b">
            <v>0</v>
          </cell>
        </row>
        <row r="408">
          <cell r="Z408" t="b">
            <v>0</v>
          </cell>
          <cell r="AA408" t="b">
            <v>0</v>
          </cell>
          <cell r="AB408" t="b">
            <v>0</v>
          </cell>
          <cell r="AC408" t="b">
            <v>0</v>
          </cell>
          <cell r="AD408" t="b">
            <v>0</v>
          </cell>
        </row>
        <row r="409">
          <cell r="Z409" t="b">
            <v>0</v>
          </cell>
          <cell r="AA409" t="b">
            <v>0</v>
          </cell>
          <cell r="AB409" t="b">
            <v>0</v>
          </cell>
          <cell r="AC409" t="b">
            <v>0</v>
          </cell>
          <cell r="AD409" t="b">
            <v>0</v>
          </cell>
        </row>
        <row r="410">
          <cell r="Z410" t="b">
            <v>0</v>
          </cell>
          <cell r="AA410" t="b">
            <v>0</v>
          </cell>
          <cell r="AB410" t="b">
            <v>0</v>
          </cell>
          <cell r="AC410" t="b">
            <v>0</v>
          </cell>
          <cell r="AD410" t="b">
            <v>0</v>
          </cell>
        </row>
        <row r="411">
          <cell r="Z411" t="b">
            <v>0</v>
          </cell>
          <cell r="AA411" t="b">
            <v>0</v>
          </cell>
          <cell r="AB411" t="b">
            <v>0</v>
          </cell>
          <cell r="AC411" t="b">
            <v>0</v>
          </cell>
          <cell r="AD411" t="b">
            <v>0</v>
          </cell>
        </row>
        <row r="412">
          <cell r="Z412" t="b">
            <v>0</v>
          </cell>
          <cell r="AA412" t="b">
            <v>0</v>
          </cell>
          <cell r="AB412" t="b">
            <v>0</v>
          </cell>
          <cell r="AC412" t="b">
            <v>0</v>
          </cell>
          <cell r="AD412" t="b">
            <v>0</v>
          </cell>
        </row>
        <row r="413">
          <cell r="Z413" t="b">
            <v>0</v>
          </cell>
          <cell r="AA413" t="b">
            <v>0</v>
          </cell>
          <cell r="AB413" t="b">
            <v>0</v>
          </cell>
          <cell r="AC413" t="b">
            <v>0</v>
          </cell>
          <cell r="AD413" t="b">
            <v>0</v>
          </cell>
        </row>
        <row r="414">
          <cell r="Z414" t="b">
            <v>0</v>
          </cell>
          <cell r="AA414" t="b">
            <v>0</v>
          </cell>
          <cell r="AB414" t="b">
            <v>0</v>
          </cell>
          <cell r="AC414" t="b">
            <v>0</v>
          </cell>
          <cell r="AD414" t="b">
            <v>0</v>
          </cell>
        </row>
        <row r="415">
          <cell r="Z415" t="b">
            <v>0</v>
          </cell>
          <cell r="AA415" t="b">
            <v>0</v>
          </cell>
          <cell r="AB415" t="b">
            <v>0</v>
          </cell>
          <cell r="AC415" t="b">
            <v>0</v>
          </cell>
          <cell r="AD415" t="b">
            <v>0</v>
          </cell>
        </row>
        <row r="416">
          <cell r="Z416" t="b">
            <v>0</v>
          </cell>
          <cell r="AA416" t="b">
            <v>0</v>
          </cell>
          <cell r="AB416" t="b">
            <v>0</v>
          </cell>
          <cell r="AC416" t="b">
            <v>0</v>
          </cell>
          <cell r="AD416" t="b">
            <v>0</v>
          </cell>
        </row>
        <row r="417">
          <cell r="Z417" t="b">
            <v>0</v>
          </cell>
          <cell r="AA417" t="b">
            <v>0</v>
          </cell>
          <cell r="AB417" t="b">
            <v>0</v>
          </cell>
          <cell r="AC417" t="b">
            <v>0</v>
          </cell>
          <cell r="AD417" t="b">
            <v>0</v>
          </cell>
        </row>
        <row r="418">
          <cell r="Z418" t="b">
            <v>0</v>
          </cell>
          <cell r="AA418" t="b">
            <v>0</v>
          </cell>
          <cell r="AB418" t="b">
            <v>0</v>
          </cell>
          <cell r="AC418" t="b">
            <v>0</v>
          </cell>
          <cell r="AD418" t="b">
            <v>0</v>
          </cell>
        </row>
        <row r="419">
          <cell r="Z419" t="b">
            <v>0</v>
          </cell>
          <cell r="AA419" t="b">
            <v>0</v>
          </cell>
          <cell r="AB419" t="b">
            <v>0</v>
          </cell>
          <cell r="AC419" t="b">
            <v>0</v>
          </cell>
          <cell r="AD419" t="b">
            <v>0</v>
          </cell>
        </row>
        <row r="420">
          <cell r="Z420" t="b">
            <v>0</v>
          </cell>
          <cell r="AA420" t="b">
            <v>0</v>
          </cell>
          <cell r="AB420" t="b">
            <v>0</v>
          </cell>
          <cell r="AC420" t="b">
            <v>0</v>
          </cell>
          <cell r="AD420" t="b">
            <v>0</v>
          </cell>
        </row>
        <row r="421">
          <cell r="Z421" t="b">
            <v>0</v>
          </cell>
          <cell r="AA421" t="b">
            <v>0</v>
          </cell>
          <cell r="AB421" t="b">
            <v>0</v>
          </cell>
          <cell r="AC421" t="b">
            <v>0</v>
          </cell>
          <cell r="AD421" t="b">
            <v>0</v>
          </cell>
        </row>
        <row r="422">
          <cell r="Z422" t="b">
            <v>0</v>
          </cell>
          <cell r="AA422" t="b">
            <v>0</v>
          </cell>
          <cell r="AB422" t="b">
            <v>0</v>
          </cell>
          <cell r="AC422" t="b">
            <v>0</v>
          </cell>
          <cell r="AD422" t="b">
            <v>0</v>
          </cell>
        </row>
        <row r="423">
          <cell r="Z423" t="b">
            <v>0</v>
          </cell>
          <cell r="AA423" t="b">
            <v>0</v>
          </cell>
          <cell r="AB423" t="b">
            <v>0</v>
          </cell>
          <cell r="AC423" t="b">
            <v>0</v>
          </cell>
          <cell r="AD423" t="b">
            <v>0</v>
          </cell>
        </row>
        <row r="424">
          <cell r="Z424" t="b">
            <v>0</v>
          </cell>
          <cell r="AA424" t="b">
            <v>0</v>
          </cell>
          <cell r="AB424" t="b">
            <v>0</v>
          </cell>
          <cell r="AC424" t="b">
            <v>0</v>
          </cell>
          <cell r="AD424" t="b">
            <v>0</v>
          </cell>
        </row>
        <row r="425">
          <cell r="Z425" t="b">
            <v>0</v>
          </cell>
          <cell r="AA425" t="b">
            <v>0</v>
          </cell>
          <cell r="AB425" t="b">
            <v>0</v>
          </cell>
          <cell r="AC425" t="b">
            <v>0</v>
          </cell>
          <cell r="AD425" t="b">
            <v>0</v>
          </cell>
        </row>
        <row r="426">
          <cell r="Z426" t="b">
            <v>0</v>
          </cell>
          <cell r="AA426" t="b">
            <v>0</v>
          </cell>
          <cell r="AB426" t="b">
            <v>0</v>
          </cell>
          <cell r="AC426" t="b">
            <v>0</v>
          </cell>
          <cell r="AD426" t="b">
            <v>0</v>
          </cell>
        </row>
        <row r="427">
          <cell r="Z427" t="b">
            <v>0</v>
          </cell>
          <cell r="AA427" t="b">
            <v>0</v>
          </cell>
          <cell r="AB427" t="b">
            <v>0</v>
          </cell>
          <cell r="AC427" t="b">
            <v>0</v>
          </cell>
          <cell r="AD427" t="b">
            <v>0</v>
          </cell>
        </row>
        <row r="428">
          <cell r="Z428" t="b">
            <v>0</v>
          </cell>
          <cell r="AA428" t="b">
            <v>0</v>
          </cell>
          <cell r="AB428" t="b">
            <v>0</v>
          </cell>
          <cell r="AC428" t="b">
            <v>0</v>
          </cell>
          <cell r="AD428" t="b">
            <v>0</v>
          </cell>
        </row>
        <row r="429">
          <cell r="Z429" t="b">
            <v>0</v>
          </cell>
          <cell r="AA429" t="b">
            <v>0</v>
          </cell>
          <cell r="AB429" t="b">
            <v>0</v>
          </cell>
          <cell r="AC429" t="b">
            <v>0</v>
          </cell>
          <cell r="AD429" t="b">
            <v>0</v>
          </cell>
        </row>
        <row r="430">
          <cell r="Z430" t="b">
            <v>0</v>
          </cell>
          <cell r="AA430" t="b">
            <v>0</v>
          </cell>
          <cell r="AB430" t="b">
            <v>0</v>
          </cell>
          <cell r="AC430" t="b">
            <v>0</v>
          </cell>
          <cell r="AD430" t="b">
            <v>0</v>
          </cell>
        </row>
        <row r="431">
          <cell r="Z431" t="b">
            <v>0</v>
          </cell>
          <cell r="AA431" t="b">
            <v>0</v>
          </cell>
          <cell r="AB431" t="b">
            <v>0</v>
          </cell>
          <cell r="AC431" t="b">
            <v>0</v>
          </cell>
          <cell r="AD431" t="b">
            <v>0</v>
          </cell>
        </row>
        <row r="432">
          <cell r="Z432" t="b">
            <v>0</v>
          </cell>
          <cell r="AA432" t="b">
            <v>0</v>
          </cell>
          <cell r="AB432" t="b">
            <v>0</v>
          </cell>
          <cell r="AC432" t="b">
            <v>0</v>
          </cell>
          <cell r="AD432" t="b">
            <v>0</v>
          </cell>
        </row>
        <row r="433">
          <cell r="Z433" t="b">
            <v>0</v>
          </cell>
          <cell r="AA433" t="b">
            <v>0</v>
          </cell>
          <cell r="AB433" t="b">
            <v>0</v>
          </cell>
          <cell r="AC433" t="b">
            <v>0</v>
          </cell>
          <cell r="AD433" t="b">
            <v>0</v>
          </cell>
        </row>
        <row r="434">
          <cell r="Z434" t="b">
            <v>0</v>
          </cell>
          <cell r="AA434" t="b">
            <v>0</v>
          </cell>
          <cell r="AB434" t="b">
            <v>0</v>
          </cell>
          <cell r="AC434" t="b">
            <v>0</v>
          </cell>
          <cell r="AD434" t="b">
            <v>0</v>
          </cell>
        </row>
        <row r="435">
          <cell r="Z435" t="b">
            <v>0</v>
          </cell>
          <cell r="AA435" t="b">
            <v>0</v>
          </cell>
          <cell r="AB435" t="b">
            <v>0</v>
          </cell>
          <cell r="AC435" t="b">
            <v>0</v>
          </cell>
          <cell r="AD435" t="b">
            <v>0</v>
          </cell>
        </row>
        <row r="436">
          <cell r="Z436" t="b">
            <v>0</v>
          </cell>
          <cell r="AA436" t="b">
            <v>0</v>
          </cell>
          <cell r="AB436" t="b">
            <v>0</v>
          </cell>
          <cell r="AC436" t="b">
            <v>0</v>
          </cell>
          <cell r="AD436" t="b">
            <v>0</v>
          </cell>
        </row>
        <row r="437">
          <cell r="Z437" t="b">
            <v>0</v>
          </cell>
          <cell r="AA437" t="b">
            <v>0</v>
          </cell>
          <cell r="AB437" t="b">
            <v>0</v>
          </cell>
          <cell r="AC437" t="b">
            <v>0</v>
          </cell>
          <cell r="AD437" t="b">
            <v>0</v>
          </cell>
        </row>
        <row r="438">
          <cell r="Z438" t="b">
            <v>0</v>
          </cell>
          <cell r="AA438" t="b">
            <v>0</v>
          </cell>
          <cell r="AB438" t="b">
            <v>0</v>
          </cell>
          <cell r="AC438" t="b">
            <v>0</v>
          </cell>
          <cell r="AD438" t="b">
            <v>0</v>
          </cell>
        </row>
        <row r="439">
          <cell r="Z439" t="b">
            <v>0</v>
          </cell>
          <cell r="AA439" t="b">
            <v>0</v>
          </cell>
          <cell r="AB439" t="b">
            <v>0</v>
          </cell>
          <cell r="AC439" t="b">
            <v>0</v>
          </cell>
          <cell r="AD439" t="b">
            <v>0</v>
          </cell>
        </row>
        <row r="440">
          <cell r="Z440" t="b">
            <v>0</v>
          </cell>
          <cell r="AA440" t="b">
            <v>0</v>
          </cell>
          <cell r="AB440" t="b">
            <v>0</v>
          </cell>
          <cell r="AC440" t="b">
            <v>0</v>
          </cell>
          <cell r="AD440" t="b">
            <v>0</v>
          </cell>
        </row>
        <row r="441">
          <cell r="Z441" t="b">
            <v>0</v>
          </cell>
          <cell r="AA441" t="b">
            <v>0</v>
          </cell>
          <cell r="AB441" t="b">
            <v>0</v>
          </cell>
          <cell r="AC441" t="b">
            <v>0</v>
          </cell>
          <cell r="AD441" t="b">
            <v>0</v>
          </cell>
        </row>
        <row r="442">
          <cell r="Z442" t="b">
            <v>0</v>
          </cell>
          <cell r="AA442" t="b">
            <v>0</v>
          </cell>
          <cell r="AB442" t="b">
            <v>0</v>
          </cell>
          <cell r="AC442" t="b">
            <v>0</v>
          </cell>
          <cell r="AD442" t="b">
            <v>0</v>
          </cell>
        </row>
        <row r="443">
          <cell r="Z443" t="b">
            <v>0</v>
          </cell>
          <cell r="AA443" t="b">
            <v>0</v>
          </cell>
          <cell r="AB443" t="b">
            <v>0</v>
          </cell>
          <cell r="AC443" t="b">
            <v>0</v>
          </cell>
          <cell r="AD443" t="b">
            <v>0</v>
          </cell>
        </row>
        <row r="444">
          <cell r="Z444" t="b">
            <v>0</v>
          </cell>
          <cell r="AA444" t="b">
            <v>0</v>
          </cell>
          <cell r="AB444" t="b">
            <v>0</v>
          </cell>
          <cell r="AC444" t="b">
            <v>0</v>
          </cell>
          <cell r="AD444" t="b">
            <v>0</v>
          </cell>
        </row>
        <row r="445">
          <cell r="Z445" t="b">
            <v>0</v>
          </cell>
          <cell r="AA445" t="b">
            <v>0</v>
          </cell>
          <cell r="AB445" t="b">
            <v>0</v>
          </cell>
          <cell r="AC445" t="b">
            <v>0</v>
          </cell>
          <cell r="AD445" t="b">
            <v>0</v>
          </cell>
        </row>
        <row r="446">
          <cell r="Z446" t="b">
            <v>0</v>
          </cell>
          <cell r="AA446" t="b">
            <v>0</v>
          </cell>
          <cell r="AB446" t="b">
            <v>0</v>
          </cell>
          <cell r="AC446" t="b">
            <v>0</v>
          </cell>
          <cell r="AD446" t="b">
            <v>0</v>
          </cell>
        </row>
        <row r="447">
          <cell r="Z447" t="b">
            <v>0</v>
          </cell>
          <cell r="AA447" t="b">
            <v>0</v>
          </cell>
          <cell r="AB447" t="b">
            <v>0</v>
          </cell>
          <cell r="AC447" t="b">
            <v>0</v>
          </cell>
          <cell r="AD447" t="b">
            <v>0</v>
          </cell>
        </row>
        <row r="448">
          <cell r="Z448" t="b">
            <v>0</v>
          </cell>
          <cell r="AA448" t="b">
            <v>0</v>
          </cell>
          <cell r="AB448" t="b">
            <v>0</v>
          </cell>
          <cell r="AC448" t="b">
            <v>0</v>
          </cell>
          <cell r="AD448" t="b">
            <v>0</v>
          </cell>
        </row>
        <row r="449">
          <cell r="Z449" t="b">
            <v>0</v>
          </cell>
          <cell r="AA449" t="b">
            <v>0</v>
          </cell>
          <cell r="AB449" t="b">
            <v>0</v>
          </cell>
          <cell r="AC449" t="b">
            <v>0</v>
          </cell>
          <cell r="AD449" t="b">
            <v>0</v>
          </cell>
        </row>
        <row r="450">
          <cell r="Z450" t="b">
            <v>0</v>
          </cell>
          <cell r="AA450" t="b">
            <v>0</v>
          </cell>
          <cell r="AB450" t="b">
            <v>0</v>
          </cell>
          <cell r="AC450" t="b">
            <v>0</v>
          </cell>
          <cell r="AD450" t="b">
            <v>0</v>
          </cell>
        </row>
        <row r="451">
          <cell r="Z451" t="b">
            <v>0</v>
          </cell>
          <cell r="AA451" t="b">
            <v>0</v>
          </cell>
          <cell r="AB451" t="b">
            <v>0</v>
          </cell>
          <cell r="AC451" t="b">
            <v>0</v>
          </cell>
          <cell r="AD451" t="b">
            <v>0</v>
          </cell>
        </row>
        <row r="452">
          <cell r="Z452" t="b">
            <v>0</v>
          </cell>
          <cell r="AA452" t="b">
            <v>0</v>
          </cell>
          <cell r="AB452" t="b">
            <v>0</v>
          </cell>
          <cell r="AC452" t="b">
            <v>0</v>
          </cell>
          <cell r="AD452" t="b">
            <v>0</v>
          </cell>
        </row>
        <row r="453">
          <cell r="Z453" t="b">
            <v>0</v>
          </cell>
          <cell r="AA453" t="b">
            <v>0</v>
          </cell>
          <cell r="AB453" t="b">
            <v>0</v>
          </cell>
          <cell r="AC453" t="b">
            <v>0</v>
          </cell>
          <cell r="AD453" t="b">
            <v>0</v>
          </cell>
        </row>
        <row r="454">
          <cell r="Z454" t="b">
            <v>0</v>
          </cell>
          <cell r="AA454" t="b">
            <v>0</v>
          </cell>
          <cell r="AB454" t="b">
            <v>0</v>
          </cell>
          <cell r="AC454" t="b">
            <v>0</v>
          </cell>
          <cell r="AD454" t="b">
            <v>0</v>
          </cell>
        </row>
        <row r="455">
          <cell r="Z455" t="b">
            <v>0</v>
          </cell>
          <cell r="AA455" t="b">
            <v>0</v>
          </cell>
          <cell r="AB455" t="b">
            <v>0</v>
          </cell>
          <cell r="AC455" t="b">
            <v>0</v>
          </cell>
          <cell r="AD455" t="b">
            <v>0</v>
          </cell>
        </row>
        <row r="456">
          <cell r="Z456" t="b">
            <v>0</v>
          </cell>
          <cell r="AA456" t="b">
            <v>0</v>
          </cell>
          <cell r="AB456" t="b">
            <v>0</v>
          </cell>
          <cell r="AC456" t="b">
            <v>0</v>
          </cell>
          <cell r="AD456" t="b">
            <v>0</v>
          </cell>
        </row>
        <row r="457">
          <cell r="Z457" t="b">
            <v>0</v>
          </cell>
          <cell r="AA457" t="b">
            <v>0</v>
          </cell>
          <cell r="AB457" t="b">
            <v>0</v>
          </cell>
          <cell r="AC457" t="b">
            <v>0</v>
          </cell>
          <cell r="AD457" t="b">
            <v>0</v>
          </cell>
        </row>
        <row r="458">
          <cell r="Z458" t="b">
            <v>0</v>
          </cell>
          <cell r="AA458" t="b">
            <v>0</v>
          </cell>
          <cell r="AB458" t="b">
            <v>0</v>
          </cell>
          <cell r="AC458" t="b">
            <v>0</v>
          </cell>
          <cell r="AD458" t="b">
            <v>0</v>
          </cell>
        </row>
        <row r="459">
          <cell r="Z459" t="b">
            <v>0</v>
          </cell>
          <cell r="AA459" t="b">
            <v>0</v>
          </cell>
          <cell r="AB459" t="b">
            <v>0</v>
          </cell>
          <cell r="AC459" t="b">
            <v>0</v>
          </cell>
          <cell r="AD459" t="b">
            <v>0</v>
          </cell>
        </row>
        <row r="460">
          <cell r="Z460" t="b">
            <v>0</v>
          </cell>
          <cell r="AA460" t="b">
            <v>0</v>
          </cell>
          <cell r="AB460" t="b">
            <v>0</v>
          </cell>
          <cell r="AC460" t="b">
            <v>0</v>
          </cell>
          <cell r="AD460" t="b">
            <v>0</v>
          </cell>
        </row>
        <row r="461">
          <cell r="Z461" t="b">
            <v>0</v>
          </cell>
          <cell r="AA461" t="b">
            <v>0</v>
          </cell>
          <cell r="AB461" t="b">
            <v>0</v>
          </cell>
          <cell r="AC461" t="b">
            <v>0</v>
          </cell>
          <cell r="AD461" t="b">
            <v>0</v>
          </cell>
        </row>
        <row r="462">
          <cell r="Z462" t="b">
            <v>0</v>
          </cell>
          <cell r="AA462" t="b">
            <v>0</v>
          </cell>
          <cell r="AB462" t="b">
            <v>0</v>
          </cell>
          <cell r="AC462" t="b">
            <v>0</v>
          </cell>
          <cell r="AD462" t="b">
            <v>0</v>
          </cell>
        </row>
        <row r="463">
          <cell r="Z463" t="b">
            <v>0</v>
          </cell>
          <cell r="AA463" t="b">
            <v>0</v>
          </cell>
          <cell r="AB463" t="b">
            <v>0</v>
          </cell>
          <cell r="AC463" t="b">
            <v>0</v>
          </cell>
          <cell r="AD463" t="b">
            <v>0</v>
          </cell>
        </row>
        <row r="464">
          <cell r="Z464" t="b">
            <v>0</v>
          </cell>
          <cell r="AA464" t="b">
            <v>0</v>
          </cell>
          <cell r="AB464" t="b">
            <v>0</v>
          </cell>
          <cell r="AC464" t="b">
            <v>0</v>
          </cell>
          <cell r="AD464" t="b">
            <v>0</v>
          </cell>
        </row>
        <row r="465">
          <cell r="Z465" t="b">
            <v>0</v>
          </cell>
          <cell r="AA465" t="b">
            <v>0</v>
          </cell>
          <cell r="AB465" t="b">
            <v>0</v>
          </cell>
          <cell r="AC465" t="b">
            <v>0</v>
          </cell>
          <cell r="AD465" t="b">
            <v>0</v>
          </cell>
        </row>
        <row r="466">
          <cell r="Z466" t="b">
            <v>0</v>
          </cell>
          <cell r="AA466" t="b">
            <v>0</v>
          </cell>
          <cell r="AB466" t="b">
            <v>0</v>
          </cell>
          <cell r="AC466" t="b">
            <v>0</v>
          </cell>
          <cell r="AD466" t="b">
            <v>0</v>
          </cell>
        </row>
        <row r="467">
          <cell r="Z467" t="b">
            <v>0</v>
          </cell>
          <cell r="AA467" t="b">
            <v>0</v>
          </cell>
          <cell r="AB467" t="b">
            <v>0</v>
          </cell>
          <cell r="AC467" t="b">
            <v>0</v>
          </cell>
          <cell r="AD467" t="b">
            <v>0</v>
          </cell>
        </row>
        <row r="468">
          <cell r="Z468" t="b">
            <v>0</v>
          </cell>
          <cell r="AA468" t="b">
            <v>0</v>
          </cell>
          <cell r="AB468" t="b">
            <v>0</v>
          </cell>
          <cell r="AC468" t="b">
            <v>0</v>
          </cell>
          <cell r="AD468" t="b">
            <v>0</v>
          </cell>
        </row>
        <row r="469">
          <cell r="Z469" t="b">
            <v>0</v>
          </cell>
          <cell r="AA469" t="b">
            <v>0</v>
          </cell>
          <cell r="AB469" t="b">
            <v>0</v>
          </cell>
          <cell r="AC469" t="b">
            <v>0</v>
          </cell>
          <cell r="AD469" t="b">
            <v>0</v>
          </cell>
        </row>
        <row r="470">
          <cell r="Z470" t="b">
            <v>0</v>
          </cell>
          <cell r="AA470" t="b">
            <v>0</v>
          </cell>
          <cell r="AB470" t="b">
            <v>0</v>
          </cell>
          <cell r="AC470" t="b">
            <v>0</v>
          </cell>
          <cell r="AD470" t="b">
            <v>0</v>
          </cell>
        </row>
        <row r="471">
          <cell r="Z471" t="b">
            <v>0</v>
          </cell>
          <cell r="AA471" t="b">
            <v>0</v>
          </cell>
          <cell r="AB471" t="b">
            <v>0</v>
          </cell>
          <cell r="AC471" t="b">
            <v>0</v>
          </cell>
          <cell r="AD471" t="b">
            <v>0</v>
          </cell>
        </row>
        <row r="472">
          <cell r="Z472" t="b">
            <v>0</v>
          </cell>
          <cell r="AA472" t="b">
            <v>0</v>
          </cell>
          <cell r="AB472" t="b">
            <v>0</v>
          </cell>
          <cell r="AC472" t="b">
            <v>0</v>
          </cell>
          <cell r="AD472" t="b">
            <v>0</v>
          </cell>
        </row>
        <row r="473">
          <cell r="Z473" t="b">
            <v>0</v>
          </cell>
          <cell r="AA473" t="b">
            <v>0</v>
          </cell>
          <cell r="AB473" t="b">
            <v>0</v>
          </cell>
          <cell r="AC473" t="b">
            <v>0</v>
          </cell>
          <cell r="AD473" t="b">
            <v>0</v>
          </cell>
        </row>
        <row r="474">
          <cell r="Z474" t="b">
            <v>0</v>
          </cell>
          <cell r="AA474" t="b">
            <v>0</v>
          </cell>
          <cell r="AB474" t="b">
            <v>0</v>
          </cell>
          <cell r="AC474" t="b">
            <v>0</v>
          </cell>
          <cell r="AD474" t="b">
            <v>0</v>
          </cell>
        </row>
        <row r="475">
          <cell r="Z475" t="b">
            <v>0</v>
          </cell>
          <cell r="AA475" t="b">
            <v>0</v>
          </cell>
          <cell r="AB475" t="b">
            <v>0</v>
          </cell>
          <cell r="AC475" t="b">
            <v>0</v>
          </cell>
          <cell r="AD475" t="b">
            <v>0</v>
          </cell>
        </row>
        <row r="476">
          <cell r="Z476" t="b">
            <v>0</v>
          </cell>
          <cell r="AA476" t="b">
            <v>0</v>
          </cell>
          <cell r="AB476" t="b">
            <v>0</v>
          </cell>
          <cell r="AC476" t="b">
            <v>0</v>
          </cell>
          <cell r="AD476" t="b">
            <v>0</v>
          </cell>
        </row>
        <row r="477">
          <cell r="Z477" t="b">
            <v>0</v>
          </cell>
          <cell r="AA477" t="b">
            <v>0</v>
          </cell>
          <cell r="AB477" t="b">
            <v>0</v>
          </cell>
          <cell r="AC477" t="b">
            <v>0</v>
          </cell>
          <cell r="AD477" t="b">
            <v>0</v>
          </cell>
        </row>
        <row r="478">
          <cell r="Z478" t="b">
            <v>0</v>
          </cell>
          <cell r="AA478" t="b">
            <v>0</v>
          </cell>
          <cell r="AB478" t="b">
            <v>0</v>
          </cell>
          <cell r="AC478" t="b">
            <v>0</v>
          </cell>
          <cell r="AD478" t="b">
            <v>0</v>
          </cell>
        </row>
        <row r="479">
          <cell r="Z479" t="b">
            <v>0</v>
          </cell>
          <cell r="AA479" t="b">
            <v>0</v>
          </cell>
          <cell r="AB479" t="b">
            <v>0</v>
          </cell>
          <cell r="AC479" t="b">
            <v>0</v>
          </cell>
          <cell r="AD479" t="b">
            <v>0</v>
          </cell>
        </row>
        <row r="480">
          <cell r="Z480" t="b">
            <v>0</v>
          </cell>
          <cell r="AA480" t="b">
            <v>0</v>
          </cell>
          <cell r="AB480" t="b">
            <v>0</v>
          </cell>
          <cell r="AC480" t="b">
            <v>0</v>
          </cell>
          <cell r="AD480" t="b">
            <v>0</v>
          </cell>
        </row>
        <row r="481">
          <cell r="Z481" t="b">
            <v>0</v>
          </cell>
          <cell r="AA481" t="b">
            <v>0</v>
          </cell>
          <cell r="AB481" t="b">
            <v>0</v>
          </cell>
          <cell r="AC481" t="b">
            <v>0</v>
          </cell>
          <cell r="AD481" t="b">
            <v>0</v>
          </cell>
        </row>
        <row r="482">
          <cell r="Z482" t="b">
            <v>0</v>
          </cell>
          <cell r="AA482" t="b">
            <v>0</v>
          </cell>
          <cell r="AB482" t="b">
            <v>0</v>
          </cell>
          <cell r="AC482" t="b">
            <v>0</v>
          </cell>
          <cell r="AD482" t="b">
            <v>0</v>
          </cell>
        </row>
        <row r="483">
          <cell r="Z483" t="b">
            <v>0</v>
          </cell>
          <cell r="AA483" t="b">
            <v>0</v>
          </cell>
          <cell r="AB483" t="b">
            <v>0</v>
          </cell>
          <cell r="AC483" t="b">
            <v>0</v>
          </cell>
          <cell r="AD483" t="b">
            <v>0</v>
          </cell>
        </row>
        <row r="484">
          <cell r="Z484" t="b">
            <v>0</v>
          </cell>
          <cell r="AA484" t="b">
            <v>0</v>
          </cell>
          <cell r="AB484" t="b">
            <v>0</v>
          </cell>
          <cell r="AC484" t="b">
            <v>0</v>
          </cell>
          <cell r="AD484" t="b">
            <v>0</v>
          </cell>
        </row>
        <row r="485">
          <cell r="Z485" t="b">
            <v>0</v>
          </cell>
          <cell r="AA485" t="b">
            <v>0</v>
          </cell>
          <cell r="AB485" t="b">
            <v>0</v>
          </cell>
          <cell r="AC485" t="b">
            <v>0</v>
          </cell>
          <cell r="AD485" t="b">
            <v>0</v>
          </cell>
        </row>
        <row r="486">
          <cell r="Z486" t="b">
            <v>0</v>
          </cell>
          <cell r="AA486" t="b">
            <v>0</v>
          </cell>
          <cell r="AB486" t="b">
            <v>0</v>
          </cell>
          <cell r="AC486" t="b">
            <v>0</v>
          </cell>
          <cell r="AD486" t="b">
            <v>0</v>
          </cell>
        </row>
        <row r="487">
          <cell r="Z487" t="b">
            <v>0</v>
          </cell>
          <cell r="AA487" t="b">
            <v>0</v>
          </cell>
          <cell r="AB487" t="b">
            <v>0</v>
          </cell>
          <cell r="AC487" t="b">
            <v>0</v>
          </cell>
          <cell r="AD487" t="b">
            <v>0</v>
          </cell>
        </row>
        <row r="488">
          <cell r="Z488" t="b">
            <v>0</v>
          </cell>
          <cell r="AA488" t="b">
            <v>0</v>
          </cell>
          <cell r="AB488" t="b">
            <v>0</v>
          </cell>
          <cell r="AC488" t="b">
            <v>0</v>
          </cell>
          <cell r="AD488" t="b">
            <v>0</v>
          </cell>
        </row>
        <row r="489">
          <cell r="Z489" t="b">
            <v>0</v>
          </cell>
          <cell r="AA489" t="b">
            <v>0</v>
          </cell>
          <cell r="AB489" t="b">
            <v>0</v>
          </cell>
          <cell r="AC489" t="b">
            <v>0</v>
          </cell>
          <cell r="AD489" t="b">
            <v>0</v>
          </cell>
        </row>
        <row r="490">
          <cell r="Z490" t="b">
            <v>0</v>
          </cell>
          <cell r="AA490" t="b">
            <v>0</v>
          </cell>
          <cell r="AB490" t="b">
            <v>0</v>
          </cell>
          <cell r="AC490" t="b">
            <v>0</v>
          </cell>
          <cell r="AD490" t="b">
            <v>0</v>
          </cell>
        </row>
        <row r="491">
          <cell r="Z491" t="b">
            <v>0</v>
          </cell>
          <cell r="AA491" t="b">
            <v>0</v>
          </cell>
          <cell r="AB491" t="b">
            <v>0</v>
          </cell>
          <cell r="AC491" t="b">
            <v>0</v>
          </cell>
          <cell r="AD491" t="b">
            <v>0</v>
          </cell>
        </row>
        <row r="492">
          <cell r="Z492" t="b">
            <v>0</v>
          </cell>
          <cell r="AA492" t="b">
            <v>0</v>
          </cell>
          <cell r="AB492" t="b">
            <v>0</v>
          </cell>
          <cell r="AC492" t="b">
            <v>0</v>
          </cell>
          <cell r="AD492" t="b">
            <v>0</v>
          </cell>
        </row>
        <row r="493">
          <cell r="Z493" t="b">
            <v>0</v>
          </cell>
          <cell r="AA493" t="b">
            <v>0</v>
          </cell>
          <cell r="AB493" t="b">
            <v>0</v>
          </cell>
          <cell r="AC493" t="b">
            <v>0</v>
          </cell>
          <cell r="AD493" t="b">
            <v>0</v>
          </cell>
        </row>
        <row r="494">
          <cell r="Z494" t="b">
            <v>0</v>
          </cell>
          <cell r="AA494" t="b">
            <v>0</v>
          </cell>
          <cell r="AB494" t="b">
            <v>0</v>
          </cell>
          <cell r="AC494" t="b">
            <v>0</v>
          </cell>
          <cell r="AD494" t="b">
            <v>0</v>
          </cell>
        </row>
        <row r="495">
          <cell r="Z495" t="b">
            <v>0</v>
          </cell>
          <cell r="AA495" t="b">
            <v>0</v>
          </cell>
          <cell r="AB495" t="b">
            <v>0</v>
          </cell>
          <cell r="AC495" t="b">
            <v>0</v>
          </cell>
          <cell r="AD495" t="b">
            <v>0</v>
          </cell>
        </row>
        <row r="496">
          <cell r="Z496" t="b">
            <v>0</v>
          </cell>
          <cell r="AA496" t="b">
            <v>0</v>
          </cell>
          <cell r="AB496" t="b">
            <v>0</v>
          </cell>
          <cell r="AC496" t="b">
            <v>0</v>
          </cell>
          <cell r="AD496" t="b">
            <v>0</v>
          </cell>
        </row>
        <row r="497">
          <cell r="Z497" t="b">
            <v>0</v>
          </cell>
          <cell r="AA497" t="b">
            <v>0</v>
          </cell>
          <cell r="AB497" t="b">
            <v>0</v>
          </cell>
          <cell r="AC497" t="b">
            <v>0</v>
          </cell>
          <cell r="AD497" t="b">
            <v>0</v>
          </cell>
        </row>
        <row r="498">
          <cell r="Z498" t="b">
            <v>0</v>
          </cell>
          <cell r="AA498" t="b">
            <v>0</v>
          </cell>
          <cell r="AB498" t="b">
            <v>0</v>
          </cell>
          <cell r="AC498" t="b">
            <v>0</v>
          </cell>
          <cell r="AD498" t="b">
            <v>0</v>
          </cell>
        </row>
        <row r="499">
          <cell r="Z499" t="b">
            <v>0</v>
          </cell>
          <cell r="AA499" t="b">
            <v>0</v>
          </cell>
          <cell r="AB499" t="b">
            <v>0</v>
          </cell>
          <cell r="AC499" t="b">
            <v>0</v>
          </cell>
          <cell r="AD499" t="b">
            <v>0</v>
          </cell>
        </row>
        <row r="500">
          <cell r="Z500" t="b">
            <v>0</v>
          </cell>
          <cell r="AA500" t="b">
            <v>0</v>
          </cell>
          <cell r="AB500" t="b">
            <v>0</v>
          </cell>
          <cell r="AC500" t="b">
            <v>0</v>
          </cell>
          <cell r="AD500" t="b">
            <v>0</v>
          </cell>
        </row>
        <row r="501">
          <cell r="Z501" t="b">
            <v>0</v>
          </cell>
          <cell r="AA501" t="b">
            <v>0</v>
          </cell>
          <cell r="AB501" t="b">
            <v>0</v>
          </cell>
          <cell r="AC501" t="b">
            <v>0</v>
          </cell>
          <cell r="AD501" t="b">
            <v>0</v>
          </cell>
        </row>
        <row r="502">
          <cell r="Z502" t="b">
            <v>0</v>
          </cell>
          <cell r="AA502" t="b">
            <v>0</v>
          </cell>
          <cell r="AB502" t="b">
            <v>0</v>
          </cell>
          <cell r="AC502" t="b">
            <v>0</v>
          </cell>
          <cell r="AD502" t="b">
            <v>0</v>
          </cell>
        </row>
        <row r="503">
          <cell r="Z503" t="b">
            <v>0</v>
          </cell>
          <cell r="AA503" t="b">
            <v>0</v>
          </cell>
          <cell r="AB503" t="b">
            <v>0</v>
          </cell>
          <cell r="AC503" t="b">
            <v>0</v>
          </cell>
          <cell r="AD503" t="b">
            <v>0</v>
          </cell>
        </row>
        <row r="504">
          <cell r="Z504" t="b">
            <v>0</v>
          </cell>
          <cell r="AA504" t="b">
            <v>0</v>
          </cell>
          <cell r="AB504" t="b">
            <v>0</v>
          </cell>
          <cell r="AC504" t="b">
            <v>0</v>
          </cell>
          <cell r="AD504" t="b">
            <v>0</v>
          </cell>
        </row>
        <row r="505">
          <cell r="Z505" t="b">
            <v>0</v>
          </cell>
          <cell r="AA505" t="b">
            <v>0</v>
          </cell>
          <cell r="AB505" t="b">
            <v>0</v>
          </cell>
          <cell r="AC505" t="b">
            <v>0</v>
          </cell>
          <cell r="AD505" t="b">
            <v>0</v>
          </cell>
        </row>
        <row r="506">
          <cell r="Z506" t="b">
            <v>0</v>
          </cell>
          <cell r="AA506" t="b">
            <v>0</v>
          </cell>
          <cell r="AB506" t="b">
            <v>0</v>
          </cell>
          <cell r="AC506" t="b">
            <v>0</v>
          </cell>
          <cell r="AD506" t="b">
            <v>0</v>
          </cell>
        </row>
        <row r="507">
          <cell r="Z507" t="b">
            <v>0</v>
          </cell>
          <cell r="AA507" t="b">
            <v>0</v>
          </cell>
          <cell r="AB507" t="b">
            <v>0</v>
          </cell>
          <cell r="AC507" t="b">
            <v>0</v>
          </cell>
          <cell r="AD507" t="b">
            <v>0</v>
          </cell>
        </row>
        <row r="508">
          <cell r="Z508" t="b">
            <v>0</v>
          </cell>
          <cell r="AA508" t="b">
            <v>0</v>
          </cell>
          <cell r="AB508" t="b">
            <v>0</v>
          </cell>
          <cell r="AC508" t="b">
            <v>0</v>
          </cell>
          <cell r="AD508" t="b">
            <v>0</v>
          </cell>
        </row>
        <row r="509">
          <cell r="Z509" t="b">
            <v>0</v>
          </cell>
          <cell r="AA509" t="b">
            <v>0</v>
          </cell>
          <cell r="AB509" t="b">
            <v>0</v>
          </cell>
          <cell r="AC509" t="b">
            <v>0</v>
          </cell>
          <cell r="AD509" t="b">
            <v>0</v>
          </cell>
        </row>
        <row r="510">
          <cell r="Z510" t="b">
            <v>0</v>
          </cell>
          <cell r="AA510" t="b">
            <v>0</v>
          </cell>
          <cell r="AB510" t="b">
            <v>0</v>
          </cell>
          <cell r="AC510" t="b">
            <v>0</v>
          </cell>
          <cell r="AD510" t="b">
            <v>0</v>
          </cell>
        </row>
        <row r="511">
          <cell r="Z511" t="b">
            <v>0</v>
          </cell>
          <cell r="AA511" t="b">
            <v>0</v>
          </cell>
          <cell r="AB511" t="b">
            <v>0</v>
          </cell>
          <cell r="AC511" t="b">
            <v>0</v>
          </cell>
          <cell r="AD511" t="b">
            <v>0</v>
          </cell>
        </row>
        <row r="512">
          <cell r="Z512" t="b">
            <v>0</v>
          </cell>
          <cell r="AA512" t="b">
            <v>0</v>
          </cell>
          <cell r="AB512" t="b">
            <v>0</v>
          </cell>
          <cell r="AC512" t="b">
            <v>0</v>
          </cell>
          <cell r="AD512" t="b">
            <v>0</v>
          </cell>
        </row>
        <row r="513">
          <cell r="Z513" t="b">
            <v>0</v>
          </cell>
          <cell r="AA513" t="b">
            <v>0</v>
          </cell>
          <cell r="AB513" t="b">
            <v>0</v>
          </cell>
          <cell r="AC513" t="b">
            <v>0</v>
          </cell>
          <cell r="AD513" t="b">
            <v>0</v>
          </cell>
        </row>
        <row r="514">
          <cell r="Z514" t="b">
            <v>0</v>
          </cell>
          <cell r="AA514" t="b">
            <v>0</v>
          </cell>
          <cell r="AB514" t="b">
            <v>0</v>
          </cell>
          <cell r="AC514" t="b">
            <v>0</v>
          </cell>
          <cell r="AD514" t="b">
            <v>0</v>
          </cell>
        </row>
        <row r="515">
          <cell r="Z515" t="b">
            <v>0</v>
          </cell>
          <cell r="AA515" t="b">
            <v>0</v>
          </cell>
          <cell r="AB515" t="b">
            <v>0</v>
          </cell>
          <cell r="AC515" t="b">
            <v>0</v>
          </cell>
          <cell r="AD515" t="b">
            <v>0</v>
          </cell>
        </row>
        <row r="516">
          <cell r="Z516" t="b">
            <v>0</v>
          </cell>
          <cell r="AA516" t="b">
            <v>0</v>
          </cell>
          <cell r="AB516" t="b">
            <v>0</v>
          </cell>
          <cell r="AC516" t="b">
            <v>0</v>
          </cell>
          <cell r="AD516" t="b">
            <v>0</v>
          </cell>
        </row>
        <row r="517">
          <cell r="Z517" t="b">
            <v>0</v>
          </cell>
          <cell r="AA517" t="b">
            <v>0</v>
          </cell>
          <cell r="AB517" t="b">
            <v>0</v>
          </cell>
          <cell r="AC517" t="b">
            <v>0</v>
          </cell>
          <cell r="AD517" t="b">
            <v>0</v>
          </cell>
        </row>
        <row r="518">
          <cell r="Z518" t="b">
            <v>0</v>
          </cell>
          <cell r="AA518" t="b">
            <v>0</v>
          </cell>
          <cell r="AB518" t="b">
            <v>0</v>
          </cell>
          <cell r="AC518" t="b">
            <v>0</v>
          </cell>
          <cell r="AD518" t="b">
            <v>0</v>
          </cell>
        </row>
        <row r="519">
          <cell r="Z519" t="b">
            <v>0</v>
          </cell>
          <cell r="AA519" t="b">
            <v>0</v>
          </cell>
          <cell r="AB519" t="b">
            <v>0</v>
          </cell>
          <cell r="AC519" t="b">
            <v>0</v>
          </cell>
          <cell r="AD519" t="b">
            <v>0</v>
          </cell>
        </row>
        <row r="520">
          <cell r="Z520" t="b">
            <v>0</v>
          </cell>
          <cell r="AA520" t="b">
            <v>0</v>
          </cell>
          <cell r="AB520" t="b">
            <v>0</v>
          </cell>
          <cell r="AC520" t="b">
            <v>0</v>
          </cell>
          <cell r="AD520" t="b">
            <v>0</v>
          </cell>
        </row>
        <row r="521">
          <cell r="Z521" t="b">
            <v>0</v>
          </cell>
          <cell r="AA521" t="b">
            <v>0</v>
          </cell>
          <cell r="AB521" t="b">
            <v>0</v>
          </cell>
          <cell r="AC521" t="b">
            <v>0</v>
          </cell>
          <cell r="AD521" t="b">
            <v>0</v>
          </cell>
        </row>
        <row r="522">
          <cell r="Z522" t="b">
            <v>0</v>
          </cell>
          <cell r="AA522" t="b">
            <v>0</v>
          </cell>
          <cell r="AB522" t="b">
            <v>0</v>
          </cell>
          <cell r="AC522" t="b">
            <v>0</v>
          </cell>
          <cell r="AD522" t="b">
            <v>0</v>
          </cell>
        </row>
        <row r="523">
          <cell r="Z523" t="b">
            <v>0</v>
          </cell>
          <cell r="AA523" t="b">
            <v>0</v>
          </cell>
          <cell r="AB523" t="b">
            <v>0</v>
          </cell>
          <cell r="AC523" t="b">
            <v>0</v>
          </cell>
          <cell r="AD523" t="b">
            <v>0</v>
          </cell>
        </row>
        <row r="524">
          <cell r="Z524" t="b">
            <v>0</v>
          </cell>
          <cell r="AA524" t="b">
            <v>0</v>
          </cell>
          <cell r="AB524" t="b">
            <v>0</v>
          </cell>
          <cell r="AC524" t="b">
            <v>0</v>
          </cell>
          <cell r="AD524" t="b">
            <v>0</v>
          </cell>
        </row>
        <row r="525">
          <cell r="Z525" t="b">
            <v>0</v>
          </cell>
          <cell r="AA525" t="b">
            <v>0</v>
          </cell>
          <cell r="AB525" t="b">
            <v>0</v>
          </cell>
          <cell r="AC525" t="b">
            <v>0</v>
          </cell>
          <cell r="AD525" t="b">
            <v>0</v>
          </cell>
        </row>
        <row r="526">
          <cell r="Z526" t="b">
            <v>0</v>
          </cell>
          <cell r="AA526" t="b">
            <v>0</v>
          </cell>
          <cell r="AB526" t="b">
            <v>0</v>
          </cell>
          <cell r="AC526" t="b">
            <v>0</v>
          </cell>
          <cell r="AD526" t="b">
            <v>0</v>
          </cell>
        </row>
        <row r="527">
          <cell r="Z527" t="b">
            <v>0</v>
          </cell>
          <cell r="AA527" t="b">
            <v>0</v>
          </cell>
          <cell r="AB527" t="b">
            <v>0</v>
          </cell>
          <cell r="AC527" t="b">
            <v>0</v>
          </cell>
          <cell r="AD527" t="b">
            <v>0</v>
          </cell>
        </row>
        <row r="528">
          <cell r="Z528" t="b">
            <v>0</v>
          </cell>
          <cell r="AA528" t="b">
            <v>0</v>
          </cell>
          <cell r="AB528" t="b">
            <v>0</v>
          </cell>
          <cell r="AC528" t="b">
            <v>0</v>
          </cell>
          <cell r="AD528" t="b">
            <v>0</v>
          </cell>
        </row>
        <row r="529">
          <cell r="Z529" t="b">
            <v>0</v>
          </cell>
          <cell r="AA529" t="b">
            <v>0</v>
          </cell>
          <cell r="AB529" t="b">
            <v>0</v>
          </cell>
          <cell r="AC529" t="b">
            <v>0</v>
          </cell>
          <cell r="AD529" t="b">
            <v>0</v>
          </cell>
        </row>
        <row r="530">
          <cell r="Z530" t="b">
            <v>0</v>
          </cell>
          <cell r="AA530" t="b">
            <v>0</v>
          </cell>
          <cell r="AB530" t="b">
            <v>0</v>
          </cell>
          <cell r="AC530" t="b">
            <v>0</v>
          </cell>
          <cell r="AD530" t="b">
            <v>0</v>
          </cell>
        </row>
        <row r="531">
          <cell r="Z531" t="b">
            <v>0</v>
          </cell>
          <cell r="AA531" t="b">
            <v>0</v>
          </cell>
          <cell r="AB531" t="b">
            <v>0</v>
          </cell>
          <cell r="AC531" t="b">
            <v>0</v>
          </cell>
          <cell r="AD531" t="b">
            <v>0</v>
          </cell>
        </row>
        <row r="532">
          <cell r="Z532" t="b">
            <v>0</v>
          </cell>
          <cell r="AA532" t="b">
            <v>0</v>
          </cell>
          <cell r="AB532" t="b">
            <v>0</v>
          </cell>
          <cell r="AC532" t="b">
            <v>0</v>
          </cell>
          <cell r="AD532" t="b">
            <v>0</v>
          </cell>
        </row>
        <row r="533">
          <cell r="Z533" t="b">
            <v>0</v>
          </cell>
          <cell r="AA533" t="b">
            <v>0</v>
          </cell>
          <cell r="AB533" t="b">
            <v>0</v>
          </cell>
          <cell r="AC533" t="b">
            <v>0</v>
          </cell>
          <cell r="AD533" t="b">
            <v>0</v>
          </cell>
        </row>
        <row r="534">
          <cell r="Z534" t="b">
            <v>0</v>
          </cell>
          <cell r="AA534" t="b">
            <v>0</v>
          </cell>
          <cell r="AB534" t="b">
            <v>0</v>
          </cell>
          <cell r="AC534" t="b">
            <v>0</v>
          </cell>
          <cell r="AD534" t="b">
            <v>0</v>
          </cell>
        </row>
        <row r="535">
          <cell r="Z535" t="b">
            <v>0</v>
          </cell>
          <cell r="AA535" t="b">
            <v>0</v>
          </cell>
          <cell r="AB535" t="b">
            <v>0</v>
          </cell>
          <cell r="AC535" t="b">
            <v>0</v>
          </cell>
          <cell r="AD535" t="b">
            <v>0</v>
          </cell>
        </row>
        <row r="536">
          <cell r="Z536" t="b">
            <v>0</v>
          </cell>
          <cell r="AA536" t="b">
            <v>0</v>
          </cell>
          <cell r="AB536" t="b">
            <v>0</v>
          </cell>
          <cell r="AC536" t="b">
            <v>0</v>
          </cell>
          <cell r="AD536" t="b">
            <v>0</v>
          </cell>
        </row>
        <row r="537">
          <cell r="Z537" t="b">
            <v>0</v>
          </cell>
          <cell r="AA537" t="b">
            <v>0</v>
          </cell>
          <cell r="AB537" t="b">
            <v>0</v>
          </cell>
          <cell r="AC537" t="b">
            <v>0</v>
          </cell>
          <cell r="AD537" t="b">
            <v>0</v>
          </cell>
        </row>
        <row r="538">
          <cell r="Z538" t="b">
            <v>0</v>
          </cell>
          <cell r="AA538" t="b">
            <v>0</v>
          </cell>
          <cell r="AB538" t="b">
            <v>0</v>
          </cell>
          <cell r="AC538" t="b">
            <v>0</v>
          </cell>
          <cell r="AD538" t="b">
            <v>0</v>
          </cell>
        </row>
        <row r="539">
          <cell r="Z539" t="b">
            <v>0</v>
          </cell>
          <cell r="AA539" t="b">
            <v>0</v>
          </cell>
          <cell r="AB539" t="b">
            <v>0</v>
          </cell>
          <cell r="AC539" t="b">
            <v>0</v>
          </cell>
          <cell r="AD539" t="b">
            <v>0</v>
          </cell>
        </row>
        <row r="540">
          <cell r="Z540" t="b">
            <v>0</v>
          </cell>
          <cell r="AA540" t="b">
            <v>0</v>
          </cell>
          <cell r="AB540" t="b">
            <v>0</v>
          </cell>
          <cell r="AC540" t="b">
            <v>0</v>
          </cell>
          <cell r="AD540" t="b">
            <v>0</v>
          </cell>
        </row>
        <row r="541">
          <cell r="Z541" t="b">
            <v>0</v>
          </cell>
          <cell r="AA541" t="b">
            <v>0</v>
          </cell>
          <cell r="AB541" t="b">
            <v>0</v>
          </cell>
          <cell r="AC541" t="b">
            <v>0</v>
          </cell>
          <cell r="AD541" t="b">
            <v>0</v>
          </cell>
        </row>
        <row r="542">
          <cell r="Z542" t="b">
            <v>0</v>
          </cell>
          <cell r="AA542" t="b">
            <v>0</v>
          </cell>
          <cell r="AB542" t="b">
            <v>0</v>
          </cell>
          <cell r="AC542" t="b">
            <v>0</v>
          </cell>
          <cell r="AD542" t="b">
            <v>0</v>
          </cell>
        </row>
        <row r="543">
          <cell r="Z543" t="b">
            <v>0</v>
          </cell>
          <cell r="AA543" t="b">
            <v>0</v>
          </cell>
          <cell r="AB543" t="b">
            <v>0</v>
          </cell>
          <cell r="AC543" t="b">
            <v>0</v>
          </cell>
          <cell r="AD543" t="b">
            <v>0</v>
          </cell>
        </row>
        <row r="544">
          <cell r="Z544" t="b">
            <v>0</v>
          </cell>
          <cell r="AA544" t="b">
            <v>0</v>
          </cell>
          <cell r="AB544" t="b">
            <v>0</v>
          </cell>
          <cell r="AC544" t="b">
            <v>0</v>
          </cell>
          <cell r="AD544" t="b">
            <v>0</v>
          </cell>
        </row>
        <row r="545">
          <cell r="Z545" t="b">
            <v>0</v>
          </cell>
          <cell r="AA545" t="b">
            <v>0</v>
          </cell>
          <cell r="AB545" t="b">
            <v>0</v>
          </cell>
          <cell r="AC545" t="b">
            <v>0</v>
          </cell>
          <cell r="AD545" t="b">
            <v>0</v>
          </cell>
        </row>
        <row r="546">
          <cell r="Z546" t="b">
            <v>0</v>
          </cell>
          <cell r="AA546" t="b">
            <v>0</v>
          </cell>
          <cell r="AB546" t="b">
            <v>0</v>
          </cell>
          <cell r="AC546" t="b">
            <v>0</v>
          </cell>
          <cell r="AD546" t="b">
            <v>0</v>
          </cell>
        </row>
        <row r="547">
          <cell r="Z547" t="b">
            <v>0</v>
          </cell>
          <cell r="AA547" t="b">
            <v>0</v>
          </cell>
          <cell r="AB547" t="b">
            <v>0</v>
          </cell>
          <cell r="AC547" t="b">
            <v>0</v>
          </cell>
          <cell r="AD547" t="b">
            <v>0</v>
          </cell>
        </row>
        <row r="548">
          <cell r="Z548" t="b">
            <v>0</v>
          </cell>
          <cell r="AA548" t="b">
            <v>0</v>
          </cell>
          <cell r="AB548" t="b">
            <v>0</v>
          </cell>
          <cell r="AC548" t="b">
            <v>0</v>
          </cell>
          <cell r="AD548" t="b">
            <v>0</v>
          </cell>
        </row>
        <row r="549">
          <cell r="Z549" t="b">
            <v>0</v>
          </cell>
          <cell r="AA549" t="b">
            <v>0</v>
          </cell>
          <cell r="AB549" t="b">
            <v>0</v>
          </cell>
          <cell r="AC549" t="b">
            <v>0</v>
          </cell>
          <cell r="AD549" t="b">
            <v>0</v>
          </cell>
        </row>
        <row r="550">
          <cell r="Z550" t="b">
            <v>0</v>
          </cell>
          <cell r="AA550" t="b">
            <v>0</v>
          </cell>
          <cell r="AB550" t="b">
            <v>0</v>
          </cell>
          <cell r="AC550" t="b">
            <v>0</v>
          </cell>
          <cell r="AD550" t="b">
            <v>0</v>
          </cell>
        </row>
        <row r="551">
          <cell r="Z551" t="b">
            <v>0</v>
          </cell>
          <cell r="AA551" t="b">
            <v>0</v>
          </cell>
          <cell r="AB551" t="b">
            <v>0</v>
          </cell>
          <cell r="AC551" t="b">
            <v>0</v>
          </cell>
          <cell r="AD551" t="b">
            <v>0</v>
          </cell>
        </row>
        <row r="552">
          <cell r="Z552" t="b">
            <v>0</v>
          </cell>
          <cell r="AA552" t="b">
            <v>0</v>
          </cell>
          <cell r="AB552" t="b">
            <v>0</v>
          </cell>
          <cell r="AC552" t="b">
            <v>0</v>
          </cell>
          <cell r="AD552" t="b">
            <v>0</v>
          </cell>
        </row>
        <row r="553">
          <cell r="Z553" t="b">
            <v>0</v>
          </cell>
          <cell r="AA553" t="b">
            <v>0</v>
          </cell>
          <cell r="AB553" t="b">
            <v>0</v>
          </cell>
          <cell r="AC553" t="b">
            <v>0</v>
          </cell>
          <cell r="AD553" t="b">
            <v>0</v>
          </cell>
        </row>
        <row r="554">
          <cell r="Z554" t="b">
            <v>0</v>
          </cell>
          <cell r="AA554" t="b">
            <v>0</v>
          </cell>
          <cell r="AB554" t="b">
            <v>0</v>
          </cell>
          <cell r="AC554" t="b">
            <v>0</v>
          </cell>
          <cell r="AD554" t="b">
            <v>0</v>
          </cell>
        </row>
        <row r="555">
          <cell r="Z555" t="b">
            <v>0</v>
          </cell>
          <cell r="AA555" t="b">
            <v>0</v>
          </cell>
          <cell r="AB555" t="b">
            <v>0</v>
          </cell>
          <cell r="AC555" t="b">
            <v>0</v>
          </cell>
          <cell r="AD555" t="b">
            <v>0</v>
          </cell>
        </row>
        <row r="556">
          <cell r="Z556" t="b">
            <v>0</v>
          </cell>
          <cell r="AA556" t="b">
            <v>0</v>
          </cell>
          <cell r="AB556" t="b">
            <v>0</v>
          </cell>
          <cell r="AC556" t="b">
            <v>0</v>
          </cell>
          <cell r="AD556" t="b">
            <v>0</v>
          </cell>
        </row>
        <row r="557">
          <cell r="Z557" t="b">
            <v>0</v>
          </cell>
          <cell r="AA557" t="b">
            <v>0</v>
          </cell>
          <cell r="AB557" t="b">
            <v>0</v>
          </cell>
          <cell r="AC557" t="b">
            <v>0</v>
          </cell>
          <cell r="AD557" t="b">
            <v>0</v>
          </cell>
        </row>
        <row r="558">
          <cell r="Z558" t="b">
            <v>0</v>
          </cell>
          <cell r="AA558" t="b">
            <v>0</v>
          </cell>
          <cell r="AB558" t="b">
            <v>0</v>
          </cell>
          <cell r="AC558" t="b">
            <v>0</v>
          </cell>
          <cell r="AD558" t="b">
            <v>0</v>
          </cell>
        </row>
        <row r="559">
          <cell r="Z559" t="b">
            <v>0</v>
          </cell>
          <cell r="AA559" t="b">
            <v>0</v>
          </cell>
          <cell r="AB559" t="b">
            <v>0</v>
          </cell>
          <cell r="AC559" t="b">
            <v>0</v>
          </cell>
          <cell r="AD559" t="b">
            <v>0</v>
          </cell>
        </row>
        <row r="560">
          <cell r="Z560" t="b">
            <v>0</v>
          </cell>
          <cell r="AA560" t="b">
            <v>0</v>
          </cell>
          <cell r="AB560" t="b">
            <v>0</v>
          </cell>
          <cell r="AC560" t="b">
            <v>0</v>
          </cell>
          <cell r="AD560" t="b">
            <v>0</v>
          </cell>
        </row>
        <row r="561">
          <cell r="Z561" t="b">
            <v>0</v>
          </cell>
          <cell r="AA561" t="b">
            <v>0</v>
          </cell>
          <cell r="AB561" t="b">
            <v>0</v>
          </cell>
          <cell r="AC561" t="b">
            <v>0</v>
          </cell>
          <cell r="AD561" t="b">
            <v>0</v>
          </cell>
        </row>
        <row r="562">
          <cell r="Z562" t="b">
            <v>0</v>
          </cell>
          <cell r="AA562" t="b">
            <v>0</v>
          </cell>
          <cell r="AB562" t="b">
            <v>0</v>
          </cell>
          <cell r="AC562" t="b">
            <v>0</v>
          </cell>
          <cell r="AD562" t="b">
            <v>0</v>
          </cell>
        </row>
        <row r="563">
          <cell r="Z563" t="b">
            <v>0</v>
          </cell>
          <cell r="AA563" t="b">
            <v>0</v>
          </cell>
          <cell r="AB563" t="b">
            <v>0</v>
          </cell>
          <cell r="AC563" t="b">
            <v>0</v>
          </cell>
          <cell r="AD563" t="b">
            <v>0</v>
          </cell>
        </row>
        <row r="564">
          <cell r="Z564" t="b">
            <v>0</v>
          </cell>
          <cell r="AA564" t="b">
            <v>0</v>
          </cell>
          <cell r="AB564" t="b">
            <v>0</v>
          </cell>
          <cell r="AC564" t="b">
            <v>0</v>
          </cell>
          <cell r="AD564" t="b">
            <v>0</v>
          </cell>
        </row>
        <row r="565">
          <cell r="Z565" t="b">
            <v>0</v>
          </cell>
          <cell r="AA565" t="b">
            <v>0</v>
          </cell>
          <cell r="AB565" t="b">
            <v>0</v>
          </cell>
          <cell r="AC565" t="b">
            <v>0</v>
          </cell>
          <cell r="AD565" t="b">
            <v>0</v>
          </cell>
        </row>
        <row r="566">
          <cell r="Z566" t="b">
            <v>0</v>
          </cell>
          <cell r="AA566" t="b">
            <v>0</v>
          </cell>
          <cell r="AB566" t="b">
            <v>0</v>
          </cell>
          <cell r="AC566" t="b">
            <v>0</v>
          </cell>
          <cell r="AD566" t="b">
            <v>0</v>
          </cell>
        </row>
        <row r="567">
          <cell r="Z567" t="b">
            <v>0</v>
          </cell>
          <cell r="AA567" t="b">
            <v>0</v>
          </cell>
          <cell r="AB567" t="b">
            <v>0</v>
          </cell>
          <cell r="AC567" t="b">
            <v>0</v>
          </cell>
          <cell r="AD567" t="b">
            <v>0</v>
          </cell>
        </row>
        <row r="568">
          <cell r="Z568" t="b">
            <v>0</v>
          </cell>
          <cell r="AA568" t="b">
            <v>0</v>
          </cell>
          <cell r="AB568" t="b">
            <v>0</v>
          </cell>
          <cell r="AC568" t="b">
            <v>0</v>
          </cell>
          <cell r="AD568" t="b">
            <v>0</v>
          </cell>
        </row>
        <row r="569">
          <cell r="Z569" t="b">
            <v>0</v>
          </cell>
          <cell r="AA569" t="b">
            <v>0</v>
          </cell>
          <cell r="AB569" t="b">
            <v>0</v>
          </cell>
          <cell r="AC569" t="b">
            <v>0</v>
          </cell>
          <cell r="AD569" t="b">
            <v>0</v>
          </cell>
        </row>
        <row r="570">
          <cell r="Z570" t="b">
            <v>0</v>
          </cell>
          <cell r="AA570" t="b">
            <v>0</v>
          </cell>
          <cell r="AB570" t="b">
            <v>0</v>
          </cell>
          <cell r="AC570" t="b">
            <v>0</v>
          </cell>
          <cell r="AD570" t="b">
            <v>0</v>
          </cell>
        </row>
        <row r="571">
          <cell r="Z571" t="b">
            <v>0</v>
          </cell>
          <cell r="AA571" t="b">
            <v>0</v>
          </cell>
          <cell r="AB571" t="b">
            <v>0</v>
          </cell>
          <cell r="AC571" t="b">
            <v>0</v>
          </cell>
          <cell r="AD571" t="b">
            <v>0</v>
          </cell>
        </row>
        <row r="572">
          <cell r="Z572" t="b">
            <v>0</v>
          </cell>
          <cell r="AA572" t="b">
            <v>0</v>
          </cell>
          <cell r="AB572" t="b">
            <v>0</v>
          </cell>
          <cell r="AC572" t="b">
            <v>0</v>
          </cell>
          <cell r="AD572" t="b">
            <v>0</v>
          </cell>
        </row>
        <row r="573">
          <cell r="Z573" t="b">
            <v>0</v>
          </cell>
          <cell r="AA573" t="b">
            <v>0</v>
          </cell>
          <cell r="AB573" t="b">
            <v>0</v>
          </cell>
          <cell r="AC573" t="b">
            <v>0</v>
          </cell>
          <cell r="AD573" t="b">
            <v>0</v>
          </cell>
        </row>
        <row r="574">
          <cell r="Z574" t="b">
            <v>0</v>
          </cell>
          <cell r="AA574" t="b">
            <v>0</v>
          </cell>
          <cell r="AB574" t="b">
            <v>0</v>
          </cell>
          <cell r="AC574" t="b">
            <v>0</v>
          </cell>
          <cell r="AD574" t="b">
            <v>0</v>
          </cell>
        </row>
        <row r="575">
          <cell r="Z575" t="b">
            <v>0</v>
          </cell>
          <cell r="AA575" t="b">
            <v>0</v>
          </cell>
          <cell r="AB575" t="b">
            <v>0</v>
          </cell>
          <cell r="AC575" t="b">
            <v>0</v>
          </cell>
          <cell r="AD575" t="b">
            <v>0</v>
          </cell>
        </row>
        <row r="576">
          <cell r="Z576" t="b">
            <v>0</v>
          </cell>
          <cell r="AA576" t="b">
            <v>0</v>
          </cell>
          <cell r="AB576" t="b">
            <v>0</v>
          </cell>
          <cell r="AC576" t="b">
            <v>0</v>
          </cell>
          <cell r="AD576" t="b">
            <v>0</v>
          </cell>
        </row>
        <row r="577">
          <cell r="Z577" t="b">
            <v>0</v>
          </cell>
          <cell r="AA577" t="b">
            <v>0</v>
          </cell>
          <cell r="AB577" t="b">
            <v>0</v>
          </cell>
          <cell r="AC577" t="b">
            <v>0</v>
          </cell>
          <cell r="AD577" t="b">
            <v>0</v>
          </cell>
        </row>
        <row r="578">
          <cell r="Z578" t="b">
            <v>0</v>
          </cell>
          <cell r="AA578" t="b">
            <v>0</v>
          </cell>
          <cell r="AB578" t="b">
            <v>0</v>
          </cell>
          <cell r="AC578" t="b">
            <v>0</v>
          </cell>
          <cell r="AD578" t="b">
            <v>0</v>
          </cell>
        </row>
        <row r="579">
          <cell r="Z579" t="b">
            <v>0</v>
          </cell>
          <cell r="AA579" t="b">
            <v>0</v>
          </cell>
          <cell r="AB579" t="b">
            <v>0</v>
          </cell>
          <cell r="AC579" t="b">
            <v>0</v>
          </cell>
          <cell r="AD579" t="b">
            <v>0</v>
          </cell>
        </row>
        <row r="580">
          <cell r="Z580" t="b">
            <v>0</v>
          </cell>
          <cell r="AA580" t="b">
            <v>0</v>
          </cell>
          <cell r="AB580" t="b">
            <v>0</v>
          </cell>
          <cell r="AC580" t="b">
            <v>0</v>
          </cell>
          <cell r="AD580" t="b">
            <v>0</v>
          </cell>
        </row>
        <row r="581">
          <cell r="Z581" t="b">
            <v>0</v>
          </cell>
          <cell r="AA581" t="b">
            <v>0</v>
          </cell>
          <cell r="AB581" t="b">
            <v>0</v>
          </cell>
          <cell r="AC581" t="b">
            <v>0</v>
          </cell>
          <cell r="AD581" t="b">
            <v>0</v>
          </cell>
        </row>
        <row r="582">
          <cell r="Z582" t="b">
            <v>0</v>
          </cell>
          <cell r="AA582" t="b">
            <v>0</v>
          </cell>
          <cell r="AB582" t="b">
            <v>0</v>
          </cell>
          <cell r="AC582" t="b">
            <v>0</v>
          </cell>
          <cell r="AD582" t="b">
            <v>0</v>
          </cell>
        </row>
        <row r="583">
          <cell r="Z583" t="b">
            <v>0</v>
          </cell>
          <cell r="AA583" t="b">
            <v>0</v>
          </cell>
          <cell r="AB583" t="b">
            <v>0</v>
          </cell>
          <cell r="AC583" t="b">
            <v>0</v>
          </cell>
          <cell r="AD583" t="b">
            <v>0</v>
          </cell>
        </row>
        <row r="584">
          <cell r="Z584" t="b">
            <v>0</v>
          </cell>
          <cell r="AA584" t="b">
            <v>0</v>
          </cell>
          <cell r="AB584" t="b">
            <v>0</v>
          </cell>
          <cell r="AC584" t="b">
            <v>0</v>
          </cell>
          <cell r="AD584" t="b">
            <v>0</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Introduction"/>
      <sheetName val="Income Statement"/>
      <sheetName val="Cash Flow"/>
      <sheetName val="Balance Sheet"/>
      <sheetName val="Fin Stats"/>
      <sheetName val="PTF Worksheet"/>
      <sheetName val="Power Plants"/>
      <sheetName val="Op Co"/>
      <sheetName val="DCF - Valuation"/>
      <sheetName val="Oil Consumption – barrels"/>
      <sheetName val="New Resources"/>
      <sheetName val="Trading Vol"/>
      <sheetName val="TX Brownfield"/>
      <sheetName val="ERCOT Res Margin"/>
      <sheetName val="SE Assets &amp; RFPs"/>
    </sheetNames>
    <sheetDataSet>
      <sheetData sheetId="0" refreshError="1"/>
      <sheetData sheetId="1" refreshError="1">
        <row r="1">
          <cell r="O1" t="str">
            <v>Jennifer Rowland/Seth Tennant (212) 622-6702/6616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come Statement"/>
      <sheetName val="Fin Stats"/>
      <sheetName val="Model Introduction"/>
      <sheetName val="Quarterly"/>
      <sheetName val="Cash Flow"/>
      <sheetName val="Balance Sheet"/>
      <sheetName val="APS"/>
      <sheetName val="Power Plants"/>
    </sheetNames>
    <sheetDataSet>
      <sheetData sheetId="0" refreshError="1">
        <row r="1">
          <cell r="K1" t="str">
            <v>no</v>
          </cell>
        </row>
        <row r="2">
          <cell r="K2" t="str">
            <v>yes</v>
          </cell>
        </row>
      </sheetData>
      <sheetData sheetId="1" refreshError="1">
        <row r="22">
          <cell r="B22">
            <v>0.77868308483197712</v>
          </cell>
          <cell r="C22">
            <v>0.77606831840530421</v>
          </cell>
          <cell r="D22">
            <v>0.74089945591522299</v>
          </cell>
          <cell r="E22">
            <v>0.56459162653765549</v>
          </cell>
          <cell r="F22">
            <v>0.55949532085758447</v>
          </cell>
          <cell r="G22">
            <v>0.73700848488157678</v>
          </cell>
          <cell r="H22">
            <v>0.69402864309410139</v>
          </cell>
          <cell r="I22">
            <v>0.70492076089335931</v>
          </cell>
          <cell r="J22">
            <v>0.70594664159430798</v>
          </cell>
          <cell r="K22">
            <v>0.6975307483044092</v>
          </cell>
          <cell r="L22">
            <v>0.69864210564587026</v>
          </cell>
        </row>
        <row r="23">
          <cell r="B23">
            <v>0.26512586803380017</v>
          </cell>
          <cell r="C23">
            <v>0.26212612094661353</v>
          </cell>
          <cell r="D23">
            <v>0.24889253359674626</v>
          </cell>
          <cell r="E23">
            <v>0.20671051526483869</v>
          </cell>
          <cell r="F23">
            <v>0.19918190876953953</v>
          </cell>
          <cell r="G23">
            <v>0.19567402614588736</v>
          </cell>
          <cell r="H23">
            <v>0.17107108535153723</v>
          </cell>
          <cell r="I23">
            <v>0.19520208673037562</v>
          </cell>
          <cell r="J23">
            <v>0.21129361392514523</v>
          </cell>
          <cell r="K23">
            <v>0.2082445975058651</v>
          </cell>
          <cell r="L23">
            <v>0.20815358761461225</v>
          </cell>
        </row>
        <row r="24">
          <cell r="B24">
            <v>0.26088832927490679</v>
          </cell>
          <cell r="C24">
            <v>0.25757266872681783</v>
          </cell>
          <cell r="D24">
            <v>0.25312829427217692</v>
          </cell>
          <cell r="E24">
            <v>0.20558951018777882</v>
          </cell>
          <cell r="F24">
            <v>0.19707200770300976</v>
          </cell>
          <cell r="G24">
            <v>0.18863988224226549</v>
          </cell>
          <cell r="H24">
            <v>0.18144387994827263</v>
          </cell>
          <cell r="I24">
            <v>0.19520208673037562</v>
          </cell>
          <cell r="J24">
            <v>0.21129361392514523</v>
          </cell>
          <cell r="K24">
            <v>0.2082445975058651</v>
          </cell>
          <cell r="L24">
            <v>0.20815358761461225</v>
          </cell>
        </row>
        <row r="25">
          <cell r="B25">
            <v>0.18185176534040171</v>
          </cell>
          <cell r="C25">
            <v>0.18649941016318411</v>
          </cell>
          <cell r="D25">
            <v>0.18699715115774271</v>
          </cell>
          <cell r="E25">
            <v>0.15916925734134915</v>
          </cell>
          <cell r="F25">
            <v>0.15937015873315177</v>
          </cell>
          <cell r="G25">
            <v>0.13394601026285033</v>
          </cell>
          <cell r="H25">
            <v>0.11928802506306217</v>
          </cell>
          <cell r="I25">
            <v>0.12875036830087194</v>
          </cell>
          <cell r="J25">
            <v>0.1486966617201877</v>
          </cell>
          <cell r="K25">
            <v>0.14377537219807365</v>
          </cell>
          <cell r="L25">
            <v>0.14648565228403998</v>
          </cell>
        </row>
        <row r="26">
          <cell r="B26">
            <v>0.11822201815916197</v>
          </cell>
          <cell r="C26">
            <v>0.11874566422274271</v>
          </cell>
          <cell r="D26">
            <v>0.1226324993488165</v>
          </cell>
          <cell r="E26">
            <v>9.6916130099419157E-2</v>
          </cell>
          <cell r="F26">
            <v>9.6454682648604906E-2</v>
          </cell>
          <cell r="G26">
            <v>8.1581432984526719E-2</v>
          </cell>
          <cell r="H26">
            <v>8.1826866705561496E-2</v>
          </cell>
          <cell r="I26">
            <v>7.8537724663531885E-2</v>
          </cell>
          <cell r="J26">
            <v>9.0704963649314505E-2</v>
          </cell>
          <cell r="K26">
            <v>8.7702977040824942E-2</v>
          </cell>
          <cell r="L26">
            <v>8.9356247893264379E-2</v>
          </cell>
        </row>
        <row r="29">
          <cell r="B29">
            <v>3.4429436923328942E-2</v>
          </cell>
          <cell r="C29">
            <v>3.5613639256115222E-2</v>
          </cell>
          <cell r="D29">
            <v>4.0382013379539436E-2</v>
          </cell>
          <cell r="E29">
            <v>4.4156396121133194E-2</v>
          </cell>
          <cell r="F29">
            <v>4.3469069913782049E-2</v>
          </cell>
          <cell r="G29">
            <v>2.6293957209824085E-2</v>
          </cell>
          <cell r="H29">
            <v>2.6927331351401528E-2</v>
          </cell>
          <cell r="I29">
            <v>2.6258240985668199E-2</v>
          </cell>
          <cell r="J29">
            <v>3.2988277881780916E-2</v>
          </cell>
          <cell r="K29">
            <v>3.1580055492802954E-2</v>
          </cell>
          <cell r="L29">
            <v>3.288898464941778E-2</v>
          </cell>
        </row>
        <row r="30">
          <cell r="B30">
            <v>0.10727568535752587</v>
          </cell>
          <cell r="C30">
            <v>0.1089888716857194</v>
          </cell>
          <cell r="D30">
            <v>0.12085679246022625</v>
          </cell>
          <cell r="E30">
            <v>0.13177966314092776</v>
          </cell>
          <cell r="F30">
            <v>0.13411082300277516</v>
          </cell>
          <cell r="G30">
            <v>8.298293155729565E-2</v>
          </cell>
          <cell r="H30">
            <v>8.4685748760105831E-2</v>
          </cell>
          <cell r="I30">
            <v>8.1853777456058971E-2</v>
          </cell>
          <cell r="J30">
            <v>0.10026353723059922</v>
          </cell>
          <cell r="K30">
            <v>9.307361227777565E-2</v>
          </cell>
          <cell r="L30">
            <v>9.4387736900846675E-2</v>
          </cell>
        </row>
        <row r="31">
          <cell r="B31">
            <v>7.2264624543368086E-2</v>
          </cell>
          <cell r="C31">
            <v>7.1857363711487862E-2</v>
          </cell>
          <cell r="D31">
            <v>7.9219866129955185E-2</v>
          </cell>
          <cell r="E31">
            <v>8.2655835228165483E-2</v>
          </cell>
          <cell r="F31">
            <v>7.6463608154272986E-2</v>
          </cell>
          <cell r="G31">
            <v>5.1994278471109386E-2</v>
          </cell>
          <cell r="H31">
            <v>5.6995930564830218E-2</v>
          </cell>
          <cell r="I31">
            <v>5.4579630121736056E-2</v>
          </cell>
          <cell r="J31">
            <v>6.4433361252323407E-2</v>
          </cell>
          <cell r="K31">
            <v>6.2986023648644238E-2</v>
          </cell>
          <cell r="L31">
            <v>6.4307005297087078E-2</v>
          </cell>
        </row>
        <row r="32">
          <cell r="B32">
            <v>0.42281997187060483</v>
          </cell>
          <cell r="C32">
            <v>0.1084138281647178</v>
          </cell>
          <cell r="D32">
            <v>-0.24764039641340263</v>
          </cell>
          <cell r="E32">
            <v>0.60520287958115204</v>
          </cell>
          <cell r="F32">
            <v>-8.9334453075792575E-2</v>
          </cell>
          <cell r="G32">
            <v>-0.14659498207885299</v>
          </cell>
          <cell r="H32">
            <v>0.22455265473745961</v>
          </cell>
        </row>
        <row r="35">
          <cell r="B35">
            <v>130.75</v>
          </cell>
          <cell r="C35">
            <v>178.83</v>
          </cell>
          <cell r="D35">
            <v>38.299999999999997</v>
          </cell>
          <cell r="E35">
            <v>82.775000000000006</v>
          </cell>
          <cell r="F35">
            <v>405.762</v>
          </cell>
          <cell r="G35">
            <v>102.18300000000001</v>
          </cell>
          <cell r="H35">
            <v>102.18300000000001</v>
          </cell>
          <cell r="I35">
            <v>102.18300000000001</v>
          </cell>
          <cell r="J35">
            <v>102.18300000000001</v>
          </cell>
          <cell r="K35">
            <v>102.18300000000001</v>
          </cell>
          <cell r="L35">
            <v>102.18300000000001</v>
          </cell>
        </row>
        <row r="36">
          <cell r="B36">
            <v>2352.9430000000002</v>
          </cell>
          <cell r="C36">
            <v>2217.0059999999999</v>
          </cell>
          <cell r="D36">
            <v>2320.8500000000004</v>
          </cell>
          <cell r="E36">
            <v>2418.5520000000001</v>
          </cell>
          <cell r="F36">
            <v>2799.2179999999998</v>
          </cell>
          <cell r="G36">
            <v>3162.7180000000003</v>
          </cell>
          <cell r="H36">
            <v>3494.2825784246579</v>
          </cell>
          <cell r="I36">
            <v>3409.4023946979632</v>
          </cell>
          <cell r="J36">
            <v>3356.307959796603</v>
          </cell>
          <cell r="K36">
            <v>3235.6895480620424</v>
          </cell>
          <cell r="L36">
            <v>3235.6895480620424</v>
          </cell>
        </row>
        <row r="37">
          <cell r="B37">
            <v>171.161</v>
          </cell>
          <cell r="C37">
            <v>95.241</v>
          </cell>
          <cell r="D37">
            <v>0</v>
          </cell>
          <cell r="E37">
            <v>0</v>
          </cell>
          <cell r="F37">
            <v>0</v>
          </cell>
          <cell r="G37">
            <v>0</v>
          </cell>
          <cell r="H37">
            <v>0</v>
          </cell>
          <cell r="I37">
            <v>0</v>
          </cell>
          <cell r="J37">
            <v>0</v>
          </cell>
          <cell r="K37">
            <v>0</v>
          </cell>
          <cell r="L37">
            <v>0</v>
          </cell>
        </row>
        <row r="38">
          <cell r="B38">
            <v>2027.4359999999999</v>
          </cell>
          <cell r="C38">
            <v>2163.3510000000001</v>
          </cell>
          <cell r="D38">
            <v>2205.7330000000002</v>
          </cell>
          <cell r="E38">
            <v>2382.7139999999999</v>
          </cell>
          <cell r="F38">
            <v>2499.3229999999999</v>
          </cell>
          <cell r="G38">
            <v>2686.1529999999998</v>
          </cell>
          <cell r="H38">
            <v>2759.296875</v>
          </cell>
          <cell r="I38">
            <v>2821.0838979547543</v>
          </cell>
          <cell r="J38">
            <v>2933.86001457155</v>
          </cell>
          <cell r="K38">
            <v>3026.3719752234369</v>
          </cell>
          <cell r="L38">
            <v>3122.5776971706782</v>
          </cell>
        </row>
        <row r="39">
          <cell r="B39">
            <v>4682.29</v>
          </cell>
          <cell r="C39">
            <v>4654.4279999999999</v>
          </cell>
          <cell r="D39">
            <v>4564.8830000000007</v>
          </cell>
          <cell r="E39">
            <v>4884.0410000000002</v>
          </cell>
          <cell r="F39">
            <v>5704.3029999999999</v>
          </cell>
          <cell r="G39">
            <v>5951.0540000000001</v>
          </cell>
          <cell r="H39">
            <v>6355.7624534246579</v>
          </cell>
          <cell r="I39">
            <v>6332.6692926527176</v>
          </cell>
          <cell r="J39">
            <v>6392.3509743681534</v>
          </cell>
          <cell r="K39">
            <v>6364.2445232854789</v>
          </cell>
          <cell r="L39">
            <v>6460.4502452327206</v>
          </cell>
        </row>
        <row r="41">
          <cell r="B41">
            <v>0.50251970723727069</v>
          </cell>
          <cell r="C41">
            <v>0.47632190249800832</v>
          </cell>
          <cell r="D41">
            <v>0.50841390677482867</v>
          </cell>
          <cell r="E41">
            <v>0.49519486015780784</v>
          </cell>
          <cell r="F41">
            <v>0.49072042631676471</v>
          </cell>
          <cell r="G41">
            <v>0.53145510022258247</v>
          </cell>
          <cell r="H41">
            <v>0.54978180887516392</v>
          </cell>
          <cell r="I41">
            <v>0.53838314257995701</v>
          </cell>
          <cell r="J41">
            <v>0.52505063837305244</v>
          </cell>
          <cell r="K41">
            <v>0.50841691205033235</v>
          </cell>
          <cell r="L41">
            <v>0.50084582733993099</v>
          </cell>
        </row>
        <row r="42">
          <cell r="B42">
            <v>0.53044407757742473</v>
          </cell>
          <cell r="C42">
            <v>0.51474337985247598</v>
          </cell>
          <cell r="D42">
            <v>0.51680404514201139</v>
          </cell>
          <cell r="E42">
            <v>0.51214291608117135</v>
          </cell>
          <cell r="F42">
            <v>0.56185304322017959</v>
          </cell>
          <cell r="G42">
            <v>0.54862567202381296</v>
          </cell>
          <cell r="H42">
            <v>0.56585903025478623</v>
          </cell>
          <cell r="I42">
            <v>0.55451899229479285</v>
          </cell>
          <cell r="J42">
            <v>0.54103583699711588</v>
          </cell>
          <cell r="K42">
            <v>0.52447270620251063</v>
          </cell>
          <cell r="L42">
            <v>0.51666252681461589</v>
          </cell>
        </row>
        <row r="43">
          <cell r="B43">
            <v>0.43300094611824552</v>
          </cell>
          <cell r="C43">
            <v>0.4647941701966386</v>
          </cell>
          <cell r="D43">
            <v>0.48319595485798866</v>
          </cell>
          <cell r="E43">
            <v>0.48785708391882865</v>
          </cell>
          <cell r="F43">
            <v>0.43814695677982041</v>
          </cell>
          <cell r="G43">
            <v>0.45137432797618704</v>
          </cell>
          <cell r="H43">
            <v>0.43414096974521377</v>
          </cell>
          <cell r="I43">
            <v>0.44548100770520721</v>
          </cell>
          <cell r="J43">
            <v>0.45896416300288406</v>
          </cell>
          <cell r="K43">
            <v>0.47552729379748943</v>
          </cell>
          <cell r="L43">
            <v>0.48333747318538411</v>
          </cell>
        </row>
        <row r="44">
          <cell r="B44">
            <v>3.6554976304329717E-2</v>
          </cell>
          <cell r="C44">
            <v>2.0462449950885479E-2</v>
          </cell>
          <cell r="D44">
            <v>0</v>
          </cell>
          <cell r="E44">
            <v>0</v>
          </cell>
          <cell r="F44">
            <v>0</v>
          </cell>
          <cell r="G44">
            <v>0</v>
          </cell>
          <cell r="H44">
            <v>0</v>
          </cell>
          <cell r="I44">
            <v>0</v>
          </cell>
          <cell r="J44">
            <v>0</v>
          </cell>
          <cell r="K44">
            <v>0</v>
          </cell>
          <cell r="L44">
            <v>0</v>
          </cell>
        </row>
        <row r="45">
          <cell r="B45">
            <v>2.9342101554263951</v>
          </cell>
          <cell r="C45">
            <v>3.2130507699344415</v>
          </cell>
          <cell r="D45">
            <v>3.5435593285054274</v>
          </cell>
          <cell r="E45">
            <v>3.8531244179829027</v>
          </cell>
          <cell r="F45">
            <v>3.8041997019713105</v>
          </cell>
          <cell r="G45">
            <v>2.6412958646796154</v>
          </cell>
          <cell r="H45">
            <v>2.4990566498851354</v>
          </cell>
          <cell r="I45">
            <v>2.6619930489627879</v>
          </cell>
          <cell r="J45">
            <v>3.2140353503573347</v>
          </cell>
          <cell r="K45">
            <v>3.2301395977950058</v>
          </cell>
          <cell r="L45">
            <v>3.3753941411983486</v>
          </cell>
          <cell r="M45" t="str">
            <v>why add back taxes OTI?</v>
          </cell>
        </row>
        <row r="50">
          <cell r="B50">
            <v>2483.6930000000002</v>
          </cell>
          <cell r="C50">
            <v>2395.8359999999998</v>
          </cell>
          <cell r="D50">
            <v>2359.1500000000005</v>
          </cell>
          <cell r="E50">
            <v>2501.3270000000002</v>
          </cell>
          <cell r="F50">
            <v>3204.98</v>
          </cell>
          <cell r="G50">
            <v>3264.9010000000003</v>
          </cell>
          <cell r="H50">
            <v>3596.4655784246579</v>
          </cell>
          <cell r="I50">
            <v>3511.5853946979632</v>
          </cell>
          <cell r="J50">
            <v>3458.490959796603</v>
          </cell>
          <cell r="K50">
            <v>3337.8725480620424</v>
          </cell>
          <cell r="L50">
            <v>3337.8725480620424</v>
          </cell>
        </row>
        <row r="51">
          <cell r="B51">
            <v>2456.2089999999998</v>
          </cell>
          <cell r="C51">
            <v>2375.2979999999998</v>
          </cell>
          <cell r="D51">
            <v>2338.4450000000006</v>
          </cell>
          <cell r="E51">
            <v>2490.9639999999999</v>
          </cell>
          <cell r="F51">
            <v>3176.3609999999999</v>
          </cell>
          <cell r="G51">
            <v>3187.1940000000009</v>
          </cell>
          <cell r="H51">
            <v>3518.7585784246585</v>
          </cell>
          <cell r="I51">
            <v>3433.8783946979638</v>
          </cell>
          <cell r="J51">
            <v>3380.7839597966035</v>
          </cell>
          <cell r="K51">
            <v>3260.1655480620429</v>
          </cell>
          <cell r="L51">
            <v>3119.937592121988</v>
          </cell>
        </row>
        <row r="52">
          <cell r="B52">
            <v>171.161</v>
          </cell>
          <cell r="C52">
            <v>95.241</v>
          </cell>
          <cell r="D52">
            <v>0</v>
          </cell>
          <cell r="E52">
            <v>0</v>
          </cell>
          <cell r="F52">
            <v>0</v>
          </cell>
          <cell r="G52">
            <v>0</v>
          </cell>
          <cell r="H52">
            <v>0</v>
          </cell>
          <cell r="I52">
            <v>0</v>
          </cell>
          <cell r="J52">
            <v>0</v>
          </cell>
          <cell r="K52">
            <v>0</v>
          </cell>
          <cell r="L52">
            <v>0</v>
          </cell>
        </row>
        <row r="53">
          <cell r="B53">
            <v>0</v>
          </cell>
          <cell r="C53">
            <v>0</v>
          </cell>
          <cell r="D53">
            <v>0</v>
          </cell>
          <cell r="E53">
            <v>0</v>
          </cell>
          <cell r="F53">
            <v>0</v>
          </cell>
          <cell r="G53">
            <v>0</v>
          </cell>
          <cell r="H53">
            <v>0</v>
          </cell>
          <cell r="I53">
            <v>0</v>
          </cell>
          <cell r="J53">
            <v>0</v>
          </cell>
          <cell r="K53">
            <v>0</v>
          </cell>
          <cell r="L53">
            <v>0</v>
          </cell>
        </row>
        <row r="54">
          <cell r="B54">
            <v>84.824946999999995</v>
          </cell>
          <cell r="C54">
            <v>84.824946999999995</v>
          </cell>
          <cell r="D54">
            <v>84.824946999999995</v>
          </cell>
          <cell r="E54">
            <v>84.824946999999995</v>
          </cell>
          <cell r="F54">
            <v>84.824946999999995</v>
          </cell>
          <cell r="G54">
            <v>91.379947000000001</v>
          </cell>
          <cell r="H54">
            <v>91.287999999999997</v>
          </cell>
          <cell r="I54">
            <v>91.287999999999997</v>
          </cell>
          <cell r="J54">
            <v>91.287999999999997</v>
          </cell>
          <cell r="K54">
            <v>91.287999999999997</v>
          </cell>
          <cell r="L54">
            <v>91.287999999999997</v>
          </cell>
        </row>
        <row r="55">
          <cell r="B55">
            <v>39.340000000000003</v>
          </cell>
          <cell r="C55">
            <v>42.38</v>
          </cell>
          <cell r="D55">
            <v>30.56</v>
          </cell>
          <cell r="E55">
            <v>47.63</v>
          </cell>
          <cell r="F55">
            <v>41.85</v>
          </cell>
          <cell r="G55">
            <v>34.090000000000003</v>
          </cell>
          <cell r="H55">
            <v>40.020000000000003</v>
          </cell>
          <cell r="I55">
            <v>40.020000000000003</v>
          </cell>
          <cell r="J55">
            <v>40.020000000000003</v>
          </cell>
          <cell r="K55">
            <v>40.020000000000003</v>
          </cell>
          <cell r="L55">
            <v>40.020000000000003</v>
          </cell>
        </row>
        <row r="56">
          <cell r="B56">
            <v>3337.0134149800001</v>
          </cell>
          <cell r="C56">
            <v>3594.88125386</v>
          </cell>
          <cell r="D56">
            <v>2592.2503803199997</v>
          </cell>
          <cell r="E56">
            <v>4040.2122256100001</v>
          </cell>
          <cell r="F56">
            <v>3549.92403195</v>
          </cell>
          <cell r="G56">
            <v>3115.1423932300004</v>
          </cell>
          <cell r="H56">
            <v>3653.3457600000002</v>
          </cell>
          <cell r="I56">
            <v>3653.3457600000002</v>
          </cell>
          <cell r="J56">
            <v>3653.3457600000002</v>
          </cell>
          <cell r="K56">
            <v>3653.3457600000002</v>
          </cell>
          <cell r="L56">
            <v>3653.3457600000002</v>
          </cell>
        </row>
        <row r="57">
          <cell r="B57">
            <v>5964.3834149800005</v>
          </cell>
          <cell r="C57">
            <v>6065.4202538600002</v>
          </cell>
          <cell r="D57">
            <v>4930.6953803200004</v>
          </cell>
          <cell r="E57">
            <v>6531.1762256100001</v>
          </cell>
          <cell r="F57">
            <v>6726.2850319499994</v>
          </cell>
          <cell r="G57">
            <v>6302.3363932300017</v>
          </cell>
          <cell r="H57">
            <v>7172.1043384246586</v>
          </cell>
          <cell r="I57">
            <v>7087.224154697964</v>
          </cell>
          <cell r="J57">
            <v>7034.1297197966032</v>
          </cell>
          <cell r="K57">
            <v>6913.5113080620431</v>
          </cell>
          <cell r="L57">
            <v>6773.2833521219882</v>
          </cell>
        </row>
        <row r="59">
          <cell r="B59">
            <v>7.1419052193648733E-2</v>
          </cell>
          <cell r="C59">
            <v>6.7209355657072631E-2</v>
          </cell>
          <cell r="D59">
            <v>6.6095673047197198E-2</v>
          </cell>
          <cell r="E59">
            <v>6.8489985653671426E-2</v>
          </cell>
          <cell r="F59">
            <v>6.1623743692724553E-2</v>
          </cell>
          <cell r="G59">
            <v>5.8224563944839172E-2</v>
          </cell>
          <cell r="H59">
            <v>5.8000000000000003E-2</v>
          </cell>
          <cell r="I59">
            <v>0.06</v>
          </cell>
          <cell r="J59">
            <v>0.06</v>
          </cell>
          <cell r="K59">
            <v>0.06</v>
          </cell>
          <cell r="L59">
            <v>0.06</v>
          </cell>
        </row>
        <row r="60">
          <cell r="B60">
            <v>1.2250413823173705</v>
          </cell>
          <cell r="C60">
            <v>1.1074652240898493</v>
          </cell>
          <cell r="D60">
            <v>1.0695537492525162</v>
          </cell>
          <cell r="E60">
            <v>1.049780628308727</v>
          </cell>
          <cell r="F60">
            <v>1.2823392574709231</v>
          </cell>
          <cell r="G60">
            <v>1.2154560816156044</v>
          </cell>
          <cell r="H60">
            <v>1.3033992866116146</v>
          </cell>
          <cell r="I60">
            <v>1.2447646088242228</v>
          </cell>
          <cell r="J60">
            <v>1.1788193515094032</v>
          </cell>
          <cell r="K60">
            <v>1.1029287131221228</v>
          </cell>
          <cell r="L60">
            <v>1.0689477962666676</v>
          </cell>
        </row>
        <row r="61">
          <cell r="B61">
            <v>0.53044407757742473</v>
          </cell>
          <cell r="C61">
            <v>0.51474337985247598</v>
          </cell>
          <cell r="D61">
            <v>0.51680404514201139</v>
          </cell>
          <cell r="E61">
            <v>0.51214291608117135</v>
          </cell>
          <cell r="F61">
            <v>0.56185304322017959</v>
          </cell>
          <cell r="G61">
            <v>0.54862567202381296</v>
          </cell>
          <cell r="H61">
            <v>0.56585903025478623</v>
          </cell>
          <cell r="I61">
            <v>0.55451899229479285</v>
          </cell>
          <cell r="J61">
            <v>0.54103583699711588</v>
          </cell>
          <cell r="K61">
            <v>0.52447270620251063</v>
          </cell>
          <cell r="L61">
            <v>0.51666252681461589</v>
          </cell>
        </row>
        <row r="62">
          <cell r="B62">
            <v>0.41451067388284157</v>
          </cell>
          <cell r="C62">
            <v>0.39366619027996919</v>
          </cell>
          <cell r="D62">
            <v>0.47646116629484381</v>
          </cell>
          <cell r="E62">
            <v>0.38237590783027842</v>
          </cell>
          <cell r="F62">
            <v>0.47446714044208105</v>
          </cell>
          <cell r="G62">
            <v>0.51173648810358507</v>
          </cell>
          <cell r="H62">
            <v>0.49607712677474292</v>
          </cell>
          <cell r="I62">
            <v>0.4901073463065248</v>
          </cell>
          <cell r="J62">
            <v>0.48630066972284408</v>
          </cell>
          <cell r="K62">
            <v>0.47743789436712591</v>
          </cell>
          <cell r="L62">
            <v>0.47743789436712591</v>
          </cell>
        </row>
        <row r="66">
          <cell r="B66">
            <v>7.5977710553970706E-2</v>
          </cell>
          <cell r="C66">
            <v>7.7249979326107346E-2</v>
          </cell>
          <cell r="D66">
            <v>8.3353354292845475E-2</v>
          </cell>
          <cell r="E66">
            <v>9.3669566055606654E-2</v>
          </cell>
          <cell r="F66">
            <v>8.8814110892888112E-2</v>
          </cell>
          <cell r="G66">
            <v>6.0799238384120408E-2</v>
          </cell>
          <cell r="H66">
            <v>5.9708988914749503E-2</v>
          </cell>
          <cell r="I66">
            <v>6.5263711881527839E-2</v>
          </cell>
          <cell r="J66">
            <v>7.6844884451492762E-2</v>
          </cell>
          <cell r="K66">
            <v>7.4984637548282912E-2</v>
          </cell>
          <cell r="L66">
            <v>7.6614230220987886E-2</v>
          </cell>
        </row>
        <row r="67">
          <cell r="B67">
            <v>9.1004533008720551E-2</v>
          </cell>
          <cell r="C67">
            <v>8.8829998434062585E-2</v>
          </cell>
          <cell r="D67">
            <v>9.5142593390104516E-2</v>
          </cell>
          <cell r="E67">
            <v>0.10419309915734913</v>
          </cell>
          <cell r="F67">
            <v>7.5825321705534923E-2</v>
          </cell>
          <cell r="G67">
            <v>0.10641773201130075</v>
          </cell>
          <cell r="H67">
            <v>7.069003098962412E-2</v>
          </cell>
          <cell r="I67">
            <v>8.2490386641547356E-2</v>
          </cell>
          <cell r="J67">
            <v>9.0424324384454316E-2</v>
          </cell>
          <cell r="K67">
            <v>9.1707759900882035E-2</v>
          </cell>
          <cell r="L67">
            <v>9.4545730492907626E-2</v>
          </cell>
        </row>
        <row r="74">
          <cell r="B74">
            <v>2.6997279285722819</v>
          </cell>
          <cell r="C74">
            <v>2.5481084105032643</v>
          </cell>
          <cell r="D74">
            <v>2.415469076999317</v>
          </cell>
          <cell r="E74">
            <v>2.3320874162059351</v>
          </cell>
          <cell r="F74">
            <v>2.9222121420723677</v>
          </cell>
          <cell r="G74">
            <v>3.5396408429479345</v>
          </cell>
          <cell r="H74">
            <v>3.7880460051343272</v>
          </cell>
          <cell r="I74">
            <v>3.4466743542136675</v>
          </cell>
          <cell r="J74">
            <v>3.0204432253681572</v>
          </cell>
          <cell r="K74">
            <v>2.8921701379812936</v>
          </cell>
          <cell r="L74">
            <v>2.7986823133468923</v>
          </cell>
        </row>
        <row r="75">
          <cell r="B75">
            <v>5.1863989221064042</v>
          </cell>
          <cell r="C75">
            <v>5.7340509223967073</v>
          </cell>
          <cell r="D75">
            <v>6.2152957197948346</v>
          </cell>
          <cell r="E75">
            <v>6.4439130774360613</v>
          </cell>
          <cell r="F75">
            <v>6.237928131860631</v>
          </cell>
          <cell r="G75">
            <v>4.8970921620574108</v>
          </cell>
          <cell r="H75">
            <v>4.6406227088322982</v>
          </cell>
          <cell r="I75">
            <v>4.7778355009750619</v>
          </cell>
          <cell r="J75">
            <v>5.4759210454593399</v>
          </cell>
          <cell r="K75">
            <v>5.6604121959133007</v>
          </cell>
          <cell r="L75">
            <v>5.9551834758748692</v>
          </cell>
        </row>
        <row r="76">
          <cell r="B76">
            <v>7.9803771084376534</v>
          </cell>
          <cell r="C76">
            <v>8.2211465830170525</v>
          </cell>
          <cell r="D76">
            <v>7.4676964689250367</v>
          </cell>
          <cell r="E76">
            <v>8.9479902625495278</v>
          </cell>
          <cell r="F76">
            <v>8.1249998085217783</v>
          </cell>
          <cell r="G76">
            <v>10.254636343320499</v>
          </cell>
          <cell r="H76">
            <v>6.8157168862187003</v>
          </cell>
          <cell r="I76">
            <v>7.0195890596680615</v>
          </cell>
          <cell r="J76">
            <v>7.516717778282012</v>
          </cell>
          <cell r="K76">
            <v>7.4554020692514413</v>
          </cell>
          <cell r="L76">
            <v>7.8501242195521268</v>
          </cell>
        </row>
        <row r="77">
          <cell r="B77">
            <v>0.28809679779264197</v>
          </cell>
          <cell r="C77">
            <v>0.27899155033983958</v>
          </cell>
          <cell r="D77">
            <v>0.261554373397198</v>
          </cell>
          <cell r="E77">
            <v>0.28016848656733012</v>
          </cell>
          <cell r="F77">
            <v>0.17216706500508577</v>
          </cell>
          <cell r="G77">
            <v>0.24902654016155451</v>
          </cell>
          <cell r="H77">
            <v>0.19427935142536698</v>
          </cell>
          <cell r="I77">
            <v>0.20206630999949976</v>
          </cell>
          <cell r="J77">
            <v>0.22884865272666285</v>
          </cell>
          <cell r="K77">
            <v>0.24053663796061861</v>
          </cell>
          <cell r="L77">
            <v>0.25071454643560781</v>
          </cell>
        </row>
        <row r="78">
          <cell r="B78">
            <v>0.25100485446470244</v>
          </cell>
          <cell r="C78">
            <v>0.25287123158680308</v>
          </cell>
          <cell r="D78">
            <v>0.26941907042790819</v>
          </cell>
          <cell r="E78">
            <v>0.2852062125423826</v>
          </cell>
          <cell r="F78">
            <v>0.17817365474979557</v>
          </cell>
          <cell r="G78">
            <v>0.26670762758196942</v>
          </cell>
          <cell r="H78">
            <v>0.16830733768359432</v>
          </cell>
          <cell r="I78">
            <v>0.20431819337499155</v>
          </cell>
          <cell r="J78">
            <v>0.22866153015703403</v>
          </cell>
          <cell r="K78">
            <v>0.24131437019733359</v>
          </cell>
          <cell r="L78">
            <v>0.24992414896859885</v>
          </cell>
        </row>
        <row r="79">
          <cell r="B79">
            <v>0.21228831421596803</v>
          </cell>
          <cell r="C79">
            <v>0.20952561026714681</v>
          </cell>
          <cell r="D79">
            <v>0.22181251722018508</v>
          </cell>
          <cell r="E79">
            <v>0.2369386329736177</v>
          </cell>
          <cell r="F79">
            <v>0.13786170272513393</v>
          </cell>
          <cell r="G79">
            <v>0.22452533782800749</v>
          </cell>
          <cell r="H79">
            <v>0.12453321512714843</v>
          </cell>
          <cell r="I79">
            <v>0.15687506405467222</v>
          </cell>
          <cell r="J79">
            <v>0.17785052557648862</v>
          </cell>
          <cell r="K79">
            <v>0.18593232749251909</v>
          </cell>
          <cell r="L79">
            <v>0.1918071905746577</v>
          </cell>
        </row>
        <row r="82">
          <cell r="B82">
            <v>2.9896269096142105</v>
          </cell>
          <cell r="C82">
            <v>2.9652782176221635</v>
          </cell>
          <cell r="D82">
            <v>2.2413871640359466</v>
          </cell>
          <cell r="E82">
            <v>2.0936464707124998</v>
          </cell>
          <cell r="F82">
            <v>1.9818176180274707</v>
          </cell>
          <cell r="G82">
            <v>2.3897116661642559</v>
          </cell>
          <cell r="H82">
            <v>2.5452381240834008</v>
          </cell>
          <cell r="I82">
            <v>2.4371480909920908</v>
          </cell>
          <cell r="J82">
            <v>2.2115018389272976</v>
          </cell>
          <cell r="K82">
            <v>2.1860156914406863</v>
          </cell>
          <cell r="L82">
            <v>2.085631859415026</v>
          </cell>
        </row>
        <row r="83">
          <cell r="B83">
            <v>2.9158830685692023</v>
          </cell>
          <cell r="C83">
            <v>2.7572084772763126</v>
          </cell>
          <cell r="D83">
            <v>1.5805932384256305</v>
          </cell>
          <cell r="E83">
            <v>1.9243311945410693</v>
          </cell>
          <cell r="F83">
            <v>2.5504639562025861</v>
          </cell>
          <cell r="G83">
            <v>2.2365746651101626</v>
          </cell>
          <cell r="H83">
            <v>2.4663366101100372</v>
          </cell>
          <cell r="I83">
            <v>2.2281945137994579</v>
          </cell>
          <cell r="J83">
            <v>2.2241545949557389</v>
          </cell>
          <cell r="K83">
            <v>2.1288109023230124</v>
          </cell>
        </row>
        <row r="85">
          <cell r="B85">
            <v>6.4831734365458331</v>
          </cell>
          <cell r="C85">
            <v>6.4509208318505582</v>
          </cell>
          <cell r="D85">
            <v>5.0484039672196959</v>
          </cell>
          <cell r="E85">
            <v>6.0892773670809355</v>
          </cell>
          <cell r="F85">
            <v>6.1328407014720563</v>
          </cell>
          <cell r="G85">
            <v>6.8326749581301502</v>
          </cell>
          <cell r="H85">
            <v>7.5541557663055636</v>
          </cell>
          <cell r="I85">
            <v>6.9562180584995126</v>
          </cell>
          <cell r="J85">
            <v>6.1431964708012341</v>
          </cell>
          <cell r="K85">
            <v>5.9903578299842799</v>
          </cell>
          <cell r="L85">
            <v>5.6791468361716522</v>
          </cell>
        </row>
        <row r="86">
          <cell r="B86">
            <v>6.3434623835591095</v>
          </cell>
          <cell r="C86">
            <v>6.2102176895085837</v>
          </cell>
          <cell r="D86">
            <v>4.5970849271562688</v>
          </cell>
          <cell r="E86">
            <v>5.9549458868672875</v>
          </cell>
          <cell r="F86">
            <v>7.2922986701279973</v>
          </cell>
          <cell r="G86">
            <v>6.6380560794480896</v>
          </cell>
          <cell r="H86">
            <v>7.0395292469084465</v>
          </cell>
          <cell r="I86">
            <v>6.1895660372007937</v>
          </cell>
          <cell r="J86">
            <v>6.0948701993112531</v>
          </cell>
          <cell r="K86">
            <v>5.7967227754788846</v>
          </cell>
        </row>
        <row r="88">
          <cell r="B88">
            <v>5.4283632998031797</v>
          </cell>
          <cell r="C88">
            <v>5.9701825900653329</v>
          </cell>
          <cell r="D88">
            <v>4.0872797986154827</v>
          </cell>
          <cell r="E88">
            <v>5.6707149905942567</v>
          </cell>
          <cell r="F88">
            <v>6.2242606949038892</v>
          </cell>
          <cell r="G88">
            <v>3.3262623367257196</v>
          </cell>
          <cell r="H88">
            <v>6.0432154659793706</v>
          </cell>
          <cell r="I88">
            <v>5.099716456509003</v>
          </cell>
          <cell r="J88">
            <v>4.626755540892848</v>
          </cell>
          <cell r="K88">
            <v>4.5425882101289128</v>
          </cell>
          <cell r="L88">
            <v>4.3860980122045747</v>
          </cell>
        </row>
        <row r="91">
          <cell r="B91">
            <v>14.348351621328252</v>
          </cell>
          <cell r="C91">
            <v>14.891241704131879</v>
          </cell>
          <cell r="D91">
            <v>9.6298913156295001</v>
          </cell>
          <cell r="E91">
            <v>13.380833156926812</v>
          </cell>
          <cell r="F91">
            <v>10.857296245498182</v>
          </cell>
          <cell r="G91">
            <v>13.462153723164471</v>
          </cell>
          <cell r="H91">
            <v>15.864739174935824</v>
          </cell>
          <cell r="I91">
            <v>16.020783055852679</v>
          </cell>
          <cell r="J91">
            <v>12.682421476397479</v>
          </cell>
          <cell r="K91">
            <v>13.191572415001621</v>
          </cell>
          <cell r="L91">
            <v>12.60868479211968</v>
          </cell>
        </row>
        <row r="94">
          <cell r="B94">
            <v>1.6459278689832872</v>
          </cell>
          <cell r="C94">
            <v>1.6617189045420737</v>
          </cell>
          <cell r="D94">
            <v>1.1752330768592569</v>
          </cell>
          <cell r="E94">
            <v>1.6956345686515462</v>
          </cell>
          <cell r="F94">
            <v>1.4203542447094673</v>
          </cell>
          <cell r="G94">
            <v>1.1597040054047556</v>
          </cell>
          <cell r="H94">
            <v>1.3240132995837934</v>
          </cell>
          <cell r="I94">
            <v>1.2950149276484204</v>
          </cell>
          <cell r="J94">
            <v>1.2452351993125077</v>
          </cell>
          <cell r="K94">
            <v>1.2071701000106816</v>
          </cell>
          <cell r="L94">
            <v>1.1699775359665969</v>
          </cell>
        </row>
        <row r="99">
          <cell r="B99">
            <v>1995.0260000000001</v>
          </cell>
          <cell r="C99">
            <v>2045.481</v>
          </cell>
          <cell r="D99">
            <v>2199.8409999999999</v>
          </cell>
          <cell r="E99">
            <v>3119.5220000000004</v>
          </cell>
          <cell r="F99">
            <v>3393.998</v>
          </cell>
          <cell r="G99">
            <v>2637.2789999999995</v>
          </cell>
          <cell r="H99">
            <v>2817.8519999999999</v>
          </cell>
          <cell r="I99">
            <v>2907.9989767109164</v>
          </cell>
          <cell r="J99">
            <v>3180.7026320215728</v>
          </cell>
          <cell r="K99">
            <v>3162.6082718124117</v>
          </cell>
          <cell r="L99">
            <v>3247.5929639959304</v>
          </cell>
        </row>
        <row r="100">
          <cell r="B100">
            <v>919.97900000000027</v>
          </cell>
          <cell r="C100">
            <v>940.24099999999999</v>
          </cell>
          <cell r="D100">
            <v>976.68399999999986</v>
          </cell>
          <cell r="E100">
            <v>1072.5700000000002</v>
          </cell>
          <cell r="F100">
            <v>1096.7649999999999</v>
          </cell>
          <cell r="G100">
            <v>922.38199999999961</v>
          </cell>
          <cell r="H100">
            <v>949.42499999999984</v>
          </cell>
          <cell r="I100">
            <v>1018.8329484637677</v>
          </cell>
          <cell r="J100">
            <v>1145.0276339410593</v>
          </cell>
          <cell r="K100">
            <v>1154.1065666322952</v>
          </cell>
          <cell r="L100">
            <v>1192.6586065677252</v>
          </cell>
        </row>
        <row r="101">
          <cell r="B101">
            <v>520.47900000000027</v>
          </cell>
          <cell r="C101">
            <v>526.86</v>
          </cell>
          <cell r="D101">
            <v>556.84199999999987</v>
          </cell>
          <cell r="E101">
            <v>641.34100000000024</v>
          </cell>
          <cell r="F101">
            <v>668.86199999999974</v>
          </cell>
          <cell r="G101">
            <v>497.49599999999958</v>
          </cell>
          <cell r="H101">
            <v>511.28199999999987</v>
          </cell>
          <cell r="I101">
            <v>567.64746846376784</v>
          </cell>
          <cell r="J101">
            <v>672.06215394105948</v>
          </cell>
          <cell r="K101">
            <v>658.59608663229528</v>
          </cell>
          <cell r="L101">
            <v>675.99812656772519</v>
          </cell>
        </row>
        <row r="103">
          <cell r="B103">
            <v>177.38300000000001</v>
          </cell>
          <cell r="C103">
            <v>163.97499999999999</v>
          </cell>
          <cell r="D103">
            <v>157.142</v>
          </cell>
          <cell r="E103">
            <v>166.447</v>
          </cell>
          <cell r="F103">
            <v>175.822</v>
          </cell>
          <cell r="G103">
            <v>188.35300000000001</v>
          </cell>
          <cell r="H103">
            <v>204.59</v>
          </cell>
          <cell r="I103">
            <v>213.24152919367862</v>
          </cell>
          <cell r="J103">
            <v>209.10229063483698</v>
          </cell>
          <cell r="K103">
            <v>203.89090523575933</v>
          </cell>
          <cell r="L103">
            <v>200.27235288372253</v>
          </cell>
        </row>
        <row r="104">
          <cell r="B104">
            <v>362.79900000000026</v>
          </cell>
          <cell r="C104">
            <v>381.48099999999999</v>
          </cell>
          <cell r="D104">
            <v>411.36399999999986</v>
          </cell>
          <cell r="E104">
            <v>496.53200000000027</v>
          </cell>
          <cell r="F104">
            <v>540.9019999999997</v>
          </cell>
          <cell r="G104">
            <v>353.25299999999959</v>
          </cell>
          <cell r="H104">
            <v>336.13599999999985</v>
          </cell>
          <cell r="I104">
            <v>374.40593927008922</v>
          </cell>
          <cell r="J104">
            <v>472.95986330622247</v>
          </cell>
          <cell r="K104">
            <v>454.70518139653598</v>
          </cell>
          <cell r="L104">
            <v>475.72577368400266</v>
          </cell>
        </row>
        <row r="106">
          <cell r="B106">
            <v>235.85600000000028</v>
          </cell>
          <cell r="C106">
            <v>242.892</v>
          </cell>
          <cell r="D106">
            <v>269.77199999999982</v>
          </cell>
          <cell r="E106">
            <v>302.33200000000028</v>
          </cell>
          <cell r="F106">
            <v>327.36699999999973</v>
          </cell>
          <cell r="G106">
            <v>215.15299999999959</v>
          </cell>
          <cell r="H106">
            <v>230.57599999999985</v>
          </cell>
          <cell r="I106">
            <v>228.38762295475442</v>
          </cell>
          <cell r="J106">
            <v>288.50551661679572</v>
          </cell>
          <cell r="K106">
            <v>277.37016065188698</v>
          </cell>
          <cell r="L106">
            <v>290.19272194724158</v>
          </cell>
        </row>
        <row r="107">
          <cell r="B107">
            <v>2.7417783616009705</v>
          </cell>
          <cell r="C107">
            <v>2.8459681765987859</v>
          </cell>
          <cell r="D107">
            <v>3.1734522227058291</v>
          </cell>
          <cell r="E107">
            <v>3.5595690822393626</v>
          </cell>
          <cell r="F107">
            <v>3.8545508065465643</v>
          </cell>
          <cell r="G107">
            <v>2.5322842615696013</v>
          </cell>
          <cell r="H107">
            <v>2.522575351457796</v>
          </cell>
          <cell r="I107">
            <v>2.4980052386003679</v>
          </cell>
          <cell r="J107">
            <v>3.155548810176267</v>
          </cell>
          <cell r="K107">
            <v>3.0337550930993458</v>
          </cell>
          <cell r="L107">
            <v>3.1740027338150414</v>
          </cell>
        </row>
        <row r="110">
          <cell r="B110">
            <v>399.5</v>
          </cell>
          <cell r="C110">
            <v>413.38099999999997</v>
          </cell>
          <cell r="D110">
            <v>419.84199999999998</v>
          </cell>
          <cell r="E110">
            <v>431.22899999999998</v>
          </cell>
          <cell r="F110">
            <v>427.90300000000002</v>
          </cell>
          <cell r="G110">
            <v>424.88600000000002</v>
          </cell>
          <cell r="H110">
            <v>438.14299999999997</v>
          </cell>
          <cell r="I110">
            <v>451.18547999999993</v>
          </cell>
          <cell r="J110">
            <v>472.96547999999996</v>
          </cell>
          <cell r="K110">
            <v>495.51047999999992</v>
          </cell>
          <cell r="L110">
            <v>516.66047999999989</v>
          </cell>
        </row>
        <row r="111">
          <cell r="B111">
            <v>307.87599999999998</v>
          </cell>
          <cell r="C111">
            <v>319.142</v>
          </cell>
          <cell r="D111">
            <v>343.44799999999998</v>
          </cell>
          <cell r="E111">
            <v>658.60799999999995</v>
          </cell>
          <cell r="F111">
            <v>1055.5740000000001</v>
          </cell>
          <cell r="G111">
            <v>895.52200000000005</v>
          </cell>
          <cell r="H111">
            <v>750</v>
          </cell>
          <cell r="I111">
            <v>446</v>
          </cell>
          <cell r="J111">
            <v>552</v>
          </cell>
          <cell r="K111">
            <v>500</v>
          </cell>
          <cell r="L111">
            <v>500</v>
          </cell>
        </row>
        <row r="113">
          <cell r="B113">
            <v>623.41900000000032</v>
          </cell>
          <cell r="C113">
            <v>605.83799999999985</v>
          </cell>
          <cell r="D113">
            <v>635.5999999999998</v>
          </cell>
          <cell r="E113">
            <v>713.39400000000023</v>
          </cell>
          <cell r="F113">
            <v>571.04299999999978</v>
          </cell>
          <cell r="G113">
            <v>870.77399999999955</v>
          </cell>
          <cell r="H113">
            <v>605.31154657534228</v>
          </cell>
          <cell r="I113">
            <v>717.48078372669443</v>
          </cell>
          <cell r="J113">
            <v>790.82383490136044</v>
          </cell>
          <cell r="K113">
            <v>805.47661173456083</v>
          </cell>
          <cell r="L113">
            <v>834.21495594005455</v>
          </cell>
        </row>
        <row r="114">
          <cell r="B114">
            <v>219.38300000000038</v>
          </cell>
          <cell r="C114">
            <v>182.84699999999987</v>
          </cell>
          <cell r="D114">
            <v>179.84099999999978</v>
          </cell>
          <cell r="E114">
            <v>-65.946999999999662</v>
          </cell>
          <cell r="F114">
            <v>-613.73000000000025</v>
          </cell>
          <cell r="G114">
            <v>-162.46900000000051</v>
          </cell>
          <cell r="H114">
            <v>-302.12057842465777</v>
          </cell>
          <cell r="I114">
            <v>104.88018372669444</v>
          </cell>
          <cell r="J114">
            <v>63.094434901360387</v>
          </cell>
          <cell r="K114">
            <v>120.61841173456082</v>
          </cell>
          <cell r="L114">
            <v>140.22795594005447</v>
          </cell>
        </row>
        <row r="116">
          <cell r="B116">
            <v>7.2471199562907636</v>
          </cell>
          <cell r="C116">
            <v>7.0986103625243109</v>
          </cell>
          <cell r="D116">
            <v>7.4768553917820446</v>
          </cell>
          <cell r="E116">
            <v>8.3992935774415756</v>
          </cell>
          <cell r="F116">
            <v>6.7236900977275376</v>
          </cell>
          <cell r="G116">
            <v>10.248740643095894</v>
          </cell>
          <cell r="H116">
            <v>6.622302352993187</v>
          </cell>
          <cell r="I116">
            <v>7.8474951188552131</v>
          </cell>
          <cell r="J116">
            <v>8.649689754794597</v>
          </cell>
          <cell r="K116">
            <v>8.8099555030686538</v>
          </cell>
          <cell r="L116">
            <v>9.1242831073637678</v>
          </cell>
        </row>
        <row r="118">
          <cell r="B118">
            <v>1.125</v>
          </cell>
          <cell r="C118">
            <v>1.2250000000000001</v>
          </cell>
          <cell r="D118">
            <v>1.325</v>
          </cell>
          <cell r="E118">
            <v>1.425</v>
          </cell>
          <cell r="F118">
            <v>1.5249999999999999</v>
          </cell>
          <cell r="G118">
            <v>1.625</v>
          </cell>
          <cell r="H118">
            <v>1.7250000000000001</v>
          </cell>
          <cell r="I118">
            <v>1.8250000000000002</v>
          </cell>
          <cell r="J118">
            <v>1.9250000000000003</v>
          </cell>
          <cell r="K118">
            <v>2.0250000000000004</v>
          </cell>
          <cell r="L118">
            <v>2.1250000000000004</v>
          </cell>
        </row>
        <row r="119">
          <cell r="B119">
            <v>0.41031763024896495</v>
          </cell>
          <cell r="C119">
            <v>0.43043348484099936</v>
          </cell>
          <cell r="D119">
            <v>0.41752637412333404</v>
          </cell>
          <cell r="E119">
            <v>0.40032935646904694</v>
          </cell>
          <cell r="F119">
            <v>0.39563624311552509</v>
          </cell>
          <cell r="G119">
            <v>0.64171310648701274</v>
          </cell>
          <cell r="H119">
            <v>0.683824964436889</v>
          </cell>
          <cell r="I119">
            <v>0.73058293545555075</v>
          </cell>
          <cell r="J119">
            <v>0.61003651529398173</v>
          </cell>
          <cell r="K119">
            <v>0.66748960870510454</v>
          </cell>
          <cell r="L119">
            <v>0.66950162876697461</v>
          </cell>
        </row>
        <row r="133">
          <cell r="B133">
            <v>8.9177971870604833E-2</v>
          </cell>
          <cell r="C133">
            <v>-0.1773721718352822</v>
          </cell>
          <cell r="D133">
            <v>-0.45807239641340264</v>
          </cell>
          <cell r="E133">
            <v>0.69648887958115202</v>
          </cell>
          <cell r="F133">
            <v>2.8915546924207419E-2</v>
          </cell>
          <cell r="G133">
            <v>7.4410017921147015E-2</v>
          </cell>
          <cell r="H133">
            <v>-6.2296345262540409E-2</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Introduction"/>
      <sheetName val="Income Statement"/>
      <sheetName val="Cash Flow"/>
      <sheetName val="Balance Sheet"/>
      <sheetName val="Fin Stats"/>
      <sheetName val="PTF Worksheet"/>
      <sheetName val="Power Plants"/>
      <sheetName val="Op Co"/>
      <sheetName val="DCF - Valuation"/>
      <sheetName val="Inc Stat"/>
    </sheetNames>
    <sheetDataSet>
      <sheetData sheetId="0" refreshError="1"/>
      <sheetData sheetId="1" refreshError="1">
        <row r="1">
          <cell r="A1" t="str">
            <v>Wisconsin Energy Corporation</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cenario"/>
      <sheetName val="Sheet1"/>
      <sheetName val="ImportantDisclosures"/>
      <sheetName val="IndexInformation"/>
      <sheetName val="Income"/>
      <sheetName val="GWP"/>
      <sheetName val="Income Statement"/>
      <sheetName val="Margins"/>
      <sheetName val="Euro vs. PM"/>
      <sheetName val="Ruble"/>
      <sheetName val="Comps"/>
      <sheetName val="Switches"/>
      <sheetName val="MS_IRI_Methodology"/>
      <sheetName val="MARKET_SHARE ($)_RAW_DATA"/>
      <sheetName val="NEXXUS_RAW_DATA"/>
      <sheetName val="HAIR_CARE_MARKET SHARE ROLL-UP"/>
      <sheetName val="TOTAL_ACV_DOLLAR_SALES"/>
      <sheetName val="EBITDA"/>
      <sheetName val="SSB Nielsen Sales"/>
      <sheetName val="TimeSeries"/>
      <sheetName val="Valuation Analyzer"/>
      <sheetName val="GWP-WLine"/>
      <sheetName val="TS_Stnd_Dev_Band"/>
      <sheetName val="Print "/>
      <sheetName val="Lookup"/>
      <sheetName val="Input"/>
      <sheetName val="99 cons YTD"/>
      <sheetName val="KPN"/>
      <sheetName val="Realizations vs Average"/>
      <sheetName val="B"/>
      <sheetName val="Ratios"/>
      <sheetName val="C"/>
      <sheetName val="summary"/>
      <sheetName val="Oil Consumption – barrels"/>
      <sheetName val="rev change analysis"/>
      <sheetName val="O1000"/>
      <sheetName val="SO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Table 5-4"/>
      <sheetName val="Assumptions"/>
      <sheetName val="c1"/>
    </sheetNames>
    <sheetDataSet>
      <sheetData sheetId="0" refreshError="1">
        <row r="9">
          <cell r="P9" t="str">
            <v>Maritimes</v>
          </cell>
          <cell r="Q9">
            <v>30823.08</v>
          </cell>
        </row>
        <row r="10">
          <cell r="P10" t="str">
            <v>NE-BOST</v>
          </cell>
          <cell r="Q10">
            <v>24898.53</v>
          </cell>
        </row>
        <row r="11">
          <cell r="P11" t="str">
            <v>NE-CTSW</v>
          </cell>
          <cell r="Q11">
            <v>16690.25</v>
          </cell>
        </row>
        <row r="12">
          <cell r="P12" t="str">
            <v>NE-EAST</v>
          </cell>
          <cell r="Q12">
            <v>46399.81</v>
          </cell>
        </row>
        <row r="13">
          <cell r="P13" t="str">
            <v>NE-MAINE</v>
          </cell>
          <cell r="Q13">
            <v>11410.84</v>
          </cell>
        </row>
        <row r="14">
          <cell r="P14" t="str">
            <v>NE-WEST</v>
          </cell>
          <cell r="Q14">
            <v>39253.03</v>
          </cell>
        </row>
        <row r="15">
          <cell r="P15" t="str">
            <v>NY_AB</v>
          </cell>
          <cell r="Q15">
            <v>28005.46</v>
          </cell>
        </row>
        <row r="16">
          <cell r="P16" t="str">
            <v>NY_CDE</v>
          </cell>
          <cell r="Q16">
            <v>31251.27</v>
          </cell>
        </row>
        <row r="17">
          <cell r="P17" t="str">
            <v>NY_F</v>
          </cell>
          <cell r="Q17">
            <v>12484.24</v>
          </cell>
        </row>
        <row r="18">
          <cell r="P18" t="str">
            <v>NY_GHI</v>
          </cell>
          <cell r="Q18">
            <v>19863.47</v>
          </cell>
        </row>
        <row r="19">
          <cell r="P19" t="str">
            <v>NY_J</v>
          </cell>
          <cell r="Q19">
            <v>53270.2</v>
          </cell>
        </row>
        <row r="20">
          <cell r="P20" t="str">
            <v>NY_K</v>
          </cell>
          <cell r="Q20">
            <v>23713.360000000001</v>
          </cell>
        </row>
        <row r="21">
          <cell r="P21" t="str">
            <v>On EC</v>
          </cell>
          <cell r="Q21">
            <v>82011.02</v>
          </cell>
        </row>
        <row r="22">
          <cell r="P22" t="str">
            <v>On Middleport</v>
          </cell>
          <cell r="Q22">
            <v>31245.09</v>
          </cell>
        </row>
        <row r="23">
          <cell r="P23" t="str">
            <v>On Niagara</v>
          </cell>
          <cell r="Q23">
            <v>5887.81</v>
          </cell>
        </row>
        <row r="24">
          <cell r="P24" t="str">
            <v>On North</v>
          </cell>
          <cell r="Q24">
            <v>19515.099999999999</v>
          </cell>
        </row>
        <row r="25">
          <cell r="P25" t="str">
            <v>On West</v>
          </cell>
          <cell r="Q25">
            <v>18182.86</v>
          </cell>
        </row>
        <row r="26">
          <cell r="P26" t="str">
            <v>PJMEX</v>
          </cell>
          <cell r="Q26">
            <v>151783.73000000001</v>
          </cell>
        </row>
        <row r="27">
          <cell r="P27" t="str">
            <v>PJMWX</v>
          </cell>
          <cell r="Q27">
            <v>143593.29999999999</v>
          </cell>
        </row>
        <row r="28">
          <cell r="P28" t="str">
            <v>Quebec</v>
          </cell>
          <cell r="Q28">
            <v>190161</v>
          </cell>
        </row>
        <row r="29">
          <cell r="P29" t="str">
            <v>VP</v>
          </cell>
          <cell r="Q29">
            <v>97093.89</v>
          </cell>
        </row>
        <row r="34">
          <cell r="P34" t="str">
            <v>Maritimes</v>
          </cell>
          <cell r="Q34">
            <v>30625.5039</v>
          </cell>
        </row>
        <row r="35">
          <cell r="P35" t="str">
            <v>NE-BOST</v>
          </cell>
          <cell r="Q35">
            <v>15951.549800000001</v>
          </cell>
        </row>
        <row r="36">
          <cell r="P36" t="str">
            <v>NE-CTSW</v>
          </cell>
          <cell r="Q36">
            <v>8313.1406000000006</v>
          </cell>
        </row>
        <row r="37">
          <cell r="P37" t="str">
            <v>NE-EAST</v>
          </cell>
          <cell r="Q37">
            <v>61254.515599999999</v>
          </cell>
        </row>
        <row r="38">
          <cell r="P38" t="str">
            <v>NE-MAINE</v>
          </cell>
          <cell r="Q38">
            <v>15242.4355</v>
          </cell>
        </row>
        <row r="39">
          <cell r="P39" t="str">
            <v>NE-WEST</v>
          </cell>
          <cell r="Q39">
            <v>33389.734400000001</v>
          </cell>
        </row>
        <row r="40">
          <cell r="P40" t="str">
            <v>NY_AB</v>
          </cell>
          <cell r="Q40">
            <v>37828.0625</v>
          </cell>
        </row>
        <row r="41">
          <cell r="P41" t="str">
            <v>NY_CDE</v>
          </cell>
          <cell r="Q41">
            <v>43763.472699999998</v>
          </cell>
        </row>
        <row r="42">
          <cell r="P42" t="str">
            <v>NY_F</v>
          </cell>
          <cell r="Q42">
            <v>16510.044900000001</v>
          </cell>
        </row>
        <row r="43">
          <cell r="P43" t="str">
            <v>NY_GHI</v>
          </cell>
          <cell r="Q43">
            <v>22728.025399999999</v>
          </cell>
        </row>
        <row r="44">
          <cell r="P44" t="str">
            <v>NY_J</v>
          </cell>
          <cell r="Q44">
            <v>22814.3125</v>
          </cell>
        </row>
        <row r="45">
          <cell r="P45" t="str">
            <v>NY_K</v>
          </cell>
          <cell r="Q45">
            <v>12421.3516</v>
          </cell>
        </row>
        <row r="46">
          <cell r="P46" t="str">
            <v>On EC</v>
          </cell>
          <cell r="Q46">
            <v>64159.281199999998</v>
          </cell>
        </row>
        <row r="47">
          <cell r="P47" t="str">
            <v>On Middleport</v>
          </cell>
          <cell r="Q47">
            <v>52800.257799999999</v>
          </cell>
        </row>
        <row r="48">
          <cell r="P48" t="str">
            <v>On Niagara</v>
          </cell>
          <cell r="Q48">
            <v>13327.8613</v>
          </cell>
        </row>
        <row r="49">
          <cell r="P49" t="str">
            <v>On North</v>
          </cell>
          <cell r="Q49">
            <v>21765.293000000001</v>
          </cell>
        </row>
        <row r="50">
          <cell r="P50" t="str">
            <v>On West</v>
          </cell>
          <cell r="Q50">
            <v>14380.7246</v>
          </cell>
        </row>
        <row r="51">
          <cell r="P51" t="str">
            <v>PJMEX</v>
          </cell>
          <cell r="Q51">
            <v>114927.36719999999</v>
          </cell>
        </row>
        <row r="52">
          <cell r="P52" t="str">
            <v>PJMWX</v>
          </cell>
          <cell r="Q52">
            <v>167412.9375</v>
          </cell>
        </row>
        <row r="53">
          <cell r="P53" t="str">
            <v>Quebec</v>
          </cell>
          <cell r="Q53">
            <v>188532.4062</v>
          </cell>
        </row>
        <row r="54">
          <cell r="P54" t="str">
            <v>VP</v>
          </cell>
          <cell r="Q54">
            <v>80380.156199999998</v>
          </cell>
        </row>
        <row r="56">
          <cell r="P56" t="str">
            <v>Transarea</v>
          </cell>
          <cell r="Q56" t="str">
            <v>2006 Peak</v>
          </cell>
          <cell r="R56" t="str">
            <v>2030 Peak</v>
          </cell>
          <cell r="S56" t="str">
            <v>Growth</v>
          </cell>
        </row>
        <row r="57">
          <cell r="P57" t="str">
            <v>Maritimes</v>
          </cell>
          <cell r="Q57">
            <v>5681.6523151397705</v>
          </cell>
          <cell r="R57">
            <v>8364.4919128417969</v>
          </cell>
          <cell r="S57">
            <v>1.5590422155297823E-2</v>
          </cell>
        </row>
        <row r="58">
          <cell r="P58" t="str">
            <v>NE-BOST</v>
          </cell>
          <cell r="Q58">
            <v>5019.6340026855469</v>
          </cell>
          <cell r="R58">
            <v>7403.301513671875</v>
          </cell>
          <cell r="S58">
            <v>1.566417806740672E-2</v>
          </cell>
          <cell r="U58" t="str">
            <v>TransArea</v>
          </cell>
          <cell r="V58">
            <v>2006</v>
          </cell>
          <cell r="W58">
            <v>2030</v>
          </cell>
          <cell r="X58" t="str">
            <v>Growth Rate</v>
          </cell>
        </row>
        <row r="59">
          <cell r="P59" t="str">
            <v>NE-CTSW</v>
          </cell>
          <cell r="Q59">
            <v>3454.9498596191406</v>
          </cell>
          <cell r="R59">
            <v>4895.6216583251953</v>
          </cell>
          <cell r="S59">
            <v>1.4038966441656697E-2</v>
          </cell>
          <cell r="U59" t="str">
            <v>Maritimes</v>
          </cell>
          <cell r="V59">
            <v>30823.08</v>
          </cell>
          <cell r="W59">
            <v>45110.400000000001</v>
          </cell>
          <cell r="X59">
            <v>1.5350590632267069E-2</v>
          </cell>
        </row>
        <row r="60">
          <cell r="P60" t="str">
            <v>NE-EAST</v>
          </cell>
          <cell r="Q60">
            <v>9293.1017227172852</v>
          </cell>
          <cell r="R60">
            <v>13834.064109802246</v>
          </cell>
          <cell r="S60">
            <v>1.6041773121631797E-2</v>
          </cell>
          <cell r="U60" t="str">
            <v>NE-BOST</v>
          </cell>
          <cell r="V60">
            <v>24898.53</v>
          </cell>
          <cell r="W60">
            <v>36766.35</v>
          </cell>
          <cell r="X60">
            <v>1.5713143649888073E-2</v>
          </cell>
        </row>
        <row r="61">
          <cell r="P61" t="str">
            <v>NE-MAINE</v>
          </cell>
          <cell r="Q61">
            <v>1854.7192497253418</v>
          </cell>
          <cell r="R61">
            <v>2402.6331176757812</v>
          </cell>
          <cell r="S61">
            <v>1.0407057879102011E-2</v>
          </cell>
          <cell r="U61" t="str">
            <v>NE-CTSW</v>
          </cell>
          <cell r="V61">
            <v>16690.25</v>
          </cell>
          <cell r="W61">
            <v>23582.42</v>
          </cell>
          <cell r="X61">
            <v>1.3923108187573252E-2</v>
          </cell>
        </row>
        <row r="62">
          <cell r="P62" t="str">
            <v>NE-WEST</v>
          </cell>
          <cell r="Q62">
            <v>7234.1174011230469</v>
          </cell>
          <cell r="R62">
            <v>10110.289001464844</v>
          </cell>
          <cell r="S62">
            <v>1.3479855189370893E-2</v>
          </cell>
          <cell r="U62" t="str">
            <v>NE-EAST</v>
          </cell>
          <cell r="V62">
            <v>46399.81</v>
          </cell>
          <cell r="W62">
            <v>69113.460000000006</v>
          </cell>
          <cell r="X62">
            <v>1.6065855542184426E-2</v>
          </cell>
        </row>
        <row r="63">
          <cell r="P63" t="str">
            <v>NY_AB</v>
          </cell>
          <cell r="Q63">
            <v>4455.8887939453125</v>
          </cell>
          <cell r="R63">
            <v>4644.54638671875</v>
          </cell>
          <cell r="S63">
            <v>1.6600629978966719E-3</v>
          </cell>
          <cell r="U63" t="str">
            <v>NE-MAINE</v>
          </cell>
          <cell r="V63">
            <v>11410.84</v>
          </cell>
          <cell r="W63">
            <v>14779.92</v>
          </cell>
          <cell r="X63">
            <v>1.0401956970312209E-2</v>
          </cell>
        </row>
        <row r="64">
          <cell r="P64" t="str">
            <v>NY_CDE</v>
          </cell>
          <cell r="Q64">
            <v>5155.5890502929687</v>
          </cell>
          <cell r="R64">
            <v>5373.4819946289062</v>
          </cell>
          <cell r="S64">
            <v>1.657161009149366E-3</v>
          </cell>
          <cell r="U64" t="str">
            <v>NE-WEST</v>
          </cell>
          <cell r="V64">
            <v>39253.03</v>
          </cell>
          <cell r="W64">
            <v>54897.91</v>
          </cell>
          <cell r="X64">
            <v>1.3508289131146878E-2</v>
          </cell>
        </row>
        <row r="65">
          <cell r="P65" t="str">
            <v>NY_F</v>
          </cell>
          <cell r="Q65">
            <v>2110</v>
          </cell>
          <cell r="R65">
            <v>2179</v>
          </cell>
          <cell r="S65">
            <v>1.2879530390208505E-3</v>
          </cell>
          <cell r="U65" t="str">
            <v>NY_AB</v>
          </cell>
          <cell r="V65">
            <v>28005.46</v>
          </cell>
          <cell r="W65">
            <v>29247.98</v>
          </cell>
          <cell r="X65">
            <v>1.7379492983085054E-3</v>
          </cell>
        </row>
        <row r="66">
          <cell r="P66" t="str">
            <v>NY_GHI</v>
          </cell>
          <cell r="Q66">
            <v>4464.412353515625</v>
          </cell>
          <cell r="R66">
            <v>7994.59912109375</v>
          </cell>
          <cell r="S66">
            <v>2.3578831242596632E-2</v>
          </cell>
          <cell r="U66" t="str">
            <v>NY_CDE</v>
          </cell>
          <cell r="V66">
            <v>31251.27</v>
          </cell>
          <cell r="W66">
            <v>32579.06</v>
          </cell>
          <cell r="X66">
            <v>1.6657752786093383E-3</v>
          </cell>
        </row>
        <row r="67">
          <cell r="P67" t="str">
            <v>NY_J</v>
          </cell>
          <cell r="Q67">
            <v>11505</v>
          </cell>
          <cell r="R67">
            <v>13835</v>
          </cell>
          <cell r="S67">
            <v>7.4040711742044962E-3</v>
          </cell>
          <cell r="U67" t="str">
            <v>NY_F</v>
          </cell>
          <cell r="V67">
            <v>12484.24</v>
          </cell>
          <cell r="W67">
            <v>14014.32</v>
          </cell>
          <cell r="X67">
            <v>4.6352141304095706E-3</v>
          </cell>
        </row>
        <row r="68">
          <cell r="P68" t="str">
            <v>NY_K</v>
          </cell>
          <cell r="Q68">
            <v>5320</v>
          </cell>
          <cell r="R68">
            <v>6772</v>
          </cell>
          <cell r="S68">
            <v>9.699666201873347E-3</v>
          </cell>
          <cell r="U68" t="str">
            <v>NY_GHI</v>
          </cell>
          <cell r="V68">
            <v>19863.47</v>
          </cell>
          <cell r="W68">
            <v>32550.15</v>
          </cell>
          <cell r="X68">
            <v>1.9952425376741356E-2</v>
          </cell>
        </row>
        <row r="69">
          <cell r="P69" t="str">
            <v>On EC</v>
          </cell>
          <cell r="Q69">
            <v>13604</v>
          </cell>
          <cell r="R69">
            <v>16610</v>
          </cell>
          <cell r="S69">
            <v>8.017612544781727E-3</v>
          </cell>
          <cell r="U69" t="str">
            <v>NY_J</v>
          </cell>
          <cell r="V69">
            <v>53270.2</v>
          </cell>
          <cell r="W69">
            <v>65327.25</v>
          </cell>
          <cell r="X69">
            <v>8.1946812324338314E-3</v>
          </cell>
        </row>
        <row r="70">
          <cell r="P70" t="str">
            <v>On Middleport</v>
          </cell>
          <cell r="Q70">
            <v>4782</v>
          </cell>
          <cell r="R70">
            <v>6560</v>
          </cell>
          <cell r="S70">
            <v>1.2725558845826823E-2</v>
          </cell>
          <cell r="U70" t="str">
            <v>NY_K</v>
          </cell>
          <cell r="V70">
            <v>23713.360000000001</v>
          </cell>
          <cell r="W70">
            <v>29876.03</v>
          </cell>
          <cell r="X70">
            <v>9.2835425967014995E-3</v>
          </cell>
        </row>
        <row r="71">
          <cell r="P71" t="str">
            <v>On Niagara</v>
          </cell>
          <cell r="Q71">
            <v>983</v>
          </cell>
          <cell r="R71">
            <v>1072</v>
          </cell>
          <cell r="S71">
            <v>3.4729054694884187E-3</v>
          </cell>
          <cell r="U71" t="str">
            <v>On EC</v>
          </cell>
          <cell r="V71">
            <v>82011.02</v>
          </cell>
          <cell r="W71">
            <v>96094.59</v>
          </cell>
          <cell r="X71">
            <v>6.3593107133974591E-3</v>
          </cell>
        </row>
        <row r="72">
          <cell r="P72" t="str">
            <v>On North</v>
          </cell>
          <cell r="Q72">
            <v>2882.217041015625</v>
          </cell>
          <cell r="R72">
            <v>3023.096923828125</v>
          </cell>
          <cell r="S72">
            <v>1.9107020095820992E-3</v>
          </cell>
          <cell r="U72" t="str">
            <v>On Middleport</v>
          </cell>
          <cell r="V72">
            <v>31245.09</v>
          </cell>
          <cell r="W72">
            <v>41631.019999999997</v>
          </cell>
          <cell r="X72">
            <v>1.1545473125542216E-2</v>
          </cell>
        </row>
        <row r="73">
          <cell r="P73" t="str">
            <v>On West</v>
          </cell>
          <cell r="Q73">
            <v>3214</v>
          </cell>
          <cell r="R73">
            <v>4309</v>
          </cell>
          <cell r="S73">
            <v>1.1796621379846606E-2</v>
          </cell>
          <cell r="U73" t="str">
            <v>On Niagara</v>
          </cell>
          <cell r="V73">
            <v>5887.81</v>
          </cell>
          <cell r="W73">
            <v>6229.7</v>
          </cell>
          <cell r="X73">
            <v>2.2603132917820012E-3</v>
          </cell>
        </row>
        <row r="74">
          <cell r="P74" t="str">
            <v>Quebec</v>
          </cell>
          <cell r="Q74">
            <v>35767</v>
          </cell>
          <cell r="R74">
            <v>41355</v>
          </cell>
          <cell r="S74">
            <v>5.8235976990683724E-3</v>
          </cell>
          <cell r="U74" t="str">
            <v>On North</v>
          </cell>
          <cell r="V74">
            <v>19515.099999999999</v>
          </cell>
          <cell r="W74">
            <v>20062.439999999999</v>
          </cell>
          <cell r="X74">
            <v>1.1070477394234945E-3</v>
          </cell>
        </row>
        <row r="75">
          <cell r="U75" t="str">
            <v>On West</v>
          </cell>
          <cell r="V75">
            <v>18182.86</v>
          </cell>
          <cell r="W75">
            <v>24305.24</v>
          </cell>
          <cell r="X75">
            <v>1.1676143064269562E-2</v>
          </cell>
        </row>
        <row r="76">
          <cell r="U76" t="str">
            <v>Quebec</v>
          </cell>
          <cell r="V76">
            <v>190161</v>
          </cell>
          <cell r="W76">
            <v>222257.92000000001</v>
          </cell>
          <cell r="X76">
            <v>6.2581983051854806E-3</v>
          </cell>
        </row>
      </sheetData>
      <sheetData sheetId="1" refreshError="1"/>
      <sheetData sheetId="2" refreshError="1"/>
      <sheetData sheetId="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Price Deck"/>
      <sheetName val="Prior Week"/>
      <sheetName val="Price Change"/>
      <sheetName val="Analyzer"/>
      <sheetName val="Summary"/>
      <sheetName val="Price Deck"/>
      <sheetName val="Off Peak"/>
      <sheetName val="Peak"/>
      <sheetName val="Historicals"/>
      <sheetName val="Gas"/>
      <sheetName val="Data"/>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Price Deck"/>
      <sheetName val="Prior Week"/>
      <sheetName val="Price Change"/>
      <sheetName val="Analyzer"/>
      <sheetName val="Summary"/>
      <sheetName val="Price Deck"/>
      <sheetName val="Off Peak"/>
      <sheetName val="Peak"/>
      <sheetName val="Historicals"/>
      <sheetName val="Gas"/>
      <sheetName val="Data"/>
      <sheetName val="Assump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t1"/>
      <sheetName val="ImportantDisclosures"/>
      <sheetName val="OtherDisclosures"/>
      <sheetName val="MWare_Cached"/>
      <sheetName val="IndexInformation"/>
      <sheetName val="ModPubIndex"/>
      <sheetName val="CircularReferenceAlert"/>
      <sheetName val="GoodCharList"/>
      <sheetName val="Graphics"/>
      <sheetName val="MATINC"/>
      <sheetName val="MATQTRS"/>
      <sheetName val="UNIV-EBS DATA"/>
      <sheetName val="RELPE"/>
      <sheetName val="Ratios"/>
      <sheetName val="SALESCAT"/>
      <sheetName val="MATBAL"/>
      <sheetName val="MATCASH"/>
      <sheetName val="FinSum"/>
      <sheetName val="Macro1"/>
      <sheetName val="Macro2"/>
    </sheetNames>
    <sheetDataSet>
      <sheetData sheetId="0" refreshError="1"/>
      <sheetData sheetId="1"/>
      <sheetData sheetId="2"/>
      <sheetData sheetId="3"/>
      <sheetData sheetId="4" refreshError="1">
        <row r="37">
          <cell r="B37" t="str">
            <v>excel</v>
          </cell>
        </row>
        <row r="38">
          <cell r="B38" t="str">
            <v>en-US</v>
          </cell>
        </row>
      </sheetData>
      <sheetData sheetId="5"/>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Financial"/>
      <sheetName val="EXC"/>
      <sheetName val="ExGen"/>
      <sheetName val="ComEd"/>
      <sheetName val="PECO"/>
      <sheetName val="BGE"/>
      <sheetName val="Parent"/>
      <sheetName val="Debt"/>
      <sheetName val="Market Prices"/>
      <sheetName val="mwareSettings"/>
      <sheetName val="MW-Cache"/>
      <sheetName val="Chart Data"/>
      <sheetName val="mwareDates"/>
      <sheetName val="MWA RR"/>
      <sheetName val="Valua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row r="7">
          <cell r="N7" t="str">
            <v>($mil)</v>
          </cell>
          <cell r="O7" t="str">
            <v>2012e</v>
          </cell>
          <cell r="P7" t="str">
            <v>2013e</v>
          </cell>
          <cell r="Q7" t="str">
            <v>2014e</v>
          </cell>
          <cell r="R7" t="str">
            <v>2015e</v>
          </cell>
        </row>
        <row r="8">
          <cell r="N8" t="str">
            <v>Net Income</v>
          </cell>
          <cell r="O8">
            <v>1316.9498648546955</v>
          </cell>
          <cell r="P8">
            <v>1238.0047611552911</v>
          </cell>
          <cell r="Q8">
            <v>1071.3317015421319</v>
          </cell>
          <cell r="R8">
            <v>1075.1375568995102</v>
          </cell>
        </row>
        <row r="9">
          <cell r="N9" t="str">
            <v>D&amp;A (ex Nuclear Fuel)</v>
          </cell>
          <cell r="O9">
            <v>813.63452369574543</v>
          </cell>
          <cell r="P9">
            <v>947.8771644164201</v>
          </cell>
          <cell r="Q9">
            <v>990.20069488219508</v>
          </cell>
          <cell r="R9">
            <v>1054.0799385687992</v>
          </cell>
        </row>
        <row r="10">
          <cell r="N10" t="str">
            <v>Deferred Taxes, Pension, and Other</v>
          </cell>
          <cell r="O10">
            <v>300.9375</v>
          </cell>
          <cell r="P10">
            <v>-150</v>
          </cell>
          <cell r="Q10">
            <v>-150</v>
          </cell>
          <cell r="R10">
            <v>-150</v>
          </cell>
        </row>
        <row r="11">
          <cell r="N11" t="str">
            <v>Operating Cash Flow</v>
          </cell>
          <cell r="O11">
            <v>2431.521888550441</v>
          </cell>
          <cell r="P11">
            <v>2035.8819255717112</v>
          </cell>
          <cell r="Q11">
            <v>1911.5323964243271</v>
          </cell>
          <cell r="R11">
            <v>1979.2174954683096</v>
          </cell>
        </row>
        <row r="13">
          <cell r="N13" t="str">
            <v>Maintanence CapEx (ex Nuclear Fuel)</v>
          </cell>
          <cell r="O13">
            <v>975</v>
          </cell>
          <cell r="P13">
            <v>1050</v>
          </cell>
          <cell r="Q13">
            <v>1150</v>
          </cell>
          <cell r="R13">
            <v>1150</v>
          </cell>
        </row>
        <row r="14">
          <cell r="N14" t="str">
            <v>Free Cash Flow (pre-Growth Spend)</v>
          </cell>
          <cell r="O14">
            <v>1456.521888550441</v>
          </cell>
          <cell r="P14">
            <v>985.88192557171124</v>
          </cell>
          <cell r="Q14">
            <v>761.53239642432709</v>
          </cell>
          <cell r="R14">
            <v>829.21749546830961</v>
          </cell>
        </row>
        <row r="16">
          <cell r="N16" t="str">
            <v>Growth CapEx (Renewables, Uprates, and Other)</v>
          </cell>
          <cell r="O16">
            <v>1462.5</v>
          </cell>
          <cell r="P16">
            <v>685</v>
          </cell>
          <cell r="Q16">
            <v>192.5</v>
          </cell>
          <cell r="R16">
            <v>150</v>
          </cell>
        </row>
        <row r="17">
          <cell r="N17" t="str">
            <v>Asset Sales and Other (with Coal Asset Sales)</v>
          </cell>
          <cell r="O17">
            <v>354</v>
          </cell>
          <cell r="P17">
            <v>0</v>
          </cell>
          <cell r="Q17">
            <v>0</v>
          </cell>
          <cell r="R17">
            <v>0</v>
          </cell>
        </row>
        <row r="18">
          <cell r="N18" t="str">
            <v>Free Cash Flow (post Growth Spend)</v>
          </cell>
          <cell r="O18">
            <v>348.02188855044096</v>
          </cell>
          <cell r="P18">
            <v>300.88192557171124</v>
          </cell>
          <cell r="Q18">
            <v>569.03239642432709</v>
          </cell>
          <cell r="R18">
            <v>679.21749546830961</v>
          </cell>
        </row>
        <row r="20">
          <cell r="N20" t="str">
            <v>Exelon Corp. Dividend to Shareholders</v>
          </cell>
          <cell r="O20">
            <v>1729.2399999999998</v>
          </cell>
          <cell r="P20">
            <v>1810.48</v>
          </cell>
          <cell r="Q20">
            <v>1810.48</v>
          </cell>
          <cell r="R20">
            <v>1810.48</v>
          </cell>
        </row>
        <row r="21">
          <cell r="H21" t="str">
            <v>Consensus EPS</v>
          </cell>
        </row>
        <row r="22">
          <cell r="H22" t="str">
            <v>EXC</v>
          </cell>
          <cell r="I22" t="str">
            <v>2012e</v>
          </cell>
          <cell r="J22" t="str">
            <v>2013e</v>
          </cell>
          <cell r="K22" t="str">
            <v>2014e</v>
          </cell>
          <cell r="L22" t="str">
            <v>2015e</v>
          </cell>
        </row>
        <row r="23">
          <cell r="H23" t="str">
            <v>MS Forecast</v>
          </cell>
          <cell r="I23">
            <v>2.9966304651270694</v>
          </cell>
          <cell r="J23">
            <v>2.3814831542049957</v>
          </cell>
          <cell r="K23">
            <v>2.2475100203608882</v>
          </cell>
          <cell r="L23">
            <v>2.3798827202685859</v>
          </cell>
        </row>
        <row r="24">
          <cell r="H24" t="str">
            <v>Consensus EPS</v>
          </cell>
          <cell r="I24">
            <v>2.7530000000000001</v>
          </cell>
          <cell r="J24">
            <v>2.613</v>
          </cell>
          <cell r="K24">
            <v>2.4830000000000001</v>
          </cell>
          <cell r="L24">
            <v>2.637</v>
          </cell>
        </row>
        <row r="25">
          <cell r="H25" t="str">
            <v>Consensus EPS - High</v>
          </cell>
          <cell r="I25" t="str">
            <v>Contact Customer Support with log.</v>
          </cell>
          <cell r="J25" t="str">
            <v>Contact Customer Support with log.</v>
          </cell>
          <cell r="K25" t="str">
            <v>Contact Customer Support with log.</v>
          </cell>
          <cell r="L25" t="str">
            <v>Contact Customer Support with log.</v>
          </cell>
        </row>
        <row r="26">
          <cell r="H26" t="str">
            <v>Consensus EPS - Low</v>
          </cell>
          <cell r="I26" t="str">
            <v>Contact Customer Support with log.</v>
          </cell>
          <cell r="J26" t="str">
            <v>Contact Customer Support with log.</v>
          </cell>
          <cell r="K26" t="str">
            <v>Contact Customer Support with log.</v>
          </cell>
          <cell r="L26" t="str">
            <v>Contact Customer Support with log.</v>
          </cell>
        </row>
        <row r="52">
          <cell r="N52" t="str">
            <v>MS Exelon EPS Forecast</v>
          </cell>
          <cell r="O52" t="str">
            <v>2012e</v>
          </cell>
          <cell r="P52" t="str">
            <v>2013e</v>
          </cell>
          <cell r="Q52" t="str">
            <v>2014e</v>
          </cell>
          <cell r="R52" t="str">
            <v>2015e</v>
          </cell>
        </row>
        <row r="54">
          <cell r="N54" t="str">
            <v>ComEd EPS</v>
          </cell>
          <cell r="O54">
            <v>0.42864195638448671</v>
          </cell>
          <cell r="P54">
            <v>0.42753577014087768</v>
          </cell>
          <cell r="Q54">
            <v>0.46655646107310128</v>
          </cell>
          <cell r="R54">
            <v>0.50613253438975048</v>
          </cell>
        </row>
        <row r="55">
          <cell r="N55" t="str">
            <v>PECO EPS</v>
          </cell>
          <cell r="O55">
            <v>0.47046438944015062</v>
          </cell>
          <cell r="P55">
            <v>0.45094583422338286</v>
          </cell>
          <cell r="Q55">
            <v>0.45422483134447711</v>
          </cell>
          <cell r="R55">
            <v>0.47663948172395842</v>
          </cell>
        </row>
        <row r="56">
          <cell r="N56" t="str">
            <v>BG&amp;E EPS</v>
          </cell>
          <cell r="O56">
            <v>8.7964868736960966E-2</v>
          </cell>
          <cell r="P56">
            <v>0.18149583392242308</v>
          </cell>
          <cell r="Q56">
            <v>0.2060794489835398</v>
          </cell>
          <cell r="R56">
            <v>0.27243050963238158</v>
          </cell>
        </row>
        <row r="57">
          <cell r="N57" t="str">
            <v>Total Utility EPS</v>
          </cell>
          <cell r="O57">
            <v>0.9870712145615983</v>
          </cell>
          <cell r="P57">
            <v>1.0599774382866836</v>
          </cell>
          <cell r="Q57">
            <v>1.1268607414011182</v>
          </cell>
          <cell r="R57">
            <v>1.2552025257460904</v>
          </cell>
        </row>
        <row r="59">
          <cell r="N59" t="str">
            <v>ExGen</v>
          </cell>
          <cell r="O59">
            <v>2.0908756360753076</v>
          </cell>
          <cell r="P59">
            <v>1.4445796512897215</v>
          </cell>
          <cell r="Q59">
            <v>1.25009533435488</v>
          </cell>
          <cell r="R59">
            <v>1.2545362390892769</v>
          </cell>
        </row>
        <row r="61">
          <cell r="N61" t="str">
            <v>Parent</v>
          </cell>
          <cell r="O61">
            <v>-8.1316385509836026E-2</v>
          </cell>
          <cell r="P61">
            <v>-0.1230739353714095</v>
          </cell>
          <cell r="Q61">
            <v>-0.12944605539510989</v>
          </cell>
          <cell r="R61">
            <v>-0.12985604456678121</v>
          </cell>
        </row>
        <row r="63">
          <cell r="N63" t="str">
            <v>Consolidated Exelon EPS</v>
          </cell>
          <cell r="O63">
            <v>2.9966304651270694</v>
          </cell>
          <cell r="P63">
            <v>2.3814831542049957</v>
          </cell>
          <cell r="Q63">
            <v>2.2475100203608882</v>
          </cell>
          <cell r="R63">
            <v>2.3798827202685864</v>
          </cell>
        </row>
      </sheetData>
      <sheetData sheetId="14"/>
      <sheetData sheetId="15"/>
      <sheetData sheetId="16"/>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Summary"/>
      <sheetName val="EWC"/>
      <sheetName val="MW-Cache"/>
      <sheetName val="mwareSettings"/>
      <sheetName val="Rate Case"/>
      <sheetName val="EMG 5"/>
    </sheetNames>
    <sheetDataSet>
      <sheetData sheetId="0" refreshError="1"/>
      <sheetData sheetId="1" refreshError="1">
        <row r="8">
          <cell r="BO8">
            <v>0.4</v>
          </cell>
        </row>
        <row r="11">
          <cell r="BO11">
            <v>72.260000000000005</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BizJet Deliveries"/>
      <sheetName val="Exclusion List"/>
      <sheetName val="CFOld"/>
      <sheetName val="PLOld"/>
      <sheetName val="Headline"/>
      <sheetName val="MTT old"/>
      <sheetName val="DOMNETREV1002B"/>
      <sheetName val="Cash flow"/>
      <sheetName val="Profit &amp; Loss"/>
      <sheetName val="Inputs, sensitivity &amp; val"/>
      <sheetName val="c1"/>
      <sheetName val="Monthly figures"/>
      <sheetName val="Consolidated"/>
      <sheetName val="CENMODEL"/>
      <sheetName val="Customize Your Statement"/>
      <sheetName val="Sainsbury"/>
      <sheetName val="KQ"/>
      <sheetName val="Presentation Tables"/>
      <sheetName val="BS"/>
    </sheetNames>
    <definedNam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5.xml.rels><?xml version="1.0" encoding="UTF-8" standalone="yes"?>
<Relationships xmlns="http://schemas.openxmlformats.org/package/2006/relationships">
<Relationship Id="rId1" Target="mailto:devin.mcdermott@morganstanley.com" TargetMode="External" Type="http://schemas.openxmlformats.org/officeDocument/2006/relationships/hyperlink"/>
<Relationship Id="rId2" Target="../printerSettings/printerSettings4.bin" Type="http://schemas.openxmlformats.org/officeDocument/2006/relationships/printerSettings"/>
<Relationship Id="rId3" Target="../drawings/drawing3.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5.xml" Type="http://schemas.openxmlformats.org/officeDocument/2006/relationships/drawing"/>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6.xml" Type="http://schemas.openxmlformats.org/officeDocument/2006/relationships/drawing"/>
<Relationship Id="rId3" Target="../drawings/vmlDrawing5.vml" Type="http://schemas.openxmlformats.org/officeDocument/2006/relationships/vmlDrawing"/>
<Relationship Id="rId4"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drawing7.xml" Type="http://schemas.openxmlformats.org/officeDocument/2006/relationships/drawing"/>
<Relationship Id="rId3" Target="../drawings/vmlDrawing6.vml" Type="http://schemas.openxmlformats.org/officeDocument/2006/relationships/vmlDrawing"/>
<Relationship Id="rId4"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8.xml" Type="http://schemas.openxmlformats.org/officeDocument/2006/relationships/drawing"/>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drawing9.xml" Type="http://schemas.openxmlformats.org/officeDocument/2006/relationships/drawing"/>
<Relationship Id="rId3" Target="../drawings/vmlDrawing8.vml" Type="http://schemas.openxmlformats.org/officeDocument/2006/relationships/vmlDrawing"/>
<Relationship Id="rId4"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10.xml" Type="http://schemas.openxmlformats.org/officeDocument/2006/relationships/drawing"/>
<Relationship Id="rId3" Target="../drawings/vmlDrawing9.vml" Type="http://schemas.openxmlformats.org/officeDocument/2006/relationships/vmlDrawing"/>
<Relationship Id="rId4"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drawing11.xml" Type="http://schemas.openxmlformats.org/officeDocument/2006/relationships/drawing"/>
<Relationship Id="rId3" Target="../drawings/vmlDrawing10.vml" Type="http://schemas.openxmlformats.org/officeDocument/2006/relationships/vmlDrawing"/>
<Relationship Id="rId4"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12.xml" Type="http://schemas.openxmlformats.org/officeDocument/2006/relationships/drawing"/>
<Relationship Id="rId3" Target="../drawings/vmlDrawing11.vml" Type="http://schemas.openxmlformats.org/officeDocument/2006/relationships/vmlDrawing"/>
<Relationship Id="rId4" Target="../comments10.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13.xml" Type="http://schemas.openxmlformats.org/officeDocument/2006/relationships/drawing"/>
<Relationship Id="rId3" Target="../drawings/vmlDrawing12.vml" Type="http://schemas.openxmlformats.org/officeDocument/2006/relationships/vmlDrawing"/>
<Relationship Id="rId4" Target="../comments11.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drawing14.xml" Type="http://schemas.openxmlformats.org/officeDocument/2006/relationships/drawing"/>
<Relationship Id="rId3" Target="../drawings/vmlDrawing13.vml" Type="http://schemas.openxmlformats.org/officeDocument/2006/relationships/vmlDrawing"/>
<Relationship Id="rId4"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drawing15.xml" Type="http://schemas.openxmlformats.org/officeDocument/2006/relationships/drawing"/>
<Relationship Id="rId3" Target="../drawings/vmlDrawing14.vml" Type="http://schemas.openxmlformats.org/officeDocument/2006/relationships/vmlDrawing"/>
<Relationship Id="rId4"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16.xml" Type="http://schemas.openxmlformats.org/officeDocument/2006/relationships/drawing"/>
<Relationship Id="rId3" Target="../drawings/vmlDrawing15.vml" Type="http://schemas.openxmlformats.org/officeDocument/2006/relationships/vmlDrawing"/>
<Relationship Id="rId4" Target="../comments14.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0.bin" Type="http://schemas.openxmlformats.org/officeDocument/2006/relationships/printerSettings"/>
<Relationship Id="rId2" Target="../drawings/vmlDrawing16.vml" Type="http://schemas.openxmlformats.org/officeDocument/2006/relationships/vmlDrawing"/>
<Relationship Id="rId3" Target="../comments15.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1"/>
  <sheetViews>
    <sheetView workbookViewId="0"/>
  </sheetViews>
  <sheetFormatPr defaultRowHeight="12.75"/>
  <sheetData>
    <row r="1" spans="1:2">
      <c r="A1" s="43"/>
      <c r="B1" t="s">
        <v>452</v>
      </c>
    </row>
  </sheetData>
  <phoneticPr fontId="2"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97"/>
  <sheetViews>
    <sheetView showGridLines="0" tabSelected="1" workbookViewId="0">
      <selection activeCell="E22" sqref="E22"/>
    </sheetView>
  </sheetViews>
  <sheetFormatPr defaultRowHeight="12.75"/>
  <cols>
    <col min="1" max="1" width="25.7109375" style="2330" customWidth="1"/>
    <col min="2" max="5" width="9.140625" style="2330"/>
    <col min="6" max="6" width="18.7109375" style="2330" customWidth="1"/>
    <col min="7" max="256" width="9.140625" style="2330"/>
    <col min="257" max="257" width="100.7109375" style="2330" customWidth="1"/>
    <col min="258" max="512" width="9.140625" style="2330"/>
    <col min="513" max="513" width="100.7109375" style="2330" customWidth="1"/>
    <col min="514" max="768" width="9.140625" style="2330"/>
    <col min="769" max="769" width="100.7109375" style="2330" customWidth="1"/>
    <col min="770" max="1024" width="9.140625" style="2330"/>
    <col min="1025" max="1025" width="100.7109375" style="2330" customWidth="1"/>
    <col min="1026" max="1280" width="9.140625" style="2330"/>
    <col min="1281" max="1281" width="100.7109375" style="2330" customWidth="1"/>
    <col min="1282" max="1536" width="9.140625" style="2330"/>
    <col min="1537" max="1537" width="100.7109375" style="2330" customWidth="1"/>
    <col min="1538" max="1792" width="9.140625" style="2330"/>
    <col min="1793" max="1793" width="100.7109375" style="2330" customWidth="1"/>
    <col min="1794" max="2048" width="9.140625" style="2330"/>
    <col min="2049" max="2049" width="100.7109375" style="2330" customWidth="1"/>
    <col min="2050" max="2304" width="9.140625" style="2330"/>
    <col min="2305" max="2305" width="100.7109375" style="2330" customWidth="1"/>
    <col min="2306" max="2560" width="9.140625" style="2330"/>
    <col min="2561" max="2561" width="100.7109375" style="2330" customWidth="1"/>
    <col min="2562" max="2816" width="9.140625" style="2330"/>
    <col min="2817" max="2817" width="100.7109375" style="2330" customWidth="1"/>
    <col min="2818" max="3072" width="9.140625" style="2330"/>
    <col min="3073" max="3073" width="100.7109375" style="2330" customWidth="1"/>
    <col min="3074" max="3328" width="9.140625" style="2330"/>
    <col min="3329" max="3329" width="100.7109375" style="2330" customWidth="1"/>
    <col min="3330" max="3584" width="9.140625" style="2330"/>
    <col min="3585" max="3585" width="100.7109375" style="2330" customWidth="1"/>
    <col min="3586" max="3840" width="9.140625" style="2330"/>
    <col min="3841" max="3841" width="100.7109375" style="2330" customWidth="1"/>
    <col min="3842" max="4096" width="9.140625" style="2330"/>
    <col min="4097" max="4097" width="100.7109375" style="2330" customWidth="1"/>
    <col min="4098" max="4352" width="9.140625" style="2330"/>
    <col min="4353" max="4353" width="100.7109375" style="2330" customWidth="1"/>
    <col min="4354" max="4608" width="9.140625" style="2330"/>
    <col min="4609" max="4609" width="100.7109375" style="2330" customWidth="1"/>
    <col min="4610" max="4864" width="9.140625" style="2330"/>
    <col min="4865" max="4865" width="100.7109375" style="2330" customWidth="1"/>
    <col min="4866" max="5120" width="9.140625" style="2330"/>
    <col min="5121" max="5121" width="100.7109375" style="2330" customWidth="1"/>
    <col min="5122" max="5376" width="9.140625" style="2330"/>
    <col min="5377" max="5377" width="100.7109375" style="2330" customWidth="1"/>
    <col min="5378" max="5632" width="9.140625" style="2330"/>
    <col min="5633" max="5633" width="100.7109375" style="2330" customWidth="1"/>
    <col min="5634" max="5888" width="9.140625" style="2330"/>
    <col min="5889" max="5889" width="100.7109375" style="2330" customWidth="1"/>
    <col min="5890" max="6144" width="9.140625" style="2330"/>
    <col min="6145" max="6145" width="100.7109375" style="2330" customWidth="1"/>
    <col min="6146" max="6400" width="9.140625" style="2330"/>
    <col min="6401" max="6401" width="100.7109375" style="2330" customWidth="1"/>
    <col min="6402" max="6656" width="9.140625" style="2330"/>
    <col min="6657" max="6657" width="100.7109375" style="2330" customWidth="1"/>
    <col min="6658" max="6912" width="9.140625" style="2330"/>
    <col min="6913" max="6913" width="100.7109375" style="2330" customWidth="1"/>
    <col min="6914" max="7168" width="9.140625" style="2330"/>
    <col min="7169" max="7169" width="100.7109375" style="2330" customWidth="1"/>
    <col min="7170" max="7424" width="9.140625" style="2330"/>
    <col min="7425" max="7425" width="100.7109375" style="2330" customWidth="1"/>
    <col min="7426" max="7680" width="9.140625" style="2330"/>
    <col min="7681" max="7681" width="100.7109375" style="2330" customWidth="1"/>
    <col min="7682" max="7936" width="9.140625" style="2330"/>
    <col min="7937" max="7937" width="100.7109375" style="2330" customWidth="1"/>
    <col min="7938" max="8192" width="9.140625" style="2330"/>
    <col min="8193" max="8193" width="100.7109375" style="2330" customWidth="1"/>
    <col min="8194" max="8448" width="9.140625" style="2330"/>
    <col min="8449" max="8449" width="100.7109375" style="2330" customWidth="1"/>
    <col min="8450" max="8704" width="9.140625" style="2330"/>
    <col min="8705" max="8705" width="100.7109375" style="2330" customWidth="1"/>
    <col min="8706" max="8960" width="9.140625" style="2330"/>
    <col min="8961" max="8961" width="100.7109375" style="2330" customWidth="1"/>
    <col min="8962" max="9216" width="9.140625" style="2330"/>
    <col min="9217" max="9217" width="100.7109375" style="2330" customWidth="1"/>
    <col min="9218" max="9472" width="9.140625" style="2330"/>
    <col min="9473" max="9473" width="100.7109375" style="2330" customWidth="1"/>
    <col min="9474" max="9728" width="9.140625" style="2330"/>
    <col min="9729" max="9729" width="100.7109375" style="2330" customWidth="1"/>
    <col min="9730" max="9984" width="9.140625" style="2330"/>
    <col min="9985" max="9985" width="100.7109375" style="2330" customWidth="1"/>
    <col min="9986" max="10240" width="9.140625" style="2330"/>
    <col min="10241" max="10241" width="100.7109375" style="2330" customWidth="1"/>
    <col min="10242" max="10496" width="9.140625" style="2330"/>
    <col min="10497" max="10497" width="100.7109375" style="2330" customWidth="1"/>
    <col min="10498" max="10752" width="9.140625" style="2330"/>
    <col min="10753" max="10753" width="100.7109375" style="2330" customWidth="1"/>
    <col min="10754" max="11008" width="9.140625" style="2330"/>
    <col min="11009" max="11009" width="100.7109375" style="2330" customWidth="1"/>
    <col min="11010" max="11264" width="9.140625" style="2330"/>
    <col min="11265" max="11265" width="100.7109375" style="2330" customWidth="1"/>
    <col min="11266" max="11520" width="9.140625" style="2330"/>
    <col min="11521" max="11521" width="100.7109375" style="2330" customWidth="1"/>
    <col min="11522" max="11776" width="9.140625" style="2330"/>
    <col min="11777" max="11777" width="100.7109375" style="2330" customWidth="1"/>
    <col min="11778" max="12032" width="9.140625" style="2330"/>
    <col min="12033" max="12033" width="100.7109375" style="2330" customWidth="1"/>
    <col min="12034" max="12288" width="9.140625" style="2330"/>
    <col min="12289" max="12289" width="100.7109375" style="2330" customWidth="1"/>
    <col min="12290" max="12544" width="9.140625" style="2330"/>
    <col min="12545" max="12545" width="100.7109375" style="2330" customWidth="1"/>
    <col min="12546" max="12800" width="9.140625" style="2330"/>
    <col min="12801" max="12801" width="100.7109375" style="2330" customWidth="1"/>
    <col min="12802" max="13056" width="9.140625" style="2330"/>
    <col min="13057" max="13057" width="100.7109375" style="2330" customWidth="1"/>
    <col min="13058" max="13312" width="9.140625" style="2330"/>
    <col min="13313" max="13313" width="100.7109375" style="2330" customWidth="1"/>
    <col min="13314" max="13568" width="9.140625" style="2330"/>
    <col min="13569" max="13569" width="100.7109375" style="2330" customWidth="1"/>
    <col min="13570" max="13824" width="9.140625" style="2330"/>
    <col min="13825" max="13825" width="100.7109375" style="2330" customWidth="1"/>
    <col min="13826" max="14080" width="9.140625" style="2330"/>
    <col min="14081" max="14081" width="100.7109375" style="2330" customWidth="1"/>
    <col min="14082" max="14336" width="9.140625" style="2330"/>
    <col min="14337" max="14337" width="100.7109375" style="2330" customWidth="1"/>
    <col min="14338" max="14592" width="9.140625" style="2330"/>
    <col min="14593" max="14593" width="100.7109375" style="2330" customWidth="1"/>
    <col min="14594" max="14848" width="9.140625" style="2330"/>
    <col min="14849" max="14849" width="100.7109375" style="2330" customWidth="1"/>
    <col min="14850" max="15104" width="9.140625" style="2330"/>
    <col min="15105" max="15105" width="100.7109375" style="2330" customWidth="1"/>
    <col min="15106" max="15360" width="9.140625" style="2330"/>
    <col min="15361" max="15361" width="100.7109375" style="2330" customWidth="1"/>
    <col min="15362" max="15616" width="9.140625" style="2330"/>
    <col min="15617" max="15617" width="100.7109375" style="2330" customWidth="1"/>
    <col min="15618" max="15872" width="9.140625" style="2330"/>
    <col min="15873" max="15873" width="100.7109375" style="2330" customWidth="1"/>
    <col min="15874" max="16128" width="9.140625" style="2330"/>
    <col min="16129" max="16129" width="100.7109375" style="2330" customWidth="1"/>
    <col min="16130" max="16384" width="9.140625" style="2330"/>
  </cols>
  <sheetData>
    <row r="1" spans="1:8" ht="30" customHeight="1">
      <c r="A1" s="2328"/>
      <c r="B1" s="2329"/>
      <c r="C1" s="2329"/>
      <c r="D1" s="2329"/>
      <c r="E1" s="2329"/>
      <c r="F1" s="2329"/>
      <c r="G1" s="2329"/>
      <c r="H1" s="2329"/>
    </row>
    <row r="2" spans="1:8" ht="14.25">
      <c r="A2" s="2331" t="s">
        <v>1550</v>
      </c>
      <c r="B2" s="2329"/>
      <c r="C2" s="2329"/>
      <c r="D2" s="2329"/>
      <c r="E2" s="2329"/>
      <c r="F2" s="2329"/>
      <c r="G2" s="2329"/>
      <c r="H2" s="2329"/>
    </row>
    <row r="3" spans="1:8" ht="14.25">
      <c r="A3" s="2331" t="s">
        <v>1551</v>
      </c>
      <c r="B3" s="2329"/>
      <c r="C3" s="2329"/>
      <c r="D3" s="2329"/>
      <c r="E3" s="2329"/>
      <c r="F3" s="2329"/>
      <c r="G3" s="2329"/>
      <c r="H3" s="2329"/>
    </row>
    <row r="4" spans="1:8" ht="14.25">
      <c r="A4" s="2331" t="s">
        <v>1552</v>
      </c>
      <c r="B4" s="2329"/>
      <c r="C4" s="2329"/>
      <c r="D4" s="2329"/>
      <c r="E4" s="2329"/>
      <c r="F4" s="2329"/>
      <c r="G4" s="2329"/>
      <c r="H4" s="2329"/>
    </row>
    <row r="5" spans="1:8" ht="14.25">
      <c r="A5" s="2331" t="s">
        <v>1553</v>
      </c>
      <c r="B5" s="2329"/>
      <c r="C5" s="2329"/>
      <c r="D5" s="2329"/>
      <c r="E5" s="2329"/>
      <c r="F5" s="2329"/>
      <c r="G5" s="2329"/>
      <c r="H5" s="2329"/>
    </row>
    <row r="6" spans="1:8" ht="14.25">
      <c r="A6" s="2331"/>
      <c r="B6" s="2329"/>
      <c r="C6" s="2329"/>
      <c r="D6" s="2329"/>
      <c r="E6" s="2329"/>
      <c r="F6" s="2329"/>
      <c r="G6" s="2329"/>
      <c r="H6" s="2329"/>
    </row>
    <row r="7" spans="1:8">
      <c r="A7" s="2328" t="s">
        <v>1554</v>
      </c>
      <c r="B7" s="2329"/>
      <c r="C7" s="2329"/>
      <c r="D7" s="2329"/>
      <c r="E7" s="2329"/>
      <c r="F7" s="2329"/>
      <c r="G7" s="2329"/>
      <c r="H7" s="2329"/>
    </row>
    <row r="8" spans="1:8">
      <c r="A8" s="2328" t="s">
        <v>1555</v>
      </c>
      <c r="B8" s="2329"/>
      <c r="C8" s="2329"/>
      <c r="D8" s="2329"/>
      <c r="E8" s="2329"/>
      <c r="F8" s="2329"/>
      <c r="G8" s="2329"/>
      <c r="H8" s="2329"/>
    </row>
    <row r="9" spans="1:8">
      <c r="A9" s="2328"/>
      <c r="B9" s="2329"/>
      <c r="C9" s="2329"/>
      <c r="D9" s="2329"/>
      <c r="E9" s="2329"/>
      <c r="F9" s="2329"/>
      <c r="G9" s="2329"/>
      <c r="H9" s="2329"/>
    </row>
    <row r="10" spans="1:8">
      <c r="A10" s="2332" t="s">
        <v>1556</v>
      </c>
      <c r="B10" s="2329"/>
      <c r="C10" s="2329"/>
      <c r="D10" s="2329"/>
      <c r="E10" s="2329"/>
      <c r="F10" s="2329"/>
      <c r="G10" s="2329"/>
      <c r="H10" s="2329"/>
    </row>
    <row r="11" spans="1:8">
      <c r="A11" s="2332" t="s">
        <v>1557</v>
      </c>
      <c r="B11" s="2329"/>
      <c r="C11" s="2329"/>
      <c r="D11" s="2329"/>
      <c r="E11" s="2329"/>
      <c r="F11" s="2329"/>
      <c r="G11" s="2329"/>
      <c r="H11" s="2329"/>
    </row>
    <row r="12" spans="1:8">
      <c r="A12" s="2332" t="s">
        <v>1558</v>
      </c>
      <c r="B12" s="2329"/>
      <c r="C12" s="2329"/>
      <c r="D12" s="2329"/>
      <c r="E12" s="2329"/>
      <c r="F12" s="2329"/>
      <c r="G12" s="2329"/>
      <c r="H12" s="2329"/>
    </row>
    <row r="13" spans="1:8">
      <c r="A13" s="2332" t="s">
        <v>1559</v>
      </c>
      <c r="B13" s="2329"/>
      <c r="C13" s="2329"/>
      <c r="D13" s="2329"/>
      <c r="E13" s="2329"/>
      <c r="F13" s="2329"/>
      <c r="G13" s="2329"/>
      <c r="H13" s="2329"/>
    </row>
    <row r="14" spans="1:8">
      <c r="A14" s="2332" t="s">
        <v>1560</v>
      </c>
      <c r="B14" s="2329"/>
      <c r="C14" s="2329"/>
      <c r="D14" s="2329"/>
      <c r="E14" s="2329"/>
      <c r="F14" s="2329"/>
      <c r="G14" s="2329"/>
      <c r="H14" s="2329"/>
    </row>
    <row r="15" spans="1:8">
      <c r="A15" s="2332" t="s">
        <v>1874</v>
      </c>
      <c r="B15" s="2329"/>
      <c r="C15" s="2329"/>
      <c r="D15" s="2329"/>
      <c r="E15" s="2329"/>
      <c r="F15" s="2329"/>
      <c r="G15" s="2329"/>
      <c r="H15" s="2329"/>
    </row>
    <row r="16" spans="1:8">
      <c r="A16" s="2332"/>
      <c r="B16" s="2329"/>
      <c r="C16" s="2329"/>
      <c r="D16" s="2329"/>
      <c r="E16" s="2329"/>
      <c r="F16" s="2329"/>
      <c r="G16" s="2329"/>
      <c r="H16" s="2329"/>
    </row>
    <row r="17" spans="1:8">
      <c r="A17" s="2332" t="s">
        <v>1547</v>
      </c>
      <c r="B17" s="2329"/>
      <c r="C17" s="2329"/>
      <c r="D17" s="2329"/>
      <c r="E17" s="2329"/>
      <c r="F17" s="2329"/>
      <c r="G17" s="2329"/>
      <c r="H17" s="2329"/>
    </row>
    <row r="18" spans="1:8">
      <c r="A18" s="2332"/>
      <c r="B18" s="2329"/>
      <c r="C18" s="2329"/>
      <c r="D18" s="2329"/>
      <c r="E18" s="2329"/>
      <c r="F18" s="2329"/>
      <c r="G18" s="2329"/>
      <c r="H18" s="2329"/>
    </row>
    <row r="19" spans="1:8">
      <c r="A19" s="2332" t="s">
        <v>1548</v>
      </c>
      <c r="B19" s="2329"/>
      <c r="C19" s="2329"/>
      <c r="D19" s="2329"/>
      <c r="E19" s="2329"/>
      <c r="F19" s="2329"/>
      <c r="G19" s="2329"/>
      <c r="H19" s="2329"/>
    </row>
    <row r="20" spans="1:8">
      <c r="A20" s="2328"/>
      <c r="B20" s="2329"/>
      <c r="C20" s="2329"/>
      <c r="D20" s="2329"/>
      <c r="E20" s="2329"/>
      <c r="F20" s="2329"/>
      <c r="G20" s="2329"/>
      <c r="H20" s="2329"/>
    </row>
    <row r="21" spans="1:8">
      <c r="A21" s="2333" t="s">
        <v>1549</v>
      </c>
      <c r="B21" s="2329"/>
      <c r="C21" s="2329"/>
      <c r="D21" s="2329"/>
      <c r="E21" s="2329"/>
      <c r="F21" s="2329"/>
      <c r="G21" s="2329"/>
      <c r="H21" s="2329"/>
    </row>
    <row r="22" spans="1:8">
      <c r="A22" s="2334"/>
      <c r="B22" s="2334"/>
      <c r="C22" s="2334"/>
      <c r="D22" s="2334"/>
      <c r="E22" s="2334"/>
      <c r="F22" s="2334"/>
      <c r="G22" s="2334"/>
      <c r="H22" s="2334"/>
    </row>
    <row r="23" spans="1:8">
      <c r="A23" s="2335" t="s">
        <v>1841</v>
      </c>
      <c r="B23" s="2334"/>
      <c r="C23" s="2334"/>
      <c r="D23" s="2334"/>
      <c r="E23" s="2334"/>
      <c r="F23" s="2334"/>
      <c r="G23" s="2334"/>
      <c r="H23" s="2334"/>
    </row>
    <row r="24" spans="1:8">
      <c r="A24" s="2335" t="s">
        <v>1842</v>
      </c>
      <c r="B24" s="2334"/>
      <c r="C24" s="2334"/>
      <c r="D24" s="2334"/>
      <c r="E24" s="2334"/>
      <c r="F24" s="2334"/>
      <c r="G24" s="2334"/>
      <c r="H24" s="2334"/>
    </row>
    <row r="25" spans="1:8">
      <c r="A25" s="2335" t="s">
        <v>1843</v>
      </c>
      <c r="B25" s="2334"/>
      <c r="C25" s="2334"/>
      <c r="D25" s="2334"/>
      <c r="E25" s="2334"/>
      <c r="F25" s="2334"/>
      <c r="G25" s="2334"/>
      <c r="H25" s="2334"/>
    </row>
    <row r="26" spans="1:8">
      <c r="A26" s="2335" t="s">
        <v>1844</v>
      </c>
      <c r="B26" s="2334"/>
      <c r="C26" s="2334"/>
      <c r="D26" s="2334"/>
      <c r="E26" s="2334"/>
      <c r="F26" s="2334"/>
      <c r="G26" s="2334"/>
      <c r="H26" s="2334"/>
    </row>
    <row r="27" spans="1:8">
      <c r="A27" s="2334"/>
      <c r="B27" s="2334"/>
      <c r="C27" s="2334"/>
      <c r="D27" s="2334"/>
      <c r="E27" s="2334"/>
      <c r="F27" s="2334"/>
      <c r="G27" s="2334"/>
      <c r="H27" s="2334"/>
    </row>
    <row r="28" spans="1:8">
      <c r="A28" s="2334"/>
      <c r="B28" s="2334"/>
      <c r="C28" s="2334"/>
      <c r="D28" s="2334"/>
      <c r="E28" s="2334"/>
      <c r="F28" s="2334"/>
      <c r="G28" s="2334"/>
      <c r="H28" s="2334"/>
    </row>
    <row r="29" spans="1:8">
      <c r="A29" s="2335" t="s">
        <v>1836</v>
      </c>
      <c r="B29" s="2334"/>
      <c r="C29" s="2334"/>
      <c r="D29" s="2334"/>
      <c r="E29" s="2334"/>
      <c r="F29" s="2334"/>
      <c r="G29" s="2334"/>
      <c r="H29" s="2334"/>
    </row>
    <row r="30" spans="1:8">
      <c r="A30" s="2335" t="s">
        <v>1837</v>
      </c>
      <c r="B30" s="2334"/>
      <c r="C30" s="2334"/>
      <c r="D30" s="2334"/>
      <c r="E30" s="2334"/>
      <c r="F30" s="2334"/>
      <c r="G30" s="2334"/>
      <c r="H30" s="2334"/>
    </row>
    <row r="31" spans="1:8">
      <c r="A31" s="2335" t="s">
        <v>1838</v>
      </c>
      <c r="B31" s="2334"/>
      <c r="C31" s="2334"/>
      <c r="D31" s="2334"/>
      <c r="E31" s="2334"/>
      <c r="F31" s="2334"/>
      <c r="G31" s="2334"/>
      <c r="H31" s="2334"/>
    </row>
    <row r="32" spans="1:8">
      <c r="A32" s="2335" t="s">
        <v>1839</v>
      </c>
      <c r="B32" s="2334"/>
      <c r="C32" s="2334"/>
      <c r="D32" s="2334"/>
      <c r="E32" s="2334"/>
      <c r="F32" s="2334"/>
      <c r="G32" s="2334"/>
      <c r="H32" s="2334"/>
    </row>
    <row r="33" spans="1:8">
      <c r="A33" s="2335" t="s">
        <v>1840</v>
      </c>
      <c r="B33" s="2334"/>
      <c r="C33" s="2334"/>
      <c r="D33" s="2334"/>
      <c r="E33" s="2334"/>
      <c r="F33" s="2334"/>
      <c r="G33" s="2334"/>
      <c r="H33" s="2334"/>
    </row>
    <row r="34" spans="1:8">
      <c r="A34" s="2334"/>
      <c r="B34" s="2334"/>
      <c r="C34" s="2334"/>
      <c r="D34" s="2334"/>
      <c r="E34" s="2334"/>
      <c r="F34" s="2334"/>
      <c r="G34" s="2334"/>
      <c r="H34" s="2334"/>
    </row>
    <row r="35" spans="1:8">
      <c r="A35" s="2335" t="s">
        <v>1832</v>
      </c>
      <c r="B35" s="2334"/>
      <c r="C35" s="2334"/>
      <c r="D35" s="2334"/>
      <c r="E35" s="2334"/>
      <c r="F35" s="2334"/>
      <c r="G35" s="2334"/>
      <c r="H35" s="2334"/>
    </row>
    <row r="36" spans="1:8">
      <c r="A36" s="2335" t="s">
        <v>1833</v>
      </c>
      <c r="B36" s="2334"/>
      <c r="C36" s="2334"/>
      <c r="D36" s="2334"/>
      <c r="E36" s="2334"/>
      <c r="F36" s="2334"/>
      <c r="G36" s="2334"/>
      <c r="H36" s="2334"/>
    </row>
    <row r="37" spans="1:8">
      <c r="A37" s="2335" t="s">
        <v>1834</v>
      </c>
      <c r="B37" s="2334"/>
      <c r="C37" s="2334"/>
      <c r="D37" s="2334"/>
      <c r="E37" s="2334"/>
      <c r="F37" s="2334"/>
      <c r="G37" s="2334"/>
      <c r="H37" s="2334"/>
    </row>
    <row r="38" spans="1:8">
      <c r="A38" s="2335" t="s">
        <v>1835</v>
      </c>
      <c r="B38" s="2334"/>
      <c r="C38" s="2334"/>
      <c r="D38" s="2334"/>
      <c r="E38" s="2334"/>
      <c r="F38" s="2334"/>
      <c r="G38" s="2334"/>
      <c r="H38" s="2334"/>
    </row>
    <row r="39" spans="1:8">
      <c r="A39" s="2334"/>
      <c r="B39" s="2334"/>
      <c r="C39" s="2334"/>
      <c r="D39" s="2334"/>
      <c r="E39" s="2334"/>
      <c r="F39" s="2334"/>
      <c r="G39" s="2334"/>
      <c r="H39" s="2334"/>
    </row>
    <row r="40" spans="1:8">
      <c r="A40" s="2335" t="s">
        <v>1826</v>
      </c>
      <c r="B40" s="2334"/>
      <c r="C40" s="2334"/>
      <c r="D40" s="2334"/>
      <c r="E40" s="2334"/>
      <c r="F40" s="2334"/>
      <c r="G40" s="2334"/>
      <c r="H40" s="2334"/>
    </row>
    <row r="41" spans="1:8">
      <c r="A41" s="2335" t="s">
        <v>1827</v>
      </c>
      <c r="B41" s="2334"/>
      <c r="C41" s="2334"/>
      <c r="D41" s="2334"/>
      <c r="E41" s="2334"/>
      <c r="F41" s="2334"/>
      <c r="G41" s="2334"/>
      <c r="H41" s="2334"/>
    </row>
    <row r="42" spans="1:8">
      <c r="A42" s="2335" t="s">
        <v>1828</v>
      </c>
      <c r="B42" s="2334"/>
      <c r="C42" s="2334"/>
      <c r="D42" s="2334"/>
      <c r="E42" s="2334"/>
      <c r="F42" s="2334"/>
      <c r="G42" s="2334"/>
      <c r="H42" s="2334"/>
    </row>
    <row r="43" spans="1:8">
      <c r="A43" s="2335" t="s">
        <v>1829</v>
      </c>
      <c r="B43" s="2334"/>
      <c r="C43" s="2334"/>
      <c r="D43" s="2334"/>
      <c r="E43" s="2334"/>
      <c r="F43" s="2334"/>
      <c r="G43" s="2334"/>
      <c r="H43" s="2334"/>
    </row>
    <row r="44" spans="1:8">
      <c r="A44" s="2335" t="s">
        <v>1830</v>
      </c>
      <c r="B44" s="2334"/>
      <c r="C44" s="2334"/>
      <c r="D44" s="2334"/>
      <c r="E44" s="2334"/>
      <c r="F44" s="2334"/>
      <c r="G44" s="2334"/>
      <c r="H44" s="2334"/>
    </row>
    <row r="45" spans="1:8">
      <c r="A45" s="2335" t="s">
        <v>1831</v>
      </c>
      <c r="B45" s="2334"/>
      <c r="C45" s="2334"/>
      <c r="D45" s="2334"/>
      <c r="E45" s="2334"/>
      <c r="F45" s="2334"/>
      <c r="G45" s="2334"/>
      <c r="H45" s="2334"/>
    </row>
    <row r="46" spans="1:8">
      <c r="A46" s="2334"/>
      <c r="B46" s="2334"/>
      <c r="C46" s="2334"/>
      <c r="D46" s="2334"/>
      <c r="E46" s="2334"/>
      <c r="F46" s="2334"/>
      <c r="G46" s="2334"/>
      <c r="H46" s="2334"/>
    </row>
    <row r="47" spans="1:8" ht="15.75">
      <c r="A47" s="2336" t="s">
        <v>1561</v>
      </c>
      <c r="B47" s="2334"/>
      <c r="C47" s="2334"/>
      <c r="D47" s="2334"/>
      <c r="E47" s="2334"/>
      <c r="F47" s="2334"/>
      <c r="G47" s="2334"/>
      <c r="H47" s="2334"/>
    </row>
    <row r="48" spans="1:8">
      <c r="A48" s="2334"/>
      <c r="B48" s="2334"/>
      <c r="C48" s="2334"/>
      <c r="D48" s="2334"/>
      <c r="E48" s="2334"/>
      <c r="F48" s="2334"/>
      <c r="G48" s="2334"/>
      <c r="H48" s="2334"/>
    </row>
    <row r="49" spans="1:8">
      <c r="A49" s="2335" t="s">
        <v>1822</v>
      </c>
      <c r="B49" s="2334"/>
      <c r="C49" s="2334"/>
      <c r="D49" s="2334"/>
      <c r="E49" s="2334"/>
      <c r="F49" s="2334"/>
      <c r="G49" s="2334"/>
      <c r="H49" s="2334"/>
    </row>
    <row r="50" spans="1:8">
      <c r="A50" s="2335" t="s">
        <v>1823</v>
      </c>
      <c r="B50" s="2334"/>
      <c r="C50" s="2334"/>
      <c r="D50" s="2334"/>
      <c r="E50" s="2334"/>
      <c r="F50" s="2334"/>
      <c r="G50" s="2334"/>
      <c r="H50" s="2334"/>
    </row>
    <row r="51" spans="1:8">
      <c r="A51" s="2335" t="s">
        <v>1824</v>
      </c>
      <c r="B51" s="2334"/>
      <c r="C51" s="2334"/>
      <c r="D51" s="2334"/>
      <c r="E51" s="2334"/>
      <c r="F51" s="2334"/>
      <c r="G51" s="2334"/>
      <c r="H51" s="2334"/>
    </row>
    <row r="52" spans="1:8">
      <c r="A52" s="2335" t="s">
        <v>1825</v>
      </c>
      <c r="B52" s="2334"/>
      <c r="C52" s="2334"/>
      <c r="D52" s="2334"/>
      <c r="E52" s="2334"/>
      <c r="F52" s="2334"/>
      <c r="G52" s="2334"/>
      <c r="H52" s="2334"/>
    </row>
    <row r="53" spans="1:8">
      <c r="A53" s="2334"/>
      <c r="B53" s="2334"/>
      <c r="C53" s="2334"/>
      <c r="D53" s="2334"/>
      <c r="E53" s="2334"/>
      <c r="F53" s="2334"/>
      <c r="G53" s="2334"/>
      <c r="H53" s="2334"/>
    </row>
    <row r="54" spans="1:8">
      <c r="A54" s="2335" t="s">
        <v>1562</v>
      </c>
      <c r="B54" s="2334"/>
      <c r="C54" s="2334"/>
      <c r="D54" s="2334"/>
      <c r="E54" s="2334"/>
      <c r="F54" s="2334"/>
      <c r="G54" s="2334"/>
      <c r="H54" s="2334"/>
    </row>
    <row r="55" spans="1:8">
      <c r="A55" s="2334"/>
      <c r="B55" s="2334"/>
      <c r="C55" s="2334"/>
      <c r="D55" s="2334"/>
      <c r="E55" s="2334"/>
      <c r="F55" s="2334"/>
      <c r="G55" s="2334"/>
      <c r="H55" s="2334"/>
    </row>
    <row r="56" spans="1:8" ht="15.75">
      <c r="A56" s="2336" t="s">
        <v>1563</v>
      </c>
      <c r="B56" s="2334"/>
      <c r="C56" s="2334"/>
      <c r="D56" s="2334"/>
      <c r="E56" s="2334"/>
      <c r="F56" s="2334"/>
      <c r="G56" s="2334"/>
      <c r="H56" s="2334"/>
    </row>
    <row r="57" spans="1:8">
      <c r="A57" s="2334"/>
      <c r="B57" s="2334"/>
      <c r="C57" s="2334"/>
      <c r="D57" s="2334"/>
      <c r="E57" s="2334"/>
      <c r="F57" s="2334"/>
      <c r="G57" s="2334"/>
      <c r="H57" s="2334"/>
    </row>
    <row r="58" spans="1:8">
      <c r="A58" s="2335" t="s">
        <v>1820</v>
      </c>
      <c r="B58" s="2334"/>
      <c r="C58" s="2334"/>
      <c r="D58" s="2334"/>
      <c r="E58" s="2334"/>
      <c r="F58" s="2334"/>
      <c r="G58" s="2334"/>
      <c r="H58" s="2334"/>
    </row>
    <row r="59" spans="1:8">
      <c r="A59" s="2335" t="s">
        <v>1821</v>
      </c>
      <c r="B59" s="2334"/>
      <c r="C59" s="2334"/>
      <c r="D59" s="2334"/>
      <c r="E59" s="2334"/>
      <c r="F59" s="2334"/>
      <c r="G59" s="2334"/>
      <c r="H59" s="2334"/>
    </row>
    <row r="60" spans="1:8">
      <c r="A60" s="2334"/>
      <c r="B60" s="2334"/>
      <c r="C60" s="2334"/>
      <c r="D60" s="2334"/>
      <c r="E60" s="2334"/>
      <c r="F60" s="2334"/>
      <c r="G60" s="2334"/>
      <c r="H60" s="2334"/>
    </row>
    <row r="61" spans="1:8" ht="15.75">
      <c r="A61" s="2336" t="s">
        <v>1564</v>
      </c>
      <c r="B61" s="2334"/>
      <c r="C61" s="2334"/>
      <c r="D61" s="2334"/>
      <c r="E61" s="2334"/>
      <c r="F61" s="2334"/>
      <c r="G61" s="2334"/>
      <c r="H61" s="2334"/>
    </row>
    <row r="62" spans="1:8">
      <c r="A62" s="2334"/>
      <c r="B62" s="2334"/>
      <c r="C62" s="2334"/>
      <c r="D62" s="2334"/>
      <c r="E62" s="2334"/>
      <c r="F62" s="2334"/>
      <c r="G62" s="2334"/>
      <c r="H62" s="2334"/>
    </row>
    <row r="63" spans="1:8">
      <c r="A63" s="2335" t="s">
        <v>1818</v>
      </c>
      <c r="B63" s="2334"/>
      <c r="C63" s="2334"/>
      <c r="D63" s="2334"/>
      <c r="E63" s="2334"/>
      <c r="F63" s="2334"/>
      <c r="G63" s="2334"/>
      <c r="H63" s="2334"/>
    </row>
    <row r="64" spans="1:8">
      <c r="A64" s="2335" t="s">
        <v>1819</v>
      </c>
      <c r="B64" s="2334"/>
      <c r="C64" s="2334"/>
      <c r="D64" s="2334"/>
      <c r="E64" s="2334"/>
      <c r="F64" s="2334"/>
      <c r="G64" s="2334"/>
      <c r="H64" s="2334"/>
    </row>
    <row r="65" spans="1:8">
      <c r="A65" s="2334"/>
      <c r="B65" s="2334"/>
      <c r="C65" s="2334"/>
      <c r="D65" s="2334"/>
      <c r="E65" s="2334"/>
      <c r="F65" s="2334"/>
      <c r="G65" s="2334"/>
      <c r="H65" s="2334"/>
    </row>
    <row r="66" spans="1:8">
      <c r="A66" s="2335" t="s">
        <v>1817</v>
      </c>
      <c r="B66" s="2334"/>
      <c r="C66" s="2334"/>
      <c r="D66" s="2334"/>
      <c r="E66" s="2334"/>
      <c r="F66" s="2334"/>
      <c r="G66" s="2334"/>
      <c r="H66" s="2334"/>
    </row>
    <row r="67" spans="1:8">
      <c r="A67" s="2335" t="s">
        <v>13</v>
      </c>
      <c r="B67" s="2334"/>
      <c r="C67" s="2334"/>
      <c r="D67" s="2334"/>
      <c r="E67" s="2334"/>
      <c r="F67" s="2334"/>
      <c r="G67" s="2334"/>
      <c r="H67" s="2334"/>
    </row>
    <row r="68" spans="1:8">
      <c r="A68" s="2334"/>
      <c r="B68" s="2334"/>
      <c r="C68" s="2334"/>
      <c r="D68" s="2334"/>
      <c r="E68" s="2334"/>
      <c r="F68" s="2334"/>
      <c r="G68" s="2334"/>
      <c r="H68" s="2334"/>
    </row>
    <row r="69" spans="1:8">
      <c r="A69" s="2335" t="s">
        <v>1815</v>
      </c>
      <c r="B69" s="2334"/>
      <c r="C69" s="2334"/>
      <c r="D69" s="2334"/>
      <c r="E69" s="2334"/>
      <c r="F69" s="2334"/>
      <c r="G69" s="2334"/>
      <c r="H69" s="2334"/>
    </row>
    <row r="70" spans="1:8">
      <c r="A70" s="2335" t="s">
        <v>1816</v>
      </c>
      <c r="B70" s="2334"/>
      <c r="C70" s="2334"/>
      <c r="D70" s="2334"/>
      <c r="E70" s="2334"/>
      <c r="F70" s="2334"/>
      <c r="G70" s="2334"/>
      <c r="H70" s="2334"/>
    </row>
    <row r="71" spans="1:8">
      <c r="A71" s="2334"/>
      <c r="B71" s="2334"/>
      <c r="C71" s="2334"/>
      <c r="D71" s="2334"/>
      <c r="E71" s="2334"/>
      <c r="F71" s="2334"/>
      <c r="G71" s="2334"/>
      <c r="H71" s="2334"/>
    </row>
    <row r="72" spans="1:8">
      <c r="A72" s="2335" t="s">
        <v>1813</v>
      </c>
      <c r="B72" s="2334"/>
      <c r="C72" s="2334"/>
      <c r="D72" s="2334"/>
      <c r="E72" s="2334"/>
      <c r="F72" s="2334"/>
      <c r="G72" s="2334"/>
      <c r="H72" s="2334"/>
    </row>
    <row r="73" spans="1:8">
      <c r="A73" s="2335" t="s">
        <v>1814</v>
      </c>
      <c r="B73" s="2334"/>
      <c r="C73" s="2334"/>
      <c r="D73" s="2334"/>
      <c r="E73" s="2334"/>
      <c r="F73" s="2334"/>
      <c r="G73" s="2334"/>
      <c r="H73" s="2334"/>
    </row>
    <row r="74" spans="1:8">
      <c r="A74" s="2334"/>
      <c r="B74" s="2334"/>
      <c r="C74" s="2334"/>
      <c r="D74" s="2334"/>
      <c r="E74" s="2334"/>
      <c r="F74" s="2334"/>
      <c r="G74" s="2334"/>
      <c r="H74" s="2334"/>
    </row>
    <row r="75" spans="1:8">
      <c r="A75" s="2335" t="s">
        <v>1811</v>
      </c>
      <c r="B75" s="2334"/>
      <c r="C75" s="2334"/>
      <c r="D75" s="2334"/>
      <c r="E75" s="2334"/>
      <c r="F75" s="2334"/>
      <c r="G75" s="2334"/>
      <c r="H75" s="2334"/>
    </row>
    <row r="76" spans="1:8">
      <c r="A76" s="2335" t="s">
        <v>1812</v>
      </c>
      <c r="B76" s="2334"/>
      <c r="C76" s="2334"/>
      <c r="D76" s="2334"/>
      <c r="E76" s="2334"/>
      <c r="F76" s="2334"/>
      <c r="G76" s="2334"/>
      <c r="H76" s="2334"/>
    </row>
    <row r="77" spans="1:8">
      <c r="A77" s="2334"/>
      <c r="B77" s="2334"/>
      <c r="C77" s="2334"/>
      <c r="D77" s="2334"/>
      <c r="E77" s="2334"/>
      <c r="F77" s="2334"/>
      <c r="G77" s="2334"/>
      <c r="H77" s="2334"/>
    </row>
    <row r="78" spans="1:8">
      <c r="A78" s="2335" t="s">
        <v>1808</v>
      </c>
      <c r="B78" s="2334"/>
      <c r="C78" s="2334"/>
      <c r="D78" s="2334"/>
      <c r="E78" s="2334"/>
      <c r="F78" s="2334"/>
      <c r="G78" s="2334"/>
      <c r="H78" s="2334"/>
    </row>
    <row r="79" spans="1:8">
      <c r="A79" s="2335" t="s">
        <v>1809</v>
      </c>
      <c r="B79" s="2334"/>
      <c r="C79" s="2334"/>
      <c r="D79" s="2334"/>
      <c r="E79" s="2334"/>
      <c r="F79" s="2334"/>
      <c r="G79" s="2334"/>
      <c r="H79" s="2334"/>
    </row>
    <row r="80" spans="1:8">
      <c r="A80" s="2335" t="s">
        <v>1810</v>
      </c>
      <c r="B80" s="2334"/>
      <c r="C80" s="2334"/>
      <c r="D80" s="2334"/>
      <c r="E80" s="2334"/>
      <c r="F80" s="2334"/>
      <c r="G80" s="2334"/>
      <c r="H80" s="2334"/>
    </row>
    <row r="81" spans="1:8">
      <c r="A81" s="2334"/>
      <c r="B81" s="2334"/>
      <c r="C81" s="2334"/>
      <c r="D81" s="2334"/>
      <c r="E81" s="2334"/>
      <c r="F81" s="2334"/>
      <c r="G81" s="2334"/>
      <c r="H81" s="2334"/>
    </row>
    <row r="82" spans="1:8">
      <c r="A82" s="2335" t="s">
        <v>1565</v>
      </c>
      <c r="B82" s="2334"/>
      <c r="C82" s="2334"/>
      <c r="D82" s="2334"/>
      <c r="E82" s="2334"/>
      <c r="F82" s="2334"/>
      <c r="G82" s="2334"/>
      <c r="H82" s="2334"/>
    </row>
    <row r="83" spans="1:8">
      <c r="A83" s="2334"/>
      <c r="B83" s="2334"/>
      <c r="C83" s="2334"/>
      <c r="D83" s="2334"/>
      <c r="E83" s="2334"/>
      <c r="F83" s="2334"/>
      <c r="G83" s="2334"/>
      <c r="H83" s="2334"/>
    </row>
    <row r="84" spans="1:8">
      <c r="A84" s="2335" t="s">
        <v>1803</v>
      </c>
      <c r="B84" s="2334"/>
      <c r="C84" s="2334"/>
      <c r="D84" s="2334"/>
      <c r="E84" s="2334"/>
      <c r="F84" s="2334"/>
      <c r="G84" s="2334"/>
      <c r="H84" s="2334"/>
    </row>
    <row r="85" spans="1:8">
      <c r="A85" s="2335" t="s">
        <v>1804</v>
      </c>
      <c r="B85" s="2334"/>
      <c r="C85" s="2334"/>
      <c r="D85" s="2334"/>
      <c r="E85" s="2334"/>
      <c r="F85" s="2334"/>
      <c r="G85" s="2334"/>
      <c r="H85" s="2334"/>
    </row>
    <row r="86" spans="1:8">
      <c r="A86" s="2335" t="s">
        <v>1805</v>
      </c>
      <c r="B86" s="2334"/>
      <c r="C86" s="2334"/>
      <c r="D86" s="2334"/>
      <c r="E86" s="2334"/>
      <c r="F86" s="2334"/>
      <c r="G86" s="2334"/>
      <c r="H86" s="2334"/>
    </row>
    <row r="87" spans="1:8">
      <c r="A87" s="2335" t="s">
        <v>1806</v>
      </c>
      <c r="B87" s="2334"/>
      <c r="C87" s="2334"/>
      <c r="D87" s="2334"/>
      <c r="E87" s="2334"/>
      <c r="F87" s="2334"/>
      <c r="G87" s="2334"/>
      <c r="H87" s="2334"/>
    </row>
    <row r="88" spans="1:8">
      <c r="A88" s="2335" t="s">
        <v>1807</v>
      </c>
      <c r="B88" s="2334"/>
      <c r="C88" s="2334"/>
      <c r="D88" s="2334"/>
      <c r="E88" s="2334"/>
      <c r="F88" s="2334"/>
      <c r="G88" s="2334"/>
      <c r="H88" s="2334"/>
    </row>
    <row r="89" spans="1:8">
      <c r="A89" s="2335" t="s">
        <v>1690</v>
      </c>
      <c r="B89" s="2334"/>
      <c r="C89" s="2334"/>
      <c r="D89" s="2334"/>
      <c r="E89" s="2334"/>
      <c r="F89" s="2334"/>
      <c r="G89" s="2334"/>
      <c r="H89" s="2334"/>
    </row>
    <row r="90" spans="1:8">
      <c r="A90" s="2334"/>
      <c r="B90" s="2334"/>
      <c r="C90" s="2334"/>
      <c r="D90" s="2334"/>
      <c r="E90" s="2334"/>
      <c r="F90" s="2334"/>
      <c r="G90" s="2334"/>
      <c r="H90" s="2334"/>
    </row>
    <row r="91" spans="1:8">
      <c r="A91" s="2335" t="s">
        <v>1796</v>
      </c>
      <c r="B91" s="2334"/>
      <c r="C91" s="2334"/>
      <c r="D91" s="2334"/>
      <c r="E91" s="2334"/>
      <c r="F91" s="2334"/>
      <c r="G91" s="2334"/>
      <c r="H91" s="2334"/>
    </row>
    <row r="92" spans="1:8">
      <c r="A92" s="2335" t="s">
        <v>1797</v>
      </c>
      <c r="B92" s="2334"/>
      <c r="C92" s="2334"/>
      <c r="D92" s="2334"/>
      <c r="E92" s="2334"/>
      <c r="F92" s="2334"/>
      <c r="G92" s="2334"/>
      <c r="H92" s="2334"/>
    </row>
    <row r="93" spans="1:8">
      <c r="A93" s="2335" t="s">
        <v>1798</v>
      </c>
      <c r="B93" s="2334"/>
      <c r="C93" s="2334"/>
      <c r="D93" s="2334"/>
      <c r="E93" s="2334"/>
      <c r="F93" s="2334"/>
      <c r="G93" s="2334"/>
      <c r="H93" s="2334"/>
    </row>
    <row r="94" spans="1:8">
      <c r="A94" s="2335" t="s">
        <v>1799</v>
      </c>
      <c r="B94" s="2334"/>
      <c r="C94" s="2334"/>
      <c r="D94" s="2334"/>
      <c r="E94" s="2334"/>
      <c r="F94" s="2334"/>
      <c r="G94" s="2334"/>
      <c r="H94" s="2334"/>
    </row>
    <row r="95" spans="1:8">
      <c r="A95" s="2335" t="s">
        <v>1800</v>
      </c>
      <c r="B95" s="2334"/>
      <c r="C95" s="2334"/>
      <c r="D95" s="2334"/>
      <c r="E95" s="2334"/>
      <c r="F95" s="2334"/>
      <c r="G95" s="2334"/>
      <c r="H95" s="2334"/>
    </row>
    <row r="96" spans="1:8">
      <c r="A96" s="2335" t="s">
        <v>1801</v>
      </c>
      <c r="B96" s="2334"/>
      <c r="C96" s="2334"/>
      <c r="D96" s="2334"/>
      <c r="E96" s="2334"/>
      <c r="F96" s="2334"/>
      <c r="G96" s="2334"/>
      <c r="H96" s="2334"/>
    </row>
    <row r="97" spans="1:8">
      <c r="A97" s="2335" t="s">
        <v>1802</v>
      </c>
      <c r="B97" s="2334"/>
      <c r="C97" s="2334"/>
      <c r="D97" s="2334"/>
      <c r="E97" s="2334"/>
      <c r="F97" s="2334"/>
      <c r="G97" s="2334"/>
      <c r="H97" s="2334"/>
    </row>
    <row r="98" spans="1:8">
      <c r="A98" s="2334"/>
      <c r="B98" s="2334"/>
      <c r="C98" s="2334"/>
      <c r="D98" s="2334"/>
      <c r="E98" s="2334"/>
      <c r="F98" s="2334"/>
      <c r="G98" s="2334"/>
      <c r="H98" s="2334"/>
    </row>
    <row r="99" spans="1:8">
      <c r="A99" s="2335" t="s">
        <v>1794</v>
      </c>
      <c r="B99" s="2334"/>
      <c r="C99" s="2334"/>
      <c r="D99" s="2334"/>
      <c r="E99" s="2334"/>
      <c r="F99" s="2334"/>
      <c r="G99" s="2334"/>
      <c r="H99" s="2334"/>
    </row>
    <row r="100" spans="1:8">
      <c r="A100" s="2335" t="s">
        <v>1795</v>
      </c>
      <c r="B100" s="2334"/>
      <c r="C100" s="2334"/>
      <c r="D100" s="2334"/>
      <c r="E100" s="2334"/>
      <c r="F100" s="2334"/>
      <c r="G100" s="2334"/>
      <c r="H100" s="2334"/>
    </row>
    <row r="101" spans="1:8">
      <c r="A101" s="2334"/>
      <c r="B101" s="2334"/>
      <c r="C101" s="2334"/>
      <c r="D101" s="2334"/>
      <c r="E101" s="2334"/>
      <c r="F101" s="2334"/>
      <c r="G101" s="2334"/>
      <c r="H101" s="2334"/>
    </row>
    <row r="102" spans="1:8" ht="15.75">
      <c r="A102" s="2336" t="s">
        <v>1566</v>
      </c>
      <c r="B102" s="2334"/>
      <c r="C102" s="2334"/>
      <c r="D102" s="2334"/>
      <c r="E102" s="2334"/>
      <c r="F102" s="2334"/>
      <c r="G102" s="2334"/>
      <c r="H102" s="2334"/>
    </row>
    <row r="103" spans="1:8">
      <c r="A103" s="2334"/>
      <c r="B103" s="2334"/>
      <c r="C103" s="2334"/>
      <c r="D103" s="2334"/>
      <c r="E103" s="2334"/>
      <c r="F103" s="2334"/>
      <c r="G103" s="2334"/>
      <c r="H103" s="2334"/>
    </row>
    <row r="104" spans="1:8">
      <c r="A104" s="2335" t="s">
        <v>1785</v>
      </c>
      <c r="B104" s="2334"/>
      <c r="C104" s="2334"/>
      <c r="D104" s="2334"/>
      <c r="E104" s="2334"/>
      <c r="F104" s="2334"/>
      <c r="G104" s="2334"/>
      <c r="H104" s="2334"/>
    </row>
    <row r="105" spans="1:8">
      <c r="A105" s="2335" t="s">
        <v>1786</v>
      </c>
      <c r="B105" s="2334"/>
      <c r="C105" s="2334"/>
      <c r="D105" s="2334"/>
      <c r="E105" s="2334"/>
      <c r="F105" s="2334"/>
      <c r="G105" s="2334"/>
      <c r="H105" s="2334"/>
    </row>
    <row r="106" spans="1:8">
      <c r="A106" s="2335" t="s">
        <v>1787</v>
      </c>
      <c r="B106" s="2334"/>
      <c r="C106" s="2334"/>
      <c r="D106" s="2334"/>
      <c r="E106" s="2334"/>
      <c r="F106" s="2334"/>
      <c r="G106" s="2334"/>
      <c r="H106" s="2334"/>
    </row>
    <row r="107" spans="1:8">
      <c r="A107" s="2335" t="s">
        <v>1788</v>
      </c>
      <c r="B107" s="2334"/>
      <c r="C107" s="2334"/>
      <c r="D107" s="2334"/>
      <c r="E107" s="2334"/>
      <c r="F107" s="2334"/>
      <c r="G107" s="2334"/>
      <c r="H107" s="2334"/>
    </row>
    <row r="108" spans="1:8">
      <c r="A108" s="2335" t="s">
        <v>1789</v>
      </c>
      <c r="B108" s="2334"/>
      <c r="C108" s="2334"/>
      <c r="D108" s="2334"/>
      <c r="E108" s="2334"/>
      <c r="F108" s="2334"/>
      <c r="G108" s="2334"/>
      <c r="H108" s="2334"/>
    </row>
    <row r="109" spans="1:8">
      <c r="A109" s="2335" t="s">
        <v>1790</v>
      </c>
      <c r="B109" s="2334"/>
      <c r="C109" s="2334"/>
      <c r="D109" s="2334"/>
      <c r="E109" s="2334"/>
      <c r="F109" s="2334"/>
      <c r="G109" s="2334"/>
      <c r="H109" s="2334"/>
    </row>
    <row r="110" spans="1:8">
      <c r="A110" s="2335" t="s">
        <v>1791</v>
      </c>
      <c r="B110" s="2334"/>
      <c r="C110" s="2334"/>
      <c r="D110" s="2334"/>
      <c r="E110" s="2334"/>
      <c r="F110" s="2334"/>
      <c r="G110" s="2334"/>
      <c r="H110" s="2334"/>
    </row>
    <row r="111" spans="1:8">
      <c r="A111" s="2335" t="s">
        <v>1792</v>
      </c>
      <c r="B111" s="2334"/>
      <c r="C111" s="2334"/>
      <c r="D111" s="2334"/>
      <c r="E111" s="2334"/>
      <c r="F111" s="2334"/>
      <c r="G111" s="2334"/>
      <c r="H111" s="2334"/>
    </row>
    <row r="112" spans="1:8">
      <c r="A112" s="2335" t="s">
        <v>1793</v>
      </c>
      <c r="B112" s="2334"/>
      <c r="C112" s="2334"/>
      <c r="D112" s="2334"/>
      <c r="E112" s="2334"/>
      <c r="F112" s="2334"/>
      <c r="G112" s="2334"/>
      <c r="H112" s="2334"/>
    </row>
    <row r="113" spans="1:8">
      <c r="A113" s="2334"/>
      <c r="B113" s="2334"/>
      <c r="C113" s="2334"/>
      <c r="D113" s="2334"/>
      <c r="E113" s="2334"/>
      <c r="F113" s="2334"/>
      <c r="G113" s="2334"/>
      <c r="H113" s="2334"/>
    </row>
    <row r="114" spans="1:8" ht="15.75">
      <c r="A114" s="2355" t="s">
        <v>1567</v>
      </c>
      <c r="B114" s="2355"/>
      <c r="C114" s="2355"/>
      <c r="D114" s="2355"/>
      <c r="E114" s="2355"/>
      <c r="F114" s="2355"/>
      <c r="G114" s="2355"/>
      <c r="H114" s="2355"/>
    </row>
    <row r="115" spans="1:8">
      <c r="A115" s="2351" t="s">
        <v>1568</v>
      </c>
      <c r="B115" s="2351"/>
      <c r="C115" s="2351"/>
      <c r="D115" s="2351"/>
      <c r="E115" s="2351"/>
      <c r="F115" s="2351"/>
      <c r="G115" s="2351"/>
      <c r="H115" s="2351"/>
    </row>
    <row r="116" spans="1:8">
      <c r="A116" s="2356"/>
      <c r="B116" s="2356"/>
      <c r="C116" s="2356"/>
      <c r="D116" s="2356"/>
      <c r="E116" s="2356"/>
      <c r="F116" s="2356"/>
      <c r="G116" s="2356"/>
      <c r="H116" s="2356"/>
    </row>
    <row r="117" spans="1:8">
      <c r="A117" s="2351" t="s">
        <v>1783</v>
      </c>
      <c r="B117" s="2351"/>
      <c r="C117" s="2351"/>
      <c r="D117" s="2351"/>
      <c r="E117" s="2351"/>
      <c r="F117" s="2351"/>
      <c r="G117" s="2351"/>
      <c r="H117" s="2351"/>
    </row>
    <row r="118" spans="1:8">
      <c r="A118" s="2335" t="s">
        <v>1784</v>
      </c>
      <c r="B118" s="2335"/>
      <c r="C118" s="2335"/>
      <c r="D118" s="2335"/>
      <c r="E118" s="2335"/>
      <c r="F118" s="2335"/>
      <c r="G118" s="2335"/>
      <c r="H118" s="2335"/>
    </row>
    <row r="119" spans="1:8">
      <c r="A119" s="2356"/>
      <c r="B119" s="2356"/>
      <c r="C119" s="2356"/>
      <c r="D119" s="2356"/>
      <c r="E119" s="2356"/>
      <c r="F119" s="2356"/>
      <c r="G119" s="2356"/>
      <c r="H119" s="2356"/>
    </row>
    <row r="120" spans="1:8">
      <c r="A120" s="2351" t="s">
        <v>1776</v>
      </c>
      <c r="B120" s="2351"/>
      <c r="C120" s="2351"/>
      <c r="D120" s="2351"/>
      <c r="E120" s="2351"/>
      <c r="F120" s="2351"/>
      <c r="G120" s="2351"/>
      <c r="H120" s="2351"/>
    </row>
    <row r="121" spans="1:8">
      <c r="A121" s="2335" t="s">
        <v>1777</v>
      </c>
      <c r="B121" s="2335"/>
      <c r="C121" s="2335"/>
      <c r="D121" s="2335"/>
      <c r="E121" s="2335"/>
      <c r="F121" s="2335"/>
      <c r="G121" s="2335"/>
      <c r="H121" s="2335"/>
    </row>
    <row r="122" spans="1:8">
      <c r="A122" s="2335" t="s">
        <v>1778</v>
      </c>
      <c r="B122" s="2335"/>
      <c r="C122" s="2335"/>
      <c r="D122" s="2335"/>
      <c r="E122" s="2335"/>
      <c r="F122" s="2335"/>
      <c r="G122" s="2335"/>
      <c r="H122" s="2335"/>
    </row>
    <row r="123" spans="1:8">
      <c r="A123" s="2335" t="s">
        <v>1779</v>
      </c>
      <c r="B123" s="2335"/>
      <c r="C123" s="2335"/>
      <c r="D123" s="2335"/>
      <c r="E123" s="2335"/>
      <c r="F123" s="2335"/>
      <c r="G123" s="2335"/>
      <c r="H123" s="2335"/>
    </row>
    <row r="124" spans="1:8">
      <c r="A124" s="2335" t="s">
        <v>1780</v>
      </c>
      <c r="B124" s="2335"/>
      <c r="C124" s="2335"/>
      <c r="D124" s="2335"/>
      <c r="E124" s="2335"/>
      <c r="F124" s="2335"/>
      <c r="G124" s="2335"/>
      <c r="H124" s="2335"/>
    </row>
    <row r="125" spans="1:8">
      <c r="A125" s="2335" t="s">
        <v>1781</v>
      </c>
      <c r="B125" s="2335"/>
      <c r="C125" s="2335"/>
      <c r="D125" s="2335"/>
      <c r="E125" s="2335"/>
      <c r="F125" s="2335"/>
      <c r="G125" s="2335"/>
      <c r="H125" s="2335"/>
    </row>
    <row r="126" spans="1:8">
      <c r="A126" s="2335" t="s">
        <v>1782</v>
      </c>
      <c r="B126" s="2335"/>
      <c r="C126" s="2335"/>
      <c r="D126" s="2335"/>
      <c r="E126" s="2335"/>
      <c r="F126" s="2335"/>
      <c r="G126" s="2335"/>
      <c r="H126" s="2335"/>
    </row>
    <row r="127" spans="1:8">
      <c r="A127" s="2357"/>
      <c r="B127" s="2357"/>
      <c r="C127" s="2357"/>
      <c r="D127" s="2357"/>
      <c r="E127" s="2357"/>
      <c r="F127" s="2357"/>
      <c r="G127" s="2357"/>
      <c r="H127" s="2357"/>
    </row>
    <row r="128" spans="1:8">
      <c r="A128" s="2337"/>
      <c r="B128" s="2352" t="s">
        <v>1569</v>
      </c>
      <c r="C128" s="2353"/>
      <c r="D128" s="2352" t="s">
        <v>1570</v>
      </c>
      <c r="E128" s="2354"/>
      <c r="F128" s="2353"/>
      <c r="G128" s="2352" t="s">
        <v>1571</v>
      </c>
      <c r="H128" s="2353"/>
    </row>
    <row r="129" spans="1:8">
      <c r="A129" s="2337" t="s">
        <v>1572</v>
      </c>
      <c r="B129" s="2337" t="s">
        <v>950</v>
      </c>
      <c r="C129" s="2337" t="s">
        <v>1573</v>
      </c>
      <c r="D129" s="2337" t="s">
        <v>950</v>
      </c>
      <c r="E129" s="2337" t="s">
        <v>1574</v>
      </c>
      <c r="F129" s="2337" t="s">
        <v>1575</v>
      </c>
      <c r="G129" s="2337" t="s">
        <v>950</v>
      </c>
      <c r="H129" s="2337" t="s">
        <v>1576</v>
      </c>
    </row>
    <row r="130" spans="1:8">
      <c r="A130" s="2337" t="s">
        <v>1577</v>
      </c>
      <c r="B130" s="2337">
        <v>1189</v>
      </c>
      <c r="C130" s="2338">
        <v>0.38</v>
      </c>
      <c r="D130" s="2337">
        <v>315</v>
      </c>
      <c r="E130" s="2338">
        <v>0.41</v>
      </c>
      <c r="F130" s="2338">
        <v>0.26</v>
      </c>
      <c r="G130" s="2337">
        <v>555</v>
      </c>
      <c r="H130" s="2338">
        <v>0.39</v>
      </c>
    </row>
    <row r="131" spans="1:8">
      <c r="A131" s="2337" t="s">
        <v>1578</v>
      </c>
      <c r="B131" s="2337">
        <v>1355</v>
      </c>
      <c r="C131" s="2338">
        <v>0.43</v>
      </c>
      <c r="D131" s="2337">
        <v>364</v>
      </c>
      <c r="E131" s="2338">
        <v>0.47</v>
      </c>
      <c r="F131" s="2338">
        <v>0.27</v>
      </c>
      <c r="G131" s="2337">
        <v>644</v>
      </c>
      <c r="H131" s="2338">
        <v>0.45</v>
      </c>
    </row>
    <row r="132" spans="1:8">
      <c r="A132" s="2337" t="s">
        <v>1579</v>
      </c>
      <c r="B132" s="2337">
        <v>53</v>
      </c>
      <c r="C132" s="2338">
        <v>0.02</v>
      </c>
      <c r="D132" s="2337">
        <v>4</v>
      </c>
      <c r="E132" s="2338">
        <v>0.01</v>
      </c>
      <c r="F132" s="2338">
        <v>0.08</v>
      </c>
      <c r="G132" s="2337">
        <v>7</v>
      </c>
      <c r="H132" s="2338">
        <v>0</v>
      </c>
    </row>
    <row r="133" spans="1:8">
      <c r="A133" s="2337" t="s">
        <v>1580</v>
      </c>
      <c r="B133" s="2337">
        <v>545</v>
      </c>
      <c r="C133" s="2338">
        <v>0.17</v>
      </c>
      <c r="D133" s="2337">
        <v>84</v>
      </c>
      <c r="E133" s="2338">
        <v>0.11</v>
      </c>
      <c r="F133" s="2338">
        <v>0.15</v>
      </c>
      <c r="G133" s="2337">
        <v>214</v>
      </c>
      <c r="H133" s="2338">
        <v>0.15</v>
      </c>
    </row>
    <row r="134" spans="1:8">
      <c r="A134" s="2337" t="s">
        <v>399</v>
      </c>
      <c r="B134" s="2339">
        <v>3142</v>
      </c>
      <c r="C134" s="2337"/>
      <c r="D134" s="2337">
        <v>767</v>
      </c>
      <c r="E134" s="2337"/>
      <c r="F134" s="2337"/>
      <c r="G134" s="2337">
        <v>1420</v>
      </c>
      <c r="H134" s="2337"/>
    </row>
    <row r="135" spans="1:8">
      <c r="A135" s="2350"/>
      <c r="B135" s="2350"/>
      <c r="C135" s="2350"/>
      <c r="D135" s="2350"/>
      <c r="E135" s="2350"/>
      <c r="F135" s="2350"/>
      <c r="G135" s="2350"/>
      <c r="H135" s="2350"/>
    </row>
    <row r="136" spans="1:8">
      <c r="A136" s="2351" t="s">
        <v>1772</v>
      </c>
      <c r="B136" s="2351"/>
      <c r="C136" s="2351"/>
      <c r="D136" s="2351"/>
      <c r="E136" s="2351"/>
      <c r="F136" s="2351"/>
      <c r="G136" s="2351"/>
      <c r="H136" s="2351"/>
    </row>
    <row r="137" spans="1:8">
      <c r="A137" s="2335" t="s">
        <v>1773</v>
      </c>
      <c r="B137" s="2335"/>
      <c r="C137" s="2335"/>
      <c r="D137" s="2335"/>
      <c r="E137" s="2335"/>
      <c r="F137" s="2335"/>
      <c r="G137" s="2335"/>
      <c r="H137" s="2335"/>
    </row>
    <row r="138" spans="1:8">
      <c r="A138" s="2335" t="s">
        <v>1774</v>
      </c>
      <c r="B138" s="2335"/>
      <c r="C138" s="2335"/>
      <c r="D138" s="2335"/>
      <c r="E138" s="2335"/>
      <c r="F138" s="2335"/>
      <c r="G138" s="2335"/>
      <c r="H138" s="2335"/>
    </row>
    <row r="139" spans="1:8">
      <c r="A139" s="2335" t="s">
        <v>1775</v>
      </c>
      <c r="B139" s="2335"/>
      <c r="C139" s="2335"/>
      <c r="D139" s="2335"/>
      <c r="E139" s="2335"/>
      <c r="F139" s="2335"/>
      <c r="G139" s="2335"/>
      <c r="H139" s="2335"/>
    </row>
    <row r="140" spans="1:8">
      <c r="A140" s="2334"/>
      <c r="B140" s="2334"/>
      <c r="C140" s="2334"/>
      <c r="D140" s="2334"/>
      <c r="E140" s="2334"/>
      <c r="F140" s="2334"/>
      <c r="G140" s="2334"/>
      <c r="H140" s="2334"/>
    </row>
    <row r="141" spans="1:8" ht="15.75">
      <c r="A141" s="2336" t="s">
        <v>1581</v>
      </c>
      <c r="B141" s="2334"/>
      <c r="C141" s="2334"/>
      <c r="D141" s="2334"/>
      <c r="E141" s="2334"/>
      <c r="F141" s="2334"/>
      <c r="G141" s="2334"/>
      <c r="H141" s="2334"/>
    </row>
    <row r="142" spans="1:8">
      <c r="A142" s="2334"/>
      <c r="B142" s="2334"/>
      <c r="C142" s="2334"/>
      <c r="D142" s="2334"/>
      <c r="E142" s="2334"/>
      <c r="F142" s="2334"/>
      <c r="G142" s="2334"/>
      <c r="H142" s="2334"/>
    </row>
    <row r="143" spans="1:8">
      <c r="A143" s="2335" t="s">
        <v>1770</v>
      </c>
      <c r="B143" s="2334"/>
      <c r="C143" s="2334"/>
      <c r="D143" s="2334"/>
      <c r="E143" s="2334"/>
      <c r="F143" s="2334"/>
      <c r="G143" s="2334"/>
      <c r="H143" s="2334"/>
    </row>
    <row r="144" spans="1:8">
      <c r="A144" s="2335" t="s">
        <v>1771</v>
      </c>
      <c r="B144" s="2334"/>
      <c r="C144" s="2334"/>
      <c r="D144" s="2334"/>
      <c r="E144" s="2334"/>
      <c r="F144" s="2334"/>
      <c r="G144" s="2334"/>
      <c r="H144" s="2334"/>
    </row>
    <row r="145" spans="1:8">
      <c r="A145" s="2334"/>
      <c r="B145" s="2334"/>
      <c r="C145" s="2334"/>
      <c r="D145" s="2334"/>
      <c r="E145" s="2334"/>
      <c r="F145" s="2334"/>
      <c r="G145" s="2334"/>
      <c r="H145" s="2334"/>
    </row>
    <row r="146" spans="1:8">
      <c r="A146" s="2335" t="s">
        <v>1767</v>
      </c>
      <c r="B146" s="2334"/>
      <c r="C146" s="2334"/>
      <c r="D146" s="2334"/>
      <c r="E146" s="2334"/>
      <c r="F146" s="2334"/>
      <c r="G146" s="2334"/>
      <c r="H146" s="2334"/>
    </row>
    <row r="147" spans="1:8">
      <c r="A147" s="2335" t="s">
        <v>1768</v>
      </c>
      <c r="B147" s="2334"/>
      <c r="C147" s="2334"/>
      <c r="D147" s="2334"/>
      <c r="E147" s="2334"/>
      <c r="F147" s="2334"/>
      <c r="G147" s="2334"/>
      <c r="H147" s="2334"/>
    </row>
    <row r="148" spans="1:8">
      <c r="A148" s="2335" t="s">
        <v>1769</v>
      </c>
      <c r="B148" s="2334"/>
      <c r="C148" s="2334"/>
      <c r="D148" s="2334"/>
      <c r="E148" s="2334"/>
      <c r="F148" s="2334"/>
      <c r="G148" s="2334"/>
      <c r="H148" s="2334"/>
    </row>
    <row r="149" spans="1:8">
      <c r="A149" s="2334"/>
      <c r="B149" s="2334"/>
      <c r="C149" s="2334"/>
      <c r="D149" s="2334"/>
      <c r="E149" s="2334"/>
      <c r="F149" s="2334"/>
      <c r="G149" s="2334"/>
      <c r="H149" s="2334"/>
    </row>
    <row r="150" spans="1:8">
      <c r="A150" s="2335" t="s">
        <v>1764</v>
      </c>
      <c r="B150" s="2334"/>
      <c r="C150" s="2334"/>
      <c r="D150" s="2334"/>
      <c r="E150" s="2334"/>
      <c r="F150" s="2334"/>
      <c r="G150" s="2334"/>
      <c r="H150" s="2334"/>
    </row>
    <row r="151" spans="1:8">
      <c r="A151" s="2335" t="s">
        <v>1765</v>
      </c>
      <c r="B151" s="2334"/>
      <c r="C151" s="2334"/>
      <c r="D151" s="2334"/>
      <c r="E151" s="2334"/>
      <c r="F151" s="2334"/>
      <c r="G151" s="2334"/>
      <c r="H151" s="2334"/>
    </row>
    <row r="152" spans="1:8">
      <c r="A152" s="2335" t="s">
        <v>1766</v>
      </c>
      <c r="B152" s="2334"/>
      <c r="C152" s="2334"/>
      <c r="D152" s="2334"/>
      <c r="E152" s="2334"/>
      <c r="F152" s="2334"/>
      <c r="G152" s="2334"/>
      <c r="H152" s="2334"/>
    </row>
    <row r="153" spans="1:8">
      <c r="A153" s="2334"/>
      <c r="B153" s="2334"/>
      <c r="C153" s="2334"/>
      <c r="D153" s="2334"/>
      <c r="E153" s="2334"/>
      <c r="F153" s="2334"/>
      <c r="G153" s="2334"/>
      <c r="H153" s="2334"/>
    </row>
    <row r="154" spans="1:8">
      <c r="A154" s="2335" t="s">
        <v>1761</v>
      </c>
      <c r="B154" s="2334"/>
      <c r="C154" s="2334"/>
      <c r="D154" s="2334"/>
      <c r="E154" s="2334"/>
      <c r="F154" s="2334"/>
      <c r="G154" s="2334"/>
      <c r="H154" s="2334"/>
    </row>
    <row r="155" spans="1:8">
      <c r="A155" s="2335" t="s">
        <v>1762</v>
      </c>
      <c r="B155" s="2334"/>
      <c r="C155" s="2334"/>
      <c r="D155" s="2334"/>
      <c r="E155" s="2334"/>
      <c r="F155" s="2334"/>
      <c r="G155" s="2334"/>
      <c r="H155" s="2334"/>
    </row>
    <row r="156" spans="1:8">
      <c r="A156" s="2335" t="s">
        <v>1763</v>
      </c>
      <c r="B156" s="2334"/>
      <c r="C156" s="2334"/>
      <c r="D156" s="2334"/>
      <c r="E156" s="2334"/>
      <c r="F156" s="2334"/>
      <c r="G156" s="2334"/>
      <c r="H156" s="2334"/>
    </row>
    <row r="157" spans="1:8">
      <c r="A157" s="2334"/>
      <c r="B157" s="2334"/>
      <c r="C157" s="2334"/>
      <c r="D157" s="2334"/>
      <c r="E157" s="2334"/>
      <c r="F157" s="2334"/>
      <c r="G157" s="2334"/>
      <c r="H157" s="2334"/>
    </row>
    <row r="158" spans="1:8">
      <c r="A158" s="2335" t="s">
        <v>1759</v>
      </c>
      <c r="B158" s="2334"/>
      <c r="C158" s="2334"/>
      <c r="D158" s="2334"/>
      <c r="E158" s="2334"/>
      <c r="F158" s="2334"/>
      <c r="G158" s="2334"/>
      <c r="H158" s="2334"/>
    </row>
    <row r="159" spans="1:8">
      <c r="A159" s="2335" t="s">
        <v>1760</v>
      </c>
      <c r="B159" s="2334"/>
      <c r="C159" s="2334"/>
      <c r="D159" s="2334"/>
      <c r="E159" s="2334"/>
      <c r="F159" s="2334"/>
      <c r="G159" s="2334"/>
      <c r="H159" s="2334"/>
    </row>
    <row r="160" spans="1:8">
      <c r="A160" s="2334"/>
      <c r="B160" s="2334"/>
      <c r="C160" s="2334"/>
      <c r="D160" s="2334"/>
      <c r="E160" s="2334"/>
      <c r="F160" s="2334"/>
      <c r="G160" s="2334"/>
      <c r="H160" s="2334"/>
    </row>
    <row r="161" spans="1:8" ht="15.75">
      <c r="A161" s="2336" t="s">
        <v>1582</v>
      </c>
      <c r="B161" s="2334"/>
      <c r="C161" s="2334"/>
      <c r="D161" s="2334"/>
      <c r="E161" s="2334"/>
      <c r="F161" s="2334"/>
      <c r="G161" s="2334"/>
      <c r="H161" s="2334"/>
    </row>
    <row r="162" spans="1:8">
      <c r="A162" s="2334"/>
      <c r="B162" s="2334"/>
      <c r="C162" s="2334"/>
      <c r="D162" s="2334"/>
      <c r="E162" s="2334"/>
      <c r="F162" s="2334"/>
      <c r="G162" s="2334"/>
      <c r="H162" s="2334"/>
    </row>
    <row r="163" spans="1:8">
      <c r="A163" s="2335" t="s">
        <v>1757</v>
      </c>
      <c r="B163" s="2334"/>
      <c r="C163" s="2334"/>
      <c r="D163" s="2334"/>
      <c r="E163" s="2334"/>
      <c r="F163" s="2334"/>
      <c r="G163" s="2334"/>
      <c r="H163" s="2334"/>
    </row>
    <row r="164" spans="1:8">
      <c r="A164" s="2335" t="s">
        <v>1758</v>
      </c>
      <c r="B164" s="2334"/>
      <c r="C164" s="2334"/>
      <c r="D164" s="2334"/>
      <c r="E164" s="2334"/>
      <c r="F164" s="2334"/>
      <c r="G164" s="2334"/>
      <c r="H164" s="2334"/>
    </row>
    <row r="165" spans="1:8">
      <c r="A165" s="2334"/>
      <c r="B165" s="2334"/>
      <c r="C165" s="2334"/>
      <c r="D165" s="2334"/>
      <c r="E165" s="2334"/>
      <c r="F165" s="2334"/>
      <c r="G165" s="2334"/>
      <c r="H165" s="2334"/>
    </row>
    <row r="166" spans="1:8">
      <c r="A166" s="2335" t="s">
        <v>1755</v>
      </c>
      <c r="B166" s="2334"/>
      <c r="C166" s="2334"/>
      <c r="D166" s="2334"/>
      <c r="E166" s="2334"/>
      <c r="F166" s="2334"/>
      <c r="G166" s="2334"/>
      <c r="H166" s="2334"/>
    </row>
    <row r="167" spans="1:8">
      <c r="A167" s="2335" t="s">
        <v>1756</v>
      </c>
      <c r="B167" s="2334"/>
      <c r="C167" s="2334"/>
      <c r="D167" s="2334"/>
      <c r="E167" s="2334"/>
      <c r="F167" s="2334"/>
      <c r="G167" s="2334"/>
      <c r="H167" s="2334"/>
    </row>
    <row r="168" spans="1:8">
      <c r="A168" s="2334"/>
      <c r="B168" s="2334"/>
      <c r="C168" s="2334"/>
      <c r="D168" s="2334"/>
      <c r="E168" s="2334"/>
      <c r="F168" s="2334"/>
      <c r="G168" s="2334"/>
      <c r="H168" s="2334"/>
    </row>
    <row r="169" spans="1:8">
      <c r="A169" s="2335" t="s">
        <v>1753</v>
      </c>
      <c r="B169" s="2334"/>
      <c r="C169" s="2334"/>
      <c r="D169" s="2334"/>
      <c r="E169" s="2334"/>
      <c r="F169" s="2334"/>
      <c r="G169" s="2334"/>
      <c r="H169" s="2334"/>
    </row>
    <row r="170" spans="1:8">
      <c r="A170" s="2335" t="s">
        <v>1754</v>
      </c>
      <c r="B170" s="2334"/>
      <c r="C170" s="2334"/>
      <c r="D170" s="2334"/>
      <c r="E170" s="2334"/>
      <c r="F170" s="2334"/>
      <c r="G170" s="2334"/>
      <c r="H170" s="2334"/>
    </row>
    <row r="171" spans="1:8">
      <c r="A171" s="2334"/>
      <c r="B171" s="2334"/>
      <c r="C171" s="2334"/>
      <c r="D171" s="2334"/>
      <c r="E171" s="2334"/>
      <c r="F171" s="2334"/>
      <c r="G171" s="2334"/>
      <c r="H171" s="2334"/>
    </row>
    <row r="172" spans="1:8">
      <c r="A172" s="2335" t="s">
        <v>1750</v>
      </c>
      <c r="B172" s="2334"/>
      <c r="C172" s="2334"/>
      <c r="D172" s="2334"/>
      <c r="E172" s="2334"/>
      <c r="F172" s="2334"/>
      <c r="G172" s="2334"/>
      <c r="H172" s="2334"/>
    </row>
    <row r="173" spans="1:8">
      <c r="A173" s="2335" t="s">
        <v>1751</v>
      </c>
      <c r="B173" s="2334"/>
      <c r="C173" s="2334"/>
      <c r="D173" s="2334"/>
      <c r="E173" s="2334"/>
      <c r="F173" s="2334"/>
      <c r="G173" s="2334"/>
      <c r="H173" s="2334"/>
    </row>
    <row r="174" spans="1:8">
      <c r="A174" s="2335" t="s">
        <v>1752</v>
      </c>
      <c r="B174" s="2334"/>
      <c r="C174" s="2334"/>
      <c r="D174" s="2334"/>
      <c r="E174" s="2334"/>
      <c r="F174" s="2334"/>
      <c r="G174" s="2334"/>
      <c r="H174" s="2334"/>
    </row>
    <row r="175" spans="1:8">
      <c r="A175" s="2334"/>
      <c r="B175" s="2334"/>
      <c r="C175" s="2334"/>
      <c r="D175" s="2334"/>
      <c r="E175" s="2334"/>
      <c r="F175" s="2334"/>
      <c r="G175" s="2334"/>
      <c r="H175" s="2334"/>
    </row>
    <row r="176" spans="1:8">
      <c r="A176" s="2334"/>
      <c r="B176" s="2334"/>
      <c r="C176" s="2334"/>
      <c r="D176" s="2334"/>
      <c r="E176" s="2334"/>
      <c r="F176" s="2334"/>
      <c r="G176" s="2334"/>
      <c r="H176" s="2334"/>
    </row>
    <row r="177" spans="1:8">
      <c r="A177" s="2335" t="s">
        <v>1126</v>
      </c>
      <c r="B177" s="2334"/>
      <c r="C177" s="2334"/>
      <c r="D177" s="2334"/>
      <c r="E177" s="2334"/>
      <c r="F177" s="2334"/>
      <c r="G177" s="2334"/>
      <c r="H177" s="2334"/>
    </row>
    <row r="178" spans="1:8">
      <c r="A178" s="2334"/>
      <c r="B178" s="2334"/>
      <c r="C178" s="2334"/>
      <c r="D178" s="2334"/>
      <c r="E178" s="2334"/>
      <c r="F178" s="2334"/>
      <c r="G178" s="2334"/>
      <c r="H178" s="2334"/>
    </row>
    <row r="179" spans="1:8" ht="15.75">
      <c r="A179" s="2336" t="s">
        <v>1583</v>
      </c>
      <c r="B179" s="2334"/>
      <c r="C179" s="2334"/>
      <c r="D179" s="2334"/>
      <c r="E179" s="2334"/>
      <c r="F179" s="2334"/>
      <c r="G179" s="2334"/>
      <c r="H179" s="2334"/>
    </row>
    <row r="180" spans="1:8">
      <c r="A180" s="2334"/>
      <c r="B180" s="2334"/>
      <c r="C180" s="2334"/>
      <c r="D180" s="2334"/>
      <c r="E180" s="2334"/>
      <c r="F180" s="2334"/>
      <c r="G180" s="2334"/>
      <c r="H180" s="2334"/>
    </row>
    <row r="181" spans="1:8">
      <c r="A181" s="2334"/>
      <c r="B181" s="2334"/>
      <c r="C181" s="2334"/>
      <c r="D181" s="2334"/>
      <c r="E181" s="2334"/>
      <c r="F181" s="2334"/>
      <c r="G181" s="2334"/>
      <c r="H181" s="2334"/>
    </row>
    <row r="182" spans="1:8">
      <c r="A182" s="2334"/>
      <c r="B182" s="2334"/>
      <c r="C182" s="2334"/>
      <c r="D182" s="2334"/>
      <c r="E182" s="2334"/>
      <c r="F182" s="2334"/>
      <c r="G182" s="2334"/>
      <c r="H182" s="2334"/>
    </row>
    <row r="183" spans="1:8">
      <c r="A183" s="2334"/>
      <c r="B183" s="2334"/>
      <c r="C183" s="2334"/>
      <c r="D183" s="2334"/>
      <c r="E183" s="2334"/>
      <c r="F183" s="2334"/>
      <c r="G183" s="2334"/>
      <c r="H183" s="2334"/>
    </row>
    <row r="184" spans="1:8">
      <c r="A184" s="2334"/>
      <c r="B184" s="2334"/>
      <c r="C184" s="2334"/>
      <c r="D184" s="2334"/>
      <c r="E184" s="2334"/>
      <c r="F184" s="2334"/>
      <c r="G184" s="2334"/>
      <c r="H184" s="2334"/>
    </row>
    <row r="185" spans="1:8">
      <c r="A185" s="2334"/>
      <c r="B185" s="2334"/>
      <c r="C185" s="2334"/>
      <c r="D185" s="2334"/>
      <c r="E185" s="2334"/>
      <c r="F185" s="2334"/>
      <c r="G185" s="2334"/>
      <c r="H185" s="2334"/>
    </row>
    <row r="186" spans="1:8">
      <c r="A186" s="2334"/>
      <c r="B186" s="2334"/>
      <c r="C186" s="2334"/>
      <c r="D186" s="2334"/>
      <c r="E186" s="2334"/>
      <c r="F186" s="2334"/>
      <c r="G186" s="2334"/>
      <c r="H186" s="2334"/>
    </row>
    <row r="187" spans="1:8">
      <c r="A187" s="2334"/>
      <c r="B187" s="2334"/>
      <c r="C187" s="2334"/>
      <c r="D187" s="2334"/>
      <c r="E187" s="2334"/>
      <c r="F187" s="2334"/>
      <c r="G187" s="2334"/>
      <c r="H187" s="2334"/>
    </row>
    <row r="188" spans="1:8">
      <c r="A188" s="2334"/>
      <c r="B188" s="2334"/>
      <c r="C188" s="2334"/>
      <c r="D188" s="2334"/>
      <c r="E188" s="2334"/>
      <c r="F188" s="2334"/>
      <c r="G188" s="2334"/>
      <c r="H188" s="2334"/>
    </row>
    <row r="189" spans="1:8">
      <c r="A189" s="2334"/>
      <c r="B189" s="2334"/>
      <c r="C189" s="2334"/>
      <c r="D189" s="2334"/>
      <c r="E189" s="2334"/>
      <c r="F189" s="2334"/>
      <c r="G189" s="2334"/>
      <c r="H189" s="2334"/>
    </row>
    <row r="190" spans="1:8">
      <c r="A190" s="2334"/>
      <c r="B190" s="2334"/>
      <c r="C190" s="2334"/>
      <c r="D190" s="2334"/>
      <c r="E190" s="2334"/>
      <c r="F190" s="2334"/>
      <c r="G190" s="2334"/>
      <c r="H190" s="2334"/>
    </row>
    <row r="191" spans="1:8">
      <c r="A191" s="2334"/>
      <c r="B191" s="2334"/>
      <c r="C191" s="2334"/>
      <c r="D191" s="2334"/>
      <c r="E191" s="2334"/>
      <c r="F191" s="2334"/>
      <c r="G191" s="2334"/>
      <c r="H191" s="2334"/>
    </row>
    <row r="192" spans="1:8">
      <c r="A192" s="2334"/>
      <c r="B192" s="2334"/>
      <c r="C192" s="2334"/>
      <c r="D192" s="2334"/>
      <c r="E192" s="2334"/>
      <c r="F192" s="2334"/>
      <c r="G192" s="2334"/>
      <c r="H192" s="2334"/>
    </row>
    <row r="193" spans="1:8">
      <c r="A193" s="2334"/>
      <c r="B193" s="2334"/>
      <c r="C193" s="2334"/>
      <c r="D193" s="2334"/>
      <c r="E193" s="2334"/>
      <c r="F193" s="2334"/>
      <c r="G193" s="2334"/>
      <c r="H193" s="2334"/>
    </row>
    <row r="194" spans="1:8">
      <c r="A194" s="2334"/>
      <c r="B194" s="2334"/>
      <c r="C194" s="2334"/>
      <c r="D194" s="2334"/>
      <c r="E194" s="2334"/>
      <c r="F194" s="2334"/>
      <c r="G194" s="2334"/>
      <c r="H194" s="2334"/>
    </row>
    <row r="195" spans="1:8">
      <c r="A195" s="2334"/>
      <c r="B195" s="2334"/>
      <c r="C195" s="2334"/>
      <c r="D195" s="2334"/>
      <c r="E195" s="2334"/>
      <c r="F195" s="2334"/>
      <c r="G195" s="2334"/>
      <c r="H195" s="2334"/>
    </row>
    <row r="196" spans="1:8">
      <c r="A196" s="2334"/>
      <c r="B196" s="2334"/>
      <c r="C196" s="2334"/>
      <c r="D196" s="2334"/>
      <c r="E196" s="2334"/>
      <c r="F196" s="2334"/>
      <c r="G196" s="2334"/>
      <c r="H196" s="2334"/>
    </row>
    <row r="197" spans="1:8">
      <c r="A197" s="2334"/>
      <c r="B197" s="2334"/>
      <c r="C197" s="2334"/>
      <c r="D197" s="2334"/>
      <c r="E197" s="2334"/>
      <c r="F197" s="2334"/>
      <c r="G197" s="2334"/>
      <c r="H197" s="2334"/>
    </row>
    <row r="198" spans="1:8">
      <c r="A198" s="2334"/>
      <c r="B198" s="2334"/>
      <c r="C198" s="2334"/>
      <c r="D198" s="2334"/>
      <c r="E198" s="2334"/>
      <c r="F198" s="2334"/>
      <c r="G198" s="2334"/>
      <c r="H198" s="2334"/>
    </row>
    <row r="199" spans="1:8">
      <c r="A199" s="2334"/>
      <c r="B199" s="2334"/>
      <c r="C199" s="2334"/>
      <c r="D199" s="2334"/>
      <c r="E199" s="2334"/>
      <c r="F199" s="2334"/>
      <c r="G199" s="2334"/>
      <c r="H199" s="2334"/>
    </row>
    <row r="200" spans="1:8">
      <c r="A200" s="2334"/>
      <c r="B200" s="2334"/>
      <c r="C200" s="2334"/>
      <c r="D200" s="2334"/>
      <c r="E200" s="2334"/>
      <c r="F200" s="2334"/>
      <c r="G200" s="2334"/>
      <c r="H200" s="2334"/>
    </row>
    <row r="201" spans="1:8">
      <c r="A201" s="2334"/>
      <c r="B201" s="2334"/>
      <c r="C201" s="2334"/>
      <c r="D201" s="2334"/>
      <c r="E201" s="2334"/>
      <c r="F201" s="2334"/>
      <c r="G201" s="2334"/>
      <c r="H201" s="2334"/>
    </row>
    <row r="202" spans="1:8">
      <c r="A202" s="2334"/>
      <c r="B202" s="2334"/>
      <c r="C202" s="2334"/>
      <c r="D202" s="2334"/>
      <c r="E202" s="2334"/>
      <c r="F202" s="2334"/>
      <c r="G202" s="2334"/>
      <c r="H202" s="2334"/>
    </row>
    <row r="203" spans="1:8">
      <c r="A203" s="2334"/>
      <c r="B203" s="2334"/>
      <c r="C203" s="2334"/>
      <c r="D203" s="2334"/>
      <c r="E203" s="2334"/>
      <c r="F203" s="2334"/>
      <c r="G203" s="2334"/>
      <c r="H203" s="2334"/>
    </row>
    <row r="204" spans="1:8">
      <c r="A204" s="2334"/>
      <c r="B204" s="2334"/>
      <c r="C204" s="2334"/>
      <c r="D204" s="2334"/>
      <c r="E204" s="2334"/>
      <c r="F204" s="2334"/>
      <c r="G204" s="2334"/>
      <c r="H204" s="2334"/>
    </row>
    <row r="205" spans="1:8">
      <c r="A205" s="2334"/>
      <c r="B205" s="2334"/>
      <c r="C205" s="2334"/>
      <c r="D205" s="2334"/>
      <c r="E205" s="2334"/>
      <c r="F205" s="2334"/>
      <c r="G205" s="2334"/>
      <c r="H205" s="2334"/>
    </row>
    <row r="206" spans="1:8" ht="15.75">
      <c r="A206" s="2336" t="s">
        <v>1584</v>
      </c>
      <c r="B206" s="2334"/>
      <c r="C206" s="2334"/>
      <c r="D206" s="2334"/>
      <c r="E206" s="2334"/>
      <c r="F206" s="2334"/>
      <c r="G206" s="2334"/>
      <c r="H206" s="2334"/>
    </row>
    <row r="207" spans="1:8">
      <c r="A207" s="2334"/>
      <c r="B207" s="2334"/>
      <c r="C207" s="2334"/>
      <c r="D207" s="2334"/>
      <c r="E207" s="2334"/>
      <c r="F207" s="2334"/>
      <c r="G207" s="2334"/>
      <c r="H207" s="2334"/>
    </row>
    <row r="208" spans="1:8">
      <c r="A208" s="2335" t="s">
        <v>1745</v>
      </c>
      <c r="B208" s="2334"/>
      <c r="C208" s="2334"/>
      <c r="D208" s="2334"/>
      <c r="E208" s="2334"/>
      <c r="F208" s="2334"/>
      <c r="G208" s="2334"/>
      <c r="H208" s="2334"/>
    </row>
    <row r="209" spans="1:8">
      <c r="A209" s="2335" t="s">
        <v>1746</v>
      </c>
      <c r="B209" s="2334"/>
      <c r="C209" s="2334"/>
      <c r="D209" s="2334"/>
      <c r="E209" s="2334"/>
      <c r="F209" s="2334"/>
      <c r="G209" s="2334"/>
      <c r="H209" s="2334"/>
    </row>
    <row r="210" spans="1:8">
      <c r="A210" s="2335" t="s">
        <v>1747</v>
      </c>
      <c r="B210" s="2334"/>
      <c r="C210" s="2334"/>
      <c r="D210" s="2334"/>
      <c r="E210" s="2334"/>
      <c r="F210" s="2334"/>
      <c r="G210" s="2334"/>
      <c r="H210" s="2334"/>
    </row>
    <row r="211" spans="1:8">
      <c r="A211" s="2335" t="s">
        <v>1748</v>
      </c>
      <c r="B211" s="2334"/>
      <c r="C211" s="2334"/>
      <c r="D211" s="2334"/>
      <c r="E211" s="2334"/>
      <c r="F211" s="2334"/>
      <c r="G211" s="2334"/>
      <c r="H211" s="2334"/>
    </row>
    <row r="212" spans="1:8">
      <c r="A212" s="2335" t="s">
        <v>1749</v>
      </c>
      <c r="B212" s="2334"/>
      <c r="C212" s="2334"/>
      <c r="D212" s="2334"/>
      <c r="E212" s="2334"/>
      <c r="F212" s="2334"/>
      <c r="G212" s="2334"/>
      <c r="H212" s="2334"/>
    </row>
    <row r="213" spans="1:8">
      <c r="A213" s="2334"/>
      <c r="B213" s="2334"/>
      <c r="C213" s="2334"/>
      <c r="D213" s="2334"/>
      <c r="E213" s="2334"/>
      <c r="F213" s="2334"/>
      <c r="G213" s="2334"/>
      <c r="H213" s="2334"/>
    </row>
    <row r="214" spans="1:8">
      <c r="A214" s="2335" t="s">
        <v>1742</v>
      </c>
      <c r="B214" s="2334"/>
      <c r="C214" s="2334"/>
      <c r="D214" s="2334"/>
      <c r="E214" s="2334"/>
      <c r="F214" s="2334"/>
      <c r="G214" s="2334"/>
      <c r="H214" s="2334"/>
    </row>
    <row r="215" spans="1:8">
      <c r="A215" s="2335" t="s">
        <v>1743</v>
      </c>
      <c r="B215" s="2334"/>
      <c r="C215" s="2334"/>
      <c r="D215" s="2334"/>
      <c r="E215" s="2334"/>
      <c r="F215" s="2334"/>
      <c r="G215" s="2334"/>
      <c r="H215" s="2334"/>
    </row>
    <row r="216" spans="1:8">
      <c r="A216" s="2335" t="s">
        <v>1744</v>
      </c>
      <c r="B216" s="2334"/>
      <c r="C216" s="2334"/>
      <c r="D216" s="2334"/>
      <c r="E216" s="2334"/>
      <c r="F216" s="2334"/>
      <c r="G216" s="2334"/>
      <c r="H216" s="2334"/>
    </row>
    <row r="217" spans="1:8" ht="15.75">
      <c r="A217" s="2336" t="s">
        <v>1585</v>
      </c>
      <c r="B217" s="2334"/>
      <c r="C217" s="2334"/>
      <c r="D217" s="2334"/>
      <c r="E217" s="2334"/>
      <c r="F217" s="2334"/>
      <c r="G217" s="2334"/>
      <c r="H217" s="2334"/>
    </row>
    <row r="218" spans="1:8">
      <c r="A218" s="2334"/>
      <c r="B218" s="2334"/>
      <c r="C218" s="2334"/>
      <c r="D218" s="2334"/>
      <c r="E218" s="2334"/>
      <c r="F218" s="2334"/>
      <c r="G218" s="2334"/>
      <c r="H218" s="2334"/>
    </row>
    <row r="219" spans="1:8">
      <c r="A219" s="2335" t="s">
        <v>1740</v>
      </c>
      <c r="B219" s="2334"/>
      <c r="C219" s="2334"/>
      <c r="D219" s="2334"/>
      <c r="E219" s="2334"/>
      <c r="F219" s="2334"/>
      <c r="G219" s="2334"/>
      <c r="H219" s="2334"/>
    </row>
    <row r="220" spans="1:8">
      <c r="A220" s="2335" t="s">
        <v>1741</v>
      </c>
      <c r="B220" s="2334"/>
      <c r="C220" s="2334"/>
      <c r="D220" s="2334"/>
      <c r="E220" s="2334"/>
      <c r="F220" s="2334"/>
      <c r="G220" s="2334"/>
      <c r="H220" s="2334"/>
    </row>
    <row r="221" spans="1:8">
      <c r="A221" s="2334"/>
      <c r="B221" s="2334"/>
      <c r="C221" s="2334"/>
      <c r="D221" s="2334"/>
      <c r="E221" s="2334"/>
      <c r="F221" s="2334"/>
      <c r="G221" s="2334"/>
      <c r="H221" s="2334"/>
    </row>
    <row r="222" spans="1:8">
      <c r="A222" s="2335" t="s">
        <v>1733</v>
      </c>
      <c r="B222" s="2334"/>
      <c r="C222" s="2334"/>
      <c r="D222" s="2334"/>
      <c r="E222" s="2334"/>
      <c r="F222" s="2334"/>
      <c r="G222" s="2334"/>
      <c r="H222" s="2334"/>
    </row>
    <row r="223" spans="1:8">
      <c r="A223" s="2335" t="s">
        <v>1734</v>
      </c>
      <c r="B223" s="2334"/>
      <c r="C223" s="2334"/>
      <c r="D223" s="2334"/>
      <c r="E223" s="2334"/>
      <c r="F223" s="2334"/>
      <c r="G223" s="2334"/>
      <c r="H223" s="2334"/>
    </row>
    <row r="224" spans="1:8">
      <c r="A224" s="2335" t="s">
        <v>1735</v>
      </c>
      <c r="B224" s="2334"/>
      <c r="C224" s="2334"/>
      <c r="D224" s="2334"/>
      <c r="E224" s="2334"/>
      <c r="F224" s="2334"/>
      <c r="G224" s="2334"/>
      <c r="H224" s="2334"/>
    </row>
    <row r="225" spans="1:8">
      <c r="A225" s="2335" t="s">
        <v>1736</v>
      </c>
      <c r="B225" s="2334"/>
      <c r="C225" s="2334"/>
      <c r="D225" s="2334"/>
      <c r="E225" s="2334"/>
      <c r="F225" s="2334"/>
      <c r="G225" s="2334"/>
      <c r="H225" s="2334"/>
    </row>
    <row r="226" spans="1:8">
      <c r="A226" s="2335" t="s">
        <v>1737</v>
      </c>
      <c r="B226" s="2334"/>
      <c r="C226" s="2334"/>
      <c r="D226" s="2334"/>
      <c r="E226" s="2334"/>
      <c r="F226" s="2334"/>
      <c r="G226" s="2334"/>
      <c r="H226" s="2334"/>
    </row>
    <row r="227" spans="1:8">
      <c r="A227" s="2335" t="s">
        <v>1738</v>
      </c>
      <c r="B227" s="2334"/>
      <c r="C227" s="2334"/>
      <c r="D227" s="2334"/>
      <c r="E227" s="2334"/>
      <c r="F227" s="2334"/>
      <c r="G227" s="2334"/>
      <c r="H227" s="2334"/>
    </row>
    <row r="228" spans="1:8">
      <c r="A228" s="2335" t="s">
        <v>1739</v>
      </c>
      <c r="B228" s="2334"/>
      <c r="C228" s="2334"/>
      <c r="D228" s="2334"/>
      <c r="E228" s="2334"/>
      <c r="F228" s="2334"/>
      <c r="G228" s="2334"/>
      <c r="H228" s="2334"/>
    </row>
    <row r="229" spans="1:8">
      <c r="A229" s="2334"/>
      <c r="B229" s="2334"/>
      <c r="C229" s="2334"/>
      <c r="D229" s="2334"/>
      <c r="E229" s="2334"/>
      <c r="F229" s="2334"/>
      <c r="G229" s="2334"/>
      <c r="H229" s="2334"/>
    </row>
    <row r="230" spans="1:8">
      <c r="A230" s="2335" t="s">
        <v>1730</v>
      </c>
      <c r="B230" s="2334"/>
      <c r="C230" s="2334"/>
      <c r="D230" s="2334"/>
      <c r="E230" s="2334"/>
      <c r="F230" s="2334"/>
      <c r="G230" s="2334"/>
      <c r="H230" s="2334"/>
    </row>
    <row r="231" spans="1:8">
      <c r="A231" s="2335" t="s">
        <v>1731</v>
      </c>
      <c r="B231" s="2334"/>
      <c r="C231" s="2334"/>
      <c r="D231" s="2334"/>
      <c r="E231" s="2334"/>
      <c r="F231" s="2334"/>
      <c r="G231" s="2334"/>
      <c r="H231" s="2334"/>
    </row>
    <row r="232" spans="1:8">
      <c r="A232" s="2335" t="s">
        <v>1732</v>
      </c>
      <c r="B232" s="2334"/>
      <c r="C232" s="2334"/>
      <c r="D232" s="2334"/>
      <c r="E232" s="2334"/>
      <c r="F232" s="2334"/>
      <c r="G232" s="2334"/>
      <c r="H232" s="2334"/>
    </row>
    <row r="233" spans="1:8">
      <c r="A233" s="2334"/>
      <c r="B233" s="2334"/>
      <c r="C233" s="2334"/>
      <c r="D233" s="2334"/>
      <c r="E233" s="2334"/>
      <c r="F233" s="2334"/>
      <c r="G233" s="2334"/>
      <c r="H233" s="2334"/>
    </row>
    <row r="234" spans="1:8">
      <c r="A234" s="2335" t="s">
        <v>1725</v>
      </c>
      <c r="B234" s="2334"/>
      <c r="C234" s="2334"/>
      <c r="D234" s="2334"/>
      <c r="E234" s="2334"/>
      <c r="F234" s="2334"/>
      <c r="G234" s="2334"/>
      <c r="H234" s="2334"/>
    </row>
    <row r="235" spans="1:8">
      <c r="A235" s="2335" t="s">
        <v>1726</v>
      </c>
      <c r="B235" s="2334"/>
      <c r="C235" s="2334"/>
      <c r="D235" s="2334"/>
      <c r="E235" s="2334"/>
      <c r="F235" s="2334"/>
      <c r="G235" s="2334"/>
      <c r="H235" s="2334"/>
    </row>
    <row r="236" spans="1:8">
      <c r="A236" s="2335" t="s">
        <v>1727</v>
      </c>
      <c r="B236" s="2334"/>
      <c r="C236" s="2334"/>
      <c r="D236" s="2334"/>
      <c r="E236" s="2334"/>
      <c r="F236" s="2334"/>
      <c r="G236" s="2334"/>
      <c r="H236" s="2334"/>
    </row>
    <row r="237" spans="1:8">
      <c r="A237" s="2335" t="s">
        <v>1728</v>
      </c>
      <c r="B237" s="2334"/>
      <c r="C237" s="2334"/>
      <c r="D237" s="2334"/>
      <c r="E237" s="2334"/>
      <c r="F237" s="2334"/>
      <c r="G237" s="2334"/>
      <c r="H237" s="2334"/>
    </row>
    <row r="238" spans="1:8">
      <c r="A238" s="2335" t="s">
        <v>1729</v>
      </c>
      <c r="B238" s="2334"/>
      <c r="C238" s="2334"/>
      <c r="D238" s="2334"/>
      <c r="E238" s="2334"/>
      <c r="F238" s="2334"/>
      <c r="G238" s="2334"/>
      <c r="H238" s="2334"/>
    </row>
    <row r="239" spans="1:8">
      <c r="A239" s="2334"/>
      <c r="B239" s="2334"/>
      <c r="C239" s="2334"/>
      <c r="D239" s="2334"/>
      <c r="E239" s="2334"/>
      <c r="F239" s="2334"/>
      <c r="G239" s="2334"/>
      <c r="H239" s="2334"/>
    </row>
    <row r="240" spans="1:8">
      <c r="A240" s="2335" t="s">
        <v>1719</v>
      </c>
      <c r="B240" s="2334"/>
      <c r="C240" s="2334"/>
      <c r="D240" s="2334"/>
      <c r="E240" s="2334"/>
      <c r="F240" s="2334"/>
      <c r="G240" s="2334"/>
      <c r="H240" s="2334"/>
    </row>
    <row r="241" spans="1:8">
      <c r="A241" s="2335" t="s">
        <v>1720</v>
      </c>
      <c r="B241" s="2334"/>
      <c r="C241" s="2334"/>
      <c r="D241" s="2334"/>
      <c r="E241" s="2334"/>
      <c r="F241" s="2334"/>
      <c r="G241" s="2334"/>
      <c r="H241" s="2334"/>
    </row>
    <row r="242" spans="1:8">
      <c r="A242" s="2335" t="s">
        <v>1721</v>
      </c>
      <c r="B242" s="2334"/>
      <c r="C242" s="2334"/>
      <c r="D242" s="2334"/>
      <c r="E242" s="2334"/>
      <c r="F242" s="2334"/>
      <c r="G242" s="2334"/>
      <c r="H242" s="2334"/>
    </row>
    <row r="243" spans="1:8">
      <c r="A243" s="2335" t="s">
        <v>1722</v>
      </c>
      <c r="B243" s="2334"/>
      <c r="C243" s="2334"/>
      <c r="D243" s="2334"/>
      <c r="E243" s="2334"/>
      <c r="F243" s="2334"/>
      <c r="G243" s="2334"/>
      <c r="H243" s="2334"/>
    </row>
    <row r="244" spans="1:8">
      <c r="A244" s="2335" t="s">
        <v>1723</v>
      </c>
      <c r="B244" s="2334"/>
      <c r="C244" s="2334"/>
      <c r="D244" s="2334"/>
      <c r="E244" s="2334"/>
      <c r="F244" s="2334"/>
      <c r="G244" s="2334"/>
      <c r="H244" s="2334"/>
    </row>
    <row r="245" spans="1:8">
      <c r="A245" s="2335" t="s">
        <v>1724</v>
      </c>
      <c r="B245" s="2334"/>
      <c r="C245" s="2334"/>
      <c r="D245" s="2334"/>
      <c r="E245" s="2334"/>
      <c r="F245" s="2334"/>
      <c r="G245" s="2334"/>
      <c r="H245" s="2334"/>
    </row>
    <row r="246" spans="1:8">
      <c r="A246" s="2334"/>
      <c r="B246" s="2334"/>
      <c r="C246" s="2334"/>
      <c r="D246" s="2334"/>
      <c r="E246" s="2334"/>
      <c r="F246" s="2334"/>
      <c r="G246" s="2334"/>
      <c r="H246" s="2334"/>
    </row>
    <row r="247" spans="1:8">
      <c r="A247" s="2335" t="s">
        <v>1709</v>
      </c>
      <c r="B247" s="2334"/>
      <c r="C247" s="2334"/>
      <c r="D247" s="2334"/>
      <c r="E247" s="2334"/>
      <c r="F247" s="2334"/>
      <c r="G247" s="2334"/>
      <c r="H247" s="2334"/>
    </row>
    <row r="248" spans="1:8">
      <c r="A248" s="2335" t="s">
        <v>1710</v>
      </c>
      <c r="B248" s="2334"/>
      <c r="C248" s="2334"/>
      <c r="D248" s="2334"/>
      <c r="E248" s="2334"/>
      <c r="F248" s="2334"/>
      <c r="G248" s="2334"/>
      <c r="H248" s="2334"/>
    </row>
    <row r="249" spans="1:8">
      <c r="A249" s="2335" t="s">
        <v>1711</v>
      </c>
      <c r="B249" s="2334"/>
      <c r="C249" s="2334"/>
      <c r="D249" s="2334"/>
      <c r="E249" s="2334"/>
      <c r="F249" s="2334"/>
      <c r="G249" s="2334"/>
      <c r="H249" s="2334"/>
    </row>
    <row r="250" spans="1:8">
      <c r="A250" s="2335" t="s">
        <v>1712</v>
      </c>
      <c r="B250" s="2334"/>
      <c r="C250" s="2334"/>
      <c r="D250" s="2334"/>
      <c r="E250" s="2334"/>
      <c r="F250" s="2334"/>
      <c r="G250" s="2334"/>
      <c r="H250" s="2334"/>
    </row>
    <row r="251" spans="1:8">
      <c r="A251" s="2335" t="s">
        <v>1713</v>
      </c>
      <c r="B251" s="2334"/>
      <c r="C251" s="2334"/>
      <c r="D251" s="2334"/>
      <c r="E251" s="2334"/>
      <c r="F251" s="2334"/>
      <c r="G251" s="2334"/>
      <c r="H251" s="2334"/>
    </row>
    <row r="252" spans="1:8">
      <c r="A252" s="2335" t="s">
        <v>1714</v>
      </c>
      <c r="B252" s="2334"/>
      <c r="C252" s="2334"/>
      <c r="D252" s="2334"/>
      <c r="E252" s="2334"/>
      <c r="F252" s="2334"/>
      <c r="G252" s="2334"/>
      <c r="H252" s="2334"/>
    </row>
    <row r="253" spans="1:8">
      <c r="A253" s="2335" t="s">
        <v>1715</v>
      </c>
      <c r="B253" s="2334"/>
      <c r="C253" s="2334"/>
      <c r="D253" s="2334"/>
      <c r="E253" s="2334"/>
      <c r="F253" s="2334"/>
      <c r="G253" s="2334"/>
      <c r="H253" s="2334"/>
    </row>
    <row r="254" spans="1:8">
      <c r="A254" s="2335" t="s">
        <v>1716</v>
      </c>
      <c r="B254" s="2334"/>
      <c r="C254" s="2334"/>
      <c r="D254" s="2334"/>
      <c r="E254" s="2334"/>
      <c r="F254" s="2334"/>
      <c r="G254" s="2334"/>
      <c r="H254" s="2334"/>
    </row>
    <row r="255" spans="1:8">
      <c r="A255" s="2335" t="s">
        <v>1717</v>
      </c>
      <c r="B255" s="2334"/>
      <c r="C255" s="2334"/>
      <c r="D255" s="2334"/>
      <c r="E255" s="2334"/>
      <c r="F255" s="2334"/>
      <c r="G255" s="2334"/>
      <c r="H255" s="2334"/>
    </row>
    <row r="256" spans="1:8">
      <c r="A256" s="2335" t="s">
        <v>1718</v>
      </c>
      <c r="B256" s="2334"/>
      <c r="C256" s="2334"/>
      <c r="D256" s="2334"/>
      <c r="E256" s="2334"/>
      <c r="F256" s="2334"/>
      <c r="G256" s="2334"/>
      <c r="H256" s="2334"/>
    </row>
    <row r="257" spans="1:8">
      <c r="A257" s="2334"/>
      <c r="B257" s="2334"/>
      <c r="C257" s="2334"/>
      <c r="D257" s="2334"/>
      <c r="E257" s="2334"/>
      <c r="F257" s="2334"/>
      <c r="G257" s="2334"/>
      <c r="H257" s="2334"/>
    </row>
    <row r="258" spans="1:8">
      <c r="A258" s="2335" t="s">
        <v>1707</v>
      </c>
      <c r="B258" s="2334"/>
      <c r="C258" s="2334"/>
      <c r="D258" s="2334"/>
      <c r="E258" s="2334"/>
      <c r="F258" s="2334"/>
      <c r="G258" s="2334"/>
      <c r="H258" s="2334"/>
    </row>
    <row r="259" spans="1:8">
      <c r="A259" s="2335" t="s">
        <v>1708</v>
      </c>
      <c r="B259" s="2334"/>
      <c r="C259" s="2334"/>
      <c r="D259" s="2334"/>
      <c r="E259" s="2334"/>
      <c r="F259" s="2334"/>
      <c r="G259" s="2334"/>
      <c r="H259" s="2334"/>
    </row>
    <row r="260" spans="1:8">
      <c r="A260" s="2334"/>
      <c r="B260" s="2334"/>
      <c r="C260" s="2334"/>
      <c r="D260" s="2334"/>
      <c r="E260" s="2334"/>
      <c r="F260" s="2334"/>
      <c r="G260" s="2334"/>
      <c r="H260" s="2334"/>
    </row>
    <row r="261" spans="1:8">
      <c r="A261" s="2335" t="s">
        <v>1691</v>
      </c>
      <c r="B261" s="2334"/>
      <c r="C261" s="2334"/>
      <c r="D261" s="2334"/>
      <c r="E261" s="2334"/>
      <c r="F261" s="2334"/>
      <c r="G261" s="2334"/>
      <c r="H261" s="2334"/>
    </row>
    <row r="262" spans="1:8">
      <c r="A262" s="2335" t="s">
        <v>1692</v>
      </c>
      <c r="B262" s="2334"/>
      <c r="C262" s="2334"/>
      <c r="D262" s="2334"/>
      <c r="E262" s="2334"/>
      <c r="F262" s="2334"/>
      <c r="G262" s="2334"/>
      <c r="H262" s="2334"/>
    </row>
    <row r="263" spans="1:8">
      <c r="A263" s="2335" t="s">
        <v>1693</v>
      </c>
      <c r="B263" s="2334"/>
      <c r="C263" s="2334"/>
      <c r="D263" s="2334"/>
      <c r="E263" s="2334"/>
      <c r="F263" s="2334"/>
      <c r="G263" s="2334"/>
      <c r="H263" s="2334"/>
    </row>
    <row r="264" spans="1:8">
      <c r="A264" s="2335" t="s">
        <v>1694</v>
      </c>
      <c r="B264" s="2334"/>
      <c r="C264" s="2334"/>
      <c r="D264" s="2334"/>
      <c r="E264" s="2334"/>
      <c r="F264" s="2334"/>
      <c r="G264" s="2334"/>
      <c r="H264" s="2334"/>
    </row>
    <row r="265" spans="1:8">
      <c r="A265" s="2335" t="s">
        <v>1695</v>
      </c>
      <c r="B265" s="2334"/>
      <c r="C265" s="2334"/>
      <c r="D265" s="2334"/>
      <c r="E265" s="2334"/>
      <c r="F265" s="2334"/>
      <c r="G265" s="2334"/>
      <c r="H265" s="2334"/>
    </row>
    <row r="266" spans="1:8">
      <c r="A266" s="2335" t="s">
        <v>1696</v>
      </c>
      <c r="B266" s="2334"/>
      <c r="C266" s="2334"/>
      <c r="D266" s="2334"/>
      <c r="E266" s="2334"/>
      <c r="F266" s="2334"/>
      <c r="G266" s="2334"/>
      <c r="H266" s="2334"/>
    </row>
    <row r="267" spans="1:8">
      <c r="A267" s="2335" t="s">
        <v>1697</v>
      </c>
      <c r="B267" s="2334"/>
      <c r="C267" s="2334"/>
      <c r="D267" s="2334"/>
      <c r="E267" s="2334"/>
      <c r="F267" s="2334"/>
      <c r="G267" s="2334"/>
      <c r="H267" s="2334"/>
    </row>
    <row r="268" spans="1:8">
      <c r="A268" s="2335" t="s">
        <v>1698</v>
      </c>
      <c r="B268" s="2334"/>
      <c r="C268" s="2334"/>
      <c r="D268" s="2334"/>
      <c r="E268" s="2334"/>
      <c r="F268" s="2334"/>
      <c r="G268" s="2334"/>
      <c r="H268" s="2334"/>
    </row>
    <row r="269" spans="1:8">
      <c r="A269" s="2335" t="s">
        <v>1699</v>
      </c>
      <c r="B269" s="2334"/>
      <c r="C269" s="2334"/>
      <c r="D269" s="2334"/>
      <c r="E269" s="2334"/>
      <c r="F269" s="2334"/>
      <c r="G269" s="2334"/>
      <c r="H269" s="2334"/>
    </row>
    <row r="270" spans="1:8">
      <c r="A270" s="2335" t="s">
        <v>1700</v>
      </c>
      <c r="B270" s="2334"/>
      <c r="C270" s="2334"/>
      <c r="D270" s="2334"/>
      <c r="E270" s="2334"/>
      <c r="F270" s="2334"/>
      <c r="G270" s="2334"/>
      <c r="H270" s="2334"/>
    </row>
    <row r="271" spans="1:8">
      <c r="A271" s="2335" t="s">
        <v>1701</v>
      </c>
      <c r="B271" s="2334"/>
      <c r="C271" s="2334"/>
      <c r="D271" s="2334"/>
      <c r="E271" s="2334"/>
      <c r="F271" s="2334"/>
      <c r="G271" s="2334"/>
      <c r="H271" s="2334"/>
    </row>
    <row r="272" spans="1:8">
      <c r="A272" s="2335" t="s">
        <v>1702</v>
      </c>
      <c r="B272" s="2334"/>
      <c r="C272" s="2334"/>
      <c r="D272" s="2334"/>
      <c r="E272" s="2334"/>
      <c r="F272" s="2334"/>
      <c r="G272" s="2334"/>
      <c r="H272" s="2334"/>
    </row>
    <row r="273" spans="1:8">
      <c r="A273" s="2335" t="s">
        <v>1703</v>
      </c>
      <c r="B273" s="2334"/>
      <c r="C273" s="2334"/>
      <c r="D273" s="2334"/>
      <c r="E273" s="2334"/>
      <c r="F273" s="2334"/>
      <c r="G273" s="2334"/>
      <c r="H273" s="2334"/>
    </row>
    <row r="274" spans="1:8">
      <c r="A274" s="2335" t="s">
        <v>1704</v>
      </c>
      <c r="B274" s="2334"/>
      <c r="C274" s="2334"/>
      <c r="D274" s="2334"/>
      <c r="E274" s="2334"/>
      <c r="F274" s="2334"/>
      <c r="G274" s="2334"/>
      <c r="H274" s="2334"/>
    </row>
    <row r="275" spans="1:8">
      <c r="A275" s="2335" t="s">
        <v>1705</v>
      </c>
      <c r="B275" s="2334"/>
      <c r="C275" s="2334"/>
      <c r="D275" s="2334"/>
      <c r="E275" s="2334"/>
      <c r="F275" s="2334"/>
      <c r="G275" s="2334"/>
      <c r="H275" s="2334"/>
    </row>
    <row r="276" spans="1:8">
      <c r="A276" s="2335" t="s">
        <v>1706</v>
      </c>
      <c r="B276" s="2334"/>
      <c r="C276" s="2334"/>
      <c r="D276" s="2334"/>
      <c r="E276" s="2334"/>
      <c r="F276" s="2334"/>
      <c r="G276" s="2334"/>
      <c r="H276" s="2334"/>
    </row>
    <row r="277" spans="1:8">
      <c r="A277" s="2334"/>
      <c r="B277" s="2334"/>
      <c r="C277" s="2334"/>
      <c r="D277" s="2334"/>
      <c r="E277" s="2334"/>
      <c r="F277" s="2334"/>
      <c r="G277" s="2334"/>
      <c r="H277" s="2334"/>
    </row>
    <row r="278" spans="1:8">
      <c r="A278" s="2335" t="s">
        <v>1684</v>
      </c>
      <c r="B278" s="2334"/>
      <c r="C278" s="2334"/>
      <c r="D278" s="2334"/>
      <c r="E278" s="2334"/>
      <c r="F278" s="2334"/>
      <c r="G278" s="2334"/>
      <c r="H278" s="2334"/>
    </row>
    <row r="279" spans="1:8">
      <c r="A279" s="2335" t="s">
        <v>1685</v>
      </c>
      <c r="B279" s="2334"/>
      <c r="C279" s="2334"/>
      <c r="D279" s="2334"/>
      <c r="E279" s="2334"/>
      <c r="F279" s="2334"/>
      <c r="G279" s="2334"/>
      <c r="H279" s="2334"/>
    </row>
    <row r="280" spans="1:8">
      <c r="A280" s="2335" t="s">
        <v>1686</v>
      </c>
      <c r="B280" s="2334"/>
      <c r="C280" s="2334"/>
      <c r="D280" s="2334"/>
      <c r="E280" s="2334"/>
      <c r="F280" s="2334"/>
      <c r="G280" s="2334"/>
      <c r="H280" s="2334"/>
    </row>
    <row r="281" spans="1:8">
      <c r="A281" s="2335" t="s">
        <v>1687</v>
      </c>
      <c r="B281" s="2334"/>
      <c r="C281" s="2334"/>
      <c r="D281" s="2334"/>
      <c r="E281" s="2334"/>
      <c r="F281" s="2334"/>
      <c r="G281" s="2334"/>
      <c r="H281" s="2334"/>
    </row>
    <row r="282" spans="1:8">
      <c r="A282" s="2335" t="s">
        <v>1688</v>
      </c>
      <c r="B282" s="2334"/>
      <c r="C282" s="2334"/>
      <c r="D282" s="2334"/>
      <c r="E282" s="2334"/>
      <c r="F282" s="2334"/>
      <c r="G282" s="2334"/>
      <c r="H282" s="2334"/>
    </row>
    <row r="283" spans="1:8">
      <c r="A283" s="2335" t="s">
        <v>1689</v>
      </c>
      <c r="B283" s="2334"/>
      <c r="C283" s="2334"/>
      <c r="D283" s="2334"/>
      <c r="E283" s="2334"/>
      <c r="F283" s="2334"/>
      <c r="G283" s="2334"/>
      <c r="H283" s="2334"/>
    </row>
    <row r="284" spans="1:8">
      <c r="A284" s="2335" t="s">
        <v>1690</v>
      </c>
      <c r="B284" s="2334"/>
      <c r="C284" s="2334"/>
      <c r="D284" s="2334"/>
      <c r="E284" s="2334"/>
      <c r="F284" s="2334"/>
      <c r="G284" s="2334"/>
      <c r="H284" s="2334"/>
    </row>
    <row r="285" spans="1:8">
      <c r="A285" s="2334"/>
      <c r="B285" s="2334"/>
      <c r="C285" s="2334"/>
      <c r="D285" s="2334"/>
      <c r="E285" s="2334"/>
      <c r="F285" s="2334"/>
      <c r="G285" s="2334"/>
      <c r="H285" s="2334"/>
    </row>
    <row r="286" spans="1:8">
      <c r="A286" s="2335" t="s">
        <v>1675</v>
      </c>
      <c r="B286" s="2334"/>
      <c r="C286" s="2334"/>
      <c r="D286" s="2334"/>
      <c r="E286" s="2334"/>
      <c r="F286" s="2334"/>
      <c r="G286" s="2334"/>
      <c r="H286" s="2334"/>
    </row>
    <row r="287" spans="1:8">
      <c r="A287" s="2335" t="s">
        <v>1676</v>
      </c>
      <c r="B287" s="2334"/>
      <c r="C287" s="2334"/>
      <c r="D287" s="2334"/>
      <c r="E287" s="2334"/>
      <c r="F287" s="2334"/>
      <c r="G287" s="2334"/>
      <c r="H287" s="2334"/>
    </row>
    <row r="288" spans="1:8">
      <c r="A288" s="2335" t="s">
        <v>1677</v>
      </c>
      <c r="B288" s="2334"/>
      <c r="C288" s="2334"/>
      <c r="D288" s="2334"/>
      <c r="E288" s="2334"/>
      <c r="F288" s="2334"/>
      <c r="G288" s="2334"/>
      <c r="H288" s="2334"/>
    </row>
    <row r="289" spans="1:8">
      <c r="A289" s="2335" t="s">
        <v>1678</v>
      </c>
      <c r="B289" s="2334"/>
      <c r="C289" s="2334"/>
      <c r="D289" s="2334"/>
      <c r="E289" s="2334"/>
      <c r="F289" s="2334"/>
      <c r="G289" s="2334"/>
      <c r="H289" s="2334"/>
    </row>
    <row r="290" spans="1:8">
      <c r="A290" s="2335" t="s">
        <v>1679</v>
      </c>
      <c r="B290" s="2334"/>
      <c r="C290" s="2334"/>
      <c r="D290" s="2334"/>
      <c r="E290" s="2334"/>
      <c r="F290" s="2334"/>
      <c r="G290" s="2334"/>
      <c r="H290" s="2334"/>
    </row>
    <row r="291" spans="1:8">
      <c r="A291" s="2335" t="s">
        <v>1680</v>
      </c>
      <c r="B291" s="2334"/>
      <c r="C291" s="2334"/>
      <c r="D291" s="2334"/>
      <c r="E291" s="2334"/>
      <c r="F291" s="2334"/>
      <c r="G291" s="2334"/>
      <c r="H291" s="2334"/>
    </row>
    <row r="292" spans="1:8">
      <c r="A292" s="2335" t="s">
        <v>1681</v>
      </c>
      <c r="B292" s="2334"/>
      <c r="C292" s="2334"/>
      <c r="D292" s="2334"/>
      <c r="E292" s="2334"/>
      <c r="F292" s="2334"/>
      <c r="G292" s="2334"/>
      <c r="H292" s="2334"/>
    </row>
    <row r="293" spans="1:8">
      <c r="A293" s="2335" t="s">
        <v>1682</v>
      </c>
      <c r="B293" s="2334"/>
      <c r="C293" s="2334"/>
      <c r="D293" s="2334"/>
      <c r="E293" s="2334"/>
      <c r="F293" s="2334"/>
      <c r="G293" s="2334"/>
      <c r="H293" s="2334"/>
    </row>
    <row r="294" spans="1:8">
      <c r="A294" s="2335" t="s">
        <v>1683</v>
      </c>
      <c r="B294" s="2334"/>
      <c r="C294" s="2334"/>
      <c r="D294" s="2334"/>
      <c r="E294" s="2334"/>
      <c r="F294" s="2334"/>
      <c r="G294" s="2334"/>
      <c r="H294" s="2334"/>
    </row>
    <row r="295" spans="1:8">
      <c r="A295" s="2334"/>
      <c r="B295" s="2334"/>
      <c r="C295" s="2334"/>
      <c r="D295" s="2334"/>
      <c r="E295" s="2334"/>
      <c r="F295" s="2334"/>
      <c r="G295" s="2334"/>
      <c r="H295" s="2334"/>
    </row>
    <row r="296" spans="1:8">
      <c r="A296" s="2335" t="s">
        <v>1668</v>
      </c>
      <c r="B296" s="2334"/>
      <c r="C296" s="2334"/>
      <c r="D296" s="2334"/>
      <c r="E296" s="2334"/>
      <c r="F296" s="2334"/>
      <c r="G296" s="2334"/>
      <c r="H296" s="2334"/>
    </row>
    <row r="297" spans="1:8">
      <c r="A297" s="2335" t="s">
        <v>1669</v>
      </c>
      <c r="B297" s="2334"/>
      <c r="C297" s="2334"/>
      <c r="D297" s="2334"/>
      <c r="E297" s="2334"/>
      <c r="F297" s="2334"/>
      <c r="G297" s="2334"/>
      <c r="H297" s="2334"/>
    </row>
    <row r="298" spans="1:8">
      <c r="A298" s="2335" t="s">
        <v>1670</v>
      </c>
      <c r="B298" s="2334"/>
      <c r="C298" s="2334"/>
      <c r="D298" s="2334"/>
      <c r="E298" s="2334"/>
      <c r="F298" s="2334"/>
      <c r="G298" s="2334"/>
      <c r="H298" s="2334"/>
    </row>
    <row r="299" spans="1:8">
      <c r="A299" s="2335" t="s">
        <v>1671</v>
      </c>
      <c r="B299" s="2334"/>
      <c r="C299" s="2334"/>
      <c r="D299" s="2334"/>
      <c r="E299" s="2334"/>
      <c r="F299" s="2334"/>
      <c r="G299" s="2334"/>
      <c r="H299" s="2334"/>
    </row>
    <row r="300" spans="1:8">
      <c r="A300" s="2335" t="s">
        <v>1672</v>
      </c>
      <c r="B300" s="2334"/>
      <c r="C300" s="2334"/>
      <c r="D300" s="2334"/>
      <c r="E300" s="2334"/>
      <c r="F300" s="2334"/>
      <c r="G300" s="2334"/>
      <c r="H300" s="2334"/>
    </row>
    <row r="301" spans="1:8">
      <c r="A301" s="2335" t="s">
        <v>1673</v>
      </c>
      <c r="B301" s="2334"/>
      <c r="C301" s="2334"/>
      <c r="D301" s="2334"/>
      <c r="E301" s="2334"/>
      <c r="F301" s="2334"/>
      <c r="G301" s="2334"/>
      <c r="H301" s="2334"/>
    </row>
    <row r="302" spans="1:8">
      <c r="A302" s="2335" t="s">
        <v>1674</v>
      </c>
      <c r="B302" s="2334"/>
      <c r="C302" s="2334"/>
      <c r="D302" s="2334"/>
      <c r="E302" s="2334"/>
      <c r="F302" s="2334"/>
      <c r="G302" s="2334"/>
      <c r="H302" s="2334"/>
    </row>
    <row r="303" spans="1:8">
      <c r="A303" s="2334"/>
      <c r="B303" s="2334"/>
      <c r="C303" s="2334"/>
      <c r="D303" s="2334"/>
      <c r="E303" s="2334"/>
      <c r="F303" s="2334"/>
      <c r="G303" s="2334"/>
      <c r="H303" s="2334"/>
    </row>
    <row r="304" spans="1:8">
      <c r="A304" s="2335" t="s">
        <v>1665</v>
      </c>
      <c r="B304" s="2334"/>
      <c r="C304" s="2334"/>
      <c r="D304" s="2334"/>
      <c r="E304" s="2334"/>
      <c r="F304" s="2334"/>
      <c r="G304" s="2334"/>
      <c r="H304" s="2334"/>
    </row>
    <row r="305" spans="1:8">
      <c r="A305" s="2335" t="s">
        <v>1666</v>
      </c>
      <c r="B305" s="2334"/>
      <c r="C305" s="2334"/>
      <c r="D305" s="2334"/>
      <c r="E305" s="2334"/>
      <c r="F305" s="2334"/>
      <c r="G305" s="2334"/>
      <c r="H305" s="2334"/>
    </row>
    <row r="306" spans="1:8">
      <c r="A306" s="2335" t="s">
        <v>1667</v>
      </c>
      <c r="B306" s="2334"/>
      <c r="C306" s="2334"/>
      <c r="D306" s="2334"/>
      <c r="E306" s="2334"/>
      <c r="F306" s="2334"/>
      <c r="G306" s="2334"/>
      <c r="H306" s="2334"/>
    </row>
    <row r="307" spans="1:8">
      <c r="A307" s="2334"/>
      <c r="B307" s="2334"/>
      <c r="C307" s="2334"/>
      <c r="D307" s="2334"/>
      <c r="E307" s="2334"/>
      <c r="F307" s="2334"/>
      <c r="G307" s="2334"/>
      <c r="H307" s="2334"/>
    </row>
    <row r="308" spans="1:8">
      <c r="A308" s="2335" t="s">
        <v>1663</v>
      </c>
      <c r="B308" s="2334"/>
      <c r="C308" s="2334"/>
      <c r="D308" s="2334"/>
      <c r="E308" s="2334"/>
      <c r="F308" s="2334"/>
      <c r="G308" s="2334"/>
      <c r="H308" s="2334"/>
    </row>
    <row r="309" spans="1:8">
      <c r="A309" s="2335" t="s">
        <v>1664</v>
      </c>
      <c r="B309" s="2334"/>
      <c r="C309" s="2334"/>
      <c r="D309" s="2334"/>
      <c r="E309" s="2334"/>
      <c r="F309" s="2334"/>
      <c r="G309" s="2334"/>
      <c r="H309" s="2334"/>
    </row>
    <row r="310" spans="1:8">
      <c r="A310" s="2334"/>
      <c r="B310" s="2334"/>
      <c r="C310" s="2334"/>
      <c r="D310" s="2334"/>
      <c r="E310" s="2334"/>
      <c r="F310" s="2334"/>
      <c r="G310" s="2334"/>
      <c r="H310" s="2334"/>
    </row>
    <row r="311" spans="1:8">
      <c r="A311" s="2335" t="s">
        <v>1650</v>
      </c>
      <c r="B311" s="2334"/>
      <c r="C311" s="2334"/>
      <c r="D311" s="2334"/>
      <c r="E311" s="2334"/>
      <c r="F311" s="2334"/>
      <c r="G311" s="2334"/>
      <c r="H311" s="2334"/>
    </row>
    <row r="312" spans="1:8">
      <c r="A312" s="2335" t="s">
        <v>1651</v>
      </c>
      <c r="B312" s="2334"/>
      <c r="C312" s="2334"/>
      <c r="D312" s="2334"/>
      <c r="E312" s="2334"/>
      <c r="F312" s="2334"/>
      <c r="G312" s="2334"/>
      <c r="H312" s="2334"/>
    </row>
    <row r="313" spans="1:8">
      <c r="A313" s="2335" t="s">
        <v>1652</v>
      </c>
      <c r="B313" s="2334"/>
      <c r="C313" s="2334"/>
      <c r="D313" s="2334"/>
      <c r="E313" s="2334"/>
      <c r="F313" s="2334"/>
      <c r="G313" s="2334"/>
      <c r="H313" s="2334"/>
    </row>
    <row r="314" spans="1:8">
      <c r="A314" s="2335" t="s">
        <v>1653</v>
      </c>
      <c r="B314" s="2334"/>
      <c r="C314" s="2334"/>
      <c r="D314" s="2334"/>
      <c r="E314" s="2334"/>
      <c r="F314" s="2334"/>
      <c r="G314" s="2334"/>
      <c r="H314" s="2334"/>
    </row>
    <row r="315" spans="1:8">
      <c r="A315" s="2335" t="s">
        <v>1654</v>
      </c>
      <c r="B315" s="2334"/>
      <c r="C315" s="2334"/>
      <c r="D315" s="2334"/>
      <c r="E315" s="2334"/>
      <c r="F315" s="2334"/>
      <c r="G315" s="2334"/>
      <c r="H315" s="2334"/>
    </row>
    <row r="316" spans="1:8">
      <c r="A316" s="2335" t="s">
        <v>1655</v>
      </c>
      <c r="B316" s="2334"/>
      <c r="C316" s="2334"/>
      <c r="D316" s="2334"/>
      <c r="E316" s="2334"/>
      <c r="F316" s="2334"/>
      <c r="G316" s="2334"/>
      <c r="H316" s="2334"/>
    </row>
    <row r="317" spans="1:8">
      <c r="A317" s="2335" t="s">
        <v>1656</v>
      </c>
      <c r="B317" s="2334"/>
      <c r="C317" s="2334"/>
      <c r="D317" s="2334"/>
      <c r="E317" s="2334"/>
      <c r="F317" s="2334"/>
      <c r="G317" s="2334"/>
      <c r="H317" s="2334"/>
    </row>
    <row r="318" spans="1:8">
      <c r="A318" s="2335" t="s">
        <v>1657</v>
      </c>
      <c r="B318" s="2334"/>
      <c r="C318" s="2334"/>
      <c r="D318" s="2334"/>
      <c r="E318" s="2334"/>
      <c r="F318" s="2334"/>
      <c r="G318" s="2334"/>
      <c r="H318" s="2334"/>
    </row>
    <row r="319" spans="1:8">
      <c r="A319" s="2335" t="s">
        <v>1658</v>
      </c>
      <c r="B319" s="2334"/>
      <c r="C319" s="2334"/>
      <c r="D319" s="2334"/>
      <c r="E319" s="2334"/>
      <c r="F319" s="2334"/>
      <c r="G319" s="2334"/>
      <c r="H319" s="2334"/>
    </row>
    <row r="320" spans="1:8">
      <c r="A320" s="2335" t="s">
        <v>1659</v>
      </c>
      <c r="B320" s="2334"/>
      <c r="C320" s="2334"/>
      <c r="D320" s="2334"/>
      <c r="E320" s="2334"/>
      <c r="F320" s="2334"/>
      <c r="G320" s="2334"/>
      <c r="H320" s="2334"/>
    </row>
    <row r="321" spans="1:8">
      <c r="A321" s="2335" t="s">
        <v>1660</v>
      </c>
      <c r="B321" s="2334"/>
      <c r="C321" s="2334"/>
      <c r="D321" s="2334"/>
      <c r="E321" s="2334"/>
      <c r="F321" s="2334"/>
      <c r="G321" s="2334"/>
      <c r="H321" s="2334"/>
    </row>
    <row r="322" spans="1:8">
      <c r="A322" s="2335" t="s">
        <v>1661</v>
      </c>
      <c r="B322" s="2334"/>
      <c r="C322" s="2334"/>
      <c r="D322" s="2334"/>
      <c r="E322" s="2334"/>
      <c r="F322" s="2334"/>
      <c r="G322" s="2334"/>
      <c r="H322" s="2334"/>
    </row>
    <row r="323" spans="1:8">
      <c r="A323" s="2335" t="s">
        <v>1662</v>
      </c>
      <c r="B323" s="2334"/>
      <c r="C323" s="2334"/>
      <c r="D323" s="2334"/>
      <c r="E323" s="2334"/>
      <c r="F323" s="2334"/>
      <c r="G323" s="2334"/>
      <c r="H323" s="2334"/>
    </row>
    <row r="324" spans="1:8">
      <c r="A324" s="2334"/>
      <c r="B324" s="2334"/>
      <c r="C324" s="2334"/>
      <c r="D324" s="2334"/>
      <c r="E324" s="2334"/>
      <c r="F324" s="2334"/>
      <c r="G324" s="2334"/>
      <c r="H324" s="2334"/>
    </row>
    <row r="325" spans="1:8">
      <c r="A325" s="2335" t="s">
        <v>1642</v>
      </c>
      <c r="B325" s="2334"/>
      <c r="C325" s="2334"/>
      <c r="D325" s="2334"/>
      <c r="E325" s="2334"/>
      <c r="F325" s="2334"/>
      <c r="G325" s="2334"/>
      <c r="H325" s="2334"/>
    </row>
    <row r="326" spans="1:8">
      <c r="A326" s="2335" t="s">
        <v>1643</v>
      </c>
      <c r="B326" s="2334"/>
      <c r="C326" s="2334"/>
      <c r="D326" s="2334"/>
      <c r="E326" s="2334"/>
      <c r="F326" s="2334"/>
      <c r="G326" s="2334"/>
      <c r="H326" s="2334"/>
    </row>
    <row r="327" spans="1:8">
      <c r="A327" s="2335" t="s">
        <v>1644</v>
      </c>
      <c r="B327" s="2334"/>
      <c r="C327" s="2334"/>
      <c r="D327" s="2334"/>
      <c r="E327" s="2334"/>
      <c r="F327" s="2334"/>
      <c r="G327" s="2334"/>
      <c r="H327" s="2334"/>
    </row>
    <row r="328" spans="1:8">
      <c r="A328" s="2335" t="s">
        <v>1645</v>
      </c>
      <c r="B328" s="2334"/>
      <c r="C328" s="2334"/>
      <c r="D328" s="2334"/>
      <c r="E328" s="2334"/>
      <c r="F328" s="2334"/>
      <c r="G328" s="2334"/>
      <c r="H328" s="2334"/>
    </row>
    <row r="329" spans="1:8">
      <c r="A329" s="2335" t="s">
        <v>1646</v>
      </c>
      <c r="B329" s="2334"/>
      <c r="C329" s="2334"/>
      <c r="D329" s="2334"/>
      <c r="E329" s="2334"/>
      <c r="F329" s="2334"/>
      <c r="G329" s="2334"/>
      <c r="H329" s="2334"/>
    </row>
    <row r="330" spans="1:8">
      <c r="A330" s="2335" t="s">
        <v>1647</v>
      </c>
      <c r="B330" s="2334"/>
      <c r="C330" s="2334"/>
      <c r="D330" s="2334"/>
      <c r="E330" s="2334"/>
      <c r="F330" s="2334"/>
      <c r="G330" s="2334"/>
      <c r="H330" s="2334"/>
    </row>
    <row r="331" spans="1:8">
      <c r="A331" s="2335" t="s">
        <v>1648</v>
      </c>
      <c r="B331" s="2334"/>
      <c r="C331" s="2334"/>
      <c r="D331" s="2334"/>
      <c r="E331" s="2334"/>
      <c r="F331" s="2334"/>
      <c r="G331" s="2334"/>
      <c r="H331" s="2334"/>
    </row>
    <row r="332" spans="1:8">
      <c r="A332" s="2335" t="s">
        <v>1649</v>
      </c>
      <c r="B332" s="2334"/>
      <c r="C332" s="2334"/>
      <c r="D332" s="2334"/>
      <c r="E332" s="2334"/>
      <c r="F332" s="2334"/>
      <c r="G332" s="2334"/>
      <c r="H332" s="2334"/>
    </row>
    <row r="333" spans="1:8">
      <c r="A333" s="2334"/>
      <c r="B333" s="2334"/>
      <c r="C333" s="2334"/>
      <c r="D333" s="2334"/>
      <c r="E333" s="2334"/>
      <c r="F333" s="2334"/>
      <c r="G333" s="2334"/>
      <c r="H333" s="2334"/>
    </row>
    <row r="334" spans="1:8">
      <c r="A334" s="2335" t="s">
        <v>1607</v>
      </c>
      <c r="B334" s="2334"/>
      <c r="C334" s="2334"/>
      <c r="D334" s="2334"/>
      <c r="E334" s="2334"/>
      <c r="F334" s="2334"/>
      <c r="G334" s="2334"/>
      <c r="H334" s="2334"/>
    </row>
    <row r="335" spans="1:8">
      <c r="A335" s="2335" t="s">
        <v>1608</v>
      </c>
      <c r="B335" s="2334"/>
      <c r="C335" s="2334"/>
      <c r="D335" s="2334"/>
      <c r="E335" s="2334"/>
      <c r="F335" s="2334"/>
      <c r="G335" s="2334"/>
      <c r="H335" s="2334"/>
    </row>
    <row r="336" spans="1:8">
      <c r="A336" s="2335" t="s">
        <v>1609</v>
      </c>
      <c r="B336" s="2334"/>
      <c r="C336" s="2334"/>
      <c r="D336" s="2334"/>
      <c r="E336" s="2334"/>
      <c r="F336" s="2334"/>
      <c r="G336" s="2334"/>
      <c r="H336" s="2334"/>
    </row>
    <row r="337" spans="1:8">
      <c r="A337" s="2335" t="s">
        <v>1610</v>
      </c>
      <c r="B337" s="2334"/>
      <c r="C337" s="2334"/>
      <c r="D337" s="2334"/>
      <c r="E337" s="2334"/>
      <c r="F337" s="2334"/>
      <c r="G337" s="2334"/>
      <c r="H337" s="2334"/>
    </row>
    <row r="338" spans="1:8">
      <c r="A338" s="2335" t="s">
        <v>1611</v>
      </c>
      <c r="B338" s="2334"/>
      <c r="C338" s="2334"/>
      <c r="D338" s="2334"/>
      <c r="E338" s="2334"/>
      <c r="F338" s="2334"/>
      <c r="G338" s="2334"/>
      <c r="H338" s="2334"/>
    </row>
    <row r="339" spans="1:8">
      <c r="A339" s="2335" t="s">
        <v>1612</v>
      </c>
      <c r="B339" s="2334"/>
      <c r="C339" s="2334"/>
      <c r="D339" s="2334"/>
      <c r="E339" s="2334"/>
      <c r="F339" s="2334"/>
      <c r="G339" s="2334"/>
      <c r="H339" s="2334"/>
    </row>
    <row r="340" spans="1:8">
      <c r="A340" s="2335" t="s">
        <v>1613</v>
      </c>
      <c r="B340" s="2334"/>
      <c r="C340" s="2334"/>
      <c r="D340" s="2334"/>
      <c r="E340" s="2334"/>
      <c r="F340" s="2334"/>
      <c r="G340" s="2334"/>
      <c r="H340" s="2334"/>
    </row>
    <row r="341" spans="1:8">
      <c r="A341" s="2335" t="s">
        <v>1614</v>
      </c>
      <c r="B341" s="2334"/>
      <c r="C341" s="2334"/>
      <c r="D341" s="2334"/>
      <c r="E341" s="2334"/>
      <c r="F341" s="2334"/>
      <c r="G341" s="2334"/>
      <c r="H341" s="2334"/>
    </row>
    <row r="342" spans="1:8">
      <c r="A342" s="2335" t="s">
        <v>1615</v>
      </c>
      <c r="B342" s="2334"/>
      <c r="C342" s="2334"/>
      <c r="D342" s="2334"/>
      <c r="E342" s="2334"/>
      <c r="F342" s="2334"/>
      <c r="G342" s="2334"/>
      <c r="H342" s="2334"/>
    </row>
    <row r="343" spans="1:8">
      <c r="A343" s="2335" t="s">
        <v>1616</v>
      </c>
      <c r="B343" s="2334"/>
      <c r="C343" s="2334"/>
      <c r="D343" s="2334"/>
      <c r="E343" s="2334"/>
      <c r="F343" s="2334"/>
      <c r="G343" s="2334"/>
      <c r="H343" s="2334"/>
    </row>
    <row r="344" spans="1:8">
      <c r="A344" s="2335" t="s">
        <v>1617</v>
      </c>
      <c r="B344" s="2334"/>
      <c r="C344" s="2334"/>
      <c r="D344" s="2334"/>
      <c r="E344" s="2334"/>
      <c r="F344" s="2334"/>
      <c r="G344" s="2334"/>
      <c r="H344" s="2334"/>
    </row>
    <row r="345" spans="1:8">
      <c r="A345" s="2335" t="s">
        <v>1618</v>
      </c>
      <c r="B345" s="2334"/>
      <c r="C345" s="2334"/>
      <c r="D345" s="2334"/>
      <c r="E345" s="2334"/>
      <c r="F345" s="2334"/>
      <c r="G345" s="2334"/>
      <c r="H345" s="2334"/>
    </row>
    <row r="346" spans="1:8">
      <c r="A346" s="2335" t="s">
        <v>1619</v>
      </c>
      <c r="B346" s="2334"/>
      <c r="C346" s="2334"/>
      <c r="D346" s="2334"/>
      <c r="E346" s="2334"/>
      <c r="F346" s="2334"/>
      <c r="G346" s="2334"/>
      <c r="H346" s="2334"/>
    </row>
    <row r="347" spans="1:8">
      <c r="A347" s="2335" t="s">
        <v>1620</v>
      </c>
      <c r="B347" s="2334"/>
      <c r="C347" s="2334"/>
      <c r="D347" s="2334"/>
      <c r="E347" s="2334"/>
      <c r="F347" s="2334"/>
      <c r="G347" s="2334"/>
      <c r="H347" s="2334"/>
    </row>
    <row r="348" spans="1:8">
      <c r="A348" s="2335" t="s">
        <v>1621</v>
      </c>
      <c r="B348" s="2334"/>
      <c r="C348" s="2334"/>
      <c r="D348" s="2334"/>
      <c r="E348" s="2334"/>
      <c r="F348" s="2334"/>
      <c r="G348" s="2334"/>
      <c r="H348" s="2334"/>
    </row>
    <row r="349" spans="1:8">
      <c r="A349" s="2335" t="s">
        <v>1622</v>
      </c>
      <c r="B349" s="2334"/>
      <c r="C349" s="2334"/>
      <c r="D349" s="2334"/>
      <c r="E349" s="2334"/>
      <c r="F349" s="2334"/>
      <c r="G349" s="2334"/>
      <c r="H349" s="2334"/>
    </row>
    <row r="350" spans="1:8">
      <c r="A350" s="2335" t="s">
        <v>1623</v>
      </c>
      <c r="B350" s="2334"/>
      <c r="C350" s="2334"/>
      <c r="D350" s="2334"/>
      <c r="E350" s="2334"/>
      <c r="F350" s="2334"/>
      <c r="G350" s="2334"/>
      <c r="H350" s="2334"/>
    </row>
    <row r="351" spans="1:8">
      <c r="A351" s="2335" t="s">
        <v>1624</v>
      </c>
      <c r="B351" s="2334"/>
      <c r="C351" s="2334"/>
      <c r="D351" s="2334"/>
      <c r="E351" s="2334"/>
      <c r="F351" s="2334"/>
      <c r="G351" s="2334"/>
      <c r="H351" s="2334"/>
    </row>
    <row r="352" spans="1:8">
      <c r="A352" s="2335" t="s">
        <v>1625</v>
      </c>
      <c r="B352" s="2334"/>
      <c r="C352" s="2334"/>
      <c r="D352" s="2334"/>
      <c r="E352" s="2334"/>
      <c r="F352" s="2334"/>
      <c r="G352" s="2334"/>
      <c r="H352" s="2334"/>
    </row>
    <row r="353" spans="1:8">
      <c r="A353" s="2335" t="s">
        <v>1626</v>
      </c>
      <c r="B353" s="2334"/>
      <c r="C353" s="2334"/>
      <c r="D353" s="2334"/>
      <c r="E353" s="2334"/>
      <c r="F353" s="2334"/>
      <c r="G353" s="2334"/>
      <c r="H353" s="2334"/>
    </row>
    <row r="354" spans="1:8">
      <c r="A354" s="2335" t="s">
        <v>1627</v>
      </c>
      <c r="B354" s="2334"/>
      <c r="C354" s="2334"/>
      <c r="D354" s="2334"/>
      <c r="E354" s="2334"/>
      <c r="F354" s="2334"/>
      <c r="G354" s="2334"/>
      <c r="H354" s="2334"/>
    </row>
    <row r="355" spans="1:8">
      <c r="A355" s="2335" t="s">
        <v>1628</v>
      </c>
      <c r="B355" s="2334"/>
      <c r="C355" s="2334"/>
      <c r="D355" s="2334"/>
      <c r="E355" s="2334"/>
      <c r="F355" s="2334"/>
      <c r="G355" s="2334"/>
      <c r="H355" s="2334"/>
    </row>
    <row r="356" spans="1:8">
      <c r="A356" s="2335" t="s">
        <v>1629</v>
      </c>
      <c r="B356" s="2334"/>
      <c r="C356" s="2334"/>
      <c r="D356" s="2334"/>
      <c r="E356" s="2334"/>
      <c r="F356" s="2334"/>
      <c r="G356" s="2334"/>
      <c r="H356" s="2334"/>
    </row>
    <row r="357" spans="1:8">
      <c r="A357" s="2335" t="s">
        <v>1630</v>
      </c>
      <c r="B357" s="2334"/>
      <c r="C357" s="2334"/>
      <c r="D357" s="2334"/>
      <c r="E357" s="2334"/>
      <c r="F357" s="2334"/>
      <c r="G357" s="2334"/>
      <c r="H357" s="2334"/>
    </row>
    <row r="358" spans="1:8">
      <c r="A358" s="2335" t="s">
        <v>1631</v>
      </c>
      <c r="B358" s="2334"/>
      <c r="C358" s="2334"/>
      <c r="D358" s="2334"/>
      <c r="E358" s="2334"/>
      <c r="F358" s="2334"/>
      <c r="G358" s="2334"/>
      <c r="H358" s="2334"/>
    </row>
    <row r="359" spans="1:8">
      <c r="A359" s="2335" t="s">
        <v>1632</v>
      </c>
      <c r="B359" s="2334"/>
      <c r="C359" s="2334"/>
      <c r="D359" s="2334"/>
      <c r="E359" s="2334"/>
      <c r="F359" s="2334"/>
      <c r="G359" s="2334"/>
      <c r="H359" s="2334"/>
    </row>
    <row r="360" spans="1:8">
      <c r="A360" s="2335" t="s">
        <v>1633</v>
      </c>
      <c r="B360" s="2334"/>
      <c r="C360" s="2334"/>
      <c r="D360" s="2334"/>
      <c r="E360" s="2334"/>
      <c r="F360" s="2334"/>
      <c r="G360" s="2334"/>
      <c r="H360" s="2334"/>
    </row>
    <row r="361" spans="1:8">
      <c r="A361" s="2335" t="s">
        <v>1634</v>
      </c>
      <c r="B361" s="2334"/>
      <c r="C361" s="2334"/>
      <c r="D361" s="2334"/>
      <c r="E361" s="2334"/>
      <c r="F361" s="2334"/>
      <c r="G361" s="2334"/>
      <c r="H361" s="2334"/>
    </row>
    <row r="362" spans="1:8">
      <c r="A362" s="2335" t="s">
        <v>1635</v>
      </c>
      <c r="B362" s="2334"/>
      <c r="C362" s="2334"/>
      <c r="D362" s="2334"/>
      <c r="E362" s="2334"/>
      <c r="F362" s="2334"/>
      <c r="G362" s="2334"/>
      <c r="H362" s="2334"/>
    </row>
    <row r="363" spans="1:8">
      <c r="A363" s="2335" t="s">
        <v>1636</v>
      </c>
      <c r="B363" s="2334"/>
      <c r="C363" s="2334"/>
      <c r="D363" s="2334"/>
      <c r="E363" s="2334"/>
      <c r="F363" s="2334"/>
      <c r="G363" s="2334"/>
      <c r="H363" s="2334"/>
    </row>
    <row r="364" spans="1:8">
      <c r="A364" s="2335" t="s">
        <v>1637</v>
      </c>
      <c r="B364" s="2334"/>
      <c r="C364" s="2334"/>
      <c r="D364" s="2334"/>
      <c r="E364" s="2334"/>
      <c r="F364" s="2334"/>
      <c r="G364" s="2334"/>
      <c r="H364" s="2334"/>
    </row>
    <row r="365" spans="1:8">
      <c r="A365" s="2335" t="s">
        <v>1638</v>
      </c>
      <c r="B365" s="2334"/>
      <c r="C365" s="2334"/>
      <c r="D365" s="2334"/>
      <c r="E365" s="2334"/>
      <c r="F365" s="2334"/>
      <c r="G365" s="2334"/>
      <c r="H365" s="2334"/>
    </row>
    <row r="366" spans="1:8">
      <c r="A366" s="2335" t="s">
        <v>1639</v>
      </c>
      <c r="B366" s="2334"/>
      <c r="C366" s="2334"/>
      <c r="D366" s="2334"/>
      <c r="E366" s="2334"/>
      <c r="F366" s="2334"/>
      <c r="G366" s="2334"/>
      <c r="H366" s="2334"/>
    </row>
    <row r="367" spans="1:8">
      <c r="A367" s="2335" t="s">
        <v>1640</v>
      </c>
      <c r="B367" s="2334"/>
      <c r="C367" s="2334"/>
      <c r="D367" s="2334"/>
      <c r="E367" s="2334"/>
      <c r="F367" s="2334"/>
      <c r="G367" s="2334"/>
      <c r="H367" s="2334"/>
    </row>
    <row r="368" spans="1:8">
      <c r="A368" s="2335" t="s">
        <v>1641</v>
      </c>
      <c r="B368" s="2334"/>
      <c r="C368" s="2334"/>
      <c r="D368" s="2334"/>
      <c r="E368" s="2334"/>
      <c r="F368" s="2334"/>
      <c r="G368" s="2334"/>
      <c r="H368" s="2334"/>
    </row>
    <row r="369" spans="1:8">
      <c r="A369" s="2334"/>
      <c r="B369" s="2334"/>
      <c r="C369" s="2334"/>
      <c r="D369" s="2334"/>
      <c r="E369" s="2334"/>
      <c r="F369" s="2334"/>
      <c r="G369" s="2334"/>
      <c r="H369" s="2334"/>
    </row>
    <row r="370" spans="1:8">
      <c r="A370" s="2335" t="s">
        <v>1599</v>
      </c>
      <c r="B370" s="2334"/>
      <c r="C370" s="2334"/>
      <c r="D370" s="2334"/>
      <c r="E370" s="2334"/>
      <c r="F370" s="2334"/>
      <c r="G370" s="2334"/>
      <c r="H370" s="2334"/>
    </row>
    <row r="371" spans="1:8">
      <c r="A371" s="2335" t="s">
        <v>1603</v>
      </c>
      <c r="B371" s="2334"/>
      <c r="C371" s="2334"/>
      <c r="D371" s="2334"/>
      <c r="E371" s="2334"/>
      <c r="F371" s="2334"/>
      <c r="G371" s="2334"/>
      <c r="H371" s="2334"/>
    </row>
    <row r="372" spans="1:8">
      <c r="A372" s="2335" t="s">
        <v>1604</v>
      </c>
      <c r="B372" s="2334"/>
      <c r="C372" s="2334"/>
      <c r="D372" s="2334"/>
      <c r="E372" s="2334"/>
      <c r="F372" s="2334"/>
      <c r="G372" s="2334"/>
      <c r="H372" s="2334"/>
    </row>
    <row r="373" spans="1:8">
      <c r="A373" s="2335" t="s">
        <v>1605</v>
      </c>
      <c r="B373" s="2334"/>
      <c r="C373" s="2334"/>
      <c r="D373" s="2334"/>
      <c r="E373" s="2334"/>
      <c r="F373" s="2334"/>
      <c r="G373" s="2334"/>
      <c r="H373" s="2334"/>
    </row>
    <row r="374" spans="1:8">
      <c r="A374" s="2335" t="s">
        <v>1606</v>
      </c>
      <c r="B374" s="2334"/>
      <c r="C374" s="2334"/>
      <c r="D374" s="2334"/>
      <c r="E374" s="2334"/>
      <c r="F374" s="2334"/>
      <c r="G374" s="2334"/>
      <c r="H374" s="2334"/>
    </row>
    <row r="375" spans="1:8">
      <c r="A375" s="2334"/>
      <c r="B375" s="2334"/>
      <c r="C375" s="2334"/>
      <c r="D375" s="2334"/>
      <c r="E375" s="2334"/>
      <c r="F375" s="2334"/>
      <c r="G375" s="2334"/>
      <c r="H375" s="2334"/>
    </row>
    <row r="376" spans="1:8">
      <c r="A376" s="2335" t="s">
        <v>1599</v>
      </c>
      <c r="B376" s="2334"/>
      <c r="C376" s="2334"/>
      <c r="D376" s="2334"/>
      <c r="E376" s="2334"/>
      <c r="F376" s="2334"/>
      <c r="G376" s="2334"/>
      <c r="H376" s="2334"/>
    </row>
    <row r="377" spans="1:8">
      <c r="A377" s="2335" t="s">
        <v>1600</v>
      </c>
      <c r="B377" s="2334"/>
      <c r="C377" s="2334"/>
      <c r="D377" s="2334"/>
      <c r="E377" s="2334"/>
      <c r="F377" s="2334"/>
      <c r="G377" s="2334"/>
      <c r="H377" s="2334"/>
    </row>
    <row r="378" spans="1:8">
      <c r="A378" s="2335" t="s">
        <v>1601</v>
      </c>
      <c r="B378" s="2334"/>
      <c r="C378" s="2334"/>
      <c r="D378" s="2334"/>
      <c r="E378" s="2334"/>
      <c r="F378" s="2334"/>
      <c r="G378" s="2334"/>
      <c r="H378" s="2334"/>
    </row>
    <row r="379" spans="1:8">
      <c r="A379" s="2335" t="s">
        <v>1602</v>
      </c>
      <c r="B379" s="2334"/>
      <c r="C379" s="2334"/>
      <c r="D379" s="2334"/>
      <c r="E379" s="2334"/>
      <c r="F379" s="2334"/>
      <c r="G379" s="2334"/>
      <c r="H379" s="2334"/>
    </row>
    <row r="380" spans="1:8">
      <c r="A380" s="2334"/>
      <c r="B380" s="2334"/>
      <c r="C380" s="2334"/>
      <c r="D380" s="2334"/>
      <c r="E380" s="2334"/>
      <c r="F380" s="2334"/>
      <c r="G380" s="2334"/>
      <c r="H380" s="2334"/>
    </row>
    <row r="381" spans="1:8">
      <c r="A381" s="2335" t="s">
        <v>1593</v>
      </c>
      <c r="B381" s="2334"/>
      <c r="C381" s="2334"/>
      <c r="D381" s="2334"/>
      <c r="E381" s="2334"/>
      <c r="F381" s="2334"/>
      <c r="G381" s="2334"/>
      <c r="H381" s="2334"/>
    </row>
    <row r="382" spans="1:8">
      <c r="A382" s="2335" t="s">
        <v>1594</v>
      </c>
      <c r="B382" s="2334"/>
      <c r="C382" s="2334"/>
      <c r="D382" s="2334"/>
      <c r="E382" s="2334"/>
      <c r="F382" s="2334"/>
      <c r="G382" s="2334"/>
      <c r="H382" s="2334"/>
    </row>
    <row r="383" spans="1:8">
      <c r="A383" s="2335" t="s">
        <v>1595</v>
      </c>
      <c r="B383" s="2334"/>
      <c r="C383" s="2334"/>
      <c r="D383" s="2334"/>
      <c r="E383" s="2334"/>
      <c r="F383" s="2334"/>
      <c r="G383" s="2334"/>
      <c r="H383" s="2334"/>
    </row>
    <row r="384" spans="1:8">
      <c r="A384" s="2335" t="s">
        <v>1596</v>
      </c>
      <c r="B384" s="2334"/>
      <c r="C384" s="2334"/>
      <c r="D384" s="2334"/>
      <c r="E384" s="2334"/>
      <c r="F384" s="2334"/>
      <c r="G384" s="2334"/>
      <c r="H384" s="2334"/>
    </row>
    <row r="385" spans="1:8">
      <c r="A385" s="2335" t="s">
        <v>1597</v>
      </c>
      <c r="B385" s="2334"/>
      <c r="C385" s="2334"/>
      <c r="D385" s="2334"/>
      <c r="E385" s="2334"/>
      <c r="F385" s="2334"/>
      <c r="G385" s="2334"/>
      <c r="H385" s="2334"/>
    </row>
    <row r="386" spans="1:8">
      <c r="A386" s="2335" t="s">
        <v>1598</v>
      </c>
      <c r="B386" s="2334"/>
      <c r="C386" s="2334"/>
      <c r="D386" s="2334"/>
      <c r="E386" s="2334"/>
      <c r="F386" s="2334"/>
      <c r="G386" s="2334"/>
      <c r="H386" s="2334"/>
    </row>
    <row r="387" spans="1:8">
      <c r="A387" s="2334"/>
      <c r="B387" s="2334"/>
      <c r="C387" s="2334"/>
      <c r="D387" s="2334"/>
      <c r="E387" s="2334"/>
      <c r="F387" s="2334"/>
      <c r="G387" s="2334"/>
      <c r="H387" s="2334"/>
    </row>
    <row r="388" spans="1:8">
      <c r="A388" s="2335" t="s">
        <v>1588</v>
      </c>
      <c r="B388" s="2334"/>
      <c r="C388" s="2334"/>
      <c r="D388" s="2334"/>
      <c r="E388" s="2334"/>
      <c r="F388" s="2334"/>
      <c r="G388" s="2334"/>
      <c r="H388" s="2334"/>
    </row>
    <row r="389" spans="1:8">
      <c r="A389" s="2335" t="s">
        <v>1589</v>
      </c>
      <c r="B389" s="2334"/>
      <c r="C389" s="2334"/>
      <c r="D389" s="2334"/>
      <c r="E389" s="2334"/>
      <c r="F389" s="2334"/>
      <c r="G389" s="2334"/>
      <c r="H389" s="2334"/>
    </row>
    <row r="390" spans="1:8">
      <c r="A390" s="2335" t="s">
        <v>1590</v>
      </c>
      <c r="B390" s="2334"/>
      <c r="C390" s="2334"/>
      <c r="D390" s="2334"/>
      <c r="E390" s="2334"/>
      <c r="F390" s="2334"/>
      <c r="G390" s="2334"/>
      <c r="H390" s="2334"/>
    </row>
    <row r="391" spans="1:8">
      <c r="A391" s="2335" t="s">
        <v>1591</v>
      </c>
      <c r="B391" s="2334"/>
      <c r="C391" s="2334"/>
      <c r="D391" s="2334"/>
      <c r="E391" s="2334"/>
      <c r="F391" s="2334"/>
      <c r="G391" s="2334"/>
      <c r="H391" s="2334"/>
    </row>
    <row r="392" spans="1:8">
      <c r="A392" s="2335" t="s">
        <v>1592</v>
      </c>
      <c r="B392" s="2334"/>
      <c r="C392" s="2334"/>
      <c r="D392" s="2334"/>
      <c r="E392" s="2334"/>
      <c r="F392" s="2334"/>
      <c r="G392" s="2334"/>
      <c r="H392" s="2334"/>
    </row>
    <row r="393" spans="1:8">
      <c r="A393" s="2334"/>
      <c r="B393" s="2334"/>
      <c r="C393" s="2334"/>
      <c r="D393" s="2334"/>
      <c r="E393" s="2334"/>
      <c r="F393" s="2334"/>
      <c r="G393" s="2334"/>
      <c r="H393" s="2334"/>
    </row>
    <row r="394" spans="1:8">
      <c r="A394" s="2335" t="s">
        <v>1586</v>
      </c>
      <c r="B394" s="2334"/>
      <c r="C394" s="2334"/>
      <c r="D394" s="2334"/>
      <c r="E394" s="2334"/>
      <c r="F394" s="2334"/>
      <c r="G394" s="2334"/>
      <c r="H394" s="2334"/>
    </row>
    <row r="395" spans="1:8">
      <c r="A395" s="2335" t="s">
        <v>1587</v>
      </c>
      <c r="B395" s="2334"/>
      <c r="C395" s="2334"/>
      <c r="D395" s="2334"/>
      <c r="E395" s="2334"/>
      <c r="F395" s="2334"/>
      <c r="G395" s="2334"/>
      <c r="H395" s="2334"/>
    </row>
    <row r="397" spans="1:8">
      <c r="A397" s="2330" t="s">
        <v>1845</v>
      </c>
    </row>
  </sheetData>
  <mergeCells count="12">
    <mergeCell ref="A120:H120"/>
    <mergeCell ref="A127:H127"/>
    <mergeCell ref="A114:H114"/>
    <mergeCell ref="A115:H115"/>
    <mergeCell ref="A116:H116"/>
    <mergeCell ref="A117:H117"/>
    <mergeCell ref="A119:H119"/>
    <mergeCell ref="A135:H135"/>
    <mergeCell ref="A136:H136"/>
    <mergeCell ref="B128:C128"/>
    <mergeCell ref="D128:F128"/>
    <mergeCell ref="G128:H128"/>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23"/>
  <sheetViews>
    <sheetView workbookViewId="0"/>
  </sheetViews>
  <sheetFormatPr defaultRowHeight="12.75"/>
  <sheetData>
    <row r="1" spans="1:2">
      <c r="A1" t="s">
        <v>1860</v>
      </c>
      <c r="B1" t="s">
        <v>1861</v>
      </c>
    </row>
    <row r="2" spans="1:2">
      <c r="A2" s="41" t="s">
        <v>1862</v>
      </c>
      <c r="B2">
        <v>2</v>
      </c>
    </row>
    <row r="3" spans="1:2">
      <c r="A3" s="41" t="s">
        <v>1863</v>
      </c>
      <c r="B3">
        <v>-1</v>
      </c>
    </row>
    <row r="4" spans="1:2">
      <c r="A4" s="41" t="s">
        <v>1864</v>
      </c>
      <c r="B4">
        <v>2</v>
      </c>
    </row>
    <row r="5" spans="1:2">
      <c r="A5" s="41" t="s">
        <v>1865</v>
      </c>
      <c r="B5">
        <v>-1</v>
      </c>
    </row>
    <row r="6" spans="1:2">
      <c r="A6" s="41" t="s">
        <v>1866</v>
      </c>
      <c r="B6">
        <v>-1</v>
      </c>
    </row>
    <row r="7" spans="1:2">
      <c r="A7" s="41" t="s">
        <v>1867</v>
      </c>
      <c r="B7">
        <v>-1</v>
      </c>
    </row>
    <row r="8" spans="1:2">
      <c r="A8" s="41" t="s">
        <v>1868</v>
      </c>
      <c r="B8">
        <v>-1</v>
      </c>
    </row>
    <row r="9" spans="1:2">
      <c r="A9" s="41" t="s">
        <v>618</v>
      </c>
      <c r="B9">
        <v>-1</v>
      </c>
    </row>
    <row r="10" spans="1:2">
      <c r="A10" s="41" t="s">
        <v>261</v>
      </c>
      <c r="B10">
        <v>-1</v>
      </c>
    </row>
    <row r="11" spans="1:2">
      <c r="A11" s="41" t="s">
        <v>1305</v>
      </c>
      <c r="B11">
        <v>-1</v>
      </c>
    </row>
    <row r="12" spans="1:2">
      <c r="A12" s="41" t="s">
        <v>1306</v>
      </c>
      <c r="B12">
        <v>-1</v>
      </c>
    </row>
    <row r="13" spans="1:2">
      <c r="A13" s="41" t="s">
        <v>1307</v>
      </c>
      <c r="B13">
        <v>-1</v>
      </c>
    </row>
    <row r="14" spans="1:2">
      <c r="A14" s="41" t="s">
        <v>349</v>
      </c>
      <c r="B14">
        <v>-1</v>
      </c>
    </row>
    <row r="15" spans="1:2">
      <c r="A15" s="41" t="s">
        <v>350</v>
      </c>
      <c r="B15">
        <v>-1</v>
      </c>
    </row>
    <row r="16" spans="1:2">
      <c r="A16" s="41" t="s">
        <v>779</v>
      </c>
      <c r="B16">
        <v>-1</v>
      </c>
    </row>
    <row r="17" spans="1:2">
      <c r="A17" s="41" t="s">
        <v>262</v>
      </c>
      <c r="B17">
        <v>-1</v>
      </c>
    </row>
    <row r="18" spans="1:2">
      <c r="A18" s="41" t="s">
        <v>1869</v>
      </c>
      <c r="B18">
        <v>-1</v>
      </c>
    </row>
    <row r="19" spans="1:2">
      <c r="A19" s="41" t="s">
        <v>1870</v>
      </c>
      <c r="B19">
        <v>-1</v>
      </c>
    </row>
    <row r="20" spans="1:2">
      <c r="A20" s="41" t="s">
        <v>1871</v>
      </c>
      <c r="B20">
        <v>-1</v>
      </c>
    </row>
    <row r="21" spans="1:2">
      <c r="A21" s="41" t="s">
        <v>1872</v>
      </c>
      <c r="B21">
        <v>-1</v>
      </c>
    </row>
    <row r="22" spans="1:2">
      <c r="A22" s="41" t="s">
        <v>1873</v>
      </c>
      <c r="B22">
        <v>2</v>
      </c>
    </row>
    <row r="23" spans="1:2">
      <c r="A23" s="41" t="s">
        <v>1125</v>
      </c>
      <c r="B2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B11"/>
  <sheetViews>
    <sheetView showGridLines="0" showRowColHeaders="0" workbookViewId="0">
      <selection activeCell="N1" sqref="N1"/>
    </sheetView>
  </sheetViews>
  <sheetFormatPr defaultRowHeight="12.75"/>
  <cols>
    <col min="1" max="1" width="9.140625" style="1988"/>
    <col min="2" max="2" width="88.28515625" style="1988" customWidth="1"/>
    <col min="3" max="257" width="9.140625" style="1988"/>
    <col min="258" max="258" width="88.28515625" style="1988" customWidth="1"/>
    <col min="259" max="513" width="9.140625" style="1988"/>
    <col min="514" max="514" width="88.28515625" style="1988" customWidth="1"/>
    <col min="515" max="769" width="9.140625" style="1988"/>
    <col min="770" max="770" width="88.28515625" style="1988" customWidth="1"/>
    <col min="771" max="1025" width="9.140625" style="1988"/>
    <col min="1026" max="1026" width="88.28515625" style="1988" customWidth="1"/>
    <col min="1027" max="1281" width="9.140625" style="1988"/>
    <col min="1282" max="1282" width="88.28515625" style="1988" customWidth="1"/>
    <col min="1283" max="1537" width="9.140625" style="1988"/>
    <col min="1538" max="1538" width="88.28515625" style="1988" customWidth="1"/>
    <col min="1539" max="1793" width="9.140625" style="1988"/>
    <col min="1794" max="1794" width="88.28515625" style="1988" customWidth="1"/>
    <col min="1795" max="2049" width="9.140625" style="1988"/>
    <col min="2050" max="2050" width="88.28515625" style="1988" customWidth="1"/>
    <col min="2051" max="2305" width="9.140625" style="1988"/>
    <col min="2306" max="2306" width="88.28515625" style="1988" customWidth="1"/>
    <col min="2307" max="2561" width="9.140625" style="1988"/>
    <col min="2562" max="2562" width="88.28515625" style="1988" customWidth="1"/>
    <col min="2563" max="2817" width="9.140625" style="1988"/>
    <col min="2818" max="2818" width="88.28515625" style="1988" customWidth="1"/>
    <col min="2819" max="3073" width="9.140625" style="1988"/>
    <col min="3074" max="3074" width="88.28515625" style="1988" customWidth="1"/>
    <col min="3075" max="3329" width="9.140625" style="1988"/>
    <col min="3330" max="3330" width="88.28515625" style="1988" customWidth="1"/>
    <col min="3331" max="3585" width="9.140625" style="1988"/>
    <col min="3586" max="3586" width="88.28515625" style="1988" customWidth="1"/>
    <col min="3587" max="3841" width="9.140625" style="1988"/>
    <col min="3842" max="3842" width="88.28515625" style="1988" customWidth="1"/>
    <col min="3843" max="4097" width="9.140625" style="1988"/>
    <col min="4098" max="4098" width="88.28515625" style="1988" customWidth="1"/>
    <col min="4099" max="4353" width="9.140625" style="1988"/>
    <col min="4354" max="4354" width="88.28515625" style="1988" customWidth="1"/>
    <col min="4355" max="4609" width="9.140625" style="1988"/>
    <col min="4610" max="4610" width="88.28515625" style="1988" customWidth="1"/>
    <col min="4611" max="4865" width="9.140625" style="1988"/>
    <col min="4866" max="4866" width="88.28515625" style="1988" customWidth="1"/>
    <col min="4867" max="5121" width="9.140625" style="1988"/>
    <col min="5122" max="5122" width="88.28515625" style="1988" customWidth="1"/>
    <col min="5123" max="5377" width="9.140625" style="1988"/>
    <col min="5378" max="5378" width="88.28515625" style="1988" customWidth="1"/>
    <col min="5379" max="5633" width="9.140625" style="1988"/>
    <col min="5634" max="5634" width="88.28515625" style="1988" customWidth="1"/>
    <col min="5635" max="5889" width="9.140625" style="1988"/>
    <col min="5890" max="5890" width="88.28515625" style="1988" customWidth="1"/>
    <col min="5891" max="6145" width="9.140625" style="1988"/>
    <col min="6146" max="6146" width="88.28515625" style="1988" customWidth="1"/>
    <col min="6147" max="6401" width="9.140625" style="1988"/>
    <col min="6402" max="6402" width="88.28515625" style="1988" customWidth="1"/>
    <col min="6403" max="6657" width="9.140625" style="1988"/>
    <col min="6658" max="6658" width="88.28515625" style="1988" customWidth="1"/>
    <col min="6659" max="6913" width="9.140625" style="1988"/>
    <col min="6914" max="6914" width="88.28515625" style="1988" customWidth="1"/>
    <col min="6915" max="7169" width="9.140625" style="1988"/>
    <col min="7170" max="7170" width="88.28515625" style="1988" customWidth="1"/>
    <col min="7171" max="7425" width="9.140625" style="1988"/>
    <col min="7426" max="7426" width="88.28515625" style="1988" customWidth="1"/>
    <col min="7427" max="7681" width="9.140625" style="1988"/>
    <col min="7682" max="7682" width="88.28515625" style="1988" customWidth="1"/>
    <col min="7683" max="7937" width="9.140625" style="1988"/>
    <col min="7938" max="7938" width="88.28515625" style="1988" customWidth="1"/>
    <col min="7939" max="8193" width="9.140625" style="1988"/>
    <col min="8194" max="8194" width="88.28515625" style="1988" customWidth="1"/>
    <col min="8195" max="8449" width="9.140625" style="1988"/>
    <col min="8450" max="8450" width="88.28515625" style="1988" customWidth="1"/>
    <col min="8451" max="8705" width="9.140625" style="1988"/>
    <col min="8706" max="8706" width="88.28515625" style="1988" customWidth="1"/>
    <col min="8707" max="8961" width="9.140625" style="1988"/>
    <col min="8962" max="8962" width="88.28515625" style="1988" customWidth="1"/>
    <col min="8963" max="9217" width="9.140625" style="1988"/>
    <col min="9218" max="9218" width="88.28515625" style="1988" customWidth="1"/>
    <col min="9219" max="9473" width="9.140625" style="1988"/>
    <col min="9474" max="9474" width="88.28515625" style="1988" customWidth="1"/>
    <col min="9475" max="9729" width="9.140625" style="1988"/>
    <col min="9730" max="9730" width="88.28515625" style="1988" customWidth="1"/>
    <col min="9731" max="9985" width="9.140625" style="1988"/>
    <col min="9986" max="9986" width="88.28515625" style="1988" customWidth="1"/>
    <col min="9987" max="10241" width="9.140625" style="1988"/>
    <col min="10242" max="10242" width="88.28515625" style="1988" customWidth="1"/>
    <col min="10243" max="10497" width="9.140625" style="1988"/>
    <col min="10498" max="10498" width="88.28515625" style="1988" customWidth="1"/>
    <col min="10499" max="10753" width="9.140625" style="1988"/>
    <col min="10754" max="10754" width="88.28515625" style="1988" customWidth="1"/>
    <col min="10755" max="11009" width="9.140625" style="1988"/>
    <col min="11010" max="11010" width="88.28515625" style="1988" customWidth="1"/>
    <col min="11011" max="11265" width="9.140625" style="1988"/>
    <col min="11266" max="11266" width="88.28515625" style="1988" customWidth="1"/>
    <col min="11267" max="11521" width="9.140625" style="1988"/>
    <col min="11522" max="11522" width="88.28515625" style="1988" customWidth="1"/>
    <col min="11523" max="11777" width="9.140625" style="1988"/>
    <col min="11778" max="11778" width="88.28515625" style="1988" customWidth="1"/>
    <col min="11779" max="12033" width="9.140625" style="1988"/>
    <col min="12034" max="12034" width="88.28515625" style="1988" customWidth="1"/>
    <col min="12035" max="12289" width="9.140625" style="1988"/>
    <col min="12290" max="12290" width="88.28515625" style="1988" customWidth="1"/>
    <col min="12291" max="12545" width="9.140625" style="1988"/>
    <col min="12546" max="12546" width="88.28515625" style="1988" customWidth="1"/>
    <col min="12547" max="12801" width="9.140625" style="1988"/>
    <col min="12802" max="12802" width="88.28515625" style="1988" customWidth="1"/>
    <col min="12803" max="13057" width="9.140625" style="1988"/>
    <col min="13058" max="13058" width="88.28515625" style="1988" customWidth="1"/>
    <col min="13059" max="13313" width="9.140625" style="1988"/>
    <col min="13314" max="13314" width="88.28515625" style="1988" customWidth="1"/>
    <col min="13315" max="13569" width="9.140625" style="1988"/>
    <col min="13570" max="13570" width="88.28515625" style="1988" customWidth="1"/>
    <col min="13571" max="13825" width="9.140625" style="1988"/>
    <col min="13826" max="13826" width="88.28515625" style="1988" customWidth="1"/>
    <col min="13827" max="14081" width="9.140625" style="1988"/>
    <col min="14082" max="14082" width="88.28515625" style="1988" customWidth="1"/>
    <col min="14083" max="14337" width="9.140625" style="1988"/>
    <col min="14338" max="14338" width="88.28515625" style="1988" customWidth="1"/>
    <col min="14339" max="14593" width="9.140625" style="1988"/>
    <col min="14594" max="14594" width="88.28515625" style="1988" customWidth="1"/>
    <col min="14595" max="14849" width="9.140625" style="1988"/>
    <col min="14850" max="14850" width="88.28515625" style="1988" customWidth="1"/>
    <col min="14851" max="15105" width="9.140625" style="1988"/>
    <col min="15106" max="15106" width="88.28515625" style="1988" customWidth="1"/>
    <col min="15107" max="15361" width="9.140625" style="1988"/>
    <col min="15362" max="15362" width="88.28515625" style="1988" customWidth="1"/>
    <col min="15363" max="15617" width="9.140625" style="1988"/>
    <col min="15618" max="15618" width="88.28515625" style="1988" customWidth="1"/>
    <col min="15619" max="15873" width="9.140625" style="1988"/>
    <col min="15874" max="15874" width="88.28515625" style="1988" customWidth="1"/>
    <col min="15875" max="16129" width="9.140625" style="1988"/>
    <col min="16130" max="16130" width="88.28515625" style="1988" customWidth="1"/>
    <col min="16131" max="16384" width="9.140625" style="1988"/>
  </cols>
  <sheetData>
    <row r="1" spans="2:2" ht="32.25" customHeight="1"/>
    <row r="2" spans="2:2" ht="72">
      <c r="B2" s="2346" t="s">
        <v>1853</v>
      </c>
    </row>
    <row r="3" spans="2:2" ht="72" hidden="1">
      <c r="B3" s="2346" t="s">
        <v>1854</v>
      </c>
    </row>
    <row r="4" spans="2:2" ht="18">
      <c r="B4" s="2346"/>
    </row>
    <row r="5" spans="2:2" ht="54">
      <c r="B5" s="2346" t="s">
        <v>1855</v>
      </c>
    </row>
    <row r="6" spans="2:2" ht="7.5" customHeight="1">
      <c r="B6" s="2346"/>
    </row>
    <row r="7" spans="2:2" ht="18">
      <c r="B7" s="2347" t="s">
        <v>1856</v>
      </c>
    </row>
    <row r="8" spans="2:2" ht="18">
      <c r="B8" s="2347" t="s">
        <v>1858</v>
      </c>
    </row>
    <row r="9" spans="2:2" ht="18">
      <c r="B9" s="2347" t="s">
        <v>1859</v>
      </c>
    </row>
    <row r="10" spans="2:2" ht="18">
      <c r="B10" s="2348"/>
    </row>
    <row r="11" spans="2:2" ht="54">
      <c r="B11" s="2349" t="s">
        <v>1857</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3633"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453634"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2"/>
  <sheetViews>
    <sheetView showGridLines="0" zoomScale="85" workbookViewId="0"/>
  </sheetViews>
  <sheetFormatPr defaultRowHeight="12.75"/>
  <cols>
    <col min="2" max="2" width="38.42578125" customWidth="1"/>
    <col min="3" max="3" width="12.85546875" customWidth="1"/>
    <col min="7" max="7" width="15.85546875" customWidth="1"/>
    <col min="16" max="16" width="14" customWidth="1"/>
    <col min="17" max="17" width="13.42578125" customWidth="1"/>
  </cols>
  <sheetData>
    <row r="1" spans="1:29">
      <c r="A1" s="311"/>
      <c r="B1" s="311"/>
      <c r="C1" s="311"/>
      <c r="D1" s="311"/>
      <c r="E1" s="311"/>
      <c r="F1" s="311"/>
      <c r="G1" s="311"/>
      <c r="H1" s="311"/>
      <c r="I1" s="311"/>
      <c r="J1" s="311"/>
      <c r="K1" s="311"/>
      <c r="L1" s="311"/>
      <c r="M1" s="311"/>
      <c r="N1" s="311"/>
      <c r="O1" s="311"/>
      <c r="P1" s="311"/>
      <c r="Q1" s="311"/>
      <c r="R1" s="311"/>
      <c r="S1" s="311"/>
      <c r="T1" s="311"/>
      <c r="U1" s="311"/>
      <c r="V1" s="311"/>
      <c r="W1" s="311"/>
      <c r="X1" s="311"/>
      <c r="Y1" s="311"/>
      <c r="Z1" s="311"/>
      <c r="AA1" s="311"/>
      <c r="AB1" s="311"/>
      <c r="AC1" s="311"/>
    </row>
    <row r="2" spans="1:29" ht="28.5" customHeight="1">
      <c r="A2" s="311"/>
      <c r="B2" s="312" t="s">
        <v>1291</v>
      </c>
      <c r="C2" s="311"/>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row>
    <row r="3" spans="1:29" ht="15.75">
      <c r="A3" s="311"/>
      <c r="B3" s="313" t="s">
        <v>556</v>
      </c>
      <c r="C3" s="313" t="s">
        <v>618</v>
      </c>
      <c r="D3" s="311"/>
      <c r="E3" s="311"/>
      <c r="F3" s="311"/>
      <c r="G3" s="311"/>
      <c r="H3" s="311"/>
      <c r="I3" s="311"/>
      <c r="J3" s="311"/>
      <c r="K3" s="311"/>
      <c r="L3" s="311"/>
      <c r="M3" s="311"/>
      <c r="N3" s="311"/>
      <c r="O3" s="311"/>
      <c r="P3" s="311"/>
      <c r="Q3" s="311"/>
      <c r="R3" s="311"/>
      <c r="S3" s="311"/>
      <c r="T3" s="311"/>
      <c r="U3" s="311"/>
      <c r="V3" s="311"/>
      <c r="W3" s="311"/>
      <c r="X3" s="311"/>
      <c r="Y3" s="311"/>
      <c r="Z3" s="311"/>
      <c r="AA3" s="311"/>
      <c r="AB3" s="311"/>
      <c r="AC3" s="311"/>
    </row>
    <row r="4" spans="1:29" ht="15.75">
      <c r="A4" s="311"/>
      <c r="B4" s="313" t="s">
        <v>598</v>
      </c>
      <c r="C4" s="1997" t="s">
        <v>1514</v>
      </c>
      <c r="D4" s="311"/>
      <c r="E4" s="311"/>
      <c r="F4" s="311"/>
      <c r="G4" s="311"/>
      <c r="H4" s="311"/>
      <c r="I4" s="311"/>
      <c r="J4" s="311"/>
      <c r="K4" s="311"/>
      <c r="L4" s="311"/>
      <c r="M4" s="311"/>
      <c r="N4" s="311"/>
      <c r="O4" s="311"/>
      <c r="P4" s="311"/>
      <c r="Q4" s="311"/>
      <c r="R4" s="311"/>
      <c r="S4" s="311"/>
      <c r="T4" s="311"/>
      <c r="U4" s="311"/>
      <c r="V4" s="311"/>
      <c r="W4" s="311"/>
      <c r="X4" s="311"/>
      <c r="Y4" s="311"/>
      <c r="Z4" s="311"/>
      <c r="AA4" s="311"/>
      <c r="AB4" s="311"/>
      <c r="AC4" s="311"/>
    </row>
    <row r="5" spans="1:29" ht="15.75">
      <c r="A5" s="311"/>
      <c r="B5" s="313" t="s">
        <v>599</v>
      </c>
      <c r="C5" s="314">
        <f ca="1">+[0]!basept</f>
        <v>43</v>
      </c>
      <c r="D5" s="311"/>
      <c r="E5" s="311"/>
      <c r="F5" s="311"/>
      <c r="G5" s="311"/>
      <c r="H5" s="311"/>
      <c r="I5" s="311"/>
      <c r="J5" s="311"/>
      <c r="K5" s="311"/>
      <c r="L5" s="311"/>
      <c r="M5" s="311"/>
      <c r="N5" s="311"/>
      <c r="O5" s="311"/>
      <c r="P5" s="311"/>
      <c r="Q5" s="311"/>
      <c r="R5" s="311"/>
      <c r="S5" s="311"/>
      <c r="T5" s="311"/>
      <c r="U5" s="311"/>
      <c r="V5" s="311"/>
      <c r="W5" s="311"/>
      <c r="X5" s="311"/>
      <c r="Y5" s="311"/>
      <c r="Z5" s="311"/>
      <c r="AA5" s="311"/>
      <c r="AB5" s="311"/>
      <c r="AC5" s="311"/>
    </row>
    <row r="6" spans="1:29" ht="15.75">
      <c r="A6" s="311"/>
      <c r="B6" s="313" t="s">
        <v>600</v>
      </c>
      <c r="C6" s="1991">
        <v>43203</v>
      </c>
      <c r="D6" s="311"/>
      <c r="E6" s="311"/>
      <c r="F6" s="311"/>
      <c r="G6" s="311"/>
      <c r="H6" s="311"/>
      <c r="I6" s="311"/>
      <c r="J6" s="311"/>
      <c r="K6" s="311"/>
      <c r="L6" s="311"/>
      <c r="M6" s="311"/>
      <c r="N6" s="311"/>
      <c r="O6" s="311"/>
      <c r="P6" s="311"/>
      <c r="Q6" s="311"/>
      <c r="R6" s="311"/>
      <c r="S6" s="311"/>
      <c r="T6" s="311"/>
      <c r="U6" s="311"/>
      <c r="V6" s="311"/>
      <c r="W6" s="311"/>
      <c r="X6" s="311"/>
      <c r="Y6" s="311"/>
      <c r="Z6" s="311"/>
      <c r="AA6" s="311"/>
      <c r="AB6" s="311"/>
      <c r="AC6" s="311"/>
    </row>
    <row r="7" spans="1:29">
      <c r="A7" s="311"/>
      <c r="B7" s="311"/>
      <c r="C7" s="311"/>
      <c r="D7" s="311"/>
      <c r="E7" s="311"/>
      <c r="F7" s="311"/>
      <c r="G7" s="311"/>
      <c r="H7" s="311"/>
      <c r="I7" s="311"/>
      <c r="J7" s="311"/>
      <c r="K7" s="311"/>
      <c r="L7" s="311"/>
      <c r="M7" s="311"/>
      <c r="N7" s="311"/>
      <c r="O7" s="311"/>
      <c r="P7" s="311"/>
      <c r="Q7" s="311"/>
      <c r="R7" s="311"/>
      <c r="S7" s="311"/>
      <c r="T7" s="311"/>
      <c r="U7" s="311"/>
      <c r="V7" s="311"/>
      <c r="W7" s="311"/>
      <c r="X7" s="311"/>
      <c r="Y7" s="311"/>
      <c r="Z7" s="311"/>
      <c r="AA7" s="311"/>
      <c r="AB7" s="311"/>
      <c r="AC7" s="311"/>
    </row>
    <row r="8" spans="1:29">
      <c r="A8" s="33"/>
      <c r="B8" s="315"/>
      <c r="C8" s="315"/>
      <c r="D8" s="315"/>
      <c r="E8" s="315"/>
      <c r="F8" s="315"/>
      <c r="G8" s="315"/>
      <c r="H8" s="315"/>
      <c r="I8" s="315"/>
      <c r="J8" s="315"/>
      <c r="K8" s="315"/>
      <c r="L8" s="315"/>
      <c r="M8" s="315"/>
      <c r="N8" s="315"/>
      <c r="O8" s="315"/>
      <c r="P8" s="315"/>
      <c r="Q8" s="315"/>
      <c r="R8" s="315"/>
      <c r="S8" s="33"/>
      <c r="T8" s="33"/>
      <c r="U8" s="33"/>
      <c r="V8" s="33"/>
      <c r="W8" s="33"/>
      <c r="X8" s="33"/>
      <c r="Y8" s="33"/>
      <c r="Z8" s="33"/>
      <c r="AA8" s="33"/>
      <c r="AB8" s="33"/>
      <c r="AC8" s="33"/>
    </row>
    <row r="9" spans="1:29">
      <c r="A9" s="33"/>
      <c r="B9" s="315"/>
      <c r="C9" s="315"/>
      <c r="D9" s="315"/>
      <c r="E9" s="315"/>
      <c r="F9" s="315"/>
      <c r="G9" s="315"/>
      <c r="H9" s="315"/>
      <c r="I9" s="315"/>
      <c r="J9" s="315"/>
      <c r="K9" s="315"/>
      <c r="L9" s="315"/>
      <c r="M9" s="315"/>
      <c r="N9" s="315"/>
      <c r="O9" s="315"/>
      <c r="P9" s="315"/>
      <c r="Q9" s="315"/>
      <c r="R9" s="315"/>
      <c r="S9" s="33"/>
      <c r="T9" s="33"/>
      <c r="U9" s="33"/>
      <c r="V9" s="33"/>
      <c r="W9" s="33"/>
      <c r="X9" s="33"/>
      <c r="Y9" s="33"/>
      <c r="Z9" s="33"/>
      <c r="AA9" s="33"/>
      <c r="AB9" s="33"/>
      <c r="AC9" s="33"/>
    </row>
    <row r="10" spans="1:29" ht="15.75">
      <c r="A10" s="33"/>
      <c r="B10" s="1137" t="s">
        <v>601</v>
      </c>
      <c r="C10" s="1137" t="s">
        <v>1336</v>
      </c>
      <c r="D10" s="1138"/>
      <c r="E10" s="1138"/>
      <c r="F10" s="1138"/>
      <c r="G10" s="1993" t="s">
        <v>1427</v>
      </c>
      <c r="I10" s="1137"/>
      <c r="J10" s="1993" t="s">
        <v>1446</v>
      </c>
      <c r="K10" s="1993"/>
      <c r="L10" s="1137"/>
      <c r="M10" s="1138"/>
      <c r="N10" s="2225"/>
      <c r="O10" s="2225"/>
      <c r="P10" s="317"/>
      <c r="Q10" s="2225"/>
      <c r="R10" s="2242"/>
      <c r="S10" s="33"/>
      <c r="T10" s="33"/>
      <c r="U10" s="33"/>
      <c r="V10" s="33"/>
      <c r="W10" s="33"/>
      <c r="X10" s="33"/>
      <c r="Y10" s="33"/>
      <c r="Z10" s="33"/>
      <c r="AA10" s="33"/>
      <c r="AB10" s="33"/>
      <c r="AC10" s="33"/>
    </row>
    <row r="11" spans="1:29" ht="15.75">
      <c r="A11" s="33"/>
      <c r="B11" s="1137" t="s">
        <v>602</v>
      </c>
      <c r="C11" s="1137" t="s">
        <v>1337</v>
      </c>
      <c r="D11" s="1138"/>
      <c r="E11" s="1138"/>
      <c r="F11" s="1138"/>
      <c r="G11" s="1993" t="s">
        <v>1428</v>
      </c>
      <c r="I11" s="1137"/>
      <c r="J11" s="1993" t="s">
        <v>1447</v>
      </c>
      <c r="K11" s="1993"/>
      <c r="L11" s="1137"/>
      <c r="M11" s="1138"/>
      <c r="N11" s="2225"/>
      <c r="O11" s="2225"/>
      <c r="P11" s="317"/>
      <c r="Q11" s="2225"/>
      <c r="R11" s="2242"/>
      <c r="S11" s="33"/>
      <c r="T11" s="33"/>
      <c r="U11" s="33"/>
      <c r="V11" s="33"/>
      <c r="W11" s="33"/>
      <c r="X11" s="33"/>
      <c r="Y11" s="33"/>
      <c r="Z11" s="33"/>
      <c r="AA11" s="33"/>
      <c r="AB11" s="33"/>
      <c r="AC11" s="33"/>
    </row>
    <row r="12" spans="1:29" ht="15.75">
      <c r="A12" s="33"/>
      <c r="B12" s="1139" t="s">
        <v>603</v>
      </c>
      <c r="C12" s="1139" t="s">
        <v>1338</v>
      </c>
      <c r="D12" s="1138"/>
      <c r="E12" s="1138"/>
      <c r="F12" s="1138"/>
      <c r="G12" s="1993" t="s">
        <v>1429</v>
      </c>
      <c r="I12" s="1139"/>
      <c r="J12" s="1993" t="s">
        <v>1448</v>
      </c>
      <c r="K12" s="1993"/>
      <c r="L12" s="1139"/>
      <c r="M12" s="1138"/>
      <c r="N12" s="2225"/>
      <c r="O12" s="2225"/>
      <c r="P12" s="317"/>
      <c r="Q12" s="2225"/>
      <c r="R12" s="2242"/>
      <c r="S12" s="33"/>
      <c r="T12" s="33"/>
      <c r="U12" s="33"/>
      <c r="V12" s="33"/>
      <c r="W12" s="33"/>
      <c r="X12" s="33"/>
      <c r="Y12" s="33"/>
      <c r="Z12" s="33"/>
      <c r="AA12" s="33"/>
      <c r="AB12" s="33"/>
      <c r="AC12" s="33"/>
    </row>
    <row r="13" spans="1:29" ht="15">
      <c r="A13" s="33"/>
      <c r="B13" s="318"/>
      <c r="C13" s="318"/>
      <c r="D13" s="318"/>
      <c r="E13" s="318"/>
      <c r="F13" s="318"/>
      <c r="G13" s="318"/>
      <c r="H13" s="318"/>
      <c r="I13" s="318"/>
      <c r="J13" s="318"/>
      <c r="K13" s="316"/>
      <c r="L13" s="318"/>
      <c r="M13" s="318"/>
      <c r="N13" s="318"/>
      <c r="O13" s="318"/>
      <c r="P13" s="318"/>
      <c r="Q13" s="318"/>
      <c r="R13" s="318"/>
      <c r="S13" s="33"/>
      <c r="T13" s="33"/>
      <c r="U13" s="33"/>
      <c r="V13" s="33"/>
      <c r="W13" s="33"/>
      <c r="X13" s="33"/>
      <c r="Y13" s="33"/>
      <c r="Z13" s="33"/>
      <c r="AA13" s="33"/>
      <c r="AB13" s="33"/>
      <c r="AC13" s="33"/>
    </row>
    <row r="14" spans="1:29">
      <c r="A14" s="33"/>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row>
    <row r="15" spans="1:29">
      <c r="A15" s="33"/>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row>
    <row r="16" spans="1:29">
      <c r="A16" s="33"/>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row>
    <row r="17" spans="1:29">
      <c r="A17" s="33"/>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row>
    <row r="18" spans="1:29">
      <c r="A18" s="33"/>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row>
    <row r="19" spans="1:29">
      <c r="A19" s="33"/>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row>
    <row r="20" spans="1:29">
      <c r="A20" s="33"/>
      <c r="B20" s="780"/>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row>
    <row r="21" spans="1:29">
      <c r="A21" s="33"/>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row>
    <row r="22" spans="1:29">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row>
    <row r="23" spans="1:29">
      <c r="A23" s="33"/>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row>
    <row r="24" spans="1:29">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row>
    <row r="25" spans="1:29">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row>
    <row r="26" spans="1:29">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row>
    <row r="27" spans="1:29">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row>
    <row r="28" spans="1:29">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row>
    <row r="29" spans="1:29">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row>
    <row r="30" spans="1:29">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row>
    <row r="31" spans="1:29">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row>
    <row r="32" spans="1:29">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row>
    <row r="33" spans="1:29">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row>
    <row r="34" spans="1:29">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row>
    <row r="35" spans="1:29">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row>
    <row r="36" spans="1:29">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row>
    <row r="37" spans="1:29">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row>
    <row r="38" spans="1:29">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row>
    <row r="39" spans="1:29">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row>
    <row r="40" spans="1:29">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row>
    <row r="41" spans="1:29">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row>
    <row r="42" spans="1:29">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row>
    <row r="43" spans="1:29">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row>
    <row r="44" spans="1:29">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row>
    <row r="45" spans="1:29">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row>
    <row r="46" spans="1:29">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row>
    <row r="47" spans="1:29">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row>
    <row r="48" spans="1:29">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row>
    <row r="49" spans="1:29">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row>
    <row r="50" spans="1:29">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row>
    <row r="51" spans="1:29">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row>
    <row r="52" spans="1:29">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row>
    <row r="53" spans="1:29">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row>
    <row r="54" spans="1:29">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row>
    <row r="55" spans="1:29">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row>
    <row r="56" spans="1:29">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row>
    <row r="57" spans="1:29">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row>
    <row r="58" spans="1:29">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row>
    <row r="59" spans="1:29">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row>
    <row r="60" spans="1:29">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row>
    <row r="61" spans="1:29">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row>
    <row r="62" spans="1:29">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row>
    <row r="63" spans="1:29">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row>
    <row r="64" spans="1:29">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row>
    <row r="65" spans="1:29">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row>
    <row r="66" spans="1:29">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row>
    <row r="67" spans="1:29">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row>
    <row r="68" spans="1:29">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row>
    <row r="69" spans="1:29">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row>
    <row r="70" spans="1:29">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row>
    <row r="71" spans="1:29">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row>
    <row r="72" spans="1:29">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row>
  </sheetData>
  <phoneticPr fontId="2" type="noConversion"/>
  <hyperlinks>
    <hyperlink ref="C12" r:id="rId1" display="devin.mcdermott@morganstanley.com"/>
  </hyperlinks>
  <pageMargins left="0.75" right="0.75" top="1" bottom="1" header="0.5" footer="0.5"/>
  <pageSetup orientation="portrait" r:id="rId2"/>
  <headerFooter alignWithMargins="0"/>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V172"/>
  <sheetViews>
    <sheetView zoomScale="85" zoomScaleNormal="85" workbookViewId="0">
      <pane ySplit="4" topLeftCell="A5" activePane="bottomLeft" state="frozen"/>
      <selection pane="bottomLeft" activeCell="A5" sqref="A5"/>
    </sheetView>
  </sheetViews>
  <sheetFormatPr defaultColWidth="9.28515625" defaultRowHeight="12.75" outlineLevelCol="1"/>
  <cols>
    <col min="1" max="2" width="2.7109375" customWidth="1"/>
    <col min="3" max="3" width="39.5703125" customWidth="1"/>
    <col min="4" max="4" width="2.7109375" customWidth="1"/>
    <col min="5" max="23" width="1.7109375" hidden="1" customWidth="1" outlineLevel="1"/>
    <col min="24" max="24" width="9.28515625" customWidth="1" collapsed="1"/>
    <col min="25" max="28" width="1.7109375" hidden="1" customWidth="1" outlineLevel="1"/>
    <col min="29" max="29" width="9.28515625" customWidth="1" collapsed="1"/>
    <col min="30" max="33" width="1.7109375" hidden="1" customWidth="1" outlineLevel="1"/>
    <col min="34" max="34" width="9.28515625" customWidth="1" collapsed="1"/>
    <col min="35" max="37" width="1.7109375" hidden="1" customWidth="1" outlineLevel="1"/>
    <col min="38" max="38" width="2.140625" hidden="1" customWidth="1" outlineLevel="1"/>
    <col min="39" max="39" width="9.42578125" customWidth="1" collapsed="1"/>
    <col min="40" max="42" width="1.7109375" hidden="1" customWidth="1" outlineLevel="1"/>
    <col min="43" max="43" width="2.140625" hidden="1" customWidth="1" outlineLevel="1"/>
    <col min="44" max="44" width="9.42578125" customWidth="1" collapsed="1"/>
    <col min="45" max="47" width="1.7109375" hidden="1" customWidth="1" outlineLevel="1"/>
    <col min="48" max="48" width="2.140625" hidden="1" customWidth="1" outlineLevel="1"/>
    <col min="49" max="49" width="9.42578125" customWidth="1" collapsed="1"/>
    <col min="50" max="52" width="1.7109375" hidden="1" customWidth="1" outlineLevel="1"/>
    <col min="53" max="53" width="2.140625" hidden="1" customWidth="1" outlineLevel="1"/>
    <col min="54" max="54" width="9.42578125" customWidth="1" collapsed="1"/>
    <col min="55" max="57" width="1.7109375" hidden="1" customWidth="1" outlineLevel="1"/>
    <col min="58" max="58" width="2.140625" hidden="1" customWidth="1" outlineLevel="1"/>
    <col min="59" max="59" width="9.42578125" customWidth="1" collapsed="1"/>
    <col min="60" max="62" width="1.7109375" hidden="1" customWidth="1" outlineLevel="1"/>
    <col min="63" max="63" width="2.140625" hidden="1" customWidth="1" outlineLevel="1"/>
    <col min="64" max="64" width="9.42578125" customWidth="1" collapsed="1"/>
    <col min="65" max="67" width="1.7109375" hidden="1" customWidth="1" outlineLevel="1"/>
    <col min="68" max="68" width="2.140625" hidden="1" customWidth="1" outlineLevel="1"/>
    <col min="69" max="69" width="9.42578125" customWidth="1" collapsed="1"/>
    <col min="70" max="70" width="9.140625" customWidth="1" collapsed="1"/>
    <col min="71" max="72" width="2.7109375" customWidth="1"/>
    <col min="73" max="73" width="39.7109375" customWidth="1"/>
    <col min="74" max="74" width="2.7109375" customWidth="1"/>
    <col min="75" max="80" width="9.42578125" customWidth="1"/>
    <col min="81" max="81" width="9.42578125" style="22" customWidth="1"/>
    <col min="82" max="85" width="9.28515625" customWidth="1"/>
    <col min="86" max="86" width="25.28515625" customWidth="1"/>
    <col min="87" max="119" width="9.28515625" customWidth="1"/>
    <col min="120" max="125" width="9.28515625" hidden="1" customWidth="1" outlineLevel="1"/>
    <col min="126" max="126" width="9.28515625" collapsed="1"/>
  </cols>
  <sheetData>
    <row r="1" spans="1:119" ht="15" customHeight="1">
      <c r="A1" s="469"/>
      <c r="B1" s="469"/>
      <c r="C1" s="469"/>
      <c r="D1" s="470"/>
      <c r="E1" s="471"/>
      <c r="F1" s="471"/>
      <c r="G1" s="471"/>
      <c r="H1" s="471"/>
      <c r="I1" s="471"/>
      <c r="J1" s="471"/>
      <c r="K1" s="471"/>
      <c r="L1" s="471"/>
      <c r="M1" s="471"/>
      <c r="N1" s="471"/>
      <c r="O1" s="471"/>
      <c r="P1" s="471"/>
      <c r="Q1" s="471"/>
      <c r="R1" s="471"/>
      <c r="S1" s="471"/>
      <c r="T1" s="471"/>
      <c r="U1" s="471"/>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471"/>
      <c r="BS1" s="471"/>
      <c r="BT1" s="471"/>
      <c r="BU1" s="471"/>
      <c r="BV1" s="471"/>
      <c r="BW1" s="471"/>
      <c r="BX1" s="471"/>
      <c r="BY1" s="471"/>
      <c r="BZ1" s="471"/>
      <c r="CA1" s="471"/>
      <c r="CB1" s="471"/>
      <c r="CC1" s="1387"/>
      <c r="CD1" s="471"/>
      <c r="CE1" s="471"/>
      <c r="CF1" s="471"/>
      <c r="CG1" s="471"/>
    </row>
    <row r="2" spans="1:119" ht="15" customHeight="1">
      <c r="A2" s="469"/>
      <c r="B2" s="469" t="str">
        <f>Cover!B2</f>
        <v>Exelon Corporation</v>
      </c>
      <c r="C2" s="469"/>
      <c r="D2" s="470"/>
      <c r="E2" s="471"/>
      <c r="F2" s="471"/>
      <c r="G2" s="471"/>
      <c r="H2" s="471"/>
      <c r="I2" s="471"/>
      <c r="J2" s="471"/>
      <c r="K2" s="471"/>
      <c r="L2" s="471"/>
      <c r="M2" s="471"/>
      <c r="N2" s="693"/>
      <c r="O2" s="471"/>
      <c r="P2" s="471"/>
      <c r="Q2" s="471"/>
      <c r="R2" s="471"/>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471"/>
      <c r="BS2" s="471"/>
      <c r="BT2" s="471"/>
      <c r="BU2" s="471"/>
      <c r="BV2" s="471"/>
      <c r="BW2" s="471"/>
      <c r="BX2" s="471"/>
      <c r="BY2" s="471"/>
      <c r="BZ2" s="471"/>
      <c r="CA2" s="471"/>
      <c r="CB2" s="471"/>
      <c r="CC2" s="1387"/>
      <c r="CD2" s="471"/>
      <c r="CE2" s="471"/>
      <c r="CF2" s="471"/>
      <c r="CG2" s="471"/>
    </row>
    <row r="3" spans="1:119" ht="15" customHeight="1">
      <c r="A3" s="579"/>
      <c r="B3" s="472" t="s">
        <v>589</v>
      </c>
      <c r="C3" s="472"/>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471"/>
      <c r="BS3" s="471"/>
      <c r="BT3" s="471"/>
      <c r="BU3" s="471"/>
      <c r="BV3" s="471"/>
      <c r="BW3" s="471"/>
      <c r="BX3" s="471"/>
      <c r="BY3" s="471"/>
      <c r="BZ3" s="471"/>
      <c r="CA3" s="471"/>
      <c r="CB3" s="471"/>
      <c r="CC3" s="1387"/>
      <c r="CD3" s="471"/>
      <c r="CE3" s="471"/>
      <c r="CF3" s="471"/>
      <c r="CG3" s="471"/>
    </row>
    <row r="4" spans="1:119">
      <c r="A4" s="549"/>
      <c r="B4" s="12" t="s">
        <v>69</v>
      </c>
      <c r="C4" s="12"/>
      <c r="D4" s="549"/>
      <c r="E4" s="473"/>
      <c r="F4" s="473"/>
      <c r="G4" s="473"/>
      <c r="H4" s="473"/>
      <c r="I4" s="473"/>
      <c r="J4" s="473"/>
      <c r="K4" s="473"/>
      <c r="L4" s="473"/>
      <c r="M4" s="473"/>
      <c r="N4" s="473"/>
      <c r="O4" s="473"/>
      <c r="P4" s="473"/>
      <c r="Q4" s="473"/>
      <c r="R4" s="473"/>
      <c r="S4" s="473"/>
      <c r="T4" s="473"/>
      <c r="U4" s="473"/>
      <c r="V4" s="473"/>
      <c r="W4" s="473"/>
      <c r="X4" s="473"/>
      <c r="Y4" s="473"/>
      <c r="Z4" s="473"/>
      <c r="AA4" s="473"/>
      <c r="AB4" s="473"/>
      <c r="AC4" s="473"/>
      <c r="AD4" s="473"/>
      <c r="AE4" s="473"/>
      <c r="AF4" s="473"/>
      <c r="AG4" s="473"/>
      <c r="AH4" s="473"/>
      <c r="AI4" s="473"/>
      <c r="AJ4" s="473"/>
      <c r="AK4" s="473"/>
      <c r="AL4" s="473"/>
      <c r="AM4" s="1995"/>
      <c r="AN4" s="473"/>
      <c r="AO4" s="473"/>
      <c r="AP4" s="473"/>
      <c r="AQ4" s="473"/>
      <c r="AR4" s="1995"/>
      <c r="AS4" s="473"/>
      <c r="AT4" s="473"/>
      <c r="AU4" s="473"/>
      <c r="AV4" s="473"/>
      <c r="AW4" s="1995"/>
      <c r="AX4" s="473"/>
      <c r="AY4" s="473"/>
      <c r="AZ4" s="473"/>
      <c r="BA4" s="473"/>
      <c r="BB4" s="1995"/>
      <c r="BC4" s="473"/>
      <c r="BD4" s="473"/>
      <c r="BE4" s="473"/>
      <c r="BF4" s="473"/>
      <c r="BG4" s="1995"/>
      <c r="BH4" s="473"/>
      <c r="BI4" s="473"/>
      <c r="BJ4" s="473"/>
      <c r="BK4" s="473"/>
      <c r="BL4" s="1995"/>
      <c r="BM4" s="473"/>
      <c r="BN4" s="473"/>
      <c r="BO4" s="473"/>
      <c r="BP4" s="473"/>
      <c r="BQ4" s="1995"/>
      <c r="BR4" s="1996"/>
      <c r="BS4" s="473"/>
      <c r="BT4" s="473"/>
      <c r="BU4" s="473"/>
      <c r="BV4" s="473"/>
      <c r="BW4" s="473"/>
      <c r="BX4" s="473"/>
      <c r="BY4" s="473"/>
      <c r="BZ4" s="473"/>
      <c r="CA4" s="473"/>
      <c r="CB4" s="473"/>
      <c r="CC4" s="1388"/>
      <c r="CD4" s="473"/>
      <c r="CE4" s="473"/>
      <c r="CF4" s="473"/>
      <c r="CG4" s="473"/>
    </row>
    <row r="5" spans="1:119">
      <c r="A5" s="694"/>
      <c r="B5" s="694"/>
      <c r="C5" s="695"/>
      <c r="D5" s="696"/>
      <c r="E5" s="18"/>
      <c r="F5" s="18"/>
      <c r="G5" s="18"/>
      <c r="H5" s="18"/>
      <c r="I5" s="18"/>
      <c r="J5" s="18"/>
      <c r="K5" s="18"/>
      <c r="L5" s="18"/>
      <c r="M5" s="18"/>
      <c r="N5" s="18"/>
      <c r="O5" s="18"/>
      <c r="P5" s="18"/>
      <c r="Q5" s="18"/>
      <c r="R5" s="18"/>
      <c r="S5" s="18"/>
      <c r="T5" s="18"/>
      <c r="U5" s="18"/>
      <c r="V5" s="18"/>
      <c r="W5" s="18"/>
      <c r="X5" s="18"/>
      <c r="Y5" s="18"/>
      <c r="Z5" s="18"/>
      <c r="AA5" s="18"/>
      <c r="AB5" s="18"/>
      <c r="AC5" s="497"/>
      <c r="AD5" s="18"/>
      <c r="AE5" s="18"/>
      <c r="AF5" s="18"/>
      <c r="AG5" s="18"/>
      <c r="AH5" s="483"/>
      <c r="AI5" s="481"/>
      <c r="AJ5" s="481"/>
      <c r="AK5" s="481"/>
      <c r="AL5" s="481"/>
      <c r="AM5" s="483"/>
      <c r="AN5" s="481"/>
      <c r="AO5" s="481"/>
      <c r="AP5" s="481"/>
      <c r="AQ5" s="481"/>
      <c r="AR5" s="483"/>
      <c r="AS5" s="18"/>
      <c r="AT5" s="18"/>
      <c r="AU5" s="18"/>
      <c r="AV5" s="18"/>
      <c r="AW5" s="483"/>
      <c r="AX5" s="18"/>
      <c r="AY5" s="18"/>
      <c r="AZ5" s="18"/>
      <c r="BA5" s="18"/>
      <c r="BB5" s="483"/>
      <c r="BC5" s="18"/>
      <c r="BD5" s="18"/>
      <c r="BE5" s="18"/>
      <c r="BF5" s="18"/>
      <c r="BG5" s="483"/>
      <c r="BH5" s="18"/>
      <c r="BI5" s="18"/>
      <c r="BJ5" s="18"/>
      <c r="BK5" s="18"/>
      <c r="BL5" s="483"/>
      <c r="BM5" s="18"/>
      <c r="BN5" s="18"/>
      <c r="BO5" s="18"/>
      <c r="BP5" s="18"/>
      <c r="BQ5" s="483"/>
      <c r="BR5" s="517"/>
      <c r="BS5" s="18"/>
      <c r="BT5" s="18"/>
      <c r="BU5" s="18"/>
      <c r="BV5" s="18"/>
      <c r="BW5" s="18"/>
      <c r="BX5" s="18"/>
      <c r="BY5" s="18"/>
      <c r="CA5" s="18"/>
      <c r="CB5" s="18"/>
      <c r="CD5" s="18"/>
      <c r="CE5" s="18"/>
      <c r="CF5" s="18"/>
      <c r="CG5" s="18"/>
      <c r="CH5" s="18"/>
      <c r="CM5" s="528"/>
    </row>
    <row r="6" spans="1:119">
      <c r="B6" s="231" t="s">
        <v>1058</v>
      </c>
      <c r="C6" s="231"/>
      <c r="D6" s="14"/>
      <c r="E6" s="697"/>
      <c r="F6" s="697"/>
      <c r="G6" s="697"/>
      <c r="H6" s="697"/>
      <c r="I6" s="697"/>
      <c r="J6" s="697"/>
      <c r="K6" s="697"/>
      <c r="L6" s="697"/>
      <c r="M6" s="697"/>
      <c r="N6" s="697"/>
      <c r="O6" s="697"/>
      <c r="P6" s="697"/>
      <c r="Q6" s="697"/>
      <c r="R6" s="697"/>
      <c r="S6" s="697"/>
      <c r="T6" s="697"/>
      <c r="U6" s="697"/>
      <c r="V6" s="697"/>
      <c r="W6" s="697"/>
      <c r="X6" s="697" t="s">
        <v>1253</v>
      </c>
      <c r="Y6" s="697"/>
      <c r="Z6" s="697"/>
      <c r="AA6" s="697"/>
      <c r="AB6" s="697"/>
      <c r="AC6" s="697" t="s">
        <v>921</v>
      </c>
      <c r="AD6" s="697"/>
      <c r="AE6" s="697"/>
      <c r="AF6" s="697"/>
      <c r="AG6" s="697"/>
      <c r="AH6" s="697" t="s">
        <v>1343</v>
      </c>
      <c r="AI6" s="697"/>
      <c r="AJ6" s="697"/>
      <c r="AK6" s="697"/>
      <c r="AL6" s="697"/>
      <c r="AM6" s="697" t="s">
        <v>1410</v>
      </c>
      <c r="AN6" s="697"/>
      <c r="AO6" s="697"/>
      <c r="AP6" s="697"/>
      <c r="AQ6" s="697"/>
      <c r="AR6" s="697" t="s">
        <v>1502</v>
      </c>
      <c r="AS6" s="697"/>
      <c r="AT6" s="697"/>
      <c r="AU6" s="697"/>
      <c r="AV6" s="697"/>
      <c r="AW6" s="697" t="s">
        <v>1539</v>
      </c>
      <c r="AX6" s="697"/>
      <c r="AY6" s="697"/>
      <c r="AZ6" s="697"/>
      <c r="BA6" s="697"/>
      <c r="BB6" s="697" t="s">
        <v>935</v>
      </c>
      <c r="BC6" s="697"/>
      <c r="BD6" s="697"/>
      <c r="BE6" s="697"/>
      <c r="BF6" s="697"/>
      <c r="BG6" s="697" t="s">
        <v>1369</v>
      </c>
      <c r="BH6" s="697"/>
      <c r="BI6" s="697"/>
      <c r="BJ6" s="697"/>
      <c r="BK6" s="697"/>
      <c r="BL6" s="697" t="s">
        <v>1370</v>
      </c>
      <c r="BM6" s="697"/>
      <c r="BN6" s="697"/>
      <c r="BO6" s="697"/>
      <c r="BP6" s="697"/>
      <c r="BQ6" s="697" t="s">
        <v>1520</v>
      </c>
      <c r="BR6" s="697"/>
      <c r="BT6" s="231" t="s">
        <v>590</v>
      </c>
      <c r="BU6" s="231"/>
      <c r="BV6" s="14"/>
      <c r="BX6" s="697" t="s">
        <v>591</v>
      </c>
      <c r="BY6" s="697" t="s">
        <v>592</v>
      </c>
      <c r="BZ6" s="697" t="s">
        <v>593</v>
      </c>
      <c r="CA6" s="1165"/>
      <c r="CB6" s="18"/>
      <c r="CD6" s="18"/>
      <c r="CE6" s="18"/>
      <c r="CF6" s="18"/>
      <c r="CG6" s="18"/>
      <c r="CH6" s="231" t="s">
        <v>1506</v>
      </c>
      <c r="CI6" s="2302">
        <v>2017</v>
      </c>
      <c r="CJ6" s="2254">
        <f>CI6+1</f>
        <v>2018</v>
      </c>
      <c r="CK6" s="2254">
        <f t="shared" ref="CK6:DO6" si="0">CJ6+1</f>
        <v>2019</v>
      </c>
      <c r="CL6" s="2254">
        <f t="shared" si="0"/>
        <v>2020</v>
      </c>
      <c r="CM6" s="2254">
        <f t="shared" si="0"/>
        <v>2021</v>
      </c>
      <c r="CN6" s="2254">
        <f t="shared" si="0"/>
        <v>2022</v>
      </c>
      <c r="CO6" s="2254">
        <f t="shared" si="0"/>
        <v>2023</v>
      </c>
      <c r="CP6" s="2254">
        <f t="shared" si="0"/>
        <v>2024</v>
      </c>
      <c r="CQ6" s="2254">
        <f t="shared" si="0"/>
        <v>2025</v>
      </c>
      <c r="CR6" s="2254">
        <f t="shared" si="0"/>
        <v>2026</v>
      </c>
      <c r="CS6" s="2254">
        <f t="shared" si="0"/>
        <v>2027</v>
      </c>
      <c r="CT6" s="2254">
        <f t="shared" si="0"/>
        <v>2028</v>
      </c>
      <c r="CU6" s="2254">
        <f t="shared" si="0"/>
        <v>2029</v>
      </c>
      <c r="CV6" s="2254">
        <f t="shared" si="0"/>
        <v>2030</v>
      </c>
      <c r="CW6" s="2254">
        <f t="shared" si="0"/>
        <v>2031</v>
      </c>
      <c r="CX6" s="2254">
        <f t="shared" si="0"/>
        <v>2032</v>
      </c>
      <c r="CY6" s="2254">
        <f t="shared" si="0"/>
        <v>2033</v>
      </c>
      <c r="CZ6" s="2254">
        <f t="shared" si="0"/>
        <v>2034</v>
      </c>
      <c r="DA6" s="2254">
        <f t="shared" si="0"/>
        <v>2035</v>
      </c>
      <c r="DB6" s="2254">
        <f t="shared" si="0"/>
        <v>2036</v>
      </c>
      <c r="DC6" s="2254">
        <f t="shared" si="0"/>
        <v>2037</v>
      </c>
      <c r="DD6" s="2254">
        <f t="shared" si="0"/>
        <v>2038</v>
      </c>
      <c r="DE6" s="2254">
        <f t="shared" si="0"/>
        <v>2039</v>
      </c>
      <c r="DF6" s="2254">
        <f t="shared" si="0"/>
        <v>2040</v>
      </c>
      <c r="DG6" s="2254">
        <f t="shared" si="0"/>
        <v>2041</v>
      </c>
      <c r="DH6" s="2254">
        <f t="shared" si="0"/>
        <v>2042</v>
      </c>
      <c r="DI6" s="2254">
        <f t="shared" si="0"/>
        <v>2043</v>
      </c>
      <c r="DJ6" s="2254">
        <f t="shared" si="0"/>
        <v>2044</v>
      </c>
      <c r="DK6" s="2254">
        <f t="shared" si="0"/>
        <v>2045</v>
      </c>
      <c r="DL6" s="2254">
        <f t="shared" si="0"/>
        <v>2046</v>
      </c>
      <c r="DM6" s="2254">
        <f t="shared" si="0"/>
        <v>2047</v>
      </c>
      <c r="DN6" s="2254">
        <f t="shared" si="0"/>
        <v>2048</v>
      </c>
      <c r="DO6" s="2254">
        <f t="shared" si="0"/>
        <v>2049</v>
      </c>
    </row>
    <row r="7" spans="1:119">
      <c r="C7" t="s">
        <v>1054</v>
      </c>
      <c r="N7" s="483"/>
      <c r="X7" s="483">
        <f>SUM(Financial!X11:X16)</f>
        <v>1.0341880341880336</v>
      </c>
      <c r="AC7" s="483">
        <f>SUM(Financial!AC11:AC16)</f>
        <v>1.1732558139534883</v>
      </c>
      <c r="AH7" s="483">
        <f>SUM(Financial!AH11:AH16)</f>
        <v>1.113425925925926</v>
      </c>
      <c r="AM7" s="483">
        <f>SUM(Financial!AM11:AM16)</f>
        <v>1.2194848824188129</v>
      </c>
      <c r="AR7" s="483">
        <f>SUM(Financial!AR11:AR16)</f>
        <v>1.3368975518784743</v>
      </c>
      <c r="AW7" s="483">
        <f>SUM(Financial!AW11:AW16)</f>
        <v>1.8068617415620731</v>
      </c>
      <c r="BB7" s="483">
        <f ca="1">SUM(Financial!BB11:BB16)</f>
        <v>1.8996977322503741</v>
      </c>
      <c r="BG7" s="483">
        <f ca="1">SUM(Financial!BG11:BG16)</f>
        <v>1.9909240450095396</v>
      </c>
      <c r="BL7" s="483">
        <f ca="1">SUM(Financial!BL11:BL16)</f>
        <v>2.1575206333812305</v>
      </c>
      <c r="BQ7" s="483">
        <f ca="1">SUM(Financial!BQ11:BQ16)</f>
        <v>2.2850971326359497</v>
      </c>
      <c r="BU7" t="s">
        <v>41</v>
      </c>
      <c r="BX7" s="743" t="s">
        <v>1533</v>
      </c>
      <c r="BY7" s="743" t="s">
        <v>1533</v>
      </c>
      <c r="BZ7" s="743" t="s">
        <v>1533</v>
      </c>
      <c r="CA7" s="514"/>
      <c r="CC7" s="1389"/>
      <c r="CH7" s="806" t="s">
        <v>1507</v>
      </c>
      <c r="CI7" s="1393">
        <f>(SUM(ExGen!$AU$369:'ExGen'!$AV$369)+SUM(ExGen!$AU$356:'ExGen'!$AV$356)+SUM(ExGen!$AU$343:'ExGen'!$AV$343))*17.48/1000</f>
        <v>142.85012591999998</v>
      </c>
      <c r="CJ7" s="1393">
        <f>SUM(ExGen!$BB$343,ExGen!$BB$356,ExGen!$BB$369)*17.48/1000</f>
        <v>270.66339647999996</v>
      </c>
      <c r="CK7" s="1393">
        <f>(SUM(ExGen!$BC$343,ExGen!$BC$356,ExGen!$BC$369)*17.48/1000)+((SUM(ExGen!$BD$369:$BF$369)+SUM(ExGen!$BD$356:$BF$356)+SUM(ExGen!$BD$343:$BF$343))*ExGen!$CF$367/1000)</f>
        <v>285.95450122119883</v>
      </c>
      <c r="CL7" s="1393">
        <f>SUM(ExGen!$BL$343,ExGen!$BL$356,ExGen!$BL$369)*ExGen!$CF$368/1000</f>
        <v>295.98296876633094</v>
      </c>
      <c r="CM7" s="22">
        <f>(SUM(ExGen!$BM$343,ExGen!$BM$356,ExGen!$BM$369)*ExGen!$CF$369/1000)+((SUM(ExGen!$BN$369:$BP$369)+SUM(ExGen!$BN$356:$BP$356)+SUM(ExGen!$BN$343:$BP$343))*ExGen!$CF$370/1000)</f>
        <v>324.08287772627523</v>
      </c>
      <c r="CN7" s="22">
        <f t="shared" ref="CN7:CT8" si="1">CM7</f>
        <v>324.08287772627523</v>
      </c>
      <c r="CO7" s="22">
        <f t="shared" si="1"/>
        <v>324.08287772627523</v>
      </c>
      <c r="CP7" s="22">
        <f t="shared" si="1"/>
        <v>324.08287772627523</v>
      </c>
      <c r="CQ7" s="22">
        <f t="shared" si="1"/>
        <v>324.08287772627523</v>
      </c>
      <c r="CR7" s="22">
        <f t="shared" si="1"/>
        <v>324.08287772627523</v>
      </c>
      <c r="CS7" s="22">
        <f t="shared" si="1"/>
        <v>324.08287772627523</v>
      </c>
      <c r="CT7" s="22">
        <f t="shared" si="1"/>
        <v>324.08287772627523</v>
      </c>
      <c r="CU7" s="22">
        <f>CT7</f>
        <v>324.08287772627523</v>
      </c>
      <c r="CV7" s="22">
        <f t="shared" ref="CV7:CY8" si="2">CU7</f>
        <v>324.08287772627523</v>
      </c>
      <c r="CW7" s="22">
        <f t="shared" si="2"/>
        <v>324.08287772627523</v>
      </c>
      <c r="CX7" s="22">
        <f t="shared" si="2"/>
        <v>324.08287772627523</v>
      </c>
      <c r="CY7" s="22">
        <f t="shared" si="2"/>
        <v>324.08287772627523</v>
      </c>
      <c r="CZ7" s="22">
        <f>CY7*(SUM(ExGen!BL369,ExGen!BL356,ExGen!BL343)-(ExGen!BK369/3*1.5))/(SUM(ExGen!BL369,ExGen!BL356,ExGen!BL343))</f>
        <v>306.79790754204544</v>
      </c>
      <c r="DA7" s="22">
        <f>CY7*(1-(ExGen!BL369/(ExGen!BL369+ExGen!BL356+ExGen!BL343)))</f>
        <v>185.80311625243681</v>
      </c>
      <c r="DB7" s="22">
        <f>DA7</f>
        <v>185.80311625243681</v>
      </c>
      <c r="DC7" s="22">
        <f t="shared" ref="DC7:DK7" si="3">DB7</f>
        <v>185.80311625243681</v>
      </c>
      <c r="DD7" s="22">
        <f t="shared" si="3"/>
        <v>185.80311625243681</v>
      </c>
      <c r="DE7" s="22">
        <f t="shared" si="3"/>
        <v>185.80311625243681</v>
      </c>
      <c r="DF7" s="22">
        <f t="shared" si="3"/>
        <v>185.80311625243681</v>
      </c>
      <c r="DG7" s="22">
        <f t="shared" si="3"/>
        <v>185.80311625243681</v>
      </c>
      <c r="DH7" s="22">
        <f t="shared" si="3"/>
        <v>185.80311625243681</v>
      </c>
      <c r="DI7" s="22">
        <f t="shared" si="3"/>
        <v>185.80311625243681</v>
      </c>
      <c r="DJ7" s="22">
        <f t="shared" si="3"/>
        <v>185.80311625243681</v>
      </c>
      <c r="DK7" s="22">
        <f t="shared" si="3"/>
        <v>185.80311625243681</v>
      </c>
      <c r="DL7" s="22">
        <f>DK7*(SUM(ExGen!BL343,ExGen!BL356)-(ExGen!BK356/2/12))/SUM(ExGen!BL343,ExGen!BL356)</f>
        <v>184.36270207041764</v>
      </c>
      <c r="DM7" s="22">
        <f>DK7*(1-((ExGen!BL356/2)/SUM(ExGen!BL356,ExGen!BL343)))</f>
        <v>116.6632355155176</v>
      </c>
      <c r="DN7" s="22">
        <f>DM7</f>
        <v>116.6632355155176</v>
      </c>
      <c r="DO7" s="22">
        <f>DN7/12*9</f>
        <v>87.497426636638195</v>
      </c>
    </row>
    <row r="8" spans="1:119">
      <c r="C8" t="s">
        <v>1055</v>
      </c>
      <c r="N8" s="483"/>
      <c r="X8" s="483">
        <f>Financial!X10</f>
        <v>1.8901098901098901</v>
      </c>
      <c r="AC8" s="483">
        <f>Financial!AC10</f>
        <v>1.3976744186046512</v>
      </c>
      <c r="AH8" s="483">
        <f>Financial!AH10</f>
        <v>1.3368055555555556</v>
      </c>
      <c r="AM8" s="483">
        <f>Financial!AM10</f>
        <v>1.4031354983202688</v>
      </c>
      <c r="AR8" s="483">
        <f>Financial!AR10</f>
        <v>1.2740021574973031</v>
      </c>
      <c r="AW8" s="483">
        <f>Financial!AW10</f>
        <v>1.0252897787144362</v>
      </c>
      <c r="BB8" s="483">
        <f ca="1">Financial!BB10</f>
        <v>1.3614617459216412</v>
      </c>
      <c r="BG8" s="483">
        <f ca="1">Financial!BG10</f>
        <v>1.0853586048340591</v>
      </c>
      <c r="BL8" s="483">
        <f ca="1">Financial!BL10</f>
        <v>0.87632824193144221</v>
      </c>
      <c r="BQ8" s="483">
        <f ca="1">Financial!BQ10</f>
        <v>0.98462970093463387</v>
      </c>
      <c r="BU8" t="s">
        <v>1054</v>
      </c>
      <c r="BX8" s="1970">
        <f ca="1">(9%*48%*BG105)/BG113</f>
        <v>1.7572457590460322</v>
      </c>
      <c r="BY8" s="991">
        <f ca="1">BG7</f>
        <v>1.9909240450095396</v>
      </c>
      <c r="BZ8" s="1970">
        <f ca="1">(10%*51%*BG105)/BG113</f>
        <v>2.0745262433182328</v>
      </c>
      <c r="CA8" s="481"/>
      <c r="CC8" s="1389"/>
      <c r="CH8" s="806" t="s">
        <v>1508</v>
      </c>
      <c r="CI8">
        <f>ExGen!$CF$312*ExGen!$CC$312/1000+ExGen!$CF$320*ExGen!$CC$320/1000</f>
        <v>235</v>
      </c>
      <c r="CJ8">
        <f>ExGen!$CF$313*ExGen!$CC$313/1000+ExGen!$CF$321*ExGen!$CC$321/1000</f>
        <v>235</v>
      </c>
      <c r="CK8">
        <f>ExGen!$CF$314*ExGen!$CC$314/1000+ExGen!$CF$322*ExGen!$CC$322/1000</f>
        <v>235</v>
      </c>
      <c r="CL8">
        <f>ExGen!$CF$315*ExGen!$CC$315/1000+ExGen!$CF$323*ExGen!$CC$323/1000</f>
        <v>235</v>
      </c>
      <c r="CM8">
        <f>ExGen!$CF$316*ExGen!$CC$316/1000+ExGen!$CF$324*ExGen!$CC$324/1000</f>
        <v>235</v>
      </c>
      <c r="CN8" s="22">
        <f>CM8</f>
        <v>235</v>
      </c>
      <c r="CO8" s="22">
        <f t="shared" si="1"/>
        <v>235</v>
      </c>
      <c r="CP8" s="22">
        <f t="shared" si="1"/>
        <v>235</v>
      </c>
      <c r="CQ8" s="22">
        <f t="shared" si="1"/>
        <v>235</v>
      </c>
      <c r="CR8" s="22">
        <f t="shared" si="1"/>
        <v>235</v>
      </c>
      <c r="CS8" s="22">
        <f>CR8</f>
        <v>235</v>
      </c>
      <c r="CT8" s="22">
        <f>CS8</f>
        <v>235</v>
      </c>
      <c r="CU8" s="22">
        <f>CT8</f>
        <v>235</v>
      </c>
      <c r="CV8" s="22">
        <f>CU8</f>
        <v>235</v>
      </c>
      <c r="CW8" s="22">
        <f t="shared" si="2"/>
        <v>235</v>
      </c>
      <c r="CX8" s="22">
        <f t="shared" si="2"/>
        <v>235</v>
      </c>
      <c r="CY8" s="22">
        <f>CX8*(ExGen!BL317/SUM(ExGen!BL317,ExGen!BL304))</f>
        <v>101.51619433198381</v>
      </c>
      <c r="CZ8" s="22">
        <f>CY8</f>
        <v>101.51619433198381</v>
      </c>
      <c r="DA8" s="22">
        <f>CZ8</f>
        <v>101.51619433198381</v>
      </c>
      <c r="DB8" s="22">
        <f t="shared" ref="DB8:DK8" si="4">DA8</f>
        <v>101.51619433198381</v>
      </c>
      <c r="DC8" s="22">
        <f t="shared" si="4"/>
        <v>101.51619433198381</v>
      </c>
      <c r="DD8" s="22">
        <f t="shared" si="4"/>
        <v>101.51619433198381</v>
      </c>
      <c r="DE8" s="22">
        <f t="shared" si="4"/>
        <v>101.51619433198381</v>
      </c>
      <c r="DF8" s="22">
        <f t="shared" si="4"/>
        <v>101.51619433198381</v>
      </c>
      <c r="DG8" s="22">
        <f t="shared" si="4"/>
        <v>101.51619433198381</v>
      </c>
      <c r="DH8" s="22">
        <f t="shared" si="4"/>
        <v>101.51619433198381</v>
      </c>
      <c r="DI8" s="22">
        <f t="shared" si="4"/>
        <v>101.51619433198381</v>
      </c>
      <c r="DJ8" s="22">
        <f t="shared" si="4"/>
        <v>101.51619433198381</v>
      </c>
      <c r="DK8" s="22">
        <f t="shared" si="4"/>
        <v>101.51619433198381</v>
      </c>
      <c r="DL8" s="22">
        <f>DK8/12*10</f>
        <v>84.596828609986517</v>
      </c>
      <c r="DM8">
        <v>0</v>
      </c>
      <c r="DN8">
        <v>0</v>
      </c>
      <c r="DO8">
        <v>0</v>
      </c>
    </row>
    <row r="9" spans="1:119">
      <c r="C9" t="s">
        <v>1056</v>
      </c>
      <c r="N9" s="483"/>
      <c r="X9" s="483">
        <f>Financial!X17</f>
        <v>-7.9365079365079361E-2</v>
      </c>
      <c r="AC9" s="483">
        <f>Financial!AC17</f>
        <v>-7.2093023255813959E-2</v>
      </c>
      <c r="AH9" s="483">
        <f>Financial!AH17</f>
        <v>-5.6712962962962965E-2</v>
      </c>
      <c r="AM9" s="483">
        <f>Financial!AM17</f>
        <v>-0.12877939529675264</v>
      </c>
      <c r="AR9" s="483">
        <f>Financial!AR17</f>
        <v>7.3354908306364611E-2</v>
      </c>
      <c r="AW9" s="483">
        <f>Financial!AW17</f>
        <v>-0.22971548998946259</v>
      </c>
      <c r="BB9" s="483">
        <f ca="1">Financial!BB17</f>
        <v>-0.20167836890399624</v>
      </c>
      <c r="BG9" s="483">
        <f ca="1">Financial!BG17</f>
        <v>-0.17025102531936037</v>
      </c>
      <c r="BL9" s="483">
        <f ca="1">Financial!BL17</f>
        <v>-0.1985815304609955</v>
      </c>
      <c r="BQ9" s="483">
        <f ca="1">Financial!BQ17</f>
        <v>-0.24181340579457344</v>
      </c>
      <c r="BU9" t="s">
        <v>1056</v>
      </c>
      <c r="BX9" s="483">
        <f ca="1">+BY9</f>
        <v>-0.17025102531936037</v>
      </c>
      <c r="BY9" s="483">
        <f ca="1">+BG9</f>
        <v>-0.17025102531936037</v>
      </c>
      <c r="BZ9" s="483">
        <f ca="1">+BY9</f>
        <v>-0.17025102531936037</v>
      </c>
      <c r="CH9" s="806" t="s">
        <v>1509</v>
      </c>
      <c r="CI9" s="506">
        <f>-SUM(CI7:CI8)*$CK$25</f>
        <v>-79.348526443199987</v>
      </c>
      <c r="CJ9" s="506">
        <f>-SUM(CJ7:CJ8)*$CK$25</f>
        <v>-106.18931326079999</v>
      </c>
      <c r="CK9" s="506">
        <f>-SUM(CK7:CK8)*$CK$25</f>
        <v>-109.40044525645175</v>
      </c>
      <c r="CL9" s="506">
        <f>-SUM(CL7:CL8)*$CK$25</f>
        <v>-111.5064234409295</v>
      </c>
      <c r="CM9" s="506">
        <f t="shared" ref="CM9:DO9" si="5">-SUM(CM7:CM8)*$CK$25</f>
        <v>-117.40740432251779</v>
      </c>
      <c r="CN9" s="506">
        <f t="shared" si="5"/>
        <v>-117.40740432251779</v>
      </c>
      <c r="CO9" s="506">
        <f t="shared" si="5"/>
        <v>-117.40740432251779</v>
      </c>
      <c r="CP9" s="506">
        <f t="shared" si="5"/>
        <v>-117.40740432251779</v>
      </c>
      <c r="CQ9" s="506">
        <f t="shared" si="5"/>
        <v>-117.40740432251779</v>
      </c>
      <c r="CR9" s="506">
        <f t="shared" si="5"/>
        <v>-117.40740432251779</v>
      </c>
      <c r="CS9" s="506">
        <f t="shared" si="5"/>
        <v>-117.40740432251779</v>
      </c>
      <c r="CT9" s="506">
        <f t="shared" si="5"/>
        <v>-117.40740432251779</v>
      </c>
      <c r="CU9" s="506">
        <f t="shared" si="5"/>
        <v>-117.40740432251779</v>
      </c>
      <c r="CV9" s="506">
        <f t="shared" si="5"/>
        <v>-117.40740432251779</v>
      </c>
      <c r="CW9" s="506">
        <f t="shared" si="5"/>
        <v>-117.40740432251779</v>
      </c>
      <c r="CX9" s="506">
        <f t="shared" si="5"/>
        <v>-117.40740432251779</v>
      </c>
      <c r="CY9" s="506">
        <f t="shared" si="5"/>
        <v>-89.37580513223439</v>
      </c>
      <c r="CZ9" s="506">
        <f t="shared" si="5"/>
        <v>-85.745961393546139</v>
      </c>
      <c r="DA9" s="506">
        <f t="shared" si="5"/>
        <v>-60.337055222728331</v>
      </c>
      <c r="DB9" s="506">
        <f t="shared" si="5"/>
        <v>-60.337055222728331</v>
      </c>
      <c r="DC9" s="506">
        <f t="shared" si="5"/>
        <v>-60.337055222728331</v>
      </c>
      <c r="DD9" s="506">
        <f t="shared" si="5"/>
        <v>-60.337055222728331</v>
      </c>
      <c r="DE9" s="506">
        <f t="shared" si="5"/>
        <v>-60.337055222728331</v>
      </c>
      <c r="DF9" s="506">
        <f t="shared" si="5"/>
        <v>-60.337055222728331</v>
      </c>
      <c r="DG9" s="506">
        <f t="shared" si="5"/>
        <v>-60.337055222728331</v>
      </c>
      <c r="DH9" s="506">
        <f t="shared" si="5"/>
        <v>-60.337055222728331</v>
      </c>
      <c r="DI9" s="506">
        <f t="shared" si="5"/>
        <v>-60.337055222728331</v>
      </c>
      <c r="DJ9" s="506">
        <f t="shared" si="5"/>
        <v>-60.337055222728331</v>
      </c>
      <c r="DK9" s="506">
        <f t="shared" si="5"/>
        <v>-60.337055222728331</v>
      </c>
      <c r="DL9" s="506">
        <f t="shared" si="5"/>
        <v>-56.48150144288487</v>
      </c>
      <c r="DM9" s="506">
        <f t="shared" si="5"/>
        <v>-24.499279458258695</v>
      </c>
      <c r="DN9" s="506">
        <f t="shared" si="5"/>
        <v>-24.499279458258695</v>
      </c>
      <c r="DO9" s="506">
        <f t="shared" si="5"/>
        <v>-18.37445959369402</v>
      </c>
    </row>
    <row r="10" spans="1:119" collapsed="1">
      <c r="C10" s="34" t="s">
        <v>486</v>
      </c>
      <c r="D10" s="34"/>
      <c r="E10" s="34"/>
      <c r="F10" s="34"/>
      <c r="G10" s="34"/>
      <c r="H10" s="34"/>
      <c r="I10" s="34"/>
      <c r="J10" s="34"/>
      <c r="K10" s="34"/>
      <c r="L10" s="34"/>
      <c r="M10" s="34"/>
      <c r="N10" s="755"/>
      <c r="O10" s="755">
        <f>EXC!O53</f>
        <v>1.1716867469879517</v>
      </c>
      <c r="P10" s="755">
        <f>EXC!P53</f>
        <v>1.0496987951807228</v>
      </c>
      <c r="Q10" s="755">
        <f>EXC!Q53</f>
        <v>1.1172932330827068</v>
      </c>
      <c r="R10" s="755">
        <f>EXC!R53</f>
        <v>0.81831831831831836</v>
      </c>
      <c r="S10" s="755"/>
      <c r="T10" s="755"/>
      <c r="U10" s="755"/>
      <c r="V10" s="755"/>
      <c r="W10" s="755"/>
      <c r="X10" s="755">
        <f>SUM(X7:X9)</f>
        <v>2.8449328449328442</v>
      </c>
      <c r="Y10" s="755"/>
      <c r="Z10" s="755"/>
      <c r="AA10" s="755"/>
      <c r="AB10" s="755"/>
      <c r="AC10" s="755">
        <f>SUM(AC7:AC9)</f>
        <v>2.4988372093023257</v>
      </c>
      <c r="AD10" s="755"/>
      <c r="AE10" s="755"/>
      <c r="AF10" s="755"/>
      <c r="AG10" s="755"/>
      <c r="AH10" s="755">
        <f>SUM(AH7:AH9)</f>
        <v>2.393518518518519</v>
      </c>
      <c r="AI10" s="755"/>
      <c r="AJ10" s="755"/>
      <c r="AK10" s="755"/>
      <c r="AL10" s="755"/>
      <c r="AM10" s="755">
        <f>SUM(AM7:AM9)</f>
        <v>2.4938409854423291</v>
      </c>
      <c r="AN10" s="755"/>
      <c r="AO10" s="755"/>
      <c r="AP10" s="755"/>
      <c r="AQ10" s="755"/>
      <c r="AR10" s="755">
        <f>SUM(AR7:AR9)</f>
        <v>2.684254617682142</v>
      </c>
      <c r="AS10" s="755"/>
      <c r="AT10" s="755"/>
      <c r="AU10" s="755"/>
      <c r="AV10" s="755"/>
      <c r="AW10" s="755">
        <f>SUM(AW7:AW9)</f>
        <v>2.6024360302870471</v>
      </c>
      <c r="AX10" s="755"/>
      <c r="AY10" s="755"/>
      <c r="AZ10" s="755"/>
      <c r="BA10" s="755"/>
      <c r="BB10" s="755">
        <f ca="1">SUM(BB7:BB9)</f>
        <v>3.059481109268019</v>
      </c>
      <c r="BC10" s="755"/>
      <c r="BD10" s="755"/>
      <c r="BE10" s="755"/>
      <c r="BF10" s="755"/>
      <c r="BG10" s="755">
        <f ca="1">SUM(BG7:BG9)</f>
        <v>2.9060316245242381</v>
      </c>
      <c r="BH10" s="755"/>
      <c r="BI10" s="755"/>
      <c r="BJ10" s="755"/>
      <c r="BK10" s="755"/>
      <c r="BL10" s="755">
        <f ca="1">SUM(BL7:BL9)</f>
        <v>2.8352673448516774</v>
      </c>
      <c r="BM10" s="755"/>
      <c r="BN10" s="755"/>
      <c r="BO10" s="755"/>
      <c r="BP10" s="755"/>
      <c r="BQ10" s="755">
        <f ca="1">SUM(BQ7:BQ9)</f>
        <v>3.02791342777601</v>
      </c>
      <c r="BU10" s="34" t="s">
        <v>944</v>
      </c>
      <c r="BX10" s="755">
        <f ca="1">+BX8+BX9</f>
        <v>1.5869947337266719</v>
      </c>
      <c r="BY10" s="755">
        <f ca="1">+BY8+BY9</f>
        <v>1.8206730196901793</v>
      </c>
      <c r="BZ10" s="755">
        <f ca="1">+BZ8+BZ9</f>
        <v>1.9042752179988724</v>
      </c>
      <c r="CC10" s="1390"/>
      <c r="CH10" s="34" t="s">
        <v>1510</v>
      </c>
      <c r="CI10" s="2256">
        <f t="shared" ref="CI10:DO10" si="6">SUM(CI7:CI9)</f>
        <v>298.50159947679998</v>
      </c>
      <c r="CJ10" s="2256">
        <f t="shared" si="6"/>
        <v>399.4740832192</v>
      </c>
      <c r="CK10" s="2256">
        <f t="shared" si="6"/>
        <v>411.55405596474708</v>
      </c>
      <c r="CL10" s="2256">
        <f t="shared" si="6"/>
        <v>419.47654532540145</v>
      </c>
      <c r="CM10" s="2256">
        <f t="shared" si="6"/>
        <v>441.67547340375745</v>
      </c>
      <c r="CN10" s="2256">
        <f t="shared" si="6"/>
        <v>441.67547340375745</v>
      </c>
      <c r="CO10" s="2256">
        <f t="shared" si="6"/>
        <v>441.67547340375745</v>
      </c>
      <c r="CP10" s="2256">
        <f t="shared" si="6"/>
        <v>441.67547340375745</v>
      </c>
      <c r="CQ10" s="2256">
        <f t="shared" si="6"/>
        <v>441.67547340375745</v>
      </c>
      <c r="CR10" s="2256">
        <f t="shared" si="6"/>
        <v>441.67547340375745</v>
      </c>
      <c r="CS10" s="2256">
        <f t="shared" si="6"/>
        <v>441.67547340375745</v>
      </c>
      <c r="CT10" s="2256">
        <f t="shared" si="6"/>
        <v>441.67547340375745</v>
      </c>
      <c r="CU10" s="2256">
        <f t="shared" si="6"/>
        <v>441.67547340375745</v>
      </c>
      <c r="CV10" s="2256">
        <f t="shared" si="6"/>
        <v>441.67547340375745</v>
      </c>
      <c r="CW10" s="2256">
        <f t="shared" si="6"/>
        <v>441.67547340375745</v>
      </c>
      <c r="CX10" s="2256">
        <f t="shared" si="6"/>
        <v>441.67547340375745</v>
      </c>
      <c r="CY10" s="2256">
        <f t="shared" si="6"/>
        <v>336.22326692602462</v>
      </c>
      <c r="CZ10" s="2256">
        <f t="shared" si="6"/>
        <v>322.56814048048307</v>
      </c>
      <c r="DA10" s="2256">
        <f t="shared" si="6"/>
        <v>226.9822553616923</v>
      </c>
      <c r="DB10" s="2256">
        <f t="shared" si="6"/>
        <v>226.9822553616923</v>
      </c>
      <c r="DC10" s="2256">
        <f t="shared" si="6"/>
        <v>226.9822553616923</v>
      </c>
      <c r="DD10" s="2256">
        <f t="shared" si="6"/>
        <v>226.9822553616923</v>
      </c>
      <c r="DE10" s="2256">
        <f t="shared" si="6"/>
        <v>226.9822553616923</v>
      </c>
      <c r="DF10" s="2256">
        <f t="shared" si="6"/>
        <v>226.9822553616923</v>
      </c>
      <c r="DG10" s="2256">
        <f t="shared" si="6"/>
        <v>226.9822553616923</v>
      </c>
      <c r="DH10" s="2256">
        <f t="shared" si="6"/>
        <v>226.9822553616923</v>
      </c>
      <c r="DI10" s="2256">
        <f t="shared" si="6"/>
        <v>226.9822553616923</v>
      </c>
      <c r="DJ10" s="2256">
        <f t="shared" si="6"/>
        <v>226.9822553616923</v>
      </c>
      <c r="DK10" s="2256">
        <f t="shared" si="6"/>
        <v>226.9822553616923</v>
      </c>
      <c r="DL10" s="2256">
        <f t="shared" si="6"/>
        <v>212.47802923751928</v>
      </c>
      <c r="DM10" s="2256">
        <f t="shared" si="6"/>
        <v>92.163956057258901</v>
      </c>
      <c r="DN10" s="2256">
        <f t="shared" si="6"/>
        <v>92.163956057258901</v>
      </c>
      <c r="DO10" s="2256">
        <f t="shared" si="6"/>
        <v>69.122967042944168</v>
      </c>
    </row>
    <row r="11" spans="1:119">
      <c r="B11" s="1653" t="s">
        <v>618</v>
      </c>
      <c r="C11" s="212" t="s">
        <v>1124</v>
      </c>
      <c r="X11" s="711"/>
      <c r="Y11" s="1384"/>
      <c r="Z11" s="1384"/>
      <c r="AA11" s="1384"/>
      <c r="AB11" s="1384"/>
      <c r="AC11" s="711"/>
      <c r="AD11" s="1384"/>
      <c r="AE11" s="1384"/>
      <c r="AF11" s="1384"/>
      <c r="AG11" s="1384"/>
      <c r="AH11" s="1980"/>
      <c r="AI11" s="1652"/>
      <c r="AJ11" s="1652"/>
      <c r="AK11" s="1652"/>
      <c r="AL11" s="1652"/>
      <c r="AM11" s="1980"/>
      <c r="AN11" s="1652"/>
      <c r="AO11" s="1652"/>
      <c r="AP11" s="1652"/>
      <c r="AQ11" s="1652"/>
      <c r="AR11" s="1980">
        <v>2.5</v>
      </c>
      <c r="AS11" s="1384"/>
      <c r="AT11" s="1384"/>
      <c r="AU11" s="1384"/>
      <c r="AV11" s="1384"/>
      <c r="AW11" s="1980">
        <v>2.64</v>
      </c>
      <c r="AX11" s="1384"/>
      <c r="AY11" s="1384"/>
      <c r="AZ11" s="1384"/>
      <c r="BA11" s="1384"/>
      <c r="BB11" s="1980">
        <v>2.78</v>
      </c>
      <c r="BC11" s="1384"/>
      <c r="BD11" s="1384"/>
      <c r="BE11" s="1384"/>
      <c r="BF11" s="1384"/>
      <c r="BG11" s="1980"/>
      <c r="BH11" s="1384"/>
      <c r="BI11" s="1384"/>
      <c r="BJ11" s="1384"/>
      <c r="BK11" s="1384"/>
      <c r="BL11" s="1980"/>
      <c r="BM11" s="1384"/>
      <c r="BN11" s="1384"/>
      <c r="BO11" s="1384"/>
      <c r="BP11" s="1384"/>
      <c r="BQ11" s="1980"/>
      <c r="BR11" s="483"/>
      <c r="BY11" s="481"/>
      <c r="CM11" s="22"/>
    </row>
    <row r="12" spans="1:119">
      <c r="AC12" s="497"/>
      <c r="AH12" s="497"/>
      <c r="AI12" s="698"/>
      <c r="AJ12" s="698"/>
      <c r="AK12" s="698"/>
      <c r="AL12" s="698"/>
      <c r="AM12" s="497"/>
      <c r="AN12" s="698"/>
      <c r="AO12" s="698"/>
      <c r="AP12" s="698"/>
      <c r="AQ12" s="698"/>
      <c r="AR12" s="497"/>
      <c r="AS12" s="698"/>
      <c r="AT12" s="698"/>
      <c r="AU12" s="698"/>
      <c r="AV12" s="698"/>
      <c r="AW12" s="497"/>
      <c r="AX12" s="698"/>
      <c r="AY12" s="698"/>
      <c r="AZ12" s="698"/>
      <c r="BA12" s="698"/>
      <c r="BB12" s="483"/>
      <c r="BC12" s="698"/>
      <c r="BD12" s="698"/>
      <c r="BE12" s="698"/>
      <c r="BF12" s="698"/>
      <c r="BG12" s="497"/>
      <c r="BH12" s="698"/>
      <c r="BI12" s="698"/>
      <c r="BJ12" s="698"/>
      <c r="BK12" s="698"/>
      <c r="BL12" s="497"/>
      <c r="BM12" s="698"/>
      <c r="BN12" s="698"/>
      <c r="BO12" s="698"/>
      <c r="BP12" s="698"/>
      <c r="BQ12" s="675"/>
      <c r="BR12" s="497"/>
      <c r="BU12" t="s">
        <v>594</v>
      </c>
      <c r="BX12" s="990">
        <f>UtilityPE</f>
        <v>17.600000000000001</v>
      </c>
      <c r="BY12" s="1955">
        <v>17.600000000000001</v>
      </c>
      <c r="BZ12" s="701">
        <f>UtilityPE</f>
        <v>17.600000000000001</v>
      </c>
      <c r="CH12" s="34" t="s">
        <v>1511</v>
      </c>
      <c r="CI12" s="521">
        <f>NPV($CK$26,CI10:$DU$10)</f>
        <v>4675.2168571663242</v>
      </c>
      <c r="CJ12" s="521">
        <f>NPV($CK$26,CJ10:$DU$10)</f>
        <v>4709.1699284026226</v>
      </c>
      <c r="CK12" s="521">
        <f>NPV($CK$26,CK10:$DU$10)</f>
        <v>4644.5649187921335</v>
      </c>
      <c r="CL12" s="521">
        <f>NPV($CK$26,CL10:$DU$10)</f>
        <v>4563.2858742026938</v>
      </c>
      <c r="CM12" s="521">
        <f>NPV($CK$26,CM10:$DU$10)</f>
        <v>4468.3045873918472</v>
      </c>
      <c r="CN12" s="521">
        <f>NPV($CK$26,CN10:$DU$10)</f>
        <v>4344.3702531975232</v>
      </c>
      <c r="CO12" s="521">
        <f>NPV($CK$26,CO10:$DU$10)</f>
        <v>4211.6229484986416</v>
      </c>
      <c r="CP12" s="521">
        <f>NPV($CK$26,CP10:$DU$10)</f>
        <v>4069.4359829626219</v>
      </c>
      <c r="CQ12" s="521">
        <f>NPV($CK$26,CQ10:$DU$10)</f>
        <v>3917.1381023073368</v>
      </c>
      <c r="CR12" s="521">
        <f>NPV($CK$26,CR10:$DU$10)</f>
        <v>3754.0103193586547</v>
      </c>
      <c r="CS12" s="521">
        <f>NPV($CK$26,CS10:$DU$10)</f>
        <v>3579.2825197644906</v>
      </c>
      <c r="CT12" s="521">
        <f>NPV($CK$26,CT10:$DU$10)</f>
        <v>3392.1298263411859</v>
      </c>
      <c r="CU12" s="521">
        <f>NPV($CK$26,CU10:$DU$10)</f>
        <v>3191.6687048885501</v>
      </c>
      <c r="CV12" s="521">
        <f>NPV($CK$26,CV10:$DU$10)</f>
        <v>2976.9527930894178</v>
      </c>
      <c r="CW12" s="521">
        <f>NPV($CK$26,CW10:$DU$10)</f>
        <v>2746.9684328022486</v>
      </c>
      <c r="CX12" s="521">
        <f>NPV($CK$26,CX10:$DU$10)</f>
        <v>2500.6298846550594</v>
      </c>
      <c r="CY12" s="521">
        <f>NPV($CK$26,CY10:$DU$10)</f>
        <v>2236.7742023491223</v>
      </c>
      <c r="CZ12" s="521">
        <f>NPV($CK$26,CZ10:$DU$10)</f>
        <v>2059.6079489521439</v>
      </c>
      <c r="DA12" s="521">
        <f>NPV($CK$26,DA10:$DU$10)</f>
        <v>1883.4985297216476</v>
      </c>
      <c r="DB12" s="521">
        <f>NPV($CK$26,DB10:$DU$10)</f>
        <v>1790.451854808462</v>
      </c>
      <c r="DC12" s="521">
        <f>NPV($CK$26,DC10:$DU$10)</f>
        <v>1690.7886308421994</v>
      </c>
      <c r="DD12" s="521">
        <f>NPV($CK$26,DD10:$DU$10)</f>
        <v>1584.0383550196962</v>
      </c>
      <c r="DE12" s="521">
        <f>NPV($CK$26,DE10:$DU$10)</f>
        <v>1469.6970670834544</v>
      </c>
      <c r="DF12" s="521">
        <f>NPV($CK$26,DF10:$DU$10)</f>
        <v>1347.2249701620665</v>
      </c>
      <c r="DG12" s="521">
        <f>NPV($CK$26,DG10:$DU$10)</f>
        <v>1216.0438824285991</v>
      </c>
      <c r="DH12" s="521">
        <f>NPV($CK$26,DH10:$DU$10)</f>
        <v>1075.5345075464045</v>
      </c>
      <c r="DI12" s="521">
        <f>NPV($CK$26,DI10:$DU$10)</f>
        <v>925.033511016337</v>
      </c>
      <c r="DJ12" s="521">
        <f>NPV($CK$26,DJ10:$DU$10)</f>
        <v>763.83038862301657</v>
      </c>
      <c r="DK12" s="521">
        <f>NPV($CK$26,DK10:$DU$10)</f>
        <v>591.16411219630686</v>
      </c>
      <c r="DL12" s="521">
        <f>NPV($CK$26,DL10:$DU$10)</f>
        <v>406.21953685289395</v>
      </c>
      <c r="DM12" s="521">
        <f>NPV($CK$26,DM10:$DU$10)</f>
        <v>222.62777888098401</v>
      </c>
      <c r="DN12" s="521">
        <f>NPV($CK$26,DN10:$DU$10)</f>
        <v>146.29488417995188</v>
      </c>
      <c r="DO12" s="521">
        <f>NPV($CK$26,DO10:$DU$10)</f>
        <v>64.533957336729344</v>
      </c>
    </row>
    <row r="13" spans="1:119" collapsed="1">
      <c r="C13" t="s">
        <v>594</v>
      </c>
      <c r="E13" s="698"/>
      <c r="F13" s="698"/>
      <c r="G13" s="698"/>
      <c r="H13" s="698"/>
      <c r="I13" s="698"/>
      <c r="J13" s="698"/>
      <c r="K13" s="698"/>
      <c r="L13" s="698"/>
      <c r="M13" s="698"/>
      <c r="N13" s="698"/>
      <c r="O13" s="698"/>
      <c r="P13" s="698"/>
      <c r="Q13" s="698"/>
      <c r="R13" s="698"/>
      <c r="S13" s="698"/>
      <c r="T13" s="698"/>
      <c r="U13" s="698"/>
      <c r="V13" s="698"/>
      <c r="W13" s="698"/>
      <c r="X13" s="699"/>
      <c r="Y13" s="698"/>
      <c r="Z13" s="698"/>
      <c r="AA13" s="698"/>
      <c r="AB13" s="698"/>
      <c r="AC13" s="699"/>
      <c r="AD13" s="698"/>
      <c r="AE13" s="698"/>
      <c r="AF13" s="698"/>
      <c r="AG13" s="698"/>
      <c r="AH13" s="1955">
        <v>14</v>
      </c>
      <c r="AI13" s="702"/>
      <c r="AJ13" s="702"/>
      <c r="AK13" s="702"/>
      <c r="AL13" s="702"/>
      <c r="AM13" s="1955">
        <v>14</v>
      </c>
      <c r="AN13" s="702"/>
      <c r="AO13" s="702"/>
      <c r="AP13" s="702"/>
      <c r="AQ13" s="702"/>
      <c r="AR13" s="1955">
        <v>14</v>
      </c>
      <c r="AS13" s="702"/>
      <c r="AT13" s="702"/>
      <c r="AU13" s="702"/>
      <c r="AV13" s="702"/>
      <c r="AW13" s="1955">
        <v>14</v>
      </c>
      <c r="AX13" s="702"/>
      <c r="AY13" s="702"/>
      <c r="AZ13" s="702"/>
      <c r="BA13" s="702"/>
      <c r="BB13" s="1955">
        <v>14</v>
      </c>
      <c r="BC13" s="702"/>
      <c r="BD13" s="702"/>
      <c r="BE13" s="702"/>
      <c r="BF13" s="702"/>
      <c r="BG13" s="1955">
        <v>14</v>
      </c>
      <c r="BH13" s="702"/>
      <c r="BI13" s="702"/>
      <c r="BJ13" s="702"/>
      <c r="BK13" s="702"/>
      <c r="BL13" s="1955">
        <v>14</v>
      </c>
      <c r="BM13" s="702"/>
      <c r="BN13" s="702"/>
      <c r="BO13" s="702"/>
      <c r="BP13" s="702"/>
      <c r="BQ13" s="1955">
        <v>14</v>
      </c>
      <c r="BU13" t="s">
        <v>42</v>
      </c>
      <c r="BX13" s="1971">
        <v>-0.05</v>
      </c>
      <c r="BY13" s="1971">
        <v>0.05</v>
      </c>
      <c r="BZ13" s="1971">
        <v>0.05</v>
      </c>
    </row>
    <row r="14" spans="1:119">
      <c r="C14" t="s">
        <v>42</v>
      </c>
      <c r="E14" s="702"/>
      <c r="F14" s="702"/>
      <c r="G14" s="702"/>
      <c r="H14" s="702"/>
      <c r="I14" s="702"/>
      <c r="J14" s="702"/>
      <c r="K14" s="702"/>
      <c r="L14" s="702"/>
      <c r="M14" s="702"/>
      <c r="N14" s="702"/>
      <c r="O14" s="702"/>
      <c r="P14" s="702"/>
      <c r="Q14" s="702"/>
      <c r="R14" s="702"/>
      <c r="S14" s="702"/>
      <c r="T14" s="702"/>
      <c r="U14" s="702"/>
      <c r="V14" s="702"/>
      <c r="W14" s="702"/>
      <c r="X14" s="703"/>
      <c r="Y14" s="702"/>
      <c r="Z14" s="702"/>
      <c r="AA14" s="702"/>
      <c r="AB14" s="702"/>
      <c r="AC14" s="703"/>
      <c r="AD14" s="702"/>
      <c r="AE14" s="702"/>
      <c r="AF14" s="702"/>
      <c r="AG14" s="702"/>
      <c r="AH14" s="1971">
        <v>0</v>
      </c>
      <c r="AI14" s="701"/>
      <c r="AJ14" s="701"/>
      <c r="AK14" s="701"/>
      <c r="AL14" s="701"/>
      <c r="AM14" s="1971">
        <v>0</v>
      </c>
      <c r="AN14" s="701"/>
      <c r="AO14" s="701"/>
      <c r="AP14" s="701"/>
      <c r="AQ14" s="701"/>
      <c r="AR14" s="1971">
        <v>0</v>
      </c>
      <c r="AS14" s="701"/>
      <c r="AT14" s="701"/>
      <c r="AU14" s="701"/>
      <c r="AV14" s="701"/>
      <c r="AW14" s="1971">
        <v>0</v>
      </c>
      <c r="AX14" s="701"/>
      <c r="AY14" s="701"/>
      <c r="AZ14" s="701"/>
      <c r="BA14" s="701"/>
      <c r="BB14" s="1971">
        <v>0</v>
      </c>
      <c r="BC14" s="701"/>
      <c r="BD14" s="701"/>
      <c r="BE14" s="701"/>
      <c r="BF14" s="701"/>
      <c r="BG14" s="1971">
        <v>0</v>
      </c>
      <c r="BH14" s="701"/>
      <c r="BI14" s="701"/>
      <c r="BJ14" s="701"/>
      <c r="BK14" s="701"/>
      <c r="BL14" s="1971">
        <v>0</v>
      </c>
      <c r="BM14" s="701"/>
      <c r="BN14" s="701"/>
      <c r="BO14" s="701"/>
      <c r="BP14" s="701"/>
      <c r="BQ14" s="1971">
        <v>0</v>
      </c>
      <c r="BT14" s="34"/>
      <c r="BU14" t="s">
        <v>43</v>
      </c>
      <c r="BX14" s="701">
        <f>+BX12*(1+BX13)</f>
        <v>16.72</v>
      </c>
      <c r="BY14" s="701">
        <f>+BY12*(1+BY13)</f>
        <v>18.480000000000004</v>
      </c>
      <c r="BZ14" s="701">
        <f>+BZ12*(1+BZ13)</f>
        <v>18.480000000000004</v>
      </c>
      <c r="CB14" s="754"/>
      <c r="CC14" s="1390"/>
      <c r="CD14" s="754"/>
      <c r="CE14" s="754"/>
    </row>
    <row r="15" spans="1:119" collapsed="1">
      <c r="A15" s="4"/>
      <c r="B15" s="4"/>
      <c r="C15" s="34" t="s">
        <v>43</v>
      </c>
      <c r="D15" s="34"/>
      <c r="E15" s="1020"/>
      <c r="F15" s="1020"/>
      <c r="G15" s="1020"/>
      <c r="H15" s="1020"/>
      <c r="I15" s="1020"/>
      <c r="J15" s="1020"/>
      <c r="K15" s="1020"/>
      <c r="L15" s="1020"/>
      <c r="M15" s="1020"/>
      <c r="N15" s="1020"/>
      <c r="O15" s="1020"/>
      <c r="P15" s="1020"/>
      <c r="Q15" s="1020"/>
      <c r="R15" s="1020"/>
      <c r="S15" s="1020"/>
      <c r="T15" s="1020"/>
      <c r="U15" s="1020"/>
      <c r="V15" s="1020"/>
      <c r="W15" s="1020"/>
      <c r="X15" s="1020"/>
      <c r="Y15" s="1020"/>
      <c r="Z15" s="1020"/>
      <c r="AA15" s="1020"/>
      <c r="AB15" s="1020"/>
      <c r="AC15" s="1020"/>
      <c r="AD15" s="1020"/>
      <c r="AE15" s="1020"/>
      <c r="AF15" s="1020"/>
      <c r="AG15" s="1020"/>
      <c r="AH15" s="1020">
        <f>+AH13*(1+AH14)</f>
        <v>14</v>
      </c>
      <c r="AM15" s="1020">
        <f>+AM13*(1+AM14)</f>
        <v>14</v>
      </c>
      <c r="AR15" s="1020">
        <f>+AR13*(1+AR14)</f>
        <v>14</v>
      </c>
      <c r="AW15" s="1020">
        <f>+AW13*(1+AW14)</f>
        <v>14</v>
      </c>
      <c r="BB15" s="1020">
        <f>+BB13*(1+BB14)</f>
        <v>14</v>
      </c>
      <c r="BG15" s="1020">
        <f>+BG13*(1+BG14)</f>
        <v>14</v>
      </c>
      <c r="BL15" s="1020">
        <f>+BL13*(1+BL14)</f>
        <v>14</v>
      </c>
      <c r="BQ15" s="1020">
        <f>+BQ13*(1+BQ14)</f>
        <v>14</v>
      </c>
      <c r="BR15" s="4"/>
      <c r="BT15" s="34"/>
      <c r="BU15" s="34" t="s">
        <v>945</v>
      </c>
      <c r="BV15" s="34"/>
      <c r="BX15" s="516">
        <f ca="1">+BX14*BX10</f>
        <v>26.534551947909954</v>
      </c>
      <c r="BY15" s="516">
        <f ca="1">+BY14*BY10</f>
        <v>33.646037403874523</v>
      </c>
      <c r="BZ15" s="516">
        <f ca="1">+BZ14*BZ10</f>
        <v>35.191006028619171</v>
      </c>
      <c r="CA15" s="1302"/>
      <c r="CC15" s="1391"/>
      <c r="CD15" s="1409"/>
      <c r="CE15" s="1409"/>
    </row>
    <row r="16" spans="1:119">
      <c r="BR16" s="1164"/>
      <c r="BT16" s="34"/>
      <c r="BY16" s="481"/>
      <c r="BZ16" s="481"/>
      <c r="CA16" s="536"/>
      <c r="CH16" s="231" t="s">
        <v>1512</v>
      </c>
      <c r="CI16" s="231"/>
      <c r="CJ16" s="231"/>
      <c r="CK16" s="231"/>
    </row>
    <row r="17" spans="2:118" collapsed="1">
      <c r="C17" s="248" t="s">
        <v>1057</v>
      </c>
      <c r="D17" s="704"/>
      <c r="E17" s="705"/>
      <c r="F17" s="705"/>
      <c r="G17" s="705"/>
      <c r="H17" s="705"/>
      <c r="I17" s="705"/>
      <c r="J17" s="705"/>
      <c r="K17" s="705"/>
      <c r="L17" s="705"/>
      <c r="M17" s="705"/>
      <c r="N17" s="705"/>
      <c r="O17" s="705"/>
      <c r="P17" s="705"/>
      <c r="Q17" s="705"/>
      <c r="R17" s="705"/>
      <c r="S17" s="705"/>
      <c r="T17" s="705"/>
      <c r="U17" s="705"/>
      <c r="V17" s="705"/>
      <c r="W17" s="705"/>
      <c r="X17" s="705"/>
      <c r="Y17" s="705"/>
      <c r="Z17" s="705"/>
      <c r="AA17" s="705"/>
      <c r="AB17" s="705"/>
      <c r="AC17" s="705"/>
      <c r="AD17" s="705"/>
      <c r="AE17" s="705"/>
      <c r="AF17" s="705"/>
      <c r="AG17" s="705"/>
      <c r="AH17" s="705"/>
      <c r="AI17" s="1140"/>
      <c r="AJ17" s="1140"/>
      <c r="AK17" s="1140"/>
      <c r="AL17" s="1140"/>
      <c r="AM17" s="705"/>
      <c r="AN17" s="1140"/>
      <c r="AO17" s="1140"/>
      <c r="AP17" s="1140"/>
      <c r="AQ17" s="1140"/>
      <c r="AR17" s="705"/>
      <c r="AS17" s="1140"/>
      <c r="AT17" s="1140"/>
      <c r="AU17" s="1140"/>
      <c r="AV17" s="1140"/>
      <c r="AW17" s="705"/>
      <c r="AX17" s="705"/>
      <c r="AY17" s="705"/>
      <c r="AZ17" s="705"/>
      <c r="BA17" s="705"/>
      <c r="BB17" s="705"/>
      <c r="BC17" s="705"/>
      <c r="BD17" s="705"/>
      <c r="BE17" s="705"/>
      <c r="BF17" s="705"/>
      <c r="BG17" s="705"/>
      <c r="BH17" s="1140"/>
      <c r="BI17" s="1140"/>
      <c r="BJ17" s="1140"/>
      <c r="BK17" s="1140"/>
      <c r="BL17" s="705"/>
      <c r="BM17" s="1140"/>
      <c r="BN17" s="1140"/>
      <c r="BO17" s="1140"/>
      <c r="BP17" s="1140"/>
      <c r="BQ17" s="706"/>
      <c r="BT17" s="232"/>
      <c r="BU17" s="34" t="s">
        <v>1504</v>
      </c>
      <c r="BV17" s="34"/>
      <c r="BX17" s="1972">
        <v>0</v>
      </c>
      <c r="BY17" s="2248">
        <f ca="1">+$BW$81</f>
        <v>5.0455183339058882</v>
      </c>
      <c r="BZ17" s="1972">
        <v>15.869176799326969</v>
      </c>
      <c r="CH17" s="2251" t="s">
        <v>53</v>
      </c>
      <c r="CI17" s="535"/>
      <c r="CJ17" s="535"/>
      <c r="CK17" s="722">
        <v>7</v>
      </c>
    </row>
    <row r="18" spans="2:118" collapsed="1">
      <c r="C18" t="s">
        <v>558</v>
      </c>
      <c r="E18" s="22"/>
      <c r="F18" s="22"/>
      <c r="G18" s="22"/>
      <c r="H18" s="22"/>
      <c r="I18" s="22"/>
      <c r="J18" s="22"/>
      <c r="K18" s="22"/>
      <c r="L18" s="22"/>
      <c r="M18" s="22"/>
      <c r="N18" s="22"/>
      <c r="O18" s="22"/>
      <c r="P18" s="22"/>
      <c r="Q18" s="22"/>
      <c r="R18" s="22"/>
      <c r="S18" s="22"/>
      <c r="T18" s="22"/>
      <c r="U18" s="22"/>
      <c r="V18" s="22"/>
      <c r="W18" s="22"/>
      <c r="Y18" s="481"/>
      <c r="Z18" s="481"/>
      <c r="AA18" s="481"/>
      <c r="AB18" s="481"/>
      <c r="AD18" s="481"/>
      <c r="AE18" s="481"/>
      <c r="AF18" s="481"/>
      <c r="AG18" s="481"/>
      <c r="AH18" s="481">
        <f>AM18</f>
        <v>41.14</v>
      </c>
      <c r="AM18" s="481">
        <f>AR18</f>
        <v>41.14</v>
      </c>
      <c r="AR18" s="481">
        <f>AW18</f>
        <v>41.14</v>
      </c>
      <c r="AW18" s="481">
        <f>BB18</f>
        <v>41.14</v>
      </c>
      <c r="BB18" s="481">
        <f>BG18</f>
        <v>41.14</v>
      </c>
      <c r="BG18" s="481">
        <f>BL18</f>
        <v>41.14</v>
      </c>
      <c r="BL18" s="481">
        <v>41.14</v>
      </c>
      <c r="BQ18" s="1982">
        <v>38.380000000000003</v>
      </c>
      <c r="BR18" s="481"/>
      <c r="BT18" s="232"/>
      <c r="BU18" s="34"/>
      <c r="BV18" s="34"/>
      <c r="BW18" s="481"/>
      <c r="BX18" s="1972"/>
      <c r="BY18" s="2248"/>
      <c r="BZ18" s="1972"/>
      <c r="CH18" s="2251" t="s">
        <v>565</v>
      </c>
      <c r="CI18" s="536"/>
      <c r="CJ18" s="536"/>
      <c r="CK18" s="722">
        <v>10</v>
      </c>
      <c r="CL18" s="714"/>
    </row>
    <row r="19" spans="2:118">
      <c r="C19" t="s">
        <v>595</v>
      </c>
      <c r="X19" s="517"/>
      <c r="AC19" s="517"/>
      <c r="AH19" s="517"/>
      <c r="AI19" s="960"/>
      <c r="AJ19" s="960"/>
      <c r="AK19" s="960"/>
      <c r="AL19" s="960"/>
      <c r="AM19" s="517"/>
      <c r="AN19" s="960"/>
      <c r="AO19" s="960"/>
      <c r="AP19" s="960"/>
      <c r="AQ19" s="960"/>
      <c r="AR19" s="517"/>
      <c r="AS19" s="960"/>
      <c r="AT19" s="960"/>
      <c r="AU19" s="960"/>
      <c r="AV19" s="960"/>
      <c r="AW19" s="517"/>
      <c r="AX19" s="960"/>
      <c r="AY19" s="960"/>
      <c r="AZ19" s="960"/>
      <c r="BA19" s="960"/>
      <c r="BB19" s="517"/>
      <c r="BC19" s="960"/>
      <c r="BD19" s="960"/>
      <c r="BE19" s="960"/>
      <c r="BF19" s="960"/>
      <c r="BG19" s="517"/>
      <c r="BH19" s="960"/>
      <c r="BI19" s="960"/>
      <c r="BJ19" s="960"/>
      <c r="BK19" s="960"/>
      <c r="BL19" s="517"/>
      <c r="BM19" s="960"/>
      <c r="BN19" s="960"/>
      <c r="BO19" s="960"/>
      <c r="BP19" s="960"/>
      <c r="BQ19" s="1982"/>
      <c r="BR19" s="481"/>
      <c r="BT19" s="232"/>
      <c r="BU19" s="156" t="s">
        <v>1505</v>
      </c>
      <c r="BV19" s="156"/>
      <c r="BW19" s="4"/>
      <c r="BX19" s="2248">
        <f>BY19</f>
        <v>4.8080382182113182</v>
      </c>
      <c r="BY19" s="2248">
        <f>CK12/EXC!BG50</f>
        <v>4.8080382182113182</v>
      </c>
      <c r="BZ19" s="1087">
        <f>BY19</f>
        <v>4.8080382182113182</v>
      </c>
      <c r="CH19" s="2251" t="s">
        <v>1316</v>
      </c>
      <c r="CK19" s="751">
        <f>CK17/CK18</f>
        <v>0.7</v>
      </c>
    </row>
    <row r="20" spans="2:118" collapsed="1">
      <c r="C20" t="s">
        <v>45</v>
      </c>
      <c r="S20" s="4"/>
      <c r="T20" s="4"/>
      <c r="U20" s="4"/>
      <c r="V20" s="4"/>
      <c r="W20" s="4"/>
      <c r="X20" s="960"/>
      <c r="Y20" s="960"/>
      <c r="Z20" s="960"/>
      <c r="AA20" s="960"/>
      <c r="AB20" s="960"/>
      <c r="AD20" s="960"/>
      <c r="AE20" s="960"/>
      <c r="AF20" s="960"/>
      <c r="AG20" s="960"/>
      <c r="AH20" s="960">
        <f>+Financial!AH61</f>
        <v>3.0140982012639764E-2</v>
      </c>
      <c r="AI20" s="28"/>
      <c r="AJ20" s="28"/>
      <c r="AK20" s="28"/>
      <c r="AL20" s="28"/>
      <c r="AM20" s="960">
        <f>+Financial!AM61</f>
        <v>3.0140982012639764E-2</v>
      </c>
      <c r="AN20" s="28"/>
      <c r="AO20" s="28"/>
      <c r="AP20" s="28"/>
      <c r="AQ20" s="28"/>
      <c r="AR20" s="960">
        <f>+Financial!AR61</f>
        <v>3.0627126883811376E-2</v>
      </c>
      <c r="AS20" s="28"/>
      <c r="AT20" s="28"/>
      <c r="AU20" s="28"/>
      <c r="AV20" s="28"/>
      <c r="AW20" s="960">
        <f>+Financial!AW61</f>
        <v>3.1842489061740399E-2</v>
      </c>
      <c r="AX20" s="28"/>
      <c r="AY20" s="28"/>
      <c r="AZ20" s="28"/>
      <c r="BA20" s="28"/>
      <c r="BB20" s="960">
        <f>+Financial!BB61</f>
        <v>3.354399611084103E-2</v>
      </c>
      <c r="BC20" s="28"/>
      <c r="BD20" s="28"/>
      <c r="BE20" s="28"/>
      <c r="BF20" s="28"/>
      <c r="BG20" s="960">
        <f>+Financial!BG61</f>
        <v>3.5221195916383077E-2</v>
      </c>
      <c r="BH20" s="28"/>
      <c r="BI20" s="28"/>
      <c r="BJ20" s="28"/>
      <c r="BK20" s="28"/>
      <c r="BL20" s="960">
        <f>+Financial!BL61</f>
        <v>3.6982255712202233E-2</v>
      </c>
      <c r="BM20" s="28"/>
      <c r="BN20" s="28"/>
      <c r="BO20" s="28"/>
      <c r="BP20" s="28"/>
      <c r="BQ20" s="960">
        <f>+Financial!BQ61</f>
        <v>3.8831368497812345E-2</v>
      </c>
      <c r="BY20" s="481"/>
      <c r="BZ20" s="481"/>
      <c r="CB20" s="536"/>
      <c r="CC20" s="536"/>
      <c r="CD20" s="536"/>
      <c r="CH20" s="2251" t="s">
        <v>1317</v>
      </c>
      <c r="CK20" s="751">
        <f>(CK18-CK17)/CK18</f>
        <v>0.3</v>
      </c>
    </row>
    <row r="21" spans="2:118">
      <c r="C21" s="248" t="s">
        <v>596</v>
      </c>
      <c r="D21" s="708"/>
      <c r="E21" s="708"/>
      <c r="F21" s="708"/>
      <c r="G21" s="708"/>
      <c r="H21" s="708"/>
      <c r="I21" s="708"/>
      <c r="J21" s="708"/>
      <c r="K21" s="708"/>
      <c r="L21" s="708"/>
      <c r="M21" s="708"/>
      <c r="N21" s="708"/>
      <c r="O21" s="708"/>
      <c r="P21" s="708"/>
      <c r="Q21" s="708"/>
      <c r="R21" s="708"/>
      <c r="S21" s="708"/>
      <c r="T21" s="708"/>
      <c r="U21" s="708"/>
      <c r="V21" s="708"/>
      <c r="W21" s="708"/>
      <c r="X21" s="709"/>
      <c r="Y21" s="708"/>
      <c r="Z21" s="708"/>
      <c r="AA21" s="708"/>
      <c r="AB21" s="708"/>
      <c r="AC21" s="709"/>
      <c r="AD21" s="708"/>
      <c r="AE21" s="708"/>
      <c r="AF21" s="708"/>
      <c r="AG21" s="708"/>
      <c r="AH21" s="709"/>
      <c r="AI21" s="235"/>
      <c r="AJ21" s="235"/>
      <c r="AK21" s="235"/>
      <c r="AL21" s="235"/>
      <c r="AM21" s="709"/>
      <c r="AN21" s="235"/>
      <c r="AO21" s="235"/>
      <c r="AP21" s="235"/>
      <c r="AQ21" s="235"/>
      <c r="AR21" s="709"/>
      <c r="AS21" s="235"/>
      <c r="AT21" s="235"/>
      <c r="AU21" s="235"/>
      <c r="AV21" s="235"/>
      <c r="AW21" s="709"/>
      <c r="AX21" s="709"/>
      <c r="AY21" s="709"/>
      <c r="AZ21" s="709"/>
      <c r="BA21" s="709"/>
      <c r="BB21" s="709"/>
      <c r="BC21" s="709"/>
      <c r="BD21" s="709"/>
      <c r="BE21" s="709"/>
      <c r="BF21" s="709"/>
      <c r="BG21" s="709"/>
      <c r="BH21" s="235"/>
      <c r="BI21" s="235"/>
      <c r="BJ21" s="235"/>
      <c r="BK21" s="235"/>
      <c r="BL21" s="709"/>
      <c r="BM21" s="235"/>
      <c r="BN21" s="235"/>
      <c r="BO21" s="235"/>
      <c r="BP21" s="235"/>
      <c r="BQ21" s="710"/>
      <c r="BU21" s="248" t="s">
        <v>44</v>
      </c>
      <c r="BV21" s="704"/>
      <c r="BW21" s="708"/>
      <c r="BX21" s="705">
        <f ca="1">BX15+BX17+BX19</f>
        <v>31.342590166121273</v>
      </c>
      <c r="BY21" s="705">
        <f t="shared" ref="BY21:BZ21" ca="1" si="7">BY15+BY17+BY19</f>
        <v>43.499593955991728</v>
      </c>
      <c r="BZ21" s="706">
        <f t="shared" ca="1" si="7"/>
        <v>55.868221046157451</v>
      </c>
      <c r="CC21" s="536"/>
      <c r="CD21" s="42"/>
      <c r="CH21" s="2251" t="s">
        <v>1328</v>
      </c>
      <c r="CK21" s="720">
        <v>7.0000000000000007E-2</v>
      </c>
      <c r="CO21" s="208"/>
      <c r="CP21" s="208"/>
      <c r="CQ21" s="208"/>
      <c r="CR21" s="209"/>
      <c r="CS21" s="209"/>
      <c r="CT21" s="209"/>
      <c r="CU21" s="213"/>
      <c r="CV21" s="213"/>
      <c r="CW21" s="217"/>
      <c r="CX21" s="1"/>
      <c r="CY21" s="1"/>
      <c r="CZ21" s="1"/>
      <c r="DA21" s="1"/>
      <c r="DB21" s="1"/>
      <c r="DC21" s="1"/>
      <c r="DD21" s="1"/>
      <c r="DE21" s="1"/>
      <c r="DF21" s="1"/>
      <c r="DG21" s="1"/>
      <c r="DH21" s="1"/>
      <c r="DI21" s="213"/>
      <c r="DJ21" s="213"/>
      <c r="DK21" s="1"/>
      <c r="DL21" s="1"/>
      <c r="DM21" s="1"/>
      <c r="DN21" s="1"/>
    </row>
    <row r="22" spans="2:118">
      <c r="BU22" s="32" t="s">
        <v>557</v>
      </c>
      <c r="BV22" s="4"/>
      <c r="BX22" s="1973">
        <f ca="1">ROUND(BX21,0)</f>
        <v>31</v>
      </c>
      <c r="BY22" s="1973">
        <f t="shared" ref="BY22:BZ22" ca="1" si="8">ROUND(BY21,0)</f>
        <v>43</v>
      </c>
      <c r="BZ22" s="1973">
        <f t="shared" ca="1" si="8"/>
        <v>56</v>
      </c>
      <c r="CH22" s="2251" t="s">
        <v>1330</v>
      </c>
      <c r="CK22" s="720">
        <v>0.03</v>
      </c>
      <c r="CO22" s="208"/>
      <c r="CP22" s="208"/>
      <c r="CQ22" s="208"/>
      <c r="CR22" s="209"/>
      <c r="CS22" s="209"/>
      <c r="CT22" s="209"/>
      <c r="CU22" s="213"/>
      <c r="CV22" s="213"/>
      <c r="CW22" s="217"/>
      <c r="CX22" s="1"/>
      <c r="CY22" s="1"/>
      <c r="CZ22" s="1"/>
      <c r="DA22" s="1"/>
      <c r="DB22" s="1"/>
      <c r="DC22" s="1"/>
      <c r="DD22" s="1"/>
      <c r="DE22" s="1"/>
      <c r="DF22" s="1"/>
      <c r="DG22" s="1"/>
      <c r="DH22" s="1"/>
      <c r="DI22" s="213"/>
      <c r="DJ22" s="213"/>
      <c r="DK22" s="1"/>
      <c r="DL22" s="1"/>
      <c r="DM22" s="1"/>
      <c r="DN22" s="1"/>
    </row>
    <row r="23" spans="2:118">
      <c r="C23" t="s">
        <v>1123</v>
      </c>
      <c r="X23" s="497"/>
      <c r="AC23" s="497"/>
      <c r="AH23" s="497">
        <f>+ExGen!AH238</f>
        <v>0.92500000000000004</v>
      </c>
      <c r="AM23" s="497">
        <f>+ExGen!AM238</f>
        <v>0.98</v>
      </c>
      <c r="AR23" s="497">
        <f>+ExGen!AR238</f>
        <v>0.995</v>
      </c>
      <c r="AW23" s="497">
        <f>+ExGen!AW238</f>
        <v>0.995</v>
      </c>
      <c r="BB23" s="497">
        <f>+ExGen!BB238</f>
        <v>0.86499999999999999</v>
      </c>
      <c r="BG23" s="497">
        <f>+ExGen!BG238</f>
        <v>0.56499999999999995</v>
      </c>
      <c r="BL23" s="497">
        <f>+ExGen!BL238</f>
        <v>0.27500000000000002</v>
      </c>
      <c r="BQ23" s="497">
        <f>+ExGen!BQ238</f>
        <v>0</v>
      </c>
      <c r="BX23" s="1300"/>
      <c r="CB23" s="1160"/>
      <c r="CH23" s="2252" t="s">
        <v>0</v>
      </c>
      <c r="CK23" s="720">
        <v>0.06</v>
      </c>
      <c r="CO23" s="208"/>
      <c r="CP23" s="208"/>
      <c r="CQ23" s="208"/>
      <c r="CR23" s="209"/>
      <c r="CS23" s="209"/>
      <c r="CT23" s="209"/>
      <c r="CU23" s="213"/>
      <c r="CV23" s="213"/>
      <c r="CW23" s="217"/>
      <c r="CX23" s="1"/>
      <c r="CY23" s="1"/>
      <c r="CZ23" s="1"/>
      <c r="DA23" s="1"/>
      <c r="DB23" s="1"/>
      <c r="DC23" s="1"/>
      <c r="DD23" s="1"/>
      <c r="DE23" s="1"/>
      <c r="DF23" s="1"/>
      <c r="DG23" s="1"/>
      <c r="DH23" s="1"/>
      <c r="DI23" s="213"/>
      <c r="DJ23" s="213"/>
      <c r="DK23" s="1"/>
      <c r="DL23" s="1"/>
      <c r="DM23" s="1"/>
      <c r="DN23" s="1"/>
    </row>
    <row r="24" spans="2:118">
      <c r="C24" t="s">
        <v>1318</v>
      </c>
      <c r="X24" s="481"/>
      <c r="AC24" s="481"/>
      <c r="AH24" s="483">
        <f>+ExGen!AH163*0.65/AH113</f>
        <v>-0.73237323394204323</v>
      </c>
      <c r="AI24" s="483"/>
      <c r="AJ24" s="483"/>
      <c r="AK24" s="483"/>
      <c r="AL24" s="483"/>
      <c r="AM24" s="483">
        <f>+ExGen!AM163*0.65/AM113</f>
        <v>1.2145259793277663</v>
      </c>
      <c r="AN24" s="483"/>
      <c r="AO24" s="483"/>
      <c r="AP24" s="483"/>
      <c r="AQ24" s="483"/>
      <c r="AR24" s="483">
        <f>+ExGen!AR163*0.65/AR113</f>
        <v>1.8612473318211531</v>
      </c>
      <c r="AS24" s="483"/>
      <c r="AT24" s="483"/>
      <c r="AU24" s="483"/>
      <c r="AV24" s="483"/>
      <c r="AW24" s="483">
        <f>+ExGen!AW163*0.65/AW113</f>
        <v>1.166962907873716</v>
      </c>
      <c r="AX24" s="483"/>
      <c r="AY24" s="483"/>
      <c r="AZ24" s="483"/>
      <c r="BA24" s="483"/>
      <c r="BB24" s="483">
        <f>+ExGen!BB163*0.65/BB113</f>
        <v>0.1413023503939928</v>
      </c>
      <c r="BC24" s="483"/>
      <c r="BD24" s="483"/>
      <c r="BE24" s="483"/>
      <c r="BF24" s="483"/>
      <c r="BG24" s="483">
        <f>+ExGen!BG163*0.65/BG113</f>
        <v>0.22848493789283206</v>
      </c>
      <c r="BH24" s="483"/>
      <c r="BI24" s="483"/>
      <c r="BJ24" s="483"/>
      <c r="BK24" s="483"/>
      <c r="BL24" s="483">
        <f>+ExGen!BL163*0.65/BL113</f>
        <v>0.13142674143369332</v>
      </c>
      <c r="BM24" s="483"/>
      <c r="BN24" s="483"/>
      <c r="BO24" s="483"/>
      <c r="BP24" s="483"/>
      <c r="BQ24" s="483">
        <f>+ExGen!BQ163*0.65/BQ113</f>
        <v>0</v>
      </c>
      <c r="BU24" t="s">
        <v>558</v>
      </c>
      <c r="BV24" s="34"/>
      <c r="BX24" s="481">
        <f>BY24</f>
        <v>38.380000000000003</v>
      </c>
      <c r="BY24" s="481">
        <f>BQ18</f>
        <v>38.380000000000003</v>
      </c>
      <c r="BZ24" s="481">
        <f>BY24</f>
        <v>38.380000000000003</v>
      </c>
      <c r="CA24" s="716">
        <v>42369</v>
      </c>
      <c r="CB24" s="1160"/>
      <c r="CH24" s="2252" t="s">
        <v>35</v>
      </c>
      <c r="CK24" s="723">
        <v>1.3</v>
      </c>
      <c r="CO24" s="208"/>
      <c r="CP24" s="208"/>
      <c r="CQ24" s="208"/>
      <c r="CR24" s="209"/>
      <c r="CS24" s="209"/>
      <c r="CT24" s="209"/>
      <c r="CU24" s="213"/>
      <c r="CV24" s="213"/>
      <c r="CW24" s="217"/>
      <c r="CX24" s="1"/>
      <c r="CY24" s="1"/>
      <c r="CZ24" s="1"/>
      <c r="DA24" s="1"/>
      <c r="DB24" s="1"/>
      <c r="DC24" s="1"/>
      <c r="DD24" s="1"/>
      <c r="DE24" s="1"/>
      <c r="DF24" s="1"/>
      <c r="DG24" s="1"/>
      <c r="DH24" s="1"/>
      <c r="DI24" s="213"/>
      <c r="DJ24" s="213"/>
      <c r="DK24" s="1"/>
      <c r="DL24" s="1"/>
      <c r="DM24" s="1"/>
      <c r="DN24" s="1"/>
    </row>
    <row r="25" spans="2:118">
      <c r="C25" s="34" t="s">
        <v>1122</v>
      </c>
      <c r="D25" s="34"/>
      <c r="E25" s="34"/>
      <c r="F25" s="34"/>
      <c r="G25" s="34"/>
      <c r="H25" s="34"/>
      <c r="I25" s="34"/>
      <c r="J25" s="34"/>
      <c r="K25" s="34"/>
      <c r="L25" s="34"/>
      <c r="M25" s="34"/>
      <c r="N25" s="34"/>
      <c r="O25" s="34"/>
      <c r="P25" s="34"/>
      <c r="Q25" s="34"/>
      <c r="R25" s="34"/>
      <c r="S25" s="34"/>
      <c r="T25" s="34"/>
      <c r="U25" s="34"/>
      <c r="V25" s="34"/>
      <c r="W25" s="34"/>
      <c r="X25" s="516"/>
      <c r="Y25" s="34"/>
      <c r="Z25" s="34"/>
      <c r="AA25" s="34"/>
      <c r="AB25" s="34"/>
      <c r="AC25" s="516"/>
      <c r="AD25" s="34"/>
      <c r="AE25" s="34"/>
      <c r="AF25" s="34"/>
      <c r="AG25" s="34"/>
      <c r="AH25" s="755">
        <f>+AH10-AH24</f>
        <v>3.1258917524605625</v>
      </c>
      <c r="AI25" s="755"/>
      <c r="AJ25" s="755"/>
      <c r="AK25" s="755"/>
      <c r="AL25" s="755"/>
      <c r="AM25" s="755">
        <f>+AM10-AM24</f>
        <v>1.2793150061145628</v>
      </c>
      <c r="AN25" s="755"/>
      <c r="AO25" s="755"/>
      <c r="AP25" s="755"/>
      <c r="AQ25" s="755"/>
      <c r="AR25" s="1990">
        <f>IF(ISERROR(+AR10-AR24),"NM",+AR10-AR24)</f>
        <v>0.82300728586098892</v>
      </c>
      <c r="AS25" s="755"/>
      <c r="AT25" s="755"/>
      <c r="AU25" s="755"/>
      <c r="AV25" s="755"/>
      <c r="AW25" s="1990">
        <f>IF(ISERROR(+AW10-AW24),"NM",+AW10-AW24)</f>
        <v>1.435473122413331</v>
      </c>
      <c r="AX25" s="755"/>
      <c r="AY25" s="755"/>
      <c r="AZ25" s="755"/>
      <c r="BA25" s="755"/>
      <c r="BB25" s="1990">
        <f ca="1">IF(ISERROR(+BB10-BB24),"NM",+BB10-BB24)</f>
        <v>2.918178758874026</v>
      </c>
      <c r="BC25" s="755"/>
      <c r="BD25" s="755"/>
      <c r="BE25" s="755"/>
      <c r="BF25" s="755"/>
      <c r="BG25" s="1990">
        <f ca="1">IF(ISERROR(+BG10-BG24),"NM",+BG10-BG24)</f>
        <v>2.6775466866314059</v>
      </c>
      <c r="BH25" s="755"/>
      <c r="BI25" s="755"/>
      <c r="BJ25" s="755"/>
      <c r="BK25" s="755"/>
      <c r="BL25" s="1990">
        <f ca="1">IF(ISERROR(+BL10-BL24),"NM",+BL10-BL24)</f>
        <v>2.703840603417984</v>
      </c>
      <c r="BM25" s="755"/>
      <c r="BN25" s="755"/>
      <c r="BO25" s="755"/>
      <c r="BP25" s="755"/>
      <c r="BQ25" s="1990">
        <f ca="1">IF(ISERROR(+BQ10-BQ24),"NM",+BQ10-BQ24)</f>
        <v>3.02791342777601</v>
      </c>
      <c r="BR25" s="1021"/>
      <c r="BU25" t="s">
        <v>595</v>
      </c>
      <c r="BV25" s="34"/>
      <c r="BX25" s="517">
        <f ca="1">BX22/BX24-1</f>
        <v>-0.19228764981761337</v>
      </c>
      <c r="BY25" s="517">
        <f ca="1">BY22/BY24-1</f>
        <v>0.12037519541427821</v>
      </c>
      <c r="BZ25" s="517">
        <f ca="1">BZ22/BZ24-1</f>
        <v>0.45909327774882747</v>
      </c>
      <c r="CA25" s="716"/>
      <c r="CB25" s="1160"/>
      <c r="CH25" s="2252" t="s">
        <v>478</v>
      </c>
      <c r="CK25" s="2300">
        <v>0.21</v>
      </c>
    </row>
    <row r="26" spans="2:118">
      <c r="X26" s="481"/>
      <c r="AC26" s="481"/>
      <c r="AH26" s="481"/>
      <c r="AM26" s="481"/>
      <c r="AR26" s="481"/>
      <c r="AW26" s="481"/>
      <c r="BB26" s="481"/>
      <c r="BG26" s="481"/>
      <c r="BL26" s="481"/>
      <c r="BQ26" s="481"/>
      <c r="BR26" s="481"/>
      <c r="BU26" t="s">
        <v>45</v>
      </c>
      <c r="BV26" s="40"/>
      <c r="BX26" s="718">
        <f>+$AH$20</f>
        <v>3.0140982012639764E-2</v>
      </c>
      <c r="BY26" s="718">
        <f>+$AH$20</f>
        <v>3.0140982012639764E-2</v>
      </c>
      <c r="BZ26" s="718">
        <f>+$AH$20</f>
        <v>3.0140982012639764E-2</v>
      </c>
      <c r="CA26" s="716"/>
      <c r="CB26" s="716"/>
      <c r="CH26" s="2253" t="s">
        <v>1264</v>
      </c>
      <c r="CI26" s="2255"/>
      <c r="CJ26" s="2255"/>
      <c r="CK26" s="727">
        <f>(CK19*(CK21*(1-CK25)))+(CK20*(CK22+(CK23*CK24)))</f>
        <v>7.1110000000000007E-2</v>
      </c>
    </row>
    <row r="27" spans="2:118">
      <c r="C27" s="232" t="s">
        <v>46</v>
      </c>
      <c r="S27" s="481"/>
      <c r="T27" s="481"/>
      <c r="U27" s="481"/>
      <c r="V27" s="481"/>
      <c r="W27" s="481"/>
      <c r="X27" s="481"/>
      <c r="Y27" s="481"/>
      <c r="Z27" s="481"/>
      <c r="AA27" s="481"/>
      <c r="AB27" s="481"/>
      <c r="AC27" s="481">
        <f>ExGen!AC51</f>
        <v>3.7244195312500001</v>
      </c>
      <c r="AD27" s="481"/>
      <c r="AE27" s="481"/>
      <c r="AF27" s="481"/>
      <c r="AG27" s="481"/>
      <c r="AH27" s="481">
        <f>ExGen!AH51</f>
        <v>4.2225776767418033</v>
      </c>
      <c r="AI27" s="481"/>
      <c r="AJ27" s="481"/>
      <c r="AK27" s="481"/>
      <c r="AL27" s="481"/>
      <c r="AM27" s="481">
        <f>ExGen!AM51</f>
        <v>2.6328803023393492</v>
      </c>
      <c r="AN27" s="481"/>
      <c r="AO27" s="481"/>
      <c r="AP27" s="481"/>
      <c r="AQ27" s="481"/>
      <c r="AR27" s="481">
        <f>ExGen!AR51</f>
        <v>2.5075177712685086</v>
      </c>
      <c r="AS27" s="481"/>
      <c r="AT27" s="481"/>
      <c r="AU27" s="481"/>
      <c r="AV27" s="481"/>
      <c r="AW27" s="481">
        <f>ExGen!AW51</f>
        <v>3.0377074340954544</v>
      </c>
      <c r="AX27" s="481"/>
      <c r="AY27" s="481"/>
      <c r="AZ27" s="481"/>
      <c r="BA27" s="481"/>
      <c r="BB27" s="481">
        <f>ExGen!BB51</f>
        <v>2.8767841530054645</v>
      </c>
      <c r="BC27" s="481"/>
      <c r="BD27" s="481"/>
      <c r="BE27" s="481"/>
      <c r="BF27" s="481"/>
      <c r="BG27" s="481">
        <f>ExGen!BG51</f>
        <v>2.7594999999999996</v>
      </c>
      <c r="BH27" s="481"/>
      <c r="BI27" s="481"/>
      <c r="BJ27" s="481"/>
      <c r="BK27" s="481"/>
      <c r="BL27" s="481">
        <f>ExGen!BL51</f>
        <v>2.8007499999999994</v>
      </c>
      <c r="BM27" s="481"/>
      <c r="BN27" s="481"/>
      <c r="BO27" s="481"/>
      <c r="BP27" s="481"/>
      <c r="BQ27" s="481">
        <f>ExGen!BQ51</f>
        <v>2.7657875000000001</v>
      </c>
      <c r="BR27" s="711"/>
      <c r="BU27" s="248" t="s">
        <v>596</v>
      </c>
      <c r="BV27" s="708"/>
      <c r="BW27" s="708"/>
      <c r="BX27" s="709">
        <f ca="1">BX25+BX26</f>
        <v>-0.16214666780497361</v>
      </c>
      <c r="BY27" s="709">
        <f ca="1">BY25+BY26</f>
        <v>0.15051617742691797</v>
      </c>
      <c r="BZ27" s="710">
        <f ca="1">BZ25+BZ26</f>
        <v>0.48923425976146723</v>
      </c>
      <c r="CA27" s="716"/>
      <c r="CB27" s="716"/>
    </row>
    <row r="28" spans="2:118">
      <c r="C28" t="s">
        <v>47</v>
      </c>
      <c r="S28" s="711"/>
      <c r="T28" s="711"/>
      <c r="U28" s="711"/>
      <c r="V28" s="711"/>
      <c r="W28" s="711"/>
      <c r="X28" s="711"/>
      <c r="Y28" s="711"/>
      <c r="Z28" s="711"/>
      <c r="AA28" s="711"/>
      <c r="AB28" s="711"/>
      <c r="AC28" s="1981">
        <v>0</v>
      </c>
      <c r="AD28" s="711"/>
      <c r="AE28" s="711"/>
      <c r="AF28" s="711"/>
      <c r="AG28" s="711"/>
      <c r="AH28" s="1981">
        <v>0</v>
      </c>
      <c r="AI28" s="711"/>
      <c r="AJ28" s="711"/>
      <c r="AK28" s="711"/>
      <c r="AL28" s="711"/>
      <c r="AM28" s="1981">
        <v>0</v>
      </c>
      <c r="AN28" s="711"/>
      <c r="AO28" s="711"/>
      <c r="AP28" s="711"/>
      <c r="AQ28" s="711"/>
      <c r="AR28" s="1981">
        <v>0</v>
      </c>
      <c r="AS28" s="711"/>
      <c r="AT28" s="711"/>
      <c r="AU28" s="711"/>
      <c r="AV28" s="711"/>
      <c r="AW28" s="1981">
        <v>0</v>
      </c>
      <c r="AX28" s="711"/>
      <c r="AY28" s="711"/>
      <c r="AZ28" s="711"/>
      <c r="BA28" s="711"/>
      <c r="BB28" s="1981">
        <v>0</v>
      </c>
      <c r="BC28" s="711"/>
      <c r="BD28" s="711"/>
      <c r="BE28" s="711"/>
      <c r="BF28" s="711"/>
      <c r="BG28" s="1981">
        <v>0</v>
      </c>
      <c r="BH28" s="711"/>
      <c r="BI28" s="711"/>
      <c r="BJ28" s="711"/>
      <c r="BK28" s="711"/>
      <c r="BL28" s="1981">
        <v>0</v>
      </c>
      <c r="BM28" s="711"/>
      <c r="BN28" s="711"/>
      <c r="BO28" s="711"/>
      <c r="BP28" s="711"/>
      <c r="BQ28" s="1981">
        <v>0</v>
      </c>
      <c r="BR28" s="1032"/>
      <c r="CA28" s="716"/>
      <c r="CB28" s="716"/>
    </row>
    <row r="29" spans="2:118">
      <c r="C29" s="1" t="s">
        <v>36</v>
      </c>
      <c r="X29" s="711"/>
      <c r="Y29" s="711"/>
      <c r="Z29" s="711"/>
      <c r="AA29" s="711"/>
      <c r="AB29" s="711"/>
      <c r="AC29" s="1981">
        <v>0</v>
      </c>
      <c r="AD29" s="711"/>
      <c r="AE29" s="711"/>
      <c r="AF29" s="711"/>
      <c r="AG29" s="711"/>
      <c r="AH29" s="1981">
        <v>0</v>
      </c>
      <c r="AI29" s="711"/>
      <c r="AJ29" s="711"/>
      <c r="AK29" s="711"/>
      <c r="AL29" s="711"/>
      <c r="AM29" s="1981">
        <v>0</v>
      </c>
      <c r="AN29" s="711"/>
      <c r="AO29" s="711"/>
      <c r="AP29" s="711"/>
      <c r="AQ29" s="711"/>
      <c r="AR29" s="1981">
        <v>0</v>
      </c>
      <c r="AS29" s="711"/>
      <c r="AT29" s="711"/>
      <c r="AU29" s="711"/>
      <c r="AV29" s="711"/>
      <c r="AW29" s="1981">
        <v>0</v>
      </c>
      <c r="AX29" s="711"/>
      <c r="AY29" s="711"/>
      <c r="AZ29" s="711"/>
      <c r="BA29" s="711"/>
      <c r="BB29" s="1981">
        <v>0</v>
      </c>
      <c r="BC29" s="711"/>
      <c r="BD29" s="711"/>
      <c r="BE29" s="711"/>
      <c r="BF29" s="711"/>
      <c r="BG29" s="1981">
        <v>0</v>
      </c>
      <c r="BH29" s="711"/>
      <c r="BI29" s="711"/>
      <c r="BJ29" s="711"/>
      <c r="BK29" s="711"/>
      <c r="BL29" s="1981">
        <v>0</v>
      </c>
      <c r="BM29" s="711"/>
      <c r="BN29" s="711"/>
      <c r="BO29" s="711"/>
      <c r="BP29" s="711"/>
      <c r="BQ29" s="1981">
        <v>0</v>
      </c>
      <c r="CA29" s="716"/>
      <c r="CB29" s="716"/>
    </row>
    <row r="30" spans="2:118">
      <c r="C30" s="1"/>
      <c r="X30" s="711"/>
      <c r="Y30" s="711"/>
      <c r="Z30" s="711"/>
      <c r="AA30" s="711"/>
      <c r="AB30" s="711"/>
      <c r="AC30" s="711"/>
      <c r="AD30" s="711"/>
      <c r="AE30" s="711"/>
      <c r="AF30" s="711"/>
      <c r="AG30" s="711"/>
      <c r="AH30" s="711"/>
      <c r="AI30" s="711"/>
      <c r="AJ30" s="711"/>
      <c r="AK30" s="711"/>
      <c r="AL30" s="711"/>
      <c r="AM30" s="711"/>
      <c r="AN30" s="711"/>
      <c r="AO30" s="711"/>
      <c r="AP30" s="711"/>
      <c r="AQ30" s="711"/>
      <c r="AR30" s="711"/>
      <c r="AS30" s="711"/>
      <c r="AT30" s="711"/>
      <c r="AU30" s="711"/>
      <c r="AV30" s="711"/>
      <c r="AW30" s="711"/>
      <c r="AX30" s="711"/>
      <c r="AY30" s="711"/>
      <c r="AZ30" s="711"/>
      <c r="BA30" s="711"/>
      <c r="BB30" s="711"/>
      <c r="BC30" s="711"/>
      <c r="BD30" s="711"/>
      <c r="BE30" s="711"/>
      <c r="BF30" s="711"/>
      <c r="BG30" s="711"/>
      <c r="BH30" s="711"/>
      <c r="BI30" s="711"/>
      <c r="BJ30" s="711"/>
      <c r="BK30" s="711"/>
      <c r="BL30" s="711"/>
      <c r="BM30" s="711"/>
      <c r="BN30" s="711"/>
      <c r="BO30" s="711"/>
      <c r="BP30" s="711"/>
      <c r="BQ30" s="711"/>
      <c r="BT30" s="210" t="s">
        <v>1066</v>
      </c>
      <c r="BU30" s="210"/>
      <c r="BV30" s="32"/>
      <c r="BX30" s="1263" t="s">
        <v>591</v>
      </c>
      <c r="BY30" s="1263" t="s">
        <v>592</v>
      </c>
      <c r="BZ30" s="1263" t="s">
        <v>593</v>
      </c>
      <c r="CA30" s="716"/>
      <c r="CB30" s="716"/>
    </row>
    <row r="31" spans="2:118">
      <c r="C31" s="1"/>
      <c r="X31" s="711"/>
      <c r="Y31" s="711"/>
      <c r="Z31" s="711"/>
      <c r="AA31" s="711"/>
      <c r="AB31" s="711"/>
      <c r="AC31" s="711"/>
      <c r="AD31" s="711"/>
      <c r="AE31" s="711"/>
      <c r="AF31" s="711"/>
      <c r="AG31" s="711"/>
      <c r="AH31" s="711"/>
      <c r="AI31" s="711"/>
      <c r="AJ31" s="711"/>
      <c r="AK31" s="711"/>
      <c r="AL31" s="711"/>
      <c r="AM31" s="711"/>
      <c r="AN31" s="711"/>
      <c r="AO31" s="711"/>
      <c r="AP31" s="711"/>
      <c r="AQ31" s="711"/>
      <c r="AR31" s="711"/>
      <c r="AS31" s="711"/>
      <c r="AT31" s="711"/>
      <c r="AU31" s="711"/>
      <c r="AV31" s="711"/>
      <c r="AW31" s="711"/>
      <c r="AX31" s="711"/>
      <c r="AY31" s="711"/>
      <c r="AZ31" s="711"/>
      <c r="BA31" s="711"/>
      <c r="BB31" s="711"/>
      <c r="BC31" s="711"/>
      <c r="BD31" s="711"/>
      <c r="BE31" s="711"/>
      <c r="BF31" s="711"/>
      <c r="BG31" s="711"/>
      <c r="BH31" s="711"/>
      <c r="BI31" s="711"/>
      <c r="BJ31" s="711"/>
      <c r="BK31" s="711"/>
      <c r="BL31" s="711"/>
      <c r="BM31" s="711"/>
      <c r="BN31" s="711"/>
      <c r="BO31" s="711"/>
      <c r="BP31" s="711"/>
      <c r="BQ31" s="711"/>
      <c r="BU31" s="28" t="s">
        <v>1067</v>
      </c>
      <c r="BX31" s="1974">
        <v>2.25</v>
      </c>
      <c r="BY31" s="1975">
        <v>2.75</v>
      </c>
      <c r="BZ31" s="1974">
        <v>3.5</v>
      </c>
      <c r="CA31" s="716"/>
    </row>
    <row r="32" spans="2:118">
      <c r="B32" s="231" t="s">
        <v>1053</v>
      </c>
      <c r="C32" s="231"/>
      <c r="D32" s="14"/>
      <c r="E32" s="697"/>
      <c r="F32" s="697"/>
      <c r="G32" s="697"/>
      <c r="H32" s="697"/>
      <c r="I32" s="697"/>
      <c r="J32" s="697"/>
      <c r="K32" s="697"/>
      <c r="L32" s="697"/>
      <c r="M32" s="697"/>
      <c r="N32" s="697"/>
      <c r="O32" s="697"/>
      <c r="P32" s="697"/>
      <c r="Q32" s="697"/>
      <c r="R32" s="697"/>
      <c r="S32" s="697"/>
      <c r="T32" s="697"/>
      <c r="U32" s="697"/>
      <c r="V32" s="697"/>
      <c r="W32" s="697"/>
      <c r="X32" s="697" t="s">
        <v>1253</v>
      </c>
      <c r="Y32" s="697"/>
      <c r="Z32" s="697"/>
      <c r="AA32" s="697"/>
      <c r="AB32" s="697"/>
      <c r="AC32" s="697" t="s">
        <v>921</v>
      </c>
      <c r="AD32" s="697"/>
      <c r="AE32" s="697"/>
      <c r="AF32" s="697"/>
      <c r="AG32" s="697"/>
      <c r="AH32" s="697" t="s">
        <v>1343</v>
      </c>
      <c r="AI32" s="697"/>
      <c r="AJ32" s="697"/>
      <c r="AK32" s="697"/>
      <c r="AL32" s="697"/>
      <c r="AM32" s="697" t="s">
        <v>1410</v>
      </c>
      <c r="AN32" s="697"/>
      <c r="AO32" s="697"/>
      <c r="AP32" s="697"/>
      <c r="AQ32" s="697"/>
      <c r="AR32" s="697" t="s">
        <v>1502</v>
      </c>
      <c r="AS32" s="697"/>
      <c r="AT32" s="697"/>
      <c r="AU32" s="697"/>
      <c r="AV32" s="697"/>
      <c r="AW32" s="697" t="s">
        <v>1539</v>
      </c>
      <c r="AX32" s="697"/>
      <c r="AY32" s="697"/>
      <c r="AZ32" s="697"/>
      <c r="BA32" s="697"/>
      <c r="BB32" s="697" t="s">
        <v>935</v>
      </c>
      <c r="BC32" s="697"/>
      <c r="BD32" s="697"/>
      <c r="BE32" s="697"/>
      <c r="BF32" s="697"/>
      <c r="BG32" s="697" t="s">
        <v>1369</v>
      </c>
      <c r="BH32" s="697"/>
      <c r="BI32" s="697"/>
      <c r="BJ32" s="697"/>
      <c r="BK32" s="697"/>
      <c r="BL32" s="697" t="s">
        <v>1370</v>
      </c>
      <c r="BM32" s="697"/>
      <c r="BN32" s="697"/>
      <c r="BO32" s="697"/>
      <c r="BP32" s="697"/>
      <c r="BQ32" s="697" t="s">
        <v>1520</v>
      </c>
      <c r="BU32" s="28" t="s">
        <v>954</v>
      </c>
      <c r="BX32" s="1976">
        <v>0</v>
      </c>
      <c r="BY32" s="2260">
        <v>-0.25</v>
      </c>
      <c r="BZ32" s="1976">
        <v>-0.25</v>
      </c>
    </row>
    <row r="33" spans="3:117">
      <c r="C33" s="34" t="s">
        <v>1305</v>
      </c>
      <c r="AH33" s="22"/>
      <c r="BU33" s="13" t="s">
        <v>523</v>
      </c>
      <c r="BX33" s="1976">
        <v>0</v>
      </c>
      <c r="BY33" s="2261">
        <v>-0.25</v>
      </c>
      <c r="BZ33" s="1976">
        <v>-0.25</v>
      </c>
    </row>
    <row r="34" spans="3:117">
      <c r="C34" t="s">
        <v>37</v>
      </c>
      <c r="N34" s="536"/>
      <c r="O34" s="536">
        <f>ComEd!O50</f>
        <v>1.2464046021092967E-2</v>
      </c>
      <c r="P34" s="536">
        <f>ComEd!P50</f>
        <v>-2.2639579749895389E-2</v>
      </c>
      <c r="Q34" s="536">
        <f>ComEd!Q50</f>
        <v>-2.9401683360627651E-2</v>
      </c>
      <c r="R34" s="536">
        <f>ComEd!R50</f>
        <v>-2.6082079087594634E-2</v>
      </c>
      <c r="S34" s="536"/>
      <c r="T34" s="536"/>
      <c r="U34" s="536"/>
      <c r="V34" s="536"/>
      <c r="W34" s="536"/>
      <c r="X34" s="536">
        <f>ComEd!X50</f>
        <v>5.0937768791681215E-3</v>
      </c>
      <c r="Y34" s="536"/>
      <c r="Z34" s="536"/>
      <c r="AA34" s="536"/>
      <c r="AB34" s="536"/>
      <c r="AC34" s="536">
        <f>ComEd!AC50</f>
        <v>-9.2579214688197631E-3</v>
      </c>
      <c r="AD34" s="536"/>
      <c r="AE34" s="536"/>
      <c r="AF34" s="536"/>
      <c r="AG34" s="536"/>
      <c r="AH34" s="536">
        <f>ComEd!AH50</f>
        <v>-6.3156241586646011E-3</v>
      </c>
      <c r="AI34" s="536"/>
      <c r="AJ34" s="536"/>
      <c r="AK34" s="536"/>
      <c r="AL34" s="536"/>
      <c r="AM34" s="536">
        <f>ComEd!AM50</f>
        <v>-2.0873550761449922E-2</v>
      </c>
      <c r="AN34" s="536"/>
      <c r="AO34" s="536"/>
      <c r="AP34" s="536"/>
      <c r="AQ34" s="536"/>
      <c r="AR34" s="536">
        <f>ComEd!AR50</f>
        <v>2.5054189918369163E-2</v>
      </c>
      <c r="AS34" s="536"/>
      <c r="AT34" s="536"/>
      <c r="AU34" s="536"/>
      <c r="AV34" s="536"/>
      <c r="AW34" s="536">
        <f>ComEd!AW50</f>
        <v>-2.843484618412917E-2</v>
      </c>
      <c r="AX34" s="536"/>
      <c r="AY34" s="536"/>
      <c r="AZ34" s="536"/>
      <c r="BA34" s="536"/>
      <c r="BB34" s="536">
        <f>ComEd!BB50</f>
        <v>0</v>
      </c>
      <c r="BC34" s="536"/>
      <c r="BD34" s="536"/>
      <c r="BE34" s="536"/>
      <c r="BF34" s="536"/>
      <c r="BG34" s="536">
        <f>ComEd!BG50</f>
        <v>0</v>
      </c>
      <c r="BH34" s="536"/>
      <c r="BI34" s="536"/>
      <c r="BJ34" s="536"/>
      <c r="BK34" s="536"/>
      <c r="BL34" s="536">
        <f>ComEd!BL50</f>
        <v>0</v>
      </c>
      <c r="BM34" s="536"/>
      <c r="BN34" s="536"/>
      <c r="BO34" s="536"/>
      <c r="BP34" s="536"/>
      <c r="BQ34" s="536">
        <f>ComEd!BQ50</f>
        <v>0</v>
      </c>
      <c r="BU34" s="13" t="s">
        <v>1384</v>
      </c>
      <c r="BV34" s="32"/>
      <c r="BX34" s="1977">
        <v>100</v>
      </c>
      <c r="BY34" s="1978">
        <v>160</v>
      </c>
      <c r="BZ34" s="1977">
        <v>242</v>
      </c>
      <c r="CB34" s="2139"/>
    </row>
    <row r="35" spans="3:117">
      <c r="C35" t="s">
        <v>410</v>
      </c>
      <c r="N35" s="536"/>
      <c r="O35" s="536">
        <f>ComEd!O56</f>
        <v>0.49438202247191021</v>
      </c>
      <c r="P35" s="536">
        <f>ComEd!P56</f>
        <v>-9.7643097643097643E-2</v>
      </c>
      <c r="Q35" s="536">
        <f>ComEd!Q56</f>
        <v>2.8124999999999956E-2</v>
      </c>
      <c r="R35" s="536">
        <f>ComEd!R56</f>
        <v>-1.0948905109489093E-2</v>
      </c>
      <c r="S35" s="536"/>
      <c r="T35" s="536"/>
      <c r="U35" s="536"/>
      <c r="V35" s="536"/>
      <c r="W35" s="536"/>
      <c r="X35" s="536">
        <f>ComEd!X56</f>
        <v>0.18606701940035264</v>
      </c>
      <c r="Y35" s="536"/>
      <c r="Z35" s="536"/>
      <c r="AA35" s="536"/>
      <c r="AB35" s="536"/>
      <c r="AC35" s="536">
        <f>ComEd!AC56</f>
        <v>1.7100371747211796E-2</v>
      </c>
      <c r="AD35" s="536"/>
      <c r="AE35" s="536"/>
      <c r="AF35" s="536"/>
      <c r="AG35" s="536"/>
      <c r="AH35" s="536">
        <f>ComEd!AH56</f>
        <v>4.4590643274853736E-2</v>
      </c>
      <c r="AI35" s="536"/>
      <c r="AJ35" s="536"/>
      <c r="AK35" s="536"/>
      <c r="AL35" s="536"/>
      <c r="AM35" s="536">
        <f>ComEd!AM56</f>
        <v>9.6571028691392558E-2</v>
      </c>
      <c r="AN35" s="536"/>
      <c r="AO35" s="536"/>
      <c r="AP35" s="536"/>
      <c r="AQ35" s="536"/>
      <c r="AR35" s="536">
        <f>ComEd!AR56</f>
        <v>-2.3611997447351651E-2</v>
      </c>
      <c r="AS35" s="536"/>
      <c r="AT35" s="536"/>
      <c r="AU35" s="536"/>
      <c r="AV35" s="536"/>
      <c r="AW35" s="536">
        <f>ComEd!AW56</f>
        <v>-6.732026143790848E-2</v>
      </c>
      <c r="AX35" s="536"/>
      <c r="AY35" s="536"/>
      <c r="AZ35" s="536"/>
      <c r="BA35" s="536"/>
      <c r="BB35" s="536">
        <f>ComEd!BB56</f>
        <v>0.03</v>
      </c>
      <c r="BC35" s="536"/>
      <c r="BD35" s="536"/>
      <c r="BE35" s="536"/>
      <c r="BF35" s="536"/>
      <c r="BG35" s="536">
        <f>ComEd!BG56</f>
        <v>0</v>
      </c>
      <c r="BH35" s="536"/>
      <c r="BI35" s="536"/>
      <c r="BJ35" s="536"/>
      <c r="BK35" s="536"/>
      <c r="BL35" s="536">
        <f>ComEd!BL56</f>
        <v>0</v>
      </c>
      <c r="BM35" s="536"/>
      <c r="BN35" s="536"/>
      <c r="BO35" s="536"/>
      <c r="BP35" s="536"/>
      <c r="BQ35" s="536">
        <f>ComEd!BQ56</f>
        <v>0</v>
      </c>
      <c r="BU35" s="13" t="s">
        <v>1402</v>
      </c>
      <c r="BX35" s="1977">
        <v>100</v>
      </c>
      <c r="BY35" s="1978">
        <v>185</v>
      </c>
      <c r="BZ35" s="1977">
        <v>247.50000000000003</v>
      </c>
      <c r="CA35" s="1393"/>
      <c r="CB35" s="2139"/>
      <c r="CH35" s="210" t="s">
        <v>284</v>
      </c>
      <c r="CI35" s="214"/>
      <c r="CJ35" s="215"/>
      <c r="CK35" s="215"/>
      <c r="CL35" s="215"/>
      <c r="CM35" s="216"/>
      <c r="CN35" s="216"/>
      <c r="CO35" s="216"/>
      <c r="CP35" s="216"/>
      <c r="CQ35" s="216"/>
      <c r="CR35" s="216"/>
      <c r="CS35" s="1"/>
      <c r="CT35" s="4"/>
      <c r="CU35" s="4"/>
      <c r="CW35" s="1"/>
      <c r="CX35" s="1"/>
      <c r="CY35" s="1"/>
      <c r="CZ35" s="1"/>
      <c r="DA35" s="1"/>
      <c r="DB35" s="1"/>
      <c r="DC35" s="1"/>
      <c r="DD35" s="1"/>
      <c r="DE35" s="1"/>
      <c r="DF35" s="1"/>
      <c r="DG35" s="1"/>
      <c r="DH35" s="4"/>
      <c r="DI35" s="2"/>
      <c r="DJ35" s="1"/>
      <c r="DK35" s="1"/>
      <c r="DL35" s="1"/>
      <c r="DM35" s="1"/>
    </row>
    <row r="36" spans="3:117">
      <c r="N36" s="536"/>
      <c r="O36" s="536"/>
      <c r="P36" s="536"/>
      <c r="Q36" s="536"/>
      <c r="R36" s="536"/>
      <c r="S36" s="536"/>
      <c r="T36" s="536"/>
      <c r="U36" s="536"/>
      <c r="V36" s="536"/>
      <c r="W36" s="536"/>
      <c r="X36" s="536"/>
      <c r="Y36" s="536"/>
      <c r="Z36" s="536"/>
      <c r="AA36" s="536"/>
      <c r="AB36" s="536"/>
      <c r="AC36" s="536"/>
      <c r="AD36" s="536"/>
      <c r="AE36" s="536"/>
      <c r="AF36" s="536"/>
      <c r="AG36" s="536"/>
      <c r="AH36" s="536"/>
      <c r="AI36" s="536"/>
      <c r="AJ36" s="536"/>
      <c r="AK36" s="536"/>
      <c r="AL36" s="536"/>
      <c r="AM36" s="536"/>
      <c r="AN36" s="536"/>
      <c r="AO36" s="536"/>
      <c r="AP36" s="536"/>
      <c r="AQ36" s="536"/>
      <c r="AR36" s="536"/>
      <c r="AS36" s="536"/>
      <c r="AT36" s="536"/>
      <c r="AU36" s="536"/>
      <c r="AV36" s="536"/>
      <c r="AW36" s="536"/>
      <c r="AX36" s="536"/>
      <c r="AY36" s="536"/>
      <c r="AZ36" s="536"/>
      <c r="BA36" s="536"/>
      <c r="BB36" s="536"/>
      <c r="BC36" s="536"/>
      <c r="BD36" s="536"/>
      <c r="BE36" s="536"/>
      <c r="BF36" s="536"/>
      <c r="BG36" s="536"/>
      <c r="BH36" s="536"/>
      <c r="BI36" s="536"/>
      <c r="BJ36" s="536"/>
      <c r="BK36" s="536"/>
      <c r="BL36" s="536"/>
      <c r="BM36" s="536"/>
      <c r="BN36" s="536"/>
      <c r="BO36" s="536"/>
      <c r="BP36" s="536"/>
      <c r="BQ36" s="536"/>
      <c r="BU36" s="13" t="s">
        <v>517</v>
      </c>
      <c r="BX36" s="1977">
        <v>100</v>
      </c>
      <c r="BY36" s="1978">
        <v>175</v>
      </c>
      <c r="BZ36" s="1977">
        <v>192.50000000000003</v>
      </c>
      <c r="CA36" s="1393"/>
      <c r="CB36" s="2139"/>
      <c r="CH36" s="32" t="s">
        <v>617</v>
      </c>
      <c r="CL36" s="717"/>
      <c r="CM36" s="156" t="s">
        <v>1314</v>
      </c>
      <c r="CN36" s="4"/>
      <c r="CO36" s="4"/>
      <c r="CP36" s="4"/>
      <c r="CQ36" s="4"/>
      <c r="CR36" s="4"/>
      <c r="CS36" s="1"/>
      <c r="CT36" s="4"/>
      <c r="CU36" s="4"/>
      <c r="CW36" s="1"/>
      <c r="CX36" s="1"/>
      <c r="CY36" s="1"/>
      <c r="CZ36" s="1"/>
      <c r="DA36" s="1"/>
      <c r="DB36" s="1"/>
      <c r="DC36" s="1"/>
      <c r="DD36" s="1"/>
      <c r="DE36" s="1"/>
      <c r="DF36" s="1"/>
      <c r="DG36" s="1"/>
      <c r="DH36" s="4"/>
      <c r="DI36" s="2"/>
      <c r="DJ36" s="1"/>
      <c r="DK36" s="1"/>
      <c r="DL36" s="1"/>
      <c r="DM36" s="1"/>
    </row>
    <row r="37" spans="3:117">
      <c r="C37" t="s">
        <v>127</v>
      </c>
      <c r="N37" s="536"/>
      <c r="O37" s="536">
        <f>ComEd!O63</f>
        <v>0</v>
      </c>
      <c r="P37" s="536">
        <f>ComEd!P63</f>
        <v>0</v>
      </c>
      <c r="Q37" s="536">
        <f>ComEd!Q63</f>
        <v>0</v>
      </c>
      <c r="R37" s="536">
        <f>ComEd!R63</f>
        <v>0</v>
      </c>
      <c r="S37" s="536"/>
      <c r="T37" s="536"/>
      <c r="U37" s="536"/>
      <c r="V37" s="536"/>
      <c r="W37" s="536"/>
      <c r="X37" s="536">
        <f>ComEd!X63</f>
        <v>0.11435237209775877</v>
      </c>
      <c r="Y37" s="536"/>
      <c r="Z37" s="536"/>
      <c r="AA37" s="536"/>
      <c r="AB37" s="536"/>
      <c r="AC37" s="536">
        <f>ComEd!AC63</f>
        <v>0.11546564610377542</v>
      </c>
      <c r="AD37" s="536"/>
      <c r="AE37" s="536"/>
      <c r="AF37" s="536"/>
      <c r="AG37" s="536"/>
      <c r="AH37" s="536">
        <f>ComEd!AH63</f>
        <v>0.10195222944763249</v>
      </c>
      <c r="AI37" s="536"/>
      <c r="AJ37" s="536"/>
      <c r="AK37" s="536"/>
      <c r="AL37" s="536"/>
      <c r="AM37" s="536">
        <f>ComEd!AM63</f>
        <v>9.6767965599192263E-2</v>
      </c>
      <c r="AN37" s="536"/>
      <c r="AO37" s="536"/>
      <c r="AP37" s="536"/>
      <c r="AQ37" s="536"/>
      <c r="AR37" s="536">
        <f>ComEd!AR63</f>
        <v>0.10183593152375525</v>
      </c>
      <c r="AS37" s="536"/>
      <c r="AT37" s="536"/>
      <c r="AU37" s="536"/>
      <c r="AV37" s="536"/>
      <c r="AW37" s="536">
        <f>ComEd!AW63</f>
        <v>0.1025005471512537</v>
      </c>
      <c r="AX37" s="536"/>
      <c r="AY37" s="536"/>
      <c r="AZ37" s="536"/>
      <c r="BA37" s="536"/>
      <c r="BB37" s="536">
        <f ca="1">ComEd!BB63</f>
        <v>0.10408434133689416</v>
      </c>
      <c r="BC37" s="536"/>
      <c r="BD37" s="536"/>
      <c r="BE37" s="536"/>
      <c r="BF37" s="536"/>
      <c r="BG37" s="536">
        <f ca="1">ComEd!BG63</f>
        <v>9.5326667571640211E-2</v>
      </c>
      <c r="BH37" s="536"/>
      <c r="BI37" s="536"/>
      <c r="BJ37" s="536"/>
      <c r="BK37" s="536"/>
      <c r="BL37" s="536">
        <f ca="1">ComEd!BL63</f>
        <v>9.4824351171831148E-2</v>
      </c>
      <c r="BM37" s="536"/>
      <c r="BN37" s="536"/>
      <c r="BO37" s="536"/>
      <c r="BP37" s="536"/>
      <c r="BQ37" s="536">
        <f ca="1">ComEd!BQ63</f>
        <v>9.4716410517604266E-2</v>
      </c>
      <c r="BU37" s="28" t="s">
        <v>451</v>
      </c>
      <c r="BX37" s="1977">
        <v>0</v>
      </c>
      <c r="BY37" s="1978">
        <v>0</v>
      </c>
      <c r="BZ37" s="1977">
        <v>0</v>
      </c>
      <c r="CA37" s="1393"/>
      <c r="CB37" s="2139"/>
      <c r="CH37" s="1" t="s">
        <v>53</v>
      </c>
      <c r="CI37" s="4"/>
      <c r="CJ37" s="4"/>
      <c r="CK37" s="722">
        <v>3</v>
      </c>
      <c r="CL37" s="750"/>
      <c r="CM37" s="4" t="s">
        <v>1315</v>
      </c>
      <c r="CN37" s="4"/>
      <c r="CO37" s="4"/>
      <c r="CP37" s="4"/>
      <c r="CQ37" s="4"/>
      <c r="CR37" s="718">
        <f>CK46</f>
        <v>8.5275000000000004E-2</v>
      </c>
      <c r="CS37" s="1"/>
      <c r="CT37" s="4"/>
      <c r="CU37" s="4"/>
      <c r="CW37" s="1"/>
      <c r="CX37" s="1"/>
      <c r="CY37" s="1"/>
      <c r="CZ37" s="1"/>
      <c r="DA37" s="1"/>
      <c r="DB37" s="1"/>
      <c r="DC37" s="1"/>
      <c r="DD37" s="1"/>
      <c r="DE37" s="1"/>
      <c r="DF37" s="1"/>
      <c r="DG37" s="1"/>
      <c r="DH37" s="4"/>
      <c r="DI37" s="2"/>
      <c r="DJ37" s="4"/>
      <c r="DK37" s="4"/>
      <c r="DL37" s="4"/>
      <c r="DM37" s="4"/>
    </row>
    <row r="38" spans="3:117">
      <c r="C38" t="s">
        <v>38</v>
      </c>
      <c r="N38" s="536"/>
      <c r="O38" s="536">
        <f>ComEd!O240</f>
        <v>0.42425143763632756</v>
      </c>
      <c r="P38" s="536">
        <f>ComEd!P240</f>
        <v>0.42646913580246915</v>
      </c>
      <c r="Q38" s="536">
        <f>ComEd!Q240</f>
        <v>0.40462696274272975</v>
      </c>
      <c r="R38" s="536">
        <f>ComEd!R240</f>
        <v>0.42905766799572109</v>
      </c>
      <c r="S38" s="536"/>
      <c r="T38" s="536"/>
      <c r="U38" s="536"/>
      <c r="V38" s="536"/>
      <c r="W38" s="536"/>
      <c r="X38" s="536">
        <f>ComEd!X240</f>
        <v>0.4486677490211059</v>
      </c>
      <c r="Y38" s="536"/>
      <c r="Z38" s="536"/>
      <c r="AA38" s="536"/>
      <c r="AB38" s="536"/>
      <c r="AC38" s="536">
        <f>ComEd!AC240</f>
        <v>0.45465504451038574</v>
      </c>
      <c r="AD38" s="536"/>
      <c r="AE38" s="536"/>
      <c r="AF38" s="536"/>
      <c r="AG38" s="536"/>
      <c r="AH38" s="536">
        <f>ComEd!AH240</f>
        <v>0.46147125633409053</v>
      </c>
      <c r="AI38" s="536"/>
      <c r="AJ38" s="536"/>
      <c r="AK38" s="536"/>
      <c r="AL38" s="536"/>
      <c r="AM38" s="536">
        <f>ComEd!AM240</f>
        <v>0.45556276354200453</v>
      </c>
      <c r="AN38" s="536"/>
      <c r="AO38" s="536"/>
      <c r="AP38" s="536"/>
      <c r="AQ38" s="536"/>
      <c r="AR38" s="536">
        <f>ComEd!AR240</f>
        <v>0.45733993102414155</v>
      </c>
      <c r="AS38" s="536"/>
      <c r="AT38" s="536"/>
      <c r="AU38" s="536"/>
      <c r="AV38" s="536"/>
      <c r="AW38" s="536">
        <f>ComEd!AW240</f>
        <v>0.4644988680798518</v>
      </c>
      <c r="AX38" s="536"/>
      <c r="AY38" s="536"/>
      <c r="AZ38" s="536"/>
      <c r="BA38" s="536"/>
      <c r="BB38" s="536">
        <f ca="1">ComEd!BB240</f>
        <v>0.46086922279889775</v>
      </c>
      <c r="BC38" s="536"/>
      <c r="BD38" s="536"/>
      <c r="BE38" s="536"/>
      <c r="BF38" s="536"/>
      <c r="BG38" s="536">
        <f ca="1">ComEd!BG240</f>
        <v>0.46080297719520175</v>
      </c>
      <c r="BH38" s="536"/>
      <c r="BI38" s="536"/>
      <c r="BJ38" s="536"/>
      <c r="BK38" s="536"/>
      <c r="BL38" s="536">
        <f ca="1">ComEd!BL240</f>
        <v>0.45922266854214877</v>
      </c>
      <c r="BM38" s="536"/>
      <c r="BN38" s="536"/>
      <c r="BO38" s="536"/>
      <c r="BP38" s="536"/>
      <c r="BQ38" s="536">
        <f ca="1">ComEd!BQ240</f>
        <v>0.45998969161396536</v>
      </c>
      <c r="BU38" s="28" t="s">
        <v>977</v>
      </c>
      <c r="BX38" s="1977">
        <v>100</v>
      </c>
      <c r="BY38" s="1978">
        <v>200</v>
      </c>
      <c r="BZ38" s="1977">
        <v>250</v>
      </c>
      <c r="CG38" s="519"/>
      <c r="CH38" s="1" t="s">
        <v>565</v>
      </c>
      <c r="CI38" s="4"/>
      <c r="CJ38" s="4"/>
      <c r="CK38" s="722">
        <v>8</v>
      </c>
      <c r="CL38" s="750"/>
      <c r="CM38" s="4" t="s">
        <v>1327</v>
      </c>
      <c r="CN38" s="4"/>
      <c r="CO38" s="4"/>
      <c r="CP38" s="4"/>
      <c r="CQ38" s="4"/>
      <c r="CR38" s="719">
        <v>2</v>
      </c>
      <c r="CS38" s="1"/>
      <c r="CT38" s="4"/>
      <c r="CU38" s="4"/>
      <c r="CW38" s="1"/>
      <c r="CX38" s="230"/>
      <c r="CY38" s="1"/>
      <c r="CZ38" s="1"/>
      <c r="DA38" s="1"/>
      <c r="DB38" s="1"/>
      <c r="DC38" s="1"/>
      <c r="DD38" s="1"/>
      <c r="DE38" s="1"/>
      <c r="DF38" s="1"/>
      <c r="DG38" s="1"/>
      <c r="DH38" s="4"/>
      <c r="DI38" s="2"/>
      <c r="DJ38" s="4"/>
      <c r="DK38" s="4"/>
      <c r="DL38" s="4"/>
      <c r="DM38" s="4"/>
    </row>
    <row r="39" spans="3:117">
      <c r="N39" s="536"/>
      <c r="O39" s="536"/>
      <c r="P39" s="536"/>
      <c r="Q39" s="536"/>
      <c r="R39" s="536"/>
      <c r="S39" s="536"/>
      <c r="T39" s="536"/>
      <c r="U39" s="536"/>
      <c r="V39" s="536"/>
      <c r="W39" s="536"/>
      <c r="X39" s="536"/>
      <c r="Y39" s="536"/>
      <c r="Z39" s="536"/>
      <c r="AA39" s="536"/>
      <c r="AB39" s="536"/>
      <c r="AC39" s="536"/>
      <c r="AD39" s="536"/>
      <c r="AE39" s="536"/>
      <c r="AF39" s="536"/>
      <c r="AG39" s="536"/>
      <c r="AH39" s="536"/>
      <c r="AI39" s="536"/>
      <c r="AJ39" s="536"/>
      <c r="AK39" s="536"/>
      <c r="AL39" s="536"/>
      <c r="AM39" s="536"/>
      <c r="AN39" s="536"/>
      <c r="AO39" s="536"/>
      <c r="AP39" s="536"/>
      <c r="AQ39" s="536"/>
      <c r="AR39" s="536"/>
      <c r="AS39" s="536"/>
      <c r="AT39" s="536"/>
      <c r="AU39" s="536"/>
      <c r="AV39" s="536"/>
      <c r="AW39" s="536"/>
      <c r="AX39" s="536"/>
      <c r="AY39" s="536"/>
      <c r="AZ39" s="536"/>
      <c r="BA39" s="536"/>
      <c r="BB39" s="536"/>
      <c r="BC39" s="536"/>
      <c r="BD39" s="536"/>
      <c r="BE39" s="536"/>
      <c r="BF39" s="536"/>
      <c r="BG39" s="536"/>
      <c r="BH39" s="536"/>
      <c r="BI39" s="536"/>
      <c r="BJ39" s="536"/>
      <c r="BK39" s="536"/>
      <c r="BL39" s="536"/>
      <c r="BM39" s="536"/>
      <c r="BN39" s="536"/>
      <c r="BO39" s="536"/>
      <c r="BP39" s="536"/>
      <c r="BQ39" s="536"/>
      <c r="BU39" s="28" t="s">
        <v>1086</v>
      </c>
      <c r="BX39" s="1977" t="s">
        <v>1142</v>
      </c>
      <c r="BY39" s="2102" t="s">
        <v>1142</v>
      </c>
      <c r="BZ39" s="1977" t="s">
        <v>267</v>
      </c>
      <c r="CF39" s="519"/>
      <c r="CG39" s="519"/>
      <c r="CH39" s="1" t="s">
        <v>1316</v>
      </c>
      <c r="CI39" s="4"/>
      <c r="CJ39" s="4"/>
      <c r="CK39" s="751">
        <f>CK37/CK38</f>
        <v>0.375</v>
      </c>
      <c r="CL39" s="4"/>
      <c r="CM39" s="4" t="s">
        <v>1329</v>
      </c>
      <c r="CN39" s="4"/>
      <c r="CO39" s="4"/>
      <c r="CP39" s="4"/>
      <c r="CQ39" s="4"/>
      <c r="CR39" s="721">
        <v>1.4999999999999999E-2</v>
      </c>
      <c r="CS39" s="32">
        <v>1</v>
      </c>
      <c r="CT39" s="4"/>
      <c r="CU39" s="4"/>
      <c r="CW39" s="1"/>
      <c r="CX39" s="1"/>
      <c r="CY39" s="1"/>
      <c r="CZ39" s="1"/>
      <c r="DA39" s="1"/>
      <c r="DB39" s="1"/>
      <c r="DC39" s="1"/>
      <c r="DD39" s="1"/>
      <c r="DE39" s="1"/>
      <c r="DF39" s="1"/>
      <c r="DG39" s="1"/>
      <c r="DH39" s="4"/>
      <c r="DI39" s="2"/>
      <c r="DJ39" s="4"/>
      <c r="DK39" s="4"/>
      <c r="DL39" s="4"/>
      <c r="DM39" s="4"/>
    </row>
    <row r="40" spans="3:117">
      <c r="C40" t="s">
        <v>48</v>
      </c>
      <c r="N40" s="536"/>
      <c r="O40" s="536">
        <f>ComEd!O62</f>
        <v>0.104125</v>
      </c>
      <c r="P40" s="536">
        <f>ComEd!P62</f>
        <v>0.104125</v>
      </c>
      <c r="Q40" s="536">
        <f>ComEd!Q62</f>
        <v>0.104125</v>
      </c>
      <c r="R40" s="536">
        <f>ComEd!R62</f>
        <v>0.104125</v>
      </c>
      <c r="S40" s="536"/>
      <c r="T40" s="536"/>
      <c r="U40" s="536"/>
      <c r="V40" s="536"/>
      <c r="W40" s="536"/>
      <c r="X40" s="536">
        <f>ComEd!X62</f>
        <v>9.6250000000000002E-2</v>
      </c>
      <c r="Y40" s="536"/>
      <c r="Z40" s="536"/>
      <c r="AA40" s="536"/>
      <c r="AB40" s="536"/>
      <c r="AC40" s="536">
        <f>ComEd!AC62</f>
        <v>9.6250000000000002E-2</v>
      </c>
      <c r="AD40" s="536"/>
      <c r="AE40" s="536"/>
      <c r="AF40" s="536"/>
      <c r="AG40" s="536"/>
      <c r="AH40" s="536">
        <f>ComEd!AH62</f>
        <v>9.6250000000000002E-2</v>
      </c>
      <c r="AI40" s="536"/>
      <c r="AJ40" s="536"/>
      <c r="AK40" s="536"/>
      <c r="AL40" s="536"/>
      <c r="AM40" s="536">
        <f>ComEd!AM62</f>
        <v>9.7299999999999998E-2</v>
      </c>
      <c r="AN40" s="536"/>
      <c r="AO40" s="536"/>
      <c r="AP40" s="536"/>
      <c r="AQ40" s="536"/>
      <c r="AR40" s="536">
        <f>ComEd!AR62</f>
        <v>9.3549999999999994E-2</v>
      </c>
      <c r="AS40" s="536"/>
      <c r="AT40" s="536"/>
      <c r="AU40" s="536"/>
      <c r="AV40" s="536"/>
      <c r="AW40" s="536">
        <f>ComEd!AW62</f>
        <v>9.2851428607755249E-2</v>
      </c>
      <c r="AX40" s="536"/>
      <c r="AY40" s="536"/>
      <c r="AZ40" s="536"/>
      <c r="BA40" s="536"/>
      <c r="BB40" s="536">
        <f>ComEd!BB62</f>
        <v>9.4719718643304612E-2</v>
      </c>
      <c r="BC40" s="536"/>
      <c r="BD40" s="536"/>
      <c r="BE40" s="536"/>
      <c r="BF40" s="536"/>
      <c r="BG40" s="536">
        <f>ComEd!BG62</f>
        <v>9.5076999999999995E-2</v>
      </c>
      <c r="BH40" s="536"/>
      <c r="BI40" s="536"/>
      <c r="BJ40" s="536"/>
      <c r="BK40" s="536"/>
      <c r="BL40" s="536">
        <f>ComEd!BL62</f>
        <v>9.5285499999999995E-2</v>
      </c>
      <c r="BM40" s="536"/>
      <c r="BN40" s="536"/>
      <c r="BO40" s="536"/>
      <c r="BP40" s="536"/>
      <c r="BQ40" s="536">
        <f>ComEd!BQ62</f>
        <v>9.5439999999999997E-2</v>
      </c>
      <c r="BU40" s="28" t="s">
        <v>1087</v>
      </c>
      <c r="BX40" s="1977" t="s">
        <v>267</v>
      </c>
      <c r="BY40" s="2102" t="s">
        <v>1142</v>
      </c>
      <c r="BZ40" s="1977" t="s">
        <v>1142</v>
      </c>
      <c r="CC40" s="234"/>
      <c r="CD40" s="512"/>
      <c r="CE40" s="512"/>
      <c r="CF40" s="519"/>
      <c r="CG40" s="519"/>
      <c r="CH40" s="1" t="s">
        <v>1317</v>
      </c>
      <c r="CI40" s="4"/>
      <c r="CJ40" s="4"/>
      <c r="CK40" s="735">
        <f>(CK38-CK37)/CK38</f>
        <v>0.625</v>
      </c>
      <c r="CL40" s="4"/>
      <c r="CM40" s="4" t="s">
        <v>1331</v>
      </c>
      <c r="CN40" s="4"/>
      <c r="CO40" s="4"/>
      <c r="CP40" s="4"/>
      <c r="CQ40" s="4"/>
      <c r="CR40" s="722">
        <f>CK54</f>
        <v>7.7278317131852239</v>
      </c>
      <c r="CS40" s="32">
        <v>2</v>
      </c>
      <c r="CT40" s="4"/>
      <c r="CU40" s="4"/>
      <c r="CW40" s="1"/>
      <c r="CX40" s="1"/>
      <c r="CY40" s="1"/>
      <c r="CZ40" s="1"/>
      <c r="DA40" s="1"/>
      <c r="DB40" s="1"/>
      <c r="DC40" s="1"/>
      <c r="DD40" s="1"/>
      <c r="DE40" s="1"/>
      <c r="DF40" s="1"/>
      <c r="DG40" s="1"/>
      <c r="DH40" s="4"/>
      <c r="DI40" s="2"/>
      <c r="DJ40" s="4"/>
      <c r="DK40" s="4"/>
      <c r="DL40" s="4"/>
      <c r="DM40" s="4"/>
    </row>
    <row r="41" spans="3:117">
      <c r="C41" t="s">
        <v>597</v>
      </c>
      <c r="N41" s="536"/>
      <c r="O41" s="536">
        <f>ComEd!O239</f>
        <v>0.4617</v>
      </c>
      <c r="P41" s="536">
        <f>ComEd!P239</f>
        <v>0.4617</v>
      </c>
      <c r="Q41" s="536">
        <f>ComEd!Q239</f>
        <v>0.4617</v>
      </c>
      <c r="R41" s="536">
        <f>ComEd!R239</f>
        <v>0.4617</v>
      </c>
      <c r="S41" s="536"/>
      <c r="T41" s="536"/>
      <c r="U41" s="536"/>
      <c r="V41" s="536"/>
      <c r="W41" s="536"/>
      <c r="X41" s="536">
        <f>ComEd!X239</f>
        <v>0.42570000000000002</v>
      </c>
      <c r="Y41" s="536"/>
      <c r="Z41" s="536"/>
      <c r="AA41" s="536"/>
      <c r="AB41" s="536"/>
      <c r="AC41" s="536">
        <f>ComEd!AC239</f>
        <v>0.45</v>
      </c>
      <c r="AD41" s="536"/>
      <c r="AE41" s="536"/>
      <c r="AF41" s="536"/>
      <c r="AG41" s="536"/>
      <c r="AH41" s="536">
        <f>ComEd!AH239</f>
        <v>0.45</v>
      </c>
      <c r="AI41" s="536"/>
      <c r="AJ41" s="536"/>
      <c r="AK41" s="536"/>
      <c r="AL41" s="536"/>
      <c r="AM41" s="536">
        <f>ComEd!AM239</f>
        <v>0.46</v>
      </c>
      <c r="AN41" s="536"/>
      <c r="AO41" s="536"/>
      <c r="AP41" s="536"/>
      <c r="AQ41" s="536"/>
      <c r="AR41" s="536">
        <f>ComEd!AR239</f>
        <v>0.46</v>
      </c>
      <c r="AS41" s="536"/>
      <c r="AT41" s="536"/>
      <c r="AU41" s="536"/>
      <c r="AV41" s="536"/>
      <c r="AW41" s="536">
        <f>ComEd!AW239</f>
        <v>0.46</v>
      </c>
      <c r="AX41" s="536"/>
      <c r="AY41" s="536"/>
      <c r="AZ41" s="536"/>
      <c r="BA41" s="536"/>
      <c r="BB41" s="536">
        <f>ComEd!BB239</f>
        <v>0.46</v>
      </c>
      <c r="BC41" s="536"/>
      <c r="BD41" s="536"/>
      <c r="BE41" s="536"/>
      <c r="BF41" s="536"/>
      <c r="BG41" s="536">
        <f>ComEd!BG239</f>
        <v>0.46</v>
      </c>
      <c r="BH41" s="536"/>
      <c r="BI41" s="536"/>
      <c r="BJ41" s="536"/>
      <c r="BK41" s="536"/>
      <c r="BL41" s="536">
        <f>ComEd!BL239</f>
        <v>0.46</v>
      </c>
      <c r="BM41" s="536"/>
      <c r="BN41" s="536"/>
      <c r="BO41" s="536"/>
      <c r="BP41" s="536"/>
      <c r="BQ41" s="536">
        <f>ComEd!BQ239</f>
        <v>0.46</v>
      </c>
      <c r="BU41" s="13" t="s">
        <v>1385</v>
      </c>
      <c r="BX41" s="1977">
        <v>0</v>
      </c>
      <c r="BY41" s="1978">
        <v>0</v>
      </c>
      <c r="BZ41" s="1977">
        <v>5</v>
      </c>
      <c r="CD41" s="697"/>
      <c r="CE41" s="697"/>
      <c r="CF41" s="519"/>
      <c r="CH41" s="1" t="s">
        <v>1328</v>
      </c>
      <c r="CI41" s="4"/>
      <c r="CJ41" s="4"/>
      <c r="CK41" s="720">
        <v>0.06</v>
      </c>
      <c r="CL41" s="4"/>
      <c r="CM41" s="4"/>
      <c r="CN41" s="4"/>
      <c r="CO41" s="4"/>
      <c r="CP41" s="4"/>
      <c r="CQ41" s="4"/>
      <c r="CR41" s="718"/>
      <c r="CS41" s="1"/>
      <c r="CT41" s="4"/>
      <c r="CU41" s="4"/>
      <c r="CW41" s="1"/>
      <c r="CX41" s="1"/>
      <c r="CY41" s="1"/>
      <c r="CZ41" s="1"/>
      <c r="DA41" s="1"/>
      <c r="DB41" s="1"/>
      <c r="DC41" s="1"/>
      <c r="DD41" s="1"/>
      <c r="DE41" s="1"/>
      <c r="DF41" s="1"/>
      <c r="DG41" s="1"/>
      <c r="DH41" s="4"/>
      <c r="DI41" s="2"/>
      <c r="DJ41" s="4"/>
      <c r="DK41" s="4"/>
      <c r="DL41" s="4"/>
      <c r="DM41" s="4"/>
    </row>
    <row r="42" spans="3:117">
      <c r="N42" s="517"/>
      <c r="O42" s="517"/>
      <c r="P42" s="517"/>
      <c r="Q42" s="517"/>
      <c r="R42" s="517"/>
      <c r="S42" s="517"/>
      <c r="T42" s="517"/>
      <c r="U42" s="517"/>
      <c r="V42" s="517"/>
      <c r="W42" s="517"/>
      <c r="X42" s="517"/>
      <c r="Y42" s="517"/>
      <c r="Z42" s="517"/>
      <c r="AA42" s="517"/>
      <c r="AB42" s="517"/>
      <c r="AC42" s="517"/>
      <c r="AD42" s="517"/>
      <c r="AE42" s="517"/>
      <c r="AF42" s="517"/>
      <c r="AG42" s="517"/>
      <c r="AH42" s="517"/>
      <c r="AI42" s="517"/>
      <c r="AJ42" s="517"/>
      <c r="AK42" s="517"/>
      <c r="AL42" s="517"/>
      <c r="AM42" s="517"/>
      <c r="AN42" s="517"/>
      <c r="AO42" s="517"/>
      <c r="AP42" s="517"/>
      <c r="AQ42" s="517"/>
      <c r="AR42" s="517"/>
      <c r="AS42" s="517"/>
      <c r="AT42" s="517"/>
      <c r="AU42" s="517"/>
      <c r="AV42" s="517"/>
      <c r="AW42" s="517"/>
      <c r="AX42" s="517"/>
      <c r="AY42" s="517"/>
      <c r="AZ42" s="517"/>
      <c r="BA42" s="517"/>
      <c r="BB42" s="517"/>
      <c r="BC42" s="517"/>
      <c r="BD42" s="517"/>
      <c r="BE42" s="517"/>
      <c r="BF42" s="517"/>
      <c r="BG42" s="517"/>
      <c r="BH42" s="517"/>
      <c r="BI42" s="517"/>
      <c r="BJ42" s="517"/>
      <c r="BK42" s="517"/>
      <c r="BL42" s="517"/>
      <c r="BM42" s="517"/>
      <c r="BN42" s="517"/>
      <c r="BO42" s="517"/>
      <c r="BP42" s="517"/>
      <c r="BQ42" s="517"/>
      <c r="BU42" s="28" t="s">
        <v>1088</v>
      </c>
      <c r="BX42" s="1977">
        <v>0</v>
      </c>
      <c r="BY42" s="1979">
        <v>0</v>
      </c>
      <c r="BZ42" s="1977">
        <f>BZ41</f>
        <v>5</v>
      </c>
      <c r="CD42" s="697"/>
      <c r="CE42" s="697"/>
      <c r="CF42" s="519"/>
      <c r="CH42" s="1" t="s">
        <v>1330</v>
      </c>
      <c r="CI42" s="4"/>
      <c r="CJ42" s="4"/>
      <c r="CK42" s="720">
        <v>0.03</v>
      </c>
      <c r="CL42" s="4"/>
      <c r="CN42" s="725"/>
      <c r="CO42" s="726"/>
      <c r="CP42" s="726"/>
      <c r="CQ42" s="726"/>
      <c r="CR42" s="4"/>
      <c r="CS42" s="1"/>
      <c r="CT42" s="4"/>
      <c r="CU42" s="4"/>
      <c r="CW42" s="1"/>
      <c r="CX42" s="1"/>
      <c r="CY42" s="1"/>
      <c r="CZ42" s="1"/>
      <c r="DA42" s="1"/>
      <c r="DB42" s="1"/>
      <c r="DC42" s="1"/>
      <c r="DD42" s="1"/>
      <c r="DE42" s="1"/>
      <c r="DF42" s="1"/>
      <c r="DG42" s="1"/>
      <c r="DH42" s="4"/>
      <c r="DI42" s="2"/>
      <c r="DJ42" s="4"/>
      <c r="DK42" s="4"/>
      <c r="DL42" s="4"/>
      <c r="DM42" s="4"/>
    </row>
    <row r="43" spans="3:117">
      <c r="C43" s="34" t="s">
        <v>1306</v>
      </c>
      <c r="AH43" s="22"/>
      <c r="BU43" s="28"/>
      <c r="BX43" s="1083"/>
      <c r="BY43" s="1083"/>
      <c r="BZ43" s="1083"/>
      <c r="CA43" s="1393"/>
      <c r="CF43" s="506"/>
      <c r="CH43" s="4" t="s">
        <v>0</v>
      </c>
      <c r="CI43" s="4"/>
      <c r="CJ43" s="4"/>
      <c r="CK43" s="720">
        <v>0.06</v>
      </c>
      <c r="CL43" s="4"/>
      <c r="CM43" s="724" t="s">
        <v>412</v>
      </c>
      <c r="CN43" s="725"/>
      <c r="CO43" s="726"/>
      <c r="CP43" s="726"/>
      <c r="CQ43" s="726"/>
      <c r="CR43" s="4"/>
      <c r="CS43" s="1"/>
      <c r="CT43" s="4"/>
      <c r="CU43" s="4"/>
      <c r="CW43" s="1"/>
      <c r="CX43" s="1"/>
      <c r="CY43" s="1"/>
      <c r="CZ43" s="1"/>
      <c r="DA43" s="1"/>
      <c r="DB43" s="1"/>
      <c r="DC43" s="1"/>
      <c r="DD43" s="1"/>
      <c r="DE43" s="1"/>
      <c r="DF43" s="1"/>
      <c r="DG43" s="1"/>
      <c r="DH43" s="4"/>
      <c r="DI43" s="2"/>
      <c r="DJ43" s="4"/>
      <c r="DK43" s="4"/>
      <c r="DL43" s="4"/>
      <c r="DM43" s="4"/>
    </row>
    <row r="44" spans="3:117">
      <c r="C44" t="s">
        <v>37</v>
      </c>
      <c r="N44" s="517"/>
      <c r="O44" s="517">
        <f>PECO!O51</f>
        <v>-5.1456210764638799E-3</v>
      </c>
      <c r="P44" s="517">
        <f>PECO!P51</f>
        <v>-2.5404157043879882E-2</v>
      </c>
      <c r="Q44" s="517">
        <f>PECO!Q51</f>
        <v>-1.9755072852417954E-2</v>
      </c>
      <c r="R44" s="517">
        <f>PECO!R51</f>
        <v>-6.1402563826349232E-2</v>
      </c>
      <c r="S44" s="517"/>
      <c r="T44" s="517"/>
      <c r="U44" s="517"/>
      <c r="V44" s="517"/>
      <c r="W44" s="517"/>
      <c r="X44" s="517">
        <f>PECO!X51</f>
        <v>-2.94589697126586E-2</v>
      </c>
      <c r="Y44" s="517"/>
      <c r="Z44" s="517"/>
      <c r="AA44" s="517"/>
      <c r="AB44" s="517"/>
      <c r="AC44" s="517">
        <f>PECO!AC51</f>
        <v>6.9081404032860227E-3</v>
      </c>
      <c r="AD44" s="517"/>
      <c r="AE44" s="517"/>
      <c r="AF44" s="517"/>
      <c r="AG44" s="517"/>
      <c r="AH44" s="517">
        <f>PECO!AH51</f>
        <v>-6.8077666816772631E-3</v>
      </c>
      <c r="AI44" s="517"/>
      <c r="AJ44" s="517"/>
      <c r="AK44" s="517"/>
      <c r="AL44" s="517"/>
      <c r="AM44" s="517">
        <f>PECO!AM51</f>
        <v>1.3335467008054547E-2</v>
      </c>
      <c r="AN44" s="517"/>
      <c r="AO44" s="517"/>
      <c r="AP44" s="517"/>
      <c r="AQ44" s="517"/>
      <c r="AR44" s="517">
        <f>PECO!AR51</f>
        <v>-2.0529557298520906E-3</v>
      </c>
      <c r="AS44" s="517"/>
      <c r="AT44" s="517"/>
      <c r="AU44" s="517"/>
      <c r="AV44" s="517"/>
      <c r="AW44" s="517">
        <f>PECO!AW51</f>
        <v>-1.8171748074691463E-2</v>
      </c>
      <c r="AX44" s="517"/>
      <c r="AY44" s="517"/>
      <c r="AZ44" s="517"/>
      <c r="BA44" s="517"/>
      <c r="BB44" s="517">
        <f>PECO!BB51</f>
        <v>7.4999999999999997E-3</v>
      </c>
      <c r="BC44" s="517"/>
      <c r="BD44" s="517"/>
      <c r="BE44" s="517"/>
      <c r="BF44" s="517"/>
      <c r="BG44" s="517">
        <f>PECO!BG51</f>
        <v>0.01</v>
      </c>
      <c r="BH44" s="517"/>
      <c r="BI44" s="517"/>
      <c r="BJ44" s="517"/>
      <c r="BK44" s="517"/>
      <c r="BL44" s="517">
        <f>PECO!BL51</f>
        <v>0.01</v>
      </c>
      <c r="BM44" s="517"/>
      <c r="BN44" s="517"/>
      <c r="BO44" s="517"/>
      <c r="BP44" s="517"/>
      <c r="BQ44" s="517">
        <f>PECO!BQ51</f>
        <v>0.01</v>
      </c>
      <c r="BU44" s="752">
        <f ca="1">TODAY()</f>
        <v>43203</v>
      </c>
      <c r="BV44" s="715"/>
      <c r="BW44" s="753"/>
      <c r="BX44" s="753">
        <v>42004</v>
      </c>
      <c r="BY44" s="753">
        <v>42369</v>
      </c>
      <c r="BZ44" s="753">
        <v>42735</v>
      </c>
      <c r="CA44" s="753">
        <v>43100</v>
      </c>
      <c r="CB44" s="753">
        <v>43465</v>
      </c>
      <c r="CC44" s="753">
        <v>43830</v>
      </c>
      <c r="CD44" s="753">
        <v>44196</v>
      </c>
      <c r="CE44" s="753">
        <v>44561</v>
      </c>
      <c r="CF44" s="754"/>
      <c r="CH44" s="4" t="s">
        <v>35</v>
      </c>
      <c r="CI44" s="4"/>
      <c r="CJ44" s="4"/>
      <c r="CK44" s="723">
        <v>1.3</v>
      </c>
      <c r="CL44" s="4"/>
      <c r="CM44" s="4" t="s">
        <v>564</v>
      </c>
      <c r="CN44" s="4"/>
      <c r="CO44" s="4"/>
      <c r="CP44" s="4"/>
      <c r="CQ44" s="4"/>
      <c r="CR44" s="722">
        <f>CK50</f>
        <v>6.5556188223936207</v>
      </c>
      <c r="CS44" s="1"/>
      <c r="CT44" s="4"/>
      <c r="CU44" s="4"/>
      <c r="CW44" s="1"/>
      <c r="CX44" s="1"/>
      <c r="CY44" s="1"/>
      <c r="CZ44" s="1"/>
      <c r="DA44" s="1"/>
      <c r="DB44" s="1"/>
      <c r="DC44" s="1"/>
      <c r="DD44" s="1"/>
      <c r="DE44" s="1"/>
      <c r="DF44" s="1"/>
      <c r="DG44" s="1"/>
      <c r="DH44" s="4"/>
      <c r="DI44" s="2"/>
      <c r="DJ44" s="4"/>
      <c r="DK44" s="4"/>
      <c r="DL44" s="4"/>
      <c r="DM44" s="4"/>
    </row>
    <row r="45" spans="3:117">
      <c r="C45" t="s">
        <v>1266</v>
      </c>
      <c r="N45" s="517"/>
      <c r="O45" s="517">
        <f>PECO!O52</f>
        <v>4.124195464213698E-2</v>
      </c>
      <c r="P45" s="517">
        <f>PECO!P52</f>
        <v>2.6052904978822067E-2</v>
      </c>
      <c r="Q45" s="517">
        <f>PECO!Q52</f>
        <v>-0.18012783265543286</v>
      </c>
      <c r="R45" s="517">
        <f>PECO!R52</f>
        <v>-0.18344883815735835</v>
      </c>
      <c r="S45" s="517"/>
      <c r="T45" s="517"/>
      <c r="U45" s="517"/>
      <c r="V45" s="517"/>
      <c r="W45" s="517"/>
      <c r="X45" s="517">
        <f>PECO!X52</f>
        <v>-7.2644129883677189E-2</v>
      </c>
      <c r="Y45" s="517"/>
      <c r="Z45" s="517"/>
      <c r="AA45" s="517"/>
      <c r="AB45" s="517"/>
      <c r="AC45" s="517">
        <f>PECO!AC52</f>
        <v>0.12096162398304866</v>
      </c>
      <c r="AD45" s="517"/>
      <c r="AE45" s="517"/>
      <c r="AF45" s="517"/>
      <c r="AG45" s="517"/>
      <c r="AH45" s="517">
        <f>PECO!AH52</f>
        <v>4.9473757905299731E-2</v>
      </c>
      <c r="AI45" s="517"/>
      <c r="AJ45" s="517"/>
      <c r="AK45" s="517"/>
      <c r="AL45" s="517"/>
      <c r="AM45" s="517">
        <f>PECO!AM52</f>
        <v>-3.4021925240710682E-2</v>
      </c>
      <c r="AN45" s="517"/>
      <c r="AO45" s="517"/>
      <c r="AP45" s="517"/>
      <c r="AQ45" s="517"/>
      <c r="AR45" s="517">
        <f>PECO!AR52</f>
        <v>-3.2285168389309615E-2</v>
      </c>
      <c r="AS45" s="517"/>
      <c r="AT45" s="517"/>
      <c r="AU45" s="517"/>
      <c r="AV45" s="517"/>
      <c r="AW45" s="517">
        <f>PECO!AW52</f>
        <v>9.0631207107769729E-3</v>
      </c>
      <c r="AX45" s="517"/>
      <c r="AY45" s="517"/>
      <c r="AZ45" s="517"/>
      <c r="BA45" s="517"/>
      <c r="BB45" s="517">
        <f>PECO!BB52</f>
        <v>7.4999999999999997E-3</v>
      </c>
      <c r="BC45" s="517"/>
      <c r="BD45" s="517"/>
      <c r="BE45" s="517"/>
      <c r="BF45" s="517"/>
      <c r="BG45" s="517">
        <f>PECO!BG52</f>
        <v>0.01</v>
      </c>
      <c r="BH45" s="517"/>
      <c r="BI45" s="517"/>
      <c r="BJ45" s="517"/>
      <c r="BK45" s="517"/>
      <c r="BL45" s="517">
        <f>PECO!BL52</f>
        <v>0.01</v>
      </c>
      <c r="BM45" s="517"/>
      <c r="BN45" s="517"/>
      <c r="BO45" s="517"/>
      <c r="BP45" s="517"/>
      <c r="BQ45" s="517">
        <f>PECO!BQ52</f>
        <v>0.01</v>
      </c>
      <c r="BT45" s="231" t="s">
        <v>681</v>
      </c>
      <c r="BU45" s="231"/>
      <c r="BV45" s="14"/>
      <c r="BW45" s="697"/>
      <c r="BX45" s="697" t="s">
        <v>1343</v>
      </c>
      <c r="BY45" s="697" t="s">
        <v>1410</v>
      </c>
      <c r="BZ45" s="697" t="s">
        <v>1502</v>
      </c>
      <c r="CA45" s="697" t="s">
        <v>1539</v>
      </c>
      <c r="CB45" s="697" t="s">
        <v>935</v>
      </c>
      <c r="CC45" s="697" t="s">
        <v>1369</v>
      </c>
      <c r="CD45" s="697" t="s">
        <v>1370</v>
      </c>
      <c r="CE45" s="697" t="s">
        <v>1520</v>
      </c>
      <c r="CF45" s="521"/>
      <c r="CH45" s="4" t="s">
        <v>478</v>
      </c>
      <c r="CI45" s="4"/>
      <c r="CJ45" s="4"/>
      <c r="CK45" s="2300">
        <v>0.21</v>
      </c>
      <c r="CL45" s="4"/>
      <c r="CM45" s="4" t="s">
        <v>566</v>
      </c>
      <c r="CN45" s="4"/>
      <c r="CO45" s="4"/>
      <c r="CP45" s="4"/>
      <c r="CQ45" s="4"/>
      <c r="CR45" s="722">
        <f>CE47/CE46</f>
        <v>0.48062399184584365</v>
      </c>
      <c r="CS45" s="1"/>
      <c r="CT45" s="4"/>
      <c r="CU45" s="4"/>
      <c r="CW45" s="1"/>
      <c r="CX45" s="1"/>
      <c r="CY45" s="1"/>
      <c r="CZ45" s="1"/>
      <c r="DA45" s="1"/>
      <c r="DB45" s="1"/>
      <c r="DC45" s="1"/>
      <c r="DD45" s="1"/>
      <c r="DE45" s="1"/>
      <c r="DF45" s="1"/>
      <c r="DG45" s="1"/>
      <c r="DH45" s="4"/>
      <c r="DI45" s="2"/>
      <c r="DJ45" s="4"/>
      <c r="DK45" s="4"/>
      <c r="DL45" s="4"/>
      <c r="DM45" s="4"/>
    </row>
    <row r="46" spans="3:117">
      <c r="C46" t="s">
        <v>410</v>
      </c>
      <c r="N46" s="517"/>
      <c r="O46" s="517">
        <f>PECO!O58</f>
        <v>8.9947089947089998E-2</v>
      </c>
      <c r="P46" s="517">
        <f>PECO!P58</f>
        <v>5.5214723926380271E-2</v>
      </c>
      <c r="Q46" s="517">
        <f>PECO!Q58</f>
        <v>0.14659685863874339</v>
      </c>
      <c r="R46" s="517">
        <f>PECO!R58</f>
        <v>3.6842105263157787E-2</v>
      </c>
      <c r="S46" s="517"/>
      <c r="T46" s="517"/>
      <c r="U46" s="517"/>
      <c r="V46" s="517"/>
      <c r="W46" s="517"/>
      <c r="X46" s="517">
        <f>PECO!X58</f>
        <v>1.8891687657430767E-2</v>
      </c>
      <c r="Y46" s="517"/>
      <c r="Z46" s="517"/>
      <c r="AA46" s="517"/>
      <c r="AB46" s="517"/>
      <c r="AC46" s="517">
        <f>PECO!AC58</f>
        <v>-7.5401730531520439E-2</v>
      </c>
      <c r="AD46" s="517"/>
      <c r="AE46" s="517"/>
      <c r="AF46" s="517"/>
      <c r="AG46" s="517"/>
      <c r="AH46" s="517">
        <f>PECO!AH58</f>
        <v>0.15775401069518713</v>
      </c>
      <c r="AI46" s="517"/>
      <c r="AJ46" s="517"/>
      <c r="AK46" s="517"/>
      <c r="AL46" s="517"/>
      <c r="AM46" s="517">
        <f>PECO!AM58</f>
        <v>-8.3140877598152474E-2</v>
      </c>
      <c r="AN46" s="517"/>
      <c r="AO46" s="517"/>
      <c r="AP46" s="517"/>
      <c r="AQ46" s="517"/>
      <c r="AR46" s="517">
        <f>PECO!AR58</f>
        <v>2.1410579345088054E-2</v>
      </c>
      <c r="AS46" s="517"/>
      <c r="AT46" s="517"/>
      <c r="AU46" s="517"/>
      <c r="AV46" s="517"/>
      <c r="AW46" s="517">
        <f>PECO!AW58</f>
        <v>-6.1652281134402243E-3</v>
      </c>
      <c r="AX46" s="517"/>
      <c r="AY46" s="517"/>
      <c r="AZ46" s="517"/>
      <c r="BA46" s="517"/>
      <c r="BB46" s="517">
        <f>PECO!BB58</f>
        <v>0</v>
      </c>
      <c r="BC46" s="517"/>
      <c r="BD46" s="517"/>
      <c r="BE46" s="517"/>
      <c r="BF46" s="517"/>
      <c r="BG46" s="517">
        <f>PECO!BG58</f>
        <v>0</v>
      </c>
      <c r="BH46" s="517"/>
      <c r="BI46" s="517"/>
      <c r="BJ46" s="517"/>
      <c r="BK46" s="517"/>
      <c r="BL46" s="517">
        <f>PECO!BL58</f>
        <v>0</v>
      </c>
      <c r="BM46" s="517"/>
      <c r="BN46" s="517"/>
      <c r="BO46" s="517"/>
      <c r="BP46" s="517"/>
      <c r="BQ46" s="517">
        <f>PECO!BQ58</f>
        <v>0</v>
      </c>
      <c r="BU46" t="s">
        <v>66</v>
      </c>
      <c r="BW46" s="519"/>
      <c r="BX46" s="519">
        <f>ExGen!AH24</f>
        <v>2549</v>
      </c>
      <c r="BY46" s="519">
        <f>ExGen!AM24</f>
        <v>3261</v>
      </c>
      <c r="BZ46" s="519">
        <f>ExGen!AR24</f>
        <v>3091</v>
      </c>
      <c r="CA46" s="519">
        <f>ExGen!AW24</f>
        <v>3293</v>
      </c>
      <c r="CB46" s="519">
        <f>ExGen!BB24</f>
        <v>3226.9385380811545</v>
      </c>
      <c r="CC46" s="519">
        <f>ExGen!BG24</f>
        <v>2906.4780020098833</v>
      </c>
      <c r="CD46" s="519">
        <f>ExGen!BL24</f>
        <v>2633.4401569598072</v>
      </c>
      <c r="CE46" s="519">
        <f>ExGen!BQ24</f>
        <v>2687.4461668574731</v>
      </c>
      <c r="CF46" s="521"/>
      <c r="CH46" s="248" t="s">
        <v>1264</v>
      </c>
      <c r="CI46" s="704"/>
      <c r="CJ46" s="704"/>
      <c r="CK46" s="727">
        <f>(CK39*(CK41*(1-CK45)))+(CK40*(CK42+(CK43*CK44)))</f>
        <v>8.5275000000000004E-2</v>
      </c>
      <c r="CL46" s="4"/>
      <c r="CM46" s="4" t="s">
        <v>574</v>
      </c>
      <c r="CN46" s="4"/>
      <c r="CO46" s="4"/>
      <c r="CP46" s="4"/>
      <c r="CQ46" s="4"/>
      <c r="CR46" s="1162">
        <f>CE60/CE46</f>
        <v>0.31628540526039089</v>
      </c>
      <c r="CS46" s="1"/>
      <c r="CT46" s="4"/>
      <c r="CU46" s="4"/>
      <c r="CW46" s="1"/>
      <c r="CX46" s="1"/>
      <c r="CY46" s="1"/>
      <c r="CZ46" s="1"/>
      <c r="DA46" s="1"/>
      <c r="DB46" s="1"/>
      <c r="DC46" s="1"/>
      <c r="DD46" s="1"/>
      <c r="DE46" s="1"/>
      <c r="DF46" s="1"/>
      <c r="DG46" s="1"/>
      <c r="DH46" s="4"/>
      <c r="DI46" s="2"/>
      <c r="DJ46" s="4"/>
      <c r="DK46" s="4"/>
      <c r="DL46" s="4"/>
      <c r="DM46" s="4"/>
    </row>
    <row r="47" spans="3:117">
      <c r="N47" s="517"/>
      <c r="O47" s="517"/>
      <c r="P47" s="517"/>
      <c r="Q47" s="517"/>
      <c r="R47" s="517"/>
      <c r="S47" s="517"/>
      <c r="T47" s="517"/>
      <c r="U47" s="517"/>
      <c r="V47" s="517"/>
      <c r="W47" s="517"/>
      <c r="X47" s="517"/>
      <c r="Y47" s="517"/>
      <c r="Z47" s="517"/>
      <c r="AA47" s="517"/>
      <c r="AB47" s="517"/>
      <c r="AC47" s="517"/>
      <c r="AD47" s="517"/>
      <c r="AE47" s="517"/>
      <c r="AF47" s="517"/>
      <c r="AG47" s="517"/>
      <c r="AH47" s="517"/>
      <c r="AI47" s="517"/>
      <c r="AJ47" s="517"/>
      <c r="AK47" s="517"/>
      <c r="AL47" s="517"/>
      <c r="AM47" s="517"/>
      <c r="AN47" s="517"/>
      <c r="AO47" s="517"/>
      <c r="AP47" s="517"/>
      <c r="AQ47" s="517"/>
      <c r="AR47" s="517"/>
      <c r="AS47" s="517"/>
      <c r="AT47" s="517"/>
      <c r="AU47" s="517"/>
      <c r="AV47" s="517"/>
      <c r="AW47" s="517"/>
      <c r="AX47" s="517"/>
      <c r="AY47" s="517"/>
      <c r="AZ47" s="517"/>
      <c r="BA47" s="517"/>
      <c r="BB47" s="517"/>
      <c r="BC47" s="517"/>
      <c r="BD47" s="517"/>
      <c r="BE47" s="517"/>
      <c r="BF47" s="517"/>
      <c r="BG47" s="517"/>
      <c r="BH47" s="517"/>
      <c r="BI47" s="517"/>
      <c r="BJ47" s="517"/>
      <c r="BK47" s="517"/>
      <c r="BL47" s="517"/>
      <c r="BM47" s="517"/>
      <c r="BN47" s="517"/>
      <c r="BO47" s="517"/>
      <c r="BP47" s="517"/>
      <c r="BQ47" s="517"/>
      <c r="BU47" t="s">
        <v>587</v>
      </c>
      <c r="BW47" s="519"/>
      <c r="BX47" s="519">
        <f>ExGen!AH13+Parent!AH13</f>
        <v>1020</v>
      </c>
      <c r="BY47" s="519">
        <f>ExGen!AM13+Parent!AM13</f>
        <v>1117</v>
      </c>
      <c r="BZ47" s="519">
        <f>ExGen!AR13+Parent!AR13</f>
        <v>2005</v>
      </c>
      <c r="CA47" s="519">
        <f>ExGen!AW13+Parent!AW13</f>
        <v>1585</v>
      </c>
      <c r="CB47" s="519">
        <f>ExGen!BB13+Parent!BB13</f>
        <v>1251.0385266441699</v>
      </c>
      <c r="CC47" s="519">
        <f>ExGen!BG13+Parent!BG13</f>
        <v>1294.2386105716184</v>
      </c>
      <c r="CD47" s="519">
        <f>ExGen!BL13+Parent!BL13</f>
        <v>1292.9842689663296</v>
      </c>
      <c r="CE47" s="519">
        <f>ExGen!BQ13+Parent!BQ13</f>
        <v>1291.6511045858499</v>
      </c>
      <c r="CF47" s="519"/>
      <c r="CL47" s="4"/>
      <c r="CM47" s="1" t="s">
        <v>565</v>
      </c>
      <c r="CN47" s="4"/>
      <c r="CO47" s="4"/>
      <c r="CP47" s="4"/>
      <c r="CQ47" s="4"/>
      <c r="CR47" s="728">
        <f>CK38</f>
        <v>8</v>
      </c>
      <c r="CS47" s="1"/>
      <c r="CT47" s="4"/>
      <c r="CU47" s="4"/>
      <c r="CW47" s="1"/>
      <c r="CX47" s="1"/>
      <c r="CY47" s="1"/>
      <c r="CZ47" s="1"/>
      <c r="DA47" s="1"/>
      <c r="DB47" s="1"/>
      <c r="DC47" s="1"/>
      <c r="DD47" s="1"/>
      <c r="DE47" s="1"/>
      <c r="DF47" s="1"/>
      <c r="DG47" s="1"/>
      <c r="DH47" s="4"/>
      <c r="DI47" s="2"/>
      <c r="DJ47" s="4"/>
      <c r="DK47" s="4"/>
      <c r="DL47" s="4"/>
      <c r="DM47" s="4"/>
    </row>
    <row r="48" spans="3:117">
      <c r="C48" t="s">
        <v>127</v>
      </c>
      <c r="N48" s="517"/>
      <c r="O48" s="517">
        <f>PECO!O65</f>
        <v>0</v>
      </c>
      <c r="P48" s="517">
        <f>PECO!P65</f>
        <v>0</v>
      </c>
      <c r="Q48" s="517">
        <f>PECO!Q65</f>
        <v>0</v>
      </c>
      <c r="R48" s="517">
        <f>PECO!R65</f>
        <v>0</v>
      </c>
      <c r="S48" s="517"/>
      <c r="T48" s="517"/>
      <c r="U48" s="517"/>
      <c r="V48" s="517"/>
      <c r="W48" s="517"/>
      <c r="X48" s="517">
        <f>PECO!X65</f>
        <v>0.13461980741420379</v>
      </c>
      <c r="Y48" s="517"/>
      <c r="Z48" s="517"/>
      <c r="AA48" s="517"/>
      <c r="AB48" s="517"/>
      <c r="AC48" s="517">
        <f>PECO!AC65</f>
        <v>0.13322450595456423</v>
      </c>
      <c r="AD48" s="517"/>
      <c r="AE48" s="517"/>
      <c r="AF48" s="517"/>
      <c r="AG48" s="517"/>
      <c r="AH48" s="517">
        <f>PECO!AH65</f>
        <v>0.11303350456195776</v>
      </c>
      <c r="AI48" s="517"/>
      <c r="AJ48" s="517"/>
      <c r="AK48" s="517"/>
      <c r="AL48" s="517"/>
      <c r="AM48" s="517">
        <f>PECO!AM65</f>
        <v>0.12026517838860064</v>
      </c>
      <c r="AN48" s="517"/>
      <c r="AO48" s="517"/>
      <c r="AP48" s="517"/>
      <c r="AQ48" s="517"/>
      <c r="AR48" s="517">
        <f>PECO!AR65</f>
        <v>0.13167685109346497</v>
      </c>
      <c r="AS48" s="517"/>
      <c r="AT48" s="517"/>
      <c r="AU48" s="517"/>
      <c r="AV48" s="517"/>
      <c r="AW48" s="517">
        <f>PECO!AW65</f>
        <v>0.12484413831058828</v>
      </c>
      <c r="AX48" s="517"/>
      <c r="AY48" s="517"/>
      <c r="AZ48" s="517"/>
      <c r="BA48" s="517"/>
      <c r="BB48" s="517">
        <f ca="1">PECO!BB65</f>
        <v>0.1170434957192505</v>
      </c>
      <c r="BC48" s="517"/>
      <c r="BD48" s="517"/>
      <c r="BE48" s="517"/>
      <c r="BF48" s="517"/>
      <c r="BG48" s="517">
        <f ca="1">PECO!BG65</f>
        <v>0.11757323907339734</v>
      </c>
      <c r="BH48" s="517"/>
      <c r="BI48" s="517"/>
      <c r="BJ48" s="517"/>
      <c r="BK48" s="517"/>
      <c r="BL48" s="517">
        <f ca="1">PECO!BL65</f>
        <v>0.12030979488105117</v>
      </c>
      <c r="BM48" s="517"/>
      <c r="BN48" s="517"/>
      <c r="BO48" s="517"/>
      <c r="BP48" s="517"/>
      <c r="BQ48" s="517">
        <f ca="1">PECO!BQ65</f>
        <v>0.11953099930461737</v>
      </c>
      <c r="BU48" t="s">
        <v>318</v>
      </c>
      <c r="BW48" s="519"/>
      <c r="BX48" s="519">
        <f>(ExGen!AH26)</f>
        <v>356</v>
      </c>
      <c r="BY48" s="519">
        <f>(ExGen!AM26)</f>
        <v>365</v>
      </c>
      <c r="BZ48" s="519">
        <f>(ExGen!AR26)</f>
        <v>364</v>
      </c>
      <c r="CA48" s="519">
        <f>(ExGen!AW26)</f>
        <v>440</v>
      </c>
      <c r="CB48" s="519">
        <f ca="1">(ExGen!BB26)</f>
        <v>419.46996730788885</v>
      </c>
      <c r="CC48" s="519">
        <f ca="1">(ExGen!BG26)</f>
        <v>391.2603242005074</v>
      </c>
      <c r="CD48" s="519">
        <f ca="1">(ExGen!BL26)</f>
        <v>390.52825193482494</v>
      </c>
      <c r="CE48" s="519">
        <f ca="1">(ExGen!BQ26)</f>
        <v>343.04816843850296</v>
      </c>
      <c r="CF48" s="519"/>
      <c r="CH48" s="32" t="s">
        <v>580</v>
      </c>
      <c r="CI48" s="4"/>
      <c r="CJ48" s="4"/>
      <c r="CM48" s="1" t="s">
        <v>49</v>
      </c>
      <c r="CN48" s="4"/>
      <c r="CO48" s="4"/>
      <c r="CP48" s="4"/>
      <c r="CQ48" s="4"/>
      <c r="CR48" s="729">
        <f>CK40</f>
        <v>0.625</v>
      </c>
      <c r="CS48" s="1"/>
      <c r="CT48" s="4"/>
      <c r="CU48" s="4"/>
      <c r="CW48" s="1"/>
      <c r="CX48" s="1"/>
      <c r="CY48" s="1"/>
      <c r="CZ48" s="1"/>
      <c r="DA48" s="1"/>
      <c r="DB48" s="1"/>
      <c r="DC48" s="1"/>
      <c r="DD48" s="1"/>
      <c r="DE48" s="1"/>
      <c r="DF48" s="1"/>
      <c r="DG48" s="1"/>
      <c r="DH48" s="4"/>
      <c r="DI48" s="2"/>
      <c r="DJ48" s="4"/>
      <c r="DK48" s="4"/>
      <c r="DL48" s="4"/>
      <c r="DM48" s="4"/>
    </row>
    <row r="49" spans="3:117">
      <c r="C49" t="s">
        <v>38</v>
      </c>
      <c r="N49" s="517"/>
      <c r="O49" s="517">
        <f>PECO!O268</f>
        <v>0.5374768089053803</v>
      </c>
      <c r="P49" s="517">
        <f>PECO!P268</f>
        <v>0.53833333333333333</v>
      </c>
      <c r="Q49" s="517">
        <f>PECO!Q268</f>
        <v>0.54147507816810736</v>
      </c>
      <c r="R49" s="517">
        <f>PECO!R268</f>
        <v>0.5670719938235862</v>
      </c>
      <c r="S49" s="517"/>
      <c r="T49" s="517"/>
      <c r="U49" s="517"/>
      <c r="V49" s="517"/>
      <c r="W49" s="517"/>
      <c r="X49" s="517">
        <f>PECO!X268</f>
        <v>0.57346153846153847</v>
      </c>
      <c r="Y49" s="517"/>
      <c r="Z49" s="517"/>
      <c r="AA49" s="517"/>
      <c r="AB49" s="517"/>
      <c r="AC49" s="517">
        <f>PECO!AC268</f>
        <v>0.56279838413514505</v>
      </c>
      <c r="AD49" s="517"/>
      <c r="AE49" s="517"/>
      <c r="AF49" s="517"/>
      <c r="AG49" s="517"/>
      <c r="AH49" s="517">
        <f>PECO!AH268</f>
        <v>0.56224103765087374</v>
      </c>
      <c r="AI49" s="517"/>
      <c r="AJ49" s="517"/>
      <c r="AK49" s="517"/>
      <c r="AL49" s="517"/>
      <c r="AM49" s="517">
        <f>PECO!AM268</f>
        <v>0.53933333333333333</v>
      </c>
      <c r="AN49" s="517"/>
      <c r="AO49" s="517"/>
      <c r="AP49" s="517"/>
      <c r="AQ49" s="517"/>
      <c r="AR49" s="517">
        <f>PECO!AR268</f>
        <v>0.55267842692992397</v>
      </c>
      <c r="AS49" s="517"/>
      <c r="AT49" s="517"/>
      <c r="AU49" s="517"/>
      <c r="AV49" s="517"/>
      <c r="AW49" s="517">
        <f>PECO!AW268</f>
        <v>0.53676470588235292</v>
      </c>
      <c r="AX49" s="517"/>
      <c r="AY49" s="517"/>
      <c r="AZ49" s="517"/>
      <c r="BA49" s="517"/>
      <c r="BB49" s="517">
        <f ca="1">PECO!BB268</f>
        <v>0.54147874024100628</v>
      </c>
      <c r="BC49" s="517"/>
      <c r="BD49" s="517"/>
      <c r="BE49" s="517"/>
      <c r="BF49" s="517"/>
      <c r="BG49" s="517">
        <f ca="1">PECO!BG268</f>
        <v>0.53953565045664187</v>
      </c>
      <c r="BH49" s="517"/>
      <c r="BI49" s="517"/>
      <c r="BJ49" s="517"/>
      <c r="BK49" s="517"/>
      <c r="BL49" s="517">
        <f ca="1">PECO!BL268</f>
        <v>0.53989427396081913</v>
      </c>
      <c r="BM49" s="517"/>
      <c r="BN49" s="517"/>
      <c r="BO49" s="517"/>
      <c r="BP49" s="517"/>
      <c r="BQ49" s="517">
        <f ca="1">PECO!BQ268</f>
        <v>0.5396479402433153</v>
      </c>
      <c r="BU49" s="806" t="s">
        <v>1513</v>
      </c>
      <c r="BV49" s="4"/>
      <c r="BW49" s="732"/>
      <c r="BX49" s="732">
        <v>0</v>
      </c>
      <c r="BY49" s="732">
        <v>0</v>
      </c>
      <c r="BZ49" s="732">
        <v>0</v>
      </c>
      <c r="CA49" s="732">
        <f>SUM(CI7:CI8)</f>
        <v>377.85012591999998</v>
      </c>
      <c r="CB49" s="732">
        <f>SUM(CJ7:CJ8)</f>
        <v>505.66339647999996</v>
      </c>
      <c r="CC49" s="732">
        <f>SUM(CK7:CK8)</f>
        <v>520.95450122119883</v>
      </c>
      <c r="CD49" s="732">
        <f>SUM(CL7:CL8)</f>
        <v>530.98296876633094</v>
      </c>
      <c r="CE49" s="732">
        <f>SUM(CM7:CM8)</f>
        <v>559.08287772627523</v>
      </c>
      <c r="CF49" s="519"/>
      <c r="CH49" s="1" t="s">
        <v>428</v>
      </c>
      <c r="CI49" s="4"/>
      <c r="CJ49" s="4"/>
      <c r="CK49" s="718">
        <f>CK46</f>
        <v>8.5275000000000004E-2</v>
      </c>
      <c r="CL49" s="4"/>
      <c r="CM49" s="1" t="s">
        <v>577</v>
      </c>
      <c r="CN49" s="4"/>
      <c r="CO49" s="4"/>
      <c r="CP49" s="4"/>
      <c r="CQ49" s="4"/>
      <c r="CR49" s="731">
        <v>1000</v>
      </c>
      <c r="CS49" s="1"/>
      <c r="CT49" s="4"/>
      <c r="CU49" s="4"/>
      <c r="CW49" s="1"/>
      <c r="CX49" s="1"/>
      <c r="CY49" s="1"/>
      <c r="CZ49" s="1"/>
      <c r="DA49" s="1"/>
      <c r="DB49" s="1"/>
      <c r="DC49" s="1"/>
      <c r="DD49" s="1"/>
      <c r="DE49" s="1"/>
      <c r="DF49" s="1"/>
      <c r="DG49" s="1"/>
      <c r="DH49" s="4"/>
      <c r="DI49" s="2"/>
      <c r="DJ49" s="4"/>
      <c r="DK49" s="4"/>
      <c r="DL49" s="4"/>
      <c r="DM49" s="4"/>
    </row>
    <row r="50" spans="3:117">
      <c r="N50" s="517"/>
      <c r="O50" s="517"/>
      <c r="P50" s="517"/>
      <c r="Q50" s="517"/>
      <c r="R50" s="517"/>
      <c r="S50" s="517"/>
      <c r="T50" s="517"/>
      <c r="U50" s="517"/>
      <c r="V50" s="517"/>
      <c r="W50" s="517"/>
      <c r="X50" s="517"/>
      <c r="Y50" s="517"/>
      <c r="Z50" s="517"/>
      <c r="AA50" s="517"/>
      <c r="AB50" s="517"/>
      <c r="AC50" s="517"/>
      <c r="AD50" s="517"/>
      <c r="AE50" s="517"/>
      <c r="AF50" s="517"/>
      <c r="AG50" s="517"/>
      <c r="AH50" s="517"/>
      <c r="AI50" s="517"/>
      <c r="AJ50" s="517"/>
      <c r="AK50" s="517"/>
      <c r="AL50" s="517"/>
      <c r="AM50" s="517"/>
      <c r="AN50" s="517"/>
      <c r="AO50" s="517"/>
      <c r="AP50" s="517"/>
      <c r="AQ50" s="517"/>
      <c r="AR50" s="517"/>
      <c r="AS50" s="517"/>
      <c r="AT50" s="517"/>
      <c r="AU50" s="517"/>
      <c r="AV50" s="517"/>
      <c r="AW50" s="517"/>
      <c r="AX50" s="517"/>
      <c r="AY50" s="517"/>
      <c r="AZ50" s="517"/>
      <c r="BA50" s="517"/>
      <c r="BB50" s="517"/>
      <c r="BC50" s="517"/>
      <c r="BD50" s="517"/>
      <c r="BE50" s="517"/>
      <c r="BF50" s="517"/>
      <c r="BG50" s="517"/>
      <c r="BH50" s="517"/>
      <c r="BI50" s="517"/>
      <c r="BJ50" s="517"/>
      <c r="BK50" s="517"/>
      <c r="BL50" s="517"/>
      <c r="BM50" s="517"/>
      <c r="BN50" s="517"/>
      <c r="BO50" s="517"/>
      <c r="BP50" s="517"/>
      <c r="BQ50" s="517"/>
      <c r="BU50" s="31" t="s">
        <v>981</v>
      </c>
      <c r="BV50" s="748"/>
      <c r="BW50" s="506"/>
      <c r="BX50" s="506">
        <f>-(BX46-BX47-BX48-BX49)*$CK$45</f>
        <v>-246.32999999999998</v>
      </c>
      <c r="BY50" s="506">
        <f t="shared" ref="BY50:CD50" si="9">-(BY46-BY47-BY48-BY49)*$CK$45</f>
        <v>-373.59</v>
      </c>
      <c r="BZ50" s="506">
        <f t="shared" si="9"/>
        <v>-151.62</v>
      </c>
      <c r="CA50" s="506">
        <f t="shared" si="9"/>
        <v>-186.9314735568</v>
      </c>
      <c r="CB50" s="506">
        <f t="shared" ca="1" si="9"/>
        <v>-220.66099600631011</v>
      </c>
      <c r="CC50" s="506">
        <f t="shared" ca="1" si="9"/>
        <v>-147.00515886347733</v>
      </c>
      <c r="CD50" s="506">
        <f t="shared" ca="1" si="9"/>
        <v>-87.978380131387524</v>
      </c>
      <c r="CE50" s="506">
        <f ca="1">-(CE46-CE47-CE48-CE49)*$CK$45</f>
        <v>-103.66944338243746</v>
      </c>
      <c r="CF50" s="519"/>
      <c r="CH50" s="1" t="s">
        <v>581</v>
      </c>
      <c r="CI50" s="4"/>
      <c r="CJ50" s="4"/>
      <c r="CK50" s="728">
        <f>DE60/CE46</f>
        <v>6.5556188223936207</v>
      </c>
      <c r="CL50" s="4"/>
      <c r="CM50" s="1" t="s">
        <v>578</v>
      </c>
      <c r="CN50" s="4"/>
      <c r="CO50" s="4"/>
      <c r="CP50" s="4"/>
      <c r="CQ50" s="4"/>
      <c r="CR50" s="732">
        <f>-CK45*(CR49-(CR45*CR49)-(CK37*CR49*CK41))</f>
        <v>-71.268961712372828</v>
      </c>
      <c r="CS50" s="1"/>
      <c r="CT50" s="4"/>
      <c r="CU50" s="4"/>
      <c r="CW50" s="1"/>
      <c r="CX50" s="1"/>
      <c r="CY50" s="1"/>
      <c r="CZ50" s="1"/>
      <c r="DA50" s="1"/>
      <c r="DB50" s="1"/>
      <c r="DC50" s="1"/>
      <c r="DD50" s="1"/>
      <c r="DE50" s="1"/>
      <c r="DF50" s="1"/>
      <c r="DG50" s="1"/>
      <c r="DH50" s="4"/>
      <c r="DI50" s="2"/>
      <c r="DJ50" s="4"/>
      <c r="DK50" s="4"/>
      <c r="DL50" s="4"/>
      <c r="DM50" s="4"/>
    </row>
    <row r="51" spans="3:117">
      <c r="C51" t="s">
        <v>48</v>
      </c>
      <c r="N51" s="517"/>
      <c r="O51" s="517">
        <f>PECO!O64</f>
        <v>0.105</v>
      </c>
      <c r="P51" s="517">
        <f>PECO!P64</f>
        <v>0.105</v>
      </c>
      <c r="Q51" s="517">
        <f>PECO!Q64</f>
        <v>0.105</v>
      </c>
      <c r="R51" s="517">
        <f>PECO!R64</f>
        <v>0.105</v>
      </c>
      <c r="S51" s="517"/>
      <c r="T51" s="517"/>
      <c r="U51" s="517"/>
      <c r="V51" s="517"/>
      <c r="W51" s="517"/>
      <c r="X51" s="517">
        <f>PECO!X64</f>
        <v>0.105</v>
      </c>
      <c r="Y51" s="517"/>
      <c r="Z51" s="517"/>
      <c r="AA51" s="517"/>
      <c r="AB51" s="517"/>
      <c r="AC51" s="517">
        <f>PECO!AC64</f>
        <v>0.105</v>
      </c>
      <c r="AD51" s="517"/>
      <c r="AE51" s="517"/>
      <c r="AF51" s="517"/>
      <c r="AG51" s="517"/>
      <c r="AH51" s="517">
        <f>PECO!AH64</f>
        <v>0.105</v>
      </c>
      <c r="AI51" s="517"/>
      <c r="AJ51" s="517"/>
      <c r="AK51" s="517"/>
      <c r="AL51" s="517"/>
      <c r="AM51" s="517">
        <f>PECO!AM64</f>
        <v>0.1095</v>
      </c>
      <c r="AN51" s="517"/>
      <c r="AO51" s="517"/>
      <c r="AP51" s="517"/>
      <c r="AQ51" s="517"/>
      <c r="AR51" s="517">
        <f>PECO!AR64</f>
        <v>0.1095</v>
      </c>
      <c r="AS51" s="517"/>
      <c r="AT51" s="517"/>
      <c r="AU51" s="517"/>
      <c r="AV51" s="517"/>
      <c r="AW51" s="517">
        <f>PECO!AW64</f>
        <v>0.1095</v>
      </c>
      <c r="AX51" s="517"/>
      <c r="AY51" s="517"/>
      <c r="AZ51" s="517"/>
      <c r="BA51" s="517"/>
      <c r="BB51" s="517">
        <f>PECO!BB64</f>
        <v>0.1095</v>
      </c>
      <c r="BC51" s="517"/>
      <c r="BD51" s="517"/>
      <c r="BE51" s="517"/>
      <c r="BF51" s="517"/>
      <c r="BG51" s="517">
        <f>PECO!BG64</f>
        <v>0.1095</v>
      </c>
      <c r="BH51" s="517"/>
      <c r="BI51" s="517"/>
      <c r="BJ51" s="517"/>
      <c r="BK51" s="517"/>
      <c r="BL51" s="517">
        <f>PECO!BL64</f>
        <v>0.1095</v>
      </c>
      <c r="BM51" s="517"/>
      <c r="BN51" s="517"/>
      <c r="BO51" s="517"/>
      <c r="BP51" s="517"/>
      <c r="BQ51" s="517">
        <f>PECO!BQ64</f>
        <v>0.1095</v>
      </c>
      <c r="BU51" s="31" t="s">
        <v>1128</v>
      </c>
      <c r="BW51" s="754"/>
      <c r="BX51" s="754">
        <f>+SUM(ExGen!AH822:AH823)</f>
        <v>503</v>
      </c>
      <c r="BY51" s="754">
        <f>+SUM(ExGen!AM822:AM823)</f>
        <v>199</v>
      </c>
      <c r="BZ51" s="754">
        <f>+SUM(ExGen!AR822:AR823)</f>
        <v>-141</v>
      </c>
      <c r="CA51" s="754">
        <f>+SUM(ExGen!AW822:AW823)</f>
        <v>-2297</v>
      </c>
      <c r="CB51" s="754">
        <f ca="1">+SUM(ExGen!BB822:BB823)</f>
        <v>205.45892075903038</v>
      </c>
      <c r="CC51" s="754">
        <f ca="1">+SUM(ExGen!BG822:BG823)</f>
        <v>147.73209469907499</v>
      </c>
      <c r="CD51" s="754">
        <f ca="1">+SUM(ExGen!BL822:BL823)</f>
        <v>110.8835809918981</v>
      </c>
      <c r="CE51" s="754">
        <f ca="1">+SUM(ExGen!BQ822:BQ823)</f>
        <v>227.7856084446405</v>
      </c>
      <c r="CF51" s="519"/>
      <c r="CH51" s="1" t="s">
        <v>574</v>
      </c>
      <c r="CI51" s="4"/>
      <c r="CJ51" s="4"/>
      <c r="CK51" s="1163">
        <f>CR46</f>
        <v>0.31628540526039089</v>
      </c>
      <c r="CL51" s="4"/>
      <c r="CM51" s="1" t="s">
        <v>579</v>
      </c>
      <c r="CN51" s="4"/>
      <c r="CO51" s="4"/>
      <c r="CP51" s="4"/>
      <c r="CQ51" s="4"/>
      <c r="CR51" s="2287">
        <f>CR49+CR50-(CK37*CR49*CK41)-(CR46*CR49)</f>
        <v>432.44563302723623</v>
      </c>
      <c r="CS51" s="1"/>
      <c r="CT51" s="4"/>
      <c r="CU51" s="4"/>
      <c r="CW51" s="1"/>
      <c r="CX51" s="1"/>
      <c r="CY51" s="1"/>
      <c r="CZ51" s="1"/>
      <c r="DA51" s="1"/>
      <c r="DB51" s="1"/>
      <c r="DC51" s="1"/>
      <c r="DD51" s="1"/>
      <c r="DE51" s="1"/>
      <c r="DF51" s="1"/>
      <c r="DG51" s="1"/>
      <c r="DH51" s="4"/>
      <c r="DI51" s="2"/>
      <c r="DJ51" s="4"/>
      <c r="DK51" s="4"/>
      <c r="DL51" s="4"/>
      <c r="DM51" s="4"/>
    </row>
    <row r="52" spans="3:117">
      <c r="C52" t="s">
        <v>597</v>
      </c>
      <c r="N52" s="517"/>
      <c r="O52" s="517">
        <f>PECO!O267</f>
        <v>0.53</v>
      </c>
      <c r="P52" s="517">
        <f>PECO!P267</f>
        <v>0.53</v>
      </c>
      <c r="Q52" s="517">
        <f>PECO!Q267</f>
        <v>0.53</v>
      </c>
      <c r="R52" s="517">
        <f>PECO!R267</f>
        <v>0.53</v>
      </c>
      <c r="S52" s="517"/>
      <c r="T52" s="517"/>
      <c r="U52" s="517"/>
      <c r="V52" s="517"/>
      <c r="W52" s="517"/>
      <c r="X52" s="517">
        <f>PECO!X267</f>
        <v>0.53</v>
      </c>
      <c r="Y52" s="517"/>
      <c r="Z52" s="517"/>
      <c r="AA52" s="517"/>
      <c r="AB52" s="517"/>
      <c r="AC52" s="517">
        <f>PECO!AC267</f>
        <v>0.53</v>
      </c>
      <c r="AD52" s="517"/>
      <c r="AE52" s="517"/>
      <c r="AF52" s="517"/>
      <c r="AG52" s="517"/>
      <c r="AH52" s="517">
        <f>PECO!AH267</f>
        <v>0.53</v>
      </c>
      <c r="AI52" s="517"/>
      <c r="AJ52" s="517"/>
      <c r="AK52" s="517"/>
      <c r="AL52" s="517"/>
      <c r="AM52" s="517">
        <f>PECO!AM267</f>
        <v>0.54</v>
      </c>
      <c r="AN52" s="517"/>
      <c r="AO52" s="517"/>
      <c r="AP52" s="517"/>
      <c r="AQ52" s="517"/>
      <c r="AR52" s="517">
        <f>PECO!AR267</f>
        <v>0.54</v>
      </c>
      <c r="AS52" s="517"/>
      <c r="AT52" s="517"/>
      <c r="AU52" s="517"/>
      <c r="AV52" s="517"/>
      <c r="AW52" s="517">
        <f>PECO!AW267</f>
        <v>0.54</v>
      </c>
      <c r="AX52" s="517"/>
      <c r="AY52" s="517"/>
      <c r="AZ52" s="517"/>
      <c r="BA52" s="517"/>
      <c r="BB52" s="517">
        <f>PECO!BB267</f>
        <v>0.54</v>
      </c>
      <c r="BC52" s="517"/>
      <c r="BD52" s="517"/>
      <c r="BE52" s="517"/>
      <c r="BF52" s="517"/>
      <c r="BG52" s="517">
        <f>PECO!BG267</f>
        <v>0.54</v>
      </c>
      <c r="BH52" s="517"/>
      <c r="BI52" s="517"/>
      <c r="BJ52" s="517"/>
      <c r="BK52" s="517"/>
      <c r="BL52" s="517">
        <f>PECO!BL267</f>
        <v>0.54</v>
      </c>
      <c r="BM52" s="517"/>
      <c r="BN52" s="517"/>
      <c r="BO52" s="517"/>
      <c r="BP52" s="517"/>
      <c r="BQ52" s="517">
        <f>PECO!BQ267</f>
        <v>0.54</v>
      </c>
      <c r="BU52" s="34" t="s">
        <v>148</v>
      </c>
      <c r="BW52" s="521"/>
      <c r="BX52" s="521">
        <f>+BX46-BX48-BX49+BX50+BX51</f>
        <v>2449.67</v>
      </c>
      <c r="BY52" s="521">
        <f t="shared" ref="BY52:CD52" si="10">+BY46-BY48-BY49+BY50+BY51</f>
        <v>2721.41</v>
      </c>
      <c r="BZ52" s="521">
        <f t="shared" si="10"/>
        <v>2434.38</v>
      </c>
      <c r="CA52" s="521">
        <f t="shared" si="10"/>
        <v>-8.7815994768002383</v>
      </c>
      <c r="CB52" s="521">
        <f t="shared" ca="1" si="10"/>
        <v>2286.6030990459858</v>
      </c>
      <c r="CC52" s="521">
        <f t="shared" ca="1" si="10"/>
        <v>1994.9901124237745</v>
      </c>
      <c r="CD52" s="521">
        <f t="shared" ca="1" si="10"/>
        <v>1734.8341371191621</v>
      </c>
      <c r="CE52" s="521">
        <f t="shared" ref="CE52" ca="1" si="11">+CE46-CE48-CE49+CE50+CE51</f>
        <v>1909.4312857548978</v>
      </c>
      <c r="CF52" s="519"/>
      <c r="CH52" s="1" t="s">
        <v>582</v>
      </c>
      <c r="CI52" s="4"/>
      <c r="CJ52" s="4"/>
      <c r="CK52" s="721">
        <f>0.0151</f>
        <v>1.5100000000000001E-2</v>
      </c>
      <c r="CL52" s="4"/>
      <c r="CM52" s="248" t="s">
        <v>1265</v>
      </c>
      <c r="CN52" s="704"/>
      <c r="CO52" s="704"/>
      <c r="CP52" s="704"/>
      <c r="CQ52" s="708"/>
      <c r="CR52" s="727">
        <f>CR51/(CR49*(CR47-CK37))</f>
        <v>8.6489126605447247E-2</v>
      </c>
      <c r="CS52" s="1"/>
      <c r="CT52" s="4"/>
      <c r="CU52" s="4"/>
      <c r="CW52" s="1"/>
      <c r="CX52" s="1"/>
      <c r="CY52" s="1"/>
      <c r="CZ52" s="1"/>
      <c r="DA52" s="1"/>
      <c r="DB52" s="1"/>
      <c r="DC52" s="1"/>
      <c r="DD52" s="1"/>
      <c r="DE52" s="1"/>
      <c r="DF52" s="1"/>
      <c r="DG52" s="1"/>
      <c r="DH52" s="4"/>
      <c r="DI52" s="2"/>
      <c r="DJ52" s="4"/>
      <c r="DK52" s="4"/>
      <c r="DL52" s="4"/>
      <c r="DM52" s="4"/>
    </row>
    <row r="53" spans="3:117">
      <c r="N53" s="517"/>
      <c r="O53" s="517"/>
      <c r="P53" s="517"/>
      <c r="Q53" s="517"/>
      <c r="R53" s="517"/>
      <c r="S53" s="517"/>
      <c r="T53" s="517"/>
      <c r="U53" s="517"/>
      <c r="V53" s="517"/>
      <c r="W53" s="517"/>
      <c r="X53" s="517"/>
      <c r="Y53" s="517"/>
      <c r="Z53" s="517"/>
      <c r="AA53" s="517"/>
      <c r="AB53" s="517"/>
      <c r="AC53" s="517"/>
      <c r="AD53" s="517"/>
      <c r="AE53" s="517"/>
      <c r="AF53" s="517"/>
      <c r="AG53" s="517"/>
      <c r="AH53" s="517"/>
      <c r="AI53" s="517"/>
      <c r="AJ53" s="517"/>
      <c r="AK53" s="517"/>
      <c r="AL53" s="517"/>
      <c r="AM53" s="517"/>
      <c r="AN53" s="517"/>
      <c r="AO53" s="517"/>
      <c r="AP53" s="517"/>
      <c r="AQ53" s="517"/>
      <c r="AR53" s="517"/>
      <c r="AS53" s="517"/>
      <c r="AT53" s="517"/>
      <c r="AU53" s="517"/>
      <c r="AV53" s="517"/>
      <c r="AW53" s="517"/>
      <c r="AX53" s="517"/>
      <c r="AY53" s="517"/>
      <c r="AZ53" s="517"/>
      <c r="BA53" s="517"/>
      <c r="BB53" s="517"/>
      <c r="BC53" s="517"/>
      <c r="BD53" s="517"/>
      <c r="BE53" s="517"/>
      <c r="BF53" s="517"/>
      <c r="BG53" s="517"/>
      <c r="BH53" s="517"/>
      <c r="BI53" s="517"/>
      <c r="BJ53" s="517"/>
      <c r="BK53" s="517"/>
      <c r="BL53" s="517"/>
      <c r="BM53" s="517"/>
      <c r="BN53" s="517"/>
      <c r="BO53" s="517"/>
      <c r="BP53" s="517"/>
      <c r="BQ53" s="517"/>
      <c r="BU53" s="34"/>
      <c r="BW53" s="521"/>
      <c r="BX53" s="521"/>
      <c r="BY53" s="521"/>
      <c r="BZ53" s="521"/>
      <c r="CA53" s="521"/>
      <c r="CB53" s="521"/>
      <c r="CC53" s="521"/>
      <c r="CD53" s="521"/>
      <c r="CE53" s="521"/>
      <c r="CF53" s="534"/>
      <c r="CH53" s="1" t="s">
        <v>583</v>
      </c>
      <c r="CI53" s="4"/>
      <c r="CJ53" s="4"/>
      <c r="CK53" s="728">
        <f>CK37</f>
        <v>3</v>
      </c>
      <c r="CL53" s="4"/>
      <c r="CS53" s="1"/>
      <c r="CT53" s="4"/>
      <c r="CU53" s="4"/>
      <c r="CW53" s="1"/>
      <c r="CX53" s="1"/>
      <c r="CY53" s="1"/>
      <c r="CZ53" s="1"/>
      <c r="DA53" s="1"/>
      <c r="DB53" s="1"/>
      <c r="DC53" s="1"/>
      <c r="DD53" s="1"/>
      <c r="DE53" s="1"/>
      <c r="DF53" s="1"/>
      <c r="DG53" s="1"/>
      <c r="DH53" s="4"/>
      <c r="DI53" s="2"/>
      <c r="DJ53" s="4"/>
      <c r="DK53" s="4"/>
      <c r="DL53" s="4"/>
      <c r="DM53" s="4"/>
    </row>
    <row r="54" spans="3:117">
      <c r="C54" s="34" t="s">
        <v>1063</v>
      </c>
      <c r="AH54" s="22"/>
      <c r="BU54" t="s">
        <v>633</v>
      </c>
      <c r="BW54" s="519"/>
      <c r="BX54" s="519">
        <f>ExGen!AH782</f>
        <v>0</v>
      </c>
      <c r="BY54" s="519">
        <f>ExGen!AM782</f>
        <v>0</v>
      </c>
      <c r="BZ54" s="519">
        <f>ExGen!AR782</f>
        <v>0</v>
      </c>
      <c r="CA54" s="519">
        <f>ExGen!AW782</f>
        <v>0</v>
      </c>
      <c r="CB54" s="519">
        <f>ExGen!BB782</f>
        <v>0</v>
      </c>
      <c r="CC54" s="519">
        <f>ExGen!BG782</f>
        <v>0</v>
      </c>
      <c r="CD54" s="519">
        <f>ExGen!BL782</f>
        <v>0</v>
      </c>
      <c r="CE54" s="519">
        <f>ExGen!BQ782</f>
        <v>0</v>
      </c>
      <c r="CH54" s="248" t="s">
        <v>584</v>
      </c>
      <c r="CI54" s="704"/>
      <c r="CJ54" s="704"/>
      <c r="CK54" s="741">
        <f>CN94</f>
        <v>7.7278317131852239</v>
      </c>
      <c r="CL54" s="4"/>
      <c r="CR54" s="4"/>
      <c r="CS54" s="1"/>
      <c r="CT54" s="4"/>
      <c r="CU54" s="4"/>
      <c r="CW54" s="1"/>
      <c r="CX54" s="1"/>
      <c r="CY54" s="1"/>
      <c r="CZ54" s="1"/>
      <c r="DA54" s="1"/>
      <c r="DB54" s="1"/>
      <c r="DC54" s="1"/>
      <c r="DD54" s="1"/>
      <c r="DE54" s="1"/>
      <c r="DF54" s="1"/>
      <c r="DG54" s="1"/>
      <c r="DH54" s="4"/>
      <c r="DI54" s="2"/>
      <c r="DJ54" s="4"/>
      <c r="DK54" s="4"/>
      <c r="DL54" s="4"/>
      <c r="DM54" s="4"/>
    </row>
    <row r="55" spans="3:117">
      <c r="C55" t="s">
        <v>37</v>
      </c>
      <c r="N55" s="517"/>
      <c r="O55" s="517"/>
      <c r="P55" s="517"/>
      <c r="Q55" s="517"/>
      <c r="R55" s="517"/>
      <c r="S55" s="517"/>
      <c r="T55" s="517"/>
      <c r="U55" s="517"/>
      <c r="V55" s="517"/>
      <c r="W55" s="517"/>
      <c r="X55" s="517">
        <f>BGE!X49</f>
        <v>0</v>
      </c>
      <c r="Y55" s="517"/>
      <c r="Z55" s="517"/>
      <c r="AA55" s="517"/>
      <c r="AB55" s="517"/>
      <c r="AC55" s="517">
        <f>BGE!AC49</f>
        <v>0</v>
      </c>
      <c r="AD55" s="517"/>
      <c r="AE55" s="517"/>
      <c r="AF55" s="517"/>
      <c r="AG55" s="517"/>
      <c r="AH55" s="517">
        <f>BGE!AH49</f>
        <v>0</v>
      </c>
      <c r="AI55" s="517"/>
      <c r="AJ55" s="517"/>
      <c r="AK55" s="517"/>
      <c r="AL55" s="517"/>
      <c r="AM55" s="517">
        <f>BGE!AM49</f>
        <v>0</v>
      </c>
      <c r="AN55" s="517"/>
      <c r="AO55" s="517"/>
      <c r="AP55" s="517"/>
      <c r="AQ55" s="517"/>
      <c r="AR55" s="517">
        <f>BGE!AR49</f>
        <v>0</v>
      </c>
      <c r="AS55" s="517"/>
      <c r="AT55" s="517"/>
      <c r="AU55" s="517"/>
      <c r="AV55" s="517"/>
      <c r="AW55" s="517">
        <f>BGE!AW49</f>
        <v>0</v>
      </c>
      <c r="AX55" s="517"/>
      <c r="AY55" s="517"/>
      <c r="AZ55" s="517"/>
      <c r="BA55" s="517"/>
      <c r="BB55" s="517">
        <f>BGE!BB49</f>
        <v>0</v>
      </c>
      <c r="BC55" s="517"/>
      <c r="BD55" s="517"/>
      <c r="BE55" s="517"/>
      <c r="BF55" s="517"/>
      <c r="BG55" s="517">
        <f>BGE!BG49</f>
        <v>0</v>
      </c>
      <c r="BH55" s="517"/>
      <c r="BI55" s="517"/>
      <c r="BJ55" s="517"/>
      <c r="BK55" s="517"/>
      <c r="BL55" s="517">
        <f>BGE!BL49</f>
        <v>0</v>
      </c>
      <c r="BM55" s="517"/>
      <c r="BN55" s="517"/>
      <c r="BO55" s="517"/>
      <c r="BP55" s="517"/>
      <c r="BQ55" s="517">
        <f>BGE!BQ49</f>
        <v>0</v>
      </c>
      <c r="BR55" s="517"/>
      <c r="BU55" t="s">
        <v>808</v>
      </c>
      <c r="BW55" s="519"/>
      <c r="BX55" s="519">
        <f>ExGen!AH783</f>
        <v>0</v>
      </c>
      <c r="BY55" s="519">
        <f>ExGen!AM783</f>
        <v>0</v>
      </c>
      <c r="BZ55" s="519">
        <f>ExGen!AR783</f>
        <v>0</v>
      </c>
      <c r="CA55" s="519">
        <f>ExGen!AW783</f>
        <v>0</v>
      </c>
      <c r="CB55" s="519">
        <f>ExGen!BB783</f>
        <v>0</v>
      </c>
      <c r="CC55" s="519">
        <f>ExGen!BG783</f>
        <v>0</v>
      </c>
      <c r="CD55" s="519">
        <f>ExGen!BL783</f>
        <v>0</v>
      </c>
      <c r="CE55" s="519">
        <f>ExGen!BQ783</f>
        <v>0</v>
      </c>
      <c r="CF55" s="730"/>
      <c r="CL55" s="4"/>
      <c r="CS55" s="1"/>
      <c r="CT55" s="4"/>
      <c r="CU55" s="4"/>
      <c r="CW55" s="1"/>
      <c r="CX55" s="1"/>
      <c r="CY55" s="1"/>
      <c r="CZ55" s="1"/>
      <c r="DA55" s="1"/>
      <c r="DB55" s="1"/>
      <c r="DC55" s="1"/>
      <c r="DD55" s="1"/>
      <c r="DE55" s="1"/>
      <c r="DF55" s="1"/>
      <c r="DG55" s="1"/>
      <c r="DH55" s="4"/>
      <c r="DI55" s="2"/>
      <c r="DJ55" s="4"/>
      <c r="DK55" s="4"/>
      <c r="DL55" s="4"/>
      <c r="DM55" s="4"/>
    </row>
    <row r="56" spans="3:117">
      <c r="C56" t="s">
        <v>1266</v>
      </c>
      <c r="N56" s="517"/>
      <c r="O56" s="517"/>
      <c r="P56" s="517"/>
      <c r="Q56" s="517"/>
      <c r="R56" s="517"/>
      <c r="S56" s="517"/>
      <c r="T56" s="517"/>
      <c r="U56" s="517"/>
      <c r="V56" s="517"/>
      <c r="W56" s="517"/>
      <c r="X56" s="517">
        <f>BGE!X50</f>
        <v>0</v>
      </c>
      <c r="Y56" s="517"/>
      <c r="Z56" s="517"/>
      <c r="AA56" s="517"/>
      <c r="AB56" s="517"/>
      <c r="AC56" s="517">
        <f>BGE!AC50</f>
        <v>0</v>
      </c>
      <c r="AD56" s="517"/>
      <c r="AE56" s="517"/>
      <c r="AF56" s="517"/>
      <c r="AG56" s="517"/>
      <c r="AH56" s="517">
        <f>BGE!AH50</f>
        <v>0</v>
      </c>
      <c r="AI56" s="517"/>
      <c r="AJ56" s="517"/>
      <c r="AK56" s="517"/>
      <c r="AL56" s="517"/>
      <c r="AM56" s="517">
        <f>BGE!AM50</f>
        <v>0</v>
      </c>
      <c r="AN56" s="517"/>
      <c r="AO56" s="517"/>
      <c r="AP56" s="517"/>
      <c r="AQ56" s="517"/>
      <c r="AR56" s="517">
        <f>BGE!AR50</f>
        <v>0</v>
      </c>
      <c r="AS56" s="517"/>
      <c r="AT56" s="517"/>
      <c r="AU56" s="517"/>
      <c r="AV56" s="517"/>
      <c r="AW56" s="517">
        <f>BGE!AW50</f>
        <v>0</v>
      </c>
      <c r="AX56" s="517"/>
      <c r="AY56" s="517"/>
      <c r="AZ56" s="517"/>
      <c r="BA56" s="517"/>
      <c r="BB56" s="517">
        <f>BGE!BB50</f>
        <v>0</v>
      </c>
      <c r="BC56" s="517"/>
      <c r="BD56" s="517"/>
      <c r="BE56" s="517"/>
      <c r="BF56" s="517"/>
      <c r="BG56" s="517">
        <f>BGE!BG50</f>
        <v>0</v>
      </c>
      <c r="BH56" s="517"/>
      <c r="BI56" s="517"/>
      <c r="BJ56" s="517"/>
      <c r="BK56" s="517"/>
      <c r="BL56" s="517">
        <f>BGE!BL50</f>
        <v>0</v>
      </c>
      <c r="BM56" s="517"/>
      <c r="BN56" s="517"/>
      <c r="BO56" s="517"/>
      <c r="BP56" s="517"/>
      <c r="BQ56" s="517">
        <f>BGE!BQ50</f>
        <v>0</v>
      </c>
      <c r="BR56" s="517"/>
      <c r="BU56" t="s">
        <v>1134</v>
      </c>
      <c r="BW56" s="519"/>
      <c r="BX56" s="519">
        <f>ExGen!AH784</f>
        <v>0</v>
      </c>
      <c r="BY56" s="519">
        <f>ExGen!AM784</f>
        <v>0</v>
      </c>
      <c r="BZ56" s="519">
        <f>ExGen!AR784</f>
        <v>0</v>
      </c>
      <c r="CA56" s="519">
        <f>ExGen!AW784</f>
        <v>0</v>
      </c>
      <c r="CB56" s="519">
        <f>ExGen!BB784</f>
        <v>0</v>
      </c>
      <c r="CC56" s="519">
        <f>ExGen!BG784</f>
        <v>0</v>
      </c>
      <c r="CD56" s="519">
        <f>ExGen!BL784</f>
        <v>0</v>
      </c>
      <c r="CE56" s="519">
        <f>ExGen!BQ784</f>
        <v>0</v>
      </c>
      <c r="CF56" s="534"/>
      <c r="CL56" s="4"/>
      <c r="CS56" s="1"/>
      <c r="CT56" s="4"/>
      <c r="CU56" s="4"/>
      <c r="CW56" s="1"/>
      <c r="CX56" s="1"/>
      <c r="CY56" s="1"/>
      <c r="CZ56" s="1"/>
      <c r="DA56" s="1"/>
      <c r="DB56" s="1"/>
      <c r="DC56" s="1"/>
      <c r="DD56" s="1"/>
      <c r="DE56" s="1"/>
      <c r="DF56" s="1"/>
      <c r="DG56" s="1"/>
      <c r="DH56" s="4"/>
      <c r="DI56" s="2"/>
      <c r="DJ56" s="4"/>
      <c r="DK56" s="4"/>
      <c r="DL56" s="4"/>
      <c r="DM56" s="4"/>
    </row>
    <row r="57" spans="3:117">
      <c r="C57" t="s">
        <v>410</v>
      </c>
      <c r="N57" s="517"/>
      <c r="O57" s="517"/>
      <c r="P57" s="517"/>
      <c r="Q57" s="517"/>
      <c r="R57" s="517"/>
      <c r="S57" s="517"/>
      <c r="T57" s="517"/>
      <c r="U57" s="517"/>
      <c r="V57" s="517"/>
      <c r="W57" s="517"/>
      <c r="X57" s="517">
        <f>BGE!X57</f>
        <v>0.14472608340147186</v>
      </c>
      <c r="Y57" s="517"/>
      <c r="Z57" s="517"/>
      <c r="AA57" s="517"/>
      <c r="AB57" s="517"/>
      <c r="AC57" s="517">
        <f>BGE!AC57</f>
        <v>-9.4285714285714306E-2</v>
      </c>
      <c r="AD57" s="517"/>
      <c r="AE57" s="517"/>
      <c r="AF57" s="517"/>
      <c r="AG57" s="517"/>
      <c r="AH57" s="517">
        <f>BGE!AH57</f>
        <v>0.13091482649842279</v>
      </c>
      <c r="AI57" s="517"/>
      <c r="AJ57" s="517"/>
      <c r="AK57" s="517"/>
      <c r="AL57" s="517"/>
      <c r="AM57" s="517">
        <f>BGE!AM57</f>
        <v>-0.10878661087866104</v>
      </c>
      <c r="AN57" s="517"/>
      <c r="AO57" s="517"/>
      <c r="AP57" s="517"/>
      <c r="AQ57" s="517"/>
      <c r="AR57" s="517">
        <f>BGE!AR57</f>
        <v>6.8857589984350653E-2</v>
      </c>
      <c r="AS57" s="517"/>
      <c r="AT57" s="517"/>
      <c r="AU57" s="517"/>
      <c r="AV57" s="517"/>
      <c r="AW57" s="517">
        <f>BGE!AW57</f>
        <v>6.5885797950219649E-2</v>
      </c>
      <c r="AX57" s="517"/>
      <c r="AY57" s="517"/>
      <c r="AZ57" s="517"/>
      <c r="BA57" s="517"/>
      <c r="BB57" s="517">
        <f>BGE!BB57</f>
        <v>0.02</v>
      </c>
      <c r="BC57" s="517"/>
      <c r="BD57" s="517"/>
      <c r="BE57" s="517"/>
      <c r="BF57" s="517"/>
      <c r="BG57" s="517">
        <f>BGE!BG57</f>
        <v>0.02</v>
      </c>
      <c r="BH57" s="517"/>
      <c r="BI57" s="517"/>
      <c r="BJ57" s="517"/>
      <c r="BK57" s="517"/>
      <c r="BL57" s="517">
        <f>BGE!BL57</f>
        <v>0.02</v>
      </c>
      <c r="BM57" s="517"/>
      <c r="BN57" s="517"/>
      <c r="BO57" s="517"/>
      <c r="BP57" s="517"/>
      <c r="BQ57" s="517">
        <f>BGE!BQ57</f>
        <v>0.02</v>
      </c>
      <c r="BR57" s="517"/>
      <c r="BU57" t="s">
        <v>794</v>
      </c>
      <c r="BW57" s="519"/>
      <c r="BX57" s="519">
        <f>ExGen!AH785</f>
        <v>0</v>
      </c>
      <c r="BY57" s="519">
        <f>ExGen!AM785</f>
        <v>0</v>
      </c>
      <c r="BZ57" s="519">
        <f>ExGen!AR785</f>
        <v>0</v>
      </c>
      <c r="CA57" s="519">
        <f>ExGen!AW785</f>
        <v>0</v>
      </c>
      <c r="CB57" s="519">
        <f>ExGen!BB785</f>
        <v>0</v>
      </c>
      <c r="CC57" s="519">
        <f>ExGen!BG785</f>
        <v>0</v>
      </c>
      <c r="CD57" s="519">
        <f>ExGen!BL785</f>
        <v>0</v>
      </c>
      <c r="CE57" s="519">
        <f>ExGen!BQ785</f>
        <v>0</v>
      </c>
      <c r="CF57" s="989"/>
      <c r="CL57" s="4"/>
      <c r="CQ57" s="4"/>
      <c r="CS57" s="1"/>
      <c r="CT57" s="4"/>
      <c r="CU57" s="4"/>
      <c r="CW57" s="1"/>
      <c r="CX57" s="1"/>
      <c r="CY57" s="1"/>
      <c r="CZ57" s="1"/>
      <c r="DA57" s="1"/>
      <c r="DB57" s="1"/>
      <c r="DC57" s="1"/>
      <c r="DD57" s="1"/>
      <c r="DE57" s="1"/>
      <c r="DF57" s="1"/>
      <c r="DG57" s="1"/>
      <c r="DH57" s="4"/>
      <c r="DI57" s="2"/>
      <c r="DJ57" s="4"/>
      <c r="DK57" s="4"/>
      <c r="DL57" s="4"/>
      <c r="DM57" s="4"/>
    </row>
    <row r="58" spans="3:117">
      <c r="N58" s="517"/>
      <c r="O58" s="517"/>
      <c r="P58" s="517"/>
      <c r="Q58" s="517"/>
      <c r="R58" s="517"/>
      <c r="S58" s="517"/>
      <c r="T58" s="517"/>
      <c r="U58" s="517"/>
      <c r="V58" s="517"/>
      <c r="W58" s="517"/>
      <c r="X58" s="517"/>
      <c r="Y58" s="517"/>
      <c r="Z58" s="517"/>
      <c r="AA58" s="517"/>
      <c r="AB58" s="517"/>
      <c r="AC58" s="517"/>
      <c r="AD58" s="517"/>
      <c r="AE58" s="517"/>
      <c r="AF58" s="517"/>
      <c r="AG58" s="517"/>
      <c r="AH58" s="517"/>
      <c r="AI58" s="517"/>
      <c r="AJ58" s="517"/>
      <c r="AK58" s="517"/>
      <c r="AL58" s="517"/>
      <c r="AM58" s="517"/>
      <c r="AN58" s="517"/>
      <c r="AO58" s="517"/>
      <c r="AP58" s="517"/>
      <c r="AQ58" s="517"/>
      <c r="AR58" s="517"/>
      <c r="AS58" s="517"/>
      <c r="AT58" s="517"/>
      <c r="AU58" s="517"/>
      <c r="AV58" s="517"/>
      <c r="AW58" s="517"/>
      <c r="AX58" s="517"/>
      <c r="AY58" s="517"/>
      <c r="AZ58" s="517"/>
      <c r="BA58" s="517"/>
      <c r="BB58" s="517"/>
      <c r="BC58" s="517"/>
      <c r="BD58" s="517"/>
      <c r="BE58" s="517"/>
      <c r="BF58" s="517"/>
      <c r="BG58" s="517"/>
      <c r="BH58" s="517"/>
      <c r="BI58" s="517"/>
      <c r="BJ58" s="517"/>
      <c r="BK58" s="517"/>
      <c r="BL58" s="517"/>
      <c r="BM58" s="517"/>
      <c r="BN58" s="517"/>
      <c r="BO58" s="517"/>
      <c r="BP58" s="517"/>
      <c r="BQ58" s="517"/>
      <c r="BR58" s="517"/>
      <c r="BU58" t="s">
        <v>810</v>
      </c>
      <c r="BW58" s="519"/>
      <c r="BX58" s="519">
        <f>ExGen!AH786</f>
        <v>0</v>
      </c>
      <c r="BY58" s="519">
        <f>ExGen!AM786</f>
        <v>0</v>
      </c>
      <c r="BZ58" s="519">
        <f>ExGen!AR786</f>
        <v>0</v>
      </c>
      <c r="CA58" s="519">
        <f>ExGen!AW786</f>
        <v>0</v>
      </c>
      <c r="CB58" s="519">
        <f>ExGen!BB786</f>
        <v>0</v>
      </c>
      <c r="CC58" s="519">
        <f>ExGen!BG786</f>
        <v>0</v>
      </c>
      <c r="CD58" s="519">
        <f>ExGen!BL786</f>
        <v>0</v>
      </c>
      <c r="CE58" s="519">
        <f>ExGen!BQ786</f>
        <v>0</v>
      </c>
      <c r="CL58" s="4"/>
      <c r="CQ58" s="4"/>
      <c r="CS58" s="1"/>
      <c r="CT58" s="4"/>
      <c r="CU58" s="4"/>
      <c r="CW58" s="1"/>
      <c r="CX58" s="1"/>
      <c r="CY58" s="1"/>
      <c r="CZ58" s="1"/>
      <c r="DA58" s="1"/>
      <c r="DB58" s="1"/>
      <c r="DC58" s="1"/>
      <c r="DD58" s="1"/>
      <c r="DE58" s="1"/>
      <c r="DF58" s="1"/>
      <c r="DG58" s="1"/>
      <c r="DH58" s="4"/>
      <c r="DI58" s="2"/>
      <c r="DJ58" s="4"/>
      <c r="DK58" s="4"/>
      <c r="DL58" s="4"/>
      <c r="DM58" s="4"/>
    </row>
    <row r="59" spans="3:117">
      <c r="C59" t="s">
        <v>127</v>
      </c>
      <c r="N59" s="517"/>
      <c r="O59" s="517"/>
      <c r="P59" s="517"/>
      <c r="Q59" s="517"/>
      <c r="R59" s="517"/>
      <c r="S59" s="517"/>
      <c r="T59" s="517"/>
      <c r="U59" s="517"/>
      <c r="V59" s="517"/>
      <c r="W59" s="517"/>
      <c r="X59" s="517">
        <f>BGE!X64</f>
        <v>0</v>
      </c>
      <c r="Y59" s="517"/>
      <c r="Z59" s="517"/>
      <c r="AA59" s="517"/>
      <c r="AB59" s="517"/>
      <c r="AC59" s="517">
        <f>BGE!AC64</f>
        <v>9.1205105120413923E-2</v>
      </c>
      <c r="AD59" s="517"/>
      <c r="AE59" s="517"/>
      <c r="AF59" s="517"/>
      <c r="AG59" s="517"/>
      <c r="AH59" s="517">
        <f>BGE!AH64</f>
        <v>8.3982196649798099E-2</v>
      </c>
      <c r="AI59" s="517"/>
      <c r="AJ59" s="517"/>
      <c r="AK59" s="517"/>
      <c r="AL59" s="517"/>
      <c r="AM59" s="517">
        <f>BGE!AM64</f>
        <v>0.109772006806499</v>
      </c>
      <c r="AN59" s="517"/>
      <c r="AO59" s="517"/>
      <c r="AP59" s="517"/>
      <c r="AQ59" s="517"/>
      <c r="AR59" s="517">
        <f>BGE!AR64</f>
        <v>0.10810707953188921</v>
      </c>
      <c r="AS59" s="517"/>
      <c r="AT59" s="517"/>
      <c r="AU59" s="517"/>
      <c r="AV59" s="517"/>
      <c r="AW59" s="517">
        <f>BGE!AW64</f>
        <v>0.1083943612980445</v>
      </c>
      <c r="AX59" s="517"/>
      <c r="AY59" s="517"/>
      <c r="AZ59" s="517"/>
      <c r="BA59" s="517"/>
      <c r="BB59" s="517">
        <f ca="1">BGE!BB64</f>
        <v>0.1043248560455203</v>
      </c>
      <c r="BC59" s="517"/>
      <c r="BD59" s="517"/>
      <c r="BE59" s="517"/>
      <c r="BF59" s="517"/>
      <c r="BG59" s="517">
        <f ca="1">BGE!BG64</f>
        <v>0.10051773017869861</v>
      </c>
      <c r="BH59" s="517"/>
      <c r="BI59" s="517"/>
      <c r="BJ59" s="517"/>
      <c r="BK59" s="517"/>
      <c r="BL59" s="517">
        <f ca="1">BGE!BL64</f>
        <v>0.10166935655600355</v>
      </c>
      <c r="BM59" s="517"/>
      <c r="BN59" s="517"/>
      <c r="BO59" s="517"/>
      <c r="BP59" s="517"/>
      <c r="BQ59" s="517">
        <f ca="1">BGE!BQ64</f>
        <v>9.8954274934402925E-2</v>
      </c>
      <c r="BR59" s="517"/>
      <c r="BU59" s="31" t="s">
        <v>1426</v>
      </c>
      <c r="BX59" s="519">
        <f>ExGen!AH787</f>
        <v>0</v>
      </c>
      <c r="BY59" s="519">
        <f>ExGen!AM787</f>
        <v>0</v>
      </c>
      <c r="BZ59" s="519">
        <f>ExGen!AR787</f>
        <v>0</v>
      </c>
      <c r="CA59" s="519">
        <f>ExGen!AW787</f>
        <v>0</v>
      </c>
      <c r="CB59" s="519">
        <f>ExGen!BB787</f>
        <v>375</v>
      </c>
      <c r="CC59" s="519">
        <f>ExGen!BG787</f>
        <v>75</v>
      </c>
      <c r="CD59" s="519">
        <f>ExGen!BL787</f>
        <v>125</v>
      </c>
      <c r="CE59" s="519">
        <f>ExGen!BQ787</f>
        <v>175</v>
      </c>
      <c r="CF59" s="734"/>
      <c r="CL59" s="4"/>
      <c r="CQ59" s="4"/>
      <c r="CS59" s="1"/>
      <c r="CT59" s="4"/>
      <c r="CU59" s="32"/>
      <c r="CV59" s="32">
        <f>+CW59-1</f>
        <v>2012</v>
      </c>
      <c r="CW59" s="32">
        <f>+CX59-1</f>
        <v>2013</v>
      </c>
      <c r="CX59" s="32">
        <f>+CY59-1</f>
        <v>2014</v>
      </c>
      <c r="CY59" s="32">
        <f>+CZ59-1</f>
        <v>2015</v>
      </c>
      <c r="CZ59" s="32">
        <v>2016</v>
      </c>
      <c r="DA59" s="32">
        <v>2017</v>
      </c>
      <c r="DB59" s="32">
        <v>2018</v>
      </c>
      <c r="DC59" s="32">
        <v>2019</v>
      </c>
      <c r="DD59" s="32">
        <v>2020</v>
      </c>
      <c r="DE59" s="32">
        <v>2021</v>
      </c>
      <c r="DF59" s="1"/>
      <c r="DG59" s="1"/>
      <c r="DH59" s="4"/>
      <c r="DI59" s="2"/>
      <c r="DJ59" s="4"/>
      <c r="DK59" s="4"/>
      <c r="DL59" s="4"/>
      <c r="DM59" s="4"/>
    </row>
    <row r="60" spans="3:117">
      <c r="C60" t="s">
        <v>38</v>
      </c>
      <c r="N60" s="517"/>
      <c r="O60" s="517"/>
      <c r="P60" s="517"/>
      <c r="Q60" s="517"/>
      <c r="R60" s="517"/>
      <c r="S60" s="517"/>
      <c r="T60" s="517"/>
      <c r="U60" s="517"/>
      <c r="V60" s="517"/>
      <c r="W60" s="517"/>
      <c r="X60" s="517">
        <f>BGE!X269</f>
        <v>0.45223195661243221</v>
      </c>
      <c r="Y60" s="517"/>
      <c r="Z60" s="517"/>
      <c r="AA60" s="517"/>
      <c r="AB60" s="517"/>
      <c r="AC60" s="517">
        <f>BGE!AC269</f>
        <v>0.47691066747328092</v>
      </c>
      <c r="AD60" s="517"/>
      <c r="AE60" s="517"/>
      <c r="AF60" s="517"/>
      <c r="AG60" s="517"/>
      <c r="AH60" s="517">
        <f>BGE!AH269</f>
        <v>0.505223733491031</v>
      </c>
      <c r="AI60" s="517"/>
      <c r="AJ60" s="517"/>
      <c r="AK60" s="517"/>
      <c r="AL60" s="517"/>
      <c r="AM60" s="517">
        <f>BGE!AM269</f>
        <v>0.51702905522416776</v>
      </c>
      <c r="AN60" s="517"/>
      <c r="AO60" s="517"/>
      <c r="AP60" s="517"/>
      <c r="AQ60" s="517"/>
      <c r="AR60" s="517">
        <f>BGE!AR269</f>
        <v>0.52094384488750689</v>
      </c>
      <c r="AS60" s="517"/>
      <c r="AT60" s="517"/>
      <c r="AU60" s="517"/>
      <c r="AV60" s="517"/>
      <c r="AW60" s="517">
        <f>BGE!AW269</f>
        <v>0.54201898188093178</v>
      </c>
      <c r="AX60" s="517"/>
      <c r="AY60" s="517"/>
      <c r="AZ60" s="517"/>
      <c r="BA60" s="517"/>
      <c r="BB60" s="517">
        <f ca="1">BGE!BB269</f>
        <v>0.51896806782815941</v>
      </c>
      <c r="BC60" s="517"/>
      <c r="BD60" s="517"/>
      <c r="BE60" s="517"/>
      <c r="BF60" s="517"/>
      <c r="BG60" s="517">
        <f ca="1">BGE!BG269</f>
        <v>0.51895057051387983</v>
      </c>
      <c r="BH60" s="517"/>
      <c r="BI60" s="517"/>
      <c r="BJ60" s="517"/>
      <c r="BK60" s="517"/>
      <c r="BL60" s="517">
        <f ca="1">BGE!BL269</f>
        <v>0.51856507325809442</v>
      </c>
      <c r="BM60" s="517"/>
      <c r="BN60" s="517"/>
      <c r="BO60" s="517"/>
      <c r="BP60" s="517"/>
      <c r="BQ60" s="517">
        <f ca="1">BGE!BQ269</f>
        <v>0.519479567594199</v>
      </c>
      <c r="BR60" s="517"/>
      <c r="BU60" t="s">
        <v>811</v>
      </c>
      <c r="BW60" s="519"/>
      <c r="BX60" s="519">
        <f>ExGen!AH790</f>
        <v>0</v>
      </c>
      <c r="BY60" s="519">
        <f>ExGen!AM790</f>
        <v>0</v>
      </c>
      <c r="BZ60" s="519">
        <f>ExGen!AR790</f>
        <v>0</v>
      </c>
      <c r="CA60" s="519">
        <f>ExGen!AW790</f>
        <v>0</v>
      </c>
      <c r="CB60" s="519">
        <f>ExGen!BB790</f>
        <v>948.37378304803212</v>
      </c>
      <c r="CC60" s="519">
        <f>ExGen!BG790</f>
        <v>876.70570167018627</v>
      </c>
      <c r="CD60" s="519">
        <f>ExGen!BL790</f>
        <v>876.70570167018627</v>
      </c>
      <c r="CE60" s="519">
        <f>ExGen!BQ790</f>
        <v>850</v>
      </c>
      <c r="CF60" s="519"/>
      <c r="CL60" s="4"/>
      <c r="CS60" s="1"/>
      <c r="CT60" s="4"/>
      <c r="CU60" s="731"/>
      <c r="CV60" s="1024">
        <f>+ExGen!X770-6700</f>
        <v>6664</v>
      </c>
      <c r="CW60" s="535">
        <f>+CV60+(ExGen!AC791-ExGen!AC13-Parent!AC13)</f>
        <v>8508</v>
      </c>
      <c r="CX60" s="535">
        <f>+CW60+(ExGen!AH791-ExGen!AH13-Parent!AH13)</f>
        <v>10500</v>
      </c>
      <c r="CY60" s="535">
        <f>+CX60+(ExGen!AM791-ExGen!AM13-Parent!AM13)</f>
        <v>13224</v>
      </c>
      <c r="CZ60" s="535">
        <f>+CY60+(ExGen!AR791-ExGen!AR13-Parent!AR13)</f>
        <v>14297</v>
      </c>
      <c r="DA60" s="535">
        <f>+CZ60+(ExGen!AW791-ExGen!AW13-Parent!AW13)</f>
        <v>14971</v>
      </c>
      <c r="DB60" s="535">
        <f>+DA60+(ExGen!BB791-ExGen!BB13-Parent!BB13)</f>
        <v>15993.335256403861</v>
      </c>
      <c r="DC60" s="535">
        <f>+DB60+(ExGen!BG791-ExGen!BG13-Parent!BG13)</f>
        <v>16550.802347502431</v>
      </c>
      <c r="DD60" s="535">
        <f>+DC60+(ExGen!BL791-ExGen!BL13-Parent!BL13)</f>
        <v>17084.523780206287</v>
      </c>
      <c r="DE60" s="535">
        <f>+DD60+(ExGen!BQ791-ExGen!BQ13-Parent!BQ13)</f>
        <v>17617.872675620438</v>
      </c>
      <c r="DG60" s="1"/>
      <c r="DH60" s="4"/>
      <c r="DI60" s="2"/>
      <c r="DJ60" s="4"/>
      <c r="DK60" s="4"/>
      <c r="DL60" s="4"/>
      <c r="DM60" s="4"/>
    </row>
    <row r="61" spans="3:117">
      <c r="N61" s="517"/>
      <c r="O61" s="517"/>
      <c r="P61" s="517"/>
      <c r="Q61" s="517"/>
      <c r="R61" s="517"/>
      <c r="S61" s="517"/>
      <c r="T61" s="517"/>
      <c r="U61" s="517"/>
      <c r="V61" s="517"/>
      <c r="W61" s="517"/>
      <c r="X61" s="517"/>
      <c r="Y61" s="517"/>
      <c r="Z61" s="517"/>
      <c r="AA61" s="517"/>
      <c r="AB61" s="517"/>
      <c r="AC61" s="517"/>
      <c r="AD61" s="517"/>
      <c r="AE61" s="517"/>
      <c r="AF61" s="517"/>
      <c r="AG61" s="517"/>
      <c r="AH61" s="517"/>
      <c r="AI61" s="517"/>
      <c r="AJ61" s="517"/>
      <c r="AK61" s="517"/>
      <c r="AL61" s="517"/>
      <c r="AM61" s="517"/>
      <c r="AN61" s="517"/>
      <c r="AO61" s="517"/>
      <c r="AP61" s="517"/>
      <c r="AQ61" s="517"/>
      <c r="AR61" s="517"/>
      <c r="AS61" s="517"/>
      <c r="AT61" s="517"/>
      <c r="AU61" s="517"/>
      <c r="AV61" s="517"/>
      <c r="AW61" s="517"/>
      <c r="AX61" s="517"/>
      <c r="AY61" s="517"/>
      <c r="AZ61" s="517"/>
      <c r="BA61" s="517"/>
      <c r="BB61" s="517"/>
      <c r="BC61" s="517"/>
      <c r="BD61" s="517"/>
      <c r="BE61" s="517"/>
      <c r="BF61" s="517"/>
      <c r="BG61" s="517"/>
      <c r="BH61" s="517"/>
      <c r="BI61" s="517"/>
      <c r="BJ61" s="517"/>
      <c r="BK61" s="517"/>
      <c r="BL61" s="517"/>
      <c r="BM61" s="517"/>
      <c r="BN61" s="517"/>
      <c r="BO61" s="517"/>
      <c r="BP61" s="517"/>
      <c r="BQ61" s="517"/>
      <c r="BR61" s="517"/>
      <c r="BU61" s="34" t="s">
        <v>1127</v>
      </c>
      <c r="BW61" s="534"/>
      <c r="BX61" s="534">
        <f t="shared" ref="BX61:CD61" si="12">SUM(BX54:BX60)</f>
        <v>0</v>
      </c>
      <c r="BY61" s="534">
        <f t="shared" si="12"/>
        <v>0</v>
      </c>
      <c r="BZ61" s="534">
        <f t="shared" si="12"/>
        <v>0</v>
      </c>
      <c r="CA61" s="534">
        <f t="shared" si="12"/>
        <v>0</v>
      </c>
      <c r="CB61" s="534">
        <f t="shared" si="12"/>
        <v>1323.3737830480322</v>
      </c>
      <c r="CC61" s="534">
        <f t="shared" si="12"/>
        <v>951.70570167018627</v>
      </c>
      <c r="CD61" s="534">
        <f t="shared" si="12"/>
        <v>1001.7057016701863</v>
      </c>
      <c r="CE61" s="534">
        <f t="shared" ref="CE61" si="13">SUM(CE54:CE60)</f>
        <v>1025</v>
      </c>
      <c r="CL61" s="4"/>
      <c r="CM61" s="4"/>
      <c r="CN61" s="4"/>
      <c r="CO61" s="4"/>
      <c r="CP61" s="4"/>
      <c r="CQ61" s="4"/>
      <c r="CR61" s="4"/>
      <c r="CS61" s="1"/>
      <c r="CT61" s="4"/>
      <c r="CU61" s="4"/>
      <c r="CW61" s="1"/>
      <c r="CX61" s="1"/>
      <c r="CY61" s="1"/>
      <c r="CZ61" s="1"/>
      <c r="DA61" s="1"/>
      <c r="DB61" s="1"/>
      <c r="DC61" s="1"/>
      <c r="DD61" s="1"/>
      <c r="DE61" s="1"/>
      <c r="DF61" s="1"/>
      <c r="DG61" s="1"/>
      <c r="DH61" s="4"/>
      <c r="DI61" s="2"/>
      <c r="DJ61" s="4"/>
      <c r="DK61" s="4"/>
      <c r="DL61" s="4"/>
      <c r="DM61" s="4"/>
    </row>
    <row r="62" spans="3:117">
      <c r="C62" t="s">
        <v>48</v>
      </c>
      <c r="N62" s="517"/>
      <c r="O62" s="517"/>
      <c r="P62" s="517"/>
      <c r="Q62" s="517"/>
      <c r="R62" s="517"/>
      <c r="S62" s="517"/>
      <c r="T62" s="517"/>
      <c r="U62" s="517"/>
      <c r="V62" s="517"/>
      <c r="W62" s="517"/>
      <c r="X62" s="517">
        <f>BGE!X63</f>
        <v>0.1</v>
      </c>
      <c r="Y62" s="517"/>
      <c r="Z62" s="517"/>
      <c r="AA62" s="517"/>
      <c r="AB62" s="517"/>
      <c r="AC62" s="517">
        <f>BGE!AC63</f>
        <v>0.1</v>
      </c>
      <c r="AD62" s="517"/>
      <c r="AE62" s="517"/>
      <c r="AF62" s="517"/>
      <c r="AG62" s="517"/>
      <c r="AH62" s="517">
        <f>BGE!AH63</f>
        <v>0.1</v>
      </c>
      <c r="AI62" s="517"/>
      <c r="AJ62" s="517"/>
      <c r="AK62" s="517"/>
      <c r="AL62" s="517"/>
      <c r="AM62" s="517">
        <f>BGE!AM63</f>
        <v>9.7500000000000003E-2</v>
      </c>
      <c r="AN62" s="517"/>
      <c r="AO62" s="517"/>
      <c r="AP62" s="517"/>
      <c r="AQ62" s="517"/>
      <c r="AR62" s="517">
        <f>BGE!AR63</f>
        <v>9.8610000000000003E-2</v>
      </c>
      <c r="AS62" s="517"/>
      <c r="AT62" s="517"/>
      <c r="AU62" s="517"/>
      <c r="AV62" s="517"/>
      <c r="AW62" s="517">
        <f>BGE!AW63</f>
        <v>9.8610000000000003E-2</v>
      </c>
      <c r="AX62" s="517"/>
      <c r="AY62" s="517"/>
      <c r="AZ62" s="517"/>
      <c r="BA62" s="517"/>
      <c r="BB62" s="517">
        <f>BGE!BB63</f>
        <v>9.8610000000000003E-2</v>
      </c>
      <c r="BC62" s="517"/>
      <c r="BD62" s="517"/>
      <c r="BE62" s="517"/>
      <c r="BF62" s="517"/>
      <c r="BG62" s="517">
        <f>BGE!BG63</f>
        <v>9.8610000000000003E-2</v>
      </c>
      <c r="BH62" s="517"/>
      <c r="BI62" s="517"/>
      <c r="BJ62" s="517"/>
      <c r="BK62" s="517"/>
      <c r="BL62" s="517">
        <f>BGE!BL63</f>
        <v>9.8610000000000003E-2</v>
      </c>
      <c r="BM62" s="517"/>
      <c r="BN62" s="517"/>
      <c r="BO62" s="517"/>
      <c r="BP62" s="517"/>
      <c r="BQ62" s="517">
        <f>BGE!BQ63</f>
        <v>9.8610000000000003E-2</v>
      </c>
      <c r="BR62" s="517"/>
      <c r="BX62" s="535"/>
      <c r="CC62"/>
      <c r="CF62" s="737"/>
      <c r="CL62" s="236"/>
      <c r="CM62" s="4"/>
      <c r="CN62" s="4"/>
      <c r="CO62" s="4"/>
      <c r="CP62" s="4"/>
      <c r="CQ62" s="4"/>
      <c r="CR62" s="4"/>
      <c r="CS62" s="1"/>
      <c r="CT62" s="4"/>
      <c r="CU62" s="4"/>
      <c r="CW62" s="1"/>
      <c r="CX62" s="1"/>
      <c r="CY62" s="1"/>
      <c r="CZ62" s="1"/>
      <c r="DA62" s="1"/>
      <c r="DB62" s="1"/>
      <c r="DC62" s="1"/>
      <c r="DD62" s="1"/>
      <c r="DE62" s="1"/>
      <c r="DF62" s="1"/>
      <c r="DG62" s="1"/>
      <c r="DH62" s="4"/>
      <c r="DI62" s="2"/>
      <c r="DJ62" s="4"/>
      <c r="DK62" s="4"/>
      <c r="DL62" s="4"/>
      <c r="DM62" s="4"/>
    </row>
    <row r="63" spans="3:117">
      <c r="C63" t="s">
        <v>597</v>
      </c>
      <c r="N63" s="517"/>
      <c r="O63" s="517"/>
      <c r="P63" s="517"/>
      <c r="Q63" s="517"/>
      <c r="R63" s="517"/>
      <c r="S63" s="517"/>
      <c r="T63" s="517"/>
      <c r="U63" s="517"/>
      <c r="V63" s="517"/>
      <c r="W63" s="517"/>
      <c r="X63" s="517">
        <f>BGE!X268</f>
        <v>0.49</v>
      </c>
      <c r="Y63" s="517"/>
      <c r="Z63" s="517"/>
      <c r="AA63" s="517"/>
      <c r="AB63" s="517"/>
      <c r="AC63" s="517">
        <f>BGE!AC268</f>
        <v>0.49</v>
      </c>
      <c r="AD63" s="517"/>
      <c r="AE63" s="517"/>
      <c r="AF63" s="517"/>
      <c r="AG63" s="517"/>
      <c r="AH63" s="517">
        <f>BGE!AH268</f>
        <v>0.51049999999999995</v>
      </c>
      <c r="AI63" s="517"/>
      <c r="AJ63" s="517"/>
      <c r="AK63" s="517"/>
      <c r="AL63" s="517"/>
      <c r="AM63" s="517">
        <f>BGE!AM268</f>
        <v>0.52300000000000002</v>
      </c>
      <c r="AN63" s="517"/>
      <c r="AO63" s="517"/>
      <c r="AP63" s="517"/>
      <c r="AQ63" s="517"/>
      <c r="AR63" s="517">
        <f>BGE!AR268</f>
        <v>0.51900000000000002</v>
      </c>
      <c r="AS63" s="517"/>
      <c r="AT63" s="517"/>
      <c r="AU63" s="517"/>
      <c r="AV63" s="517"/>
      <c r="AW63" s="517">
        <f>BGE!AW268</f>
        <v>0.51900000000000002</v>
      </c>
      <c r="AX63" s="517"/>
      <c r="AY63" s="517"/>
      <c r="AZ63" s="517"/>
      <c r="BA63" s="517"/>
      <c r="BB63" s="517">
        <f>BGE!BB268</f>
        <v>0.51900000000000002</v>
      </c>
      <c r="BC63" s="517"/>
      <c r="BD63" s="517"/>
      <c r="BE63" s="517"/>
      <c r="BF63" s="517"/>
      <c r="BG63" s="517">
        <f>BGE!BG268</f>
        <v>0.51900000000000002</v>
      </c>
      <c r="BH63" s="517"/>
      <c r="BI63" s="517"/>
      <c r="BJ63" s="517"/>
      <c r="BK63" s="517"/>
      <c r="BL63" s="517">
        <f>BGE!BL268</f>
        <v>0.51900000000000002</v>
      </c>
      <c r="BM63" s="517"/>
      <c r="BN63" s="517"/>
      <c r="BO63" s="517"/>
      <c r="BP63" s="517"/>
      <c r="BQ63" s="517">
        <f>BGE!BQ268</f>
        <v>0.51900000000000002</v>
      </c>
      <c r="BR63" s="517"/>
      <c r="BU63" s="232" t="s">
        <v>50</v>
      </c>
      <c r="BV63" s="232"/>
      <c r="BW63" s="730"/>
      <c r="BX63" s="730">
        <f t="shared" ref="BX63:CC63" si="14">BX52-BX61</f>
        <v>2449.67</v>
      </c>
      <c r="BY63" s="730">
        <f t="shared" si="14"/>
        <v>2721.41</v>
      </c>
      <c r="BZ63" s="730">
        <f t="shared" si="14"/>
        <v>2434.38</v>
      </c>
      <c r="CA63" s="730">
        <f t="shared" si="14"/>
        <v>-8.7815994768002383</v>
      </c>
      <c r="CB63" s="730">
        <f t="shared" ca="1" si="14"/>
        <v>963.22931599795356</v>
      </c>
      <c r="CC63" s="730">
        <f t="shared" ca="1" si="14"/>
        <v>1043.2844107535882</v>
      </c>
      <c r="CD63" s="730">
        <f ca="1">CD52-CD61</f>
        <v>733.12843544897578</v>
      </c>
      <c r="CE63" s="730">
        <f ca="1">CE52-CE61</f>
        <v>884.43128575489777</v>
      </c>
      <c r="CF63" s="739"/>
      <c r="CH63" s="34" t="s">
        <v>550</v>
      </c>
      <c r="CI63" s="34"/>
      <c r="CJ63" s="743" t="s">
        <v>66</v>
      </c>
      <c r="CK63" s="34" t="s">
        <v>563</v>
      </c>
      <c r="CL63" s="34" t="s">
        <v>429</v>
      </c>
      <c r="CM63" s="743" t="s">
        <v>559</v>
      </c>
      <c r="CN63" s="34" t="s">
        <v>585</v>
      </c>
      <c r="CO63" s="34"/>
      <c r="CP63" s="34" t="s">
        <v>586</v>
      </c>
      <c r="CQ63" s="34" t="s">
        <v>587</v>
      </c>
      <c r="CR63" s="34" t="s">
        <v>588</v>
      </c>
      <c r="DJ63" s="4"/>
      <c r="DK63" s="4"/>
      <c r="DL63" s="4"/>
      <c r="DM63" s="4"/>
    </row>
    <row r="64" spans="3:117">
      <c r="BU64" s="34" t="s">
        <v>51</v>
      </c>
      <c r="BV64" s="34"/>
      <c r="BW64" s="534"/>
      <c r="BX64" s="534">
        <f t="shared" ref="BX64:CE64" si="15">+BX63+(BX48*(1-$CK$45))</f>
        <v>2730.91</v>
      </c>
      <c r="BY64" s="534">
        <f t="shared" si="15"/>
        <v>3009.7599999999998</v>
      </c>
      <c r="BZ64" s="534">
        <f t="shared" si="15"/>
        <v>2721.94</v>
      </c>
      <c r="CA64" s="534">
        <f t="shared" si="15"/>
        <v>338.81840052319978</v>
      </c>
      <c r="CB64" s="534">
        <f t="shared" ca="1" si="15"/>
        <v>1294.6105901711858</v>
      </c>
      <c r="CC64" s="534">
        <f t="shared" ca="1" si="15"/>
        <v>1352.3800668719891</v>
      </c>
      <c r="CD64" s="534">
        <f t="shared" ca="1" si="15"/>
        <v>1041.6457544774876</v>
      </c>
      <c r="CE64" s="534">
        <f t="shared" ca="1" si="15"/>
        <v>1155.4393388213152</v>
      </c>
      <c r="CH64">
        <v>1</v>
      </c>
      <c r="CJ64" s="745">
        <f>1</f>
        <v>1</v>
      </c>
      <c r="CK64" s="512">
        <f>-$CK$45*(CJ64-($CK$37*$CK$41)-DM65)</f>
        <v>-6.5531871532762367E-2</v>
      </c>
      <c r="CL64" s="512">
        <f>CK51*CJ64*-1</f>
        <v>-0.31628540526039089</v>
      </c>
      <c r="CM64" s="512">
        <f>CJ64+CK64+CL64</f>
        <v>0.61818272320684664</v>
      </c>
      <c r="CN64" s="512">
        <f t="shared" ref="CN64:CN93" si="16">CM64/(1+$CK$49)^CH64</f>
        <v>0.56960929092335733</v>
      </c>
      <c r="CP64" s="746">
        <v>3.7499999999999999E-2</v>
      </c>
      <c r="CQ64" s="512">
        <f t="shared" ref="CQ64:CQ84" si="17">$CK$50*$CJ$64*CP64</f>
        <v>0.24583570583976078</v>
      </c>
      <c r="CR64" s="512">
        <f t="shared" ref="CR64:CR84" si="18">$CK$51*$CJ$64*CP64</f>
        <v>1.1860702697264658E-2</v>
      </c>
      <c r="DJ64" s="4"/>
      <c r="DK64" s="4"/>
      <c r="DL64" s="4"/>
      <c r="DM64" s="745">
        <f>SUM(CQ64:DL64)</f>
        <v>0.25769640853702541</v>
      </c>
    </row>
    <row r="65" spans="3:117">
      <c r="BU65" s="34" t="s">
        <v>567</v>
      </c>
      <c r="CA65" s="989"/>
      <c r="CB65" s="989"/>
      <c r="CC65" s="989"/>
      <c r="CD65" s="989"/>
      <c r="CE65" s="989">
        <f>IF(CR38=2,(CE46-CE49)*CK54,(CE64+CE54)/(CK46-CR39))</f>
        <v>16447.633322927286</v>
      </c>
      <c r="CH65">
        <f t="shared" ref="CH65:CH93" si="19">CH64+1</f>
        <v>2</v>
      </c>
      <c r="CJ65" s="745">
        <f t="shared" ref="CJ65:CJ93" si="20">CJ64*(1+$CK$52)</f>
        <v>1.0150999999999999</v>
      </c>
      <c r="CK65" s="512">
        <f t="shared" ref="CK65:CK93" si="21">-$CK$45*(CJ65-($CK$37*$CK$41)-DM66)</f>
        <v>-7.1729617809471166E-2</v>
      </c>
      <c r="CL65" s="512">
        <f>CL64</f>
        <v>-0.31628540526039089</v>
      </c>
      <c r="CM65" s="512">
        <f t="shared" ref="CM65:CM73" si="22">CJ65+CK65+CL65</f>
        <v>0.62708497693013787</v>
      </c>
      <c r="CN65" s="512">
        <f t="shared" si="16"/>
        <v>0.5324107290993535</v>
      </c>
      <c r="CP65" s="746">
        <v>7.2190000000000004E-2</v>
      </c>
      <c r="CQ65" s="512">
        <f>$CK$50*$CJ$64*CP65</f>
        <v>0.47325012278859552</v>
      </c>
      <c r="CR65" s="512">
        <f t="shared" si="18"/>
        <v>2.2832643405747619E-2</v>
      </c>
      <c r="CS65" s="512">
        <f>CR64</f>
        <v>1.1860702697264658E-2</v>
      </c>
      <c r="DM65" s="745">
        <f>SUM(CQ65:DL65)</f>
        <v>0.5079434688916078</v>
      </c>
    </row>
    <row r="66" spans="3:117">
      <c r="C66" s="34" t="s">
        <v>349</v>
      </c>
      <c r="CC66"/>
      <c r="CH66">
        <f t="shared" si="19"/>
        <v>3</v>
      </c>
      <c r="CJ66" s="745">
        <f t="shared" si="20"/>
        <v>1.0304280099999998</v>
      </c>
      <c r="CK66" s="512">
        <f t="shared" si="21"/>
        <v>-7.7729140281568243E-2</v>
      </c>
      <c r="CL66" s="512">
        <f>CL65</f>
        <v>-0.31628540526039089</v>
      </c>
      <c r="CM66" s="512">
        <f t="shared" si="22"/>
        <v>0.63641346445804059</v>
      </c>
      <c r="CN66" s="512">
        <f t="shared" si="16"/>
        <v>0.49787459107851972</v>
      </c>
      <c r="CP66" s="746">
        <v>6.6769999999999996E-2</v>
      </c>
      <c r="CQ66" s="512">
        <f t="shared" si="17"/>
        <v>0.43771866877122201</v>
      </c>
      <c r="CR66" s="512">
        <f t="shared" si="18"/>
        <v>2.11183765092363E-2</v>
      </c>
      <c r="CS66" s="512">
        <f>CR65</f>
        <v>2.2832643405747619E-2</v>
      </c>
      <c r="CT66" s="512">
        <f>CS65</f>
        <v>1.1860702697264658E-2</v>
      </c>
      <c r="DM66" s="745">
        <f>SUM(CQ66:DL66)</f>
        <v>0.4935303913834706</v>
      </c>
    </row>
    <row r="67" spans="3:117">
      <c r="C67" t="s">
        <v>124</v>
      </c>
      <c r="X67" s="517">
        <f>Pepco!S44</f>
        <v>-3.3054471091280901E-2</v>
      </c>
      <c r="Y67" s="517"/>
      <c r="Z67" s="517"/>
      <c r="AA67" s="517"/>
      <c r="AB67" s="517"/>
      <c r="AC67" s="517">
        <f>Pepco!X44</f>
        <v>-7.8827962777821003E-3</v>
      </c>
      <c r="AD67" s="517"/>
      <c r="AE67" s="517"/>
      <c r="AF67" s="517"/>
      <c r="AG67" s="517"/>
      <c r="AH67" s="517">
        <f>Pepco!AC44</f>
        <v>-1.9379093833572503E-3</v>
      </c>
      <c r="AI67" s="517"/>
      <c r="AJ67" s="517"/>
      <c r="AK67" s="517"/>
      <c r="AL67" s="517"/>
      <c r="AM67" s="517">
        <f>Pepco!AH44</f>
        <v>9.203526076657198E-3</v>
      </c>
      <c r="AN67" s="517"/>
      <c r="AO67" s="517"/>
      <c r="AP67" s="517"/>
      <c r="AQ67" s="517"/>
      <c r="AR67" s="517">
        <f>Pepco!AM44</f>
        <v>4.8483915653378951E-3</v>
      </c>
      <c r="AS67" s="517"/>
      <c r="AT67" s="517"/>
      <c r="AU67" s="517"/>
      <c r="AV67" s="517"/>
      <c r="AW67" s="517">
        <f>Pepco!AR44</f>
        <v>-4.817339358198669E-2</v>
      </c>
      <c r="AX67" s="517"/>
      <c r="AY67" s="517"/>
      <c r="AZ67" s="517"/>
      <c r="BA67" s="517"/>
      <c r="BB67" s="517">
        <f>Pepco!AW44</f>
        <v>0</v>
      </c>
      <c r="BC67" s="517"/>
      <c r="BD67" s="517"/>
      <c r="BE67" s="517"/>
      <c r="BF67" s="517"/>
      <c r="BG67" s="517">
        <f>Pepco!BB44</f>
        <v>0</v>
      </c>
      <c r="BH67" s="517"/>
      <c r="BI67" s="517"/>
      <c r="BJ67" s="517"/>
      <c r="BK67" s="517"/>
      <c r="BL67" s="517">
        <f>Pepco!BG44</f>
        <v>0</v>
      </c>
      <c r="BM67" s="517"/>
      <c r="BN67" s="517"/>
      <c r="BO67" s="517"/>
      <c r="BP67" s="517"/>
      <c r="BQ67" s="517">
        <f>Pepco!BL44</f>
        <v>0</v>
      </c>
      <c r="BU67" t="s">
        <v>427</v>
      </c>
      <c r="BW67" s="734"/>
      <c r="BX67" s="734"/>
      <c r="BY67" s="734"/>
      <c r="BZ67" s="734">
        <f t="shared" ref="BZ67" ca="1" si="23">(1/(1+$CK$46))^((BZ44-$BU$44)/365)</f>
        <v>1.1106285619811156</v>
      </c>
      <c r="CA67" s="734">
        <f ca="1">(1/(1+$CK$46))^((CA44-$BU$44)/365)</f>
        <v>1.0233614171349341</v>
      </c>
      <c r="CB67" s="734">
        <f ca="1">(1/(1+$CK$46))^((CB44-$BU$44)/365)</f>
        <v>0.94295124934687891</v>
      </c>
      <c r="CC67" s="734">
        <f ca="1">(1/(1+$CK$46))^((CC44-$BU$44)/365)</f>
        <v>0.86885927469708502</v>
      </c>
      <c r="CD67" s="734">
        <f ca="1">(1/(1+$CK$46))^((CD44-$BU$44)/365)</f>
        <v>0.80040957112674127</v>
      </c>
      <c r="CE67" s="734">
        <f ca="1">(1/(1+$CK$46))^((CE44-$BU$44)/365)</f>
        <v>0.73751774538871839</v>
      </c>
      <c r="CH67">
        <f t="shared" si="19"/>
        <v>4</v>
      </c>
      <c r="CJ67" s="745">
        <f t="shared" si="20"/>
        <v>1.0459874729509997</v>
      </c>
      <c r="CK67" s="512">
        <f t="shared" si="21"/>
        <v>-8.3589851589288042E-2</v>
      </c>
      <c r="CL67" s="512">
        <f>CL66</f>
        <v>-0.31628540526039089</v>
      </c>
      <c r="CM67" s="512">
        <f t="shared" si="22"/>
        <v>0.64611221610132086</v>
      </c>
      <c r="CN67" s="512">
        <f t="shared" si="16"/>
        <v>0.46574559586754449</v>
      </c>
      <c r="CP67" s="746">
        <v>6.1769999999999999E-2</v>
      </c>
      <c r="CQ67" s="512">
        <f t="shared" si="17"/>
        <v>0.40494057465925393</v>
      </c>
      <c r="CR67" s="512">
        <f t="shared" si="18"/>
        <v>1.9536949482934347E-2</v>
      </c>
      <c r="CS67" s="512">
        <f>CR66</f>
        <v>2.11183765092363E-2</v>
      </c>
      <c r="CT67" s="512">
        <f>CS66</f>
        <v>2.2832643405747619E-2</v>
      </c>
      <c r="CU67" s="512">
        <f>CT66</f>
        <v>1.1860702697264658E-2</v>
      </c>
      <c r="DM67" s="745">
        <f>SUM(CQ67:DL67)</f>
        <v>0.48028924675443685</v>
      </c>
    </row>
    <row r="68" spans="3:117">
      <c r="C68" t="s">
        <v>410</v>
      </c>
      <c r="X68" s="517">
        <f>Pepco!S51</f>
        <v>-4.0476190476190443E-2</v>
      </c>
      <c r="Y68" s="517"/>
      <c r="Z68" s="517"/>
      <c r="AA68" s="517"/>
      <c r="AB68" s="517"/>
      <c r="AC68" s="517">
        <f>Pepco!X51</f>
        <v>-2.9776674937965208E-2</v>
      </c>
      <c r="AD68" s="517"/>
      <c r="AE68" s="517"/>
      <c r="AF68" s="517"/>
      <c r="AG68" s="517"/>
      <c r="AH68" s="517">
        <f>Pepco!AC51</f>
        <v>-2.5575447570332921E-3</v>
      </c>
      <c r="AI68" s="517"/>
      <c r="AJ68" s="517"/>
      <c r="AK68" s="517"/>
      <c r="AL68" s="517"/>
      <c r="AM68" s="517">
        <f>Pepco!AH51</f>
        <v>0.13076923076923075</v>
      </c>
      <c r="AN68" s="517"/>
      <c r="AO68" s="517"/>
      <c r="AP68" s="517"/>
      <c r="AQ68" s="517"/>
      <c r="AR68" s="517">
        <f>Pepco!AM51</f>
        <v>0.45578231292517013</v>
      </c>
      <c r="AS68" s="517"/>
      <c r="AT68" s="517"/>
      <c r="AU68" s="517"/>
      <c r="AV68" s="517"/>
      <c r="AW68" s="517">
        <f>Pepco!AR51</f>
        <v>-0.29283489096573212</v>
      </c>
      <c r="AX68" s="517"/>
      <c r="AY68" s="517"/>
      <c r="AZ68" s="517"/>
      <c r="BA68" s="517"/>
      <c r="BB68" s="517">
        <f>Pepco!AW51</f>
        <v>0</v>
      </c>
      <c r="BC68" s="517"/>
      <c r="BD68" s="517"/>
      <c r="BE68" s="517"/>
      <c r="BF68" s="517"/>
      <c r="BG68" s="517">
        <f>Pepco!BB51</f>
        <v>-2.5000000000000001E-2</v>
      </c>
      <c r="BH68" s="517"/>
      <c r="BI68" s="517"/>
      <c r="BJ68" s="517"/>
      <c r="BK68" s="517"/>
      <c r="BL68" s="517">
        <f>Pepco!BG51</f>
        <v>-7.4999999999999997E-2</v>
      </c>
      <c r="BM68" s="517"/>
      <c r="BN68" s="517"/>
      <c r="BO68" s="517"/>
      <c r="BP68" s="517"/>
      <c r="BQ68" s="517">
        <f>Pepco!BL51</f>
        <v>-5.5E-2</v>
      </c>
      <c r="BU68" t="s">
        <v>575</v>
      </c>
      <c r="BW68" s="519"/>
      <c r="BX68" s="519"/>
      <c r="BY68" s="519"/>
      <c r="BZ68" s="519">
        <f t="shared" ref="BZ68:CE68" ca="1" si="24">BZ67*(SUM(BZ64:BZ65))</f>
        <v>3023.0643079988777</v>
      </c>
      <c r="CA68" s="2150">
        <f t="shared" ca="1" si="24"/>
        <v>346.73367851081343</v>
      </c>
      <c r="CB68" s="519">
        <f t="shared" ca="1" si="24"/>
        <v>1220.7546734196198</v>
      </c>
      <c r="CC68" s="2150">
        <f t="shared" ca="1" si="24"/>
        <v>1175.0279640171918</v>
      </c>
      <c r="CD68" s="2150">
        <f t="shared" ca="1" si="24"/>
        <v>833.74323160731672</v>
      </c>
      <c r="CE68" s="519">
        <f t="shared" ca="1" si="24"/>
        <v>12982.578461406612</v>
      </c>
      <c r="CH68">
        <f t="shared" si="19"/>
        <v>5</v>
      </c>
      <c r="CJ68" s="745">
        <f t="shared" si="20"/>
        <v>1.0617818837925597</v>
      </c>
      <c r="CK68" s="512">
        <f t="shared" si="21"/>
        <v>-8.9288574493300576E-2</v>
      </c>
      <c r="CL68" s="512">
        <f>CL67</f>
        <v>-0.31628540526039089</v>
      </c>
      <c r="CM68" s="512">
        <f t="shared" si="22"/>
        <v>0.65620790403886819</v>
      </c>
      <c r="CN68" s="512">
        <f t="shared" si="16"/>
        <v>0.43585543188822229</v>
      </c>
      <c r="CP68" s="746">
        <v>5.713E-2</v>
      </c>
      <c r="CQ68" s="512">
        <f t="shared" si="17"/>
        <v>0.37452250332334758</v>
      </c>
      <c r="CR68" s="512">
        <f t="shared" si="18"/>
        <v>1.8069385202526132E-2</v>
      </c>
      <c r="CS68" s="512">
        <f>CR67</f>
        <v>1.9536949482934347E-2</v>
      </c>
      <c r="CT68" s="512">
        <f>CS67</f>
        <v>2.11183765092363E-2</v>
      </c>
      <c r="CU68" s="512">
        <f>CT67</f>
        <v>2.2832643405747619E-2</v>
      </c>
      <c r="CV68" s="512">
        <f>CU67</f>
        <v>1.1860702697264658E-2</v>
      </c>
      <c r="DM68" s="745">
        <f t="shared" ref="DM68:DM83" si="25">SUM(CQ68:DL68)</f>
        <v>0.46794056062105666</v>
      </c>
    </row>
    <row r="69" spans="3:117">
      <c r="X69" s="517"/>
      <c r="Y69" s="517"/>
      <c r="Z69" s="517"/>
      <c r="AA69" s="517"/>
      <c r="AB69" s="517"/>
      <c r="AC69" s="517"/>
      <c r="AD69" s="517"/>
      <c r="AE69" s="517"/>
      <c r="AF69" s="517"/>
      <c r="AG69" s="517"/>
      <c r="AH69" s="517"/>
      <c r="AI69" s="517"/>
      <c r="AJ69" s="517"/>
      <c r="AK69" s="517"/>
      <c r="AL69" s="517"/>
      <c r="AM69" s="517"/>
      <c r="AN69" s="517"/>
      <c r="AO69" s="517"/>
      <c r="AP69" s="517"/>
      <c r="AQ69" s="517"/>
      <c r="AR69" s="517"/>
      <c r="AS69" s="517"/>
      <c r="AT69" s="517"/>
      <c r="AU69" s="517"/>
      <c r="AV69" s="517"/>
      <c r="AW69" s="517"/>
      <c r="AX69" s="517"/>
      <c r="AY69" s="517"/>
      <c r="AZ69" s="517"/>
      <c r="BA69" s="517"/>
      <c r="BB69" s="517"/>
      <c r="BC69" s="517"/>
      <c r="BD69" s="517"/>
      <c r="BE69" s="517"/>
      <c r="BF69" s="517"/>
      <c r="BG69" s="517"/>
      <c r="BH69" s="517"/>
      <c r="BI69" s="517"/>
      <c r="BJ69" s="517"/>
      <c r="BK69" s="517"/>
      <c r="BL69" s="517"/>
      <c r="BM69" s="517"/>
      <c r="BN69" s="517"/>
      <c r="BO69" s="517"/>
      <c r="BP69" s="517"/>
      <c r="BQ69" s="517"/>
      <c r="CC69"/>
      <c r="CH69">
        <f t="shared" si="19"/>
        <v>6</v>
      </c>
      <c r="CJ69" s="745">
        <f t="shared" si="20"/>
        <v>1.0778147902378272</v>
      </c>
      <c r="CK69" s="512">
        <f t="shared" si="21"/>
        <v>-9.4989745822144048E-2</v>
      </c>
      <c r="CL69" s="512">
        <f t="shared" ref="CL69:CL93" si="26">CL68</f>
        <v>-0.31628540526039089</v>
      </c>
      <c r="CM69" s="512">
        <f t="shared" si="22"/>
        <v>0.66653963915529224</v>
      </c>
      <c r="CN69" s="512">
        <f t="shared" si="16"/>
        <v>0.40793144970436168</v>
      </c>
      <c r="CP69" s="746">
        <v>5.2850000000000001E-2</v>
      </c>
      <c r="CQ69" s="512">
        <f t="shared" si="17"/>
        <v>0.34646445476350285</v>
      </c>
      <c r="CR69" s="512">
        <f t="shared" si="18"/>
        <v>1.6715683668011658E-2</v>
      </c>
      <c r="CS69" s="512">
        <f>CR68</f>
        <v>1.8069385202526132E-2</v>
      </c>
      <c r="CT69" s="512">
        <f>CS68</f>
        <v>1.9536949482934347E-2</v>
      </c>
      <c r="CU69" s="512">
        <f>CT68</f>
        <v>2.11183765092363E-2</v>
      </c>
      <c r="CV69" s="512">
        <f t="shared" ref="CS69:DG84" si="27">CU68</f>
        <v>2.2832643405747619E-2</v>
      </c>
      <c r="CW69" s="512">
        <f t="shared" si="27"/>
        <v>1.1860702697264658E-2</v>
      </c>
      <c r="DM69" s="745">
        <f t="shared" si="25"/>
        <v>0.45659819572922361</v>
      </c>
    </row>
    <row r="70" spans="3:117">
      <c r="C70" t="s">
        <v>747</v>
      </c>
      <c r="X70" s="517">
        <f>Pepco!S263</f>
        <v>8.8334887373018603E-2</v>
      </c>
      <c r="Y70" s="517"/>
      <c r="Z70" s="517"/>
      <c r="AA70" s="517"/>
      <c r="AB70" s="517"/>
      <c r="AC70" s="517">
        <f>Pepco!X263</f>
        <v>9.3879344086231609E-2</v>
      </c>
      <c r="AD70" s="517"/>
      <c r="AE70" s="517"/>
      <c r="AF70" s="517"/>
      <c r="AG70" s="517"/>
      <c r="AH70" s="517">
        <f>Pepco!AC263</f>
        <v>9.9198706303766038E-2</v>
      </c>
      <c r="AI70" s="517"/>
      <c r="AJ70" s="517"/>
      <c r="AK70" s="517"/>
      <c r="AL70" s="517"/>
      <c r="AM70" s="517">
        <f>Pepco!AH263</f>
        <v>0.10176975985629196</v>
      </c>
      <c r="AN70" s="517"/>
      <c r="AO70" s="517"/>
      <c r="AP70" s="517"/>
      <c r="AQ70" s="517"/>
      <c r="AR70" s="517">
        <f>Pepco!AM263</f>
        <v>-0.12644460028050492</v>
      </c>
      <c r="AS70" s="517"/>
      <c r="AT70" s="517"/>
      <c r="AU70" s="517"/>
      <c r="AV70" s="517"/>
      <c r="AW70" s="517">
        <f>Pepco!AR263</f>
        <v>8.7607134751313917E-2</v>
      </c>
      <c r="AX70" s="517"/>
      <c r="AY70" s="517"/>
      <c r="AZ70" s="517"/>
      <c r="BA70" s="517"/>
      <c r="BB70" s="517">
        <f ca="1">Pepco!AW263</f>
        <v>9.2506699274681914E-2</v>
      </c>
      <c r="BC70" s="517"/>
      <c r="BD70" s="517"/>
      <c r="BE70" s="517"/>
      <c r="BF70" s="517"/>
      <c r="BG70" s="517">
        <f ca="1">Pepco!BB263</f>
        <v>8.9504777277551364E-2</v>
      </c>
      <c r="BH70" s="517"/>
      <c r="BI70" s="517"/>
      <c r="BJ70" s="517"/>
      <c r="BK70" s="517"/>
      <c r="BL70" s="517">
        <f ca="1">Pepco!BG263</f>
        <v>9.1337762313749044E-2</v>
      </c>
      <c r="BM70" s="517"/>
      <c r="BN70" s="517"/>
      <c r="BO70" s="517"/>
      <c r="BP70" s="517"/>
      <c r="BQ70" s="517">
        <f ca="1">Pepco!BL263</f>
        <v>9.4205844652850729E-2</v>
      </c>
      <c r="BU70" s="736" t="s">
        <v>54</v>
      </c>
      <c r="BV70" s="736"/>
      <c r="BW70" s="737"/>
      <c r="BX70" s="737">
        <f t="shared" ref="BX70:CD70" ca="1" si="28">($BW$77)/BX46</f>
        <v>6.0081734623583252</v>
      </c>
      <c r="BY70" s="737">
        <f t="shared" ca="1" si="28"/>
        <v>4.6963612865842901</v>
      </c>
      <c r="BZ70" s="737">
        <f t="shared" ca="1" si="28"/>
        <v>4.9546535605148403</v>
      </c>
      <c r="CA70" s="737">
        <f t="shared" ca="1" si="28"/>
        <v>4.6507240071519496</v>
      </c>
      <c r="CB70" s="737">
        <f t="shared" ca="1" si="28"/>
        <v>4.7459330181906978</v>
      </c>
      <c r="CC70" s="737">
        <f t="shared" ca="1" si="28"/>
        <v>5.2692069731685152</v>
      </c>
      <c r="CD70" s="737">
        <f t="shared" ca="1" si="28"/>
        <v>5.8155238937465299</v>
      </c>
      <c r="CE70" s="737">
        <f t="shared" ref="CE70" ca="1" si="29">($BW$77)/CE46</f>
        <v>5.6986570910402845</v>
      </c>
      <c r="CH70">
        <f t="shared" si="19"/>
        <v>7</v>
      </c>
      <c r="CJ70" s="745">
        <f t="shared" si="20"/>
        <v>1.0940897935704184</v>
      </c>
      <c r="CK70" s="512">
        <f t="shared" si="21"/>
        <v>-0.10033250128722999</v>
      </c>
      <c r="CL70" s="512">
        <f t="shared" si="26"/>
        <v>-0.31628540526039089</v>
      </c>
      <c r="CM70" s="512">
        <f t="shared" si="22"/>
        <v>0.67747188702279737</v>
      </c>
      <c r="CN70" s="512">
        <f t="shared" si="16"/>
        <v>0.3820433863655851</v>
      </c>
      <c r="CP70" s="746">
        <v>4.8800000000000003E-2</v>
      </c>
      <c r="CQ70" s="512">
        <f t="shared" si="17"/>
        <v>0.31991419853280872</v>
      </c>
      <c r="CR70" s="512">
        <f t="shared" si="18"/>
        <v>1.5434727776707076E-2</v>
      </c>
      <c r="CS70" s="512">
        <f t="shared" si="27"/>
        <v>1.6715683668011658E-2</v>
      </c>
      <c r="CT70" s="512">
        <f t="shared" si="27"/>
        <v>1.8069385202526132E-2</v>
      </c>
      <c r="CU70" s="512">
        <f t="shared" si="27"/>
        <v>1.9536949482934347E-2</v>
      </c>
      <c r="CV70" s="512">
        <f>CU69</f>
        <v>2.11183765092363E-2</v>
      </c>
      <c r="CW70" s="512">
        <f t="shared" si="27"/>
        <v>2.2832643405747619E-2</v>
      </c>
      <c r="CX70" s="512">
        <f t="shared" si="27"/>
        <v>1.1860702697264658E-2</v>
      </c>
      <c r="DM70" s="745">
        <f t="shared" si="25"/>
        <v>0.44548266727523655</v>
      </c>
    </row>
    <row r="71" spans="3:117">
      <c r="C71" t="s">
        <v>38</v>
      </c>
      <c r="X71" s="517">
        <f>Pepco!S259</f>
        <v>0.45958041958041956</v>
      </c>
      <c r="Y71" s="517"/>
      <c r="Z71" s="517"/>
      <c r="AA71" s="517"/>
      <c r="AB71" s="517"/>
      <c r="AC71" s="517">
        <f>Pepco!X259</f>
        <v>0.48388721047331318</v>
      </c>
      <c r="AD71" s="517"/>
      <c r="AE71" s="517"/>
      <c r="AF71" s="517"/>
      <c r="AG71" s="517"/>
      <c r="AH71" s="517">
        <f>Pepco!AC259</f>
        <v>0.48232031430552347</v>
      </c>
      <c r="AI71" s="517"/>
      <c r="AJ71" s="517"/>
      <c r="AK71" s="517"/>
      <c r="AL71" s="517"/>
      <c r="AM71" s="517">
        <f>Pepco!AH259</f>
        <v>0.48642779587404994</v>
      </c>
      <c r="AN71" s="517"/>
      <c r="AO71" s="517"/>
      <c r="AP71" s="517"/>
      <c r="AQ71" s="517"/>
      <c r="AR71" s="517">
        <f>Pepco!AM259</f>
        <v>0.4922945205479452</v>
      </c>
      <c r="AS71" s="517"/>
      <c r="AT71" s="517"/>
      <c r="AU71" s="517"/>
      <c r="AV71" s="517"/>
      <c r="AW71" s="517">
        <f>Pepco!AR259</f>
        <v>0.49676407138654638</v>
      </c>
      <c r="AX71" s="517"/>
      <c r="AY71" s="517"/>
      <c r="AZ71" s="517"/>
      <c r="BA71" s="517"/>
      <c r="BB71" s="517">
        <f ca="1">Pepco!AW259</f>
        <v>0.48957701178514679</v>
      </c>
      <c r="BC71" s="517"/>
      <c r="BD71" s="517"/>
      <c r="BE71" s="517"/>
      <c r="BF71" s="517"/>
      <c r="BG71" s="517">
        <f ca="1">Pepco!BB259</f>
        <v>0.49015521469150025</v>
      </c>
      <c r="BH71" s="517"/>
      <c r="BI71" s="517"/>
      <c r="BJ71" s="517"/>
      <c r="BK71" s="517"/>
      <c r="BL71" s="517">
        <f ca="1">Pepco!BG259</f>
        <v>0.49043537942845444</v>
      </c>
      <c r="BM71" s="517"/>
      <c r="BN71" s="517"/>
      <c r="BO71" s="517"/>
      <c r="BP71" s="517"/>
      <c r="BQ71" s="517">
        <f ca="1">Pepco!BL259</f>
        <v>0.49025475088912207</v>
      </c>
      <c r="BU71" s="736" t="s">
        <v>101</v>
      </c>
      <c r="BW71" s="737"/>
      <c r="BX71" s="737">
        <f t="shared" ref="BX71:CD71" ca="1" si="30">($BW$79)/((BX63+SUM(BX54:BX58)))</f>
        <v>1.9834647750723038</v>
      </c>
      <c r="BY71" s="737">
        <f t="shared" ca="1" si="30"/>
        <v>1.7854105612720506</v>
      </c>
      <c r="BZ71" s="737">
        <f t="shared" ca="1" si="30"/>
        <v>1.9959226396665148</v>
      </c>
      <c r="CA71" s="737">
        <f t="shared" ca="1" si="30"/>
        <v>-553.29717193180272</v>
      </c>
      <c r="CB71" s="737">
        <f t="shared" ca="1" si="30"/>
        <v>5.0443171473839294</v>
      </c>
      <c r="CC71" s="737">
        <f t="shared" ca="1" si="30"/>
        <v>4.6572479234514041</v>
      </c>
      <c r="CD71" s="737">
        <f t="shared" ca="1" si="30"/>
        <v>6.6275347137173419</v>
      </c>
      <c r="CE71" s="737">
        <f t="shared" ref="CE71" ca="1" si="31">($BW$79)/((CE63+SUM(CE54:CE58)))</f>
        <v>5.4937384439133217</v>
      </c>
      <c r="CH71">
        <f t="shared" si="19"/>
        <v>8</v>
      </c>
      <c r="CJ71" s="745">
        <f t="shared" si="20"/>
        <v>1.1106105494533316</v>
      </c>
      <c r="CK71" s="512">
        <f t="shared" si="21"/>
        <v>-0.10166421048989245</v>
      </c>
      <c r="CL71" s="512">
        <f t="shared" si="26"/>
        <v>-0.31628540526039089</v>
      </c>
      <c r="CM71" s="512">
        <f t="shared" si="22"/>
        <v>0.69266093370304826</v>
      </c>
      <c r="CN71" s="512">
        <f t="shared" si="16"/>
        <v>0.35991695256158401</v>
      </c>
      <c r="CP71" s="746">
        <v>4.5220000000000003E-2</v>
      </c>
      <c r="CQ71" s="512">
        <f t="shared" si="17"/>
        <v>0.29644508314863954</v>
      </c>
      <c r="CR71" s="512">
        <f t="shared" si="18"/>
        <v>1.4302426025874877E-2</v>
      </c>
      <c r="CS71" s="512">
        <f t="shared" si="27"/>
        <v>1.5434727776707076E-2</v>
      </c>
      <c r="CT71" s="512">
        <f t="shared" si="27"/>
        <v>1.6715683668011658E-2</v>
      </c>
      <c r="CU71" s="512">
        <f t="shared" si="27"/>
        <v>1.8069385202526132E-2</v>
      </c>
      <c r="CV71" s="512">
        <f>CU70</f>
        <v>1.9536949482934347E-2</v>
      </c>
      <c r="CW71" s="512">
        <f t="shared" si="27"/>
        <v>2.11183765092363E-2</v>
      </c>
      <c r="CX71" s="512">
        <f t="shared" si="27"/>
        <v>2.2832643405747619E-2</v>
      </c>
      <c r="CY71" s="512">
        <f t="shared" si="27"/>
        <v>1.1860702697264658E-2</v>
      </c>
      <c r="DM71" s="745">
        <f t="shared" si="25"/>
        <v>0.43631597791694227</v>
      </c>
    </row>
    <row r="72" spans="3:117">
      <c r="X72" s="517"/>
      <c r="Y72" s="517"/>
      <c r="Z72" s="517"/>
      <c r="AA72" s="517"/>
      <c r="AB72" s="517"/>
      <c r="AC72" s="517"/>
      <c r="AD72" s="517"/>
      <c r="AE72" s="517"/>
      <c r="AF72" s="517"/>
      <c r="AG72" s="517"/>
      <c r="AH72" s="517"/>
      <c r="AI72" s="517"/>
      <c r="AJ72" s="517"/>
      <c r="AK72" s="517"/>
      <c r="AL72" s="517"/>
      <c r="AM72" s="517"/>
      <c r="AN72" s="517"/>
      <c r="AO72" s="517"/>
      <c r="AP72" s="517"/>
      <c r="AQ72" s="517"/>
      <c r="AR72" s="517"/>
      <c r="AS72" s="517"/>
      <c r="AT72" s="517"/>
      <c r="AU72" s="517"/>
      <c r="AV72" s="517"/>
      <c r="AW72" s="517"/>
      <c r="AX72" s="517"/>
      <c r="AY72" s="517"/>
      <c r="AZ72" s="517"/>
      <c r="BA72" s="517"/>
      <c r="BB72" s="517"/>
      <c r="BC72" s="517"/>
      <c r="BD72" s="517"/>
      <c r="BE72" s="517"/>
      <c r="BF72" s="517"/>
      <c r="BG72" s="517"/>
      <c r="BH72" s="517"/>
      <c r="BI72" s="517"/>
      <c r="BJ72" s="517"/>
      <c r="BK72" s="517"/>
      <c r="BL72" s="517"/>
      <c r="BM72" s="517"/>
      <c r="BN72" s="517"/>
      <c r="BO72" s="517"/>
      <c r="BP72" s="517"/>
      <c r="BQ72" s="517"/>
      <c r="BU72" s="736" t="s">
        <v>100</v>
      </c>
      <c r="BV72" s="736"/>
      <c r="BW72" s="739"/>
      <c r="BX72" s="739">
        <f t="shared" ref="BX72:CD72" ca="1" si="32">IF($BW$79&lt;=0,0,(((BX63+SUM(BX54:BX59))/$BW$79)))</f>
        <v>0.50416826785519631</v>
      </c>
      <c r="BY72" s="739">
        <f t="shared" ca="1" si="32"/>
        <v>0.56009526418815991</v>
      </c>
      <c r="BZ72" s="739">
        <f t="shared" ca="1" si="32"/>
        <v>0.50102142243703551</v>
      </c>
      <c r="CA72" s="739">
        <f t="shared" ca="1" si="32"/>
        <v>-1.8073470292800558E-3</v>
      </c>
      <c r="CB72" s="739">
        <f t="shared" ca="1" si="32"/>
        <v>0.27542189610834616</v>
      </c>
      <c r="CC72" s="739">
        <f t="shared" ca="1" si="32"/>
        <v>0.23015488385746055</v>
      </c>
      <c r="CD72" s="739">
        <f t="shared" ca="1" si="32"/>
        <v>0.17661200361583387</v>
      </c>
      <c r="CE72" s="739">
        <f t="shared" ref="CE72" ca="1" si="33">IF($BW$79&lt;=0,0,(((CE63+SUM(CE54:CE59))/$BW$79)))</f>
        <v>0.21804228171576184</v>
      </c>
      <c r="CH72">
        <f t="shared" si="19"/>
        <v>9</v>
      </c>
      <c r="CJ72" s="745">
        <f t="shared" si="20"/>
        <v>1.1273807687500768</v>
      </c>
      <c r="CK72" s="512">
        <f t="shared" si="21"/>
        <v>-0.1022367300367161</v>
      </c>
      <c r="CL72" s="512">
        <f t="shared" si="26"/>
        <v>-0.31628540526039089</v>
      </c>
      <c r="CM72" s="512">
        <f t="shared" si="22"/>
        <v>0.70885863345296962</v>
      </c>
      <c r="CN72" s="512">
        <f t="shared" si="16"/>
        <v>0.33939187666630666</v>
      </c>
      <c r="CP72" s="746">
        <v>4.462E-2</v>
      </c>
      <c r="CQ72" s="512">
        <f t="shared" si="17"/>
        <v>0.29251171185520336</v>
      </c>
      <c r="CR72" s="512">
        <f t="shared" si="18"/>
        <v>1.4112654782718642E-2</v>
      </c>
      <c r="CS72" s="512">
        <f t="shared" si="27"/>
        <v>1.4302426025874877E-2</v>
      </c>
      <c r="CT72" s="512">
        <f t="shared" si="27"/>
        <v>1.5434727776707076E-2</v>
      </c>
      <c r="CU72" s="512">
        <f t="shared" si="27"/>
        <v>1.6715683668011658E-2</v>
      </c>
      <c r="CV72" s="512">
        <f t="shared" si="27"/>
        <v>1.8069385202526132E-2</v>
      </c>
      <c r="CW72" s="512">
        <f t="shared" si="27"/>
        <v>1.9536949482934347E-2</v>
      </c>
      <c r="CX72" s="512">
        <f t="shared" si="27"/>
        <v>2.11183765092363E-2</v>
      </c>
      <c r="CY72" s="512">
        <f t="shared" si="27"/>
        <v>2.2832643405747619E-2</v>
      </c>
      <c r="CZ72" s="512">
        <f t="shared" si="27"/>
        <v>1.1860702697264658E-2</v>
      </c>
      <c r="DM72" s="745">
        <f t="shared" si="25"/>
        <v>0.44649526140622475</v>
      </c>
    </row>
    <row r="73" spans="3:117">
      <c r="C73" t="s">
        <v>1313</v>
      </c>
      <c r="X73" s="517">
        <f>Pepco!S262</f>
        <v>9.8336439588688956E-2</v>
      </c>
      <c r="Y73" s="517"/>
      <c r="Z73" s="517"/>
      <c r="AA73" s="517"/>
      <c r="AB73" s="517"/>
      <c r="AC73" s="517">
        <f>Pepco!X262</f>
        <v>9.8336439588688956E-2</v>
      </c>
      <c r="AD73" s="517"/>
      <c r="AE73" s="517"/>
      <c r="AF73" s="517"/>
      <c r="AG73" s="517"/>
      <c r="AH73" s="517">
        <f>Pepco!AC262</f>
        <v>9.8336439588688956E-2</v>
      </c>
      <c r="AI73" s="517"/>
      <c r="AJ73" s="517"/>
      <c r="AK73" s="517"/>
      <c r="AL73" s="517"/>
      <c r="AM73" s="517">
        <f>Pepco!AH262</f>
        <v>9.8336439588688956E-2</v>
      </c>
      <c r="AN73" s="517"/>
      <c r="AO73" s="517"/>
      <c r="AP73" s="517"/>
      <c r="AQ73" s="517"/>
      <c r="AR73" s="517">
        <f>Pepco!AM262</f>
        <v>9.6349764000000004E-2</v>
      </c>
      <c r="AS73" s="517"/>
      <c r="AT73" s="517"/>
      <c r="AU73" s="517"/>
      <c r="AV73" s="517"/>
      <c r="AW73" s="517">
        <f>Pepco!AR262</f>
        <v>9.6349764000000004E-2</v>
      </c>
      <c r="AX73" s="517"/>
      <c r="AY73" s="517"/>
      <c r="AZ73" s="517"/>
      <c r="BA73" s="517"/>
      <c r="BB73" s="517">
        <f>Pepco!AW262</f>
        <v>9.6349764000000004E-2</v>
      </c>
      <c r="BC73" s="517"/>
      <c r="BD73" s="517"/>
      <c r="BE73" s="517"/>
      <c r="BF73" s="517"/>
      <c r="BG73" s="517">
        <f>Pepco!BB262</f>
        <v>9.6349764000000004E-2</v>
      </c>
      <c r="BH73" s="517"/>
      <c r="BI73" s="517"/>
      <c r="BJ73" s="517"/>
      <c r="BK73" s="517"/>
      <c r="BL73" s="517">
        <f>Pepco!BG262</f>
        <v>9.6349764000000004E-2</v>
      </c>
      <c r="BM73" s="517"/>
      <c r="BN73" s="517"/>
      <c r="BO73" s="517"/>
      <c r="BP73" s="517"/>
      <c r="BQ73" s="517">
        <f>Pepco!BL262</f>
        <v>9.6349764000000004E-2</v>
      </c>
      <c r="BX73" s="497"/>
      <c r="BY73" s="497"/>
      <c r="BZ73" s="497"/>
      <c r="CA73" s="497"/>
      <c r="CB73" s="497"/>
      <c r="CH73">
        <f t="shared" si="19"/>
        <v>10</v>
      </c>
      <c r="CJ73" s="745">
        <f t="shared" si="20"/>
        <v>1.1444042183582028</v>
      </c>
      <c r="CK73" s="512">
        <f t="shared" si="21"/>
        <v>-0.10283423015052462</v>
      </c>
      <c r="CL73" s="512">
        <f t="shared" si="26"/>
        <v>-0.31628540526039089</v>
      </c>
      <c r="CM73" s="512">
        <f t="shared" si="22"/>
        <v>0.72528458294728737</v>
      </c>
      <c r="CN73" s="512">
        <f t="shared" si="16"/>
        <v>0.31997088108648514</v>
      </c>
      <c r="CP73" s="746">
        <v>4.4609999999999997E-2</v>
      </c>
      <c r="CQ73" s="512">
        <f t="shared" si="17"/>
        <v>0.2924461556669794</v>
      </c>
      <c r="CR73" s="512">
        <f t="shared" si="18"/>
        <v>1.4109491928666036E-2</v>
      </c>
      <c r="CS73" s="512">
        <f t="shared" si="27"/>
        <v>1.4112654782718642E-2</v>
      </c>
      <c r="CT73" s="512">
        <f t="shared" si="27"/>
        <v>1.4302426025874877E-2</v>
      </c>
      <c r="CU73" s="512">
        <f t="shared" si="27"/>
        <v>1.5434727776707076E-2</v>
      </c>
      <c r="CV73" s="512">
        <f t="shared" si="27"/>
        <v>1.6715683668011658E-2</v>
      </c>
      <c r="CW73" s="512">
        <f t="shared" si="27"/>
        <v>1.8069385202526132E-2</v>
      </c>
      <c r="CX73" s="512">
        <f t="shared" si="27"/>
        <v>1.9536949482934347E-2</v>
      </c>
      <c r="CY73" s="512">
        <f t="shared" si="27"/>
        <v>2.11183765092363E-2</v>
      </c>
      <c r="CZ73" s="512">
        <f t="shared" si="27"/>
        <v>2.2832643405747619E-2</v>
      </c>
      <c r="DA73" s="512">
        <f t="shared" si="27"/>
        <v>1.1860702697264658E-2</v>
      </c>
      <c r="DM73" s="745">
        <f t="shared" si="25"/>
        <v>0.4605391971466668</v>
      </c>
    </row>
    <row r="74" spans="3:117">
      <c r="C74" t="s">
        <v>597</v>
      </c>
      <c r="X74" s="517">
        <f>Pepco!S258</f>
        <v>0.49</v>
      </c>
      <c r="Y74" s="517"/>
      <c r="Z74" s="517"/>
      <c r="AA74" s="517"/>
      <c r="AB74" s="517"/>
      <c r="AC74" s="517">
        <f>Pepco!X258</f>
        <v>0.49</v>
      </c>
      <c r="AD74" s="517"/>
      <c r="AE74" s="517"/>
      <c r="AF74" s="517"/>
      <c r="AG74" s="517"/>
      <c r="AH74" s="517">
        <f>Pepco!AC258</f>
        <v>0.49</v>
      </c>
      <c r="AI74" s="517"/>
      <c r="AJ74" s="517"/>
      <c r="AK74" s="517"/>
      <c r="AL74" s="517"/>
      <c r="AM74" s="517">
        <f>Pepco!AH258</f>
        <v>0.49</v>
      </c>
      <c r="AN74" s="517"/>
      <c r="AO74" s="517"/>
      <c r="AP74" s="517"/>
      <c r="AQ74" s="517"/>
      <c r="AR74" s="517">
        <f>Pepco!AM258</f>
        <v>0.49</v>
      </c>
      <c r="AS74" s="517"/>
      <c r="AT74" s="517"/>
      <c r="AU74" s="517"/>
      <c r="AV74" s="517"/>
      <c r="AW74" s="517">
        <f>Pepco!AR258</f>
        <v>0.49</v>
      </c>
      <c r="AX74" s="517"/>
      <c r="AY74" s="517"/>
      <c r="AZ74" s="517"/>
      <c r="BA74" s="517"/>
      <c r="BB74" s="517">
        <f>Pepco!AW258</f>
        <v>0.49</v>
      </c>
      <c r="BC74" s="517"/>
      <c r="BD74" s="517"/>
      <c r="BE74" s="517"/>
      <c r="BF74" s="517"/>
      <c r="BG74" s="517">
        <f>Pepco!BB258</f>
        <v>0.49</v>
      </c>
      <c r="BH74" s="517"/>
      <c r="BI74" s="517"/>
      <c r="BJ74" s="517"/>
      <c r="BK74" s="517"/>
      <c r="BL74" s="517">
        <f>Pepco!BG258</f>
        <v>0.49</v>
      </c>
      <c r="BM74" s="517"/>
      <c r="BN74" s="517"/>
      <c r="BO74" s="517"/>
      <c r="BP74" s="517"/>
      <c r="BQ74" s="517">
        <f>Pepco!BL258</f>
        <v>0.49</v>
      </c>
      <c r="BU74" s="34" t="s">
        <v>56</v>
      </c>
      <c r="BV74" s="34"/>
      <c r="BW74" s="534">
        <f ca="1">SUM(CC68:CE68)</f>
        <v>14991.349657031122</v>
      </c>
      <c r="CA74" s="512"/>
      <c r="CH74">
        <f t="shared" si="19"/>
        <v>11</v>
      </c>
      <c r="CJ74" s="745">
        <f t="shared" si="20"/>
        <v>1.1616847220554116</v>
      </c>
      <c r="CK74" s="512">
        <f t="shared" si="21"/>
        <v>-0.10351390942144564</v>
      </c>
      <c r="CL74" s="512">
        <f t="shared" si="26"/>
        <v>-0.31628540526039089</v>
      </c>
      <c r="CM74" s="512">
        <f t="shared" ref="CM74:CM93" si="34">CJ74+CK74+CL74</f>
        <v>0.741885407373575</v>
      </c>
      <c r="CN74" s="512">
        <f t="shared" si="16"/>
        <v>0.30157757250546441</v>
      </c>
      <c r="CP74" s="746">
        <v>4.462E-2</v>
      </c>
      <c r="CQ74" s="512">
        <f t="shared" si="17"/>
        <v>0.29251171185520336</v>
      </c>
      <c r="CR74" s="512">
        <f t="shared" si="18"/>
        <v>1.4112654782718642E-2</v>
      </c>
      <c r="CS74" s="512">
        <f t="shared" si="27"/>
        <v>1.4109491928666036E-2</v>
      </c>
      <c r="CT74" s="512">
        <f t="shared" si="27"/>
        <v>1.4112654782718642E-2</v>
      </c>
      <c r="CU74" s="512">
        <f t="shared" si="27"/>
        <v>1.4302426025874877E-2</v>
      </c>
      <c r="CV74" s="512">
        <f t="shared" si="27"/>
        <v>1.5434727776707076E-2</v>
      </c>
      <c r="CW74" s="512">
        <f t="shared" si="27"/>
        <v>1.6715683668011658E-2</v>
      </c>
      <c r="CX74" s="512">
        <f t="shared" si="27"/>
        <v>1.8069385202526132E-2</v>
      </c>
      <c r="CY74" s="512">
        <f t="shared" si="27"/>
        <v>1.9536949482934347E-2</v>
      </c>
      <c r="CZ74" s="512">
        <f t="shared" si="27"/>
        <v>2.11183765092363E-2</v>
      </c>
      <c r="DA74" s="512">
        <f t="shared" si="27"/>
        <v>2.2832643405747619E-2</v>
      </c>
      <c r="DB74" s="512">
        <f t="shared" si="27"/>
        <v>1.1860702697264658E-2</v>
      </c>
      <c r="DM74" s="745">
        <f t="shared" si="25"/>
        <v>0.47471740811760943</v>
      </c>
    </row>
    <row r="75" spans="3:117">
      <c r="BU75" t="s">
        <v>1135</v>
      </c>
      <c r="BW75" s="506">
        <f>+ExGen!BZ815</f>
        <v>323.48449852024885</v>
      </c>
      <c r="CH75">
        <f t="shared" si="19"/>
        <v>12</v>
      </c>
      <c r="CJ75" s="745">
        <f t="shared" si="20"/>
        <v>1.1792261613584483</v>
      </c>
      <c r="CK75" s="512">
        <f t="shared" si="21"/>
        <v>-0.10423461837006347</v>
      </c>
      <c r="CL75" s="512">
        <f t="shared" si="26"/>
        <v>-0.31628540526039089</v>
      </c>
      <c r="CM75" s="512">
        <f t="shared" si="34"/>
        <v>0.75870613772799378</v>
      </c>
      <c r="CN75" s="512">
        <f t="shared" si="16"/>
        <v>0.28418163651459066</v>
      </c>
      <c r="CP75" s="746">
        <v>4.4609999999999997E-2</v>
      </c>
      <c r="CQ75" s="512">
        <f t="shared" si="17"/>
        <v>0.2924461556669794</v>
      </c>
      <c r="CR75" s="512">
        <f t="shared" si="18"/>
        <v>1.4109491928666036E-2</v>
      </c>
      <c r="CS75" s="512">
        <f t="shared" si="27"/>
        <v>1.4112654782718642E-2</v>
      </c>
      <c r="CT75" s="512">
        <f t="shared" si="27"/>
        <v>1.4109491928666036E-2</v>
      </c>
      <c r="CU75" s="512">
        <f t="shared" si="27"/>
        <v>1.4112654782718642E-2</v>
      </c>
      <c r="CV75" s="512">
        <f t="shared" si="27"/>
        <v>1.4302426025874877E-2</v>
      </c>
      <c r="CW75" s="512">
        <f t="shared" si="27"/>
        <v>1.5434727776707076E-2</v>
      </c>
      <c r="CX75" s="512">
        <f t="shared" si="27"/>
        <v>1.6715683668011658E-2</v>
      </c>
      <c r="CY75" s="512">
        <f t="shared" si="27"/>
        <v>1.8069385202526132E-2</v>
      </c>
      <c r="CZ75" s="512">
        <f t="shared" si="27"/>
        <v>1.9536949482934347E-2</v>
      </c>
      <c r="DA75" s="512">
        <f t="shared" si="27"/>
        <v>2.11183765092363E-2</v>
      </c>
      <c r="DB75" s="512">
        <f t="shared" si="27"/>
        <v>2.2832643405747619E-2</v>
      </c>
      <c r="DC75" s="512">
        <f t="shared" si="27"/>
        <v>1.1860702697264658E-2</v>
      </c>
      <c r="DM75" s="745">
        <f t="shared" si="25"/>
        <v>0.48876134385805148</v>
      </c>
    </row>
    <row r="76" spans="3:117">
      <c r="C76" s="34" t="s">
        <v>350</v>
      </c>
      <c r="BU76" t="s">
        <v>62</v>
      </c>
      <c r="BW76" s="1023">
        <v>0</v>
      </c>
      <c r="BX76" s="535"/>
      <c r="CH76">
        <f t="shared" si="19"/>
        <v>13</v>
      </c>
      <c r="CJ76" s="745">
        <f t="shared" si="20"/>
        <v>1.1970324763949607</v>
      </c>
      <c r="CK76" s="512">
        <f t="shared" si="21"/>
        <v>-0.1050109512227112</v>
      </c>
      <c r="CL76" s="512">
        <f t="shared" si="26"/>
        <v>-0.31628540526039089</v>
      </c>
      <c r="CM76" s="512">
        <f t="shared" si="34"/>
        <v>0.77573611991185865</v>
      </c>
      <c r="CN76" s="512">
        <f t="shared" si="16"/>
        <v>0.26772974737348293</v>
      </c>
      <c r="CP76" s="746">
        <v>4.4609999999999997E-2</v>
      </c>
      <c r="CQ76" s="512">
        <f t="shared" si="17"/>
        <v>0.2924461556669794</v>
      </c>
      <c r="CR76" s="512">
        <f t="shared" si="18"/>
        <v>1.4109491928666036E-2</v>
      </c>
      <c r="CS76" s="512">
        <f t="shared" si="27"/>
        <v>1.4109491928666036E-2</v>
      </c>
      <c r="CT76" s="512">
        <f t="shared" si="27"/>
        <v>1.4112654782718642E-2</v>
      </c>
      <c r="CU76" s="512">
        <f t="shared" si="27"/>
        <v>1.4109491928666036E-2</v>
      </c>
      <c r="CV76" s="512">
        <f t="shared" si="27"/>
        <v>1.4112654782718642E-2</v>
      </c>
      <c r="CW76" s="512">
        <f t="shared" si="27"/>
        <v>1.4302426025874877E-2</v>
      </c>
      <c r="CX76" s="512">
        <f t="shared" si="27"/>
        <v>1.5434727776707076E-2</v>
      </c>
      <c r="CY76" s="512">
        <f t="shared" si="27"/>
        <v>1.6715683668011658E-2</v>
      </c>
      <c r="CZ76" s="512">
        <f t="shared" si="27"/>
        <v>1.8069385202526132E-2</v>
      </c>
      <c r="DA76" s="512">
        <f t="shared" si="27"/>
        <v>1.9536949482934347E-2</v>
      </c>
      <c r="DB76" s="512">
        <f t="shared" si="27"/>
        <v>2.11183765092363E-2</v>
      </c>
      <c r="DC76" s="512">
        <f t="shared" si="27"/>
        <v>2.2832643405747619E-2</v>
      </c>
      <c r="DD76" s="512">
        <f t="shared" si="27"/>
        <v>1.1860702697264658E-2</v>
      </c>
      <c r="DM76" s="745">
        <f t="shared" si="25"/>
        <v>0.50287083578671754</v>
      </c>
    </row>
    <row r="77" spans="3:117">
      <c r="C77" t="s">
        <v>1091</v>
      </c>
      <c r="X77" s="517">
        <f>DPL!S50</f>
        <v>-3.7042875157629052E-3</v>
      </c>
      <c r="Y77" s="517"/>
      <c r="Z77" s="517"/>
      <c r="AA77" s="517"/>
      <c r="AB77" s="517"/>
      <c r="AC77" s="517">
        <f>DPL!X50</f>
        <v>-1.3922949133771012E-2</v>
      </c>
      <c r="AD77" s="517"/>
      <c r="AE77" s="517"/>
      <c r="AF77" s="517"/>
      <c r="AG77" s="517"/>
      <c r="AH77" s="517">
        <f>DPL!AC50</f>
        <v>-4.1716807059767325E-3</v>
      </c>
      <c r="AI77" s="517"/>
      <c r="AJ77" s="517"/>
      <c r="AK77" s="517"/>
      <c r="AL77" s="517"/>
      <c r="AM77" s="517">
        <f>DPL!AH50</f>
        <v>4.9142028518489589E-3</v>
      </c>
      <c r="AN77" s="517"/>
      <c r="AO77" s="517"/>
      <c r="AP77" s="517"/>
      <c r="AQ77" s="517"/>
      <c r="AR77" s="517">
        <f>DPL!AM50</f>
        <v>-2.6775693442360082E-2</v>
      </c>
      <c r="AS77" s="517"/>
      <c r="AT77" s="517"/>
      <c r="AU77" s="517"/>
      <c r="AV77" s="517"/>
      <c r="AW77" s="517">
        <f>DPL!AR50</f>
        <v>-2.1746293245469506E-2</v>
      </c>
      <c r="AX77" s="517"/>
      <c r="AY77" s="517"/>
      <c r="AZ77" s="517"/>
      <c r="BA77" s="517"/>
      <c r="BB77" s="517">
        <f>DPL!AW50</f>
        <v>0</v>
      </c>
      <c r="BC77" s="517"/>
      <c r="BD77" s="517"/>
      <c r="BE77" s="517"/>
      <c r="BF77" s="517"/>
      <c r="BG77" s="517">
        <f>DPL!BB50</f>
        <v>0</v>
      </c>
      <c r="BH77" s="517"/>
      <c r="BI77" s="517"/>
      <c r="BJ77" s="517"/>
      <c r="BK77" s="517"/>
      <c r="BL77" s="517">
        <f>DPL!BG50</f>
        <v>0</v>
      </c>
      <c r="BM77" s="517"/>
      <c r="BN77" s="517"/>
      <c r="BO77" s="517"/>
      <c r="BP77" s="517"/>
      <c r="BQ77" s="517">
        <f>DPL!BL50</f>
        <v>0</v>
      </c>
      <c r="BU77" s="34" t="s">
        <v>492</v>
      </c>
      <c r="BW77" s="534">
        <f ca="1">+BW74+BW75+BW76</f>
        <v>15314.834155551371</v>
      </c>
      <c r="CH77">
        <f t="shared" si="19"/>
        <v>14</v>
      </c>
      <c r="CJ77" s="745">
        <f t="shared" si="20"/>
        <v>1.2151076667885246</v>
      </c>
      <c r="CK77" s="512">
        <f t="shared" si="21"/>
        <v>-0.10584374790033974</v>
      </c>
      <c r="CL77" s="512">
        <f t="shared" si="26"/>
        <v>-0.31628540526039089</v>
      </c>
      <c r="CM77" s="512">
        <f t="shared" si="34"/>
        <v>0.79297851362779381</v>
      </c>
      <c r="CN77" s="512">
        <f t="shared" si="16"/>
        <v>0.25217628102544337</v>
      </c>
      <c r="CP77" s="746">
        <v>4.4609999999999997E-2</v>
      </c>
      <c r="CQ77" s="512">
        <f t="shared" si="17"/>
        <v>0.2924461556669794</v>
      </c>
      <c r="CR77" s="512">
        <f t="shared" si="18"/>
        <v>1.4109491928666036E-2</v>
      </c>
      <c r="CS77" s="512">
        <f t="shared" ref="CS77:CS82" si="35">CR76</f>
        <v>1.4109491928666036E-2</v>
      </c>
      <c r="CT77" s="512">
        <f t="shared" si="27"/>
        <v>1.4109491928666036E-2</v>
      </c>
      <c r="CU77" s="512">
        <f t="shared" si="27"/>
        <v>1.4112654782718642E-2</v>
      </c>
      <c r="CV77" s="512">
        <f t="shared" si="27"/>
        <v>1.4109491928666036E-2</v>
      </c>
      <c r="CW77" s="512">
        <f t="shared" si="27"/>
        <v>1.4112654782718642E-2</v>
      </c>
      <c r="CX77" s="512">
        <f t="shared" si="27"/>
        <v>1.4302426025874877E-2</v>
      </c>
      <c r="CY77" s="512">
        <f t="shared" si="27"/>
        <v>1.5434727776707076E-2</v>
      </c>
      <c r="CZ77" s="512">
        <f t="shared" si="27"/>
        <v>1.6715683668011658E-2</v>
      </c>
      <c r="DA77" s="512">
        <f t="shared" si="27"/>
        <v>1.8069385202526132E-2</v>
      </c>
      <c r="DB77" s="512">
        <f t="shared" si="27"/>
        <v>1.9536949482934347E-2</v>
      </c>
      <c r="DC77" s="512">
        <f t="shared" si="27"/>
        <v>2.11183765092363E-2</v>
      </c>
      <c r="DD77" s="512">
        <f t="shared" si="27"/>
        <v>2.2832643405747619E-2</v>
      </c>
      <c r="DE77" s="512">
        <f t="shared" si="27"/>
        <v>1.1860702697264658E-2</v>
      </c>
      <c r="DM77" s="745">
        <f t="shared" si="25"/>
        <v>0.5169803277153836</v>
      </c>
    </row>
    <row r="78" spans="3:117">
      <c r="C78" t="s">
        <v>1266</v>
      </c>
      <c r="X78" s="517">
        <f>DPL!S51</f>
        <v>-0.1033912765276741</v>
      </c>
      <c r="Y78" s="517"/>
      <c r="Z78" s="517"/>
      <c r="AA78" s="517"/>
      <c r="AB78" s="517"/>
      <c r="AC78" s="517">
        <f>DPL!X51</f>
        <v>0.17728218852215294</v>
      </c>
      <c r="AD78" s="517"/>
      <c r="AE78" s="517"/>
      <c r="AF78" s="517"/>
      <c r="AG78" s="517"/>
      <c r="AH78" s="517">
        <f>DPL!AC51</f>
        <v>6.2386340674883911E-2</v>
      </c>
      <c r="AI78" s="517"/>
      <c r="AJ78" s="517"/>
      <c r="AK78" s="517"/>
      <c r="AL78" s="517"/>
      <c r="AM78" s="517">
        <f>DPL!AH51</f>
        <v>-4.8594931291902399E-2</v>
      </c>
      <c r="AN78" s="517"/>
      <c r="AO78" s="517"/>
      <c r="AP78" s="517"/>
      <c r="AQ78" s="517"/>
      <c r="AR78" s="517">
        <f>DPL!AM51</f>
        <v>-2.3339497226248174E-2</v>
      </c>
      <c r="AS78" s="517"/>
      <c r="AT78" s="517"/>
      <c r="AU78" s="517"/>
      <c r="AV78" s="517"/>
      <c r="AW78" s="517">
        <f>DPL!AR51</f>
        <v>5.2706990072663995E-3</v>
      </c>
      <c r="AX78" s="517"/>
      <c r="AY78" s="517"/>
      <c r="AZ78" s="517"/>
      <c r="BA78" s="517"/>
      <c r="BB78" s="517">
        <f>DPL!AW51</f>
        <v>0</v>
      </c>
      <c r="BC78" s="517"/>
      <c r="BD78" s="517"/>
      <c r="BE78" s="517"/>
      <c r="BF78" s="517"/>
      <c r="BG78" s="517">
        <f>DPL!BB51</f>
        <v>0</v>
      </c>
      <c r="BH78" s="517"/>
      <c r="BI78" s="517"/>
      <c r="BJ78" s="517"/>
      <c r="BK78" s="517"/>
      <c r="BL78" s="517">
        <f>DPL!BG51</f>
        <v>0</v>
      </c>
      <c r="BM78" s="517"/>
      <c r="BN78" s="517"/>
      <c r="BO78" s="517"/>
      <c r="BP78" s="517"/>
      <c r="BQ78" s="517">
        <f>DPL!BL51</f>
        <v>0</v>
      </c>
      <c r="BU78" t="s">
        <v>1133</v>
      </c>
      <c r="BW78" s="519">
        <f>ExGen!AT850-ExGen!AT846</f>
        <v>10456</v>
      </c>
      <c r="CH78">
        <f t="shared" si="19"/>
        <v>15</v>
      </c>
      <c r="CJ78" s="745">
        <f t="shared" si="20"/>
        <v>1.2334557925570311</v>
      </c>
      <c r="CK78" s="512">
        <f t="shared" si="21"/>
        <v>-0.10673386100670623</v>
      </c>
      <c r="CL78" s="512">
        <f t="shared" si="26"/>
        <v>-0.31628540526039089</v>
      </c>
      <c r="CM78" s="512">
        <f t="shared" si="34"/>
        <v>0.81043652628993379</v>
      </c>
      <c r="CN78" s="512">
        <f t="shared" si="16"/>
        <v>0.2374772566369977</v>
      </c>
      <c r="CP78" s="746">
        <v>4.4609999999999997E-2</v>
      </c>
      <c r="CQ78" s="512">
        <f t="shared" si="17"/>
        <v>0.2924461556669794</v>
      </c>
      <c r="CR78" s="512">
        <f t="shared" si="18"/>
        <v>1.4109491928666036E-2</v>
      </c>
      <c r="CS78" s="512">
        <f t="shared" si="35"/>
        <v>1.4109491928666036E-2</v>
      </c>
      <c r="CT78" s="512">
        <f t="shared" si="27"/>
        <v>1.4109491928666036E-2</v>
      </c>
      <c r="CU78" s="512">
        <f t="shared" si="27"/>
        <v>1.4109491928666036E-2</v>
      </c>
      <c r="CV78" s="512">
        <f t="shared" si="27"/>
        <v>1.4112654782718642E-2</v>
      </c>
      <c r="CW78" s="512">
        <f t="shared" si="27"/>
        <v>1.4109491928666036E-2</v>
      </c>
      <c r="CX78" s="512">
        <f t="shared" si="27"/>
        <v>1.4112654782718642E-2</v>
      </c>
      <c r="CY78" s="512">
        <f t="shared" si="27"/>
        <v>1.4302426025874877E-2</v>
      </c>
      <c r="CZ78" s="512">
        <f t="shared" si="27"/>
        <v>1.5434727776707076E-2</v>
      </c>
      <c r="DA78" s="512">
        <f t="shared" si="27"/>
        <v>1.6715683668011658E-2</v>
      </c>
      <c r="DB78" s="512">
        <f t="shared" si="27"/>
        <v>1.8069385202526132E-2</v>
      </c>
      <c r="DC78" s="512">
        <f t="shared" si="27"/>
        <v>1.9536949482934347E-2</v>
      </c>
      <c r="DD78" s="512">
        <f t="shared" si="27"/>
        <v>2.11183765092363E-2</v>
      </c>
      <c r="DE78" s="512">
        <f t="shared" si="27"/>
        <v>2.2832643405747619E-2</v>
      </c>
      <c r="DF78" s="512">
        <f t="shared" si="27"/>
        <v>1.1860702697264658E-2</v>
      </c>
      <c r="DM78" s="745">
        <f t="shared" si="25"/>
        <v>0.53108981964404967</v>
      </c>
    </row>
    <row r="79" spans="3:117">
      <c r="C79" t="s">
        <v>410</v>
      </c>
      <c r="X79" s="517">
        <f>DPL!S58</f>
        <v>8.786610878661083E-2</v>
      </c>
      <c r="Y79" s="517"/>
      <c r="Z79" s="517"/>
      <c r="AA79" s="517"/>
      <c r="AB79" s="517"/>
      <c r="AC79" s="517">
        <f>DPL!X58</f>
        <v>-3.4615384615384603E-2</v>
      </c>
      <c r="AD79" s="517"/>
      <c r="AE79" s="517"/>
      <c r="AF79" s="517"/>
      <c r="AG79" s="517"/>
      <c r="AH79" s="517">
        <f>DPL!AC58</f>
        <v>7.1713147410358502E-2</v>
      </c>
      <c r="AI79" s="517"/>
      <c r="AJ79" s="517"/>
      <c r="AK79" s="517"/>
      <c r="AL79" s="517"/>
      <c r="AM79" s="517">
        <f>DPL!AH58</f>
        <v>0.1375464684014871</v>
      </c>
      <c r="AN79" s="517"/>
      <c r="AO79" s="517"/>
      <c r="AP79" s="517"/>
      <c r="AQ79" s="517"/>
      <c r="AR79" s="517">
        <f>DPL!AM58</f>
        <v>0.44117647058823528</v>
      </c>
      <c r="AS79" s="517"/>
      <c r="AT79" s="517"/>
      <c r="AU79" s="517"/>
      <c r="AV79" s="517"/>
      <c r="AW79" s="517">
        <f>DPL!AR58</f>
        <v>-0.2857142857142857</v>
      </c>
      <c r="AX79" s="517"/>
      <c r="AY79" s="517"/>
      <c r="AZ79" s="517"/>
      <c r="BA79" s="517"/>
      <c r="BB79" s="517">
        <f>DPL!AW58</f>
        <v>-1.4999999999999999E-2</v>
      </c>
      <c r="BC79" s="517"/>
      <c r="BD79" s="517"/>
      <c r="BE79" s="517"/>
      <c r="BF79" s="517"/>
      <c r="BG79" s="517">
        <f>DPL!BB58</f>
        <v>-0.02</v>
      </c>
      <c r="BH79" s="517"/>
      <c r="BI79" s="517"/>
      <c r="BJ79" s="517"/>
      <c r="BK79" s="517"/>
      <c r="BL79" s="517">
        <f>DPL!BG58</f>
        <v>-0.03</v>
      </c>
      <c r="BM79" s="517"/>
      <c r="BN79" s="517"/>
      <c r="BO79" s="517"/>
      <c r="BP79" s="517"/>
      <c r="BQ79" s="517">
        <f>DPL!BL58</f>
        <v>-2.5000000000000001E-2</v>
      </c>
      <c r="BU79" s="34" t="s">
        <v>58</v>
      </c>
      <c r="BW79" s="521">
        <f ca="1">MAX(0,BW74+BW75-BW78)</f>
        <v>4858.8341555513707</v>
      </c>
      <c r="CH79">
        <f t="shared" si="19"/>
        <v>16</v>
      </c>
      <c r="CJ79" s="745">
        <f t="shared" si="20"/>
        <v>1.2520809750246422</v>
      </c>
      <c r="CK79" s="512">
        <f t="shared" si="21"/>
        <v>-0.10768215601988468</v>
      </c>
      <c r="CL79" s="512">
        <f t="shared" si="26"/>
        <v>-0.31628540526039089</v>
      </c>
      <c r="CM79" s="512">
        <f t="shared" si="34"/>
        <v>0.82811341374436664</v>
      </c>
      <c r="CN79" s="512">
        <f t="shared" si="16"/>
        <v>0.22359034052346785</v>
      </c>
      <c r="CP79" s="746">
        <v>4.4609999999999997E-2</v>
      </c>
      <c r="CQ79" s="512">
        <f t="shared" si="17"/>
        <v>0.2924461556669794</v>
      </c>
      <c r="CR79" s="512">
        <f t="shared" si="18"/>
        <v>1.4109491928666036E-2</v>
      </c>
      <c r="CS79" s="512">
        <f t="shared" si="35"/>
        <v>1.4109491928666036E-2</v>
      </c>
      <c r="CT79" s="512">
        <f t="shared" si="27"/>
        <v>1.4109491928666036E-2</v>
      </c>
      <c r="CU79" s="512">
        <f t="shared" si="27"/>
        <v>1.4109491928666036E-2</v>
      </c>
      <c r="CV79" s="512">
        <f t="shared" si="27"/>
        <v>1.4109491928666036E-2</v>
      </c>
      <c r="CW79" s="512">
        <f t="shared" si="27"/>
        <v>1.4112654782718642E-2</v>
      </c>
      <c r="CX79" s="512">
        <f t="shared" si="27"/>
        <v>1.4109491928666036E-2</v>
      </c>
      <c r="CY79" s="512">
        <f t="shared" si="27"/>
        <v>1.4112654782718642E-2</v>
      </c>
      <c r="CZ79" s="512">
        <f t="shared" si="27"/>
        <v>1.4302426025874877E-2</v>
      </c>
      <c r="DA79" s="512">
        <f t="shared" si="27"/>
        <v>1.5434727776707076E-2</v>
      </c>
      <c r="DB79" s="512">
        <f t="shared" si="27"/>
        <v>1.6715683668011658E-2</v>
      </c>
      <c r="DC79" s="512">
        <f t="shared" si="27"/>
        <v>1.8069385202526132E-2</v>
      </c>
      <c r="DD79" s="512">
        <f t="shared" si="27"/>
        <v>1.9536949482934347E-2</v>
      </c>
      <c r="DE79" s="512">
        <f t="shared" si="27"/>
        <v>2.11183765092363E-2</v>
      </c>
      <c r="DF79" s="512">
        <f t="shared" si="27"/>
        <v>2.2832643405747619E-2</v>
      </c>
      <c r="DG79" s="512">
        <f t="shared" si="27"/>
        <v>1.1860702697264658E-2</v>
      </c>
      <c r="DM79" s="745">
        <f t="shared" si="25"/>
        <v>0.54519931157271573</v>
      </c>
    </row>
    <row r="80" spans="3:117">
      <c r="X80" s="517"/>
      <c r="Y80" s="517"/>
      <c r="Z80" s="517"/>
      <c r="AA80" s="517"/>
      <c r="AB80" s="517"/>
      <c r="AC80" s="517"/>
      <c r="AD80" s="517"/>
      <c r="AE80" s="517"/>
      <c r="AF80" s="517"/>
      <c r="AG80" s="517"/>
      <c r="AH80" s="517"/>
      <c r="AI80" s="517"/>
      <c r="AJ80" s="517"/>
      <c r="AK80" s="517"/>
      <c r="AL80" s="517"/>
      <c r="AM80" s="517"/>
      <c r="AN80" s="517"/>
      <c r="AO80" s="517"/>
      <c r="AP80" s="517"/>
      <c r="AQ80" s="517"/>
      <c r="AR80" s="517"/>
      <c r="AS80" s="517"/>
      <c r="AT80" s="517"/>
      <c r="AU80" s="517"/>
      <c r="AV80" s="517"/>
      <c r="AW80" s="517"/>
      <c r="AX80" s="517"/>
      <c r="AY80" s="517"/>
      <c r="AZ80" s="517"/>
      <c r="BA80" s="517"/>
      <c r="BB80" s="517"/>
      <c r="BC80" s="517"/>
      <c r="BD80" s="517"/>
      <c r="BE80" s="517"/>
      <c r="BF80" s="517"/>
      <c r="BG80" s="517"/>
      <c r="BH80" s="517"/>
      <c r="BI80" s="517"/>
      <c r="BJ80" s="517"/>
      <c r="BK80" s="517"/>
      <c r="BL80" s="517"/>
      <c r="BM80" s="517"/>
      <c r="BN80" s="517"/>
      <c r="BO80" s="517"/>
      <c r="BP80" s="517"/>
      <c r="BQ80" s="517"/>
      <c r="CH80">
        <f t="shared" si="19"/>
        <v>17</v>
      </c>
      <c r="CJ80" s="745">
        <f t="shared" si="20"/>
        <v>1.2709873977475141</v>
      </c>
      <c r="CK80" s="512">
        <f t="shared" si="21"/>
        <v>-0.1086895114866679</v>
      </c>
      <c r="CL80" s="512">
        <f t="shared" si="26"/>
        <v>-0.31628540526039089</v>
      </c>
      <c r="CM80" s="512">
        <f t="shared" si="34"/>
        <v>0.84601248100045523</v>
      </c>
      <c r="CN80" s="512">
        <f t="shared" si="16"/>
        <v>0.21047484057492236</v>
      </c>
      <c r="CP80" s="746">
        <v>4.4609999999999997E-2</v>
      </c>
      <c r="CQ80" s="512">
        <f t="shared" si="17"/>
        <v>0.2924461556669794</v>
      </c>
      <c r="CR80" s="512">
        <f t="shared" si="18"/>
        <v>1.4109491928666036E-2</v>
      </c>
      <c r="CS80" s="512">
        <f t="shared" si="35"/>
        <v>1.4109491928666036E-2</v>
      </c>
      <c r="CT80" s="512">
        <f t="shared" si="27"/>
        <v>1.4109491928666036E-2</v>
      </c>
      <c r="CU80" s="512">
        <f t="shared" si="27"/>
        <v>1.4109491928666036E-2</v>
      </c>
      <c r="CV80" s="512">
        <f t="shared" si="27"/>
        <v>1.4109491928666036E-2</v>
      </c>
      <c r="CW80" s="512">
        <f t="shared" si="27"/>
        <v>1.4109491928666036E-2</v>
      </c>
      <c r="CX80" s="512">
        <f t="shared" si="27"/>
        <v>1.4112654782718642E-2</v>
      </c>
      <c r="CY80" s="512">
        <f t="shared" si="27"/>
        <v>1.4109491928666036E-2</v>
      </c>
      <c r="CZ80" s="512">
        <f t="shared" si="27"/>
        <v>1.4112654782718642E-2</v>
      </c>
      <c r="DA80" s="512">
        <f t="shared" si="27"/>
        <v>1.4302426025874877E-2</v>
      </c>
      <c r="DB80" s="512">
        <f t="shared" si="27"/>
        <v>1.5434727776707076E-2</v>
      </c>
      <c r="DC80" s="512">
        <f t="shared" si="27"/>
        <v>1.6715683668011658E-2</v>
      </c>
      <c r="DD80" s="512">
        <f t="shared" si="27"/>
        <v>1.8069385202526132E-2</v>
      </c>
      <c r="DE80" s="512">
        <f t="shared" si="27"/>
        <v>1.9536949482934347E-2</v>
      </c>
      <c r="DF80" s="512">
        <f t="shared" si="27"/>
        <v>2.11183765092363E-2</v>
      </c>
      <c r="DG80" s="512">
        <f t="shared" si="27"/>
        <v>2.2832643405747619E-2</v>
      </c>
      <c r="DH80" s="512">
        <f>DG79</f>
        <v>1.1860702697264658E-2</v>
      </c>
      <c r="DM80" s="745">
        <f t="shared" si="25"/>
        <v>0.5593088035013819</v>
      </c>
    </row>
    <row r="81" spans="3:117">
      <c r="C81" t="s">
        <v>747</v>
      </c>
      <c r="X81" s="517">
        <f>DPL!S65</f>
        <v>8.1744632009182278E-2</v>
      </c>
      <c r="Y81" s="517"/>
      <c r="Z81" s="517"/>
      <c r="AA81" s="517"/>
      <c r="AB81" s="517"/>
      <c r="AC81" s="517">
        <f>DPL!X65</f>
        <v>9.0975533714612825E-2</v>
      </c>
      <c r="AD81" s="517"/>
      <c r="AE81" s="517"/>
      <c r="AF81" s="517"/>
      <c r="AG81" s="517"/>
      <c r="AH81" s="517">
        <f>DPL!AC65</f>
        <v>9.8856496487742751E-2</v>
      </c>
      <c r="AI81" s="517"/>
      <c r="AJ81" s="517"/>
      <c r="AK81" s="517"/>
      <c r="AL81" s="517"/>
      <c r="AM81" s="517">
        <f>DPL!AH65</f>
        <v>6.7362449865939866E-2</v>
      </c>
      <c r="AN81" s="517"/>
      <c r="AO81" s="517"/>
      <c r="AP81" s="517"/>
      <c r="AQ81" s="517"/>
      <c r="AR81" s="517">
        <f>DPL!AM65</f>
        <v>-7.648281048834275E-3</v>
      </c>
      <c r="AS81" s="517"/>
      <c r="AT81" s="517"/>
      <c r="AU81" s="517"/>
      <c r="AV81" s="517"/>
      <c r="AW81" s="517">
        <f>DPL!AR65</f>
        <v>0.10176747393785457</v>
      </c>
      <c r="AX81" s="517"/>
      <c r="AY81" s="517"/>
      <c r="AZ81" s="517"/>
      <c r="BA81" s="517"/>
      <c r="BB81" s="517">
        <f ca="1">DPL!AW65</f>
        <v>9.6255366073392884E-2</v>
      </c>
      <c r="BC81" s="517"/>
      <c r="BD81" s="517"/>
      <c r="BE81" s="517"/>
      <c r="BF81" s="517"/>
      <c r="BG81" s="517">
        <f ca="1">DPL!BB65</f>
        <v>8.7720882657434621E-2</v>
      </c>
      <c r="BH81" s="517"/>
      <c r="BI81" s="517"/>
      <c r="BJ81" s="517"/>
      <c r="BK81" s="517"/>
      <c r="BL81" s="517">
        <f ca="1">DPL!BG65</f>
        <v>8.7651296595157566E-2</v>
      </c>
      <c r="BM81" s="517"/>
      <c r="BN81" s="517"/>
      <c r="BO81" s="517"/>
      <c r="BP81" s="517"/>
      <c r="BQ81" s="517">
        <f ca="1">DPL!BL65</f>
        <v>8.7712301695863595E-2</v>
      </c>
      <c r="BU81" s="34" t="s">
        <v>59</v>
      </c>
      <c r="BW81" s="516">
        <f ca="1">BW79/Financial!BG50</f>
        <v>5.0455183339058882</v>
      </c>
      <c r="CH81">
        <f>CH80+1</f>
        <v>18</v>
      </c>
      <c r="CJ81" s="745">
        <f t="shared" si="20"/>
        <v>1.2901793074535015</v>
      </c>
      <c r="CK81" s="512">
        <f t="shared" si="21"/>
        <v>-0.10975681921990538</v>
      </c>
      <c r="CL81" s="512">
        <f>CL80</f>
        <v>-0.31628540526039089</v>
      </c>
      <c r="CM81" s="512">
        <f t="shared" si="34"/>
        <v>0.86413708297320513</v>
      </c>
      <c r="CN81" s="512">
        <f t="shared" si="16"/>
        <v>0.19809169256949402</v>
      </c>
      <c r="CP81" s="746">
        <v>4.4609999999999997E-2</v>
      </c>
      <c r="CQ81" s="512">
        <f t="shared" si="17"/>
        <v>0.2924461556669794</v>
      </c>
      <c r="CR81" s="512">
        <f t="shared" si="18"/>
        <v>1.4109491928666036E-2</v>
      </c>
      <c r="CS81" s="512">
        <f t="shared" si="35"/>
        <v>1.4109491928666036E-2</v>
      </c>
      <c r="CT81" s="512">
        <f t="shared" ref="CT81:DG82" si="36">CS80</f>
        <v>1.4109491928666036E-2</v>
      </c>
      <c r="CU81" s="512">
        <f t="shared" si="36"/>
        <v>1.4109491928666036E-2</v>
      </c>
      <c r="CV81" s="512">
        <f t="shared" si="36"/>
        <v>1.4109491928666036E-2</v>
      </c>
      <c r="CW81" s="512">
        <f t="shared" si="36"/>
        <v>1.4109491928666036E-2</v>
      </c>
      <c r="CX81" s="512">
        <f t="shared" si="36"/>
        <v>1.4109491928666036E-2</v>
      </c>
      <c r="CY81" s="512">
        <f t="shared" si="36"/>
        <v>1.4112654782718642E-2</v>
      </c>
      <c r="CZ81" s="512">
        <f t="shared" si="36"/>
        <v>1.4109491928666036E-2</v>
      </c>
      <c r="DA81" s="512">
        <f t="shared" si="36"/>
        <v>1.4112654782718642E-2</v>
      </c>
      <c r="DB81" s="512">
        <f t="shared" si="36"/>
        <v>1.4302426025874877E-2</v>
      </c>
      <c r="DC81" s="512">
        <f t="shared" si="36"/>
        <v>1.5434727776707076E-2</v>
      </c>
      <c r="DD81" s="512">
        <f t="shared" si="36"/>
        <v>1.6715683668011658E-2</v>
      </c>
      <c r="DE81" s="512">
        <f t="shared" si="36"/>
        <v>1.8069385202526132E-2</v>
      </c>
      <c r="DF81" s="512">
        <f t="shared" si="36"/>
        <v>1.9536949482934347E-2</v>
      </c>
      <c r="DG81" s="512">
        <f t="shared" si="36"/>
        <v>2.11183765092363E-2</v>
      </c>
      <c r="DH81" s="512">
        <f>DG80</f>
        <v>2.2832643405747619E-2</v>
      </c>
      <c r="DI81" s="512">
        <f>DH80</f>
        <v>1.1860702697264658E-2</v>
      </c>
      <c r="DM81" s="745">
        <f t="shared" si="25"/>
        <v>0.57341829543004796</v>
      </c>
    </row>
    <row r="82" spans="3:117">
      <c r="C82" t="s">
        <v>38</v>
      </c>
      <c r="X82" s="517">
        <f>DPL!S291</f>
        <v>0.48307994114762137</v>
      </c>
      <c r="Y82" s="517"/>
      <c r="Z82" s="517"/>
      <c r="AA82" s="517"/>
      <c r="AB82" s="517"/>
      <c r="AC82" s="517">
        <f>DPL!X291</f>
        <v>0.4613345117101193</v>
      </c>
      <c r="AD82" s="517"/>
      <c r="AE82" s="517"/>
      <c r="AF82" s="517"/>
      <c r="AG82" s="517"/>
      <c r="AH82" s="517">
        <f>DPL!AC291</f>
        <v>0.4788617886178862</v>
      </c>
      <c r="AI82" s="517"/>
      <c r="AJ82" s="517"/>
      <c r="AK82" s="517"/>
      <c r="AL82" s="517"/>
      <c r="AM82" s="517">
        <f>DPL!AH291</f>
        <v>0.47430981595092025</v>
      </c>
      <c r="AN82" s="517"/>
      <c r="AO82" s="517"/>
      <c r="AP82" s="517"/>
      <c r="AQ82" s="517"/>
      <c r="AR82" s="517">
        <f>DPL!AM291</f>
        <v>0.49737434358589649</v>
      </c>
      <c r="AS82" s="517"/>
      <c r="AT82" s="517"/>
      <c r="AU82" s="517"/>
      <c r="AV82" s="517"/>
      <c r="AW82" s="517">
        <f>DPL!AR291</f>
        <v>0.4682567520168362</v>
      </c>
      <c r="AX82" s="517"/>
      <c r="AY82" s="517"/>
      <c r="AZ82" s="517"/>
      <c r="BA82" s="517"/>
      <c r="BB82" s="517">
        <f ca="1">DPL!AW291</f>
        <v>0.49096997678577592</v>
      </c>
      <c r="BC82" s="517"/>
      <c r="BD82" s="517"/>
      <c r="BE82" s="517"/>
      <c r="BF82" s="517"/>
      <c r="BG82" s="517">
        <f ca="1">DPL!BB291</f>
        <v>0.49057712050861996</v>
      </c>
      <c r="BH82" s="517"/>
      <c r="BI82" s="517"/>
      <c r="BJ82" s="517"/>
      <c r="BK82" s="517"/>
      <c r="BL82" s="517">
        <f ca="1">DPL!BG291</f>
        <v>0.49008078849226178</v>
      </c>
      <c r="BM82" s="517"/>
      <c r="BN82" s="517"/>
      <c r="BO82" s="517"/>
      <c r="BP82" s="517"/>
      <c r="BQ82" s="517">
        <f ca="1">DPL!BL291</f>
        <v>0.49018976102072997</v>
      </c>
      <c r="CH82">
        <f>CH81+1</f>
        <v>19</v>
      </c>
      <c r="CJ82" s="745">
        <f t="shared" si="20"/>
        <v>1.3096610149960493</v>
      </c>
      <c r="CK82" s="512">
        <f t="shared" si="21"/>
        <v>-0.11088498449882056</v>
      </c>
      <c r="CL82" s="512">
        <f>CL81</f>
        <v>-0.31628540526039089</v>
      </c>
      <c r="CM82" s="512">
        <f t="shared" si="34"/>
        <v>0.88249062523683786</v>
      </c>
      <c r="CN82" s="512">
        <f t="shared" si="16"/>
        <v>0.18640343960701466</v>
      </c>
      <c r="CP82" s="746">
        <v>4.4609999999999997E-2</v>
      </c>
      <c r="CQ82" s="512">
        <f t="shared" si="17"/>
        <v>0.2924461556669794</v>
      </c>
      <c r="CR82" s="512">
        <f t="shared" si="18"/>
        <v>1.4109491928666036E-2</v>
      </c>
      <c r="CS82" s="512">
        <f t="shared" si="35"/>
        <v>1.4109491928666036E-2</v>
      </c>
      <c r="CT82" s="512">
        <f t="shared" si="36"/>
        <v>1.4109491928666036E-2</v>
      </c>
      <c r="CU82" s="512">
        <f t="shared" si="36"/>
        <v>1.4109491928666036E-2</v>
      </c>
      <c r="CV82" s="512">
        <f t="shared" si="36"/>
        <v>1.4109491928666036E-2</v>
      </c>
      <c r="CW82" s="512">
        <f t="shared" si="36"/>
        <v>1.4109491928666036E-2</v>
      </c>
      <c r="CX82" s="512">
        <f t="shared" si="36"/>
        <v>1.4109491928666036E-2</v>
      </c>
      <c r="CY82" s="512">
        <f t="shared" si="36"/>
        <v>1.4109491928666036E-2</v>
      </c>
      <c r="CZ82" s="512">
        <f t="shared" si="36"/>
        <v>1.4112654782718642E-2</v>
      </c>
      <c r="DA82" s="512">
        <f t="shared" si="36"/>
        <v>1.4109491928666036E-2</v>
      </c>
      <c r="DB82" s="512">
        <f t="shared" si="36"/>
        <v>1.4112654782718642E-2</v>
      </c>
      <c r="DC82" s="512">
        <f t="shared" si="36"/>
        <v>1.4302426025874877E-2</v>
      </c>
      <c r="DD82" s="512">
        <f t="shared" si="36"/>
        <v>1.5434727776707076E-2</v>
      </c>
      <c r="DE82" s="512">
        <f t="shared" si="36"/>
        <v>1.6715683668011658E-2</v>
      </c>
      <c r="DF82" s="512">
        <f t="shared" si="36"/>
        <v>1.8069385202526132E-2</v>
      </c>
      <c r="DG82" s="512">
        <f t="shared" si="36"/>
        <v>1.9536949482934347E-2</v>
      </c>
      <c r="DH82" s="512">
        <f>DG81</f>
        <v>2.11183765092363E-2</v>
      </c>
      <c r="DI82" s="512">
        <f>DH81</f>
        <v>2.2832643405747619E-2</v>
      </c>
      <c r="DJ82" s="512">
        <f>DI81</f>
        <v>1.1860702697264658E-2</v>
      </c>
      <c r="DM82" s="745">
        <f t="shared" si="25"/>
        <v>0.58752778735871403</v>
      </c>
    </row>
    <row r="83" spans="3:117">
      <c r="X83" s="517"/>
      <c r="Y83" s="517"/>
      <c r="Z83" s="517"/>
      <c r="AA83" s="517"/>
      <c r="AB83" s="517"/>
      <c r="AC83" s="517"/>
      <c r="AD83" s="517"/>
      <c r="AE83" s="517"/>
      <c r="AF83" s="517"/>
      <c r="AG83" s="517"/>
      <c r="AH83" s="517"/>
      <c r="AI83" s="517"/>
      <c r="AJ83" s="517"/>
      <c r="AK83" s="517"/>
      <c r="AL83" s="517"/>
      <c r="AM83" s="517"/>
      <c r="AN83" s="517"/>
      <c r="AO83" s="517"/>
      <c r="AP83" s="517"/>
      <c r="AQ83" s="517"/>
      <c r="AR83" s="517"/>
      <c r="AS83" s="517"/>
      <c r="AT83" s="517"/>
      <c r="AU83" s="517"/>
      <c r="AV83" s="517"/>
      <c r="AW83" s="517"/>
      <c r="AX83" s="517"/>
      <c r="AY83" s="517"/>
      <c r="AZ83" s="517"/>
      <c r="BA83" s="517"/>
      <c r="BB83" s="517"/>
      <c r="BC83" s="517"/>
      <c r="BD83" s="517"/>
      <c r="BE83" s="517"/>
      <c r="BF83" s="517"/>
      <c r="BG83" s="517"/>
      <c r="BH83" s="517"/>
      <c r="BI83" s="517"/>
      <c r="BJ83" s="517"/>
      <c r="BK83" s="517"/>
      <c r="BL83" s="517"/>
      <c r="BM83" s="517"/>
      <c r="BN83" s="517"/>
      <c r="BO83" s="517"/>
      <c r="BP83" s="517"/>
      <c r="BQ83" s="517"/>
      <c r="BS83" s="232"/>
      <c r="BT83" s="231" t="s">
        <v>522</v>
      </c>
      <c r="BU83" s="231"/>
      <c r="BV83" s="14"/>
      <c r="BX83" s="697" t="s">
        <v>1343</v>
      </c>
      <c r="BY83" s="697" t="s">
        <v>1410</v>
      </c>
      <c r="BZ83" s="697" t="s">
        <v>1502</v>
      </c>
      <c r="CA83" s="697" t="s">
        <v>1539</v>
      </c>
      <c r="CB83" s="697" t="s">
        <v>935</v>
      </c>
      <c r="CC83" s="697" t="s">
        <v>1369</v>
      </c>
      <c r="CD83" s="697" t="s">
        <v>1370</v>
      </c>
      <c r="CE83" s="697" t="s">
        <v>1520</v>
      </c>
      <c r="CH83">
        <f t="shared" si="19"/>
        <v>20</v>
      </c>
      <c r="CJ83" s="745">
        <f t="shared" si="20"/>
        <v>1.3294368963224894</v>
      </c>
      <c r="CK83" s="512">
        <f t="shared" si="21"/>
        <v>-0.14425605377045686</v>
      </c>
      <c r="CL83" s="512">
        <f t="shared" si="26"/>
        <v>-0.31628540526039089</v>
      </c>
      <c r="CM83" s="512">
        <f t="shared" si="34"/>
        <v>0.86889543729164154</v>
      </c>
      <c r="CN83" s="512">
        <f t="shared" si="16"/>
        <v>0.16911087598490973</v>
      </c>
      <c r="CP83" s="746">
        <v>4.4609999999999997E-2</v>
      </c>
      <c r="CQ83" s="512">
        <f t="shared" si="17"/>
        <v>0.2924461556669794</v>
      </c>
      <c r="CR83" s="512">
        <f t="shared" si="18"/>
        <v>1.4109491928666036E-2</v>
      </c>
      <c r="CS83" s="512">
        <f t="shared" si="27"/>
        <v>1.4109491928666036E-2</v>
      </c>
      <c r="CT83" s="512">
        <f t="shared" si="27"/>
        <v>1.4109491928666036E-2</v>
      </c>
      <c r="CU83" s="512">
        <f t="shared" si="27"/>
        <v>1.4109491928666036E-2</v>
      </c>
      <c r="CV83" s="512">
        <f t="shared" si="27"/>
        <v>1.4109491928666036E-2</v>
      </c>
      <c r="CW83" s="512">
        <f t="shared" si="27"/>
        <v>1.4109491928666036E-2</v>
      </c>
      <c r="CX83" s="512">
        <f t="shared" si="27"/>
        <v>1.4109491928666036E-2</v>
      </c>
      <c r="CY83" s="512">
        <f t="shared" si="27"/>
        <v>1.4109491928666036E-2</v>
      </c>
      <c r="CZ83" s="512">
        <f t="shared" si="27"/>
        <v>1.4109491928666036E-2</v>
      </c>
      <c r="DA83" s="512">
        <f t="shared" si="27"/>
        <v>1.4112654782718642E-2</v>
      </c>
      <c r="DB83" s="512">
        <f t="shared" si="27"/>
        <v>1.4109491928666036E-2</v>
      </c>
      <c r="DC83" s="512">
        <f t="shared" si="27"/>
        <v>1.4112654782718642E-2</v>
      </c>
      <c r="DD83" s="512">
        <f t="shared" si="27"/>
        <v>1.4302426025874877E-2</v>
      </c>
      <c r="DE83" s="512">
        <f t="shared" si="27"/>
        <v>1.5434727776707076E-2</v>
      </c>
      <c r="DF83" s="512">
        <f t="shared" si="27"/>
        <v>1.6715683668011658E-2</v>
      </c>
      <c r="DG83" s="512">
        <f t="shared" si="27"/>
        <v>1.8069385202526132E-2</v>
      </c>
      <c r="DH83" s="512">
        <f>DG82</f>
        <v>1.9536949482934347E-2</v>
      </c>
      <c r="DI83" s="512">
        <f>DH82</f>
        <v>2.11183765092363E-2</v>
      </c>
      <c r="DJ83" s="512">
        <f>DI82</f>
        <v>2.2832643405747619E-2</v>
      </c>
      <c r="DK83" s="512">
        <f>DJ82</f>
        <v>1.1860702697264658E-2</v>
      </c>
      <c r="DM83" s="745">
        <f t="shared" si="25"/>
        <v>0.60163727928737998</v>
      </c>
    </row>
    <row r="84" spans="3:117">
      <c r="C84" t="s">
        <v>1313</v>
      </c>
      <c r="X84" s="517">
        <f>DPL!S64</f>
        <v>0.10154726890756302</v>
      </c>
      <c r="Y84" s="517"/>
      <c r="Z84" s="517"/>
      <c r="AA84" s="517"/>
      <c r="AB84" s="517"/>
      <c r="AC84" s="517">
        <f>DPL!X64</f>
        <v>0.10154726890756302</v>
      </c>
      <c r="AD84" s="517"/>
      <c r="AE84" s="517"/>
      <c r="AF84" s="517"/>
      <c r="AG84" s="517"/>
      <c r="AH84" s="517">
        <f>DPL!AC64</f>
        <v>0.10154726890756302</v>
      </c>
      <c r="AI84" s="517"/>
      <c r="AJ84" s="517"/>
      <c r="AK84" s="517"/>
      <c r="AL84" s="517"/>
      <c r="AM84" s="517">
        <f>DPL!AH64</f>
        <v>0.10154726890756302</v>
      </c>
      <c r="AN84" s="517"/>
      <c r="AO84" s="517"/>
      <c r="AP84" s="517"/>
      <c r="AQ84" s="517"/>
      <c r="AR84" s="517">
        <f>DPL!AM64</f>
        <v>0.10154726890756302</v>
      </c>
      <c r="AS84" s="517"/>
      <c r="AT84" s="517"/>
      <c r="AU84" s="517"/>
      <c r="AV84" s="517"/>
      <c r="AW84" s="517">
        <f>DPL!AR64</f>
        <v>0.1</v>
      </c>
      <c r="AX84" s="517"/>
      <c r="AY84" s="517"/>
      <c r="AZ84" s="517"/>
      <c r="BA84" s="517"/>
      <c r="BB84" s="517">
        <f>DPL!AW64</f>
        <v>0.1</v>
      </c>
      <c r="BC84" s="517"/>
      <c r="BD84" s="517"/>
      <c r="BE84" s="517"/>
      <c r="BF84" s="517"/>
      <c r="BG84" s="517">
        <f>DPL!BB64</f>
        <v>0.1</v>
      </c>
      <c r="BH84" s="517"/>
      <c r="BI84" s="517"/>
      <c r="BJ84" s="517"/>
      <c r="BK84" s="517"/>
      <c r="BL84" s="517">
        <f>DPL!BG64</f>
        <v>0.1</v>
      </c>
      <c r="BM84" s="517"/>
      <c r="BN84" s="517"/>
      <c r="BO84" s="517"/>
      <c r="BP84" s="517"/>
      <c r="BQ84" s="517">
        <f>DPL!BL64</f>
        <v>0.1</v>
      </c>
      <c r="BS84" s="232"/>
      <c r="BU84" s="31" t="s">
        <v>521</v>
      </c>
      <c r="BX84" s="535">
        <f t="shared" ref="BX84:CD84" si="37">+BX46</f>
        <v>2549</v>
      </c>
      <c r="BY84" s="535">
        <f t="shared" si="37"/>
        <v>3261</v>
      </c>
      <c r="BZ84" s="535">
        <f t="shared" si="37"/>
        <v>3091</v>
      </c>
      <c r="CA84" s="535">
        <f t="shared" si="37"/>
        <v>3293</v>
      </c>
      <c r="CB84" s="535">
        <f t="shared" si="37"/>
        <v>3226.9385380811545</v>
      </c>
      <c r="CC84" s="535">
        <f t="shared" si="37"/>
        <v>2906.4780020098833</v>
      </c>
      <c r="CD84" s="535">
        <f t="shared" si="37"/>
        <v>2633.4401569598072</v>
      </c>
      <c r="CE84" s="535">
        <f t="shared" ref="CE84" si="38">+CE46</f>
        <v>2687.4461668574731</v>
      </c>
      <c r="CH84">
        <f t="shared" si="19"/>
        <v>21</v>
      </c>
      <c r="CJ84" s="745">
        <f t="shared" si="20"/>
        <v>1.3495113934569589</v>
      </c>
      <c r="CK84" s="512">
        <f t="shared" si="21"/>
        <v>-0.24559739262596136</v>
      </c>
      <c r="CL84" s="512">
        <f t="shared" si="26"/>
        <v>-0.31628540526039089</v>
      </c>
      <c r="CM84" s="512">
        <f t="shared" si="34"/>
        <v>0.7876285955706066</v>
      </c>
      <c r="CN84" s="512">
        <f t="shared" si="16"/>
        <v>0.14124910309715338</v>
      </c>
      <c r="CP84" s="746">
        <v>2.231E-2</v>
      </c>
      <c r="CQ84" s="512">
        <f t="shared" si="17"/>
        <v>0.14625585592760168</v>
      </c>
      <c r="CR84" s="512">
        <f t="shared" si="18"/>
        <v>7.0563273913593211E-3</v>
      </c>
      <c r="CS84" s="512">
        <f>CR83</f>
        <v>1.4109491928666036E-2</v>
      </c>
      <c r="CT84" s="512">
        <f>CS83</f>
        <v>1.4109491928666036E-2</v>
      </c>
      <c r="CU84" s="512">
        <f t="shared" si="27"/>
        <v>1.4109491928666036E-2</v>
      </c>
      <c r="CV84" s="512">
        <f t="shared" si="27"/>
        <v>1.4109491928666036E-2</v>
      </c>
      <c r="CW84" s="512">
        <f t="shared" si="27"/>
        <v>1.4109491928666036E-2</v>
      </c>
      <c r="CX84" s="512">
        <f t="shared" si="27"/>
        <v>1.4109491928666036E-2</v>
      </c>
      <c r="CY84" s="512">
        <f t="shared" si="27"/>
        <v>1.4109491928666036E-2</v>
      </c>
      <c r="CZ84" s="512">
        <f t="shared" si="27"/>
        <v>1.4109491928666036E-2</v>
      </c>
      <c r="DA84" s="512">
        <f t="shared" si="27"/>
        <v>1.4109491928666036E-2</v>
      </c>
      <c r="DB84" s="512">
        <f t="shared" si="27"/>
        <v>1.4112654782718642E-2</v>
      </c>
      <c r="DC84" s="512">
        <f>DB83</f>
        <v>1.4109491928666036E-2</v>
      </c>
      <c r="DD84" s="512">
        <f>DC83</f>
        <v>1.4112654782718642E-2</v>
      </c>
      <c r="DE84" s="512">
        <f>DD83</f>
        <v>1.4302426025874877E-2</v>
      </c>
      <c r="DF84" s="512">
        <f>DE83</f>
        <v>1.5434727776707076E-2</v>
      </c>
      <c r="DG84" s="512">
        <f>DF83</f>
        <v>1.6715683668011658E-2</v>
      </c>
      <c r="DH84" s="512">
        <f>DG83</f>
        <v>1.8069385202526132E-2</v>
      </c>
      <c r="DI84" s="512">
        <f>DH83</f>
        <v>1.9536949482934347E-2</v>
      </c>
      <c r="DJ84" s="512">
        <f>DI83</f>
        <v>2.11183765092363E-2</v>
      </c>
      <c r="DK84" s="512">
        <f>DJ83</f>
        <v>2.2832643405747619E-2</v>
      </c>
      <c r="DL84" s="512">
        <f>DK83</f>
        <v>1.1860702697264658E-2</v>
      </c>
      <c r="DM84" s="745">
        <f>SUM(CQ84:DL84)</f>
        <v>0.46250330693936148</v>
      </c>
    </row>
    <row r="85" spans="3:117">
      <c r="C85" t="s">
        <v>597</v>
      </c>
      <c r="X85" s="517">
        <f>DPL!S290</f>
        <v>0.49</v>
      </c>
      <c r="Y85" s="517"/>
      <c r="Z85" s="517"/>
      <c r="AA85" s="517"/>
      <c r="AB85" s="517"/>
      <c r="AC85" s="517">
        <f>DPL!X290</f>
        <v>0.49</v>
      </c>
      <c r="AD85" s="517"/>
      <c r="AE85" s="517"/>
      <c r="AF85" s="517"/>
      <c r="AG85" s="517"/>
      <c r="AH85" s="517">
        <f>DPL!AC290</f>
        <v>0.49</v>
      </c>
      <c r="AI85" s="517"/>
      <c r="AJ85" s="517"/>
      <c r="AK85" s="517"/>
      <c r="AL85" s="517"/>
      <c r="AM85" s="517">
        <f>DPL!AH290</f>
        <v>0.49</v>
      </c>
      <c r="AN85" s="517"/>
      <c r="AO85" s="517"/>
      <c r="AP85" s="517"/>
      <c r="AQ85" s="517"/>
      <c r="AR85" s="517">
        <f>DPL!AM290</f>
        <v>0.49</v>
      </c>
      <c r="AS85" s="517"/>
      <c r="AT85" s="517"/>
      <c r="AU85" s="517"/>
      <c r="AV85" s="517"/>
      <c r="AW85" s="517">
        <f>DPL!AR290</f>
        <v>0.49</v>
      </c>
      <c r="AX85" s="517"/>
      <c r="AY85" s="517"/>
      <c r="AZ85" s="517"/>
      <c r="BA85" s="517"/>
      <c r="BB85" s="517">
        <f>DPL!AW290</f>
        <v>0.49</v>
      </c>
      <c r="BC85" s="517"/>
      <c r="BD85" s="517"/>
      <c r="BE85" s="517"/>
      <c r="BF85" s="517"/>
      <c r="BG85" s="517">
        <f>DPL!BB290</f>
        <v>0.49</v>
      </c>
      <c r="BH85" s="517"/>
      <c r="BI85" s="517"/>
      <c r="BJ85" s="517"/>
      <c r="BK85" s="517"/>
      <c r="BL85" s="517">
        <f>DPL!BG290</f>
        <v>0.49</v>
      </c>
      <c r="BM85" s="517"/>
      <c r="BN85" s="517"/>
      <c r="BO85" s="517"/>
      <c r="BP85" s="517"/>
      <c r="BQ85" s="517">
        <f>DPL!BL290</f>
        <v>0.49</v>
      </c>
      <c r="BS85" s="232"/>
      <c r="BU85" t="s">
        <v>1318</v>
      </c>
      <c r="BX85" s="732">
        <f>ExGen!AH226</f>
        <v>-973.49303711680807</v>
      </c>
      <c r="BY85" s="732">
        <f>ExGen!AM226</f>
        <v>1668.5718454456851</v>
      </c>
      <c r="BZ85" s="732">
        <f>ExGen!AR226</f>
        <v>2654.425040920321</v>
      </c>
      <c r="CA85" s="732">
        <f>ExGen!AW226</f>
        <v>1703.7658454956254</v>
      </c>
      <c r="CB85" s="732">
        <f>ExGen!BB226</f>
        <v>209.9970315086108</v>
      </c>
      <c r="CC85" s="732">
        <f>ExGen!BG226</f>
        <v>339.56376923765498</v>
      </c>
      <c r="CD85" s="732">
        <f>ExGen!BL226</f>
        <v>195.32035726915038</v>
      </c>
      <c r="CE85" s="732">
        <f>ExGen!BQ226</f>
        <v>0</v>
      </c>
      <c r="CH85">
        <f t="shared" si="19"/>
        <v>22</v>
      </c>
      <c r="CJ85" s="745">
        <f t="shared" si="20"/>
        <v>1.3698890154981589</v>
      </c>
      <c r="CK85" s="512">
        <f t="shared" si="21"/>
        <v>-0.24987669325461337</v>
      </c>
      <c r="CL85" s="512">
        <f t="shared" si="26"/>
        <v>-0.31628540526039089</v>
      </c>
      <c r="CM85" s="512">
        <f t="shared" si="34"/>
        <v>0.80372691698315468</v>
      </c>
      <c r="CN85" s="512">
        <f t="shared" si="16"/>
        <v>0.13281066091716945</v>
      </c>
      <c r="DJ85" s="512"/>
      <c r="DK85" s="512"/>
      <c r="DM85" s="745"/>
    </row>
    <row r="86" spans="3:117">
      <c r="BU86" s="34" t="s">
        <v>1319</v>
      </c>
      <c r="BV86" s="34"/>
      <c r="BX86" s="534">
        <f>+BX84-BX85</f>
        <v>3522.493037116808</v>
      </c>
      <c r="BY86" s="534">
        <f>+BY84-BY85</f>
        <v>1592.4281545543149</v>
      </c>
      <c r="BZ86" s="534">
        <f>+BZ84-BZ85</f>
        <v>436.57495907967905</v>
      </c>
      <c r="CA86" s="534">
        <f>+CA84-CA85</f>
        <v>1589.2341545043746</v>
      </c>
      <c r="CB86" s="534">
        <f>+CB84-CB85</f>
        <v>3016.9415065725439</v>
      </c>
      <c r="CC86" s="534">
        <f t="shared" ref="CC86:CD86" si="39">+CC84-CC85</f>
        <v>2566.9142327722284</v>
      </c>
      <c r="CD86" s="534">
        <f t="shared" si="39"/>
        <v>2438.1197996906567</v>
      </c>
      <c r="CE86" s="534">
        <f t="shared" ref="CE86" si="40">+CE84-CE85</f>
        <v>2687.4461668574731</v>
      </c>
      <c r="CH86">
        <f t="shared" si="19"/>
        <v>23</v>
      </c>
      <c r="CJ86" s="745">
        <f t="shared" si="20"/>
        <v>1.390574339632181</v>
      </c>
      <c r="CK86" s="512">
        <f t="shared" si="21"/>
        <v>-0.25422061132275803</v>
      </c>
      <c r="CL86" s="512">
        <f t="shared" si="26"/>
        <v>-0.31628540526039089</v>
      </c>
      <c r="CM86" s="512">
        <f t="shared" si="34"/>
        <v>0.82006832304903199</v>
      </c>
      <c r="CN86" s="512">
        <f t="shared" si="16"/>
        <v>0.12486325797300288</v>
      </c>
      <c r="DJ86" s="512"/>
      <c r="DK86" s="512"/>
      <c r="DL86" s="512"/>
      <c r="DM86" s="745"/>
    </row>
    <row r="87" spans="3:117">
      <c r="C87" s="34" t="s">
        <v>779</v>
      </c>
      <c r="BS87" s="34"/>
      <c r="BU87" t="s">
        <v>1320</v>
      </c>
      <c r="BX87" s="1955">
        <v>6.5</v>
      </c>
      <c r="BY87" s="1955">
        <v>6.5</v>
      </c>
      <c r="BZ87" s="1955">
        <v>6.5</v>
      </c>
      <c r="CA87" s="1955">
        <v>6.5</v>
      </c>
      <c r="CB87" s="1955">
        <v>6.5</v>
      </c>
      <c r="CC87" s="1955">
        <v>6.5</v>
      </c>
      <c r="CD87" s="1955">
        <v>6.5</v>
      </c>
      <c r="CE87" s="1955">
        <v>6.5</v>
      </c>
      <c r="CH87">
        <f t="shared" si="19"/>
        <v>24</v>
      </c>
      <c r="CJ87" s="745">
        <f t="shared" si="20"/>
        <v>1.4115720121606268</v>
      </c>
      <c r="CK87" s="512">
        <f t="shared" si="21"/>
        <v>-0.25863012255373163</v>
      </c>
      <c r="CL87" s="512">
        <f t="shared" si="26"/>
        <v>-0.31628540526039089</v>
      </c>
      <c r="CM87" s="512">
        <f t="shared" si="34"/>
        <v>0.83665648434650408</v>
      </c>
      <c r="CN87" s="512">
        <f t="shared" si="16"/>
        <v>0.11737943326411023</v>
      </c>
    </row>
    <row r="88" spans="3:117">
      <c r="C88" t="s">
        <v>1091</v>
      </c>
      <c r="X88" s="517">
        <f>ACE!S44</f>
        <v>-1.9415470412062374E-2</v>
      </c>
      <c r="Y88" s="517"/>
      <c r="Z88" s="517"/>
      <c r="AA88" s="517"/>
      <c r="AB88" s="517"/>
      <c r="AC88" s="517">
        <f>ACE!X44</f>
        <v>-2.7804107424960534E-2</v>
      </c>
      <c r="AD88" s="517"/>
      <c r="AE88" s="517"/>
      <c r="AF88" s="517"/>
      <c r="AG88" s="517"/>
      <c r="AH88" s="517">
        <f>ACE!AC44</f>
        <v>-1.9499512512187178E-2</v>
      </c>
      <c r="AI88" s="517"/>
      <c r="AJ88" s="517"/>
      <c r="AK88" s="517"/>
      <c r="AL88" s="517"/>
      <c r="AM88" s="517">
        <f>ACE!AH44</f>
        <v>2.1876035797149473E-2</v>
      </c>
      <c r="AN88" s="517"/>
      <c r="AO88" s="517"/>
      <c r="AP88" s="517"/>
      <c r="AQ88" s="517"/>
      <c r="AR88" s="517">
        <f>ACE!AM44</f>
        <v>-2.0542761379608643E-2</v>
      </c>
      <c r="AS88" s="517"/>
      <c r="AT88" s="517"/>
      <c r="AU88" s="517"/>
      <c r="AV88" s="517"/>
      <c r="AW88" s="517">
        <f>ACE!AR44</f>
        <v>-5.2323656032674637E-2</v>
      </c>
      <c r="AX88" s="517"/>
      <c r="AY88" s="517"/>
      <c r="AZ88" s="517"/>
      <c r="BA88" s="517"/>
      <c r="BB88" s="517">
        <f>ACE!AW44</f>
        <v>0</v>
      </c>
      <c r="BC88" s="517"/>
      <c r="BD88" s="517"/>
      <c r="BE88" s="517"/>
      <c r="BF88" s="517"/>
      <c r="BG88" s="517">
        <f>ACE!BB44</f>
        <v>0</v>
      </c>
      <c r="BH88" s="517"/>
      <c r="BI88" s="517"/>
      <c r="BJ88" s="517"/>
      <c r="BK88" s="517"/>
      <c r="BL88" s="517">
        <f>ACE!BG44</f>
        <v>0</v>
      </c>
      <c r="BM88" s="517"/>
      <c r="BN88" s="517"/>
      <c r="BO88" s="517"/>
      <c r="BP88" s="517"/>
      <c r="BQ88" s="517">
        <f>ACE!BL44</f>
        <v>0</v>
      </c>
      <c r="BU88" s="34" t="s">
        <v>1321</v>
      </c>
      <c r="BX88" s="521">
        <f>+BX86*BX87</f>
        <v>22896.204741259251</v>
      </c>
      <c r="BY88" s="521">
        <f>+BY86*BY87</f>
        <v>10350.783004603047</v>
      </c>
      <c r="BZ88" s="521">
        <f>+BZ86*BZ87</f>
        <v>2837.7372340179136</v>
      </c>
      <c r="CA88" s="521">
        <f>+CA86*CA87</f>
        <v>10330.022004278435</v>
      </c>
      <c r="CB88" s="521">
        <f>+CB86*CB87</f>
        <v>19610.119792721536</v>
      </c>
      <c r="CC88" s="521">
        <f t="shared" ref="CC88:CD88" si="41">+CC86*CC87</f>
        <v>16684.942513019483</v>
      </c>
      <c r="CD88" s="521">
        <f t="shared" si="41"/>
        <v>15847.778697989268</v>
      </c>
      <c r="CE88" s="521">
        <f t="shared" ref="CE88" si="42">+CE86*CE87</f>
        <v>17468.400084573575</v>
      </c>
      <c r="CH88">
        <f t="shared" si="19"/>
        <v>25</v>
      </c>
      <c r="CJ88" s="745">
        <f t="shared" si="20"/>
        <v>1.4328867495442521</v>
      </c>
      <c r="CK88" s="512">
        <f t="shared" si="21"/>
        <v>-0.26310621740429296</v>
      </c>
      <c r="CL88" s="512">
        <f t="shared" si="26"/>
        <v>-0.31628540526039089</v>
      </c>
      <c r="CM88" s="512">
        <f t="shared" si="34"/>
        <v>0.85349512687956808</v>
      </c>
      <c r="CN88" s="512">
        <f t="shared" si="16"/>
        <v>0.1103331643536493</v>
      </c>
    </row>
    <row r="89" spans="3:117">
      <c r="C89" t="s">
        <v>410</v>
      </c>
      <c r="X89" s="517">
        <f>ACE!S50</f>
        <v>5.7522123893805288E-2</v>
      </c>
      <c r="Y89" s="517"/>
      <c r="Z89" s="517"/>
      <c r="AA89" s="517"/>
      <c r="AB89" s="517"/>
      <c r="AC89" s="517">
        <f>ACE!X50</f>
        <v>-3.7656903765690419E-2</v>
      </c>
      <c r="AD89" s="517"/>
      <c r="AE89" s="517"/>
      <c r="AF89" s="517"/>
      <c r="AG89" s="517"/>
      <c r="AH89" s="517">
        <f>ACE!AC50</f>
        <v>6.956521739130439E-2</v>
      </c>
      <c r="AI89" s="517"/>
      <c r="AJ89" s="517"/>
      <c r="AK89" s="517"/>
      <c r="AL89" s="517"/>
      <c r="AM89" s="517">
        <f>ACE!AH50</f>
        <v>0.10569105691056913</v>
      </c>
      <c r="AN89" s="517"/>
      <c r="AO89" s="517"/>
      <c r="AP89" s="517"/>
      <c r="AQ89" s="517"/>
      <c r="AR89" s="517">
        <f>ACE!AM50</f>
        <v>0.57352941176470584</v>
      </c>
      <c r="AS89" s="517"/>
      <c r="AT89" s="517"/>
      <c r="AU89" s="517"/>
      <c r="AV89" s="517"/>
      <c r="AW89" s="517">
        <f>ACE!AR50</f>
        <v>-0.28271028037383172</v>
      </c>
      <c r="AX89" s="517"/>
      <c r="AY89" s="517"/>
      <c r="AZ89" s="517"/>
      <c r="BA89" s="517"/>
      <c r="BB89" s="517">
        <f>ACE!AW50</f>
        <v>-0.05</v>
      </c>
      <c r="BC89" s="517"/>
      <c r="BD89" s="517"/>
      <c r="BE89" s="517"/>
      <c r="BF89" s="517"/>
      <c r="BG89" s="517">
        <f>ACE!BB50</f>
        <v>-0.01</v>
      </c>
      <c r="BH89" s="517"/>
      <c r="BI89" s="517"/>
      <c r="BJ89" s="517"/>
      <c r="BK89" s="517"/>
      <c r="BL89" s="517">
        <f>ACE!BG50</f>
        <v>-3.5000000000000003E-2</v>
      </c>
      <c r="BM89" s="517"/>
      <c r="BN89" s="517"/>
      <c r="BO89" s="517"/>
      <c r="BP89" s="517"/>
      <c r="BQ89" s="517">
        <f>ACE!BL50</f>
        <v>-0.06</v>
      </c>
      <c r="BU89" s="232" t="s">
        <v>1322</v>
      </c>
      <c r="BX89" s="506">
        <f>SUM(BX85:$BY85)*0.9</f>
        <v>625.57092749598928</v>
      </c>
      <c r="BY89" s="506">
        <f>SUM(BY85:$CA85)*0.9</f>
        <v>5424.0864586754687</v>
      </c>
      <c r="BZ89" s="506">
        <f>SUM(BZ85:$CA85)*0.9</f>
        <v>3922.3717977743522</v>
      </c>
      <c r="CA89" s="506">
        <f>SUM(CA85:$CA85)*0.9</f>
        <v>1533.3892609460629</v>
      </c>
      <c r="CB89" s="1023">
        <v>0</v>
      </c>
      <c r="CC89" s="1023">
        <v>0</v>
      </c>
      <c r="CD89" s="1023">
        <v>0</v>
      </c>
      <c r="CE89" s="1023">
        <v>0</v>
      </c>
      <c r="CH89">
        <f t="shared" si="19"/>
        <v>26</v>
      </c>
      <c r="CJ89" s="745">
        <f t="shared" si="20"/>
        <v>1.4545233394623702</v>
      </c>
      <c r="CK89" s="512">
        <f t="shared" si="21"/>
        <v>-0.26764990128709776</v>
      </c>
      <c r="CL89" s="512">
        <f t="shared" si="26"/>
        <v>-0.31628540526039089</v>
      </c>
      <c r="CM89" s="512">
        <f t="shared" si="34"/>
        <v>0.8705880329148814</v>
      </c>
      <c r="CN89" s="512">
        <f t="shared" si="16"/>
        <v>0.10369980083639209</v>
      </c>
    </row>
    <row r="90" spans="3:117">
      <c r="X90" s="517"/>
      <c r="Y90" s="517"/>
      <c r="Z90" s="517"/>
      <c r="AA90" s="517"/>
      <c r="AB90" s="517"/>
      <c r="AC90" s="517"/>
      <c r="AD90" s="517"/>
      <c r="AE90" s="517"/>
      <c r="AF90" s="517"/>
      <c r="AG90" s="517"/>
      <c r="AH90" s="517"/>
      <c r="AI90" s="517"/>
      <c r="AJ90" s="517"/>
      <c r="AK90" s="517"/>
      <c r="AL90" s="517"/>
      <c r="AM90" s="517"/>
      <c r="AN90" s="517"/>
      <c r="AO90" s="517"/>
      <c r="AP90" s="517"/>
      <c r="AQ90" s="517"/>
      <c r="AR90" s="517"/>
      <c r="AS90" s="517"/>
      <c r="AT90" s="517"/>
      <c r="AU90" s="517"/>
      <c r="AV90" s="517"/>
      <c r="AW90" s="517"/>
      <c r="AX90" s="517"/>
      <c r="AY90" s="517"/>
      <c r="AZ90" s="517"/>
      <c r="BA90" s="517"/>
      <c r="BB90" s="517"/>
      <c r="BC90" s="517"/>
      <c r="BD90" s="517"/>
      <c r="BE90" s="517"/>
      <c r="BF90" s="517"/>
      <c r="BG90" s="517"/>
      <c r="BH90" s="517"/>
      <c r="BI90" s="517"/>
      <c r="BJ90" s="517"/>
      <c r="BK90" s="517"/>
      <c r="BL90" s="517"/>
      <c r="BM90" s="517"/>
      <c r="BN90" s="517"/>
      <c r="BO90" s="517"/>
      <c r="BP90" s="517"/>
      <c r="BQ90" s="517"/>
      <c r="BU90" s="232" t="s">
        <v>840</v>
      </c>
      <c r="BX90" s="961">
        <v>0</v>
      </c>
      <c r="BY90" s="961">
        <v>0</v>
      </c>
      <c r="BZ90" s="961">
        <v>0</v>
      </c>
      <c r="CA90" s="961">
        <v>0</v>
      </c>
      <c r="CB90" s="961">
        <v>0</v>
      </c>
      <c r="CC90" s="961">
        <v>0</v>
      </c>
      <c r="CD90" s="961">
        <v>0</v>
      </c>
      <c r="CE90" s="961">
        <v>0</v>
      </c>
      <c r="CH90">
        <f t="shared" si="19"/>
        <v>27</v>
      </c>
      <c r="CJ90" s="745">
        <f t="shared" si="20"/>
        <v>1.4764866418882518</v>
      </c>
      <c r="CK90" s="512">
        <f t="shared" si="21"/>
        <v>-0.27226219479653291</v>
      </c>
      <c r="CL90" s="512">
        <f t="shared" si="26"/>
        <v>-0.31628540526039089</v>
      </c>
      <c r="CM90" s="512">
        <f t="shared" si="34"/>
        <v>0.88793904183132799</v>
      </c>
      <c r="CN90" s="512">
        <f t="shared" si="16"/>
        <v>9.7456000027472248E-2</v>
      </c>
    </row>
    <row r="91" spans="3:117">
      <c r="C91" t="s">
        <v>747</v>
      </c>
      <c r="X91" s="517">
        <f>ACE!S262</f>
        <v>4.9711186881217784E-2</v>
      </c>
      <c r="Y91" s="517"/>
      <c r="Z91" s="517"/>
      <c r="AA91" s="517"/>
      <c r="AB91" s="517"/>
      <c r="AC91" s="517">
        <f>ACE!X262</f>
        <v>6.5752001532021639E-2</v>
      </c>
      <c r="AD91" s="517"/>
      <c r="AE91" s="517"/>
      <c r="AF91" s="517"/>
      <c r="AG91" s="517"/>
      <c r="AH91" s="517">
        <f>ACE!AC262</f>
        <v>5.5966712243262419E-2</v>
      </c>
      <c r="AI91" s="517"/>
      <c r="AJ91" s="517"/>
      <c r="AK91" s="517"/>
      <c r="AL91" s="517"/>
      <c r="AM91" s="517">
        <f>ACE!AH262</f>
        <v>4.4540003589572656E-2</v>
      </c>
      <c r="AN91" s="517"/>
      <c r="AO91" s="517"/>
      <c r="AP91" s="517"/>
      <c r="AQ91" s="517"/>
      <c r="AR91" s="517">
        <f>ACE!AM262</f>
        <v>-4.6230846244627651E-2</v>
      </c>
      <c r="AS91" s="517"/>
      <c r="AT91" s="517"/>
      <c r="AU91" s="517"/>
      <c r="AV91" s="517"/>
      <c r="AW91" s="517">
        <f>ACE!AR262</f>
        <v>8.0389881780983677E-2</v>
      </c>
      <c r="AX91" s="517"/>
      <c r="AY91" s="517"/>
      <c r="AZ91" s="517"/>
      <c r="BA91" s="517"/>
      <c r="BB91" s="517">
        <f ca="1">ACE!AW262</f>
        <v>8.8871538901874783E-2</v>
      </c>
      <c r="BC91" s="517"/>
      <c r="BD91" s="517"/>
      <c r="BE91" s="517"/>
      <c r="BF91" s="517"/>
      <c r="BG91" s="517">
        <f ca="1">ACE!BB262</f>
        <v>9.0644750484050379E-2</v>
      </c>
      <c r="BH91" s="517"/>
      <c r="BI91" s="517"/>
      <c r="BJ91" s="517"/>
      <c r="BK91" s="517"/>
      <c r="BL91" s="517">
        <f ca="1">ACE!BG262</f>
        <v>9.6765181079636664E-2</v>
      </c>
      <c r="BM91" s="517"/>
      <c r="BN91" s="517"/>
      <c r="BO91" s="517"/>
      <c r="BP91" s="517"/>
      <c r="BQ91" s="517">
        <f ca="1">ACE!BL262</f>
        <v>9.7992553719440725E-2</v>
      </c>
      <c r="BU91" s="34" t="s">
        <v>1323</v>
      </c>
      <c r="BX91" s="534">
        <f>+BX89+BX88+BX90</f>
        <v>23521.775668755239</v>
      </c>
      <c r="BY91" s="534">
        <f>+BY89+BY88+BY90</f>
        <v>15774.869463278515</v>
      </c>
      <c r="BZ91" s="534">
        <f>+BZ89+BZ88+BZ90</f>
        <v>6760.1090317922663</v>
      </c>
      <c r="CA91" s="534">
        <f>+CA89+CA88+CA90</f>
        <v>11863.411265224498</v>
      </c>
      <c r="CB91" s="534">
        <f>+CB89+CB88+CB90</f>
        <v>19610.119792721536</v>
      </c>
      <c r="CC91" s="534">
        <f t="shared" ref="CC91:CD91" si="43">+CC89+CC88+CC90</f>
        <v>16684.942513019483</v>
      </c>
      <c r="CD91" s="534">
        <f t="shared" si="43"/>
        <v>15847.778697989268</v>
      </c>
      <c r="CE91" s="534">
        <f t="shared" ref="CE91" si="44">+CE89+CE88+CE90</f>
        <v>17468.400084573575</v>
      </c>
      <c r="CH91">
        <f t="shared" si="19"/>
        <v>28</v>
      </c>
      <c r="CJ91" s="745">
        <f t="shared" si="20"/>
        <v>1.4987815901807644</v>
      </c>
      <c r="CK91" s="512">
        <f t="shared" si="21"/>
        <v>-0.27694413393796052</v>
      </c>
      <c r="CL91" s="512">
        <f t="shared" si="26"/>
        <v>-0.31628540526039089</v>
      </c>
      <c r="CM91" s="512">
        <f t="shared" si="34"/>
        <v>0.90555205098241287</v>
      </c>
      <c r="CN91" s="512">
        <f t="shared" si="16"/>
        <v>9.1579664891895854E-2</v>
      </c>
    </row>
    <row r="92" spans="3:117">
      <c r="C92" t="s">
        <v>38</v>
      </c>
      <c r="X92" s="517">
        <f>ACE!S258</f>
        <v>0.41447028423772608</v>
      </c>
      <c r="Y92" s="517"/>
      <c r="Z92" s="517"/>
      <c r="AA92" s="517"/>
      <c r="AB92" s="517"/>
      <c r="AC92" s="517">
        <f>ACE!X258</f>
        <v>0.43436873747494992</v>
      </c>
      <c r="AD92" s="517"/>
      <c r="AE92" s="517"/>
      <c r="AF92" s="517"/>
      <c r="AG92" s="517"/>
      <c r="AH92" s="517">
        <f>ACE!AC258</f>
        <v>0.44145490782262081</v>
      </c>
      <c r="AI92" s="517"/>
      <c r="AJ92" s="517"/>
      <c r="AK92" s="517"/>
      <c r="AL92" s="517"/>
      <c r="AM92" s="517">
        <f>ACE!AH258</f>
        <v>0.48181818181818181</v>
      </c>
      <c r="AN92" s="517"/>
      <c r="AO92" s="517"/>
      <c r="AP92" s="517"/>
      <c r="AQ92" s="517"/>
      <c r="AR92" s="517">
        <f>ACE!AM258</f>
        <v>0.50072639225181603</v>
      </c>
      <c r="AS92" s="517"/>
      <c r="AT92" s="517"/>
      <c r="AU92" s="517"/>
      <c r="AV92" s="517"/>
      <c r="AW92" s="517">
        <f>ACE!AR258</f>
        <v>0.47800183318056827</v>
      </c>
      <c r="AX92" s="517"/>
      <c r="AY92" s="517"/>
      <c r="AZ92" s="517"/>
      <c r="BA92" s="517"/>
      <c r="BB92" s="517">
        <f ca="1">ACE!AW258</f>
        <v>0.49473675878170259</v>
      </c>
      <c r="BC92" s="517"/>
      <c r="BD92" s="517"/>
      <c r="BE92" s="517"/>
      <c r="BF92" s="517"/>
      <c r="BG92" s="517">
        <f ca="1">ACE!BB258</f>
        <v>0.49500962941673227</v>
      </c>
      <c r="BH92" s="517"/>
      <c r="BI92" s="517"/>
      <c r="BJ92" s="517"/>
      <c r="BK92" s="517"/>
      <c r="BL92" s="517">
        <f ca="1">ACE!BG258</f>
        <v>0.49438188999123006</v>
      </c>
      <c r="BM92" s="517"/>
      <c r="BN92" s="517"/>
      <c r="BO92" s="517"/>
      <c r="BP92" s="517"/>
      <c r="BQ92" s="517">
        <f ca="1">ACE!BL258</f>
        <v>0.49594026681575382</v>
      </c>
      <c r="BU92" s="232" t="s">
        <v>684</v>
      </c>
      <c r="BX92" s="754">
        <f>EXC!AH133</f>
        <v>8302</v>
      </c>
      <c r="BY92" s="754">
        <f>EXC!AM133</f>
        <v>10240</v>
      </c>
      <c r="BZ92" s="754">
        <f>EXC!AR133</f>
        <v>9995</v>
      </c>
      <c r="CA92" s="754">
        <f>EXC!AW133</f>
        <v>9046</v>
      </c>
      <c r="CB92" s="754">
        <f ca="1">EXC!BB133</f>
        <v>8849</v>
      </c>
      <c r="CC92" s="754">
        <f ca="1">EXC!BG133</f>
        <v>8245</v>
      </c>
      <c r="CD92" s="754">
        <f ca="1">EXC!BL133</f>
        <v>6587.2876432205048</v>
      </c>
      <c r="CE92" s="754">
        <f ca="1">EXC!BQ133</f>
        <v>5872.6986390871571</v>
      </c>
      <c r="CH92">
        <f t="shared" si="19"/>
        <v>29</v>
      </c>
      <c r="CJ92" s="745">
        <f t="shared" si="20"/>
        <v>1.5214131921924938</v>
      </c>
      <c r="CK92" s="512">
        <f t="shared" si="21"/>
        <v>-0.28169677036042373</v>
      </c>
      <c r="CL92" s="512">
        <f t="shared" si="26"/>
        <v>-0.31628540526039089</v>
      </c>
      <c r="CM92" s="512">
        <f t="shared" si="34"/>
        <v>0.92343101657167925</v>
      </c>
      <c r="CN92" s="512">
        <f t="shared" si="16"/>
        <v>8.6049884220604556E-2</v>
      </c>
    </row>
    <row r="93" spans="3:117">
      <c r="X93" s="517"/>
      <c r="Y93" s="517"/>
      <c r="Z93" s="517"/>
      <c r="AA93" s="517"/>
      <c r="AB93" s="517"/>
      <c r="AC93" s="517"/>
      <c r="AD93" s="517"/>
      <c r="AE93" s="517"/>
      <c r="AF93" s="517"/>
      <c r="AG93" s="517"/>
      <c r="AH93" s="517"/>
      <c r="AI93" s="517"/>
      <c r="AJ93" s="517"/>
      <c r="AK93" s="517"/>
      <c r="AL93" s="517"/>
      <c r="AM93" s="517"/>
      <c r="AN93" s="517"/>
      <c r="AO93" s="517"/>
      <c r="AP93" s="517"/>
      <c r="AQ93" s="517"/>
      <c r="AR93" s="517"/>
      <c r="AS93" s="517"/>
      <c r="AT93" s="517"/>
      <c r="AU93" s="517"/>
      <c r="AV93" s="517"/>
      <c r="AW93" s="517"/>
      <c r="AX93" s="517"/>
      <c r="AY93" s="517"/>
      <c r="AZ93" s="517"/>
      <c r="BA93" s="517"/>
      <c r="BB93" s="517"/>
      <c r="BC93" s="517"/>
      <c r="BD93" s="517"/>
      <c r="BE93" s="517"/>
      <c r="BF93" s="517"/>
      <c r="BG93" s="517"/>
      <c r="BH93" s="517"/>
      <c r="BI93" s="517"/>
      <c r="BJ93" s="517"/>
      <c r="BK93" s="517"/>
      <c r="BL93" s="517"/>
      <c r="BM93" s="517"/>
      <c r="BN93" s="517"/>
      <c r="BO93" s="517"/>
      <c r="BP93" s="517"/>
      <c r="BQ93" s="517"/>
      <c r="BU93" s="34" t="s">
        <v>58</v>
      </c>
      <c r="BX93" s="534">
        <f t="shared" ref="BX93:CD93" si="45">+BX91-BX92</f>
        <v>15219.775668755239</v>
      </c>
      <c r="BY93" s="534">
        <f t="shared" si="45"/>
        <v>5534.8694632785155</v>
      </c>
      <c r="BZ93" s="534">
        <f t="shared" si="45"/>
        <v>-3234.8909682077337</v>
      </c>
      <c r="CA93" s="534">
        <f t="shared" si="45"/>
        <v>2817.4112652244985</v>
      </c>
      <c r="CB93" s="534">
        <f t="shared" ca="1" si="45"/>
        <v>10761.119792721536</v>
      </c>
      <c r="CC93" s="534">
        <f t="shared" ca="1" si="45"/>
        <v>8439.9425130194832</v>
      </c>
      <c r="CD93" s="534">
        <f t="shared" ca="1" si="45"/>
        <v>9260.4910547687632</v>
      </c>
      <c r="CE93" s="534">
        <f t="shared" ref="CE93" ca="1" si="46">+CE91-CE92</f>
        <v>11595.701445486418</v>
      </c>
      <c r="CH93">
        <f t="shared" si="19"/>
        <v>30</v>
      </c>
      <c r="CJ93" s="745">
        <f t="shared" si="20"/>
        <v>1.5443865313946004</v>
      </c>
      <c r="CK93" s="512">
        <f t="shared" si="21"/>
        <v>-0.28652117159286605</v>
      </c>
      <c r="CL93" s="512">
        <f t="shared" si="26"/>
        <v>-0.31628540526039089</v>
      </c>
      <c r="CM93" s="512">
        <f t="shared" si="34"/>
        <v>0.94157995454134347</v>
      </c>
      <c r="CN93" s="512">
        <f t="shared" si="16"/>
        <v>8.0846875046667543E-2</v>
      </c>
    </row>
    <row r="94" spans="3:117">
      <c r="C94" t="s">
        <v>1313</v>
      </c>
      <c r="X94" s="517">
        <f>ACE!S261</f>
        <v>0.10167348329925018</v>
      </c>
      <c r="Y94" s="517"/>
      <c r="Z94" s="517"/>
      <c r="AA94" s="517"/>
      <c r="AB94" s="517"/>
      <c r="AC94" s="517">
        <f>ACE!X261</f>
        <v>0.10167348329925018</v>
      </c>
      <c r="AD94" s="517"/>
      <c r="AE94" s="517"/>
      <c r="AF94" s="517"/>
      <c r="AG94" s="517"/>
      <c r="AH94" s="517">
        <f>ACE!AC261</f>
        <v>0.10167348329925018</v>
      </c>
      <c r="AI94" s="517"/>
      <c r="AJ94" s="517"/>
      <c r="AK94" s="517"/>
      <c r="AL94" s="517"/>
      <c r="AM94" s="517">
        <f>ACE!AH261</f>
        <v>0.10167348329925018</v>
      </c>
      <c r="AN94" s="517"/>
      <c r="AO94" s="517"/>
      <c r="AP94" s="517"/>
      <c r="AQ94" s="517"/>
      <c r="AR94" s="517">
        <f>ACE!AM261</f>
        <v>0.10026315789473683</v>
      </c>
      <c r="AS94" s="517"/>
      <c r="AT94" s="517"/>
      <c r="AU94" s="517"/>
      <c r="AV94" s="517"/>
      <c r="AW94" s="517">
        <f>ACE!AR261</f>
        <v>9.5166899931428572E-2</v>
      </c>
      <c r="AX94" s="517"/>
      <c r="AY94" s="517"/>
      <c r="AZ94" s="517"/>
      <c r="BA94" s="517"/>
      <c r="BB94" s="517">
        <f>ACE!AW261</f>
        <v>9.5166899931428572E-2</v>
      </c>
      <c r="BC94" s="517"/>
      <c r="BD94" s="517"/>
      <c r="BE94" s="517"/>
      <c r="BF94" s="517"/>
      <c r="BG94" s="517">
        <f>ACE!BB261</f>
        <v>9.5166899931428572E-2</v>
      </c>
      <c r="BH94" s="517"/>
      <c r="BI94" s="517"/>
      <c r="BJ94" s="517"/>
      <c r="BK94" s="517"/>
      <c r="BL94" s="517">
        <f>ACE!BG261</f>
        <v>9.5166899931428572E-2</v>
      </c>
      <c r="BM94" s="517"/>
      <c r="BN94" s="517"/>
      <c r="BO94" s="517"/>
      <c r="BP94" s="517"/>
      <c r="BQ94" s="517">
        <f>ACE!BL261</f>
        <v>9.5166899931428572E-2</v>
      </c>
      <c r="BU94" s="232" t="s">
        <v>31</v>
      </c>
      <c r="BW94" s="232"/>
      <c r="BX94" s="527">
        <f>+AH113</f>
        <v>864</v>
      </c>
      <c r="BY94" s="527">
        <f>+AM113</f>
        <v>893</v>
      </c>
      <c r="BZ94" s="527">
        <f>EXC!AR50</f>
        <v>927</v>
      </c>
      <c r="CA94" s="527">
        <f>EXC!AW50</f>
        <v>949</v>
      </c>
      <c r="CB94" s="527">
        <f>EXC!BB50</f>
        <v>966</v>
      </c>
      <c r="CC94" s="527">
        <f>EXC!BG50</f>
        <v>966</v>
      </c>
      <c r="CD94" s="527">
        <f>EXC!BL50</f>
        <v>966</v>
      </c>
      <c r="CE94" s="527">
        <f>EXC!BQ50</f>
        <v>966</v>
      </c>
      <c r="CN94" s="1091">
        <f>SUM(CN64:CN93)</f>
        <v>7.7278317131852239</v>
      </c>
    </row>
    <row r="95" spans="3:117">
      <c r="C95" t="s">
        <v>597</v>
      </c>
      <c r="X95" s="517">
        <f>ACE!S257</f>
        <v>0.5</v>
      </c>
      <c r="Y95" s="517"/>
      <c r="Z95" s="517"/>
      <c r="AA95" s="517"/>
      <c r="AB95" s="517"/>
      <c r="AC95" s="517">
        <f>ACE!X257</f>
        <v>0.5</v>
      </c>
      <c r="AD95" s="517"/>
      <c r="AE95" s="517"/>
      <c r="AF95" s="517"/>
      <c r="AG95" s="517"/>
      <c r="AH95" s="517">
        <f>ACE!AC257</f>
        <v>0.5</v>
      </c>
      <c r="AI95" s="517"/>
      <c r="AJ95" s="517"/>
      <c r="AK95" s="517"/>
      <c r="AL95" s="517"/>
      <c r="AM95" s="517">
        <f>ACE!AH257</f>
        <v>0.5</v>
      </c>
      <c r="AN95" s="517"/>
      <c r="AO95" s="517"/>
      <c r="AP95" s="517"/>
      <c r="AQ95" s="517"/>
      <c r="AR95" s="517">
        <f>ACE!AM257</f>
        <v>0.49480000000000002</v>
      </c>
      <c r="AS95" s="517"/>
      <c r="AT95" s="517"/>
      <c r="AU95" s="517"/>
      <c r="AV95" s="517"/>
      <c r="AW95" s="517">
        <f>ACE!AR257</f>
        <v>0.49480000000000002</v>
      </c>
      <c r="AX95" s="517"/>
      <c r="AY95" s="517"/>
      <c r="AZ95" s="517"/>
      <c r="BA95" s="517"/>
      <c r="BB95" s="517">
        <f>ACE!AW257</f>
        <v>0.49480000000000002</v>
      </c>
      <c r="BC95" s="517"/>
      <c r="BD95" s="517"/>
      <c r="BE95" s="517"/>
      <c r="BF95" s="517"/>
      <c r="BG95" s="517">
        <f>ACE!BB257</f>
        <v>0.49480000000000002</v>
      </c>
      <c r="BH95" s="517"/>
      <c r="BI95" s="517"/>
      <c r="BJ95" s="517"/>
      <c r="BK95" s="517"/>
      <c r="BL95" s="517">
        <f>ACE!BG257</f>
        <v>0.49480000000000002</v>
      </c>
      <c r="BM95" s="517"/>
      <c r="BN95" s="517"/>
      <c r="BO95" s="517"/>
      <c r="BP95" s="517"/>
      <c r="BQ95" s="517">
        <f>ACE!BL257</f>
        <v>0.49480000000000002</v>
      </c>
      <c r="BU95" s="34" t="s">
        <v>1324</v>
      </c>
      <c r="BW95" s="232"/>
      <c r="BX95" s="755">
        <f t="shared" ref="BX95:CC95" si="47">+BX93/BX94</f>
        <v>17.615481098096343</v>
      </c>
      <c r="BY95" s="755">
        <f t="shared" si="47"/>
        <v>6.1980621089345078</v>
      </c>
      <c r="BZ95" s="755">
        <f t="shared" si="47"/>
        <v>-3.4896342699112552</v>
      </c>
      <c r="CA95" s="755">
        <f t="shared" si="47"/>
        <v>2.9688211435453091</v>
      </c>
      <c r="CB95" s="755">
        <f t="shared" ca="1" si="47"/>
        <v>11.139875561823537</v>
      </c>
      <c r="CC95" s="755">
        <f t="shared" ca="1" si="47"/>
        <v>8.7370005310760703</v>
      </c>
      <c r="CD95" s="755">
        <f t="shared" ref="CD95:CE95" ca="1" si="48">+CD93/CD94</f>
        <v>9.5864296633217005</v>
      </c>
      <c r="CE95" s="755">
        <f t="shared" ca="1" si="48"/>
        <v>12.003831724106023</v>
      </c>
    </row>
    <row r="96" spans="3:117">
      <c r="CC96"/>
    </row>
    <row r="97" spans="1:83">
      <c r="BU97" s="736" t="s">
        <v>1325</v>
      </c>
      <c r="BV97" s="212"/>
      <c r="BW97" s="736"/>
      <c r="BX97" s="756">
        <f ca="1">+BY24-BY15</f>
        <v>4.7339625961254796</v>
      </c>
      <c r="BY97" s="756">
        <f ca="1">+BX97</f>
        <v>4.7339625961254796</v>
      </c>
      <c r="BZ97" s="756">
        <f ca="1">+BY97</f>
        <v>4.7339625961254796</v>
      </c>
      <c r="CA97" s="756">
        <f ca="1">+BZ97</f>
        <v>4.7339625961254796</v>
      </c>
      <c r="CB97" s="756">
        <f ca="1">+CA97</f>
        <v>4.7339625961254796</v>
      </c>
      <c r="CC97" s="756">
        <f t="shared" ref="CC97:CE97" ca="1" si="49">+CB97</f>
        <v>4.7339625961254796</v>
      </c>
      <c r="CD97" s="756">
        <f t="shared" ca="1" si="49"/>
        <v>4.7339625961254796</v>
      </c>
      <c r="CE97" s="756">
        <f t="shared" ca="1" si="49"/>
        <v>4.7339625961254796</v>
      </c>
    </row>
    <row r="98" spans="1:83">
      <c r="B98" s="231" t="s">
        <v>52</v>
      </c>
      <c r="C98" s="231"/>
      <c r="D98" s="14"/>
      <c r="E98" s="697"/>
      <c r="F98" s="697"/>
      <c r="G98" s="697"/>
      <c r="H98" s="697"/>
      <c r="I98" s="697"/>
      <c r="J98" s="697"/>
      <c r="K98" s="697"/>
      <c r="L98" s="697"/>
      <c r="M98" s="697"/>
      <c r="N98" s="697"/>
      <c r="O98" s="697"/>
      <c r="P98" s="697"/>
      <c r="Q98" s="697"/>
      <c r="R98" s="697"/>
      <c r="S98" s="697"/>
      <c r="T98" s="697"/>
      <c r="U98" s="697"/>
      <c r="V98" s="697"/>
      <c r="W98" s="697"/>
      <c r="X98" s="697" t="s">
        <v>1253</v>
      </c>
      <c r="Y98" s="697"/>
      <c r="Z98" s="697"/>
      <c r="AA98" s="697"/>
      <c r="AB98" s="697"/>
      <c r="AC98" s="697" t="s">
        <v>921</v>
      </c>
      <c r="AD98" s="697"/>
      <c r="AE98" s="697"/>
      <c r="AF98" s="697"/>
      <c r="AG98" s="697"/>
      <c r="AH98" s="697" t="s">
        <v>1343</v>
      </c>
      <c r="AI98" s="697"/>
      <c r="AJ98" s="697"/>
      <c r="AK98" s="697"/>
      <c r="AL98" s="697"/>
      <c r="AM98" s="697" t="s">
        <v>1410</v>
      </c>
      <c r="AN98" s="697"/>
      <c r="AO98" s="697"/>
      <c r="AP98" s="697"/>
      <c r="AQ98" s="697"/>
      <c r="AR98" s="697" t="s">
        <v>1502</v>
      </c>
      <c r="AS98" s="697"/>
      <c r="AT98" s="697"/>
      <c r="AU98" s="697"/>
      <c r="AV98" s="697"/>
      <c r="AW98" s="697" t="s">
        <v>1539</v>
      </c>
      <c r="AX98" s="697"/>
      <c r="AY98" s="697"/>
      <c r="AZ98" s="697"/>
      <c r="BA98" s="697"/>
      <c r="BB98" s="697" t="s">
        <v>935</v>
      </c>
      <c r="BC98" s="697"/>
      <c r="BD98" s="697"/>
      <c r="BE98" s="697"/>
      <c r="BF98" s="697"/>
      <c r="BG98" s="697" t="s">
        <v>1369</v>
      </c>
      <c r="BH98" s="697"/>
      <c r="BI98" s="697"/>
      <c r="BJ98" s="697"/>
      <c r="BK98" s="697"/>
      <c r="BL98" s="697" t="s">
        <v>1370</v>
      </c>
      <c r="BM98" s="697"/>
      <c r="BN98" s="697"/>
      <c r="BO98" s="697"/>
      <c r="BP98" s="697"/>
      <c r="BQ98" s="697" t="s">
        <v>1520</v>
      </c>
      <c r="CC98"/>
    </row>
    <row r="99" spans="1:83">
      <c r="C99" s="232" t="s">
        <v>837</v>
      </c>
      <c r="E99" s="697"/>
      <c r="F99" s="697"/>
      <c r="G99" s="697"/>
      <c r="H99" s="697"/>
      <c r="I99" s="697"/>
      <c r="J99" s="697"/>
      <c r="K99" s="697"/>
      <c r="L99" s="697"/>
      <c r="M99" s="697"/>
      <c r="N99" s="733"/>
      <c r="O99" s="733"/>
      <c r="P99" s="733"/>
      <c r="Q99" s="733"/>
      <c r="R99" s="733"/>
      <c r="S99" s="733"/>
      <c r="T99" s="733"/>
      <c r="U99" s="733"/>
      <c r="V99" s="733"/>
      <c r="W99" s="733"/>
      <c r="X99" s="801">
        <f>ComEd!X233</f>
        <v>7426</v>
      </c>
      <c r="Y99" s="801"/>
      <c r="Z99" s="801"/>
      <c r="AA99" s="801"/>
      <c r="AB99" s="801"/>
      <c r="AC99" s="801">
        <f>ComEd!AC233</f>
        <v>8019.5</v>
      </c>
      <c r="AD99" s="801"/>
      <c r="AE99" s="801"/>
      <c r="AF99" s="801"/>
      <c r="AG99" s="801"/>
      <c r="AH99" s="801">
        <f>ComEd!AH233</f>
        <v>8714.5</v>
      </c>
      <c r="AI99" s="801"/>
      <c r="AJ99" s="801"/>
      <c r="AK99" s="801"/>
      <c r="AL99" s="801"/>
      <c r="AM99" s="801">
        <f>ComEd!AM233</f>
        <v>9799.5</v>
      </c>
      <c r="AN99" s="801"/>
      <c r="AO99" s="801"/>
      <c r="AP99" s="801"/>
      <c r="AQ99" s="801"/>
      <c r="AR99" s="801">
        <f>ComEd!AR233</f>
        <v>11251</v>
      </c>
      <c r="AS99" s="801"/>
      <c r="AT99" s="801"/>
      <c r="AU99" s="801"/>
      <c r="AV99" s="801"/>
      <c r="AW99" s="801">
        <f>ComEd!AW233</f>
        <v>12434</v>
      </c>
      <c r="AX99" s="801"/>
      <c r="AY99" s="801"/>
      <c r="AZ99" s="801"/>
      <c r="BA99" s="801"/>
      <c r="BB99" s="801">
        <f ca="1">ComEd!BB233</f>
        <v>13733.717984729114</v>
      </c>
      <c r="BC99" s="801"/>
      <c r="BD99" s="801"/>
      <c r="BE99" s="801"/>
      <c r="BF99" s="801"/>
      <c r="BG99" s="801">
        <f ca="1">ComEd!BG233</f>
        <v>15053.867991674753</v>
      </c>
      <c r="BH99" s="801"/>
      <c r="BI99" s="801"/>
      <c r="BJ99" s="801"/>
      <c r="BK99" s="801"/>
      <c r="BL99" s="801">
        <f ca="1">ComEd!BL233</f>
        <v>16101.261619685032</v>
      </c>
      <c r="BM99" s="801"/>
      <c r="BN99" s="801"/>
      <c r="BO99" s="801"/>
      <c r="BP99" s="801"/>
      <c r="BQ99" s="801">
        <f ca="1">ComEd!BQ233</f>
        <v>16996.746607488429</v>
      </c>
      <c r="CC99"/>
    </row>
    <row r="100" spans="1:83">
      <c r="C100" t="s">
        <v>838</v>
      </c>
      <c r="X100" s="801">
        <f>PECO!X261</f>
        <v>5013</v>
      </c>
      <c r="Y100" s="801"/>
      <c r="Z100" s="801"/>
      <c r="AA100" s="801"/>
      <c r="AB100" s="801"/>
      <c r="AC100" s="801">
        <f>PECO!AC261</f>
        <v>5241.5</v>
      </c>
      <c r="AD100" s="801"/>
      <c r="AE100" s="801"/>
      <c r="AF100" s="801"/>
      <c r="AG100" s="801"/>
      <c r="AH100" s="801">
        <f>PECO!AH261</f>
        <v>5554.5</v>
      </c>
      <c r="AI100" s="801"/>
      <c r="AJ100" s="801"/>
      <c r="AK100" s="801"/>
      <c r="AL100" s="801"/>
      <c r="AM100" s="801">
        <f>PECO!AM261</f>
        <v>5858.5</v>
      </c>
      <c r="AN100" s="801"/>
      <c r="AO100" s="801"/>
      <c r="AP100" s="801"/>
      <c r="AQ100" s="801"/>
      <c r="AR100" s="801">
        <f>PECO!AR261</f>
        <v>6101</v>
      </c>
      <c r="AS100" s="801"/>
      <c r="AT100" s="801"/>
      <c r="AU100" s="801"/>
      <c r="AV100" s="801"/>
      <c r="AW100" s="801">
        <f>PECO!AW261</f>
        <v>6372</v>
      </c>
      <c r="AX100" s="801"/>
      <c r="AY100" s="801"/>
      <c r="AZ100" s="801"/>
      <c r="BA100" s="801"/>
      <c r="BB100" s="801">
        <f ca="1">PECO!BB261</f>
        <v>6817.6865259453098</v>
      </c>
      <c r="BC100" s="801"/>
      <c r="BD100" s="801"/>
      <c r="BE100" s="801"/>
      <c r="BF100" s="801"/>
      <c r="BG100" s="801">
        <f ca="1">PECO!BG261</f>
        <v>7350.1111986948117</v>
      </c>
      <c r="BH100" s="801"/>
      <c r="BI100" s="801"/>
      <c r="BJ100" s="801"/>
      <c r="BK100" s="801"/>
      <c r="BL100" s="801">
        <f ca="1">PECO!BL261</f>
        <v>7801.794403203935</v>
      </c>
      <c r="BM100" s="801"/>
      <c r="BN100" s="801"/>
      <c r="BO100" s="801"/>
      <c r="BP100" s="801"/>
      <c r="BQ100" s="801">
        <f ca="1">PECO!BQ261</f>
        <v>8293.8188593057603</v>
      </c>
      <c r="BU100" t="s">
        <v>1068</v>
      </c>
      <c r="BX100" s="527">
        <f>ExGen!AH164-ExGen!AH163-ExGen!AH162</f>
        <v>7620.6461780568661</v>
      </c>
      <c r="BY100" s="527">
        <f>ExGen!AM164-ExGen!AM163-ExGen!AM162</f>
        <v>5340.2152181681613</v>
      </c>
      <c r="BZ100" s="527">
        <f>ExGen!AR164-ExGen!AR163-ExGen!AR162</f>
        <v>4428.9091539951187</v>
      </c>
      <c r="CA100" s="527">
        <f>ExGen!AW164-ExGen!AW163-ExGen!AW162</f>
        <v>5364.2515199230056</v>
      </c>
      <c r="CB100" s="527">
        <f>ExGen!BB164-ExGen!BB163-ExGen!BB162</f>
        <v>6427.1065065725443</v>
      </c>
      <c r="CC100" s="527">
        <f>ExGen!BG164-ExGen!BG163-ExGen!BG162</f>
        <v>5865.9269727722285</v>
      </c>
      <c r="CD100" s="527">
        <f>ExGen!BL164-ExGen!BL163-ExGen!BL162</f>
        <v>5557.9418613306561</v>
      </c>
      <c r="CE100" s="527">
        <f>ExGen!BQ164-ExGen!BQ163-ExGen!BQ162</f>
        <v>5830.1676608673133</v>
      </c>
    </row>
    <row r="101" spans="1:83">
      <c r="C101" t="s">
        <v>1216</v>
      </c>
      <c r="X101" s="801">
        <f>BGE!X262</f>
        <v>4267.6000000000004</v>
      </c>
      <c r="Y101" s="801"/>
      <c r="Z101" s="801"/>
      <c r="AA101" s="801"/>
      <c r="AB101" s="801"/>
      <c r="AC101" s="801">
        <f>BGE!AC262</f>
        <v>4483.1000000000004</v>
      </c>
      <c r="AD101" s="801"/>
      <c r="AE101" s="801"/>
      <c r="AF101" s="801"/>
      <c r="AG101" s="801"/>
      <c r="AH101" s="801">
        <f>BGE!AH262</f>
        <v>4690.1000000000004</v>
      </c>
      <c r="AI101" s="801"/>
      <c r="AJ101" s="801"/>
      <c r="AK101" s="801"/>
      <c r="AL101" s="801"/>
      <c r="AM101" s="801">
        <f>BGE!AM262</f>
        <v>4880.6000000000004</v>
      </c>
      <c r="AN101" s="801"/>
      <c r="AO101" s="801"/>
      <c r="AP101" s="801"/>
      <c r="AQ101" s="801"/>
      <c r="AR101" s="801">
        <f>BGE!AR262</f>
        <v>5131.6000000000004</v>
      </c>
      <c r="AS101" s="801"/>
      <c r="AT101" s="801"/>
      <c r="AU101" s="801"/>
      <c r="AV101" s="801"/>
      <c r="AW101" s="801">
        <f>BGE!AW262</f>
        <v>5412.6</v>
      </c>
      <c r="AX101" s="801"/>
      <c r="AY101" s="801"/>
      <c r="AZ101" s="801"/>
      <c r="BA101" s="801"/>
      <c r="BB101" s="801">
        <f ca="1">BGE!BB262</f>
        <v>5961.2554771174728</v>
      </c>
      <c r="BC101" s="801"/>
      <c r="BD101" s="801"/>
      <c r="BE101" s="801"/>
      <c r="BF101" s="801"/>
      <c r="BG101" s="801">
        <f ca="1">BGE!BG262</f>
        <v>6641.3925170110178</v>
      </c>
      <c r="BH101" s="801"/>
      <c r="BI101" s="801"/>
      <c r="BJ101" s="801"/>
      <c r="BK101" s="801"/>
      <c r="BL101" s="801">
        <f ca="1">BGE!BL262</f>
        <v>7243.5966371822915</v>
      </c>
      <c r="BM101" s="801"/>
      <c r="BN101" s="801"/>
      <c r="BO101" s="801"/>
      <c r="BP101" s="801"/>
      <c r="BQ101" s="801">
        <f ca="1">BGE!BQ262</f>
        <v>7800.9387158910558</v>
      </c>
      <c r="BU101" t="s">
        <v>1069</v>
      </c>
      <c r="BX101" s="527">
        <f>ExGen!AH162</f>
        <v>0</v>
      </c>
      <c r="BY101" s="527">
        <f>ExGen!AM162</f>
        <v>383.625</v>
      </c>
      <c r="BZ101" s="527">
        <f>ExGen!AR162</f>
        <v>785.5</v>
      </c>
      <c r="CA101" s="527">
        <f>ExGen!AW162</f>
        <v>725</v>
      </c>
      <c r="CB101" s="527">
        <f>ExGen!BB162</f>
        <v>1366</v>
      </c>
      <c r="CC101" s="527">
        <f>ExGen!BG162</f>
        <v>1324</v>
      </c>
      <c r="CD101" s="527">
        <f>ExGen!BL162</f>
        <v>1449</v>
      </c>
      <c r="CE101" s="527">
        <f>ExGen!BQ162</f>
        <v>1449</v>
      </c>
    </row>
    <row r="102" spans="1:83">
      <c r="C102" t="s">
        <v>1092</v>
      </c>
      <c r="X102" s="801">
        <f>AVERAGE(Pepco!S250,Pepco!S245)</f>
        <v>2911</v>
      </c>
      <c r="Y102" s="801"/>
      <c r="Z102" s="801"/>
      <c r="AA102" s="801"/>
      <c r="AB102" s="801"/>
      <c r="AC102" s="801">
        <f>AVERAGE(Pepco!X250,Pepco!X245)</f>
        <v>3302</v>
      </c>
      <c r="AD102" s="801"/>
      <c r="AE102" s="801"/>
      <c r="AF102" s="801"/>
      <c r="AG102" s="801"/>
      <c r="AH102" s="801">
        <f>AVERAGE(Pepco!AC250,Pepco!AC245)</f>
        <v>3574</v>
      </c>
      <c r="AI102" s="801"/>
      <c r="AJ102" s="801"/>
      <c r="AK102" s="801"/>
      <c r="AL102" s="801"/>
      <c r="AM102" s="801">
        <f>AVERAGE(Pepco!AH250,Pepco!AH245)</f>
        <v>3777.5</v>
      </c>
      <c r="AN102" s="801"/>
      <c r="AO102" s="801"/>
      <c r="AP102" s="801"/>
      <c r="AQ102" s="801"/>
      <c r="AR102" s="801">
        <f>AVERAGE(Pepco!AM250,Pepco!AM245)</f>
        <v>3968</v>
      </c>
      <c r="AS102" s="801"/>
      <c r="AT102" s="801"/>
      <c r="AU102" s="801"/>
      <c r="AV102" s="801"/>
      <c r="AW102" s="801">
        <f>AVERAGE(Pepco!AR250,Pepco!AR245)</f>
        <v>4159</v>
      </c>
      <c r="AX102" s="801"/>
      <c r="AY102" s="801"/>
      <c r="AZ102" s="801"/>
      <c r="BA102" s="801"/>
      <c r="BB102" s="801">
        <f ca="1">AVERAGE(Pepco!AW250,Pepco!AW245)</f>
        <v>4488.0272466481356</v>
      </c>
      <c r="BC102" s="801"/>
      <c r="BD102" s="801"/>
      <c r="BE102" s="801"/>
      <c r="BF102" s="801"/>
      <c r="BG102" s="801">
        <f ca="1">AVERAGE(Pepco!BB250,Pepco!BB245)</f>
        <v>4896.5051447028782</v>
      </c>
      <c r="BH102" s="801"/>
      <c r="BI102" s="801"/>
      <c r="BJ102" s="801"/>
      <c r="BK102" s="801"/>
      <c r="BL102" s="801">
        <f ca="1">AVERAGE(Pepco!BG250,Pepco!BG245)</f>
        <v>5248.5468762423661</v>
      </c>
      <c r="BM102" s="801"/>
      <c r="BN102" s="801"/>
      <c r="BO102" s="801"/>
      <c r="BP102" s="801"/>
      <c r="BQ102" s="801">
        <f ca="1">AVERAGE(Pepco!BL250,Pepco!BL245)</f>
        <v>5599.7238852093524</v>
      </c>
    </row>
    <row r="103" spans="1:83">
      <c r="C103" t="s">
        <v>1093</v>
      </c>
      <c r="X103" s="801">
        <f>AVERAGE(DPL!S277,DPL!S282)</f>
        <v>1822.5</v>
      </c>
      <c r="Y103" s="801"/>
      <c r="Z103" s="801"/>
      <c r="AA103" s="801"/>
      <c r="AB103" s="801"/>
      <c r="AC103" s="801">
        <f>AVERAGE(DPL!X277,DPL!X282)</f>
        <v>1996.5</v>
      </c>
      <c r="AD103" s="801"/>
      <c r="AE103" s="801"/>
      <c r="AF103" s="801"/>
      <c r="AG103" s="801"/>
      <c r="AH103" s="801">
        <f>AVERAGE(DPL!AC277,DPL!AC282)</f>
        <v>2147</v>
      </c>
      <c r="AI103" s="801"/>
      <c r="AJ103" s="801"/>
      <c r="AK103" s="801"/>
      <c r="AL103" s="801"/>
      <c r="AM103" s="801">
        <f>AVERAGE(DPL!AH277,DPL!AH282)</f>
        <v>2302.5</v>
      </c>
      <c r="AN103" s="801"/>
      <c r="AO103" s="801"/>
      <c r="AP103" s="801"/>
      <c r="AQ103" s="801"/>
      <c r="AR103" s="801">
        <f>AVERAGE(DPL!AM277,DPL!AM282)</f>
        <v>2401.5</v>
      </c>
      <c r="AS103" s="801"/>
      <c r="AT103" s="801"/>
      <c r="AU103" s="801"/>
      <c r="AV103" s="801"/>
      <c r="AW103" s="801">
        <f>AVERAGE(DPL!AR277,DPL!AR282)</f>
        <v>2426.5</v>
      </c>
      <c r="AX103" s="801"/>
      <c r="AY103" s="801"/>
      <c r="AZ103" s="801"/>
      <c r="BA103" s="801"/>
      <c r="BB103" s="801">
        <f ca="1">AVERAGE(DPL!AW277,DPL!AW282)</f>
        <v>2670.8620111093087</v>
      </c>
      <c r="BC103" s="801"/>
      <c r="BD103" s="801"/>
      <c r="BE103" s="801"/>
      <c r="BF103" s="801"/>
      <c r="BG103" s="801">
        <f ca="1">AVERAGE(DPL!BB277,DPL!BB282)</f>
        <v>2993.9474570024731</v>
      </c>
      <c r="BH103" s="801"/>
      <c r="BI103" s="801"/>
      <c r="BJ103" s="801"/>
      <c r="BK103" s="801"/>
      <c r="BL103" s="801">
        <f ca="1">AVERAGE(DPL!BG277,DPL!BG282)</f>
        <v>3143.0198726646704</v>
      </c>
      <c r="BM103" s="801"/>
      <c r="BN103" s="801"/>
      <c r="BO103" s="801"/>
      <c r="BP103" s="801"/>
      <c r="BQ103" s="801">
        <f ca="1">AVERAGE(DPL!BL277,DPL!BL282)</f>
        <v>3233.2390504915465</v>
      </c>
      <c r="BX103" s="700"/>
      <c r="BY103" s="700"/>
      <c r="BZ103" s="700"/>
      <c r="CA103" s="700"/>
    </row>
    <row r="104" spans="1:83">
      <c r="C104" t="s">
        <v>1094</v>
      </c>
      <c r="X104" s="801">
        <f>AVERAGE(ACE!S249,ACE!S244)</f>
        <v>1408.13375</v>
      </c>
      <c r="Y104" s="801"/>
      <c r="Z104" s="801"/>
      <c r="AA104" s="801"/>
      <c r="AB104" s="801"/>
      <c r="AC104" s="801">
        <f>AVERAGE(ACE!X249,ACE!X244)</f>
        <v>1520.86625</v>
      </c>
      <c r="AD104" s="801"/>
      <c r="AE104" s="801"/>
      <c r="AF104" s="801"/>
      <c r="AG104" s="801"/>
      <c r="AH104" s="801">
        <f>AVERAGE(ACE!AC249,ACE!AC244)</f>
        <v>1608.0987500000001</v>
      </c>
      <c r="AI104" s="801"/>
      <c r="AJ104" s="801"/>
      <c r="AK104" s="801"/>
      <c r="AL104" s="801"/>
      <c r="AM104" s="801">
        <f>AVERAGE(ACE!AH249,ACE!AH244)</f>
        <v>1706.3312500000002</v>
      </c>
      <c r="AN104" s="801"/>
      <c r="AO104" s="801"/>
      <c r="AP104" s="801"/>
      <c r="AQ104" s="801"/>
      <c r="AR104" s="801">
        <f>AVERAGE(ACE!AM249,ACE!AM244)</f>
        <v>1836.0637500000003</v>
      </c>
      <c r="AS104" s="801"/>
      <c r="AT104" s="801"/>
      <c r="AU104" s="801"/>
      <c r="AV104" s="801"/>
      <c r="AW104" s="801">
        <f>AVERAGE(ACE!AR249,ACE!AR244)</f>
        <v>1935.7962500000003</v>
      </c>
      <c r="AX104" s="801"/>
      <c r="AY104" s="801"/>
      <c r="AZ104" s="801"/>
      <c r="BA104" s="801"/>
      <c r="BB104" s="801">
        <f ca="1">AVERAGE(ACE!AW249,ACE!AW244)</f>
        <v>2097.8386583038341</v>
      </c>
      <c r="BC104" s="801"/>
      <c r="BD104" s="801"/>
      <c r="BE104" s="801"/>
      <c r="BF104" s="801"/>
      <c r="BG104" s="801">
        <f ca="1">AVERAGE(ACE!BB249,ACE!BB244)</f>
        <v>2358.1433584711749</v>
      </c>
      <c r="BH104" s="801"/>
      <c r="BI104" s="801"/>
      <c r="BJ104" s="801"/>
      <c r="BK104" s="801"/>
      <c r="BL104" s="801">
        <f ca="1">AVERAGE(ACE!BG249,ACE!BG244)</f>
        <v>2595.419038962445</v>
      </c>
      <c r="BM104" s="801"/>
      <c r="BN104" s="801"/>
      <c r="BO104" s="801"/>
      <c r="BP104" s="801"/>
      <c r="BQ104" s="801">
        <f ca="1">AVERAGE(ACE!BL249,ACE!BL244)</f>
        <v>2749.2240810222147</v>
      </c>
      <c r="BR104" s="517"/>
      <c r="BX104" s="700"/>
      <c r="BY104" s="700"/>
      <c r="BZ104" s="700"/>
      <c r="CA104" s="700"/>
    </row>
    <row r="105" spans="1:83">
      <c r="C105" s="34" t="s">
        <v>1335</v>
      </c>
      <c r="E105" s="697"/>
      <c r="F105" s="697"/>
      <c r="G105" s="697"/>
      <c r="H105" s="697"/>
      <c r="I105" s="697"/>
      <c r="J105" s="697"/>
      <c r="K105" s="697"/>
      <c r="L105" s="697"/>
      <c r="M105" s="697"/>
      <c r="N105" s="733"/>
      <c r="O105" s="733"/>
      <c r="P105" s="733"/>
      <c r="Q105" s="733"/>
      <c r="R105" s="733"/>
      <c r="S105" s="733"/>
      <c r="T105" s="733"/>
      <c r="U105" s="733"/>
      <c r="V105" s="733"/>
      <c r="W105" s="733"/>
      <c r="X105" s="733">
        <f>SUM(X99:X104)</f>
        <v>22848.233749999999</v>
      </c>
      <c r="Y105" s="733"/>
      <c r="Z105" s="733"/>
      <c r="AA105" s="733"/>
      <c r="AB105" s="733"/>
      <c r="AC105" s="733">
        <f>SUM(AC99:AC104)</f>
        <v>24563.466249999998</v>
      </c>
      <c r="AD105" s="733"/>
      <c r="AE105" s="733"/>
      <c r="AF105" s="733"/>
      <c r="AG105" s="733"/>
      <c r="AH105" s="733">
        <f>SUM(AH99:AH104)</f>
        <v>26288.19875</v>
      </c>
      <c r="AI105" s="733"/>
      <c r="AJ105" s="733"/>
      <c r="AK105" s="733"/>
      <c r="AL105" s="733"/>
      <c r="AM105" s="733">
        <f>SUM(AM99:AM104)</f>
        <v>28324.931249999998</v>
      </c>
      <c r="AN105" s="733"/>
      <c r="AO105" s="733"/>
      <c r="AP105" s="733"/>
      <c r="AQ105" s="733"/>
      <c r="AR105" s="733">
        <f>SUM(AR99:AR104)</f>
        <v>30689.16375</v>
      </c>
      <c r="AS105" s="733"/>
      <c r="AT105" s="733"/>
      <c r="AU105" s="733"/>
      <c r="AV105" s="733"/>
      <c r="AW105" s="733">
        <f>SUM(AW99:AW104)</f>
        <v>32739.896249999998</v>
      </c>
      <c r="AX105" s="733"/>
      <c r="AY105" s="733"/>
      <c r="AZ105" s="733"/>
      <c r="BA105" s="733"/>
      <c r="BB105" s="733">
        <f ca="1">SUM(BB99:BB104)</f>
        <v>35769.387903853181</v>
      </c>
      <c r="BC105" s="733"/>
      <c r="BD105" s="733"/>
      <c r="BE105" s="733"/>
      <c r="BF105" s="733"/>
      <c r="BG105" s="733">
        <f ca="1">SUM(BG99:BG104)</f>
        <v>39293.96766755711</v>
      </c>
      <c r="BH105" s="733"/>
      <c r="BI105" s="733"/>
      <c r="BJ105" s="733"/>
      <c r="BK105" s="733"/>
      <c r="BL105" s="733">
        <f ca="1">SUM(BL99:BL104)</f>
        <v>42133.638447940735</v>
      </c>
      <c r="BM105" s="733"/>
      <c r="BN105" s="733"/>
      <c r="BO105" s="733"/>
      <c r="BP105" s="733"/>
      <c r="BQ105" s="733">
        <f ca="1">SUM(BQ99:BQ104)</f>
        <v>44673.691199408357</v>
      </c>
      <c r="BR105" s="517"/>
    </row>
    <row r="106" spans="1:83">
      <c r="BR106" s="517"/>
    </row>
    <row r="107" spans="1:83">
      <c r="A107" s="232"/>
      <c r="C107" t="s">
        <v>597</v>
      </c>
      <c r="E107" s="697"/>
      <c r="F107" s="697"/>
      <c r="G107" s="697"/>
      <c r="H107" s="697"/>
      <c r="I107" s="697"/>
      <c r="J107" s="697"/>
      <c r="K107" s="697"/>
      <c r="L107" s="697"/>
      <c r="M107" s="697"/>
      <c r="N107" s="707"/>
      <c r="O107" s="707"/>
      <c r="P107" s="707"/>
      <c r="Q107" s="707"/>
      <c r="R107" s="707"/>
      <c r="S107" s="707"/>
      <c r="T107" s="707"/>
      <c r="U107" s="707"/>
      <c r="V107" s="707"/>
      <c r="W107" s="707"/>
      <c r="X107" s="1983">
        <f>(X60*X101+X49*X100+X38*X99+X102*X71+X103*X82+X104*X92)/X105</f>
        <v>0.47874142062841152</v>
      </c>
      <c r="Y107" s="707"/>
      <c r="Z107" s="707"/>
      <c r="AA107" s="707"/>
      <c r="AB107" s="707"/>
      <c r="AC107" s="1983">
        <f>(AC60*AC101+AC49*AC100+AC38*AC99+AC102*AC71+AC103*AC82+AC104*AC92)/AC105</f>
        <v>0.48500967357315716</v>
      </c>
      <c r="AD107" s="707"/>
      <c r="AE107" s="707"/>
      <c r="AF107" s="707"/>
      <c r="AG107" s="707"/>
      <c r="AH107" s="1983">
        <f>(AH60*AH101+AH49*AH100+AH38*AH99+AH102*AH71+AH103*AH82+AH104*AH92)/AH105</f>
        <v>0.49359947449206504</v>
      </c>
      <c r="AI107" s="707"/>
      <c r="AJ107" s="707"/>
      <c r="AK107" s="707"/>
      <c r="AL107" s="707"/>
      <c r="AM107" s="1983">
        <f>(AM60*AM101+AM49*AM100+AM38*AM99+AM102*AM71+AM103*AM82+AM104*AM92)/AM105</f>
        <v>0.49070214114592225</v>
      </c>
      <c r="AN107" s="707"/>
      <c r="AO107" s="707"/>
      <c r="AP107" s="707"/>
      <c r="AQ107" s="707"/>
      <c r="AR107" s="1983">
        <f>(AR60*AR101+AR49*AR100+AR38*AR99+AR102*AR71+AR103*AR82+AR104*AR92)/AR105</f>
        <v>0.49717655803555194</v>
      </c>
      <c r="AS107" s="707"/>
      <c r="AT107" s="707"/>
      <c r="AU107" s="707"/>
      <c r="AV107" s="707"/>
      <c r="AW107" s="1983">
        <f>(AW60*AW101+AW49*AW100+AW38*AW99+AW102*AW71+AW103*AW82+AW104*AW92)/AW105</f>
        <v>0.49655491839701632</v>
      </c>
      <c r="AX107" s="707"/>
      <c r="AY107" s="707"/>
      <c r="AZ107" s="707"/>
      <c r="BA107" s="707"/>
      <c r="BB107" s="1983">
        <f ca="1">(BB60*BB101+BB49*BB100+BB38*BB99+BB102*BB71+BB103*BB82+BB104*BB92)/BB105</f>
        <v>0.49375201654340667</v>
      </c>
      <c r="BC107" s="707"/>
      <c r="BD107" s="707"/>
      <c r="BE107" s="707"/>
      <c r="BF107" s="707"/>
      <c r="BG107" s="1983">
        <f ca="1">(BG60*BG101+BG49*BG100+BG38*BG99+BG102*BG71+BG103*BG82+BG104*BG92)/BG105</f>
        <v>0.49333735238798748</v>
      </c>
      <c r="BH107" s="707"/>
      <c r="BI107" s="707"/>
      <c r="BJ107" s="707"/>
      <c r="BK107" s="707"/>
      <c r="BL107" s="1983">
        <f ca="1">(BL60*BL101+BL49*BL100+BL38*BL99+BL102*BL71+BL103*BL82+BL104*BL92)/BL105</f>
        <v>0.49271841560042978</v>
      </c>
      <c r="BM107" s="707"/>
      <c r="BN107" s="707"/>
      <c r="BO107" s="707"/>
      <c r="BP107" s="707"/>
      <c r="BQ107" s="1983">
        <f ca="1">(BQ60*BQ101+BQ49*BQ100+BQ38*BQ99+BQ102*BQ71+BQ103*BQ82+BQ104*BQ92)/BQ105</f>
        <v>0.49335841776153988</v>
      </c>
      <c r="BR107" s="517"/>
    </row>
    <row r="108" spans="1:83">
      <c r="A108" s="232"/>
      <c r="C108" t="s">
        <v>606</v>
      </c>
      <c r="E108" s="697"/>
      <c r="F108" s="697"/>
      <c r="G108" s="697"/>
      <c r="H108" s="697"/>
      <c r="I108" s="697"/>
      <c r="J108" s="697"/>
      <c r="K108" s="697"/>
      <c r="L108" s="697"/>
      <c r="M108" s="697"/>
      <c r="N108" s="707"/>
      <c r="O108" s="707"/>
      <c r="P108" s="707"/>
      <c r="Q108" s="707"/>
      <c r="R108" s="707"/>
      <c r="S108" s="707"/>
      <c r="T108" s="707"/>
      <c r="U108" s="707"/>
      <c r="V108" s="707"/>
      <c r="W108" s="707"/>
      <c r="X108" s="1983">
        <f>(X59*X101+X48*X100+X37*X99+X102*X70+X103*X81+X104*X91)/X105</f>
        <v>8.7540782391765937E-2</v>
      </c>
      <c r="Y108" s="707"/>
      <c r="Z108" s="707"/>
      <c r="AA108" s="707"/>
      <c r="AB108" s="707"/>
      <c r="AC108" s="1983">
        <f>(AC59*AC101+AC48*AC100+AC37*AC99+AC102*AC70+AC103*AC81+AC104*AC91)/AC105</f>
        <v>0.10685694047310464</v>
      </c>
      <c r="AD108" s="707"/>
      <c r="AE108" s="707"/>
      <c r="AF108" s="707"/>
      <c r="AG108" s="707"/>
      <c r="AH108" s="1983">
        <f>(AH59*AH101+AH48*AH100+AH37*AH99+AH102*AH70+AH103*AH81+AH104*AH91)/AH105</f>
        <v>9.7647362750817979E-2</v>
      </c>
      <c r="AI108" s="707"/>
      <c r="AJ108" s="707"/>
      <c r="AK108" s="707"/>
      <c r="AL108" s="707"/>
      <c r="AM108" s="1983">
        <f>(AM59*AM101+AM48*AM100+AM37*AM99+AM102*AM70+AM103*AM81+AM104*AM91)/AM105</f>
        <v>9.8999067882015443E-2</v>
      </c>
      <c r="AN108" s="707"/>
      <c r="AO108" s="707"/>
      <c r="AP108" s="707"/>
      <c r="AQ108" s="707"/>
      <c r="AR108" s="1983">
        <f>(AR59*AR101+AR48*AR100+AR37*AR99+AR102*AR70+AR103*AR81+AR104*AR91)/AR105</f>
        <v>6.1875147107826926E-2</v>
      </c>
      <c r="AS108" s="707"/>
      <c r="AT108" s="707"/>
      <c r="AU108" s="707"/>
      <c r="AV108" s="707"/>
      <c r="AW108" s="1983">
        <f>(AW59*AW101+AW48*AW100+AW37*AW99+AW102*AW70+AW103*AW81+AW104*AW91)/AW105</f>
        <v>0.10456994814655357</v>
      </c>
      <c r="AX108" s="707"/>
      <c r="AY108" s="707"/>
      <c r="AZ108" s="707"/>
      <c r="BA108" s="707"/>
      <c r="BB108" s="1983">
        <f ca="1">(BB59*BB101+BB48*BB100+BB37*BB99+BB102*BB70+BB103*BB81+BB104*BB91)/BB105</f>
        <v>0.10366499759834238</v>
      </c>
      <c r="BC108" s="707"/>
      <c r="BD108" s="707"/>
      <c r="BE108" s="707"/>
      <c r="BF108" s="707"/>
      <c r="BG108" s="1983">
        <f ca="1">(BG59*BG101+BG48*BG100+BG37*BG99+BG102*BG70+BG103*BG81+BG104*BG91)/BG105</f>
        <v>9.8779405965609829E-2</v>
      </c>
      <c r="BH108" s="707"/>
      <c r="BI108" s="707"/>
      <c r="BJ108" s="707"/>
      <c r="BK108" s="707"/>
      <c r="BL108" s="1983">
        <f ca="1">(BL59*BL101+BL48*BL100+BL37*BL99+BL102*BL70+BL103*BL81+BL104*BL91)/BL105</f>
        <v>9.9870374887319785E-2</v>
      </c>
      <c r="BM108" s="707"/>
      <c r="BN108" s="707"/>
      <c r="BO108" s="707"/>
      <c r="BP108" s="707"/>
      <c r="BQ108" s="1983">
        <f ca="1">(BQ59*BQ101+BQ48*BQ100+BQ37*BQ99+BQ102*BQ70+BQ103*BQ81+BQ104*BQ91)/BQ105</f>
        <v>9.9694035711724818E-2</v>
      </c>
      <c r="BR108" s="517"/>
    </row>
    <row r="109" spans="1:83">
      <c r="C109" s="212"/>
      <c r="E109" s="697"/>
      <c r="F109" s="697"/>
      <c r="G109" s="697"/>
      <c r="H109" s="697"/>
      <c r="I109" s="697"/>
      <c r="J109" s="697"/>
      <c r="K109" s="697"/>
      <c r="L109" s="697"/>
      <c r="M109" s="697"/>
      <c r="N109" s="738"/>
      <c r="O109" s="738"/>
      <c r="P109" s="738"/>
      <c r="Q109" s="738"/>
      <c r="R109" s="738"/>
      <c r="S109" s="738"/>
      <c r="T109" s="738"/>
      <c r="U109" s="738"/>
      <c r="V109" s="738"/>
      <c r="W109" s="738"/>
      <c r="X109" s="738"/>
      <c r="Y109" s="738"/>
      <c r="Z109" s="738"/>
      <c r="AA109" s="738"/>
      <c r="AB109" s="738"/>
      <c r="AC109" s="738"/>
      <c r="AD109" s="738"/>
      <c r="AE109" s="738"/>
      <c r="AF109" s="738"/>
      <c r="AG109" s="738"/>
      <c r="AH109" s="738"/>
      <c r="AI109" s="738"/>
      <c r="AJ109" s="738"/>
      <c r="AK109" s="738"/>
      <c r="AL109" s="738"/>
      <c r="AM109" s="738"/>
      <c r="AN109" s="738"/>
      <c r="AO109" s="738"/>
      <c r="AP109" s="738"/>
      <c r="AQ109" s="738"/>
      <c r="AR109" s="738"/>
      <c r="AS109" s="738"/>
      <c r="AT109" s="738"/>
      <c r="AU109" s="738"/>
      <c r="AV109" s="738"/>
      <c r="AW109" s="738"/>
      <c r="AX109" s="738"/>
      <c r="AY109" s="738"/>
      <c r="AZ109" s="738"/>
      <c r="BA109" s="738"/>
      <c r="BB109" s="738"/>
      <c r="BC109" s="738"/>
      <c r="BD109" s="738"/>
      <c r="BE109" s="738"/>
      <c r="BF109" s="738"/>
      <c r="BG109" s="738"/>
      <c r="BH109" s="738"/>
      <c r="BI109" s="738"/>
      <c r="BJ109" s="738"/>
      <c r="BK109" s="738"/>
      <c r="BL109" s="738"/>
      <c r="BM109" s="738"/>
      <c r="BN109" s="738"/>
      <c r="BO109" s="738"/>
      <c r="BP109" s="738"/>
      <c r="BQ109" s="738"/>
      <c r="BR109" s="517"/>
    </row>
    <row r="110" spans="1:83">
      <c r="A110" s="34"/>
      <c r="C110" s="34" t="s">
        <v>55</v>
      </c>
      <c r="E110" s="697"/>
      <c r="F110" s="697"/>
      <c r="G110" s="697"/>
      <c r="H110" s="697"/>
      <c r="I110" s="697"/>
      <c r="J110" s="697"/>
      <c r="K110" s="697"/>
      <c r="L110" s="697"/>
      <c r="M110" s="697"/>
      <c r="N110" s="740"/>
      <c r="O110" s="740"/>
      <c r="P110" s="740"/>
      <c r="Q110" s="740"/>
      <c r="R110" s="740"/>
      <c r="S110" s="740"/>
      <c r="T110" s="740"/>
      <c r="U110" s="740"/>
      <c r="V110" s="740"/>
      <c r="W110" s="740"/>
      <c r="X110" s="740"/>
      <c r="Y110" s="740"/>
      <c r="Z110" s="740"/>
      <c r="AA110" s="740"/>
      <c r="AB110" s="740"/>
      <c r="AC110" s="740">
        <f>+AC105*AC107*AC108</f>
        <v>1273.0421636522301</v>
      </c>
      <c r="AD110" s="740"/>
      <c r="AE110" s="740"/>
      <c r="AF110" s="740"/>
      <c r="AG110" s="740"/>
      <c r="AH110" s="740">
        <f>+AH105*AH107*AH108</f>
        <v>1267.0566617503939</v>
      </c>
      <c r="AI110" s="740"/>
      <c r="AJ110" s="740"/>
      <c r="AK110" s="740"/>
      <c r="AL110" s="740"/>
      <c r="AM110" s="740">
        <f>+AM105*AM107*AM108</f>
        <v>1375.9983812012265</v>
      </c>
      <c r="AN110" s="740"/>
      <c r="AO110" s="740"/>
      <c r="AP110" s="740"/>
      <c r="AQ110" s="740"/>
      <c r="AR110" s="740">
        <f>+AR105*AR107*AR108</f>
        <v>944.0868366983558</v>
      </c>
      <c r="AS110" s="740"/>
      <c r="AT110" s="740"/>
      <c r="AU110" s="740"/>
      <c r="AV110" s="740"/>
      <c r="AW110" s="740">
        <f>+AW105*AW107*AW108</f>
        <v>1700.0100133390658</v>
      </c>
      <c r="AX110" s="740"/>
      <c r="AY110" s="740"/>
      <c r="AZ110" s="740"/>
      <c r="BA110" s="740"/>
      <c r="BB110" s="740">
        <f ca="1">+BB105*BB107*BB108</f>
        <v>1830.8490235394177</v>
      </c>
      <c r="BC110" s="740"/>
      <c r="BD110" s="740"/>
      <c r="BE110" s="740"/>
      <c r="BF110" s="740"/>
      <c r="BG110" s="740">
        <f ca="1">+BG105*BG107*BG108</f>
        <v>1914.8567599202318</v>
      </c>
      <c r="BH110" s="740"/>
      <c r="BI110" s="740"/>
      <c r="BJ110" s="740"/>
      <c r="BK110" s="740"/>
      <c r="BL110" s="740">
        <f ca="1">+BL105*BL107*BL108</f>
        <v>2073.3109380778283</v>
      </c>
      <c r="BM110" s="740"/>
      <c r="BN110" s="740"/>
      <c r="BO110" s="740"/>
      <c r="BP110" s="740"/>
      <c r="BQ110" s="740">
        <f ca="1">+BQ105*BQ107*BQ108</f>
        <v>2197.2706643308993</v>
      </c>
      <c r="BR110" s="517"/>
    </row>
    <row r="111" spans="1:83">
      <c r="C111" t="s">
        <v>1162</v>
      </c>
      <c r="AC111" s="1385">
        <f>+Parent!AC37</f>
        <v>-62</v>
      </c>
      <c r="AH111" s="1385">
        <f>+Parent!AH37</f>
        <v>-49</v>
      </c>
      <c r="AM111" s="1385">
        <f>+Parent!AM37</f>
        <v>-115.00000000000011</v>
      </c>
      <c r="AR111" s="1385">
        <f>+Parent!AR37</f>
        <v>68</v>
      </c>
      <c r="AW111" s="1385">
        <f>+Parent!AW37</f>
        <v>-218</v>
      </c>
      <c r="BB111" s="1385">
        <f ca="1">+Parent!BB37</f>
        <v>-194.82130436126036</v>
      </c>
      <c r="BG111" s="1385">
        <f ca="1">+Parent!BG37</f>
        <v>-164.46249045850212</v>
      </c>
      <c r="BL111" s="1385">
        <f ca="1">+Parent!BL37</f>
        <v>-191.82975842532164</v>
      </c>
      <c r="BQ111" s="1385">
        <f ca="1">+Parent!BQ37</f>
        <v>-233.59174999755794</v>
      </c>
      <c r="BR111" s="517"/>
    </row>
    <row r="112" spans="1:83">
      <c r="BR112" s="517"/>
    </row>
    <row r="113" spans="3:70">
      <c r="C113" t="s">
        <v>57</v>
      </c>
      <c r="E113" s="697"/>
      <c r="F113" s="697"/>
      <c r="G113" s="697"/>
      <c r="H113" s="697"/>
      <c r="I113" s="697"/>
      <c r="J113" s="697"/>
      <c r="K113" s="697"/>
      <c r="L113" s="697"/>
      <c r="M113" s="697"/>
      <c r="N113" s="527"/>
      <c r="O113" s="527"/>
      <c r="P113" s="527"/>
      <c r="Q113" s="527"/>
      <c r="R113" s="527"/>
      <c r="S113" s="527"/>
      <c r="T113" s="527"/>
      <c r="U113" s="527"/>
      <c r="V113" s="527"/>
      <c r="W113" s="527"/>
      <c r="X113" s="527"/>
      <c r="Y113" s="527"/>
      <c r="Z113" s="527"/>
      <c r="AA113" s="527"/>
      <c r="AB113" s="527"/>
      <c r="AC113" s="527">
        <f>EXC!AC50</f>
        <v>860</v>
      </c>
      <c r="AD113" s="527"/>
      <c r="AE113" s="527"/>
      <c r="AF113" s="527"/>
      <c r="AG113" s="527"/>
      <c r="AH113" s="527">
        <f>EXC!AH50</f>
        <v>864</v>
      </c>
      <c r="AI113" s="527"/>
      <c r="AJ113" s="527"/>
      <c r="AK113" s="527"/>
      <c r="AL113" s="527"/>
      <c r="AM113" s="527">
        <f>EXC!AM50</f>
        <v>893</v>
      </c>
      <c r="AN113" s="527"/>
      <c r="AO113" s="527"/>
      <c r="AP113" s="527"/>
      <c r="AQ113" s="527"/>
      <c r="AR113" s="527">
        <f>EXC!AR50</f>
        <v>927</v>
      </c>
      <c r="AS113" s="527"/>
      <c r="AT113" s="527"/>
      <c r="AU113" s="527"/>
      <c r="AV113" s="527"/>
      <c r="AW113" s="527">
        <f>EXC!AW50</f>
        <v>949</v>
      </c>
      <c r="AX113" s="527"/>
      <c r="AY113" s="527"/>
      <c r="AZ113" s="527"/>
      <c r="BA113" s="527"/>
      <c r="BB113" s="527">
        <f>EXC!BB50</f>
        <v>966</v>
      </c>
      <c r="BC113" s="527"/>
      <c r="BD113" s="527"/>
      <c r="BE113" s="527"/>
      <c r="BF113" s="527"/>
      <c r="BG113" s="527">
        <f>EXC!BG50</f>
        <v>966</v>
      </c>
      <c r="BH113" s="527"/>
      <c r="BI113" s="527"/>
      <c r="BJ113" s="527"/>
      <c r="BK113" s="527"/>
      <c r="BL113" s="527">
        <f>EXC!BL50</f>
        <v>966</v>
      </c>
      <c r="BM113" s="527"/>
      <c r="BN113" s="527"/>
      <c r="BO113" s="527"/>
      <c r="BP113" s="527"/>
      <c r="BQ113" s="527">
        <f>EXC!BQ50</f>
        <v>966</v>
      </c>
      <c r="BR113" s="517"/>
    </row>
    <row r="114" spans="3:70">
      <c r="C114" s="248" t="s">
        <v>947</v>
      </c>
      <c r="D114" s="704"/>
      <c r="E114" s="742"/>
      <c r="F114" s="742"/>
      <c r="G114" s="742"/>
      <c r="H114" s="742"/>
      <c r="I114" s="742"/>
      <c r="J114" s="742"/>
      <c r="K114" s="742"/>
      <c r="L114" s="742"/>
      <c r="M114" s="742"/>
      <c r="N114" s="705"/>
      <c r="O114" s="705"/>
      <c r="P114" s="705"/>
      <c r="Q114" s="705"/>
      <c r="R114" s="705"/>
      <c r="S114" s="705"/>
      <c r="T114" s="705"/>
      <c r="U114" s="705"/>
      <c r="V114" s="705"/>
      <c r="W114" s="705"/>
      <c r="X114" s="705"/>
      <c r="Y114" s="705"/>
      <c r="Z114" s="705"/>
      <c r="AA114" s="705"/>
      <c r="AB114" s="705"/>
      <c r="AC114" s="705">
        <f>(AC110+AC111)/AC113</f>
        <v>1.4081885623863142</v>
      </c>
      <c r="AD114" s="705"/>
      <c r="AE114" s="705"/>
      <c r="AF114" s="705"/>
      <c r="AG114" s="705"/>
      <c r="AH114" s="705">
        <f>(AH110+AH111)/AH113</f>
        <v>1.4097878029518449</v>
      </c>
      <c r="AI114" s="705"/>
      <c r="AJ114" s="705"/>
      <c r="AK114" s="705"/>
      <c r="AL114" s="705"/>
      <c r="AM114" s="705">
        <f>(AM110+AM111)/AM113</f>
        <v>1.4120922521850241</v>
      </c>
      <c r="AN114" s="705"/>
      <c r="AO114" s="705"/>
      <c r="AP114" s="705"/>
      <c r="AQ114" s="705"/>
      <c r="AR114" s="705">
        <f>(AR110+AR111)/AR113</f>
        <v>1.0917873103542133</v>
      </c>
      <c r="AS114" s="705"/>
      <c r="AT114" s="705"/>
      <c r="AU114" s="705"/>
      <c r="AV114" s="705"/>
      <c r="AW114" s="705">
        <f>(AW110+AW111)/AW113</f>
        <v>1.5616543870801536</v>
      </c>
      <c r="AX114" s="705" t="e">
        <f t="shared" ref="AX114:BG114" si="50">(AX110+AX111)/AX113</f>
        <v>#DIV/0!</v>
      </c>
      <c r="AY114" s="705" t="e">
        <f t="shared" si="50"/>
        <v>#DIV/0!</v>
      </c>
      <c r="AZ114" s="705" t="e">
        <f t="shared" si="50"/>
        <v>#DIV/0!</v>
      </c>
      <c r="BA114" s="705" t="e">
        <f t="shared" si="50"/>
        <v>#DIV/0!</v>
      </c>
      <c r="BB114" s="705">
        <f t="shared" ca="1" si="50"/>
        <v>1.6936104753397072</v>
      </c>
      <c r="BC114" s="705" t="e">
        <f t="shared" si="50"/>
        <v>#DIV/0!</v>
      </c>
      <c r="BD114" s="705" t="e">
        <f t="shared" si="50"/>
        <v>#DIV/0!</v>
      </c>
      <c r="BE114" s="705" t="e">
        <f t="shared" si="50"/>
        <v>#DIV/0!</v>
      </c>
      <c r="BF114" s="705" t="e">
        <f t="shared" si="50"/>
        <v>#DIV/0!</v>
      </c>
      <c r="BG114" s="705">
        <f t="shared" ca="1" si="50"/>
        <v>1.8120023493392647</v>
      </c>
      <c r="BH114" s="705"/>
      <c r="BI114" s="705"/>
      <c r="BJ114" s="705"/>
      <c r="BK114" s="705"/>
      <c r="BL114" s="705">
        <f ca="1">(BL110+BL111)/BL113</f>
        <v>1.9477030845264043</v>
      </c>
      <c r="BM114" s="705"/>
      <c r="BN114" s="705"/>
      <c r="BO114" s="705"/>
      <c r="BP114" s="705"/>
      <c r="BQ114" s="706">
        <f ca="1">(BQ110+BQ111)/BQ113</f>
        <v>2.0327939071773717</v>
      </c>
      <c r="BR114" s="517"/>
    </row>
    <row r="115" spans="3:70">
      <c r="X115" s="483"/>
      <c r="AC115" s="483"/>
      <c r="AH115" s="483"/>
      <c r="AM115" s="483"/>
      <c r="AR115" s="483"/>
      <c r="AW115" s="483"/>
      <c r="BB115" s="483"/>
      <c r="BG115" s="483"/>
      <c r="BL115" s="483"/>
      <c r="BQ115" s="483"/>
    </row>
    <row r="116" spans="3:70">
      <c r="C116" t="s">
        <v>1059</v>
      </c>
      <c r="E116" s="697"/>
      <c r="F116" s="697"/>
      <c r="G116" s="697"/>
      <c r="H116" s="697"/>
      <c r="I116" s="697"/>
      <c r="J116" s="697"/>
      <c r="K116" s="697"/>
      <c r="L116" s="697"/>
      <c r="M116" s="697"/>
      <c r="N116" s="701"/>
      <c r="O116" s="701"/>
      <c r="P116" s="701"/>
      <c r="Q116" s="701"/>
      <c r="R116" s="701"/>
      <c r="S116" s="701"/>
      <c r="T116" s="701"/>
      <c r="U116" s="701"/>
      <c r="V116" s="701"/>
      <c r="W116" s="701"/>
      <c r="X116" s="700"/>
      <c r="Y116" s="700"/>
      <c r="Z116" s="700"/>
      <c r="AA116" s="700"/>
      <c r="AB116" s="700"/>
      <c r="AC116" s="700"/>
      <c r="AD116" s="700"/>
      <c r="AE116" s="700"/>
      <c r="AF116" s="700"/>
      <c r="AG116" s="700"/>
      <c r="AH116" s="700"/>
      <c r="AI116" s="701"/>
      <c r="AJ116" s="701"/>
      <c r="AK116" s="701"/>
      <c r="AL116" s="701"/>
      <c r="AM116" s="700"/>
      <c r="AN116" s="701"/>
      <c r="AO116" s="701"/>
      <c r="AP116" s="701"/>
      <c r="AQ116" s="701"/>
      <c r="AR116" s="700"/>
      <c r="AS116" s="701"/>
      <c r="AT116" s="701"/>
      <c r="AU116" s="701"/>
      <c r="AV116" s="701"/>
      <c r="AW116" s="700"/>
      <c r="AX116" s="701"/>
      <c r="AY116" s="701"/>
      <c r="AZ116" s="701"/>
      <c r="BA116" s="701"/>
      <c r="BB116" s="990">
        <f>+UtilityPE</f>
        <v>17.600000000000001</v>
      </c>
      <c r="BC116" s="701"/>
      <c r="BD116" s="701"/>
      <c r="BE116" s="701"/>
      <c r="BF116" s="701"/>
      <c r="BH116" s="701"/>
      <c r="BI116" s="701"/>
      <c r="BJ116" s="701"/>
      <c r="BK116" s="701"/>
      <c r="BM116" s="701"/>
      <c r="BN116" s="701"/>
      <c r="BO116" s="701"/>
      <c r="BP116" s="701"/>
    </row>
    <row r="117" spans="3:70">
      <c r="C117" t="s">
        <v>42</v>
      </c>
      <c r="E117" s="697"/>
      <c r="F117" s="697"/>
      <c r="G117" s="697"/>
      <c r="H117" s="697"/>
      <c r="I117" s="697"/>
      <c r="J117" s="697"/>
      <c r="K117" s="697"/>
      <c r="L117" s="697"/>
      <c r="M117" s="697"/>
      <c r="N117" s="744"/>
      <c r="O117" s="744"/>
      <c r="P117" s="744"/>
      <c r="Q117" s="744"/>
      <c r="R117" s="744"/>
      <c r="S117" s="744"/>
      <c r="T117" s="744"/>
      <c r="U117" s="744"/>
      <c r="V117" s="744"/>
      <c r="W117" s="744"/>
      <c r="X117" s="1022"/>
      <c r="Y117" s="1022"/>
      <c r="Z117" s="1022"/>
      <c r="AA117" s="1022"/>
      <c r="AB117" s="1022"/>
      <c r="AC117" s="1022"/>
      <c r="AD117" s="1022"/>
      <c r="AE117" s="1022"/>
      <c r="AF117" s="1022"/>
      <c r="AG117" s="1022"/>
      <c r="AH117" s="1022"/>
      <c r="AI117" s="744"/>
      <c r="AJ117" s="744"/>
      <c r="AK117" s="744"/>
      <c r="AL117" s="744"/>
      <c r="AM117" s="1022"/>
      <c r="AN117" s="744"/>
      <c r="AO117" s="744"/>
      <c r="AP117" s="744"/>
      <c r="AQ117" s="744"/>
      <c r="AR117" s="1022"/>
      <c r="AS117" s="744"/>
      <c r="AT117" s="744"/>
      <c r="AU117" s="744"/>
      <c r="AV117" s="744"/>
      <c r="AW117" s="1022"/>
      <c r="AX117" s="744"/>
      <c r="AY117" s="744"/>
      <c r="AZ117" s="744"/>
      <c r="BA117" s="744"/>
      <c r="BB117" s="1984">
        <f>+Premium</f>
        <v>0.05</v>
      </c>
      <c r="BC117" s="744"/>
      <c r="BD117" s="744"/>
      <c r="BE117" s="744"/>
      <c r="BF117" s="744"/>
      <c r="BH117" s="744"/>
      <c r="BI117" s="744"/>
      <c r="BJ117" s="744"/>
      <c r="BK117" s="744"/>
      <c r="BM117" s="744"/>
      <c r="BN117" s="744"/>
      <c r="BO117" s="744"/>
      <c r="BP117" s="744"/>
    </row>
    <row r="118" spans="3:70">
      <c r="C118" t="s">
        <v>43</v>
      </c>
      <c r="E118" s="697"/>
      <c r="F118" s="697"/>
      <c r="G118" s="697"/>
      <c r="H118" s="697"/>
      <c r="I118" s="697"/>
      <c r="J118" s="697"/>
      <c r="K118" s="697"/>
      <c r="L118" s="697"/>
      <c r="M118" s="697"/>
      <c r="N118" s="701"/>
      <c r="O118" s="701"/>
      <c r="P118" s="701"/>
      <c r="Q118" s="701"/>
      <c r="R118" s="701"/>
      <c r="S118" s="701"/>
      <c r="T118" s="701"/>
      <c r="U118" s="701"/>
      <c r="V118" s="701"/>
      <c r="W118" s="701"/>
      <c r="X118" s="701"/>
      <c r="Y118" s="701"/>
      <c r="Z118" s="701"/>
      <c r="AA118" s="701"/>
      <c r="AB118" s="701"/>
      <c r="AC118" s="701"/>
      <c r="AD118" s="701"/>
      <c r="AE118" s="701"/>
      <c r="AF118" s="701"/>
      <c r="AG118" s="701"/>
      <c r="AH118" s="701"/>
      <c r="AI118" s="701"/>
      <c r="AJ118" s="701"/>
      <c r="AK118" s="701"/>
      <c r="AL118" s="701"/>
      <c r="AM118" s="701"/>
      <c r="AN118" s="701"/>
      <c r="AO118" s="701"/>
      <c r="AP118" s="701"/>
      <c r="AQ118" s="701"/>
      <c r="AR118" s="701"/>
      <c r="AS118" s="701"/>
      <c r="AT118" s="701"/>
      <c r="AU118" s="701"/>
      <c r="AV118" s="701"/>
      <c r="AW118" s="701"/>
      <c r="AX118" s="701"/>
      <c r="AY118" s="701"/>
      <c r="AZ118" s="701"/>
      <c r="BA118" s="701"/>
      <c r="BB118" s="701">
        <f>+BB116*(1+BB117)</f>
        <v>18.480000000000004</v>
      </c>
      <c r="BC118" s="701"/>
      <c r="BD118" s="701"/>
      <c r="BE118" s="701"/>
      <c r="BF118" s="701"/>
      <c r="BH118" s="701"/>
      <c r="BI118" s="701"/>
      <c r="BJ118" s="701"/>
      <c r="BK118" s="701"/>
      <c r="BM118" s="701"/>
      <c r="BN118" s="701"/>
      <c r="BO118" s="701"/>
      <c r="BP118" s="701"/>
    </row>
    <row r="119" spans="3:70">
      <c r="C119" s="248" t="s">
        <v>1061</v>
      </c>
      <c r="D119" s="704"/>
      <c r="E119" s="705"/>
      <c r="F119" s="705"/>
      <c r="G119" s="705"/>
      <c r="H119" s="705"/>
      <c r="I119" s="705"/>
      <c r="J119" s="705"/>
      <c r="K119" s="705"/>
      <c r="L119" s="705"/>
      <c r="M119" s="705"/>
      <c r="N119" s="705"/>
      <c r="O119" s="705"/>
      <c r="P119" s="705"/>
      <c r="Q119" s="705"/>
      <c r="R119" s="705"/>
      <c r="S119" s="705"/>
      <c r="T119" s="705"/>
      <c r="U119" s="705"/>
      <c r="V119" s="705"/>
      <c r="W119" s="705"/>
      <c r="X119" s="705"/>
      <c r="Y119" s="705"/>
      <c r="Z119" s="705"/>
      <c r="AA119" s="705"/>
      <c r="AB119" s="705"/>
      <c r="AC119" s="705"/>
      <c r="AD119" s="705"/>
      <c r="AE119" s="705"/>
      <c r="AF119" s="705"/>
      <c r="AG119" s="705"/>
      <c r="AH119" s="705"/>
      <c r="AI119" s="705"/>
      <c r="AJ119" s="705"/>
      <c r="AK119" s="705"/>
      <c r="AL119" s="705"/>
      <c r="AM119" s="705"/>
      <c r="AN119" s="705"/>
      <c r="AO119" s="705"/>
      <c r="AP119" s="705"/>
      <c r="AQ119" s="705"/>
      <c r="AR119" s="705"/>
      <c r="AS119" s="705"/>
      <c r="AT119" s="705"/>
      <c r="AU119" s="705"/>
      <c r="AV119" s="705"/>
      <c r="AW119" s="705"/>
      <c r="AX119" s="705"/>
      <c r="AY119" s="705"/>
      <c r="AZ119" s="705"/>
      <c r="BA119" s="705"/>
      <c r="BB119" s="706">
        <f ca="1">BB114*BB118</f>
        <v>31.297921584277795</v>
      </c>
      <c r="BC119" s="705"/>
      <c r="BD119" s="705"/>
      <c r="BE119" s="705"/>
      <c r="BF119" s="705"/>
      <c r="BH119" s="705"/>
      <c r="BI119" s="705"/>
      <c r="BJ119" s="705"/>
      <c r="BK119" s="705"/>
      <c r="BM119" s="705"/>
      <c r="BN119" s="705"/>
      <c r="BO119" s="705"/>
      <c r="BP119" s="705"/>
    </row>
    <row r="121" spans="3:70">
      <c r="C121" s="4" t="s">
        <v>946</v>
      </c>
      <c r="X121" s="481"/>
      <c r="AC121" s="481"/>
      <c r="AH121" s="481"/>
      <c r="AM121" s="481"/>
      <c r="AR121" s="481"/>
      <c r="AW121" s="481"/>
      <c r="BB121" s="481">
        <f ca="1">+$BY$17</f>
        <v>5.0455183339058882</v>
      </c>
    </row>
    <row r="122" spans="3:70">
      <c r="C122" s="248" t="s">
        <v>1060</v>
      </c>
      <c r="D122" s="704"/>
      <c r="E122" s="742"/>
      <c r="F122" s="742"/>
      <c r="G122" s="742"/>
      <c r="H122" s="742"/>
      <c r="I122" s="742"/>
      <c r="J122" s="742"/>
      <c r="K122" s="742"/>
      <c r="L122" s="742"/>
      <c r="M122" s="742"/>
      <c r="N122" s="705"/>
      <c r="O122" s="705"/>
      <c r="P122" s="705"/>
      <c r="Q122" s="705"/>
      <c r="R122" s="705"/>
      <c r="S122" s="705"/>
      <c r="T122" s="705"/>
      <c r="U122" s="705"/>
      <c r="V122" s="705"/>
      <c r="W122" s="705"/>
      <c r="X122" s="705"/>
      <c r="Y122" s="705"/>
      <c r="Z122" s="705"/>
      <c r="AA122" s="705"/>
      <c r="AB122" s="705"/>
      <c r="AC122" s="705"/>
      <c r="AD122" s="705"/>
      <c r="AE122" s="705"/>
      <c r="AF122" s="705"/>
      <c r="AG122" s="705"/>
      <c r="AH122" s="705"/>
      <c r="AI122" s="705"/>
      <c r="AJ122" s="705"/>
      <c r="AK122" s="705"/>
      <c r="AL122" s="705"/>
      <c r="AM122" s="705"/>
      <c r="AN122" s="705"/>
      <c r="AO122" s="705"/>
      <c r="AP122" s="705"/>
      <c r="AQ122" s="705"/>
      <c r="AR122" s="705"/>
      <c r="AS122" s="705"/>
      <c r="AT122" s="705"/>
      <c r="AU122" s="705"/>
      <c r="AV122" s="705"/>
      <c r="AW122" s="705"/>
      <c r="AX122" s="705"/>
      <c r="AY122" s="705"/>
      <c r="AZ122" s="705"/>
      <c r="BA122" s="705"/>
      <c r="BB122" s="706">
        <f ca="1">+BB121+BB119</f>
        <v>36.343439918183684</v>
      </c>
      <c r="BC122" s="705"/>
      <c r="BD122" s="705"/>
      <c r="BE122" s="705"/>
      <c r="BF122" s="705"/>
      <c r="BH122" s="705"/>
      <c r="BI122" s="705"/>
      <c r="BJ122" s="705"/>
      <c r="BK122" s="705"/>
      <c r="BM122" s="705"/>
      <c r="BN122" s="705"/>
      <c r="BO122" s="705"/>
      <c r="BP122" s="705"/>
    </row>
    <row r="123" spans="3:70">
      <c r="C123" t="s">
        <v>558</v>
      </c>
      <c r="E123" s="697"/>
      <c r="F123" s="697"/>
      <c r="G123" s="697"/>
      <c r="H123" s="697"/>
      <c r="I123" s="697"/>
      <c r="J123" s="697"/>
      <c r="K123" s="697"/>
      <c r="L123" s="697"/>
      <c r="M123" s="697"/>
      <c r="N123" s="481"/>
      <c r="O123" s="481"/>
      <c r="P123" s="481"/>
      <c r="Q123" s="481"/>
      <c r="R123" s="481"/>
      <c r="S123" s="481"/>
      <c r="T123" s="481"/>
      <c r="U123" s="481"/>
      <c r="V123" s="481"/>
      <c r="W123" s="481"/>
      <c r="X123" s="481"/>
      <c r="Y123" s="481"/>
      <c r="Z123" s="481"/>
      <c r="AA123" s="481"/>
      <c r="AB123" s="481"/>
      <c r="AC123" s="481"/>
      <c r="AD123" s="481"/>
      <c r="AE123" s="481"/>
      <c r="AF123" s="481"/>
      <c r="AG123" s="481"/>
      <c r="AH123" s="481"/>
      <c r="AI123" s="481"/>
      <c r="AJ123" s="481"/>
      <c r="AK123" s="481"/>
      <c r="AL123" s="481"/>
      <c r="AM123" s="481"/>
      <c r="AN123" s="481"/>
      <c r="AO123" s="481"/>
      <c r="AP123" s="481"/>
      <c r="AQ123" s="481"/>
      <c r="AR123" s="481"/>
      <c r="AS123" s="481"/>
      <c r="AT123" s="481"/>
      <c r="AU123" s="481"/>
      <c r="AV123" s="481"/>
      <c r="AW123" s="481"/>
      <c r="AX123" s="481"/>
      <c r="AY123" s="481"/>
      <c r="AZ123" s="481"/>
      <c r="BA123" s="481"/>
      <c r="BB123" s="481">
        <f>+$AM$18</f>
        <v>41.14</v>
      </c>
      <c r="BC123" s="481"/>
      <c r="BD123" s="481"/>
      <c r="BE123" s="481"/>
      <c r="BF123" s="481"/>
      <c r="BH123" s="481"/>
      <c r="BI123" s="481"/>
      <c r="BJ123" s="481"/>
      <c r="BK123" s="481"/>
      <c r="BM123" s="481"/>
      <c r="BN123" s="481"/>
      <c r="BO123" s="481"/>
      <c r="BP123" s="481"/>
    </row>
    <row r="124" spans="3:70">
      <c r="AI124" s="517"/>
      <c r="AJ124" s="517"/>
      <c r="AK124" s="517"/>
      <c r="AL124" s="517"/>
      <c r="AN124" s="517"/>
      <c r="AO124" s="517"/>
      <c r="AP124" s="517"/>
      <c r="AQ124" s="517"/>
      <c r="AS124" s="517"/>
      <c r="AT124" s="517"/>
      <c r="AU124" s="517"/>
      <c r="AV124" s="517"/>
      <c r="AX124" s="517"/>
      <c r="AY124" s="517"/>
      <c r="AZ124" s="517"/>
      <c r="BA124" s="517"/>
      <c r="BC124" s="517"/>
      <c r="BD124" s="517"/>
      <c r="BE124" s="517"/>
      <c r="BF124" s="517"/>
      <c r="BH124" s="517"/>
      <c r="BI124" s="517"/>
      <c r="BJ124" s="517"/>
      <c r="BK124" s="517"/>
      <c r="BM124" s="517"/>
      <c r="BN124" s="517"/>
      <c r="BO124" s="517"/>
      <c r="BP124" s="517"/>
    </row>
    <row r="125" spans="3:70">
      <c r="C125" t="s">
        <v>595</v>
      </c>
      <c r="E125" s="697"/>
      <c r="F125" s="697"/>
      <c r="G125" s="697"/>
      <c r="H125" s="697"/>
      <c r="I125" s="697"/>
      <c r="J125" s="697"/>
      <c r="K125" s="697"/>
      <c r="L125" s="697"/>
      <c r="M125" s="697"/>
      <c r="N125" s="517"/>
      <c r="O125" s="517"/>
      <c r="P125" s="517"/>
      <c r="Q125" s="517"/>
      <c r="R125" s="517"/>
      <c r="S125" s="517"/>
      <c r="T125" s="517"/>
      <c r="U125" s="517"/>
      <c r="V125" s="517"/>
      <c r="W125" s="517"/>
      <c r="X125" s="517"/>
      <c r="Y125" s="517"/>
      <c r="Z125" s="517"/>
      <c r="AA125" s="517"/>
      <c r="AB125" s="517"/>
      <c r="AC125" s="517"/>
      <c r="AD125" s="517"/>
      <c r="AE125" s="517"/>
      <c r="AF125" s="517"/>
      <c r="AG125" s="517"/>
      <c r="AH125" s="517"/>
      <c r="AI125" s="517"/>
      <c r="AJ125" s="517"/>
      <c r="AK125" s="517"/>
      <c r="AL125" s="517"/>
      <c r="AM125" s="517"/>
      <c r="AN125" s="517"/>
      <c r="AO125" s="517"/>
      <c r="AP125" s="517"/>
      <c r="AQ125" s="517"/>
      <c r="AR125" s="517"/>
      <c r="AS125" s="517"/>
      <c r="AT125" s="517"/>
      <c r="AU125" s="517"/>
      <c r="AV125" s="517"/>
      <c r="AW125" s="517"/>
      <c r="AX125" s="517"/>
      <c r="AY125" s="517"/>
      <c r="AZ125" s="517"/>
      <c r="BA125" s="517"/>
      <c r="BB125" s="517">
        <f ca="1">+BB122/BB123-1</f>
        <v>-0.11659115415207377</v>
      </c>
      <c r="BC125" s="517"/>
      <c r="BD125" s="517"/>
      <c r="BE125" s="517"/>
      <c r="BF125" s="517"/>
      <c r="BH125" s="517"/>
      <c r="BI125" s="517"/>
      <c r="BJ125" s="517"/>
      <c r="BK125" s="517"/>
      <c r="BM125" s="517"/>
      <c r="BN125" s="517"/>
      <c r="BO125" s="517"/>
      <c r="BP125" s="517"/>
    </row>
    <row r="126" spans="3:70">
      <c r="C126" t="s">
        <v>45</v>
      </c>
      <c r="E126" s="697"/>
      <c r="F126" s="697"/>
      <c r="G126" s="697"/>
      <c r="H126" s="697"/>
      <c r="I126" s="697"/>
      <c r="J126" s="697"/>
      <c r="K126" s="697"/>
      <c r="L126" s="697"/>
      <c r="M126" s="697"/>
      <c r="N126" s="517"/>
      <c r="O126" s="517"/>
      <c r="P126" s="517"/>
      <c r="Q126" s="517"/>
      <c r="R126" s="517"/>
      <c r="S126" s="517"/>
      <c r="T126" s="517"/>
      <c r="U126" s="517"/>
      <c r="V126" s="517"/>
      <c r="W126" s="517"/>
      <c r="X126" s="517"/>
      <c r="Y126" s="517"/>
      <c r="Z126" s="517"/>
      <c r="AA126" s="517"/>
      <c r="AB126" s="517"/>
      <c r="AC126" s="517"/>
      <c r="AD126" s="517"/>
      <c r="AE126" s="517"/>
      <c r="AF126" s="517"/>
      <c r="AG126" s="517"/>
      <c r="AH126" s="517"/>
      <c r="AI126" s="709"/>
      <c r="AJ126" s="709"/>
      <c r="AK126" s="709"/>
      <c r="AL126" s="709"/>
      <c r="AM126" s="517"/>
      <c r="AN126" s="709"/>
      <c r="AO126" s="709"/>
      <c r="AP126" s="709"/>
      <c r="AQ126" s="709"/>
      <c r="AR126" s="517"/>
      <c r="AS126" s="709"/>
      <c r="AT126" s="709"/>
      <c r="AU126" s="709"/>
      <c r="AV126" s="709"/>
      <c r="AW126" s="517"/>
      <c r="AX126" s="709"/>
      <c r="AY126" s="709"/>
      <c r="AZ126" s="709"/>
      <c r="BA126" s="709"/>
      <c r="BB126" s="517">
        <f>+AW20</f>
        <v>3.1842489061740399E-2</v>
      </c>
      <c r="BC126" s="709"/>
      <c r="BD126" s="709"/>
      <c r="BE126" s="709"/>
      <c r="BF126" s="709"/>
      <c r="BH126" s="709"/>
      <c r="BI126" s="709"/>
      <c r="BJ126" s="709"/>
      <c r="BK126" s="709"/>
      <c r="BM126" s="709"/>
      <c r="BN126" s="709"/>
      <c r="BO126" s="709"/>
      <c r="BP126" s="709"/>
    </row>
    <row r="127" spans="3:70">
      <c r="C127" s="248" t="s">
        <v>596</v>
      </c>
      <c r="D127" s="708"/>
      <c r="E127" s="742"/>
      <c r="F127" s="742"/>
      <c r="G127" s="742"/>
      <c r="H127" s="742"/>
      <c r="I127" s="742"/>
      <c r="J127" s="742"/>
      <c r="K127" s="742"/>
      <c r="L127" s="742"/>
      <c r="M127" s="742"/>
      <c r="N127" s="709"/>
      <c r="O127" s="709"/>
      <c r="P127" s="709"/>
      <c r="Q127" s="709"/>
      <c r="R127" s="709"/>
      <c r="S127" s="709"/>
      <c r="T127" s="709"/>
      <c r="U127" s="709"/>
      <c r="V127" s="709"/>
      <c r="W127" s="709"/>
      <c r="X127" s="709"/>
      <c r="Y127" s="709"/>
      <c r="Z127" s="709"/>
      <c r="AA127" s="709"/>
      <c r="AB127" s="709"/>
      <c r="AC127" s="709"/>
      <c r="AD127" s="709"/>
      <c r="AE127" s="709"/>
      <c r="AF127" s="709"/>
      <c r="AG127" s="709"/>
      <c r="AH127" s="709"/>
      <c r="AI127" s="235"/>
      <c r="AJ127" s="235"/>
      <c r="AK127" s="235"/>
      <c r="AL127" s="235"/>
      <c r="AM127" s="709"/>
      <c r="AN127" s="235"/>
      <c r="AO127" s="235"/>
      <c r="AP127" s="235"/>
      <c r="AQ127" s="235"/>
      <c r="AR127" s="709"/>
      <c r="AW127" s="709"/>
      <c r="BB127" s="710">
        <f ca="1">+BB126+BB125</f>
        <v>-8.474866509033338E-2</v>
      </c>
    </row>
    <row r="136" spans="2:70">
      <c r="B136" s="232"/>
      <c r="C136" s="232"/>
      <c r="D136" s="232"/>
      <c r="E136" s="232"/>
      <c r="F136" s="232"/>
      <c r="G136" s="232"/>
      <c r="H136" s="232"/>
      <c r="I136" s="232"/>
      <c r="J136" s="232"/>
      <c r="K136" s="232"/>
      <c r="L136" s="232"/>
      <c r="M136" s="232"/>
      <c r="N136" s="232"/>
      <c r="O136" s="232"/>
      <c r="P136" s="232"/>
      <c r="Q136" s="232"/>
      <c r="R136" s="232"/>
      <c r="S136" s="232"/>
      <c r="T136" s="232"/>
      <c r="U136" s="232"/>
      <c r="V136" s="232"/>
      <c r="W136" s="232"/>
      <c r="X136" s="232"/>
      <c r="Y136" s="232"/>
      <c r="Z136" s="232"/>
      <c r="AA136" s="232"/>
      <c r="AB136" s="232"/>
      <c r="AC136" s="232"/>
      <c r="AD136" s="232"/>
      <c r="AE136" s="232"/>
      <c r="AF136" s="232"/>
      <c r="AG136" s="232"/>
      <c r="AH136" s="232"/>
      <c r="AI136" s="232"/>
      <c r="AJ136" s="232"/>
      <c r="AK136" s="232"/>
      <c r="AL136" s="232"/>
      <c r="AM136" s="232"/>
      <c r="AN136" s="232"/>
      <c r="AO136" s="232"/>
      <c r="AP136" s="232"/>
      <c r="AQ136" s="232"/>
      <c r="AR136" s="232"/>
      <c r="AS136" s="232"/>
      <c r="AT136" s="232"/>
      <c r="AU136" s="232"/>
      <c r="AV136" s="232"/>
      <c r="AW136" s="232"/>
      <c r="AX136" s="232"/>
      <c r="AY136" s="232"/>
      <c r="AZ136" s="232"/>
      <c r="BA136" s="232"/>
      <c r="BB136" s="232"/>
      <c r="BC136" s="232"/>
      <c r="BD136" s="232"/>
      <c r="BE136" s="232"/>
      <c r="BF136" s="232"/>
      <c r="BG136" s="232"/>
      <c r="BH136" s="232"/>
      <c r="BI136" s="232"/>
      <c r="BJ136" s="232"/>
      <c r="BK136" s="232"/>
      <c r="BL136" s="232"/>
      <c r="BM136" s="232"/>
      <c r="BN136" s="232"/>
      <c r="BO136" s="232"/>
      <c r="BP136" s="232"/>
      <c r="BQ136" s="232"/>
    </row>
    <row r="137" spans="2:70">
      <c r="B137" s="232"/>
      <c r="C137" s="232"/>
      <c r="D137" s="232"/>
      <c r="E137" s="232"/>
      <c r="F137" s="232"/>
      <c r="G137" s="232"/>
      <c r="H137" s="232"/>
      <c r="I137" s="232"/>
      <c r="J137" s="232"/>
      <c r="K137" s="232"/>
      <c r="L137" s="232"/>
      <c r="M137" s="232"/>
      <c r="N137" s="232"/>
      <c r="O137" s="232"/>
      <c r="P137" s="232"/>
      <c r="Q137" s="232"/>
      <c r="R137" s="232"/>
      <c r="S137" s="232"/>
      <c r="T137" s="232"/>
      <c r="U137" s="232"/>
      <c r="V137" s="232"/>
      <c r="W137" s="232"/>
      <c r="X137" s="232"/>
      <c r="Y137" s="232"/>
      <c r="Z137" s="232"/>
      <c r="AA137" s="232"/>
      <c r="AB137" s="232"/>
      <c r="AC137" s="232"/>
      <c r="AD137" s="232"/>
      <c r="AE137" s="232"/>
      <c r="AF137" s="232"/>
      <c r="AG137" s="232"/>
      <c r="AH137" s="232"/>
      <c r="AI137" s="232"/>
      <c r="AJ137" s="232"/>
      <c r="AK137" s="232"/>
      <c r="AL137" s="232"/>
      <c r="AM137" s="232"/>
      <c r="AN137" s="232"/>
      <c r="AO137" s="232"/>
      <c r="AP137" s="232"/>
      <c r="AQ137" s="232"/>
      <c r="AR137" s="232"/>
      <c r="AS137" s="232"/>
      <c r="AT137" s="232"/>
      <c r="AU137" s="232"/>
      <c r="AV137" s="232"/>
      <c r="AW137" s="232"/>
      <c r="AX137" s="232"/>
      <c r="AY137" s="232"/>
      <c r="AZ137" s="232"/>
      <c r="BA137" s="232"/>
      <c r="BB137" s="232"/>
      <c r="BC137" s="232"/>
      <c r="BD137" s="232"/>
      <c r="BE137" s="232"/>
      <c r="BF137" s="232"/>
      <c r="BG137" s="232"/>
      <c r="BH137" s="232"/>
      <c r="BI137" s="232"/>
      <c r="BJ137" s="232"/>
      <c r="BK137" s="232"/>
      <c r="BL137" s="232"/>
      <c r="BM137" s="232"/>
      <c r="BN137" s="232"/>
      <c r="BO137" s="232"/>
      <c r="BP137" s="232"/>
      <c r="BQ137" s="232"/>
    </row>
    <row r="139" spans="2:70">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row>
    <row r="140" spans="2:70">
      <c r="BR140" s="232"/>
    </row>
    <row r="141" spans="2:70">
      <c r="BR141" s="232"/>
    </row>
    <row r="143" spans="2:70">
      <c r="BR143" s="34"/>
    </row>
    <row r="145" spans="73:86">
      <c r="CC145"/>
    </row>
    <row r="147" spans="73:86">
      <c r="CF147" s="16"/>
      <c r="CG147" s="16"/>
      <c r="CH147" s="16"/>
    </row>
    <row r="148" spans="73:86">
      <c r="BU148" s="16"/>
      <c r="BV148" s="16"/>
      <c r="BW148" s="16"/>
      <c r="BX148" s="1316"/>
      <c r="BY148" s="2105" t="s">
        <v>710</v>
      </c>
      <c r="BZ148" s="16"/>
      <c r="CA148" s="16"/>
      <c r="CB148" s="16"/>
      <c r="CC148" s="1392"/>
      <c r="CD148" s="16"/>
      <c r="CE148" s="16"/>
    </row>
    <row r="149" spans="73:86">
      <c r="CC149"/>
    </row>
    <row r="150" spans="73:86">
      <c r="CC150"/>
    </row>
    <row r="151" spans="73:86">
      <c r="CC151"/>
    </row>
    <row r="152" spans="73:86">
      <c r="CC152"/>
    </row>
    <row r="153" spans="73:86">
      <c r="CC153"/>
    </row>
    <row r="154" spans="73:86">
      <c r="CC154"/>
    </row>
    <row r="155" spans="73:86">
      <c r="CC155"/>
    </row>
    <row r="156" spans="73:86">
      <c r="CC156"/>
    </row>
    <row r="157" spans="73:86">
      <c r="CC157"/>
    </row>
    <row r="158" spans="73:86">
      <c r="CC158"/>
    </row>
    <row r="159" spans="73:86">
      <c r="CC159"/>
    </row>
    <row r="160" spans="73:86">
      <c r="CC160"/>
    </row>
    <row r="171" spans="1:70">
      <c r="A171" s="16"/>
    </row>
    <row r="172" spans="1:70">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c r="AW172" s="16"/>
      <c r="AX172" s="16"/>
      <c r="AY172" s="16"/>
      <c r="AZ172" s="16"/>
      <c r="BA172" s="16"/>
      <c r="BB172" s="16"/>
      <c r="BC172" s="16"/>
      <c r="BD172" s="16"/>
      <c r="BE172" s="16"/>
      <c r="BF172" s="16"/>
      <c r="BG172" s="16"/>
      <c r="BH172" s="16"/>
      <c r="BI172" s="16"/>
      <c r="BJ172" s="16"/>
      <c r="BK172" s="16"/>
      <c r="BL172" s="16"/>
      <c r="BM172" s="16"/>
      <c r="BN172" s="16"/>
      <c r="BO172" s="16"/>
      <c r="BP172" s="16"/>
      <c r="BQ172" s="16"/>
      <c r="BR172" s="16"/>
    </row>
  </sheetData>
  <phoneticPr fontId="2" type="noConversion"/>
  <pageMargins left="0.1" right="0.03" top="0.08" bottom="7.0000000000000007E-2" header="0" footer="0"/>
  <pageSetup scale="43" orientation="portrait" r:id="rId1"/>
  <headerFooter alignWithMargins="0"/>
  <colBreaks count="1" manualBreakCount="1">
    <brk id="79" max="1048575" man="1"/>
  </col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EI80"/>
  <sheetViews>
    <sheetView zoomScale="85" zoomScaleNormal="85" workbookViewId="0">
      <pane ySplit="5" topLeftCell="A6" activePane="bottomLeft" state="frozen"/>
      <selection activeCell="A5" sqref="A5"/>
      <selection pane="bottomLeft" activeCell="A6" sqref="A6"/>
    </sheetView>
  </sheetViews>
  <sheetFormatPr defaultRowHeight="12.75" outlineLevelCol="2"/>
  <cols>
    <col min="1" max="2" width="2.5703125" customWidth="1"/>
    <col min="3" max="3" width="40.7109375" customWidth="1"/>
    <col min="4" max="4" width="2.7109375" customWidth="1"/>
    <col min="5" max="8" width="1.7109375" hidden="1" customWidth="1" outlineLevel="1"/>
    <col min="9" max="9" width="8.28515625" hidden="1" customWidth="1" outlineLevel="1"/>
    <col min="10" max="13" width="1.7109375" hidden="1" customWidth="1" outlineLevel="1"/>
    <col min="14" max="14" width="8.28515625" hidden="1" customWidth="1" outlineLevel="1"/>
    <col min="15" max="18" width="1.7109375" hidden="1" customWidth="1" outlineLevel="1"/>
    <col min="19" max="19" width="8.28515625" hidden="1" customWidth="1" collapsed="1"/>
    <col min="20" max="23" width="1.7109375" hidden="1" customWidth="1" outlineLevel="1"/>
    <col min="24" max="24" width="8.28515625" customWidth="1" collapsed="1"/>
    <col min="25" max="28" width="1.7109375" hidden="1" customWidth="1" outlineLevel="1"/>
    <col min="29" max="29" width="8.28515625" customWidth="1" collapsed="1"/>
    <col min="30" max="33" width="1.7109375" hidden="1" customWidth="1" outlineLevel="1"/>
    <col min="34" max="34" width="8.28515625" customWidth="1" collapsed="1"/>
    <col min="35" max="38" width="1.7109375" hidden="1" customWidth="1" outlineLevel="1"/>
    <col min="39" max="39" width="8.28515625" customWidth="1" collapsed="1"/>
    <col min="40" max="43" width="1.7109375" hidden="1" customWidth="1" outlineLevel="1"/>
    <col min="44" max="44" width="8.28515625" customWidth="1" collapsed="1"/>
    <col min="45" max="48" width="1.7109375" hidden="1" customWidth="1" outlineLevel="1"/>
    <col min="49" max="49" width="8.28515625" customWidth="1" collapsed="1"/>
    <col min="50" max="53" width="1.7109375" hidden="1" customWidth="1" outlineLevel="1"/>
    <col min="54" max="54" width="8.28515625" customWidth="1" collapsed="1"/>
    <col min="55" max="58" width="1.7109375" hidden="1" customWidth="1" outlineLevel="1"/>
    <col min="59" max="59" width="8.28515625" customWidth="1" collapsed="1"/>
    <col min="60" max="63" width="1.7109375" hidden="1" customWidth="1" outlineLevel="1"/>
    <col min="64" max="64" width="8.28515625" customWidth="1" collapsed="1"/>
    <col min="65" max="68" width="1.7109375" hidden="1" customWidth="1" outlineLevel="1"/>
    <col min="69" max="69" width="8.28515625" customWidth="1" collapsed="1"/>
    <col min="70" max="72" width="2.7109375" customWidth="1"/>
    <col min="73" max="73" width="40.7109375" customWidth="1"/>
    <col min="74" max="74" width="2.7109375" hidden="1" customWidth="1" outlineLevel="1"/>
    <col min="75" max="78" width="1.7109375" hidden="1" customWidth="1" outlineLevel="2"/>
    <col min="79" max="79" width="8.28515625" hidden="1" customWidth="1" outlineLevel="1"/>
    <col min="80" max="83" width="1.7109375" hidden="1" customWidth="1" outlineLevel="2"/>
    <col min="84" max="84" width="8.28515625" hidden="1" customWidth="1" outlineLevel="1"/>
    <col min="85" max="88" width="1.7109375" hidden="1" customWidth="1" outlineLevel="1"/>
    <col min="89" max="89" width="8.28515625" customWidth="1" collapsed="1"/>
    <col min="90" max="93" width="1.7109375" hidden="1" customWidth="1" outlineLevel="1"/>
    <col min="94" max="94" width="8.28515625" customWidth="1" collapsed="1"/>
    <col min="95" max="98" width="1.7109375" hidden="1" customWidth="1" outlineLevel="1"/>
    <col min="99" max="99" width="8.28515625" customWidth="1" collapsed="1"/>
    <col min="100" max="103" width="1.7109375" hidden="1" customWidth="1" outlineLevel="1"/>
    <col min="104" max="104" width="8.28515625" customWidth="1" collapsed="1"/>
    <col min="105" max="108" width="1.7109375" hidden="1" customWidth="1" outlineLevel="1"/>
    <col min="109" max="109" width="9" customWidth="1" collapsed="1"/>
    <col min="110" max="113" width="1.7109375" hidden="1" customWidth="1" outlineLevel="1"/>
    <col min="114" max="114" width="8.5703125" customWidth="1" collapsed="1"/>
    <col min="115" max="118" width="1.7109375" hidden="1" customWidth="1" outlineLevel="1"/>
    <col min="119" max="119" width="8.28515625" customWidth="1" collapsed="1"/>
    <col min="120" max="123" width="1.7109375" hidden="1" customWidth="1" outlineLevel="1"/>
    <col min="124" max="124" width="8.28515625" customWidth="1" collapsed="1"/>
    <col min="125" max="128" width="1.7109375" hidden="1" customWidth="1" outlineLevel="1"/>
    <col min="129" max="129" width="8.28515625" customWidth="1" collapsed="1"/>
    <col min="130" max="133" width="1.7109375" hidden="1" customWidth="1" outlineLevel="1"/>
    <col min="134" max="134" width="8.28515625" customWidth="1" collapsed="1"/>
    <col min="135" max="138" width="1.7109375" hidden="1" customWidth="1" outlineLevel="1"/>
    <col min="139" max="139" width="8.28515625" customWidth="1" collapsed="1"/>
  </cols>
  <sheetData>
    <row r="1" spans="1:139" ht="15" customHeight="1">
      <c r="A1" s="469"/>
      <c r="B1" s="469"/>
      <c r="C1" s="470"/>
      <c r="D1" s="471"/>
      <c r="E1" s="471"/>
      <c r="F1" s="471"/>
      <c r="G1" s="471"/>
      <c r="H1" s="471"/>
      <c r="I1" s="471"/>
      <c r="J1" s="471"/>
      <c r="K1" s="471"/>
      <c r="L1" s="471"/>
      <c r="M1" s="471"/>
      <c r="N1" s="471"/>
      <c r="O1" s="471"/>
      <c r="P1" s="471"/>
      <c r="Q1" s="471"/>
      <c r="R1" s="471"/>
      <c r="S1" s="471"/>
      <c r="T1" s="471"/>
      <c r="U1" s="471"/>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471"/>
      <c r="BS1" s="471"/>
      <c r="BT1" s="471"/>
      <c r="BU1" s="471"/>
      <c r="BV1" s="471"/>
      <c r="BW1" s="471"/>
      <c r="BX1" s="471"/>
      <c r="BY1" s="471"/>
      <c r="BZ1" s="471"/>
      <c r="CA1" s="471"/>
      <c r="CB1" s="471"/>
      <c r="CC1" s="471"/>
      <c r="CD1" s="471"/>
      <c r="CE1" s="471"/>
      <c r="CF1" s="471"/>
      <c r="CG1" s="471"/>
      <c r="CH1" s="471"/>
      <c r="CI1" s="471"/>
      <c r="CJ1" s="471"/>
      <c r="CK1" s="471"/>
      <c r="CL1" s="471"/>
      <c r="CM1" s="471"/>
      <c r="CN1" s="471"/>
      <c r="CO1" s="471"/>
      <c r="CP1" s="471"/>
      <c r="CQ1" s="471"/>
      <c r="CR1" s="471"/>
      <c r="CS1" s="471"/>
      <c r="CT1" s="471"/>
      <c r="CU1" s="471"/>
      <c r="CV1" s="471"/>
      <c r="CW1" s="471"/>
      <c r="CX1" s="471"/>
      <c r="CY1" s="471"/>
      <c r="CZ1" s="471"/>
      <c r="DA1" s="471"/>
      <c r="DB1" s="471"/>
      <c r="DC1" s="471"/>
      <c r="DD1" s="471"/>
      <c r="DE1" s="471"/>
      <c r="DF1" s="471"/>
      <c r="DG1" s="471"/>
      <c r="DH1" s="471"/>
      <c r="DI1" s="471"/>
      <c r="DJ1" s="471"/>
      <c r="DK1" s="471"/>
      <c r="DL1" s="471"/>
      <c r="DM1" s="471"/>
      <c r="DN1" s="471"/>
      <c r="DO1" s="471"/>
      <c r="DP1" s="471"/>
      <c r="DQ1" s="471"/>
      <c r="DR1" s="471"/>
      <c r="DS1" s="471"/>
      <c r="DT1" s="471"/>
      <c r="DU1" s="471"/>
      <c r="DV1" s="471"/>
      <c r="DW1" s="471"/>
      <c r="DX1" s="471"/>
      <c r="DY1" s="471"/>
      <c r="DZ1" s="471"/>
      <c r="EA1" s="471"/>
      <c r="EB1" s="471"/>
      <c r="EC1" s="471"/>
      <c r="ED1" s="471"/>
      <c r="EE1" s="471"/>
      <c r="EF1" s="471"/>
      <c r="EG1" s="471"/>
      <c r="EH1" s="471"/>
      <c r="EI1" s="471"/>
    </row>
    <row r="2" spans="1:139" ht="15" customHeight="1">
      <c r="A2" s="469"/>
      <c r="B2" s="469" t="str">
        <f>Cover!$B$2</f>
        <v>Exelon Corporation</v>
      </c>
      <c r="C2" s="469"/>
      <c r="D2" s="471"/>
      <c r="E2" s="471"/>
      <c r="F2" s="471"/>
      <c r="G2" s="471"/>
      <c r="H2" s="471"/>
      <c r="I2" s="471"/>
      <c r="J2" s="471"/>
      <c r="K2" s="471"/>
      <c r="L2" s="471"/>
      <c r="M2" s="471"/>
      <c r="N2" s="471"/>
      <c r="O2" s="471"/>
      <c r="P2" s="471"/>
      <c r="Q2" s="471"/>
      <c r="R2" s="471"/>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471"/>
      <c r="BS2" s="471"/>
      <c r="BT2" s="471"/>
      <c r="BU2" s="471"/>
      <c r="BV2" s="471"/>
      <c r="BW2" s="471"/>
      <c r="BX2" s="471"/>
      <c r="BY2" s="471"/>
      <c r="BZ2" s="471"/>
      <c r="CA2" s="471"/>
      <c r="CB2" s="471"/>
      <c r="CC2" s="471"/>
      <c r="CD2" s="471"/>
      <c r="CE2" s="471"/>
      <c r="CF2" s="471"/>
      <c r="CG2" s="471"/>
      <c r="CH2" s="471"/>
      <c r="CI2" s="471"/>
      <c r="CJ2" s="471"/>
      <c r="CK2" s="471"/>
      <c r="CL2" s="471"/>
      <c r="CM2" s="471"/>
      <c r="CN2" s="471"/>
      <c r="CO2" s="471"/>
      <c r="CP2" s="471"/>
      <c r="CQ2" s="471"/>
      <c r="CR2" s="471"/>
      <c r="CS2" s="471"/>
      <c r="CT2" s="471"/>
      <c r="CU2" s="471"/>
      <c r="CV2" s="471"/>
      <c r="CW2" s="471"/>
      <c r="CX2" s="471"/>
      <c r="CY2" s="471"/>
      <c r="CZ2" s="471"/>
      <c r="DA2" s="471"/>
      <c r="DB2" s="471"/>
      <c r="DC2" s="471"/>
      <c r="DD2" s="471"/>
      <c r="DE2" s="471"/>
      <c r="DF2" s="471"/>
      <c r="DG2" s="471"/>
      <c r="DH2" s="471"/>
      <c r="DI2" s="471"/>
      <c r="DJ2" s="471"/>
      <c r="DK2" s="471"/>
      <c r="DL2" s="471"/>
      <c r="DM2" s="471"/>
      <c r="DN2" s="471"/>
      <c r="DO2" s="471"/>
      <c r="DP2" s="471"/>
      <c r="DQ2" s="471"/>
      <c r="DR2" s="471"/>
      <c r="DS2" s="471"/>
      <c r="DT2" s="471"/>
      <c r="DU2" s="471"/>
      <c r="DV2" s="471"/>
      <c r="DW2" s="471"/>
      <c r="DX2" s="471"/>
      <c r="DY2" s="471"/>
      <c r="DZ2" s="471"/>
      <c r="EA2" s="471"/>
      <c r="EB2" s="471"/>
      <c r="EC2" s="471"/>
      <c r="ED2" s="471"/>
      <c r="EE2" s="471"/>
      <c r="EF2" s="471"/>
      <c r="EG2" s="471"/>
      <c r="EH2" s="471"/>
      <c r="EI2" s="471"/>
    </row>
    <row r="3" spans="1:139" ht="15" customHeight="1">
      <c r="A3" s="472"/>
      <c r="B3" s="472" t="s">
        <v>411</v>
      </c>
      <c r="C3" s="472"/>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471"/>
      <c r="BS3" s="471"/>
      <c r="BT3" s="471"/>
      <c r="BU3" s="471"/>
      <c r="BV3" s="471"/>
      <c r="BW3" s="471"/>
      <c r="BX3" s="471"/>
      <c r="BY3" s="471"/>
      <c r="BZ3" s="471"/>
      <c r="CA3" s="471"/>
      <c r="CB3" s="471"/>
      <c r="CC3" s="471"/>
      <c r="CD3" s="471"/>
      <c r="CE3" s="471"/>
      <c r="CF3" s="471"/>
      <c r="CG3" s="471"/>
      <c r="CH3" s="471"/>
      <c r="CI3" s="471"/>
      <c r="CJ3" s="471"/>
      <c r="CK3" s="471"/>
      <c r="CL3" s="471"/>
      <c r="CM3" s="471"/>
      <c r="CN3" s="471"/>
      <c r="CO3" s="471"/>
      <c r="CP3" s="471"/>
      <c r="CQ3" s="471"/>
      <c r="CR3" s="471"/>
      <c r="CS3" s="471"/>
      <c r="CT3" s="471"/>
      <c r="CU3" s="471"/>
      <c r="CV3" s="471"/>
      <c r="CW3" s="471"/>
      <c r="CX3" s="471"/>
      <c r="CY3" s="471"/>
      <c r="CZ3" s="471"/>
      <c r="DA3" s="471"/>
      <c r="DB3" s="471"/>
      <c r="DC3" s="471"/>
      <c r="DD3" s="471"/>
      <c r="DE3" s="471"/>
      <c r="DF3" s="471"/>
      <c r="DG3" s="471"/>
      <c r="DH3" s="471"/>
      <c r="DI3" s="471"/>
      <c r="DJ3" s="471"/>
      <c r="DK3" s="471"/>
      <c r="DL3" s="471"/>
      <c r="DM3" s="471"/>
      <c r="DN3" s="471"/>
      <c r="DO3" s="471"/>
      <c r="DP3" s="471"/>
      <c r="DQ3" s="471"/>
      <c r="DR3" s="471"/>
      <c r="DS3" s="471"/>
      <c r="DT3" s="471"/>
      <c r="DU3" s="471"/>
      <c r="DV3" s="471"/>
      <c r="DW3" s="471"/>
      <c r="DX3" s="471"/>
      <c r="DY3" s="471"/>
      <c r="DZ3" s="471"/>
      <c r="EA3" s="471"/>
      <c r="EB3" s="471"/>
      <c r="EC3" s="471"/>
      <c r="ED3" s="471"/>
      <c r="EE3" s="471"/>
      <c r="EF3" s="471"/>
      <c r="EG3" s="471"/>
      <c r="EH3" s="471"/>
      <c r="EI3" s="471"/>
    </row>
    <row r="4" spans="1:139">
      <c r="A4" s="12"/>
      <c r="B4" s="12" t="s">
        <v>694</v>
      </c>
      <c r="C4" s="12"/>
      <c r="D4" s="473"/>
      <c r="E4" s="473"/>
      <c r="F4" s="473"/>
      <c r="G4" s="473"/>
      <c r="H4" s="473"/>
      <c r="I4" s="473"/>
      <c r="J4" s="473"/>
      <c r="K4" s="473"/>
      <c r="L4" s="473"/>
      <c r="M4" s="473"/>
      <c r="N4" s="473"/>
      <c r="O4" s="473"/>
      <c r="P4" s="473"/>
      <c r="Q4" s="473"/>
      <c r="R4" s="473"/>
      <c r="S4" s="473"/>
      <c r="T4" s="473"/>
      <c r="U4" s="473"/>
      <c r="V4" s="473"/>
      <c r="W4" s="473"/>
      <c r="X4" s="473"/>
      <c r="Y4" s="473"/>
      <c r="Z4" s="473"/>
      <c r="AA4" s="473"/>
      <c r="AB4" s="473"/>
      <c r="AC4" s="473"/>
      <c r="AD4" s="473"/>
      <c r="AE4" s="473"/>
      <c r="AF4" s="473"/>
      <c r="AG4" s="473"/>
      <c r="AH4" s="473"/>
      <c r="AI4" s="473"/>
      <c r="AJ4" s="473"/>
      <c r="AK4" s="473"/>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3"/>
      <c r="BM4" s="473"/>
      <c r="BN4" s="473"/>
      <c r="BO4" s="473"/>
      <c r="BP4" s="473"/>
      <c r="BQ4" s="473"/>
      <c r="BR4" s="473"/>
      <c r="BS4" s="473"/>
      <c r="BT4" s="473"/>
      <c r="BU4" s="473"/>
      <c r="BV4" s="473"/>
      <c r="BW4" s="473"/>
      <c r="BX4" s="473"/>
      <c r="BY4" s="473"/>
      <c r="BZ4" s="473"/>
      <c r="CA4" s="473"/>
      <c r="CB4" s="473"/>
      <c r="CC4" s="473"/>
      <c r="CD4" s="473"/>
      <c r="CE4" s="473"/>
      <c r="CF4" s="473"/>
      <c r="CG4" s="473"/>
      <c r="CH4" s="473"/>
      <c r="CI4" s="473"/>
      <c r="CJ4" s="473"/>
      <c r="CK4" s="473"/>
      <c r="CL4" s="473"/>
      <c r="CM4" s="473"/>
      <c r="CN4" s="473"/>
      <c r="CO4" s="473"/>
      <c r="CP4" s="473"/>
      <c r="CQ4" s="473"/>
      <c r="CR4" s="473"/>
      <c r="CS4" s="473"/>
      <c r="CT4" s="473"/>
      <c r="CU4" s="473"/>
      <c r="CV4" s="473"/>
      <c r="CW4" s="473"/>
      <c r="CX4" s="473"/>
      <c r="CY4" s="473"/>
      <c r="CZ4" s="473"/>
      <c r="DA4" s="473"/>
      <c r="DB4" s="473"/>
      <c r="DC4" s="473"/>
      <c r="DD4" s="473"/>
      <c r="DE4" s="473"/>
      <c r="DF4" s="473"/>
      <c r="DG4" s="473"/>
      <c r="DH4" s="473"/>
      <c r="DI4" s="473"/>
      <c r="DJ4" s="473"/>
      <c r="DK4" s="473"/>
      <c r="DL4" s="473"/>
      <c r="DM4" s="473"/>
      <c r="DN4" s="473"/>
      <c r="DO4" s="473"/>
      <c r="DP4" s="473"/>
      <c r="DQ4" s="473"/>
      <c r="DR4" s="473"/>
      <c r="DS4" s="473"/>
      <c r="DT4" s="473"/>
      <c r="DU4" s="473"/>
      <c r="DV4" s="473"/>
      <c r="DW4" s="473"/>
      <c r="DX4" s="473"/>
      <c r="DY4" s="473"/>
      <c r="DZ4" s="473"/>
      <c r="EA4" s="473"/>
      <c r="EB4" s="473"/>
      <c r="EC4" s="473"/>
      <c r="ED4" s="473"/>
      <c r="EE4" s="473"/>
      <c r="EF4" s="473"/>
      <c r="EG4" s="473"/>
      <c r="EH4" s="473"/>
      <c r="EI4" s="473"/>
    </row>
    <row r="5" spans="1:139">
      <c r="A5" s="474"/>
      <c r="B5" s="474" t="s">
        <v>504</v>
      </c>
      <c r="C5" s="474"/>
      <c r="D5" s="475"/>
      <c r="E5" s="476"/>
      <c r="F5" s="476"/>
      <c r="G5" s="476"/>
      <c r="H5" s="476"/>
      <c r="I5" s="476">
        <v>2009</v>
      </c>
      <c r="J5" s="476"/>
      <c r="K5" s="476"/>
      <c r="L5" s="476"/>
      <c r="M5" s="476"/>
      <c r="N5" s="476">
        <f>I5+1</f>
        <v>2010</v>
      </c>
      <c r="O5" s="476"/>
      <c r="P5" s="476"/>
      <c r="Q5" s="476"/>
      <c r="R5" s="476"/>
      <c r="S5" s="476">
        <f>N5+1</f>
        <v>2011</v>
      </c>
      <c r="T5" s="476"/>
      <c r="U5" s="476"/>
      <c r="V5" s="476"/>
      <c r="W5" s="476"/>
      <c r="X5" s="476">
        <f>S5+1</f>
        <v>2012</v>
      </c>
      <c r="Y5" s="476"/>
      <c r="Z5" s="476"/>
      <c r="AA5" s="476"/>
      <c r="AB5" s="476"/>
      <c r="AC5" s="476">
        <f>X5+1</f>
        <v>2013</v>
      </c>
      <c r="AD5" s="476"/>
      <c r="AE5" s="476"/>
      <c r="AF5" s="476"/>
      <c r="AG5" s="476"/>
      <c r="AH5" s="476">
        <f>AC5+1</f>
        <v>2014</v>
      </c>
      <c r="AI5" s="476"/>
      <c r="AJ5" s="476"/>
      <c r="AK5" s="476"/>
      <c r="AL5" s="476"/>
      <c r="AM5" s="476">
        <f>AH5+1</f>
        <v>2015</v>
      </c>
      <c r="AN5" s="476"/>
      <c r="AO5" s="476"/>
      <c r="AP5" s="476"/>
      <c r="AQ5" s="476"/>
      <c r="AR5" s="476">
        <f>AM5+1</f>
        <v>2016</v>
      </c>
      <c r="AS5" s="476"/>
      <c r="AT5" s="476"/>
      <c r="AU5" s="476"/>
      <c r="AV5" s="476"/>
      <c r="AW5" s="476">
        <f>AR5+1</f>
        <v>2017</v>
      </c>
      <c r="AX5" s="476"/>
      <c r="AY5" s="476"/>
      <c r="AZ5" s="476"/>
      <c r="BA5" s="476"/>
      <c r="BB5" s="477">
        <f>AW5+1</f>
        <v>2018</v>
      </c>
      <c r="BC5" s="476"/>
      <c r="BD5" s="476"/>
      <c r="BE5" s="476"/>
      <c r="BF5" s="476"/>
      <c r="BG5" s="477">
        <f>BB5+1</f>
        <v>2019</v>
      </c>
      <c r="BH5" s="476"/>
      <c r="BI5" s="476"/>
      <c r="BJ5" s="476"/>
      <c r="BK5" s="476"/>
      <c r="BL5" s="477">
        <f>BG5+1</f>
        <v>2020</v>
      </c>
      <c r="BM5" s="476"/>
      <c r="BN5" s="476"/>
      <c r="BO5" s="476"/>
      <c r="BP5" s="476"/>
      <c r="BQ5" s="477">
        <f>BL5+1</f>
        <v>2021</v>
      </c>
      <c r="BR5" s="474"/>
      <c r="BS5" s="474" t="s">
        <v>504</v>
      </c>
      <c r="BT5" s="474"/>
      <c r="BU5" s="474"/>
      <c r="BV5" s="475"/>
      <c r="BW5" s="476"/>
      <c r="BX5" s="476"/>
      <c r="BY5" s="476"/>
      <c r="BZ5" s="476"/>
      <c r="CA5" s="476">
        <v>2009</v>
      </c>
      <c r="CB5" s="476"/>
      <c r="CC5" s="476"/>
      <c r="CD5" s="476"/>
      <c r="CE5" s="476"/>
      <c r="CF5" s="476">
        <f>CA5+1</f>
        <v>2010</v>
      </c>
      <c r="CG5" s="476"/>
      <c r="CH5" s="476"/>
      <c r="CI5" s="476"/>
      <c r="CJ5" s="476"/>
      <c r="CK5" s="476">
        <f>CF5+1</f>
        <v>2011</v>
      </c>
      <c r="CL5" s="476"/>
      <c r="CM5" s="476"/>
      <c r="CN5" s="476"/>
      <c r="CO5" s="476"/>
      <c r="CP5" s="476">
        <f>CK5+1</f>
        <v>2012</v>
      </c>
      <c r="CQ5" s="476"/>
      <c r="CR5" s="476"/>
      <c r="CS5" s="476"/>
      <c r="CT5" s="476"/>
      <c r="CU5" s="476">
        <f>CP5+1</f>
        <v>2013</v>
      </c>
      <c r="CV5" s="476"/>
      <c r="CW5" s="476"/>
      <c r="CX5" s="476"/>
      <c r="CY5" s="476"/>
      <c r="CZ5" s="476">
        <f>CU5+1</f>
        <v>2014</v>
      </c>
      <c r="DA5" s="476"/>
      <c r="DB5" s="476"/>
      <c r="DC5" s="476"/>
      <c r="DD5" s="476"/>
      <c r="DE5" s="476">
        <f>CZ5+1</f>
        <v>2015</v>
      </c>
      <c r="DF5" s="476"/>
      <c r="DG5" s="476"/>
      <c r="DH5" s="476"/>
      <c r="DI5" s="476"/>
      <c r="DJ5" s="476">
        <f>DE5+1</f>
        <v>2016</v>
      </c>
      <c r="DK5" s="476"/>
      <c r="DL5" s="476"/>
      <c r="DM5" s="476"/>
      <c r="DN5" s="476"/>
      <c r="DO5" s="476">
        <f>DJ5+1</f>
        <v>2017</v>
      </c>
      <c r="DP5" s="476"/>
      <c r="DQ5" s="476"/>
      <c r="DR5" s="476"/>
      <c r="DS5" s="476"/>
      <c r="DT5" s="477">
        <f>DO5+1</f>
        <v>2018</v>
      </c>
      <c r="DU5" s="476"/>
      <c r="DV5" s="476"/>
      <c r="DW5" s="476"/>
      <c r="DX5" s="476"/>
      <c r="DY5" s="477">
        <f>DT5+1</f>
        <v>2019</v>
      </c>
      <c r="DZ5" s="476"/>
      <c r="EA5" s="476"/>
      <c r="EB5" s="476"/>
      <c r="EC5" s="476"/>
      <c r="ED5" s="477">
        <f>DY5+1</f>
        <v>2020</v>
      </c>
      <c r="EE5" s="476"/>
      <c r="EF5" s="476"/>
      <c r="EG5" s="476"/>
      <c r="EH5" s="476"/>
      <c r="EI5" s="477">
        <f>ED5+1</f>
        <v>2021</v>
      </c>
    </row>
    <row r="6" spans="1:139">
      <c r="B6" s="31"/>
      <c r="C6" s="31"/>
      <c r="D6" s="31"/>
      <c r="I6" s="31"/>
      <c r="N6" s="31"/>
      <c r="S6" s="31"/>
      <c r="X6" s="31"/>
      <c r="AC6" s="31"/>
      <c r="AH6" s="31"/>
      <c r="AM6" s="31"/>
      <c r="AR6" s="31"/>
      <c r="AW6" s="31"/>
      <c r="BB6" s="31"/>
      <c r="BG6" s="31"/>
      <c r="BL6" s="31"/>
      <c r="BQ6" s="31"/>
      <c r="BR6" s="31"/>
      <c r="BS6" s="31"/>
      <c r="BT6" s="31"/>
      <c r="BU6" s="31"/>
      <c r="BV6" s="31"/>
      <c r="CA6" s="31"/>
      <c r="CF6" s="31"/>
      <c r="CK6" s="31"/>
      <c r="CP6" s="31"/>
      <c r="CU6" s="31"/>
      <c r="CZ6" s="31"/>
      <c r="DE6" s="31"/>
      <c r="DJ6" s="31"/>
      <c r="DO6" s="31"/>
      <c r="DT6" s="31"/>
      <c r="DY6" s="31"/>
      <c r="ED6" s="31"/>
      <c r="EI6" s="31"/>
    </row>
    <row r="7" spans="1:139" ht="12.75" customHeight="1">
      <c r="B7" s="231" t="s">
        <v>328</v>
      </c>
      <c r="C7" s="231"/>
      <c r="D7" s="74"/>
      <c r="E7" s="74"/>
      <c r="F7" s="74"/>
      <c r="G7" s="74"/>
      <c r="H7" s="74"/>
      <c r="I7" s="74"/>
      <c r="J7" s="74"/>
      <c r="K7" s="74"/>
      <c r="L7" s="74"/>
      <c r="M7" s="74"/>
      <c r="N7" s="74"/>
      <c r="O7" s="74"/>
      <c r="P7" s="74"/>
      <c r="Q7" s="74"/>
      <c r="R7" s="74"/>
      <c r="S7" s="74"/>
      <c r="T7" s="74"/>
      <c r="U7" s="74"/>
      <c r="V7" s="74"/>
      <c r="W7" s="74"/>
      <c r="X7" s="74"/>
      <c r="Y7" s="74"/>
      <c r="Z7" s="74"/>
      <c r="AA7" s="74"/>
      <c r="AB7" s="74"/>
      <c r="AC7" s="74"/>
      <c r="AD7" s="74"/>
      <c r="AE7" s="74"/>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31"/>
      <c r="BS7" s="31"/>
      <c r="BT7" s="231" t="s">
        <v>329</v>
      </c>
      <c r="BU7" s="231"/>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c r="EA7" s="74"/>
      <c r="EB7" s="74"/>
      <c r="EC7" s="74"/>
      <c r="ED7" s="74"/>
      <c r="EE7" s="74"/>
      <c r="EF7" s="74"/>
      <c r="EG7" s="74"/>
      <c r="EH7" s="74"/>
      <c r="EI7" s="74"/>
    </row>
    <row r="8" spans="1:139" ht="12.75" customHeight="1">
      <c r="B8" s="31"/>
      <c r="C8" s="31"/>
      <c r="D8" s="31"/>
      <c r="E8" s="234"/>
      <c r="F8" s="234"/>
      <c r="G8" s="234"/>
      <c r="H8" s="234"/>
      <c r="I8" s="478"/>
      <c r="J8" s="234"/>
      <c r="K8" s="234"/>
      <c r="L8" s="234"/>
      <c r="M8" s="234"/>
      <c r="N8" s="478"/>
      <c r="O8" s="234"/>
      <c r="P8" s="234"/>
      <c r="Q8" s="234"/>
      <c r="R8" s="234"/>
      <c r="S8" s="478"/>
      <c r="T8" s="234"/>
      <c r="U8" s="234"/>
      <c r="V8" s="234"/>
      <c r="W8" s="234"/>
      <c r="X8" s="1116"/>
      <c r="Y8" s="234"/>
      <c r="Z8" s="234"/>
      <c r="AA8" s="234"/>
      <c r="AB8" s="234"/>
      <c r="AC8" s="1116"/>
      <c r="AD8" s="234"/>
      <c r="AE8" s="234"/>
      <c r="AF8" s="234"/>
      <c r="AG8" s="234"/>
      <c r="AH8" s="1116"/>
      <c r="AI8" s="234"/>
      <c r="AJ8" s="234"/>
      <c r="AK8" s="234"/>
      <c r="AL8" s="234"/>
      <c r="AM8" s="1116"/>
      <c r="AN8" s="234"/>
      <c r="AO8" s="234"/>
      <c r="AP8" s="234"/>
      <c r="AQ8" s="234"/>
      <c r="AR8" s="1116"/>
      <c r="AS8" s="234"/>
      <c r="AT8" s="234"/>
      <c r="AU8" s="234"/>
      <c r="AV8" s="234"/>
      <c r="AW8" s="1116"/>
      <c r="AX8" s="234"/>
      <c r="AY8" s="234"/>
      <c r="AZ8" s="234"/>
      <c r="BA8" s="234"/>
      <c r="BB8" s="1116"/>
      <c r="BC8" s="234"/>
      <c r="BD8" s="234"/>
      <c r="BE8" s="234"/>
      <c r="BF8" s="234"/>
      <c r="BG8" s="1116"/>
      <c r="BH8" s="234"/>
      <c r="BI8" s="234"/>
      <c r="BJ8" s="234"/>
      <c r="BK8" s="234"/>
      <c r="BL8" s="1116"/>
      <c r="BM8" s="234"/>
      <c r="BN8" s="234"/>
      <c r="BO8" s="234"/>
      <c r="BP8" s="234"/>
      <c r="BQ8" s="1116"/>
      <c r="BR8" s="31"/>
      <c r="BS8" s="31"/>
      <c r="BT8" s="31"/>
      <c r="BU8" s="31"/>
      <c r="BV8" s="31"/>
      <c r="CA8" s="31"/>
      <c r="CF8" s="31"/>
      <c r="CK8" s="31"/>
      <c r="CP8" s="31"/>
      <c r="CU8" s="31"/>
      <c r="CZ8" s="31"/>
      <c r="DE8" s="31"/>
      <c r="DJ8" s="31"/>
      <c r="DO8" s="31"/>
      <c r="DT8" s="31"/>
      <c r="DY8" s="31"/>
      <c r="ED8" s="31"/>
      <c r="EI8" s="31"/>
    </row>
    <row r="9" spans="1:139" ht="12.75" customHeight="1">
      <c r="A9" s="479"/>
      <c r="B9" s="31"/>
      <c r="C9" s="34" t="s">
        <v>330</v>
      </c>
      <c r="D9" s="480"/>
      <c r="E9" s="234"/>
      <c r="F9" s="234"/>
      <c r="G9" s="234"/>
      <c r="H9" s="234"/>
      <c r="I9" s="478"/>
      <c r="J9" s="478"/>
      <c r="K9" s="478"/>
      <c r="L9" s="478"/>
      <c r="M9" s="478"/>
      <c r="N9" s="478"/>
      <c r="O9" s="478"/>
      <c r="P9" s="478"/>
      <c r="Q9" s="478"/>
      <c r="R9" s="478"/>
      <c r="S9" s="482"/>
      <c r="T9" s="478"/>
      <c r="U9" s="478"/>
      <c r="V9" s="478"/>
      <c r="W9" s="478"/>
      <c r="X9" s="482"/>
      <c r="Y9" s="1116"/>
      <c r="Z9" s="1116"/>
      <c r="AA9" s="1116"/>
      <c r="AB9" s="1116"/>
      <c r="AC9" s="482"/>
      <c r="AD9" s="1116"/>
      <c r="AE9" s="1116"/>
      <c r="AF9" s="1116"/>
      <c r="AG9" s="1116"/>
      <c r="AH9" s="482"/>
      <c r="AI9" s="1116"/>
      <c r="AJ9" s="1116"/>
      <c r="AK9" s="1116"/>
      <c r="AL9" s="1116"/>
      <c r="AM9" s="482"/>
      <c r="AN9" s="1116"/>
      <c r="AO9" s="1116"/>
      <c r="AP9" s="1116"/>
      <c r="AQ9" s="1116"/>
      <c r="AR9" s="482"/>
      <c r="AS9" s="1116"/>
      <c r="AT9" s="1116"/>
      <c r="AU9" s="1116"/>
      <c r="AV9" s="1116"/>
      <c r="AW9" s="482"/>
      <c r="AX9" s="1116"/>
      <c r="AY9" s="1116"/>
      <c r="AZ9" s="1116"/>
      <c r="BA9" s="1116"/>
      <c r="BB9" s="482"/>
      <c r="BC9" s="1116"/>
      <c r="BD9" s="1116"/>
      <c r="BE9" s="1116"/>
      <c r="BF9" s="1116"/>
      <c r="BG9" s="482"/>
      <c r="BH9" s="1116"/>
      <c r="BI9" s="1116"/>
      <c r="BJ9" s="1116"/>
      <c r="BK9" s="1116"/>
      <c r="BL9" s="482"/>
      <c r="BM9" s="1116"/>
      <c r="BN9" s="1116"/>
      <c r="BO9" s="1116"/>
      <c r="BP9" s="1116"/>
      <c r="BQ9" s="482"/>
      <c r="BR9" s="31"/>
      <c r="BS9" s="31"/>
      <c r="BT9" s="31"/>
      <c r="BU9" s="34" t="s">
        <v>493</v>
      </c>
      <c r="BV9" s="34"/>
      <c r="BW9" s="34"/>
      <c r="BX9" s="34"/>
      <c r="BY9" s="34"/>
      <c r="BZ9" s="34"/>
      <c r="CA9" s="467">
        <f>EXC!I228</f>
        <v>2010</v>
      </c>
      <c r="CB9" s="34"/>
      <c r="CC9" s="34"/>
      <c r="CD9" s="34"/>
      <c r="CE9" s="34"/>
      <c r="CF9" s="467">
        <f>EXC!N228</f>
        <v>1612</v>
      </c>
      <c r="CG9" s="34">
        <f>EXC!O228</f>
        <v>487</v>
      </c>
      <c r="CH9" s="34">
        <f>EXC!P228</f>
        <v>562</v>
      </c>
      <c r="CI9" s="34">
        <f>EXC!Q228</f>
        <v>1071</v>
      </c>
      <c r="CJ9" s="34">
        <f>EXC!R228</f>
        <v>1016</v>
      </c>
      <c r="CK9" s="467">
        <f>EXC!S228</f>
        <v>1016</v>
      </c>
      <c r="CL9" s="34">
        <f>EXC!T228</f>
        <v>721</v>
      </c>
      <c r="CM9" s="34">
        <f>EXC!U228</f>
        <v>1349</v>
      </c>
      <c r="CN9" s="34">
        <f>EXC!V227</f>
        <v>0</v>
      </c>
      <c r="CO9" s="34">
        <f>EXC!W228</f>
        <v>1486</v>
      </c>
      <c r="CP9" s="467">
        <f>EXC!X228</f>
        <v>1486</v>
      </c>
      <c r="CQ9" s="34">
        <f>EXC!Y228</f>
        <v>772</v>
      </c>
      <c r="CR9" s="34">
        <f>EXC!Z228</f>
        <v>991</v>
      </c>
      <c r="CS9" s="34">
        <f>EXC!AA228</f>
        <v>1644</v>
      </c>
      <c r="CT9" s="34">
        <f>EXC!AB228</f>
        <v>1609</v>
      </c>
      <c r="CU9" s="467">
        <f>EXC!AC228</f>
        <v>1609</v>
      </c>
      <c r="CV9" s="34">
        <f>EXC!AD228</f>
        <v>914</v>
      </c>
      <c r="CW9" s="34">
        <f>EXC!AE228</f>
        <v>1362</v>
      </c>
      <c r="CX9" s="34">
        <f>EXC!AF228</f>
        <v>2763</v>
      </c>
      <c r="CY9" s="34">
        <f>EXC!AG228</f>
        <v>1878</v>
      </c>
      <c r="CZ9" s="467">
        <f>EXC!AH228</f>
        <v>1878</v>
      </c>
      <c r="DA9" s="34">
        <f>EXC!AI228</f>
        <v>1825</v>
      </c>
      <c r="DB9" s="34">
        <f>EXC!AJ228</f>
        <v>6014</v>
      </c>
      <c r="DC9" s="34">
        <f>EXC!AK228</f>
        <v>7265</v>
      </c>
      <c r="DD9" s="34">
        <f>EXC!AL228</f>
        <v>6502</v>
      </c>
      <c r="DE9" s="467">
        <f>EXC!AM228</f>
        <v>6502</v>
      </c>
      <c r="DF9" s="34">
        <f>EXC!AN228</f>
        <v>960</v>
      </c>
      <c r="DG9" s="34">
        <f>EXC!AO228</f>
        <v>1647</v>
      </c>
      <c r="DH9" s="34">
        <f>EXC!AP228</f>
        <v>1897</v>
      </c>
      <c r="DI9" s="34">
        <f>EXC!AQ228</f>
        <v>635</v>
      </c>
      <c r="DJ9" s="467">
        <f>EXC!AR228</f>
        <v>635</v>
      </c>
      <c r="DK9" s="34">
        <f>EXC!AS228</f>
        <v>609</v>
      </c>
      <c r="DL9" s="34">
        <f>EXC!AT228</f>
        <v>536</v>
      </c>
      <c r="DM9" s="34">
        <f>EXC!AU228</f>
        <v>1203</v>
      </c>
      <c r="DN9" s="34">
        <f>EXC!AV228</f>
        <v>898</v>
      </c>
      <c r="DO9" s="467">
        <f>EXC!AW228</f>
        <v>898</v>
      </c>
      <c r="DP9" s="34">
        <f>EXC!AX228</f>
        <v>0</v>
      </c>
      <c r="DQ9" s="34">
        <f ca="1">EXC!AY228</f>
        <v>0</v>
      </c>
      <c r="DR9" s="34">
        <f ca="1">EXC!AZ228</f>
        <v>1039.5227764907393</v>
      </c>
      <c r="DS9" s="34">
        <f ca="1">EXC!BA228</f>
        <v>486.71576679205714</v>
      </c>
      <c r="DT9" s="467">
        <f ca="1">EXC!BB228</f>
        <v>486.71576679205714</v>
      </c>
      <c r="DU9" s="34">
        <f ca="1">EXC!BC228</f>
        <v>706.84714678081423</v>
      </c>
      <c r="DV9" s="34">
        <f ca="1">EXC!BD228</f>
        <v>274.13893044859122</v>
      </c>
      <c r="DW9" s="34">
        <f ca="1">EXC!BE228</f>
        <v>1547.9706317560078</v>
      </c>
      <c r="DX9" s="34">
        <f ca="1">EXC!BF228</f>
        <v>520.9569347099748</v>
      </c>
      <c r="DY9" s="467">
        <f ca="1">EXC!BG228</f>
        <v>520.9569347099748</v>
      </c>
      <c r="DZ9" s="34">
        <f ca="1">EXC!BH228</f>
        <v>0</v>
      </c>
      <c r="EA9" s="34">
        <f ca="1">EXC!BI228</f>
        <v>0</v>
      </c>
      <c r="EB9" s="34">
        <f ca="1">EXC!BJ228</f>
        <v>475.28999173225247</v>
      </c>
      <c r="EC9" s="34">
        <f ca="1">EXC!BK228</f>
        <v>0</v>
      </c>
      <c r="ED9" s="467">
        <f ca="1">EXC!BL228</f>
        <v>0</v>
      </c>
      <c r="EE9" s="34">
        <f ca="1">EXC!BM228</f>
        <v>0</v>
      </c>
      <c r="EF9" s="34">
        <f ca="1">EXC!BN228</f>
        <v>0</v>
      </c>
      <c r="EG9" s="34">
        <f ca="1">EXC!BO228</f>
        <v>602.25203068639075</v>
      </c>
      <c r="EH9" s="34">
        <f ca="1">EXC!BP228</f>
        <v>119.86938476350338</v>
      </c>
      <c r="EI9" s="467">
        <f ca="1">EXC!BQ228</f>
        <v>119.86938476350338</v>
      </c>
    </row>
    <row r="10" spans="1:139" ht="12.75" customHeight="1">
      <c r="A10" s="479"/>
      <c r="B10" s="468"/>
      <c r="C10" s="391" t="s">
        <v>1304</v>
      </c>
      <c r="D10" s="466"/>
      <c r="E10" s="481"/>
      <c r="F10" s="481"/>
      <c r="G10" s="481"/>
      <c r="H10" s="481"/>
      <c r="I10" s="482">
        <f>EXC!I78</f>
        <v>3.1601208459214503</v>
      </c>
      <c r="J10" s="483"/>
      <c r="K10" s="483"/>
      <c r="L10" s="483"/>
      <c r="M10" s="483"/>
      <c r="N10" s="482">
        <f>EXC!N78</f>
        <v>2.9079939668174961</v>
      </c>
      <c r="O10" s="483"/>
      <c r="P10" s="483"/>
      <c r="Q10" s="483"/>
      <c r="R10" s="483"/>
      <c r="S10" s="482">
        <f>EXC!S78</f>
        <v>3.0105263157894737</v>
      </c>
      <c r="T10" s="483"/>
      <c r="U10" s="483"/>
      <c r="V10" s="483"/>
      <c r="W10" s="483"/>
      <c r="X10" s="482">
        <f>EXC!X78</f>
        <v>1.8901098901098901</v>
      </c>
      <c r="Y10" s="483"/>
      <c r="Z10" s="483"/>
      <c r="AA10" s="483"/>
      <c r="AB10" s="483"/>
      <c r="AC10" s="923">
        <f>EXC!AC78</f>
        <v>1.3976744186046512</v>
      </c>
      <c r="AD10" s="924"/>
      <c r="AE10" s="924"/>
      <c r="AF10" s="924"/>
      <c r="AG10" s="924"/>
      <c r="AH10" s="923">
        <f>EXC!AH78</f>
        <v>1.3368055555555556</v>
      </c>
      <c r="AI10" s="924"/>
      <c r="AJ10" s="924"/>
      <c r="AK10" s="924"/>
      <c r="AL10" s="924"/>
      <c r="AM10" s="923">
        <f>EXC!AM78</f>
        <v>1.4031354983202688</v>
      </c>
      <c r="AN10" s="924"/>
      <c r="AO10" s="924"/>
      <c r="AP10" s="924"/>
      <c r="AQ10" s="924"/>
      <c r="AR10" s="923">
        <f>EXC!AR78</f>
        <v>1.2740021574973031</v>
      </c>
      <c r="AS10" s="924"/>
      <c r="AT10" s="924"/>
      <c r="AU10" s="924"/>
      <c r="AV10" s="924"/>
      <c r="AW10" s="923">
        <f>EXC!AW78</f>
        <v>1.0252897787144362</v>
      </c>
      <c r="AX10" s="924"/>
      <c r="AY10" s="924"/>
      <c r="AZ10" s="924"/>
      <c r="BA10" s="924"/>
      <c r="BB10" s="923">
        <f ca="1">EXC!BB78</f>
        <v>1.3614617459216412</v>
      </c>
      <c r="BC10" s="924"/>
      <c r="BD10" s="924"/>
      <c r="BE10" s="924"/>
      <c r="BF10" s="924"/>
      <c r="BG10" s="923">
        <f ca="1">EXC!BG78</f>
        <v>1.0853586048340591</v>
      </c>
      <c r="BH10" s="924"/>
      <c r="BI10" s="924"/>
      <c r="BJ10" s="924"/>
      <c r="BK10" s="924"/>
      <c r="BL10" s="923">
        <f ca="1">EXC!BL78</f>
        <v>0.87632824193144221</v>
      </c>
      <c r="BM10" s="924"/>
      <c r="BN10" s="924"/>
      <c r="BO10" s="924"/>
      <c r="BP10" s="924"/>
      <c r="BQ10" s="923">
        <f ca="1">EXC!BQ78</f>
        <v>0.98462970093463387</v>
      </c>
      <c r="BR10" s="31"/>
      <c r="BS10" s="31"/>
      <c r="BT10" s="31"/>
      <c r="BU10" s="232"/>
      <c r="BV10" s="484"/>
      <c r="CA10" s="478"/>
      <c r="CF10" s="478"/>
      <c r="CK10" s="478"/>
      <c r="CP10" s="478"/>
      <c r="CU10" s="478"/>
      <c r="CZ10" s="478"/>
      <c r="DE10" s="478"/>
      <c r="DJ10" s="478"/>
      <c r="DO10" s="478"/>
      <c r="DT10" s="478"/>
      <c r="DY10" s="478"/>
      <c r="ED10" s="478"/>
      <c r="EI10" s="478"/>
    </row>
    <row r="11" spans="1:139" ht="12.75" customHeight="1">
      <c r="A11" s="479"/>
      <c r="B11" s="468"/>
      <c r="C11" s="391" t="s">
        <v>1305</v>
      </c>
      <c r="D11" s="466"/>
      <c r="E11" s="481"/>
      <c r="F11" s="481"/>
      <c r="G11" s="481"/>
      <c r="H11" s="481"/>
      <c r="I11" s="482">
        <f>EXC!I79</f>
        <v>0.53776435045317217</v>
      </c>
      <c r="J11" s="483"/>
      <c r="K11" s="483"/>
      <c r="L11" s="483"/>
      <c r="M11" s="483"/>
      <c r="N11" s="482">
        <f>EXC!N79</f>
        <v>0.68174962292609353</v>
      </c>
      <c r="O11" s="483"/>
      <c r="P11" s="483"/>
      <c r="Q11" s="483"/>
      <c r="R11" s="483"/>
      <c r="S11" s="482">
        <f>EXC!S79</f>
        <v>0.60601503759398501</v>
      </c>
      <c r="T11" s="483"/>
      <c r="U11" s="483"/>
      <c r="V11" s="483"/>
      <c r="W11" s="483"/>
      <c r="X11" s="482">
        <f>EXC!X79</f>
        <v>0.46520146520146521</v>
      </c>
      <c r="Y11" s="483"/>
      <c r="Z11" s="483"/>
      <c r="AA11" s="483"/>
      <c r="AB11" s="483"/>
      <c r="AC11" s="482">
        <f>EXC!AC79</f>
        <v>0.48953488372093024</v>
      </c>
      <c r="AD11" s="483"/>
      <c r="AE11" s="483"/>
      <c r="AF11" s="483"/>
      <c r="AG11" s="483"/>
      <c r="AH11" s="482">
        <f>EXC!AH79</f>
        <v>0.47453703703703703</v>
      </c>
      <c r="AI11" s="483"/>
      <c r="AJ11" s="483"/>
      <c r="AK11" s="483"/>
      <c r="AL11" s="483"/>
      <c r="AM11" s="482">
        <f>EXC!AM79</f>
        <v>0.48376259798432253</v>
      </c>
      <c r="AN11" s="483"/>
      <c r="AO11" s="483"/>
      <c r="AP11" s="483"/>
      <c r="AQ11" s="483"/>
      <c r="AR11" s="482">
        <f>EXC!AR79</f>
        <v>0.56526429341963325</v>
      </c>
      <c r="AS11" s="483"/>
      <c r="AT11" s="483"/>
      <c r="AU11" s="483"/>
      <c r="AV11" s="483"/>
      <c r="AW11" s="482">
        <f>EXC!AW79</f>
        <v>0.62381454162276084</v>
      </c>
      <c r="AX11" s="483"/>
      <c r="AY11" s="483"/>
      <c r="AZ11" s="483"/>
      <c r="BA11" s="483"/>
      <c r="BB11" s="482">
        <f ca="1">EXC!BB79</f>
        <v>0.68198387081958167</v>
      </c>
      <c r="BC11" s="483"/>
      <c r="BD11" s="483"/>
      <c r="BE11" s="483"/>
      <c r="BF11" s="483"/>
      <c r="BG11" s="482">
        <f ca="1">EXC!BG79</f>
        <v>0.68454289078858122</v>
      </c>
      <c r="BH11" s="483"/>
      <c r="BI11" s="483"/>
      <c r="BJ11" s="483"/>
      <c r="BK11" s="483"/>
      <c r="BL11" s="482">
        <f ca="1">EXC!BL79</f>
        <v>0.72581506461146006</v>
      </c>
      <c r="BM11" s="483"/>
      <c r="BN11" s="483"/>
      <c r="BO11" s="483"/>
      <c r="BP11" s="483"/>
      <c r="BQ11" s="482">
        <f ca="1">EXC!BQ79</f>
        <v>0.76658797746767116</v>
      </c>
      <c r="BR11" s="31"/>
      <c r="BS11" s="31"/>
      <c r="BT11" s="31"/>
      <c r="BU11" s="232" t="s">
        <v>397</v>
      </c>
      <c r="BV11" s="484"/>
      <c r="CA11" s="485">
        <f>EXC!I230</f>
        <v>155</v>
      </c>
      <c r="CF11" s="485">
        <f>EXC!N230</f>
        <v>225</v>
      </c>
      <c r="CG11">
        <f>EXC!O230</f>
        <v>275</v>
      </c>
      <c r="CH11">
        <f>EXC!P230</f>
        <v>365</v>
      </c>
      <c r="CI11">
        <f>EXC!Q230</f>
        <v>687</v>
      </c>
      <c r="CJ11">
        <f>EXC!R230</f>
        <v>388</v>
      </c>
      <c r="CK11" s="485">
        <f>EXC!S230</f>
        <v>388</v>
      </c>
      <c r="CL11">
        <f>EXC!T230</f>
        <v>564</v>
      </c>
      <c r="CM11">
        <f>EXC!U230</f>
        <v>601</v>
      </c>
      <c r="CN11">
        <f>EXC!V229</f>
        <v>0</v>
      </c>
      <c r="CO11">
        <f>EXC!W230</f>
        <v>210</v>
      </c>
      <c r="CP11" s="485">
        <f>EXC!X230</f>
        <v>210</v>
      </c>
      <c r="CQ11">
        <f>EXC!Y230</f>
        <v>443</v>
      </c>
      <c r="CR11">
        <f>EXC!Z230</f>
        <v>872</v>
      </c>
      <c r="CS11">
        <f>EXC!AA230</f>
        <v>214</v>
      </c>
      <c r="CT11">
        <f>EXC!AB230</f>
        <v>341</v>
      </c>
      <c r="CU11" s="485">
        <f>EXC!AC230</f>
        <v>341</v>
      </c>
      <c r="CV11">
        <f>EXC!AD230</f>
        <v>980</v>
      </c>
      <c r="CW11">
        <f>EXC!AE230</f>
        <v>621</v>
      </c>
      <c r="CX11">
        <f>EXC!AF230</f>
        <v>562</v>
      </c>
      <c r="CY11">
        <f>EXC!AG230</f>
        <v>460</v>
      </c>
      <c r="CZ11" s="485">
        <f>EXC!AH230</f>
        <v>460</v>
      </c>
      <c r="DA11">
        <f>EXC!AI230</f>
        <v>309</v>
      </c>
      <c r="DB11">
        <f>EXC!AJ230</f>
        <v>543</v>
      </c>
      <c r="DC11">
        <f>EXC!AK230</f>
        <v>675</v>
      </c>
      <c r="DD11">
        <f>EXC!AL230</f>
        <v>533</v>
      </c>
      <c r="DE11" s="485">
        <f>EXC!AM230</f>
        <v>533</v>
      </c>
      <c r="DF11">
        <f>EXC!AN230</f>
        <v>3640</v>
      </c>
      <c r="DG11">
        <f>EXC!AO230</f>
        <v>951</v>
      </c>
      <c r="DH11">
        <f>EXC!AP230</f>
        <v>567</v>
      </c>
      <c r="DI11">
        <f>EXC!AQ230</f>
        <v>1267</v>
      </c>
      <c r="DJ11" s="485">
        <f>EXC!AR230</f>
        <v>1267</v>
      </c>
      <c r="DK11">
        <f>EXC!AS230</f>
        <v>2048</v>
      </c>
      <c r="DL11">
        <f>EXC!AT230</f>
        <v>1757</v>
      </c>
      <c r="DM11">
        <f>EXC!AU230</f>
        <v>710</v>
      </c>
      <c r="DN11">
        <f>EXC!AV230</f>
        <v>929</v>
      </c>
      <c r="DO11" s="485">
        <f>EXC!AW230</f>
        <v>929</v>
      </c>
      <c r="DP11">
        <f>EXC!AX230</f>
        <v>1361.9724788846556</v>
      </c>
      <c r="DQ11">
        <f ca="1">EXC!AY230</f>
        <v>2001.7371327639496</v>
      </c>
      <c r="DR11">
        <f ca="1">EXC!AZ230</f>
        <v>0</v>
      </c>
      <c r="DS11">
        <f ca="1">EXC!BA230</f>
        <v>0</v>
      </c>
      <c r="DT11" s="485">
        <f ca="1">EXC!BB230</f>
        <v>0</v>
      </c>
      <c r="DU11">
        <f ca="1">EXC!BC230</f>
        <v>0</v>
      </c>
      <c r="DV11">
        <f ca="1">EXC!BD230</f>
        <v>0</v>
      </c>
      <c r="DW11">
        <f ca="1">EXC!BE230</f>
        <v>0</v>
      </c>
      <c r="DX11">
        <f ca="1">EXC!BF230</f>
        <v>0</v>
      </c>
      <c r="DY11" s="485">
        <f ca="1">EXC!BG230</f>
        <v>0</v>
      </c>
      <c r="DZ11">
        <f ca="1">EXC!BH230</f>
        <v>371.67467730403632</v>
      </c>
      <c r="EA11">
        <f ca="1">EXC!BI230</f>
        <v>1787.3630249995899</v>
      </c>
      <c r="EB11">
        <f ca="1">EXC!BJ230</f>
        <v>0</v>
      </c>
      <c r="EC11">
        <f ca="1">EXC!BK230</f>
        <v>1009.3445071001247</v>
      </c>
      <c r="ED11" s="485">
        <f ca="1">EXC!BL230</f>
        <v>1009.3445071001247</v>
      </c>
      <c r="EE11">
        <f ca="1">EXC!BM230</f>
        <v>1779.1555952424314</v>
      </c>
      <c r="EF11">
        <f ca="1">EXC!BN230</f>
        <v>2362.0495348658651</v>
      </c>
      <c r="EG11">
        <f ca="1">EXC!BO230</f>
        <v>0</v>
      </c>
      <c r="EH11">
        <f ca="1">EXC!BP230</f>
        <v>0</v>
      </c>
      <c r="EI11" s="485">
        <f ca="1">EXC!BQ230</f>
        <v>0</v>
      </c>
    </row>
    <row r="12" spans="1:139" ht="12.75" customHeight="1">
      <c r="A12" s="479"/>
      <c r="B12" s="468"/>
      <c r="C12" s="391" t="s">
        <v>1306</v>
      </c>
      <c r="D12" s="31"/>
      <c r="I12" s="482">
        <f>EXC!I80</f>
        <v>0.53474320241691842</v>
      </c>
      <c r="J12" s="482"/>
      <c r="K12" s="482"/>
      <c r="L12" s="482"/>
      <c r="M12" s="482"/>
      <c r="N12" s="482">
        <f>EXC!N80</f>
        <v>0.53544494720965308</v>
      </c>
      <c r="O12" s="482"/>
      <c r="P12" s="482"/>
      <c r="Q12" s="482"/>
      <c r="R12" s="482"/>
      <c r="S12" s="482">
        <f>EXC!S80</f>
        <v>0.58345864661654134</v>
      </c>
      <c r="T12" s="482"/>
      <c r="U12" s="482"/>
      <c r="V12" s="482"/>
      <c r="W12" s="482"/>
      <c r="X12" s="482">
        <f>EXC!X80</f>
        <v>0.47252747252747196</v>
      </c>
      <c r="Y12" s="482"/>
      <c r="Z12" s="482"/>
      <c r="AA12" s="482"/>
      <c r="AB12" s="482"/>
      <c r="AC12" s="482">
        <f>EXC!AC80</f>
        <v>0.4569767441860465</v>
      </c>
      <c r="AD12" s="482"/>
      <c r="AE12" s="482"/>
      <c r="AF12" s="482"/>
      <c r="AG12" s="482"/>
      <c r="AH12" s="482">
        <f>EXC!AH80</f>
        <v>0.40856481481481483</v>
      </c>
      <c r="AI12" s="482"/>
      <c r="AJ12" s="482"/>
      <c r="AK12" s="482"/>
      <c r="AL12" s="482"/>
      <c r="AM12" s="482">
        <f>EXC!AM80</f>
        <v>0.42553191489361702</v>
      </c>
      <c r="AN12" s="482"/>
      <c r="AO12" s="482"/>
      <c r="AP12" s="482"/>
      <c r="AQ12" s="482"/>
      <c r="AR12" s="482">
        <f>EXC!AR80</f>
        <v>0.47896440129449835</v>
      </c>
      <c r="AS12" s="482"/>
      <c r="AT12" s="482"/>
      <c r="AU12" s="482"/>
      <c r="AV12" s="482"/>
      <c r="AW12" s="482">
        <f>EXC!AW80</f>
        <v>0.44994731296101159</v>
      </c>
      <c r="AX12" s="482"/>
      <c r="AY12" s="482"/>
      <c r="AZ12" s="482"/>
      <c r="BA12" s="482"/>
      <c r="BB12" s="482">
        <f ca="1">EXC!BB80</f>
        <v>0.44728938989601136</v>
      </c>
      <c r="BC12" s="482"/>
      <c r="BD12" s="482"/>
      <c r="BE12" s="482"/>
      <c r="BF12" s="482"/>
      <c r="BG12" s="482">
        <f ca="1">EXC!BG80</f>
        <v>0.48266456100344329</v>
      </c>
      <c r="BH12" s="482"/>
      <c r="BI12" s="482"/>
      <c r="BJ12" s="482"/>
      <c r="BK12" s="482"/>
      <c r="BL12" s="482">
        <f ca="1">EXC!BL80</f>
        <v>0.5245985462497631</v>
      </c>
      <c r="BM12" s="482"/>
      <c r="BN12" s="482"/>
      <c r="BO12" s="482"/>
      <c r="BP12" s="482"/>
      <c r="BQ12" s="482">
        <f ca="1">EXC!BQ80</f>
        <v>0.55381981932382007</v>
      </c>
      <c r="BR12" s="31"/>
      <c r="BS12" s="31"/>
      <c r="BT12" s="31"/>
      <c r="BU12" s="232" t="s">
        <v>398</v>
      </c>
      <c r="BV12" s="484"/>
      <c r="CA12" s="485">
        <f>EXC!I231</f>
        <v>12439</v>
      </c>
      <c r="CF12" s="485">
        <f>EXC!N231</f>
        <v>12603</v>
      </c>
      <c r="CG12">
        <f>EXC!O231</f>
        <v>13201</v>
      </c>
      <c r="CH12">
        <f>EXC!P231</f>
        <v>13202</v>
      </c>
      <c r="CI12">
        <f>EXC!Q231</f>
        <v>13804</v>
      </c>
      <c r="CJ12">
        <f>EXC!R231</f>
        <v>13017</v>
      </c>
      <c r="CK12" s="485">
        <f>EXC!S231</f>
        <v>13017</v>
      </c>
      <c r="CL12">
        <f>EXC!T231</f>
        <v>18193</v>
      </c>
      <c r="CM12">
        <f>EXC!U231</f>
        <v>18764</v>
      </c>
      <c r="CN12">
        <f>EXC!V230</f>
        <v>285</v>
      </c>
      <c r="CO12">
        <f>EXC!W231</f>
        <v>19393</v>
      </c>
      <c r="CP12" s="485">
        <f>EXC!X231</f>
        <v>19393</v>
      </c>
      <c r="CQ12">
        <f>EXC!Y231</f>
        <v>19519</v>
      </c>
      <c r="CR12">
        <f>EXC!Z231</f>
        <v>19249</v>
      </c>
      <c r="CS12">
        <f>EXC!AA231</f>
        <v>20213</v>
      </c>
      <c r="CT12">
        <f>EXC!AB231</f>
        <v>19780</v>
      </c>
      <c r="CU12" s="485">
        <f>EXC!AC231</f>
        <v>19780</v>
      </c>
      <c r="CV12">
        <f>EXC!AD231</f>
        <v>19568</v>
      </c>
      <c r="CW12">
        <f>EXC!AE231</f>
        <v>20828</v>
      </c>
      <c r="CX12">
        <f>EXC!AF231</f>
        <v>21912</v>
      </c>
      <c r="CY12">
        <f>EXC!AG231</f>
        <v>21812</v>
      </c>
      <c r="CZ12" s="485">
        <f>EXC!AH231</f>
        <v>21812</v>
      </c>
      <c r="DA12">
        <f>EXC!AI231</f>
        <v>22427</v>
      </c>
      <c r="DB12">
        <f>EXC!AJ231</f>
        <v>26094</v>
      </c>
      <c r="DC12">
        <f>EXC!AK231</f>
        <v>26086</v>
      </c>
      <c r="DD12">
        <f>EXC!AL231</f>
        <v>25786</v>
      </c>
      <c r="DE12" s="485">
        <f>EXC!AM231</f>
        <v>25786</v>
      </c>
      <c r="DF12">
        <f>EXC!AN231</f>
        <v>32013</v>
      </c>
      <c r="DG12">
        <f>EXC!AO231</f>
        <v>34875</v>
      </c>
      <c r="DH12">
        <f>EXC!AP231</f>
        <v>35484</v>
      </c>
      <c r="DI12">
        <f>EXC!AQ231</f>
        <v>34646</v>
      </c>
      <c r="DJ12" s="485">
        <f>EXC!AR231</f>
        <v>34646</v>
      </c>
      <c r="DK12">
        <f>EXC!AS231</f>
        <v>35330</v>
      </c>
      <c r="DL12">
        <f>EXC!AT231</f>
        <v>34575</v>
      </c>
      <c r="DM12">
        <f>EXC!AU231</f>
        <v>35254</v>
      </c>
      <c r="DN12">
        <f>EXC!AV231</f>
        <v>34653</v>
      </c>
      <c r="DO12" s="485">
        <f>EXC!AW231</f>
        <v>34653</v>
      </c>
      <c r="DP12">
        <f>EXC!AX231</f>
        <v>33433</v>
      </c>
      <c r="DQ12">
        <f>EXC!AY231</f>
        <v>33317</v>
      </c>
      <c r="DR12">
        <f>EXC!AZ231</f>
        <v>36392</v>
      </c>
      <c r="DS12">
        <f>EXC!BA231</f>
        <v>36392</v>
      </c>
      <c r="DT12" s="485">
        <f>EXC!BB231</f>
        <v>36392</v>
      </c>
      <c r="DU12">
        <f>EXC!BC231</f>
        <v>36392</v>
      </c>
      <c r="DV12">
        <f>EXC!BD231</f>
        <v>36392</v>
      </c>
      <c r="DW12">
        <f>EXC!BE231</f>
        <v>37618</v>
      </c>
      <c r="DX12">
        <f>EXC!BF231</f>
        <v>37018</v>
      </c>
      <c r="DY12" s="485">
        <f>EXC!BG231</f>
        <v>37018</v>
      </c>
      <c r="DZ12">
        <f>EXC!BH231</f>
        <v>36018</v>
      </c>
      <c r="EA12">
        <f>EXC!BI231</f>
        <v>35118</v>
      </c>
      <c r="EB12">
        <f>EXC!BJ231</f>
        <v>37347.53</v>
      </c>
      <c r="EC12">
        <f>EXC!BK231</f>
        <v>36247.53</v>
      </c>
      <c r="ED12" s="485">
        <f>EXC!BL231</f>
        <v>36247.53</v>
      </c>
      <c r="EE12">
        <f>EXC!BM231</f>
        <v>35386.53</v>
      </c>
      <c r="EF12">
        <f>EXC!BN231</f>
        <v>35086.53</v>
      </c>
      <c r="EG12">
        <f>EXC!BO231</f>
        <v>37847.665000000001</v>
      </c>
      <c r="EH12">
        <f>EXC!BP231</f>
        <v>37547.665000000001</v>
      </c>
      <c r="EI12" s="485">
        <f>EXC!BQ231</f>
        <v>37547.665000000001</v>
      </c>
    </row>
    <row r="13" spans="1:139" ht="12.75" customHeight="1">
      <c r="A13" s="479"/>
      <c r="B13" s="468"/>
      <c r="C13" s="391" t="s">
        <v>1307</v>
      </c>
      <c r="D13" s="31"/>
      <c r="I13" s="482">
        <f>I18-I17-I12-I11-I10</f>
        <v>0</v>
      </c>
      <c r="J13" s="482"/>
      <c r="K13" s="482"/>
      <c r="L13" s="482"/>
      <c r="M13" s="482"/>
      <c r="N13" s="482">
        <f>N18-N17-N12-N11-N10</f>
        <v>0</v>
      </c>
      <c r="O13" s="482"/>
      <c r="P13" s="482"/>
      <c r="Q13" s="482"/>
      <c r="R13" s="482"/>
      <c r="S13" s="482">
        <f>S18-S17-S12-S11-S10</f>
        <v>0</v>
      </c>
      <c r="T13" s="482"/>
      <c r="U13" s="482"/>
      <c r="V13" s="482"/>
      <c r="W13" s="482"/>
      <c r="X13" s="482">
        <f>EXC!X81</f>
        <v>9.6459096459096463E-2</v>
      </c>
      <c r="Y13" s="482"/>
      <c r="Z13" s="482"/>
      <c r="AA13" s="482"/>
      <c r="AB13" s="482"/>
      <c r="AC13" s="482">
        <f>EXC!AC81</f>
        <v>0.22674418604651161</v>
      </c>
      <c r="AD13" s="482"/>
      <c r="AE13" s="482"/>
      <c r="AF13" s="482"/>
      <c r="AG13" s="482"/>
      <c r="AH13" s="482">
        <f>EXC!AH81</f>
        <v>0.23032407407407407</v>
      </c>
      <c r="AI13" s="482"/>
      <c r="AJ13" s="482"/>
      <c r="AK13" s="482"/>
      <c r="AL13" s="482"/>
      <c r="AM13" s="482">
        <f>EXC!AM81</f>
        <v>0.31019036954087348</v>
      </c>
      <c r="AN13" s="482"/>
      <c r="AO13" s="482"/>
      <c r="AP13" s="482"/>
      <c r="AQ13" s="482"/>
      <c r="AR13" s="482">
        <f>EXC!AR81</f>
        <v>0.31175836030204962</v>
      </c>
      <c r="AS13" s="482"/>
      <c r="AT13" s="482"/>
      <c r="AU13" s="482"/>
      <c r="AV13" s="482"/>
      <c r="AW13" s="482">
        <f>EXC!AW81</f>
        <v>0.33508956796628031</v>
      </c>
      <c r="AX13" s="482"/>
      <c r="AY13" s="482"/>
      <c r="AZ13" s="482"/>
      <c r="BA13" s="482"/>
      <c r="BB13" s="482">
        <f ca="1">EXC!BB81</f>
        <v>0.33410966477839776</v>
      </c>
      <c r="BC13" s="482"/>
      <c r="BD13" s="482"/>
      <c r="BE13" s="482"/>
      <c r="BF13" s="482"/>
      <c r="BG13" s="482">
        <f ca="1">EXC!BG81</f>
        <v>0.35863336316236272</v>
      </c>
      <c r="BH13" s="482"/>
      <c r="BI13" s="482"/>
      <c r="BJ13" s="482"/>
      <c r="BK13" s="482"/>
      <c r="BL13" s="482">
        <f ca="1">EXC!BL81</f>
        <v>0.39533973749133106</v>
      </c>
      <c r="BM13" s="482"/>
      <c r="BN13" s="482"/>
      <c r="BO13" s="482"/>
      <c r="BP13" s="482"/>
      <c r="BQ13" s="482">
        <f ca="1">EXC!BQ81</f>
        <v>0.41511915246016162</v>
      </c>
      <c r="BR13" s="31"/>
      <c r="BS13" s="31"/>
      <c r="BT13" s="31"/>
      <c r="BU13" s="34" t="s">
        <v>373</v>
      </c>
      <c r="BV13" s="31"/>
      <c r="CA13" s="467">
        <f>+SUM(CA11:CA12)</f>
        <v>12594</v>
      </c>
      <c r="CF13" s="467">
        <f>+SUM(CF11:CF12)</f>
        <v>12828</v>
      </c>
      <c r="CK13" s="467">
        <f>+SUM(CK11:CK12)</f>
        <v>13405</v>
      </c>
      <c r="CP13" s="467">
        <f>+SUM(CP11:CP12)</f>
        <v>19603</v>
      </c>
      <c r="CU13" s="467">
        <f>+SUM(CU11:CU12)</f>
        <v>20121</v>
      </c>
      <c r="CZ13" s="467">
        <f>+SUM(CZ11:CZ12)</f>
        <v>22272</v>
      </c>
      <c r="DE13" s="467">
        <f>+SUM(DE11:DE12)</f>
        <v>26319</v>
      </c>
      <c r="DJ13" s="467">
        <f>+SUM(DJ11:DJ12)</f>
        <v>35913</v>
      </c>
      <c r="DO13" s="467">
        <f>+SUM(DO11:DO12)</f>
        <v>35582</v>
      </c>
      <c r="DT13" s="467">
        <f ca="1">+SUM(DT11:DT12)</f>
        <v>36392</v>
      </c>
      <c r="DY13" s="467">
        <f ca="1">+SUM(DY11:DY12)</f>
        <v>37018</v>
      </c>
      <c r="ED13" s="467">
        <f ca="1">+SUM(ED11:ED12)</f>
        <v>37256.874507100125</v>
      </c>
      <c r="EI13" s="467">
        <f ca="1">+SUM(EI11:EI12)</f>
        <v>37547.665000000001</v>
      </c>
    </row>
    <row r="14" spans="1:139" ht="12.75" customHeight="1">
      <c r="A14" s="479"/>
      <c r="B14" s="468"/>
      <c r="C14" t="s">
        <v>349</v>
      </c>
      <c r="D14" s="31"/>
      <c r="I14" s="482"/>
      <c r="J14" s="482"/>
      <c r="K14" s="482"/>
      <c r="L14" s="482"/>
      <c r="M14" s="482"/>
      <c r="N14" s="482"/>
      <c r="O14" s="482"/>
      <c r="P14" s="482"/>
      <c r="Q14" s="482"/>
      <c r="R14" s="482"/>
      <c r="S14" s="482"/>
      <c r="T14" s="482"/>
      <c r="U14" s="482"/>
      <c r="V14" s="482"/>
      <c r="W14" s="482"/>
      <c r="X14" s="482"/>
      <c r="Y14" s="482"/>
      <c r="Z14" s="482"/>
      <c r="AA14" s="482"/>
      <c r="AB14" s="482"/>
      <c r="AC14" s="482"/>
      <c r="AD14" s="482"/>
      <c r="AE14" s="482"/>
      <c r="AF14" s="482"/>
      <c r="AG14" s="482"/>
      <c r="AH14" s="482"/>
      <c r="AI14" s="482"/>
      <c r="AJ14" s="482"/>
      <c r="AK14" s="482"/>
      <c r="AL14" s="482"/>
      <c r="AM14" s="482">
        <f>EXC!AM83</f>
        <v>0</v>
      </c>
      <c r="AN14" s="482"/>
      <c r="AO14" s="482"/>
      <c r="AP14" s="482"/>
      <c r="AQ14" s="482"/>
      <c r="AR14" s="482">
        <f>EXC!AR83</f>
        <v>-0.14961812763716767</v>
      </c>
      <c r="AS14" s="482"/>
      <c r="AT14" s="482"/>
      <c r="AU14" s="482"/>
      <c r="AV14" s="482"/>
      <c r="AW14" s="482">
        <f>EXC!AW83</f>
        <v>0.18867715045228342</v>
      </c>
      <c r="AX14" s="482"/>
      <c r="AY14" s="482"/>
      <c r="AZ14" s="482"/>
      <c r="BA14" s="482"/>
      <c r="BB14" s="482">
        <f ca="1">EXC!BB83</f>
        <v>0.21041299631608895</v>
      </c>
      <c r="BC14" s="482"/>
      <c r="BD14" s="482"/>
      <c r="BE14" s="482"/>
      <c r="BF14" s="482"/>
      <c r="BG14" s="482">
        <f ca="1">EXC!BG83</f>
        <v>0.22237652139498776</v>
      </c>
      <c r="BH14" s="482"/>
      <c r="BI14" s="482"/>
      <c r="BJ14" s="482"/>
      <c r="BK14" s="482"/>
      <c r="BL14" s="482">
        <f ca="1">EXC!BL83</f>
        <v>0.24338517084920702</v>
      </c>
      <c r="BM14" s="482"/>
      <c r="BN14" s="482"/>
      <c r="BO14" s="482"/>
      <c r="BP14" s="482"/>
      <c r="BQ14" s="482">
        <f ca="1">EXC!BQ83</f>
        <v>0.26772513450384217</v>
      </c>
      <c r="BR14" s="31"/>
      <c r="BS14" s="31"/>
      <c r="BT14" s="31"/>
      <c r="BU14" s="31"/>
      <c r="BV14" s="31"/>
      <c r="CA14" s="31"/>
      <c r="CF14" s="31"/>
      <c r="CK14" s="31"/>
      <c r="CP14" s="31"/>
      <c r="CU14" s="31"/>
      <c r="CZ14" s="31"/>
      <c r="DE14" s="31"/>
      <c r="DJ14" s="31"/>
      <c r="DO14" s="31"/>
      <c r="DT14" s="31"/>
      <c r="DY14" s="31"/>
      <c r="ED14" s="31"/>
      <c r="EI14" s="31"/>
    </row>
    <row r="15" spans="1:139" ht="12.75" customHeight="1">
      <c r="A15" s="479"/>
      <c r="B15" s="468"/>
      <c r="C15" t="s">
        <v>350</v>
      </c>
      <c r="D15" s="31"/>
      <c r="I15" s="482"/>
      <c r="J15" s="482"/>
      <c r="K15" s="482"/>
      <c r="L15" s="482"/>
      <c r="M15" s="482"/>
      <c r="N15" s="482"/>
      <c r="O15" s="482"/>
      <c r="P15" s="482"/>
      <c r="Q15" s="482"/>
      <c r="R15" s="482"/>
      <c r="S15" s="482"/>
      <c r="T15" s="482"/>
      <c r="U15" s="482"/>
      <c r="V15" s="482"/>
      <c r="W15" s="482"/>
      <c r="X15" s="482"/>
      <c r="Y15" s="482"/>
      <c r="Z15" s="482"/>
      <c r="AA15" s="482"/>
      <c r="AB15" s="482"/>
      <c r="AC15" s="482"/>
      <c r="AD15" s="482"/>
      <c r="AE15" s="482"/>
      <c r="AF15" s="482"/>
      <c r="AG15" s="482"/>
      <c r="AH15" s="482"/>
      <c r="AI15" s="482"/>
      <c r="AJ15" s="482"/>
      <c r="AK15" s="482"/>
      <c r="AL15" s="482"/>
      <c r="AM15" s="482">
        <f>EXC!AM84</f>
        <v>0</v>
      </c>
      <c r="AN15" s="482"/>
      <c r="AO15" s="482"/>
      <c r="AP15" s="482"/>
      <c r="AQ15" s="482"/>
      <c r="AR15" s="482">
        <f>EXC!AR84</f>
        <v>6.7967007400037388E-2</v>
      </c>
      <c r="AS15" s="482"/>
      <c r="AT15" s="482"/>
      <c r="AU15" s="482"/>
      <c r="AV15" s="482"/>
      <c r="AW15" s="482">
        <f>EXC!AW84</f>
        <v>0.12819158649888374</v>
      </c>
      <c r="AX15" s="482"/>
      <c r="AY15" s="482"/>
      <c r="AZ15" s="482"/>
      <c r="BA15" s="482"/>
      <c r="BB15" s="482">
        <f ca="1">EXC!BB84</f>
        <v>0.13040533364318216</v>
      </c>
      <c r="BC15" s="482"/>
      <c r="BD15" s="482"/>
      <c r="BE15" s="482"/>
      <c r="BF15" s="482"/>
      <c r="BG15" s="482">
        <f ca="1">EXC!BG84</f>
        <v>0.13321898513823704</v>
      </c>
      <c r="BH15" s="482"/>
      <c r="BI15" s="482"/>
      <c r="BJ15" s="482"/>
      <c r="BK15" s="482"/>
      <c r="BL15" s="482">
        <f ca="1">EXC!BL84</f>
        <v>0.13974118619158246</v>
      </c>
      <c r="BM15" s="482"/>
      <c r="BN15" s="482"/>
      <c r="BO15" s="482"/>
      <c r="BP15" s="482"/>
      <c r="BQ15" s="482">
        <f ca="1">EXC!BQ84</f>
        <v>0.14385245459137208</v>
      </c>
      <c r="BR15" s="31"/>
      <c r="BS15" s="31"/>
      <c r="BT15" s="31"/>
      <c r="BU15" s="232" t="s">
        <v>192</v>
      </c>
      <c r="BV15" s="232"/>
      <c r="CA15" s="485">
        <f>EXC!I235</f>
        <v>87</v>
      </c>
      <c r="CF15" s="485">
        <f>EXC!N235</f>
        <v>87</v>
      </c>
      <c r="CG15">
        <f>EXC!O235</f>
        <v>87</v>
      </c>
      <c r="CH15">
        <f>EXC!P235</f>
        <v>87</v>
      </c>
      <c r="CI15">
        <f>EXC!Q235</f>
        <v>87</v>
      </c>
      <c r="CJ15">
        <f>EXC!R235</f>
        <v>87</v>
      </c>
      <c r="CK15" s="485">
        <f>EXC!S235</f>
        <v>87</v>
      </c>
      <c r="CL15">
        <f>EXC!T235</f>
        <v>87</v>
      </c>
      <c r="CM15">
        <f>EXC!U235</f>
        <v>87</v>
      </c>
      <c r="CN15">
        <f>EXC!V234</f>
        <v>0</v>
      </c>
      <c r="CO15">
        <f>EXC!W235</f>
        <v>87</v>
      </c>
      <c r="CP15" s="485">
        <f>EXC!X235</f>
        <v>87</v>
      </c>
      <c r="CQ15">
        <f>EXC!Y235</f>
        <v>87</v>
      </c>
      <c r="CR15">
        <f>EXC!Z235</f>
        <v>0</v>
      </c>
      <c r="CS15">
        <f>EXC!AA235</f>
        <v>0</v>
      </c>
      <c r="CT15">
        <f>EXC!AB235</f>
        <v>0</v>
      </c>
      <c r="CU15" s="485">
        <f>EXC!AC235</f>
        <v>0</v>
      </c>
      <c r="CV15">
        <f>EXC!AD235</f>
        <v>0</v>
      </c>
      <c r="CW15">
        <f>EXC!AE235</f>
        <v>0</v>
      </c>
      <c r="CX15">
        <f>EXC!AF235</f>
        <v>0</v>
      </c>
      <c r="CY15">
        <f>EXC!AG235</f>
        <v>0</v>
      </c>
      <c r="CZ15" s="485">
        <f>EXC!AH235</f>
        <v>0</v>
      </c>
      <c r="DA15">
        <f>EXC!AI235</f>
        <v>0</v>
      </c>
      <c r="DB15">
        <f>EXC!AJ235</f>
        <v>0</v>
      </c>
      <c r="DC15">
        <f>EXC!AK235</f>
        <v>0</v>
      </c>
      <c r="DD15">
        <f>EXC!AL235</f>
        <v>0</v>
      </c>
      <c r="DE15" s="485">
        <f>EXC!AM235</f>
        <v>0</v>
      </c>
      <c r="DF15">
        <f>EXC!AN235</f>
        <v>0</v>
      </c>
      <c r="DG15">
        <f>EXC!AO235</f>
        <v>0</v>
      </c>
      <c r="DH15">
        <f>EXC!AP235</f>
        <v>0</v>
      </c>
      <c r="DI15">
        <f>EXC!AQ235</f>
        <v>0</v>
      </c>
      <c r="DJ15" s="485">
        <f>EXC!AR235</f>
        <v>0</v>
      </c>
      <c r="DK15">
        <f>EXC!AS235</f>
        <v>0</v>
      </c>
      <c r="DL15">
        <f>EXC!AT235</f>
        <v>0</v>
      </c>
      <c r="DM15">
        <f>EXC!AU235</f>
        <v>0</v>
      </c>
      <c r="DN15">
        <f>EXC!AV235</f>
        <v>0</v>
      </c>
      <c r="DO15" s="485">
        <f>EXC!AW235</f>
        <v>0</v>
      </c>
      <c r="DP15">
        <f>EXC!AX235</f>
        <v>0</v>
      </c>
      <c r="DQ15">
        <f>EXC!AY235</f>
        <v>0</v>
      </c>
      <c r="DR15">
        <f>EXC!AZ235</f>
        <v>0</v>
      </c>
      <c r="DS15">
        <f>EXC!BA235</f>
        <v>0</v>
      </c>
      <c r="DT15" s="485">
        <f>EXC!BB235</f>
        <v>0</v>
      </c>
      <c r="DU15">
        <f>EXC!BC235</f>
        <v>0</v>
      </c>
      <c r="DV15">
        <f>EXC!BD235</f>
        <v>0</v>
      </c>
      <c r="DW15">
        <f>EXC!BE235</f>
        <v>0</v>
      </c>
      <c r="DX15">
        <f>EXC!BF235</f>
        <v>0</v>
      </c>
      <c r="DY15" s="485">
        <f>EXC!BG235</f>
        <v>0</v>
      </c>
      <c r="DZ15">
        <f>EXC!BH235</f>
        <v>0</v>
      </c>
      <c r="EA15">
        <f>EXC!BI235</f>
        <v>0</v>
      </c>
      <c r="EB15">
        <f>EXC!BJ235</f>
        <v>0</v>
      </c>
      <c r="EC15">
        <f>EXC!BK235</f>
        <v>0</v>
      </c>
      <c r="ED15" s="485">
        <f>EXC!BL235</f>
        <v>0</v>
      </c>
      <c r="EE15">
        <f>EXC!BM235</f>
        <v>0</v>
      </c>
      <c r="EF15">
        <f>EXC!BN235</f>
        <v>0</v>
      </c>
      <c r="EG15">
        <f>EXC!BO235</f>
        <v>0</v>
      </c>
      <c r="EH15">
        <f>EXC!BP235</f>
        <v>0</v>
      </c>
      <c r="EI15" s="485">
        <f>EXC!BQ235</f>
        <v>0</v>
      </c>
    </row>
    <row r="16" spans="1:139">
      <c r="A16" s="479"/>
      <c r="B16" s="468"/>
      <c r="C16" t="s">
        <v>779</v>
      </c>
      <c r="D16" s="31"/>
      <c r="I16" s="482"/>
      <c r="J16" s="482"/>
      <c r="K16" s="482"/>
      <c r="L16" s="482"/>
      <c r="M16" s="482"/>
      <c r="N16" s="482"/>
      <c r="O16" s="482"/>
      <c r="P16" s="482"/>
      <c r="Q16" s="482"/>
      <c r="R16" s="482"/>
      <c r="S16" s="482"/>
      <c r="T16" s="482"/>
      <c r="U16" s="482"/>
      <c r="V16" s="482"/>
      <c r="W16" s="482"/>
      <c r="X16" s="482"/>
      <c r="Y16" s="482"/>
      <c r="Z16" s="482"/>
      <c r="AA16" s="482"/>
      <c r="AB16" s="482"/>
      <c r="AC16" s="482"/>
      <c r="AD16" s="482"/>
      <c r="AE16" s="482"/>
      <c r="AF16" s="482"/>
      <c r="AG16" s="482"/>
      <c r="AH16" s="482"/>
      <c r="AI16" s="482"/>
      <c r="AJ16" s="482"/>
      <c r="AK16" s="482"/>
      <c r="AL16" s="482"/>
      <c r="AM16" s="482">
        <f>EXC!AM85</f>
        <v>0</v>
      </c>
      <c r="AN16" s="482"/>
      <c r="AO16" s="482"/>
      <c r="AP16" s="482"/>
      <c r="AQ16" s="482"/>
      <c r="AR16" s="482">
        <f>EXC!AR85</f>
        <v>6.2561617099423469E-2</v>
      </c>
      <c r="AS16" s="482"/>
      <c r="AT16" s="482"/>
      <c r="AU16" s="482"/>
      <c r="AV16" s="482"/>
      <c r="AW16" s="482">
        <f>EXC!AW85</f>
        <v>8.114158206085334E-2</v>
      </c>
      <c r="AX16" s="482"/>
      <c r="AY16" s="482"/>
      <c r="AZ16" s="482"/>
      <c r="BA16" s="482"/>
      <c r="BB16" s="482">
        <f ca="1">EXC!BB85</f>
        <v>9.5496476797112012E-2</v>
      </c>
      <c r="BC16" s="482"/>
      <c r="BD16" s="482"/>
      <c r="BE16" s="482"/>
      <c r="BF16" s="482"/>
      <c r="BG16" s="482">
        <f ca="1">EXC!BG85</f>
        <v>0.10948772352192761</v>
      </c>
      <c r="BH16" s="482"/>
      <c r="BI16" s="482"/>
      <c r="BJ16" s="482"/>
      <c r="BK16" s="482"/>
      <c r="BL16" s="482">
        <f ca="1">EXC!BL85</f>
        <v>0.12864092798788668</v>
      </c>
      <c r="BM16" s="482"/>
      <c r="BN16" s="482"/>
      <c r="BO16" s="482"/>
      <c r="BP16" s="482"/>
      <c r="BQ16" s="482">
        <f ca="1">EXC!BQ85</f>
        <v>0.1379925942890825</v>
      </c>
      <c r="BR16" s="31"/>
      <c r="BS16" s="31"/>
      <c r="BT16" s="31"/>
      <c r="BU16" s="34" t="s">
        <v>193</v>
      </c>
      <c r="BV16" s="496"/>
      <c r="BW16" s="34"/>
      <c r="BX16" s="34"/>
      <c r="BY16" s="34"/>
      <c r="BZ16" s="34"/>
      <c r="CA16" s="467">
        <f>EXC!I238</f>
        <v>12640</v>
      </c>
      <c r="CB16" s="34"/>
      <c r="CC16" s="34"/>
      <c r="CD16" s="34"/>
      <c r="CE16" s="34"/>
      <c r="CF16" s="467">
        <f>EXC!N238</f>
        <v>13560</v>
      </c>
      <c r="CG16" s="34">
        <f>EXC!O238</f>
        <v>13931</v>
      </c>
      <c r="CH16" s="34">
        <f>EXC!P238</f>
        <v>14112</v>
      </c>
      <c r="CI16" s="34">
        <f>EXC!Q238</f>
        <v>14356</v>
      </c>
      <c r="CJ16" s="34">
        <f>EXC!R238</f>
        <v>14385</v>
      </c>
      <c r="CK16" s="467">
        <f>EXC!S238</f>
        <v>14385</v>
      </c>
      <c r="CL16" s="34">
        <f>EXC!T238</f>
        <v>22009</v>
      </c>
      <c r="CM16" s="34">
        <f>EXC!U238</f>
        <v>22226</v>
      </c>
      <c r="CN16" s="34">
        <f>EXC!V237</f>
        <v>0</v>
      </c>
      <c r="CO16" s="34">
        <f>EXC!W238</f>
        <v>21624</v>
      </c>
      <c r="CP16" s="467">
        <f>EXC!X238</f>
        <v>21624</v>
      </c>
      <c r="CQ16" s="34">
        <f>EXC!Y238</f>
        <v>21282</v>
      </c>
      <c r="CR16" s="34">
        <f>EXC!Z238</f>
        <v>21546</v>
      </c>
      <c r="CS16" s="34">
        <f>EXC!AA238</f>
        <v>22052</v>
      </c>
      <c r="CT16" s="34">
        <f>EXC!AB238</f>
        <v>22925</v>
      </c>
      <c r="CU16" s="467">
        <f>EXC!AC238</f>
        <v>22925</v>
      </c>
      <c r="CV16" s="34">
        <f>EXC!AD238</f>
        <v>22761</v>
      </c>
      <c r="CW16" s="34">
        <f>EXC!AE238</f>
        <v>23046</v>
      </c>
      <c r="CX16" s="34">
        <f>EXC!AF238</f>
        <v>23788</v>
      </c>
      <c r="CY16" s="34">
        <f>EXC!AG238</f>
        <v>22801</v>
      </c>
      <c r="CZ16" s="467">
        <f>EXC!AH238</f>
        <v>22801</v>
      </c>
      <c r="DA16" s="34">
        <f>EXC!AI238</f>
        <v>23258</v>
      </c>
      <c r="DB16" s="34">
        <f>EXC!AJ238</f>
        <v>23699</v>
      </c>
      <c r="DC16" s="34">
        <f>EXC!AK238</f>
        <v>25963</v>
      </c>
      <c r="DD16" s="34">
        <f>EXC!AL238</f>
        <v>26014</v>
      </c>
      <c r="DE16" s="467">
        <f>EXC!AM238</f>
        <v>26014</v>
      </c>
      <c r="DF16" s="34">
        <f>EXC!AN238</f>
        <v>25929</v>
      </c>
      <c r="DG16" s="34">
        <f>EXC!AO238</f>
        <v>25973</v>
      </c>
      <c r="DH16" s="34">
        <f>EXC!AP238</f>
        <v>26053</v>
      </c>
      <c r="DI16" s="34">
        <f>EXC!AQ238</f>
        <v>25837</v>
      </c>
      <c r="DJ16" s="467">
        <f>EXC!AR238</f>
        <v>25837</v>
      </c>
      <c r="DK16" s="34">
        <f>EXC!AS238</f>
        <v>26530</v>
      </c>
      <c r="DL16" s="34">
        <f>EXC!AT238</f>
        <v>27546</v>
      </c>
      <c r="DM16" s="34">
        <f>EXC!AU238</f>
        <v>28100</v>
      </c>
      <c r="DN16" s="34">
        <f>EXC!AV238</f>
        <v>29857</v>
      </c>
      <c r="DO16" s="467">
        <f>EXC!AW238</f>
        <v>29857</v>
      </c>
      <c r="DP16" s="34">
        <f>EXC!AX238</f>
        <v>30422.124027910861</v>
      </c>
      <c r="DQ16" s="34">
        <f ca="1">EXC!AY238</f>
        <v>30663.541175548708</v>
      </c>
      <c r="DR16" s="34">
        <f ca="1">EXC!AZ238</f>
        <v>31288.718105494867</v>
      </c>
      <c r="DS16" s="34">
        <f ca="1">EXC!BA238</f>
        <v>31483.518751552903</v>
      </c>
      <c r="DT16" s="467">
        <f ca="1">EXC!BB238</f>
        <v>31483.518751552903</v>
      </c>
      <c r="DU16" s="34">
        <f ca="1">EXC!BC238</f>
        <v>32105.418803316395</v>
      </c>
      <c r="DV16" s="34">
        <f ca="1">EXC!BD238</f>
        <v>32247.627923554326</v>
      </c>
      <c r="DW16" s="34">
        <f ca="1">EXC!BE238</f>
        <v>32758.971673114342</v>
      </c>
      <c r="DX16" s="34">
        <f ca="1">EXC!BF238</f>
        <v>32895.35830084332</v>
      </c>
      <c r="DY16" s="467">
        <f ca="1">EXC!BG238</f>
        <v>32895.35830084332</v>
      </c>
      <c r="DZ16" s="34">
        <f ca="1">EXC!BH238</f>
        <v>33427.137507611093</v>
      </c>
      <c r="EA16" s="34">
        <f ca="1">EXC!BI238</f>
        <v>33518.097202694742</v>
      </c>
      <c r="EB16" s="34">
        <f ca="1">EXC!BJ238</f>
        <v>34005.356246408039</v>
      </c>
      <c r="EC16" s="34">
        <f ca="1">EXC!BK238</f>
        <v>34169.070205970027</v>
      </c>
      <c r="ED16" s="467">
        <f ca="1">EXC!BL238</f>
        <v>34169.070205970027</v>
      </c>
      <c r="EE16" s="34">
        <f ca="1">EXC!BM238</f>
        <v>34619.69856491551</v>
      </c>
      <c r="EF16" s="34">
        <f ca="1">EXC!BN238</f>
        <v>34793.964883150584</v>
      </c>
      <c r="EG16" s="34">
        <f ca="1">EXC!BO238</f>
        <v>35327.453203757228</v>
      </c>
      <c r="EH16" s="34">
        <f ca="1">EXC!BP238</f>
        <v>35555.620409701653</v>
      </c>
      <c r="EI16" s="467">
        <f ca="1">EXC!BQ238</f>
        <v>35555.620409701653</v>
      </c>
    </row>
    <row r="17" spans="1:139">
      <c r="A17" s="479"/>
      <c r="B17" s="468"/>
      <c r="C17" s="391" t="s">
        <v>116</v>
      </c>
      <c r="D17" s="31"/>
      <c r="I17" s="482">
        <f>EXC!I82</f>
        <v>-0.11933534743202417</v>
      </c>
      <c r="J17" s="482"/>
      <c r="K17" s="482"/>
      <c r="L17" s="482"/>
      <c r="M17" s="482"/>
      <c r="N17" s="482">
        <f>EXC!N82</f>
        <v>-6.9381598793363503E-2</v>
      </c>
      <c r="O17" s="482"/>
      <c r="P17" s="482"/>
      <c r="Q17" s="482"/>
      <c r="R17" s="482"/>
      <c r="S17" s="482">
        <f>EXC!S82</f>
        <v>-4.5112781954887216E-2</v>
      </c>
      <c r="T17" s="482"/>
      <c r="U17" s="482"/>
      <c r="V17" s="482"/>
      <c r="W17" s="482"/>
      <c r="X17" s="482">
        <f>EXC!X82</f>
        <v>-7.9365079365079361E-2</v>
      </c>
      <c r="Y17" s="482"/>
      <c r="Z17" s="482"/>
      <c r="AA17" s="482"/>
      <c r="AB17" s="482"/>
      <c r="AC17" s="482">
        <f>EXC!AC82</f>
        <v>-7.2093023255813959E-2</v>
      </c>
      <c r="AD17" s="482"/>
      <c r="AE17" s="482"/>
      <c r="AF17" s="482"/>
      <c r="AG17" s="482"/>
      <c r="AH17" s="482">
        <f>EXC!AH82</f>
        <v>-5.6712962962962965E-2</v>
      </c>
      <c r="AI17" s="482"/>
      <c r="AJ17" s="482"/>
      <c r="AK17" s="482"/>
      <c r="AL17" s="482"/>
      <c r="AM17" s="482">
        <f>EXC!AM82</f>
        <v>-0.12877939529675264</v>
      </c>
      <c r="AN17" s="482"/>
      <c r="AO17" s="482"/>
      <c r="AP17" s="482"/>
      <c r="AQ17" s="482"/>
      <c r="AR17" s="482">
        <f>EXC!AR82</f>
        <v>7.3354908306364611E-2</v>
      </c>
      <c r="AS17" s="482"/>
      <c r="AT17" s="482"/>
      <c r="AU17" s="482"/>
      <c r="AV17" s="482"/>
      <c r="AW17" s="482">
        <f>EXC!AW82</f>
        <v>-0.22971548998946259</v>
      </c>
      <c r="AX17" s="482"/>
      <c r="AY17" s="482"/>
      <c r="AZ17" s="482"/>
      <c r="BA17" s="482"/>
      <c r="BB17" s="482">
        <f ca="1">EXC!BB82</f>
        <v>-0.20167836890399624</v>
      </c>
      <c r="BC17" s="482"/>
      <c r="BD17" s="482"/>
      <c r="BE17" s="482"/>
      <c r="BF17" s="482"/>
      <c r="BG17" s="482">
        <f ca="1">EXC!BG82</f>
        <v>-0.17025102531936037</v>
      </c>
      <c r="BH17" s="482"/>
      <c r="BI17" s="482"/>
      <c r="BJ17" s="482"/>
      <c r="BK17" s="482"/>
      <c r="BL17" s="482">
        <f ca="1">EXC!BL82</f>
        <v>-0.1985815304609955</v>
      </c>
      <c r="BM17" s="482"/>
      <c r="BN17" s="482"/>
      <c r="BO17" s="482"/>
      <c r="BP17" s="482"/>
      <c r="BQ17" s="482">
        <f ca="1">EXC!BQ82</f>
        <v>-0.24181340579457344</v>
      </c>
      <c r="BR17" s="31"/>
      <c r="BS17" s="31"/>
      <c r="BT17" s="31"/>
      <c r="BU17" s="31"/>
      <c r="BV17" s="31"/>
      <c r="CA17" s="31"/>
      <c r="CF17" s="31"/>
      <c r="CK17" s="31"/>
      <c r="CP17" s="31"/>
      <c r="CU17" s="31"/>
      <c r="CZ17" s="31"/>
      <c r="DE17" s="31"/>
      <c r="DJ17" s="31"/>
      <c r="DO17" s="31"/>
      <c r="DT17" s="31"/>
      <c r="DY17" s="31"/>
      <c r="ED17" s="31"/>
      <c r="EI17" s="31"/>
    </row>
    <row r="18" spans="1:139">
      <c r="A18" s="479"/>
      <c r="B18" s="468"/>
      <c r="C18" s="243" t="s">
        <v>486</v>
      </c>
      <c r="D18" s="486"/>
      <c r="E18" s="487"/>
      <c r="F18" s="487"/>
      <c r="G18" s="487"/>
      <c r="H18" s="487"/>
      <c r="I18" s="488">
        <f>EXC!I86</f>
        <v>4.1132930513595172</v>
      </c>
      <c r="J18" s="488"/>
      <c r="K18" s="488"/>
      <c r="L18" s="488"/>
      <c r="M18" s="488"/>
      <c r="N18" s="488">
        <f>EXC!N86</f>
        <v>4.0558069381598791</v>
      </c>
      <c r="O18" s="488"/>
      <c r="P18" s="488"/>
      <c r="Q18" s="488"/>
      <c r="R18" s="488"/>
      <c r="S18" s="488">
        <f>EXC!S86</f>
        <v>4.1548872180451131</v>
      </c>
      <c r="T18" s="488"/>
      <c r="U18" s="488"/>
      <c r="V18" s="488"/>
      <c r="W18" s="488"/>
      <c r="X18" s="488">
        <f>SUM(X10:X17)</f>
        <v>2.8449328449328446</v>
      </c>
      <c r="Y18" s="488"/>
      <c r="Z18" s="488"/>
      <c r="AA18" s="488"/>
      <c r="AB18" s="488"/>
      <c r="AC18" s="488">
        <f>SUM(AC10:AC17)</f>
        <v>2.4988372093023257</v>
      </c>
      <c r="AD18" s="488"/>
      <c r="AE18" s="488"/>
      <c r="AF18" s="488"/>
      <c r="AG18" s="488"/>
      <c r="AH18" s="488">
        <f>SUM(AH10:AH17)</f>
        <v>2.3935185185185186</v>
      </c>
      <c r="AI18" s="488"/>
      <c r="AJ18" s="488"/>
      <c r="AK18" s="488"/>
      <c r="AL18" s="488"/>
      <c r="AM18" s="488">
        <f>SUM(AM10:AM17)</f>
        <v>2.4938409854423291</v>
      </c>
      <c r="AN18" s="488"/>
      <c r="AO18" s="488"/>
      <c r="AP18" s="488"/>
      <c r="AQ18" s="488"/>
      <c r="AR18" s="488">
        <f>SUM(AR10:AR17)</f>
        <v>2.684254617682142</v>
      </c>
      <c r="AS18" s="488"/>
      <c r="AT18" s="488"/>
      <c r="AU18" s="488"/>
      <c r="AV18" s="488"/>
      <c r="AW18" s="488">
        <f>SUM(AW10:AW17)</f>
        <v>2.6024360302870471</v>
      </c>
      <c r="AX18" s="488"/>
      <c r="AY18" s="488"/>
      <c r="AZ18" s="488"/>
      <c r="BA18" s="488"/>
      <c r="BB18" s="488">
        <f ca="1">SUM(BB10:BB17)</f>
        <v>3.059481109268019</v>
      </c>
      <c r="BC18" s="488"/>
      <c r="BD18" s="488"/>
      <c r="BE18" s="488"/>
      <c r="BF18" s="488"/>
      <c r="BG18" s="488">
        <f ca="1">SUM(BG10:BG17)</f>
        <v>2.9060316245242386</v>
      </c>
      <c r="BH18" s="488"/>
      <c r="BI18" s="488"/>
      <c r="BJ18" s="488"/>
      <c r="BK18" s="488"/>
      <c r="BL18" s="488">
        <f ca="1">SUM(BL10:BL17)</f>
        <v>2.8352673448516774</v>
      </c>
      <c r="BM18" s="488"/>
      <c r="BN18" s="488"/>
      <c r="BO18" s="488"/>
      <c r="BP18" s="488"/>
      <c r="BQ18" s="749">
        <f ca="1">SUM(BQ10:BQ17)</f>
        <v>3.02791342777601</v>
      </c>
      <c r="BR18" s="31"/>
      <c r="BS18" s="31"/>
      <c r="BT18" s="31"/>
      <c r="BU18" s="34" t="s">
        <v>494</v>
      </c>
      <c r="BV18" s="484"/>
      <c r="BW18" s="232"/>
      <c r="CA18" s="467">
        <f>SUM(CA13,CA15,CA16)</f>
        <v>25321</v>
      </c>
      <c r="CB18" s="232"/>
      <c r="CF18" s="467">
        <f>SUM(CF13,CF15,CF16)</f>
        <v>26475</v>
      </c>
      <c r="CK18" s="467">
        <f>SUM(CK13,CK15,CK16)</f>
        <v>27877</v>
      </c>
      <c r="CP18" s="467">
        <f>SUM(CP13,CP15,CP16)</f>
        <v>41314</v>
      </c>
      <c r="CU18" s="467">
        <f>SUM(CU13,CU15,CU16)</f>
        <v>43046</v>
      </c>
      <c r="CZ18" s="467">
        <f>SUM(CZ13,CZ15,CZ16)</f>
        <v>45073</v>
      </c>
      <c r="DE18" s="467">
        <f>SUM(DE13,DE15,DE16)</f>
        <v>52333</v>
      </c>
      <c r="DJ18" s="467">
        <f>SUM(DJ13,DJ15,DJ16)</f>
        <v>61750</v>
      </c>
      <c r="DO18" s="467">
        <f>SUM(DO13,DO15,DO16)</f>
        <v>65439</v>
      </c>
      <c r="DT18" s="467">
        <f ca="1">SUM(DT13,DT15,DT16)</f>
        <v>67875.518751552911</v>
      </c>
      <c r="DY18" s="467">
        <f ca="1">SUM(DY13,DY15,DY16)</f>
        <v>69913.35830084332</v>
      </c>
      <c r="ED18" s="467">
        <f ca="1">SUM(ED13,ED15,ED16)</f>
        <v>71425.944713070145</v>
      </c>
      <c r="EI18" s="467">
        <f ca="1">SUM(EI13,EI15,EI16)</f>
        <v>73103.285409701653</v>
      </c>
    </row>
    <row r="19" spans="1:139">
      <c r="A19" s="479"/>
      <c r="B19" s="31"/>
      <c r="C19" s="491" t="s">
        <v>1529</v>
      </c>
      <c r="D19" s="492"/>
      <c r="E19" s="492"/>
      <c r="F19" s="492"/>
      <c r="G19" s="492"/>
      <c r="H19" s="492"/>
      <c r="I19" s="492"/>
      <c r="J19" s="492"/>
      <c r="K19" s="492"/>
      <c r="L19" s="492"/>
      <c r="M19" s="492"/>
      <c r="N19" s="493"/>
      <c r="O19" s="492"/>
      <c r="P19" s="492"/>
      <c r="Q19" s="492"/>
      <c r="R19" s="492"/>
      <c r="S19" s="494"/>
      <c r="T19" s="492"/>
      <c r="U19" s="492"/>
      <c r="V19" s="492"/>
      <c r="W19" s="492"/>
      <c r="X19" s="493"/>
      <c r="Y19" s="492"/>
      <c r="Z19" s="492"/>
      <c r="AA19" s="492"/>
      <c r="AB19" s="492"/>
      <c r="AC19" s="493">
        <f ca="1">(1+(BQ18-AC18)/AC18)^(1/8)-1</f>
        <v>2.4296494022481241E-2</v>
      </c>
      <c r="AD19" s="492"/>
      <c r="AE19" s="492"/>
      <c r="AF19" s="492"/>
      <c r="AG19" s="492"/>
      <c r="AH19" s="493"/>
      <c r="AI19" s="492"/>
      <c r="AJ19" s="492"/>
      <c r="AK19" s="492"/>
      <c r="AL19" s="492"/>
      <c r="AM19" s="493"/>
      <c r="AN19" s="492"/>
      <c r="AO19" s="492"/>
      <c r="AP19" s="492"/>
      <c r="AQ19" s="492"/>
      <c r="AR19" s="493"/>
      <c r="AS19" s="493"/>
      <c r="AT19" s="493"/>
      <c r="AU19" s="493"/>
      <c r="AV19" s="493"/>
      <c r="AW19" s="493"/>
      <c r="AX19" s="493"/>
      <c r="AY19" s="493"/>
      <c r="AZ19" s="493"/>
      <c r="BA19" s="493"/>
      <c r="BB19" s="493"/>
      <c r="BC19" s="493"/>
      <c r="BD19" s="493"/>
      <c r="BE19" s="493"/>
      <c r="BF19" s="493"/>
      <c r="BG19" s="493"/>
      <c r="BH19" s="492"/>
      <c r="BI19" s="492"/>
      <c r="BJ19" s="492"/>
      <c r="BK19" s="492"/>
      <c r="BL19" s="493"/>
      <c r="BM19" s="492"/>
      <c r="BN19" s="492"/>
      <c r="BO19" s="492"/>
      <c r="BP19" s="492"/>
      <c r="BQ19" s="495"/>
      <c r="BR19" s="31"/>
      <c r="BS19" s="31"/>
      <c r="BT19" s="31"/>
      <c r="BU19" s="232"/>
      <c r="BV19" s="232"/>
      <c r="CA19" s="485"/>
      <c r="CF19" s="485"/>
      <c r="CK19" s="485"/>
      <c r="CP19" s="485"/>
      <c r="CU19" s="485"/>
      <c r="CZ19" s="485"/>
      <c r="DE19" s="485"/>
      <c r="DJ19" s="485"/>
      <c r="DO19" s="485"/>
      <c r="DT19" s="485"/>
      <c r="DY19" s="485"/>
      <c r="ED19" s="485"/>
      <c r="EI19" s="485"/>
    </row>
    <row r="20" spans="1:139">
      <c r="A20" s="479"/>
      <c r="B20" s="468"/>
      <c r="BR20" s="31"/>
      <c r="BS20" s="31"/>
      <c r="BT20" s="31"/>
      <c r="BU20" s="34" t="s">
        <v>374</v>
      </c>
      <c r="BV20" s="232"/>
      <c r="CA20" s="485"/>
      <c r="CF20" s="485"/>
      <c r="CK20" s="485"/>
      <c r="CP20" s="485"/>
      <c r="CU20" s="485"/>
      <c r="CZ20" s="485"/>
      <c r="DE20" s="485"/>
      <c r="DJ20" s="485"/>
      <c r="DO20" s="485"/>
      <c r="DT20" s="485"/>
      <c r="DY20" s="485"/>
      <c r="ED20" s="485"/>
      <c r="EI20" s="485"/>
    </row>
    <row r="21" spans="1:139">
      <c r="A21" s="479"/>
      <c r="B21" s="232"/>
      <c r="C21" s="34" t="s">
        <v>331</v>
      </c>
      <c r="D21" s="478"/>
      <c r="E21" s="234"/>
      <c r="F21" s="234"/>
      <c r="G21" s="234"/>
      <c r="H21" s="234"/>
      <c r="I21" s="478"/>
      <c r="J21" s="234"/>
      <c r="K21" s="234"/>
      <c r="L21" s="234"/>
      <c r="M21" s="234"/>
      <c r="N21" s="478"/>
      <c r="O21" s="234"/>
      <c r="P21" s="234"/>
      <c r="Q21" s="234"/>
      <c r="R21" s="234"/>
      <c r="S21" s="478"/>
      <c r="T21" s="234"/>
      <c r="U21" s="234"/>
      <c r="V21" s="234"/>
      <c r="W21" s="234"/>
      <c r="X21" s="478"/>
      <c r="Y21" s="234"/>
      <c r="Z21" s="234"/>
      <c r="AA21" s="234"/>
      <c r="AB21" s="234"/>
      <c r="AC21" s="478"/>
      <c r="AD21" s="234"/>
      <c r="AE21" s="234"/>
      <c r="AF21" s="234"/>
      <c r="AG21" s="234"/>
      <c r="AH21" s="478"/>
      <c r="AI21" s="234"/>
      <c r="AJ21" s="234"/>
      <c r="AK21" s="234"/>
      <c r="AL21" s="234"/>
      <c r="AM21" s="478"/>
      <c r="AN21" s="234"/>
      <c r="AO21" s="234"/>
      <c r="AP21" s="234"/>
      <c r="AQ21" s="234"/>
      <c r="AR21" s="478"/>
      <c r="AS21" s="234"/>
      <c r="AT21" s="234"/>
      <c r="AU21" s="234"/>
      <c r="AV21" s="234"/>
      <c r="AW21" s="478"/>
      <c r="AX21" s="234"/>
      <c r="AY21" s="234"/>
      <c r="AZ21" s="234"/>
      <c r="BA21" s="234"/>
      <c r="BB21" s="478"/>
      <c r="BC21" s="234"/>
      <c r="BD21" s="234"/>
      <c r="BE21" s="234"/>
      <c r="BF21" s="234"/>
      <c r="BG21" s="478"/>
      <c r="BH21" s="234"/>
      <c r="BI21" s="234"/>
      <c r="BJ21" s="234"/>
      <c r="BK21" s="234"/>
      <c r="BL21" s="478"/>
      <c r="BM21" s="234"/>
      <c r="BN21" s="234"/>
      <c r="BO21" s="234"/>
      <c r="BP21" s="234"/>
      <c r="BQ21" s="478"/>
      <c r="BR21" s="31"/>
      <c r="BS21" s="31"/>
      <c r="BT21" s="31"/>
      <c r="BU21" s="232" t="s">
        <v>448</v>
      </c>
      <c r="BV21" s="232"/>
      <c r="CA21" s="500">
        <f>EXC!I253</f>
        <v>0.49125232020852255</v>
      </c>
      <c r="CF21" s="500">
        <f>EXC!N253</f>
        <v>0.47603399433427762</v>
      </c>
      <c r="CG21">
        <f>EXC!O253</f>
        <v>0.48014112169927986</v>
      </c>
      <c r="CH21">
        <f>EXC!P253</f>
        <v>0.47547360080674206</v>
      </c>
      <c r="CI21">
        <f>EXC!Q253</f>
        <v>0.47708578143360753</v>
      </c>
      <c r="CJ21">
        <f>EXC!R253</f>
        <v>0.46694407576138036</v>
      </c>
      <c r="CK21" s="500">
        <f>EXC!S253</f>
        <v>0.46694407576138036</v>
      </c>
      <c r="CL21">
        <f>EXC!T253</f>
        <v>0.44532837245734708</v>
      </c>
      <c r="CM21">
        <f>EXC!U253</f>
        <v>0.45021354191659868</v>
      </c>
      <c r="CN21">
        <f>EXC!V252</f>
        <v>0</v>
      </c>
      <c r="CO21">
        <f>EXC!W253</f>
        <v>0.46940504429491214</v>
      </c>
      <c r="CP21" s="500">
        <f>EXC!X253</f>
        <v>0.46940504429491214</v>
      </c>
      <c r="CQ21">
        <f>EXC!Y253</f>
        <v>0.47226053083641817</v>
      </c>
      <c r="CR21">
        <f>EXC!Z253</f>
        <v>0.46197230422156621</v>
      </c>
      <c r="CS21">
        <f>EXC!AA253</f>
        <v>0.47583511852915561</v>
      </c>
      <c r="CT21">
        <f>EXC!AB253</f>
        <v>0.45950843283928822</v>
      </c>
      <c r="CU21" s="500">
        <f>EXC!AC253</f>
        <v>0.45950843283928822</v>
      </c>
      <c r="CV21">
        <f>EXC!AD253</f>
        <v>0.45182294673162621</v>
      </c>
      <c r="CW21">
        <f>EXC!AE253</f>
        <v>0.46809753904933138</v>
      </c>
      <c r="CX21">
        <f>EXC!AF253</f>
        <v>0.47365007997924863</v>
      </c>
      <c r="CY21">
        <f>EXC!AG253</f>
        <v>0.48392607547755861</v>
      </c>
      <c r="CZ21" s="500">
        <f>EXC!AH253</f>
        <v>0.48392607547755861</v>
      </c>
      <c r="DA21">
        <f>EXC!AI253</f>
        <v>0.4876070791842414</v>
      </c>
      <c r="DB21">
        <f>EXC!AJ253</f>
        <v>0.51839637635092184</v>
      </c>
      <c r="DC21">
        <f>EXC!AK253</f>
        <v>0.49476519232228205</v>
      </c>
      <c r="DD21">
        <f>EXC!AL253</f>
        <v>0.49272925305256721</v>
      </c>
      <c r="DE21" s="500">
        <f>EXC!AM253</f>
        <v>0.49272925305256721</v>
      </c>
      <c r="DF21">
        <f>EXC!AN253</f>
        <v>0.51984346075151833</v>
      </c>
      <c r="DG21">
        <f>EXC!AO253</f>
        <v>0.56432951989514391</v>
      </c>
      <c r="DH21">
        <f>EXC!AP253</f>
        <v>0.57136416333891538</v>
      </c>
      <c r="DI21">
        <f>EXC!AQ253</f>
        <v>0.56106882591093121</v>
      </c>
      <c r="DJ21" s="500">
        <f>EXC!AR253</f>
        <v>0.56106882591093121</v>
      </c>
      <c r="DK21">
        <f>EXC!AS253</f>
        <v>0.55282593728484697</v>
      </c>
      <c r="DL21">
        <f>EXC!AT253</f>
        <v>0.54126616362440905</v>
      </c>
      <c r="DM21">
        <f>EXC!AU253</f>
        <v>0.55029345654345652</v>
      </c>
      <c r="DN21">
        <f>EXC!AV253</f>
        <v>0.52954660065098791</v>
      </c>
      <c r="DO21" s="500">
        <f>EXC!AW253</f>
        <v>0.52954660065098791</v>
      </c>
      <c r="DP21">
        <f>EXC!AX253</f>
        <v>0.51264165059105837</v>
      </c>
      <c r="DQ21">
        <f ca="1">EXC!AY253</f>
        <v>0.50493861161206099</v>
      </c>
      <c r="DR21">
        <f ca="1">EXC!AZ253</f>
        <v>0.53770115061833845</v>
      </c>
      <c r="DS21">
        <f ca="1">EXC!BA253</f>
        <v>0.53615796489463141</v>
      </c>
      <c r="DT21" s="500">
        <f ca="1">EXC!BB253</f>
        <v>0.53615796489463141</v>
      </c>
      <c r="DU21">
        <f ca="1">EXC!BC253</f>
        <v>0.53129009290840656</v>
      </c>
      <c r="DV21">
        <f ca="1">EXC!BD253</f>
        <v>0.53018935418080471</v>
      </c>
      <c r="DW21">
        <f ca="1">EXC!BE253</f>
        <v>0.53452143656773687</v>
      </c>
      <c r="DX21">
        <f ca="1">EXC!BF253</f>
        <v>0.52948393411039274</v>
      </c>
      <c r="DY21" s="500">
        <f ca="1">EXC!BG253</f>
        <v>0.52948393411039274</v>
      </c>
      <c r="DZ21">
        <f ca="1">EXC!BH253</f>
        <v>0.51589293284550997</v>
      </c>
      <c r="EA21">
        <f ca="1">EXC!BI253</f>
        <v>0.4986690498657107</v>
      </c>
      <c r="EB21">
        <f ca="1">EXC!BJ253</f>
        <v>0.52342003196654296</v>
      </c>
      <c r="EC21">
        <f ca="1">EXC!BK253</f>
        <v>0.50748408222827623</v>
      </c>
      <c r="ED21" s="500">
        <f ca="1">EXC!BL253</f>
        <v>0.50748408222827623</v>
      </c>
      <c r="EE21">
        <f ca="1">EXC!BM253</f>
        <v>0.49294895352305024</v>
      </c>
      <c r="EF21">
        <f ca="1">EXC!BN253</f>
        <v>0.4856768304972634</v>
      </c>
      <c r="EG21">
        <f ca="1">EXC!BO253</f>
        <v>0.51722041493137871</v>
      </c>
      <c r="EH21">
        <f ca="1">EXC!BP253</f>
        <v>0.51362486363734605</v>
      </c>
      <c r="EI21" s="500">
        <f ca="1">EXC!BQ253</f>
        <v>0.51362486363734605</v>
      </c>
    </row>
    <row r="22" spans="1:139">
      <c r="A22" s="498"/>
      <c r="B22" s="468"/>
      <c r="C22" s="40" t="s">
        <v>431</v>
      </c>
      <c r="D22" s="806"/>
      <c r="E22" s="729"/>
      <c r="F22" s="729"/>
      <c r="G22" s="729"/>
      <c r="H22" s="729"/>
      <c r="I22" s="949">
        <f>SUM(I11:I13)/I18</f>
        <v>0.26074182886522212</v>
      </c>
      <c r="J22" s="729"/>
      <c r="K22" s="729"/>
      <c r="L22" s="729"/>
      <c r="M22" s="729"/>
      <c r="N22" s="949">
        <f>SUM(N11:N13)/N18</f>
        <v>0.30011156563778363</v>
      </c>
      <c r="O22" s="729"/>
      <c r="P22" s="729"/>
      <c r="Q22" s="729"/>
      <c r="R22" s="729"/>
      <c r="S22" s="949">
        <f>SUM(S11:S13)/S18</f>
        <v>0.28628302569670649</v>
      </c>
      <c r="T22" s="729"/>
      <c r="U22" s="729"/>
      <c r="V22" s="729"/>
      <c r="W22" s="729"/>
      <c r="X22" s="949">
        <f>SUM(X11:X16)/X18</f>
        <v>0.36351931330472087</v>
      </c>
      <c r="Y22" s="729"/>
      <c r="Z22" s="729"/>
      <c r="AA22" s="729"/>
      <c r="AB22" s="729"/>
      <c r="AC22" s="949">
        <f>SUM(AC11:AC16)/AC18</f>
        <v>0.46952070730572354</v>
      </c>
      <c r="AD22" s="729"/>
      <c r="AE22" s="729"/>
      <c r="AF22" s="729"/>
      <c r="AG22" s="729"/>
      <c r="AH22" s="949">
        <f>SUM(AH11:AH16)/AH18</f>
        <v>0.46518375241779503</v>
      </c>
      <c r="AI22" s="729"/>
      <c r="AJ22" s="729"/>
      <c r="AK22" s="729"/>
      <c r="AL22" s="729"/>
      <c r="AM22" s="949">
        <f>SUM(AM11:AM16)/AM18</f>
        <v>0.48899865289627298</v>
      </c>
      <c r="AN22" s="729"/>
      <c r="AO22" s="729"/>
      <c r="AP22" s="729"/>
      <c r="AQ22" s="729"/>
      <c r="AR22" s="949">
        <f>SUM(AR11:AR16)/AR18</f>
        <v>0.49805169117409859</v>
      </c>
      <c r="AS22" s="729"/>
      <c r="AT22" s="729"/>
      <c r="AU22" s="729"/>
      <c r="AV22" s="729"/>
      <c r="AW22" s="949">
        <f>SUM(AW11:AW16)/AW18</f>
        <v>0.69429631335175501</v>
      </c>
      <c r="AX22" s="729"/>
      <c r="AY22" s="729"/>
      <c r="AZ22" s="729"/>
      <c r="BA22" s="729"/>
      <c r="BB22" s="949">
        <f ca="1">SUM(BB11:BB16)/BB18</f>
        <v>0.6209215433609514</v>
      </c>
      <c r="BC22" s="729"/>
      <c r="BD22" s="729"/>
      <c r="BE22" s="729"/>
      <c r="BF22" s="729"/>
      <c r="BG22" s="949">
        <f ca="1">SUM(BG11:BG16)/BG18</f>
        <v>0.68510061219154283</v>
      </c>
      <c r="BH22" s="729"/>
      <c r="BI22" s="729"/>
      <c r="BJ22" s="729"/>
      <c r="BK22" s="729"/>
      <c r="BL22" s="949">
        <f ca="1">SUM(BL11:BL16)/BL18</f>
        <v>0.76095844622867403</v>
      </c>
      <c r="BM22" s="729"/>
      <c r="BN22" s="729"/>
      <c r="BO22" s="729"/>
      <c r="BP22" s="729"/>
      <c r="BQ22" s="949">
        <f ca="1">SUM(BQ11:BQ16)/BQ18</f>
        <v>0.75467716866474088</v>
      </c>
      <c r="BR22" s="31"/>
      <c r="BS22" s="31"/>
      <c r="BT22" s="31"/>
      <c r="BU22" s="232" t="s">
        <v>375</v>
      </c>
      <c r="BV22" s="232"/>
      <c r="BX22" s="232"/>
      <c r="BY22" s="232"/>
      <c r="BZ22" s="232"/>
      <c r="CA22" s="500">
        <f>EXC!I254</f>
        <v>0.49737372141700564</v>
      </c>
      <c r="CC22" s="232"/>
      <c r="CD22" s="232"/>
      <c r="CE22" s="232"/>
      <c r="CF22" s="500">
        <f>EXC!N254</f>
        <v>0.4845325779036827</v>
      </c>
      <c r="CG22" s="232">
        <f>EXC!O254</f>
        <v>0.49014330399359862</v>
      </c>
      <c r="CH22" s="232">
        <f>EXC!P254</f>
        <v>0.4886191745300007</v>
      </c>
      <c r="CI22" s="232">
        <f>EXC!Q254</f>
        <v>0.50082947397525401</v>
      </c>
      <c r="CJ22" s="232">
        <f>EXC!R254</f>
        <v>0.48086235965132546</v>
      </c>
      <c r="CK22" s="500">
        <f>EXC!S254</f>
        <v>0.48086235965132546</v>
      </c>
      <c r="CL22" s="232">
        <f>EXC!T254</f>
        <v>0.45913396812963553</v>
      </c>
      <c r="CM22" s="232">
        <f>EXC!U254</f>
        <v>0.46463361965545369</v>
      </c>
      <c r="CN22" s="232">
        <f>EXC!V253</f>
        <v>0.46380838323353296</v>
      </c>
      <c r="CO22" s="232">
        <f>EXC!W254</f>
        <v>0.47448806699908019</v>
      </c>
      <c r="CP22" s="500">
        <f>EXC!X254</f>
        <v>0.47448806699908019</v>
      </c>
      <c r="CQ22" s="232">
        <f>EXC!Y254</f>
        <v>0.48297887783987808</v>
      </c>
      <c r="CR22" s="232">
        <f>EXC!Z254</f>
        <v>0.48290013679890559</v>
      </c>
      <c r="CS22" s="232">
        <f>EXC!AA254</f>
        <v>0.48087290190447046</v>
      </c>
      <c r="CT22" s="232">
        <f>EXC!AB254</f>
        <v>0.46743019095850952</v>
      </c>
      <c r="CU22" s="500">
        <f>EXC!AC254</f>
        <v>0.46743019095850952</v>
      </c>
      <c r="CV22" s="232">
        <f>EXC!AD254</f>
        <v>0.47445103789050774</v>
      </c>
      <c r="CW22" s="232">
        <f>EXC!AE254</f>
        <v>0.48205416338914486</v>
      </c>
      <c r="CX22" s="232">
        <f>EXC!AF254</f>
        <v>0.48579827936535386</v>
      </c>
      <c r="CY22" s="232">
        <f>EXC!AG254</f>
        <v>0.49413174184101349</v>
      </c>
      <c r="CZ22" s="500">
        <f>EXC!AH254</f>
        <v>0.49413174184101349</v>
      </c>
      <c r="DA22" s="232">
        <f>EXC!AI254</f>
        <v>0.49432534678436318</v>
      </c>
      <c r="DB22" s="232">
        <f>EXC!AJ254</f>
        <v>0.52918388429752061</v>
      </c>
      <c r="DC22" s="232">
        <f>EXC!AK254</f>
        <v>0.50756771109930965</v>
      </c>
      <c r="DD22" s="232">
        <f>EXC!AL254</f>
        <v>0.50291403129956247</v>
      </c>
      <c r="DE22" s="500">
        <f>EXC!AM254</f>
        <v>0.50291403129956247</v>
      </c>
      <c r="DF22" s="232">
        <f>EXC!AN254</f>
        <v>0.57895164171348767</v>
      </c>
      <c r="DG22" s="232">
        <f>EXC!AO254</f>
        <v>0.57971811841615561</v>
      </c>
      <c r="DH22" s="232">
        <f>EXC!AP254</f>
        <v>0.58049401004766199</v>
      </c>
      <c r="DI22" s="232">
        <f>EXC!AQ254</f>
        <v>0.5815870445344129</v>
      </c>
      <c r="DJ22" s="500">
        <f>EXC!AR254</f>
        <v>0.5815870445344129</v>
      </c>
      <c r="DK22" s="232">
        <f>EXC!AS254</f>
        <v>0.58487200350503854</v>
      </c>
      <c r="DL22" s="232">
        <f>EXC!AT254</f>
        <v>0.56877172109333418</v>
      </c>
      <c r="DM22" s="232">
        <f>EXC!AU254</f>
        <v>0.5613761238761239</v>
      </c>
      <c r="DN22" s="232">
        <f>EXC!AV254</f>
        <v>0.54374302785800521</v>
      </c>
      <c r="DO22" s="500">
        <f>EXC!AW254</f>
        <v>0.54374302785800521</v>
      </c>
      <c r="DP22" s="232">
        <f>EXC!AX254</f>
        <v>0.53352532299960753</v>
      </c>
      <c r="DQ22" s="232">
        <f ca="1">EXC!AY254</f>
        <v>0.53527610804421677</v>
      </c>
      <c r="DR22" s="232">
        <f ca="1">EXC!AZ254</f>
        <v>0.53770115061833845</v>
      </c>
      <c r="DS22" s="232">
        <f ca="1">EXC!BA254</f>
        <v>0.53615796489463141</v>
      </c>
      <c r="DT22" s="500">
        <f ca="1">EXC!BB254</f>
        <v>0.53615796489463141</v>
      </c>
      <c r="DU22" s="232">
        <f ca="1">EXC!BC254</f>
        <v>0.53129009290840656</v>
      </c>
      <c r="DV22" s="232">
        <f ca="1">EXC!BD254</f>
        <v>0.53018935418080471</v>
      </c>
      <c r="DW22" s="232">
        <f ca="1">EXC!BE254</f>
        <v>0.53452143656773687</v>
      </c>
      <c r="DX22" s="232">
        <f ca="1">EXC!BF254</f>
        <v>0.52948393411039274</v>
      </c>
      <c r="DY22" s="500">
        <f ca="1">EXC!BG254</f>
        <v>0.52948393411039274</v>
      </c>
      <c r="DZ22" s="232">
        <f ca="1">EXC!BH254</f>
        <v>0.52121650270887798</v>
      </c>
      <c r="EA22" s="232">
        <f ca="1">EXC!BI254</f>
        <v>0.52404927144557423</v>
      </c>
      <c r="EB22" s="232">
        <f ca="1">EXC!BJ254</f>
        <v>0.52342003196654296</v>
      </c>
      <c r="EC22" s="232">
        <f ca="1">EXC!BK254</f>
        <v>0.52161542499391733</v>
      </c>
      <c r="ED22" s="500">
        <f ca="1">EXC!BL254</f>
        <v>0.52161542499391733</v>
      </c>
      <c r="EE22" s="232">
        <f ca="1">EXC!BM254</f>
        <v>0.51773332454867593</v>
      </c>
      <c r="EF22" s="232">
        <f ca="1">EXC!BN254</f>
        <v>0.51837293158138853</v>
      </c>
      <c r="EG22" s="232">
        <f ca="1">EXC!BO254</f>
        <v>0.51722041493137871</v>
      </c>
      <c r="EH22" s="232">
        <f ca="1">EXC!BP254</f>
        <v>0.51362486363734605</v>
      </c>
      <c r="EI22" s="500">
        <f ca="1">EXC!BQ254</f>
        <v>0.51362486363734605</v>
      </c>
    </row>
    <row r="23" spans="1:139">
      <c r="A23" s="498"/>
      <c r="B23" s="468"/>
      <c r="C23" s="806" t="s">
        <v>332</v>
      </c>
      <c r="D23" s="806"/>
      <c r="E23" s="729"/>
      <c r="F23" s="729"/>
      <c r="G23" s="729"/>
      <c r="H23" s="729"/>
      <c r="I23" s="949">
        <f>SUM(I10,I17)/I18</f>
        <v>0.73925817113477776</v>
      </c>
      <c r="J23" s="949"/>
      <c r="K23" s="949"/>
      <c r="L23" s="949"/>
      <c r="M23" s="949"/>
      <c r="N23" s="949">
        <f>SUM(N10,N17)/N18</f>
        <v>0.69988843436221637</v>
      </c>
      <c r="O23" s="949"/>
      <c r="P23" s="949"/>
      <c r="Q23" s="949"/>
      <c r="R23" s="949"/>
      <c r="S23" s="949">
        <f>SUM(S10,S17)/S18</f>
        <v>0.71371697430329351</v>
      </c>
      <c r="T23" s="949"/>
      <c r="U23" s="949"/>
      <c r="V23" s="949"/>
      <c r="W23" s="949"/>
      <c r="X23" s="949">
        <f>SUM(X10,X17)/X18</f>
        <v>0.63648068669527902</v>
      </c>
      <c r="Y23" s="949"/>
      <c r="Z23" s="949"/>
      <c r="AA23" s="949"/>
      <c r="AB23" s="949"/>
      <c r="AC23" s="949">
        <f>SUM(AC10,AC17)/AC18</f>
        <v>0.53047929269427641</v>
      </c>
      <c r="AD23" s="949"/>
      <c r="AE23" s="949"/>
      <c r="AF23" s="949"/>
      <c r="AG23" s="949"/>
      <c r="AH23" s="949">
        <f>SUM(AH10,AH17)/AH18</f>
        <v>0.53481624758220503</v>
      </c>
      <c r="AI23" s="949"/>
      <c r="AJ23" s="949"/>
      <c r="AK23" s="949"/>
      <c r="AL23" s="949"/>
      <c r="AM23" s="949">
        <f>SUM(AM10,AM17)/AM18</f>
        <v>0.51100134710372702</v>
      </c>
      <c r="AN23" s="949"/>
      <c r="AO23" s="949"/>
      <c r="AP23" s="949"/>
      <c r="AQ23" s="949"/>
      <c r="AR23" s="949">
        <f>SUM(AR10,AR17)/AR18</f>
        <v>0.50194830882590147</v>
      </c>
      <c r="AS23" s="949"/>
      <c r="AT23" s="949"/>
      <c r="AU23" s="949"/>
      <c r="AV23" s="949"/>
      <c r="AW23" s="949">
        <f>SUM(AW10,AW17)/AW18</f>
        <v>0.30570368664824482</v>
      </c>
      <c r="AX23" s="949"/>
      <c r="AY23" s="949"/>
      <c r="AZ23" s="949"/>
      <c r="BA23" s="949"/>
      <c r="BB23" s="949">
        <f ca="1">SUM(BB10,BB17)/BB18</f>
        <v>0.37907845663904854</v>
      </c>
      <c r="BC23" s="949"/>
      <c r="BD23" s="949"/>
      <c r="BE23" s="949"/>
      <c r="BF23" s="949"/>
      <c r="BG23" s="949">
        <f ca="1">SUM(BG10,BG17)/BG18</f>
        <v>0.31489938780845711</v>
      </c>
      <c r="BH23" s="949"/>
      <c r="BI23" s="949"/>
      <c r="BJ23" s="949"/>
      <c r="BK23" s="949"/>
      <c r="BL23" s="949">
        <f ca="1">SUM(BL10,BL17)/BL18</f>
        <v>0.23904155377132594</v>
      </c>
      <c r="BM23" s="949"/>
      <c r="BN23" s="949"/>
      <c r="BO23" s="949"/>
      <c r="BP23" s="949"/>
      <c r="BQ23" s="949">
        <f ca="1">SUM(BQ10,BQ17)/BQ18</f>
        <v>0.24532283133525912</v>
      </c>
      <c r="BR23" s="31"/>
      <c r="BS23" s="31"/>
      <c r="BT23" s="31"/>
      <c r="BU23" s="232" t="s">
        <v>614</v>
      </c>
      <c r="BV23" s="503"/>
      <c r="CA23" s="504">
        <f>EXC!I255</f>
        <v>1.5154639175257731</v>
      </c>
      <c r="CF23" s="504">
        <f>EXC!N255</f>
        <v>1.5768311542246591</v>
      </c>
      <c r="CG23">
        <f>EXC!O255</f>
        <v>1.9308755760368663</v>
      </c>
      <c r="CH23">
        <f>EXC!P255</f>
        <v>1.9195571955719557</v>
      </c>
      <c r="CI23">
        <f>EXC!Q255</f>
        <v>2.238532110091743</v>
      </c>
      <c r="CJ23">
        <f>EXC!R255</f>
        <v>2.0603692000665226</v>
      </c>
      <c r="CK23" s="504">
        <f>EXC!S255</f>
        <v>2.0603692000665226</v>
      </c>
      <c r="CL23">
        <f>EXC!T255</f>
        <v>3.3870422535211269</v>
      </c>
      <c r="CM23">
        <f>EXC!U255</f>
        <v>3.5838472249850803</v>
      </c>
      <c r="CN23">
        <f>EXC!V254</f>
        <v>0.47063473053892213</v>
      </c>
      <c r="CO23">
        <f>EXC!W255</f>
        <v>3.932494030822661</v>
      </c>
      <c r="CP23" s="504">
        <f>EXC!X255</f>
        <v>3.932494030822661</v>
      </c>
      <c r="CQ23">
        <f>EXC!Y255</f>
        <v>3.9203268641470888</v>
      </c>
      <c r="CR23">
        <f>EXC!Z255</f>
        <v>3.6431155970291371</v>
      </c>
      <c r="CS23">
        <f>EXC!AA255</f>
        <v>3.1378215836952892</v>
      </c>
      <c r="CT23">
        <f>EXC!AB255</f>
        <v>2.9468322190385225</v>
      </c>
      <c r="CU23" s="504">
        <f>EXC!AC255</f>
        <v>2.9468322190385225</v>
      </c>
      <c r="CV23">
        <f>EXC!AD255</f>
        <v>3.3340125658006454</v>
      </c>
      <c r="CW23">
        <f>EXC!AE255</f>
        <v>3.3311774461028194</v>
      </c>
      <c r="CX23">
        <f>EXC!AF255</f>
        <v>3.0692930551230146</v>
      </c>
      <c r="CY23">
        <f>EXC!AG255</f>
        <v>3.4772378516624043</v>
      </c>
      <c r="CZ23" s="504">
        <f>EXC!AH255</f>
        <v>3.4772378516624043</v>
      </c>
      <c r="DA23">
        <f>EXC!AI255</f>
        <v>2.9489493724439431</v>
      </c>
      <c r="DB23">
        <f>EXC!AJ255</f>
        <v>2.8859501819199553</v>
      </c>
      <c r="DC23">
        <f>EXC!AK255</f>
        <v>3.0577164366373903</v>
      </c>
      <c r="DD23">
        <f>EXC!AL255</f>
        <v>2.91169556273876</v>
      </c>
      <c r="DE23" s="504">
        <f>EXC!AM255</f>
        <v>2.91169556273876</v>
      </c>
      <c r="DF23">
        <f>EXC!AN255</f>
        <v>5.7543539558799139</v>
      </c>
      <c r="DG23">
        <f>EXC!AO255</f>
        <v>5.6615868809011101</v>
      </c>
      <c r="DH23">
        <f>EXC!AP255</f>
        <v>4.842478377995179</v>
      </c>
      <c r="DI23">
        <f>EXC!AQ255</f>
        <v>4.7435794002958183</v>
      </c>
      <c r="DJ23" s="504">
        <f>EXC!AR255</f>
        <v>4.7435794002958183</v>
      </c>
      <c r="DK23">
        <f>EXC!AS255</f>
        <v>4.2640612315899338</v>
      </c>
      <c r="DL23">
        <f>EXC!AT255</f>
        <v>4.3436476155806334</v>
      </c>
      <c r="DM23">
        <f>EXC!AU255</f>
        <v>4.1525504718671602</v>
      </c>
      <c r="DN23">
        <f>EXC!AV255</f>
        <v>3.8064091308165056</v>
      </c>
      <c r="DO23" s="504">
        <f>EXC!AW255</f>
        <v>3.8064091308165056</v>
      </c>
      <c r="DP23">
        <f>EXC!AX255</f>
        <v>3.8831840030979823</v>
      </c>
      <c r="DQ23">
        <f ca="1">EXC!AY255</f>
        <v>3.6870687481129147</v>
      </c>
      <c r="DR23">
        <f ca="1">EXC!AZ255</f>
        <v>3.7922487826945224</v>
      </c>
      <c r="DS23">
        <f ca="1">EXC!BA255</f>
        <v>4.1613005034080812</v>
      </c>
      <c r="DT23" s="504">
        <f ca="1">EXC!BB255</f>
        <v>4.1613005034080812</v>
      </c>
      <c r="DU23">
        <f ca="1">EXC!BC255</f>
        <v>4.0429943487507503</v>
      </c>
      <c r="DV23">
        <f ca="1">EXC!BD255</f>
        <v>4.1108100680557405</v>
      </c>
      <c r="DW23">
        <f ca="1">EXC!BE255</f>
        <v>4.1301700065069209</v>
      </c>
      <c r="DX23">
        <f ca="1">EXC!BF255</f>
        <v>4.1910541997483124</v>
      </c>
      <c r="DY23" s="504">
        <f ca="1">EXC!BG255</f>
        <v>4.1910541997483124</v>
      </c>
      <c r="DZ23">
        <f ca="1">EXC!BH255</f>
        <v>4.2037506431979415</v>
      </c>
      <c r="EA23">
        <f ca="1">EXC!BI255</f>
        <v>4.2734212984155819</v>
      </c>
      <c r="EB23">
        <f ca="1">EXC!BJ255</f>
        <v>4.23336492652657</v>
      </c>
      <c r="EC23">
        <f ca="1">EXC!BK255</f>
        <v>4.2212012639473082</v>
      </c>
      <c r="ED23" s="504">
        <f ca="1">EXC!BL255</f>
        <v>4.2212012639473082</v>
      </c>
      <c r="EE23">
        <f ca="1">EXC!BM255</f>
        <v>4.2477531783884155</v>
      </c>
      <c r="EF23">
        <f ca="1">EXC!BN255</f>
        <v>4.1992590458386463</v>
      </c>
      <c r="EG23">
        <f ca="1">EXC!BO255</f>
        <v>4.1172427271964462</v>
      </c>
      <c r="EH23">
        <f ca="1">EXC!BP255</f>
        <v>4.0706994816566091</v>
      </c>
      <c r="EI23" s="504">
        <f ca="1">EXC!BQ255</f>
        <v>4.0706994816566091</v>
      </c>
    </row>
    <row r="24" spans="1:139">
      <c r="A24" s="498"/>
      <c r="B24" s="468"/>
      <c r="C24" s="950" t="s">
        <v>87</v>
      </c>
      <c r="D24" s="806"/>
      <c r="E24" s="729"/>
      <c r="F24" s="729"/>
      <c r="G24" s="729"/>
      <c r="H24" s="729"/>
      <c r="I24" s="949">
        <v>0</v>
      </c>
      <c r="J24" s="729"/>
      <c r="K24" s="729"/>
      <c r="L24" s="729"/>
      <c r="M24" s="729"/>
      <c r="N24" s="949">
        <v>0</v>
      </c>
      <c r="O24" s="729"/>
      <c r="P24" s="729"/>
      <c r="Q24" s="729"/>
      <c r="R24" s="729"/>
      <c r="S24" s="949">
        <v>0</v>
      </c>
      <c r="T24" s="729"/>
      <c r="U24" s="729"/>
      <c r="V24" s="729"/>
      <c r="W24" s="729"/>
      <c r="X24" s="949">
        <v>0</v>
      </c>
      <c r="Y24" s="729"/>
      <c r="Z24" s="729"/>
      <c r="AA24" s="729"/>
      <c r="AB24" s="729"/>
      <c r="AC24" s="949">
        <v>0</v>
      </c>
      <c r="AD24" s="729"/>
      <c r="AE24" s="729"/>
      <c r="AF24" s="729"/>
      <c r="AG24" s="729"/>
      <c r="AH24" s="949">
        <v>0</v>
      </c>
      <c r="AI24" s="729"/>
      <c r="AJ24" s="729"/>
      <c r="AK24" s="729"/>
      <c r="AL24" s="729"/>
      <c r="AM24" s="949">
        <v>0</v>
      </c>
      <c r="AN24" s="729"/>
      <c r="AO24" s="729"/>
      <c r="AP24" s="729"/>
      <c r="AQ24" s="729"/>
      <c r="AR24" s="949">
        <v>0</v>
      </c>
      <c r="AS24" s="729"/>
      <c r="AT24" s="729"/>
      <c r="AU24" s="729"/>
      <c r="AV24" s="729"/>
      <c r="AW24" s="949">
        <v>0</v>
      </c>
      <c r="AX24" s="729"/>
      <c r="AY24" s="729"/>
      <c r="AZ24" s="729"/>
      <c r="BA24" s="729"/>
      <c r="BB24" s="949">
        <v>0</v>
      </c>
      <c r="BC24" s="729"/>
      <c r="BD24" s="729"/>
      <c r="BE24" s="729"/>
      <c r="BF24" s="729"/>
      <c r="BG24" s="949">
        <v>0</v>
      </c>
      <c r="BH24" s="729"/>
      <c r="BI24" s="729"/>
      <c r="BJ24" s="729"/>
      <c r="BK24" s="729"/>
      <c r="BL24" s="949">
        <v>0</v>
      </c>
      <c r="BM24" s="729"/>
      <c r="BN24" s="729"/>
      <c r="BO24" s="729"/>
      <c r="BP24" s="729"/>
      <c r="BQ24" s="949">
        <v>0</v>
      </c>
      <c r="BR24" s="31"/>
      <c r="BS24" s="31"/>
      <c r="BT24" s="31"/>
      <c r="BU24" s="232" t="s">
        <v>393</v>
      </c>
      <c r="BV24" s="503"/>
      <c r="CA24" s="500">
        <f>EXC!I256</f>
        <v>0.4227409877719549</v>
      </c>
      <c r="CF24" s="500">
        <f>EXC!N256</f>
        <v>0.43903960087309013</v>
      </c>
      <c r="CG24">
        <f>EXC!O256</f>
        <v>0.41421786880379935</v>
      </c>
      <c r="CH24">
        <f>EXC!P256</f>
        <v>0.40156261516916048</v>
      </c>
      <c r="CI24">
        <f>EXC!Q256</f>
        <v>0.36160375405424056</v>
      </c>
      <c r="CJ24">
        <f>EXC!R256</f>
        <v>0.37799328608728089</v>
      </c>
      <c r="CK24" s="500">
        <f>EXC!S256</f>
        <v>0.37799328608728089</v>
      </c>
      <c r="CL24">
        <f>EXC!T256</f>
        <v>0.26848643173215331</v>
      </c>
      <c r="CM24">
        <f>EXC!U256</f>
        <v>0.27978311386522076</v>
      </c>
      <c r="CN24">
        <f>EXC!V255</f>
        <v>3.6924501131454432</v>
      </c>
      <c r="CO24">
        <f>EXC!W256</f>
        <v>0.32693975411926746</v>
      </c>
      <c r="CP24" s="500">
        <f>EXC!X256</f>
        <v>0.32693975411926746</v>
      </c>
      <c r="CQ24">
        <f>EXC!Y256</f>
        <v>0.33709047189660357</v>
      </c>
      <c r="CR24">
        <f>EXC!Z256</f>
        <v>0.32289647631827445</v>
      </c>
      <c r="CS24">
        <f>EXC!AA256</f>
        <v>0.31154844078915161</v>
      </c>
      <c r="CT24">
        <f>EXC!AB256</f>
        <v>0.29461756373937675</v>
      </c>
      <c r="CU24" s="500">
        <f>EXC!AC256</f>
        <v>0.29461756373937675</v>
      </c>
      <c r="CV24">
        <f>EXC!AD256</f>
        <v>0.2796865875024333</v>
      </c>
      <c r="CW24">
        <f>EXC!AE256</f>
        <v>0.27017576576996599</v>
      </c>
      <c r="CX24">
        <f>EXC!AF256</f>
        <v>0.26087923823084452</v>
      </c>
      <c r="CY24">
        <f>EXC!AG256</f>
        <v>0.26652298850574713</v>
      </c>
      <c r="CZ24" s="500">
        <f>EXC!AH256</f>
        <v>0.26652298850574713</v>
      </c>
      <c r="DA24">
        <f>EXC!AI256</f>
        <v>0.26658163265306123</v>
      </c>
      <c r="DB24">
        <f>EXC!AJ256</f>
        <v>0.22979314487367197</v>
      </c>
      <c r="DC24">
        <f>EXC!AK256</f>
        <v>0.23332461417734762</v>
      </c>
      <c r="DD24">
        <f>EXC!AL256</f>
        <v>0.23610319541015995</v>
      </c>
      <c r="DE24" s="500">
        <f>EXC!AM256</f>
        <v>0.23610319541015995</v>
      </c>
      <c r="DF24">
        <f>EXC!AN256</f>
        <v>0.17799343673744145</v>
      </c>
      <c r="DG24">
        <f>EXC!AO256</f>
        <v>0.18885725450789928</v>
      </c>
      <c r="DH24">
        <f>EXC!AP256</f>
        <v>0.20776122715042578</v>
      </c>
      <c r="DI24">
        <f>EXC!AQ256</f>
        <v>0.22454264472475149</v>
      </c>
      <c r="DJ24" s="500">
        <f>EXC!AR256</f>
        <v>0.22454264472475149</v>
      </c>
      <c r="DK24">
        <f>EXC!AS256</f>
        <v>0.22066456204184279</v>
      </c>
      <c r="DL24">
        <f>EXC!AT256</f>
        <v>0.22396234724210062</v>
      </c>
      <c r="DM24">
        <f>EXC!AU256</f>
        <v>0.21999777555333111</v>
      </c>
      <c r="DN24">
        <f>EXC!AV256</f>
        <v>0.22196616266651678</v>
      </c>
      <c r="DO24" s="500">
        <f>EXC!AW256</f>
        <v>0.22196616266651678</v>
      </c>
      <c r="DP24">
        <f>EXC!AX256</f>
        <v>0.23039051465403679</v>
      </c>
      <c r="DQ24">
        <f ca="1">EXC!AY256</f>
        <v>0.22250988999911156</v>
      </c>
      <c r="DR24">
        <f ca="1">EXC!AZ256</f>
        <v>0.21119888209571766</v>
      </c>
      <c r="DS24">
        <f ca="1">EXC!BA256</f>
        <v>0.20267438061617313</v>
      </c>
      <c r="DT24" s="500">
        <f ca="1">EXC!BB256</f>
        <v>0.20267438061617313</v>
      </c>
      <c r="DU24">
        <f ca="1">EXC!BC256</f>
        <v>0.20550203104403544</v>
      </c>
      <c r="DV24">
        <f ca="1">EXC!BD256</f>
        <v>0.20409644795732937</v>
      </c>
      <c r="DW24">
        <f ca="1">EXC!BE256</f>
        <v>0.19562553747975633</v>
      </c>
      <c r="DX24">
        <f ca="1">EXC!BF256</f>
        <v>0.19837371589182115</v>
      </c>
      <c r="DY24" s="500">
        <f ca="1">EXC!BG256</f>
        <v>0.19837371589182115</v>
      </c>
      <c r="DZ24">
        <f ca="1">EXC!BH256</f>
        <v>0.20019543072969692</v>
      </c>
      <c r="EA24">
        <f ca="1">EXC!BI256</f>
        <v>0.19676358081990172</v>
      </c>
      <c r="EB24">
        <f ca="1">EXC!BJ256</f>
        <v>0.19454098513823923</v>
      </c>
      <c r="EC24">
        <f ca="1">EXC!BK256</f>
        <v>0.19650790892214801</v>
      </c>
      <c r="ED24" s="500">
        <f ca="1">EXC!BL256</f>
        <v>0.19650790892214801</v>
      </c>
      <c r="EE24">
        <f ca="1">EXC!BM256</f>
        <v>0.19578661916208015</v>
      </c>
      <c r="EF24">
        <f ca="1">EXC!BN256</f>
        <v>0.19752540624821954</v>
      </c>
      <c r="EG24">
        <f ca="1">EXC!BO256</f>
        <v>0.19763508354535761</v>
      </c>
      <c r="EH24">
        <f ca="1">EXC!BP256</f>
        <v>0.20189778553923193</v>
      </c>
      <c r="EI24" s="500">
        <f ca="1">EXC!BQ256</f>
        <v>0.20189778553923193</v>
      </c>
    </row>
    <row r="25" spans="1:139">
      <c r="A25" s="498"/>
      <c r="B25" s="468"/>
      <c r="C25" s="31"/>
      <c r="D25" s="31"/>
      <c r="I25" s="31"/>
      <c r="N25" s="31"/>
      <c r="S25" s="31"/>
      <c r="X25" s="31"/>
      <c r="AC25" s="31"/>
      <c r="AH25" s="31"/>
      <c r="AM25" s="31"/>
      <c r="AR25" s="31"/>
      <c r="AW25" s="31"/>
      <c r="BB25" s="31"/>
      <c r="BG25" s="31"/>
      <c r="BL25" s="31"/>
      <c r="BQ25" s="31"/>
      <c r="BR25" s="31"/>
      <c r="BS25" s="31"/>
      <c r="BT25" s="31"/>
      <c r="BU25" s="232"/>
      <c r="BV25" s="503"/>
      <c r="CA25" s="507"/>
      <c r="CF25" s="485"/>
      <c r="CK25" s="485"/>
      <c r="CP25" s="485"/>
      <c r="CU25" s="485"/>
      <c r="CZ25" s="485"/>
      <c r="DE25" s="485"/>
      <c r="DJ25" s="485"/>
      <c r="DO25" s="485"/>
      <c r="DT25" s="485"/>
      <c r="DY25" s="485"/>
      <c r="ED25" s="485"/>
      <c r="EI25" s="485"/>
    </row>
    <row r="26" spans="1:139">
      <c r="B26" s="468"/>
      <c r="C26" s="34" t="s">
        <v>88</v>
      </c>
      <c r="D26" s="480"/>
      <c r="E26" s="234"/>
      <c r="F26" s="234"/>
      <c r="G26" s="234"/>
      <c r="H26" s="234"/>
      <c r="I26" s="478"/>
      <c r="J26" s="234"/>
      <c r="K26" s="234"/>
      <c r="L26" s="234"/>
      <c r="M26" s="234"/>
      <c r="N26" s="478"/>
      <c r="O26" s="234"/>
      <c r="P26" s="234"/>
      <c r="Q26" s="234"/>
      <c r="R26" s="234"/>
      <c r="S26" s="478"/>
      <c r="T26" s="234"/>
      <c r="U26" s="234"/>
      <c r="V26" s="234"/>
      <c r="W26" s="234"/>
      <c r="X26" s="478"/>
      <c r="Y26" s="234"/>
      <c r="Z26" s="234"/>
      <c r="AA26" s="234"/>
      <c r="AB26" s="234"/>
      <c r="AC26" s="478"/>
      <c r="AD26" s="234"/>
      <c r="AE26" s="234"/>
      <c r="AF26" s="234"/>
      <c r="AG26" s="234"/>
      <c r="AH26" s="478"/>
      <c r="AI26" s="234"/>
      <c r="AJ26" s="234"/>
      <c r="AK26" s="234"/>
      <c r="AL26" s="234"/>
      <c r="AM26" s="478"/>
      <c r="AN26" s="234"/>
      <c r="AO26" s="234"/>
      <c r="AP26" s="234"/>
      <c r="AQ26" s="234"/>
      <c r="AR26" s="478"/>
      <c r="AS26" s="234"/>
      <c r="AT26" s="234"/>
      <c r="AU26" s="234"/>
      <c r="AV26" s="234"/>
      <c r="AW26" s="478"/>
      <c r="AX26" s="234"/>
      <c r="AY26" s="234"/>
      <c r="AZ26" s="234"/>
      <c r="BA26" s="234"/>
      <c r="BB26" s="478"/>
      <c r="BC26" s="234"/>
      <c r="BD26" s="234"/>
      <c r="BE26" s="234"/>
      <c r="BF26" s="234"/>
      <c r="BG26" s="478"/>
      <c r="BH26" s="234"/>
      <c r="BI26" s="234"/>
      <c r="BJ26" s="234"/>
      <c r="BK26" s="234"/>
      <c r="BL26" s="478"/>
      <c r="BM26" s="234"/>
      <c r="BN26" s="234"/>
      <c r="BO26" s="234"/>
      <c r="BP26" s="234"/>
      <c r="BQ26" s="478"/>
      <c r="BR26" s="31"/>
      <c r="BS26" s="31"/>
      <c r="BT26" s="31"/>
      <c r="BU26" s="34" t="s">
        <v>201</v>
      </c>
      <c r="BV26" s="31"/>
      <c r="CA26" s="500"/>
      <c r="CF26" s="485"/>
      <c r="CK26" s="485"/>
      <c r="CP26" s="485"/>
      <c r="CU26" s="485"/>
      <c r="CZ26" s="485"/>
      <c r="DE26" s="485"/>
      <c r="DJ26" s="485"/>
      <c r="DO26" s="485"/>
      <c r="DT26" s="485"/>
      <c r="DY26" s="485"/>
      <c r="ED26" s="485"/>
      <c r="EI26" s="485"/>
    </row>
    <row r="27" spans="1:139">
      <c r="B27" s="468"/>
      <c r="C27" s="391" t="s">
        <v>1304</v>
      </c>
      <c r="D27" s="466"/>
      <c r="E27" s="501"/>
      <c r="F27" s="501"/>
      <c r="G27" s="501"/>
      <c r="H27" s="501"/>
      <c r="I27" s="502">
        <f>ExGen!I24</f>
        <v>4001</v>
      </c>
      <c r="J27" s="502"/>
      <c r="K27" s="502"/>
      <c r="L27" s="502"/>
      <c r="M27" s="502"/>
      <c r="N27" s="502">
        <f>ExGen!N24</f>
        <v>3777</v>
      </c>
      <c r="O27" s="502"/>
      <c r="P27" s="502"/>
      <c r="Q27" s="502"/>
      <c r="R27" s="502"/>
      <c r="S27" s="502">
        <f>ExGen!S24</f>
        <v>3567</v>
      </c>
      <c r="T27" s="502"/>
      <c r="U27" s="502"/>
      <c r="V27" s="502"/>
      <c r="W27" s="502"/>
      <c r="X27" s="502">
        <f>ExGen!X24</f>
        <v>2127</v>
      </c>
      <c r="Y27" s="502"/>
      <c r="Z27" s="502"/>
      <c r="AA27" s="502"/>
      <c r="AB27" s="502"/>
      <c r="AC27" s="925">
        <f>ExGen!AC24</f>
        <v>2888</v>
      </c>
      <c r="AD27" s="925"/>
      <c r="AE27" s="925"/>
      <c r="AF27" s="925"/>
      <c r="AG27" s="925"/>
      <c r="AH27" s="925">
        <f>ExGen!AH24</f>
        <v>2549</v>
      </c>
      <c r="AI27" s="925"/>
      <c r="AJ27" s="925"/>
      <c r="AK27" s="925"/>
      <c r="AL27" s="925"/>
      <c r="AM27" s="925">
        <f>ExGen!AM24</f>
        <v>3261</v>
      </c>
      <c r="AN27" s="925"/>
      <c r="AO27" s="925"/>
      <c r="AP27" s="925"/>
      <c r="AQ27" s="925"/>
      <c r="AR27" s="925">
        <f>ExGen!AR24</f>
        <v>3091</v>
      </c>
      <c r="AS27" s="925"/>
      <c r="AT27" s="925"/>
      <c r="AU27" s="925"/>
      <c r="AV27" s="925"/>
      <c r="AW27" s="925">
        <f>ExGen!AW24</f>
        <v>3293</v>
      </c>
      <c r="AX27" s="925"/>
      <c r="AY27" s="925"/>
      <c r="AZ27" s="925"/>
      <c r="BA27" s="925"/>
      <c r="BB27" s="925">
        <f>ExGen!BB24</f>
        <v>3226.9385380811545</v>
      </c>
      <c r="BC27" s="925"/>
      <c r="BD27" s="925"/>
      <c r="BE27" s="925"/>
      <c r="BF27" s="925"/>
      <c r="BG27" s="925">
        <f>ExGen!BG24</f>
        <v>2906.4780020098833</v>
      </c>
      <c r="BH27" s="925"/>
      <c r="BI27" s="925"/>
      <c r="BJ27" s="925"/>
      <c r="BK27" s="925"/>
      <c r="BL27" s="925">
        <f>ExGen!BL24</f>
        <v>2633.4401569598072</v>
      </c>
      <c r="BM27" s="925"/>
      <c r="BN27" s="925"/>
      <c r="BO27" s="925"/>
      <c r="BP27" s="925"/>
      <c r="BQ27" s="925">
        <f>ExGen!BQ24</f>
        <v>2687.4461668574731</v>
      </c>
      <c r="BR27" s="31"/>
      <c r="BS27" s="31"/>
      <c r="BT27" s="31"/>
      <c r="BU27" s="232" t="s">
        <v>279</v>
      </c>
      <c r="BV27" s="31"/>
      <c r="BX27" s="232"/>
      <c r="BY27" s="232"/>
      <c r="BZ27" s="232"/>
      <c r="CA27" s="504">
        <f>EXC!I259</f>
        <v>8.2831737346101235</v>
      </c>
      <c r="CC27" s="232"/>
      <c r="CD27" s="232"/>
      <c r="CE27" s="232"/>
      <c r="CF27" s="504">
        <f>EXC!N259</f>
        <v>7.8935128518971851</v>
      </c>
      <c r="CG27" s="232">
        <f>EXC!O259</f>
        <v>7.8490797546012274</v>
      </c>
      <c r="CH27" s="232">
        <f>EXC!P259</f>
        <v>8.5457063711911356</v>
      </c>
      <c r="CI27" s="232">
        <f>EXC!Q259</f>
        <v>8.1879286694101516</v>
      </c>
      <c r="CJ27" s="232">
        <f>EXC!R259</f>
        <v>7.9793388429752063</v>
      </c>
      <c r="CK27" s="504">
        <f>EXC!S259</f>
        <v>7.9793388429752063</v>
      </c>
      <c r="CL27" s="232">
        <f>EXC!T259</f>
        <v>7.8054054054054056</v>
      </c>
      <c r="CM27" s="232">
        <f>EXC!U259</f>
        <v>7.6560196560196561</v>
      </c>
      <c r="CN27" s="232">
        <f>EXC!V258</f>
        <v>0</v>
      </c>
      <c r="CO27" s="232">
        <f>EXC!W259</f>
        <v>7.90625</v>
      </c>
      <c r="CP27" s="504">
        <f>EXC!X259</f>
        <v>7.90625</v>
      </c>
      <c r="CQ27" s="232">
        <f>EXC!Y259</f>
        <v>5.9623893805309738</v>
      </c>
      <c r="CR27" s="232">
        <f>EXC!Z259</f>
        <v>5.8054733727810648</v>
      </c>
      <c r="CS27" s="232">
        <f>EXC!AA259</f>
        <v>5.7492537313432832</v>
      </c>
      <c r="CT27" s="232">
        <f>EXC!AB259</f>
        <v>5.3716814159292037</v>
      </c>
      <c r="CU27" s="504">
        <f>EXC!AC259</f>
        <v>5.3716814159292037</v>
      </c>
      <c r="CV27" s="232">
        <f>EXC!AD259</f>
        <v>6.9864583333333332</v>
      </c>
      <c r="CW27" s="232">
        <f>EXC!AE259</f>
        <v>7.1257928118393234</v>
      </c>
      <c r="CX27" s="232">
        <f>EXC!AF259</f>
        <v>7.0443298969072163</v>
      </c>
      <c r="CY27" s="232">
        <f>EXC!AG259</f>
        <v>6.5737089201877934</v>
      </c>
      <c r="CZ27" s="504">
        <f>EXC!AH259</f>
        <v>6.5737089201877934</v>
      </c>
      <c r="DA27" s="232">
        <f>EXC!AI259</f>
        <v>6.1234150464919699</v>
      </c>
      <c r="DB27" s="232">
        <f>EXC!AJ259</f>
        <v>6.5645454545454545</v>
      </c>
      <c r="DC27" s="232">
        <f>EXC!AK259</f>
        <v>6.7022831050228309</v>
      </c>
      <c r="DD27" s="232">
        <f>EXC!AL259</f>
        <v>7.0154888673765727</v>
      </c>
      <c r="DE27" s="504">
        <f>EXC!AM259</f>
        <v>7.0154888673765727</v>
      </c>
      <c r="DF27" s="232">
        <f>EXC!AN259</f>
        <v>7.5087179487179485</v>
      </c>
      <c r="DG27" s="232">
        <f>EXC!AO259</f>
        <v>6.6571906354515047</v>
      </c>
      <c r="DH27" s="232">
        <f>EXC!AP259</f>
        <v>6.1336531871144624</v>
      </c>
      <c r="DI27" s="232">
        <f>EXC!AQ259</f>
        <v>6.25</v>
      </c>
      <c r="DJ27" s="504">
        <f>EXC!AR259</f>
        <v>6.25</v>
      </c>
      <c r="DK27" s="232">
        <f>EXC!AS259</f>
        <v>6.085080147965475</v>
      </c>
      <c r="DL27" s="232">
        <f>EXC!AT259</f>
        <v>5.8376932223543401</v>
      </c>
      <c r="DM27" s="232">
        <f>EXC!AU259</f>
        <v>6.0979381443298966</v>
      </c>
      <c r="DN27" s="232">
        <f>EXC!AV259</f>
        <v>6.0628205128205126</v>
      </c>
      <c r="DO27" s="504">
        <f>EXC!AW259</f>
        <v>6.0628205128205126</v>
      </c>
      <c r="DP27" s="232">
        <f>EXC!AX259</f>
        <v>6.2261774598990858</v>
      </c>
      <c r="DQ27" s="232">
        <f ca="1">EXC!AY259</f>
        <v>6.2159744215923682</v>
      </c>
      <c r="DR27" s="232">
        <f ca="1">EXC!AZ259</f>
        <v>6.0335423035457616</v>
      </c>
      <c r="DS27" s="232">
        <f ca="1">EXC!BA259</f>
        <v>5.7852981781146884</v>
      </c>
      <c r="DT27" s="504">
        <f ca="1">EXC!BB259</f>
        <v>5.7852981781146884</v>
      </c>
      <c r="DU27" s="232">
        <f ca="1">EXC!BC259</f>
        <v>5.8029246149214773</v>
      </c>
      <c r="DV27" s="232">
        <f ca="1">EXC!BD259</f>
        <v>5.6986861268723752</v>
      </c>
      <c r="DW27" s="232">
        <f ca="1">EXC!BE259</f>
        <v>5.6053584528598828</v>
      </c>
      <c r="DX27" s="232">
        <f ca="1">EXC!BF259</f>
        <v>5.5818800218308677</v>
      </c>
      <c r="DY27" s="504">
        <f ca="1">EXC!BG259</f>
        <v>5.5818800218308677</v>
      </c>
      <c r="DZ27" s="232">
        <f ca="1">EXC!BH259</f>
        <v>5.5440065360148507</v>
      </c>
      <c r="EA27" s="232">
        <f ca="1">EXC!BI259</f>
        <v>5.5281070074595435</v>
      </c>
      <c r="EB27" s="232">
        <f ca="1">EXC!BJ259</f>
        <v>5.4570859805648695</v>
      </c>
      <c r="EC27" s="232">
        <f ca="1">EXC!BK259</f>
        <v>5.4633580717752874</v>
      </c>
      <c r="ED27" s="504">
        <f ca="1">EXC!BL259</f>
        <v>5.4633580717752874</v>
      </c>
      <c r="EE27" s="232">
        <f ca="1">EXC!BM259</f>
        <v>5.412606848480582</v>
      </c>
      <c r="EF27" s="232">
        <f ca="1">EXC!BN259</f>
        <v>5.4796697441568041</v>
      </c>
      <c r="EG27" s="232">
        <f ca="1">EXC!BO259</f>
        <v>5.4606696683006746</v>
      </c>
      <c r="EH27" s="232">
        <f ca="1">EXC!BP259</f>
        <v>5.4862049256816992</v>
      </c>
      <c r="EI27" s="504">
        <f ca="1">EXC!BQ259</f>
        <v>5.4862049256816992</v>
      </c>
    </row>
    <row r="28" spans="1:139">
      <c r="A28" s="505"/>
      <c r="B28" s="468"/>
      <c r="C28" s="391" t="s">
        <v>1305</v>
      </c>
      <c r="D28" s="466"/>
      <c r="E28" s="501"/>
      <c r="F28" s="501"/>
      <c r="G28" s="501"/>
      <c r="H28" s="501"/>
      <c r="I28" s="502">
        <f>ComEd!I24</f>
        <v>1416</v>
      </c>
      <c r="J28" s="232"/>
      <c r="K28" s="232"/>
      <c r="L28" s="232"/>
      <c r="M28" s="232"/>
      <c r="N28" s="502">
        <f>ComEd!N24</f>
        <v>1596</v>
      </c>
      <c r="O28" s="232"/>
      <c r="P28" s="232"/>
      <c r="Q28" s="232"/>
      <c r="R28" s="232"/>
      <c r="S28" s="502">
        <f>ComEd!S24</f>
        <v>1553</v>
      </c>
      <c r="T28" s="232"/>
      <c r="U28" s="232"/>
      <c r="V28" s="232"/>
      <c r="W28" s="232"/>
      <c r="X28" s="502">
        <f>ComEd!X24</f>
        <v>1535</v>
      </c>
      <c r="Y28" s="232"/>
      <c r="Z28" s="232"/>
      <c r="AA28" s="232"/>
      <c r="AB28" s="232"/>
      <c r="AC28" s="502">
        <f>ComEd!AC24</f>
        <v>1649</v>
      </c>
      <c r="AD28" s="232"/>
      <c r="AE28" s="232"/>
      <c r="AF28" s="232"/>
      <c r="AG28" s="232"/>
      <c r="AH28" s="502">
        <f>ComEd!AH24</f>
        <v>1684</v>
      </c>
      <c r="AI28" s="232"/>
      <c r="AJ28" s="232"/>
      <c r="AK28" s="232"/>
      <c r="AL28" s="232"/>
      <c r="AM28" s="502">
        <f>ComEd!AM24</f>
        <v>1745</v>
      </c>
      <c r="AN28" s="232"/>
      <c r="AO28" s="232"/>
      <c r="AP28" s="232"/>
      <c r="AQ28" s="232"/>
      <c r="AR28" s="502">
        <f>ComEd!AR24</f>
        <v>1915</v>
      </c>
      <c r="AS28" s="232"/>
      <c r="AT28" s="232"/>
      <c r="AU28" s="232"/>
      <c r="AV28" s="232"/>
      <c r="AW28" s="502">
        <f>ComEd!AW24</f>
        <v>2195</v>
      </c>
      <c r="AX28" s="232"/>
      <c r="AY28" s="232"/>
      <c r="AZ28" s="232"/>
      <c r="BA28" s="232"/>
      <c r="BB28" s="502">
        <f>ComEd!BB24</f>
        <v>2018.9859285633702</v>
      </c>
      <c r="BC28" s="232"/>
      <c r="BD28" s="232"/>
      <c r="BE28" s="232"/>
      <c r="BF28" s="232"/>
      <c r="BG28" s="502">
        <f>ComEd!BG24</f>
        <v>2101.0558618967029</v>
      </c>
      <c r="BH28" s="232"/>
      <c r="BI28" s="232"/>
      <c r="BJ28" s="232"/>
      <c r="BK28" s="232"/>
      <c r="BL28" s="502">
        <f>ComEd!BL24</f>
        <v>2213.9800272300363</v>
      </c>
      <c r="BM28" s="232"/>
      <c r="BN28" s="232"/>
      <c r="BO28" s="232"/>
      <c r="BP28" s="232"/>
      <c r="BQ28" s="502">
        <f>ComEd!BQ24</f>
        <v>2328.3226758700357</v>
      </c>
      <c r="BR28" s="31"/>
      <c r="BS28" s="31"/>
      <c r="BT28" s="31"/>
      <c r="BU28" s="232" t="s">
        <v>280</v>
      </c>
      <c r="BV28" s="232"/>
      <c r="CA28" s="504">
        <f>EXC!I260</f>
        <v>7.045143638850889</v>
      </c>
      <c r="CF28" s="504">
        <f>EXC!N260</f>
        <v>6.1664626682986539</v>
      </c>
      <c r="CG28">
        <f>EXC!O260</f>
        <v>5.9374233128834355</v>
      </c>
      <c r="CH28">
        <f>EXC!P260</f>
        <v>7.0318559556786706</v>
      </c>
      <c r="CI28">
        <f>EXC!Q260</f>
        <v>6.2318244170096024</v>
      </c>
      <c r="CJ28">
        <f>EXC!R260</f>
        <v>6.443526170798898</v>
      </c>
      <c r="CK28" s="504">
        <f>EXC!S260</f>
        <v>6.443526170798898</v>
      </c>
      <c r="CL28">
        <f>EXC!T260</f>
        <v>5.3175675675675675</v>
      </c>
      <c r="CM28">
        <f>EXC!U260</f>
        <v>4.2653562653562656</v>
      </c>
      <c r="CN28">
        <f>EXC!V259</f>
        <v>7.5592255125284735</v>
      </c>
      <c r="CO28">
        <f>EXC!W260</f>
        <v>2.9375</v>
      </c>
      <c r="CP28" s="504">
        <f>EXC!X260</f>
        <v>2.9375</v>
      </c>
      <c r="CQ28">
        <f>EXC!Y260</f>
        <v>2.1039823008849559</v>
      </c>
      <c r="CR28">
        <f>EXC!Z260</f>
        <v>2.3446745562130178</v>
      </c>
      <c r="CS28">
        <f>EXC!AA260</f>
        <v>2.8917910447761193</v>
      </c>
      <c r="CT28">
        <f>EXC!AB260</f>
        <v>3.0449852507374633</v>
      </c>
      <c r="CU28" s="504">
        <f>EXC!AC260</f>
        <v>3.0449852507374633</v>
      </c>
      <c r="CV28">
        <f>EXC!AD260</f>
        <v>3.8697916666666665</v>
      </c>
      <c r="CW28">
        <f>EXC!AE260</f>
        <v>4.015856236786469</v>
      </c>
      <c r="CX28">
        <f>EXC!AF260</f>
        <v>4.2721649484536082</v>
      </c>
      <c r="CY28">
        <f>EXC!AG260</f>
        <v>3.3342723004694834</v>
      </c>
      <c r="CZ28" s="504">
        <f>EXC!AH260</f>
        <v>3.3342723004694834</v>
      </c>
      <c r="DA28">
        <f>EXC!AI260</f>
        <v>3.9991546914623837</v>
      </c>
      <c r="DB28">
        <f>EXC!AJ260</f>
        <v>4.34</v>
      </c>
      <c r="DC28">
        <f>EXC!AK260</f>
        <v>3.6301369863013697</v>
      </c>
      <c r="DD28">
        <f>EXC!AL260</f>
        <v>4.2168441432720236</v>
      </c>
      <c r="DE28" s="504">
        <f>EXC!AM260</f>
        <v>4.2168441432720236</v>
      </c>
      <c r="DF28">
        <f>EXC!AN260</f>
        <v>3.5938461538461537</v>
      </c>
      <c r="DG28">
        <f>EXC!AO260</f>
        <v>2.6530100334448159</v>
      </c>
      <c r="DH28">
        <f>EXC!AP260</f>
        <v>2.4674434544208363</v>
      </c>
      <c r="DI28">
        <f>EXC!AQ260</f>
        <v>2.279296875</v>
      </c>
      <c r="DJ28" s="504">
        <f>EXC!AR260</f>
        <v>2.279296875</v>
      </c>
      <c r="DK28">
        <f>EXC!AS260</f>
        <v>2.7595561035758323</v>
      </c>
      <c r="DL28">
        <f>EXC!AT260</f>
        <v>2.4494649227110581</v>
      </c>
      <c r="DM28">
        <f>EXC!AU260</f>
        <v>2.8627577319587627</v>
      </c>
      <c r="DN28">
        <f>EXC!AV260</f>
        <v>3.3871794871794871</v>
      </c>
      <c r="DO28" s="504">
        <f>EXC!AW260</f>
        <v>3.3871794871794871</v>
      </c>
      <c r="DP28">
        <f>EXC!AX260</f>
        <v>3.3677893005456854</v>
      </c>
      <c r="DQ28">
        <f>EXC!AY260</f>
        <v>3.8776332912066476</v>
      </c>
      <c r="DR28">
        <f ca="1">EXC!AZ260</f>
        <v>3.7501461262521372</v>
      </c>
      <c r="DS28">
        <f ca="1">EXC!BA260</f>
        <v>3.346532882927971</v>
      </c>
      <c r="DT28" s="504">
        <f ca="1">EXC!BB260</f>
        <v>3.346532882927971</v>
      </c>
      <c r="DU28">
        <f ca="1">EXC!BC260</f>
        <v>3.4128419245422559</v>
      </c>
      <c r="DV28">
        <f ca="1">EXC!BD260</f>
        <v>3.3084424127721301</v>
      </c>
      <c r="DW28">
        <f ca="1">EXC!BE260</f>
        <v>3.2140271568534433</v>
      </c>
      <c r="DX28">
        <f ca="1">EXC!BF260</f>
        <v>3.1647442478428309</v>
      </c>
      <c r="DY28" s="504">
        <f ca="1">EXC!BG260</f>
        <v>3.1647442478428309</v>
      </c>
      <c r="DZ28">
        <f ca="1">EXC!BH260</f>
        <v>3.1107560662360685</v>
      </c>
      <c r="EA28">
        <f ca="1">EXC!BI260</f>
        <v>3.0789399509969537</v>
      </c>
      <c r="EB28">
        <f ca="1">EXC!BJ260</f>
        <v>3.0562833653576793</v>
      </c>
      <c r="EC28">
        <f ca="1">EXC!BK260</f>
        <v>3.0901126398386491</v>
      </c>
      <c r="ED28" s="504">
        <f ca="1">EXC!BL260</f>
        <v>3.0901126398386491</v>
      </c>
      <c r="EE28">
        <f ca="1">EXC!BM260</f>
        <v>3.0125073911950997</v>
      </c>
      <c r="EF28">
        <f ca="1">EXC!BN260</f>
        <v>3.0952398819376983</v>
      </c>
      <c r="EG28">
        <f ca="1">EXC!BO260</f>
        <v>3.1097097476085716</v>
      </c>
      <c r="EH28">
        <f ca="1">EXC!BP260</f>
        <v>3.1593155485680136</v>
      </c>
      <c r="EI28" s="504">
        <f ca="1">EXC!BQ260</f>
        <v>3.1593155485680136</v>
      </c>
    </row>
    <row r="29" spans="1:139">
      <c r="B29" s="468"/>
      <c r="C29" s="391" t="s">
        <v>1306</v>
      </c>
      <c r="D29" s="466"/>
      <c r="E29" s="501"/>
      <c r="F29" s="501"/>
      <c r="G29" s="501"/>
      <c r="H29" s="501"/>
      <c r="I29" s="502">
        <f>PECO!I27</f>
        <v>1638</v>
      </c>
      <c r="J29" s="232"/>
      <c r="K29" s="232"/>
      <c r="L29" s="232"/>
      <c r="M29" s="232"/>
      <c r="N29" s="502">
        <f>PECO!N27</f>
        <v>1729</v>
      </c>
      <c r="O29" s="232"/>
      <c r="P29" s="232"/>
      <c r="Q29" s="232"/>
      <c r="R29" s="232"/>
      <c r="S29" s="502">
        <f>PECO!S27</f>
        <v>871</v>
      </c>
      <c r="T29" s="232"/>
      <c r="U29" s="232"/>
      <c r="V29" s="232"/>
      <c r="W29" s="232"/>
      <c r="X29" s="502">
        <f>PECO!X27</f>
        <v>847.99999999999955</v>
      </c>
      <c r="Y29" s="232"/>
      <c r="Z29" s="232"/>
      <c r="AA29" s="232"/>
      <c r="AB29" s="232"/>
      <c r="AC29" s="502">
        <f>PECO!AC27</f>
        <v>900</v>
      </c>
      <c r="AD29" s="232"/>
      <c r="AE29" s="232"/>
      <c r="AF29" s="232"/>
      <c r="AG29" s="232"/>
      <c r="AH29" s="502">
        <f>PECO!AH27</f>
        <v>815</v>
      </c>
      <c r="AI29" s="232"/>
      <c r="AJ29" s="232"/>
      <c r="AK29" s="232"/>
      <c r="AL29" s="232"/>
      <c r="AM29" s="502">
        <f>PECO!AM27</f>
        <v>895</v>
      </c>
      <c r="AN29" s="232"/>
      <c r="AO29" s="232"/>
      <c r="AP29" s="232"/>
      <c r="AQ29" s="232"/>
      <c r="AR29" s="502">
        <f>PECO!AR27</f>
        <v>980</v>
      </c>
      <c r="AS29" s="232"/>
      <c r="AT29" s="232"/>
      <c r="AU29" s="232"/>
      <c r="AV29" s="232"/>
      <c r="AW29" s="502">
        <f>PECO!AW27</f>
        <v>950</v>
      </c>
      <c r="AX29" s="232"/>
      <c r="AY29" s="232"/>
      <c r="AZ29" s="232"/>
      <c r="BA29" s="232"/>
      <c r="BB29" s="502">
        <f>PECO!BB27</f>
        <v>946.75930609558191</v>
      </c>
      <c r="BC29" s="232"/>
      <c r="BD29" s="232"/>
      <c r="BE29" s="232"/>
      <c r="BF29" s="232"/>
      <c r="BG29" s="502">
        <f>PECO!BG27</f>
        <v>1020.5125515948018</v>
      </c>
      <c r="BH29" s="232"/>
      <c r="BI29" s="232"/>
      <c r="BJ29" s="232"/>
      <c r="BK29" s="232"/>
      <c r="BL29" s="502">
        <f>PECO!BL27</f>
        <v>1099.1843725654091</v>
      </c>
      <c r="BM29" s="232"/>
      <c r="BN29" s="232"/>
      <c r="BO29" s="232"/>
      <c r="BP29" s="232"/>
      <c r="BQ29" s="502">
        <f>PECO!BQ27</f>
        <v>1149.4387362781804</v>
      </c>
      <c r="BR29" s="31"/>
      <c r="BS29" s="31"/>
      <c r="BT29" s="31"/>
      <c r="BU29" s="31"/>
      <c r="BV29" s="31"/>
      <c r="CA29" s="31"/>
      <c r="CF29" s="31"/>
      <c r="CK29" s="31"/>
      <c r="CP29" s="31"/>
      <c r="CU29" s="31"/>
      <c r="CZ29" s="31"/>
      <c r="DE29" s="31"/>
      <c r="DJ29" s="31"/>
      <c r="DO29" s="31"/>
      <c r="DT29" s="31"/>
      <c r="DY29" s="31"/>
      <c r="ED29" s="31"/>
      <c r="EI29" s="31"/>
    </row>
    <row r="30" spans="1:139">
      <c r="B30" s="468"/>
      <c r="C30" s="391" t="s">
        <v>1307</v>
      </c>
      <c r="D30" s="466"/>
      <c r="E30" s="501"/>
      <c r="F30" s="501"/>
      <c r="G30" s="501"/>
      <c r="H30" s="501"/>
      <c r="I30" s="502">
        <f>I35-I27-I28-I29-I34</f>
        <v>0</v>
      </c>
      <c r="J30" s="232"/>
      <c r="K30" s="232"/>
      <c r="L30" s="232"/>
      <c r="M30" s="232"/>
      <c r="N30" s="502">
        <f>N35-N27-N28-N29-N34</f>
        <v>0</v>
      </c>
      <c r="O30" s="232"/>
      <c r="P30" s="232"/>
      <c r="Q30" s="232"/>
      <c r="R30" s="232"/>
      <c r="S30" s="502">
        <f>S35-S27-S28-S29-S34</f>
        <v>0</v>
      </c>
      <c r="T30" s="232"/>
      <c r="U30" s="232"/>
      <c r="V30" s="232"/>
      <c r="W30" s="232"/>
      <c r="X30" s="502">
        <f>BGE!X25</f>
        <v>453</v>
      </c>
      <c r="Y30" s="232"/>
      <c r="Z30" s="232"/>
      <c r="AA30" s="232"/>
      <c r="AB30" s="232"/>
      <c r="AC30" s="502">
        <f>BGE!AC25</f>
        <v>814</v>
      </c>
      <c r="AD30" s="232"/>
      <c r="AE30" s="232"/>
      <c r="AF30" s="232"/>
      <c r="AG30" s="232"/>
      <c r="AH30" s="502">
        <f>BGE!AH25</f>
        <v>828</v>
      </c>
      <c r="AI30" s="232"/>
      <c r="AJ30" s="232"/>
      <c r="AK30" s="232"/>
      <c r="AL30" s="232"/>
      <c r="AM30" s="502">
        <f>BGE!AM25</f>
        <v>942</v>
      </c>
      <c r="AN30" s="232"/>
      <c r="AO30" s="232"/>
      <c r="AP30" s="232"/>
      <c r="AQ30" s="232"/>
      <c r="AR30" s="502">
        <f>BGE!AR25</f>
        <v>994</v>
      </c>
      <c r="AS30" s="232"/>
      <c r="AT30" s="232"/>
      <c r="AU30" s="232"/>
      <c r="AV30" s="232"/>
      <c r="AW30" s="502">
        <f>BGE!AW25</f>
        <v>1103</v>
      </c>
      <c r="AX30" s="232"/>
      <c r="AY30" s="232"/>
      <c r="AZ30" s="232"/>
      <c r="BA30" s="232"/>
      <c r="BB30" s="502">
        <f>BGE!BB25</f>
        <v>1008.0435159959604</v>
      </c>
      <c r="BC30" s="232"/>
      <c r="BD30" s="232"/>
      <c r="BE30" s="232"/>
      <c r="BF30" s="232"/>
      <c r="BG30" s="502">
        <f>BGE!BG25</f>
        <v>1082.1424044313344</v>
      </c>
      <c r="BH30" s="232"/>
      <c r="BI30" s="232"/>
      <c r="BJ30" s="232"/>
      <c r="BK30" s="232"/>
      <c r="BL30" s="502">
        <f>BGE!BL25</f>
        <v>1172.0932309528766</v>
      </c>
      <c r="BM30" s="232"/>
      <c r="BN30" s="232"/>
      <c r="BO30" s="232"/>
      <c r="BP30" s="232"/>
      <c r="BQ30" s="502">
        <f>BGE!BQ25</f>
        <v>1240.7341851159608</v>
      </c>
      <c r="BR30" s="31"/>
      <c r="BS30" s="31"/>
      <c r="BT30" s="231" t="s">
        <v>91</v>
      </c>
      <c r="BU30" s="231"/>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row>
    <row r="31" spans="1:139">
      <c r="B31" s="468"/>
      <c r="C31" t="s">
        <v>349</v>
      </c>
      <c r="D31" s="466"/>
      <c r="E31" s="501"/>
      <c r="F31" s="501"/>
      <c r="G31" s="501"/>
      <c r="H31" s="501"/>
      <c r="I31" s="502"/>
      <c r="J31" s="232"/>
      <c r="K31" s="232"/>
      <c r="L31" s="232"/>
      <c r="M31" s="232"/>
      <c r="N31" s="502"/>
      <c r="O31" s="232"/>
      <c r="P31" s="232"/>
      <c r="Q31" s="232"/>
      <c r="R31" s="232"/>
      <c r="S31" s="502"/>
      <c r="T31" s="232"/>
      <c r="U31" s="232"/>
      <c r="V31" s="232"/>
      <c r="W31" s="232"/>
      <c r="X31" s="502"/>
      <c r="Y31" s="232"/>
      <c r="Z31" s="232"/>
      <c r="AA31" s="232"/>
      <c r="AB31" s="232"/>
      <c r="AC31" s="502"/>
      <c r="AD31" s="232"/>
      <c r="AE31" s="232"/>
      <c r="AF31" s="232"/>
      <c r="AG31" s="232"/>
      <c r="AH31" s="502"/>
      <c r="AI31" s="232"/>
      <c r="AJ31" s="232"/>
      <c r="AK31" s="502"/>
      <c r="AL31" s="502"/>
      <c r="AM31" s="502">
        <f>Pepco!AG24+Pepco!AF24</f>
        <v>393</v>
      </c>
      <c r="AN31" s="232"/>
      <c r="AO31" s="232"/>
      <c r="AP31" s="232"/>
      <c r="AQ31" s="232"/>
      <c r="AR31" s="502">
        <f>Pepco!AM24</f>
        <v>505</v>
      </c>
      <c r="AS31" s="232"/>
      <c r="AT31" s="232"/>
      <c r="AU31" s="232"/>
      <c r="AV31" s="232"/>
      <c r="AW31" s="502">
        <f>Pepco!AR24</f>
        <v>752</v>
      </c>
      <c r="AX31" s="232"/>
      <c r="AY31" s="232"/>
      <c r="AZ31" s="232"/>
      <c r="BA31" s="232"/>
      <c r="BB31" s="502">
        <f>Pepco!AW24</f>
        <v>707.3020607090657</v>
      </c>
      <c r="BC31" s="232"/>
      <c r="BD31" s="232"/>
      <c r="BE31" s="232"/>
      <c r="BF31" s="232"/>
      <c r="BG31" s="502">
        <f>Pepco!BB24</f>
        <v>752.97945764528436</v>
      </c>
      <c r="BH31" s="232"/>
      <c r="BI31" s="232"/>
      <c r="BJ31" s="232"/>
      <c r="BK31" s="232"/>
      <c r="BL31" s="502">
        <f>Pepco!BG24</f>
        <v>807.81471268870837</v>
      </c>
      <c r="BM31" s="232"/>
      <c r="BN31" s="232"/>
      <c r="BO31" s="232"/>
      <c r="BP31" s="232"/>
      <c r="BQ31" s="502">
        <f>Pepco!BL24</f>
        <v>873.35907685489565</v>
      </c>
      <c r="BR31" s="31"/>
      <c r="BS31" s="31"/>
      <c r="BT31" s="468"/>
      <c r="BU31" s="514"/>
      <c r="BV31" s="31"/>
      <c r="BW31" s="22"/>
      <c r="BX31" s="22"/>
      <c r="BY31" s="22"/>
      <c r="BZ31" s="22"/>
      <c r="CA31" s="485"/>
      <c r="CB31" s="22"/>
      <c r="CC31" s="22"/>
      <c r="CD31" s="22"/>
      <c r="CE31" s="22"/>
      <c r="CF31" s="485"/>
      <c r="CG31" s="22"/>
      <c r="CH31" s="22"/>
      <c r="CI31" s="22"/>
      <c r="CJ31" s="22"/>
      <c r="CK31" s="485"/>
      <c r="CL31" s="22"/>
      <c r="CM31" s="22"/>
      <c r="CN31" s="22"/>
      <c r="CO31" s="22"/>
      <c r="CP31" s="485"/>
      <c r="CQ31" s="22"/>
      <c r="CR31" s="22"/>
      <c r="CS31" s="22"/>
      <c r="CT31" s="22"/>
      <c r="CU31" s="485"/>
      <c r="CV31" s="22"/>
      <c r="CW31" s="22"/>
      <c r="CX31" s="22"/>
      <c r="CY31" s="22"/>
      <c r="CZ31" s="485"/>
      <c r="DA31" s="22"/>
      <c r="DB31" s="22"/>
      <c r="DC31" s="22"/>
      <c r="DD31" s="22"/>
      <c r="DE31" s="485"/>
      <c r="DF31" s="22"/>
      <c r="DG31" s="22"/>
      <c r="DH31" s="22"/>
      <c r="DI31" s="22"/>
      <c r="DJ31" s="485"/>
      <c r="DK31" s="22"/>
      <c r="DL31" s="22"/>
      <c r="DM31" s="22"/>
      <c r="DN31" s="22"/>
      <c r="DO31" s="485"/>
      <c r="DP31" s="22"/>
      <c r="DQ31" s="22"/>
      <c r="DR31" s="22"/>
      <c r="DS31" s="22"/>
      <c r="DT31" s="485"/>
      <c r="DU31" s="22"/>
      <c r="DV31" s="22"/>
      <c r="DW31" s="22"/>
      <c r="DX31" s="22"/>
      <c r="DY31" s="485"/>
      <c r="DZ31" s="22"/>
      <c r="EA31" s="22"/>
      <c r="EB31" s="22"/>
      <c r="EC31" s="22"/>
      <c r="ED31" s="485"/>
      <c r="EE31" s="22"/>
      <c r="EF31" s="22"/>
      <c r="EG31" s="22"/>
      <c r="EH31" s="22"/>
      <c r="EI31" s="485"/>
    </row>
    <row r="32" spans="1:139">
      <c r="B32" s="468"/>
      <c r="C32" t="s">
        <v>350</v>
      </c>
      <c r="D32" s="466"/>
      <c r="E32" s="501"/>
      <c r="F32" s="501"/>
      <c r="G32" s="501"/>
      <c r="H32" s="501"/>
      <c r="I32" s="502"/>
      <c r="J32" s="232"/>
      <c r="K32" s="232"/>
      <c r="L32" s="232"/>
      <c r="M32" s="232"/>
      <c r="N32" s="502"/>
      <c r="O32" s="232"/>
      <c r="P32" s="232"/>
      <c r="Q32" s="232"/>
      <c r="R32" s="232"/>
      <c r="S32" s="502"/>
      <c r="T32" s="232"/>
      <c r="U32" s="232"/>
      <c r="V32" s="232"/>
      <c r="W32" s="232"/>
      <c r="X32" s="502"/>
      <c r="Y32" s="232"/>
      <c r="Z32" s="232"/>
      <c r="AA32" s="232"/>
      <c r="AB32" s="232"/>
      <c r="AC32" s="502"/>
      <c r="AD32" s="232"/>
      <c r="AE32" s="232"/>
      <c r="AF32" s="232"/>
      <c r="AG32" s="232"/>
      <c r="AH32" s="502"/>
      <c r="AI32" s="232"/>
      <c r="AJ32" s="232"/>
      <c r="AK32" s="232"/>
      <c r="AL32" s="232"/>
      <c r="AM32" s="502">
        <f>DPL!AG30+DPL!AF30</f>
        <v>162</v>
      </c>
      <c r="AN32" s="232"/>
      <c r="AO32" s="232"/>
      <c r="AP32" s="232"/>
      <c r="AQ32" s="232"/>
      <c r="AR32" s="502">
        <f>DPL!AM30</f>
        <v>220</v>
      </c>
      <c r="AS32" s="232"/>
      <c r="AT32" s="232"/>
      <c r="AU32" s="232"/>
      <c r="AV32" s="232"/>
      <c r="AW32" s="502">
        <f>DPL!AR30</f>
        <v>410</v>
      </c>
      <c r="AX32" s="232"/>
      <c r="AY32" s="232"/>
      <c r="AZ32" s="232"/>
      <c r="BA32" s="232"/>
      <c r="BB32" s="502">
        <f ca="1">DPL!AW30</f>
        <v>397.44877779807706</v>
      </c>
      <c r="BC32" s="232"/>
      <c r="BD32" s="232"/>
      <c r="BE32" s="232"/>
      <c r="BF32" s="232"/>
      <c r="BG32" s="502">
        <f ca="1">DPL!BB30</f>
        <v>417.48680722591087</v>
      </c>
      <c r="BH32" s="232"/>
      <c r="BI32" s="232"/>
      <c r="BJ32" s="232"/>
      <c r="BK32" s="232"/>
      <c r="BL32" s="502">
        <f ca="1">DPL!BG30</f>
        <v>435.13531416741546</v>
      </c>
      <c r="BM32" s="232"/>
      <c r="BN32" s="232"/>
      <c r="BO32" s="232"/>
      <c r="BP32" s="232"/>
      <c r="BQ32" s="502">
        <f ca="1">DPL!BL30</f>
        <v>448.9553219831846</v>
      </c>
      <c r="BR32" s="31"/>
      <c r="BS32" s="31"/>
      <c r="BT32" s="468"/>
      <c r="BU32" s="34" t="s">
        <v>93</v>
      </c>
      <c r="BV32" s="31"/>
      <c r="CA32" s="31"/>
      <c r="CF32" s="31"/>
      <c r="CK32" s="31"/>
      <c r="CP32" s="31"/>
      <c r="CU32" s="31"/>
      <c r="CZ32" s="31"/>
      <c r="DE32" s="31"/>
      <c r="DJ32" s="31"/>
      <c r="DO32" s="31"/>
      <c r="DT32" s="31"/>
      <c r="DY32" s="31"/>
      <c r="ED32" s="31"/>
      <c r="EI32" s="31"/>
    </row>
    <row r="33" spans="2:139">
      <c r="B33" s="468"/>
      <c r="C33" t="s">
        <v>779</v>
      </c>
      <c r="D33" s="466"/>
      <c r="E33" s="501"/>
      <c r="F33" s="501"/>
      <c r="G33" s="501"/>
      <c r="H33" s="501"/>
      <c r="I33" s="502"/>
      <c r="J33" s="232"/>
      <c r="K33" s="232"/>
      <c r="L33" s="232"/>
      <c r="M33" s="232"/>
      <c r="N33" s="502"/>
      <c r="O33" s="232"/>
      <c r="P33" s="232"/>
      <c r="Q33" s="232"/>
      <c r="R33" s="232"/>
      <c r="S33" s="502"/>
      <c r="T33" s="232"/>
      <c r="U33" s="232"/>
      <c r="V33" s="232"/>
      <c r="W33" s="232"/>
      <c r="X33" s="502"/>
      <c r="Y33" s="232"/>
      <c r="Z33" s="232"/>
      <c r="AA33" s="232"/>
      <c r="AB33" s="232"/>
      <c r="AC33" s="502"/>
      <c r="AD33" s="232"/>
      <c r="AE33" s="232"/>
      <c r="AF33" s="232"/>
      <c r="AG33" s="232"/>
      <c r="AH33" s="502"/>
      <c r="AI33" s="232"/>
      <c r="AJ33" s="232"/>
      <c r="AK33" s="232"/>
      <c r="AL33" s="232"/>
      <c r="AM33" s="502">
        <f>ACE!AG24+ACE!AF24</f>
        <v>168</v>
      </c>
      <c r="AN33" s="232"/>
      <c r="AO33" s="232"/>
      <c r="AP33" s="232"/>
      <c r="AQ33" s="232"/>
      <c r="AR33" s="502">
        <f>ACE!AM24</f>
        <v>181</v>
      </c>
      <c r="AS33" s="232"/>
      <c r="AT33" s="232"/>
      <c r="AU33" s="232"/>
      <c r="AV33" s="232"/>
      <c r="AW33" s="502">
        <f>ACE!AR24</f>
        <v>310</v>
      </c>
      <c r="AX33" s="232"/>
      <c r="AY33" s="232"/>
      <c r="AZ33" s="232"/>
      <c r="BA33" s="232"/>
      <c r="BB33" s="502">
        <f>ACE!AW24</f>
        <v>307.90240038312402</v>
      </c>
      <c r="BC33" s="232"/>
      <c r="BD33" s="232"/>
      <c r="BE33" s="232"/>
      <c r="BF33" s="232"/>
      <c r="BG33" s="502">
        <f>ACE!BB24</f>
        <v>322.66538203275621</v>
      </c>
      <c r="BH33" s="232"/>
      <c r="BI33" s="232"/>
      <c r="BJ33" s="232"/>
      <c r="BK33" s="232"/>
      <c r="BL33" s="502">
        <f>ACE!BG24</f>
        <v>359.48298978897753</v>
      </c>
      <c r="BM33" s="232"/>
      <c r="BN33" s="232"/>
      <c r="BO33" s="232"/>
      <c r="BP33" s="232"/>
      <c r="BQ33" s="502">
        <f>ACE!BL24</f>
        <v>361.18223365826236</v>
      </c>
      <c r="BR33" s="31"/>
      <c r="BS33" s="31"/>
      <c r="BT33" s="468"/>
      <c r="BU33" s="232" t="s">
        <v>431</v>
      </c>
      <c r="BV33" s="31"/>
      <c r="BW33" s="501"/>
      <c r="BX33" s="501"/>
      <c r="BY33" s="501"/>
      <c r="BZ33" s="501"/>
      <c r="CA33" s="951">
        <f>ComEd!I169+PECO!I198</f>
        <v>2186</v>
      </c>
      <c r="CB33" s="951">
        <f>ComEd!J169+PECO!J198+BGE!J195</f>
        <v>497.6</v>
      </c>
      <c r="CC33" s="951">
        <f>ComEd!K169+PECO!K198+BGE!K195</f>
        <v>642.6</v>
      </c>
      <c r="CD33" s="951">
        <f>ComEd!L169+PECO!L198+BGE!L195</f>
        <v>755.4</v>
      </c>
      <c r="CE33" s="951">
        <f>ComEd!M169+PECO!M198+BGE!M195</f>
        <v>650.19999999999993</v>
      </c>
      <c r="CF33" s="951">
        <f>ComEd!N169+PECO!N198</f>
        <v>2227</v>
      </c>
      <c r="CG33" s="951">
        <f>ComEd!O169+PECO!O198+BGE!O195</f>
        <v>12.199999999999989</v>
      </c>
      <c r="CH33" s="951">
        <f>ComEd!P169+PECO!P198+BGE!P195</f>
        <v>884.30000000000007</v>
      </c>
      <c r="CI33" s="951">
        <f>ComEd!Q169+PECO!Q198+BGE!Q195</f>
        <v>789.3</v>
      </c>
      <c r="CJ33" s="951">
        <f>ComEd!R169+PECO!R198+BGE!R195</f>
        <v>399.40000000000003</v>
      </c>
      <c r="CK33" s="951">
        <f>ComEd!S169+PECO!S198</f>
        <v>1654</v>
      </c>
      <c r="CL33" s="951">
        <f>ComEd!T169+PECO!T198+BGE!T195</f>
        <v>715</v>
      </c>
      <c r="CM33" s="951">
        <f>ComEd!U169+PECO!U198+BGE!U195</f>
        <v>785</v>
      </c>
      <c r="CN33" s="951">
        <f>ComEd!V169+PECO!V198+BGE!V195</f>
        <v>632</v>
      </c>
      <c r="CO33" s="951">
        <f>ComEd!W169+PECO!W198+BGE!W195</f>
        <v>565</v>
      </c>
      <c r="CP33" s="951">
        <f>ComEd!X169+PECO!X198+BGE!X195</f>
        <v>2697</v>
      </c>
      <c r="CQ33" s="951">
        <f>ComEd!Y169+PECO!Y198+BGE!Y195</f>
        <v>438</v>
      </c>
      <c r="CR33" s="951">
        <f>ComEd!Z169+PECO!Z198+BGE!Z195</f>
        <v>898</v>
      </c>
      <c r="CS33" s="951">
        <f>ComEd!AA169+PECO!AA198+BGE!AA195</f>
        <v>567</v>
      </c>
      <c r="CT33" s="951">
        <f>ComEd!AB169+PECO!AB198+BGE!AB195</f>
        <v>623</v>
      </c>
      <c r="CU33" s="951">
        <f>ComEd!AC169+PECO!AC198+BGE!AC195</f>
        <v>2526</v>
      </c>
      <c r="CV33" s="951">
        <f>ComEd!AD169+PECO!AD198+BGE!AD195</f>
        <v>369</v>
      </c>
      <c r="CW33" s="951">
        <f>ComEd!AE169+PECO!AE198+BGE!AE195</f>
        <v>810</v>
      </c>
      <c r="CX33" s="951">
        <f>ComEd!AF169+PECO!AF198+BGE!AF195</f>
        <v>799</v>
      </c>
      <c r="CY33" s="951">
        <f>ComEd!AG169+PECO!AG198+BGE!AG195</f>
        <v>800</v>
      </c>
      <c r="CZ33" s="951">
        <f>ComEd!AH169+PECO!AH198+BGE!AH195</f>
        <v>2778</v>
      </c>
      <c r="DA33" s="951">
        <f>ComEd!AI169+PECO!AI198+BGE!AI195</f>
        <v>690</v>
      </c>
      <c r="DB33" s="951">
        <f>ComEd!AJ169+PECO!AJ198+BGE!AJ195</f>
        <v>974</v>
      </c>
      <c r="DC33" s="951">
        <f>ComEd!AK169+PECO!AK198+BGE!AK195</f>
        <v>945</v>
      </c>
      <c r="DD33" s="951">
        <f>ComEd!AL169+PECO!AL198+BGE!AL195</f>
        <v>839</v>
      </c>
      <c r="DE33" s="951">
        <f>ComEd!AM169+PECO!AM198+BGE!AM195+Pepco!AF148+Pepco!AG148+DPL!AF179+DPL!AG179+ACE!AF148+ACE!AG148</f>
        <v>4040</v>
      </c>
      <c r="DF33" s="951">
        <f>ComEd!AN169+PECO!AN198+BGE!AN195</f>
        <v>695</v>
      </c>
      <c r="DG33" s="951">
        <f>ComEd!AO169+PECO!AO198+BGE!AO195</f>
        <v>1261</v>
      </c>
      <c r="DH33" s="951">
        <f>ComEd!AP169+PECO!AP198+BGE!AP195</f>
        <v>1035</v>
      </c>
      <c r="DI33" s="951">
        <f>ComEd!AQ169+PECO!AQ198+BGE!AQ195</f>
        <v>1288</v>
      </c>
      <c r="DJ33" s="951">
        <f>ComEd!AR169+PECO!AR198+BGE!AR195+Pepco!AM148+DPL!AM179+ACE!AM148</f>
        <v>5625</v>
      </c>
      <c r="DK33" s="951">
        <f>ComEd!AS169+PECO!AS198+BGE!AS195</f>
        <v>377</v>
      </c>
      <c r="DL33" s="951">
        <f>ComEd!AT169+PECO!AT198+BGE!AT195</f>
        <v>1251</v>
      </c>
      <c r="DM33" s="951">
        <f>ComEd!AU169+PECO!AU198+BGE!AU195</f>
        <v>799</v>
      </c>
      <c r="DN33" s="951">
        <f>ComEd!AV169+PECO!AV198+BGE!AV195</f>
        <v>675</v>
      </c>
      <c r="DO33" s="951">
        <f>ComEd!AW169+PECO!AW198+BGE!AW195+Pepco!AR148+DPL!AR179+ACE!AR148</f>
        <v>4037</v>
      </c>
      <c r="DP33" s="951">
        <f ca="1">ComEd!AX169+PECO!AX198+BGE!AX195</f>
        <v>875.76708435192916</v>
      </c>
      <c r="DQ33" s="951">
        <f ca="1">ComEd!AY169+PECO!AY198+BGE!AY195</f>
        <v>740.35164911166203</v>
      </c>
      <c r="DR33" s="951">
        <f ca="1">ComEd!AZ169+PECO!AZ198+BGE!AZ195</f>
        <v>797.6979609724284</v>
      </c>
      <c r="DS33" s="951">
        <f ca="1">ComEd!BA169+PECO!BA198+BGE!BA195</f>
        <v>761.22274041242451</v>
      </c>
      <c r="DT33" s="951">
        <f ca="1">ComEd!BB169+PECO!BB198+BGE!BB195+Pepco!AW148+DPL!AW179+ACE!AW148</f>
        <v>4321.4499688939468</v>
      </c>
      <c r="DU33" s="951">
        <f ca="1">ComEd!BC169+PECO!BC198+BGE!BC195</f>
        <v>908.15416468462399</v>
      </c>
      <c r="DV33" s="951">
        <f ca="1">ComEd!BD169+PECO!BD198+BGE!BD195</f>
        <v>764.82555460298113</v>
      </c>
      <c r="DW33" s="951">
        <f ca="1">ComEd!BE169+PECO!BE198+BGE!BE195</f>
        <v>854.33409768993397</v>
      </c>
      <c r="DX33" s="951">
        <f ca="1">ComEd!BF169+PECO!BF198+BGE!BF195</f>
        <v>820.60235718000547</v>
      </c>
      <c r="DY33" s="951">
        <f ca="1">ComEd!BG169+PECO!BG198+BGE!BG195+Pepco!BB148+DPL!BB179+ACE!BB148</f>
        <v>4558.3812446514085</v>
      </c>
      <c r="DZ33" s="951">
        <f ca="1">ComEd!BH169+PECO!BH198+BGE!BH195</f>
        <v>968.7534707469008</v>
      </c>
      <c r="EA33" s="951">
        <f ca="1">ComEd!BI169+PECO!BI198+BGE!BI195</f>
        <v>826.0127854422642</v>
      </c>
      <c r="EB33" s="951">
        <f ca="1">ComEd!BJ169+PECO!BJ198+BGE!BJ195</f>
        <v>892.81057075537512</v>
      </c>
      <c r="EC33" s="951">
        <f ca="1">ComEd!BK169+PECO!BK198+BGE!BK195</f>
        <v>862.75324455770658</v>
      </c>
      <c r="ED33" s="951">
        <f ca="1">ComEd!BL169+PECO!BL198+BGE!BL195+Pepco!BG148+DPL!BG179+ACE!BG148</f>
        <v>4860.9039770538293</v>
      </c>
      <c r="EE33" s="951">
        <f ca="1">ComEd!BM169+PECO!BM198+BGE!BM195</f>
        <v>1045.8367519770109</v>
      </c>
      <c r="EF33" s="951">
        <f ca="1">ComEd!BN169+PECO!BN198+BGE!BN195</f>
        <v>903.73762149003164</v>
      </c>
      <c r="EG33" s="951">
        <f ca="1">ComEd!BO169+PECO!BO198+BGE!BO195</f>
        <v>976.00928953809762</v>
      </c>
      <c r="EH33" s="951">
        <f ca="1">ComEd!BP169+PECO!BP198+BGE!BP195</f>
        <v>950.09560427014333</v>
      </c>
      <c r="EI33" s="951">
        <f ca="1">ComEd!BQ169+PECO!BQ198+BGE!BQ195+Pepco!BL148+DPL!BL179+ACE!BL148</f>
        <v>5249.5815584883385</v>
      </c>
    </row>
    <row r="34" spans="2:139">
      <c r="B34" s="468"/>
      <c r="C34" s="391" t="s">
        <v>116</v>
      </c>
      <c r="D34" s="31"/>
      <c r="I34" s="506">
        <f>Parent!I24</f>
        <v>-71</v>
      </c>
      <c r="J34" s="506"/>
      <c r="K34" s="506"/>
      <c r="L34" s="506"/>
      <c r="M34" s="506"/>
      <c r="N34" s="506">
        <f>Parent!N24</f>
        <v>11</v>
      </c>
      <c r="O34" s="506"/>
      <c r="P34" s="506"/>
      <c r="Q34" s="506"/>
      <c r="R34" s="506"/>
      <c r="S34" s="506">
        <f>Parent!S24</f>
        <v>22</v>
      </c>
      <c r="T34" s="506"/>
      <c r="U34" s="506"/>
      <c r="V34" s="506"/>
      <c r="W34" s="506"/>
      <c r="X34" s="506">
        <f>Parent!X24</f>
        <v>-356</v>
      </c>
      <c r="Y34" s="506"/>
      <c r="Z34" s="506"/>
      <c r="AA34" s="506"/>
      <c r="AB34" s="506"/>
      <c r="AC34" s="506">
        <f>Parent!AC24</f>
        <v>31</v>
      </c>
      <c r="AD34" s="506"/>
      <c r="AE34" s="506"/>
      <c r="AF34" s="506"/>
      <c r="AG34" s="506"/>
      <c r="AH34" s="506">
        <f>Parent!AH24</f>
        <v>-11</v>
      </c>
      <c r="AI34" s="506"/>
      <c r="AJ34" s="506"/>
      <c r="AK34" s="506"/>
      <c r="AL34" s="506"/>
      <c r="AM34" s="506">
        <f>Parent!AM24</f>
        <v>-37.000000000000114</v>
      </c>
      <c r="AN34" s="506"/>
      <c r="AO34" s="506"/>
      <c r="AP34" s="506"/>
      <c r="AQ34" s="506"/>
      <c r="AR34" s="506">
        <f>Parent!AR24</f>
        <v>-577</v>
      </c>
      <c r="AS34" s="506"/>
      <c r="AT34" s="506"/>
      <c r="AU34" s="506"/>
      <c r="AV34" s="506"/>
      <c r="AW34" s="506">
        <f>Parent!AW24</f>
        <v>99</v>
      </c>
      <c r="AX34" s="506"/>
      <c r="AY34" s="506"/>
      <c r="AZ34" s="506"/>
      <c r="BA34" s="506"/>
      <c r="BB34" s="506">
        <f>Parent!BB24</f>
        <v>15</v>
      </c>
      <c r="BC34" s="506"/>
      <c r="BD34" s="506"/>
      <c r="BE34" s="506"/>
      <c r="BF34" s="506"/>
      <c r="BG34" s="506">
        <f>Parent!BG24</f>
        <v>105</v>
      </c>
      <c r="BH34" s="506"/>
      <c r="BI34" s="506"/>
      <c r="BJ34" s="506"/>
      <c r="BK34" s="506"/>
      <c r="BL34" s="506">
        <f>Parent!BL24</f>
        <v>105</v>
      </c>
      <c r="BM34" s="506"/>
      <c r="BN34" s="506"/>
      <c r="BO34" s="506"/>
      <c r="BP34" s="506"/>
      <c r="BQ34" s="506">
        <f>Parent!BQ24</f>
        <v>105</v>
      </c>
      <c r="BR34" s="31"/>
      <c r="BS34" s="31"/>
      <c r="BT34" s="468"/>
      <c r="BU34" s="31" t="s">
        <v>332</v>
      </c>
      <c r="BV34" s="31"/>
      <c r="BW34" s="501"/>
      <c r="BX34" s="501"/>
      <c r="BY34" s="501"/>
      <c r="BZ34" s="501"/>
      <c r="CA34" s="951">
        <f>ExGen!I825+Parent!I61</f>
        <v>3908</v>
      </c>
      <c r="CB34" s="428">
        <f>ExGen!J825+Parent!J61</f>
        <v>1485</v>
      </c>
      <c r="CC34" s="428">
        <f>ExGen!K825+Parent!K61</f>
        <v>-75</v>
      </c>
      <c r="CD34" s="428">
        <f>ExGen!L825+Parent!L61</f>
        <v>1141</v>
      </c>
      <c r="CE34" s="428">
        <f>ExGen!M825+Parent!M61</f>
        <v>466</v>
      </c>
      <c r="CF34" s="951">
        <f>ExGen!N825+Parent!N61</f>
        <v>3017</v>
      </c>
      <c r="CG34" s="428">
        <f>ExGen!O825+Parent!O61</f>
        <v>131</v>
      </c>
      <c r="CH34" s="428">
        <f>ExGen!P825+Parent!P61</f>
        <v>452</v>
      </c>
      <c r="CI34" s="428">
        <f>ExGen!Q825+Parent!Q61</f>
        <v>1063</v>
      </c>
      <c r="CJ34" s="428">
        <f>ExGen!R825+Parent!R61</f>
        <v>1553</v>
      </c>
      <c r="CK34" s="951">
        <f>ExGen!S825+Parent!S61</f>
        <v>3199</v>
      </c>
      <c r="CL34" s="428">
        <f>ExGen!T825+Parent!T61</f>
        <v>279</v>
      </c>
      <c r="CM34" s="428">
        <f>ExGen!U825+Parent!U61</f>
        <v>950</v>
      </c>
      <c r="CN34" s="428">
        <f>ExGen!V825+Parent!V61</f>
        <v>1196</v>
      </c>
      <c r="CO34" s="428">
        <f>ExGen!W825+Parent!W61</f>
        <v>1009</v>
      </c>
      <c r="CP34" s="951">
        <f>ExGen!X825+Parent!X61</f>
        <v>3434</v>
      </c>
      <c r="CQ34" s="428">
        <f>ExGen!Y825+Parent!Y61</f>
        <v>421</v>
      </c>
      <c r="CR34" s="428">
        <f>ExGen!Z825+Parent!Z61</f>
        <v>581</v>
      </c>
      <c r="CS34" s="428">
        <f>ExGen!AA825+Parent!AA61</f>
        <v>1489</v>
      </c>
      <c r="CT34" s="428">
        <f>ExGen!AB825+Parent!AB61</f>
        <v>1326</v>
      </c>
      <c r="CU34" s="951">
        <f>ExGen!AC825+Parent!AC61</f>
        <v>3817</v>
      </c>
      <c r="CV34" s="428">
        <f>ExGen!AD825+Parent!AD61</f>
        <v>-204</v>
      </c>
      <c r="CW34" s="428">
        <f>ExGen!AE825+Parent!AE61</f>
        <v>776</v>
      </c>
      <c r="CX34" s="428">
        <f>ExGen!AF825+Parent!AF61</f>
        <v>1093</v>
      </c>
      <c r="CY34" s="428">
        <f>ExGen!AG825+Parent!AG61</f>
        <v>14</v>
      </c>
      <c r="CZ34" s="951">
        <f>ExGen!AH825+Parent!AH61</f>
        <v>1679</v>
      </c>
      <c r="DA34" s="428">
        <f>ExGen!AI825+Parent!AI61</f>
        <v>800</v>
      </c>
      <c r="DB34" s="428">
        <f>ExGen!AJ825+Parent!AJ61</f>
        <v>1505</v>
      </c>
      <c r="DC34" s="428">
        <f>ExGen!AK825+Parent!AK61</f>
        <v>760</v>
      </c>
      <c r="DD34" s="428">
        <f>ExGen!AL825+Parent!AL61</f>
        <v>1103</v>
      </c>
      <c r="DE34" s="951">
        <f>ExGen!AM825+Parent!AM61</f>
        <v>4168</v>
      </c>
      <c r="DF34" s="428">
        <f>ExGen!AN825+Parent!AN61</f>
        <v>778</v>
      </c>
      <c r="DG34" s="428">
        <f>ExGen!AO825+Parent!AO61</f>
        <v>1677</v>
      </c>
      <c r="DH34" s="428">
        <f>ExGen!AP825+Parent!AP61</f>
        <v>1482</v>
      </c>
      <c r="DI34" s="428">
        <f>ExGen!AQ825+Parent!AQ61</f>
        <v>-466</v>
      </c>
      <c r="DJ34" s="951">
        <f>ExGen!AR825+Parent!AR61</f>
        <v>3471</v>
      </c>
      <c r="DK34" s="428">
        <f>ExGen!AS825+Parent!AS61</f>
        <v>615</v>
      </c>
      <c r="DL34" s="428">
        <f>ExGen!AT825+Parent!AT61</f>
        <v>255</v>
      </c>
      <c r="DM34" s="428">
        <f>ExGen!AU825+Parent!AU61</f>
        <v>1582</v>
      </c>
      <c r="DN34" s="428">
        <f>ExGen!AV825+Parent!AV61</f>
        <v>992</v>
      </c>
      <c r="DO34" s="951">
        <f>ExGen!AW825+Parent!AW61</f>
        <v>3444</v>
      </c>
      <c r="DP34" s="428">
        <f ca="1">ExGen!AX825+Parent!AX61</f>
        <v>965.02513768133952</v>
      </c>
      <c r="DQ34" s="428">
        <f ca="1">ExGen!AY825+Parent!AY61</f>
        <v>794.52619220220186</v>
      </c>
      <c r="DR34" s="428">
        <f ca="1">ExGen!AZ825+Parent!AZ61</f>
        <v>1008.3091444185256</v>
      </c>
      <c r="DS34" s="428">
        <f ca="1">ExGen!BA825+Parent!BA61</f>
        <v>736.65243508233164</v>
      </c>
      <c r="DT34" s="951">
        <f ca="1">ExGen!BB825+Parent!BB61</f>
        <v>3459.5795809461401</v>
      </c>
      <c r="DU34" s="428">
        <f ca="1">ExGen!BC825+Parent!BC61</f>
        <v>1017.9881396301503</v>
      </c>
      <c r="DV34" s="428">
        <f ca="1">ExGen!BD825+Parent!BD61</f>
        <v>702.57749845659328</v>
      </c>
      <c r="DW34" s="428">
        <f ca="1">ExGen!BE825+Parent!BE61</f>
        <v>853.92638137114034</v>
      </c>
      <c r="DX34" s="428">
        <f ca="1">ExGen!BF825+Parent!BF61</f>
        <v>633.5389350367368</v>
      </c>
      <c r="DY34" s="951">
        <f ca="1">ExGen!BG825+Parent!BG61</f>
        <v>3171.9526249366963</v>
      </c>
      <c r="DZ34" s="428">
        <f ca="1">ExGen!BH825+Parent!BH61</f>
        <v>866.63904333218068</v>
      </c>
      <c r="EA34" s="428">
        <f ca="1">ExGen!BI825+Parent!BI61</f>
        <v>585.26908314960565</v>
      </c>
      <c r="EB34" s="428">
        <f ca="1">ExGen!BJ825+Parent!BJ61</f>
        <v>794.36409769106695</v>
      </c>
      <c r="EC34" s="428">
        <f ca="1">ExGen!BK825+Parent!BK61</f>
        <v>619.93220712537232</v>
      </c>
      <c r="ED34" s="951">
        <f ca="1">ExGen!BL825+Parent!BL61</f>
        <v>2831.2666328062569</v>
      </c>
      <c r="EE34" s="428">
        <f ca="1">ExGen!BM825+Parent!BM61</f>
        <v>799.24922518278015</v>
      </c>
      <c r="EF34" s="428">
        <f ca="1">ExGen!BN825+Parent!BN61</f>
        <v>681.6207259286258</v>
      </c>
      <c r="EG34" s="428">
        <f ca="1">ExGen!BO825+Parent!BO61</f>
        <v>850.53121962163038</v>
      </c>
      <c r="EH34" s="428">
        <f ca="1">ExGen!BP825+Parent!BP61</f>
        <v>686.02425126547655</v>
      </c>
      <c r="EI34" s="951">
        <f ca="1">ExGen!BQ825+Parent!BQ61</f>
        <v>2978.0515008752882</v>
      </c>
    </row>
    <row r="35" spans="2:139">
      <c r="B35" s="31"/>
      <c r="C35" s="247" t="s">
        <v>489</v>
      </c>
      <c r="D35" s="508"/>
      <c r="E35" s="509"/>
      <c r="F35" s="509"/>
      <c r="G35" s="509"/>
      <c r="H35" s="509"/>
      <c r="I35" s="509">
        <f>EXC!I33</f>
        <v>6984</v>
      </c>
      <c r="J35" s="509"/>
      <c r="K35" s="509"/>
      <c r="L35" s="509"/>
      <c r="M35" s="509"/>
      <c r="N35" s="509">
        <f>EXC!N33</f>
        <v>7113</v>
      </c>
      <c r="O35" s="509"/>
      <c r="P35" s="509"/>
      <c r="Q35" s="509"/>
      <c r="R35" s="509"/>
      <c r="S35" s="509">
        <f>EXC!S33</f>
        <v>6013</v>
      </c>
      <c r="T35" s="509"/>
      <c r="U35" s="509"/>
      <c r="V35" s="509"/>
      <c r="W35" s="509"/>
      <c r="X35" s="509">
        <f>SUM(X27:X34)</f>
        <v>4607</v>
      </c>
      <c r="Y35" s="509">
        <f t="shared" ref="Y35:BB35" si="0">SUM(Y27:Y34)</f>
        <v>0</v>
      </c>
      <c r="Z35" s="509">
        <f t="shared" si="0"/>
        <v>0</v>
      </c>
      <c r="AA35" s="509">
        <f t="shared" si="0"/>
        <v>0</v>
      </c>
      <c r="AB35" s="509">
        <f t="shared" si="0"/>
        <v>0</v>
      </c>
      <c r="AC35" s="509">
        <f t="shared" si="0"/>
        <v>6282</v>
      </c>
      <c r="AD35" s="509">
        <f t="shared" si="0"/>
        <v>0</v>
      </c>
      <c r="AE35" s="509">
        <f t="shared" si="0"/>
        <v>0</v>
      </c>
      <c r="AF35" s="509">
        <f t="shared" si="0"/>
        <v>0</v>
      </c>
      <c r="AG35" s="509">
        <f t="shared" si="0"/>
        <v>0</v>
      </c>
      <c r="AH35" s="509">
        <f t="shared" si="0"/>
        <v>5865</v>
      </c>
      <c r="AI35" s="509">
        <f t="shared" si="0"/>
        <v>0</v>
      </c>
      <c r="AJ35" s="509">
        <f t="shared" si="0"/>
        <v>0</v>
      </c>
      <c r="AK35" s="509">
        <f t="shared" si="0"/>
        <v>0</v>
      </c>
      <c r="AL35" s="509">
        <f t="shared" si="0"/>
        <v>0</v>
      </c>
      <c r="AM35" s="509">
        <f t="shared" si="0"/>
        <v>7529</v>
      </c>
      <c r="AN35" s="509">
        <f t="shared" si="0"/>
        <v>0</v>
      </c>
      <c r="AO35" s="509">
        <f t="shared" si="0"/>
        <v>0</v>
      </c>
      <c r="AP35" s="509">
        <f t="shared" si="0"/>
        <v>0</v>
      </c>
      <c r="AQ35" s="509">
        <f t="shared" si="0"/>
        <v>0</v>
      </c>
      <c r="AR35" s="509">
        <f t="shared" si="0"/>
        <v>7309</v>
      </c>
      <c r="AS35" s="509">
        <f t="shared" si="0"/>
        <v>0</v>
      </c>
      <c r="AT35" s="509">
        <f t="shared" si="0"/>
        <v>0</v>
      </c>
      <c r="AU35" s="509">
        <f t="shared" si="0"/>
        <v>0</v>
      </c>
      <c r="AV35" s="509">
        <f t="shared" si="0"/>
        <v>0</v>
      </c>
      <c r="AW35" s="509">
        <f t="shared" si="0"/>
        <v>9112</v>
      </c>
      <c r="AX35" s="509">
        <f t="shared" si="0"/>
        <v>0</v>
      </c>
      <c r="AY35" s="509">
        <f t="shared" si="0"/>
        <v>0</v>
      </c>
      <c r="AZ35" s="509">
        <f t="shared" si="0"/>
        <v>0</v>
      </c>
      <c r="BA35" s="509">
        <f t="shared" si="0"/>
        <v>0</v>
      </c>
      <c r="BB35" s="509">
        <f t="shared" ca="1" si="0"/>
        <v>8628.3805276263338</v>
      </c>
      <c r="BC35" s="509">
        <f t="shared" ref="BC35:BL35" si="1">SUM(BC27:BC34)</f>
        <v>0</v>
      </c>
      <c r="BD35" s="509">
        <f t="shared" si="1"/>
        <v>0</v>
      </c>
      <c r="BE35" s="509">
        <f t="shared" si="1"/>
        <v>0</v>
      </c>
      <c r="BF35" s="509">
        <f t="shared" si="1"/>
        <v>0</v>
      </c>
      <c r="BG35" s="509">
        <f t="shared" ca="1" si="1"/>
        <v>8708.3204668366743</v>
      </c>
      <c r="BH35" s="509">
        <f t="shared" si="1"/>
        <v>0</v>
      </c>
      <c r="BI35" s="509">
        <f t="shared" si="1"/>
        <v>0</v>
      </c>
      <c r="BJ35" s="509">
        <f t="shared" si="1"/>
        <v>0</v>
      </c>
      <c r="BK35" s="509">
        <f t="shared" si="1"/>
        <v>0</v>
      </c>
      <c r="BL35" s="509">
        <f t="shared" ca="1" si="1"/>
        <v>8826.1308043532299</v>
      </c>
      <c r="BM35" s="509">
        <f t="shared" ref="BM35:BQ35" si="2">SUM(BM27:BM34)</f>
        <v>0</v>
      </c>
      <c r="BN35" s="509">
        <f t="shared" si="2"/>
        <v>0</v>
      </c>
      <c r="BO35" s="509">
        <f t="shared" si="2"/>
        <v>0</v>
      </c>
      <c r="BP35" s="509">
        <f t="shared" si="2"/>
        <v>0</v>
      </c>
      <c r="BQ35" s="510">
        <f t="shared" ca="1" si="2"/>
        <v>9194.4383966179939</v>
      </c>
      <c r="BR35" s="31"/>
      <c r="BS35" s="31"/>
      <c r="BT35" s="468"/>
      <c r="BU35" s="499" t="s">
        <v>87</v>
      </c>
      <c r="BV35" s="31"/>
      <c r="BW35" s="501"/>
      <c r="BX35" s="501"/>
      <c r="BY35" s="501"/>
      <c r="BZ35" s="501"/>
      <c r="CA35" s="506">
        <f>CA36-CA33-CA34</f>
        <v>0</v>
      </c>
      <c r="CB35" s="501">
        <f t="shared" ref="CB35:DE35" si="3">CB36-CB33-CB34</f>
        <v>-1982.6</v>
      </c>
      <c r="CC35" s="501">
        <f t="shared" si="3"/>
        <v>-567.6</v>
      </c>
      <c r="CD35" s="501">
        <f t="shared" si="3"/>
        <v>-1896.4</v>
      </c>
      <c r="CE35" s="501">
        <f t="shared" si="3"/>
        <v>-1116.1999999999998</v>
      </c>
      <c r="CF35" s="506">
        <f t="shared" si="3"/>
        <v>0</v>
      </c>
      <c r="CG35" s="501">
        <f t="shared" si="3"/>
        <v>-350.2</v>
      </c>
      <c r="CH35" s="501">
        <f t="shared" si="3"/>
        <v>-116.30000000000007</v>
      </c>
      <c r="CI35" s="501">
        <f t="shared" si="3"/>
        <v>51.700000000000045</v>
      </c>
      <c r="CJ35" s="501">
        <f t="shared" si="3"/>
        <v>-16.400000000000091</v>
      </c>
      <c r="CK35" s="506">
        <f t="shared" si="3"/>
        <v>0</v>
      </c>
      <c r="CL35" s="501">
        <f t="shared" si="3"/>
        <v>0</v>
      </c>
      <c r="CM35" s="501">
        <f t="shared" si="3"/>
        <v>0</v>
      </c>
      <c r="CN35" s="501">
        <f t="shared" si="3"/>
        <v>-1775</v>
      </c>
      <c r="CO35" s="501">
        <f t="shared" si="3"/>
        <v>0</v>
      </c>
      <c r="CP35" s="506">
        <f t="shared" si="3"/>
        <v>0</v>
      </c>
      <c r="CQ35" s="501">
        <f t="shared" si="3"/>
        <v>0</v>
      </c>
      <c r="CR35" s="501">
        <f t="shared" si="3"/>
        <v>0</v>
      </c>
      <c r="CS35" s="501">
        <f t="shared" si="3"/>
        <v>0</v>
      </c>
      <c r="CT35" s="501">
        <f t="shared" si="3"/>
        <v>0</v>
      </c>
      <c r="CU35" s="506">
        <f t="shared" si="3"/>
        <v>0</v>
      </c>
      <c r="CV35" s="501">
        <f t="shared" si="3"/>
        <v>0</v>
      </c>
      <c r="CW35" s="501">
        <f t="shared" si="3"/>
        <v>0</v>
      </c>
      <c r="CX35" s="501">
        <f t="shared" si="3"/>
        <v>0</v>
      </c>
      <c r="CY35" s="501">
        <f t="shared" si="3"/>
        <v>0</v>
      </c>
      <c r="CZ35" s="506">
        <f t="shared" si="3"/>
        <v>0</v>
      </c>
      <c r="DA35" s="501">
        <f t="shared" si="3"/>
        <v>0</v>
      </c>
      <c r="DB35" s="501">
        <f t="shared" si="3"/>
        <v>0</v>
      </c>
      <c r="DC35" s="501">
        <f t="shared" si="3"/>
        <v>0</v>
      </c>
      <c r="DD35" s="501">
        <f t="shared" si="3"/>
        <v>0</v>
      </c>
      <c r="DE35" s="506">
        <f t="shared" si="3"/>
        <v>-592</v>
      </c>
      <c r="DF35" s="501">
        <f t="shared" ref="DF35:DO35" si="4">DF36-DF33-DF34</f>
        <v>0</v>
      </c>
      <c r="DG35" s="501">
        <f t="shared" si="4"/>
        <v>142</v>
      </c>
      <c r="DH35" s="501">
        <f t="shared" si="4"/>
        <v>293</v>
      </c>
      <c r="DI35" s="501">
        <f t="shared" si="4"/>
        <v>260</v>
      </c>
      <c r="DJ35" s="506">
        <f t="shared" si="4"/>
        <v>-651</v>
      </c>
      <c r="DK35" s="501">
        <f t="shared" si="4"/>
        <v>209</v>
      </c>
      <c r="DL35" s="501">
        <f t="shared" si="4"/>
        <v>191</v>
      </c>
      <c r="DM35" s="501">
        <f t="shared" si="4"/>
        <v>398</v>
      </c>
      <c r="DN35" s="501">
        <f t="shared" si="4"/>
        <v>136</v>
      </c>
      <c r="DO35" s="506">
        <f t="shared" si="4"/>
        <v>-1</v>
      </c>
      <c r="DP35" s="501">
        <f t="shared" ref="DP35:ED35" ca="1" si="5">DP36-DP33-DP34</f>
        <v>298.81374484408377</v>
      </c>
      <c r="DQ35" s="501">
        <f t="shared" ca="1" si="5"/>
        <v>191.9359505688501</v>
      </c>
      <c r="DR35" s="501">
        <f t="shared" ca="1" si="5"/>
        <v>410.83124962574266</v>
      </c>
      <c r="DS35" s="501">
        <f t="shared" ca="1" si="5"/>
        <v>199.89626056856969</v>
      </c>
      <c r="DT35" s="506">
        <f t="shared" ca="1" si="5"/>
        <v>0</v>
      </c>
      <c r="DU35" s="501">
        <f t="shared" ca="1" si="5"/>
        <v>374.51225109152938</v>
      </c>
      <c r="DV35" s="501">
        <f t="shared" ca="1" si="5"/>
        <v>180.4119060257492</v>
      </c>
      <c r="DW35" s="501">
        <f t="shared" ca="1" si="5"/>
        <v>420.0943976638888</v>
      </c>
      <c r="DX35" s="501">
        <f t="shared" ca="1" si="5"/>
        <v>199.36818615477125</v>
      </c>
      <c r="DY35" s="506">
        <f t="shared" ca="1" si="5"/>
        <v>0</v>
      </c>
      <c r="DZ35" s="501">
        <f t="shared" ca="1" si="5"/>
        <v>384.97638682445415</v>
      </c>
      <c r="EA35" s="501">
        <f t="shared" ca="1" si="5"/>
        <v>186.0302966301233</v>
      </c>
      <c r="EB35" s="501">
        <f t="shared" ca="1" si="5"/>
        <v>458.94886120294768</v>
      </c>
      <c r="EC35" s="501">
        <f t="shared" ca="1" si="5"/>
        <v>245.68056240209069</v>
      </c>
      <c r="ED35" s="506">
        <f t="shared" ca="1" si="5"/>
        <v>0</v>
      </c>
      <c r="EE35" s="501">
        <f t="shared" ref="EE35:EI35" ca="1" si="6">EE36-EE33-EE34</f>
        <v>345.74147657290234</v>
      </c>
      <c r="EF35" s="501">
        <f t="shared" ca="1" si="6"/>
        <v>231.38625483290923</v>
      </c>
      <c r="EG35" s="501">
        <f t="shared" ca="1" si="6"/>
        <v>476.26459826752773</v>
      </c>
      <c r="EH35" s="501">
        <f t="shared" ca="1" si="6"/>
        <v>281.13604041649285</v>
      </c>
      <c r="EI35" s="506">
        <f t="shared" ca="1" si="6"/>
        <v>0</v>
      </c>
    </row>
    <row r="36" spans="2:139">
      <c r="B36" s="31"/>
      <c r="BR36" s="31"/>
      <c r="BS36" s="31"/>
      <c r="BT36" s="468"/>
      <c r="BU36" s="34" t="s">
        <v>94</v>
      </c>
      <c r="BV36" s="31"/>
      <c r="BW36" s="520"/>
      <c r="BX36" s="520"/>
      <c r="BY36" s="520"/>
      <c r="BZ36" s="520"/>
      <c r="CA36" s="521">
        <f>EXC!I156</f>
        <v>6094</v>
      </c>
      <c r="CB36" s="520"/>
      <c r="CC36" s="520"/>
      <c r="CD36" s="520"/>
      <c r="CE36" s="520"/>
      <c r="CF36" s="521">
        <f>EXC!N156</f>
        <v>5244</v>
      </c>
      <c r="CG36" s="520">
        <f>EXC!O156</f>
        <v>-207</v>
      </c>
      <c r="CH36" s="520">
        <f>EXC!P156</f>
        <v>1220</v>
      </c>
      <c r="CI36" s="520">
        <f>EXC!Q156</f>
        <v>1904</v>
      </c>
      <c r="CJ36" s="520">
        <f>EXC!R156</f>
        <v>1936</v>
      </c>
      <c r="CK36" s="521">
        <f>EXC!S156</f>
        <v>4853</v>
      </c>
      <c r="CL36" s="520">
        <f>EXC!T156</f>
        <v>994</v>
      </c>
      <c r="CM36" s="520">
        <f>EXC!U156</f>
        <v>1735</v>
      </c>
      <c r="CN36" s="520">
        <f>EXC!V155</f>
        <v>53</v>
      </c>
      <c r="CO36" s="520">
        <f>EXC!W156</f>
        <v>1574</v>
      </c>
      <c r="CP36" s="521">
        <f>EXC!X156</f>
        <v>6131</v>
      </c>
      <c r="CQ36" s="520">
        <f>EXC!Y156</f>
        <v>859</v>
      </c>
      <c r="CR36" s="520">
        <f>EXC!Z156</f>
        <v>1479</v>
      </c>
      <c r="CS36" s="520">
        <f>EXC!AA156</f>
        <v>2056</v>
      </c>
      <c r="CT36" s="520">
        <f>EXC!AB156</f>
        <v>1949</v>
      </c>
      <c r="CU36" s="521">
        <f>EXC!AC156</f>
        <v>6343</v>
      </c>
      <c r="CV36" s="520">
        <f>EXC!AD156</f>
        <v>165</v>
      </c>
      <c r="CW36" s="520">
        <f>EXC!AE156</f>
        <v>1586</v>
      </c>
      <c r="CX36" s="520">
        <f>EXC!AF156</f>
        <v>1892</v>
      </c>
      <c r="CY36" s="520">
        <f>EXC!AG156</f>
        <v>814</v>
      </c>
      <c r="CZ36" s="521">
        <f>EXC!AH156</f>
        <v>4457</v>
      </c>
      <c r="DA36" s="520">
        <f>EXC!AI156</f>
        <v>1490</v>
      </c>
      <c r="DB36" s="520">
        <f>EXC!AJ156</f>
        <v>2479</v>
      </c>
      <c r="DC36" s="520">
        <f>EXC!AK156</f>
        <v>1705</v>
      </c>
      <c r="DD36" s="520">
        <f>EXC!AL156</f>
        <v>1942</v>
      </c>
      <c r="DE36" s="521">
        <f>EXC!AM156</f>
        <v>7616</v>
      </c>
      <c r="DF36" s="520">
        <f>EXC!AN156</f>
        <v>1473</v>
      </c>
      <c r="DG36" s="520">
        <f>EXC!AO156</f>
        <v>3080</v>
      </c>
      <c r="DH36" s="520">
        <f>EXC!AP156</f>
        <v>2810</v>
      </c>
      <c r="DI36" s="520">
        <f>EXC!AQ156</f>
        <v>1082</v>
      </c>
      <c r="DJ36" s="521">
        <f>EXC!AR156</f>
        <v>8445</v>
      </c>
      <c r="DK36" s="520">
        <f>EXC!AS156</f>
        <v>1201</v>
      </c>
      <c r="DL36" s="520">
        <f>EXC!AT156</f>
        <v>1697</v>
      </c>
      <c r="DM36" s="520">
        <f>EXC!AU156</f>
        <v>2779</v>
      </c>
      <c r="DN36" s="520">
        <f>EXC!AV156</f>
        <v>1803</v>
      </c>
      <c r="DO36" s="521">
        <f>EXC!AW156</f>
        <v>7480</v>
      </c>
      <c r="DP36" s="520">
        <f>EXC!AX156</f>
        <v>2139.6059668773523</v>
      </c>
      <c r="DQ36" s="520">
        <f ca="1">EXC!AY156</f>
        <v>1726.813791882714</v>
      </c>
      <c r="DR36" s="520">
        <f ca="1">EXC!AZ156</f>
        <v>2216.8383550166968</v>
      </c>
      <c r="DS36" s="520">
        <f ca="1">EXC!BA156</f>
        <v>1697.7714360633258</v>
      </c>
      <c r="DT36" s="521">
        <f ca="1">EXC!BB156</f>
        <v>7781.0295498400892</v>
      </c>
      <c r="DU36" s="520">
        <f ca="1">EXC!BC156</f>
        <v>2300.6545554063036</v>
      </c>
      <c r="DV36" s="520">
        <f ca="1">EXC!BD156</f>
        <v>1647.8149590853236</v>
      </c>
      <c r="DW36" s="520">
        <f ca="1">EXC!BE156</f>
        <v>2128.3548767249631</v>
      </c>
      <c r="DX36" s="520">
        <f ca="1">EXC!BF156</f>
        <v>1653.5094783715135</v>
      </c>
      <c r="DY36" s="521">
        <f ca="1">EXC!BG156</f>
        <v>7730.3338695881039</v>
      </c>
      <c r="DZ36" s="520">
        <f ca="1">EXC!BH156</f>
        <v>2220.3689009035356</v>
      </c>
      <c r="EA36" s="520">
        <f ca="1">EXC!BI156</f>
        <v>1597.3121652219932</v>
      </c>
      <c r="EB36" s="520">
        <f ca="1">EXC!BJ156</f>
        <v>2146.1235296493896</v>
      </c>
      <c r="EC36" s="520">
        <f ca="1">EXC!BK156</f>
        <v>1728.3660140851696</v>
      </c>
      <c r="ED36" s="521">
        <f ca="1">EXC!BL156</f>
        <v>7692.1706098600871</v>
      </c>
      <c r="EE36" s="520">
        <f ca="1">EXC!BM156</f>
        <v>2190.8274537326934</v>
      </c>
      <c r="EF36" s="520">
        <f ca="1">EXC!BN156</f>
        <v>1816.7446022515667</v>
      </c>
      <c r="EG36" s="520">
        <f ca="1">EXC!BO156</f>
        <v>2302.8051074272557</v>
      </c>
      <c r="EH36" s="520">
        <f ca="1">EXC!BP156</f>
        <v>1917.2558959521127</v>
      </c>
      <c r="EI36" s="521">
        <f ca="1">EXC!BQ156</f>
        <v>8227.6330593636285</v>
      </c>
    </row>
    <row r="37" spans="2:139">
      <c r="B37" s="232"/>
      <c r="C37" s="34" t="s">
        <v>89</v>
      </c>
      <c r="D37" s="478"/>
      <c r="E37" s="234"/>
      <c r="F37" s="234"/>
      <c r="G37" s="234"/>
      <c r="H37" s="234"/>
      <c r="I37" s="478"/>
      <c r="J37" s="234"/>
      <c r="K37" s="234"/>
      <c r="L37" s="234"/>
      <c r="M37" s="234"/>
      <c r="N37" s="478"/>
      <c r="O37" s="234"/>
      <c r="P37" s="234"/>
      <c r="Q37" s="234"/>
      <c r="R37" s="234"/>
      <c r="S37" s="478"/>
      <c r="T37" s="234"/>
      <c r="U37" s="234"/>
      <c r="V37" s="234"/>
      <c r="W37" s="234"/>
      <c r="X37" s="478"/>
      <c r="Y37" s="234"/>
      <c r="Z37" s="234"/>
      <c r="AA37" s="234"/>
      <c r="AB37" s="234"/>
      <c r="AC37" s="478"/>
      <c r="AD37" s="234"/>
      <c r="AE37" s="234"/>
      <c r="AF37" s="234"/>
      <c r="AG37" s="234"/>
      <c r="AH37" s="478"/>
      <c r="AI37" s="234"/>
      <c r="AJ37" s="234"/>
      <c r="AK37" s="234"/>
      <c r="AL37" s="234"/>
      <c r="AM37" s="478"/>
      <c r="AN37" s="234"/>
      <c r="AO37" s="234"/>
      <c r="AP37" s="234"/>
      <c r="AQ37" s="234"/>
      <c r="AR37" s="478"/>
      <c r="AS37" s="234"/>
      <c r="AT37" s="234"/>
      <c r="AU37" s="234"/>
      <c r="AV37" s="234"/>
      <c r="AW37" s="478"/>
      <c r="AX37" s="234"/>
      <c r="AY37" s="234"/>
      <c r="AZ37" s="234"/>
      <c r="BA37" s="234"/>
      <c r="BB37" s="478"/>
      <c r="BC37" s="234"/>
      <c r="BD37" s="234"/>
      <c r="BE37" s="234"/>
      <c r="BF37" s="234"/>
      <c r="BG37" s="478"/>
      <c r="BH37" s="234"/>
      <c r="BI37" s="234"/>
      <c r="BJ37" s="234"/>
      <c r="BK37" s="234"/>
      <c r="BL37" s="478"/>
      <c r="BM37" s="234"/>
      <c r="BN37" s="234"/>
      <c r="BO37" s="234"/>
      <c r="BP37" s="234"/>
      <c r="BQ37" s="478"/>
      <c r="BR37" s="31"/>
      <c r="BS37" s="31"/>
      <c r="BT37" s="468"/>
      <c r="BU37" s="232"/>
      <c r="BV37" s="31"/>
      <c r="BW37" s="22"/>
      <c r="BX37" s="22"/>
      <c r="BY37" s="22"/>
      <c r="BZ37" s="22"/>
      <c r="CA37" s="485"/>
      <c r="CB37" s="22"/>
      <c r="CC37" s="22"/>
      <c r="CD37" s="22"/>
      <c r="CE37" s="22"/>
      <c r="CF37" s="485"/>
      <c r="CG37" s="22"/>
      <c r="CH37" s="22"/>
      <c r="CI37" s="22"/>
      <c r="CJ37" s="22"/>
      <c r="CK37" s="485"/>
      <c r="CL37" s="22"/>
      <c r="CM37" s="22"/>
      <c r="CN37" s="22"/>
      <c r="CO37" s="22"/>
      <c r="CP37" s="485"/>
      <c r="CQ37" s="22"/>
      <c r="CR37" s="22"/>
      <c r="CS37" s="22"/>
      <c r="CT37" s="22"/>
      <c r="CU37" s="485"/>
      <c r="CV37" s="22"/>
      <c r="CW37" s="22"/>
      <c r="CX37" s="22"/>
      <c r="CY37" s="22"/>
      <c r="CZ37" s="485"/>
      <c r="DA37" s="22"/>
      <c r="DB37" s="22"/>
      <c r="DC37" s="22"/>
      <c r="DD37" s="22"/>
      <c r="DE37" s="485"/>
      <c r="DF37" s="22"/>
      <c r="DG37" s="22"/>
      <c r="DH37" s="22"/>
      <c r="DI37" s="22"/>
      <c r="DJ37" s="485"/>
      <c r="DK37" s="22"/>
      <c r="DL37" s="22"/>
      <c r="DM37" s="22"/>
      <c r="DN37" s="22"/>
      <c r="DO37" s="485"/>
      <c r="DP37" s="22"/>
      <c r="DQ37" s="22"/>
      <c r="DR37" s="22"/>
      <c r="DS37" s="22"/>
      <c r="DT37" s="485"/>
      <c r="DU37" s="22"/>
      <c r="DV37" s="22"/>
      <c r="DW37" s="22"/>
      <c r="DX37" s="22"/>
      <c r="DY37" s="485"/>
      <c r="DZ37" s="22"/>
      <c r="EA37" s="22"/>
      <c r="EB37" s="22"/>
      <c r="EC37" s="22"/>
      <c r="ED37" s="485"/>
      <c r="EE37" s="22"/>
      <c r="EF37" s="22"/>
      <c r="EG37" s="22"/>
      <c r="EH37" s="22"/>
      <c r="EI37" s="485"/>
    </row>
    <row r="38" spans="2:139">
      <c r="B38" s="499"/>
      <c r="C38" s="40" t="s">
        <v>431</v>
      </c>
      <c r="D38" s="806"/>
      <c r="E38" s="729"/>
      <c r="F38" s="729"/>
      <c r="G38" s="729"/>
      <c r="H38" s="729"/>
      <c r="I38" s="949">
        <f>SUM(I28:I30)/I35</f>
        <v>0.4372852233676976</v>
      </c>
      <c r="J38" s="729"/>
      <c r="K38" s="729"/>
      <c r="L38" s="729"/>
      <c r="M38" s="729"/>
      <c r="N38" s="949">
        <f>SUM(N28:N30)/N35</f>
        <v>0.46745395754252778</v>
      </c>
      <c r="O38" s="729"/>
      <c r="P38" s="729"/>
      <c r="Q38" s="729"/>
      <c r="R38" s="729"/>
      <c r="S38" s="949">
        <f>SUM(S28:S30)/S35</f>
        <v>0.40312655912190254</v>
      </c>
      <c r="T38" s="729"/>
      <c r="U38" s="729"/>
      <c r="V38" s="729"/>
      <c r="W38" s="729"/>
      <c r="X38" s="949">
        <f>SUM(X28:X33)/X35</f>
        <v>0.61558497937920542</v>
      </c>
      <c r="Y38" s="729"/>
      <c r="Z38" s="729"/>
      <c r="AA38" s="729"/>
      <c r="AB38" s="729"/>
      <c r="AC38" s="949">
        <f>SUM(AC28:AC33)/AC35</f>
        <v>0.53533906399235909</v>
      </c>
      <c r="AD38" s="729"/>
      <c r="AE38" s="729"/>
      <c r="AF38" s="729"/>
      <c r="AG38" s="729"/>
      <c r="AH38" s="949">
        <f>SUM(AH28:AH33)/AH35</f>
        <v>0.56726342710997446</v>
      </c>
      <c r="AI38" s="729"/>
      <c r="AJ38" s="729"/>
      <c r="AK38" s="729"/>
      <c r="AL38" s="729"/>
      <c r="AM38" s="949">
        <f>SUM(AM28:AM33)/AM35</f>
        <v>0.57178908221543367</v>
      </c>
      <c r="AN38" s="729"/>
      <c r="AO38" s="729"/>
      <c r="AP38" s="729"/>
      <c r="AQ38" s="729"/>
      <c r="AR38" s="949">
        <f>SUM(AR28:AR33)/AR35</f>
        <v>0.6560404980161445</v>
      </c>
      <c r="AS38" s="729"/>
      <c r="AT38" s="729"/>
      <c r="AU38" s="729"/>
      <c r="AV38" s="729"/>
      <c r="AW38" s="949">
        <f>SUM(AW28:AW33)/AW35</f>
        <v>0.62774363476733974</v>
      </c>
      <c r="AX38" s="729"/>
      <c r="AY38" s="729"/>
      <c r="AZ38" s="729"/>
      <c r="BA38" s="729"/>
      <c r="BB38" s="949">
        <f ca="1">SUM(BB28:BB33)/BB35</f>
        <v>0.62427033349988192</v>
      </c>
      <c r="BC38" s="729"/>
      <c r="BD38" s="729"/>
      <c r="BE38" s="729"/>
      <c r="BF38" s="729"/>
      <c r="BG38" s="949">
        <f ca="1">SUM(BG28:BG33)/BG35</f>
        <v>0.65418383332603591</v>
      </c>
      <c r="BH38" s="729"/>
      <c r="BI38" s="729"/>
      <c r="BJ38" s="729"/>
      <c r="BK38" s="729"/>
      <c r="BL38" s="949">
        <f ca="1">SUM(BL28:BL33)/BL35</f>
        <v>0.68973492262213565</v>
      </c>
      <c r="BM38" s="729"/>
      <c r="BN38" s="729"/>
      <c r="BO38" s="729"/>
      <c r="BP38" s="729"/>
      <c r="BQ38" s="949">
        <f ca="1">SUM(BQ28:BQ33)/BQ35</f>
        <v>0.69628964310809616</v>
      </c>
      <c r="BR38" s="31"/>
      <c r="BS38" s="31"/>
      <c r="BT38" s="468"/>
      <c r="BU38" s="34" t="s">
        <v>108</v>
      </c>
      <c r="BV38" s="31"/>
      <c r="CA38" s="31"/>
      <c r="CF38" s="31"/>
      <c r="CK38" s="31"/>
      <c r="CP38" s="31"/>
      <c r="CU38" s="31"/>
      <c r="CZ38" s="31"/>
      <c r="DE38" s="31"/>
      <c r="DJ38" s="31"/>
      <c r="DO38" s="31"/>
      <c r="DT38" s="31"/>
      <c r="DY38" s="31"/>
      <c r="ED38" s="31"/>
      <c r="EI38" s="31"/>
    </row>
    <row r="39" spans="2:139">
      <c r="B39" s="511"/>
      <c r="C39" s="806" t="s">
        <v>332</v>
      </c>
      <c r="D39" s="806"/>
      <c r="E39" s="729"/>
      <c r="F39" s="729"/>
      <c r="G39" s="729"/>
      <c r="H39" s="729"/>
      <c r="I39" s="949">
        <f>SUM(I27,I34)/I35</f>
        <v>0.5627147766323024</v>
      </c>
      <c r="J39" s="729"/>
      <c r="K39" s="729"/>
      <c r="L39" s="729"/>
      <c r="M39" s="729"/>
      <c r="N39" s="949">
        <f>SUM(N27,N34)/N35</f>
        <v>0.53254604245747228</v>
      </c>
      <c r="O39" s="729"/>
      <c r="P39" s="729"/>
      <c r="Q39" s="729"/>
      <c r="R39" s="729"/>
      <c r="S39" s="949">
        <f>SUM(S27,S34)/S35</f>
        <v>0.59687344087809746</v>
      </c>
      <c r="T39" s="729"/>
      <c r="U39" s="729"/>
      <c r="V39" s="729"/>
      <c r="W39" s="729"/>
      <c r="X39" s="949">
        <f>SUM(X27,X34)/X35</f>
        <v>0.38441502062079447</v>
      </c>
      <c r="Y39" s="729"/>
      <c r="Z39" s="729"/>
      <c r="AA39" s="729"/>
      <c r="AB39" s="729"/>
      <c r="AC39" s="949">
        <f>SUM(AC27,AC34)/AC35</f>
        <v>0.46466093600764086</v>
      </c>
      <c r="AD39" s="729"/>
      <c r="AE39" s="729"/>
      <c r="AF39" s="729"/>
      <c r="AG39" s="729"/>
      <c r="AH39" s="949">
        <f>SUM(AH27,AH34)/AH35</f>
        <v>0.43273657289002559</v>
      </c>
      <c r="AI39" s="729"/>
      <c r="AJ39" s="729"/>
      <c r="AK39" s="729"/>
      <c r="AL39" s="729"/>
      <c r="AM39" s="949">
        <f>SUM(AM27,AM34)/AM35</f>
        <v>0.42821091778456633</v>
      </c>
      <c r="AN39" s="729"/>
      <c r="AO39" s="729"/>
      <c r="AP39" s="729"/>
      <c r="AQ39" s="729"/>
      <c r="AR39" s="949">
        <f>SUM(AR27,AR34)/AR35</f>
        <v>0.3439595019838555</v>
      </c>
      <c r="AS39" s="729"/>
      <c r="AT39" s="729"/>
      <c r="AU39" s="729"/>
      <c r="AV39" s="729"/>
      <c r="AW39" s="949">
        <f>SUM(AW27,AW34)/AW35</f>
        <v>0.3722563652326602</v>
      </c>
      <c r="AX39" s="729"/>
      <c r="AY39" s="729"/>
      <c r="AZ39" s="729"/>
      <c r="BA39" s="729"/>
      <c r="BB39" s="949">
        <f ca="1">SUM(BB27,BB34)/BB35</f>
        <v>0.37572966650011802</v>
      </c>
      <c r="BC39" s="729"/>
      <c r="BD39" s="729"/>
      <c r="BE39" s="729"/>
      <c r="BF39" s="729"/>
      <c r="BG39" s="949">
        <f ca="1">SUM(BG27,BG34)/BG35</f>
        <v>0.34581616667396398</v>
      </c>
      <c r="BH39" s="729"/>
      <c r="BI39" s="729"/>
      <c r="BJ39" s="729"/>
      <c r="BK39" s="729"/>
      <c r="BL39" s="949">
        <f ca="1">SUM(BL27,BL34)/BL35</f>
        <v>0.31026507737786435</v>
      </c>
      <c r="BM39" s="729"/>
      <c r="BN39" s="729"/>
      <c r="BO39" s="729"/>
      <c r="BP39" s="729"/>
      <c r="BQ39" s="949">
        <f ca="1">SUM(BQ27,BQ34)/BQ35</f>
        <v>0.30371035689190362</v>
      </c>
      <c r="BR39" s="31"/>
      <c r="BS39" s="31"/>
      <c r="BT39" s="468"/>
      <c r="BU39" s="232" t="s">
        <v>431</v>
      </c>
      <c r="BV39" s="31"/>
      <c r="BW39" s="22"/>
      <c r="BX39" s="22"/>
      <c r="BY39" s="22"/>
      <c r="BZ39" s="22"/>
      <c r="CA39" s="951">
        <f>EXC!I90+EXC!I91+EXC!I92</f>
        <v>1242</v>
      </c>
      <c r="CB39" s="714"/>
      <c r="CC39" s="714"/>
      <c r="CD39" s="714"/>
      <c r="CE39" s="714"/>
      <c r="CF39" s="951">
        <f>EXC!N90+EXC!N91+EXC!N92</f>
        <v>1507</v>
      </c>
      <c r="CG39" s="714">
        <f>EXC!O90+EXC!O91+EXC!O92</f>
        <v>372</v>
      </c>
      <c r="CH39" s="714">
        <f>EXC!P90+EXC!P91+EXC!P92</f>
        <v>332</v>
      </c>
      <c r="CI39" s="714">
        <f>EXC!Q90+EXC!Q91+EXC!Q92</f>
        <v>375</v>
      </c>
      <c r="CJ39" s="714">
        <f>EXC!R90+EXC!R91+EXC!R92</f>
        <v>430</v>
      </c>
      <c r="CK39" s="951">
        <f>EXC!S90+EXC!S91+EXC!S92</f>
        <v>1509</v>
      </c>
      <c r="CL39" s="714">
        <f>EXC!T90+EXC!T91+EXC!T92</f>
        <v>502</v>
      </c>
      <c r="CM39" s="714">
        <f>EXC!U90+EXC!U91+EXC!U92</f>
        <v>544</v>
      </c>
      <c r="CN39" s="714">
        <f>EXC!V90+EXC!V91+EXC!V92</f>
        <v>526</v>
      </c>
      <c r="CO39" s="714">
        <f>EXC!W90+EXC!W91+EXC!W92</f>
        <v>678</v>
      </c>
      <c r="CP39" s="951">
        <f>EXC!X90+EXC!X91+EXC!X92</f>
        <v>2250</v>
      </c>
      <c r="CQ39" s="714">
        <f>EXC!Y90+EXC!Y91+EXC!Y92</f>
        <v>602</v>
      </c>
      <c r="CR39" s="714">
        <f>EXC!Z90+EXC!Z91+EXC!Z92</f>
        <v>627</v>
      </c>
      <c r="CS39" s="714">
        <f>EXC!AA90+EXC!AA91+EXC!AA92</f>
        <v>610</v>
      </c>
      <c r="CT39" s="714">
        <f>EXC!AB90+EXC!AB91+EXC!AB92</f>
        <v>718</v>
      </c>
      <c r="CU39" s="951">
        <f>EXC!AC90+EXC!AC91+EXC!AC92</f>
        <v>2557</v>
      </c>
      <c r="CV39" s="714">
        <f>EXC!AD90+EXC!AD91+EXC!AD92</f>
        <v>671</v>
      </c>
      <c r="CW39" s="714">
        <f>EXC!AE90+EXC!AE91+EXC!AE92</f>
        <v>697</v>
      </c>
      <c r="CX39" s="714">
        <f>EXC!AF90+EXC!AF91+EXC!AF92</f>
        <v>724</v>
      </c>
      <c r="CY39" s="714">
        <f>EXC!AG90+EXC!AG91+EXC!AG92</f>
        <v>878</v>
      </c>
      <c r="CZ39" s="951">
        <f>EXC!AH90+EXC!AH91+EXC!AH92</f>
        <v>2970</v>
      </c>
      <c r="DA39" s="714">
        <f>EXC!AI90+EXC!AI91+EXC!AI92</f>
        <v>814</v>
      </c>
      <c r="DB39" s="714">
        <f>EXC!AJ90+EXC!AJ91+EXC!AJ92</f>
        <v>840</v>
      </c>
      <c r="DC39" s="714">
        <f>EXC!AK90+EXC!AK91+EXC!AK92</f>
        <v>957</v>
      </c>
      <c r="DD39" s="714">
        <f>EXC!AL90+EXC!AL91+EXC!AL92</f>
        <v>1107</v>
      </c>
      <c r="DE39" s="951">
        <f>EXC!AM90+EXC!AM91+EXC!AM92+EXC!AM94+EXC!AM95+EXC!AM96</f>
        <v>3718</v>
      </c>
      <c r="DF39" s="714">
        <f>EXC!AN90+EXC!AN91+EXC!AN92</f>
        <v>1010</v>
      </c>
      <c r="DG39" s="714">
        <f>EXC!AO90+EXC!AO91+EXC!AO92</f>
        <v>1015</v>
      </c>
      <c r="DH39" s="714">
        <f>EXC!AP90+EXC!AP91+EXC!AP92</f>
        <v>984</v>
      </c>
      <c r="DI39" s="714">
        <f>EXC!AQ90+EXC!AQ91+EXC!AQ92</f>
        <v>1345</v>
      </c>
      <c r="DJ39" s="951">
        <f>EXC!AR90+EXC!AR91+EXC!AR92+EXC!AR94+EXC!AR95+EXC!AR96</f>
        <v>5600</v>
      </c>
      <c r="DK39" s="714">
        <f>EXC!AS90+EXC!AS91+EXC!AS92</f>
        <v>860</v>
      </c>
      <c r="DL39" s="714">
        <f>EXC!AT90+EXC!AT91+EXC!AT92</f>
        <v>1080</v>
      </c>
      <c r="DM39" s="714">
        <f>EXC!AU90+EXC!AU91+EXC!AU92</f>
        <v>910</v>
      </c>
      <c r="DN39" s="714">
        <f>EXC!AV90+EXC!AV91+EXC!AV92</f>
        <v>1014</v>
      </c>
      <c r="DO39" s="951">
        <f>EXC!AW90+EXC!AW91+EXC!AW92+EXC!AW94+EXC!AW95+EXC!AW96</f>
        <v>5232</v>
      </c>
      <c r="DP39" s="714">
        <f>EXC!AX90+EXC!AX91+EXC!AX92</f>
        <v>975</v>
      </c>
      <c r="DQ39" s="714">
        <f>EXC!AY90+EXC!AY91+EXC!AY92</f>
        <v>975</v>
      </c>
      <c r="DR39" s="714">
        <f>EXC!AZ90+EXC!AZ91+EXC!AZ92</f>
        <v>975</v>
      </c>
      <c r="DS39" s="714">
        <f>EXC!BA90+EXC!BA91+EXC!BA92</f>
        <v>975</v>
      </c>
      <c r="DT39" s="951">
        <f>EXC!BB90+EXC!BB91+EXC!BB92+EXC!BB94+EXC!BB95+EXC!BB96</f>
        <v>5400</v>
      </c>
      <c r="DU39" s="714">
        <f>EXC!BC90+EXC!BC91+EXC!BC92</f>
        <v>925</v>
      </c>
      <c r="DV39" s="714">
        <f>EXC!BD90+EXC!BD91+EXC!BD92</f>
        <v>925</v>
      </c>
      <c r="DW39" s="714">
        <f>EXC!BE90+EXC!BE91+EXC!BE92</f>
        <v>925</v>
      </c>
      <c r="DX39" s="714">
        <f>EXC!BF90+EXC!BF91+EXC!BF92</f>
        <v>925</v>
      </c>
      <c r="DY39" s="951">
        <f>EXC!BG90+EXC!BG91+EXC!BG92+EXC!BG94+EXC!BG95+EXC!BG96</f>
        <v>5075</v>
      </c>
      <c r="DZ39" s="714">
        <f>EXC!BH90+EXC!BH91+EXC!BH92</f>
        <v>915.03499999999997</v>
      </c>
      <c r="EA39" s="714">
        <f>EXC!BI90+EXC!BI91+EXC!BI92</f>
        <v>915.03499999999997</v>
      </c>
      <c r="EB39" s="714">
        <f>EXC!BJ90+EXC!BJ91+EXC!BJ92</f>
        <v>915.03499999999997</v>
      </c>
      <c r="EC39" s="714">
        <f>EXC!BK90+EXC!BK91+EXC!BK92</f>
        <v>915.03499999999997</v>
      </c>
      <c r="ED39" s="951">
        <f>EXC!BL90+EXC!BL91+EXC!BL92+EXC!BL94+EXC!BL95+EXC!BL96</f>
        <v>5160.1399999999994</v>
      </c>
      <c r="EE39" s="714">
        <f>EXC!BM90+EXC!BM91+EXC!BM92</f>
        <v>890.03499999999997</v>
      </c>
      <c r="EF39" s="714">
        <f>EXC!BN90+EXC!BN91+EXC!BN92</f>
        <v>890.03499999999997</v>
      </c>
      <c r="EG39" s="714">
        <f>EXC!BO90+EXC!BO91+EXC!BO92</f>
        <v>890.03499999999997</v>
      </c>
      <c r="EH39" s="714">
        <f>EXC!BP90+EXC!BP91+EXC!BP92</f>
        <v>890.03499999999997</v>
      </c>
      <c r="EI39" s="951">
        <f>EXC!BQ90+EXC!BQ91+EXC!BQ92+EXC!BQ94+EXC!BQ95+EXC!BQ96</f>
        <v>5035.1399999999994</v>
      </c>
    </row>
    <row r="40" spans="2:139">
      <c r="B40" s="511"/>
      <c r="C40" s="950" t="s">
        <v>87</v>
      </c>
      <c r="D40" s="806"/>
      <c r="E40" s="729"/>
      <c r="F40" s="729"/>
      <c r="G40" s="729"/>
      <c r="H40" s="729"/>
      <c r="I40" s="949">
        <v>0</v>
      </c>
      <c r="J40" s="729"/>
      <c r="K40" s="729"/>
      <c r="L40" s="729"/>
      <c r="M40" s="729"/>
      <c r="N40" s="949">
        <v>0</v>
      </c>
      <c r="O40" s="729"/>
      <c r="P40" s="729"/>
      <c r="Q40" s="729"/>
      <c r="R40" s="729"/>
      <c r="S40" s="949">
        <v>0</v>
      </c>
      <c r="T40" s="729"/>
      <c r="U40" s="729"/>
      <c r="V40" s="729"/>
      <c r="W40" s="729"/>
      <c r="X40" s="949">
        <v>0</v>
      </c>
      <c r="Y40" s="729"/>
      <c r="Z40" s="729"/>
      <c r="AA40" s="729"/>
      <c r="AB40" s="729"/>
      <c r="AC40" s="949">
        <v>0</v>
      </c>
      <c r="AD40" s="729"/>
      <c r="AE40" s="729"/>
      <c r="AF40" s="729"/>
      <c r="AG40" s="729"/>
      <c r="AH40" s="949">
        <v>0</v>
      </c>
      <c r="AI40" s="729"/>
      <c r="AJ40" s="729"/>
      <c r="AK40" s="729"/>
      <c r="AL40" s="729"/>
      <c r="AM40" s="949">
        <v>0</v>
      </c>
      <c r="AN40" s="729"/>
      <c r="AO40" s="729"/>
      <c r="AP40" s="729"/>
      <c r="AQ40" s="729"/>
      <c r="AR40" s="949">
        <v>0</v>
      </c>
      <c r="AS40" s="729"/>
      <c r="AT40" s="729"/>
      <c r="AU40" s="729"/>
      <c r="AV40" s="729"/>
      <c r="AW40" s="949">
        <v>0</v>
      </c>
      <c r="AX40" s="729"/>
      <c r="AY40" s="729"/>
      <c r="AZ40" s="729"/>
      <c r="BA40" s="729"/>
      <c r="BB40" s="949">
        <v>0</v>
      </c>
      <c r="BC40" s="729"/>
      <c r="BD40" s="729"/>
      <c r="BE40" s="729"/>
      <c r="BF40" s="729"/>
      <c r="BG40" s="949">
        <v>0</v>
      </c>
      <c r="BH40" s="729"/>
      <c r="BI40" s="729"/>
      <c r="BJ40" s="729"/>
      <c r="BK40" s="729"/>
      <c r="BL40" s="949">
        <v>0</v>
      </c>
      <c r="BM40" s="729"/>
      <c r="BN40" s="729"/>
      <c r="BO40" s="729"/>
      <c r="BP40" s="729"/>
      <c r="BQ40" s="949">
        <v>0</v>
      </c>
      <c r="BR40" s="31"/>
      <c r="BS40" s="31"/>
      <c r="BT40" s="468"/>
      <c r="BU40" s="31" t="s">
        <v>332</v>
      </c>
      <c r="BV40" s="31"/>
      <c r="BW40" s="501"/>
      <c r="BX40" s="501"/>
      <c r="BY40" s="501"/>
      <c r="BZ40" s="501"/>
      <c r="CA40" s="951">
        <f>EXC!I89+EXC!I93</f>
        <v>2031</v>
      </c>
      <c r="CB40" s="428"/>
      <c r="CC40" s="428"/>
      <c r="CD40" s="428"/>
      <c r="CE40" s="428"/>
      <c r="CF40" s="951">
        <f>EXC!N89+EXC!N93</f>
        <v>1819</v>
      </c>
      <c r="CG40" s="428">
        <f>EXC!O89+EXC!O93</f>
        <v>778</v>
      </c>
      <c r="CH40" s="428">
        <f>EXC!P89+EXC!P93</f>
        <v>503</v>
      </c>
      <c r="CI40" s="428">
        <f>EXC!Q89+EXC!Q93</f>
        <v>612</v>
      </c>
      <c r="CJ40" s="428">
        <f>EXC!R89+EXC!R93</f>
        <v>640</v>
      </c>
      <c r="CK40" s="951">
        <f>EXC!S89+EXC!S93</f>
        <v>2533</v>
      </c>
      <c r="CL40" s="428">
        <f>EXC!T89+EXC!T93</f>
        <v>994</v>
      </c>
      <c r="CM40" s="428">
        <f>EXC!U89+EXC!U93</f>
        <v>776</v>
      </c>
      <c r="CN40" s="428">
        <f>EXC!V89+EXC!V93</f>
        <v>803</v>
      </c>
      <c r="CO40" s="428">
        <f>EXC!W89+EXC!W93</f>
        <v>966</v>
      </c>
      <c r="CP40" s="951">
        <f>EXC!X89+EXC!X93</f>
        <v>3539</v>
      </c>
      <c r="CQ40" s="428">
        <f>EXC!Y89+EXC!Y93</f>
        <v>845</v>
      </c>
      <c r="CR40" s="428">
        <f>EXC!Z89+EXC!Z93</f>
        <v>444</v>
      </c>
      <c r="CS40" s="428">
        <f>EXC!AA89+EXC!AA93</f>
        <v>759</v>
      </c>
      <c r="CT40" s="428">
        <f>EXC!AB89+EXC!AB93</f>
        <v>790</v>
      </c>
      <c r="CU40" s="951">
        <f>EXC!AC89+EXC!AC93</f>
        <v>2838</v>
      </c>
      <c r="CV40" s="428">
        <f>EXC!AD89+EXC!AD93</f>
        <v>546</v>
      </c>
      <c r="CW40" s="428">
        <f>EXC!AE89+EXC!AE93</f>
        <v>587</v>
      </c>
      <c r="CX40" s="428">
        <f>EXC!AF89+EXC!AF93</f>
        <v>889</v>
      </c>
      <c r="CY40" s="428">
        <f>EXC!AG89+EXC!AG93</f>
        <v>1085</v>
      </c>
      <c r="CZ40" s="951">
        <f>EXC!AH89+EXC!AH93</f>
        <v>3107</v>
      </c>
      <c r="DA40" s="428">
        <f>EXC!AI89+EXC!AI93</f>
        <v>970</v>
      </c>
      <c r="DB40" s="428">
        <f>EXC!AJ89+EXC!AJ93</f>
        <v>836</v>
      </c>
      <c r="DC40" s="428">
        <f>EXC!AK89+EXC!AK93</f>
        <v>1026</v>
      </c>
      <c r="DD40" s="428">
        <f>EXC!AL89+EXC!AL93</f>
        <v>1074</v>
      </c>
      <c r="DE40" s="951">
        <f>EXC!AM89+EXC!AM93</f>
        <v>3906</v>
      </c>
      <c r="DF40" s="428">
        <f>EXC!AN89+EXC!AN93</f>
        <v>1192</v>
      </c>
      <c r="DG40" s="428">
        <f>EXC!AO89+EXC!AO93</f>
        <v>1272</v>
      </c>
      <c r="DH40" s="428">
        <f>EXC!AP89+EXC!AP93</f>
        <v>895</v>
      </c>
      <c r="DI40" s="428">
        <f>EXC!AQ89+EXC!AQ93</f>
        <v>840</v>
      </c>
      <c r="DJ40" s="951">
        <f>EXC!AR89+EXC!AR93</f>
        <v>4199</v>
      </c>
      <c r="DK40" s="428">
        <f>EXC!AS89+EXC!AS93</f>
        <v>945</v>
      </c>
      <c r="DL40" s="428">
        <f>EXC!AT89+EXC!AT93</f>
        <v>302</v>
      </c>
      <c r="DM40" s="428">
        <f>EXC!AU89+EXC!AU93</f>
        <v>484</v>
      </c>
      <c r="DN40" s="428">
        <f>EXC!AV89+EXC!AV93</f>
        <v>1014</v>
      </c>
      <c r="DO40" s="951">
        <f>EXC!AW89+EXC!AW93</f>
        <v>3720</v>
      </c>
      <c r="DP40" s="428">
        <f>EXC!AX89+EXC!AX93</f>
        <v>568.34344576200806</v>
      </c>
      <c r="DQ40" s="428">
        <f>EXC!AY89+EXC!AY93</f>
        <v>568.34344576200806</v>
      </c>
      <c r="DR40" s="428">
        <f>EXC!AZ89+EXC!AZ93</f>
        <v>568.34344576200806</v>
      </c>
      <c r="DS40" s="428">
        <f>EXC!BA89+EXC!BA93</f>
        <v>568.34344576200806</v>
      </c>
      <c r="DT40" s="951">
        <f>EXC!BB89+EXC!BB93</f>
        <v>2273.3737830480322</v>
      </c>
      <c r="DU40" s="428">
        <f>EXC!BC89+EXC!BC93</f>
        <v>462.92642541754657</v>
      </c>
      <c r="DV40" s="428">
        <f>EXC!BD89+EXC!BD93</f>
        <v>462.92642541754657</v>
      </c>
      <c r="DW40" s="428">
        <f>EXC!BE89+EXC!BE93</f>
        <v>462.92642541754657</v>
      </c>
      <c r="DX40" s="428">
        <f>EXC!BF89+EXC!BF93</f>
        <v>462.92642541754657</v>
      </c>
      <c r="DY40" s="951">
        <f>EXC!BG89+EXC!BG93</f>
        <v>1851.7057016701863</v>
      </c>
      <c r="DZ40" s="428">
        <f>EXC!BH89+EXC!BH93</f>
        <v>456.67642541754657</v>
      </c>
      <c r="EA40" s="428">
        <f>EXC!BI89+EXC!BI93</f>
        <v>456.67642541754657</v>
      </c>
      <c r="EB40" s="428">
        <f>EXC!BJ89+EXC!BJ93</f>
        <v>456.67642541754657</v>
      </c>
      <c r="EC40" s="428">
        <f>EXC!BK89+EXC!BK93</f>
        <v>456.67642541754657</v>
      </c>
      <c r="ED40" s="951">
        <f>EXC!BL89+EXC!BL93</f>
        <v>1826.7057016701863</v>
      </c>
      <c r="EE40" s="428">
        <f>EXC!BM89+EXC!BM93</f>
        <v>456.25</v>
      </c>
      <c r="EF40" s="428">
        <f>EXC!BN89+EXC!BN93</f>
        <v>456.25</v>
      </c>
      <c r="EG40" s="428">
        <f>EXC!BO89+EXC!BO93</f>
        <v>456.25</v>
      </c>
      <c r="EH40" s="428">
        <f>EXC!BP89+EXC!BP93</f>
        <v>456.25</v>
      </c>
      <c r="EI40" s="951">
        <f>EXC!BQ89+EXC!BQ93</f>
        <v>1825</v>
      </c>
    </row>
    <row r="41" spans="2:139">
      <c r="B41" s="499"/>
      <c r="BS41" s="31"/>
      <c r="BT41" s="468"/>
      <c r="BU41" s="499" t="s">
        <v>87</v>
      </c>
      <c r="BV41" s="31"/>
      <c r="BW41" s="501"/>
      <c r="BX41" s="501"/>
      <c r="BY41" s="501"/>
      <c r="BZ41" s="501"/>
      <c r="CA41" s="506">
        <f>CA42-CA39-CA40</f>
        <v>0</v>
      </c>
      <c r="CB41" s="501"/>
      <c r="CC41" s="501"/>
      <c r="CD41" s="501"/>
      <c r="CE41" s="501"/>
      <c r="CF41" s="506">
        <f t="shared" ref="CF41:DE41" si="7">CF42-CF39-CF40</f>
        <v>0</v>
      </c>
      <c r="CG41" s="501">
        <f t="shared" si="7"/>
        <v>0</v>
      </c>
      <c r="CH41" s="501">
        <f t="shared" si="7"/>
        <v>0</v>
      </c>
      <c r="CI41" s="501">
        <f t="shared" si="7"/>
        <v>0</v>
      </c>
      <c r="CJ41" s="501">
        <f t="shared" si="7"/>
        <v>0</v>
      </c>
      <c r="CK41" s="506">
        <f t="shared" si="7"/>
        <v>0</v>
      </c>
      <c r="CL41" s="501">
        <f t="shared" si="7"/>
        <v>0</v>
      </c>
      <c r="CM41" s="501">
        <f t="shared" si="7"/>
        <v>0</v>
      </c>
      <c r="CN41" s="501">
        <f t="shared" si="7"/>
        <v>0</v>
      </c>
      <c r="CO41" s="501">
        <f t="shared" si="7"/>
        <v>0</v>
      </c>
      <c r="CP41" s="506">
        <f t="shared" si="7"/>
        <v>0</v>
      </c>
      <c r="CQ41" s="501">
        <f t="shared" si="7"/>
        <v>0</v>
      </c>
      <c r="CR41" s="501">
        <f t="shared" si="7"/>
        <v>0</v>
      </c>
      <c r="CS41" s="501">
        <f t="shared" si="7"/>
        <v>0</v>
      </c>
      <c r="CT41" s="501">
        <f t="shared" si="7"/>
        <v>0</v>
      </c>
      <c r="CU41" s="506">
        <f t="shared" si="7"/>
        <v>0</v>
      </c>
      <c r="CV41" s="501">
        <f t="shared" si="7"/>
        <v>0</v>
      </c>
      <c r="CW41" s="501">
        <f t="shared" si="7"/>
        <v>0</v>
      </c>
      <c r="CX41" s="501">
        <f t="shared" si="7"/>
        <v>0</v>
      </c>
      <c r="CY41" s="501">
        <f t="shared" si="7"/>
        <v>0</v>
      </c>
      <c r="CZ41" s="506">
        <f t="shared" si="7"/>
        <v>0</v>
      </c>
      <c r="DA41" s="501">
        <f t="shared" si="7"/>
        <v>0</v>
      </c>
      <c r="DB41" s="501">
        <f t="shared" si="7"/>
        <v>0</v>
      </c>
      <c r="DC41" s="501">
        <f t="shared" si="7"/>
        <v>0</v>
      </c>
      <c r="DD41" s="501">
        <f t="shared" si="7"/>
        <v>0</v>
      </c>
      <c r="DE41" s="506">
        <f t="shared" si="7"/>
        <v>0</v>
      </c>
      <c r="DF41" s="501">
        <f t="shared" ref="DF41:DO41" si="8">DF42-DF39-DF40</f>
        <v>0</v>
      </c>
      <c r="DG41" s="501">
        <f t="shared" si="8"/>
        <v>0</v>
      </c>
      <c r="DH41" s="501">
        <f t="shared" si="8"/>
        <v>0</v>
      </c>
      <c r="DI41" s="501">
        <f t="shared" si="8"/>
        <v>0</v>
      </c>
      <c r="DJ41" s="506">
        <f t="shared" si="8"/>
        <v>-1246</v>
      </c>
      <c r="DK41" s="501">
        <f t="shared" si="8"/>
        <v>309</v>
      </c>
      <c r="DL41" s="501">
        <f t="shared" si="8"/>
        <v>349</v>
      </c>
      <c r="DM41" s="501">
        <f t="shared" si="8"/>
        <v>317</v>
      </c>
      <c r="DN41" s="501">
        <f t="shared" si="8"/>
        <v>0</v>
      </c>
      <c r="DO41" s="506">
        <f t="shared" si="8"/>
        <v>-1368</v>
      </c>
      <c r="DP41" s="501">
        <f t="shared" ref="DP41:ED41" si="9">DP42-DP39-DP40</f>
        <v>375</v>
      </c>
      <c r="DQ41" s="501">
        <f t="shared" si="9"/>
        <v>375</v>
      </c>
      <c r="DR41" s="501">
        <f t="shared" si="9"/>
        <v>375</v>
      </c>
      <c r="DS41" s="501">
        <f t="shared" si="9"/>
        <v>375</v>
      </c>
      <c r="DT41" s="506">
        <f t="shared" si="9"/>
        <v>0</v>
      </c>
      <c r="DU41" s="501">
        <f t="shared" si="9"/>
        <v>343.75000000000006</v>
      </c>
      <c r="DV41" s="501">
        <f t="shared" si="9"/>
        <v>343.75000000000006</v>
      </c>
      <c r="DW41" s="501">
        <f t="shared" si="9"/>
        <v>343.75000000000006</v>
      </c>
      <c r="DX41" s="501">
        <f t="shared" si="9"/>
        <v>343.75000000000006</v>
      </c>
      <c r="DY41" s="506">
        <f t="shared" si="9"/>
        <v>0</v>
      </c>
      <c r="DZ41" s="501">
        <f t="shared" si="9"/>
        <v>375.00000000000017</v>
      </c>
      <c r="EA41" s="501">
        <f t="shared" si="9"/>
        <v>375.00000000000017</v>
      </c>
      <c r="EB41" s="501">
        <f t="shared" si="9"/>
        <v>375.00000000000017</v>
      </c>
      <c r="EC41" s="501">
        <f t="shared" si="9"/>
        <v>375.00000000000017</v>
      </c>
      <c r="ED41" s="506">
        <f t="shared" si="9"/>
        <v>0</v>
      </c>
      <c r="EE41" s="501">
        <f t="shared" ref="EE41:EI41" si="10">EE42-EE39-EE40</f>
        <v>368.75000000000011</v>
      </c>
      <c r="EF41" s="501">
        <f t="shared" si="10"/>
        <v>368.75000000000011</v>
      </c>
      <c r="EG41" s="501">
        <f t="shared" si="10"/>
        <v>368.75000000000011</v>
      </c>
      <c r="EH41" s="501">
        <f t="shared" si="10"/>
        <v>368.75000000000011</v>
      </c>
      <c r="EI41" s="506">
        <f t="shared" si="10"/>
        <v>0</v>
      </c>
    </row>
    <row r="42" spans="2:139">
      <c r="B42" s="31"/>
      <c r="BR42" s="31"/>
      <c r="BS42" s="31"/>
      <c r="BT42" s="468"/>
      <c r="BU42" s="34" t="s">
        <v>110</v>
      </c>
      <c r="BV42" s="31"/>
      <c r="BW42" s="520"/>
      <c r="BX42" s="520"/>
      <c r="BY42" s="520"/>
      <c r="BZ42" s="520"/>
      <c r="CA42" s="521">
        <f>EXC!I97</f>
        <v>3273</v>
      </c>
      <c r="CB42" s="520"/>
      <c r="CC42" s="520"/>
      <c r="CD42" s="520"/>
      <c r="CE42" s="520"/>
      <c r="CF42" s="521">
        <f>EXC!N97</f>
        <v>3326</v>
      </c>
      <c r="CG42" s="520">
        <f>EXC!O97</f>
        <v>1150</v>
      </c>
      <c r="CH42" s="520">
        <f>EXC!P97</f>
        <v>835</v>
      </c>
      <c r="CI42" s="520">
        <f>EXC!Q97</f>
        <v>987</v>
      </c>
      <c r="CJ42" s="520">
        <f>EXC!R97</f>
        <v>1070</v>
      </c>
      <c r="CK42" s="521">
        <f>EXC!S97</f>
        <v>4042</v>
      </c>
      <c r="CL42" s="520">
        <f>EXC!T97</f>
        <v>1496</v>
      </c>
      <c r="CM42" s="520">
        <f>EXC!U97</f>
        <v>1320</v>
      </c>
      <c r="CN42" s="520">
        <f>EXC!V97</f>
        <v>1329</v>
      </c>
      <c r="CO42" s="520">
        <f>EXC!W97</f>
        <v>1644</v>
      </c>
      <c r="CP42" s="521">
        <f>EXC!X97</f>
        <v>5789</v>
      </c>
      <c r="CQ42" s="520">
        <f>EXC!Y97</f>
        <v>1447</v>
      </c>
      <c r="CR42" s="520">
        <f>EXC!Z97</f>
        <v>1071</v>
      </c>
      <c r="CS42" s="520">
        <f>EXC!AA97</f>
        <v>1369</v>
      </c>
      <c r="CT42" s="520">
        <f>EXC!AB97</f>
        <v>1508</v>
      </c>
      <c r="CU42" s="521">
        <f>EXC!AC97</f>
        <v>5395</v>
      </c>
      <c r="CV42" s="520">
        <f>EXC!AD97</f>
        <v>1217</v>
      </c>
      <c r="CW42" s="520">
        <f>EXC!AE97</f>
        <v>1284</v>
      </c>
      <c r="CX42" s="520">
        <f>EXC!AF97</f>
        <v>1613</v>
      </c>
      <c r="CY42" s="520">
        <f>EXC!AG97</f>
        <v>1963</v>
      </c>
      <c r="CZ42" s="521">
        <f>EXC!AH97</f>
        <v>6077</v>
      </c>
      <c r="DA42" s="520">
        <f>EXC!AI97</f>
        <v>1784</v>
      </c>
      <c r="DB42" s="520">
        <f>EXC!AJ97</f>
        <v>1676</v>
      </c>
      <c r="DC42" s="520">
        <f>EXC!AK97</f>
        <v>1983</v>
      </c>
      <c r="DD42" s="520">
        <f>EXC!AL97</f>
        <v>2181</v>
      </c>
      <c r="DE42" s="521">
        <f>EXC!AM97</f>
        <v>7624</v>
      </c>
      <c r="DF42" s="520">
        <f>EXC!AN97</f>
        <v>2202</v>
      </c>
      <c r="DG42" s="520">
        <f>EXC!AO97</f>
        <v>2287</v>
      </c>
      <c r="DH42" s="520">
        <f>EXC!AP97</f>
        <v>1879</v>
      </c>
      <c r="DI42" s="520">
        <f>EXC!AQ97</f>
        <v>2185</v>
      </c>
      <c r="DJ42" s="521">
        <f>EXC!AR97</f>
        <v>8553</v>
      </c>
      <c r="DK42" s="520">
        <f>EXC!AS97</f>
        <v>2114</v>
      </c>
      <c r="DL42" s="520">
        <f>EXC!AT97</f>
        <v>1731</v>
      </c>
      <c r="DM42" s="520">
        <f>EXC!AU97</f>
        <v>1711</v>
      </c>
      <c r="DN42" s="520">
        <f>EXC!AV97</f>
        <v>2028</v>
      </c>
      <c r="DO42" s="521">
        <f>EXC!AW97</f>
        <v>7584</v>
      </c>
      <c r="DP42" s="520">
        <f>EXC!AX97</f>
        <v>1918.3434457620081</v>
      </c>
      <c r="DQ42" s="520">
        <f>EXC!AY97</f>
        <v>1918.3434457620081</v>
      </c>
      <c r="DR42" s="520">
        <f>EXC!AZ97</f>
        <v>1918.3434457620081</v>
      </c>
      <c r="DS42" s="520">
        <f>EXC!BA97</f>
        <v>1918.3434457620081</v>
      </c>
      <c r="DT42" s="521">
        <f>EXC!BB97</f>
        <v>7673.3737830480322</v>
      </c>
      <c r="DU42" s="520">
        <f>EXC!BC97</f>
        <v>1731.6764254175466</v>
      </c>
      <c r="DV42" s="520">
        <f>EXC!BD97</f>
        <v>1731.6764254175466</v>
      </c>
      <c r="DW42" s="520">
        <f>EXC!BE97</f>
        <v>1731.6764254175466</v>
      </c>
      <c r="DX42" s="520">
        <f>EXC!BF97</f>
        <v>1731.6764254175466</v>
      </c>
      <c r="DY42" s="521">
        <f>EXC!BG97</f>
        <v>6926.7057016701865</v>
      </c>
      <c r="DZ42" s="520">
        <f>EXC!BH97</f>
        <v>1746.7114254175467</v>
      </c>
      <c r="EA42" s="520">
        <f>EXC!BI97</f>
        <v>1746.7114254175467</v>
      </c>
      <c r="EB42" s="520">
        <f>EXC!BJ97</f>
        <v>1746.7114254175467</v>
      </c>
      <c r="EC42" s="520">
        <f>EXC!BK97</f>
        <v>1746.7114254175467</v>
      </c>
      <c r="ED42" s="521">
        <f>EXC!BL97</f>
        <v>6986.8457016701868</v>
      </c>
      <c r="EE42" s="520">
        <f>EXC!BM97</f>
        <v>1715.0350000000001</v>
      </c>
      <c r="EF42" s="520">
        <f>EXC!BN97</f>
        <v>1715.0350000000001</v>
      </c>
      <c r="EG42" s="520">
        <f>EXC!BO97</f>
        <v>1715.0350000000001</v>
      </c>
      <c r="EH42" s="520">
        <f>EXC!BP97</f>
        <v>1715.0350000000001</v>
      </c>
      <c r="EI42" s="521">
        <f>EXC!BQ97</f>
        <v>6860.14</v>
      </c>
    </row>
    <row r="43" spans="2:139">
      <c r="B43" s="231" t="s">
        <v>90</v>
      </c>
      <c r="C43" s="231"/>
      <c r="D43" s="74"/>
      <c r="E43" s="74"/>
      <c r="F43" s="74"/>
      <c r="G43" s="74"/>
      <c r="H43" s="74"/>
      <c r="I43" s="74"/>
      <c r="J43" s="74"/>
      <c r="K43" s="74"/>
      <c r="L43" s="74"/>
      <c r="M43" s="74"/>
      <c r="N43" s="74"/>
      <c r="O43" s="74"/>
      <c r="P43" s="74"/>
      <c r="Q43" s="74"/>
      <c r="R43" s="74"/>
      <c r="S43" s="74"/>
      <c r="T43" s="74"/>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31"/>
      <c r="BS43" s="31"/>
      <c r="BT43" s="468"/>
      <c r="BU43" s="232"/>
      <c r="BV43" s="31"/>
      <c r="BW43" s="22"/>
      <c r="BX43" s="22"/>
      <c r="BY43" s="22"/>
      <c r="BZ43" s="22"/>
      <c r="CA43" s="485"/>
      <c r="CB43" s="22"/>
      <c r="CC43" s="22"/>
      <c r="CD43" s="22"/>
      <c r="CE43" s="22"/>
      <c r="CF43" s="485"/>
      <c r="CG43" s="22"/>
      <c r="CH43" s="22"/>
      <c r="CI43" s="22"/>
      <c r="CJ43" s="22"/>
      <c r="CK43" s="485"/>
      <c r="CL43" s="22"/>
      <c r="CM43" s="22"/>
      <c r="CN43" s="22"/>
      <c r="CO43" s="22"/>
      <c r="CP43" s="485"/>
      <c r="CQ43" s="22"/>
      <c r="CR43" s="22"/>
      <c r="CS43" s="22"/>
      <c r="CT43" s="22"/>
      <c r="CU43" s="485"/>
      <c r="CV43" s="22"/>
      <c r="CW43" s="22"/>
      <c r="CX43" s="22"/>
      <c r="CY43" s="22"/>
      <c r="CZ43" s="485"/>
      <c r="DA43" s="22"/>
      <c r="DB43" s="22"/>
      <c r="DC43" s="22"/>
      <c r="DD43" s="22"/>
      <c r="DE43" s="485"/>
      <c r="DF43" s="22"/>
      <c r="DG43" s="22"/>
      <c r="DH43" s="22"/>
      <c r="DI43" s="22"/>
      <c r="DJ43" s="485"/>
      <c r="DK43" s="22"/>
      <c r="DL43" s="22"/>
      <c r="DM43" s="22"/>
      <c r="DN43" s="22"/>
      <c r="DO43" s="485"/>
      <c r="DP43" s="22"/>
      <c r="DQ43" s="22"/>
      <c r="DR43" s="22"/>
      <c r="DS43" s="22"/>
      <c r="DT43" s="485"/>
      <c r="DU43" s="22"/>
      <c r="DV43" s="22"/>
      <c r="DW43" s="22"/>
      <c r="DX43" s="22"/>
      <c r="DY43" s="485"/>
      <c r="DZ43" s="22"/>
      <c r="EA43" s="22"/>
      <c r="EB43" s="22"/>
      <c r="EC43" s="22"/>
      <c r="ED43" s="485"/>
      <c r="EE43" s="22"/>
      <c r="EF43" s="22"/>
      <c r="EG43" s="22"/>
      <c r="EH43" s="22"/>
      <c r="EI43" s="485"/>
    </row>
    <row r="44" spans="2:139">
      <c r="B44" s="468"/>
      <c r="C44" s="232"/>
      <c r="D44" s="31"/>
      <c r="E44" s="512"/>
      <c r="F44" s="512"/>
      <c r="G44" s="512"/>
      <c r="H44" s="512"/>
      <c r="I44" s="513"/>
      <c r="J44" s="512"/>
      <c r="K44" s="512"/>
      <c r="L44" s="512"/>
      <c r="M44" s="512"/>
      <c r="N44" s="513"/>
      <c r="O44" s="512"/>
      <c r="P44" s="512"/>
      <c r="Q44" s="512"/>
      <c r="R44" s="512"/>
      <c r="S44" s="513"/>
      <c r="T44" s="512"/>
      <c r="U44" s="512"/>
      <c r="V44" s="512"/>
      <c r="W44" s="512"/>
      <c r="X44" s="513"/>
      <c r="Y44" s="512"/>
      <c r="Z44" s="512"/>
      <c r="AA44" s="512"/>
      <c r="AB44" s="512"/>
      <c r="AC44" s="513"/>
      <c r="AD44" s="512"/>
      <c r="AE44" s="512"/>
      <c r="AF44" s="512"/>
      <c r="AG44" s="512"/>
      <c r="AH44" s="513"/>
      <c r="AI44" s="512"/>
      <c r="AJ44" s="512"/>
      <c r="AK44" s="512"/>
      <c r="AL44" s="512"/>
      <c r="AM44" s="513"/>
      <c r="AN44" s="512"/>
      <c r="AO44" s="512"/>
      <c r="AP44" s="512"/>
      <c r="AQ44" s="512"/>
      <c r="AR44" s="513"/>
      <c r="AS44" s="512"/>
      <c r="AT44" s="512"/>
      <c r="AU44" s="512"/>
      <c r="AV44" s="512"/>
      <c r="AW44" s="513"/>
      <c r="AX44" s="512"/>
      <c r="AY44" s="512"/>
      <c r="AZ44" s="512"/>
      <c r="BA44" s="512"/>
      <c r="BB44" s="513"/>
      <c r="BC44" s="512"/>
      <c r="BD44" s="512"/>
      <c r="BE44" s="512"/>
      <c r="BF44" s="512"/>
      <c r="BG44" s="513"/>
      <c r="BH44" s="512"/>
      <c r="BI44" s="512"/>
      <c r="BJ44" s="512"/>
      <c r="BK44" s="512"/>
      <c r="BL44" s="513"/>
      <c r="BM44" s="512"/>
      <c r="BN44" s="512"/>
      <c r="BO44" s="512"/>
      <c r="BP44" s="512"/>
      <c r="BQ44" s="513"/>
      <c r="BR44" s="31"/>
      <c r="BS44" s="31"/>
      <c r="BT44" s="468"/>
      <c r="BU44" s="34" t="s">
        <v>335</v>
      </c>
      <c r="BV44" s="31"/>
      <c r="CA44" s="31"/>
      <c r="CF44" s="31"/>
      <c r="CK44" s="31"/>
      <c r="CP44" s="31"/>
      <c r="CU44" s="31"/>
      <c r="CZ44" s="31"/>
      <c r="DE44" s="31"/>
      <c r="DJ44" s="31"/>
      <c r="DO44" s="31"/>
      <c r="DT44" s="31"/>
      <c r="DY44" s="31"/>
      <c r="ED44" s="31"/>
      <c r="EI44" s="31"/>
    </row>
    <row r="45" spans="2:139">
      <c r="B45" s="468"/>
      <c r="C45" s="515" t="s">
        <v>92</v>
      </c>
      <c r="D45" s="31"/>
      <c r="E45" s="516"/>
      <c r="F45" s="516"/>
      <c r="G45" s="516"/>
      <c r="H45" s="516"/>
      <c r="I45" s="516">
        <f>EXC!I63</f>
        <v>2.1000000000000005</v>
      </c>
      <c r="J45" s="516"/>
      <c r="K45" s="516"/>
      <c r="L45" s="516"/>
      <c r="M45" s="516"/>
      <c r="N45" s="516">
        <f>EXC!N63</f>
        <v>2.1000000000000005</v>
      </c>
      <c r="O45" s="516"/>
      <c r="P45" s="516"/>
      <c r="Q45" s="516"/>
      <c r="R45" s="516"/>
      <c r="S45" s="516">
        <f>EXC!S63</f>
        <v>2.1000000000000005</v>
      </c>
      <c r="T45" s="516"/>
      <c r="U45" s="516"/>
      <c r="V45" s="516"/>
      <c r="W45" s="516"/>
      <c r="X45" s="516">
        <f>EXC!X63</f>
        <v>2.1</v>
      </c>
      <c r="Y45" s="516"/>
      <c r="Z45" s="516"/>
      <c r="AA45" s="516"/>
      <c r="AB45" s="516"/>
      <c r="AC45" s="516">
        <f>EXC!AC63</f>
        <v>1.46</v>
      </c>
      <c r="AD45" s="516"/>
      <c r="AE45" s="516"/>
      <c r="AF45" s="516"/>
      <c r="AG45" s="516"/>
      <c r="AH45" s="516">
        <f>EXC!AH63</f>
        <v>1.24</v>
      </c>
      <c r="AI45" s="516"/>
      <c r="AJ45" s="516"/>
      <c r="AK45" s="516"/>
      <c r="AL45" s="516"/>
      <c r="AM45" s="516">
        <f>EXC!AM63</f>
        <v>1.24</v>
      </c>
      <c r="AN45" s="516"/>
      <c r="AO45" s="516"/>
      <c r="AP45" s="516"/>
      <c r="AQ45" s="516"/>
      <c r="AR45" s="516">
        <f>EXC!AR63</f>
        <v>1.26</v>
      </c>
      <c r="AS45" s="516"/>
      <c r="AT45" s="516"/>
      <c r="AU45" s="516"/>
      <c r="AV45" s="516"/>
      <c r="AW45" s="516">
        <f>EXC!AW63</f>
        <v>1.31</v>
      </c>
      <c r="AX45" s="516"/>
      <c r="AY45" s="516"/>
      <c r="AZ45" s="516"/>
      <c r="BA45" s="516"/>
      <c r="BB45" s="516">
        <f>EXC!BB63</f>
        <v>1.38</v>
      </c>
      <c r="BC45" s="516"/>
      <c r="BD45" s="516"/>
      <c r="BE45" s="516"/>
      <c r="BF45" s="516"/>
      <c r="BG45" s="516">
        <f>EXC!BG63</f>
        <v>1.4489999999999998</v>
      </c>
      <c r="BH45" s="516"/>
      <c r="BI45" s="516"/>
      <c r="BJ45" s="516"/>
      <c r="BK45" s="516"/>
      <c r="BL45" s="516">
        <f>EXC!BL63</f>
        <v>1.52145</v>
      </c>
      <c r="BM45" s="516"/>
      <c r="BN45" s="516"/>
      <c r="BO45" s="516"/>
      <c r="BP45" s="516"/>
      <c r="BQ45" s="516">
        <f>EXC!BQ63</f>
        <v>1.5975225</v>
      </c>
      <c r="BR45" s="31"/>
      <c r="BS45" s="31"/>
      <c r="BT45" s="468"/>
      <c r="BU45" s="232" t="s">
        <v>431</v>
      </c>
      <c r="BV45" s="31"/>
      <c r="BW45" s="501"/>
      <c r="BX45" s="501"/>
      <c r="BY45" s="501"/>
      <c r="BZ45" s="501"/>
      <c r="CA45" s="506">
        <f>+CA33-CA39</f>
        <v>944</v>
      </c>
      <c r="CB45" s="501"/>
      <c r="CC45" s="501"/>
      <c r="CD45" s="501"/>
      <c r="CE45" s="501"/>
      <c r="CF45" s="506">
        <f>+CF33-CF39</f>
        <v>720</v>
      </c>
      <c r="CG45" s="501"/>
      <c r="CH45" s="501"/>
      <c r="CI45" s="501"/>
      <c r="CJ45" s="501"/>
      <c r="CK45" s="506">
        <f>+CK33-CK39</f>
        <v>145</v>
      </c>
      <c r="CL45" s="501"/>
      <c r="CM45" s="501"/>
      <c r="CN45" s="501"/>
      <c r="CO45" s="501"/>
      <c r="CP45" s="506">
        <f>+CP33-CP39</f>
        <v>447</v>
      </c>
      <c r="CQ45" s="501"/>
      <c r="CR45" s="501"/>
      <c r="CS45" s="501"/>
      <c r="CT45" s="501"/>
      <c r="CU45" s="506">
        <f>+CU33-CU39</f>
        <v>-31</v>
      </c>
      <c r="CV45" s="501"/>
      <c r="CW45" s="501"/>
      <c r="CX45" s="501"/>
      <c r="CY45" s="501"/>
      <c r="CZ45" s="506">
        <f>+CZ33-CZ39</f>
        <v>-192</v>
      </c>
      <c r="DA45" s="501"/>
      <c r="DB45" s="501"/>
      <c r="DC45" s="501"/>
      <c r="DD45" s="501"/>
      <c r="DE45" s="506">
        <f>+DE33-DE39</f>
        <v>322</v>
      </c>
      <c r="DF45" s="501"/>
      <c r="DG45" s="501"/>
      <c r="DH45" s="501"/>
      <c r="DI45" s="501"/>
      <c r="DJ45" s="506">
        <f>+DJ33-DJ39</f>
        <v>25</v>
      </c>
      <c r="DK45" s="501"/>
      <c r="DL45" s="501"/>
      <c r="DM45" s="501"/>
      <c r="DN45" s="501"/>
      <c r="DO45" s="506">
        <f>+DO33-DO39</f>
        <v>-1195</v>
      </c>
      <c r="DP45" s="501"/>
      <c r="DQ45" s="501"/>
      <c r="DR45" s="501"/>
      <c r="DS45" s="501"/>
      <c r="DT45" s="506">
        <f ca="1">+DT33-DT39</f>
        <v>-1078.5500311060532</v>
      </c>
      <c r="DU45" s="501"/>
      <c r="DV45" s="501"/>
      <c r="DW45" s="501"/>
      <c r="DX45" s="501"/>
      <c r="DY45" s="506">
        <f ca="1">+DY33-DY39</f>
        <v>-516.61875534859155</v>
      </c>
      <c r="DZ45" s="501"/>
      <c r="EA45" s="501"/>
      <c r="EB45" s="501"/>
      <c r="EC45" s="501"/>
      <c r="ED45" s="506">
        <f ca="1">+ED33-ED39</f>
        <v>-299.23602294617012</v>
      </c>
      <c r="EE45" s="501"/>
      <c r="EF45" s="501"/>
      <c r="EG45" s="501"/>
      <c r="EH45" s="501"/>
      <c r="EI45" s="506">
        <f ca="1">+EI33-EI39</f>
        <v>214.44155848833907</v>
      </c>
    </row>
    <row r="46" spans="2:139">
      <c r="B46" s="468"/>
      <c r="C46" s="514" t="s">
        <v>487</v>
      </c>
      <c r="D46" s="31"/>
      <c r="E46" s="517"/>
      <c r="F46" s="517"/>
      <c r="G46" s="517"/>
      <c r="H46" s="517"/>
      <c r="I46" s="518">
        <f>I45/$N$68</f>
        <v>5.1045211473018971E-2</v>
      </c>
      <c r="J46" s="517"/>
      <c r="K46" s="517"/>
      <c r="L46" s="517"/>
      <c r="M46" s="517"/>
      <c r="N46" s="518">
        <f>N45/$N$68</f>
        <v>5.1045211473018971E-2</v>
      </c>
      <c r="O46" s="517"/>
      <c r="P46" s="517"/>
      <c r="Q46" s="517"/>
      <c r="R46" s="517"/>
      <c r="S46" s="518">
        <f>S45/$N$68</f>
        <v>5.1045211473018971E-2</v>
      </c>
      <c r="T46" s="517"/>
      <c r="U46" s="517"/>
      <c r="V46" s="517"/>
      <c r="W46" s="517"/>
      <c r="X46" s="518">
        <f>X45/$N$68</f>
        <v>5.1045211473018964E-2</v>
      </c>
      <c r="Y46" s="517"/>
      <c r="Z46" s="517"/>
      <c r="AA46" s="517"/>
      <c r="AB46" s="517"/>
      <c r="AC46" s="518">
        <f>AC45/$N$68</f>
        <v>3.5488575595527469E-2</v>
      </c>
      <c r="AD46" s="517"/>
      <c r="AE46" s="517"/>
      <c r="AF46" s="517"/>
      <c r="AG46" s="517"/>
      <c r="AH46" s="518">
        <f>AH45/$N$68</f>
        <v>3.0140982012639764E-2</v>
      </c>
      <c r="AI46" s="517"/>
      <c r="AJ46" s="517"/>
      <c r="AK46" s="517"/>
      <c r="AL46" s="517"/>
      <c r="AM46" s="518">
        <f>AM45/$N$68</f>
        <v>3.0140982012639764E-2</v>
      </c>
      <c r="AN46" s="517"/>
      <c r="AO46" s="517"/>
      <c r="AP46" s="517"/>
      <c r="AQ46" s="517"/>
      <c r="AR46" s="518">
        <f>AR45/$N$68</f>
        <v>3.0627126883811376E-2</v>
      </c>
      <c r="AS46" s="517"/>
      <c r="AT46" s="517"/>
      <c r="AU46" s="517"/>
      <c r="AV46" s="517"/>
      <c r="AW46" s="518">
        <f>AW45/$N$68</f>
        <v>3.1842489061740399E-2</v>
      </c>
      <c r="AX46" s="517"/>
      <c r="AY46" s="517"/>
      <c r="AZ46" s="517"/>
      <c r="BA46" s="517"/>
      <c r="BB46" s="518">
        <f>BB45/$N$68</f>
        <v>3.354399611084103E-2</v>
      </c>
      <c r="BC46" s="517"/>
      <c r="BD46" s="517"/>
      <c r="BE46" s="517"/>
      <c r="BF46" s="517"/>
      <c r="BG46" s="518">
        <f>BG45/$N$68</f>
        <v>3.5221195916383077E-2</v>
      </c>
      <c r="BH46" s="517"/>
      <c r="BI46" s="517"/>
      <c r="BJ46" s="517"/>
      <c r="BK46" s="517"/>
      <c r="BL46" s="518">
        <f>BL45/$N$68</f>
        <v>3.6982255712202233E-2</v>
      </c>
      <c r="BM46" s="517"/>
      <c r="BN46" s="517"/>
      <c r="BO46" s="517"/>
      <c r="BP46" s="517"/>
      <c r="BQ46" s="518">
        <f>BQ45/$N$68</f>
        <v>3.8831368497812345E-2</v>
      </c>
      <c r="BR46" s="31"/>
      <c r="BS46" s="31"/>
      <c r="BT46" s="468"/>
      <c r="BU46" s="31" t="s">
        <v>332</v>
      </c>
      <c r="BV46" s="31"/>
      <c r="BW46" s="501"/>
      <c r="BX46" s="501"/>
      <c r="BY46" s="501"/>
      <c r="BZ46" s="501"/>
      <c r="CA46" s="506">
        <f>+CA34-CA40</f>
        <v>1877</v>
      </c>
      <c r="CB46" s="501"/>
      <c r="CC46" s="501"/>
      <c r="CD46" s="501"/>
      <c r="CE46" s="501"/>
      <c r="CF46" s="506">
        <f>+CF34-CF40</f>
        <v>1198</v>
      </c>
      <c r="CG46" s="501"/>
      <c r="CH46" s="501"/>
      <c r="CI46" s="501"/>
      <c r="CJ46" s="501"/>
      <c r="CK46" s="506">
        <f>+CK34-CK40</f>
        <v>666</v>
      </c>
      <c r="CL46" s="501"/>
      <c r="CM46" s="501"/>
      <c r="CN46" s="501"/>
      <c r="CO46" s="501"/>
      <c r="CP46" s="506">
        <f>+CP34-CP40</f>
        <v>-105</v>
      </c>
      <c r="CQ46" s="501"/>
      <c r="CR46" s="501"/>
      <c r="CS46" s="501"/>
      <c r="CT46" s="501"/>
      <c r="CU46" s="506">
        <f>+CU34-CU40</f>
        <v>979</v>
      </c>
      <c r="CV46" s="501"/>
      <c r="CW46" s="501"/>
      <c r="CX46" s="501"/>
      <c r="CY46" s="501"/>
      <c r="CZ46" s="506">
        <f>+CZ34-CZ40</f>
        <v>-1428</v>
      </c>
      <c r="DA46" s="501"/>
      <c r="DB46" s="501"/>
      <c r="DC46" s="501"/>
      <c r="DD46" s="501"/>
      <c r="DE46" s="506">
        <f>+DE34-DE40</f>
        <v>262</v>
      </c>
      <c r="DF46" s="501"/>
      <c r="DG46" s="501"/>
      <c r="DH46" s="501"/>
      <c r="DI46" s="501"/>
      <c r="DJ46" s="506">
        <f>+DJ34-DJ40</f>
        <v>-728</v>
      </c>
      <c r="DK46" s="501"/>
      <c r="DL46" s="501"/>
      <c r="DM46" s="501"/>
      <c r="DN46" s="501"/>
      <c r="DO46" s="506">
        <f>+DO34-DO40</f>
        <v>-276</v>
      </c>
      <c r="DP46" s="501"/>
      <c r="DQ46" s="501"/>
      <c r="DR46" s="501"/>
      <c r="DS46" s="501"/>
      <c r="DT46" s="506">
        <f ca="1">+DT34-DT40</f>
        <v>1186.2057978981079</v>
      </c>
      <c r="DU46" s="501"/>
      <c r="DV46" s="501"/>
      <c r="DW46" s="501"/>
      <c r="DX46" s="501"/>
      <c r="DY46" s="506">
        <f ca="1">+DY34-DY40</f>
        <v>1320.2469232665101</v>
      </c>
      <c r="DZ46" s="501"/>
      <c r="EA46" s="501"/>
      <c r="EB46" s="501"/>
      <c r="EC46" s="501"/>
      <c r="ED46" s="506">
        <f ca="1">+ED34-ED40</f>
        <v>1004.5609311360706</v>
      </c>
      <c r="EE46" s="501"/>
      <c r="EF46" s="501"/>
      <c r="EG46" s="501"/>
      <c r="EH46" s="501"/>
      <c r="EI46" s="506">
        <f ca="1">+EI34-EI40</f>
        <v>1153.0515008752882</v>
      </c>
    </row>
    <row r="47" spans="2:139">
      <c r="B47" s="468"/>
      <c r="C47" s="232" t="s">
        <v>74</v>
      </c>
      <c r="D47" s="31"/>
      <c r="E47" s="497"/>
      <c r="F47" s="497"/>
      <c r="G47" s="497"/>
      <c r="H47" s="497"/>
      <c r="I47" s="949">
        <f>I45/I18</f>
        <v>0.51053984575835487</v>
      </c>
      <c r="J47" s="729"/>
      <c r="K47" s="729"/>
      <c r="L47" s="729"/>
      <c r="M47" s="729"/>
      <c r="N47" s="949">
        <f>N45/N18</f>
        <v>0.51777612495351444</v>
      </c>
      <c r="O47" s="729"/>
      <c r="P47" s="729"/>
      <c r="Q47" s="729"/>
      <c r="R47" s="729"/>
      <c r="S47" s="949">
        <f>S45/S18</f>
        <v>0.50542888165038014</v>
      </c>
      <c r="T47" s="729"/>
      <c r="U47" s="729"/>
      <c r="V47" s="729"/>
      <c r="W47" s="729"/>
      <c r="X47" s="866">
        <f>X45/X18</f>
        <v>0.73815450643776837</v>
      </c>
      <c r="Y47" s="718"/>
      <c r="Z47" s="718"/>
      <c r="AA47" s="718"/>
      <c r="AB47" s="718"/>
      <c r="AC47" s="866">
        <f>AC45/AC18</f>
        <v>0.58427175430432754</v>
      </c>
      <c r="AD47" s="718"/>
      <c r="AE47" s="718"/>
      <c r="AF47" s="718"/>
      <c r="AG47" s="718"/>
      <c r="AH47" s="866">
        <f>AH45/AH18</f>
        <v>0.51806576402321081</v>
      </c>
      <c r="AI47" s="718"/>
      <c r="AJ47" s="718"/>
      <c r="AK47" s="718"/>
      <c r="AL47" s="718"/>
      <c r="AM47" s="866">
        <f>AM45/AM18</f>
        <v>0.49722496632240681</v>
      </c>
      <c r="AN47" s="718"/>
      <c r="AO47" s="718"/>
      <c r="AP47" s="718"/>
      <c r="AQ47" s="718"/>
      <c r="AR47" s="866">
        <f>AR45/AR18</f>
        <v>0.46940405418321007</v>
      </c>
      <c r="AS47" s="718"/>
      <c r="AT47" s="718"/>
      <c r="AU47" s="718"/>
      <c r="AV47" s="718"/>
      <c r="AW47" s="866">
        <f>AW45/AW18</f>
        <v>0.50337452477381661</v>
      </c>
      <c r="AX47" s="718"/>
      <c r="AY47" s="718"/>
      <c r="AZ47" s="718"/>
      <c r="BA47" s="718"/>
      <c r="BB47" s="866">
        <f ca="1">BB45/BB18</f>
        <v>0.45105687883464818</v>
      </c>
      <c r="BC47" s="718"/>
      <c r="BD47" s="718"/>
      <c r="BE47" s="718"/>
      <c r="BF47" s="718"/>
      <c r="BG47" s="866">
        <f ca="1">BG45/BG18</f>
        <v>0.49861811130056888</v>
      </c>
      <c r="BH47" s="718"/>
      <c r="BI47" s="718"/>
      <c r="BJ47" s="718"/>
      <c r="BK47" s="718"/>
      <c r="BL47" s="866">
        <f ca="1">BL45/BL18</f>
        <v>0.53661606294823394</v>
      </c>
      <c r="BM47" s="718"/>
      <c r="BN47" s="718"/>
      <c r="BO47" s="718"/>
      <c r="BP47" s="718"/>
      <c r="BQ47" s="866">
        <f ca="1">BQ45/BQ18</f>
        <v>0.52759847271240301</v>
      </c>
      <c r="BR47" s="31"/>
      <c r="BS47" s="31"/>
      <c r="BT47" s="468"/>
      <c r="BU47" s="499" t="s">
        <v>87</v>
      </c>
      <c r="BV47" s="31"/>
      <c r="BW47" s="501"/>
      <c r="BX47" s="501"/>
      <c r="BY47" s="501"/>
      <c r="BZ47" s="501"/>
      <c r="CA47" s="506">
        <f>+CA35-CA41</f>
        <v>0</v>
      </c>
      <c r="CB47" s="501"/>
      <c r="CC47" s="501"/>
      <c r="CD47" s="501"/>
      <c r="CE47" s="501"/>
      <c r="CF47" s="506">
        <f>+CF35-CF41</f>
        <v>0</v>
      </c>
      <c r="CG47" s="501"/>
      <c r="CH47" s="501"/>
      <c r="CI47" s="501"/>
      <c r="CJ47" s="501"/>
      <c r="CK47" s="506">
        <f>+CK35-CK41</f>
        <v>0</v>
      </c>
      <c r="CL47" s="501"/>
      <c r="CM47" s="501"/>
      <c r="CN47" s="501"/>
      <c r="CO47" s="501"/>
      <c r="CP47" s="506">
        <f>+CP35-CP41</f>
        <v>0</v>
      </c>
      <c r="CQ47" s="501"/>
      <c r="CR47" s="501"/>
      <c r="CS47" s="501"/>
      <c r="CT47" s="501"/>
      <c r="CU47" s="506">
        <f>+CU35-CU41</f>
        <v>0</v>
      </c>
      <c r="CV47" s="501"/>
      <c r="CW47" s="501"/>
      <c r="CX47" s="501"/>
      <c r="CY47" s="501"/>
      <c r="CZ47" s="506">
        <f>+CZ35-CZ41</f>
        <v>0</v>
      </c>
      <c r="DA47" s="501"/>
      <c r="DB47" s="501"/>
      <c r="DC47" s="501"/>
      <c r="DD47" s="501"/>
      <c r="DE47" s="506">
        <f>+DE35-DE41</f>
        <v>-592</v>
      </c>
      <c r="DF47" s="501"/>
      <c r="DG47" s="501"/>
      <c r="DH47" s="501"/>
      <c r="DI47" s="501"/>
      <c r="DJ47" s="506">
        <f>+DJ35-DJ41</f>
        <v>595</v>
      </c>
      <c r="DK47" s="501"/>
      <c r="DL47" s="501"/>
      <c r="DM47" s="501"/>
      <c r="DN47" s="501"/>
      <c r="DO47" s="506">
        <f>+DO35-DO41</f>
        <v>1367</v>
      </c>
      <c r="DP47" s="501"/>
      <c r="DQ47" s="501"/>
      <c r="DR47" s="501"/>
      <c r="DS47" s="501"/>
      <c r="DT47" s="506">
        <f ca="1">+DT35-DT41</f>
        <v>0</v>
      </c>
      <c r="DU47" s="501"/>
      <c r="DV47" s="501"/>
      <c r="DW47" s="501"/>
      <c r="DX47" s="501"/>
      <c r="DY47" s="506">
        <f ca="1">+DY35-DY41</f>
        <v>0</v>
      </c>
      <c r="DZ47" s="501"/>
      <c r="EA47" s="501"/>
      <c r="EB47" s="501"/>
      <c r="EC47" s="501"/>
      <c r="ED47" s="506">
        <f ca="1">+ED35-ED41</f>
        <v>0</v>
      </c>
      <c r="EE47" s="501"/>
      <c r="EF47" s="501"/>
      <c r="EG47" s="501"/>
      <c r="EH47" s="501"/>
      <c r="EI47" s="506">
        <f ca="1">+EI35-EI41</f>
        <v>0</v>
      </c>
    </row>
    <row r="48" spans="2:139">
      <c r="B48" s="468"/>
      <c r="C48" s="232" t="s">
        <v>488</v>
      </c>
      <c r="D48" s="31"/>
      <c r="E48" s="512"/>
      <c r="F48" s="512"/>
      <c r="G48" s="512"/>
      <c r="H48" s="512"/>
      <c r="I48" s="513"/>
      <c r="J48" s="512"/>
      <c r="K48" s="512"/>
      <c r="L48" s="512"/>
      <c r="M48" s="512"/>
      <c r="N48" s="518">
        <f>N45/I45-1</f>
        <v>0</v>
      </c>
      <c r="O48" s="512"/>
      <c r="P48" s="512"/>
      <c r="Q48" s="512"/>
      <c r="R48" s="512"/>
      <c r="S48" s="518">
        <f>S45/N45-1</f>
        <v>0</v>
      </c>
      <c r="T48" s="512"/>
      <c r="U48" s="512"/>
      <c r="V48" s="512"/>
      <c r="W48" s="512"/>
      <c r="X48" s="518"/>
      <c r="Y48" s="512"/>
      <c r="Z48" s="512"/>
      <c r="AA48" s="512"/>
      <c r="AB48" s="512"/>
      <c r="AC48" s="518">
        <f>AC45/X45-1</f>
        <v>-0.30476190476190479</v>
      </c>
      <c r="AD48" s="512"/>
      <c r="AE48" s="512"/>
      <c r="AF48" s="512"/>
      <c r="AG48" s="512"/>
      <c r="AH48" s="518">
        <f>AH45/AC45-1</f>
        <v>-0.15068493150684925</v>
      </c>
      <c r="AI48" s="512"/>
      <c r="AJ48" s="512"/>
      <c r="AK48" s="512"/>
      <c r="AL48" s="512"/>
      <c r="AM48" s="518">
        <f>AM45/AH45-1</f>
        <v>0</v>
      </c>
      <c r="AN48" s="512"/>
      <c r="AO48" s="512"/>
      <c r="AP48" s="512"/>
      <c r="AQ48" s="512"/>
      <c r="AR48" s="518">
        <f>AR45/AM45-1</f>
        <v>1.6129032258064502E-2</v>
      </c>
      <c r="AS48" s="512"/>
      <c r="AT48" s="512"/>
      <c r="AU48" s="512"/>
      <c r="AV48" s="512"/>
      <c r="AW48" s="518">
        <f>AW45/AR45-1</f>
        <v>3.9682539682539764E-2</v>
      </c>
      <c r="AX48" s="512"/>
      <c r="AY48" s="512"/>
      <c r="AZ48" s="512"/>
      <c r="BA48" s="512"/>
      <c r="BB48" s="518">
        <f>BB45/AW45-1</f>
        <v>5.3435114503816772E-2</v>
      </c>
      <c r="BC48" s="512"/>
      <c r="BD48" s="512"/>
      <c r="BE48" s="512"/>
      <c r="BF48" s="512"/>
      <c r="BG48" s="518">
        <f>BG45/BB45-1</f>
        <v>5.0000000000000044E-2</v>
      </c>
      <c r="BH48" s="512"/>
      <c r="BI48" s="512"/>
      <c r="BJ48" s="512"/>
      <c r="BK48" s="512"/>
      <c r="BL48" s="518">
        <f>BL45/BG45-1</f>
        <v>5.0000000000000044E-2</v>
      </c>
      <c r="BM48" s="512"/>
      <c r="BN48" s="512"/>
      <c r="BO48" s="512"/>
      <c r="BP48" s="512"/>
      <c r="BQ48" s="518">
        <f>BQ45/BL45-1</f>
        <v>5.0000000000000044E-2</v>
      </c>
      <c r="BR48" s="31"/>
      <c r="BS48" s="31"/>
      <c r="BT48" s="468"/>
      <c r="BU48" s="248" t="s">
        <v>336</v>
      </c>
      <c r="BV48" s="525"/>
      <c r="BW48" s="509"/>
      <c r="BX48" s="509"/>
      <c r="BY48" s="509"/>
      <c r="BZ48" s="509"/>
      <c r="CA48" s="509">
        <f t="shared" ref="CA48:DE48" si="11">SUM(CA45:CA47)</f>
        <v>2821</v>
      </c>
      <c r="CB48" s="509">
        <f t="shared" si="11"/>
        <v>0</v>
      </c>
      <c r="CC48" s="509">
        <f t="shared" si="11"/>
        <v>0</v>
      </c>
      <c r="CD48" s="509">
        <f t="shared" si="11"/>
        <v>0</v>
      </c>
      <c r="CE48" s="509">
        <f t="shared" si="11"/>
        <v>0</v>
      </c>
      <c r="CF48" s="509">
        <f t="shared" si="11"/>
        <v>1918</v>
      </c>
      <c r="CG48" s="509">
        <f t="shared" si="11"/>
        <v>0</v>
      </c>
      <c r="CH48" s="509">
        <f t="shared" si="11"/>
        <v>0</v>
      </c>
      <c r="CI48" s="509">
        <f t="shared" si="11"/>
        <v>0</v>
      </c>
      <c r="CJ48" s="509">
        <f t="shared" si="11"/>
        <v>0</v>
      </c>
      <c r="CK48" s="509">
        <f t="shared" si="11"/>
        <v>811</v>
      </c>
      <c r="CL48" s="509">
        <f t="shared" si="11"/>
        <v>0</v>
      </c>
      <c r="CM48" s="509">
        <f t="shared" si="11"/>
        <v>0</v>
      </c>
      <c r="CN48" s="509">
        <f t="shared" si="11"/>
        <v>0</v>
      </c>
      <c r="CO48" s="509">
        <f t="shared" si="11"/>
        <v>0</v>
      </c>
      <c r="CP48" s="509">
        <f t="shared" si="11"/>
        <v>342</v>
      </c>
      <c r="CQ48" s="509">
        <f t="shared" si="11"/>
        <v>0</v>
      </c>
      <c r="CR48" s="509">
        <f t="shared" si="11"/>
        <v>0</v>
      </c>
      <c r="CS48" s="509">
        <f t="shared" si="11"/>
        <v>0</v>
      </c>
      <c r="CT48" s="509">
        <f t="shared" si="11"/>
        <v>0</v>
      </c>
      <c r="CU48" s="509">
        <f t="shared" si="11"/>
        <v>948</v>
      </c>
      <c r="CV48" s="509">
        <f t="shared" si="11"/>
        <v>0</v>
      </c>
      <c r="CW48" s="509">
        <f t="shared" si="11"/>
        <v>0</v>
      </c>
      <c r="CX48" s="509">
        <f t="shared" si="11"/>
        <v>0</v>
      </c>
      <c r="CY48" s="509">
        <f t="shared" si="11"/>
        <v>0</v>
      </c>
      <c r="CZ48" s="509">
        <f t="shared" si="11"/>
        <v>-1620</v>
      </c>
      <c r="DA48" s="509">
        <f t="shared" si="11"/>
        <v>0</v>
      </c>
      <c r="DB48" s="509">
        <f t="shared" si="11"/>
        <v>0</v>
      </c>
      <c r="DC48" s="509">
        <f t="shared" si="11"/>
        <v>0</v>
      </c>
      <c r="DD48" s="509">
        <f t="shared" si="11"/>
        <v>0</v>
      </c>
      <c r="DE48" s="509">
        <f t="shared" si="11"/>
        <v>-8</v>
      </c>
      <c r="DF48" s="509">
        <f t="shared" ref="DF48:DY48" si="12">SUM(DF45:DF47)</f>
        <v>0</v>
      </c>
      <c r="DG48" s="509">
        <f t="shared" si="12"/>
        <v>0</v>
      </c>
      <c r="DH48" s="509">
        <f t="shared" si="12"/>
        <v>0</v>
      </c>
      <c r="DI48" s="509">
        <f t="shared" si="12"/>
        <v>0</v>
      </c>
      <c r="DJ48" s="509">
        <f t="shared" si="12"/>
        <v>-108</v>
      </c>
      <c r="DK48" s="509">
        <f t="shared" si="12"/>
        <v>0</v>
      </c>
      <c r="DL48" s="509">
        <f t="shared" si="12"/>
        <v>0</v>
      </c>
      <c r="DM48" s="509">
        <f t="shared" si="12"/>
        <v>0</v>
      </c>
      <c r="DN48" s="509">
        <f t="shared" si="12"/>
        <v>0</v>
      </c>
      <c r="DO48" s="509">
        <f t="shared" si="12"/>
        <v>-104</v>
      </c>
      <c r="DP48" s="509">
        <f t="shared" si="12"/>
        <v>0</v>
      </c>
      <c r="DQ48" s="509">
        <f t="shared" si="12"/>
        <v>0</v>
      </c>
      <c r="DR48" s="509">
        <f t="shared" si="12"/>
        <v>0</v>
      </c>
      <c r="DS48" s="509">
        <f t="shared" si="12"/>
        <v>0</v>
      </c>
      <c r="DT48" s="509">
        <f t="shared" ca="1" si="12"/>
        <v>107.65576679205469</v>
      </c>
      <c r="DU48" s="509">
        <f t="shared" si="12"/>
        <v>0</v>
      </c>
      <c r="DV48" s="509">
        <f t="shared" si="12"/>
        <v>0</v>
      </c>
      <c r="DW48" s="509">
        <f t="shared" si="12"/>
        <v>0</v>
      </c>
      <c r="DX48" s="509">
        <f t="shared" si="12"/>
        <v>0</v>
      </c>
      <c r="DY48" s="509">
        <f t="shared" ca="1" si="12"/>
        <v>803.62816791791852</v>
      </c>
      <c r="DZ48" s="509">
        <f t="shared" ref="DZ48:EI48" si="13">SUM(DZ45:DZ47)</f>
        <v>0</v>
      </c>
      <c r="EA48" s="509">
        <f t="shared" si="13"/>
        <v>0</v>
      </c>
      <c r="EB48" s="509">
        <f t="shared" si="13"/>
        <v>0</v>
      </c>
      <c r="EC48" s="509">
        <f t="shared" si="13"/>
        <v>0</v>
      </c>
      <c r="ED48" s="509">
        <f t="shared" ca="1" si="13"/>
        <v>705.3249081899005</v>
      </c>
      <c r="EE48" s="509">
        <f t="shared" si="13"/>
        <v>0</v>
      </c>
      <c r="EF48" s="509">
        <f t="shared" si="13"/>
        <v>0</v>
      </c>
      <c r="EG48" s="509">
        <f t="shared" si="13"/>
        <v>0</v>
      </c>
      <c r="EH48" s="509">
        <f t="shared" si="13"/>
        <v>0</v>
      </c>
      <c r="EI48" s="510">
        <f t="shared" ca="1" si="13"/>
        <v>1367.4930593636273</v>
      </c>
    </row>
    <row r="49" spans="2:139">
      <c r="B49" s="31"/>
      <c r="C49" s="31"/>
      <c r="D49" s="31"/>
      <c r="I49" s="31"/>
      <c r="N49" s="31"/>
      <c r="S49" s="31"/>
      <c r="X49" s="31"/>
      <c r="AC49" s="31"/>
      <c r="AH49" s="31"/>
      <c r="AM49" s="528"/>
      <c r="AR49" s="528"/>
      <c r="AW49" s="528"/>
      <c r="BB49" s="528"/>
      <c r="BG49" s="528"/>
      <c r="BL49" s="528"/>
      <c r="BQ49" s="528"/>
      <c r="BR49" s="31"/>
      <c r="BS49" s="31"/>
      <c r="BT49" s="468"/>
      <c r="BU49" s="232" t="s">
        <v>338</v>
      </c>
      <c r="BV49" s="31"/>
      <c r="BW49" s="501"/>
      <c r="BX49" s="501"/>
      <c r="BY49" s="501"/>
      <c r="BZ49" s="501"/>
      <c r="CA49" s="506">
        <f>EXC!I159+EXC!I160</f>
        <v>-185</v>
      </c>
      <c r="CB49" s="501"/>
      <c r="CC49" s="501"/>
      <c r="CD49" s="501"/>
      <c r="CE49" s="501"/>
      <c r="CF49" s="506">
        <f>EXC!N159+EXC!N160</f>
        <v>-568</v>
      </c>
      <c r="CG49" s="501">
        <f>EXC!O159+EXC!O160</f>
        <v>-29</v>
      </c>
      <c r="CH49" s="501">
        <f>EXC!P159+EXC!P160</f>
        <v>-60</v>
      </c>
      <c r="CI49" s="501">
        <f>EXC!Q159+EXC!Q160</f>
        <v>-970</v>
      </c>
      <c r="CJ49" s="501">
        <f>EXC!R159+EXC!R160</f>
        <v>498</v>
      </c>
      <c r="CK49" s="506">
        <f>EXC!S159+EXC!S160</f>
        <v>-561</v>
      </c>
      <c r="CL49" s="501">
        <f>EXC!T159+EXC!T160</f>
        <v>856</v>
      </c>
      <c r="CM49" s="501">
        <f>EXC!U159+EXC!U160</f>
        <v>-24</v>
      </c>
      <c r="CN49" s="501">
        <f>EXC!V158+EXC!V159</f>
        <v>-407</v>
      </c>
      <c r="CO49" s="501">
        <f>EXC!W159+EXC!W160</f>
        <v>393</v>
      </c>
      <c r="CP49" s="506">
        <f>EXC!X159+EXC!X160</f>
        <v>1213</v>
      </c>
      <c r="CQ49" s="501">
        <f>EXC!Y159+EXC!Y160</f>
        <v>-24</v>
      </c>
      <c r="CR49" s="501">
        <f>EXC!Z159+EXC!Z160</f>
        <v>-7</v>
      </c>
      <c r="CS49" s="501">
        <f>EXC!AA159+EXC!AA160</f>
        <v>-52</v>
      </c>
      <c r="CT49" s="501">
        <f>EXC!AB159+EXC!AB160</f>
        <v>84</v>
      </c>
      <c r="CU49" s="506">
        <f>EXC!AC159+EXC!AC160</f>
        <v>1</v>
      </c>
      <c r="CV49" s="501">
        <f>EXC!AD159+EXC!AD160</f>
        <v>206</v>
      </c>
      <c r="CW49" s="501">
        <f>EXC!AE159+EXC!AE160</f>
        <v>108</v>
      </c>
      <c r="CX49" s="501">
        <f>EXC!AF159+EXC!AF160</f>
        <v>424</v>
      </c>
      <c r="CY49" s="501">
        <f>EXC!AG159+EXC!AG160</f>
        <v>740</v>
      </c>
      <c r="CZ49" s="506">
        <f>EXC!AH159+EXC!AH160</f>
        <v>1478</v>
      </c>
      <c r="DA49" s="501">
        <f>EXC!AI159+EXC!AI160</f>
        <v>33</v>
      </c>
      <c r="DB49" s="501">
        <f>EXC!AJ159+EXC!AJ160</f>
        <v>-119</v>
      </c>
      <c r="DC49" s="501">
        <f>EXC!AK159+EXC!AK160</f>
        <v>-160</v>
      </c>
      <c r="DD49" s="501">
        <f>EXC!AL159+EXC!AL160</f>
        <v>48</v>
      </c>
      <c r="DE49" s="506">
        <f>EXC!AM159+EXC!AM160</f>
        <v>-198</v>
      </c>
      <c r="DF49" s="501">
        <f>EXC!AN159+EXC!AN160</f>
        <v>-6346</v>
      </c>
      <c r="DG49" s="501">
        <f>EXC!AO159+EXC!AO160</f>
        <v>-42</v>
      </c>
      <c r="DH49" s="501">
        <f>EXC!AP159+EXC!AP160</f>
        <v>-463</v>
      </c>
      <c r="DI49" s="501">
        <f>EXC!AQ159+EXC!AQ160</f>
        <v>-99</v>
      </c>
      <c r="DJ49" s="506">
        <f>EXC!AR159+EXC!AR160</f>
        <v>-6950</v>
      </c>
      <c r="DK49" s="501">
        <f>EXC!AS159+EXC!AS160</f>
        <v>-297</v>
      </c>
      <c r="DL49" s="501">
        <f>EXC!AT159+EXC!AT160</f>
        <v>162</v>
      </c>
      <c r="DM49" s="501">
        <f>EXC!AU159+EXC!AU160</f>
        <v>-119</v>
      </c>
      <c r="DN49" s="501">
        <f>EXC!AV159+EXC!AV160</f>
        <v>-96</v>
      </c>
      <c r="DO49" s="506">
        <f>EXC!AW159+EXC!AW160</f>
        <v>-350</v>
      </c>
      <c r="DP49" s="501">
        <f>EXC!AX159+EXC!AX160</f>
        <v>0</v>
      </c>
      <c r="DQ49" s="501">
        <f>EXC!AY159+EXC!AY160</f>
        <v>0</v>
      </c>
      <c r="DR49" s="501">
        <f>EXC!AZ159+EXC!AZ160</f>
        <v>0</v>
      </c>
      <c r="DS49" s="501">
        <f>EXC!BA159+EXC!BA160</f>
        <v>0</v>
      </c>
      <c r="DT49" s="506">
        <f>EXC!BB159+EXC!BB160</f>
        <v>0</v>
      </c>
      <c r="DU49" s="501">
        <f>EXC!BC159+EXC!BC160</f>
        <v>0</v>
      </c>
      <c r="DV49" s="501">
        <f>EXC!BD159+EXC!BD160</f>
        <v>0</v>
      </c>
      <c r="DW49" s="501">
        <f>EXC!BE159+EXC!BE160</f>
        <v>0</v>
      </c>
      <c r="DX49" s="501">
        <f>EXC!BF159+EXC!BF160</f>
        <v>0</v>
      </c>
      <c r="DY49" s="506">
        <f>EXC!BG159+EXC!BG160</f>
        <v>0</v>
      </c>
      <c r="DZ49" s="501">
        <f>EXC!BH159+EXC!BH160</f>
        <v>0</v>
      </c>
      <c r="EA49" s="501">
        <f>EXC!BI159+EXC!BI160</f>
        <v>0</v>
      </c>
      <c r="EB49" s="501">
        <f>EXC!BJ159+EXC!BJ160</f>
        <v>0</v>
      </c>
      <c r="EC49" s="501">
        <f>EXC!BK159+EXC!BK160</f>
        <v>0</v>
      </c>
      <c r="ED49" s="506">
        <f>EXC!BL159+EXC!BL160</f>
        <v>0</v>
      </c>
      <c r="EE49" s="501">
        <f>EXC!BM159+EXC!BM160</f>
        <v>0</v>
      </c>
      <c r="EF49" s="501">
        <f>EXC!BN159+EXC!BN160</f>
        <v>0</v>
      </c>
      <c r="EG49" s="501">
        <f>EXC!BO159+EXC!BO160</f>
        <v>0</v>
      </c>
      <c r="EH49" s="501">
        <f>EXC!BP159+EXC!BP160</f>
        <v>0</v>
      </c>
      <c r="EI49" s="506">
        <f>EXC!BQ159+EXC!BQ160</f>
        <v>0</v>
      </c>
    </row>
    <row r="50" spans="2:139">
      <c r="B50" s="468"/>
      <c r="C50" s="397" t="s">
        <v>310</v>
      </c>
      <c r="D50" s="31"/>
      <c r="E50" s="512"/>
      <c r="F50" s="512"/>
      <c r="G50" s="512"/>
      <c r="H50" s="512"/>
      <c r="I50" s="506">
        <f>EXC!I48</f>
        <v>660</v>
      </c>
      <c r="J50" s="512"/>
      <c r="K50" s="512"/>
      <c r="L50" s="512"/>
      <c r="M50" s="512"/>
      <c r="N50" s="506">
        <f>EXC!N48</f>
        <v>662</v>
      </c>
      <c r="O50" s="512"/>
      <c r="P50" s="512"/>
      <c r="Q50" s="512"/>
      <c r="R50" s="512"/>
      <c r="S50" s="506">
        <f>EXC!S48</f>
        <v>663</v>
      </c>
      <c r="T50" s="512"/>
      <c r="U50" s="512"/>
      <c r="V50" s="512"/>
      <c r="W50" s="512"/>
      <c r="X50" s="506">
        <f>EXC!X48</f>
        <v>855</v>
      </c>
      <c r="Y50" s="512"/>
      <c r="Z50" s="512"/>
      <c r="AA50" s="512"/>
      <c r="AB50" s="512"/>
      <c r="AC50" s="506">
        <f>EXC!AC48</f>
        <v>857</v>
      </c>
      <c r="AD50" s="512"/>
      <c r="AE50" s="512"/>
      <c r="AF50" s="512"/>
      <c r="AG50" s="512"/>
      <c r="AH50" s="506">
        <f>EXC!AH48</f>
        <v>860</v>
      </c>
      <c r="AI50" s="512"/>
      <c r="AJ50" s="512"/>
      <c r="AK50" s="512"/>
      <c r="AL50" s="512"/>
      <c r="AM50" s="506">
        <f>EXC!AM48</f>
        <v>920</v>
      </c>
      <c r="AN50" s="512"/>
      <c r="AO50" s="512"/>
      <c r="AP50" s="512"/>
      <c r="AQ50" s="512"/>
      <c r="AR50" s="506">
        <f>EXC!AR48</f>
        <v>924</v>
      </c>
      <c r="AS50" s="512"/>
      <c r="AT50" s="512"/>
      <c r="AU50" s="512"/>
      <c r="AV50" s="512"/>
      <c r="AW50" s="506">
        <f>EXC!AW48</f>
        <v>963</v>
      </c>
      <c r="AX50" s="512"/>
      <c r="AY50" s="512"/>
      <c r="AZ50" s="512"/>
      <c r="BA50" s="512"/>
      <c r="BB50" s="506">
        <f>EXC!BB48</f>
        <v>963</v>
      </c>
      <c r="BC50" s="512"/>
      <c r="BD50" s="512"/>
      <c r="BE50" s="512"/>
      <c r="BF50" s="512"/>
      <c r="BG50" s="506">
        <f>EXC!BG48</f>
        <v>963</v>
      </c>
      <c r="BH50" s="512"/>
      <c r="BI50" s="512"/>
      <c r="BJ50" s="512"/>
      <c r="BK50" s="512"/>
      <c r="BL50" s="506">
        <f>EXC!BL48</f>
        <v>963</v>
      </c>
      <c r="BM50" s="512"/>
      <c r="BN50" s="512"/>
      <c r="BO50" s="512"/>
      <c r="BP50" s="512"/>
      <c r="BQ50" s="506">
        <f>EXC!BQ48</f>
        <v>963</v>
      </c>
      <c r="BR50" s="31"/>
      <c r="BS50" s="31"/>
      <c r="BT50" s="468"/>
      <c r="BU50" s="232" t="s">
        <v>220</v>
      </c>
      <c r="BV50" s="31"/>
      <c r="BW50" s="501"/>
      <c r="BX50" s="501"/>
      <c r="BY50" s="501"/>
      <c r="BZ50" s="501"/>
      <c r="CA50" s="506">
        <f>-EXC!I167</f>
        <v>1385</v>
      </c>
      <c r="CB50" s="519"/>
      <c r="CC50" s="519"/>
      <c r="CD50" s="519"/>
      <c r="CE50" s="519"/>
      <c r="CF50" s="506">
        <f>-EXC!N167</f>
        <v>1389</v>
      </c>
      <c r="CG50" s="519">
        <f>-EXC!O167</f>
        <v>348</v>
      </c>
      <c r="CH50" s="519">
        <f>-EXC!P167</f>
        <v>347</v>
      </c>
      <c r="CI50" s="519">
        <f>-EXC!Q167</f>
        <v>349</v>
      </c>
      <c r="CJ50" s="519">
        <f>-EXC!R167</f>
        <v>349</v>
      </c>
      <c r="CK50" s="506">
        <f>-EXC!S167</f>
        <v>1393</v>
      </c>
      <c r="CL50" s="519">
        <f>-EXC!T167</f>
        <v>350</v>
      </c>
      <c r="CM50" s="519">
        <f>-EXC!U167</f>
        <v>474</v>
      </c>
      <c r="CN50" s="519">
        <f>-EXC!V166</f>
        <v>-19</v>
      </c>
      <c r="CO50" s="519">
        <f>-EXC!W167</f>
        <v>439</v>
      </c>
      <c r="CP50" s="506">
        <f>-EXC!X167</f>
        <v>1716</v>
      </c>
      <c r="CQ50" s="519">
        <f>-EXC!Y167</f>
        <v>450</v>
      </c>
      <c r="CR50" s="519">
        <f>-EXC!Z167</f>
        <v>266</v>
      </c>
      <c r="CS50" s="519">
        <f>-EXC!AA167</f>
        <v>265</v>
      </c>
      <c r="CT50" s="519">
        <f>-EXC!AB167</f>
        <v>268</v>
      </c>
      <c r="CU50" s="506">
        <f>-EXC!AC167</f>
        <v>1249</v>
      </c>
      <c r="CV50" s="519">
        <f>-EXC!AD167</f>
        <v>266</v>
      </c>
      <c r="CW50" s="519">
        <f>-EXC!AE167</f>
        <v>267</v>
      </c>
      <c r="CX50" s="519">
        <f>-EXC!AF167</f>
        <v>266</v>
      </c>
      <c r="CY50" s="519">
        <f>-EXC!AG167</f>
        <v>266</v>
      </c>
      <c r="CZ50" s="506">
        <f>-EXC!AH167</f>
        <v>1065</v>
      </c>
      <c r="DA50" s="519">
        <f>-EXC!AI167</f>
        <v>269</v>
      </c>
      <c r="DB50" s="519">
        <f>-EXC!AJ167</f>
        <v>268</v>
      </c>
      <c r="DC50" s="519">
        <f>-EXC!AK167</f>
        <v>282</v>
      </c>
      <c r="DD50" s="519">
        <f>-EXC!AL167</f>
        <v>286</v>
      </c>
      <c r="DE50" s="506">
        <f>-EXC!AM167</f>
        <v>1105</v>
      </c>
      <c r="DF50" s="519">
        <f>-EXC!AN167</f>
        <v>287</v>
      </c>
      <c r="DG50" s="519">
        <f>-EXC!AO167</f>
        <v>295</v>
      </c>
      <c r="DH50" s="519">
        <f>-EXC!AP167</f>
        <v>291</v>
      </c>
      <c r="DI50" s="519">
        <f>-EXC!AQ167</f>
        <v>293</v>
      </c>
      <c r="DJ50" s="506">
        <f>-EXC!AR167</f>
        <v>1166</v>
      </c>
      <c r="DK50" s="519">
        <f>-EXC!AS167</f>
        <v>303</v>
      </c>
      <c r="DL50" s="519">
        <f>-EXC!AT167</f>
        <v>304</v>
      </c>
      <c r="DM50" s="519">
        <f>-EXC!AU167</f>
        <v>314</v>
      </c>
      <c r="DN50" s="519">
        <f>-EXC!AV167</f>
        <v>315</v>
      </c>
      <c r="DO50" s="506">
        <f>-EXC!AW167</f>
        <v>1236</v>
      </c>
      <c r="DP50" s="519">
        <f>-EXC!AX167</f>
        <v>332.23499999999996</v>
      </c>
      <c r="DQ50" s="519">
        <f>-EXC!AY167</f>
        <v>332.23499999999996</v>
      </c>
      <c r="DR50" s="519">
        <f>-EXC!AZ167</f>
        <v>332.23499999999996</v>
      </c>
      <c r="DS50" s="519">
        <f>-EXC!BA167</f>
        <v>332.23499999999996</v>
      </c>
      <c r="DT50" s="506">
        <f>-EXC!BB167</f>
        <v>1328.9399999999998</v>
      </c>
      <c r="DU50" s="519">
        <f>-EXC!BC167</f>
        <v>348.84674999999999</v>
      </c>
      <c r="DV50" s="519">
        <f>-EXC!BD167</f>
        <v>348.84674999999999</v>
      </c>
      <c r="DW50" s="519">
        <f>-EXC!BE167</f>
        <v>348.84674999999999</v>
      </c>
      <c r="DX50" s="519">
        <f>-EXC!BF167</f>
        <v>348.84674999999999</v>
      </c>
      <c r="DY50" s="506">
        <f>-EXC!BG167</f>
        <v>1395.3869999999999</v>
      </c>
      <c r="DZ50" s="519">
        <f>-EXC!BH167</f>
        <v>366.28908749999999</v>
      </c>
      <c r="EA50" s="519">
        <f>-EXC!BI167</f>
        <v>366.28908749999999</v>
      </c>
      <c r="EB50" s="519">
        <f>-EXC!BJ167</f>
        <v>366.28908749999999</v>
      </c>
      <c r="EC50" s="519">
        <f>-EXC!BK167</f>
        <v>366.28908749999999</v>
      </c>
      <c r="ED50" s="506">
        <f>-EXC!BL167</f>
        <v>1465.15635</v>
      </c>
      <c r="EE50" s="519">
        <f>-EXC!BM167</f>
        <v>384.60354187499996</v>
      </c>
      <c r="EF50" s="519">
        <f>-EXC!BN167</f>
        <v>384.60354187499996</v>
      </c>
      <c r="EG50" s="519">
        <f>-EXC!BO167</f>
        <v>384.60354187499996</v>
      </c>
      <c r="EH50" s="519">
        <f>-EXC!BP167</f>
        <v>384.60354187499996</v>
      </c>
      <c r="EI50" s="506">
        <f>-EXC!BQ167</f>
        <v>1538.4141674999998</v>
      </c>
    </row>
    <row r="51" spans="2:139">
      <c r="B51" s="31"/>
      <c r="C51" s="522" t="s">
        <v>95</v>
      </c>
      <c r="D51" s="31"/>
      <c r="I51" s="506">
        <f>EXC!I49</f>
        <v>659</v>
      </c>
      <c r="N51" s="506">
        <f>EXC!N49</f>
        <v>661</v>
      </c>
      <c r="S51" s="506">
        <f>EXC!S49</f>
        <v>663</v>
      </c>
      <c r="X51" s="506">
        <f>EXC!X49</f>
        <v>816</v>
      </c>
      <c r="AC51" s="506">
        <f>EXC!AC49</f>
        <v>856</v>
      </c>
      <c r="AH51" s="506">
        <f>EXC!AH49</f>
        <v>860</v>
      </c>
      <c r="AM51" s="506">
        <f>EXC!AM49</f>
        <v>890</v>
      </c>
      <c r="AR51" s="506">
        <f>EXC!AR49</f>
        <v>924</v>
      </c>
      <c r="AW51" s="506">
        <f>EXC!AW49</f>
        <v>947</v>
      </c>
      <c r="BB51" s="506">
        <f>EXC!BB49</f>
        <v>963</v>
      </c>
      <c r="BG51" s="506">
        <f>EXC!BG49</f>
        <v>963</v>
      </c>
      <c r="BL51" s="506">
        <f>EXC!BL49</f>
        <v>963</v>
      </c>
      <c r="BQ51" s="506">
        <f>EXC!BQ49</f>
        <v>963</v>
      </c>
      <c r="BR51" s="31"/>
      <c r="BS51" s="31"/>
      <c r="BT51" s="468"/>
      <c r="BU51" s="247" t="s">
        <v>339</v>
      </c>
      <c r="BV51" s="525"/>
      <c r="BW51" s="509">
        <f t="shared" ref="BW51:DE51" si="14">+BW48+BW49-BW50</f>
        <v>0</v>
      </c>
      <c r="BX51" s="509">
        <f t="shared" si="14"/>
        <v>0</v>
      </c>
      <c r="BY51" s="509">
        <f t="shared" si="14"/>
        <v>0</v>
      </c>
      <c r="BZ51" s="509">
        <f t="shared" si="14"/>
        <v>0</v>
      </c>
      <c r="CA51" s="509">
        <f>+CA48+CA49-CA50</f>
        <v>1251</v>
      </c>
      <c r="CB51" s="509">
        <f t="shared" si="14"/>
        <v>0</v>
      </c>
      <c r="CC51" s="509">
        <f t="shared" si="14"/>
        <v>0</v>
      </c>
      <c r="CD51" s="509">
        <f t="shared" si="14"/>
        <v>0</v>
      </c>
      <c r="CE51" s="509">
        <f t="shared" si="14"/>
        <v>0</v>
      </c>
      <c r="CF51" s="509">
        <f t="shared" si="14"/>
        <v>-39</v>
      </c>
      <c r="CG51" s="509">
        <f t="shared" si="14"/>
        <v>-377</v>
      </c>
      <c r="CH51" s="509">
        <f t="shared" si="14"/>
        <v>-407</v>
      </c>
      <c r="CI51" s="509">
        <f t="shared" si="14"/>
        <v>-1319</v>
      </c>
      <c r="CJ51" s="509">
        <f t="shared" si="14"/>
        <v>149</v>
      </c>
      <c r="CK51" s="509">
        <f t="shared" si="14"/>
        <v>-1143</v>
      </c>
      <c r="CL51" s="509">
        <f t="shared" si="14"/>
        <v>506</v>
      </c>
      <c r="CM51" s="509">
        <f t="shared" si="14"/>
        <v>-498</v>
      </c>
      <c r="CN51" s="509">
        <f t="shared" si="14"/>
        <v>-388</v>
      </c>
      <c r="CO51" s="509">
        <f t="shared" si="14"/>
        <v>-46</v>
      </c>
      <c r="CP51" s="509">
        <f t="shared" si="14"/>
        <v>-161</v>
      </c>
      <c r="CQ51" s="509">
        <f t="shared" si="14"/>
        <v>-474</v>
      </c>
      <c r="CR51" s="509">
        <f t="shared" si="14"/>
        <v>-273</v>
      </c>
      <c r="CS51" s="509">
        <f t="shared" si="14"/>
        <v>-317</v>
      </c>
      <c r="CT51" s="509">
        <f t="shared" si="14"/>
        <v>-184</v>
      </c>
      <c r="CU51" s="509">
        <f t="shared" si="14"/>
        <v>-300</v>
      </c>
      <c r="CV51" s="509">
        <f t="shared" si="14"/>
        <v>-60</v>
      </c>
      <c r="CW51" s="509">
        <f t="shared" si="14"/>
        <v>-159</v>
      </c>
      <c r="CX51" s="509">
        <f t="shared" si="14"/>
        <v>158</v>
      </c>
      <c r="CY51" s="509">
        <f t="shared" si="14"/>
        <v>474</v>
      </c>
      <c r="CZ51" s="509">
        <f t="shared" si="14"/>
        <v>-1207</v>
      </c>
      <c r="DA51" s="509">
        <f t="shared" si="14"/>
        <v>-236</v>
      </c>
      <c r="DB51" s="509">
        <f t="shared" si="14"/>
        <v>-387</v>
      </c>
      <c r="DC51" s="509">
        <f t="shared" si="14"/>
        <v>-442</v>
      </c>
      <c r="DD51" s="509">
        <f t="shared" si="14"/>
        <v>-238</v>
      </c>
      <c r="DE51" s="509">
        <f t="shared" si="14"/>
        <v>-1311</v>
      </c>
      <c r="DF51" s="509">
        <f t="shared" ref="DF51:DY51" si="15">+DF48+DF49-DF50</f>
        <v>-6633</v>
      </c>
      <c r="DG51" s="509">
        <f t="shared" si="15"/>
        <v>-337</v>
      </c>
      <c r="DH51" s="509">
        <f t="shared" si="15"/>
        <v>-754</v>
      </c>
      <c r="DI51" s="509">
        <f t="shared" si="15"/>
        <v>-392</v>
      </c>
      <c r="DJ51" s="509">
        <f t="shared" si="15"/>
        <v>-8224</v>
      </c>
      <c r="DK51" s="509">
        <f t="shared" si="15"/>
        <v>-600</v>
      </c>
      <c r="DL51" s="509">
        <f t="shared" si="15"/>
        <v>-142</v>
      </c>
      <c r="DM51" s="509">
        <f t="shared" si="15"/>
        <v>-433</v>
      </c>
      <c r="DN51" s="509">
        <f t="shared" si="15"/>
        <v>-411</v>
      </c>
      <c r="DO51" s="509">
        <f t="shared" si="15"/>
        <v>-1690</v>
      </c>
      <c r="DP51" s="509">
        <f t="shared" si="15"/>
        <v>-332.23499999999996</v>
      </c>
      <c r="DQ51" s="509">
        <f t="shared" si="15"/>
        <v>-332.23499999999996</v>
      </c>
      <c r="DR51" s="509">
        <f t="shared" si="15"/>
        <v>-332.23499999999996</v>
      </c>
      <c r="DS51" s="509">
        <f t="shared" si="15"/>
        <v>-332.23499999999996</v>
      </c>
      <c r="DT51" s="509">
        <f t="shared" ca="1" si="15"/>
        <v>-1221.2842332079451</v>
      </c>
      <c r="DU51" s="509">
        <f t="shared" si="15"/>
        <v>-348.84674999999999</v>
      </c>
      <c r="DV51" s="509">
        <f t="shared" si="15"/>
        <v>-348.84674999999999</v>
      </c>
      <c r="DW51" s="509">
        <f t="shared" si="15"/>
        <v>-348.84674999999999</v>
      </c>
      <c r="DX51" s="509">
        <f t="shared" si="15"/>
        <v>-348.84674999999999</v>
      </c>
      <c r="DY51" s="509">
        <f t="shared" ca="1" si="15"/>
        <v>-591.75883208208143</v>
      </c>
      <c r="DZ51" s="509">
        <f t="shared" ref="DZ51:EI51" si="16">+DZ48+DZ49-DZ50</f>
        <v>-366.28908749999999</v>
      </c>
      <c r="EA51" s="509">
        <f t="shared" si="16"/>
        <v>-366.28908749999999</v>
      </c>
      <c r="EB51" s="509">
        <f t="shared" si="16"/>
        <v>-366.28908749999999</v>
      </c>
      <c r="EC51" s="509">
        <f t="shared" si="16"/>
        <v>-366.28908749999999</v>
      </c>
      <c r="ED51" s="509">
        <f t="shared" ca="1" si="16"/>
        <v>-759.83144181009948</v>
      </c>
      <c r="EE51" s="509">
        <f t="shared" si="16"/>
        <v>-384.60354187499996</v>
      </c>
      <c r="EF51" s="509">
        <f t="shared" si="16"/>
        <v>-384.60354187499996</v>
      </c>
      <c r="EG51" s="509">
        <f t="shared" si="16"/>
        <v>-384.60354187499996</v>
      </c>
      <c r="EH51" s="509">
        <f t="shared" si="16"/>
        <v>-384.60354187499996</v>
      </c>
      <c r="EI51" s="510">
        <f t="shared" ca="1" si="16"/>
        <v>-170.9211081363726</v>
      </c>
    </row>
    <row r="52" spans="2:139">
      <c r="B52" s="31"/>
      <c r="C52" s="397" t="s">
        <v>109</v>
      </c>
      <c r="D52" s="31"/>
      <c r="I52" s="506">
        <f>EXC!I50</f>
        <v>662</v>
      </c>
      <c r="N52" s="506">
        <f>EXC!N50</f>
        <v>663</v>
      </c>
      <c r="S52" s="506">
        <f>EXC!S50</f>
        <v>665</v>
      </c>
      <c r="X52" s="506">
        <f>EXC!X50</f>
        <v>819</v>
      </c>
      <c r="AC52" s="506">
        <f>EXC!AC50</f>
        <v>860</v>
      </c>
      <c r="AH52" s="506">
        <f>EXC!AH50</f>
        <v>864</v>
      </c>
      <c r="AM52" s="506">
        <f>EXC!AM50</f>
        <v>893</v>
      </c>
      <c r="AR52" s="506">
        <f>EXC!AR50</f>
        <v>927</v>
      </c>
      <c r="AW52" s="506">
        <f>EXC!AW50</f>
        <v>949</v>
      </c>
      <c r="BB52" s="506">
        <f>EXC!BB50</f>
        <v>966</v>
      </c>
      <c r="BG52" s="506">
        <f>EXC!BG50</f>
        <v>966</v>
      </c>
      <c r="BL52" s="506">
        <f>EXC!BL50</f>
        <v>966</v>
      </c>
      <c r="BQ52" s="506">
        <f>EXC!BQ50</f>
        <v>966</v>
      </c>
      <c r="BR52" s="31"/>
      <c r="BS52" s="31"/>
      <c r="BT52" s="31"/>
      <c r="BU52" s="31"/>
      <c r="BV52" s="31"/>
      <c r="CA52" s="31"/>
      <c r="CF52" s="31"/>
      <c r="CK52" s="31"/>
      <c r="CP52" s="31"/>
      <c r="CU52" s="31"/>
      <c r="CZ52" s="31"/>
      <c r="DE52" s="31"/>
      <c r="DJ52" s="31"/>
      <c r="DO52" s="31"/>
      <c r="DT52" s="31"/>
      <c r="DY52" s="31"/>
      <c r="ED52" s="31"/>
      <c r="EI52" s="31"/>
    </row>
    <row r="53" spans="2:139">
      <c r="B53" s="31"/>
      <c r="C53" s="31"/>
      <c r="D53" s="31"/>
      <c r="I53" s="31"/>
      <c r="N53" s="31"/>
      <c r="S53" s="31"/>
      <c r="X53" s="31"/>
      <c r="AC53" s="31"/>
      <c r="AH53" s="31"/>
      <c r="AM53" s="31"/>
      <c r="AR53" s="31"/>
      <c r="AW53" s="31"/>
      <c r="BB53" s="31"/>
      <c r="BG53" s="31"/>
      <c r="BL53" s="31"/>
      <c r="BQ53" s="31"/>
      <c r="BR53" s="31"/>
      <c r="BS53" s="31"/>
      <c r="BT53" s="31"/>
      <c r="BU53" s="34" t="s">
        <v>344</v>
      </c>
      <c r="BV53" s="31"/>
      <c r="CA53" s="31"/>
      <c r="CF53" s="31"/>
      <c r="CK53" s="31"/>
      <c r="CP53" s="31"/>
      <c r="CU53" s="31"/>
      <c r="CZ53" s="1927"/>
      <c r="DE53" s="1927"/>
      <c r="DJ53" s="31"/>
      <c r="DO53" s="31"/>
      <c r="DT53" s="31"/>
      <c r="DY53" s="31"/>
      <c r="ED53" s="31"/>
      <c r="EI53" s="31"/>
    </row>
    <row r="54" spans="2:139">
      <c r="B54" s="31"/>
      <c r="C54" s="31"/>
      <c r="D54" s="31"/>
      <c r="I54" s="31"/>
      <c r="N54" s="31"/>
      <c r="S54" s="31"/>
      <c r="X54" s="31"/>
      <c r="AC54" s="31"/>
      <c r="AH54" s="31"/>
      <c r="AM54" s="31"/>
      <c r="AR54" s="31"/>
      <c r="AW54" s="31"/>
      <c r="BB54" s="31"/>
      <c r="BG54" s="31"/>
      <c r="BL54" s="31"/>
      <c r="BQ54" s="31"/>
      <c r="BR54" s="31"/>
      <c r="BS54" s="31"/>
      <c r="BT54" s="31"/>
      <c r="BU54" s="31" t="s">
        <v>345</v>
      </c>
      <c r="BV54" s="31"/>
      <c r="CA54" s="506">
        <f>EXC!I166</f>
        <v>42</v>
      </c>
      <c r="CB54" s="519"/>
      <c r="CC54" s="519"/>
      <c r="CD54" s="519"/>
      <c r="CE54" s="519"/>
      <c r="CF54" s="506">
        <f>EXC!N166</f>
        <v>48</v>
      </c>
      <c r="CG54" s="519">
        <f>EXC!O166</f>
        <v>8</v>
      </c>
      <c r="CH54" s="519">
        <f>EXC!P166</f>
        <v>7</v>
      </c>
      <c r="CI54" s="519">
        <f>EXC!Q166</f>
        <v>11</v>
      </c>
      <c r="CJ54" s="519">
        <f>EXC!R166</f>
        <v>12</v>
      </c>
      <c r="CK54" s="506">
        <f>EXC!S166</f>
        <v>38</v>
      </c>
      <c r="CL54" s="519">
        <f>EXC!T166</f>
        <v>12</v>
      </c>
      <c r="CM54" s="519">
        <f>EXC!U166</f>
        <v>30</v>
      </c>
      <c r="CN54" s="519">
        <f>EXC!V165</f>
        <v>-318</v>
      </c>
      <c r="CO54" s="519">
        <f>EXC!W166</f>
        <v>11</v>
      </c>
      <c r="CP54" s="506">
        <f>EXC!X166</f>
        <v>72</v>
      </c>
      <c r="CQ54" s="519">
        <f>EXC!Y166</f>
        <v>12</v>
      </c>
      <c r="CR54" s="519">
        <f>EXC!Z166</f>
        <v>20</v>
      </c>
      <c r="CS54" s="519">
        <f>EXC!AA166</f>
        <v>8</v>
      </c>
      <c r="CT54" s="519">
        <f>EXC!AB166</f>
        <v>7</v>
      </c>
      <c r="CU54" s="506">
        <f>EXC!AC166</f>
        <v>47</v>
      </c>
      <c r="CV54" s="519">
        <f>EXC!AD166</f>
        <v>7</v>
      </c>
      <c r="CW54" s="519">
        <f>EXC!AE166</f>
        <v>11</v>
      </c>
      <c r="CX54" s="519">
        <f>EXC!AF166</f>
        <v>7</v>
      </c>
      <c r="CY54" s="519">
        <f>EXC!AG166</f>
        <v>10</v>
      </c>
      <c r="CZ54" s="506">
        <f>EXC!AH166</f>
        <v>35</v>
      </c>
      <c r="DA54" s="519">
        <f>EXC!AI166</f>
        <v>8</v>
      </c>
      <c r="DB54" s="519">
        <f>EXC!AJ166</f>
        <v>8</v>
      </c>
      <c r="DC54" s="519">
        <f>EXC!AK166</f>
        <v>1876</v>
      </c>
      <c r="DD54" s="519">
        <f>EXC!AL166</f>
        <v>8</v>
      </c>
      <c r="DE54" s="506">
        <f>EXC!AM166</f>
        <v>1900</v>
      </c>
      <c r="DF54" s="519">
        <f>EXC!AN166</f>
        <v>9</v>
      </c>
      <c r="DG54" s="519">
        <f>EXC!AO166</f>
        <v>8</v>
      </c>
      <c r="DH54" s="519">
        <f>EXC!AP166</f>
        <v>19</v>
      </c>
      <c r="DI54" s="519">
        <f>EXC!AQ166</f>
        <v>19</v>
      </c>
      <c r="DJ54" s="506">
        <f>EXC!AR166</f>
        <v>55</v>
      </c>
      <c r="DK54" s="519">
        <f>EXC!AS166</f>
        <v>12</v>
      </c>
      <c r="DL54" s="519">
        <f>EXC!AT166</f>
        <v>1181</v>
      </c>
      <c r="DM54" s="519">
        <f>EXC!AU166</f>
        <v>18</v>
      </c>
      <c r="DN54" s="519">
        <f>EXC!AV166</f>
        <v>89</v>
      </c>
      <c r="DO54" s="506">
        <f>EXC!AW166</f>
        <v>1300</v>
      </c>
      <c r="DP54" s="519">
        <f>EXC!AX166</f>
        <v>0</v>
      </c>
      <c r="DQ54" s="519">
        <f>EXC!AY166</f>
        <v>0</v>
      </c>
      <c r="DR54" s="519">
        <f>EXC!AZ166</f>
        <v>0</v>
      </c>
      <c r="DS54" s="519">
        <f>EXC!BA166</f>
        <v>0</v>
      </c>
      <c r="DT54" s="506">
        <f>EXC!BB166</f>
        <v>0</v>
      </c>
      <c r="DU54" s="519">
        <f>EXC!BC166</f>
        <v>0</v>
      </c>
      <c r="DV54" s="519">
        <f>EXC!BD166</f>
        <v>0</v>
      </c>
      <c r="DW54" s="519">
        <f>EXC!BE166</f>
        <v>0</v>
      </c>
      <c r="DX54" s="519">
        <f>EXC!BF166</f>
        <v>0</v>
      </c>
      <c r="DY54" s="506">
        <f>EXC!BG166</f>
        <v>0</v>
      </c>
      <c r="DZ54" s="519">
        <f>EXC!BH166</f>
        <v>0</v>
      </c>
      <c r="EA54" s="519">
        <f>EXC!BI166</f>
        <v>0</v>
      </c>
      <c r="EB54" s="519">
        <f>EXC!BJ166</f>
        <v>0</v>
      </c>
      <c r="EC54" s="519">
        <f>EXC!BK166</f>
        <v>0</v>
      </c>
      <c r="ED54" s="506">
        <f>EXC!BL166</f>
        <v>0</v>
      </c>
      <c r="EE54" s="519">
        <f>EXC!BM166</f>
        <v>0</v>
      </c>
      <c r="EF54" s="519">
        <f>EXC!BN166</f>
        <v>0</v>
      </c>
      <c r="EG54" s="519">
        <f>EXC!BO166</f>
        <v>0</v>
      </c>
      <c r="EH54" s="519">
        <f>EXC!BP166</f>
        <v>0</v>
      </c>
      <c r="EI54" s="506">
        <f>EXC!BQ166</f>
        <v>0</v>
      </c>
    </row>
    <row r="55" spans="2:139">
      <c r="BR55" s="31"/>
      <c r="BS55" s="31"/>
      <c r="BT55" s="31"/>
      <c r="BU55" s="31" t="s">
        <v>352</v>
      </c>
      <c r="BV55" s="31"/>
      <c r="CA55" s="506">
        <f>EXC!I163</f>
        <v>1987</v>
      </c>
      <c r="CF55" s="506">
        <f>EXC!N163</f>
        <v>1398</v>
      </c>
      <c r="CG55">
        <f>EXC!O163</f>
        <v>599</v>
      </c>
      <c r="CH55">
        <f>EXC!P163</f>
        <v>0</v>
      </c>
      <c r="CI55">
        <f>EXC!Q163</f>
        <v>600</v>
      </c>
      <c r="CJ55">
        <f>EXC!R163</f>
        <v>0</v>
      </c>
      <c r="CK55" s="506">
        <f>EXC!S163</f>
        <v>1199</v>
      </c>
      <c r="CL55">
        <f>EXC!T163</f>
        <v>0</v>
      </c>
      <c r="CM55">
        <f>EXC!U163</f>
        <v>850</v>
      </c>
      <c r="CN55">
        <f>EXC!V162</f>
        <v>0</v>
      </c>
      <c r="CO55">
        <f>EXC!W163</f>
        <v>469</v>
      </c>
      <c r="CP55" s="506">
        <f>EXC!X163</f>
        <v>2027</v>
      </c>
      <c r="CQ55">
        <f>EXC!Y163</f>
        <v>149</v>
      </c>
      <c r="CR55">
        <f>EXC!Z163</f>
        <v>360</v>
      </c>
      <c r="CS55">
        <f>EXC!AA163</f>
        <v>1522</v>
      </c>
      <c r="CT55">
        <f>EXC!AB163</f>
        <v>24</v>
      </c>
      <c r="CU55" s="506">
        <f>EXC!AC163</f>
        <v>2055</v>
      </c>
      <c r="CV55">
        <f>EXC!AD163</f>
        <v>950</v>
      </c>
      <c r="CW55">
        <f>EXC!AE163</f>
        <v>1150</v>
      </c>
      <c r="CX55">
        <f>EXC!AF163</f>
        <v>1112</v>
      </c>
      <c r="CY55">
        <f>EXC!AG163</f>
        <v>251</v>
      </c>
      <c r="CZ55" s="506">
        <f>EXC!AH163</f>
        <v>3463</v>
      </c>
      <c r="DA55">
        <f>EXC!AI163</f>
        <v>1206</v>
      </c>
      <c r="DB55">
        <f>EXC!AJ163</f>
        <v>4701</v>
      </c>
      <c r="DC55">
        <f>EXC!AK163</f>
        <v>2</v>
      </c>
      <c r="DD55">
        <f>EXC!AL163</f>
        <v>800</v>
      </c>
      <c r="DE55" s="506">
        <f>EXC!AM163</f>
        <v>6709</v>
      </c>
      <c r="DF55">
        <f>EXC!AN163</f>
        <v>151</v>
      </c>
      <c r="DG55">
        <f>EXC!AO163</f>
        <v>3023</v>
      </c>
      <c r="DH55">
        <f>EXC!AP163</f>
        <v>1314</v>
      </c>
      <c r="DI55">
        <f>EXC!AQ163</f>
        <v>228</v>
      </c>
      <c r="DJ55" s="506">
        <f>EXC!AR163</f>
        <v>4716</v>
      </c>
      <c r="DK55">
        <f>EXC!AS163</f>
        <v>763</v>
      </c>
      <c r="DL55">
        <f>EXC!AT163</f>
        <v>218</v>
      </c>
      <c r="DM55">
        <f>EXC!AU163</f>
        <v>1635</v>
      </c>
      <c r="DN55">
        <f>EXC!AV163</f>
        <v>854</v>
      </c>
      <c r="DO55" s="506">
        <f>EXC!AW163</f>
        <v>3470</v>
      </c>
      <c r="DP55">
        <f>EXC!AX163</f>
        <v>0</v>
      </c>
      <c r="DQ55">
        <f>EXC!AY163</f>
        <v>0</v>
      </c>
      <c r="DR55">
        <f>EXC!AZ163</f>
        <v>3505</v>
      </c>
      <c r="DS55">
        <f>EXC!BA163</f>
        <v>0</v>
      </c>
      <c r="DT55" s="506">
        <f>EXC!BB163</f>
        <v>3505</v>
      </c>
      <c r="DU55">
        <f>EXC!BC163</f>
        <v>0</v>
      </c>
      <c r="DV55">
        <f>EXC!BD163</f>
        <v>0</v>
      </c>
      <c r="DW55">
        <f>EXC!BE163</f>
        <v>1260</v>
      </c>
      <c r="DX55">
        <f>EXC!BF163</f>
        <v>0</v>
      </c>
      <c r="DY55" s="506">
        <f>EXC!BG163</f>
        <v>1260</v>
      </c>
      <c r="DZ55">
        <f>EXC!BH163</f>
        <v>0</v>
      </c>
      <c r="EA55">
        <f>EXC!BI163</f>
        <v>0</v>
      </c>
      <c r="EB55">
        <f>EXC!BJ163</f>
        <v>3185</v>
      </c>
      <c r="EC55">
        <f>EXC!BK163</f>
        <v>0</v>
      </c>
      <c r="ED55" s="506">
        <f>EXC!BL163</f>
        <v>3185</v>
      </c>
      <c r="EE55">
        <f>EXC!BM163</f>
        <v>0</v>
      </c>
      <c r="EF55">
        <f>EXC!BN163</f>
        <v>0</v>
      </c>
      <c r="EG55">
        <f>EXC!BO163</f>
        <v>3650</v>
      </c>
      <c r="EH55">
        <f>EXC!BP163</f>
        <v>0</v>
      </c>
      <c r="EI55" s="506">
        <f>EXC!BQ163</f>
        <v>3650</v>
      </c>
    </row>
    <row r="56" spans="2:139">
      <c r="BR56" s="31"/>
      <c r="BS56" s="31"/>
      <c r="BT56" s="31"/>
      <c r="BU56" s="31" t="s">
        <v>353</v>
      </c>
      <c r="BV56" s="31"/>
      <c r="CA56" s="506">
        <f>EXC!I164</f>
        <v>-2482</v>
      </c>
      <c r="CF56" s="506">
        <f>EXC!N164</f>
        <v>-1634</v>
      </c>
      <c r="CG56">
        <f>EXC!O164</f>
        <v>-1</v>
      </c>
      <c r="CH56">
        <f>EXC!P164</f>
        <v>-1</v>
      </c>
      <c r="CI56">
        <f>EXC!Q164</f>
        <v>-1</v>
      </c>
      <c r="CJ56">
        <f>EXC!R164</f>
        <v>-786</v>
      </c>
      <c r="CK56" s="506">
        <f>EXC!S164</f>
        <v>-789</v>
      </c>
      <c r="CL56">
        <f>EXC!T164</f>
        <v>-451</v>
      </c>
      <c r="CM56">
        <f>EXC!U164</f>
        <v>-198</v>
      </c>
      <c r="CN56">
        <f>EXC!V163</f>
        <v>708</v>
      </c>
      <c r="CO56">
        <f>EXC!W164</f>
        <v>-414</v>
      </c>
      <c r="CP56" s="506">
        <f>EXC!X164</f>
        <v>-1145</v>
      </c>
      <c r="CQ56">
        <f>EXC!Y164</f>
        <v>-1</v>
      </c>
      <c r="CR56">
        <f>EXC!Z164</f>
        <v>-615</v>
      </c>
      <c r="CS56">
        <f>EXC!AA164</f>
        <v>-540</v>
      </c>
      <c r="CT56">
        <f>EXC!AB164</f>
        <v>-433</v>
      </c>
      <c r="CU56" s="506">
        <f>EXC!AC164</f>
        <v>-1589</v>
      </c>
      <c r="CV56">
        <f>EXC!AD164</f>
        <v>-1150</v>
      </c>
      <c r="CW56">
        <f>EXC!AE164</f>
        <v>-41</v>
      </c>
      <c r="CX56">
        <f>EXC!AF164</f>
        <v>-23</v>
      </c>
      <c r="CY56">
        <f>EXC!AG164</f>
        <v>-331</v>
      </c>
      <c r="CZ56" s="506">
        <f>EXC!AH164</f>
        <v>-1545</v>
      </c>
      <c r="DA56">
        <f>EXC!AI164</f>
        <v>-580</v>
      </c>
      <c r="DB56">
        <f>EXC!AJ164</f>
        <v>-1128</v>
      </c>
      <c r="DC56">
        <f>EXC!AK164</f>
        <v>-37</v>
      </c>
      <c r="DD56">
        <f>EXC!AL164</f>
        <v>-942</v>
      </c>
      <c r="DE56" s="506">
        <f>EXC!AM164</f>
        <v>-2687</v>
      </c>
      <c r="DF56">
        <f>EXC!AN164</f>
        <v>-116</v>
      </c>
      <c r="DG56">
        <f>EXC!AO164</f>
        <v>-101</v>
      </c>
      <c r="DH56">
        <f>EXC!AP164</f>
        <v>-727</v>
      </c>
      <c r="DI56">
        <f>EXC!AQ164</f>
        <v>-992</v>
      </c>
      <c r="DJ56" s="506">
        <f>EXC!AR164</f>
        <v>-1936</v>
      </c>
      <c r="DK56">
        <f>EXC!AS164</f>
        <v>-65</v>
      </c>
      <c r="DL56">
        <f>EXC!AT164</f>
        <v>-984</v>
      </c>
      <c r="DM56">
        <f>EXC!AU164</f>
        <v>-929</v>
      </c>
      <c r="DN56">
        <f>EXC!AV164</f>
        <v>-812</v>
      </c>
      <c r="DO56" s="506">
        <f>EXC!AW164</f>
        <v>-2790</v>
      </c>
      <c r="DP56">
        <f>EXC!AX164</f>
        <v>-1220</v>
      </c>
      <c r="DQ56">
        <f>EXC!AY164</f>
        <v>-116</v>
      </c>
      <c r="DR56">
        <f>EXC!AZ164</f>
        <v>-430</v>
      </c>
      <c r="DS56">
        <f>EXC!BA164</f>
        <v>0</v>
      </c>
      <c r="DT56" s="506">
        <f>EXC!BB164</f>
        <v>-1766</v>
      </c>
      <c r="DU56">
        <f>EXC!BC164</f>
        <v>0</v>
      </c>
      <c r="DV56">
        <f>EXC!BD164</f>
        <v>0</v>
      </c>
      <c r="DW56">
        <f>EXC!BE164</f>
        <v>-34</v>
      </c>
      <c r="DX56">
        <f>EXC!BF164</f>
        <v>-600</v>
      </c>
      <c r="DY56" s="506">
        <f>EXC!BG164</f>
        <v>-634</v>
      </c>
      <c r="DZ56">
        <f>EXC!BH164</f>
        <v>-1000</v>
      </c>
      <c r="EA56">
        <f>EXC!BI164</f>
        <v>-900</v>
      </c>
      <c r="EB56">
        <f>EXC!BJ164</f>
        <v>-955.47</v>
      </c>
      <c r="EC56">
        <f>EXC!BK164</f>
        <v>-1100</v>
      </c>
      <c r="ED56" s="506">
        <f>EXC!BL164</f>
        <v>-3955.4700000000003</v>
      </c>
      <c r="EE56">
        <f>EXC!BM164</f>
        <v>-861</v>
      </c>
      <c r="EF56">
        <f>EXC!BN164</f>
        <v>-300</v>
      </c>
      <c r="EG56">
        <f>EXC!BO164</f>
        <v>-888.86500000000001</v>
      </c>
      <c r="EH56">
        <f>EXC!BP164</f>
        <v>-300</v>
      </c>
      <c r="EI56" s="506">
        <f>EXC!BQ164</f>
        <v>-2349.8649999999998</v>
      </c>
    </row>
    <row r="57" spans="2:139">
      <c r="B57" s="231" t="s">
        <v>111</v>
      </c>
      <c r="C57" s="231"/>
      <c r="D57" s="74"/>
      <c r="E57" s="74"/>
      <c r="F57" s="74"/>
      <c r="G57" s="74"/>
      <c r="H57" s="74"/>
      <c r="I57" s="74"/>
      <c r="J57" s="74"/>
      <c r="K57" s="74"/>
      <c r="L57" s="74"/>
      <c r="M57" s="74"/>
      <c r="N57" s="74"/>
      <c r="O57" s="74"/>
      <c r="P57" s="74"/>
      <c r="Q57" s="74"/>
      <c r="R57" s="74"/>
      <c r="S57" s="74"/>
      <c r="T57" s="74"/>
      <c r="U57" s="74"/>
      <c r="V57" s="74"/>
      <c r="W57" s="74"/>
      <c r="X57" s="74"/>
      <c r="Y57" s="74"/>
      <c r="Z57" s="74"/>
      <c r="AA57" s="74"/>
      <c r="AB57" s="74"/>
      <c r="AC57" s="74"/>
      <c r="AD57" s="74"/>
      <c r="AE57" s="74"/>
      <c r="AF57" s="74"/>
      <c r="AG57" s="74"/>
      <c r="AH57" s="74"/>
      <c r="AI57" s="74"/>
      <c r="AJ57" s="74"/>
      <c r="AK57" s="74"/>
      <c r="AL57" s="74"/>
      <c r="AM57" s="74"/>
      <c r="AN57" s="74"/>
      <c r="AO57" s="74"/>
      <c r="AP57" s="74"/>
      <c r="AQ57" s="74"/>
      <c r="AR57" s="74"/>
      <c r="AS57" s="74"/>
      <c r="AT57" s="74"/>
      <c r="AU57" s="74"/>
      <c r="AV57" s="74"/>
      <c r="AW57" s="74"/>
      <c r="AX57" s="74"/>
      <c r="AY57" s="74"/>
      <c r="AZ57" s="74"/>
      <c r="BA57" s="74"/>
      <c r="BB57" s="74"/>
      <c r="BC57" s="74"/>
      <c r="BD57" s="74"/>
      <c r="BE57" s="74"/>
      <c r="BF57" s="74"/>
      <c r="BG57" s="74"/>
      <c r="BH57" s="74"/>
      <c r="BI57" s="74"/>
      <c r="BJ57" s="74"/>
      <c r="BK57" s="74"/>
      <c r="BL57" s="74"/>
      <c r="BM57" s="74"/>
      <c r="BN57" s="74"/>
      <c r="BO57" s="74"/>
      <c r="BP57" s="74"/>
      <c r="BQ57" s="74"/>
      <c r="BR57" s="31"/>
      <c r="BS57" s="31"/>
      <c r="BT57" s="31"/>
      <c r="BU57" s="31" t="s">
        <v>354</v>
      </c>
      <c r="BV57" s="31"/>
      <c r="CA57" s="506">
        <f>EXC!I165</f>
        <v>-56</v>
      </c>
      <c r="CF57" s="506">
        <f>EXC!N165</f>
        <v>-155</v>
      </c>
      <c r="CG57">
        <f>EXC!O165</f>
        <v>50</v>
      </c>
      <c r="CH57">
        <f>EXC!P165</f>
        <v>90</v>
      </c>
      <c r="CI57">
        <f>EXC!Q165</f>
        <v>322</v>
      </c>
      <c r="CJ57">
        <f>EXC!R165</f>
        <v>-301</v>
      </c>
      <c r="CK57" s="506">
        <f>EXC!S165+EXC!S174</f>
        <v>161</v>
      </c>
      <c r="CL57">
        <f>EXC!T165</f>
        <v>141</v>
      </c>
      <c r="CM57">
        <f>EXC!U165</f>
        <v>38</v>
      </c>
      <c r="CN57">
        <f>EXC!V164</f>
        <v>-82</v>
      </c>
      <c r="CO57">
        <f>EXC!W165</f>
        <v>-58</v>
      </c>
      <c r="CP57" s="506">
        <f>EXC!X165+EXC!X174</f>
        <v>-197</v>
      </c>
      <c r="CQ57">
        <f>EXC!Y165</f>
        <v>233</v>
      </c>
      <c r="CR57">
        <f>EXC!Z165</f>
        <v>429</v>
      </c>
      <c r="CS57">
        <f>EXC!AA165</f>
        <v>-457</v>
      </c>
      <c r="CT57">
        <f>EXC!AB165</f>
        <v>127</v>
      </c>
      <c r="CU57" s="506">
        <f>EXC!AC165+EXC!AC174</f>
        <v>332</v>
      </c>
      <c r="CV57">
        <f>EXC!AD165</f>
        <v>638</v>
      </c>
      <c r="CW57">
        <f>EXC!AE165</f>
        <v>-345</v>
      </c>
      <c r="CX57">
        <f>EXC!AF165</f>
        <v>-57</v>
      </c>
      <c r="CY57">
        <f>EXC!AG165</f>
        <v>-114</v>
      </c>
      <c r="CZ57" s="506">
        <f>EXC!AH165+EXC!AH174</f>
        <v>122</v>
      </c>
      <c r="DA57">
        <f>EXC!AI165</f>
        <v>-141</v>
      </c>
      <c r="DB57">
        <f>EXC!AJ165</f>
        <v>235</v>
      </c>
      <c r="DC57">
        <f>EXC!AK165</f>
        <v>136</v>
      </c>
      <c r="DD57">
        <f>EXC!AL165</f>
        <v>-150</v>
      </c>
      <c r="DE57" s="506">
        <f>EXC!AM165+EXC!AM174</f>
        <v>80</v>
      </c>
      <c r="DF57">
        <f>EXC!AN165</f>
        <v>1770</v>
      </c>
      <c r="DG57">
        <f>EXC!AO165</f>
        <v>-2689</v>
      </c>
      <c r="DH57">
        <f>EXC!AP165</f>
        <v>-352</v>
      </c>
      <c r="DI57">
        <f>EXC!AQ165</f>
        <v>696</v>
      </c>
      <c r="DJ57" s="506">
        <f>EXC!AR165+EXC!AR174</f>
        <v>-575</v>
      </c>
      <c r="DK57">
        <f>EXC!AS165</f>
        <v>781</v>
      </c>
      <c r="DL57">
        <f>EXC!AT165</f>
        <v>-293</v>
      </c>
      <c r="DM57">
        <f>EXC!AU165</f>
        <v>-1047</v>
      </c>
      <c r="DN57">
        <f>EXC!AV165</f>
        <v>219</v>
      </c>
      <c r="DO57" s="506">
        <f>EXC!AW165+EXC!AW174</f>
        <v>-340</v>
      </c>
      <c r="DP57">
        <f>EXC!AX165</f>
        <v>0</v>
      </c>
      <c r="DQ57">
        <f>EXC!AY165</f>
        <v>0</v>
      </c>
      <c r="DR57">
        <f>EXC!AZ165</f>
        <v>0</v>
      </c>
      <c r="DS57">
        <f>EXC!BA165</f>
        <v>0</v>
      </c>
      <c r="DT57" s="506">
        <f ca="1">EXC!BB165+EXC!BB174</f>
        <v>-929</v>
      </c>
      <c r="DU57">
        <f>EXC!BC165</f>
        <v>0</v>
      </c>
      <c r="DV57">
        <f>EXC!BD165</f>
        <v>0</v>
      </c>
      <c r="DW57">
        <f>EXC!BE165</f>
        <v>0</v>
      </c>
      <c r="DX57">
        <f>EXC!BF165</f>
        <v>0</v>
      </c>
      <c r="DY57" s="506">
        <f ca="1">EXC!BG165+EXC!BG174</f>
        <v>0</v>
      </c>
      <c r="DZ57">
        <f>EXC!BH165</f>
        <v>0</v>
      </c>
      <c r="EA57">
        <f>EXC!BI165</f>
        <v>0</v>
      </c>
      <c r="EB57">
        <f>EXC!BJ165</f>
        <v>0</v>
      </c>
      <c r="EC57">
        <f>EXC!BK165</f>
        <v>0</v>
      </c>
      <c r="ED57" s="506">
        <f ca="1">EXC!BL165+EXC!BL174</f>
        <v>1009.3445071001247</v>
      </c>
      <c r="EE57">
        <f>EXC!BM165</f>
        <v>0</v>
      </c>
      <c r="EF57">
        <f>EXC!BN165</f>
        <v>0</v>
      </c>
      <c r="EG57">
        <f>EXC!BO165</f>
        <v>0</v>
      </c>
      <c r="EH57">
        <f>EXC!BP165</f>
        <v>0</v>
      </c>
      <c r="EI57" s="506">
        <f ca="1">EXC!BQ165+EXC!BQ174</f>
        <v>-1009.3445071001249</v>
      </c>
    </row>
    <row r="58" spans="2:139">
      <c r="B58" s="31"/>
      <c r="C58" s="232"/>
      <c r="D58" s="232"/>
      <c r="F58" s="512"/>
      <c r="G58" s="512"/>
      <c r="H58" s="512"/>
      <c r="I58" s="232"/>
      <c r="K58" s="512"/>
      <c r="L58" s="512"/>
      <c r="M58" s="512"/>
      <c r="N58" s="513"/>
      <c r="O58" s="512"/>
      <c r="P58" s="512"/>
      <c r="Q58" s="512"/>
      <c r="R58" s="512"/>
      <c r="S58" s="513"/>
      <c r="T58" s="512"/>
      <c r="U58" s="512"/>
      <c r="V58" s="512"/>
      <c r="X58" s="513"/>
      <c r="Y58" s="512"/>
      <c r="Z58" s="512"/>
      <c r="AA58" s="512"/>
      <c r="AC58" s="513"/>
      <c r="AD58" s="512"/>
      <c r="AE58" s="512"/>
      <c r="AF58" s="512"/>
      <c r="AH58" s="513"/>
      <c r="AI58" s="512"/>
      <c r="AJ58" s="512"/>
      <c r="AK58" s="512"/>
      <c r="AM58" s="31"/>
      <c r="AN58" s="512"/>
      <c r="AO58" s="512"/>
      <c r="AP58" s="512"/>
      <c r="AR58" s="31"/>
      <c r="AS58" s="512"/>
      <c r="AT58" s="512"/>
      <c r="AU58" s="512"/>
      <c r="AW58" s="31"/>
      <c r="AX58" s="512"/>
      <c r="AY58" s="512"/>
      <c r="AZ58" s="512"/>
      <c r="BB58" s="31"/>
      <c r="BC58" s="512"/>
      <c r="BD58" s="512"/>
      <c r="BE58" s="512"/>
      <c r="BG58" s="31"/>
      <c r="BH58" s="512"/>
      <c r="BI58" s="512"/>
      <c r="BJ58" s="512"/>
      <c r="BL58" s="31"/>
      <c r="BM58" s="512"/>
      <c r="BN58" s="512"/>
      <c r="BO58" s="512"/>
      <c r="BQ58" s="31"/>
      <c r="BR58" s="31"/>
      <c r="BS58" s="31"/>
      <c r="BT58" s="31"/>
      <c r="BU58" s="31" t="s">
        <v>62</v>
      </c>
      <c r="BV58" s="232"/>
      <c r="BW58" s="501"/>
      <c r="BX58" s="501"/>
      <c r="BY58" s="501"/>
      <c r="BZ58" s="501"/>
      <c r="CA58" s="502">
        <f>+EXC!I168</f>
        <v>-3</v>
      </c>
      <c r="CB58" s="502"/>
      <c r="CC58" s="502"/>
      <c r="CD58" s="502"/>
      <c r="CE58" s="502"/>
      <c r="CF58" s="502">
        <f>+EXC!N168</f>
        <v>-16</v>
      </c>
      <c r="CG58" s="502">
        <f>+EXC!O168</f>
        <v>-47</v>
      </c>
      <c r="CH58" s="502">
        <f>+EXC!P168</f>
        <v>1</v>
      </c>
      <c r="CI58" s="502">
        <f>+EXC!Q168</f>
        <v>-21</v>
      </c>
      <c r="CJ58" s="502">
        <f>+EXC!R168</f>
        <v>5</v>
      </c>
      <c r="CK58" s="502">
        <f>+EXC!S168</f>
        <v>-62</v>
      </c>
      <c r="CL58" s="502">
        <f>+EXC!T168</f>
        <v>-1</v>
      </c>
      <c r="CM58" s="502">
        <f>+EXC!U168</f>
        <v>-9</v>
      </c>
      <c r="CN58" s="502">
        <f>+EXC!V167</f>
        <v>-453</v>
      </c>
      <c r="CO58" s="502">
        <f>+EXC!W168</f>
        <v>-106</v>
      </c>
      <c r="CP58" s="502">
        <f>+EXC!X168</f>
        <v>-126</v>
      </c>
      <c r="CQ58" s="502">
        <f>+EXC!Y168</f>
        <v>-45</v>
      </c>
      <c r="CR58" s="502">
        <f>+EXC!Z168</f>
        <v>-110</v>
      </c>
      <c r="CS58" s="502">
        <f>+EXC!AA168</f>
        <v>-250</v>
      </c>
      <c r="CT58" s="502">
        <f>+EXC!AB168</f>
        <v>-17</v>
      </c>
      <c r="CU58" s="502">
        <f>+EXC!AC168</f>
        <v>-422</v>
      </c>
      <c r="CV58" s="502">
        <f>+EXC!AD168</f>
        <v>-28</v>
      </c>
      <c r="CW58" s="502">
        <f>+EXC!AE168</f>
        <v>-470</v>
      </c>
      <c r="CX58" s="502">
        <f>+EXC!AF168</f>
        <v>-75</v>
      </c>
      <c r="CY58" s="502">
        <f>+EXC!AG168</f>
        <v>-26</v>
      </c>
      <c r="CZ58" s="502">
        <f>+EXC!AH168</f>
        <v>-599</v>
      </c>
      <c r="DA58" s="502">
        <f>+EXC!AI168</f>
        <v>-16</v>
      </c>
      <c r="DB58" s="502">
        <f>+EXC!AJ168</f>
        <v>-43</v>
      </c>
      <c r="DC58" s="502">
        <f>+EXC!AK168</f>
        <v>-6</v>
      </c>
      <c r="DD58" s="502">
        <f>+EXC!AL168</f>
        <v>-2</v>
      </c>
      <c r="DE58" s="502">
        <f>+EXC!AM168</f>
        <v>-67</v>
      </c>
      <c r="DF58" s="502">
        <f>+EXC!AN168</f>
        <v>6</v>
      </c>
      <c r="DG58" s="502">
        <f>+EXC!AO168</f>
        <v>-10</v>
      </c>
      <c r="DH58" s="502">
        <f>+EXC!AP168</f>
        <v>-181</v>
      </c>
      <c r="DI58" s="502">
        <f>+EXC!AQ168</f>
        <v>282</v>
      </c>
      <c r="DJ58" s="502">
        <f>+EXC!AR168</f>
        <v>97</v>
      </c>
      <c r="DK58" s="502">
        <f>+EXC!AS168</f>
        <v>-4</v>
      </c>
      <c r="DL58" s="502">
        <f>+EXC!AT168</f>
        <v>-19</v>
      </c>
      <c r="DM58" s="502">
        <f>+EXC!AU168</f>
        <v>355</v>
      </c>
      <c r="DN58" s="502">
        <f>+EXC!AV168</f>
        <v>-19</v>
      </c>
      <c r="DO58" s="502">
        <f>+EXC!AW168</f>
        <v>313</v>
      </c>
      <c r="DP58" s="502">
        <f>+EXC!AX168</f>
        <v>0</v>
      </c>
      <c r="DQ58" s="502">
        <f>+EXC!AY168</f>
        <v>0</v>
      </c>
      <c r="DR58" s="502">
        <f>+EXC!AZ168</f>
        <v>0</v>
      </c>
      <c r="DS58" s="502">
        <f>+EXC!BA168</f>
        <v>0</v>
      </c>
      <c r="DT58" s="502">
        <f>+EXC!BB168</f>
        <v>0</v>
      </c>
      <c r="DU58" s="502">
        <f>+EXC!BC168</f>
        <v>0</v>
      </c>
      <c r="DV58" s="502">
        <f>+EXC!BD168</f>
        <v>0</v>
      </c>
      <c r="DW58" s="502">
        <f>+EXC!BE168</f>
        <v>0</v>
      </c>
      <c r="DX58" s="502">
        <f>+EXC!BF168</f>
        <v>0</v>
      </c>
      <c r="DY58" s="502">
        <f>+EXC!BG168</f>
        <v>0</v>
      </c>
      <c r="DZ58" s="502">
        <f>+EXC!BH168</f>
        <v>0</v>
      </c>
      <c r="EA58" s="502">
        <f>+EXC!BI168</f>
        <v>0</v>
      </c>
      <c r="EB58" s="502">
        <f>+EXC!BJ168</f>
        <v>0</v>
      </c>
      <c r="EC58" s="502">
        <f>+EXC!BK168</f>
        <v>0</v>
      </c>
      <c r="ED58" s="502">
        <f>+EXC!BL168</f>
        <v>0</v>
      </c>
      <c r="EE58" s="502">
        <f>+EXC!BM168</f>
        <v>0</v>
      </c>
      <c r="EF58" s="502">
        <f>+EXC!BN168</f>
        <v>0</v>
      </c>
      <c r="EG58" s="502">
        <f>+EXC!BO168</f>
        <v>0</v>
      </c>
      <c r="EH58" s="502">
        <f>+EXC!BP168</f>
        <v>0</v>
      </c>
      <c r="EI58" s="502">
        <f>+EXC!BQ168</f>
        <v>0</v>
      </c>
    </row>
    <row r="59" spans="2:139">
      <c r="B59" s="31"/>
      <c r="C59" s="232" t="s">
        <v>495</v>
      </c>
      <c r="D59" s="523"/>
      <c r="E59" s="523"/>
      <c r="F59" s="504"/>
      <c r="G59" s="504"/>
      <c r="H59" s="504"/>
      <c r="I59" s="523"/>
      <c r="J59" s="523"/>
      <c r="K59" s="504"/>
      <c r="L59" s="504"/>
      <c r="M59" s="504"/>
      <c r="N59" s="504">
        <f>N68/N18</f>
        <v>10.143480847898848</v>
      </c>
      <c r="O59" s="504"/>
      <c r="P59" s="504"/>
      <c r="Q59" s="504"/>
      <c r="R59" s="504"/>
      <c r="S59" s="504">
        <f>S68/S18</f>
        <v>9.901592471950778</v>
      </c>
      <c r="T59" s="504"/>
      <c r="U59" s="504"/>
      <c r="V59" s="504"/>
      <c r="X59" s="504">
        <f>X68/X18</f>
        <v>14.460798283261804</v>
      </c>
      <c r="Y59" s="504"/>
      <c r="Z59" s="504"/>
      <c r="AA59" s="504"/>
      <c r="AC59" s="504">
        <f>AC68/AC18</f>
        <v>16.463657515123312</v>
      </c>
      <c r="AD59" s="504"/>
      <c r="AE59" s="504"/>
      <c r="AF59" s="504"/>
      <c r="AH59" s="504">
        <f>AH68/AH18</f>
        <v>17.188085106382978</v>
      </c>
      <c r="AI59" s="504"/>
      <c r="AJ59" s="504"/>
      <c r="AK59" s="504"/>
      <c r="AM59" s="504">
        <f>AM68/AM18</f>
        <v>16.496641221374048</v>
      </c>
      <c r="AN59" s="504"/>
      <c r="AO59" s="504"/>
      <c r="AP59" s="504"/>
      <c r="AR59" s="504">
        <f>AR68/AR18</f>
        <v>15.326414911981955</v>
      </c>
      <c r="AS59" s="504"/>
      <c r="AT59" s="504"/>
      <c r="AU59" s="504"/>
      <c r="AW59" s="504">
        <f>AW68/AW18</f>
        <v>15.808265610072377</v>
      </c>
      <c r="AX59" s="504"/>
      <c r="AY59" s="504"/>
      <c r="AZ59" s="504"/>
      <c r="BB59" s="504">
        <f ca="1">BB68/BB18</f>
        <v>13.446724634244513</v>
      </c>
      <c r="BC59" s="504"/>
      <c r="BD59" s="504"/>
      <c r="BE59" s="504"/>
      <c r="BG59" s="504">
        <f ca="1">BG68/BG18</f>
        <v>14.15676266315073</v>
      </c>
      <c r="BH59" s="504"/>
      <c r="BI59" s="504"/>
      <c r="BJ59" s="504"/>
      <c r="BL59" s="504">
        <f ca="1">BL68/BL18</f>
        <v>14.51009552051684</v>
      </c>
      <c r="BM59" s="504"/>
      <c r="BN59" s="504"/>
      <c r="BO59" s="504"/>
      <c r="BQ59" s="504">
        <f ca="1">BQ68/BQ18</f>
        <v>13.586914217100706</v>
      </c>
      <c r="BR59" s="31"/>
      <c r="BS59" s="31"/>
      <c r="BT59" s="31"/>
      <c r="BU59" s="34" t="s">
        <v>356</v>
      </c>
      <c r="BV59" s="232"/>
      <c r="BX59" s="533"/>
      <c r="BY59" s="533"/>
      <c r="BZ59" s="533"/>
      <c r="CA59" s="534">
        <f>SUM(CA51,CA54:CA58)</f>
        <v>739</v>
      </c>
      <c r="CC59" s="533"/>
      <c r="CD59" s="533"/>
      <c r="CE59" s="533"/>
      <c r="CF59" s="534">
        <f>SUM(CF51,CF54:CF58)</f>
        <v>-398</v>
      </c>
      <c r="CG59" s="533"/>
      <c r="CH59" s="533"/>
      <c r="CI59" s="533"/>
      <c r="CK59" s="534">
        <f>SUM(CK51,CK54:CK58)</f>
        <v>-596</v>
      </c>
      <c r="CL59" s="533"/>
      <c r="CM59" s="533"/>
      <c r="CN59" s="533"/>
      <c r="CP59" s="534">
        <f>SUM(CP51,CP54:CP58)</f>
        <v>470</v>
      </c>
      <c r="CQ59" s="533"/>
      <c r="CR59" s="533"/>
      <c r="CS59" s="533"/>
      <c r="CU59" s="534">
        <f>SUM(CU51,CU54:CU58)</f>
        <v>123</v>
      </c>
      <c r="CV59" s="533"/>
      <c r="CW59" s="533"/>
      <c r="CX59" s="533"/>
      <c r="CZ59" s="534">
        <f>SUM(CZ51,CZ54:CZ58)</f>
        <v>269</v>
      </c>
      <c r="DA59" s="533"/>
      <c r="DB59" s="533"/>
      <c r="DC59" s="533"/>
      <c r="DE59" s="534">
        <f>SUM(DE51,DE54:DE58)</f>
        <v>4624</v>
      </c>
      <c r="DF59" s="533"/>
      <c r="DG59" s="533"/>
      <c r="DH59" s="533"/>
      <c r="DJ59" s="534">
        <f>SUM(DJ51,DJ54:DJ58)</f>
        <v>-5867</v>
      </c>
      <c r="DK59" s="533"/>
      <c r="DL59" s="533"/>
      <c r="DM59" s="533"/>
      <c r="DO59" s="534">
        <f>SUM(DO51,DO54:DO58)</f>
        <v>263</v>
      </c>
      <c r="DP59" s="533"/>
      <c r="DQ59" s="533"/>
      <c r="DR59" s="533"/>
      <c r="DT59" s="534">
        <f ca="1">SUM(DT51,DT54:DT58)</f>
        <v>-411.28423320794536</v>
      </c>
      <c r="DU59" s="533"/>
      <c r="DV59" s="533"/>
      <c r="DW59" s="533"/>
      <c r="DY59" s="534">
        <f ca="1">SUM(DY51,DY54:DY58)</f>
        <v>34.241167917918574</v>
      </c>
      <c r="DZ59" s="533"/>
      <c r="EA59" s="533"/>
      <c r="EB59" s="533"/>
      <c r="ED59" s="534">
        <f ca="1">SUM(ED51,ED54:ED58)</f>
        <v>-520.95693470997503</v>
      </c>
      <c r="EE59" s="533"/>
      <c r="EF59" s="533"/>
      <c r="EG59" s="533"/>
      <c r="EI59" s="534">
        <f ca="1">SUM(EI51,EI54:EI58)</f>
        <v>119.86938476350247</v>
      </c>
    </row>
    <row r="60" spans="2:139">
      <c r="B60" s="31"/>
      <c r="C60" s="232" t="s">
        <v>496</v>
      </c>
      <c r="D60" s="523"/>
      <c r="E60" s="523"/>
      <c r="F60" s="504"/>
      <c r="G60" s="504"/>
      <c r="H60" s="504"/>
      <c r="I60" s="523"/>
      <c r="J60" s="523"/>
      <c r="K60" s="504"/>
      <c r="L60" s="504"/>
      <c r="M60" s="504"/>
      <c r="N60" s="504">
        <f>N72/N35</f>
        <v>6.8979052439195847</v>
      </c>
      <c r="O60" s="504"/>
      <c r="P60" s="504"/>
      <c r="Q60" s="504"/>
      <c r="R60" s="504"/>
      <c r="S60" s="504">
        <f>S72/S35</f>
        <v>8.3548644603359392</v>
      </c>
      <c r="T60" s="504"/>
      <c r="U60" s="504"/>
      <c r="V60" s="504"/>
      <c r="X60" s="504">
        <f>X72/X35</f>
        <v>12.147992185804211</v>
      </c>
      <c r="Y60" s="504"/>
      <c r="Z60" s="504"/>
      <c r="AA60" s="504"/>
      <c r="AC60" s="504">
        <f>AC72/AC35</f>
        <v>8.9717924227952892</v>
      </c>
      <c r="AD60" s="504"/>
      <c r="AE60" s="504"/>
      <c r="AF60" s="504"/>
      <c r="AH60" s="504">
        <f>AH72/AH35</f>
        <v>9.9305711849957383</v>
      </c>
      <c r="AI60" s="504"/>
      <c r="AJ60" s="504"/>
      <c r="AK60" s="504"/>
      <c r="AM60" s="504">
        <f>AM72/AM35</f>
        <v>7.6591579226988982</v>
      </c>
      <c r="AN60" s="504"/>
      <c r="AO60" s="504"/>
      <c r="AP60" s="504"/>
      <c r="AR60" s="504">
        <f>AR72/AR35</f>
        <v>10.005034888493638</v>
      </c>
      <c r="AS60" s="504"/>
      <c r="AT60" s="504"/>
      <c r="AU60" s="504"/>
      <c r="AW60" s="504">
        <f>AW72/AW35</f>
        <v>7.9601404741000881</v>
      </c>
      <c r="AX60" s="504"/>
      <c r="AY60" s="504"/>
      <c r="AZ60" s="504"/>
      <c r="BB60" s="504">
        <f ca="1">BB72/BB35</f>
        <v>8.5478478837439127</v>
      </c>
      <c r="BC60" s="504"/>
      <c r="BD60" s="504"/>
      <c r="BE60" s="504"/>
      <c r="BG60" s="504">
        <f ca="1">BG72/BG35</f>
        <v>8.5373343055548343</v>
      </c>
      <c r="BH60" s="504"/>
      <c r="BI60" s="504"/>
      <c r="BJ60" s="504"/>
      <c r="BL60" s="504">
        <f ca="1">BL72/BL35</f>
        <v>8.5094676446508668</v>
      </c>
      <c r="BM60" s="504"/>
      <c r="BN60" s="504"/>
      <c r="BO60" s="504"/>
      <c r="BQ60" s="504">
        <f ca="1">BQ72/BQ35</f>
        <v>8.1871879899620197</v>
      </c>
      <c r="BR60" s="31"/>
      <c r="BS60" s="31"/>
      <c r="CA60" s="535"/>
      <c r="CB60" s="535"/>
      <c r="CC60" s="535"/>
      <c r="CD60" s="535"/>
      <c r="CE60" s="535"/>
      <c r="CF60" s="535"/>
      <c r="CG60" s="535"/>
      <c r="CH60" s="535"/>
      <c r="CI60" s="535"/>
      <c r="CJ60" s="535"/>
      <c r="CK60" s="535"/>
      <c r="CL60" s="535"/>
      <c r="CM60" s="535"/>
      <c r="CN60" s="535"/>
      <c r="CO60" s="535"/>
      <c r="CP60" s="535"/>
      <c r="CQ60" s="535"/>
      <c r="CR60" s="535"/>
      <c r="CS60" s="535"/>
      <c r="CT60" s="535"/>
      <c r="CU60" s="535"/>
      <c r="CV60" s="535"/>
      <c r="CW60" s="535"/>
      <c r="CX60" s="535"/>
      <c r="CY60" s="535"/>
      <c r="CZ60" s="535"/>
      <c r="DA60" s="535"/>
      <c r="DB60" s="535"/>
      <c r="DC60" s="535"/>
      <c r="DD60" s="535"/>
      <c r="DE60" s="535"/>
      <c r="DF60" s="535"/>
      <c r="DG60" s="535"/>
      <c r="DH60" s="535"/>
      <c r="DI60" s="535"/>
      <c r="DJ60" s="535"/>
      <c r="DK60" s="535"/>
      <c r="DL60" s="535"/>
      <c r="DM60" s="535"/>
      <c r="DN60" s="535"/>
      <c r="DO60" s="535"/>
      <c r="DP60" s="535"/>
      <c r="DQ60" s="535"/>
      <c r="DR60" s="535"/>
      <c r="DS60" s="535"/>
      <c r="DT60" s="535"/>
      <c r="DU60" s="535"/>
      <c r="DV60" s="535"/>
      <c r="DW60" s="535"/>
      <c r="DX60" s="535"/>
      <c r="DY60" s="535"/>
      <c r="DZ60" s="535"/>
      <c r="EA60" s="535"/>
      <c r="EB60" s="535"/>
      <c r="EC60" s="535"/>
      <c r="ED60" s="535"/>
      <c r="EE60" s="535"/>
      <c r="EF60" s="535"/>
      <c r="EG60" s="535"/>
      <c r="EH60" s="535"/>
      <c r="EI60" s="535"/>
    </row>
    <row r="61" spans="2:139">
      <c r="B61" s="31"/>
      <c r="C61" s="232" t="s">
        <v>487</v>
      </c>
      <c r="D61" s="523"/>
      <c r="E61" s="523"/>
      <c r="F61" s="524"/>
      <c r="G61" s="524"/>
      <c r="H61" s="524"/>
      <c r="I61" s="523"/>
      <c r="J61" s="523"/>
      <c r="K61" s="524"/>
      <c r="L61" s="524"/>
      <c r="M61" s="524"/>
      <c r="N61" s="524">
        <f>+N46</f>
        <v>5.1045211473018971E-2</v>
      </c>
      <c r="O61" s="524"/>
      <c r="P61" s="524"/>
      <c r="Q61" s="524"/>
      <c r="R61" s="524"/>
      <c r="S61" s="524">
        <f>+S46</f>
        <v>5.1045211473018971E-2</v>
      </c>
      <c r="T61" s="524"/>
      <c r="U61" s="524"/>
      <c r="V61" s="524"/>
      <c r="X61" s="524">
        <f>+X46</f>
        <v>5.1045211473018964E-2</v>
      </c>
      <c r="Y61" s="524"/>
      <c r="Z61" s="524"/>
      <c r="AA61" s="524"/>
      <c r="AC61" s="524">
        <f>+AC46</f>
        <v>3.5488575595527469E-2</v>
      </c>
      <c r="AD61" s="524"/>
      <c r="AE61" s="524"/>
      <c r="AF61" s="524"/>
      <c r="AH61" s="524">
        <f>+AH46</f>
        <v>3.0140982012639764E-2</v>
      </c>
      <c r="AI61" s="524"/>
      <c r="AJ61" s="524"/>
      <c r="AK61" s="524"/>
      <c r="AM61" s="524">
        <f>+AM46</f>
        <v>3.0140982012639764E-2</v>
      </c>
      <c r="AN61" s="524"/>
      <c r="AO61" s="524"/>
      <c r="AP61" s="524"/>
      <c r="AR61" s="524">
        <f>+AR46</f>
        <v>3.0627126883811376E-2</v>
      </c>
      <c r="AS61" s="524"/>
      <c r="AT61" s="524"/>
      <c r="AU61" s="524"/>
      <c r="AW61" s="524">
        <f>+AW46</f>
        <v>3.1842489061740399E-2</v>
      </c>
      <c r="AX61" s="524"/>
      <c r="AY61" s="524"/>
      <c r="AZ61" s="524"/>
      <c r="BB61" s="524">
        <f>+BB46</f>
        <v>3.354399611084103E-2</v>
      </c>
      <c r="BC61" s="524"/>
      <c r="BD61" s="524"/>
      <c r="BE61" s="524"/>
      <c r="BG61" s="524">
        <f>+BG46</f>
        <v>3.5221195916383077E-2</v>
      </c>
      <c r="BH61" s="524"/>
      <c r="BI61" s="524"/>
      <c r="BJ61" s="524"/>
      <c r="BL61" s="524">
        <f>+BL46</f>
        <v>3.6982255712202233E-2</v>
      </c>
      <c r="BM61" s="524"/>
      <c r="BN61" s="524"/>
      <c r="BO61" s="524"/>
      <c r="BQ61" s="524">
        <f>+BQ46</f>
        <v>3.8831368497812345E-2</v>
      </c>
      <c r="BR61" s="31"/>
      <c r="CK61" s="535"/>
      <c r="CL61" s="535"/>
      <c r="CM61" s="535"/>
      <c r="CN61" s="535"/>
      <c r="CO61" s="535"/>
      <c r="CP61" s="535"/>
      <c r="CQ61" s="535"/>
      <c r="CR61" s="535"/>
      <c r="CS61" s="535"/>
      <c r="CT61" s="535"/>
      <c r="CU61" s="535"/>
      <c r="CV61" s="535"/>
      <c r="CW61" s="535"/>
      <c r="CX61" s="535"/>
      <c r="CY61" s="535"/>
      <c r="CZ61" s="535"/>
      <c r="DA61" s="535"/>
      <c r="DB61" s="535"/>
      <c r="DC61" s="535"/>
      <c r="DD61" s="535"/>
      <c r="DE61" s="535"/>
      <c r="DF61" s="535"/>
      <c r="DG61" s="535"/>
      <c r="DH61" s="535"/>
      <c r="DI61" s="535"/>
      <c r="DJ61" s="535"/>
      <c r="DK61" s="535"/>
      <c r="DL61" s="535"/>
      <c r="DM61" s="535"/>
      <c r="DN61" s="535"/>
      <c r="DO61" s="535"/>
      <c r="DP61" s="535"/>
      <c r="DQ61" s="535"/>
      <c r="DR61" s="535"/>
      <c r="DS61" s="535"/>
      <c r="DT61" s="234"/>
      <c r="DU61" s="535"/>
      <c r="DV61" s="535"/>
      <c r="DW61" s="535"/>
      <c r="DX61" s="535"/>
      <c r="DY61" s="234"/>
      <c r="DZ61" s="535"/>
      <c r="EA61" s="535"/>
      <c r="EB61" s="535"/>
      <c r="EC61" s="535"/>
      <c r="ED61" s="234"/>
      <c r="EE61" s="535"/>
      <c r="EF61" s="535"/>
      <c r="EG61" s="535"/>
      <c r="EH61" s="535"/>
      <c r="EI61" s="234"/>
    </row>
    <row r="62" spans="2:139">
      <c r="B62" s="31"/>
      <c r="C62" s="232" t="s">
        <v>337</v>
      </c>
      <c r="D62" s="232"/>
      <c r="F62" s="512"/>
      <c r="G62" s="512"/>
      <c r="H62" s="512"/>
      <c r="I62" s="232"/>
      <c r="K62" s="512"/>
      <c r="L62" s="512"/>
      <c r="M62" s="512"/>
      <c r="N62" s="526">
        <f>CF16/N69</f>
        <v>14.739130434782609</v>
      </c>
      <c r="O62" s="512"/>
      <c r="P62" s="527"/>
      <c r="Q62" s="512"/>
      <c r="R62" s="512"/>
      <c r="S62" s="526">
        <f>CK16/S69</f>
        <v>15.635869565217391</v>
      </c>
      <c r="T62" s="481"/>
      <c r="U62" s="481"/>
      <c r="V62" s="481"/>
      <c r="W62" s="481"/>
      <c r="X62" s="526">
        <f>CP16/X69</f>
        <v>23.504347826086956</v>
      </c>
      <c r="Y62" s="481"/>
      <c r="Z62" s="481"/>
      <c r="AA62" s="481"/>
      <c r="AB62" s="481"/>
      <c r="AC62" s="526">
        <f>CU16/AC69</f>
        <v>24.918478260869566</v>
      </c>
      <c r="AD62" s="481"/>
      <c r="AE62" s="481"/>
      <c r="AF62" s="481"/>
      <c r="AG62" s="481"/>
      <c r="AH62" s="526">
        <f>CZ16/AH69</f>
        <v>24.783695652173915</v>
      </c>
      <c r="AI62" s="481"/>
      <c r="AJ62" s="481"/>
      <c r="AK62" s="481"/>
      <c r="AL62" s="481"/>
      <c r="AM62" s="526">
        <f>DE16/AM69</f>
        <v>28.276086956521738</v>
      </c>
      <c r="AN62" s="481"/>
      <c r="AO62" s="481"/>
      <c r="AP62" s="481"/>
      <c r="AQ62" s="481"/>
      <c r="AR62" s="526">
        <f>DJ16/AR69</f>
        <v>28.083695652173912</v>
      </c>
      <c r="AS62" s="481"/>
      <c r="AT62" s="481"/>
      <c r="AU62" s="481"/>
      <c r="AV62" s="481"/>
      <c r="AW62" s="526">
        <f>DO16/AW69</f>
        <v>32.45326086956522</v>
      </c>
      <c r="AX62" s="481"/>
      <c r="AY62" s="481"/>
      <c r="AZ62" s="481"/>
      <c r="BA62" s="481"/>
      <c r="BB62" s="526">
        <f ca="1">DT16/BB69</f>
        <v>34.221216034296631</v>
      </c>
      <c r="BC62" s="481"/>
      <c r="BD62" s="481"/>
      <c r="BE62" s="481"/>
      <c r="BF62" s="481"/>
      <c r="BG62" s="526">
        <f ca="1">DY16/BG69</f>
        <v>35.755824240047083</v>
      </c>
      <c r="BH62" s="481"/>
      <c r="BI62" s="481"/>
      <c r="BJ62" s="481"/>
      <c r="BK62" s="481"/>
      <c r="BL62" s="526">
        <f ca="1">ED16/BL69</f>
        <v>37.140293702141335</v>
      </c>
      <c r="BM62" s="481"/>
      <c r="BN62" s="481"/>
      <c r="BO62" s="481"/>
      <c r="BP62" s="481"/>
      <c r="BQ62" s="526">
        <f ca="1">EI16/BQ69</f>
        <v>38.647413488806144</v>
      </c>
      <c r="BR62" s="31"/>
      <c r="CK62" s="535"/>
      <c r="CP62" s="535"/>
      <c r="CU62" s="535"/>
      <c r="CZ62" s="535"/>
      <c r="DE62" s="535"/>
      <c r="DJ62" s="535"/>
      <c r="DO62" s="535"/>
      <c r="DT62" s="512"/>
      <c r="DY62" s="512"/>
      <c r="ED62" s="512"/>
      <c r="EI62" s="512"/>
    </row>
    <row r="63" spans="2:139">
      <c r="B63" s="31"/>
      <c r="C63" s="31"/>
      <c r="D63" s="31"/>
      <c r="I63" s="31"/>
      <c r="N63" s="31"/>
      <c r="S63" s="31"/>
      <c r="X63" s="31"/>
      <c r="AC63" s="31"/>
      <c r="AH63" s="31"/>
      <c r="AI63" s="517"/>
      <c r="AJ63" s="517"/>
      <c r="AK63" s="517"/>
      <c r="AM63" s="31"/>
      <c r="AN63" s="517"/>
      <c r="AO63" s="517"/>
      <c r="AP63" s="517"/>
      <c r="AR63" s="31"/>
      <c r="AS63" s="517"/>
      <c r="AT63" s="517"/>
      <c r="AU63" s="517"/>
      <c r="AW63" s="31"/>
      <c r="AX63" s="517"/>
      <c r="AY63" s="517"/>
      <c r="AZ63" s="517"/>
      <c r="BB63" s="31"/>
      <c r="BC63" s="517"/>
      <c r="BD63" s="517"/>
      <c r="BE63" s="517"/>
      <c r="BG63" s="31"/>
      <c r="BH63" s="517"/>
      <c r="BI63" s="517"/>
      <c r="BJ63" s="517"/>
      <c r="BL63" s="31"/>
      <c r="BM63" s="517"/>
      <c r="BN63" s="517"/>
      <c r="BO63" s="517"/>
      <c r="BQ63" s="31"/>
      <c r="BR63" s="31"/>
    </row>
    <row r="64" spans="2:139">
      <c r="B64" s="31"/>
      <c r="C64" s="232" t="s">
        <v>497</v>
      </c>
      <c r="D64" s="232"/>
      <c r="F64" s="512"/>
      <c r="G64" s="517"/>
      <c r="H64" s="517"/>
      <c r="I64" s="232"/>
      <c r="K64" s="512"/>
      <c r="L64" s="517"/>
      <c r="M64" s="517"/>
      <c r="N64" s="866">
        <f>(N18*N52)/AVERAGE(CA16,CF16)</f>
        <v>0.20526717557251908</v>
      </c>
      <c r="O64" s="718"/>
      <c r="P64" s="718"/>
      <c r="Q64" s="718"/>
      <c r="R64" s="718"/>
      <c r="S64" s="866">
        <f>(S18*S52)/AVERAGE(CF16,CK16)</f>
        <v>0.19774557165861514</v>
      </c>
      <c r="T64" s="718"/>
      <c r="U64" s="718"/>
      <c r="V64" s="718"/>
      <c r="W64" s="4"/>
      <c r="X64" s="866">
        <f>(X18*X52)/AVERAGE(CK16,CP16)</f>
        <v>0.12941209142158902</v>
      </c>
      <c r="Y64" s="718"/>
      <c r="Z64" s="718"/>
      <c r="AA64" s="718"/>
      <c r="AB64" s="4"/>
      <c r="AC64" s="866">
        <f>(AC18*AC52)/AVERAGE(CP16,CU16)</f>
        <v>9.6478035421670522E-2</v>
      </c>
      <c r="AD64" s="718"/>
      <c r="AE64" s="718"/>
      <c r="AF64" s="718"/>
      <c r="AG64" s="4"/>
      <c r="AH64" s="866">
        <f>(AH18*AH52)/AVERAGE(CU16,CZ16)</f>
        <v>9.045182172068407E-2</v>
      </c>
      <c r="AI64" s="732"/>
      <c r="AJ64" s="732"/>
      <c r="AK64" s="732"/>
      <c r="AL64" s="732"/>
      <c r="AM64" s="866">
        <f>(AM18*AM52)/AVERAGE(CZ16,DE16)</f>
        <v>9.1242445969476602E-2</v>
      </c>
      <c r="AN64" s="732"/>
      <c r="AO64" s="732"/>
      <c r="AP64" s="732"/>
      <c r="AQ64" s="732"/>
      <c r="AR64" s="866">
        <f ca="1">(AR18*AR52)/AVERAGE(DE16,DT16)</f>
        <v>8.6553440378647331E-2</v>
      </c>
      <c r="AS64" s="732"/>
      <c r="AT64" s="732"/>
      <c r="AU64" s="732"/>
      <c r="AV64" s="732"/>
      <c r="AW64" s="866">
        <f>(AW18*AW52)/AVERAGE(DJ16,EN16)</f>
        <v>9.5588179461330955E-2</v>
      </c>
      <c r="AX64" s="732"/>
      <c r="AY64" s="732"/>
      <c r="AZ64" s="732"/>
      <c r="BA64" s="732"/>
      <c r="BB64" s="866">
        <f ca="1">(BB18*BB52)/AVERAGE(DO16,ES16)</f>
        <v>9.8987130373209178E-2</v>
      </c>
      <c r="BC64" s="732"/>
      <c r="BD64" s="732"/>
      <c r="BE64" s="732"/>
      <c r="BF64" s="732"/>
      <c r="BG64" s="866">
        <f ca="1">(BG18*BG52)/AVERAGE(DT16,EX16)</f>
        <v>8.9164955526197326E-2</v>
      </c>
      <c r="BH64" s="732"/>
      <c r="BI64" s="732"/>
      <c r="BJ64" s="732"/>
      <c r="BK64" s="732"/>
      <c r="BL64" s="866">
        <f ca="1">(BL18*BL52)/AVERAGE(DY16,FC16)</f>
        <v>8.3260021978739329E-2</v>
      </c>
      <c r="BM64" s="732"/>
      <c r="BN64" s="732"/>
      <c r="BO64" s="732"/>
      <c r="BP64" s="732"/>
      <c r="BQ64" s="866">
        <f ca="1">(BQ18*BQ52)/AVERAGE(ED16,FH16)</f>
        <v>8.560269136971059E-2</v>
      </c>
      <c r="BR64" s="31"/>
    </row>
    <row r="65" spans="2:70">
      <c r="B65" s="31"/>
      <c r="C65" s="40" t="s">
        <v>341</v>
      </c>
      <c r="D65" s="31"/>
      <c r="H65" s="517"/>
      <c r="I65" s="31"/>
      <c r="N65" s="867">
        <f>(EXC!N32*(1-EXC!N115))/(AVERAGE((EXC!N196-EXC!N179-EXC!N200-EXC!N202),(EXC!I196-EXC!I179-EXC!I200-EXC!I202)))</f>
        <v>6.6916419190485812E-2</v>
      </c>
      <c r="O65" s="867"/>
      <c r="P65" s="867"/>
      <c r="Q65" s="867"/>
      <c r="R65" s="867"/>
      <c r="S65" s="867">
        <f>(EXC!S32*(1-EXC!S115))/(AVERAGE((EXC!S196-EXC!S179-EXC!S200-EXC!S202),(EXC!N196-EXC!N179-EXC!N200-EXC!N202)))</f>
        <v>6.0511875821334105E-2</v>
      </c>
      <c r="T65" s="867"/>
      <c r="U65" s="867"/>
      <c r="V65" s="867"/>
      <c r="W65" s="867"/>
      <c r="X65" s="867">
        <f>(EXC!X32*(1-EXC!X115))/(AVERAGE((EXC!X196-EXC!X179-EXC!X200-EXC!X202),(EXC!S196-EXC!S179-EXC!S200-EXC!S202)))</f>
        <v>2.9292466412153204E-2</v>
      </c>
      <c r="Y65" s="867"/>
      <c r="Z65" s="867"/>
      <c r="AA65" s="867"/>
      <c r="AB65" s="867"/>
      <c r="AC65" s="867">
        <f>(EXC!AC32*(1-EXC!AC115))/(AVERAGE((EXC!AC196-EXC!AC179-EXC!AC200-EXC!AC202),(EXC!X196-EXC!X179-EXC!X200-EXC!X202)))</f>
        <v>3.5849816475252726E-2</v>
      </c>
      <c r="AD65" s="867"/>
      <c r="AE65" s="867"/>
      <c r="AF65" s="867"/>
      <c r="AG65" s="867"/>
      <c r="AH65" s="867">
        <f>(EXC!AH32*(1-EXC!AH115))/(AVERAGE((EXC!AH196-EXC!AH179-EXC!AH200-EXC!AH202),(EXC!AC196-EXC!AC179-EXC!AC200-EXC!AC202)))</f>
        <v>3.4317025185935969E-2</v>
      </c>
      <c r="AI65" s="867"/>
      <c r="AJ65" s="867"/>
      <c r="AK65" s="867"/>
      <c r="AL65" s="867"/>
      <c r="AM65" s="867">
        <f>(EXC!AM32*(1-EXC!AM115))/(AVERAGE((EXC!AM196-EXC!AM179-EXC!AM200-EXC!AM202),(EXC!AH196-EXC!AH179-EXC!AH200-EXC!AH202)))</f>
        <v>3.6659084147234074E-2</v>
      </c>
      <c r="AN65" s="867"/>
      <c r="AO65" s="867"/>
      <c r="AP65" s="867"/>
      <c r="AQ65" s="867"/>
      <c r="AR65" s="867">
        <f>(EXC!AR32*(1-EXC!AR115))/(AVERAGE((EXC!AR196-EXC!AR179-EXC!AR200-EXC!AR202),(EXC!AM196-EXC!AM179-EXC!AM200-EXC!AM202)))</f>
        <v>2.2908760656490914E-2</v>
      </c>
      <c r="AS65" s="867"/>
      <c r="AT65" s="867"/>
      <c r="AU65" s="867"/>
      <c r="AV65" s="867"/>
      <c r="AW65" s="867">
        <f>(EXC!AW32*(1-EXC!AW115))/(AVERAGE((EXC!AW196-EXC!AW179-EXC!AW200-EXC!AW202),(EXC!AR196-EXC!AR179-EXC!AR200-EXC!AR202)))</f>
        <v>5.1122715852823457E-2</v>
      </c>
      <c r="AX65" s="867"/>
      <c r="AY65" s="867"/>
      <c r="AZ65" s="867"/>
      <c r="BA65" s="867"/>
      <c r="BB65" s="867">
        <f ca="1">(EXC!BB32*(1-EXC!BB115))/(AVERAGE((EXC!BB196-EXC!BB179-EXC!BB200-EXC!BB202),(EXC!AW196-EXC!AW179-EXC!AW200-EXC!AW202)))</f>
        <v>3.8214540608675678E-2</v>
      </c>
      <c r="BC65" s="867"/>
      <c r="BD65" s="867"/>
      <c r="BE65" s="867"/>
      <c r="BF65" s="867"/>
      <c r="BG65" s="867">
        <f ca="1">(EXC!BG32*(1-EXC!BG115))/(AVERAGE((EXC!BG196-EXC!BG179-EXC!BG200-EXC!BG202),(EXC!BB196-EXC!BB179-EXC!BB200-EXC!BB202)))</f>
        <v>3.6200812839066857E-2</v>
      </c>
      <c r="BH65" s="867"/>
      <c r="BI65" s="867"/>
      <c r="BJ65" s="867"/>
      <c r="BK65" s="867"/>
      <c r="BL65" s="867">
        <f ca="1">(EXC!BL32*(1-EXC!BL115))/(AVERAGE((EXC!BL196-EXC!BL179-EXC!BL200-EXC!BL202),(EXC!BG196-EXC!BG179-EXC!BG200-EXC!BG202)))</f>
        <v>3.489567527909479E-2</v>
      </c>
      <c r="BM65" s="867"/>
      <c r="BN65" s="867"/>
      <c r="BO65" s="867"/>
      <c r="BP65" s="867"/>
      <c r="BQ65" s="867">
        <f ca="1">(EXC!BQ32*(1-EXC!BQ115))/(AVERAGE((EXC!BQ196-EXC!BQ179-EXC!BQ200-EXC!BQ202),(EXC!BL196-EXC!BL179-EXC!BL200-EXC!BL202)))</f>
        <v>3.6108182565299428E-2</v>
      </c>
      <c r="BR65" s="31"/>
    </row>
    <row r="66" spans="2:70">
      <c r="B66" s="31"/>
      <c r="C66" s="245" t="s">
        <v>343</v>
      </c>
      <c r="D66" s="537"/>
      <c r="F66" s="527"/>
      <c r="G66" s="517"/>
      <c r="I66" s="232"/>
      <c r="K66" s="527"/>
      <c r="L66" s="517"/>
      <c r="M66" s="517"/>
      <c r="N66" s="866">
        <f>(N18*N52)/AVERAGE(EXC!I196,EXC!N196)</f>
        <v>5.3027016367580358E-2</v>
      </c>
      <c r="O66" s="718"/>
      <c r="P66" s="718"/>
      <c r="Q66" s="718"/>
      <c r="R66" s="718"/>
      <c r="S66" s="866">
        <f>(S18*S52)/AVERAGE(EXC!N196,EXC!S196)</f>
        <v>5.1485111616293371E-2</v>
      </c>
      <c r="T66" s="718"/>
      <c r="U66" s="718"/>
      <c r="V66" s="718"/>
      <c r="W66" s="4"/>
      <c r="X66" s="866">
        <f>(X18*X52)/AVERAGE(EXC!S196,EXC!X196)</f>
        <v>3.4868233991290416E-2</v>
      </c>
      <c r="Y66" s="718"/>
      <c r="Z66" s="718"/>
      <c r="AA66" s="718"/>
      <c r="AB66" s="4"/>
      <c r="AC66" s="866">
        <f>(AC18*AC52)/AVERAGE(EXC!X196,EXC!AC196)</f>
        <v>2.7120483600247353E-2</v>
      </c>
      <c r="AD66" s="718"/>
      <c r="AE66" s="718"/>
      <c r="AF66" s="718"/>
      <c r="AG66" s="4"/>
      <c r="AH66" s="866">
        <f>(AH18*AH52)/AVERAGE(EXC!AC196,EXC!AH196)</f>
        <v>2.4805383295949335E-2</v>
      </c>
      <c r="AI66" s="236"/>
      <c r="AJ66" s="236"/>
      <c r="AK66" s="236"/>
      <c r="AL66" s="4"/>
      <c r="AM66" s="866">
        <f>(AM18*AM52)/AVERAGE(EXC!AH196,EXC!AM196)</f>
        <v>2.4445932447117971E-2</v>
      </c>
      <c r="AN66" s="236"/>
      <c r="AO66" s="236"/>
      <c r="AP66" s="236"/>
      <c r="AQ66" s="4"/>
      <c r="AR66" s="866">
        <f>(AR18*AR52)/AVERAGE(EXC!AM196,EXC!AR196)</f>
        <v>2.3665677837930318E-2</v>
      </c>
      <c r="AS66" s="236"/>
      <c r="AT66" s="236"/>
      <c r="AU66" s="236"/>
      <c r="AV66" s="4"/>
      <c r="AW66" s="866">
        <f>(AW18*AW52)/AVERAGE(EXC!AR196,EXC!AW196)</f>
        <v>2.1327021923130927E-2</v>
      </c>
      <c r="AX66" s="236"/>
      <c r="AY66" s="236"/>
      <c r="AZ66" s="236"/>
      <c r="BA66" s="4"/>
      <c r="BB66" s="866">
        <f ca="1">(BB18*BB52)/AVERAGE(EXC!AW196,EXC!BB196)</f>
        <v>2.4994235584269723E-2</v>
      </c>
      <c r="BC66" s="236"/>
      <c r="BD66" s="236"/>
      <c r="BE66" s="236"/>
      <c r="BF66" s="4"/>
      <c r="BG66" s="866">
        <f ca="1">(BG18*BG52)/AVERAGE(EXC!BB196,EXC!BG196)</f>
        <v>2.3175700304436664E-2</v>
      </c>
      <c r="BH66" s="236"/>
      <c r="BI66" s="236"/>
      <c r="BJ66" s="236"/>
      <c r="BK66" s="4"/>
      <c r="BL66" s="866">
        <f ca="1">(BL18*BL52)/AVERAGE(EXC!BG196,EXC!BL196)</f>
        <v>2.2167104543565044E-2</v>
      </c>
      <c r="BM66" s="236"/>
      <c r="BN66" s="236"/>
      <c r="BO66" s="236"/>
      <c r="BP66" s="4"/>
      <c r="BQ66" s="866">
        <f ca="1">(BQ18*BQ52)/AVERAGE(EXC!BL196,EXC!BQ196)</f>
        <v>2.3244259317587522E-2</v>
      </c>
      <c r="BR66" s="31"/>
    </row>
    <row r="67" spans="2:70">
      <c r="B67" s="31"/>
      <c r="C67" s="484"/>
      <c r="D67" s="31"/>
      <c r="I67" s="31"/>
      <c r="N67" s="31"/>
      <c r="Q67" s="512"/>
      <c r="R67" s="512"/>
      <c r="S67" s="31"/>
      <c r="V67" s="512"/>
      <c r="X67" s="31"/>
      <c r="AA67" s="512"/>
      <c r="AC67" s="31"/>
      <c r="AF67" s="512"/>
      <c r="AH67" s="31"/>
      <c r="AK67" s="512"/>
      <c r="AM67" s="31"/>
      <c r="AP67" s="512"/>
      <c r="AR67" s="31"/>
      <c r="AU67" s="512"/>
      <c r="AW67" s="31"/>
      <c r="AZ67" s="512"/>
      <c r="BB67" s="31"/>
      <c r="BE67" s="512"/>
      <c r="BG67" s="31"/>
      <c r="BJ67" s="512"/>
      <c r="BL67" s="31"/>
      <c r="BO67" s="512"/>
      <c r="BQ67" s="31"/>
      <c r="BR67" s="31"/>
    </row>
    <row r="68" spans="2:70">
      <c r="B68" s="31"/>
      <c r="C68" s="514" t="s">
        <v>351</v>
      </c>
      <c r="D68" s="232"/>
      <c r="G68" s="512"/>
      <c r="H68" s="512"/>
      <c r="I68" s="31"/>
      <c r="L68" s="512"/>
      <c r="M68" s="512"/>
      <c r="N68" s="528">
        <f>+S68</f>
        <v>41.14</v>
      </c>
      <c r="O68" s="512"/>
      <c r="P68" s="527"/>
      <c r="Q68" s="512"/>
      <c r="R68" s="512"/>
      <c r="S68" s="528">
        <f>+X68</f>
        <v>41.14</v>
      </c>
      <c r="T68" s="481"/>
      <c r="U68" s="481"/>
      <c r="V68" s="481"/>
      <c r="W68" s="481"/>
      <c r="X68" s="528">
        <f>+AC68</f>
        <v>41.14</v>
      </c>
      <c r="Y68" s="481"/>
      <c r="Z68" s="481"/>
      <c r="AA68" s="481"/>
      <c r="AB68" s="481"/>
      <c r="AC68" s="528">
        <f>+AH68</f>
        <v>41.14</v>
      </c>
      <c r="AD68" s="481"/>
      <c r="AE68" s="481"/>
      <c r="AF68" s="481"/>
      <c r="AG68" s="481"/>
      <c r="AH68" s="528">
        <f>+AM68</f>
        <v>41.14</v>
      </c>
      <c r="AI68" s="481"/>
      <c r="AJ68" s="481"/>
      <c r="AK68" s="481"/>
      <c r="AL68" s="481"/>
      <c r="AM68" s="528">
        <f>+AR68</f>
        <v>41.14</v>
      </c>
      <c r="AN68" s="481"/>
      <c r="AO68" s="481"/>
      <c r="AP68" s="481"/>
      <c r="AQ68" s="481"/>
      <c r="AR68" s="526">
        <f>Valuation!$AM$18</f>
        <v>41.14</v>
      </c>
      <c r="AS68" s="481"/>
      <c r="AT68" s="481"/>
      <c r="AU68" s="481"/>
      <c r="AV68" s="481"/>
      <c r="AW68" s="526">
        <f>Valuation!$AM$18</f>
        <v>41.14</v>
      </c>
      <c r="AX68" s="481"/>
      <c r="AY68" s="481"/>
      <c r="AZ68" s="481"/>
      <c r="BA68" s="481"/>
      <c r="BB68" s="526">
        <f>Valuation!$AM$18</f>
        <v>41.14</v>
      </c>
      <c r="BC68" s="481"/>
      <c r="BD68" s="481"/>
      <c r="BE68" s="481"/>
      <c r="BF68" s="481"/>
      <c r="BG68" s="526">
        <f>Valuation!$AM$18</f>
        <v>41.14</v>
      </c>
      <c r="BH68" s="481"/>
      <c r="BI68" s="481"/>
      <c r="BJ68" s="481"/>
      <c r="BK68" s="481"/>
      <c r="BL68" s="526">
        <f>Valuation!$AM$18</f>
        <v>41.14</v>
      </c>
      <c r="BM68" s="481"/>
      <c r="BN68" s="481"/>
      <c r="BO68" s="481"/>
      <c r="BP68" s="481"/>
      <c r="BQ68" s="526">
        <f>Valuation!$AM$18</f>
        <v>41.14</v>
      </c>
      <c r="BR68" s="31"/>
    </row>
    <row r="69" spans="2:70">
      <c r="B69" s="31"/>
      <c r="C69" s="232" t="s">
        <v>490</v>
      </c>
      <c r="D69" s="529"/>
      <c r="E69" s="501"/>
      <c r="F69" s="501"/>
      <c r="G69" s="501"/>
      <c r="H69" s="501"/>
      <c r="I69" s="530"/>
      <c r="J69" s="501"/>
      <c r="K69" s="501"/>
      <c r="L69" s="501"/>
      <c r="M69" s="501"/>
      <c r="N69" s="506">
        <f>+S69</f>
        <v>920</v>
      </c>
      <c r="O69" s="501"/>
      <c r="P69" s="501"/>
      <c r="Q69" s="501"/>
      <c r="R69" s="501"/>
      <c r="S69" s="506">
        <f>+X69</f>
        <v>920</v>
      </c>
      <c r="T69" s="501"/>
      <c r="U69" s="501"/>
      <c r="V69" s="501"/>
      <c r="W69" s="501"/>
      <c r="X69" s="506">
        <f>+AC69</f>
        <v>920</v>
      </c>
      <c r="Y69" s="501"/>
      <c r="Z69" s="501"/>
      <c r="AA69" s="501"/>
      <c r="AB69" s="501"/>
      <c r="AC69" s="506">
        <f>+AH69</f>
        <v>920</v>
      </c>
      <c r="AD69" s="501"/>
      <c r="AE69" s="501"/>
      <c r="AF69" s="501"/>
      <c r="AG69" s="501"/>
      <c r="AH69" s="506">
        <f>+AM69</f>
        <v>920</v>
      </c>
      <c r="AI69" s="501"/>
      <c r="AJ69" s="501"/>
      <c r="AK69" s="501"/>
      <c r="AL69" s="501"/>
      <c r="AM69" s="506">
        <f>+AR69</f>
        <v>920</v>
      </c>
      <c r="AN69" s="501"/>
      <c r="AO69" s="501"/>
      <c r="AP69" s="501"/>
      <c r="AQ69" s="501"/>
      <c r="AR69" s="506">
        <f>+AW69</f>
        <v>920</v>
      </c>
      <c r="AS69" s="501"/>
      <c r="AT69" s="501"/>
      <c r="AU69" s="501"/>
      <c r="AV69" s="501"/>
      <c r="AW69" s="506">
        <f>+EXC!$AM$48</f>
        <v>920</v>
      </c>
      <c r="AX69" s="501"/>
      <c r="AY69" s="501"/>
      <c r="AZ69" s="501"/>
      <c r="BA69" s="501"/>
      <c r="BB69" s="506">
        <f>+EXC!$AM$48</f>
        <v>920</v>
      </c>
      <c r="BC69" s="501"/>
      <c r="BD69" s="501"/>
      <c r="BE69" s="501"/>
      <c r="BF69" s="501"/>
      <c r="BG69" s="506">
        <f>+EXC!$AM$48</f>
        <v>920</v>
      </c>
      <c r="BH69" s="501"/>
      <c r="BI69" s="501"/>
      <c r="BJ69" s="501"/>
      <c r="BK69" s="501"/>
      <c r="BL69" s="506">
        <f>+EXC!$AM$48</f>
        <v>920</v>
      </c>
      <c r="BM69" s="501"/>
      <c r="BN69" s="501"/>
      <c r="BO69" s="501"/>
      <c r="BP69" s="501"/>
      <c r="BQ69" s="506">
        <f>+EXC!$AM$48</f>
        <v>920</v>
      </c>
      <c r="BR69" s="31"/>
    </row>
    <row r="70" spans="2:70">
      <c r="B70" s="31"/>
      <c r="C70" s="515" t="s">
        <v>491</v>
      </c>
      <c r="D70" s="529"/>
      <c r="E70" s="519"/>
      <c r="F70" s="531"/>
      <c r="G70" s="519"/>
      <c r="H70" s="531"/>
      <c r="I70" s="502"/>
      <c r="J70" s="519"/>
      <c r="K70" s="531"/>
      <c r="L70" s="519"/>
      <c r="M70" s="531"/>
      <c r="N70" s="521">
        <f>+N68*N69</f>
        <v>37848.800000000003</v>
      </c>
      <c r="O70" s="519"/>
      <c r="P70" s="531"/>
      <c r="Q70" s="501"/>
      <c r="R70" s="501"/>
      <c r="S70" s="521">
        <f>+S68*S69</f>
        <v>37848.800000000003</v>
      </c>
      <c r="T70" s="519"/>
      <c r="U70" s="531"/>
      <c r="V70" s="501"/>
      <c r="W70" s="501"/>
      <c r="X70" s="521">
        <f>+X68*X69</f>
        <v>37848.800000000003</v>
      </c>
      <c r="Y70" s="519"/>
      <c r="Z70" s="531"/>
      <c r="AA70" s="501"/>
      <c r="AB70" s="501"/>
      <c r="AC70" s="521">
        <f>+AC68*AC69</f>
        <v>37848.800000000003</v>
      </c>
      <c r="AD70" s="519"/>
      <c r="AE70" s="531"/>
      <c r="AF70" s="501"/>
      <c r="AG70" s="501"/>
      <c r="AH70" s="521">
        <f>+AH68*AH69</f>
        <v>37848.800000000003</v>
      </c>
      <c r="AI70" s="519"/>
      <c r="AJ70" s="531"/>
      <c r="AK70" s="501"/>
      <c r="AL70" s="501"/>
      <c r="AM70" s="521">
        <f>+AM68*AM69</f>
        <v>37848.800000000003</v>
      </c>
      <c r="AN70" s="519"/>
      <c r="AO70" s="531"/>
      <c r="AP70" s="501"/>
      <c r="AQ70" s="501"/>
      <c r="AR70" s="521">
        <f>+AR68*AR69</f>
        <v>37848.800000000003</v>
      </c>
      <c r="AS70" s="519"/>
      <c r="AT70" s="531"/>
      <c r="AU70" s="501"/>
      <c r="AV70" s="501"/>
      <c r="AW70" s="521">
        <f>+AW68*AW69</f>
        <v>37848.800000000003</v>
      </c>
      <c r="AX70" s="519"/>
      <c r="AY70" s="531"/>
      <c r="AZ70" s="501"/>
      <c r="BA70" s="501"/>
      <c r="BB70" s="521">
        <f>+BB68*BB69</f>
        <v>37848.800000000003</v>
      </c>
      <c r="BC70" s="519"/>
      <c r="BD70" s="531"/>
      <c r="BE70" s="501"/>
      <c r="BF70" s="501"/>
      <c r="BG70" s="521">
        <f>+BG68*BG69</f>
        <v>37848.800000000003</v>
      </c>
      <c r="BH70" s="519"/>
      <c r="BI70" s="531"/>
      <c r="BJ70" s="501"/>
      <c r="BK70" s="501"/>
      <c r="BL70" s="521">
        <f>+BL68*BL69</f>
        <v>37848.800000000003</v>
      </c>
      <c r="BM70" s="519"/>
      <c r="BN70" s="531"/>
      <c r="BO70" s="501"/>
      <c r="BP70" s="501"/>
      <c r="BQ70" s="521">
        <f>+BQ68*BQ69</f>
        <v>37848.800000000003</v>
      </c>
      <c r="BR70" s="31"/>
    </row>
    <row r="71" spans="2:70">
      <c r="B71" s="31"/>
      <c r="C71" s="232" t="s">
        <v>355</v>
      </c>
      <c r="D71" s="502"/>
      <c r="E71" s="501"/>
      <c r="F71" s="501"/>
      <c r="G71" s="501"/>
      <c r="H71" s="501"/>
      <c r="I71" s="530"/>
      <c r="J71" s="501"/>
      <c r="K71" s="501"/>
      <c r="L71" s="501"/>
      <c r="M71" s="501"/>
      <c r="N71" s="506">
        <f>+CF13-CF9</f>
        <v>11216</v>
      </c>
      <c r="O71" s="501"/>
      <c r="P71" s="501"/>
      <c r="Q71" s="501"/>
      <c r="R71" s="501"/>
      <c r="S71" s="506">
        <f>+CK13-CK9</f>
        <v>12389</v>
      </c>
      <c r="T71" s="501"/>
      <c r="U71" s="501"/>
      <c r="V71" s="501"/>
      <c r="W71" s="501"/>
      <c r="X71" s="506">
        <f>+CP13-CP9</f>
        <v>18117</v>
      </c>
      <c r="Y71" s="501"/>
      <c r="Z71" s="501"/>
      <c r="AA71" s="501"/>
      <c r="AB71" s="501"/>
      <c r="AC71" s="506">
        <f>+CU13-CU9</f>
        <v>18512</v>
      </c>
      <c r="AD71" s="501"/>
      <c r="AE71" s="501"/>
      <c r="AF71" s="501"/>
      <c r="AG71" s="501"/>
      <c r="AH71" s="506">
        <f>+CZ13-CZ9</f>
        <v>20394</v>
      </c>
      <c r="AI71" s="501"/>
      <c r="AJ71" s="501"/>
      <c r="AK71" s="501"/>
      <c r="AL71" s="501"/>
      <c r="AM71" s="506">
        <f>+DE13-DE9</f>
        <v>19817</v>
      </c>
      <c r="AN71" s="501"/>
      <c r="AO71" s="501"/>
      <c r="AP71" s="501"/>
      <c r="AQ71" s="501"/>
      <c r="AR71" s="506">
        <f>+DJ13-DJ9</f>
        <v>35278</v>
      </c>
      <c r="AS71" s="501"/>
      <c r="AT71" s="501"/>
      <c r="AU71" s="501"/>
      <c r="AV71" s="501"/>
      <c r="AW71" s="506">
        <f>+DO13-DO9</f>
        <v>34684</v>
      </c>
      <c r="AX71" s="501"/>
      <c r="AY71" s="501"/>
      <c r="AZ71" s="501"/>
      <c r="BA71" s="501"/>
      <c r="BB71" s="506">
        <f ca="1">+DT13-DT9</f>
        <v>35905.284233207945</v>
      </c>
      <c r="BC71" s="501"/>
      <c r="BD71" s="501"/>
      <c r="BE71" s="501"/>
      <c r="BF71" s="501"/>
      <c r="BG71" s="506">
        <f ca="1">+DY13-DY9</f>
        <v>36497.043065290025</v>
      </c>
      <c r="BH71" s="501"/>
      <c r="BI71" s="501"/>
      <c r="BJ71" s="501"/>
      <c r="BK71" s="501"/>
      <c r="BL71" s="506">
        <f ca="1">+ED13-ED9</f>
        <v>37256.874507100125</v>
      </c>
      <c r="BM71" s="501"/>
      <c r="BN71" s="501"/>
      <c r="BO71" s="501"/>
      <c r="BP71" s="501"/>
      <c r="BQ71" s="506">
        <f ca="1">+EI13-EI9</f>
        <v>37427.7956152365</v>
      </c>
    </row>
    <row r="72" spans="2:70">
      <c r="B72" s="31"/>
      <c r="C72" s="34" t="s">
        <v>492</v>
      </c>
      <c r="D72" s="532"/>
      <c r="E72" s="532"/>
      <c r="F72" s="532"/>
      <c r="G72" s="519"/>
      <c r="H72" s="532"/>
      <c r="I72" s="532"/>
      <c r="J72" s="532"/>
      <c r="K72" s="532"/>
      <c r="L72" s="519"/>
      <c r="M72" s="531"/>
      <c r="N72" s="521">
        <f>+N70+N71</f>
        <v>49064.800000000003</v>
      </c>
      <c r="O72" s="519"/>
      <c r="P72" s="531"/>
      <c r="Q72" s="501"/>
      <c r="R72" s="501"/>
      <c r="S72" s="521">
        <f>+S70+S71</f>
        <v>50237.8</v>
      </c>
      <c r="T72" s="519"/>
      <c r="U72" s="531"/>
      <c r="V72" s="501"/>
      <c r="W72" s="501"/>
      <c r="X72" s="521">
        <f>+X70+X71</f>
        <v>55965.8</v>
      </c>
      <c r="Y72" s="519"/>
      <c r="Z72" s="531"/>
      <c r="AA72" s="501"/>
      <c r="AB72" s="501"/>
      <c r="AC72" s="521">
        <f>+AC70+AC71</f>
        <v>56360.800000000003</v>
      </c>
      <c r="AD72" s="519"/>
      <c r="AE72" s="531"/>
      <c r="AF72" s="501"/>
      <c r="AG72" s="501"/>
      <c r="AH72" s="521">
        <f>+AH70+AH71</f>
        <v>58242.8</v>
      </c>
      <c r="AI72" s="519"/>
      <c r="AJ72" s="531"/>
      <c r="AK72" s="501"/>
      <c r="AL72" s="501"/>
      <c r="AM72" s="521">
        <f>+AM70+AM71</f>
        <v>57665.8</v>
      </c>
      <c r="AN72" s="519"/>
      <c r="AO72" s="531"/>
      <c r="AP72" s="501"/>
      <c r="AQ72" s="501"/>
      <c r="AR72" s="521">
        <f>+AR70+AR71</f>
        <v>73126.8</v>
      </c>
      <c r="AS72" s="519"/>
      <c r="AT72" s="531"/>
      <c r="AU72" s="501"/>
      <c r="AV72" s="501"/>
      <c r="AW72" s="521">
        <f>+AW70+AW71</f>
        <v>72532.800000000003</v>
      </c>
      <c r="AX72" s="519"/>
      <c r="AY72" s="531"/>
      <c r="AZ72" s="501"/>
      <c r="BA72" s="501"/>
      <c r="BB72" s="521">
        <f ca="1">+BB70+BB71</f>
        <v>73754.084233207948</v>
      </c>
      <c r="BC72" s="519"/>
      <c r="BD72" s="531"/>
      <c r="BE72" s="501"/>
      <c r="BF72" s="501"/>
      <c r="BG72" s="521">
        <f ca="1">+BG70+BG71</f>
        <v>74345.843065290028</v>
      </c>
      <c r="BH72" s="519"/>
      <c r="BI72" s="531"/>
      <c r="BJ72" s="501"/>
      <c r="BK72" s="501"/>
      <c r="BL72" s="521">
        <f ca="1">+BL70+BL71</f>
        <v>75105.674507100135</v>
      </c>
      <c r="BM72" s="519"/>
      <c r="BN72" s="531"/>
      <c r="BO72" s="501"/>
      <c r="BP72" s="501"/>
      <c r="BQ72" s="521">
        <f ca="1">+BQ70+BQ71</f>
        <v>75276.595615236496</v>
      </c>
    </row>
    <row r="75" spans="2:70">
      <c r="N75" s="536"/>
    </row>
    <row r="77" spans="2:70">
      <c r="AC77" s="42"/>
    </row>
    <row r="78" spans="2:70">
      <c r="AC78" s="42"/>
    </row>
    <row r="79" spans="2:70">
      <c r="AC79" s="42"/>
    </row>
    <row r="80" spans="2:70">
      <c r="AC80" s="42"/>
    </row>
  </sheetData>
  <phoneticPr fontId="2" type="noConversion"/>
  <pageMargins left="0" right="0" top="0" bottom="0" header="0" footer="0"/>
  <pageSetup paperSize="5" scale="78" orientation="landscape"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DY270"/>
  <sheetViews>
    <sheetView zoomScale="85" zoomScaleNormal="85" zoomScaleSheetLayoutView="55" workbookViewId="0">
      <pane xSplit="4" ySplit="5" topLeftCell="I6" activePane="bottomRight" state="frozen"/>
      <selection activeCell="AH758" sqref="AH758"/>
      <selection pane="topRight" activeCell="AH758" sqref="AH758"/>
      <selection pane="bottomLeft" activeCell="AH758" sqref="AH758"/>
      <selection pane="bottomRight" activeCell="I6" sqref="I6"/>
    </sheetView>
  </sheetViews>
  <sheetFormatPr defaultRowHeight="12.75" outlineLevelCol="1"/>
  <cols>
    <col min="1" max="1" width="2.7109375" style="232" customWidth="1"/>
    <col min="2" max="2" width="2.5703125" style="232" customWidth="1"/>
    <col min="3" max="3" width="45.7109375" style="232" customWidth="1"/>
    <col min="4" max="4" width="6.7109375" style="232" customWidth="1"/>
    <col min="5" max="8" width="9" style="232" hidden="1" customWidth="1" outlineLevel="1"/>
    <col min="9" max="9" width="9" style="232" customWidth="1" collapsed="1"/>
    <col min="10" max="13" width="9" style="232" hidden="1" customWidth="1" outlineLevel="1"/>
    <col min="14" max="14" width="9" style="232" customWidth="1" collapsed="1"/>
    <col min="15" max="18" width="9" style="232" hidden="1" customWidth="1" outlineLevel="1"/>
    <col min="19" max="19" width="9" style="232" customWidth="1" collapsed="1"/>
    <col min="20" max="20" width="9" style="232" hidden="1" customWidth="1" outlineLevel="1"/>
    <col min="21" max="21" width="9" style="599" hidden="1" customWidth="1" outlineLevel="1"/>
    <col min="22" max="23" width="9" style="232" hidden="1" customWidth="1" outlineLevel="1"/>
    <col min="24" max="24" width="9" style="232" customWidth="1" collapsed="1"/>
    <col min="25" max="28" width="9" style="232" hidden="1" customWidth="1" outlineLevel="1"/>
    <col min="29" max="29" width="9" style="232" customWidth="1" collapsed="1"/>
    <col min="30" max="33" width="9" style="232" hidden="1" customWidth="1" outlineLevel="1"/>
    <col min="34" max="34" width="9" style="232" customWidth="1" collapsed="1"/>
    <col min="35" max="37" width="9" style="232" hidden="1" customWidth="1" outlineLevel="1"/>
    <col min="38" max="38" width="9.7109375" style="232" hidden="1" customWidth="1" outlineLevel="1"/>
    <col min="39" max="39" width="9.7109375" style="232" customWidth="1" collapsed="1"/>
    <col min="40" max="41" width="9.7109375" style="232" hidden="1" customWidth="1" outlineLevel="1"/>
    <col min="42" max="43" width="9" style="232" hidden="1" customWidth="1" outlineLevel="1"/>
    <col min="44" max="44" width="9.7109375" style="232" bestFit="1" customWidth="1" collapsed="1"/>
    <col min="45" max="48" width="9" style="232" hidden="1" customWidth="1" outlineLevel="1"/>
    <col min="49" max="49" width="9" style="232" customWidth="1" collapsed="1"/>
    <col min="50" max="53" width="9" style="232" hidden="1" customWidth="1" outlineLevel="1"/>
    <col min="54" max="54" width="9" style="232" customWidth="1" collapsed="1"/>
    <col min="55" max="58" width="9" style="232" hidden="1" customWidth="1" outlineLevel="1"/>
    <col min="59" max="59" width="9" style="232" customWidth="1" collapsed="1"/>
    <col min="60" max="63" width="9" style="232" hidden="1" customWidth="1" outlineLevel="1"/>
    <col min="64" max="64" width="9" style="232" customWidth="1" collapsed="1"/>
    <col min="65" max="68" width="9" style="232" hidden="1" customWidth="1" outlineLevel="1"/>
    <col min="69" max="69" width="9" style="232" customWidth="1" collapsed="1"/>
    <col min="70" max="71" width="9.7109375" style="232" customWidth="1"/>
    <col min="72" max="72" width="9.7109375" style="502" customWidth="1"/>
    <col min="73" max="73" width="9.5703125" style="232" customWidth="1"/>
    <col min="74" max="121" width="9.140625" style="232"/>
    <col min="122" max="122" width="32.85546875" hidden="1" customWidth="1" outlineLevel="1"/>
    <col min="123" max="127" width="9.140625" hidden="1" customWidth="1" outlineLevel="1"/>
    <col min="128" max="128" width="9.140625" style="994" collapsed="1"/>
    <col min="129" max="16384" width="9.140625" style="232"/>
  </cols>
  <sheetData>
    <row r="1" spans="1:128" ht="15" customHeight="1">
      <c r="A1" s="469"/>
      <c r="B1" s="469"/>
      <c r="C1" s="469"/>
      <c r="D1" s="470"/>
      <c r="E1" s="471"/>
      <c r="F1" s="471"/>
      <c r="G1" s="471"/>
      <c r="H1" s="471"/>
      <c r="I1" s="471"/>
      <c r="J1" s="471"/>
      <c r="K1" s="471"/>
      <c r="L1" s="471"/>
      <c r="M1" s="471"/>
      <c r="N1" s="471"/>
      <c r="O1" s="471"/>
      <c r="P1" s="471"/>
      <c r="Q1" s="471"/>
      <c r="R1" s="471"/>
      <c r="S1" s="471"/>
      <c r="T1" s="471"/>
      <c r="U1" s="1040"/>
      <c r="V1" s="471"/>
      <c r="W1" s="471"/>
      <c r="X1" s="471"/>
      <c r="Y1" s="471"/>
      <c r="Z1" s="471"/>
      <c r="AA1" s="471"/>
      <c r="AB1" s="1040"/>
      <c r="AC1" s="471"/>
      <c r="AD1" s="471"/>
      <c r="AE1" s="471"/>
      <c r="AF1" s="471"/>
      <c r="AG1" s="1040"/>
      <c r="AH1" s="471"/>
      <c r="AI1" s="471"/>
      <c r="AJ1" s="471"/>
      <c r="AK1" s="471"/>
      <c r="AL1" s="1040"/>
      <c r="AM1" s="471"/>
      <c r="AN1" s="471"/>
      <c r="AO1" s="471"/>
      <c r="AP1" s="471"/>
      <c r="AQ1" s="1040"/>
      <c r="AR1" s="471"/>
      <c r="AS1" s="471"/>
      <c r="AT1" s="471"/>
      <c r="AU1" s="471"/>
      <c r="AV1" s="1040"/>
      <c r="AW1" s="471"/>
      <c r="AX1" s="471"/>
      <c r="AY1" s="471"/>
      <c r="AZ1" s="471"/>
      <c r="BA1" s="1040"/>
      <c r="BB1" s="471"/>
      <c r="BC1" s="471"/>
      <c r="BD1" s="471"/>
      <c r="BE1" s="471"/>
      <c r="BF1" s="1040"/>
      <c r="BG1" s="471"/>
      <c r="BH1" s="471"/>
      <c r="BI1" s="471"/>
      <c r="BJ1" s="471"/>
      <c r="BK1" s="1040"/>
      <c r="BL1" s="471"/>
      <c r="BM1" s="471"/>
      <c r="BN1" s="471"/>
      <c r="BO1" s="471"/>
      <c r="BP1" s="1040"/>
      <c r="BQ1" s="471"/>
      <c r="BR1" s="551"/>
      <c r="BS1" s="551"/>
      <c r="BT1" s="1041"/>
      <c r="BU1" s="551"/>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row>
    <row r="2" spans="1:128" ht="15" customHeight="1">
      <c r="A2" s="469"/>
      <c r="B2" s="469" t="str">
        <f>Cover!$B$2</f>
        <v>Exelon Corporation</v>
      </c>
      <c r="C2" s="469"/>
      <c r="D2" s="470"/>
      <c r="E2" s="471"/>
      <c r="F2" s="471"/>
      <c r="G2" s="471"/>
      <c r="H2" s="471"/>
      <c r="I2" s="471"/>
      <c r="J2" s="471"/>
      <c r="K2" s="471"/>
      <c r="L2" s="471"/>
      <c r="M2" s="471"/>
      <c r="N2" s="471"/>
      <c r="O2" s="471"/>
      <c r="P2" s="471"/>
      <c r="Q2" s="471"/>
      <c r="R2" s="471"/>
      <c r="S2" s="471"/>
      <c r="T2" s="471"/>
      <c r="U2" s="1040"/>
      <c r="V2" s="471"/>
      <c r="W2" s="471"/>
      <c r="X2" s="471"/>
      <c r="Y2" s="471"/>
      <c r="Z2" s="471"/>
      <c r="AA2" s="471"/>
      <c r="AB2" s="1040"/>
      <c r="AC2" s="471"/>
      <c r="AD2" s="471"/>
      <c r="AE2" s="471"/>
      <c r="AF2" s="471"/>
      <c r="AG2" s="1040"/>
      <c r="AH2" s="471"/>
      <c r="AI2" s="471"/>
      <c r="AJ2" s="471"/>
      <c r="AK2" s="471"/>
      <c r="AL2" s="1040"/>
      <c r="AM2" s="471"/>
      <c r="AN2" s="471"/>
      <c r="AO2" s="471"/>
      <c r="AP2" s="471"/>
      <c r="AQ2" s="1040"/>
      <c r="AR2" s="471"/>
      <c r="AS2" s="471"/>
      <c r="AT2" s="471"/>
      <c r="AU2" s="471"/>
      <c r="AV2" s="1040"/>
      <c r="AW2" s="471"/>
      <c r="AX2" s="471"/>
      <c r="AY2" s="471"/>
      <c r="AZ2" s="471"/>
      <c r="BA2" s="1040"/>
      <c r="BB2" s="471"/>
      <c r="BC2" s="471"/>
      <c r="BD2" s="471"/>
      <c r="BE2" s="471"/>
      <c r="BF2" s="1040"/>
      <c r="BG2" s="471"/>
      <c r="BH2" s="471"/>
      <c r="BI2" s="471"/>
      <c r="BJ2" s="471"/>
      <c r="BK2" s="1040"/>
      <c r="BL2" s="471"/>
      <c r="BM2" s="471"/>
      <c r="BN2" s="471"/>
      <c r="BO2" s="471"/>
      <c r="BP2" s="1040"/>
      <c r="BQ2" s="471"/>
      <c r="BR2" s="551"/>
      <c r="BS2" s="551"/>
      <c r="BT2" s="1041"/>
      <c r="BU2" s="551"/>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row>
    <row r="3" spans="1:128" ht="15" customHeight="1">
      <c r="A3" s="579"/>
      <c r="B3" s="472" t="s">
        <v>469</v>
      </c>
      <c r="C3" s="579"/>
      <c r="D3" s="579"/>
      <c r="E3" s="471"/>
      <c r="F3" s="471"/>
      <c r="G3" s="471"/>
      <c r="H3" s="471"/>
      <c r="I3" s="471"/>
      <c r="J3" s="471"/>
      <c r="K3" s="471"/>
      <c r="L3" s="471"/>
      <c r="M3" s="471"/>
      <c r="N3" s="471"/>
      <c r="O3" s="471"/>
      <c r="P3" s="471"/>
      <c r="Q3" s="471"/>
      <c r="R3" s="471"/>
      <c r="S3" s="471"/>
      <c r="T3" s="471"/>
      <c r="U3" s="1040"/>
      <c r="V3" s="471"/>
      <c r="W3" s="471"/>
      <c r="X3" s="471"/>
      <c r="Y3" s="471"/>
      <c r="Z3" s="471"/>
      <c r="AA3" s="471"/>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551"/>
      <c r="BS3" s="551"/>
      <c r="BT3" s="1041"/>
      <c r="BU3" s="551"/>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row>
    <row r="4" spans="1:128" ht="15" customHeight="1">
      <c r="A4" s="549"/>
      <c r="B4" s="12" t="s">
        <v>69</v>
      </c>
      <c r="C4" s="549"/>
      <c r="D4" s="549"/>
      <c r="E4" s="473"/>
      <c r="F4" s="473"/>
      <c r="G4" s="473"/>
      <c r="H4" s="473"/>
      <c r="I4" s="473"/>
      <c r="J4" s="473"/>
      <c r="K4" s="473"/>
      <c r="L4" s="473"/>
      <c r="M4" s="473"/>
      <c r="N4" s="473"/>
      <c r="O4" s="473"/>
      <c r="P4" s="473"/>
      <c r="Q4" s="473"/>
      <c r="R4" s="473"/>
      <c r="S4" s="473"/>
      <c r="T4" s="473"/>
      <c r="U4" s="1151"/>
      <c r="V4" s="473"/>
      <c r="W4" s="473"/>
      <c r="X4" s="473"/>
      <c r="Y4" s="473"/>
      <c r="Z4" s="473"/>
      <c r="AA4" s="473"/>
      <c r="AB4" s="473"/>
      <c r="AC4" s="473"/>
      <c r="AD4" s="473"/>
      <c r="AE4" s="473"/>
      <c r="AF4" s="473"/>
      <c r="AG4" s="473"/>
      <c r="AH4" s="473"/>
      <c r="AI4" s="473"/>
      <c r="AJ4" s="473"/>
      <c r="AK4" s="473"/>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3"/>
      <c r="BM4" s="473"/>
      <c r="BN4" s="473"/>
      <c r="BO4" s="473"/>
      <c r="BP4" s="473"/>
      <c r="BQ4" s="473"/>
      <c r="BR4" s="551"/>
      <c r="BS4" s="551"/>
      <c r="BT4" s="1041"/>
      <c r="BU4" s="551"/>
      <c r="BV4" s="551"/>
      <c r="BW4" s="551"/>
      <c r="BX4" s="551"/>
      <c r="BY4" s="551"/>
      <c r="BZ4" s="551"/>
      <c r="CA4" s="551"/>
      <c r="CB4" s="551"/>
      <c r="CC4" s="551"/>
      <c r="CD4" s="551"/>
      <c r="CE4" s="551"/>
      <c r="CF4" s="551"/>
      <c r="CG4" s="551"/>
      <c r="CH4" s="551"/>
      <c r="CI4" s="551"/>
      <c r="CJ4" s="551"/>
      <c r="CK4" s="551"/>
      <c r="CL4" s="551"/>
      <c r="CM4" s="551"/>
      <c r="CN4" s="551"/>
      <c r="CO4" s="551"/>
      <c r="CP4" s="551"/>
      <c r="CQ4" s="551"/>
      <c r="CR4" s="551"/>
      <c r="CS4" s="551"/>
      <c r="CT4" s="551"/>
      <c r="CU4" s="551"/>
      <c r="CV4" s="551"/>
      <c r="CW4" s="551"/>
      <c r="CX4" s="551"/>
      <c r="CY4" s="551"/>
      <c r="CZ4" s="551"/>
      <c r="DA4" s="551"/>
      <c r="DB4" s="551"/>
      <c r="DC4" s="551"/>
      <c r="DD4" s="551"/>
      <c r="DE4" s="551"/>
      <c r="DF4" s="551"/>
      <c r="DG4" s="551"/>
      <c r="DH4" s="551"/>
      <c r="DI4" s="551"/>
      <c r="DJ4" s="551"/>
      <c r="DK4" s="551"/>
      <c r="DL4" s="551"/>
      <c r="DM4" s="551"/>
      <c r="DN4" s="551"/>
      <c r="DO4" s="551"/>
      <c r="DP4" s="551"/>
      <c r="DQ4" s="551"/>
    </row>
    <row r="5" spans="1:128" ht="12" customHeight="1">
      <c r="A5" s="1042"/>
      <c r="B5" s="249" t="s">
        <v>504</v>
      </c>
      <c r="C5" s="249"/>
      <c r="D5" s="553"/>
      <c r="E5" s="1015" t="s">
        <v>358</v>
      </c>
      <c r="F5" s="1016" t="s">
        <v>359</v>
      </c>
      <c r="G5" s="1016" t="s">
        <v>322</v>
      </c>
      <c r="H5" s="1017" t="s">
        <v>323</v>
      </c>
      <c r="I5" s="1014">
        <v>2009</v>
      </c>
      <c r="J5" s="1015" t="s">
        <v>324</v>
      </c>
      <c r="K5" s="1016" t="s">
        <v>325</v>
      </c>
      <c r="L5" s="1016" t="s">
        <v>326</v>
      </c>
      <c r="M5" s="1017" t="s">
        <v>327</v>
      </c>
      <c r="N5" s="1018" t="s">
        <v>112</v>
      </c>
      <c r="O5" s="1015" t="s">
        <v>268</v>
      </c>
      <c r="P5" s="1016" t="s">
        <v>269</v>
      </c>
      <c r="Q5" s="1016" t="s">
        <v>270</v>
      </c>
      <c r="R5" s="1017" t="s">
        <v>271</v>
      </c>
      <c r="S5" s="1018">
        <v>2011</v>
      </c>
      <c r="T5" s="554" t="s">
        <v>616</v>
      </c>
      <c r="U5" s="555" t="s">
        <v>1201</v>
      </c>
      <c r="V5" s="555" t="s">
        <v>1251</v>
      </c>
      <c r="W5" s="556" t="s">
        <v>1252</v>
      </c>
      <c r="X5" s="1019" t="s">
        <v>1253</v>
      </c>
      <c r="Y5" s="1015" t="s">
        <v>674</v>
      </c>
      <c r="Z5" s="1016" t="s">
        <v>673</v>
      </c>
      <c r="AA5" s="1016" t="s">
        <v>919</v>
      </c>
      <c r="AB5" s="556" t="s">
        <v>920</v>
      </c>
      <c r="AC5" s="1019" t="s">
        <v>921</v>
      </c>
      <c r="AD5" s="554" t="s">
        <v>1218</v>
      </c>
      <c r="AE5" s="1016" t="s">
        <v>1211</v>
      </c>
      <c r="AF5" s="1016" t="s">
        <v>1344</v>
      </c>
      <c r="AG5" s="556" t="s">
        <v>1345</v>
      </c>
      <c r="AH5" s="1019" t="s">
        <v>1343</v>
      </c>
      <c r="AI5" s="1015" t="s">
        <v>1409</v>
      </c>
      <c r="AJ5" s="1016" t="s">
        <v>1405</v>
      </c>
      <c r="AK5" s="1016" t="s">
        <v>1406</v>
      </c>
      <c r="AL5" s="1017" t="s">
        <v>1407</v>
      </c>
      <c r="AM5" s="558" t="s">
        <v>1410</v>
      </c>
      <c r="AN5" s="554" t="s">
        <v>1436</v>
      </c>
      <c r="AO5" s="555" t="s">
        <v>1439</v>
      </c>
      <c r="AP5" s="555" t="s">
        <v>1480</v>
      </c>
      <c r="AQ5" s="556" t="s">
        <v>1501</v>
      </c>
      <c r="AR5" s="558" t="s">
        <v>1502</v>
      </c>
      <c r="AS5" s="554" t="s">
        <v>1515</v>
      </c>
      <c r="AT5" s="555" t="s">
        <v>1534</v>
      </c>
      <c r="AU5" s="555" t="s">
        <v>1536</v>
      </c>
      <c r="AV5" s="556" t="s">
        <v>1538</v>
      </c>
      <c r="AW5" s="558" t="s">
        <v>1539</v>
      </c>
      <c r="AX5" s="554" t="s">
        <v>926</v>
      </c>
      <c r="AY5" s="555" t="s">
        <v>927</v>
      </c>
      <c r="AZ5" s="555" t="s">
        <v>928</v>
      </c>
      <c r="BA5" s="556" t="s">
        <v>929</v>
      </c>
      <c r="BB5" s="558">
        <v>2018</v>
      </c>
      <c r="BC5" s="554" t="s">
        <v>1361</v>
      </c>
      <c r="BD5" s="555" t="s">
        <v>1362</v>
      </c>
      <c r="BE5" s="555" t="s">
        <v>1363</v>
      </c>
      <c r="BF5" s="556" t="s">
        <v>1364</v>
      </c>
      <c r="BG5" s="558">
        <v>2019</v>
      </c>
      <c r="BH5" s="554" t="s">
        <v>1365</v>
      </c>
      <c r="BI5" s="555" t="s">
        <v>1366</v>
      </c>
      <c r="BJ5" s="555" t="s">
        <v>1367</v>
      </c>
      <c r="BK5" s="556" t="s">
        <v>1368</v>
      </c>
      <c r="BL5" s="558">
        <v>2020</v>
      </c>
      <c r="BM5" s="554" t="s">
        <v>1516</v>
      </c>
      <c r="BN5" s="555" t="s">
        <v>1517</v>
      </c>
      <c r="BO5" s="555" t="s">
        <v>1518</v>
      </c>
      <c r="BP5" s="556" t="s">
        <v>1519</v>
      </c>
      <c r="BQ5" s="558">
        <v>2021</v>
      </c>
      <c r="BR5" s="551"/>
      <c r="BS5" s="551"/>
      <c r="BT5" s="1041"/>
      <c r="BU5" s="551"/>
      <c r="BV5" s="551"/>
      <c r="BW5" s="551"/>
      <c r="BX5" s="551"/>
      <c r="BY5" s="551"/>
      <c r="BZ5" s="551"/>
      <c r="CA5" s="551"/>
      <c r="CB5" s="551"/>
      <c r="CC5" s="551"/>
      <c r="CD5" s="551"/>
      <c r="CE5" s="551"/>
      <c r="CF5" s="551"/>
      <c r="CG5" s="551"/>
      <c r="CH5" s="551"/>
      <c r="CI5" s="551"/>
      <c r="CJ5" s="551"/>
      <c r="CK5" s="551"/>
      <c r="CL5" s="551"/>
      <c r="CM5" s="551"/>
      <c r="CN5" s="551"/>
      <c r="CO5" s="551"/>
      <c r="CP5" s="551"/>
      <c r="CQ5" s="551"/>
      <c r="CR5" s="551"/>
      <c r="CS5" s="551"/>
      <c r="CT5" s="551"/>
      <c r="CU5" s="551"/>
      <c r="CV5" s="551"/>
      <c r="CW5" s="551"/>
      <c r="CX5" s="551"/>
      <c r="CY5" s="551"/>
      <c r="CZ5" s="551"/>
      <c r="DA5" s="551"/>
      <c r="DB5" s="551"/>
      <c r="DC5" s="551"/>
      <c r="DD5" s="551"/>
      <c r="DE5" s="551"/>
      <c r="DF5" s="551"/>
      <c r="DG5" s="551"/>
      <c r="DH5" s="551"/>
      <c r="DI5" s="551"/>
      <c r="DJ5" s="551"/>
      <c r="DK5" s="551"/>
      <c r="DL5" s="551"/>
      <c r="DM5" s="551"/>
      <c r="DN5" s="551"/>
      <c r="DO5" s="551"/>
      <c r="DP5" s="551"/>
      <c r="DQ5" s="551"/>
    </row>
    <row r="6" spans="1:128" s="28" customFormat="1">
      <c r="E6" s="305"/>
      <c r="F6" s="36"/>
      <c r="G6" s="36"/>
      <c r="H6" s="685"/>
      <c r="I6" s="564"/>
      <c r="J6" s="1043"/>
      <c r="K6" s="1044"/>
      <c r="L6" s="1044"/>
      <c r="M6" s="1045"/>
      <c r="O6" s="1043"/>
      <c r="P6" s="1044"/>
      <c r="Q6" s="1044"/>
      <c r="R6" s="1045"/>
      <c r="T6" s="1043"/>
      <c r="U6" s="1044"/>
      <c r="V6" s="1044"/>
      <c r="W6" s="1045"/>
      <c r="Y6" s="1043"/>
      <c r="Z6" s="1044"/>
      <c r="AA6" s="1044"/>
      <c r="AB6" s="1045"/>
      <c r="AD6" s="1043"/>
      <c r="AE6" s="1044"/>
      <c r="AF6" s="1044"/>
      <c r="AG6" s="1045"/>
      <c r="AI6" s="1043"/>
      <c r="AJ6" s="1044"/>
      <c r="AK6" s="1044"/>
      <c r="AL6" s="1045"/>
      <c r="AN6" s="1043"/>
      <c r="AO6" s="1044"/>
      <c r="AP6" s="1044"/>
      <c r="AQ6" s="1045"/>
      <c r="AS6" s="1043"/>
      <c r="AT6" s="1044"/>
      <c r="AU6" s="1044"/>
      <c r="AV6" s="1045"/>
      <c r="AX6" s="1043"/>
      <c r="AY6" s="1044"/>
      <c r="AZ6" s="1044"/>
      <c r="BA6" s="1045"/>
      <c r="BC6" s="1043"/>
      <c r="BD6" s="1044"/>
      <c r="BE6" s="1044"/>
      <c r="BF6" s="1045"/>
      <c r="BH6" s="1043"/>
      <c r="BI6" s="1044"/>
      <c r="BJ6" s="1044"/>
      <c r="BK6" s="1045"/>
      <c r="BM6" s="1043"/>
      <c r="BN6" s="1044"/>
      <c r="BO6" s="1044"/>
      <c r="BP6" s="1045"/>
      <c r="BT6" s="45"/>
      <c r="DR6"/>
      <c r="DS6"/>
      <c r="DT6"/>
      <c r="DU6"/>
      <c r="DV6"/>
      <c r="DW6"/>
      <c r="DX6" s="37"/>
    </row>
    <row r="7" spans="1:128" s="28" customFormat="1">
      <c r="B7" s="73" t="s">
        <v>277</v>
      </c>
      <c r="C7" s="211"/>
      <c r="D7" s="211"/>
      <c r="E7" s="267"/>
      <c r="F7" s="250"/>
      <c r="G7" s="250"/>
      <c r="H7" s="268"/>
      <c r="I7" s="564"/>
      <c r="J7" s="267"/>
      <c r="K7" s="250"/>
      <c r="L7" s="250"/>
      <c r="M7" s="268"/>
      <c r="O7" s="267"/>
      <c r="P7" s="250"/>
      <c r="Q7" s="250"/>
      <c r="R7" s="268"/>
      <c r="T7" s="267"/>
      <c r="U7" s="250"/>
      <c r="V7" s="250"/>
      <c r="W7" s="268"/>
      <c r="Y7" s="267"/>
      <c r="Z7" s="250"/>
      <c r="AA7" s="1498"/>
      <c r="AB7" s="1499"/>
      <c r="AD7" s="267"/>
      <c r="AE7" s="250"/>
      <c r="AF7" s="250"/>
      <c r="AG7" s="268"/>
      <c r="AI7" s="267"/>
      <c r="AJ7" s="250"/>
      <c r="AK7" s="250"/>
      <c r="AL7" s="268"/>
      <c r="AN7" s="267"/>
      <c r="AO7" s="250"/>
      <c r="AP7" s="250"/>
      <c r="AQ7" s="268"/>
      <c r="AS7" s="267"/>
      <c r="AT7" s="250"/>
      <c r="AU7" s="250"/>
      <c r="AV7" s="268"/>
      <c r="AX7" s="267"/>
      <c r="AY7" s="250"/>
      <c r="AZ7" s="250"/>
      <c r="BA7" s="268"/>
      <c r="BC7" s="267"/>
      <c r="BD7" s="250"/>
      <c r="BE7" s="250"/>
      <c r="BF7" s="268"/>
      <c r="BH7" s="267"/>
      <c r="BI7" s="250"/>
      <c r="BJ7" s="250"/>
      <c r="BK7" s="268"/>
      <c r="BM7" s="267"/>
      <c r="BN7" s="250"/>
      <c r="BO7" s="250"/>
      <c r="BP7" s="268"/>
      <c r="BR7" s="20"/>
      <c r="BS7" s="20"/>
      <c r="BT7" s="45"/>
      <c r="DR7"/>
      <c r="DS7"/>
      <c r="DT7"/>
      <c r="DU7"/>
      <c r="DV7"/>
      <c r="DW7"/>
      <c r="DX7" s="37"/>
    </row>
    <row r="8" spans="1:128" s="32" customFormat="1">
      <c r="C8" s="28" t="s">
        <v>1286</v>
      </c>
      <c r="E8" s="335">
        <v>4722</v>
      </c>
      <c r="F8" s="336">
        <v>4141</v>
      </c>
      <c r="G8" s="336">
        <v>4339</v>
      </c>
      <c r="H8" s="291">
        <f>I8-SUM(E8:G8)</f>
        <v>4116</v>
      </c>
      <c r="I8" s="931">
        <v>17318</v>
      </c>
      <c r="J8" s="335">
        <v>4461</v>
      </c>
      <c r="K8" s="336">
        <v>4398</v>
      </c>
      <c r="L8" s="336">
        <v>5291</v>
      </c>
      <c r="M8" s="291">
        <f>N8-SUM(J8:L8)</f>
        <v>4494</v>
      </c>
      <c r="N8" s="427">
        <v>18644</v>
      </c>
      <c r="O8" s="335">
        <v>4956</v>
      </c>
      <c r="P8" s="336">
        <v>4587</v>
      </c>
      <c r="Q8" s="336">
        <v>5295</v>
      </c>
      <c r="R8" s="291">
        <f>S8-SUM(O8:Q8)</f>
        <v>4086</v>
      </c>
      <c r="S8" s="427">
        <v>18924</v>
      </c>
      <c r="T8" s="335">
        <v>4686</v>
      </c>
      <c r="U8" s="336">
        <v>5954</v>
      </c>
      <c r="V8" s="336">
        <v>6565</v>
      </c>
      <c r="W8" s="291">
        <f>X8-SUM(T8:V8)</f>
        <v>6284</v>
      </c>
      <c r="X8" s="427">
        <v>23489</v>
      </c>
      <c r="Y8" s="335">
        <v>6082</v>
      </c>
      <c r="Z8" s="336">
        <v>6141</v>
      </c>
      <c r="AA8" s="1435">
        <v>6502</v>
      </c>
      <c r="AB8" s="1442">
        <f>AC8-SUM(Y8:AA8)</f>
        <v>6163</v>
      </c>
      <c r="AC8" s="1437">
        <v>24888</v>
      </c>
      <c r="AD8" s="335">
        <v>7237</v>
      </c>
      <c r="AE8" s="336">
        <v>6024</v>
      </c>
      <c r="AF8" s="1435">
        <v>6912</v>
      </c>
      <c r="AG8" s="1442">
        <f>AH8-SUM(AD8:AF8)</f>
        <v>7256</v>
      </c>
      <c r="AH8" s="1437">
        <v>27429</v>
      </c>
      <c r="AI8" s="335">
        <v>8830</v>
      </c>
      <c r="AJ8" s="336">
        <v>6514</v>
      </c>
      <c r="AK8" s="1435">
        <v>7401</v>
      </c>
      <c r="AL8" s="1442">
        <f>AM8-SUM(AI8:AK8)</f>
        <v>6702</v>
      </c>
      <c r="AM8" s="1437">
        <v>29447</v>
      </c>
      <c r="AN8" s="335">
        <v>7573</v>
      </c>
      <c r="AO8" s="336">
        <v>6910</v>
      </c>
      <c r="AP8" s="1435">
        <v>9002</v>
      </c>
      <c r="AQ8" s="1442">
        <f>AR8-SUM(AN8:AP8)</f>
        <v>7875</v>
      </c>
      <c r="AR8" s="1437">
        <v>31360</v>
      </c>
      <c r="AS8" s="335">
        <v>8757</v>
      </c>
      <c r="AT8" s="336">
        <v>7623</v>
      </c>
      <c r="AU8" s="336">
        <v>8769</v>
      </c>
      <c r="AV8" s="1442">
        <f>AW8-SUM(AS8:AU8)</f>
        <v>8382</v>
      </c>
      <c r="AW8" s="1437">
        <v>33531</v>
      </c>
      <c r="AX8" s="290">
        <f>ExGen!AX8+ComEd!AX8+PECO!AX8+BGE!AX8+Parent!AX8+Pepco!AS8+DPL!AS10+ACE!AS8</f>
        <v>6668.7601421500876</v>
      </c>
      <c r="AY8" s="260">
        <f>ExGen!AY8+ComEd!AY8+PECO!AY8+BGE!AY8+Parent!AY8+Pepco!AT8+DPL!AT10+ACE!AT8</f>
        <v>6189.5009290914395</v>
      </c>
      <c r="AZ8" s="260">
        <f>ExGen!AZ8+ComEd!AZ8+PECO!AZ8+BGE!AZ8+Parent!AZ8+Pepco!AU8+DPL!AU10+ACE!AU8</f>
        <v>6810.7554196727251</v>
      </c>
      <c r="BA8" s="291">
        <f ca="1">ExGen!BA8+ComEd!BA8+PECO!BA8+BGE!BA8+Parent!BA8+Pepco!AV8+DPL!AV10+ACE!AV8</f>
        <v>6274.4381442507956</v>
      </c>
      <c r="BB8" s="45">
        <f ca="1">SUM(AX8:BA8)</f>
        <v>25943.454635165046</v>
      </c>
      <c r="BC8" s="290">
        <f>ExGen!BC8+ComEd!BC8+PECO!BC8+BGE!BC8+Parent!BC8+Pepco!AX8+DPL!AX10+ACE!AX8</f>
        <v>6861.7092253049968</v>
      </c>
      <c r="BD8" s="260">
        <f>ExGen!BD8+ComEd!BD8+PECO!BD8+BGE!BD8+Parent!BD8+Pepco!AY8+DPL!AY10+ACE!AY8</f>
        <v>6069.870533463738</v>
      </c>
      <c r="BE8" s="260">
        <f>ExGen!BE8+ComEd!BE8+PECO!BE8+BGE!BE8+Parent!BE8+Pepco!AZ8+DPL!AZ10+ACE!AZ8</f>
        <v>6684.8663776632893</v>
      </c>
      <c r="BF8" s="291">
        <f ca="1">ExGen!BF8+ComEd!BF8+PECO!BF8+BGE!BF8+Parent!BF8+Pepco!BA8+DPL!BA10+ACE!BA8</f>
        <v>6146.3120908518758</v>
      </c>
      <c r="BG8" s="45">
        <f ca="1">SUM(BC8:BF8)</f>
        <v>25762.758227283899</v>
      </c>
      <c r="BH8" s="290">
        <f>ExGen!BH8+ComEd!BH8+PECO!BH8+BGE!BH8+Parent!BH8+Pepco!BC8+DPL!BC10+ACE!BC8</f>
        <v>6738.1281933650926</v>
      </c>
      <c r="BI8" s="260">
        <f>ExGen!BI8+ComEd!BI8+PECO!BI8+BGE!BI8+Parent!BI8+Pepco!BD8+DPL!BD10+ACE!BD8</f>
        <v>6002.2735981529913</v>
      </c>
      <c r="BJ8" s="260">
        <f>ExGen!BJ8+ComEd!BJ8+PECO!BJ8+BGE!BJ8+Parent!BJ8+Pepco!BE8+DPL!BE10+ACE!BE8</f>
        <v>6716.3497418628094</v>
      </c>
      <c r="BK8" s="291">
        <f ca="1">ExGen!BK8+ComEd!BK8+PECO!BK8+BGE!BK8+Parent!BK8+Pepco!BF8+DPL!BF10+ACE!BF8</f>
        <v>6229.2258258405818</v>
      </c>
      <c r="BL8" s="45">
        <f ca="1">SUM(BH8:BK8)</f>
        <v>25685.977359221477</v>
      </c>
      <c r="BM8" s="290">
        <f>ExGen!BM8+ComEd!BM8+PECO!BM8+BGE!BM8+Parent!BM8+Pepco!BH8+DPL!BH10+ACE!BH8</f>
        <v>6652.5876167124306</v>
      </c>
      <c r="BN8" s="260">
        <f>ExGen!BN8+ComEd!BN8+PECO!BN8+BGE!BN8+Parent!BN8+Pepco!BI8+DPL!BI10+ACE!BI8</f>
        <v>6223.9031969000307</v>
      </c>
      <c r="BO8" s="260">
        <f>ExGen!BO8+ComEd!BO8+PECO!BO8+BGE!BO8+Parent!BO8+Pepco!BJ8+DPL!BJ10+ACE!BJ8</f>
        <v>6894.5660390615003</v>
      </c>
      <c r="BP8" s="291">
        <f ca="1">ExGen!BP8+ComEd!BP8+PECO!BP8+BGE!BP8+Parent!BP8+Pepco!BK8+DPL!BK10+ACE!BK8</f>
        <v>6411.9612959683291</v>
      </c>
      <c r="BQ8" s="45">
        <f ca="1">SUM(BM8:BP8)</f>
        <v>26183.018148642292</v>
      </c>
      <c r="BT8" s="228"/>
      <c r="DR8"/>
      <c r="DS8"/>
      <c r="DT8"/>
      <c r="DU8"/>
      <c r="DV8"/>
      <c r="DW8"/>
      <c r="DX8" s="37"/>
    </row>
    <row r="9" spans="1:128" s="28" customFormat="1">
      <c r="C9" s="28" t="s">
        <v>1046</v>
      </c>
      <c r="E9" s="335">
        <v>1459</v>
      </c>
      <c r="F9" s="336">
        <v>1381</v>
      </c>
      <c r="G9" s="336">
        <v>1200</v>
      </c>
      <c r="H9" s="291">
        <f>I9-SUM(E9:G9)</f>
        <v>1241</v>
      </c>
      <c r="I9" s="931">
        <v>5281</v>
      </c>
      <c r="J9" s="335">
        <v>1259</v>
      </c>
      <c r="K9" s="336">
        <v>1527</v>
      </c>
      <c r="L9" s="336">
        <v>1956</v>
      </c>
      <c r="M9" s="291">
        <f>N9-SUM(J9:L9)</f>
        <v>1693</v>
      </c>
      <c r="N9" s="427">
        <v>6435</v>
      </c>
      <c r="O9" s="335">
        <v>2001</v>
      </c>
      <c r="P9" s="336">
        <v>1807</v>
      </c>
      <c r="Q9" s="336">
        <v>2162</v>
      </c>
      <c r="R9" s="291">
        <f>S9-SUM(O9:Q9)</f>
        <v>1158</v>
      </c>
      <c r="S9" s="427">
        <v>7128</v>
      </c>
      <c r="T9" s="335">
        <v>1765</v>
      </c>
      <c r="U9" s="336">
        <v>2606</v>
      </c>
      <c r="V9" s="336">
        <v>3026</v>
      </c>
      <c r="W9" s="291">
        <f>X9-SUM(T9:V9)</f>
        <v>2760</v>
      </c>
      <c r="X9" s="427">
        <v>10157</v>
      </c>
      <c r="Y9" s="335">
        <v>2981</v>
      </c>
      <c r="Z9" s="336">
        <v>2419</v>
      </c>
      <c r="AA9" s="1435">
        <v>2743</v>
      </c>
      <c r="AB9" s="1442">
        <f>AC9-SUM(Y9:AA9)</f>
        <v>2581</v>
      </c>
      <c r="AC9" s="1437">
        <f>9468+1256</f>
        <v>10724</v>
      </c>
      <c r="AD9" s="335">
        <f>4006+334</f>
        <v>4340</v>
      </c>
      <c r="AE9" s="336">
        <f>2346+66</f>
        <v>2412</v>
      </c>
      <c r="AF9" s="1435">
        <f>2591+57</f>
        <v>2648</v>
      </c>
      <c r="AG9" s="1442">
        <f>AH9-SUM(AD9:AF9)</f>
        <v>3603</v>
      </c>
      <c r="AH9" s="1437">
        <f>12472+531</f>
        <v>13003</v>
      </c>
      <c r="AI9" s="335">
        <v>4470</v>
      </c>
      <c r="AJ9" s="336">
        <v>2449</v>
      </c>
      <c r="AK9" s="1435">
        <v>3291</v>
      </c>
      <c r="AL9" s="1442">
        <f>AM9-SUM(AI9:AK9)</f>
        <v>2874</v>
      </c>
      <c r="AM9" s="1437">
        <f>10007+3077</f>
        <v>13084</v>
      </c>
      <c r="AN9" s="335">
        <f>2440+814</f>
        <v>3254</v>
      </c>
      <c r="AO9" s="336">
        <f>1576+878</f>
        <v>2454</v>
      </c>
      <c r="AP9" s="336">
        <f>2584+1170</f>
        <v>3754</v>
      </c>
      <c r="AQ9" s="1442">
        <f>AR9-SUM(AN9:AP9)</f>
        <v>3178</v>
      </c>
      <c r="AR9" s="1437">
        <f>8817+3823</f>
        <v>12640</v>
      </c>
      <c r="AS9" s="335">
        <f>2795+1104</f>
        <v>3899</v>
      </c>
      <c r="AT9" s="336">
        <f>2158+928</f>
        <v>3086</v>
      </c>
      <c r="AU9" s="336">
        <f>2316+1226</f>
        <v>3542</v>
      </c>
      <c r="AV9" s="1442">
        <f>AW9-SUM(AS9:AU9)</f>
        <v>3508</v>
      </c>
      <c r="AW9" s="1437">
        <f>9668+4367</f>
        <v>14035</v>
      </c>
      <c r="AX9" s="290">
        <f>+ExGen!AX9+ComEd!AX9+PECO!AX9+PECO!AX10+BGE!AX9+BGE!AX10+Parent!AX9+Pepco!AS9+DPL!AS14+ACE!AS9</f>
        <v>1978.8082102039161</v>
      </c>
      <c r="AY9" s="260">
        <f>+ExGen!AY9+ComEd!AY9+PECO!AY9+PECO!AY10+BGE!AY9+BGE!AY10+Parent!AY9+Pepco!AT9+DPL!AT14+ACE!AT9</f>
        <v>1726.1411449045431</v>
      </c>
      <c r="AZ9" s="260">
        <f>+ExGen!AZ9+ComEd!AZ9+PECO!AZ9+PECO!AZ10+BGE!AZ9+BGE!AZ10+Parent!AZ9+Pepco!AU9+DPL!AU14+ACE!AU9</f>
        <v>2024.6906360121284</v>
      </c>
      <c r="BA9" s="291">
        <f>+ExGen!BA9+ComEd!BA9+PECO!BA9+PECO!BA10+BGE!BA9+BGE!BA10+Parent!BA9+Pepco!AV9+DPL!AV14+ACE!AV9</f>
        <v>1847.3114497567108</v>
      </c>
      <c r="BB9" s="45">
        <f>SUM(AX9:BA9)</f>
        <v>7576.9514408772993</v>
      </c>
      <c r="BC9" s="290">
        <f>+ExGen!BC9+ComEd!BC9+PECO!BC9+PECO!BC10+BGE!BC9+BGE!BC10+Parent!BC9+Pepco!AX9+DPL!AX14+ACE!AX9</f>
        <v>2002.6660792398304</v>
      </c>
      <c r="BD9" s="260">
        <f>+ExGen!BD9+ComEd!BD9+PECO!BD9+PECO!BD10+BGE!BD9+BGE!BD10+Parent!BD9+Pepco!AY9+DPL!AY14+ACE!AY9</f>
        <v>1683.7860652366246</v>
      </c>
      <c r="BE9" s="260">
        <f>+ExGen!BE9+ComEd!BE9+PECO!BE9+PECO!BE10+BGE!BE9+BGE!BE10+Parent!BE9+Pepco!AZ9+DPL!AZ14+ACE!AZ9</f>
        <v>1980.1548070881199</v>
      </c>
      <c r="BF9" s="291">
        <f>+ExGen!BF9+ComEd!BF9+PECO!BF9+PECO!BF10+BGE!BF9+BGE!BF10+Parent!BF9+Pepco!BA9+DPL!BA14+ACE!BA9</f>
        <v>1781.1063712760908</v>
      </c>
      <c r="BG9" s="45">
        <f>SUM(BC9:BF9)</f>
        <v>7447.7133228406656</v>
      </c>
      <c r="BH9" s="290">
        <f>+ExGen!BH9+ComEd!BH9+PECO!BH9+PECO!BH10+BGE!BH9+BGE!BH10+Parent!BH9+Pepco!BC9+DPL!BC14+ACE!BC9</f>
        <v>1945.3870393938603</v>
      </c>
      <c r="BI9" s="260">
        <f>+ExGen!BI9+ComEd!BI9+PECO!BI9+PECO!BI10+BGE!BI9+BGE!BI10+Parent!BI9+Pepco!BD9+DPL!BD14+ACE!BD9</f>
        <v>1654.5342573242233</v>
      </c>
      <c r="BJ9" s="260">
        <f>+ExGen!BJ9+ComEd!BJ9+PECO!BJ9+PECO!BJ10+BGE!BJ9+BGE!BJ10+Parent!BJ9+Pepco!BE9+DPL!BE14+ACE!BE9</f>
        <v>1951.323484572642</v>
      </c>
      <c r="BK9" s="291">
        <f>+ExGen!BK9+ComEd!BK9+PECO!BK9+PECO!BK10+BGE!BK9+BGE!BK10+Parent!BK9+Pepco!BF9+DPL!BF14+ACE!BF9</f>
        <v>1765.8109194618696</v>
      </c>
      <c r="BL9" s="45">
        <f>SUM(BH9:BK9)</f>
        <v>7317.0557007525949</v>
      </c>
      <c r="BM9" s="290">
        <f>+ExGen!BM9+ComEd!BM9+PECO!BM9+PECO!BM10+BGE!BM9+BGE!BM10+Parent!BM9+Pepco!BH9+DPL!BH14+ACE!BH9</f>
        <v>1931.5612495638647</v>
      </c>
      <c r="BN9" s="260">
        <f>+ExGen!BN9+ComEd!BN9+PECO!BN9+PECO!BN10+BGE!BN9+BGE!BN10+Parent!BN9+Pepco!BI9+DPL!BI14+ACE!BI9</f>
        <v>1703.0646519613681</v>
      </c>
      <c r="BO9" s="260">
        <f>+ExGen!BO9+ComEd!BO9+PECO!BO9+PECO!BO10+BGE!BO9+BGE!BO10+Parent!BO9+Pepco!BJ9+DPL!BJ14+ACE!BJ9</f>
        <v>1995.5396074297905</v>
      </c>
      <c r="BP9" s="291">
        <f>+ExGen!BP9+ComEd!BP9+PECO!BP9+PECO!BP10+BGE!BP9+BGE!BP10+Parent!BP9+Pepco!BK9+DPL!BK14+ACE!BK9</f>
        <v>1795.7638081999476</v>
      </c>
      <c r="BQ9" s="45">
        <f>SUM(BM9:BP9)</f>
        <v>7425.9293171549707</v>
      </c>
      <c r="BT9" s="45"/>
      <c r="DR9"/>
      <c r="DS9"/>
      <c r="DT9"/>
      <c r="DU9"/>
      <c r="DV9"/>
      <c r="DW9"/>
      <c r="DX9" s="37"/>
    </row>
    <row r="10" spans="1:128" s="32" customFormat="1">
      <c r="C10" s="32" t="s">
        <v>63</v>
      </c>
      <c r="E10" s="292">
        <f t="shared" ref="E10:AE10" si="0">E8-SUM(E9:E9)</f>
        <v>3263</v>
      </c>
      <c r="F10" s="261">
        <f t="shared" si="0"/>
        <v>2760</v>
      </c>
      <c r="G10" s="261">
        <f t="shared" si="0"/>
        <v>3139</v>
      </c>
      <c r="H10" s="293">
        <f t="shared" si="0"/>
        <v>2875</v>
      </c>
      <c r="I10" s="933">
        <f t="shared" si="0"/>
        <v>12037</v>
      </c>
      <c r="J10" s="292">
        <f t="shared" si="0"/>
        <v>3202</v>
      </c>
      <c r="K10" s="261">
        <f t="shared" si="0"/>
        <v>2871</v>
      </c>
      <c r="L10" s="261">
        <f t="shared" si="0"/>
        <v>3335</v>
      </c>
      <c r="M10" s="293">
        <f t="shared" si="0"/>
        <v>2801</v>
      </c>
      <c r="N10" s="228">
        <f t="shared" si="0"/>
        <v>12209</v>
      </c>
      <c r="O10" s="292">
        <f t="shared" si="0"/>
        <v>2955</v>
      </c>
      <c r="P10" s="261">
        <f t="shared" si="0"/>
        <v>2780</v>
      </c>
      <c r="Q10" s="261">
        <f t="shared" si="0"/>
        <v>3133</v>
      </c>
      <c r="R10" s="293">
        <f t="shared" si="0"/>
        <v>2928</v>
      </c>
      <c r="S10" s="228">
        <f t="shared" si="0"/>
        <v>11796</v>
      </c>
      <c r="T10" s="292">
        <f t="shared" si="0"/>
        <v>2921</v>
      </c>
      <c r="U10" s="261">
        <f t="shared" si="0"/>
        <v>3348</v>
      </c>
      <c r="V10" s="261">
        <f t="shared" si="0"/>
        <v>3539</v>
      </c>
      <c r="W10" s="293">
        <f t="shared" si="0"/>
        <v>3524</v>
      </c>
      <c r="X10" s="228">
        <f t="shared" si="0"/>
        <v>13332</v>
      </c>
      <c r="Y10" s="292">
        <f t="shared" si="0"/>
        <v>3101</v>
      </c>
      <c r="Z10" s="261">
        <f t="shared" si="0"/>
        <v>3722</v>
      </c>
      <c r="AA10" s="1438">
        <f t="shared" si="0"/>
        <v>3759</v>
      </c>
      <c r="AB10" s="1439">
        <f>AB8-SUM(AB9:AB9)</f>
        <v>3582</v>
      </c>
      <c r="AC10" s="1440">
        <f>AC8-SUM(AC9:AC9)</f>
        <v>14164</v>
      </c>
      <c r="AD10" s="292">
        <f t="shared" si="0"/>
        <v>2897</v>
      </c>
      <c r="AE10" s="261">
        <f t="shared" si="0"/>
        <v>3612</v>
      </c>
      <c r="AF10" s="1438">
        <f t="shared" ref="AF10" si="1">AF8-SUM(AF9:AF9)</f>
        <v>4264</v>
      </c>
      <c r="AG10" s="1439">
        <f>AG8-SUM(AG9:AG9)</f>
        <v>3653</v>
      </c>
      <c r="AH10" s="1440">
        <f>AH8-SUM(AH9:AH9)</f>
        <v>14426</v>
      </c>
      <c r="AI10" s="292">
        <f t="shared" ref="AI10:AJ10" si="2">AI8-SUM(AI9:AI9)</f>
        <v>4360</v>
      </c>
      <c r="AJ10" s="261">
        <f t="shared" si="2"/>
        <v>4065</v>
      </c>
      <c r="AK10" s="1438">
        <f t="shared" ref="AK10" si="3">AK8-SUM(AK9:AK9)</f>
        <v>4110</v>
      </c>
      <c r="AL10" s="1439">
        <f t="shared" ref="AL10:AP10" si="4">AL8-SUM(AL9:AL9)</f>
        <v>3828</v>
      </c>
      <c r="AM10" s="1440">
        <f t="shared" si="4"/>
        <v>16363</v>
      </c>
      <c r="AN10" s="292">
        <f t="shared" si="4"/>
        <v>4319</v>
      </c>
      <c r="AO10" s="261">
        <f t="shared" si="4"/>
        <v>4456</v>
      </c>
      <c r="AP10" s="1438">
        <f t="shared" si="4"/>
        <v>5248</v>
      </c>
      <c r="AQ10" s="1439">
        <f t="shared" ref="AQ10:AT10" si="5">AQ8-SUM(AQ9:AQ9)</f>
        <v>4697</v>
      </c>
      <c r="AR10" s="1440">
        <f t="shared" si="5"/>
        <v>18720</v>
      </c>
      <c r="AS10" s="292">
        <f t="shared" si="5"/>
        <v>4858</v>
      </c>
      <c r="AT10" s="261">
        <f t="shared" si="5"/>
        <v>4537</v>
      </c>
      <c r="AU10" s="261">
        <f t="shared" ref="AU10:BB10" si="6">AU8-SUM(AU9:AU9)</f>
        <v>5227</v>
      </c>
      <c r="AV10" s="1439">
        <f t="shared" si="6"/>
        <v>4874</v>
      </c>
      <c r="AW10" s="1440">
        <f t="shared" si="6"/>
        <v>19496</v>
      </c>
      <c r="AX10" s="292">
        <f t="shared" si="6"/>
        <v>4689.9519319461715</v>
      </c>
      <c r="AY10" s="261">
        <f t="shared" si="6"/>
        <v>4463.3597841868959</v>
      </c>
      <c r="AZ10" s="261">
        <f t="shared" si="6"/>
        <v>4786.0647836605967</v>
      </c>
      <c r="BA10" s="293">
        <f t="shared" ca="1" si="6"/>
        <v>4427.1266944940853</v>
      </c>
      <c r="BB10" s="228">
        <f t="shared" ca="1" si="6"/>
        <v>18366.503194287747</v>
      </c>
      <c r="BC10" s="292">
        <f t="shared" ref="BC10:BL10" si="7">BC8-SUM(BC9:BC9)</f>
        <v>4859.0431460651662</v>
      </c>
      <c r="BD10" s="261">
        <f t="shared" si="7"/>
        <v>4386.0844682271136</v>
      </c>
      <c r="BE10" s="261">
        <f t="shared" si="7"/>
        <v>4704.7115705751694</v>
      </c>
      <c r="BF10" s="293">
        <f t="shared" ca="1" si="7"/>
        <v>4365.2057195757852</v>
      </c>
      <c r="BG10" s="228">
        <f t="shared" ca="1" si="7"/>
        <v>18315.044904443232</v>
      </c>
      <c r="BH10" s="292">
        <f t="shared" si="7"/>
        <v>4792.7411539712321</v>
      </c>
      <c r="BI10" s="261">
        <f t="shared" si="7"/>
        <v>4347.739340828768</v>
      </c>
      <c r="BJ10" s="261">
        <f t="shared" si="7"/>
        <v>4765.0262572901675</v>
      </c>
      <c r="BK10" s="293">
        <f t="shared" ca="1" si="7"/>
        <v>4463.4149063787117</v>
      </c>
      <c r="BL10" s="228">
        <f t="shared" ca="1" si="7"/>
        <v>18368.921658468884</v>
      </c>
      <c r="BM10" s="292">
        <f t="shared" ref="BM10:BQ10" si="8">BM8-SUM(BM9:BM9)</f>
        <v>4721.0263671485664</v>
      </c>
      <c r="BN10" s="261">
        <f t="shared" si="8"/>
        <v>4520.8385449386624</v>
      </c>
      <c r="BO10" s="261">
        <f t="shared" si="8"/>
        <v>4899.0264316317098</v>
      </c>
      <c r="BP10" s="293">
        <f t="shared" ca="1" si="8"/>
        <v>4616.1974877683815</v>
      </c>
      <c r="BQ10" s="228">
        <f t="shared" ca="1" si="8"/>
        <v>18757.088831487323</v>
      </c>
      <c r="BT10" s="228"/>
      <c r="BU10" s="792"/>
      <c r="BV10" s="792"/>
      <c r="BW10" s="792"/>
      <c r="BX10" s="792"/>
      <c r="BY10" s="792"/>
      <c r="DR10"/>
      <c r="DS10"/>
      <c r="DT10"/>
      <c r="DU10"/>
      <c r="DV10"/>
      <c r="DW10"/>
      <c r="DX10" s="37"/>
    </row>
    <row r="11" spans="1:128" s="28" customFormat="1">
      <c r="E11" s="290"/>
      <c r="F11" s="260"/>
      <c r="G11" s="260"/>
      <c r="H11" s="291"/>
      <c r="I11" s="932"/>
      <c r="J11" s="290"/>
      <c r="K11" s="260"/>
      <c r="L11" s="260"/>
      <c r="M11" s="291"/>
      <c r="N11" s="45"/>
      <c r="O11" s="290"/>
      <c r="P11" s="260"/>
      <c r="Q11" s="260"/>
      <c r="R11" s="291"/>
      <c r="S11" s="45"/>
      <c r="T11" s="290"/>
      <c r="U11" s="260"/>
      <c r="V11" s="260"/>
      <c r="W11" s="291"/>
      <c r="X11" s="45"/>
      <c r="Y11" s="290"/>
      <c r="Z11" s="260"/>
      <c r="AA11" s="1441"/>
      <c r="AB11" s="1442"/>
      <c r="AC11" s="1443"/>
      <c r="AD11" s="290"/>
      <c r="AE11" s="260"/>
      <c r="AF11" s="1441"/>
      <c r="AG11" s="1442"/>
      <c r="AH11" s="1443"/>
      <c r="AI11" s="290"/>
      <c r="AJ11" s="260"/>
      <c r="AK11" s="1441"/>
      <c r="AL11" s="1442"/>
      <c r="AM11" s="1443"/>
      <c r="AN11" s="290"/>
      <c r="AO11" s="260"/>
      <c r="AP11" s="1441"/>
      <c r="AQ11" s="1442"/>
      <c r="AR11" s="1443"/>
      <c r="AS11" s="290"/>
      <c r="AT11" s="260"/>
      <c r="AU11" s="260"/>
      <c r="AV11" s="1442"/>
      <c r="AW11" s="1443"/>
      <c r="AX11" s="290"/>
      <c r="AY11" s="260"/>
      <c r="AZ11" s="260"/>
      <c r="BA11" s="291"/>
      <c r="BB11" s="45"/>
      <c r="BC11" s="290"/>
      <c r="BD11" s="260"/>
      <c r="BE11" s="260"/>
      <c r="BF11" s="291"/>
      <c r="BG11" s="45"/>
      <c r="BH11" s="290"/>
      <c r="BI11" s="260"/>
      <c r="BJ11" s="260"/>
      <c r="BK11" s="291"/>
      <c r="BL11" s="45"/>
      <c r="BM11" s="290"/>
      <c r="BN11" s="260"/>
      <c r="BO11" s="260"/>
      <c r="BP11" s="291"/>
      <c r="BQ11" s="45"/>
      <c r="BT11" s="45"/>
      <c r="BU11" s="45"/>
      <c r="BV11" s="45"/>
      <c r="BW11" s="45"/>
      <c r="BX11" s="45"/>
      <c r="BY11" s="45"/>
      <c r="BZ11" s="349"/>
      <c r="CA11" s="349"/>
      <c r="DR11"/>
      <c r="DS11"/>
      <c r="DT11"/>
      <c r="DU11"/>
      <c r="DV11"/>
      <c r="DW11"/>
      <c r="DX11" s="37"/>
    </row>
    <row r="12" spans="1:128" s="28" customFormat="1">
      <c r="C12" s="28" t="s">
        <v>64</v>
      </c>
      <c r="E12" s="335">
        <f>1361+11</f>
        <v>1372</v>
      </c>
      <c r="F12" s="336">
        <f>1111+14</f>
        <v>1125</v>
      </c>
      <c r="G12" s="336">
        <f>1020+19</f>
        <v>1039</v>
      </c>
      <c r="H12" s="291">
        <f>I12-SUM(E12:G12)</f>
        <v>1139</v>
      </c>
      <c r="I12" s="931">
        <f>4612+63</f>
        <v>4675</v>
      </c>
      <c r="J12" s="335">
        <f>1062+27</f>
        <v>1089</v>
      </c>
      <c r="K12" s="336">
        <f>1114+34</f>
        <v>1148</v>
      </c>
      <c r="L12" s="336">
        <f>1122+37</f>
        <v>1159</v>
      </c>
      <c r="M12" s="291">
        <f>N12-SUM(J12:L12)</f>
        <v>1204</v>
      </c>
      <c r="N12" s="427">
        <f>4453+147</f>
        <v>4600</v>
      </c>
      <c r="O12" s="335">
        <v>1223</v>
      </c>
      <c r="P12" s="336">
        <f>1185+41</f>
        <v>1226</v>
      </c>
      <c r="Q12" s="336">
        <f>1354+59</f>
        <v>1413</v>
      </c>
      <c r="R12" s="291">
        <f>S12-SUM(O12:Q12)</f>
        <v>1334</v>
      </c>
      <c r="S12" s="427">
        <f>5012+184</f>
        <v>5196</v>
      </c>
      <c r="T12" s="335">
        <v>1964</v>
      </c>
      <c r="U12" s="336">
        <v>1829</v>
      </c>
      <c r="V12" s="336">
        <v>2156</v>
      </c>
      <c r="W12" s="291">
        <f>X12-SUM(T12:V12)</f>
        <v>2012</v>
      </c>
      <c r="X12" s="427">
        <v>7961</v>
      </c>
      <c r="Y12" s="335">
        <v>1764</v>
      </c>
      <c r="Z12" s="336">
        <v>1892</v>
      </c>
      <c r="AA12" s="1435">
        <v>1735</v>
      </c>
      <c r="AB12" s="1442">
        <f>AC12-SUM(Y12:AA12)</f>
        <v>1879</v>
      </c>
      <c r="AC12" s="1437">
        <v>7270</v>
      </c>
      <c r="AD12" s="335">
        <v>1858</v>
      </c>
      <c r="AE12" s="336">
        <v>2166</v>
      </c>
      <c r="AF12" s="1435">
        <v>1982</v>
      </c>
      <c r="AG12" s="1442">
        <f>AH12-SUM(AD12:AF12)</f>
        <v>2562</v>
      </c>
      <c r="AH12" s="1437">
        <v>8568</v>
      </c>
      <c r="AI12" s="335">
        <v>2081</v>
      </c>
      <c r="AJ12" s="336">
        <v>2042</v>
      </c>
      <c r="AK12" s="1435">
        <v>1996</v>
      </c>
      <c r="AL12" s="1442">
        <f>AM12-SUM(AI12:AK12)</f>
        <v>2203</v>
      </c>
      <c r="AM12" s="1437">
        <v>8322</v>
      </c>
      <c r="AN12" s="335">
        <v>2835</v>
      </c>
      <c r="AO12" s="336">
        <v>2505</v>
      </c>
      <c r="AP12" s="1435">
        <v>2338</v>
      </c>
      <c r="AQ12" s="1442">
        <f>AR12-SUM(AN12:AP12)</f>
        <v>2370</v>
      </c>
      <c r="AR12" s="1437">
        <v>10048</v>
      </c>
      <c r="AS12" s="335">
        <v>2460</v>
      </c>
      <c r="AT12" s="336">
        <v>2971</v>
      </c>
      <c r="AU12" s="336">
        <v>2300</v>
      </c>
      <c r="AV12" s="1442">
        <f>AW12-SUM(AS12:AU12)</f>
        <v>2395</v>
      </c>
      <c r="AW12" s="1437">
        <v>10126</v>
      </c>
      <c r="AX12" s="290">
        <f>ExGen!AX12+ComEd!AX12+PECO!AX13+BGE!AX13+Parent!AX12+Pepco!AS12+DPL!AS18+ACE!AS12</f>
        <v>2025.35545</v>
      </c>
      <c r="AY12" s="260">
        <f>ExGen!AY12+ComEd!AY12+PECO!AY13+BGE!AY13+Parent!AY12+Pepco!AT12+DPL!AT18+ACE!AT12</f>
        <v>2163.9870499999997</v>
      </c>
      <c r="AZ12" s="260">
        <f>ExGen!AZ12+ComEd!AZ12+PECO!AZ13+BGE!AZ13+Parent!AZ12+Pepco!AU12+DPL!AU18+ACE!AU12</f>
        <v>1966.3454500000003</v>
      </c>
      <c r="BA12" s="291">
        <f>ExGen!BA12+ComEd!BA12+PECO!BA13+BGE!BA13+Parent!BA12+Pepco!AV12+DPL!AV18+ACE!AV12</f>
        <v>2177.52205</v>
      </c>
      <c r="BB12" s="45">
        <f>SUM(AX12:BA12)</f>
        <v>8333.2099999999991</v>
      </c>
      <c r="BC12" s="290">
        <f>ExGen!BC12+ComEd!BC12+PECO!BC13+BGE!BC13+Parent!BC12+Pepco!AX12+DPL!AX18+ACE!AX12</f>
        <v>1983.3733301999998</v>
      </c>
      <c r="BD12" s="260">
        <f>ExGen!BD12+ComEd!BD12+PECO!BD13+BGE!BD13+Parent!BD12+Pepco!AY12+DPL!AY18+ACE!AY12</f>
        <v>2114.2367398000001</v>
      </c>
      <c r="BE12" s="260">
        <f>ExGen!BE12+ComEd!BE12+PECO!BE13+BGE!BE13+Parent!BE12+Pepco!AZ12+DPL!AZ18+ACE!AZ12</f>
        <v>1924.1251301999998</v>
      </c>
      <c r="BF12" s="291">
        <f>ExGen!BF12+ComEd!BF12+PECO!BF13+BGE!BF13+Parent!BF12+Pepco!BA12+DPL!BA18+ACE!BA12</f>
        <v>2127.7017397999998</v>
      </c>
      <c r="BG12" s="45">
        <f>SUM(BC12:BF12)</f>
        <v>8149.4369399999996</v>
      </c>
      <c r="BH12" s="290">
        <f>ExGen!BH12+ComEd!BH12+PECO!BH13+BGE!BH13+Parent!BH12+Pepco!BC12+DPL!BC18+ACE!BC12</f>
        <v>1968.3381721771998</v>
      </c>
      <c r="BI12" s="260">
        <f>ExGen!BI12+ComEd!BI12+PECO!BI13+BGE!BI13+Parent!BI12+Pepco!BD12+DPL!BD18+ACE!BD12</f>
        <v>2095.9903176427997</v>
      </c>
      <c r="BJ12" s="260">
        <f>ExGen!BJ12+ComEd!BJ12+PECO!BJ13+BGE!BJ13+Parent!BJ12+Pepco!BE12+DPL!BE18+ACE!BE12</f>
        <v>1909.3629781771999</v>
      </c>
      <c r="BK12" s="291">
        <f>ExGen!BK12+ComEd!BK12+PECO!BK13+BGE!BK13+Parent!BK12+Pepco!BF12+DPL!BF18+ACE!BF12</f>
        <v>2109.2765101427999</v>
      </c>
      <c r="BL12" s="45">
        <f>SUM(BH12:BK12)</f>
        <v>8082.9679781399991</v>
      </c>
      <c r="BM12" s="290">
        <f>ExGen!BM12+ComEd!BM12+PECO!BM13+BGE!BM13+Parent!BM12+Pepco!BH12+DPL!BH18+ACE!BH12</f>
        <v>1966.2912011722631</v>
      </c>
      <c r="BN12" s="260">
        <f>ExGen!BN12+ComEd!BN12+PECO!BN13+BGE!BN13+Parent!BN12+Pepco!BI12+DPL!BI18+ACE!BI12</f>
        <v>2093.9340762726565</v>
      </c>
      <c r="BO12" s="260">
        <f>ExGen!BO12+ComEd!BO12+PECO!BO13+BGE!BO13+Parent!BO12+Pepco!BJ12+DPL!BJ18+ACE!BJ12</f>
        <v>1907.4649238722632</v>
      </c>
      <c r="BP12" s="291">
        <f>ExGen!BP12+ComEd!BP12+PECO!BP13+BGE!BP13+Parent!BP12+Pepco!BK12+DPL!BK18+ACE!BK12</f>
        <v>2107.0172238976565</v>
      </c>
      <c r="BQ12" s="45">
        <f>SUM(BM12:BP12)</f>
        <v>8074.7074252148395</v>
      </c>
      <c r="BR12" s="963"/>
      <c r="BT12" s="45"/>
      <c r="BU12" s="45"/>
      <c r="BV12" s="45"/>
      <c r="BW12" s="45"/>
      <c r="BX12" s="45"/>
      <c r="BY12" s="45"/>
      <c r="BZ12" s="349"/>
      <c r="CA12" s="349"/>
      <c r="DR12"/>
      <c r="DS12"/>
      <c r="DT12"/>
      <c r="DU12"/>
      <c r="DV12"/>
      <c r="DW12"/>
      <c r="DX12" s="37"/>
    </row>
    <row r="13" spans="1:128" s="28" customFormat="1">
      <c r="C13" s="28" t="s">
        <v>67</v>
      </c>
      <c r="E13" s="335">
        <v>436</v>
      </c>
      <c r="F13" s="336">
        <v>439</v>
      </c>
      <c r="G13" s="336">
        <v>485</v>
      </c>
      <c r="H13" s="291">
        <f>I13-SUM(E13:G13)</f>
        <v>474</v>
      </c>
      <c r="I13" s="931">
        <v>1834</v>
      </c>
      <c r="J13" s="335">
        <v>514</v>
      </c>
      <c r="K13" s="336">
        <v>519</v>
      </c>
      <c r="L13" s="336">
        <v>578</v>
      </c>
      <c r="M13" s="291">
        <f>N13-SUM(J13:L13)</f>
        <v>464</v>
      </c>
      <c r="N13" s="427">
        <v>2075</v>
      </c>
      <c r="O13" s="335">
        <v>327</v>
      </c>
      <c r="P13" s="336">
        <v>329</v>
      </c>
      <c r="Q13" s="336">
        <v>332</v>
      </c>
      <c r="R13" s="291">
        <f>S13-SUM(O13:Q13)</f>
        <v>347</v>
      </c>
      <c r="S13" s="427">
        <v>1335</v>
      </c>
      <c r="T13" s="335">
        <v>382</v>
      </c>
      <c r="U13" s="336">
        <v>494</v>
      </c>
      <c r="V13" s="336">
        <v>500</v>
      </c>
      <c r="W13" s="291">
        <f>X13-SUM(T13:V13)</f>
        <v>505</v>
      </c>
      <c r="X13" s="427">
        <v>1881</v>
      </c>
      <c r="Y13" s="335">
        <v>543</v>
      </c>
      <c r="Z13" s="336">
        <v>533</v>
      </c>
      <c r="AA13" s="1435">
        <v>530</v>
      </c>
      <c r="AB13" s="1442">
        <f>AC13-SUM(Y13:AA13)</f>
        <v>547</v>
      </c>
      <c r="AC13" s="1437">
        <v>2153</v>
      </c>
      <c r="AD13" s="335">
        <v>564</v>
      </c>
      <c r="AE13" s="336">
        <v>590</v>
      </c>
      <c r="AF13" s="1435">
        <v>577</v>
      </c>
      <c r="AG13" s="1442">
        <f>AH13-SUM(AD13:AF13)</f>
        <v>583</v>
      </c>
      <c r="AH13" s="1437">
        <v>2314</v>
      </c>
      <c r="AI13" s="335">
        <v>610</v>
      </c>
      <c r="AJ13" s="336">
        <v>602</v>
      </c>
      <c r="AK13" s="1435">
        <v>606</v>
      </c>
      <c r="AL13" s="1442">
        <f>AM13-SUM(AI13:AK13)</f>
        <v>632</v>
      </c>
      <c r="AM13" s="1437">
        <v>2450</v>
      </c>
      <c r="AN13" s="335">
        <v>685</v>
      </c>
      <c r="AO13" s="336">
        <v>941</v>
      </c>
      <c r="AP13" s="1435">
        <v>1195</v>
      </c>
      <c r="AQ13" s="1442">
        <f>AR13-SUM(AN13:AP13)</f>
        <v>1115</v>
      </c>
      <c r="AR13" s="1437">
        <v>3936</v>
      </c>
      <c r="AS13" s="335">
        <v>896</v>
      </c>
      <c r="AT13" s="336">
        <v>915</v>
      </c>
      <c r="AU13" s="336">
        <v>1002</v>
      </c>
      <c r="AV13" s="1442">
        <f>AW13-SUM(AS13:AU13)</f>
        <v>1015</v>
      </c>
      <c r="AW13" s="1437">
        <v>3828</v>
      </c>
      <c r="AX13" s="290">
        <f>+ExGen!AX13+ComEd!AX13+PECO!AX14+BGE!AX14+Parent!AX13+Pepco!AS13+DPL!AS19+ACE!AS13</f>
        <v>862.57258887242006</v>
      </c>
      <c r="AY13" s="260">
        <f>+ExGen!AY13+ComEd!AY13+PECO!AY14+BGE!AY14+Parent!AY13+Pepco!AT13+DPL!AT19+ACE!AT13</f>
        <v>857.18454989771385</v>
      </c>
      <c r="AZ13" s="260">
        <f>+ExGen!AZ13+ComEd!AZ13+PECO!AZ14+BGE!AZ14+Parent!AZ13+Pepco!AU13+DPL!AU19+ACE!AU13</f>
        <v>861.26947296235494</v>
      </c>
      <c r="BA13" s="291">
        <f>+ExGen!BA13+ComEd!BA13+PECO!BA14+BGE!BA14+Parent!BA13+Pepco!AV13+DPL!AV19+ACE!AV13</f>
        <v>889.24069609837738</v>
      </c>
      <c r="BB13" s="45">
        <f>SUM(AX13:BA13)</f>
        <v>3470.2673078308662</v>
      </c>
      <c r="BC13" s="290">
        <f>+ExGen!BC13+ComEd!BC13+PECO!BC14+BGE!BC14+Parent!BC13+Pepco!AX13+DPL!AX19+ACE!AX13</f>
        <v>904.58866939055406</v>
      </c>
      <c r="BD13" s="260">
        <f>+ExGen!BD13+ComEd!BD13+PECO!BD14+BGE!BD14+Parent!BD13+Pepco!AY13+DPL!AY19+ACE!AY13</f>
        <v>901.12884760622262</v>
      </c>
      <c r="BE13" s="260">
        <f>+ExGen!BE13+ComEd!BE13+PECO!BE14+BGE!BE14+Parent!BE13+Pepco!AZ13+DPL!AZ19+ACE!AZ13</f>
        <v>902.55443819884511</v>
      </c>
      <c r="BF13" s="291">
        <f>+ExGen!BF13+ComEd!BF13+PECO!BF14+BGE!BF14+Parent!BF13+Pepco!BA13+DPL!BA19+ACE!BA13</f>
        <v>927.89971039740033</v>
      </c>
      <c r="BG13" s="45">
        <f>SUM(BC13:BF13)</f>
        <v>3636.1716655930222</v>
      </c>
      <c r="BH13" s="290">
        <f>+ExGen!BH13+ComEd!BH13+PECO!BH14+BGE!BH14+Parent!BH13+Pepco!BC13+DPL!BC19+ACE!BC13</f>
        <v>937.66555813925697</v>
      </c>
      <c r="BI13" s="260">
        <f>+ExGen!BI13+ComEd!BI13+PECO!BI14+BGE!BI14+Parent!BI13+Pepco!BD13+DPL!BD19+ACE!BD13</f>
        <v>930.27071938139954</v>
      </c>
      <c r="BJ13" s="260">
        <f>+ExGen!BJ13+ComEd!BJ13+PECO!BJ14+BGE!BJ14+Parent!BJ13+Pepco!BE13+DPL!BE19+ACE!BE13</f>
        <v>931.9407049681804</v>
      </c>
      <c r="BK13" s="291">
        <f>+ExGen!BK13+ComEd!BK13+PECO!BK14+BGE!BK14+Parent!BK13+Pepco!BF13+DPL!BF19+ACE!BF13</f>
        <v>957.52526474957313</v>
      </c>
      <c r="BL13" s="45">
        <f>SUM(BH13:BK13)</f>
        <v>3757.4022472384099</v>
      </c>
      <c r="BM13" s="290">
        <f>+ExGen!BM13+ComEd!BM13+PECO!BM14+BGE!BM14+Parent!BM13+Pepco!BH13+DPL!BH19+ACE!BH13</f>
        <v>962.02538075475707</v>
      </c>
      <c r="BN13" s="260">
        <f>+ExGen!BN13+ComEd!BN13+PECO!BN14+BGE!BN14+Parent!BN13+Pepco!BI13+DPL!BI19+ACE!BI13</f>
        <v>955.40159636478086</v>
      </c>
      <c r="BO13" s="260">
        <f>+ExGen!BO13+ComEd!BO13+PECO!BO14+BGE!BO14+Parent!BO13+Pepco!BJ13+DPL!BJ19+ACE!BJ13</f>
        <v>956.62752192840207</v>
      </c>
      <c r="BP13" s="291">
        <f>+ExGen!BP13+ComEd!BP13+PECO!BP14+BGE!BP14+Parent!BP13+Pepco!BK13+DPL!BK19+ACE!BK13</f>
        <v>981.77154538935758</v>
      </c>
      <c r="BQ13" s="45">
        <f>SUM(BM13:BP13)</f>
        <v>3855.8260444372977</v>
      </c>
      <c r="BR13" s="963"/>
      <c r="BT13" s="45"/>
      <c r="BU13" s="45"/>
      <c r="BV13" s="45"/>
      <c r="BW13" s="45"/>
      <c r="BX13" s="45"/>
      <c r="BY13" s="45"/>
      <c r="BZ13" s="349"/>
      <c r="CA13" s="349"/>
      <c r="DR13"/>
      <c r="DS13"/>
      <c r="DT13"/>
      <c r="DU13"/>
      <c r="DV13"/>
      <c r="DW13"/>
      <c r="DX13" s="37"/>
    </row>
    <row r="14" spans="1:128" s="28" customFormat="1">
      <c r="C14" s="28" t="s">
        <v>65</v>
      </c>
      <c r="E14" s="335">
        <v>200</v>
      </c>
      <c r="F14" s="336">
        <v>180</v>
      </c>
      <c r="G14" s="336">
        <v>212</v>
      </c>
      <c r="H14" s="291">
        <f>I14-SUM(E14:G14)</f>
        <v>186</v>
      </c>
      <c r="I14" s="931">
        <v>778</v>
      </c>
      <c r="J14" s="335">
        <v>197</v>
      </c>
      <c r="K14" s="336">
        <v>186</v>
      </c>
      <c r="L14" s="336">
        <v>232</v>
      </c>
      <c r="M14" s="291">
        <f>N14-SUM(J14:L14)</f>
        <v>193</v>
      </c>
      <c r="N14" s="427">
        <v>808</v>
      </c>
      <c r="O14" s="335">
        <v>203</v>
      </c>
      <c r="P14" s="336">
        <v>191</v>
      </c>
      <c r="Q14" s="336">
        <v>207</v>
      </c>
      <c r="R14" s="291">
        <f>S14-SUM(O14:Q14)</f>
        <v>184</v>
      </c>
      <c r="S14" s="427">
        <v>785</v>
      </c>
      <c r="T14" s="335">
        <v>194</v>
      </c>
      <c r="U14" s="336">
        <v>254</v>
      </c>
      <c r="V14" s="336">
        <v>290</v>
      </c>
      <c r="W14" s="291">
        <f>X14-SUM(T14:V14)</f>
        <v>281</v>
      </c>
      <c r="X14" s="427">
        <v>1019</v>
      </c>
      <c r="Y14" s="335">
        <v>277</v>
      </c>
      <c r="Z14" s="336">
        <v>271</v>
      </c>
      <c r="AA14" s="1435">
        <v>277</v>
      </c>
      <c r="AB14" s="1442">
        <f>AC14-SUM(Y14:AA14)</f>
        <v>270</v>
      </c>
      <c r="AC14" s="1437">
        <v>1095</v>
      </c>
      <c r="AD14" s="335">
        <v>293</v>
      </c>
      <c r="AE14" s="336">
        <v>288</v>
      </c>
      <c r="AF14" s="1435">
        <v>306</v>
      </c>
      <c r="AG14" s="1442">
        <f>AH14-SUM(AD14:AF14)</f>
        <v>267</v>
      </c>
      <c r="AH14" s="1437">
        <v>1154</v>
      </c>
      <c r="AI14" s="335">
        <v>304</v>
      </c>
      <c r="AJ14" s="336">
        <v>294</v>
      </c>
      <c r="AK14" s="1435">
        <v>310</v>
      </c>
      <c r="AL14" s="1442">
        <f>AM14-SUM(AI14:AK14)</f>
        <v>292</v>
      </c>
      <c r="AM14" s="1437">
        <v>1200</v>
      </c>
      <c r="AN14" s="335">
        <v>325</v>
      </c>
      <c r="AO14" s="336">
        <v>394</v>
      </c>
      <c r="AP14" s="1435">
        <v>449</v>
      </c>
      <c r="AQ14" s="1442">
        <f>AR14-SUM(AN14:AP14)</f>
        <v>408</v>
      </c>
      <c r="AR14" s="1437">
        <v>1576</v>
      </c>
      <c r="AS14" s="335">
        <v>436</v>
      </c>
      <c r="AT14" s="336">
        <v>420</v>
      </c>
      <c r="AU14" s="336">
        <v>456</v>
      </c>
      <c r="AV14" s="1442">
        <f>AW14-SUM(AS14:AU14)</f>
        <v>419</v>
      </c>
      <c r="AW14" s="1437">
        <v>1731</v>
      </c>
      <c r="AX14" s="290">
        <f>+ExGen!AX14+ComEd!AX14+PECO!AX15+BGE!AX15+Parent!AX14+Pepco!AS14+DPL!AS20+ACE!AS14</f>
        <v>431.46249999999998</v>
      </c>
      <c r="AY14" s="260">
        <f>+ExGen!AY14+ComEd!AY14+PECO!AY15+BGE!AY15+Parent!AY14+Pepco!AT14+DPL!AT20+ACE!AT14</f>
        <v>418.2525</v>
      </c>
      <c r="AZ14" s="260">
        <f>+ExGen!AZ14+ComEd!AZ14+PECO!AZ15+BGE!AZ15+Parent!AZ14+Pepco!AU14+DPL!AU20+ACE!AU14</f>
        <v>454.04249999999996</v>
      </c>
      <c r="BA14" s="291">
        <f>+ExGen!BA14+ComEd!BA14+PECO!BA15+BGE!BA15+Parent!BA14+Pepco!AV14+DPL!AV20+ACE!AV14</f>
        <v>426.3125</v>
      </c>
      <c r="BB14" s="45">
        <f>SUM(AX14:BA14)</f>
        <v>1730.07</v>
      </c>
      <c r="BC14" s="290">
        <f>+ExGen!BC14+ComEd!BC14+PECO!BC15+BGE!BC15+Parent!BC14+Pepco!AX14+DPL!AX20+ACE!AX14</f>
        <v>438.27760000000001</v>
      </c>
      <c r="BD14" s="260">
        <f>+ExGen!BD14+ComEd!BD14+PECO!BD15+BGE!BD15+Parent!BD14+Pepco!AY14+DPL!AY20+ACE!AY14</f>
        <v>424.85309999999998</v>
      </c>
      <c r="BE14" s="260">
        <f>+ExGen!BE14+ComEd!BE14+PECO!BE15+BGE!BE15+Parent!BE14+Pepco!AZ14+DPL!AZ20+ACE!AZ14</f>
        <v>461.45280000000002</v>
      </c>
      <c r="BF14" s="291">
        <f>+ExGen!BF14+ComEd!BF14+PECO!BF15+BGE!BF15+Parent!BF14+Pepco!BA14+DPL!BA20+ACE!BA14</f>
        <v>432.97309999999999</v>
      </c>
      <c r="BG14" s="45">
        <f>SUM(BC14:BF14)</f>
        <v>1757.5565999999999</v>
      </c>
      <c r="BH14" s="290">
        <f>+ExGen!BH14+ComEd!BH14+PECO!BH15+BGE!BH15+Parent!BH14+Pepco!BC14+DPL!BC20+ACE!BC14</f>
        <v>445.26206499999995</v>
      </c>
      <c r="BI14" s="260">
        <f>+ExGen!BI14+ComEd!BI14+PECO!BI15+BGE!BI15+Parent!BI14+Pepco!BD14+DPL!BD20+ACE!BD14</f>
        <v>431.61846600000001</v>
      </c>
      <c r="BJ14" s="260">
        <f>+ExGen!BJ14+ComEd!BJ14+PECO!BJ15+BGE!BJ15+Parent!BJ14+Pepco!BE14+DPL!BE20+ACE!BE14</f>
        <v>469.04807699999998</v>
      </c>
      <c r="BK14" s="291">
        <f>+ExGen!BK14+ComEd!BK14+PECO!BK15+BGE!BK15+Parent!BK14+Pepco!BF14+DPL!BF20+ACE!BF14</f>
        <v>439.79843</v>
      </c>
      <c r="BL14" s="45">
        <f>SUM(BH14:BK14)</f>
        <v>1785.727038</v>
      </c>
      <c r="BM14" s="290">
        <f>+ExGen!BM14+ComEd!BM14+PECO!BM15+BGE!BM15+Parent!BM14+Pepco!BH14+DPL!BH20+ACE!BH14</f>
        <v>452.4202741900001</v>
      </c>
      <c r="BN14" s="260">
        <f>+ExGen!BN14+ComEd!BN14+PECO!BN15+BGE!BN15+Parent!BN14+Pepco!BI14+DPL!BI20+ACE!BI14</f>
        <v>438.55287594000009</v>
      </c>
      <c r="BO14" s="260">
        <f>+ExGen!BO14+ComEd!BO14+PECO!BO15+BGE!BO15+Parent!BO14+Pepco!BJ14+DPL!BJ20+ACE!BJ14</f>
        <v>476.83313367000005</v>
      </c>
      <c r="BP14" s="291">
        <f>+ExGen!BP14+ComEd!BP14+PECO!BP15+BGE!BP15+Parent!BP14+Pepco!BK14+DPL!BK20+ACE!BK14</f>
        <v>446.79273014</v>
      </c>
      <c r="BQ14" s="45">
        <f>SUM(BM14:BP14)</f>
        <v>1814.5990139400003</v>
      </c>
      <c r="BR14" s="13"/>
      <c r="BS14" s="13"/>
      <c r="BU14" s="45"/>
      <c r="BV14" s="45"/>
      <c r="BW14" s="45"/>
      <c r="BX14" s="45"/>
      <c r="BY14" s="45"/>
      <c r="BZ14" s="349"/>
      <c r="CA14" s="349"/>
      <c r="DR14"/>
      <c r="DS14"/>
      <c r="DT14"/>
      <c r="DU14"/>
      <c r="DV14"/>
      <c r="DW14"/>
      <c r="DX14" s="37"/>
    </row>
    <row r="15" spans="1:128" s="28" customFormat="1">
      <c r="C15" s="32" t="s">
        <v>121</v>
      </c>
      <c r="E15" s="292">
        <f t="shared" ref="E15:AE15" si="9">SUM(E9:E9,E12:E14)</f>
        <v>3467</v>
      </c>
      <c r="F15" s="261">
        <f t="shared" si="9"/>
        <v>3125</v>
      </c>
      <c r="G15" s="261">
        <f t="shared" si="9"/>
        <v>2936</v>
      </c>
      <c r="H15" s="293">
        <f t="shared" si="9"/>
        <v>3040</v>
      </c>
      <c r="I15" s="933">
        <f t="shared" si="9"/>
        <v>12568</v>
      </c>
      <c r="J15" s="292">
        <f t="shared" si="9"/>
        <v>3059</v>
      </c>
      <c r="K15" s="261">
        <f t="shared" si="9"/>
        <v>3380</v>
      </c>
      <c r="L15" s="261">
        <f t="shared" si="9"/>
        <v>3925</v>
      </c>
      <c r="M15" s="293">
        <f t="shared" si="9"/>
        <v>3554</v>
      </c>
      <c r="N15" s="228">
        <f t="shared" si="9"/>
        <v>13918</v>
      </c>
      <c r="O15" s="292">
        <f t="shared" si="9"/>
        <v>3754</v>
      </c>
      <c r="P15" s="261">
        <f t="shared" si="9"/>
        <v>3553</v>
      </c>
      <c r="Q15" s="261">
        <f t="shared" si="9"/>
        <v>4114</v>
      </c>
      <c r="R15" s="293">
        <f t="shared" si="9"/>
        <v>3023</v>
      </c>
      <c r="S15" s="228">
        <f t="shared" si="9"/>
        <v>14444</v>
      </c>
      <c r="T15" s="292">
        <f t="shared" si="9"/>
        <v>4305</v>
      </c>
      <c r="U15" s="261">
        <f t="shared" si="9"/>
        <v>5183</v>
      </c>
      <c r="V15" s="261">
        <f t="shared" si="9"/>
        <v>5972</v>
      </c>
      <c r="W15" s="293">
        <f t="shared" si="9"/>
        <v>5558</v>
      </c>
      <c r="X15" s="228">
        <f t="shared" si="9"/>
        <v>21018</v>
      </c>
      <c r="Y15" s="292">
        <f t="shared" si="9"/>
        <v>5565</v>
      </c>
      <c r="Z15" s="261">
        <f t="shared" si="9"/>
        <v>5115</v>
      </c>
      <c r="AA15" s="1438">
        <f t="shared" si="9"/>
        <v>5285</v>
      </c>
      <c r="AB15" s="1439">
        <f>SUM(AB9:AB9,AB12:AB14)</f>
        <v>5277</v>
      </c>
      <c r="AC15" s="1440">
        <f>SUM(AC9:AC9,AC12:AC14)</f>
        <v>21242</v>
      </c>
      <c r="AD15" s="292">
        <f t="shared" si="9"/>
        <v>7055</v>
      </c>
      <c r="AE15" s="261">
        <f t="shared" si="9"/>
        <v>5456</v>
      </c>
      <c r="AF15" s="1438">
        <f t="shared" ref="AF15" si="10">SUM(AF9:AF9,AF12:AF14)</f>
        <v>5513</v>
      </c>
      <c r="AG15" s="1439">
        <f>SUM(AG9:AG9,AG12:AG14)</f>
        <v>7015</v>
      </c>
      <c r="AH15" s="1440">
        <f>SUM(AH9:AH9,AH12:AH14)</f>
        <v>25039</v>
      </c>
      <c r="AI15" s="292">
        <f t="shared" ref="AI15:AK15" si="11">SUM(AI9:AI9,AI12:AI14)</f>
        <v>7465</v>
      </c>
      <c r="AJ15" s="261">
        <f t="shared" si="11"/>
        <v>5387</v>
      </c>
      <c r="AK15" s="1438">
        <f t="shared" si="11"/>
        <v>6203</v>
      </c>
      <c r="AL15" s="1439">
        <f t="shared" ref="AL15:AP15" si="12">SUM(AL9:AL9,AL12:AL14)</f>
        <v>6001</v>
      </c>
      <c r="AM15" s="1440">
        <f t="shared" si="12"/>
        <v>25056</v>
      </c>
      <c r="AN15" s="292">
        <f t="shared" si="12"/>
        <v>7099</v>
      </c>
      <c r="AO15" s="261">
        <f t="shared" si="12"/>
        <v>6294</v>
      </c>
      <c r="AP15" s="1438">
        <f t="shared" si="12"/>
        <v>7736</v>
      </c>
      <c r="AQ15" s="1439">
        <f t="shared" ref="AQ15:AR15" si="13">SUM(AQ9:AQ9,AQ12:AQ14)</f>
        <v>7071</v>
      </c>
      <c r="AR15" s="1440">
        <f t="shared" si="13"/>
        <v>28200</v>
      </c>
      <c r="AS15" s="292">
        <f t="shared" ref="AS15:BB15" si="14">SUM(AS9:AS9,AS12:AS14)</f>
        <v>7691</v>
      </c>
      <c r="AT15" s="261">
        <f t="shared" si="14"/>
        <v>7392</v>
      </c>
      <c r="AU15" s="261">
        <f t="shared" si="14"/>
        <v>7300</v>
      </c>
      <c r="AV15" s="1439">
        <f t="shared" si="14"/>
        <v>7337</v>
      </c>
      <c r="AW15" s="1440">
        <f t="shared" si="14"/>
        <v>29720</v>
      </c>
      <c r="AX15" s="292">
        <f t="shared" si="14"/>
        <v>5298.1987490763358</v>
      </c>
      <c r="AY15" s="261">
        <f t="shared" si="14"/>
        <v>5165.5652448022565</v>
      </c>
      <c r="AZ15" s="261">
        <f t="shared" si="14"/>
        <v>5306.3480589744831</v>
      </c>
      <c r="BA15" s="293">
        <f t="shared" si="14"/>
        <v>5340.386695855088</v>
      </c>
      <c r="BB15" s="228">
        <f t="shared" si="14"/>
        <v>21110.498748708163</v>
      </c>
      <c r="BC15" s="292">
        <f t="shared" ref="BC15:BL15" si="15">SUM(BC9:BC9,BC12:BC14)</f>
        <v>5328.9056788303851</v>
      </c>
      <c r="BD15" s="261">
        <f t="shared" si="15"/>
        <v>5124.004752642848</v>
      </c>
      <c r="BE15" s="261">
        <f t="shared" si="15"/>
        <v>5268.2871754869648</v>
      </c>
      <c r="BF15" s="293">
        <f t="shared" si="15"/>
        <v>5269.6809214734913</v>
      </c>
      <c r="BG15" s="228">
        <f t="shared" si="15"/>
        <v>20990.878528433688</v>
      </c>
      <c r="BH15" s="292">
        <f t="shared" si="15"/>
        <v>5296.6528347103167</v>
      </c>
      <c r="BI15" s="261">
        <f t="shared" si="15"/>
        <v>5112.4137603484223</v>
      </c>
      <c r="BJ15" s="261">
        <f t="shared" si="15"/>
        <v>5261.6752447180224</v>
      </c>
      <c r="BK15" s="293">
        <f t="shared" si="15"/>
        <v>5272.411124354242</v>
      </c>
      <c r="BL15" s="228">
        <f t="shared" si="15"/>
        <v>20943.152964131004</v>
      </c>
      <c r="BM15" s="292">
        <f t="shared" ref="BM15:BQ15" si="16">SUM(BM9:BM9,BM12:BM14)</f>
        <v>5312.2981056808849</v>
      </c>
      <c r="BN15" s="261">
        <f t="shared" si="16"/>
        <v>5190.9532005388055</v>
      </c>
      <c r="BO15" s="261">
        <f t="shared" si="16"/>
        <v>5336.4651869004565</v>
      </c>
      <c r="BP15" s="293">
        <f t="shared" si="16"/>
        <v>5331.3453076269616</v>
      </c>
      <c r="BQ15" s="228">
        <f t="shared" si="16"/>
        <v>21171.061800747109</v>
      </c>
      <c r="BR15" s="13"/>
      <c r="BS15" s="13"/>
      <c r="BU15" s="1046"/>
      <c r="BV15" s="1046"/>
      <c r="BW15" s="1046"/>
      <c r="BX15" s="1046"/>
      <c r="BY15" s="1046"/>
      <c r="BZ15" s="1047"/>
      <c r="CA15" s="1047"/>
      <c r="CB15" s="1048"/>
      <c r="CC15" s="1048"/>
      <c r="CD15" s="1048"/>
      <c r="CE15" s="1048"/>
      <c r="CF15" s="1048"/>
      <c r="CG15" s="1048"/>
      <c r="CH15" s="1048"/>
      <c r="CI15" s="1048"/>
      <c r="CJ15" s="1048"/>
      <c r="CK15" s="1048"/>
      <c r="CL15" s="1048"/>
      <c r="CM15" s="1048"/>
      <c r="CN15" s="1048"/>
      <c r="CO15" s="1048"/>
      <c r="CP15" s="1048"/>
      <c r="CQ15" s="1048"/>
      <c r="CR15" s="1048"/>
      <c r="CS15" s="1048"/>
      <c r="CT15" s="1048"/>
      <c r="CU15" s="1048"/>
      <c r="CV15" s="1048"/>
      <c r="CW15" s="1048"/>
      <c r="CX15" s="1048"/>
      <c r="CY15" s="1048"/>
      <c r="CZ15" s="1048"/>
      <c r="DA15" s="1048"/>
      <c r="DB15" s="1048"/>
      <c r="DC15" s="1048"/>
      <c r="DD15" s="1048"/>
      <c r="DE15" s="1048"/>
      <c r="DF15" s="1048"/>
      <c r="DG15" s="1048"/>
      <c r="DH15" s="1048"/>
      <c r="DI15" s="1048"/>
      <c r="DJ15" s="1048"/>
      <c r="DK15" s="1048"/>
      <c r="DL15" s="1048"/>
      <c r="DM15" s="1048"/>
      <c r="DN15" s="1048"/>
      <c r="DO15" s="1048"/>
      <c r="DP15" s="1048"/>
      <c r="DQ15" s="1048"/>
      <c r="DR15"/>
      <c r="DS15"/>
      <c r="DT15"/>
      <c r="DU15"/>
      <c r="DV15"/>
      <c r="DW15"/>
      <c r="DX15" s="37"/>
    </row>
    <row r="16" spans="1:128" s="28" customFormat="1">
      <c r="E16" s="290"/>
      <c r="F16" s="260"/>
      <c r="G16" s="260"/>
      <c r="H16" s="291"/>
      <c r="I16" s="932"/>
      <c r="J16" s="290"/>
      <c r="K16" s="260"/>
      <c r="L16" s="260"/>
      <c r="M16" s="291"/>
      <c r="N16" s="45"/>
      <c r="O16" s="290"/>
      <c r="P16" s="260"/>
      <c r="Q16" s="260"/>
      <c r="R16" s="291"/>
      <c r="S16" s="45"/>
      <c r="T16" s="290"/>
      <c r="U16" s="260"/>
      <c r="V16" s="260"/>
      <c r="W16" s="291"/>
      <c r="X16" s="45"/>
      <c r="Y16" s="290"/>
      <c r="Z16" s="260"/>
      <c r="AA16" s="1441"/>
      <c r="AB16" s="1442"/>
      <c r="AC16" s="1443"/>
      <c r="AD16" s="290"/>
      <c r="AE16" s="260"/>
      <c r="AF16" s="1441"/>
      <c r="AG16" s="1442"/>
      <c r="AH16" s="1443"/>
      <c r="AI16" s="290"/>
      <c r="AJ16" s="260"/>
      <c r="AK16" s="1441"/>
      <c r="AL16" s="1442"/>
      <c r="AM16" s="1443"/>
      <c r="AN16" s="290"/>
      <c r="AO16" s="260"/>
      <c r="AP16" s="1441"/>
      <c r="AQ16" s="291"/>
      <c r="AR16" s="45"/>
      <c r="AS16" s="290"/>
      <c r="AT16" s="260"/>
      <c r="AU16" s="260"/>
      <c r="AV16" s="291"/>
      <c r="AW16" s="45"/>
      <c r="AX16" s="290"/>
      <c r="AY16" s="260"/>
      <c r="AZ16" s="260"/>
      <c r="BA16" s="291"/>
      <c r="BB16" s="45"/>
      <c r="BC16" s="290"/>
      <c r="BD16" s="260"/>
      <c r="BE16" s="260"/>
      <c r="BF16" s="291"/>
      <c r="BG16" s="45"/>
      <c r="BH16" s="290"/>
      <c r="BI16" s="260"/>
      <c r="BJ16" s="260"/>
      <c r="BK16" s="291"/>
      <c r="BL16" s="45"/>
      <c r="BM16" s="290"/>
      <c r="BN16" s="260"/>
      <c r="BO16" s="260"/>
      <c r="BP16" s="291"/>
      <c r="BQ16" s="45"/>
      <c r="BR16" s="13"/>
      <c r="BS16" s="13"/>
      <c r="DR16"/>
      <c r="DS16"/>
      <c r="DT16"/>
      <c r="DU16"/>
      <c r="DV16"/>
      <c r="DW16"/>
    </row>
    <row r="17" spans="3:128" s="28" customFormat="1">
      <c r="C17" s="28" t="s">
        <v>1028</v>
      </c>
      <c r="E17" s="335">
        <v>8</v>
      </c>
      <c r="F17" s="336">
        <v>6</v>
      </c>
      <c r="G17" s="336">
        <v>8</v>
      </c>
      <c r="H17" s="291">
        <f>I17-SUM(E17:G17)</f>
        <v>5</v>
      </c>
      <c r="I17" s="931">
        <v>27</v>
      </c>
      <c r="J17" s="335">
        <v>0</v>
      </c>
      <c r="K17" s="336">
        <v>0</v>
      </c>
      <c r="L17" s="336">
        <v>0</v>
      </c>
      <c r="M17" s="291">
        <f>N17-SUM(J17:L17)</f>
        <v>0</v>
      </c>
      <c r="N17" s="427">
        <v>0</v>
      </c>
      <c r="O17" s="335">
        <v>0</v>
      </c>
      <c r="P17" s="336">
        <v>0</v>
      </c>
      <c r="Q17" s="336">
        <v>0</v>
      </c>
      <c r="R17" s="291">
        <f>S17-SUM(O17:Q17)</f>
        <v>1</v>
      </c>
      <c r="S17" s="427">
        <v>1</v>
      </c>
      <c r="T17" s="335">
        <v>22</v>
      </c>
      <c r="U17" s="336">
        <v>57</v>
      </c>
      <c r="V17" s="336">
        <v>-10</v>
      </c>
      <c r="W17" s="291">
        <f>X17-SUM(T17:V17)</f>
        <v>22</v>
      </c>
      <c r="X17" s="427">
        <v>91</v>
      </c>
      <c r="Y17" s="335">
        <v>9</v>
      </c>
      <c r="Z17" s="336">
        <v>21</v>
      </c>
      <c r="AA17" s="1435">
        <v>-37</v>
      </c>
      <c r="AB17" s="1442">
        <f>AC17-SUM(Y17:AA17)</f>
        <v>-3</v>
      </c>
      <c r="AC17" s="1437">
        <v>-10</v>
      </c>
      <c r="AD17" s="335">
        <v>19</v>
      </c>
      <c r="AE17" s="336">
        <v>0</v>
      </c>
      <c r="AF17" s="1435">
        <v>-1</v>
      </c>
      <c r="AG17" s="1442">
        <f>AH17-SUM(AD17:AF17)</f>
        <v>2</v>
      </c>
      <c r="AH17" s="1437">
        <v>20</v>
      </c>
      <c r="AI17" s="335">
        <v>0</v>
      </c>
      <c r="AJ17" s="336">
        <v>2</v>
      </c>
      <c r="AK17" s="1435">
        <v>1</v>
      </c>
      <c r="AL17" s="1442">
        <f>AM17-SUM(AI17:AK17)</f>
        <v>4</v>
      </c>
      <c r="AM17" s="1437">
        <v>7</v>
      </c>
      <c r="AN17" s="335">
        <v>3</v>
      </c>
      <c r="AO17" s="336">
        <v>7</v>
      </c>
      <c r="AP17" s="1435">
        <v>5</v>
      </c>
      <c r="AQ17" s="1442">
        <f>AR17-SUM(AN17:AP17)</f>
        <v>9</v>
      </c>
      <c r="AR17" s="1437">
        <v>24</v>
      </c>
      <c r="AS17" s="335">
        <v>10</v>
      </c>
      <c r="AT17" s="336">
        <v>9</v>
      </c>
      <c r="AU17" s="336">
        <v>7</v>
      </c>
      <c r="AV17" s="1442">
        <f>AW17-SUM(AS17:AU17)</f>
        <v>6</v>
      </c>
      <c r="AW17" s="1437">
        <v>32</v>
      </c>
      <c r="AX17" s="290">
        <f>ExGen!AX17+PECO!AX18+Parent!AX17</f>
        <v>0</v>
      </c>
      <c r="AY17" s="260">
        <f>ExGen!AY17+PECO!AY18+Parent!AY17</f>
        <v>0</v>
      </c>
      <c r="AZ17" s="260">
        <f>ExGen!AZ17+PECO!AZ18+Parent!AZ17</f>
        <v>0</v>
      </c>
      <c r="BA17" s="291">
        <f>ExGen!BA17+PECO!BA18+Parent!BA17</f>
        <v>0</v>
      </c>
      <c r="BB17" s="45">
        <f>SUM(AX17:BA17)</f>
        <v>0</v>
      </c>
      <c r="BC17" s="290">
        <f>ExGen!BC17+PECO!BC18+Parent!BC17</f>
        <v>0</v>
      </c>
      <c r="BD17" s="260">
        <f>ExGen!BD17+PECO!BD18+Parent!BD17</f>
        <v>0</v>
      </c>
      <c r="BE17" s="260">
        <f>ExGen!BE17+PECO!BE18+Parent!BE17</f>
        <v>0</v>
      </c>
      <c r="BF17" s="291">
        <f>ExGen!BF17+PECO!BF18+Parent!BF17</f>
        <v>0</v>
      </c>
      <c r="BG17" s="45">
        <f>SUM(BC17:BF17)</f>
        <v>0</v>
      </c>
      <c r="BH17" s="290">
        <f>ExGen!BH17+PECO!BH18+Parent!BH17</f>
        <v>0</v>
      </c>
      <c r="BI17" s="260">
        <f>ExGen!BI17+PECO!BI18+Parent!BI17</f>
        <v>0</v>
      </c>
      <c r="BJ17" s="260">
        <f>ExGen!BJ17+PECO!BJ18+Parent!BJ17</f>
        <v>0</v>
      </c>
      <c r="BK17" s="291">
        <f>ExGen!BK17+PECO!BK18+Parent!BK17</f>
        <v>0</v>
      </c>
      <c r="BL17" s="45">
        <f>SUM(BH17:BK17)</f>
        <v>0</v>
      </c>
      <c r="BM17" s="290">
        <f>ExGen!BM17+PECO!BM18+Parent!BM17</f>
        <v>0</v>
      </c>
      <c r="BN17" s="260">
        <f>ExGen!BN17+PECO!BN18+Parent!BN17</f>
        <v>0</v>
      </c>
      <c r="BO17" s="260">
        <f>ExGen!BO17+PECO!BO18+Parent!BO17</f>
        <v>0</v>
      </c>
      <c r="BP17" s="291">
        <f>ExGen!BP17+PECO!BP18+Parent!BP17</f>
        <v>0</v>
      </c>
      <c r="BQ17" s="45">
        <f>SUM(BM17:BP17)</f>
        <v>0</v>
      </c>
      <c r="BR17" s="13"/>
      <c r="BS17" s="13"/>
      <c r="BT17" s="13"/>
      <c r="DR17"/>
      <c r="DS17"/>
      <c r="DT17"/>
      <c r="DU17"/>
      <c r="DV17"/>
      <c r="DW17"/>
    </row>
    <row r="18" spans="3:128" s="28" customFormat="1">
      <c r="E18" s="290"/>
      <c r="F18" s="260"/>
      <c r="G18" s="260"/>
      <c r="H18" s="291"/>
      <c r="I18" s="932"/>
      <c r="J18" s="290"/>
      <c r="K18" s="260"/>
      <c r="L18" s="260"/>
      <c r="M18" s="291"/>
      <c r="N18" s="45"/>
      <c r="O18" s="290"/>
      <c r="P18" s="260"/>
      <c r="Q18" s="260"/>
      <c r="R18" s="291"/>
      <c r="S18" s="45"/>
      <c r="T18" s="290"/>
      <c r="U18" s="260"/>
      <c r="V18" s="260"/>
      <c r="W18" s="291"/>
      <c r="X18" s="45"/>
      <c r="Y18" s="290"/>
      <c r="Z18" s="260"/>
      <c r="AA18" s="1441"/>
      <c r="AB18" s="1442"/>
      <c r="AC18" s="1443"/>
      <c r="AD18" s="290"/>
      <c r="AE18" s="260"/>
      <c r="AF18" s="1441"/>
      <c r="AG18" s="1442"/>
      <c r="AH18" s="1443"/>
      <c r="AI18" s="290"/>
      <c r="AJ18" s="260"/>
      <c r="AK18" s="1441"/>
      <c r="AL18" s="1442"/>
      <c r="AM18" s="1443"/>
      <c r="AN18" s="290"/>
      <c r="AO18" s="260"/>
      <c r="AP18" s="260"/>
      <c r="AQ18" s="1442"/>
      <c r="AR18" s="1443"/>
      <c r="AS18" s="290"/>
      <c r="AT18" s="260"/>
      <c r="AU18" s="260"/>
      <c r="AV18" s="1442"/>
      <c r="AW18" s="1443"/>
      <c r="AX18" s="290"/>
      <c r="AY18" s="260"/>
      <c r="AZ18" s="260"/>
      <c r="BA18" s="291"/>
      <c r="BB18" s="45"/>
      <c r="BC18" s="290"/>
      <c r="BD18" s="260"/>
      <c r="BE18" s="260"/>
      <c r="BF18" s="291"/>
      <c r="BG18" s="45"/>
      <c r="BH18" s="290"/>
      <c r="BI18" s="260"/>
      <c r="BJ18" s="260"/>
      <c r="BK18" s="291"/>
      <c r="BL18" s="45"/>
      <c r="BM18" s="290"/>
      <c r="BN18" s="260"/>
      <c r="BO18" s="260"/>
      <c r="BP18" s="291"/>
      <c r="BQ18" s="45"/>
      <c r="BR18" s="13"/>
      <c r="BS18" s="13"/>
      <c r="BT18" s="13"/>
      <c r="BV18" s="32"/>
      <c r="DR18"/>
      <c r="DS18"/>
      <c r="DT18"/>
      <c r="DU18"/>
      <c r="DV18"/>
      <c r="DW18"/>
    </row>
    <row r="19" spans="3:128" s="28" customFormat="1">
      <c r="C19" s="28" t="s">
        <v>1300</v>
      </c>
      <c r="E19" s="290">
        <f>ExGen!E19</f>
        <v>861</v>
      </c>
      <c r="F19" s="260">
        <f>ExGen!F19</f>
        <v>676</v>
      </c>
      <c r="G19" s="260">
        <f>ExGen!G19</f>
        <v>1045</v>
      </c>
      <c r="H19" s="291">
        <f>ExGen!H19</f>
        <v>710</v>
      </c>
      <c r="I19" s="932">
        <f>ExGen!I19</f>
        <v>3292</v>
      </c>
      <c r="J19" s="290">
        <f>ExGen!J19</f>
        <v>916</v>
      </c>
      <c r="K19" s="260">
        <f>ExGen!K19</f>
        <v>587</v>
      </c>
      <c r="L19" s="260">
        <f>ExGen!L19</f>
        <v>883</v>
      </c>
      <c r="M19" s="291">
        <f>ExGen!M19</f>
        <v>660</v>
      </c>
      <c r="N19" s="45">
        <f>ExGen!N19</f>
        <v>3046</v>
      </c>
      <c r="O19" s="290">
        <f>ExGen!O19</f>
        <v>801</v>
      </c>
      <c r="P19" s="260">
        <f>ExGen!P19</f>
        <v>647</v>
      </c>
      <c r="Q19" s="260">
        <f>ExGen!Q19</f>
        <v>754</v>
      </c>
      <c r="R19" s="291">
        <f>ExGen!R19</f>
        <v>673</v>
      </c>
      <c r="S19" s="45">
        <f>ExGen!S19</f>
        <v>2875</v>
      </c>
      <c r="T19" s="290">
        <f>ExGen!T19</f>
        <v>272</v>
      </c>
      <c r="U19" s="260">
        <f>ExGen!U19</f>
        <v>384</v>
      </c>
      <c r="V19" s="260">
        <f>ExGen!V19</f>
        <v>174</v>
      </c>
      <c r="W19" s="291">
        <f>ExGen!W19</f>
        <v>290</v>
      </c>
      <c r="X19" s="45">
        <f>ExGen!X19</f>
        <v>1120</v>
      </c>
      <c r="Y19" s="290">
        <f>ExGen!Y19</f>
        <v>-64</v>
      </c>
      <c r="Z19" s="260">
        <f>ExGen!Z19</f>
        <v>603</v>
      </c>
      <c r="AA19" s="1441">
        <f>ExGen!AA19</f>
        <v>721</v>
      </c>
      <c r="AB19" s="1442">
        <f>ExGen!AB19</f>
        <v>404</v>
      </c>
      <c r="AC19" s="1443">
        <f>ExGen!AC19</f>
        <v>1664</v>
      </c>
      <c r="AD19" s="290">
        <f>ExGen!AD19</f>
        <v>-389</v>
      </c>
      <c r="AE19" s="260">
        <f>ExGen!AE19</f>
        <v>168</v>
      </c>
      <c r="AF19" s="1441">
        <f>ExGen!AF19</f>
        <v>887</v>
      </c>
      <c r="AG19" s="1442">
        <f>ExGen!AG19</f>
        <v>-216</v>
      </c>
      <c r="AH19" s="1443">
        <f>ExGen!AH19</f>
        <v>450</v>
      </c>
      <c r="AI19" s="290">
        <f>ExGen!AI19</f>
        <v>720</v>
      </c>
      <c r="AJ19" s="260">
        <f>ExGen!AJ19</f>
        <v>694</v>
      </c>
      <c r="AK19" s="1441">
        <f>ExGen!AK19</f>
        <v>620</v>
      </c>
      <c r="AL19" s="1442">
        <f>ExGen!AL19</f>
        <v>221</v>
      </c>
      <c r="AM19" s="1443">
        <f>ExGen!AM19</f>
        <v>2255</v>
      </c>
      <c r="AN19" s="290">
        <f>ExGen!AN19</f>
        <v>412</v>
      </c>
      <c r="AO19" s="1441">
        <f>ExGen!AO19</f>
        <v>-52</v>
      </c>
      <c r="AP19" s="1441">
        <f>ExGen!AP19</f>
        <v>336</v>
      </c>
      <c r="AQ19" s="1442">
        <f>ExGen!AQ19</f>
        <v>174</v>
      </c>
      <c r="AR19" s="1443">
        <f>ExGen!AR19</f>
        <v>870</v>
      </c>
      <c r="AS19" s="290">
        <f>ExGen!AS19</f>
        <v>147</v>
      </c>
      <c r="AT19" s="1441">
        <f>ExGen!AT19</f>
        <v>-476</v>
      </c>
      <c r="AU19" s="1441">
        <f>ExGen!AU19</f>
        <v>487</v>
      </c>
      <c r="AV19" s="1442">
        <f>ExGen!AV19</f>
        <v>282</v>
      </c>
      <c r="AW19" s="1443">
        <f>ExGen!AW19</f>
        <v>440</v>
      </c>
      <c r="AX19" s="290">
        <f>ExGen!AX19</f>
        <v>561.51714788502022</v>
      </c>
      <c r="AY19" s="260">
        <f>ExGen!AY19</f>
        <v>395.44098530542442</v>
      </c>
      <c r="AZ19" s="260">
        <f>ExGen!AZ19</f>
        <v>640.22505905011349</v>
      </c>
      <c r="BA19" s="291">
        <f>ExGen!BA19</f>
        <v>309.71681919642697</v>
      </c>
      <c r="BB19" s="45">
        <f t="shared" ref="BB19:BB26" si="17">SUM(AX19:BA19)</f>
        <v>1906.9000114369851</v>
      </c>
      <c r="BC19" s="290">
        <f>ExGen!BC19</f>
        <v>678.8325444527045</v>
      </c>
      <c r="BD19" s="260">
        <f>ExGen!BD19</f>
        <v>275.54995717387374</v>
      </c>
      <c r="BE19" s="260">
        <f>ExGen!BE19</f>
        <v>457.70436422673993</v>
      </c>
      <c r="BF19" s="291">
        <f>ExGen!BF19</f>
        <v>156.15252558494717</v>
      </c>
      <c r="BG19" s="45">
        <f t="shared" ref="BG19:BG26" si="18">SUM(BC19:BF19)</f>
        <v>1568.2393914382653</v>
      </c>
      <c r="BH19" s="290">
        <f>ExGen!BH19</f>
        <v>507.96584743956032</v>
      </c>
      <c r="BI19" s="260">
        <f>ExGen!BI19</f>
        <v>137.42230229287111</v>
      </c>
      <c r="BJ19" s="260">
        <f>ExGen!BJ19</f>
        <v>443.39999562408207</v>
      </c>
      <c r="BK19" s="291">
        <f>ExGen!BK19</f>
        <v>182.66774263696288</v>
      </c>
      <c r="BL19" s="45">
        <f t="shared" ref="BL19:BL26" si="19">SUM(BH19:BK19)</f>
        <v>1271.4558879934764</v>
      </c>
      <c r="BM19" s="290">
        <f>ExGen!BM19</f>
        <v>359.04498414017326</v>
      </c>
      <c r="BN19" s="260">
        <f>ExGen!BN19</f>
        <v>233.17997203826985</v>
      </c>
      <c r="BO19" s="260">
        <f>ExGen!BO19</f>
        <v>488.54311008797731</v>
      </c>
      <c r="BP19" s="291">
        <f>ExGen!BP19</f>
        <v>246.02699600520236</v>
      </c>
      <c r="BQ19" s="45">
        <f t="shared" ref="BQ19:BQ26" si="20">SUM(BM19:BP19)</f>
        <v>1326.7950622716228</v>
      </c>
      <c r="BT19" s="45"/>
      <c r="DR19"/>
      <c r="DS19"/>
      <c r="DT19"/>
      <c r="DU19"/>
      <c r="DV19"/>
      <c r="DW19"/>
    </row>
    <row r="20" spans="3:128" s="28" customFormat="1">
      <c r="C20" s="28" t="s">
        <v>1301</v>
      </c>
      <c r="E20" s="290">
        <f>ComEd!E17</f>
        <v>206</v>
      </c>
      <c r="F20" s="260">
        <f>ComEd!F17</f>
        <v>209</v>
      </c>
      <c r="G20" s="260">
        <f>ComEd!G17</f>
        <v>203</v>
      </c>
      <c r="H20" s="291">
        <f>ComEd!H17</f>
        <v>225</v>
      </c>
      <c r="I20" s="932">
        <f>ComEd!I17</f>
        <v>843</v>
      </c>
      <c r="J20" s="290">
        <f>ComEd!J17</f>
        <v>291</v>
      </c>
      <c r="K20" s="260">
        <f>ComEd!K17</f>
        <v>256</v>
      </c>
      <c r="L20" s="260">
        <f>ComEd!L17</f>
        <v>279</v>
      </c>
      <c r="M20" s="291">
        <f>ComEd!M17</f>
        <v>230</v>
      </c>
      <c r="N20" s="45">
        <f>ComEd!N17</f>
        <v>1056</v>
      </c>
      <c r="O20" s="290">
        <f>ComEd!O17</f>
        <v>200</v>
      </c>
      <c r="P20" s="260">
        <f>ComEd!P17</f>
        <v>254</v>
      </c>
      <c r="Q20" s="260">
        <f>ComEd!Q17</f>
        <v>243</v>
      </c>
      <c r="R20" s="291">
        <f>ComEd!R17</f>
        <v>285</v>
      </c>
      <c r="S20" s="45">
        <f>ComEd!S17</f>
        <v>982</v>
      </c>
      <c r="T20" s="290">
        <f>ComEd!T17</f>
        <v>226</v>
      </c>
      <c r="U20" s="260">
        <f>ComEd!U17</f>
        <v>142</v>
      </c>
      <c r="V20" s="260">
        <f>ComEd!V17</f>
        <v>218</v>
      </c>
      <c r="W20" s="291">
        <f>ComEd!W17</f>
        <v>300</v>
      </c>
      <c r="X20" s="45">
        <f>ComEd!X17</f>
        <v>886</v>
      </c>
      <c r="Y20" s="290">
        <f>ComEd!Y17</f>
        <v>209</v>
      </c>
      <c r="Z20" s="260">
        <f>ComEd!Z17</f>
        <v>232</v>
      </c>
      <c r="AA20" s="1441">
        <f>ComEd!AA17</f>
        <v>278</v>
      </c>
      <c r="AB20" s="1442">
        <f>ComEd!AB17</f>
        <v>235</v>
      </c>
      <c r="AC20" s="1443">
        <f>ComEd!AC17</f>
        <v>954</v>
      </c>
      <c r="AD20" s="290">
        <f>ComEd!AD17</f>
        <v>238</v>
      </c>
      <c r="AE20" s="260">
        <f>ComEd!AE17</f>
        <v>258</v>
      </c>
      <c r="AF20" s="1441">
        <f>ComEd!AF17</f>
        <v>287</v>
      </c>
      <c r="AG20" s="1442">
        <f>ComEd!AG17</f>
        <v>195</v>
      </c>
      <c r="AH20" s="1443">
        <f>ComEd!AH17</f>
        <v>978</v>
      </c>
      <c r="AI20" s="290">
        <f>ComEd!AI17</f>
        <v>230</v>
      </c>
      <c r="AJ20" s="260">
        <f>ComEd!AJ17</f>
        <v>243</v>
      </c>
      <c r="AK20" s="1441">
        <f>ComEd!AK17</f>
        <v>327</v>
      </c>
      <c r="AL20" s="1442">
        <f>ComEd!AL17</f>
        <v>216</v>
      </c>
      <c r="AM20" s="1443">
        <f>ComEd!AM17</f>
        <v>1016</v>
      </c>
      <c r="AN20" s="290">
        <f>ComEd!AN17</f>
        <v>269</v>
      </c>
      <c r="AO20" s="260">
        <f>ComEd!AO17</f>
        <v>324</v>
      </c>
      <c r="AP20" s="1441">
        <f>ComEd!AP17</f>
        <v>388</v>
      </c>
      <c r="AQ20" s="1442">
        <f>ComEd!AQ17</f>
        <v>217</v>
      </c>
      <c r="AR20" s="1443">
        <f>ComEd!AR17</f>
        <v>1198</v>
      </c>
      <c r="AS20" s="290">
        <f>ComEd!AS17</f>
        <v>314</v>
      </c>
      <c r="AT20" s="260">
        <f>ComEd!AT17</f>
        <v>319</v>
      </c>
      <c r="AU20" s="260">
        <f>ComEd!AU17</f>
        <v>404</v>
      </c>
      <c r="AV20" s="1442">
        <f>ComEd!AV17</f>
        <v>285</v>
      </c>
      <c r="AW20" s="1443">
        <f>ComEd!AW17</f>
        <v>1322</v>
      </c>
      <c r="AX20" s="290">
        <f>ComEd!AX17</f>
        <v>280.28024175370456</v>
      </c>
      <c r="AY20" s="260">
        <f>ComEd!AY17</f>
        <v>294.87576787621811</v>
      </c>
      <c r="AZ20" s="260">
        <f>ComEd!AZ17</f>
        <v>350.44544707926411</v>
      </c>
      <c r="BA20" s="291">
        <f>ComEd!BA17</f>
        <v>240.01934695970294</v>
      </c>
      <c r="BB20" s="45">
        <f t="shared" si="17"/>
        <v>1165.6208036688897</v>
      </c>
      <c r="BC20" s="290">
        <f>ComEd!BC17</f>
        <v>288.71220912192325</v>
      </c>
      <c r="BD20" s="260">
        <f>ComEd!BD17</f>
        <v>303.8022565251465</v>
      </c>
      <c r="BE20" s="260">
        <f>ComEd!BE17</f>
        <v>360.32328022384786</v>
      </c>
      <c r="BF20" s="291">
        <f>ComEd!BF17</f>
        <v>251.16390218297261</v>
      </c>
      <c r="BG20" s="45">
        <f t="shared" si="18"/>
        <v>1204.0016480538902</v>
      </c>
      <c r="BH20" s="290">
        <f>ComEd!BH17</f>
        <v>307.26374701437999</v>
      </c>
      <c r="BI20" s="260">
        <f>ComEd!BI17</f>
        <v>323.33060285121314</v>
      </c>
      <c r="BJ20" s="260">
        <f>ComEd!BJ17</f>
        <v>379.45929339150211</v>
      </c>
      <c r="BK20" s="291">
        <f>ComEd!BK17</f>
        <v>270.24274395143652</v>
      </c>
      <c r="BL20" s="45">
        <f t="shared" si="19"/>
        <v>1280.2963872085318</v>
      </c>
      <c r="BM20" s="290">
        <f>ComEd!BM17</f>
        <v>326.80995153185359</v>
      </c>
      <c r="BN20" s="260">
        <f>ComEd!BN17</f>
        <v>342.68257218465897</v>
      </c>
      <c r="BO20" s="260">
        <f>ComEd!BO17</f>
        <v>398.73320691795197</v>
      </c>
      <c r="BP20" s="291">
        <f>ComEd!BP17</f>
        <v>289.77728098251896</v>
      </c>
      <c r="BQ20" s="45">
        <f t="shared" si="20"/>
        <v>1358.0030116169835</v>
      </c>
      <c r="BT20" s="1049"/>
      <c r="BU20" s="1046"/>
      <c r="BW20" s="1046"/>
      <c r="BX20" s="1046"/>
      <c r="BY20" s="1050"/>
      <c r="BZ20" s="1047"/>
      <c r="CA20" s="1047"/>
      <c r="CB20" s="1048"/>
      <c r="CC20" s="1051"/>
      <c r="CD20" s="1048"/>
      <c r="CE20" s="1048"/>
      <c r="CF20" s="1048"/>
      <c r="CG20" s="1051"/>
      <c r="CH20" s="1048"/>
      <c r="CI20" s="1048"/>
      <c r="CJ20" s="1048"/>
      <c r="CK20" s="1051"/>
      <c r="CL20" s="1048"/>
      <c r="CM20" s="1048"/>
      <c r="CN20" s="1048"/>
      <c r="CO20" s="1048"/>
      <c r="CP20" s="1048"/>
      <c r="CQ20" s="1048"/>
      <c r="CR20" s="1048"/>
      <c r="CS20" s="1048"/>
      <c r="CT20" s="1048"/>
      <c r="CU20" s="1048"/>
      <c r="CV20" s="1048"/>
      <c r="CW20" s="1048"/>
      <c r="CX20" s="1048"/>
      <c r="CY20" s="1048"/>
      <c r="CZ20" s="1048"/>
      <c r="DA20" s="1048"/>
      <c r="DB20" s="1048"/>
      <c r="DC20" s="1048"/>
      <c r="DD20" s="1048"/>
      <c r="DE20" s="1048"/>
      <c r="DF20" s="1048"/>
      <c r="DG20" s="1048"/>
      <c r="DH20" s="1048"/>
      <c r="DI20" s="1048"/>
      <c r="DJ20" s="1048"/>
      <c r="DK20" s="1048"/>
      <c r="DL20" s="1048"/>
      <c r="DM20" s="1048"/>
      <c r="DN20" s="1048"/>
      <c r="DO20" s="1048"/>
      <c r="DP20" s="1048"/>
      <c r="DQ20" s="1048"/>
      <c r="DR20"/>
      <c r="DS20"/>
      <c r="DT20"/>
      <c r="DU20"/>
      <c r="DV20"/>
      <c r="DW20"/>
      <c r="DX20" s="37"/>
    </row>
    <row r="21" spans="3:128" s="28" customFormat="1">
      <c r="C21" s="28" t="s">
        <v>1302</v>
      </c>
      <c r="E21" s="290">
        <f>PECO!E20</f>
        <v>203</v>
      </c>
      <c r="F21" s="260">
        <f>PECO!F20</f>
        <v>148</v>
      </c>
      <c r="G21" s="260">
        <f>PECO!G20</f>
        <v>166</v>
      </c>
      <c r="H21" s="291">
        <f>PECO!H20</f>
        <v>156</v>
      </c>
      <c r="I21" s="932">
        <f>PECO!I20</f>
        <v>673</v>
      </c>
      <c r="J21" s="290">
        <f>PECO!J20</f>
        <v>194</v>
      </c>
      <c r="K21" s="260">
        <f>PECO!K20</f>
        <v>182</v>
      </c>
      <c r="L21" s="260">
        <f>PECO!L20</f>
        <v>215</v>
      </c>
      <c r="M21" s="291">
        <f>PECO!M20</f>
        <v>70</v>
      </c>
      <c r="N21" s="45">
        <f>PECO!N20</f>
        <v>661</v>
      </c>
      <c r="O21" s="290">
        <f>PECO!O20</f>
        <v>210</v>
      </c>
      <c r="P21" s="260">
        <f>PECO!P20</f>
        <v>161</v>
      </c>
      <c r="Q21" s="260">
        <f>PECO!Q20</f>
        <v>153</v>
      </c>
      <c r="R21" s="291">
        <f>PECO!R20</f>
        <v>131</v>
      </c>
      <c r="S21" s="45">
        <f>PECO!S20</f>
        <v>655</v>
      </c>
      <c r="T21" s="290">
        <f>PECO!T20</f>
        <v>177</v>
      </c>
      <c r="U21" s="260">
        <f>PECO!U20</f>
        <v>151</v>
      </c>
      <c r="V21" s="260">
        <f>PECO!V20</f>
        <v>177.99999999999989</v>
      </c>
      <c r="W21" s="291">
        <f>PECO!W20</f>
        <v>117.00000000000011</v>
      </c>
      <c r="X21" s="45">
        <f>PECO!X20</f>
        <v>622.99999999999955</v>
      </c>
      <c r="Y21" s="290">
        <f>PECO!Y20</f>
        <v>203</v>
      </c>
      <c r="Z21" s="260">
        <f>PECO!Z20</f>
        <v>138</v>
      </c>
      <c r="AA21" s="1441">
        <f>PECO!AA20</f>
        <v>155</v>
      </c>
      <c r="AB21" s="1442">
        <f>PECO!AB20</f>
        <v>170.00000000000011</v>
      </c>
      <c r="AC21" s="1443">
        <f>PECO!AC20</f>
        <v>666</v>
      </c>
      <c r="AD21" s="290">
        <f>PECO!AD20</f>
        <v>149</v>
      </c>
      <c r="AE21" s="260">
        <f>PECO!AE20</f>
        <v>134</v>
      </c>
      <c r="AF21" s="1441">
        <f>PECO!AF20</f>
        <v>133</v>
      </c>
      <c r="AG21" s="1442">
        <f>PECO!AG20</f>
        <v>156</v>
      </c>
      <c r="AH21" s="1443">
        <f>PECO!AH20</f>
        <v>572</v>
      </c>
      <c r="AI21" s="290">
        <f>PECO!AI20</f>
        <v>222</v>
      </c>
      <c r="AJ21" s="260">
        <f>PECO!AJ20</f>
        <v>124</v>
      </c>
      <c r="AK21" s="1441">
        <f>PECO!AK20</f>
        <v>154</v>
      </c>
      <c r="AL21" s="1442">
        <f>PECO!AL20</f>
        <v>128.00000000000011</v>
      </c>
      <c r="AM21" s="1443">
        <f>PECO!AM20</f>
        <v>628</v>
      </c>
      <c r="AN21" s="290">
        <f>PECO!AN20</f>
        <v>196</v>
      </c>
      <c r="AO21" s="260">
        <f>PECO!AO20</f>
        <v>152</v>
      </c>
      <c r="AP21" s="1441">
        <f>PECO!AP20</f>
        <v>204</v>
      </c>
      <c r="AQ21" s="1442">
        <f>PECO!AQ20</f>
        <v>150</v>
      </c>
      <c r="AR21" s="1443">
        <f>PECO!AR20</f>
        <v>702</v>
      </c>
      <c r="AS21" s="290">
        <f>PECO!AS20</f>
        <v>192</v>
      </c>
      <c r="AT21" s="260">
        <f>PECO!AT20</f>
        <v>137</v>
      </c>
      <c r="AU21" s="260">
        <f>PECO!AU20</f>
        <v>169</v>
      </c>
      <c r="AV21" s="1442">
        <f>PECO!AV20</f>
        <v>157.00000000000011</v>
      </c>
      <c r="AW21" s="1443">
        <f>PECO!AW20</f>
        <v>655</v>
      </c>
      <c r="AX21" s="290">
        <f>PECO!AX20</f>
        <v>198.91189618389706</v>
      </c>
      <c r="AY21" s="260">
        <f>PECO!AY20</f>
        <v>139.50663443182407</v>
      </c>
      <c r="AZ21" s="260">
        <f>PECO!AZ20</f>
        <v>165.89019002387806</v>
      </c>
      <c r="BA21" s="291">
        <f>PECO!BA20</f>
        <v>156.08475721473803</v>
      </c>
      <c r="BB21" s="45">
        <f t="shared" si="17"/>
        <v>660.39347785433722</v>
      </c>
      <c r="BC21" s="290">
        <f>PECO!BC20</f>
        <v>213.23086693510766</v>
      </c>
      <c r="BD21" s="260">
        <f>PECO!BD20</f>
        <v>152.96793808671293</v>
      </c>
      <c r="BE21" s="260">
        <f>PECO!BE20</f>
        <v>179.55617918890232</v>
      </c>
      <c r="BF21" s="291">
        <f>PECO!BF20</f>
        <v>169.76603636425409</v>
      </c>
      <c r="BG21" s="45">
        <f t="shared" si="18"/>
        <v>715.521020574977</v>
      </c>
      <c r="BH21" s="290">
        <f>PECO!BH20</f>
        <v>228.86428962091804</v>
      </c>
      <c r="BI21" s="260">
        <f>PECO!BI20</f>
        <v>167.84902380807409</v>
      </c>
      <c r="BJ21" s="260">
        <f>PECO!BJ20</f>
        <v>194.99793083244253</v>
      </c>
      <c r="BK21" s="291">
        <f>PECO!BK20</f>
        <v>185.57616244352789</v>
      </c>
      <c r="BL21" s="45">
        <f t="shared" si="19"/>
        <v>777.28740670496256</v>
      </c>
      <c r="BM21" s="290">
        <f>PECO!BM20</f>
        <v>238.03043321821394</v>
      </c>
      <c r="BN21" s="260">
        <f>PECO!BN20</f>
        <v>176.44862161674428</v>
      </c>
      <c r="BO21" s="260">
        <f>PECO!BO20</f>
        <v>203.9048579120614</v>
      </c>
      <c r="BP21" s="291">
        <f>PECO!BP20</f>
        <v>194.60048935952068</v>
      </c>
      <c r="BQ21" s="45">
        <f t="shared" si="20"/>
        <v>812.9844021065403</v>
      </c>
      <c r="BT21" s="1049"/>
      <c r="BU21" s="1046"/>
      <c r="BW21" s="1046"/>
      <c r="BX21" s="1046"/>
      <c r="BY21" s="1050"/>
      <c r="BZ21" s="1047"/>
      <c r="CA21" s="1047"/>
      <c r="CB21" s="1048"/>
      <c r="CC21" s="1051"/>
      <c r="CD21" s="1048"/>
      <c r="CE21" s="1048"/>
      <c r="CF21" s="1048"/>
      <c r="CG21" s="1051"/>
      <c r="CH21" s="1048"/>
      <c r="CI21" s="1048"/>
      <c r="CJ21" s="1048"/>
      <c r="CK21" s="1051"/>
      <c r="CL21" s="1048"/>
      <c r="CM21" s="1048"/>
      <c r="CN21" s="1048"/>
      <c r="CO21" s="1048"/>
      <c r="CP21" s="1048"/>
      <c r="CQ21" s="1048"/>
      <c r="CR21" s="1048"/>
      <c r="CS21" s="1048"/>
      <c r="CT21" s="1048"/>
      <c r="CU21" s="1048"/>
      <c r="CV21" s="1048"/>
      <c r="CW21" s="1048"/>
      <c r="CX21" s="1048"/>
      <c r="CY21" s="1048"/>
      <c r="CZ21" s="1048"/>
      <c r="DA21" s="1048"/>
      <c r="DB21" s="1048"/>
      <c r="DC21" s="1048"/>
      <c r="DD21" s="1048"/>
      <c r="DE21" s="1048"/>
      <c r="DF21" s="1048"/>
      <c r="DG21" s="1048"/>
      <c r="DH21" s="1048"/>
      <c r="DI21" s="1048"/>
      <c r="DJ21" s="1048"/>
      <c r="DK21" s="1048"/>
      <c r="DL21" s="1048"/>
      <c r="DM21" s="1048"/>
      <c r="DN21" s="1048"/>
      <c r="DO21" s="1048"/>
      <c r="DP21" s="1048"/>
      <c r="DQ21" s="1048"/>
      <c r="DR21"/>
      <c r="DS21"/>
      <c r="DT21"/>
      <c r="DU21"/>
      <c r="DV21"/>
      <c r="DW21"/>
      <c r="DX21" s="37"/>
    </row>
    <row r="22" spans="3:128" s="28" customFormat="1">
      <c r="C22" s="28" t="s">
        <v>1303</v>
      </c>
      <c r="E22" s="290"/>
      <c r="F22" s="260"/>
      <c r="G22" s="260"/>
      <c r="H22" s="291"/>
      <c r="I22" s="932"/>
      <c r="J22" s="290"/>
      <c r="K22" s="260"/>
      <c r="L22" s="260"/>
      <c r="M22" s="291"/>
      <c r="N22" s="45"/>
      <c r="O22" s="290"/>
      <c r="P22" s="260"/>
      <c r="Q22" s="260"/>
      <c r="R22" s="291"/>
      <c r="S22" s="45"/>
      <c r="T22" s="290"/>
      <c r="U22" s="260">
        <f>BGE!U18</f>
        <v>52</v>
      </c>
      <c r="V22" s="260">
        <f>BGE!V18</f>
        <v>30</v>
      </c>
      <c r="W22" s="291">
        <f>BGE!W18</f>
        <v>61</v>
      </c>
      <c r="X22" s="45">
        <f>BGE!X18</f>
        <v>132</v>
      </c>
      <c r="Y22" s="290">
        <f>BGE!Y18</f>
        <v>163</v>
      </c>
      <c r="Z22" s="260">
        <f>BGE!Z18</f>
        <v>69</v>
      </c>
      <c r="AA22" s="1441">
        <f>BGE!AA18</f>
        <v>114</v>
      </c>
      <c r="AB22" s="1442">
        <f>BGE!AB18</f>
        <v>103</v>
      </c>
      <c r="AC22" s="1443">
        <f>BGE!AC18</f>
        <v>449</v>
      </c>
      <c r="AD22" s="290">
        <f>BGE!AD18</f>
        <v>169</v>
      </c>
      <c r="AE22" s="260">
        <f>BGE!AE18</f>
        <v>55</v>
      </c>
      <c r="AF22" s="1441">
        <f>BGE!AF18</f>
        <v>102</v>
      </c>
      <c r="AG22" s="1442">
        <f>BGE!AG18</f>
        <v>113</v>
      </c>
      <c r="AH22" s="1443">
        <f>BGE!AH18</f>
        <v>439</v>
      </c>
      <c r="AI22" s="290">
        <f>BGE!AI18</f>
        <v>204</v>
      </c>
      <c r="AJ22" s="260">
        <f>BGE!AJ18</f>
        <v>99</v>
      </c>
      <c r="AK22" s="1441">
        <f>BGE!AK18</f>
        <v>109</v>
      </c>
      <c r="AL22" s="1442">
        <f>BGE!AL18</f>
        <v>145</v>
      </c>
      <c r="AM22" s="1443">
        <f>BGE!AM18</f>
        <v>557</v>
      </c>
      <c r="AN22" s="290">
        <f>BGE!AN18</f>
        <v>187</v>
      </c>
      <c r="AO22" s="260">
        <f>BGE!AO18</f>
        <v>59</v>
      </c>
      <c r="AP22" s="1441">
        <f>BGE!AP18</f>
        <v>115</v>
      </c>
      <c r="AQ22" s="1442">
        <f>BGE!AQ18</f>
        <v>189</v>
      </c>
      <c r="AR22" s="1443">
        <f>BGE!AR18</f>
        <v>550</v>
      </c>
      <c r="AS22" s="290">
        <f>BGE!AS18</f>
        <v>228</v>
      </c>
      <c r="AT22" s="260">
        <f>BGE!AT18</f>
        <v>98</v>
      </c>
      <c r="AU22" s="260">
        <f>BGE!AU18</f>
        <v>124</v>
      </c>
      <c r="AV22" s="1442">
        <f>BGE!AV18</f>
        <v>163.99999999999989</v>
      </c>
      <c r="AW22" s="1443">
        <f>BGE!AW18</f>
        <v>614</v>
      </c>
      <c r="AX22" s="290">
        <f>BGE!AX18</f>
        <v>193.48019254510007</v>
      </c>
      <c r="AY22" s="260">
        <f>BGE!AY18</f>
        <v>84.78955033801742</v>
      </c>
      <c r="AZ22" s="260">
        <f>BGE!AZ18</f>
        <v>94.322380006724984</v>
      </c>
      <c r="BA22" s="291">
        <f>BGE!BA18</f>
        <v>127.17893912746058</v>
      </c>
      <c r="BB22" s="45">
        <f t="shared" si="17"/>
        <v>499.77106201730305</v>
      </c>
      <c r="BC22" s="290">
        <f>BGE!BC18</f>
        <v>187.43348294643886</v>
      </c>
      <c r="BD22" s="260">
        <f>BGE!BD18</f>
        <v>79.215424287894052</v>
      </c>
      <c r="BE22" s="260">
        <f>BGE!BE18</f>
        <v>122.03619018899133</v>
      </c>
      <c r="BF22" s="291">
        <f>BGE!BF18</f>
        <v>154.37324214825423</v>
      </c>
      <c r="BG22" s="45">
        <f t="shared" si="18"/>
        <v>543.05833957157847</v>
      </c>
      <c r="BH22" s="290">
        <f>BGE!BH18</f>
        <v>213.28968786466464</v>
      </c>
      <c r="BI22" s="260">
        <f>BGE!BI18</f>
        <v>104.937521724421</v>
      </c>
      <c r="BJ22" s="260">
        <f>BGE!BJ18</f>
        <v>125.36560719411921</v>
      </c>
      <c r="BK22" s="291">
        <f>BGE!BK18</f>
        <v>157.74498700002846</v>
      </c>
      <c r="BL22" s="45">
        <f t="shared" si="19"/>
        <v>601.33780378323331</v>
      </c>
      <c r="BM22" s="290">
        <f>BGE!BM18</f>
        <v>216.53184411956749</v>
      </c>
      <c r="BN22" s="260">
        <f>BGE!BN18</f>
        <v>108.88542824571562</v>
      </c>
      <c r="BO22" s="260">
        <f>BGE!BO18</f>
        <v>142.04749766450209</v>
      </c>
      <c r="BP22" s="291">
        <f>BGE!BP18</f>
        <v>174.59319272168943</v>
      </c>
      <c r="BQ22" s="45">
        <f t="shared" si="20"/>
        <v>642.05796275147463</v>
      </c>
      <c r="BT22" s="1049"/>
      <c r="BU22" s="1046"/>
      <c r="BW22" s="1046"/>
      <c r="BX22" s="1046"/>
      <c r="BY22" s="1050"/>
      <c r="BZ22" s="1047"/>
      <c r="CA22" s="1047"/>
      <c r="CB22" s="1048"/>
      <c r="CC22" s="1051"/>
      <c r="CD22" s="1048"/>
      <c r="CE22" s="1048"/>
      <c r="CF22" s="1048"/>
      <c r="CG22" s="1051"/>
      <c r="CH22" s="1048"/>
      <c r="CI22" s="1048"/>
      <c r="CJ22" s="1048"/>
      <c r="CK22" s="1051"/>
      <c r="CL22" s="1048"/>
      <c r="CM22" s="1048"/>
      <c r="CN22" s="1048"/>
      <c r="CO22" s="1048"/>
      <c r="CP22" s="1048"/>
      <c r="CQ22" s="1048"/>
      <c r="CR22" s="1048"/>
      <c r="CS22" s="1048"/>
      <c r="CT22" s="1048"/>
      <c r="CU22" s="1048"/>
      <c r="CV22" s="1048"/>
      <c r="CW22" s="1048"/>
      <c r="CX22" s="1048"/>
      <c r="CY22" s="1048"/>
      <c r="CZ22" s="1048"/>
      <c r="DA22" s="1048"/>
      <c r="DB22" s="1048"/>
      <c r="DC22" s="1048"/>
      <c r="DD22" s="1048"/>
      <c r="DE22" s="1048"/>
      <c r="DF22" s="1048"/>
      <c r="DG22" s="1048"/>
      <c r="DH22" s="1048"/>
      <c r="DI22" s="1048"/>
      <c r="DJ22" s="1048"/>
      <c r="DK22" s="1048"/>
      <c r="DL22" s="1048"/>
      <c r="DM22" s="1048"/>
      <c r="DN22" s="1048"/>
      <c r="DO22" s="1048"/>
      <c r="DP22" s="1048"/>
      <c r="DQ22" s="1048"/>
      <c r="DR22"/>
      <c r="DS22"/>
      <c r="DT22"/>
      <c r="DU22"/>
      <c r="DV22"/>
      <c r="DW22"/>
      <c r="DX22" s="37"/>
    </row>
    <row r="23" spans="3:128" s="28" customFormat="1">
      <c r="C23" s="28" t="s">
        <v>114</v>
      </c>
      <c r="E23" s="290">
        <f>+Parent!E19</f>
        <v>-23</v>
      </c>
      <c r="F23" s="260">
        <f>+Parent!F19</f>
        <v>-23</v>
      </c>
      <c r="G23" s="260">
        <f>+Parent!G19</f>
        <v>-19</v>
      </c>
      <c r="H23" s="291">
        <f>+Parent!H19</f>
        <v>-20</v>
      </c>
      <c r="I23" s="932">
        <f>+Parent!I19</f>
        <v>-85</v>
      </c>
      <c r="J23" s="290">
        <f>+Parent!J19</f>
        <v>1</v>
      </c>
      <c r="K23" s="260">
        <f>+Parent!K19</f>
        <v>-7</v>
      </c>
      <c r="L23" s="260">
        <f>+Parent!L19</f>
        <v>-11</v>
      </c>
      <c r="M23" s="291">
        <f>+Parent!M19</f>
        <v>-20</v>
      </c>
      <c r="N23" s="45">
        <f>+Parent!N19</f>
        <v>-37</v>
      </c>
      <c r="O23" s="290">
        <f>+Parent!O19</f>
        <v>-9</v>
      </c>
      <c r="P23" s="260">
        <f>+Parent!P19</f>
        <v>-28</v>
      </c>
      <c r="Q23" s="260">
        <f>+Parent!Q19</f>
        <v>31</v>
      </c>
      <c r="R23" s="291">
        <f>+Parent!R19</f>
        <v>-27</v>
      </c>
      <c r="S23" s="45">
        <f>+Parent!S19</f>
        <v>-33</v>
      </c>
      <c r="T23" s="290">
        <f>+Parent!T19</f>
        <v>-316</v>
      </c>
      <c r="U23" s="260">
        <f>+Parent!U19</f>
        <v>-15</v>
      </c>
      <c r="V23" s="260">
        <f>+Parent!V19</f>
        <v>3</v>
      </c>
      <c r="W23" s="291">
        <f>+Parent!W19</f>
        <v>-64.000000000000171</v>
      </c>
      <c r="X23" s="45">
        <f>+Parent!X19</f>
        <v>-381</v>
      </c>
      <c r="Y23" s="290">
        <f>+Parent!Y19</f>
        <v>-3</v>
      </c>
      <c r="Z23" s="260">
        <f>+Parent!Z19</f>
        <v>-37</v>
      </c>
      <c r="AA23" s="1441">
        <f>+Parent!AA19</f>
        <v>-14</v>
      </c>
      <c r="AB23" s="1442">
        <f>+Parent!AB19</f>
        <v>-23.000000000000114</v>
      </c>
      <c r="AC23" s="1443">
        <f>+Parent!AC19</f>
        <v>-77</v>
      </c>
      <c r="AD23" s="290">
        <f>+Parent!AD19</f>
        <v>-4</v>
      </c>
      <c r="AE23" s="260">
        <f>+Parent!AE19</f>
        <v>-47</v>
      </c>
      <c r="AF23" s="1441">
        <f>+Parent!AF19</f>
        <v>-8.9999999999999716</v>
      </c>
      <c r="AG23" s="1442">
        <f>+Parent!AG19</f>
        <v>-9.0000000000000284</v>
      </c>
      <c r="AH23" s="1443">
        <f>+Parent!AH19</f>
        <v>-69</v>
      </c>
      <c r="AI23" s="290">
        <f>+Parent!AI19</f>
        <v>-11</v>
      </c>
      <c r="AJ23" s="260">
        <f>+Parent!AJ19</f>
        <v>-35</v>
      </c>
      <c r="AK23" s="1441">
        <f>+Parent!AK19</f>
        <v>-13</v>
      </c>
      <c r="AL23" s="1442">
        <f>+Parent!AL19</f>
        <v>-13.000000000000114</v>
      </c>
      <c r="AM23" s="1443">
        <f>+Parent!AM19</f>
        <v>-72.000000000000114</v>
      </c>
      <c r="AN23" s="290">
        <f>+Parent!AN19</f>
        <v>-593</v>
      </c>
      <c r="AO23" s="260">
        <f>+Parent!AO19</f>
        <v>-11</v>
      </c>
      <c r="AP23" s="1441">
        <f>+Parent!AP19</f>
        <v>-65</v>
      </c>
      <c r="AQ23" s="1442">
        <f>+Parent!AQ19</f>
        <v>-26.000000000000114</v>
      </c>
      <c r="AR23" s="1443">
        <f>+Parent!AR19</f>
        <v>-695</v>
      </c>
      <c r="AS23" s="290">
        <f>+Parent!AS19</f>
        <v>-7.0000000000000568</v>
      </c>
      <c r="AT23" s="260">
        <f>+Parent!AT19</f>
        <v>-5</v>
      </c>
      <c r="AU23" s="260">
        <f>+Parent!AU19</f>
        <v>-8.9999999999999432</v>
      </c>
      <c r="AV23" s="1442">
        <f>+Parent!AV19</f>
        <v>-15.000000000000028</v>
      </c>
      <c r="AW23" s="1443">
        <f>+Parent!AW19</f>
        <v>-36</v>
      </c>
      <c r="AX23" s="290">
        <f>+Parent!AX19</f>
        <v>-29.5</v>
      </c>
      <c r="AY23" s="260">
        <f>+Parent!AY19</f>
        <v>-23.5</v>
      </c>
      <c r="AZ23" s="260">
        <f>+Parent!AZ19</f>
        <v>-30.5</v>
      </c>
      <c r="BA23" s="291">
        <f>+Parent!BA19</f>
        <v>-39.5</v>
      </c>
      <c r="BB23" s="45">
        <f t="shared" si="17"/>
        <v>-123</v>
      </c>
      <c r="BC23" s="290">
        <f>+Parent!BC19</f>
        <v>-7</v>
      </c>
      <c r="BD23" s="260">
        <f>+Parent!BD19</f>
        <v>-1</v>
      </c>
      <c r="BE23" s="260">
        <f>+Parent!BE19</f>
        <v>-8</v>
      </c>
      <c r="BF23" s="291">
        <f>+Parent!BF19</f>
        <v>-17</v>
      </c>
      <c r="BG23" s="45">
        <f t="shared" si="18"/>
        <v>-33</v>
      </c>
      <c r="BH23" s="290">
        <f>+Parent!BH19</f>
        <v>-7</v>
      </c>
      <c r="BI23" s="260">
        <f>+Parent!BI19</f>
        <v>-1</v>
      </c>
      <c r="BJ23" s="260">
        <f>+Parent!BJ19</f>
        <v>-8</v>
      </c>
      <c r="BK23" s="291">
        <f>+Parent!BK19</f>
        <v>-17</v>
      </c>
      <c r="BL23" s="45">
        <f t="shared" si="19"/>
        <v>-33</v>
      </c>
      <c r="BM23" s="290">
        <f>+Parent!BM19</f>
        <v>-7</v>
      </c>
      <c r="BN23" s="260">
        <f>+Parent!BN19</f>
        <v>-1</v>
      </c>
      <c r="BO23" s="260">
        <f>+Parent!BO19</f>
        <v>-8</v>
      </c>
      <c r="BP23" s="291">
        <f>+Parent!BP19</f>
        <v>-17</v>
      </c>
      <c r="BQ23" s="45">
        <f t="shared" si="20"/>
        <v>-33</v>
      </c>
      <c r="BT23" s="1052"/>
      <c r="BU23" s="1046"/>
      <c r="BW23" s="1053"/>
      <c r="BX23" s="45"/>
      <c r="BY23" s="1050"/>
      <c r="BZ23" s="1047"/>
      <c r="CA23" s="1054"/>
      <c r="CC23" s="1051"/>
      <c r="CD23" s="1048"/>
      <c r="CE23" s="1055"/>
      <c r="CG23" s="1051"/>
      <c r="CH23" s="1048"/>
      <c r="CI23" s="1055"/>
      <c r="CK23" s="1051"/>
      <c r="CL23" s="1048"/>
      <c r="CM23" s="1048"/>
      <c r="CN23" s="1055"/>
      <c r="CO23" s="1055"/>
      <c r="CP23" s="1055"/>
      <c r="CQ23" s="1055"/>
      <c r="CR23" s="1055"/>
      <c r="CS23" s="1055"/>
      <c r="CT23" s="1055"/>
      <c r="CU23" s="1055"/>
      <c r="CV23" s="1055"/>
      <c r="CW23" s="1055"/>
      <c r="CX23" s="1055"/>
      <c r="CY23" s="1055"/>
      <c r="CZ23" s="1055"/>
      <c r="DA23" s="1055"/>
      <c r="DB23" s="1055"/>
      <c r="DC23" s="1055"/>
      <c r="DD23" s="1055"/>
      <c r="DE23" s="1055"/>
      <c r="DF23" s="1055"/>
      <c r="DG23" s="1055"/>
      <c r="DH23" s="1055"/>
      <c r="DI23" s="1055"/>
      <c r="DJ23" s="1055"/>
      <c r="DK23" s="1055"/>
      <c r="DL23" s="1055"/>
      <c r="DM23" s="1055"/>
      <c r="DN23" s="1055"/>
      <c r="DO23" s="1055"/>
      <c r="DP23" s="1055"/>
      <c r="DQ23" s="1055"/>
      <c r="DR23"/>
      <c r="DS23"/>
      <c r="DT23"/>
      <c r="DU23"/>
      <c r="DV23"/>
      <c r="DW23"/>
      <c r="DX23" s="37"/>
    </row>
    <row r="24" spans="3:128" s="28" customFormat="1">
      <c r="C24" s="28" t="s">
        <v>346</v>
      </c>
      <c r="E24" s="290"/>
      <c r="F24" s="260"/>
      <c r="G24" s="260"/>
      <c r="H24" s="291"/>
      <c r="I24" s="932"/>
      <c r="J24" s="290"/>
      <c r="K24" s="260"/>
      <c r="L24" s="260"/>
      <c r="M24" s="291"/>
      <c r="N24" s="45"/>
      <c r="O24" s="290"/>
      <c r="P24" s="260"/>
      <c r="Q24" s="260"/>
      <c r="R24" s="291"/>
      <c r="S24" s="45"/>
      <c r="T24" s="290"/>
      <c r="U24" s="260"/>
      <c r="V24" s="260"/>
      <c r="W24" s="291"/>
      <c r="X24" s="45"/>
      <c r="Y24" s="290"/>
      <c r="Z24" s="260"/>
      <c r="AA24" s="1441"/>
      <c r="AB24" s="1442"/>
      <c r="AC24" s="1443"/>
      <c r="AD24" s="290"/>
      <c r="AE24" s="260"/>
      <c r="AF24" s="1441"/>
      <c r="AG24" s="1442"/>
      <c r="AH24" s="1443"/>
      <c r="AI24" s="290"/>
      <c r="AJ24" s="260"/>
      <c r="AK24" s="1441"/>
      <c r="AL24" s="1442"/>
      <c r="AM24" s="1443"/>
      <c r="AN24" s="290"/>
      <c r="AO24" s="260">
        <f>+Pepco!AJ17</f>
        <v>89</v>
      </c>
      <c r="AP24" s="1441">
        <f>+Pepco!AK17</f>
        <v>132</v>
      </c>
      <c r="AQ24" s="1442">
        <f>+Pepco!AL17</f>
        <v>50</v>
      </c>
      <c r="AR24" s="1443">
        <f>+SUM(AN24:AQ24)</f>
        <v>271</v>
      </c>
      <c r="AS24" s="290">
        <f>+Pepco!AN17</f>
        <v>79</v>
      </c>
      <c r="AT24" s="260">
        <f>+Pepco!AO17</f>
        <v>83</v>
      </c>
      <c r="AU24" s="260">
        <f>+Pepco!AP17</f>
        <v>149</v>
      </c>
      <c r="AV24" s="1442">
        <f>+Pepco!AQ17</f>
        <v>87</v>
      </c>
      <c r="AW24" s="1443">
        <f>+SUM(AS24:AV24)</f>
        <v>398</v>
      </c>
      <c r="AX24" s="290">
        <f>+Pepco!AS17</f>
        <v>69.467383210640037</v>
      </c>
      <c r="AY24" s="260">
        <f>+Pepco!AT17</f>
        <v>69.05918846904666</v>
      </c>
      <c r="AZ24" s="260">
        <f>+Pepco!AU17</f>
        <v>138.06491652316561</v>
      </c>
      <c r="BA24" s="291">
        <f>+Pepco!AV17</f>
        <v>72.016756651952676</v>
      </c>
      <c r="BB24" s="45">
        <f t="shared" si="17"/>
        <v>348.60824485480498</v>
      </c>
      <c r="BC24" s="290">
        <f>+Pepco!AX17</f>
        <v>69.964673170591652</v>
      </c>
      <c r="BD24" s="260">
        <f>+Pepco!AY17</f>
        <v>68.742825548347525</v>
      </c>
      <c r="BE24" s="260">
        <f>+Pepco!AZ17</f>
        <v>148.74663687439727</v>
      </c>
      <c r="BF24" s="291">
        <f>+Pepco!BA17</f>
        <v>83.556614774980687</v>
      </c>
      <c r="BG24" s="45">
        <f t="shared" si="18"/>
        <v>371.01075036831713</v>
      </c>
      <c r="BH24" s="290">
        <f>+Pepco!BC17</f>
        <v>77.096155020352001</v>
      </c>
      <c r="BI24" s="260">
        <f>+Pepco!BD17</f>
        <v>77.375261403266336</v>
      </c>
      <c r="BJ24" s="260">
        <f>+Pepco!BE17</f>
        <v>156.61670198619242</v>
      </c>
      <c r="BK24" s="291">
        <f>+Pepco!BF17</f>
        <v>92.555587736310088</v>
      </c>
      <c r="BL24" s="45">
        <f t="shared" si="19"/>
        <v>403.64370614612085</v>
      </c>
      <c r="BM24" s="290">
        <f>+Pepco!BH17</f>
        <v>87.691549341302505</v>
      </c>
      <c r="BN24" s="260">
        <f>+Pepco!BI17</f>
        <v>87.583132357947079</v>
      </c>
      <c r="BO24" s="260">
        <f>+Pepco!BJ17</f>
        <v>164.15865929392095</v>
      </c>
      <c r="BP24" s="291">
        <f>+Pepco!BK17</f>
        <v>101.09107037025365</v>
      </c>
      <c r="BQ24" s="45">
        <f t="shared" si="20"/>
        <v>440.52441136342418</v>
      </c>
      <c r="BT24" s="1052"/>
      <c r="BU24" s="1046"/>
      <c r="BW24" s="1053"/>
      <c r="BX24" s="45"/>
      <c r="BY24" s="1050"/>
      <c r="BZ24" s="1047"/>
      <c r="CA24" s="1054"/>
      <c r="CC24" s="1051"/>
      <c r="CD24" s="1048"/>
      <c r="CE24" s="1055"/>
      <c r="CG24" s="1051"/>
      <c r="CH24" s="1048"/>
      <c r="CI24" s="1055"/>
      <c r="CK24" s="1051"/>
      <c r="CL24" s="1048"/>
      <c r="CM24" s="1048"/>
      <c r="CN24" s="1055"/>
      <c r="CO24" s="1055"/>
      <c r="CP24" s="1055"/>
      <c r="CQ24" s="1055"/>
      <c r="CR24" s="1055"/>
      <c r="CS24" s="1055"/>
      <c r="CT24" s="1055"/>
      <c r="CU24" s="1055"/>
      <c r="CV24" s="1055"/>
      <c r="CW24" s="1055"/>
      <c r="CX24" s="1055"/>
      <c r="CY24" s="1055"/>
      <c r="CZ24" s="1055"/>
      <c r="DA24" s="1055"/>
      <c r="DB24" s="1055"/>
      <c r="DC24" s="1055"/>
      <c r="DD24" s="1055"/>
      <c r="DE24" s="1055"/>
      <c r="DF24" s="1055"/>
      <c r="DG24" s="1055"/>
      <c r="DH24" s="1055"/>
      <c r="DI24" s="1055"/>
      <c r="DJ24" s="1055"/>
      <c r="DK24" s="1055"/>
      <c r="DL24" s="1055"/>
      <c r="DM24" s="1055"/>
      <c r="DN24" s="1055"/>
      <c r="DO24" s="1055"/>
      <c r="DP24" s="1055"/>
      <c r="DQ24" s="1055"/>
      <c r="DR24"/>
      <c r="DS24"/>
      <c r="DT24"/>
      <c r="DU24"/>
      <c r="DV24"/>
      <c r="DW24"/>
      <c r="DX24" s="37"/>
    </row>
    <row r="25" spans="3:128" s="28" customFormat="1">
      <c r="C25" s="28" t="s">
        <v>347</v>
      </c>
      <c r="E25" s="290"/>
      <c r="F25" s="260"/>
      <c r="G25" s="260"/>
      <c r="H25" s="291"/>
      <c r="I25" s="932"/>
      <c r="J25" s="290"/>
      <c r="K25" s="260"/>
      <c r="L25" s="260"/>
      <c r="M25" s="291"/>
      <c r="N25" s="45"/>
      <c r="O25" s="290"/>
      <c r="P25" s="260"/>
      <c r="Q25" s="260"/>
      <c r="R25" s="291"/>
      <c r="S25" s="45"/>
      <c r="T25" s="290"/>
      <c r="U25" s="260"/>
      <c r="V25" s="260"/>
      <c r="W25" s="291"/>
      <c r="X25" s="45"/>
      <c r="Y25" s="290"/>
      <c r="Z25" s="260"/>
      <c r="AA25" s="1441"/>
      <c r="AB25" s="1442"/>
      <c r="AC25" s="1443"/>
      <c r="AD25" s="290"/>
      <c r="AE25" s="260"/>
      <c r="AF25" s="1441"/>
      <c r="AG25" s="1442"/>
      <c r="AH25" s="1443"/>
      <c r="AI25" s="290"/>
      <c r="AJ25" s="260"/>
      <c r="AK25" s="1441"/>
      <c r="AL25" s="1442"/>
      <c r="AM25" s="1443"/>
      <c r="AN25" s="290"/>
      <c r="AO25" s="260">
        <f>DPL!AJ23</f>
        <v>30</v>
      </c>
      <c r="AP25" s="1441">
        <f>DPL!AK23</f>
        <v>68</v>
      </c>
      <c r="AQ25" s="1442">
        <f>DPL!AL23</f>
        <v>15</v>
      </c>
      <c r="AR25" s="1443">
        <f>+SUM(AN25:AQ25)</f>
        <v>113</v>
      </c>
      <c r="AS25" s="290">
        <f>DPL!AN23</f>
        <v>78</v>
      </c>
      <c r="AT25" s="260">
        <f>DPL!AO23</f>
        <v>41</v>
      </c>
      <c r="AU25" s="260">
        <f>DPL!AP23</f>
        <v>59</v>
      </c>
      <c r="AV25" s="1442">
        <f>DPL!AQ23</f>
        <v>51</v>
      </c>
      <c r="AW25" s="1443">
        <f>+SUM(AS25:AV25)</f>
        <v>229</v>
      </c>
      <c r="AX25" s="290">
        <f>DPL!AS23</f>
        <v>69.174533145945929</v>
      </c>
      <c r="AY25" s="260">
        <f>DPL!AT23</f>
        <v>34.550429530299084</v>
      </c>
      <c r="AZ25" s="260">
        <f>DPL!AU23</f>
        <v>58.353129303170988</v>
      </c>
      <c r="BA25" s="291">
        <f ca="1">DPL!AV23</f>
        <v>41.415957023583871</v>
      </c>
      <c r="BB25" s="45">
        <f t="shared" ca="1" si="17"/>
        <v>203.49404900299987</v>
      </c>
      <c r="BC25" s="290">
        <f>DPL!AX23</f>
        <v>73.043071301304565</v>
      </c>
      <c r="BD25" s="260">
        <f>DPL!AY23</f>
        <v>36.226726910842842</v>
      </c>
      <c r="BE25" s="260">
        <f>DPL!AZ23</f>
        <v>60.153814521653203</v>
      </c>
      <c r="BF25" s="291">
        <f ca="1">DPL!BA23</f>
        <v>43.753585358382907</v>
      </c>
      <c r="BG25" s="45">
        <f t="shared" ca="1" si="18"/>
        <v>213.17719809218352</v>
      </c>
      <c r="BH25" s="290">
        <f>DPL!BC23</f>
        <v>75.858987226318675</v>
      </c>
      <c r="BI25" s="260">
        <f>DPL!BD23</f>
        <v>39.596542313842065</v>
      </c>
      <c r="BJ25" s="260">
        <f>DPL!BE23</f>
        <v>62.4086966759142</v>
      </c>
      <c r="BK25" s="291">
        <f ca="1">DPL!BF23</f>
        <v>46.383524432561217</v>
      </c>
      <c r="BL25" s="45">
        <f t="shared" ca="1" si="19"/>
        <v>224.24775064863616</v>
      </c>
      <c r="BM25" s="290">
        <f>DPL!BH23</f>
        <v>77.511704433588534</v>
      </c>
      <c r="BN25" s="260">
        <f>DPL!BI23</f>
        <v>41.326702156586748</v>
      </c>
      <c r="BO25" s="260">
        <f>DPL!BJ23</f>
        <v>64.24409475101703</v>
      </c>
      <c r="BP25" s="291">
        <f ca="1">DPL!BK23</f>
        <v>48.539277467320119</v>
      </c>
      <c r="BQ25" s="45">
        <f t="shared" ca="1" si="20"/>
        <v>231.62177880851243</v>
      </c>
      <c r="BT25" s="1052"/>
      <c r="BU25" s="1046"/>
      <c r="BW25" s="1053"/>
      <c r="BX25" s="45"/>
      <c r="BY25" s="1050"/>
      <c r="BZ25" s="1047"/>
      <c r="CA25" s="1054"/>
      <c r="CC25" s="1051"/>
      <c r="CD25" s="1048"/>
      <c r="CE25" s="1055"/>
      <c r="CG25" s="1051"/>
      <c r="CH25" s="1048"/>
      <c r="CI25" s="1055"/>
      <c r="CK25" s="1051"/>
      <c r="CL25" s="1048"/>
      <c r="CM25" s="1048"/>
      <c r="CN25" s="1055"/>
      <c r="CO25" s="1055"/>
      <c r="CP25" s="1055"/>
      <c r="CQ25" s="1055"/>
      <c r="CR25" s="1055"/>
      <c r="CS25" s="1055"/>
      <c r="CT25" s="1055"/>
      <c r="CU25" s="1055"/>
      <c r="CV25" s="1055"/>
      <c r="CW25" s="1055"/>
      <c r="CX25" s="1055"/>
      <c r="CY25" s="1055"/>
      <c r="CZ25" s="1055"/>
      <c r="DA25" s="1055"/>
      <c r="DB25" s="1055"/>
      <c r="DC25" s="1055"/>
      <c r="DD25" s="1055"/>
      <c r="DE25" s="1055"/>
      <c r="DF25" s="1055"/>
      <c r="DG25" s="1055"/>
      <c r="DH25" s="1055"/>
      <c r="DI25" s="1055"/>
      <c r="DJ25" s="1055"/>
      <c r="DK25" s="1055"/>
      <c r="DL25" s="1055"/>
      <c r="DM25" s="1055"/>
      <c r="DN25" s="1055"/>
      <c r="DO25" s="1055"/>
      <c r="DP25" s="1055"/>
      <c r="DQ25" s="1055"/>
      <c r="DR25"/>
      <c r="DS25"/>
      <c r="DT25"/>
      <c r="DU25"/>
      <c r="DV25"/>
      <c r="DW25"/>
      <c r="DX25" s="37"/>
    </row>
    <row r="26" spans="3:128" s="28" customFormat="1">
      <c r="C26" s="28" t="s">
        <v>348</v>
      </c>
      <c r="E26" s="290"/>
      <c r="F26" s="260"/>
      <c r="G26" s="260"/>
      <c r="H26" s="291"/>
      <c r="I26" s="932"/>
      <c r="J26" s="290"/>
      <c r="K26" s="260"/>
      <c r="L26" s="260"/>
      <c r="M26" s="291"/>
      <c r="N26" s="45"/>
      <c r="O26" s="290"/>
      <c r="P26" s="260"/>
      <c r="Q26" s="260"/>
      <c r="R26" s="291"/>
      <c r="S26" s="45"/>
      <c r="T26" s="290"/>
      <c r="U26" s="260"/>
      <c r="V26" s="260"/>
      <c r="W26" s="291"/>
      <c r="X26" s="45"/>
      <c r="Y26" s="290"/>
      <c r="Z26" s="260"/>
      <c r="AA26" s="1441"/>
      <c r="AB26" s="1442"/>
      <c r="AC26" s="1443"/>
      <c r="AD26" s="290"/>
      <c r="AE26" s="260"/>
      <c r="AF26" s="1441"/>
      <c r="AG26" s="1442"/>
      <c r="AH26" s="1443"/>
      <c r="AI26" s="290"/>
      <c r="AJ26" s="260"/>
      <c r="AK26" s="1441"/>
      <c r="AL26" s="1442"/>
      <c r="AM26" s="1443"/>
      <c r="AN26" s="290"/>
      <c r="AO26" s="260">
        <f>ACE!AJ17</f>
        <v>18</v>
      </c>
      <c r="AP26" s="1441">
        <f>ACE!AK17</f>
        <v>83</v>
      </c>
      <c r="AQ26" s="1442">
        <f>ACE!AL17</f>
        <v>26</v>
      </c>
      <c r="AR26" s="1443">
        <f>+SUM(AN26:AQ26)</f>
        <v>127</v>
      </c>
      <c r="AS26" s="290">
        <f>ACE!AN17</f>
        <v>25</v>
      </c>
      <c r="AT26" s="260">
        <f>ACE!AO17</f>
        <v>25</v>
      </c>
      <c r="AU26" s="260">
        <f>ACE!AP17</f>
        <v>79</v>
      </c>
      <c r="AV26" s="1442">
        <f>ACE!AQ17</f>
        <v>28</v>
      </c>
      <c r="AW26" s="1443">
        <f>+SUM(AS26:AV26)</f>
        <v>157</v>
      </c>
      <c r="AX26" s="290">
        <f>ACE!AS17</f>
        <v>27.229998349441985</v>
      </c>
      <c r="AY26" s="260">
        <f>ACE!AT17</f>
        <v>29.213128338352846</v>
      </c>
      <c r="AZ26" s="260">
        <f>ACE!AU17</f>
        <v>87.606238711924618</v>
      </c>
      <c r="BA26" s="291">
        <f>ACE!AV17</f>
        <v>27.118872221842707</v>
      </c>
      <c r="BB26" s="45">
        <f t="shared" si="17"/>
        <v>171.16823762156216</v>
      </c>
      <c r="BC26" s="290">
        <f>ACE!AX17</f>
        <v>28.586698546542095</v>
      </c>
      <c r="BD26" s="260">
        <f>ACE!AY17</f>
        <v>30.360652288072572</v>
      </c>
      <c r="BE26" s="260">
        <f>ACE!AZ17</f>
        <v>96.058736951793833</v>
      </c>
      <c r="BF26" s="291">
        <f>ACE!BA17</f>
        <v>34.865262964592546</v>
      </c>
      <c r="BG26" s="45">
        <f t="shared" si="18"/>
        <v>189.87135075100105</v>
      </c>
      <c r="BH26" s="290">
        <f>ACE!BC17</f>
        <v>38.136644468580727</v>
      </c>
      <c r="BI26" s="260">
        <f>ACE!BD17</f>
        <v>40.348583410881218</v>
      </c>
      <c r="BJ26" s="260">
        <f>ACE!BE17</f>
        <v>100.42627144053495</v>
      </c>
      <c r="BK26" s="291">
        <f>ACE!BF17</f>
        <v>38.643953285512055</v>
      </c>
      <c r="BL26" s="45">
        <f t="shared" si="19"/>
        <v>217.55545260550895</v>
      </c>
      <c r="BM26" s="290">
        <f>ACE!BH17</f>
        <v>41.669044246845317</v>
      </c>
      <c r="BN26" s="260">
        <f>ACE!BI17</f>
        <v>43.843567761302438</v>
      </c>
      <c r="BO26" s="260">
        <f>ACE!BJ17</f>
        <v>104.46942553361322</v>
      </c>
      <c r="BP26" s="291">
        <f>ACE!BK17</f>
        <v>42.987681434861258</v>
      </c>
      <c r="BQ26" s="45">
        <f t="shared" si="20"/>
        <v>232.96971897662223</v>
      </c>
      <c r="BT26" s="1052"/>
      <c r="BU26" s="1046"/>
      <c r="BW26" s="1053"/>
      <c r="BX26" s="45"/>
      <c r="BY26" s="1050"/>
      <c r="BZ26" s="1047"/>
      <c r="CA26" s="1054"/>
      <c r="CC26" s="1051"/>
      <c r="CD26" s="1048"/>
      <c r="CE26" s="1055"/>
      <c r="CG26" s="1051"/>
      <c r="CH26" s="1048"/>
      <c r="CI26" s="1055"/>
      <c r="CK26" s="1051"/>
      <c r="CL26" s="1048"/>
      <c r="CM26" s="1048"/>
      <c r="CN26" s="1055"/>
      <c r="CO26" s="1055"/>
      <c r="CP26" s="1055"/>
      <c r="CQ26" s="1055"/>
      <c r="CR26" s="1055"/>
      <c r="CS26" s="1055"/>
      <c r="CT26" s="1055"/>
      <c r="CU26" s="1055"/>
      <c r="CV26" s="1055"/>
      <c r="CW26" s="1055"/>
      <c r="CX26" s="1055"/>
      <c r="CY26" s="1055"/>
      <c r="CZ26" s="1055"/>
      <c r="DA26" s="1055"/>
      <c r="DB26" s="1055"/>
      <c r="DC26" s="1055"/>
      <c r="DD26" s="1055"/>
      <c r="DE26" s="1055"/>
      <c r="DF26" s="1055"/>
      <c r="DG26" s="1055"/>
      <c r="DH26" s="1055"/>
      <c r="DI26" s="1055"/>
      <c r="DJ26" s="1055"/>
      <c r="DK26" s="1055"/>
      <c r="DL26" s="1055"/>
      <c r="DM26" s="1055"/>
      <c r="DN26" s="1055"/>
      <c r="DO26" s="1055"/>
      <c r="DP26" s="1055"/>
      <c r="DQ26" s="1055"/>
      <c r="DR26"/>
      <c r="DS26"/>
      <c r="DT26"/>
      <c r="DU26"/>
      <c r="DV26"/>
      <c r="DW26"/>
      <c r="DX26" s="37"/>
    </row>
    <row r="27" spans="3:128" s="28" customFormat="1">
      <c r="C27" s="389" t="s">
        <v>84</v>
      </c>
      <c r="E27" s="292">
        <f t="shared" ref="E27:AE27" si="21">E8-E15-E17</f>
        <v>1247</v>
      </c>
      <c r="F27" s="261">
        <f t="shared" si="21"/>
        <v>1010</v>
      </c>
      <c r="G27" s="261">
        <f t="shared" si="21"/>
        <v>1395</v>
      </c>
      <c r="H27" s="293">
        <f t="shared" si="21"/>
        <v>1071</v>
      </c>
      <c r="I27" s="933">
        <f t="shared" si="21"/>
        <v>4723</v>
      </c>
      <c r="J27" s="292">
        <f t="shared" si="21"/>
        <v>1402</v>
      </c>
      <c r="K27" s="261">
        <f t="shared" si="21"/>
        <v>1018</v>
      </c>
      <c r="L27" s="261">
        <f t="shared" si="21"/>
        <v>1366</v>
      </c>
      <c r="M27" s="293">
        <f t="shared" si="21"/>
        <v>940</v>
      </c>
      <c r="N27" s="228">
        <f t="shared" si="21"/>
        <v>4726</v>
      </c>
      <c r="O27" s="292">
        <f t="shared" si="21"/>
        <v>1202</v>
      </c>
      <c r="P27" s="261">
        <f t="shared" si="21"/>
        <v>1034</v>
      </c>
      <c r="Q27" s="261">
        <f t="shared" si="21"/>
        <v>1181</v>
      </c>
      <c r="R27" s="293">
        <f t="shared" si="21"/>
        <v>1062</v>
      </c>
      <c r="S27" s="228">
        <f t="shared" si="21"/>
        <v>4479</v>
      </c>
      <c r="T27" s="292">
        <f t="shared" si="21"/>
        <v>359</v>
      </c>
      <c r="U27" s="261">
        <f t="shared" si="21"/>
        <v>714</v>
      </c>
      <c r="V27" s="261">
        <f t="shared" si="21"/>
        <v>603</v>
      </c>
      <c r="W27" s="293">
        <f t="shared" si="21"/>
        <v>704</v>
      </c>
      <c r="X27" s="228">
        <f t="shared" si="21"/>
        <v>2380</v>
      </c>
      <c r="Y27" s="292">
        <f t="shared" si="21"/>
        <v>508</v>
      </c>
      <c r="Z27" s="261">
        <f t="shared" si="21"/>
        <v>1005</v>
      </c>
      <c r="AA27" s="1438">
        <f t="shared" si="21"/>
        <v>1254</v>
      </c>
      <c r="AB27" s="1439">
        <f t="shared" si="21"/>
        <v>889</v>
      </c>
      <c r="AC27" s="1440">
        <f t="shared" si="21"/>
        <v>3656</v>
      </c>
      <c r="AD27" s="292">
        <f t="shared" si="21"/>
        <v>163</v>
      </c>
      <c r="AE27" s="261">
        <f t="shared" si="21"/>
        <v>568</v>
      </c>
      <c r="AF27" s="1438">
        <f t="shared" ref="AF27:AJ27" si="22">AF8-AF15-AF17</f>
        <v>1400</v>
      </c>
      <c r="AG27" s="1439">
        <f t="shared" si="22"/>
        <v>239</v>
      </c>
      <c r="AH27" s="1440">
        <f t="shared" si="22"/>
        <v>2370</v>
      </c>
      <c r="AI27" s="292">
        <f t="shared" si="22"/>
        <v>1365</v>
      </c>
      <c r="AJ27" s="261">
        <f t="shared" si="22"/>
        <v>1125</v>
      </c>
      <c r="AK27" s="1438">
        <f t="shared" ref="AK27:AN27" si="23">AK8-AK15-AK17</f>
        <v>1197</v>
      </c>
      <c r="AL27" s="1439">
        <f t="shared" si="23"/>
        <v>697</v>
      </c>
      <c r="AM27" s="1440">
        <f t="shared" si="23"/>
        <v>4384</v>
      </c>
      <c r="AN27" s="292">
        <f t="shared" si="23"/>
        <v>471</v>
      </c>
      <c r="AO27" s="261">
        <f>AO8-AO15-AO17</f>
        <v>609</v>
      </c>
      <c r="AP27" s="1438">
        <f t="shared" ref="AP27:AR27" si="24">AP8-AP15-AP17</f>
        <v>1261</v>
      </c>
      <c r="AQ27" s="1439">
        <f t="shared" si="24"/>
        <v>795</v>
      </c>
      <c r="AR27" s="1440">
        <f t="shared" si="24"/>
        <v>3136</v>
      </c>
      <c r="AS27" s="292">
        <f t="shared" ref="AS27:BB27" si="25">AS8-AS15-AS17</f>
        <v>1056</v>
      </c>
      <c r="AT27" s="261">
        <f>AT8-AT15-AT17</f>
        <v>222</v>
      </c>
      <c r="AU27" s="261">
        <f t="shared" ref="AU27:AW27" si="26">AU8-AU15-AU17</f>
        <v>1462</v>
      </c>
      <c r="AV27" s="1439">
        <f t="shared" si="26"/>
        <v>1039</v>
      </c>
      <c r="AW27" s="1440">
        <f t="shared" si="26"/>
        <v>3779</v>
      </c>
      <c r="AX27" s="292">
        <f t="shared" si="25"/>
        <v>1370.5613930737518</v>
      </c>
      <c r="AY27" s="261">
        <f t="shared" si="25"/>
        <v>1023.935684289183</v>
      </c>
      <c r="AZ27" s="261">
        <f t="shared" si="25"/>
        <v>1504.407360698242</v>
      </c>
      <c r="BA27" s="293">
        <f t="shared" ca="1" si="25"/>
        <v>934.05144839570767</v>
      </c>
      <c r="BB27" s="228">
        <f t="shared" ca="1" si="25"/>
        <v>4832.9558864568826</v>
      </c>
      <c r="BC27" s="292">
        <f t="shared" ref="BC27:BL27" si="27">BC8-BC15-BC17</f>
        <v>1532.8035464746117</v>
      </c>
      <c r="BD27" s="261">
        <f t="shared" si="27"/>
        <v>945.86578082089</v>
      </c>
      <c r="BE27" s="261">
        <f t="shared" si="27"/>
        <v>1416.5792021763245</v>
      </c>
      <c r="BF27" s="293">
        <f t="shared" ca="1" si="27"/>
        <v>876.63116937838458</v>
      </c>
      <c r="BG27" s="228">
        <f t="shared" ca="1" si="27"/>
        <v>4771.8796988502108</v>
      </c>
      <c r="BH27" s="292">
        <f t="shared" si="27"/>
        <v>1441.4753586547758</v>
      </c>
      <c r="BI27" s="261">
        <f t="shared" si="27"/>
        <v>889.859837804569</v>
      </c>
      <c r="BJ27" s="261">
        <f t="shared" si="27"/>
        <v>1454.674497144787</v>
      </c>
      <c r="BK27" s="293">
        <f t="shared" ca="1" si="27"/>
        <v>956.8147014863398</v>
      </c>
      <c r="BL27" s="228">
        <f t="shared" ca="1" si="27"/>
        <v>4742.8243950904725</v>
      </c>
      <c r="BM27" s="292">
        <f t="shared" ref="BM27:BQ27" si="28">BM8-BM15-BM17</f>
        <v>1340.2895110315458</v>
      </c>
      <c r="BN27" s="261">
        <f t="shared" si="28"/>
        <v>1032.9499963612252</v>
      </c>
      <c r="BO27" s="261">
        <f t="shared" si="28"/>
        <v>1558.1008521610438</v>
      </c>
      <c r="BP27" s="293">
        <f t="shared" ca="1" si="28"/>
        <v>1080.6159883413675</v>
      </c>
      <c r="BQ27" s="228">
        <f t="shared" ca="1" si="28"/>
        <v>5011.9563478951823</v>
      </c>
      <c r="BT27" s="1052"/>
      <c r="BU27" s="1046"/>
      <c r="BW27" s="1053"/>
      <c r="BX27" s="45"/>
      <c r="BY27" s="1050"/>
      <c r="BZ27" s="1047"/>
      <c r="CA27" s="1054"/>
      <c r="CC27" s="1051"/>
      <c r="CD27" s="1048"/>
      <c r="CE27" s="1056"/>
      <c r="CG27" s="1051"/>
      <c r="CH27" s="1048"/>
      <c r="CI27" s="1048"/>
      <c r="CJ27" s="1048"/>
      <c r="CK27" s="1051"/>
      <c r="CL27" s="1048"/>
      <c r="CM27" s="1048"/>
      <c r="CN27" s="1055"/>
      <c r="CO27" s="1055"/>
      <c r="CP27" s="1055"/>
      <c r="CQ27" s="1055"/>
      <c r="CR27" s="1055"/>
      <c r="CS27" s="1055"/>
      <c r="CT27" s="1055"/>
      <c r="CU27" s="1055"/>
      <c r="CV27" s="1055"/>
      <c r="CW27" s="1055"/>
      <c r="CX27" s="1055"/>
      <c r="CY27" s="1055"/>
      <c r="CZ27" s="1055"/>
      <c r="DA27" s="1055"/>
      <c r="DB27" s="1055"/>
      <c r="DC27" s="1055"/>
      <c r="DD27" s="1055"/>
      <c r="DE27" s="1055"/>
      <c r="DF27" s="1055"/>
      <c r="DG27" s="1055"/>
      <c r="DH27" s="1055"/>
      <c r="DI27" s="1055"/>
      <c r="DJ27" s="1055"/>
      <c r="DK27" s="1055"/>
      <c r="DL27" s="1055"/>
      <c r="DM27" s="1055"/>
      <c r="DN27" s="1055"/>
      <c r="DO27" s="1055"/>
      <c r="DP27" s="1055"/>
      <c r="DQ27" s="1055"/>
      <c r="DR27"/>
      <c r="DS27"/>
      <c r="DT27"/>
      <c r="DU27"/>
      <c r="DV27"/>
      <c r="DW27"/>
      <c r="DX27" s="37"/>
    </row>
    <row r="28" spans="3:128" s="28" customFormat="1">
      <c r="C28" s="459" t="s">
        <v>85</v>
      </c>
      <c r="E28" s="462">
        <f t="shared" ref="E28:AE28" si="29">E27-SUM(E19:E26)</f>
        <v>0</v>
      </c>
      <c r="F28" s="463">
        <f t="shared" si="29"/>
        <v>0</v>
      </c>
      <c r="G28" s="463">
        <f t="shared" si="29"/>
        <v>0</v>
      </c>
      <c r="H28" s="464">
        <f t="shared" si="29"/>
        <v>0</v>
      </c>
      <c r="I28" s="930">
        <f t="shared" si="29"/>
        <v>0</v>
      </c>
      <c r="J28" s="462">
        <f t="shared" si="29"/>
        <v>0</v>
      </c>
      <c r="K28" s="463">
        <f t="shared" si="29"/>
        <v>0</v>
      </c>
      <c r="L28" s="463">
        <f t="shared" si="29"/>
        <v>0</v>
      </c>
      <c r="M28" s="464">
        <f t="shared" si="29"/>
        <v>0</v>
      </c>
      <c r="N28" s="465">
        <f t="shared" si="29"/>
        <v>0</v>
      </c>
      <c r="O28" s="462">
        <f t="shared" si="29"/>
        <v>0</v>
      </c>
      <c r="P28" s="463">
        <f t="shared" si="29"/>
        <v>0</v>
      </c>
      <c r="Q28" s="463">
        <f t="shared" si="29"/>
        <v>0</v>
      </c>
      <c r="R28" s="464">
        <f t="shared" si="29"/>
        <v>0</v>
      </c>
      <c r="S28" s="465">
        <f t="shared" si="29"/>
        <v>0</v>
      </c>
      <c r="T28" s="462">
        <f t="shared" si="29"/>
        <v>0</v>
      </c>
      <c r="U28" s="463">
        <f t="shared" si="29"/>
        <v>0</v>
      </c>
      <c r="V28" s="463">
        <f t="shared" si="29"/>
        <v>0</v>
      </c>
      <c r="W28" s="464">
        <f t="shared" si="29"/>
        <v>0</v>
      </c>
      <c r="X28" s="465">
        <f t="shared" si="29"/>
        <v>0</v>
      </c>
      <c r="Y28" s="462">
        <f t="shared" si="29"/>
        <v>0</v>
      </c>
      <c r="Z28" s="463">
        <f t="shared" si="29"/>
        <v>0</v>
      </c>
      <c r="AA28" s="1517">
        <f t="shared" si="29"/>
        <v>0</v>
      </c>
      <c r="AB28" s="1518">
        <f t="shared" si="29"/>
        <v>0</v>
      </c>
      <c r="AC28" s="1519">
        <f t="shared" si="29"/>
        <v>0</v>
      </c>
      <c r="AD28" s="462">
        <f t="shared" si="29"/>
        <v>0</v>
      </c>
      <c r="AE28" s="463">
        <f t="shared" si="29"/>
        <v>0</v>
      </c>
      <c r="AF28" s="1517">
        <f t="shared" ref="AF28:AH28" si="30">AF27-SUM(AF19:AF26)</f>
        <v>0</v>
      </c>
      <c r="AG28" s="1518">
        <f t="shared" si="30"/>
        <v>0</v>
      </c>
      <c r="AH28" s="1519">
        <f t="shared" si="30"/>
        <v>0</v>
      </c>
      <c r="AI28" s="462">
        <f t="shared" ref="AI28:AJ28" si="31">AI27-SUM(AI19:AI26)</f>
        <v>0</v>
      </c>
      <c r="AJ28" s="463">
        <f t="shared" si="31"/>
        <v>0</v>
      </c>
      <c r="AK28" s="1517">
        <f t="shared" ref="AK28:AM28" si="32">AK27-SUM(AK19:AK26)</f>
        <v>0</v>
      </c>
      <c r="AL28" s="1518">
        <f t="shared" si="32"/>
        <v>0</v>
      </c>
      <c r="AM28" s="1519">
        <f t="shared" si="32"/>
        <v>0</v>
      </c>
      <c r="AN28" s="462">
        <f>AN27-SUM(AN19:AN26)</f>
        <v>0</v>
      </c>
      <c r="AO28" s="463">
        <f t="shared" ref="AO28:AR28" si="33">AO27-SUM(AO19:AO26)</f>
        <v>0</v>
      </c>
      <c r="AP28" s="1517">
        <f t="shared" si="33"/>
        <v>0</v>
      </c>
      <c r="AQ28" s="1518">
        <f t="shared" si="33"/>
        <v>0</v>
      </c>
      <c r="AR28" s="1519">
        <f t="shared" si="33"/>
        <v>0</v>
      </c>
      <c r="AS28" s="462">
        <f t="shared" ref="AS28:BB28" si="34">AS27-SUM(AS19:AS26)</f>
        <v>0</v>
      </c>
      <c r="AT28" s="463">
        <f t="shared" si="34"/>
        <v>0</v>
      </c>
      <c r="AU28" s="463">
        <f t="shared" ref="AU28:AW28" si="35">AU27-SUM(AU19:AU26)</f>
        <v>0</v>
      </c>
      <c r="AV28" s="1518">
        <f t="shared" si="35"/>
        <v>0</v>
      </c>
      <c r="AW28" s="1519">
        <f t="shared" si="35"/>
        <v>0</v>
      </c>
      <c r="AX28" s="462">
        <f t="shared" si="34"/>
        <v>0</v>
      </c>
      <c r="AY28" s="463">
        <f t="shared" si="34"/>
        <v>0</v>
      </c>
      <c r="AZ28" s="463">
        <f t="shared" si="34"/>
        <v>0</v>
      </c>
      <c r="BA28" s="464">
        <f t="shared" ca="1" si="34"/>
        <v>0</v>
      </c>
      <c r="BB28" s="465">
        <f t="shared" ca="1" si="34"/>
        <v>0</v>
      </c>
      <c r="BC28" s="462">
        <f t="shared" ref="BC28:BL28" si="36">BC27-SUM(BC19:BC26)</f>
        <v>0</v>
      </c>
      <c r="BD28" s="463">
        <f t="shared" si="36"/>
        <v>0</v>
      </c>
      <c r="BE28" s="463">
        <f t="shared" si="36"/>
        <v>0</v>
      </c>
      <c r="BF28" s="464">
        <f t="shared" ca="1" si="36"/>
        <v>0</v>
      </c>
      <c r="BG28" s="465">
        <f t="shared" ca="1" si="36"/>
        <v>0</v>
      </c>
      <c r="BH28" s="462">
        <f t="shared" si="36"/>
        <v>0</v>
      </c>
      <c r="BI28" s="463">
        <f t="shared" si="36"/>
        <v>0</v>
      </c>
      <c r="BJ28" s="463">
        <f t="shared" si="36"/>
        <v>0</v>
      </c>
      <c r="BK28" s="464">
        <f t="shared" ca="1" si="36"/>
        <v>0</v>
      </c>
      <c r="BL28" s="465">
        <f t="shared" ca="1" si="36"/>
        <v>0</v>
      </c>
      <c r="BM28" s="462">
        <f t="shared" ref="BM28:BQ28" si="37">BM27-SUM(BM19:BM26)</f>
        <v>0</v>
      </c>
      <c r="BN28" s="463">
        <f t="shared" si="37"/>
        <v>0</v>
      </c>
      <c r="BO28" s="463">
        <f t="shared" si="37"/>
        <v>0</v>
      </c>
      <c r="BP28" s="464">
        <f t="shared" ca="1" si="37"/>
        <v>0</v>
      </c>
      <c r="BQ28" s="465">
        <f t="shared" ca="1" si="37"/>
        <v>0</v>
      </c>
      <c r="BT28" s="1049"/>
      <c r="BU28" s="1047"/>
      <c r="BW28" s="1047"/>
      <c r="BX28" s="1047"/>
      <c r="BY28" s="1057"/>
      <c r="BZ28" s="1047"/>
      <c r="CA28" s="1047"/>
      <c r="CB28" s="1048"/>
      <c r="CC28" s="1051"/>
      <c r="CD28" s="1048"/>
      <c r="CE28" s="1048"/>
      <c r="CF28" s="1048"/>
      <c r="CG28" s="1051"/>
      <c r="CH28" s="1048"/>
      <c r="CI28" s="1048"/>
      <c r="CJ28" s="1048"/>
      <c r="CK28" s="1051"/>
      <c r="CL28" s="1048"/>
      <c r="CM28" s="1048"/>
      <c r="CN28" s="1048"/>
      <c r="CO28" s="1048"/>
      <c r="CP28" s="1048"/>
      <c r="CQ28" s="1048"/>
      <c r="CR28" s="1048"/>
      <c r="CS28" s="1048"/>
      <c r="CT28" s="1048"/>
      <c r="CU28" s="1048"/>
      <c r="CV28" s="1048"/>
      <c r="CW28" s="1048"/>
      <c r="CX28" s="1048"/>
      <c r="CY28" s="1048"/>
      <c r="CZ28" s="1048"/>
      <c r="DA28" s="1048"/>
      <c r="DB28" s="1048"/>
      <c r="DC28" s="1048"/>
      <c r="DD28" s="1048"/>
      <c r="DE28" s="1048"/>
      <c r="DF28" s="1048"/>
      <c r="DG28" s="1048"/>
      <c r="DH28" s="1048"/>
      <c r="DI28" s="1048"/>
      <c r="DJ28" s="1048"/>
      <c r="DK28" s="1048"/>
      <c r="DL28" s="1048"/>
      <c r="DM28" s="1048"/>
      <c r="DN28" s="1048"/>
      <c r="DO28" s="1048"/>
      <c r="DP28" s="1048"/>
      <c r="DQ28" s="1048"/>
      <c r="DR28"/>
      <c r="DS28"/>
      <c r="DT28"/>
      <c r="DU28"/>
      <c r="DV28"/>
      <c r="DW28"/>
      <c r="DX28" s="37"/>
    </row>
    <row r="29" spans="3:128" s="28" customFormat="1">
      <c r="C29" s="459"/>
      <c r="E29" s="462"/>
      <c r="F29" s="463"/>
      <c r="G29" s="463"/>
      <c r="H29" s="464"/>
      <c r="I29" s="930"/>
      <c r="J29" s="462"/>
      <c r="K29" s="463"/>
      <c r="L29" s="463"/>
      <c r="M29" s="464"/>
      <c r="N29" s="465"/>
      <c r="O29" s="462"/>
      <c r="P29" s="463"/>
      <c r="Q29" s="463"/>
      <c r="R29" s="464"/>
      <c r="S29" s="465"/>
      <c r="T29" s="462"/>
      <c r="U29" s="463"/>
      <c r="V29" s="463"/>
      <c r="W29" s="464"/>
      <c r="X29" s="465"/>
      <c r="Y29" s="462"/>
      <c r="Z29" s="463"/>
      <c r="AA29" s="1517"/>
      <c r="AB29" s="1518"/>
      <c r="AC29" s="1519"/>
      <c r="AD29" s="462"/>
      <c r="AE29" s="463"/>
      <c r="AF29" s="1517"/>
      <c r="AG29" s="1518"/>
      <c r="AH29" s="1519"/>
      <c r="AI29" s="462"/>
      <c r="AJ29" s="463"/>
      <c r="AK29" s="1517"/>
      <c r="AL29" s="1518"/>
      <c r="AM29" s="1519"/>
      <c r="AN29" s="462"/>
      <c r="AO29" s="463"/>
      <c r="AP29" s="463"/>
      <c r="AQ29" s="464"/>
      <c r="AR29" s="465"/>
      <c r="AS29" s="462"/>
      <c r="AT29" s="463"/>
      <c r="AU29" s="463"/>
      <c r="AV29" s="464"/>
      <c r="AW29" s="465"/>
      <c r="AX29" s="462"/>
      <c r="AY29" s="463"/>
      <c r="AZ29" s="463"/>
      <c r="BA29" s="464"/>
      <c r="BB29" s="465"/>
      <c r="BC29" s="462"/>
      <c r="BD29" s="463"/>
      <c r="BE29" s="463"/>
      <c r="BF29" s="464"/>
      <c r="BG29" s="465"/>
      <c r="BH29" s="462"/>
      <c r="BI29" s="463"/>
      <c r="BJ29" s="463"/>
      <c r="BK29" s="464"/>
      <c r="BL29" s="465"/>
      <c r="BM29" s="462"/>
      <c r="BN29" s="463"/>
      <c r="BO29" s="463"/>
      <c r="BP29" s="464"/>
      <c r="BQ29" s="465"/>
      <c r="BT29" s="1052"/>
      <c r="BU29" s="1047"/>
      <c r="BW29" s="1054"/>
      <c r="BX29" s="349"/>
      <c r="BY29" s="1057"/>
      <c r="BZ29" s="1047"/>
      <c r="CA29" s="1054"/>
      <c r="CC29" s="1051"/>
      <c r="CD29" s="1048"/>
      <c r="CE29" s="1055"/>
      <c r="CG29" s="1051"/>
      <c r="CH29" s="1048"/>
      <c r="CI29" s="1055"/>
      <c r="CK29" s="1051"/>
      <c r="CL29" s="1048"/>
      <c r="CM29" s="1048"/>
      <c r="CN29" s="1055"/>
      <c r="CO29" s="1055"/>
      <c r="CP29" s="1055"/>
      <c r="CQ29" s="1055"/>
      <c r="CR29" s="1055"/>
      <c r="CS29" s="1055"/>
      <c r="CT29" s="1055"/>
      <c r="CU29" s="1055"/>
      <c r="CV29" s="1055"/>
      <c r="CW29" s="1055"/>
      <c r="CX29" s="1055"/>
      <c r="CY29" s="1055"/>
      <c r="CZ29" s="1055"/>
      <c r="DA29" s="1055"/>
      <c r="DB29" s="1055"/>
      <c r="DC29" s="1055"/>
      <c r="DD29" s="1055"/>
      <c r="DE29" s="1055"/>
      <c r="DF29" s="1055"/>
      <c r="DG29" s="1055"/>
      <c r="DH29" s="1055"/>
      <c r="DI29" s="1055"/>
      <c r="DJ29" s="1055"/>
      <c r="DK29" s="1055"/>
      <c r="DL29" s="1055"/>
      <c r="DM29" s="1055"/>
      <c r="DN29" s="1055"/>
      <c r="DO29" s="1055"/>
      <c r="DP29" s="1055"/>
      <c r="DQ29" s="1055"/>
      <c r="DR29"/>
      <c r="DS29"/>
      <c r="DT29"/>
      <c r="DU29"/>
      <c r="DV29"/>
      <c r="DW29"/>
      <c r="DX29" s="37"/>
    </row>
    <row r="30" spans="3:128" s="28" customFormat="1">
      <c r="C30" s="28" t="s">
        <v>86</v>
      </c>
      <c r="E30" s="335">
        <f>-37</f>
        <v>-37</v>
      </c>
      <c r="F30" s="336">
        <f>257</f>
        <v>257</v>
      </c>
      <c r="G30" s="336">
        <f>148</f>
        <v>148</v>
      </c>
      <c r="H30" s="291">
        <f>I30-SUM(E30:G30)</f>
        <v>59</v>
      </c>
      <c r="I30" s="931">
        <f>427</f>
        <v>427</v>
      </c>
      <c r="J30" s="335">
        <f>93</f>
        <v>93</v>
      </c>
      <c r="K30" s="336">
        <f>-122</f>
        <v>-122</v>
      </c>
      <c r="L30" s="336">
        <f>206</f>
        <v>206</v>
      </c>
      <c r="M30" s="291">
        <f>N30-SUM(J30:L30)</f>
        <v>135</v>
      </c>
      <c r="N30" s="427">
        <f>312</f>
        <v>312</v>
      </c>
      <c r="O30" s="335">
        <f>94</f>
        <v>94</v>
      </c>
      <c r="P30" s="336">
        <f>100</f>
        <v>100</v>
      </c>
      <c r="Q30" s="336">
        <f>-143</f>
        <v>-143</v>
      </c>
      <c r="R30" s="291">
        <f>S30-SUM(O30:Q30)</f>
        <v>148</v>
      </c>
      <c r="S30" s="427">
        <f>199</f>
        <v>199</v>
      </c>
      <c r="T30" s="335">
        <f>194</f>
        <v>194</v>
      </c>
      <c r="U30" s="336">
        <v>-43</v>
      </c>
      <c r="V30" s="336">
        <v>101</v>
      </c>
      <c r="W30" s="291">
        <f>X30-SUM(T30:V30)</f>
        <v>94</v>
      </c>
      <c r="X30" s="427">
        <v>346</v>
      </c>
      <c r="Y30" s="335">
        <v>172</v>
      </c>
      <c r="Z30" s="336">
        <v>-17</v>
      </c>
      <c r="AA30" s="1435">
        <v>155</v>
      </c>
      <c r="AB30" s="1442">
        <f>AC30-SUM(Y30:AA30)</f>
        <v>163</v>
      </c>
      <c r="AC30" s="1437">
        <v>473</v>
      </c>
      <c r="AD30" s="335">
        <v>103</v>
      </c>
      <c r="AE30" s="336">
        <f>243+261</f>
        <v>504</v>
      </c>
      <c r="AF30" s="1435">
        <v>354</v>
      </c>
      <c r="AG30" s="1442">
        <f>AH30-SUM(AD30:AF30)</f>
        <v>220</v>
      </c>
      <c r="AH30" s="1437">
        <f>455+289+437</f>
        <v>1181</v>
      </c>
      <c r="AI30" s="335">
        <f>1+80</f>
        <v>81</v>
      </c>
      <c r="AJ30" s="336">
        <f>7+-17</f>
        <v>-10</v>
      </c>
      <c r="AK30" s="1435">
        <f>2-244</f>
        <v>-242</v>
      </c>
      <c r="AL30" s="1442">
        <f>AM30-SUM(AI30:AK30)</f>
        <v>143</v>
      </c>
      <c r="AM30" s="1437">
        <f>18-46</f>
        <v>-28</v>
      </c>
      <c r="AN30" s="335">
        <f>9+114</f>
        <v>123</v>
      </c>
      <c r="AO30" s="336">
        <f>31+144</f>
        <v>175</v>
      </c>
      <c r="AP30" s="1435">
        <f>1+120</f>
        <v>121</v>
      </c>
      <c r="AQ30" s="1442">
        <f>AR30-SUM(AN30:AP30)</f>
        <v>-54</v>
      </c>
      <c r="AR30" s="1437">
        <f>-48+413</f>
        <v>365</v>
      </c>
      <c r="AS30" s="335">
        <f>4+226+283</f>
        <v>513</v>
      </c>
      <c r="AT30" s="336">
        <f>1+205</f>
        <v>206</v>
      </c>
      <c r="AU30" s="336">
        <f>-1+7+237</f>
        <v>243</v>
      </c>
      <c r="AV30" s="1442">
        <f>AW30-SUM(AS30:AU30)</f>
        <v>543</v>
      </c>
      <c r="AW30" s="1437">
        <f>3+1056+233+213</f>
        <v>1505</v>
      </c>
      <c r="AX30" s="290">
        <f>+ExGen!AX21+ComEd!AX20+ComEd!AX19+PECO!AX22+PECO!AX23+BGE!AX21+BGE!AX20+Parent!AX21+Pepco!AS21+DPL!AS27+ACE!AS21</f>
        <v>80.289333334646116</v>
      </c>
      <c r="AY30" s="260">
        <f>+ExGen!AY21+ComEd!AY20+ComEd!AY19+PECO!AY22+PECO!AY23+BGE!AY21+BGE!AY20+Parent!AY21+Pepco!AT21+DPL!AT27+ACE!AT21</f>
        <v>80.539333334646116</v>
      </c>
      <c r="AZ30" s="260">
        <f>+ExGen!AZ21+ComEd!AZ20+ComEd!AZ19+PECO!AZ22+PECO!AZ23+BGE!AZ21+BGE!AZ20+Parent!AZ21+Pepco!AU21+DPL!AU27+ACE!AU21</f>
        <v>84.539333334646116</v>
      </c>
      <c r="BA30" s="291">
        <f>+ExGen!BA21+ComEd!BA20+ComEd!BA19+PECO!BA22+PECO!BA23+BGE!BA21+BGE!BA20+Parent!BA21+Pepco!AV21+DPL!AV27+ACE!AV21</f>
        <v>79.789333334646116</v>
      </c>
      <c r="BB30" s="45">
        <f>SUM(AX30:BA30)</f>
        <v>325.15733333858446</v>
      </c>
      <c r="BC30" s="290">
        <f>+ExGen!BC21+ComEd!BC20+ComEd!BC19+PECO!BC22+PECO!BC23+BGE!BC21+BGE!BC20+Parent!BC21+Pepco!AX21+DPL!AX27+ACE!AX21</f>
        <v>74.067275598359998</v>
      </c>
      <c r="BD30" s="260">
        <f>+ExGen!BD21+ComEd!BD20+ComEd!BD19+PECO!BD22+PECO!BD23+BGE!BD21+BGE!BD20+Parent!BD21+Pepco!AY21+DPL!AY27+ACE!AY21</f>
        <v>74.317275598359998</v>
      </c>
      <c r="BE30" s="260">
        <f>+ExGen!BE21+ComEd!BE20+ComEd!BE19+PECO!BE22+PECO!BE23+BGE!BE21+BGE!BE20+Parent!BE21+Pepco!AZ21+DPL!AZ27+ACE!AZ21</f>
        <v>78.317275598359984</v>
      </c>
      <c r="BF30" s="291">
        <f>+ExGen!BF21+ComEd!BF20+ComEd!BF19+PECO!BF22+PECO!BF23+BGE!BF21+BGE!BF20+Parent!BF21+Pepco!BA21+DPL!BA27+ACE!BA21</f>
        <v>73.567275598359998</v>
      </c>
      <c r="BG30" s="45">
        <f>SUM(BC30:BF30)</f>
        <v>300.26910239343999</v>
      </c>
      <c r="BH30" s="290">
        <f>+ExGen!BH21+ComEd!BH20+ComEd!BH19+PECO!BH22+PECO!BH23+BGE!BH21+BGE!BH20+Parent!BH21+Pepco!BC21+DPL!BC27+ACE!BC21</f>
        <v>80.476040506087301</v>
      </c>
      <c r="BI30" s="260">
        <f>+ExGen!BI21+ComEd!BI20+ComEd!BI19+PECO!BI22+PECO!BI23+BGE!BI21+BGE!BI20+Parent!BI21+Pepco!BD21+DPL!BD27+ACE!BD21</f>
        <v>80.726040506087301</v>
      </c>
      <c r="BJ30" s="260">
        <f>+ExGen!BJ21+ComEd!BJ20+ComEd!BJ19+PECO!BJ22+PECO!BJ23+BGE!BJ21+BGE!BJ20+Parent!BJ21+Pepco!BE21+DPL!BE27+ACE!BE21</f>
        <v>84.726040506087301</v>
      </c>
      <c r="BK30" s="291">
        <f>+ExGen!BK21+ComEd!BK20+ComEd!BK19+PECO!BK22+PECO!BK23+BGE!BK21+BGE!BK20+Parent!BK21+Pepco!BF21+DPL!BF27+ACE!BF21</f>
        <v>79.976040506087301</v>
      </c>
      <c r="BL30" s="45">
        <f>SUM(BH30:BK30)</f>
        <v>325.9041620243492</v>
      </c>
      <c r="BM30" s="290">
        <f>+ExGen!BM21+ComEd!BM20+ComEd!BM19+PECO!BM22+PECO!BM23+BGE!BM21+BGE!BM20+Parent!BM21+Pepco!BH21+DPL!BH27+ACE!BH21</f>
        <v>80.664001071378905</v>
      </c>
      <c r="BN30" s="260">
        <f>+ExGen!BN21+ComEd!BN20+ComEd!BN19+PECO!BN22+PECO!BN23+BGE!BN21+BGE!BN20+Parent!BN21+Pepco!BI21+DPL!BI27+ACE!BI21</f>
        <v>80.914001071378905</v>
      </c>
      <c r="BO30" s="260">
        <f>+ExGen!BO21+ComEd!BO20+ComEd!BO19+PECO!BO22+PECO!BO23+BGE!BO21+BGE!BO20+Parent!BO21+Pepco!BJ21+DPL!BJ27+ACE!BJ21</f>
        <v>84.914001071378905</v>
      </c>
      <c r="BP30" s="291">
        <f>+ExGen!BP21+ComEd!BP20+ComEd!BP19+PECO!BP22+PECO!BP23+BGE!BP21+BGE!BP20+Parent!BP21+Pepco!BK21+DPL!BK27+ACE!BK21</f>
        <v>80.164001071378905</v>
      </c>
      <c r="BQ30" s="45">
        <f>SUM(BM30:BP30)</f>
        <v>326.65600428551562</v>
      </c>
      <c r="BT30" s="1052"/>
      <c r="BU30" s="1047"/>
      <c r="BW30" s="1054"/>
      <c r="BX30" s="349"/>
      <c r="BY30" s="1057"/>
      <c r="BZ30" s="1047"/>
      <c r="CA30" s="1054"/>
      <c r="CC30" s="1051"/>
      <c r="CD30" s="1048"/>
      <c r="CE30" s="1055"/>
      <c r="CG30" s="1051"/>
      <c r="CH30" s="1048"/>
      <c r="CI30" s="1055"/>
      <c r="CK30" s="1051"/>
      <c r="CL30" s="1048"/>
      <c r="CM30" s="1048"/>
      <c r="CN30" s="1055"/>
      <c r="CO30" s="1055"/>
      <c r="CP30" s="1055"/>
      <c r="CQ30" s="1055"/>
      <c r="CR30" s="1055"/>
      <c r="CS30" s="1055"/>
      <c r="CT30" s="1055"/>
      <c r="CU30" s="1055"/>
      <c r="CV30" s="1055"/>
      <c r="CW30" s="1055"/>
      <c r="CX30" s="1055"/>
      <c r="CY30" s="1055"/>
      <c r="CZ30" s="1055"/>
      <c r="DA30" s="1055"/>
      <c r="DB30" s="1055"/>
      <c r="DC30" s="1055"/>
      <c r="DD30" s="1055"/>
      <c r="DE30" s="1055"/>
      <c r="DF30" s="1055"/>
      <c r="DG30" s="1055"/>
      <c r="DH30" s="1055"/>
      <c r="DI30" s="1055"/>
      <c r="DJ30" s="1055"/>
      <c r="DK30" s="1055"/>
      <c r="DL30" s="1055"/>
      <c r="DM30" s="1055"/>
      <c r="DN30" s="1055"/>
      <c r="DO30" s="1055"/>
      <c r="DP30" s="1055"/>
      <c r="DQ30" s="1055"/>
      <c r="DR30"/>
      <c r="DS30"/>
      <c r="DT30"/>
      <c r="DU30"/>
      <c r="DV30"/>
      <c r="DW30"/>
      <c r="DX30" s="37"/>
    </row>
    <row r="31" spans="3:128" s="28" customFormat="1">
      <c r="E31" s="290"/>
      <c r="F31" s="260"/>
      <c r="G31" s="260"/>
      <c r="H31" s="291"/>
      <c r="I31" s="932"/>
      <c r="J31" s="290"/>
      <c r="K31" s="260"/>
      <c r="L31" s="260"/>
      <c r="M31" s="291"/>
      <c r="N31" s="45"/>
      <c r="O31" s="290"/>
      <c r="P31" s="260"/>
      <c r="Q31" s="260"/>
      <c r="R31" s="291"/>
      <c r="S31" s="45"/>
      <c r="T31" s="290"/>
      <c r="U31" s="260"/>
      <c r="V31" s="260"/>
      <c r="W31" s="291"/>
      <c r="X31" s="45"/>
      <c r="Y31" s="290"/>
      <c r="Z31" s="260"/>
      <c r="AA31" s="1441"/>
      <c r="AB31" s="1442"/>
      <c r="AC31" s="1443"/>
      <c r="AD31" s="290"/>
      <c r="AE31" s="260"/>
      <c r="AF31" s="1441"/>
      <c r="AG31" s="1442"/>
      <c r="AH31" s="1443"/>
      <c r="AI31" s="290"/>
      <c r="AJ31" s="260"/>
      <c r="AK31" s="1441"/>
      <c r="AL31" s="1442"/>
      <c r="AM31" s="1443"/>
      <c r="AN31" s="290"/>
      <c r="AO31" s="260"/>
      <c r="AP31" s="260"/>
      <c r="AQ31" s="1442"/>
      <c r="AR31" s="1443"/>
      <c r="AS31" s="290"/>
      <c r="AT31" s="260"/>
      <c r="AU31" s="260"/>
      <c r="AV31" s="1442"/>
      <c r="AW31" s="1443"/>
      <c r="AX31" s="290"/>
      <c r="AY31" s="260"/>
      <c r="AZ31" s="260"/>
      <c r="BA31" s="291"/>
      <c r="BB31" s="45"/>
      <c r="BC31" s="290"/>
      <c r="BD31" s="260"/>
      <c r="BE31" s="260"/>
      <c r="BF31" s="291"/>
      <c r="BG31" s="45"/>
      <c r="BH31" s="290"/>
      <c r="BI31" s="260"/>
      <c r="BJ31" s="260"/>
      <c r="BK31" s="291"/>
      <c r="BL31" s="45"/>
      <c r="BM31" s="290"/>
      <c r="BN31" s="260"/>
      <c r="BO31" s="260"/>
      <c r="BP31" s="291"/>
      <c r="BQ31" s="45"/>
      <c r="BT31" s="1049"/>
      <c r="BU31" s="1047"/>
      <c r="BW31" s="1047"/>
      <c r="BX31" s="1047"/>
      <c r="BY31" s="1057"/>
      <c r="BZ31" s="1047"/>
      <c r="CA31" s="1047"/>
      <c r="CB31" s="1048"/>
      <c r="CC31" s="1051"/>
      <c r="CD31" s="1048"/>
      <c r="CE31" s="1048"/>
      <c r="CF31" s="1048"/>
      <c r="CG31" s="1051"/>
      <c r="CH31" s="1048"/>
      <c r="CI31" s="1048"/>
      <c r="CJ31" s="1048"/>
      <c r="CK31" s="1051"/>
      <c r="CL31" s="1048"/>
      <c r="CM31" s="1048"/>
      <c r="CN31" s="1048"/>
      <c r="CO31" s="1048"/>
      <c r="CP31" s="1048"/>
      <c r="CQ31" s="1048"/>
      <c r="CR31" s="1048"/>
      <c r="CS31" s="1048"/>
      <c r="CT31" s="1048"/>
      <c r="CU31" s="1048"/>
      <c r="CV31" s="1048"/>
      <c r="CW31" s="1048"/>
      <c r="CX31" s="1048"/>
      <c r="CY31" s="1048"/>
      <c r="CZ31" s="1048"/>
      <c r="DA31" s="1048"/>
      <c r="DB31" s="1048"/>
      <c r="DC31" s="1048"/>
      <c r="DD31" s="1048"/>
      <c r="DE31" s="1048"/>
      <c r="DF31" s="1048"/>
      <c r="DG31" s="1048"/>
      <c r="DH31" s="1048"/>
      <c r="DI31" s="1048"/>
      <c r="DJ31" s="1048"/>
      <c r="DK31" s="1048"/>
      <c r="DL31" s="1048"/>
      <c r="DM31" s="1048"/>
      <c r="DN31" s="1048"/>
      <c r="DO31" s="1048"/>
      <c r="DP31" s="1048"/>
      <c r="DQ31" s="1048"/>
      <c r="DR31"/>
      <c r="DS31"/>
      <c r="DT31"/>
      <c r="DU31"/>
      <c r="DV31"/>
      <c r="DW31"/>
      <c r="DX31" s="37"/>
    </row>
    <row r="32" spans="3:128" s="28" customFormat="1">
      <c r="C32" s="32" t="s">
        <v>475</v>
      </c>
      <c r="E32" s="292">
        <f t="shared" ref="E32:AE32" si="38">E27+E30</f>
        <v>1210</v>
      </c>
      <c r="F32" s="261">
        <f t="shared" si="38"/>
        <v>1267</v>
      </c>
      <c r="G32" s="261">
        <f t="shared" si="38"/>
        <v>1543</v>
      </c>
      <c r="H32" s="293">
        <f t="shared" si="38"/>
        <v>1130</v>
      </c>
      <c r="I32" s="933">
        <f t="shared" si="38"/>
        <v>5150</v>
      </c>
      <c r="J32" s="292">
        <f t="shared" si="38"/>
        <v>1495</v>
      </c>
      <c r="K32" s="261">
        <f t="shared" si="38"/>
        <v>896</v>
      </c>
      <c r="L32" s="261">
        <f t="shared" si="38"/>
        <v>1572</v>
      </c>
      <c r="M32" s="293">
        <f t="shared" si="38"/>
        <v>1075</v>
      </c>
      <c r="N32" s="228">
        <f t="shared" si="38"/>
        <v>5038</v>
      </c>
      <c r="O32" s="292">
        <f t="shared" si="38"/>
        <v>1296</v>
      </c>
      <c r="P32" s="261">
        <f t="shared" si="38"/>
        <v>1134</v>
      </c>
      <c r="Q32" s="261">
        <f t="shared" si="38"/>
        <v>1038</v>
      </c>
      <c r="R32" s="293">
        <f t="shared" si="38"/>
        <v>1210</v>
      </c>
      <c r="S32" s="228">
        <f t="shared" si="38"/>
        <v>4678</v>
      </c>
      <c r="T32" s="292">
        <f t="shared" si="38"/>
        <v>553</v>
      </c>
      <c r="U32" s="261">
        <f>U27+U30</f>
        <v>671</v>
      </c>
      <c r="V32" s="261">
        <f>V27+V30</f>
        <v>704</v>
      </c>
      <c r="W32" s="293">
        <f>W27+W30</f>
        <v>798</v>
      </c>
      <c r="X32" s="228">
        <f>X27+X30</f>
        <v>2726</v>
      </c>
      <c r="Y32" s="292">
        <f>Y27+Y30</f>
        <v>680</v>
      </c>
      <c r="Z32" s="261">
        <f t="shared" si="38"/>
        <v>988</v>
      </c>
      <c r="AA32" s="1438">
        <f>AA27+AA30</f>
        <v>1409</v>
      </c>
      <c r="AB32" s="1439">
        <f>AB27+AB30</f>
        <v>1052</v>
      </c>
      <c r="AC32" s="1440">
        <f>AC27+AC30</f>
        <v>4129</v>
      </c>
      <c r="AD32" s="292">
        <f>AD27+AD30</f>
        <v>266</v>
      </c>
      <c r="AE32" s="261">
        <f t="shared" si="38"/>
        <v>1072</v>
      </c>
      <c r="AF32" s="1438">
        <f>AF27+AF30</f>
        <v>1754</v>
      </c>
      <c r="AG32" s="1439">
        <f>AG27+AG30</f>
        <v>459</v>
      </c>
      <c r="AH32" s="1440">
        <f>AH27+AH30</f>
        <v>3551</v>
      </c>
      <c r="AI32" s="292">
        <f>AI27+AI30</f>
        <v>1446</v>
      </c>
      <c r="AJ32" s="261">
        <f t="shared" ref="AJ32" si="39">AJ27+AJ30</f>
        <v>1115</v>
      </c>
      <c r="AK32" s="1438">
        <f>AK27+AK30</f>
        <v>955</v>
      </c>
      <c r="AL32" s="1439">
        <f>AL27+AL30</f>
        <v>840</v>
      </c>
      <c r="AM32" s="1440">
        <f>AM27+AM30</f>
        <v>4356</v>
      </c>
      <c r="AN32" s="292">
        <f>AN27+AN30</f>
        <v>594</v>
      </c>
      <c r="AO32" s="261">
        <f t="shared" ref="AO32" si="40">AO27+AO30</f>
        <v>784</v>
      </c>
      <c r="AP32" s="1438">
        <f>AP27+AP30</f>
        <v>1382</v>
      </c>
      <c r="AQ32" s="1439">
        <f>AQ27+AQ30</f>
        <v>741</v>
      </c>
      <c r="AR32" s="1440">
        <f>AR27+AR30</f>
        <v>3501</v>
      </c>
      <c r="AS32" s="292">
        <f t="shared" ref="AS32:BB32" si="41">AS27+AS30</f>
        <v>1569</v>
      </c>
      <c r="AT32" s="261">
        <f t="shared" si="41"/>
        <v>428</v>
      </c>
      <c r="AU32" s="261">
        <f t="shared" si="41"/>
        <v>1705</v>
      </c>
      <c r="AV32" s="1439">
        <f>AV27+AV30</f>
        <v>1582</v>
      </c>
      <c r="AW32" s="1440">
        <f>AW27+AW30</f>
        <v>5284</v>
      </c>
      <c r="AX32" s="292">
        <f t="shared" si="41"/>
        <v>1450.8507264083978</v>
      </c>
      <c r="AY32" s="261">
        <f t="shared" si="41"/>
        <v>1104.475017623829</v>
      </c>
      <c r="AZ32" s="261">
        <f t="shared" si="41"/>
        <v>1588.946694032888</v>
      </c>
      <c r="BA32" s="293">
        <f t="shared" ca="1" si="41"/>
        <v>1013.8407817303538</v>
      </c>
      <c r="BB32" s="228">
        <f t="shared" ca="1" si="41"/>
        <v>5158.1132197954666</v>
      </c>
      <c r="BC32" s="292">
        <f t="shared" ref="BC32:BL32" si="42">BC27+BC30</f>
        <v>1606.8708220729718</v>
      </c>
      <c r="BD32" s="261">
        <f t="shared" si="42"/>
        <v>1020.18305641925</v>
      </c>
      <c r="BE32" s="261">
        <f t="shared" si="42"/>
        <v>1494.8964777746846</v>
      </c>
      <c r="BF32" s="293">
        <f t="shared" ca="1" si="42"/>
        <v>950.19844497674455</v>
      </c>
      <c r="BG32" s="228">
        <f t="shared" ca="1" si="42"/>
        <v>5072.1488012436512</v>
      </c>
      <c r="BH32" s="292">
        <f t="shared" si="42"/>
        <v>1521.951399160863</v>
      </c>
      <c r="BI32" s="261">
        <f t="shared" si="42"/>
        <v>970.58587831065631</v>
      </c>
      <c r="BJ32" s="261">
        <f t="shared" si="42"/>
        <v>1539.4005376508742</v>
      </c>
      <c r="BK32" s="293">
        <f t="shared" ca="1" si="42"/>
        <v>1036.790741992427</v>
      </c>
      <c r="BL32" s="228">
        <f t="shared" ca="1" si="42"/>
        <v>5068.7285571148213</v>
      </c>
      <c r="BM32" s="292">
        <f t="shared" ref="BM32:BQ32" si="43">BM27+BM30</f>
        <v>1420.9535121029246</v>
      </c>
      <c r="BN32" s="261">
        <f t="shared" si="43"/>
        <v>1113.863997432604</v>
      </c>
      <c r="BO32" s="261">
        <f t="shared" si="43"/>
        <v>1643.0148532324226</v>
      </c>
      <c r="BP32" s="293">
        <f t="shared" ca="1" si="43"/>
        <v>1160.7799894127463</v>
      </c>
      <c r="BQ32" s="228">
        <f t="shared" ca="1" si="43"/>
        <v>5338.6123521806976</v>
      </c>
      <c r="BT32" s="1052"/>
      <c r="BU32" s="1047"/>
      <c r="BV32" s="1047"/>
      <c r="BW32" s="1054"/>
      <c r="BX32" s="349"/>
      <c r="BY32" s="1057"/>
      <c r="BZ32" s="1047"/>
      <c r="CA32" s="1054"/>
      <c r="CC32" s="1051"/>
      <c r="CD32" s="1048"/>
      <c r="CE32" s="1055"/>
      <c r="CG32" s="1051"/>
      <c r="CH32" s="1048"/>
      <c r="CI32" s="1055"/>
      <c r="CK32" s="1051"/>
      <c r="CL32" s="1048"/>
      <c r="CM32" s="1048"/>
      <c r="CN32" s="1055"/>
      <c r="CO32" s="1055"/>
      <c r="CP32" s="1055"/>
      <c r="CQ32" s="1055"/>
      <c r="CR32" s="1055"/>
      <c r="CS32" s="1055"/>
      <c r="CT32" s="1055"/>
      <c r="CU32" s="1055"/>
      <c r="CV32" s="1055"/>
      <c r="CW32" s="1055"/>
      <c r="CX32" s="1055"/>
      <c r="CY32" s="1055"/>
      <c r="CZ32" s="1055"/>
      <c r="DA32" s="1055"/>
      <c r="DB32" s="1055"/>
      <c r="DC32" s="1055"/>
      <c r="DD32" s="1055"/>
      <c r="DE32" s="1055"/>
      <c r="DF32" s="1055"/>
      <c r="DG32" s="1055"/>
      <c r="DH32" s="1055"/>
      <c r="DI32" s="1055"/>
      <c r="DJ32" s="1055"/>
      <c r="DK32" s="1055"/>
      <c r="DL32" s="1055"/>
      <c r="DM32" s="1055"/>
      <c r="DN32" s="1055"/>
      <c r="DO32" s="1055"/>
      <c r="DP32" s="1055"/>
      <c r="DQ32" s="1055"/>
      <c r="DR32"/>
      <c r="DS32"/>
      <c r="DT32"/>
      <c r="DU32"/>
      <c r="DV32"/>
      <c r="DW32"/>
      <c r="DX32" s="37"/>
    </row>
    <row r="33" spans="3:128" s="28" customFormat="1">
      <c r="C33" s="32" t="s">
        <v>66</v>
      </c>
      <c r="E33" s="292">
        <f t="shared" ref="E33:AE33" si="44">E32+E13</f>
        <v>1646</v>
      </c>
      <c r="F33" s="261">
        <f t="shared" si="44"/>
        <v>1706</v>
      </c>
      <c r="G33" s="261">
        <f t="shared" si="44"/>
        <v>2028</v>
      </c>
      <c r="H33" s="293">
        <f t="shared" si="44"/>
        <v>1604</v>
      </c>
      <c r="I33" s="933">
        <f t="shared" si="44"/>
        <v>6984</v>
      </c>
      <c r="J33" s="292">
        <f t="shared" si="44"/>
        <v>2009</v>
      </c>
      <c r="K33" s="261">
        <f t="shared" si="44"/>
        <v>1415</v>
      </c>
      <c r="L33" s="261">
        <f t="shared" si="44"/>
        <v>2150</v>
      </c>
      <c r="M33" s="293">
        <f t="shared" si="44"/>
        <v>1539</v>
      </c>
      <c r="N33" s="228">
        <f t="shared" si="44"/>
        <v>7113</v>
      </c>
      <c r="O33" s="292">
        <f t="shared" si="44"/>
        <v>1623</v>
      </c>
      <c r="P33" s="261">
        <f t="shared" si="44"/>
        <v>1463</v>
      </c>
      <c r="Q33" s="261">
        <f t="shared" si="44"/>
        <v>1370</v>
      </c>
      <c r="R33" s="293">
        <f t="shared" si="44"/>
        <v>1557</v>
      </c>
      <c r="S33" s="228">
        <f t="shared" si="44"/>
        <v>6013</v>
      </c>
      <c r="T33" s="292">
        <f t="shared" si="44"/>
        <v>935</v>
      </c>
      <c r="U33" s="261">
        <f t="shared" si="44"/>
        <v>1165</v>
      </c>
      <c r="V33" s="261">
        <f t="shared" si="44"/>
        <v>1204</v>
      </c>
      <c r="W33" s="293">
        <f t="shared" si="44"/>
        <v>1303</v>
      </c>
      <c r="X33" s="228">
        <f t="shared" si="44"/>
        <v>4607</v>
      </c>
      <c r="Y33" s="292">
        <f t="shared" si="44"/>
        <v>1223</v>
      </c>
      <c r="Z33" s="261">
        <f t="shared" si="44"/>
        <v>1521</v>
      </c>
      <c r="AA33" s="1438">
        <f t="shared" si="44"/>
        <v>1939</v>
      </c>
      <c r="AB33" s="1439">
        <f t="shared" si="44"/>
        <v>1599</v>
      </c>
      <c r="AC33" s="1440">
        <f t="shared" si="44"/>
        <v>6282</v>
      </c>
      <c r="AD33" s="292">
        <f t="shared" si="44"/>
        <v>830</v>
      </c>
      <c r="AE33" s="261">
        <f t="shared" si="44"/>
        <v>1662</v>
      </c>
      <c r="AF33" s="1438">
        <f t="shared" ref="AF33:AJ33" si="45">AF32+AF13</f>
        <v>2331</v>
      </c>
      <c r="AG33" s="1439">
        <f t="shared" si="45"/>
        <v>1042</v>
      </c>
      <c r="AH33" s="1440">
        <f t="shared" si="45"/>
        <v>5865</v>
      </c>
      <c r="AI33" s="292">
        <f t="shared" si="45"/>
        <v>2056</v>
      </c>
      <c r="AJ33" s="261">
        <f t="shared" si="45"/>
        <v>1717</v>
      </c>
      <c r="AK33" s="1438">
        <f t="shared" ref="AK33:AO33" si="46">AK32+AK13</f>
        <v>1561</v>
      </c>
      <c r="AL33" s="1439">
        <f t="shared" si="46"/>
        <v>1472</v>
      </c>
      <c r="AM33" s="1440">
        <f t="shared" si="46"/>
        <v>6806</v>
      </c>
      <c r="AN33" s="292">
        <f t="shared" si="46"/>
        <v>1279</v>
      </c>
      <c r="AO33" s="261">
        <f t="shared" si="46"/>
        <v>1725</v>
      </c>
      <c r="AP33" s="1438">
        <f t="shared" ref="AP33:AR33" si="47">AP32+AP13</f>
        <v>2577</v>
      </c>
      <c r="AQ33" s="1439">
        <f t="shared" si="47"/>
        <v>1856</v>
      </c>
      <c r="AR33" s="1440">
        <f t="shared" si="47"/>
        <v>7437</v>
      </c>
      <c r="AS33" s="292">
        <f t="shared" ref="AS33:BB33" si="48">AS32+AS13</f>
        <v>2465</v>
      </c>
      <c r="AT33" s="261">
        <f t="shared" si="48"/>
        <v>1343</v>
      </c>
      <c r="AU33" s="261">
        <f t="shared" si="48"/>
        <v>2707</v>
      </c>
      <c r="AV33" s="1439">
        <f t="shared" si="48"/>
        <v>2597</v>
      </c>
      <c r="AW33" s="1440">
        <f t="shared" si="48"/>
        <v>9112</v>
      </c>
      <c r="AX33" s="292">
        <f t="shared" si="48"/>
        <v>2313.4233152808179</v>
      </c>
      <c r="AY33" s="261">
        <f t="shared" si="48"/>
        <v>1961.6595675215428</v>
      </c>
      <c r="AZ33" s="261">
        <f t="shared" si="48"/>
        <v>2450.2161669952429</v>
      </c>
      <c r="BA33" s="293">
        <f t="shared" ca="1" si="48"/>
        <v>1903.0814778287313</v>
      </c>
      <c r="BB33" s="228">
        <f t="shared" ca="1" si="48"/>
        <v>8628.3805276263338</v>
      </c>
      <c r="BC33" s="292">
        <f t="shared" ref="BC33:BL33" si="49">BC32+BC13</f>
        <v>2511.4594914635259</v>
      </c>
      <c r="BD33" s="261">
        <f t="shared" si="49"/>
        <v>1921.3119040254726</v>
      </c>
      <c r="BE33" s="261">
        <f t="shared" si="49"/>
        <v>2397.4509159735298</v>
      </c>
      <c r="BF33" s="293">
        <f t="shared" ca="1" si="49"/>
        <v>1878.0981553741449</v>
      </c>
      <c r="BG33" s="228">
        <f t="shared" ca="1" si="49"/>
        <v>8708.3204668366743</v>
      </c>
      <c r="BH33" s="292">
        <f t="shared" si="49"/>
        <v>2459.6169573001198</v>
      </c>
      <c r="BI33" s="261">
        <f t="shared" si="49"/>
        <v>1900.8565976920559</v>
      </c>
      <c r="BJ33" s="261">
        <f t="shared" si="49"/>
        <v>2471.3412426190544</v>
      </c>
      <c r="BK33" s="293">
        <f t="shared" ca="1" si="49"/>
        <v>1994.3160067420001</v>
      </c>
      <c r="BL33" s="228">
        <f t="shared" ca="1" si="49"/>
        <v>8826.1308043532317</v>
      </c>
      <c r="BM33" s="292">
        <f t="shared" ref="BM33:BQ33" si="50">BM32+BM13</f>
        <v>2382.9788928576818</v>
      </c>
      <c r="BN33" s="261">
        <f t="shared" si="50"/>
        <v>2069.265593797385</v>
      </c>
      <c r="BO33" s="261">
        <f t="shared" si="50"/>
        <v>2599.6423751608245</v>
      </c>
      <c r="BP33" s="293">
        <f t="shared" ca="1" si="50"/>
        <v>2142.551534802104</v>
      </c>
      <c r="BQ33" s="228">
        <f t="shared" ca="1" si="50"/>
        <v>9194.4383966179957</v>
      </c>
      <c r="BT33" s="1052"/>
      <c r="BU33" s="1047"/>
      <c r="BV33" s="1047"/>
      <c r="BW33" s="1054"/>
      <c r="BX33" s="349"/>
      <c r="BY33" s="1057"/>
      <c r="BZ33" s="1047"/>
      <c r="CA33" s="1054"/>
      <c r="CC33" s="1051"/>
      <c r="CD33" s="1048"/>
      <c r="CE33" s="1055"/>
      <c r="CG33" s="1051"/>
      <c r="CH33" s="1048"/>
      <c r="CI33" s="1048"/>
      <c r="CJ33" s="1048"/>
      <c r="CK33" s="1051"/>
      <c r="CL33" s="1048"/>
      <c r="CM33" s="1048"/>
      <c r="CN33" s="1055"/>
      <c r="CO33" s="1055"/>
      <c r="CP33" s="1055"/>
      <c r="CQ33" s="1055"/>
      <c r="CR33" s="1055"/>
      <c r="CS33" s="1055"/>
      <c r="CT33" s="1055"/>
      <c r="CU33" s="1055"/>
      <c r="CV33" s="1055"/>
      <c r="CW33" s="1055"/>
      <c r="CX33" s="1055"/>
      <c r="CY33" s="1055"/>
      <c r="CZ33" s="1055"/>
      <c r="DA33" s="1055"/>
      <c r="DB33" s="1055"/>
      <c r="DC33" s="1055"/>
      <c r="DD33" s="1055"/>
      <c r="DE33" s="1055"/>
      <c r="DF33" s="1055"/>
      <c r="DG33" s="1055"/>
      <c r="DH33" s="1055"/>
      <c r="DI33" s="1055"/>
      <c r="DJ33" s="1055"/>
      <c r="DK33" s="1055"/>
      <c r="DL33" s="1055"/>
      <c r="DM33" s="1055"/>
      <c r="DN33" s="1055"/>
      <c r="DO33" s="1055"/>
      <c r="DP33" s="1055"/>
      <c r="DQ33" s="1055"/>
      <c r="DR33"/>
      <c r="DS33"/>
      <c r="DT33"/>
      <c r="DU33"/>
      <c r="DV33"/>
      <c r="DW33"/>
      <c r="DX33" s="37"/>
    </row>
    <row r="34" spans="3:128" s="28" customFormat="1">
      <c r="E34" s="290"/>
      <c r="F34" s="260"/>
      <c r="G34" s="260"/>
      <c r="H34" s="291"/>
      <c r="I34" s="932"/>
      <c r="J34" s="290"/>
      <c r="K34" s="260"/>
      <c r="L34" s="260"/>
      <c r="M34" s="291"/>
      <c r="N34" s="45"/>
      <c r="O34" s="290"/>
      <c r="P34" s="260"/>
      <c r="Q34" s="260"/>
      <c r="R34" s="291"/>
      <c r="S34" s="45"/>
      <c r="T34" s="290"/>
      <c r="U34" s="260"/>
      <c r="V34" s="260"/>
      <c r="W34" s="291"/>
      <c r="X34" s="45"/>
      <c r="Y34" s="595"/>
      <c r="Z34" s="260"/>
      <c r="AA34" s="1441"/>
      <c r="AB34" s="1442"/>
      <c r="AC34" s="1443"/>
      <c r="AD34" s="595"/>
      <c r="AE34" s="260"/>
      <c r="AF34" s="1441"/>
      <c r="AG34" s="1442"/>
      <c r="AH34" s="1443"/>
      <c r="AI34" s="595"/>
      <c r="AJ34" s="260"/>
      <c r="AK34" s="1441"/>
      <c r="AL34" s="1442"/>
      <c r="AM34" s="1443"/>
      <c r="AN34" s="595"/>
      <c r="AO34" s="260"/>
      <c r="AP34" s="1441"/>
      <c r="AQ34" s="1442"/>
      <c r="AR34" s="1443"/>
      <c r="AS34" s="595"/>
      <c r="AT34" s="260"/>
      <c r="AU34" s="460"/>
      <c r="AV34" s="1442"/>
      <c r="AW34" s="1443"/>
      <c r="AX34" s="595"/>
      <c r="AY34" s="460"/>
      <c r="AZ34" s="460"/>
      <c r="BA34" s="596"/>
      <c r="BB34" s="45"/>
      <c r="BC34" s="595"/>
      <c r="BD34" s="460"/>
      <c r="BE34" s="460"/>
      <c r="BF34" s="596"/>
      <c r="BG34" s="45"/>
      <c r="BH34" s="595"/>
      <c r="BI34" s="460"/>
      <c r="BJ34" s="460"/>
      <c r="BK34" s="596"/>
      <c r="BL34" s="45"/>
      <c r="BM34" s="595"/>
      <c r="BN34" s="460"/>
      <c r="BO34" s="460"/>
      <c r="BP34" s="596"/>
      <c r="BQ34" s="45"/>
      <c r="BT34" s="1049"/>
      <c r="BU34" s="1047"/>
      <c r="BV34" s="1047"/>
      <c r="BW34" s="1047"/>
      <c r="BX34" s="1047"/>
      <c r="BY34" s="1057"/>
      <c r="BZ34" s="1047"/>
      <c r="CA34" s="1047"/>
      <c r="CB34" s="1048"/>
      <c r="CC34" s="1051"/>
      <c r="CD34" s="1048"/>
      <c r="CE34" s="1048"/>
      <c r="CF34" s="1048"/>
      <c r="CG34" s="1051"/>
      <c r="CH34" s="1048"/>
      <c r="CI34" s="1048"/>
      <c r="CJ34" s="1048"/>
      <c r="CK34" s="1051"/>
      <c r="CL34" s="1048"/>
      <c r="CM34" s="1048"/>
      <c r="CN34" s="1048"/>
      <c r="CO34" s="1048"/>
      <c r="CP34" s="1048"/>
      <c r="CQ34" s="1048"/>
      <c r="CR34" s="1048"/>
      <c r="CS34" s="1048"/>
      <c r="CT34" s="1048"/>
      <c r="CU34" s="1048"/>
      <c r="CV34" s="1048"/>
      <c r="CW34" s="1048"/>
      <c r="CX34" s="1048"/>
      <c r="CY34" s="1048"/>
      <c r="CZ34" s="1048"/>
      <c r="DA34" s="1048"/>
      <c r="DB34" s="1048"/>
      <c r="DC34" s="1048"/>
      <c r="DD34" s="1048"/>
      <c r="DE34" s="1048"/>
      <c r="DF34" s="1048"/>
      <c r="DG34" s="1048"/>
      <c r="DH34" s="1048"/>
      <c r="DI34" s="1048"/>
      <c r="DJ34" s="1048"/>
      <c r="DK34" s="1048"/>
      <c r="DL34" s="1048"/>
      <c r="DM34" s="1048"/>
      <c r="DN34" s="1048"/>
      <c r="DO34" s="1048"/>
      <c r="DP34" s="1048"/>
      <c r="DQ34" s="1048"/>
      <c r="DR34"/>
      <c r="DS34"/>
      <c r="DT34"/>
      <c r="DU34"/>
      <c r="DV34"/>
      <c r="DW34"/>
      <c r="DX34" s="37"/>
    </row>
    <row r="35" spans="3:128" s="28" customFormat="1">
      <c r="C35" s="28" t="s">
        <v>318</v>
      </c>
      <c r="E35" s="335">
        <f>163+24</f>
        <v>187</v>
      </c>
      <c r="F35" s="336">
        <f>159+21</f>
        <v>180</v>
      </c>
      <c r="G35" s="336">
        <f>170+18</f>
        <v>188</v>
      </c>
      <c r="H35" s="291">
        <f>I35-SUM(E35:G35)</f>
        <v>176</v>
      </c>
      <c r="I35" s="931">
        <f>654+77</f>
        <v>731</v>
      </c>
      <c r="J35" s="335">
        <f>177+6</f>
        <v>183</v>
      </c>
      <c r="K35" s="336">
        <f>269+6</f>
        <v>275</v>
      </c>
      <c r="L35" s="336">
        <f>169+6</f>
        <v>175</v>
      </c>
      <c r="M35" s="291">
        <f>N35-SUM(J35:L35)</f>
        <v>184</v>
      </c>
      <c r="N35" s="427">
        <f>792+25</f>
        <v>817</v>
      </c>
      <c r="O35" s="335">
        <f>175+6</f>
        <v>181</v>
      </c>
      <c r="P35" s="336">
        <f>176+6</f>
        <v>182</v>
      </c>
      <c r="Q35" s="336">
        <f>176+6</f>
        <v>182</v>
      </c>
      <c r="R35" s="291">
        <f>S35-SUM(O35:Q35)</f>
        <v>181</v>
      </c>
      <c r="S35" s="427">
        <f>701+25</f>
        <v>726</v>
      </c>
      <c r="T35" s="335">
        <f>189+6</f>
        <v>195</v>
      </c>
      <c r="U35" s="336">
        <f>250+6</f>
        <v>256</v>
      </c>
      <c r="V35" s="336">
        <f>240+6</f>
        <v>246</v>
      </c>
      <c r="W35" s="291">
        <f>X35-SUM(T35:V35)</f>
        <v>231</v>
      </c>
      <c r="X35" s="427">
        <f>903+25</f>
        <v>928</v>
      </c>
      <c r="Y35" s="335">
        <f>617+6</f>
        <v>623</v>
      </c>
      <c r="Z35" s="336">
        <f>246+6</f>
        <v>252</v>
      </c>
      <c r="AA35" s="1435">
        <f>228+6</f>
        <v>234</v>
      </c>
      <c r="AB35" s="1442">
        <f>AC35-SUM(Y35:AA35)</f>
        <v>247</v>
      </c>
      <c r="AC35" s="1437">
        <f>1315+41</f>
        <v>1356</v>
      </c>
      <c r="AD35" s="335">
        <f>217+10</f>
        <v>227</v>
      </c>
      <c r="AE35" s="336">
        <f>228+10</f>
        <v>238</v>
      </c>
      <c r="AF35" s="1435">
        <f>247+11</f>
        <v>258</v>
      </c>
      <c r="AG35" s="1442">
        <f>AH35-SUM(AD35:AF35)</f>
        <v>342</v>
      </c>
      <c r="AH35" s="1437">
        <f>1024+41</f>
        <v>1065</v>
      </c>
      <c r="AI35" s="335">
        <f>335+10</f>
        <v>345</v>
      </c>
      <c r="AJ35" s="336">
        <f>145+10</f>
        <v>155</v>
      </c>
      <c r="AK35" s="1435">
        <f>243+10</f>
        <v>253</v>
      </c>
      <c r="AL35" s="1442">
        <f>AM35-SUM(AI35:AK35)</f>
        <v>280</v>
      </c>
      <c r="AM35" s="1437">
        <f>992+41</f>
        <v>1033</v>
      </c>
      <c r="AN35" s="335">
        <f>277+10</f>
        <v>287</v>
      </c>
      <c r="AO35" s="336">
        <f>366+10</f>
        <v>376</v>
      </c>
      <c r="AP35" s="336">
        <f>506+10</f>
        <v>516</v>
      </c>
      <c r="AQ35" s="1442">
        <f>AR35-SUM(AN35:AP35)</f>
        <v>357</v>
      </c>
      <c r="AR35" s="1437">
        <f>1495+41</f>
        <v>1536</v>
      </c>
      <c r="AS35" s="335">
        <f>363+10</f>
        <v>373</v>
      </c>
      <c r="AT35" s="336">
        <f>426+10</f>
        <v>436</v>
      </c>
      <c r="AU35" s="336">
        <f>377+9</f>
        <v>386</v>
      </c>
      <c r="AV35" s="1442">
        <f>AW35-SUM(AS35:AU35)</f>
        <v>365</v>
      </c>
      <c r="AW35" s="1437">
        <f>1524+36</f>
        <v>1560</v>
      </c>
      <c r="AX35" s="290">
        <f>AS35+AX109</f>
        <v>346.89961942434212</v>
      </c>
      <c r="AY35" s="260">
        <f>AT35+AY109</f>
        <v>408.77347348543202</v>
      </c>
      <c r="AZ35" s="260">
        <f ca="1">AU35+AZ109</f>
        <v>406.27339004978467</v>
      </c>
      <c r="BA35" s="291">
        <f ca="1">AV35+BA109</f>
        <v>379.38402244473809</v>
      </c>
      <c r="BB35" s="45">
        <f ca="1">SUM(AX35:BA35)</f>
        <v>1541.3305054042969</v>
      </c>
      <c r="BC35" s="290">
        <f ca="1">AX35+BC109</f>
        <v>362.66828033223692</v>
      </c>
      <c r="BD35" s="260">
        <f ca="1">AY35+BD109</f>
        <v>432.43065767395848</v>
      </c>
      <c r="BE35" s="260">
        <f ca="1">AZ35+BE109</f>
        <v>423.44726457717076</v>
      </c>
      <c r="BF35" s="291">
        <f ca="1">BA35+BF109</f>
        <v>384.15796686127561</v>
      </c>
      <c r="BG35" s="45">
        <f ca="1">SUM(BC35:BF35)</f>
        <v>1602.7041694446416</v>
      </c>
      <c r="BH35" s="290">
        <f ca="1">BC35+BH109</f>
        <v>363.18508744136136</v>
      </c>
      <c r="BI35" s="260">
        <f ca="1">BD35+BI109</f>
        <v>432.88895996554749</v>
      </c>
      <c r="BJ35" s="260">
        <f ca="1">BE35+BJ109</f>
        <v>449.8970230359447</v>
      </c>
      <c r="BK35" s="291">
        <f ca="1">BF35+BK109</f>
        <v>394.33436430643923</v>
      </c>
      <c r="BL35" s="45">
        <f ca="1">SUM(BH35:BK35)</f>
        <v>1640.3054347492928</v>
      </c>
      <c r="BM35" s="290">
        <f ca="1">BH35+BM109</f>
        <v>371.91483334472775</v>
      </c>
      <c r="BN35" s="260">
        <f ca="1">BI35+BN109</f>
        <v>435.10181957114764</v>
      </c>
      <c r="BO35" s="260">
        <f ca="1">BJ35+BO109</f>
        <v>475.53317068960467</v>
      </c>
      <c r="BP35" s="291">
        <f ca="1">BK35+BP109</f>
        <v>407.25047336088932</v>
      </c>
      <c r="BQ35" s="45">
        <f ca="1">SUM(BM35:BP35)</f>
        <v>1689.8002969663694</v>
      </c>
      <c r="BT35" s="1052"/>
      <c r="BU35" s="1047"/>
      <c r="BV35" s="1048"/>
      <c r="BW35" s="1056"/>
      <c r="BY35" s="1051"/>
      <c r="BZ35" s="1048"/>
      <c r="CA35" s="1056"/>
      <c r="CC35" s="1051"/>
      <c r="CD35" s="1048"/>
      <c r="CE35" s="1056"/>
      <c r="CG35" s="1051"/>
      <c r="CH35" s="1048"/>
      <c r="CI35" s="1056"/>
      <c r="CK35" s="1051"/>
      <c r="CL35" s="1048"/>
      <c r="CM35" s="1048"/>
      <c r="CN35" s="1056"/>
      <c r="CO35" s="1056"/>
      <c r="CP35" s="1056"/>
      <c r="CQ35" s="1056"/>
      <c r="CR35" s="1056"/>
      <c r="CS35" s="1056"/>
      <c r="CT35" s="1056"/>
      <c r="CU35" s="1056"/>
      <c r="CV35" s="1056"/>
      <c r="CW35" s="1056"/>
      <c r="CX35" s="1056"/>
      <c r="CY35" s="1056"/>
      <c r="CZ35" s="1056"/>
      <c r="DA35" s="1056"/>
      <c r="DB35" s="1056"/>
      <c r="DC35" s="1056"/>
      <c r="DD35" s="1056"/>
      <c r="DE35" s="1056"/>
      <c r="DF35" s="1056"/>
      <c r="DG35" s="1056"/>
      <c r="DH35" s="1056"/>
      <c r="DI35" s="1056"/>
      <c r="DJ35" s="1056"/>
      <c r="DK35" s="1056"/>
      <c r="DL35" s="1056"/>
      <c r="DM35" s="1056"/>
      <c r="DN35" s="1056"/>
      <c r="DO35" s="1056"/>
      <c r="DP35" s="1056"/>
      <c r="DQ35" s="1056"/>
      <c r="DR35"/>
      <c r="DS35"/>
      <c r="DT35"/>
      <c r="DU35"/>
      <c r="DV35"/>
      <c r="DW35"/>
      <c r="DX35" s="37"/>
    </row>
    <row r="36" spans="3:128" s="28" customFormat="1">
      <c r="C36" s="32"/>
      <c r="E36" s="290"/>
      <c r="F36" s="260"/>
      <c r="G36" s="260"/>
      <c r="H36" s="291"/>
      <c r="I36" s="932"/>
      <c r="J36" s="290"/>
      <c r="K36" s="260"/>
      <c r="L36" s="260"/>
      <c r="M36" s="291"/>
      <c r="N36" s="45"/>
      <c r="O36" s="290"/>
      <c r="P36" s="260"/>
      <c r="Q36" s="260"/>
      <c r="R36" s="291"/>
      <c r="S36" s="45"/>
      <c r="T36" s="290"/>
      <c r="U36" s="260"/>
      <c r="V36" s="260"/>
      <c r="W36" s="291"/>
      <c r="X36" s="45"/>
      <c r="Y36" s="290"/>
      <c r="Z36" s="260"/>
      <c r="AA36" s="1441"/>
      <c r="AB36" s="1442"/>
      <c r="AC36" s="1443"/>
      <c r="AD36" s="290"/>
      <c r="AE36" s="260"/>
      <c r="AF36" s="1441"/>
      <c r="AG36" s="1442"/>
      <c r="AH36" s="1443"/>
      <c r="AI36" s="290"/>
      <c r="AJ36" s="260"/>
      <c r="AK36" s="1441"/>
      <c r="AL36" s="1442"/>
      <c r="AM36" s="1443"/>
      <c r="AN36" s="290"/>
      <c r="AO36" s="260"/>
      <c r="AP36" s="1441"/>
      <c r="AQ36" s="1442"/>
      <c r="AR36" s="1443"/>
      <c r="AS36" s="290"/>
      <c r="AT36" s="260"/>
      <c r="AU36" s="260"/>
      <c r="AV36" s="1442"/>
      <c r="AW36" s="1443"/>
      <c r="AX36" s="290"/>
      <c r="AY36" s="260"/>
      <c r="AZ36" s="260"/>
      <c r="BA36" s="291"/>
      <c r="BB36" s="45">
        <f ca="1">ExGen!BB28+ComEd!BB28+PECO!BB31+BGE!BB29+Pepco!AW28+DPL!AW34+ACE!AW28</f>
        <v>3988.3910176975942</v>
      </c>
      <c r="BC36" s="290"/>
      <c r="BD36" s="260"/>
      <c r="BE36" s="260"/>
      <c r="BF36" s="291"/>
      <c r="BG36" s="45"/>
      <c r="BH36" s="290"/>
      <c r="BI36" s="260"/>
      <c r="BJ36" s="260"/>
      <c r="BK36" s="291"/>
      <c r="BL36" s="45"/>
      <c r="BM36" s="290"/>
      <c r="BN36" s="260"/>
      <c r="BO36" s="260"/>
      <c r="BP36" s="291"/>
      <c r="BQ36" s="45"/>
      <c r="BT36" s="1058"/>
      <c r="BV36" s="1048"/>
      <c r="BW36" s="1056"/>
      <c r="BY36" s="1051"/>
      <c r="BZ36" s="1048"/>
      <c r="CA36" s="1056"/>
      <c r="CC36" s="1051"/>
      <c r="CD36" s="1048"/>
      <c r="CE36" s="1056"/>
      <c r="CG36" s="1051"/>
      <c r="CH36" s="1048"/>
      <c r="CI36" s="1048"/>
      <c r="CJ36" s="1048"/>
      <c r="CK36" s="1051"/>
      <c r="CL36" s="1048"/>
      <c r="CM36" s="1048"/>
      <c r="CN36" s="1056"/>
      <c r="CO36" s="1056"/>
      <c r="CP36" s="1056"/>
      <c r="CQ36" s="1056"/>
      <c r="CR36" s="1056"/>
      <c r="CS36" s="1056"/>
      <c r="CT36" s="1056"/>
      <c r="CU36" s="1056"/>
      <c r="CV36" s="1056"/>
      <c r="CW36" s="1056"/>
      <c r="CX36" s="1056"/>
      <c r="CY36" s="1056"/>
      <c r="CZ36" s="1056"/>
      <c r="DA36" s="1056"/>
      <c r="DB36" s="1056"/>
      <c r="DC36" s="1056"/>
      <c r="DD36" s="1056"/>
      <c r="DE36" s="1056"/>
      <c r="DF36" s="1056"/>
      <c r="DG36" s="1056"/>
      <c r="DH36" s="1056"/>
      <c r="DI36" s="1056"/>
      <c r="DJ36" s="1056"/>
      <c r="DK36" s="1056"/>
      <c r="DL36" s="1056"/>
      <c r="DM36" s="1056"/>
      <c r="DN36" s="1056"/>
      <c r="DO36" s="1056"/>
      <c r="DP36" s="1056"/>
      <c r="DQ36" s="1056"/>
      <c r="DR36"/>
      <c r="DS36"/>
      <c r="DT36"/>
      <c r="DU36"/>
      <c r="DV36"/>
      <c r="DW36"/>
      <c r="DX36" s="37"/>
    </row>
    <row r="37" spans="3:128" s="28" customFormat="1">
      <c r="C37" s="32" t="s">
        <v>576</v>
      </c>
      <c r="E37" s="292">
        <f t="shared" ref="E37:AE37" si="51">E32-E35</f>
        <v>1023</v>
      </c>
      <c r="F37" s="261">
        <f t="shared" si="51"/>
        <v>1087</v>
      </c>
      <c r="G37" s="261">
        <f t="shared" si="51"/>
        <v>1355</v>
      </c>
      <c r="H37" s="293">
        <f t="shared" si="51"/>
        <v>954</v>
      </c>
      <c r="I37" s="933">
        <f t="shared" si="51"/>
        <v>4419</v>
      </c>
      <c r="J37" s="292">
        <f t="shared" si="51"/>
        <v>1312</v>
      </c>
      <c r="K37" s="261">
        <f t="shared" si="51"/>
        <v>621</v>
      </c>
      <c r="L37" s="261">
        <f t="shared" si="51"/>
        <v>1397</v>
      </c>
      <c r="M37" s="293">
        <f t="shared" si="51"/>
        <v>891</v>
      </c>
      <c r="N37" s="228">
        <f t="shared" si="51"/>
        <v>4221</v>
      </c>
      <c r="O37" s="292">
        <f t="shared" si="51"/>
        <v>1115</v>
      </c>
      <c r="P37" s="261">
        <f t="shared" si="51"/>
        <v>952</v>
      </c>
      <c r="Q37" s="261">
        <f t="shared" si="51"/>
        <v>856</v>
      </c>
      <c r="R37" s="293">
        <f t="shared" si="51"/>
        <v>1029</v>
      </c>
      <c r="S37" s="228">
        <f t="shared" si="51"/>
        <v>3952</v>
      </c>
      <c r="T37" s="292">
        <f t="shared" si="51"/>
        <v>358</v>
      </c>
      <c r="U37" s="261">
        <f t="shared" si="51"/>
        <v>415</v>
      </c>
      <c r="V37" s="261">
        <f t="shared" si="51"/>
        <v>458</v>
      </c>
      <c r="W37" s="293">
        <f t="shared" si="51"/>
        <v>567</v>
      </c>
      <c r="X37" s="228">
        <f t="shared" si="51"/>
        <v>1798</v>
      </c>
      <c r="Y37" s="292">
        <f t="shared" si="51"/>
        <v>57</v>
      </c>
      <c r="Z37" s="261">
        <f t="shared" si="51"/>
        <v>736</v>
      </c>
      <c r="AA37" s="1438">
        <f t="shared" si="51"/>
        <v>1175</v>
      </c>
      <c r="AB37" s="1439">
        <f t="shared" si="51"/>
        <v>805</v>
      </c>
      <c r="AC37" s="1440">
        <f t="shared" si="51"/>
        <v>2773</v>
      </c>
      <c r="AD37" s="292">
        <f t="shared" si="51"/>
        <v>39</v>
      </c>
      <c r="AE37" s="261">
        <f t="shared" si="51"/>
        <v>834</v>
      </c>
      <c r="AF37" s="1438">
        <f t="shared" ref="AF37:AJ37" si="52">AF32-AF35</f>
        <v>1496</v>
      </c>
      <c r="AG37" s="1439">
        <f t="shared" si="52"/>
        <v>117</v>
      </c>
      <c r="AH37" s="1440">
        <f t="shared" si="52"/>
        <v>2486</v>
      </c>
      <c r="AI37" s="292">
        <f t="shared" si="52"/>
        <v>1101</v>
      </c>
      <c r="AJ37" s="261">
        <f t="shared" si="52"/>
        <v>960</v>
      </c>
      <c r="AK37" s="1438">
        <f t="shared" ref="AK37:AO37" si="53">AK32-AK35</f>
        <v>702</v>
      </c>
      <c r="AL37" s="1439">
        <f t="shared" si="53"/>
        <v>560</v>
      </c>
      <c r="AM37" s="1440">
        <f t="shared" si="53"/>
        <v>3323</v>
      </c>
      <c r="AN37" s="292">
        <f t="shared" si="53"/>
        <v>307</v>
      </c>
      <c r="AO37" s="261">
        <f t="shared" si="53"/>
        <v>408</v>
      </c>
      <c r="AP37" s="1438">
        <f t="shared" ref="AP37:AT37" si="54">AP32-AP35</f>
        <v>866</v>
      </c>
      <c r="AQ37" s="1439">
        <f t="shared" si="54"/>
        <v>384</v>
      </c>
      <c r="AR37" s="1440">
        <f t="shared" si="54"/>
        <v>1965</v>
      </c>
      <c r="AS37" s="292">
        <f t="shared" si="54"/>
        <v>1196</v>
      </c>
      <c r="AT37" s="261">
        <f t="shared" si="54"/>
        <v>-8</v>
      </c>
      <c r="AU37" s="261">
        <f t="shared" ref="AU37:BB37" si="55">AU32-AU35</f>
        <v>1319</v>
      </c>
      <c r="AV37" s="1439">
        <f t="shared" si="55"/>
        <v>1217</v>
      </c>
      <c r="AW37" s="1440">
        <f t="shared" si="55"/>
        <v>3724</v>
      </c>
      <c r="AX37" s="292">
        <f t="shared" si="55"/>
        <v>1103.9511069840557</v>
      </c>
      <c r="AY37" s="261">
        <f t="shared" si="55"/>
        <v>695.70154413839691</v>
      </c>
      <c r="AZ37" s="261">
        <f t="shared" ca="1" si="55"/>
        <v>1182.6733039831033</v>
      </c>
      <c r="BA37" s="293">
        <f t="shared" ca="1" si="55"/>
        <v>634.4567592856157</v>
      </c>
      <c r="BB37" s="228">
        <f t="shared" ca="1" si="55"/>
        <v>3616.78271439117</v>
      </c>
      <c r="BC37" s="292">
        <f t="shared" ref="BC37:BL37" ca="1" si="56">BC32-BC35</f>
        <v>1244.2025417407349</v>
      </c>
      <c r="BD37" s="261">
        <f t="shared" ca="1" si="56"/>
        <v>587.75239874529143</v>
      </c>
      <c r="BE37" s="261">
        <f t="shared" ca="1" si="56"/>
        <v>1071.4492131975139</v>
      </c>
      <c r="BF37" s="293">
        <f t="shared" ca="1" si="56"/>
        <v>566.04047811546889</v>
      </c>
      <c r="BG37" s="228">
        <f t="shared" ca="1" si="56"/>
        <v>3469.4446317990096</v>
      </c>
      <c r="BH37" s="292">
        <f t="shared" ca="1" si="56"/>
        <v>1158.7663117195016</v>
      </c>
      <c r="BI37" s="261">
        <f t="shared" ca="1" si="56"/>
        <v>537.69691834510877</v>
      </c>
      <c r="BJ37" s="261">
        <f t="shared" ca="1" si="56"/>
        <v>1089.5035146149294</v>
      </c>
      <c r="BK37" s="293">
        <f t="shared" ca="1" si="56"/>
        <v>642.45637768598772</v>
      </c>
      <c r="BL37" s="228">
        <f t="shared" ca="1" si="56"/>
        <v>3428.4231223655288</v>
      </c>
      <c r="BM37" s="292">
        <f t="shared" ref="BM37:BQ37" ca="1" si="57">BM32-BM35</f>
        <v>1049.038678758197</v>
      </c>
      <c r="BN37" s="261">
        <f t="shared" ca="1" si="57"/>
        <v>678.76217786145639</v>
      </c>
      <c r="BO37" s="261">
        <f t="shared" ca="1" si="57"/>
        <v>1167.4816825428179</v>
      </c>
      <c r="BP37" s="293">
        <f t="shared" ca="1" si="57"/>
        <v>753.52951605185694</v>
      </c>
      <c r="BQ37" s="228">
        <f t="shared" ca="1" si="57"/>
        <v>3648.8120552143282</v>
      </c>
      <c r="BT37" s="45"/>
      <c r="DR37"/>
      <c r="DS37"/>
      <c r="DT37"/>
      <c r="DU37"/>
      <c r="DV37"/>
      <c r="DW37"/>
      <c r="DX37" s="37"/>
    </row>
    <row r="38" spans="3:128" s="28" customFormat="1">
      <c r="C38" s="32"/>
      <c r="E38" s="290"/>
      <c r="F38" s="260"/>
      <c r="G38" s="260"/>
      <c r="H38" s="291"/>
      <c r="I38" s="932"/>
      <c r="J38" s="290"/>
      <c r="K38" s="260"/>
      <c r="L38" s="260"/>
      <c r="M38" s="291"/>
      <c r="N38" s="45"/>
      <c r="O38" s="290"/>
      <c r="P38" s="260"/>
      <c r="Q38" s="260"/>
      <c r="R38" s="291"/>
      <c r="S38" s="45"/>
      <c r="T38" s="290"/>
      <c r="U38" s="260"/>
      <c r="V38" s="260"/>
      <c r="W38" s="291"/>
      <c r="X38" s="45"/>
      <c r="Y38" s="290"/>
      <c r="Z38" s="260"/>
      <c r="AA38" s="1441"/>
      <c r="AB38" s="1442"/>
      <c r="AC38" s="1443"/>
      <c r="AD38" s="290"/>
      <c r="AE38" s="260"/>
      <c r="AF38" s="1441"/>
      <c r="AG38" s="1442"/>
      <c r="AH38" s="1443"/>
      <c r="AI38" s="290"/>
      <c r="AJ38" s="260"/>
      <c r="AK38" s="1441"/>
      <c r="AL38" s="1442"/>
      <c r="AM38" s="1443"/>
      <c r="AN38" s="290"/>
      <c r="AO38" s="260"/>
      <c r="AP38" s="1441"/>
      <c r="AQ38" s="1442"/>
      <c r="AR38" s="1443"/>
      <c r="AS38" s="290"/>
      <c r="AT38" s="260"/>
      <c r="AU38" s="260"/>
      <c r="AV38" s="1442"/>
      <c r="AW38" s="1443"/>
      <c r="AX38" s="290"/>
      <c r="AY38" s="260"/>
      <c r="AZ38" s="260"/>
      <c r="BA38" s="291"/>
      <c r="BB38" s="45"/>
      <c r="BC38" s="290"/>
      <c r="BD38" s="260"/>
      <c r="BE38" s="260"/>
      <c r="BF38" s="291"/>
      <c r="BG38" s="45"/>
      <c r="BH38" s="290"/>
      <c r="BI38" s="260"/>
      <c r="BJ38" s="260"/>
      <c r="BK38" s="291"/>
      <c r="BL38" s="45"/>
      <c r="BM38" s="290"/>
      <c r="BN38" s="260"/>
      <c r="BO38" s="260"/>
      <c r="BP38" s="291"/>
      <c r="BQ38" s="45"/>
      <c r="BT38" s="45"/>
      <c r="DR38"/>
      <c r="DS38"/>
      <c r="DT38"/>
      <c r="DU38"/>
      <c r="DV38"/>
      <c r="DW38"/>
      <c r="DX38" s="37"/>
    </row>
    <row r="39" spans="3:128" s="28" customFormat="1">
      <c r="C39" s="28" t="s">
        <v>320</v>
      </c>
      <c r="E39" s="335">
        <v>311</v>
      </c>
      <c r="F39" s="336">
        <v>430</v>
      </c>
      <c r="G39" s="336">
        <v>598</v>
      </c>
      <c r="H39" s="291">
        <f>I39-SUM(E39:G39)</f>
        <v>373</v>
      </c>
      <c r="I39" s="931">
        <v>1712</v>
      </c>
      <c r="J39" s="335">
        <v>563</v>
      </c>
      <c r="K39" s="336">
        <v>176</v>
      </c>
      <c r="L39" s="336">
        <v>552</v>
      </c>
      <c r="M39" s="291">
        <f>N39-SUM(J39:L39)</f>
        <v>367</v>
      </c>
      <c r="N39" s="427">
        <v>1658</v>
      </c>
      <c r="O39" s="335">
        <f>446</f>
        <v>446</v>
      </c>
      <c r="P39" s="336">
        <v>332</v>
      </c>
      <c r="Q39" s="336">
        <v>255</v>
      </c>
      <c r="R39" s="291">
        <f>S39-SUM(O39:Q39)</f>
        <v>424</v>
      </c>
      <c r="S39" s="427">
        <v>1457</v>
      </c>
      <c r="T39" s="335">
        <v>158</v>
      </c>
      <c r="U39" s="336">
        <v>126</v>
      </c>
      <c r="V39" s="336">
        <v>161</v>
      </c>
      <c r="W39" s="291">
        <f>X39-SUM(T39:V39)</f>
        <v>182</v>
      </c>
      <c r="X39" s="427">
        <v>627</v>
      </c>
      <c r="Y39" s="335">
        <v>56</v>
      </c>
      <c r="Z39" s="336">
        <v>239</v>
      </c>
      <c r="AA39" s="1435">
        <v>439</v>
      </c>
      <c r="AB39" s="1442">
        <f>AC39-SUM(Y39:AA39)</f>
        <v>310</v>
      </c>
      <c r="AC39" s="1437">
        <v>1044</v>
      </c>
      <c r="AD39" s="335">
        <v>-54</v>
      </c>
      <c r="AE39" s="336">
        <v>277</v>
      </c>
      <c r="AF39" s="1435">
        <v>422</v>
      </c>
      <c r="AG39" s="1442">
        <f>AH39-SUM(AD39:AF39)</f>
        <v>21</v>
      </c>
      <c r="AH39" s="1437">
        <v>666</v>
      </c>
      <c r="AI39" s="335">
        <v>363</v>
      </c>
      <c r="AJ39" s="336">
        <v>327</v>
      </c>
      <c r="AK39" s="1435">
        <v>115</v>
      </c>
      <c r="AL39" s="1442">
        <f>AM39-SUM(AI39:AK39)</f>
        <v>268</v>
      </c>
      <c r="AM39" s="1437">
        <v>1073</v>
      </c>
      <c r="AN39" s="335">
        <v>184</v>
      </c>
      <c r="AO39" s="336">
        <v>102</v>
      </c>
      <c r="AP39" s="1435">
        <v>340</v>
      </c>
      <c r="AQ39" s="1442">
        <f>AR39-SUM(AN39:AP39)</f>
        <v>135</v>
      </c>
      <c r="AR39" s="1437">
        <v>761</v>
      </c>
      <c r="AS39" s="335">
        <v>215</v>
      </c>
      <c r="AT39" s="336">
        <v>-72</v>
      </c>
      <c r="AU39" s="336">
        <v>452</v>
      </c>
      <c r="AV39" s="1442">
        <f>AW39-SUM(AS39:AU39)</f>
        <v>-720</v>
      </c>
      <c r="AW39" s="1437">
        <v>-125</v>
      </c>
      <c r="AX39" s="290">
        <f>(AX37-AX117-AX118-ExGen!AX28)*AX114+ExGen!AX30</f>
        <v>206.5920790731939</v>
      </c>
      <c r="AY39" s="260">
        <f ca="1">(AY37-AY117-AY118-ExGen!AY28)*AY114+ExGen!AY30</f>
        <v>122.04939650054931</v>
      </c>
      <c r="AZ39" s="260">
        <f ca="1">(AZ37-AZ117-AZ118-ExGen!AZ28)*AZ114+ExGen!AZ30</f>
        <v>225.26137403694455</v>
      </c>
      <c r="BA39" s="291">
        <f ca="1">(BA37-BA117-BA118-ExGen!BA28)*BA114+ExGen!BA30</f>
        <v>107.42111322757688</v>
      </c>
      <c r="BB39" s="45">
        <f ca="1">SUM(AX39:BA39)</f>
        <v>661.32396283826461</v>
      </c>
      <c r="BC39" s="290">
        <f ca="1">(BC37-BC117-BC118-ExGen!BC28)*BC114+ExGen!BC30</f>
        <v>273.45573997724307</v>
      </c>
      <c r="BD39" s="260">
        <f ca="1">(BD37-BD117-BD118-ExGen!BD28)*BD114+ExGen!BD30</f>
        <v>96.69652850735919</v>
      </c>
      <c r="BE39" s="260">
        <f ca="1">(BE37-BE117-BE118-ExGen!BE28)*BE114+ExGen!BE30</f>
        <v>211.25871363750178</v>
      </c>
      <c r="BF39" s="291">
        <f ca="1">(BF37-BF117-BF118-ExGen!BF28)*BF114+ExGen!BF30</f>
        <v>80.80710038649184</v>
      </c>
      <c r="BG39" s="45">
        <f ca="1">SUM(BC39:BF39)</f>
        <v>662.2180825085959</v>
      </c>
      <c r="BH39" s="290">
        <f ca="1">(BH37-BH117-BH118-ExGen!BH28)*BH114+ExGen!BH30</f>
        <v>260.69801745172225</v>
      </c>
      <c r="BI39" s="260">
        <f ca="1">(BI37-BI117-BI118-ExGen!BI28)*BI114+ExGen!BI30</f>
        <v>80.448135761460094</v>
      </c>
      <c r="BJ39" s="260">
        <f ca="1">(BJ37-BJ117-BJ118-ExGen!BJ28)*BJ114+ExGen!BJ30</f>
        <v>235.95538340162875</v>
      </c>
      <c r="BK39" s="291">
        <f ca="1">(BK37-BK117-BK118-ExGen!BK28)*BK114+ExGen!BK30</f>
        <v>112.45333062399691</v>
      </c>
      <c r="BL39" s="45">
        <f ca="1">SUM(BH39:BK39)</f>
        <v>689.5548672388079</v>
      </c>
      <c r="BM39" s="290">
        <f ca="1">(BM37-BM117-BM118-ExGen!BM28)*BM114+ExGen!BM30</f>
        <v>213.80677793770937</v>
      </c>
      <c r="BN39" s="260">
        <f ca="1">(BN37-BN117-BN118-ExGen!BN28)*BN114+ExGen!BN30</f>
        <v>119.89231775138525</v>
      </c>
      <c r="BO39" s="260">
        <f ca="1">(BO37-BO117-BO118-ExGen!BO28)*BO114+ExGen!BO30</f>
        <v>249.38982006117274</v>
      </c>
      <c r="BP39" s="291">
        <f ca="1">(BP37-BP117-BP118-ExGen!BP28)*BP114+ExGen!BP30</f>
        <v>140.75876823243289</v>
      </c>
      <c r="BQ39" s="45">
        <f ca="1">SUM(BM39:BP39)</f>
        <v>723.84768398270023</v>
      </c>
      <c r="BT39" s="45"/>
      <c r="DR39"/>
      <c r="DS39"/>
      <c r="DT39"/>
      <c r="DU39"/>
      <c r="DV39"/>
      <c r="DW39"/>
      <c r="DX39" s="37"/>
    </row>
    <row r="40" spans="3:128" s="28" customFormat="1">
      <c r="E40" s="335"/>
      <c r="F40" s="336"/>
      <c r="G40" s="336"/>
      <c r="H40" s="291"/>
      <c r="I40" s="931"/>
      <c r="J40" s="335"/>
      <c r="K40" s="336"/>
      <c r="L40" s="336"/>
      <c r="M40" s="291"/>
      <c r="N40" s="427"/>
      <c r="O40" s="335"/>
      <c r="P40" s="336"/>
      <c r="Q40" s="336"/>
      <c r="R40" s="291"/>
      <c r="S40" s="427"/>
      <c r="T40" s="335"/>
      <c r="U40" s="336"/>
      <c r="V40" s="336"/>
      <c r="W40" s="291"/>
      <c r="X40" s="427"/>
      <c r="Y40" s="335"/>
      <c r="Z40" s="336"/>
      <c r="AA40" s="1435"/>
      <c r="AB40" s="1442"/>
      <c r="AC40" s="1437"/>
      <c r="AD40" s="335"/>
      <c r="AE40" s="336"/>
      <c r="AF40" s="1435"/>
      <c r="AG40" s="1442"/>
      <c r="AH40" s="1437"/>
      <c r="AI40" s="335"/>
      <c r="AJ40" s="336"/>
      <c r="AK40" s="1435"/>
      <c r="AL40" s="1442"/>
      <c r="AM40" s="1437"/>
      <c r="AN40" s="335"/>
      <c r="AO40" s="336"/>
      <c r="AP40" s="1435"/>
      <c r="AQ40" s="1442"/>
      <c r="AR40" s="1437"/>
      <c r="AS40" s="335"/>
      <c r="AT40" s="336"/>
      <c r="AU40" s="260"/>
      <c r="AV40" s="1442"/>
      <c r="AW40" s="1437"/>
      <c r="AX40" s="290"/>
      <c r="AY40" s="260"/>
      <c r="AZ40" s="260"/>
      <c r="BA40" s="291"/>
      <c r="BB40" s="45"/>
      <c r="BC40" s="290"/>
      <c r="BD40" s="260"/>
      <c r="BE40" s="260"/>
      <c r="BF40" s="291"/>
      <c r="BG40" s="45"/>
      <c r="BH40" s="290"/>
      <c r="BI40" s="260"/>
      <c r="BJ40" s="260"/>
      <c r="BK40" s="291"/>
      <c r="BL40" s="45"/>
      <c r="BM40" s="290"/>
      <c r="BN40" s="260"/>
      <c r="BO40" s="260"/>
      <c r="BP40" s="291"/>
      <c r="BQ40" s="45"/>
      <c r="BT40" s="45"/>
      <c r="DR40"/>
      <c r="DS40"/>
      <c r="DT40"/>
      <c r="DU40"/>
      <c r="DV40"/>
      <c r="DW40"/>
      <c r="DX40" s="37"/>
    </row>
    <row r="41" spans="3:128" s="32" customFormat="1">
      <c r="C41" s="808" t="s">
        <v>1309</v>
      </c>
      <c r="E41" s="292">
        <f>E37-E39</f>
        <v>712</v>
      </c>
      <c r="F41" s="261">
        <f t="shared" ref="F41:T41" si="58">F37-F39</f>
        <v>657</v>
      </c>
      <c r="G41" s="261">
        <f t="shared" si="58"/>
        <v>757</v>
      </c>
      <c r="H41" s="293">
        <f t="shared" si="58"/>
        <v>581</v>
      </c>
      <c r="I41" s="933">
        <f t="shared" si="58"/>
        <v>2707</v>
      </c>
      <c r="J41" s="292">
        <f t="shared" si="58"/>
        <v>749</v>
      </c>
      <c r="K41" s="261">
        <f t="shared" si="58"/>
        <v>445</v>
      </c>
      <c r="L41" s="261">
        <f t="shared" si="58"/>
        <v>845</v>
      </c>
      <c r="M41" s="293">
        <f t="shared" si="58"/>
        <v>524</v>
      </c>
      <c r="N41" s="228">
        <f t="shared" si="58"/>
        <v>2563</v>
      </c>
      <c r="O41" s="292">
        <f t="shared" si="58"/>
        <v>669</v>
      </c>
      <c r="P41" s="261">
        <f t="shared" si="58"/>
        <v>620</v>
      </c>
      <c r="Q41" s="261">
        <f t="shared" si="58"/>
        <v>601</v>
      </c>
      <c r="R41" s="293">
        <f t="shared" si="58"/>
        <v>605</v>
      </c>
      <c r="S41" s="228">
        <f t="shared" si="58"/>
        <v>2495</v>
      </c>
      <c r="T41" s="292">
        <f t="shared" si="58"/>
        <v>200</v>
      </c>
      <c r="U41" s="261">
        <f t="shared" ref="U41:Z41" si="59">U37-U39</f>
        <v>289</v>
      </c>
      <c r="V41" s="261">
        <f t="shared" si="59"/>
        <v>297</v>
      </c>
      <c r="W41" s="293">
        <f t="shared" si="59"/>
        <v>385</v>
      </c>
      <c r="X41" s="228">
        <f t="shared" si="59"/>
        <v>1171</v>
      </c>
      <c r="Y41" s="292">
        <f t="shared" si="59"/>
        <v>1</v>
      </c>
      <c r="Z41" s="261">
        <f t="shared" si="59"/>
        <v>497</v>
      </c>
      <c r="AA41" s="1438">
        <f>AA37-AA39</f>
        <v>736</v>
      </c>
      <c r="AB41" s="1439">
        <f>AB37-AB39</f>
        <v>495</v>
      </c>
      <c r="AC41" s="1440">
        <f>AC37-AC39</f>
        <v>1729</v>
      </c>
      <c r="AD41" s="292">
        <f>AD37-AD39</f>
        <v>93</v>
      </c>
      <c r="AE41" s="261">
        <f t="shared" ref="AE41" si="60">AE37-AE39</f>
        <v>557</v>
      </c>
      <c r="AF41" s="1438">
        <f>AF37-AF39</f>
        <v>1074</v>
      </c>
      <c r="AG41" s="1439">
        <f>AG37-AG39</f>
        <v>96</v>
      </c>
      <c r="AH41" s="1440">
        <f>AH37-AH39</f>
        <v>1820</v>
      </c>
      <c r="AI41" s="292">
        <f>AI37-AI39</f>
        <v>738</v>
      </c>
      <c r="AJ41" s="261">
        <f t="shared" ref="AJ41" si="61">AJ37-AJ39</f>
        <v>633</v>
      </c>
      <c r="AK41" s="1438">
        <f>AK37-AK39</f>
        <v>587</v>
      </c>
      <c r="AL41" s="1439">
        <f>AL37-AL39</f>
        <v>292</v>
      </c>
      <c r="AM41" s="1440">
        <f>AM37-AM39</f>
        <v>2250</v>
      </c>
      <c r="AN41" s="292">
        <f>AN37-AN39</f>
        <v>123</v>
      </c>
      <c r="AO41" s="261">
        <f t="shared" ref="AO41" si="62">AO37-AO39</f>
        <v>306</v>
      </c>
      <c r="AP41" s="1438">
        <f>AP37-AP39</f>
        <v>526</v>
      </c>
      <c r="AQ41" s="1439">
        <f>AQ37-AQ39</f>
        <v>249</v>
      </c>
      <c r="AR41" s="1440">
        <f>AR37-AR39</f>
        <v>1204</v>
      </c>
      <c r="AS41" s="292">
        <f>AS37-AS39</f>
        <v>981</v>
      </c>
      <c r="AT41" s="261">
        <f t="shared" ref="AT41" si="63">AT37-AT39</f>
        <v>64</v>
      </c>
      <c r="AU41" s="261">
        <f t="shared" ref="AU41:BB41" si="64">AU37-AU39</f>
        <v>867</v>
      </c>
      <c r="AV41" s="1439">
        <f>AV37-AV39</f>
        <v>1937</v>
      </c>
      <c r="AW41" s="1440">
        <f>AW37-AW39</f>
        <v>3849</v>
      </c>
      <c r="AX41" s="292">
        <f t="shared" si="64"/>
        <v>897.35902791086187</v>
      </c>
      <c r="AY41" s="261">
        <f t="shared" ca="1" si="64"/>
        <v>573.65214763784763</v>
      </c>
      <c r="AZ41" s="261">
        <f t="shared" ca="1" si="64"/>
        <v>957.41192994615881</v>
      </c>
      <c r="BA41" s="293">
        <f t="shared" ca="1" si="64"/>
        <v>527.03564605803876</v>
      </c>
      <c r="BB41" s="228">
        <f t="shared" ca="1" si="64"/>
        <v>2955.4587515529056</v>
      </c>
      <c r="BC41" s="292">
        <f t="shared" ref="BC41:BL41" ca="1" si="65">BC37-BC39</f>
        <v>970.74680176349182</v>
      </c>
      <c r="BD41" s="261">
        <f t="shared" ca="1" si="65"/>
        <v>491.05587023793225</v>
      </c>
      <c r="BE41" s="261">
        <f t="shared" ca="1" si="65"/>
        <v>860.19049956001209</v>
      </c>
      <c r="BF41" s="293">
        <f t="shared" ca="1" si="65"/>
        <v>485.23337772897708</v>
      </c>
      <c r="BG41" s="228">
        <f t="shared" ca="1" si="65"/>
        <v>2807.2265492904135</v>
      </c>
      <c r="BH41" s="292">
        <f t="shared" ca="1" si="65"/>
        <v>898.06829426777927</v>
      </c>
      <c r="BI41" s="261">
        <f t="shared" ca="1" si="65"/>
        <v>457.24878258364868</v>
      </c>
      <c r="BJ41" s="261">
        <f t="shared" ca="1" si="65"/>
        <v>853.54813121330062</v>
      </c>
      <c r="BK41" s="293">
        <f t="shared" ca="1" si="65"/>
        <v>530.00304706199086</v>
      </c>
      <c r="BL41" s="228">
        <f t="shared" ca="1" si="65"/>
        <v>2738.8682551267211</v>
      </c>
      <c r="BM41" s="292">
        <f t="shared" ref="BM41:BQ41" ca="1" si="66">BM37-BM39</f>
        <v>835.23190082048757</v>
      </c>
      <c r="BN41" s="261">
        <f t="shared" ca="1" si="66"/>
        <v>558.86986011007116</v>
      </c>
      <c r="BO41" s="261">
        <f t="shared" ca="1" si="66"/>
        <v>918.09186248164519</v>
      </c>
      <c r="BP41" s="293">
        <f t="shared" ca="1" si="66"/>
        <v>612.77074781942406</v>
      </c>
      <c r="BQ41" s="228">
        <f t="shared" ca="1" si="66"/>
        <v>2924.9643712316279</v>
      </c>
      <c r="BT41" s="228"/>
      <c r="DR41"/>
      <c r="DS41"/>
      <c r="DT41"/>
      <c r="DU41"/>
      <c r="DV41"/>
      <c r="DW41"/>
      <c r="DX41" s="37"/>
    </row>
    <row r="42" spans="3:128" s="28" customFormat="1">
      <c r="C42" s="28" t="s">
        <v>1294</v>
      </c>
      <c r="E42" s="335">
        <v>0</v>
      </c>
      <c r="F42" s="336">
        <v>0</v>
      </c>
      <c r="G42" s="336">
        <v>0</v>
      </c>
      <c r="H42" s="291">
        <f>I42-E42-F42-G42</f>
        <v>0</v>
      </c>
      <c r="I42" s="931">
        <v>0</v>
      </c>
      <c r="J42" s="335">
        <v>0</v>
      </c>
      <c r="K42" s="336">
        <v>0</v>
      </c>
      <c r="L42" s="336">
        <v>0</v>
      </c>
      <c r="M42" s="291">
        <f>N42-J42-K42-L42</f>
        <v>0</v>
      </c>
      <c r="N42" s="427">
        <v>0</v>
      </c>
      <c r="O42" s="335">
        <v>1</v>
      </c>
      <c r="P42" s="336">
        <v>0</v>
      </c>
      <c r="Q42" s="336">
        <v>0</v>
      </c>
      <c r="R42" s="291">
        <f>S42-O42-P42-Q42</f>
        <v>-1</v>
      </c>
      <c r="S42" s="45">
        <v>0</v>
      </c>
      <c r="T42" s="335">
        <v>0</v>
      </c>
      <c r="U42" s="336">
        <v>3</v>
      </c>
      <c r="V42" s="336">
        <v>1</v>
      </c>
      <c r="W42" s="291">
        <f>X42-T42-U42-V42</f>
        <v>7</v>
      </c>
      <c r="X42" s="427">
        <v>11</v>
      </c>
      <c r="Y42" s="335">
        <v>5</v>
      </c>
      <c r="Z42" s="336">
        <v>7</v>
      </c>
      <c r="AA42" s="1435">
        <v>-2</v>
      </c>
      <c r="AB42" s="1442">
        <f>AC42-Y42-Z42-AA42</f>
        <v>0</v>
      </c>
      <c r="AC42" s="1437">
        <v>10</v>
      </c>
      <c r="AD42" s="335">
        <v>3</v>
      </c>
      <c r="AE42" s="336">
        <v>35</v>
      </c>
      <c r="AF42" s="1435">
        <v>81</v>
      </c>
      <c r="AG42" s="1442">
        <f>AH42-AD42-AE42-AF42</f>
        <v>78</v>
      </c>
      <c r="AH42" s="1437">
        <v>197</v>
      </c>
      <c r="AI42" s="335">
        <v>45</v>
      </c>
      <c r="AJ42" s="336">
        <v>-5</v>
      </c>
      <c r="AK42" s="1435">
        <v>-42</v>
      </c>
      <c r="AL42" s="1442">
        <f>AM42-AI42-AJ42-AK42</f>
        <v>-17</v>
      </c>
      <c r="AM42" s="1437">
        <v>-19</v>
      </c>
      <c r="AN42" s="337">
        <v>-50</v>
      </c>
      <c r="AO42" s="336">
        <v>39</v>
      </c>
      <c r="AP42" s="1435">
        <v>36</v>
      </c>
      <c r="AQ42" s="1442">
        <f>AR42-AN42-AO42-AP42</f>
        <v>45</v>
      </c>
      <c r="AR42" s="1437">
        <v>70</v>
      </c>
      <c r="AS42" s="337">
        <v>-14</v>
      </c>
      <c r="AT42" s="336">
        <v>-16</v>
      </c>
      <c r="AU42" s="336">
        <v>43</v>
      </c>
      <c r="AV42" s="1442">
        <f>AW42-AS42-AT42-AU42</f>
        <v>66</v>
      </c>
      <c r="AW42" s="1437">
        <v>79</v>
      </c>
      <c r="AX42" s="306">
        <v>0</v>
      </c>
      <c r="AY42" s="266">
        <v>0</v>
      </c>
      <c r="AZ42" s="266">
        <v>0</v>
      </c>
      <c r="BA42" s="307">
        <v>0</v>
      </c>
      <c r="BB42" s="45">
        <f>SUM(AX42:BA42)</f>
        <v>0</v>
      </c>
      <c r="BC42" s="306">
        <v>0</v>
      </c>
      <c r="BD42" s="266">
        <v>0</v>
      </c>
      <c r="BE42" s="266">
        <v>0</v>
      </c>
      <c r="BF42" s="307">
        <v>0</v>
      </c>
      <c r="BG42" s="45">
        <f>SUM(BC42:BF42)</f>
        <v>0</v>
      </c>
      <c r="BH42" s="306">
        <v>0</v>
      </c>
      <c r="BI42" s="266">
        <v>0</v>
      </c>
      <c r="BJ42" s="266">
        <v>0</v>
      </c>
      <c r="BK42" s="307">
        <v>0</v>
      </c>
      <c r="BL42" s="45">
        <f>SUM(BH42:BK42)</f>
        <v>0</v>
      </c>
      <c r="BM42" s="306">
        <v>0</v>
      </c>
      <c r="BN42" s="266">
        <v>0</v>
      </c>
      <c r="BO42" s="266">
        <v>0</v>
      </c>
      <c r="BP42" s="307">
        <v>0</v>
      </c>
      <c r="BQ42" s="45">
        <f>SUM(BM42:BP42)</f>
        <v>0</v>
      </c>
      <c r="BT42" s="45"/>
      <c r="DR42"/>
      <c r="DS42"/>
      <c r="DT42"/>
      <c r="DU42"/>
      <c r="DV42"/>
      <c r="DW42"/>
      <c r="DX42" s="37"/>
    </row>
    <row r="43" spans="3:128" s="28" customFormat="1">
      <c r="E43" s="290"/>
      <c r="F43" s="336"/>
      <c r="G43" s="336"/>
      <c r="H43" s="291"/>
      <c r="I43" s="931"/>
      <c r="J43" s="335"/>
      <c r="K43" s="336"/>
      <c r="L43" s="336"/>
      <c r="M43" s="291"/>
      <c r="N43" s="427"/>
      <c r="O43" s="335"/>
      <c r="P43" s="336"/>
      <c r="Q43" s="336"/>
      <c r="R43" s="291"/>
      <c r="S43" s="427"/>
      <c r="T43" s="335"/>
      <c r="U43" s="336"/>
      <c r="V43" s="336"/>
      <c r="W43" s="291"/>
      <c r="X43" s="427"/>
      <c r="Y43" s="335"/>
      <c r="Z43" s="336"/>
      <c r="AA43" s="1435"/>
      <c r="AB43" s="1442"/>
      <c r="AC43" s="1437"/>
      <c r="AD43" s="335"/>
      <c r="AE43" s="336"/>
      <c r="AF43" s="1435"/>
      <c r="AG43" s="1442"/>
      <c r="AH43" s="1437"/>
      <c r="AI43" s="335"/>
      <c r="AJ43" s="336"/>
      <c r="AK43" s="1435"/>
      <c r="AL43" s="1442"/>
      <c r="AM43" s="1437"/>
      <c r="AN43" s="335"/>
      <c r="AO43" s="336"/>
      <c r="AP43" s="1435"/>
      <c r="AQ43" s="1442"/>
      <c r="AR43" s="1437"/>
      <c r="AS43" s="290"/>
      <c r="AT43" s="336"/>
      <c r="AU43" s="260"/>
      <c r="AV43" s="1442"/>
      <c r="AW43" s="1437"/>
      <c r="AX43" s="290"/>
      <c r="AY43" s="260"/>
      <c r="AZ43" s="260"/>
      <c r="BA43" s="291"/>
      <c r="BB43" s="45"/>
      <c r="BC43" s="290"/>
      <c r="BD43" s="260"/>
      <c r="BE43" s="260"/>
      <c r="BF43" s="291"/>
      <c r="BG43" s="45"/>
      <c r="BH43" s="290"/>
      <c r="BI43" s="260"/>
      <c r="BJ43" s="260"/>
      <c r="BK43" s="291"/>
      <c r="BL43" s="45"/>
      <c r="BM43" s="290"/>
      <c r="BN43" s="260"/>
      <c r="BO43" s="260"/>
      <c r="BP43" s="291"/>
      <c r="BQ43" s="45"/>
      <c r="BT43" s="45"/>
      <c r="DR43"/>
      <c r="DS43"/>
      <c r="DT43"/>
      <c r="DU43"/>
      <c r="DV43"/>
      <c r="DW43"/>
      <c r="DX43" s="37"/>
    </row>
    <row r="44" spans="3:128" s="28" customFormat="1">
      <c r="C44" s="32" t="s">
        <v>82</v>
      </c>
      <c r="E44" s="292">
        <f>E41-E42</f>
        <v>712</v>
      </c>
      <c r="F44" s="261">
        <f t="shared" ref="F44:T44" si="67">F41-F42</f>
        <v>657</v>
      </c>
      <c r="G44" s="261">
        <f t="shared" si="67"/>
        <v>757</v>
      </c>
      <c r="H44" s="293">
        <f t="shared" si="67"/>
        <v>581</v>
      </c>
      <c r="I44" s="933">
        <f t="shared" si="67"/>
        <v>2707</v>
      </c>
      <c r="J44" s="292">
        <f t="shared" si="67"/>
        <v>749</v>
      </c>
      <c r="K44" s="261">
        <f t="shared" si="67"/>
        <v>445</v>
      </c>
      <c r="L44" s="261">
        <f t="shared" si="67"/>
        <v>845</v>
      </c>
      <c r="M44" s="293">
        <f t="shared" si="67"/>
        <v>524</v>
      </c>
      <c r="N44" s="228">
        <f t="shared" si="67"/>
        <v>2563</v>
      </c>
      <c r="O44" s="292">
        <f t="shared" si="67"/>
        <v>668</v>
      </c>
      <c r="P44" s="261">
        <f t="shared" si="67"/>
        <v>620</v>
      </c>
      <c r="Q44" s="261">
        <f t="shared" si="67"/>
        <v>601</v>
      </c>
      <c r="R44" s="293">
        <f t="shared" si="67"/>
        <v>606</v>
      </c>
      <c r="S44" s="228">
        <f t="shared" si="67"/>
        <v>2495</v>
      </c>
      <c r="T44" s="292">
        <f t="shared" si="67"/>
        <v>200</v>
      </c>
      <c r="U44" s="261">
        <f t="shared" ref="U44:Z44" si="68">U41-U42</f>
        <v>286</v>
      </c>
      <c r="V44" s="261">
        <f t="shared" si="68"/>
        <v>296</v>
      </c>
      <c r="W44" s="293">
        <f t="shared" si="68"/>
        <v>378</v>
      </c>
      <c r="X44" s="228">
        <f t="shared" si="68"/>
        <v>1160</v>
      </c>
      <c r="Y44" s="292">
        <f t="shared" si="68"/>
        <v>-4</v>
      </c>
      <c r="Z44" s="261">
        <f t="shared" si="68"/>
        <v>490</v>
      </c>
      <c r="AA44" s="1438">
        <f>AA41-AA42</f>
        <v>738</v>
      </c>
      <c r="AB44" s="1439">
        <f>AB41-AB42</f>
        <v>495</v>
      </c>
      <c r="AC44" s="1440">
        <f>AC41-AC42</f>
        <v>1719</v>
      </c>
      <c r="AD44" s="292">
        <f>AD41-AD42</f>
        <v>90</v>
      </c>
      <c r="AE44" s="261">
        <f t="shared" ref="AE44" si="69">AE41-AE42</f>
        <v>522</v>
      </c>
      <c r="AF44" s="1438">
        <f>AF41-AF42</f>
        <v>993</v>
      </c>
      <c r="AG44" s="1439">
        <f>AG41-AG42</f>
        <v>18</v>
      </c>
      <c r="AH44" s="1440">
        <f>AH41-AH42</f>
        <v>1623</v>
      </c>
      <c r="AI44" s="292">
        <f>AI41-AI42</f>
        <v>693</v>
      </c>
      <c r="AJ44" s="261">
        <f t="shared" ref="AJ44" si="70">AJ41-AJ42</f>
        <v>638</v>
      </c>
      <c r="AK44" s="1438">
        <f>AK41-AK42</f>
        <v>629</v>
      </c>
      <c r="AL44" s="1439">
        <f>AL41-AL42</f>
        <v>309</v>
      </c>
      <c r="AM44" s="1440">
        <f>AM41-AM42</f>
        <v>2269</v>
      </c>
      <c r="AN44" s="292">
        <f>AN41-AN42</f>
        <v>173</v>
      </c>
      <c r="AO44" s="261">
        <f t="shared" ref="AO44" si="71">AO41-AO42</f>
        <v>267</v>
      </c>
      <c r="AP44" s="1438">
        <f>AP41-AP42</f>
        <v>490</v>
      </c>
      <c r="AQ44" s="1439">
        <f>AQ41-AQ42</f>
        <v>204</v>
      </c>
      <c r="AR44" s="1440">
        <f>AR41-AR42</f>
        <v>1134</v>
      </c>
      <c r="AS44" s="292">
        <f t="shared" ref="AS44:BB44" si="72">AS41-AS42</f>
        <v>995</v>
      </c>
      <c r="AT44" s="261">
        <f t="shared" si="72"/>
        <v>80</v>
      </c>
      <c r="AU44" s="261">
        <f t="shared" si="72"/>
        <v>824</v>
      </c>
      <c r="AV44" s="1439">
        <f>AV41-AV42</f>
        <v>1871</v>
      </c>
      <c r="AW44" s="1440">
        <f>AW41-AW42</f>
        <v>3770</v>
      </c>
      <c r="AX44" s="292">
        <f t="shared" si="72"/>
        <v>897.35902791086187</v>
      </c>
      <c r="AY44" s="261">
        <f t="shared" ca="1" si="72"/>
        <v>573.65214763784763</v>
      </c>
      <c r="AZ44" s="261">
        <f t="shared" ca="1" si="72"/>
        <v>957.41192994615881</v>
      </c>
      <c r="BA44" s="293">
        <f t="shared" ca="1" si="72"/>
        <v>527.03564605803876</v>
      </c>
      <c r="BB44" s="228">
        <f t="shared" ca="1" si="72"/>
        <v>2955.4587515529056</v>
      </c>
      <c r="BC44" s="292">
        <f t="shared" ref="BC44:BL44" ca="1" si="73">BC41-BC42</f>
        <v>970.74680176349182</v>
      </c>
      <c r="BD44" s="261">
        <f t="shared" ca="1" si="73"/>
        <v>491.05587023793225</v>
      </c>
      <c r="BE44" s="261">
        <f t="shared" ca="1" si="73"/>
        <v>860.19049956001209</v>
      </c>
      <c r="BF44" s="293">
        <f t="shared" ca="1" si="73"/>
        <v>485.23337772897708</v>
      </c>
      <c r="BG44" s="228">
        <f t="shared" ca="1" si="73"/>
        <v>2807.2265492904135</v>
      </c>
      <c r="BH44" s="292">
        <f t="shared" ca="1" si="73"/>
        <v>898.06829426777927</v>
      </c>
      <c r="BI44" s="261">
        <f t="shared" ca="1" si="73"/>
        <v>457.24878258364868</v>
      </c>
      <c r="BJ44" s="261">
        <f t="shared" ca="1" si="73"/>
        <v>853.54813121330062</v>
      </c>
      <c r="BK44" s="293">
        <f t="shared" ca="1" si="73"/>
        <v>530.00304706199086</v>
      </c>
      <c r="BL44" s="228">
        <f t="shared" ca="1" si="73"/>
        <v>2738.8682551267211</v>
      </c>
      <c r="BM44" s="292">
        <f t="shared" ref="BM44:BQ44" ca="1" si="74">BM41-BM42</f>
        <v>835.23190082048757</v>
      </c>
      <c r="BN44" s="261">
        <f t="shared" ca="1" si="74"/>
        <v>558.86986011007116</v>
      </c>
      <c r="BO44" s="261">
        <f t="shared" ca="1" si="74"/>
        <v>918.09186248164519</v>
      </c>
      <c r="BP44" s="293">
        <f t="shared" ca="1" si="74"/>
        <v>612.77074781942406</v>
      </c>
      <c r="BQ44" s="228">
        <f t="shared" ca="1" si="74"/>
        <v>2924.9643712316279</v>
      </c>
      <c r="BT44" s="45"/>
      <c r="DR44"/>
      <c r="DS44"/>
      <c r="DT44"/>
      <c r="DU44"/>
      <c r="DV44"/>
      <c r="DW44"/>
      <c r="DX44" s="37"/>
    </row>
    <row r="45" spans="3:128" s="28" customFormat="1">
      <c r="C45" s="232" t="s">
        <v>83</v>
      </c>
      <c r="E45" s="335">
        <f>21-112+33+8+135</f>
        <v>85</v>
      </c>
      <c r="F45" s="336">
        <f>20+106-64+6+24-66</f>
        <v>26</v>
      </c>
      <c r="G45" s="336">
        <f>11-77-87-32+6-3+58</f>
        <v>-124</v>
      </c>
      <c r="H45" s="291">
        <f>I45-E45-F45-G45</f>
        <v>29</v>
      </c>
      <c r="I45" s="931">
        <f>66-110-132-32+5+20+135+22-66+74+34</f>
        <v>16</v>
      </c>
      <c r="J45" s="335">
        <f>2-142-20+65+8</f>
        <v>-87</v>
      </c>
      <c r="K45" s="336">
        <f>4+75+53+2+65+12</f>
        <v>211</v>
      </c>
      <c r="L45" s="336">
        <f>-99-60+35+14+3+1</f>
        <v>-106</v>
      </c>
      <c r="M45" s="291">
        <f>N45-J45-K45-L45</f>
        <v>108</v>
      </c>
      <c r="N45" s="427">
        <f>-52-52-7+50+65+65+35+13+2+7</f>
        <v>126</v>
      </c>
      <c r="O45" s="335">
        <f>89-24+16+29</f>
        <v>110</v>
      </c>
      <c r="P45" s="336">
        <f>75-6+10-17+15</f>
        <v>77</v>
      </c>
      <c r="Q45" s="336">
        <f>55+76+16+2+11+5-23</f>
        <v>142</v>
      </c>
      <c r="R45" s="291">
        <f>S45-O45-P45-Q45</f>
        <v>-61</v>
      </c>
      <c r="S45" s="427">
        <f>174+1+16+33+46+5+29-23-17+4</f>
        <v>268</v>
      </c>
      <c r="T45" s="335">
        <f>-43-36+4+113+227+78+172+2-117+3-80</f>
        <v>323</v>
      </c>
      <c r="U45" s="336">
        <f>-123+19-1+67+281-3-4</f>
        <v>236</v>
      </c>
      <c r="V45" s="336">
        <f>-19-38+193+6+36+187-3</f>
        <v>362</v>
      </c>
      <c r="W45" s="291">
        <f>X45-SUM(T45:V45)</f>
        <v>249</v>
      </c>
      <c r="X45" s="427">
        <f>-310-56+236+1+257-117+227+758+172-9+3+8</f>
        <v>1170</v>
      </c>
      <c r="Y45" s="335">
        <f>235-35-13+27+117-3+265+13</f>
        <v>606</v>
      </c>
      <c r="Z45" s="336">
        <f>-253+22+15+115-4+69</f>
        <v>-36</v>
      </c>
      <c r="AA45" s="1435">
        <f>-148-24+6+26+41+28</f>
        <v>-71</v>
      </c>
      <c r="AB45" s="1442">
        <f>AC45-SUM(Y45:AA45)</f>
        <v>-69</v>
      </c>
      <c r="AC45" s="1437">
        <f>-310-78-13+7+87+347-7+4+16+267+110</f>
        <v>430</v>
      </c>
      <c r="AD45" s="335">
        <f>443-8+9-35+31</f>
        <v>440</v>
      </c>
      <c r="AE45" s="336">
        <f>8-76+19+12+23+68-159+23</f>
        <v>-82</v>
      </c>
      <c r="AF45" s="1435">
        <f>-158+22-13-197+30+64-12-66+13</f>
        <v>-317</v>
      </c>
      <c r="AG45" s="1442">
        <f>AH45-SUM(AD45:AF45)</f>
        <v>404</v>
      </c>
      <c r="AH45" s="1437">
        <f>363-86-245-13+185+64-27+435-28-159-106+62</f>
        <v>445</v>
      </c>
      <c r="AI45" s="335">
        <f>-100-24-24+21+48-6+7</f>
        <v>-78</v>
      </c>
      <c r="AJ45" s="336">
        <f>-143+56+18+9+15-71-14</f>
        <v>-130</v>
      </c>
      <c r="AK45" s="1435">
        <f>85+133+12+2-6-52-46</f>
        <v>128</v>
      </c>
      <c r="AL45" s="1442">
        <f>AM45-SUM(AI45:AK45)</f>
        <v>38</v>
      </c>
      <c r="AM45" s="1437">
        <f>-158+115+21-6+58-5+41-52-21-6-10+13-32</f>
        <v>-42</v>
      </c>
      <c r="AN45" s="335">
        <f>-64-31-12+76+394+71+14+11</f>
        <v>459</v>
      </c>
      <c r="AO45" s="336">
        <f>185-27+8+1+1+22+133+6+8</f>
        <v>337</v>
      </c>
      <c r="AP45" s="1435">
        <f>-54-70+13+13+5+11+204+7+199+23</f>
        <v>351</v>
      </c>
      <c r="AQ45" s="1442">
        <f>AR45-SUM(AN45:AP45)</f>
        <v>207</v>
      </c>
      <c r="AR45" s="1437">
        <f>24-118+35+114+103-75+10+437+432+34+199+57+102</f>
        <v>1354</v>
      </c>
      <c r="AS45" s="335">
        <f>30-99+3+25-137-20+4-5-226+35</f>
        <v>-390</v>
      </c>
      <c r="AT45" s="336">
        <f>113-45+12+15+268+66+6-26+20</f>
        <v>429</v>
      </c>
      <c r="AU45" s="336">
        <f>-45-67+12-1+24+71+13-2-7-21+20</f>
        <v>-3</v>
      </c>
      <c r="AV45" s="1442">
        <f>AW45-SUM(AS45:AU45)</f>
        <v>-1335</v>
      </c>
      <c r="AW45" s="1437">
        <f>107-318+34+40-137+321+207-1299+34-26-2-5-233-130-33+27+114</f>
        <v>-1299</v>
      </c>
      <c r="AX45" s="306">
        <v>0</v>
      </c>
      <c r="AY45" s="266">
        <v>0</v>
      </c>
      <c r="AZ45" s="266">
        <v>0</v>
      </c>
      <c r="BA45" s="307">
        <v>0</v>
      </c>
      <c r="BB45" s="45">
        <f>SUM(AX45:BA45)</f>
        <v>0</v>
      </c>
      <c r="BC45" s="306">
        <v>0</v>
      </c>
      <c r="BD45" s="266">
        <v>0</v>
      </c>
      <c r="BE45" s="266">
        <v>0</v>
      </c>
      <c r="BF45" s="307">
        <v>0</v>
      </c>
      <c r="BG45" s="45">
        <f>SUM(BC45:BF45)</f>
        <v>0</v>
      </c>
      <c r="BH45" s="306">
        <v>0</v>
      </c>
      <c r="BI45" s="266">
        <v>0</v>
      </c>
      <c r="BJ45" s="266">
        <v>0</v>
      </c>
      <c r="BK45" s="307">
        <v>0</v>
      </c>
      <c r="BL45" s="45">
        <f>SUM(BH45:BK45)</f>
        <v>0</v>
      </c>
      <c r="BM45" s="306">
        <v>0</v>
      </c>
      <c r="BN45" s="266">
        <v>0</v>
      </c>
      <c r="BO45" s="266">
        <v>0</v>
      </c>
      <c r="BP45" s="307">
        <v>0</v>
      </c>
      <c r="BQ45" s="45">
        <f>SUM(BM45:BP45)</f>
        <v>0</v>
      </c>
      <c r="BS45" s="32" t="s">
        <v>1424</v>
      </c>
      <c r="BT45" s="45"/>
      <c r="DR45"/>
      <c r="DS45"/>
      <c r="DT45"/>
      <c r="DU45"/>
      <c r="DV45"/>
      <c r="DW45"/>
      <c r="DX45" s="37"/>
    </row>
    <row r="46" spans="3:128" s="28" customFormat="1">
      <c r="C46" s="32" t="s">
        <v>360</v>
      </c>
      <c r="E46" s="292">
        <f t="shared" ref="E46:N46" si="75">+E44+E45</f>
        <v>797</v>
      </c>
      <c r="F46" s="261">
        <f t="shared" si="75"/>
        <v>683</v>
      </c>
      <c r="G46" s="261">
        <f t="shared" si="75"/>
        <v>633</v>
      </c>
      <c r="H46" s="293">
        <f t="shared" si="75"/>
        <v>610</v>
      </c>
      <c r="I46" s="933">
        <f t="shared" si="75"/>
        <v>2723</v>
      </c>
      <c r="J46" s="292">
        <f t="shared" si="75"/>
        <v>662</v>
      </c>
      <c r="K46" s="261">
        <f t="shared" si="75"/>
        <v>656</v>
      </c>
      <c r="L46" s="261">
        <f t="shared" si="75"/>
        <v>739</v>
      </c>
      <c r="M46" s="293">
        <f t="shared" si="75"/>
        <v>632</v>
      </c>
      <c r="N46" s="228">
        <f t="shared" si="75"/>
        <v>2689</v>
      </c>
      <c r="O46" s="292">
        <f t="shared" ref="O46:U46" si="76">+O44+O45</f>
        <v>778</v>
      </c>
      <c r="P46" s="261">
        <f t="shared" si="76"/>
        <v>697</v>
      </c>
      <c r="Q46" s="261">
        <f t="shared" si="76"/>
        <v>743</v>
      </c>
      <c r="R46" s="293">
        <f t="shared" si="76"/>
        <v>545</v>
      </c>
      <c r="S46" s="228">
        <f t="shared" si="76"/>
        <v>2763</v>
      </c>
      <c r="T46" s="292">
        <f t="shared" si="76"/>
        <v>523</v>
      </c>
      <c r="U46" s="261">
        <f t="shared" si="76"/>
        <v>522</v>
      </c>
      <c r="V46" s="261">
        <f t="shared" ref="V46:AE46" si="77">+V44+V45</f>
        <v>658</v>
      </c>
      <c r="W46" s="293">
        <f t="shared" si="77"/>
        <v>627</v>
      </c>
      <c r="X46" s="228">
        <f t="shared" si="77"/>
        <v>2330</v>
      </c>
      <c r="Y46" s="292">
        <f t="shared" si="77"/>
        <v>602</v>
      </c>
      <c r="Z46" s="261">
        <f t="shared" si="77"/>
        <v>454</v>
      </c>
      <c r="AA46" s="1438">
        <f t="shared" si="77"/>
        <v>667</v>
      </c>
      <c r="AB46" s="1439">
        <f>+AB44+AB45</f>
        <v>426</v>
      </c>
      <c r="AC46" s="1440">
        <f>+AC44+AC45</f>
        <v>2149</v>
      </c>
      <c r="AD46" s="292">
        <f t="shared" si="77"/>
        <v>530</v>
      </c>
      <c r="AE46" s="261">
        <f t="shared" si="77"/>
        <v>440</v>
      </c>
      <c r="AF46" s="1438">
        <f t="shared" ref="AF46" si="78">+AF44+AF45</f>
        <v>676</v>
      </c>
      <c r="AG46" s="1439">
        <f>+AG44+AG45</f>
        <v>422</v>
      </c>
      <c r="AH46" s="1440">
        <f>+AH44+AH45</f>
        <v>2068</v>
      </c>
      <c r="AI46" s="292">
        <f t="shared" ref="AI46:AK46" si="79">+AI44+AI45</f>
        <v>615</v>
      </c>
      <c r="AJ46" s="261">
        <f t="shared" si="79"/>
        <v>508</v>
      </c>
      <c r="AK46" s="1438">
        <f t="shared" si="79"/>
        <v>757</v>
      </c>
      <c r="AL46" s="1439">
        <f>+AL44+AL45</f>
        <v>347</v>
      </c>
      <c r="AM46" s="1440">
        <f>+AM44+AM45</f>
        <v>2227</v>
      </c>
      <c r="AN46" s="292">
        <f t="shared" ref="AN46:AP46" si="80">+AN44+AN45</f>
        <v>632</v>
      </c>
      <c r="AO46" s="261">
        <f t="shared" si="80"/>
        <v>604</v>
      </c>
      <c r="AP46" s="1438">
        <f t="shared" si="80"/>
        <v>841</v>
      </c>
      <c r="AQ46" s="1439">
        <f>+AQ44+AQ45</f>
        <v>411</v>
      </c>
      <c r="AR46" s="1440">
        <f>+AR44+AR45</f>
        <v>2488</v>
      </c>
      <c r="AS46" s="292">
        <f t="shared" ref="AS46:BB46" si="81">+AS44+AS45</f>
        <v>605</v>
      </c>
      <c r="AT46" s="261">
        <f t="shared" si="81"/>
        <v>509</v>
      </c>
      <c r="AU46" s="261">
        <f t="shared" si="81"/>
        <v>821</v>
      </c>
      <c r="AV46" s="1439">
        <f>+AV44+AV45</f>
        <v>536</v>
      </c>
      <c r="AW46" s="1440">
        <f>+AW44+AW45</f>
        <v>2471</v>
      </c>
      <c r="AX46" s="292">
        <f t="shared" si="81"/>
        <v>897.35902791086187</v>
      </c>
      <c r="AY46" s="261">
        <f t="shared" ca="1" si="81"/>
        <v>573.65214763784763</v>
      </c>
      <c r="AZ46" s="261">
        <f t="shared" ca="1" si="81"/>
        <v>957.41192994615881</v>
      </c>
      <c r="BA46" s="293">
        <f t="shared" ca="1" si="81"/>
        <v>527.03564605803876</v>
      </c>
      <c r="BB46" s="228">
        <f t="shared" ca="1" si="81"/>
        <v>2955.4587515529056</v>
      </c>
      <c r="BC46" s="292">
        <f t="shared" ref="BC46:BL46" ca="1" si="82">+BC44+BC45</f>
        <v>970.74680176349182</v>
      </c>
      <c r="BD46" s="261">
        <f t="shared" ca="1" si="82"/>
        <v>491.05587023793225</v>
      </c>
      <c r="BE46" s="261">
        <f t="shared" ca="1" si="82"/>
        <v>860.19049956001209</v>
      </c>
      <c r="BF46" s="293">
        <f t="shared" ca="1" si="82"/>
        <v>485.23337772897708</v>
      </c>
      <c r="BG46" s="228">
        <f t="shared" ca="1" si="82"/>
        <v>2807.2265492904135</v>
      </c>
      <c r="BH46" s="292">
        <f t="shared" ca="1" si="82"/>
        <v>898.06829426777927</v>
      </c>
      <c r="BI46" s="261">
        <f t="shared" ca="1" si="82"/>
        <v>457.24878258364868</v>
      </c>
      <c r="BJ46" s="261">
        <f t="shared" ca="1" si="82"/>
        <v>853.54813121330062</v>
      </c>
      <c r="BK46" s="293">
        <f t="shared" ca="1" si="82"/>
        <v>530.00304706199086</v>
      </c>
      <c r="BL46" s="228">
        <f t="shared" ca="1" si="82"/>
        <v>2738.8682551267211</v>
      </c>
      <c r="BM46" s="292">
        <f t="shared" ref="BM46:BQ46" ca="1" si="83">+BM44+BM45</f>
        <v>835.23190082048757</v>
      </c>
      <c r="BN46" s="261">
        <f t="shared" ca="1" si="83"/>
        <v>558.86986011007116</v>
      </c>
      <c r="BO46" s="261">
        <f t="shared" ca="1" si="83"/>
        <v>918.09186248164519</v>
      </c>
      <c r="BP46" s="293">
        <f t="shared" ca="1" si="83"/>
        <v>612.77074781942406</v>
      </c>
      <c r="BQ46" s="228">
        <f t="shared" ca="1" si="83"/>
        <v>2924.9643712316279</v>
      </c>
      <c r="BS46" s="2134">
        <f ca="1">(BB46/AM46)^(1/3)-1</f>
        <v>9.8925442757588744E-2</v>
      </c>
      <c r="BT46" s="45"/>
      <c r="DR46"/>
      <c r="DS46"/>
      <c r="DT46"/>
      <c r="DU46"/>
      <c r="DV46"/>
      <c r="DW46"/>
      <c r="DX46" s="37"/>
    </row>
    <row r="47" spans="3:128" s="28" customFormat="1">
      <c r="C47" s="32"/>
      <c r="E47" s="292"/>
      <c r="F47" s="261"/>
      <c r="G47" s="261"/>
      <c r="H47" s="293"/>
      <c r="I47" s="933"/>
      <c r="J47" s="292"/>
      <c r="K47" s="261"/>
      <c r="L47" s="261"/>
      <c r="M47" s="293"/>
      <c r="N47" s="228"/>
      <c r="O47" s="292"/>
      <c r="P47" s="261"/>
      <c r="Q47" s="261"/>
      <c r="R47" s="293"/>
      <c r="S47" s="228"/>
      <c r="T47" s="292"/>
      <c r="U47" s="261"/>
      <c r="V47" s="261"/>
      <c r="W47" s="293"/>
      <c r="X47" s="228"/>
      <c r="Y47" s="292"/>
      <c r="Z47" s="261"/>
      <c r="AA47" s="1438"/>
      <c r="AB47" s="1439"/>
      <c r="AC47" s="1440"/>
      <c r="AD47" s="292"/>
      <c r="AE47" s="261"/>
      <c r="AF47" s="1438"/>
      <c r="AG47" s="1439"/>
      <c r="AH47" s="1440"/>
      <c r="AI47" s="292"/>
      <c r="AJ47" s="261"/>
      <c r="AK47" s="1438"/>
      <c r="AL47" s="1439"/>
      <c r="AM47" s="1440"/>
      <c r="AN47" s="292"/>
      <c r="AO47" s="261"/>
      <c r="AP47" s="1438"/>
      <c r="AQ47" s="1439"/>
      <c r="AR47" s="1440"/>
      <c r="AS47" s="1903"/>
      <c r="AT47" s="261"/>
      <c r="AU47" s="1904"/>
      <c r="AV47" s="1439"/>
      <c r="AW47" s="1440"/>
      <c r="AX47" s="1903"/>
      <c r="AY47" s="1904"/>
      <c r="AZ47" s="1904"/>
      <c r="BA47" s="1905"/>
      <c r="BB47" s="1902"/>
      <c r="BC47" s="1903"/>
      <c r="BD47" s="1904"/>
      <c r="BE47" s="1904"/>
      <c r="BF47" s="1905"/>
      <c r="BG47" s="1902"/>
      <c r="BH47" s="1903"/>
      <c r="BI47" s="1904"/>
      <c r="BJ47" s="1904"/>
      <c r="BK47" s="1905"/>
      <c r="BL47" s="1902"/>
      <c r="BM47" s="1903"/>
      <c r="BN47" s="1904"/>
      <c r="BO47" s="1904"/>
      <c r="BP47" s="1905"/>
      <c r="BQ47" s="1902"/>
      <c r="BT47" s="45"/>
      <c r="DR47"/>
      <c r="DS47"/>
      <c r="DT47"/>
      <c r="DU47"/>
      <c r="DV47"/>
      <c r="DW47"/>
      <c r="DX47" s="37"/>
    </row>
    <row r="48" spans="3:128" s="28" customFormat="1">
      <c r="C48" s="394" t="s">
        <v>310</v>
      </c>
      <c r="E48" s="624">
        <v>659</v>
      </c>
      <c r="F48" s="625">
        <v>659</v>
      </c>
      <c r="G48" s="625">
        <v>659</v>
      </c>
      <c r="H48" s="1059">
        <f>660</f>
        <v>660</v>
      </c>
      <c r="I48" s="932">
        <f>H48</f>
        <v>660</v>
      </c>
      <c r="J48" s="624">
        <f>661</f>
        <v>661</v>
      </c>
      <c r="K48" s="625">
        <f>661</f>
        <v>661</v>
      </c>
      <c r="L48" s="625">
        <f>661</f>
        <v>661</v>
      </c>
      <c r="M48" s="1059">
        <f>662</f>
        <v>662</v>
      </c>
      <c r="N48" s="45">
        <f>M48</f>
        <v>662</v>
      </c>
      <c r="O48" s="624">
        <f>662</f>
        <v>662</v>
      </c>
      <c r="P48" s="625">
        <f>662</f>
        <v>662</v>
      </c>
      <c r="Q48" s="625">
        <f>663</f>
        <v>663</v>
      </c>
      <c r="R48" s="1059">
        <f>663</f>
        <v>663</v>
      </c>
      <c r="S48" s="45">
        <f>R48</f>
        <v>663</v>
      </c>
      <c r="T48" s="624">
        <f>852</f>
        <v>852</v>
      </c>
      <c r="U48" s="625">
        <v>854</v>
      </c>
      <c r="V48" s="625">
        <v>854</v>
      </c>
      <c r="W48" s="347">
        <f>X48</f>
        <v>855</v>
      </c>
      <c r="X48" s="427">
        <v>855</v>
      </c>
      <c r="Y48" s="624">
        <v>855</v>
      </c>
      <c r="Z48" s="625">
        <v>857</v>
      </c>
      <c r="AA48" s="1452">
        <v>857</v>
      </c>
      <c r="AB48" s="347">
        <f>AC48</f>
        <v>857</v>
      </c>
      <c r="AC48" s="1437">
        <v>857</v>
      </c>
      <c r="AD48" s="624">
        <v>857</v>
      </c>
      <c r="AE48" s="625">
        <v>857</v>
      </c>
      <c r="AF48" s="1452">
        <v>859</v>
      </c>
      <c r="AG48" s="347">
        <f>AH48</f>
        <v>860</v>
      </c>
      <c r="AH48" s="1437">
        <v>860</v>
      </c>
      <c r="AI48" s="624">
        <v>861</v>
      </c>
      <c r="AJ48" s="625">
        <v>862</v>
      </c>
      <c r="AK48" s="1452">
        <v>920</v>
      </c>
      <c r="AL48" s="347">
        <f>AM48</f>
        <v>920</v>
      </c>
      <c r="AM48" s="1437">
        <v>920</v>
      </c>
      <c r="AN48" s="624">
        <v>922</v>
      </c>
      <c r="AO48" s="625">
        <v>923</v>
      </c>
      <c r="AP48" s="1452">
        <v>923</v>
      </c>
      <c r="AQ48" s="347">
        <f>AR48</f>
        <v>924</v>
      </c>
      <c r="AR48" s="1437">
        <v>924</v>
      </c>
      <c r="AS48" s="624">
        <v>926</v>
      </c>
      <c r="AT48" s="625">
        <v>960</v>
      </c>
      <c r="AU48" s="625">
        <v>960.85247300000003</v>
      </c>
      <c r="AV48" s="347">
        <f>AW48</f>
        <v>963</v>
      </c>
      <c r="AW48" s="1437">
        <v>963</v>
      </c>
      <c r="AX48" s="345">
        <f>AW48+AX72</f>
        <v>963</v>
      </c>
      <c r="AY48" s="346">
        <f>AX48+AY72</f>
        <v>963</v>
      </c>
      <c r="AZ48" s="346">
        <f>AY48+AZ72</f>
        <v>963</v>
      </c>
      <c r="BA48" s="347">
        <f>AZ48+BA72</f>
        <v>963</v>
      </c>
      <c r="BB48" s="349">
        <f>BA48</f>
        <v>963</v>
      </c>
      <c r="BC48" s="345">
        <f>BB48+BC72</f>
        <v>963</v>
      </c>
      <c r="BD48" s="346">
        <f>BC48+BD72</f>
        <v>963</v>
      </c>
      <c r="BE48" s="346">
        <f>BD48+BE72</f>
        <v>963</v>
      </c>
      <c r="BF48" s="347">
        <f>BE48+BF72</f>
        <v>963</v>
      </c>
      <c r="BG48" s="349">
        <f>BF48</f>
        <v>963</v>
      </c>
      <c r="BH48" s="345">
        <f>BG48+BH72</f>
        <v>963</v>
      </c>
      <c r="BI48" s="346">
        <f>BH48+BI72</f>
        <v>963</v>
      </c>
      <c r="BJ48" s="346">
        <f>BI48+BJ72</f>
        <v>963</v>
      </c>
      <c r="BK48" s="347">
        <f>BJ48+BK72</f>
        <v>963</v>
      </c>
      <c r="BL48" s="349">
        <f>BK48</f>
        <v>963</v>
      </c>
      <c r="BM48" s="345">
        <f>BL48+BM72</f>
        <v>963</v>
      </c>
      <c r="BN48" s="346">
        <f>BM48+BN72</f>
        <v>963</v>
      </c>
      <c r="BO48" s="346">
        <f>BN48+BO72</f>
        <v>963</v>
      </c>
      <c r="BP48" s="347">
        <f>BO48+BP72</f>
        <v>963</v>
      </c>
      <c r="BQ48" s="349">
        <f>BP48</f>
        <v>963</v>
      </c>
      <c r="BT48" s="228"/>
      <c r="DR48"/>
      <c r="DS48"/>
      <c r="DT48"/>
      <c r="DU48"/>
      <c r="DV48"/>
      <c r="DW48"/>
      <c r="DX48" s="37"/>
    </row>
    <row r="49" spans="2:128" s="28" customFormat="1">
      <c r="C49" s="28" t="s">
        <v>333</v>
      </c>
      <c r="E49" s="624">
        <v>659</v>
      </c>
      <c r="F49" s="625">
        <v>659</v>
      </c>
      <c r="G49" s="625">
        <v>660</v>
      </c>
      <c r="H49" s="1059">
        <v>660</v>
      </c>
      <c r="I49" s="931">
        <v>659</v>
      </c>
      <c r="J49" s="624">
        <v>661</v>
      </c>
      <c r="K49" s="625">
        <v>661</v>
      </c>
      <c r="L49" s="625">
        <v>662</v>
      </c>
      <c r="M49" s="1059">
        <v>662</v>
      </c>
      <c r="N49" s="427">
        <v>661</v>
      </c>
      <c r="O49" s="624">
        <v>662</v>
      </c>
      <c r="P49" s="625">
        <v>663</v>
      </c>
      <c r="Q49" s="625">
        <v>663</v>
      </c>
      <c r="R49" s="1059">
        <v>664</v>
      </c>
      <c r="S49" s="427">
        <v>663</v>
      </c>
      <c r="T49" s="624">
        <v>705</v>
      </c>
      <c r="U49" s="625">
        <v>853</v>
      </c>
      <c r="V49" s="625">
        <v>854</v>
      </c>
      <c r="W49" s="1059">
        <v>816</v>
      </c>
      <c r="X49" s="427">
        <v>816</v>
      </c>
      <c r="Y49" s="624">
        <v>855</v>
      </c>
      <c r="Z49" s="625">
        <v>856</v>
      </c>
      <c r="AA49" s="1452">
        <v>857</v>
      </c>
      <c r="AB49" s="1490">
        <v>857</v>
      </c>
      <c r="AC49" s="1437">
        <v>856</v>
      </c>
      <c r="AD49" s="624">
        <v>858</v>
      </c>
      <c r="AE49" s="625">
        <v>860</v>
      </c>
      <c r="AF49" s="1452">
        <v>861</v>
      </c>
      <c r="AG49" s="1490">
        <v>861</v>
      </c>
      <c r="AH49" s="1437">
        <v>860</v>
      </c>
      <c r="AI49" s="624">
        <v>862</v>
      </c>
      <c r="AJ49" s="625">
        <v>863</v>
      </c>
      <c r="AK49" s="1452">
        <v>913</v>
      </c>
      <c r="AL49" s="1490">
        <v>921</v>
      </c>
      <c r="AM49" s="1437">
        <v>890</v>
      </c>
      <c r="AN49" s="624">
        <v>923</v>
      </c>
      <c r="AO49" s="625">
        <v>924</v>
      </c>
      <c r="AP49" s="1452">
        <v>925</v>
      </c>
      <c r="AQ49" s="1490">
        <v>925</v>
      </c>
      <c r="AR49" s="1437">
        <v>924</v>
      </c>
      <c r="AS49" s="624">
        <v>928</v>
      </c>
      <c r="AT49" s="625">
        <v>934</v>
      </c>
      <c r="AU49" s="625">
        <v>962</v>
      </c>
      <c r="AV49" s="1490">
        <v>964</v>
      </c>
      <c r="AW49" s="1437">
        <v>947</v>
      </c>
      <c r="AX49" s="290">
        <f>AVERAGE(AW48:AX48)</f>
        <v>963</v>
      </c>
      <c r="AY49" s="346">
        <f>AVERAGE(AX48:AY48)</f>
        <v>963</v>
      </c>
      <c r="AZ49" s="346">
        <f>AVERAGE(AY48:AZ48)</f>
        <v>963</v>
      </c>
      <c r="BA49" s="347">
        <f>AVERAGE(AZ48:BA48)</f>
        <v>963</v>
      </c>
      <c r="BB49" s="349">
        <f>AVERAGE(AX49:BA49)</f>
        <v>963</v>
      </c>
      <c r="BC49" s="290">
        <f>AVERAGE(BB48:BC48)</f>
        <v>963</v>
      </c>
      <c r="BD49" s="346">
        <f>AVERAGE(BC48:BD48)</f>
        <v>963</v>
      </c>
      <c r="BE49" s="346">
        <f>AVERAGE(BD48:BE48)</f>
        <v>963</v>
      </c>
      <c r="BF49" s="347">
        <f>AVERAGE(BE48:BF48)</f>
        <v>963</v>
      </c>
      <c r="BG49" s="349">
        <f>AVERAGE(BC49:BF49)</f>
        <v>963</v>
      </c>
      <c r="BH49" s="290">
        <f>AVERAGE(BG48:BH48)</f>
        <v>963</v>
      </c>
      <c r="BI49" s="346">
        <f>AVERAGE(BH48:BI48)</f>
        <v>963</v>
      </c>
      <c r="BJ49" s="346">
        <f>AVERAGE(BI48:BJ48)</f>
        <v>963</v>
      </c>
      <c r="BK49" s="347">
        <f>AVERAGE(BJ48:BK48)</f>
        <v>963</v>
      </c>
      <c r="BL49" s="349">
        <f>AVERAGE(BH49:BK49)</f>
        <v>963</v>
      </c>
      <c r="BM49" s="290">
        <f>AVERAGE(BL48:BM48)</f>
        <v>963</v>
      </c>
      <c r="BN49" s="346">
        <f>AVERAGE(BM48:BN48)</f>
        <v>963</v>
      </c>
      <c r="BO49" s="346">
        <f>AVERAGE(BN48:BO48)</f>
        <v>963</v>
      </c>
      <c r="BP49" s="347">
        <f>AVERAGE(BO48:BP48)</f>
        <v>963</v>
      </c>
      <c r="BQ49" s="349">
        <f>AVERAGE(BM49:BP49)</f>
        <v>963</v>
      </c>
      <c r="BT49" s="45"/>
      <c r="DR49"/>
      <c r="DS49"/>
      <c r="DT49"/>
      <c r="DU49"/>
      <c r="DV49"/>
      <c r="DW49"/>
      <c r="DX49" s="37"/>
    </row>
    <row r="50" spans="2:128" s="28" customFormat="1">
      <c r="C50" s="28" t="s">
        <v>334</v>
      </c>
      <c r="E50" s="624">
        <v>661</v>
      </c>
      <c r="F50" s="625">
        <v>661</v>
      </c>
      <c r="G50" s="625">
        <v>662</v>
      </c>
      <c r="H50" s="1059">
        <v>662</v>
      </c>
      <c r="I50" s="931">
        <v>662</v>
      </c>
      <c r="J50" s="624">
        <v>662</v>
      </c>
      <c r="K50" s="625">
        <v>662</v>
      </c>
      <c r="L50" s="625">
        <v>663</v>
      </c>
      <c r="M50" s="1059">
        <v>663</v>
      </c>
      <c r="N50" s="427">
        <v>663</v>
      </c>
      <c r="O50" s="624">
        <v>664</v>
      </c>
      <c r="P50" s="625">
        <v>664</v>
      </c>
      <c r="Q50" s="625">
        <v>665</v>
      </c>
      <c r="R50" s="1059">
        <v>666</v>
      </c>
      <c r="S50" s="427">
        <v>665</v>
      </c>
      <c r="T50" s="624">
        <v>707</v>
      </c>
      <c r="U50" s="625">
        <v>856</v>
      </c>
      <c r="V50" s="625">
        <v>857</v>
      </c>
      <c r="W50" s="1059">
        <v>819</v>
      </c>
      <c r="X50" s="427">
        <v>819</v>
      </c>
      <c r="Y50" s="624">
        <v>855</v>
      </c>
      <c r="Z50" s="625">
        <v>860</v>
      </c>
      <c r="AA50" s="1452">
        <v>860</v>
      </c>
      <c r="AB50" s="1490">
        <v>861</v>
      </c>
      <c r="AC50" s="1437">
        <v>860</v>
      </c>
      <c r="AD50" s="624">
        <v>861</v>
      </c>
      <c r="AE50" s="625">
        <v>864</v>
      </c>
      <c r="AF50" s="1452">
        <v>863</v>
      </c>
      <c r="AG50" s="1490">
        <v>868</v>
      </c>
      <c r="AH50" s="1437">
        <v>864</v>
      </c>
      <c r="AI50" s="624">
        <v>867</v>
      </c>
      <c r="AJ50" s="625">
        <v>864</v>
      </c>
      <c r="AK50" s="1452">
        <v>915</v>
      </c>
      <c r="AL50" s="1490">
        <v>924</v>
      </c>
      <c r="AM50" s="1437">
        <v>893</v>
      </c>
      <c r="AN50" s="624">
        <v>925</v>
      </c>
      <c r="AO50" s="625">
        <v>926</v>
      </c>
      <c r="AP50" s="1452">
        <v>927</v>
      </c>
      <c r="AQ50" s="1490">
        <v>928</v>
      </c>
      <c r="AR50" s="1437">
        <v>927</v>
      </c>
      <c r="AS50" s="624">
        <v>930</v>
      </c>
      <c r="AT50" s="625">
        <v>936</v>
      </c>
      <c r="AU50" s="625">
        <v>965</v>
      </c>
      <c r="AV50" s="1490">
        <v>967</v>
      </c>
      <c r="AW50" s="1437">
        <v>949</v>
      </c>
      <c r="AX50" s="290">
        <f>AX49+(AV50-AV49)</f>
        <v>966</v>
      </c>
      <c r="AY50" s="260">
        <f>AY49+(AX50-AX49)</f>
        <v>966</v>
      </c>
      <c r="AZ50" s="260">
        <f>AZ49+(AY50-AY49)</f>
        <v>966</v>
      </c>
      <c r="BA50" s="291">
        <f>BA49+(AZ50-AZ49)</f>
        <v>966</v>
      </c>
      <c r="BB50" s="349">
        <f>AVERAGE(AX50:BA50)</f>
        <v>966</v>
      </c>
      <c r="BC50" s="290">
        <f>BC49+(BA50-BA49)</f>
        <v>966</v>
      </c>
      <c r="BD50" s="260">
        <f>BD49+(BC50-BC49)</f>
        <v>966</v>
      </c>
      <c r="BE50" s="260">
        <f>BE49+(BD50-BD49)</f>
        <v>966</v>
      </c>
      <c r="BF50" s="291">
        <f>BF49+(BE50-BE49)</f>
        <v>966</v>
      </c>
      <c r="BG50" s="349">
        <f>AVERAGE(BC50:BF50)</f>
        <v>966</v>
      </c>
      <c r="BH50" s="290">
        <f>BH49+(BF50-BF49)</f>
        <v>966</v>
      </c>
      <c r="BI50" s="260">
        <f>BI49+(BH50-BH49)</f>
        <v>966</v>
      </c>
      <c r="BJ50" s="260">
        <f>BJ49+(BI50-BI49)</f>
        <v>966</v>
      </c>
      <c r="BK50" s="291">
        <f>BK49+(BJ50-BJ49)</f>
        <v>966</v>
      </c>
      <c r="BL50" s="349">
        <f>AVERAGE(BH50:BK50)</f>
        <v>966</v>
      </c>
      <c r="BM50" s="290">
        <f>BM49+(BK50-BK49)</f>
        <v>966</v>
      </c>
      <c r="BN50" s="260">
        <f>BN49+(BM50-BM49)</f>
        <v>966</v>
      </c>
      <c r="BO50" s="260">
        <f>BO49+(BN50-BN49)</f>
        <v>966</v>
      </c>
      <c r="BP50" s="291">
        <f>BP49+(BO50-BO49)</f>
        <v>966</v>
      </c>
      <c r="BQ50" s="349">
        <f>AVERAGE(BM50:BP50)</f>
        <v>966</v>
      </c>
      <c r="BT50" s="45"/>
      <c r="DR50"/>
      <c r="DS50"/>
      <c r="DT50"/>
      <c r="DU50"/>
      <c r="DV50"/>
      <c r="DW50"/>
      <c r="DX50" s="37"/>
    </row>
    <row r="51" spans="2:128" s="28" customFormat="1">
      <c r="E51" s="335"/>
      <c r="F51" s="336"/>
      <c r="G51" s="336"/>
      <c r="H51" s="588"/>
      <c r="I51" s="931"/>
      <c r="J51" s="335"/>
      <c r="K51" s="336"/>
      <c r="L51" s="336"/>
      <c r="M51" s="588"/>
      <c r="N51" s="427"/>
      <c r="O51" s="335"/>
      <c r="P51" s="336"/>
      <c r="Q51" s="336"/>
      <c r="R51" s="588"/>
      <c r="S51" s="427"/>
      <c r="T51" s="335"/>
      <c r="U51" s="336"/>
      <c r="V51" s="346"/>
      <c r="W51" s="347"/>
      <c r="X51" s="349"/>
      <c r="Y51" s="335"/>
      <c r="Z51" s="336"/>
      <c r="AA51" s="346"/>
      <c r="AB51" s="347"/>
      <c r="AC51" s="349"/>
      <c r="AD51" s="335"/>
      <c r="AE51" s="336"/>
      <c r="AF51" s="346"/>
      <c r="AG51" s="347"/>
      <c r="AH51" s="349"/>
      <c r="AI51" s="335"/>
      <c r="AJ51" s="336"/>
      <c r="AK51" s="346"/>
      <c r="AL51" s="347"/>
      <c r="AM51" s="349"/>
      <c r="AN51" s="335"/>
      <c r="AO51" s="336"/>
      <c r="AP51" s="346"/>
      <c r="AQ51" s="347"/>
      <c r="AR51" s="349"/>
      <c r="AS51" s="345"/>
      <c r="AT51" s="336"/>
      <c r="AU51" s="346"/>
      <c r="AV51" s="347"/>
      <c r="AW51" s="349"/>
      <c r="AX51" s="345"/>
      <c r="AY51" s="346"/>
      <c r="AZ51" s="346"/>
      <c r="BA51" s="347"/>
      <c r="BB51" s="349"/>
      <c r="BC51" s="345"/>
      <c r="BD51" s="346"/>
      <c r="BE51" s="346"/>
      <c r="BF51" s="347"/>
      <c r="BG51" s="349"/>
      <c r="BH51" s="345"/>
      <c r="BI51" s="346"/>
      <c r="BJ51" s="346"/>
      <c r="BK51" s="347"/>
      <c r="BL51" s="349"/>
      <c r="BM51" s="345"/>
      <c r="BN51" s="346"/>
      <c r="BO51" s="346"/>
      <c r="BP51" s="347"/>
      <c r="BQ51" s="349"/>
      <c r="BT51" s="45"/>
      <c r="DR51"/>
      <c r="DS51"/>
      <c r="DT51"/>
      <c r="DU51"/>
      <c r="DV51"/>
      <c r="DW51"/>
      <c r="DX51" s="37"/>
    </row>
    <row r="52" spans="2:128" s="28" customFormat="1">
      <c r="C52" s="28" t="s">
        <v>447</v>
      </c>
      <c r="E52" s="363">
        <f t="shared" ref="E52:AH52" si="84">E44/E50</f>
        <v>1.0771558245083208</v>
      </c>
      <c r="F52" s="364">
        <f t="shared" si="84"/>
        <v>0.99394856278366117</v>
      </c>
      <c r="G52" s="364">
        <f t="shared" si="84"/>
        <v>1.1435045317220545</v>
      </c>
      <c r="H52" s="365">
        <f t="shared" si="84"/>
        <v>0.87764350453172202</v>
      </c>
      <c r="I52" s="939">
        <f t="shared" si="84"/>
        <v>4.0891238670694863</v>
      </c>
      <c r="J52" s="363">
        <f t="shared" si="84"/>
        <v>1.1314199395770392</v>
      </c>
      <c r="K52" s="364">
        <f t="shared" si="84"/>
        <v>0.67220543806646527</v>
      </c>
      <c r="L52" s="364">
        <f t="shared" si="84"/>
        <v>1.2745098039215685</v>
      </c>
      <c r="M52" s="365">
        <f t="shared" si="84"/>
        <v>0.79034690799396679</v>
      </c>
      <c r="N52" s="366">
        <f t="shared" si="84"/>
        <v>3.8657616892911011</v>
      </c>
      <c r="O52" s="363">
        <f t="shared" si="84"/>
        <v>1.0060240963855422</v>
      </c>
      <c r="P52" s="364">
        <f t="shared" si="84"/>
        <v>0.9337349397590361</v>
      </c>
      <c r="Q52" s="364">
        <f t="shared" si="84"/>
        <v>0.90375939849624065</v>
      </c>
      <c r="R52" s="365">
        <f t="shared" si="84"/>
        <v>0.90990990990990994</v>
      </c>
      <c r="S52" s="366">
        <f t="shared" si="84"/>
        <v>3.7518796992481205</v>
      </c>
      <c r="T52" s="363">
        <f t="shared" si="84"/>
        <v>0.28288543140028288</v>
      </c>
      <c r="U52" s="364">
        <f t="shared" si="84"/>
        <v>0.33411214953271029</v>
      </c>
      <c r="V52" s="364">
        <f t="shared" si="84"/>
        <v>0.34539089848308052</v>
      </c>
      <c r="W52" s="365">
        <f t="shared" si="84"/>
        <v>0.46153846153846156</v>
      </c>
      <c r="X52" s="366">
        <f t="shared" si="84"/>
        <v>1.4163614163614164</v>
      </c>
      <c r="Y52" s="363">
        <f t="shared" si="84"/>
        <v>-4.6783625730994153E-3</v>
      </c>
      <c r="Z52" s="364">
        <f t="shared" si="84"/>
        <v>0.56976744186046513</v>
      </c>
      <c r="AA52" s="364">
        <f t="shared" si="84"/>
        <v>0.85813953488372097</v>
      </c>
      <c r="AB52" s="365">
        <f t="shared" si="84"/>
        <v>0.57491289198606277</v>
      </c>
      <c r="AC52" s="366">
        <f t="shared" si="84"/>
        <v>1.9988372093023257</v>
      </c>
      <c r="AD52" s="363">
        <f t="shared" si="84"/>
        <v>0.10452961672473868</v>
      </c>
      <c r="AE52" s="364">
        <f t="shared" si="84"/>
        <v>0.60416666666666663</v>
      </c>
      <c r="AF52" s="364">
        <f t="shared" ref="AF52" si="85">AF44/AF50</f>
        <v>1.1506373117033604</v>
      </c>
      <c r="AG52" s="365">
        <f t="shared" si="84"/>
        <v>2.0737327188940093E-2</v>
      </c>
      <c r="AH52" s="366">
        <f t="shared" si="84"/>
        <v>1.8784722222222223</v>
      </c>
      <c r="AI52" s="363">
        <f t="shared" ref="AI52:AM52" si="86">AI44/AI50</f>
        <v>0.79930795847750868</v>
      </c>
      <c r="AJ52" s="364">
        <f t="shared" si="86"/>
        <v>0.73842592592592593</v>
      </c>
      <c r="AK52" s="364">
        <f t="shared" si="86"/>
        <v>0.687431693989071</v>
      </c>
      <c r="AL52" s="365">
        <f t="shared" si="86"/>
        <v>0.33441558441558439</v>
      </c>
      <c r="AM52" s="366">
        <f t="shared" si="86"/>
        <v>2.5408734602463605</v>
      </c>
      <c r="AN52" s="363">
        <f t="shared" ref="AN52:AR52" si="87">AN44/AN50</f>
        <v>0.18702702702702703</v>
      </c>
      <c r="AO52" s="364">
        <f t="shared" si="87"/>
        <v>0.28833693304535635</v>
      </c>
      <c r="AP52" s="364">
        <f t="shared" si="87"/>
        <v>0.52858683926645089</v>
      </c>
      <c r="AQ52" s="365">
        <f t="shared" si="87"/>
        <v>0.21982758620689655</v>
      </c>
      <c r="AR52" s="366">
        <f t="shared" si="87"/>
        <v>1.2233009708737863</v>
      </c>
      <c r="AS52" s="870">
        <f t="shared" ref="AS52:BB52" si="88">AS44/AS50</f>
        <v>1.0698924731182795</v>
      </c>
      <c r="AT52" s="364">
        <f t="shared" si="88"/>
        <v>8.5470085470085472E-2</v>
      </c>
      <c r="AU52" s="364">
        <f t="shared" ref="AU52:AW52" si="89">AU44/AU50</f>
        <v>0.85388601036269429</v>
      </c>
      <c r="AV52" s="365">
        <f t="shared" si="89"/>
        <v>1.9348500517063081</v>
      </c>
      <c r="AW52" s="366">
        <f t="shared" si="89"/>
        <v>3.9726027397260273</v>
      </c>
      <c r="AX52" s="870">
        <f t="shared" si="88"/>
        <v>0.92894309307542633</v>
      </c>
      <c r="AY52" s="364">
        <f t="shared" ca="1" si="88"/>
        <v>0.59384280293773051</v>
      </c>
      <c r="AZ52" s="364">
        <f t="shared" ca="1" si="88"/>
        <v>0.99110965832935694</v>
      </c>
      <c r="BA52" s="872">
        <f t="shared" ca="1" si="88"/>
        <v>0.54558555492550598</v>
      </c>
      <c r="BB52" s="1060">
        <f t="shared" ca="1" si="88"/>
        <v>3.0594811092680181</v>
      </c>
      <c r="BC52" s="870">
        <f t="shared" ref="BC52:BL52" ca="1" si="90">BC44/BC50</f>
        <v>1.0049138734611716</v>
      </c>
      <c r="BD52" s="364">
        <f t="shared" ca="1" si="90"/>
        <v>0.50833941018419493</v>
      </c>
      <c r="BE52" s="364">
        <f t="shared" ca="1" si="90"/>
        <v>0.89046635565218646</v>
      </c>
      <c r="BF52" s="872">
        <f t="shared" ca="1" si="90"/>
        <v>0.5023119852266843</v>
      </c>
      <c r="BG52" s="1060">
        <f t="shared" ca="1" si="90"/>
        <v>2.9060316245242377</v>
      </c>
      <c r="BH52" s="870">
        <f t="shared" ca="1" si="90"/>
        <v>0.92967732325857066</v>
      </c>
      <c r="BI52" s="364">
        <f t="shared" ca="1" si="90"/>
        <v>0.47334242503483298</v>
      </c>
      <c r="BJ52" s="364">
        <f t="shared" ca="1" si="90"/>
        <v>0.88359019794337534</v>
      </c>
      <c r="BK52" s="872">
        <f t="shared" ca="1" si="90"/>
        <v>0.54865739861489737</v>
      </c>
      <c r="BL52" s="1060">
        <f t="shared" ca="1" si="90"/>
        <v>2.8352673448516783</v>
      </c>
      <c r="BM52" s="870">
        <f t="shared" ref="BM52:BQ52" ca="1" si="91">BM44/BM50</f>
        <v>0.86462929691561863</v>
      </c>
      <c r="BN52" s="364">
        <f t="shared" ca="1" si="91"/>
        <v>0.57854022785721648</v>
      </c>
      <c r="BO52" s="364">
        <f t="shared" ca="1" si="91"/>
        <v>0.95040565474290395</v>
      </c>
      <c r="BP52" s="872">
        <f t="shared" ca="1" si="91"/>
        <v>0.63433824826027341</v>
      </c>
      <c r="BQ52" s="1060">
        <f t="shared" ca="1" si="91"/>
        <v>3.0279134277760122</v>
      </c>
      <c r="BT52" s="228"/>
      <c r="DR52"/>
      <c r="DS52"/>
      <c r="DT52"/>
      <c r="DU52"/>
      <c r="DV52"/>
      <c r="DW52"/>
      <c r="DX52" s="37"/>
    </row>
    <row r="53" spans="2:128" s="28" customFormat="1">
      <c r="C53" s="367" t="s">
        <v>445</v>
      </c>
      <c r="D53" s="368"/>
      <c r="E53" s="591">
        <f t="shared" ref="E53:AH53" si="92">E46/E50</f>
        <v>1.2057488653555219</v>
      </c>
      <c r="F53" s="592">
        <f t="shared" si="92"/>
        <v>1.0332829046898639</v>
      </c>
      <c r="G53" s="592">
        <f t="shared" si="92"/>
        <v>0.95619335347432022</v>
      </c>
      <c r="H53" s="593">
        <f t="shared" si="92"/>
        <v>0.9214501510574018</v>
      </c>
      <c r="I53" s="1061">
        <f t="shared" si="92"/>
        <v>4.1132930513595163</v>
      </c>
      <c r="J53" s="591">
        <f t="shared" si="92"/>
        <v>1</v>
      </c>
      <c r="K53" s="592">
        <f t="shared" si="92"/>
        <v>0.99093655589123864</v>
      </c>
      <c r="L53" s="592">
        <f t="shared" si="92"/>
        <v>1.1146304675716441</v>
      </c>
      <c r="M53" s="593">
        <f t="shared" si="92"/>
        <v>0.95324283559577683</v>
      </c>
      <c r="N53" s="594">
        <f t="shared" si="92"/>
        <v>4.0558069381598791</v>
      </c>
      <c r="O53" s="591">
        <f t="shared" si="92"/>
        <v>1.1716867469879517</v>
      </c>
      <c r="P53" s="592">
        <f t="shared" si="92"/>
        <v>1.0496987951807228</v>
      </c>
      <c r="Q53" s="592">
        <f t="shared" si="92"/>
        <v>1.1172932330827068</v>
      </c>
      <c r="R53" s="593">
        <f t="shared" si="92"/>
        <v>0.81831831831831836</v>
      </c>
      <c r="S53" s="594">
        <f t="shared" si="92"/>
        <v>4.1548872180451131</v>
      </c>
      <c r="T53" s="591">
        <f t="shared" si="92"/>
        <v>0.73974540311173975</v>
      </c>
      <c r="U53" s="592">
        <f t="shared" si="92"/>
        <v>0.60981308411214952</v>
      </c>
      <c r="V53" s="592">
        <f t="shared" si="92"/>
        <v>0.7677946324387398</v>
      </c>
      <c r="W53" s="593">
        <f t="shared" si="92"/>
        <v>0.76556776556776551</v>
      </c>
      <c r="X53" s="594">
        <f t="shared" si="92"/>
        <v>2.844932844932845</v>
      </c>
      <c r="Y53" s="591">
        <f t="shared" si="92"/>
        <v>0.70409356725146199</v>
      </c>
      <c r="Z53" s="592">
        <f t="shared" si="92"/>
        <v>0.52790697674418607</v>
      </c>
      <c r="AA53" s="592">
        <f t="shared" si="92"/>
        <v>0.77558139534883719</v>
      </c>
      <c r="AB53" s="593">
        <f t="shared" si="92"/>
        <v>0.49477351916376305</v>
      </c>
      <c r="AC53" s="594">
        <f t="shared" si="92"/>
        <v>2.4988372093023257</v>
      </c>
      <c r="AD53" s="591">
        <f t="shared" si="92"/>
        <v>0.61556329849012781</v>
      </c>
      <c r="AE53" s="592">
        <f t="shared" si="92"/>
        <v>0.5092592592592593</v>
      </c>
      <c r="AF53" s="592">
        <f t="shared" ref="AF53" si="93">AF46/AF50</f>
        <v>0.78331402085747392</v>
      </c>
      <c r="AG53" s="593">
        <f t="shared" si="92"/>
        <v>0.48617511520737328</v>
      </c>
      <c r="AH53" s="594">
        <f t="shared" si="92"/>
        <v>2.3935185185185186</v>
      </c>
      <c r="AI53" s="591">
        <f t="shared" ref="AI53:AM53" si="94">AI46/AI50</f>
        <v>0.70934256055363321</v>
      </c>
      <c r="AJ53" s="592">
        <f t="shared" si="94"/>
        <v>0.58796296296296291</v>
      </c>
      <c r="AK53" s="592">
        <f t="shared" si="94"/>
        <v>0.82732240437158466</v>
      </c>
      <c r="AL53" s="593">
        <f t="shared" si="94"/>
        <v>0.37554112554112556</v>
      </c>
      <c r="AM53" s="594">
        <f t="shared" si="94"/>
        <v>2.4938409854423291</v>
      </c>
      <c r="AN53" s="591">
        <f t="shared" ref="AN53:AR53" si="95">AN46/AN50</f>
        <v>0.68324324324324326</v>
      </c>
      <c r="AO53" s="592">
        <f t="shared" si="95"/>
        <v>0.65226781857451399</v>
      </c>
      <c r="AP53" s="592">
        <f t="shared" si="95"/>
        <v>0.90722761596548007</v>
      </c>
      <c r="AQ53" s="593">
        <f t="shared" si="95"/>
        <v>0.44288793103448276</v>
      </c>
      <c r="AR53" s="594">
        <f t="shared" si="95"/>
        <v>2.6839266450916934</v>
      </c>
      <c r="AS53" s="591">
        <f t="shared" ref="AS53:BB53" si="96">AS46/AS50</f>
        <v>0.65053763440860213</v>
      </c>
      <c r="AT53" s="592">
        <f t="shared" si="96"/>
        <v>0.54380341880341876</v>
      </c>
      <c r="AU53" s="592">
        <f t="shared" ref="AU53:AW53" si="97">AU46/AU50</f>
        <v>0.85077720207253882</v>
      </c>
      <c r="AV53" s="593">
        <f t="shared" si="97"/>
        <v>0.55429162357807649</v>
      </c>
      <c r="AW53" s="594">
        <f t="shared" si="97"/>
        <v>2.6037934668071654</v>
      </c>
      <c r="AX53" s="591">
        <f t="shared" si="96"/>
        <v>0.92894309307542633</v>
      </c>
      <c r="AY53" s="592">
        <f t="shared" ca="1" si="96"/>
        <v>0.59384280293773051</v>
      </c>
      <c r="AZ53" s="592">
        <f t="shared" ca="1" si="96"/>
        <v>0.99110965832935694</v>
      </c>
      <c r="BA53" s="593">
        <f t="shared" ca="1" si="96"/>
        <v>0.54558555492550598</v>
      </c>
      <c r="BB53" s="594">
        <f t="shared" ca="1" si="96"/>
        <v>3.0594811092680181</v>
      </c>
      <c r="BC53" s="591">
        <f t="shared" ref="BC53:BL53" ca="1" si="98">BC46/BC50</f>
        <v>1.0049138734611716</v>
      </c>
      <c r="BD53" s="592">
        <f t="shared" ca="1" si="98"/>
        <v>0.50833941018419493</v>
      </c>
      <c r="BE53" s="592">
        <f t="shared" ca="1" si="98"/>
        <v>0.89046635565218646</v>
      </c>
      <c r="BF53" s="593">
        <f t="shared" ca="1" si="98"/>
        <v>0.5023119852266843</v>
      </c>
      <c r="BG53" s="594">
        <f t="shared" ca="1" si="98"/>
        <v>2.9060316245242377</v>
      </c>
      <c r="BH53" s="591">
        <f t="shared" ca="1" si="98"/>
        <v>0.92967732325857066</v>
      </c>
      <c r="BI53" s="592">
        <f t="shared" ca="1" si="98"/>
        <v>0.47334242503483298</v>
      </c>
      <c r="BJ53" s="592">
        <f t="shared" ca="1" si="98"/>
        <v>0.88359019794337534</v>
      </c>
      <c r="BK53" s="593">
        <f t="shared" ca="1" si="98"/>
        <v>0.54865739861489737</v>
      </c>
      <c r="BL53" s="594">
        <f t="shared" ca="1" si="98"/>
        <v>2.8352673448516783</v>
      </c>
      <c r="BM53" s="591">
        <f t="shared" ref="BM53:BQ53" ca="1" si="99">BM46/BM50</f>
        <v>0.86462929691561863</v>
      </c>
      <c r="BN53" s="592">
        <f t="shared" ca="1" si="99"/>
        <v>0.57854022785721648</v>
      </c>
      <c r="BO53" s="592">
        <f t="shared" ca="1" si="99"/>
        <v>0.95040565474290395</v>
      </c>
      <c r="BP53" s="593">
        <f t="shared" ca="1" si="99"/>
        <v>0.63433824826027341</v>
      </c>
      <c r="BQ53" s="1650">
        <f t="shared" ca="1" si="99"/>
        <v>3.0279134277760122</v>
      </c>
      <c r="BT53" s="1989"/>
      <c r="DR53"/>
      <c r="DS53"/>
      <c r="DT53"/>
      <c r="DU53"/>
      <c r="DV53"/>
      <c r="DW53"/>
      <c r="DX53" s="37"/>
    </row>
    <row r="54" spans="2:128" s="28" customFormat="1">
      <c r="C54" s="223" t="s">
        <v>309</v>
      </c>
      <c r="E54" s="386"/>
      <c r="F54" s="387"/>
      <c r="G54" s="387"/>
      <c r="H54" s="388"/>
      <c r="I54" s="936"/>
      <c r="J54" s="386">
        <f>J53/E53-1</f>
        <v>-0.1706398996235885</v>
      </c>
      <c r="K54" s="387">
        <f>K53/F53-1</f>
        <v>-4.0982337563530535E-2</v>
      </c>
      <c r="L54" s="387">
        <f>L53/G53-1</f>
        <v>0.16569568646513178</v>
      </c>
      <c r="M54" s="388">
        <f>M53/H53-1</f>
        <v>3.4502880597384156E-2</v>
      </c>
      <c r="N54" s="385">
        <f>N53/I53-1</f>
        <v>-1.3975691126757228E-2</v>
      </c>
      <c r="O54" s="386">
        <f t="shared" ref="O54:AA54" si="100">O53/J53-1</f>
        <v>0.17168674698795172</v>
      </c>
      <c r="P54" s="387">
        <f t="shared" si="100"/>
        <v>5.9299698795180822E-2</v>
      </c>
      <c r="Q54" s="387">
        <f t="shared" si="100"/>
        <v>2.3889222379358532E-3</v>
      </c>
      <c r="R54" s="388">
        <f t="shared" si="100"/>
        <v>-0.14154265024518187</v>
      </c>
      <c r="S54" s="385">
        <f t="shared" si="100"/>
        <v>2.4429239703945838E-2</v>
      </c>
      <c r="T54" s="386">
        <f t="shared" si="100"/>
        <v>-0.36864916752417065</v>
      </c>
      <c r="U54" s="387">
        <f t="shared" si="100"/>
        <v>-0.41905898443261502</v>
      </c>
      <c r="V54" s="387">
        <f t="shared" si="100"/>
        <v>-0.31280830340274302</v>
      </c>
      <c r="W54" s="388">
        <f t="shared" si="100"/>
        <v>-6.4462143361226021E-2</v>
      </c>
      <c r="X54" s="385">
        <f t="shared" si="100"/>
        <v>-0.31528036848340868</v>
      </c>
      <c r="Y54" s="386">
        <f t="shared" si="100"/>
        <v>-4.8194737960260747E-2</v>
      </c>
      <c r="Z54" s="387">
        <f t="shared" si="100"/>
        <v>-0.13431346342332706</v>
      </c>
      <c r="AA54" s="1520">
        <f t="shared" si="100"/>
        <v>1.014172616102349E-2</v>
      </c>
      <c r="AB54" s="1521">
        <f>AB53/W53-1</f>
        <v>-0.35371688645116117</v>
      </c>
      <c r="AC54" s="1522">
        <f>AC53/X53-1</f>
        <v>-0.12165335861862459</v>
      </c>
      <c r="AD54" s="386">
        <f>AD53/Y53-1</f>
        <v>-0.12573651128063246</v>
      </c>
      <c r="AE54" s="387">
        <f t="shared" ref="AE54:AH54" si="101">AE53/Z53-1</f>
        <v>-3.5323870125632206E-2</v>
      </c>
      <c r="AF54" s="1520">
        <f t="shared" si="101"/>
        <v>9.9701018552138532E-3</v>
      </c>
      <c r="AG54" s="388">
        <f t="shared" si="101"/>
        <v>-1.7378464334393384E-2</v>
      </c>
      <c r="AH54" s="385">
        <f t="shared" si="101"/>
        <v>-4.2147079606362992E-2</v>
      </c>
      <c r="AI54" s="386">
        <f>AI53/AD53-1</f>
        <v>0.15234706535222298</v>
      </c>
      <c r="AJ54" s="387">
        <f t="shared" ref="AJ54" si="102">AJ53/AE53-1</f>
        <v>0.15454545454545432</v>
      </c>
      <c r="AK54" s="1520">
        <f t="shared" ref="AK54" si="103">AK53/AF53-1</f>
        <v>5.6182300255440243E-2</v>
      </c>
      <c r="AL54" s="388">
        <f t="shared" ref="AL54" si="104">AL53/AG53-1</f>
        <v>-0.22755995978744792</v>
      </c>
      <c r="AM54" s="385">
        <f t="shared" ref="AM54" si="105">AM53/AH53-1</f>
        <v>4.1914222157723557E-2</v>
      </c>
      <c r="AN54" s="386">
        <f>AN53/AI53-1</f>
        <v>-3.6793671720500964E-2</v>
      </c>
      <c r="AO54" s="387">
        <f t="shared" ref="AO54:AP54" si="106">AO53/AJ53-1</f>
        <v>0.10936888828421298</v>
      </c>
      <c r="AP54" s="1520">
        <f t="shared" si="106"/>
        <v>9.6582917580467997E-2</v>
      </c>
      <c r="AQ54" s="388">
        <f t="shared" ref="AQ54" si="107">AQ53/AL53-1</f>
        <v>0.17933270396502032</v>
      </c>
      <c r="AR54" s="385">
        <f t="shared" ref="AR54" si="108">AR53/AM53-1</f>
        <v>7.6222044933490052E-2</v>
      </c>
      <c r="AS54" s="386">
        <f t="shared" ref="AS54:BB54" si="109">AS53/AN53-1</f>
        <v>-4.7868177487409902E-2</v>
      </c>
      <c r="AT54" s="387">
        <f t="shared" si="109"/>
        <v>-0.16628813607290427</v>
      </c>
      <c r="AU54" s="387">
        <f t="shared" ref="AU54" si="110">AU53/AP53-1</f>
        <v>-6.2222988916476263E-2</v>
      </c>
      <c r="AV54" s="388">
        <f t="shared" ref="AV54" si="111">AV53/AQ53-1</f>
        <v>0.25153923766534048</v>
      </c>
      <c r="AW54" s="385">
        <f t="shared" ref="AW54" si="112">AW53/AR53-1</f>
        <v>-2.9856694642185544E-2</v>
      </c>
      <c r="AX54" s="386">
        <f t="shared" si="109"/>
        <v>0.4279621100167712</v>
      </c>
      <c r="AY54" s="387">
        <f t="shared" ca="1" si="109"/>
        <v>9.2017413653665558E-2</v>
      </c>
      <c r="AZ54" s="387">
        <f t="shared" ca="1" si="109"/>
        <v>0.16494618792671067</v>
      </c>
      <c r="BA54" s="388">
        <f t="shared" ca="1" si="109"/>
        <v>-1.5706657438499416E-2</v>
      </c>
      <c r="BB54" s="385">
        <f t="shared" ca="1" si="109"/>
        <v>0.17500913504465765</v>
      </c>
      <c r="BC54" s="386">
        <f t="shared" ref="BC54" ca="1" si="113">BC53/AX53-1</f>
        <v>8.1781953008801533E-2</v>
      </c>
      <c r="BD54" s="387">
        <f t="shared" ref="BD54" ca="1" si="114">BD53/AY53-1</f>
        <v>-0.14398320958097277</v>
      </c>
      <c r="BE54" s="387">
        <f t="shared" ref="BE54" ca="1" si="115">BE53/AZ53-1</f>
        <v>-0.10154608204183757</v>
      </c>
      <c r="BF54" s="388">
        <f t="shared" ref="BF54" ca="1" si="116">BF53/BA53-1</f>
        <v>-7.9315827386101212E-2</v>
      </c>
      <c r="BG54" s="385">
        <f t="shared" ref="BG54" ca="1" si="117">BG53/BB53-1</f>
        <v>-5.0155395396604741E-2</v>
      </c>
      <c r="BH54" s="386">
        <f t="shared" ref="BH54" ca="1" si="118">BH53/BC53-1</f>
        <v>-7.4868655105205795E-2</v>
      </c>
      <c r="BI54" s="387">
        <f t="shared" ref="BI54" ca="1" si="119">BI53/BD53-1</f>
        <v>-6.8845705149401915E-2</v>
      </c>
      <c r="BJ54" s="387">
        <f t="shared" ref="BJ54" ca="1" si="120">BJ53/BE53-1</f>
        <v>-7.7219736210863976E-3</v>
      </c>
      <c r="BK54" s="388">
        <f t="shared" ref="BK54" ca="1" si="121">BK53/BF53-1</f>
        <v>9.2264199842450934E-2</v>
      </c>
      <c r="BL54" s="385">
        <f t="shared" ref="BL54" ca="1" si="122">BL53/BG53-1</f>
        <v>-2.435082917727871E-2</v>
      </c>
      <c r="BM54" s="386">
        <f t="shared" ref="BM54" ca="1" si="123">BM53/BH53-1</f>
        <v>-6.99683908766916E-2</v>
      </c>
      <c r="BN54" s="387">
        <f t="shared" ref="BN54" ca="1" si="124">BN53/BI53-1</f>
        <v>0.22224461036773135</v>
      </c>
      <c r="BO54" s="387">
        <f t="shared" ref="BO54" ca="1" si="125">BO53/BJ53-1</f>
        <v>7.561815076157119E-2</v>
      </c>
      <c r="BP54" s="388">
        <f t="shared" ref="BP54" ca="1" si="126">BP53/BK53-1</f>
        <v>0.15616457530998407</v>
      </c>
      <c r="BQ54" s="385">
        <f t="shared" ref="BQ54" ca="1" si="127">BQ53/BL53-1</f>
        <v>6.7946355490653643E-2</v>
      </c>
      <c r="BT54" s="228"/>
      <c r="DR54"/>
      <c r="DS54"/>
      <c r="DT54"/>
      <c r="DU54"/>
      <c r="DV54"/>
      <c r="DW54"/>
      <c r="DX54" s="37"/>
    </row>
    <row r="55" spans="2:128" s="28" customFormat="1">
      <c r="C55" s="223"/>
      <c r="E55" s="386"/>
      <c r="F55" s="387"/>
      <c r="G55" s="387"/>
      <c r="H55" s="388"/>
      <c r="I55" s="385"/>
      <c r="J55" s="386"/>
      <c r="K55" s="387"/>
      <c r="L55" s="387"/>
      <c r="M55" s="388"/>
      <c r="N55" s="385"/>
      <c r="O55" s="386"/>
      <c r="P55" s="387"/>
      <c r="Q55" s="387"/>
      <c r="R55" s="388"/>
      <c r="S55" s="385"/>
      <c r="T55" s="386"/>
      <c r="U55" s="387"/>
      <c r="V55" s="387"/>
      <c r="W55" s="388"/>
      <c r="X55" s="385"/>
      <c r="Y55" s="386"/>
      <c r="Z55" s="387"/>
      <c r="AA55" s="1520"/>
      <c r="AB55" s="1521"/>
      <c r="AC55" s="1523"/>
      <c r="AD55" s="1308"/>
      <c r="AE55" s="387"/>
      <c r="AF55" s="1309"/>
      <c r="AG55" s="1310"/>
      <c r="AH55" s="1307"/>
      <c r="AI55" s="1308"/>
      <c r="AJ55" s="1309"/>
      <c r="AK55" s="1309"/>
      <c r="AL55" s="1310"/>
      <c r="AM55" s="1307"/>
      <c r="AN55" s="1308"/>
      <c r="AO55" s="1309"/>
      <c r="AP55" s="1309"/>
      <c r="AQ55" s="1310"/>
      <c r="AR55" s="1307"/>
      <c r="AS55" s="1308"/>
      <c r="AT55" s="1309"/>
      <c r="AU55" s="1309"/>
      <c r="AV55" s="1310"/>
      <c r="AX55" s="1308"/>
      <c r="AY55" s="1309"/>
      <c r="AZ55" s="1309"/>
      <c r="BA55" s="1310"/>
      <c r="BC55" s="1308"/>
      <c r="BD55" s="1309"/>
      <c r="BE55" s="1309"/>
      <c r="BF55" s="1310"/>
      <c r="BH55" s="1308"/>
      <c r="BI55" s="1309"/>
      <c r="BJ55" s="1309"/>
      <c r="BK55" s="1310"/>
      <c r="BM55" s="1308"/>
      <c r="BN55" s="1309"/>
      <c r="BO55" s="1309"/>
      <c r="BP55" s="1310"/>
      <c r="BT55" s="228"/>
      <c r="DR55"/>
      <c r="DS55"/>
      <c r="DT55"/>
      <c r="DU55"/>
      <c r="DV55"/>
      <c r="DW55"/>
      <c r="DX55" s="37"/>
    </row>
    <row r="56" spans="2:128" s="28" customFormat="1">
      <c r="C56" s="223"/>
      <c r="E56" s="386"/>
      <c r="F56" s="387"/>
      <c r="G56" s="387"/>
      <c r="H56" s="388"/>
      <c r="I56" s="385"/>
      <c r="J56" s="386"/>
      <c r="K56" s="387"/>
      <c r="L56" s="387"/>
      <c r="M56" s="388"/>
      <c r="N56" s="385"/>
      <c r="O56" s="386"/>
      <c r="P56" s="387"/>
      <c r="Q56" s="387"/>
      <c r="R56" s="388"/>
      <c r="S56" s="385"/>
      <c r="T56" s="386"/>
      <c r="U56" s="387"/>
      <c r="V56" s="387"/>
      <c r="W56" s="388"/>
      <c r="X56" s="385"/>
      <c r="Y56" s="386"/>
      <c r="Z56" s="387"/>
      <c r="AA56" s="1520"/>
      <c r="AB56" s="1521"/>
      <c r="AC56" s="1523"/>
      <c r="AD56" s="1308"/>
      <c r="AE56" s="387"/>
      <c r="AF56" s="1309"/>
      <c r="AG56" s="1310"/>
      <c r="AH56" s="1307"/>
      <c r="AI56" s="1308"/>
      <c r="AJ56" s="1309"/>
      <c r="AK56" s="1309"/>
      <c r="AL56" s="1310"/>
      <c r="AM56" s="1307"/>
      <c r="AN56" s="1308"/>
      <c r="AO56" s="1309"/>
      <c r="AP56" s="1309"/>
      <c r="AQ56" s="1310"/>
      <c r="AR56" s="1307"/>
      <c r="AS56" s="1308"/>
      <c r="AT56" s="1309"/>
      <c r="AU56" s="1309"/>
      <c r="AV56" s="1310"/>
      <c r="AW56"/>
      <c r="AX56" s="1308"/>
      <c r="AY56" s="1309"/>
      <c r="AZ56" s="1309"/>
      <c r="BA56" s="1310"/>
      <c r="BB56" s="1307"/>
      <c r="BC56" s="1308"/>
      <c r="BD56" s="1309"/>
      <c r="BE56" s="1309"/>
      <c r="BF56" s="1310"/>
      <c r="BG56" s="1307"/>
      <c r="BH56" s="1308"/>
      <c r="BI56" s="1309"/>
      <c r="BJ56" s="1309"/>
      <c r="BK56" s="1310"/>
      <c r="BL56" s="1307"/>
      <c r="BM56" s="1308"/>
      <c r="BN56" s="1309"/>
      <c r="BO56" s="1309"/>
      <c r="BP56" s="1310"/>
      <c r="BQ56" s="1307"/>
      <c r="BT56" s="228"/>
      <c r="DR56"/>
      <c r="DS56"/>
      <c r="DT56"/>
      <c r="DU56"/>
      <c r="DV56"/>
      <c r="DW56"/>
      <c r="DX56" s="37"/>
    </row>
    <row r="57" spans="2:128" s="1289" customFormat="1">
      <c r="C57" s="1289" t="s">
        <v>1223</v>
      </c>
      <c r="E57" s="1292"/>
      <c r="F57" s="1293"/>
      <c r="G57" s="1293"/>
      <c r="H57" s="1294"/>
      <c r="I57" s="1288"/>
      <c r="J57" s="1292"/>
      <c r="K57" s="1293"/>
      <c r="L57" s="1293"/>
      <c r="M57" s="1294"/>
      <c r="N57" s="1288"/>
      <c r="O57" s="1292"/>
      <c r="P57" s="1293"/>
      <c r="Q57" s="1293"/>
      <c r="R57" s="1294"/>
      <c r="S57" s="1288"/>
      <c r="T57" s="1292"/>
      <c r="U57" s="1293"/>
      <c r="V57" s="1293"/>
      <c r="W57" s="1294"/>
      <c r="X57" s="1288"/>
      <c r="Y57" s="1292"/>
      <c r="Z57" s="1293"/>
      <c r="AA57" s="1524"/>
      <c r="AB57" s="1525"/>
      <c r="AC57" s="1526"/>
      <c r="AD57" s="1292"/>
      <c r="AE57" s="1293"/>
      <c r="AF57" s="1293"/>
      <c r="AG57" s="1294"/>
      <c r="AH57" s="1288"/>
      <c r="AI57" s="1292"/>
      <c r="AJ57" s="1293"/>
      <c r="AK57" s="1293"/>
      <c r="AL57" s="1294"/>
      <c r="AM57" s="1288"/>
      <c r="AN57" s="1292"/>
      <c r="AO57" s="1293"/>
      <c r="AP57" s="1293"/>
      <c r="AQ57" s="1294"/>
      <c r="AR57"/>
      <c r="AS57" s="1292"/>
      <c r="AT57" s="1293"/>
      <c r="AU57" s="1293"/>
      <c r="AV57" s="1294"/>
      <c r="AW57"/>
      <c r="AX57" s="1292"/>
      <c r="AY57" s="1293"/>
      <c r="AZ57" s="1293"/>
      <c r="BA57" s="1294"/>
      <c r="BB57" s="1288">
        <v>2.9</v>
      </c>
      <c r="BC57" s="1292"/>
      <c r="BD57" s="1293"/>
      <c r="BE57" s="1293"/>
      <c r="BF57" s="1294"/>
      <c r="BG57" s="1288"/>
      <c r="BH57" s="1292"/>
      <c r="BI57" s="1293"/>
      <c r="BJ57" s="1293"/>
      <c r="BK57" s="1294"/>
      <c r="BL57" s="1288"/>
      <c r="BM57" s="1292"/>
      <c r="BN57" s="1293"/>
      <c r="BO57" s="1293"/>
      <c r="BP57" s="1294"/>
      <c r="BQ57" s="1288"/>
      <c r="BT57" s="1290"/>
      <c r="DR57"/>
      <c r="DS57"/>
      <c r="DT57"/>
      <c r="DU57"/>
      <c r="DV57"/>
      <c r="DW57"/>
      <c r="DX57" s="1291"/>
    </row>
    <row r="58" spans="2:128" s="1289" customFormat="1">
      <c r="C58" s="2131" t="s">
        <v>1423</v>
      </c>
      <c r="E58" s="1292"/>
      <c r="F58" s="1293"/>
      <c r="G58" s="1293"/>
      <c r="H58" s="1294"/>
      <c r="I58" s="1288"/>
      <c r="J58" s="1292"/>
      <c r="K58" s="1293"/>
      <c r="L58" s="1293"/>
      <c r="M58" s="1294"/>
      <c r="N58" s="1288"/>
      <c r="O58" s="1292"/>
      <c r="P58" s="1293"/>
      <c r="Q58" s="1293"/>
      <c r="R58" s="1294"/>
      <c r="S58" s="1288"/>
      <c r="T58" s="1292"/>
      <c r="U58" s="1293"/>
      <c r="V58" s="1293"/>
      <c r="W58" s="1294"/>
      <c r="X58" s="1288"/>
      <c r="Y58" s="1292"/>
      <c r="Z58" s="1293"/>
      <c r="AA58" s="1524"/>
      <c r="AB58" s="1525"/>
      <c r="AC58" s="1526"/>
      <c r="AD58" s="1292"/>
      <c r="AE58" s="1293"/>
      <c r="AF58" s="1293"/>
      <c r="AG58" s="1294"/>
      <c r="AH58" s="1288"/>
      <c r="AI58" s="1292"/>
      <c r="AJ58" s="1293"/>
      <c r="AK58" s="1293"/>
      <c r="AL58" s="1294"/>
      <c r="AM58" s="1288"/>
      <c r="AN58" s="1292"/>
      <c r="AO58" s="1293"/>
      <c r="AP58" s="1293"/>
      <c r="AQ58" s="1294"/>
      <c r="AR58"/>
      <c r="AS58" s="1292"/>
      <c r="AT58" s="1293"/>
      <c r="AU58" s="1293"/>
      <c r="AV58" s="1294"/>
      <c r="AW58"/>
      <c r="AX58" s="1292"/>
      <c r="AY58" s="1293"/>
      <c r="AZ58" s="1293"/>
      <c r="BA58" s="1294"/>
      <c r="BB58" s="1288">
        <f>AVERAGE(BB57,BB59)</f>
        <v>3.05</v>
      </c>
      <c r="BC58" s="1292"/>
      <c r="BD58" s="1293"/>
      <c r="BE58" s="1293"/>
      <c r="BF58" s="1294"/>
      <c r="BG58" s="1288"/>
      <c r="BH58" s="1292"/>
      <c r="BI58" s="1293"/>
      <c r="BJ58" s="1293"/>
      <c r="BK58" s="1294"/>
      <c r="BL58" s="1288"/>
      <c r="BM58" s="1292"/>
      <c r="BN58" s="1293"/>
      <c r="BO58" s="1293"/>
      <c r="BP58" s="1294"/>
      <c r="BQ58" s="1288"/>
      <c r="BT58" s="1290"/>
      <c r="DR58"/>
      <c r="DS58"/>
      <c r="DT58"/>
      <c r="DU58"/>
      <c r="DV58"/>
      <c r="DW58"/>
      <c r="DX58" s="1291"/>
    </row>
    <row r="59" spans="2:128" s="1289" customFormat="1">
      <c r="C59" s="1289" t="s">
        <v>1224</v>
      </c>
      <c r="D59" s="1295"/>
      <c r="E59" s="1296"/>
      <c r="F59" s="1297"/>
      <c r="G59" s="1297"/>
      <c r="H59" s="1298"/>
      <c r="I59" s="1299"/>
      <c r="J59" s="1296"/>
      <c r="K59" s="1297"/>
      <c r="L59" s="1297"/>
      <c r="M59" s="1298"/>
      <c r="N59" s="1299"/>
      <c r="O59" s="1296"/>
      <c r="P59" s="1297"/>
      <c r="Q59" s="1297"/>
      <c r="R59" s="1298"/>
      <c r="S59" s="1299"/>
      <c r="T59" s="1296"/>
      <c r="U59" s="1297"/>
      <c r="V59" s="1293"/>
      <c r="W59" s="1294"/>
      <c r="X59" s="1288"/>
      <c r="Y59" s="1292"/>
      <c r="Z59" s="1293"/>
      <c r="AA59" s="1524"/>
      <c r="AB59" s="1525"/>
      <c r="AC59" s="1526"/>
      <c r="AD59" s="1292"/>
      <c r="AE59" s="1293"/>
      <c r="AF59" s="1293"/>
      <c r="AG59" s="1294"/>
      <c r="AH59" s="1288"/>
      <c r="AI59" s="1292"/>
      <c r="AJ59" s="1293"/>
      <c r="AK59" s="1293"/>
      <c r="AL59" s="1294"/>
      <c r="AM59" s="1288"/>
      <c r="AN59" s="1292"/>
      <c r="AO59" s="1293"/>
      <c r="AP59" s="1293"/>
      <c r="AQ59" s="1294"/>
      <c r="AR59"/>
      <c r="AS59" s="1292"/>
      <c r="AT59" s="1293"/>
      <c r="AU59" s="1293"/>
      <c r="AV59" s="1294"/>
      <c r="AW59" s="28"/>
      <c r="AX59" s="1292"/>
      <c r="AY59" s="1293"/>
      <c r="AZ59" s="1293"/>
      <c r="BA59" s="1294"/>
      <c r="BB59" s="1288">
        <v>3.2</v>
      </c>
      <c r="BC59" s="1292"/>
      <c r="BD59" s="1293"/>
      <c r="BE59" s="1293"/>
      <c r="BF59" s="1294"/>
      <c r="BG59" s="1288"/>
      <c r="BH59" s="1292"/>
      <c r="BI59" s="1293"/>
      <c r="BJ59" s="1293"/>
      <c r="BK59" s="1294"/>
      <c r="BL59" s="1288"/>
      <c r="BM59" s="1292"/>
      <c r="BN59" s="1293"/>
      <c r="BO59" s="1293"/>
      <c r="BP59" s="1294"/>
      <c r="BQ59" s="1288"/>
      <c r="BT59" s="1290"/>
      <c r="DR59"/>
      <c r="DS59"/>
      <c r="DT59"/>
      <c r="DU59"/>
      <c r="DV59"/>
      <c r="DW59"/>
      <c r="DX59" s="1291"/>
    </row>
    <row r="60" spans="2:128" s="28" customFormat="1">
      <c r="C60" s="1287"/>
      <c r="D60" s="793"/>
      <c r="E60" s="794"/>
      <c r="F60" s="795"/>
      <c r="G60" s="795"/>
      <c r="H60" s="796"/>
      <c r="I60" s="797"/>
      <c r="J60" s="794"/>
      <c r="K60" s="795"/>
      <c r="L60" s="795"/>
      <c r="M60" s="796"/>
      <c r="N60" s="797"/>
      <c r="O60" s="794"/>
      <c r="P60" s="795"/>
      <c r="Q60" s="795"/>
      <c r="R60" s="796"/>
      <c r="S60" s="797"/>
      <c r="T60" s="794"/>
      <c r="U60" s="795"/>
      <c r="V60" s="387"/>
      <c r="W60" s="388"/>
      <c r="X60" s="385"/>
      <c r="Y60" s="386"/>
      <c r="Z60" s="387"/>
      <c r="AA60" s="1520"/>
      <c r="AB60" s="1521"/>
      <c r="AC60" s="1526"/>
      <c r="AD60" s="386"/>
      <c r="AE60" s="387"/>
      <c r="AF60" s="387"/>
      <c r="AG60" s="388"/>
      <c r="AH60" s="1136"/>
      <c r="AI60" s="386"/>
      <c r="AJ60" s="387"/>
      <c r="AK60" s="387"/>
      <c r="AL60" s="388"/>
      <c r="AM60" s="1136"/>
      <c r="AN60" s="386"/>
      <c r="AO60" s="387"/>
      <c r="AP60" s="387"/>
      <c r="AQ60" s="388"/>
      <c r="AS60" s="386"/>
      <c r="AT60" s="387"/>
      <c r="AU60" s="387"/>
      <c r="AV60" s="388"/>
      <c r="AX60" s="1008"/>
      <c r="AY60" s="1009"/>
      <c r="AZ60" s="1009"/>
      <c r="BA60" s="1007"/>
      <c r="BC60" s="2290"/>
      <c r="BD60" s="2291"/>
      <c r="BE60" s="2291"/>
      <c r="BF60" s="2292"/>
      <c r="BH60" s="2290"/>
      <c r="BI60" s="2291"/>
      <c r="BJ60" s="2291"/>
      <c r="BK60" s="2292"/>
      <c r="BM60" s="2290"/>
      <c r="BN60" s="2291"/>
      <c r="BO60" s="2291"/>
      <c r="BP60" s="2292"/>
      <c r="BT60" s="228"/>
      <c r="DR60"/>
      <c r="DS60"/>
      <c r="DT60"/>
      <c r="DU60"/>
      <c r="DV60"/>
      <c r="DW60"/>
      <c r="DX60" s="37"/>
    </row>
    <row r="61" spans="2:128" s="28" customFormat="1">
      <c r="B61" s="73" t="s">
        <v>71</v>
      </c>
      <c r="C61" s="211"/>
      <c r="D61" s="211"/>
      <c r="E61" s="305"/>
      <c r="F61" s="36"/>
      <c r="G61" s="36"/>
      <c r="H61" s="270"/>
      <c r="I61" s="937"/>
      <c r="J61" s="305"/>
      <c r="K61" s="36"/>
      <c r="L61" s="36"/>
      <c r="M61" s="270"/>
      <c r="N61" s="20"/>
      <c r="O61" s="305"/>
      <c r="P61" s="36"/>
      <c r="Q61" s="36"/>
      <c r="R61" s="270"/>
      <c r="S61" s="20"/>
      <c r="T61" s="305"/>
      <c r="U61" s="36"/>
      <c r="V61" s="36"/>
      <c r="W61" s="685"/>
      <c r="X61" s="26"/>
      <c r="Y61" s="305"/>
      <c r="Z61" s="36"/>
      <c r="AA61" s="36"/>
      <c r="AB61" s="685"/>
      <c r="AC61" s="1129"/>
      <c r="AD61" s="1008"/>
      <c r="AE61" s="36"/>
      <c r="AF61" s="1009"/>
      <c r="AG61" s="1007"/>
      <c r="AH61" s="1129"/>
      <c r="AI61" s="1008"/>
      <c r="AJ61" s="1009"/>
      <c r="AK61" s="1009"/>
      <c r="AL61" s="1007"/>
      <c r="AM61" s="1129"/>
      <c r="AN61" s="1008"/>
      <c r="AO61" s="1009"/>
      <c r="AP61" s="1009"/>
      <c r="AQ61" s="1007"/>
      <c r="AS61" s="1008"/>
      <c r="AT61" s="1009"/>
      <c r="AU61" s="1009"/>
      <c r="AV61" s="1007"/>
      <c r="AX61" s="1008"/>
      <c r="AY61" s="1009"/>
      <c r="AZ61" s="1009"/>
      <c r="BA61" s="1007"/>
      <c r="BC61" s="1008"/>
      <c r="BD61" s="1009"/>
      <c r="BE61" s="1009"/>
      <c r="BF61" s="1007"/>
      <c r="BH61" s="1008"/>
      <c r="BI61" s="1009"/>
      <c r="BJ61" s="1009"/>
      <c r="BK61" s="1007"/>
      <c r="BM61" s="1008"/>
      <c r="BN61" s="1009"/>
      <c r="BO61" s="1009"/>
      <c r="BP61" s="1007"/>
      <c r="BT61" s="45"/>
      <c r="DR61"/>
      <c r="DS61"/>
      <c r="DT61"/>
      <c r="DU61"/>
      <c r="DV61"/>
      <c r="DW61"/>
      <c r="DX61" s="37"/>
    </row>
    <row r="62" spans="2:128" s="28" customFormat="1">
      <c r="C62" s="32" t="s">
        <v>220</v>
      </c>
      <c r="E62" s="305"/>
      <c r="F62" s="36"/>
      <c r="G62" s="36"/>
      <c r="H62" s="685"/>
      <c r="I62" s="938"/>
      <c r="J62" s="305"/>
      <c r="K62" s="36"/>
      <c r="L62" s="36"/>
      <c r="M62" s="685"/>
      <c r="N62" s="26"/>
      <c r="O62" s="305"/>
      <c r="P62" s="36"/>
      <c r="Q62" s="36"/>
      <c r="R62" s="685"/>
      <c r="S62" s="26"/>
      <c r="T62" s="305"/>
      <c r="U62" s="36"/>
      <c r="V62" s="36"/>
      <c r="W62" s="685"/>
      <c r="X62" s="26"/>
      <c r="Y62" s="305"/>
      <c r="Z62" s="36"/>
      <c r="AA62" s="36"/>
      <c r="AB62" s="685"/>
      <c r="AC62" s="203"/>
      <c r="AD62" s="305"/>
      <c r="AE62" s="36"/>
      <c r="AF62" s="36"/>
      <c r="AG62" s="685"/>
      <c r="AH62" s="1311"/>
      <c r="AI62" s="305"/>
      <c r="AJ62" s="36"/>
      <c r="AK62" s="36"/>
      <c r="AL62" s="685"/>
      <c r="AM62" s="203"/>
      <c r="AN62" s="305"/>
      <c r="AO62" s="36"/>
      <c r="AP62" s="36"/>
      <c r="AQ62" s="685"/>
      <c r="AR62" s="203"/>
      <c r="AS62" s="305"/>
      <c r="AT62" s="36"/>
      <c r="AU62" s="36"/>
      <c r="AV62" s="685"/>
      <c r="AW62" s="203"/>
      <c r="AX62" s="305"/>
      <c r="AY62" s="36"/>
      <c r="AZ62" s="36"/>
      <c r="BA62" s="685"/>
      <c r="BB62" s="203"/>
      <c r="BC62" s="305"/>
      <c r="BD62" s="36"/>
      <c r="BE62" s="36"/>
      <c r="BF62" s="685"/>
      <c r="BG62" s="203"/>
      <c r="BH62" s="305"/>
      <c r="BI62" s="36"/>
      <c r="BJ62" s="36"/>
      <c r="BK62" s="685"/>
      <c r="BL62" s="203"/>
      <c r="BM62" s="305"/>
      <c r="BN62" s="36"/>
      <c r="BO62" s="36"/>
      <c r="BP62" s="685"/>
      <c r="BQ62" s="203"/>
      <c r="BT62" s="45"/>
      <c r="DR62"/>
      <c r="DS62"/>
      <c r="DT62"/>
      <c r="DU62"/>
      <c r="DV62"/>
      <c r="DW62"/>
      <c r="DX62" s="37"/>
    </row>
    <row r="63" spans="2:128" s="28" customFormat="1">
      <c r="C63" s="391" t="s">
        <v>92</v>
      </c>
      <c r="E63" s="676">
        <v>0.52500000000000002</v>
      </c>
      <c r="F63" s="677">
        <v>0.52500000000000002</v>
      </c>
      <c r="G63" s="677">
        <v>0.52500000000000002</v>
      </c>
      <c r="H63" s="678">
        <f>2.1-G63-F63-E63</f>
        <v>0.52500000000000024</v>
      </c>
      <c r="I63" s="939">
        <f>SUM(E63:H63)</f>
        <v>2.1000000000000005</v>
      </c>
      <c r="J63" s="676">
        <v>0.52500000000000002</v>
      </c>
      <c r="K63" s="677">
        <v>0.52500000000000002</v>
      </c>
      <c r="L63" s="677">
        <v>0.52500000000000002</v>
      </c>
      <c r="M63" s="678">
        <f>2.1-L63-K63-J63</f>
        <v>0.52500000000000024</v>
      </c>
      <c r="N63" s="366">
        <f>SUM(J63:M63)</f>
        <v>2.1000000000000005</v>
      </c>
      <c r="O63" s="676">
        <v>0.52500000000000002</v>
      </c>
      <c r="P63" s="677">
        <v>0.52500000000000002</v>
      </c>
      <c r="Q63" s="677">
        <v>0.52500000000000002</v>
      </c>
      <c r="R63" s="678">
        <f>2.1-Q63-P63-O63</f>
        <v>0.52500000000000024</v>
      </c>
      <c r="S63" s="366">
        <f>SUM(O63:R63)</f>
        <v>2.1000000000000005</v>
      </c>
      <c r="T63" s="1153">
        <v>0.52500000000000002</v>
      </c>
      <c r="U63" s="1154">
        <v>0.53</v>
      </c>
      <c r="V63" s="1154">
        <v>0.53</v>
      </c>
      <c r="W63" s="405">
        <f>X63-T63-U63-V63</f>
        <v>0.51500000000000012</v>
      </c>
      <c r="X63" s="1328">
        <v>2.1</v>
      </c>
      <c r="Y63" s="1153">
        <v>0.52500000000000002</v>
      </c>
      <c r="Z63" s="1154">
        <v>0.31</v>
      </c>
      <c r="AA63" s="1527">
        <v>0.31</v>
      </c>
      <c r="AB63" s="1528">
        <f>AC63-Y63-Z63-AA63</f>
        <v>0.315</v>
      </c>
      <c r="AC63" s="1529">
        <v>1.46</v>
      </c>
      <c r="AD63" s="1153">
        <v>0.31</v>
      </c>
      <c r="AE63" s="1154">
        <v>0.31</v>
      </c>
      <c r="AF63" s="1154">
        <v>0.31</v>
      </c>
      <c r="AG63" s="1528">
        <f>AH63-AD63-AE63-AF63</f>
        <v>0.30999999999999989</v>
      </c>
      <c r="AH63" s="1529">
        <v>1.24</v>
      </c>
      <c r="AI63" s="1153">
        <v>0.31</v>
      </c>
      <c r="AJ63" s="1154">
        <v>0.31</v>
      </c>
      <c r="AK63" s="1154">
        <v>0.31</v>
      </c>
      <c r="AL63" s="1528">
        <f>AM63-AI63-AJ63-AK63</f>
        <v>0.30999999999999989</v>
      </c>
      <c r="AM63" s="1529">
        <v>1.24</v>
      </c>
      <c r="AN63" s="1153">
        <v>0.31</v>
      </c>
      <c r="AO63" s="1154">
        <v>0.32</v>
      </c>
      <c r="AP63" s="1154">
        <v>0.32</v>
      </c>
      <c r="AQ63" s="1528">
        <f>AR63-AN63-AO63-AP63</f>
        <v>0.30999999999999989</v>
      </c>
      <c r="AR63" s="1529">
        <v>1.26</v>
      </c>
      <c r="AS63" s="1153">
        <v>0.33</v>
      </c>
      <c r="AT63" s="1154">
        <v>0.33</v>
      </c>
      <c r="AU63" s="1154">
        <v>0.33</v>
      </c>
      <c r="AV63" s="1528">
        <f>AW63-AS63-AT63-AU63</f>
        <v>0.3199999999999999</v>
      </c>
      <c r="AW63" s="1529">
        <v>1.31</v>
      </c>
      <c r="AX63" s="2299">
        <v>0.34499999999999997</v>
      </c>
      <c r="AY63" s="1009">
        <f>+AX63</f>
        <v>0.34499999999999997</v>
      </c>
      <c r="AZ63" s="1009">
        <f>+AY63</f>
        <v>0.34499999999999997</v>
      </c>
      <c r="BA63" s="1007">
        <f>+AZ63</f>
        <v>0.34499999999999997</v>
      </c>
      <c r="BB63" s="1062">
        <f>SUM(AX63:BA63)</f>
        <v>1.38</v>
      </c>
      <c r="BC63" s="1008">
        <f>BA63*(1+BC64)</f>
        <v>0.36224999999999996</v>
      </c>
      <c r="BD63" s="1009">
        <f>+BC63</f>
        <v>0.36224999999999996</v>
      </c>
      <c r="BE63" s="1009">
        <f>BD63</f>
        <v>0.36224999999999996</v>
      </c>
      <c r="BF63" s="1007">
        <f>+BE63</f>
        <v>0.36224999999999996</v>
      </c>
      <c r="BG63" s="1062">
        <f>SUM(BC63:BF63)</f>
        <v>1.4489999999999998</v>
      </c>
      <c r="BH63" s="1008">
        <f>BF63*(1+BH64)</f>
        <v>0.38036249999999999</v>
      </c>
      <c r="BI63" s="1009">
        <f>+BH63</f>
        <v>0.38036249999999999</v>
      </c>
      <c r="BJ63" s="1009">
        <f>BI63</f>
        <v>0.38036249999999999</v>
      </c>
      <c r="BK63" s="1007">
        <f>+BJ63</f>
        <v>0.38036249999999999</v>
      </c>
      <c r="BL63" s="1062">
        <f>SUM(BH63:BK63)</f>
        <v>1.52145</v>
      </c>
      <c r="BM63" s="1008">
        <f>BK63*(1+BM64)</f>
        <v>0.39938062499999999</v>
      </c>
      <c r="BN63" s="1009">
        <f>+BM63</f>
        <v>0.39938062499999999</v>
      </c>
      <c r="BO63" s="1009">
        <f>BN63</f>
        <v>0.39938062499999999</v>
      </c>
      <c r="BP63" s="1007">
        <f>+BO63</f>
        <v>0.39938062499999999</v>
      </c>
      <c r="BQ63" s="1062">
        <f>SUM(BM63:BP63)</f>
        <v>1.5975225</v>
      </c>
      <c r="BT63" s="45"/>
      <c r="DR63"/>
      <c r="DS63"/>
      <c r="DT63"/>
      <c r="DU63"/>
      <c r="DV63"/>
      <c r="DW63"/>
      <c r="DX63" s="37"/>
    </row>
    <row r="64" spans="2:128" s="223" customFormat="1">
      <c r="C64" s="223" t="s">
        <v>115</v>
      </c>
      <c r="E64" s="275"/>
      <c r="F64" s="252"/>
      <c r="G64" s="252"/>
      <c r="H64" s="276"/>
      <c r="I64" s="940"/>
      <c r="J64" s="376">
        <f>IF(J63=0,0,J63/E63-1)</f>
        <v>0</v>
      </c>
      <c r="K64" s="377">
        <f>IF(K63=0,0,K63/F63-1)</f>
        <v>0</v>
      </c>
      <c r="L64" s="377">
        <f>IF(L63=0,0,L63/G63-1)</f>
        <v>0</v>
      </c>
      <c r="M64" s="378">
        <f>IF(M63=0,0,M63/H63-1)</f>
        <v>0</v>
      </c>
      <c r="N64" s="375">
        <f>+N63/I63-1</f>
        <v>0</v>
      </c>
      <c r="O64" s="376">
        <f>IF(O63=0,0,O63/J63-1)</f>
        <v>0</v>
      </c>
      <c r="P64" s="377">
        <f>IF(P63=0,0,P63/K63-1)</f>
        <v>0</v>
      </c>
      <c r="Q64" s="377">
        <f>IF(Q63=0,0,Q63/L63-1)</f>
        <v>0</v>
      </c>
      <c r="R64" s="378">
        <f>IF(R63=0,0,R63/M63-1)</f>
        <v>0</v>
      </c>
      <c r="S64" s="375">
        <f>+S63/N63-1</f>
        <v>0</v>
      </c>
      <c r="T64" s="376">
        <f t="shared" ref="T64:AF64" si="128">+T63/O63-1</f>
        <v>0</v>
      </c>
      <c r="U64" s="377">
        <f t="shared" si="128"/>
        <v>9.52380952380949E-3</v>
      </c>
      <c r="V64" s="377">
        <f t="shared" si="128"/>
        <v>9.52380952380949E-3</v>
      </c>
      <c r="W64" s="378">
        <f t="shared" si="128"/>
        <v>-1.9047619047619313E-2</v>
      </c>
      <c r="X64" s="691">
        <f t="shared" si="128"/>
        <v>0</v>
      </c>
      <c r="Y64" s="376">
        <f t="shared" si="128"/>
        <v>0</v>
      </c>
      <c r="Z64" s="377">
        <f t="shared" si="128"/>
        <v>-0.41509433962264153</v>
      </c>
      <c r="AA64" s="377">
        <f t="shared" si="128"/>
        <v>-0.41509433962264153</v>
      </c>
      <c r="AB64" s="378">
        <f t="shared" si="128"/>
        <v>-0.38834951456310696</v>
      </c>
      <c r="AC64" s="691">
        <f t="shared" si="128"/>
        <v>-0.30476190476190479</v>
      </c>
      <c r="AD64" s="376">
        <f t="shared" si="128"/>
        <v>-0.40952380952380951</v>
      </c>
      <c r="AE64" s="377">
        <f t="shared" si="128"/>
        <v>0</v>
      </c>
      <c r="AF64" s="377">
        <f t="shared" si="128"/>
        <v>0</v>
      </c>
      <c r="AG64" s="378">
        <f t="shared" ref="AG64" si="129">+AG63/AB63-1</f>
        <v>-1.5873015873016261E-2</v>
      </c>
      <c r="AH64" s="691">
        <f t="shared" ref="AH64" si="130">+AH63/AC63-1</f>
        <v>-0.15068493150684925</v>
      </c>
      <c r="AI64" s="376">
        <f t="shared" ref="AI64" si="131">+AI63/AD63-1</f>
        <v>0</v>
      </c>
      <c r="AJ64" s="377">
        <f t="shared" ref="AJ64" si="132">+AJ63/AE63-1</f>
        <v>0</v>
      </c>
      <c r="AK64" s="377">
        <f t="shared" ref="AK64" si="133">+AK63/AF63-1</f>
        <v>0</v>
      </c>
      <c r="AL64" s="378">
        <f t="shared" ref="AL64" si="134">+AL63/AG63-1</f>
        <v>0</v>
      </c>
      <c r="AM64" s="691">
        <f t="shared" ref="AM64:AP64" si="135">+AM63/AH63-1</f>
        <v>0</v>
      </c>
      <c r="AN64" s="376">
        <f t="shared" si="135"/>
        <v>0</v>
      </c>
      <c r="AO64" s="377">
        <f t="shared" si="135"/>
        <v>3.2258064516129004E-2</v>
      </c>
      <c r="AP64" s="377">
        <f t="shared" si="135"/>
        <v>3.2258064516129004E-2</v>
      </c>
      <c r="AQ64" s="378">
        <f t="shared" ref="AQ64" si="136">+AQ63/AL63-1</f>
        <v>0</v>
      </c>
      <c r="AR64" s="691">
        <f t="shared" ref="AR64:AU64" si="137">+AR63/AM63-1</f>
        <v>1.6129032258064502E-2</v>
      </c>
      <c r="AS64" s="376">
        <f t="shared" si="137"/>
        <v>6.4516129032258229E-2</v>
      </c>
      <c r="AT64" s="377">
        <f t="shared" si="137"/>
        <v>3.125E-2</v>
      </c>
      <c r="AU64" s="377">
        <f t="shared" si="137"/>
        <v>3.125E-2</v>
      </c>
      <c r="AV64" s="378">
        <f t="shared" ref="AV64" si="138">+AV63/AQ63-1</f>
        <v>3.2258064516129004E-2</v>
      </c>
      <c r="AW64" s="691">
        <f t="shared" ref="AW64" si="139">+AW63/AR63-1</f>
        <v>3.9682539682539764E-2</v>
      </c>
      <c r="AX64" s="376">
        <f>+AX63/AS63-1</f>
        <v>4.5454545454545414E-2</v>
      </c>
      <c r="AY64" s="377">
        <f t="shared" ref="AY64:BL64" si="140">+AY63/AT63-1</f>
        <v>4.5454545454545414E-2</v>
      </c>
      <c r="AZ64" s="377">
        <f>+AZ63/AU63-1</f>
        <v>4.5454545454545414E-2</v>
      </c>
      <c r="BA64" s="378">
        <f t="shared" si="140"/>
        <v>7.8125000000000222E-2</v>
      </c>
      <c r="BB64" s="691">
        <f t="shared" si="140"/>
        <v>5.3435114503816772E-2</v>
      </c>
      <c r="BC64" s="2298">
        <v>0.05</v>
      </c>
      <c r="BD64" s="377">
        <f t="shared" si="140"/>
        <v>5.0000000000000044E-2</v>
      </c>
      <c r="BE64" s="377">
        <f>+BE63/AZ63-1</f>
        <v>5.0000000000000044E-2</v>
      </c>
      <c r="BF64" s="378">
        <f t="shared" ref="BF64" si="141">+BF63/BA63-1</f>
        <v>5.0000000000000044E-2</v>
      </c>
      <c r="BG64" s="691">
        <f t="shared" si="140"/>
        <v>5.0000000000000044E-2</v>
      </c>
      <c r="BH64" s="2298">
        <v>0.05</v>
      </c>
      <c r="BI64" s="377">
        <f t="shared" ref="BI64" si="142">+BI63/BD63-1</f>
        <v>5.0000000000000044E-2</v>
      </c>
      <c r="BJ64" s="377">
        <f>+BJ63/BE63-1</f>
        <v>5.0000000000000044E-2</v>
      </c>
      <c r="BK64" s="378">
        <f t="shared" ref="BK64" si="143">+BK63/BF63-1</f>
        <v>5.0000000000000044E-2</v>
      </c>
      <c r="BL64" s="691">
        <f t="shared" si="140"/>
        <v>5.0000000000000044E-2</v>
      </c>
      <c r="BM64" s="2298">
        <v>0.05</v>
      </c>
      <c r="BN64" s="377">
        <f t="shared" ref="BN64" si="144">+BN63/BI63-1</f>
        <v>5.0000000000000044E-2</v>
      </c>
      <c r="BO64" s="377">
        <f>+BO63/BJ63-1</f>
        <v>5.0000000000000044E-2</v>
      </c>
      <c r="BP64" s="378">
        <f t="shared" ref="BP64" si="145">+BP63/BK63-1</f>
        <v>5.0000000000000044E-2</v>
      </c>
      <c r="BQ64" s="691">
        <f t="shared" ref="BQ64" si="146">+BQ63/BL63-1</f>
        <v>5.0000000000000044E-2</v>
      </c>
      <c r="BT64" s="1039"/>
      <c r="DR64"/>
      <c r="DS64"/>
      <c r="DT64"/>
      <c r="DU64"/>
      <c r="DV64"/>
      <c r="DW64"/>
      <c r="DX64" s="822"/>
    </row>
    <row r="65" spans="2:128" s="28" customFormat="1">
      <c r="E65" s="275"/>
      <c r="F65" s="252"/>
      <c r="G65" s="252"/>
      <c r="H65" s="276"/>
      <c r="I65" s="940"/>
      <c r="J65" s="275"/>
      <c r="K65" s="252"/>
      <c r="L65" s="252"/>
      <c r="M65" s="276"/>
      <c r="N65" s="222"/>
      <c r="O65" s="275"/>
      <c r="P65" s="252"/>
      <c r="Q65" s="252"/>
      <c r="R65" s="276"/>
      <c r="S65" s="222"/>
      <c r="T65" s="275"/>
      <c r="U65" s="252"/>
      <c r="V65" s="252"/>
      <c r="W65" s="276"/>
      <c r="X65" s="222"/>
      <c r="Y65" s="275"/>
      <c r="Z65" s="252"/>
      <c r="AA65" s="252"/>
      <c r="AB65" s="276"/>
      <c r="AC65" s="222"/>
      <c r="AD65" s="275"/>
      <c r="AE65" s="252"/>
      <c r="AF65" s="252"/>
      <c r="AG65" s="276"/>
      <c r="AH65" s="222"/>
      <c r="AI65" s="275"/>
      <c r="AJ65" s="252"/>
      <c r="AK65" s="252"/>
      <c r="AL65" s="276"/>
      <c r="AM65" s="222"/>
      <c r="AN65" s="275"/>
      <c r="AO65" s="252"/>
      <c r="AP65" s="252"/>
      <c r="AQ65" s="276"/>
      <c r="AR65" s="222"/>
      <c r="AS65" s="275"/>
      <c r="AT65" s="252"/>
      <c r="AU65" s="252"/>
      <c r="AV65" s="276"/>
      <c r="AW65" s="222"/>
      <c r="AX65" s="275"/>
      <c r="AY65" s="252"/>
      <c r="AZ65" s="252"/>
      <c r="BA65" s="276"/>
      <c r="BB65" s="222"/>
      <c r="BC65" s="275"/>
      <c r="BD65" s="252"/>
      <c r="BE65" s="252"/>
      <c r="BF65" s="276"/>
      <c r="BG65" s="222"/>
      <c r="BH65" s="275"/>
      <c r="BI65" s="252"/>
      <c r="BJ65" s="252"/>
      <c r="BK65" s="276"/>
      <c r="BL65" s="222"/>
      <c r="BM65" s="275"/>
      <c r="BN65" s="252"/>
      <c r="BO65" s="252"/>
      <c r="BP65" s="276"/>
      <c r="BQ65" s="222"/>
      <c r="BT65" s="45"/>
      <c r="DR65"/>
      <c r="DS65"/>
      <c r="DT65"/>
      <c r="DU65"/>
      <c r="DV65"/>
      <c r="DW65"/>
      <c r="DX65" s="37"/>
    </row>
    <row r="66" spans="2:128" s="28" customFormat="1">
      <c r="C66" s="28" t="s">
        <v>1281</v>
      </c>
      <c r="E66" s="345">
        <f>-E167</f>
        <v>346</v>
      </c>
      <c r="F66" s="346">
        <f t="shared" ref="F66:T66" si="147">-F167</f>
        <v>346</v>
      </c>
      <c r="G66" s="346">
        <f t="shared" si="147"/>
        <v>346</v>
      </c>
      <c r="H66" s="347">
        <f t="shared" si="147"/>
        <v>347</v>
      </c>
      <c r="I66" s="935">
        <f t="shared" si="147"/>
        <v>1385</v>
      </c>
      <c r="J66" s="345">
        <f t="shared" si="147"/>
        <v>347</v>
      </c>
      <c r="K66" s="346">
        <f t="shared" si="147"/>
        <v>347</v>
      </c>
      <c r="L66" s="346">
        <f t="shared" si="147"/>
        <v>348</v>
      </c>
      <c r="M66" s="347">
        <f t="shared" si="147"/>
        <v>347</v>
      </c>
      <c r="N66" s="349">
        <f t="shared" si="147"/>
        <v>1389</v>
      </c>
      <c r="O66" s="345">
        <f t="shared" si="147"/>
        <v>348</v>
      </c>
      <c r="P66" s="346">
        <f t="shared" si="147"/>
        <v>347</v>
      </c>
      <c r="Q66" s="346">
        <f t="shared" si="147"/>
        <v>349</v>
      </c>
      <c r="R66" s="347">
        <f t="shared" si="147"/>
        <v>349</v>
      </c>
      <c r="S66" s="349">
        <f t="shared" si="147"/>
        <v>1393</v>
      </c>
      <c r="T66" s="345">
        <f t="shared" si="147"/>
        <v>350</v>
      </c>
      <c r="U66" s="346">
        <f t="shared" ref="U66:Z66" si="148">-U167</f>
        <v>474</v>
      </c>
      <c r="V66" s="346">
        <f t="shared" si="148"/>
        <v>453</v>
      </c>
      <c r="W66" s="347">
        <f t="shared" si="148"/>
        <v>439</v>
      </c>
      <c r="X66" s="349">
        <f t="shared" si="148"/>
        <v>1716</v>
      </c>
      <c r="Y66" s="345">
        <f t="shared" si="148"/>
        <v>450</v>
      </c>
      <c r="Z66" s="346">
        <f t="shared" si="148"/>
        <v>266</v>
      </c>
      <c r="AA66" s="346">
        <f t="shared" ref="AA66:AH66" si="149">-AA167</f>
        <v>265</v>
      </c>
      <c r="AB66" s="347">
        <f t="shared" si="149"/>
        <v>268</v>
      </c>
      <c r="AC66" s="349">
        <f t="shared" si="149"/>
        <v>1249</v>
      </c>
      <c r="AD66" s="345">
        <f t="shared" si="149"/>
        <v>266</v>
      </c>
      <c r="AE66" s="346">
        <f t="shared" si="149"/>
        <v>267</v>
      </c>
      <c r="AF66" s="346">
        <f t="shared" si="149"/>
        <v>266</v>
      </c>
      <c r="AG66" s="347">
        <f t="shared" si="149"/>
        <v>266</v>
      </c>
      <c r="AH66" s="349">
        <f t="shared" si="149"/>
        <v>1065</v>
      </c>
      <c r="AI66" s="345">
        <f t="shared" ref="AI66:AM66" si="150">-AI167</f>
        <v>269</v>
      </c>
      <c r="AJ66" s="346">
        <f t="shared" si="150"/>
        <v>268</v>
      </c>
      <c r="AK66" s="346">
        <f t="shared" si="150"/>
        <v>282</v>
      </c>
      <c r="AL66" s="347">
        <f t="shared" si="150"/>
        <v>286</v>
      </c>
      <c r="AM66" s="349">
        <f t="shared" si="150"/>
        <v>1105</v>
      </c>
      <c r="AN66" s="345">
        <f t="shared" ref="AN66:AR66" si="151">-AN167</f>
        <v>287</v>
      </c>
      <c r="AO66" s="346">
        <f t="shared" si="151"/>
        <v>295</v>
      </c>
      <c r="AP66" s="346">
        <f t="shared" si="151"/>
        <v>291</v>
      </c>
      <c r="AQ66" s="347">
        <f t="shared" si="151"/>
        <v>293</v>
      </c>
      <c r="AR66" s="349">
        <f t="shared" si="151"/>
        <v>1166</v>
      </c>
      <c r="AS66" s="345">
        <f t="shared" ref="AS66:AT66" si="152">-AS167</f>
        <v>303</v>
      </c>
      <c r="AT66" s="346">
        <f t="shared" si="152"/>
        <v>304</v>
      </c>
      <c r="AU66" s="346">
        <f t="shared" ref="AU66:AW66" si="153">-AU167</f>
        <v>314</v>
      </c>
      <c r="AV66" s="347">
        <f t="shared" si="153"/>
        <v>315</v>
      </c>
      <c r="AW66" s="349">
        <f t="shared" si="153"/>
        <v>1236</v>
      </c>
      <c r="AX66" s="345">
        <f>AX49*AX63</f>
        <v>332.23499999999996</v>
      </c>
      <c r="AY66" s="346">
        <f>AY49*AY63</f>
        <v>332.23499999999996</v>
      </c>
      <c r="AZ66" s="346">
        <f>AZ49*AZ63</f>
        <v>332.23499999999996</v>
      </c>
      <c r="BA66" s="347">
        <f>BA49*BA63</f>
        <v>332.23499999999996</v>
      </c>
      <c r="BB66" s="349">
        <f>SUM(AX66:BA66)</f>
        <v>1328.9399999999998</v>
      </c>
      <c r="BC66" s="345">
        <f>BC49*BC63</f>
        <v>348.84674999999999</v>
      </c>
      <c r="BD66" s="346">
        <f>BD49*BD63</f>
        <v>348.84674999999999</v>
      </c>
      <c r="BE66" s="346">
        <f>BE49*BE63</f>
        <v>348.84674999999999</v>
      </c>
      <c r="BF66" s="347">
        <f>BF49*BF63</f>
        <v>348.84674999999999</v>
      </c>
      <c r="BG66" s="349">
        <f>SUM(BC66:BF66)</f>
        <v>1395.3869999999999</v>
      </c>
      <c r="BH66" s="345">
        <f>BH49*BH63</f>
        <v>366.28908749999999</v>
      </c>
      <c r="BI66" s="346">
        <f>BI49*BI63</f>
        <v>366.28908749999999</v>
      </c>
      <c r="BJ66" s="346">
        <f>BJ49*BJ63</f>
        <v>366.28908749999999</v>
      </c>
      <c r="BK66" s="347">
        <f>BK49*BK63</f>
        <v>366.28908749999999</v>
      </c>
      <c r="BL66" s="349">
        <f>SUM(BH66:BK66)</f>
        <v>1465.15635</v>
      </c>
      <c r="BM66" s="345">
        <f>BM49*BM63</f>
        <v>384.60354187499996</v>
      </c>
      <c r="BN66" s="346">
        <f>BN49*BN63</f>
        <v>384.60354187499996</v>
      </c>
      <c r="BO66" s="346">
        <f>BO49*BO63</f>
        <v>384.60354187499996</v>
      </c>
      <c r="BP66" s="347">
        <f>BP49*BP63</f>
        <v>384.60354187499996</v>
      </c>
      <c r="BQ66" s="349">
        <f>SUM(BM66:BP66)</f>
        <v>1538.4141674999998</v>
      </c>
      <c r="BT66" s="45"/>
      <c r="DR66"/>
      <c r="DS66"/>
      <c r="DT66"/>
      <c r="DU66"/>
      <c r="DV66"/>
      <c r="DW66"/>
      <c r="DX66" s="37"/>
    </row>
    <row r="67" spans="2:128" s="223" customFormat="1">
      <c r="C67" s="223" t="s">
        <v>1049</v>
      </c>
      <c r="E67" s="275">
        <f t="shared" ref="E67:AJ67" si="154">+E63/E53</f>
        <v>0.43541405269761607</v>
      </c>
      <c r="F67" s="252">
        <f t="shared" si="154"/>
        <v>0.50808931185944362</v>
      </c>
      <c r="G67" s="252">
        <f t="shared" si="154"/>
        <v>0.54905213270142184</v>
      </c>
      <c r="H67" s="276">
        <f t="shared" si="154"/>
        <v>0.56975409836065605</v>
      </c>
      <c r="I67" s="1011">
        <f t="shared" si="154"/>
        <v>0.51053984575835498</v>
      </c>
      <c r="J67" s="275">
        <f t="shared" si="154"/>
        <v>0.52500000000000002</v>
      </c>
      <c r="K67" s="252">
        <f t="shared" si="154"/>
        <v>0.52980182926829278</v>
      </c>
      <c r="L67" s="252">
        <f t="shared" si="154"/>
        <v>0.47100811907983764</v>
      </c>
      <c r="M67" s="276">
        <f t="shared" si="154"/>
        <v>0.5507515822784812</v>
      </c>
      <c r="N67" s="1012">
        <f t="shared" si="154"/>
        <v>0.51777612495351444</v>
      </c>
      <c r="O67" s="275">
        <f t="shared" si="154"/>
        <v>0.44807197943444738</v>
      </c>
      <c r="P67" s="252">
        <f t="shared" si="154"/>
        <v>0.50014347202295562</v>
      </c>
      <c r="Q67" s="252">
        <f t="shared" si="154"/>
        <v>0.46988559892328402</v>
      </c>
      <c r="R67" s="276">
        <f t="shared" si="154"/>
        <v>0.64155963302752317</v>
      </c>
      <c r="S67" s="1012">
        <f t="shared" si="154"/>
        <v>0.50542888165038014</v>
      </c>
      <c r="T67" s="275">
        <f t="shared" si="154"/>
        <v>0.7097036328871893</v>
      </c>
      <c r="U67" s="252">
        <f t="shared" si="154"/>
        <v>0.86911877394636017</v>
      </c>
      <c r="V67" s="252">
        <f t="shared" si="154"/>
        <v>0.69028875379939214</v>
      </c>
      <c r="W67" s="276">
        <f t="shared" si="154"/>
        <v>0.67270334928229691</v>
      </c>
      <c r="X67" s="1012">
        <f t="shared" si="154"/>
        <v>0.73815450643776825</v>
      </c>
      <c r="Y67" s="275">
        <f t="shared" si="154"/>
        <v>0.74563953488372092</v>
      </c>
      <c r="Z67" s="252">
        <f t="shared" si="154"/>
        <v>0.58722466960352415</v>
      </c>
      <c r="AA67" s="252">
        <f t="shared" si="154"/>
        <v>0.3997001499250375</v>
      </c>
      <c r="AB67" s="276">
        <f t="shared" si="154"/>
        <v>0.63665492957746483</v>
      </c>
      <c r="AC67" s="1530">
        <f t="shared" si="154"/>
        <v>0.58427175430432754</v>
      </c>
      <c r="AD67" s="275">
        <f t="shared" si="154"/>
        <v>0.5036037735849056</v>
      </c>
      <c r="AE67" s="252">
        <f t="shared" si="154"/>
        <v>0.60872727272727267</v>
      </c>
      <c r="AF67" s="252">
        <f t="shared" si="154"/>
        <v>0.39575443786982251</v>
      </c>
      <c r="AG67" s="276">
        <f t="shared" si="154"/>
        <v>0.63763033175355421</v>
      </c>
      <c r="AH67" s="1530">
        <f t="shared" si="154"/>
        <v>0.51806576402321081</v>
      </c>
      <c r="AI67" s="275">
        <f t="shared" si="154"/>
        <v>0.43702439024390244</v>
      </c>
      <c r="AJ67" s="252">
        <f t="shared" si="154"/>
        <v>0.52724409448818899</v>
      </c>
      <c r="AK67" s="252">
        <f t="shared" ref="AK67:BL67" si="155">+AK63/AK53</f>
        <v>0.37470277410832231</v>
      </c>
      <c r="AL67" s="276">
        <f t="shared" si="155"/>
        <v>0.82547550432276617</v>
      </c>
      <c r="AM67" s="1530">
        <f t="shared" si="155"/>
        <v>0.49722496632240681</v>
      </c>
      <c r="AN67" s="275">
        <f t="shared" si="155"/>
        <v>0.45371835443037972</v>
      </c>
      <c r="AO67" s="252">
        <f t="shared" si="155"/>
        <v>0.49059602649006628</v>
      </c>
      <c r="AP67" s="252">
        <f t="shared" si="155"/>
        <v>0.35272294887039241</v>
      </c>
      <c r="AQ67" s="276">
        <f t="shared" ref="AQ67:AT67" si="156">+AQ63/AQ53</f>
        <v>0.69995133819951316</v>
      </c>
      <c r="AR67" s="1530">
        <f t="shared" si="156"/>
        <v>0.46946141479099684</v>
      </c>
      <c r="AS67" s="275">
        <f t="shared" si="156"/>
        <v>0.50727272727272732</v>
      </c>
      <c r="AT67" s="252">
        <f t="shared" si="156"/>
        <v>0.60683693516699422</v>
      </c>
      <c r="AU67" s="252">
        <f t="shared" ref="AU67:AW67" si="157">+AU63/AU53</f>
        <v>0.38788063337393425</v>
      </c>
      <c r="AV67" s="276">
        <f t="shared" si="157"/>
        <v>0.57731343283582071</v>
      </c>
      <c r="AW67" s="1530">
        <f t="shared" si="157"/>
        <v>0.50311210036422505</v>
      </c>
      <c r="AX67" s="1013">
        <f t="shared" si="155"/>
        <v>0.37138981125078174</v>
      </c>
      <c r="AY67" s="577">
        <f t="shared" ca="1" si="155"/>
        <v>0.58096182742855629</v>
      </c>
      <c r="AZ67" s="577">
        <f t="shared" ca="1" si="155"/>
        <v>0.34809468064466442</v>
      </c>
      <c r="BA67" s="839">
        <f t="shared" ca="1" si="155"/>
        <v>0.63234812008009655</v>
      </c>
      <c r="BB67" s="1012">
        <f t="shared" ca="1" si="155"/>
        <v>0.45105687883464834</v>
      </c>
      <c r="BC67" s="1013">
        <f t="shared" ca="1" si="155"/>
        <v>0.36047865351119246</v>
      </c>
      <c r="BD67" s="577">
        <f t="shared" ca="1" si="155"/>
        <v>0.71261443189844365</v>
      </c>
      <c r="BE67" s="577">
        <f t="shared" ca="1" si="155"/>
        <v>0.40680930582120023</v>
      </c>
      <c r="BF67" s="839">
        <f t="shared" ca="1" si="155"/>
        <v>0.72116535271704318</v>
      </c>
      <c r="BG67" s="1012">
        <f t="shared" ca="1" si="155"/>
        <v>0.49861811130056904</v>
      </c>
      <c r="BH67" s="1013">
        <f t="shared" ca="1" si="155"/>
        <v>0.40913389031240249</v>
      </c>
      <c r="BI67" s="577">
        <f t="shared" ca="1" si="155"/>
        <v>0.80356731170253615</v>
      </c>
      <c r="BJ67" s="577">
        <f t="shared" ca="1" si="155"/>
        <v>0.43047387905085771</v>
      </c>
      <c r="BK67" s="839">
        <f t="shared" ca="1" si="155"/>
        <v>0.69326049545715951</v>
      </c>
      <c r="BL67" s="1012">
        <f t="shared" ca="1" si="155"/>
        <v>0.53661606294823383</v>
      </c>
      <c r="BM67" s="1013">
        <f t="shared" ref="BM67:BQ67" ca="1" si="158">+BM63/BM53</f>
        <v>0.46190966050387783</v>
      </c>
      <c r="BN67" s="577">
        <f t="shared" ca="1" si="158"/>
        <v>0.69032472725227156</v>
      </c>
      <c r="BO67" s="577">
        <f t="shared" ca="1" si="158"/>
        <v>0.42022122133525941</v>
      </c>
      <c r="BP67" s="839">
        <f t="shared" ca="1" si="158"/>
        <v>0.62960199246275206</v>
      </c>
      <c r="BQ67" s="1012">
        <f t="shared" ca="1" si="158"/>
        <v>0.52759847271240268</v>
      </c>
      <c r="BT67" s="1039"/>
      <c r="DR67"/>
      <c r="DS67"/>
      <c r="DT67"/>
      <c r="DU67"/>
      <c r="DV67"/>
      <c r="DW67"/>
      <c r="DX67" s="822"/>
    </row>
    <row r="68" spans="2:128" s="223" customFormat="1">
      <c r="C68" s="223" t="s">
        <v>1050</v>
      </c>
      <c r="E68" s="275">
        <f>E63/SUM(E79:E81)</f>
        <v>1.5287444933920704</v>
      </c>
      <c r="F68" s="252">
        <f>F63/SUM(F79:F81)</f>
        <v>2.1289877300613496</v>
      </c>
      <c r="G68" s="252">
        <f>G63/SUM(G79:G81)</f>
        <v>2.5003597122302161</v>
      </c>
      <c r="H68" s="276">
        <f>H63/SUM(H79:H81)</f>
        <v>1.9201657458563546</v>
      </c>
      <c r="I68" s="1011">
        <f t="shared" ref="I68:AE68" si="159">I63/SUM(I79:I81,I83:I85)</f>
        <v>1.9580281690140853</v>
      </c>
      <c r="J68" s="275">
        <f t="shared" si="159"/>
        <v>1.4481250000000001</v>
      </c>
      <c r="K68" s="252">
        <f t="shared" si="159"/>
        <v>1.6240654205607479</v>
      </c>
      <c r="L68" s="252">
        <f t="shared" si="159"/>
        <v>1.4035282258064516</v>
      </c>
      <c r="M68" s="276">
        <f t="shared" si="159"/>
        <v>3.3150000000000017</v>
      </c>
      <c r="N68" s="1012">
        <f t="shared" si="159"/>
        <v>1.7252788104089223</v>
      </c>
      <c r="O68" s="275">
        <f t="shared" si="159"/>
        <v>1.7517587939698493</v>
      </c>
      <c r="P68" s="252">
        <f t="shared" si="159"/>
        <v>1.9366666666666665</v>
      </c>
      <c r="Q68" s="252">
        <f t="shared" si="159"/>
        <v>1.6088709677419355</v>
      </c>
      <c r="R68" s="276">
        <f t="shared" si="159"/>
        <v>1.7930769230769239</v>
      </c>
      <c r="S68" s="1012">
        <f t="shared" si="159"/>
        <v>1.765486725663717</v>
      </c>
      <c r="T68" s="275">
        <f t="shared" si="159"/>
        <v>1.974335106382979</v>
      </c>
      <c r="U68" s="252">
        <f t="shared" si="159"/>
        <v>3.7186885245901644</v>
      </c>
      <c r="V68" s="252">
        <f t="shared" si="159"/>
        <v>2.1526540284360203</v>
      </c>
      <c r="W68" s="276">
        <f t="shared" si="159"/>
        <v>1.6780783767654661</v>
      </c>
      <c r="X68" s="1012">
        <f t="shared" si="159"/>
        <v>2.0305785123966955</v>
      </c>
      <c r="Y68" s="275">
        <f t="shared" si="159"/>
        <v>1.5694930069930071</v>
      </c>
      <c r="Z68" s="252">
        <f t="shared" si="159"/>
        <v>1.3813471502590673</v>
      </c>
      <c r="AA68" s="252">
        <f t="shared" si="159"/>
        <v>0.98376383763837627</v>
      </c>
      <c r="AB68" s="276">
        <f t="shared" si="159"/>
        <v>1.0471621621621616</v>
      </c>
      <c r="AC68" s="1530">
        <f t="shared" si="159"/>
        <v>1.2444003964321111</v>
      </c>
      <c r="AD68" s="275">
        <f t="shared" si="159"/>
        <v>0.9812867647058825</v>
      </c>
      <c r="AE68" s="252">
        <f t="shared" si="159"/>
        <v>1.2693838862559244</v>
      </c>
      <c r="AF68" s="252">
        <f t="shared" ref="AF68:AJ68" si="160">AF63/SUM(AF79:AF81,AF83:AF85)</f>
        <v>1.0574308300395256</v>
      </c>
      <c r="AG68" s="276">
        <f t="shared" si="160"/>
        <v>1.1906194690265481</v>
      </c>
      <c r="AH68" s="1530">
        <f t="shared" si="160"/>
        <v>1.1136798336798335</v>
      </c>
      <c r="AI68" s="275">
        <f t="shared" si="160"/>
        <v>0.7928318584070797</v>
      </c>
      <c r="AJ68" s="252">
        <f t="shared" si="160"/>
        <v>1.2342857142857144</v>
      </c>
      <c r="AK68" s="252">
        <f t="shared" ref="AK68:AO68" si="161">AK63/SUM(AK79:AK81,AK83:AK85)</f>
        <v>0.96479591836734691</v>
      </c>
      <c r="AL68" s="276">
        <f t="shared" si="161"/>
        <v>1.1984937238493711</v>
      </c>
      <c r="AM68" s="1530">
        <f t="shared" si="161"/>
        <v>1.0168227731864097</v>
      </c>
      <c r="AN68" s="275">
        <f t="shared" si="161"/>
        <v>0.85342261904761907</v>
      </c>
      <c r="AO68" s="252">
        <f t="shared" si="161"/>
        <v>0.8689736070381231</v>
      </c>
      <c r="AP68" s="252">
        <f t="shared" ref="AP68:AT68" si="162">AP63/SUM(AP79:AP81,AP83:AP85)</f>
        <v>0.59566265060240964</v>
      </c>
      <c r="AQ68" s="276">
        <f t="shared" si="162"/>
        <v>4.4949999999999974</v>
      </c>
      <c r="AR68" s="1530">
        <f t="shared" si="162"/>
        <v>0.94248059488894609</v>
      </c>
      <c r="AS68" s="275">
        <f t="shared" si="162"/>
        <v>0.63937500000000003</v>
      </c>
      <c r="AT68" s="252">
        <f t="shared" si="162"/>
        <v>0.90052478134110781</v>
      </c>
      <c r="AU68" s="252">
        <f t="shared" ref="AU68:AW68" si="163">AU63/SUM(AU79:AU81,AU83:AU85)</f>
        <v>0.61715116279069782</v>
      </c>
      <c r="AV68" s="276">
        <f t="shared" si="163"/>
        <v>0.82079575596816934</v>
      </c>
      <c r="AW68" s="1530">
        <f t="shared" si="163"/>
        <v>0.72501396751445701</v>
      </c>
      <c r="AX68" s="1013">
        <f t="shared" ref="AX68:BB68" si="164">AX63/SUM(AX79:AX81,AX83:AX85)</f>
        <v>0.62496969991088958</v>
      </c>
      <c r="AY68" s="577">
        <f t="shared" ca="1" si="164"/>
        <v>0.88082833164958152</v>
      </c>
      <c r="AZ68" s="577">
        <f t="shared" ca="1" si="164"/>
        <v>0.6111224343045738</v>
      </c>
      <c r="BA68" s="839">
        <f t="shared" ca="1" si="164"/>
        <v>0.88131789784824166</v>
      </c>
      <c r="BB68" s="1012">
        <f t="shared" ca="1" si="164"/>
        <v>0.72643135619541832</v>
      </c>
      <c r="BC68" s="1013">
        <f t="shared" ref="BC68:BL68" ca="1" si="165">BC63/SUM(BC79:BC81,BC83:BC85)</f>
        <v>0.65035680410592889</v>
      </c>
      <c r="BD68" s="577">
        <f t="shared" ca="1" si="165"/>
        <v>0.93789335935441065</v>
      </c>
      <c r="BE68" s="577">
        <f t="shared" ca="1" si="165"/>
        <v>0.59609991580283139</v>
      </c>
      <c r="BF68" s="839">
        <f t="shared" ca="1" si="165"/>
        <v>0.82332533700900357</v>
      </c>
      <c r="BG68" s="1012">
        <f t="shared" ca="1" si="165"/>
        <v>0.72780275251186533</v>
      </c>
      <c r="BH68" s="1013">
        <f t="shared" ca="1" si="165"/>
        <v>0.62299144459823552</v>
      </c>
      <c r="BI68" s="577">
        <f t="shared" ca="1" si="165"/>
        <v>0.85903089844974634</v>
      </c>
      <c r="BJ68" s="577">
        <f t="shared" ca="1" si="165"/>
        <v>0.60101368748337858</v>
      </c>
      <c r="BK68" s="839">
        <f t="shared" ca="1" si="165"/>
        <v>0.80699943017890419</v>
      </c>
      <c r="BL68" s="1012">
        <f t="shared" ca="1" si="165"/>
        <v>0.70518444943704151</v>
      </c>
      <c r="BM68" s="1013">
        <f t="shared" ref="BM68:BQ68" ca="1" si="166">BM63/SUM(BM79:BM81,BM83:BM85)</f>
        <v>0.62537470757277391</v>
      </c>
      <c r="BN68" s="577">
        <f t="shared" ca="1" si="166"/>
        <v>0.84706201558787486</v>
      </c>
      <c r="BO68" s="577">
        <f t="shared" ca="1" si="166"/>
        <v>0.60096673806483547</v>
      </c>
      <c r="BP68" s="839">
        <f t="shared" ca="1" si="166"/>
        <v>0.78245770992351416</v>
      </c>
      <c r="BQ68" s="1012">
        <f t="shared" ca="1" si="166"/>
        <v>0.69910485518713805</v>
      </c>
      <c r="BT68" s="1039"/>
      <c r="DR68"/>
      <c r="DS68"/>
      <c r="DT68"/>
      <c r="DU68"/>
      <c r="DV68"/>
      <c r="DW68"/>
      <c r="DX68" s="822"/>
    </row>
    <row r="69" spans="2:128" s="28" customFormat="1">
      <c r="C69" s="223"/>
      <c r="E69" s="305"/>
      <c r="F69" s="36"/>
      <c r="G69" s="36"/>
      <c r="H69" s="685"/>
      <c r="I69" s="564"/>
      <c r="J69" s="305"/>
      <c r="K69" s="36"/>
      <c r="L69" s="36"/>
      <c r="M69" s="685"/>
      <c r="O69" s="305"/>
      <c r="P69" s="36"/>
      <c r="Q69" s="36"/>
      <c r="R69" s="685"/>
      <c r="T69" s="305"/>
      <c r="U69" s="36"/>
      <c r="V69" s="36"/>
      <c r="W69" s="685"/>
      <c r="Y69" s="305"/>
      <c r="Z69" s="36"/>
      <c r="AA69" s="36"/>
      <c r="AB69" s="685"/>
      <c r="AD69" s="305"/>
      <c r="AE69" s="36"/>
      <c r="AF69" s="36"/>
      <c r="AG69" s="685"/>
      <c r="AI69" s="305"/>
      <c r="AJ69" s="36"/>
      <c r="AK69" s="36"/>
      <c r="AL69" s="685"/>
      <c r="AN69" s="305"/>
      <c r="AO69" s="36"/>
      <c r="AP69" s="36"/>
      <c r="AQ69" s="685"/>
      <c r="AS69" s="305"/>
      <c r="AT69" s="36"/>
      <c r="AU69" s="36"/>
      <c r="AV69" s="685"/>
      <c r="AX69" s="305"/>
      <c r="AY69" s="36"/>
      <c r="AZ69" s="36"/>
      <c r="BA69" s="685"/>
      <c r="BC69" s="305"/>
      <c r="BD69" s="36"/>
      <c r="BE69" s="36"/>
      <c r="BF69" s="685"/>
      <c r="BH69" s="305"/>
      <c r="BI69" s="36"/>
      <c r="BJ69" s="36"/>
      <c r="BK69" s="685"/>
      <c r="BM69" s="305"/>
      <c r="BN69" s="36"/>
      <c r="BO69" s="36"/>
      <c r="BP69" s="685"/>
      <c r="BT69" s="45"/>
      <c r="DR69"/>
      <c r="DS69"/>
      <c r="DT69"/>
      <c r="DU69"/>
      <c r="DV69"/>
      <c r="DW69"/>
      <c r="DX69" s="37"/>
    </row>
    <row r="70" spans="2:128" s="28" customFormat="1">
      <c r="C70" s="32" t="s">
        <v>401</v>
      </c>
      <c r="E70" s="305"/>
      <c r="F70" s="36"/>
      <c r="G70" s="36"/>
      <c r="H70" s="685"/>
      <c r="I70" s="564"/>
      <c r="J70" s="305"/>
      <c r="K70" s="36"/>
      <c r="L70" s="36"/>
      <c r="M70" s="685"/>
      <c r="O70" s="305"/>
      <c r="P70" s="36"/>
      <c r="Q70" s="36"/>
      <c r="R70" s="685"/>
      <c r="T70" s="305"/>
      <c r="U70" s="36"/>
      <c r="V70" s="36"/>
      <c r="W70" s="685"/>
      <c r="Y70" s="305"/>
      <c r="Z70" s="36"/>
      <c r="AA70" s="36"/>
      <c r="AB70" s="685"/>
      <c r="AD70" s="305"/>
      <c r="AE70" s="36"/>
      <c r="AF70" s="36"/>
      <c r="AG70" s="685"/>
      <c r="AI70" s="305"/>
      <c r="AJ70" s="36"/>
      <c r="AK70" s="36"/>
      <c r="AL70" s="685"/>
      <c r="AN70" s="305"/>
      <c r="AO70" s="36"/>
      <c r="AP70" s="36"/>
      <c r="AQ70" s="685"/>
      <c r="AS70" s="305"/>
      <c r="AT70" s="36"/>
      <c r="AU70" s="36"/>
      <c r="AV70" s="685"/>
      <c r="AX70" s="305"/>
      <c r="AY70" s="36"/>
      <c r="AZ70" s="36"/>
      <c r="BA70" s="685"/>
      <c r="BC70" s="305"/>
      <c r="BD70" s="36"/>
      <c r="BE70" s="36"/>
      <c r="BF70" s="685"/>
      <c r="BH70" s="305"/>
      <c r="BI70" s="36"/>
      <c r="BJ70" s="36"/>
      <c r="BK70" s="685"/>
      <c r="BM70" s="305"/>
      <c r="BN70" s="36"/>
      <c r="BO70" s="36"/>
      <c r="BP70" s="685"/>
      <c r="BT70" s="45"/>
      <c r="DR70"/>
      <c r="DS70"/>
      <c r="DT70"/>
      <c r="DU70"/>
      <c r="DV70"/>
      <c r="DW70"/>
      <c r="DX70" s="37"/>
    </row>
    <row r="71" spans="2:128" s="28" customFormat="1">
      <c r="C71" s="391" t="s">
        <v>117</v>
      </c>
      <c r="E71" s="305"/>
      <c r="F71" s="36"/>
      <c r="G71" s="36"/>
      <c r="H71" s="685"/>
      <c r="I71" s="932"/>
      <c r="J71" s="290"/>
      <c r="K71" s="260"/>
      <c r="L71" s="260"/>
      <c r="M71" s="291"/>
      <c r="N71" s="45"/>
      <c r="O71" s="686"/>
      <c r="P71" s="687"/>
      <c r="Q71" s="687"/>
      <c r="R71" s="688"/>
      <c r="S71" s="45"/>
      <c r="T71" s="692"/>
      <c r="U71" s="687"/>
      <c r="V71" s="687"/>
      <c r="W71" s="688"/>
      <c r="X71" s="45"/>
      <c r="Y71" s="692"/>
      <c r="Z71" s="687"/>
      <c r="AA71" s="689"/>
      <c r="AB71" s="690"/>
      <c r="AC71" s="432"/>
      <c r="AD71" s="692"/>
      <c r="AE71" s="687"/>
      <c r="AF71" s="687"/>
      <c r="AG71" s="690"/>
      <c r="AH71" s="432"/>
      <c r="AI71" s="692"/>
      <c r="AJ71" s="689"/>
      <c r="AK71" s="689"/>
      <c r="AL71" s="690"/>
      <c r="AM71" s="432"/>
      <c r="AN71" s="692"/>
      <c r="AO71" s="689"/>
      <c r="AP71" s="689"/>
      <c r="AQ71" s="690"/>
      <c r="AR71" s="432"/>
      <c r="AS71" s="692"/>
      <c r="AT71" s="689"/>
      <c r="AU71" s="689"/>
      <c r="AV71" s="690"/>
      <c r="AW71" s="432"/>
      <c r="AX71" s="692">
        <f>+Financial!$N$68</f>
        <v>41.14</v>
      </c>
      <c r="AY71" s="689">
        <f>+Financial!$N$68</f>
        <v>41.14</v>
      </c>
      <c r="AZ71" s="689">
        <f>+Financial!$N$68</f>
        <v>41.14</v>
      </c>
      <c r="BA71" s="690">
        <f>+Financial!$N$68</f>
        <v>41.14</v>
      </c>
      <c r="BB71" s="432">
        <f>+Financial!$N$68</f>
        <v>41.14</v>
      </c>
      <c r="BC71" s="692">
        <f>+Financial!$N$68</f>
        <v>41.14</v>
      </c>
      <c r="BD71" s="689">
        <f>+Financial!$N$68</f>
        <v>41.14</v>
      </c>
      <c r="BE71" s="689">
        <f>+Financial!$N$68</f>
        <v>41.14</v>
      </c>
      <c r="BF71" s="690">
        <f>+Financial!$N$68</f>
        <v>41.14</v>
      </c>
      <c r="BG71" s="432">
        <f>+Financial!$N$68</f>
        <v>41.14</v>
      </c>
      <c r="BH71" s="692">
        <f>+Financial!$N$68</f>
        <v>41.14</v>
      </c>
      <c r="BI71" s="689">
        <f>+Financial!$N$68</f>
        <v>41.14</v>
      </c>
      <c r="BJ71" s="689">
        <f>+Financial!$N$68</f>
        <v>41.14</v>
      </c>
      <c r="BK71" s="690">
        <f>+Financial!$N$68</f>
        <v>41.14</v>
      </c>
      <c r="BL71" s="432">
        <f>+Financial!$N$68</f>
        <v>41.14</v>
      </c>
      <c r="BM71" s="692">
        <f>+Financial!$N$68</f>
        <v>41.14</v>
      </c>
      <c r="BN71" s="689">
        <f>+Financial!$N$68</f>
        <v>41.14</v>
      </c>
      <c r="BO71" s="689">
        <f>+Financial!$N$68</f>
        <v>41.14</v>
      </c>
      <c r="BP71" s="690">
        <f>+Financial!$N$68</f>
        <v>41.14</v>
      </c>
      <c r="BQ71" s="432">
        <f>+Financial!$N$68</f>
        <v>41.14</v>
      </c>
      <c r="BR71" s="45"/>
      <c r="BS71" s="45"/>
      <c r="BT71" s="45"/>
      <c r="BU71" s="45"/>
      <c r="BV71" s="45"/>
      <c r="BW71" s="45"/>
      <c r="BX71" s="45"/>
      <c r="BY71" s="45"/>
      <c r="BZ71" s="45"/>
      <c r="DR71"/>
      <c r="DS71"/>
      <c r="DT71"/>
      <c r="DU71"/>
      <c r="DV71"/>
      <c r="DW71"/>
      <c r="DX71" s="37"/>
    </row>
    <row r="72" spans="2:128" s="28" customFormat="1">
      <c r="C72" s="394" t="s">
        <v>118</v>
      </c>
      <c r="E72" s="305"/>
      <c r="F72" s="36"/>
      <c r="G72" s="36"/>
      <c r="H72" s="685"/>
      <c r="I72" s="932"/>
      <c r="J72" s="290"/>
      <c r="K72" s="260"/>
      <c r="L72" s="260"/>
      <c r="M72" s="291"/>
      <c r="N72" s="45"/>
      <c r="O72" s="290"/>
      <c r="P72" s="260"/>
      <c r="Q72" s="260"/>
      <c r="R72" s="291"/>
      <c r="S72" s="45"/>
      <c r="T72" s="306"/>
      <c r="U72" s="260"/>
      <c r="V72" s="260"/>
      <c r="W72" s="291"/>
      <c r="X72" s="45"/>
      <c r="Y72" s="306"/>
      <c r="Z72" s="260"/>
      <c r="AA72" s="266"/>
      <c r="AB72" s="307"/>
      <c r="AC72" s="45"/>
      <c r="AD72" s="306"/>
      <c r="AE72" s="260"/>
      <c r="AF72" s="260"/>
      <c r="AG72" s="307"/>
      <c r="AH72" s="45"/>
      <c r="AI72" s="306"/>
      <c r="AJ72" s="266"/>
      <c r="AK72" s="1968"/>
      <c r="AL72" s="307"/>
      <c r="AM72" s="45"/>
      <c r="AN72" s="306"/>
      <c r="AO72" s="266"/>
      <c r="AP72" s="1968"/>
      <c r="AQ72" s="307"/>
      <c r="AR72" s="45"/>
      <c r="AS72" s="306"/>
      <c r="AT72" s="266"/>
      <c r="AU72" s="1968"/>
      <c r="AV72" s="307"/>
      <c r="AW72" s="45"/>
      <c r="AX72" s="306">
        <v>0</v>
      </c>
      <c r="AY72" s="266">
        <v>0</v>
      </c>
      <c r="AZ72" s="266">
        <v>0</v>
      </c>
      <c r="BA72" s="307">
        <v>0</v>
      </c>
      <c r="BB72" s="45">
        <f>+SUM(AX72:BA72)</f>
        <v>0</v>
      </c>
      <c r="BC72" s="306">
        <v>0</v>
      </c>
      <c r="BD72" s="266">
        <v>0</v>
      </c>
      <c r="BE72" s="266">
        <v>0</v>
      </c>
      <c r="BF72" s="307">
        <v>0</v>
      </c>
      <c r="BG72" s="45">
        <f>+SUM(BC72:BF72)</f>
        <v>0</v>
      </c>
      <c r="BH72" s="306">
        <v>0</v>
      </c>
      <c r="BI72" s="266">
        <v>0</v>
      </c>
      <c r="BJ72" s="266">
        <v>0</v>
      </c>
      <c r="BK72" s="307">
        <v>0</v>
      </c>
      <c r="BL72" s="45">
        <f>+SUM(BH72:BK72)</f>
        <v>0</v>
      </c>
      <c r="BM72" s="306">
        <v>0</v>
      </c>
      <c r="BN72" s="266">
        <v>0</v>
      </c>
      <c r="BO72" s="266">
        <v>0</v>
      </c>
      <c r="BP72" s="307">
        <v>0</v>
      </c>
      <c r="BQ72" s="45">
        <f>+SUM(BM72:BP72)</f>
        <v>0</v>
      </c>
      <c r="BR72" s="45"/>
      <c r="BS72" s="45"/>
      <c r="BT72" s="45"/>
      <c r="BU72" s="45"/>
      <c r="BV72" s="45"/>
      <c r="BW72" s="45"/>
      <c r="BX72" s="45"/>
      <c r="BY72" s="45"/>
      <c r="BZ72" s="45"/>
      <c r="DR72"/>
      <c r="DS72"/>
      <c r="DT72"/>
      <c r="DU72"/>
      <c r="DV72"/>
      <c r="DW72"/>
      <c r="DX72" s="37"/>
    </row>
    <row r="73" spans="2:128" s="28" customFormat="1">
      <c r="C73" s="391" t="s">
        <v>119</v>
      </c>
      <c r="E73" s="305"/>
      <c r="F73" s="36"/>
      <c r="G73" s="36"/>
      <c r="H73" s="685"/>
      <c r="I73" s="932"/>
      <c r="J73" s="290"/>
      <c r="K73" s="260"/>
      <c r="L73" s="260"/>
      <c r="M73" s="291"/>
      <c r="N73" s="45"/>
      <c r="O73" s="306"/>
      <c r="P73" s="266"/>
      <c r="Q73" s="266"/>
      <c r="R73" s="307"/>
      <c r="S73" s="45"/>
      <c r="T73" s="306"/>
      <c r="U73" s="266"/>
      <c r="V73" s="266"/>
      <c r="W73" s="307"/>
      <c r="X73" s="45"/>
      <c r="Y73" s="306"/>
      <c r="Z73" s="266"/>
      <c r="AA73" s="260"/>
      <c r="AB73" s="291"/>
      <c r="AC73" s="45"/>
      <c r="AD73" s="306"/>
      <c r="AE73" s="266"/>
      <c r="AF73" s="266"/>
      <c r="AG73" s="291"/>
      <c r="AH73" s="45"/>
      <c r="AI73" s="290"/>
      <c r="AJ73" s="260"/>
      <c r="AK73" s="1969"/>
      <c r="AL73" s="291"/>
      <c r="AM73" s="45"/>
      <c r="AN73" s="290"/>
      <c r="AO73" s="260"/>
      <c r="AP73" s="1969"/>
      <c r="AQ73" s="291"/>
      <c r="AR73" s="45"/>
      <c r="AS73" s="290"/>
      <c r="AT73" s="260"/>
      <c r="AU73" s="1969"/>
      <c r="AV73" s="291"/>
      <c r="AW73" s="45"/>
      <c r="AX73" s="290">
        <f>+AX72*AX71</f>
        <v>0</v>
      </c>
      <c r="AY73" s="260">
        <f>+AY72*AY71</f>
        <v>0</v>
      </c>
      <c r="AZ73" s="260">
        <f>+AZ72*AZ71</f>
        <v>0</v>
      </c>
      <c r="BA73" s="291">
        <f>+BA72*BA71</f>
        <v>0</v>
      </c>
      <c r="BB73" s="45">
        <f>+SUM(AX73:BA73)</f>
        <v>0</v>
      </c>
      <c r="BC73" s="290">
        <f>+BC72*BC71</f>
        <v>0</v>
      </c>
      <c r="BD73" s="260">
        <f>+BD72*BD71</f>
        <v>0</v>
      </c>
      <c r="BE73" s="260">
        <f>+BE72*BE71</f>
        <v>0</v>
      </c>
      <c r="BF73" s="291">
        <f>+BF72*BF71</f>
        <v>0</v>
      </c>
      <c r="BG73" s="45">
        <f>+SUM(BC73:BF73)</f>
        <v>0</v>
      </c>
      <c r="BH73" s="290">
        <f>+BH72*BH71</f>
        <v>0</v>
      </c>
      <c r="BI73" s="260">
        <f>+BI72*BI71</f>
        <v>0</v>
      </c>
      <c r="BJ73" s="260">
        <f>+BJ72*BJ71</f>
        <v>0</v>
      </c>
      <c r="BK73" s="291">
        <f>+BK72*BK71</f>
        <v>0</v>
      </c>
      <c r="BL73" s="45">
        <f>+SUM(BH73:BK73)</f>
        <v>0</v>
      </c>
      <c r="BM73" s="290">
        <f>+BM72*BM71</f>
        <v>0</v>
      </c>
      <c r="BN73" s="260">
        <f>+BN72*BN71</f>
        <v>0</v>
      </c>
      <c r="BO73" s="260">
        <f>+BO72*BO71</f>
        <v>0</v>
      </c>
      <c r="BP73" s="291">
        <f>+BP72*BP71</f>
        <v>0</v>
      </c>
      <c r="BQ73" s="45">
        <f>+SUM(BM73:BP73)</f>
        <v>0</v>
      </c>
      <c r="BR73" s="45"/>
      <c r="BS73" s="45"/>
      <c r="BT73" s="45"/>
      <c r="BU73" s="45"/>
      <c r="BV73" s="45"/>
      <c r="BW73" s="45"/>
      <c r="BX73" s="45"/>
      <c r="BY73" s="45"/>
      <c r="BZ73" s="45"/>
      <c r="DR73"/>
      <c r="DS73"/>
      <c r="DT73"/>
      <c r="DU73"/>
      <c r="DV73"/>
      <c r="DW73"/>
      <c r="DX73" s="37"/>
    </row>
    <row r="74" spans="2:128" s="28" customFormat="1">
      <c r="C74" s="391"/>
      <c r="E74" s="305"/>
      <c r="F74" s="36"/>
      <c r="G74" s="36"/>
      <c r="H74" s="685"/>
      <c r="I74" s="932"/>
      <c r="J74" s="290"/>
      <c r="K74" s="260"/>
      <c r="L74" s="260"/>
      <c r="M74" s="291"/>
      <c r="N74" s="45"/>
      <c r="O74" s="306"/>
      <c r="P74" s="266"/>
      <c r="Q74" s="266"/>
      <c r="R74" s="307"/>
      <c r="S74" s="45"/>
      <c r="T74" s="306"/>
      <c r="U74" s="266"/>
      <c r="V74" s="266"/>
      <c r="W74" s="307"/>
      <c r="X74" s="45"/>
      <c r="Y74" s="306"/>
      <c r="Z74" s="266"/>
      <c r="AA74" s="266"/>
      <c r="AB74" s="307"/>
      <c r="AC74" s="45"/>
      <c r="AD74" s="306"/>
      <c r="AE74" s="266"/>
      <c r="AF74" s="266"/>
      <c r="AG74" s="307"/>
      <c r="AH74" s="45"/>
      <c r="AI74" s="306"/>
      <c r="AJ74" s="266"/>
      <c r="AK74" s="266"/>
      <c r="AL74" s="307"/>
      <c r="AM74" s="45"/>
      <c r="AN74" s="306"/>
      <c r="AO74" s="266"/>
      <c r="AP74" s="266"/>
      <c r="AQ74" s="307"/>
      <c r="AR74" s="45"/>
      <c r="AS74" s="306"/>
      <c r="AT74" s="266"/>
      <c r="AU74" s="266"/>
      <c r="AV74" s="307"/>
      <c r="AW74" s="45"/>
      <c r="AX74" s="306"/>
      <c r="AY74" s="266"/>
      <c r="AZ74" s="266"/>
      <c r="BA74" s="307"/>
      <c r="BB74" s="45"/>
      <c r="BC74" s="306"/>
      <c r="BD74" s="266"/>
      <c r="BE74" s="266"/>
      <c r="BF74" s="307"/>
      <c r="BG74" s="45"/>
      <c r="BH74" s="306"/>
      <c r="BI74" s="266"/>
      <c r="BJ74" s="266"/>
      <c r="BK74" s="307"/>
      <c r="BL74" s="45"/>
      <c r="BM74" s="306"/>
      <c r="BN74" s="266"/>
      <c r="BO74" s="266"/>
      <c r="BP74" s="307"/>
      <c r="BQ74" s="45"/>
      <c r="BR74" s="45"/>
      <c r="BS74" s="45"/>
      <c r="BT74" s="45"/>
      <c r="BU74" s="45"/>
      <c r="BV74" s="45"/>
      <c r="BW74" s="45"/>
      <c r="BX74" s="45"/>
      <c r="BY74" s="45"/>
      <c r="BZ74" s="45"/>
      <c r="DR74"/>
      <c r="DS74"/>
      <c r="DT74"/>
      <c r="DU74"/>
      <c r="DV74"/>
      <c r="DW74"/>
      <c r="DX74" s="37"/>
    </row>
    <row r="75" spans="2:128" s="28" customFormat="1">
      <c r="C75" s="223"/>
      <c r="E75" s="305"/>
      <c r="F75" s="36"/>
      <c r="G75" s="36"/>
      <c r="H75" s="685"/>
      <c r="I75" s="932"/>
      <c r="J75" s="290"/>
      <c r="K75" s="260"/>
      <c r="L75" s="260"/>
      <c r="M75" s="291"/>
      <c r="N75" s="45"/>
      <c r="O75" s="306"/>
      <c r="P75" s="266"/>
      <c r="Q75" s="266"/>
      <c r="R75" s="307"/>
      <c r="S75" s="45"/>
      <c r="T75" s="306"/>
      <c r="U75" s="266"/>
      <c r="V75" s="266"/>
      <c r="W75" s="307"/>
      <c r="X75" s="45"/>
      <c r="Y75" s="306"/>
      <c r="Z75" s="266"/>
      <c r="AA75" s="266"/>
      <c r="AB75" s="307"/>
      <c r="AC75" s="45"/>
      <c r="AD75" s="306"/>
      <c r="AE75" s="266"/>
      <c r="AF75" s="266"/>
      <c r="AG75" s="307"/>
      <c r="AH75" s="45"/>
      <c r="AI75" s="306"/>
      <c r="AJ75" s="266"/>
      <c r="AK75" s="266"/>
      <c r="AL75" s="307"/>
      <c r="AM75" s="432"/>
      <c r="AN75" s="306"/>
      <c r="AO75" s="266"/>
      <c r="AP75" s="266"/>
      <c r="AQ75" s="307"/>
      <c r="AR75" s="432"/>
      <c r="AS75" s="306"/>
      <c r="AT75" s="266"/>
      <c r="AU75" s="266"/>
      <c r="AV75" s="307"/>
      <c r="AW75" s="432"/>
      <c r="AX75" s="306"/>
      <c r="AY75" s="266"/>
      <c r="AZ75" s="266"/>
      <c r="BA75" s="307"/>
      <c r="BB75" s="45"/>
      <c r="BC75" s="306"/>
      <c r="BD75" s="266"/>
      <c r="BE75" s="266"/>
      <c r="BF75" s="307"/>
      <c r="BG75" s="45"/>
      <c r="BH75" s="306"/>
      <c r="BI75" s="266"/>
      <c r="BJ75" s="266"/>
      <c r="BK75" s="307"/>
      <c r="BL75" s="45"/>
      <c r="BM75" s="306"/>
      <c r="BN75" s="266"/>
      <c r="BO75" s="266"/>
      <c r="BP75" s="307"/>
      <c r="BQ75" s="45"/>
      <c r="BR75" s="45"/>
      <c r="BS75" s="45"/>
      <c r="BT75" s="432"/>
      <c r="BU75" s="45"/>
      <c r="BV75" s="45"/>
      <c r="BW75" s="45"/>
      <c r="BX75" s="45"/>
      <c r="BY75" s="45"/>
      <c r="BZ75" s="45"/>
      <c r="DR75"/>
      <c r="DS75"/>
      <c r="DT75"/>
      <c r="DU75"/>
      <c r="DV75"/>
      <c r="DW75"/>
      <c r="DX75" s="37"/>
    </row>
    <row r="76" spans="2:128" s="28" customFormat="1">
      <c r="B76" s="73" t="s">
        <v>1282</v>
      </c>
      <c r="C76" s="211"/>
      <c r="D76" s="211"/>
      <c r="E76" s="305"/>
      <c r="F76" s="36"/>
      <c r="G76" s="36"/>
      <c r="H76" s="685"/>
      <c r="I76" s="932"/>
      <c r="J76" s="290"/>
      <c r="K76" s="260"/>
      <c r="L76" s="260"/>
      <c r="M76" s="291"/>
      <c r="N76" s="45"/>
      <c r="O76" s="306"/>
      <c r="P76" s="266"/>
      <c r="Q76" s="266"/>
      <c r="R76" s="307"/>
      <c r="S76" s="45"/>
      <c r="T76" s="306"/>
      <c r="U76" s="266"/>
      <c r="V76" s="266"/>
      <c r="W76" s="307"/>
      <c r="X76" s="45"/>
      <c r="Y76" s="306"/>
      <c r="Z76" s="266"/>
      <c r="AA76" s="266"/>
      <c r="AB76" s="307"/>
      <c r="AC76" s="45"/>
      <c r="AD76" s="306"/>
      <c r="AE76" s="266"/>
      <c r="AF76" s="266"/>
      <c r="AG76" s="307"/>
      <c r="AH76" s="432"/>
      <c r="AI76" s="306"/>
      <c r="AJ76" s="266"/>
      <c r="AK76" s="266"/>
      <c r="AL76" s="307"/>
      <c r="AM76" s="432"/>
      <c r="AN76" s="306"/>
      <c r="AO76" s="266"/>
      <c r="AP76" s="266"/>
      <c r="AQ76" s="307"/>
      <c r="AR76" s="432"/>
      <c r="AS76" s="306"/>
      <c r="AT76" s="266"/>
      <c r="AU76" s="266"/>
      <c r="AV76" s="307"/>
      <c r="AW76" s="432"/>
      <c r="AX76" s="306"/>
      <c r="AY76" s="266"/>
      <c r="AZ76" s="266"/>
      <c r="BA76" s="307"/>
      <c r="BB76" s="432"/>
      <c r="BC76" s="306"/>
      <c r="BD76" s="266"/>
      <c r="BE76" s="266"/>
      <c r="BF76" s="307"/>
      <c r="BG76" s="432"/>
      <c r="BH76" s="306"/>
      <c r="BI76" s="266"/>
      <c r="BJ76" s="266"/>
      <c r="BK76" s="307"/>
      <c r="BL76" s="432"/>
      <c r="BM76" s="306"/>
      <c r="BN76" s="266"/>
      <c r="BO76" s="266"/>
      <c r="BP76" s="307"/>
      <c r="BQ76" s="432"/>
      <c r="BR76" s="45"/>
      <c r="BS76" s="45"/>
      <c r="BT76" s="432"/>
      <c r="BV76" s="45"/>
      <c r="BW76" s="45"/>
      <c r="BX76" s="45"/>
      <c r="BY76" s="45"/>
      <c r="BZ76" s="45"/>
      <c r="DR76"/>
      <c r="DS76"/>
      <c r="DT76"/>
      <c r="DU76"/>
      <c r="DV76"/>
      <c r="DW76"/>
      <c r="DX76" s="37"/>
    </row>
    <row r="77" spans="2:128" s="28" customFormat="1">
      <c r="B77" s="156"/>
      <c r="C77" s="393" t="s">
        <v>305</v>
      </c>
      <c r="E77" s="305"/>
      <c r="F77" s="36"/>
      <c r="G77" s="36"/>
      <c r="H77" s="685"/>
      <c r="I77" s="932"/>
      <c r="J77" s="290"/>
      <c r="K77" s="260"/>
      <c r="L77" s="260"/>
      <c r="M77" s="291"/>
      <c r="N77" s="45"/>
      <c r="O77" s="306"/>
      <c r="P77" s="266"/>
      <c r="Q77" s="266"/>
      <c r="R77" s="307"/>
      <c r="S77" s="45"/>
      <c r="T77" s="306"/>
      <c r="U77" s="266"/>
      <c r="V77" s="266"/>
      <c r="W77" s="307"/>
      <c r="X77" s="45"/>
      <c r="Y77" s="306"/>
      <c r="Z77" s="266"/>
      <c r="AA77" s="266"/>
      <c r="AB77" s="307"/>
      <c r="AC77" s="45"/>
      <c r="AD77" s="306"/>
      <c r="AE77" s="266"/>
      <c r="AF77" s="266"/>
      <c r="AG77" s="307"/>
      <c r="AH77" s="45"/>
      <c r="AI77" s="306"/>
      <c r="AJ77" s="266"/>
      <c r="AK77" s="266"/>
      <c r="AL77" s="307"/>
      <c r="AM77" s="45"/>
      <c r="AN77" s="306"/>
      <c r="AO77" s="266"/>
      <c r="AP77" s="266"/>
      <c r="AQ77" s="307"/>
      <c r="AR77" s="45"/>
      <c r="AS77" s="306"/>
      <c r="AT77" s="266"/>
      <c r="AU77" s="266"/>
      <c r="AV77" s="307"/>
      <c r="AW77" s="45"/>
      <c r="AX77" s="306"/>
      <c r="AY77" s="266"/>
      <c r="AZ77" s="266"/>
      <c r="BA77" s="307"/>
      <c r="BB77" s="45"/>
      <c r="BC77" s="306"/>
      <c r="BD77" s="266"/>
      <c r="BE77" s="266"/>
      <c r="BF77" s="307"/>
      <c r="BG77" s="45"/>
      <c r="BH77" s="306"/>
      <c r="BI77" s="266"/>
      <c r="BJ77" s="266"/>
      <c r="BK77" s="307"/>
      <c r="BL77" s="45"/>
      <c r="BM77" s="306"/>
      <c r="BN77" s="266"/>
      <c r="BO77" s="266"/>
      <c r="BP77" s="307"/>
      <c r="BQ77" s="45"/>
      <c r="BR77" s="45"/>
      <c r="BS77" s="45"/>
      <c r="BT77" s="432"/>
      <c r="BV77" s="45"/>
      <c r="BW77" s="45"/>
      <c r="BX77" s="45"/>
      <c r="BY77" s="45"/>
      <c r="BZ77" s="45"/>
      <c r="DR77"/>
      <c r="DS77"/>
      <c r="DT77"/>
      <c r="DU77"/>
      <c r="DV77"/>
      <c r="DW77"/>
      <c r="DX77" s="37"/>
    </row>
    <row r="78" spans="2:128" s="28" customFormat="1">
      <c r="B78" s="40"/>
      <c r="C78" s="391" t="s">
        <v>1304</v>
      </c>
      <c r="E78" s="363">
        <f>ExGen!E43</f>
        <v>0.91527987897125562</v>
      </c>
      <c r="F78" s="364">
        <f>ExGen!F43</f>
        <v>0.82148260211800306</v>
      </c>
      <c r="G78" s="364">
        <f>ExGen!G43</f>
        <v>0.76132930513595165</v>
      </c>
      <c r="H78" s="365">
        <f>ExGen!H43</f>
        <v>0.66465256797583083</v>
      </c>
      <c r="I78" s="941">
        <f>ExGen!I43</f>
        <v>3.1601208459214503</v>
      </c>
      <c r="J78" s="403">
        <f>ExGen!J43</f>
        <v>0.65558912386706947</v>
      </c>
      <c r="K78" s="404">
        <f>ExGen!K43</f>
        <v>0.68882175226586106</v>
      </c>
      <c r="L78" s="404">
        <f>ExGen!L43</f>
        <v>0.75263951734539969</v>
      </c>
      <c r="M78" s="405">
        <f>ExGen!M43</f>
        <v>0.81297134238310709</v>
      </c>
      <c r="N78" s="402">
        <f>ExGen!N43</f>
        <v>2.9079939668174961</v>
      </c>
      <c r="O78" s="403">
        <f>ExGen!O43</f>
        <v>0.89909638554216864</v>
      </c>
      <c r="P78" s="404">
        <f>ExGen!P43</f>
        <v>0.78765060240963858</v>
      </c>
      <c r="Q78" s="404">
        <f>ExGen!Q43</f>
        <v>0.78496240601503764</v>
      </c>
      <c r="R78" s="405">
        <f>ExGen!R43</f>
        <v>0.54054054054054057</v>
      </c>
      <c r="S78" s="402">
        <f>ExGen!S43</f>
        <v>3.0105263157894737</v>
      </c>
      <c r="T78" s="403">
        <f>ExGen!T43</f>
        <v>0.46534653465346537</v>
      </c>
      <c r="U78" s="404">
        <f>ExGen!U43</f>
        <v>0.46612149532710279</v>
      </c>
      <c r="V78" s="404">
        <f>ExGen!V43</f>
        <v>0.53442240373395566</v>
      </c>
      <c r="W78" s="405">
        <f>ExGen!W43</f>
        <v>0.44200244200244199</v>
      </c>
      <c r="X78" s="402">
        <f>ExGen!X43</f>
        <v>1.8901098901098901</v>
      </c>
      <c r="Y78" s="403">
        <f>ExGen!Y43</f>
        <v>0.39298245614035088</v>
      </c>
      <c r="Z78" s="404">
        <f>ExGen!Z43</f>
        <v>0.3174418604651163</v>
      </c>
      <c r="AA78" s="404">
        <f>ExGen!AA43</f>
        <v>0.47790697674418603</v>
      </c>
      <c r="AB78" s="405">
        <f>ExGen!AB43</f>
        <v>0.21138211382113822</v>
      </c>
      <c r="AC78" s="402">
        <f>ExGen!AC43</f>
        <v>1.3976744186046512</v>
      </c>
      <c r="AD78" s="403">
        <f>ExGen!AD43</f>
        <v>0.29965156794425085</v>
      </c>
      <c r="AE78" s="404">
        <f>ExGen!AE43</f>
        <v>0.2673611111111111</v>
      </c>
      <c r="AF78" s="404">
        <f>ExGen!AF43</f>
        <v>0.50173812282734642</v>
      </c>
      <c r="AG78" s="405">
        <f>ExGen!AG43</f>
        <v>0.26843317972350228</v>
      </c>
      <c r="AH78" s="402">
        <f>ExGen!AH43</f>
        <v>1.3368055555555556</v>
      </c>
      <c r="AI78" s="403">
        <f>ExGen!AI43</f>
        <v>0.34948096885813151</v>
      </c>
      <c r="AJ78" s="404">
        <f>ExGen!AJ43</f>
        <v>0.3576388888888889</v>
      </c>
      <c r="AK78" s="404">
        <f>ExGen!AK43</f>
        <v>0.54535519125683063</v>
      </c>
      <c r="AL78" s="405">
        <f>ExGen!AL43</f>
        <v>0.15367965367965367</v>
      </c>
      <c r="AM78" s="402">
        <f>ExGen!AM43</f>
        <v>1.4031354983202688</v>
      </c>
      <c r="AN78" s="403">
        <f>ExGen!AN43</f>
        <v>0.34054054054054056</v>
      </c>
      <c r="AO78" s="404">
        <f>ExGen!AO43</f>
        <v>0.35421166306695462</v>
      </c>
      <c r="AP78" s="404">
        <f>ExGen!AP43</f>
        <v>0.40560949298813376</v>
      </c>
      <c r="AQ78" s="405">
        <f>ExGen!AQ43</f>
        <v>0.17456896551724138</v>
      </c>
      <c r="AR78" s="402">
        <f>ExGen!AR43</f>
        <v>1.2740021574973031</v>
      </c>
      <c r="AS78" s="403">
        <f>ExGen!AS43</f>
        <v>0.18494623655913978</v>
      </c>
      <c r="AT78" s="404">
        <f>ExGen!AT43</f>
        <v>0.21581196581196582</v>
      </c>
      <c r="AU78" s="404">
        <f>ExGen!AU43</f>
        <v>0.35958549222797925</v>
      </c>
      <c r="AV78" s="405">
        <f>ExGen!AV43</f>
        <v>0.26059979317476734</v>
      </c>
      <c r="AW78" s="402">
        <f>ExGen!AW43</f>
        <v>1.0252897787144362</v>
      </c>
      <c r="AX78" s="403">
        <f>ExGen!AX43</f>
        <v>0.41239740241431172</v>
      </c>
      <c r="AY78" s="404">
        <f ca="1">ExGen!AY43</f>
        <v>0.26331276626244304</v>
      </c>
      <c r="AZ78" s="404">
        <f ca="1">ExGen!AZ43</f>
        <v>0.46168414973728367</v>
      </c>
      <c r="BA78" s="405">
        <f ca="1">ExGen!BA43</f>
        <v>0.22406742750760322</v>
      </c>
      <c r="BB78" s="402">
        <f ca="1">ExGen!BB43</f>
        <v>1.3614617459216412</v>
      </c>
      <c r="BC78" s="403">
        <f ca="1">ExGen!BC43</f>
        <v>0.48155115599329812</v>
      </c>
      <c r="BD78" s="404">
        <f ca="1">ExGen!BD43</f>
        <v>0.17703696480459835</v>
      </c>
      <c r="BE78" s="404">
        <f ca="1">ExGen!BE43</f>
        <v>0.31509285160019318</v>
      </c>
      <c r="BF78" s="405">
        <f ca="1">ExGen!BF43</f>
        <v>0.1116776324359703</v>
      </c>
      <c r="BG78" s="402">
        <f ca="1">ExGen!BG43</f>
        <v>1.0853586048340591</v>
      </c>
      <c r="BH78" s="403">
        <f ca="1">ExGen!BH43</f>
        <v>0.3565461743950884</v>
      </c>
      <c r="BI78" s="404">
        <f ca="1">ExGen!BI43</f>
        <v>8.2145921481710571E-2</v>
      </c>
      <c r="BJ78" s="404">
        <f ca="1">ExGen!BJ43</f>
        <v>0.3003863232343541</v>
      </c>
      <c r="BK78" s="405">
        <f ca="1">ExGen!BK43</f>
        <v>0.13724982282028808</v>
      </c>
      <c r="BL78" s="402">
        <f ca="1">ExGen!BL43</f>
        <v>0.87632824193144221</v>
      </c>
      <c r="BM78" s="403">
        <f ca="1">ExGen!BM43</f>
        <v>0.27319859591476908</v>
      </c>
      <c r="BN78" s="404">
        <f ca="1">ExGen!BN43</f>
        <v>0.16026343027753964</v>
      </c>
      <c r="BO78" s="404">
        <f ca="1">ExGen!BO43</f>
        <v>0.35307654098086555</v>
      </c>
      <c r="BP78" s="405">
        <f ca="1">ExGen!BP43</f>
        <v>0.19809113376145882</v>
      </c>
      <c r="BQ78" s="402">
        <f ca="1">ExGen!BQ43</f>
        <v>0.98462970093463387</v>
      </c>
      <c r="BR78" s="45"/>
      <c r="BS78" s="45"/>
      <c r="BT78" s="432"/>
      <c r="BV78" s="45"/>
      <c r="BW78" s="45"/>
      <c r="BX78" s="45"/>
      <c r="BY78" s="45"/>
      <c r="BZ78" s="45"/>
      <c r="DR78"/>
      <c r="DS78"/>
      <c r="DT78"/>
      <c r="DU78"/>
      <c r="DV78"/>
      <c r="DW78"/>
      <c r="DX78" s="37"/>
    </row>
    <row r="79" spans="2:128" s="28" customFormat="1">
      <c r="B79" s="40"/>
      <c r="C79" s="391" t="s">
        <v>1305</v>
      </c>
      <c r="E79" s="363">
        <f>ComEd!E43</f>
        <v>0.17246596066565809</v>
      </c>
      <c r="F79" s="364">
        <f>ComEd!F43</f>
        <v>0.1346444780635401</v>
      </c>
      <c r="G79" s="364">
        <f>ComEd!G43</f>
        <v>7.2507552870090641E-2</v>
      </c>
      <c r="H79" s="365">
        <f>ComEd!H43</f>
        <v>0.15861027190332327</v>
      </c>
      <c r="I79" s="941">
        <f>ComEd!I43</f>
        <v>0.53776435045317217</v>
      </c>
      <c r="J79" s="403">
        <f>ComEd!J43</f>
        <v>0.19486404833836857</v>
      </c>
      <c r="K79" s="404">
        <f>ComEd!K43</f>
        <v>0.17673716012084592</v>
      </c>
      <c r="L79" s="404">
        <f>ComEd!L43</f>
        <v>0.18250377073906485</v>
      </c>
      <c r="M79" s="405">
        <f>ComEd!M43</f>
        <v>0.12820512820512819</v>
      </c>
      <c r="N79" s="402">
        <f>ComEd!N43</f>
        <v>0.68174962292609353</v>
      </c>
      <c r="O79" s="403">
        <f>ComEd!O43</f>
        <v>0.10993975903614457</v>
      </c>
      <c r="P79" s="404">
        <f>ComEd!P43</f>
        <v>0.1460843373493976</v>
      </c>
      <c r="Q79" s="404">
        <f>ComEd!Q43</f>
        <v>0.1699248120300752</v>
      </c>
      <c r="R79" s="405">
        <f>ComEd!R43</f>
        <v>0.18018018018018017</v>
      </c>
      <c r="S79" s="402">
        <f>ComEd!S43</f>
        <v>0.60601503759398501</v>
      </c>
      <c r="T79" s="403">
        <f>ComEd!T43</f>
        <v>0.12446958981612447</v>
      </c>
      <c r="U79" s="404">
        <f>ComEd!U43</f>
        <v>4.9065420560747662E-2</v>
      </c>
      <c r="V79" s="404">
        <f>ComEd!V43</f>
        <v>0.10501750291715285</v>
      </c>
      <c r="W79" s="405">
        <f>ComEd!W43</f>
        <v>0.19658119658119658</v>
      </c>
      <c r="X79" s="402">
        <f>ComEd!X43</f>
        <v>0.46520146520146521</v>
      </c>
      <c r="Y79" s="403">
        <f>ComEd!Y43</f>
        <v>0.10409356725146199</v>
      </c>
      <c r="Z79" s="404">
        <f>ComEd!Z43</f>
        <v>0.11162790697674418</v>
      </c>
      <c r="AA79" s="404">
        <f>ComEd!AA43</f>
        <v>0.14767441860465116</v>
      </c>
      <c r="AB79" s="405">
        <f>ComEd!AB43</f>
        <v>0.12659698025551683</v>
      </c>
      <c r="AC79" s="402">
        <f>ComEd!AC43</f>
        <v>0.48953488372093024</v>
      </c>
      <c r="AD79" s="403">
        <f>ComEd!AD43</f>
        <v>0.11382113821138211</v>
      </c>
      <c r="AE79" s="404">
        <f>ComEd!AE43</f>
        <v>0.12847222222222221</v>
      </c>
      <c r="AF79" s="404">
        <f>ComEd!AF43</f>
        <v>0.14600231749710313</v>
      </c>
      <c r="AG79" s="405">
        <f>ComEd!AG43</f>
        <v>8.6405529953917051E-2</v>
      </c>
      <c r="AH79" s="402">
        <f>ComEd!AH43</f>
        <v>0.47453703703703703</v>
      </c>
      <c r="AI79" s="403">
        <f>ComEd!AI43</f>
        <v>0.10611303344867359</v>
      </c>
      <c r="AJ79" s="404">
        <f>ComEd!AJ43</f>
        <v>0.11689814814814815</v>
      </c>
      <c r="AK79" s="404">
        <f>ComEd!AK43</f>
        <v>0.1650273224043716</v>
      </c>
      <c r="AL79" s="405">
        <f>ComEd!AL43</f>
        <v>9.5238095238095233E-2</v>
      </c>
      <c r="AM79" s="402">
        <f>ComEd!AM43</f>
        <v>0.48376259798432253</v>
      </c>
      <c r="AN79" s="403">
        <f>ComEd!AN43</f>
        <v>0.11891891891891893</v>
      </c>
      <c r="AO79" s="404">
        <f>ComEd!AO43</f>
        <v>0.15766738660907129</v>
      </c>
      <c r="AP79" s="404">
        <f>ComEd!AP43</f>
        <v>0.20064724919093851</v>
      </c>
      <c r="AQ79" s="405">
        <f>ComEd!AQ43</f>
        <v>8.8362068965517238E-2</v>
      </c>
      <c r="AR79" s="402">
        <f>ComEd!AR43</f>
        <v>0.56526429341963325</v>
      </c>
      <c r="AS79" s="403">
        <f>ComEd!AS43</f>
        <v>0.15161290322580645</v>
      </c>
      <c r="AT79" s="404">
        <f>ComEd!AT43</f>
        <v>0.15064102564102563</v>
      </c>
      <c r="AU79" s="404">
        <f>ComEd!AU43</f>
        <v>0.19274611398963731</v>
      </c>
      <c r="AV79" s="405">
        <f>ComEd!AV43</f>
        <v>0.1282316442605998</v>
      </c>
      <c r="AW79" s="402">
        <f>ComEd!AW43</f>
        <v>0.62381454162276084</v>
      </c>
      <c r="AX79" s="403">
        <f>ComEd!AX43</f>
        <v>0.16980374972611451</v>
      </c>
      <c r="AY79" s="404">
        <f ca="1">ComEd!AY43</f>
        <v>0.17080494095533846</v>
      </c>
      <c r="AZ79" s="404">
        <f ca="1">ComEd!AZ43</f>
        <v>0.2114163019068086</v>
      </c>
      <c r="BA79" s="405">
        <f ca="1">ComEd!BA43</f>
        <v>0.12995887823131946</v>
      </c>
      <c r="BB79" s="402">
        <f ca="1">ComEd!BB43</f>
        <v>0.68198387081958167</v>
      </c>
      <c r="BC79" s="403">
        <f ca="1">ComEd!BC43</f>
        <v>0.17072018970386946</v>
      </c>
      <c r="BD79" s="404">
        <f ca="1">ComEd!BD43</f>
        <v>0.16702999113737138</v>
      </c>
      <c r="BE79" s="404">
        <f ca="1">ComEd!BE43</f>
        <v>0.21286487296526613</v>
      </c>
      <c r="BF79" s="405">
        <f ca="1">ComEd!BF43</f>
        <v>0.13392783698207378</v>
      </c>
      <c r="BG79" s="402">
        <f ca="1">ComEd!BG43</f>
        <v>0.68454289078858122</v>
      </c>
      <c r="BH79" s="403">
        <f ca="1">ComEd!BH43</f>
        <v>0.18222116004257632</v>
      </c>
      <c r="BI79" s="404">
        <f ca="1">ComEd!BI43</f>
        <v>0.17939286263137186</v>
      </c>
      <c r="BJ79" s="404">
        <f ca="1">ComEd!BJ43</f>
        <v>0.22016488137603143</v>
      </c>
      <c r="BK79" s="405">
        <f ca="1">ComEd!BK43</f>
        <v>0.14403616056148025</v>
      </c>
      <c r="BL79" s="402">
        <f ca="1">ComEd!BL43</f>
        <v>0.72581506461146006</v>
      </c>
      <c r="BM79" s="403">
        <f ca="1">ComEd!BM43</f>
        <v>0.19241243787675855</v>
      </c>
      <c r="BN79" s="404">
        <f ca="1">ComEd!BN43</f>
        <v>0.18968890555215215</v>
      </c>
      <c r="BO79" s="404">
        <f ca="1">ComEd!BO43</f>
        <v>0.22941659373242926</v>
      </c>
      <c r="BP79" s="405">
        <f ca="1">ComEd!BP43</f>
        <v>0.15507004030633184</v>
      </c>
      <c r="BQ79" s="402">
        <f ca="1">ComEd!BQ43</f>
        <v>0.76658797746767116</v>
      </c>
      <c r="BR79" s="45"/>
      <c r="BS79" s="45"/>
      <c r="BT79" s="432"/>
      <c r="BV79" s="45"/>
      <c r="BW79" s="45"/>
      <c r="BX79" s="45"/>
      <c r="BY79" s="45"/>
      <c r="BZ79" s="45"/>
      <c r="DR79"/>
      <c r="DS79"/>
      <c r="DT79"/>
      <c r="DU79"/>
      <c r="DV79"/>
      <c r="DW79"/>
      <c r="DX79" s="37"/>
    </row>
    <row r="80" spans="2:128" s="28" customFormat="1">
      <c r="B80" s="40"/>
      <c r="C80" s="391" t="s">
        <v>1306</v>
      </c>
      <c r="E80" s="363">
        <f>PECO!E46</f>
        <v>0.17095310136157338</v>
      </c>
      <c r="F80" s="364">
        <f>PECO!F46</f>
        <v>0.11195158850226929</v>
      </c>
      <c r="G80" s="364">
        <f>PECO!G46</f>
        <v>0.13746223564954682</v>
      </c>
      <c r="H80" s="365">
        <f>PECO!H46</f>
        <v>0.11480362537764351</v>
      </c>
      <c r="I80" s="941">
        <f>PECO!I46</f>
        <v>0.53474320241691842</v>
      </c>
      <c r="J80" s="403">
        <f>PECO!J46</f>
        <v>0.16767371601208458</v>
      </c>
      <c r="K80" s="404">
        <f>PECO!K46</f>
        <v>0.14652567975830816</v>
      </c>
      <c r="L80" s="404">
        <f>PECO!L46</f>
        <v>0.19155354449472098</v>
      </c>
      <c r="M80" s="405">
        <f>PECO!M46</f>
        <v>3.0165912518853696E-2</v>
      </c>
      <c r="N80" s="402">
        <f>PECO!N46</f>
        <v>0.53544494720965308</v>
      </c>
      <c r="O80" s="403">
        <f>PECO!O46</f>
        <v>0.18975903614457831</v>
      </c>
      <c r="P80" s="404">
        <f>PECO!P46</f>
        <v>0.125</v>
      </c>
      <c r="Q80" s="404">
        <f>PECO!Q46</f>
        <v>0.15639097744360902</v>
      </c>
      <c r="R80" s="405">
        <f>PECO!R46</f>
        <v>0.11261261261261261</v>
      </c>
      <c r="S80" s="402">
        <f>PECO!S46</f>
        <v>0.58345864661654134</v>
      </c>
      <c r="T80" s="403">
        <f>PECO!T46</f>
        <v>0.14144271570014144</v>
      </c>
      <c r="U80" s="404">
        <f>PECO!U46</f>
        <v>9.3457943925233641E-2</v>
      </c>
      <c r="V80" s="404">
        <f>PECO!V46</f>
        <v>0.14469078179696604</v>
      </c>
      <c r="W80" s="405">
        <f>PECO!W46</f>
        <v>0.10134310134310148</v>
      </c>
      <c r="X80" s="402">
        <f>PECO!X46</f>
        <v>0.47252747252747196</v>
      </c>
      <c r="Y80" s="403">
        <f>PECO!Y46</f>
        <v>0.14385964912280702</v>
      </c>
      <c r="Z80" s="404">
        <f>PECO!Z46</f>
        <v>8.6046511627906982E-2</v>
      </c>
      <c r="AA80" s="404">
        <f>PECO!AA46</f>
        <v>0.10813953488372093</v>
      </c>
      <c r="AB80" s="405">
        <f>PECO!AB46</f>
        <v>0.11962833914053439</v>
      </c>
      <c r="AC80" s="402">
        <f>PECO!AC46</f>
        <v>0.4569767441860465</v>
      </c>
      <c r="AD80" s="403">
        <f>PECO!AD46</f>
        <v>0.10336817653890824</v>
      </c>
      <c r="AE80" s="404">
        <f>PECO!AE46</f>
        <v>9.7222222222222224E-2</v>
      </c>
      <c r="AF80" s="404">
        <f>PECO!AF46</f>
        <v>9.3858632676709158E-2</v>
      </c>
      <c r="AG80" s="405">
        <f>PECO!AG46</f>
        <v>0.11405529953917051</v>
      </c>
      <c r="AH80" s="402">
        <f>PECO!AH46</f>
        <v>0.40856481481481483</v>
      </c>
      <c r="AI80" s="403">
        <f>PECO!AI46</f>
        <v>0.16147635524798154</v>
      </c>
      <c r="AJ80" s="404">
        <f>PECO!AJ46</f>
        <v>8.217592592592593E-2</v>
      </c>
      <c r="AK80" s="404">
        <f>PECO!AK46</f>
        <v>9.94535519125683E-2</v>
      </c>
      <c r="AL80" s="405">
        <f>PECO!AL46</f>
        <v>8.4415584415584541E-2</v>
      </c>
      <c r="AM80" s="402">
        <f>PECO!AM46</f>
        <v>0.42553191489361702</v>
      </c>
      <c r="AN80" s="403">
        <f>PECO!AN46</f>
        <v>0.13621621621621621</v>
      </c>
      <c r="AO80" s="404">
        <f>PECO!AO46</f>
        <v>0.10907127429805616</v>
      </c>
      <c r="AP80" s="404">
        <f>PECO!AP46</f>
        <v>0.13268608414239483</v>
      </c>
      <c r="AQ80" s="405">
        <f>PECO!AQ46</f>
        <v>0.10129310344827586</v>
      </c>
      <c r="AR80" s="402">
        <f>PECO!AR46</f>
        <v>0.47896440129449835</v>
      </c>
      <c r="AS80" s="403">
        <f>PECO!AS46</f>
        <v>0.13870967741935483</v>
      </c>
      <c r="AT80" s="404">
        <f>PECO!AT46</f>
        <v>9.5085470085470081E-2</v>
      </c>
      <c r="AU80" s="404">
        <f>PECO!AU46</f>
        <v>0.11813471502590674</v>
      </c>
      <c r="AV80" s="405">
        <f>PECO!AV46</f>
        <v>9.824198552223383E-2</v>
      </c>
      <c r="AW80" s="402">
        <f>PECO!AW46</f>
        <v>0.44994731296101159</v>
      </c>
      <c r="AX80" s="403">
        <f>PECO!AX46</f>
        <v>0.14057465390945706</v>
      </c>
      <c r="AY80" s="404">
        <f ca="1">PECO!AY46</f>
        <v>9.3909601621071634E-2</v>
      </c>
      <c r="AZ80" s="404">
        <f ca="1">PECO!AZ46</f>
        <v>0.10946062151591403</v>
      </c>
      <c r="BA80" s="405">
        <f ca="1">PECO!BA46</f>
        <v>0.10334451284956776</v>
      </c>
      <c r="BB80" s="402">
        <f ca="1">PECO!BB46</f>
        <v>0.44728938989601136</v>
      </c>
      <c r="BC80" s="403">
        <f ca="1">PECO!BC46</f>
        <v>0.15149036608858488</v>
      </c>
      <c r="BD80" s="404">
        <f ca="1">PECO!BD46</f>
        <v>0.10079747260706977</v>
      </c>
      <c r="BE80" s="404">
        <f ca="1">PECO!BE46</f>
        <v>0.11790742653386499</v>
      </c>
      <c r="BF80" s="405">
        <f ca="1">PECO!BF46</f>
        <v>0.11246929577392389</v>
      </c>
      <c r="BG80" s="402">
        <f ca="1">PECO!BG46</f>
        <v>0.48266456100344329</v>
      </c>
      <c r="BH80" s="403">
        <f ca="1">PECO!BH46</f>
        <v>0.16171735893103606</v>
      </c>
      <c r="BI80" s="404">
        <f ca="1">PECO!BI46</f>
        <v>0.11069353631078921</v>
      </c>
      <c r="BJ80" s="404">
        <f ca="1">PECO!BJ46</f>
        <v>0.12845080509749807</v>
      </c>
      <c r="BK80" s="405">
        <f ca="1">PECO!BK46</f>
        <v>0.12373684591043933</v>
      </c>
      <c r="BL80" s="402">
        <f ca="1">PECO!BL46</f>
        <v>0.5245985462497631</v>
      </c>
      <c r="BM80" s="403">
        <f ca="1">PECO!BM46</f>
        <v>0.16922785324203474</v>
      </c>
      <c r="BN80" s="404">
        <f ca="1">PECO!BN46</f>
        <v>0.11791323404512866</v>
      </c>
      <c r="BO80" s="404">
        <f ca="1">PECO!BO46</f>
        <v>0.13547134553294304</v>
      </c>
      <c r="BP80" s="405">
        <f ca="1">PECO!BP46</f>
        <v>0.13120738650371389</v>
      </c>
      <c r="BQ80" s="402">
        <f ca="1">PECO!BQ46</f>
        <v>0.55381981932382007</v>
      </c>
      <c r="BR80" s="45"/>
      <c r="BS80" s="45"/>
      <c r="BT80" s="432"/>
      <c r="BV80" s="45"/>
      <c r="BW80" s="45"/>
      <c r="BX80" s="45"/>
      <c r="BY80" s="45"/>
      <c r="BZ80" s="45"/>
      <c r="DR80"/>
      <c r="DS80"/>
      <c r="DT80"/>
      <c r="DU80"/>
      <c r="DV80"/>
      <c r="DW80"/>
      <c r="DX80" s="37"/>
    </row>
    <row r="81" spans="2:128" s="28" customFormat="1">
      <c r="B81" s="40"/>
      <c r="C81" s="391" t="s">
        <v>1307</v>
      </c>
      <c r="E81" s="363"/>
      <c r="F81" s="364"/>
      <c r="G81" s="364"/>
      <c r="H81" s="365"/>
      <c r="I81" s="941"/>
      <c r="J81" s="403"/>
      <c r="K81" s="404"/>
      <c r="L81" s="404"/>
      <c r="M81" s="405"/>
      <c r="N81" s="402"/>
      <c r="O81" s="403"/>
      <c r="P81" s="404"/>
      <c r="Q81" s="404"/>
      <c r="R81" s="405"/>
      <c r="S81" s="402"/>
      <c r="T81" s="403"/>
      <c r="U81" s="404"/>
      <c r="V81" s="404">
        <f>BGE!V44</f>
        <v>-3.5005834305717621E-3</v>
      </c>
      <c r="W81" s="405">
        <f>BGE!W44</f>
        <v>8.9743589743589668E-3</v>
      </c>
      <c r="X81" s="402">
        <f>BGE!X44</f>
        <v>9.6459096459096463E-2</v>
      </c>
      <c r="Y81" s="403">
        <f>BGE!Y44</f>
        <v>8.6549707602339182E-2</v>
      </c>
      <c r="Z81" s="404">
        <f>BGE!Z44</f>
        <v>2.6744186046511628E-2</v>
      </c>
      <c r="AA81" s="404">
        <f>BGE!AA44</f>
        <v>5.9302325581395351E-2</v>
      </c>
      <c r="AB81" s="405">
        <f>BGE!AB44</f>
        <v>5.45876887340302E-2</v>
      </c>
      <c r="AC81" s="402">
        <f>BGE!AC44</f>
        <v>0.22674418604651161</v>
      </c>
      <c r="AD81" s="403">
        <f>BGE!AD44</f>
        <v>9.8722415795586521E-2</v>
      </c>
      <c r="AE81" s="404">
        <f>BGE!AE44</f>
        <v>1.8518518518518517E-2</v>
      </c>
      <c r="AF81" s="404">
        <f>BGE!AF44</f>
        <v>5.3302433371958287E-2</v>
      </c>
      <c r="AG81" s="405">
        <f>BGE!AG44</f>
        <v>5.9907834101382486E-2</v>
      </c>
      <c r="AH81" s="402">
        <f>BGE!AH44</f>
        <v>0.23032407407407407</v>
      </c>
      <c r="AI81" s="403">
        <f>BGE!AI44</f>
        <v>0.12341407151095732</v>
      </c>
      <c r="AJ81" s="404">
        <f>BGE!AJ44</f>
        <v>5.2083333333333336E-2</v>
      </c>
      <c r="AK81" s="404">
        <f>BGE!AK44</f>
        <v>5.6830601092896178E-2</v>
      </c>
      <c r="AL81" s="405">
        <f>BGE!AL44</f>
        <v>7.9004329004329008E-2</v>
      </c>
      <c r="AM81" s="402">
        <f>BGE!AM44</f>
        <v>0.31019036954087348</v>
      </c>
      <c r="AN81" s="403">
        <f>BGE!AN44</f>
        <v>0.10810810810810811</v>
      </c>
      <c r="AO81" s="404">
        <f>BGE!AO44</f>
        <v>3.1317494600431962E-2</v>
      </c>
      <c r="AP81" s="404">
        <f>BGE!AP44</f>
        <v>5.9331175836030203E-2</v>
      </c>
      <c r="AQ81" s="405">
        <f>BGE!AQ44</f>
        <v>0.11314655172413793</v>
      </c>
      <c r="AR81" s="402">
        <f>BGE!AR44</f>
        <v>0.31175836030204962</v>
      </c>
      <c r="AS81" s="403">
        <f>BGE!AS44</f>
        <v>0.13548387096774195</v>
      </c>
      <c r="AT81" s="404">
        <f>BGE!AT44</f>
        <v>4.9145299145299144E-2</v>
      </c>
      <c r="AU81" s="404">
        <f>BGE!AU44</f>
        <v>6.6321243523316059E-2</v>
      </c>
      <c r="AV81" s="405">
        <f>BGE!AV44</f>
        <v>8.479834539813845E-2</v>
      </c>
      <c r="AW81" s="402">
        <f>BGE!AW44</f>
        <v>0.33508956796628031</v>
      </c>
      <c r="AX81" s="403">
        <f>BGE!AX44</f>
        <v>0.14168058573303524</v>
      </c>
      <c r="AY81" s="404">
        <f ca="1">BGE!AY44</f>
        <v>5.3495022871123087E-2</v>
      </c>
      <c r="AZ81" s="404">
        <f ca="1">BGE!AZ44</f>
        <v>5.5485683716044891E-2</v>
      </c>
      <c r="BA81" s="405">
        <f ca="1">BGE!BA44</f>
        <v>8.3448372458194739E-2</v>
      </c>
      <c r="BB81" s="402">
        <f ca="1">BGE!BB44</f>
        <v>0.33410966477839776</v>
      </c>
      <c r="BC81" s="403">
        <f ca="1">BGE!BC44</f>
        <v>0.13347603389396423</v>
      </c>
      <c r="BD81" s="404">
        <f ca="1">BGE!BD44</f>
        <v>4.6121016482021084E-2</v>
      </c>
      <c r="BE81" s="404">
        <f ca="1">BGE!BE44</f>
        <v>7.5354105083601963E-2</v>
      </c>
      <c r="BF81" s="405">
        <f ca="1">BGE!BF44</f>
        <v>0.10368220770277595</v>
      </c>
      <c r="BG81" s="402">
        <f ca="1">BGE!BG44</f>
        <v>0.35863336316236272</v>
      </c>
      <c r="BH81" s="403">
        <f ca="1">BGE!BH44</f>
        <v>0.15163883173009743</v>
      </c>
      <c r="BI81" s="404">
        <f ca="1">BGE!BI44</f>
        <v>6.4640283617467889E-2</v>
      </c>
      <c r="BJ81" s="404">
        <f ca="1">BGE!BJ44</f>
        <v>7.5080986840388345E-2</v>
      </c>
      <c r="BK81" s="405">
        <f ca="1">BGE!BK44</f>
        <v>0.10397963530337767</v>
      </c>
      <c r="BL81" s="402">
        <f ca="1">BGE!BL44</f>
        <v>0.39533973749133106</v>
      </c>
      <c r="BM81" s="403">
        <f ca="1">BGE!BM44</f>
        <v>0.15150947526027431</v>
      </c>
      <c r="BN81" s="404">
        <f ca="1">BGE!BN44</f>
        <v>6.5484796167240372E-2</v>
      </c>
      <c r="BO81" s="404">
        <f ca="1">BGE!BO44</f>
        <v>8.3336599909519748E-2</v>
      </c>
      <c r="BP81" s="405">
        <f ca="1">BGE!BP44</f>
        <v>0.114788281123127</v>
      </c>
      <c r="BQ81" s="402">
        <f ca="1">BGE!BQ44</f>
        <v>0.41511915246016162</v>
      </c>
      <c r="BR81" s="45"/>
      <c r="BS81" s="45"/>
      <c r="BT81" s="432"/>
      <c r="BV81" s="45"/>
      <c r="BW81" s="45"/>
      <c r="BX81" s="45"/>
      <c r="BY81" s="45"/>
      <c r="BZ81" s="45"/>
      <c r="DR81"/>
      <c r="DS81"/>
      <c r="DT81"/>
      <c r="DU81"/>
      <c r="DV81"/>
      <c r="DW81"/>
      <c r="DX81" s="37"/>
    </row>
    <row r="82" spans="2:128" s="28" customFormat="1">
      <c r="B82" s="40"/>
      <c r="C82" s="391" t="s">
        <v>116</v>
      </c>
      <c r="E82" s="363">
        <f>Parent!E43</f>
        <v>-5.2950075642965201E-2</v>
      </c>
      <c r="F82" s="364">
        <f>Parent!F43</f>
        <v>-3.4795763993948563E-2</v>
      </c>
      <c r="G82" s="364">
        <f>Parent!G43</f>
        <v>-1.5105740181268883E-2</v>
      </c>
      <c r="H82" s="365">
        <f>Parent!H43</f>
        <v>-1.6616314199395771E-2</v>
      </c>
      <c r="I82" s="941">
        <f>Parent!I43</f>
        <v>-0.11933534743202417</v>
      </c>
      <c r="J82" s="403">
        <f>Parent!J43</f>
        <v>-1.812688821752266E-2</v>
      </c>
      <c r="K82" s="404">
        <f>Parent!K43</f>
        <v>-2.1148036253776436E-2</v>
      </c>
      <c r="L82" s="404">
        <f>Parent!L43</f>
        <v>-1.2066365007541479E-2</v>
      </c>
      <c r="M82" s="405">
        <f>Parent!M43</f>
        <v>-1.8099547511312219E-2</v>
      </c>
      <c r="N82" s="402">
        <f>Parent!N43</f>
        <v>-6.9381598793363503E-2</v>
      </c>
      <c r="O82" s="403">
        <f>Parent!O43</f>
        <v>-2.710843373493976E-2</v>
      </c>
      <c r="P82" s="404">
        <f>Parent!P43</f>
        <v>-9.0361445783132526E-3</v>
      </c>
      <c r="Q82" s="404">
        <f>Parent!Q43</f>
        <v>6.0150375939849628E-3</v>
      </c>
      <c r="R82" s="405">
        <f>Parent!R43</f>
        <v>-1.5015015015015015E-2</v>
      </c>
      <c r="S82" s="402">
        <f>Parent!S43</f>
        <v>-4.5112781954887216E-2</v>
      </c>
      <c r="T82" s="403">
        <f>Parent!T43</f>
        <v>0</v>
      </c>
      <c r="U82" s="404">
        <f>Parent!U43</f>
        <v>-1.7523364485981307E-2</v>
      </c>
      <c r="V82" s="404">
        <f>Parent!V43</f>
        <v>-1.2835472578763127E-2</v>
      </c>
      <c r="W82" s="405">
        <f>Parent!W43</f>
        <v>1.6666666666666465E-2</v>
      </c>
      <c r="X82" s="402">
        <f>Parent!X43</f>
        <v>-7.9365079365079361E-2</v>
      </c>
      <c r="Y82" s="403">
        <f>Parent!Y43</f>
        <v>-2.3391812865497075E-2</v>
      </c>
      <c r="Z82" s="404">
        <f>Parent!Z43</f>
        <v>-1.3953488372093023E-2</v>
      </c>
      <c r="AA82" s="404">
        <f>Parent!AA43</f>
        <v>-1.7441860465116279E-2</v>
      </c>
      <c r="AB82" s="405">
        <f>Parent!AB43</f>
        <v>-1.7421602787456577E-2</v>
      </c>
      <c r="AC82" s="402">
        <f>Parent!AC43</f>
        <v>-7.2093023255813959E-2</v>
      </c>
      <c r="AD82" s="403">
        <f>Parent!AD43</f>
        <v>0</v>
      </c>
      <c r="AE82" s="404">
        <f>Parent!AE43</f>
        <v>-2.3148148148148147E-3</v>
      </c>
      <c r="AF82" s="404">
        <f>Parent!AF43</f>
        <v>-1.1587485515643073E-2</v>
      </c>
      <c r="AG82" s="405">
        <f>Parent!AG43</f>
        <v>-4.2626728110599109E-2</v>
      </c>
      <c r="AH82" s="402">
        <f>Parent!AH43</f>
        <v>-5.6712962962962965E-2</v>
      </c>
      <c r="AI82" s="403">
        <f>Parent!AI43</f>
        <v>-3.1141868512110725E-2</v>
      </c>
      <c r="AJ82" s="404">
        <f>Parent!AJ43</f>
        <v>-2.0833333333333332E-2</v>
      </c>
      <c r="AK82" s="404">
        <f>Parent!AK43</f>
        <v>-3.9344262295081971E-2</v>
      </c>
      <c r="AL82" s="405">
        <f>Parent!AL43</f>
        <v>-3.6796536796536918E-2</v>
      </c>
      <c r="AM82" s="402">
        <f>Parent!AM43</f>
        <v>-0.12877939529675264</v>
      </c>
      <c r="AN82" s="403">
        <f>Parent!AN43</f>
        <v>-2.0540540540540539E-2</v>
      </c>
      <c r="AO82" s="404">
        <f>Parent!AO43</f>
        <v>-7.0194384449244057E-2</v>
      </c>
      <c r="AP82" s="404">
        <f>Parent!AP43</f>
        <v>-3.5598705501618123E-2</v>
      </c>
      <c r="AQ82" s="405">
        <f>Parent!AQ43</f>
        <v>0.19935344827586193</v>
      </c>
      <c r="AR82" s="402">
        <f>Parent!AR43</f>
        <v>7.3354908306364611E-2</v>
      </c>
      <c r="AS82" s="403">
        <f>Parent!AS43</f>
        <v>-5.0537634408602213E-2</v>
      </c>
      <c r="AT82" s="404">
        <f>Parent!AT43</f>
        <v>-3.8461538461538464E-2</v>
      </c>
      <c r="AU82" s="404">
        <f>Parent!AU43</f>
        <v>-4.3523316062176104E-2</v>
      </c>
      <c r="AV82" s="405">
        <f>Parent!AV43</f>
        <v>-9.6173733195449848E-2</v>
      </c>
      <c r="AW82" s="402">
        <f>Parent!AW43</f>
        <v>-0.22971548998946259</v>
      </c>
      <c r="AX82" s="403">
        <f>Parent!AX43</f>
        <v>-3.5481071675031353E-2</v>
      </c>
      <c r="AY82" s="404">
        <f ca="1">Parent!AY43</f>
        <v>-6.1146738019161137E-2</v>
      </c>
      <c r="AZ82" s="404">
        <f ca="1">Parent!AZ43</f>
        <v>-3.5109485762359845E-2</v>
      </c>
      <c r="BA82" s="405">
        <f ca="1">Parent!BA43</f>
        <v>-6.9941073447443908E-2</v>
      </c>
      <c r="BB82" s="402">
        <f ca="1">Parent!BB43</f>
        <v>-0.20167836890399624</v>
      </c>
      <c r="BC82" s="403">
        <f ca="1">Parent!BC43</f>
        <v>-3.3639220103916262E-2</v>
      </c>
      <c r="BD82" s="404">
        <f ca="1">Parent!BD43</f>
        <v>-5.4935495626138663E-2</v>
      </c>
      <c r="BE82" s="404">
        <f ca="1">Parent!BE43</f>
        <v>-3.2326632110781663E-2</v>
      </c>
      <c r="BF82" s="405">
        <f ca="1">Parent!BF43</f>
        <v>-4.9349677478524138E-2</v>
      </c>
      <c r="BG82" s="402">
        <f ca="1">Parent!BG43</f>
        <v>-0.17025102531936037</v>
      </c>
      <c r="BH82" s="403">
        <f ca="1">Parent!BH43</f>
        <v>-3.7410943324147863E-2</v>
      </c>
      <c r="BI82" s="404">
        <f ca="1">Parent!BI43</f>
        <v>-5.1584426313804159E-2</v>
      </c>
      <c r="BJ82" s="404">
        <f ca="1">Parent!BJ43</f>
        <v>-4.9664407530422248E-2</v>
      </c>
      <c r="BK82" s="405">
        <f ca="1">Parent!BK43</f>
        <v>-5.9921753292621602E-2</v>
      </c>
      <c r="BL82" s="402">
        <f ca="1">Parent!BL43</f>
        <v>-0.1985815304609955</v>
      </c>
      <c r="BM82" s="403">
        <f ca="1">Parent!BM43</f>
        <v>-4.7195422127939562E-2</v>
      </c>
      <c r="BN82" s="404">
        <f ca="1">Parent!BN43</f>
        <v>-5.3212441284166516E-2</v>
      </c>
      <c r="BO82" s="404">
        <f ca="1">Parent!BO43</f>
        <v>-6.723449634064331E-2</v>
      </c>
      <c r="BP82" s="405">
        <f ca="1">Parent!BP43</f>
        <v>-7.417104604182409E-2</v>
      </c>
      <c r="BQ82" s="402">
        <f ca="1">Parent!BQ43</f>
        <v>-0.24181340579457344</v>
      </c>
      <c r="BR82" s="45"/>
      <c r="BS82" s="45"/>
      <c r="BT82" s="432"/>
      <c r="BV82" s="45"/>
      <c r="BW82" s="45"/>
      <c r="BX82" s="45"/>
      <c r="BY82" s="45"/>
      <c r="BZ82" s="45"/>
      <c r="DR82"/>
      <c r="DS82"/>
      <c r="DT82"/>
      <c r="DU82"/>
      <c r="DV82"/>
      <c r="DW82"/>
      <c r="DX82" s="37"/>
    </row>
    <row r="83" spans="2:128" s="28" customFormat="1">
      <c r="B83" s="40"/>
      <c r="C83" s="391" t="s">
        <v>349</v>
      </c>
      <c r="E83" s="363"/>
      <c r="F83" s="364"/>
      <c r="G83" s="364"/>
      <c r="H83" s="365"/>
      <c r="I83" s="941"/>
      <c r="J83" s="403"/>
      <c r="K83" s="404"/>
      <c r="L83" s="404"/>
      <c r="M83" s="405"/>
      <c r="N83" s="402"/>
      <c r="O83" s="403"/>
      <c r="P83" s="404"/>
      <c r="Q83" s="404"/>
      <c r="R83" s="405"/>
      <c r="S83" s="402"/>
      <c r="T83" s="403"/>
      <c r="U83" s="404"/>
      <c r="V83" s="404"/>
      <c r="W83" s="405"/>
      <c r="X83" s="402"/>
      <c r="Y83" s="403"/>
      <c r="Z83" s="404"/>
      <c r="AA83" s="404"/>
      <c r="AB83" s="405"/>
      <c r="AC83" s="402"/>
      <c r="AD83" s="403"/>
      <c r="AE83" s="404"/>
      <c r="AF83" s="404"/>
      <c r="AG83" s="405"/>
      <c r="AH83" s="402"/>
      <c r="AI83" s="403"/>
      <c r="AJ83" s="404"/>
      <c r="AK83" s="404"/>
      <c r="AL83" s="405"/>
      <c r="AM83" s="402"/>
      <c r="AN83" s="403"/>
      <c r="AO83" s="404">
        <f>Pepco!AJ40</f>
        <v>5.3995680345572353E-2</v>
      </c>
      <c r="AP83" s="404">
        <f>Pepco!AK40</f>
        <v>4.6386192017259978E-2</v>
      </c>
      <c r="AQ83" s="405">
        <f>Pepco!AL40</f>
        <v>-0.25</v>
      </c>
      <c r="AR83" s="402">
        <f>SUM(AN83:AQ83)</f>
        <v>-0.14961812763716767</v>
      </c>
      <c r="AS83" s="403">
        <f>Pepco!AN40</f>
        <v>-1.0752688172043011E-3</v>
      </c>
      <c r="AT83" s="404">
        <f>Pepco!AO40</f>
        <v>4.2735042735042736E-2</v>
      </c>
      <c r="AU83" s="404">
        <f>Pepco!AP40</f>
        <v>8.2901554404145081E-2</v>
      </c>
      <c r="AV83" s="405">
        <f>Pepco!AQ40</f>
        <v>6.4115822130299899E-2</v>
      </c>
      <c r="AW83" s="402">
        <f>SUM(AS83:AV83)</f>
        <v>0.18867715045228342</v>
      </c>
      <c r="AX83" s="403">
        <f>Pepco!AS40</f>
        <v>4.0427102256580201E-2</v>
      </c>
      <c r="AY83" s="404">
        <f ca="1">Pepco!AT40</f>
        <v>4.0868395577011905E-2</v>
      </c>
      <c r="AZ83" s="404">
        <f ca="1">Pepco!AU40</f>
        <v>9.1006845785743945E-2</v>
      </c>
      <c r="BA83" s="405">
        <f ca="1">Pepco!AV40</f>
        <v>3.8110652696752643E-2</v>
      </c>
      <c r="BB83" s="402">
        <f ca="1">Pepco!AW40</f>
        <v>0.21041299631608895</v>
      </c>
      <c r="BC83" s="403">
        <f ca="1">Pepco!AX40</f>
        <v>3.9136871923407569E-2</v>
      </c>
      <c r="BD83" s="404">
        <f ca="1">Pepco!AY40</f>
        <v>3.8958893610302435E-2</v>
      </c>
      <c r="BE83" s="404">
        <f ca="1">Pepco!AZ40</f>
        <v>9.7889778690630536E-2</v>
      </c>
      <c r="BF83" s="405">
        <f ca="1">Pepco!BA40</f>
        <v>4.6390977170647489E-2</v>
      </c>
      <c r="BG83" s="402">
        <f ca="1">Pepco!BB40</f>
        <v>0.22237652139498776</v>
      </c>
      <c r="BH83" s="403">
        <f ca="1">Pepco!BC40</f>
        <v>4.4063099231387085E-2</v>
      </c>
      <c r="BI83" s="404">
        <f ca="1">Pepco!BD40</f>
        <v>4.5073269789029591E-2</v>
      </c>
      <c r="BJ83" s="404">
        <f ca="1">Pepco!BE40</f>
        <v>0.10202081887040115</v>
      </c>
      <c r="BK83" s="405">
        <f ca="1">Pepco!BF40</f>
        <v>5.2227982958389221E-2</v>
      </c>
      <c r="BL83" s="402">
        <f ca="1">Pepco!BG40</f>
        <v>0.24338517084920702</v>
      </c>
      <c r="BM83" s="403">
        <f ca="1">Pepco!BH40</f>
        <v>5.1691750866551048E-2</v>
      </c>
      <c r="BN83" s="404">
        <f ca="1">Pepco!BI40</f>
        <v>5.23712383450479E-2</v>
      </c>
      <c r="BO83" s="404">
        <f ca="1">Pepco!BJ40</f>
        <v>0.10588810397952349</v>
      </c>
      <c r="BP83" s="405">
        <f ca="1">Pepco!BK40</f>
        <v>5.7774041312719918E-2</v>
      </c>
      <c r="BQ83" s="402">
        <f ca="1">Pepco!BL40</f>
        <v>0.26772513450384217</v>
      </c>
      <c r="BR83" s="45"/>
      <c r="BS83" s="45"/>
      <c r="BT83" s="432"/>
      <c r="BV83" s="45"/>
      <c r="BW83" s="45"/>
      <c r="BX83" s="45"/>
      <c r="BY83" s="45"/>
      <c r="BZ83" s="45"/>
      <c r="DR83"/>
      <c r="DS83"/>
      <c r="DT83"/>
      <c r="DU83"/>
      <c r="DV83"/>
      <c r="DW83"/>
      <c r="DX83" s="37"/>
    </row>
    <row r="84" spans="2:128" s="28" customFormat="1">
      <c r="B84" s="40"/>
      <c r="C84" s="391" t="s">
        <v>350</v>
      </c>
      <c r="E84" s="363"/>
      <c r="F84" s="364"/>
      <c r="G84" s="364"/>
      <c r="H84" s="365"/>
      <c r="I84" s="941"/>
      <c r="J84" s="403"/>
      <c r="K84" s="404"/>
      <c r="L84" s="404"/>
      <c r="M84" s="405"/>
      <c r="N84" s="402"/>
      <c r="O84" s="403"/>
      <c r="P84" s="404"/>
      <c r="Q84" s="404"/>
      <c r="R84" s="405"/>
      <c r="S84" s="402"/>
      <c r="T84" s="403"/>
      <c r="U84" s="404"/>
      <c r="V84" s="404"/>
      <c r="W84" s="405"/>
      <c r="X84" s="402"/>
      <c r="Y84" s="403"/>
      <c r="Z84" s="404"/>
      <c r="AA84" s="404"/>
      <c r="AB84" s="405"/>
      <c r="AC84" s="402"/>
      <c r="AD84" s="403"/>
      <c r="AE84" s="404"/>
      <c r="AF84" s="404"/>
      <c r="AG84" s="405"/>
      <c r="AH84" s="402"/>
      <c r="AI84" s="403"/>
      <c r="AJ84" s="404"/>
      <c r="AK84" s="404"/>
      <c r="AL84" s="405"/>
      <c r="AM84" s="402"/>
      <c r="AN84" s="403"/>
      <c r="AO84" s="404">
        <f>DPL!AJ46</f>
        <v>1.2958963282937365E-2</v>
      </c>
      <c r="AP84" s="404">
        <f>DPL!AK46</f>
        <v>4.7464940668824167E-2</v>
      </c>
      <c r="AQ84" s="405">
        <f>DPL!AL46</f>
        <v>7.5431034482758624E-3</v>
      </c>
      <c r="AR84" s="402">
        <f>SUM(AN84:AQ84)</f>
        <v>6.7967007400037388E-2</v>
      </c>
      <c r="AS84" s="403">
        <f>DPL!AN46</f>
        <v>6.1290322580645158E-2</v>
      </c>
      <c r="AT84" s="404">
        <f>DPL!AO46</f>
        <v>2.02991452991453E-2</v>
      </c>
      <c r="AU84" s="404">
        <f>DPL!AP46</f>
        <v>3.2124352331606217E-2</v>
      </c>
      <c r="AV84" s="405">
        <f>DPL!AQ46</f>
        <v>1.4477766287487074E-2</v>
      </c>
      <c r="AW84" s="402">
        <f>SUM(AS84:AV84)</f>
        <v>0.12819158649888374</v>
      </c>
      <c r="AX84" s="403">
        <f>DPL!AS46</f>
        <v>4.8160914954981614E-2</v>
      </c>
      <c r="AY84" s="404">
        <f ca="1">DPL!AT46</f>
        <v>1.9440854360048505E-2</v>
      </c>
      <c r="AZ84" s="404">
        <f ca="1">DPL!AU46</f>
        <v>3.6996922820670464E-2</v>
      </c>
      <c r="BA84" s="405">
        <f ca="1">DPL!AV46</f>
        <v>2.5806641507481583E-2</v>
      </c>
      <c r="BB84" s="402">
        <f ca="1">DPL!AW46</f>
        <v>0.13040533364318216</v>
      </c>
      <c r="BC84" s="403">
        <f ca="1">DPL!AX46</f>
        <v>4.944446218294013E-2</v>
      </c>
      <c r="BD84" s="404">
        <f ca="1">DPL!AY46</f>
        <v>1.9017577376607683E-2</v>
      </c>
      <c r="BE84" s="404">
        <f ca="1">DPL!AZ46</f>
        <v>3.7674621754813717E-2</v>
      </c>
      <c r="BF84" s="405">
        <f ca="1">DPL!BA46</f>
        <v>2.7082323823875494E-2</v>
      </c>
      <c r="BG84" s="402">
        <f ca="1">DPL!BB46</f>
        <v>0.13321898513823704</v>
      </c>
      <c r="BH84" s="403">
        <f ca="1">DPL!BC46</f>
        <v>5.1122915714999904E-2</v>
      </c>
      <c r="BI84" s="404">
        <f ca="1">DPL!BD46</f>
        <v>2.1254557570087981E-2</v>
      </c>
      <c r="BJ84" s="404">
        <f ca="1">DPL!BE46</f>
        <v>3.8742698105707074E-2</v>
      </c>
      <c r="BK84" s="405">
        <f ca="1">DPL!BF46</f>
        <v>2.8621014800787298E-2</v>
      </c>
      <c r="BL84" s="402">
        <f ca="1">DPL!BG46</f>
        <v>0.13974118619158246</v>
      </c>
      <c r="BM84" s="403">
        <f ca="1">DPL!BH46</f>
        <v>5.1960228838475224E-2</v>
      </c>
      <c r="BN84" s="404">
        <f ca="1">DPL!BI46</f>
        <v>2.2255452014904559E-2</v>
      </c>
      <c r="BO84" s="404">
        <f ca="1">DPL!BJ46</f>
        <v>3.9675725762880198E-2</v>
      </c>
      <c r="BP84" s="405">
        <f ca="1">DPL!BK46</f>
        <v>2.9961047975112239E-2</v>
      </c>
      <c r="BQ84" s="402">
        <f ca="1">DPL!BL46</f>
        <v>0.14385245459137208</v>
      </c>
      <c r="BR84" s="45"/>
      <c r="BS84" s="45"/>
      <c r="BT84" s="432"/>
      <c r="BV84" s="45"/>
      <c r="BW84" s="45"/>
      <c r="BX84" s="45"/>
      <c r="BY84" s="45"/>
      <c r="BZ84" s="45"/>
      <c r="DR84"/>
      <c r="DS84"/>
      <c r="DT84"/>
      <c r="DU84"/>
      <c r="DV84"/>
      <c r="DW84"/>
      <c r="DX84" s="37"/>
    </row>
    <row r="85" spans="2:128" s="28" customFormat="1">
      <c r="B85" s="40"/>
      <c r="C85" s="391" t="s">
        <v>779</v>
      </c>
      <c r="E85" s="363"/>
      <c r="F85" s="364"/>
      <c r="G85" s="364"/>
      <c r="H85" s="365"/>
      <c r="I85" s="941"/>
      <c r="J85" s="403"/>
      <c r="K85" s="404"/>
      <c r="L85" s="404"/>
      <c r="M85" s="405"/>
      <c r="N85" s="402"/>
      <c r="O85" s="403"/>
      <c r="P85" s="404"/>
      <c r="Q85" s="404"/>
      <c r="R85" s="405"/>
      <c r="S85" s="402"/>
      <c r="T85" s="403"/>
      <c r="U85" s="404"/>
      <c r="V85" s="404"/>
      <c r="W85" s="405"/>
      <c r="X85" s="402"/>
      <c r="Y85" s="403"/>
      <c r="Z85" s="404"/>
      <c r="AA85" s="404"/>
      <c r="AB85" s="405"/>
      <c r="AC85" s="402"/>
      <c r="AD85" s="403"/>
      <c r="AE85" s="404"/>
      <c r="AF85" s="404"/>
      <c r="AG85" s="405"/>
      <c r="AH85" s="402"/>
      <c r="AI85" s="403"/>
      <c r="AJ85" s="404"/>
      <c r="AK85" s="404"/>
      <c r="AL85" s="405"/>
      <c r="AM85" s="402"/>
      <c r="AN85" s="403"/>
      <c r="AO85" s="404">
        <f>ACE!AJ40</f>
        <v>3.2397408207343412E-3</v>
      </c>
      <c r="AP85" s="404">
        <f>ACE!AK40</f>
        <v>5.070118662351672E-2</v>
      </c>
      <c r="AQ85" s="405">
        <f>ACE!AL40</f>
        <v>8.6206896551724137E-3</v>
      </c>
      <c r="AR85" s="402">
        <f>SUM(AN85:AQ85)</f>
        <v>6.2561617099423469E-2</v>
      </c>
      <c r="AS85" s="403">
        <f>ACE!AN40</f>
        <v>3.0107526881720432E-2</v>
      </c>
      <c r="AT85" s="404">
        <f>ACE!AO40</f>
        <v>8.5470085470085479E-3</v>
      </c>
      <c r="AU85" s="404">
        <f>ACE!AP40</f>
        <v>4.2487046632124353E-2</v>
      </c>
      <c r="AV85" s="405">
        <f>ACE!AQ40</f>
        <v>0</v>
      </c>
      <c r="AW85" s="402">
        <f>SUM(AS85:AV85)</f>
        <v>8.114158206085334E-2</v>
      </c>
      <c r="AX85" s="403">
        <f>ACE!AS40</f>
        <v>1.1379755755975454E-2</v>
      </c>
      <c r="AY85" s="404">
        <f ca="1">ACE!AT40</f>
        <v>1.3157959309854791E-2</v>
      </c>
      <c r="AZ85" s="404">
        <f ca="1">ACE!AU40</f>
        <v>6.016861860925115E-2</v>
      </c>
      <c r="BA85" s="405">
        <f ca="1">ACE!AV40</f>
        <v>1.0790143122030575E-2</v>
      </c>
      <c r="BB85" s="402">
        <f ca="1">ACE!AW40</f>
        <v>9.5496476797112012E-2</v>
      </c>
      <c r="BC85" s="403">
        <f ca="1">ACE!AX40</f>
        <v>1.2734013779024425E-2</v>
      </c>
      <c r="BD85" s="404">
        <f ca="1">ACE!AY40</f>
        <v>1.431298979236314E-2</v>
      </c>
      <c r="BE85" s="404">
        <f ca="1">ACE!AZ40</f>
        <v>6.6009331134598725E-2</v>
      </c>
      <c r="BF85" s="405">
        <f ca="1">ACE!BA40</f>
        <v>1.6431388815941306E-2</v>
      </c>
      <c r="BG85" s="402">
        <f ca="1">ACE!BB40</f>
        <v>0.10948772352192761</v>
      </c>
      <c r="BH85" s="403">
        <f ca="1">ACE!BC40</f>
        <v>1.9778726537532095E-2</v>
      </c>
      <c r="BI85" s="404">
        <f ca="1">ACE!BD40</f>
        <v>2.1726419948180049E-2</v>
      </c>
      <c r="BJ85" s="404">
        <f ca="1">ACE!BE40</f>
        <v>6.8408091949418257E-2</v>
      </c>
      <c r="BK85" s="405">
        <f ca="1">ACE!BF40</f>
        <v>1.8727689552756492E-2</v>
      </c>
      <c r="BL85" s="402">
        <f ca="1">ACE!BG40</f>
        <v>0.12864092798788668</v>
      </c>
      <c r="BM85" s="403">
        <f ca="1">ACE!BH40</f>
        <v>2.1824377044693935E-2</v>
      </c>
      <c r="BN85" s="404">
        <f ca="1">ACE!BI40</f>
        <v>2.3775612739369546E-2</v>
      </c>
      <c r="BO85" s="404">
        <f ca="1">ACE!BJ40</f>
        <v>7.0775241185386223E-2</v>
      </c>
      <c r="BP85" s="405">
        <f ca="1">ACE!BK40</f>
        <v>2.161736331963279E-2</v>
      </c>
      <c r="BQ85" s="402">
        <f ca="1">ACE!BL40</f>
        <v>0.1379925942890825</v>
      </c>
      <c r="BR85" s="45"/>
      <c r="BS85" s="45"/>
      <c r="BT85" s="432"/>
      <c r="BV85" s="45"/>
      <c r="BW85" s="45"/>
      <c r="BX85" s="45"/>
      <c r="BY85" s="45"/>
      <c r="BZ85" s="45"/>
      <c r="DR85"/>
      <c r="DS85"/>
      <c r="DT85"/>
      <c r="DU85"/>
      <c r="DV85"/>
      <c r="DW85"/>
      <c r="DX85" s="37"/>
    </row>
    <row r="86" spans="2:128" s="28" customFormat="1">
      <c r="B86" s="156"/>
      <c r="C86" s="393" t="s">
        <v>306</v>
      </c>
      <c r="E86" s="360">
        <f t="shared" ref="E86:AE86" si="167">SUM(E78:E85)</f>
        <v>1.2057488653555217</v>
      </c>
      <c r="F86" s="361">
        <f t="shared" si="167"/>
        <v>1.0332829046898639</v>
      </c>
      <c r="G86" s="361">
        <f t="shared" si="167"/>
        <v>0.95619335347432022</v>
      </c>
      <c r="H86" s="362">
        <f t="shared" si="167"/>
        <v>0.92145015105740191</v>
      </c>
      <c r="I86" s="942">
        <f t="shared" si="167"/>
        <v>4.1132930513595172</v>
      </c>
      <c r="J86" s="399">
        <f t="shared" si="167"/>
        <v>1</v>
      </c>
      <c r="K86" s="400">
        <f t="shared" si="167"/>
        <v>0.99093655589123875</v>
      </c>
      <c r="L86" s="400">
        <f t="shared" si="167"/>
        <v>1.1146304675716441</v>
      </c>
      <c r="M86" s="401">
        <f t="shared" si="167"/>
        <v>0.95324283559577672</v>
      </c>
      <c r="N86" s="398">
        <f t="shared" si="167"/>
        <v>4.0558069381598791</v>
      </c>
      <c r="O86" s="399">
        <f t="shared" si="167"/>
        <v>1.1716867469879517</v>
      </c>
      <c r="P86" s="400">
        <f t="shared" si="167"/>
        <v>1.0496987951807231</v>
      </c>
      <c r="Q86" s="400">
        <f t="shared" si="167"/>
        <v>1.1172932330827068</v>
      </c>
      <c r="R86" s="401">
        <f t="shared" si="167"/>
        <v>0.81831831831831825</v>
      </c>
      <c r="S86" s="398">
        <f t="shared" si="167"/>
        <v>4.1548872180451131</v>
      </c>
      <c r="T86" s="399">
        <f t="shared" si="167"/>
        <v>0.73125884016973131</v>
      </c>
      <c r="U86" s="400">
        <f t="shared" si="167"/>
        <v>0.59112149532710279</v>
      </c>
      <c r="V86" s="400">
        <f t="shared" si="167"/>
        <v>0.76779463243873958</v>
      </c>
      <c r="W86" s="401">
        <f t="shared" si="167"/>
        <v>0.7655677655677654</v>
      </c>
      <c r="X86" s="398">
        <f t="shared" si="167"/>
        <v>2.8449328449328446</v>
      </c>
      <c r="Y86" s="399">
        <f t="shared" si="167"/>
        <v>0.70409356725146199</v>
      </c>
      <c r="Z86" s="400">
        <f t="shared" si="167"/>
        <v>0.52790697674418607</v>
      </c>
      <c r="AA86" s="400">
        <f t="shared" si="167"/>
        <v>0.77558139534883719</v>
      </c>
      <c r="AB86" s="401">
        <f t="shared" si="167"/>
        <v>0.49477351916376305</v>
      </c>
      <c r="AC86" s="398">
        <f t="shared" si="167"/>
        <v>2.4988372093023257</v>
      </c>
      <c r="AD86" s="399">
        <f t="shared" si="167"/>
        <v>0.6155632984901277</v>
      </c>
      <c r="AE86" s="400">
        <f t="shared" si="167"/>
        <v>0.5092592592592593</v>
      </c>
      <c r="AF86" s="400">
        <f t="shared" ref="AF86:AJ86" si="168">SUM(AF78:AF85)</f>
        <v>0.78331402085747392</v>
      </c>
      <c r="AG86" s="401">
        <f t="shared" si="168"/>
        <v>0.48617511520737322</v>
      </c>
      <c r="AH86" s="398">
        <f t="shared" si="168"/>
        <v>2.3935185185185186</v>
      </c>
      <c r="AI86" s="399">
        <f t="shared" si="168"/>
        <v>0.70934256055363321</v>
      </c>
      <c r="AJ86" s="400">
        <f t="shared" si="168"/>
        <v>0.58796296296296302</v>
      </c>
      <c r="AK86" s="400">
        <f t="shared" ref="AK86:AN86" si="169">SUM(AK78:AK85)</f>
        <v>0.82732240437158477</v>
      </c>
      <c r="AL86" s="401">
        <f t="shared" si="169"/>
        <v>0.37554112554112551</v>
      </c>
      <c r="AM86" s="398">
        <f t="shared" si="169"/>
        <v>2.4938409854423291</v>
      </c>
      <c r="AN86" s="399">
        <f t="shared" si="169"/>
        <v>0.68324324324324326</v>
      </c>
      <c r="AO86" s="400">
        <f>SUM(AO78:AO85)</f>
        <v>0.65226781857451399</v>
      </c>
      <c r="AP86" s="400">
        <f>SUM(AP78:AP85)</f>
        <v>0.90722761596548007</v>
      </c>
      <c r="AQ86" s="401">
        <f t="shared" ref="AQ86:BQ86" si="170">SUM(AQ78:AQ85)</f>
        <v>0.44288793103448254</v>
      </c>
      <c r="AR86" s="398">
        <f>SUM(AR78:AR85)</f>
        <v>2.684254617682142</v>
      </c>
      <c r="AS86" s="399">
        <f t="shared" si="170"/>
        <v>0.65053763440860202</v>
      </c>
      <c r="AT86" s="400">
        <f>SUM(AT78:AT85)</f>
        <v>0.54380341880341887</v>
      </c>
      <c r="AU86" s="400">
        <f t="shared" ref="AU86:AV86" si="171">SUM(AU78:AU85)</f>
        <v>0.85077720207253893</v>
      </c>
      <c r="AV86" s="401">
        <f t="shared" si="171"/>
        <v>0.55429162357807649</v>
      </c>
      <c r="AW86" s="398">
        <f>SUM(AW78:AW85)</f>
        <v>2.6024360302870471</v>
      </c>
      <c r="AX86" s="399">
        <f t="shared" si="170"/>
        <v>0.92894309307542444</v>
      </c>
      <c r="AY86" s="400">
        <f t="shared" ca="1" si="170"/>
        <v>0.59384280293773029</v>
      </c>
      <c r="AZ86" s="400">
        <f t="shared" ca="1" si="170"/>
        <v>0.99110965832935694</v>
      </c>
      <c r="BA86" s="401">
        <f t="shared" ca="1" si="170"/>
        <v>0.54558555492550598</v>
      </c>
      <c r="BB86" s="398">
        <f t="shared" ca="1" si="170"/>
        <v>3.059481109268019</v>
      </c>
      <c r="BC86" s="399">
        <f t="shared" ca="1" si="170"/>
        <v>1.0049138734611724</v>
      </c>
      <c r="BD86" s="400">
        <f t="shared" ca="1" si="170"/>
        <v>0.50833941018419526</v>
      </c>
      <c r="BE86" s="400">
        <f ca="1">SUM(BE78:BE85)</f>
        <v>0.89046635565218757</v>
      </c>
      <c r="BF86" s="401">
        <f t="shared" ca="1" si="170"/>
        <v>0.50231198522668408</v>
      </c>
      <c r="BG86" s="398">
        <f t="shared" ca="1" si="170"/>
        <v>2.9060316245242386</v>
      </c>
      <c r="BH86" s="399">
        <f t="shared" ca="1" si="170"/>
        <v>0.92967732325856944</v>
      </c>
      <c r="BI86" s="400">
        <f t="shared" ca="1" si="170"/>
        <v>0.47334242503483293</v>
      </c>
      <c r="BJ86" s="400">
        <f t="shared" ca="1" si="170"/>
        <v>0.88359019794337612</v>
      </c>
      <c r="BK86" s="401">
        <f t="shared" ca="1" si="170"/>
        <v>0.54865739861489671</v>
      </c>
      <c r="BL86" s="398">
        <f t="shared" ca="1" si="170"/>
        <v>2.8352673448516774</v>
      </c>
      <c r="BM86" s="399">
        <f t="shared" ca="1" si="170"/>
        <v>0.86462929691561741</v>
      </c>
      <c r="BN86" s="400">
        <f t="shared" ca="1" si="170"/>
        <v>0.57854022785721626</v>
      </c>
      <c r="BO86" s="400">
        <f t="shared" ca="1" si="170"/>
        <v>0.95040565474290439</v>
      </c>
      <c r="BP86" s="401">
        <f t="shared" ca="1" si="170"/>
        <v>0.63433824826027241</v>
      </c>
      <c r="BQ86" s="398">
        <f t="shared" ca="1" si="170"/>
        <v>3.02791342777601</v>
      </c>
      <c r="BR86" s="45"/>
      <c r="BS86" s="45"/>
      <c r="BT86" s="432"/>
      <c r="BV86" s="45"/>
      <c r="BW86" s="45"/>
      <c r="BX86" s="45"/>
      <c r="BY86" s="45"/>
      <c r="BZ86" s="45"/>
      <c r="DR86"/>
      <c r="DS86"/>
      <c r="DT86"/>
      <c r="DU86"/>
      <c r="DV86"/>
      <c r="DW86"/>
      <c r="DX86" s="37"/>
    </row>
    <row r="87" spans="2:128" s="1929" customFormat="1">
      <c r="B87" s="1928"/>
      <c r="C87" s="1928"/>
      <c r="E87" s="1930"/>
      <c r="F87" s="1931"/>
      <c r="G87" s="1931"/>
      <c r="H87" s="1932"/>
      <c r="I87" s="1933"/>
      <c r="J87" s="1934"/>
      <c r="K87" s="1935"/>
      <c r="L87" s="1935"/>
      <c r="M87" s="1936"/>
      <c r="N87" s="1937"/>
      <c r="O87" s="1938"/>
      <c r="P87" s="1939"/>
      <c r="Q87" s="1939"/>
      <c r="R87" s="1940"/>
      <c r="S87" s="1937"/>
      <c r="T87" s="1938"/>
      <c r="U87" s="1939"/>
      <c r="V87" s="1939"/>
      <c r="W87" s="1940"/>
      <c r="X87" s="1937"/>
      <c r="Y87" s="1938"/>
      <c r="Z87" s="1939"/>
      <c r="AA87" s="1939"/>
      <c r="AB87" s="1940"/>
      <c r="AC87" s="1937"/>
      <c r="AD87" s="1938"/>
      <c r="AE87" s="1939"/>
      <c r="AF87" s="1939"/>
      <c r="AG87" s="1940"/>
      <c r="AH87" s="1937"/>
      <c r="AI87" s="1938"/>
      <c r="AJ87" s="1939"/>
      <c r="AK87" s="1939"/>
      <c r="AL87" s="1940"/>
      <c r="AM87" s="1937"/>
      <c r="AN87" s="1938"/>
      <c r="AO87" s="2228"/>
      <c r="AP87" s="2228"/>
      <c r="AQ87" s="2229"/>
      <c r="AR87" s="402"/>
      <c r="AS87" s="1938"/>
      <c r="AT87" s="1939"/>
      <c r="AU87" s="1939"/>
      <c r="AV87" s="1940"/>
      <c r="AW87" s="402"/>
      <c r="AX87" s="1938"/>
      <c r="AY87" s="1939"/>
      <c r="AZ87" s="1939"/>
      <c r="BA87" s="1940"/>
      <c r="BB87" s="402"/>
      <c r="BC87" s="1938"/>
      <c r="BD87" s="1939"/>
      <c r="BE87" s="1939"/>
      <c r="BF87" s="1940"/>
      <c r="BG87" s="402"/>
      <c r="BH87" s="1938"/>
      <c r="BI87" s="1939"/>
      <c r="BJ87" s="1939"/>
      <c r="BK87" s="1940"/>
      <c r="BL87" s="402"/>
      <c r="BM87" s="1938"/>
      <c r="BN87" s="1939"/>
      <c r="BO87" s="1939"/>
      <c r="BP87" s="1940"/>
      <c r="BQ87" s="402"/>
      <c r="BR87" s="1004"/>
      <c r="BS87" s="45"/>
      <c r="BT87" s="432"/>
      <c r="BU87" s="28"/>
      <c r="BV87" s="45"/>
      <c r="BW87" s="45"/>
      <c r="BX87" s="1937"/>
      <c r="BY87" s="1937"/>
      <c r="BZ87" s="1937"/>
      <c r="DR87"/>
      <c r="DS87"/>
      <c r="DT87"/>
      <c r="DU87"/>
      <c r="DV87"/>
      <c r="DW87"/>
      <c r="DX87" s="1941"/>
    </row>
    <row r="88" spans="2:128" s="28" customFormat="1">
      <c r="B88" s="40"/>
      <c r="C88" s="393" t="s">
        <v>307</v>
      </c>
      <c r="E88" s="305"/>
      <c r="F88" s="36"/>
      <c r="G88" s="36"/>
      <c r="H88" s="685"/>
      <c r="I88" s="932"/>
      <c r="J88" s="290"/>
      <c r="K88" s="260"/>
      <c r="L88" s="260"/>
      <c r="M88" s="291"/>
      <c r="N88" s="45"/>
      <c r="O88" s="306"/>
      <c r="P88" s="266"/>
      <c r="Q88" s="266"/>
      <c r="R88" s="307"/>
      <c r="S88" s="45"/>
      <c r="T88" s="306"/>
      <c r="U88" s="266"/>
      <c r="V88" s="266"/>
      <c r="W88" s="307"/>
      <c r="X88" s="45"/>
      <c r="Y88" s="306"/>
      <c r="Z88" s="266"/>
      <c r="AA88" s="266"/>
      <c r="AB88" s="307"/>
      <c r="AC88" s="45"/>
      <c r="AD88" s="306"/>
      <c r="AE88" s="266"/>
      <c r="AF88" s="266"/>
      <c r="AG88" s="307"/>
      <c r="AH88" s="45"/>
      <c r="AI88" s="1898"/>
      <c r="AJ88" s="1899"/>
      <c r="AK88" s="1899"/>
      <c r="AL88" s="1900"/>
      <c r="AM88" s="1901"/>
      <c r="AN88" s="1898"/>
      <c r="AO88" s="1899"/>
      <c r="AP88" s="1899"/>
      <c r="AQ88" s="1900"/>
      <c r="AR88" s="1901"/>
      <c r="AS88" s="1898"/>
      <c r="AT88" s="1899"/>
      <c r="AU88" s="1899"/>
      <c r="AV88" s="1900"/>
      <c r="AW88" s="1901"/>
      <c r="AX88" s="1898"/>
      <c r="AY88" s="1899"/>
      <c r="AZ88" s="1899"/>
      <c r="BA88" s="1900"/>
      <c r="BB88" s="1004"/>
      <c r="BC88" s="2324"/>
      <c r="BD88" s="2325"/>
      <c r="BE88" s="2325"/>
      <c r="BF88" s="2326"/>
      <c r="BG88" s="1004"/>
      <c r="BH88" s="2324"/>
      <c r="BI88" s="2325"/>
      <c r="BJ88" s="2325"/>
      <c r="BK88" s="2326"/>
      <c r="BL88" s="1004"/>
      <c r="BM88" s="2324"/>
      <c r="BN88" s="2325"/>
      <c r="BO88" s="2325"/>
      <c r="BP88" s="2326"/>
      <c r="BQ88" s="1004"/>
      <c r="BR88" s="602"/>
      <c r="BS88" s="45"/>
      <c r="BT88" s="432"/>
      <c r="BV88" s="45"/>
      <c r="BW88" s="45"/>
      <c r="BX88" s="45"/>
      <c r="BY88" s="45"/>
      <c r="BZ88" s="45"/>
      <c r="DR88"/>
      <c r="DS88"/>
      <c r="DT88"/>
      <c r="DU88"/>
      <c r="DV88"/>
      <c r="DW88"/>
      <c r="DX88" s="37"/>
    </row>
    <row r="89" spans="2:128" s="28" customFormat="1">
      <c r="B89" s="40"/>
      <c r="C89" s="391" t="s">
        <v>1052</v>
      </c>
      <c r="E89" s="345">
        <f>-ExGen!E827</f>
        <v>376</v>
      </c>
      <c r="F89" s="346">
        <f>-ExGen!F827</f>
        <v>425</v>
      </c>
      <c r="G89" s="346">
        <f>-ExGen!G827</f>
        <v>529</v>
      </c>
      <c r="H89" s="347">
        <f>-ExGen!H827</f>
        <v>647</v>
      </c>
      <c r="I89" s="932">
        <f>-ExGen!I827</f>
        <v>1977</v>
      </c>
      <c r="J89" s="290">
        <f>-ExGen!J827</f>
        <v>592</v>
      </c>
      <c r="K89" s="260">
        <f>-ExGen!K827</f>
        <v>390</v>
      </c>
      <c r="L89" s="260">
        <f>-ExGen!L827</f>
        <v>423</v>
      </c>
      <c r="M89" s="291">
        <f>-ExGen!M827</f>
        <v>478</v>
      </c>
      <c r="N89" s="45">
        <f>-ExGen!N827</f>
        <v>1883</v>
      </c>
      <c r="O89" s="290">
        <f>-ExGen!O827</f>
        <v>772</v>
      </c>
      <c r="P89" s="260">
        <f>-ExGen!P827</f>
        <v>498</v>
      </c>
      <c r="Q89" s="260">
        <f>-ExGen!Q827</f>
        <v>595</v>
      </c>
      <c r="R89" s="291">
        <f>-ExGen!R827</f>
        <v>626</v>
      </c>
      <c r="S89" s="45">
        <f>-ExGen!S827</f>
        <v>2491</v>
      </c>
      <c r="T89" s="290">
        <f>-ExGen!T827</f>
        <v>1055</v>
      </c>
      <c r="U89" s="260">
        <f>-ExGen!U827</f>
        <v>765</v>
      </c>
      <c r="V89" s="260">
        <f>-ExGen!V827</f>
        <v>782</v>
      </c>
      <c r="W89" s="291">
        <f>-ExGen!W827</f>
        <v>952</v>
      </c>
      <c r="X89" s="45">
        <f>-ExGen!X827</f>
        <v>3554</v>
      </c>
      <c r="Y89" s="290">
        <f>-ExGen!Y827</f>
        <v>841</v>
      </c>
      <c r="Z89" s="260">
        <f>-ExGen!Z827</f>
        <v>436</v>
      </c>
      <c r="AA89" s="1441">
        <f>-ExGen!AA827</f>
        <v>718</v>
      </c>
      <c r="AB89" s="1442">
        <f>-ExGen!AB827</f>
        <v>757</v>
      </c>
      <c r="AC89" s="1443">
        <f>-ExGen!AC827</f>
        <v>2752</v>
      </c>
      <c r="AD89" s="290">
        <f>-ExGen!AD827</f>
        <v>535</v>
      </c>
      <c r="AE89" s="260">
        <f>-ExGen!AE827</f>
        <v>568</v>
      </c>
      <c r="AF89" s="1441">
        <f>-ExGen!AF827</f>
        <v>858</v>
      </c>
      <c r="AG89" s="1442">
        <f>-ExGen!AG827</f>
        <v>1051</v>
      </c>
      <c r="AH89" s="1443">
        <f>-ExGen!AH827</f>
        <v>3012</v>
      </c>
      <c r="AI89" s="290">
        <f>-ExGen!AI827</f>
        <v>937</v>
      </c>
      <c r="AJ89" s="260">
        <f>-ExGen!AJ827</f>
        <v>827</v>
      </c>
      <c r="AK89" s="1441">
        <f>-ExGen!AK827</f>
        <v>1010</v>
      </c>
      <c r="AL89" s="1442">
        <f>-ExGen!AL827</f>
        <v>1067</v>
      </c>
      <c r="AM89" s="1443">
        <f>-ExGen!AM827</f>
        <v>3841</v>
      </c>
      <c r="AN89" s="290">
        <f>-ExGen!AN827</f>
        <v>1125</v>
      </c>
      <c r="AO89" s="260">
        <f>-ExGen!AO827</f>
        <v>926</v>
      </c>
      <c r="AP89" s="1441">
        <f>-ExGen!AP827</f>
        <v>600</v>
      </c>
      <c r="AQ89" s="1442">
        <f>-ExGen!AQ827</f>
        <v>427</v>
      </c>
      <c r="AR89" s="1443">
        <f>-ExGen!AR827</f>
        <v>3078</v>
      </c>
      <c r="AS89" s="290">
        <f>-ExGen!AS827</f>
        <v>923</v>
      </c>
      <c r="AT89" s="260">
        <f>-ExGen!AT827</f>
        <v>266</v>
      </c>
      <c r="AU89" s="260">
        <f>-ExGen!AU827</f>
        <v>465</v>
      </c>
      <c r="AV89" s="291">
        <f>-ExGen!AV827</f>
        <v>605</v>
      </c>
      <c r="AW89" s="45">
        <f>-ExGen!AW827</f>
        <v>2259</v>
      </c>
      <c r="AX89" s="290">
        <f>-ExGen!AX827</f>
        <v>568.34344576200806</v>
      </c>
      <c r="AY89" s="260">
        <f>-ExGen!AY827</f>
        <v>568.34344576200806</v>
      </c>
      <c r="AZ89" s="260">
        <f>-ExGen!AZ827</f>
        <v>568.34344576200806</v>
      </c>
      <c r="BA89" s="291">
        <f>-ExGen!BA827</f>
        <v>568.34344576200806</v>
      </c>
      <c r="BB89" s="45">
        <f>SUM(AX89:BA89)</f>
        <v>2273.3737830480322</v>
      </c>
      <c r="BC89" s="290">
        <f>-ExGen!BC827</f>
        <v>462.92642541754657</v>
      </c>
      <c r="BD89" s="260">
        <f>-ExGen!BD827</f>
        <v>462.92642541754657</v>
      </c>
      <c r="BE89" s="260">
        <f>-ExGen!BE827</f>
        <v>462.92642541754657</v>
      </c>
      <c r="BF89" s="291">
        <f>-ExGen!BF827</f>
        <v>462.92642541754657</v>
      </c>
      <c r="BG89" s="45">
        <f>SUM(BC89:BF89)</f>
        <v>1851.7057016701863</v>
      </c>
      <c r="BH89" s="290">
        <f>-ExGen!BH827</f>
        <v>456.67642541754657</v>
      </c>
      <c r="BI89" s="260">
        <f>-ExGen!BI827</f>
        <v>456.67642541754657</v>
      </c>
      <c r="BJ89" s="260">
        <f>-ExGen!BJ827</f>
        <v>456.67642541754657</v>
      </c>
      <c r="BK89" s="291">
        <f>-ExGen!BK827</f>
        <v>456.67642541754657</v>
      </c>
      <c r="BL89" s="45">
        <f>SUM(BH89:BK89)</f>
        <v>1826.7057016701863</v>
      </c>
      <c r="BM89" s="290">
        <f>-ExGen!BM827</f>
        <v>456.25</v>
      </c>
      <c r="BN89" s="260">
        <f>-ExGen!BN827</f>
        <v>456.25</v>
      </c>
      <c r="BO89" s="260">
        <f>-ExGen!BO827</f>
        <v>456.25</v>
      </c>
      <c r="BP89" s="291">
        <f>-ExGen!BP827</f>
        <v>456.25</v>
      </c>
      <c r="BQ89" s="45">
        <f>SUM(BM89:BP89)</f>
        <v>1825</v>
      </c>
      <c r="BR89" s="45"/>
      <c r="BS89" s="45"/>
      <c r="BT89" s="432"/>
      <c r="BV89" s="45"/>
      <c r="BW89" s="45"/>
      <c r="BX89" s="45"/>
      <c r="BY89" s="45"/>
      <c r="BZ89" s="45"/>
      <c r="DR89"/>
      <c r="DS89"/>
      <c r="DT89"/>
      <c r="DU89"/>
      <c r="DV89"/>
      <c r="DW89"/>
      <c r="DX89" s="37"/>
    </row>
    <row r="90" spans="2:128" s="28" customFormat="1">
      <c r="B90" s="40"/>
      <c r="C90" s="391" t="s">
        <v>1305</v>
      </c>
      <c r="E90" s="345">
        <f>-ComEd!E171</f>
        <v>225</v>
      </c>
      <c r="F90" s="346">
        <f>-ComEd!F171</f>
        <v>198</v>
      </c>
      <c r="G90" s="346">
        <f>-ComEd!G171</f>
        <v>182</v>
      </c>
      <c r="H90" s="347">
        <f>-ComEd!H171</f>
        <v>249</v>
      </c>
      <c r="I90" s="932">
        <f>-ComEd!I171</f>
        <v>854</v>
      </c>
      <c r="J90" s="290">
        <f>-ComEd!J171</f>
        <v>244</v>
      </c>
      <c r="K90" s="260">
        <f>-ComEd!K171</f>
        <v>209</v>
      </c>
      <c r="L90" s="260">
        <f>-ComEd!L171</f>
        <v>233</v>
      </c>
      <c r="M90" s="291">
        <f>-ComEd!M171</f>
        <v>276</v>
      </c>
      <c r="N90" s="45">
        <f>-ComEd!N171</f>
        <v>962</v>
      </c>
      <c r="O90" s="290">
        <f>-ComEd!O171</f>
        <v>251</v>
      </c>
      <c r="P90" s="260">
        <f>-ComEd!P171</f>
        <v>244</v>
      </c>
      <c r="Q90" s="260">
        <f>-ComEd!Q171</f>
        <v>263</v>
      </c>
      <c r="R90" s="291">
        <f>-ComEd!R171</f>
        <v>270</v>
      </c>
      <c r="S90" s="45">
        <f>-ComEd!S171</f>
        <v>1028</v>
      </c>
      <c r="T90" s="290">
        <f>-ComEd!T171</f>
        <v>291</v>
      </c>
      <c r="U90" s="260">
        <f>-ComEd!U171</f>
        <v>294</v>
      </c>
      <c r="V90" s="260">
        <f>-ComEd!V171</f>
        <v>311</v>
      </c>
      <c r="W90" s="291">
        <f>-ComEd!W171</f>
        <v>350</v>
      </c>
      <c r="X90" s="45">
        <f>-ComEd!X171</f>
        <v>1246</v>
      </c>
      <c r="Y90" s="290">
        <f>-ComEd!Y171</f>
        <v>346</v>
      </c>
      <c r="Z90" s="260">
        <f>-ComEd!Z171</f>
        <v>365</v>
      </c>
      <c r="AA90" s="1441">
        <f>-ComEd!AA171</f>
        <v>363</v>
      </c>
      <c r="AB90" s="1442">
        <f>-ComEd!AB171</f>
        <v>359</v>
      </c>
      <c r="AC90" s="1443">
        <f>-ComEd!AC171</f>
        <v>1433</v>
      </c>
      <c r="AD90" s="290">
        <f>-ComEd!AD171</f>
        <v>341</v>
      </c>
      <c r="AE90" s="260">
        <f>-ComEd!AE171</f>
        <v>406</v>
      </c>
      <c r="AF90" s="1441">
        <f>-ComEd!AF171</f>
        <v>426</v>
      </c>
      <c r="AG90" s="1442">
        <f>-ComEd!AG171</f>
        <v>516</v>
      </c>
      <c r="AH90" s="1443">
        <f>-ComEd!AH171</f>
        <v>1689</v>
      </c>
      <c r="AI90" s="290">
        <f>-ComEd!AI171</f>
        <v>530</v>
      </c>
      <c r="AJ90" s="260">
        <f>-ComEd!AJ171</f>
        <v>531</v>
      </c>
      <c r="AK90" s="1441">
        <f>-ComEd!AK171</f>
        <v>609</v>
      </c>
      <c r="AL90" s="1442">
        <f>-ComEd!AL171</f>
        <v>728</v>
      </c>
      <c r="AM90" s="1443">
        <f>-ComEd!AM171</f>
        <v>2398</v>
      </c>
      <c r="AN90" s="290">
        <f>-ComEd!AN171</f>
        <v>639</v>
      </c>
      <c r="AO90" s="260">
        <f>-ComEd!AO171</f>
        <v>695</v>
      </c>
      <c r="AP90" s="1441">
        <f>-ComEd!AP171</f>
        <v>616</v>
      </c>
      <c r="AQ90" s="1442">
        <f>-ComEd!AQ171</f>
        <v>784</v>
      </c>
      <c r="AR90" s="1443">
        <f>-ComEd!AR171</f>
        <v>2734</v>
      </c>
      <c r="AS90" s="290">
        <f>-ComEd!AS171</f>
        <v>535</v>
      </c>
      <c r="AT90" s="260">
        <f>-ComEd!AT171</f>
        <v>633</v>
      </c>
      <c r="AU90" s="260">
        <f>-ComEd!AU171</f>
        <v>530</v>
      </c>
      <c r="AV90" s="291">
        <f>-ComEd!AV171</f>
        <v>552</v>
      </c>
      <c r="AW90" s="45">
        <f>-ComEd!AW171</f>
        <v>2250</v>
      </c>
      <c r="AX90" s="290">
        <f>-ComEd!AX171</f>
        <v>531.25</v>
      </c>
      <c r="AY90" s="260">
        <f>-ComEd!AY171</f>
        <v>531.25</v>
      </c>
      <c r="AZ90" s="260">
        <f>-ComEd!AZ171</f>
        <v>531.25</v>
      </c>
      <c r="BA90" s="291">
        <f>-ComEd!BA171</f>
        <v>531.25</v>
      </c>
      <c r="BB90" s="45">
        <f t="shared" ref="BB90:BB96" si="172">SUM(AX90:BA90)</f>
        <v>2125</v>
      </c>
      <c r="BC90" s="290">
        <f>-ComEd!BC171</f>
        <v>431.25</v>
      </c>
      <c r="BD90" s="260">
        <f>-ComEd!BD171</f>
        <v>431.25</v>
      </c>
      <c r="BE90" s="260">
        <f>-ComEd!BE171</f>
        <v>431.25</v>
      </c>
      <c r="BF90" s="291">
        <f>-ComEd!BF171</f>
        <v>431.25</v>
      </c>
      <c r="BG90" s="45">
        <f t="shared" ref="BG90:BG96" si="173">SUM(BC90:BF90)</f>
        <v>1725</v>
      </c>
      <c r="BH90" s="290">
        <f>-ComEd!BH171</f>
        <v>462.5</v>
      </c>
      <c r="BI90" s="260">
        <f>-ComEd!BI171</f>
        <v>462.5</v>
      </c>
      <c r="BJ90" s="260">
        <f>-ComEd!BJ171</f>
        <v>462.5</v>
      </c>
      <c r="BK90" s="291">
        <f>-ComEd!BK171</f>
        <v>462.5</v>
      </c>
      <c r="BL90" s="45">
        <f t="shared" ref="BL90:BL96" si="174">SUM(BH90:BK90)</f>
        <v>1850</v>
      </c>
      <c r="BM90" s="290">
        <f>-ComEd!BM171</f>
        <v>462.5</v>
      </c>
      <c r="BN90" s="260">
        <f>-ComEd!BN171</f>
        <v>462.5</v>
      </c>
      <c r="BO90" s="260">
        <f>-ComEd!BO171</f>
        <v>462.5</v>
      </c>
      <c r="BP90" s="291">
        <f>-ComEd!BP171</f>
        <v>462.5</v>
      </c>
      <c r="BQ90" s="45">
        <f t="shared" ref="BQ90:BQ96" si="175">SUM(BM90:BP90)</f>
        <v>1850</v>
      </c>
      <c r="BR90" s="45"/>
      <c r="BS90" s="45"/>
      <c r="BT90" s="432"/>
      <c r="BV90" s="45"/>
      <c r="BW90" s="45"/>
      <c r="BX90" s="45"/>
      <c r="BY90" s="45"/>
      <c r="BZ90" s="45"/>
      <c r="DR90"/>
      <c r="DS90"/>
      <c r="DT90"/>
      <c r="DU90"/>
      <c r="DV90"/>
      <c r="DW90"/>
      <c r="DX90" s="37"/>
    </row>
    <row r="91" spans="2:128" s="28" customFormat="1">
      <c r="B91" s="40"/>
      <c r="C91" s="391" t="s">
        <v>1306</v>
      </c>
      <c r="E91" s="345">
        <f>-PECO!E200</f>
        <v>91</v>
      </c>
      <c r="F91" s="346">
        <f>-PECO!F200</f>
        <v>88</v>
      </c>
      <c r="G91" s="346">
        <f>-PECO!G200</f>
        <v>88</v>
      </c>
      <c r="H91" s="347">
        <f>-PECO!H200</f>
        <v>121</v>
      </c>
      <c r="I91" s="932">
        <f>-PECO!I200</f>
        <v>388</v>
      </c>
      <c r="J91" s="290">
        <f>-PECO!J200</f>
        <v>113</v>
      </c>
      <c r="K91" s="260">
        <f>-PECO!K200</f>
        <v>105</v>
      </c>
      <c r="L91" s="260">
        <f>-PECO!L200</f>
        <v>140</v>
      </c>
      <c r="M91" s="291">
        <f>-PECO!M200</f>
        <v>187</v>
      </c>
      <c r="N91" s="45">
        <f>-PECO!N200</f>
        <v>545</v>
      </c>
      <c r="O91" s="290">
        <f>-PECO!O200</f>
        <v>121</v>
      </c>
      <c r="P91" s="260">
        <f>-PECO!P200</f>
        <v>88</v>
      </c>
      <c r="Q91" s="260">
        <f>-PECO!Q200</f>
        <v>112</v>
      </c>
      <c r="R91" s="291">
        <f>-PECO!R200</f>
        <v>160</v>
      </c>
      <c r="S91" s="45">
        <f>-PECO!S200</f>
        <v>481</v>
      </c>
      <c r="T91" s="290">
        <f>-PECO!T200</f>
        <v>96</v>
      </c>
      <c r="U91" s="260">
        <f>-PECO!U200</f>
        <v>83</v>
      </c>
      <c r="V91" s="260">
        <f>-PECO!V200</f>
        <v>95</v>
      </c>
      <c r="W91" s="291">
        <f>-PECO!W200</f>
        <v>148</v>
      </c>
      <c r="X91" s="45">
        <f>-PECO!X200</f>
        <v>422</v>
      </c>
      <c r="Y91" s="290">
        <f>-PECO!Y200</f>
        <v>122</v>
      </c>
      <c r="Z91" s="260">
        <f>-PECO!Z200</f>
        <v>132</v>
      </c>
      <c r="AA91" s="1441">
        <f>-PECO!AA200</f>
        <v>120</v>
      </c>
      <c r="AB91" s="1442">
        <f>-PECO!AB200</f>
        <v>163</v>
      </c>
      <c r="AC91" s="1443">
        <f>-PECO!AC200</f>
        <v>537</v>
      </c>
      <c r="AD91" s="290">
        <f>-PECO!AD200</f>
        <v>184</v>
      </c>
      <c r="AE91" s="260">
        <f>-PECO!AE200</f>
        <v>124</v>
      </c>
      <c r="AF91" s="1441">
        <f>-PECO!AF200</f>
        <v>153</v>
      </c>
      <c r="AG91" s="1442">
        <f>-PECO!AG200</f>
        <v>200</v>
      </c>
      <c r="AH91" s="1443">
        <f>-PECO!AH200</f>
        <v>661</v>
      </c>
      <c r="AI91" s="290">
        <f>-PECO!AI200</f>
        <v>148</v>
      </c>
      <c r="AJ91" s="260">
        <f>-PECO!AJ200</f>
        <v>141</v>
      </c>
      <c r="AK91" s="1441">
        <f>-PECO!AK200</f>
        <v>146</v>
      </c>
      <c r="AL91" s="1442">
        <f>-PECO!AL200</f>
        <v>166</v>
      </c>
      <c r="AM91" s="1443">
        <f>-PECO!AM200</f>
        <v>601</v>
      </c>
      <c r="AN91" s="290">
        <f>-PECO!AN200</f>
        <v>195</v>
      </c>
      <c r="AO91" s="260">
        <f>-PECO!AO200</f>
        <v>104</v>
      </c>
      <c r="AP91" s="1441">
        <f>-PECO!AP200</f>
        <v>149</v>
      </c>
      <c r="AQ91" s="1442">
        <f>-PECO!AQ200</f>
        <v>238</v>
      </c>
      <c r="AR91" s="1443">
        <f>-PECO!AR200</f>
        <v>686</v>
      </c>
      <c r="AS91" s="290">
        <f>-PECO!AS200</f>
        <v>159</v>
      </c>
      <c r="AT91" s="260">
        <f>-PECO!AT200</f>
        <v>208</v>
      </c>
      <c r="AU91" s="260">
        <f>-PECO!AU200</f>
        <v>170</v>
      </c>
      <c r="AV91" s="291">
        <f>-PECO!AV200</f>
        <v>195</v>
      </c>
      <c r="AW91" s="45">
        <f>-PECO!AW200</f>
        <v>732</v>
      </c>
      <c r="AX91" s="290">
        <f>-PECO!AX200</f>
        <v>200</v>
      </c>
      <c r="AY91" s="260">
        <f>-PECO!AY200</f>
        <v>200</v>
      </c>
      <c r="AZ91" s="260">
        <f>-PECO!AZ200</f>
        <v>200</v>
      </c>
      <c r="BA91" s="291">
        <f>-PECO!BA200</f>
        <v>200</v>
      </c>
      <c r="BB91" s="45">
        <f t="shared" si="172"/>
        <v>800</v>
      </c>
      <c r="BC91" s="290">
        <f>-PECO!BC200</f>
        <v>212.5</v>
      </c>
      <c r="BD91" s="260">
        <f>-PECO!BD200</f>
        <v>212.5</v>
      </c>
      <c r="BE91" s="260">
        <f>-PECO!BE200</f>
        <v>212.5</v>
      </c>
      <c r="BF91" s="291">
        <f>-PECO!BF200</f>
        <v>212.5</v>
      </c>
      <c r="BG91" s="45">
        <f t="shared" si="173"/>
        <v>850</v>
      </c>
      <c r="BH91" s="290">
        <f>-PECO!BH200</f>
        <v>183.785</v>
      </c>
      <c r="BI91" s="260">
        <f>-PECO!BI200</f>
        <v>183.785</v>
      </c>
      <c r="BJ91" s="260">
        <f>-PECO!BJ200</f>
        <v>183.785</v>
      </c>
      <c r="BK91" s="291">
        <f>-PECO!BK200</f>
        <v>183.785</v>
      </c>
      <c r="BL91" s="45">
        <f t="shared" si="174"/>
        <v>735.14</v>
      </c>
      <c r="BM91" s="290">
        <f>-PECO!BM200</f>
        <v>183.785</v>
      </c>
      <c r="BN91" s="260">
        <f>-PECO!BN200</f>
        <v>183.785</v>
      </c>
      <c r="BO91" s="260">
        <f>-PECO!BO200</f>
        <v>183.785</v>
      </c>
      <c r="BP91" s="291">
        <f>-PECO!BP200</f>
        <v>183.785</v>
      </c>
      <c r="BQ91" s="45">
        <f t="shared" si="175"/>
        <v>735.14</v>
      </c>
      <c r="BR91" s="45"/>
      <c r="BS91" s="45"/>
      <c r="BT91" s="432"/>
      <c r="BV91" s="45"/>
      <c r="BW91" s="45"/>
      <c r="BX91" s="45"/>
      <c r="BY91" s="45"/>
      <c r="BZ91" s="45"/>
      <c r="DR91"/>
      <c r="DS91"/>
      <c r="DT91"/>
      <c r="DU91"/>
      <c r="DV91"/>
      <c r="DW91"/>
      <c r="DX91" s="37"/>
    </row>
    <row r="92" spans="2:128" s="28" customFormat="1">
      <c r="B92" s="40"/>
      <c r="C92" s="391" t="s">
        <v>1307</v>
      </c>
      <c r="E92" s="345"/>
      <c r="F92" s="346"/>
      <c r="G92" s="346"/>
      <c r="H92" s="347"/>
      <c r="I92" s="932"/>
      <c r="J92" s="290"/>
      <c r="K92" s="260"/>
      <c r="L92" s="260"/>
      <c r="M92" s="291"/>
      <c r="N92" s="45"/>
      <c r="O92" s="290"/>
      <c r="P92" s="260"/>
      <c r="Q92" s="260"/>
      <c r="R92" s="291"/>
      <c r="S92" s="45"/>
      <c r="T92" s="290">
        <f>-BGE!T197</f>
        <v>115</v>
      </c>
      <c r="U92" s="260">
        <f>-BGE!U197</f>
        <v>167</v>
      </c>
      <c r="V92" s="260">
        <f>-BGE!V197</f>
        <v>120</v>
      </c>
      <c r="W92" s="291">
        <f>-BGE!W197</f>
        <v>180</v>
      </c>
      <c r="X92" s="45">
        <f>-BGE!X197</f>
        <v>582</v>
      </c>
      <c r="Y92" s="290">
        <f>-BGE!Y197</f>
        <v>134</v>
      </c>
      <c r="Z92" s="260">
        <f>-BGE!Z197</f>
        <v>130</v>
      </c>
      <c r="AA92" s="1441">
        <f>-BGE!AA197</f>
        <v>127</v>
      </c>
      <c r="AB92" s="1442">
        <f>-BGE!AB197</f>
        <v>196</v>
      </c>
      <c r="AC92" s="1443">
        <f>-BGE!AC197</f>
        <v>587</v>
      </c>
      <c r="AD92" s="290">
        <f>-BGE!AD197</f>
        <v>146</v>
      </c>
      <c r="AE92" s="260">
        <f>-BGE!AE197</f>
        <v>167</v>
      </c>
      <c r="AF92" s="1441">
        <f>-BGE!AF197</f>
        <v>145</v>
      </c>
      <c r="AG92" s="1442">
        <f>-BGE!AG197</f>
        <v>162</v>
      </c>
      <c r="AH92" s="1443">
        <f>-BGE!AH197</f>
        <v>620</v>
      </c>
      <c r="AI92" s="290">
        <f>-BGE!AI197</f>
        <v>136</v>
      </c>
      <c r="AJ92" s="260">
        <f>-BGE!AJ197</f>
        <v>168</v>
      </c>
      <c r="AK92" s="1441">
        <f>-BGE!AK197</f>
        <v>202</v>
      </c>
      <c r="AL92" s="1442">
        <f>-BGE!AL197</f>
        <v>213</v>
      </c>
      <c r="AM92" s="1443">
        <f>-BGE!AM197</f>
        <v>719</v>
      </c>
      <c r="AN92" s="290">
        <f>-BGE!AN197</f>
        <v>176</v>
      </c>
      <c r="AO92" s="260">
        <f>-BGE!AO197</f>
        <v>216</v>
      </c>
      <c r="AP92" s="1441">
        <f>-BGE!AP197</f>
        <v>219</v>
      </c>
      <c r="AQ92" s="1442">
        <f>-BGE!AQ197</f>
        <v>323</v>
      </c>
      <c r="AR92" s="1443">
        <f>-BGE!AR197</f>
        <v>934</v>
      </c>
      <c r="AS92" s="290">
        <f>-BGE!AS197</f>
        <v>166</v>
      </c>
      <c r="AT92" s="260">
        <f>-BGE!AT197</f>
        <v>239</v>
      </c>
      <c r="AU92" s="260">
        <f>-BGE!AU197</f>
        <v>210</v>
      </c>
      <c r="AV92" s="291">
        <f>-BGE!AV197</f>
        <v>267</v>
      </c>
      <c r="AW92" s="45">
        <f>-BGE!AW197</f>
        <v>882</v>
      </c>
      <c r="AX92" s="290">
        <f>-BGE!AX197</f>
        <v>243.75</v>
      </c>
      <c r="AY92" s="260">
        <f>-BGE!AY197</f>
        <v>243.75</v>
      </c>
      <c r="AZ92" s="260">
        <f>-BGE!AZ197</f>
        <v>243.75</v>
      </c>
      <c r="BA92" s="291">
        <f>-BGE!BA197</f>
        <v>243.75</v>
      </c>
      <c r="BB92" s="45">
        <f t="shared" si="172"/>
        <v>975</v>
      </c>
      <c r="BC92" s="290">
        <f>-BGE!BC197</f>
        <v>281.25</v>
      </c>
      <c r="BD92" s="260">
        <f>-BGE!BD197</f>
        <v>281.25</v>
      </c>
      <c r="BE92" s="260">
        <f>-BGE!BE197</f>
        <v>281.25</v>
      </c>
      <c r="BF92" s="291">
        <f>-BGE!BF197</f>
        <v>281.25</v>
      </c>
      <c r="BG92" s="45">
        <f t="shared" si="173"/>
        <v>1125</v>
      </c>
      <c r="BH92" s="290">
        <f>-BGE!BH197</f>
        <v>268.75</v>
      </c>
      <c r="BI92" s="260">
        <f>-BGE!BI197</f>
        <v>268.75</v>
      </c>
      <c r="BJ92" s="260">
        <f>-BGE!BJ197</f>
        <v>268.75</v>
      </c>
      <c r="BK92" s="291">
        <f>-BGE!BK197</f>
        <v>268.75</v>
      </c>
      <c r="BL92" s="45">
        <f t="shared" si="174"/>
        <v>1075</v>
      </c>
      <c r="BM92" s="290">
        <f>-BGE!BM197</f>
        <v>243.75</v>
      </c>
      <c r="BN92" s="260">
        <f>-BGE!BN197</f>
        <v>243.75</v>
      </c>
      <c r="BO92" s="260">
        <f>-BGE!BO197</f>
        <v>243.75</v>
      </c>
      <c r="BP92" s="291">
        <f>-BGE!BP197</f>
        <v>243.75</v>
      </c>
      <c r="BQ92" s="45">
        <f t="shared" si="175"/>
        <v>975</v>
      </c>
      <c r="BR92" s="45"/>
      <c r="BS92" s="45"/>
      <c r="BT92" s="432"/>
      <c r="BV92" s="45"/>
      <c r="BW92" s="45"/>
      <c r="BX92" s="45"/>
      <c r="BY92" s="45"/>
      <c r="BZ92" s="45"/>
      <c r="DR92"/>
      <c r="DS92"/>
      <c r="DT92"/>
      <c r="DU92"/>
      <c r="DV92"/>
      <c r="DW92"/>
      <c r="DX92" s="37"/>
    </row>
    <row r="93" spans="2:128" s="28" customFormat="1">
      <c r="B93" s="40"/>
      <c r="C93" s="391" t="s">
        <v>116</v>
      </c>
      <c r="E93" s="345">
        <f>+E97-E89-E90-E91-E92</f>
        <v>20</v>
      </c>
      <c r="F93" s="346">
        <f t="shared" ref="F93:S93" si="176">+F97-F89-F90-F91-F92</f>
        <v>21</v>
      </c>
      <c r="G93" s="346">
        <f t="shared" si="176"/>
        <v>9</v>
      </c>
      <c r="H93" s="347">
        <f t="shared" si="176"/>
        <v>4</v>
      </c>
      <c r="I93" s="932">
        <f t="shared" si="176"/>
        <v>54</v>
      </c>
      <c r="J93" s="290">
        <f t="shared" si="176"/>
        <v>-71</v>
      </c>
      <c r="K93" s="260">
        <f t="shared" si="176"/>
        <v>2</v>
      </c>
      <c r="L93" s="260">
        <f t="shared" si="176"/>
        <v>2</v>
      </c>
      <c r="M93" s="291">
        <f t="shared" si="176"/>
        <v>3</v>
      </c>
      <c r="N93" s="45">
        <f t="shared" si="176"/>
        <v>-64</v>
      </c>
      <c r="O93" s="290">
        <f t="shared" si="176"/>
        <v>6</v>
      </c>
      <c r="P93" s="260">
        <f t="shared" si="176"/>
        <v>5</v>
      </c>
      <c r="Q93" s="260">
        <f t="shared" si="176"/>
        <v>17</v>
      </c>
      <c r="R93" s="291">
        <f t="shared" si="176"/>
        <v>14</v>
      </c>
      <c r="S93" s="45">
        <f t="shared" si="176"/>
        <v>42</v>
      </c>
      <c r="T93" s="290">
        <f>+T97-T89-T90-T91-T92</f>
        <v>-61</v>
      </c>
      <c r="U93" s="260">
        <f>+U97-U89-U90-U91-U92</f>
        <v>11</v>
      </c>
      <c r="V93" s="260">
        <f>+V97-V89-V90-V91-V92</f>
        <v>21</v>
      </c>
      <c r="W93" s="291">
        <f>+W97-W89-W90-W91-W92</f>
        <v>14</v>
      </c>
      <c r="X93" s="45">
        <f>SUM(T93:W93)</f>
        <v>-15</v>
      </c>
      <c r="Y93" s="290">
        <f>+Y97-Y89-Y90-Y91-Y92</f>
        <v>4</v>
      </c>
      <c r="Z93" s="260">
        <f>+Z97-Z89-Z90-Z91-Z92</f>
        <v>8</v>
      </c>
      <c r="AA93" s="1441">
        <f>+AA97-AA89-AA90-AA91-AA92</f>
        <v>41</v>
      </c>
      <c r="AB93" s="1442">
        <f>+AB97-AB89-AB90-AB91-AB92</f>
        <v>33</v>
      </c>
      <c r="AC93" s="1443">
        <f>+AC97-AC89-AC90-AC91-AC92</f>
        <v>86</v>
      </c>
      <c r="AD93" s="290">
        <f>-Parent!AD63</f>
        <v>11</v>
      </c>
      <c r="AE93" s="260">
        <f>+AE97-AE89-AE90-AE91-AE92</f>
        <v>19</v>
      </c>
      <c r="AF93" s="1441">
        <f>+AF97-AF89-AF90-AF91-AF92</f>
        <v>31</v>
      </c>
      <c r="AG93" s="1442">
        <f>+AG97-AG89-AG90-AG91-AG92</f>
        <v>34</v>
      </c>
      <c r="AH93" s="1443">
        <f>+AH97-AH89-AH90-AH91-AH92</f>
        <v>95</v>
      </c>
      <c r="AI93" s="290">
        <f>-Parent!AI63</f>
        <v>33</v>
      </c>
      <c r="AJ93" s="260">
        <f>+AJ97-AJ89-AJ90-AJ91-AJ92</f>
        <v>9</v>
      </c>
      <c r="AK93" s="1441">
        <f>+AK97-AK89-AK90-AK91-AK92</f>
        <v>16</v>
      </c>
      <c r="AL93" s="1442">
        <f>+AL97-AL89-AL90-AL91-AL92</f>
        <v>7</v>
      </c>
      <c r="AM93" s="1443">
        <f>+AM97-AM89-AM90-AM91-AM92</f>
        <v>65</v>
      </c>
      <c r="AN93" s="290">
        <f>-Parent!AN63</f>
        <v>67</v>
      </c>
      <c r="AO93" s="260">
        <f>+AO97-AO89-AO90-AO91-AO92</f>
        <v>346</v>
      </c>
      <c r="AP93" s="1441">
        <f>+AP97-AP89-AP90-AP91-AP92</f>
        <v>295</v>
      </c>
      <c r="AQ93" s="1442">
        <f>+AQ97-AQ89-AQ90-AQ91-AQ92</f>
        <v>413</v>
      </c>
      <c r="AR93" s="1443">
        <f>+AR97-AR89-AR90-AR91-AR92</f>
        <v>1121</v>
      </c>
      <c r="AS93" s="290">
        <f>-Parent!AS63</f>
        <v>22</v>
      </c>
      <c r="AT93" s="260">
        <f>-Parent!AT63</f>
        <v>36</v>
      </c>
      <c r="AU93" s="260">
        <f>-Parent!AU63</f>
        <v>19</v>
      </c>
      <c r="AV93" s="291">
        <f>+AV97-AV89-AV90-AV91-AV92</f>
        <v>409</v>
      </c>
      <c r="AW93" s="45">
        <f>+AW97-AW89-AW90-AW91-AW92</f>
        <v>1461</v>
      </c>
      <c r="AX93" s="290">
        <f>-Parent!AX63</f>
        <v>0</v>
      </c>
      <c r="AY93" s="260">
        <f>-Parent!AY63</f>
        <v>0</v>
      </c>
      <c r="AZ93" s="260">
        <f>-Parent!AZ63</f>
        <v>0</v>
      </c>
      <c r="BA93" s="291">
        <f>-Parent!BA63</f>
        <v>0</v>
      </c>
      <c r="BB93" s="45">
        <f t="shared" si="172"/>
        <v>0</v>
      </c>
      <c r="BC93" s="290">
        <f>-Parent!BC63</f>
        <v>0</v>
      </c>
      <c r="BD93" s="260">
        <f>-Parent!BD63</f>
        <v>0</v>
      </c>
      <c r="BE93" s="260">
        <f>-Parent!BE63</f>
        <v>0</v>
      </c>
      <c r="BF93" s="291">
        <f>-Parent!BF63</f>
        <v>0</v>
      </c>
      <c r="BG93" s="45">
        <f t="shared" si="173"/>
        <v>0</v>
      </c>
      <c r="BH93" s="290">
        <f>-Parent!BH63</f>
        <v>0</v>
      </c>
      <c r="BI93" s="260">
        <f>-Parent!BI63</f>
        <v>0</v>
      </c>
      <c r="BJ93" s="260">
        <f>-Parent!BJ63</f>
        <v>0</v>
      </c>
      <c r="BK93" s="291">
        <f>-Parent!BK63</f>
        <v>0</v>
      </c>
      <c r="BL93" s="45">
        <f t="shared" si="174"/>
        <v>0</v>
      </c>
      <c r="BM93" s="290">
        <f>-Parent!BM63</f>
        <v>0</v>
      </c>
      <c r="BN93" s="260">
        <f>-Parent!BN63</f>
        <v>0</v>
      </c>
      <c r="BO93" s="260">
        <f>-Parent!BO63</f>
        <v>0</v>
      </c>
      <c r="BP93" s="291">
        <f>-Parent!BP63</f>
        <v>0</v>
      </c>
      <c r="BQ93" s="45">
        <f t="shared" si="175"/>
        <v>0</v>
      </c>
      <c r="BR93" s="45"/>
      <c r="BS93" s="45"/>
      <c r="BT93" s="432"/>
      <c r="BV93" s="45"/>
      <c r="BW93" s="45"/>
      <c r="BX93" s="45"/>
      <c r="BY93" s="45"/>
      <c r="BZ93" s="45"/>
      <c r="DR93"/>
      <c r="DS93"/>
      <c r="DT93"/>
      <c r="DU93"/>
      <c r="DV93"/>
      <c r="DW93"/>
      <c r="DX93" s="37"/>
    </row>
    <row r="94" spans="2:128" s="28" customFormat="1">
      <c r="B94" s="40"/>
      <c r="C94" s="391" t="s">
        <v>349</v>
      </c>
      <c r="E94" s="345"/>
      <c r="F94" s="346"/>
      <c r="G94" s="346"/>
      <c r="H94" s="347"/>
      <c r="I94" s="932"/>
      <c r="J94" s="290"/>
      <c r="K94" s="260"/>
      <c r="L94" s="260"/>
      <c r="M94" s="291"/>
      <c r="N94" s="45"/>
      <c r="O94" s="290"/>
      <c r="P94" s="260"/>
      <c r="Q94" s="260"/>
      <c r="R94" s="291"/>
      <c r="S94" s="45"/>
      <c r="T94" s="290"/>
      <c r="U94" s="260"/>
      <c r="V94" s="260"/>
      <c r="W94" s="291"/>
      <c r="X94" s="45"/>
      <c r="Y94" s="290"/>
      <c r="Z94" s="260"/>
      <c r="AA94" s="1441"/>
      <c r="AB94" s="1442"/>
      <c r="AC94" s="1443"/>
      <c r="AD94" s="290"/>
      <c r="AE94" s="260"/>
      <c r="AF94" s="1441"/>
      <c r="AG94" s="1442"/>
      <c r="AH94" s="1443"/>
      <c r="AI94" s="290"/>
      <c r="AJ94" s="260"/>
      <c r="AK94" s="1441"/>
      <c r="AL94" s="1442"/>
      <c r="AM94" s="1443"/>
      <c r="AN94" s="290"/>
      <c r="AO94" s="260">
        <f>Pepco!AJ117</f>
        <v>147</v>
      </c>
      <c r="AP94" s="1441">
        <f>Pepco!AK117</f>
        <v>136</v>
      </c>
      <c r="AQ94" s="291">
        <f>Pepco!AL117</f>
        <v>194</v>
      </c>
      <c r="AR94" s="45">
        <f>Pepco!AM117</f>
        <v>586</v>
      </c>
      <c r="AS94" s="290">
        <f>Pepco!AN117</f>
        <v>139</v>
      </c>
      <c r="AT94" s="260">
        <f>Pepco!AO117</f>
        <v>152</v>
      </c>
      <c r="AU94" s="260">
        <f>Pepco!AP117</f>
        <v>148</v>
      </c>
      <c r="AV94" s="291">
        <f>Pepco!AQ117</f>
        <v>189</v>
      </c>
      <c r="AW94" s="45">
        <f>Pepco!AR117</f>
        <v>628</v>
      </c>
      <c r="AX94" s="290">
        <f>Pepco!AS117</f>
        <v>181.25</v>
      </c>
      <c r="AY94" s="260">
        <f>Pepco!AT117</f>
        <v>181.25</v>
      </c>
      <c r="AZ94" s="260">
        <f>Pepco!AU117</f>
        <v>181.25</v>
      </c>
      <c r="BA94" s="291">
        <f>Pepco!AV117</f>
        <v>181.24999999999997</v>
      </c>
      <c r="BB94" s="45">
        <f t="shared" si="172"/>
        <v>725</v>
      </c>
      <c r="BC94" s="290">
        <f>Pepco!AX117</f>
        <v>181.25</v>
      </c>
      <c r="BD94" s="260">
        <f>Pepco!AY117</f>
        <v>181.25</v>
      </c>
      <c r="BE94" s="260">
        <f>Pepco!AZ117</f>
        <v>181.25</v>
      </c>
      <c r="BF94" s="291">
        <f>Pepco!BA117</f>
        <v>181.24999999999997</v>
      </c>
      <c r="BG94" s="45">
        <f t="shared" si="173"/>
        <v>725</v>
      </c>
      <c r="BH94" s="290">
        <f>Pepco!BC117</f>
        <v>212.5</v>
      </c>
      <c r="BI94" s="260">
        <f>Pepco!BD117</f>
        <v>212.5</v>
      </c>
      <c r="BJ94" s="260">
        <f>Pepco!BE117</f>
        <v>212.5</v>
      </c>
      <c r="BK94" s="291">
        <f>Pepco!BF117</f>
        <v>212.49999999999997</v>
      </c>
      <c r="BL94" s="45">
        <f t="shared" si="174"/>
        <v>850</v>
      </c>
      <c r="BM94" s="290">
        <f>Pepco!BH117</f>
        <v>231.25</v>
      </c>
      <c r="BN94" s="260">
        <f>Pepco!BI117</f>
        <v>231.25</v>
      </c>
      <c r="BO94" s="260">
        <f>Pepco!BJ117</f>
        <v>231.25</v>
      </c>
      <c r="BP94" s="291">
        <f>Pepco!BK117</f>
        <v>231.24999999999997</v>
      </c>
      <c r="BQ94" s="45">
        <f t="shared" si="175"/>
        <v>925</v>
      </c>
      <c r="BR94" s="45"/>
      <c r="BS94" s="45"/>
      <c r="BT94" s="432"/>
      <c r="BV94" s="45"/>
      <c r="BW94" s="45"/>
      <c r="BX94" s="45"/>
      <c r="BY94" s="45"/>
      <c r="BZ94" s="45"/>
      <c r="DR94"/>
      <c r="DS94"/>
      <c r="DT94"/>
      <c r="DU94"/>
      <c r="DV94"/>
      <c r="DW94"/>
      <c r="DX94" s="37"/>
    </row>
    <row r="95" spans="2:128" s="28" customFormat="1">
      <c r="B95" s="40"/>
      <c r="C95" s="391" t="s">
        <v>350</v>
      </c>
      <c r="E95" s="345"/>
      <c r="F95" s="346"/>
      <c r="G95" s="346"/>
      <c r="H95" s="347"/>
      <c r="I95" s="932"/>
      <c r="J95" s="290"/>
      <c r="K95" s="260"/>
      <c r="L95" s="260"/>
      <c r="M95" s="291"/>
      <c r="N95" s="45"/>
      <c r="O95" s="290"/>
      <c r="P95" s="260"/>
      <c r="Q95" s="260"/>
      <c r="R95" s="291"/>
      <c r="S95" s="45"/>
      <c r="T95" s="290"/>
      <c r="U95" s="260"/>
      <c r="V95" s="260"/>
      <c r="W95" s="291"/>
      <c r="X95" s="45"/>
      <c r="Y95" s="290"/>
      <c r="Z95" s="260"/>
      <c r="AA95" s="1441"/>
      <c r="AB95" s="1442"/>
      <c r="AC95" s="1443"/>
      <c r="AD95" s="290"/>
      <c r="AE95" s="260"/>
      <c r="AF95" s="1441"/>
      <c r="AG95" s="1442"/>
      <c r="AH95" s="1443"/>
      <c r="AI95" s="290"/>
      <c r="AJ95" s="260"/>
      <c r="AK95" s="1441"/>
      <c r="AL95" s="1442"/>
      <c r="AM95" s="1443"/>
      <c r="AN95" s="290"/>
      <c r="AO95" s="260">
        <f>DPL!AJ150</f>
        <v>101</v>
      </c>
      <c r="AP95" s="1441">
        <f>DPL!AK150</f>
        <v>78</v>
      </c>
      <c r="AQ95" s="291">
        <f>DPL!AL150</f>
        <v>89</v>
      </c>
      <c r="AR95" s="45">
        <f>DPL!AM150</f>
        <v>349</v>
      </c>
      <c r="AS95" s="290">
        <f>DPL!AN150</f>
        <v>82</v>
      </c>
      <c r="AT95" s="260">
        <f>DPL!AO150</f>
        <v>110</v>
      </c>
      <c r="AU95" s="260">
        <f>DPL!AP150</f>
        <v>102</v>
      </c>
      <c r="AV95" s="291">
        <f>DPL!AQ150</f>
        <v>134</v>
      </c>
      <c r="AW95" s="45">
        <f>DPL!AR150</f>
        <v>428</v>
      </c>
      <c r="AX95" s="290">
        <f>DPL!AS150</f>
        <v>100</v>
      </c>
      <c r="AY95" s="260">
        <f>DPL!AT150</f>
        <v>100</v>
      </c>
      <c r="AZ95" s="260">
        <f>DPL!AU150</f>
        <v>100</v>
      </c>
      <c r="BA95" s="291">
        <f>DPL!AV150</f>
        <v>100</v>
      </c>
      <c r="BB95" s="45">
        <f t="shared" si="172"/>
        <v>400</v>
      </c>
      <c r="BC95" s="290">
        <f>DPL!AX150</f>
        <v>81.25</v>
      </c>
      <c r="BD95" s="260">
        <f>DPL!AY150</f>
        <v>81.25</v>
      </c>
      <c r="BE95" s="260">
        <f>DPL!AZ150</f>
        <v>81.25</v>
      </c>
      <c r="BF95" s="291">
        <f>DPL!BA150</f>
        <v>81.25</v>
      </c>
      <c r="BG95" s="45">
        <f t="shared" si="173"/>
        <v>325</v>
      </c>
      <c r="BH95" s="290">
        <f>DPL!BC150</f>
        <v>81.25</v>
      </c>
      <c r="BI95" s="260">
        <f>DPL!BD150</f>
        <v>81.25</v>
      </c>
      <c r="BJ95" s="260">
        <f>DPL!BE150</f>
        <v>81.25</v>
      </c>
      <c r="BK95" s="291">
        <f>DPL!BF150</f>
        <v>81.25</v>
      </c>
      <c r="BL95" s="45">
        <f t="shared" si="174"/>
        <v>325</v>
      </c>
      <c r="BM95" s="290">
        <f>DPL!BH150</f>
        <v>81.25</v>
      </c>
      <c r="BN95" s="260">
        <f>DPL!BI150</f>
        <v>81.25</v>
      </c>
      <c r="BO95" s="260">
        <f>DPL!BJ150</f>
        <v>81.25</v>
      </c>
      <c r="BP95" s="291">
        <f>DPL!BK150</f>
        <v>81.25</v>
      </c>
      <c r="BQ95" s="45">
        <f t="shared" si="175"/>
        <v>325</v>
      </c>
      <c r="BR95" s="45"/>
      <c r="BS95" s="45"/>
      <c r="BT95" s="432"/>
      <c r="BV95" s="45"/>
      <c r="BW95" s="45"/>
      <c r="BX95" s="45"/>
      <c r="BY95" s="45"/>
      <c r="BZ95" s="45"/>
      <c r="DR95"/>
      <c r="DS95"/>
      <c r="DT95"/>
      <c r="DU95"/>
      <c r="DV95"/>
      <c r="DW95"/>
      <c r="DX95" s="37"/>
    </row>
    <row r="96" spans="2:128" s="28" customFormat="1">
      <c r="B96" s="40"/>
      <c r="C96" s="391" t="s">
        <v>779</v>
      </c>
      <c r="E96" s="345"/>
      <c r="F96" s="346"/>
      <c r="G96" s="346"/>
      <c r="H96" s="347"/>
      <c r="I96" s="932"/>
      <c r="J96" s="290"/>
      <c r="K96" s="260"/>
      <c r="L96" s="260"/>
      <c r="M96" s="291"/>
      <c r="N96" s="45"/>
      <c r="O96" s="290"/>
      <c r="P96" s="260"/>
      <c r="Q96" s="260"/>
      <c r="R96" s="291"/>
      <c r="S96" s="45"/>
      <c r="T96" s="290"/>
      <c r="U96" s="260"/>
      <c r="V96" s="260"/>
      <c r="W96" s="291"/>
      <c r="X96" s="45"/>
      <c r="Y96" s="290"/>
      <c r="Z96" s="260"/>
      <c r="AA96" s="1441"/>
      <c r="AB96" s="1442"/>
      <c r="AC96" s="1443"/>
      <c r="AD96" s="290"/>
      <c r="AE96" s="260"/>
      <c r="AF96" s="1441"/>
      <c r="AG96" s="1442"/>
      <c r="AH96" s="1443"/>
      <c r="AI96" s="290"/>
      <c r="AJ96" s="260"/>
      <c r="AK96" s="1441"/>
      <c r="AL96" s="1442"/>
      <c r="AM96" s="1443"/>
      <c r="AN96" s="290"/>
      <c r="AO96" s="260">
        <f>ACE!AJ117</f>
        <v>63</v>
      </c>
      <c r="AP96" s="1441">
        <f>ACE!AK117</f>
        <v>63</v>
      </c>
      <c r="AQ96" s="291">
        <f>ACE!AL117</f>
        <v>84</v>
      </c>
      <c r="AR96" s="45">
        <f>ACE!AM117</f>
        <v>311</v>
      </c>
      <c r="AS96" s="290">
        <f>ACE!AN117</f>
        <v>88</v>
      </c>
      <c r="AT96" s="260">
        <f>ACE!AO117</f>
        <v>87</v>
      </c>
      <c r="AU96" s="260">
        <f>ACE!AP117</f>
        <v>67</v>
      </c>
      <c r="AV96" s="291">
        <f>ACE!AQ117</f>
        <v>70</v>
      </c>
      <c r="AW96" s="45">
        <f>ACE!AR117</f>
        <v>312</v>
      </c>
      <c r="AX96" s="290">
        <f>ACE!AS117</f>
        <v>93.75</v>
      </c>
      <c r="AY96" s="260">
        <f>ACE!AT117</f>
        <v>93.75</v>
      </c>
      <c r="AZ96" s="260">
        <f>ACE!AU117</f>
        <v>93.75</v>
      </c>
      <c r="BA96" s="291">
        <f>ACE!AV117</f>
        <v>93.75</v>
      </c>
      <c r="BB96" s="45">
        <f t="shared" si="172"/>
        <v>375</v>
      </c>
      <c r="BC96" s="290">
        <f>ACE!AX117</f>
        <v>81.25</v>
      </c>
      <c r="BD96" s="260">
        <f>ACE!AY117</f>
        <v>81.25</v>
      </c>
      <c r="BE96" s="260">
        <f>ACE!AZ117</f>
        <v>81.25</v>
      </c>
      <c r="BF96" s="291">
        <f>ACE!BA117</f>
        <v>81.25</v>
      </c>
      <c r="BG96" s="45">
        <f t="shared" si="173"/>
        <v>325</v>
      </c>
      <c r="BH96" s="290">
        <f>ACE!BC117</f>
        <v>81.25</v>
      </c>
      <c r="BI96" s="260">
        <f>ACE!BD117</f>
        <v>81.25</v>
      </c>
      <c r="BJ96" s="260">
        <f>ACE!BE117</f>
        <v>81.25</v>
      </c>
      <c r="BK96" s="291">
        <f>ACE!BF117</f>
        <v>81.25</v>
      </c>
      <c r="BL96" s="45">
        <f t="shared" si="174"/>
        <v>325</v>
      </c>
      <c r="BM96" s="290">
        <f>ACE!BH117</f>
        <v>56.25</v>
      </c>
      <c r="BN96" s="260">
        <f>ACE!BI117</f>
        <v>56.25</v>
      </c>
      <c r="BO96" s="260">
        <f>ACE!BJ117</f>
        <v>56.25</v>
      </c>
      <c r="BP96" s="291">
        <f>ACE!BK117</f>
        <v>56.25</v>
      </c>
      <c r="BQ96" s="45">
        <f t="shared" si="175"/>
        <v>225</v>
      </c>
      <c r="BR96" s="45"/>
      <c r="BS96" s="45"/>
      <c r="BT96" s="432"/>
      <c r="BV96" s="45"/>
      <c r="BW96" s="45"/>
      <c r="BX96" s="45"/>
      <c r="BY96" s="45"/>
      <c r="BZ96" s="45"/>
      <c r="DR96"/>
      <c r="DS96"/>
      <c r="DT96"/>
      <c r="DU96"/>
      <c r="DV96"/>
      <c r="DW96"/>
      <c r="DX96" s="37"/>
    </row>
    <row r="97" spans="2:128" s="28" customFormat="1">
      <c r="B97" s="40"/>
      <c r="C97" s="393" t="s">
        <v>308</v>
      </c>
      <c r="E97" s="350">
        <f>-E158</f>
        <v>712</v>
      </c>
      <c r="F97" s="351">
        <f t="shared" ref="F97:S97" si="177">-F158</f>
        <v>732</v>
      </c>
      <c r="G97" s="351">
        <f t="shared" si="177"/>
        <v>808</v>
      </c>
      <c r="H97" s="352">
        <f t="shared" si="177"/>
        <v>1021</v>
      </c>
      <c r="I97" s="933">
        <f t="shared" si="177"/>
        <v>3273</v>
      </c>
      <c r="J97" s="292">
        <f t="shared" si="177"/>
        <v>878</v>
      </c>
      <c r="K97" s="261">
        <f t="shared" si="177"/>
        <v>706</v>
      </c>
      <c r="L97" s="261">
        <f t="shared" si="177"/>
        <v>798</v>
      </c>
      <c r="M97" s="293">
        <f t="shared" si="177"/>
        <v>944</v>
      </c>
      <c r="N97" s="228">
        <f t="shared" si="177"/>
        <v>3326</v>
      </c>
      <c r="O97" s="292">
        <f t="shared" si="177"/>
        <v>1150</v>
      </c>
      <c r="P97" s="261">
        <f t="shared" si="177"/>
        <v>835</v>
      </c>
      <c r="Q97" s="261">
        <f t="shared" si="177"/>
        <v>987</v>
      </c>
      <c r="R97" s="293">
        <f t="shared" si="177"/>
        <v>1070</v>
      </c>
      <c r="S97" s="228">
        <f t="shared" si="177"/>
        <v>4042</v>
      </c>
      <c r="T97" s="292">
        <f>-T158</f>
        <v>1496</v>
      </c>
      <c r="U97" s="261">
        <f>-U158</f>
        <v>1320</v>
      </c>
      <c r="V97" s="261">
        <f>-V158</f>
        <v>1329</v>
      </c>
      <c r="W97" s="293">
        <f>-W158</f>
        <v>1644</v>
      </c>
      <c r="X97" s="228">
        <f>SUM(X89:X93)</f>
        <v>5789</v>
      </c>
      <c r="Y97" s="292">
        <f>-Y158</f>
        <v>1447</v>
      </c>
      <c r="Z97" s="261">
        <f>-Z158</f>
        <v>1071</v>
      </c>
      <c r="AA97" s="1438">
        <f>-AA158</f>
        <v>1369</v>
      </c>
      <c r="AB97" s="1439">
        <f>-AB158</f>
        <v>1508</v>
      </c>
      <c r="AC97" s="1440">
        <f>-AC158</f>
        <v>5395</v>
      </c>
      <c r="AD97" s="292">
        <f>SUM(AD89:AD93)</f>
        <v>1217</v>
      </c>
      <c r="AE97" s="261">
        <f>-AE158</f>
        <v>1284</v>
      </c>
      <c r="AF97" s="1438">
        <f>-AF158</f>
        <v>1613</v>
      </c>
      <c r="AG97" s="1439">
        <f>-AG158</f>
        <v>1963</v>
      </c>
      <c r="AH97" s="1440">
        <f>-AH158</f>
        <v>6077</v>
      </c>
      <c r="AI97" s="292">
        <f>SUM(AI89:AI93)</f>
        <v>1784</v>
      </c>
      <c r="AJ97" s="261">
        <f t="shared" ref="AJ97:AO97" si="178">-AJ158</f>
        <v>1676</v>
      </c>
      <c r="AK97" s="1438">
        <f t="shared" si="178"/>
        <v>1983</v>
      </c>
      <c r="AL97" s="1439">
        <f t="shared" si="178"/>
        <v>2181</v>
      </c>
      <c r="AM97" s="1440">
        <f t="shared" si="178"/>
        <v>7624</v>
      </c>
      <c r="AN97" s="292">
        <f t="shared" si="178"/>
        <v>2202</v>
      </c>
      <c r="AO97" s="261">
        <f t="shared" si="178"/>
        <v>2287</v>
      </c>
      <c r="AP97" s="1438">
        <f t="shared" ref="AP97:AT97" si="179">-AP158</f>
        <v>1879</v>
      </c>
      <c r="AQ97" s="1439">
        <f t="shared" si="179"/>
        <v>2185</v>
      </c>
      <c r="AR97" s="1440">
        <f t="shared" si="179"/>
        <v>8553</v>
      </c>
      <c r="AS97" s="292">
        <f t="shared" si="179"/>
        <v>2114</v>
      </c>
      <c r="AT97" s="261">
        <f t="shared" si="179"/>
        <v>1731</v>
      </c>
      <c r="AU97" s="261">
        <f t="shared" ref="AU97:AW97" si="180">-AU158</f>
        <v>1711</v>
      </c>
      <c r="AV97" s="293">
        <f t="shared" si="180"/>
        <v>2028</v>
      </c>
      <c r="AW97" s="228">
        <f t="shared" si="180"/>
        <v>7584</v>
      </c>
      <c r="AX97" s="292">
        <f t="shared" ref="AX97:BB97" si="181">SUM(AX89:AX96)</f>
        <v>1918.3434457620081</v>
      </c>
      <c r="AY97" s="261">
        <f t="shared" si="181"/>
        <v>1918.3434457620081</v>
      </c>
      <c r="AZ97" s="261">
        <f t="shared" si="181"/>
        <v>1918.3434457620081</v>
      </c>
      <c r="BA97" s="293">
        <f t="shared" si="181"/>
        <v>1918.3434457620081</v>
      </c>
      <c r="BB97" s="228">
        <f t="shared" si="181"/>
        <v>7673.3737830480322</v>
      </c>
      <c r="BC97" s="292">
        <f t="shared" ref="BC97:BL97" si="182">SUM(BC89:BC96)</f>
        <v>1731.6764254175466</v>
      </c>
      <c r="BD97" s="261">
        <f t="shared" si="182"/>
        <v>1731.6764254175466</v>
      </c>
      <c r="BE97" s="261">
        <f t="shared" si="182"/>
        <v>1731.6764254175466</v>
      </c>
      <c r="BF97" s="293">
        <f t="shared" si="182"/>
        <v>1731.6764254175466</v>
      </c>
      <c r="BG97" s="228">
        <f t="shared" si="182"/>
        <v>6926.7057016701865</v>
      </c>
      <c r="BH97" s="292">
        <f t="shared" si="182"/>
        <v>1746.7114254175467</v>
      </c>
      <c r="BI97" s="261">
        <f t="shared" si="182"/>
        <v>1746.7114254175467</v>
      </c>
      <c r="BJ97" s="261">
        <f t="shared" si="182"/>
        <v>1746.7114254175467</v>
      </c>
      <c r="BK97" s="293">
        <f t="shared" si="182"/>
        <v>1746.7114254175467</v>
      </c>
      <c r="BL97" s="228">
        <f t="shared" si="182"/>
        <v>6986.8457016701868</v>
      </c>
      <c r="BM97" s="292">
        <f t="shared" ref="BM97:BQ97" si="183">SUM(BM89:BM96)</f>
        <v>1715.0350000000001</v>
      </c>
      <c r="BN97" s="261">
        <f t="shared" si="183"/>
        <v>1715.0350000000001</v>
      </c>
      <c r="BO97" s="261">
        <f t="shared" si="183"/>
        <v>1715.0350000000001</v>
      </c>
      <c r="BP97" s="293">
        <f t="shared" si="183"/>
        <v>1715.0350000000001</v>
      </c>
      <c r="BQ97" s="228">
        <f t="shared" si="183"/>
        <v>6860.14</v>
      </c>
      <c r="BR97" s="45"/>
      <c r="BS97" s="45"/>
      <c r="BT97" s="432"/>
      <c r="BV97" s="45"/>
      <c r="BW97" s="45"/>
      <c r="BX97" s="45"/>
      <c r="BY97" s="45"/>
      <c r="BZ97" s="45"/>
      <c r="DR97"/>
      <c r="DS97"/>
      <c r="DT97"/>
      <c r="DU97"/>
      <c r="DV97"/>
      <c r="DW97"/>
      <c r="DX97" s="37"/>
    </row>
    <row r="98" spans="2:128" s="28" customFormat="1">
      <c r="B98" s="40"/>
      <c r="C98" s="393"/>
      <c r="E98" s="350"/>
      <c r="F98" s="351"/>
      <c r="G98" s="351"/>
      <c r="H98" s="352"/>
      <c r="I98" s="933"/>
      <c r="J98" s="292"/>
      <c r="K98" s="261"/>
      <c r="L98" s="261"/>
      <c r="M98" s="293"/>
      <c r="N98" s="228"/>
      <c r="O98" s="292"/>
      <c r="P98" s="261"/>
      <c r="Q98" s="261"/>
      <c r="R98" s="293"/>
      <c r="S98" s="228"/>
      <c r="T98" s="292"/>
      <c r="U98" s="261"/>
      <c r="V98" s="261"/>
      <c r="W98" s="293"/>
      <c r="X98" s="228"/>
      <c r="Y98" s="292"/>
      <c r="Z98" s="261"/>
      <c r="AA98" s="1438"/>
      <c r="AB98" s="1439"/>
      <c r="AC98" s="1440"/>
      <c r="AD98" s="292"/>
      <c r="AE98" s="261"/>
      <c r="AF98" s="261"/>
      <c r="AG98" s="293"/>
      <c r="AH98" s="228"/>
      <c r="AI98" s="292"/>
      <c r="AJ98" s="261"/>
      <c r="AK98" s="261"/>
      <c r="AL98" s="293"/>
      <c r="AM98" s="228"/>
      <c r="AN98" s="292"/>
      <c r="AO98" s="261"/>
      <c r="AP98" s="261"/>
      <c r="AQ98" s="293"/>
      <c r="AR98" s="228"/>
      <c r="AS98" s="292"/>
      <c r="AT98" s="261"/>
      <c r="AU98" s="261"/>
      <c r="AV98" s="293"/>
      <c r="AW98" s="228"/>
      <c r="AX98" s="292"/>
      <c r="AY98" s="261"/>
      <c r="AZ98" s="261"/>
      <c r="BA98" s="293"/>
      <c r="BB98" s="228"/>
      <c r="BC98" s="292"/>
      <c r="BD98" s="261"/>
      <c r="BE98" s="261"/>
      <c r="BF98" s="293"/>
      <c r="BG98" s="228"/>
      <c r="BH98" s="292"/>
      <c r="BI98" s="261"/>
      <c r="BJ98" s="261"/>
      <c r="BK98" s="293"/>
      <c r="BL98" s="228"/>
      <c r="BM98" s="292"/>
      <c r="BN98" s="261"/>
      <c r="BO98" s="261"/>
      <c r="BP98" s="293"/>
      <c r="BQ98" s="228"/>
      <c r="BR98" s="45"/>
      <c r="BS98" s="45"/>
      <c r="BT98" s="45"/>
      <c r="BU98" s="45"/>
      <c r="BV98" s="45"/>
      <c r="BW98" s="45"/>
      <c r="BX98" s="45"/>
      <c r="BY98" s="45"/>
      <c r="BZ98" s="45"/>
      <c r="DR98"/>
      <c r="DS98"/>
      <c r="DT98"/>
      <c r="DU98"/>
      <c r="DV98"/>
      <c r="DW98"/>
      <c r="DX98" s="37"/>
    </row>
    <row r="99" spans="2:128" s="28" customFormat="1">
      <c r="C99" s="223"/>
      <c r="E99" s="305"/>
      <c r="F99" s="36"/>
      <c r="G99" s="36"/>
      <c r="H99" s="685"/>
      <c r="I99" s="932"/>
      <c r="J99" s="290"/>
      <c r="K99" s="260"/>
      <c r="L99" s="260"/>
      <c r="M99" s="291"/>
      <c r="N99" s="45"/>
      <c r="O99" s="306"/>
      <c r="P99" s="266"/>
      <c r="Q99" s="266"/>
      <c r="R99" s="307"/>
      <c r="S99" s="45"/>
      <c r="T99" s="306"/>
      <c r="U99" s="266"/>
      <c r="V99" s="266"/>
      <c r="W99" s="307"/>
      <c r="X99" s="45"/>
      <c r="Y99" s="306"/>
      <c r="Z99" s="266"/>
      <c r="AA99" s="1444"/>
      <c r="AB99" s="1445"/>
      <c r="AC99" s="1443"/>
      <c r="AD99" s="306"/>
      <c r="AE99" s="266"/>
      <c r="AF99" s="266"/>
      <c r="AG99" s="307"/>
      <c r="AH99" s="45"/>
      <c r="AI99" s="306"/>
      <c r="AJ99" s="266"/>
      <c r="AK99" s="266"/>
      <c r="AL99" s="307"/>
      <c r="AM99" s="2040"/>
      <c r="AN99" s="306"/>
      <c r="AO99" s="266"/>
      <c r="AP99" s="266"/>
      <c r="AQ99" s="307"/>
      <c r="AR99" s="2040"/>
      <c r="AS99" s="306"/>
      <c r="AT99" s="266"/>
      <c r="AU99" s="266"/>
      <c r="AV99" s="307"/>
      <c r="AW99" s="2040"/>
      <c r="AX99" s="306"/>
      <c r="AY99" s="266"/>
      <c r="AZ99" s="266"/>
      <c r="BA99" s="307"/>
      <c r="BB99" s="45"/>
      <c r="BC99" s="306"/>
      <c r="BD99" s="266"/>
      <c r="BE99" s="266"/>
      <c r="BF99" s="307"/>
      <c r="BG99" s="45"/>
      <c r="BH99" s="306"/>
      <c r="BI99" s="266"/>
      <c r="BJ99" s="266"/>
      <c r="BK99" s="307"/>
      <c r="BL99" s="45"/>
      <c r="BM99" s="306"/>
      <c r="BN99" s="266"/>
      <c r="BO99" s="266"/>
      <c r="BP99" s="307"/>
      <c r="BQ99" s="45"/>
      <c r="BR99" s="45"/>
      <c r="BS99" s="45"/>
      <c r="BT99" s="45"/>
      <c r="BU99" s="45"/>
      <c r="BV99" s="45"/>
      <c r="BW99" s="45"/>
      <c r="BX99" s="45"/>
      <c r="BY99" s="45"/>
      <c r="BZ99" s="45"/>
      <c r="DR99"/>
      <c r="DS99"/>
      <c r="DT99"/>
      <c r="DU99"/>
      <c r="DV99"/>
      <c r="DW99"/>
      <c r="DX99" s="37"/>
    </row>
    <row r="100" spans="2:128" s="28" customFormat="1">
      <c r="B100" s="73" t="s">
        <v>72</v>
      </c>
      <c r="C100" s="211"/>
      <c r="D100" s="211"/>
      <c r="E100" s="267"/>
      <c r="F100" s="250"/>
      <c r="G100" s="250"/>
      <c r="H100" s="268"/>
      <c r="I100" s="564"/>
      <c r="J100" s="267"/>
      <c r="K100" s="250"/>
      <c r="L100" s="250"/>
      <c r="M100" s="268"/>
      <c r="O100" s="267"/>
      <c r="P100" s="250"/>
      <c r="Q100" s="250"/>
      <c r="R100" s="268"/>
      <c r="T100" s="267"/>
      <c r="U100" s="250"/>
      <c r="V100" s="250"/>
      <c r="W100" s="268"/>
      <c r="Y100" s="267"/>
      <c r="Z100" s="250"/>
      <c r="AA100" s="1498"/>
      <c r="AB100" s="1499"/>
      <c r="AD100" s="267"/>
      <c r="AE100" s="250"/>
      <c r="AF100" s="250"/>
      <c r="AG100" s="268"/>
      <c r="AI100" s="267"/>
      <c r="AJ100" s="250"/>
      <c r="AK100" s="250"/>
      <c r="AL100" s="268"/>
      <c r="AN100" s="267"/>
      <c r="AO100" s="250"/>
      <c r="AP100" s="250"/>
      <c r="AQ100" s="268"/>
      <c r="AS100" s="267"/>
      <c r="AT100" s="250"/>
      <c r="AU100" s="250"/>
      <c r="AV100" s="268"/>
      <c r="AX100" s="267"/>
      <c r="AY100" s="250"/>
      <c r="AZ100" s="250"/>
      <c r="BA100" s="268"/>
      <c r="BC100" s="267"/>
      <c r="BD100" s="250"/>
      <c r="BE100" s="250"/>
      <c r="BF100" s="268"/>
      <c r="BH100" s="267"/>
      <c r="BI100" s="250"/>
      <c r="BJ100" s="250"/>
      <c r="BK100" s="268"/>
      <c r="BM100" s="267"/>
      <c r="BN100" s="250"/>
      <c r="BO100" s="250"/>
      <c r="BP100" s="268"/>
      <c r="BR100" s="20"/>
      <c r="BS100" s="20"/>
      <c r="BT100" s="45"/>
      <c r="DR100"/>
      <c r="DS100"/>
      <c r="DT100"/>
      <c r="DU100"/>
      <c r="DV100"/>
      <c r="DW100"/>
      <c r="DX100" s="37"/>
    </row>
    <row r="101" spans="2:128" s="28" customFormat="1">
      <c r="C101" s="225" t="s">
        <v>236</v>
      </c>
      <c r="E101" s="305"/>
      <c r="F101" s="36"/>
      <c r="G101" s="36"/>
      <c r="H101" s="685"/>
      <c r="I101" s="564"/>
      <c r="J101" s="305"/>
      <c r="K101" s="36"/>
      <c r="L101" s="36"/>
      <c r="M101" s="685"/>
      <c r="O101" s="305"/>
      <c r="P101" s="36"/>
      <c r="Q101" s="36"/>
      <c r="R101" s="685"/>
      <c r="T101" s="305"/>
      <c r="U101" s="36"/>
      <c r="V101" s="36"/>
      <c r="W101" s="685"/>
      <c r="Y101" s="305"/>
      <c r="Z101" s="36"/>
      <c r="AA101" s="36"/>
      <c r="AB101" s="685"/>
      <c r="AD101" s="305"/>
      <c r="AE101" s="36"/>
      <c r="AF101" s="36"/>
      <c r="AG101" s="685"/>
      <c r="AI101" s="305"/>
      <c r="AJ101" s="36"/>
      <c r="AK101" s="36"/>
      <c r="AL101" s="685"/>
      <c r="AN101" s="305"/>
      <c r="AO101" s="36"/>
      <c r="AP101" s="36"/>
      <c r="AQ101" s="685"/>
      <c r="AS101" s="305"/>
      <c r="AT101" s="36"/>
      <c r="AU101" s="36"/>
      <c r="AV101" s="685"/>
      <c r="AX101" s="305"/>
      <c r="AY101" s="36"/>
      <c r="AZ101" s="36"/>
      <c r="BA101" s="685"/>
      <c r="BC101" s="305"/>
      <c r="BD101" s="36"/>
      <c r="BE101" s="36"/>
      <c r="BF101" s="685"/>
      <c r="BH101" s="305"/>
      <c r="BI101" s="36"/>
      <c r="BJ101" s="36"/>
      <c r="BK101" s="685"/>
      <c r="BM101" s="305"/>
      <c r="BN101" s="36"/>
      <c r="BO101" s="36"/>
      <c r="BP101" s="685"/>
      <c r="BT101" s="45"/>
      <c r="DR101"/>
      <c r="DS101"/>
      <c r="DT101"/>
      <c r="DU101"/>
      <c r="DV101"/>
      <c r="DW101"/>
      <c r="DX101" s="37"/>
    </row>
    <row r="102" spans="2:128" s="28" customFormat="1">
      <c r="C102" s="226" t="s">
        <v>234</v>
      </c>
      <c r="E102" s="345">
        <f t="shared" ref="E102:H103" si="184">+E163</f>
        <v>249</v>
      </c>
      <c r="F102" s="346">
        <f t="shared" si="184"/>
        <v>236</v>
      </c>
      <c r="G102" s="346">
        <f t="shared" si="184"/>
        <v>1502</v>
      </c>
      <c r="H102" s="347">
        <f t="shared" si="184"/>
        <v>0</v>
      </c>
      <c r="I102" s="935">
        <f>+SUM(E102:H102)</f>
        <v>1987</v>
      </c>
      <c r="J102" s="345">
        <f t="shared" ref="J102:M103" si="185">+J163</f>
        <v>0</v>
      </c>
      <c r="K102" s="346">
        <f t="shared" si="185"/>
        <v>0</v>
      </c>
      <c r="L102" s="346">
        <f t="shared" si="185"/>
        <v>1398</v>
      </c>
      <c r="M102" s="347">
        <f t="shared" si="185"/>
        <v>0</v>
      </c>
      <c r="N102" s="349">
        <f>+SUM(J102:M102)</f>
        <v>1398</v>
      </c>
      <c r="O102" s="345">
        <f t="shared" ref="O102:R103" si="186">+O163</f>
        <v>599</v>
      </c>
      <c r="P102" s="346">
        <f t="shared" si="186"/>
        <v>0</v>
      </c>
      <c r="Q102" s="346">
        <f t="shared" si="186"/>
        <v>600</v>
      </c>
      <c r="R102" s="347">
        <f t="shared" si="186"/>
        <v>0</v>
      </c>
      <c r="S102" s="349">
        <f>+SUM(O102:R102)</f>
        <v>1199</v>
      </c>
      <c r="T102" s="345">
        <f t="shared" ref="T102:W103" si="187">+T163</f>
        <v>0</v>
      </c>
      <c r="U102" s="346">
        <f t="shared" si="187"/>
        <v>850</v>
      </c>
      <c r="V102" s="346">
        <f t="shared" si="187"/>
        <v>708</v>
      </c>
      <c r="W102" s="347">
        <f t="shared" si="187"/>
        <v>469</v>
      </c>
      <c r="X102" s="349">
        <f>+SUM(T102:W102)</f>
        <v>2027</v>
      </c>
      <c r="Y102" s="345">
        <f t="shared" ref="Y102:AB103" si="188">+Y163</f>
        <v>149</v>
      </c>
      <c r="Z102" s="346">
        <f t="shared" si="188"/>
        <v>360</v>
      </c>
      <c r="AA102" s="346">
        <f t="shared" si="188"/>
        <v>1522</v>
      </c>
      <c r="AB102" s="347">
        <f t="shared" si="188"/>
        <v>24</v>
      </c>
      <c r="AC102" s="349">
        <f>+SUM(Y102:AB102)</f>
        <v>2055</v>
      </c>
      <c r="AD102" s="345">
        <f>+AD163</f>
        <v>950</v>
      </c>
      <c r="AE102" s="346">
        <f>+AE163</f>
        <v>1150</v>
      </c>
      <c r="AF102" s="346">
        <f t="shared" ref="AF102:AG102" si="189">+AF163</f>
        <v>1112</v>
      </c>
      <c r="AG102" s="347">
        <f t="shared" si="189"/>
        <v>251</v>
      </c>
      <c r="AH102" s="349">
        <f>+SUM(AD102:AG102)</f>
        <v>3463</v>
      </c>
      <c r="AI102" s="345">
        <f>+AI163</f>
        <v>1206</v>
      </c>
      <c r="AJ102" s="346">
        <f>+AJ163</f>
        <v>4701</v>
      </c>
      <c r="AK102" s="346">
        <f t="shared" ref="AK102:AL102" si="190">+AK163</f>
        <v>2</v>
      </c>
      <c r="AL102" s="347">
        <f t="shared" si="190"/>
        <v>800</v>
      </c>
      <c r="AM102" s="349">
        <f>+SUM(AI102:AL102)</f>
        <v>6709</v>
      </c>
      <c r="AN102" s="345">
        <f>+AN163</f>
        <v>151</v>
      </c>
      <c r="AO102" s="346">
        <f>+AO163</f>
        <v>3023</v>
      </c>
      <c r="AP102" s="346">
        <f t="shared" ref="AP102:AQ102" si="191">+AP163</f>
        <v>1314</v>
      </c>
      <c r="AQ102" s="347">
        <f t="shared" si="191"/>
        <v>228</v>
      </c>
      <c r="AR102" s="349">
        <f>+SUM(AN102:AQ102)</f>
        <v>4716</v>
      </c>
      <c r="AS102" s="345">
        <f>+AS163</f>
        <v>763</v>
      </c>
      <c r="AT102" s="346">
        <f>+AT163</f>
        <v>218</v>
      </c>
      <c r="AU102" s="346">
        <f t="shared" ref="AU102:AV103" si="192">+AU163</f>
        <v>1635</v>
      </c>
      <c r="AV102" s="347">
        <f>+AV163</f>
        <v>854</v>
      </c>
      <c r="AW102" s="349">
        <f>+SUM(AS102:AV102)</f>
        <v>3470</v>
      </c>
      <c r="AX102" s="345">
        <f>+Debt!AL11</f>
        <v>0</v>
      </c>
      <c r="AY102" s="346">
        <f>+Debt!AM11</f>
        <v>0</v>
      </c>
      <c r="AZ102" s="346">
        <f>+Debt!AN11</f>
        <v>3505</v>
      </c>
      <c r="BA102" s="347">
        <f>+Debt!AO11</f>
        <v>0</v>
      </c>
      <c r="BB102" s="349">
        <f>+SUM(AX102:BA102)</f>
        <v>3505</v>
      </c>
      <c r="BC102" s="345">
        <f>+Debt!AQ11</f>
        <v>0</v>
      </c>
      <c r="BD102" s="346">
        <f>+Debt!AR11</f>
        <v>0</v>
      </c>
      <c r="BE102" s="346">
        <f>+Debt!AS11</f>
        <v>1260</v>
      </c>
      <c r="BF102" s="347">
        <f>+Debt!AT11</f>
        <v>0</v>
      </c>
      <c r="BG102" s="349">
        <f>+SUM(BC102:BF102)</f>
        <v>1260</v>
      </c>
      <c r="BH102" s="345">
        <f>+Debt!AV11</f>
        <v>0</v>
      </c>
      <c r="BI102" s="346">
        <f>+Debt!AW11</f>
        <v>0</v>
      </c>
      <c r="BJ102" s="346">
        <f>+Debt!AX11</f>
        <v>3185</v>
      </c>
      <c r="BK102" s="347">
        <f>+Debt!AY11</f>
        <v>0</v>
      </c>
      <c r="BL102" s="349">
        <f>+SUM(BH102:BK102)</f>
        <v>3185</v>
      </c>
      <c r="BM102" s="345">
        <f>+Debt!BA11</f>
        <v>0</v>
      </c>
      <c r="BN102" s="346">
        <f>+Debt!BB11</f>
        <v>0</v>
      </c>
      <c r="BO102" s="346">
        <f>+Debt!BC11</f>
        <v>3650</v>
      </c>
      <c r="BP102" s="347">
        <f>+Debt!BD11</f>
        <v>0</v>
      </c>
      <c r="BQ102" s="349">
        <f>+SUM(BM102:BP102)</f>
        <v>3650</v>
      </c>
      <c r="BT102" s="45"/>
      <c r="DR102"/>
      <c r="DS102"/>
      <c r="DT102"/>
      <c r="DU102"/>
      <c r="DV102"/>
      <c r="DW102"/>
      <c r="DX102" s="37"/>
    </row>
    <row r="103" spans="2:128" s="28" customFormat="1">
      <c r="C103" s="226" t="s">
        <v>235</v>
      </c>
      <c r="E103" s="345">
        <f t="shared" si="184"/>
        <v>-233</v>
      </c>
      <c r="F103" s="346">
        <f t="shared" si="184"/>
        <v>-352</v>
      </c>
      <c r="G103" s="346">
        <f t="shared" si="184"/>
        <v>-1463</v>
      </c>
      <c r="H103" s="347">
        <f t="shared" si="184"/>
        <v>-434</v>
      </c>
      <c r="I103" s="935">
        <f>+SUM(E103:H103)</f>
        <v>-2482</v>
      </c>
      <c r="J103" s="345">
        <f t="shared" si="185"/>
        <v>-403</v>
      </c>
      <c r="K103" s="346">
        <f t="shared" si="185"/>
        <v>-614</v>
      </c>
      <c r="L103" s="346">
        <f t="shared" si="185"/>
        <v>-616</v>
      </c>
      <c r="M103" s="347">
        <f t="shared" si="185"/>
        <v>-1</v>
      </c>
      <c r="N103" s="349">
        <f>+SUM(J103:M103)</f>
        <v>-1634</v>
      </c>
      <c r="O103" s="345">
        <f t="shared" si="186"/>
        <v>-1</v>
      </c>
      <c r="P103" s="346">
        <f t="shared" si="186"/>
        <v>-1</v>
      </c>
      <c r="Q103" s="346">
        <f t="shared" si="186"/>
        <v>-1</v>
      </c>
      <c r="R103" s="347">
        <f t="shared" si="186"/>
        <v>-786</v>
      </c>
      <c r="S103" s="349">
        <f>+SUM(O103:R103)</f>
        <v>-789</v>
      </c>
      <c r="T103" s="345">
        <f t="shared" si="187"/>
        <v>-451</v>
      </c>
      <c r="U103" s="346">
        <f t="shared" si="187"/>
        <v>-198</v>
      </c>
      <c r="V103" s="346">
        <f t="shared" si="187"/>
        <v>-82</v>
      </c>
      <c r="W103" s="347">
        <f t="shared" si="187"/>
        <v>-414</v>
      </c>
      <c r="X103" s="349">
        <f>+SUM(T103:W103)</f>
        <v>-1145</v>
      </c>
      <c r="Y103" s="345">
        <f t="shared" si="188"/>
        <v>-1</v>
      </c>
      <c r="Z103" s="346">
        <f t="shared" si="188"/>
        <v>-615</v>
      </c>
      <c r="AA103" s="346">
        <f t="shared" si="188"/>
        <v>-540</v>
      </c>
      <c r="AB103" s="347">
        <f t="shared" si="188"/>
        <v>-433</v>
      </c>
      <c r="AC103" s="349">
        <f>+SUM(Y103:AB103)</f>
        <v>-1589</v>
      </c>
      <c r="AD103" s="345">
        <f>+AD164</f>
        <v>-1150</v>
      </c>
      <c r="AE103" s="346">
        <f>+AE164</f>
        <v>-41</v>
      </c>
      <c r="AF103" s="346">
        <f t="shared" ref="AF103:AG103" si="193">+AF164</f>
        <v>-23</v>
      </c>
      <c r="AG103" s="347">
        <f t="shared" si="193"/>
        <v>-331</v>
      </c>
      <c r="AH103" s="349">
        <f>+SUM(AD103:AG103)</f>
        <v>-1545</v>
      </c>
      <c r="AI103" s="345">
        <f>+AI164</f>
        <v>-580</v>
      </c>
      <c r="AJ103" s="346">
        <f>+AJ164</f>
        <v>-1128</v>
      </c>
      <c r="AK103" s="346">
        <f t="shared" ref="AK103:AL103" si="194">+AK164</f>
        <v>-37</v>
      </c>
      <c r="AL103" s="347">
        <f t="shared" si="194"/>
        <v>-942</v>
      </c>
      <c r="AM103" s="349">
        <f>+SUM(AI103:AL103)</f>
        <v>-2687</v>
      </c>
      <c r="AN103" s="345">
        <f>+AN164</f>
        <v>-116</v>
      </c>
      <c r="AO103" s="346">
        <f>+AO164</f>
        <v>-101</v>
      </c>
      <c r="AP103" s="346">
        <f t="shared" ref="AP103:AQ103" si="195">+AP164</f>
        <v>-727</v>
      </c>
      <c r="AQ103" s="347">
        <f t="shared" si="195"/>
        <v>-992</v>
      </c>
      <c r="AR103" s="349">
        <f>+SUM(AN103:AQ103)</f>
        <v>-1936</v>
      </c>
      <c r="AS103" s="345">
        <f>+AS164</f>
        <v>-65</v>
      </c>
      <c r="AT103" s="346">
        <f>+AT164</f>
        <v>-984</v>
      </c>
      <c r="AU103" s="346">
        <f t="shared" si="192"/>
        <v>-929</v>
      </c>
      <c r="AV103" s="347">
        <f t="shared" si="192"/>
        <v>-812</v>
      </c>
      <c r="AW103" s="349">
        <f>+SUM(AS103:AV103)</f>
        <v>-2790</v>
      </c>
      <c r="AX103" s="345">
        <f>+Debt!AL10</f>
        <v>-1220</v>
      </c>
      <c r="AY103" s="346">
        <f>+Debt!AM10</f>
        <v>-116</v>
      </c>
      <c r="AZ103" s="346">
        <f>+Debt!AN10</f>
        <v>-430</v>
      </c>
      <c r="BA103" s="347">
        <f>+Debt!AO10</f>
        <v>0</v>
      </c>
      <c r="BB103" s="349">
        <f>+SUM(AX103:BA103)</f>
        <v>-1766</v>
      </c>
      <c r="BC103" s="345">
        <f>+Debt!AQ10</f>
        <v>0</v>
      </c>
      <c r="BD103" s="346">
        <f>+Debt!AR10</f>
        <v>0</v>
      </c>
      <c r="BE103" s="346">
        <f>+Debt!AS10</f>
        <v>-34</v>
      </c>
      <c r="BF103" s="347">
        <f>+Debt!AT10</f>
        <v>-600</v>
      </c>
      <c r="BG103" s="349">
        <f>+SUM(BC103:BF103)</f>
        <v>-634</v>
      </c>
      <c r="BH103" s="345">
        <f>+Debt!AV10</f>
        <v>-1000</v>
      </c>
      <c r="BI103" s="346">
        <f>+Debt!AW10</f>
        <v>-900</v>
      </c>
      <c r="BJ103" s="346">
        <f>+Debt!AX10</f>
        <v>-955.47</v>
      </c>
      <c r="BK103" s="347">
        <f>+Debt!AY10</f>
        <v>-1100</v>
      </c>
      <c r="BL103" s="349">
        <f>+SUM(BH103:BK103)</f>
        <v>-3955.4700000000003</v>
      </c>
      <c r="BM103" s="345">
        <f>+Debt!BA10</f>
        <v>-861</v>
      </c>
      <c r="BN103" s="346">
        <f>+Debt!BB10</f>
        <v>-300</v>
      </c>
      <c r="BO103" s="346">
        <f>+Debt!BC10</f>
        <v>-888.86500000000001</v>
      </c>
      <c r="BP103" s="347">
        <f>+Debt!BD10</f>
        <v>-300</v>
      </c>
      <c r="BQ103" s="349">
        <f>+SUM(BM103:BP103)</f>
        <v>-2349.8649999999998</v>
      </c>
      <c r="BT103" s="45"/>
      <c r="DR103"/>
      <c r="DS103"/>
      <c r="DT103"/>
      <c r="DU103"/>
      <c r="DV103"/>
      <c r="DW103"/>
      <c r="DX103" s="37"/>
    </row>
    <row r="104" spans="2:128" s="28" customFormat="1">
      <c r="C104" s="226"/>
      <c r="E104" s="282"/>
      <c r="F104" s="256"/>
      <c r="G104" s="256"/>
      <c r="H104" s="283"/>
      <c r="I104" s="564"/>
      <c r="J104" s="282"/>
      <c r="K104" s="256"/>
      <c r="L104" s="256"/>
      <c r="M104" s="283"/>
      <c r="O104" s="282"/>
      <c r="P104" s="256"/>
      <c r="Q104" s="256"/>
      <c r="R104" s="283"/>
      <c r="T104" s="282"/>
      <c r="U104" s="256"/>
      <c r="V104" s="256"/>
      <c r="W104" s="283"/>
      <c r="Y104" s="282"/>
      <c r="Z104" s="256"/>
      <c r="AA104" s="1531"/>
      <c r="AB104" s="1532"/>
      <c r="AD104" s="282"/>
      <c r="AE104" s="256"/>
      <c r="AF104" s="1531"/>
      <c r="AG104" s="1532"/>
      <c r="AI104" s="282"/>
      <c r="AJ104" s="256"/>
      <c r="AK104" s="256"/>
      <c r="AL104" s="283"/>
      <c r="AN104" s="282"/>
      <c r="AO104" s="256"/>
      <c r="AP104" s="256"/>
      <c r="AQ104" s="283"/>
      <c r="AS104" s="282"/>
      <c r="AT104" s="256"/>
      <c r="AU104" s="256"/>
      <c r="AV104" s="283"/>
      <c r="AX104" s="282"/>
      <c r="AY104" s="256"/>
      <c r="AZ104" s="256"/>
      <c r="BA104" s="283"/>
      <c r="BC104" s="282"/>
      <c r="BD104" s="256"/>
      <c r="BE104" s="256"/>
      <c r="BF104" s="283"/>
      <c r="BH104" s="282"/>
      <c r="BI104" s="256"/>
      <c r="BJ104" s="256"/>
      <c r="BK104" s="283"/>
      <c r="BM104" s="282"/>
      <c r="BN104" s="256"/>
      <c r="BO104" s="256"/>
      <c r="BP104" s="283"/>
      <c r="BT104" s="45"/>
      <c r="DR104"/>
      <c r="DS104"/>
      <c r="DT104"/>
      <c r="DU104"/>
      <c r="DV104"/>
      <c r="DW104"/>
      <c r="DX104" s="37"/>
    </row>
    <row r="105" spans="2:128" s="28" customFormat="1">
      <c r="C105" s="225" t="s">
        <v>318</v>
      </c>
      <c r="E105" s="671"/>
      <c r="F105" s="241"/>
      <c r="G105" s="241"/>
      <c r="H105" s="285"/>
      <c r="I105" s="564"/>
      <c r="J105" s="284"/>
      <c r="K105" s="241"/>
      <c r="L105" s="241"/>
      <c r="M105" s="285"/>
      <c r="O105" s="284"/>
      <c r="P105" s="241"/>
      <c r="Q105" s="841"/>
      <c r="R105" s="842"/>
      <c r="S105" s="1063"/>
      <c r="T105" s="284"/>
      <c r="U105" s="241"/>
      <c r="V105" s="841"/>
      <c r="W105" s="842"/>
      <c r="X105" s="1063"/>
      <c r="Y105" s="284"/>
      <c r="Z105" s="241"/>
      <c r="AA105" s="1441"/>
      <c r="AB105" s="1442"/>
      <c r="AC105" s="1443"/>
      <c r="AD105" s="284"/>
      <c r="AE105" s="241"/>
      <c r="AF105" s="1441"/>
      <c r="AG105" s="1442"/>
      <c r="AH105" s="1443"/>
      <c r="AI105" s="290"/>
      <c r="AJ105" s="260"/>
      <c r="AK105" s="260"/>
      <c r="AL105" s="291"/>
      <c r="AM105" s="45"/>
      <c r="AN105" s="290"/>
      <c r="AO105" s="260"/>
      <c r="AP105" s="260"/>
      <c r="AQ105" s="291"/>
      <c r="AR105" s="45"/>
      <c r="AS105" s="290"/>
      <c r="AT105" s="260"/>
      <c r="AU105" s="260"/>
      <c r="AV105" s="291"/>
      <c r="AW105" s="45"/>
      <c r="AX105" s="290"/>
      <c r="AY105" s="260"/>
      <c r="AZ105" s="260"/>
      <c r="BA105" s="291"/>
      <c r="BB105" s="45"/>
      <c r="BC105" s="290"/>
      <c r="BD105" s="260"/>
      <c r="BE105" s="260"/>
      <c r="BF105" s="291"/>
      <c r="BG105" s="45"/>
      <c r="BH105" s="290"/>
      <c r="BI105" s="260"/>
      <c r="BJ105" s="260"/>
      <c r="BK105" s="291"/>
      <c r="BL105" s="45"/>
      <c r="BM105" s="290"/>
      <c r="BN105" s="260"/>
      <c r="BO105" s="260"/>
      <c r="BP105" s="291"/>
      <c r="BQ105" s="45"/>
      <c r="BT105" s="45"/>
      <c r="DR105"/>
      <c r="DS105"/>
      <c r="DT105"/>
      <c r="DU105"/>
      <c r="DV105"/>
      <c r="DW105"/>
      <c r="DX105" s="37"/>
    </row>
    <row r="106" spans="2:128" s="28" customFormat="1">
      <c r="C106" s="226" t="s">
        <v>421</v>
      </c>
      <c r="E106" s="671"/>
      <c r="F106" s="241"/>
      <c r="G106" s="241"/>
      <c r="H106" s="285"/>
      <c r="I106" s="564"/>
      <c r="J106" s="284"/>
      <c r="K106" s="241"/>
      <c r="L106" s="241"/>
      <c r="M106" s="285"/>
      <c r="O106" s="284"/>
      <c r="P106" s="241"/>
      <c r="Q106" s="841"/>
      <c r="R106" s="842"/>
      <c r="S106" s="1063"/>
      <c r="T106" s="284"/>
      <c r="U106" s="241"/>
      <c r="V106" s="841"/>
      <c r="W106" s="842"/>
      <c r="X106" s="1063"/>
      <c r="Y106" s="290"/>
      <c r="Z106" s="260"/>
      <c r="AA106" s="1441"/>
      <c r="AB106" s="1442"/>
      <c r="AC106" s="45"/>
      <c r="AD106" s="290"/>
      <c r="AE106" s="260"/>
      <c r="AF106" s="1441"/>
      <c r="AG106" s="1442"/>
      <c r="AH106" s="45"/>
      <c r="AI106" s="290"/>
      <c r="AJ106" s="260"/>
      <c r="AK106" s="260"/>
      <c r="AL106" s="291"/>
      <c r="AM106" s="45"/>
      <c r="AN106" s="290"/>
      <c r="AO106" s="260"/>
      <c r="AP106" s="260"/>
      <c r="AQ106" s="291"/>
      <c r="AR106" s="45"/>
      <c r="AS106" s="290"/>
      <c r="AT106" s="260"/>
      <c r="AU106" s="260"/>
      <c r="AV106" s="291"/>
      <c r="AW106" s="45"/>
      <c r="AX106" s="290">
        <f>(((AW230-AS230)*AX111)/4)-((AW228-AS228)*(AX111-1%)/4)</f>
        <v>-6.3174999999999999</v>
      </c>
      <c r="AY106" s="260">
        <f>(((AX230-AT230)*AY111)/4)-((AX228-AT228)*(AY111-1%)/4)</f>
        <v>-0.63513760557672172</v>
      </c>
      <c r="AZ106" s="260">
        <f ca="1">(((AY230-AU230)*AZ111)/4)-((AY228-AU228)*(AZ111-1%)/4)</f>
        <v>9.4661856638197488</v>
      </c>
      <c r="BA106" s="291">
        <f ca="1">(((AZ230-AV230)*BA111)/4)-((AZ228-AV228)*(BA111-1%)/4)</f>
        <v>-4.9988069412268485</v>
      </c>
      <c r="BB106" s="45">
        <f ca="1">+SUM(AX106:BA106)</f>
        <v>-2.4852588829838211</v>
      </c>
      <c r="BC106" s="290">
        <f ca="1">(((BB230-AX230)*BC111)/4)-((BB228-AX228)*(BC111-1%)/4)</f>
        <v>-8.0266518114034202</v>
      </c>
      <c r="BD106" s="260">
        <f ca="1">(((BC230-AY230)*BD111)/4)-((BC228-AY228)*(BD111-1%)/4)</f>
        <v>-11.775803530771784</v>
      </c>
      <c r="BE106" s="260">
        <f ca="1">(((BD230-AZ230)*BE111)/4)-((BD228-AZ228)*(BE111-1%)/4)</f>
        <v>1.91345961510537</v>
      </c>
      <c r="BF106" s="291">
        <f ca="1">(((BE230-BA230)*BF111)/4)-((BE228-BA228)*(BF111-1%)/4)</f>
        <v>-2.6531371624098767</v>
      </c>
      <c r="BG106" s="45">
        <f ca="1">+SUM(BC106:BF106)</f>
        <v>-20.54213288947971</v>
      </c>
      <c r="BH106" s="290">
        <f ca="1">(((BG230-BC230)*BH111)/4)-((BG228-BC228)*(BH111-1%)/4)</f>
        <v>0.46472553017709856</v>
      </c>
      <c r="BI106" s="260">
        <f ca="1">(((BH230-BD230)*BI111)/4)-((BH228-BD228)*(BI111-1%)/4)</f>
        <v>2.5437207126416599</v>
      </c>
      <c r="BJ106" s="260">
        <f ca="1">(((BI230-BE230)*BJ111)/4)-((BI228-BE228)*(BJ111-1%)/4)</f>
        <v>12.806741704387969</v>
      </c>
      <c r="BK106" s="291">
        <f ca="1">(((BJ230-BF230)*BK111)/4)-((BJ228-BF228)*(BK111-1%)/4)</f>
        <v>0.11416735744430583</v>
      </c>
      <c r="BL106" s="45">
        <f ca="1">+SUM(BH106:BK106)</f>
        <v>15.929355304651033</v>
      </c>
      <c r="BM106" s="290">
        <f ca="1">(((BL230-BH230)*BM111)/4)-((BL228-BH228)*(BM111-1%)/4)</f>
        <v>3.1883491489804419</v>
      </c>
      <c r="BN106" s="260">
        <f ca="1">(((BM230-BI230)*BN111)/4)-((BM228-BI228)*(BN111-1%)/4)</f>
        <v>-4.1037148785792399E-2</v>
      </c>
      <c r="BO106" s="260">
        <f ca="1">(((BN230-BJ230)*BO111)/4)-((BN228-BJ228)*(BO111-1%)/4)</f>
        <v>12.998472653659956</v>
      </c>
      <c r="BP106" s="291">
        <f ca="1">(((BO230-BK230)*BP111)/4)-((BO228-BK228)*(BP111-1%)/4)</f>
        <v>-6.5523526122166</v>
      </c>
      <c r="BQ106" s="45">
        <f ca="1">+SUM(BM106:BP106)</f>
        <v>9.593432041638005</v>
      </c>
      <c r="BT106" s="45"/>
      <c r="DR106"/>
      <c r="DS106"/>
      <c r="DT106"/>
      <c r="DU106"/>
      <c r="DV106"/>
      <c r="DW106"/>
      <c r="DX106" s="37"/>
    </row>
    <row r="107" spans="2:128" s="28" customFormat="1">
      <c r="C107" s="226" t="s">
        <v>224</v>
      </c>
      <c r="E107" s="282"/>
      <c r="F107" s="256"/>
      <c r="G107" s="256"/>
      <c r="H107" s="283"/>
      <c r="I107" s="564"/>
      <c r="J107" s="282"/>
      <c r="K107" s="256"/>
      <c r="L107" s="256"/>
      <c r="M107" s="283"/>
      <c r="O107" s="282"/>
      <c r="P107" s="256"/>
      <c r="Q107" s="256"/>
      <c r="R107" s="283"/>
      <c r="S107" s="1063"/>
      <c r="T107" s="282"/>
      <c r="U107" s="256"/>
      <c r="V107" s="256"/>
      <c r="W107" s="283"/>
      <c r="X107" s="1063"/>
      <c r="Y107" s="308"/>
      <c r="Z107" s="244"/>
      <c r="AA107" s="244"/>
      <c r="AB107" s="309"/>
      <c r="AC107" s="24"/>
      <c r="AD107" s="308"/>
      <c r="AE107" s="244"/>
      <c r="AF107" s="244"/>
      <c r="AG107" s="309"/>
      <c r="AH107" s="24"/>
      <c r="AI107" s="308"/>
      <c r="AJ107" s="244"/>
      <c r="AK107" s="244"/>
      <c r="AL107" s="309"/>
      <c r="AM107" s="45"/>
      <c r="AN107" s="308"/>
      <c r="AO107" s="244"/>
      <c r="AP107" s="244"/>
      <c r="AQ107" s="309"/>
      <c r="AR107" s="45"/>
      <c r="AS107" s="308"/>
      <c r="AT107" s="244"/>
      <c r="AU107" s="244"/>
      <c r="AV107" s="309"/>
      <c r="AW107" s="45"/>
      <c r="AX107" s="308">
        <f>+Debt!CG11</f>
        <v>20.818749999999998</v>
      </c>
      <c r="AY107" s="244">
        <f>+Debt!CH11</f>
        <v>19.435416666666665</v>
      </c>
      <c r="AZ107" s="244">
        <f>+Debt!CI11</f>
        <v>53.895833333333329</v>
      </c>
      <c r="BA107" s="309">
        <f>+Debt!CJ11</f>
        <v>45.229166666666664</v>
      </c>
      <c r="BB107" s="45">
        <f>+SUM(AX107:BA107)</f>
        <v>139.37916666666666</v>
      </c>
      <c r="BC107" s="308">
        <f>+Debt!CL11</f>
        <v>43.8125</v>
      </c>
      <c r="BD107" s="244">
        <f>+Debt!CM11</f>
        <v>43.8125</v>
      </c>
      <c r="BE107" s="244">
        <f>+Debt!CN11</f>
        <v>15.75</v>
      </c>
      <c r="BF107" s="309">
        <f>+Debt!CO11</f>
        <v>15.75</v>
      </c>
      <c r="BG107" s="45">
        <f>+SUM(BC107:BF107)</f>
        <v>119.125</v>
      </c>
      <c r="BH107" s="308">
        <f>+Debt!CQ11</f>
        <v>15.75</v>
      </c>
      <c r="BI107" s="244">
        <f>+Debt!CR11</f>
        <v>15.75</v>
      </c>
      <c r="BJ107" s="244">
        <f>+Debt!CS11</f>
        <v>39.8125</v>
      </c>
      <c r="BK107" s="309">
        <f>+Debt!CT11</f>
        <v>39.8125</v>
      </c>
      <c r="BL107" s="45">
        <f>+SUM(BH107:BK107)</f>
        <v>111.125</v>
      </c>
      <c r="BM107" s="308">
        <f>+Debt!CV11</f>
        <v>39.8125</v>
      </c>
      <c r="BN107" s="244">
        <f>+Debt!CW11</f>
        <v>39.8125</v>
      </c>
      <c r="BO107" s="244">
        <f>+Debt!CX11</f>
        <v>45.625</v>
      </c>
      <c r="BP107" s="309">
        <f>+Debt!CY11</f>
        <v>45.625</v>
      </c>
      <c r="BQ107" s="45">
        <f>+SUM(BM107:BP107)</f>
        <v>170.875</v>
      </c>
      <c r="BT107" s="45"/>
      <c r="DR107"/>
      <c r="DS107"/>
      <c r="DT107"/>
      <c r="DU107"/>
      <c r="DV107"/>
      <c r="DW107"/>
      <c r="DX107" s="37"/>
    </row>
    <row r="108" spans="2:128" s="28" customFormat="1">
      <c r="C108" s="226" t="s">
        <v>225</v>
      </c>
      <c r="E108" s="282"/>
      <c r="F108" s="256"/>
      <c r="G108" s="256"/>
      <c r="H108" s="283"/>
      <c r="I108" s="564"/>
      <c r="J108" s="282"/>
      <c r="K108" s="256"/>
      <c r="L108" s="256"/>
      <c r="M108" s="283"/>
      <c r="O108" s="282"/>
      <c r="P108" s="256"/>
      <c r="Q108" s="256"/>
      <c r="R108" s="283"/>
      <c r="S108" s="1063"/>
      <c r="T108" s="282"/>
      <c r="U108" s="256"/>
      <c r="V108" s="256"/>
      <c r="W108" s="283"/>
      <c r="X108" s="1063"/>
      <c r="Y108" s="308"/>
      <c r="Z108" s="244"/>
      <c r="AA108" s="244"/>
      <c r="AB108" s="309"/>
      <c r="AC108" s="24"/>
      <c r="AD108" s="308"/>
      <c r="AE108" s="244"/>
      <c r="AF108" s="244"/>
      <c r="AG108" s="309"/>
      <c r="AH108" s="24"/>
      <c r="AI108" s="308"/>
      <c r="AJ108" s="244"/>
      <c r="AK108" s="244"/>
      <c r="AL108" s="309"/>
      <c r="AM108" s="24"/>
      <c r="AN108" s="308"/>
      <c r="AO108" s="244"/>
      <c r="AP108" s="244"/>
      <c r="AQ108" s="309"/>
      <c r="AR108" s="24"/>
      <c r="AS108" s="308"/>
      <c r="AT108" s="244"/>
      <c r="AU108" s="244"/>
      <c r="AV108" s="309"/>
      <c r="AW108" s="24"/>
      <c r="AX108" s="308">
        <f>+Debt!CG10</f>
        <v>-40.6016305756579</v>
      </c>
      <c r="AY108" s="244">
        <f>+Debt!CH10</f>
        <v>-46.026805575657903</v>
      </c>
      <c r="AZ108" s="244">
        <f>+Debt!CI10</f>
        <v>-43.088628947368427</v>
      </c>
      <c r="BA108" s="309">
        <f>+Debt!CJ10</f>
        <v>-25.846337280701754</v>
      </c>
      <c r="BB108" s="24">
        <f>+SUM(AX108:BA108)</f>
        <v>-155.56340237938599</v>
      </c>
      <c r="BC108" s="308">
        <f>+Debt!CL10</f>
        <v>-20.017187280701755</v>
      </c>
      <c r="BD108" s="244">
        <f>+Debt!CM10</f>
        <v>-8.3795122807017552</v>
      </c>
      <c r="BE108" s="244">
        <f>+Debt!CN10</f>
        <v>-0.48958508771929821</v>
      </c>
      <c r="BF108" s="309">
        <f>+Debt!CO10</f>
        <v>-8.3229184210526324</v>
      </c>
      <c r="BG108" s="24">
        <f>+SUM(BC108:BF108)</f>
        <v>-37.209203070175441</v>
      </c>
      <c r="BH108" s="308">
        <f>+Debt!CQ10</f>
        <v>-15.697918421052634</v>
      </c>
      <c r="BI108" s="244">
        <f>+Debt!CR10</f>
        <v>-17.835418421052633</v>
      </c>
      <c r="BJ108" s="244">
        <f>+Debt!CS10</f>
        <v>-26.169483245614039</v>
      </c>
      <c r="BK108" s="309">
        <f>+Debt!CT10</f>
        <v>-29.750269912280704</v>
      </c>
      <c r="BL108" s="24">
        <f>+SUM(BH108:BK108)</f>
        <v>-89.453090000000017</v>
      </c>
      <c r="BM108" s="308">
        <f>+Debt!CV10</f>
        <v>-34.271103245614036</v>
      </c>
      <c r="BN108" s="244">
        <f>+Debt!CW10</f>
        <v>-37.558603245614037</v>
      </c>
      <c r="BO108" s="244">
        <f>+Debt!CX10</f>
        <v>-32.987324999999998</v>
      </c>
      <c r="BP108" s="309">
        <f>+Debt!CY10</f>
        <v>-26.156538333333334</v>
      </c>
      <c r="BQ108" s="24">
        <f>+SUM(BM108:BP108)</f>
        <v>-130.97356982456142</v>
      </c>
      <c r="BT108" s="45"/>
      <c r="DR108"/>
      <c r="DS108"/>
      <c r="DT108"/>
      <c r="DU108"/>
      <c r="DV108"/>
      <c r="DW108"/>
      <c r="DX108" s="37"/>
    </row>
    <row r="109" spans="2:128" s="32" customFormat="1">
      <c r="C109" s="225" t="s">
        <v>232</v>
      </c>
      <c r="E109" s="681"/>
      <c r="F109" s="682"/>
      <c r="G109" s="682"/>
      <c r="H109" s="683"/>
      <c r="I109" s="943"/>
      <c r="J109" s="681"/>
      <c r="K109" s="682"/>
      <c r="L109" s="682"/>
      <c r="M109" s="683"/>
      <c r="O109" s="681"/>
      <c r="P109" s="682"/>
      <c r="Q109" s="682"/>
      <c r="R109" s="683"/>
      <c r="S109" s="684"/>
      <c r="T109" s="681"/>
      <c r="U109" s="682"/>
      <c r="V109" s="682"/>
      <c r="W109" s="683"/>
      <c r="X109" s="684"/>
      <c r="Y109" s="301"/>
      <c r="Z109" s="265"/>
      <c r="AA109" s="265"/>
      <c r="AB109" s="302"/>
      <c r="AC109" s="445"/>
      <c r="AD109" s="301"/>
      <c r="AE109" s="265"/>
      <c r="AF109" s="265"/>
      <c r="AG109" s="302"/>
      <c r="AH109" s="445"/>
      <c r="AI109" s="301"/>
      <c r="AJ109" s="265"/>
      <c r="AK109" s="265"/>
      <c r="AL109" s="302"/>
      <c r="AM109" s="445"/>
      <c r="AN109" s="301"/>
      <c r="AO109" s="265"/>
      <c r="AP109" s="265"/>
      <c r="AQ109" s="302"/>
      <c r="AR109" s="445"/>
      <c r="AS109" s="301"/>
      <c r="AT109" s="265"/>
      <c r="AU109" s="265"/>
      <c r="AV109" s="302"/>
      <c r="AW109" s="445"/>
      <c r="AX109" s="301">
        <f>+SUM(AX106:AX108)</f>
        <v>-26.100380575657901</v>
      </c>
      <c r="AY109" s="265">
        <f>+SUM(AY106:AY108)</f>
        <v>-27.226526514567961</v>
      </c>
      <c r="AZ109" s="265">
        <f ca="1">+SUM(AZ106:AZ108)</f>
        <v>20.273390049784652</v>
      </c>
      <c r="BA109" s="302">
        <f ca="1">+SUM(BA106:BA108)</f>
        <v>14.384022444738065</v>
      </c>
      <c r="BB109" s="445">
        <f ca="1">+SUM(AX109:BA109)</f>
        <v>-18.669494595703142</v>
      </c>
      <c r="BC109" s="301">
        <f ca="1">+SUM(BC106:BC108)</f>
        <v>15.768660907894827</v>
      </c>
      <c r="BD109" s="265">
        <f ca="1">+SUM(BD106:BD108)</f>
        <v>23.657184188526465</v>
      </c>
      <c r="BE109" s="265">
        <f ca="1">+SUM(BE106:BE108)</f>
        <v>17.173874527386072</v>
      </c>
      <c r="BF109" s="302">
        <f ca="1">+SUM(BF106:BF108)</f>
        <v>4.7739444165374909</v>
      </c>
      <c r="BG109" s="445">
        <f ca="1">+SUM(BC109:BF109)</f>
        <v>61.373664040344849</v>
      </c>
      <c r="BH109" s="301">
        <f ca="1">+SUM(BH106:BH108)</f>
        <v>0.51680710912446415</v>
      </c>
      <c r="BI109" s="265">
        <f ca="1">+SUM(BI106:BI108)</f>
        <v>0.45830229158902469</v>
      </c>
      <c r="BJ109" s="265">
        <f ca="1">+SUM(BJ106:BJ108)</f>
        <v>26.449758458773928</v>
      </c>
      <c r="BK109" s="302">
        <f ca="1">+SUM(BK106:BK108)</f>
        <v>10.176397445163605</v>
      </c>
      <c r="BL109" s="445">
        <f ca="1">+SUM(BH109:BK109)</f>
        <v>37.601265304651022</v>
      </c>
      <c r="BM109" s="301">
        <f ca="1">+SUM(BM106:BM108)</f>
        <v>8.7297459033664069</v>
      </c>
      <c r="BN109" s="265">
        <f ca="1">+SUM(BN106:BN108)</f>
        <v>2.2128596056001726</v>
      </c>
      <c r="BO109" s="265">
        <f ca="1">+SUM(BO106:BO108)</f>
        <v>25.636147653659961</v>
      </c>
      <c r="BP109" s="302">
        <f ca="1">+SUM(BP106:BP108)</f>
        <v>12.916109054450065</v>
      </c>
      <c r="BQ109" s="445">
        <f ca="1">+SUM(BM109:BP109)</f>
        <v>49.494862217076601</v>
      </c>
      <c r="BT109" s="228"/>
      <c r="DR109"/>
      <c r="DS109"/>
      <c r="DT109"/>
      <c r="DU109"/>
      <c r="DV109"/>
      <c r="DW109"/>
      <c r="DX109" s="37"/>
    </row>
    <row r="110" spans="2:128" s="28" customFormat="1">
      <c r="E110" s="282"/>
      <c r="F110" s="256"/>
      <c r="G110" s="256"/>
      <c r="H110" s="283"/>
      <c r="I110" s="564"/>
      <c r="J110" s="282"/>
      <c r="K110" s="256"/>
      <c r="L110" s="256"/>
      <c r="M110" s="283"/>
      <c r="O110" s="282"/>
      <c r="P110" s="256"/>
      <c r="Q110" s="256"/>
      <c r="R110" s="283"/>
      <c r="T110" s="282"/>
      <c r="U110" s="256"/>
      <c r="V110" s="256"/>
      <c r="W110" s="283"/>
      <c r="Y110" s="282"/>
      <c r="Z110" s="256"/>
      <c r="AA110" s="1531"/>
      <c r="AB110" s="1532"/>
      <c r="AD110" s="282"/>
      <c r="AE110" s="256"/>
      <c r="AF110" s="256"/>
      <c r="AG110" s="283"/>
      <c r="AI110" s="282"/>
      <c r="AJ110" s="256"/>
      <c r="AK110" s="256"/>
      <c r="AL110" s="283"/>
      <c r="AN110" s="282"/>
      <c r="AO110" s="256"/>
      <c r="AP110" s="256"/>
      <c r="AQ110" s="283"/>
      <c r="AS110" s="282"/>
      <c r="AT110" s="256"/>
      <c r="AU110" s="256"/>
      <c r="AV110" s="283"/>
      <c r="AX110" s="282"/>
      <c r="AY110" s="256"/>
      <c r="AZ110" s="256"/>
      <c r="BA110" s="283"/>
      <c r="BC110" s="282"/>
      <c r="BD110" s="256"/>
      <c r="BE110" s="256"/>
      <c r="BF110" s="283"/>
      <c r="BH110" s="282"/>
      <c r="BI110" s="256"/>
      <c r="BJ110" s="256"/>
      <c r="BK110" s="283"/>
      <c r="BM110" s="282"/>
      <c r="BN110" s="256"/>
      <c r="BO110" s="256"/>
      <c r="BP110" s="283"/>
      <c r="BT110" s="45"/>
      <c r="DR110"/>
      <c r="DS110"/>
      <c r="DT110"/>
      <c r="DU110"/>
      <c r="DV110"/>
      <c r="DW110"/>
      <c r="DX110" s="37"/>
    </row>
    <row r="111" spans="2:128" s="28" customFormat="1">
      <c r="C111" s="226" t="s">
        <v>239</v>
      </c>
      <c r="E111" s="280"/>
      <c r="F111" s="255"/>
      <c r="G111" s="255"/>
      <c r="H111" s="281"/>
      <c r="I111" s="564"/>
      <c r="J111" s="280"/>
      <c r="K111" s="255"/>
      <c r="L111" s="255"/>
      <c r="M111" s="281"/>
      <c r="O111" s="280"/>
      <c r="P111" s="255"/>
      <c r="Q111" s="255"/>
      <c r="R111" s="281"/>
      <c r="T111" s="280"/>
      <c r="U111" s="255"/>
      <c r="V111" s="255"/>
      <c r="W111" s="281"/>
      <c r="Y111" s="280"/>
      <c r="Z111" s="255"/>
      <c r="AA111" s="1533"/>
      <c r="AB111" s="1534"/>
      <c r="AC111" s="883"/>
      <c r="AD111" s="280"/>
      <c r="AE111" s="255"/>
      <c r="AF111" s="255"/>
      <c r="AG111" s="281"/>
      <c r="AH111" s="612"/>
      <c r="AI111" s="280"/>
      <c r="AJ111" s="255"/>
      <c r="AK111" s="255"/>
      <c r="AL111" s="281"/>
      <c r="AM111" s="612"/>
      <c r="AN111" s="280"/>
      <c r="AO111" s="255"/>
      <c r="AP111" s="255"/>
      <c r="AQ111" s="281"/>
      <c r="AR111" s="612"/>
      <c r="AS111" s="280"/>
      <c r="AT111" s="255"/>
      <c r="AU111" s="255"/>
      <c r="AV111" s="281"/>
      <c r="AW111" s="612"/>
      <c r="AX111" s="280">
        <v>0.02</v>
      </c>
      <c r="AY111" s="255">
        <v>0.02</v>
      </c>
      <c r="AZ111" s="255">
        <v>0.02</v>
      </c>
      <c r="BA111" s="281">
        <v>0.02</v>
      </c>
      <c r="BB111" s="612">
        <v>0.02</v>
      </c>
      <c r="BC111" s="280">
        <v>0.02</v>
      </c>
      <c r="BD111" s="255">
        <v>0.02</v>
      </c>
      <c r="BE111" s="255">
        <v>0.02</v>
      </c>
      <c r="BF111" s="281">
        <v>0.02</v>
      </c>
      <c r="BG111" s="612">
        <v>0.02</v>
      </c>
      <c r="BH111" s="280">
        <v>0.02</v>
      </c>
      <c r="BI111" s="255">
        <v>0.02</v>
      </c>
      <c r="BJ111" s="255">
        <v>0.02</v>
      </c>
      <c r="BK111" s="281">
        <v>0.02</v>
      </c>
      <c r="BL111" s="612">
        <v>0.02</v>
      </c>
      <c r="BM111" s="2271">
        <f>+BH111</f>
        <v>0.02</v>
      </c>
      <c r="BN111" s="1338">
        <f>+BI111</f>
        <v>0.02</v>
      </c>
      <c r="BO111" s="1338">
        <f>+BJ111</f>
        <v>0.02</v>
      </c>
      <c r="BP111" s="2272">
        <f>+BK111</f>
        <v>0.02</v>
      </c>
      <c r="BQ111" s="1959">
        <f>+BL111</f>
        <v>0.02</v>
      </c>
      <c r="BT111" s="45"/>
      <c r="DR111"/>
      <c r="DS111"/>
      <c r="DT111"/>
      <c r="DU111"/>
      <c r="DV111"/>
      <c r="DW111"/>
      <c r="DX111" s="37"/>
    </row>
    <row r="112" spans="2:128" s="28" customFormat="1">
      <c r="C112" s="226"/>
      <c r="E112" s="282"/>
      <c r="F112" s="237"/>
      <c r="G112" s="237"/>
      <c r="H112" s="270"/>
      <c r="I112" s="564"/>
      <c r="J112" s="269"/>
      <c r="K112" s="237"/>
      <c r="L112" s="237"/>
      <c r="M112" s="270"/>
      <c r="O112" s="269"/>
      <c r="P112" s="237"/>
      <c r="Q112" s="237"/>
      <c r="R112" s="270"/>
      <c r="T112" s="269"/>
      <c r="U112" s="237"/>
      <c r="V112" s="237"/>
      <c r="W112" s="270"/>
      <c r="Y112" s="269"/>
      <c r="Z112" s="237"/>
      <c r="AA112" s="237"/>
      <c r="AB112" s="270"/>
      <c r="AD112" s="269"/>
      <c r="AE112" s="237"/>
      <c r="AF112" s="237"/>
      <c r="AG112" s="270"/>
      <c r="AI112" s="269"/>
      <c r="AJ112" s="237"/>
      <c r="AK112" s="237"/>
      <c r="AL112" s="270"/>
      <c r="AN112" s="269"/>
      <c r="AO112" s="237"/>
      <c r="AP112" s="237"/>
      <c r="AQ112" s="270"/>
      <c r="AS112" s="269"/>
      <c r="AT112" s="237"/>
      <c r="AU112" s="237"/>
      <c r="AV112" s="270"/>
      <c r="AX112" s="269"/>
      <c r="AY112" s="237"/>
      <c r="AZ112" s="237"/>
      <c r="BA112" s="270"/>
      <c r="BC112" s="269"/>
      <c r="BD112" s="237"/>
      <c r="BE112" s="237"/>
      <c r="BF112" s="270"/>
      <c r="BH112" s="269"/>
      <c r="BI112" s="237"/>
      <c r="BJ112" s="237"/>
      <c r="BK112" s="270"/>
      <c r="BM112" s="269"/>
      <c r="BN112" s="237"/>
      <c r="BO112" s="237"/>
      <c r="BP112" s="270"/>
      <c r="BT112" s="45"/>
      <c r="DR112"/>
      <c r="DS112"/>
      <c r="DT112"/>
      <c r="DU112"/>
      <c r="DV112"/>
      <c r="DW112"/>
      <c r="DX112" s="37"/>
    </row>
    <row r="113" spans="2:129" s="28" customFormat="1">
      <c r="C113" s="225" t="s">
        <v>241</v>
      </c>
      <c r="E113" s="282"/>
      <c r="F113" s="256"/>
      <c r="G113" s="256"/>
      <c r="H113" s="283"/>
      <c r="I113" s="944"/>
      <c r="J113" s="282"/>
      <c r="K113" s="256"/>
      <c r="L113" s="256"/>
      <c r="M113" s="283"/>
      <c r="N113" s="30"/>
      <c r="O113" s="282"/>
      <c r="P113" s="256"/>
      <c r="Q113" s="256"/>
      <c r="R113" s="283"/>
      <c r="S113" s="30"/>
      <c r="T113" s="282"/>
      <c r="U113" s="256"/>
      <c r="V113" s="256"/>
      <c r="W113" s="283"/>
      <c r="X113" s="30"/>
      <c r="Y113" s="282"/>
      <c r="Z113" s="256"/>
      <c r="AA113" s="1531"/>
      <c r="AB113" s="1532"/>
      <c r="AC113" s="1535"/>
      <c r="AD113" s="282"/>
      <c r="AE113" s="256"/>
      <c r="AF113" s="256"/>
      <c r="AG113" s="283"/>
      <c r="AH113" s="30"/>
      <c r="AI113" s="282"/>
      <c r="AJ113" s="256"/>
      <c r="AK113" s="256"/>
      <c r="AL113" s="283"/>
      <c r="AM113" s="30"/>
      <c r="AN113" s="282"/>
      <c r="AO113" s="256"/>
      <c r="AP113" s="256"/>
      <c r="AQ113" s="283"/>
      <c r="AR113" s="30"/>
      <c r="AS113" s="282"/>
      <c r="AT113" s="256"/>
      <c r="AU113" s="256"/>
      <c r="AV113" s="283"/>
      <c r="AW113" s="30"/>
      <c r="AX113" s="282"/>
      <c r="AY113" s="256"/>
      <c r="AZ113" s="256"/>
      <c r="BA113" s="283"/>
      <c r="BB113" s="30"/>
      <c r="BC113" s="282"/>
      <c r="BD113" s="256"/>
      <c r="BE113" s="256"/>
      <c r="BF113" s="283"/>
      <c r="BG113" s="30"/>
      <c r="BH113" s="282"/>
      <c r="BI113" s="256"/>
      <c r="BJ113" s="256"/>
      <c r="BK113" s="283"/>
      <c r="BL113" s="30"/>
      <c r="BM113" s="282"/>
      <c r="BN113" s="256"/>
      <c r="BO113" s="256"/>
      <c r="BP113" s="283"/>
      <c r="BQ113" s="30"/>
      <c r="BT113" s="45"/>
      <c r="DR113"/>
      <c r="DS113"/>
      <c r="DT113"/>
      <c r="DU113"/>
      <c r="DV113"/>
      <c r="DW113"/>
      <c r="DX113" s="37"/>
    </row>
    <row r="114" spans="2:129" s="28" customFormat="1">
      <c r="C114" s="409" t="s">
        <v>1048</v>
      </c>
      <c r="E114" s="310"/>
      <c r="F114" s="319"/>
      <c r="G114" s="319"/>
      <c r="H114" s="320"/>
      <c r="I114" s="945"/>
      <c r="J114" s="310"/>
      <c r="K114" s="319"/>
      <c r="L114" s="319"/>
      <c r="M114" s="320"/>
      <c r="N114" s="359"/>
      <c r="O114" s="310"/>
      <c r="P114" s="319"/>
      <c r="Q114" s="319"/>
      <c r="R114" s="320"/>
      <c r="S114" s="359"/>
      <c r="T114" s="310"/>
      <c r="U114" s="319"/>
      <c r="V114" s="319"/>
      <c r="W114" s="320"/>
      <c r="X114" s="359"/>
      <c r="Y114" s="310"/>
      <c r="Z114" s="319"/>
      <c r="AA114" s="1460"/>
      <c r="AB114" s="1458"/>
      <c r="AC114" s="1459"/>
      <c r="AD114" s="310"/>
      <c r="AE114" s="319"/>
      <c r="AF114" s="1460"/>
      <c r="AG114" s="285"/>
      <c r="AH114" s="612"/>
      <c r="AI114" s="310"/>
      <c r="AJ114" s="319"/>
      <c r="AK114" s="1460"/>
      <c r="AL114" s="285"/>
      <c r="AM114" s="612"/>
      <c r="AN114" s="310"/>
      <c r="AO114" s="319"/>
      <c r="AP114" s="1460"/>
      <c r="AQ114" s="285"/>
      <c r="AR114" s="612"/>
      <c r="AS114" s="284"/>
      <c r="AT114" s="241"/>
      <c r="AU114" s="241"/>
      <c r="AV114" s="285"/>
      <c r="AW114" s="612"/>
      <c r="AX114" s="284">
        <f>+AY114</f>
        <v>0.16500000000000001</v>
      </c>
      <c r="AY114" s="241">
        <f>+AZ114</f>
        <v>0.16500000000000001</v>
      </c>
      <c r="AZ114" s="241">
        <f>+BA114</f>
        <v>0.16500000000000001</v>
      </c>
      <c r="BA114" s="285">
        <f>+BB114</f>
        <v>0.16500000000000001</v>
      </c>
      <c r="BB114" s="612">
        <v>0.16500000000000001</v>
      </c>
      <c r="BC114" s="284">
        <f>+BD114</f>
        <v>0.185</v>
      </c>
      <c r="BD114" s="241">
        <f>+BE114</f>
        <v>0.185</v>
      </c>
      <c r="BE114" s="241">
        <f>+BF114</f>
        <v>0.185</v>
      </c>
      <c r="BF114" s="285">
        <f>+BG114</f>
        <v>0.185</v>
      </c>
      <c r="BG114" s="612">
        <v>0.185</v>
      </c>
      <c r="BH114" s="284">
        <f>+BI114</f>
        <v>0.21</v>
      </c>
      <c r="BI114" s="241">
        <f>+BJ114</f>
        <v>0.21</v>
      </c>
      <c r="BJ114" s="241">
        <f>+BK114</f>
        <v>0.21</v>
      </c>
      <c r="BK114" s="285">
        <f>+BL114</f>
        <v>0.21</v>
      </c>
      <c r="BL114" s="612">
        <v>0.21</v>
      </c>
      <c r="BM114" s="284">
        <f>+BN114</f>
        <v>0.215</v>
      </c>
      <c r="BN114" s="241">
        <f>+BO114</f>
        <v>0.215</v>
      </c>
      <c r="BO114" s="241">
        <f>+BP114</f>
        <v>0.215</v>
      </c>
      <c r="BP114" s="285">
        <f>+BQ114</f>
        <v>0.215</v>
      </c>
      <c r="BQ114" s="612">
        <v>0.215</v>
      </c>
      <c r="BT114" s="45"/>
      <c r="DR114"/>
      <c r="DS114"/>
      <c r="DT114"/>
      <c r="DU114"/>
      <c r="DV114"/>
      <c r="DW114"/>
      <c r="DX114" s="37"/>
    </row>
    <row r="115" spans="2:129" s="28" customFormat="1">
      <c r="C115" s="226" t="s">
        <v>230</v>
      </c>
      <c r="E115" s="284">
        <f t="shared" ref="E115:AJ115" si="196">E39/E37</f>
        <v>0.3040078201368524</v>
      </c>
      <c r="F115" s="241">
        <f t="shared" si="196"/>
        <v>0.39558417663293466</v>
      </c>
      <c r="G115" s="241">
        <f t="shared" si="196"/>
        <v>0.44132841328413286</v>
      </c>
      <c r="H115" s="285">
        <f t="shared" si="196"/>
        <v>0.39098532494758909</v>
      </c>
      <c r="I115" s="946">
        <f t="shared" si="196"/>
        <v>0.38741796786603305</v>
      </c>
      <c r="J115" s="284">
        <f t="shared" si="196"/>
        <v>0.42911585365853661</v>
      </c>
      <c r="K115" s="241">
        <f t="shared" si="196"/>
        <v>0.28341384863123992</v>
      </c>
      <c r="L115" s="241">
        <f t="shared" si="196"/>
        <v>0.39513242662848963</v>
      </c>
      <c r="M115" s="285">
        <f t="shared" si="196"/>
        <v>0.41189674523007858</v>
      </c>
      <c r="N115" s="25">
        <f t="shared" si="196"/>
        <v>0.3927979151859749</v>
      </c>
      <c r="O115" s="284">
        <f t="shared" si="196"/>
        <v>0.4</v>
      </c>
      <c r="P115" s="241">
        <f t="shared" si="196"/>
        <v>0.34873949579831931</v>
      </c>
      <c r="Q115" s="241">
        <f t="shared" si="196"/>
        <v>0.29789719626168226</v>
      </c>
      <c r="R115" s="285">
        <f t="shared" si="196"/>
        <v>0.41205053449951407</v>
      </c>
      <c r="S115" s="25">
        <f t="shared" si="196"/>
        <v>0.36867408906882593</v>
      </c>
      <c r="T115" s="284">
        <f t="shared" si="196"/>
        <v>0.44134078212290501</v>
      </c>
      <c r="U115" s="241">
        <f t="shared" si="196"/>
        <v>0.30361445783132529</v>
      </c>
      <c r="V115" s="241">
        <f t="shared" si="196"/>
        <v>0.35152838427947597</v>
      </c>
      <c r="W115" s="285">
        <f t="shared" si="196"/>
        <v>0.32098765432098764</v>
      </c>
      <c r="X115" s="25">
        <f t="shared" si="196"/>
        <v>0.34872080088987767</v>
      </c>
      <c r="Y115" s="284">
        <f t="shared" si="196"/>
        <v>0.98245614035087714</v>
      </c>
      <c r="Z115" s="241">
        <f t="shared" si="196"/>
        <v>0.32472826086956524</v>
      </c>
      <c r="AA115" s="241">
        <f t="shared" si="196"/>
        <v>0.37361702127659574</v>
      </c>
      <c r="AB115" s="285">
        <f t="shared" si="196"/>
        <v>0.38509316770186336</v>
      </c>
      <c r="AC115" s="25">
        <f t="shared" si="196"/>
        <v>0.37648755860079336</v>
      </c>
      <c r="AD115" s="284">
        <f t="shared" si="196"/>
        <v>-1.3846153846153846</v>
      </c>
      <c r="AE115" s="241">
        <f t="shared" si="196"/>
        <v>0.33213429256594723</v>
      </c>
      <c r="AF115" s="241">
        <f t="shared" si="196"/>
        <v>0.28208556149732622</v>
      </c>
      <c r="AG115" s="285">
        <f t="shared" si="196"/>
        <v>0.17948717948717949</v>
      </c>
      <c r="AH115" s="25">
        <f t="shared" si="196"/>
        <v>0.26790024135156876</v>
      </c>
      <c r="AI115" s="284">
        <f t="shared" si="196"/>
        <v>0.32970027247956402</v>
      </c>
      <c r="AJ115" s="241">
        <f t="shared" si="196"/>
        <v>0.34062500000000001</v>
      </c>
      <c r="AK115" s="241">
        <f t="shared" ref="AK115:BL115" si="197">AK39/AK37</f>
        <v>0.16381766381766383</v>
      </c>
      <c r="AL115" s="285">
        <f t="shared" si="197"/>
        <v>0.47857142857142859</v>
      </c>
      <c r="AM115" s="25">
        <f t="shared" si="197"/>
        <v>0.32290099307854347</v>
      </c>
      <c r="AN115" s="284">
        <f t="shared" si="197"/>
        <v>0.59934853420195444</v>
      </c>
      <c r="AO115" s="241">
        <f t="shared" si="197"/>
        <v>0.25</v>
      </c>
      <c r="AP115" s="241">
        <f t="shared" si="197"/>
        <v>0.39260969976905313</v>
      </c>
      <c r="AQ115" s="285">
        <f t="shared" si="197"/>
        <v>0.3515625</v>
      </c>
      <c r="AR115" s="25">
        <f t="shared" si="197"/>
        <v>0.38727735368956745</v>
      </c>
      <c r="AS115" s="284">
        <f t="shared" si="197"/>
        <v>0.17976588628762541</v>
      </c>
      <c r="AT115" s="241">
        <f t="shared" si="197"/>
        <v>9</v>
      </c>
      <c r="AU115" s="241">
        <f t="shared" si="197"/>
        <v>0.34268385140257773</v>
      </c>
      <c r="AV115" s="285">
        <f t="shared" ref="AV115:AW115" si="198">AV39/AV37</f>
        <v>-0.59161873459326209</v>
      </c>
      <c r="AW115" s="25">
        <f t="shared" si="198"/>
        <v>-3.3566058002148229E-2</v>
      </c>
      <c r="AX115" s="284">
        <f t="shared" si="197"/>
        <v>0.18713879425112773</v>
      </c>
      <c r="AY115" s="241">
        <f t="shared" ca="1" si="197"/>
        <v>0.17543355700281418</v>
      </c>
      <c r="AZ115" s="241">
        <f t="shared" ca="1" si="197"/>
        <v>0.19046796209764014</v>
      </c>
      <c r="BA115" s="285">
        <f t="shared" ca="1" si="197"/>
        <v>0.16931195334498553</v>
      </c>
      <c r="BB115" s="25">
        <f t="shared" ca="1" si="197"/>
        <v>0.18284868488418121</v>
      </c>
      <c r="BC115" s="284">
        <f t="shared" ca="1" si="197"/>
        <v>0.21978394256827147</v>
      </c>
      <c r="BD115" s="241">
        <f t="shared" ca="1" si="197"/>
        <v>0.16451915587887481</v>
      </c>
      <c r="BE115" s="241">
        <f t="shared" ca="1" si="197"/>
        <v>0.19717100076731101</v>
      </c>
      <c r="BF115" s="285">
        <f t="shared" ca="1" si="197"/>
        <v>0.14275851906479323</v>
      </c>
      <c r="BG115" s="25">
        <f t="shared" ca="1" si="197"/>
        <v>0.19087149465913691</v>
      </c>
      <c r="BH115" s="284">
        <f t="shared" ca="1" si="197"/>
        <v>0.22497894080547665</v>
      </c>
      <c r="BI115" s="241">
        <f t="shared" ca="1" si="197"/>
        <v>0.14961613692906875</v>
      </c>
      <c r="BJ115" s="241">
        <f t="shared" ca="1" si="197"/>
        <v>0.21657147520540498</v>
      </c>
      <c r="BK115" s="285">
        <f t="shared" ca="1" si="197"/>
        <v>0.17503652314735138</v>
      </c>
      <c r="BL115" s="25">
        <f t="shared" ca="1" si="197"/>
        <v>0.20112886963702187</v>
      </c>
      <c r="BM115" s="284">
        <f t="shared" ref="BM115:BQ115" ca="1" si="199">BM39/BM37</f>
        <v>0.20381210175281989</v>
      </c>
      <c r="BN115" s="241">
        <f t="shared" ca="1" si="199"/>
        <v>0.17663376313795837</v>
      </c>
      <c r="BO115" s="241">
        <f t="shared" ca="1" si="199"/>
        <v>0.21361347573179271</v>
      </c>
      <c r="BP115" s="285">
        <f t="shared" ca="1" si="199"/>
        <v>0.18679927625123852</v>
      </c>
      <c r="BQ115" s="25">
        <f t="shared" ca="1" si="199"/>
        <v>0.19837899925491834</v>
      </c>
      <c r="BT115" s="45"/>
      <c r="DR115"/>
      <c r="DS115"/>
      <c r="DT115"/>
      <c r="DU115"/>
      <c r="DV115"/>
      <c r="DW115"/>
      <c r="DX115" s="37"/>
    </row>
    <row r="116" spans="2:129" s="28" customFormat="1">
      <c r="C116" s="226"/>
      <c r="E116" s="284"/>
      <c r="F116" s="241"/>
      <c r="G116" s="241"/>
      <c r="H116" s="285"/>
      <c r="I116" s="946"/>
      <c r="J116" s="284"/>
      <c r="K116" s="241"/>
      <c r="L116" s="241"/>
      <c r="M116" s="285"/>
      <c r="N116" s="25"/>
      <c r="O116" s="284"/>
      <c r="P116" s="241"/>
      <c r="Q116" s="241"/>
      <c r="R116" s="285"/>
      <c r="S116" s="25"/>
      <c r="T116" s="284"/>
      <c r="U116" s="241"/>
      <c r="V116" s="241"/>
      <c r="W116" s="285"/>
      <c r="X116" s="612"/>
      <c r="Y116" s="284"/>
      <c r="Z116" s="241"/>
      <c r="AA116" s="241"/>
      <c r="AB116" s="285"/>
      <c r="AC116" s="883"/>
      <c r="AD116" s="284"/>
      <c r="AE116" s="241"/>
      <c r="AF116" s="241"/>
      <c r="AG116" s="285"/>
      <c r="AH116" s="883"/>
      <c r="AI116" s="284"/>
      <c r="AJ116" s="241"/>
      <c r="AK116" s="241"/>
      <c r="AL116" s="285"/>
      <c r="AM116" s="612"/>
      <c r="AN116" s="284"/>
      <c r="AO116" s="241"/>
      <c r="AP116" s="241"/>
      <c r="AQ116" s="285"/>
      <c r="AR116" s="612"/>
      <c r="AS116" s="284"/>
      <c r="AT116" s="241"/>
      <c r="AU116" s="241"/>
      <c r="AV116" s="285"/>
      <c r="AW116" s="612"/>
      <c r="AX116" s="284"/>
      <c r="AY116" s="241"/>
      <c r="AZ116" s="241"/>
      <c r="BA116" s="285"/>
      <c r="BB116" s="612"/>
      <c r="BC116" s="284"/>
      <c r="BD116" s="241"/>
      <c r="BE116" s="241"/>
      <c r="BF116" s="285"/>
      <c r="BG116" s="612"/>
      <c r="BH116" s="284"/>
      <c r="BI116" s="241"/>
      <c r="BJ116" s="241"/>
      <c r="BK116" s="285"/>
      <c r="BL116" s="612"/>
      <c r="BM116" s="284"/>
      <c r="BN116" s="241"/>
      <c r="BO116" s="241"/>
      <c r="BP116" s="285"/>
      <c r="BQ116" s="612"/>
      <c r="BT116" s="45"/>
      <c r="DR116"/>
      <c r="DS116"/>
      <c r="DT116"/>
      <c r="DU116"/>
      <c r="DV116"/>
      <c r="DW116"/>
      <c r="DY116" s="40"/>
    </row>
    <row r="117" spans="2:129" s="28" customFormat="1" ht="12.75" customHeight="1">
      <c r="C117" s="28" t="s">
        <v>620</v>
      </c>
      <c r="E117" s="306"/>
      <c r="F117" s="266"/>
      <c r="G117" s="266"/>
      <c r="H117" s="307"/>
      <c r="I117" s="931"/>
      <c r="J117" s="335"/>
      <c r="K117" s="336"/>
      <c r="L117" s="336"/>
      <c r="M117" s="291"/>
      <c r="N117" s="427"/>
      <c r="O117" s="335"/>
      <c r="P117" s="336"/>
      <c r="Q117" s="336"/>
      <c r="R117" s="291"/>
      <c r="S117" s="427"/>
      <c r="T117" s="335">
        <v>3</v>
      </c>
      <c r="U117" s="336">
        <v>3</v>
      </c>
      <c r="V117" s="336">
        <v>4</v>
      </c>
      <c r="W117" s="291">
        <f>X117-SUM(T117:V117)</f>
        <v>7</v>
      </c>
      <c r="X117" s="427">
        <v>17</v>
      </c>
      <c r="Y117" s="335">
        <v>6</v>
      </c>
      <c r="Z117" s="336">
        <v>5</v>
      </c>
      <c r="AA117" s="1435">
        <v>4</v>
      </c>
      <c r="AB117" s="1442">
        <f>AC117-SUM(Y117:AA117)</f>
        <v>7</v>
      </c>
      <c r="AC117" s="1437">
        <v>22</v>
      </c>
      <c r="AD117" s="335">
        <v>6</v>
      </c>
      <c r="AE117" s="336">
        <v>5</v>
      </c>
      <c r="AF117" s="336">
        <v>5</v>
      </c>
      <c r="AG117" s="1442">
        <f>AH117-SUM(AD117:AF117)</f>
        <v>5</v>
      </c>
      <c r="AH117" s="1437">
        <v>21</v>
      </c>
      <c r="AI117" s="335">
        <v>5</v>
      </c>
      <c r="AJ117" s="336">
        <v>5</v>
      </c>
      <c r="AK117" s="336">
        <v>6</v>
      </c>
      <c r="AL117" s="1442">
        <f>AM117-SUM(AI117:AK117)</f>
        <v>8</v>
      </c>
      <c r="AM117" s="1437">
        <v>24</v>
      </c>
      <c r="AN117" s="335">
        <v>8</v>
      </c>
      <c r="AO117" s="336">
        <v>15</v>
      </c>
      <c r="AP117" s="336">
        <v>19</v>
      </c>
      <c r="AQ117" s="1442">
        <f>AR117-SUM(AN117:AP117)</f>
        <v>22</v>
      </c>
      <c r="AR117" s="1437">
        <v>64</v>
      </c>
      <c r="AS117" s="335">
        <v>17</v>
      </c>
      <c r="AT117" s="336">
        <v>17</v>
      </c>
      <c r="AU117" s="336">
        <v>17</v>
      </c>
      <c r="AV117" s="1442">
        <f>AW117-SUM(AS117:AU117)</f>
        <v>22</v>
      </c>
      <c r="AW117" s="1437">
        <v>73</v>
      </c>
      <c r="AX117" s="290">
        <f>ComEd!AX19+PECO!AX22+BGE!AX20</f>
        <v>13.367123898739823</v>
      </c>
      <c r="AY117" s="260">
        <f>ComEd!AY19+PECO!AY22+BGE!AY20</f>
        <v>13.367123898739823</v>
      </c>
      <c r="AZ117" s="260">
        <f>ComEd!AZ19+PECO!AZ22+BGE!AZ20</f>
        <v>13.367123898739823</v>
      </c>
      <c r="BA117" s="291">
        <f>ComEd!BA19+PECO!BA22+BGE!BA20</f>
        <v>13.367123898739823</v>
      </c>
      <c r="BB117" s="45">
        <f>SUM(AX117:BA117)</f>
        <v>53.468495594959293</v>
      </c>
      <c r="BC117" s="290">
        <f>ComEd!BC19+PECO!BC22+BGE!BC20</f>
        <v>13.18564737370358</v>
      </c>
      <c r="BD117" s="260">
        <f>ComEd!BD19+PECO!BD22+BGE!BD20</f>
        <v>13.18564737370358</v>
      </c>
      <c r="BE117" s="260">
        <f>ComEd!BE19+PECO!BE22+BGE!BE20</f>
        <v>13.18564737370358</v>
      </c>
      <c r="BF117" s="291">
        <f>ComEd!BF19+PECO!BF22+BGE!BF20</f>
        <v>13.18564737370358</v>
      </c>
      <c r="BG117" s="45">
        <f>SUM(BC117:BF117)</f>
        <v>52.742589494814318</v>
      </c>
      <c r="BH117" s="290">
        <f>ComEd!BH19+PECO!BH22+BGE!BH20</f>
        <v>13.087305304635516</v>
      </c>
      <c r="BI117" s="260">
        <f>ComEd!BI19+PECO!BI22+BGE!BI20</f>
        <v>13.087305304635516</v>
      </c>
      <c r="BJ117" s="260">
        <f>ComEd!BJ19+PECO!BJ22+BGE!BJ20</f>
        <v>13.087305304635516</v>
      </c>
      <c r="BK117" s="291">
        <f>ComEd!BK19+PECO!BK22+BGE!BK20</f>
        <v>13.087305304635516</v>
      </c>
      <c r="BL117" s="45">
        <f>SUM(BH117:BK117)</f>
        <v>52.349221218542063</v>
      </c>
      <c r="BM117" s="290">
        <f>ComEd!BM19+PECO!BM22+BGE!BM20</f>
        <v>12.633790565406489</v>
      </c>
      <c r="BN117" s="260">
        <f>ComEd!BN19+PECO!BN22+BGE!BN20</f>
        <v>12.633790565406489</v>
      </c>
      <c r="BO117" s="260">
        <f>ComEd!BO19+PECO!BO22+BGE!BO20</f>
        <v>12.633790565406489</v>
      </c>
      <c r="BP117" s="291">
        <f>ComEd!BP19+PECO!BP22+BGE!BP20</f>
        <v>12.633790565406489</v>
      </c>
      <c r="BQ117" s="45">
        <f>SUM(BM117:BP117)</f>
        <v>50.535162261625956</v>
      </c>
      <c r="BT117" s="1052"/>
      <c r="BU117" s="1047"/>
      <c r="BV117" s="1047"/>
      <c r="BW117" s="1054"/>
      <c r="BX117" s="349"/>
      <c r="BY117" s="1057"/>
      <c r="BZ117" s="1047"/>
      <c r="CA117" s="1054"/>
      <c r="CC117" s="1051"/>
      <c r="CD117" s="1048"/>
      <c r="CE117" s="1055"/>
      <c r="CG117" s="1051"/>
      <c r="CH117" s="1048"/>
      <c r="CI117" s="1055"/>
      <c r="CK117" s="1051"/>
      <c r="CL117" s="1048"/>
      <c r="CM117" s="1048"/>
      <c r="CN117" s="1055"/>
      <c r="CO117" s="1055"/>
      <c r="CP117" s="1055"/>
      <c r="CQ117" s="1055"/>
      <c r="CR117" s="1055"/>
      <c r="CS117" s="1055"/>
      <c r="CT117" s="1055"/>
      <c r="CU117" s="1055"/>
      <c r="CV117" s="1055"/>
      <c r="CW117" s="1055"/>
      <c r="CX117" s="1055"/>
      <c r="CY117" s="1055"/>
      <c r="CZ117" s="1055"/>
      <c r="DA117" s="1055"/>
      <c r="DB117" s="1055"/>
      <c r="DC117" s="1055"/>
      <c r="DD117" s="1055"/>
      <c r="DE117" s="1055"/>
      <c r="DF117" s="1055"/>
      <c r="DG117" s="1055"/>
      <c r="DH117" s="1055"/>
      <c r="DI117" s="1055"/>
      <c r="DJ117" s="1055"/>
      <c r="DK117" s="1055"/>
      <c r="DL117" s="1055"/>
      <c r="DM117" s="1055"/>
      <c r="DN117" s="1055"/>
      <c r="DO117" s="1055"/>
      <c r="DP117" s="1055"/>
      <c r="DQ117" s="1055"/>
      <c r="DR117"/>
      <c r="DS117"/>
      <c r="DT117"/>
      <c r="DU117"/>
      <c r="DV117"/>
      <c r="DW117"/>
      <c r="DX117" s="37"/>
    </row>
    <row r="118" spans="2:129" s="28" customFormat="1">
      <c r="C118" s="226" t="s">
        <v>1047</v>
      </c>
      <c r="E118" s="290"/>
      <c r="F118" s="260"/>
      <c r="G118" s="260"/>
      <c r="H118" s="291"/>
      <c r="I118" s="932"/>
      <c r="J118" s="290"/>
      <c r="K118" s="260"/>
      <c r="L118" s="260"/>
      <c r="M118" s="291"/>
      <c r="N118" s="45"/>
      <c r="O118" s="290"/>
      <c r="P118" s="260"/>
      <c r="Q118" s="260"/>
      <c r="R118" s="291"/>
      <c r="S118" s="45"/>
      <c r="T118" s="290"/>
      <c r="U118" s="260"/>
      <c r="V118" s="260"/>
      <c r="W118" s="291"/>
      <c r="X118" s="45"/>
      <c r="Y118" s="290"/>
      <c r="Z118" s="260"/>
      <c r="AA118" s="1441"/>
      <c r="AB118" s="1442"/>
      <c r="AC118" s="1443"/>
      <c r="AD118" s="290"/>
      <c r="AE118" s="260"/>
      <c r="AF118" s="260"/>
      <c r="AG118" s="291"/>
      <c r="AH118" s="45"/>
      <c r="AI118" s="290"/>
      <c r="AJ118" s="260"/>
      <c r="AK118" s="260"/>
      <c r="AL118" s="291"/>
      <c r="AM118" s="45"/>
      <c r="AN118" s="290"/>
      <c r="AO118" s="260"/>
      <c r="AP118" s="260"/>
      <c r="AQ118" s="291"/>
      <c r="AR118" s="45"/>
      <c r="AS118" s="290"/>
      <c r="AT118" s="260"/>
      <c r="AU118" s="260"/>
      <c r="AV118" s="291"/>
      <c r="AW118" s="45"/>
      <c r="AX118" s="290">
        <f>ExGen!AX798</f>
        <v>30.992308409999985</v>
      </c>
      <c r="AY118" s="260">
        <f>ExGen!AY798</f>
        <v>30.992308409999985</v>
      </c>
      <c r="AZ118" s="260">
        <f>ExGen!AZ798</f>
        <v>30.992308409999985</v>
      </c>
      <c r="BA118" s="291">
        <f>ExGen!BA798</f>
        <v>30.992308409999985</v>
      </c>
      <c r="BB118" s="45">
        <f>ExGen!BB798</f>
        <v>123.96923363999994</v>
      </c>
      <c r="BC118" s="290">
        <f>ExGen!BC798</f>
        <v>31.457193036149985</v>
      </c>
      <c r="BD118" s="260">
        <f>ExGen!BD798</f>
        <v>31.457193036149985</v>
      </c>
      <c r="BE118" s="260">
        <f>ExGen!BE798</f>
        <v>31.457193036149985</v>
      </c>
      <c r="BF118" s="291">
        <f>ExGen!BF798</f>
        <v>31.457193036149985</v>
      </c>
      <c r="BG118" s="45">
        <f>ExGen!BG798</f>
        <v>125.82877214459994</v>
      </c>
      <c r="BH118" s="290">
        <f>ExGen!BH798</f>
        <v>31.929050931692228</v>
      </c>
      <c r="BI118" s="260">
        <f>ExGen!BI798</f>
        <v>31.929050931692228</v>
      </c>
      <c r="BJ118" s="260">
        <f>ExGen!BJ798</f>
        <v>31.929050931692228</v>
      </c>
      <c r="BK118" s="291">
        <f>ExGen!BK798</f>
        <v>31.929050931692228</v>
      </c>
      <c r="BL118" s="45">
        <f>ExGen!BL798</f>
        <v>127.71620372676891</v>
      </c>
      <c r="BM118" s="290">
        <f>ExGen!BM798</f>
        <v>32.40798669566761</v>
      </c>
      <c r="BN118" s="260">
        <f>ExGen!BN798</f>
        <v>32.40798669566761</v>
      </c>
      <c r="BO118" s="260">
        <f>ExGen!BO798</f>
        <v>32.40798669566761</v>
      </c>
      <c r="BP118" s="291">
        <f>ExGen!BP798</f>
        <v>32.40798669566761</v>
      </c>
      <c r="BQ118" s="45">
        <f>ExGen!BQ798</f>
        <v>129.63194678267044</v>
      </c>
      <c r="BT118" s="45"/>
      <c r="DR118"/>
      <c r="DS118"/>
      <c r="DT118"/>
      <c r="DU118"/>
      <c r="DV118"/>
      <c r="DW118"/>
      <c r="DX118" s="37"/>
    </row>
    <row r="119" spans="2:129" s="28" customFormat="1">
      <c r="C119" s="226"/>
      <c r="E119" s="284"/>
      <c r="F119" s="241"/>
      <c r="G119" s="241"/>
      <c r="H119" s="285"/>
      <c r="I119" s="946"/>
      <c r="J119" s="284"/>
      <c r="K119" s="241"/>
      <c r="L119" s="241"/>
      <c r="M119" s="285"/>
      <c r="N119" s="25"/>
      <c r="O119" s="284"/>
      <c r="P119" s="241"/>
      <c r="Q119" s="241"/>
      <c r="R119" s="285"/>
      <c r="S119" s="25"/>
      <c r="T119" s="284"/>
      <c r="U119" s="241"/>
      <c r="V119" s="241"/>
      <c r="W119" s="285"/>
      <c r="X119" s="612"/>
      <c r="Y119" s="284"/>
      <c r="Z119" s="241"/>
      <c r="AA119" s="241"/>
      <c r="AB119" s="285"/>
      <c r="AC119" s="883"/>
      <c r="AD119" s="284"/>
      <c r="AE119" s="241"/>
      <c r="AF119" s="241"/>
      <c r="AG119" s="285"/>
      <c r="AH119" s="612"/>
      <c r="AI119" s="284"/>
      <c r="AJ119" s="241"/>
      <c r="AK119" s="241"/>
      <c r="AL119" s="285"/>
      <c r="AM119" s="612"/>
      <c r="AN119" s="284"/>
      <c r="AO119" s="241"/>
      <c r="AP119" s="241"/>
      <c r="AQ119" s="285"/>
      <c r="AR119" s="612"/>
      <c r="AS119" s="284"/>
      <c r="AT119" s="241"/>
      <c r="AU119" s="241"/>
      <c r="AV119" s="285"/>
      <c r="AW119" s="612"/>
      <c r="AX119" s="284"/>
      <c r="AY119" s="241"/>
      <c r="AZ119" s="241"/>
      <c r="BA119" s="285"/>
      <c r="BB119" s="612"/>
      <c r="BC119" s="284"/>
      <c r="BD119" s="241"/>
      <c r="BE119" s="241"/>
      <c r="BF119" s="285"/>
      <c r="BG119" s="612"/>
      <c r="BH119" s="284"/>
      <c r="BI119" s="241"/>
      <c r="BJ119" s="241"/>
      <c r="BK119" s="285"/>
      <c r="BL119" s="612"/>
      <c r="BM119" s="284"/>
      <c r="BN119" s="241"/>
      <c r="BO119" s="241"/>
      <c r="BP119" s="285"/>
      <c r="BQ119" s="612"/>
      <c r="BT119" s="45"/>
      <c r="DR119"/>
      <c r="DS119"/>
      <c r="DT119"/>
      <c r="DU119"/>
      <c r="DV119"/>
      <c r="DW119"/>
      <c r="DX119" s="37"/>
    </row>
    <row r="120" spans="2:129" s="28" customFormat="1">
      <c r="C120" s="226"/>
      <c r="E120" s="284"/>
      <c r="F120" s="241"/>
      <c r="G120" s="241"/>
      <c r="H120" s="285"/>
      <c r="I120" s="946"/>
      <c r="J120" s="284"/>
      <c r="K120" s="241"/>
      <c r="L120" s="241"/>
      <c r="M120" s="285"/>
      <c r="N120" s="25"/>
      <c r="O120" s="284"/>
      <c r="P120" s="241"/>
      <c r="Q120" s="241"/>
      <c r="R120" s="285"/>
      <c r="S120" s="25"/>
      <c r="T120" s="284"/>
      <c r="U120" s="241"/>
      <c r="V120" s="241"/>
      <c r="W120" s="285"/>
      <c r="X120" s="612"/>
      <c r="Y120" s="284"/>
      <c r="Z120" s="241"/>
      <c r="AA120" s="241"/>
      <c r="AB120" s="285"/>
      <c r="AC120" s="883"/>
      <c r="AD120" s="284"/>
      <c r="AE120" s="241"/>
      <c r="AF120" s="241"/>
      <c r="AG120" s="285"/>
      <c r="AH120" s="612"/>
      <c r="AI120" s="284"/>
      <c r="AJ120" s="241"/>
      <c r="AK120" s="241"/>
      <c r="AL120" s="285"/>
      <c r="AM120" s="612"/>
      <c r="AN120" s="284"/>
      <c r="AO120" s="241"/>
      <c r="AP120" s="241"/>
      <c r="AQ120" s="285"/>
      <c r="AR120" s="612"/>
      <c r="AS120" s="284"/>
      <c r="AT120" s="241"/>
      <c r="AU120" s="241"/>
      <c r="AV120" s="285"/>
      <c r="AW120" s="612"/>
      <c r="AX120" s="284"/>
      <c r="AY120" s="241"/>
      <c r="AZ120" s="241"/>
      <c r="BA120" s="285"/>
      <c r="BB120" s="612"/>
      <c r="BC120" s="284"/>
      <c r="BD120" s="241"/>
      <c r="BE120" s="241"/>
      <c r="BF120" s="285"/>
      <c r="BG120" s="612"/>
      <c r="BH120" s="284"/>
      <c r="BI120" s="241"/>
      <c r="BJ120" s="241"/>
      <c r="BK120" s="285"/>
      <c r="BL120" s="612"/>
      <c r="BM120" s="284"/>
      <c r="BN120" s="241"/>
      <c r="BO120" s="241"/>
      <c r="BP120" s="285"/>
      <c r="BQ120" s="612"/>
      <c r="BT120" s="45"/>
      <c r="DR120"/>
      <c r="DS120"/>
      <c r="DT120"/>
      <c r="DU120"/>
      <c r="DV120"/>
      <c r="DW120"/>
      <c r="DX120" s="37"/>
    </row>
    <row r="121" spans="2:129" s="28" customFormat="1">
      <c r="B121" s="73" t="s">
        <v>1285</v>
      </c>
      <c r="C121" s="73"/>
      <c r="E121" s="284"/>
      <c r="F121" s="241"/>
      <c r="G121" s="241"/>
      <c r="H121" s="285"/>
      <c r="I121" s="946"/>
      <c r="J121" s="284"/>
      <c r="K121" s="241"/>
      <c r="L121" s="241"/>
      <c r="M121" s="285"/>
      <c r="N121" s="25"/>
      <c r="O121" s="284"/>
      <c r="P121" s="241"/>
      <c r="Q121" s="241"/>
      <c r="R121" s="285"/>
      <c r="S121" s="25"/>
      <c r="T121" s="284"/>
      <c r="U121" s="241"/>
      <c r="V121" s="241"/>
      <c r="W121" s="285"/>
      <c r="X121" s="612"/>
      <c r="Y121" s="284"/>
      <c r="Z121" s="241"/>
      <c r="AA121" s="241"/>
      <c r="AB121" s="285"/>
      <c r="AC121" s="883"/>
      <c r="AD121" s="284"/>
      <c r="AE121" s="241"/>
      <c r="AF121" s="241"/>
      <c r="AG121" s="285"/>
      <c r="AH121" s="612"/>
      <c r="AI121" s="284"/>
      <c r="AJ121" s="241"/>
      <c r="AK121" s="241"/>
      <c r="AL121" s="285"/>
      <c r="AM121" s="612"/>
      <c r="AN121" s="284"/>
      <c r="AO121" s="241"/>
      <c r="AP121" s="241"/>
      <c r="AQ121" s="285"/>
      <c r="AR121" s="612"/>
      <c r="AS121" s="284"/>
      <c r="AT121" s="241"/>
      <c r="AU121" s="241"/>
      <c r="AV121" s="285"/>
      <c r="AW121" s="612"/>
      <c r="AX121" s="284"/>
      <c r="AY121" s="241"/>
      <c r="AZ121" s="241"/>
      <c r="BA121" s="285"/>
      <c r="BB121" s="612"/>
      <c r="BC121" s="284"/>
      <c r="BD121" s="241"/>
      <c r="BE121" s="241"/>
      <c r="BF121" s="285"/>
      <c r="BG121" s="612"/>
      <c r="BH121" s="284"/>
      <c r="BI121" s="241"/>
      <c r="BJ121" s="241"/>
      <c r="BK121" s="285"/>
      <c r="BL121" s="612"/>
      <c r="BM121" s="284"/>
      <c r="BN121" s="241"/>
      <c r="BO121" s="241"/>
      <c r="BP121" s="285"/>
      <c r="BQ121" s="612"/>
      <c r="BT121" s="45"/>
      <c r="DR121"/>
      <c r="DS121"/>
      <c r="DT121"/>
      <c r="DU121"/>
      <c r="DV121"/>
      <c r="DW121"/>
      <c r="DX121" s="37"/>
    </row>
    <row r="122" spans="2:129" s="28" customFormat="1">
      <c r="B122" s="40"/>
      <c r="C122" s="40" t="s">
        <v>1304</v>
      </c>
      <c r="E122" s="345">
        <f>ExGen!E850</f>
        <v>2467</v>
      </c>
      <c r="F122" s="346">
        <f>ExGen!F850</f>
        <v>2513</v>
      </c>
      <c r="G122" s="346">
        <f>ExGen!G850</f>
        <v>3139</v>
      </c>
      <c r="H122" s="347">
        <f>ExGen!H850</f>
        <v>2993</v>
      </c>
      <c r="I122" s="935">
        <f>ExGen!I850</f>
        <v>2993</v>
      </c>
      <c r="J122" s="345">
        <f>ExGen!J850</f>
        <v>2992</v>
      </c>
      <c r="K122" s="346">
        <f>ExGen!K850</f>
        <v>2779</v>
      </c>
      <c r="L122" s="346">
        <f>ExGen!L850</f>
        <v>3677</v>
      </c>
      <c r="M122" s="347">
        <f>ExGen!M850</f>
        <v>3679</v>
      </c>
      <c r="N122" s="349">
        <f>ExGen!N850</f>
        <v>3679</v>
      </c>
      <c r="O122" s="345">
        <f>ExGen!O850</f>
        <v>3678</v>
      </c>
      <c r="P122" s="346">
        <f>ExGen!P850</f>
        <v>3678</v>
      </c>
      <c r="Q122" s="346">
        <f>ExGen!Q850</f>
        <v>3749</v>
      </c>
      <c r="R122" s="347">
        <f>ExGen!R850</f>
        <v>3679</v>
      </c>
      <c r="S122" s="349">
        <f>ExGen!S850</f>
        <v>3679</v>
      </c>
      <c r="T122" s="345">
        <f>ExGen!T850</f>
        <v>6760</v>
      </c>
      <c r="U122" s="346">
        <f>ExGen!U850</f>
        <v>7379</v>
      </c>
      <c r="V122" s="346">
        <f>ExGen!V850</f>
        <v>7394</v>
      </c>
      <c r="W122" s="347">
        <f>ExGen!W850</f>
        <v>7483</v>
      </c>
      <c r="X122" s="349">
        <f>ExGen!X850</f>
        <v>7483</v>
      </c>
      <c r="Y122" s="345">
        <f>ExGen!Y850</f>
        <v>7634</v>
      </c>
      <c r="Z122" s="346">
        <f>ExGen!Z850</f>
        <v>7501</v>
      </c>
      <c r="AA122" s="346">
        <f>ExGen!AA850</f>
        <v>7830</v>
      </c>
      <c r="AB122" s="347">
        <f>ExGen!AB850</f>
        <v>7751</v>
      </c>
      <c r="AC122" s="349">
        <f>ExGen!AC850</f>
        <v>7751</v>
      </c>
      <c r="AD122" s="345">
        <f>ExGen!AD850</f>
        <v>7867</v>
      </c>
      <c r="AE122" s="346">
        <f>ExGen!AE850</f>
        <v>7560</v>
      </c>
      <c r="AF122" s="346">
        <f>ExGen!AF850</f>
        <v>8334</v>
      </c>
      <c r="AG122" s="347">
        <f>ExGen!AG850</f>
        <v>8302</v>
      </c>
      <c r="AH122" s="349">
        <f>ExGen!AH850</f>
        <v>8302</v>
      </c>
      <c r="AI122" s="345">
        <f>ExGen!AI850</f>
        <v>9453</v>
      </c>
      <c r="AJ122" s="346">
        <f>ExGen!AJ850</f>
        <v>9679</v>
      </c>
      <c r="AK122" s="346">
        <f>ExGen!AK850</f>
        <v>10222</v>
      </c>
      <c r="AL122" s="347">
        <f>ExGen!AL850</f>
        <v>10240</v>
      </c>
      <c r="AM122" s="349">
        <f>ExGen!AM850</f>
        <v>10240</v>
      </c>
      <c r="AN122" s="345">
        <f>ExGen!AN850</f>
        <v>10644</v>
      </c>
      <c r="AO122" s="346">
        <f>ExGen!AO850</f>
        <v>10091</v>
      </c>
      <c r="AP122" s="346">
        <f>ExGen!AP850</f>
        <v>9756</v>
      </c>
      <c r="AQ122" s="347">
        <f>ExGen!AQ850</f>
        <v>9995</v>
      </c>
      <c r="AR122" s="349">
        <f>ExGen!AR850</f>
        <v>9995</v>
      </c>
      <c r="AS122" s="345">
        <f>ExGen!AS850</f>
        <v>10750</v>
      </c>
      <c r="AT122" s="346">
        <f>ExGen!AT850</f>
        <v>10721</v>
      </c>
      <c r="AU122" s="346">
        <f>ExGen!AU850</f>
        <v>9766</v>
      </c>
      <c r="AV122" s="347">
        <f>ExGen!AV850</f>
        <v>9046</v>
      </c>
      <c r="AW122" s="349">
        <f>ExGen!AW850</f>
        <v>9046</v>
      </c>
      <c r="AX122" s="345">
        <f ca="1">ExGen!AX850</f>
        <v>8970</v>
      </c>
      <c r="AY122" s="346">
        <f ca="1">ExGen!AY850</f>
        <v>8854</v>
      </c>
      <c r="AZ122" s="346">
        <f ca="1">ExGen!AZ850</f>
        <v>8849</v>
      </c>
      <c r="BA122" s="347">
        <f ca="1">ExGen!BA850</f>
        <v>8849</v>
      </c>
      <c r="BB122" s="349">
        <f ca="1">ExGen!BB850</f>
        <v>8849</v>
      </c>
      <c r="BC122" s="345">
        <f ca="1">ExGen!BC850</f>
        <v>8849</v>
      </c>
      <c r="BD122" s="346">
        <f ca="1">ExGen!BD850</f>
        <v>8849</v>
      </c>
      <c r="BE122" s="346">
        <f ca="1">ExGen!BE850</f>
        <v>8845</v>
      </c>
      <c r="BF122" s="347">
        <f ca="1">ExGen!BF850</f>
        <v>8245</v>
      </c>
      <c r="BG122" s="349">
        <f ca="1">ExGen!BG850</f>
        <v>8245</v>
      </c>
      <c r="BH122" s="345">
        <f ca="1">ExGen!BH850</f>
        <v>7245</v>
      </c>
      <c r="BI122" s="346">
        <f ca="1">ExGen!BI850</f>
        <v>7245</v>
      </c>
      <c r="BJ122" s="346">
        <f ca="1">ExGen!BJ850</f>
        <v>6809.53</v>
      </c>
      <c r="BK122" s="347">
        <f ca="1">ExGen!BK850</f>
        <v>6587.2876432205039</v>
      </c>
      <c r="BL122" s="349">
        <f ca="1">ExGen!BL850</f>
        <v>6587.2876432205039</v>
      </c>
      <c r="BM122" s="345">
        <f ca="1">ExGen!BM850</f>
        <v>6382.4673834134601</v>
      </c>
      <c r="BN122" s="346">
        <f ca="1">ExGen!BN850</f>
        <v>6286.7724118096339</v>
      </c>
      <c r="BO122" s="346">
        <f ca="1">ExGen!BO850</f>
        <v>6004.8585591441606</v>
      </c>
      <c r="BP122" s="347">
        <f ca="1">ExGen!BP850</f>
        <v>5872.6986390871571</v>
      </c>
      <c r="BQ122" s="349">
        <f ca="1">ExGen!BQ850</f>
        <v>5872.6986390871571</v>
      </c>
      <c r="BT122" s="45"/>
      <c r="DR122"/>
      <c r="DS122"/>
      <c r="DT122"/>
      <c r="DU122"/>
      <c r="DV122"/>
      <c r="DW122"/>
      <c r="DX122" s="37"/>
    </row>
    <row r="123" spans="2:129" s="28" customFormat="1">
      <c r="B123" s="40"/>
      <c r="C123" s="40" t="s">
        <v>1305</v>
      </c>
      <c r="E123" s="345">
        <f>ComEd!E194</f>
        <v>5091</v>
      </c>
      <c r="F123" s="346">
        <f>ComEd!F194</f>
        <v>4960</v>
      </c>
      <c r="G123" s="346">
        <f>ComEd!G194</f>
        <v>5056</v>
      </c>
      <c r="H123" s="347">
        <f>ComEd!H194</f>
        <v>5072</v>
      </c>
      <c r="I123" s="935">
        <f>ComEd!I194</f>
        <v>5072</v>
      </c>
      <c r="J123" s="345">
        <f>ComEd!J194</f>
        <v>5174</v>
      </c>
      <c r="K123" s="346">
        <f>ComEd!K194</f>
        <v>5207</v>
      </c>
      <c r="L123" s="346">
        <f>ComEd!L194</f>
        <v>5272</v>
      </c>
      <c r="M123" s="347">
        <f>ComEd!M194</f>
        <v>5207</v>
      </c>
      <c r="N123" s="349">
        <f>ComEd!N194</f>
        <v>5207</v>
      </c>
      <c r="O123" s="345">
        <f>ComEd!O194</f>
        <v>5857</v>
      </c>
      <c r="P123" s="346">
        <f>ComEd!P194</f>
        <v>5807</v>
      </c>
      <c r="Q123" s="346">
        <f>ComEd!Q194</f>
        <v>6408</v>
      </c>
      <c r="R123" s="347">
        <f>ComEd!R194</f>
        <v>5871</v>
      </c>
      <c r="S123" s="349">
        <f>ComEd!S194</f>
        <v>5871</v>
      </c>
      <c r="T123" s="345">
        <f>ComEd!T194</f>
        <v>5723</v>
      </c>
      <c r="U123" s="346">
        <f>ComEd!U194</f>
        <v>5475</v>
      </c>
      <c r="V123" s="346">
        <f>ComEd!V194</f>
        <v>5458</v>
      </c>
      <c r="W123" s="347">
        <f>ComEd!W194</f>
        <v>5773</v>
      </c>
      <c r="X123" s="349">
        <f>ComEd!X194</f>
        <v>5773</v>
      </c>
      <c r="Y123" s="345">
        <f>ComEd!Y194</f>
        <v>5994</v>
      </c>
      <c r="Z123" s="346">
        <f>ComEd!Z194</f>
        <v>6031</v>
      </c>
      <c r="AA123" s="346">
        <f>ComEd!AA194</f>
        <v>6033</v>
      </c>
      <c r="AB123" s="347">
        <f>ComEd!AB194</f>
        <v>6065</v>
      </c>
      <c r="AC123" s="349">
        <f>ComEd!AC194</f>
        <v>6065</v>
      </c>
      <c r="AD123" s="345">
        <f>ComEd!AD194</f>
        <v>6447</v>
      </c>
      <c r="AE123" s="346">
        <f>ComEd!AE194</f>
        <v>6412</v>
      </c>
      <c r="AF123" s="346">
        <f>ComEd!AF194</f>
        <v>6442</v>
      </c>
      <c r="AG123" s="347">
        <f>ComEd!AG194</f>
        <v>6468</v>
      </c>
      <c r="AH123" s="349">
        <f>ComEd!AH194</f>
        <v>6468</v>
      </c>
      <c r="AI123" s="345">
        <f>ComEd!AI194</f>
        <v>6848</v>
      </c>
      <c r="AJ123" s="346">
        <f>ComEd!AJ194</f>
        <v>6808</v>
      </c>
      <c r="AK123" s="346">
        <f>ComEd!AK194</f>
        <v>6910</v>
      </c>
      <c r="AL123" s="347">
        <f>ComEd!AL194</f>
        <v>7008</v>
      </c>
      <c r="AM123" s="349">
        <f>ComEd!AM194</f>
        <v>7008</v>
      </c>
      <c r="AN123" s="345">
        <f>ComEd!AN194</f>
        <v>7358</v>
      </c>
      <c r="AO123" s="346">
        <f>ComEd!AO194</f>
        <v>7935</v>
      </c>
      <c r="AP123" s="346">
        <f>ComEd!AP194</f>
        <v>7246</v>
      </c>
      <c r="AQ123" s="347">
        <f>ComEd!AQ194</f>
        <v>7238</v>
      </c>
      <c r="AR123" s="349">
        <f>ComEd!AR194</f>
        <v>7238</v>
      </c>
      <c r="AS123" s="345">
        <f>ComEd!AS194</f>
        <v>7605</v>
      </c>
      <c r="AT123" s="346">
        <f>ComEd!AT194</f>
        <v>7630</v>
      </c>
      <c r="AU123" s="346">
        <f>ComEd!AU194</f>
        <v>7805</v>
      </c>
      <c r="AV123" s="347">
        <f>ComEd!AV194</f>
        <v>7806</v>
      </c>
      <c r="AW123" s="349">
        <f>ComEd!AW194</f>
        <v>7806</v>
      </c>
      <c r="AX123" s="345">
        <f ca="1">ComEd!AX194</f>
        <v>7915.590272410639</v>
      </c>
      <c r="AY123" s="346">
        <f ca="1">ComEd!AY194</f>
        <v>8096.6517216814082</v>
      </c>
      <c r="AZ123" s="346">
        <f ca="1">ComEd!AZ194</f>
        <v>8516</v>
      </c>
      <c r="BA123" s="347">
        <f ca="1">ComEd!BA194</f>
        <v>8516</v>
      </c>
      <c r="BB123" s="349">
        <f ca="1">ComEd!BB194</f>
        <v>8516</v>
      </c>
      <c r="BC123" s="345">
        <f ca="1">ComEd!BC194</f>
        <v>8556.5975166543139</v>
      </c>
      <c r="BD123" s="346">
        <f ca="1">ComEd!BD194</f>
        <v>8664.3863970789553</v>
      </c>
      <c r="BE123" s="346">
        <f ca="1">ComEd!BE194</f>
        <v>8941</v>
      </c>
      <c r="BF123" s="347">
        <f ca="1">ComEd!BF194</f>
        <v>8941</v>
      </c>
      <c r="BG123" s="349">
        <f ca="1">ComEd!BG194</f>
        <v>8941</v>
      </c>
      <c r="BH123" s="345">
        <f ca="1">ComEd!BH194</f>
        <v>8993.5175534641494</v>
      </c>
      <c r="BI123" s="346">
        <f ca="1">ComEd!BI194</f>
        <v>9126.3750706849423</v>
      </c>
      <c r="BJ123" s="346">
        <f ca="1">ComEd!BJ194</f>
        <v>9441</v>
      </c>
      <c r="BK123" s="347">
        <f ca="1">ComEd!BK194</f>
        <v>9441</v>
      </c>
      <c r="BL123" s="349">
        <f ca="1">ComEd!BL194</f>
        <v>9441</v>
      </c>
      <c r="BM123" s="345">
        <f ca="1">ComEd!BM194</f>
        <v>9478.7999597858052</v>
      </c>
      <c r="BN123" s="346">
        <f ca="1">ComEd!BN194</f>
        <v>9578.1252525643977</v>
      </c>
      <c r="BO123" s="346">
        <f ca="1">ComEd!BO194</f>
        <v>9841</v>
      </c>
      <c r="BP123" s="347">
        <f ca="1">ComEd!BP194</f>
        <v>9841</v>
      </c>
      <c r="BQ123" s="349">
        <f ca="1">ComEd!BQ194</f>
        <v>9841</v>
      </c>
      <c r="BT123" s="45"/>
      <c r="DR123"/>
      <c r="DS123"/>
      <c r="DT123"/>
      <c r="DU123"/>
      <c r="DV123"/>
      <c r="DW123"/>
      <c r="DX123" s="37"/>
    </row>
    <row r="124" spans="2:129" s="28" customFormat="1">
      <c r="B124" s="40"/>
      <c r="C124" s="40" t="s">
        <v>1306</v>
      </c>
      <c r="E124" s="345">
        <f>PECO!E222</f>
        <v>3360</v>
      </c>
      <c r="F124" s="346">
        <f>PECO!F222</f>
        <v>3199</v>
      </c>
      <c r="G124" s="346">
        <f>PECO!G222</f>
        <v>2996</v>
      </c>
      <c r="H124" s="347">
        <f>PECO!H222</f>
        <v>2820</v>
      </c>
      <c r="I124" s="935">
        <f>PECO!I222</f>
        <v>2820</v>
      </c>
      <c r="J124" s="345">
        <f>PECO!J222</f>
        <v>3034</v>
      </c>
      <c r="K124" s="346">
        <f>PECO!K222</f>
        <v>3034</v>
      </c>
      <c r="L124" s="346">
        <f>PECO!L222</f>
        <v>2631</v>
      </c>
      <c r="M124" s="347">
        <f>PECO!M222</f>
        <v>2631</v>
      </c>
      <c r="N124" s="349">
        <f>PECO!N222</f>
        <v>2631</v>
      </c>
      <c r="O124" s="345">
        <f>PECO!O222</f>
        <v>2631</v>
      </c>
      <c r="P124" s="346">
        <f>PECO!P222</f>
        <v>2631</v>
      </c>
      <c r="Q124" s="346">
        <f>PECO!Q222</f>
        <v>2631</v>
      </c>
      <c r="R124" s="347">
        <f>PECO!R222</f>
        <v>2381</v>
      </c>
      <c r="S124" s="349">
        <f>PECO!S222</f>
        <v>2381</v>
      </c>
      <c r="T124" s="345">
        <f>PECO!T222</f>
        <v>2381</v>
      </c>
      <c r="U124" s="346">
        <f>PECO!U222</f>
        <v>2007</v>
      </c>
      <c r="V124" s="346">
        <f>PECO!V222</f>
        <v>2731</v>
      </c>
      <c r="W124" s="347">
        <f>PECO!W222</f>
        <v>2341</v>
      </c>
      <c r="X124" s="349">
        <f>PECO!X222</f>
        <v>2341</v>
      </c>
      <c r="Y124" s="345">
        <f>PECO!Y222</f>
        <v>2342</v>
      </c>
      <c r="Z124" s="346">
        <f>PECO!Z222</f>
        <v>2342</v>
      </c>
      <c r="AA124" s="346">
        <f>PECO!AA222</f>
        <v>2680</v>
      </c>
      <c r="AB124" s="347">
        <f>PECO!AB222</f>
        <v>2381</v>
      </c>
      <c r="AC124" s="349">
        <f>PECO!AC222</f>
        <v>2381</v>
      </c>
      <c r="AD124" s="345">
        <f>PECO!AD222</f>
        <v>2381</v>
      </c>
      <c r="AE124" s="346">
        <f>PECO!AE222</f>
        <v>2381</v>
      </c>
      <c r="AF124" s="346">
        <f>PECO!AF222</f>
        <v>2680</v>
      </c>
      <c r="AG124" s="347">
        <f>PECO!AG222</f>
        <v>2430</v>
      </c>
      <c r="AH124" s="349">
        <f>PECO!AH222</f>
        <v>2430</v>
      </c>
      <c r="AI124" s="345">
        <f>PECO!AI222</f>
        <v>2495</v>
      </c>
      <c r="AJ124" s="346">
        <f>PECO!AJ222</f>
        <v>2471</v>
      </c>
      <c r="AK124" s="346">
        <f>PECO!AK222</f>
        <v>2485</v>
      </c>
      <c r="AL124" s="347">
        <f>PECO!AL222</f>
        <v>2764</v>
      </c>
      <c r="AM124" s="349">
        <f>PECO!AM222</f>
        <v>2764</v>
      </c>
      <c r="AN124" s="345">
        <f>PECO!AN222</f>
        <v>2765</v>
      </c>
      <c r="AO124" s="346">
        <f>PECO!AO222</f>
        <v>2765</v>
      </c>
      <c r="AP124" s="346">
        <f>PECO!AP222</f>
        <v>3063</v>
      </c>
      <c r="AQ124" s="347">
        <f>PECO!AQ222</f>
        <v>2764</v>
      </c>
      <c r="AR124" s="349">
        <f>PECO!AR222</f>
        <v>2764</v>
      </c>
      <c r="AS124" s="345">
        <f>PECO!AS222</f>
        <v>2764</v>
      </c>
      <c r="AT124" s="346">
        <f>PECO!AT222</f>
        <v>2764</v>
      </c>
      <c r="AU124" s="346">
        <f>PECO!AU222</f>
        <v>3086</v>
      </c>
      <c r="AV124" s="347">
        <f>PECO!AV222</f>
        <v>3087</v>
      </c>
      <c r="AW124" s="349">
        <f>PECO!AW222</f>
        <v>3087</v>
      </c>
      <c r="AX124" s="345">
        <f ca="1">PECO!AX222</f>
        <v>2865.8777366521504</v>
      </c>
      <c r="AY124" s="346">
        <f ca="1">PECO!AY222</f>
        <v>2959.8953398517024</v>
      </c>
      <c r="AZ124" s="346">
        <f ca="1">PECO!AZ222</f>
        <v>3162</v>
      </c>
      <c r="BA124" s="347">
        <f ca="1">PECO!BA222</f>
        <v>3162</v>
      </c>
      <c r="BB124" s="349">
        <f ca="1">PECO!BB222</f>
        <v>3162</v>
      </c>
      <c r="BC124" s="345">
        <f ca="1">PECO!BC222</f>
        <v>3162</v>
      </c>
      <c r="BD124" s="346">
        <f ca="1">PECO!BD222</f>
        <v>3231.7299081939718</v>
      </c>
      <c r="BE124" s="346">
        <f ca="1">PECO!BE222</f>
        <v>3397</v>
      </c>
      <c r="BF124" s="347">
        <f ca="1">PECO!BF222</f>
        <v>3397</v>
      </c>
      <c r="BG124" s="349">
        <f ca="1">PECO!BG222</f>
        <v>3397</v>
      </c>
      <c r="BH124" s="345">
        <f ca="1">PECO!BH222</f>
        <v>3397</v>
      </c>
      <c r="BI124" s="346">
        <f ca="1">PECO!BI222</f>
        <v>3428.3234641599938</v>
      </c>
      <c r="BJ124" s="346">
        <f ca="1">PECO!BJ222</f>
        <v>3547</v>
      </c>
      <c r="BK124" s="347">
        <f ca="1">PECO!BK222</f>
        <v>3547</v>
      </c>
      <c r="BL124" s="349">
        <f ca="1">PECO!BL222</f>
        <v>3547</v>
      </c>
      <c r="BM124" s="345">
        <f ca="1">PECO!BM222</f>
        <v>3547</v>
      </c>
      <c r="BN124" s="346">
        <f ca="1">PECO!BN222</f>
        <v>3572.3342819010386</v>
      </c>
      <c r="BO124" s="346">
        <f ca="1">PECO!BO222</f>
        <v>3687</v>
      </c>
      <c r="BP124" s="347">
        <f ca="1">PECO!BP222</f>
        <v>3687</v>
      </c>
      <c r="BQ124" s="349">
        <f ca="1">PECO!BQ222</f>
        <v>3687</v>
      </c>
      <c r="BT124" s="45"/>
      <c r="DR124"/>
      <c r="DS124"/>
      <c r="DT124"/>
      <c r="DU124"/>
      <c r="DV124"/>
      <c r="DW124"/>
      <c r="DX124" s="37"/>
    </row>
    <row r="125" spans="2:129" s="28" customFormat="1">
      <c r="B125" s="40"/>
      <c r="C125" s="40" t="s">
        <v>1307</v>
      </c>
      <c r="E125" s="345"/>
      <c r="F125" s="346"/>
      <c r="G125" s="346"/>
      <c r="H125" s="347"/>
      <c r="I125" s="935"/>
      <c r="J125" s="345"/>
      <c r="K125" s="346"/>
      <c r="L125" s="346"/>
      <c r="M125" s="347"/>
      <c r="N125" s="349"/>
      <c r="O125" s="345"/>
      <c r="P125" s="346"/>
      <c r="Q125" s="346"/>
      <c r="R125" s="347"/>
      <c r="S125" s="349"/>
      <c r="T125" s="345">
        <f>BGE!T220</f>
        <v>2359</v>
      </c>
      <c r="U125" s="346">
        <f>BGE!U220</f>
        <v>2219</v>
      </c>
      <c r="V125" s="346">
        <f>BGE!V220</f>
        <v>2468</v>
      </c>
      <c r="W125" s="347">
        <f>BGE!W220</f>
        <v>2436</v>
      </c>
      <c r="X125" s="349">
        <f>BGE!X220</f>
        <v>2436</v>
      </c>
      <c r="Y125" s="345">
        <f>BGE!Y220</f>
        <v>2436</v>
      </c>
      <c r="Z125" s="346">
        <f>BGE!Z220</f>
        <v>2702</v>
      </c>
      <c r="AA125" s="346">
        <f>BGE!AA220</f>
        <v>2343</v>
      </c>
      <c r="AB125" s="347">
        <f>BGE!AB220</f>
        <v>2404</v>
      </c>
      <c r="AC125" s="349">
        <f>BGE!AC220</f>
        <v>2404</v>
      </c>
      <c r="AD125" s="345">
        <f>BGE!AD220</f>
        <v>2338</v>
      </c>
      <c r="AE125" s="346">
        <f>BGE!AE220</f>
        <v>2304</v>
      </c>
      <c r="AF125" s="346">
        <f>BGE!AF220</f>
        <v>2254</v>
      </c>
      <c r="AG125" s="347">
        <f>BGE!AG220</f>
        <v>2320</v>
      </c>
      <c r="AH125" s="349">
        <f>BGE!AH220</f>
        <v>2320</v>
      </c>
      <c r="AI125" s="345">
        <f>BGE!AI220</f>
        <v>2200</v>
      </c>
      <c r="AJ125" s="346">
        <f>BGE!AJ220</f>
        <v>2163</v>
      </c>
      <c r="AK125" s="346">
        <f>BGE!AK220</f>
        <v>2213</v>
      </c>
      <c r="AL125" s="347">
        <f>BGE!AL220</f>
        <v>2320</v>
      </c>
      <c r="AM125" s="349">
        <f>BGE!AM220</f>
        <v>2320</v>
      </c>
      <c r="AN125" s="345">
        <f>BGE!AN220</f>
        <v>2261</v>
      </c>
      <c r="AO125" s="346">
        <f>BGE!AO220</f>
        <v>2280</v>
      </c>
      <c r="AP125" s="346">
        <f>BGE!AP220</f>
        <v>2914</v>
      </c>
      <c r="AQ125" s="347">
        <f>BGE!AQ220</f>
        <v>2619</v>
      </c>
      <c r="AR125" s="349">
        <f>BGE!AR220</f>
        <v>2619</v>
      </c>
      <c r="AS125" s="345">
        <f>BGE!AS220</f>
        <v>2670</v>
      </c>
      <c r="AT125" s="346">
        <f>BGE!AT220</f>
        <v>2619</v>
      </c>
      <c r="AU125" s="346">
        <f>BGE!AU220</f>
        <v>2577</v>
      </c>
      <c r="AV125" s="347">
        <f>BGE!AV220</f>
        <v>2654</v>
      </c>
      <c r="AW125" s="349">
        <f>BGE!AW220</f>
        <v>2654</v>
      </c>
      <c r="AX125" s="345">
        <f ca="1">BGE!AX220</f>
        <v>2663.2649065852816</v>
      </c>
      <c r="AY125" s="346">
        <f ca="1">BGE!AY220</f>
        <v>2785.3342050032988</v>
      </c>
      <c r="AZ125" s="346">
        <f ca="1">BGE!AZ220</f>
        <v>3002</v>
      </c>
      <c r="BA125" s="347">
        <f ca="1">BGE!BA220</f>
        <v>3002</v>
      </c>
      <c r="BB125" s="349">
        <f ca="1">BGE!BB220</f>
        <v>3002</v>
      </c>
      <c r="BC125" s="345">
        <f ca="1">BGE!BC220</f>
        <v>3008.5943825016816</v>
      </c>
      <c r="BD125" s="346">
        <f ca="1">BGE!BD220</f>
        <v>3123.8645405910229</v>
      </c>
      <c r="BE125" s="346">
        <f ca="1">BGE!BE220</f>
        <v>3277</v>
      </c>
      <c r="BF125" s="347">
        <f ca="1">BGE!BF220</f>
        <v>3277</v>
      </c>
      <c r="BG125" s="349">
        <f ca="1">BGE!BG220</f>
        <v>3277</v>
      </c>
      <c r="BH125" s="345">
        <f ca="1">BGE!BH220</f>
        <v>3277</v>
      </c>
      <c r="BI125" s="346">
        <f ca="1">BGE!BI220</f>
        <v>3358.1495999599106</v>
      </c>
      <c r="BJ125" s="346">
        <f ca="1">BGE!BJ220</f>
        <v>3502</v>
      </c>
      <c r="BK125" s="347">
        <f ca="1">BGE!BK220</f>
        <v>3502</v>
      </c>
      <c r="BL125" s="349">
        <f ca="1">BGE!BL220</f>
        <v>3502</v>
      </c>
      <c r="BM125" s="345">
        <f ca="1">BGE!BM220</f>
        <v>3502</v>
      </c>
      <c r="BN125" s="346">
        <f ca="1">BGE!BN220</f>
        <v>3552.390411559285</v>
      </c>
      <c r="BO125" s="346">
        <f ca="1">BGE!BO220</f>
        <v>3952</v>
      </c>
      <c r="BP125" s="347">
        <f ca="1">BGE!BP220</f>
        <v>3652</v>
      </c>
      <c r="BQ125" s="349">
        <f ca="1">BGE!BQ220</f>
        <v>3652</v>
      </c>
      <c r="BT125" s="45"/>
      <c r="DR125"/>
      <c r="DS125"/>
      <c r="DT125"/>
      <c r="DU125"/>
      <c r="DV125"/>
      <c r="DW125"/>
      <c r="DX125" s="37"/>
    </row>
    <row r="126" spans="2:129" s="28" customFormat="1">
      <c r="B126" s="40"/>
      <c r="C126" s="391" t="s">
        <v>349</v>
      </c>
      <c r="E126" s="345"/>
      <c r="F126" s="346"/>
      <c r="G126" s="346"/>
      <c r="H126" s="347"/>
      <c r="I126" s="935"/>
      <c r="J126" s="345"/>
      <c r="K126" s="346"/>
      <c r="L126" s="346"/>
      <c r="M126" s="347"/>
      <c r="N126" s="349"/>
      <c r="O126" s="345"/>
      <c r="P126" s="346"/>
      <c r="Q126" s="346"/>
      <c r="R126" s="347"/>
      <c r="S126" s="349"/>
      <c r="T126" s="345"/>
      <c r="U126" s="346"/>
      <c r="V126" s="346"/>
      <c r="W126" s="347"/>
      <c r="X126" s="349"/>
      <c r="Y126" s="345"/>
      <c r="Z126" s="346"/>
      <c r="AA126" s="346"/>
      <c r="AB126" s="347"/>
      <c r="AC126" s="349"/>
      <c r="AD126" s="345"/>
      <c r="AE126" s="346"/>
      <c r="AF126" s="346"/>
      <c r="AG126" s="347"/>
      <c r="AH126" s="349"/>
      <c r="AI126" s="345"/>
      <c r="AJ126" s="346"/>
      <c r="AK126" s="346"/>
      <c r="AL126" s="347"/>
      <c r="AM126" s="349"/>
      <c r="AN126" s="345"/>
      <c r="AO126" s="346">
        <f>Pepco!AJ213</f>
        <v>2349</v>
      </c>
      <c r="AP126" s="346">
        <f>Pepco!AK213</f>
        <v>2350</v>
      </c>
      <c r="AQ126" s="347">
        <f>Pepco!AL213</f>
        <v>2372</v>
      </c>
      <c r="AR126" s="349">
        <f>Pepco!AM213</f>
        <v>2372</v>
      </c>
      <c r="AS126" s="345">
        <f>Pepco!AN213</f>
        <v>2517</v>
      </c>
      <c r="AT126" s="346">
        <f>Pepco!AO213</f>
        <v>2545</v>
      </c>
      <c r="AU126" s="346">
        <f>Pepco!AP213</f>
        <v>2546</v>
      </c>
      <c r="AV126" s="347">
        <f>Pepco!AQ213</f>
        <v>2566</v>
      </c>
      <c r="AW126" s="349">
        <f>Pepco!AR213</f>
        <v>2566</v>
      </c>
      <c r="AX126" s="345">
        <f ca="1">Pepco!AS213</f>
        <v>2628.10636454115</v>
      </c>
      <c r="AY126" s="346">
        <f ca="1">Pepco!AT213</f>
        <v>2694.37824499317</v>
      </c>
      <c r="AZ126" s="346">
        <f ca="1">Pepco!AU213</f>
        <v>2785</v>
      </c>
      <c r="BA126" s="347">
        <f ca="1">Pepco!AV213</f>
        <v>2785</v>
      </c>
      <c r="BB126" s="349">
        <f ca="1">Pepco!AW213</f>
        <v>2785</v>
      </c>
      <c r="BC126" s="345">
        <f ca="1">Pepco!AX213</f>
        <v>2835.8862631155566</v>
      </c>
      <c r="BD126" s="346">
        <f ca="1">Pepco!AY213</f>
        <v>2893.7520668043994</v>
      </c>
      <c r="BE126" s="346">
        <f ca="1">Pepco!AZ213</f>
        <v>2950</v>
      </c>
      <c r="BF126" s="347">
        <f ca="1">Pepco!BA213</f>
        <v>2950</v>
      </c>
      <c r="BG126" s="349">
        <f ca="1">Pepco!BB213</f>
        <v>2950</v>
      </c>
      <c r="BH126" s="345">
        <f ca="1">Pepco!BC213</f>
        <v>3013.1200499706201</v>
      </c>
      <c r="BI126" s="346">
        <f ca="1">Pepco!BD213</f>
        <v>3083.5894595375948</v>
      </c>
      <c r="BJ126" s="346">
        <f ca="1">Pepco!BE213</f>
        <v>3165</v>
      </c>
      <c r="BK126" s="347">
        <f ca="1">Pepco!BF213</f>
        <v>3165</v>
      </c>
      <c r="BL126" s="349">
        <f ca="1">Pepco!BG213</f>
        <v>3165</v>
      </c>
      <c r="BM126" s="345">
        <f ca="1">Pepco!BH213</f>
        <v>3235.0051516687172</v>
      </c>
      <c r="BN126" s="346">
        <f ca="1">Pepco!BI213</f>
        <v>3310.8722723215437</v>
      </c>
      <c r="BO126" s="346">
        <f ca="1">Pepco!BJ213</f>
        <v>3405</v>
      </c>
      <c r="BP126" s="347">
        <f ca="1">Pepco!BK213</f>
        <v>3405</v>
      </c>
      <c r="BQ126" s="349">
        <f ca="1">Pepco!BL213</f>
        <v>3405</v>
      </c>
      <c r="BT126" s="45"/>
      <c r="DR126"/>
      <c r="DS126"/>
      <c r="DT126"/>
      <c r="DU126"/>
      <c r="DV126"/>
      <c r="DW126"/>
      <c r="DX126" s="37"/>
    </row>
    <row r="127" spans="2:129" s="28" customFormat="1">
      <c r="B127" s="40"/>
      <c r="C127" s="391" t="s">
        <v>350</v>
      </c>
      <c r="E127" s="345"/>
      <c r="F127" s="346"/>
      <c r="G127" s="346"/>
      <c r="H127" s="347"/>
      <c r="I127" s="935"/>
      <c r="J127" s="345"/>
      <c r="K127" s="346"/>
      <c r="L127" s="346"/>
      <c r="M127" s="347"/>
      <c r="N127" s="349"/>
      <c r="O127" s="345"/>
      <c r="P127" s="346"/>
      <c r="Q127" s="346"/>
      <c r="R127" s="347"/>
      <c r="S127" s="349"/>
      <c r="T127" s="345"/>
      <c r="U127" s="346"/>
      <c r="V127" s="346"/>
      <c r="W127" s="347"/>
      <c r="X127" s="349"/>
      <c r="Y127" s="345"/>
      <c r="Z127" s="346"/>
      <c r="AA127" s="346"/>
      <c r="AB127" s="347"/>
      <c r="AC127" s="349"/>
      <c r="AD127" s="345"/>
      <c r="AE127" s="346"/>
      <c r="AF127" s="346"/>
      <c r="AG127" s="347"/>
      <c r="AH127" s="349"/>
      <c r="AI127" s="345"/>
      <c r="AJ127" s="346"/>
      <c r="AK127" s="346"/>
      <c r="AL127" s="347"/>
      <c r="AM127" s="349"/>
      <c r="AN127" s="345"/>
      <c r="AO127" s="346">
        <f>DPL!AJ245</f>
        <v>1265</v>
      </c>
      <c r="AP127" s="346">
        <f>DPL!AK245</f>
        <v>1282</v>
      </c>
      <c r="AQ127" s="347">
        <f>DPL!AL245</f>
        <v>1340</v>
      </c>
      <c r="AR127" s="349">
        <f>DPL!AM245</f>
        <v>1340</v>
      </c>
      <c r="AS127" s="345">
        <f>DPL!AN245</f>
        <v>1326</v>
      </c>
      <c r="AT127" s="346">
        <f>DPL!AO245</f>
        <v>1351</v>
      </c>
      <c r="AU127" s="346">
        <f>DPL!AP245</f>
        <v>1380</v>
      </c>
      <c r="AV127" s="347">
        <f>DPL!AQ245</f>
        <v>1516</v>
      </c>
      <c r="AW127" s="349">
        <f>DPL!AR245</f>
        <v>1516</v>
      </c>
      <c r="AX127" s="345">
        <f ca="1">DPL!AS245</f>
        <v>1507.8700451504756</v>
      </c>
      <c r="AY127" s="346">
        <f ca="1">DPL!AT245</f>
        <v>1528.5812318866765</v>
      </c>
      <c r="AZ127" s="346">
        <f ca="1">DPL!AU245</f>
        <v>1551</v>
      </c>
      <c r="BA127" s="347">
        <f ca="1">DPL!AV245</f>
        <v>1551</v>
      </c>
      <c r="BB127" s="349">
        <f ca="1">DPL!AW245</f>
        <v>1551</v>
      </c>
      <c r="BC127" s="345">
        <f ca="1">DPL!AX245</f>
        <v>1551</v>
      </c>
      <c r="BD127" s="346">
        <f ca="1">DPL!AY245</f>
        <v>1571.947998748966</v>
      </c>
      <c r="BE127" s="346">
        <f ca="1">DPL!AZ245</f>
        <v>1604</v>
      </c>
      <c r="BF127" s="347">
        <f ca="1">DPL!BA245</f>
        <v>1604</v>
      </c>
      <c r="BG127" s="349">
        <f ca="1">DPL!BB245</f>
        <v>1604</v>
      </c>
      <c r="BH127" s="345">
        <f ca="1">DPL!BC245</f>
        <v>1604</v>
      </c>
      <c r="BI127" s="346">
        <f ca="1">DPL!BD245</f>
        <v>1623.2690038385419</v>
      </c>
      <c r="BJ127" s="346">
        <f ca="1">DPL!BE245</f>
        <v>1654</v>
      </c>
      <c r="BK127" s="347">
        <f ca="1">DPL!BF245</f>
        <v>1654</v>
      </c>
      <c r="BL127" s="349">
        <f ca="1">DPL!BG245</f>
        <v>1654</v>
      </c>
      <c r="BM127" s="345">
        <f ca="1">DPL!BH245</f>
        <v>1654</v>
      </c>
      <c r="BN127" s="346">
        <f ca="1">DPL!BI245</f>
        <v>1669.1805306809558</v>
      </c>
      <c r="BO127" s="346">
        <f ca="1">DPL!BJ245</f>
        <v>1699</v>
      </c>
      <c r="BP127" s="347">
        <f ca="1">DPL!BK245</f>
        <v>1699</v>
      </c>
      <c r="BQ127" s="349">
        <f ca="1">DPL!BL245</f>
        <v>1699</v>
      </c>
      <c r="BT127" s="45"/>
      <c r="DR127"/>
      <c r="DS127"/>
      <c r="DT127"/>
      <c r="DU127"/>
      <c r="DV127"/>
      <c r="DW127"/>
      <c r="DX127" s="37"/>
    </row>
    <row r="128" spans="2:129" s="28" customFormat="1">
      <c r="B128" s="40"/>
      <c r="C128" s="391" t="s">
        <v>779</v>
      </c>
      <c r="E128" s="345"/>
      <c r="F128" s="346"/>
      <c r="G128" s="346"/>
      <c r="H128" s="347"/>
      <c r="I128" s="935"/>
      <c r="J128" s="345"/>
      <c r="K128" s="346"/>
      <c r="L128" s="346"/>
      <c r="M128" s="347"/>
      <c r="N128" s="349"/>
      <c r="O128" s="345"/>
      <c r="P128" s="346"/>
      <c r="Q128" s="346"/>
      <c r="R128" s="347"/>
      <c r="S128" s="349"/>
      <c r="T128" s="345"/>
      <c r="U128" s="346"/>
      <c r="V128" s="346"/>
      <c r="W128" s="347"/>
      <c r="X128" s="349"/>
      <c r="Y128" s="345"/>
      <c r="Z128" s="346"/>
      <c r="AA128" s="346"/>
      <c r="AB128" s="347"/>
      <c r="AC128" s="349"/>
      <c r="AD128" s="345"/>
      <c r="AE128" s="346"/>
      <c r="AF128" s="346"/>
      <c r="AG128" s="347"/>
      <c r="AH128" s="349"/>
      <c r="AI128" s="345"/>
      <c r="AJ128" s="346"/>
      <c r="AK128" s="346"/>
      <c r="AL128" s="347"/>
      <c r="AM128" s="349"/>
      <c r="AN128" s="345"/>
      <c r="AO128" s="346">
        <f>ACE!AJ212</f>
        <v>1180</v>
      </c>
      <c r="AP128" s="346">
        <f>ACE!AK212</f>
        <v>1167</v>
      </c>
      <c r="AQ128" s="347">
        <f>ACE!AL212</f>
        <v>1155</v>
      </c>
      <c r="AR128" s="349">
        <f>ACE!AM212</f>
        <v>1155</v>
      </c>
      <c r="AS128" s="345">
        <f>ACE!AN212</f>
        <v>1145</v>
      </c>
      <c r="AT128" s="346">
        <f>ACE!AO212</f>
        <v>1180</v>
      </c>
      <c r="AU128" s="346">
        <f>ACE!AP212</f>
        <v>1195</v>
      </c>
      <c r="AV128" s="347">
        <f>ACE!AQ212</f>
        <v>1229</v>
      </c>
      <c r="AW128" s="349">
        <f>ACE!AR212</f>
        <v>1229</v>
      </c>
      <c r="AX128" s="345">
        <f ca="1">ACE!AS212</f>
        <v>1255.2539387828206</v>
      </c>
      <c r="AY128" s="346">
        <f ca="1">ACE!AT212</f>
        <v>1281.470062605049</v>
      </c>
      <c r="AZ128" s="346">
        <f ca="1">ACE!AU212</f>
        <v>1295</v>
      </c>
      <c r="BA128" s="347">
        <f ca="1">ACE!AV212</f>
        <v>1295</v>
      </c>
      <c r="BB128" s="349">
        <f ca="1">ACE!AW212</f>
        <v>1295</v>
      </c>
      <c r="BC128" s="345">
        <f ca="1">ACE!AX212</f>
        <v>1325.1240850026747</v>
      </c>
      <c r="BD128" s="346">
        <f ca="1">ACE!AY212</f>
        <v>1358.995662269245</v>
      </c>
      <c r="BE128" s="346">
        <f ca="1">ACE!AZ212</f>
        <v>1372</v>
      </c>
      <c r="BF128" s="347">
        <f ca="1">ACE!BA212</f>
        <v>1373.3475485892795</v>
      </c>
      <c r="BG128" s="349">
        <f ca="1">ACE!BB212</f>
        <v>1373.3475485892795</v>
      </c>
      <c r="BH128" s="345">
        <f ca="1">ACE!BC212</f>
        <v>1404.6437594780239</v>
      </c>
      <c r="BI128" s="346">
        <f ca="1">ACE!BD212</f>
        <v>1433.6062094749957</v>
      </c>
      <c r="BJ128" s="346">
        <f ca="1">ACE!BE212</f>
        <v>1447</v>
      </c>
      <c r="BK128" s="347">
        <f ca="1">ACE!BF212</f>
        <v>1447.9935819166492</v>
      </c>
      <c r="BL128" s="349">
        <f ca="1">ACE!BG212</f>
        <v>1447.9935819166492</v>
      </c>
      <c r="BM128" s="345">
        <f ca="1">ACE!BH212</f>
        <v>1468.6066561245127</v>
      </c>
      <c r="BN128" s="346">
        <f ca="1">ACE!BI212</f>
        <v>1486.670359200672</v>
      </c>
      <c r="BO128" s="346">
        <f ca="1">ACE!BJ212</f>
        <v>1483.135</v>
      </c>
      <c r="BP128" s="347">
        <f ca="1">ACE!BK212</f>
        <v>1483.135</v>
      </c>
      <c r="BQ128" s="349">
        <f ca="1">ACE!BL212</f>
        <v>1483.135</v>
      </c>
      <c r="BT128" s="45"/>
      <c r="DR128"/>
      <c r="DS128"/>
      <c r="DT128"/>
      <c r="DU128"/>
      <c r="DV128"/>
      <c r="DW128"/>
      <c r="DX128" s="37"/>
    </row>
    <row r="129" spans="2:128" s="28" customFormat="1">
      <c r="B129" s="40"/>
      <c r="C129" s="40" t="s">
        <v>116</v>
      </c>
      <c r="E129" s="345">
        <f>E130-SUM(E122:E125)</f>
        <v>2246</v>
      </c>
      <c r="F129" s="346">
        <f>F130-SUM(F122:F125)</f>
        <v>2210</v>
      </c>
      <c r="G129" s="346">
        <f>G130-SUM(G122:G125)</f>
        <v>1824</v>
      </c>
      <c r="H129" s="347">
        <f>H130-SUM(H122:H125)</f>
        <v>1709</v>
      </c>
      <c r="I129" s="935">
        <f t="shared" ref="I129:AF129" si="200">I130-SUM(I122:I128)</f>
        <v>1709</v>
      </c>
      <c r="J129" s="345">
        <f t="shared" si="200"/>
        <v>1710</v>
      </c>
      <c r="K129" s="346">
        <f t="shared" si="200"/>
        <v>1314</v>
      </c>
      <c r="L129" s="346">
        <f t="shared" si="200"/>
        <v>1315</v>
      </c>
      <c r="M129" s="347">
        <f t="shared" si="200"/>
        <v>1311</v>
      </c>
      <c r="N129" s="349">
        <f t="shared" si="200"/>
        <v>1311</v>
      </c>
      <c r="O129" s="345">
        <f t="shared" si="200"/>
        <v>1310</v>
      </c>
      <c r="P129" s="346">
        <f t="shared" si="200"/>
        <v>1451</v>
      </c>
      <c r="Q129" s="346">
        <f t="shared" si="200"/>
        <v>1703</v>
      </c>
      <c r="R129" s="347">
        <f t="shared" si="200"/>
        <v>1474</v>
      </c>
      <c r="S129" s="349">
        <f t="shared" si="200"/>
        <v>1474</v>
      </c>
      <c r="T129" s="345">
        <f t="shared" si="200"/>
        <v>1534</v>
      </c>
      <c r="U129" s="346">
        <f t="shared" si="200"/>
        <v>2285</v>
      </c>
      <c r="V129" s="346">
        <f t="shared" si="200"/>
        <v>1598</v>
      </c>
      <c r="W129" s="347">
        <f t="shared" si="200"/>
        <v>1570</v>
      </c>
      <c r="X129" s="349">
        <f t="shared" si="200"/>
        <v>1570</v>
      </c>
      <c r="Y129" s="345">
        <f t="shared" si="200"/>
        <v>1556</v>
      </c>
      <c r="Z129" s="346">
        <f t="shared" si="200"/>
        <v>1545</v>
      </c>
      <c r="AA129" s="346">
        <f t="shared" si="200"/>
        <v>1541</v>
      </c>
      <c r="AB129" s="347">
        <f t="shared" si="200"/>
        <v>1520</v>
      </c>
      <c r="AC129" s="349">
        <f t="shared" si="200"/>
        <v>1520</v>
      </c>
      <c r="AD129" s="345">
        <f t="shared" si="200"/>
        <v>1515</v>
      </c>
      <c r="AE129" s="346">
        <f t="shared" si="200"/>
        <v>2792</v>
      </c>
      <c r="AF129" s="346">
        <f t="shared" si="200"/>
        <v>2764</v>
      </c>
      <c r="AG129" s="347">
        <f t="shared" ref="AG129:AK129" si="201">AG130-SUM(AG122:AG128)</f>
        <v>2752</v>
      </c>
      <c r="AH129" s="349">
        <f t="shared" si="201"/>
        <v>2752</v>
      </c>
      <c r="AI129" s="345">
        <f t="shared" si="201"/>
        <v>1740</v>
      </c>
      <c r="AJ129" s="346">
        <f t="shared" si="201"/>
        <v>5516</v>
      </c>
      <c r="AK129" s="346">
        <f t="shared" si="201"/>
        <v>4931</v>
      </c>
      <c r="AL129" s="347">
        <f t="shared" ref="AL129:AM129" si="202">AL130-SUM(AL122:AL128)</f>
        <v>3987</v>
      </c>
      <c r="AM129" s="349">
        <f t="shared" si="202"/>
        <v>3987</v>
      </c>
      <c r="AN129" s="345">
        <f t="shared" ref="AN129:BB129" si="203">AN130-SUM(AN122:AN128)</f>
        <v>12625</v>
      </c>
      <c r="AO129" s="346">
        <f t="shared" si="203"/>
        <v>7961</v>
      </c>
      <c r="AP129" s="346">
        <f t="shared" si="203"/>
        <v>8273</v>
      </c>
      <c r="AQ129" s="347">
        <f t="shared" si="203"/>
        <v>8430</v>
      </c>
      <c r="AR129" s="349">
        <f t="shared" si="203"/>
        <v>8430</v>
      </c>
      <c r="AS129" s="345">
        <f t="shared" si="203"/>
        <v>8601</v>
      </c>
      <c r="AT129" s="346">
        <f t="shared" ref="AT129" si="204">AT130-SUM(AT122:AT128)</f>
        <v>7522</v>
      </c>
      <c r="AU129" s="346">
        <f t="shared" ref="AU129" si="205">AU130-SUM(AU122:AU128)</f>
        <v>7609</v>
      </c>
      <c r="AV129" s="347">
        <f t="shared" si="203"/>
        <v>7678</v>
      </c>
      <c r="AW129" s="349">
        <f t="shared" si="203"/>
        <v>7678</v>
      </c>
      <c r="AX129" s="345">
        <f t="shared" ca="1" si="203"/>
        <v>6989.0092147621399</v>
      </c>
      <c r="AY129" s="346">
        <f t="shared" ca="1" si="203"/>
        <v>7118.4263267426359</v>
      </c>
      <c r="AZ129" s="346">
        <f t="shared" ca="1" si="203"/>
        <v>7232</v>
      </c>
      <c r="BA129" s="347">
        <f t="shared" ca="1" si="203"/>
        <v>7232</v>
      </c>
      <c r="BB129" s="349">
        <f t="shared" ca="1" si="203"/>
        <v>7232</v>
      </c>
      <c r="BC129" s="345">
        <f t="shared" ref="BC129:BL129" ca="1" si="206">BC130-SUM(BC122:BC128)</f>
        <v>7103.7977527257754</v>
      </c>
      <c r="BD129" s="346">
        <f t="shared" ca="1" si="206"/>
        <v>6698.3234263134473</v>
      </c>
      <c r="BE129" s="346">
        <f t="shared" ca="1" si="206"/>
        <v>7232</v>
      </c>
      <c r="BF129" s="347">
        <f t="shared" ca="1" si="206"/>
        <v>7230.6524514107223</v>
      </c>
      <c r="BG129" s="349">
        <f t="shared" ca="1" si="206"/>
        <v>7230.6524514107223</v>
      </c>
      <c r="BH129" s="345">
        <f t="shared" ca="1" si="206"/>
        <v>7455.39331439124</v>
      </c>
      <c r="BI129" s="346">
        <f t="shared" ca="1" si="206"/>
        <v>7607.0502173436143</v>
      </c>
      <c r="BJ129" s="346">
        <f t="shared" ca="1" si="206"/>
        <v>7782</v>
      </c>
      <c r="BK129" s="347">
        <f t="shared" ca="1" si="206"/>
        <v>7912.5932819629707</v>
      </c>
      <c r="BL129" s="349">
        <f t="shared" ca="1" si="206"/>
        <v>7912.5932819629707</v>
      </c>
      <c r="BM129" s="345">
        <f t="shared" ref="BM129:BQ129" ca="1" si="207">BM130-SUM(BM122:BM128)</f>
        <v>7897.8064442499344</v>
      </c>
      <c r="BN129" s="346">
        <f t="shared" ca="1" si="207"/>
        <v>7992.2340148283402</v>
      </c>
      <c r="BO129" s="346">
        <f t="shared" ca="1" si="207"/>
        <v>7775.6714408558437</v>
      </c>
      <c r="BP129" s="347">
        <f t="shared" ca="1" si="207"/>
        <v>7907.8313609128454</v>
      </c>
      <c r="BQ129" s="349">
        <f t="shared" ca="1" si="207"/>
        <v>7907.8313609128454</v>
      </c>
      <c r="BT129" s="45"/>
      <c r="DR129"/>
      <c r="DS129"/>
      <c r="DT129"/>
      <c r="DU129"/>
      <c r="DV129"/>
      <c r="DW129"/>
      <c r="DX129" s="37"/>
    </row>
    <row r="130" spans="2:128" s="28" customFormat="1">
      <c r="B130" s="156"/>
      <c r="C130" s="156" t="s">
        <v>399</v>
      </c>
      <c r="E130" s="350">
        <f t="shared" ref="E130:AF130" si="208">E232</f>
        <v>13164</v>
      </c>
      <c r="F130" s="351">
        <f t="shared" si="208"/>
        <v>12882</v>
      </c>
      <c r="G130" s="351">
        <f t="shared" si="208"/>
        <v>13015</v>
      </c>
      <c r="H130" s="352">
        <f t="shared" si="208"/>
        <v>12594</v>
      </c>
      <c r="I130" s="934">
        <f t="shared" si="208"/>
        <v>12594</v>
      </c>
      <c r="J130" s="350">
        <f t="shared" si="208"/>
        <v>12910</v>
      </c>
      <c r="K130" s="351">
        <f t="shared" si="208"/>
        <v>12334</v>
      </c>
      <c r="L130" s="351">
        <f t="shared" si="208"/>
        <v>12895</v>
      </c>
      <c r="M130" s="352">
        <f t="shared" si="208"/>
        <v>12828</v>
      </c>
      <c r="N130" s="348">
        <f t="shared" si="208"/>
        <v>12828</v>
      </c>
      <c r="O130" s="350">
        <f t="shared" si="208"/>
        <v>13476</v>
      </c>
      <c r="P130" s="351">
        <f t="shared" si="208"/>
        <v>13567</v>
      </c>
      <c r="Q130" s="351">
        <f t="shared" si="208"/>
        <v>14491</v>
      </c>
      <c r="R130" s="352">
        <f t="shared" si="208"/>
        <v>13405</v>
      </c>
      <c r="S130" s="348">
        <f t="shared" si="208"/>
        <v>13405</v>
      </c>
      <c r="T130" s="350">
        <f t="shared" si="208"/>
        <v>18757</v>
      </c>
      <c r="U130" s="351">
        <f t="shared" si="208"/>
        <v>19365</v>
      </c>
      <c r="V130" s="351">
        <f t="shared" si="208"/>
        <v>19649</v>
      </c>
      <c r="W130" s="352">
        <f t="shared" si="208"/>
        <v>19603</v>
      </c>
      <c r="X130" s="348">
        <f t="shared" si="208"/>
        <v>19603</v>
      </c>
      <c r="Y130" s="350">
        <f t="shared" si="208"/>
        <v>19962</v>
      </c>
      <c r="Z130" s="351">
        <f t="shared" si="208"/>
        <v>20121</v>
      </c>
      <c r="AA130" s="351">
        <f t="shared" si="208"/>
        <v>20427</v>
      </c>
      <c r="AB130" s="352">
        <f t="shared" si="208"/>
        <v>20121</v>
      </c>
      <c r="AC130" s="348">
        <f t="shared" si="208"/>
        <v>20121</v>
      </c>
      <c r="AD130" s="350">
        <f t="shared" si="208"/>
        <v>20548</v>
      </c>
      <c r="AE130" s="351">
        <f t="shared" si="208"/>
        <v>21449</v>
      </c>
      <c r="AF130" s="351">
        <f t="shared" si="208"/>
        <v>22474</v>
      </c>
      <c r="AG130" s="352">
        <f t="shared" ref="AG130:AK130" si="209">AG232</f>
        <v>22272</v>
      </c>
      <c r="AH130" s="348">
        <f t="shared" si="209"/>
        <v>22272</v>
      </c>
      <c r="AI130" s="350">
        <f t="shared" si="209"/>
        <v>22736</v>
      </c>
      <c r="AJ130" s="351">
        <f t="shared" si="209"/>
        <v>26637</v>
      </c>
      <c r="AK130" s="351">
        <f t="shared" si="209"/>
        <v>26761</v>
      </c>
      <c r="AL130" s="352">
        <f t="shared" ref="AL130:AM130" si="210">AL232</f>
        <v>26319</v>
      </c>
      <c r="AM130" s="348">
        <f t="shared" si="210"/>
        <v>26319</v>
      </c>
      <c r="AN130" s="350">
        <f t="shared" ref="AN130:BB130" si="211">AN232</f>
        <v>35653</v>
      </c>
      <c r="AO130" s="351">
        <f t="shared" si="211"/>
        <v>35826</v>
      </c>
      <c r="AP130" s="351">
        <f t="shared" si="211"/>
        <v>36051</v>
      </c>
      <c r="AQ130" s="352">
        <f t="shared" si="211"/>
        <v>35913</v>
      </c>
      <c r="AR130" s="348">
        <f t="shared" si="211"/>
        <v>35913</v>
      </c>
      <c r="AS130" s="350">
        <f t="shared" si="211"/>
        <v>37378</v>
      </c>
      <c r="AT130" s="351">
        <f t="shared" ref="AT130" si="212">AT232</f>
        <v>36332</v>
      </c>
      <c r="AU130" s="351">
        <f t="shared" ref="AU130" si="213">AU232</f>
        <v>35964</v>
      </c>
      <c r="AV130" s="352">
        <f t="shared" si="211"/>
        <v>35582</v>
      </c>
      <c r="AW130" s="348">
        <f t="shared" si="211"/>
        <v>35582</v>
      </c>
      <c r="AX130" s="350">
        <f t="shared" si="211"/>
        <v>34794.972478884658</v>
      </c>
      <c r="AY130" s="351">
        <f t="shared" ca="1" si="211"/>
        <v>35318.737132763948</v>
      </c>
      <c r="AZ130" s="351">
        <f t="shared" ca="1" si="211"/>
        <v>36392</v>
      </c>
      <c r="BA130" s="352">
        <f t="shared" ca="1" si="211"/>
        <v>36392</v>
      </c>
      <c r="BB130" s="348">
        <f t="shared" ca="1" si="211"/>
        <v>36392</v>
      </c>
      <c r="BC130" s="350">
        <f t="shared" ref="BC130:BL130" ca="1" si="214">BC232</f>
        <v>36392</v>
      </c>
      <c r="BD130" s="351">
        <f t="shared" ca="1" si="214"/>
        <v>36392</v>
      </c>
      <c r="BE130" s="351">
        <f t="shared" ca="1" si="214"/>
        <v>37618</v>
      </c>
      <c r="BF130" s="352">
        <f t="shared" ca="1" si="214"/>
        <v>37018</v>
      </c>
      <c r="BG130" s="348">
        <f t="shared" ca="1" si="214"/>
        <v>37018</v>
      </c>
      <c r="BH130" s="350">
        <f t="shared" ca="1" si="214"/>
        <v>36389.674677304036</v>
      </c>
      <c r="BI130" s="351">
        <f t="shared" ca="1" si="214"/>
        <v>36905.363024999591</v>
      </c>
      <c r="BJ130" s="351">
        <f t="shared" ca="1" si="214"/>
        <v>37347.53</v>
      </c>
      <c r="BK130" s="352">
        <f t="shared" ca="1" si="214"/>
        <v>37256.874507100125</v>
      </c>
      <c r="BL130" s="348">
        <f t="shared" ca="1" si="214"/>
        <v>37256.874507100125</v>
      </c>
      <c r="BM130" s="350">
        <f t="shared" ref="BM130:BQ130" ca="1" si="215">BM232</f>
        <v>37165.68559524243</v>
      </c>
      <c r="BN130" s="351">
        <f t="shared" ca="1" si="215"/>
        <v>37448.579534865865</v>
      </c>
      <c r="BO130" s="351">
        <f t="shared" ca="1" si="215"/>
        <v>37847.665000000001</v>
      </c>
      <c r="BP130" s="352">
        <f t="shared" ca="1" si="215"/>
        <v>37547.665000000001</v>
      </c>
      <c r="BQ130" s="348">
        <f t="shared" ca="1" si="215"/>
        <v>37547.665000000001</v>
      </c>
      <c r="BT130" s="45"/>
      <c r="DR130"/>
      <c r="DS130"/>
      <c r="DT130"/>
      <c r="DU130"/>
      <c r="DV130"/>
      <c r="DW130"/>
      <c r="DX130" s="37"/>
    </row>
    <row r="131" spans="2:128" s="28" customFormat="1">
      <c r="B131" s="40"/>
      <c r="C131" s="40"/>
      <c r="E131" s="284"/>
      <c r="F131" s="241"/>
      <c r="G131" s="241"/>
      <c r="H131" s="285"/>
      <c r="I131" s="946"/>
      <c r="J131" s="284"/>
      <c r="K131" s="241"/>
      <c r="L131" s="241"/>
      <c r="M131" s="285"/>
      <c r="N131" s="25"/>
      <c r="O131" s="284"/>
      <c r="P131" s="241"/>
      <c r="Q131" s="241"/>
      <c r="R131" s="285"/>
      <c r="S131" s="25"/>
      <c r="T131" s="284"/>
      <c r="U131" s="241"/>
      <c r="V131" s="346"/>
      <c r="W131" s="347"/>
      <c r="X131" s="349"/>
      <c r="Y131" s="345"/>
      <c r="Z131" s="241"/>
      <c r="AA131" s="346"/>
      <c r="AB131" s="347"/>
      <c r="AC131" s="349"/>
      <c r="AD131" s="345"/>
      <c r="AE131" s="241"/>
      <c r="AF131" s="346"/>
      <c r="AG131" s="347"/>
      <c r="AH131" s="349"/>
      <c r="AI131" s="345"/>
      <c r="AJ131" s="241"/>
      <c r="AK131" s="346"/>
      <c r="AL131" s="347"/>
      <c r="AM131" s="349"/>
      <c r="AN131" s="345"/>
      <c r="AO131" s="241"/>
      <c r="AP131" s="346"/>
      <c r="AQ131" s="347"/>
      <c r="AR131" s="349"/>
      <c r="AS131" s="345"/>
      <c r="AT131" s="346"/>
      <c r="AU131" s="346"/>
      <c r="AV131" s="347"/>
      <c r="AW131" s="349"/>
      <c r="AX131" s="345"/>
      <c r="AY131" s="346"/>
      <c r="AZ131" s="346"/>
      <c r="BA131" s="347"/>
      <c r="BB131" s="349"/>
      <c r="BC131" s="345"/>
      <c r="BD131" s="346"/>
      <c r="BE131" s="346"/>
      <c r="BF131" s="347"/>
      <c r="BG131" s="349"/>
      <c r="BH131" s="345"/>
      <c r="BI131" s="346"/>
      <c r="BJ131" s="346"/>
      <c r="BK131" s="347"/>
      <c r="BL131" s="349"/>
      <c r="BM131" s="345"/>
      <c r="BN131" s="346"/>
      <c r="BO131" s="346"/>
      <c r="BP131" s="347"/>
      <c r="BQ131" s="349"/>
      <c r="BT131" s="45"/>
      <c r="DR131"/>
      <c r="DS131"/>
      <c r="DT131"/>
      <c r="DU131"/>
      <c r="DV131"/>
      <c r="DW131"/>
      <c r="DX131" s="37"/>
    </row>
    <row r="132" spans="2:128" s="28" customFormat="1">
      <c r="B132" s="40"/>
      <c r="C132" s="40" t="s">
        <v>948</v>
      </c>
      <c r="E132" s="345">
        <f>+E123+E124+E125+E129</f>
        <v>10697</v>
      </c>
      <c r="F132" s="346">
        <f>+F123+F124+F125+F129</f>
        <v>10369</v>
      </c>
      <c r="G132" s="346">
        <f>+G123+G124+G125+G129</f>
        <v>9876</v>
      </c>
      <c r="H132" s="347">
        <f>+H123+H124+H125+H129</f>
        <v>9601</v>
      </c>
      <c r="I132" s="935">
        <f t="shared" ref="I132:AF132" si="216">+I123+I124+I125+I129+I126+I127+I128</f>
        <v>9601</v>
      </c>
      <c r="J132" s="345">
        <f t="shared" si="216"/>
        <v>9918</v>
      </c>
      <c r="K132" s="346">
        <f t="shared" si="216"/>
        <v>9555</v>
      </c>
      <c r="L132" s="346">
        <f t="shared" si="216"/>
        <v>9218</v>
      </c>
      <c r="M132" s="347">
        <f t="shared" si="216"/>
        <v>9149</v>
      </c>
      <c r="N132" s="349">
        <f t="shared" si="216"/>
        <v>9149</v>
      </c>
      <c r="O132" s="345">
        <f t="shared" si="216"/>
        <v>9798</v>
      </c>
      <c r="P132" s="346">
        <f t="shared" si="216"/>
        <v>9889</v>
      </c>
      <c r="Q132" s="346">
        <f t="shared" si="216"/>
        <v>10742</v>
      </c>
      <c r="R132" s="347">
        <f t="shared" si="216"/>
        <v>9726</v>
      </c>
      <c r="S132" s="349">
        <f t="shared" si="216"/>
        <v>9726</v>
      </c>
      <c r="T132" s="345">
        <f t="shared" si="216"/>
        <v>11997</v>
      </c>
      <c r="U132" s="346">
        <f t="shared" si="216"/>
        <v>11986</v>
      </c>
      <c r="V132" s="346">
        <f t="shared" si="216"/>
        <v>12255</v>
      </c>
      <c r="W132" s="347">
        <f t="shared" si="216"/>
        <v>12120</v>
      </c>
      <c r="X132" s="349">
        <f t="shared" si="216"/>
        <v>12120</v>
      </c>
      <c r="Y132" s="345">
        <f t="shared" si="216"/>
        <v>12328</v>
      </c>
      <c r="Z132" s="346">
        <f t="shared" si="216"/>
        <v>12620</v>
      </c>
      <c r="AA132" s="346">
        <f t="shared" si="216"/>
        <v>12597</v>
      </c>
      <c r="AB132" s="347">
        <f t="shared" si="216"/>
        <v>12370</v>
      </c>
      <c r="AC132" s="349">
        <f t="shared" si="216"/>
        <v>12370</v>
      </c>
      <c r="AD132" s="345">
        <f t="shared" si="216"/>
        <v>12681</v>
      </c>
      <c r="AE132" s="346">
        <f t="shared" si="216"/>
        <v>13889</v>
      </c>
      <c r="AF132" s="346">
        <f t="shared" si="216"/>
        <v>14140</v>
      </c>
      <c r="AG132" s="347">
        <f t="shared" ref="AG132:AK132" si="217">+AG123+AG124+AG125+AG129+AG126+AG127+AG128</f>
        <v>13970</v>
      </c>
      <c r="AH132" s="349">
        <f t="shared" si="217"/>
        <v>13970</v>
      </c>
      <c r="AI132" s="345">
        <f t="shared" si="217"/>
        <v>13283</v>
      </c>
      <c r="AJ132" s="346">
        <f t="shared" si="217"/>
        <v>16958</v>
      </c>
      <c r="AK132" s="346">
        <f t="shared" si="217"/>
        <v>16539</v>
      </c>
      <c r="AL132" s="347">
        <f t="shared" ref="AL132:AM132" si="218">+AL123+AL124+AL125+AL129+AL126+AL127+AL128</f>
        <v>16079</v>
      </c>
      <c r="AM132" s="349">
        <f t="shared" si="218"/>
        <v>16079</v>
      </c>
      <c r="AN132" s="345">
        <f t="shared" ref="AN132:BB132" si="219">+AN123+AN124+AN125+AN129+AN126+AN127+AN128</f>
        <v>25009</v>
      </c>
      <c r="AO132" s="346">
        <f t="shared" si="219"/>
        <v>25735</v>
      </c>
      <c r="AP132" s="346">
        <f t="shared" si="219"/>
        <v>26295</v>
      </c>
      <c r="AQ132" s="347">
        <f t="shared" si="219"/>
        <v>25918</v>
      </c>
      <c r="AR132" s="349">
        <f t="shared" si="219"/>
        <v>25918</v>
      </c>
      <c r="AS132" s="345">
        <f t="shared" si="219"/>
        <v>26628</v>
      </c>
      <c r="AT132" s="346">
        <f t="shared" ref="AT132" si="220">+AT123+AT124+AT125+AT129+AT126+AT127+AT128</f>
        <v>25611</v>
      </c>
      <c r="AU132" s="346">
        <f t="shared" ref="AU132" si="221">+AU123+AU124+AU125+AU129+AU126+AU127+AU128</f>
        <v>26198</v>
      </c>
      <c r="AV132" s="347">
        <f t="shared" si="219"/>
        <v>26536</v>
      </c>
      <c r="AW132" s="349">
        <f t="shared" si="219"/>
        <v>26536</v>
      </c>
      <c r="AX132" s="345">
        <f t="shared" ca="1" si="219"/>
        <v>25824.972478884658</v>
      </c>
      <c r="AY132" s="346">
        <f t="shared" ca="1" si="219"/>
        <v>26464.737132763941</v>
      </c>
      <c r="AZ132" s="346">
        <f t="shared" ca="1" si="219"/>
        <v>27543</v>
      </c>
      <c r="BA132" s="347">
        <f t="shared" ca="1" si="219"/>
        <v>27543</v>
      </c>
      <c r="BB132" s="349">
        <f t="shared" ca="1" si="219"/>
        <v>27543</v>
      </c>
      <c r="BC132" s="345">
        <f t="shared" ref="BC132:BL132" ca="1" si="222">+BC123+BC124+BC125+BC129+BC126+BC127+BC128</f>
        <v>27543</v>
      </c>
      <c r="BD132" s="346">
        <f t="shared" ca="1" si="222"/>
        <v>27543.000000000004</v>
      </c>
      <c r="BE132" s="346">
        <f t="shared" ca="1" si="222"/>
        <v>28773</v>
      </c>
      <c r="BF132" s="347">
        <f t="shared" ca="1" si="222"/>
        <v>28773</v>
      </c>
      <c r="BG132" s="349">
        <f t="shared" ca="1" si="222"/>
        <v>28773</v>
      </c>
      <c r="BH132" s="345">
        <f t="shared" ca="1" si="222"/>
        <v>29144.674677304036</v>
      </c>
      <c r="BI132" s="346">
        <f t="shared" ca="1" si="222"/>
        <v>29660.363024999591</v>
      </c>
      <c r="BJ132" s="346">
        <f t="shared" ca="1" si="222"/>
        <v>30538</v>
      </c>
      <c r="BK132" s="347">
        <f t="shared" ca="1" si="222"/>
        <v>30669.58686387962</v>
      </c>
      <c r="BL132" s="349">
        <f t="shared" ca="1" si="222"/>
        <v>30669.58686387962</v>
      </c>
      <c r="BM132" s="345">
        <f t="shared" ref="BM132:BQ132" ca="1" si="223">+BM123+BM124+BM125+BM129+BM126+BM127+BM128</f>
        <v>30783.218211828971</v>
      </c>
      <c r="BN132" s="346">
        <f t="shared" ca="1" si="223"/>
        <v>31161.807123056231</v>
      </c>
      <c r="BO132" s="346">
        <f t="shared" ca="1" si="223"/>
        <v>31842.806440855842</v>
      </c>
      <c r="BP132" s="347">
        <f t="shared" ca="1" si="223"/>
        <v>31674.966360912844</v>
      </c>
      <c r="BQ132" s="349">
        <f t="shared" ca="1" si="223"/>
        <v>31674.966360912844</v>
      </c>
      <c r="BT132" s="45"/>
      <c r="DR132"/>
      <c r="DS132"/>
      <c r="DT132"/>
      <c r="DU132"/>
      <c r="DV132"/>
      <c r="DW132"/>
      <c r="DX132" s="37"/>
    </row>
    <row r="133" spans="2:128" s="28" customFormat="1">
      <c r="B133" s="40"/>
      <c r="C133" s="40" t="s">
        <v>949</v>
      </c>
      <c r="E133" s="345">
        <f t="shared" ref="E133:AP133" si="224">+E130-E132</f>
        <v>2467</v>
      </c>
      <c r="F133" s="346">
        <f t="shared" si="224"/>
        <v>2513</v>
      </c>
      <c r="G133" s="346">
        <f t="shared" si="224"/>
        <v>3139</v>
      </c>
      <c r="H133" s="347">
        <f t="shared" si="224"/>
        <v>2993</v>
      </c>
      <c r="I133" s="935">
        <f t="shared" si="224"/>
        <v>2993</v>
      </c>
      <c r="J133" s="345">
        <f t="shared" si="224"/>
        <v>2992</v>
      </c>
      <c r="K133" s="346">
        <f t="shared" si="224"/>
        <v>2779</v>
      </c>
      <c r="L133" s="346">
        <f t="shared" si="224"/>
        <v>3677</v>
      </c>
      <c r="M133" s="347">
        <f t="shared" si="224"/>
        <v>3679</v>
      </c>
      <c r="N133" s="349">
        <f t="shared" si="224"/>
        <v>3679</v>
      </c>
      <c r="O133" s="345">
        <f t="shared" si="224"/>
        <v>3678</v>
      </c>
      <c r="P133" s="346">
        <f t="shared" si="224"/>
        <v>3678</v>
      </c>
      <c r="Q133" s="346">
        <f t="shared" si="224"/>
        <v>3749</v>
      </c>
      <c r="R133" s="347">
        <f t="shared" si="224"/>
        <v>3679</v>
      </c>
      <c r="S133" s="349">
        <f t="shared" si="224"/>
        <v>3679</v>
      </c>
      <c r="T133" s="345">
        <f t="shared" si="224"/>
        <v>6760</v>
      </c>
      <c r="U133" s="346">
        <f t="shared" si="224"/>
        <v>7379</v>
      </c>
      <c r="V133" s="346">
        <f t="shared" si="224"/>
        <v>7394</v>
      </c>
      <c r="W133" s="347">
        <f t="shared" si="224"/>
        <v>7483</v>
      </c>
      <c r="X133" s="349">
        <f t="shared" si="224"/>
        <v>7483</v>
      </c>
      <c r="Y133" s="345">
        <f t="shared" si="224"/>
        <v>7634</v>
      </c>
      <c r="Z133" s="346">
        <f t="shared" si="224"/>
        <v>7501</v>
      </c>
      <c r="AA133" s="346">
        <f>+AA130-AA132</f>
        <v>7830</v>
      </c>
      <c r="AB133" s="347">
        <f>+AB130-AB132</f>
        <v>7751</v>
      </c>
      <c r="AC133" s="349">
        <f>+AC130-AC132</f>
        <v>7751</v>
      </c>
      <c r="AD133" s="345">
        <f t="shared" si="224"/>
        <v>7867</v>
      </c>
      <c r="AE133" s="346">
        <f t="shared" si="224"/>
        <v>7560</v>
      </c>
      <c r="AF133" s="346">
        <f t="shared" si="224"/>
        <v>8334</v>
      </c>
      <c r="AG133" s="347">
        <f>+AG130-AG132</f>
        <v>8302</v>
      </c>
      <c r="AH133" s="349">
        <f>+AH130-AH132</f>
        <v>8302</v>
      </c>
      <c r="AI133" s="345">
        <f t="shared" ref="AI133:AK133" si="225">+AI130-AI132</f>
        <v>9453</v>
      </c>
      <c r="AJ133" s="346">
        <f t="shared" si="225"/>
        <v>9679</v>
      </c>
      <c r="AK133" s="346">
        <f t="shared" si="225"/>
        <v>10222</v>
      </c>
      <c r="AL133" s="347">
        <f>+AL130-AL132</f>
        <v>10240</v>
      </c>
      <c r="AM133" s="349">
        <f>+AM130-AM132</f>
        <v>10240</v>
      </c>
      <c r="AN133" s="345">
        <f t="shared" si="224"/>
        <v>10644</v>
      </c>
      <c r="AO133" s="346">
        <f t="shared" si="224"/>
        <v>10091</v>
      </c>
      <c r="AP133" s="346">
        <f t="shared" si="224"/>
        <v>9756</v>
      </c>
      <c r="AQ133" s="347">
        <f>+AQ130-AQ132</f>
        <v>9995</v>
      </c>
      <c r="AR133" s="349">
        <f>+AR130-AR132</f>
        <v>9995</v>
      </c>
      <c r="AS133" s="345">
        <f t="shared" ref="AS133:AV133" si="226">+AS130-AS132</f>
        <v>10750</v>
      </c>
      <c r="AT133" s="346">
        <f t="shared" si="226"/>
        <v>10721</v>
      </c>
      <c r="AU133" s="346">
        <f t="shared" ref="AU133" si="227">+AU130-AU132</f>
        <v>9766</v>
      </c>
      <c r="AV133" s="347">
        <f t="shared" si="226"/>
        <v>9046</v>
      </c>
      <c r="AW133" s="349">
        <f>+AW130-AW132</f>
        <v>9046</v>
      </c>
      <c r="AX133" s="345">
        <f t="shared" ref="AX133:BK133" ca="1" si="228">+AX130-AX132</f>
        <v>8970</v>
      </c>
      <c r="AY133" s="346">
        <f t="shared" ca="1" si="228"/>
        <v>8854.0000000000073</v>
      </c>
      <c r="AZ133" s="346">
        <f t="shared" ca="1" si="228"/>
        <v>8849</v>
      </c>
      <c r="BA133" s="347">
        <f t="shared" ca="1" si="228"/>
        <v>8849</v>
      </c>
      <c r="BB133" s="349">
        <f ca="1">+BB130-BB132</f>
        <v>8849</v>
      </c>
      <c r="BC133" s="345">
        <f t="shared" ca="1" si="228"/>
        <v>8849</v>
      </c>
      <c r="BD133" s="346">
        <f t="shared" ca="1" si="228"/>
        <v>8848.9999999999964</v>
      </c>
      <c r="BE133" s="346">
        <f t="shared" ca="1" si="228"/>
        <v>8845</v>
      </c>
      <c r="BF133" s="347">
        <f t="shared" ca="1" si="228"/>
        <v>8245</v>
      </c>
      <c r="BG133" s="349">
        <f ca="1">+BG130-BG132</f>
        <v>8245</v>
      </c>
      <c r="BH133" s="345">
        <f t="shared" ca="1" si="228"/>
        <v>7245</v>
      </c>
      <c r="BI133" s="346">
        <f t="shared" ca="1" si="228"/>
        <v>7245</v>
      </c>
      <c r="BJ133" s="346">
        <f t="shared" ca="1" si="228"/>
        <v>6809.5299999999988</v>
      </c>
      <c r="BK133" s="347">
        <f t="shared" ca="1" si="228"/>
        <v>6587.2876432205048</v>
      </c>
      <c r="BL133" s="349">
        <f ca="1">+BL130-BL132</f>
        <v>6587.2876432205048</v>
      </c>
      <c r="BM133" s="345">
        <f t="shared" ref="BM133:BP133" ca="1" si="229">+BM130-BM132</f>
        <v>6382.4673834134592</v>
      </c>
      <c r="BN133" s="346">
        <f t="shared" ca="1" si="229"/>
        <v>6286.7724118096339</v>
      </c>
      <c r="BO133" s="346">
        <f t="shared" ca="1" si="229"/>
        <v>6004.8585591441588</v>
      </c>
      <c r="BP133" s="347">
        <f t="shared" ca="1" si="229"/>
        <v>5872.6986390871571</v>
      </c>
      <c r="BQ133" s="349">
        <f ca="1">+BQ130-BQ132</f>
        <v>5872.6986390871571</v>
      </c>
      <c r="BT133" s="45"/>
      <c r="DR133"/>
      <c r="DS133"/>
      <c r="DT133"/>
      <c r="DU133"/>
      <c r="DV133"/>
      <c r="DW133"/>
      <c r="DX133" s="37"/>
    </row>
    <row r="134" spans="2:128" s="28" customFormat="1">
      <c r="C134" s="226"/>
      <c r="E134" s="310"/>
      <c r="F134" s="319"/>
      <c r="G134" s="319"/>
      <c r="H134" s="320"/>
      <c r="I134" s="945"/>
      <c r="J134" s="310"/>
      <c r="K134" s="319"/>
      <c r="L134" s="319"/>
      <c r="M134" s="320"/>
      <c r="N134" s="359"/>
      <c r="O134" s="310"/>
      <c r="P134" s="319"/>
      <c r="Q134" s="319"/>
      <c r="R134" s="320"/>
      <c r="S134" s="359"/>
      <c r="T134" s="310"/>
      <c r="U134" s="319"/>
      <c r="V134" s="319"/>
      <c r="W134" s="320"/>
      <c r="X134" s="359"/>
      <c r="Y134" s="310"/>
      <c r="Z134" s="319"/>
      <c r="AA134" s="1460"/>
      <c r="AB134" s="1458"/>
      <c r="AC134" s="1459"/>
      <c r="AD134" s="310"/>
      <c r="AE134" s="319"/>
      <c r="AF134" s="319"/>
      <c r="AG134" s="320"/>
      <c r="AH134" s="359"/>
      <c r="AI134" s="310"/>
      <c r="AJ134" s="319"/>
      <c r="AK134" s="319"/>
      <c r="AL134" s="320"/>
      <c r="AM134" s="359"/>
      <c r="AN134" s="310"/>
      <c r="AO134" s="319"/>
      <c r="AP134" s="319"/>
      <c r="AQ134" s="320"/>
      <c r="AR134" s="359"/>
      <c r="AS134" s="310"/>
      <c r="AT134" s="319"/>
      <c r="AU134" s="319"/>
      <c r="AV134" s="320"/>
      <c r="AW134" s="359"/>
      <c r="AX134" s="310"/>
      <c r="AY134" s="319"/>
      <c r="AZ134" s="319"/>
      <c r="BA134" s="320"/>
      <c r="BB134" s="359"/>
      <c r="BC134" s="310"/>
      <c r="BD134" s="319"/>
      <c r="BE134" s="319"/>
      <c r="BF134" s="320"/>
      <c r="BG134" s="359"/>
      <c r="BH134" s="310"/>
      <c r="BI134" s="319"/>
      <c r="BJ134" s="319"/>
      <c r="BK134" s="320"/>
      <c r="BL134" s="359"/>
      <c r="BM134" s="310"/>
      <c r="BN134" s="319"/>
      <c r="BO134" s="319"/>
      <c r="BP134" s="320"/>
      <c r="BQ134" s="359"/>
      <c r="BT134" s="45"/>
      <c r="DR134"/>
      <c r="DS134"/>
      <c r="DT134"/>
      <c r="DU134"/>
      <c r="DV134"/>
      <c r="DW134"/>
      <c r="DX134" s="37"/>
    </row>
    <row r="135" spans="2:128" s="28" customFormat="1">
      <c r="C135" s="226"/>
      <c r="E135" s="310"/>
      <c r="F135" s="319"/>
      <c r="G135" s="319"/>
      <c r="H135" s="320"/>
      <c r="I135" s="945"/>
      <c r="J135" s="310"/>
      <c r="K135" s="319"/>
      <c r="L135" s="319"/>
      <c r="M135" s="320"/>
      <c r="N135" s="359"/>
      <c r="O135" s="310"/>
      <c r="P135" s="319"/>
      <c r="Q135" s="319"/>
      <c r="R135" s="320"/>
      <c r="S135" s="359"/>
      <c r="T135" s="310"/>
      <c r="U135" s="319"/>
      <c r="V135" s="319"/>
      <c r="W135" s="320"/>
      <c r="X135" s="359"/>
      <c r="Y135" s="310"/>
      <c r="Z135" s="319"/>
      <c r="AA135" s="1460"/>
      <c r="AB135" s="1458"/>
      <c r="AC135" s="1459"/>
      <c r="AD135" s="310"/>
      <c r="AE135" s="319"/>
      <c r="AF135" s="319"/>
      <c r="AG135" s="320"/>
      <c r="AH135" s="359"/>
      <c r="AI135" s="310"/>
      <c r="AJ135" s="319"/>
      <c r="AK135" s="319"/>
      <c r="AL135" s="320"/>
      <c r="AM135" s="359"/>
      <c r="AN135" s="310"/>
      <c r="AO135" s="319"/>
      <c r="AP135" s="319"/>
      <c r="AQ135" s="320"/>
      <c r="AR135" s="359"/>
      <c r="AS135" s="310"/>
      <c r="AT135" s="319"/>
      <c r="AU135" s="319"/>
      <c r="AV135" s="320"/>
      <c r="AW135" s="359"/>
      <c r="AX135" s="310"/>
      <c r="AY135" s="319"/>
      <c r="AZ135" s="319"/>
      <c r="BA135" s="320"/>
      <c r="BB135" s="359"/>
      <c r="BC135" s="310"/>
      <c r="BD135" s="319"/>
      <c r="BE135" s="319"/>
      <c r="BF135" s="320"/>
      <c r="BG135" s="359"/>
      <c r="BH135" s="310"/>
      <c r="BI135" s="319"/>
      <c r="BJ135" s="319"/>
      <c r="BK135" s="320"/>
      <c r="BL135" s="359"/>
      <c r="BM135" s="310"/>
      <c r="BN135" s="319"/>
      <c r="BO135" s="319"/>
      <c r="BP135" s="320"/>
      <c r="BQ135" s="359"/>
      <c r="BT135" s="45"/>
      <c r="DR135"/>
      <c r="DS135"/>
      <c r="DT135"/>
      <c r="DU135"/>
      <c r="DV135"/>
      <c r="DW135"/>
      <c r="DX135" s="37"/>
    </row>
    <row r="136" spans="2:128" s="28" customFormat="1">
      <c r="B136" s="73" t="s">
        <v>73</v>
      </c>
      <c r="C136" s="211"/>
      <c r="D136" s="211"/>
      <c r="E136" s="305"/>
      <c r="F136" s="36"/>
      <c r="G136" s="36"/>
      <c r="H136" s="685"/>
      <c r="I136" s="564"/>
      <c r="J136" s="305"/>
      <c r="K136" s="36"/>
      <c r="L136" s="36"/>
      <c r="M136" s="685"/>
      <c r="O136" s="305"/>
      <c r="P136" s="36"/>
      <c r="Q136" s="36"/>
      <c r="R136" s="685"/>
      <c r="T136" s="305"/>
      <c r="U136" s="36"/>
      <c r="V136" s="36"/>
      <c r="W136" s="685"/>
      <c r="Y136" s="305"/>
      <c r="Z136" s="36"/>
      <c r="AA136" s="36"/>
      <c r="AB136" s="685"/>
      <c r="AD136" s="305"/>
      <c r="AE136" s="36"/>
      <c r="AF136" s="36"/>
      <c r="AG136" s="685"/>
      <c r="AI136" s="305"/>
      <c r="AJ136" s="36"/>
      <c r="AK136" s="36"/>
      <c r="AL136" s="685"/>
      <c r="AN136" s="305"/>
      <c r="AO136" s="36"/>
      <c r="AP136" s="36"/>
      <c r="AQ136" s="685"/>
      <c r="AS136" s="305"/>
      <c r="AT136" s="36"/>
      <c r="AU136" s="36"/>
      <c r="AV136" s="685"/>
      <c r="AX136" s="305"/>
      <c r="AY136" s="36"/>
      <c r="AZ136" s="36"/>
      <c r="BA136" s="685"/>
      <c r="BC136" s="305"/>
      <c r="BD136" s="36"/>
      <c r="BE136" s="36"/>
      <c r="BF136" s="685"/>
      <c r="BH136" s="305"/>
      <c r="BI136" s="36"/>
      <c r="BJ136" s="36"/>
      <c r="BK136" s="685"/>
      <c r="BM136" s="305"/>
      <c r="BN136" s="36"/>
      <c r="BO136" s="36"/>
      <c r="BP136" s="685"/>
      <c r="BT136" s="45"/>
      <c r="DR136"/>
      <c r="DS136"/>
      <c r="DT136"/>
      <c r="DU136"/>
      <c r="DV136"/>
      <c r="DW136"/>
      <c r="DX136" s="37"/>
    </row>
    <row r="137" spans="2:128" s="28" customFormat="1">
      <c r="C137" s="28" t="s">
        <v>1269</v>
      </c>
      <c r="E137" s="290"/>
      <c r="F137" s="260"/>
      <c r="G137" s="260"/>
      <c r="H137" s="291"/>
      <c r="I137" s="932"/>
      <c r="J137" s="290"/>
      <c r="K137" s="260"/>
      <c r="L137" s="260"/>
      <c r="M137" s="291"/>
      <c r="N137" s="45"/>
      <c r="O137" s="290"/>
      <c r="P137" s="260"/>
      <c r="Q137" s="260"/>
      <c r="R137" s="291"/>
      <c r="S137" s="45"/>
      <c r="T137" s="290"/>
      <c r="U137" s="260"/>
      <c r="V137" s="260"/>
      <c r="W137" s="291"/>
      <c r="X137" s="45"/>
      <c r="Y137" s="290"/>
      <c r="Z137" s="260"/>
      <c r="AA137" s="1441"/>
      <c r="AB137" s="1442"/>
      <c r="AC137" s="1443"/>
      <c r="AD137" s="290"/>
      <c r="AE137" s="260"/>
      <c r="AF137" s="260"/>
      <c r="AG137" s="291"/>
      <c r="AH137" s="45"/>
      <c r="AI137" s="290"/>
      <c r="AJ137" s="260"/>
      <c r="AK137" s="260"/>
      <c r="AL137" s="291"/>
      <c r="AM137" s="45"/>
      <c r="AN137" s="290"/>
      <c r="AO137" s="260"/>
      <c r="AP137" s="260"/>
      <c r="AQ137" s="291"/>
      <c r="AR137" s="45"/>
      <c r="AS137" s="290"/>
      <c r="AT137" s="260"/>
      <c r="AU137" s="260"/>
      <c r="AV137" s="291"/>
      <c r="AW137" s="45"/>
      <c r="AX137" s="290"/>
      <c r="AY137" s="260"/>
      <c r="AZ137" s="260"/>
      <c r="BA137" s="291"/>
      <c r="BB137" s="45">
        <f>-ExGen!BB835</f>
        <v>600</v>
      </c>
      <c r="BC137" s="290"/>
      <c r="BD137" s="260"/>
      <c r="BE137" s="260"/>
      <c r="BF137" s="291"/>
      <c r="BG137" s="45">
        <f>-ExGen!BG835</f>
        <v>600</v>
      </c>
      <c r="BH137" s="290"/>
      <c r="BI137" s="260"/>
      <c r="BJ137" s="260"/>
      <c r="BK137" s="291"/>
      <c r="BL137" s="45">
        <f>-ExGen!BL835</f>
        <v>600</v>
      </c>
      <c r="BM137" s="290"/>
      <c r="BN137" s="260"/>
      <c r="BO137" s="260"/>
      <c r="BP137" s="291"/>
      <c r="BQ137" s="45">
        <f>-ExGen!BQ835</f>
        <v>600</v>
      </c>
      <c r="BR137" s="45"/>
      <c r="BS137" s="45"/>
      <c r="BT137" s="45"/>
      <c r="BU137" s="45"/>
      <c r="BV137" s="45"/>
      <c r="BW137" s="45"/>
      <c r="BX137" s="45"/>
      <c r="BY137" s="45"/>
      <c r="BZ137" s="45"/>
      <c r="CA137" s="45"/>
      <c r="CB137" s="45"/>
      <c r="CC137" s="45"/>
      <c r="CD137" s="45"/>
      <c r="DR137"/>
      <c r="DS137"/>
      <c r="DT137"/>
      <c r="DU137"/>
      <c r="DV137"/>
      <c r="DW137"/>
      <c r="DX137" s="37"/>
    </row>
    <row r="138" spans="2:128" s="28" customFormat="1">
      <c r="C138" s="28" t="s">
        <v>1267</v>
      </c>
      <c r="E138" s="290"/>
      <c r="F138" s="260"/>
      <c r="G138" s="260"/>
      <c r="H138" s="291"/>
      <c r="I138" s="932"/>
      <c r="J138" s="290"/>
      <c r="K138" s="260"/>
      <c r="L138" s="260"/>
      <c r="M138" s="291"/>
      <c r="N138" s="45"/>
      <c r="O138" s="290"/>
      <c r="P138" s="260"/>
      <c r="Q138" s="260"/>
      <c r="R138" s="291"/>
      <c r="S138" s="45"/>
      <c r="T138" s="290"/>
      <c r="U138" s="260"/>
      <c r="V138" s="260"/>
      <c r="W138" s="291"/>
      <c r="X138" s="45"/>
      <c r="Y138" s="290"/>
      <c r="Z138" s="260"/>
      <c r="AA138" s="1441"/>
      <c r="AB138" s="1442"/>
      <c r="AC138" s="1443"/>
      <c r="AD138" s="290"/>
      <c r="AE138" s="260"/>
      <c r="AF138" s="260"/>
      <c r="AG138" s="291"/>
      <c r="AH138" s="45"/>
      <c r="AI138" s="290"/>
      <c r="AJ138" s="260"/>
      <c r="AK138" s="260"/>
      <c r="AL138" s="291"/>
      <c r="AM138" s="45"/>
      <c r="AN138" s="290"/>
      <c r="AO138" s="260"/>
      <c r="AP138" s="260"/>
      <c r="AQ138" s="291"/>
      <c r="AR138" s="45"/>
      <c r="AS138" s="290"/>
      <c r="AT138" s="260"/>
      <c r="AU138" s="260"/>
      <c r="AV138" s="291"/>
      <c r="AW138" s="45"/>
      <c r="AX138" s="290"/>
      <c r="AY138" s="260"/>
      <c r="AZ138" s="260"/>
      <c r="BA138" s="291"/>
      <c r="BB138" s="45">
        <f>-ComEd!BB179</f>
        <v>150</v>
      </c>
      <c r="BC138" s="290"/>
      <c r="BD138" s="260"/>
      <c r="BE138" s="260"/>
      <c r="BF138" s="291"/>
      <c r="BG138" s="45">
        <f>-ComEd!BG179</f>
        <v>300</v>
      </c>
      <c r="BH138" s="290"/>
      <c r="BI138" s="260"/>
      <c r="BJ138" s="260"/>
      <c r="BK138" s="291"/>
      <c r="BL138" s="45">
        <f>-ComEd!BL179</f>
        <v>325</v>
      </c>
      <c r="BM138" s="290"/>
      <c r="BN138" s="260"/>
      <c r="BO138" s="260"/>
      <c r="BP138" s="291"/>
      <c r="BQ138" s="45">
        <f>-ComEd!BQ179</f>
        <v>375</v>
      </c>
      <c r="BR138" s="45"/>
      <c r="BS138" s="45"/>
      <c r="BT138" s="45"/>
      <c r="BU138" s="45"/>
      <c r="BV138" s="45"/>
      <c r="BW138" s="45"/>
      <c r="BX138" s="45"/>
      <c r="BY138" s="45"/>
      <c r="BZ138" s="45"/>
      <c r="CA138" s="45"/>
      <c r="CB138" s="45"/>
      <c r="CC138" s="45"/>
      <c r="CD138" s="45"/>
      <c r="DR138"/>
      <c r="DS138"/>
      <c r="DT138"/>
      <c r="DU138"/>
      <c r="DV138"/>
      <c r="DW138"/>
      <c r="DX138" s="37"/>
    </row>
    <row r="139" spans="2:128" s="28" customFormat="1">
      <c r="C139" s="28" t="s">
        <v>1268</v>
      </c>
      <c r="E139" s="290"/>
      <c r="F139" s="260"/>
      <c r="G139" s="260"/>
      <c r="H139" s="291"/>
      <c r="I139" s="932"/>
      <c r="J139" s="290"/>
      <c r="K139" s="260"/>
      <c r="L139" s="260"/>
      <c r="M139" s="291"/>
      <c r="N139" s="45"/>
      <c r="O139" s="290"/>
      <c r="P139" s="260"/>
      <c r="Q139" s="260"/>
      <c r="R139" s="291"/>
      <c r="S139" s="45"/>
      <c r="T139" s="290"/>
      <c r="U139" s="260"/>
      <c r="V139" s="260"/>
      <c r="W139" s="291"/>
      <c r="X139" s="45"/>
      <c r="Y139" s="290"/>
      <c r="Z139" s="260"/>
      <c r="AA139" s="1441"/>
      <c r="AB139" s="1442"/>
      <c r="AC139" s="1443"/>
      <c r="AD139" s="290"/>
      <c r="AE139" s="260"/>
      <c r="AF139" s="260"/>
      <c r="AG139" s="291"/>
      <c r="AH139" s="45"/>
      <c r="AI139" s="290"/>
      <c r="AJ139" s="260"/>
      <c r="AK139" s="260"/>
      <c r="AL139" s="291"/>
      <c r="AM139" s="45"/>
      <c r="AN139" s="290"/>
      <c r="AO139" s="260"/>
      <c r="AP139" s="260"/>
      <c r="AQ139" s="291"/>
      <c r="AR139" s="45"/>
      <c r="AS139" s="290"/>
      <c r="AT139" s="260"/>
      <c r="AU139" s="260"/>
      <c r="AV139" s="291"/>
      <c r="AW139" s="45"/>
      <c r="AX139" s="290"/>
      <c r="AY139" s="260"/>
      <c r="AZ139" s="260"/>
      <c r="BA139" s="291"/>
      <c r="BB139" s="45">
        <f>-PECO!BB207</f>
        <v>275</v>
      </c>
      <c r="BC139" s="290"/>
      <c r="BD139" s="260"/>
      <c r="BE139" s="260"/>
      <c r="BF139" s="291"/>
      <c r="BG139" s="45">
        <f>-PECO!BG207</f>
        <v>220</v>
      </c>
      <c r="BH139" s="290"/>
      <c r="BI139" s="260"/>
      <c r="BJ139" s="260"/>
      <c r="BK139" s="291"/>
      <c r="BL139" s="45">
        <f>-PECO!BL207</f>
        <v>325</v>
      </c>
      <c r="BM139" s="290"/>
      <c r="BN139" s="260"/>
      <c r="BO139" s="260"/>
      <c r="BP139" s="291"/>
      <c r="BQ139" s="45">
        <f>-PECO!BQ207</f>
        <v>375</v>
      </c>
      <c r="BR139" s="45"/>
      <c r="BS139" s="45"/>
      <c r="BT139" s="45"/>
      <c r="BU139" s="45"/>
      <c r="BV139" s="45"/>
      <c r="BW139" s="45"/>
      <c r="BX139" s="45"/>
      <c r="BY139" s="45"/>
      <c r="BZ139" s="45"/>
      <c r="CA139" s="45"/>
      <c r="CB139" s="45"/>
      <c r="CC139" s="45"/>
      <c r="CD139" s="45"/>
      <c r="DR139"/>
      <c r="DS139"/>
      <c r="DT139"/>
      <c r="DU139"/>
      <c r="DV139"/>
      <c r="DW139"/>
      <c r="DX139" s="37"/>
    </row>
    <row r="140" spans="2:128" s="28" customFormat="1">
      <c r="C140" s="28" t="s">
        <v>1270</v>
      </c>
      <c r="E140" s="290"/>
      <c r="F140" s="260"/>
      <c r="G140" s="260"/>
      <c r="H140" s="291"/>
      <c r="I140" s="932"/>
      <c r="J140" s="290"/>
      <c r="K140" s="260"/>
      <c r="L140" s="260"/>
      <c r="M140" s="291"/>
      <c r="N140" s="45"/>
      <c r="O140" s="290"/>
      <c r="P140" s="260"/>
      <c r="Q140" s="260"/>
      <c r="R140" s="291"/>
      <c r="S140" s="45"/>
      <c r="T140" s="290"/>
      <c r="U140" s="260"/>
      <c r="V140" s="260"/>
      <c r="W140" s="291"/>
      <c r="X140" s="45"/>
      <c r="Y140" s="290"/>
      <c r="Z140" s="260"/>
      <c r="AA140" s="1441"/>
      <c r="AB140" s="1442"/>
      <c r="AC140" s="1443"/>
      <c r="AD140" s="290"/>
      <c r="AE140" s="260"/>
      <c r="AF140" s="260"/>
      <c r="AG140" s="291"/>
      <c r="AH140" s="45"/>
      <c r="AI140" s="290"/>
      <c r="AJ140" s="260"/>
      <c r="AK140" s="260"/>
      <c r="AL140" s="291"/>
      <c r="AM140" s="45"/>
      <c r="AN140" s="290"/>
      <c r="AO140" s="260"/>
      <c r="AP140" s="260"/>
      <c r="AQ140" s="291"/>
      <c r="AR140" s="45"/>
      <c r="AS140" s="290"/>
      <c r="AT140" s="260"/>
      <c r="AU140" s="260"/>
      <c r="AV140" s="291"/>
      <c r="AW140" s="45"/>
      <c r="AX140" s="290"/>
      <c r="AY140" s="260"/>
      <c r="AZ140" s="260"/>
      <c r="BA140" s="291"/>
      <c r="BB140" s="45">
        <f>-BGE!BB205</f>
        <v>225</v>
      </c>
      <c r="BC140" s="290"/>
      <c r="BD140" s="260"/>
      <c r="BE140" s="260"/>
      <c r="BF140" s="291"/>
      <c r="BG140" s="45">
        <f>-BGE!BG205</f>
        <v>50</v>
      </c>
      <c r="BH140" s="290"/>
      <c r="BI140" s="260"/>
      <c r="BJ140" s="260"/>
      <c r="BK140" s="291"/>
      <c r="BL140" s="45">
        <f>-BGE!BL205</f>
        <v>145</v>
      </c>
      <c r="BM140" s="290"/>
      <c r="BN140" s="260"/>
      <c r="BO140" s="260"/>
      <c r="BP140" s="291"/>
      <c r="BQ140" s="45">
        <f>-BGE!BQ205</f>
        <v>225</v>
      </c>
      <c r="BR140" s="45"/>
      <c r="BS140" s="45"/>
      <c r="BT140" s="45"/>
      <c r="BU140" s="45"/>
      <c r="BV140" s="45"/>
      <c r="BW140" s="45"/>
      <c r="BX140" s="45"/>
      <c r="BY140" s="45"/>
      <c r="BZ140" s="45"/>
      <c r="CA140" s="45"/>
      <c r="CB140" s="45"/>
      <c r="CC140" s="45"/>
      <c r="CD140" s="45"/>
      <c r="DR140"/>
      <c r="DS140"/>
      <c r="DT140"/>
      <c r="DU140"/>
      <c r="DV140"/>
      <c r="DW140"/>
      <c r="DX140" s="37"/>
    </row>
    <row r="141" spans="2:128" s="28" customFormat="1">
      <c r="C141" s="28" t="s">
        <v>1271</v>
      </c>
      <c r="E141" s="290"/>
      <c r="F141" s="260"/>
      <c r="G141" s="260"/>
      <c r="H141" s="291"/>
      <c r="I141" s="932"/>
      <c r="J141" s="290"/>
      <c r="K141" s="260"/>
      <c r="L141" s="260"/>
      <c r="M141" s="291"/>
      <c r="N141" s="45"/>
      <c r="O141" s="290"/>
      <c r="P141" s="260"/>
      <c r="Q141" s="260"/>
      <c r="R141" s="291"/>
      <c r="S141" s="45"/>
      <c r="T141" s="290"/>
      <c r="U141" s="260"/>
      <c r="V141" s="260"/>
      <c r="W141" s="291"/>
      <c r="X141" s="45"/>
      <c r="Y141" s="290"/>
      <c r="Z141" s="260"/>
      <c r="AA141" s="1441"/>
      <c r="AB141" s="1442"/>
      <c r="AC141" s="1443"/>
      <c r="AD141" s="290"/>
      <c r="AE141" s="260"/>
      <c r="AF141" s="260"/>
      <c r="AG141" s="291"/>
      <c r="AH141" s="45"/>
      <c r="AI141" s="290"/>
      <c r="AJ141" s="260"/>
      <c r="AK141" s="260"/>
      <c r="AL141" s="291"/>
      <c r="AM141" s="45"/>
      <c r="AN141" s="290"/>
      <c r="AO141" s="260"/>
      <c r="AP141" s="260"/>
      <c r="AQ141" s="291"/>
      <c r="AR141" s="45"/>
      <c r="AS141" s="290"/>
      <c r="AT141" s="260"/>
      <c r="AU141" s="260"/>
      <c r="AV141" s="291"/>
      <c r="AW141" s="45"/>
      <c r="AX141" s="290"/>
      <c r="AY141" s="260"/>
      <c r="AZ141" s="260"/>
      <c r="BA141" s="291"/>
      <c r="BB141" s="45">
        <f>+BB166</f>
        <v>0</v>
      </c>
      <c r="BC141" s="290"/>
      <c r="BD141" s="260"/>
      <c r="BE141" s="260"/>
      <c r="BF141" s="291"/>
      <c r="BG141" s="45">
        <f>+BG166</f>
        <v>0</v>
      </c>
      <c r="BH141" s="290"/>
      <c r="BI141" s="260"/>
      <c r="BJ141" s="260"/>
      <c r="BK141" s="291"/>
      <c r="BL141" s="45">
        <f>+BL166</f>
        <v>0</v>
      </c>
      <c r="BM141" s="290"/>
      <c r="BN141" s="260"/>
      <c r="BO141" s="260"/>
      <c r="BP141" s="291"/>
      <c r="BQ141" s="45">
        <f>+BQ166</f>
        <v>0</v>
      </c>
      <c r="BR141" s="45"/>
      <c r="BS141" s="45"/>
      <c r="BT141" s="45"/>
      <c r="BU141" s="45"/>
      <c r="BV141" s="45"/>
      <c r="BW141" s="45"/>
      <c r="BX141" s="45"/>
      <c r="BY141" s="45"/>
      <c r="BZ141" s="45"/>
      <c r="CA141" s="45"/>
      <c r="CB141" s="45"/>
      <c r="CC141" s="45"/>
      <c r="CD141" s="45"/>
      <c r="DR141"/>
      <c r="DS141"/>
      <c r="DT141"/>
      <c r="DU141"/>
      <c r="DV141"/>
      <c r="DW141"/>
      <c r="DX141" s="37"/>
    </row>
    <row r="142" spans="2:128" s="28" customFormat="1">
      <c r="C142" s="28" t="s">
        <v>1051</v>
      </c>
      <c r="E142" s="290"/>
      <c r="F142" s="260"/>
      <c r="G142" s="260"/>
      <c r="H142" s="291"/>
      <c r="I142" s="932"/>
      <c r="J142" s="290"/>
      <c r="K142" s="260"/>
      <c r="L142" s="260"/>
      <c r="M142" s="291"/>
      <c r="N142" s="45"/>
      <c r="O142" s="290"/>
      <c r="P142" s="260"/>
      <c r="Q142" s="260"/>
      <c r="R142" s="291"/>
      <c r="S142" s="45"/>
      <c r="T142" s="290"/>
      <c r="U142" s="260"/>
      <c r="V142" s="260"/>
      <c r="W142" s="291"/>
      <c r="X142" s="45"/>
      <c r="Y142" s="290"/>
      <c r="Z142" s="260"/>
      <c r="AA142" s="1441"/>
      <c r="AB142" s="1442"/>
      <c r="AC142" s="1443"/>
      <c r="AD142" s="290"/>
      <c r="AE142" s="260"/>
      <c r="AF142" s="260"/>
      <c r="AG142" s="291"/>
      <c r="AH142" s="45"/>
      <c r="AI142" s="290"/>
      <c r="AJ142" s="260"/>
      <c r="AK142" s="260"/>
      <c r="AL142" s="291"/>
      <c r="AM142" s="45"/>
      <c r="AN142" s="290"/>
      <c r="AO142" s="260"/>
      <c r="AP142" s="260"/>
      <c r="AQ142" s="291"/>
      <c r="AR142" s="45"/>
      <c r="AS142" s="290"/>
      <c r="AT142" s="260"/>
      <c r="AU142" s="260"/>
      <c r="AV142" s="291"/>
      <c r="AW142" s="45"/>
      <c r="AX142" s="290"/>
      <c r="AY142" s="260"/>
      <c r="AZ142" s="260"/>
      <c r="BA142" s="291"/>
      <c r="BB142" s="45">
        <f ca="1">+Parent!BB35+Parent!BB55</f>
        <v>-63.82130436126036</v>
      </c>
      <c r="BC142" s="290"/>
      <c r="BD142" s="260"/>
      <c r="BE142" s="260"/>
      <c r="BF142" s="291"/>
      <c r="BG142" s="45">
        <f ca="1">+Parent!BG35+Parent!BG55</f>
        <v>-33.462490458502117</v>
      </c>
      <c r="BH142" s="290"/>
      <c r="BI142" s="260"/>
      <c r="BJ142" s="260"/>
      <c r="BK142" s="291"/>
      <c r="BL142" s="45">
        <f ca="1">+Parent!BL35+Parent!BL55</f>
        <v>-60.829758425321643</v>
      </c>
      <c r="BM142" s="290"/>
      <c r="BN142" s="260"/>
      <c r="BO142" s="260"/>
      <c r="BP142" s="291"/>
      <c r="BQ142" s="45">
        <f ca="1">+Parent!BQ35+Parent!BQ55</f>
        <v>-102.59174999755794</v>
      </c>
      <c r="BR142" s="45"/>
      <c r="BS142" s="45"/>
      <c r="BT142" s="45"/>
      <c r="BU142" s="45"/>
      <c r="BV142" s="45"/>
      <c r="BW142" s="45"/>
      <c r="BX142" s="45"/>
      <c r="BY142" s="45"/>
      <c r="BZ142" s="45"/>
      <c r="CA142" s="45"/>
      <c r="CB142" s="45"/>
      <c r="CC142" s="45"/>
      <c r="CD142" s="45"/>
      <c r="DR142"/>
      <c r="DS142"/>
      <c r="DT142"/>
      <c r="DU142"/>
      <c r="DV142"/>
      <c r="DW142"/>
      <c r="DX142" s="37"/>
    </row>
    <row r="143" spans="2:128" s="28" customFormat="1">
      <c r="C143" s="28" t="s">
        <v>1272</v>
      </c>
      <c r="E143" s="290"/>
      <c r="F143" s="260"/>
      <c r="G143" s="260"/>
      <c r="H143" s="291"/>
      <c r="I143" s="932"/>
      <c r="J143" s="290"/>
      <c r="K143" s="260"/>
      <c r="L143" s="260"/>
      <c r="M143" s="291"/>
      <c r="N143" s="45"/>
      <c r="O143" s="290"/>
      <c r="P143" s="260"/>
      <c r="Q143" s="260"/>
      <c r="R143" s="291"/>
      <c r="S143" s="45"/>
      <c r="T143" s="290"/>
      <c r="U143" s="260"/>
      <c r="V143" s="260"/>
      <c r="W143" s="291"/>
      <c r="X143" s="45"/>
      <c r="Y143" s="290"/>
      <c r="Z143" s="260"/>
      <c r="AA143" s="1441"/>
      <c r="AB143" s="1442"/>
      <c r="AC143" s="1443"/>
      <c r="AD143" s="290"/>
      <c r="AE143" s="260"/>
      <c r="AF143" s="260"/>
      <c r="AG143" s="291"/>
      <c r="AH143" s="45"/>
      <c r="AI143" s="290"/>
      <c r="AJ143" s="260"/>
      <c r="AK143" s="260"/>
      <c r="AL143" s="291"/>
      <c r="AM143" s="45"/>
      <c r="AN143" s="290"/>
      <c r="AO143" s="260"/>
      <c r="AP143" s="260"/>
      <c r="AQ143" s="291"/>
      <c r="AR143" s="45"/>
      <c r="AS143" s="290"/>
      <c r="AT143" s="260"/>
      <c r="AU143" s="260"/>
      <c r="AV143" s="291"/>
      <c r="AW143" s="45"/>
      <c r="AX143" s="290"/>
      <c r="AY143" s="260"/>
      <c r="AZ143" s="260"/>
      <c r="BA143" s="291"/>
      <c r="BB143" s="45">
        <f>+Parent!BB68+Parent!BB69</f>
        <v>0</v>
      </c>
      <c r="BC143" s="290"/>
      <c r="BD143" s="260"/>
      <c r="BE143" s="260"/>
      <c r="BF143" s="291"/>
      <c r="BG143" s="45">
        <f>+Parent!BG68+Parent!BG69</f>
        <v>0</v>
      </c>
      <c r="BH143" s="290"/>
      <c r="BI143" s="260"/>
      <c r="BJ143" s="260"/>
      <c r="BK143" s="291"/>
      <c r="BL143" s="45">
        <f>+Parent!BL68+Parent!BL69</f>
        <v>0</v>
      </c>
      <c r="BM143" s="290"/>
      <c r="BN143" s="260"/>
      <c r="BO143" s="260"/>
      <c r="BP143" s="291"/>
      <c r="BQ143" s="45">
        <f>+Parent!BQ68+Parent!BQ69</f>
        <v>1150</v>
      </c>
      <c r="BR143" s="45"/>
      <c r="BS143" s="45"/>
      <c r="BT143" s="45"/>
      <c r="BU143" s="45"/>
      <c r="BV143" s="45"/>
      <c r="BW143" s="45"/>
      <c r="BX143" s="45"/>
      <c r="BY143" s="45"/>
      <c r="BZ143" s="45"/>
      <c r="CA143" s="45"/>
      <c r="CB143" s="45"/>
      <c r="CC143" s="45"/>
      <c r="CD143" s="45"/>
      <c r="DR143"/>
      <c r="DS143"/>
      <c r="DT143"/>
      <c r="DU143"/>
      <c r="DV143"/>
      <c r="DW143"/>
      <c r="DX143" s="37"/>
    </row>
    <row r="144" spans="2:128" s="28" customFormat="1">
      <c r="C144" s="28" t="s">
        <v>1273</v>
      </c>
      <c r="E144" s="290"/>
      <c r="F144" s="260"/>
      <c r="G144" s="260"/>
      <c r="H144" s="291"/>
      <c r="I144" s="932"/>
      <c r="J144" s="290"/>
      <c r="K144" s="260"/>
      <c r="L144" s="260"/>
      <c r="M144" s="291"/>
      <c r="N144" s="45"/>
      <c r="O144" s="290"/>
      <c r="P144" s="260"/>
      <c r="Q144" s="260"/>
      <c r="R144" s="291"/>
      <c r="S144" s="45"/>
      <c r="T144" s="290"/>
      <c r="U144" s="260"/>
      <c r="V144" s="260"/>
      <c r="W144" s="291"/>
      <c r="X144" s="45"/>
      <c r="Y144" s="290"/>
      <c r="Z144" s="260"/>
      <c r="AA144" s="1441"/>
      <c r="AB144" s="1442"/>
      <c r="AC144" s="1443"/>
      <c r="AD144" s="290"/>
      <c r="AE144" s="260"/>
      <c r="AF144" s="260"/>
      <c r="AG144" s="291"/>
      <c r="AH144" s="45"/>
      <c r="AI144" s="290"/>
      <c r="AJ144" s="260"/>
      <c r="AK144" s="260"/>
      <c r="AL144" s="291"/>
      <c r="AM144" s="45"/>
      <c r="AN144" s="290"/>
      <c r="AO144" s="260"/>
      <c r="AP144" s="260"/>
      <c r="AQ144" s="291"/>
      <c r="AR144" s="45"/>
      <c r="AS144" s="290"/>
      <c r="AT144" s="260"/>
      <c r="AU144" s="260"/>
      <c r="AV144" s="291"/>
      <c r="AW144" s="45"/>
      <c r="AX144" s="290"/>
      <c r="AY144" s="260"/>
      <c r="AZ144" s="260"/>
      <c r="BA144" s="291"/>
      <c r="BB144" s="45">
        <f>+BB167</f>
        <v>-1328.9399999999998</v>
      </c>
      <c r="BC144" s="290"/>
      <c r="BD144" s="260"/>
      <c r="BE144" s="260"/>
      <c r="BF144" s="291"/>
      <c r="BG144" s="45">
        <f>+BG167</f>
        <v>-1395.3869999999999</v>
      </c>
      <c r="BH144" s="290"/>
      <c r="BI144" s="260"/>
      <c r="BJ144" s="260"/>
      <c r="BK144" s="291"/>
      <c r="BL144" s="45">
        <f>+BL167</f>
        <v>-1465.15635</v>
      </c>
      <c r="BM144" s="290"/>
      <c r="BN144" s="260"/>
      <c r="BO144" s="260"/>
      <c r="BP144" s="291"/>
      <c r="BQ144" s="45">
        <f>+BQ167</f>
        <v>-1538.4141674999998</v>
      </c>
      <c r="BR144" s="45"/>
      <c r="BS144" s="45"/>
      <c r="BT144" s="45"/>
      <c r="BU144" s="45"/>
      <c r="BV144" s="45"/>
      <c r="BW144" s="45"/>
      <c r="BX144" s="45"/>
      <c r="BY144" s="45"/>
      <c r="BZ144" s="45"/>
      <c r="CA144" s="45"/>
      <c r="CB144" s="45"/>
      <c r="CC144" s="45"/>
      <c r="CD144" s="45"/>
      <c r="DR144"/>
      <c r="DS144"/>
      <c r="DT144"/>
      <c r="DU144"/>
      <c r="DV144"/>
      <c r="DW144"/>
      <c r="DX144" s="37"/>
    </row>
    <row r="145" spans="2:128" s="28" customFormat="1">
      <c r="C145" s="32" t="s">
        <v>399</v>
      </c>
      <c r="E145" s="292"/>
      <c r="F145" s="261"/>
      <c r="G145" s="261"/>
      <c r="H145" s="293"/>
      <c r="I145" s="933"/>
      <c r="J145" s="292"/>
      <c r="K145" s="261"/>
      <c r="L145" s="261"/>
      <c r="M145" s="293"/>
      <c r="N145" s="228"/>
      <c r="O145" s="292"/>
      <c r="P145" s="261"/>
      <c r="Q145" s="261"/>
      <c r="R145" s="293"/>
      <c r="S145" s="228"/>
      <c r="T145" s="292"/>
      <c r="U145" s="261"/>
      <c r="V145" s="261"/>
      <c r="W145" s="293"/>
      <c r="X145" s="228"/>
      <c r="Y145" s="292"/>
      <c r="Z145" s="261"/>
      <c r="AA145" s="1438"/>
      <c r="AB145" s="1439"/>
      <c r="AC145" s="1440"/>
      <c r="AD145" s="292"/>
      <c r="AE145" s="261"/>
      <c r="AF145" s="261"/>
      <c r="AG145" s="293"/>
      <c r="AH145" s="228"/>
      <c r="AI145" s="292"/>
      <c r="AJ145" s="261"/>
      <c r="AK145" s="261"/>
      <c r="AL145" s="293"/>
      <c r="AM145" s="228"/>
      <c r="AN145" s="292"/>
      <c r="AO145" s="261"/>
      <c r="AP145" s="261"/>
      <c r="AQ145" s="293"/>
      <c r="AR145" s="228"/>
      <c r="AS145" s="292"/>
      <c r="AT145" s="261"/>
      <c r="AU145" s="261"/>
      <c r="AV145" s="293"/>
      <c r="AW145" s="228"/>
      <c r="AX145" s="292"/>
      <c r="AY145" s="261"/>
      <c r="AZ145" s="261"/>
      <c r="BA145" s="293"/>
      <c r="BB145" s="228">
        <f ca="1">+SUM(BB137:BB144)</f>
        <v>-142.76130436126027</v>
      </c>
      <c r="BC145" s="292"/>
      <c r="BD145" s="261"/>
      <c r="BE145" s="261"/>
      <c r="BF145" s="293"/>
      <c r="BG145" s="228">
        <f ca="1">+SUM(BG137:BG144)</f>
        <v>-258.84949045850203</v>
      </c>
      <c r="BH145" s="292"/>
      <c r="BI145" s="261"/>
      <c r="BJ145" s="261"/>
      <c r="BK145" s="293"/>
      <c r="BL145" s="228">
        <f ca="1">+SUM(BL137:BL144)</f>
        <v>-130.98610842532162</v>
      </c>
      <c r="BM145" s="292"/>
      <c r="BN145" s="261"/>
      <c r="BO145" s="261"/>
      <c r="BP145" s="293"/>
      <c r="BQ145" s="228">
        <f ca="1">+SUM(BQ137:BQ144)</f>
        <v>1083.9940825024421</v>
      </c>
      <c r="BR145" s="45"/>
      <c r="BS145" s="45"/>
      <c r="BT145" s="45"/>
      <c r="BU145" s="817"/>
      <c r="BV145" s="817"/>
      <c r="BW145" s="817"/>
      <c r="BX145" s="349"/>
      <c r="BY145" s="817"/>
      <c r="BZ145" s="817"/>
      <c r="CA145" s="817"/>
      <c r="CB145" s="817"/>
      <c r="CC145" s="349"/>
      <c r="CD145" s="817"/>
      <c r="CE145" s="817"/>
      <c r="CF145" s="817"/>
      <c r="CG145" s="817"/>
      <c r="CH145" s="349"/>
      <c r="CI145" s="817"/>
      <c r="CJ145" s="817"/>
      <c r="DR145"/>
      <c r="DS145"/>
      <c r="DT145"/>
      <c r="DU145"/>
      <c r="DV145"/>
      <c r="DW145"/>
      <c r="DX145" s="37"/>
    </row>
    <row r="146" spans="2:128" s="28" customFormat="1">
      <c r="C146" s="32"/>
      <c r="E146" s="292"/>
      <c r="F146" s="261"/>
      <c r="G146" s="261"/>
      <c r="H146" s="293"/>
      <c r="I146" s="933"/>
      <c r="J146" s="292"/>
      <c r="K146" s="261"/>
      <c r="L146" s="261"/>
      <c r="M146" s="293"/>
      <c r="N146" s="228"/>
      <c r="O146" s="292"/>
      <c r="P146" s="261"/>
      <c r="Q146" s="261"/>
      <c r="R146" s="293"/>
      <c r="S146" s="228"/>
      <c r="T146" s="292"/>
      <c r="U146" s="261"/>
      <c r="V146" s="261"/>
      <c r="W146" s="293"/>
      <c r="X146" s="228"/>
      <c r="Y146" s="292"/>
      <c r="Z146" s="261"/>
      <c r="AA146" s="1438"/>
      <c r="AB146" s="1439"/>
      <c r="AC146" s="1440"/>
      <c r="AD146" s="292"/>
      <c r="AE146" s="261"/>
      <c r="AF146" s="261"/>
      <c r="AG146" s="293"/>
      <c r="AH146" s="228"/>
      <c r="AI146" s="292"/>
      <c r="AJ146" s="261"/>
      <c r="AK146" s="261"/>
      <c r="AL146" s="293"/>
      <c r="AM146" s="228"/>
      <c r="AN146" s="292"/>
      <c r="AO146" s="261"/>
      <c r="AP146" s="261"/>
      <c r="AQ146" s="293"/>
      <c r="AR146" s="228"/>
      <c r="AS146" s="292"/>
      <c r="AT146" s="261"/>
      <c r="AU146" s="261"/>
      <c r="AV146" s="293"/>
      <c r="AW146" s="228"/>
      <c r="AX146" s="292"/>
      <c r="AY146" s="261"/>
      <c r="AZ146" s="261"/>
      <c r="BA146" s="293"/>
      <c r="BB146" s="228"/>
      <c r="BC146" s="292"/>
      <c r="BD146" s="261"/>
      <c r="BE146" s="261"/>
      <c r="BF146" s="293"/>
      <c r="BG146" s="228"/>
      <c r="BH146" s="292"/>
      <c r="BI146" s="261"/>
      <c r="BJ146" s="261"/>
      <c r="BK146" s="293"/>
      <c r="BL146" s="228"/>
      <c r="BM146" s="292"/>
      <c r="BN146" s="261"/>
      <c r="BO146" s="261"/>
      <c r="BP146" s="293"/>
      <c r="BQ146" s="228"/>
      <c r="BR146" s="45"/>
      <c r="BS146" s="45"/>
      <c r="BT146" s="45"/>
      <c r="BU146" s="45"/>
      <c r="BV146" s="45"/>
      <c r="BW146" s="45"/>
      <c r="BX146" s="45"/>
      <c r="BY146" s="45"/>
      <c r="BZ146" s="45"/>
      <c r="CA146" s="45"/>
      <c r="CB146" s="45"/>
      <c r="CC146" s="45"/>
      <c r="CD146" s="45"/>
      <c r="DR146"/>
      <c r="DS146"/>
      <c r="DT146"/>
      <c r="DU146"/>
      <c r="DV146"/>
      <c r="DW146"/>
      <c r="DX146" s="37"/>
    </row>
    <row r="147" spans="2:128" s="28" customFormat="1">
      <c r="C147" s="32"/>
      <c r="E147" s="292"/>
      <c r="F147" s="261"/>
      <c r="G147" s="261"/>
      <c r="H147" s="293"/>
      <c r="I147" s="933"/>
      <c r="J147" s="292"/>
      <c r="K147" s="261"/>
      <c r="L147" s="261"/>
      <c r="M147" s="293"/>
      <c r="N147" s="228"/>
      <c r="O147" s="292"/>
      <c r="P147" s="261"/>
      <c r="Q147" s="261"/>
      <c r="R147" s="293"/>
      <c r="S147" s="228"/>
      <c r="T147" s="292"/>
      <c r="U147" s="261"/>
      <c r="V147" s="261"/>
      <c r="W147" s="293"/>
      <c r="X147" s="228"/>
      <c r="Y147" s="292"/>
      <c r="Z147" s="261"/>
      <c r="AA147" s="1438"/>
      <c r="AB147" s="1439"/>
      <c r="AC147" s="1440"/>
      <c r="AD147" s="292"/>
      <c r="AE147" s="261"/>
      <c r="AF147" s="261"/>
      <c r="AG147" s="293"/>
      <c r="AH147" s="228"/>
      <c r="AI147" s="292"/>
      <c r="AJ147" s="261"/>
      <c r="AK147" s="261"/>
      <c r="AL147" s="293"/>
      <c r="AM147" s="228"/>
      <c r="AN147" s="292"/>
      <c r="AO147" s="261"/>
      <c r="AP147" s="261"/>
      <c r="AQ147" s="293"/>
      <c r="AR147" s="228"/>
      <c r="AS147" s="292"/>
      <c r="AT147" s="261"/>
      <c r="AU147" s="261"/>
      <c r="AV147" s="293"/>
      <c r="AW147" s="228"/>
      <c r="AX147" s="292"/>
      <c r="AY147" s="261"/>
      <c r="AZ147" s="261"/>
      <c r="BA147" s="293"/>
      <c r="BB147" s="228"/>
      <c r="BC147" s="292"/>
      <c r="BD147" s="261"/>
      <c r="BE147" s="261"/>
      <c r="BF147" s="293"/>
      <c r="BG147" s="228"/>
      <c r="BH147" s="292"/>
      <c r="BI147" s="261"/>
      <c r="BJ147" s="261"/>
      <c r="BK147" s="293"/>
      <c r="BL147" s="228"/>
      <c r="BM147" s="292"/>
      <c r="BN147" s="261"/>
      <c r="BO147" s="261"/>
      <c r="BP147" s="293"/>
      <c r="BQ147" s="228"/>
      <c r="BR147" s="45"/>
      <c r="BS147" s="45"/>
      <c r="BT147" s="45"/>
      <c r="BU147" s="781" t="s">
        <v>1310</v>
      </c>
      <c r="BV147" s="45"/>
      <c r="BW147" s="45"/>
      <c r="BX147" s="45"/>
      <c r="BY147" s="45"/>
      <c r="BZ147" s="45"/>
      <c r="CA147" s="45"/>
      <c r="CB147" s="45"/>
      <c r="CC147" s="45"/>
      <c r="CD147" s="45"/>
      <c r="DR147"/>
      <c r="DS147"/>
      <c r="DT147"/>
      <c r="DU147"/>
      <c r="DV147"/>
      <c r="DW147"/>
      <c r="DX147" s="37"/>
    </row>
    <row r="148" spans="2:128" s="28" customFormat="1">
      <c r="B148" s="73" t="s">
        <v>276</v>
      </c>
      <c r="C148" s="211"/>
      <c r="D148" s="211"/>
      <c r="E148" s="267"/>
      <c r="F148" s="250"/>
      <c r="G148" s="250"/>
      <c r="H148" s="268"/>
      <c r="I148" s="564"/>
      <c r="J148" s="267"/>
      <c r="K148" s="250"/>
      <c r="L148" s="250"/>
      <c r="M148" s="268"/>
      <c r="O148" s="267"/>
      <c r="P148" s="250"/>
      <c r="Q148" s="250"/>
      <c r="R148" s="268"/>
      <c r="T148" s="267"/>
      <c r="U148" s="250"/>
      <c r="V148" s="250"/>
      <c r="W148" s="268"/>
      <c r="Y148" s="267"/>
      <c r="Z148" s="250"/>
      <c r="AA148" s="1498"/>
      <c r="AB148" s="1499"/>
      <c r="AD148" s="267"/>
      <c r="AE148" s="250"/>
      <c r="AF148" s="250"/>
      <c r="AG148" s="268"/>
      <c r="AI148" s="267"/>
      <c r="AJ148" s="250"/>
      <c r="AK148" s="250"/>
      <c r="AL148" s="268"/>
      <c r="AN148" s="267"/>
      <c r="AO148" s="250"/>
      <c r="AP148" s="250"/>
      <c r="AQ148" s="268"/>
      <c r="AS148" s="267"/>
      <c r="AT148" s="250"/>
      <c r="AU148" s="250"/>
      <c r="AV148" s="268"/>
      <c r="AX148" s="267"/>
      <c r="AY148" s="250"/>
      <c r="AZ148" s="250"/>
      <c r="BA148" s="268"/>
      <c r="BB148" s="546"/>
      <c r="BC148" s="267"/>
      <c r="BD148" s="250"/>
      <c r="BE148" s="250"/>
      <c r="BF148" s="268"/>
      <c r="BH148" s="267"/>
      <c r="BI148" s="250"/>
      <c r="BJ148" s="250"/>
      <c r="BK148" s="268"/>
      <c r="BM148" s="267"/>
      <c r="BN148" s="250"/>
      <c r="BO148" s="250"/>
      <c r="BP148" s="268"/>
      <c r="BR148" s="20"/>
      <c r="BS148" s="20"/>
      <c r="BT148" s="45"/>
      <c r="BU148" s="782" t="s">
        <v>358</v>
      </c>
      <c r="BV148" s="782" t="s">
        <v>359</v>
      </c>
      <c r="BW148" s="782" t="s">
        <v>322</v>
      </c>
      <c r="BX148" s="782" t="s">
        <v>323</v>
      </c>
      <c r="BY148" s="782" t="s">
        <v>628</v>
      </c>
      <c r="BZ148" s="782" t="s">
        <v>324</v>
      </c>
      <c r="CA148" s="782" t="s">
        <v>325</v>
      </c>
      <c r="CB148" s="782" t="s">
        <v>326</v>
      </c>
      <c r="CC148" s="782" t="s">
        <v>327</v>
      </c>
      <c r="CD148" s="782" t="s">
        <v>629</v>
      </c>
      <c r="CE148" s="782" t="s">
        <v>268</v>
      </c>
      <c r="CF148" s="782" t="s">
        <v>269</v>
      </c>
      <c r="CG148" s="782" t="s">
        <v>270</v>
      </c>
      <c r="CH148" s="782" t="s">
        <v>271</v>
      </c>
      <c r="CI148" s="782" t="s">
        <v>630</v>
      </c>
      <c r="CJ148" s="782" t="s">
        <v>616</v>
      </c>
      <c r="CK148" s="782" t="s">
        <v>1201</v>
      </c>
      <c r="CL148" s="782" t="s">
        <v>1251</v>
      </c>
      <c r="CM148" s="782" t="s">
        <v>1252</v>
      </c>
      <c r="CN148" s="782" t="s">
        <v>827</v>
      </c>
      <c r="CO148" s="782" t="s">
        <v>674</v>
      </c>
      <c r="CP148" s="782" t="s">
        <v>673</v>
      </c>
      <c r="CQ148" s="782" t="s">
        <v>919</v>
      </c>
      <c r="CR148" s="782" t="s">
        <v>920</v>
      </c>
      <c r="CS148" s="782" t="s">
        <v>922</v>
      </c>
      <c r="CT148" s="782" t="s">
        <v>1218</v>
      </c>
      <c r="CU148" s="782" t="s">
        <v>1211</v>
      </c>
      <c r="CV148" s="782" t="s">
        <v>1344</v>
      </c>
      <c r="CW148" s="782" t="s">
        <v>1345</v>
      </c>
      <c r="CX148" s="782" t="s">
        <v>1346</v>
      </c>
      <c r="CY148" s="782" t="s">
        <v>1409</v>
      </c>
      <c r="CZ148" s="782" t="s">
        <v>1405</v>
      </c>
      <c r="DA148" s="782" t="s">
        <v>1406</v>
      </c>
      <c r="DB148" s="782" t="s">
        <v>1407</v>
      </c>
      <c r="DC148" s="782" t="s">
        <v>1408</v>
      </c>
      <c r="DD148" s="782" t="s">
        <v>1436</v>
      </c>
      <c r="DE148" s="782" t="s">
        <v>1439</v>
      </c>
      <c r="DF148" s="782" t="s">
        <v>1480</v>
      </c>
      <c r="DG148" s="782" t="s">
        <v>1501</v>
      </c>
      <c r="DH148" s="782" t="s">
        <v>1503</v>
      </c>
      <c r="DI148" s="782" t="s">
        <v>1515</v>
      </c>
      <c r="DJ148" s="782" t="s">
        <v>1534</v>
      </c>
      <c r="DK148" s="782" t="s">
        <v>1536</v>
      </c>
      <c r="DL148" s="782" t="s">
        <v>1538</v>
      </c>
      <c r="DM148" s="782" t="s">
        <v>1540</v>
      </c>
      <c r="DN148" s="782"/>
      <c r="DO148" s="782"/>
      <c r="DP148" s="782"/>
      <c r="DQ148" s="782"/>
      <c r="DR148"/>
      <c r="DS148"/>
      <c r="DT148"/>
      <c r="DU148"/>
      <c r="DV148"/>
      <c r="DW148"/>
      <c r="DX148" s="37"/>
    </row>
    <row r="149" spans="2:128" s="24" customFormat="1">
      <c r="C149" s="24" t="s">
        <v>321</v>
      </c>
      <c r="E149" s="290">
        <f t="shared" ref="E149:E155" si="230">BU149</f>
        <v>712</v>
      </c>
      <c r="F149" s="260">
        <f t="shared" ref="F149:H155" si="231">BV149-BU149</f>
        <v>657</v>
      </c>
      <c r="G149" s="260">
        <f t="shared" si="231"/>
        <v>757</v>
      </c>
      <c r="H149" s="291">
        <f t="shared" si="231"/>
        <v>581</v>
      </c>
      <c r="I149" s="932">
        <f t="shared" ref="I149:I154" si="232">SUM(E149:H149)</f>
        <v>2707</v>
      </c>
      <c r="J149" s="290">
        <f t="shared" ref="J149:J155" si="233">BZ149</f>
        <v>749</v>
      </c>
      <c r="K149" s="260">
        <f t="shared" ref="K149:M155" si="234">CA149-BZ149</f>
        <v>445</v>
      </c>
      <c r="L149" s="260">
        <f t="shared" si="234"/>
        <v>845</v>
      </c>
      <c r="M149" s="291">
        <f t="shared" si="234"/>
        <v>524</v>
      </c>
      <c r="N149" s="45">
        <f t="shared" ref="N149:N154" si="235">SUM(J149:M149)</f>
        <v>2563</v>
      </c>
      <c r="O149" s="290">
        <f t="shared" ref="O149:O155" si="236">CE149</f>
        <v>669</v>
      </c>
      <c r="P149" s="260">
        <f t="shared" ref="P149:R155" si="237">CF149-CE149</f>
        <v>619</v>
      </c>
      <c r="Q149" s="260">
        <f t="shared" si="237"/>
        <v>601</v>
      </c>
      <c r="R149" s="291">
        <f t="shared" si="237"/>
        <v>606</v>
      </c>
      <c r="S149" s="45">
        <f t="shared" ref="S149:S154" si="238">SUM(O149:R149)</f>
        <v>2495</v>
      </c>
      <c r="T149" s="290">
        <f t="shared" ref="T149:T155" si="239">CJ149</f>
        <v>200</v>
      </c>
      <c r="U149" s="260">
        <f t="shared" ref="U149:W155" si="240">CK149-CJ149</f>
        <v>290</v>
      </c>
      <c r="V149" s="260">
        <f t="shared" si="240"/>
        <v>297</v>
      </c>
      <c r="W149" s="291">
        <f t="shared" si="240"/>
        <v>384</v>
      </c>
      <c r="X149" s="45">
        <f t="shared" ref="X149:X154" si="241">SUM(T149:W149)</f>
        <v>1171</v>
      </c>
      <c r="Y149" s="290">
        <f t="shared" ref="Y149:Y155" si="242">CO149</f>
        <v>1</v>
      </c>
      <c r="Z149" s="260">
        <f t="shared" ref="Z149:AB155" si="243">CP149-CO149</f>
        <v>497</v>
      </c>
      <c r="AA149" s="1441">
        <f t="shared" si="243"/>
        <v>737</v>
      </c>
      <c r="AB149" s="1442">
        <f t="shared" si="243"/>
        <v>494</v>
      </c>
      <c r="AC149" s="1443">
        <f t="shared" ref="AC149:AC154" si="244">SUM(Y149:AB149)</f>
        <v>1729</v>
      </c>
      <c r="AD149" s="290">
        <f t="shared" ref="AD149:AD155" si="245">CT149</f>
        <v>93</v>
      </c>
      <c r="AE149" s="260">
        <f t="shared" ref="AE149:AF155" si="246">CU149-CT149</f>
        <v>558</v>
      </c>
      <c r="AF149" s="1441">
        <f t="shared" si="246"/>
        <v>1074</v>
      </c>
      <c r="AG149" s="1442">
        <f t="shared" ref="AG149:AG155" si="247">CW149-CV149</f>
        <v>95</v>
      </c>
      <c r="AH149" s="1443">
        <f t="shared" ref="AH149:AH154" si="248">SUM(AD149:AG149)</f>
        <v>1820</v>
      </c>
      <c r="AI149" s="290">
        <f t="shared" ref="AI149:AI155" si="249">CY149</f>
        <v>738</v>
      </c>
      <c r="AJ149" s="260">
        <f t="shared" ref="AJ149:AJ150" si="250">CZ149-CY149</f>
        <v>634</v>
      </c>
      <c r="AK149" s="1441">
        <f t="shared" ref="AK149:AK155" si="251">DA149-CZ149</f>
        <v>587</v>
      </c>
      <c r="AL149" s="1442">
        <f t="shared" ref="AL149:AL155" si="252">DB149-DA149</f>
        <v>291</v>
      </c>
      <c r="AM149" s="1443">
        <f t="shared" ref="AM149:AM154" si="253">SUM(AI149:AL149)</f>
        <v>2250</v>
      </c>
      <c r="AN149" s="290">
        <f t="shared" ref="AN149:AN155" si="254">DD149</f>
        <v>123</v>
      </c>
      <c r="AO149" s="260">
        <f t="shared" ref="AO149:AP155" si="255">DE149-DD149</f>
        <v>307</v>
      </c>
      <c r="AP149" s="1441">
        <f t="shared" si="255"/>
        <v>526</v>
      </c>
      <c r="AQ149" s="1442">
        <f t="shared" ref="AQ149:AQ155" si="256">DG149-DF149</f>
        <v>248</v>
      </c>
      <c r="AR149" s="1443">
        <f t="shared" ref="AR149:AR154" si="257">SUM(AN149:AQ149)</f>
        <v>1204</v>
      </c>
      <c r="AS149" s="290">
        <f t="shared" ref="AS149:AS155" si="258">DI149</f>
        <v>981</v>
      </c>
      <c r="AT149" s="260">
        <f t="shared" ref="AT149:AT150" si="259">DJ149-DI149</f>
        <v>65</v>
      </c>
      <c r="AU149" s="260">
        <f t="shared" ref="AU149:AU155" si="260">DK149-DJ149</f>
        <v>865</v>
      </c>
      <c r="AV149" s="1442">
        <f t="shared" ref="AV149:AV155" si="261">DL149-DK149</f>
        <v>1938</v>
      </c>
      <c r="AW149" s="1443">
        <f>SUM(AS149:AV149)</f>
        <v>3849</v>
      </c>
      <c r="AX149" s="290">
        <f>+AX44</f>
        <v>897.35902791086187</v>
      </c>
      <c r="AY149" s="260">
        <f ca="1">+AY44</f>
        <v>573.65214763784763</v>
      </c>
      <c r="AZ149" s="260">
        <f ca="1">+AZ44</f>
        <v>957.41192994615881</v>
      </c>
      <c r="BA149" s="291">
        <f ca="1">+BA44</f>
        <v>527.03564605803876</v>
      </c>
      <c r="BB149" s="45">
        <f t="shared" ref="BB149:BB153" ca="1" si="262">SUM(AX149:BA149)</f>
        <v>2955.4587515529074</v>
      </c>
      <c r="BC149" s="290">
        <f ca="1">+BC44</f>
        <v>970.74680176349182</v>
      </c>
      <c r="BD149" s="260">
        <f ca="1">+BD44</f>
        <v>491.05587023793225</v>
      </c>
      <c r="BE149" s="260">
        <f ca="1">+BE44</f>
        <v>860.19049956001209</v>
      </c>
      <c r="BF149" s="291">
        <f ca="1">+BF44</f>
        <v>485.23337772897708</v>
      </c>
      <c r="BG149" s="45">
        <f t="shared" ref="BG149:BG154" ca="1" si="263">SUM(BC149:BF149)</f>
        <v>2807.2265492904135</v>
      </c>
      <c r="BH149" s="290">
        <f ca="1">+BH44</f>
        <v>898.06829426777927</v>
      </c>
      <c r="BI149" s="260">
        <f ca="1">+BI44</f>
        <v>457.24878258364868</v>
      </c>
      <c r="BJ149" s="260">
        <f ca="1">+BJ44</f>
        <v>853.54813121330062</v>
      </c>
      <c r="BK149" s="291">
        <f ca="1">+BK44</f>
        <v>530.00304706199086</v>
      </c>
      <c r="BL149" s="45">
        <f t="shared" ref="BL149:BL154" ca="1" si="264">SUM(BH149:BK149)</f>
        <v>2738.8682551267193</v>
      </c>
      <c r="BM149" s="290">
        <f ca="1">+BM44</f>
        <v>835.23190082048757</v>
      </c>
      <c r="BN149" s="260">
        <f ca="1">+BN44</f>
        <v>558.86986011007116</v>
      </c>
      <c r="BO149" s="260">
        <f ca="1">+BO44</f>
        <v>918.09186248164519</v>
      </c>
      <c r="BP149" s="291">
        <f ca="1">+BP44</f>
        <v>612.77074781942406</v>
      </c>
      <c r="BQ149" s="45">
        <f t="shared" ref="BQ149:BQ154" ca="1" si="265">SUM(BM149:BP149)</f>
        <v>2924.9643712316283</v>
      </c>
      <c r="BR149" s="783"/>
      <c r="BS149" s="783"/>
      <c r="BT149" s="45"/>
      <c r="BU149" s="817">
        <v>712</v>
      </c>
      <c r="BV149" s="817">
        <v>1369</v>
      </c>
      <c r="BW149" s="817">
        <v>2126</v>
      </c>
      <c r="BX149" s="349">
        <f>BY149</f>
        <v>2707</v>
      </c>
      <c r="BY149" s="817">
        <v>2707</v>
      </c>
      <c r="BZ149" s="817">
        <v>749</v>
      </c>
      <c r="CA149" s="817">
        <v>1194</v>
      </c>
      <c r="CB149" s="817">
        <v>2039</v>
      </c>
      <c r="CC149" s="349">
        <f>CD149</f>
        <v>2563</v>
      </c>
      <c r="CD149" s="817">
        <v>2563</v>
      </c>
      <c r="CE149" s="817">
        <v>669</v>
      </c>
      <c r="CF149" s="817">
        <v>1288</v>
      </c>
      <c r="CG149" s="817">
        <v>1889</v>
      </c>
      <c r="CH149" s="349">
        <f>CI149</f>
        <v>2495</v>
      </c>
      <c r="CI149" s="817">
        <v>2495</v>
      </c>
      <c r="CJ149" s="817">
        <f>200</f>
        <v>200</v>
      </c>
      <c r="CK149" s="817">
        <v>490</v>
      </c>
      <c r="CL149" s="817">
        <v>787</v>
      </c>
      <c r="CM149" s="349">
        <f>CN149</f>
        <v>1171</v>
      </c>
      <c r="CN149" s="817">
        <v>1171</v>
      </c>
      <c r="CO149" s="817">
        <v>1</v>
      </c>
      <c r="CP149" s="817">
        <v>498</v>
      </c>
      <c r="CQ149" s="1544">
        <v>1235</v>
      </c>
      <c r="CR149" s="349">
        <f>CS149</f>
        <v>1729</v>
      </c>
      <c r="CS149" s="1544">
        <v>1729</v>
      </c>
      <c r="CT149" s="817">
        <v>93</v>
      </c>
      <c r="CU149" s="1544">
        <v>651</v>
      </c>
      <c r="CV149" s="1544">
        <v>1725</v>
      </c>
      <c r="CW149" s="349">
        <f>CX149</f>
        <v>1820</v>
      </c>
      <c r="CX149" s="1544">
        <v>1820</v>
      </c>
      <c r="CY149" s="817">
        <v>738</v>
      </c>
      <c r="CZ149" s="1544">
        <v>1372</v>
      </c>
      <c r="DA149" s="1544">
        <v>1959</v>
      </c>
      <c r="DB149" s="349">
        <f>DC149</f>
        <v>2250</v>
      </c>
      <c r="DC149" s="1544">
        <v>2250</v>
      </c>
      <c r="DD149" s="817">
        <v>123</v>
      </c>
      <c r="DE149" s="1544">
        <v>430</v>
      </c>
      <c r="DF149" s="1544">
        <v>956</v>
      </c>
      <c r="DG149" s="349">
        <f>DH149</f>
        <v>1204</v>
      </c>
      <c r="DH149" s="1544">
        <v>1204</v>
      </c>
      <c r="DI149" s="817">
        <v>981</v>
      </c>
      <c r="DJ149" s="1544">
        <v>1046</v>
      </c>
      <c r="DK149" s="1544">
        <v>1911</v>
      </c>
      <c r="DL149" s="349">
        <f>DM149</f>
        <v>3849</v>
      </c>
      <c r="DM149" s="1544">
        <v>3849</v>
      </c>
      <c r="DN149" s="817"/>
      <c r="DO149" s="817"/>
      <c r="DP149" s="817"/>
      <c r="DQ149" s="817"/>
      <c r="DR149"/>
      <c r="DS149"/>
      <c r="DT149"/>
      <c r="DU149"/>
      <c r="DV149"/>
      <c r="DW149"/>
      <c r="DX149" s="825"/>
    </row>
    <row r="150" spans="2:128" s="24" customFormat="1">
      <c r="C150" s="799" t="s">
        <v>587</v>
      </c>
      <c r="E150" s="290">
        <f t="shared" si="230"/>
        <v>436</v>
      </c>
      <c r="F150" s="260">
        <f t="shared" si="231"/>
        <v>439</v>
      </c>
      <c r="G150" s="260">
        <f t="shared" si="231"/>
        <v>485</v>
      </c>
      <c r="H150" s="291">
        <f t="shared" si="231"/>
        <v>474</v>
      </c>
      <c r="I150" s="932">
        <f t="shared" si="232"/>
        <v>1834</v>
      </c>
      <c r="J150" s="290">
        <f t="shared" si="233"/>
        <v>514</v>
      </c>
      <c r="K150" s="260">
        <f t="shared" si="234"/>
        <v>519</v>
      </c>
      <c r="L150" s="260">
        <f t="shared" si="234"/>
        <v>578</v>
      </c>
      <c r="M150" s="291">
        <f t="shared" si="234"/>
        <v>464</v>
      </c>
      <c r="N150" s="45">
        <f t="shared" si="235"/>
        <v>2075</v>
      </c>
      <c r="O150" s="290">
        <f t="shared" si="236"/>
        <v>327</v>
      </c>
      <c r="P150" s="260">
        <f t="shared" si="237"/>
        <v>329</v>
      </c>
      <c r="Q150" s="260">
        <f t="shared" si="237"/>
        <v>332</v>
      </c>
      <c r="R150" s="291">
        <f t="shared" si="237"/>
        <v>347</v>
      </c>
      <c r="S150" s="45">
        <f t="shared" si="238"/>
        <v>1335</v>
      </c>
      <c r="T150" s="290">
        <f t="shared" si="239"/>
        <v>382</v>
      </c>
      <c r="U150" s="260">
        <f t="shared" si="240"/>
        <v>494</v>
      </c>
      <c r="V150" s="260">
        <f t="shared" si="240"/>
        <v>500</v>
      </c>
      <c r="W150" s="291">
        <f t="shared" si="240"/>
        <v>505</v>
      </c>
      <c r="X150" s="45">
        <f t="shared" si="241"/>
        <v>1881</v>
      </c>
      <c r="Y150" s="290">
        <f t="shared" si="242"/>
        <v>543</v>
      </c>
      <c r="Z150" s="260">
        <f t="shared" si="243"/>
        <v>533</v>
      </c>
      <c r="AA150" s="1441">
        <f t="shared" si="243"/>
        <v>530</v>
      </c>
      <c r="AB150" s="1442">
        <f t="shared" si="243"/>
        <v>547</v>
      </c>
      <c r="AC150" s="1443">
        <f t="shared" si="244"/>
        <v>2153</v>
      </c>
      <c r="AD150" s="290">
        <f t="shared" si="245"/>
        <v>564</v>
      </c>
      <c r="AE150" s="260">
        <f t="shared" si="246"/>
        <v>590</v>
      </c>
      <c r="AF150" s="1441">
        <f t="shared" si="246"/>
        <v>577</v>
      </c>
      <c r="AG150" s="1442">
        <f t="shared" si="247"/>
        <v>583</v>
      </c>
      <c r="AH150" s="1443">
        <f t="shared" si="248"/>
        <v>2314</v>
      </c>
      <c r="AI150" s="290">
        <f t="shared" si="249"/>
        <v>610</v>
      </c>
      <c r="AJ150" s="260">
        <f t="shared" si="250"/>
        <v>602</v>
      </c>
      <c r="AK150" s="1441">
        <f t="shared" si="251"/>
        <v>606</v>
      </c>
      <c r="AL150" s="1442">
        <f t="shared" si="252"/>
        <v>632</v>
      </c>
      <c r="AM150" s="1443">
        <f t="shared" si="253"/>
        <v>2450</v>
      </c>
      <c r="AN150" s="290">
        <f t="shared" si="254"/>
        <v>685</v>
      </c>
      <c r="AO150" s="260">
        <f t="shared" si="255"/>
        <v>941</v>
      </c>
      <c r="AP150" s="1441">
        <f t="shared" si="255"/>
        <v>1195</v>
      </c>
      <c r="AQ150" s="1442">
        <f t="shared" si="256"/>
        <v>1115</v>
      </c>
      <c r="AR150" s="1443">
        <f t="shared" si="257"/>
        <v>3936</v>
      </c>
      <c r="AS150" s="290">
        <f t="shared" si="258"/>
        <v>896</v>
      </c>
      <c r="AT150" s="260">
        <f t="shared" si="259"/>
        <v>915</v>
      </c>
      <c r="AU150" s="260">
        <f t="shared" si="260"/>
        <v>1002</v>
      </c>
      <c r="AV150" s="1442">
        <f t="shared" si="261"/>
        <v>1015</v>
      </c>
      <c r="AW150" s="1443">
        <f t="shared" ref="AW150:AW154" si="266">SUM(AS150:AV150)</f>
        <v>3828</v>
      </c>
      <c r="AX150" s="290">
        <f>+AX13</f>
        <v>862.57258887242006</v>
      </c>
      <c r="AY150" s="260">
        <f>+AY13</f>
        <v>857.18454989771385</v>
      </c>
      <c r="AZ150" s="260">
        <f>+AZ13</f>
        <v>861.26947296235494</v>
      </c>
      <c r="BA150" s="291">
        <f>+BA13</f>
        <v>889.24069609837738</v>
      </c>
      <c r="BB150" s="45">
        <f t="shared" si="262"/>
        <v>3470.2673078308662</v>
      </c>
      <c r="BC150" s="290">
        <f>+BC13</f>
        <v>904.58866939055406</v>
      </c>
      <c r="BD150" s="260">
        <f>+BD13</f>
        <v>901.12884760622262</v>
      </c>
      <c r="BE150" s="260">
        <f>+BE13</f>
        <v>902.55443819884511</v>
      </c>
      <c r="BF150" s="291">
        <f>+BF13</f>
        <v>927.89971039740033</v>
      </c>
      <c r="BG150" s="45">
        <f t="shared" si="263"/>
        <v>3636.1716655930222</v>
      </c>
      <c r="BH150" s="290">
        <f>+BH13</f>
        <v>937.66555813925697</v>
      </c>
      <c r="BI150" s="260">
        <f>+BI13</f>
        <v>930.27071938139954</v>
      </c>
      <c r="BJ150" s="260">
        <f>+BJ13</f>
        <v>931.9407049681804</v>
      </c>
      <c r="BK150" s="291">
        <f>+BK13</f>
        <v>957.52526474957313</v>
      </c>
      <c r="BL150" s="45">
        <f t="shared" si="264"/>
        <v>3757.4022472384099</v>
      </c>
      <c r="BM150" s="290">
        <f>+BM13</f>
        <v>962.02538075475707</v>
      </c>
      <c r="BN150" s="260">
        <f>+BN13</f>
        <v>955.40159636478086</v>
      </c>
      <c r="BO150" s="260">
        <f>+BO13</f>
        <v>956.62752192840207</v>
      </c>
      <c r="BP150" s="291">
        <f>+BP13</f>
        <v>981.77154538935758</v>
      </c>
      <c r="BQ150" s="45">
        <f t="shared" si="265"/>
        <v>3855.8260444372977</v>
      </c>
      <c r="BR150" s="783"/>
      <c r="BS150" s="783"/>
      <c r="BT150" s="45"/>
      <c r="BU150" s="817">
        <f>E13</f>
        <v>436</v>
      </c>
      <c r="BV150" s="817">
        <f>E13+F13</f>
        <v>875</v>
      </c>
      <c r="BW150" s="817">
        <f>+E13+F13+G13</f>
        <v>1360</v>
      </c>
      <c r="BX150" s="349">
        <f>BY150</f>
        <v>1834</v>
      </c>
      <c r="BY150" s="817">
        <f>I13</f>
        <v>1834</v>
      </c>
      <c r="BZ150" s="817">
        <f>+J13</f>
        <v>514</v>
      </c>
      <c r="CA150" s="817">
        <f>+J13+K13</f>
        <v>1033</v>
      </c>
      <c r="CB150" s="817">
        <f>+J13+K13+L13</f>
        <v>1611</v>
      </c>
      <c r="CC150" s="349">
        <f>CD150</f>
        <v>2075</v>
      </c>
      <c r="CD150" s="817">
        <f>N13</f>
        <v>2075</v>
      </c>
      <c r="CE150" s="817">
        <f>O13</f>
        <v>327</v>
      </c>
      <c r="CF150" s="817">
        <f>+O13+P13</f>
        <v>656</v>
      </c>
      <c r="CG150" s="817">
        <f>+O13+P13+Q13</f>
        <v>988</v>
      </c>
      <c r="CH150" s="349">
        <f>CI150</f>
        <v>1335</v>
      </c>
      <c r="CI150" s="817">
        <f>S13</f>
        <v>1335</v>
      </c>
      <c r="CJ150" s="817">
        <f>T13</f>
        <v>382</v>
      </c>
      <c r="CK150" s="817">
        <f>+U13+T13</f>
        <v>876</v>
      </c>
      <c r="CL150" s="817">
        <f>+T13+U13+V13</f>
        <v>1376</v>
      </c>
      <c r="CM150" s="349">
        <f>CN150</f>
        <v>1881</v>
      </c>
      <c r="CN150" s="817">
        <f>X13</f>
        <v>1881</v>
      </c>
      <c r="CO150" s="817">
        <f>Y13</f>
        <v>543</v>
      </c>
      <c r="CP150" s="817">
        <f>+Z13+Y13</f>
        <v>1076</v>
      </c>
      <c r="CQ150" s="1544">
        <f>+Y13+Z13+AA13</f>
        <v>1606</v>
      </c>
      <c r="CR150" s="349">
        <f>CS150</f>
        <v>2153</v>
      </c>
      <c r="CS150" s="1544">
        <f>AC13</f>
        <v>2153</v>
      </c>
      <c r="CT150" s="817">
        <f>AD13</f>
        <v>564</v>
      </c>
      <c r="CU150" s="817">
        <f>+AE13+AD13</f>
        <v>1154</v>
      </c>
      <c r="CV150" s="1544">
        <f>+AD13+AE13+AF13</f>
        <v>1731</v>
      </c>
      <c r="CW150" s="349">
        <f>CX150</f>
        <v>2314</v>
      </c>
      <c r="CX150" s="1544">
        <f>AH13</f>
        <v>2314</v>
      </c>
      <c r="CY150" s="817">
        <f>AI13</f>
        <v>610</v>
      </c>
      <c r="CZ150" s="817">
        <f>+AJ13+AI13</f>
        <v>1212</v>
      </c>
      <c r="DA150" s="1544">
        <f>+AI13+AJ13+AK13</f>
        <v>1818</v>
      </c>
      <c r="DB150" s="349">
        <f>DC150</f>
        <v>2450</v>
      </c>
      <c r="DC150" s="1544">
        <f>AM13</f>
        <v>2450</v>
      </c>
      <c r="DD150" s="1544">
        <f>AN13</f>
        <v>685</v>
      </c>
      <c r="DE150" s="817">
        <f>+AO13+AN13</f>
        <v>1626</v>
      </c>
      <c r="DF150" s="1544">
        <f>+AN13+AO13+AP13</f>
        <v>2821</v>
      </c>
      <c r="DG150" s="349">
        <f>DH150</f>
        <v>3936</v>
      </c>
      <c r="DH150" s="1544">
        <f>AR13</f>
        <v>3936</v>
      </c>
      <c r="DI150" s="1544">
        <f>AS13</f>
        <v>896</v>
      </c>
      <c r="DJ150" s="817">
        <f>+AT13+AS13</f>
        <v>1811</v>
      </c>
      <c r="DK150" s="1544">
        <f>+AS13+AT13+AU13</f>
        <v>2813</v>
      </c>
      <c r="DL150" s="349">
        <f>DM150</f>
        <v>3828</v>
      </c>
      <c r="DM150" s="1544">
        <f>AW13</f>
        <v>3828</v>
      </c>
      <c r="DN150" s="1544"/>
      <c r="DO150" s="1544"/>
      <c r="DP150" s="1544"/>
      <c r="DQ150" s="1544"/>
      <c r="DR150"/>
      <c r="DS150"/>
      <c r="DT150"/>
      <c r="DU150"/>
      <c r="DV150"/>
      <c r="DW150"/>
      <c r="DX150" s="825"/>
    </row>
    <row r="151" spans="2:128" s="24" customFormat="1">
      <c r="C151" s="799" t="s">
        <v>631</v>
      </c>
      <c r="E151" s="290">
        <f t="shared" si="230"/>
        <v>186</v>
      </c>
      <c r="F151" s="260">
        <f>BV151-BU151</f>
        <v>192</v>
      </c>
      <c r="G151" s="260">
        <f>BW151-BV151</f>
        <v>197</v>
      </c>
      <c r="H151" s="291">
        <f>BX151-BW151</f>
        <v>192</v>
      </c>
      <c r="I151" s="932">
        <f t="shared" si="232"/>
        <v>767</v>
      </c>
      <c r="J151" s="290">
        <f t="shared" si="233"/>
        <v>204</v>
      </c>
      <c r="K151" s="260">
        <f>CA151-BZ151</f>
        <v>218</v>
      </c>
      <c r="L151" s="260">
        <f>CB151-CA151</f>
        <v>222</v>
      </c>
      <c r="M151" s="291">
        <f>CC151-CB151</f>
        <v>224</v>
      </c>
      <c r="N151" s="45">
        <f t="shared" si="235"/>
        <v>868</v>
      </c>
      <c r="O151" s="290">
        <f t="shared" si="236"/>
        <v>225</v>
      </c>
      <c r="P151" s="260">
        <f>CF151-CE151</f>
        <v>233</v>
      </c>
      <c r="Q151" s="260">
        <f>CG151-CF151</f>
        <v>256</v>
      </c>
      <c r="R151" s="291">
        <f>CH151-CG151</f>
        <v>255</v>
      </c>
      <c r="S151" s="45">
        <f t="shared" si="238"/>
        <v>969</v>
      </c>
      <c r="T151" s="290">
        <f t="shared" si="239"/>
        <v>394</v>
      </c>
      <c r="U151" s="260">
        <f>CK151-CJ151</f>
        <v>625</v>
      </c>
      <c r="V151" s="260">
        <f t="shared" si="240"/>
        <v>514</v>
      </c>
      <c r="W151" s="291">
        <f t="shared" si="240"/>
        <v>665</v>
      </c>
      <c r="X151" s="45">
        <f t="shared" si="241"/>
        <v>2198</v>
      </c>
      <c r="Y151" s="290">
        <f t="shared" si="242"/>
        <v>474</v>
      </c>
      <c r="Z151" s="260">
        <f>CP151-CO151</f>
        <v>422</v>
      </c>
      <c r="AA151" s="1441">
        <f t="shared" si="243"/>
        <v>342</v>
      </c>
      <c r="AB151" s="1442">
        <f t="shared" si="243"/>
        <v>388</v>
      </c>
      <c r="AC151" s="1443">
        <f t="shared" si="244"/>
        <v>1626</v>
      </c>
      <c r="AD151" s="290">
        <f t="shared" si="245"/>
        <v>344</v>
      </c>
      <c r="AE151" s="260">
        <f>CU151-CT151</f>
        <v>427</v>
      </c>
      <c r="AF151" s="1441">
        <f t="shared" si="246"/>
        <v>354</v>
      </c>
      <c r="AG151" s="1442">
        <f t="shared" si="247"/>
        <v>429</v>
      </c>
      <c r="AH151" s="1443">
        <f t="shared" si="248"/>
        <v>1554</v>
      </c>
      <c r="AI151" s="290">
        <f t="shared" si="249"/>
        <v>338</v>
      </c>
      <c r="AJ151" s="260">
        <f>CZ151-CY151</f>
        <v>407</v>
      </c>
      <c r="AK151" s="1441">
        <f t="shared" si="251"/>
        <v>367</v>
      </c>
      <c r="AL151" s="1442">
        <f t="shared" si="252"/>
        <v>425</v>
      </c>
      <c r="AM151" s="1443">
        <f t="shared" si="253"/>
        <v>1537</v>
      </c>
      <c r="AN151" s="290">
        <f t="shared" si="254"/>
        <v>378</v>
      </c>
      <c r="AO151" s="260">
        <f>DE151-DD151</f>
        <v>392</v>
      </c>
      <c r="AP151" s="1441">
        <f t="shared" si="255"/>
        <v>418</v>
      </c>
      <c r="AQ151" s="1442">
        <f t="shared" si="256"/>
        <v>452</v>
      </c>
      <c r="AR151" s="1443">
        <f t="shared" si="257"/>
        <v>1640</v>
      </c>
      <c r="AS151" s="290">
        <f t="shared" si="258"/>
        <v>378</v>
      </c>
      <c r="AT151" s="260">
        <f>DJ151-DI151</f>
        <v>402</v>
      </c>
      <c r="AU151" s="260">
        <f t="shared" si="260"/>
        <v>406</v>
      </c>
      <c r="AV151" s="1442">
        <f t="shared" si="261"/>
        <v>413</v>
      </c>
      <c r="AW151" s="1443">
        <f t="shared" si="266"/>
        <v>1599</v>
      </c>
      <c r="AX151" s="290">
        <f>ExGen!AX821</f>
        <v>237.5</v>
      </c>
      <c r="AY151" s="260">
        <f>ExGen!AY821</f>
        <v>237.5</v>
      </c>
      <c r="AZ151" s="260">
        <f>ExGen!AZ821</f>
        <v>237.5</v>
      </c>
      <c r="BA151" s="291">
        <f>ExGen!BA821</f>
        <v>237.5</v>
      </c>
      <c r="BB151" s="45">
        <f t="shared" si="262"/>
        <v>950</v>
      </c>
      <c r="BC151" s="290">
        <f>ExGen!BC821</f>
        <v>225</v>
      </c>
      <c r="BD151" s="260">
        <f>ExGen!BD821</f>
        <v>225</v>
      </c>
      <c r="BE151" s="260">
        <f>ExGen!BE821</f>
        <v>225</v>
      </c>
      <c r="BF151" s="291">
        <f>ExGen!BF821</f>
        <v>225</v>
      </c>
      <c r="BG151" s="45">
        <f t="shared" si="263"/>
        <v>900</v>
      </c>
      <c r="BH151" s="290">
        <f>ExGen!BH821</f>
        <v>206.25</v>
      </c>
      <c r="BI151" s="260">
        <f>ExGen!BI821</f>
        <v>206.25</v>
      </c>
      <c r="BJ151" s="260">
        <f>ExGen!BJ821</f>
        <v>206.25</v>
      </c>
      <c r="BK151" s="291">
        <f>ExGen!BK821</f>
        <v>206.25</v>
      </c>
      <c r="BL151" s="45">
        <f t="shared" si="264"/>
        <v>825</v>
      </c>
      <c r="BM151" s="290">
        <f>ExGen!BM821</f>
        <v>200</v>
      </c>
      <c r="BN151" s="260">
        <f>ExGen!BN821</f>
        <v>200</v>
      </c>
      <c r="BO151" s="260">
        <f>ExGen!BO821</f>
        <v>200</v>
      </c>
      <c r="BP151" s="291">
        <f>ExGen!BP821</f>
        <v>200</v>
      </c>
      <c r="BQ151" s="45">
        <f t="shared" si="265"/>
        <v>800</v>
      </c>
      <c r="BR151" s="783"/>
      <c r="BS151" s="783"/>
      <c r="BT151" s="45"/>
      <c r="BU151" s="817">
        <f>622-BU150</f>
        <v>186</v>
      </c>
      <c r="BV151" s="817">
        <f>1253-BV150</f>
        <v>378</v>
      </c>
      <c r="BW151" s="817">
        <f>1935-BW150</f>
        <v>575</v>
      </c>
      <c r="BX151" s="349">
        <f>BY151</f>
        <v>767</v>
      </c>
      <c r="BY151" s="817">
        <f>2601-BY150</f>
        <v>767</v>
      </c>
      <c r="BZ151" s="817">
        <f>718-BZ150</f>
        <v>204</v>
      </c>
      <c r="CA151" s="817">
        <f>1455-CA150</f>
        <v>422</v>
      </c>
      <c r="CB151" s="817">
        <f>2255-CB150</f>
        <v>644</v>
      </c>
      <c r="CC151" s="349">
        <f>CD151</f>
        <v>868</v>
      </c>
      <c r="CD151" s="817">
        <f>2943-CD150</f>
        <v>868</v>
      </c>
      <c r="CE151" s="817">
        <f>552-CE150</f>
        <v>225</v>
      </c>
      <c r="CF151" s="817">
        <f>1114-CF150</f>
        <v>458</v>
      </c>
      <c r="CG151" s="817">
        <f>1702-CG150</f>
        <v>714</v>
      </c>
      <c r="CH151" s="349">
        <f>CI151</f>
        <v>969</v>
      </c>
      <c r="CI151" s="817">
        <f>2304-CI150</f>
        <v>969</v>
      </c>
      <c r="CJ151" s="817">
        <f>776-CJ150</f>
        <v>394</v>
      </c>
      <c r="CK151" s="817">
        <f>1895-CK150</f>
        <v>1019</v>
      </c>
      <c r="CL151" s="817">
        <f>2909-CL150</f>
        <v>1533</v>
      </c>
      <c r="CM151" s="349">
        <f>CN151</f>
        <v>2198</v>
      </c>
      <c r="CN151" s="817">
        <f>4079-CN150</f>
        <v>2198</v>
      </c>
      <c r="CO151" s="817">
        <f>1017-CO150</f>
        <v>474</v>
      </c>
      <c r="CP151" s="817">
        <f>1972-CP150</f>
        <v>896</v>
      </c>
      <c r="CQ151" s="1544">
        <f>2844-CQ150</f>
        <v>1238</v>
      </c>
      <c r="CR151" s="349">
        <f>CS151</f>
        <v>1626</v>
      </c>
      <c r="CS151" s="1544">
        <f>3779-CS150</f>
        <v>1626</v>
      </c>
      <c r="CT151" s="817">
        <f>908-CT150</f>
        <v>344</v>
      </c>
      <c r="CU151" s="1544">
        <f>1925-CU150</f>
        <v>771</v>
      </c>
      <c r="CV151" s="1544">
        <f>2856-CV150</f>
        <v>1125</v>
      </c>
      <c r="CW151" s="349">
        <f>CX151</f>
        <v>1554</v>
      </c>
      <c r="CX151" s="1544">
        <f>3868-CX150</f>
        <v>1554</v>
      </c>
      <c r="CY151" s="817">
        <f>948-CY150</f>
        <v>338</v>
      </c>
      <c r="CZ151" s="1544">
        <f>1957-CZ150</f>
        <v>745</v>
      </c>
      <c r="DA151" s="1544">
        <f>2930-DA150</f>
        <v>1112</v>
      </c>
      <c r="DB151" s="349">
        <f>DC151</f>
        <v>1537</v>
      </c>
      <c r="DC151" s="1544">
        <f>3987-DC150</f>
        <v>1537</v>
      </c>
      <c r="DD151" s="817">
        <f>1063-DD150</f>
        <v>378</v>
      </c>
      <c r="DE151" s="1544">
        <f>2396-DE150</f>
        <v>770</v>
      </c>
      <c r="DF151" s="1544">
        <f>4009-DF150</f>
        <v>1188</v>
      </c>
      <c r="DG151" s="349">
        <f>DH151</f>
        <v>1640</v>
      </c>
      <c r="DH151" s="1544">
        <f>5576-DH150</f>
        <v>1640</v>
      </c>
      <c r="DI151" s="817">
        <f>1274-DI150</f>
        <v>378</v>
      </c>
      <c r="DJ151" s="1544">
        <f>2591-DJ150</f>
        <v>780</v>
      </c>
      <c r="DK151" s="1544">
        <f>3999-DK150</f>
        <v>1186</v>
      </c>
      <c r="DL151" s="349">
        <f>DM151</f>
        <v>1599</v>
      </c>
      <c r="DM151" s="1544">
        <f>5427-DM150</f>
        <v>1599</v>
      </c>
      <c r="DN151" s="817"/>
      <c r="DO151" s="817"/>
      <c r="DP151" s="817"/>
      <c r="DQ151" s="817"/>
      <c r="DR151"/>
      <c r="DS151"/>
      <c r="DT151"/>
      <c r="DU151"/>
      <c r="DV151"/>
      <c r="DW151"/>
      <c r="DX151" s="825"/>
    </row>
    <row r="152" spans="2:128" s="24" customFormat="1">
      <c r="C152" s="24" t="s">
        <v>75</v>
      </c>
      <c r="E152" s="290">
        <f t="shared" si="230"/>
        <v>-80</v>
      </c>
      <c r="F152" s="260">
        <f t="shared" si="231"/>
        <v>229</v>
      </c>
      <c r="G152" s="260">
        <f t="shared" si="231"/>
        <v>591</v>
      </c>
      <c r="H152" s="291">
        <f t="shared" si="231"/>
        <v>16</v>
      </c>
      <c r="I152" s="932">
        <f t="shared" si="232"/>
        <v>756</v>
      </c>
      <c r="J152" s="290">
        <f t="shared" si="233"/>
        <v>-4</v>
      </c>
      <c r="K152" s="260">
        <f t="shared" si="234"/>
        <v>-369</v>
      </c>
      <c r="L152" s="260">
        <f t="shared" si="234"/>
        <v>613</v>
      </c>
      <c r="M152" s="291">
        <f t="shared" si="234"/>
        <v>741</v>
      </c>
      <c r="N152" s="45">
        <f t="shared" si="235"/>
        <v>981</v>
      </c>
      <c r="O152" s="290">
        <f t="shared" si="236"/>
        <v>340</v>
      </c>
      <c r="P152" s="260">
        <f t="shared" si="237"/>
        <v>250</v>
      </c>
      <c r="Q152" s="260">
        <f t="shared" si="237"/>
        <v>418</v>
      </c>
      <c r="R152" s="291">
        <f t="shared" si="237"/>
        <v>449</v>
      </c>
      <c r="S152" s="45">
        <f t="shared" si="238"/>
        <v>1457</v>
      </c>
      <c r="T152" s="290">
        <f t="shared" si="239"/>
        <v>101</v>
      </c>
      <c r="U152" s="260">
        <f t="shared" si="240"/>
        <v>126</v>
      </c>
      <c r="V152" s="260">
        <f t="shared" si="240"/>
        <v>36</v>
      </c>
      <c r="W152" s="291">
        <f t="shared" si="240"/>
        <v>352</v>
      </c>
      <c r="X152" s="45">
        <f t="shared" si="241"/>
        <v>615</v>
      </c>
      <c r="Y152" s="290">
        <f t="shared" si="242"/>
        <v>-610</v>
      </c>
      <c r="Z152" s="260">
        <f t="shared" si="243"/>
        <v>142</v>
      </c>
      <c r="AA152" s="1441">
        <f t="shared" si="243"/>
        <v>304</v>
      </c>
      <c r="AB152" s="1442">
        <f t="shared" si="243"/>
        <v>283</v>
      </c>
      <c r="AC152" s="1443">
        <f t="shared" si="244"/>
        <v>119</v>
      </c>
      <c r="AD152" s="290">
        <f t="shared" si="245"/>
        <v>-48</v>
      </c>
      <c r="AE152" s="260">
        <f t="shared" si="246"/>
        <v>181</v>
      </c>
      <c r="AF152" s="1441">
        <f t="shared" si="246"/>
        <v>326</v>
      </c>
      <c r="AG152" s="1442">
        <f t="shared" si="247"/>
        <v>43</v>
      </c>
      <c r="AH152" s="1443">
        <f t="shared" si="248"/>
        <v>502</v>
      </c>
      <c r="AI152" s="290">
        <f t="shared" si="249"/>
        <v>129</v>
      </c>
      <c r="AJ152" s="260">
        <f t="shared" ref="AJ152" si="267">CZ152-CY152</f>
        <v>82</v>
      </c>
      <c r="AK152" s="1441">
        <f t="shared" si="251"/>
        <v>30</v>
      </c>
      <c r="AL152" s="1442">
        <f t="shared" si="252"/>
        <v>511</v>
      </c>
      <c r="AM152" s="1443">
        <f t="shared" si="253"/>
        <v>752</v>
      </c>
      <c r="AN152" s="290">
        <f t="shared" si="254"/>
        <v>127</v>
      </c>
      <c r="AO152" s="260">
        <f t="shared" ref="AO152" si="268">DE152-DD152</f>
        <v>134</v>
      </c>
      <c r="AP152" s="1441">
        <f t="shared" si="255"/>
        <v>362</v>
      </c>
      <c r="AQ152" s="1442">
        <f t="shared" si="256"/>
        <v>41</v>
      </c>
      <c r="AR152" s="1443">
        <f t="shared" si="257"/>
        <v>664</v>
      </c>
      <c r="AS152" s="290">
        <f t="shared" si="258"/>
        <v>189</v>
      </c>
      <c r="AT152" s="260">
        <f t="shared" ref="AT152" si="269">DJ152-DI152</f>
        <v>-82</v>
      </c>
      <c r="AU152" s="260">
        <f t="shared" si="260"/>
        <v>332</v>
      </c>
      <c r="AV152" s="1442">
        <f t="shared" si="261"/>
        <v>-800</v>
      </c>
      <c r="AW152" s="1443">
        <f t="shared" si="266"/>
        <v>-361</v>
      </c>
      <c r="AX152" s="290">
        <f>AX39*(100%-1%)</f>
        <v>204.52615828246195</v>
      </c>
      <c r="AY152" s="260">
        <f ca="1">AY39*(100%-1%)</f>
        <v>120.82890253554382</v>
      </c>
      <c r="AZ152" s="260">
        <f ca="1">AZ39*(100%-1%)</f>
        <v>223.0087602965751</v>
      </c>
      <c r="BA152" s="291">
        <f ca="1">BA39*(100%-1%)</f>
        <v>106.34690209530112</v>
      </c>
      <c r="BB152" s="45">
        <f ca="1">SUM(AX152:BA152)</f>
        <v>654.71072320988196</v>
      </c>
      <c r="BC152" s="290">
        <f ca="1">BC39*(100%-4%)</f>
        <v>262.51751037815336</v>
      </c>
      <c r="BD152" s="260">
        <f ca="1">BD39*(100%-4%)</f>
        <v>92.828667367064824</v>
      </c>
      <c r="BE152" s="260">
        <f ca="1">BE39*(100%-4%)</f>
        <v>202.80836509200171</v>
      </c>
      <c r="BF152" s="291">
        <f ca="1">BF39*(100%-4%)</f>
        <v>77.574816371032156</v>
      </c>
      <c r="BG152" s="45">
        <f t="shared" ca="1" si="263"/>
        <v>635.72935920825205</v>
      </c>
      <c r="BH152" s="290">
        <f ca="1">BH39*(100%-3%)</f>
        <v>252.87707692817057</v>
      </c>
      <c r="BI152" s="260">
        <f ca="1">BI39*(100%-3%)</f>
        <v>78.034691688616292</v>
      </c>
      <c r="BJ152" s="260">
        <f ca="1">BJ39*(100%-3%)</f>
        <v>228.87672189957988</v>
      </c>
      <c r="BK152" s="291">
        <f ca="1">BK39*(100%-3%)</f>
        <v>109.079730705277</v>
      </c>
      <c r="BL152" s="45">
        <f t="shared" ca="1" si="264"/>
        <v>668.86822122164369</v>
      </c>
      <c r="BM152" s="290">
        <f ca="1">BM39*(100%-3%)</f>
        <v>207.3925745995781</v>
      </c>
      <c r="BN152" s="260">
        <f ca="1">BN39*(100%-3%)</f>
        <v>116.29554821884369</v>
      </c>
      <c r="BO152" s="260">
        <f ca="1">BO39*(100%-3%)</f>
        <v>241.90812545933755</v>
      </c>
      <c r="BP152" s="291">
        <f ca="1">BP39*(100%-3%)</f>
        <v>136.53600518545989</v>
      </c>
      <c r="BQ152" s="45">
        <f t="shared" ca="1" si="265"/>
        <v>702.13225346321917</v>
      </c>
      <c r="BR152" s="783"/>
      <c r="BS152" s="783"/>
      <c r="BT152" s="45"/>
      <c r="BU152" s="817">
        <v>-80</v>
      </c>
      <c r="BV152" s="817">
        <v>149</v>
      </c>
      <c r="BW152" s="817">
        <v>740</v>
      </c>
      <c r="BX152" s="349">
        <f>BY152</f>
        <v>756</v>
      </c>
      <c r="BY152" s="817">
        <v>756</v>
      </c>
      <c r="BZ152" s="817">
        <v>-4</v>
      </c>
      <c r="CA152" s="817">
        <v>-373</v>
      </c>
      <c r="CB152" s="817">
        <v>240</v>
      </c>
      <c r="CC152" s="349">
        <f>CD152</f>
        <v>981</v>
      </c>
      <c r="CD152" s="817">
        <v>981</v>
      </c>
      <c r="CE152" s="817">
        <v>340</v>
      </c>
      <c r="CF152" s="817">
        <v>590</v>
      </c>
      <c r="CG152" s="817">
        <v>1008</v>
      </c>
      <c r="CH152" s="349">
        <f>CI152</f>
        <v>1457</v>
      </c>
      <c r="CI152" s="817">
        <v>1457</v>
      </c>
      <c r="CJ152" s="817">
        <v>101</v>
      </c>
      <c r="CK152" s="817">
        <v>227</v>
      </c>
      <c r="CL152" s="817">
        <v>263</v>
      </c>
      <c r="CM152" s="349">
        <f>CN152</f>
        <v>615</v>
      </c>
      <c r="CN152" s="817">
        <v>615</v>
      </c>
      <c r="CO152" s="817">
        <v>-610</v>
      </c>
      <c r="CP152" s="817">
        <v>-468</v>
      </c>
      <c r="CQ152" s="1544">
        <v>-164</v>
      </c>
      <c r="CR152" s="349">
        <f>CS152</f>
        <v>119</v>
      </c>
      <c r="CS152" s="1544">
        <v>119</v>
      </c>
      <c r="CT152" s="817">
        <v>-48</v>
      </c>
      <c r="CU152" s="1544">
        <v>133</v>
      </c>
      <c r="CV152" s="1544">
        <v>459</v>
      </c>
      <c r="CW152" s="349">
        <f>CX152</f>
        <v>502</v>
      </c>
      <c r="CX152" s="1544">
        <v>502</v>
      </c>
      <c r="CY152" s="817">
        <v>129</v>
      </c>
      <c r="CZ152" s="1544">
        <v>211</v>
      </c>
      <c r="DA152" s="1544">
        <v>241</v>
      </c>
      <c r="DB152" s="349">
        <f>DC152</f>
        <v>752</v>
      </c>
      <c r="DC152" s="1544">
        <v>752</v>
      </c>
      <c r="DD152" s="817">
        <v>127</v>
      </c>
      <c r="DE152" s="1544">
        <v>261</v>
      </c>
      <c r="DF152" s="1544">
        <v>623</v>
      </c>
      <c r="DG152" s="349">
        <f>DH152</f>
        <v>664</v>
      </c>
      <c r="DH152" s="1544">
        <v>664</v>
      </c>
      <c r="DI152" s="817">
        <v>189</v>
      </c>
      <c r="DJ152" s="1544">
        <v>107</v>
      </c>
      <c r="DK152" s="1544">
        <v>439</v>
      </c>
      <c r="DL152" s="349">
        <f>DM152</f>
        <v>-361</v>
      </c>
      <c r="DM152" s="1544">
        <v>-361</v>
      </c>
      <c r="DN152" s="817"/>
      <c r="DO152" s="817"/>
      <c r="DP152" s="817"/>
      <c r="DQ152" s="817"/>
      <c r="DR152"/>
      <c r="DS152"/>
      <c r="DT152"/>
      <c r="DU152"/>
      <c r="DV152"/>
      <c r="DW152"/>
      <c r="DX152" s="825"/>
    </row>
    <row r="153" spans="2:128" s="24" customFormat="1">
      <c r="C153" s="24" t="s">
        <v>632</v>
      </c>
      <c r="E153" s="290">
        <f t="shared" si="230"/>
        <v>0</v>
      </c>
      <c r="F153" s="260">
        <f>BV153-BU153</f>
        <v>0</v>
      </c>
      <c r="G153" s="260">
        <f>BW153-BV153</f>
        <v>0</v>
      </c>
      <c r="H153" s="291">
        <f>BX153-BW153</f>
        <v>0</v>
      </c>
      <c r="I153" s="932">
        <f t="shared" si="232"/>
        <v>0</v>
      </c>
      <c r="J153" s="290">
        <f t="shared" si="233"/>
        <v>0</v>
      </c>
      <c r="K153" s="260">
        <f>CA153-BZ153</f>
        <v>0</v>
      </c>
      <c r="L153" s="260">
        <f>CB153-CA153</f>
        <v>0</v>
      </c>
      <c r="M153" s="291">
        <f>CC153-CB153</f>
        <v>0</v>
      </c>
      <c r="N153" s="45">
        <f t="shared" si="235"/>
        <v>0</v>
      </c>
      <c r="O153" s="290">
        <f t="shared" si="236"/>
        <v>0</v>
      </c>
      <c r="P153" s="260">
        <f>CF153-CE153</f>
        <v>0</v>
      </c>
      <c r="Q153" s="260">
        <f>CG153-CF153</f>
        <v>0</v>
      </c>
      <c r="R153" s="291">
        <f>CH153-CG153</f>
        <v>0</v>
      </c>
      <c r="S153" s="45">
        <f t="shared" si="238"/>
        <v>0</v>
      </c>
      <c r="T153" s="290">
        <f t="shared" si="239"/>
        <v>0</v>
      </c>
      <c r="U153" s="260">
        <f>CK153-CJ153</f>
        <v>0</v>
      </c>
      <c r="V153" s="260">
        <f t="shared" si="240"/>
        <v>0</v>
      </c>
      <c r="W153" s="291">
        <f t="shared" si="240"/>
        <v>0</v>
      </c>
      <c r="X153" s="45">
        <f t="shared" si="241"/>
        <v>0</v>
      </c>
      <c r="Y153" s="290">
        <f t="shared" si="242"/>
        <v>0</v>
      </c>
      <c r="Z153" s="260">
        <f>CP153-CO153</f>
        <v>0</v>
      </c>
      <c r="AA153" s="1441">
        <f t="shared" si="243"/>
        <v>0</v>
      </c>
      <c r="AB153" s="1442">
        <f t="shared" si="243"/>
        <v>0</v>
      </c>
      <c r="AC153" s="1443">
        <f t="shared" si="244"/>
        <v>0</v>
      </c>
      <c r="AD153" s="290">
        <f t="shared" si="245"/>
        <v>0</v>
      </c>
      <c r="AE153" s="260">
        <f>CU153-CT153</f>
        <v>0</v>
      </c>
      <c r="AF153" s="1441">
        <f t="shared" si="246"/>
        <v>0</v>
      </c>
      <c r="AG153" s="1442">
        <f t="shared" si="247"/>
        <v>0</v>
      </c>
      <c r="AH153" s="1443">
        <f t="shared" si="248"/>
        <v>0</v>
      </c>
      <c r="AI153" s="290">
        <f t="shared" si="249"/>
        <v>0</v>
      </c>
      <c r="AJ153" s="260">
        <f>CZ153-CY153</f>
        <v>0</v>
      </c>
      <c r="AK153" s="1441">
        <f t="shared" si="251"/>
        <v>0</v>
      </c>
      <c r="AL153" s="1442">
        <f t="shared" si="252"/>
        <v>0</v>
      </c>
      <c r="AM153" s="1443">
        <f t="shared" si="253"/>
        <v>0</v>
      </c>
      <c r="AN153" s="290">
        <f t="shared" si="254"/>
        <v>0</v>
      </c>
      <c r="AO153" s="260">
        <f>DE153-DD153</f>
        <v>0</v>
      </c>
      <c r="AP153" s="1441">
        <f t="shared" si="255"/>
        <v>0</v>
      </c>
      <c r="AQ153" s="1442">
        <f t="shared" si="256"/>
        <v>0</v>
      </c>
      <c r="AR153" s="1443">
        <f t="shared" si="257"/>
        <v>0</v>
      </c>
      <c r="AS153" s="290">
        <f t="shared" si="258"/>
        <v>0</v>
      </c>
      <c r="AT153" s="260">
        <f>DJ153-DI153</f>
        <v>0</v>
      </c>
      <c r="AU153" s="260">
        <f t="shared" si="260"/>
        <v>0</v>
      </c>
      <c r="AV153" s="1442">
        <f t="shared" si="261"/>
        <v>0</v>
      </c>
      <c r="AW153" s="1443">
        <f t="shared" si="266"/>
        <v>0</v>
      </c>
      <c r="AX153" s="290">
        <f>-AX117+DPL!AS175+ACE!AS144</f>
        <v>-14.851808188391539</v>
      </c>
      <c r="AY153" s="260">
        <f>-AY117+DPL!AT175+ACE!AT144</f>
        <v>-14.851808188391539</v>
      </c>
      <c r="AZ153" s="260">
        <f>-AZ117+DPL!AU175+ACE!AU144</f>
        <v>-14.851808188391539</v>
      </c>
      <c r="BA153" s="291">
        <f>-BA117+DPL!AV175+ACE!AV144</f>
        <v>-14.851808188391539</v>
      </c>
      <c r="BB153" s="45">
        <f t="shared" si="262"/>
        <v>-59.407232753566156</v>
      </c>
      <c r="BC153" s="290">
        <f>-BC117+DPL!AX175+ACE!AX144</f>
        <v>-14.698426125896013</v>
      </c>
      <c r="BD153" s="260">
        <f>-BD117+DPL!AY175+ACE!AY144</f>
        <v>-14.698426125896013</v>
      </c>
      <c r="BE153" s="260">
        <f>-BE117+DPL!AZ175+ACE!AZ144</f>
        <v>-14.698426125896013</v>
      </c>
      <c r="BF153" s="291">
        <f>-BF117+DPL!BA175+ACE!BA144</f>
        <v>-14.698426125896013</v>
      </c>
      <c r="BG153" s="45">
        <f t="shared" si="263"/>
        <v>-58.793704503584053</v>
      </c>
      <c r="BH153" s="290">
        <f>-BH117+DPL!BC175+ACE!BC144</f>
        <v>-14.492028431671347</v>
      </c>
      <c r="BI153" s="260">
        <f>-BI117+DPL!BD175+ACE!BD144</f>
        <v>-14.492028431671347</v>
      </c>
      <c r="BJ153" s="260">
        <f>-BJ117+DPL!BE175+ACE!BE144</f>
        <v>-14.492028431671347</v>
      </c>
      <c r="BK153" s="291">
        <f>-BK117+DPL!BF175+ACE!BF144</f>
        <v>-14.492028431671347</v>
      </c>
      <c r="BL153" s="45">
        <f t="shared" si="264"/>
        <v>-57.968113726685388</v>
      </c>
      <c r="BM153" s="290">
        <f>-BM117+DPL!BH175+ACE!BH144</f>
        <v>-13.822402442129114</v>
      </c>
      <c r="BN153" s="260">
        <f>-BN117+DPL!BI175+ACE!BI144</f>
        <v>-13.822402442129114</v>
      </c>
      <c r="BO153" s="260">
        <f>-BO117+DPL!BJ175+ACE!BJ144</f>
        <v>-13.822402442129114</v>
      </c>
      <c r="BP153" s="291">
        <f>-BP117+DPL!BK175+ACE!BK144</f>
        <v>-13.822402442129114</v>
      </c>
      <c r="BQ153" s="45">
        <f t="shared" si="265"/>
        <v>-55.289609768516456</v>
      </c>
      <c r="BR153" s="783"/>
      <c r="BS153" s="783"/>
      <c r="BT153" s="45"/>
      <c r="BU153" s="817"/>
      <c r="BV153" s="817"/>
      <c r="BW153" s="817"/>
      <c r="BX153" s="349"/>
      <c r="BY153" s="817"/>
      <c r="BZ153" s="817"/>
      <c r="CA153" s="817"/>
      <c r="CB153" s="817"/>
      <c r="CC153" s="349"/>
      <c r="CD153" s="817"/>
      <c r="CE153" s="817"/>
      <c r="CF153" s="817"/>
      <c r="CG153" s="817"/>
      <c r="CH153" s="349"/>
      <c r="CI153" s="817"/>
      <c r="CJ153" s="817"/>
      <c r="CK153" s="817"/>
      <c r="CL153" s="817"/>
      <c r="CM153" s="349"/>
      <c r="CN153" s="817"/>
      <c r="CO153" s="817"/>
      <c r="CP153" s="817"/>
      <c r="CQ153" s="1544"/>
      <c r="CR153" s="349"/>
      <c r="CS153" s="1544"/>
      <c r="CT153" s="817"/>
      <c r="CU153" s="1544"/>
      <c r="CV153" s="1544"/>
      <c r="CW153" s="349"/>
      <c r="CX153" s="1544"/>
      <c r="CY153" s="817"/>
      <c r="CZ153" s="1544"/>
      <c r="DA153" s="1544"/>
      <c r="DB153" s="349"/>
      <c r="DC153" s="1544"/>
      <c r="DD153" s="817"/>
      <c r="DE153" s="1544"/>
      <c r="DF153" s="1544"/>
      <c r="DG153" s="349"/>
      <c r="DH153" s="1544"/>
      <c r="DI153" s="817"/>
      <c r="DJ153" s="1544"/>
      <c r="DK153" s="1544"/>
      <c r="DL153" s="349"/>
      <c r="DM153" s="1544"/>
      <c r="DN153" s="817"/>
      <c r="DO153" s="817"/>
      <c r="DP153" s="817"/>
      <c r="DQ153" s="817"/>
      <c r="DR153"/>
      <c r="DS153"/>
      <c r="DT153"/>
      <c r="DU153"/>
      <c r="DV153"/>
      <c r="DW153"/>
      <c r="DX153" s="825"/>
    </row>
    <row r="154" spans="2:128" s="24" customFormat="1">
      <c r="C154" s="24" t="s">
        <v>424</v>
      </c>
      <c r="E154" s="290">
        <f t="shared" si="230"/>
        <v>407</v>
      </c>
      <c r="F154" s="260">
        <f t="shared" si="231"/>
        <v>212</v>
      </c>
      <c r="G154" s="260">
        <f t="shared" si="231"/>
        <v>-189</v>
      </c>
      <c r="H154" s="291">
        <f t="shared" si="231"/>
        <v>143</v>
      </c>
      <c r="I154" s="932">
        <f t="shared" si="232"/>
        <v>573</v>
      </c>
      <c r="J154" s="290">
        <f t="shared" si="233"/>
        <v>-197</v>
      </c>
      <c r="K154" s="260">
        <f t="shared" si="234"/>
        <v>411</v>
      </c>
      <c r="L154" s="260">
        <f t="shared" si="234"/>
        <v>-76</v>
      </c>
      <c r="M154" s="291">
        <f t="shared" si="234"/>
        <v>278</v>
      </c>
      <c r="N154" s="45">
        <f t="shared" si="235"/>
        <v>416</v>
      </c>
      <c r="O154" s="290">
        <f t="shared" si="236"/>
        <v>331</v>
      </c>
      <c r="P154" s="260">
        <f t="shared" si="237"/>
        <v>260</v>
      </c>
      <c r="Q154" s="260">
        <f t="shared" si="237"/>
        <v>562</v>
      </c>
      <c r="R154" s="291">
        <f t="shared" si="237"/>
        <v>-66</v>
      </c>
      <c r="S154" s="45">
        <f t="shared" si="238"/>
        <v>1087</v>
      </c>
      <c r="T154" s="290">
        <f t="shared" si="239"/>
        <v>354</v>
      </c>
      <c r="U154" s="260">
        <f t="shared" si="240"/>
        <v>212</v>
      </c>
      <c r="V154" s="260">
        <f t="shared" si="240"/>
        <v>428</v>
      </c>
      <c r="W154" s="291">
        <f t="shared" si="240"/>
        <v>-100</v>
      </c>
      <c r="X154" s="45">
        <f t="shared" si="241"/>
        <v>894</v>
      </c>
      <c r="Y154" s="290">
        <f t="shared" si="242"/>
        <v>553</v>
      </c>
      <c r="Z154" s="260">
        <f t="shared" si="243"/>
        <v>-32</v>
      </c>
      <c r="AA154" s="1441">
        <f t="shared" si="243"/>
        <v>-107</v>
      </c>
      <c r="AB154" s="1442">
        <f t="shared" si="243"/>
        <v>-153</v>
      </c>
      <c r="AC154" s="1443">
        <f t="shared" si="244"/>
        <v>261</v>
      </c>
      <c r="AD154" s="290">
        <f t="shared" si="245"/>
        <v>976</v>
      </c>
      <c r="AE154" s="260">
        <f t="shared" si="246"/>
        <v>-94</v>
      </c>
      <c r="AF154" s="1441">
        <f t="shared" si="246"/>
        <v>-265</v>
      </c>
      <c r="AG154" s="1442">
        <f t="shared" si="247"/>
        <v>897</v>
      </c>
      <c r="AH154" s="1443">
        <f t="shared" si="248"/>
        <v>1514</v>
      </c>
      <c r="AI154" s="290">
        <f t="shared" si="249"/>
        <v>205</v>
      </c>
      <c r="AJ154" s="260">
        <f t="shared" ref="AJ154:AJ155" si="270">CZ154-CY154</f>
        <v>-119</v>
      </c>
      <c r="AK154" s="1441">
        <f t="shared" si="251"/>
        <v>643</v>
      </c>
      <c r="AL154" s="1442">
        <f t="shared" si="252"/>
        <v>162</v>
      </c>
      <c r="AM154" s="1443">
        <f t="shared" si="253"/>
        <v>891</v>
      </c>
      <c r="AN154" s="290">
        <f t="shared" si="254"/>
        <v>633</v>
      </c>
      <c r="AO154" s="260">
        <f t="shared" ref="AO154:AO155" si="271">DE154-DD154</f>
        <v>702</v>
      </c>
      <c r="AP154" s="1441">
        <f>DF154-DE154</f>
        <v>-21</v>
      </c>
      <c r="AQ154" s="1442">
        <f t="shared" si="256"/>
        <v>168</v>
      </c>
      <c r="AR154" s="1443">
        <f t="shared" si="257"/>
        <v>1482</v>
      </c>
      <c r="AS154" s="290">
        <f t="shared" si="258"/>
        <v>-230</v>
      </c>
      <c r="AT154" s="260">
        <f t="shared" ref="AT154:AT155" si="272">DJ154-DI154</f>
        <v>805</v>
      </c>
      <c r="AU154" s="260">
        <f t="shared" si="260"/>
        <v>-2</v>
      </c>
      <c r="AV154" s="1442">
        <f t="shared" si="261"/>
        <v>-193</v>
      </c>
      <c r="AW154" s="1443">
        <f t="shared" si="266"/>
        <v>380</v>
      </c>
      <c r="AX154" s="290">
        <f>+ExGen!AX823+ComEd!AX167+PECO!AX196+BGE!AX193+Parent!AX59+Pepco!AS146+DPL!AS177+ACE!AS146+ACE!AS146</f>
        <v>-47.5</v>
      </c>
      <c r="AY154" s="260">
        <f>+ExGen!AY823+ComEd!AY167+PECO!AY196+BGE!AY193+Parent!AY59+Pepco!AT146+DPL!AT177+ACE!AT146+ACE!AT146</f>
        <v>-47.5</v>
      </c>
      <c r="AZ154" s="260">
        <f>+ExGen!AZ823+ComEd!AZ167+PECO!AZ196+BGE!AZ193+Parent!AZ59+Pepco!AU146+DPL!AU177+ACE!AU146+ACE!AU146</f>
        <v>-47.5</v>
      </c>
      <c r="BA154" s="291">
        <f>+ExGen!BA823+ComEd!BA167+PECO!BA196+BGE!BA193+Parent!BA59+Pepco!AV146+DPL!AV177+ACE!AV146+ACE!AV146</f>
        <v>-47.5</v>
      </c>
      <c r="BB154" s="45">
        <f>SUM(AX154:BA154)</f>
        <v>-190</v>
      </c>
      <c r="BC154" s="290">
        <f>+ExGen!BC823+ComEd!BC167+PECO!BC196+BGE!BC193+Parent!BC59+Pepco!AX146+DPL!AX177+ACE!AX146+ACE!AX146</f>
        <v>-47.5</v>
      </c>
      <c r="BD154" s="260">
        <f>+ExGen!BD823+ComEd!BD167+PECO!BD196+BGE!BD193+Parent!BD59+Pepco!AY146+DPL!AY177+ACE!AY146+ACE!AY146</f>
        <v>-47.5</v>
      </c>
      <c r="BE154" s="260">
        <f>+ExGen!BE823+ComEd!BE167+PECO!BE196+BGE!BE193+Parent!BE59+Pepco!AZ146+DPL!AZ177+ACE!AZ146+ACE!AZ146</f>
        <v>-47.5</v>
      </c>
      <c r="BF154" s="291">
        <f>+ExGen!BF823+ComEd!BF167+PECO!BF196+BGE!BF193+Parent!BF59+Pepco!BA146+DPL!BA177+ACE!BA146+ACE!BA146</f>
        <v>-47.5</v>
      </c>
      <c r="BG154" s="45">
        <f t="shared" si="263"/>
        <v>-190</v>
      </c>
      <c r="BH154" s="290">
        <f>+ExGen!BH823+ComEd!BH167+PECO!BH196+BGE!BH193+Parent!BH59+Pepco!BC146+DPL!BC177+ACE!BC146+ACE!BC146</f>
        <v>-60</v>
      </c>
      <c r="BI154" s="260">
        <f>+ExGen!BI823+ComEd!BI167+PECO!BI196+BGE!BI193+Parent!BI59+Pepco!BD146+DPL!BD177+ACE!BD146+ACE!BD146</f>
        <v>-60</v>
      </c>
      <c r="BJ154" s="260">
        <f>+ExGen!BJ823+ComEd!BJ167+PECO!BJ196+BGE!BJ193+Parent!BJ59+Pepco!BE146+DPL!BE177+ACE!BE146+ACE!BE146</f>
        <v>-60</v>
      </c>
      <c r="BK154" s="291">
        <f>+ExGen!BK823+ComEd!BK167+PECO!BK196+BGE!BK193+Parent!BK59+Pepco!BF146+DPL!BF177+ACE!BF146+ACE!BF146</f>
        <v>-60</v>
      </c>
      <c r="BL154" s="45">
        <f t="shared" si="264"/>
        <v>-240</v>
      </c>
      <c r="BM154" s="290">
        <f>+ExGen!BM823+ComEd!BM167+PECO!BM196+BGE!BM193+Parent!BM59+Pepco!BH146+DPL!BH177+ACE!BH146+ACE!BH146</f>
        <v>0</v>
      </c>
      <c r="BN154" s="260">
        <f>+ExGen!BN823+ComEd!BN167+PECO!BN196+BGE!BN193+Parent!BN59+Pepco!BI146+DPL!BI177+ACE!BI146+ACE!BI146</f>
        <v>0</v>
      </c>
      <c r="BO154" s="260">
        <f>+ExGen!BO823+ComEd!BO167+PECO!BO196+BGE!BO193+Parent!BO59+Pepco!BJ146+DPL!BJ177+ACE!BJ146+ACE!BJ146</f>
        <v>0</v>
      </c>
      <c r="BP154" s="291">
        <f>+ExGen!BP823+ComEd!BP167+PECO!BP196+BGE!BP193+Parent!BP59+Pepco!BK146+DPL!BK177+ACE!BK146+ACE!BK146</f>
        <v>0</v>
      </c>
      <c r="BQ154" s="45">
        <f t="shared" si="265"/>
        <v>0</v>
      </c>
      <c r="BR154" s="783"/>
      <c r="BS154" s="783"/>
      <c r="BT154" s="45"/>
      <c r="BU154" s="817">
        <f>223-164+68+280</f>
        <v>407</v>
      </c>
      <c r="BV154" s="817">
        <f>223+28-43+411</f>
        <v>619</v>
      </c>
      <c r="BW154" s="817">
        <f>223-74-183+464</f>
        <v>430</v>
      </c>
      <c r="BX154" s="349">
        <f>BY154</f>
        <v>573</v>
      </c>
      <c r="BY154" s="817">
        <f>223-95-207+652</f>
        <v>573</v>
      </c>
      <c r="BZ154" s="817">
        <f>-233-36+72</f>
        <v>-197</v>
      </c>
      <c r="CA154" s="817">
        <f>-123+59+278</f>
        <v>214</v>
      </c>
      <c r="CB154" s="817">
        <f>-281-49+468</f>
        <v>138</v>
      </c>
      <c r="CC154" s="349">
        <f>CD154</f>
        <v>416</v>
      </c>
      <c r="CD154" s="817">
        <f>-88-105+609</f>
        <v>416</v>
      </c>
      <c r="CE154" s="817">
        <f>148-40+223</f>
        <v>331</v>
      </c>
      <c r="CF154" s="817">
        <f>264-51+378</f>
        <v>591</v>
      </c>
      <c r="CG154" s="817">
        <f>360+90+703</f>
        <v>1153</v>
      </c>
      <c r="CH154" s="349">
        <f>CI154</f>
        <v>1087</v>
      </c>
      <c r="CI154" s="817">
        <f>291+14+782</f>
        <v>1087</v>
      </c>
      <c r="CJ154" s="817">
        <f>-73-103+530</f>
        <v>354</v>
      </c>
      <c r="CK154" s="817">
        <f>959+-70+-323</f>
        <v>566</v>
      </c>
      <c r="CL154" s="817">
        <f>-377-142+1235+278</f>
        <v>994</v>
      </c>
      <c r="CM154" s="349">
        <f>CN154</f>
        <v>894</v>
      </c>
      <c r="CN154" s="817">
        <f>272-604-157+1383</f>
        <v>894</v>
      </c>
      <c r="CO154" s="817">
        <f>388-66+231</f>
        <v>553</v>
      </c>
      <c r="CP154" s="817">
        <f>-28-27+576</f>
        <v>521</v>
      </c>
      <c r="CQ154" s="1544">
        <f>-229-95+738</f>
        <v>414</v>
      </c>
      <c r="CR154" s="349">
        <f>CS154</f>
        <v>261</v>
      </c>
      <c r="CS154" s="1544">
        <f>-170+876-445</f>
        <v>261</v>
      </c>
      <c r="CT154" s="817">
        <f>730-26+272</f>
        <v>976</v>
      </c>
      <c r="CU154" s="1544">
        <f>751+567-168-268</f>
        <v>882</v>
      </c>
      <c r="CV154" s="1544">
        <f>-268-356+522-141+698+162</f>
        <v>617</v>
      </c>
      <c r="CW154" s="349">
        <f>CX154</f>
        <v>1514</v>
      </c>
      <c r="CX154" s="1544">
        <f>716-210+1054-296-437+687</f>
        <v>1514</v>
      </c>
      <c r="CY154" s="817">
        <f>344-47-91-1</f>
        <v>205</v>
      </c>
      <c r="CZ154" s="1544">
        <f>24-8-507-2+579</f>
        <v>86</v>
      </c>
      <c r="DA154" s="1544">
        <f>25-10-363+221+856</f>
        <v>729</v>
      </c>
      <c r="DB154" s="349">
        <f>DC154</f>
        <v>891</v>
      </c>
      <c r="DC154" s="1544">
        <f>36-18-367+131+1109</f>
        <v>891</v>
      </c>
      <c r="DD154" s="817">
        <f>-9+-107-55+804</f>
        <v>633</v>
      </c>
      <c r="DE154" s="1544">
        <f>239-40+194-114+1056</f>
        <v>1335</v>
      </c>
      <c r="DF154" s="1544">
        <f>274-41+100-243+1224</f>
        <v>1314</v>
      </c>
      <c r="DG154" s="349">
        <f>DH154</f>
        <v>1482</v>
      </c>
      <c r="DH154" s="1544">
        <f>306+48+24-229+1333</f>
        <v>1482</v>
      </c>
      <c r="DI154" s="817">
        <f>-4+47-175+118+10-226</f>
        <v>-230</v>
      </c>
      <c r="DJ154" s="1544">
        <f>445-5-226+230-284+415</f>
        <v>575</v>
      </c>
      <c r="DK154" s="1544">
        <f>488-5-233+149-429+603</f>
        <v>573</v>
      </c>
      <c r="DL154" s="349">
        <f>DM154</f>
        <v>380</v>
      </c>
      <c r="DM154" s="1544">
        <f>573-213-3-233+151-616+721</f>
        <v>380</v>
      </c>
      <c r="DN154" s="817"/>
      <c r="DO154" s="817"/>
      <c r="DP154" s="817"/>
      <c r="DQ154" s="817"/>
      <c r="DR154"/>
      <c r="DS154"/>
      <c r="DT154"/>
      <c r="DU154"/>
      <c r="DV154"/>
      <c r="DW154"/>
      <c r="DX154" s="825"/>
    </row>
    <row r="155" spans="2:128" s="24" customFormat="1">
      <c r="C155" s="24" t="s">
        <v>233</v>
      </c>
      <c r="E155" s="290">
        <f t="shared" si="230"/>
        <v>289</v>
      </c>
      <c r="F155" s="260">
        <f t="shared" si="231"/>
        <v>-632</v>
      </c>
      <c r="G155" s="260">
        <f t="shared" si="231"/>
        <v>-259</v>
      </c>
      <c r="H155" s="291">
        <f t="shared" si="231"/>
        <v>59</v>
      </c>
      <c r="I155" s="932">
        <f>+SUM(E155:H155)</f>
        <v>-543</v>
      </c>
      <c r="J155" s="290">
        <f t="shared" si="233"/>
        <v>595</v>
      </c>
      <c r="K155" s="260">
        <f t="shared" si="234"/>
        <v>-716</v>
      </c>
      <c r="L155" s="260">
        <f t="shared" si="234"/>
        <v>-439</v>
      </c>
      <c r="M155" s="291">
        <f t="shared" si="234"/>
        <v>-1099</v>
      </c>
      <c r="N155" s="45">
        <f>+SUM(J155:M155)</f>
        <v>-1659</v>
      </c>
      <c r="O155" s="290">
        <f t="shared" si="236"/>
        <v>-2099</v>
      </c>
      <c r="P155" s="260">
        <f t="shared" si="237"/>
        <v>-471</v>
      </c>
      <c r="Q155" s="260">
        <f t="shared" si="237"/>
        <v>-265</v>
      </c>
      <c r="R155" s="291">
        <f t="shared" si="237"/>
        <v>345</v>
      </c>
      <c r="S155" s="45">
        <f>+SUM(O155:R155)</f>
        <v>-2490</v>
      </c>
      <c r="T155" s="290">
        <f t="shared" si="239"/>
        <v>-437</v>
      </c>
      <c r="U155" s="260">
        <f t="shared" si="240"/>
        <v>-12</v>
      </c>
      <c r="V155" s="260">
        <f t="shared" si="240"/>
        <v>53</v>
      </c>
      <c r="W155" s="291">
        <f t="shared" si="240"/>
        <v>-232</v>
      </c>
      <c r="X155" s="45">
        <f>+SUM(T155:W155)</f>
        <v>-628</v>
      </c>
      <c r="Y155" s="290">
        <f t="shared" si="242"/>
        <v>-102</v>
      </c>
      <c r="Z155" s="260">
        <f t="shared" si="243"/>
        <v>-83</v>
      </c>
      <c r="AA155" s="1441">
        <f t="shared" si="243"/>
        <v>250</v>
      </c>
      <c r="AB155" s="1442">
        <f t="shared" si="243"/>
        <v>390</v>
      </c>
      <c r="AC155" s="1443">
        <f>+SUM(Y155:AB155)</f>
        <v>455</v>
      </c>
      <c r="AD155" s="290">
        <f t="shared" si="245"/>
        <v>-1764</v>
      </c>
      <c r="AE155" s="260">
        <f t="shared" si="246"/>
        <v>-76</v>
      </c>
      <c r="AF155" s="1441">
        <f t="shared" si="246"/>
        <v>-174</v>
      </c>
      <c r="AG155" s="1442">
        <f t="shared" si="247"/>
        <v>-1233</v>
      </c>
      <c r="AH155" s="1443">
        <f>+SUM(AD155:AG155)</f>
        <v>-3247</v>
      </c>
      <c r="AI155" s="290">
        <f t="shared" si="249"/>
        <v>-530</v>
      </c>
      <c r="AJ155" s="260">
        <f t="shared" si="270"/>
        <v>873</v>
      </c>
      <c r="AK155" s="1441">
        <f t="shared" si="251"/>
        <v>-528</v>
      </c>
      <c r="AL155" s="1442">
        <f t="shared" si="252"/>
        <v>-79</v>
      </c>
      <c r="AM155" s="1443">
        <f>+SUM(AI155:AL155)</f>
        <v>-264</v>
      </c>
      <c r="AN155" s="290">
        <f t="shared" si="254"/>
        <v>-473</v>
      </c>
      <c r="AO155" s="260">
        <f t="shared" si="271"/>
        <v>604</v>
      </c>
      <c r="AP155" s="1441">
        <f t="shared" si="255"/>
        <v>330</v>
      </c>
      <c r="AQ155" s="1442">
        <f t="shared" si="256"/>
        <v>-942</v>
      </c>
      <c r="AR155" s="1443">
        <f>+SUM(AN155:AQ155)</f>
        <v>-481</v>
      </c>
      <c r="AS155" s="290">
        <f t="shared" si="258"/>
        <v>-1013</v>
      </c>
      <c r="AT155" s="260">
        <f t="shared" si="272"/>
        <v>-408</v>
      </c>
      <c r="AU155" s="260">
        <f t="shared" si="260"/>
        <v>176</v>
      </c>
      <c r="AV155" s="1442">
        <f t="shared" si="261"/>
        <v>-570</v>
      </c>
      <c r="AW155" s="1443">
        <f>+SUM(AS155:AV155)</f>
        <v>-1815</v>
      </c>
      <c r="AX155" s="290">
        <f>+ExGen!AX824+ComEd!AX168+PECO!AX197+BGE!AX194+Parent!AX60+Pepco!AS147+DPL!AS178+ACE!AS147</f>
        <v>0</v>
      </c>
      <c r="AY155" s="260">
        <f>+ExGen!AY824+ComEd!AY168+PECO!AY197+BGE!AY194+Parent!AY60+Pepco!AT147+DPL!AT178+ACE!AT147</f>
        <v>0</v>
      </c>
      <c r="AZ155" s="260">
        <f>+ExGen!AZ824+ComEd!AZ168+PECO!AZ197+BGE!AZ194+Parent!AZ60+Pepco!AU147+DPL!AU178+ACE!AU147</f>
        <v>0</v>
      </c>
      <c r="BA155" s="291">
        <f>+ExGen!BA824+ComEd!BA168+PECO!BA197+BGE!BA194+Parent!BA60+Pepco!AV147+DPL!AV178+ACE!AV147</f>
        <v>0</v>
      </c>
      <c r="BB155" s="45">
        <f>+SUM(AX155:BA155)</f>
        <v>0</v>
      </c>
      <c r="BC155" s="290">
        <f>+ExGen!BC824+ComEd!BC168+PECO!BC197+BGE!BC194+Parent!BC60+Pepco!AX147+DPL!AX178+ACE!AX147</f>
        <v>0</v>
      </c>
      <c r="BD155" s="260">
        <f>+ExGen!BD824+ComEd!BD168+PECO!BD197+BGE!BD194+Parent!BD60+Pepco!AY147+DPL!AY178+ACE!AY147</f>
        <v>0</v>
      </c>
      <c r="BE155" s="260">
        <f>+ExGen!BE824+ComEd!BE168+PECO!BE197+BGE!BE194+Parent!BE60+Pepco!AZ147+DPL!AZ178+ACE!AZ147</f>
        <v>0</v>
      </c>
      <c r="BF155" s="291">
        <f>+ExGen!BF824+ComEd!BF168+PECO!BF197+BGE!BF194+Parent!BF60+Pepco!BA147+DPL!BA178+ACE!BA147</f>
        <v>0</v>
      </c>
      <c r="BG155" s="45">
        <f>+SUM(BC155:BF155)</f>
        <v>0</v>
      </c>
      <c r="BH155" s="290">
        <f>+ExGen!BH824+ComEd!BH168+PECO!BH197+BGE!BH194+Parent!BH60+Pepco!BC147+DPL!BC178+ACE!BC147</f>
        <v>0</v>
      </c>
      <c r="BI155" s="260">
        <f>+ExGen!BI824+ComEd!BI168+PECO!BI197+BGE!BI194+Parent!BI60+Pepco!BD147+DPL!BD178+ACE!BD147</f>
        <v>0</v>
      </c>
      <c r="BJ155" s="260">
        <f>+ExGen!BJ824+ComEd!BJ168+PECO!BJ197+BGE!BJ194+Parent!BJ60+Pepco!BE147+DPL!BE178+ACE!BE147</f>
        <v>0</v>
      </c>
      <c r="BK155" s="291">
        <f>+ExGen!BK824+ComEd!BK168+PECO!BK197+BGE!BK194+Parent!BK60+Pepco!BF147+DPL!BF178+ACE!BF147</f>
        <v>0</v>
      </c>
      <c r="BL155" s="45">
        <f>+SUM(BH155:BK155)</f>
        <v>0</v>
      </c>
      <c r="BM155" s="290">
        <f>+ExGen!BM824+ComEd!BM168+PECO!BM197+BGE!BM194+Parent!BM60+Pepco!BH147+DPL!BH178+ACE!BH147</f>
        <v>0</v>
      </c>
      <c r="BN155" s="260">
        <f>+ExGen!BN824+ComEd!BN168+PECO!BN197+BGE!BN194+Parent!BN60+Pepco!BI147+DPL!BI178+ACE!BI147</f>
        <v>0</v>
      </c>
      <c r="BO155" s="260">
        <f>+ExGen!BO824+ComEd!BO168+PECO!BO197+BGE!BO194+Parent!BO60+Pepco!BJ147+DPL!BJ178+ACE!BJ147</f>
        <v>0</v>
      </c>
      <c r="BP155" s="291">
        <f>+ExGen!BP824+ComEd!BP168+PECO!BP197+BGE!BP194+Parent!BP60+Pepco!BK147+DPL!BK178+ACE!BK147</f>
        <v>0</v>
      </c>
      <c r="BQ155" s="45">
        <f>+SUM(BM155:BP155)</f>
        <v>0</v>
      </c>
      <c r="BR155" s="783"/>
      <c r="BS155" s="783"/>
      <c r="BT155" s="45"/>
      <c r="BU155" s="817">
        <f>108+132-542-68+784+161-37-249</f>
        <v>289</v>
      </c>
      <c r="BV155" s="817">
        <f>286+75-469-39+246-177-68-197</f>
        <v>-343</v>
      </c>
      <c r="BW155" s="817">
        <f>335+41-591-39+380-176-456-96</f>
        <v>-602</v>
      </c>
      <c r="BX155" s="349">
        <f>BY155</f>
        <v>-543</v>
      </c>
      <c r="BY155" s="817">
        <f>234+51-254-40+196-29-588-113</f>
        <v>-543</v>
      </c>
      <c r="BZ155" s="817">
        <f>40+67-303+66+477+517-98-171</f>
        <v>595</v>
      </c>
      <c r="CA155" s="817">
        <f>-229+1-239-15-172+661-119-9</f>
        <v>-121</v>
      </c>
      <c r="CB155" s="817">
        <f>-172-52-53-101+289+310-740-41</f>
        <v>-560</v>
      </c>
      <c r="CC155" s="349">
        <f>CD155</f>
        <v>-1659</v>
      </c>
      <c r="CD155" s="817">
        <f>-232-62+472-124-155-543-959-56</f>
        <v>-1659</v>
      </c>
      <c r="CE155" s="817">
        <f>53+78-526+19-150+733-2088-218</f>
        <v>-2099</v>
      </c>
      <c r="CF155" s="817">
        <f>17-486+38-494+691-2089-247</f>
        <v>-2570</v>
      </c>
      <c r="CG155" s="817">
        <f>3-44-400+59-807+532-2089-89</f>
        <v>-2835</v>
      </c>
      <c r="CH155" s="349">
        <f>CI155</f>
        <v>-2490</v>
      </c>
      <c r="CI155" s="817">
        <f>57-58-254-3-344+492-2360-20</f>
        <v>-2490</v>
      </c>
      <c r="CJ155" s="817">
        <f>394+104-1176-100+340+178-55-122</f>
        <v>-437</v>
      </c>
      <c r="CK155" s="817">
        <f>2729-CK154-CK152-CK151-CK150-CK149</f>
        <v>-449</v>
      </c>
      <c r="CL155" s="817">
        <f>240+12-837-122+408+465-131-431</f>
        <v>-396</v>
      </c>
      <c r="CM155" s="349">
        <f>CN155</f>
        <v>-628</v>
      </c>
      <c r="CN155" s="817">
        <f>243+26-632-114+135+544-462-368</f>
        <v>-628</v>
      </c>
      <c r="CO155" s="817">
        <f>-70+101-542-3-186+632-267+233</f>
        <v>-102</v>
      </c>
      <c r="CP155" s="817">
        <f>131-18-583-10-259+705-284+133</f>
        <v>-185</v>
      </c>
      <c r="CQ155" s="1544">
        <f>54-103-243-38-73+863-360-35</f>
        <v>65</v>
      </c>
      <c r="CR155" s="349">
        <f>CS155</f>
        <v>455</v>
      </c>
      <c r="CS155" s="1544">
        <f>-97-100-90-36+215+883-422+102</f>
        <v>455</v>
      </c>
      <c r="CT155" s="817">
        <f>-606+80+157+15-677+17-472-278</f>
        <v>-1764</v>
      </c>
      <c r="CU155" s="1544">
        <f>48-150-358+21-606-16-499-280</f>
        <v>-1840</v>
      </c>
      <c r="CV155" s="1544">
        <f>198-316-322+21-615+72-516-536</f>
        <v>-2014</v>
      </c>
      <c r="CW155" s="349">
        <f>CX155</f>
        <v>-3247</v>
      </c>
      <c r="CX155" s="1544">
        <f>-318-380+209+38-1478-143-617-558</f>
        <v>-3247</v>
      </c>
      <c r="CY155" s="817">
        <f>-270+291-607+5+31+174-269+115</f>
        <v>-530</v>
      </c>
      <c r="CZ155" s="1544">
        <f>253+159-668+22+417+247-301+214</f>
        <v>343</v>
      </c>
      <c r="DA155" s="1544">
        <f>175+65-147+27+305+300-430-480</f>
        <v>-185</v>
      </c>
      <c r="DB155" s="349">
        <f>DC155</f>
        <v>-264</v>
      </c>
      <c r="DC155" s="1544">
        <f>240+4-121+58+347+97-502-387</f>
        <v>-264</v>
      </c>
      <c r="DD155" s="817">
        <f>117+142-571+17+206+47-239-311+119</f>
        <v>-473</v>
      </c>
      <c r="DE155" s="1544">
        <f>86+89-363-10+710+470-258-593</f>
        <v>131</v>
      </c>
      <c r="DF155" s="1544">
        <f>-296+21+296-24+757+527-283-537</f>
        <v>461</v>
      </c>
      <c r="DG155" s="349">
        <f>DH155</f>
        <v>-481</v>
      </c>
      <c r="DH155" s="1544">
        <f>-432+7+771-66+931+576-397-1250-621</f>
        <v>-481</v>
      </c>
      <c r="DI155" s="817">
        <f>313+109-623-6-110+50-307-439</f>
        <v>-1013</v>
      </c>
      <c r="DJ155" s="1544">
        <f>342-23-811-8-173+58-325-481</f>
        <v>-1421</v>
      </c>
      <c r="DK155" s="1544">
        <f>224-87-593+35-100+167-344-547</f>
        <v>-1245</v>
      </c>
      <c r="DL155" s="349">
        <f>DM155</f>
        <v>-1815</v>
      </c>
      <c r="DM155" s="1544">
        <f>-426-72-390+28-158+299-405-691</f>
        <v>-1815</v>
      </c>
      <c r="DN155" s="817"/>
      <c r="DO155" s="817"/>
      <c r="DP155" s="817"/>
      <c r="DQ155" s="817"/>
      <c r="DR155"/>
      <c r="DS155"/>
      <c r="DT155"/>
      <c r="DU155"/>
      <c r="DV155"/>
      <c r="DW155"/>
      <c r="DX155" s="825"/>
    </row>
    <row r="156" spans="2:128" s="445" customFormat="1">
      <c r="C156" s="445" t="s">
        <v>76</v>
      </c>
      <c r="E156" s="292">
        <f t="shared" ref="E156:N156" si="273">SUM(E149:E155)</f>
        <v>1950</v>
      </c>
      <c r="F156" s="261">
        <f t="shared" si="273"/>
        <v>1097</v>
      </c>
      <c r="G156" s="261">
        <f t="shared" si="273"/>
        <v>1582</v>
      </c>
      <c r="H156" s="293">
        <f t="shared" si="273"/>
        <v>1465</v>
      </c>
      <c r="I156" s="933">
        <f t="shared" si="273"/>
        <v>6094</v>
      </c>
      <c r="J156" s="292">
        <f t="shared" si="273"/>
        <v>1861</v>
      </c>
      <c r="K156" s="261">
        <f t="shared" si="273"/>
        <v>508</v>
      </c>
      <c r="L156" s="261">
        <f t="shared" si="273"/>
        <v>1743</v>
      </c>
      <c r="M156" s="293">
        <f t="shared" si="273"/>
        <v>1132</v>
      </c>
      <c r="N156" s="228">
        <f t="shared" si="273"/>
        <v>5244</v>
      </c>
      <c r="O156" s="292">
        <f t="shared" ref="O156:U156" si="274">SUM(O149:O155)</f>
        <v>-207</v>
      </c>
      <c r="P156" s="261">
        <f t="shared" si="274"/>
        <v>1220</v>
      </c>
      <c r="Q156" s="261">
        <f t="shared" si="274"/>
        <v>1904</v>
      </c>
      <c r="R156" s="293">
        <f t="shared" si="274"/>
        <v>1936</v>
      </c>
      <c r="S156" s="228">
        <f t="shared" si="274"/>
        <v>4853</v>
      </c>
      <c r="T156" s="292">
        <f t="shared" si="274"/>
        <v>994</v>
      </c>
      <c r="U156" s="261">
        <f t="shared" si="274"/>
        <v>1735</v>
      </c>
      <c r="V156" s="261">
        <f t="shared" ref="V156:AE156" si="275">SUM(V149:V155)</f>
        <v>1828</v>
      </c>
      <c r="W156" s="293">
        <f t="shared" si="275"/>
        <v>1574</v>
      </c>
      <c r="X156" s="228">
        <f t="shared" si="275"/>
        <v>6131</v>
      </c>
      <c r="Y156" s="292">
        <f t="shared" si="275"/>
        <v>859</v>
      </c>
      <c r="Z156" s="261">
        <f t="shared" si="275"/>
        <v>1479</v>
      </c>
      <c r="AA156" s="1438">
        <f t="shared" si="275"/>
        <v>2056</v>
      </c>
      <c r="AB156" s="1439">
        <f t="shared" si="275"/>
        <v>1949</v>
      </c>
      <c r="AC156" s="1440">
        <f t="shared" si="275"/>
        <v>6343</v>
      </c>
      <c r="AD156" s="292">
        <f t="shared" si="275"/>
        <v>165</v>
      </c>
      <c r="AE156" s="261">
        <f t="shared" si="275"/>
        <v>1586</v>
      </c>
      <c r="AF156" s="1438">
        <f t="shared" ref="AF156:AJ156" si="276">SUM(AF149:AF155)</f>
        <v>1892</v>
      </c>
      <c r="AG156" s="1439">
        <f t="shared" si="276"/>
        <v>814</v>
      </c>
      <c r="AH156" s="1440">
        <f t="shared" si="276"/>
        <v>4457</v>
      </c>
      <c r="AI156" s="292">
        <f t="shared" si="276"/>
        <v>1490</v>
      </c>
      <c r="AJ156" s="261">
        <f t="shared" si="276"/>
        <v>2479</v>
      </c>
      <c r="AK156" s="1438">
        <f t="shared" ref="AK156:AO156" si="277">SUM(AK149:AK155)</f>
        <v>1705</v>
      </c>
      <c r="AL156" s="1439">
        <f t="shared" si="277"/>
        <v>1942</v>
      </c>
      <c r="AM156" s="1440">
        <f t="shared" si="277"/>
        <v>7616</v>
      </c>
      <c r="AN156" s="292">
        <f t="shared" si="277"/>
        <v>1473</v>
      </c>
      <c r="AO156" s="261">
        <f t="shared" si="277"/>
        <v>3080</v>
      </c>
      <c r="AP156" s="1438">
        <f t="shared" ref="AP156:AT156" si="278">SUM(AP149:AP155)</f>
        <v>2810</v>
      </c>
      <c r="AQ156" s="1439">
        <f t="shared" si="278"/>
        <v>1082</v>
      </c>
      <c r="AR156" s="1440">
        <f t="shared" si="278"/>
        <v>8445</v>
      </c>
      <c r="AS156" s="292">
        <f t="shared" si="278"/>
        <v>1201</v>
      </c>
      <c r="AT156" s="261">
        <f t="shared" si="278"/>
        <v>1697</v>
      </c>
      <c r="AU156" s="261">
        <f t="shared" ref="AU156:AW156" si="279">SUM(AU149:AU155)</f>
        <v>2779</v>
      </c>
      <c r="AV156" s="1439">
        <f t="shared" si="279"/>
        <v>1803</v>
      </c>
      <c r="AW156" s="1440">
        <f t="shared" si="279"/>
        <v>7480</v>
      </c>
      <c r="AX156" s="292">
        <f t="shared" ref="AX156:BB156" si="280">SUM(AX149:AX155)</f>
        <v>2139.6059668773523</v>
      </c>
      <c r="AY156" s="261">
        <f t="shared" ca="1" si="280"/>
        <v>1726.813791882714</v>
      </c>
      <c r="AZ156" s="261">
        <f t="shared" ca="1" si="280"/>
        <v>2216.8383550166968</v>
      </c>
      <c r="BA156" s="293">
        <f t="shared" ca="1" si="280"/>
        <v>1697.7714360633258</v>
      </c>
      <c r="BB156" s="228">
        <f t="shared" ca="1" si="280"/>
        <v>7781.0295498400892</v>
      </c>
      <c r="BC156" s="292">
        <f t="shared" ref="BC156:BL156" ca="1" si="281">SUM(BC149:BC155)</f>
        <v>2300.6545554063036</v>
      </c>
      <c r="BD156" s="261">
        <f t="shared" ca="1" si="281"/>
        <v>1647.8149590853236</v>
      </c>
      <c r="BE156" s="261">
        <f t="shared" ca="1" si="281"/>
        <v>2128.3548767249631</v>
      </c>
      <c r="BF156" s="293">
        <f t="shared" ca="1" si="281"/>
        <v>1653.5094783715135</v>
      </c>
      <c r="BG156" s="228">
        <f t="shared" ca="1" si="281"/>
        <v>7730.3338695881039</v>
      </c>
      <c r="BH156" s="292">
        <f t="shared" ca="1" si="281"/>
        <v>2220.3689009035356</v>
      </c>
      <c r="BI156" s="261">
        <f t="shared" ca="1" si="281"/>
        <v>1597.3121652219932</v>
      </c>
      <c r="BJ156" s="261">
        <f t="shared" ca="1" si="281"/>
        <v>2146.1235296493896</v>
      </c>
      <c r="BK156" s="293">
        <f t="shared" ca="1" si="281"/>
        <v>1728.3660140851696</v>
      </c>
      <c r="BL156" s="228">
        <f t="shared" ca="1" si="281"/>
        <v>7692.1706098600871</v>
      </c>
      <c r="BM156" s="292">
        <f t="shared" ref="BM156:BQ156" ca="1" si="282">SUM(BM149:BM155)</f>
        <v>2190.8274537326934</v>
      </c>
      <c r="BN156" s="261">
        <f t="shared" ca="1" si="282"/>
        <v>1816.7446022515667</v>
      </c>
      <c r="BO156" s="261">
        <f t="shared" ca="1" si="282"/>
        <v>2302.8051074272557</v>
      </c>
      <c r="BP156" s="293">
        <f t="shared" ca="1" si="282"/>
        <v>1917.2558959521127</v>
      </c>
      <c r="BQ156" s="228">
        <f t="shared" ca="1" si="282"/>
        <v>8227.6330593636285</v>
      </c>
      <c r="BR156" s="747"/>
      <c r="BS156" s="747"/>
      <c r="BT156" s="228"/>
      <c r="BU156" s="348">
        <f>SUM(BU149:BU155)</f>
        <v>1950</v>
      </c>
      <c r="BV156" s="348">
        <f t="shared" ref="BV156:CB156" si="283">SUM(BV149:BV155)</f>
        <v>3047</v>
      </c>
      <c r="BW156" s="348">
        <f t="shared" si="283"/>
        <v>4629</v>
      </c>
      <c r="BX156" s="348">
        <f>SUM(BX149:BX155)</f>
        <v>6094</v>
      </c>
      <c r="BY156" s="348">
        <f t="shared" si="283"/>
        <v>6094</v>
      </c>
      <c r="BZ156" s="348">
        <f t="shared" si="283"/>
        <v>1861</v>
      </c>
      <c r="CA156" s="348">
        <f t="shared" si="283"/>
        <v>2369</v>
      </c>
      <c r="CB156" s="348">
        <f t="shared" si="283"/>
        <v>4112</v>
      </c>
      <c r="CC156" s="348">
        <f t="shared" ref="CC156:CQ156" si="284">SUM(CC149:CC155)</f>
        <v>5244</v>
      </c>
      <c r="CD156" s="348">
        <f t="shared" si="284"/>
        <v>5244</v>
      </c>
      <c r="CE156" s="348">
        <f t="shared" si="284"/>
        <v>-207</v>
      </c>
      <c r="CF156" s="348">
        <f t="shared" si="284"/>
        <v>1013</v>
      </c>
      <c r="CG156" s="348">
        <f t="shared" si="284"/>
        <v>2917</v>
      </c>
      <c r="CH156" s="348">
        <f t="shared" si="284"/>
        <v>4853</v>
      </c>
      <c r="CI156" s="348">
        <f t="shared" si="284"/>
        <v>4853</v>
      </c>
      <c r="CJ156" s="348">
        <f t="shared" si="284"/>
        <v>994</v>
      </c>
      <c r="CK156" s="348">
        <f t="shared" si="284"/>
        <v>2729</v>
      </c>
      <c r="CL156" s="348">
        <f t="shared" si="284"/>
        <v>4557</v>
      </c>
      <c r="CM156" s="348">
        <f t="shared" si="284"/>
        <v>6131</v>
      </c>
      <c r="CN156" s="348">
        <f t="shared" si="284"/>
        <v>6131</v>
      </c>
      <c r="CO156" s="348">
        <f t="shared" si="284"/>
        <v>859</v>
      </c>
      <c r="CP156" s="348">
        <f t="shared" si="284"/>
        <v>2338</v>
      </c>
      <c r="CQ156" s="348">
        <f t="shared" si="284"/>
        <v>4394</v>
      </c>
      <c r="CR156" s="348">
        <f>SUM(CR149:CR155)</f>
        <v>6343</v>
      </c>
      <c r="CS156" s="348">
        <f>SUM(CS149:CS155)</f>
        <v>6343</v>
      </c>
      <c r="CT156" s="348">
        <f>SUM(CT149:CT155)</f>
        <v>165</v>
      </c>
      <c r="CU156" s="348">
        <f>SUM(CU149:CU155)</f>
        <v>1751</v>
      </c>
      <c r="CV156" s="348">
        <f t="shared" ref="CV156" si="285">SUM(CV149:CV155)</f>
        <v>3643</v>
      </c>
      <c r="CW156" s="348">
        <f>SUM(CW149:CW155)</f>
        <v>4457</v>
      </c>
      <c r="CX156" s="348">
        <f>SUM(CX149:CX155)</f>
        <v>4457</v>
      </c>
      <c r="CY156" s="348">
        <f>SUM(CY149:CY155)</f>
        <v>1490</v>
      </c>
      <c r="CZ156" s="348">
        <f>SUM(CZ149:CZ155)</f>
        <v>3969</v>
      </c>
      <c r="DA156" s="348">
        <f t="shared" ref="DA156" si="286">SUM(DA149:DA155)</f>
        <v>5674</v>
      </c>
      <c r="DB156" s="348">
        <f>SUM(DB149:DB155)</f>
        <v>7616</v>
      </c>
      <c r="DC156" s="348">
        <f>SUM(DC149:DC155)</f>
        <v>7616</v>
      </c>
      <c r="DD156" s="348">
        <f>SUM(DD149:DD155)</f>
        <v>1473</v>
      </c>
      <c r="DE156" s="348">
        <f>SUM(DE149:DE155)</f>
        <v>4553</v>
      </c>
      <c r="DF156" s="348">
        <f t="shared" ref="DF156" si="287">SUM(DF149:DF155)</f>
        <v>7363</v>
      </c>
      <c r="DG156" s="348">
        <f t="shared" ref="DG156:DM156" si="288">SUM(DG149:DG155)</f>
        <v>8445</v>
      </c>
      <c r="DH156" s="348">
        <f t="shared" si="288"/>
        <v>8445</v>
      </c>
      <c r="DI156" s="348">
        <f t="shared" si="288"/>
        <v>1201</v>
      </c>
      <c r="DJ156" s="348">
        <f t="shared" si="288"/>
        <v>2898</v>
      </c>
      <c r="DK156" s="348">
        <f t="shared" si="288"/>
        <v>5677</v>
      </c>
      <c r="DL156" s="348">
        <f t="shared" si="288"/>
        <v>7480</v>
      </c>
      <c r="DM156" s="348">
        <f t="shared" si="288"/>
        <v>7480</v>
      </c>
      <c r="DN156" s="348"/>
      <c r="DO156" s="348"/>
      <c r="DP156" s="348"/>
      <c r="DQ156" s="348"/>
      <c r="DR156"/>
      <c r="DS156"/>
      <c r="DT156"/>
      <c r="DU156"/>
      <c r="DV156"/>
      <c r="DW156"/>
      <c r="DX156" s="1339"/>
    </row>
    <row r="157" spans="2:128" s="24" customFormat="1">
      <c r="E157" s="290"/>
      <c r="F157" s="260"/>
      <c r="G157" s="260"/>
      <c r="H157" s="291"/>
      <c r="I157" s="932"/>
      <c r="J157" s="290"/>
      <c r="K157" s="260"/>
      <c r="L157" s="260"/>
      <c r="M157" s="291"/>
      <c r="N157" s="45"/>
      <c r="O157" s="290"/>
      <c r="P157" s="260"/>
      <c r="Q157" s="260"/>
      <c r="R157" s="291"/>
      <c r="S157" s="45"/>
      <c r="T157" s="290"/>
      <c r="U157" s="260"/>
      <c r="V157" s="260"/>
      <c r="W157" s="291"/>
      <c r="X157" s="45"/>
      <c r="Y157" s="290"/>
      <c r="Z157" s="260"/>
      <c r="AA157" s="1441"/>
      <c r="AB157" s="1442"/>
      <c r="AC157" s="1443"/>
      <c r="AD157" s="290"/>
      <c r="AE157" s="260"/>
      <c r="AF157" s="1441"/>
      <c r="AG157" s="1442"/>
      <c r="AH157" s="1443"/>
      <c r="AI157" s="290"/>
      <c r="AJ157" s="260"/>
      <c r="AK157" s="1441"/>
      <c r="AL157" s="1442"/>
      <c r="AM157" s="1443"/>
      <c r="AN157" s="290"/>
      <c r="AO157" s="260"/>
      <c r="AP157" s="1441"/>
      <c r="AQ157" s="1442"/>
      <c r="AR157" s="1443"/>
      <c r="AS157" s="290"/>
      <c r="AT157" s="260"/>
      <c r="AU157" s="260"/>
      <c r="AV157" s="1442"/>
      <c r="AW157" s="1443"/>
      <c r="AX157" s="290"/>
      <c r="AY157" s="260"/>
      <c r="AZ157" s="260"/>
      <c r="BA157" s="291"/>
      <c r="BB157" s="45"/>
      <c r="BC157" s="290"/>
      <c r="BD157" s="260"/>
      <c r="BE157" s="260"/>
      <c r="BF157" s="291"/>
      <c r="BG157" s="45"/>
      <c r="BH157" s="290"/>
      <c r="BI157" s="260"/>
      <c r="BJ157" s="260"/>
      <c r="BK157" s="291"/>
      <c r="BL157" s="45"/>
      <c r="BM157" s="290"/>
      <c r="BN157" s="260"/>
      <c r="BO157" s="260"/>
      <c r="BP157" s="291"/>
      <c r="BQ157" s="45"/>
      <c r="BR157" s="783"/>
      <c r="BS157" s="783"/>
      <c r="BT157" s="45"/>
      <c r="BU157" s="349"/>
      <c r="BV157" s="349"/>
      <c r="BW157" s="349"/>
      <c r="BX157" s="349"/>
      <c r="BY157" s="349"/>
      <c r="BZ157" s="349"/>
      <c r="CA157" s="349"/>
      <c r="CB157" s="349"/>
      <c r="CC157" s="349"/>
      <c r="CD157" s="349"/>
      <c r="CE157" s="349"/>
      <c r="CF157" s="349"/>
      <c r="CG157" s="349"/>
      <c r="CH157" s="349"/>
      <c r="CI157" s="349"/>
      <c r="CJ157" s="349"/>
      <c r="CK157" s="349"/>
      <c r="CL157" s="349"/>
      <c r="CM157" s="349"/>
      <c r="CN157" s="349"/>
      <c r="CO157" s="349"/>
      <c r="CP157" s="349"/>
      <c r="CQ157" s="349"/>
      <c r="CR157" s="349"/>
      <c r="CS157" s="349"/>
      <c r="CT157" s="349"/>
      <c r="CU157" s="349"/>
      <c r="CV157" s="349"/>
      <c r="CW157" s="349"/>
      <c r="CX157" s="349"/>
      <c r="CY157" s="349"/>
      <c r="CZ157" s="349"/>
      <c r="DA157" s="349"/>
      <c r="DB157" s="349"/>
      <c r="DC157" s="349"/>
      <c r="DD157" s="349"/>
      <c r="DE157" s="349"/>
      <c r="DF157" s="349"/>
      <c r="DG157" s="349"/>
      <c r="DH157" s="349"/>
      <c r="DI157" s="349"/>
      <c r="DJ157" s="349"/>
      <c r="DK157" s="349"/>
      <c r="DL157" s="349"/>
      <c r="DM157" s="349"/>
      <c r="DN157" s="349"/>
      <c r="DO157" s="349"/>
      <c r="DP157" s="349"/>
      <c r="DQ157" s="349"/>
      <c r="DR157"/>
      <c r="DS157"/>
      <c r="DT157"/>
      <c r="DU157"/>
      <c r="DV157"/>
      <c r="DW157"/>
      <c r="DX157" s="825"/>
    </row>
    <row r="158" spans="2:128" s="24" customFormat="1">
      <c r="C158" s="799" t="s">
        <v>423</v>
      </c>
      <c r="E158" s="290">
        <f>BU158</f>
        <v>-712</v>
      </c>
      <c r="F158" s="260">
        <f t="shared" ref="F158:H160" si="289">BV158-BU158</f>
        <v>-732</v>
      </c>
      <c r="G158" s="260">
        <f t="shared" si="289"/>
        <v>-808</v>
      </c>
      <c r="H158" s="291">
        <f t="shared" si="289"/>
        <v>-1021</v>
      </c>
      <c r="I158" s="932">
        <f>SUM(E158:H158)</f>
        <v>-3273</v>
      </c>
      <c r="J158" s="290">
        <f>BZ158</f>
        <v>-878</v>
      </c>
      <c r="K158" s="260">
        <f t="shared" ref="K158:M160" si="290">CA158-BZ158</f>
        <v>-706</v>
      </c>
      <c r="L158" s="260">
        <f t="shared" si="290"/>
        <v>-798</v>
      </c>
      <c r="M158" s="291">
        <f t="shared" si="290"/>
        <v>-944</v>
      </c>
      <c r="N158" s="45">
        <f>SUM(J158:M158)</f>
        <v>-3326</v>
      </c>
      <c r="O158" s="290">
        <f>CE158</f>
        <v>-1150</v>
      </c>
      <c r="P158" s="260">
        <f t="shared" ref="P158:R160" si="291">CF158-CE158</f>
        <v>-835</v>
      </c>
      <c r="Q158" s="260">
        <f t="shared" si="291"/>
        <v>-987</v>
      </c>
      <c r="R158" s="291">
        <f t="shared" si="291"/>
        <v>-1070</v>
      </c>
      <c r="S158" s="45">
        <f>SUM(O158:R158)</f>
        <v>-4042</v>
      </c>
      <c r="T158" s="290">
        <f>CJ158</f>
        <v>-1496</v>
      </c>
      <c r="U158" s="260">
        <f>CK158-CJ158</f>
        <v>-1320</v>
      </c>
      <c r="V158" s="260">
        <f t="shared" ref="V158:W160" si="292">CL158-CK158</f>
        <v>-1329</v>
      </c>
      <c r="W158" s="291">
        <f t="shared" si="292"/>
        <v>-1644</v>
      </c>
      <c r="X158" s="45">
        <f>SUM(T158:W158)</f>
        <v>-5789</v>
      </c>
      <c r="Y158" s="290">
        <f>CO158</f>
        <v>-1447</v>
      </c>
      <c r="Z158" s="260">
        <f>CP158-CO158</f>
        <v>-1071</v>
      </c>
      <c r="AA158" s="1441">
        <f t="shared" ref="AA158:AB160" si="293">CQ158-CP158</f>
        <v>-1369</v>
      </c>
      <c r="AB158" s="1442">
        <f t="shared" si="293"/>
        <v>-1508</v>
      </c>
      <c r="AC158" s="1443">
        <f>SUM(Y158:AB158)</f>
        <v>-5395</v>
      </c>
      <c r="AD158" s="290">
        <f>CT158</f>
        <v>-1217</v>
      </c>
      <c r="AE158" s="260">
        <f>CU158-CT158</f>
        <v>-1284</v>
      </c>
      <c r="AF158" s="1441">
        <f t="shared" ref="AF158:AF160" si="294">CV158-CU158</f>
        <v>-1613</v>
      </c>
      <c r="AG158" s="1442">
        <f t="shared" ref="AG158:AG160" si="295">CW158-CV158</f>
        <v>-1963</v>
      </c>
      <c r="AH158" s="1443">
        <f>SUM(AD158:AG158)</f>
        <v>-6077</v>
      </c>
      <c r="AI158" s="290">
        <f>CY158</f>
        <v>-1784</v>
      </c>
      <c r="AJ158" s="260">
        <f>CZ158-CY158</f>
        <v>-1676</v>
      </c>
      <c r="AK158" s="1441">
        <f t="shared" ref="AK158:AK160" si="296">DA158-CZ158</f>
        <v>-1983</v>
      </c>
      <c r="AL158" s="1442">
        <f t="shared" ref="AL158:AL160" si="297">DB158-DA158</f>
        <v>-2181</v>
      </c>
      <c r="AM158" s="1443">
        <f>SUM(AI158:AL158)</f>
        <v>-7624</v>
      </c>
      <c r="AN158" s="290">
        <f>DD158</f>
        <v>-2202</v>
      </c>
      <c r="AO158" s="260">
        <f>DE158-DD158</f>
        <v>-2287</v>
      </c>
      <c r="AP158" s="1441">
        <f t="shared" ref="AP158:AP160" si="298">DF158-DE158</f>
        <v>-1879</v>
      </c>
      <c r="AQ158" s="1442">
        <f t="shared" ref="AQ158:AQ160" si="299">DG158-DF158</f>
        <v>-2185</v>
      </c>
      <c r="AR158" s="1443">
        <f>SUM(AN158:AQ158)</f>
        <v>-8553</v>
      </c>
      <c r="AS158" s="290">
        <f>DI158</f>
        <v>-2114</v>
      </c>
      <c r="AT158" s="260">
        <f>DJ158-DI158</f>
        <v>-1731</v>
      </c>
      <c r="AU158" s="260">
        <f t="shared" ref="AU158:AU160" si="300">DK158-DJ158</f>
        <v>-1711</v>
      </c>
      <c r="AV158" s="1442">
        <f t="shared" ref="AV158:AV160" si="301">DL158-DK158</f>
        <v>-2028</v>
      </c>
      <c r="AW158" s="1443">
        <f>SUM(AS158:AV158)</f>
        <v>-7584</v>
      </c>
      <c r="AX158" s="290">
        <f>-AX97</f>
        <v>-1918.3434457620081</v>
      </c>
      <c r="AY158" s="260">
        <f>-AY97</f>
        <v>-1918.3434457620081</v>
      </c>
      <c r="AZ158" s="260">
        <f>-AZ97</f>
        <v>-1918.3434457620081</v>
      </c>
      <c r="BA158" s="291">
        <f>-BA97</f>
        <v>-1918.3434457620081</v>
      </c>
      <c r="BB158" s="45">
        <f>SUM(AX158:BA158)</f>
        <v>-7673.3737830480322</v>
      </c>
      <c r="BC158" s="290">
        <f>-BC97</f>
        <v>-1731.6764254175466</v>
      </c>
      <c r="BD158" s="260">
        <f>-BD97</f>
        <v>-1731.6764254175466</v>
      </c>
      <c r="BE158" s="260">
        <f>-BE97</f>
        <v>-1731.6764254175466</v>
      </c>
      <c r="BF158" s="291">
        <f>-BF97</f>
        <v>-1731.6764254175466</v>
      </c>
      <c r="BG158" s="45">
        <f>SUM(BC158:BF158)</f>
        <v>-6926.7057016701865</v>
      </c>
      <c r="BH158" s="290">
        <f>-BH97</f>
        <v>-1746.7114254175467</v>
      </c>
      <c r="BI158" s="260">
        <f>-BI97</f>
        <v>-1746.7114254175467</v>
      </c>
      <c r="BJ158" s="260">
        <f>-BJ97</f>
        <v>-1746.7114254175467</v>
      </c>
      <c r="BK158" s="291">
        <f>-BK97</f>
        <v>-1746.7114254175467</v>
      </c>
      <c r="BL158" s="45">
        <f>SUM(BH158:BK158)</f>
        <v>-6986.8457016701868</v>
      </c>
      <c r="BM158" s="290">
        <f>-BM97</f>
        <v>-1715.0350000000001</v>
      </c>
      <c r="BN158" s="260">
        <f>-BN97</f>
        <v>-1715.0350000000001</v>
      </c>
      <c r="BO158" s="260">
        <f>-BO97</f>
        <v>-1715.0350000000001</v>
      </c>
      <c r="BP158" s="291">
        <f>-BP97</f>
        <v>-1715.0350000000001</v>
      </c>
      <c r="BQ158" s="45">
        <f>SUM(BM158:BP158)</f>
        <v>-6860.14</v>
      </c>
      <c r="BR158" s="783"/>
      <c r="BS158" s="783"/>
      <c r="BT158" s="45"/>
      <c r="BU158" s="817">
        <v>-712</v>
      </c>
      <c r="BV158" s="817">
        <v>-1444</v>
      </c>
      <c r="BW158" s="817">
        <v>-2252</v>
      </c>
      <c r="BX158" s="349">
        <f>BY158</f>
        <v>-3273</v>
      </c>
      <c r="BY158" s="817">
        <v>-3273</v>
      </c>
      <c r="BZ158" s="817">
        <v>-878</v>
      </c>
      <c r="CA158" s="817">
        <v>-1584</v>
      </c>
      <c r="CB158" s="817">
        <v>-2382</v>
      </c>
      <c r="CC158" s="349">
        <f>CD158</f>
        <v>-3326</v>
      </c>
      <c r="CD158" s="817">
        <v>-3326</v>
      </c>
      <c r="CE158" s="817">
        <v>-1150</v>
      </c>
      <c r="CF158" s="817">
        <v>-1985</v>
      </c>
      <c r="CG158" s="817">
        <v>-2972</v>
      </c>
      <c r="CH158" s="349">
        <f>CI158</f>
        <v>-4042</v>
      </c>
      <c r="CI158" s="817">
        <v>-4042</v>
      </c>
      <c r="CJ158" s="817">
        <v>-1496</v>
      </c>
      <c r="CK158" s="817">
        <v>-2816</v>
      </c>
      <c r="CL158" s="817">
        <v>-4145</v>
      </c>
      <c r="CM158" s="349">
        <f>CN158</f>
        <v>-5789</v>
      </c>
      <c r="CN158" s="817">
        <v>-5789</v>
      </c>
      <c r="CO158" s="817">
        <v>-1447</v>
      </c>
      <c r="CP158" s="817">
        <v>-2518</v>
      </c>
      <c r="CQ158" s="1544">
        <v>-3887</v>
      </c>
      <c r="CR158" s="349">
        <f>CS158</f>
        <v>-5395</v>
      </c>
      <c r="CS158" s="1544">
        <v>-5395</v>
      </c>
      <c r="CT158" s="817">
        <v>-1217</v>
      </c>
      <c r="CU158" s="1544">
        <v>-2501</v>
      </c>
      <c r="CV158" s="1544">
        <v>-4114</v>
      </c>
      <c r="CW158" s="349">
        <f>CX158</f>
        <v>-6077</v>
      </c>
      <c r="CX158" s="1544">
        <v>-6077</v>
      </c>
      <c r="CY158" s="817">
        <v>-1784</v>
      </c>
      <c r="CZ158" s="1544">
        <v>-3460</v>
      </c>
      <c r="DA158" s="1544">
        <v>-5443</v>
      </c>
      <c r="DB158" s="349">
        <f>DC158</f>
        <v>-7624</v>
      </c>
      <c r="DC158" s="1544">
        <v>-7624</v>
      </c>
      <c r="DD158" s="817">
        <v>-2202</v>
      </c>
      <c r="DE158" s="1544">
        <v>-4489</v>
      </c>
      <c r="DF158" s="1544">
        <v>-6368</v>
      </c>
      <c r="DG158" s="349">
        <f>DH158</f>
        <v>-8553</v>
      </c>
      <c r="DH158" s="1544">
        <v>-8553</v>
      </c>
      <c r="DI158" s="817">
        <v>-2114</v>
      </c>
      <c r="DJ158" s="1544">
        <v>-3845</v>
      </c>
      <c r="DK158" s="1544">
        <v>-5556</v>
      </c>
      <c r="DL158" s="349">
        <f>DM158</f>
        <v>-7584</v>
      </c>
      <c r="DM158" s="1544">
        <v>-7584</v>
      </c>
      <c r="DN158" s="817"/>
      <c r="DO158" s="817"/>
      <c r="DP158" s="817"/>
      <c r="DQ158" s="817"/>
      <c r="DR158"/>
      <c r="DS158"/>
      <c r="DT158"/>
      <c r="DU158"/>
      <c r="DV158"/>
      <c r="DW158"/>
      <c r="DX158" s="825"/>
    </row>
    <row r="159" spans="2:128" s="24" customFormat="1">
      <c r="C159" s="799" t="s">
        <v>243</v>
      </c>
      <c r="E159" s="290">
        <f>BU159</f>
        <v>-59</v>
      </c>
      <c r="F159" s="260">
        <f t="shared" si="289"/>
        <v>-70</v>
      </c>
      <c r="G159" s="260">
        <f t="shared" si="289"/>
        <v>-51</v>
      </c>
      <c r="H159" s="291">
        <f t="shared" si="289"/>
        <v>-46</v>
      </c>
      <c r="I159" s="932">
        <f>SUM(E159:H159)</f>
        <v>-226</v>
      </c>
      <c r="J159" s="290">
        <f>BZ159</f>
        <v>-57</v>
      </c>
      <c r="K159" s="260">
        <f t="shared" si="290"/>
        <v>-41</v>
      </c>
      <c r="L159" s="260">
        <f t="shared" si="290"/>
        <v>-10</v>
      </c>
      <c r="M159" s="291">
        <f t="shared" si="290"/>
        <v>-922</v>
      </c>
      <c r="N159" s="45">
        <f>SUM(J159:M159)</f>
        <v>-1030</v>
      </c>
      <c r="O159" s="290">
        <f>CE159</f>
        <v>-52</v>
      </c>
      <c r="P159" s="260">
        <f t="shared" si="291"/>
        <v>-63</v>
      </c>
      <c r="Q159" s="260">
        <f t="shared" si="291"/>
        <v>-438</v>
      </c>
      <c r="R159" s="291">
        <f t="shared" si="291"/>
        <v>-25</v>
      </c>
      <c r="S159" s="45">
        <f>SUM(O159:R159)</f>
        <v>-578</v>
      </c>
      <c r="T159" s="290">
        <f>CJ159</f>
        <v>-41</v>
      </c>
      <c r="U159" s="260">
        <f>CK159-CJ159</f>
        <v>-64</v>
      </c>
      <c r="V159" s="260">
        <f t="shared" si="292"/>
        <v>922</v>
      </c>
      <c r="W159" s="291">
        <f t="shared" si="292"/>
        <v>294</v>
      </c>
      <c r="X159" s="45">
        <f>SUM(T159:W159)</f>
        <v>1111</v>
      </c>
      <c r="Y159" s="290">
        <f>CO159</f>
        <v>-52</v>
      </c>
      <c r="Z159" s="260">
        <f>CP159-CO159</f>
        <v>-64</v>
      </c>
      <c r="AA159" s="1441">
        <f t="shared" si="293"/>
        <v>-9</v>
      </c>
      <c r="AB159" s="1442">
        <f t="shared" si="293"/>
        <v>-58</v>
      </c>
      <c r="AC159" s="1443">
        <f>SUM(Y159:AB159)</f>
        <v>-183</v>
      </c>
      <c r="AD159" s="290">
        <f>CT159</f>
        <v>-53</v>
      </c>
      <c r="AE159" s="260">
        <f>CU159-CT159</f>
        <v>0</v>
      </c>
      <c r="AF159" s="1441">
        <f t="shared" si="294"/>
        <v>899</v>
      </c>
      <c r="AG159" s="1442">
        <f t="shared" si="295"/>
        <v>671</v>
      </c>
      <c r="AH159" s="1443">
        <f>SUM(AD159:AG159)</f>
        <v>1517</v>
      </c>
      <c r="AI159" s="290">
        <f>CY159</f>
        <v>61</v>
      </c>
      <c r="AJ159" s="260">
        <f>CZ159-CY159</f>
        <v>-67</v>
      </c>
      <c r="AK159" s="1441">
        <f t="shared" si="296"/>
        <v>-63</v>
      </c>
      <c r="AL159" s="1442">
        <f t="shared" si="297"/>
        <v>-76</v>
      </c>
      <c r="AM159" s="1443">
        <f>SUM(AI159:AL159)</f>
        <v>-145</v>
      </c>
      <c r="AN159" s="290">
        <f>DD159</f>
        <v>-6702</v>
      </c>
      <c r="AO159" s="260">
        <f>DE159-DD159</f>
        <v>-12</v>
      </c>
      <c r="AP159" s="1441">
        <f t="shared" si="298"/>
        <v>48</v>
      </c>
      <c r="AQ159" s="1442">
        <f t="shared" si="299"/>
        <v>-89</v>
      </c>
      <c r="AR159" s="1443">
        <f>SUM(AN159:AQ159)</f>
        <v>-6755</v>
      </c>
      <c r="AS159" s="290">
        <f>DI159</f>
        <v>-278</v>
      </c>
      <c r="AT159" s="260">
        <f>DJ159-DI159</f>
        <v>151</v>
      </c>
      <c r="AU159" s="260">
        <f t="shared" si="300"/>
        <v>-58</v>
      </c>
      <c r="AV159" s="1442">
        <f t="shared" si="301"/>
        <v>-72</v>
      </c>
      <c r="AW159" s="1443">
        <f>SUM(AS159:AV159)</f>
        <v>-257</v>
      </c>
      <c r="AX159" s="290">
        <f>+ExGen!AX828+ComEd!AX172+BGE!AX198+Parent!AX64+Pepco!AS151+DPL!AS182+ACE!AS151</f>
        <v>0</v>
      </c>
      <c r="AY159" s="260">
        <f>+ExGen!AY828+ComEd!AY172+BGE!AY198+Parent!AY64+Pepco!AT151+DPL!AT182+ACE!AT151</f>
        <v>0</v>
      </c>
      <c r="AZ159" s="260">
        <f>+ExGen!AZ828+ComEd!AZ172+BGE!AZ198+Parent!AZ64+Pepco!AU151+DPL!AU182+ACE!AU151</f>
        <v>0</v>
      </c>
      <c r="BA159" s="291">
        <f>+ExGen!BA828+ComEd!BA172+BGE!BA198+Parent!BA64+Pepco!AV151+DPL!AV182+ACE!AV151</f>
        <v>0</v>
      </c>
      <c r="BB159" s="45">
        <f>SUM(AX159:BA159)</f>
        <v>0</v>
      </c>
      <c r="BC159" s="290">
        <f>+ExGen!BC828+ComEd!BC172+BGE!BC198+Parent!BC64+Pepco!AX151+DPL!AX182+ACE!AX151</f>
        <v>0</v>
      </c>
      <c r="BD159" s="260">
        <f>+ExGen!BD828+ComEd!BD172+BGE!BD198+Parent!BD64+Pepco!AY151+DPL!AY182+ACE!AY151</f>
        <v>0</v>
      </c>
      <c r="BE159" s="260">
        <f>+ExGen!BE828+ComEd!BE172+BGE!BE198+Parent!BE64+Pepco!AZ151+DPL!AZ182+ACE!AZ151</f>
        <v>0</v>
      </c>
      <c r="BF159" s="291">
        <f>+ExGen!BF828+ComEd!BF172+BGE!BF198+Parent!BF64+Pepco!BA151+DPL!BA182+ACE!BA151</f>
        <v>0</v>
      </c>
      <c r="BG159" s="45">
        <f>SUM(BC159:BF159)</f>
        <v>0</v>
      </c>
      <c r="BH159" s="290">
        <f>+ExGen!BH828+ComEd!BH172+BGE!BH198+Parent!BH64+Pepco!BC151+DPL!BC182+ACE!BC151</f>
        <v>0</v>
      </c>
      <c r="BI159" s="260">
        <f>+ExGen!BI828+ComEd!BI172+BGE!BI198+Parent!BI64+Pepco!BD151+DPL!BD182+ACE!BD151</f>
        <v>0</v>
      </c>
      <c r="BJ159" s="260">
        <f>+ExGen!BJ828+ComEd!BJ172+BGE!BJ198+Parent!BJ64+Pepco!BE151+DPL!BE182+ACE!BE151</f>
        <v>0</v>
      </c>
      <c r="BK159" s="291">
        <f>+ExGen!BK828+ComEd!BK172+BGE!BK198+Parent!BK64+Pepco!BF151+DPL!BF182+ACE!BF151</f>
        <v>0</v>
      </c>
      <c r="BL159" s="45">
        <f>SUM(BH159:BK159)</f>
        <v>0</v>
      </c>
      <c r="BM159" s="290">
        <f>+ExGen!BM828+ComEd!BM172+BGE!BM198+Parent!BM64+Pepco!BH151+DPL!BH182+ACE!BH151</f>
        <v>0</v>
      </c>
      <c r="BN159" s="260">
        <f>+ExGen!BN828+ComEd!BN172+BGE!BN198+Parent!BN64+Pepco!BI151+DPL!BI182+ACE!BI151</f>
        <v>0</v>
      </c>
      <c r="BO159" s="260">
        <f>+ExGen!BO828+ComEd!BO172+BGE!BO198+Parent!BO64+Pepco!BJ151+DPL!BJ182+ACE!BJ151</f>
        <v>0</v>
      </c>
      <c r="BP159" s="291">
        <f>+ExGen!BP828+ComEd!BP172+BGE!BP198+Parent!BP64+Pepco!BK151+DPL!BK182+ACE!BK151</f>
        <v>0</v>
      </c>
      <c r="BQ159" s="45">
        <f>SUM(BM159:BP159)</f>
        <v>0</v>
      </c>
      <c r="BR159" s="783"/>
      <c r="BS159" s="783"/>
      <c r="BT159" s="45"/>
      <c r="BU159" s="817">
        <f>3050-3109</f>
        <v>-59</v>
      </c>
      <c r="BV159" s="817">
        <f>10150-10279</f>
        <v>-129</v>
      </c>
      <c r="BW159" s="817">
        <f>18769-18949</f>
        <v>-180</v>
      </c>
      <c r="BX159" s="349">
        <f>BY159</f>
        <v>-226</v>
      </c>
      <c r="BY159" s="817">
        <f>4292-4531+41-28</f>
        <v>-226</v>
      </c>
      <c r="BZ159" s="817">
        <f>909-966</f>
        <v>-57</v>
      </c>
      <c r="CA159" s="817">
        <f>1799-1897</f>
        <v>-98</v>
      </c>
      <c r="CB159" s="817">
        <f>2756-2864</f>
        <v>-108</v>
      </c>
      <c r="CC159" s="349">
        <f>CD159</f>
        <v>-1030</v>
      </c>
      <c r="CD159" s="817">
        <f>3764-3907-893+28-22</f>
        <v>-1030</v>
      </c>
      <c r="CE159" s="817">
        <f>1195-1247+1-1</f>
        <v>-52</v>
      </c>
      <c r="CF159" s="817">
        <f>1657-1772</f>
        <v>-115</v>
      </c>
      <c r="CG159" s="817">
        <f>3120-3293-380</f>
        <v>-553</v>
      </c>
      <c r="CH159" s="349">
        <f>CI159</f>
        <v>-578</v>
      </c>
      <c r="CI159" s="817">
        <f>6139-6332-387+6-4</f>
        <v>-578</v>
      </c>
      <c r="CJ159" s="817">
        <f>10-5+3680-3726</f>
        <v>-41</v>
      </c>
      <c r="CK159" s="817">
        <f>12+-5+5371+-5483</f>
        <v>-105</v>
      </c>
      <c r="CL159" s="817">
        <f>6262-6422+26-13+964</f>
        <v>817</v>
      </c>
      <c r="CM159" s="349">
        <f>CN159</f>
        <v>1111</v>
      </c>
      <c r="CN159" s="817">
        <f>7265-7483+964-21+371+28-13</f>
        <v>1111</v>
      </c>
      <c r="CO159" s="817">
        <f>677-729</f>
        <v>-52</v>
      </c>
      <c r="CP159" s="817">
        <f>1448-1565+4-3</f>
        <v>-116</v>
      </c>
      <c r="CQ159" s="1544">
        <f>3344-3518+32+20-3</f>
        <v>-125</v>
      </c>
      <c r="CR159" s="349">
        <f>CS159</f>
        <v>-183</v>
      </c>
      <c r="CS159" s="1544">
        <f>4217-4450+32+22-4</f>
        <v>-183</v>
      </c>
      <c r="CT159" s="817">
        <f>1825-1878</f>
        <v>-53</v>
      </c>
      <c r="CU159" s="1544">
        <f>4219-4238-66+32</f>
        <v>-53</v>
      </c>
      <c r="CV159" s="1544">
        <f>5464-5550+660+7+335-67-3</f>
        <v>846</v>
      </c>
      <c r="CW159" s="349">
        <f>CX159</f>
        <v>1517</v>
      </c>
      <c r="CX159" s="1544">
        <f>335+7396-7551-386+1719+7-3</f>
        <v>1517</v>
      </c>
      <c r="CY159" s="817">
        <f>1681-1747+142-15</f>
        <v>61</v>
      </c>
      <c r="CZ159" s="1544">
        <f>3314+145-3437-28</f>
        <v>-6</v>
      </c>
      <c r="DA159" s="1544">
        <f>4551-4737-28+145</f>
        <v>-69</v>
      </c>
      <c r="DB159" s="349">
        <f>DC159</f>
        <v>-145</v>
      </c>
      <c r="DC159" s="1544">
        <f>6895-7147-40+147</f>
        <v>-145</v>
      </c>
      <c r="DD159" s="817">
        <f>2240-6645-2297</f>
        <v>-6702</v>
      </c>
      <c r="DE159" s="1544">
        <f>4977-5094-6642+45</f>
        <v>-6714</v>
      </c>
      <c r="DF159" s="1544">
        <f>7914-8093-6896+49+360</f>
        <v>-6666</v>
      </c>
      <c r="DG159" s="349">
        <f>DH159</f>
        <v>-6755</v>
      </c>
      <c r="DH159" s="1544">
        <f>360+9496-9738-6934+61</f>
        <v>-6755</v>
      </c>
      <c r="DI159" s="817">
        <f>1767-212-1833</f>
        <v>-278</v>
      </c>
      <c r="DJ159" s="1544">
        <f>5213-5339-212+211</f>
        <v>-127</v>
      </c>
      <c r="DK159" s="1544">
        <f>6848-7044-208+219</f>
        <v>-185</v>
      </c>
      <c r="DL159" s="349">
        <f>DM159</f>
        <v>-257</v>
      </c>
      <c r="DM159" s="1544">
        <f>7845-8113-208+219</f>
        <v>-257</v>
      </c>
      <c r="DN159" s="817"/>
      <c r="DO159" s="817"/>
      <c r="DP159" s="817"/>
      <c r="DQ159" s="817"/>
      <c r="DR159"/>
      <c r="DS159"/>
      <c r="DT159"/>
      <c r="DU159"/>
      <c r="DV159"/>
      <c r="DW159"/>
      <c r="DX159" s="825"/>
    </row>
    <row r="160" spans="2:128" s="24" customFormat="1">
      <c r="C160" s="24" t="s">
        <v>77</v>
      </c>
      <c r="E160" s="290">
        <f>BU160</f>
        <v>19</v>
      </c>
      <c r="F160" s="260">
        <f t="shared" si="289"/>
        <v>8</v>
      </c>
      <c r="G160" s="260">
        <f t="shared" si="289"/>
        <v>21</v>
      </c>
      <c r="H160" s="291">
        <f t="shared" si="289"/>
        <v>-7</v>
      </c>
      <c r="I160" s="932">
        <f>SUM(E160:H160)</f>
        <v>41</v>
      </c>
      <c r="J160" s="290">
        <f>BZ160</f>
        <v>226</v>
      </c>
      <c r="K160" s="260">
        <f t="shared" si="290"/>
        <v>-202</v>
      </c>
      <c r="L160" s="260">
        <f t="shared" si="290"/>
        <v>429</v>
      </c>
      <c r="M160" s="291">
        <f t="shared" si="290"/>
        <v>9</v>
      </c>
      <c r="N160" s="45">
        <f>SUM(J160:M160)</f>
        <v>462</v>
      </c>
      <c r="O160" s="290">
        <f>CE160</f>
        <v>23</v>
      </c>
      <c r="P160" s="260">
        <f t="shared" si="291"/>
        <v>3</v>
      </c>
      <c r="Q160" s="260">
        <f t="shared" si="291"/>
        <v>-532</v>
      </c>
      <c r="R160" s="291">
        <f t="shared" si="291"/>
        <v>523</v>
      </c>
      <c r="S160" s="45">
        <f>SUM(O160:R160)</f>
        <v>17</v>
      </c>
      <c r="T160" s="290">
        <f>CJ160</f>
        <v>897</v>
      </c>
      <c r="U160" s="260">
        <f>CK160-CJ160</f>
        <v>40</v>
      </c>
      <c r="V160" s="260">
        <f t="shared" si="292"/>
        <v>-934</v>
      </c>
      <c r="W160" s="291">
        <f t="shared" si="292"/>
        <v>99</v>
      </c>
      <c r="X160" s="45">
        <f>SUM(T160:W160)</f>
        <v>102</v>
      </c>
      <c r="Y160" s="290">
        <f>CO160</f>
        <v>28</v>
      </c>
      <c r="Z160" s="260">
        <f>CP160-CO160</f>
        <v>57</v>
      </c>
      <c r="AA160" s="1441">
        <f t="shared" si="293"/>
        <v>-43</v>
      </c>
      <c r="AB160" s="1442">
        <f t="shared" si="293"/>
        <v>142</v>
      </c>
      <c r="AC160" s="1443">
        <f>SUM(Y160:AB160)</f>
        <v>184</v>
      </c>
      <c r="AD160" s="290">
        <f>CT160</f>
        <v>259</v>
      </c>
      <c r="AE160" s="260">
        <f>CU160-CT160</f>
        <v>108</v>
      </c>
      <c r="AF160" s="1441">
        <f t="shared" si="294"/>
        <v>-475</v>
      </c>
      <c r="AG160" s="1442">
        <f t="shared" si="295"/>
        <v>69</v>
      </c>
      <c r="AH160" s="1443">
        <f>SUM(AD160:AG160)</f>
        <v>-39</v>
      </c>
      <c r="AI160" s="290">
        <f>CY160</f>
        <v>-28</v>
      </c>
      <c r="AJ160" s="260">
        <f>CZ160-CY160</f>
        <v>-52</v>
      </c>
      <c r="AK160" s="1441">
        <f t="shared" si="296"/>
        <v>-97</v>
      </c>
      <c r="AL160" s="1442">
        <f t="shared" si="297"/>
        <v>124</v>
      </c>
      <c r="AM160" s="1443">
        <f>SUM(AI160:AL160)</f>
        <v>-53</v>
      </c>
      <c r="AN160" s="290">
        <f>DD160</f>
        <v>356</v>
      </c>
      <c r="AO160" s="260">
        <f>DE160-DD160</f>
        <v>-30</v>
      </c>
      <c r="AP160" s="1441">
        <f t="shared" si="298"/>
        <v>-511</v>
      </c>
      <c r="AQ160" s="1442">
        <f t="shared" si="299"/>
        <v>-10</v>
      </c>
      <c r="AR160" s="1443">
        <f>SUM(AN160:AQ160)</f>
        <v>-195</v>
      </c>
      <c r="AS160" s="290">
        <f>DI160</f>
        <v>-19</v>
      </c>
      <c r="AT160" s="260">
        <f>DJ160-DI160</f>
        <v>11</v>
      </c>
      <c r="AU160" s="260">
        <f t="shared" si="300"/>
        <v>-61</v>
      </c>
      <c r="AV160" s="1442">
        <f t="shared" si="301"/>
        <v>-24</v>
      </c>
      <c r="AW160" s="1443">
        <f>SUM(AS160:AV160)</f>
        <v>-93</v>
      </c>
      <c r="AX160" s="290">
        <f>+ExGen!AX829+ComEd!AX173+PECO!AX201+BGE!AX199+Parent!AX65+Pepco!AS152+DPL!AS183+ACE!AS152</f>
        <v>0</v>
      </c>
      <c r="AY160" s="260">
        <f>+ExGen!AY829+ComEd!AY173+PECO!AY201+BGE!AY199+Parent!AY65+Pepco!AT152+DPL!AT183+ACE!AT152</f>
        <v>0</v>
      </c>
      <c r="AZ160" s="260">
        <f>+ExGen!AZ829+ComEd!AZ173+PECO!AZ201+BGE!AZ199+Parent!AZ65+Pepco!AU152+DPL!AU183+ACE!AU152</f>
        <v>0</v>
      </c>
      <c r="BA160" s="291">
        <f>+ExGen!BA829+ComEd!BA173+PECO!BA201+BGE!BA199+Parent!BA65+Pepco!AV152+DPL!AV183+ACE!AV152</f>
        <v>0</v>
      </c>
      <c r="BB160" s="45">
        <f>SUM(AX160:BA160)</f>
        <v>0</v>
      </c>
      <c r="BC160" s="290">
        <f>+ExGen!BC829+ComEd!BC173+PECO!BC201+BGE!BC199+Parent!BC65+Pepco!AX152+DPL!AX183+ACE!AX152</f>
        <v>0</v>
      </c>
      <c r="BD160" s="260">
        <f>+ExGen!BD829+ComEd!BD173+PECO!BD201+BGE!BD199+Parent!BD65+Pepco!AY152+DPL!AY183+ACE!AY152</f>
        <v>0</v>
      </c>
      <c r="BE160" s="260">
        <f>+ExGen!BE829+ComEd!BE173+PECO!BE201+BGE!BE199+Parent!BE65+Pepco!AZ152+DPL!AZ183+ACE!AZ152</f>
        <v>0</v>
      </c>
      <c r="BF160" s="291">
        <f>+ExGen!BF829+ComEd!BF173+PECO!BF201+BGE!BF199+Parent!BF65+Pepco!BA152+DPL!BA183+ACE!BA152</f>
        <v>0</v>
      </c>
      <c r="BG160" s="45">
        <f>SUM(BC160:BF160)</f>
        <v>0</v>
      </c>
      <c r="BH160" s="290">
        <f>+ExGen!BH829+ComEd!BH173+PECO!BH201+BGE!BH199+Parent!BH65+Pepco!BC152+DPL!BC183+ACE!BC152</f>
        <v>0</v>
      </c>
      <c r="BI160" s="260">
        <f>+ExGen!BI829+ComEd!BI173+PECO!BI201+BGE!BI199+Parent!BI65+Pepco!BD152+DPL!BD183+ACE!BD152</f>
        <v>0</v>
      </c>
      <c r="BJ160" s="260">
        <f>+ExGen!BJ829+ComEd!BJ173+PECO!BJ201+BGE!BJ199+Parent!BJ65+Pepco!BE152+DPL!BE183+ACE!BE152</f>
        <v>0</v>
      </c>
      <c r="BK160" s="291">
        <f>+ExGen!BK829+ComEd!BK173+PECO!BK201+BGE!BK199+Parent!BK65+Pepco!BF152+DPL!BF183+ACE!BF152</f>
        <v>0</v>
      </c>
      <c r="BL160" s="45">
        <f>SUM(BH160:BK160)</f>
        <v>0</v>
      </c>
      <c r="BM160" s="290">
        <f>+ExGen!BM829+ComEd!BM173+PECO!BM201+BGE!BM199+Parent!BM65+Pepco!BH152+DPL!BH183+ACE!BH152</f>
        <v>0</v>
      </c>
      <c r="BN160" s="260">
        <f>+ExGen!BN829+ComEd!BN173+PECO!BN201+BGE!BN199+Parent!BN65+Pepco!BI152+DPL!BI183+ACE!BI152</f>
        <v>0</v>
      </c>
      <c r="BO160" s="260">
        <f>+ExGen!BO829+ComEd!BO173+PECO!BO201+BGE!BO199+Parent!BO65+Pepco!BJ152+DPL!BJ183+ACE!BJ152</f>
        <v>0</v>
      </c>
      <c r="BP160" s="291">
        <f>+ExGen!BP829+ComEd!BP173+PECO!BP201+BGE!BP199+Parent!BP65+Pepco!BK152+DPL!BK183+ACE!BK152</f>
        <v>0</v>
      </c>
      <c r="BQ160" s="45">
        <f>SUM(BM160:BP160)</f>
        <v>0</v>
      </c>
      <c r="BR160" s="783"/>
      <c r="BS160" s="783"/>
      <c r="BT160" s="45"/>
      <c r="BU160" s="817">
        <f>23-4</f>
        <v>19</v>
      </c>
      <c r="BV160" s="817">
        <f>31-4</f>
        <v>27</v>
      </c>
      <c r="BW160" s="817">
        <f>32+16</f>
        <v>48</v>
      </c>
      <c r="BX160" s="349">
        <f>BY160</f>
        <v>41</v>
      </c>
      <c r="BY160" s="817">
        <f>35+6</f>
        <v>41</v>
      </c>
      <c r="BZ160" s="817">
        <f>214+12</f>
        <v>226</v>
      </c>
      <c r="CA160" s="817">
        <f>-6+30</f>
        <v>24</v>
      </c>
      <c r="CB160" s="817">
        <f>427+26</f>
        <v>453</v>
      </c>
      <c r="CC160" s="349">
        <f>CD160</f>
        <v>462</v>
      </c>
      <c r="CD160" s="817">
        <f>423+39</f>
        <v>462</v>
      </c>
      <c r="CE160" s="817">
        <f>8+15</f>
        <v>23</v>
      </c>
      <c r="CF160" s="817">
        <f>-2+28</f>
        <v>26</v>
      </c>
      <c r="CG160" s="817">
        <f>-532+26</f>
        <v>-506</v>
      </c>
      <c r="CH160" s="349">
        <f>CI160</f>
        <v>17</v>
      </c>
      <c r="CI160" s="817">
        <f>-3+20</f>
        <v>17</v>
      </c>
      <c r="CJ160" s="817">
        <f>964-8-59</f>
        <v>897</v>
      </c>
      <c r="CK160" s="817">
        <f>-1984-CK159-CK158</f>
        <v>937</v>
      </c>
      <c r="CL160" s="817">
        <f>-38+41</f>
        <v>3</v>
      </c>
      <c r="CM160" s="349">
        <f>CN160</f>
        <v>102</v>
      </c>
      <c r="CN160" s="817">
        <f>-34+136</f>
        <v>102</v>
      </c>
      <c r="CO160" s="817">
        <f>-12+40</f>
        <v>28</v>
      </c>
      <c r="CP160" s="817">
        <f>22+63</f>
        <v>85</v>
      </c>
      <c r="CQ160" s="1544">
        <f>-23+65</f>
        <v>42</v>
      </c>
      <c r="CR160" s="349">
        <f>CS160</f>
        <v>184</v>
      </c>
      <c r="CS160" s="1544">
        <f>-43+115+112</f>
        <v>184</v>
      </c>
      <c r="CT160" s="817">
        <f>335+18-40-54</f>
        <v>259</v>
      </c>
      <c r="CU160" s="1544">
        <f>335+129-40-57</f>
        <v>367</v>
      </c>
      <c r="CV160" s="1544">
        <f>129-151-86</f>
        <v>-108</v>
      </c>
      <c r="CW160" s="349">
        <f>CX160</f>
        <v>-39</v>
      </c>
      <c r="CX160" s="1544">
        <f>140-104+13-88</f>
        <v>-39</v>
      </c>
      <c r="CY160" s="817">
        <f>-26-2</f>
        <v>-28</v>
      </c>
      <c r="CZ160" s="1544">
        <f>+-3-77</f>
        <v>-80</v>
      </c>
      <c r="DA160" s="1544">
        <f>+-70-107</f>
        <v>-177</v>
      </c>
      <c r="DB160" s="349">
        <f>DC160</f>
        <v>-53</v>
      </c>
      <c r="DC160" s="1544">
        <f>66-119</f>
        <v>-53</v>
      </c>
      <c r="DD160" s="817">
        <f>360-2-2</f>
        <v>356</v>
      </c>
      <c r="DE160" s="1544">
        <f>360+15-49</f>
        <v>326</v>
      </c>
      <c r="DF160" s="1544">
        <f>-75-110</f>
        <v>-185</v>
      </c>
      <c r="DG160" s="349">
        <f>DH160</f>
        <v>-195</v>
      </c>
      <c r="DH160" s="1544">
        <f>-42-153</f>
        <v>-195</v>
      </c>
      <c r="DI160" s="817">
        <f>-1-18</f>
        <v>-19</v>
      </c>
      <c r="DJ160" s="1544">
        <f>1-9</f>
        <v>-8</v>
      </c>
      <c r="DK160" s="1544">
        <f>-67-2</f>
        <v>-69</v>
      </c>
      <c r="DL160" s="349">
        <f>DM160</f>
        <v>-93</v>
      </c>
      <c r="DM160" s="1544">
        <f>-50-43</f>
        <v>-93</v>
      </c>
      <c r="DN160" s="817"/>
      <c r="DO160" s="817"/>
      <c r="DP160" s="817"/>
      <c r="DQ160" s="817"/>
      <c r="DR160"/>
      <c r="DS160"/>
      <c r="DT160"/>
      <c r="DU160"/>
      <c r="DV160"/>
      <c r="DW160"/>
      <c r="DX160" s="825"/>
    </row>
    <row r="161" spans="3:128" s="445" customFormat="1">
      <c r="C161" s="445" t="s">
        <v>78</v>
      </c>
      <c r="E161" s="292">
        <f t="shared" ref="E161:N161" si="302">SUM(E158:E160)</f>
        <v>-752</v>
      </c>
      <c r="F161" s="261">
        <f t="shared" si="302"/>
        <v>-794</v>
      </c>
      <c r="G161" s="261">
        <f t="shared" si="302"/>
        <v>-838</v>
      </c>
      <c r="H161" s="293">
        <f t="shared" si="302"/>
        <v>-1074</v>
      </c>
      <c r="I161" s="933">
        <f t="shared" si="302"/>
        <v>-3458</v>
      </c>
      <c r="J161" s="292">
        <f t="shared" si="302"/>
        <v>-709</v>
      </c>
      <c r="K161" s="261">
        <f t="shared" si="302"/>
        <v>-949</v>
      </c>
      <c r="L161" s="261">
        <f t="shared" si="302"/>
        <v>-379</v>
      </c>
      <c r="M161" s="293">
        <f t="shared" si="302"/>
        <v>-1857</v>
      </c>
      <c r="N161" s="228">
        <f t="shared" si="302"/>
        <v>-3894</v>
      </c>
      <c r="O161" s="292">
        <f t="shared" ref="O161:AE161" si="303">SUM(O158:O160)</f>
        <v>-1179</v>
      </c>
      <c r="P161" s="261">
        <f t="shared" si="303"/>
        <v>-895</v>
      </c>
      <c r="Q161" s="261">
        <f t="shared" si="303"/>
        <v>-1957</v>
      </c>
      <c r="R161" s="293">
        <f t="shared" si="303"/>
        <v>-572</v>
      </c>
      <c r="S161" s="228">
        <f t="shared" si="303"/>
        <v>-4603</v>
      </c>
      <c r="T161" s="292">
        <f t="shared" si="303"/>
        <v>-640</v>
      </c>
      <c r="U161" s="261">
        <f t="shared" si="303"/>
        <v>-1344</v>
      </c>
      <c r="V161" s="261">
        <f>SUM(V158:V160)</f>
        <v>-1341</v>
      </c>
      <c r="W161" s="293">
        <f>SUM(W158:W160)</f>
        <v>-1251</v>
      </c>
      <c r="X161" s="228">
        <f>SUM(X158:X160)</f>
        <v>-4576</v>
      </c>
      <c r="Y161" s="292">
        <f t="shared" si="303"/>
        <v>-1471</v>
      </c>
      <c r="Z161" s="261">
        <f t="shared" si="303"/>
        <v>-1078</v>
      </c>
      <c r="AA161" s="1438">
        <f>SUM(AA158:AA160)</f>
        <v>-1421</v>
      </c>
      <c r="AB161" s="1439">
        <f>SUM(AB158:AB160)</f>
        <v>-1424</v>
      </c>
      <c r="AC161" s="1440">
        <f>SUM(AC158:AC160)</f>
        <v>-5394</v>
      </c>
      <c r="AD161" s="292">
        <f t="shared" si="303"/>
        <v>-1011</v>
      </c>
      <c r="AE161" s="261">
        <f t="shared" si="303"/>
        <v>-1176</v>
      </c>
      <c r="AF161" s="1438">
        <f>SUM(AF158:AF160)</f>
        <v>-1189</v>
      </c>
      <c r="AG161" s="1439">
        <f>SUM(AG158:AG160)</f>
        <v>-1223</v>
      </c>
      <c r="AH161" s="1440">
        <f>SUM(AH158:AH160)</f>
        <v>-4599</v>
      </c>
      <c r="AI161" s="292">
        <f t="shared" ref="AI161:AJ161" si="304">SUM(AI158:AI160)</f>
        <v>-1751</v>
      </c>
      <c r="AJ161" s="261">
        <f t="shared" si="304"/>
        <v>-1795</v>
      </c>
      <c r="AK161" s="1438">
        <f t="shared" ref="AK161:AO161" si="305">SUM(AK158:AK160)</f>
        <v>-2143</v>
      </c>
      <c r="AL161" s="1439">
        <f t="shared" si="305"/>
        <v>-2133</v>
      </c>
      <c r="AM161" s="1440">
        <f t="shared" si="305"/>
        <v>-7822</v>
      </c>
      <c r="AN161" s="292">
        <f t="shared" si="305"/>
        <v>-8548</v>
      </c>
      <c r="AO161" s="261">
        <f t="shared" si="305"/>
        <v>-2329</v>
      </c>
      <c r="AP161" s="1438">
        <f t="shared" ref="AP161:AT161" si="306">SUM(AP158:AP160)</f>
        <v>-2342</v>
      </c>
      <c r="AQ161" s="1439">
        <f t="shared" si="306"/>
        <v>-2284</v>
      </c>
      <c r="AR161" s="1440">
        <f t="shared" si="306"/>
        <v>-15503</v>
      </c>
      <c r="AS161" s="292">
        <f t="shared" si="306"/>
        <v>-2411</v>
      </c>
      <c r="AT161" s="261">
        <f t="shared" si="306"/>
        <v>-1569</v>
      </c>
      <c r="AU161" s="261">
        <f t="shared" ref="AU161:AW161" si="307">SUM(AU158:AU160)</f>
        <v>-1830</v>
      </c>
      <c r="AV161" s="1439">
        <f t="shared" si="307"/>
        <v>-2124</v>
      </c>
      <c r="AW161" s="1440">
        <f t="shared" si="307"/>
        <v>-7934</v>
      </c>
      <c r="AX161" s="292">
        <f t="shared" ref="AX161:BB161" si="308">SUM(AX158:AX160)</f>
        <v>-1918.3434457620081</v>
      </c>
      <c r="AY161" s="261">
        <f t="shared" si="308"/>
        <v>-1918.3434457620081</v>
      </c>
      <c r="AZ161" s="261">
        <f t="shared" si="308"/>
        <v>-1918.3434457620081</v>
      </c>
      <c r="BA161" s="293">
        <f t="shared" si="308"/>
        <v>-1918.3434457620081</v>
      </c>
      <c r="BB161" s="228">
        <f t="shared" si="308"/>
        <v>-7673.3737830480322</v>
      </c>
      <c r="BC161" s="292">
        <f t="shared" ref="BC161:BL161" si="309">SUM(BC158:BC160)</f>
        <v>-1731.6764254175466</v>
      </c>
      <c r="BD161" s="261">
        <f t="shared" si="309"/>
        <v>-1731.6764254175466</v>
      </c>
      <c r="BE161" s="261">
        <f t="shared" si="309"/>
        <v>-1731.6764254175466</v>
      </c>
      <c r="BF161" s="293">
        <f t="shared" si="309"/>
        <v>-1731.6764254175466</v>
      </c>
      <c r="BG161" s="228">
        <f t="shared" si="309"/>
        <v>-6926.7057016701865</v>
      </c>
      <c r="BH161" s="292">
        <f t="shared" si="309"/>
        <v>-1746.7114254175467</v>
      </c>
      <c r="BI161" s="261">
        <f t="shared" si="309"/>
        <v>-1746.7114254175467</v>
      </c>
      <c r="BJ161" s="261">
        <f t="shared" si="309"/>
        <v>-1746.7114254175467</v>
      </c>
      <c r="BK161" s="293">
        <f t="shared" si="309"/>
        <v>-1746.7114254175467</v>
      </c>
      <c r="BL161" s="228">
        <f t="shared" si="309"/>
        <v>-6986.8457016701868</v>
      </c>
      <c r="BM161" s="292">
        <f t="shared" ref="BM161:BQ161" si="310">SUM(BM158:BM160)</f>
        <v>-1715.0350000000001</v>
      </c>
      <c r="BN161" s="261">
        <f t="shared" si="310"/>
        <v>-1715.0350000000001</v>
      </c>
      <c r="BO161" s="261">
        <f t="shared" si="310"/>
        <v>-1715.0350000000001</v>
      </c>
      <c r="BP161" s="293">
        <f t="shared" si="310"/>
        <v>-1715.0350000000001</v>
      </c>
      <c r="BQ161" s="228">
        <f t="shared" si="310"/>
        <v>-6860.14</v>
      </c>
      <c r="BR161" s="747"/>
      <c r="BS161" s="747"/>
      <c r="BT161" s="228"/>
      <c r="BU161" s="348">
        <f>SUM(BU158:BU160)</f>
        <v>-752</v>
      </c>
      <c r="BV161" s="348">
        <f t="shared" ref="BV161:CB161" si="311">SUM(BV158:BV160)</f>
        <v>-1546</v>
      </c>
      <c r="BW161" s="348">
        <f t="shared" si="311"/>
        <v>-2384</v>
      </c>
      <c r="BX161" s="348">
        <f>SUM(BX158:BX160)</f>
        <v>-3458</v>
      </c>
      <c r="BY161" s="348">
        <f t="shared" si="311"/>
        <v>-3458</v>
      </c>
      <c r="BZ161" s="348">
        <f t="shared" si="311"/>
        <v>-709</v>
      </c>
      <c r="CA161" s="348">
        <f t="shared" si="311"/>
        <v>-1658</v>
      </c>
      <c r="CB161" s="348">
        <f t="shared" si="311"/>
        <v>-2037</v>
      </c>
      <c r="CC161" s="348">
        <f t="shared" ref="CC161:CQ161" si="312">SUM(CC158:CC160)</f>
        <v>-3894</v>
      </c>
      <c r="CD161" s="348">
        <f t="shared" si="312"/>
        <v>-3894</v>
      </c>
      <c r="CE161" s="348">
        <f t="shared" si="312"/>
        <v>-1179</v>
      </c>
      <c r="CF161" s="348">
        <f t="shared" si="312"/>
        <v>-2074</v>
      </c>
      <c r="CG161" s="348">
        <f t="shared" si="312"/>
        <v>-4031</v>
      </c>
      <c r="CH161" s="348">
        <f t="shared" si="312"/>
        <v>-4603</v>
      </c>
      <c r="CI161" s="348">
        <f t="shared" si="312"/>
        <v>-4603</v>
      </c>
      <c r="CJ161" s="348">
        <f t="shared" si="312"/>
        <v>-640</v>
      </c>
      <c r="CK161" s="348">
        <f t="shared" si="312"/>
        <v>-1984</v>
      </c>
      <c r="CL161" s="348">
        <f t="shared" si="312"/>
        <v>-3325</v>
      </c>
      <c r="CM161" s="348">
        <f t="shared" si="312"/>
        <v>-4576</v>
      </c>
      <c r="CN161" s="348">
        <f t="shared" si="312"/>
        <v>-4576</v>
      </c>
      <c r="CO161" s="348">
        <f t="shared" si="312"/>
        <v>-1471</v>
      </c>
      <c r="CP161" s="348">
        <f t="shared" si="312"/>
        <v>-2549</v>
      </c>
      <c r="CQ161" s="348">
        <f t="shared" si="312"/>
        <v>-3970</v>
      </c>
      <c r="CR161" s="348">
        <f>SUM(CR158:CR160)</f>
        <v>-5394</v>
      </c>
      <c r="CS161" s="348">
        <f>SUM(CS158:CS160)</f>
        <v>-5394</v>
      </c>
      <c r="CT161" s="348">
        <f>SUM(CT158:CT160)</f>
        <v>-1011</v>
      </c>
      <c r="CU161" s="348">
        <f>SUM(CU158:CU160)</f>
        <v>-2187</v>
      </c>
      <c r="CV161" s="348">
        <f t="shared" ref="CV161" si="313">SUM(CV158:CV160)</f>
        <v>-3376</v>
      </c>
      <c r="CW161" s="348">
        <f>SUM(CW158:CW160)</f>
        <v>-4599</v>
      </c>
      <c r="CX161" s="348">
        <f>SUM(CX158:CX160)</f>
        <v>-4599</v>
      </c>
      <c r="CY161" s="348">
        <f>SUM(CY158:CY160)</f>
        <v>-1751</v>
      </c>
      <c r="CZ161" s="348">
        <f>SUM(CZ158:CZ160)</f>
        <v>-3546</v>
      </c>
      <c r="DA161" s="348">
        <f t="shared" ref="DA161" si="314">SUM(DA158:DA160)</f>
        <v>-5689</v>
      </c>
      <c r="DB161" s="348">
        <f>SUM(DB158:DB160)</f>
        <v>-7822</v>
      </c>
      <c r="DC161" s="348">
        <f>SUM(DC158:DC160)</f>
        <v>-7822</v>
      </c>
      <c r="DD161" s="348">
        <f>SUM(DD158:DD160)</f>
        <v>-8548</v>
      </c>
      <c r="DE161" s="348">
        <f>SUM(DE158:DE160)</f>
        <v>-10877</v>
      </c>
      <c r="DF161" s="348">
        <f t="shared" ref="DF161" si="315">SUM(DF158:DF160)</f>
        <v>-13219</v>
      </c>
      <c r="DG161" s="348">
        <f t="shared" ref="DG161:DM161" si="316">SUM(DG158:DG160)</f>
        <v>-15503</v>
      </c>
      <c r="DH161" s="348">
        <f t="shared" si="316"/>
        <v>-15503</v>
      </c>
      <c r="DI161" s="348">
        <f t="shared" si="316"/>
        <v>-2411</v>
      </c>
      <c r="DJ161" s="348">
        <f t="shared" si="316"/>
        <v>-3980</v>
      </c>
      <c r="DK161" s="348">
        <f t="shared" si="316"/>
        <v>-5810</v>
      </c>
      <c r="DL161" s="348">
        <f t="shared" si="316"/>
        <v>-7934</v>
      </c>
      <c r="DM161" s="348">
        <f t="shared" si="316"/>
        <v>-7934</v>
      </c>
      <c r="DN161" s="348"/>
      <c r="DO161" s="348"/>
      <c r="DP161" s="348"/>
      <c r="DQ161" s="348"/>
      <c r="DR161"/>
      <c r="DS161"/>
      <c r="DT161"/>
      <c r="DU161"/>
      <c r="DV161"/>
      <c r="DW161"/>
      <c r="DX161" s="1339"/>
    </row>
    <row r="162" spans="3:128" s="24" customFormat="1">
      <c r="E162" s="290"/>
      <c r="F162" s="260"/>
      <c r="G162" s="260"/>
      <c r="H162" s="291"/>
      <c r="I162" s="932"/>
      <c r="J162" s="290"/>
      <c r="K162" s="260"/>
      <c r="L162" s="260"/>
      <c r="M162" s="291"/>
      <c r="N162" s="45"/>
      <c r="O162" s="290"/>
      <c r="P162" s="260"/>
      <c r="Q162" s="260"/>
      <c r="R162" s="291"/>
      <c r="S162" s="45"/>
      <c r="T162" s="290"/>
      <c r="U162" s="260"/>
      <c r="V162" s="260"/>
      <c r="W162" s="291"/>
      <c r="X162" s="45"/>
      <c r="Y162" s="290"/>
      <c r="Z162" s="260"/>
      <c r="AA162" s="1441"/>
      <c r="AB162" s="1442"/>
      <c r="AC162" s="1443"/>
      <c r="AD162" s="290"/>
      <c r="AE162" s="260"/>
      <c r="AF162" s="1441"/>
      <c r="AG162" s="1442"/>
      <c r="AH162" s="1443"/>
      <c r="AI162" s="290"/>
      <c r="AJ162" s="260"/>
      <c r="AK162" s="1441"/>
      <c r="AL162" s="1442"/>
      <c r="AM162" s="1443"/>
      <c r="AN162" s="290"/>
      <c r="AO162" s="260"/>
      <c r="AP162" s="1441"/>
      <c r="AQ162" s="1442"/>
      <c r="AR162" s="1443"/>
      <c r="AS162" s="290"/>
      <c r="AT162" s="260"/>
      <c r="AU162" s="260"/>
      <c r="AV162" s="1442"/>
      <c r="AW162" s="1443"/>
      <c r="AX162" s="290"/>
      <c r="AY162" s="260"/>
      <c r="AZ162" s="260"/>
      <c r="BA162" s="291"/>
      <c r="BB162" s="45"/>
      <c r="BC162" s="290"/>
      <c r="BD162" s="260"/>
      <c r="BE162" s="260"/>
      <c r="BF162" s="291"/>
      <c r="BG162" s="45"/>
      <c r="BH162" s="290"/>
      <c r="BI162" s="260"/>
      <c r="BJ162" s="260"/>
      <c r="BK162" s="291"/>
      <c r="BL162" s="45"/>
      <c r="BM162" s="290"/>
      <c r="BN162" s="260"/>
      <c r="BO162" s="260"/>
      <c r="BP162" s="291"/>
      <c r="BQ162" s="45"/>
      <c r="BR162" s="783"/>
      <c r="BS162" s="783"/>
      <c r="BT162" s="45"/>
      <c r="BU162" s="349"/>
      <c r="BV162" s="349"/>
      <c r="BW162" s="349"/>
      <c r="BX162" s="349"/>
      <c r="BY162" s="349"/>
      <c r="BZ162" s="349"/>
      <c r="CA162" s="349"/>
      <c r="CB162" s="349"/>
      <c r="CC162" s="349"/>
      <c r="CD162" s="349"/>
      <c r="CE162" s="349"/>
      <c r="CF162" s="349"/>
      <c r="CG162" s="349"/>
      <c r="CH162" s="349"/>
      <c r="CI162" s="349"/>
      <c r="CJ162" s="349"/>
      <c r="CK162" s="349"/>
      <c r="CL162" s="349"/>
      <c r="CM162" s="349"/>
      <c r="CN162" s="349"/>
      <c r="CO162" s="349"/>
      <c r="CP162" s="349"/>
      <c r="CQ162" s="349"/>
      <c r="CR162" s="349"/>
      <c r="CS162" s="349"/>
      <c r="CT162" s="349"/>
      <c r="CU162" s="349"/>
      <c r="CV162" s="349"/>
      <c r="CW162" s="349"/>
      <c r="CX162" s="349"/>
      <c r="CY162" s="349"/>
      <c r="CZ162" s="349"/>
      <c r="DA162" s="349"/>
      <c r="DB162" s="349"/>
      <c r="DC162" s="349"/>
      <c r="DD162" s="349"/>
      <c r="DE162" s="349"/>
      <c r="DF162" s="349"/>
      <c r="DG162" s="349"/>
      <c r="DH162" s="349"/>
      <c r="DI162" s="349"/>
      <c r="DJ162" s="349"/>
      <c r="DK162" s="349"/>
      <c r="DL162" s="349"/>
      <c r="DM162" s="349"/>
      <c r="DN162" s="349"/>
      <c r="DO162" s="349"/>
      <c r="DP162" s="349"/>
      <c r="DQ162" s="349"/>
      <c r="DR162"/>
      <c r="DS162"/>
      <c r="DT162"/>
      <c r="DU162"/>
      <c r="DV162"/>
      <c r="DW162"/>
      <c r="DX162" s="825"/>
    </row>
    <row r="163" spans="3:128" s="24" customFormat="1">
      <c r="C163" s="24" t="s">
        <v>240</v>
      </c>
      <c r="E163" s="290">
        <f t="shared" ref="E163:E168" si="317">BU163</f>
        <v>249</v>
      </c>
      <c r="F163" s="260">
        <f t="shared" ref="F163:F168" si="318">BV163-BU163</f>
        <v>236</v>
      </c>
      <c r="G163" s="260">
        <f t="shared" ref="G163:G168" si="319">BW163-BV163</f>
        <v>1502</v>
      </c>
      <c r="H163" s="291">
        <f t="shared" ref="H163:H168" si="320">BX163-BW163</f>
        <v>0</v>
      </c>
      <c r="I163" s="932">
        <f t="shared" ref="I163:I169" si="321">SUM(E163:H163)</f>
        <v>1987</v>
      </c>
      <c r="J163" s="290">
        <f t="shared" ref="J163:J168" si="322">BZ163</f>
        <v>0</v>
      </c>
      <c r="K163" s="260">
        <f t="shared" ref="K163:K168" si="323">CA163-BZ163</f>
        <v>0</v>
      </c>
      <c r="L163" s="260">
        <f t="shared" ref="L163:L168" si="324">CB163-CA163</f>
        <v>1398</v>
      </c>
      <c r="M163" s="291">
        <f t="shared" ref="M163:M168" si="325">CC163-CB163</f>
        <v>0</v>
      </c>
      <c r="N163" s="45">
        <f t="shared" ref="N163:N169" si="326">SUM(J163:M163)</f>
        <v>1398</v>
      </c>
      <c r="O163" s="290">
        <f t="shared" ref="O163:O168" si="327">CE163</f>
        <v>599</v>
      </c>
      <c r="P163" s="260">
        <f t="shared" ref="P163:P168" si="328">CF163-CE163</f>
        <v>0</v>
      </c>
      <c r="Q163" s="260">
        <f t="shared" ref="Q163:Q168" si="329">CG163-CF163</f>
        <v>600</v>
      </c>
      <c r="R163" s="291">
        <f t="shared" ref="R163:R168" si="330">CH163-CG163</f>
        <v>0</v>
      </c>
      <c r="S163" s="45">
        <f>SUM(O163:R163)</f>
        <v>1199</v>
      </c>
      <c r="T163" s="290">
        <f t="shared" ref="T163:T168" si="331">CJ163</f>
        <v>0</v>
      </c>
      <c r="U163" s="260">
        <f t="shared" ref="U163:W168" si="332">CK163-CJ163</f>
        <v>850</v>
      </c>
      <c r="V163" s="260">
        <f t="shared" si="332"/>
        <v>708</v>
      </c>
      <c r="W163" s="291">
        <f t="shared" si="332"/>
        <v>469</v>
      </c>
      <c r="X163" s="45">
        <f t="shared" ref="X163:X169" si="333">SUM(T163:W163)</f>
        <v>2027</v>
      </c>
      <c r="Y163" s="290">
        <f t="shared" ref="Y163:Y168" si="334">CO163</f>
        <v>149</v>
      </c>
      <c r="Z163" s="260">
        <f t="shared" ref="Z163:AB168" si="335">CP163-CO163</f>
        <v>360</v>
      </c>
      <c r="AA163" s="1441">
        <f t="shared" si="335"/>
        <v>1522</v>
      </c>
      <c r="AB163" s="1442">
        <f t="shared" si="335"/>
        <v>24</v>
      </c>
      <c r="AC163" s="1443">
        <f t="shared" ref="AC163:AC169" si="336">SUM(Y163:AB163)</f>
        <v>2055</v>
      </c>
      <c r="AD163" s="290">
        <f t="shared" ref="AD163:AD168" si="337">CT163</f>
        <v>950</v>
      </c>
      <c r="AE163" s="260">
        <f t="shared" ref="AE163:AF168" si="338">CU163-CT163</f>
        <v>1150</v>
      </c>
      <c r="AF163" s="1441">
        <f t="shared" si="338"/>
        <v>1112</v>
      </c>
      <c r="AG163" s="1442">
        <f t="shared" ref="AG163:AG168" si="339">CW163-CV163</f>
        <v>251</v>
      </c>
      <c r="AH163" s="1443">
        <f t="shared" ref="AH163:AH169" si="340">SUM(AD163:AG163)</f>
        <v>3463</v>
      </c>
      <c r="AI163" s="290">
        <f t="shared" ref="AI163:AI168" si="341">CY163</f>
        <v>1206</v>
      </c>
      <c r="AJ163" s="260">
        <f t="shared" ref="AJ163:AJ168" si="342">CZ163-CY163</f>
        <v>4701</v>
      </c>
      <c r="AK163" s="1441">
        <f t="shared" ref="AK163:AK168" si="343">DA163-CZ163</f>
        <v>2</v>
      </c>
      <c r="AL163" s="1442">
        <f t="shared" ref="AL163:AL168" si="344">DB163-DA163</f>
        <v>800</v>
      </c>
      <c r="AM163" s="1443">
        <f t="shared" ref="AM163:AM169" si="345">SUM(AI163:AL163)</f>
        <v>6709</v>
      </c>
      <c r="AN163" s="290">
        <f t="shared" ref="AN163:AN168" si="346">DD163</f>
        <v>151</v>
      </c>
      <c r="AO163" s="260">
        <f t="shared" ref="AO163:AP168" si="347">DE163-DD163</f>
        <v>3023</v>
      </c>
      <c r="AP163" s="1441">
        <f t="shared" si="347"/>
        <v>1314</v>
      </c>
      <c r="AQ163" s="1442">
        <f t="shared" ref="AQ163:AQ168" si="348">DG163-DF163</f>
        <v>228</v>
      </c>
      <c r="AR163" s="1443">
        <f t="shared" ref="AR163:AR169" si="349">SUM(AN163:AQ163)</f>
        <v>4716</v>
      </c>
      <c r="AS163" s="290">
        <f t="shared" ref="AS163:AS168" si="350">DI163</f>
        <v>763</v>
      </c>
      <c r="AT163" s="260">
        <f t="shared" ref="AT163:AT168" si="351">DJ163-DI163</f>
        <v>218</v>
      </c>
      <c r="AU163" s="260">
        <f t="shared" ref="AU163:AU168" si="352">DK163-DJ163</f>
        <v>1635</v>
      </c>
      <c r="AV163" s="1442">
        <f t="shared" ref="AV163:AV168" si="353">DL163-DK163</f>
        <v>854</v>
      </c>
      <c r="AW163" s="1443">
        <f t="shared" ref="AW163:AW169" si="354">SUM(AS163:AV163)</f>
        <v>3470</v>
      </c>
      <c r="AX163" s="290">
        <f t="shared" ref="AX163:BA164" si="355">+AX102</f>
        <v>0</v>
      </c>
      <c r="AY163" s="260">
        <f t="shared" si="355"/>
        <v>0</v>
      </c>
      <c r="AZ163" s="260">
        <f t="shared" si="355"/>
        <v>3505</v>
      </c>
      <c r="BA163" s="291">
        <f t="shared" si="355"/>
        <v>0</v>
      </c>
      <c r="BB163" s="45">
        <f t="shared" ref="BB163:BB169" si="356">SUM(AX163:BA163)</f>
        <v>3505</v>
      </c>
      <c r="BC163" s="290">
        <f t="shared" ref="BC163:BF163" si="357">+BC102</f>
        <v>0</v>
      </c>
      <c r="BD163" s="260">
        <f t="shared" si="357"/>
        <v>0</v>
      </c>
      <c r="BE163" s="260">
        <f t="shared" si="357"/>
        <v>1260</v>
      </c>
      <c r="BF163" s="291">
        <f t="shared" si="357"/>
        <v>0</v>
      </c>
      <c r="BG163" s="45">
        <f t="shared" ref="BG163:BG169" si="358">SUM(BC163:BF163)</f>
        <v>1260</v>
      </c>
      <c r="BH163" s="290">
        <f t="shared" ref="BH163:BK163" si="359">+BH102</f>
        <v>0</v>
      </c>
      <c r="BI163" s="260">
        <f t="shared" si="359"/>
        <v>0</v>
      </c>
      <c r="BJ163" s="260">
        <f t="shared" si="359"/>
        <v>3185</v>
      </c>
      <c r="BK163" s="291">
        <f t="shared" si="359"/>
        <v>0</v>
      </c>
      <c r="BL163" s="45">
        <f t="shared" ref="BL163:BL169" si="360">SUM(BH163:BK163)</f>
        <v>3185</v>
      </c>
      <c r="BM163" s="290">
        <f t="shared" ref="BM163:BP163" si="361">+BM102</f>
        <v>0</v>
      </c>
      <c r="BN163" s="260">
        <f t="shared" si="361"/>
        <v>0</v>
      </c>
      <c r="BO163" s="260">
        <f t="shared" si="361"/>
        <v>3650</v>
      </c>
      <c r="BP163" s="291">
        <f t="shared" si="361"/>
        <v>0</v>
      </c>
      <c r="BQ163" s="45">
        <f t="shared" ref="BQ163:BQ169" si="362">SUM(BM163:BP163)</f>
        <v>3650</v>
      </c>
      <c r="BR163" s="783"/>
      <c r="BS163" s="783"/>
      <c r="BT163" s="45"/>
      <c r="BU163" s="817">
        <v>249</v>
      </c>
      <c r="BV163" s="817">
        <v>485</v>
      </c>
      <c r="BW163" s="817">
        <v>1987</v>
      </c>
      <c r="BX163" s="349">
        <f t="shared" ref="BX163:BX168" si="363">BY163</f>
        <v>1987</v>
      </c>
      <c r="BY163" s="817">
        <v>1987</v>
      </c>
      <c r="BZ163" s="817">
        <v>0</v>
      </c>
      <c r="CA163" s="817">
        <v>0</v>
      </c>
      <c r="CB163" s="817">
        <v>1398</v>
      </c>
      <c r="CC163" s="349">
        <f t="shared" ref="CC163:CC168" si="364">CD163</f>
        <v>1398</v>
      </c>
      <c r="CD163" s="817">
        <v>1398</v>
      </c>
      <c r="CE163" s="817">
        <v>599</v>
      </c>
      <c r="CF163" s="817">
        <v>599</v>
      </c>
      <c r="CG163" s="817">
        <v>1199</v>
      </c>
      <c r="CH163" s="349">
        <f t="shared" ref="CH163:CH168" si="365">CI163</f>
        <v>1199</v>
      </c>
      <c r="CI163" s="817">
        <v>1199</v>
      </c>
      <c r="CJ163" s="817">
        <v>0</v>
      </c>
      <c r="CK163" s="817">
        <v>850</v>
      </c>
      <c r="CL163" s="817">
        <v>1558</v>
      </c>
      <c r="CM163" s="349">
        <f t="shared" ref="CM163:CM168" si="366">CN163</f>
        <v>2027</v>
      </c>
      <c r="CN163" s="817">
        <v>2027</v>
      </c>
      <c r="CO163" s="817">
        <v>149</v>
      </c>
      <c r="CP163" s="817">
        <v>509</v>
      </c>
      <c r="CQ163" s="1544">
        <v>2031</v>
      </c>
      <c r="CR163" s="349">
        <f t="shared" ref="CR163:CR168" si="367">CS163</f>
        <v>2055</v>
      </c>
      <c r="CS163" s="1544">
        <v>2055</v>
      </c>
      <c r="CT163" s="817">
        <v>950</v>
      </c>
      <c r="CU163" s="1544">
        <v>2100</v>
      </c>
      <c r="CV163" s="1544">
        <v>3212</v>
      </c>
      <c r="CW163" s="349">
        <f t="shared" ref="CW163:CW168" si="368">CX163</f>
        <v>3463</v>
      </c>
      <c r="CX163" s="1544">
        <v>3463</v>
      </c>
      <c r="CY163" s="817">
        <v>1206</v>
      </c>
      <c r="CZ163" s="1544">
        <v>5907</v>
      </c>
      <c r="DA163" s="1544">
        <v>5909</v>
      </c>
      <c r="DB163" s="349">
        <f t="shared" ref="DB163:DB168" si="369">DC163</f>
        <v>6709</v>
      </c>
      <c r="DC163" s="1544">
        <v>6709</v>
      </c>
      <c r="DD163" s="817">
        <v>151</v>
      </c>
      <c r="DE163" s="1544">
        <v>3174</v>
      </c>
      <c r="DF163" s="1544">
        <v>4488</v>
      </c>
      <c r="DG163" s="349">
        <f t="shared" ref="DG163:DG168" si="370">DH163</f>
        <v>4716</v>
      </c>
      <c r="DH163" s="1544">
        <v>4716</v>
      </c>
      <c r="DI163" s="817">
        <v>763</v>
      </c>
      <c r="DJ163" s="1544">
        <v>981</v>
      </c>
      <c r="DK163" s="1544">
        <v>2616</v>
      </c>
      <c r="DL163" s="349">
        <f t="shared" ref="DL163:DL168" si="371">DM163</f>
        <v>3470</v>
      </c>
      <c r="DM163" s="1544">
        <v>3470</v>
      </c>
      <c r="DN163" s="817"/>
      <c r="DO163" s="817"/>
      <c r="DP163" s="817"/>
      <c r="DQ163" s="817"/>
      <c r="DR163"/>
      <c r="DS163"/>
      <c r="DT163"/>
      <c r="DU163"/>
      <c r="DV163"/>
      <c r="DW163"/>
      <c r="DX163" s="825"/>
    </row>
    <row r="164" spans="3:128" s="24" customFormat="1">
      <c r="C164" s="24" t="s">
        <v>247</v>
      </c>
      <c r="E164" s="290">
        <f t="shared" si="317"/>
        <v>-233</v>
      </c>
      <c r="F164" s="260">
        <f t="shared" si="318"/>
        <v>-352</v>
      </c>
      <c r="G164" s="260">
        <f t="shared" si="319"/>
        <v>-1463</v>
      </c>
      <c r="H164" s="291">
        <f t="shared" si="320"/>
        <v>-434</v>
      </c>
      <c r="I164" s="932">
        <f t="shared" si="321"/>
        <v>-2482</v>
      </c>
      <c r="J164" s="290">
        <f t="shared" si="322"/>
        <v>-403</v>
      </c>
      <c r="K164" s="260">
        <f t="shared" si="323"/>
        <v>-614</v>
      </c>
      <c r="L164" s="260">
        <f t="shared" si="324"/>
        <v>-616</v>
      </c>
      <c r="M164" s="291">
        <f t="shared" si="325"/>
        <v>-1</v>
      </c>
      <c r="N164" s="45">
        <f t="shared" si="326"/>
        <v>-1634</v>
      </c>
      <c r="O164" s="290">
        <f t="shared" si="327"/>
        <v>-1</v>
      </c>
      <c r="P164" s="260">
        <f t="shared" si="328"/>
        <v>-1</v>
      </c>
      <c r="Q164" s="260">
        <f t="shared" si="329"/>
        <v>-1</v>
      </c>
      <c r="R164" s="291">
        <f t="shared" si="330"/>
        <v>-786</v>
      </c>
      <c r="S164" s="45">
        <f t="shared" ref="S164:S169" si="372">SUM(O164:R164)</f>
        <v>-789</v>
      </c>
      <c r="T164" s="290">
        <f t="shared" si="331"/>
        <v>-451</v>
      </c>
      <c r="U164" s="260">
        <f t="shared" si="332"/>
        <v>-198</v>
      </c>
      <c r="V164" s="260">
        <f t="shared" si="332"/>
        <v>-82</v>
      </c>
      <c r="W164" s="291">
        <f t="shared" si="332"/>
        <v>-414</v>
      </c>
      <c r="X164" s="45">
        <f t="shared" si="333"/>
        <v>-1145</v>
      </c>
      <c r="Y164" s="290">
        <f t="shared" si="334"/>
        <v>-1</v>
      </c>
      <c r="Z164" s="260">
        <f t="shared" si="335"/>
        <v>-615</v>
      </c>
      <c r="AA164" s="1441">
        <f t="shared" si="335"/>
        <v>-540</v>
      </c>
      <c r="AB164" s="1442">
        <f t="shared" si="335"/>
        <v>-433</v>
      </c>
      <c r="AC164" s="1443">
        <f t="shared" si="336"/>
        <v>-1589</v>
      </c>
      <c r="AD164" s="290">
        <f t="shared" si="337"/>
        <v>-1150</v>
      </c>
      <c r="AE164" s="260">
        <f t="shared" si="338"/>
        <v>-41</v>
      </c>
      <c r="AF164" s="1441">
        <f t="shared" si="338"/>
        <v>-23</v>
      </c>
      <c r="AG164" s="1442">
        <f t="shared" si="339"/>
        <v>-331</v>
      </c>
      <c r="AH164" s="1443">
        <f t="shared" si="340"/>
        <v>-1545</v>
      </c>
      <c r="AI164" s="290">
        <f t="shared" si="341"/>
        <v>-580</v>
      </c>
      <c r="AJ164" s="260">
        <f t="shared" si="342"/>
        <v>-1128</v>
      </c>
      <c r="AK164" s="1441">
        <f t="shared" si="343"/>
        <v>-37</v>
      </c>
      <c r="AL164" s="1442">
        <f t="shared" si="344"/>
        <v>-942</v>
      </c>
      <c r="AM164" s="1443">
        <f t="shared" si="345"/>
        <v>-2687</v>
      </c>
      <c r="AN164" s="290">
        <f t="shared" si="346"/>
        <v>-116</v>
      </c>
      <c r="AO164" s="260">
        <f t="shared" si="347"/>
        <v>-101</v>
      </c>
      <c r="AP164" s="1441">
        <f t="shared" si="347"/>
        <v>-727</v>
      </c>
      <c r="AQ164" s="1442">
        <f t="shared" si="348"/>
        <v>-992</v>
      </c>
      <c r="AR164" s="1443">
        <f t="shared" si="349"/>
        <v>-1936</v>
      </c>
      <c r="AS164" s="290">
        <f t="shared" si="350"/>
        <v>-65</v>
      </c>
      <c r="AT164" s="260">
        <f t="shared" si="351"/>
        <v>-984</v>
      </c>
      <c r="AU164" s="260">
        <f t="shared" si="352"/>
        <v>-929</v>
      </c>
      <c r="AV164" s="1442">
        <f t="shared" si="353"/>
        <v>-812</v>
      </c>
      <c r="AW164" s="1443">
        <f t="shared" si="354"/>
        <v>-2790</v>
      </c>
      <c r="AX164" s="290">
        <f>+AX103</f>
        <v>-1220</v>
      </c>
      <c r="AY164" s="260">
        <f t="shared" si="355"/>
        <v>-116</v>
      </c>
      <c r="AZ164" s="260">
        <f>+AZ103</f>
        <v>-430</v>
      </c>
      <c r="BA164" s="291">
        <f t="shared" si="355"/>
        <v>0</v>
      </c>
      <c r="BB164" s="45">
        <f t="shared" si="356"/>
        <v>-1766</v>
      </c>
      <c r="BC164" s="290">
        <f>+BC103</f>
        <v>0</v>
      </c>
      <c r="BD164" s="260">
        <f t="shared" ref="BD164:BF164" si="373">+BD103</f>
        <v>0</v>
      </c>
      <c r="BE164" s="260">
        <f t="shared" si="373"/>
        <v>-34</v>
      </c>
      <c r="BF164" s="291">
        <f t="shared" si="373"/>
        <v>-600</v>
      </c>
      <c r="BG164" s="45">
        <f t="shared" si="358"/>
        <v>-634</v>
      </c>
      <c r="BH164" s="290">
        <f>+BH103</f>
        <v>-1000</v>
      </c>
      <c r="BI164" s="260">
        <f t="shared" ref="BI164:BK164" si="374">+BI103</f>
        <v>-900</v>
      </c>
      <c r="BJ164" s="260">
        <f t="shared" si="374"/>
        <v>-955.47</v>
      </c>
      <c r="BK164" s="291">
        <f t="shared" si="374"/>
        <v>-1100</v>
      </c>
      <c r="BL164" s="45">
        <f t="shared" si="360"/>
        <v>-3955.4700000000003</v>
      </c>
      <c r="BM164" s="290">
        <f>+BM103</f>
        <v>-861</v>
      </c>
      <c r="BN164" s="260">
        <f t="shared" ref="BN164:BP164" si="375">+BN103</f>
        <v>-300</v>
      </c>
      <c r="BO164" s="260">
        <f t="shared" si="375"/>
        <v>-888.86500000000001</v>
      </c>
      <c r="BP164" s="291">
        <f t="shared" si="375"/>
        <v>-300</v>
      </c>
      <c r="BQ164" s="45">
        <f t="shared" si="362"/>
        <v>-2349.8649999999998</v>
      </c>
      <c r="BR164" s="783"/>
      <c r="BS164" s="783"/>
      <c r="BT164" s="45"/>
      <c r="BU164" s="817">
        <f>-64-169</f>
        <v>-233</v>
      </c>
      <c r="BV164" s="817">
        <f>-255-330</f>
        <v>-585</v>
      </c>
      <c r="BW164" s="817">
        <f>-1515-533</f>
        <v>-2048</v>
      </c>
      <c r="BX164" s="349">
        <f t="shared" si="363"/>
        <v>-2482</v>
      </c>
      <c r="BY164" s="817">
        <f>-1773-709</f>
        <v>-2482</v>
      </c>
      <c r="BZ164" s="817">
        <f>-1-402</f>
        <v>-403</v>
      </c>
      <c r="CA164" s="817">
        <f>-615-402</f>
        <v>-1017</v>
      </c>
      <c r="CB164" s="817">
        <f>-827-806</f>
        <v>-1633</v>
      </c>
      <c r="CC164" s="349">
        <f t="shared" si="364"/>
        <v>-1634</v>
      </c>
      <c r="CD164" s="817">
        <f>-828-806</f>
        <v>-1634</v>
      </c>
      <c r="CE164" s="817">
        <v>-1</v>
      </c>
      <c r="CF164" s="817">
        <v>-2</v>
      </c>
      <c r="CG164" s="817">
        <v>-3</v>
      </c>
      <c r="CH164" s="349">
        <f t="shared" si="365"/>
        <v>-789</v>
      </c>
      <c r="CI164" s="817">
        <v>-789</v>
      </c>
      <c r="CJ164" s="817">
        <v>-451</v>
      </c>
      <c r="CK164" s="817">
        <v>-649</v>
      </c>
      <c r="CL164" s="817">
        <v>-731</v>
      </c>
      <c r="CM164" s="349">
        <f t="shared" si="366"/>
        <v>-1145</v>
      </c>
      <c r="CN164" s="817">
        <v>-1145</v>
      </c>
      <c r="CO164" s="817">
        <v>-1</v>
      </c>
      <c r="CP164" s="817">
        <v>-616</v>
      </c>
      <c r="CQ164" s="1544">
        <v>-1156</v>
      </c>
      <c r="CR164" s="349">
        <f t="shared" si="367"/>
        <v>-1589</v>
      </c>
      <c r="CS164" s="1544">
        <v>-1589</v>
      </c>
      <c r="CT164" s="817">
        <v>-1150</v>
      </c>
      <c r="CU164" s="1544">
        <v>-1191</v>
      </c>
      <c r="CV164" s="1544">
        <v>-1214</v>
      </c>
      <c r="CW164" s="349">
        <f t="shared" si="368"/>
        <v>-1545</v>
      </c>
      <c r="CX164" s="1544">
        <v>-1545</v>
      </c>
      <c r="CY164" s="817">
        <v>-580</v>
      </c>
      <c r="CZ164" s="1544">
        <v>-1708</v>
      </c>
      <c r="DA164" s="1544">
        <v>-1745</v>
      </c>
      <c r="DB164" s="349">
        <f t="shared" si="369"/>
        <v>-2687</v>
      </c>
      <c r="DC164" s="1544">
        <v>-2687</v>
      </c>
      <c r="DD164" s="817">
        <v>-116</v>
      </c>
      <c r="DE164" s="1544">
        <v>-217</v>
      </c>
      <c r="DF164" s="1544">
        <f>-944</f>
        <v>-944</v>
      </c>
      <c r="DG164" s="349">
        <f t="shared" si="370"/>
        <v>-1936</v>
      </c>
      <c r="DH164" s="1544">
        <v>-1936</v>
      </c>
      <c r="DI164" s="817">
        <v>-65</v>
      </c>
      <c r="DJ164" s="1544">
        <v>-1049</v>
      </c>
      <c r="DK164" s="1544">
        <f>-1728-250</f>
        <v>-1978</v>
      </c>
      <c r="DL164" s="349">
        <f t="shared" si="371"/>
        <v>-2790</v>
      </c>
      <c r="DM164" s="1544">
        <f>-2490-250-50</f>
        <v>-2790</v>
      </c>
      <c r="DN164" s="817"/>
      <c r="DO164" s="817"/>
      <c r="DP164" s="817"/>
      <c r="DQ164" s="817"/>
      <c r="DR164"/>
      <c r="DS164"/>
      <c r="DT164"/>
      <c r="DU164"/>
      <c r="DV164"/>
      <c r="DW164"/>
      <c r="DX164" s="825"/>
    </row>
    <row r="165" spans="3:128" s="24" customFormat="1">
      <c r="C165" s="24" t="s">
        <v>248</v>
      </c>
      <c r="E165" s="290">
        <f t="shared" si="317"/>
        <v>-4</v>
      </c>
      <c r="F165" s="260">
        <f t="shared" si="318"/>
        <v>-162</v>
      </c>
      <c r="G165" s="260">
        <f t="shared" si="319"/>
        <v>95</v>
      </c>
      <c r="H165" s="291">
        <f t="shared" si="320"/>
        <v>15</v>
      </c>
      <c r="I165" s="932">
        <f t="shared" si="321"/>
        <v>-56</v>
      </c>
      <c r="J165" s="290">
        <f t="shared" si="322"/>
        <v>101</v>
      </c>
      <c r="K165" s="260">
        <f t="shared" si="323"/>
        <v>33</v>
      </c>
      <c r="L165" s="260">
        <f t="shared" si="324"/>
        <v>-224</v>
      </c>
      <c r="M165" s="291">
        <f t="shared" si="325"/>
        <v>-65</v>
      </c>
      <c r="N165" s="45">
        <f t="shared" si="326"/>
        <v>-155</v>
      </c>
      <c r="O165" s="290">
        <f t="shared" si="327"/>
        <v>50</v>
      </c>
      <c r="P165" s="260">
        <f t="shared" si="328"/>
        <v>90</v>
      </c>
      <c r="Q165" s="260">
        <f t="shared" si="329"/>
        <v>322</v>
      </c>
      <c r="R165" s="291">
        <f t="shared" si="330"/>
        <v>-301</v>
      </c>
      <c r="S165" s="45">
        <f t="shared" si="372"/>
        <v>161</v>
      </c>
      <c r="T165" s="290">
        <f t="shared" si="331"/>
        <v>141</v>
      </c>
      <c r="U165" s="260">
        <f t="shared" si="332"/>
        <v>38</v>
      </c>
      <c r="V165" s="260">
        <f t="shared" si="332"/>
        <v>-318</v>
      </c>
      <c r="W165" s="291">
        <f t="shared" si="332"/>
        <v>-58</v>
      </c>
      <c r="X165" s="45">
        <f t="shared" si="333"/>
        <v>-197</v>
      </c>
      <c r="Y165" s="290">
        <f t="shared" si="334"/>
        <v>233</v>
      </c>
      <c r="Z165" s="260">
        <f t="shared" si="335"/>
        <v>429</v>
      </c>
      <c r="AA165" s="1441">
        <f t="shared" si="335"/>
        <v>-457</v>
      </c>
      <c r="AB165" s="1442">
        <f t="shared" si="335"/>
        <v>127</v>
      </c>
      <c r="AC165" s="1443">
        <f t="shared" si="336"/>
        <v>332</v>
      </c>
      <c r="AD165" s="290">
        <f t="shared" si="337"/>
        <v>638</v>
      </c>
      <c r="AE165" s="260">
        <f t="shared" si="338"/>
        <v>-345</v>
      </c>
      <c r="AF165" s="1441">
        <f t="shared" si="338"/>
        <v>-57</v>
      </c>
      <c r="AG165" s="1442">
        <f t="shared" si="339"/>
        <v>-114</v>
      </c>
      <c r="AH165" s="1443">
        <f t="shared" si="340"/>
        <v>122</v>
      </c>
      <c r="AI165" s="290">
        <f t="shared" si="341"/>
        <v>-141</v>
      </c>
      <c r="AJ165" s="260">
        <f t="shared" si="342"/>
        <v>235</v>
      </c>
      <c r="AK165" s="1441">
        <f t="shared" si="343"/>
        <v>136</v>
      </c>
      <c r="AL165" s="1442">
        <f t="shared" si="344"/>
        <v>-150</v>
      </c>
      <c r="AM165" s="1443">
        <f t="shared" si="345"/>
        <v>80</v>
      </c>
      <c r="AN165" s="290">
        <f t="shared" si="346"/>
        <v>1770</v>
      </c>
      <c r="AO165" s="260">
        <f t="shared" si="347"/>
        <v>-2689</v>
      </c>
      <c r="AP165" s="1441">
        <f>DF165-DE165</f>
        <v>-352</v>
      </c>
      <c r="AQ165" s="1442">
        <f t="shared" si="348"/>
        <v>696</v>
      </c>
      <c r="AR165" s="1443">
        <f t="shared" si="349"/>
        <v>-575</v>
      </c>
      <c r="AS165" s="290">
        <f t="shared" si="350"/>
        <v>781</v>
      </c>
      <c r="AT165" s="260">
        <f t="shared" si="351"/>
        <v>-293</v>
      </c>
      <c r="AU165" s="260">
        <f t="shared" si="352"/>
        <v>-1047</v>
      </c>
      <c r="AV165" s="1442">
        <f t="shared" si="353"/>
        <v>219</v>
      </c>
      <c r="AW165" s="1443">
        <f t="shared" si="354"/>
        <v>-340</v>
      </c>
      <c r="AX165" s="306">
        <v>0</v>
      </c>
      <c r="AY165" s="266">
        <v>0</v>
      </c>
      <c r="AZ165" s="266">
        <v>0</v>
      </c>
      <c r="BA165" s="307">
        <v>0</v>
      </c>
      <c r="BB165" s="45">
        <f t="shared" si="356"/>
        <v>0</v>
      </c>
      <c r="BC165" s="306">
        <v>0</v>
      </c>
      <c r="BD165" s="266">
        <v>0</v>
      </c>
      <c r="BE165" s="266">
        <v>0</v>
      </c>
      <c r="BF165" s="307">
        <v>0</v>
      </c>
      <c r="BG165" s="45">
        <f t="shared" si="358"/>
        <v>0</v>
      </c>
      <c r="BH165" s="306">
        <v>0</v>
      </c>
      <c r="BI165" s="266">
        <v>0</v>
      </c>
      <c r="BJ165" s="266">
        <v>0</v>
      </c>
      <c r="BK165" s="307">
        <v>0</v>
      </c>
      <c r="BL165" s="45">
        <f t="shared" si="360"/>
        <v>0</v>
      </c>
      <c r="BM165" s="306">
        <v>0</v>
      </c>
      <c r="BN165" s="266">
        <v>0</v>
      </c>
      <c r="BO165" s="266">
        <v>0</v>
      </c>
      <c r="BP165" s="307">
        <v>0</v>
      </c>
      <c r="BQ165" s="45">
        <f t="shared" si="362"/>
        <v>0</v>
      </c>
      <c r="BR165" s="783"/>
      <c r="BS165" s="783"/>
      <c r="BT165" s="45"/>
      <c r="BU165" s="817">
        <v>-4</v>
      </c>
      <c r="BV165" s="817">
        <v>-166</v>
      </c>
      <c r="BW165" s="817">
        <v>-71</v>
      </c>
      <c r="BX165" s="349">
        <f t="shared" si="363"/>
        <v>-56</v>
      </c>
      <c r="BY165" s="817">
        <v>-56</v>
      </c>
      <c r="BZ165" s="817">
        <v>101</v>
      </c>
      <c r="CA165" s="817">
        <v>134</v>
      </c>
      <c r="CB165" s="817">
        <v>-90</v>
      </c>
      <c r="CC165" s="349">
        <f t="shared" si="364"/>
        <v>-155</v>
      </c>
      <c r="CD165" s="817">
        <v>-155</v>
      </c>
      <c r="CE165" s="817">
        <v>50</v>
      </c>
      <c r="CF165" s="817">
        <v>140</v>
      </c>
      <c r="CG165" s="817">
        <v>462</v>
      </c>
      <c r="CH165" s="349">
        <f t="shared" si="365"/>
        <v>161</v>
      </c>
      <c r="CI165" s="817">
        <v>161</v>
      </c>
      <c r="CJ165" s="817">
        <v>141</v>
      </c>
      <c r="CK165" s="817">
        <v>179</v>
      </c>
      <c r="CL165" s="817">
        <v>-139</v>
      </c>
      <c r="CM165" s="349">
        <f t="shared" si="366"/>
        <v>-197</v>
      </c>
      <c r="CN165" s="817">
        <f>-197</f>
        <v>-197</v>
      </c>
      <c r="CO165" s="817">
        <v>233</v>
      </c>
      <c r="CP165" s="817">
        <v>662</v>
      </c>
      <c r="CQ165" s="1544">
        <v>205</v>
      </c>
      <c r="CR165" s="349">
        <f t="shared" si="367"/>
        <v>332</v>
      </c>
      <c r="CS165" s="1544">
        <v>332</v>
      </c>
      <c r="CT165" s="817">
        <v>638</v>
      </c>
      <c r="CU165" s="1544">
        <v>293</v>
      </c>
      <c r="CV165" s="1544">
        <v>236</v>
      </c>
      <c r="CW165" s="349">
        <f t="shared" si="368"/>
        <v>122</v>
      </c>
      <c r="CX165" s="1544">
        <v>122</v>
      </c>
      <c r="CY165" s="817">
        <v>-141</v>
      </c>
      <c r="CZ165" s="1544">
        <v>94</v>
      </c>
      <c r="DA165" s="1544">
        <v>230</v>
      </c>
      <c r="DB165" s="349">
        <f t="shared" si="369"/>
        <v>80</v>
      </c>
      <c r="DC165" s="1544">
        <v>80</v>
      </c>
      <c r="DD165" s="817">
        <f>1647+123</f>
        <v>1770</v>
      </c>
      <c r="DE165" s="1544">
        <f>-798+194-315</f>
        <v>-919</v>
      </c>
      <c r="DF165" s="1544">
        <f>-1014+195-452</f>
        <v>-1271</v>
      </c>
      <c r="DG165" s="349">
        <f t="shared" si="370"/>
        <v>-575</v>
      </c>
      <c r="DH165" s="1544">
        <f>-353+240-462</f>
        <v>-575</v>
      </c>
      <c r="DI165" s="817">
        <f>721+560-500</f>
        <v>781</v>
      </c>
      <c r="DJ165" s="1544">
        <f>422+576-510</f>
        <v>488</v>
      </c>
      <c r="DK165" s="1544">
        <f>-570+621-610</f>
        <v>-559</v>
      </c>
      <c r="DL165" s="349">
        <f t="shared" si="371"/>
        <v>-340</v>
      </c>
      <c r="DM165" s="1544">
        <f>-261+621-700</f>
        <v>-340</v>
      </c>
      <c r="DN165" s="817"/>
      <c r="DO165" s="817"/>
      <c r="DP165" s="817"/>
      <c r="DQ165" s="817"/>
      <c r="DR165"/>
      <c r="DS165"/>
      <c r="DT165"/>
      <c r="DU165"/>
      <c r="DV165"/>
      <c r="DW165"/>
      <c r="DX165" s="825"/>
    </row>
    <row r="166" spans="3:128" s="24" customFormat="1">
      <c r="C166" s="24" t="s">
        <v>249</v>
      </c>
      <c r="E166" s="290">
        <f t="shared" si="317"/>
        <v>9</v>
      </c>
      <c r="F166" s="260">
        <f t="shared" si="318"/>
        <v>10</v>
      </c>
      <c r="G166" s="260">
        <f t="shared" si="319"/>
        <v>9</v>
      </c>
      <c r="H166" s="291">
        <f t="shared" si="320"/>
        <v>14</v>
      </c>
      <c r="I166" s="932">
        <f t="shared" si="321"/>
        <v>42</v>
      </c>
      <c r="J166" s="290">
        <f t="shared" si="322"/>
        <v>11</v>
      </c>
      <c r="K166" s="260">
        <f t="shared" si="323"/>
        <v>11</v>
      </c>
      <c r="L166" s="260">
        <f t="shared" si="324"/>
        <v>12</v>
      </c>
      <c r="M166" s="291">
        <f t="shared" si="325"/>
        <v>14</v>
      </c>
      <c r="N166" s="45">
        <f t="shared" si="326"/>
        <v>48</v>
      </c>
      <c r="O166" s="290">
        <f t="shared" si="327"/>
        <v>8</v>
      </c>
      <c r="P166" s="260">
        <f t="shared" si="328"/>
        <v>7</v>
      </c>
      <c r="Q166" s="260">
        <f t="shared" si="329"/>
        <v>11</v>
      </c>
      <c r="R166" s="291">
        <f t="shared" si="330"/>
        <v>12</v>
      </c>
      <c r="S166" s="45">
        <f>SUM(O166:R166)</f>
        <v>38</v>
      </c>
      <c r="T166" s="290">
        <f t="shared" si="331"/>
        <v>12</v>
      </c>
      <c r="U166" s="260">
        <f t="shared" si="332"/>
        <v>30</v>
      </c>
      <c r="V166" s="260">
        <f t="shared" si="332"/>
        <v>19</v>
      </c>
      <c r="W166" s="291">
        <f t="shared" si="332"/>
        <v>11</v>
      </c>
      <c r="X166" s="45">
        <f t="shared" si="333"/>
        <v>72</v>
      </c>
      <c r="Y166" s="290">
        <f t="shared" si="334"/>
        <v>12</v>
      </c>
      <c r="Z166" s="260">
        <f t="shared" si="335"/>
        <v>20</v>
      </c>
      <c r="AA166" s="1441">
        <f t="shared" si="335"/>
        <v>8</v>
      </c>
      <c r="AB166" s="1442">
        <f t="shared" si="335"/>
        <v>7</v>
      </c>
      <c r="AC166" s="1443">
        <f t="shared" si="336"/>
        <v>47</v>
      </c>
      <c r="AD166" s="290">
        <f t="shared" si="337"/>
        <v>7</v>
      </c>
      <c r="AE166" s="260">
        <f t="shared" si="338"/>
        <v>11</v>
      </c>
      <c r="AF166" s="1441">
        <f t="shared" si="338"/>
        <v>7</v>
      </c>
      <c r="AG166" s="1442">
        <f t="shared" si="339"/>
        <v>10</v>
      </c>
      <c r="AH166" s="1443">
        <f t="shared" si="340"/>
        <v>35</v>
      </c>
      <c r="AI166" s="290">
        <f t="shared" si="341"/>
        <v>8</v>
      </c>
      <c r="AJ166" s="260">
        <f t="shared" si="342"/>
        <v>8</v>
      </c>
      <c r="AK166" s="1441">
        <f t="shared" si="343"/>
        <v>1876</v>
      </c>
      <c r="AL166" s="1442">
        <f t="shared" si="344"/>
        <v>8</v>
      </c>
      <c r="AM166" s="1443">
        <f t="shared" si="345"/>
        <v>1900</v>
      </c>
      <c r="AN166" s="290">
        <f t="shared" si="346"/>
        <v>9</v>
      </c>
      <c r="AO166" s="260">
        <f t="shared" si="347"/>
        <v>8</v>
      </c>
      <c r="AP166" s="1441">
        <f t="shared" si="347"/>
        <v>19</v>
      </c>
      <c r="AQ166" s="1442">
        <f t="shared" si="348"/>
        <v>19</v>
      </c>
      <c r="AR166" s="1443">
        <f t="shared" si="349"/>
        <v>55</v>
      </c>
      <c r="AS166" s="290">
        <f t="shared" si="350"/>
        <v>12</v>
      </c>
      <c r="AT166" s="260">
        <f t="shared" si="351"/>
        <v>1181</v>
      </c>
      <c r="AU166" s="260">
        <f t="shared" si="352"/>
        <v>18</v>
      </c>
      <c r="AV166" s="1442">
        <f t="shared" si="353"/>
        <v>89</v>
      </c>
      <c r="AW166" s="1443">
        <f t="shared" si="354"/>
        <v>1300</v>
      </c>
      <c r="AX166" s="290">
        <f>+AX73</f>
        <v>0</v>
      </c>
      <c r="AY166" s="260">
        <f>+AY73</f>
        <v>0</v>
      </c>
      <c r="AZ166" s="260">
        <f>+AZ73</f>
        <v>0</v>
      </c>
      <c r="BA166" s="291">
        <f>+BA73</f>
        <v>0</v>
      </c>
      <c r="BB166" s="45">
        <f t="shared" si="356"/>
        <v>0</v>
      </c>
      <c r="BC166" s="290">
        <f>+BC73</f>
        <v>0</v>
      </c>
      <c r="BD166" s="260">
        <f>+BD73</f>
        <v>0</v>
      </c>
      <c r="BE166" s="260">
        <f>+BE73</f>
        <v>0</v>
      </c>
      <c r="BF166" s="291">
        <f>+BF73</f>
        <v>0</v>
      </c>
      <c r="BG166" s="45">
        <f t="shared" si="358"/>
        <v>0</v>
      </c>
      <c r="BH166" s="290">
        <f>+BH73</f>
        <v>0</v>
      </c>
      <c r="BI166" s="260">
        <f>+BI73</f>
        <v>0</v>
      </c>
      <c r="BJ166" s="260">
        <f>+BJ73</f>
        <v>0</v>
      </c>
      <c r="BK166" s="291">
        <f>+BK73</f>
        <v>0</v>
      </c>
      <c r="BL166" s="45">
        <f t="shared" si="360"/>
        <v>0</v>
      </c>
      <c r="BM166" s="290">
        <f>+BM73</f>
        <v>0</v>
      </c>
      <c r="BN166" s="260">
        <f>+BN73</f>
        <v>0</v>
      </c>
      <c r="BO166" s="260">
        <f>+BO73</f>
        <v>0</v>
      </c>
      <c r="BP166" s="291">
        <f>+BP73</f>
        <v>0</v>
      </c>
      <c r="BQ166" s="45">
        <f t="shared" si="362"/>
        <v>0</v>
      </c>
      <c r="BR166" s="783"/>
      <c r="BS166" s="783"/>
      <c r="BT166" s="45"/>
      <c r="BU166" s="817">
        <v>9</v>
      </c>
      <c r="BV166" s="817">
        <v>19</v>
      </c>
      <c r="BW166" s="817">
        <v>28</v>
      </c>
      <c r="BX166" s="349">
        <f t="shared" si="363"/>
        <v>42</v>
      </c>
      <c r="BY166" s="817">
        <v>42</v>
      </c>
      <c r="BZ166" s="817">
        <v>11</v>
      </c>
      <c r="CA166" s="817">
        <v>22</v>
      </c>
      <c r="CB166" s="817">
        <v>34</v>
      </c>
      <c r="CC166" s="349">
        <f t="shared" si="364"/>
        <v>48</v>
      </c>
      <c r="CD166" s="817">
        <v>48</v>
      </c>
      <c r="CE166" s="817">
        <v>8</v>
      </c>
      <c r="CF166" s="817">
        <v>15</v>
      </c>
      <c r="CG166" s="817">
        <v>26</v>
      </c>
      <c r="CH166" s="349">
        <f t="shared" si="365"/>
        <v>38</v>
      </c>
      <c r="CI166" s="817">
        <v>38</v>
      </c>
      <c r="CJ166" s="817">
        <v>12</v>
      </c>
      <c r="CK166" s="817">
        <v>42</v>
      </c>
      <c r="CL166" s="817">
        <v>61</v>
      </c>
      <c r="CM166" s="349">
        <f t="shared" si="366"/>
        <v>72</v>
      </c>
      <c r="CN166" s="817">
        <v>72</v>
      </c>
      <c r="CO166" s="817">
        <v>12</v>
      </c>
      <c r="CP166" s="817">
        <v>32</v>
      </c>
      <c r="CQ166" s="1544">
        <v>40</v>
      </c>
      <c r="CR166" s="349">
        <f t="shared" si="367"/>
        <v>47</v>
      </c>
      <c r="CS166" s="1544">
        <v>47</v>
      </c>
      <c r="CT166" s="817">
        <v>7</v>
      </c>
      <c r="CU166" s="1544">
        <v>18</v>
      </c>
      <c r="CV166" s="1544">
        <v>25</v>
      </c>
      <c r="CW166" s="349">
        <f t="shared" si="368"/>
        <v>35</v>
      </c>
      <c r="CX166" s="1544">
        <v>35</v>
      </c>
      <c r="CY166" s="817">
        <v>8</v>
      </c>
      <c r="CZ166" s="1544">
        <v>16</v>
      </c>
      <c r="DA166" s="1544">
        <f>24+1868</f>
        <v>1892</v>
      </c>
      <c r="DB166" s="349">
        <f t="shared" si="369"/>
        <v>1900</v>
      </c>
      <c r="DC166" s="1544">
        <f>1868+32</f>
        <v>1900</v>
      </c>
      <c r="DD166" s="817">
        <v>9</v>
      </c>
      <c r="DE166" s="1544">
        <v>17</v>
      </c>
      <c r="DF166" s="1544">
        <v>36</v>
      </c>
      <c r="DG166" s="349">
        <f t="shared" si="370"/>
        <v>55</v>
      </c>
      <c r="DH166" s="1544">
        <v>55</v>
      </c>
      <c r="DI166" s="817">
        <v>12</v>
      </c>
      <c r="DJ166" s="1544">
        <f>43+1150</f>
        <v>1193</v>
      </c>
      <c r="DK166" s="1544">
        <f>61+1150</f>
        <v>1211</v>
      </c>
      <c r="DL166" s="349">
        <f t="shared" si="371"/>
        <v>1300</v>
      </c>
      <c r="DM166" s="1544">
        <f>1150+150</f>
        <v>1300</v>
      </c>
      <c r="DN166" s="817"/>
      <c r="DO166" s="817"/>
      <c r="DP166" s="817"/>
      <c r="DQ166" s="817"/>
      <c r="DR166"/>
      <c r="DS166"/>
      <c r="DT166"/>
      <c r="DU166"/>
      <c r="DV166"/>
      <c r="DW166"/>
      <c r="DX166" s="825"/>
    </row>
    <row r="167" spans="3:128" s="24" customFormat="1">
      <c r="C167" s="24" t="s">
        <v>242</v>
      </c>
      <c r="E167" s="290">
        <f t="shared" si="317"/>
        <v>-346</v>
      </c>
      <c r="F167" s="260">
        <f t="shared" si="318"/>
        <v>-346</v>
      </c>
      <c r="G167" s="260">
        <f t="shared" si="319"/>
        <v>-346</v>
      </c>
      <c r="H167" s="291">
        <f t="shared" si="320"/>
        <v>-347</v>
      </c>
      <c r="I167" s="932">
        <f t="shared" si="321"/>
        <v>-1385</v>
      </c>
      <c r="J167" s="290">
        <f t="shared" si="322"/>
        <v>-347</v>
      </c>
      <c r="K167" s="260">
        <f t="shared" si="323"/>
        <v>-347</v>
      </c>
      <c r="L167" s="260">
        <f t="shared" si="324"/>
        <v>-348</v>
      </c>
      <c r="M167" s="291">
        <f t="shared" si="325"/>
        <v>-347</v>
      </c>
      <c r="N167" s="45">
        <f t="shared" si="326"/>
        <v>-1389</v>
      </c>
      <c r="O167" s="290">
        <f t="shared" si="327"/>
        <v>-348</v>
      </c>
      <c r="P167" s="260">
        <f t="shared" si="328"/>
        <v>-347</v>
      </c>
      <c r="Q167" s="260">
        <f t="shared" si="329"/>
        <v>-349</v>
      </c>
      <c r="R167" s="291">
        <f t="shared" si="330"/>
        <v>-349</v>
      </c>
      <c r="S167" s="45">
        <f t="shared" si="372"/>
        <v>-1393</v>
      </c>
      <c r="T167" s="290">
        <f t="shared" si="331"/>
        <v>-350</v>
      </c>
      <c r="U167" s="260">
        <f t="shared" si="332"/>
        <v>-474</v>
      </c>
      <c r="V167" s="260">
        <f t="shared" si="332"/>
        <v>-453</v>
      </c>
      <c r="W167" s="291">
        <f t="shared" si="332"/>
        <v>-439</v>
      </c>
      <c r="X167" s="45">
        <f t="shared" si="333"/>
        <v>-1716</v>
      </c>
      <c r="Y167" s="290">
        <f t="shared" si="334"/>
        <v>-450</v>
      </c>
      <c r="Z167" s="260">
        <f t="shared" si="335"/>
        <v>-266</v>
      </c>
      <c r="AA167" s="1441">
        <f t="shared" si="335"/>
        <v>-265</v>
      </c>
      <c r="AB167" s="1442">
        <f t="shared" si="335"/>
        <v>-268</v>
      </c>
      <c r="AC167" s="1443">
        <f t="shared" si="336"/>
        <v>-1249</v>
      </c>
      <c r="AD167" s="290">
        <f t="shared" si="337"/>
        <v>-266</v>
      </c>
      <c r="AE167" s="260">
        <f t="shared" si="338"/>
        <v>-267</v>
      </c>
      <c r="AF167" s="1441">
        <f t="shared" si="338"/>
        <v>-266</v>
      </c>
      <c r="AG167" s="1442">
        <f t="shared" si="339"/>
        <v>-266</v>
      </c>
      <c r="AH167" s="1443">
        <f t="shared" si="340"/>
        <v>-1065</v>
      </c>
      <c r="AI167" s="290">
        <f t="shared" si="341"/>
        <v>-269</v>
      </c>
      <c r="AJ167" s="260">
        <f t="shared" si="342"/>
        <v>-268</v>
      </c>
      <c r="AK167" s="1441">
        <f t="shared" si="343"/>
        <v>-282</v>
      </c>
      <c r="AL167" s="1442">
        <f t="shared" si="344"/>
        <v>-286</v>
      </c>
      <c r="AM167" s="1443">
        <f t="shared" si="345"/>
        <v>-1105</v>
      </c>
      <c r="AN167" s="290">
        <f t="shared" si="346"/>
        <v>-287</v>
      </c>
      <c r="AO167" s="260">
        <f t="shared" si="347"/>
        <v>-295</v>
      </c>
      <c r="AP167" s="1441">
        <f t="shared" si="347"/>
        <v>-291</v>
      </c>
      <c r="AQ167" s="1442">
        <f t="shared" si="348"/>
        <v>-293</v>
      </c>
      <c r="AR167" s="1443">
        <f t="shared" si="349"/>
        <v>-1166</v>
      </c>
      <c r="AS167" s="290">
        <f t="shared" si="350"/>
        <v>-303</v>
      </c>
      <c r="AT167" s="260">
        <f t="shared" si="351"/>
        <v>-304</v>
      </c>
      <c r="AU167" s="260">
        <f t="shared" si="352"/>
        <v>-314</v>
      </c>
      <c r="AV167" s="1442">
        <f t="shared" si="353"/>
        <v>-315</v>
      </c>
      <c r="AW167" s="1443">
        <f t="shared" si="354"/>
        <v>-1236</v>
      </c>
      <c r="AX167" s="290">
        <f>-AX63*AX49</f>
        <v>-332.23499999999996</v>
      </c>
      <c r="AY167" s="260">
        <f>-AY63*AY49</f>
        <v>-332.23499999999996</v>
      </c>
      <c r="AZ167" s="260">
        <f>-AZ63*AZ49</f>
        <v>-332.23499999999996</v>
      </c>
      <c r="BA167" s="291">
        <f>-BA63*BA49</f>
        <v>-332.23499999999996</v>
      </c>
      <c r="BB167" s="45">
        <f t="shared" si="356"/>
        <v>-1328.9399999999998</v>
      </c>
      <c r="BC167" s="290">
        <f>-BC63*BC49</f>
        <v>-348.84674999999999</v>
      </c>
      <c r="BD167" s="260">
        <f>-BD63*BD49</f>
        <v>-348.84674999999999</v>
      </c>
      <c r="BE167" s="260">
        <f>-BE63*BE49</f>
        <v>-348.84674999999999</v>
      </c>
      <c r="BF167" s="291">
        <f>-BF63*BF49</f>
        <v>-348.84674999999999</v>
      </c>
      <c r="BG167" s="45">
        <f t="shared" si="358"/>
        <v>-1395.3869999999999</v>
      </c>
      <c r="BH167" s="290">
        <f>-BH63*BH49</f>
        <v>-366.28908749999999</v>
      </c>
      <c r="BI167" s="260">
        <f>-BI63*BI49</f>
        <v>-366.28908749999999</v>
      </c>
      <c r="BJ167" s="260">
        <f>-BJ63*BJ49</f>
        <v>-366.28908749999999</v>
      </c>
      <c r="BK167" s="291">
        <f>-BK63*BK49</f>
        <v>-366.28908749999999</v>
      </c>
      <c r="BL167" s="45">
        <f t="shared" si="360"/>
        <v>-1465.15635</v>
      </c>
      <c r="BM167" s="290">
        <f>-BM63*BM49</f>
        <v>-384.60354187499996</v>
      </c>
      <c r="BN167" s="260">
        <f>-BN63*BN49</f>
        <v>-384.60354187499996</v>
      </c>
      <c r="BO167" s="260">
        <f>-BO63*BO49</f>
        <v>-384.60354187499996</v>
      </c>
      <c r="BP167" s="291">
        <f>-BP63*BP49</f>
        <v>-384.60354187499996</v>
      </c>
      <c r="BQ167" s="45">
        <f t="shared" si="362"/>
        <v>-1538.4141674999998</v>
      </c>
      <c r="BR167" s="783"/>
      <c r="BS167" s="783"/>
      <c r="BT167" s="45"/>
      <c r="BU167" s="817">
        <v>-346</v>
      </c>
      <c r="BV167" s="817">
        <v>-692</v>
      </c>
      <c r="BW167" s="817">
        <v>-1038</v>
      </c>
      <c r="BX167" s="349">
        <f t="shared" si="363"/>
        <v>-1385</v>
      </c>
      <c r="BY167" s="817">
        <v>-1385</v>
      </c>
      <c r="BZ167" s="817">
        <v>-347</v>
      </c>
      <c r="CA167" s="817">
        <v>-694</v>
      </c>
      <c r="CB167" s="817">
        <v>-1042</v>
      </c>
      <c r="CC167" s="349">
        <f t="shared" si="364"/>
        <v>-1389</v>
      </c>
      <c r="CD167" s="817">
        <v>-1389</v>
      </c>
      <c r="CE167" s="817">
        <v>-348</v>
      </c>
      <c r="CF167" s="817">
        <v>-695</v>
      </c>
      <c r="CG167" s="817">
        <v>-1044</v>
      </c>
      <c r="CH167" s="349">
        <f t="shared" si="365"/>
        <v>-1393</v>
      </c>
      <c r="CI167" s="817">
        <v>-1393</v>
      </c>
      <c r="CJ167" s="817">
        <v>-350</v>
      </c>
      <c r="CK167" s="817">
        <f>-773+-51</f>
        <v>-824</v>
      </c>
      <c r="CL167" s="817">
        <f>-1226-51</f>
        <v>-1277</v>
      </c>
      <c r="CM167" s="349">
        <f t="shared" si="366"/>
        <v>-1716</v>
      </c>
      <c r="CN167" s="817">
        <v>-1716</v>
      </c>
      <c r="CO167" s="817">
        <v>-450</v>
      </c>
      <c r="CP167" s="817">
        <v>-716</v>
      </c>
      <c r="CQ167" s="1544">
        <v>-981</v>
      </c>
      <c r="CR167" s="349">
        <f t="shared" si="367"/>
        <v>-1249</v>
      </c>
      <c r="CS167" s="1544">
        <v>-1249</v>
      </c>
      <c r="CT167" s="817">
        <v>-266</v>
      </c>
      <c r="CU167" s="1544">
        <v>-533</v>
      </c>
      <c r="CV167" s="1544">
        <v>-799</v>
      </c>
      <c r="CW167" s="349">
        <f t="shared" si="368"/>
        <v>-1065</v>
      </c>
      <c r="CX167" s="1544">
        <f>-1065</f>
        <v>-1065</v>
      </c>
      <c r="CY167" s="817">
        <v>-269</v>
      </c>
      <c r="CZ167" s="1544">
        <v>-537</v>
      </c>
      <c r="DA167" s="1544">
        <v>-819</v>
      </c>
      <c r="DB167" s="349">
        <f t="shared" si="369"/>
        <v>-1105</v>
      </c>
      <c r="DC167" s="1544">
        <v>-1105</v>
      </c>
      <c r="DD167" s="817">
        <v>-287</v>
      </c>
      <c r="DE167" s="1544">
        <v>-582</v>
      </c>
      <c r="DF167" s="1544">
        <v>-873</v>
      </c>
      <c r="DG167" s="349">
        <f t="shared" si="370"/>
        <v>-1166</v>
      </c>
      <c r="DH167" s="1544">
        <v>-1166</v>
      </c>
      <c r="DI167" s="817">
        <v>-303</v>
      </c>
      <c r="DJ167" s="1544">
        <v>-607</v>
      </c>
      <c r="DK167" s="1544">
        <v>-921</v>
      </c>
      <c r="DL167" s="349">
        <f t="shared" si="371"/>
        <v>-1236</v>
      </c>
      <c r="DM167" s="1544">
        <v>-1236</v>
      </c>
      <c r="DN167" s="817"/>
      <c r="DO167" s="817"/>
      <c r="DP167" s="817"/>
      <c r="DQ167" s="817"/>
      <c r="DR167"/>
      <c r="DS167"/>
      <c r="DT167"/>
      <c r="DU167"/>
      <c r="DV167"/>
      <c r="DW167"/>
      <c r="DX167" s="825"/>
    </row>
    <row r="168" spans="3:128" s="24" customFormat="1">
      <c r="C168" s="24" t="s">
        <v>160</v>
      </c>
      <c r="E168" s="290">
        <f t="shared" si="317"/>
        <v>5</v>
      </c>
      <c r="F168" s="260">
        <f t="shared" si="318"/>
        <v>0</v>
      </c>
      <c r="G168" s="260">
        <f t="shared" si="319"/>
        <v>-5</v>
      </c>
      <c r="H168" s="291">
        <f t="shared" si="320"/>
        <v>-3</v>
      </c>
      <c r="I168" s="932">
        <f t="shared" si="321"/>
        <v>-3</v>
      </c>
      <c r="J168" s="290">
        <f t="shared" si="322"/>
        <v>0</v>
      </c>
      <c r="K168" s="260">
        <f t="shared" si="323"/>
        <v>2</v>
      </c>
      <c r="L168" s="260">
        <f t="shared" si="324"/>
        <v>-19</v>
      </c>
      <c r="M168" s="291">
        <f t="shared" si="325"/>
        <v>1</v>
      </c>
      <c r="N168" s="45">
        <f t="shared" si="326"/>
        <v>-16</v>
      </c>
      <c r="O168" s="290">
        <f t="shared" si="327"/>
        <v>-47</v>
      </c>
      <c r="P168" s="260">
        <f t="shared" si="328"/>
        <v>1</v>
      </c>
      <c r="Q168" s="260">
        <f t="shared" si="329"/>
        <v>-21</v>
      </c>
      <c r="R168" s="291">
        <f t="shared" si="330"/>
        <v>5</v>
      </c>
      <c r="S168" s="45">
        <f t="shared" si="372"/>
        <v>-62</v>
      </c>
      <c r="T168" s="290">
        <f t="shared" si="331"/>
        <v>-1</v>
      </c>
      <c r="U168" s="260">
        <f t="shared" si="332"/>
        <v>-9</v>
      </c>
      <c r="V168" s="260">
        <f t="shared" si="332"/>
        <v>-10</v>
      </c>
      <c r="W168" s="291">
        <f t="shared" si="332"/>
        <v>-106</v>
      </c>
      <c r="X168" s="45">
        <f t="shared" si="333"/>
        <v>-126</v>
      </c>
      <c r="Y168" s="290">
        <f t="shared" si="334"/>
        <v>-45</v>
      </c>
      <c r="Z168" s="260">
        <f t="shared" si="335"/>
        <v>-110</v>
      </c>
      <c r="AA168" s="1441">
        <f t="shared" si="335"/>
        <v>-250</v>
      </c>
      <c r="AB168" s="1442">
        <f t="shared" si="335"/>
        <v>-17</v>
      </c>
      <c r="AC168" s="1443">
        <f t="shared" si="336"/>
        <v>-422</v>
      </c>
      <c r="AD168" s="290">
        <f t="shared" si="337"/>
        <v>-28</v>
      </c>
      <c r="AE168" s="260">
        <f t="shared" si="338"/>
        <v>-470</v>
      </c>
      <c r="AF168" s="1441">
        <f t="shared" si="338"/>
        <v>-75</v>
      </c>
      <c r="AG168" s="1442">
        <f t="shared" si="339"/>
        <v>-26</v>
      </c>
      <c r="AH168" s="1443">
        <f t="shared" si="340"/>
        <v>-599</v>
      </c>
      <c r="AI168" s="290">
        <f t="shared" si="341"/>
        <v>-16</v>
      </c>
      <c r="AJ168" s="260">
        <f t="shared" si="342"/>
        <v>-43</v>
      </c>
      <c r="AK168" s="1441">
        <f t="shared" si="343"/>
        <v>-6</v>
      </c>
      <c r="AL168" s="1442">
        <f t="shared" si="344"/>
        <v>-2</v>
      </c>
      <c r="AM168" s="1443">
        <f t="shared" si="345"/>
        <v>-67</v>
      </c>
      <c r="AN168" s="290">
        <f t="shared" si="346"/>
        <v>6</v>
      </c>
      <c r="AO168" s="260">
        <f t="shared" si="347"/>
        <v>-10</v>
      </c>
      <c r="AP168" s="1441">
        <f>DF168-DE168</f>
        <v>-181</v>
      </c>
      <c r="AQ168" s="1442">
        <f t="shared" si="348"/>
        <v>282</v>
      </c>
      <c r="AR168" s="1443">
        <f t="shared" si="349"/>
        <v>97</v>
      </c>
      <c r="AS168" s="290">
        <f t="shared" si="350"/>
        <v>-4</v>
      </c>
      <c r="AT168" s="260">
        <f t="shared" si="351"/>
        <v>-19</v>
      </c>
      <c r="AU168" s="260">
        <f t="shared" si="352"/>
        <v>355</v>
      </c>
      <c r="AV168" s="1442">
        <f t="shared" si="353"/>
        <v>-19</v>
      </c>
      <c r="AW168" s="1443">
        <f t="shared" si="354"/>
        <v>313</v>
      </c>
      <c r="AX168" s="290">
        <f>+ExGen!AX836+ComEd!AX180+PECO!AX208+BGE!AX206+Parent!AX72+Pepco!AS159+DPL!AS190+ACE!AS159</f>
        <v>0</v>
      </c>
      <c r="AY168" s="260">
        <f>+ExGen!AY836+ComEd!AY180+PECO!AY208+BGE!AY206+Parent!AY72+Pepco!AT159+DPL!AT190+ACE!AT159</f>
        <v>0</v>
      </c>
      <c r="AZ168" s="260">
        <f>+ExGen!AZ836+ComEd!AZ180+PECO!AZ208+BGE!AZ206+Parent!AZ72+Pepco!AU159+DPL!AU190+ACE!AU159</f>
        <v>0</v>
      </c>
      <c r="BA168" s="291">
        <f>+ExGen!BA836+ComEd!BA180+PECO!BA208+BGE!BA206+Parent!BA72+Pepco!AV159+DPL!AV190+ACE!AV159</f>
        <v>0</v>
      </c>
      <c r="BB168" s="45">
        <f t="shared" si="356"/>
        <v>0</v>
      </c>
      <c r="BC168" s="290">
        <f>+ExGen!BC836+ComEd!BC180+PECO!BC208+BGE!BC206+Parent!BC72+Pepco!AX159+DPL!AX190+ACE!AX159</f>
        <v>0</v>
      </c>
      <c r="BD168" s="260">
        <f>+ExGen!BD836+ComEd!BD180+PECO!BD208+BGE!BD206+Parent!BD72+Pepco!AY159+DPL!AY190+ACE!AY159</f>
        <v>0</v>
      </c>
      <c r="BE168" s="260">
        <f>+ExGen!BE836+ComEd!BE180+PECO!BE208+BGE!BE206+Parent!BE72+Pepco!AZ159+DPL!AZ190+ACE!AZ159</f>
        <v>0</v>
      </c>
      <c r="BF168" s="291">
        <f>+ExGen!BF836+ComEd!BF180+PECO!BF208+BGE!BF206+Parent!BF72+Pepco!BA159+DPL!BA190+ACE!BA159</f>
        <v>0</v>
      </c>
      <c r="BG168" s="45">
        <f t="shared" si="358"/>
        <v>0</v>
      </c>
      <c r="BH168" s="290">
        <f>+ExGen!BH836+ComEd!BH180+PECO!BH208+BGE!BH206+Parent!BH72+Pepco!BC159+DPL!BC190+ACE!BC159</f>
        <v>0</v>
      </c>
      <c r="BI168" s="260">
        <f>+ExGen!BI836+ComEd!BI180+PECO!BI208+BGE!BI206+Parent!BI72+Pepco!BD159+DPL!BD190+ACE!BD159</f>
        <v>0</v>
      </c>
      <c r="BJ168" s="260">
        <f>+ExGen!BJ836+ComEd!BJ180+PECO!BJ208+BGE!BJ206+Parent!BJ72+Pepco!BE159+DPL!BE190+ACE!BE159</f>
        <v>0</v>
      </c>
      <c r="BK168" s="291">
        <f>+ExGen!BK836+ComEd!BK180+PECO!BK208+BGE!BK206+Parent!BK72+Pepco!BF159+DPL!BF190+ACE!BF159</f>
        <v>0</v>
      </c>
      <c r="BL168" s="45">
        <f t="shared" si="360"/>
        <v>0</v>
      </c>
      <c r="BM168" s="290">
        <f>+ExGen!BM836+ComEd!BM180+PECO!BM208+BGE!BM206+Parent!BM72+Pepco!BH159+DPL!BH190+ACE!BH159</f>
        <v>0</v>
      </c>
      <c r="BN168" s="260">
        <f>+ExGen!BN836+ComEd!BN180+PECO!BN208+BGE!BN206+Parent!BN72+Pepco!BI159+DPL!BI190+ACE!BI159</f>
        <v>0</v>
      </c>
      <c r="BO168" s="260">
        <f>+ExGen!BO836+ComEd!BO180+PECO!BO208+BGE!BO206+Parent!BO72+Pepco!BJ159+DPL!BJ190+ACE!BJ159</f>
        <v>0</v>
      </c>
      <c r="BP168" s="291">
        <f>+ExGen!BP836+ComEd!BP180+PECO!BP208+BGE!BP206+Parent!BP72+Pepco!BK159+DPL!BK190+ACE!BK159</f>
        <v>0</v>
      </c>
      <c r="BQ168" s="45">
        <f t="shared" si="362"/>
        <v>0</v>
      </c>
      <c r="BR168" s="783"/>
      <c r="BS168" s="783"/>
      <c r="BT168" s="45"/>
      <c r="BU168" s="817">
        <v>5</v>
      </c>
      <c r="BV168" s="817">
        <v>5</v>
      </c>
      <c r="BW168" s="817">
        <v>0</v>
      </c>
      <c r="BX168" s="349">
        <f t="shared" si="363"/>
        <v>-3</v>
      </c>
      <c r="BY168" s="817">
        <v>-3</v>
      </c>
      <c r="BZ168" s="817">
        <v>0</v>
      </c>
      <c r="CA168" s="817">
        <v>2</v>
      </c>
      <c r="CB168" s="817">
        <v>-17</v>
      </c>
      <c r="CC168" s="349">
        <f t="shared" si="364"/>
        <v>-16</v>
      </c>
      <c r="CD168" s="817">
        <v>-16</v>
      </c>
      <c r="CE168" s="817">
        <v>-47</v>
      </c>
      <c r="CF168" s="817">
        <v>-46</v>
      </c>
      <c r="CG168" s="817">
        <v>-67</v>
      </c>
      <c r="CH168" s="349">
        <f t="shared" si="365"/>
        <v>-62</v>
      </c>
      <c r="CI168" s="817">
        <v>-62</v>
      </c>
      <c r="CJ168" s="817">
        <v>-1</v>
      </c>
      <c r="CK168" s="817">
        <v>-10</v>
      </c>
      <c r="CL168" s="817">
        <v>-20</v>
      </c>
      <c r="CM168" s="349">
        <f t="shared" si="366"/>
        <v>-126</v>
      </c>
      <c r="CN168" s="817">
        <f>-111-15</f>
        <v>-126</v>
      </c>
      <c r="CO168" s="817">
        <v>-45</v>
      </c>
      <c r="CP168" s="817">
        <f>-62-93</f>
        <v>-155</v>
      </c>
      <c r="CQ168" s="1544">
        <f>-102-210-93</f>
        <v>-405</v>
      </c>
      <c r="CR168" s="349">
        <f t="shared" si="367"/>
        <v>-422</v>
      </c>
      <c r="CS168" s="1544">
        <f>-210-93-119</f>
        <v>-422</v>
      </c>
      <c r="CT168" s="817">
        <v>-28</v>
      </c>
      <c r="CU168" s="1544">
        <f>-83-415</f>
        <v>-498</v>
      </c>
      <c r="CV168" s="1544">
        <f>-158-415</f>
        <v>-573</v>
      </c>
      <c r="CW168" s="349">
        <f t="shared" si="368"/>
        <v>-599</v>
      </c>
      <c r="CX168" s="1544">
        <f>-178-421</f>
        <v>-599</v>
      </c>
      <c r="CY168" s="817">
        <v>-16</v>
      </c>
      <c r="CZ168" s="1544">
        <v>-59</v>
      </c>
      <c r="DA168" s="1544">
        <v>-65</v>
      </c>
      <c r="DB168" s="349">
        <f t="shared" si="369"/>
        <v>-67</v>
      </c>
      <c r="DC168" s="1544">
        <v>-67</v>
      </c>
      <c r="DD168" s="817">
        <v>6</v>
      </c>
      <c r="DE168" s="1544">
        <v>-4</v>
      </c>
      <c r="DF168" s="1544">
        <f>-190+35-30</f>
        <v>-185</v>
      </c>
      <c r="DG168" s="349">
        <f t="shared" si="370"/>
        <v>97</v>
      </c>
      <c r="DH168" s="1544">
        <f>-190+372-85</f>
        <v>97</v>
      </c>
      <c r="DI168" s="817">
        <v>-4</v>
      </c>
      <c r="DJ168" s="1544">
        <v>-23</v>
      </c>
      <c r="DK168" s="1544">
        <f>-64+396</f>
        <v>332</v>
      </c>
      <c r="DL168" s="349">
        <f t="shared" si="371"/>
        <v>313</v>
      </c>
      <c r="DM168" s="1544">
        <f>396-83</f>
        <v>313</v>
      </c>
      <c r="DN168" s="817"/>
      <c r="DO168" s="817"/>
      <c r="DP168" s="817"/>
      <c r="DQ168" s="817"/>
      <c r="DR168"/>
      <c r="DS168"/>
      <c r="DT168"/>
      <c r="DU168"/>
      <c r="DV168"/>
      <c r="DW168"/>
      <c r="DX168" s="825"/>
    </row>
    <row r="169" spans="3:128" s="445" customFormat="1">
      <c r="C169" s="445" t="s">
        <v>161</v>
      </c>
      <c r="E169" s="292">
        <f>SUM(E163:E168)</f>
        <v>-320</v>
      </c>
      <c r="F169" s="261">
        <f>SUM(F163:F168)</f>
        <v>-614</v>
      </c>
      <c r="G169" s="261">
        <f>SUM(G163:G168)</f>
        <v>-208</v>
      </c>
      <c r="H169" s="293">
        <f>SUM(H163:H168)</f>
        <v>-755</v>
      </c>
      <c r="I169" s="933">
        <f t="shared" si="321"/>
        <v>-1897</v>
      </c>
      <c r="J169" s="292">
        <f>SUM(J163:J168)</f>
        <v>-638</v>
      </c>
      <c r="K169" s="261">
        <f>SUM(K163:K168)</f>
        <v>-915</v>
      </c>
      <c r="L169" s="261">
        <f>SUM(L163:L168)</f>
        <v>203</v>
      </c>
      <c r="M169" s="293">
        <f>SUM(M163:M168)</f>
        <v>-398</v>
      </c>
      <c r="N169" s="228">
        <f t="shared" si="326"/>
        <v>-1748</v>
      </c>
      <c r="O169" s="292">
        <f>SUM(O163:O168)</f>
        <v>261</v>
      </c>
      <c r="P169" s="261">
        <f>SUM(P163:P168)</f>
        <v>-250</v>
      </c>
      <c r="Q169" s="261">
        <f>SUM(Q163:Q168)</f>
        <v>562</v>
      </c>
      <c r="R169" s="293">
        <f>SUM(R163:R168)</f>
        <v>-1419</v>
      </c>
      <c r="S169" s="228">
        <f t="shared" si="372"/>
        <v>-846</v>
      </c>
      <c r="T169" s="292">
        <f>SUM(T163:T168)</f>
        <v>-649</v>
      </c>
      <c r="U169" s="261">
        <f>SUM(U163:U168)</f>
        <v>237</v>
      </c>
      <c r="V169" s="261">
        <f>SUM(V163:V168)</f>
        <v>-136</v>
      </c>
      <c r="W169" s="293">
        <f>SUM(W163:W168)</f>
        <v>-537</v>
      </c>
      <c r="X169" s="228">
        <f t="shared" si="333"/>
        <v>-1085</v>
      </c>
      <c r="Y169" s="292">
        <f>SUM(Y163:Y168)</f>
        <v>-102</v>
      </c>
      <c r="Z169" s="261">
        <f>SUM(Z163:Z168)</f>
        <v>-182</v>
      </c>
      <c r="AA169" s="1438">
        <f>SUM(AA163:AA168)</f>
        <v>18</v>
      </c>
      <c r="AB169" s="1439">
        <f>SUM(AB163:AB168)</f>
        <v>-560</v>
      </c>
      <c r="AC169" s="1440">
        <f t="shared" si="336"/>
        <v>-826</v>
      </c>
      <c r="AD169" s="292">
        <f>SUM(AD163:AD168)</f>
        <v>151</v>
      </c>
      <c r="AE169" s="261">
        <f>SUM(AE163:AE168)</f>
        <v>38</v>
      </c>
      <c r="AF169" s="1438">
        <f>SUM(AF163:AF168)</f>
        <v>698</v>
      </c>
      <c r="AG169" s="1439">
        <f>SUM(AG163:AG168)</f>
        <v>-476</v>
      </c>
      <c r="AH169" s="1440">
        <f t="shared" si="340"/>
        <v>411</v>
      </c>
      <c r="AI169" s="292">
        <f>SUM(AI163:AI168)</f>
        <v>208</v>
      </c>
      <c r="AJ169" s="261">
        <f>SUM(AJ163:AJ168)</f>
        <v>3505</v>
      </c>
      <c r="AK169" s="1438">
        <f>SUM(AK163:AK168)</f>
        <v>1689</v>
      </c>
      <c r="AL169" s="1439">
        <f>SUM(AL163:AL168)</f>
        <v>-572</v>
      </c>
      <c r="AM169" s="1440">
        <f t="shared" si="345"/>
        <v>4830</v>
      </c>
      <c r="AN169" s="292">
        <f>SUM(AN163:AN168)</f>
        <v>1533</v>
      </c>
      <c r="AO169" s="261">
        <f>SUM(AO163:AO168)</f>
        <v>-64</v>
      </c>
      <c r="AP169" s="1438">
        <f>SUM(AP163:AP168)</f>
        <v>-218</v>
      </c>
      <c r="AQ169" s="1439">
        <f>SUM(AQ163:AQ168)</f>
        <v>-60</v>
      </c>
      <c r="AR169" s="1440">
        <f t="shared" si="349"/>
        <v>1191</v>
      </c>
      <c r="AS169" s="292">
        <f>SUM(AS163:AS168)</f>
        <v>1184</v>
      </c>
      <c r="AT169" s="261">
        <f>SUM(AT163:AT168)</f>
        <v>-201</v>
      </c>
      <c r="AU169" s="261">
        <f t="shared" ref="AU169" si="376">SUM(AU163:AU168)</f>
        <v>-282</v>
      </c>
      <c r="AV169" s="1439">
        <f>SUM(AV163:AV168)</f>
        <v>16</v>
      </c>
      <c r="AW169" s="1440">
        <f t="shared" si="354"/>
        <v>717</v>
      </c>
      <c r="AX169" s="292">
        <f>SUM(AX163:AX168)</f>
        <v>-1552.2349999999999</v>
      </c>
      <c r="AY169" s="261">
        <f>SUM(AY163:AY168)</f>
        <v>-448.23499999999996</v>
      </c>
      <c r="AZ169" s="261">
        <f>SUM(AZ163:AZ168)</f>
        <v>2742.7649999999999</v>
      </c>
      <c r="BA169" s="293">
        <f>SUM(BA163:BA168)</f>
        <v>-332.23499999999996</v>
      </c>
      <c r="BB169" s="228">
        <f t="shared" si="356"/>
        <v>410.06000000000012</v>
      </c>
      <c r="BC169" s="292">
        <f>SUM(BC163:BC168)</f>
        <v>-348.84674999999999</v>
      </c>
      <c r="BD169" s="261">
        <f>SUM(BD163:BD168)</f>
        <v>-348.84674999999999</v>
      </c>
      <c r="BE169" s="261">
        <f>SUM(BE163:BE168)</f>
        <v>877.15325000000007</v>
      </c>
      <c r="BF169" s="293">
        <f>SUM(BF163:BF168)</f>
        <v>-948.84674999999993</v>
      </c>
      <c r="BG169" s="228">
        <f t="shared" si="358"/>
        <v>-769.38699999999983</v>
      </c>
      <c r="BH169" s="292">
        <f>SUM(BH163:BH168)</f>
        <v>-1366.2890875000001</v>
      </c>
      <c r="BI169" s="261">
        <f>SUM(BI163:BI168)</f>
        <v>-1266.2890875000001</v>
      </c>
      <c r="BJ169" s="261">
        <f>SUM(BJ163:BJ168)</f>
        <v>1863.2409124999997</v>
      </c>
      <c r="BK169" s="293">
        <f>SUM(BK163:BK168)</f>
        <v>-1466.2890875000001</v>
      </c>
      <c r="BL169" s="228">
        <f t="shared" si="360"/>
        <v>-2235.6263500000005</v>
      </c>
      <c r="BM169" s="292">
        <f>SUM(BM163:BM168)</f>
        <v>-1245.603541875</v>
      </c>
      <c r="BN169" s="261">
        <f>SUM(BN163:BN168)</f>
        <v>-684.60354187500002</v>
      </c>
      <c r="BO169" s="261">
        <f>SUM(BO163:BO168)</f>
        <v>2376.5314581250004</v>
      </c>
      <c r="BP169" s="293">
        <f>SUM(BP163:BP168)</f>
        <v>-684.60354187500002</v>
      </c>
      <c r="BQ169" s="228">
        <f t="shared" si="362"/>
        <v>-238.27916749999963</v>
      </c>
      <c r="BR169" s="747"/>
      <c r="BS169" s="747"/>
      <c r="BT169" s="228"/>
      <c r="BU169" s="348">
        <f>SUM(BU163:BU168)</f>
        <v>-320</v>
      </c>
      <c r="BV169" s="348">
        <f t="shared" ref="BV169:CQ169" si="377">SUM(BV163:BV168)</f>
        <v>-934</v>
      </c>
      <c r="BW169" s="348">
        <f t="shared" si="377"/>
        <v>-1142</v>
      </c>
      <c r="BX169" s="348">
        <f t="shared" si="377"/>
        <v>-1897</v>
      </c>
      <c r="BY169" s="348">
        <f t="shared" si="377"/>
        <v>-1897</v>
      </c>
      <c r="BZ169" s="348">
        <f t="shared" si="377"/>
        <v>-638</v>
      </c>
      <c r="CA169" s="348">
        <f t="shared" si="377"/>
        <v>-1553</v>
      </c>
      <c r="CB169" s="348">
        <f t="shared" si="377"/>
        <v>-1350</v>
      </c>
      <c r="CC169" s="348">
        <f t="shared" si="377"/>
        <v>-1748</v>
      </c>
      <c r="CD169" s="348">
        <f t="shared" si="377"/>
        <v>-1748</v>
      </c>
      <c r="CE169" s="348">
        <f t="shared" si="377"/>
        <v>261</v>
      </c>
      <c r="CF169" s="348">
        <f t="shared" si="377"/>
        <v>11</v>
      </c>
      <c r="CG169" s="348">
        <f t="shared" si="377"/>
        <v>573</v>
      </c>
      <c r="CH169" s="348">
        <f t="shared" si="377"/>
        <v>-846</v>
      </c>
      <c r="CI169" s="348">
        <f t="shared" si="377"/>
        <v>-846</v>
      </c>
      <c r="CJ169" s="348">
        <f t="shared" si="377"/>
        <v>-649</v>
      </c>
      <c r="CK169" s="348">
        <f t="shared" si="377"/>
        <v>-412</v>
      </c>
      <c r="CL169" s="348">
        <f t="shared" si="377"/>
        <v>-548</v>
      </c>
      <c r="CM169" s="348">
        <f t="shared" si="377"/>
        <v>-1085</v>
      </c>
      <c r="CN169" s="348">
        <f t="shared" si="377"/>
        <v>-1085</v>
      </c>
      <c r="CO169" s="348">
        <f t="shared" si="377"/>
        <v>-102</v>
      </c>
      <c r="CP169" s="348">
        <f t="shared" si="377"/>
        <v>-284</v>
      </c>
      <c r="CQ169" s="348">
        <f t="shared" si="377"/>
        <v>-266</v>
      </c>
      <c r="CR169" s="348">
        <f>SUM(CR163:CR168)</f>
        <v>-826</v>
      </c>
      <c r="CS169" s="348">
        <f>SUM(CS163:CS168)</f>
        <v>-826</v>
      </c>
      <c r="CT169" s="348">
        <f>SUM(CT163:CT168)</f>
        <v>151</v>
      </c>
      <c r="CU169" s="348">
        <f>SUM(CU163:CU168)</f>
        <v>189</v>
      </c>
      <c r="CV169" s="348">
        <f t="shared" ref="CV169" si="378">SUM(CV163:CV168)</f>
        <v>887</v>
      </c>
      <c r="CW169" s="348">
        <f>SUM(CW163:CW168)</f>
        <v>411</v>
      </c>
      <c r="CX169" s="348">
        <f>SUM(CX163:CX168)</f>
        <v>411</v>
      </c>
      <c r="CY169" s="348">
        <f>SUM(CY163:CY168)</f>
        <v>208</v>
      </c>
      <c r="CZ169" s="348">
        <f>SUM(CZ163:CZ168)</f>
        <v>3713</v>
      </c>
      <c r="DA169" s="348">
        <f t="shared" ref="DA169" si="379">SUM(DA163:DA168)</f>
        <v>5402</v>
      </c>
      <c r="DB169" s="348">
        <f>SUM(DB163:DB168)</f>
        <v>4830</v>
      </c>
      <c r="DC169" s="348">
        <f>SUM(DC163:DC168)</f>
        <v>4830</v>
      </c>
      <c r="DD169" s="348">
        <f>SUM(DD163:DD168)</f>
        <v>1533</v>
      </c>
      <c r="DE169" s="348">
        <f>SUM(DE163:DE168)</f>
        <v>1469</v>
      </c>
      <c r="DF169" s="348">
        <f t="shared" ref="DF169" si="380">SUM(DF163:DF168)</f>
        <v>1251</v>
      </c>
      <c r="DG169" s="348">
        <f t="shared" ref="DG169:DM169" si="381">SUM(DG163:DG168)</f>
        <v>1191</v>
      </c>
      <c r="DH169" s="348">
        <f t="shared" si="381"/>
        <v>1191</v>
      </c>
      <c r="DI169" s="348">
        <f t="shared" si="381"/>
        <v>1184</v>
      </c>
      <c r="DJ169" s="348">
        <f t="shared" si="381"/>
        <v>983</v>
      </c>
      <c r="DK169" s="348">
        <f t="shared" si="381"/>
        <v>701</v>
      </c>
      <c r="DL169" s="348">
        <f t="shared" si="381"/>
        <v>717</v>
      </c>
      <c r="DM169" s="348">
        <f t="shared" si="381"/>
        <v>717</v>
      </c>
      <c r="DN169" s="348"/>
      <c r="DO169" s="348"/>
      <c r="DP169" s="348"/>
      <c r="DQ169" s="348"/>
      <c r="DR169"/>
      <c r="DS169"/>
      <c r="DT169"/>
      <c r="DU169"/>
      <c r="DV169"/>
      <c r="DW169"/>
      <c r="DX169" s="825"/>
    </row>
    <row r="170" spans="3:128" s="24" customFormat="1">
      <c r="C170" s="445"/>
      <c r="E170" s="292"/>
      <c r="F170" s="261"/>
      <c r="G170" s="261"/>
      <c r="H170" s="293"/>
      <c r="I170" s="933"/>
      <c r="J170" s="292"/>
      <c r="K170" s="261"/>
      <c r="L170" s="261"/>
      <c r="M170" s="293"/>
      <c r="N170" s="228"/>
      <c r="O170" s="292"/>
      <c r="P170" s="261"/>
      <c r="Q170" s="261"/>
      <c r="R170" s="293"/>
      <c r="S170" s="228"/>
      <c r="T170" s="292"/>
      <c r="U170" s="261"/>
      <c r="V170" s="261"/>
      <c r="W170" s="293"/>
      <c r="X170" s="228"/>
      <c r="Y170" s="292"/>
      <c r="Z170" s="261"/>
      <c r="AA170" s="1438"/>
      <c r="AB170" s="1439"/>
      <c r="AC170" s="1440"/>
      <c r="AD170" s="292"/>
      <c r="AE170" s="261"/>
      <c r="AF170" s="1438"/>
      <c r="AG170" s="1439"/>
      <c r="AH170" s="1440"/>
      <c r="AI170" s="292"/>
      <c r="AJ170" s="261"/>
      <c r="AK170" s="1438"/>
      <c r="AL170" s="1439"/>
      <c r="AM170" s="1440"/>
      <c r="AN170" s="292"/>
      <c r="AO170" s="261"/>
      <c r="AP170" s="1438"/>
      <c r="AQ170" s="1439"/>
      <c r="AR170" s="1440"/>
      <c r="AS170" s="292"/>
      <c r="AT170" s="261"/>
      <c r="AU170" s="261"/>
      <c r="AV170" s="1439"/>
      <c r="AW170" s="1440"/>
      <c r="AX170" s="292"/>
      <c r="AY170" s="261"/>
      <c r="AZ170" s="261"/>
      <c r="BA170" s="293"/>
      <c r="BB170" s="228"/>
      <c r="BC170" s="292"/>
      <c r="BD170" s="261"/>
      <c r="BE170" s="261"/>
      <c r="BF170" s="293"/>
      <c r="BG170" s="228"/>
      <c r="BH170" s="292"/>
      <c r="BI170" s="261"/>
      <c r="BJ170" s="261"/>
      <c r="BK170" s="293"/>
      <c r="BL170" s="228"/>
      <c r="BM170" s="292"/>
      <c r="BN170" s="261"/>
      <c r="BO170" s="261"/>
      <c r="BP170" s="293"/>
      <c r="BQ170" s="228"/>
      <c r="BR170" s="783"/>
      <c r="BS170" s="783"/>
      <c r="BT170" s="45"/>
      <c r="BU170" s="349"/>
      <c r="BV170" s="349"/>
      <c r="BW170" s="349"/>
      <c r="BX170" s="349"/>
      <c r="BY170" s="349"/>
      <c r="BZ170" s="349"/>
      <c r="CA170" s="349"/>
      <c r="CB170" s="349"/>
      <c r="CC170" s="349"/>
      <c r="CD170" s="349"/>
      <c r="CE170" s="349"/>
      <c r="CF170" s="349"/>
      <c r="CG170" s="349"/>
      <c r="CH170" s="349"/>
      <c r="CI170" s="349"/>
      <c r="CJ170" s="349"/>
      <c r="CK170" s="349"/>
      <c r="CL170" s="349"/>
      <c r="CM170" s="349"/>
      <c r="CN170" s="349"/>
      <c r="CO170" s="349"/>
      <c r="CP170" s="349"/>
      <c r="CQ170" s="349"/>
      <c r="CR170" s="349"/>
      <c r="CS170" s="349"/>
      <c r="CT170" s="349"/>
      <c r="CU170" s="349"/>
      <c r="CV170" s="349"/>
      <c r="CW170" s="349"/>
      <c r="CX170" s="349"/>
      <c r="CY170" s="349"/>
      <c r="CZ170" s="349"/>
      <c r="DA170" s="349"/>
      <c r="DB170" s="349"/>
      <c r="DC170" s="349">
        <f>411-DC169</f>
        <v>-4419</v>
      </c>
      <c r="DD170" s="349"/>
      <c r="DE170" s="349"/>
      <c r="DF170" s="349"/>
      <c r="DG170" s="349"/>
      <c r="DH170" s="349"/>
      <c r="DI170" s="349"/>
      <c r="DJ170" s="349"/>
      <c r="DK170" s="349"/>
      <c r="DL170" s="349"/>
      <c r="DM170" s="349"/>
      <c r="DN170" s="349"/>
      <c r="DO170" s="349"/>
      <c r="DP170" s="349"/>
      <c r="DQ170" s="349"/>
      <c r="DR170"/>
      <c r="DS170"/>
      <c r="DT170"/>
      <c r="DU170"/>
      <c r="DV170"/>
      <c r="DW170"/>
      <c r="DX170" s="825"/>
    </row>
    <row r="171" spans="3:128" s="445" customFormat="1">
      <c r="C171" s="445" t="s">
        <v>162</v>
      </c>
      <c r="E171" s="292">
        <f t="shared" ref="E171:AE171" si="382">E156+E161+E169</f>
        <v>878</v>
      </c>
      <c r="F171" s="261">
        <f t="shared" si="382"/>
        <v>-311</v>
      </c>
      <c r="G171" s="261">
        <f t="shared" si="382"/>
        <v>536</v>
      </c>
      <c r="H171" s="293">
        <f t="shared" si="382"/>
        <v>-364</v>
      </c>
      <c r="I171" s="933">
        <f t="shared" si="382"/>
        <v>739</v>
      </c>
      <c r="J171" s="292">
        <f t="shared" si="382"/>
        <v>514</v>
      </c>
      <c r="K171" s="261">
        <f t="shared" si="382"/>
        <v>-1356</v>
      </c>
      <c r="L171" s="261">
        <f t="shared" si="382"/>
        <v>1567</v>
      </c>
      <c r="M171" s="293">
        <f t="shared" si="382"/>
        <v>-1123</v>
      </c>
      <c r="N171" s="228">
        <f t="shared" si="382"/>
        <v>-398</v>
      </c>
      <c r="O171" s="292">
        <f t="shared" si="382"/>
        <v>-1125</v>
      </c>
      <c r="P171" s="261">
        <f t="shared" si="382"/>
        <v>75</v>
      </c>
      <c r="Q171" s="261">
        <f t="shared" si="382"/>
        <v>509</v>
      </c>
      <c r="R171" s="293">
        <f t="shared" si="382"/>
        <v>-55</v>
      </c>
      <c r="S171" s="228">
        <f t="shared" si="382"/>
        <v>-596</v>
      </c>
      <c r="T171" s="292">
        <f t="shared" si="382"/>
        <v>-295</v>
      </c>
      <c r="U171" s="261">
        <f t="shared" si="382"/>
        <v>628</v>
      </c>
      <c r="V171" s="261">
        <f t="shared" si="382"/>
        <v>351</v>
      </c>
      <c r="W171" s="293">
        <f t="shared" si="382"/>
        <v>-214</v>
      </c>
      <c r="X171" s="228">
        <f t="shared" si="382"/>
        <v>470</v>
      </c>
      <c r="Y171" s="292">
        <f t="shared" si="382"/>
        <v>-714</v>
      </c>
      <c r="Z171" s="261">
        <f t="shared" si="382"/>
        <v>219</v>
      </c>
      <c r="AA171" s="1438">
        <f t="shared" si="382"/>
        <v>653</v>
      </c>
      <c r="AB171" s="1439">
        <f t="shared" si="382"/>
        <v>-35</v>
      </c>
      <c r="AC171" s="1440">
        <f t="shared" si="382"/>
        <v>123</v>
      </c>
      <c r="AD171" s="292">
        <f t="shared" si="382"/>
        <v>-695</v>
      </c>
      <c r="AE171" s="261">
        <f t="shared" si="382"/>
        <v>448</v>
      </c>
      <c r="AF171" s="1438">
        <f t="shared" ref="AF171:AJ171" si="383">AF156+AF161+AF169</f>
        <v>1401</v>
      </c>
      <c r="AG171" s="1439">
        <f t="shared" si="383"/>
        <v>-885</v>
      </c>
      <c r="AH171" s="1440">
        <f t="shared" si="383"/>
        <v>269</v>
      </c>
      <c r="AI171" s="292">
        <f t="shared" si="383"/>
        <v>-53</v>
      </c>
      <c r="AJ171" s="261">
        <f t="shared" si="383"/>
        <v>4189</v>
      </c>
      <c r="AK171" s="1438">
        <f t="shared" ref="AK171:AO171" si="384">AK156+AK161+AK169</f>
        <v>1251</v>
      </c>
      <c r="AL171" s="1439">
        <f t="shared" si="384"/>
        <v>-763</v>
      </c>
      <c r="AM171" s="1440">
        <f t="shared" si="384"/>
        <v>4624</v>
      </c>
      <c r="AN171" s="292">
        <f t="shared" si="384"/>
        <v>-5542</v>
      </c>
      <c r="AO171" s="261">
        <f t="shared" si="384"/>
        <v>687</v>
      </c>
      <c r="AP171" s="1438">
        <f t="shared" ref="AP171:AT171" si="385">AP156+AP161+AP169</f>
        <v>250</v>
      </c>
      <c r="AQ171" s="1439">
        <f t="shared" si="385"/>
        <v>-1262</v>
      </c>
      <c r="AR171" s="1440">
        <f t="shared" si="385"/>
        <v>-5867</v>
      </c>
      <c r="AS171" s="292">
        <f t="shared" si="385"/>
        <v>-26</v>
      </c>
      <c r="AT171" s="261">
        <f t="shared" si="385"/>
        <v>-73</v>
      </c>
      <c r="AU171" s="261">
        <f t="shared" ref="AU171:AW171" si="386">AU156+AU161+AU169</f>
        <v>667</v>
      </c>
      <c r="AV171" s="1439">
        <f t="shared" si="386"/>
        <v>-305</v>
      </c>
      <c r="AW171" s="1440">
        <f t="shared" si="386"/>
        <v>263</v>
      </c>
      <c r="AX171" s="292">
        <f t="shared" ref="AX171:BB171" si="387">AX156+AX161+AX169</f>
        <v>-1330.9724788846556</v>
      </c>
      <c r="AY171" s="261">
        <f t="shared" ca="1" si="387"/>
        <v>-639.76465387929397</v>
      </c>
      <c r="AZ171" s="261">
        <f t="shared" ca="1" si="387"/>
        <v>3041.2599092546889</v>
      </c>
      <c r="BA171" s="293">
        <f t="shared" ca="1" si="387"/>
        <v>-552.80700969868212</v>
      </c>
      <c r="BB171" s="228">
        <f t="shared" ca="1" si="387"/>
        <v>517.71576679205714</v>
      </c>
      <c r="BC171" s="292">
        <f t="shared" ref="BC171:BL171" ca="1" si="388">BC156+BC161+BC169</f>
        <v>220.13137998875703</v>
      </c>
      <c r="BD171" s="261">
        <f t="shared" ca="1" si="388"/>
        <v>-432.708216332223</v>
      </c>
      <c r="BE171" s="261">
        <f t="shared" ca="1" si="388"/>
        <v>1273.8317013074166</v>
      </c>
      <c r="BF171" s="293">
        <f t="shared" ca="1" si="388"/>
        <v>-1027.013697046033</v>
      </c>
      <c r="BG171" s="228">
        <f t="shared" ca="1" si="388"/>
        <v>34.241167917917551</v>
      </c>
      <c r="BH171" s="292">
        <f t="shared" ca="1" si="388"/>
        <v>-892.63161201401113</v>
      </c>
      <c r="BI171" s="261">
        <f t="shared" ca="1" si="388"/>
        <v>-1415.6883476955536</v>
      </c>
      <c r="BJ171" s="261">
        <f t="shared" ca="1" si="388"/>
        <v>2262.6530167318424</v>
      </c>
      <c r="BK171" s="293">
        <f t="shared" ca="1" si="388"/>
        <v>-1484.6344988323772</v>
      </c>
      <c r="BL171" s="228">
        <f t="shared" ca="1" si="388"/>
        <v>-1530.3014418101002</v>
      </c>
      <c r="BM171" s="292">
        <f t="shared" ref="BM171:BQ171" ca="1" si="389">BM156+BM161+BM169</f>
        <v>-769.81108814230674</v>
      </c>
      <c r="BN171" s="261">
        <f t="shared" ca="1" si="389"/>
        <v>-582.89393962343343</v>
      </c>
      <c r="BO171" s="261">
        <f t="shared" ca="1" si="389"/>
        <v>2964.3015655522559</v>
      </c>
      <c r="BP171" s="293">
        <f t="shared" ca="1" si="389"/>
        <v>-482.38264592288738</v>
      </c>
      <c r="BQ171" s="228">
        <f t="shared" ca="1" si="389"/>
        <v>1129.2138918636285</v>
      </c>
      <c r="BR171" s="747"/>
      <c r="BS171" s="747"/>
      <c r="BT171" s="228"/>
      <c r="BU171" s="348">
        <f t="shared" ref="BU171:CU171" si="390">BU169+BU161+BU156</f>
        <v>878</v>
      </c>
      <c r="BV171" s="348">
        <f t="shared" si="390"/>
        <v>567</v>
      </c>
      <c r="BW171" s="348">
        <f t="shared" si="390"/>
        <v>1103</v>
      </c>
      <c r="BX171" s="348">
        <f t="shared" si="390"/>
        <v>739</v>
      </c>
      <c r="BY171" s="348">
        <f t="shared" si="390"/>
        <v>739</v>
      </c>
      <c r="BZ171" s="348">
        <f t="shared" si="390"/>
        <v>514</v>
      </c>
      <c r="CA171" s="348">
        <f t="shared" si="390"/>
        <v>-842</v>
      </c>
      <c r="CB171" s="348">
        <f t="shared" si="390"/>
        <v>725</v>
      </c>
      <c r="CC171" s="348">
        <f t="shared" si="390"/>
        <v>-398</v>
      </c>
      <c r="CD171" s="348">
        <f t="shared" si="390"/>
        <v>-398</v>
      </c>
      <c r="CE171" s="348">
        <f t="shared" si="390"/>
        <v>-1125</v>
      </c>
      <c r="CF171" s="348">
        <f t="shared" si="390"/>
        <v>-1050</v>
      </c>
      <c r="CG171" s="348">
        <f t="shared" si="390"/>
        <v>-541</v>
      </c>
      <c r="CH171" s="348">
        <f t="shared" si="390"/>
        <v>-596</v>
      </c>
      <c r="CI171" s="348">
        <f t="shared" si="390"/>
        <v>-596</v>
      </c>
      <c r="CJ171" s="348">
        <f t="shared" si="390"/>
        <v>-295</v>
      </c>
      <c r="CK171" s="348">
        <f t="shared" si="390"/>
        <v>333</v>
      </c>
      <c r="CL171" s="348">
        <f t="shared" si="390"/>
        <v>684</v>
      </c>
      <c r="CM171" s="348">
        <f t="shared" si="390"/>
        <v>470</v>
      </c>
      <c r="CN171" s="348">
        <f t="shared" si="390"/>
        <v>470</v>
      </c>
      <c r="CO171" s="348">
        <f t="shared" si="390"/>
        <v>-714</v>
      </c>
      <c r="CP171" s="348">
        <f t="shared" si="390"/>
        <v>-495</v>
      </c>
      <c r="CQ171" s="348">
        <f t="shared" si="390"/>
        <v>158</v>
      </c>
      <c r="CR171" s="348">
        <f t="shared" si="390"/>
        <v>123</v>
      </c>
      <c r="CS171" s="348">
        <f t="shared" si="390"/>
        <v>123</v>
      </c>
      <c r="CT171" s="348">
        <f t="shared" si="390"/>
        <v>-695</v>
      </c>
      <c r="CU171" s="348">
        <f t="shared" si="390"/>
        <v>-247</v>
      </c>
      <c r="CV171" s="348">
        <f t="shared" ref="CV171:CZ171" si="391">CV169+CV161+CV156</f>
        <v>1154</v>
      </c>
      <c r="CW171" s="348">
        <f t="shared" si="391"/>
        <v>269</v>
      </c>
      <c r="CX171" s="348">
        <f t="shared" si="391"/>
        <v>269</v>
      </c>
      <c r="CY171" s="348">
        <f t="shared" si="391"/>
        <v>-53</v>
      </c>
      <c r="CZ171" s="348">
        <f t="shared" si="391"/>
        <v>4136</v>
      </c>
      <c r="DA171" s="348">
        <f t="shared" ref="DA171:DE171" si="392">DA169+DA161+DA156</f>
        <v>5387</v>
      </c>
      <c r="DB171" s="348">
        <f t="shared" si="392"/>
        <v>4624</v>
      </c>
      <c r="DC171" s="348">
        <f t="shared" si="392"/>
        <v>4624</v>
      </c>
      <c r="DD171" s="348">
        <f t="shared" si="392"/>
        <v>-5542</v>
      </c>
      <c r="DE171" s="348">
        <f t="shared" si="392"/>
        <v>-4855</v>
      </c>
      <c r="DF171" s="348">
        <f t="shared" ref="DF171:DJ171" si="393">DF169+DF161+DF156</f>
        <v>-4605</v>
      </c>
      <c r="DG171" s="348">
        <f t="shared" si="393"/>
        <v>-5867</v>
      </c>
      <c r="DH171" s="348">
        <f t="shared" si="393"/>
        <v>-5867</v>
      </c>
      <c r="DI171" s="348">
        <f t="shared" si="393"/>
        <v>-26</v>
      </c>
      <c r="DJ171" s="348">
        <f t="shared" si="393"/>
        <v>-99</v>
      </c>
      <c r="DK171" s="348">
        <f t="shared" ref="DK171:DM171" si="394">DK169+DK161+DK156</f>
        <v>568</v>
      </c>
      <c r="DL171" s="348">
        <f t="shared" si="394"/>
        <v>263</v>
      </c>
      <c r="DM171" s="348">
        <f t="shared" si="394"/>
        <v>263</v>
      </c>
      <c r="DN171" s="348"/>
      <c r="DO171" s="348"/>
      <c r="DP171" s="348"/>
      <c r="DQ171" s="348"/>
      <c r="DR171"/>
      <c r="DS171"/>
      <c r="DT171"/>
      <c r="DU171"/>
      <c r="DV171"/>
      <c r="DW171"/>
      <c r="DX171" s="1339"/>
    </row>
    <row r="172" spans="3:128" s="24" customFormat="1">
      <c r="E172" s="290"/>
      <c r="F172" s="260"/>
      <c r="G172" s="260"/>
      <c r="H172" s="291"/>
      <c r="I172" s="932"/>
      <c r="J172" s="290"/>
      <c r="K172" s="260"/>
      <c r="L172" s="260"/>
      <c r="M172" s="291"/>
      <c r="N172" s="45"/>
      <c r="O172" s="290"/>
      <c r="P172" s="260"/>
      <c r="Q172" s="260"/>
      <c r="R172" s="291"/>
      <c r="S172" s="45"/>
      <c r="T172" s="290"/>
      <c r="U172" s="260"/>
      <c r="V172" s="260"/>
      <c r="W172" s="291"/>
      <c r="X172" s="45"/>
      <c r="Y172" s="290"/>
      <c r="Z172" s="260"/>
      <c r="AA172" s="1441"/>
      <c r="AB172" s="1442"/>
      <c r="AC172" s="1443"/>
      <c r="AD172" s="290"/>
      <c r="AE172" s="260"/>
      <c r="AF172" s="1441"/>
      <c r="AG172" s="1442"/>
      <c r="AH172" s="1443"/>
      <c r="AI172" s="290"/>
      <c r="AJ172" s="260"/>
      <c r="AK172" s="1441"/>
      <c r="AL172" s="1442"/>
      <c r="AM172" s="1443"/>
      <c r="AN172" s="290"/>
      <c r="AO172" s="260"/>
      <c r="AP172" s="1441"/>
      <c r="AQ172" s="1442"/>
      <c r="AR172" s="1443"/>
      <c r="AS172" s="290"/>
      <c r="AT172" s="260"/>
      <c r="AU172" s="260"/>
      <c r="AV172" s="1442"/>
      <c r="AW172" s="1443"/>
      <c r="AX172" s="290"/>
      <c r="AY172" s="260"/>
      <c r="AZ172" s="260"/>
      <c r="BA172" s="291"/>
      <c r="BB172" s="45"/>
      <c r="BC172" s="290"/>
      <c r="BD172" s="260"/>
      <c r="BE172" s="260"/>
      <c r="BF172" s="291"/>
      <c r="BG172" s="45"/>
      <c r="BH172" s="290"/>
      <c r="BI172" s="260"/>
      <c r="BJ172" s="260"/>
      <c r="BK172" s="291"/>
      <c r="BL172" s="45"/>
      <c r="BM172" s="290"/>
      <c r="BN172" s="260"/>
      <c r="BO172" s="260"/>
      <c r="BP172" s="291"/>
      <c r="BQ172" s="45"/>
      <c r="BR172" s="783"/>
      <c r="BS172" s="783"/>
      <c r="BT172" s="45"/>
      <c r="BU172" s="349"/>
      <c r="BV172" s="349"/>
      <c r="BW172" s="349"/>
      <c r="BX172" s="349"/>
      <c r="BY172" s="349"/>
      <c r="BZ172" s="349"/>
      <c r="CA172" s="349"/>
      <c r="CB172" s="349"/>
      <c r="CC172" s="349"/>
      <c r="CD172" s="349"/>
      <c r="CE172" s="349"/>
      <c r="CF172" s="349"/>
      <c r="CG172" s="349"/>
      <c r="CH172" s="349"/>
      <c r="CI172" s="349"/>
      <c r="CJ172" s="349"/>
      <c r="CK172" s="349"/>
      <c r="CL172" s="349"/>
      <c r="CM172" s="349"/>
      <c r="CN172" s="349"/>
      <c r="CO172" s="349"/>
      <c r="CP172" s="349"/>
      <c r="CQ172" s="349"/>
      <c r="CR172" s="349"/>
      <c r="CS172" s="349"/>
      <c r="CT172" s="349"/>
      <c r="CU172" s="349"/>
      <c r="CV172" s="349"/>
      <c r="CW172" s="349"/>
      <c r="CX172" s="349"/>
      <c r="CY172" s="349"/>
      <c r="CZ172" s="349"/>
      <c r="DA172" s="349"/>
      <c r="DB172" s="349"/>
      <c r="DC172" s="349"/>
      <c r="DD172" s="349"/>
      <c r="DE172" s="349"/>
      <c r="DF172" s="349"/>
      <c r="DG172" s="349"/>
      <c r="DH172" s="349"/>
      <c r="DI172" s="349"/>
      <c r="DJ172" s="349"/>
      <c r="DK172" s="349"/>
      <c r="DL172" s="349"/>
      <c r="DM172" s="349"/>
      <c r="DN172" s="349"/>
      <c r="DO172" s="349"/>
      <c r="DP172" s="349"/>
      <c r="DQ172" s="349"/>
      <c r="DR172"/>
      <c r="DS172"/>
      <c r="DT172"/>
      <c r="DU172"/>
      <c r="DV172"/>
      <c r="DW172"/>
      <c r="DX172" s="825"/>
    </row>
    <row r="173" spans="3:128" s="24" customFormat="1">
      <c r="C173" s="24" t="s">
        <v>250</v>
      </c>
      <c r="E173" s="290">
        <v>1271</v>
      </c>
      <c r="F173" s="260">
        <f>+E175</f>
        <v>2149</v>
      </c>
      <c r="G173" s="260">
        <f>+F175</f>
        <v>1838</v>
      </c>
      <c r="H173" s="291">
        <f>+G175</f>
        <v>2374</v>
      </c>
      <c r="I173" s="932">
        <f>+E173</f>
        <v>1271</v>
      </c>
      <c r="J173" s="290">
        <f>I175</f>
        <v>2010</v>
      </c>
      <c r="K173" s="260">
        <f>+J175</f>
        <v>2524</v>
      </c>
      <c r="L173" s="260">
        <f>+K175</f>
        <v>1168</v>
      </c>
      <c r="M173" s="291">
        <f>+L175</f>
        <v>2735</v>
      </c>
      <c r="N173" s="45">
        <f>+J173</f>
        <v>2010</v>
      </c>
      <c r="O173" s="290">
        <f>N175</f>
        <v>1612</v>
      </c>
      <c r="P173" s="260">
        <f>+O175</f>
        <v>487</v>
      </c>
      <c r="Q173" s="260">
        <f>+P175</f>
        <v>562</v>
      </c>
      <c r="R173" s="291">
        <f>+Q175</f>
        <v>1071</v>
      </c>
      <c r="S173" s="45">
        <f>+O173</f>
        <v>1612</v>
      </c>
      <c r="T173" s="290">
        <f>S175</f>
        <v>1016</v>
      </c>
      <c r="U173" s="260">
        <f>+T175</f>
        <v>721</v>
      </c>
      <c r="V173" s="260">
        <f>+U175</f>
        <v>1349</v>
      </c>
      <c r="W173" s="291">
        <f>+V175</f>
        <v>1700</v>
      </c>
      <c r="X173" s="45">
        <f>+T173</f>
        <v>1016</v>
      </c>
      <c r="Y173" s="290">
        <f>X175</f>
        <v>1486</v>
      </c>
      <c r="Z173" s="260">
        <f>+Y175</f>
        <v>772</v>
      </c>
      <c r="AA173" s="1441">
        <f>+Z175</f>
        <v>991</v>
      </c>
      <c r="AB173" s="1442">
        <f>+AA175</f>
        <v>1644</v>
      </c>
      <c r="AC173" s="1443">
        <f>+Y173</f>
        <v>1486</v>
      </c>
      <c r="AD173" s="290">
        <f>AC175</f>
        <v>1609</v>
      </c>
      <c r="AE173" s="260">
        <f>+AD175</f>
        <v>914</v>
      </c>
      <c r="AF173" s="1441">
        <f>+AE175</f>
        <v>1362</v>
      </c>
      <c r="AG173" s="1442">
        <f>+AF175</f>
        <v>2763</v>
      </c>
      <c r="AH173" s="1443">
        <f>+AD173</f>
        <v>1609</v>
      </c>
      <c r="AI173" s="290">
        <f>AH175</f>
        <v>1878</v>
      </c>
      <c r="AJ173" s="260">
        <f>+AI175</f>
        <v>1825</v>
      </c>
      <c r="AK173" s="1441">
        <f>+AJ175</f>
        <v>6014</v>
      </c>
      <c r="AL173" s="1442">
        <f>+AK175</f>
        <v>7265</v>
      </c>
      <c r="AM173" s="1443">
        <f>+AI173</f>
        <v>1878</v>
      </c>
      <c r="AN173" s="290">
        <f>AM175</f>
        <v>6502</v>
      </c>
      <c r="AO173" s="260">
        <f>+AN175</f>
        <v>960</v>
      </c>
      <c r="AP173" s="1441">
        <f>+AO175</f>
        <v>1647</v>
      </c>
      <c r="AQ173" s="1442">
        <f>+AP175</f>
        <v>1897</v>
      </c>
      <c r="AR173" s="1443">
        <f>+AN173</f>
        <v>6502</v>
      </c>
      <c r="AS173" s="290">
        <f>AR175</f>
        <v>635</v>
      </c>
      <c r="AT173" s="260">
        <f>+AS175</f>
        <v>609</v>
      </c>
      <c r="AU173" s="260">
        <f t="shared" ref="AU173" si="395">+AT175</f>
        <v>536</v>
      </c>
      <c r="AV173" s="1442">
        <f>+AU175</f>
        <v>1203</v>
      </c>
      <c r="AW173" s="1443">
        <f>+AS173</f>
        <v>635</v>
      </c>
      <c r="AX173" s="290">
        <f>+AW175</f>
        <v>898</v>
      </c>
      <c r="AY173" s="260">
        <f>+AX175</f>
        <v>0</v>
      </c>
      <c r="AZ173" s="260">
        <f ca="1">+AY175</f>
        <v>0</v>
      </c>
      <c r="BA173" s="291">
        <f ca="1">+AZ175</f>
        <v>1039.5227764907393</v>
      </c>
      <c r="BB173" s="45">
        <f>+AX173</f>
        <v>898</v>
      </c>
      <c r="BC173" s="290">
        <f ca="1">+BB175</f>
        <v>486.71576679205714</v>
      </c>
      <c r="BD173" s="260">
        <f ca="1">+BC175</f>
        <v>706.84714678081423</v>
      </c>
      <c r="BE173" s="260">
        <f ca="1">+BD175</f>
        <v>274.13893044859122</v>
      </c>
      <c r="BF173" s="291">
        <f ca="1">+BE175</f>
        <v>1547.9706317560078</v>
      </c>
      <c r="BG173" s="45">
        <f ca="1">+BC173</f>
        <v>486.71576679205714</v>
      </c>
      <c r="BH173" s="290">
        <f ca="1">+BG175</f>
        <v>520.9569347099748</v>
      </c>
      <c r="BI173" s="260">
        <f ca="1">+BH175</f>
        <v>0</v>
      </c>
      <c r="BJ173" s="260">
        <f ca="1">+BI175</f>
        <v>0</v>
      </c>
      <c r="BK173" s="291">
        <f ca="1">+BJ175</f>
        <v>475.28999173225247</v>
      </c>
      <c r="BL173" s="45">
        <f ca="1">+BH173</f>
        <v>520.9569347099748</v>
      </c>
      <c r="BM173" s="290">
        <f ca="1">+BL175</f>
        <v>0</v>
      </c>
      <c r="BN173" s="260">
        <f ca="1">+BM175</f>
        <v>0</v>
      </c>
      <c r="BO173" s="260">
        <f ca="1">+BN175</f>
        <v>0</v>
      </c>
      <c r="BP173" s="291">
        <f ca="1">+BO175</f>
        <v>602.25203068639075</v>
      </c>
      <c r="BQ173" s="45">
        <f ca="1">+BM173</f>
        <v>0</v>
      </c>
      <c r="BR173" s="783"/>
      <c r="BS173" s="783"/>
      <c r="BT173" s="45"/>
      <c r="BU173" s="817">
        <v>1271</v>
      </c>
      <c r="BV173" s="349">
        <f>BU173</f>
        <v>1271</v>
      </c>
      <c r="BW173" s="349">
        <f>BV173</f>
        <v>1271</v>
      </c>
      <c r="BX173" s="349">
        <f>BW173</f>
        <v>1271</v>
      </c>
      <c r="BY173" s="349">
        <f>BU173</f>
        <v>1271</v>
      </c>
      <c r="BZ173" s="349">
        <f>BY175</f>
        <v>2010</v>
      </c>
      <c r="CA173" s="349">
        <f>BZ173</f>
        <v>2010</v>
      </c>
      <c r="CB173" s="349">
        <f>CA173</f>
        <v>2010</v>
      </c>
      <c r="CC173" s="349">
        <f>CB173</f>
        <v>2010</v>
      </c>
      <c r="CD173" s="349">
        <f>BZ173</f>
        <v>2010</v>
      </c>
      <c r="CE173" s="349">
        <f>CD175</f>
        <v>1612</v>
      </c>
      <c r="CF173" s="349">
        <f>CE173</f>
        <v>1612</v>
      </c>
      <c r="CG173" s="349">
        <f>CF173</f>
        <v>1612</v>
      </c>
      <c r="CH173" s="349">
        <f>CG173</f>
        <v>1612</v>
      </c>
      <c r="CI173" s="349">
        <f>CE173</f>
        <v>1612</v>
      </c>
      <c r="CJ173" s="349">
        <f>CI175</f>
        <v>1016</v>
      </c>
      <c r="CK173" s="349">
        <f>+CJ173</f>
        <v>1016</v>
      </c>
      <c r="CL173" s="349">
        <f>+CK173</f>
        <v>1016</v>
      </c>
      <c r="CM173" s="349">
        <f>CL173</f>
        <v>1016</v>
      </c>
      <c r="CN173" s="349">
        <f>CJ173</f>
        <v>1016</v>
      </c>
      <c r="CO173" s="349">
        <f>CN175</f>
        <v>1486</v>
      </c>
      <c r="CP173" s="349">
        <f>+CO173</f>
        <v>1486</v>
      </c>
      <c r="CQ173" s="349">
        <f>+CP173</f>
        <v>1486</v>
      </c>
      <c r="CR173" s="349">
        <f>CQ173</f>
        <v>1486</v>
      </c>
      <c r="CS173" s="349">
        <f>CO173</f>
        <v>1486</v>
      </c>
      <c r="CT173" s="349">
        <f>CS175</f>
        <v>1609</v>
      </c>
      <c r="CU173" s="349">
        <f>+CT173</f>
        <v>1609</v>
      </c>
      <c r="CV173" s="349">
        <f>+CU173</f>
        <v>1609</v>
      </c>
      <c r="CW173" s="349">
        <f>CV173</f>
        <v>1609</v>
      </c>
      <c r="CX173" s="349">
        <f>CT173</f>
        <v>1609</v>
      </c>
      <c r="CY173" s="349">
        <f>CX175</f>
        <v>1878</v>
      </c>
      <c r="CZ173" s="349">
        <f>+CY173</f>
        <v>1878</v>
      </c>
      <c r="DA173" s="349">
        <f>+CZ173</f>
        <v>1878</v>
      </c>
      <c r="DB173" s="349">
        <f>DA173</f>
        <v>1878</v>
      </c>
      <c r="DC173" s="349">
        <f>CY173</f>
        <v>1878</v>
      </c>
      <c r="DD173" s="349">
        <f>DC175</f>
        <v>6502</v>
      </c>
      <c r="DE173" s="349">
        <f>+DD173</f>
        <v>6502</v>
      </c>
      <c r="DF173" s="349">
        <f>+DE173</f>
        <v>6502</v>
      </c>
      <c r="DG173" s="349">
        <f>DF173</f>
        <v>6502</v>
      </c>
      <c r="DH173" s="349">
        <f>DD173</f>
        <v>6502</v>
      </c>
      <c r="DI173" s="349">
        <f>DH175</f>
        <v>635</v>
      </c>
      <c r="DJ173" s="349">
        <f>+DI173</f>
        <v>635</v>
      </c>
      <c r="DK173" s="349">
        <f t="shared" ref="DK173" si="396">+DJ173</f>
        <v>635</v>
      </c>
      <c r="DL173" s="349">
        <f>DK173</f>
        <v>635</v>
      </c>
      <c r="DM173" s="349">
        <f>DI173</f>
        <v>635</v>
      </c>
      <c r="DN173" s="349"/>
      <c r="DO173" s="349"/>
      <c r="DP173" s="349"/>
      <c r="DQ173" s="349"/>
      <c r="DR173"/>
      <c r="DS173"/>
      <c r="DT173"/>
      <c r="DU173"/>
      <c r="DV173"/>
      <c r="DW173"/>
      <c r="DX173" s="825"/>
    </row>
    <row r="174" spans="3:128" s="24" customFormat="1">
      <c r="C174" s="24" t="s">
        <v>248</v>
      </c>
      <c r="E174" s="290">
        <f>BU174</f>
        <v>0</v>
      </c>
      <c r="F174" s="260">
        <f>BV174-BU174</f>
        <v>0</v>
      </c>
      <c r="G174" s="260">
        <f>BW174-BV174</f>
        <v>0</v>
      </c>
      <c r="H174" s="291">
        <f>BX174-BW174</f>
        <v>0</v>
      </c>
      <c r="I174" s="932">
        <f>SUM(E174:H174)</f>
        <v>0</v>
      </c>
      <c r="J174" s="290">
        <f>BZ174</f>
        <v>0</v>
      </c>
      <c r="K174" s="260">
        <f>CA174-BZ174</f>
        <v>0</v>
      </c>
      <c r="L174" s="260">
        <f>CB174-CA174</f>
        <v>0</v>
      </c>
      <c r="M174" s="291">
        <f>CC174-CB174</f>
        <v>0</v>
      </c>
      <c r="N174" s="45">
        <f>SUM(J174:M174)</f>
        <v>0</v>
      </c>
      <c r="O174" s="290">
        <f>CE174</f>
        <v>0</v>
      </c>
      <c r="P174" s="260">
        <f>CF174-CE174</f>
        <v>0</v>
      </c>
      <c r="Q174" s="260">
        <f>CG174-CF174</f>
        <v>0</v>
      </c>
      <c r="R174" s="291">
        <f>CH174-CG174</f>
        <v>0</v>
      </c>
      <c r="S174" s="45">
        <f>SUM(O174:R174)</f>
        <v>0</v>
      </c>
      <c r="T174" s="290">
        <f>CJ174</f>
        <v>0</v>
      </c>
      <c r="U174" s="260">
        <f>CK174-CJ174</f>
        <v>0</v>
      </c>
      <c r="V174" s="261">
        <f>CL174-CK174</f>
        <v>0</v>
      </c>
      <c r="W174" s="291">
        <f>CM174-CL174</f>
        <v>0</v>
      </c>
      <c r="X174" s="45">
        <f>SUM(T174:W174)</f>
        <v>0</v>
      </c>
      <c r="Y174" s="290">
        <f>CO174</f>
        <v>0</v>
      </c>
      <c r="Z174" s="260">
        <f>CP174-CO174</f>
        <v>0</v>
      </c>
      <c r="AA174" s="1438">
        <f>CQ174-CP174</f>
        <v>0</v>
      </c>
      <c r="AB174" s="1442">
        <f>CR174-CQ174</f>
        <v>0</v>
      </c>
      <c r="AC174" s="1443">
        <f>SUM(Y174:AB174)</f>
        <v>0</v>
      </c>
      <c r="AD174" s="290">
        <f>CT174</f>
        <v>0</v>
      </c>
      <c r="AE174" s="260">
        <f>CU174-CT174</f>
        <v>0</v>
      </c>
      <c r="AF174" s="1438">
        <f>CV174-CU174</f>
        <v>0</v>
      </c>
      <c r="AG174" s="1442">
        <f>CW174-CV174</f>
        <v>0</v>
      </c>
      <c r="AH174" s="1443">
        <f>SUM(AD174:AG174)</f>
        <v>0</v>
      </c>
      <c r="AI174" s="290">
        <f>CY174</f>
        <v>0</v>
      </c>
      <c r="AJ174" s="260">
        <f>CZ174-CY174</f>
        <v>0</v>
      </c>
      <c r="AK174" s="1438">
        <f>DA174-CZ174</f>
        <v>0</v>
      </c>
      <c r="AL174" s="1442">
        <f>DB174-DA174</f>
        <v>0</v>
      </c>
      <c r="AM174" s="1443">
        <f>SUM(AI174:AL174)</f>
        <v>0</v>
      </c>
      <c r="AN174" s="290">
        <f>DD174</f>
        <v>0</v>
      </c>
      <c r="AO174" s="260">
        <f>DE174-DD174</f>
        <v>0</v>
      </c>
      <c r="AP174" s="1438">
        <f>DF174-DE174</f>
        <v>0</v>
      </c>
      <c r="AQ174" s="1442">
        <f>DG174-DF174</f>
        <v>0</v>
      </c>
      <c r="AR174" s="1443">
        <f>SUM(AN174:AQ174)</f>
        <v>0</v>
      </c>
      <c r="AS174" s="290">
        <f>DI174</f>
        <v>0</v>
      </c>
      <c r="AT174" s="260">
        <f>DJ174-DI174</f>
        <v>0</v>
      </c>
      <c r="AU174" s="260">
        <f t="shared" ref="AU174" si="397">DK174-DJ174</f>
        <v>0</v>
      </c>
      <c r="AV174" s="1442">
        <f>DL174-DK174</f>
        <v>0</v>
      </c>
      <c r="AW174" s="1443">
        <f>SUM(AS174:AV174)</f>
        <v>0</v>
      </c>
      <c r="AX174" s="290">
        <f>IF((AX171+AX173)&gt;=AW230,-AW230,-(AX171+AX173))</f>
        <v>432.97247888465563</v>
      </c>
      <c r="AY174" s="260">
        <f ca="1">IF((AY171+AY173)&gt;=AX230,-AX230,-(AY171+AY173))</f>
        <v>639.76465387929397</v>
      </c>
      <c r="AZ174" s="260">
        <f ca="1">IF((AZ171+AZ173)&gt;=AY230,-AY230,-(AZ171+AZ173))</f>
        <v>-2001.7371327639496</v>
      </c>
      <c r="BA174" s="291">
        <f ca="1">IF((BA171+BA173)&gt;=AZ230,-AZ230,-(BA171+BA173))</f>
        <v>0</v>
      </c>
      <c r="BB174" s="45">
        <f ca="1">+SUM(AX174:BA174)</f>
        <v>-929</v>
      </c>
      <c r="BC174" s="290">
        <f ca="1">IF((BC171+BC173)&gt;=BB230,-BB230,-(BC171+BC173))</f>
        <v>0</v>
      </c>
      <c r="BD174" s="260">
        <f ca="1">IF((BD171+BD173)&gt;=BC230,-BC230,-(BD171+BD173))</f>
        <v>0</v>
      </c>
      <c r="BE174" s="260">
        <f ca="1">IF((BE171+BE173)&gt;=BD230,-BD230,-(BE171+BE173))</f>
        <v>0</v>
      </c>
      <c r="BF174" s="291">
        <f ca="1">IF((BF171+BF173)&gt;=BE230,-BE230,-(BF171+BF173))</f>
        <v>0</v>
      </c>
      <c r="BG174" s="45">
        <f ca="1">+SUM(BC174:BF174)</f>
        <v>0</v>
      </c>
      <c r="BH174" s="290">
        <f ca="1">IF((BH171+BH173)&gt;=BG230,-BG230,-(BH171+BH173))</f>
        <v>371.67467730403632</v>
      </c>
      <c r="BI174" s="260">
        <f ca="1">IF((BI171+BI173)&gt;=BH230,-BH230,-(BI171+BI173))</f>
        <v>1415.6883476955536</v>
      </c>
      <c r="BJ174" s="260">
        <f ca="1">IF((BJ171+BJ173)&gt;=BI230,-BI230,-(BJ171+BJ173))</f>
        <v>-1787.3630249995899</v>
      </c>
      <c r="BK174" s="291">
        <f ca="1">IF((BK171+BK173)&gt;=BJ230,-BJ230,-(BK171+BK173))</f>
        <v>1009.3445071001247</v>
      </c>
      <c r="BL174" s="45">
        <f ca="1">+SUM(BH174:BK174)</f>
        <v>1009.3445071001247</v>
      </c>
      <c r="BM174" s="290">
        <f ca="1">IF((BM171+BM173)&gt;=BL230,-BL230,-(BM171+BM173))</f>
        <v>769.81108814230674</v>
      </c>
      <c r="BN174" s="260">
        <f ca="1">IF((BN171+BN173)&gt;=BM230,-BM230,-(BN171+BN173))</f>
        <v>582.89393962343343</v>
      </c>
      <c r="BO174" s="260">
        <f ca="1">IF((BO171+BO173)&gt;=BN230,-BN230,-(BO171+BO173))</f>
        <v>-2362.0495348658651</v>
      </c>
      <c r="BP174" s="291">
        <f ca="1">IF((BP171+BP173)&gt;=BO230,-BO230,-(BP171+BP173))</f>
        <v>0</v>
      </c>
      <c r="BQ174" s="45">
        <f ca="1">+SUM(BM174:BP174)</f>
        <v>-1009.3445071001249</v>
      </c>
      <c r="BR174" s="783"/>
      <c r="BS174" s="783"/>
      <c r="BT174" s="45"/>
      <c r="BU174" s="817">
        <v>0</v>
      </c>
      <c r="BV174" s="817">
        <v>0</v>
      </c>
      <c r="BW174" s="817">
        <v>0</v>
      </c>
      <c r="BX174" s="349">
        <f>BY174</f>
        <v>0</v>
      </c>
      <c r="BY174" s="817">
        <v>0</v>
      </c>
      <c r="BZ174" s="817">
        <v>0</v>
      </c>
      <c r="CA174" s="817">
        <v>0</v>
      </c>
      <c r="CB174" s="817">
        <v>0</v>
      </c>
      <c r="CC174" s="349">
        <f>CD174</f>
        <v>0</v>
      </c>
      <c r="CD174" s="817">
        <v>0</v>
      </c>
      <c r="CE174" s="817">
        <v>0</v>
      </c>
      <c r="CF174" s="817">
        <v>0</v>
      </c>
      <c r="CG174" s="817">
        <v>0</v>
      </c>
      <c r="CH174" s="349">
        <f>CI174</f>
        <v>0</v>
      </c>
      <c r="CI174" s="817">
        <v>0</v>
      </c>
      <c r="CJ174" s="817">
        <v>0</v>
      </c>
      <c r="CK174" s="817">
        <v>0</v>
      </c>
      <c r="CL174" s="817">
        <v>0</v>
      </c>
      <c r="CM174" s="349">
        <f>CN174</f>
        <v>0</v>
      </c>
      <c r="CN174" s="817">
        <v>0</v>
      </c>
      <c r="CO174" s="817">
        <v>0</v>
      </c>
      <c r="CP174" s="817">
        <v>0</v>
      </c>
      <c r="CQ174" s="1544">
        <v>0</v>
      </c>
      <c r="CR174" s="349">
        <f>CS174</f>
        <v>0</v>
      </c>
      <c r="CS174" s="1544">
        <v>0</v>
      </c>
      <c r="CT174" s="817">
        <v>0</v>
      </c>
      <c r="CU174" s="817">
        <v>0</v>
      </c>
      <c r="CV174" s="1544">
        <v>0</v>
      </c>
      <c r="CW174" s="349">
        <f>CX174</f>
        <v>0</v>
      </c>
      <c r="CX174" s="1544">
        <v>0</v>
      </c>
      <c r="CY174" s="817">
        <v>0</v>
      </c>
      <c r="CZ174" s="817">
        <v>0</v>
      </c>
      <c r="DA174" s="1544">
        <v>0</v>
      </c>
      <c r="DB174" s="349">
        <f>DC174</f>
        <v>0</v>
      </c>
      <c r="DC174" s="1544">
        <v>0</v>
      </c>
      <c r="DD174" s="817">
        <v>0</v>
      </c>
      <c r="DE174" s="817">
        <v>0</v>
      </c>
      <c r="DF174" s="1544">
        <v>0</v>
      </c>
      <c r="DG174" s="349">
        <f>DH174</f>
        <v>0</v>
      </c>
      <c r="DH174" s="1544">
        <v>0</v>
      </c>
      <c r="DI174" s="817">
        <v>0</v>
      </c>
      <c r="DJ174" s="817">
        <v>0</v>
      </c>
      <c r="DK174" s="817">
        <v>0</v>
      </c>
      <c r="DL174" s="349">
        <f>DM174</f>
        <v>0</v>
      </c>
      <c r="DM174" s="1544">
        <v>0</v>
      </c>
      <c r="DN174" s="817"/>
      <c r="DO174" s="817"/>
      <c r="DP174" s="817"/>
      <c r="DQ174" s="817"/>
      <c r="DR174"/>
      <c r="DS174"/>
      <c r="DT174"/>
      <c r="DU174"/>
      <c r="DV174"/>
      <c r="DW174"/>
      <c r="DX174" s="825"/>
    </row>
    <row r="175" spans="3:128" s="445" customFormat="1">
      <c r="C175" s="445" t="s">
        <v>221</v>
      </c>
      <c r="E175" s="292">
        <f t="shared" ref="E175:N175" si="398">+E174+E173+E171</f>
        <v>2149</v>
      </c>
      <c r="F175" s="261">
        <f t="shared" si="398"/>
        <v>1838</v>
      </c>
      <c r="G175" s="261">
        <f t="shared" si="398"/>
        <v>2374</v>
      </c>
      <c r="H175" s="293">
        <f t="shared" si="398"/>
        <v>2010</v>
      </c>
      <c r="I175" s="933">
        <f t="shared" si="398"/>
        <v>2010</v>
      </c>
      <c r="J175" s="292">
        <f t="shared" si="398"/>
        <v>2524</v>
      </c>
      <c r="K175" s="261">
        <f t="shared" si="398"/>
        <v>1168</v>
      </c>
      <c r="L175" s="261">
        <f t="shared" si="398"/>
        <v>2735</v>
      </c>
      <c r="M175" s="293">
        <f t="shared" si="398"/>
        <v>1612</v>
      </c>
      <c r="N175" s="228">
        <f t="shared" si="398"/>
        <v>1612</v>
      </c>
      <c r="O175" s="292">
        <f t="shared" ref="O175:AE175" si="399">+O174+O173+O171</f>
        <v>487</v>
      </c>
      <c r="P175" s="261">
        <f t="shared" si="399"/>
        <v>562</v>
      </c>
      <c r="Q175" s="261">
        <f t="shared" si="399"/>
        <v>1071</v>
      </c>
      <c r="R175" s="293">
        <f t="shared" si="399"/>
        <v>1016</v>
      </c>
      <c r="S175" s="228">
        <f t="shared" si="399"/>
        <v>1016</v>
      </c>
      <c r="T175" s="292">
        <f t="shared" si="399"/>
        <v>721</v>
      </c>
      <c r="U175" s="261">
        <f t="shared" si="399"/>
        <v>1349</v>
      </c>
      <c r="V175" s="789">
        <f t="shared" si="399"/>
        <v>1700</v>
      </c>
      <c r="W175" s="293">
        <f t="shared" si="399"/>
        <v>1486</v>
      </c>
      <c r="X175" s="228">
        <f t="shared" si="399"/>
        <v>1486</v>
      </c>
      <c r="Y175" s="292">
        <f t="shared" si="399"/>
        <v>772</v>
      </c>
      <c r="Z175" s="261">
        <f t="shared" si="399"/>
        <v>991</v>
      </c>
      <c r="AA175" s="1536">
        <f t="shared" si="399"/>
        <v>1644</v>
      </c>
      <c r="AB175" s="1439">
        <f t="shared" si="399"/>
        <v>1609</v>
      </c>
      <c r="AC175" s="1440">
        <f t="shared" si="399"/>
        <v>1609</v>
      </c>
      <c r="AD175" s="292">
        <f t="shared" si="399"/>
        <v>914</v>
      </c>
      <c r="AE175" s="261">
        <f t="shared" si="399"/>
        <v>1362</v>
      </c>
      <c r="AF175" s="1536">
        <f t="shared" ref="AF175:AJ175" si="400">+AF174+AF173+AF171</f>
        <v>2763</v>
      </c>
      <c r="AG175" s="1439">
        <f t="shared" si="400"/>
        <v>1878</v>
      </c>
      <c r="AH175" s="1440">
        <f t="shared" si="400"/>
        <v>1878</v>
      </c>
      <c r="AI175" s="292">
        <f t="shared" si="400"/>
        <v>1825</v>
      </c>
      <c r="AJ175" s="261">
        <f t="shared" si="400"/>
        <v>6014</v>
      </c>
      <c r="AK175" s="1536">
        <f t="shared" ref="AK175:AO175" si="401">+AK174+AK173+AK171</f>
        <v>7265</v>
      </c>
      <c r="AL175" s="1439">
        <f t="shared" si="401"/>
        <v>6502</v>
      </c>
      <c r="AM175" s="1440">
        <f t="shared" si="401"/>
        <v>6502</v>
      </c>
      <c r="AN175" s="292">
        <f t="shared" si="401"/>
        <v>960</v>
      </c>
      <c r="AO175" s="261">
        <f t="shared" si="401"/>
        <v>1647</v>
      </c>
      <c r="AP175" s="1536">
        <f t="shared" ref="AP175:AT175" si="402">+AP174+AP173+AP171</f>
        <v>1897</v>
      </c>
      <c r="AQ175" s="1439">
        <f t="shared" si="402"/>
        <v>635</v>
      </c>
      <c r="AR175" s="1440">
        <f t="shared" si="402"/>
        <v>635</v>
      </c>
      <c r="AS175" s="292">
        <f t="shared" si="402"/>
        <v>609</v>
      </c>
      <c r="AT175" s="261">
        <f t="shared" si="402"/>
        <v>536</v>
      </c>
      <c r="AU175" s="261">
        <f t="shared" ref="AU175:AW175" si="403">+AU174+AU173+AU171</f>
        <v>1203</v>
      </c>
      <c r="AV175" s="1439">
        <f t="shared" si="403"/>
        <v>898</v>
      </c>
      <c r="AW175" s="1440">
        <f t="shared" si="403"/>
        <v>898</v>
      </c>
      <c r="AX175" s="292">
        <f>+AX174+AX173+AX171</f>
        <v>0</v>
      </c>
      <c r="AY175" s="261">
        <f ca="1">+AY174+AY173+AY171</f>
        <v>0</v>
      </c>
      <c r="AZ175" s="261">
        <f ca="1">+AZ174+AZ173+AZ171</f>
        <v>1039.5227764907393</v>
      </c>
      <c r="BA175" s="293">
        <f ca="1">+BA174+BA173+BA171</f>
        <v>486.71576679205714</v>
      </c>
      <c r="BB175" s="228">
        <f ca="1">+BA175</f>
        <v>486.71576679205714</v>
      </c>
      <c r="BC175" s="292">
        <f ca="1">+BC174+BC173+BC171</f>
        <v>706.84714678081423</v>
      </c>
      <c r="BD175" s="261">
        <f ca="1">+BD174+BD173+BD171</f>
        <v>274.13893044859122</v>
      </c>
      <c r="BE175" s="261">
        <f ca="1">+BE174+BE173+BE171</f>
        <v>1547.9706317560078</v>
      </c>
      <c r="BF175" s="293">
        <f ca="1">+BF174+BF173+BF171</f>
        <v>520.9569347099748</v>
      </c>
      <c r="BG175" s="228">
        <f ca="1">+BF175</f>
        <v>520.9569347099748</v>
      </c>
      <c r="BH175" s="292">
        <f ca="1">+BH174+BH173+BH171</f>
        <v>0</v>
      </c>
      <c r="BI175" s="261">
        <f ca="1">+BI174+BI173+BI171</f>
        <v>0</v>
      </c>
      <c r="BJ175" s="261">
        <f ca="1">+BJ174+BJ173+BJ171</f>
        <v>475.28999173225247</v>
      </c>
      <c r="BK175" s="293">
        <f ca="1">+BK174+BK173+BK171</f>
        <v>0</v>
      </c>
      <c r="BL175" s="228">
        <f ca="1">+BK175</f>
        <v>0</v>
      </c>
      <c r="BM175" s="292">
        <f ca="1">+BM174+BM173+BM171</f>
        <v>0</v>
      </c>
      <c r="BN175" s="261">
        <f ca="1">+BN174+BN173+BN171</f>
        <v>0</v>
      </c>
      <c r="BO175" s="261">
        <f ca="1">+BO174+BO173+BO171</f>
        <v>602.25203068639075</v>
      </c>
      <c r="BP175" s="293">
        <f ca="1">+BP174+BP173+BP171</f>
        <v>119.86938476350338</v>
      </c>
      <c r="BQ175" s="228">
        <f ca="1">+BP175</f>
        <v>119.86938476350338</v>
      </c>
      <c r="BR175" s="747"/>
      <c r="BS175" s="747"/>
      <c r="BT175" s="228"/>
      <c r="BU175" s="348">
        <f t="shared" ref="BU175:CB175" si="404">BU171+BU173+BU174</f>
        <v>2149</v>
      </c>
      <c r="BV175" s="348">
        <f t="shared" si="404"/>
        <v>1838</v>
      </c>
      <c r="BW175" s="348">
        <f t="shared" si="404"/>
        <v>2374</v>
      </c>
      <c r="BX175" s="348">
        <f t="shared" si="404"/>
        <v>2010</v>
      </c>
      <c r="BY175" s="348">
        <f t="shared" si="404"/>
        <v>2010</v>
      </c>
      <c r="BZ175" s="348">
        <f t="shared" si="404"/>
        <v>2524</v>
      </c>
      <c r="CA175" s="348">
        <f t="shared" si="404"/>
        <v>1168</v>
      </c>
      <c r="CB175" s="348">
        <f t="shared" si="404"/>
        <v>2735</v>
      </c>
      <c r="CC175" s="348">
        <f t="shared" ref="CC175:CJ175" si="405">CC171+CC173+CC174</f>
        <v>1612</v>
      </c>
      <c r="CD175" s="348">
        <f t="shared" si="405"/>
        <v>1612</v>
      </c>
      <c r="CE175" s="348">
        <f t="shared" si="405"/>
        <v>487</v>
      </c>
      <c r="CF175" s="348">
        <f t="shared" si="405"/>
        <v>562</v>
      </c>
      <c r="CG175" s="348">
        <f t="shared" si="405"/>
        <v>1071</v>
      </c>
      <c r="CH175" s="348">
        <f t="shared" si="405"/>
        <v>1016</v>
      </c>
      <c r="CI175" s="348">
        <f t="shared" si="405"/>
        <v>1016</v>
      </c>
      <c r="CJ175" s="348">
        <f t="shared" si="405"/>
        <v>721</v>
      </c>
      <c r="CK175" s="348">
        <f t="shared" ref="CK175:CQ175" si="406">CK171+CK173+CK174</f>
        <v>1349</v>
      </c>
      <c r="CL175" s="348">
        <f t="shared" si="406"/>
        <v>1700</v>
      </c>
      <c r="CM175" s="348">
        <f t="shared" si="406"/>
        <v>1486</v>
      </c>
      <c r="CN175" s="348">
        <f t="shared" si="406"/>
        <v>1486</v>
      </c>
      <c r="CO175" s="348">
        <f t="shared" si="406"/>
        <v>772</v>
      </c>
      <c r="CP175" s="348">
        <f t="shared" si="406"/>
        <v>991</v>
      </c>
      <c r="CQ175" s="348">
        <f t="shared" si="406"/>
        <v>1644</v>
      </c>
      <c r="CR175" s="348">
        <f>CR171+CR173+CR174</f>
        <v>1609</v>
      </c>
      <c r="CS175" s="348">
        <f>CS171+CS173+CS174</f>
        <v>1609</v>
      </c>
      <c r="CT175" s="348">
        <f>CT171+CT173+CT174</f>
        <v>914</v>
      </c>
      <c r="CU175" s="348">
        <f>CU171+CU173+CU174</f>
        <v>1362</v>
      </c>
      <c r="CV175" s="348">
        <f t="shared" ref="CV175" si="407">CV171+CV173+CV174</f>
        <v>2763</v>
      </c>
      <c r="CW175" s="348">
        <f>CW171+CW173+CW174</f>
        <v>1878</v>
      </c>
      <c r="CX175" s="348">
        <f>CX171+CX173+CX174</f>
        <v>1878</v>
      </c>
      <c r="CY175" s="348">
        <f>CY171+CY173+CY174</f>
        <v>1825</v>
      </c>
      <c r="CZ175" s="348">
        <f>CZ171+CZ173+CZ174</f>
        <v>6014</v>
      </c>
      <c r="DA175" s="348">
        <f t="shared" ref="DA175" si="408">DA171+DA173+DA174</f>
        <v>7265</v>
      </c>
      <c r="DB175" s="348">
        <f>DB171+DB173+DB174</f>
        <v>6502</v>
      </c>
      <c r="DC175" s="348">
        <f>DC171+DC173+DC174</f>
        <v>6502</v>
      </c>
      <c r="DD175" s="348">
        <f>DD171+DD173+DD174</f>
        <v>960</v>
      </c>
      <c r="DE175" s="348">
        <f>DE171+DE173+DE174</f>
        <v>1647</v>
      </c>
      <c r="DF175" s="348">
        <f t="shared" ref="DF175" si="409">DF171+DF173+DF174</f>
        <v>1897</v>
      </c>
      <c r="DG175" s="348">
        <f>DG171+DG173+DG174</f>
        <v>635</v>
      </c>
      <c r="DH175" s="348">
        <f>DH171+DH173+DH174</f>
        <v>635</v>
      </c>
      <c r="DI175" s="348">
        <f>DI171+DI173+DI174</f>
        <v>609</v>
      </c>
      <c r="DJ175" s="348">
        <f>DJ171+DJ173+DJ174</f>
        <v>536</v>
      </c>
      <c r="DK175" s="348">
        <f t="shared" ref="DK175" si="410">DK171+DK173+DK174</f>
        <v>1203</v>
      </c>
      <c r="DL175" s="348">
        <f>DL171+DL173+DL174</f>
        <v>898</v>
      </c>
      <c r="DM175" s="348">
        <f>DM171+DM173+DM174</f>
        <v>898</v>
      </c>
      <c r="DN175" s="348"/>
      <c r="DO175" s="348"/>
      <c r="DP175" s="348"/>
      <c r="DQ175" s="348"/>
      <c r="DR175"/>
      <c r="DS175"/>
      <c r="DT175"/>
      <c r="DU175"/>
      <c r="DV175"/>
      <c r="DW175"/>
      <c r="DX175" s="825"/>
    </row>
    <row r="176" spans="3:128" s="445" customFormat="1">
      <c r="E176" s="292"/>
      <c r="F176" s="261"/>
      <c r="G176" s="261"/>
      <c r="H176" s="293"/>
      <c r="I176" s="933"/>
      <c r="J176" s="292"/>
      <c r="K176" s="261"/>
      <c r="L176" s="261"/>
      <c r="M176" s="293"/>
      <c r="N176" s="228"/>
      <c r="O176" s="292"/>
      <c r="P176" s="261"/>
      <c r="Q176" s="261"/>
      <c r="R176" s="293"/>
      <c r="S176" s="228"/>
      <c r="T176" s="292"/>
      <c r="U176" s="261"/>
      <c r="V176" s="260"/>
      <c r="W176" s="790"/>
      <c r="X176" s="747"/>
      <c r="Y176" s="788"/>
      <c r="Z176" s="789"/>
      <c r="AA176" s="1441"/>
      <c r="AB176" s="1537"/>
      <c r="AC176" s="1538"/>
      <c r="AD176" s="788"/>
      <c r="AE176" s="789"/>
      <c r="AF176" s="789"/>
      <c r="AG176" s="790"/>
      <c r="AH176" s="747"/>
      <c r="AI176" s="788"/>
      <c r="AJ176" s="789"/>
      <c r="AK176" s="789"/>
      <c r="AL176" s="790"/>
      <c r="AM176" s="747"/>
      <c r="AN176" s="788"/>
      <c r="AO176" s="789"/>
      <c r="AP176" s="789"/>
      <c r="AQ176" s="790"/>
      <c r="AR176" s="747"/>
      <c r="AS176" s="788"/>
      <c r="AT176" s="789"/>
      <c r="AU176" s="789"/>
      <c r="AV176" s="790"/>
      <c r="AW176" s="747"/>
      <c r="AX176" s="788"/>
      <c r="AY176" s="789"/>
      <c r="AZ176" s="789"/>
      <c r="BA176" s="790"/>
      <c r="BB176" s="747"/>
      <c r="BC176" s="788"/>
      <c r="BD176" s="789"/>
      <c r="BE176" s="789"/>
      <c r="BF176" s="790"/>
      <c r="BG176" s="747"/>
      <c r="BH176" s="788"/>
      <c r="BI176" s="789"/>
      <c r="BJ176" s="789"/>
      <c r="BK176" s="790"/>
      <c r="BL176" s="747"/>
      <c r="BM176" s="788"/>
      <c r="BN176" s="789"/>
      <c r="BO176" s="789"/>
      <c r="BP176" s="790"/>
      <c r="BQ176" s="747"/>
      <c r="BR176" s="747"/>
      <c r="BS176" s="747"/>
      <c r="BT176" s="228"/>
      <c r="BU176" s="348"/>
      <c r="BV176" s="348"/>
      <c r="BW176" s="348"/>
      <c r="BX176" s="348"/>
      <c r="BY176" s="348"/>
      <c r="BZ176" s="348"/>
      <c r="CA176" s="348"/>
      <c r="CB176" s="348"/>
      <c r="CC176" s="348"/>
      <c r="CD176" s="348"/>
      <c r="CE176" s="348"/>
      <c r="CF176" s="348"/>
      <c r="CG176" s="348"/>
      <c r="CH176" s="348"/>
      <c r="CI176" s="348"/>
      <c r="CJ176" s="348"/>
      <c r="DR176"/>
      <c r="DS176"/>
      <c r="DT176"/>
      <c r="DU176"/>
      <c r="DV176"/>
      <c r="DW176"/>
      <c r="DX176" s="825"/>
    </row>
    <row r="177" spans="2:128" s="28" customFormat="1">
      <c r="E177" s="290"/>
      <c r="F177" s="260"/>
      <c r="G177" s="1064"/>
      <c r="H177" s="1065"/>
      <c r="I177" s="932"/>
      <c r="J177" s="290"/>
      <c r="K177" s="260"/>
      <c r="L177" s="1064"/>
      <c r="M177" s="1065"/>
      <c r="N177" s="45"/>
      <c r="O177" s="290"/>
      <c r="P177" s="260"/>
      <c r="Q177" s="1064"/>
      <c r="R177" s="1065"/>
      <c r="S177" s="45"/>
      <c r="T177" s="290"/>
      <c r="U177" s="260"/>
      <c r="V177" s="263"/>
      <c r="W177" s="291"/>
      <c r="X177" s="45"/>
      <c r="Y177" s="290"/>
      <c r="Z177" s="260"/>
      <c r="AA177" s="1441"/>
      <c r="AB177" s="1442"/>
      <c r="AC177" s="1443"/>
      <c r="AD177" s="290"/>
      <c r="AE177" s="260"/>
      <c r="AF177" s="260"/>
      <c r="AG177" s="291"/>
      <c r="AH177" s="45"/>
      <c r="AI177" s="290"/>
      <c r="AJ177" s="260"/>
      <c r="AK177" s="260"/>
      <c r="AL177" s="291"/>
      <c r="AM177" s="45"/>
      <c r="AN177" s="290"/>
      <c r="AO177" s="260"/>
      <c r="AP177" s="260"/>
      <c r="AQ177" s="291"/>
      <c r="AR177" s="45"/>
      <c r="AS177" s="290"/>
      <c r="AT177" s="260"/>
      <c r="AU177" s="260"/>
      <c r="AV177" s="291"/>
      <c r="AW177" s="45"/>
      <c r="AX177" s="290"/>
      <c r="AY177" s="260"/>
      <c r="AZ177" s="260"/>
      <c r="BA177" s="291"/>
      <c r="BB177" s="45"/>
      <c r="BC177" s="290"/>
      <c r="BD177" s="260"/>
      <c r="BE177" s="260"/>
      <c r="BF177" s="291"/>
      <c r="BG177" s="45"/>
      <c r="BH177" s="290"/>
      <c r="BI177" s="260"/>
      <c r="BJ177" s="260"/>
      <c r="BK177" s="291"/>
      <c r="BL177" s="45"/>
      <c r="BM177" s="290"/>
      <c r="BN177" s="260"/>
      <c r="BO177" s="260"/>
      <c r="BP177" s="291"/>
      <c r="BQ177" s="45"/>
      <c r="BR177" s="45"/>
      <c r="BS177" s="45"/>
      <c r="BT177" s="45"/>
      <c r="BU177" s="45"/>
      <c r="BV177" s="45"/>
      <c r="BW177" s="45"/>
      <c r="DR177"/>
      <c r="DS177"/>
      <c r="DT177"/>
      <c r="DU177"/>
      <c r="DV177"/>
      <c r="DW177"/>
      <c r="DX177" s="37"/>
    </row>
    <row r="178" spans="2:128" s="28" customFormat="1">
      <c r="B178" s="73" t="s">
        <v>304</v>
      </c>
      <c r="C178" s="211"/>
      <c r="D178" s="211"/>
      <c r="E178" s="322"/>
      <c r="F178" s="323"/>
      <c r="G178" s="323"/>
      <c r="H178" s="324"/>
      <c r="I178" s="1066"/>
      <c r="J178" s="322"/>
      <c r="K178" s="323"/>
      <c r="L178" s="323"/>
      <c r="M178" s="324"/>
      <c r="N178" s="461"/>
      <c r="O178" s="322"/>
      <c r="P178" s="323"/>
      <c r="Q178" s="323"/>
      <c r="R178" s="324"/>
      <c r="S178" s="461"/>
      <c r="T178" s="296"/>
      <c r="U178" s="263"/>
      <c r="V178" s="260"/>
      <c r="W178" s="297"/>
      <c r="X178" s="45"/>
      <c r="Y178" s="296">
        <f>+Y308+Y295</f>
        <v>0</v>
      </c>
      <c r="Z178" s="263"/>
      <c r="AA178" s="1539"/>
      <c r="AB178" s="1540"/>
      <c r="AC178" s="1443"/>
      <c r="AD178" s="296"/>
      <c r="AE178" s="263"/>
      <c r="AF178" s="263"/>
      <c r="AG178" s="297"/>
      <c r="AH178" s="45"/>
      <c r="AI178" s="296"/>
      <c r="AJ178" s="263"/>
      <c r="AK178" s="263"/>
      <c r="AL178" s="297"/>
      <c r="AM178" s="45"/>
      <c r="AN178" s="296"/>
      <c r="AO178" s="263"/>
      <c r="AP178" s="263"/>
      <c r="AQ178" s="297"/>
      <c r="AR178" s="45"/>
      <c r="AS178" s="296"/>
      <c r="AT178" s="263"/>
      <c r="AU178" s="263"/>
      <c r="AV178" s="297"/>
      <c r="AW178" s="45"/>
      <c r="AX178" s="296"/>
      <c r="AY178" s="263"/>
      <c r="AZ178" s="263"/>
      <c r="BA178" s="297"/>
      <c r="BB178" s="45"/>
      <c r="BC178" s="296"/>
      <c r="BD178" s="263"/>
      <c r="BE178" s="263"/>
      <c r="BF178" s="297"/>
      <c r="BG178" s="45"/>
      <c r="BH178" s="296"/>
      <c r="BI178" s="263"/>
      <c r="BJ178" s="263"/>
      <c r="BK178" s="297"/>
      <c r="BL178" s="45"/>
      <c r="BM178" s="296"/>
      <c r="BN178" s="263"/>
      <c r="BO178" s="263"/>
      <c r="BP178" s="297"/>
      <c r="BQ178" s="45"/>
      <c r="BR178" s="45"/>
      <c r="BS178" s="45"/>
      <c r="BT178" s="45"/>
      <c r="BU178" s="45"/>
      <c r="BV178" s="45"/>
      <c r="BW178" s="45"/>
      <c r="DR178"/>
      <c r="DS178"/>
      <c r="DT178"/>
      <c r="DU178"/>
      <c r="DV178"/>
      <c r="DW178"/>
      <c r="DX178" s="37"/>
    </row>
    <row r="179" spans="2:128" s="28" customFormat="1">
      <c r="C179" s="28" t="s">
        <v>120</v>
      </c>
      <c r="E179" s="335">
        <v>2149</v>
      </c>
      <c r="F179" s="336">
        <v>1838</v>
      </c>
      <c r="G179" s="336">
        <v>2374</v>
      </c>
      <c r="H179" s="588">
        <v>2010</v>
      </c>
      <c r="I179" s="932">
        <f>H179</f>
        <v>2010</v>
      </c>
      <c r="J179" s="335">
        <v>2524</v>
      </c>
      <c r="K179" s="336">
        <v>1168</v>
      </c>
      <c r="L179" s="336">
        <v>2735</v>
      </c>
      <c r="M179" s="588">
        <v>1612</v>
      </c>
      <c r="N179" s="45">
        <f>M179</f>
        <v>1612</v>
      </c>
      <c r="O179" s="335">
        <v>487</v>
      </c>
      <c r="P179" s="336">
        <v>562</v>
      </c>
      <c r="Q179" s="336">
        <v>1071</v>
      </c>
      <c r="R179" s="588">
        <v>1016</v>
      </c>
      <c r="S179" s="45">
        <f>R179</f>
        <v>1016</v>
      </c>
      <c r="T179" s="335">
        <f>721</f>
        <v>721</v>
      </c>
      <c r="U179" s="336">
        <v>1349</v>
      </c>
      <c r="V179" s="336">
        <f>1602+98</f>
        <v>1700</v>
      </c>
      <c r="W179" s="588">
        <f>1411+75</f>
        <v>1486</v>
      </c>
      <c r="X179" s="45">
        <f>W179</f>
        <v>1486</v>
      </c>
      <c r="Y179" s="335">
        <f>679+93</f>
        <v>772</v>
      </c>
      <c r="Z179" s="336">
        <f>956+35</f>
        <v>991</v>
      </c>
      <c r="AA179" s="1435">
        <f>1600+44</f>
        <v>1644</v>
      </c>
      <c r="AB179" s="1457">
        <f>1547+62</f>
        <v>1609</v>
      </c>
      <c r="AC179" s="1443">
        <f>AB179</f>
        <v>1609</v>
      </c>
      <c r="AD179" s="335">
        <f>791+123</f>
        <v>914</v>
      </c>
      <c r="AE179" s="336">
        <v>1362</v>
      </c>
      <c r="AF179" s="336">
        <v>2763</v>
      </c>
      <c r="AG179" s="1457">
        <v>1878</v>
      </c>
      <c r="AH179" s="1443">
        <f>AG179</f>
        <v>1878</v>
      </c>
      <c r="AI179" s="335">
        <v>1825</v>
      </c>
      <c r="AJ179" s="336">
        <v>6014</v>
      </c>
      <c r="AK179" s="336">
        <v>7265</v>
      </c>
      <c r="AL179" s="1457">
        <v>6502</v>
      </c>
      <c r="AM179" s="1443">
        <f>AL179</f>
        <v>6502</v>
      </c>
      <c r="AN179" s="335">
        <v>960</v>
      </c>
      <c r="AO179" s="336">
        <v>1647</v>
      </c>
      <c r="AP179" s="336">
        <v>1897</v>
      </c>
      <c r="AQ179" s="1457">
        <v>635</v>
      </c>
      <c r="AR179" s="1443">
        <f>AQ179</f>
        <v>635</v>
      </c>
      <c r="AS179" s="335">
        <v>609</v>
      </c>
      <c r="AT179" s="1435">
        <v>536</v>
      </c>
      <c r="AU179" s="1435">
        <v>1203</v>
      </c>
      <c r="AV179" s="1457">
        <v>898</v>
      </c>
      <c r="AW179" s="1443">
        <f>AV179</f>
        <v>898</v>
      </c>
      <c r="AX179" s="290">
        <f>+AX175</f>
        <v>0</v>
      </c>
      <c r="AY179" s="260">
        <f t="shared" ref="AY179:BB179" ca="1" si="411">+AY175</f>
        <v>0</v>
      </c>
      <c r="AZ179" s="260">
        <f t="shared" ca="1" si="411"/>
        <v>1039.5227764907393</v>
      </c>
      <c r="BA179" s="291">
        <f t="shared" ca="1" si="411"/>
        <v>486.71576679205714</v>
      </c>
      <c r="BB179" s="45">
        <f t="shared" ca="1" si="411"/>
        <v>486.71576679205714</v>
      </c>
      <c r="BC179" s="290">
        <f t="shared" ref="BC179:BL179" ca="1" si="412">+BC175</f>
        <v>706.84714678081423</v>
      </c>
      <c r="BD179" s="260">
        <f t="shared" ca="1" si="412"/>
        <v>274.13893044859122</v>
      </c>
      <c r="BE179" s="260">
        <f t="shared" ca="1" si="412"/>
        <v>1547.9706317560078</v>
      </c>
      <c r="BF179" s="291">
        <f t="shared" ca="1" si="412"/>
        <v>520.9569347099748</v>
      </c>
      <c r="BG179" s="45">
        <f t="shared" ca="1" si="412"/>
        <v>520.9569347099748</v>
      </c>
      <c r="BH179" s="290">
        <f t="shared" ca="1" si="412"/>
        <v>0</v>
      </c>
      <c r="BI179" s="260">
        <f t="shared" ca="1" si="412"/>
        <v>0</v>
      </c>
      <c r="BJ179" s="260">
        <f t="shared" ca="1" si="412"/>
        <v>475.28999173225247</v>
      </c>
      <c r="BK179" s="291">
        <f t="shared" ca="1" si="412"/>
        <v>0</v>
      </c>
      <c r="BL179" s="45">
        <f t="shared" ca="1" si="412"/>
        <v>0</v>
      </c>
      <c r="BM179" s="290">
        <f t="shared" ref="BM179:BQ179" ca="1" si="413">+BM175</f>
        <v>0</v>
      </c>
      <c r="BN179" s="260">
        <f t="shared" ca="1" si="413"/>
        <v>0</v>
      </c>
      <c r="BO179" s="260">
        <f t="shared" ca="1" si="413"/>
        <v>602.25203068639075</v>
      </c>
      <c r="BP179" s="291">
        <f t="shared" ca="1" si="413"/>
        <v>119.86938476350338</v>
      </c>
      <c r="BQ179" s="45">
        <f t="shared" ca="1" si="413"/>
        <v>119.86938476350338</v>
      </c>
      <c r="BR179" s="45"/>
      <c r="BS179" s="45"/>
      <c r="BT179" s="45"/>
      <c r="BU179" s="45"/>
      <c r="BV179" s="45"/>
      <c r="BW179" s="45"/>
      <c r="CC179" s="20"/>
      <c r="DR179"/>
      <c r="DS179"/>
      <c r="DT179"/>
      <c r="DU179"/>
      <c r="DV179"/>
      <c r="DW179"/>
      <c r="DX179" s="37"/>
    </row>
    <row r="180" spans="2:128" s="28" customFormat="1">
      <c r="C180" s="28" t="s">
        <v>361</v>
      </c>
      <c r="E180" s="335">
        <f>1764+421</f>
        <v>2185</v>
      </c>
      <c r="F180" s="336">
        <f>1536+492</f>
        <v>2028</v>
      </c>
      <c r="G180" s="336">
        <f>1418+442</f>
        <v>1860</v>
      </c>
      <c r="H180" s="588">
        <f>1563+486</f>
        <v>2049</v>
      </c>
      <c r="I180" s="932">
        <f>H180</f>
        <v>2049</v>
      </c>
      <c r="J180" s="335">
        <f>1628+439</f>
        <v>2067</v>
      </c>
      <c r="K180" s="336">
        <f>1886+451</f>
        <v>2337</v>
      </c>
      <c r="L180" s="336">
        <f>1816+464</f>
        <v>2280</v>
      </c>
      <c r="M180" s="588">
        <f>1932+1196</f>
        <v>3128</v>
      </c>
      <c r="N180" s="45">
        <f>M180</f>
        <v>3128</v>
      </c>
      <c r="O180" s="335">
        <f>1800+547</f>
        <v>2347</v>
      </c>
      <c r="P180" s="336">
        <f>1766+697</f>
        <v>2463</v>
      </c>
      <c r="Q180" s="336">
        <f>1685+930</f>
        <v>2615</v>
      </c>
      <c r="R180" s="588">
        <f>1613+1000</f>
        <v>2613</v>
      </c>
      <c r="S180" s="45">
        <f>R180</f>
        <v>2613</v>
      </c>
      <c r="T180" s="335">
        <f>2868+1339+241</f>
        <v>4448</v>
      </c>
      <c r="U180" s="336">
        <f>2886+1252+183</f>
        <v>4321</v>
      </c>
      <c r="V180" s="336">
        <f>2835+1216+225</f>
        <v>4276</v>
      </c>
      <c r="W180" s="588">
        <f>2787+1147+292</f>
        <v>4226</v>
      </c>
      <c r="X180" s="45">
        <f>W180</f>
        <v>4226</v>
      </c>
      <c r="Y180" s="335">
        <f>2835+1110+285</f>
        <v>4230</v>
      </c>
      <c r="Z180" s="336">
        <f>2609+1224+252</f>
        <v>4085</v>
      </c>
      <c r="AA180" s="1435">
        <f>2584+1232+177</f>
        <v>3993</v>
      </c>
      <c r="AB180" s="1457">
        <f>2721+1175+260</f>
        <v>4156</v>
      </c>
      <c r="AC180" s="1443">
        <f>AB180</f>
        <v>4156</v>
      </c>
      <c r="AD180" s="335">
        <f>2997+871+458</f>
        <v>4326</v>
      </c>
      <c r="AE180" s="336">
        <f>2973+1005</f>
        <v>3978</v>
      </c>
      <c r="AF180" s="336">
        <f>2815+898</f>
        <v>3713</v>
      </c>
      <c r="AG180" s="1457">
        <f>3482+1227</f>
        <v>4709</v>
      </c>
      <c r="AH180" s="1443">
        <f>AG180</f>
        <v>4709</v>
      </c>
      <c r="AI180" s="335">
        <f>3702+1077</f>
        <v>4779</v>
      </c>
      <c r="AJ180" s="336">
        <f>3227+1304</f>
        <v>4531</v>
      </c>
      <c r="AK180" s="336">
        <f>3215+1107</f>
        <v>4322</v>
      </c>
      <c r="AL180" s="1457">
        <f>3187+912</f>
        <v>4099</v>
      </c>
      <c r="AM180" s="1443">
        <f>AL180</f>
        <v>4099</v>
      </c>
      <c r="AN180" s="335">
        <f>3594+1138</f>
        <v>4732</v>
      </c>
      <c r="AO180" s="336">
        <f>3671+988</f>
        <v>4659</v>
      </c>
      <c r="AP180" s="336">
        <f>4061+1013</f>
        <v>5074</v>
      </c>
      <c r="AQ180" s="1457">
        <f>4158+1201</f>
        <v>5359</v>
      </c>
      <c r="AR180" s="1443">
        <f>AQ180</f>
        <v>5359</v>
      </c>
      <c r="AS180" s="335">
        <f>3886+1133</f>
        <v>5019</v>
      </c>
      <c r="AT180" s="1435">
        <f>3825+958</f>
        <v>4783</v>
      </c>
      <c r="AU180" s="1435">
        <f>3854+950</f>
        <v>4804</v>
      </c>
      <c r="AV180" s="1457">
        <f>4401+1132</f>
        <v>5533</v>
      </c>
      <c r="AW180" s="1443">
        <f>AV180</f>
        <v>5533</v>
      </c>
      <c r="AX180" s="290">
        <f t="shared" ref="AX180:BA181" si="414">+AW180</f>
        <v>5533</v>
      </c>
      <c r="AY180" s="260">
        <f t="shared" si="414"/>
        <v>5533</v>
      </c>
      <c r="AZ180" s="260">
        <f t="shared" si="414"/>
        <v>5533</v>
      </c>
      <c r="BA180" s="291">
        <f t="shared" si="414"/>
        <v>5533</v>
      </c>
      <c r="BB180" s="45">
        <f>BA180</f>
        <v>5533</v>
      </c>
      <c r="BC180" s="290">
        <f t="shared" ref="BC180:BC181" si="415">+BB180</f>
        <v>5533</v>
      </c>
      <c r="BD180" s="260">
        <f t="shared" ref="BD180:BD181" si="416">+BC180</f>
        <v>5533</v>
      </c>
      <c r="BE180" s="260">
        <f t="shared" ref="BE180:BE181" si="417">+BD180</f>
        <v>5533</v>
      </c>
      <c r="BF180" s="291">
        <f t="shared" ref="BF180:BF181" si="418">+BE180</f>
        <v>5533</v>
      </c>
      <c r="BG180" s="45">
        <f>BF180</f>
        <v>5533</v>
      </c>
      <c r="BH180" s="290">
        <f t="shared" ref="BH180:BH181" si="419">+BG180</f>
        <v>5533</v>
      </c>
      <c r="BI180" s="260">
        <f t="shared" ref="BI180:BI181" si="420">+BH180</f>
        <v>5533</v>
      </c>
      <c r="BJ180" s="260">
        <f t="shared" ref="BJ180:BJ181" si="421">+BI180</f>
        <v>5533</v>
      </c>
      <c r="BK180" s="291">
        <f t="shared" ref="BK180:BK181" si="422">+BJ180</f>
        <v>5533</v>
      </c>
      <c r="BL180" s="45">
        <f>BK180</f>
        <v>5533</v>
      </c>
      <c r="BM180" s="290">
        <f t="shared" ref="BM180:BM181" si="423">+BL180</f>
        <v>5533</v>
      </c>
      <c r="BN180" s="260">
        <f t="shared" ref="BN180:BN181" si="424">+BM180</f>
        <v>5533</v>
      </c>
      <c r="BO180" s="260">
        <f t="shared" ref="BO180:BO181" si="425">+BN180</f>
        <v>5533</v>
      </c>
      <c r="BP180" s="291">
        <f t="shared" ref="BP180:BP181" si="426">+BO180</f>
        <v>5533</v>
      </c>
      <c r="BQ180" s="45">
        <f>BP180</f>
        <v>5533</v>
      </c>
      <c r="BR180" s="45"/>
      <c r="BS180" s="45"/>
      <c r="BT180" s="45"/>
      <c r="BU180" s="45"/>
      <c r="BV180" s="45"/>
      <c r="BW180" s="45"/>
      <c r="CC180" s="20"/>
      <c r="DR180"/>
      <c r="DS180"/>
      <c r="DT180"/>
      <c r="DU180"/>
      <c r="DV180"/>
      <c r="DW180"/>
      <c r="DX180" s="37"/>
    </row>
    <row r="181" spans="2:128" s="28" customFormat="1">
      <c r="C181" s="28" t="s">
        <v>362</v>
      </c>
      <c r="E181" s="335">
        <f>157+542</f>
        <v>699</v>
      </c>
      <c r="F181" s="336">
        <f>188+562</f>
        <v>750</v>
      </c>
      <c r="G181" s="336">
        <f>216+568</f>
        <v>784</v>
      </c>
      <c r="H181" s="588">
        <f>198+559</f>
        <v>757</v>
      </c>
      <c r="I181" s="932">
        <f>H181</f>
        <v>757</v>
      </c>
      <c r="J181" s="335">
        <f>130+562</f>
        <v>692</v>
      </c>
      <c r="K181" s="336">
        <f>174+585</f>
        <v>759</v>
      </c>
      <c r="L181" s="336">
        <f>222+587</f>
        <v>809</v>
      </c>
      <c r="M181" s="588">
        <f>216+590</f>
        <v>806</v>
      </c>
      <c r="N181" s="45">
        <f>M181</f>
        <v>806</v>
      </c>
      <c r="O181" s="335">
        <f>122+606</f>
        <v>728</v>
      </c>
      <c r="P181" s="336">
        <f>161+625</f>
        <v>786</v>
      </c>
      <c r="Q181" s="336">
        <f>203+648</f>
        <v>851</v>
      </c>
      <c r="R181" s="588">
        <f>208+656</f>
        <v>864</v>
      </c>
      <c r="S181" s="45">
        <f>R181</f>
        <v>864</v>
      </c>
      <c r="T181" s="335">
        <f>202+740</f>
        <v>942</v>
      </c>
      <c r="U181" s="336">
        <f>227+772</f>
        <v>999</v>
      </c>
      <c r="V181" s="336">
        <f>264+767</f>
        <v>1031</v>
      </c>
      <c r="W181" s="588">
        <f>246+768</f>
        <v>1014</v>
      </c>
      <c r="X181" s="45">
        <f>W181</f>
        <v>1014</v>
      </c>
      <c r="Y181" s="335">
        <f>122+791</f>
        <v>913</v>
      </c>
      <c r="Z181" s="336">
        <f>214+805</f>
        <v>1019</v>
      </c>
      <c r="AA181" s="1435">
        <f>288+821</f>
        <v>1109</v>
      </c>
      <c r="AB181" s="1457">
        <f>276+829</f>
        <v>1105</v>
      </c>
      <c r="AC181" s="1443">
        <f>AB181</f>
        <v>1105</v>
      </c>
      <c r="AD181" s="335">
        <f>180+843</f>
        <v>1023</v>
      </c>
      <c r="AE181" s="336">
        <f>1041+409</f>
        <v>1450</v>
      </c>
      <c r="AF181" s="336">
        <f>546+1045</f>
        <v>1591</v>
      </c>
      <c r="AG181" s="1457">
        <f>579+1024</f>
        <v>1603</v>
      </c>
      <c r="AH181" s="1443">
        <f>AG181</f>
        <v>1603</v>
      </c>
      <c r="AI181" s="335">
        <f>266+1035</f>
        <v>1301</v>
      </c>
      <c r="AJ181" s="336">
        <f>364+1068</f>
        <v>1432</v>
      </c>
      <c r="AK181" s="336">
        <f>442+1074</f>
        <v>1516</v>
      </c>
      <c r="AL181" s="1457">
        <f>462+1104</f>
        <v>1566</v>
      </c>
      <c r="AM181" s="1443">
        <f>AL181</f>
        <v>1566</v>
      </c>
      <c r="AN181" s="335">
        <f>285+1229</f>
        <v>1514</v>
      </c>
      <c r="AO181" s="336">
        <f>317+1183</f>
        <v>1500</v>
      </c>
      <c r="AP181" s="336">
        <f>374+1188</f>
        <v>1562</v>
      </c>
      <c r="AQ181" s="1457">
        <f>364+1274</f>
        <v>1638</v>
      </c>
      <c r="AR181" s="1443">
        <f>AQ181</f>
        <v>1638</v>
      </c>
      <c r="AS181" s="335">
        <f>249+1312</f>
        <v>1561</v>
      </c>
      <c r="AT181" s="1435">
        <f>334+1267</f>
        <v>1601</v>
      </c>
      <c r="AU181" s="1435">
        <f>387+1281</f>
        <v>1668</v>
      </c>
      <c r="AV181" s="1457">
        <f>340+1311</f>
        <v>1651</v>
      </c>
      <c r="AW181" s="1443">
        <f>AV181</f>
        <v>1651</v>
      </c>
      <c r="AX181" s="290">
        <f t="shared" si="414"/>
        <v>1651</v>
      </c>
      <c r="AY181" s="260">
        <f t="shared" si="414"/>
        <v>1651</v>
      </c>
      <c r="AZ181" s="260">
        <f t="shared" si="414"/>
        <v>1651</v>
      </c>
      <c r="BA181" s="291">
        <f t="shared" si="414"/>
        <v>1651</v>
      </c>
      <c r="BB181" s="45">
        <f>BA181</f>
        <v>1651</v>
      </c>
      <c r="BC181" s="290">
        <f t="shared" si="415"/>
        <v>1651</v>
      </c>
      <c r="BD181" s="260">
        <f t="shared" si="416"/>
        <v>1651</v>
      </c>
      <c r="BE181" s="260">
        <f t="shared" si="417"/>
        <v>1651</v>
      </c>
      <c r="BF181" s="291">
        <f t="shared" si="418"/>
        <v>1651</v>
      </c>
      <c r="BG181" s="45">
        <f>BF181</f>
        <v>1651</v>
      </c>
      <c r="BH181" s="290">
        <f t="shared" si="419"/>
        <v>1651</v>
      </c>
      <c r="BI181" s="260">
        <f t="shared" si="420"/>
        <v>1651</v>
      </c>
      <c r="BJ181" s="260">
        <f t="shared" si="421"/>
        <v>1651</v>
      </c>
      <c r="BK181" s="291">
        <f t="shared" si="422"/>
        <v>1651</v>
      </c>
      <c r="BL181" s="45">
        <f>BK181</f>
        <v>1651</v>
      </c>
      <c r="BM181" s="290">
        <f t="shared" si="423"/>
        <v>1651</v>
      </c>
      <c r="BN181" s="260">
        <f t="shared" si="424"/>
        <v>1651</v>
      </c>
      <c r="BO181" s="260">
        <f t="shared" si="425"/>
        <v>1651</v>
      </c>
      <c r="BP181" s="291">
        <f t="shared" si="426"/>
        <v>1651</v>
      </c>
      <c r="BQ181" s="45">
        <f>BP181</f>
        <v>1651</v>
      </c>
      <c r="BR181" s="45"/>
      <c r="BS181" s="45"/>
      <c r="BT181" s="45"/>
      <c r="BU181" s="45"/>
      <c r="BV181" s="45"/>
      <c r="BW181" s="45"/>
      <c r="CC181" s="20"/>
      <c r="DR181"/>
      <c r="DS181"/>
      <c r="DT181"/>
      <c r="DU181"/>
      <c r="DV181"/>
      <c r="DW181"/>
      <c r="DX181" s="37"/>
    </row>
    <row r="182" spans="2:128" s="28" customFormat="1">
      <c r="C182" s="28" t="s">
        <v>1292</v>
      </c>
      <c r="E182" s="335">
        <v>17</v>
      </c>
      <c r="F182" s="336">
        <v>21</v>
      </c>
      <c r="G182" s="336">
        <v>27</v>
      </c>
      <c r="H182" s="588">
        <v>56</v>
      </c>
      <c r="I182" s="932">
        <f>H182</f>
        <v>56</v>
      </c>
      <c r="J182" s="335">
        <f>48+1</f>
        <v>49</v>
      </c>
      <c r="K182" s="336">
        <f>14+2</f>
        <v>16</v>
      </c>
      <c r="L182" s="336">
        <v>3</v>
      </c>
      <c r="M182" s="588">
        <f>6+4</f>
        <v>10</v>
      </c>
      <c r="N182" s="45">
        <f>M182</f>
        <v>10</v>
      </c>
      <c r="O182" s="335">
        <v>87</v>
      </c>
      <c r="P182" s="336">
        <v>125</v>
      </c>
      <c r="Q182" s="336">
        <v>31</v>
      </c>
      <c r="R182" s="588">
        <v>69</v>
      </c>
      <c r="S182" s="45">
        <f>R182</f>
        <v>69</v>
      </c>
      <c r="T182" s="335">
        <v>846</v>
      </c>
      <c r="U182" s="336">
        <v>867</v>
      </c>
      <c r="V182" s="336">
        <v>786</v>
      </c>
      <c r="W182" s="588">
        <v>759</v>
      </c>
      <c r="X182" s="45">
        <f>W182</f>
        <v>759</v>
      </c>
      <c r="Y182" s="335">
        <v>765</v>
      </c>
      <c r="Z182" s="336">
        <v>804</v>
      </c>
      <c r="AA182" s="1435">
        <v>877</v>
      </c>
      <c r="AB182" s="1457">
        <v>760</v>
      </c>
      <c r="AC182" s="1443">
        <f>AB182</f>
        <v>760</v>
      </c>
      <c r="AD182" s="335">
        <v>768</v>
      </c>
      <c r="AE182" s="336">
        <v>732</v>
      </c>
      <c r="AF182" s="336">
        <v>774</v>
      </c>
      <c r="AG182" s="1457">
        <v>847</v>
      </c>
      <c r="AH182" s="1443">
        <f>AG182</f>
        <v>847</v>
      </c>
      <c r="AI182" s="335">
        <v>804</v>
      </c>
      <c r="AJ182" s="336">
        <v>785</v>
      </c>
      <c r="AK182" s="336">
        <v>779</v>
      </c>
      <c r="AL182" s="1457">
        <v>759</v>
      </c>
      <c r="AM182" s="1443">
        <f>AL182</f>
        <v>759</v>
      </c>
      <c r="AN182" s="335">
        <v>1584</v>
      </c>
      <c r="AO182" s="336">
        <v>1559</v>
      </c>
      <c r="AP182" s="336">
        <v>1410</v>
      </c>
      <c r="AQ182" s="1457">
        <v>1342</v>
      </c>
      <c r="AR182" s="1443">
        <f>AQ182</f>
        <v>1342</v>
      </c>
      <c r="AS182" s="335">
        <v>1330</v>
      </c>
      <c r="AT182" s="1435">
        <v>1293</v>
      </c>
      <c r="AU182" s="1435">
        <v>1264</v>
      </c>
      <c r="AV182" s="1457">
        <v>1267</v>
      </c>
      <c r="AW182" s="1443">
        <f>AV182</f>
        <v>1267</v>
      </c>
      <c r="AX182" s="290">
        <f>AW182</f>
        <v>1267</v>
      </c>
      <c r="AY182" s="260">
        <f>AX182</f>
        <v>1267</v>
      </c>
      <c r="AZ182" s="260">
        <f>AY182</f>
        <v>1267</v>
      </c>
      <c r="BA182" s="291">
        <f>AZ182</f>
        <v>1267</v>
      </c>
      <c r="BB182" s="45">
        <f>BA182</f>
        <v>1267</v>
      </c>
      <c r="BC182" s="290">
        <f>BB182</f>
        <v>1267</v>
      </c>
      <c r="BD182" s="260">
        <f>BC182</f>
        <v>1267</v>
      </c>
      <c r="BE182" s="260">
        <f>BD182</f>
        <v>1267</v>
      </c>
      <c r="BF182" s="291">
        <f>BE182</f>
        <v>1267</v>
      </c>
      <c r="BG182" s="45">
        <f>BF182</f>
        <v>1267</v>
      </c>
      <c r="BH182" s="290">
        <f>BG182</f>
        <v>1267</v>
      </c>
      <c r="BI182" s="260">
        <f>BH182</f>
        <v>1267</v>
      </c>
      <c r="BJ182" s="260">
        <f>BI182</f>
        <v>1267</v>
      </c>
      <c r="BK182" s="291">
        <f>BJ182</f>
        <v>1267</v>
      </c>
      <c r="BL182" s="45">
        <f>BK182</f>
        <v>1267</v>
      </c>
      <c r="BM182" s="290">
        <f>BL182</f>
        <v>1267</v>
      </c>
      <c r="BN182" s="260">
        <f>BM182</f>
        <v>1267</v>
      </c>
      <c r="BO182" s="260">
        <f>BN182</f>
        <v>1267</v>
      </c>
      <c r="BP182" s="291">
        <f>BO182</f>
        <v>1267</v>
      </c>
      <c r="BQ182" s="45">
        <f>BP182</f>
        <v>1267</v>
      </c>
      <c r="BR182" s="45"/>
      <c r="BS182" s="45"/>
      <c r="BT182" s="45"/>
      <c r="BU182" s="45"/>
      <c r="BV182" s="45"/>
      <c r="BW182" s="45"/>
      <c r="CC182" s="20"/>
      <c r="DR182"/>
      <c r="DS182"/>
      <c r="DT182"/>
      <c r="DU182"/>
      <c r="DV182"/>
      <c r="DW182"/>
      <c r="DX182" s="37"/>
    </row>
    <row r="183" spans="2:128" s="28" customFormat="1">
      <c r="C183" s="28" t="s">
        <v>413</v>
      </c>
      <c r="E183" s="335">
        <f>52+618+640-E182</f>
        <v>1293</v>
      </c>
      <c r="F183" s="336">
        <f>46+627+536-F182</f>
        <v>1188</v>
      </c>
      <c r="G183" s="336">
        <f>43+467+367-G182</f>
        <v>850</v>
      </c>
      <c r="H183" s="588">
        <f>40+376+209-H182</f>
        <v>569</v>
      </c>
      <c r="I183" s="932">
        <f>H183</f>
        <v>569</v>
      </c>
      <c r="J183" s="335">
        <f>42+197+463+399-J182</f>
        <v>1052</v>
      </c>
      <c r="K183" s="336">
        <f>33+426+418+459-K182</f>
        <v>1320</v>
      </c>
      <c r="L183" s="336">
        <f>26+522+388-L182</f>
        <v>933</v>
      </c>
      <c r="M183" s="588">
        <f>30+487+335-M182</f>
        <v>842</v>
      </c>
      <c r="N183" s="45">
        <f>M183</f>
        <v>842</v>
      </c>
      <c r="O183" s="335">
        <f>22+462+90+436</f>
        <v>1010</v>
      </c>
      <c r="P183" s="336">
        <f>35+438+69+509</f>
        <v>1051</v>
      </c>
      <c r="Q183" s="336">
        <f>565+478+183+493</f>
        <v>1719</v>
      </c>
      <c r="R183" s="588">
        <f>40+432+97+358</f>
        <v>927</v>
      </c>
      <c r="S183" s="45">
        <f>R183</f>
        <v>927</v>
      </c>
      <c r="T183" s="335">
        <f>43+67+1491+1699+1558</f>
        <v>4858</v>
      </c>
      <c r="U183" s="336">
        <f>63+1435+83+34+1170+1433</f>
        <v>4218</v>
      </c>
      <c r="V183" s="336">
        <f>254+1072+928+1141+73+67</f>
        <v>3535</v>
      </c>
      <c r="W183" s="588">
        <f>86+47+938+886+131+560</f>
        <v>2648</v>
      </c>
      <c r="X183" s="45">
        <f>W183</f>
        <v>2648</v>
      </c>
      <c r="Y183" s="335">
        <f>83+65+727+331+722+666</f>
        <v>2594</v>
      </c>
      <c r="Z183" s="336">
        <f>61+53+845+573+690+288</f>
        <v>2510</v>
      </c>
      <c r="AA183" s="1435">
        <f>60+87+730+460+292+699</f>
        <v>2328</v>
      </c>
      <c r="AB183" s="1457">
        <f>87+80+727+374+573+666</f>
        <v>2507</v>
      </c>
      <c r="AC183" s="1443">
        <f>AB183</f>
        <v>2507</v>
      </c>
      <c r="AD183" s="335">
        <f>111+96+756+326+454+901</f>
        <v>2644</v>
      </c>
      <c r="AE183" s="336">
        <f>207+629+264+426+775</f>
        <v>2301</v>
      </c>
      <c r="AF183" s="336">
        <f>744+225+38+649+1022+318</f>
        <v>2996</v>
      </c>
      <c r="AG183" s="1457">
        <f>1279+254+244+147+865+271</f>
        <v>3060</v>
      </c>
      <c r="AH183" s="1443">
        <f>AG183</f>
        <v>3060</v>
      </c>
      <c r="AI183" s="335">
        <f>297+1117+209+231+1+793</f>
        <v>2648</v>
      </c>
      <c r="AJ183" s="336">
        <f>274+1405+156+173+1+654</f>
        <v>2663</v>
      </c>
      <c r="AK183" s="336">
        <f>341+1116+135+211+4+1178</f>
        <v>2985</v>
      </c>
      <c r="AL183" s="1457">
        <f>205+1365+86+4+748</f>
        <v>2408</v>
      </c>
      <c r="AM183" s="1443">
        <f>AL183</f>
        <v>2408</v>
      </c>
      <c r="AN183" s="335">
        <f>1086+85+1185+218</f>
        <v>2574</v>
      </c>
      <c r="AO183" s="336">
        <f>201+759+1101+69</f>
        <v>2130</v>
      </c>
      <c r="AP183" s="336">
        <f>321+754+126+1064</f>
        <v>2265</v>
      </c>
      <c r="AQ183" s="1457">
        <f>253+1250+917+88+930</f>
        <v>3438</v>
      </c>
      <c r="AR183" s="1443">
        <f>AQ183</f>
        <v>3438</v>
      </c>
      <c r="AS183" s="335">
        <f>254+1250+847+103+1221</f>
        <v>3675</v>
      </c>
      <c r="AT183" s="1435">
        <f>252+1250+833+84+1600</f>
        <v>4019</v>
      </c>
      <c r="AU183" s="1435">
        <f>320+1250+699+81+1435</f>
        <v>3785</v>
      </c>
      <c r="AV183" s="1457">
        <f>207+1242+60+976</f>
        <v>2485</v>
      </c>
      <c r="AW183" s="1443">
        <f>AV183</f>
        <v>2485</v>
      </c>
      <c r="AX183" s="290">
        <f>+AW183</f>
        <v>2485</v>
      </c>
      <c r="AY183" s="260">
        <f>+AX183</f>
        <v>2485</v>
      </c>
      <c r="AZ183" s="260">
        <f>+AY183</f>
        <v>2485</v>
      </c>
      <c r="BA183" s="291">
        <f>+AZ183</f>
        <v>2485</v>
      </c>
      <c r="BB183" s="45">
        <f>BA183</f>
        <v>2485</v>
      </c>
      <c r="BC183" s="290">
        <f>+BB183</f>
        <v>2485</v>
      </c>
      <c r="BD183" s="260">
        <f>+BC183</f>
        <v>2485</v>
      </c>
      <c r="BE183" s="260">
        <f>+BD183</f>
        <v>2485</v>
      </c>
      <c r="BF183" s="291">
        <f>+BE183</f>
        <v>2485</v>
      </c>
      <c r="BG183" s="45">
        <f>BF183</f>
        <v>2485</v>
      </c>
      <c r="BH183" s="290">
        <f>+BG183</f>
        <v>2485</v>
      </c>
      <c r="BI183" s="260">
        <f>+BH183</f>
        <v>2485</v>
      </c>
      <c r="BJ183" s="260">
        <f>+BI183</f>
        <v>2485</v>
      </c>
      <c r="BK183" s="291">
        <f>+BJ183</f>
        <v>2485</v>
      </c>
      <c r="BL183" s="45">
        <f>BK183</f>
        <v>2485</v>
      </c>
      <c r="BM183" s="290">
        <f>+BL183</f>
        <v>2485</v>
      </c>
      <c r="BN183" s="260">
        <f>+BM183</f>
        <v>2485</v>
      </c>
      <c r="BO183" s="260">
        <f>+BN183</f>
        <v>2485</v>
      </c>
      <c r="BP183" s="291">
        <f>+BO183</f>
        <v>2485</v>
      </c>
      <c r="BQ183" s="45">
        <f>BP183</f>
        <v>2485</v>
      </c>
      <c r="BR183" s="45"/>
      <c r="BS183" s="45"/>
      <c r="BT183" s="45"/>
      <c r="BU183" s="45"/>
      <c r="BV183" s="45"/>
      <c r="BW183" s="45"/>
      <c r="CC183" s="20"/>
      <c r="DR183"/>
      <c r="DS183"/>
      <c r="DT183"/>
      <c r="DU183"/>
      <c r="DV183"/>
      <c r="DW183"/>
      <c r="DX183" s="37"/>
    </row>
    <row r="184" spans="2:128" s="28" customFormat="1">
      <c r="C184" s="32" t="s">
        <v>363</v>
      </c>
      <c r="E184" s="292">
        <f t="shared" ref="E184:AE184" si="427">SUM(E179:E183)</f>
        <v>6343</v>
      </c>
      <c r="F184" s="261">
        <f t="shared" si="427"/>
        <v>5825</v>
      </c>
      <c r="G184" s="261">
        <f t="shared" si="427"/>
        <v>5895</v>
      </c>
      <c r="H184" s="293">
        <f t="shared" si="427"/>
        <v>5441</v>
      </c>
      <c r="I184" s="933">
        <f t="shared" si="427"/>
        <v>5441</v>
      </c>
      <c r="J184" s="292">
        <f t="shared" si="427"/>
        <v>6384</v>
      </c>
      <c r="K184" s="261">
        <f t="shared" si="427"/>
        <v>5600</v>
      </c>
      <c r="L184" s="261">
        <f t="shared" si="427"/>
        <v>6760</v>
      </c>
      <c r="M184" s="293">
        <f t="shared" si="427"/>
        <v>6398</v>
      </c>
      <c r="N184" s="228">
        <f t="shared" si="427"/>
        <v>6398</v>
      </c>
      <c r="O184" s="292">
        <f t="shared" si="427"/>
        <v>4659</v>
      </c>
      <c r="P184" s="261">
        <f t="shared" si="427"/>
        <v>4987</v>
      </c>
      <c r="Q184" s="261">
        <f t="shared" si="427"/>
        <v>6287</v>
      </c>
      <c r="R184" s="293">
        <f t="shared" si="427"/>
        <v>5489</v>
      </c>
      <c r="S184" s="228">
        <f t="shared" si="427"/>
        <v>5489</v>
      </c>
      <c r="T184" s="292">
        <f t="shared" si="427"/>
        <v>11815</v>
      </c>
      <c r="U184" s="261">
        <f t="shared" si="427"/>
        <v>11754</v>
      </c>
      <c r="V184" s="261">
        <f t="shared" si="427"/>
        <v>11328</v>
      </c>
      <c r="W184" s="293">
        <f t="shared" si="427"/>
        <v>10133</v>
      </c>
      <c r="X184" s="228">
        <f t="shared" si="427"/>
        <v>10133</v>
      </c>
      <c r="Y184" s="292">
        <f t="shared" si="427"/>
        <v>9274</v>
      </c>
      <c r="Z184" s="261">
        <f t="shared" si="427"/>
        <v>9409</v>
      </c>
      <c r="AA184" s="1438">
        <f t="shared" si="427"/>
        <v>9951</v>
      </c>
      <c r="AB184" s="1439">
        <f t="shared" si="427"/>
        <v>10137</v>
      </c>
      <c r="AC184" s="1440">
        <f t="shared" si="427"/>
        <v>10137</v>
      </c>
      <c r="AD184" s="292">
        <f t="shared" si="427"/>
        <v>9675</v>
      </c>
      <c r="AE184" s="261">
        <f t="shared" si="427"/>
        <v>9823</v>
      </c>
      <c r="AF184" s="261">
        <f t="shared" ref="AF184:AH184" si="428">SUM(AF179:AF183)</f>
        <v>11837</v>
      </c>
      <c r="AG184" s="1439">
        <f t="shared" si="428"/>
        <v>12097</v>
      </c>
      <c r="AH184" s="1440">
        <f t="shared" si="428"/>
        <v>12097</v>
      </c>
      <c r="AI184" s="292">
        <f t="shared" ref="AI184:AJ184" si="429">SUM(AI179:AI183)</f>
        <v>11357</v>
      </c>
      <c r="AJ184" s="261">
        <f t="shared" si="429"/>
        <v>15425</v>
      </c>
      <c r="AK184" s="261">
        <f t="shared" ref="AK184:AN184" si="430">SUM(AK179:AK183)</f>
        <v>16867</v>
      </c>
      <c r="AL184" s="1439">
        <f t="shared" si="430"/>
        <v>15334</v>
      </c>
      <c r="AM184" s="1440">
        <f t="shared" si="430"/>
        <v>15334</v>
      </c>
      <c r="AN184" s="292">
        <f t="shared" si="430"/>
        <v>11364</v>
      </c>
      <c r="AO184" s="261">
        <f t="shared" ref="AO184" si="431">SUM(AO179:AO183)</f>
        <v>11495</v>
      </c>
      <c r="AP184" s="261">
        <f t="shared" ref="AP184:BB184" si="432">SUM(AP179:AP183)</f>
        <v>12208</v>
      </c>
      <c r="AQ184" s="1439">
        <f t="shared" si="432"/>
        <v>12412</v>
      </c>
      <c r="AR184" s="1440">
        <f t="shared" si="432"/>
        <v>12412</v>
      </c>
      <c r="AS184" s="292">
        <f t="shared" ref="AS184:AT184" si="433">SUM(AS179:AS183)</f>
        <v>12194</v>
      </c>
      <c r="AT184" s="1438">
        <f t="shared" si="433"/>
        <v>12232</v>
      </c>
      <c r="AU184" s="1438">
        <f t="shared" si="432"/>
        <v>12724</v>
      </c>
      <c r="AV184" s="1439">
        <f t="shared" ref="AV184:AW184" si="434">SUM(AV179:AV183)</f>
        <v>11834</v>
      </c>
      <c r="AW184" s="1440">
        <f t="shared" si="434"/>
        <v>11834</v>
      </c>
      <c r="AX184" s="292">
        <f t="shared" si="432"/>
        <v>10936</v>
      </c>
      <c r="AY184" s="261">
        <f t="shared" ca="1" si="432"/>
        <v>10936</v>
      </c>
      <c r="AZ184" s="261">
        <f t="shared" ca="1" si="432"/>
        <v>11975.522776490739</v>
      </c>
      <c r="BA184" s="293">
        <f t="shared" ca="1" si="432"/>
        <v>11422.715766792058</v>
      </c>
      <c r="BB184" s="228">
        <f t="shared" ca="1" si="432"/>
        <v>11422.715766792058</v>
      </c>
      <c r="BC184" s="292">
        <f t="shared" ref="BC184:BL184" ca="1" si="435">SUM(BC179:BC183)</f>
        <v>11642.847146780814</v>
      </c>
      <c r="BD184" s="261">
        <f t="shared" ca="1" si="435"/>
        <v>11210.138930448591</v>
      </c>
      <c r="BE184" s="261">
        <f t="shared" ca="1" si="435"/>
        <v>12483.970631756009</v>
      </c>
      <c r="BF184" s="293">
        <f t="shared" ca="1" si="435"/>
        <v>11456.956934709975</v>
      </c>
      <c r="BG184" s="228">
        <f t="shared" ca="1" si="435"/>
        <v>11456.956934709975</v>
      </c>
      <c r="BH184" s="292">
        <f t="shared" ca="1" si="435"/>
        <v>10936</v>
      </c>
      <c r="BI184" s="261">
        <f t="shared" ca="1" si="435"/>
        <v>10936</v>
      </c>
      <c r="BJ184" s="261">
        <f t="shared" ca="1" si="435"/>
        <v>11411.289991732252</v>
      </c>
      <c r="BK184" s="293">
        <f t="shared" ca="1" si="435"/>
        <v>10936</v>
      </c>
      <c r="BL184" s="228">
        <f t="shared" ca="1" si="435"/>
        <v>10936</v>
      </c>
      <c r="BM184" s="292">
        <f t="shared" ref="BM184:BQ184" ca="1" si="436">SUM(BM179:BM183)</f>
        <v>10936</v>
      </c>
      <c r="BN184" s="261">
        <f t="shared" ca="1" si="436"/>
        <v>10936</v>
      </c>
      <c r="BO184" s="261">
        <f t="shared" ca="1" si="436"/>
        <v>11538.252030686392</v>
      </c>
      <c r="BP184" s="293">
        <f t="shared" ca="1" si="436"/>
        <v>11055.869384763504</v>
      </c>
      <c r="BQ184" s="228">
        <f t="shared" ca="1" si="436"/>
        <v>11055.869384763504</v>
      </c>
      <c r="BR184" s="45"/>
      <c r="BS184" s="45"/>
      <c r="BT184" s="45"/>
      <c r="BU184" s="45"/>
      <c r="BV184" s="45"/>
      <c r="BW184" s="45"/>
      <c r="CC184" s="20"/>
      <c r="DR184"/>
      <c r="DS184"/>
      <c r="DT184"/>
      <c r="DU184"/>
      <c r="DV184"/>
      <c r="DW184"/>
      <c r="DX184" s="37"/>
    </row>
    <row r="185" spans="2:128" s="28" customFormat="1">
      <c r="E185" s="290"/>
      <c r="F185" s="260"/>
      <c r="G185" s="260"/>
      <c r="H185" s="291"/>
      <c r="I185" s="932"/>
      <c r="J185" s="290"/>
      <c r="K185" s="260"/>
      <c r="L185" s="260"/>
      <c r="M185" s="291"/>
      <c r="N185" s="45"/>
      <c r="O185" s="290"/>
      <c r="P185" s="260"/>
      <c r="Q185" s="260"/>
      <c r="R185" s="291"/>
      <c r="S185" s="45"/>
      <c r="T185" s="290"/>
      <c r="U185" s="260"/>
      <c r="V185" s="260"/>
      <c r="W185" s="291"/>
      <c r="X185" s="45"/>
      <c r="Y185" s="290"/>
      <c r="Z185" s="260"/>
      <c r="AA185" s="1441"/>
      <c r="AB185" s="1442"/>
      <c r="AC185" s="1443"/>
      <c r="AD185" s="290"/>
      <c r="AE185" s="260"/>
      <c r="AF185" s="260"/>
      <c r="AG185" s="1442"/>
      <c r="AH185" s="1443"/>
      <c r="AI185" s="290"/>
      <c r="AJ185" s="260"/>
      <c r="AK185" s="260"/>
      <c r="AL185" s="1442"/>
      <c r="AM185" s="1443"/>
      <c r="AN185" s="290"/>
      <c r="AO185" s="260"/>
      <c r="AP185" s="260"/>
      <c r="AQ185" s="1442"/>
      <c r="AR185" s="1443"/>
      <c r="AS185" s="290"/>
      <c r="AT185" s="1441"/>
      <c r="AU185" s="260"/>
      <c r="AV185" s="1442"/>
      <c r="AW185" s="1443"/>
      <c r="AX185" s="290"/>
      <c r="AY185" s="260"/>
      <c r="AZ185" s="260"/>
      <c r="BA185" s="291"/>
      <c r="BB185" s="45"/>
      <c r="BC185" s="290"/>
      <c r="BD185" s="260"/>
      <c r="BE185" s="260"/>
      <c r="BF185" s="291"/>
      <c r="BG185" s="45"/>
      <c r="BH185" s="290"/>
      <c r="BI185" s="260"/>
      <c r="BJ185" s="260"/>
      <c r="BK185" s="291"/>
      <c r="BL185" s="45"/>
      <c r="BM185" s="290"/>
      <c r="BN185" s="260"/>
      <c r="BO185" s="260"/>
      <c r="BP185" s="291"/>
      <c r="BQ185" s="45"/>
      <c r="BR185" s="45"/>
      <c r="BS185" s="45"/>
      <c r="BT185" s="45"/>
      <c r="BU185" s="45"/>
      <c r="BV185" s="45"/>
      <c r="BW185" s="45"/>
      <c r="CC185" s="20"/>
      <c r="DR185"/>
      <c r="DS185"/>
      <c r="DT185"/>
      <c r="DU185"/>
      <c r="DV185"/>
      <c r="DW185"/>
      <c r="DX185" s="37"/>
    </row>
    <row r="186" spans="2:128" s="28" customFormat="1">
      <c r="C186" s="28" t="s">
        <v>547</v>
      </c>
      <c r="E186" s="335">
        <f>25928+E187</f>
        <v>34326</v>
      </c>
      <c r="F186" s="336">
        <f>26305+F187</f>
        <v>34884</v>
      </c>
      <c r="G186" s="336">
        <f>26653+G187</f>
        <v>35489</v>
      </c>
      <c r="H186" s="588">
        <f>36364</f>
        <v>36364</v>
      </c>
      <c r="I186" s="932">
        <f>H186</f>
        <v>36364</v>
      </c>
      <c r="J186" s="335">
        <f>27737+J187</f>
        <v>36856</v>
      </c>
      <c r="K186" s="336">
        <f>28030+K187</f>
        <v>37371</v>
      </c>
      <c r="L186" s="336">
        <f>28554+L187</f>
        <v>38355</v>
      </c>
      <c r="M186" s="588">
        <f>40005</f>
        <v>40005</v>
      </c>
      <c r="N186" s="45">
        <f>M186</f>
        <v>40005</v>
      </c>
      <c r="O186" s="335">
        <f>30549+O187</f>
        <v>40960</v>
      </c>
      <c r="P186" s="336">
        <f>30856+P187</f>
        <v>41346</v>
      </c>
      <c r="Q186" s="336">
        <f>31882+Q187</f>
        <v>42801</v>
      </c>
      <c r="R186" s="588">
        <f>43529</f>
        <v>43529</v>
      </c>
      <c r="S186" s="45">
        <f>R186</f>
        <v>43529</v>
      </c>
      <c r="T186" s="335">
        <f>42105+T187</f>
        <v>53349</v>
      </c>
      <c r="U186" s="336">
        <f>42613+U187</f>
        <v>53980</v>
      </c>
      <c r="V186" s="336">
        <f>43914+V187</f>
        <v>55804</v>
      </c>
      <c r="W186" s="588">
        <f>45186+W187</f>
        <v>57370</v>
      </c>
      <c r="X186" s="45">
        <f>W186</f>
        <v>57370</v>
      </c>
      <c r="Y186" s="335">
        <f>45784+Y187</f>
        <v>58363</v>
      </c>
      <c r="Z186" s="336">
        <f>45994+Z187</f>
        <v>58899</v>
      </c>
      <c r="AA186" s="1435">
        <f>46495+AA187</f>
        <v>59861</v>
      </c>
      <c r="AB186" s="1457">
        <f>47330+AB187</f>
        <v>61043</v>
      </c>
      <c r="AC186" s="1443">
        <f>AB186</f>
        <v>61043</v>
      </c>
      <c r="AD186" s="335">
        <f>47742+AD187</f>
        <v>61808</v>
      </c>
      <c r="AE186" s="336">
        <f>51747+AE187</f>
        <v>66116</v>
      </c>
      <c r="AF186" s="336">
        <f>51630+AF187</f>
        <v>66562</v>
      </c>
      <c r="AG186" s="1457">
        <f>52087+AG187</f>
        <v>66829</v>
      </c>
      <c r="AH186" s="1443">
        <f>AG186</f>
        <v>66829</v>
      </c>
      <c r="AI186" s="335">
        <f>53001+AI187</f>
        <v>68208</v>
      </c>
      <c r="AJ186" s="336">
        <f>53935+AJ187</f>
        <v>69488</v>
      </c>
      <c r="AK186" s="336">
        <f>55814+AK187</f>
        <v>71999</v>
      </c>
      <c r="AL186" s="1457">
        <f>57439+AL187</f>
        <v>73814</v>
      </c>
      <c r="AM186" s="1443">
        <f>AL186</f>
        <v>73814</v>
      </c>
      <c r="AN186" s="335">
        <f>69406+AN187</f>
        <v>86182</v>
      </c>
      <c r="AO186" s="336">
        <f>70693+AO187</f>
        <v>88033</v>
      </c>
      <c r="AP186" s="336">
        <f>71214+AP187</f>
        <v>89568</v>
      </c>
      <c r="AQ186" s="1457">
        <f>71555+AQ187</f>
        <v>90724</v>
      </c>
      <c r="AR186" s="1443">
        <f>AQ186</f>
        <v>90724</v>
      </c>
      <c r="AS186" s="335">
        <f>72630+AS187</f>
        <v>92346</v>
      </c>
      <c r="AT186" s="1435">
        <f>72748+AT187</f>
        <v>92483</v>
      </c>
      <c r="AU186" s="1435">
        <f>73067+AU187</f>
        <v>93658</v>
      </c>
      <c r="AV186" s="1457">
        <f>74202+AV187</f>
        <v>95266</v>
      </c>
      <c r="AW186" s="1443">
        <f>AV186</f>
        <v>95266</v>
      </c>
      <c r="AX186" s="290">
        <f>+AW186-AX158-AX153-AX151</f>
        <v>96961.695253950398</v>
      </c>
      <c r="AY186" s="260">
        <f>+AX186-AY158-AY153-AY151</f>
        <v>98657.390507900796</v>
      </c>
      <c r="AZ186" s="260">
        <f>+AY186-AZ158-AZ153-AZ151</f>
        <v>100353.08576185119</v>
      </c>
      <c r="BA186" s="291">
        <f>+AZ186-BA158-BA153-BA151</f>
        <v>102048.78101580159</v>
      </c>
      <c r="BB186" s="45">
        <f>BA186</f>
        <v>102048.78101580159</v>
      </c>
      <c r="BC186" s="290">
        <f>+BB186-BC158-BC153-BC151</f>
        <v>103570.15586734503</v>
      </c>
      <c r="BD186" s="260">
        <f>+BC186-BD158-BD153-BD151</f>
        <v>105091.53071888848</v>
      </c>
      <c r="BE186" s="260">
        <f>+BD186-BE158-BE153-BE151</f>
        <v>106612.90557043192</v>
      </c>
      <c r="BF186" s="291">
        <f>+BE186-BF158-BF153-BF151</f>
        <v>108134.28042197536</v>
      </c>
      <c r="BG186" s="45">
        <f>BF186</f>
        <v>108134.28042197536</v>
      </c>
      <c r="BH186" s="290">
        <f>+BG186-BH158-BH153-BH151</f>
        <v>109689.23387582458</v>
      </c>
      <c r="BI186" s="260">
        <f>+BH186-BI158-BI153-BI151</f>
        <v>111244.18732967379</v>
      </c>
      <c r="BJ186" s="260">
        <f>+BI186-BJ158-BJ153-BJ151</f>
        <v>112799.14078352301</v>
      </c>
      <c r="BK186" s="291">
        <f>+BJ186-BK158-BK153-BK151</f>
        <v>114354.09423737222</v>
      </c>
      <c r="BL186" s="45">
        <f>BK186</f>
        <v>114354.09423737222</v>
      </c>
      <c r="BM186" s="290">
        <f>+BL186-BM158-BM153-BM151</f>
        <v>115882.95163981436</v>
      </c>
      <c r="BN186" s="260">
        <f>+BM186-BN158-BN153-BN151</f>
        <v>117411.8090422565</v>
      </c>
      <c r="BO186" s="260">
        <f>+BN186-BO158-BO153-BO151</f>
        <v>118940.66644469864</v>
      </c>
      <c r="BP186" s="291">
        <f>+BO186-BP158-BP153-BP151</f>
        <v>120469.52384714078</v>
      </c>
      <c r="BQ186" s="45">
        <f>BP186</f>
        <v>120469.52384714078</v>
      </c>
      <c r="BR186" s="45"/>
      <c r="BS186" s="45"/>
      <c r="BT186" s="45"/>
      <c r="BU186" s="45"/>
      <c r="BV186" s="45"/>
      <c r="BW186" s="45"/>
      <c r="CC186" s="20"/>
      <c r="CH186" s="20"/>
      <c r="DR186"/>
      <c r="DS186"/>
      <c r="DT186"/>
      <c r="DU186"/>
      <c r="DV186"/>
      <c r="DW186"/>
      <c r="DX186" s="37"/>
    </row>
    <row r="187" spans="2:128" s="28" customFormat="1">
      <c r="C187" s="28" t="s">
        <v>396</v>
      </c>
      <c r="E187" s="335">
        <v>8398</v>
      </c>
      <c r="F187" s="336">
        <v>8579</v>
      </c>
      <c r="G187" s="336">
        <v>8836</v>
      </c>
      <c r="H187" s="588">
        <v>9023</v>
      </c>
      <c r="I187" s="932">
        <f>H187</f>
        <v>9023</v>
      </c>
      <c r="J187" s="335">
        <v>9119</v>
      </c>
      <c r="K187" s="336">
        <v>9341</v>
      </c>
      <c r="L187" s="336">
        <v>9801</v>
      </c>
      <c r="M187" s="588">
        <v>10064</v>
      </c>
      <c r="N187" s="45">
        <f>M187</f>
        <v>10064</v>
      </c>
      <c r="O187" s="335">
        <v>10411</v>
      </c>
      <c r="P187" s="336">
        <v>10490</v>
      </c>
      <c r="Q187" s="336">
        <v>10919</v>
      </c>
      <c r="R187" s="588">
        <v>10959</v>
      </c>
      <c r="S187" s="45">
        <f>R187</f>
        <v>10959</v>
      </c>
      <c r="T187" s="335">
        <v>11244</v>
      </c>
      <c r="U187" s="336">
        <v>11367</v>
      </c>
      <c r="V187" s="336">
        <v>11890</v>
      </c>
      <c r="W187" s="588">
        <v>12184</v>
      </c>
      <c r="X187" s="45">
        <f>W187</f>
        <v>12184</v>
      </c>
      <c r="Y187" s="335">
        <v>12579</v>
      </c>
      <c r="Z187" s="336">
        <v>12905</v>
      </c>
      <c r="AA187" s="1435">
        <v>13366</v>
      </c>
      <c r="AB187" s="1457">
        <v>13713</v>
      </c>
      <c r="AC187" s="1443">
        <f>AB187</f>
        <v>13713</v>
      </c>
      <c r="AD187" s="335">
        <v>14066</v>
      </c>
      <c r="AE187" s="336">
        <v>14369</v>
      </c>
      <c r="AF187" s="336">
        <v>14932</v>
      </c>
      <c r="AG187" s="1457">
        <v>14742</v>
      </c>
      <c r="AH187" s="1443">
        <f>AG187</f>
        <v>14742</v>
      </c>
      <c r="AI187" s="335">
        <v>15207</v>
      </c>
      <c r="AJ187" s="336">
        <v>15553</v>
      </c>
      <c r="AK187" s="336">
        <v>16185</v>
      </c>
      <c r="AL187" s="1457">
        <v>16375</v>
      </c>
      <c r="AM187" s="1443">
        <f>AL187</f>
        <v>16375</v>
      </c>
      <c r="AN187" s="335">
        <v>16776</v>
      </c>
      <c r="AO187" s="336">
        <v>17340</v>
      </c>
      <c r="AP187" s="336">
        <v>18354</v>
      </c>
      <c r="AQ187" s="1457">
        <v>19169</v>
      </c>
      <c r="AR187" s="1443">
        <f>AQ187</f>
        <v>19169</v>
      </c>
      <c r="AS187" s="335">
        <v>19716</v>
      </c>
      <c r="AT187" s="1435">
        <v>19735</v>
      </c>
      <c r="AU187" s="1435">
        <v>20591</v>
      </c>
      <c r="AV187" s="1457">
        <v>21064</v>
      </c>
      <c r="AW187" s="1443">
        <f>AV187</f>
        <v>21064</v>
      </c>
      <c r="AX187" s="290">
        <f>+AW187+AX150</f>
        <v>21926.572588872419</v>
      </c>
      <c r="AY187" s="260">
        <f>+AX187+AY150</f>
        <v>22783.757138770132</v>
      </c>
      <c r="AZ187" s="260">
        <f>+AY187+AZ150</f>
        <v>23645.026611732486</v>
      </c>
      <c r="BA187" s="291">
        <f>+AZ187+BA150</f>
        <v>24534.267307830865</v>
      </c>
      <c r="BB187" s="45">
        <f>BA187</f>
        <v>24534.267307830865</v>
      </c>
      <c r="BC187" s="290">
        <f>+BB187+BC150</f>
        <v>25438.855977221421</v>
      </c>
      <c r="BD187" s="260">
        <f>+BC187+BD150</f>
        <v>26339.984824827643</v>
      </c>
      <c r="BE187" s="260">
        <f>+BD187+BE150</f>
        <v>27242.539263026487</v>
      </c>
      <c r="BF187" s="291">
        <f>+BE187+BF150</f>
        <v>28170.438973423887</v>
      </c>
      <c r="BG187" s="45">
        <f>BF187</f>
        <v>28170.438973423887</v>
      </c>
      <c r="BH187" s="290">
        <f>+BG187+BH150</f>
        <v>29108.104531563142</v>
      </c>
      <c r="BI187" s="260">
        <f>+BH187+BI150</f>
        <v>30038.37525094454</v>
      </c>
      <c r="BJ187" s="260">
        <f>+BI187+BJ150</f>
        <v>30970.31595591272</v>
      </c>
      <c r="BK187" s="291">
        <f>+BJ187+BK150</f>
        <v>31927.841220662292</v>
      </c>
      <c r="BL187" s="45">
        <f>BK187</f>
        <v>31927.841220662292</v>
      </c>
      <c r="BM187" s="290">
        <f>+BL187+BM150</f>
        <v>32889.866601417052</v>
      </c>
      <c r="BN187" s="260">
        <f>+BM187+BN150</f>
        <v>33845.268197781836</v>
      </c>
      <c r="BO187" s="260">
        <f>+BN187+BO150</f>
        <v>34801.895719710235</v>
      </c>
      <c r="BP187" s="291">
        <f>+BO187+BP150</f>
        <v>35783.66726509959</v>
      </c>
      <c r="BQ187" s="45">
        <f>BP187</f>
        <v>35783.66726509959</v>
      </c>
      <c r="BR187" s="45"/>
      <c r="BS187" s="45"/>
      <c r="BT187" s="45"/>
      <c r="BU187" s="45"/>
      <c r="BV187" s="45"/>
      <c r="BW187" s="45"/>
      <c r="CB187" s="20"/>
      <c r="CC187" s="20"/>
      <c r="DR187"/>
      <c r="DS187"/>
      <c r="DT187"/>
      <c r="DU187"/>
      <c r="DV187"/>
      <c r="DW187"/>
      <c r="DX187" s="37"/>
    </row>
    <row r="188" spans="2:128" s="28" customFormat="1">
      <c r="C188" s="32" t="s">
        <v>402</v>
      </c>
      <c r="E188" s="292">
        <f t="shared" ref="E188:AE188" si="437">SUM(E186:E186)-E187</f>
        <v>25928</v>
      </c>
      <c r="F188" s="261">
        <f t="shared" si="437"/>
        <v>26305</v>
      </c>
      <c r="G188" s="261">
        <f t="shared" si="437"/>
        <v>26653</v>
      </c>
      <c r="H188" s="293">
        <f t="shared" si="437"/>
        <v>27341</v>
      </c>
      <c r="I188" s="933">
        <f t="shared" si="437"/>
        <v>27341</v>
      </c>
      <c r="J188" s="292">
        <f t="shared" si="437"/>
        <v>27737</v>
      </c>
      <c r="K188" s="261">
        <f t="shared" si="437"/>
        <v>28030</v>
      </c>
      <c r="L188" s="261">
        <f t="shared" si="437"/>
        <v>28554</v>
      </c>
      <c r="M188" s="293">
        <f t="shared" si="437"/>
        <v>29941</v>
      </c>
      <c r="N188" s="228">
        <f t="shared" si="437"/>
        <v>29941</v>
      </c>
      <c r="O188" s="292">
        <f t="shared" si="437"/>
        <v>30549</v>
      </c>
      <c r="P188" s="261">
        <f t="shared" si="437"/>
        <v>30856</v>
      </c>
      <c r="Q188" s="261">
        <f t="shared" si="437"/>
        <v>31882</v>
      </c>
      <c r="R188" s="293">
        <f t="shared" si="437"/>
        <v>32570</v>
      </c>
      <c r="S188" s="228">
        <f t="shared" si="437"/>
        <v>32570</v>
      </c>
      <c r="T188" s="292">
        <f t="shared" si="437"/>
        <v>42105</v>
      </c>
      <c r="U188" s="261">
        <f t="shared" si="437"/>
        <v>42613</v>
      </c>
      <c r="V188" s="261">
        <f t="shared" si="437"/>
        <v>43914</v>
      </c>
      <c r="W188" s="293">
        <f t="shared" si="437"/>
        <v>45186</v>
      </c>
      <c r="X188" s="228">
        <f t="shared" si="437"/>
        <v>45186</v>
      </c>
      <c r="Y188" s="292">
        <f t="shared" si="437"/>
        <v>45784</v>
      </c>
      <c r="Z188" s="261">
        <f t="shared" si="437"/>
        <v>45994</v>
      </c>
      <c r="AA188" s="1438">
        <f t="shared" si="437"/>
        <v>46495</v>
      </c>
      <c r="AB188" s="1439">
        <f>SUM(AB186:AB186)-AB187</f>
        <v>47330</v>
      </c>
      <c r="AC188" s="1440">
        <f>SUM(AC186:AC186)-AC187</f>
        <v>47330</v>
      </c>
      <c r="AD188" s="292">
        <f>SUM(AD186:AD186)-AD187</f>
        <v>47742</v>
      </c>
      <c r="AE188" s="261">
        <f t="shared" si="437"/>
        <v>51747</v>
      </c>
      <c r="AF188" s="261">
        <f>SUM(AF186:AF186)-AF187</f>
        <v>51630</v>
      </c>
      <c r="AG188" s="1439">
        <f>SUM(AG186:AG186)-AG187</f>
        <v>52087</v>
      </c>
      <c r="AH188" s="1440">
        <f>SUM(AH186:AH186)-AH187</f>
        <v>52087</v>
      </c>
      <c r="AI188" s="292">
        <f>SUM(AI186:AI186)-AI187</f>
        <v>53001</v>
      </c>
      <c r="AJ188" s="261">
        <f t="shared" ref="AJ188" si="438">SUM(AJ186:AJ186)-AJ187</f>
        <v>53935</v>
      </c>
      <c r="AK188" s="261">
        <f t="shared" ref="AK188:AM188" si="439">SUM(AK186:AK186)-AK187</f>
        <v>55814</v>
      </c>
      <c r="AL188" s="1439">
        <f t="shared" si="439"/>
        <v>57439</v>
      </c>
      <c r="AM188" s="1440">
        <f t="shared" si="439"/>
        <v>57439</v>
      </c>
      <c r="AN188" s="292">
        <f>SUM(AN186:AN186)-AN187</f>
        <v>69406</v>
      </c>
      <c r="AO188" s="261">
        <f t="shared" ref="AO188" si="440">SUM(AO186:AO186)-AO187</f>
        <v>70693</v>
      </c>
      <c r="AP188" s="261">
        <f t="shared" ref="AP188:AR188" si="441">SUM(AP186:AP186)-AP187</f>
        <v>71214</v>
      </c>
      <c r="AQ188" s="1439">
        <f t="shared" si="441"/>
        <v>71555</v>
      </c>
      <c r="AR188" s="1440">
        <f t="shared" si="441"/>
        <v>71555</v>
      </c>
      <c r="AS188" s="292">
        <f t="shared" ref="AS188" si="442">SUM(AS186:AS186)-AS187</f>
        <v>72630</v>
      </c>
      <c r="AT188" s="1438">
        <f t="shared" ref="AT188" si="443">SUM(AT186:AT186)-AT187</f>
        <v>72748</v>
      </c>
      <c r="AU188" s="1438">
        <f t="shared" ref="AU188:BB188" si="444">SUM(AU186:AU186)-AU187</f>
        <v>73067</v>
      </c>
      <c r="AV188" s="1439">
        <f t="shared" ref="AV188:AW188" si="445">SUM(AV186:AV186)-AV187</f>
        <v>74202</v>
      </c>
      <c r="AW188" s="1440">
        <f t="shared" si="445"/>
        <v>74202</v>
      </c>
      <c r="AX188" s="292">
        <f t="shared" si="444"/>
        <v>75035.122665077972</v>
      </c>
      <c r="AY188" s="261">
        <f t="shared" si="444"/>
        <v>75873.633369130665</v>
      </c>
      <c r="AZ188" s="261">
        <f t="shared" si="444"/>
        <v>76708.059150118701</v>
      </c>
      <c r="BA188" s="293">
        <f t="shared" si="444"/>
        <v>77514.513707970735</v>
      </c>
      <c r="BB188" s="228">
        <f t="shared" si="444"/>
        <v>77514.513707970735</v>
      </c>
      <c r="BC188" s="292">
        <f t="shared" ref="BC188:BL188" si="446">SUM(BC186:BC186)-BC187</f>
        <v>78131.299890123613</v>
      </c>
      <c r="BD188" s="261">
        <f t="shared" si="446"/>
        <v>78751.545894060837</v>
      </c>
      <c r="BE188" s="261">
        <f t="shared" si="446"/>
        <v>79370.366307405435</v>
      </c>
      <c r="BF188" s="293">
        <f t="shared" si="446"/>
        <v>79963.84144855148</v>
      </c>
      <c r="BG188" s="228">
        <f t="shared" si="446"/>
        <v>79963.84144855148</v>
      </c>
      <c r="BH188" s="292">
        <f t="shared" si="446"/>
        <v>80581.129344261426</v>
      </c>
      <c r="BI188" s="261">
        <f t="shared" si="446"/>
        <v>81205.812078729243</v>
      </c>
      <c r="BJ188" s="261">
        <f t="shared" si="446"/>
        <v>81828.824827610282</v>
      </c>
      <c r="BK188" s="293">
        <f t="shared" si="446"/>
        <v>82426.253016709932</v>
      </c>
      <c r="BL188" s="228">
        <f t="shared" si="446"/>
        <v>82426.253016709932</v>
      </c>
      <c r="BM188" s="292">
        <f t="shared" ref="BM188:BQ188" si="447">SUM(BM186:BM186)-BM187</f>
        <v>82993.085038397316</v>
      </c>
      <c r="BN188" s="261">
        <f t="shared" si="447"/>
        <v>83566.540844474657</v>
      </c>
      <c r="BO188" s="261">
        <f t="shared" si="447"/>
        <v>84138.770724988397</v>
      </c>
      <c r="BP188" s="293">
        <f t="shared" si="447"/>
        <v>84685.85658204119</v>
      </c>
      <c r="BQ188" s="228">
        <f t="shared" si="447"/>
        <v>84685.85658204119</v>
      </c>
      <c r="BR188" s="45"/>
      <c r="BS188" s="45"/>
      <c r="BT188" s="45"/>
      <c r="BU188" s="45"/>
      <c r="BV188" s="45"/>
      <c r="BW188" s="45"/>
      <c r="CC188" s="20"/>
      <c r="DR188"/>
      <c r="DS188"/>
      <c r="DT188"/>
      <c r="DU188"/>
      <c r="DV188"/>
      <c r="DW188"/>
      <c r="DX188" s="37"/>
    </row>
    <row r="189" spans="2:128" s="28" customFormat="1">
      <c r="E189" s="290"/>
      <c r="F189" s="260"/>
      <c r="G189" s="260"/>
      <c r="H189" s="291"/>
      <c r="I189" s="932"/>
      <c r="J189" s="290"/>
      <c r="K189" s="260"/>
      <c r="L189" s="260"/>
      <c r="M189" s="291"/>
      <c r="N189" s="45"/>
      <c r="O189" s="290"/>
      <c r="P189" s="260"/>
      <c r="Q189" s="260"/>
      <c r="R189" s="291"/>
      <c r="S189" s="45"/>
      <c r="T189" s="290"/>
      <c r="U189" s="260"/>
      <c r="V189" s="260"/>
      <c r="W189" s="291"/>
      <c r="X189" s="45"/>
      <c r="Y189" s="290"/>
      <c r="Z189" s="260"/>
      <c r="AA189" s="1441"/>
      <c r="AB189" s="1442"/>
      <c r="AC189" s="1443"/>
      <c r="AD189" s="290"/>
      <c r="AE189" s="260"/>
      <c r="AF189" s="260"/>
      <c r="AG189" s="1442"/>
      <c r="AH189" s="1443"/>
      <c r="AI189" s="290"/>
      <c r="AJ189" s="260"/>
      <c r="AK189" s="260"/>
      <c r="AL189" s="1442"/>
      <c r="AM189" s="1443"/>
      <c r="AN189" s="290"/>
      <c r="AO189" s="260"/>
      <c r="AP189" s="260"/>
      <c r="AQ189" s="1442"/>
      <c r="AR189" s="1443"/>
      <c r="AS189" s="290"/>
      <c r="AT189" s="1441"/>
      <c r="AU189" s="260"/>
      <c r="AV189" s="1442"/>
      <c r="AW189" s="1443"/>
      <c r="AX189" s="290"/>
      <c r="AY189" s="260"/>
      <c r="AZ189" s="260"/>
      <c r="BA189" s="291"/>
      <c r="BB189" s="45"/>
      <c r="BC189" s="290"/>
      <c r="BD189" s="260"/>
      <c r="BE189" s="260"/>
      <c r="BF189" s="291"/>
      <c r="BG189" s="45"/>
      <c r="BH189" s="290"/>
      <c r="BI189" s="260"/>
      <c r="BJ189" s="260"/>
      <c r="BK189" s="291"/>
      <c r="BL189" s="45"/>
      <c r="BM189" s="290"/>
      <c r="BN189" s="260"/>
      <c r="BO189" s="260"/>
      <c r="BP189" s="291"/>
      <c r="BQ189" s="45"/>
      <c r="BR189" s="45"/>
      <c r="BS189" s="45"/>
      <c r="BT189" s="45"/>
      <c r="BU189" s="45"/>
      <c r="BV189" s="45"/>
      <c r="BW189" s="45"/>
      <c r="CC189" s="20"/>
      <c r="DR189"/>
      <c r="DS189"/>
      <c r="DT189"/>
      <c r="DU189"/>
      <c r="DV189"/>
      <c r="DW189"/>
      <c r="DX189" s="37"/>
    </row>
    <row r="190" spans="2:128" s="28" customFormat="1">
      <c r="C190" s="28" t="s">
        <v>364</v>
      </c>
      <c r="E190" s="335">
        <f>5300+675+38</f>
        <v>6013</v>
      </c>
      <c r="F190" s="336">
        <f>5850+691+32</f>
        <v>6573</v>
      </c>
      <c r="G190" s="336">
        <f>6502+707+25</f>
        <v>7234</v>
      </c>
      <c r="H190" s="588">
        <f>6669+704+20</f>
        <v>7393</v>
      </c>
      <c r="I190" s="932">
        <f>H190</f>
        <v>7393</v>
      </c>
      <c r="J190" s="335">
        <f>6885+709+15</f>
        <v>7609</v>
      </c>
      <c r="K190" s="336">
        <f>6498+708+15</f>
        <v>7221</v>
      </c>
      <c r="L190" s="336">
        <f>6147+713+15</f>
        <v>6875</v>
      </c>
      <c r="M190" s="588">
        <f>6408+717+15</f>
        <v>7140</v>
      </c>
      <c r="N190" s="45">
        <f>M190</f>
        <v>7140</v>
      </c>
      <c r="O190" s="335">
        <f>6625+725+15</f>
        <v>7365</v>
      </c>
      <c r="P190" s="336">
        <f>6699+736+15</f>
        <v>7450</v>
      </c>
      <c r="Q190" s="336">
        <f>6226+740+14</f>
        <v>6980</v>
      </c>
      <c r="R190" s="588">
        <f>6507+751+15</f>
        <v>7273</v>
      </c>
      <c r="S190" s="45">
        <f>R190</f>
        <v>7273</v>
      </c>
      <c r="T190" s="335">
        <f>6927+827+362+2046</f>
        <v>10162</v>
      </c>
      <c r="U190" s="336">
        <f>6841+836+420+1878</f>
        <v>9975</v>
      </c>
      <c r="V190" s="336">
        <f>7140+838+371+1908</f>
        <v>10257</v>
      </c>
      <c r="W190" s="588">
        <f>7248+1184+22+1849</f>
        <v>10303</v>
      </c>
      <c r="X190" s="45">
        <f>W190</f>
        <v>10303</v>
      </c>
      <c r="Y190" s="335">
        <f>7559+1181+22+1883</f>
        <v>10645</v>
      </c>
      <c r="Z190" s="336">
        <f>7463+1171+22+1876</f>
        <v>10532</v>
      </c>
      <c r="AA190" s="1435">
        <f>7776+1154+23+1939</f>
        <v>10892</v>
      </c>
      <c r="AB190" s="1457">
        <f>8071+1165+22+1925</f>
        <v>11183</v>
      </c>
      <c r="AC190" s="1443">
        <f>AB190</f>
        <v>11183</v>
      </c>
      <c r="AD190" s="335">
        <f>8215+825+22+1910</f>
        <v>10972</v>
      </c>
      <c r="AE190" s="336">
        <f>10437+839+22</f>
        <v>11298</v>
      </c>
      <c r="AF190" s="336">
        <f>10349+562+26</f>
        <v>10937</v>
      </c>
      <c r="AG190" s="1457">
        <f>10537+544</f>
        <v>11081</v>
      </c>
      <c r="AH190" s="1443">
        <f>AG190</f>
        <v>11081</v>
      </c>
      <c r="AI190" s="335">
        <f>10712+568</f>
        <v>11280</v>
      </c>
      <c r="AJ190" s="336">
        <f>10607+607</f>
        <v>11214</v>
      </c>
      <c r="AK190" s="336">
        <f>10103+620</f>
        <v>10723</v>
      </c>
      <c r="AL190" s="1457">
        <f>10342+639</f>
        <v>10981</v>
      </c>
      <c r="AM190" s="1443">
        <f>AL190</f>
        <v>10981</v>
      </c>
      <c r="AN190" s="335">
        <f>10526+455</f>
        <v>10981</v>
      </c>
      <c r="AO190" s="336">
        <f>10737+502</f>
        <v>11239</v>
      </c>
      <c r="AP190" s="336">
        <f>11076+592</f>
        <v>11668</v>
      </c>
      <c r="AQ190" s="1457">
        <f>11061+629</f>
        <v>11690</v>
      </c>
      <c r="AR190" s="1443">
        <f>AQ190</f>
        <v>11690</v>
      </c>
      <c r="AS190" s="335">
        <f>12362+648</f>
        <v>13010</v>
      </c>
      <c r="AT190" s="1435">
        <f>12641+638</f>
        <v>13279</v>
      </c>
      <c r="AU190" s="1435">
        <f>12966+634</f>
        <v>13600</v>
      </c>
      <c r="AV190" s="1457">
        <f>13272+640</f>
        <v>13912</v>
      </c>
      <c r="AW190" s="1443">
        <f>AV190</f>
        <v>13912</v>
      </c>
      <c r="AX190" s="290">
        <f>+AW190-AX159-AX160</f>
        <v>13912</v>
      </c>
      <c r="AY190" s="260">
        <f>+AX190-AY159-AY160</f>
        <v>13912</v>
      </c>
      <c r="AZ190" s="260">
        <f>+AY190-AZ159-AZ160</f>
        <v>13912</v>
      </c>
      <c r="BA190" s="291">
        <f>+AZ190-BA159-BA160</f>
        <v>13912</v>
      </c>
      <c r="BB190" s="45">
        <f>BA190</f>
        <v>13912</v>
      </c>
      <c r="BC190" s="290">
        <f>+BB190-BC159-BC160</f>
        <v>13912</v>
      </c>
      <c r="BD190" s="260">
        <f>+BC190-BD159-BD160</f>
        <v>13912</v>
      </c>
      <c r="BE190" s="260">
        <f>+BD190-BE159-BE160</f>
        <v>13912</v>
      </c>
      <c r="BF190" s="291">
        <f>+BE190-BF159-BF160</f>
        <v>13912</v>
      </c>
      <c r="BG190" s="45">
        <f>BF190</f>
        <v>13912</v>
      </c>
      <c r="BH190" s="290">
        <f>+BG190-BH159-BH160</f>
        <v>13912</v>
      </c>
      <c r="BI190" s="260">
        <f>+BH190-BI159-BI160</f>
        <v>13912</v>
      </c>
      <c r="BJ190" s="260">
        <f>+BI190-BJ159-BJ160</f>
        <v>13912</v>
      </c>
      <c r="BK190" s="291">
        <f>+BJ190-BK159-BK160</f>
        <v>13912</v>
      </c>
      <c r="BL190" s="45">
        <f>BK190</f>
        <v>13912</v>
      </c>
      <c r="BM190" s="290">
        <f>+BL190-BM159-BM160</f>
        <v>13912</v>
      </c>
      <c r="BN190" s="260">
        <f>+BM190-BN159-BN160</f>
        <v>13912</v>
      </c>
      <c r="BO190" s="260">
        <f>+BN190-BO159-BO160</f>
        <v>13912</v>
      </c>
      <c r="BP190" s="291">
        <f>+BO190-BP159-BP160</f>
        <v>13912</v>
      </c>
      <c r="BQ190" s="45">
        <f>BP190</f>
        <v>13912</v>
      </c>
      <c r="BR190" s="45"/>
      <c r="BS190" s="45"/>
      <c r="BT190" s="45"/>
      <c r="BU190" s="45"/>
      <c r="BV190" s="45"/>
      <c r="BW190" s="45"/>
      <c r="CC190" s="20"/>
      <c r="DR190"/>
      <c r="DS190"/>
      <c r="DT190"/>
      <c r="DU190"/>
      <c r="DV190"/>
      <c r="DW190"/>
      <c r="DX190" s="37"/>
    </row>
    <row r="191" spans="2:128" s="28" customFormat="1">
      <c r="C191" s="28" t="s">
        <v>368</v>
      </c>
      <c r="E191" s="335">
        <v>2625</v>
      </c>
      <c r="F191" s="336">
        <v>2625</v>
      </c>
      <c r="G191" s="336">
        <v>2625</v>
      </c>
      <c r="H191" s="588">
        <v>2625</v>
      </c>
      <c r="I191" s="932">
        <f>H191</f>
        <v>2625</v>
      </c>
      <c r="J191" s="335">
        <v>2625</v>
      </c>
      <c r="K191" s="336">
        <v>2625</v>
      </c>
      <c r="L191" s="336">
        <v>2625</v>
      </c>
      <c r="M191" s="588">
        <v>2625</v>
      </c>
      <c r="N191" s="45">
        <f>M191</f>
        <v>2625</v>
      </c>
      <c r="O191" s="335">
        <v>2625</v>
      </c>
      <c r="P191" s="336">
        <v>2625</v>
      </c>
      <c r="Q191" s="336">
        <v>2625</v>
      </c>
      <c r="R191" s="588">
        <v>2625</v>
      </c>
      <c r="S191" s="45">
        <f>R191</f>
        <v>2625</v>
      </c>
      <c r="T191" s="335">
        <v>2625</v>
      </c>
      <c r="U191" s="336">
        <v>2625</v>
      </c>
      <c r="V191" s="336">
        <v>2625</v>
      </c>
      <c r="W191" s="588">
        <v>2625</v>
      </c>
      <c r="X191" s="45">
        <f>W191</f>
        <v>2625</v>
      </c>
      <c r="Y191" s="335">
        <v>2625</v>
      </c>
      <c r="Z191" s="336">
        <v>2625</v>
      </c>
      <c r="AA191" s="1435">
        <v>2625</v>
      </c>
      <c r="AB191" s="1457">
        <v>2625</v>
      </c>
      <c r="AC191" s="1443">
        <f>AB191</f>
        <v>2625</v>
      </c>
      <c r="AD191" s="335">
        <v>2625</v>
      </c>
      <c r="AE191" s="336">
        <v>2674</v>
      </c>
      <c r="AF191" s="336">
        <v>2672</v>
      </c>
      <c r="AG191" s="1457">
        <v>2672</v>
      </c>
      <c r="AH191" s="1443">
        <f>AG191</f>
        <v>2672</v>
      </c>
      <c r="AI191" s="335">
        <v>2672</v>
      </c>
      <c r="AJ191" s="336">
        <v>2672</v>
      </c>
      <c r="AK191" s="336">
        <v>2672</v>
      </c>
      <c r="AL191" s="1457">
        <v>2672</v>
      </c>
      <c r="AM191" s="1443">
        <f>AL191</f>
        <v>2672</v>
      </c>
      <c r="AN191" s="335">
        <v>6688</v>
      </c>
      <c r="AO191" s="336">
        <v>6696</v>
      </c>
      <c r="AP191" s="336">
        <v>6672</v>
      </c>
      <c r="AQ191" s="1457">
        <v>6677</v>
      </c>
      <c r="AR191" s="1443">
        <f>AQ191</f>
        <v>6677</v>
      </c>
      <c r="AS191" s="335">
        <v>6677</v>
      </c>
      <c r="AT191" s="1435">
        <v>6677</v>
      </c>
      <c r="AU191" s="1435">
        <v>6677</v>
      </c>
      <c r="AV191" s="1457">
        <v>6677</v>
      </c>
      <c r="AW191" s="1443">
        <f>AV191</f>
        <v>6677</v>
      </c>
      <c r="AX191" s="290">
        <f t="shared" ref="AX191:BA192" si="448">+AW191</f>
        <v>6677</v>
      </c>
      <c r="AY191" s="260">
        <f t="shared" si="448"/>
        <v>6677</v>
      </c>
      <c r="AZ191" s="260">
        <f t="shared" si="448"/>
        <v>6677</v>
      </c>
      <c r="BA191" s="291">
        <f t="shared" si="448"/>
        <v>6677</v>
      </c>
      <c r="BB191" s="45">
        <f>BA191</f>
        <v>6677</v>
      </c>
      <c r="BC191" s="290">
        <f t="shared" ref="BC191:BC192" si="449">+BB191</f>
        <v>6677</v>
      </c>
      <c r="BD191" s="260">
        <f t="shared" ref="BD191:BD192" si="450">+BC191</f>
        <v>6677</v>
      </c>
      <c r="BE191" s="260">
        <f t="shared" ref="BE191:BE192" si="451">+BD191</f>
        <v>6677</v>
      </c>
      <c r="BF191" s="291">
        <f t="shared" ref="BF191:BF192" si="452">+BE191</f>
        <v>6677</v>
      </c>
      <c r="BG191" s="45">
        <f>BF191</f>
        <v>6677</v>
      </c>
      <c r="BH191" s="290">
        <f t="shared" ref="BH191:BH192" si="453">+BG191</f>
        <v>6677</v>
      </c>
      <c r="BI191" s="260">
        <f t="shared" ref="BI191:BI192" si="454">+BH191</f>
        <v>6677</v>
      </c>
      <c r="BJ191" s="260">
        <f t="shared" ref="BJ191:BJ192" si="455">+BI191</f>
        <v>6677</v>
      </c>
      <c r="BK191" s="291">
        <f t="shared" ref="BK191:BK192" si="456">+BJ191</f>
        <v>6677</v>
      </c>
      <c r="BL191" s="45">
        <f>BK191</f>
        <v>6677</v>
      </c>
      <c r="BM191" s="290">
        <f t="shared" ref="BM191:BM192" si="457">+BL191</f>
        <v>6677</v>
      </c>
      <c r="BN191" s="260">
        <f t="shared" ref="BN191:BN192" si="458">+BM191</f>
        <v>6677</v>
      </c>
      <c r="BO191" s="260">
        <f t="shared" ref="BO191:BO192" si="459">+BN191</f>
        <v>6677</v>
      </c>
      <c r="BP191" s="291">
        <f t="shared" ref="BP191:BP192" si="460">+BO191</f>
        <v>6677</v>
      </c>
      <c r="BQ191" s="45">
        <f>BP191</f>
        <v>6677</v>
      </c>
      <c r="BR191" s="45"/>
      <c r="BS191" s="45"/>
      <c r="BT191" s="45"/>
      <c r="BU191" s="45"/>
      <c r="BV191" s="45"/>
      <c r="BW191" s="45"/>
      <c r="CC191" s="20"/>
      <c r="DR191"/>
      <c r="DS191"/>
      <c r="DT191"/>
      <c r="DU191"/>
      <c r="DV191"/>
      <c r="DW191"/>
      <c r="DX191" s="37"/>
    </row>
    <row r="192" spans="2:128" s="28" customFormat="1">
      <c r="C192" s="28" t="s">
        <v>470</v>
      </c>
      <c r="E192" s="335">
        <v>5676</v>
      </c>
      <c r="F192" s="336">
        <v>5452</v>
      </c>
      <c r="G192" s="336">
        <v>5137</v>
      </c>
      <c r="H192" s="588">
        <v>4872</v>
      </c>
      <c r="I192" s="932">
        <f>H192</f>
        <v>4872</v>
      </c>
      <c r="J192" s="335">
        <v>4668</v>
      </c>
      <c r="K192" s="336">
        <v>4380</v>
      </c>
      <c r="L192" s="336">
        <v>4058</v>
      </c>
      <c r="M192" s="588">
        <v>4140</v>
      </c>
      <c r="N192" s="45">
        <f>M192</f>
        <v>4140</v>
      </c>
      <c r="O192" s="335">
        <v>4178</v>
      </c>
      <c r="P192" s="336">
        <v>4189</v>
      </c>
      <c r="Q192" s="336">
        <v>4381</v>
      </c>
      <c r="R192" s="588">
        <v>4839</v>
      </c>
      <c r="S192" s="45">
        <f>R192</f>
        <v>4839</v>
      </c>
      <c r="T192" s="335">
        <v>6168</v>
      </c>
      <c r="U192" s="336">
        <v>6103</v>
      </c>
      <c r="V192" s="336">
        <v>6192</v>
      </c>
      <c r="W192" s="588">
        <v>6497</v>
      </c>
      <c r="X192" s="45">
        <f>W192</f>
        <v>6497</v>
      </c>
      <c r="Y192" s="335">
        <v>6521</v>
      </c>
      <c r="Z192" s="336">
        <v>6519</v>
      </c>
      <c r="AA192" s="1435">
        <v>6509</v>
      </c>
      <c r="AB192" s="1457">
        <v>5910</v>
      </c>
      <c r="AC192" s="1443">
        <f>AB192</f>
        <v>5910</v>
      </c>
      <c r="AD192" s="335">
        <v>5863</v>
      </c>
      <c r="AE192" s="336">
        <v>5545</v>
      </c>
      <c r="AF192" s="336">
        <v>5589</v>
      </c>
      <c r="AG192" s="1457">
        <v>6076</v>
      </c>
      <c r="AH192" s="1443">
        <f>AG192</f>
        <v>6076</v>
      </c>
      <c r="AI192" s="335">
        <v>6068</v>
      </c>
      <c r="AJ192" s="336">
        <v>5976</v>
      </c>
      <c r="AK192" s="336">
        <v>6000</v>
      </c>
      <c r="AL192" s="1457">
        <v>6065</v>
      </c>
      <c r="AM192" s="1443">
        <f>AL192</f>
        <v>6065</v>
      </c>
      <c r="AN192" s="335">
        <v>10407</v>
      </c>
      <c r="AO192" s="336">
        <v>10121</v>
      </c>
      <c r="AP192" s="336">
        <v>10022</v>
      </c>
      <c r="AQ192" s="1457">
        <v>10046</v>
      </c>
      <c r="AR192" s="1443">
        <f>AQ192</f>
        <v>10046</v>
      </c>
      <c r="AS192" s="335">
        <v>10051</v>
      </c>
      <c r="AT192" s="1435">
        <v>9945</v>
      </c>
      <c r="AU192" s="1435">
        <v>10238</v>
      </c>
      <c r="AV192" s="1457">
        <v>8021</v>
      </c>
      <c r="AW192" s="1443">
        <f>AV192</f>
        <v>8021</v>
      </c>
      <c r="AX192" s="290">
        <f t="shared" si="448"/>
        <v>8021</v>
      </c>
      <c r="AY192" s="260">
        <f t="shared" si="448"/>
        <v>8021</v>
      </c>
      <c r="AZ192" s="260">
        <f t="shared" si="448"/>
        <v>8021</v>
      </c>
      <c r="BA192" s="291">
        <f t="shared" si="448"/>
        <v>8021</v>
      </c>
      <c r="BB192" s="45">
        <f>BA192</f>
        <v>8021</v>
      </c>
      <c r="BC192" s="290">
        <f t="shared" si="449"/>
        <v>8021</v>
      </c>
      <c r="BD192" s="260">
        <f t="shared" si="450"/>
        <v>8021</v>
      </c>
      <c r="BE192" s="260">
        <f t="shared" si="451"/>
        <v>8021</v>
      </c>
      <c r="BF192" s="291">
        <f t="shared" si="452"/>
        <v>8021</v>
      </c>
      <c r="BG192" s="45">
        <f>BF192</f>
        <v>8021</v>
      </c>
      <c r="BH192" s="290">
        <f t="shared" si="453"/>
        <v>8021</v>
      </c>
      <c r="BI192" s="260">
        <f t="shared" si="454"/>
        <v>8021</v>
      </c>
      <c r="BJ192" s="260">
        <f t="shared" si="455"/>
        <v>8021</v>
      </c>
      <c r="BK192" s="291">
        <f t="shared" si="456"/>
        <v>8021</v>
      </c>
      <c r="BL192" s="45">
        <f>BK192</f>
        <v>8021</v>
      </c>
      <c r="BM192" s="290">
        <f t="shared" si="457"/>
        <v>8021</v>
      </c>
      <c r="BN192" s="260">
        <f t="shared" si="458"/>
        <v>8021</v>
      </c>
      <c r="BO192" s="260">
        <f t="shared" si="459"/>
        <v>8021</v>
      </c>
      <c r="BP192" s="291">
        <f t="shared" si="460"/>
        <v>8021</v>
      </c>
      <c r="BQ192" s="45">
        <f>BP192</f>
        <v>8021</v>
      </c>
      <c r="BR192" s="45"/>
      <c r="BS192" s="45"/>
      <c r="BT192" s="45"/>
      <c r="BU192" s="45"/>
      <c r="BV192" s="45"/>
      <c r="BW192" s="45"/>
      <c r="CC192" s="20"/>
      <c r="DR192"/>
      <c r="DS192"/>
      <c r="DT192"/>
      <c r="DU192"/>
      <c r="DV192"/>
      <c r="DW192"/>
      <c r="DX192" s="37"/>
    </row>
    <row r="193" spans="3:128" s="28" customFormat="1">
      <c r="C193" s="28" t="s">
        <v>182</v>
      </c>
      <c r="E193" s="335">
        <f>819+1459</f>
        <v>2278</v>
      </c>
      <c r="F193" s="336">
        <f>663+1536</f>
        <v>2199</v>
      </c>
      <c r="G193" s="336">
        <f>482+1476</f>
        <v>1958</v>
      </c>
      <c r="H193" s="588">
        <f>649+859</f>
        <v>1508</v>
      </c>
      <c r="I193" s="932">
        <f>H193</f>
        <v>1508</v>
      </c>
      <c r="J193" s="335">
        <f>867+851</f>
        <v>1718</v>
      </c>
      <c r="K193" s="336">
        <f>627+690</f>
        <v>1317</v>
      </c>
      <c r="L193" s="336">
        <f>671+801+604</f>
        <v>2076</v>
      </c>
      <c r="M193" s="588">
        <f>409+824+763</f>
        <v>1996</v>
      </c>
      <c r="N193" s="45">
        <f>M193</f>
        <v>1996</v>
      </c>
      <c r="O193" s="335">
        <f>425+809+766</f>
        <v>2000</v>
      </c>
      <c r="P193" s="336">
        <f>324+804+751</f>
        <v>1879</v>
      </c>
      <c r="Q193" s="336">
        <f>300+763+938</f>
        <v>2001</v>
      </c>
      <c r="R193" s="588">
        <f>650+734+912</f>
        <v>2296</v>
      </c>
      <c r="S193" s="45">
        <f>R193</f>
        <v>2296</v>
      </c>
      <c r="T193" s="335">
        <f>1530+708+1126+1389</f>
        <v>4753</v>
      </c>
      <c r="U193" s="336">
        <f>1241+1317+650+1156</f>
        <v>4364</v>
      </c>
      <c r="V193" s="336">
        <f>1039+1191+631+1176</f>
        <v>4037</v>
      </c>
      <c r="W193" s="588">
        <f>937+1073+614+58+1128</f>
        <v>3810</v>
      </c>
      <c r="X193" s="45">
        <f>W193</f>
        <v>3810</v>
      </c>
      <c r="Y193" s="335">
        <f>706+968+580+1140</f>
        <v>3394</v>
      </c>
      <c r="Z193" s="336">
        <f>772+856+538+1175</f>
        <v>3341</v>
      </c>
      <c r="AA193" s="1435">
        <f>779+803+486+1121</f>
        <v>3189</v>
      </c>
      <c r="AB193" s="1457">
        <f>607+710+458+964</f>
        <v>2739</v>
      </c>
      <c r="AC193" s="1443">
        <f>AB193</f>
        <v>2739</v>
      </c>
      <c r="AD193" s="335">
        <f>571+657+429+934</f>
        <v>2591</v>
      </c>
      <c r="AE193" s="336">
        <f>482+593+402+1092</f>
        <v>2569</v>
      </c>
      <c r="AF193" s="336">
        <f>524+571+365+1139</f>
        <v>2599</v>
      </c>
      <c r="AG193" s="1457">
        <f>773+549+319+1160</f>
        <v>2801</v>
      </c>
      <c r="AH193" s="1443">
        <f>AG193</f>
        <v>2801</v>
      </c>
      <c r="AI193" s="335">
        <f>913+558+308+1234</f>
        <v>3013</v>
      </c>
      <c r="AJ193" s="336">
        <f>2+526+264+1388+811</f>
        <v>2991</v>
      </c>
      <c r="AK193" s="336">
        <f>801+2+513+237+1499</f>
        <v>3052</v>
      </c>
      <c r="AL193" s="1457">
        <f>758+484+206+1445</f>
        <v>2893</v>
      </c>
      <c r="AM193" s="1443">
        <f>AL193</f>
        <v>2893</v>
      </c>
      <c r="AN193" s="335">
        <f>841+474+183+1398</f>
        <v>2896</v>
      </c>
      <c r="AO193" s="336">
        <f>546+461+161+1366</f>
        <v>2534</v>
      </c>
      <c r="AP193" s="336">
        <f>669+473+135+1474</f>
        <v>2751</v>
      </c>
      <c r="AQ193" s="1457">
        <f>492+447+113+1472</f>
        <v>2524</v>
      </c>
      <c r="AR193" s="1443">
        <f>AQ193</f>
        <v>2524</v>
      </c>
      <c r="AS193" s="335">
        <f>539+432+95+1440</f>
        <v>2506</v>
      </c>
      <c r="AT193" s="1435">
        <f>464+419+75+1265</f>
        <v>2223</v>
      </c>
      <c r="AU193" s="1435">
        <f>426+407+57+1277</f>
        <v>2167</v>
      </c>
      <c r="AV193" s="1457">
        <f>337+395+1322</f>
        <v>2054</v>
      </c>
      <c r="AW193" s="1443">
        <f>AV193</f>
        <v>2054</v>
      </c>
      <c r="AX193" s="290">
        <f>+AW193-AX155-AX154</f>
        <v>2101.5</v>
      </c>
      <c r="AY193" s="260">
        <f>+AX193-AY155-AY154</f>
        <v>2149</v>
      </c>
      <c r="AZ193" s="260">
        <f>+AY193-AZ155-AZ154</f>
        <v>2196.5</v>
      </c>
      <c r="BA193" s="291">
        <f>+AZ193-BA155-BA154</f>
        <v>2244</v>
      </c>
      <c r="BB193" s="45">
        <f>BA193</f>
        <v>2244</v>
      </c>
      <c r="BC193" s="290">
        <f>+BB193-BC155-BC154</f>
        <v>2291.5</v>
      </c>
      <c r="BD193" s="260">
        <f>+BC193-BD155-BD154</f>
        <v>2339</v>
      </c>
      <c r="BE193" s="260">
        <f>+BD193-BE155-BE154</f>
        <v>2386.5</v>
      </c>
      <c r="BF193" s="291">
        <f>+BE193-BF155-BF154</f>
        <v>2434</v>
      </c>
      <c r="BG193" s="45">
        <f>BF193</f>
        <v>2434</v>
      </c>
      <c r="BH193" s="290">
        <f>+BG193-BH155-BH154</f>
        <v>2494</v>
      </c>
      <c r="BI193" s="260">
        <f>+BH193-BI155-BI154</f>
        <v>2554</v>
      </c>
      <c r="BJ193" s="260">
        <f>+BI193-BJ155-BJ154</f>
        <v>2614</v>
      </c>
      <c r="BK193" s="291">
        <f>+BJ193-BK155-BK154</f>
        <v>2674</v>
      </c>
      <c r="BL193" s="45">
        <f>BK193</f>
        <v>2674</v>
      </c>
      <c r="BM193" s="290">
        <f>+BL193-BM155-BM154</f>
        <v>2674</v>
      </c>
      <c r="BN193" s="260">
        <f>+BM193-BN155-BN154</f>
        <v>2674</v>
      </c>
      <c r="BO193" s="260">
        <f>+BN193-BO155-BO154</f>
        <v>2674</v>
      </c>
      <c r="BP193" s="291">
        <f>+BO193-BP155-BP154</f>
        <v>2674</v>
      </c>
      <c r="BQ193" s="45">
        <f>BP193</f>
        <v>2674</v>
      </c>
      <c r="BR193" s="45"/>
      <c r="BS193" s="45"/>
      <c r="BT193" s="45"/>
      <c r="BU193" s="45"/>
      <c r="BV193" s="45"/>
      <c r="BW193" s="45"/>
      <c r="CC193" s="20"/>
      <c r="DR193"/>
      <c r="DS193"/>
      <c r="DT193"/>
      <c r="DU193"/>
      <c r="DV193"/>
      <c r="DW193"/>
      <c r="DX193" s="37"/>
    </row>
    <row r="194" spans="3:128" s="28" customFormat="1">
      <c r="C194" s="32" t="s">
        <v>1283</v>
      </c>
      <c r="E194" s="292">
        <f>SUM(E190:E193)</f>
        <v>16592</v>
      </c>
      <c r="F194" s="261">
        <f t="shared" ref="F194:Y194" si="461">SUM(F190:F193)</f>
        <v>16849</v>
      </c>
      <c r="G194" s="261">
        <f t="shared" si="461"/>
        <v>16954</v>
      </c>
      <c r="H194" s="293">
        <f t="shared" si="461"/>
        <v>16398</v>
      </c>
      <c r="I194" s="933">
        <f t="shared" si="461"/>
        <v>16398</v>
      </c>
      <c r="J194" s="292">
        <f t="shared" si="461"/>
        <v>16620</v>
      </c>
      <c r="K194" s="261">
        <f t="shared" si="461"/>
        <v>15543</v>
      </c>
      <c r="L194" s="261">
        <f t="shared" si="461"/>
        <v>15634</v>
      </c>
      <c r="M194" s="293">
        <f t="shared" si="461"/>
        <v>15901</v>
      </c>
      <c r="N194" s="228">
        <f t="shared" si="461"/>
        <v>15901</v>
      </c>
      <c r="O194" s="292">
        <f t="shared" si="461"/>
        <v>16168</v>
      </c>
      <c r="P194" s="261">
        <f t="shared" si="461"/>
        <v>16143</v>
      </c>
      <c r="Q194" s="261">
        <f t="shared" si="461"/>
        <v>15987</v>
      </c>
      <c r="R194" s="293">
        <f t="shared" si="461"/>
        <v>17033</v>
      </c>
      <c r="S194" s="228">
        <f t="shared" si="461"/>
        <v>17033</v>
      </c>
      <c r="T194" s="292">
        <f t="shared" si="461"/>
        <v>23708</v>
      </c>
      <c r="U194" s="261">
        <f t="shared" si="461"/>
        <v>23067</v>
      </c>
      <c r="V194" s="261">
        <f t="shared" si="461"/>
        <v>23111</v>
      </c>
      <c r="W194" s="293">
        <f t="shared" si="461"/>
        <v>23235</v>
      </c>
      <c r="X194" s="228">
        <f t="shared" si="461"/>
        <v>23235</v>
      </c>
      <c r="Y194" s="292">
        <f t="shared" si="461"/>
        <v>23185</v>
      </c>
      <c r="Z194" s="261">
        <f t="shared" ref="Z194:AE194" si="462">SUM(Z190:Z193)</f>
        <v>23017</v>
      </c>
      <c r="AA194" s="1438">
        <f t="shared" si="462"/>
        <v>23215</v>
      </c>
      <c r="AB194" s="1439">
        <f>SUM(AB190:AB193)</f>
        <v>22457</v>
      </c>
      <c r="AC194" s="1440">
        <f>SUM(AC190:AC193)</f>
        <v>22457</v>
      </c>
      <c r="AD194" s="292">
        <f>SUM(AD190:AD193)</f>
        <v>22051</v>
      </c>
      <c r="AE194" s="261">
        <f t="shared" si="462"/>
        <v>22086</v>
      </c>
      <c r="AF194" s="261">
        <f>SUM(AF190:AF193)</f>
        <v>21797</v>
      </c>
      <c r="AG194" s="1439">
        <f>SUM(AG190:AG193)</f>
        <v>22630</v>
      </c>
      <c r="AH194" s="1440">
        <f>SUM(AH190:AH193)</f>
        <v>22630</v>
      </c>
      <c r="AI194" s="292">
        <f>SUM(AI190:AI193)</f>
        <v>23033</v>
      </c>
      <c r="AJ194" s="261">
        <f t="shared" ref="AJ194" si="463">SUM(AJ190:AJ193)</f>
        <v>22853</v>
      </c>
      <c r="AK194" s="261">
        <f t="shared" ref="AK194:AM194" si="464">SUM(AK190:AK193)</f>
        <v>22447</v>
      </c>
      <c r="AL194" s="1439">
        <f t="shared" si="464"/>
        <v>22611</v>
      </c>
      <c r="AM194" s="1440">
        <f t="shared" si="464"/>
        <v>22611</v>
      </c>
      <c r="AN194" s="292">
        <f>SUM(AN190:AN193)</f>
        <v>30972</v>
      </c>
      <c r="AO194" s="261">
        <f t="shared" ref="AO194:AR194" si="465">SUM(AO190:AO193)</f>
        <v>30590</v>
      </c>
      <c r="AP194" s="261">
        <f t="shared" si="465"/>
        <v>31113</v>
      </c>
      <c r="AQ194" s="1439">
        <f t="shared" si="465"/>
        <v>30937</v>
      </c>
      <c r="AR194" s="1440">
        <f t="shared" si="465"/>
        <v>30937</v>
      </c>
      <c r="AS194" s="292">
        <f t="shared" ref="AS194:AT194" si="466">SUM(AS190:AS193)</f>
        <v>32244</v>
      </c>
      <c r="AT194" s="1438">
        <f t="shared" si="466"/>
        <v>32124</v>
      </c>
      <c r="AU194" s="1438">
        <f t="shared" ref="AU194:BB194" si="467">SUM(AU190:AU193)</f>
        <v>32682</v>
      </c>
      <c r="AV194" s="1439">
        <f t="shared" si="467"/>
        <v>30664</v>
      </c>
      <c r="AW194" s="1440">
        <f t="shared" si="467"/>
        <v>30664</v>
      </c>
      <c r="AX194" s="292">
        <f t="shared" si="467"/>
        <v>30711.5</v>
      </c>
      <c r="AY194" s="261">
        <f t="shared" si="467"/>
        <v>30759</v>
      </c>
      <c r="AZ194" s="261">
        <f t="shared" si="467"/>
        <v>30806.5</v>
      </c>
      <c r="BA194" s="293">
        <f t="shared" si="467"/>
        <v>30854</v>
      </c>
      <c r="BB194" s="228">
        <f t="shared" si="467"/>
        <v>30854</v>
      </c>
      <c r="BC194" s="292">
        <f t="shared" ref="BC194:BL194" si="468">SUM(BC190:BC193)</f>
        <v>30901.5</v>
      </c>
      <c r="BD194" s="261">
        <f t="shared" si="468"/>
        <v>30949</v>
      </c>
      <c r="BE194" s="261">
        <f t="shared" si="468"/>
        <v>30996.5</v>
      </c>
      <c r="BF194" s="293">
        <f t="shared" si="468"/>
        <v>31044</v>
      </c>
      <c r="BG194" s="228">
        <f t="shared" si="468"/>
        <v>31044</v>
      </c>
      <c r="BH194" s="292">
        <f t="shared" si="468"/>
        <v>31104</v>
      </c>
      <c r="BI194" s="261">
        <f t="shared" si="468"/>
        <v>31164</v>
      </c>
      <c r="BJ194" s="261">
        <f t="shared" si="468"/>
        <v>31224</v>
      </c>
      <c r="BK194" s="293">
        <f t="shared" si="468"/>
        <v>31284</v>
      </c>
      <c r="BL194" s="228">
        <f t="shared" si="468"/>
        <v>31284</v>
      </c>
      <c r="BM194" s="292">
        <f t="shared" ref="BM194:BQ194" si="469">SUM(BM190:BM193)</f>
        <v>31284</v>
      </c>
      <c r="BN194" s="261">
        <f t="shared" si="469"/>
        <v>31284</v>
      </c>
      <c r="BO194" s="261">
        <f t="shared" si="469"/>
        <v>31284</v>
      </c>
      <c r="BP194" s="293">
        <f t="shared" si="469"/>
        <v>31284</v>
      </c>
      <c r="BQ194" s="228">
        <f t="shared" si="469"/>
        <v>31284</v>
      </c>
      <c r="BR194" s="45"/>
      <c r="BS194" s="45"/>
      <c r="BT194" s="45"/>
      <c r="BU194" s="45"/>
      <c r="BV194" s="45"/>
      <c r="BW194" s="45"/>
      <c r="CC194" s="20"/>
      <c r="DR194"/>
      <c r="DS194"/>
      <c r="DT194"/>
      <c r="DU194"/>
      <c r="DV194"/>
      <c r="DW194"/>
      <c r="DX194" s="37"/>
    </row>
    <row r="195" spans="3:128" s="28" customFormat="1">
      <c r="E195" s="335"/>
      <c r="F195" s="336"/>
      <c r="G195" s="336"/>
      <c r="H195" s="588"/>
      <c r="I195" s="932"/>
      <c r="J195" s="335"/>
      <c r="K195" s="336"/>
      <c r="L195" s="336"/>
      <c r="M195" s="588"/>
      <c r="N195" s="45"/>
      <c r="O195" s="335"/>
      <c r="P195" s="336"/>
      <c r="Q195" s="336"/>
      <c r="R195" s="588"/>
      <c r="S195" s="45"/>
      <c r="T195" s="335"/>
      <c r="U195" s="336"/>
      <c r="V195" s="336"/>
      <c r="W195" s="588"/>
      <c r="X195" s="45"/>
      <c r="Y195" s="335"/>
      <c r="Z195" s="336"/>
      <c r="AA195" s="1435"/>
      <c r="AB195" s="1457"/>
      <c r="AC195" s="1443"/>
      <c r="AD195" s="335"/>
      <c r="AE195" s="336"/>
      <c r="AF195" s="336"/>
      <c r="AG195" s="1457"/>
      <c r="AH195" s="1443"/>
      <c r="AI195" s="335"/>
      <c r="AJ195" s="336"/>
      <c r="AK195" s="336"/>
      <c r="AL195" s="1457"/>
      <c r="AM195" s="1443"/>
      <c r="AN195" s="335"/>
      <c r="AO195" s="336"/>
      <c r="AP195" s="336"/>
      <c r="AQ195" s="1457"/>
      <c r="AR195" s="1443"/>
      <c r="AS195" s="335"/>
      <c r="AT195" s="1435"/>
      <c r="AU195" s="260"/>
      <c r="AV195" s="1457"/>
      <c r="AW195" s="1443"/>
      <c r="AX195" s="290"/>
      <c r="AY195" s="260"/>
      <c r="AZ195" s="260"/>
      <c r="BA195" s="291"/>
      <c r="BB195" s="45"/>
      <c r="BC195" s="290"/>
      <c r="BD195" s="260"/>
      <c r="BE195" s="260"/>
      <c r="BF195" s="291"/>
      <c r="BG195" s="45"/>
      <c r="BH195" s="290"/>
      <c r="BI195" s="260"/>
      <c r="BJ195" s="260"/>
      <c r="BK195" s="291"/>
      <c r="BL195" s="45"/>
      <c r="BM195" s="290"/>
      <c r="BN195" s="260"/>
      <c r="BO195" s="260"/>
      <c r="BP195" s="291"/>
      <c r="BQ195" s="45"/>
      <c r="BR195" s="45"/>
      <c r="BS195" s="45"/>
      <c r="BT195" s="45"/>
      <c r="BU195" s="45"/>
      <c r="BV195" s="45"/>
      <c r="BW195" s="45"/>
      <c r="CC195" s="20"/>
      <c r="DR195"/>
      <c r="DS195"/>
      <c r="DT195"/>
      <c r="DU195"/>
      <c r="DV195"/>
      <c r="DW195"/>
      <c r="DX195" s="37"/>
    </row>
    <row r="196" spans="3:128" s="28" customFormat="1">
      <c r="C196" s="32" t="s">
        <v>183</v>
      </c>
      <c r="E196" s="292">
        <f t="shared" ref="E196:AE196" si="470">SUM(E184,E188,E194)</f>
        <v>48863</v>
      </c>
      <c r="F196" s="261">
        <f t="shared" si="470"/>
        <v>48979</v>
      </c>
      <c r="G196" s="261">
        <f t="shared" si="470"/>
        <v>49502</v>
      </c>
      <c r="H196" s="293">
        <f t="shared" si="470"/>
        <v>49180</v>
      </c>
      <c r="I196" s="933">
        <f t="shared" si="470"/>
        <v>49180</v>
      </c>
      <c r="J196" s="292">
        <f t="shared" si="470"/>
        <v>50741</v>
      </c>
      <c r="K196" s="261">
        <f t="shared" si="470"/>
        <v>49173</v>
      </c>
      <c r="L196" s="261">
        <f t="shared" si="470"/>
        <v>50948</v>
      </c>
      <c r="M196" s="293">
        <f t="shared" si="470"/>
        <v>52240</v>
      </c>
      <c r="N196" s="228">
        <f t="shared" si="470"/>
        <v>52240</v>
      </c>
      <c r="O196" s="292">
        <f t="shared" si="470"/>
        <v>51376</v>
      </c>
      <c r="P196" s="261">
        <f t="shared" si="470"/>
        <v>51986</v>
      </c>
      <c r="Q196" s="261">
        <f t="shared" si="470"/>
        <v>54156</v>
      </c>
      <c r="R196" s="293">
        <f t="shared" si="470"/>
        <v>55092</v>
      </c>
      <c r="S196" s="228">
        <f t="shared" si="470"/>
        <v>55092</v>
      </c>
      <c r="T196" s="292">
        <f t="shared" si="470"/>
        <v>77628</v>
      </c>
      <c r="U196" s="261">
        <f>SUM(U184,U188,U194)</f>
        <v>77434</v>
      </c>
      <c r="V196" s="261">
        <f>SUM(V184,V188,V194)</f>
        <v>78353</v>
      </c>
      <c r="W196" s="293">
        <f>SUM(W184,W188,W194)</f>
        <v>78554</v>
      </c>
      <c r="X196" s="228">
        <f>SUM(X184,X188,X194)</f>
        <v>78554</v>
      </c>
      <c r="Y196" s="292">
        <f>SUM(Y184,Y188,Y194)</f>
        <v>78243</v>
      </c>
      <c r="Z196" s="261">
        <f t="shared" si="470"/>
        <v>78420</v>
      </c>
      <c r="AA196" s="1438">
        <f>SUM(AA184,AA188,AA194)</f>
        <v>79661</v>
      </c>
      <c r="AB196" s="1439">
        <f>SUM(AB184,AB188,AB194)</f>
        <v>79924</v>
      </c>
      <c r="AC196" s="1440">
        <f>SUM(AC184,AC188,AC194)</f>
        <v>79924</v>
      </c>
      <c r="AD196" s="292">
        <f>SUM(AD184,AD188,AD194)</f>
        <v>79468</v>
      </c>
      <c r="AE196" s="261">
        <f t="shared" si="470"/>
        <v>83656</v>
      </c>
      <c r="AF196" s="261">
        <f t="shared" ref="AF196:AH196" si="471">SUM(AF184,AF188,AF194)</f>
        <v>85264</v>
      </c>
      <c r="AG196" s="1439">
        <f t="shared" si="471"/>
        <v>86814</v>
      </c>
      <c r="AH196" s="1440">
        <f t="shared" si="471"/>
        <v>86814</v>
      </c>
      <c r="AI196" s="292">
        <f>SUM(AI184,AI188,AI194)</f>
        <v>87391</v>
      </c>
      <c r="AJ196" s="261">
        <f t="shared" ref="AJ196:AM196" si="472">SUM(AJ184,AJ188,AJ194)</f>
        <v>92213</v>
      </c>
      <c r="AK196" s="261">
        <f t="shared" si="472"/>
        <v>95128</v>
      </c>
      <c r="AL196" s="1439">
        <f t="shared" si="472"/>
        <v>95384</v>
      </c>
      <c r="AM196" s="1440">
        <f t="shared" si="472"/>
        <v>95384</v>
      </c>
      <c r="AN196" s="292">
        <f>SUM(AN184,AN188,AN194)</f>
        <v>111742</v>
      </c>
      <c r="AO196" s="261">
        <f t="shared" ref="AO196:AR196" si="473">SUM(AO184,AO188,AO194)</f>
        <v>112778</v>
      </c>
      <c r="AP196" s="261">
        <f t="shared" si="473"/>
        <v>114535</v>
      </c>
      <c r="AQ196" s="1439">
        <f t="shared" si="473"/>
        <v>114904</v>
      </c>
      <c r="AR196" s="1440">
        <f t="shared" si="473"/>
        <v>114904</v>
      </c>
      <c r="AS196" s="292">
        <f t="shared" ref="AS196:AT196" si="474">SUM(AS184,AS188,AS194)</f>
        <v>117068</v>
      </c>
      <c r="AT196" s="1438">
        <f t="shared" si="474"/>
        <v>117104</v>
      </c>
      <c r="AU196" s="261">
        <f>SUM(AU184,AU188,AU194)</f>
        <v>118473</v>
      </c>
      <c r="AV196" s="1439">
        <f t="shared" ref="AV196:AW196" si="475">SUM(AV184,AV188,AV194)</f>
        <v>116700</v>
      </c>
      <c r="AW196" s="1440">
        <f t="shared" si="475"/>
        <v>116700</v>
      </c>
      <c r="AX196" s="292">
        <f>SUM(AX184,AX188,AX194)</f>
        <v>116682.62266507797</v>
      </c>
      <c r="AY196" s="261">
        <f t="shared" ref="AY196:BB196" ca="1" si="476">SUM(AY184,AY188,AY194)</f>
        <v>117568.63336913066</v>
      </c>
      <c r="AZ196" s="261">
        <f t="shared" ca="1" si="476"/>
        <v>119490.08192660945</v>
      </c>
      <c r="BA196" s="293">
        <f t="shared" ca="1" si="476"/>
        <v>119791.22947476279</v>
      </c>
      <c r="BB196" s="228">
        <f t="shared" ca="1" si="476"/>
        <v>119791.22947476279</v>
      </c>
      <c r="BC196" s="292">
        <f t="shared" ref="BC196:BL196" ca="1" si="477">SUM(BC184,BC188,BC194)</f>
        <v>120675.64703690443</v>
      </c>
      <c r="BD196" s="261">
        <f t="shared" ca="1" si="477"/>
        <v>120910.68482450943</v>
      </c>
      <c r="BE196" s="261">
        <f t="shared" ca="1" si="477"/>
        <v>122850.83693916144</v>
      </c>
      <c r="BF196" s="293">
        <f t="shared" ca="1" si="477"/>
        <v>122464.79838326146</v>
      </c>
      <c r="BG196" s="228">
        <f t="shared" ca="1" si="477"/>
        <v>122464.79838326146</v>
      </c>
      <c r="BH196" s="292">
        <f t="shared" ca="1" si="477"/>
        <v>122621.12934426143</v>
      </c>
      <c r="BI196" s="261">
        <f t="shared" ca="1" si="477"/>
        <v>123305.81207872924</v>
      </c>
      <c r="BJ196" s="261">
        <f t="shared" ca="1" si="477"/>
        <v>124464.11481934253</v>
      </c>
      <c r="BK196" s="293">
        <f t="shared" ca="1" si="477"/>
        <v>124646.25301670993</v>
      </c>
      <c r="BL196" s="228">
        <f t="shared" ca="1" si="477"/>
        <v>124646.25301670993</v>
      </c>
      <c r="BM196" s="292">
        <f t="shared" ref="BM196:BQ196" ca="1" si="478">SUM(BM184,BM188,BM194)</f>
        <v>125213.08503839732</v>
      </c>
      <c r="BN196" s="261">
        <f t="shared" ca="1" si="478"/>
        <v>125786.54084447466</v>
      </c>
      <c r="BO196" s="261">
        <f t="shared" ca="1" si="478"/>
        <v>126961.02275567479</v>
      </c>
      <c r="BP196" s="293">
        <f t="shared" ca="1" si="478"/>
        <v>127025.72596680469</v>
      </c>
      <c r="BQ196" s="228">
        <f t="shared" ca="1" si="478"/>
        <v>127025.72596680469</v>
      </c>
      <c r="BR196" s="45"/>
      <c r="BS196" s="45"/>
      <c r="BT196" s="45"/>
      <c r="BU196" s="45"/>
      <c r="BV196" s="45"/>
      <c r="BW196" s="45"/>
      <c r="CC196" s="20"/>
      <c r="DR196"/>
      <c r="DS196"/>
      <c r="DT196"/>
      <c r="DU196"/>
      <c r="DV196"/>
      <c r="DW196"/>
      <c r="DX196" s="37"/>
    </row>
    <row r="197" spans="3:128" s="28" customFormat="1">
      <c r="E197" s="290"/>
      <c r="F197" s="260"/>
      <c r="G197" s="260"/>
      <c r="H197" s="291"/>
      <c r="I197" s="932"/>
      <c r="J197" s="290"/>
      <c r="K197" s="260"/>
      <c r="L197" s="260"/>
      <c r="M197" s="291"/>
      <c r="N197" s="45"/>
      <c r="O197" s="290"/>
      <c r="P197" s="260"/>
      <c r="Q197" s="260"/>
      <c r="R197" s="291"/>
      <c r="S197" s="45"/>
      <c r="T197" s="290"/>
      <c r="U197" s="260"/>
      <c r="V197" s="260"/>
      <c r="W197" s="291"/>
      <c r="X197" s="45"/>
      <c r="Y197" s="290"/>
      <c r="Z197" s="260"/>
      <c r="AA197" s="1441"/>
      <c r="AB197" s="1442"/>
      <c r="AC197" s="1443"/>
      <c r="AD197" s="290"/>
      <c r="AE197" s="260"/>
      <c r="AF197" s="260"/>
      <c r="AG197" s="1442"/>
      <c r="AH197" s="1443"/>
      <c r="AI197" s="290"/>
      <c r="AJ197" s="260"/>
      <c r="AK197" s="260"/>
      <c r="AL197" s="1442"/>
      <c r="AM197" s="1443"/>
      <c r="AN197" s="290"/>
      <c r="AO197" s="260"/>
      <c r="AP197" s="260"/>
      <c r="AQ197" s="1442"/>
      <c r="AR197" s="1443"/>
      <c r="AS197" s="290"/>
      <c r="AT197" s="1441"/>
      <c r="AU197" s="260"/>
      <c r="AV197" s="1442"/>
      <c r="AW197" s="1443"/>
      <c r="AX197" s="290"/>
      <c r="AY197" s="260"/>
      <c r="AZ197" s="260"/>
      <c r="BA197" s="291"/>
      <c r="BB197" s="45"/>
      <c r="BC197" s="290"/>
      <c r="BD197" s="260"/>
      <c r="BE197" s="260"/>
      <c r="BF197" s="291"/>
      <c r="BG197" s="45"/>
      <c r="BH197" s="290"/>
      <c r="BI197" s="260"/>
      <c r="BJ197" s="260"/>
      <c r="BK197" s="291"/>
      <c r="BL197" s="45"/>
      <c r="BM197" s="290"/>
      <c r="BN197" s="260"/>
      <c r="BO197" s="260"/>
      <c r="BP197" s="291"/>
      <c r="BQ197" s="45"/>
      <c r="BR197" s="45"/>
      <c r="BS197" s="45"/>
      <c r="BT197" s="45"/>
      <c r="BU197" s="45"/>
      <c r="BV197" s="45"/>
      <c r="BW197" s="45"/>
      <c r="DR197"/>
      <c r="DS197"/>
      <c r="DT197"/>
      <c r="DU197"/>
      <c r="DV197"/>
      <c r="DW197"/>
      <c r="DX197" s="37"/>
    </row>
    <row r="198" spans="3:128" s="28" customFormat="1">
      <c r="C198" s="28" t="s">
        <v>251</v>
      </c>
      <c r="E198" s="335">
        <f>13+551</f>
        <v>564</v>
      </c>
      <c r="F198" s="336">
        <f>413+390</f>
        <v>803</v>
      </c>
      <c r="G198" s="336">
        <f>873+591</f>
        <v>1464</v>
      </c>
      <c r="H198" s="588">
        <f>639+415</f>
        <v>1054</v>
      </c>
      <c r="I198" s="932">
        <f>H198</f>
        <v>1054</v>
      </c>
      <c r="J198" s="335">
        <f>827+404</f>
        <v>1231</v>
      </c>
      <c r="K198" s="336">
        <f>215+404</f>
        <v>619</v>
      </c>
      <c r="L198" s="336">
        <v>553</v>
      </c>
      <c r="M198" s="588">
        <v>599</v>
      </c>
      <c r="N198" s="45">
        <f>M198</f>
        <v>599</v>
      </c>
      <c r="O198" s="335">
        <v>1049</v>
      </c>
      <c r="P198" s="336">
        <v>1048</v>
      </c>
      <c r="Q198" s="336">
        <v>1239</v>
      </c>
      <c r="R198" s="588">
        <v>828</v>
      </c>
      <c r="S198" s="45">
        <f>R198</f>
        <v>828</v>
      </c>
      <c r="T198" s="335">
        <f>670+65</f>
        <v>735</v>
      </c>
      <c r="U198" s="336">
        <f>526+65</f>
        <v>591</v>
      </c>
      <c r="V198" s="336">
        <f>1049+70</f>
        <v>1119</v>
      </c>
      <c r="W198" s="588">
        <f>975+72</f>
        <v>1047</v>
      </c>
      <c r="X198" s="45">
        <f>W198</f>
        <v>1047</v>
      </c>
      <c r="Y198" s="335">
        <f>2085+79</f>
        <v>2164</v>
      </c>
      <c r="Z198" s="336">
        <f>1944+87</f>
        <v>2031</v>
      </c>
      <c r="AA198" s="1435">
        <f>1461+182</f>
        <v>1643</v>
      </c>
      <c r="AB198" s="1457">
        <f>1424+85</f>
        <v>1509</v>
      </c>
      <c r="AC198" s="1443">
        <f>AB198</f>
        <v>1509</v>
      </c>
      <c r="AD198" s="335">
        <f>292+81</f>
        <v>373</v>
      </c>
      <c r="AE198" s="336">
        <v>2047</v>
      </c>
      <c r="AF198" s="336">
        <v>2064</v>
      </c>
      <c r="AG198" s="1457">
        <v>1802</v>
      </c>
      <c r="AH198" s="1443">
        <f>AG198</f>
        <v>1802</v>
      </c>
      <c r="AI198" s="335">
        <v>1260</v>
      </c>
      <c r="AJ198" s="336">
        <v>226</v>
      </c>
      <c r="AK198" s="336">
        <v>897</v>
      </c>
      <c r="AL198" s="1457">
        <v>1500</v>
      </c>
      <c r="AM198" s="1443">
        <f>AL198</f>
        <v>1500</v>
      </c>
      <c r="AN198" s="335">
        <v>2058</v>
      </c>
      <c r="AO198" s="336">
        <v>2693</v>
      </c>
      <c r="AP198" s="336">
        <v>2512</v>
      </c>
      <c r="AQ198" s="1457">
        <v>2430</v>
      </c>
      <c r="AR198" s="1443">
        <f>AQ198</f>
        <v>2430</v>
      </c>
      <c r="AS198" s="335">
        <v>3645</v>
      </c>
      <c r="AT198" s="1435">
        <v>3619</v>
      </c>
      <c r="AU198" s="1435">
        <v>3164</v>
      </c>
      <c r="AV198" s="1457">
        <v>2088</v>
      </c>
      <c r="AW198" s="1443">
        <f>AV198</f>
        <v>2088</v>
      </c>
      <c r="AX198" s="290">
        <f>+-SUM(AY164:BA164,BC164)</f>
        <v>546</v>
      </c>
      <c r="AY198" s="260">
        <f>+-SUM(AZ164:BA164,BC164:BD164)</f>
        <v>430</v>
      </c>
      <c r="AZ198" s="260">
        <f>+-SUM(BA164,BC164:BE164)</f>
        <v>34</v>
      </c>
      <c r="BA198" s="291">
        <f>+-SUM(BC164:BF164)</f>
        <v>634</v>
      </c>
      <c r="BB198" s="45">
        <f>BA198</f>
        <v>634</v>
      </c>
      <c r="BC198" s="290">
        <f>+-SUM(BD164:BF164,BH164)</f>
        <v>1634</v>
      </c>
      <c r="BD198" s="260">
        <f>+-SUM(BE164:BF164,BH164:BI164)</f>
        <v>2534</v>
      </c>
      <c r="BE198" s="260">
        <f>+-SUM(BF164,BH164:BJ164)</f>
        <v>3455.4700000000003</v>
      </c>
      <c r="BF198" s="291">
        <f>+-SUM(BH164:BK164)</f>
        <v>3955.4700000000003</v>
      </c>
      <c r="BG198" s="45">
        <f>BF198</f>
        <v>3955.4700000000003</v>
      </c>
      <c r="BH198" s="290">
        <f>+-SUM(BI164:BK164,BM164)</f>
        <v>3816.4700000000003</v>
      </c>
      <c r="BI198" s="260">
        <f>+-SUM(BJ164:BK164,BM164:BN164)</f>
        <v>3216.4700000000003</v>
      </c>
      <c r="BJ198" s="260">
        <f>+-SUM(BK164,BM164:BO164)</f>
        <v>3149.8649999999998</v>
      </c>
      <c r="BK198" s="291">
        <f>+-SUM(BM164:BP164)</f>
        <v>2349.8649999999998</v>
      </c>
      <c r="BL198" s="45">
        <f>BK198</f>
        <v>2349.8649999999998</v>
      </c>
      <c r="BM198" s="290">
        <f>+-SUM(BN164:BP164)</f>
        <v>1488.865</v>
      </c>
      <c r="BN198" s="260">
        <f>+-SUM(BO164:BP164)</f>
        <v>1188.865</v>
      </c>
      <c r="BO198" s="260">
        <f>-BP164</f>
        <v>300</v>
      </c>
      <c r="BP198" s="291">
        <v>0</v>
      </c>
      <c r="BQ198" s="45">
        <f>BP198</f>
        <v>0</v>
      </c>
      <c r="BR198" s="45"/>
      <c r="BS198" s="45"/>
      <c r="BT198" s="45"/>
      <c r="BU198" s="45"/>
      <c r="BV198" s="45"/>
      <c r="BW198" s="45"/>
      <c r="DR198"/>
      <c r="DS198"/>
      <c r="DT198"/>
      <c r="DU198"/>
      <c r="DV198"/>
      <c r="DW198"/>
      <c r="DX198" s="37"/>
    </row>
    <row r="199" spans="3:128" s="28" customFormat="1">
      <c r="C199" s="28" t="s">
        <v>397</v>
      </c>
      <c r="E199" s="335">
        <v>207</v>
      </c>
      <c r="F199" s="336">
        <v>45</v>
      </c>
      <c r="G199" s="336">
        <v>140</v>
      </c>
      <c r="H199" s="588">
        <v>155</v>
      </c>
      <c r="I199" s="932">
        <f>H199</f>
        <v>155</v>
      </c>
      <c r="J199" s="335">
        <f>256+225</f>
        <v>481</v>
      </c>
      <c r="K199" s="336">
        <f>289+225</f>
        <v>514</v>
      </c>
      <c r="L199" s="336">
        <f>65+225</f>
        <v>290</v>
      </c>
      <c r="M199" s="588">
        <v>225</v>
      </c>
      <c r="N199" s="45">
        <f>M199</f>
        <v>225</v>
      </c>
      <c r="O199" s="335">
        <f>50+225</f>
        <v>275</v>
      </c>
      <c r="P199" s="336">
        <f>140+225</f>
        <v>365</v>
      </c>
      <c r="Q199" s="336">
        <f>462+225</f>
        <v>687</v>
      </c>
      <c r="R199" s="588">
        <f>163+225</f>
        <v>388</v>
      </c>
      <c r="S199" s="45">
        <f>R199</f>
        <v>388</v>
      </c>
      <c r="T199" s="335">
        <f>339+225</f>
        <v>564</v>
      </c>
      <c r="U199" s="336">
        <f>376+225</f>
        <v>601</v>
      </c>
      <c r="V199" s="336">
        <f>60+225</f>
        <v>285</v>
      </c>
      <c r="W199" s="588">
        <v>210</v>
      </c>
      <c r="X199" s="45">
        <f>W199</f>
        <v>210</v>
      </c>
      <c r="Y199" s="335">
        <f>210+233</f>
        <v>443</v>
      </c>
      <c r="Z199" s="336">
        <f>662+210</f>
        <v>872</v>
      </c>
      <c r="AA199" s="1435">
        <v>214</v>
      </c>
      <c r="AB199" s="1457">
        <v>341</v>
      </c>
      <c r="AC199" s="1443">
        <f>AB199</f>
        <v>341</v>
      </c>
      <c r="AD199" s="335">
        <v>980</v>
      </c>
      <c r="AE199" s="336">
        <v>621</v>
      </c>
      <c r="AF199" s="336">
        <v>562</v>
      </c>
      <c r="AG199" s="1457">
        <v>460</v>
      </c>
      <c r="AH199" s="1443">
        <f>AG199</f>
        <v>460</v>
      </c>
      <c r="AI199" s="335">
        <v>309</v>
      </c>
      <c r="AJ199" s="336">
        <v>543</v>
      </c>
      <c r="AK199" s="336">
        <v>675</v>
      </c>
      <c r="AL199" s="1457">
        <v>533</v>
      </c>
      <c r="AM199" s="1443">
        <f>AL199</f>
        <v>533</v>
      </c>
      <c r="AN199" s="335">
        <v>3640</v>
      </c>
      <c r="AO199" s="336">
        <v>951</v>
      </c>
      <c r="AP199" s="336">
        <v>567</v>
      </c>
      <c r="AQ199" s="1457">
        <v>1267</v>
      </c>
      <c r="AR199" s="1443">
        <f>AQ199</f>
        <v>1267</v>
      </c>
      <c r="AS199" s="335">
        <v>2048</v>
      </c>
      <c r="AT199" s="1435">
        <v>1757</v>
      </c>
      <c r="AU199" s="1435">
        <v>710</v>
      </c>
      <c r="AV199" s="1457">
        <v>929</v>
      </c>
      <c r="AW199" s="1443">
        <f>AV199</f>
        <v>929</v>
      </c>
      <c r="AX199" s="290">
        <f>AW199+AX174+AX165</f>
        <v>1361.9724788846556</v>
      </c>
      <c r="AY199" s="260">
        <f ca="1">AX199+AY174+AY165</f>
        <v>2001.7371327639496</v>
      </c>
      <c r="AZ199" s="260">
        <f ca="1">AY199+AZ174+AZ165</f>
        <v>0</v>
      </c>
      <c r="BA199" s="291">
        <f ca="1">AZ199+BA174+BA165</f>
        <v>0</v>
      </c>
      <c r="BB199" s="45">
        <f ca="1">BA199</f>
        <v>0</v>
      </c>
      <c r="BC199" s="290">
        <f ca="1">BB199+BC174+BC165</f>
        <v>0</v>
      </c>
      <c r="BD199" s="260">
        <f ca="1">BC199+BD174+BD165</f>
        <v>0</v>
      </c>
      <c r="BE199" s="260">
        <f ca="1">BD199+BE174+BE165</f>
        <v>0</v>
      </c>
      <c r="BF199" s="291">
        <f ca="1">BE199+BF174+BF165</f>
        <v>0</v>
      </c>
      <c r="BG199" s="45">
        <f ca="1">BF199</f>
        <v>0</v>
      </c>
      <c r="BH199" s="290">
        <f ca="1">BG199+BH174+BH165</f>
        <v>371.67467730403632</v>
      </c>
      <c r="BI199" s="260">
        <f ca="1">BH199+BI174+BI165</f>
        <v>1787.3630249995899</v>
      </c>
      <c r="BJ199" s="260">
        <f ca="1">BI199+BJ174+BJ165</f>
        <v>0</v>
      </c>
      <c r="BK199" s="291">
        <f ca="1">BJ199+BK174+BK165</f>
        <v>1009.3445071001247</v>
      </c>
      <c r="BL199" s="45">
        <f ca="1">BK199</f>
        <v>1009.3445071001247</v>
      </c>
      <c r="BM199" s="290">
        <f ca="1">BL199+BM174+BM165</f>
        <v>1779.1555952424314</v>
      </c>
      <c r="BN199" s="260">
        <f ca="1">BM199+BN174+BN165</f>
        <v>2362.0495348658651</v>
      </c>
      <c r="BO199" s="260">
        <f ca="1">BN199+BO174+BO165</f>
        <v>0</v>
      </c>
      <c r="BP199" s="291">
        <f ca="1">BO199+BP174+BP165</f>
        <v>0</v>
      </c>
      <c r="BQ199" s="45">
        <f ca="1">BP199</f>
        <v>0</v>
      </c>
      <c r="BR199" s="45"/>
      <c r="BS199" s="45"/>
      <c r="BT199" s="45"/>
      <c r="BU199" s="45"/>
      <c r="BV199" s="45"/>
      <c r="BW199" s="45"/>
      <c r="DR199"/>
      <c r="DS199"/>
      <c r="DT199"/>
      <c r="DU199"/>
      <c r="DV199"/>
      <c r="DW199"/>
      <c r="DX199" s="37"/>
    </row>
    <row r="200" spans="3:128" s="28" customFormat="1">
      <c r="C200" s="28" t="s">
        <v>185</v>
      </c>
      <c r="E200" s="335">
        <v>1121</v>
      </c>
      <c r="F200" s="336">
        <v>1144</v>
      </c>
      <c r="G200" s="336">
        <v>1075</v>
      </c>
      <c r="H200" s="588">
        <v>1345</v>
      </c>
      <c r="I200" s="932">
        <f>H200</f>
        <v>1345</v>
      </c>
      <c r="J200" s="335">
        <v>1143</v>
      </c>
      <c r="K200" s="336">
        <v>1181</v>
      </c>
      <c r="L200" s="336">
        <v>1056</v>
      </c>
      <c r="M200" s="588">
        <v>1373</v>
      </c>
      <c r="N200" s="45">
        <f>M200</f>
        <v>1373</v>
      </c>
      <c r="O200" s="335">
        <v>1331</v>
      </c>
      <c r="P200" s="336">
        <v>1297</v>
      </c>
      <c r="Q200" s="336">
        <v>1388</v>
      </c>
      <c r="R200" s="588">
        <f>1444</f>
        <v>1444</v>
      </c>
      <c r="S200" s="45">
        <f>R200</f>
        <v>1444</v>
      </c>
      <c r="T200" s="335">
        <f>2125+138</f>
        <v>2263</v>
      </c>
      <c r="U200" s="336">
        <f>2183+119</f>
        <v>2302</v>
      </c>
      <c r="V200" s="336">
        <f>2359+132</f>
        <v>2491</v>
      </c>
      <c r="W200" s="588">
        <f>2446+202</f>
        <v>2648</v>
      </c>
      <c r="X200" s="45">
        <f>W200</f>
        <v>2648</v>
      </c>
      <c r="Y200" s="335">
        <f>2198+188</f>
        <v>2386</v>
      </c>
      <c r="Z200" s="336">
        <f>2210+147</f>
        <v>2357</v>
      </c>
      <c r="AA200" s="1435">
        <f>2369+108</f>
        <v>2477</v>
      </c>
      <c r="AB200" s="1457">
        <f>2314+170</f>
        <v>2484</v>
      </c>
      <c r="AC200" s="1443">
        <f>AB200</f>
        <v>2484</v>
      </c>
      <c r="AD200" s="335">
        <f>2475+286</f>
        <v>2761</v>
      </c>
      <c r="AE200" s="336">
        <v>2633</v>
      </c>
      <c r="AF200" s="336">
        <v>2502</v>
      </c>
      <c r="AG200" s="1457">
        <v>3048</v>
      </c>
      <c r="AH200" s="1443">
        <f>AG200</f>
        <v>3048</v>
      </c>
      <c r="AI200" s="335">
        <v>2839</v>
      </c>
      <c r="AJ200" s="336">
        <v>2727</v>
      </c>
      <c r="AK200" s="336">
        <v>2987</v>
      </c>
      <c r="AL200" s="1457">
        <v>2883</v>
      </c>
      <c r="AM200" s="1443">
        <f>AL200</f>
        <v>2883</v>
      </c>
      <c r="AN200" s="335">
        <v>2874</v>
      </c>
      <c r="AO200" s="336">
        <v>2826</v>
      </c>
      <c r="AP200" s="336">
        <v>3044</v>
      </c>
      <c r="AQ200" s="1457">
        <v>3441</v>
      </c>
      <c r="AR200" s="1443">
        <f>AQ200</f>
        <v>3441</v>
      </c>
      <c r="AS200" s="335">
        <v>3011</v>
      </c>
      <c r="AT200" s="1435">
        <v>3134</v>
      </c>
      <c r="AU200" s="1435">
        <v>3132</v>
      </c>
      <c r="AV200" s="1457">
        <v>3532</v>
      </c>
      <c r="AW200" s="1443">
        <f>AV200</f>
        <v>3532</v>
      </c>
      <c r="AX200" s="290">
        <f>+AW200</f>
        <v>3532</v>
      </c>
      <c r="AY200" s="260">
        <f>+AX200</f>
        <v>3532</v>
      </c>
      <c r="AZ200" s="260">
        <f>+AY200</f>
        <v>3532</v>
      </c>
      <c r="BA200" s="291">
        <f>+AZ200</f>
        <v>3532</v>
      </c>
      <c r="BB200" s="45">
        <f>BA200</f>
        <v>3532</v>
      </c>
      <c r="BC200" s="290">
        <f>+BB200</f>
        <v>3532</v>
      </c>
      <c r="BD200" s="260">
        <f>+BC200</f>
        <v>3532</v>
      </c>
      <c r="BE200" s="260">
        <f>+BD200</f>
        <v>3532</v>
      </c>
      <c r="BF200" s="291">
        <f>+BE200</f>
        <v>3532</v>
      </c>
      <c r="BG200" s="45">
        <f>BF200</f>
        <v>3532</v>
      </c>
      <c r="BH200" s="290">
        <f>+BG200</f>
        <v>3532</v>
      </c>
      <c r="BI200" s="260">
        <f>+BH200</f>
        <v>3532</v>
      </c>
      <c r="BJ200" s="260">
        <f>+BI200</f>
        <v>3532</v>
      </c>
      <c r="BK200" s="291">
        <f>+BJ200</f>
        <v>3532</v>
      </c>
      <c r="BL200" s="45">
        <f>BK200</f>
        <v>3532</v>
      </c>
      <c r="BM200" s="290">
        <f>+BL200</f>
        <v>3532</v>
      </c>
      <c r="BN200" s="260">
        <f>+BM200</f>
        <v>3532</v>
      </c>
      <c r="BO200" s="260">
        <f>+BN200</f>
        <v>3532</v>
      </c>
      <c r="BP200" s="291">
        <f>+BO200</f>
        <v>3532</v>
      </c>
      <c r="BQ200" s="45">
        <f>BP200</f>
        <v>3532</v>
      </c>
      <c r="BR200" s="45"/>
      <c r="BS200" s="45"/>
      <c r="BT200" s="45"/>
      <c r="BU200" s="45"/>
      <c r="BV200" s="45"/>
      <c r="BW200" s="45"/>
      <c r="DR200"/>
      <c r="DS200"/>
      <c r="DT200"/>
      <c r="DU200"/>
      <c r="DV200"/>
      <c r="DW200"/>
      <c r="DX200" s="37"/>
    </row>
    <row r="201" spans="3:128" s="28" customFormat="1">
      <c r="C201" s="28" t="s">
        <v>1293</v>
      </c>
      <c r="E201" s="335">
        <v>29</v>
      </c>
      <c r="F201" s="336">
        <v>27</v>
      </c>
      <c r="G201" s="336">
        <v>20</v>
      </c>
      <c r="H201" s="588">
        <v>33</v>
      </c>
      <c r="I201" s="932">
        <f>H201</f>
        <v>33</v>
      </c>
      <c r="J201" s="335">
        <v>63</v>
      </c>
      <c r="K201" s="336">
        <v>51</v>
      </c>
      <c r="L201" s="336">
        <v>131</v>
      </c>
      <c r="M201" s="588">
        <v>44</v>
      </c>
      <c r="N201" s="45">
        <f>M201</f>
        <v>44</v>
      </c>
      <c r="O201" s="335">
        <v>66</v>
      </c>
      <c r="P201" s="336">
        <v>63</v>
      </c>
      <c r="Q201" s="336">
        <v>60</v>
      </c>
      <c r="R201" s="588">
        <v>53</v>
      </c>
      <c r="S201" s="45">
        <f>R201</f>
        <v>53</v>
      </c>
      <c r="T201" s="335">
        <v>335</v>
      </c>
      <c r="U201" s="336">
        <v>259</v>
      </c>
      <c r="V201" s="336">
        <v>299</v>
      </c>
      <c r="W201" s="588">
        <v>321</v>
      </c>
      <c r="X201" s="45">
        <f>W201</f>
        <v>321</v>
      </c>
      <c r="Y201" s="335">
        <v>418</v>
      </c>
      <c r="Z201" s="336">
        <v>357</v>
      </c>
      <c r="AA201" s="1435">
        <v>314</v>
      </c>
      <c r="AB201" s="1457">
        <v>327</v>
      </c>
      <c r="AC201" s="1443">
        <f>AB201</f>
        <v>327</v>
      </c>
      <c r="AD201" s="335">
        <v>336</v>
      </c>
      <c r="AE201" s="336">
        <v>368</v>
      </c>
      <c r="AF201" s="336">
        <v>364</v>
      </c>
      <c r="AG201" s="1457">
        <v>310</v>
      </c>
      <c r="AH201" s="1443">
        <f>AG201</f>
        <v>310</v>
      </c>
      <c r="AI201" s="335">
        <v>421</v>
      </c>
      <c r="AJ201" s="336">
        <v>409</v>
      </c>
      <c r="AK201" s="336">
        <v>365</v>
      </c>
      <c r="AL201" s="1457">
        <v>369</v>
      </c>
      <c r="AM201" s="1443">
        <f>AL201</f>
        <v>369</v>
      </c>
      <c r="AN201" s="335">
        <v>512</v>
      </c>
      <c r="AO201" s="336">
        <v>503</v>
      </c>
      <c r="AP201" s="336">
        <v>548</v>
      </c>
      <c r="AQ201" s="1457">
        <v>602</v>
      </c>
      <c r="AR201" s="1443">
        <f>AQ201</f>
        <v>602</v>
      </c>
      <c r="AS201" s="335">
        <v>637</v>
      </c>
      <c r="AT201" s="1435">
        <v>574</v>
      </c>
      <c r="AU201" s="1435">
        <v>553</v>
      </c>
      <c r="AV201" s="1457">
        <v>523</v>
      </c>
      <c r="AW201" s="1443">
        <f>AV201</f>
        <v>523</v>
      </c>
      <c r="AX201" s="290">
        <f>AW201</f>
        <v>523</v>
      </c>
      <c r="AY201" s="260">
        <f>AX201</f>
        <v>523</v>
      </c>
      <c r="AZ201" s="260">
        <f>AY201</f>
        <v>523</v>
      </c>
      <c r="BA201" s="291">
        <f>AZ201</f>
        <v>523</v>
      </c>
      <c r="BB201" s="45">
        <f>BA201</f>
        <v>523</v>
      </c>
      <c r="BC201" s="290">
        <f>BB201</f>
        <v>523</v>
      </c>
      <c r="BD201" s="260">
        <f>BC201</f>
        <v>523</v>
      </c>
      <c r="BE201" s="260">
        <f>BD201</f>
        <v>523</v>
      </c>
      <c r="BF201" s="291">
        <f>BE201</f>
        <v>523</v>
      </c>
      <c r="BG201" s="45">
        <f>BF201</f>
        <v>523</v>
      </c>
      <c r="BH201" s="290">
        <f>BG201</f>
        <v>523</v>
      </c>
      <c r="BI201" s="260">
        <f>BH201</f>
        <v>523</v>
      </c>
      <c r="BJ201" s="260">
        <f>BI201</f>
        <v>523</v>
      </c>
      <c r="BK201" s="291">
        <f>BJ201</f>
        <v>523</v>
      </c>
      <c r="BL201" s="45">
        <f>BK201</f>
        <v>523</v>
      </c>
      <c r="BM201" s="290">
        <f>BL201</f>
        <v>523</v>
      </c>
      <c r="BN201" s="260">
        <f>BM201</f>
        <v>523</v>
      </c>
      <c r="BO201" s="260">
        <f>BN201</f>
        <v>523</v>
      </c>
      <c r="BP201" s="291">
        <f>BO201</f>
        <v>523</v>
      </c>
      <c r="BQ201" s="45">
        <f>BP201</f>
        <v>523</v>
      </c>
      <c r="BR201" s="45"/>
      <c r="BS201" s="45"/>
      <c r="BT201" s="45"/>
      <c r="BU201" s="45"/>
      <c r="BV201" s="45"/>
      <c r="BW201" s="45"/>
      <c r="DR201"/>
      <c r="DS201"/>
      <c r="DT201"/>
      <c r="DU201"/>
      <c r="DV201"/>
      <c r="DW201"/>
      <c r="DX201" s="37"/>
    </row>
    <row r="202" spans="3:128" s="28" customFormat="1">
      <c r="C202" s="28" t="s">
        <v>186</v>
      </c>
      <c r="E202" s="335">
        <f>433+1177+266+598-E201</f>
        <v>2445</v>
      </c>
      <c r="F202" s="336">
        <f>294+1045+176+659-F201</f>
        <v>2147</v>
      </c>
      <c r="G202" s="336">
        <f>206+888+117+554-G201</f>
        <v>1745</v>
      </c>
      <c r="H202" s="588">
        <f>198+923+152+411-H201</f>
        <v>1651</v>
      </c>
      <c r="I202" s="932">
        <f>H202</f>
        <v>1651</v>
      </c>
      <c r="J202" s="335">
        <f>1191+220+183+441-J201</f>
        <v>1972</v>
      </c>
      <c r="K202" s="336">
        <f>1098+114+54+450-K201</f>
        <v>1665</v>
      </c>
      <c r="L202" s="336">
        <f>1203+204+67+594-L201</f>
        <v>1937</v>
      </c>
      <c r="M202" s="588">
        <f>38+1040+85+880-M201</f>
        <v>1999</v>
      </c>
      <c r="N202" s="45">
        <f>M202</f>
        <v>1999</v>
      </c>
      <c r="O202" s="335">
        <f>852+37+561</f>
        <v>1450</v>
      </c>
      <c r="P202" s="336">
        <f>878+50+567</f>
        <v>1495</v>
      </c>
      <c r="Q202" s="336">
        <f>1053+52+498</f>
        <v>1603</v>
      </c>
      <c r="R202" s="588">
        <f>112+1255+349+560</f>
        <v>2276</v>
      </c>
      <c r="S202" s="45">
        <f>R202</f>
        <v>2276</v>
      </c>
      <c r="T202" s="335">
        <f>1492+517+1105+707+862+472</f>
        <v>5155</v>
      </c>
      <c r="U202" s="336">
        <f>1452+482+4+829+616+947</f>
        <v>4330</v>
      </c>
      <c r="V202" s="336">
        <f>1502+52+4+521+523+974</f>
        <v>3576</v>
      </c>
      <c r="W202" s="588">
        <f>352+455+1800+58+4+889</f>
        <v>3558</v>
      </c>
      <c r="X202" s="45">
        <f>W202</f>
        <v>3558</v>
      </c>
      <c r="Y202" s="335">
        <f>1430+29+1+181+410+859</f>
        <v>2910</v>
      </c>
      <c r="Z202" s="336">
        <f>1382+45+147+360+823</f>
        <v>2757</v>
      </c>
      <c r="AA202" s="1435">
        <f>126+305+838+1540+50</f>
        <v>2859</v>
      </c>
      <c r="AB202" s="1457">
        <f>159+261+1633+40+858+116</f>
        <v>3067</v>
      </c>
      <c r="AC202" s="1443">
        <f>AB202</f>
        <v>3067</v>
      </c>
      <c r="AD202" s="335">
        <f>251+238+1364+22+932+94</f>
        <v>2901</v>
      </c>
      <c r="AE202" s="336">
        <f>1382+38+17+228+239+994</f>
        <v>2898</v>
      </c>
      <c r="AF202" s="336">
        <f>249+195+1462+26+985+22</f>
        <v>2939</v>
      </c>
      <c r="AG202" s="1457">
        <f>8+234+238+1123+1539</f>
        <v>3142</v>
      </c>
      <c r="AH202" s="1443">
        <f>AG202</f>
        <v>3142</v>
      </c>
      <c r="AI202" s="335">
        <f>1230+8+117+172+1018</f>
        <v>2545</v>
      </c>
      <c r="AJ202" s="336">
        <f>1366+8+165+141+941</f>
        <v>2621</v>
      </c>
      <c r="AK202" s="336">
        <f>1576+8+204+118+1017</f>
        <v>2923</v>
      </c>
      <c r="AL202" s="1457">
        <f>2376+8+205+100+302+842</f>
        <v>3833</v>
      </c>
      <c r="AM202" s="1443">
        <f>AL202</f>
        <v>3833</v>
      </c>
      <c r="AN202" s="335">
        <f>8+203+582+308+317+1008+2260</f>
        <v>4686</v>
      </c>
      <c r="AO202" s="336">
        <f>2757+8+152+508+316+155+1025</f>
        <v>4921</v>
      </c>
      <c r="AP202" s="336">
        <f>3236+8+222+452+356+145+1068</f>
        <v>5487</v>
      </c>
      <c r="AQ202" s="1457">
        <f>3460+8+282+407+428+151+981</f>
        <v>5717</v>
      </c>
      <c r="AR202" s="1443">
        <f>AQ202</f>
        <v>5717</v>
      </c>
      <c r="AS202" s="335">
        <f>3007+8+228+388+400+123+942</f>
        <v>5096</v>
      </c>
      <c r="AT202" s="1435">
        <f>2878+8+244+340+308+126+977</f>
        <v>4881</v>
      </c>
      <c r="AU202" s="1435">
        <f>3080+5+178+283+261+96+933</f>
        <v>4836</v>
      </c>
      <c r="AV202" s="1457">
        <f>1835+5+232+231+352+87+982</f>
        <v>3724</v>
      </c>
      <c r="AW202" s="1443">
        <f>AV202</f>
        <v>3724</v>
      </c>
      <c r="AX202" s="290">
        <f>+AW202</f>
        <v>3724</v>
      </c>
      <c r="AY202" s="260">
        <f>+AX202</f>
        <v>3724</v>
      </c>
      <c r="AZ202" s="260">
        <f>+AY202</f>
        <v>3724</v>
      </c>
      <c r="BA202" s="291">
        <f>+AZ202</f>
        <v>3724</v>
      </c>
      <c r="BB202" s="45">
        <f>BA202</f>
        <v>3724</v>
      </c>
      <c r="BC202" s="290">
        <f>+BB202</f>
        <v>3724</v>
      </c>
      <c r="BD202" s="260">
        <f>+BC202</f>
        <v>3724</v>
      </c>
      <c r="BE202" s="260">
        <f>+BD202</f>
        <v>3724</v>
      </c>
      <c r="BF202" s="291">
        <f>+BE202</f>
        <v>3724</v>
      </c>
      <c r="BG202" s="45">
        <f>BF202</f>
        <v>3724</v>
      </c>
      <c r="BH202" s="290">
        <f>+BG202</f>
        <v>3724</v>
      </c>
      <c r="BI202" s="260">
        <f>+BH202</f>
        <v>3724</v>
      </c>
      <c r="BJ202" s="260">
        <f>+BI202</f>
        <v>3724</v>
      </c>
      <c r="BK202" s="291">
        <f>+BJ202</f>
        <v>3724</v>
      </c>
      <c r="BL202" s="45">
        <f>BK202</f>
        <v>3724</v>
      </c>
      <c r="BM202" s="290">
        <f>+BL202</f>
        <v>3724</v>
      </c>
      <c r="BN202" s="260">
        <f>+BM202</f>
        <v>3724</v>
      </c>
      <c r="BO202" s="260">
        <f>+BN202</f>
        <v>3724</v>
      </c>
      <c r="BP202" s="291">
        <f>+BO202</f>
        <v>3724</v>
      </c>
      <c r="BQ202" s="45">
        <f>BP202</f>
        <v>3724</v>
      </c>
      <c r="BR202" s="45"/>
      <c r="BS202" s="45"/>
      <c r="BT202" s="45"/>
      <c r="BU202" s="45"/>
      <c r="BV202" s="45"/>
      <c r="BW202" s="45"/>
      <c r="DR202"/>
      <c r="DS202"/>
      <c r="DT202"/>
      <c r="DU202"/>
      <c r="DV202"/>
      <c r="DW202"/>
      <c r="DX202" s="37"/>
    </row>
    <row r="203" spans="3:128" s="28" customFormat="1">
      <c r="C203" s="32" t="s">
        <v>187</v>
      </c>
      <c r="E203" s="292">
        <f t="shared" ref="E203:P203" si="479">SUM(E198:E202)</f>
        <v>4366</v>
      </c>
      <c r="F203" s="261">
        <f t="shared" si="479"/>
        <v>4166</v>
      </c>
      <c r="G203" s="261">
        <f t="shared" si="479"/>
        <v>4444</v>
      </c>
      <c r="H203" s="293">
        <f t="shared" si="479"/>
        <v>4238</v>
      </c>
      <c r="I203" s="933">
        <f t="shared" si="479"/>
        <v>4238</v>
      </c>
      <c r="J203" s="292">
        <f t="shared" si="479"/>
        <v>4890</v>
      </c>
      <c r="K203" s="261">
        <f t="shared" si="479"/>
        <v>4030</v>
      </c>
      <c r="L203" s="261">
        <f t="shared" si="479"/>
        <v>3967</v>
      </c>
      <c r="M203" s="293">
        <f t="shared" si="479"/>
        <v>4240</v>
      </c>
      <c r="N203" s="228">
        <f t="shared" si="479"/>
        <v>4240</v>
      </c>
      <c r="O203" s="292">
        <f t="shared" si="479"/>
        <v>4171</v>
      </c>
      <c r="P203" s="261">
        <f t="shared" si="479"/>
        <v>4268</v>
      </c>
      <c r="Q203" s="261">
        <f t="shared" ref="Q203:Y203" si="480">SUM(Q198:Q202)</f>
        <v>4977</v>
      </c>
      <c r="R203" s="293">
        <f t="shared" si="480"/>
        <v>4989</v>
      </c>
      <c r="S203" s="228">
        <f t="shared" si="480"/>
        <v>4989</v>
      </c>
      <c r="T203" s="292">
        <f t="shared" si="480"/>
        <v>9052</v>
      </c>
      <c r="U203" s="261">
        <f t="shared" si="480"/>
        <v>8083</v>
      </c>
      <c r="V203" s="261">
        <f t="shared" si="480"/>
        <v>7770</v>
      </c>
      <c r="W203" s="293">
        <f t="shared" si="480"/>
        <v>7784</v>
      </c>
      <c r="X203" s="228">
        <f t="shared" si="480"/>
        <v>7784</v>
      </c>
      <c r="Y203" s="292">
        <f t="shared" si="480"/>
        <v>8321</v>
      </c>
      <c r="Z203" s="261">
        <f t="shared" ref="Z203:AE203" si="481">SUM(Z198:Z202)</f>
        <v>8374</v>
      </c>
      <c r="AA203" s="1438">
        <f t="shared" si="481"/>
        <v>7507</v>
      </c>
      <c r="AB203" s="1439">
        <f>SUM(AB198:AB202)</f>
        <v>7728</v>
      </c>
      <c r="AC203" s="1440">
        <f>SUM(AC198:AC202)</f>
        <v>7728</v>
      </c>
      <c r="AD203" s="292">
        <f>SUM(AD198:AD202)</f>
        <v>7351</v>
      </c>
      <c r="AE203" s="261">
        <f t="shared" si="481"/>
        <v>8567</v>
      </c>
      <c r="AF203" s="261">
        <f>SUM(AF198:AF202)</f>
        <v>8431</v>
      </c>
      <c r="AG203" s="1439">
        <f>SUM(AG198:AG202)</f>
        <v>8762</v>
      </c>
      <c r="AH203" s="1440">
        <f>SUM(AH198:AH202)</f>
        <v>8762</v>
      </c>
      <c r="AI203" s="292">
        <f>SUM(AI198:AI202)</f>
        <v>7374</v>
      </c>
      <c r="AJ203" s="261">
        <f t="shared" ref="AJ203" si="482">SUM(AJ198:AJ202)</f>
        <v>6526</v>
      </c>
      <c r="AK203" s="261">
        <f t="shared" ref="AK203:AM203" si="483">SUM(AK198:AK202)</f>
        <v>7847</v>
      </c>
      <c r="AL203" s="1439">
        <f t="shared" si="483"/>
        <v>9118</v>
      </c>
      <c r="AM203" s="1440">
        <f t="shared" si="483"/>
        <v>9118</v>
      </c>
      <c r="AN203" s="292">
        <f t="shared" ref="AN203:AR203" si="484">SUM(AN198:AN202)</f>
        <v>13770</v>
      </c>
      <c r="AO203" s="261">
        <f t="shared" si="484"/>
        <v>11894</v>
      </c>
      <c r="AP203" s="261">
        <f t="shared" si="484"/>
        <v>12158</v>
      </c>
      <c r="AQ203" s="1439">
        <f t="shared" si="484"/>
        <v>13457</v>
      </c>
      <c r="AR203" s="1440">
        <f t="shared" si="484"/>
        <v>13457</v>
      </c>
      <c r="AS203" s="292">
        <f t="shared" ref="AS203:AT203" si="485">SUM(AS198:AS202)</f>
        <v>14437</v>
      </c>
      <c r="AT203" s="1438">
        <f t="shared" si="485"/>
        <v>13965</v>
      </c>
      <c r="AU203" s="1438">
        <f t="shared" ref="AU203:BB203" si="486">SUM(AU198:AU202)</f>
        <v>12395</v>
      </c>
      <c r="AV203" s="1439">
        <f t="shared" si="486"/>
        <v>10796</v>
      </c>
      <c r="AW203" s="1440">
        <f t="shared" si="486"/>
        <v>10796</v>
      </c>
      <c r="AX203" s="292">
        <f t="shared" si="486"/>
        <v>9686.9724788846561</v>
      </c>
      <c r="AY203" s="261">
        <f t="shared" ca="1" si="486"/>
        <v>10210.737132763948</v>
      </c>
      <c r="AZ203" s="261">
        <f t="shared" ca="1" si="486"/>
        <v>7813</v>
      </c>
      <c r="BA203" s="293">
        <f t="shared" ca="1" si="486"/>
        <v>8413</v>
      </c>
      <c r="BB203" s="228">
        <f t="shared" ca="1" si="486"/>
        <v>8413</v>
      </c>
      <c r="BC203" s="292">
        <f t="shared" ref="BC203:BL203" ca="1" si="487">SUM(BC198:BC202)</f>
        <v>9413</v>
      </c>
      <c r="BD203" s="261">
        <f t="shared" ca="1" si="487"/>
        <v>10313</v>
      </c>
      <c r="BE203" s="261">
        <f t="shared" ca="1" si="487"/>
        <v>11234.470000000001</v>
      </c>
      <c r="BF203" s="293">
        <f t="shared" ca="1" si="487"/>
        <v>11734.470000000001</v>
      </c>
      <c r="BG203" s="228">
        <f t="shared" ca="1" si="487"/>
        <v>11734.470000000001</v>
      </c>
      <c r="BH203" s="292">
        <f t="shared" ca="1" si="487"/>
        <v>11967.144677304037</v>
      </c>
      <c r="BI203" s="261">
        <f t="shared" ca="1" si="487"/>
        <v>12782.833024999591</v>
      </c>
      <c r="BJ203" s="261">
        <f t="shared" ca="1" si="487"/>
        <v>10928.865</v>
      </c>
      <c r="BK203" s="293">
        <f t="shared" ca="1" si="487"/>
        <v>11138.209507100124</v>
      </c>
      <c r="BL203" s="228">
        <f t="shared" ca="1" si="487"/>
        <v>11138.209507100124</v>
      </c>
      <c r="BM203" s="292">
        <f t="shared" ref="BM203:BQ203" ca="1" si="488">SUM(BM198:BM202)</f>
        <v>11047.020595242431</v>
      </c>
      <c r="BN203" s="261">
        <f t="shared" ca="1" si="488"/>
        <v>11329.914534865864</v>
      </c>
      <c r="BO203" s="261">
        <f t="shared" ca="1" si="488"/>
        <v>8079</v>
      </c>
      <c r="BP203" s="293">
        <f t="shared" ca="1" si="488"/>
        <v>7779</v>
      </c>
      <c r="BQ203" s="228">
        <f t="shared" ca="1" si="488"/>
        <v>7779</v>
      </c>
      <c r="BR203" s="45"/>
      <c r="BS203" s="45"/>
      <c r="BT203" s="45"/>
      <c r="BU203" s="45"/>
      <c r="BV203" s="45"/>
      <c r="BW203" s="45"/>
      <c r="DR203"/>
      <c r="DS203"/>
      <c r="DT203"/>
      <c r="DU203"/>
      <c r="DV203"/>
      <c r="DW203"/>
      <c r="DX203" s="37"/>
    </row>
    <row r="204" spans="3:128" s="28" customFormat="1">
      <c r="E204" s="290"/>
      <c r="F204" s="260"/>
      <c r="G204" s="260"/>
      <c r="H204" s="291"/>
      <c r="I204" s="932"/>
      <c r="J204" s="290"/>
      <c r="K204" s="260"/>
      <c r="L204" s="260"/>
      <c r="M204" s="291"/>
      <c r="N204" s="45"/>
      <c r="O204" s="290"/>
      <c r="P204" s="260"/>
      <c r="Q204" s="260"/>
      <c r="R204" s="291"/>
      <c r="S204" s="45"/>
      <c r="T204" s="290"/>
      <c r="U204" s="260"/>
      <c r="V204" s="260"/>
      <c r="W204" s="291"/>
      <c r="X204" s="45"/>
      <c r="Y204" s="290"/>
      <c r="Z204" s="260"/>
      <c r="AA204" s="1441"/>
      <c r="AB204" s="1442"/>
      <c r="AC204" s="1443"/>
      <c r="AD204" s="290"/>
      <c r="AE204" s="260"/>
      <c r="AF204" s="260"/>
      <c r="AG204" s="1442"/>
      <c r="AH204" s="1443"/>
      <c r="AI204" s="290"/>
      <c r="AJ204" s="260"/>
      <c r="AK204" s="260"/>
      <c r="AL204" s="1442"/>
      <c r="AM204" s="1443"/>
      <c r="AN204" s="290"/>
      <c r="AO204" s="260"/>
      <c r="AP204" s="260"/>
      <c r="AQ204" s="1442"/>
      <c r="AR204" s="1443"/>
      <c r="AS204" s="290"/>
      <c r="AT204" s="1441"/>
      <c r="AU204" s="260"/>
      <c r="AV204" s="1442"/>
      <c r="AW204" s="1443"/>
      <c r="AX204" s="290"/>
      <c r="AY204" s="260"/>
      <c r="AZ204" s="260"/>
      <c r="BA204" s="291"/>
      <c r="BB204" s="45"/>
      <c r="BC204" s="290"/>
      <c r="BD204" s="260"/>
      <c r="BE204" s="260"/>
      <c r="BF204" s="291"/>
      <c r="BG204" s="45"/>
      <c r="BH204" s="290"/>
      <c r="BI204" s="260"/>
      <c r="BJ204" s="260"/>
      <c r="BK204" s="291"/>
      <c r="BL204" s="45"/>
      <c r="BM204" s="290"/>
      <c r="BN204" s="260"/>
      <c r="BO204" s="260"/>
      <c r="BP204" s="291"/>
      <c r="BQ204" s="45"/>
      <c r="BR204" s="45"/>
      <c r="BS204" s="45"/>
      <c r="BT204" s="45"/>
      <c r="BU204" s="45"/>
      <c r="BV204" s="45"/>
      <c r="BW204" s="45"/>
      <c r="DR204"/>
      <c r="DS204"/>
      <c r="DT204"/>
      <c r="DU204"/>
      <c r="DV204"/>
      <c r="DW204"/>
      <c r="DX204" s="37"/>
    </row>
    <row r="205" spans="3:128" s="28" customFormat="1">
      <c r="C205" s="28" t="s">
        <v>398</v>
      </c>
      <c r="E205" s="335">
        <f>11599+404+390</f>
        <v>12393</v>
      </c>
      <c r="F205" s="336">
        <f>11240+404+390</f>
        <v>12034</v>
      </c>
      <c r="G205" s="336">
        <f>11021+390</f>
        <v>11411</v>
      </c>
      <c r="H205" s="588">
        <f>10995+390</f>
        <v>11385</v>
      </c>
      <c r="I205" s="932">
        <f>H205</f>
        <v>11385</v>
      </c>
      <c r="J205" s="335">
        <f>10808+390</f>
        <v>11198</v>
      </c>
      <c r="K205" s="336">
        <f>10811+390</f>
        <v>11201</v>
      </c>
      <c r="L205" s="336">
        <f>11662+390</f>
        <v>12052</v>
      </c>
      <c r="M205" s="588">
        <f>11614+390</f>
        <v>12004</v>
      </c>
      <c r="N205" s="45">
        <f>M205</f>
        <v>12004</v>
      </c>
      <c r="O205" s="335">
        <f>11762+390</f>
        <v>12152</v>
      </c>
      <c r="P205" s="336">
        <f>11764+390</f>
        <v>12154</v>
      </c>
      <c r="Q205" s="336">
        <f>12175+390</f>
        <v>12565</v>
      </c>
      <c r="R205" s="588">
        <f>11799+390</f>
        <v>12189</v>
      </c>
      <c r="S205" s="45">
        <f>R205</f>
        <v>12189</v>
      </c>
      <c r="T205" s="335">
        <f>16293+648+517</f>
        <v>17458</v>
      </c>
      <c r="U205" s="336">
        <f>17045+649+479</f>
        <v>18173</v>
      </c>
      <c r="V205" s="336">
        <f>17050+649+546</f>
        <v>18245</v>
      </c>
      <c r="W205" s="588">
        <f>17190+648+508</f>
        <v>18346</v>
      </c>
      <c r="X205" s="45">
        <f>W205</f>
        <v>18346</v>
      </c>
      <c r="Y205" s="335">
        <f>16210+648+497</f>
        <v>17355</v>
      </c>
      <c r="Z205" s="336">
        <f>16121+648+449</f>
        <v>17218</v>
      </c>
      <c r="AA205" s="1435">
        <f>17583+648+339</f>
        <v>18570</v>
      </c>
      <c r="AB205" s="1457">
        <f>17325+648+298</f>
        <v>18271</v>
      </c>
      <c r="AC205" s="1443">
        <f>AB205</f>
        <v>18271</v>
      </c>
      <c r="AD205" s="335">
        <f>18247+648+300</f>
        <v>19195</v>
      </c>
      <c r="AE205" s="336">
        <f>18133+648</f>
        <v>18781</v>
      </c>
      <c r="AF205" s="336">
        <f>19200+648</f>
        <v>19848</v>
      </c>
      <c r="AG205" s="1457">
        <f>19362+648</f>
        <v>20010</v>
      </c>
      <c r="AH205" s="1443">
        <f>AG205</f>
        <v>20010</v>
      </c>
      <c r="AI205" s="335">
        <f>20519+648</f>
        <v>21167</v>
      </c>
      <c r="AJ205" s="336">
        <f>25220+648</f>
        <v>25868</v>
      </c>
      <c r="AK205" s="336">
        <f>24541+648</f>
        <v>25189</v>
      </c>
      <c r="AL205" s="1457">
        <f>23645+641</f>
        <v>24286</v>
      </c>
      <c r="AM205" s="1443">
        <f>AL205</f>
        <v>24286</v>
      </c>
      <c r="AN205" s="335">
        <f>29314+641</f>
        <v>29955</v>
      </c>
      <c r="AO205" s="336">
        <f>31541+641</f>
        <v>32182</v>
      </c>
      <c r="AP205" s="336">
        <f>32330+642</f>
        <v>32972</v>
      </c>
      <c r="AQ205" s="1457">
        <f>31575+641</f>
        <v>32216</v>
      </c>
      <c r="AR205" s="1443">
        <f>AQ205</f>
        <v>32216</v>
      </c>
      <c r="AS205" s="335">
        <f>31044+641</f>
        <v>31685</v>
      </c>
      <c r="AT205" s="1435">
        <f>30315+641</f>
        <v>30956</v>
      </c>
      <c r="AU205" s="1435">
        <f>31701+389</f>
        <v>32090</v>
      </c>
      <c r="AV205" s="1457">
        <f>32176+389</f>
        <v>32565</v>
      </c>
      <c r="AW205" s="1443">
        <f>AV205</f>
        <v>32565</v>
      </c>
      <c r="AX205" s="290">
        <f>AW205+AX102+AX103-AX198+AW198</f>
        <v>32887</v>
      </c>
      <c r="AY205" s="260">
        <f>AX205+AY102+AY103-AY198+AX198</f>
        <v>32887</v>
      </c>
      <c r="AZ205" s="260">
        <f>AY205+AZ102+AZ103-AZ198+AY198</f>
        <v>36358</v>
      </c>
      <c r="BA205" s="291">
        <f>AZ205+BA102+BA103-BA198+AZ198</f>
        <v>35758</v>
      </c>
      <c r="BB205" s="45">
        <f>BA205</f>
        <v>35758</v>
      </c>
      <c r="BC205" s="290">
        <f>BB205+BC102+BC103-BC198+BB198</f>
        <v>34758</v>
      </c>
      <c r="BD205" s="260">
        <f>BC205+BD102+BD103-BD198+BC198</f>
        <v>33858</v>
      </c>
      <c r="BE205" s="260">
        <f>BD205+BE102+BE103-BE198+BD198</f>
        <v>34162.53</v>
      </c>
      <c r="BF205" s="291">
        <f>BE205+BF102+BF103-BF198+BE198</f>
        <v>33062.53</v>
      </c>
      <c r="BG205" s="45">
        <f>BF205</f>
        <v>33062.53</v>
      </c>
      <c r="BH205" s="290">
        <f>BG205+BH102+BH103-BH198+BG198</f>
        <v>32201.53</v>
      </c>
      <c r="BI205" s="260">
        <f>BH205+BI102+BI103-BI198+BH198</f>
        <v>31901.53</v>
      </c>
      <c r="BJ205" s="260">
        <f>BI205+BJ102+BJ103-BJ198+BI198</f>
        <v>34197.665000000001</v>
      </c>
      <c r="BK205" s="291">
        <f>BJ205+BK102+BK103-BK198+BJ198</f>
        <v>33897.665000000001</v>
      </c>
      <c r="BL205" s="45">
        <f>BK205</f>
        <v>33897.665000000001</v>
      </c>
      <c r="BM205" s="290">
        <f>BL205+BM102+BM103-BM198+BL198</f>
        <v>33897.665000000001</v>
      </c>
      <c r="BN205" s="260">
        <f>BM205+BN102+BN103-BN198+BM198</f>
        <v>33897.665000000001</v>
      </c>
      <c r="BO205" s="260">
        <f>BN205+BO102+BO103-BO198+BN198</f>
        <v>37547.665000000001</v>
      </c>
      <c r="BP205" s="291">
        <f>BO205+BP102+BP103-BP198+BO198</f>
        <v>37547.665000000001</v>
      </c>
      <c r="BQ205" s="45">
        <f>BP205</f>
        <v>37547.665000000001</v>
      </c>
      <c r="BR205" s="45"/>
      <c r="BS205" s="45"/>
      <c r="BT205" s="45"/>
      <c r="BU205" s="45"/>
      <c r="BV205" s="45"/>
      <c r="BW205" s="45"/>
      <c r="DR205"/>
      <c r="DS205"/>
      <c r="DT205"/>
      <c r="DU205"/>
      <c r="DV205"/>
      <c r="DW205"/>
      <c r="DX205" s="37"/>
    </row>
    <row r="206" spans="3:128" s="28" customFormat="1">
      <c r="E206" s="335"/>
      <c r="F206" s="336"/>
      <c r="G206" s="336"/>
      <c r="H206" s="588"/>
      <c r="I206" s="932"/>
      <c r="J206" s="335"/>
      <c r="K206" s="336"/>
      <c r="L206" s="336"/>
      <c r="M206" s="588"/>
      <c r="N206" s="45"/>
      <c r="O206" s="335"/>
      <c r="P206" s="336"/>
      <c r="Q206" s="336"/>
      <c r="R206" s="588"/>
      <c r="S206" s="45"/>
      <c r="T206" s="335"/>
      <c r="U206" s="336"/>
      <c r="V206" s="336"/>
      <c r="W206" s="588"/>
      <c r="X206" s="45"/>
      <c r="Y206" s="335"/>
      <c r="Z206" s="336"/>
      <c r="AA206" s="1435"/>
      <c r="AB206" s="1457"/>
      <c r="AC206" s="1443"/>
      <c r="AD206" s="335"/>
      <c r="AE206" s="336"/>
      <c r="AF206" s="336"/>
      <c r="AG206" s="1457"/>
      <c r="AH206" s="1443"/>
      <c r="AI206" s="335"/>
      <c r="AJ206" s="336"/>
      <c r="AK206" s="336"/>
      <c r="AL206" s="1457"/>
      <c r="AM206" s="1443"/>
      <c r="AN206" s="335"/>
      <c r="AO206" s="336"/>
      <c r="AP206" s="336"/>
      <c r="AQ206" s="1457"/>
      <c r="AR206" s="1443"/>
      <c r="AS206" s="335"/>
      <c r="AT206" s="1435"/>
      <c r="AU206" s="260"/>
      <c r="AV206" s="1457"/>
      <c r="AW206" s="1443"/>
      <c r="AX206" s="290"/>
      <c r="AY206" s="260"/>
      <c r="AZ206" s="260"/>
      <c r="BA206" s="291"/>
      <c r="BB206" s="45"/>
      <c r="BC206" s="290"/>
      <c r="BD206" s="260"/>
      <c r="BE206" s="260"/>
      <c r="BF206" s="291"/>
      <c r="BG206" s="45"/>
      <c r="BH206" s="290"/>
      <c r="BI206" s="260"/>
      <c r="BJ206" s="260"/>
      <c r="BK206" s="291"/>
      <c r="BL206" s="45"/>
      <c r="BM206" s="290"/>
      <c r="BN206" s="260"/>
      <c r="BO206" s="260"/>
      <c r="BP206" s="291"/>
      <c r="BQ206" s="45"/>
      <c r="BR206" s="45"/>
      <c r="BS206" s="45"/>
      <c r="BT206" s="45"/>
      <c r="BU206" s="45"/>
      <c r="BV206" s="45"/>
      <c r="BW206" s="45"/>
      <c r="DR206"/>
      <c r="DS206"/>
      <c r="DT206"/>
      <c r="DU206"/>
      <c r="DV206"/>
      <c r="DW206"/>
      <c r="DX206" s="37"/>
    </row>
    <row r="207" spans="3:128" s="28" customFormat="1">
      <c r="C207" s="28" t="s">
        <v>418</v>
      </c>
      <c r="E207" s="335">
        <v>2364</v>
      </c>
      <c r="F207" s="336">
        <v>2689</v>
      </c>
      <c r="G207" s="336">
        <v>3395</v>
      </c>
      <c r="H207" s="588">
        <v>3492</v>
      </c>
      <c r="I207" s="932">
        <f>H207</f>
        <v>3492</v>
      </c>
      <c r="J207" s="335">
        <v>3572</v>
      </c>
      <c r="K207" s="336">
        <v>3344</v>
      </c>
      <c r="L207" s="336">
        <v>3440</v>
      </c>
      <c r="M207" s="588">
        <v>3555</v>
      </c>
      <c r="N207" s="45">
        <f>M207</f>
        <v>3555</v>
      </c>
      <c r="O207" s="335">
        <v>3722</v>
      </c>
      <c r="P207" s="336">
        <v>3706</v>
      </c>
      <c r="Q207" s="336">
        <v>3601</v>
      </c>
      <c r="R207" s="588">
        <v>3771</v>
      </c>
      <c r="S207" s="45">
        <f>R207</f>
        <v>3771</v>
      </c>
      <c r="T207" s="335">
        <v>4050</v>
      </c>
      <c r="U207" s="336">
        <v>3963</v>
      </c>
      <c r="V207" s="336">
        <v>4000</v>
      </c>
      <c r="W207" s="588">
        <v>3981</v>
      </c>
      <c r="X207" s="45">
        <f>W207</f>
        <v>3981</v>
      </c>
      <c r="Y207" s="335">
        <v>4115</v>
      </c>
      <c r="Z207" s="336">
        <v>4044</v>
      </c>
      <c r="AA207" s="1435">
        <v>4204</v>
      </c>
      <c r="AB207" s="1457">
        <v>4388</v>
      </c>
      <c r="AC207" s="1443">
        <f>AB207</f>
        <v>4388</v>
      </c>
      <c r="AD207" s="335">
        <v>4458</v>
      </c>
      <c r="AE207" s="336">
        <v>4670</v>
      </c>
      <c r="AF207" s="336">
        <v>4593</v>
      </c>
      <c r="AG207" s="1457">
        <v>4550</v>
      </c>
      <c r="AH207" s="1443">
        <f>AG207</f>
        <v>4550</v>
      </c>
      <c r="AI207" s="335">
        <v>4566</v>
      </c>
      <c r="AJ207" s="336">
        <v>4462</v>
      </c>
      <c r="AK207" s="336">
        <v>4180</v>
      </c>
      <c r="AL207" s="1457">
        <v>4201</v>
      </c>
      <c r="AM207" s="1443">
        <f>AL207</f>
        <v>4201</v>
      </c>
      <c r="AN207" s="335">
        <v>4378</v>
      </c>
      <c r="AO207" s="336">
        <v>4389</v>
      </c>
      <c r="AP207" s="336">
        <v>4437</v>
      </c>
      <c r="AQ207" s="1457">
        <v>4187</v>
      </c>
      <c r="AR207" s="1443">
        <f>AQ207</f>
        <v>4187</v>
      </c>
      <c r="AS207" s="335">
        <v>4302</v>
      </c>
      <c r="AT207" s="1435">
        <v>4398</v>
      </c>
      <c r="AU207" s="1435">
        <v>4549</v>
      </c>
      <c r="AV207" s="1457">
        <v>9865</v>
      </c>
      <c r="AW207" s="1443">
        <f>AV207</f>
        <v>9865</v>
      </c>
      <c r="AX207" s="290">
        <f>+AW207</f>
        <v>9865</v>
      </c>
      <c r="AY207" s="260">
        <f>+AX207</f>
        <v>9865</v>
      </c>
      <c r="AZ207" s="260">
        <f>+AY207</f>
        <v>9865</v>
      </c>
      <c r="BA207" s="291">
        <f>+AZ207</f>
        <v>9865</v>
      </c>
      <c r="BB207" s="45">
        <f>BA207</f>
        <v>9865</v>
      </c>
      <c r="BC207" s="290">
        <f>+BB207</f>
        <v>9865</v>
      </c>
      <c r="BD207" s="260">
        <f>+BC207</f>
        <v>9865</v>
      </c>
      <c r="BE207" s="260">
        <f>+BD207</f>
        <v>9865</v>
      </c>
      <c r="BF207" s="291">
        <f>+BE207</f>
        <v>9865</v>
      </c>
      <c r="BG207" s="45">
        <f>BF207</f>
        <v>9865</v>
      </c>
      <c r="BH207" s="290">
        <f>+BG207</f>
        <v>9865</v>
      </c>
      <c r="BI207" s="260">
        <f>+BH207</f>
        <v>9865</v>
      </c>
      <c r="BJ207" s="260">
        <f>+BI207</f>
        <v>9865</v>
      </c>
      <c r="BK207" s="291">
        <f>+BJ207</f>
        <v>9865</v>
      </c>
      <c r="BL207" s="45">
        <f>BK207</f>
        <v>9865</v>
      </c>
      <c r="BM207" s="290">
        <f>+BL207</f>
        <v>9865</v>
      </c>
      <c r="BN207" s="260">
        <f>+BM207</f>
        <v>9865</v>
      </c>
      <c r="BO207" s="260">
        <f>+BN207</f>
        <v>9865</v>
      </c>
      <c r="BP207" s="291">
        <f>+BO207</f>
        <v>9865</v>
      </c>
      <c r="BQ207" s="45">
        <f>BP207</f>
        <v>9865</v>
      </c>
      <c r="BR207" s="45"/>
      <c r="BS207" s="45"/>
      <c r="BT207" s="45"/>
      <c r="BU207" s="45"/>
      <c r="BV207" s="45"/>
      <c r="BW207" s="45"/>
      <c r="DR207"/>
      <c r="DS207"/>
      <c r="DT207"/>
      <c r="DU207"/>
      <c r="DV207"/>
      <c r="DW207"/>
      <c r="DX207" s="37"/>
    </row>
    <row r="208" spans="3:128" s="28" customFormat="1">
      <c r="C208" s="28" t="s">
        <v>188</v>
      </c>
      <c r="E208" s="335">
        <v>5051</v>
      </c>
      <c r="F208" s="336">
        <v>5260</v>
      </c>
      <c r="G208" s="336">
        <v>5858</v>
      </c>
      <c r="H208" s="588">
        <v>5750</v>
      </c>
      <c r="I208" s="932">
        <f>H208</f>
        <v>5750</v>
      </c>
      <c r="J208" s="335">
        <v>5983</v>
      </c>
      <c r="K208" s="336">
        <v>5474</v>
      </c>
      <c r="L208" s="336">
        <v>6153</v>
      </c>
      <c r="M208" s="588">
        <v>6621</v>
      </c>
      <c r="N208" s="45">
        <f>M208</f>
        <v>6621</v>
      </c>
      <c r="O208" s="335">
        <v>7215</v>
      </c>
      <c r="P208" s="336">
        <v>7391</v>
      </c>
      <c r="Q208" s="336">
        <v>7958</v>
      </c>
      <c r="R208" s="588">
        <v>8351</v>
      </c>
      <c r="S208" s="45">
        <f>R208</f>
        <v>8351</v>
      </c>
      <c r="T208" s="335">
        <v>10705</v>
      </c>
      <c r="U208" s="336">
        <v>10823</v>
      </c>
      <c r="V208" s="336">
        <v>11600</v>
      </c>
      <c r="W208" s="588">
        <v>11551</v>
      </c>
      <c r="X208" s="45">
        <f>W208</f>
        <v>11551</v>
      </c>
      <c r="Y208" s="335">
        <v>11315</v>
      </c>
      <c r="Z208" s="336">
        <v>11519</v>
      </c>
      <c r="AA208" s="1435">
        <v>11931</v>
      </c>
      <c r="AB208" s="1457">
        <v>12905</v>
      </c>
      <c r="AC208" s="1443">
        <f>AB208</f>
        <v>12905</v>
      </c>
      <c r="AD208" s="335">
        <v>12810</v>
      </c>
      <c r="AE208" s="336">
        <v>13192</v>
      </c>
      <c r="AF208" s="336">
        <v>13181</v>
      </c>
      <c r="AG208" s="1457">
        <v>13019</v>
      </c>
      <c r="AH208" s="1443">
        <f>AG208</f>
        <v>13019</v>
      </c>
      <c r="AI208" s="335">
        <v>13218</v>
      </c>
      <c r="AJ208" s="336">
        <v>13309</v>
      </c>
      <c r="AK208" s="336">
        <v>13480</v>
      </c>
      <c r="AL208" s="1457">
        <v>13776</v>
      </c>
      <c r="AM208" s="1443">
        <f>AL208</f>
        <v>13776</v>
      </c>
      <c r="AN208" s="335">
        <v>17474</v>
      </c>
      <c r="AO208" s="336">
        <v>17662</v>
      </c>
      <c r="AP208" s="336">
        <v>18115</v>
      </c>
      <c r="AQ208" s="1457">
        <v>18138</v>
      </c>
      <c r="AR208" s="1443">
        <f>AQ208</f>
        <v>18138</v>
      </c>
      <c r="AS208" s="335">
        <v>18518</v>
      </c>
      <c r="AT208" s="1435">
        <v>18521</v>
      </c>
      <c r="AU208" s="1435">
        <v>19250</v>
      </c>
      <c r="AV208" s="1457">
        <v>11222</v>
      </c>
      <c r="AW208" s="1443">
        <f>AV208</f>
        <v>11222</v>
      </c>
      <c r="AX208" s="290">
        <f>+AW208+AX152</f>
        <v>11426.526158282462</v>
      </c>
      <c r="AY208" s="260">
        <f ca="1">+AX208+AY152</f>
        <v>11547.355060818007</v>
      </c>
      <c r="AZ208" s="260">
        <f ca="1">+AY208+AZ152</f>
        <v>11770.363821114583</v>
      </c>
      <c r="BA208" s="291">
        <f ca="1">+AZ208+BA152</f>
        <v>11876.710723209884</v>
      </c>
      <c r="BB208" s="45">
        <f ca="1">BA208</f>
        <v>11876.710723209884</v>
      </c>
      <c r="BC208" s="290">
        <f ca="1">+BB208+BC152</f>
        <v>12139.228233588037</v>
      </c>
      <c r="BD208" s="260">
        <f ca="1">+BC208+BD152</f>
        <v>12232.056900955102</v>
      </c>
      <c r="BE208" s="260">
        <f ca="1">+BD208+BE152</f>
        <v>12434.865266047103</v>
      </c>
      <c r="BF208" s="291">
        <f ca="1">+BE208+BF152</f>
        <v>12512.440082418136</v>
      </c>
      <c r="BG208" s="45">
        <f ca="1">BF208</f>
        <v>12512.440082418136</v>
      </c>
      <c r="BH208" s="290">
        <f ca="1">+BG208+BH152</f>
        <v>12765.317159346307</v>
      </c>
      <c r="BI208" s="260">
        <f ca="1">+BH208+BI152</f>
        <v>12843.351851034922</v>
      </c>
      <c r="BJ208" s="260">
        <f ca="1">+BI208+BJ152</f>
        <v>13072.228572934502</v>
      </c>
      <c r="BK208" s="291">
        <f ca="1">+BJ208+BK152</f>
        <v>13181.308303639778</v>
      </c>
      <c r="BL208" s="45">
        <f ca="1">BK208</f>
        <v>13181.308303639778</v>
      </c>
      <c r="BM208" s="290">
        <f ca="1">+BL208+BM152</f>
        <v>13388.700878239357</v>
      </c>
      <c r="BN208" s="260">
        <f ca="1">+BM208+BN152</f>
        <v>13504.996426458201</v>
      </c>
      <c r="BO208" s="260">
        <f ca="1">+BN208+BO152</f>
        <v>13746.90455191754</v>
      </c>
      <c r="BP208" s="291">
        <f ca="1">+BO208+BP152</f>
        <v>13883.440557103</v>
      </c>
      <c r="BQ208" s="45">
        <f ca="1">BP208</f>
        <v>13883.440557103</v>
      </c>
      <c r="BR208" s="45"/>
      <c r="BS208" s="45"/>
      <c r="BT208" s="45"/>
      <c r="BU208" s="45"/>
      <c r="BV208" s="45"/>
      <c r="BW208" s="45"/>
      <c r="DR208"/>
      <c r="DS208"/>
      <c r="DT208"/>
      <c r="DU208"/>
      <c r="DV208"/>
      <c r="DW208"/>
      <c r="DX208" s="37"/>
    </row>
    <row r="209" spans="3:128" s="28" customFormat="1">
      <c r="C209" s="28" t="s">
        <v>189</v>
      </c>
      <c r="E209" s="335">
        <f>3787+4157+2152+1016+73+1405</f>
        <v>12590</v>
      </c>
      <c r="F209" s="336">
        <f>3841+4149+2197+1016+74+1313</f>
        <v>12590</v>
      </c>
      <c r="G209" s="336">
        <f>3381+3782+2248+1017+72+1317</f>
        <v>11817</v>
      </c>
      <c r="H209" s="588">
        <f>3434+3625+2180+1017+23+1309</f>
        <v>11588</v>
      </c>
      <c r="I209" s="932">
        <f>H209</f>
        <v>11588</v>
      </c>
      <c r="J209" s="335">
        <f>3481+3536+2220+1017+8+1298</f>
        <v>11560</v>
      </c>
      <c r="K209" s="336">
        <f>3527+3527+2278+1018+8+1493</f>
        <v>11851</v>
      </c>
      <c r="L209" s="336">
        <f>3243+2919+2336+1018+8+667+1103</f>
        <v>11294</v>
      </c>
      <c r="M209" s="588">
        <f>3494+3658+2218+1018+21+659+1102</f>
        <v>12170</v>
      </c>
      <c r="N209" s="45">
        <f>M209</f>
        <v>12170</v>
      </c>
      <c r="O209" s="335">
        <f>3546+1516+2251+1019+28+644+1091</f>
        <v>10095</v>
      </c>
      <c r="P209" s="336">
        <f>3597+1495+2311+1019+66+640+1137</f>
        <v>10265</v>
      </c>
      <c r="Q209" s="336">
        <f>3808+1475+2371+1019+79+604+1253</f>
        <v>10609</v>
      </c>
      <c r="R209" s="588">
        <f>3884+2194+2263+1019+126+563+1268</f>
        <v>11317</v>
      </c>
      <c r="S209" s="45">
        <f>R209</f>
        <v>11317</v>
      </c>
      <c r="T209" s="335">
        <f>4064+2553+2688+1019+671+897+574+1708</f>
        <v>14174</v>
      </c>
      <c r="U209" s="336">
        <f>4126+2610+2703+1019+578+747+464+1736</f>
        <v>13983</v>
      </c>
      <c r="V209" s="336">
        <f>4866+2575+2946+1020+407+621+422+1691</f>
        <v>14548</v>
      </c>
      <c r="W209" s="588">
        <f>5074+3428+2662+1020+281+528+432+1650</f>
        <v>15075</v>
      </c>
      <c r="X209" s="45">
        <f>W209</f>
        <v>15075</v>
      </c>
      <c r="Y209" s="335">
        <f>5149+3161+2672+1020+259+466+372+2625</f>
        <v>15724</v>
      </c>
      <c r="Z209" s="336">
        <f>5202+3164+2706+1020+178+399+373+2635</f>
        <v>15677</v>
      </c>
      <c r="AA209" s="1435">
        <f>5118+3094+2764+1021+218+314+339+2514</f>
        <v>15382</v>
      </c>
      <c r="AB209" s="1457">
        <f>5194+1876+2190+1021+300+266+305+2540</f>
        <v>13692</v>
      </c>
      <c r="AC209" s="1443">
        <f>AB209</f>
        <v>13692</v>
      </c>
      <c r="AD209" s="335">
        <f>5261+1661+2042+1021+287+230+281+2093</f>
        <v>12876</v>
      </c>
      <c r="AE209" s="336">
        <f>7054+1804+1419+1021+262+260+264+2133</f>
        <v>14217</v>
      </c>
      <c r="AF209" s="336">
        <f>7003+1809+1459+1021+291+214+260+2104</f>
        <v>14161</v>
      </c>
      <c r="AG209" s="1457">
        <f>7295+3366+1742+1021+403+211+155+2147</f>
        <v>16340</v>
      </c>
      <c r="AH209" s="1443">
        <f>AG209</f>
        <v>16340</v>
      </c>
      <c r="AI209" s="335">
        <f>7446+3154+1825+1021+491+189+136+2166</f>
        <v>16428</v>
      </c>
      <c r="AJ209" s="336">
        <f>7550+3134+1850+1021+595+166+135+2528</f>
        <v>16979</v>
      </c>
      <c r="AK209" s="336">
        <f>8405+3014+1877+1021+360+136+99+2231</f>
        <v>17143</v>
      </c>
      <c r="AL209" s="1457">
        <f>8585+3385+1618+1021+374+117+90+1491</f>
        <v>16681</v>
      </c>
      <c r="AM209" s="1443">
        <f>AL209</f>
        <v>16681</v>
      </c>
      <c r="AN209" s="335">
        <f>8755+3771+1902+1022+408+1144+72+1886</f>
        <v>18960</v>
      </c>
      <c r="AO209" s="336">
        <f>9256+3767+1900+1023+442+1011+54+1876</f>
        <v>19329</v>
      </c>
      <c r="AP209" s="336">
        <f>9348+3765+1921+1023+422+927+33+1928</f>
        <v>19367</v>
      </c>
      <c r="AQ209" s="1457">
        <f>9111+4248+1848+1024+392+830+14+1827</f>
        <v>19294</v>
      </c>
      <c r="AR209" s="1443">
        <f>AQ209</f>
        <v>19294</v>
      </c>
      <c r="AS209" s="335">
        <f>9634+4082+1928+1136+420+779+3+1853</f>
        <v>19835</v>
      </c>
      <c r="AT209" s="1435">
        <f>9848+4082+1955+1139+417+705+1828</f>
        <v>19974</v>
      </c>
      <c r="AU209" s="1435">
        <f>9733+4055+1977+1142+410+656+1899</f>
        <v>19872</v>
      </c>
      <c r="AV209" s="1457">
        <f>10029+3736+2093+1147+409+609+2097</f>
        <v>20120</v>
      </c>
      <c r="AW209" s="1443">
        <f>AV209</f>
        <v>20120</v>
      </c>
      <c r="AX209" s="290">
        <f>+AW209+AX168</f>
        <v>20120</v>
      </c>
      <c r="AY209" s="260">
        <f>+AX209+AY168</f>
        <v>20120</v>
      </c>
      <c r="AZ209" s="260">
        <f>+AY209+AZ168</f>
        <v>20120</v>
      </c>
      <c r="BA209" s="291">
        <f>+AZ209+BA168</f>
        <v>20120</v>
      </c>
      <c r="BB209" s="45">
        <f>BA209</f>
        <v>20120</v>
      </c>
      <c r="BC209" s="290">
        <f>+BB209+BC168</f>
        <v>20120</v>
      </c>
      <c r="BD209" s="260">
        <f>+BC209+BD168</f>
        <v>20120</v>
      </c>
      <c r="BE209" s="260">
        <f>+BD209+BE168</f>
        <v>20120</v>
      </c>
      <c r="BF209" s="291">
        <f>+BE209+BF168</f>
        <v>20120</v>
      </c>
      <c r="BG209" s="45">
        <f>BF209</f>
        <v>20120</v>
      </c>
      <c r="BH209" s="290">
        <f>+BG209+BH168</f>
        <v>20120</v>
      </c>
      <c r="BI209" s="260">
        <f>+BH209+BI168</f>
        <v>20120</v>
      </c>
      <c r="BJ209" s="260">
        <f>+BI209+BJ168</f>
        <v>20120</v>
      </c>
      <c r="BK209" s="291">
        <f>+BJ209+BK168</f>
        <v>20120</v>
      </c>
      <c r="BL209" s="45">
        <f>BK209</f>
        <v>20120</v>
      </c>
      <c r="BM209" s="290">
        <f>+BL209+BM168</f>
        <v>20120</v>
      </c>
      <c r="BN209" s="260">
        <f>+BM209+BN168</f>
        <v>20120</v>
      </c>
      <c r="BO209" s="260">
        <f>+BN209+BO168</f>
        <v>20120</v>
      </c>
      <c r="BP209" s="291">
        <f>+BO209+BP168</f>
        <v>20120</v>
      </c>
      <c r="BQ209" s="45">
        <f>BP209</f>
        <v>20120</v>
      </c>
      <c r="BR209" s="45"/>
      <c r="BS209" s="45"/>
      <c r="BT209" s="45"/>
      <c r="BU209" s="45"/>
      <c r="BV209" s="45"/>
      <c r="BW209" s="45"/>
      <c r="DR209"/>
      <c r="DS209"/>
      <c r="DT209"/>
      <c r="DU209"/>
      <c r="DV209"/>
      <c r="DW209"/>
      <c r="DX209" s="37"/>
    </row>
    <row r="210" spans="3:128" s="28" customFormat="1">
      <c r="C210" s="32" t="s">
        <v>1284</v>
      </c>
      <c r="E210" s="292">
        <f>SUM(E207:E209)</f>
        <v>20005</v>
      </c>
      <c r="F210" s="261">
        <f t="shared" ref="F210:U210" si="489">SUM(F207:F209)</f>
        <v>20539</v>
      </c>
      <c r="G210" s="261">
        <f t="shared" si="489"/>
        <v>21070</v>
      </c>
      <c r="H210" s="293">
        <f t="shared" si="489"/>
        <v>20830</v>
      </c>
      <c r="I210" s="933">
        <f t="shared" si="489"/>
        <v>20830</v>
      </c>
      <c r="J210" s="292">
        <f t="shared" si="489"/>
        <v>21115</v>
      </c>
      <c r="K210" s="261">
        <f t="shared" si="489"/>
        <v>20669</v>
      </c>
      <c r="L210" s="261">
        <f t="shared" si="489"/>
        <v>20887</v>
      </c>
      <c r="M210" s="293">
        <f t="shared" si="489"/>
        <v>22346</v>
      </c>
      <c r="N210" s="228">
        <f t="shared" si="489"/>
        <v>22346</v>
      </c>
      <c r="O210" s="292">
        <f t="shared" si="489"/>
        <v>21032</v>
      </c>
      <c r="P210" s="261">
        <f t="shared" si="489"/>
        <v>21362</v>
      </c>
      <c r="Q210" s="261">
        <f t="shared" si="489"/>
        <v>22168</v>
      </c>
      <c r="R210" s="293">
        <f t="shared" si="489"/>
        <v>23439</v>
      </c>
      <c r="S210" s="228">
        <f t="shared" si="489"/>
        <v>23439</v>
      </c>
      <c r="T210" s="292">
        <f t="shared" si="489"/>
        <v>28929</v>
      </c>
      <c r="U210" s="261">
        <f t="shared" si="489"/>
        <v>28769</v>
      </c>
      <c r="V210" s="261">
        <f>SUM(V207:V209)</f>
        <v>30148</v>
      </c>
      <c r="W210" s="293">
        <f>SUM(W207:W209)</f>
        <v>30607</v>
      </c>
      <c r="X210" s="228">
        <f>SUM(X207:X209)</f>
        <v>30607</v>
      </c>
      <c r="Y210" s="292">
        <f>SUM(Y207:Y209)</f>
        <v>31154</v>
      </c>
      <c r="Z210" s="261">
        <f t="shared" ref="Z210:AE210" si="490">SUM(Z207:Z209)</f>
        <v>31240</v>
      </c>
      <c r="AA210" s="1438">
        <f>SUM(AA207:AA209)</f>
        <v>31517</v>
      </c>
      <c r="AB210" s="1439">
        <f>SUM(AB207:AB209)</f>
        <v>30985</v>
      </c>
      <c r="AC210" s="1440">
        <f>SUM(AC207:AC209)</f>
        <v>30985</v>
      </c>
      <c r="AD210" s="292">
        <f>SUM(AD207:AD209)</f>
        <v>30144</v>
      </c>
      <c r="AE210" s="261">
        <f t="shared" si="490"/>
        <v>32079</v>
      </c>
      <c r="AF210" s="261">
        <f>SUM(AF207:AF209)</f>
        <v>31935</v>
      </c>
      <c r="AG210" s="1439">
        <f>SUM(AG207:AG209)</f>
        <v>33909</v>
      </c>
      <c r="AH210" s="1440">
        <f>SUM(AH207:AH209)</f>
        <v>33909</v>
      </c>
      <c r="AI210" s="292">
        <f>SUM(AI207:AI209)</f>
        <v>34212</v>
      </c>
      <c r="AJ210" s="261">
        <f t="shared" ref="AJ210" si="491">SUM(AJ207:AJ209)</f>
        <v>34750</v>
      </c>
      <c r="AK210" s="261">
        <f t="shared" ref="AK210:AM210" si="492">SUM(AK207:AK209)</f>
        <v>34803</v>
      </c>
      <c r="AL210" s="1439">
        <f t="shared" si="492"/>
        <v>34658</v>
      </c>
      <c r="AM210" s="1440">
        <f t="shared" si="492"/>
        <v>34658</v>
      </c>
      <c r="AN210" s="292">
        <f t="shared" ref="AN210:AR210" si="493">SUM(AN207:AN209)</f>
        <v>40812</v>
      </c>
      <c r="AO210" s="261">
        <f t="shared" si="493"/>
        <v>41380</v>
      </c>
      <c r="AP210" s="261">
        <f t="shared" si="493"/>
        <v>41919</v>
      </c>
      <c r="AQ210" s="1439">
        <f t="shared" si="493"/>
        <v>41619</v>
      </c>
      <c r="AR210" s="1440">
        <f t="shared" si="493"/>
        <v>41619</v>
      </c>
      <c r="AS210" s="292">
        <f t="shared" ref="AS210:AT210" si="494">SUM(AS207:AS209)</f>
        <v>42655</v>
      </c>
      <c r="AT210" s="1438">
        <f t="shared" si="494"/>
        <v>42893</v>
      </c>
      <c r="AU210" s="1438">
        <f t="shared" ref="AU210:BB210" si="495">SUM(AU207:AU209)</f>
        <v>43671</v>
      </c>
      <c r="AV210" s="1439">
        <f t="shared" si="495"/>
        <v>41207</v>
      </c>
      <c r="AW210" s="1440">
        <f t="shared" si="495"/>
        <v>41207</v>
      </c>
      <c r="AX210" s="292">
        <f t="shared" si="495"/>
        <v>41411.526158282461</v>
      </c>
      <c r="AY210" s="261">
        <f t="shared" ca="1" si="495"/>
        <v>41532.355060818008</v>
      </c>
      <c r="AZ210" s="261">
        <f t="shared" ca="1" si="495"/>
        <v>41755.363821114581</v>
      </c>
      <c r="BA210" s="293">
        <f t="shared" ca="1" si="495"/>
        <v>41861.710723209886</v>
      </c>
      <c r="BB210" s="228">
        <f t="shared" ca="1" si="495"/>
        <v>41861.710723209886</v>
      </c>
      <c r="BC210" s="292">
        <f t="shared" ref="BC210:BL210" ca="1" si="496">SUM(BC207:BC209)</f>
        <v>42124.228233588037</v>
      </c>
      <c r="BD210" s="261">
        <f t="shared" ca="1" si="496"/>
        <v>42217.056900955104</v>
      </c>
      <c r="BE210" s="261">
        <f t="shared" ca="1" si="496"/>
        <v>42419.865266047105</v>
      </c>
      <c r="BF210" s="293">
        <f t="shared" ca="1" si="496"/>
        <v>42497.440082418136</v>
      </c>
      <c r="BG210" s="228">
        <f t="shared" ca="1" si="496"/>
        <v>42497.440082418136</v>
      </c>
      <c r="BH210" s="292">
        <f t="shared" ca="1" si="496"/>
        <v>42750.317159346305</v>
      </c>
      <c r="BI210" s="261">
        <f t="shared" ca="1" si="496"/>
        <v>42828.351851034924</v>
      </c>
      <c r="BJ210" s="261">
        <f t="shared" ca="1" si="496"/>
        <v>43057.228572934502</v>
      </c>
      <c r="BK210" s="293">
        <f t="shared" ca="1" si="496"/>
        <v>43166.30830363978</v>
      </c>
      <c r="BL210" s="228">
        <f t="shared" ca="1" si="496"/>
        <v>43166.30830363978</v>
      </c>
      <c r="BM210" s="292">
        <f t="shared" ref="BM210:BQ210" ca="1" si="497">SUM(BM207:BM209)</f>
        <v>43373.700878239353</v>
      </c>
      <c r="BN210" s="261">
        <f t="shared" ca="1" si="497"/>
        <v>43489.996426458201</v>
      </c>
      <c r="BO210" s="261">
        <f t="shared" ca="1" si="497"/>
        <v>43731.904551917542</v>
      </c>
      <c r="BP210" s="293">
        <f t="shared" ca="1" si="497"/>
        <v>43868.440557103</v>
      </c>
      <c r="BQ210" s="228">
        <f t="shared" ca="1" si="497"/>
        <v>43868.440557103</v>
      </c>
      <c r="BR210" s="45"/>
      <c r="BS210" s="45"/>
      <c r="BT210" s="45"/>
      <c r="BU210" s="45"/>
      <c r="BV210" s="45"/>
      <c r="BW210" s="45"/>
      <c r="DR210"/>
      <c r="DS210"/>
      <c r="DT210"/>
      <c r="DU210"/>
      <c r="DV210"/>
      <c r="DW210"/>
      <c r="DX210" s="37"/>
    </row>
    <row r="211" spans="3:128" s="28" customFormat="1">
      <c r="E211" s="335"/>
      <c r="F211" s="336"/>
      <c r="G211" s="336"/>
      <c r="H211" s="588"/>
      <c r="I211" s="932"/>
      <c r="J211" s="335"/>
      <c r="K211" s="336"/>
      <c r="L211" s="336"/>
      <c r="M211" s="588"/>
      <c r="N211" s="45"/>
      <c r="O211" s="335"/>
      <c r="P211" s="336"/>
      <c r="Q211" s="336"/>
      <c r="R211" s="588"/>
      <c r="S211" s="45"/>
      <c r="T211" s="335"/>
      <c r="U211" s="336"/>
      <c r="V211" s="336"/>
      <c r="W211" s="588"/>
      <c r="X211" s="45"/>
      <c r="Y211" s="335"/>
      <c r="Z211" s="336"/>
      <c r="AA211" s="1435"/>
      <c r="AB211" s="1457"/>
      <c r="AC211" s="1443"/>
      <c r="AD211" s="335"/>
      <c r="AE211" s="336"/>
      <c r="AF211" s="336"/>
      <c r="AG211" s="1457"/>
      <c r="AH211" s="1443"/>
      <c r="AI211" s="335"/>
      <c r="AJ211" s="336"/>
      <c r="AK211" s="336"/>
      <c r="AL211" s="1457"/>
      <c r="AM211" s="1443"/>
      <c r="AN211" s="335"/>
      <c r="AO211" s="336"/>
      <c r="AP211" s="336"/>
      <c r="AQ211" s="1457"/>
      <c r="AR211" s="1443"/>
      <c r="AS211" s="335"/>
      <c r="AT211" s="1435"/>
      <c r="AU211" s="260"/>
      <c r="AV211" s="1457"/>
      <c r="AW211" s="1443"/>
      <c r="AX211" s="290"/>
      <c r="AY211" s="260"/>
      <c r="AZ211" s="260"/>
      <c r="BA211" s="291"/>
      <c r="BB211" s="45"/>
      <c r="BC211" s="290"/>
      <c r="BD211" s="260"/>
      <c r="BE211" s="260"/>
      <c r="BF211" s="291"/>
      <c r="BG211" s="45"/>
      <c r="BH211" s="290"/>
      <c r="BI211" s="260"/>
      <c r="BJ211" s="260"/>
      <c r="BK211" s="291"/>
      <c r="BL211" s="45"/>
      <c r="BM211" s="290"/>
      <c r="BN211" s="260"/>
      <c r="BO211" s="260"/>
      <c r="BP211" s="291"/>
      <c r="BQ211" s="45"/>
      <c r="BR211" s="45"/>
      <c r="BS211" s="45"/>
      <c r="BT211" s="45"/>
      <c r="BU211" s="45"/>
      <c r="BV211" s="45"/>
      <c r="BW211" s="45"/>
      <c r="DR211"/>
      <c r="DS211"/>
      <c r="DT211"/>
      <c r="DU211"/>
      <c r="DV211"/>
      <c r="DW211"/>
      <c r="DX211" s="37"/>
    </row>
    <row r="212" spans="3:128" s="28" customFormat="1">
      <c r="C212" s="32" t="s">
        <v>190</v>
      </c>
      <c r="E212" s="292">
        <f>SUM(E203,E205,E210)</f>
        <v>36764</v>
      </c>
      <c r="F212" s="261">
        <f t="shared" ref="F212:AE212" si="498">SUM(F203,F205,F210)</f>
        <v>36739</v>
      </c>
      <c r="G212" s="261">
        <f t="shared" si="498"/>
        <v>36925</v>
      </c>
      <c r="H212" s="293">
        <f t="shared" si="498"/>
        <v>36453</v>
      </c>
      <c r="I212" s="933">
        <f t="shared" si="498"/>
        <v>36453</v>
      </c>
      <c r="J212" s="292">
        <f t="shared" si="498"/>
        <v>37203</v>
      </c>
      <c r="K212" s="261">
        <f t="shared" si="498"/>
        <v>35900</v>
      </c>
      <c r="L212" s="261">
        <f t="shared" si="498"/>
        <v>36906</v>
      </c>
      <c r="M212" s="293">
        <f t="shared" si="498"/>
        <v>38590</v>
      </c>
      <c r="N212" s="228">
        <f t="shared" si="498"/>
        <v>38590</v>
      </c>
      <c r="O212" s="292">
        <f t="shared" si="498"/>
        <v>37355</v>
      </c>
      <c r="P212" s="261">
        <f t="shared" si="498"/>
        <v>37784</v>
      </c>
      <c r="Q212" s="261">
        <f t="shared" si="498"/>
        <v>39710</v>
      </c>
      <c r="R212" s="293">
        <f t="shared" si="498"/>
        <v>40617</v>
      </c>
      <c r="S212" s="228">
        <f t="shared" si="498"/>
        <v>40617</v>
      </c>
      <c r="T212" s="292">
        <f t="shared" si="498"/>
        <v>55439</v>
      </c>
      <c r="U212" s="261">
        <f>SUM(U203,U205,U210)</f>
        <v>55025</v>
      </c>
      <c r="V212" s="261">
        <f>SUM(V203,V205,V210)</f>
        <v>56163</v>
      </c>
      <c r="W212" s="293">
        <f>SUM(W203,W205,W210)</f>
        <v>56737</v>
      </c>
      <c r="X212" s="228">
        <f>SUM(X203,X205,X210)</f>
        <v>56737</v>
      </c>
      <c r="Y212" s="292">
        <f>SUM(Y203,Y205,Y210)</f>
        <v>56830</v>
      </c>
      <c r="Z212" s="261">
        <f t="shared" si="498"/>
        <v>56832</v>
      </c>
      <c r="AA212" s="1438">
        <f>SUM(AA203,AA205,AA210)</f>
        <v>57594</v>
      </c>
      <c r="AB212" s="1439">
        <f>SUM(AB203,AB205,AB210)</f>
        <v>56984</v>
      </c>
      <c r="AC212" s="1440">
        <f>SUM(AC203,AC205,AC210)</f>
        <v>56984</v>
      </c>
      <c r="AD212" s="292">
        <f>SUM(AD203,AD205,AD210)</f>
        <v>56690</v>
      </c>
      <c r="AE212" s="261">
        <f t="shared" si="498"/>
        <v>59427</v>
      </c>
      <c r="AF212" s="261">
        <f t="shared" ref="AF212:AH212" si="499">SUM(AF203,AF205,AF210)</f>
        <v>60214</v>
      </c>
      <c r="AG212" s="1439">
        <f t="shared" si="499"/>
        <v>62681</v>
      </c>
      <c r="AH212" s="1440">
        <f t="shared" si="499"/>
        <v>62681</v>
      </c>
      <c r="AI212" s="292">
        <f>SUM(AI203,AI205,AI210)</f>
        <v>62753</v>
      </c>
      <c r="AJ212" s="261">
        <f t="shared" ref="AJ212:AM212" si="500">SUM(AJ203,AJ205,AJ210)</f>
        <v>67144</v>
      </c>
      <c r="AK212" s="261">
        <f t="shared" si="500"/>
        <v>67839</v>
      </c>
      <c r="AL212" s="1439">
        <f t="shared" si="500"/>
        <v>68062</v>
      </c>
      <c r="AM212" s="1440">
        <f t="shared" si="500"/>
        <v>68062</v>
      </c>
      <c r="AN212" s="292">
        <f t="shared" ref="AN212:AR212" si="501">SUM(AN203,AN205,AN210)</f>
        <v>84537</v>
      </c>
      <c r="AO212" s="261">
        <f t="shared" si="501"/>
        <v>85456</v>
      </c>
      <c r="AP212" s="261">
        <f t="shared" si="501"/>
        <v>87049</v>
      </c>
      <c r="AQ212" s="1439">
        <f t="shared" si="501"/>
        <v>87292</v>
      </c>
      <c r="AR212" s="1440">
        <f t="shared" si="501"/>
        <v>87292</v>
      </c>
      <c r="AS212" s="292">
        <f t="shared" ref="AS212:AT212" si="502">SUM(AS203,AS205,AS210)</f>
        <v>88777</v>
      </c>
      <c r="AT212" s="1438">
        <f t="shared" si="502"/>
        <v>87814</v>
      </c>
      <c r="AU212" s="261">
        <f>SUM(AU203,AU205,AU210)</f>
        <v>88156</v>
      </c>
      <c r="AV212" s="1439">
        <f t="shared" ref="AV212:AW212" si="503">SUM(AV203,AV205,AV210)</f>
        <v>84568</v>
      </c>
      <c r="AW212" s="1440">
        <f t="shared" si="503"/>
        <v>84568</v>
      </c>
      <c r="AX212" s="292">
        <f t="shared" ref="AX212:BB212" si="504">SUM(AX203,AX205,AX210)</f>
        <v>83985.498637167126</v>
      </c>
      <c r="AY212" s="261">
        <f t="shared" ca="1" si="504"/>
        <v>84630.09219358195</v>
      </c>
      <c r="AZ212" s="261">
        <f t="shared" ca="1" si="504"/>
        <v>85926.363821114588</v>
      </c>
      <c r="BA212" s="293">
        <f t="shared" ca="1" si="504"/>
        <v>86032.710723209893</v>
      </c>
      <c r="BB212" s="228">
        <f t="shared" ca="1" si="504"/>
        <v>86032.710723209893</v>
      </c>
      <c r="BC212" s="292">
        <f t="shared" ref="BC212:BL212" ca="1" si="505">SUM(BC203,BC205,BC210)</f>
        <v>86295.228233588045</v>
      </c>
      <c r="BD212" s="261">
        <f t="shared" ca="1" si="505"/>
        <v>86388.056900955096</v>
      </c>
      <c r="BE212" s="261">
        <f t="shared" ca="1" si="505"/>
        <v>87816.865266047098</v>
      </c>
      <c r="BF212" s="293">
        <f t="shared" ca="1" si="505"/>
        <v>87294.440082418136</v>
      </c>
      <c r="BG212" s="228">
        <f t="shared" ca="1" si="505"/>
        <v>87294.440082418136</v>
      </c>
      <c r="BH212" s="292">
        <f t="shared" ca="1" si="505"/>
        <v>86918.991836650341</v>
      </c>
      <c r="BI212" s="261">
        <f t="shared" ca="1" si="505"/>
        <v>87512.714876034515</v>
      </c>
      <c r="BJ212" s="261">
        <f t="shared" ca="1" si="505"/>
        <v>88183.758572934501</v>
      </c>
      <c r="BK212" s="293">
        <f t="shared" ca="1" si="505"/>
        <v>88202.182810739905</v>
      </c>
      <c r="BL212" s="228">
        <f t="shared" ca="1" si="505"/>
        <v>88202.182810739905</v>
      </c>
      <c r="BM212" s="292">
        <f t="shared" ref="BM212:BQ212" ca="1" si="506">SUM(BM203,BM205,BM210)</f>
        <v>88318.386473481776</v>
      </c>
      <c r="BN212" s="261">
        <f t="shared" ca="1" si="506"/>
        <v>88717.575961324066</v>
      </c>
      <c r="BO212" s="261">
        <f t="shared" ca="1" si="506"/>
        <v>89358.56955191755</v>
      </c>
      <c r="BP212" s="293">
        <f t="shared" ca="1" si="506"/>
        <v>89195.105557103001</v>
      </c>
      <c r="BQ212" s="228">
        <f t="shared" ca="1" si="506"/>
        <v>89195.105557103001</v>
      </c>
      <c r="BR212" s="45"/>
      <c r="BS212" s="45"/>
      <c r="BT212" s="45"/>
      <c r="BU212" s="45"/>
      <c r="BV212" s="45"/>
      <c r="BW212" s="45"/>
      <c r="DR212"/>
      <c r="DS212"/>
      <c r="DT212"/>
      <c r="DU212"/>
      <c r="DV212"/>
      <c r="DW212"/>
      <c r="DX212" s="37"/>
    </row>
    <row r="213" spans="3:128" s="28" customFormat="1">
      <c r="C213" s="32"/>
      <c r="E213" s="290"/>
      <c r="F213" s="260"/>
      <c r="G213" s="260"/>
      <c r="H213" s="291"/>
      <c r="I213" s="932"/>
      <c r="J213" s="290"/>
      <c r="K213" s="260"/>
      <c r="L213" s="260"/>
      <c r="M213" s="291"/>
      <c r="N213" s="45"/>
      <c r="O213" s="290"/>
      <c r="P213" s="260"/>
      <c r="Q213" s="260"/>
      <c r="R213" s="291"/>
      <c r="S213" s="45"/>
      <c r="T213" s="290"/>
      <c r="U213" s="260"/>
      <c r="V213" s="260"/>
      <c r="W213" s="291"/>
      <c r="X213" s="45"/>
      <c r="Y213" s="290"/>
      <c r="Z213" s="260"/>
      <c r="AA213" s="1441"/>
      <c r="AB213" s="1442"/>
      <c r="AC213" s="1443"/>
      <c r="AD213" s="290"/>
      <c r="AE213" s="260"/>
      <c r="AF213" s="260"/>
      <c r="AG213" s="1442"/>
      <c r="AH213" s="1443"/>
      <c r="AI213" s="290"/>
      <c r="AJ213" s="260"/>
      <c r="AK213" s="260"/>
      <c r="AL213" s="1442"/>
      <c r="AM213" s="1443"/>
      <c r="AN213" s="290"/>
      <c r="AO213" s="260"/>
      <c r="AP213" s="260"/>
      <c r="AQ213" s="1442"/>
      <c r="AR213" s="1443"/>
      <c r="AS213" s="290"/>
      <c r="AT213" s="1441"/>
      <c r="AU213" s="260"/>
      <c r="AV213" s="1442"/>
      <c r="AW213" s="1443"/>
      <c r="AX213" s="290"/>
      <c r="AY213" s="260"/>
      <c r="AZ213" s="260"/>
      <c r="BA213" s="291"/>
      <c r="BB213" s="45"/>
      <c r="BC213" s="290"/>
      <c r="BD213" s="260"/>
      <c r="BE213" s="260"/>
      <c r="BF213" s="291"/>
      <c r="BG213" s="45"/>
      <c r="BH213" s="290"/>
      <c r="BI213" s="260"/>
      <c r="BJ213" s="260"/>
      <c r="BK213" s="291"/>
      <c r="BL213" s="45"/>
      <c r="BM213" s="290"/>
      <c r="BN213" s="260"/>
      <c r="BO213" s="260"/>
      <c r="BP213" s="291"/>
      <c r="BQ213" s="45"/>
      <c r="BR213" s="45"/>
      <c r="BS213" s="45"/>
      <c r="BT213" s="45"/>
      <c r="BU213" s="45"/>
      <c r="BV213" s="45"/>
      <c r="BW213" s="45"/>
      <c r="DR213"/>
      <c r="DS213"/>
      <c r="DT213"/>
      <c r="DU213"/>
      <c r="DV213"/>
      <c r="DW213"/>
      <c r="DX213" s="37"/>
    </row>
    <row r="214" spans="3:128" s="28" customFormat="1">
      <c r="C214" s="28" t="s">
        <v>191</v>
      </c>
      <c r="E214" s="335">
        <v>0</v>
      </c>
      <c r="F214" s="336">
        <v>0</v>
      </c>
      <c r="G214" s="336">
        <v>0</v>
      </c>
      <c r="H214" s="588">
        <v>0</v>
      </c>
      <c r="I214" s="932">
        <f t="shared" ref="I214:I219" si="507">H214</f>
        <v>0</v>
      </c>
      <c r="J214" s="335">
        <v>0</v>
      </c>
      <c r="K214" s="336">
        <v>0</v>
      </c>
      <c r="L214" s="336">
        <v>0</v>
      </c>
      <c r="M214" s="588">
        <v>3</v>
      </c>
      <c r="N214" s="45">
        <f t="shared" ref="N214:N219" si="508">M214</f>
        <v>3</v>
      </c>
      <c r="O214" s="335">
        <v>3</v>
      </c>
      <c r="P214" s="336">
        <v>3</v>
      </c>
      <c r="Q214" s="336">
        <v>3</v>
      </c>
      <c r="R214" s="588">
        <v>3</v>
      </c>
      <c r="S214" s="45">
        <f t="shared" ref="S214:S219" si="509">R214</f>
        <v>3</v>
      </c>
      <c r="T214" s="335">
        <v>93</v>
      </c>
      <c r="U214" s="336">
        <v>96</v>
      </c>
      <c r="V214" s="336">
        <v>89</v>
      </c>
      <c r="W214" s="588">
        <v>106</v>
      </c>
      <c r="X214" s="45">
        <f t="shared" ref="X214:X219" si="510">W214</f>
        <v>106</v>
      </c>
      <c r="Y214" s="335">
        <v>44</v>
      </c>
      <c r="Z214" s="336">
        <v>42</v>
      </c>
      <c r="AA214" s="1435">
        <v>15</v>
      </c>
      <c r="AB214" s="1457">
        <v>15</v>
      </c>
      <c r="AC214" s="1443">
        <f t="shared" ref="AC214:AC219" si="511">AB214</f>
        <v>15</v>
      </c>
      <c r="AD214" s="335">
        <v>17</v>
      </c>
      <c r="AE214" s="336">
        <v>1183</v>
      </c>
      <c r="AF214" s="336">
        <v>1262</v>
      </c>
      <c r="AG214" s="1457">
        <v>1332</v>
      </c>
      <c r="AH214" s="1443">
        <f t="shared" ref="AH214:AH219" si="512">AG214</f>
        <v>1332</v>
      </c>
      <c r="AI214" s="335">
        <v>1380</v>
      </c>
      <c r="AJ214" s="336">
        <v>1370</v>
      </c>
      <c r="AK214" s="336">
        <v>1326</v>
      </c>
      <c r="AL214" s="1457">
        <v>1308</v>
      </c>
      <c r="AM214" s="1443">
        <f t="shared" ref="AM214:AM219" si="513">AL214</f>
        <v>1308</v>
      </c>
      <c r="AN214" s="335">
        <v>1276</v>
      </c>
      <c r="AO214" s="336">
        <v>1349</v>
      </c>
      <c r="AP214" s="336">
        <v>1433</v>
      </c>
      <c r="AQ214" s="1457">
        <v>1775</v>
      </c>
      <c r="AR214" s="1443">
        <f t="shared" ref="AR214:AR219" si="514">AQ214</f>
        <v>1775</v>
      </c>
      <c r="AS214" s="335">
        <v>1761</v>
      </c>
      <c r="AT214" s="1435">
        <v>1744</v>
      </c>
      <c r="AU214" s="1435">
        <v>2217</v>
      </c>
      <c r="AV214" s="1457">
        <v>2275</v>
      </c>
      <c r="AW214" s="1443">
        <f t="shared" ref="AW214:AW219" si="515">AV214</f>
        <v>2275</v>
      </c>
      <c r="AX214" s="290">
        <f t="shared" ref="AX214:BB214" si="516">+AW214</f>
        <v>2275</v>
      </c>
      <c r="AY214" s="260">
        <f t="shared" si="516"/>
        <v>2275</v>
      </c>
      <c r="AZ214" s="260">
        <f t="shared" si="516"/>
        <v>2275</v>
      </c>
      <c r="BA214" s="291">
        <f t="shared" si="516"/>
        <v>2275</v>
      </c>
      <c r="BB214" s="45">
        <f t="shared" si="516"/>
        <v>2275</v>
      </c>
      <c r="BC214" s="290">
        <f t="shared" ref="BC214:BC215" si="517">+BB214</f>
        <v>2275</v>
      </c>
      <c r="BD214" s="260">
        <f t="shared" ref="BD214:BD215" si="518">+BC214</f>
        <v>2275</v>
      </c>
      <c r="BE214" s="260">
        <f t="shared" ref="BE214:BE215" si="519">+BD214</f>
        <v>2275</v>
      </c>
      <c r="BF214" s="291">
        <f t="shared" ref="BF214:BF215" si="520">+BE214</f>
        <v>2275</v>
      </c>
      <c r="BG214" s="45">
        <f t="shared" ref="BG214:BG216" si="521">+BF214</f>
        <v>2275</v>
      </c>
      <c r="BH214" s="290">
        <f t="shared" ref="BH214:BH215" si="522">+BG214</f>
        <v>2275</v>
      </c>
      <c r="BI214" s="260">
        <f t="shared" ref="BI214:BI215" si="523">+BH214</f>
        <v>2275</v>
      </c>
      <c r="BJ214" s="260">
        <f t="shared" ref="BJ214:BJ215" si="524">+BI214</f>
        <v>2275</v>
      </c>
      <c r="BK214" s="291">
        <f t="shared" ref="BK214:BK215" si="525">+BJ214</f>
        <v>2275</v>
      </c>
      <c r="BL214" s="45">
        <f t="shared" ref="BL214:BL216" si="526">+BK214</f>
        <v>2275</v>
      </c>
      <c r="BM214" s="290">
        <f t="shared" ref="BM214:BM215" si="527">+BL214</f>
        <v>2275</v>
      </c>
      <c r="BN214" s="260">
        <f t="shared" ref="BN214:BN215" si="528">+BM214</f>
        <v>2275</v>
      </c>
      <c r="BO214" s="260">
        <f t="shared" ref="BO214:BO215" si="529">+BN214</f>
        <v>2275</v>
      </c>
      <c r="BP214" s="291">
        <f t="shared" ref="BP214:BP215" si="530">+BO214</f>
        <v>2275</v>
      </c>
      <c r="BQ214" s="45">
        <f t="shared" ref="BQ214:BQ216" si="531">+BP214</f>
        <v>2275</v>
      </c>
      <c r="BR214" s="45"/>
      <c r="BS214" s="45"/>
      <c r="BT214" s="45"/>
      <c r="BU214" s="45"/>
      <c r="BV214" s="45"/>
      <c r="BW214" s="45"/>
      <c r="DR214"/>
      <c r="DS214"/>
      <c r="DT214"/>
      <c r="DU214"/>
      <c r="DV214"/>
      <c r="DW214"/>
      <c r="DX214" s="37"/>
    </row>
    <row r="215" spans="3:128" s="28" customFormat="1">
      <c r="C215" s="28" t="s">
        <v>192</v>
      </c>
      <c r="E215" s="335">
        <v>87</v>
      </c>
      <c r="F215" s="336">
        <v>87</v>
      </c>
      <c r="G215" s="336">
        <v>87</v>
      </c>
      <c r="H215" s="588">
        <v>87</v>
      </c>
      <c r="I215" s="932">
        <f t="shared" si="507"/>
        <v>87</v>
      </c>
      <c r="J215" s="335">
        <v>87</v>
      </c>
      <c r="K215" s="336">
        <v>87</v>
      </c>
      <c r="L215" s="336">
        <v>87</v>
      </c>
      <c r="M215" s="588">
        <v>87</v>
      </c>
      <c r="N215" s="45">
        <f t="shared" si="508"/>
        <v>87</v>
      </c>
      <c r="O215" s="335">
        <v>87</v>
      </c>
      <c r="P215" s="336">
        <v>87</v>
      </c>
      <c r="Q215" s="336">
        <v>87</v>
      </c>
      <c r="R215" s="588">
        <v>87</v>
      </c>
      <c r="S215" s="45">
        <f t="shared" si="509"/>
        <v>87</v>
      </c>
      <c r="T215" s="335">
        <v>87</v>
      </c>
      <c r="U215" s="336">
        <v>87</v>
      </c>
      <c r="V215" s="336">
        <v>87</v>
      </c>
      <c r="W215" s="588">
        <f>V215</f>
        <v>87</v>
      </c>
      <c r="X215" s="45">
        <f t="shared" si="510"/>
        <v>87</v>
      </c>
      <c r="Y215" s="335">
        <v>87</v>
      </c>
      <c r="Z215" s="336">
        <v>0</v>
      </c>
      <c r="AA215" s="1435">
        <v>0</v>
      </c>
      <c r="AB215" s="1457">
        <f>AA215</f>
        <v>0</v>
      </c>
      <c r="AC215" s="1443">
        <f t="shared" si="511"/>
        <v>0</v>
      </c>
      <c r="AD215" s="335">
        <v>0</v>
      </c>
      <c r="AE215" s="336">
        <v>0</v>
      </c>
      <c r="AF215" s="336">
        <v>0</v>
      </c>
      <c r="AG215" s="1457">
        <v>0</v>
      </c>
      <c r="AH215" s="1443">
        <f t="shared" si="512"/>
        <v>0</v>
      </c>
      <c r="AI215" s="335">
        <v>0</v>
      </c>
      <c r="AJ215" s="336">
        <v>0</v>
      </c>
      <c r="AK215" s="336">
        <v>0</v>
      </c>
      <c r="AL215" s="1457">
        <v>0</v>
      </c>
      <c r="AM215" s="1443">
        <f t="shared" si="513"/>
        <v>0</v>
      </c>
      <c r="AN215" s="335">
        <v>0</v>
      </c>
      <c r="AO215" s="336">
        <v>0</v>
      </c>
      <c r="AP215" s="336">
        <v>0</v>
      </c>
      <c r="AQ215" s="1457">
        <v>0</v>
      </c>
      <c r="AR215" s="1443">
        <f t="shared" si="514"/>
        <v>0</v>
      </c>
      <c r="AS215" s="335">
        <v>0</v>
      </c>
      <c r="AT215" s="1435">
        <v>0</v>
      </c>
      <c r="AU215" s="1435">
        <v>0</v>
      </c>
      <c r="AV215" s="1457">
        <v>0</v>
      </c>
      <c r="AW215" s="1443">
        <f t="shared" si="515"/>
        <v>0</v>
      </c>
      <c r="AX215" s="290">
        <f t="shared" ref="AX215:BB215" si="532">+AW215</f>
        <v>0</v>
      </c>
      <c r="AY215" s="260">
        <f t="shared" si="532"/>
        <v>0</v>
      </c>
      <c r="AZ215" s="260">
        <f t="shared" si="532"/>
        <v>0</v>
      </c>
      <c r="BA215" s="291">
        <f t="shared" si="532"/>
        <v>0</v>
      </c>
      <c r="BB215" s="45">
        <f t="shared" si="532"/>
        <v>0</v>
      </c>
      <c r="BC215" s="290">
        <f t="shared" si="517"/>
        <v>0</v>
      </c>
      <c r="BD215" s="260">
        <f t="shared" si="518"/>
        <v>0</v>
      </c>
      <c r="BE215" s="260">
        <f t="shared" si="519"/>
        <v>0</v>
      </c>
      <c r="BF215" s="291">
        <f t="shared" si="520"/>
        <v>0</v>
      </c>
      <c r="BG215" s="45">
        <f t="shared" si="521"/>
        <v>0</v>
      </c>
      <c r="BH215" s="290">
        <f t="shared" si="522"/>
        <v>0</v>
      </c>
      <c r="BI215" s="260">
        <f t="shared" si="523"/>
        <v>0</v>
      </c>
      <c r="BJ215" s="260">
        <f t="shared" si="524"/>
        <v>0</v>
      </c>
      <c r="BK215" s="291">
        <f t="shared" si="525"/>
        <v>0</v>
      </c>
      <c r="BL215" s="45">
        <f t="shared" si="526"/>
        <v>0</v>
      </c>
      <c r="BM215" s="290">
        <f t="shared" si="527"/>
        <v>0</v>
      </c>
      <c r="BN215" s="260">
        <f t="shared" si="528"/>
        <v>0</v>
      </c>
      <c r="BO215" s="260">
        <f t="shared" si="529"/>
        <v>0</v>
      </c>
      <c r="BP215" s="291">
        <f t="shared" si="530"/>
        <v>0</v>
      </c>
      <c r="BQ215" s="45">
        <f t="shared" si="531"/>
        <v>0</v>
      </c>
      <c r="BR215" s="45"/>
      <c r="BS215" s="45"/>
      <c r="BT215" s="45"/>
      <c r="BU215" s="45"/>
      <c r="BV215" s="45"/>
      <c r="BW215" s="45"/>
      <c r="DR215"/>
      <c r="DS215"/>
      <c r="DT215"/>
      <c r="DU215"/>
      <c r="DV215"/>
      <c r="DW215"/>
      <c r="DX215" s="37"/>
    </row>
    <row r="216" spans="3:128" s="28" customFormat="1">
      <c r="C216" s="28" t="s">
        <v>254</v>
      </c>
      <c r="E216" s="335">
        <v>8845</v>
      </c>
      <c r="F216" s="336">
        <v>8870</v>
      </c>
      <c r="G216" s="336">
        <v>8896</v>
      </c>
      <c r="H216" s="588">
        <v>8923</v>
      </c>
      <c r="I216" s="932">
        <f t="shared" si="507"/>
        <v>8923</v>
      </c>
      <c r="J216" s="335">
        <v>8940</v>
      </c>
      <c r="K216" s="336">
        <v>8960</v>
      </c>
      <c r="L216" s="336">
        <v>8982</v>
      </c>
      <c r="M216" s="588">
        <v>9006</v>
      </c>
      <c r="N216" s="45">
        <f t="shared" si="508"/>
        <v>9006</v>
      </c>
      <c r="O216" s="335">
        <v>9032</v>
      </c>
      <c r="P216" s="336">
        <v>9054</v>
      </c>
      <c r="Q216" s="336">
        <v>9077</v>
      </c>
      <c r="R216" s="588">
        <v>9107</v>
      </c>
      <c r="S216" s="45">
        <f t="shared" si="509"/>
        <v>9107</v>
      </c>
      <c r="T216" s="335">
        <v>16512</v>
      </c>
      <c r="U216" s="336">
        <v>16559</v>
      </c>
      <c r="V216" s="336">
        <v>16594</v>
      </c>
      <c r="W216" s="588">
        <v>16632</v>
      </c>
      <c r="X216" s="45">
        <f t="shared" si="510"/>
        <v>16632</v>
      </c>
      <c r="Y216" s="335">
        <v>16652</v>
      </c>
      <c r="Z216" s="336">
        <v>16693</v>
      </c>
      <c r="AA216" s="1435">
        <v>16716</v>
      </c>
      <c r="AB216" s="1457">
        <v>16741</v>
      </c>
      <c r="AC216" s="1443">
        <f t="shared" si="511"/>
        <v>16741</v>
      </c>
      <c r="AD216" s="335">
        <v>16751</v>
      </c>
      <c r="AE216" s="336">
        <v>16651</v>
      </c>
      <c r="AF216" s="336">
        <v>16679</v>
      </c>
      <c r="AG216" s="1457">
        <v>16709</v>
      </c>
      <c r="AH216" s="1443">
        <f t="shared" si="512"/>
        <v>16709</v>
      </c>
      <c r="AI216" s="335">
        <v>16731</v>
      </c>
      <c r="AJ216" s="336">
        <v>16755</v>
      </c>
      <c r="AK216" s="336">
        <v>18647</v>
      </c>
      <c r="AL216" s="1457">
        <v>18676</v>
      </c>
      <c r="AM216" s="1443">
        <f t="shared" si="513"/>
        <v>18676</v>
      </c>
      <c r="AN216" s="335">
        <v>18686</v>
      </c>
      <c r="AO216" s="336">
        <v>18722</v>
      </c>
      <c r="AP216" s="336">
        <v>18756</v>
      </c>
      <c r="AQ216" s="1457">
        <v>18794</v>
      </c>
      <c r="AR216" s="1443">
        <f t="shared" si="514"/>
        <v>18794</v>
      </c>
      <c r="AS216" s="335">
        <v>18807</v>
      </c>
      <c r="AT216" s="1435">
        <v>18860</v>
      </c>
      <c r="AU216" s="1435">
        <v>18862</v>
      </c>
      <c r="AV216" s="1457">
        <v>18964</v>
      </c>
      <c r="AW216" s="1443">
        <f t="shared" si="515"/>
        <v>18964</v>
      </c>
      <c r="AX216" s="290">
        <f t="shared" ref="AX216:BA216" si="533">+AW216+AX166</f>
        <v>18964</v>
      </c>
      <c r="AY216" s="260">
        <f t="shared" si="533"/>
        <v>18964</v>
      </c>
      <c r="AZ216" s="260">
        <f t="shared" si="533"/>
        <v>18964</v>
      </c>
      <c r="BA216" s="291">
        <f t="shared" si="533"/>
        <v>18964</v>
      </c>
      <c r="BB216" s="45">
        <f t="shared" ref="BB216" si="534">+BA216</f>
        <v>18964</v>
      </c>
      <c r="BC216" s="290">
        <f t="shared" ref="BC216" si="535">+BB216+BC166</f>
        <v>18964</v>
      </c>
      <c r="BD216" s="260">
        <f t="shared" ref="BD216" si="536">+BC216+BD166</f>
        <v>18964</v>
      </c>
      <c r="BE216" s="260">
        <f t="shared" ref="BE216" si="537">+BD216+BE166</f>
        <v>18964</v>
      </c>
      <c r="BF216" s="291">
        <f t="shared" ref="BF216" si="538">+BE216+BF166</f>
        <v>18964</v>
      </c>
      <c r="BG216" s="45">
        <f t="shared" si="521"/>
        <v>18964</v>
      </c>
      <c r="BH216" s="290">
        <f t="shared" ref="BH216" si="539">+BG216+BH166</f>
        <v>18964</v>
      </c>
      <c r="BI216" s="260">
        <f t="shared" ref="BI216" si="540">+BH216+BI166</f>
        <v>18964</v>
      </c>
      <c r="BJ216" s="260">
        <f t="shared" ref="BJ216" si="541">+BI216+BJ166</f>
        <v>18964</v>
      </c>
      <c r="BK216" s="291">
        <f t="shared" ref="BK216" si="542">+BJ216+BK166</f>
        <v>18964</v>
      </c>
      <c r="BL216" s="45">
        <f t="shared" si="526"/>
        <v>18964</v>
      </c>
      <c r="BM216" s="290">
        <f t="shared" ref="BM216" si="543">+BL216+BM166</f>
        <v>18964</v>
      </c>
      <c r="BN216" s="260">
        <f t="shared" ref="BN216" si="544">+BM216+BN166</f>
        <v>18964</v>
      </c>
      <c r="BO216" s="260">
        <f t="shared" ref="BO216" si="545">+BN216+BO166</f>
        <v>18964</v>
      </c>
      <c r="BP216" s="291">
        <f t="shared" ref="BP216" si="546">+BO216+BP166</f>
        <v>18964</v>
      </c>
      <c r="BQ216" s="45">
        <f t="shared" si="531"/>
        <v>18964</v>
      </c>
      <c r="BR216" s="45"/>
      <c r="BS216" s="45"/>
      <c r="BT216" s="45"/>
      <c r="BU216" s="45"/>
      <c r="BV216" s="45"/>
      <c r="BW216" s="45"/>
      <c r="DR216"/>
      <c r="DS216"/>
      <c r="DT216"/>
      <c r="DU216"/>
      <c r="DV216"/>
      <c r="DW216"/>
      <c r="DX216" s="37"/>
    </row>
    <row r="217" spans="3:128" s="28" customFormat="1">
      <c r="C217" s="28" t="s">
        <v>548</v>
      </c>
      <c r="E217" s="335">
        <v>7185</v>
      </c>
      <c r="F217" s="336">
        <v>7494</v>
      </c>
      <c r="G217" s="336">
        <v>7905</v>
      </c>
      <c r="H217" s="588">
        <v>8134</v>
      </c>
      <c r="I217" s="932">
        <f t="shared" si="507"/>
        <v>8134</v>
      </c>
      <c r="J217" s="335">
        <v>8534</v>
      </c>
      <c r="K217" s="336">
        <v>8631</v>
      </c>
      <c r="L217" s="336">
        <v>9128</v>
      </c>
      <c r="M217" s="588">
        <v>9304</v>
      </c>
      <c r="N217" s="45">
        <f t="shared" si="508"/>
        <v>9304</v>
      </c>
      <c r="O217" s="335">
        <v>9623</v>
      </c>
      <c r="P217" s="336">
        <v>9894</v>
      </c>
      <c r="Q217" s="336">
        <v>10146</v>
      </c>
      <c r="R217" s="588">
        <v>10055</v>
      </c>
      <c r="S217" s="45">
        <f t="shared" si="509"/>
        <v>10055</v>
      </c>
      <c r="T217" s="335">
        <v>9830</v>
      </c>
      <c r="U217" s="336">
        <v>10114</v>
      </c>
      <c r="V217" s="336">
        <v>9959</v>
      </c>
      <c r="W217" s="588">
        <v>9893</v>
      </c>
      <c r="X217" s="45">
        <f t="shared" si="510"/>
        <v>9893</v>
      </c>
      <c r="Y217" s="335">
        <v>9437</v>
      </c>
      <c r="Z217" s="336">
        <v>9660</v>
      </c>
      <c r="AA217" s="1435">
        <v>10131</v>
      </c>
      <c r="AB217" s="1457">
        <v>10358</v>
      </c>
      <c r="AC217" s="1443">
        <f t="shared" si="511"/>
        <v>10358</v>
      </c>
      <c r="AD217" s="335">
        <v>10180</v>
      </c>
      <c r="AE217" s="336">
        <v>10435</v>
      </c>
      <c r="AF217" s="336">
        <v>11160</v>
      </c>
      <c r="AG217" s="1457">
        <v>10910</v>
      </c>
      <c r="AH217" s="1443">
        <f t="shared" si="512"/>
        <v>10910</v>
      </c>
      <c r="AI217" s="335">
        <v>11334</v>
      </c>
      <c r="AJ217" s="336">
        <v>11704</v>
      </c>
      <c r="AK217" s="336">
        <v>12046</v>
      </c>
      <c r="AL217" s="1457">
        <v>12068</v>
      </c>
      <c r="AM217" s="1443">
        <f t="shared" si="513"/>
        <v>12068</v>
      </c>
      <c r="AN217" s="335">
        <v>11954</v>
      </c>
      <c r="AO217" s="336">
        <v>11926</v>
      </c>
      <c r="AP217" s="336">
        <v>12121</v>
      </c>
      <c r="AQ217" s="1457">
        <v>12030</v>
      </c>
      <c r="AR217" s="1443">
        <f t="shared" si="514"/>
        <v>12030</v>
      </c>
      <c r="AS217" s="335">
        <v>12720</v>
      </c>
      <c r="AT217" s="1435">
        <v>11442</v>
      </c>
      <c r="AU217" s="1435">
        <v>11950</v>
      </c>
      <c r="AV217" s="1457">
        <v>13503</v>
      </c>
      <c r="AW217" s="1443">
        <f t="shared" si="515"/>
        <v>13503</v>
      </c>
      <c r="AX217" s="290">
        <f>+AW217+AX44+AX167</f>
        <v>14068.124027910861</v>
      </c>
      <c r="AY217" s="260">
        <f ca="1">+AX217+AY44+AY167</f>
        <v>14309.541175548708</v>
      </c>
      <c r="AZ217" s="260">
        <f ca="1">+AY217+AZ44+AZ167</f>
        <v>14934.718105494865</v>
      </c>
      <c r="BA217" s="291">
        <f ca="1">+AZ217+BA44+BA167</f>
        <v>15129.518751552903</v>
      </c>
      <c r="BB217" s="45">
        <f ca="1">+BA217</f>
        <v>15129.518751552903</v>
      </c>
      <c r="BC217" s="290">
        <f ca="1">+BB217+BC44+BC167</f>
        <v>15751.418803316394</v>
      </c>
      <c r="BD217" s="260">
        <f ca="1">+BC217+BD44+BD167</f>
        <v>15893.627923554326</v>
      </c>
      <c r="BE217" s="260">
        <f ca="1">+BD217+BE44+BE167</f>
        <v>16404.971673114338</v>
      </c>
      <c r="BF217" s="291">
        <f ca="1">+BE217+BF44+BF167</f>
        <v>16541.358300843316</v>
      </c>
      <c r="BG217" s="45">
        <f ca="1">+BF217</f>
        <v>16541.358300843316</v>
      </c>
      <c r="BH217" s="290">
        <f ca="1">+BG217+BH44+BH167</f>
        <v>17073.137507611093</v>
      </c>
      <c r="BI217" s="260">
        <f ca="1">+BH217+BI44+BI167</f>
        <v>17164.097202694738</v>
      </c>
      <c r="BJ217" s="260">
        <f ca="1">+BI217+BJ44+BJ167</f>
        <v>17651.356246408039</v>
      </c>
      <c r="BK217" s="291">
        <f ca="1">+BJ217+BK44+BK167</f>
        <v>17815.070205970027</v>
      </c>
      <c r="BL217" s="45">
        <f ca="1">+BK217</f>
        <v>17815.070205970027</v>
      </c>
      <c r="BM217" s="290">
        <f ca="1">+BL217+BM44+BM167</f>
        <v>18265.698564915514</v>
      </c>
      <c r="BN217" s="260">
        <f ca="1">+BM217+BN44+BN167</f>
        <v>18439.964883150584</v>
      </c>
      <c r="BO217" s="260">
        <f ca="1">+BN217+BO44+BO167</f>
        <v>18973.453203757228</v>
      </c>
      <c r="BP217" s="291">
        <f ca="1">+BO217+BP44+BP167</f>
        <v>19201.620409701653</v>
      </c>
      <c r="BQ217" s="45">
        <f ca="1">+BP217</f>
        <v>19201.620409701653</v>
      </c>
      <c r="BR217" s="45"/>
      <c r="BS217" s="45"/>
      <c r="BT217" s="45"/>
      <c r="BU217" s="45"/>
      <c r="BV217" s="45"/>
      <c r="BW217" s="45"/>
      <c r="DR217"/>
      <c r="DS217"/>
      <c r="DT217"/>
      <c r="DU217"/>
      <c r="DV217"/>
      <c r="DW217"/>
      <c r="DX217" s="37"/>
    </row>
    <row r="218" spans="3:128" s="28" customFormat="1">
      <c r="C218" s="28" t="s">
        <v>1250</v>
      </c>
      <c r="E218" s="335">
        <v>-2338</v>
      </c>
      <c r="F218" s="336">
        <v>-2338</v>
      </c>
      <c r="G218" s="336">
        <v>-2338</v>
      </c>
      <c r="H218" s="588">
        <v>-2328</v>
      </c>
      <c r="I218" s="932">
        <f t="shared" si="507"/>
        <v>-2328</v>
      </c>
      <c r="J218" s="335">
        <v>-2328</v>
      </c>
      <c r="K218" s="336">
        <v>-2327</v>
      </c>
      <c r="L218" s="336">
        <v>-2327</v>
      </c>
      <c r="M218" s="588">
        <v>-2327</v>
      </c>
      <c r="N218" s="45">
        <f t="shared" si="508"/>
        <v>-2327</v>
      </c>
      <c r="O218" s="335">
        <v>-2327</v>
      </c>
      <c r="P218" s="336">
        <v>-2327</v>
      </c>
      <c r="Q218" s="336">
        <v>-2327</v>
      </c>
      <c r="R218" s="588">
        <v>-2327</v>
      </c>
      <c r="S218" s="45">
        <f t="shared" si="509"/>
        <v>-2327</v>
      </c>
      <c r="T218" s="335">
        <v>-2327</v>
      </c>
      <c r="U218" s="336">
        <v>-2327</v>
      </c>
      <c r="V218" s="336">
        <v>-2327</v>
      </c>
      <c r="W218" s="588">
        <v>-2327</v>
      </c>
      <c r="X218" s="45">
        <f t="shared" si="510"/>
        <v>-2327</v>
      </c>
      <c r="Y218" s="335">
        <v>-2327</v>
      </c>
      <c r="Z218" s="336">
        <v>-2327</v>
      </c>
      <c r="AA218" s="1435">
        <v>-2327</v>
      </c>
      <c r="AB218" s="1457">
        <v>-2327</v>
      </c>
      <c r="AC218" s="1443">
        <f t="shared" si="511"/>
        <v>-2327</v>
      </c>
      <c r="AD218" s="335">
        <v>-2327</v>
      </c>
      <c r="AE218" s="336">
        <v>-2327</v>
      </c>
      <c r="AF218" s="336">
        <v>-2327</v>
      </c>
      <c r="AG218" s="1457">
        <v>-2327</v>
      </c>
      <c r="AH218" s="1443">
        <f t="shared" si="512"/>
        <v>-2327</v>
      </c>
      <c r="AI218" s="335">
        <v>-2327</v>
      </c>
      <c r="AJ218" s="336">
        <v>-2327</v>
      </c>
      <c r="AK218" s="336">
        <v>-2327</v>
      </c>
      <c r="AL218" s="1457">
        <v>-2327</v>
      </c>
      <c r="AM218" s="1443">
        <f t="shared" si="513"/>
        <v>-2327</v>
      </c>
      <c r="AN218" s="335">
        <v>-2327</v>
      </c>
      <c r="AO218" s="336">
        <v>-2327</v>
      </c>
      <c r="AP218" s="336">
        <v>-2327</v>
      </c>
      <c r="AQ218" s="1457">
        <v>-2327</v>
      </c>
      <c r="AR218" s="1443">
        <f t="shared" si="514"/>
        <v>-2327</v>
      </c>
      <c r="AS218" s="335">
        <v>-2327</v>
      </c>
      <c r="AT218" s="1435">
        <v>-123</v>
      </c>
      <c r="AU218" s="1435">
        <v>-123</v>
      </c>
      <c r="AV218" s="1457">
        <v>-123</v>
      </c>
      <c r="AW218" s="1443">
        <f t="shared" si="515"/>
        <v>-123</v>
      </c>
      <c r="AX218" s="290">
        <f t="shared" ref="AX218:BA218" si="547">+AW218</f>
        <v>-123</v>
      </c>
      <c r="AY218" s="260">
        <f t="shared" si="547"/>
        <v>-123</v>
      </c>
      <c r="AZ218" s="260">
        <f t="shared" si="547"/>
        <v>-123</v>
      </c>
      <c r="BA218" s="291">
        <f t="shared" si="547"/>
        <v>-123</v>
      </c>
      <c r="BB218" s="45">
        <f>BA218</f>
        <v>-123</v>
      </c>
      <c r="BC218" s="290">
        <f t="shared" ref="BC218" si="548">+BB218</f>
        <v>-123</v>
      </c>
      <c r="BD218" s="260">
        <f t="shared" ref="BD218" si="549">+BC218</f>
        <v>-123</v>
      </c>
      <c r="BE218" s="260">
        <f t="shared" ref="BE218" si="550">+BD218</f>
        <v>-123</v>
      </c>
      <c r="BF218" s="291">
        <f t="shared" ref="BF218" si="551">+BE218</f>
        <v>-123</v>
      </c>
      <c r="BG218" s="45">
        <f>BF218</f>
        <v>-123</v>
      </c>
      <c r="BH218" s="290">
        <f t="shared" ref="BH218" si="552">+BG218</f>
        <v>-123</v>
      </c>
      <c r="BI218" s="260">
        <f t="shared" ref="BI218" si="553">+BH218</f>
        <v>-123</v>
      </c>
      <c r="BJ218" s="260">
        <f t="shared" ref="BJ218" si="554">+BI218</f>
        <v>-123</v>
      </c>
      <c r="BK218" s="291">
        <f t="shared" ref="BK218" si="555">+BJ218</f>
        <v>-123</v>
      </c>
      <c r="BL218" s="45">
        <f>BK218</f>
        <v>-123</v>
      </c>
      <c r="BM218" s="290">
        <f t="shared" ref="BM218" si="556">+BL218</f>
        <v>-123</v>
      </c>
      <c r="BN218" s="260">
        <f t="shared" ref="BN218" si="557">+BM218</f>
        <v>-123</v>
      </c>
      <c r="BO218" s="260">
        <f t="shared" ref="BO218" si="558">+BN218</f>
        <v>-123</v>
      </c>
      <c r="BP218" s="291">
        <f t="shared" ref="BP218" si="559">+BO218</f>
        <v>-123</v>
      </c>
      <c r="BQ218" s="45">
        <f>BP218</f>
        <v>-123</v>
      </c>
      <c r="BR218" s="45"/>
      <c r="BS218" s="45"/>
      <c r="BT218" s="45"/>
      <c r="BU218" s="45"/>
      <c r="BV218" s="45"/>
      <c r="BW218" s="45"/>
      <c r="DR218"/>
      <c r="DS218"/>
      <c r="DT218"/>
      <c r="DU218"/>
      <c r="DV218"/>
      <c r="DW218"/>
      <c r="DX218" s="37"/>
    </row>
    <row r="219" spans="3:128" s="28" customFormat="1">
      <c r="C219" s="28" t="s">
        <v>62</v>
      </c>
      <c r="E219" s="335">
        <v>-1680</v>
      </c>
      <c r="F219" s="336">
        <v>-1873</v>
      </c>
      <c r="G219" s="336">
        <v>-1973</v>
      </c>
      <c r="H219" s="588">
        <v>-2089</v>
      </c>
      <c r="I219" s="932">
        <f t="shared" si="507"/>
        <v>-2089</v>
      </c>
      <c r="J219" s="335">
        <v>-1695</v>
      </c>
      <c r="K219" s="336">
        <v>-2078</v>
      </c>
      <c r="L219" s="336">
        <v>-1828</v>
      </c>
      <c r="M219" s="588">
        <v>-2423</v>
      </c>
      <c r="N219" s="45">
        <f t="shared" si="508"/>
        <v>-2423</v>
      </c>
      <c r="O219" s="335">
        <v>-2397</v>
      </c>
      <c r="P219" s="336">
        <v>-2509</v>
      </c>
      <c r="Q219" s="336">
        <v>-2540</v>
      </c>
      <c r="R219" s="588">
        <v>-2450</v>
      </c>
      <c r="S219" s="45">
        <f t="shared" si="509"/>
        <v>-2450</v>
      </c>
      <c r="T219" s="335">
        <f>-2199+193</f>
        <v>-2006</v>
      </c>
      <c r="U219" s="336">
        <f>-2313+193</f>
        <v>-2120</v>
      </c>
      <c r="V219" s="336">
        <f>-2405+193</f>
        <v>-2212</v>
      </c>
      <c r="W219" s="588">
        <f>-2767+193</f>
        <v>-2574</v>
      </c>
      <c r="X219" s="45">
        <f t="shared" si="510"/>
        <v>-2574</v>
      </c>
      <c r="Y219" s="335">
        <f>-2673+193</f>
        <v>-2480</v>
      </c>
      <c r="Z219" s="336">
        <f>-2673+193</f>
        <v>-2480</v>
      </c>
      <c r="AA219" s="1435">
        <f>-2661+193</f>
        <v>-2468</v>
      </c>
      <c r="AB219" s="1457">
        <f>-2040+193</f>
        <v>-1847</v>
      </c>
      <c r="AC219" s="1443">
        <f t="shared" si="511"/>
        <v>-1847</v>
      </c>
      <c r="AD219" s="335">
        <f>-2036+193</f>
        <v>-1843</v>
      </c>
      <c r="AE219" s="336">
        <f>-1906+193</f>
        <v>-1713</v>
      </c>
      <c r="AF219" s="336">
        <f>-1917+193</f>
        <v>-1724</v>
      </c>
      <c r="AG219" s="1457">
        <f>-2684+193</f>
        <v>-2491</v>
      </c>
      <c r="AH219" s="1443">
        <f t="shared" si="512"/>
        <v>-2491</v>
      </c>
      <c r="AI219" s="335">
        <f>-2673+193</f>
        <v>-2480</v>
      </c>
      <c r="AJ219" s="336">
        <f>-2626+193</f>
        <v>-2433</v>
      </c>
      <c r="AK219" s="336">
        <f>-2596+193</f>
        <v>-2403</v>
      </c>
      <c r="AL219" s="1457">
        <f>-2624+193+28</f>
        <v>-2403</v>
      </c>
      <c r="AM219" s="1443">
        <f t="shared" si="513"/>
        <v>-2403</v>
      </c>
      <c r="AN219" s="335">
        <f>-2596+19+193</f>
        <v>-2384</v>
      </c>
      <c r="AO219" s="336">
        <f>-2565+193+24</f>
        <v>-2348</v>
      </c>
      <c r="AP219" s="336">
        <f>-2523+26</f>
        <v>-2497</v>
      </c>
      <c r="AQ219" s="1457">
        <v>-2660</v>
      </c>
      <c r="AR219" s="1443">
        <f t="shared" si="514"/>
        <v>-2660</v>
      </c>
      <c r="AS219" s="335">
        <v>-2670</v>
      </c>
      <c r="AT219" s="1435">
        <v>-2633</v>
      </c>
      <c r="AU219" s="1435">
        <v>-2589</v>
      </c>
      <c r="AV219" s="1457">
        <v>-2487</v>
      </c>
      <c r="AW219" s="1443">
        <f t="shared" si="515"/>
        <v>-2487</v>
      </c>
      <c r="AX219" s="290">
        <f t="shared" ref="AX219:BA219" si="560">AW219</f>
        <v>-2487</v>
      </c>
      <c r="AY219" s="260">
        <f t="shared" si="560"/>
        <v>-2487</v>
      </c>
      <c r="AZ219" s="260">
        <f t="shared" si="560"/>
        <v>-2487</v>
      </c>
      <c r="BA219" s="291">
        <f t="shared" si="560"/>
        <v>-2487</v>
      </c>
      <c r="BB219" s="45">
        <f>BA219</f>
        <v>-2487</v>
      </c>
      <c r="BC219" s="290">
        <f t="shared" ref="BC219" si="561">BB219</f>
        <v>-2487</v>
      </c>
      <c r="BD219" s="260">
        <f t="shared" ref="BD219" si="562">BC219</f>
        <v>-2487</v>
      </c>
      <c r="BE219" s="260">
        <f t="shared" ref="BE219" si="563">BD219</f>
        <v>-2487</v>
      </c>
      <c r="BF219" s="291">
        <f t="shared" ref="BF219" si="564">BE219</f>
        <v>-2487</v>
      </c>
      <c r="BG219" s="45">
        <f>BF219</f>
        <v>-2487</v>
      </c>
      <c r="BH219" s="290">
        <f t="shared" ref="BH219" si="565">BG219</f>
        <v>-2487</v>
      </c>
      <c r="BI219" s="260">
        <f t="shared" ref="BI219" si="566">BH219</f>
        <v>-2487</v>
      </c>
      <c r="BJ219" s="260">
        <f t="shared" ref="BJ219" si="567">BI219</f>
        <v>-2487</v>
      </c>
      <c r="BK219" s="291">
        <f t="shared" ref="BK219" si="568">BJ219</f>
        <v>-2487</v>
      </c>
      <c r="BL219" s="45">
        <f>BK219</f>
        <v>-2487</v>
      </c>
      <c r="BM219" s="290">
        <f t="shared" ref="BM219" si="569">BL219</f>
        <v>-2487</v>
      </c>
      <c r="BN219" s="260">
        <f t="shared" ref="BN219" si="570">BM219</f>
        <v>-2487</v>
      </c>
      <c r="BO219" s="260">
        <f t="shared" ref="BO219" si="571">BN219</f>
        <v>-2487</v>
      </c>
      <c r="BP219" s="291">
        <f t="shared" ref="BP219" si="572">BO219</f>
        <v>-2487</v>
      </c>
      <c r="BQ219" s="45">
        <f>BP219</f>
        <v>-2487</v>
      </c>
      <c r="BR219" s="45"/>
      <c r="BS219" s="45"/>
      <c r="BT219" s="45"/>
      <c r="BU219" s="45"/>
      <c r="BV219" s="45"/>
      <c r="BW219" s="45"/>
      <c r="DR219"/>
      <c r="DS219"/>
      <c r="DT219"/>
      <c r="DU219"/>
      <c r="DV219"/>
      <c r="DW219"/>
      <c r="DX219" s="37"/>
    </row>
    <row r="220" spans="3:128" s="28" customFormat="1">
      <c r="C220" s="32" t="s">
        <v>193</v>
      </c>
      <c r="E220" s="350">
        <f t="shared" ref="E220:S220" si="573">SUM(E216:E219)</f>
        <v>12012</v>
      </c>
      <c r="F220" s="351">
        <f t="shared" si="573"/>
        <v>12153</v>
      </c>
      <c r="G220" s="351">
        <f t="shared" si="573"/>
        <v>12490</v>
      </c>
      <c r="H220" s="352">
        <f t="shared" si="573"/>
        <v>12640</v>
      </c>
      <c r="I220" s="933">
        <f t="shared" si="573"/>
        <v>12640</v>
      </c>
      <c r="J220" s="350">
        <f t="shared" si="573"/>
        <v>13451</v>
      </c>
      <c r="K220" s="351">
        <f t="shared" si="573"/>
        <v>13186</v>
      </c>
      <c r="L220" s="351">
        <f t="shared" si="573"/>
        <v>13955</v>
      </c>
      <c r="M220" s="352">
        <f t="shared" si="573"/>
        <v>13560</v>
      </c>
      <c r="N220" s="228">
        <f t="shared" si="573"/>
        <v>13560</v>
      </c>
      <c r="O220" s="350">
        <f t="shared" si="573"/>
        <v>13931</v>
      </c>
      <c r="P220" s="351">
        <f t="shared" si="573"/>
        <v>14112</v>
      </c>
      <c r="Q220" s="351">
        <f t="shared" si="573"/>
        <v>14356</v>
      </c>
      <c r="R220" s="352">
        <f t="shared" si="573"/>
        <v>14385</v>
      </c>
      <c r="S220" s="228">
        <f t="shared" si="573"/>
        <v>14385</v>
      </c>
      <c r="T220" s="350">
        <f t="shared" ref="T220:AE220" si="574">SUM(T216:T219)</f>
        <v>22009</v>
      </c>
      <c r="U220" s="351">
        <f t="shared" si="574"/>
        <v>22226</v>
      </c>
      <c r="V220" s="351">
        <f t="shared" si="574"/>
        <v>22014</v>
      </c>
      <c r="W220" s="352">
        <f t="shared" si="574"/>
        <v>21624</v>
      </c>
      <c r="X220" s="228">
        <f t="shared" si="574"/>
        <v>21624</v>
      </c>
      <c r="Y220" s="350">
        <f t="shared" si="574"/>
        <v>21282</v>
      </c>
      <c r="Z220" s="351">
        <f t="shared" si="574"/>
        <v>21546</v>
      </c>
      <c r="AA220" s="351">
        <f t="shared" si="574"/>
        <v>22052</v>
      </c>
      <c r="AB220" s="352">
        <f t="shared" si="574"/>
        <v>22925</v>
      </c>
      <c r="AC220" s="1440">
        <f t="shared" si="574"/>
        <v>22925</v>
      </c>
      <c r="AD220" s="350">
        <f t="shared" si="574"/>
        <v>22761</v>
      </c>
      <c r="AE220" s="351">
        <f t="shared" si="574"/>
        <v>23046</v>
      </c>
      <c r="AF220" s="351">
        <f t="shared" ref="AF220:AJ220" si="575">SUM(AF216:AF219)</f>
        <v>23788</v>
      </c>
      <c r="AG220" s="352">
        <f t="shared" si="575"/>
        <v>22801</v>
      </c>
      <c r="AH220" s="1440">
        <f t="shared" si="575"/>
        <v>22801</v>
      </c>
      <c r="AI220" s="350">
        <f t="shared" si="575"/>
        <v>23258</v>
      </c>
      <c r="AJ220" s="351">
        <f t="shared" si="575"/>
        <v>23699</v>
      </c>
      <c r="AK220" s="351">
        <f t="shared" ref="AK220:AM220" si="576">SUM(AK216:AK219)</f>
        <v>25963</v>
      </c>
      <c r="AL220" s="352">
        <f t="shared" si="576"/>
        <v>26014</v>
      </c>
      <c r="AM220" s="1440">
        <f t="shared" si="576"/>
        <v>26014</v>
      </c>
      <c r="AN220" s="350">
        <f t="shared" ref="AN220:AR220" si="577">SUM(AN216:AN219)</f>
        <v>25929</v>
      </c>
      <c r="AO220" s="351">
        <f t="shared" si="577"/>
        <v>25973</v>
      </c>
      <c r="AP220" s="351">
        <f t="shared" si="577"/>
        <v>26053</v>
      </c>
      <c r="AQ220" s="352">
        <f t="shared" si="577"/>
        <v>25837</v>
      </c>
      <c r="AR220" s="1440">
        <f t="shared" si="577"/>
        <v>25837</v>
      </c>
      <c r="AS220" s="350">
        <f t="shared" ref="AS220:AT220" si="578">SUM(AS216:AS219)</f>
        <v>26530</v>
      </c>
      <c r="AT220" s="351">
        <f t="shared" si="578"/>
        <v>27546</v>
      </c>
      <c r="AU220" s="351">
        <f t="shared" ref="AU220:BB220" si="579">SUM(AU216:AU219)</f>
        <v>28100</v>
      </c>
      <c r="AV220" s="352">
        <f t="shared" si="579"/>
        <v>29857</v>
      </c>
      <c r="AW220" s="1440">
        <f t="shared" si="579"/>
        <v>29857</v>
      </c>
      <c r="AX220" s="350">
        <f t="shared" si="579"/>
        <v>30422.124027910861</v>
      </c>
      <c r="AY220" s="351">
        <f t="shared" ca="1" si="579"/>
        <v>30663.541175548708</v>
      </c>
      <c r="AZ220" s="351">
        <f t="shared" ca="1" si="579"/>
        <v>31288.718105494867</v>
      </c>
      <c r="BA220" s="352">
        <f t="shared" ca="1" si="579"/>
        <v>31483.518751552903</v>
      </c>
      <c r="BB220" s="228">
        <f t="shared" ca="1" si="579"/>
        <v>31483.518751552903</v>
      </c>
      <c r="BC220" s="350">
        <f t="shared" ref="BC220:BL220" ca="1" si="580">SUM(BC216:BC219)</f>
        <v>32105.418803316395</v>
      </c>
      <c r="BD220" s="351">
        <f t="shared" ca="1" si="580"/>
        <v>32247.627923554326</v>
      </c>
      <c r="BE220" s="351">
        <f t="shared" ca="1" si="580"/>
        <v>32758.971673114342</v>
      </c>
      <c r="BF220" s="352">
        <f t="shared" ca="1" si="580"/>
        <v>32895.35830084332</v>
      </c>
      <c r="BG220" s="228">
        <f t="shared" ca="1" si="580"/>
        <v>32895.35830084332</v>
      </c>
      <c r="BH220" s="350">
        <f t="shared" ca="1" si="580"/>
        <v>33427.137507611093</v>
      </c>
      <c r="BI220" s="351">
        <f t="shared" ca="1" si="580"/>
        <v>33518.097202694742</v>
      </c>
      <c r="BJ220" s="351">
        <f t="shared" ca="1" si="580"/>
        <v>34005.356246408039</v>
      </c>
      <c r="BK220" s="352">
        <f t="shared" ca="1" si="580"/>
        <v>34169.070205970027</v>
      </c>
      <c r="BL220" s="228">
        <f t="shared" ca="1" si="580"/>
        <v>34169.070205970027</v>
      </c>
      <c r="BM220" s="350">
        <f t="shared" ref="BM220:BQ220" ca="1" si="581">SUM(BM216:BM219)</f>
        <v>34619.69856491551</v>
      </c>
      <c r="BN220" s="351">
        <f t="shared" ca="1" si="581"/>
        <v>34793.964883150584</v>
      </c>
      <c r="BO220" s="351">
        <f t="shared" ca="1" si="581"/>
        <v>35327.453203757228</v>
      </c>
      <c r="BP220" s="352">
        <f t="shared" ca="1" si="581"/>
        <v>35555.620409701653</v>
      </c>
      <c r="BQ220" s="228">
        <f t="shared" ca="1" si="581"/>
        <v>35555.620409701653</v>
      </c>
      <c r="BR220" s="45"/>
      <c r="BS220" s="45"/>
      <c r="BT220" s="45"/>
      <c r="BU220" s="45"/>
      <c r="BV220" s="45"/>
      <c r="BW220" s="45"/>
      <c r="DR220"/>
      <c r="DS220"/>
      <c r="DT220"/>
      <c r="DU220"/>
      <c r="DV220"/>
      <c r="DW220"/>
      <c r="DX220" s="37"/>
    </row>
    <row r="221" spans="3:128" s="28" customFormat="1">
      <c r="E221" s="290"/>
      <c r="F221" s="260"/>
      <c r="G221" s="260"/>
      <c r="H221" s="291"/>
      <c r="I221" s="932"/>
      <c r="J221" s="290"/>
      <c r="K221" s="260"/>
      <c r="L221" s="260"/>
      <c r="M221" s="291"/>
      <c r="N221" s="45"/>
      <c r="O221" s="290"/>
      <c r="P221" s="260"/>
      <c r="Q221" s="260"/>
      <c r="R221" s="291"/>
      <c r="S221" s="45"/>
      <c r="T221" s="290"/>
      <c r="U221" s="260"/>
      <c r="V221" s="260"/>
      <c r="W221" s="291"/>
      <c r="X221" s="45"/>
      <c r="Y221" s="290"/>
      <c r="Z221" s="260"/>
      <c r="AA221" s="1441"/>
      <c r="AB221" s="1442"/>
      <c r="AC221" s="1443"/>
      <c r="AD221" s="290"/>
      <c r="AE221" s="260"/>
      <c r="AF221" s="260"/>
      <c r="AG221" s="1442"/>
      <c r="AH221" s="1443"/>
      <c r="AI221" s="290"/>
      <c r="AJ221" s="260"/>
      <c r="AK221" s="260"/>
      <c r="AL221" s="1442"/>
      <c r="AM221" s="1443"/>
      <c r="AN221" s="290"/>
      <c r="AO221" s="260"/>
      <c r="AP221" s="260"/>
      <c r="AQ221" s="1442"/>
      <c r="AR221" s="1443"/>
      <c r="AS221" s="290"/>
      <c r="AT221" s="1441"/>
      <c r="AU221" s="260"/>
      <c r="AV221" s="1442"/>
      <c r="AW221" s="1443"/>
      <c r="AX221" s="290"/>
      <c r="AY221" s="260"/>
      <c r="AZ221" s="260"/>
      <c r="BA221" s="291"/>
      <c r="BB221" s="45"/>
      <c r="BC221" s="290"/>
      <c r="BD221" s="260"/>
      <c r="BE221" s="260"/>
      <c r="BF221" s="291"/>
      <c r="BG221" s="45"/>
      <c r="BH221" s="290"/>
      <c r="BI221" s="260"/>
      <c r="BJ221" s="260"/>
      <c r="BK221" s="291"/>
      <c r="BL221" s="45"/>
      <c r="BM221" s="290"/>
      <c r="BN221" s="260"/>
      <c r="BO221" s="260"/>
      <c r="BP221" s="291"/>
      <c r="BQ221" s="45"/>
      <c r="BR221" s="45"/>
      <c r="BS221" s="45"/>
      <c r="BT221" s="45"/>
      <c r="BU221" s="45"/>
      <c r="BV221" s="45"/>
      <c r="BW221" s="45"/>
      <c r="DR221"/>
      <c r="DS221"/>
      <c r="DT221"/>
      <c r="DU221"/>
      <c r="DV221"/>
      <c r="DW221"/>
      <c r="DX221" s="37"/>
    </row>
    <row r="222" spans="3:128" s="28" customFormat="1">
      <c r="C222" s="32" t="s">
        <v>372</v>
      </c>
      <c r="E222" s="292">
        <f>+E220+E215+E214+E212</f>
        <v>48863</v>
      </c>
      <c r="F222" s="261">
        <f t="shared" ref="F222:S222" si="582">+F220+F215+F214+F212</f>
        <v>48979</v>
      </c>
      <c r="G222" s="261">
        <f t="shared" si="582"/>
        <v>49502</v>
      </c>
      <c r="H222" s="293">
        <f t="shared" si="582"/>
        <v>49180</v>
      </c>
      <c r="I222" s="933">
        <f t="shared" si="582"/>
        <v>49180</v>
      </c>
      <c r="J222" s="292">
        <f t="shared" si="582"/>
        <v>50741</v>
      </c>
      <c r="K222" s="261">
        <f t="shared" si="582"/>
        <v>49173</v>
      </c>
      <c r="L222" s="261">
        <f t="shared" si="582"/>
        <v>50948</v>
      </c>
      <c r="M222" s="293">
        <f t="shared" si="582"/>
        <v>52240</v>
      </c>
      <c r="N222" s="228">
        <f t="shared" si="582"/>
        <v>52240</v>
      </c>
      <c r="O222" s="292">
        <f t="shared" si="582"/>
        <v>51376</v>
      </c>
      <c r="P222" s="261">
        <f t="shared" si="582"/>
        <v>51986</v>
      </c>
      <c r="Q222" s="261">
        <f t="shared" si="582"/>
        <v>54156</v>
      </c>
      <c r="R222" s="293">
        <f t="shared" si="582"/>
        <v>55092</v>
      </c>
      <c r="S222" s="228">
        <f t="shared" si="582"/>
        <v>55092</v>
      </c>
      <c r="T222" s="292">
        <f t="shared" ref="T222:AW222" si="583">+T220+T215+T214+T212</f>
        <v>77628</v>
      </c>
      <c r="U222" s="261">
        <f t="shared" si="583"/>
        <v>77434</v>
      </c>
      <c r="V222" s="261">
        <f t="shared" si="583"/>
        <v>78353</v>
      </c>
      <c r="W222" s="293">
        <f t="shared" si="583"/>
        <v>78554</v>
      </c>
      <c r="X222" s="228">
        <f t="shared" si="583"/>
        <v>78554</v>
      </c>
      <c r="Y222" s="292">
        <f t="shared" si="583"/>
        <v>78243</v>
      </c>
      <c r="Z222" s="261">
        <f t="shared" si="583"/>
        <v>78420</v>
      </c>
      <c r="AA222" s="1438">
        <f t="shared" si="583"/>
        <v>79661</v>
      </c>
      <c r="AB222" s="1439">
        <f t="shared" si="583"/>
        <v>79924</v>
      </c>
      <c r="AC222" s="1440">
        <f t="shared" si="583"/>
        <v>79924</v>
      </c>
      <c r="AD222" s="292">
        <f t="shared" si="583"/>
        <v>79468</v>
      </c>
      <c r="AE222" s="261">
        <f t="shared" si="583"/>
        <v>83656</v>
      </c>
      <c r="AF222" s="261">
        <f t="shared" ref="AF222:AJ222" si="584">+AF220+AF215+AF214+AF212</f>
        <v>85264</v>
      </c>
      <c r="AG222" s="1439">
        <f t="shared" si="584"/>
        <v>86814</v>
      </c>
      <c r="AH222" s="1440">
        <f t="shared" si="584"/>
        <v>86814</v>
      </c>
      <c r="AI222" s="292">
        <f t="shared" si="584"/>
        <v>87391</v>
      </c>
      <c r="AJ222" s="261">
        <f t="shared" si="584"/>
        <v>92213</v>
      </c>
      <c r="AK222" s="261">
        <f t="shared" ref="AK222:AM222" si="585">+AK220+AK215+AK214+AK212</f>
        <v>95128</v>
      </c>
      <c r="AL222" s="1439">
        <f t="shared" si="585"/>
        <v>95384</v>
      </c>
      <c r="AM222" s="1440">
        <f t="shared" si="585"/>
        <v>95384</v>
      </c>
      <c r="AN222" s="292">
        <f t="shared" ref="AN222:AR222" si="586">+AN220+AN215+AN214+AN212</f>
        <v>111742</v>
      </c>
      <c r="AO222" s="261">
        <f t="shared" si="586"/>
        <v>112778</v>
      </c>
      <c r="AP222" s="261">
        <f t="shared" si="586"/>
        <v>114535</v>
      </c>
      <c r="AQ222" s="1439">
        <f t="shared" si="586"/>
        <v>114904</v>
      </c>
      <c r="AR222" s="1440">
        <f t="shared" si="586"/>
        <v>114904</v>
      </c>
      <c r="AS222" s="292">
        <f t="shared" ref="AS222:AT222" si="587">+AS220+AS215+AS214+AS212</f>
        <v>117068</v>
      </c>
      <c r="AT222" s="1438">
        <f t="shared" si="587"/>
        <v>117104</v>
      </c>
      <c r="AU222" s="261">
        <f t="shared" si="583"/>
        <v>118473</v>
      </c>
      <c r="AV222" s="1439">
        <f t="shared" si="583"/>
        <v>116700</v>
      </c>
      <c r="AW222" s="1440">
        <f t="shared" si="583"/>
        <v>116700</v>
      </c>
      <c r="AX222" s="292">
        <f t="shared" ref="AX222:BB222" si="588">+AX220+AX215+AX214+AX212</f>
        <v>116682.62266507799</v>
      </c>
      <c r="AY222" s="261">
        <f t="shared" ca="1" si="588"/>
        <v>117568.63336913066</v>
      </c>
      <c r="AZ222" s="261">
        <f t="shared" ca="1" si="588"/>
        <v>119490.08192660945</v>
      </c>
      <c r="BA222" s="293">
        <f t="shared" ca="1" si="588"/>
        <v>119791.2294747628</v>
      </c>
      <c r="BB222" s="228">
        <f t="shared" ca="1" si="588"/>
        <v>119791.2294747628</v>
      </c>
      <c r="BC222" s="292">
        <f t="shared" ref="BC222:BL222" ca="1" si="589">+BC220+BC215+BC214+BC212</f>
        <v>120675.64703690444</v>
      </c>
      <c r="BD222" s="261">
        <f t="shared" ca="1" si="589"/>
        <v>120910.68482450943</v>
      </c>
      <c r="BE222" s="261">
        <f t="shared" ca="1" si="589"/>
        <v>122850.83693916144</v>
      </c>
      <c r="BF222" s="293">
        <f t="shared" ca="1" si="589"/>
        <v>122464.79838326146</v>
      </c>
      <c r="BG222" s="228">
        <f t="shared" ca="1" si="589"/>
        <v>122464.79838326146</v>
      </c>
      <c r="BH222" s="292">
        <f t="shared" ca="1" si="589"/>
        <v>122621.12934426143</v>
      </c>
      <c r="BI222" s="261">
        <f t="shared" ca="1" si="589"/>
        <v>123305.81207872926</v>
      </c>
      <c r="BJ222" s="261">
        <f t="shared" ca="1" si="589"/>
        <v>124464.11481934253</v>
      </c>
      <c r="BK222" s="293">
        <f t="shared" ca="1" si="589"/>
        <v>124646.25301670993</v>
      </c>
      <c r="BL222" s="228">
        <f t="shared" ca="1" si="589"/>
        <v>124646.25301670993</v>
      </c>
      <c r="BM222" s="292">
        <f t="shared" ref="BM222:BQ222" ca="1" si="590">+BM220+BM215+BM214+BM212</f>
        <v>125213.08503839729</v>
      </c>
      <c r="BN222" s="261">
        <f t="shared" ca="1" si="590"/>
        <v>125786.54084447466</v>
      </c>
      <c r="BO222" s="261">
        <f t="shared" ca="1" si="590"/>
        <v>126961.02275567479</v>
      </c>
      <c r="BP222" s="293">
        <f t="shared" ca="1" si="590"/>
        <v>127025.72596680466</v>
      </c>
      <c r="BQ222" s="228">
        <f t="shared" ca="1" si="590"/>
        <v>127025.72596680466</v>
      </c>
      <c r="BR222" s="45"/>
      <c r="BS222" s="45"/>
      <c r="BT222" s="45"/>
      <c r="BU222" s="45"/>
      <c r="BV222" s="45"/>
      <c r="BW222" s="45"/>
      <c r="DR222"/>
      <c r="DS222"/>
      <c r="DT222"/>
      <c r="DU222"/>
      <c r="DV222"/>
      <c r="DW222"/>
      <c r="DX222" s="37"/>
    </row>
    <row r="223" spans="3:128" s="28" customFormat="1">
      <c r="E223" s="290"/>
      <c r="F223" s="260"/>
      <c r="G223" s="260"/>
      <c r="H223" s="291"/>
      <c r="I223" s="932"/>
      <c r="J223" s="290"/>
      <c r="K223" s="260"/>
      <c r="L223" s="260"/>
      <c r="M223" s="291"/>
      <c r="N223" s="45"/>
      <c r="O223" s="290"/>
      <c r="P223" s="260"/>
      <c r="Q223" s="260"/>
      <c r="R223" s="291"/>
      <c r="S223" s="45"/>
      <c r="T223" s="290"/>
      <c r="U223" s="260"/>
      <c r="V223" s="260"/>
      <c r="W223" s="291"/>
      <c r="X223" s="45"/>
      <c r="Y223" s="290"/>
      <c r="Z223" s="260"/>
      <c r="AA223" s="1441"/>
      <c r="AB223" s="1442"/>
      <c r="AC223" s="1443"/>
      <c r="AD223" s="290"/>
      <c r="AE223" s="260"/>
      <c r="AF223" s="260"/>
      <c r="AG223" s="291"/>
      <c r="AH223" s="45"/>
      <c r="AI223" s="290"/>
      <c r="AJ223" s="260"/>
      <c r="AK223" s="260"/>
      <c r="AL223" s="291"/>
      <c r="AM223" s="45"/>
      <c r="AN223" s="290"/>
      <c r="AO223" s="260"/>
      <c r="AP223" s="260"/>
      <c r="AQ223" s="291"/>
      <c r="AR223" s="45"/>
      <c r="AS223" s="290"/>
      <c r="AT223" s="260"/>
      <c r="AU223" s="260"/>
      <c r="AV223" s="291"/>
      <c r="AW223" s="45"/>
      <c r="AX223" s="290"/>
      <c r="AY223" s="260"/>
      <c r="AZ223" s="260"/>
      <c r="BA223" s="291"/>
      <c r="BB223" s="45"/>
      <c r="BC223" s="290"/>
      <c r="BD223" s="260"/>
      <c r="BE223" s="260"/>
      <c r="BF223" s="291"/>
      <c r="BG223" s="45"/>
      <c r="BH223" s="290"/>
      <c r="BI223" s="260"/>
      <c r="BJ223" s="260"/>
      <c r="BK223" s="291"/>
      <c r="BL223" s="45"/>
      <c r="BM223" s="290"/>
      <c r="BN223" s="260"/>
      <c r="BO223" s="260"/>
      <c r="BP223" s="291"/>
      <c r="BQ223" s="45"/>
      <c r="BR223" s="45"/>
      <c r="BS223" s="45"/>
      <c r="BT223" s="45"/>
      <c r="BU223" s="45"/>
      <c r="BV223" s="45"/>
      <c r="BW223" s="45"/>
      <c r="DR223"/>
      <c r="DS223"/>
      <c r="DT223"/>
      <c r="DU223"/>
      <c r="DV223"/>
      <c r="DW223"/>
      <c r="DX223" s="37"/>
    </row>
    <row r="224" spans="3:128" s="28" customFormat="1">
      <c r="C224" s="28" t="s">
        <v>485</v>
      </c>
      <c r="E224" s="290">
        <f t="shared" ref="E224:AH224" si="591">E196-E222</f>
        <v>0</v>
      </c>
      <c r="F224" s="260">
        <f t="shared" si="591"/>
        <v>0</v>
      </c>
      <c r="G224" s="260">
        <f t="shared" si="591"/>
        <v>0</v>
      </c>
      <c r="H224" s="291">
        <f t="shared" si="591"/>
        <v>0</v>
      </c>
      <c r="I224" s="932">
        <f t="shared" si="591"/>
        <v>0</v>
      </c>
      <c r="J224" s="290">
        <f t="shared" si="591"/>
        <v>0</v>
      </c>
      <c r="K224" s="260">
        <f t="shared" si="591"/>
        <v>0</v>
      </c>
      <c r="L224" s="260">
        <f t="shared" si="591"/>
        <v>0</v>
      </c>
      <c r="M224" s="291">
        <f t="shared" si="591"/>
        <v>0</v>
      </c>
      <c r="N224" s="45">
        <f t="shared" si="591"/>
        <v>0</v>
      </c>
      <c r="O224" s="290">
        <f t="shared" si="591"/>
        <v>0</v>
      </c>
      <c r="P224" s="260">
        <f t="shared" si="591"/>
        <v>0</v>
      </c>
      <c r="Q224" s="260">
        <f t="shared" si="591"/>
        <v>0</v>
      </c>
      <c r="R224" s="291">
        <f t="shared" si="591"/>
        <v>0</v>
      </c>
      <c r="S224" s="45">
        <f t="shared" si="591"/>
        <v>0</v>
      </c>
      <c r="T224" s="290">
        <f t="shared" si="591"/>
        <v>0</v>
      </c>
      <c r="U224" s="260">
        <f>U196-U222</f>
        <v>0</v>
      </c>
      <c r="V224" s="260">
        <f>V196-V222</f>
        <v>0</v>
      </c>
      <c r="W224" s="291">
        <f>W196-W222</f>
        <v>0</v>
      </c>
      <c r="X224" s="45">
        <f>X196-X222</f>
        <v>0</v>
      </c>
      <c r="Y224" s="290">
        <f>Y196-Y222</f>
        <v>0</v>
      </c>
      <c r="Z224" s="260">
        <f t="shared" si="591"/>
        <v>0</v>
      </c>
      <c r="AA224" s="1441">
        <f>AA196-AA222</f>
        <v>0</v>
      </c>
      <c r="AB224" s="1442">
        <f>AB196-AB222</f>
        <v>0</v>
      </c>
      <c r="AC224" s="1443">
        <f>AC196-AC222</f>
        <v>0</v>
      </c>
      <c r="AD224" s="290">
        <f>AD196-AD222</f>
        <v>0</v>
      </c>
      <c r="AE224" s="260">
        <f t="shared" si="591"/>
        <v>0</v>
      </c>
      <c r="AF224" s="260">
        <f>AF196-AF222</f>
        <v>0</v>
      </c>
      <c r="AG224" s="291">
        <f t="shared" si="591"/>
        <v>0</v>
      </c>
      <c r="AH224" s="45">
        <f t="shared" si="591"/>
        <v>0</v>
      </c>
      <c r="AI224" s="290">
        <f>AI196-AI222</f>
        <v>0</v>
      </c>
      <c r="AJ224" s="260">
        <f t="shared" ref="AJ224" si="592">AJ196-AJ222</f>
        <v>0</v>
      </c>
      <c r="AK224" s="260">
        <f>AK196-AK222</f>
        <v>0</v>
      </c>
      <c r="AL224" s="291">
        <f t="shared" ref="AL224:AM224" si="593">AL196-AL222</f>
        <v>0</v>
      </c>
      <c r="AM224" s="45">
        <f t="shared" si="593"/>
        <v>0</v>
      </c>
      <c r="AN224" s="290">
        <f t="shared" ref="AN224" si="594">AN196-AN222</f>
        <v>0</v>
      </c>
      <c r="AO224" s="260">
        <f>AO196-AO222</f>
        <v>0</v>
      </c>
      <c r="AP224" s="260">
        <f>AP196-AP222</f>
        <v>0</v>
      </c>
      <c r="AQ224" s="291">
        <f t="shared" ref="AQ224:AR224" si="595">AQ196-AQ222</f>
        <v>0</v>
      </c>
      <c r="AR224" s="45">
        <f t="shared" si="595"/>
        <v>0</v>
      </c>
      <c r="AS224" s="290">
        <f t="shared" ref="AS224:AT224" si="596">AS196-AS222</f>
        <v>0</v>
      </c>
      <c r="AT224" s="260">
        <f t="shared" si="596"/>
        <v>0</v>
      </c>
      <c r="AU224" s="260">
        <f>AU196-AU222</f>
        <v>0</v>
      </c>
      <c r="AV224" s="291">
        <f t="shared" ref="AV224:AW224" si="597">AV196-AV222</f>
        <v>0</v>
      </c>
      <c r="AW224" s="45">
        <f t="shared" si="597"/>
        <v>0</v>
      </c>
      <c r="AX224" s="290">
        <f t="shared" ref="AX224:BB224" si="598">AX196-AX222</f>
        <v>0</v>
      </c>
      <c r="AY224" s="260">
        <f t="shared" ca="1" si="598"/>
        <v>0</v>
      </c>
      <c r="AZ224" s="260">
        <f t="shared" ca="1" si="598"/>
        <v>0</v>
      </c>
      <c r="BA224" s="291">
        <f t="shared" ca="1" si="598"/>
        <v>0</v>
      </c>
      <c r="BB224" s="45">
        <f t="shared" ca="1" si="598"/>
        <v>0</v>
      </c>
      <c r="BC224" s="290">
        <f t="shared" ref="BC224:BL224" ca="1" si="599">BC196-BC222</f>
        <v>0</v>
      </c>
      <c r="BD224" s="260">
        <f t="shared" ca="1" si="599"/>
        <v>0</v>
      </c>
      <c r="BE224" s="260">
        <f t="shared" ca="1" si="599"/>
        <v>0</v>
      </c>
      <c r="BF224" s="291">
        <f t="shared" ca="1" si="599"/>
        <v>0</v>
      </c>
      <c r="BG224" s="45">
        <f t="shared" ca="1" si="599"/>
        <v>0</v>
      </c>
      <c r="BH224" s="290">
        <f t="shared" ca="1" si="599"/>
        <v>0</v>
      </c>
      <c r="BI224" s="260">
        <f t="shared" ca="1" si="599"/>
        <v>0</v>
      </c>
      <c r="BJ224" s="260">
        <f t="shared" ca="1" si="599"/>
        <v>0</v>
      </c>
      <c r="BK224" s="291">
        <f t="shared" ca="1" si="599"/>
        <v>0</v>
      </c>
      <c r="BL224" s="45">
        <f t="shared" ca="1" si="599"/>
        <v>0</v>
      </c>
      <c r="BM224" s="290">
        <f t="shared" ref="BM224:BQ224" ca="1" si="600">BM196-BM222</f>
        <v>0</v>
      </c>
      <c r="BN224" s="260">
        <f t="shared" ca="1" si="600"/>
        <v>0</v>
      </c>
      <c r="BO224" s="260">
        <f t="shared" ca="1" si="600"/>
        <v>0</v>
      </c>
      <c r="BP224" s="291">
        <f t="shared" ca="1" si="600"/>
        <v>0</v>
      </c>
      <c r="BQ224" s="45">
        <f t="shared" ca="1" si="600"/>
        <v>0</v>
      </c>
      <c r="BR224" s="45"/>
      <c r="BS224" s="45"/>
      <c r="BT224" s="45"/>
      <c r="BU224" s="45"/>
      <c r="BV224" s="45"/>
      <c r="BW224" s="45"/>
      <c r="DR224"/>
      <c r="DS224"/>
      <c r="DT224"/>
      <c r="DU224"/>
      <c r="DV224"/>
      <c r="DW224"/>
      <c r="DX224" s="37"/>
    </row>
    <row r="225" spans="2:128" s="28" customFormat="1">
      <c r="E225" s="290"/>
      <c r="F225" s="260"/>
      <c r="G225" s="260"/>
      <c r="H225" s="291"/>
      <c r="I225" s="932"/>
      <c r="J225" s="290"/>
      <c r="K225" s="260"/>
      <c r="L225" s="260"/>
      <c r="M225" s="291"/>
      <c r="N225" s="45"/>
      <c r="O225" s="290"/>
      <c r="P225" s="260"/>
      <c r="Q225" s="260"/>
      <c r="R225" s="291"/>
      <c r="S225" s="45"/>
      <c r="T225" s="290"/>
      <c r="U225" s="260"/>
      <c r="V225" s="237"/>
      <c r="W225" s="291"/>
      <c r="X225" s="45"/>
      <c r="Y225" s="290"/>
      <c r="Z225" s="260"/>
      <c r="AA225" s="1441"/>
      <c r="AB225" s="1442"/>
      <c r="AC225" s="1443"/>
      <c r="AD225" s="290"/>
      <c r="AE225" s="260"/>
      <c r="AF225" s="260"/>
      <c r="AG225" s="291"/>
      <c r="AH225" s="45"/>
      <c r="AI225" s="290"/>
      <c r="AJ225" s="260"/>
      <c r="AK225" s="260"/>
      <c r="AL225" s="291"/>
      <c r="AM225" s="45"/>
      <c r="AN225" s="290"/>
      <c r="AO225" s="1064"/>
      <c r="AP225" s="260"/>
      <c r="AQ225" s="291"/>
      <c r="AR225" s="45"/>
      <c r="AS225" s="290"/>
      <c r="AT225" s="1064"/>
      <c r="AU225" s="260"/>
      <c r="AV225" s="291"/>
      <c r="AW225" s="45"/>
      <c r="AX225" s="290"/>
      <c r="AY225" s="1064"/>
      <c r="AZ225" s="260"/>
      <c r="BA225" s="291"/>
      <c r="BB225" s="45"/>
      <c r="BC225" s="290"/>
      <c r="BD225" s="1064"/>
      <c r="BE225" s="260"/>
      <c r="BF225" s="291"/>
      <c r="BG225" s="45"/>
      <c r="BH225" s="290"/>
      <c r="BI225" s="1064"/>
      <c r="BJ225" s="260"/>
      <c r="BK225" s="291"/>
      <c r="BL225" s="45"/>
      <c r="BM225" s="290"/>
      <c r="BN225" s="1064"/>
      <c r="BO225" s="260"/>
      <c r="BP225" s="291"/>
      <c r="BQ225" s="45"/>
      <c r="BR225" s="45"/>
      <c r="BS225" s="45"/>
      <c r="BT225" s="45"/>
      <c r="BU225" s="45"/>
      <c r="BV225" s="45"/>
      <c r="BW225" s="45"/>
      <c r="DR225"/>
      <c r="DS225"/>
      <c r="DT225"/>
      <c r="DU225"/>
      <c r="DV225"/>
      <c r="DW225"/>
      <c r="DX225" s="37"/>
    </row>
    <row r="226" spans="2:128" s="28" customFormat="1">
      <c r="C226" s="32"/>
      <c r="E226" s="345"/>
      <c r="F226" s="346"/>
      <c r="G226" s="346"/>
      <c r="H226" s="347"/>
      <c r="I226" s="932"/>
      <c r="J226" s="290"/>
      <c r="K226" s="260"/>
      <c r="L226" s="260"/>
      <c r="M226" s="291"/>
      <c r="N226" s="45"/>
      <c r="O226" s="290"/>
      <c r="P226" s="260"/>
      <c r="Q226" s="260"/>
      <c r="R226" s="270"/>
      <c r="T226" s="269"/>
      <c r="U226" s="237"/>
      <c r="V226" s="237"/>
      <c r="W226" s="270"/>
      <c r="Y226" s="269"/>
      <c r="Z226" s="237"/>
      <c r="AA226" s="237"/>
      <c r="AB226" s="270"/>
      <c r="AD226" s="269"/>
      <c r="AE226" s="237"/>
      <c r="AF226" s="237"/>
      <c r="AG226" s="270"/>
      <c r="AI226" s="269"/>
      <c r="AJ226" s="237"/>
      <c r="AK226" s="237"/>
      <c r="AL226" s="270"/>
      <c r="AN226" s="269"/>
      <c r="AO226" s="237"/>
      <c r="AP226" s="237"/>
      <c r="AQ226" s="270"/>
      <c r="AS226" s="269"/>
      <c r="AT226" s="237"/>
      <c r="AU226" s="237"/>
      <c r="AV226" s="270"/>
      <c r="AX226" s="269"/>
      <c r="AY226" s="237"/>
      <c r="AZ226" s="237"/>
      <c r="BA226" s="270"/>
      <c r="BC226" s="269"/>
      <c r="BD226" s="237"/>
      <c r="BE226" s="237"/>
      <c r="BF226" s="270"/>
      <c r="BH226" s="269"/>
      <c r="BI226" s="237"/>
      <c r="BJ226" s="237"/>
      <c r="BK226" s="270"/>
      <c r="BM226" s="269"/>
      <c r="BN226" s="237"/>
      <c r="BO226" s="237"/>
      <c r="BP226" s="270"/>
      <c r="BT226" s="45"/>
      <c r="DR226"/>
      <c r="DS226"/>
      <c r="DT226"/>
      <c r="DU226"/>
      <c r="DV226"/>
      <c r="DW226"/>
      <c r="DX226" s="37"/>
    </row>
    <row r="227" spans="2:128" s="28" customFormat="1">
      <c r="B227" s="73" t="s">
        <v>315</v>
      </c>
      <c r="C227" s="211"/>
      <c r="D227" s="211"/>
      <c r="E227" s="415"/>
      <c r="F227" s="242"/>
      <c r="G227" s="36"/>
      <c r="H227" s="685"/>
      <c r="I227" s="564"/>
      <c r="J227" s="305"/>
      <c r="K227" s="36"/>
      <c r="L227" s="36"/>
      <c r="M227" s="685"/>
      <c r="O227" s="305"/>
      <c r="P227" s="237"/>
      <c r="Q227" s="237"/>
      <c r="R227" s="270"/>
      <c r="T227" s="269"/>
      <c r="U227" s="237"/>
      <c r="V227" s="260"/>
      <c r="W227" s="270"/>
      <c r="Y227" s="269"/>
      <c r="Z227" s="237"/>
      <c r="AA227" s="237"/>
      <c r="AB227" s="270"/>
      <c r="AD227" s="269"/>
      <c r="AE227" s="237"/>
      <c r="AF227" s="237"/>
      <c r="AG227" s="270"/>
      <c r="AI227" s="269"/>
      <c r="AJ227" s="237"/>
      <c r="AK227" s="237"/>
      <c r="AL227" s="270"/>
      <c r="AN227" s="269"/>
      <c r="AO227" s="237"/>
      <c r="AP227" s="237"/>
      <c r="AQ227" s="270"/>
      <c r="AS227" s="269"/>
      <c r="AT227" s="237"/>
      <c r="AU227" s="237"/>
      <c r="AV227" s="270"/>
      <c r="AX227" s="269"/>
      <c r="AY227" s="237"/>
      <c r="AZ227" s="237"/>
      <c r="BA227" s="270"/>
      <c r="BC227" s="269"/>
      <c r="BD227" s="237"/>
      <c r="BE227" s="237"/>
      <c r="BF227" s="270"/>
      <c r="BH227" s="269"/>
      <c r="BI227" s="237"/>
      <c r="BJ227" s="237"/>
      <c r="BK227" s="270"/>
      <c r="BM227" s="269"/>
      <c r="BN227" s="237"/>
      <c r="BO227" s="237"/>
      <c r="BP227" s="270"/>
      <c r="BT227" s="45"/>
      <c r="DR227"/>
      <c r="DS227"/>
      <c r="DT227"/>
      <c r="DU227"/>
      <c r="DV227"/>
      <c r="DW227"/>
      <c r="DX227" s="37"/>
    </row>
    <row r="228" spans="2:128" s="28" customFormat="1">
      <c r="C228" s="391" t="s">
        <v>316</v>
      </c>
      <c r="E228" s="290">
        <f t="shared" ref="E228:AD228" si="601">E179</f>
        <v>2149</v>
      </c>
      <c r="F228" s="260">
        <f t="shared" si="601"/>
        <v>1838</v>
      </c>
      <c r="G228" s="260">
        <f t="shared" si="601"/>
        <v>2374</v>
      </c>
      <c r="H228" s="291">
        <f t="shared" si="601"/>
        <v>2010</v>
      </c>
      <c r="I228" s="932">
        <f t="shared" si="601"/>
        <v>2010</v>
      </c>
      <c r="J228" s="290">
        <f t="shared" si="601"/>
        <v>2524</v>
      </c>
      <c r="K228" s="260">
        <f t="shared" si="601"/>
        <v>1168</v>
      </c>
      <c r="L228" s="260">
        <f t="shared" si="601"/>
        <v>2735</v>
      </c>
      <c r="M228" s="291">
        <f t="shared" si="601"/>
        <v>1612</v>
      </c>
      <c r="N228" s="45">
        <f t="shared" si="601"/>
        <v>1612</v>
      </c>
      <c r="O228" s="290">
        <f t="shared" si="601"/>
        <v>487</v>
      </c>
      <c r="P228" s="260">
        <f t="shared" si="601"/>
        <v>562</v>
      </c>
      <c r="Q228" s="260">
        <f t="shared" si="601"/>
        <v>1071</v>
      </c>
      <c r="R228" s="291">
        <f t="shared" si="601"/>
        <v>1016</v>
      </c>
      <c r="S228" s="45">
        <f t="shared" si="601"/>
        <v>1016</v>
      </c>
      <c r="T228" s="290">
        <f t="shared" si="601"/>
        <v>721</v>
      </c>
      <c r="U228" s="260">
        <f t="shared" si="601"/>
        <v>1349</v>
      </c>
      <c r="V228" s="260">
        <f t="shared" si="601"/>
        <v>1700</v>
      </c>
      <c r="W228" s="291">
        <f t="shared" si="601"/>
        <v>1486</v>
      </c>
      <c r="X228" s="45">
        <f t="shared" si="601"/>
        <v>1486</v>
      </c>
      <c r="Y228" s="290">
        <f t="shared" si="601"/>
        <v>772</v>
      </c>
      <c r="Z228" s="260">
        <f t="shared" si="601"/>
        <v>991</v>
      </c>
      <c r="AA228" s="1441">
        <f t="shared" si="601"/>
        <v>1644</v>
      </c>
      <c r="AB228" s="1442">
        <f t="shared" si="601"/>
        <v>1609</v>
      </c>
      <c r="AC228" s="1443">
        <f t="shared" si="601"/>
        <v>1609</v>
      </c>
      <c r="AD228" s="290">
        <f t="shared" si="601"/>
        <v>914</v>
      </c>
      <c r="AE228" s="260">
        <f>AE179</f>
        <v>1362</v>
      </c>
      <c r="AF228" s="1441">
        <f t="shared" ref="AF228:AI228" si="602">AF179</f>
        <v>2763</v>
      </c>
      <c r="AG228" s="1442">
        <f t="shared" si="602"/>
        <v>1878</v>
      </c>
      <c r="AH228" s="1443">
        <f t="shared" si="602"/>
        <v>1878</v>
      </c>
      <c r="AI228" s="290">
        <f t="shared" si="602"/>
        <v>1825</v>
      </c>
      <c r="AJ228" s="260">
        <f>AJ179</f>
        <v>6014</v>
      </c>
      <c r="AK228" s="1441">
        <f t="shared" ref="AK228:AN228" si="603">AK179</f>
        <v>7265</v>
      </c>
      <c r="AL228" s="1442">
        <f t="shared" si="603"/>
        <v>6502</v>
      </c>
      <c r="AM228" s="1443">
        <f t="shared" si="603"/>
        <v>6502</v>
      </c>
      <c r="AN228" s="290">
        <f t="shared" si="603"/>
        <v>960</v>
      </c>
      <c r="AO228" s="260">
        <f>AO179</f>
        <v>1647</v>
      </c>
      <c r="AP228" s="1441">
        <f t="shared" ref="AP228:AR228" si="604">AP179</f>
        <v>1897</v>
      </c>
      <c r="AQ228" s="1442">
        <f t="shared" si="604"/>
        <v>635</v>
      </c>
      <c r="AR228" s="1443">
        <f t="shared" si="604"/>
        <v>635</v>
      </c>
      <c r="AS228" s="290">
        <f t="shared" ref="AS228:BB228" si="605">AS179</f>
        <v>609</v>
      </c>
      <c r="AT228" s="260">
        <f>AT179</f>
        <v>536</v>
      </c>
      <c r="AU228" s="260">
        <f>AU179</f>
        <v>1203</v>
      </c>
      <c r="AV228" s="1442">
        <f t="shared" ref="AV228:AW228" si="606">AV179</f>
        <v>898</v>
      </c>
      <c r="AW228" s="1443">
        <f t="shared" si="606"/>
        <v>898</v>
      </c>
      <c r="AX228" s="290">
        <f>AX179</f>
        <v>0</v>
      </c>
      <c r="AY228" s="260">
        <f t="shared" ca="1" si="605"/>
        <v>0</v>
      </c>
      <c r="AZ228" s="260">
        <f t="shared" ca="1" si="605"/>
        <v>1039.5227764907393</v>
      </c>
      <c r="BA228" s="291">
        <f t="shared" ca="1" si="605"/>
        <v>486.71576679205714</v>
      </c>
      <c r="BB228" s="45">
        <f t="shared" ca="1" si="605"/>
        <v>486.71576679205714</v>
      </c>
      <c r="BC228" s="290">
        <f t="shared" ref="BC228:BL228" ca="1" si="607">BC179</f>
        <v>706.84714678081423</v>
      </c>
      <c r="BD228" s="260">
        <f t="shared" ca="1" si="607"/>
        <v>274.13893044859122</v>
      </c>
      <c r="BE228" s="260">
        <f t="shared" ca="1" si="607"/>
        <v>1547.9706317560078</v>
      </c>
      <c r="BF228" s="291">
        <f t="shared" ca="1" si="607"/>
        <v>520.9569347099748</v>
      </c>
      <c r="BG228" s="45">
        <f t="shared" ca="1" si="607"/>
        <v>520.9569347099748</v>
      </c>
      <c r="BH228" s="290">
        <f t="shared" ca="1" si="607"/>
        <v>0</v>
      </c>
      <c r="BI228" s="260">
        <f t="shared" ca="1" si="607"/>
        <v>0</v>
      </c>
      <c r="BJ228" s="260">
        <f t="shared" ca="1" si="607"/>
        <v>475.28999173225247</v>
      </c>
      <c r="BK228" s="291">
        <f t="shared" ca="1" si="607"/>
        <v>0</v>
      </c>
      <c r="BL228" s="45">
        <f t="shared" ca="1" si="607"/>
        <v>0</v>
      </c>
      <c r="BM228" s="290">
        <f t="shared" ref="BM228:BQ228" ca="1" si="608">BM179</f>
        <v>0</v>
      </c>
      <c r="BN228" s="260">
        <f t="shared" ca="1" si="608"/>
        <v>0</v>
      </c>
      <c r="BO228" s="260">
        <f t="shared" ca="1" si="608"/>
        <v>602.25203068639075</v>
      </c>
      <c r="BP228" s="291">
        <f t="shared" ca="1" si="608"/>
        <v>119.86938476350338</v>
      </c>
      <c r="BQ228" s="45">
        <f t="shared" ca="1" si="608"/>
        <v>119.86938476350338</v>
      </c>
      <c r="BT228" s="45"/>
      <c r="DR228"/>
      <c r="DS228"/>
      <c r="DT228"/>
      <c r="DU228"/>
      <c r="DV228"/>
      <c r="DW228"/>
      <c r="DX228" s="37"/>
    </row>
    <row r="229" spans="2:128" s="28" customFormat="1">
      <c r="C229" s="391"/>
      <c r="E229" s="411"/>
      <c r="F229" s="412"/>
      <c r="G229" s="412"/>
      <c r="H229" s="413"/>
      <c r="I229" s="947"/>
      <c r="J229" s="411"/>
      <c r="K229" s="412"/>
      <c r="L229" s="412"/>
      <c r="M229" s="413"/>
      <c r="N229" s="414"/>
      <c r="O229" s="290"/>
      <c r="P229" s="260"/>
      <c r="Q229" s="260"/>
      <c r="R229" s="291"/>
      <c r="S229" s="23"/>
      <c r="T229" s="290"/>
      <c r="U229" s="260"/>
      <c r="V229" s="260"/>
      <c r="W229" s="291"/>
      <c r="X229" s="23"/>
      <c r="Y229" s="290"/>
      <c r="Z229" s="260"/>
      <c r="AA229" s="1441"/>
      <c r="AB229" s="1442"/>
      <c r="AC229" s="23"/>
      <c r="AD229" s="290"/>
      <c r="AE229" s="260"/>
      <c r="AF229" s="1441"/>
      <c r="AG229" s="1442"/>
      <c r="AH229" s="23"/>
      <c r="AI229" s="290"/>
      <c r="AJ229" s="260"/>
      <c r="AK229" s="1441"/>
      <c r="AL229" s="1442"/>
      <c r="AM229" s="23"/>
      <c r="AN229" s="290"/>
      <c r="AO229" s="260"/>
      <c r="AP229" s="1441"/>
      <c r="AQ229" s="1442"/>
      <c r="AR229" s="23"/>
      <c r="AS229" s="290"/>
      <c r="AT229" s="260"/>
      <c r="AU229" s="260"/>
      <c r="AV229" s="1442"/>
      <c r="AW229" s="23"/>
      <c r="AX229" s="290"/>
      <c r="AY229" s="260"/>
      <c r="AZ229" s="260"/>
      <c r="BA229" s="291"/>
      <c r="BB229" s="23"/>
      <c r="BC229" s="290"/>
      <c r="BD229" s="260"/>
      <c r="BE229" s="260"/>
      <c r="BF229" s="291"/>
      <c r="BG229" s="23"/>
      <c r="BH229" s="290"/>
      <c r="BI229" s="260"/>
      <c r="BJ229" s="260"/>
      <c r="BK229" s="291"/>
      <c r="BL229" s="23"/>
      <c r="BM229" s="290"/>
      <c r="BN229" s="260"/>
      <c r="BO229" s="260"/>
      <c r="BP229" s="291"/>
      <c r="BQ229" s="23"/>
      <c r="BT229" s="45"/>
      <c r="DR229"/>
      <c r="DS229"/>
      <c r="DT229"/>
      <c r="DU229"/>
      <c r="DV229"/>
      <c r="DW229"/>
      <c r="DX229" s="37"/>
    </row>
    <row r="230" spans="2:128" s="28" customFormat="1">
      <c r="C230" s="391" t="s">
        <v>317</v>
      </c>
      <c r="E230" s="290">
        <f t="shared" ref="E230:S230" si="609">E199</f>
        <v>207</v>
      </c>
      <c r="F230" s="260">
        <f t="shared" si="609"/>
        <v>45</v>
      </c>
      <c r="G230" s="260">
        <f t="shared" si="609"/>
        <v>140</v>
      </c>
      <c r="H230" s="291">
        <f t="shared" si="609"/>
        <v>155</v>
      </c>
      <c r="I230" s="932">
        <f t="shared" si="609"/>
        <v>155</v>
      </c>
      <c r="J230" s="290">
        <f t="shared" si="609"/>
        <v>481</v>
      </c>
      <c r="K230" s="260">
        <f t="shared" si="609"/>
        <v>514</v>
      </c>
      <c r="L230" s="260">
        <f t="shared" si="609"/>
        <v>290</v>
      </c>
      <c r="M230" s="291">
        <f t="shared" si="609"/>
        <v>225</v>
      </c>
      <c r="N230" s="45">
        <f t="shared" si="609"/>
        <v>225</v>
      </c>
      <c r="O230" s="290">
        <f t="shared" si="609"/>
        <v>275</v>
      </c>
      <c r="P230" s="260">
        <f t="shared" si="609"/>
        <v>365</v>
      </c>
      <c r="Q230" s="260">
        <f t="shared" si="609"/>
        <v>687</v>
      </c>
      <c r="R230" s="291">
        <f t="shared" si="609"/>
        <v>388</v>
      </c>
      <c r="S230" s="45">
        <f t="shared" si="609"/>
        <v>388</v>
      </c>
      <c r="T230" s="290">
        <f t="shared" ref="T230:Z230" si="610">T199</f>
        <v>564</v>
      </c>
      <c r="U230" s="260">
        <f t="shared" si="610"/>
        <v>601</v>
      </c>
      <c r="V230" s="260">
        <f t="shared" si="610"/>
        <v>285</v>
      </c>
      <c r="W230" s="291">
        <f t="shared" si="610"/>
        <v>210</v>
      </c>
      <c r="X230" s="45">
        <f t="shared" si="610"/>
        <v>210</v>
      </c>
      <c r="Y230" s="290">
        <f t="shared" si="610"/>
        <v>443</v>
      </c>
      <c r="Z230" s="260">
        <f t="shared" si="610"/>
        <v>872</v>
      </c>
      <c r="AA230" s="1441">
        <f t="shared" ref="AA230:AH230" si="611">AA199</f>
        <v>214</v>
      </c>
      <c r="AB230" s="1442">
        <f t="shared" si="611"/>
        <v>341</v>
      </c>
      <c r="AC230" s="1443">
        <f t="shared" si="611"/>
        <v>341</v>
      </c>
      <c r="AD230" s="290">
        <f t="shared" si="611"/>
        <v>980</v>
      </c>
      <c r="AE230" s="260">
        <f t="shared" si="611"/>
        <v>621</v>
      </c>
      <c r="AF230" s="1441">
        <f t="shared" si="611"/>
        <v>562</v>
      </c>
      <c r="AG230" s="1442">
        <f t="shared" si="611"/>
        <v>460</v>
      </c>
      <c r="AH230" s="1443">
        <f t="shared" si="611"/>
        <v>460</v>
      </c>
      <c r="AI230" s="290">
        <f t="shared" ref="AI230:AM230" si="612">AI199</f>
        <v>309</v>
      </c>
      <c r="AJ230" s="260">
        <f t="shared" si="612"/>
        <v>543</v>
      </c>
      <c r="AK230" s="1441">
        <f t="shared" si="612"/>
        <v>675</v>
      </c>
      <c r="AL230" s="1442">
        <f t="shared" si="612"/>
        <v>533</v>
      </c>
      <c r="AM230" s="1443">
        <f t="shared" si="612"/>
        <v>533</v>
      </c>
      <c r="AN230" s="290">
        <f t="shared" ref="AN230:AR230" si="613">AN199</f>
        <v>3640</v>
      </c>
      <c r="AO230" s="260">
        <f t="shared" si="613"/>
        <v>951</v>
      </c>
      <c r="AP230" s="1441">
        <f t="shared" si="613"/>
        <v>567</v>
      </c>
      <c r="AQ230" s="1442">
        <f t="shared" si="613"/>
        <v>1267</v>
      </c>
      <c r="AR230" s="1443">
        <f t="shared" si="613"/>
        <v>1267</v>
      </c>
      <c r="AS230" s="290">
        <f t="shared" ref="AS230:BA230" si="614">AS199</f>
        <v>2048</v>
      </c>
      <c r="AT230" s="260">
        <f t="shared" si="614"/>
        <v>1757</v>
      </c>
      <c r="AU230" s="260">
        <f t="shared" ref="AU230:AW230" si="615">AU199</f>
        <v>710</v>
      </c>
      <c r="AV230" s="1442">
        <f t="shared" si="615"/>
        <v>929</v>
      </c>
      <c r="AW230" s="1443">
        <f t="shared" si="615"/>
        <v>929</v>
      </c>
      <c r="AX230" s="290">
        <f t="shared" si="614"/>
        <v>1361.9724788846556</v>
      </c>
      <c r="AY230" s="260">
        <f t="shared" ca="1" si="614"/>
        <v>2001.7371327639496</v>
      </c>
      <c r="AZ230" s="260">
        <f t="shared" ca="1" si="614"/>
        <v>0</v>
      </c>
      <c r="BA230" s="291">
        <f t="shared" ca="1" si="614"/>
        <v>0</v>
      </c>
      <c r="BB230" s="45">
        <f ca="1">BB199</f>
        <v>0</v>
      </c>
      <c r="BC230" s="290">
        <f t="shared" ref="BC230:BF230" ca="1" si="616">BC199</f>
        <v>0</v>
      </c>
      <c r="BD230" s="260">
        <f t="shared" ca="1" si="616"/>
        <v>0</v>
      </c>
      <c r="BE230" s="260">
        <f t="shared" ca="1" si="616"/>
        <v>0</v>
      </c>
      <c r="BF230" s="291">
        <f t="shared" ca="1" si="616"/>
        <v>0</v>
      </c>
      <c r="BG230" s="45">
        <f ca="1">BG199</f>
        <v>0</v>
      </c>
      <c r="BH230" s="290">
        <f t="shared" ref="BH230:BK230" ca="1" si="617">BH199</f>
        <v>371.67467730403632</v>
      </c>
      <c r="BI230" s="260">
        <f t="shared" ca="1" si="617"/>
        <v>1787.3630249995899</v>
      </c>
      <c r="BJ230" s="260">
        <f t="shared" ca="1" si="617"/>
        <v>0</v>
      </c>
      <c r="BK230" s="291">
        <f t="shared" ca="1" si="617"/>
        <v>1009.3445071001247</v>
      </c>
      <c r="BL230" s="45">
        <f ca="1">BL199</f>
        <v>1009.3445071001247</v>
      </c>
      <c r="BM230" s="290">
        <f t="shared" ref="BM230:BP230" ca="1" si="618">BM199</f>
        <v>1779.1555952424314</v>
      </c>
      <c r="BN230" s="260">
        <f t="shared" ca="1" si="618"/>
        <v>2362.0495348658651</v>
      </c>
      <c r="BO230" s="260">
        <f t="shared" ca="1" si="618"/>
        <v>0</v>
      </c>
      <c r="BP230" s="291">
        <f t="shared" ca="1" si="618"/>
        <v>0</v>
      </c>
      <c r="BQ230" s="45">
        <f ca="1">BQ199</f>
        <v>0</v>
      </c>
      <c r="BT230" s="45"/>
      <c r="DR230"/>
      <c r="DS230"/>
      <c r="DT230"/>
      <c r="DU230"/>
      <c r="DV230"/>
      <c r="DW230"/>
      <c r="DX230" s="37"/>
    </row>
    <row r="231" spans="2:128" s="28" customFormat="1">
      <c r="C231" s="406" t="s">
        <v>1308</v>
      </c>
      <c r="E231" s="290">
        <f t="shared" ref="E231:S231" si="619">E205+E198</f>
        <v>12957</v>
      </c>
      <c r="F231" s="260">
        <f t="shared" si="619"/>
        <v>12837</v>
      </c>
      <c r="G231" s="260">
        <f t="shared" si="619"/>
        <v>12875</v>
      </c>
      <c r="H231" s="291">
        <f t="shared" si="619"/>
        <v>12439</v>
      </c>
      <c r="I231" s="932">
        <f t="shared" si="619"/>
        <v>12439</v>
      </c>
      <c r="J231" s="290">
        <f t="shared" si="619"/>
        <v>12429</v>
      </c>
      <c r="K231" s="260">
        <f t="shared" si="619"/>
        <v>11820</v>
      </c>
      <c r="L231" s="260">
        <f t="shared" si="619"/>
        <v>12605</v>
      </c>
      <c r="M231" s="291">
        <f t="shared" si="619"/>
        <v>12603</v>
      </c>
      <c r="N231" s="45">
        <f t="shared" si="619"/>
        <v>12603</v>
      </c>
      <c r="O231" s="290">
        <f t="shared" si="619"/>
        <v>13201</v>
      </c>
      <c r="P231" s="260">
        <f t="shared" si="619"/>
        <v>13202</v>
      </c>
      <c r="Q231" s="260">
        <f t="shared" si="619"/>
        <v>13804</v>
      </c>
      <c r="R231" s="291">
        <f>R205+R198</f>
        <v>13017</v>
      </c>
      <c r="S231" s="45">
        <f t="shared" si="619"/>
        <v>13017</v>
      </c>
      <c r="T231" s="290">
        <f t="shared" ref="T231:Z231" si="620">T205+T198</f>
        <v>18193</v>
      </c>
      <c r="U231" s="260">
        <f t="shared" si="620"/>
        <v>18764</v>
      </c>
      <c r="V231" s="260">
        <f t="shared" si="620"/>
        <v>19364</v>
      </c>
      <c r="W231" s="291">
        <f t="shared" si="620"/>
        <v>19393</v>
      </c>
      <c r="X231" s="45">
        <f t="shared" si="620"/>
        <v>19393</v>
      </c>
      <c r="Y231" s="290">
        <f t="shared" si="620"/>
        <v>19519</v>
      </c>
      <c r="Z231" s="260">
        <f t="shared" si="620"/>
        <v>19249</v>
      </c>
      <c r="AA231" s="1441">
        <f t="shared" ref="AA231:AH231" si="621">AA205+AA198</f>
        <v>20213</v>
      </c>
      <c r="AB231" s="1442">
        <f t="shared" si="621"/>
        <v>19780</v>
      </c>
      <c r="AC231" s="1443">
        <f t="shared" si="621"/>
        <v>19780</v>
      </c>
      <c r="AD231" s="290">
        <f t="shared" si="621"/>
        <v>19568</v>
      </c>
      <c r="AE231" s="260">
        <f t="shared" si="621"/>
        <v>20828</v>
      </c>
      <c r="AF231" s="1441">
        <f t="shared" si="621"/>
        <v>21912</v>
      </c>
      <c r="AG231" s="1442">
        <f t="shared" si="621"/>
        <v>21812</v>
      </c>
      <c r="AH231" s="1443">
        <f t="shared" si="621"/>
        <v>21812</v>
      </c>
      <c r="AI231" s="290">
        <f t="shared" ref="AI231:AM231" si="622">AI205+AI198</f>
        <v>22427</v>
      </c>
      <c r="AJ231" s="260">
        <f t="shared" si="622"/>
        <v>26094</v>
      </c>
      <c r="AK231" s="1441">
        <f t="shared" si="622"/>
        <v>26086</v>
      </c>
      <c r="AL231" s="1442">
        <f t="shared" si="622"/>
        <v>25786</v>
      </c>
      <c r="AM231" s="1443">
        <f t="shared" si="622"/>
        <v>25786</v>
      </c>
      <c r="AN231" s="290">
        <f t="shared" ref="AN231:AR231" si="623">AN205+AN198</f>
        <v>32013</v>
      </c>
      <c r="AO231" s="260">
        <f t="shared" si="623"/>
        <v>34875</v>
      </c>
      <c r="AP231" s="1441">
        <f t="shared" si="623"/>
        <v>35484</v>
      </c>
      <c r="AQ231" s="1442">
        <f t="shared" si="623"/>
        <v>34646</v>
      </c>
      <c r="AR231" s="1443">
        <f t="shared" si="623"/>
        <v>34646</v>
      </c>
      <c r="AS231" s="290">
        <f t="shared" ref="AS231:BB231" si="624">AS205+AS198</f>
        <v>35330</v>
      </c>
      <c r="AT231" s="260">
        <f t="shared" si="624"/>
        <v>34575</v>
      </c>
      <c r="AU231" s="260">
        <f t="shared" ref="AU231:AW231" si="625">AU205+AU198</f>
        <v>35254</v>
      </c>
      <c r="AV231" s="1442">
        <f t="shared" si="625"/>
        <v>34653</v>
      </c>
      <c r="AW231" s="1443">
        <f t="shared" si="625"/>
        <v>34653</v>
      </c>
      <c r="AX231" s="290">
        <f t="shared" si="624"/>
        <v>33433</v>
      </c>
      <c r="AY231" s="260">
        <f t="shared" si="624"/>
        <v>33317</v>
      </c>
      <c r="AZ231" s="260">
        <f t="shared" si="624"/>
        <v>36392</v>
      </c>
      <c r="BA231" s="291">
        <f t="shared" si="624"/>
        <v>36392</v>
      </c>
      <c r="BB231" s="45">
        <f t="shared" si="624"/>
        <v>36392</v>
      </c>
      <c r="BC231" s="290">
        <f t="shared" ref="BC231:BL231" si="626">BC205+BC198</f>
        <v>36392</v>
      </c>
      <c r="BD231" s="260">
        <f t="shared" si="626"/>
        <v>36392</v>
      </c>
      <c r="BE231" s="260">
        <f t="shared" si="626"/>
        <v>37618</v>
      </c>
      <c r="BF231" s="291">
        <f t="shared" si="626"/>
        <v>37018</v>
      </c>
      <c r="BG231" s="45">
        <f t="shared" si="626"/>
        <v>37018</v>
      </c>
      <c r="BH231" s="290">
        <f t="shared" si="626"/>
        <v>36018</v>
      </c>
      <c r="BI231" s="260">
        <f t="shared" si="626"/>
        <v>35118</v>
      </c>
      <c r="BJ231" s="260">
        <f t="shared" si="626"/>
        <v>37347.53</v>
      </c>
      <c r="BK231" s="291">
        <f t="shared" si="626"/>
        <v>36247.53</v>
      </c>
      <c r="BL231" s="45">
        <f t="shared" si="626"/>
        <v>36247.53</v>
      </c>
      <c r="BM231" s="290">
        <f t="shared" ref="BM231:BQ231" si="627">BM205+BM198</f>
        <v>35386.53</v>
      </c>
      <c r="BN231" s="260">
        <f t="shared" si="627"/>
        <v>35086.53</v>
      </c>
      <c r="BO231" s="260">
        <f t="shared" si="627"/>
        <v>37847.665000000001</v>
      </c>
      <c r="BP231" s="291">
        <f t="shared" si="627"/>
        <v>37547.665000000001</v>
      </c>
      <c r="BQ231" s="45">
        <f t="shared" si="627"/>
        <v>37547.665000000001</v>
      </c>
      <c r="BT231" s="45"/>
      <c r="DR231"/>
      <c r="DS231"/>
      <c r="DT231"/>
      <c r="DU231"/>
      <c r="DV231"/>
      <c r="DW231"/>
      <c r="DX231" s="37"/>
    </row>
    <row r="232" spans="2:128" s="28" customFormat="1">
      <c r="C232" s="407" t="s">
        <v>373</v>
      </c>
      <c r="E232" s="292">
        <f>SUM(E230:E231)</f>
        <v>13164</v>
      </c>
      <c r="F232" s="261">
        <f t="shared" ref="F232:S232" si="628">SUM(F230:F231)</f>
        <v>12882</v>
      </c>
      <c r="G232" s="261">
        <f t="shared" si="628"/>
        <v>13015</v>
      </c>
      <c r="H232" s="293">
        <f t="shared" si="628"/>
        <v>12594</v>
      </c>
      <c r="I232" s="933">
        <f t="shared" si="628"/>
        <v>12594</v>
      </c>
      <c r="J232" s="292">
        <f t="shared" si="628"/>
        <v>12910</v>
      </c>
      <c r="K232" s="261">
        <f t="shared" si="628"/>
        <v>12334</v>
      </c>
      <c r="L232" s="261">
        <f>SUM(L230:L231)</f>
        <v>12895</v>
      </c>
      <c r="M232" s="293">
        <f t="shared" si="628"/>
        <v>12828</v>
      </c>
      <c r="N232" s="228">
        <f t="shared" si="628"/>
        <v>12828</v>
      </c>
      <c r="O232" s="292">
        <f t="shared" si="628"/>
        <v>13476</v>
      </c>
      <c r="P232" s="261">
        <f t="shared" si="628"/>
        <v>13567</v>
      </c>
      <c r="Q232" s="261">
        <f t="shared" si="628"/>
        <v>14491</v>
      </c>
      <c r="R232" s="293">
        <f t="shared" si="628"/>
        <v>13405</v>
      </c>
      <c r="S232" s="228">
        <f t="shared" si="628"/>
        <v>13405</v>
      </c>
      <c r="T232" s="292">
        <f t="shared" ref="T232:AA232" si="629">SUM(T230:T231)</f>
        <v>18757</v>
      </c>
      <c r="U232" s="261">
        <f t="shared" si="629"/>
        <v>19365</v>
      </c>
      <c r="V232" s="261">
        <f t="shared" si="629"/>
        <v>19649</v>
      </c>
      <c r="W232" s="293">
        <f t="shared" si="629"/>
        <v>19603</v>
      </c>
      <c r="X232" s="228">
        <f t="shared" si="629"/>
        <v>19603</v>
      </c>
      <c r="Y232" s="292">
        <f t="shared" si="629"/>
        <v>19962</v>
      </c>
      <c r="Z232" s="261">
        <f t="shared" si="629"/>
        <v>20121</v>
      </c>
      <c r="AA232" s="1438">
        <f t="shared" si="629"/>
        <v>20427</v>
      </c>
      <c r="AB232" s="1439">
        <f>SUM(AB230:AB231)</f>
        <v>20121</v>
      </c>
      <c r="AC232" s="1440">
        <f>SUM(AC230:AC231)</f>
        <v>20121</v>
      </c>
      <c r="AD232" s="292">
        <f>SUM(AD230:AD231)</f>
        <v>20548</v>
      </c>
      <c r="AE232" s="261">
        <f>SUM(AE230:AE231)</f>
        <v>21449</v>
      </c>
      <c r="AF232" s="1438">
        <f t="shared" ref="AF232" si="630">SUM(AF230:AF231)</f>
        <v>22474</v>
      </c>
      <c r="AG232" s="1439">
        <f>SUM(AG230:AG231)</f>
        <v>22272</v>
      </c>
      <c r="AH232" s="1440">
        <f>SUM(AH230:AH231)</f>
        <v>22272</v>
      </c>
      <c r="AI232" s="292">
        <f>SUM(AI230:AI231)</f>
        <v>22736</v>
      </c>
      <c r="AJ232" s="261">
        <f>SUM(AJ230:AJ231)</f>
        <v>26637</v>
      </c>
      <c r="AK232" s="1438">
        <f t="shared" ref="AK232" si="631">SUM(AK230:AK231)</f>
        <v>26761</v>
      </c>
      <c r="AL232" s="1439">
        <f>SUM(AL230:AL231)</f>
        <v>26319</v>
      </c>
      <c r="AM232" s="1440">
        <f>SUM(AM230:AM231)</f>
        <v>26319</v>
      </c>
      <c r="AN232" s="292">
        <f>SUM(AN230:AN231)</f>
        <v>35653</v>
      </c>
      <c r="AO232" s="261">
        <f>SUM(AO230:AO231)</f>
        <v>35826</v>
      </c>
      <c r="AP232" s="1438">
        <f t="shared" ref="AP232" si="632">SUM(AP230:AP231)</f>
        <v>36051</v>
      </c>
      <c r="AQ232" s="1439">
        <f>SUM(AQ230:AQ231)</f>
        <v>35913</v>
      </c>
      <c r="AR232" s="1440">
        <f>SUM(AR230:AR231)</f>
        <v>35913</v>
      </c>
      <c r="AS232" s="292">
        <f t="shared" ref="AS232:BB232" si="633">SUM(AS230:AS231)</f>
        <v>37378</v>
      </c>
      <c r="AT232" s="261">
        <f>SUM(AT230:AT231)</f>
        <v>36332</v>
      </c>
      <c r="AU232" s="261">
        <f t="shared" ref="AU232" si="634">SUM(AU230:AU231)</f>
        <v>35964</v>
      </c>
      <c r="AV232" s="1439">
        <f>SUM(AV230:AV231)</f>
        <v>35582</v>
      </c>
      <c r="AW232" s="1440">
        <f>SUM(AW230:AW231)</f>
        <v>35582</v>
      </c>
      <c r="AX232" s="292">
        <f t="shared" si="633"/>
        <v>34794.972478884658</v>
      </c>
      <c r="AY232" s="261">
        <f t="shared" ca="1" si="633"/>
        <v>35318.737132763948</v>
      </c>
      <c r="AZ232" s="261">
        <f t="shared" ca="1" si="633"/>
        <v>36392</v>
      </c>
      <c r="BA232" s="293">
        <f t="shared" ca="1" si="633"/>
        <v>36392</v>
      </c>
      <c r="BB232" s="228">
        <f t="shared" ca="1" si="633"/>
        <v>36392</v>
      </c>
      <c r="BC232" s="292">
        <f t="shared" ref="BC232:BL232" ca="1" si="635">SUM(BC230:BC231)</f>
        <v>36392</v>
      </c>
      <c r="BD232" s="261">
        <f t="shared" ca="1" si="635"/>
        <v>36392</v>
      </c>
      <c r="BE232" s="261">
        <f t="shared" ca="1" si="635"/>
        <v>37618</v>
      </c>
      <c r="BF232" s="293">
        <f t="shared" ca="1" si="635"/>
        <v>37018</v>
      </c>
      <c r="BG232" s="228">
        <f t="shared" ca="1" si="635"/>
        <v>37018</v>
      </c>
      <c r="BH232" s="292">
        <f t="shared" ca="1" si="635"/>
        <v>36389.674677304036</v>
      </c>
      <c r="BI232" s="261">
        <f t="shared" ca="1" si="635"/>
        <v>36905.363024999591</v>
      </c>
      <c r="BJ232" s="261">
        <f t="shared" ca="1" si="635"/>
        <v>37347.53</v>
      </c>
      <c r="BK232" s="293">
        <f t="shared" ca="1" si="635"/>
        <v>37256.874507100125</v>
      </c>
      <c r="BL232" s="228">
        <f t="shared" ca="1" si="635"/>
        <v>37256.874507100125</v>
      </c>
      <c r="BM232" s="292">
        <f t="shared" ref="BM232:BQ232" ca="1" si="636">SUM(BM230:BM231)</f>
        <v>37165.68559524243</v>
      </c>
      <c r="BN232" s="261">
        <f t="shared" ca="1" si="636"/>
        <v>37448.579534865865</v>
      </c>
      <c r="BO232" s="261">
        <f t="shared" ca="1" si="636"/>
        <v>37847.665000000001</v>
      </c>
      <c r="BP232" s="293">
        <f t="shared" ca="1" si="636"/>
        <v>37547.665000000001</v>
      </c>
      <c r="BQ232" s="228">
        <f t="shared" ca="1" si="636"/>
        <v>37547.665000000001</v>
      </c>
      <c r="BT232" s="45"/>
      <c r="DR232"/>
      <c r="DS232"/>
      <c r="DT232"/>
      <c r="DU232"/>
      <c r="DV232"/>
      <c r="DW232"/>
      <c r="DX232" s="37"/>
    </row>
    <row r="233" spans="2:128" s="28" customFormat="1">
      <c r="C233" s="390" t="s">
        <v>612</v>
      </c>
      <c r="E233" s="275">
        <f>E232/E241</f>
        <v>0.52107825673910457</v>
      </c>
      <c r="F233" s="252">
        <f t="shared" ref="F233:S233" si="637">F232/F241</f>
        <v>0.51277764509195123</v>
      </c>
      <c r="G233" s="252">
        <f t="shared" si="637"/>
        <v>0.50855736167552357</v>
      </c>
      <c r="H233" s="276">
        <f t="shared" si="637"/>
        <v>0.49737372141700564</v>
      </c>
      <c r="I233" s="940">
        <f t="shared" si="637"/>
        <v>0.49737372141700564</v>
      </c>
      <c r="J233" s="275">
        <f t="shared" si="637"/>
        <v>0.48812764670296432</v>
      </c>
      <c r="K233" s="252">
        <f t="shared" si="637"/>
        <v>0.48166516968016559</v>
      </c>
      <c r="L233" s="252">
        <f t="shared" si="637"/>
        <v>0.47870958161636412</v>
      </c>
      <c r="M233" s="276">
        <f t="shared" si="637"/>
        <v>0.4845325779036827</v>
      </c>
      <c r="N233" s="222">
        <f t="shared" si="637"/>
        <v>0.4845325779036827</v>
      </c>
      <c r="O233" s="275">
        <f t="shared" si="637"/>
        <v>0.49014330399359862</v>
      </c>
      <c r="P233" s="252">
        <f t="shared" si="637"/>
        <v>0.4886191745300007</v>
      </c>
      <c r="Q233" s="252">
        <f t="shared" si="637"/>
        <v>0.50082947397525401</v>
      </c>
      <c r="R233" s="276">
        <f t="shared" si="637"/>
        <v>0.48086235965132546</v>
      </c>
      <c r="S233" s="222">
        <f t="shared" si="637"/>
        <v>0.48086235965132546</v>
      </c>
      <c r="T233" s="275">
        <f t="shared" ref="T233:AA233" si="638">T232/T241</f>
        <v>0.45913396812963553</v>
      </c>
      <c r="U233" s="252">
        <f t="shared" si="638"/>
        <v>0.46463361965545369</v>
      </c>
      <c r="V233" s="252">
        <f t="shared" si="638"/>
        <v>0.47063473053892213</v>
      </c>
      <c r="W233" s="276">
        <f t="shared" si="638"/>
        <v>0.47448806699908019</v>
      </c>
      <c r="X233" s="222">
        <f t="shared" si="638"/>
        <v>0.47448806699908019</v>
      </c>
      <c r="Y233" s="275">
        <f t="shared" si="638"/>
        <v>0.48297887783987808</v>
      </c>
      <c r="Z233" s="252">
        <f t="shared" si="638"/>
        <v>0.48290013679890559</v>
      </c>
      <c r="AA233" s="252">
        <f t="shared" si="638"/>
        <v>0.48087290190447046</v>
      </c>
      <c r="AB233" s="276">
        <f>AB232/AB241</f>
        <v>0.46743019095850952</v>
      </c>
      <c r="AC233" s="222">
        <f>AC232/AC241</f>
        <v>0.46743019095850952</v>
      </c>
      <c r="AD233" s="275">
        <f>AD232/AD241</f>
        <v>0.47445103789050774</v>
      </c>
      <c r="AE233" s="252">
        <f>AE232/AE241</f>
        <v>0.48205416338914486</v>
      </c>
      <c r="AF233" s="252">
        <f t="shared" ref="AF233" si="639">AF232/AF241</f>
        <v>0.48579827936535386</v>
      </c>
      <c r="AG233" s="276">
        <f>AG232/AG241</f>
        <v>0.49413174184101349</v>
      </c>
      <c r="AH233" s="222">
        <f>AH232/AH241</f>
        <v>0.49413174184101349</v>
      </c>
      <c r="AI233" s="275">
        <f>AI232/AI241</f>
        <v>0.49432534678436318</v>
      </c>
      <c r="AJ233" s="252">
        <f>AJ232/AJ241</f>
        <v>0.52918388429752061</v>
      </c>
      <c r="AK233" s="252">
        <f t="shared" ref="AK233" si="640">AK232/AK241</f>
        <v>0.50756771109930965</v>
      </c>
      <c r="AL233" s="276">
        <f>AL232/AL241</f>
        <v>0.50291403129956247</v>
      </c>
      <c r="AM233" s="222">
        <f>AM232/AM241</f>
        <v>0.50291403129956247</v>
      </c>
      <c r="AN233" s="275">
        <f>AN232/AN241</f>
        <v>0.57895164171348767</v>
      </c>
      <c r="AO233" s="252">
        <f>AO232/AO241</f>
        <v>0.57971811841615561</v>
      </c>
      <c r="AP233" s="252">
        <f t="shared" ref="AP233" si="641">AP232/AP241</f>
        <v>0.58049401004766199</v>
      </c>
      <c r="AQ233" s="276">
        <f>AQ232/AQ241</f>
        <v>0.5815870445344129</v>
      </c>
      <c r="AR233" s="222">
        <f>AR232/AR241</f>
        <v>0.5815870445344129</v>
      </c>
      <c r="AS233" s="275">
        <f t="shared" ref="AS233:BB233" si="642">AS232/AS241</f>
        <v>0.58487200350503854</v>
      </c>
      <c r="AT233" s="252">
        <f>AT232/AT241</f>
        <v>0.56877172109333418</v>
      </c>
      <c r="AU233" s="252">
        <f t="shared" ref="AU233" si="643">AU232/AU241</f>
        <v>0.5613761238761239</v>
      </c>
      <c r="AV233" s="276">
        <f>AV232/AV241</f>
        <v>0.54374302785800521</v>
      </c>
      <c r="AW233" s="222">
        <f>AW232/AW241</f>
        <v>0.54374302785800521</v>
      </c>
      <c r="AX233" s="275">
        <f t="shared" si="642"/>
        <v>0.53352532299960753</v>
      </c>
      <c r="AY233" s="252">
        <f t="shared" ca="1" si="642"/>
        <v>0.53527610804421677</v>
      </c>
      <c r="AZ233" s="252">
        <f t="shared" ca="1" si="642"/>
        <v>0.53770115061833845</v>
      </c>
      <c r="BA233" s="276">
        <f t="shared" ca="1" si="642"/>
        <v>0.53615796489463141</v>
      </c>
      <c r="BB233" s="222">
        <f t="shared" ca="1" si="642"/>
        <v>0.53615796489463141</v>
      </c>
      <c r="BC233" s="275">
        <f t="shared" ref="BC233:BL233" ca="1" si="644">BC232/BC241</f>
        <v>0.53129009290840656</v>
      </c>
      <c r="BD233" s="252">
        <f t="shared" ca="1" si="644"/>
        <v>0.53018935418080471</v>
      </c>
      <c r="BE233" s="252">
        <f t="shared" ca="1" si="644"/>
        <v>0.53452143656773687</v>
      </c>
      <c r="BF233" s="276">
        <f t="shared" ca="1" si="644"/>
        <v>0.52948393411039274</v>
      </c>
      <c r="BG233" s="222">
        <f t="shared" ca="1" si="644"/>
        <v>0.52948393411039274</v>
      </c>
      <c r="BH233" s="275">
        <f t="shared" ca="1" si="644"/>
        <v>0.52121650270887798</v>
      </c>
      <c r="BI233" s="252">
        <f t="shared" ca="1" si="644"/>
        <v>0.52404927144557423</v>
      </c>
      <c r="BJ233" s="252">
        <f t="shared" ca="1" si="644"/>
        <v>0.52342003196654296</v>
      </c>
      <c r="BK233" s="276">
        <f t="shared" ca="1" si="644"/>
        <v>0.52161542499391733</v>
      </c>
      <c r="BL233" s="222">
        <f t="shared" ca="1" si="644"/>
        <v>0.52161542499391733</v>
      </c>
      <c r="BM233" s="275">
        <f t="shared" ref="BM233:BQ233" ca="1" si="645">BM232/BM241</f>
        <v>0.51773332454867593</v>
      </c>
      <c r="BN233" s="252">
        <f t="shared" ca="1" si="645"/>
        <v>0.51837293158138853</v>
      </c>
      <c r="BO233" s="252">
        <f t="shared" ca="1" si="645"/>
        <v>0.51722041493137871</v>
      </c>
      <c r="BP233" s="276">
        <f t="shared" ca="1" si="645"/>
        <v>0.51362486363734605</v>
      </c>
      <c r="BQ233" s="222">
        <f t="shared" ca="1" si="645"/>
        <v>0.51362486363734605</v>
      </c>
      <c r="BT233" s="45"/>
      <c r="DR233"/>
      <c r="DS233"/>
      <c r="DT233"/>
      <c r="DU233"/>
      <c r="DV233"/>
      <c r="DW233"/>
      <c r="DX233" s="37"/>
    </row>
    <row r="234" spans="2:128" s="28" customFormat="1">
      <c r="C234" s="391"/>
      <c r="E234" s="415"/>
      <c r="F234" s="242"/>
      <c r="G234" s="242"/>
      <c r="H234" s="416"/>
      <c r="I234" s="948"/>
      <c r="J234" s="415"/>
      <c r="K234" s="242"/>
      <c r="L234" s="242"/>
      <c r="M234" s="416"/>
      <c r="N234" s="23"/>
      <c r="O234" s="415"/>
      <c r="P234" s="242"/>
      <c r="Q234" s="242"/>
      <c r="R234" s="416"/>
      <c r="S234" s="23"/>
      <c r="T234" s="415"/>
      <c r="U234" s="242"/>
      <c r="V234" s="242"/>
      <c r="W234" s="416"/>
      <c r="X234" s="23"/>
      <c r="Y234" s="415"/>
      <c r="Z234" s="242"/>
      <c r="AA234" s="242"/>
      <c r="AB234" s="416"/>
      <c r="AC234" s="23"/>
      <c r="AD234" s="415"/>
      <c r="AE234" s="242"/>
      <c r="AF234" s="242"/>
      <c r="AG234" s="416"/>
      <c r="AH234" s="23"/>
      <c r="AI234" s="415"/>
      <c r="AJ234" s="242"/>
      <c r="AK234" s="242"/>
      <c r="AL234" s="416"/>
      <c r="AM234" s="23"/>
      <c r="AN234" s="415"/>
      <c r="AO234" s="242"/>
      <c r="AP234" s="242"/>
      <c r="AQ234" s="416"/>
      <c r="AR234" s="23"/>
      <c r="AS234" s="415"/>
      <c r="AT234" s="242"/>
      <c r="AU234" s="242"/>
      <c r="AV234" s="416"/>
      <c r="AW234" s="23"/>
      <c r="AX234" s="415"/>
      <c r="AY234" s="242"/>
      <c r="AZ234" s="242"/>
      <c r="BA234" s="416"/>
      <c r="BB234" s="23"/>
      <c r="BC234" s="415"/>
      <c r="BD234" s="242"/>
      <c r="BE234" s="242"/>
      <c r="BF234" s="416"/>
      <c r="BG234" s="23"/>
      <c r="BH234" s="415"/>
      <c r="BI234" s="242"/>
      <c r="BJ234" s="242"/>
      <c r="BK234" s="416"/>
      <c r="BL234" s="23"/>
      <c r="BM234" s="415"/>
      <c r="BN234" s="242"/>
      <c r="BO234" s="242"/>
      <c r="BP234" s="416"/>
      <c r="BQ234" s="23"/>
      <c r="BT234" s="45"/>
      <c r="DR234"/>
      <c r="DS234"/>
      <c r="DT234"/>
      <c r="DU234"/>
      <c r="DV234"/>
      <c r="DW234"/>
      <c r="DX234" s="37"/>
    </row>
    <row r="235" spans="2:128" s="28" customFormat="1">
      <c r="C235" s="389" t="s">
        <v>611</v>
      </c>
      <c r="E235" s="292">
        <f>E215</f>
        <v>87</v>
      </c>
      <c r="F235" s="261">
        <f t="shared" ref="F235:S235" si="646">F215</f>
        <v>87</v>
      </c>
      <c r="G235" s="261">
        <f t="shared" si="646"/>
        <v>87</v>
      </c>
      <c r="H235" s="293">
        <f t="shared" si="646"/>
        <v>87</v>
      </c>
      <c r="I235" s="933">
        <f t="shared" si="646"/>
        <v>87</v>
      </c>
      <c r="J235" s="292">
        <f t="shared" si="646"/>
        <v>87</v>
      </c>
      <c r="K235" s="261">
        <f t="shared" si="646"/>
        <v>87</v>
      </c>
      <c r="L235" s="261">
        <f t="shared" si="646"/>
        <v>87</v>
      </c>
      <c r="M235" s="293">
        <f t="shared" si="646"/>
        <v>87</v>
      </c>
      <c r="N235" s="228">
        <f t="shared" si="646"/>
        <v>87</v>
      </c>
      <c r="O235" s="292">
        <f t="shared" si="646"/>
        <v>87</v>
      </c>
      <c r="P235" s="261">
        <f t="shared" si="646"/>
        <v>87</v>
      </c>
      <c r="Q235" s="261">
        <f t="shared" si="646"/>
        <v>87</v>
      </c>
      <c r="R235" s="293">
        <f t="shared" si="646"/>
        <v>87</v>
      </c>
      <c r="S235" s="228">
        <f t="shared" si="646"/>
        <v>87</v>
      </c>
      <c r="T235" s="292">
        <f t="shared" ref="T235:Z235" si="647">T215</f>
        <v>87</v>
      </c>
      <c r="U235" s="261">
        <f t="shared" si="647"/>
        <v>87</v>
      </c>
      <c r="V235" s="261">
        <f t="shared" si="647"/>
        <v>87</v>
      </c>
      <c r="W235" s="293">
        <f t="shared" si="647"/>
        <v>87</v>
      </c>
      <c r="X235" s="228">
        <f t="shared" si="647"/>
        <v>87</v>
      </c>
      <c r="Y235" s="292">
        <f t="shared" si="647"/>
        <v>87</v>
      </c>
      <c r="Z235" s="261">
        <f t="shared" si="647"/>
        <v>0</v>
      </c>
      <c r="AA235" s="1438">
        <f t="shared" ref="AA235:AH235" si="648">AA215</f>
        <v>0</v>
      </c>
      <c r="AB235" s="1439">
        <f t="shared" si="648"/>
        <v>0</v>
      </c>
      <c r="AC235" s="1440">
        <f t="shared" si="648"/>
        <v>0</v>
      </c>
      <c r="AD235" s="292">
        <f t="shared" si="648"/>
        <v>0</v>
      </c>
      <c r="AE235" s="261">
        <f t="shared" si="648"/>
        <v>0</v>
      </c>
      <c r="AF235" s="1438">
        <f t="shared" si="648"/>
        <v>0</v>
      </c>
      <c r="AG235" s="1439">
        <f t="shared" si="648"/>
        <v>0</v>
      </c>
      <c r="AH235" s="1440">
        <f t="shared" si="648"/>
        <v>0</v>
      </c>
      <c r="AI235" s="292">
        <f t="shared" ref="AI235:AM235" si="649">AI215</f>
        <v>0</v>
      </c>
      <c r="AJ235" s="261">
        <f t="shared" si="649"/>
        <v>0</v>
      </c>
      <c r="AK235" s="1438">
        <f t="shared" si="649"/>
        <v>0</v>
      </c>
      <c r="AL235" s="1439">
        <f t="shared" si="649"/>
        <v>0</v>
      </c>
      <c r="AM235" s="1440">
        <f t="shared" si="649"/>
        <v>0</v>
      </c>
      <c r="AN235" s="292">
        <f t="shared" ref="AN235:AR235" si="650">AN215</f>
        <v>0</v>
      </c>
      <c r="AO235" s="261">
        <f t="shared" si="650"/>
        <v>0</v>
      </c>
      <c r="AP235" s="1438">
        <f t="shared" si="650"/>
        <v>0</v>
      </c>
      <c r="AQ235" s="1439">
        <f t="shared" si="650"/>
        <v>0</v>
      </c>
      <c r="AR235" s="1440">
        <f t="shared" si="650"/>
        <v>0</v>
      </c>
      <c r="AS235" s="292">
        <f t="shared" ref="AS235:BB235" si="651">AS215</f>
        <v>0</v>
      </c>
      <c r="AT235" s="261">
        <f t="shared" si="651"/>
        <v>0</v>
      </c>
      <c r="AU235" s="261">
        <f t="shared" ref="AU235:AW235" si="652">AU215</f>
        <v>0</v>
      </c>
      <c r="AV235" s="1439">
        <f t="shared" si="652"/>
        <v>0</v>
      </c>
      <c r="AW235" s="1440">
        <f t="shared" si="652"/>
        <v>0</v>
      </c>
      <c r="AX235" s="292">
        <f t="shared" si="651"/>
        <v>0</v>
      </c>
      <c r="AY235" s="261">
        <f t="shared" si="651"/>
        <v>0</v>
      </c>
      <c r="AZ235" s="261">
        <f t="shared" si="651"/>
        <v>0</v>
      </c>
      <c r="BA235" s="293">
        <f t="shared" si="651"/>
        <v>0</v>
      </c>
      <c r="BB235" s="228">
        <f t="shared" si="651"/>
        <v>0</v>
      </c>
      <c r="BC235" s="292">
        <f t="shared" ref="BC235:BL235" si="653">BC215</f>
        <v>0</v>
      </c>
      <c r="BD235" s="261">
        <f t="shared" si="653"/>
        <v>0</v>
      </c>
      <c r="BE235" s="261">
        <f t="shared" si="653"/>
        <v>0</v>
      </c>
      <c r="BF235" s="293">
        <f t="shared" si="653"/>
        <v>0</v>
      </c>
      <c r="BG235" s="228">
        <f t="shared" si="653"/>
        <v>0</v>
      </c>
      <c r="BH235" s="292">
        <f t="shared" si="653"/>
        <v>0</v>
      </c>
      <c r="BI235" s="261">
        <f t="shared" si="653"/>
        <v>0</v>
      </c>
      <c r="BJ235" s="261">
        <f t="shared" si="653"/>
        <v>0</v>
      </c>
      <c r="BK235" s="293">
        <f t="shared" si="653"/>
        <v>0</v>
      </c>
      <c r="BL235" s="228">
        <f t="shared" si="653"/>
        <v>0</v>
      </c>
      <c r="BM235" s="292">
        <f t="shared" ref="BM235:BQ235" si="654">BM215</f>
        <v>0</v>
      </c>
      <c r="BN235" s="261">
        <f t="shared" si="654"/>
        <v>0</v>
      </c>
      <c r="BO235" s="261">
        <f t="shared" si="654"/>
        <v>0</v>
      </c>
      <c r="BP235" s="293">
        <f t="shared" si="654"/>
        <v>0</v>
      </c>
      <c r="BQ235" s="228">
        <f t="shared" si="654"/>
        <v>0</v>
      </c>
      <c r="BT235" s="45"/>
      <c r="DR235"/>
      <c r="DS235"/>
      <c r="DT235"/>
      <c r="DU235"/>
      <c r="DV235"/>
      <c r="DW235"/>
      <c r="DX235" s="37"/>
    </row>
    <row r="236" spans="2:128" s="28" customFormat="1">
      <c r="C236" s="390" t="s">
        <v>612</v>
      </c>
      <c r="E236" s="275">
        <f>E235/E241</f>
        <v>3.4437715235720225E-3</v>
      </c>
      <c r="F236" s="252">
        <f t="shared" ref="F236:S236" si="655">F235/F241</f>
        <v>3.4631000716503465E-3</v>
      </c>
      <c r="G236" s="252">
        <f t="shared" si="655"/>
        <v>3.3994998437011565E-3</v>
      </c>
      <c r="H236" s="276">
        <f t="shared" si="655"/>
        <v>3.4358832589550174E-3</v>
      </c>
      <c r="I236" s="940">
        <f t="shared" si="655"/>
        <v>3.4358832589550174E-3</v>
      </c>
      <c r="J236" s="275">
        <f t="shared" si="655"/>
        <v>3.2894736842105261E-3</v>
      </c>
      <c r="K236" s="252">
        <f t="shared" si="655"/>
        <v>3.3975084937712344E-3</v>
      </c>
      <c r="L236" s="252">
        <f t="shared" si="655"/>
        <v>3.2297583249805101E-3</v>
      </c>
      <c r="M236" s="276">
        <f t="shared" si="655"/>
        <v>3.2861189801699719E-3</v>
      </c>
      <c r="N236" s="222">
        <f t="shared" si="655"/>
        <v>3.2861189801699719E-3</v>
      </c>
      <c r="O236" s="275">
        <f t="shared" si="655"/>
        <v>3.1643267622026624E-3</v>
      </c>
      <c r="P236" s="252">
        <f t="shared" si="655"/>
        <v>3.13332853129727E-3</v>
      </c>
      <c r="Q236" s="252">
        <f t="shared" si="655"/>
        <v>3.0068431602958455E-3</v>
      </c>
      <c r="R236" s="276">
        <f t="shared" si="655"/>
        <v>3.1208523155289306E-3</v>
      </c>
      <c r="S236" s="222">
        <f t="shared" si="655"/>
        <v>3.1208523155289306E-3</v>
      </c>
      <c r="T236" s="275">
        <f t="shared" ref="T236:AA236" si="656">T235/T241</f>
        <v>2.1295865664700269E-3</v>
      </c>
      <c r="U236" s="252">
        <f t="shared" si="656"/>
        <v>2.0874322184365854E-3</v>
      </c>
      <c r="V236" s="252">
        <f t="shared" si="656"/>
        <v>2.0838323353293414E-3</v>
      </c>
      <c r="W236" s="276">
        <f t="shared" si="656"/>
        <v>2.1058236917267754E-3</v>
      </c>
      <c r="X236" s="222">
        <f t="shared" si="656"/>
        <v>2.1058236917267754E-3</v>
      </c>
      <c r="Y236" s="275">
        <f t="shared" si="656"/>
        <v>2.1049575379255281E-3</v>
      </c>
      <c r="Z236" s="252">
        <f t="shared" si="656"/>
        <v>0</v>
      </c>
      <c r="AA236" s="252">
        <f t="shared" si="656"/>
        <v>0</v>
      </c>
      <c r="AB236" s="276">
        <f>AB235/AB241</f>
        <v>0</v>
      </c>
      <c r="AC236" s="222">
        <f>AC235/AC241</f>
        <v>0</v>
      </c>
      <c r="AD236" s="275">
        <f>AD235/AD241</f>
        <v>0</v>
      </c>
      <c r="AE236" s="252">
        <f>AE235/AE241</f>
        <v>0</v>
      </c>
      <c r="AF236" s="252">
        <f t="shared" ref="AF236" si="657">AF235/AF241</f>
        <v>0</v>
      </c>
      <c r="AG236" s="276">
        <f>AG235/AG241</f>
        <v>0</v>
      </c>
      <c r="AH236" s="222">
        <f>AH235/AH241</f>
        <v>0</v>
      </c>
      <c r="AI236" s="275">
        <f>AI235/AI241</f>
        <v>0</v>
      </c>
      <c r="AJ236" s="252">
        <f>AJ235/AJ241</f>
        <v>0</v>
      </c>
      <c r="AK236" s="252">
        <f t="shared" ref="AK236" si="658">AK235/AK241</f>
        <v>0</v>
      </c>
      <c r="AL236" s="276">
        <f>AL235/AL241</f>
        <v>0</v>
      </c>
      <c r="AM236" s="222">
        <f>AM235/AM241</f>
        <v>0</v>
      </c>
      <c r="AN236" s="275">
        <f>AN235/AN241</f>
        <v>0</v>
      </c>
      <c r="AO236" s="252">
        <f>AO235/AO241</f>
        <v>0</v>
      </c>
      <c r="AP236" s="252">
        <f t="shared" ref="AP236" si="659">AP235/AP241</f>
        <v>0</v>
      </c>
      <c r="AQ236" s="276">
        <f>AQ235/AQ241</f>
        <v>0</v>
      </c>
      <c r="AR236" s="222">
        <f>AR235/AR241</f>
        <v>0</v>
      </c>
      <c r="AS236" s="275">
        <f t="shared" ref="AS236:BB236" si="660">AS235/AS241</f>
        <v>0</v>
      </c>
      <c r="AT236" s="252">
        <f>AT235/AT241</f>
        <v>0</v>
      </c>
      <c r="AU236" s="252">
        <f t="shared" ref="AU236" si="661">AU235/AU241</f>
        <v>0</v>
      </c>
      <c r="AV236" s="276">
        <f>AV235/AV241</f>
        <v>0</v>
      </c>
      <c r="AW236" s="222">
        <f>AW235/AW241</f>
        <v>0</v>
      </c>
      <c r="AX236" s="275">
        <f t="shared" si="660"/>
        <v>0</v>
      </c>
      <c r="AY236" s="252">
        <f t="shared" ca="1" si="660"/>
        <v>0</v>
      </c>
      <c r="AZ236" s="252">
        <f t="shared" ca="1" si="660"/>
        <v>0</v>
      </c>
      <c r="BA236" s="276">
        <f t="shared" ca="1" si="660"/>
        <v>0</v>
      </c>
      <c r="BB236" s="222">
        <f t="shared" ca="1" si="660"/>
        <v>0</v>
      </c>
      <c r="BC236" s="275">
        <f t="shared" ref="BC236:BL236" ca="1" si="662">BC235/BC241</f>
        <v>0</v>
      </c>
      <c r="BD236" s="252">
        <f t="shared" ca="1" si="662"/>
        <v>0</v>
      </c>
      <c r="BE236" s="252">
        <f t="shared" ca="1" si="662"/>
        <v>0</v>
      </c>
      <c r="BF236" s="276">
        <f t="shared" ca="1" si="662"/>
        <v>0</v>
      </c>
      <c r="BG236" s="222">
        <f t="shared" ca="1" si="662"/>
        <v>0</v>
      </c>
      <c r="BH236" s="275">
        <f t="shared" ca="1" si="662"/>
        <v>0</v>
      </c>
      <c r="BI236" s="252">
        <f t="shared" ca="1" si="662"/>
        <v>0</v>
      </c>
      <c r="BJ236" s="252">
        <f t="shared" ca="1" si="662"/>
        <v>0</v>
      </c>
      <c r="BK236" s="276">
        <f t="shared" ca="1" si="662"/>
        <v>0</v>
      </c>
      <c r="BL236" s="222">
        <f t="shared" ca="1" si="662"/>
        <v>0</v>
      </c>
      <c r="BM236" s="275">
        <f t="shared" ref="BM236:BQ236" ca="1" si="663">BM235/BM241</f>
        <v>0</v>
      </c>
      <c r="BN236" s="252">
        <f t="shared" ca="1" si="663"/>
        <v>0</v>
      </c>
      <c r="BO236" s="252">
        <f t="shared" ca="1" si="663"/>
        <v>0</v>
      </c>
      <c r="BP236" s="276">
        <f t="shared" ca="1" si="663"/>
        <v>0</v>
      </c>
      <c r="BQ236" s="222">
        <f t="shared" ca="1" si="663"/>
        <v>0</v>
      </c>
      <c r="BT236" s="45"/>
      <c r="DR236"/>
      <c r="DS236"/>
      <c r="DT236"/>
      <c r="DU236"/>
      <c r="DV236"/>
      <c r="DW236"/>
      <c r="DX236" s="37"/>
    </row>
    <row r="237" spans="2:128" s="28" customFormat="1">
      <c r="C237" s="391"/>
      <c r="E237" s="415"/>
      <c r="F237" s="242"/>
      <c r="G237" s="242"/>
      <c r="H237" s="416"/>
      <c r="I237" s="948"/>
      <c r="J237" s="415"/>
      <c r="K237" s="242"/>
      <c r="L237" s="242"/>
      <c r="M237" s="416"/>
      <c r="N237" s="23"/>
      <c r="O237" s="415"/>
      <c r="P237" s="242"/>
      <c r="Q237" s="242"/>
      <c r="R237" s="416"/>
      <c r="S237" s="23"/>
      <c r="T237" s="415"/>
      <c r="U237" s="242"/>
      <c r="V237" s="242"/>
      <c r="W237" s="416"/>
      <c r="X237" s="23"/>
      <c r="Y237" s="415"/>
      <c r="Z237" s="242"/>
      <c r="AA237" s="242"/>
      <c r="AB237" s="416"/>
      <c r="AC237" s="23"/>
      <c r="AD237" s="415"/>
      <c r="AE237" s="242"/>
      <c r="AF237" s="242"/>
      <c r="AG237" s="416"/>
      <c r="AH237" s="23"/>
      <c r="AI237" s="415"/>
      <c r="AJ237" s="242"/>
      <c r="AK237" s="242"/>
      <c r="AL237" s="416"/>
      <c r="AM237" s="23"/>
      <c r="AN237" s="415"/>
      <c r="AO237" s="242"/>
      <c r="AP237" s="242"/>
      <c r="AQ237" s="416"/>
      <c r="AR237" s="23"/>
      <c r="AS237" s="415"/>
      <c r="AT237" s="242"/>
      <c r="AU237" s="242"/>
      <c r="AV237" s="416"/>
      <c r="AW237" s="23"/>
      <c r="AX237" s="415"/>
      <c r="AY237" s="242"/>
      <c r="AZ237" s="242"/>
      <c r="BA237" s="416"/>
      <c r="BB237" s="23"/>
      <c r="BC237" s="415"/>
      <c r="BD237" s="242"/>
      <c r="BE237" s="242"/>
      <c r="BF237" s="416"/>
      <c r="BG237" s="23"/>
      <c r="BH237" s="415"/>
      <c r="BI237" s="242"/>
      <c r="BJ237" s="242"/>
      <c r="BK237" s="416"/>
      <c r="BL237" s="23"/>
      <c r="BM237" s="415"/>
      <c r="BN237" s="242"/>
      <c r="BO237" s="242"/>
      <c r="BP237" s="416"/>
      <c r="BQ237" s="23"/>
      <c r="BT237" s="45"/>
      <c r="DR237"/>
      <c r="DS237"/>
      <c r="DT237"/>
      <c r="DU237"/>
      <c r="DV237"/>
      <c r="DW237"/>
      <c r="DX237" s="37"/>
    </row>
    <row r="238" spans="2:128" s="28" customFormat="1">
      <c r="C238" s="389" t="s">
        <v>193</v>
      </c>
      <c r="E238" s="292">
        <f>E220</f>
        <v>12012</v>
      </c>
      <c r="F238" s="261">
        <f t="shared" ref="F238:S238" si="664">F220</f>
        <v>12153</v>
      </c>
      <c r="G238" s="261">
        <f t="shared" si="664"/>
        <v>12490</v>
      </c>
      <c r="H238" s="293">
        <f t="shared" si="664"/>
        <v>12640</v>
      </c>
      <c r="I238" s="933">
        <f t="shared" si="664"/>
        <v>12640</v>
      </c>
      <c r="J238" s="292">
        <f t="shared" si="664"/>
        <v>13451</v>
      </c>
      <c r="K238" s="261">
        <f t="shared" si="664"/>
        <v>13186</v>
      </c>
      <c r="L238" s="261">
        <f t="shared" si="664"/>
        <v>13955</v>
      </c>
      <c r="M238" s="293">
        <f t="shared" si="664"/>
        <v>13560</v>
      </c>
      <c r="N238" s="228">
        <f t="shared" si="664"/>
        <v>13560</v>
      </c>
      <c r="O238" s="292">
        <f t="shared" si="664"/>
        <v>13931</v>
      </c>
      <c r="P238" s="261">
        <f t="shared" si="664"/>
        <v>14112</v>
      </c>
      <c r="Q238" s="261">
        <f t="shared" si="664"/>
        <v>14356</v>
      </c>
      <c r="R238" s="293">
        <f t="shared" si="664"/>
        <v>14385</v>
      </c>
      <c r="S238" s="228">
        <f t="shared" si="664"/>
        <v>14385</v>
      </c>
      <c r="T238" s="292">
        <f t="shared" ref="T238:Z238" si="665">T220</f>
        <v>22009</v>
      </c>
      <c r="U238" s="261">
        <f t="shared" si="665"/>
        <v>22226</v>
      </c>
      <c r="V238" s="261">
        <f t="shared" si="665"/>
        <v>22014</v>
      </c>
      <c r="W238" s="293">
        <f t="shared" si="665"/>
        <v>21624</v>
      </c>
      <c r="X238" s="228">
        <f t="shared" si="665"/>
        <v>21624</v>
      </c>
      <c r="Y238" s="292">
        <f t="shared" si="665"/>
        <v>21282</v>
      </c>
      <c r="Z238" s="261">
        <f t="shared" si="665"/>
        <v>21546</v>
      </c>
      <c r="AA238" s="1438">
        <f t="shared" ref="AA238:AH238" si="666">AA220</f>
        <v>22052</v>
      </c>
      <c r="AB238" s="1439">
        <f t="shared" si="666"/>
        <v>22925</v>
      </c>
      <c r="AC238" s="1440">
        <f t="shared" si="666"/>
        <v>22925</v>
      </c>
      <c r="AD238" s="292">
        <f t="shared" si="666"/>
        <v>22761</v>
      </c>
      <c r="AE238" s="261">
        <f t="shared" si="666"/>
        <v>23046</v>
      </c>
      <c r="AF238" s="1438">
        <f t="shared" si="666"/>
        <v>23788</v>
      </c>
      <c r="AG238" s="1439">
        <f t="shared" si="666"/>
        <v>22801</v>
      </c>
      <c r="AH238" s="1440">
        <f t="shared" si="666"/>
        <v>22801</v>
      </c>
      <c r="AI238" s="292">
        <f t="shared" ref="AI238:AM238" si="667">AI220</f>
        <v>23258</v>
      </c>
      <c r="AJ238" s="261">
        <f t="shared" si="667"/>
        <v>23699</v>
      </c>
      <c r="AK238" s="1438">
        <f t="shared" si="667"/>
        <v>25963</v>
      </c>
      <c r="AL238" s="1439">
        <f t="shared" si="667"/>
        <v>26014</v>
      </c>
      <c r="AM238" s="1440">
        <f t="shared" si="667"/>
        <v>26014</v>
      </c>
      <c r="AN238" s="292">
        <f t="shared" ref="AN238:AR238" si="668">AN220</f>
        <v>25929</v>
      </c>
      <c r="AO238" s="261">
        <f t="shared" si="668"/>
        <v>25973</v>
      </c>
      <c r="AP238" s="1438">
        <f t="shared" si="668"/>
        <v>26053</v>
      </c>
      <c r="AQ238" s="1439">
        <f t="shared" si="668"/>
        <v>25837</v>
      </c>
      <c r="AR238" s="1440">
        <f t="shared" si="668"/>
        <v>25837</v>
      </c>
      <c r="AS238" s="292">
        <f t="shared" ref="AS238:BB238" si="669">AS220</f>
        <v>26530</v>
      </c>
      <c r="AT238" s="261">
        <f t="shared" si="669"/>
        <v>27546</v>
      </c>
      <c r="AU238" s="261">
        <f t="shared" ref="AU238:AW238" si="670">AU220</f>
        <v>28100</v>
      </c>
      <c r="AV238" s="1439">
        <f t="shared" si="670"/>
        <v>29857</v>
      </c>
      <c r="AW238" s="1440">
        <f t="shared" si="670"/>
        <v>29857</v>
      </c>
      <c r="AX238" s="292">
        <f t="shared" si="669"/>
        <v>30422.124027910861</v>
      </c>
      <c r="AY238" s="261">
        <f t="shared" ca="1" si="669"/>
        <v>30663.541175548708</v>
      </c>
      <c r="AZ238" s="261">
        <f t="shared" ca="1" si="669"/>
        <v>31288.718105494867</v>
      </c>
      <c r="BA238" s="293">
        <f t="shared" ca="1" si="669"/>
        <v>31483.518751552903</v>
      </c>
      <c r="BB238" s="228">
        <f t="shared" ca="1" si="669"/>
        <v>31483.518751552903</v>
      </c>
      <c r="BC238" s="292">
        <f t="shared" ref="BC238:BL238" ca="1" si="671">BC220</f>
        <v>32105.418803316395</v>
      </c>
      <c r="BD238" s="261">
        <f t="shared" ca="1" si="671"/>
        <v>32247.627923554326</v>
      </c>
      <c r="BE238" s="261">
        <f t="shared" ca="1" si="671"/>
        <v>32758.971673114342</v>
      </c>
      <c r="BF238" s="293">
        <f t="shared" ca="1" si="671"/>
        <v>32895.35830084332</v>
      </c>
      <c r="BG238" s="228">
        <f t="shared" ca="1" si="671"/>
        <v>32895.35830084332</v>
      </c>
      <c r="BH238" s="292">
        <f t="shared" ca="1" si="671"/>
        <v>33427.137507611093</v>
      </c>
      <c r="BI238" s="261">
        <f t="shared" ca="1" si="671"/>
        <v>33518.097202694742</v>
      </c>
      <c r="BJ238" s="261">
        <f t="shared" ca="1" si="671"/>
        <v>34005.356246408039</v>
      </c>
      <c r="BK238" s="293">
        <f t="shared" ca="1" si="671"/>
        <v>34169.070205970027</v>
      </c>
      <c r="BL238" s="228">
        <f t="shared" ca="1" si="671"/>
        <v>34169.070205970027</v>
      </c>
      <c r="BM238" s="292">
        <f t="shared" ref="BM238:BQ238" ca="1" si="672">BM220</f>
        <v>34619.69856491551</v>
      </c>
      <c r="BN238" s="261">
        <f t="shared" ca="1" si="672"/>
        <v>34793.964883150584</v>
      </c>
      <c r="BO238" s="261">
        <f t="shared" ca="1" si="672"/>
        <v>35327.453203757228</v>
      </c>
      <c r="BP238" s="293">
        <f t="shared" ca="1" si="672"/>
        <v>35555.620409701653</v>
      </c>
      <c r="BQ238" s="228">
        <f t="shared" ca="1" si="672"/>
        <v>35555.620409701653</v>
      </c>
      <c r="BT238" s="45"/>
      <c r="DR238"/>
      <c r="DS238"/>
      <c r="DT238"/>
      <c r="DU238"/>
      <c r="DV238"/>
      <c r="DW238"/>
      <c r="DX238" s="37"/>
    </row>
    <row r="239" spans="2:128" s="28" customFormat="1">
      <c r="C239" s="408" t="s">
        <v>612</v>
      </c>
      <c r="E239" s="275">
        <f>E238/E241</f>
        <v>0.47547797173732337</v>
      </c>
      <c r="F239" s="252">
        <f t="shared" ref="F239:S239" si="673">F238/F241</f>
        <v>0.48375925483639837</v>
      </c>
      <c r="G239" s="252">
        <f t="shared" si="673"/>
        <v>0.48804313848077524</v>
      </c>
      <c r="H239" s="276">
        <f t="shared" si="673"/>
        <v>0.49919039532403936</v>
      </c>
      <c r="I239" s="940">
        <f t="shared" si="673"/>
        <v>0.49919039532403936</v>
      </c>
      <c r="J239" s="275">
        <f t="shared" si="673"/>
        <v>0.50858287961282511</v>
      </c>
      <c r="K239" s="252">
        <f t="shared" si="673"/>
        <v>0.51493732182606322</v>
      </c>
      <c r="L239" s="252">
        <f t="shared" si="673"/>
        <v>0.51806066005865536</v>
      </c>
      <c r="M239" s="276">
        <f t="shared" si="673"/>
        <v>0.51218130311614729</v>
      </c>
      <c r="N239" s="222">
        <f t="shared" si="673"/>
        <v>0.51218130311614729</v>
      </c>
      <c r="O239" s="275">
        <f t="shared" si="673"/>
        <v>0.50669236924419869</v>
      </c>
      <c r="P239" s="252">
        <f t="shared" si="673"/>
        <v>0.50824749693870197</v>
      </c>
      <c r="Q239" s="252">
        <f t="shared" si="673"/>
        <v>0.49616368286445012</v>
      </c>
      <c r="R239" s="276">
        <f t="shared" si="673"/>
        <v>0.51601678803314566</v>
      </c>
      <c r="S239" s="222">
        <f t="shared" si="673"/>
        <v>0.51601678803314566</v>
      </c>
      <c r="T239" s="275">
        <f t="shared" ref="T239:AA239" si="674">T238/T241</f>
        <v>0.53873644530389442</v>
      </c>
      <c r="U239" s="252">
        <f t="shared" si="674"/>
        <v>0.53327894812610965</v>
      </c>
      <c r="V239" s="252">
        <f t="shared" si="674"/>
        <v>0.52728143712574849</v>
      </c>
      <c r="W239" s="276">
        <f t="shared" si="674"/>
        <v>0.52340610930919296</v>
      </c>
      <c r="X239" s="222">
        <f t="shared" si="674"/>
        <v>0.52340610930919296</v>
      </c>
      <c r="Y239" s="275">
        <f t="shared" si="674"/>
        <v>0.51491616462219636</v>
      </c>
      <c r="Z239" s="252">
        <f t="shared" si="674"/>
        <v>0.51709986320109436</v>
      </c>
      <c r="AA239" s="252">
        <f t="shared" si="674"/>
        <v>0.51912709809552959</v>
      </c>
      <c r="AB239" s="276">
        <f>AB238/AB241</f>
        <v>0.53256980904149054</v>
      </c>
      <c r="AC239" s="222">
        <f>AC238/AC241</f>
        <v>0.53256980904149054</v>
      </c>
      <c r="AD239" s="275">
        <f>AD238/AD241</f>
        <v>0.5255489621094922</v>
      </c>
      <c r="AE239" s="252">
        <f>AE238/AE241</f>
        <v>0.51794583661085514</v>
      </c>
      <c r="AF239" s="252">
        <f t="shared" ref="AF239" si="675">AF238/AF241</f>
        <v>0.5142017206346462</v>
      </c>
      <c r="AG239" s="276">
        <f>AG238/AG241</f>
        <v>0.50586825815898651</v>
      </c>
      <c r="AH239" s="222">
        <f>AH238/AH241</f>
        <v>0.50586825815898651</v>
      </c>
      <c r="AI239" s="275">
        <f>AI238/AI241</f>
        <v>0.50567465321563687</v>
      </c>
      <c r="AJ239" s="252">
        <f>AJ238/AJ241</f>
        <v>0.47081611570247933</v>
      </c>
      <c r="AK239" s="252">
        <f t="shared" ref="AK239" si="676">AK238/AK241</f>
        <v>0.49243228890069041</v>
      </c>
      <c r="AL239" s="276">
        <f>AL238/AL241</f>
        <v>0.49708596870043759</v>
      </c>
      <c r="AM239" s="222">
        <f>AM238/AM241</f>
        <v>0.49708596870043759</v>
      </c>
      <c r="AN239" s="275">
        <f>AN238/AN241</f>
        <v>0.42104835828651227</v>
      </c>
      <c r="AO239" s="252">
        <f>AO238/AO241</f>
        <v>0.42028188158384439</v>
      </c>
      <c r="AP239" s="252">
        <f t="shared" ref="AP239" si="677">AP238/AP241</f>
        <v>0.41950598995233801</v>
      </c>
      <c r="AQ239" s="276">
        <f>AQ238/AQ241</f>
        <v>0.41841295546558704</v>
      </c>
      <c r="AR239" s="222">
        <f>AR238/AR241</f>
        <v>0.41841295546558704</v>
      </c>
      <c r="AS239" s="275">
        <f t="shared" ref="AS239:BB239" si="678">AS238/AS241</f>
        <v>0.41512799649496152</v>
      </c>
      <c r="AT239" s="252">
        <f>AT238/AT241</f>
        <v>0.43122827890666582</v>
      </c>
      <c r="AU239" s="252">
        <f t="shared" ref="AU239" si="679">AU238/AU241</f>
        <v>0.4386238761238761</v>
      </c>
      <c r="AV239" s="276">
        <f>AV238/AV241</f>
        <v>0.45625697214199484</v>
      </c>
      <c r="AW239" s="222">
        <f>AW238/AW241</f>
        <v>0.45625697214199484</v>
      </c>
      <c r="AX239" s="275">
        <f t="shared" si="678"/>
        <v>0.46647467700039241</v>
      </c>
      <c r="AY239" s="252">
        <f t="shared" ca="1" si="678"/>
        <v>0.46472389195578317</v>
      </c>
      <c r="AZ239" s="252">
        <f t="shared" ca="1" si="678"/>
        <v>0.4622988493816616</v>
      </c>
      <c r="BA239" s="276">
        <f t="shared" ca="1" si="678"/>
        <v>0.46384203510536848</v>
      </c>
      <c r="BB239" s="222">
        <f t="shared" ca="1" si="678"/>
        <v>0.46384203510536848</v>
      </c>
      <c r="BC239" s="275">
        <f t="shared" ref="BC239:BL239" ca="1" si="680">BC238/BC241</f>
        <v>0.46870990709159349</v>
      </c>
      <c r="BD239" s="252">
        <f t="shared" ca="1" si="680"/>
        <v>0.46981064581919518</v>
      </c>
      <c r="BE239" s="252">
        <f t="shared" ca="1" si="680"/>
        <v>0.46547856343226318</v>
      </c>
      <c r="BF239" s="276">
        <f t="shared" ca="1" si="680"/>
        <v>0.47051606588960732</v>
      </c>
      <c r="BG239" s="222">
        <f t="shared" ca="1" si="680"/>
        <v>0.47051606588960732</v>
      </c>
      <c r="BH239" s="275">
        <f t="shared" ca="1" si="680"/>
        <v>0.47878349729112213</v>
      </c>
      <c r="BI239" s="252">
        <f t="shared" ca="1" si="680"/>
        <v>0.47595072855442572</v>
      </c>
      <c r="BJ239" s="252">
        <f t="shared" ca="1" si="680"/>
        <v>0.47657996803345698</v>
      </c>
      <c r="BK239" s="276">
        <f t="shared" ca="1" si="680"/>
        <v>0.47838457500608278</v>
      </c>
      <c r="BL239" s="222">
        <f t="shared" ca="1" si="680"/>
        <v>0.47838457500608278</v>
      </c>
      <c r="BM239" s="275">
        <f t="shared" ref="BM239:BQ239" ca="1" si="681">BM238/BM241</f>
        <v>0.48226667545132412</v>
      </c>
      <c r="BN239" s="252">
        <f t="shared" ca="1" si="681"/>
        <v>0.48162706841861141</v>
      </c>
      <c r="BO239" s="252">
        <f t="shared" ca="1" si="681"/>
        <v>0.48277958506862123</v>
      </c>
      <c r="BP239" s="276">
        <f t="shared" ca="1" si="681"/>
        <v>0.48637513636265395</v>
      </c>
      <c r="BQ239" s="222">
        <f t="shared" ca="1" si="681"/>
        <v>0.48637513636265395</v>
      </c>
      <c r="BT239" s="45"/>
      <c r="DR239"/>
      <c r="DS239"/>
      <c r="DT239"/>
      <c r="DU239"/>
      <c r="DV239"/>
      <c r="DW239"/>
      <c r="DX239" s="37"/>
    </row>
    <row r="240" spans="2:128" s="28" customFormat="1">
      <c r="C240" s="409"/>
      <c r="E240" s="415"/>
      <c r="F240" s="242"/>
      <c r="G240" s="242"/>
      <c r="H240" s="416"/>
      <c r="I240" s="948"/>
      <c r="J240" s="415"/>
      <c r="K240" s="242"/>
      <c r="L240" s="242"/>
      <c r="M240" s="416"/>
      <c r="N240" s="23"/>
      <c r="O240" s="415"/>
      <c r="P240" s="242"/>
      <c r="Q240" s="242"/>
      <c r="R240" s="416"/>
      <c r="S240" s="23"/>
      <c r="T240" s="415"/>
      <c r="U240" s="242"/>
      <c r="V240" s="242"/>
      <c r="W240" s="416"/>
      <c r="X240" s="23"/>
      <c r="Y240" s="415"/>
      <c r="Z240" s="242"/>
      <c r="AA240" s="242"/>
      <c r="AB240" s="416"/>
      <c r="AC240" s="23"/>
      <c r="AD240" s="415"/>
      <c r="AE240" s="242"/>
      <c r="AF240" s="242"/>
      <c r="AG240" s="416"/>
      <c r="AH240" s="23"/>
      <c r="AI240" s="415"/>
      <c r="AJ240" s="242"/>
      <c r="AK240" s="242"/>
      <c r="AL240" s="416"/>
      <c r="AM240" s="23"/>
      <c r="AN240" s="415"/>
      <c r="AO240" s="242"/>
      <c r="AP240" s="242"/>
      <c r="AQ240" s="416"/>
      <c r="AR240" s="23"/>
      <c r="AS240" s="415"/>
      <c r="AT240" s="242"/>
      <c r="AU240" s="242"/>
      <c r="AV240" s="416"/>
      <c r="AW240" s="23"/>
      <c r="AX240" s="415"/>
      <c r="AY240" s="242"/>
      <c r="AZ240" s="242"/>
      <c r="BA240" s="416"/>
      <c r="BB240" s="23"/>
      <c r="BC240" s="415"/>
      <c r="BD240" s="242"/>
      <c r="BE240" s="242"/>
      <c r="BF240" s="416"/>
      <c r="BG240" s="23"/>
      <c r="BH240" s="415"/>
      <c r="BI240" s="242"/>
      <c r="BJ240" s="242"/>
      <c r="BK240" s="416"/>
      <c r="BL240" s="23"/>
      <c r="BM240" s="415"/>
      <c r="BN240" s="242"/>
      <c r="BO240" s="242"/>
      <c r="BP240" s="416"/>
      <c r="BQ240" s="23"/>
      <c r="BT240" s="45"/>
      <c r="DR240"/>
      <c r="DS240"/>
      <c r="DT240"/>
      <c r="DU240"/>
      <c r="DV240"/>
      <c r="DW240"/>
      <c r="DX240" s="37"/>
    </row>
    <row r="241" spans="2:128" s="28" customFormat="1">
      <c r="C241" s="410" t="s">
        <v>494</v>
      </c>
      <c r="E241" s="292">
        <f>E232+E235+E238</f>
        <v>25263</v>
      </c>
      <c r="F241" s="261">
        <f t="shared" ref="F241:S241" si="682">F232+F235+F238</f>
        <v>25122</v>
      </c>
      <c r="G241" s="261">
        <f t="shared" si="682"/>
        <v>25592</v>
      </c>
      <c r="H241" s="293">
        <f t="shared" si="682"/>
        <v>25321</v>
      </c>
      <c r="I241" s="933">
        <f t="shared" si="682"/>
        <v>25321</v>
      </c>
      <c r="J241" s="292">
        <f t="shared" si="682"/>
        <v>26448</v>
      </c>
      <c r="K241" s="261">
        <f t="shared" si="682"/>
        <v>25607</v>
      </c>
      <c r="L241" s="261">
        <f t="shared" si="682"/>
        <v>26937</v>
      </c>
      <c r="M241" s="293">
        <f t="shared" si="682"/>
        <v>26475</v>
      </c>
      <c r="N241" s="228">
        <f t="shared" si="682"/>
        <v>26475</v>
      </c>
      <c r="O241" s="292">
        <f t="shared" si="682"/>
        <v>27494</v>
      </c>
      <c r="P241" s="261">
        <f t="shared" si="682"/>
        <v>27766</v>
      </c>
      <c r="Q241" s="261">
        <f t="shared" si="682"/>
        <v>28934</v>
      </c>
      <c r="R241" s="293">
        <f t="shared" si="682"/>
        <v>27877</v>
      </c>
      <c r="S241" s="228">
        <f t="shared" si="682"/>
        <v>27877</v>
      </c>
      <c r="T241" s="292">
        <f t="shared" ref="T241:Z241" si="683">T232+T235+T238</f>
        <v>40853</v>
      </c>
      <c r="U241" s="261">
        <f t="shared" si="683"/>
        <v>41678</v>
      </c>
      <c r="V241" s="261">
        <f t="shared" si="683"/>
        <v>41750</v>
      </c>
      <c r="W241" s="293">
        <f t="shared" si="683"/>
        <v>41314</v>
      </c>
      <c r="X241" s="228">
        <f t="shared" si="683"/>
        <v>41314</v>
      </c>
      <c r="Y241" s="292">
        <f t="shared" si="683"/>
        <v>41331</v>
      </c>
      <c r="Z241" s="261">
        <f t="shared" si="683"/>
        <v>41667</v>
      </c>
      <c r="AA241" s="1438">
        <f t="shared" ref="AA241:AH241" si="684">AA232+AA235+AA238</f>
        <v>42479</v>
      </c>
      <c r="AB241" s="1439">
        <f t="shared" si="684"/>
        <v>43046</v>
      </c>
      <c r="AC241" s="1440">
        <f t="shared" si="684"/>
        <v>43046</v>
      </c>
      <c r="AD241" s="292">
        <f t="shared" si="684"/>
        <v>43309</v>
      </c>
      <c r="AE241" s="261">
        <f t="shared" si="684"/>
        <v>44495</v>
      </c>
      <c r="AF241" s="1438">
        <f t="shared" si="684"/>
        <v>46262</v>
      </c>
      <c r="AG241" s="1439">
        <f t="shared" si="684"/>
        <v>45073</v>
      </c>
      <c r="AH241" s="1440">
        <f t="shared" si="684"/>
        <v>45073</v>
      </c>
      <c r="AI241" s="292">
        <f t="shared" ref="AI241:AM241" si="685">AI232+AI235+AI238</f>
        <v>45994</v>
      </c>
      <c r="AJ241" s="261">
        <f t="shared" si="685"/>
        <v>50336</v>
      </c>
      <c r="AK241" s="1438">
        <f t="shared" si="685"/>
        <v>52724</v>
      </c>
      <c r="AL241" s="1439">
        <f t="shared" si="685"/>
        <v>52333</v>
      </c>
      <c r="AM241" s="1440">
        <f t="shared" si="685"/>
        <v>52333</v>
      </c>
      <c r="AN241" s="292">
        <f t="shared" ref="AN241:AR241" si="686">AN232+AN235+AN238</f>
        <v>61582</v>
      </c>
      <c r="AO241" s="261">
        <f t="shared" si="686"/>
        <v>61799</v>
      </c>
      <c r="AP241" s="1438">
        <f t="shared" si="686"/>
        <v>62104</v>
      </c>
      <c r="AQ241" s="1439">
        <f t="shared" si="686"/>
        <v>61750</v>
      </c>
      <c r="AR241" s="1440">
        <f t="shared" si="686"/>
        <v>61750</v>
      </c>
      <c r="AS241" s="292">
        <f t="shared" ref="AS241:BB241" si="687">AS232+AS235+AS238</f>
        <v>63908</v>
      </c>
      <c r="AT241" s="261">
        <f t="shared" si="687"/>
        <v>63878</v>
      </c>
      <c r="AU241" s="261">
        <f t="shared" ref="AU241:AW241" si="688">AU232+AU235+AU238</f>
        <v>64064</v>
      </c>
      <c r="AV241" s="1439">
        <f t="shared" si="688"/>
        <v>65439</v>
      </c>
      <c r="AW241" s="1440">
        <f t="shared" si="688"/>
        <v>65439</v>
      </c>
      <c r="AX241" s="292">
        <f t="shared" si="687"/>
        <v>65217.096506795519</v>
      </c>
      <c r="AY241" s="261">
        <f t="shared" ca="1" si="687"/>
        <v>65982.278308312656</v>
      </c>
      <c r="AZ241" s="261">
        <f t="shared" ca="1" si="687"/>
        <v>67680.71810549486</v>
      </c>
      <c r="BA241" s="293">
        <f t="shared" ca="1" si="687"/>
        <v>67875.518751552911</v>
      </c>
      <c r="BB241" s="228">
        <f t="shared" ca="1" si="687"/>
        <v>67875.518751552911</v>
      </c>
      <c r="BC241" s="292">
        <f t="shared" ref="BC241:BL241" ca="1" si="689">BC232+BC235+BC238</f>
        <v>68497.418803316395</v>
      </c>
      <c r="BD241" s="261">
        <f t="shared" ca="1" si="689"/>
        <v>68639.627923554333</v>
      </c>
      <c r="BE241" s="261">
        <f t="shared" ca="1" si="689"/>
        <v>70376.971673114342</v>
      </c>
      <c r="BF241" s="293">
        <f t="shared" ca="1" si="689"/>
        <v>69913.35830084332</v>
      </c>
      <c r="BG241" s="228">
        <f t="shared" ca="1" si="689"/>
        <v>69913.35830084332</v>
      </c>
      <c r="BH241" s="292">
        <f t="shared" ca="1" si="689"/>
        <v>69816.812184915121</v>
      </c>
      <c r="BI241" s="261">
        <f t="shared" ca="1" si="689"/>
        <v>70423.460227694333</v>
      </c>
      <c r="BJ241" s="261">
        <f t="shared" ca="1" si="689"/>
        <v>71352.886246408045</v>
      </c>
      <c r="BK241" s="293">
        <f t="shared" ca="1" si="689"/>
        <v>71425.944713070145</v>
      </c>
      <c r="BL241" s="228">
        <f t="shared" ca="1" si="689"/>
        <v>71425.944713070145</v>
      </c>
      <c r="BM241" s="292">
        <f t="shared" ref="BM241:BQ241" ca="1" si="690">BM232+BM235+BM238</f>
        <v>71785.384160157933</v>
      </c>
      <c r="BN241" s="261">
        <f t="shared" ca="1" si="690"/>
        <v>72242.544418016449</v>
      </c>
      <c r="BO241" s="261">
        <f t="shared" ca="1" si="690"/>
        <v>73175.118203757229</v>
      </c>
      <c r="BP241" s="293">
        <f t="shared" ca="1" si="690"/>
        <v>73103.285409701653</v>
      </c>
      <c r="BQ241" s="228">
        <f t="shared" ca="1" si="690"/>
        <v>73103.285409701653</v>
      </c>
      <c r="BT241" s="45"/>
      <c r="DR241"/>
      <c r="DS241"/>
      <c r="DT241"/>
      <c r="DU241"/>
      <c r="DV241"/>
      <c r="DW241"/>
      <c r="DX241" s="37"/>
    </row>
    <row r="242" spans="2:128" s="28" customFormat="1">
      <c r="C242" s="408" t="s">
        <v>612</v>
      </c>
      <c r="E242" s="275">
        <f t="shared" ref="E242:S242" si="691">(E232+E235+E238)/E241</f>
        <v>1</v>
      </c>
      <c r="F242" s="252">
        <f t="shared" si="691"/>
        <v>1</v>
      </c>
      <c r="G242" s="252">
        <f t="shared" si="691"/>
        <v>1</v>
      </c>
      <c r="H242" s="276">
        <f t="shared" si="691"/>
        <v>1</v>
      </c>
      <c r="I242" s="940">
        <f t="shared" si="691"/>
        <v>1</v>
      </c>
      <c r="J242" s="275">
        <f t="shared" si="691"/>
        <v>1</v>
      </c>
      <c r="K242" s="252">
        <f t="shared" si="691"/>
        <v>1</v>
      </c>
      <c r="L242" s="252">
        <f t="shared" si="691"/>
        <v>1</v>
      </c>
      <c r="M242" s="276">
        <f t="shared" si="691"/>
        <v>1</v>
      </c>
      <c r="N242" s="222">
        <f t="shared" si="691"/>
        <v>1</v>
      </c>
      <c r="O242" s="275">
        <f t="shared" si="691"/>
        <v>1</v>
      </c>
      <c r="P242" s="252">
        <f t="shared" si="691"/>
        <v>1</v>
      </c>
      <c r="Q242" s="252">
        <f t="shared" si="691"/>
        <v>1</v>
      </c>
      <c r="R242" s="276">
        <f t="shared" si="691"/>
        <v>1</v>
      </c>
      <c r="S242" s="222">
        <f t="shared" si="691"/>
        <v>1</v>
      </c>
      <c r="T242" s="275">
        <f t="shared" ref="T242:AA242" si="692">(T232+T235+T238)/T241</f>
        <v>1</v>
      </c>
      <c r="U242" s="252">
        <f t="shared" si="692"/>
        <v>1</v>
      </c>
      <c r="V242" s="252">
        <f t="shared" si="692"/>
        <v>1</v>
      </c>
      <c r="W242" s="276">
        <f t="shared" si="692"/>
        <v>1</v>
      </c>
      <c r="X242" s="222">
        <f t="shared" si="692"/>
        <v>1</v>
      </c>
      <c r="Y242" s="275">
        <f t="shared" si="692"/>
        <v>1</v>
      </c>
      <c r="Z242" s="252">
        <f t="shared" si="692"/>
        <v>1</v>
      </c>
      <c r="AA242" s="252">
        <f t="shared" si="692"/>
        <v>1</v>
      </c>
      <c r="AB242" s="276">
        <f>(AB232+AB235+AB238)/AB241</f>
        <v>1</v>
      </c>
      <c r="AC242" s="222">
        <f>(AC232+AC235+AC238)/AC241</f>
        <v>1</v>
      </c>
      <c r="AD242" s="275">
        <f>(AD232+AD235+AD238)/AD241</f>
        <v>1</v>
      </c>
      <c r="AE242" s="252">
        <f>(AE232+AE235+AE238)/AE241</f>
        <v>1</v>
      </c>
      <c r="AF242" s="252">
        <f t="shared" ref="AF242" si="693">(AF232+AF235+AF238)/AF241</f>
        <v>1</v>
      </c>
      <c r="AG242" s="276">
        <f>(AG232+AG235+AG238)/AG241</f>
        <v>1</v>
      </c>
      <c r="AH242" s="222">
        <f>(AH232+AH235+AH238)/AH241</f>
        <v>1</v>
      </c>
      <c r="AI242" s="275">
        <f>(AI232+AI235+AI238)/AI241</f>
        <v>1</v>
      </c>
      <c r="AJ242" s="252">
        <f>(AJ232+AJ235+AJ238)/AJ241</f>
        <v>1</v>
      </c>
      <c r="AK242" s="252">
        <f t="shared" ref="AK242" si="694">(AK232+AK235+AK238)/AK241</f>
        <v>1</v>
      </c>
      <c r="AL242" s="276">
        <f>(AL232+AL235+AL238)/AL241</f>
        <v>1</v>
      </c>
      <c r="AM242" s="222">
        <f>(AM232+AM235+AM238)/AM241</f>
        <v>1</v>
      </c>
      <c r="AN242" s="275">
        <f>(AN232+AN235+AN238)/AN241</f>
        <v>1</v>
      </c>
      <c r="AO242" s="252">
        <f>(AO232+AO235+AO238)/AO241</f>
        <v>1</v>
      </c>
      <c r="AP242" s="252">
        <f t="shared" ref="AP242" si="695">(AP232+AP235+AP238)/AP241</f>
        <v>1</v>
      </c>
      <c r="AQ242" s="276">
        <f>(AQ232+AQ235+AQ238)/AQ241</f>
        <v>1</v>
      </c>
      <c r="AR242" s="222">
        <f>(AR232+AR235+AR238)/AR241</f>
        <v>1</v>
      </c>
      <c r="AS242" s="275">
        <f t="shared" ref="AS242:BB242" si="696">(AS232+AS235+AS238)/AS241</f>
        <v>1</v>
      </c>
      <c r="AT242" s="252">
        <f>(AT232+AT235+AT238)/AT241</f>
        <v>1</v>
      </c>
      <c r="AU242" s="252">
        <f t="shared" ref="AU242" si="697">(AU232+AU235+AU238)/AU241</f>
        <v>1</v>
      </c>
      <c r="AV242" s="276">
        <f>(AV232+AV235+AV238)/AV241</f>
        <v>1</v>
      </c>
      <c r="AW242" s="222">
        <f>(AW232+AW235+AW238)/AW241</f>
        <v>1</v>
      </c>
      <c r="AX242" s="275">
        <f t="shared" si="696"/>
        <v>1</v>
      </c>
      <c r="AY242" s="252">
        <f t="shared" ca="1" si="696"/>
        <v>1</v>
      </c>
      <c r="AZ242" s="252">
        <f t="shared" ca="1" si="696"/>
        <v>1</v>
      </c>
      <c r="BA242" s="276">
        <f t="shared" ca="1" si="696"/>
        <v>1</v>
      </c>
      <c r="BB242" s="222">
        <f t="shared" ca="1" si="696"/>
        <v>1</v>
      </c>
      <c r="BC242" s="275">
        <f t="shared" ref="BC242:BL242" ca="1" si="698">(BC232+BC235+BC238)/BC241</f>
        <v>1</v>
      </c>
      <c r="BD242" s="252">
        <f t="shared" ca="1" si="698"/>
        <v>1</v>
      </c>
      <c r="BE242" s="252">
        <f t="shared" ca="1" si="698"/>
        <v>1</v>
      </c>
      <c r="BF242" s="276">
        <f t="shared" ca="1" si="698"/>
        <v>1</v>
      </c>
      <c r="BG242" s="222">
        <f t="shared" ca="1" si="698"/>
        <v>1</v>
      </c>
      <c r="BH242" s="275">
        <f t="shared" ca="1" si="698"/>
        <v>1</v>
      </c>
      <c r="BI242" s="252">
        <f t="shared" ca="1" si="698"/>
        <v>1</v>
      </c>
      <c r="BJ242" s="252">
        <f t="shared" ca="1" si="698"/>
        <v>1</v>
      </c>
      <c r="BK242" s="276">
        <f t="shared" ca="1" si="698"/>
        <v>1</v>
      </c>
      <c r="BL242" s="222">
        <f t="shared" ca="1" si="698"/>
        <v>1</v>
      </c>
      <c r="BM242" s="275">
        <f t="shared" ref="BM242:BQ242" ca="1" si="699">(BM232+BM235+BM238)/BM241</f>
        <v>1</v>
      </c>
      <c r="BN242" s="252">
        <f t="shared" ca="1" si="699"/>
        <v>1</v>
      </c>
      <c r="BO242" s="252">
        <f t="shared" ca="1" si="699"/>
        <v>1</v>
      </c>
      <c r="BP242" s="276">
        <f t="shared" ca="1" si="699"/>
        <v>1</v>
      </c>
      <c r="BQ242" s="222">
        <f t="shared" ca="1" si="699"/>
        <v>1</v>
      </c>
      <c r="BT242" s="45"/>
      <c r="DR242"/>
      <c r="DS242"/>
      <c r="DT242"/>
      <c r="DU242"/>
      <c r="DV242"/>
      <c r="DW242"/>
      <c r="DX242" s="37"/>
    </row>
    <row r="243" spans="2:128" s="28" customFormat="1">
      <c r="C243" s="408"/>
      <c r="E243" s="275"/>
      <c r="F243" s="252"/>
      <c r="G243" s="252"/>
      <c r="H243" s="276"/>
      <c r="I243" s="940"/>
      <c r="J243" s="275"/>
      <c r="K243" s="252"/>
      <c r="L243" s="252"/>
      <c r="M243" s="276"/>
      <c r="N243" s="222"/>
      <c r="O243" s="275"/>
      <c r="P243" s="252"/>
      <c r="Q243" s="252"/>
      <c r="R243" s="276"/>
      <c r="S243" s="222"/>
      <c r="T243" s="275"/>
      <c r="U243" s="252"/>
      <c r="V243" s="260"/>
      <c r="W243" s="276"/>
      <c r="X243" s="222"/>
      <c r="Y243" s="275"/>
      <c r="Z243" s="252"/>
      <c r="AA243" s="1441"/>
      <c r="AB243" s="276"/>
      <c r="AC243" s="222"/>
      <c r="AD243" s="275"/>
      <c r="AE243" s="252"/>
      <c r="AF243" s="252"/>
      <c r="AG243" s="276"/>
      <c r="AH243" s="222"/>
      <c r="AI243" s="275"/>
      <c r="AJ243" s="252"/>
      <c r="AK243" s="252"/>
      <c r="AL243" s="276"/>
      <c r="AM243" s="222"/>
      <c r="AN243" s="275"/>
      <c r="AO243" s="252"/>
      <c r="AP243" s="252"/>
      <c r="AQ243" s="276"/>
      <c r="AR243" s="222"/>
      <c r="AS243" s="275"/>
      <c r="AT243" s="252"/>
      <c r="AU243" s="252"/>
      <c r="AV243" s="276"/>
      <c r="AW243" s="222"/>
      <c r="AX243" s="275"/>
      <c r="AY243" s="252"/>
      <c r="AZ243" s="252"/>
      <c r="BA243" s="276"/>
      <c r="BB243" s="222"/>
      <c r="BC243" s="275"/>
      <c r="BD243" s="252"/>
      <c r="BE243" s="252"/>
      <c r="BF243" s="276"/>
      <c r="BG243" s="222"/>
      <c r="BH243" s="275"/>
      <c r="BI243" s="252"/>
      <c r="BJ243" s="252"/>
      <c r="BK243" s="276"/>
      <c r="BL243" s="222"/>
      <c r="BM243" s="275"/>
      <c r="BN243" s="252"/>
      <c r="BO243" s="252"/>
      <c r="BP243" s="276"/>
      <c r="BQ243" s="222"/>
      <c r="BT243" s="45"/>
      <c r="DR243"/>
      <c r="DS243"/>
      <c r="DT243"/>
      <c r="DU243"/>
      <c r="DV243"/>
      <c r="DW243"/>
      <c r="DX243" s="37"/>
    </row>
    <row r="244" spans="2:128" s="28" customFormat="1">
      <c r="E244" s="305"/>
      <c r="F244" s="36"/>
      <c r="G244" s="36"/>
      <c r="H244" s="685"/>
      <c r="I244" s="932"/>
      <c r="J244" s="290"/>
      <c r="K244" s="260"/>
      <c r="L244" s="260"/>
      <c r="M244" s="291"/>
      <c r="N244" s="45"/>
      <c r="O244" s="290"/>
      <c r="P244" s="260"/>
      <c r="Q244" s="260"/>
      <c r="R244" s="291"/>
      <c r="S244" s="45"/>
      <c r="T244" s="290"/>
      <c r="U244" s="260"/>
      <c r="V244" s="263"/>
      <c r="W244" s="291"/>
      <c r="X244" s="45"/>
      <c r="Y244" s="290"/>
      <c r="Z244" s="260"/>
      <c r="AA244" s="1441"/>
      <c r="AB244" s="1442"/>
      <c r="AC244" s="1443"/>
      <c r="AD244" s="290"/>
      <c r="AE244" s="260"/>
      <c r="AF244" s="260"/>
      <c r="AG244" s="291"/>
      <c r="AH244" s="45"/>
      <c r="AI244" s="290"/>
      <c r="AJ244" s="260"/>
      <c r="AK244" s="260"/>
      <c r="AL244" s="291"/>
      <c r="AM244" s="45"/>
      <c r="AN244" s="290"/>
      <c r="AO244" s="260"/>
      <c r="AP244" s="260"/>
      <c r="AQ244" s="291"/>
      <c r="AR244" s="45"/>
      <c r="AS244" s="290"/>
      <c r="AT244" s="260"/>
      <c r="AU244" s="260"/>
      <c r="AV244" s="291"/>
      <c r="AW244" s="45"/>
      <c r="AX244" s="290"/>
      <c r="AY244" s="260"/>
      <c r="AZ244" s="260"/>
      <c r="BA244" s="291"/>
      <c r="BB244" s="45"/>
      <c r="BC244" s="290"/>
      <c r="BD244" s="260"/>
      <c r="BE244" s="260"/>
      <c r="BF244" s="291"/>
      <c r="BG244" s="45"/>
      <c r="BH244" s="290"/>
      <c r="BI244" s="260"/>
      <c r="BJ244" s="260"/>
      <c r="BK244" s="291"/>
      <c r="BL244" s="45"/>
      <c r="BM244" s="290"/>
      <c r="BN244" s="260"/>
      <c r="BO244" s="260"/>
      <c r="BP244" s="291"/>
      <c r="BQ244" s="45"/>
      <c r="BR244" s="45"/>
      <c r="BS244" s="45"/>
      <c r="BT244" s="45"/>
      <c r="BU244" s="45"/>
      <c r="BV244" s="45"/>
      <c r="BW244" s="45"/>
      <c r="BX244" s="45"/>
      <c r="BY244" s="45"/>
      <c r="BZ244" s="45"/>
      <c r="DR244"/>
      <c r="DS244"/>
      <c r="DT244"/>
      <c r="DU244"/>
      <c r="DV244"/>
      <c r="DW244"/>
      <c r="DX244" s="37"/>
    </row>
    <row r="245" spans="2:128" s="28" customFormat="1">
      <c r="B245" s="73" t="s">
        <v>613</v>
      </c>
      <c r="C245" s="211"/>
      <c r="D245" s="211"/>
      <c r="E245" s="267"/>
      <c r="F245" s="250"/>
      <c r="G245" s="250"/>
      <c r="H245" s="268"/>
      <c r="I245" s="932"/>
      <c r="J245" s="296"/>
      <c r="K245" s="263"/>
      <c r="L245" s="263"/>
      <c r="M245" s="297"/>
      <c r="N245" s="45"/>
      <c r="O245" s="296"/>
      <c r="P245" s="263"/>
      <c r="Q245" s="263"/>
      <c r="R245" s="297"/>
      <c r="S245" s="45"/>
      <c r="T245" s="296"/>
      <c r="U245" s="263"/>
      <c r="V245" s="263"/>
      <c r="W245" s="297"/>
      <c r="X245" s="45"/>
      <c r="Y245" s="296"/>
      <c r="Z245" s="263"/>
      <c r="AA245" s="1539"/>
      <c r="AB245" s="1540"/>
      <c r="AC245" s="1443"/>
      <c r="AD245" s="296"/>
      <c r="AE245" s="263"/>
      <c r="AF245" s="263"/>
      <c r="AG245" s="297"/>
      <c r="AH245" s="45"/>
      <c r="AI245" s="296"/>
      <c r="AJ245" s="263"/>
      <c r="AK245" s="263"/>
      <c r="AL245" s="297"/>
      <c r="AM245" s="45"/>
      <c r="AN245" s="296"/>
      <c r="AO245" s="263"/>
      <c r="AP245" s="263"/>
      <c r="AQ245" s="297"/>
      <c r="AR245" s="45"/>
      <c r="AS245" s="296"/>
      <c r="AT245" s="263"/>
      <c r="AU245" s="263"/>
      <c r="AV245" s="297"/>
      <c r="AW245" s="45"/>
      <c r="AX245" s="296"/>
      <c r="AY245" s="263"/>
      <c r="AZ245" s="263"/>
      <c r="BA245" s="297"/>
      <c r="BB245" s="45"/>
      <c r="BC245" s="296"/>
      <c r="BD245" s="263"/>
      <c r="BE245" s="263"/>
      <c r="BF245" s="297"/>
      <c r="BG245" s="45"/>
      <c r="BH245" s="296"/>
      <c r="BI245" s="263"/>
      <c r="BJ245" s="263"/>
      <c r="BK245" s="297"/>
      <c r="BL245" s="45"/>
      <c r="BM245" s="296"/>
      <c r="BN245" s="263"/>
      <c r="BO245" s="263"/>
      <c r="BP245" s="297"/>
      <c r="BQ245" s="45"/>
      <c r="BR245" s="45"/>
      <c r="BS245" s="45"/>
      <c r="BT245" s="45"/>
      <c r="BU245" s="45"/>
      <c r="BV245" s="45"/>
      <c r="BW245" s="45"/>
      <c r="BX245" s="45"/>
      <c r="BY245" s="45"/>
      <c r="BZ245" s="45"/>
      <c r="DR245"/>
      <c r="DS245"/>
      <c r="DT245"/>
      <c r="DU245"/>
      <c r="DV245"/>
      <c r="DW245"/>
      <c r="DX245" s="37"/>
    </row>
    <row r="246" spans="2:128" s="28" customFormat="1">
      <c r="C246" s="28" t="s">
        <v>340</v>
      </c>
      <c r="D246" s="45"/>
      <c r="E246" s="290"/>
      <c r="F246" s="260"/>
      <c r="G246" s="260"/>
      <c r="H246" s="291">
        <f>SUM(E46:H46,E150:H151)</f>
        <v>5324</v>
      </c>
      <c r="I246" s="45">
        <f>+H246</f>
        <v>5324</v>
      </c>
      <c r="J246" s="290">
        <f>+SUM(F46:H46,J46,F150:H151,J150:J151)</f>
        <v>5285</v>
      </c>
      <c r="K246" s="260">
        <f>+SUM(G46:H46,J46:K46,G150:H151,J150:K151)</f>
        <v>5364</v>
      </c>
      <c r="L246" s="260">
        <f>+SUM(H46,J46:L46,H150:H151,J150:L151)</f>
        <v>5588</v>
      </c>
      <c r="M246" s="291">
        <f>SUM(J46:M46,J150:M151)</f>
        <v>5632</v>
      </c>
      <c r="N246" s="45">
        <f>+M246</f>
        <v>5632</v>
      </c>
      <c r="O246" s="290">
        <f>+SUM(K46:M46,O46,K150:M151,O150:O151)</f>
        <v>5582</v>
      </c>
      <c r="P246" s="260">
        <f>+SUM(L46:M46,O46:P46,L150:M151,O150:P151)</f>
        <v>5448</v>
      </c>
      <c r="Q246" s="260">
        <f>+SUM(M46,O46:Q46,M150:M151,O150:Q151)</f>
        <v>5240</v>
      </c>
      <c r="R246" s="291">
        <f>SUM(O46:R46,O150:R151)</f>
        <v>5067</v>
      </c>
      <c r="S246" s="45">
        <f>+R246</f>
        <v>5067</v>
      </c>
      <c r="T246" s="290">
        <f>+SUM(P46:R46,T46,P150:R151,T150:T151)</f>
        <v>5036</v>
      </c>
      <c r="U246" s="260">
        <f>+SUM(Q46:R46,T46:U46,Q150:R151,T150:U151)</f>
        <v>5418</v>
      </c>
      <c r="V246" s="260">
        <f>+SUM(R46,T46:V46,R150:R151,T150:V151)</f>
        <v>5759</v>
      </c>
      <c r="W246" s="291">
        <f>SUM(T46:W46,T150:W151)</f>
        <v>6409</v>
      </c>
      <c r="X246" s="45">
        <f>+W246</f>
        <v>6409</v>
      </c>
      <c r="Y246" s="290">
        <f>+SUM(U46:W46,Y46,U150:W151,Y150:Y151)</f>
        <v>6729</v>
      </c>
      <c r="Z246" s="260">
        <f>+SUM(V46:W46,Y46:Z46,V150:W151,Y150:Z151)</f>
        <v>6497</v>
      </c>
      <c r="AA246" s="1441">
        <f>+SUM(W46,Y46:AA46,W150:W151,Y150:AA151)</f>
        <v>6364</v>
      </c>
      <c r="AB246" s="1442">
        <f>SUM(Y46:AB46,Y150:AB151)</f>
        <v>5928</v>
      </c>
      <c r="AC246" s="1443">
        <f>+AB246</f>
        <v>5928</v>
      </c>
      <c r="AD246" s="290">
        <f>+SUM(Z46:AB46,AD46,Z150:AB151,AD150:AD151)</f>
        <v>5747</v>
      </c>
      <c r="AE246" s="260">
        <f>+SUM(AA46:AB46,AD46:AE46,AA150:AB151,AD150:AE151)</f>
        <v>5795</v>
      </c>
      <c r="AF246" s="260">
        <f>+SUM(AB46,AD46:AF46,AB150:AB151,AD150:AF151)</f>
        <v>5863</v>
      </c>
      <c r="AG246" s="291">
        <f>SUM(AD46:AG46,AD150:AG151)</f>
        <v>5936</v>
      </c>
      <c r="AH246" s="45">
        <f>+AG246</f>
        <v>5936</v>
      </c>
      <c r="AI246" s="290">
        <f>+SUM(AE46:AG46,AI46,AE150:AG151,AI150:AI151)</f>
        <v>6061</v>
      </c>
      <c r="AJ246" s="260">
        <f>+SUM(AF46:AG46,AI46:AJ46,AF150:AG151,AI150:AJ151)</f>
        <v>6121</v>
      </c>
      <c r="AK246" s="260">
        <f>+SUM(AG46,AI46:AK46,AG150:AG151,AI150:AK151)</f>
        <v>6244</v>
      </c>
      <c r="AL246" s="291">
        <f>SUM(AI46:AL46,AI150:AL151)</f>
        <v>6214</v>
      </c>
      <c r="AM246" s="45">
        <f>+AL246</f>
        <v>6214</v>
      </c>
      <c r="AN246" s="290">
        <f>+SUM(AJ46:AL46,AN46,AJ150:AL151,AN150:AN151)</f>
        <v>6346</v>
      </c>
      <c r="AO246" s="260">
        <f>+SUM(AK46:AL46,AN46:AO46,AK150:AL151,AN150:AO151)</f>
        <v>6766</v>
      </c>
      <c r="AP246" s="260">
        <f>+SUM(AL46,AN46:AP46,AL150:AL151,AN150:AP151)</f>
        <v>7490</v>
      </c>
      <c r="AQ246" s="291">
        <f>SUM(AN46:AQ46,AN150:AQ151)</f>
        <v>8064</v>
      </c>
      <c r="AR246" s="45">
        <f>+AQ246</f>
        <v>8064</v>
      </c>
      <c r="AS246" s="290">
        <f>+SUM(AO46:AQ46,AS46,AO150:AQ151,AS150:AS151)</f>
        <v>8248</v>
      </c>
      <c r="AT246" s="260">
        <f>+SUM(AP46:AQ46,AS46:AT46,AP150:AQ151,AS150:AT151)</f>
        <v>8137</v>
      </c>
      <c r="AU246" s="260">
        <f>+SUM(AQ46,AS46:AU46,AQ150:AQ151,AS150:AU151)</f>
        <v>7912</v>
      </c>
      <c r="AV246" s="291">
        <f>SUM(AS46:AV46,AS150:AV151)</f>
        <v>7898</v>
      </c>
      <c r="AW246" s="45">
        <f>+AV246</f>
        <v>7898</v>
      </c>
      <c r="AX246" s="290">
        <f>+SUM(AT46:AV46,AX46,AT150:AV151,AX150:AX151)</f>
        <v>8016.4316167832822</v>
      </c>
      <c r="AY246" s="260">
        <f ca="1">+SUM(AU46:AV46,AX46:AY46,AU150:AV151,AX150:AY151)</f>
        <v>7858.7683143188433</v>
      </c>
      <c r="AZ246" s="260">
        <f ca="1">+SUM(AV46,AX46:AZ46,AV150:AV151,AX150:AZ151)</f>
        <v>7685.9497172273568</v>
      </c>
      <c r="BA246" s="291">
        <f ca="1">SUM(AX46:BA46,AX150:BA151)</f>
        <v>7375.7260593837727</v>
      </c>
      <c r="BB246" s="45">
        <f ca="1">+BA246</f>
        <v>7375.7260593837727</v>
      </c>
      <c r="BC246" s="290">
        <f ca="1">+SUM(AY46:BA46,BC46,AY150:BA151,BC150:BC151)</f>
        <v>7478.6299137545375</v>
      </c>
      <c r="BD246" s="260">
        <f ca="1">+SUM(AZ46:BA46,BC46:BD46,AZ150:BA151,BC150:BD151)</f>
        <v>7427.4779340631303</v>
      </c>
      <c r="BE246" s="260">
        <f ca="1">+SUM(BA46,BC46:BE46,BA150:BA151,BC150:BE151)</f>
        <v>7359.0414689134741</v>
      </c>
      <c r="BF246" s="291">
        <f ca="1">SUM(BC46:BF46,BC150:BF151)</f>
        <v>7343.3982148834357</v>
      </c>
      <c r="BG246" s="45">
        <f ca="1">+BF246</f>
        <v>7343.3982148834357</v>
      </c>
      <c r="BH246" s="290">
        <f ca="1">+SUM(BD46:BF46,BH46,BD150:BF151,BH150:BH151)</f>
        <v>7285.0465961364262</v>
      </c>
      <c r="BI246" s="260">
        <f ca="1">+SUM(BE46:BF46,BH46:BI46,BE150:BF151,BH150:BI151)</f>
        <v>7261.6313802573195</v>
      </c>
      <c r="BJ246" s="260">
        <f ca="1">+SUM(BF46,BH46:BJ46,BF150:BF151,BH150:BJ151)</f>
        <v>7265.6252786799432</v>
      </c>
      <c r="BK246" s="291">
        <f ca="1">SUM(BH46:BK46,BH150:BK151)</f>
        <v>7321.2705023651288</v>
      </c>
      <c r="BL246" s="45">
        <f ca="1">+BK246</f>
        <v>7321.2705023651288</v>
      </c>
      <c r="BM246" s="290">
        <f ca="1">+SUM(BI46:BK46,BM46,BI150:BK151,BM150:BM151)</f>
        <v>7276.5439315333379</v>
      </c>
      <c r="BN246" s="260">
        <f ca="1">+SUM(BJ46:BK46,BM46:BN46,BJ150:BK151,BM150:BN151)</f>
        <v>7397.0458860431409</v>
      </c>
      <c r="BO246" s="260">
        <f ca="1">+SUM(BK46,BM46:BO46,BK150:BK151,BM150:BO151)</f>
        <v>7480.0264342717073</v>
      </c>
      <c r="BP246" s="291">
        <f ca="1">SUM(BM46:BP46,BM150:BP151)</f>
        <v>7580.7904156689256</v>
      </c>
      <c r="BQ246" s="45">
        <f ca="1">+BP246</f>
        <v>7580.7904156689256</v>
      </c>
      <c r="BR246" s="45"/>
      <c r="BS246" s="45"/>
      <c r="BT246" s="45"/>
      <c r="BU246" s="45"/>
      <c r="BV246" s="45"/>
      <c r="BW246" s="45"/>
      <c r="BX246" s="45"/>
      <c r="BY246" s="45"/>
      <c r="BZ246" s="45"/>
      <c r="DR246"/>
      <c r="DS246"/>
      <c r="DT246"/>
      <c r="DU246"/>
      <c r="DV246"/>
      <c r="DW246"/>
      <c r="DX246" s="37"/>
    </row>
    <row r="247" spans="2:128" s="28" customFormat="1">
      <c r="C247" s="28" t="s">
        <v>227</v>
      </c>
      <c r="E247" s="345"/>
      <c r="F247" s="346"/>
      <c r="G247" s="346"/>
      <c r="H247" s="291">
        <f>SUM(E32:H32)</f>
        <v>5150</v>
      </c>
      <c r="I247" s="932">
        <f>+H247</f>
        <v>5150</v>
      </c>
      <c r="J247" s="290">
        <f>+SUM(F32:H32,J32)</f>
        <v>5435</v>
      </c>
      <c r="K247" s="260">
        <f>+SUM(G32:H32,J32:K32)</f>
        <v>5064</v>
      </c>
      <c r="L247" s="260">
        <f>+SUM(H32,J32:L32)</f>
        <v>5093</v>
      </c>
      <c r="M247" s="291">
        <f>SUM(J32:M32)</f>
        <v>5038</v>
      </c>
      <c r="N247" s="45">
        <f>+M247</f>
        <v>5038</v>
      </c>
      <c r="O247" s="290">
        <f>+SUM(K32:M32,O32)</f>
        <v>4839</v>
      </c>
      <c r="P247" s="260">
        <f>+SUM(L32:M32,O32:P32)</f>
        <v>5077</v>
      </c>
      <c r="Q247" s="260">
        <f>+SUM(M32,O32:Q32)</f>
        <v>4543</v>
      </c>
      <c r="R247" s="291">
        <f>SUM(O32:R32)</f>
        <v>4678</v>
      </c>
      <c r="S247" s="45">
        <f>+R247</f>
        <v>4678</v>
      </c>
      <c r="T247" s="290">
        <f>+SUM(P32:R32,T32)</f>
        <v>3935</v>
      </c>
      <c r="U247" s="260">
        <f>+SUM(Q32:R32,T32:U32)</f>
        <v>3472</v>
      </c>
      <c r="V247" s="260">
        <f>+SUM(R32,T32:V32)</f>
        <v>3138</v>
      </c>
      <c r="W247" s="291">
        <f>SUM(T32:W32)</f>
        <v>2726</v>
      </c>
      <c r="X247" s="45">
        <f>+W247</f>
        <v>2726</v>
      </c>
      <c r="Y247" s="290">
        <f>+SUM(U32:W32,Y32)</f>
        <v>2853</v>
      </c>
      <c r="Z247" s="260">
        <f>+SUM(V32:W32,Y32:Z32)</f>
        <v>3170</v>
      </c>
      <c r="AA247" s="1441">
        <f>+SUM(W32,Y32:AA32)</f>
        <v>3875</v>
      </c>
      <c r="AB247" s="1442">
        <f>SUM(Y32:AB32)</f>
        <v>4129</v>
      </c>
      <c r="AC247" s="1443">
        <f>+AB247</f>
        <v>4129</v>
      </c>
      <c r="AD247" s="290">
        <f>+SUM(Z32:AB32,AD32)</f>
        <v>3715</v>
      </c>
      <c r="AE247" s="260">
        <f>+SUM(AA32:AB32,AD32:AE32)</f>
        <v>3799</v>
      </c>
      <c r="AF247" s="260">
        <f>+SUM(AB32,AD32:AF32)</f>
        <v>4144</v>
      </c>
      <c r="AG247" s="291">
        <f>SUM(AD32:AG32)</f>
        <v>3551</v>
      </c>
      <c r="AH247" s="45">
        <f>+AG247</f>
        <v>3551</v>
      </c>
      <c r="AI247" s="290">
        <f>+SUM(AE32:AG32,AI32)</f>
        <v>4731</v>
      </c>
      <c r="AJ247" s="260">
        <f>+SUM(AF32:AG32,AI32:AJ32)</f>
        <v>4774</v>
      </c>
      <c r="AK247" s="260">
        <f>+SUM(AG32,AI32:AK32)</f>
        <v>3975</v>
      </c>
      <c r="AL247" s="291">
        <f>SUM(AI32:AL32)</f>
        <v>4356</v>
      </c>
      <c r="AM247" s="45">
        <f>+AL247</f>
        <v>4356</v>
      </c>
      <c r="AN247" s="290">
        <f>+SUM(AJ32:AL32,AN32)</f>
        <v>3504</v>
      </c>
      <c r="AO247" s="260">
        <f>+SUM(AK32:AL32,AN32:AO32)</f>
        <v>3173</v>
      </c>
      <c r="AP247" s="260">
        <f>+SUM(AL32,AN32:AP32)</f>
        <v>3600</v>
      </c>
      <c r="AQ247" s="291">
        <f>SUM(AN32:AQ32)</f>
        <v>3501</v>
      </c>
      <c r="AR247" s="45">
        <f>+AQ247</f>
        <v>3501</v>
      </c>
      <c r="AS247" s="290">
        <f>+SUM(AO32:AQ32,AS32)</f>
        <v>4476</v>
      </c>
      <c r="AT247" s="260">
        <f>+SUM(AP32:AQ32,AS32:AT32)</f>
        <v>4120</v>
      </c>
      <c r="AU247" s="260">
        <f>+SUM(AQ32,AS32:AU32)</f>
        <v>4443</v>
      </c>
      <c r="AV247" s="291">
        <f>SUM(AS32:AV32)</f>
        <v>5284</v>
      </c>
      <c r="AW247" s="45">
        <f>+AV247</f>
        <v>5284</v>
      </c>
      <c r="AX247" s="290">
        <f>+SUM(AT32:AV32,AX32)</f>
        <v>5165.8507264083983</v>
      </c>
      <c r="AY247" s="260">
        <f>+SUM(AU32:AV32,AX32:AY32)</f>
        <v>5842.3257440322268</v>
      </c>
      <c r="AZ247" s="260">
        <f>+SUM(AV32,AX32:AZ32)</f>
        <v>5726.2724380651143</v>
      </c>
      <c r="BA247" s="291">
        <f ca="1">SUM(AX32:BA32)</f>
        <v>5158.1132197954685</v>
      </c>
      <c r="BB247" s="45">
        <f ca="1">+BA247</f>
        <v>5158.1132197954685</v>
      </c>
      <c r="BC247" s="290">
        <f ca="1">+SUM(AY32:BA32,BC32)</f>
        <v>5314.1333154600425</v>
      </c>
      <c r="BD247" s="260">
        <f ca="1">+SUM(AZ32:BA32,BC32:BD32)</f>
        <v>5229.8413542554626</v>
      </c>
      <c r="BE247" s="260">
        <f ca="1">+SUM(BA32,BC32:BE32)</f>
        <v>5135.7911379972602</v>
      </c>
      <c r="BF247" s="291">
        <f ca="1">SUM(BC32:BF32)</f>
        <v>5072.1488012436512</v>
      </c>
      <c r="BG247" s="45">
        <f ca="1">+BF247</f>
        <v>5072.1488012436512</v>
      </c>
      <c r="BH247" s="290">
        <f ca="1">+SUM(BD32:BF32,BH32)</f>
        <v>4987.2293783315426</v>
      </c>
      <c r="BI247" s="260">
        <f ca="1">+SUM(BE32:BF32,BH32:BI32)</f>
        <v>4937.6322002229481</v>
      </c>
      <c r="BJ247" s="260">
        <f ca="1">+SUM(BF32,BH32:BJ32)</f>
        <v>4982.1362600991379</v>
      </c>
      <c r="BK247" s="291">
        <f ca="1">SUM(BH32:BK32)</f>
        <v>5068.7285571148204</v>
      </c>
      <c r="BL247" s="45">
        <f ca="1">+BK247</f>
        <v>5068.7285571148204</v>
      </c>
      <c r="BM247" s="290">
        <f ca="1">+SUM(BI32:BK32,BM32)</f>
        <v>4967.7306700568824</v>
      </c>
      <c r="BN247" s="260">
        <f ca="1">+SUM(BJ32:BK32,BM32:BN32)</f>
        <v>5111.0087891788298</v>
      </c>
      <c r="BO247" s="260">
        <f ca="1">+SUM(BK32,BM32:BO32)</f>
        <v>5214.6231047603787</v>
      </c>
      <c r="BP247" s="291">
        <f ca="1">SUM(BM32:BP32)</f>
        <v>5338.6123521806976</v>
      </c>
      <c r="BQ247" s="45">
        <f ca="1">+BP247</f>
        <v>5338.6123521806976</v>
      </c>
      <c r="BR247" s="45"/>
      <c r="BS247" s="45"/>
      <c r="BT247" s="45"/>
      <c r="BU247" s="45"/>
      <c r="BV247" s="45"/>
      <c r="BW247" s="45"/>
      <c r="BX247" s="45"/>
      <c r="BY247" s="45"/>
      <c r="BZ247" s="45"/>
      <c r="DR247"/>
      <c r="DS247"/>
      <c r="DT247"/>
      <c r="DU247"/>
      <c r="DV247"/>
      <c r="DW247"/>
      <c r="DX247" s="37"/>
    </row>
    <row r="248" spans="2:128" s="28" customFormat="1">
      <c r="C248" s="28" t="s">
        <v>228</v>
      </c>
      <c r="E248" s="345"/>
      <c r="F248" s="346"/>
      <c r="G248" s="346"/>
      <c r="H248" s="291">
        <f>SUM(E33:H33)</f>
        <v>6984</v>
      </c>
      <c r="I248" s="932">
        <f>+H248</f>
        <v>6984</v>
      </c>
      <c r="J248" s="290">
        <f>+SUM(F33:H33,J33)</f>
        <v>7347</v>
      </c>
      <c r="K248" s="260">
        <f>+SUM(G33:H33,J33:K33)</f>
        <v>7056</v>
      </c>
      <c r="L248" s="260">
        <f>+SUM(H33,J33:L33)</f>
        <v>7178</v>
      </c>
      <c r="M248" s="291">
        <f>SUM(J33:M33)</f>
        <v>7113</v>
      </c>
      <c r="N248" s="45">
        <f>+M248</f>
        <v>7113</v>
      </c>
      <c r="O248" s="290">
        <f>+SUM(K33:M33,O33)</f>
        <v>6727</v>
      </c>
      <c r="P248" s="260">
        <f>+SUM(L33:M33,O33:P33)</f>
        <v>6775</v>
      </c>
      <c r="Q248" s="260">
        <f>+SUM(M33,O33:Q33)</f>
        <v>5995</v>
      </c>
      <c r="R248" s="291">
        <f>SUM(O33:R33)</f>
        <v>6013</v>
      </c>
      <c r="S248" s="45">
        <f>+R248</f>
        <v>6013</v>
      </c>
      <c r="T248" s="290">
        <f>+SUM(P33:R33,T33)</f>
        <v>5325</v>
      </c>
      <c r="U248" s="260">
        <f>+SUM(Q33:R33,T33:U33)</f>
        <v>5027</v>
      </c>
      <c r="V248" s="260">
        <f>+SUM(R33,T33:V33)</f>
        <v>4861</v>
      </c>
      <c r="W248" s="291">
        <f>SUM(T33:W33)</f>
        <v>4607</v>
      </c>
      <c r="X248" s="45">
        <f>+W248</f>
        <v>4607</v>
      </c>
      <c r="Y248" s="290">
        <f>+SUM(U33:W33,Y33)</f>
        <v>4895</v>
      </c>
      <c r="Z248" s="260">
        <f>+SUM(V33:W33,Y33:Z33)</f>
        <v>5251</v>
      </c>
      <c r="AA248" s="1441">
        <f>+SUM(W33,Y33:AA33)</f>
        <v>5986</v>
      </c>
      <c r="AB248" s="1442">
        <f>SUM(Y33:AB33)</f>
        <v>6282</v>
      </c>
      <c r="AC248" s="1443">
        <f>+AB248</f>
        <v>6282</v>
      </c>
      <c r="AD248" s="290">
        <f>+SUM(Z33:AB33,AD33)</f>
        <v>5889</v>
      </c>
      <c r="AE248" s="260">
        <f>+SUM(AA33:AB33,AD33:AE33)</f>
        <v>6030</v>
      </c>
      <c r="AF248" s="260">
        <f>+SUM(AB33,AD33:AF33)</f>
        <v>6422</v>
      </c>
      <c r="AG248" s="291">
        <f>SUM(AD33:AG33)</f>
        <v>5865</v>
      </c>
      <c r="AH248" s="45">
        <f>+AG248</f>
        <v>5865</v>
      </c>
      <c r="AI248" s="290">
        <f>+SUM(AE33:AG33,AI33)</f>
        <v>7091</v>
      </c>
      <c r="AJ248" s="260">
        <f>+SUM(AF33:AG33,AI33:AJ33)</f>
        <v>7146</v>
      </c>
      <c r="AK248" s="260">
        <f>+SUM(AG33,AI33:AK33)</f>
        <v>6376</v>
      </c>
      <c r="AL248" s="291">
        <f>SUM(AI33:AL33)</f>
        <v>6806</v>
      </c>
      <c r="AM248" s="45">
        <f>+AL248</f>
        <v>6806</v>
      </c>
      <c r="AN248" s="290">
        <f>+SUM(AJ33:AL33,AN33)</f>
        <v>6029</v>
      </c>
      <c r="AO248" s="260">
        <f>+SUM(AK33:AL33,AN33:AO33)</f>
        <v>6037</v>
      </c>
      <c r="AP248" s="260">
        <f>+SUM(AL33,AN33:AP33)</f>
        <v>7053</v>
      </c>
      <c r="AQ248" s="291">
        <f>SUM(AN33:AQ33)</f>
        <v>7437</v>
      </c>
      <c r="AR248" s="45">
        <f>+AQ248</f>
        <v>7437</v>
      </c>
      <c r="AS248" s="290">
        <f>+SUM(AO33:AQ33,AS33)</f>
        <v>8623</v>
      </c>
      <c r="AT248" s="260">
        <f>+SUM(AP33:AQ33,AS33:AT33)</f>
        <v>8241</v>
      </c>
      <c r="AU248" s="260">
        <f>+SUM(AQ33,AS33:AU33)</f>
        <v>8371</v>
      </c>
      <c r="AV248" s="291">
        <f>SUM(AS33:AV33)</f>
        <v>9112</v>
      </c>
      <c r="AW248" s="45">
        <f>+AV248</f>
        <v>9112</v>
      </c>
      <c r="AX248" s="290">
        <f>+SUM(AT33:AV33,AX33)</f>
        <v>8960.4233152808174</v>
      </c>
      <c r="AY248" s="260">
        <f>+SUM(AU33:AV33,AX33:AY33)</f>
        <v>9579.0828828023605</v>
      </c>
      <c r="AZ248" s="260">
        <f>+SUM(AV33,AX33:AZ33)</f>
        <v>9322.2990497976025</v>
      </c>
      <c r="BA248" s="291">
        <f ca="1">SUM(AX33:BA33)</f>
        <v>8628.3805276263338</v>
      </c>
      <c r="BB248" s="45">
        <f ca="1">+BA248</f>
        <v>8628.3805276263338</v>
      </c>
      <c r="BC248" s="290">
        <f ca="1">+SUM(AY33:BA33,BC33)</f>
        <v>8826.4167038090436</v>
      </c>
      <c r="BD248" s="260">
        <f ca="1">+SUM(AZ33:BA33,BC33:BD33)</f>
        <v>8786.0690403129738</v>
      </c>
      <c r="BE248" s="260">
        <f ca="1">+SUM(BA33,BC33:BE33)</f>
        <v>8733.303789291258</v>
      </c>
      <c r="BF248" s="291">
        <f ca="1">SUM(BC33:BF33)</f>
        <v>8708.3204668366743</v>
      </c>
      <c r="BG248" s="45">
        <f ca="1">+BF248</f>
        <v>8708.3204668366743</v>
      </c>
      <c r="BH248" s="290">
        <f ca="1">+SUM(BD33:BF33,BH33)</f>
        <v>8656.4779326732678</v>
      </c>
      <c r="BI248" s="260">
        <f ca="1">+SUM(BE33:BF33,BH33:BI33)</f>
        <v>8636.0226263398508</v>
      </c>
      <c r="BJ248" s="260">
        <f ca="1">+SUM(BF33,BH33:BJ33)</f>
        <v>8709.9129529853744</v>
      </c>
      <c r="BK248" s="291">
        <f ca="1">SUM(BH33:BK33)</f>
        <v>8826.1308043532299</v>
      </c>
      <c r="BL248" s="45">
        <f ca="1">+BK248</f>
        <v>8826.1308043532299</v>
      </c>
      <c r="BM248" s="290">
        <f ca="1">+SUM(BI33:BK33,BM33)</f>
        <v>8749.492739910791</v>
      </c>
      <c r="BN248" s="260">
        <f ca="1">+SUM(BJ33:BK33,BM33:BN33)</f>
        <v>8917.9017360161215</v>
      </c>
      <c r="BO248" s="260">
        <f ca="1">+SUM(BK33,BM33:BO33)</f>
        <v>9046.2028685578916</v>
      </c>
      <c r="BP248" s="291">
        <f ca="1">SUM(BM33:BP33)</f>
        <v>9194.4383966179957</v>
      </c>
      <c r="BQ248" s="45">
        <f ca="1">+BP248</f>
        <v>9194.4383966179957</v>
      </c>
      <c r="BR248" s="45"/>
      <c r="BS248" s="45"/>
      <c r="BT248" s="45"/>
      <c r="BU248" s="45"/>
      <c r="BV248" s="45"/>
      <c r="BW248" s="45"/>
      <c r="BX248" s="45"/>
      <c r="BY248" s="45"/>
      <c r="BZ248" s="45"/>
      <c r="DR248"/>
      <c r="DS248"/>
      <c r="DT248"/>
      <c r="DU248"/>
      <c r="DV248"/>
      <c r="DW248"/>
      <c r="DX248" s="37"/>
    </row>
    <row r="249" spans="2:128" s="28" customFormat="1">
      <c r="C249" s="28" t="s">
        <v>226</v>
      </c>
      <c r="E249" s="345"/>
      <c r="F249" s="346"/>
      <c r="G249" s="346"/>
      <c r="H249" s="291">
        <f>SUM(E35:H35)</f>
        <v>731</v>
      </c>
      <c r="I249" s="932">
        <f>+H249</f>
        <v>731</v>
      </c>
      <c r="J249" s="290">
        <f>SUM(F35:H35,J35)</f>
        <v>727</v>
      </c>
      <c r="K249" s="260">
        <f>SUM(G35:H35,J35:K35)</f>
        <v>822</v>
      </c>
      <c r="L249" s="260">
        <f>SUM(H35,J35:L35)</f>
        <v>809</v>
      </c>
      <c r="M249" s="291">
        <f>SUM(J35:M35)</f>
        <v>817</v>
      </c>
      <c r="N249" s="45">
        <f>+M249</f>
        <v>817</v>
      </c>
      <c r="O249" s="290">
        <f>SUM(K35:M35,O35)</f>
        <v>815</v>
      </c>
      <c r="P249" s="260">
        <f>SUM(L35:M35,O35:P35)</f>
        <v>722</v>
      </c>
      <c r="Q249" s="260">
        <f>SUM(M35,O35:Q35)</f>
        <v>729</v>
      </c>
      <c r="R249" s="291">
        <f>SUM(O35:R35)</f>
        <v>726</v>
      </c>
      <c r="S249" s="45">
        <f>+R249</f>
        <v>726</v>
      </c>
      <c r="T249" s="290">
        <f>SUM(P35:R35,T35)</f>
        <v>740</v>
      </c>
      <c r="U249" s="260">
        <f>SUM(Q35:R35,T35:U35)</f>
        <v>814</v>
      </c>
      <c r="V249" s="260">
        <f>SUM(R35,T35:V35)</f>
        <v>878</v>
      </c>
      <c r="W249" s="291">
        <f>SUM(T35:W35)</f>
        <v>928</v>
      </c>
      <c r="X249" s="45">
        <f>+W249</f>
        <v>928</v>
      </c>
      <c r="Y249" s="290">
        <f>SUM(U35:W35,Y35)</f>
        <v>1356</v>
      </c>
      <c r="Z249" s="260">
        <f>SUM(V35:W35,Y35:Z35)</f>
        <v>1352</v>
      </c>
      <c r="AA249" s="1441">
        <f>SUM(W35,Y35:AA35)</f>
        <v>1340</v>
      </c>
      <c r="AB249" s="1442">
        <f>SUM(Y35:AB35)</f>
        <v>1356</v>
      </c>
      <c r="AC249" s="1443">
        <f>+AB249</f>
        <v>1356</v>
      </c>
      <c r="AD249" s="290">
        <f>SUM(Z35:AB35,AD35)</f>
        <v>960</v>
      </c>
      <c r="AE249" s="260">
        <f>SUM(AA35:AB35,AD35:AE35)</f>
        <v>946</v>
      </c>
      <c r="AF249" s="260">
        <f>SUM(AB35,AD35:AF35)</f>
        <v>970</v>
      </c>
      <c r="AG249" s="291">
        <f>SUM(AD35:AG35)</f>
        <v>1065</v>
      </c>
      <c r="AH249" s="45">
        <f>+AG249</f>
        <v>1065</v>
      </c>
      <c r="AI249" s="290">
        <f>SUM(AE35:AG35,AI35)</f>
        <v>1183</v>
      </c>
      <c r="AJ249" s="260">
        <f>SUM(AF35:AG35,AI35:AJ35)</f>
        <v>1100</v>
      </c>
      <c r="AK249" s="260">
        <f>SUM(AG35,AI35:AK35)</f>
        <v>1095</v>
      </c>
      <c r="AL249" s="291">
        <f>SUM(AI35:AL35)</f>
        <v>1033</v>
      </c>
      <c r="AM249" s="45">
        <f>+AL249</f>
        <v>1033</v>
      </c>
      <c r="AN249" s="290">
        <f>SUM(AJ35:AL35,AN35)</f>
        <v>975</v>
      </c>
      <c r="AO249" s="260">
        <f>SUM(AK35:AL35,AN35:AO35)</f>
        <v>1196</v>
      </c>
      <c r="AP249" s="260">
        <f>SUM(AL35,AN35:AP35)</f>
        <v>1459</v>
      </c>
      <c r="AQ249" s="291">
        <f>SUM(AN35:AQ35)</f>
        <v>1536</v>
      </c>
      <c r="AR249" s="45">
        <f>+AQ249</f>
        <v>1536</v>
      </c>
      <c r="AS249" s="290">
        <f>SUM(AO35:AQ35,AS35)</f>
        <v>1622</v>
      </c>
      <c r="AT249" s="260">
        <f>SUM(AP35:AQ35,AS35:AT35)</f>
        <v>1682</v>
      </c>
      <c r="AU249" s="260">
        <f>SUM(AQ35,AS35:AU35)</f>
        <v>1552</v>
      </c>
      <c r="AV249" s="291">
        <f>SUM(AS35:AV35)</f>
        <v>1560</v>
      </c>
      <c r="AW249" s="45">
        <f>+AV249</f>
        <v>1560</v>
      </c>
      <c r="AX249" s="290">
        <f>SUM(AT35:AV35,AX35)</f>
        <v>1533.8996194243421</v>
      </c>
      <c r="AY249" s="260">
        <f>SUM(AU35:AV35,AX35:AY35)</f>
        <v>1506.6730929097741</v>
      </c>
      <c r="AZ249" s="260">
        <f ca="1">SUM(AV35,AX35:AZ35)</f>
        <v>1526.9464829595588</v>
      </c>
      <c r="BA249" s="291">
        <f ca="1">SUM(AX35:BA35)</f>
        <v>1541.3305054042969</v>
      </c>
      <c r="BB249" s="45">
        <f ca="1">+BA249</f>
        <v>1541.3305054042969</v>
      </c>
      <c r="BC249" s="290">
        <f ca="1">SUM(AY35:BA35,BC35)</f>
        <v>1557.0991663121918</v>
      </c>
      <c r="BD249" s="260">
        <f ca="1">SUM(AZ35:BA35,BC35:BD35)</f>
        <v>1580.7563505007181</v>
      </c>
      <c r="BE249" s="260">
        <f ca="1">SUM(BA35,BC35:BE35)</f>
        <v>1597.9302250281041</v>
      </c>
      <c r="BF249" s="291">
        <f ca="1">SUM(BC35:BF35)</f>
        <v>1602.7041694446416</v>
      </c>
      <c r="BG249" s="45">
        <f ca="1">+BF249</f>
        <v>1602.7041694446416</v>
      </c>
      <c r="BH249" s="290">
        <f ca="1">SUM(BD35:BF35,BH35)</f>
        <v>1603.2209765537664</v>
      </c>
      <c r="BI249" s="260">
        <f ca="1">SUM(BE35:BF35,BH35:BI35)</f>
        <v>1603.6792788453552</v>
      </c>
      <c r="BJ249" s="260">
        <f ca="1">SUM(BF35,BH35:BJ35)</f>
        <v>1630.1290373041293</v>
      </c>
      <c r="BK249" s="291">
        <f ca="1">SUM(BH35:BK35)</f>
        <v>1640.3054347492928</v>
      </c>
      <c r="BL249" s="45">
        <f ca="1">+BK249</f>
        <v>1640.3054347492928</v>
      </c>
      <c r="BM249" s="290">
        <f ca="1">SUM(BI35:BK35,BM35)</f>
        <v>1649.0351806526592</v>
      </c>
      <c r="BN249" s="260">
        <f ca="1">SUM(BJ35:BK35,BM35:BN35)</f>
        <v>1651.2480402582592</v>
      </c>
      <c r="BO249" s="260">
        <f ca="1">SUM(BK35,BM35:BO35)</f>
        <v>1676.8841879119193</v>
      </c>
      <c r="BP249" s="291">
        <f ca="1">SUM(BM35:BP35)</f>
        <v>1689.8002969663694</v>
      </c>
      <c r="BQ249" s="45">
        <f ca="1">+BP249</f>
        <v>1689.8002969663694</v>
      </c>
      <c r="BR249" s="45"/>
      <c r="BS249" s="45"/>
      <c r="BT249" s="45"/>
      <c r="BU249" s="45"/>
      <c r="BV249" s="45"/>
      <c r="BW249" s="45"/>
      <c r="BX249" s="45"/>
      <c r="BY249" s="45"/>
      <c r="BZ249" s="45"/>
      <c r="DR249"/>
      <c r="DS249"/>
      <c r="DT249"/>
      <c r="DU249"/>
      <c r="DV249"/>
      <c r="DW249"/>
      <c r="DX249" s="37"/>
    </row>
    <row r="250" spans="2:128" s="28" customFormat="1">
      <c r="C250" s="28" t="s">
        <v>231</v>
      </c>
      <c r="E250" s="345"/>
      <c r="F250" s="346"/>
      <c r="G250" s="346"/>
      <c r="H250" s="291">
        <f>SUM(E46:H46)</f>
        <v>2723</v>
      </c>
      <c r="I250" s="932">
        <f>+H250</f>
        <v>2723</v>
      </c>
      <c r="J250" s="290">
        <f>SUM(F46:H46,J46)</f>
        <v>2588</v>
      </c>
      <c r="K250" s="260">
        <f>SUM(G46:H46,J46:K46)</f>
        <v>2561</v>
      </c>
      <c r="L250" s="260">
        <f>SUM(H46,J46:L46)</f>
        <v>2667</v>
      </c>
      <c r="M250" s="291">
        <f>SUM(J46:M46)</f>
        <v>2689</v>
      </c>
      <c r="N250" s="45">
        <f>+M250</f>
        <v>2689</v>
      </c>
      <c r="O250" s="290">
        <f>SUM(K46:M46,O46)</f>
        <v>2805</v>
      </c>
      <c r="P250" s="260">
        <f>SUM(L46:M46,O46:P46)</f>
        <v>2846</v>
      </c>
      <c r="Q250" s="260">
        <f>SUM(M46,O46:Q46)</f>
        <v>2850</v>
      </c>
      <c r="R250" s="291">
        <f>SUM(O46:R46)</f>
        <v>2763</v>
      </c>
      <c r="S250" s="45">
        <f>+R250</f>
        <v>2763</v>
      </c>
      <c r="T250" s="290">
        <f>SUM(P46:R46,T46)</f>
        <v>2508</v>
      </c>
      <c r="U250" s="260">
        <f>SUM(Q46:R46,T46:U46)</f>
        <v>2333</v>
      </c>
      <c r="V250" s="260">
        <f>SUM(R46,T46:V46)</f>
        <v>2248</v>
      </c>
      <c r="W250" s="291">
        <f>SUM(T46:W46)</f>
        <v>2330</v>
      </c>
      <c r="X250" s="45">
        <f>+W250</f>
        <v>2330</v>
      </c>
      <c r="Y250" s="290">
        <f>SUM(U46:W46,Y46)</f>
        <v>2409</v>
      </c>
      <c r="Z250" s="260">
        <f>SUM(V46:W46,Y46:Z46)</f>
        <v>2341</v>
      </c>
      <c r="AA250" s="1441">
        <f>SUM(W46,Y46:AA46)</f>
        <v>2350</v>
      </c>
      <c r="AB250" s="1442">
        <f>SUM(Y46:AB46)</f>
        <v>2149</v>
      </c>
      <c r="AC250" s="1443">
        <f>+AB250</f>
        <v>2149</v>
      </c>
      <c r="AD250" s="290">
        <f>SUM(Z46:AB46,AD46)</f>
        <v>2077</v>
      </c>
      <c r="AE250" s="260">
        <f>SUM(AA46:AB46,AD46:AE46)</f>
        <v>2063</v>
      </c>
      <c r="AF250" s="260">
        <f>SUM(AB46,AD46:AF46)</f>
        <v>2072</v>
      </c>
      <c r="AG250" s="291">
        <f>SUM(AD46:AG46)</f>
        <v>2068</v>
      </c>
      <c r="AH250" s="45">
        <f>+AG250</f>
        <v>2068</v>
      </c>
      <c r="AI250" s="290">
        <f>SUM(AE46:AG46,AI46)</f>
        <v>2153</v>
      </c>
      <c r="AJ250" s="260">
        <f>SUM(AF46:AG46,AI46:AJ46)</f>
        <v>2221</v>
      </c>
      <c r="AK250" s="260">
        <f>SUM(AG46,AI46:AK46)</f>
        <v>2302</v>
      </c>
      <c r="AL250" s="291">
        <f>SUM(AI46:AL46)</f>
        <v>2227</v>
      </c>
      <c r="AM250" s="45">
        <f>+AL250</f>
        <v>2227</v>
      </c>
      <c r="AN250" s="290">
        <f>SUM(AJ46:AL46,AN46)</f>
        <v>2244</v>
      </c>
      <c r="AO250" s="260">
        <f>SUM(AK46:AL46,AN46:AO46)</f>
        <v>2340</v>
      </c>
      <c r="AP250" s="260">
        <f>SUM(AL46,AN46:AP46)</f>
        <v>2424</v>
      </c>
      <c r="AQ250" s="291">
        <f>SUM(AN46:AQ46)</f>
        <v>2488</v>
      </c>
      <c r="AR250" s="45">
        <f>+AQ250</f>
        <v>2488</v>
      </c>
      <c r="AS250" s="290">
        <f>SUM(AO46:AQ46,AS46)</f>
        <v>2461</v>
      </c>
      <c r="AT250" s="260">
        <f>SUM(AP46:AQ46,AS46:AT46)</f>
        <v>2366</v>
      </c>
      <c r="AU250" s="260">
        <f>SUM(AQ46,AS46:AU46)</f>
        <v>2346</v>
      </c>
      <c r="AV250" s="291">
        <f>SUM(AS46:AV46)</f>
        <v>2471</v>
      </c>
      <c r="AW250" s="45">
        <f>+AV250</f>
        <v>2471</v>
      </c>
      <c r="AX250" s="290">
        <f>SUM(AT46:AV46,AX46)</f>
        <v>2763.3590279108621</v>
      </c>
      <c r="AY250" s="260">
        <f ca="1">SUM(AU46:AV46,AX46:AY46)</f>
        <v>2828.0111755487096</v>
      </c>
      <c r="AZ250" s="260">
        <f ca="1">SUM(AV46,AX46:AZ46)</f>
        <v>2964.4231054948687</v>
      </c>
      <c r="BA250" s="291">
        <f ca="1">SUM(AX46:BA46)</f>
        <v>2955.4587515529074</v>
      </c>
      <c r="BB250" s="45">
        <f ca="1">+BA250</f>
        <v>2955.4587515529074</v>
      </c>
      <c r="BC250" s="290">
        <f ca="1">SUM(AY46:BA46,BC46)</f>
        <v>3028.8465254055372</v>
      </c>
      <c r="BD250" s="260">
        <f ca="1">SUM(AZ46:BA46,BC46:BD46)</f>
        <v>2946.2502480056214</v>
      </c>
      <c r="BE250" s="260">
        <f ca="1">SUM(BA46,BC46:BE46)</f>
        <v>2849.0288176194749</v>
      </c>
      <c r="BF250" s="291">
        <f ca="1">SUM(BC46:BF46)</f>
        <v>2807.2265492904135</v>
      </c>
      <c r="BG250" s="45">
        <f ca="1">+BF250</f>
        <v>2807.2265492904135</v>
      </c>
      <c r="BH250" s="290">
        <f ca="1">SUM(BD46:BF46,BH46)</f>
        <v>2734.5480417947006</v>
      </c>
      <c r="BI250" s="260">
        <f ca="1">SUM(BE46:BF46,BH46:BI46)</f>
        <v>2700.7409541404172</v>
      </c>
      <c r="BJ250" s="260">
        <f ca="1">SUM(BF46,BH46:BJ46)</f>
        <v>2694.0985857937058</v>
      </c>
      <c r="BK250" s="291">
        <f ca="1">SUM(BH46:BK46)</f>
        <v>2738.8682551267193</v>
      </c>
      <c r="BL250" s="45">
        <f ca="1">+BK250</f>
        <v>2738.8682551267193</v>
      </c>
      <c r="BM250" s="290">
        <f ca="1">SUM(BI46:BK46,BM46)</f>
        <v>2676.0318616794279</v>
      </c>
      <c r="BN250" s="260">
        <f ca="1">SUM(BJ46:BK46,BM46:BN46)</f>
        <v>2777.6529392058501</v>
      </c>
      <c r="BO250" s="260">
        <f ca="1">SUM(BK46,BM46:BO46)</f>
        <v>2842.1966704741949</v>
      </c>
      <c r="BP250" s="291">
        <f ca="1">SUM(BM46:BP46)</f>
        <v>2924.9643712316283</v>
      </c>
      <c r="BQ250" s="45">
        <f ca="1">+BP250</f>
        <v>2924.9643712316283</v>
      </c>
      <c r="BR250" s="45"/>
      <c r="BS250" s="45"/>
      <c r="BT250" s="45"/>
      <c r="BU250" s="45"/>
      <c r="BV250" s="45"/>
      <c r="BW250" s="45"/>
      <c r="BX250" s="45"/>
      <c r="BY250" s="45"/>
      <c r="BZ250" s="45"/>
      <c r="DR250"/>
      <c r="DS250"/>
      <c r="DT250"/>
      <c r="DU250"/>
      <c r="DV250"/>
      <c r="DW250"/>
      <c r="DX250" s="37"/>
    </row>
    <row r="251" spans="2:128" s="28" customFormat="1">
      <c r="E251" s="305"/>
      <c r="F251" s="36"/>
      <c r="G251" s="36"/>
      <c r="H251" s="685"/>
      <c r="I251" s="564"/>
      <c r="J251" s="305"/>
      <c r="K251" s="36"/>
      <c r="L251" s="36"/>
      <c r="M251" s="685"/>
      <c r="O251" s="305"/>
      <c r="P251" s="36"/>
      <c r="Q251" s="36"/>
      <c r="R251" s="685"/>
      <c r="T251" s="305"/>
      <c r="U251" s="36"/>
      <c r="V251" s="36"/>
      <c r="W251" s="685"/>
      <c r="Y251" s="305"/>
      <c r="Z251" s="36"/>
      <c r="AA251" s="36"/>
      <c r="AB251" s="685"/>
      <c r="AD251" s="305"/>
      <c r="AE251" s="36"/>
      <c r="AF251" s="36"/>
      <c r="AG251" s="685"/>
      <c r="AI251" s="305"/>
      <c r="AJ251" s="36"/>
      <c r="AK251" s="36"/>
      <c r="AL251" s="685"/>
      <c r="AN251" s="305"/>
      <c r="AO251" s="36"/>
      <c r="AP251" s="36"/>
      <c r="AQ251" s="685"/>
      <c r="AS251" s="305"/>
      <c r="AT251" s="36"/>
      <c r="AU251" s="36"/>
      <c r="AV251" s="685"/>
      <c r="AX251" s="305"/>
      <c r="AY251" s="36"/>
      <c r="AZ251" s="36"/>
      <c r="BA251" s="685"/>
      <c r="BC251" s="305"/>
      <c r="BD251" s="36"/>
      <c r="BE251" s="36"/>
      <c r="BF251" s="685"/>
      <c r="BH251" s="305"/>
      <c r="BI251" s="36"/>
      <c r="BJ251" s="36"/>
      <c r="BK251" s="685"/>
      <c r="BM251" s="305"/>
      <c r="BN251" s="36"/>
      <c r="BO251" s="36"/>
      <c r="BP251" s="685"/>
      <c r="BT251" s="45"/>
      <c r="DR251"/>
      <c r="DS251"/>
      <c r="DT251"/>
      <c r="DU251"/>
      <c r="DV251"/>
      <c r="DW251"/>
      <c r="DX251" s="37"/>
    </row>
    <row r="252" spans="2:128" s="28" customFormat="1">
      <c r="C252" s="32" t="s">
        <v>374</v>
      </c>
      <c r="E252" s="305"/>
      <c r="F252" s="36"/>
      <c r="G252" s="36"/>
      <c r="H252" s="685"/>
      <c r="I252" s="564"/>
      <c r="J252" s="305"/>
      <c r="K252" s="36"/>
      <c r="L252" s="36"/>
      <c r="M252" s="685"/>
      <c r="O252" s="305"/>
      <c r="P252" s="36"/>
      <c r="Q252" s="36"/>
      <c r="R252" s="685"/>
      <c r="T252" s="305"/>
      <c r="U252" s="36"/>
      <c r="V252" s="36"/>
      <c r="W252" s="685"/>
      <c r="Y252" s="305"/>
      <c r="Z252" s="36"/>
      <c r="AA252" s="36"/>
      <c r="AB252" s="685"/>
      <c r="AD252" s="305"/>
      <c r="AE252" s="36"/>
      <c r="AF252" s="36"/>
      <c r="AG252" s="685"/>
      <c r="AI252" s="305"/>
      <c r="AJ252" s="36"/>
      <c r="AK252" s="36"/>
      <c r="AL252" s="685"/>
      <c r="AN252" s="305"/>
      <c r="AO252" s="36"/>
      <c r="AP252" s="36"/>
      <c r="AQ252" s="685"/>
      <c r="AS252" s="305"/>
      <c r="AT252" s="36"/>
      <c r="AU252" s="36"/>
      <c r="AV252" s="685"/>
      <c r="AX252" s="305"/>
      <c r="AY252" s="36"/>
      <c r="AZ252" s="36"/>
      <c r="BA252" s="685"/>
      <c r="BC252" s="305"/>
      <c r="BD252" s="36"/>
      <c r="BE252" s="36"/>
      <c r="BF252" s="685"/>
      <c r="BH252" s="305"/>
      <c r="BI252" s="36"/>
      <c r="BJ252" s="36"/>
      <c r="BK252" s="685"/>
      <c r="BM252" s="305"/>
      <c r="BN252" s="36"/>
      <c r="BO252" s="36"/>
      <c r="BP252" s="685"/>
      <c r="BT252" s="45"/>
      <c r="DR252"/>
      <c r="DS252"/>
      <c r="DT252"/>
      <c r="DU252"/>
      <c r="DV252"/>
      <c r="DW252"/>
      <c r="DX252" s="37"/>
    </row>
    <row r="253" spans="2:128" s="28" customFormat="1">
      <c r="C253" s="28" t="s">
        <v>448</v>
      </c>
      <c r="E253" s="1067">
        <f>E231/E241</f>
        <v>0.51288445552784701</v>
      </c>
      <c r="F253" s="1068">
        <f t="shared" ref="F253:S253" si="700">F231/F241</f>
        <v>0.51098638643420113</v>
      </c>
      <c r="G253" s="1068">
        <f t="shared" si="700"/>
        <v>0.50308690215692409</v>
      </c>
      <c r="H253" s="1069">
        <f t="shared" si="700"/>
        <v>0.49125232020852255</v>
      </c>
      <c r="I253" s="1070">
        <f t="shared" si="700"/>
        <v>0.49125232020852255</v>
      </c>
      <c r="J253" s="1067">
        <f t="shared" si="700"/>
        <v>0.46994101633393831</v>
      </c>
      <c r="K253" s="1068">
        <f t="shared" si="700"/>
        <v>0.46159253329167804</v>
      </c>
      <c r="L253" s="1068">
        <f t="shared" si="700"/>
        <v>0.46794372053309574</v>
      </c>
      <c r="M253" s="1069">
        <f t="shared" si="700"/>
        <v>0.47603399433427762</v>
      </c>
      <c r="N253" s="1071">
        <f t="shared" si="700"/>
        <v>0.47603399433427762</v>
      </c>
      <c r="O253" s="1067">
        <f t="shared" si="700"/>
        <v>0.48014112169927986</v>
      </c>
      <c r="P253" s="1068">
        <f t="shared" si="700"/>
        <v>0.47547360080674206</v>
      </c>
      <c r="Q253" s="1068">
        <f t="shared" si="700"/>
        <v>0.47708578143360753</v>
      </c>
      <c r="R253" s="1069">
        <f t="shared" si="700"/>
        <v>0.46694407576138036</v>
      </c>
      <c r="S253" s="1071">
        <f t="shared" si="700"/>
        <v>0.46694407576138036</v>
      </c>
      <c r="T253" s="1067">
        <f t="shared" ref="T253:AC253" si="701">T231/T241</f>
        <v>0.44532837245734708</v>
      </c>
      <c r="U253" s="1068">
        <f t="shared" si="701"/>
        <v>0.45021354191659868</v>
      </c>
      <c r="V253" s="1068">
        <f t="shared" si="701"/>
        <v>0.46380838323353296</v>
      </c>
      <c r="W253" s="1069">
        <f t="shared" si="701"/>
        <v>0.46940504429491214</v>
      </c>
      <c r="X253" s="1071">
        <f t="shared" si="701"/>
        <v>0.46940504429491214</v>
      </c>
      <c r="Y253" s="1067">
        <f t="shared" si="701"/>
        <v>0.47226053083641817</v>
      </c>
      <c r="Z253" s="1068">
        <f t="shared" si="701"/>
        <v>0.46197230422156621</v>
      </c>
      <c r="AA253" s="1541">
        <f t="shared" si="701"/>
        <v>0.47583511852915561</v>
      </c>
      <c r="AB253" s="1542">
        <f t="shared" si="701"/>
        <v>0.45950843283928822</v>
      </c>
      <c r="AC253" s="1543">
        <f t="shared" si="701"/>
        <v>0.45950843283928822</v>
      </c>
      <c r="AD253" s="1067">
        <f t="shared" ref="AD253:AR253" si="702">AD231/AD241</f>
        <v>0.45182294673162621</v>
      </c>
      <c r="AE253" s="1068">
        <f t="shared" si="702"/>
        <v>0.46809753904933138</v>
      </c>
      <c r="AF253" s="1068">
        <f t="shared" si="702"/>
        <v>0.47365007997924863</v>
      </c>
      <c r="AG253" s="1069">
        <f t="shared" si="702"/>
        <v>0.48392607547755861</v>
      </c>
      <c r="AH253" s="1071">
        <f t="shared" si="702"/>
        <v>0.48392607547755861</v>
      </c>
      <c r="AI253" s="1067">
        <f t="shared" si="702"/>
        <v>0.4876070791842414</v>
      </c>
      <c r="AJ253" s="1068">
        <f t="shared" si="702"/>
        <v>0.51839637635092184</v>
      </c>
      <c r="AK253" s="1068">
        <f t="shared" si="702"/>
        <v>0.49476519232228205</v>
      </c>
      <c r="AL253" s="1069">
        <f t="shared" si="702"/>
        <v>0.49272925305256721</v>
      </c>
      <c r="AM253" s="1071">
        <f t="shared" si="702"/>
        <v>0.49272925305256721</v>
      </c>
      <c r="AN253" s="1067">
        <f t="shared" si="702"/>
        <v>0.51984346075151833</v>
      </c>
      <c r="AO253" s="1068">
        <f t="shared" si="702"/>
        <v>0.56432951989514391</v>
      </c>
      <c r="AP253" s="1068">
        <f t="shared" ref="AP253" si="703">AP231/AP241</f>
        <v>0.57136416333891538</v>
      </c>
      <c r="AQ253" s="1069">
        <f t="shared" si="702"/>
        <v>0.56106882591093121</v>
      </c>
      <c r="AR253" s="1071">
        <f t="shared" si="702"/>
        <v>0.56106882591093121</v>
      </c>
      <c r="AS253" s="1067">
        <f t="shared" ref="AS253:BB253" si="704">AS231/AS241</f>
        <v>0.55282593728484697</v>
      </c>
      <c r="AT253" s="1068">
        <f t="shared" si="704"/>
        <v>0.54126616362440905</v>
      </c>
      <c r="AU253" s="1068">
        <f t="shared" si="704"/>
        <v>0.55029345654345652</v>
      </c>
      <c r="AV253" s="1069">
        <f t="shared" si="704"/>
        <v>0.52954660065098791</v>
      </c>
      <c r="AW253" s="1071">
        <f t="shared" si="704"/>
        <v>0.52954660065098791</v>
      </c>
      <c r="AX253" s="1067">
        <f t="shared" si="704"/>
        <v>0.51264165059105837</v>
      </c>
      <c r="AY253" s="1068">
        <f t="shared" ca="1" si="704"/>
        <v>0.50493861161206099</v>
      </c>
      <c r="AZ253" s="1068">
        <f t="shared" ca="1" si="704"/>
        <v>0.53770115061833845</v>
      </c>
      <c r="BA253" s="1069">
        <f t="shared" ca="1" si="704"/>
        <v>0.53615796489463141</v>
      </c>
      <c r="BB253" s="1071">
        <f t="shared" ca="1" si="704"/>
        <v>0.53615796489463141</v>
      </c>
      <c r="BC253" s="1067">
        <f t="shared" ref="BC253:BL253" ca="1" si="705">BC231/BC241</f>
        <v>0.53129009290840656</v>
      </c>
      <c r="BD253" s="1068">
        <f t="shared" ca="1" si="705"/>
        <v>0.53018935418080471</v>
      </c>
      <c r="BE253" s="1068">
        <f t="shared" ca="1" si="705"/>
        <v>0.53452143656773687</v>
      </c>
      <c r="BF253" s="1069">
        <f t="shared" ca="1" si="705"/>
        <v>0.52948393411039274</v>
      </c>
      <c r="BG253" s="1071">
        <f t="shared" ca="1" si="705"/>
        <v>0.52948393411039274</v>
      </c>
      <c r="BH253" s="1067">
        <f t="shared" ca="1" si="705"/>
        <v>0.51589293284550997</v>
      </c>
      <c r="BI253" s="1068">
        <f t="shared" ca="1" si="705"/>
        <v>0.4986690498657107</v>
      </c>
      <c r="BJ253" s="1068">
        <f t="shared" ca="1" si="705"/>
        <v>0.52342003196654296</v>
      </c>
      <c r="BK253" s="1069">
        <f t="shared" ca="1" si="705"/>
        <v>0.50748408222827623</v>
      </c>
      <c r="BL253" s="1071">
        <f t="shared" ca="1" si="705"/>
        <v>0.50748408222827623</v>
      </c>
      <c r="BM253" s="1067">
        <f t="shared" ref="BM253:BQ253" ca="1" si="706">BM231/BM241</f>
        <v>0.49294895352305024</v>
      </c>
      <c r="BN253" s="1068">
        <f t="shared" ca="1" si="706"/>
        <v>0.4856768304972634</v>
      </c>
      <c r="BO253" s="1068">
        <f t="shared" ca="1" si="706"/>
        <v>0.51722041493137871</v>
      </c>
      <c r="BP253" s="1069">
        <f t="shared" ca="1" si="706"/>
        <v>0.51362486363734605</v>
      </c>
      <c r="BQ253" s="1071">
        <f t="shared" ca="1" si="706"/>
        <v>0.51362486363734605</v>
      </c>
      <c r="BT253" s="45"/>
      <c r="DR253"/>
      <c r="DS253"/>
      <c r="DT253"/>
      <c r="DU253"/>
      <c r="DV253"/>
      <c r="DW253"/>
      <c r="DX253" s="37"/>
    </row>
    <row r="254" spans="2:128" s="28" customFormat="1">
      <c r="C254" s="28" t="s">
        <v>375</v>
      </c>
      <c r="E254" s="1067">
        <f>E232/E241</f>
        <v>0.52107825673910457</v>
      </c>
      <c r="F254" s="1068">
        <f t="shared" ref="F254:S254" si="707">F232/F241</f>
        <v>0.51277764509195123</v>
      </c>
      <c r="G254" s="1068">
        <f t="shared" si="707"/>
        <v>0.50855736167552357</v>
      </c>
      <c r="H254" s="1069">
        <f t="shared" si="707"/>
        <v>0.49737372141700564</v>
      </c>
      <c r="I254" s="1070">
        <f t="shared" si="707"/>
        <v>0.49737372141700564</v>
      </c>
      <c r="J254" s="1067">
        <f t="shared" si="707"/>
        <v>0.48812764670296432</v>
      </c>
      <c r="K254" s="1068">
        <f t="shared" si="707"/>
        <v>0.48166516968016559</v>
      </c>
      <c r="L254" s="1068">
        <f t="shared" si="707"/>
        <v>0.47870958161636412</v>
      </c>
      <c r="M254" s="1069">
        <f t="shared" si="707"/>
        <v>0.4845325779036827</v>
      </c>
      <c r="N254" s="1071">
        <f t="shared" si="707"/>
        <v>0.4845325779036827</v>
      </c>
      <c r="O254" s="1067">
        <f t="shared" si="707"/>
        <v>0.49014330399359862</v>
      </c>
      <c r="P254" s="1068">
        <f t="shared" si="707"/>
        <v>0.4886191745300007</v>
      </c>
      <c r="Q254" s="1068">
        <f t="shared" si="707"/>
        <v>0.50082947397525401</v>
      </c>
      <c r="R254" s="1069">
        <f t="shared" si="707"/>
        <v>0.48086235965132546</v>
      </c>
      <c r="S254" s="1071">
        <f t="shared" si="707"/>
        <v>0.48086235965132546</v>
      </c>
      <c r="T254" s="1067">
        <f t="shared" ref="T254:AC254" si="708">T232/T241</f>
        <v>0.45913396812963553</v>
      </c>
      <c r="U254" s="1068">
        <f t="shared" si="708"/>
        <v>0.46463361965545369</v>
      </c>
      <c r="V254" s="1068">
        <f t="shared" si="708"/>
        <v>0.47063473053892213</v>
      </c>
      <c r="W254" s="1069">
        <f t="shared" si="708"/>
        <v>0.47448806699908019</v>
      </c>
      <c r="X254" s="1071">
        <f t="shared" si="708"/>
        <v>0.47448806699908019</v>
      </c>
      <c r="Y254" s="1067">
        <f t="shared" si="708"/>
        <v>0.48297887783987808</v>
      </c>
      <c r="Z254" s="1068">
        <f t="shared" si="708"/>
        <v>0.48290013679890559</v>
      </c>
      <c r="AA254" s="1541">
        <f t="shared" si="708"/>
        <v>0.48087290190447046</v>
      </c>
      <c r="AB254" s="1542">
        <f t="shared" si="708"/>
        <v>0.46743019095850952</v>
      </c>
      <c r="AC254" s="1543">
        <f t="shared" si="708"/>
        <v>0.46743019095850952</v>
      </c>
      <c r="AD254" s="1067">
        <f t="shared" ref="AD254:AR254" si="709">AD232/AD241</f>
        <v>0.47445103789050774</v>
      </c>
      <c r="AE254" s="1068">
        <f t="shared" si="709"/>
        <v>0.48205416338914486</v>
      </c>
      <c r="AF254" s="1068">
        <f t="shared" si="709"/>
        <v>0.48579827936535386</v>
      </c>
      <c r="AG254" s="1069">
        <f t="shared" si="709"/>
        <v>0.49413174184101349</v>
      </c>
      <c r="AH254" s="1071">
        <f t="shared" si="709"/>
        <v>0.49413174184101349</v>
      </c>
      <c r="AI254" s="1067">
        <f t="shared" si="709"/>
        <v>0.49432534678436318</v>
      </c>
      <c r="AJ254" s="1068">
        <f t="shared" si="709"/>
        <v>0.52918388429752061</v>
      </c>
      <c r="AK254" s="1068">
        <f t="shared" si="709"/>
        <v>0.50756771109930965</v>
      </c>
      <c r="AL254" s="1069">
        <f t="shared" si="709"/>
        <v>0.50291403129956247</v>
      </c>
      <c r="AM254" s="1071">
        <f t="shared" si="709"/>
        <v>0.50291403129956247</v>
      </c>
      <c r="AN254" s="1067">
        <f t="shared" si="709"/>
        <v>0.57895164171348767</v>
      </c>
      <c r="AO254" s="1068">
        <f t="shared" si="709"/>
        <v>0.57971811841615561</v>
      </c>
      <c r="AP254" s="1068">
        <f t="shared" ref="AP254" si="710">AP232/AP241</f>
        <v>0.58049401004766199</v>
      </c>
      <c r="AQ254" s="1069">
        <f t="shared" si="709"/>
        <v>0.5815870445344129</v>
      </c>
      <c r="AR254" s="1071">
        <f t="shared" si="709"/>
        <v>0.5815870445344129</v>
      </c>
      <c r="AS254" s="1067">
        <f t="shared" ref="AS254:BB254" si="711">AS232/AS241</f>
        <v>0.58487200350503854</v>
      </c>
      <c r="AT254" s="1068">
        <f t="shared" si="711"/>
        <v>0.56877172109333418</v>
      </c>
      <c r="AU254" s="1068">
        <f t="shared" si="711"/>
        <v>0.5613761238761239</v>
      </c>
      <c r="AV254" s="1069">
        <f t="shared" si="711"/>
        <v>0.54374302785800521</v>
      </c>
      <c r="AW254" s="1071">
        <f t="shared" si="711"/>
        <v>0.54374302785800521</v>
      </c>
      <c r="AX254" s="1067">
        <f t="shared" si="711"/>
        <v>0.53352532299960753</v>
      </c>
      <c r="AY254" s="1068">
        <f t="shared" ca="1" si="711"/>
        <v>0.53527610804421677</v>
      </c>
      <c r="AZ254" s="1068">
        <f t="shared" ca="1" si="711"/>
        <v>0.53770115061833845</v>
      </c>
      <c r="BA254" s="1069">
        <f t="shared" ca="1" si="711"/>
        <v>0.53615796489463141</v>
      </c>
      <c r="BB254" s="1071">
        <f t="shared" ca="1" si="711"/>
        <v>0.53615796489463141</v>
      </c>
      <c r="BC254" s="1067">
        <f t="shared" ref="BC254:BL254" ca="1" si="712">BC232/BC241</f>
        <v>0.53129009290840656</v>
      </c>
      <c r="BD254" s="1068">
        <f t="shared" ca="1" si="712"/>
        <v>0.53018935418080471</v>
      </c>
      <c r="BE254" s="1068">
        <f t="shared" ca="1" si="712"/>
        <v>0.53452143656773687</v>
      </c>
      <c r="BF254" s="1069">
        <f t="shared" ca="1" si="712"/>
        <v>0.52948393411039274</v>
      </c>
      <c r="BG254" s="1071">
        <f t="shared" ca="1" si="712"/>
        <v>0.52948393411039274</v>
      </c>
      <c r="BH254" s="1067">
        <f t="shared" ca="1" si="712"/>
        <v>0.52121650270887798</v>
      </c>
      <c r="BI254" s="1068">
        <f t="shared" ca="1" si="712"/>
        <v>0.52404927144557423</v>
      </c>
      <c r="BJ254" s="1068">
        <f t="shared" ca="1" si="712"/>
        <v>0.52342003196654296</v>
      </c>
      <c r="BK254" s="1069">
        <f t="shared" ca="1" si="712"/>
        <v>0.52161542499391733</v>
      </c>
      <c r="BL254" s="1071">
        <f t="shared" ca="1" si="712"/>
        <v>0.52161542499391733</v>
      </c>
      <c r="BM254" s="1067">
        <f t="shared" ref="BM254:BQ254" ca="1" si="713">BM232/BM241</f>
        <v>0.51773332454867593</v>
      </c>
      <c r="BN254" s="1068">
        <f t="shared" ca="1" si="713"/>
        <v>0.51837293158138853</v>
      </c>
      <c r="BO254" s="1068">
        <f t="shared" ca="1" si="713"/>
        <v>0.51722041493137871</v>
      </c>
      <c r="BP254" s="1069">
        <f t="shared" ca="1" si="713"/>
        <v>0.51362486363734605</v>
      </c>
      <c r="BQ254" s="1071">
        <f t="shared" ca="1" si="713"/>
        <v>0.51362486363734605</v>
      </c>
      <c r="BT254" s="45"/>
      <c r="DR254"/>
      <c r="DS254"/>
      <c r="DT254"/>
      <c r="DU254"/>
      <c r="DV254"/>
      <c r="DW254"/>
      <c r="DX254" s="37"/>
    </row>
    <row r="255" spans="2:128" s="28" customFormat="1">
      <c r="C255" s="28" t="s">
        <v>392</v>
      </c>
      <c r="E255" s="667"/>
      <c r="F255" s="240"/>
      <c r="G255" s="240"/>
      <c r="H255" s="666">
        <f t="shared" ref="H255:S255" si="714">(H232-H228)/H248</f>
        <v>1.5154639175257731</v>
      </c>
      <c r="I255" s="1072">
        <f t="shared" si="714"/>
        <v>1.5154639175257731</v>
      </c>
      <c r="J255" s="667">
        <f t="shared" si="714"/>
        <v>1.4136382196815027</v>
      </c>
      <c r="K255" s="240">
        <f t="shared" si="714"/>
        <v>1.5824829931972788</v>
      </c>
      <c r="L255" s="240">
        <f t="shared" si="714"/>
        <v>1.4154360546113123</v>
      </c>
      <c r="M255" s="666">
        <f t="shared" si="714"/>
        <v>1.5768311542246591</v>
      </c>
      <c r="N255" s="229">
        <f t="shared" si="714"/>
        <v>1.5768311542246591</v>
      </c>
      <c r="O255" s="667">
        <f t="shared" si="714"/>
        <v>1.9308755760368663</v>
      </c>
      <c r="P255" s="240">
        <f t="shared" si="714"/>
        <v>1.9195571955719557</v>
      </c>
      <c r="Q255" s="240">
        <f t="shared" si="714"/>
        <v>2.238532110091743</v>
      </c>
      <c r="R255" s="666">
        <f t="shared" si="714"/>
        <v>2.0603692000665226</v>
      </c>
      <c r="S255" s="229">
        <f t="shared" si="714"/>
        <v>2.0603692000665226</v>
      </c>
      <c r="T255" s="667">
        <f t="shared" ref="T255:AC255" si="715">(T232-T228)/T248</f>
        <v>3.3870422535211269</v>
      </c>
      <c r="U255" s="240">
        <f t="shared" si="715"/>
        <v>3.5838472249850803</v>
      </c>
      <c r="V255" s="240">
        <f t="shared" si="715"/>
        <v>3.6924501131454432</v>
      </c>
      <c r="W255" s="666">
        <f t="shared" si="715"/>
        <v>3.932494030822661</v>
      </c>
      <c r="X255" s="229">
        <f t="shared" si="715"/>
        <v>3.932494030822661</v>
      </c>
      <c r="Y255" s="667">
        <f t="shared" si="715"/>
        <v>3.9203268641470888</v>
      </c>
      <c r="Z255" s="240">
        <f t="shared" si="715"/>
        <v>3.6431155970291371</v>
      </c>
      <c r="AA255" s="240">
        <f t="shared" si="715"/>
        <v>3.1378215836952892</v>
      </c>
      <c r="AB255" s="666">
        <f t="shared" si="715"/>
        <v>2.9468322190385225</v>
      </c>
      <c r="AC255" s="229">
        <f t="shared" si="715"/>
        <v>2.9468322190385225</v>
      </c>
      <c r="AD255" s="667">
        <f t="shared" ref="AD255:AR255" si="716">(AD232-AD228)/AD248</f>
        <v>3.3340125658006454</v>
      </c>
      <c r="AE255" s="240">
        <f t="shared" si="716"/>
        <v>3.3311774461028194</v>
      </c>
      <c r="AF255" s="240">
        <f t="shared" si="716"/>
        <v>3.0692930551230146</v>
      </c>
      <c r="AG255" s="666">
        <f t="shared" si="716"/>
        <v>3.4772378516624043</v>
      </c>
      <c r="AH255" s="229">
        <f t="shared" si="716"/>
        <v>3.4772378516624043</v>
      </c>
      <c r="AI255" s="667">
        <f t="shared" si="716"/>
        <v>2.9489493724439431</v>
      </c>
      <c r="AJ255" s="240">
        <f t="shared" si="716"/>
        <v>2.8859501819199553</v>
      </c>
      <c r="AK255" s="240">
        <f t="shared" si="716"/>
        <v>3.0577164366373903</v>
      </c>
      <c r="AL255" s="666">
        <f t="shared" si="716"/>
        <v>2.91169556273876</v>
      </c>
      <c r="AM255" s="229">
        <f t="shared" si="716"/>
        <v>2.91169556273876</v>
      </c>
      <c r="AN255" s="667">
        <f t="shared" si="716"/>
        <v>5.7543539558799139</v>
      </c>
      <c r="AO255" s="240">
        <f t="shared" si="716"/>
        <v>5.6615868809011101</v>
      </c>
      <c r="AP255" s="240">
        <f t="shared" ref="AP255" si="717">(AP232-AP228)/AP248</f>
        <v>4.842478377995179</v>
      </c>
      <c r="AQ255" s="666">
        <f t="shared" si="716"/>
        <v>4.7435794002958183</v>
      </c>
      <c r="AR255" s="229">
        <f t="shared" si="716"/>
        <v>4.7435794002958183</v>
      </c>
      <c r="AS255" s="667">
        <f t="shared" ref="AS255:BB255" si="718">(AS232-AS228)/AS248</f>
        <v>4.2640612315899338</v>
      </c>
      <c r="AT255" s="240">
        <f t="shared" si="718"/>
        <v>4.3436476155806334</v>
      </c>
      <c r="AU255" s="240">
        <f t="shared" si="718"/>
        <v>4.1525504718671602</v>
      </c>
      <c r="AV255" s="666">
        <f t="shared" si="718"/>
        <v>3.8064091308165056</v>
      </c>
      <c r="AW255" s="229">
        <f t="shared" si="718"/>
        <v>3.8064091308165056</v>
      </c>
      <c r="AX255" s="667">
        <f t="shared" si="718"/>
        <v>3.8831840030979823</v>
      </c>
      <c r="AY255" s="240">
        <f t="shared" ca="1" si="718"/>
        <v>3.6870687481129147</v>
      </c>
      <c r="AZ255" s="240">
        <f t="shared" ca="1" si="718"/>
        <v>3.7922487826945224</v>
      </c>
      <c r="BA255" s="666">
        <f t="shared" ca="1" si="718"/>
        <v>4.1613005034080812</v>
      </c>
      <c r="BB255" s="229">
        <f t="shared" ca="1" si="718"/>
        <v>4.1613005034080812</v>
      </c>
      <c r="BC255" s="667">
        <f t="shared" ref="BC255:BL255" ca="1" si="719">(BC232-BC228)/BC248</f>
        <v>4.0429943487507503</v>
      </c>
      <c r="BD255" s="240">
        <f t="shared" ca="1" si="719"/>
        <v>4.1108100680557405</v>
      </c>
      <c r="BE255" s="240">
        <f t="shared" ca="1" si="719"/>
        <v>4.1301700065069209</v>
      </c>
      <c r="BF255" s="666">
        <f t="shared" ca="1" si="719"/>
        <v>4.1910541997483124</v>
      </c>
      <c r="BG255" s="229">
        <f t="shared" ca="1" si="719"/>
        <v>4.1910541997483124</v>
      </c>
      <c r="BH255" s="667">
        <f t="shared" ca="1" si="719"/>
        <v>4.2037506431979415</v>
      </c>
      <c r="BI255" s="240">
        <f t="shared" ca="1" si="719"/>
        <v>4.2734212984155819</v>
      </c>
      <c r="BJ255" s="240">
        <f t="shared" ca="1" si="719"/>
        <v>4.23336492652657</v>
      </c>
      <c r="BK255" s="666">
        <f t="shared" ca="1" si="719"/>
        <v>4.2212012639473082</v>
      </c>
      <c r="BL255" s="229">
        <f t="shared" ca="1" si="719"/>
        <v>4.2212012639473082</v>
      </c>
      <c r="BM255" s="667">
        <f t="shared" ref="BM255:BQ255" ca="1" si="720">(BM232-BM228)/BM248</f>
        <v>4.2477531783884155</v>
      </c>
      <c r="BN255" s="240">
        <f t="shared" ca="1" si="720"/>
        <v>4.1992590458386463</v>
      </c>
      <c r="BO255" s="240">
        <f t="shared" ca="1" si="720"/>
        <v>4.1172427271964462</v>
      </c>
      <c r="BP255" s="666">
        <f t="shared" ca="1" si="720"/>
        <v>4.0706994816566091</v>
      </c>
      <c r="BQ255" s="229">
        <f t="shared" ca="1" si="720"/>
        <v>4.0706994816566091</v>
      </c>
      <c r="BT255" s="45"/>
      <c r="DR255"/>
      <c r="DS255"/>
      <c r="DT255"/>
      <c r="DU255"/>
      <c r="DV255"/>
      <c r="DW255"/>
      <c r="DX255" s="37"/>
    </row>
    <row r="256" spans="2:128" s="28" customFormat="1">
      <c r="C256" s="28" t="s">
        <v>393</v>
      </c>
      <c r="E256" s="303"/>
      <c r="F256" s="239"/>
      <c r="G256" s="239"/>
      <c r="H256" s="304">
        <f t="shared" ref="H256:S256" si="721">H246/H232</f>
        <v>0.4227409877719549</v>
      </c>
      <c r="I256" s="1073">
        <f t="shared" si="721"/>
        <v>0.4227409877719549</v>
      </c>
      <c r="J256" s="303">
        <f t="shared" si="721"/>
        <v>0.40937257939581717</v>
      </c>
      <c r="K256" s="239">
        <f t="shared" si="721"/>
        <v>0.4348954110588617</v>
      </c>
      <c r="L256" s="239">
        <f t="shared" si="721"/>
        <v>0.43334625823962775</v>
      </c>
      <c r="M256" s="304">
        <f t="shared" si="721"/>
        <v>0.43903960087309013</v>
      </c>
      <c r="N256" s="546">
        <f t="shared" si="721"/>
        <v>0.43903960087309013</v>
      </c>
      <c r="O256" s="303">
        <f t="shared" si="721"/>
        <v>0.41421786880379935</v>
      </c>
      <c r="P256" s="239">
        <f t="shared" si="721"/>
        <v>0.40156261516916048</v>
      </c>
      <c r="Q256" s="239">
        <f t="shared" si="721"/>
        <v>0.36160375405424056</v>
      </c>
      <c r="R256" s="304">
        <f t="shared" si="721"/>
        <v>0.37799328608728089</v>
      </c>
      <c r="S256" s="546">
        <f t="shared" si="721"/>
        <v>0.37799328608728089</v>
      </c>
      <c r="T256" s="303">
        <f t="shared" ref="T256:AC256" si="722">T246/T232</f>
        <v>0.26848643173215331</v>
      </c>
      <c r="U256" s="239">
        <f t="shared" si="722"/>
        <v>0.27978311386522076</v>
      </c>
      <c r="V256" s="239">
        <f t="shared" si="722"/>
        <v>0.29309379612194003</v>
      </c>
      <c r="W256" s="304">
        <f t="shared" si="722"/>
        <v>0.32693975411926746</v>
      </c>
      <c r="X256" s="546">
        <f t="shared" si="722"/>
        <v>0.32693975411926746</v>
      </c>
      <c r="Y256" s="303">
        <f t="shared" si="722"/>
        <v>0.33709047189660357</v>
      </c>
      <c r="Z256" s="239">
        <f t="shared" si="722"/>
        <v>0.32289647631827445</v>
      </c>
      <c r="AA256" s="239">
        <f t="shared" si="722"/>
        <v>0.31154844078915161</v>
      </c>
      <c r="AB256" s="304">
        <f t="shared" si="722"/>
        <v>0.29461756373937675</v>
      </c>
      <c r="AC256" s="546">
        <f t="shared" si="722"/>
        <v>0.29461756373937675</v>
      </c>
      <c r="AD256" s="303">
        <f t="shared" ref="AD256:AR256" si="723">AD246/AD232</f>
        <v>0.2796865875024333</v>
      </c>
      <c r="AE256" s="239">
        <f t="shared" si="723"/>
        <v>0.27017576576996599</v>
      </c>
      <c r="AF256" s="239">
        <f t="shared" si="723"/>
        <v>0.26087923823084452</v>
      </c>
      <c r="AG256" s="304">
        <f t="shared" si="723"/>
        <v>0.26652298850574713</v>
      </c>
      <c r="AH256" s="546">
        <f t="shared" si="723"/>
        <v>0.26652298850574713</v>
      </c>
      <c r="AI256" s="303">
        <f t="shared" si="723"/>
        <v>0.26658163265306123</v>
      </c>
      <c r="AJ256" s="239">
        <f t="shared" si="723"/>
        <v>0.22979314487367197</v>
      </c>
      <c r="AK256" s="239">
        <f t="shared" si="723"/>
        <v>0.23332461417734762</v>
      </c>
      <c r="AL256" s="304">
        <f t="shared" si="723"/>
        <v>0.23610319541015995</v>
      </c>
      <c r="AM256" s="546">
        <f>AM246/AM232</f>
        <v>0.23610319541015995</v>
      </c>
      <c r="AN256" s="303">
        <f t="shared" si="723"/>
        <v>0.17799343673744145</v>
      </c>
      <c r="AO256" s="239">
        <f t="shared" si="723"/>
        <v>0.18885725450789928</v>
      </c>
      <c r="AP256" s="239">
        <f t="shared" ref="AP256" si="724">AP246/AP232</f>
        <v>0.20776122715042578</v>
      </c>
      <c r="AQ256" s="304">
        <f t="shared" si="723"/>
        <v>0.22454264472475149</v>
      </c>
      <c r="AR256" s="546">
        <f t="shared" si="723"/>
        <v>0.22454264472475149</v>
      </c>
      <c r="AS256" s="303">
        <f t="shared" ref="AS256:BB256" si="725">AS246/AS232</f>
        <v>0.22066456204184279</v>
      </c>
      <c r="AT256" s="239">
        <f t="shared" si="725"/>
        <v>0.22396234724210062</v>
      </c>
      <c r="AU256" s="239">
        <f t="shared" si="725"/>
        <v>0.21999777555333111</v>
      </c>
      <c r="AV256" s="304">
        <f t="shared" si="725"/>
        <v>0.22196616266651678</v>
      </c>
      <c r="AW256" s="546">
        <f t="shared" si="725"/>
        <v>0.22196616266651678</v>
      </c>
      <c r="AX256" s="303">
        <f t="shared" si="725"/>
        <v>0.23039051465403679</v>
      </c>
      <c r="AY256" s="239">
        <f t="shared" ca="1" si="725"/>
        <v>0.22250988999911156</v>
      </c>
      <c r="AZ256" s="239">
        <f t="shared" ca="1" si="725"/>
        <v>0.21119888209571766</v>
      </c>
      <c r="BA256" s="304">
        <f t="shared" ca="1" si="725"/>
        <v>0.20267438061617313</v>
      </c>
      <c r="BB256" s="546">
        <f t="shared" ca="1" si="725"/>
        <v>0.20267438061617313</v>
      </c>
      <c r="BC256" s="303">
        <f t="shared" ref="BC256:BL256" ca="1" si="726">BC246/BC232</f>
        <v>0.20550203104403544</v>
      </c>
      <c r="BD256" s="239">
        <f t="shared" ca="1" si="726"/>
        <v>0.20409644795732937</v>
      </c>
      <c r="BE256" s="239">
        <f t="shared" ca="1" si="726"/>
        <v>0.19562553747975633</v>
      </c>
      <c r="BF256" s="304">
        <f t="shared" ca="1" si="726"/>
        <v>0.19837371589182115</v>
      </c>
      <c r="BG256" s="546">
        <f t="shared" ca="1" si="726"/>
        <v>0.19837371589182115</v>
      </c>
      <c r="BH256" s="303">
        <f t="shared" ca="1" si="726"/>
        <v>0.20019543072969692</v>
      </c>
      <c r="BI256" s="239">
        <f t="shared" ca="1" si="726"/>
        <v>0.19676358081990172</v>
      </c>
      <c r="BJ256" s="239">
        <f t="shared" ca="1" si="726"/>
        <v>0.19454098513823923</v>
      </c>
      <c r="BK256" s="304">
        <f t="shared" ca="1" si="726"/>
        <v>0.19650790892214801</v>
      </c>
      <c r="BL256" s="546">
        <f t="shared" ca="1" si="726"/>
        <v>0.19650790892214801</v>
      </c>
      <c r="BM256" s="303">
        <f t="shared" ref="BM256:BQ256" ca="1" si="727">BM246/BM232</f>
        <v>0.19578661916208015</v>
      </c>
      <c r="BN256" s="239">
        <f t="shared" ca="1" si="727"/>
        <v>0.19752540624821954</v>
      </c>
      <c r="BO256" s="239">
        <f t="shared" ca="1" si="727"/>
        <v>0.19763508354535761</v>
      </c>
      <c r="BP256" s="304">
        <f t="shared" ca="1" si="727"/>
        <v>0.20189778553923193</v>
      </c>
      <c r="BQ256" s="546">
        <f t="shared" ca="1" si="727"/>
        <v>0.20189778553923193</v>
      </c>
      <c r="BT256" s="45"/>
      <c r="DR256"/>
      <c r="DS256"/>
      <c r="DT256"/>
      <c r="DU256"/>
      <c r="DV256"/>
      <c r="DW256"/>
      <c r="DX256" s="37"/>
    </row>
    <row r="257" spans="1:128" s="28" customFormat="1">
      <c r="E257" s="305"/>
      <c r="F257" s="36"/>
      <c r="G257" s="36"/>
      <c r="H257" s="685"/>
      <c r="I257" s="564"/>
      <c r="J257" s="305"/>
      <c r="K257" s="36"/>
      <c r="L257" s="36"/>
      <c r="M257" s="685"/>
      <c r="O257" s="305"/>
      <c r="P257" s="36"/>
      <c r="Q257" s="36"/>
      <c r="R257" s="685"/>
      <c r="T257" s="305"/>
      <c r="U257" s="36"/>
      <c r="V257" s="36"/>
      <c r="W257" s="685"/>
      <c r="Y257" s="305"/>
      <c r="Z257" s="36"/>
      <c r="AA257" s="36"/>
      <c r="AB257" s="685"/>
      <c r="AD257" s="305"/>
      <c r="AE257" s="36"/>
      <c r="AF257" s="36"/>
      <c r="AG257" s="685"/>
      <c r="AI257" s="305"/>
      <c r="AJ257" s="36"/>
      <c r="AK257" s="36"/>
      <c r="AL257" s="685"/>
      <c r="AN257" s="305"/>
      <c r="AO257" s="36"/>
      <c r="AP257" s="36"/>
      <c r="AQ257" s="685"/>
      <c r="AS257" s="305"/>
      <c r="AT257" s="36"/>
      <c r="AU257" s="36"/>
      <c r="AV257" s="685"/>
      <c r="AX257" s="305"/>
      <c r="AY257" s="36"/>
      <c r="AZ257" s="36"/>
      <c r="BA257" s="685"/>
      <c r="BC257" s="305"/>
      <c r="BD257" s="36"/>
      <c r="BE257" s="36"/>
      <c r="BF257" s="685"/>
      <c r="BH257" s="305"/>
      <c r="BI257" s="36"/>
      <c r="BJ257" s="36"/>
      <c r="BK257" s="685"/>
      <c r="BM257" s="305"/>
      <c r="BN257" s="36"/>
      <c r="BO257" s="36"/>
      <c r="BP257" s="685"/>
      <c r="BT257" s="45"/>
      <c r="DR257"/>
      <c r="DS257"/>
      <c r="DT257"/>
      <c r="DU257"/>
      <c r="DV257"/>
      <c r="DW257"/>
      <c r="DX257" s="37"/>
    </row>
    <row r="258" spans="1:128" s="28" customFormat="1">
      <c r="C258" s="32" t="s">
        <v>201</v>
      </c>
      <c r="E258" s="305"/>
      <c r="F258" s="36"/>
      <c r="G258" s="36"/>
      <c r="H258" s="685"/>
      <c r="I258" s="564"/>
      <c r="J258" s="305"/>
      <c r="K258" s="36"/>
      <c r="L258" s="36"/>
      <c r="M258" s="685"/>
      <c r="O258" s="305"/>
      <c r="P258" s="36"/>
      <c r="Q258" s="36"/>
      <c r="R258" s="685"/>
      <c r="T258" s="305"/>
      <c r="U258" s="36"/>
      <c r="V258" s="36"/>
      <c r="W258" s="685"/>
      <c r="Y258" s="305"/>
      <c r="Z258" s="36"/>
      <c r="AA258" s="36"/>
      <c r="AB258" s="685"/>
      <c r="AD258" s="305"/>
      <c r="AE258" s="36"/>
      <c r="AF258" s="36"/>
      <c r="AG258" s="685"/>
      <c r="AI258" s="305"/>
      <c r="AJ258" s="36"/>
      <c r="AK258" s="36"/>
      <c r="AL258" s="685"/>
      <c r="AN258" s="305"/>
      <c r="AO258" s="36"/>
      <c r="AP258" s="36"/>
      <c r="AQ258" s="685"/>
      <c r="AS258" s="305"/>
      <c r="AT258" s="36"/>
      <c r="AU258" s="36"/>
      <c r="AV258" s="685"/>
      <c r="AX258" s="305"/>
      <c r="AY258" s="36"/>
      <c r="AZ258" s="36"/>
      <c r="BA258" s="685"/>
      <c r="BC258" s="305"/>
      <c r="BD258" s="36"/>
      <c r="BE258" s="36"/>
      <c r="BF258" s="685"/>
      <c r="BH258" s="305"/>
      <c r="BI258" s="36"/>
      <c r="BJ258" s="36"/>
      <c r="BK258" s="685"/>
      <c r="BM258" s="305"/>
      <c r="BN258" s="36"/>
      <c r="BO258" s="36"/>
      <c r="BP258" s="685"/>
      <c r="BT258" s="45"/>
      <c r="CC258" s="20"/>
      <c r="DR258"/>
      <c r="DS258"/>
      <c r="DT258"/>
      <c r="DU258"/>
      <c r="DV258"/>
      <c r="DW258"/>
      <c r="DX258" s="37"/>
    </row>
    <row r="259" spans="1:128" s="28" customFormat="1">
      <c r="C259" s="28" t="s">
        <v>279</v>
      </c>
      <c r="E259" s="667"/>
      <c r="F259" s="240"/>
      <c r="G259" s="240"/>
      <c r="H259" s="666">
        <f>(H246+H249)/H249</f>
        <v>8.2831737346101235</v>
      </c>
      <c r="I259" s="1072">
        <f t="shared" ref="I259:S259" si="728">(I246+I249)/I249</f>
        <v>8.2831737346101235</v>
      </c>
      <c r="J259" s="667">
        <f t="shared" si="728"/>
        <v>8.2696011004126539</v>
      </c>
      <c r="K259" s="240">
        <f t="shared" si="728"/>
        <v>7.5255474452554747</v>
      </c>
      <c r="L259" s="240">
        <f t="shared" si="728"/>
        <v>7.9072929542645243</v>
      </c>
      <c r="M259" s="666">
        <f t="shared" si="728"/>
        <v>7.8935128518971851</v>
      </c>
      <c r="N259" s="229">
        <f t="shared" si="728"/>
        <v>7.8935128518971851</v>
      </c>
      <c r="O259" s="667">
        <f t="shared" si="728"/>
        <v>7.8490797546012274</v>
      </c>
      <c r="P259" s="240">
        <f t="shared" si="728"/>
        <v>8.5457063711911356</v>
      </c>
      <c r="Q259" s="240">
        <f t="shared" si="728"/>
        <v>8.1879286694101516</v>
      </c>
      <c r="R259" s="666">
        <f t="shared" si="728"/>
        <v>7.9793388429752063</v>
      </c>
      <c r="S259" s="229">
        <f t="shared" si="728"/>
        <v>7.9793388429752063</v>
      </c>
      <c r="T259" s="667">
        <f t="shared" ref="T259:AC259" si="729">(T246+T249)/T249</f>
        <v>7.8054054054054056</v>
      </c>
      <c r="U259" s="240">
        <f t="shared" si="729"/>
        <v>7.6560196560196561</v>
      </c>
      <c r="V259" s="240">
        <f t="shared" si="729"/>
        <v>7.5592255125284735</v>
      </c>
      <c r="W259" s="666">
        <f t="shared" si="729"/>
        <v>7.90625</v>
      </c>
      <c r="X259" s="229">
        <f t="shared" si="729"/>
        <v>7.90625</v>
      </c>
      <c r="Y259" s="667">
        <f t="shared" si="729"/>
        <v>5.9623893805309738</v>
      </c>
      <c r="Z259" s="240">
        <f t="shared" si="729"/>
        <v>5.8054733727810648</v>
      </c>
      <c r="AA259" s="240">
        <f t="shared" si="729"/>
        <v>5.7492537313432832</v>
      </c>
      <c r="AB259" s="666">
        <f t="shared" si="729"/>
        <v>5.3716814159292037</v>
      </c>
      <c r="AC259" s="229">
        <f t="shared" si="729"/>
        <v>5.3716814159292037</v>
      </c>
      <c r="AD259" s="667">
        <f t="shared" ref="AD259:AR259" si="730">(AD246+AD249)/AD249</f>
        <v>6.9864583333333332</v>
      </c>
      <c r="AE259" s="240">
        <f t="shared" si="730"/>
        <v>7.1257928118393234</v>
      </c>
      <c r="AF259" s="240">
        <f t="shared" si="730"/>
        <v>7.0443298969072163</v>
      </c>
      <c r="AG259" s="666">
        <f t="shared" si="730"/>
        <v>6.5737089201877934</v>
      </c>
      <c r="AH259" s="229">
        <f t="shared" si="730"/>
        <v>6.5737089201877934</v>
      </c>
      <c r="AI259" s="667">
        <f t="shared" si="730"/>
        <v>6.1234150464919699</v>
      </c>
      <c r="AJ259" s="240">
        <f t="shared" si="730"/>
        <v>6.5645454545454545</v>
      </c>
      <c r="AK259" s="240">
        <f t="shared" si="730"/>
        <v>6.7022831050228309</v>
      </c>
      <c r="AL259" s="666">
        <f t="shared" si="730"/>
        <v>7.0154888673765727</v>
      </c>
      <c r="AM259" s="229">
        <f t="shared" si="730"/>
        <v>7.0154888673765727</v>
      </c>
      <c r="AN259" s="667">
        <f t="shared" si="730"/>
        <v>7.5087179487179485</v>
      </c>
      <c r="AO259" s="240">
        <f t="shared" si="730"/>
        <v>6.6571906354515047</v>
      </c>
      <c r="AP259" s="240">
        <f t="shared" ref="AP259" si="731">(AP246+AP249)/AP249</f>
        <v>6.1336531871144624</v>
      </c>
      <c r="AQ259" s="666">
        <f t="shared" si="730"/>
        <v>6.25</v>
      </c>
      <c r="AR259" s="229">
        <f t="shared" si="730"/>
        <v>6.25</v>
      </c>
      <c r="AS259" s="667">
        <f t="shared" ref="AS259:BB259" si="732">(AS246+AS249)/AS249</f>
        <v>6.085080147965475</v>
      </c>
      <c r="AT259" s="240">
        <f t="shared" si="732"/>
        <v>5.8376932223543401</v>
      </c>
      <c r="AU259" s="240">
        <f t="shared" si="732"/>
        <v>6.0979381443298966</v>
      </c>
      <c r="AV259" s="666">
        <f t="shared" si="732"/>
        <v>6.0628205128205126</v>
      </c>
      <c r="AW259" s="229">
        <f t="shared" si="732"/>
        <v>6.0628205128205126</v>
      </c>
      <c r="AX259" s="667">
        <f t="shared" si="732"/>
        <v>6.2261774598990858</v>
      </c>
      <c r="AY259" s="240">
        <f t="shared" ca="1" si="732"/>
        <v>6.2159744215923682</v>
      </c>
      <c r="AZ259" s="240">
        <f t="shared" ca="1" si="732"/>
        <v>6.0335423035457616</v>
      </c>
      <c r="BA259" s="666">
        <f t="shared" ca="1" si="732"/>
        <v>5.7852981781146884</v>
      </c>
      <c r="BB259" s="229">
        <f t="shared" ca="1" si="732"/>
        <v>5.7852981781146884</v>
      </c>
      <c r="BC259" s="667">
        <f t="shared" ref="BC259:BL259" ca="1" si="733">(BC246+BC249)/BC249</f>
        <v>5.8029246149214773</v>
      </c>
      <c r="BD259" s="240">
        <f t="shared" ca="1" si="733"/>
        <v>5.6986861268723752</v>
      </c>
      <c r="BE259" s="240">
        <f t="shared" ca="1" si="733"/>
        <v>5.6053584528598828</v>
      </c>
      <c r="BF259" s="666">
        <f t="shared" ca="1" si="733"/>
        <v>5.5818800218308677</v>
      </c>
      <c r="BG259" s="229">
        <f t="shared" ca="1" si="733"/>
        <v>5.5818800218308677</v>
      </c>
      <c r="BH259" s="667">
        <f t="shared" ca="1" si="733"/>
        <v>5.5440065360148507</v>
      </c>
      <c r="BI259" s="240">
        <f t="shared" ca="1" si="733"/>
        <v>5.5281070074595435</v>
      </c>
      <c r="BJ259" s="240">
        <f t="shared" ca="1" si="733"/>
        <v>5.4570859805648695</v>
      </c>
      <c r="BK259" s="666">
        <f t="shared" ca="1" si="733"/>
        <v>5.4633580717752874</v>
      </c>
      <c r="BL259" s="229">
        <f t="shared" ca="1" si="733"/>
        <v>5.4633580717752874</v>
      </c>
      <c r="BM259" s="667">
        <f t="shared" ref="BM259:BQ259" ca="1" si="734">(BM246+BM249)/BM249</f>
        <v>5.412606848480582</v>
      </c>
      <c r="BN259" s="240">
        <f t="shared" ca="1" si="734"/>
        <v>5.4796697441568041</v>
      </c>
      <c r="BO259" s="240">
        <f t="shared" ca="1" si="734"/>
        <v>5.4606696683006746</v>
      </c>
      <c r="BP259" s="666">
        <f t="shared" ca="1" si="734"/>
        <v>5.4862049256816992</v>
      </c>
      <c r="BQ259" s="229">
        <f t="shared" ca="1" si="734"/>
        <v>5.4862049256816992</v>
      </c>
      <c r="BT259" s="45"/>
      <c r="CC259" s="229"/>
      <c r="DR259"/>
      <c r="DS259"/>
      <c r="DT259"/>
      <c r="DU259"/>
      <c r="DV259"/>
      <c r="DW259"/>
      <c r="DX259" s="37"/>
    </row>
    <row r="260" spans="1:128" s="28" customFormat="1">
      <c r="C260" s="28" t="s">
        <v>280</v>
      </c>
      <c r="E260" s="667"/>
      <c r="F260" s="240"/>
      <c r="G260" s="240"/>
      <c r="H260" s="666">
        <f>H247/H249</f>
        <v>7.045143638850889</v>
      </c>
      <c r="I260" s="1072">
        <f t="shared" ref="I260:S260" si="735">I247/I249</f>
        <v>7.045143638850889</v>
      </c>
      <c r="J260" s="667">
        <f t="shared" si="735"/>
        <v>7.4759284731774418</v>
      </c>
      <c r="K260" s="240">
        <f t="shared" si="735"/>
        <v>6.1605839416058394</v>
      </c>
      <c r="L260" s="240">
        <f t="shared" si="735"/>
        <v>6.2954264524103829</v>
      </c>
      <c r="M260" s="666">
        <f t="shared" si="735"/>
        <v>6.1664626682986539</v>
      </c>
      <c r="N260" s="229">
        <f t="shared" si="735"/>
        <v>6.1664626682986539</v>
      </c>
      <c r="O260" s="667">
        <f t="shared" si="735"/>
        <v>5.9374233128834355</v>
      </c>
      <c r="P260" s="240">
        <f t="shared" si="735"/>
        <v>7.0318559556786706</v>
      </c>
      <c r="Q260" s="240">
        <f t="shared" si="735"/>
        <v>6.2318244170096024</v>
      </c>
      <c r="R260" s="666">
        <f t="shared" si="735"/>
        <v>6.443526170798898</v>
      </c>
      <c r="S260" s="229">
        <f t="shared" si="735"/>
        <v>6.443526170798898</v>
      </c>
      <c r="T260" s="667">
        <f t="shared" ref="T260:AC260" si="736">T247/T249</f>
        <v>5.3175675675675675</v>
      </c>
      <c r="U260" s="240">
        <f t="shared" si="736"/>
        <v>4.2653562653562656</v>
      </c>
      <c r="V260" s="240">
        <f t="shared" si="736"/>
        <v>3.5740318906605921</v>
      </c>
      <c r="W260" s="666">
        <f t="shared" si="736"/>
        <v>2.9375</v>
      </c>
      <c r="X260" s="229">
        <f t="shared" si="736"/>
        <v>2.9375</v>
      </c>
      <c r="Y260" s="667">
        <f t="shared" si="736"/>
        <v>2.1039823008849559</v>
      </c>
      <c r="Z260" s="240">
        <f t="shared" si="736"/>
        <v>2.3446745562130178</v>
      </c>
      <c r="AA260" s="240">
        <f t="shared" si="736"/>
        <v>2.8917910447761193</v>
      </c>
      <c r="AB260" s="666">
        <f t="shared" si="736"/>
        <v>3.0449852507374633</v>
      </c>
      <c r="AC260" s="229">
        <f t="shared" si="736"/>
        <v>3.0449852507374633</v>
      </c>
      <c r="AD260" s="667">
        <f t="shared" ref="AD260:AR260" si="737">AD247/AD249</f>
        <v>3.8697916666666665</v>
      </c>
      <c r="AE260" s="240">
        <f t="shared" si="737"/>
        <v>4.015856236786469</v>
      </c>
      <c r="AF260" s="240">
        <f t="shared" si="737"/>
        <v>4.2721649484536082</v>
      </c>
      <c r="AG260" s="666">
        <f t="shared" si="737"/>
        <v>3.3342723004694834</v>
      </c>
      <c r="AH260" s="229">
        <f t="shared" si="737"/>
        <v>3.3342723004694834</v>
      </c>
      <c r="AI260" s="667">
        <f t="shared" si="737"/>
        <v>3.9991546914623837</v>
      </c>
      <c r="AJ260" s="240">
        <f t="shared" si="737"/>
        <v>4.34</v>
      </c>
      <c r="AK260" s="240">
        <f t="shared" si="737"/>
        <v>3.6301369863013697</v>
      </c>
      <c r="AL260" s="666">
        <f t="shared" si="737"/>
        <v>4.2168441432720236</v>
      </c>
      <c r="AM260" s="229">
        <f t="shared" si="737"/>
        <v>4.2168441432720236</v>
      </c>
      <c r="AN260" s="667">
        <f t="shared" si="737"/>
        <v>3.5938461538461537</v>
      </c>
      <c r="AO260" s="240">
        <f t="shared" si="737"/>
        <v>2.6530100334448159</v>
      </c>
      <c r="AP260" s="240">
        <f t="shared" ref="AP260" si="738">AP247/AP249</f>
        <v>2.4674434544208363</v>
      </c>
      <c r="AQ260" s="666">
        <f t="shared" si="737"/>
        <v>2.279296875</v>
      </c>
      <c r="AR260" s="229">
        <f t="shared" si="737"/>
        <v>2.279296875</v>
      </c>
      <c r="AS260" s="667">
        <f t="shared" ref="AS260:BB260" si="739">AS247/AS249</f>
        <v>2.7595561035758323</v>
      </c>
      <c r="AT260" s="240">
        <f t="shared" si="739"/>
        <v>2.4494649227110581</v>
      </c>
      <c r="AU260" s="240">
        <f t="shared" si="739"/>
        <v>2.8627577319587627</v>
      </c>
      <c r="AV260" s="666">
        <f t="shared" si="739"/>
        <v>3.3871794871794871</v>
      </c>
      <c r="AW260" s="229">
        <f t="shared" si="739"/>
        <v>3.3871794871794871</v>
      </c>
      <c r="AX260" s="667">
        <f t="shared" si="739"/>
        <v>3.3677893005456854</v>
      </c>
      <c r="AY260" s="240">
        <f t="shared" si="739"/>
        <v>3.8776332912066476</v>
      </c>
      <c r="AZ260" s="240">
        <f t="shared" ca="1" si="739"/>
        <v>3.7501461262521372</v>
      </c>
      <c r="BA260" s="666">
        <f t="shared" ca="1" si="739"/>
        <v>3.346532882927971</v>
      </c>
      <c r="BB260" s="229">
        <f t="shared" ca="1" si="739"/>
        <v>3.346532882927971</v>
      </c>
      <c r="BC260" s="667">
        <f t="shared" ref="BC260:BL260" ca="1" si="740">BC247/BC249</f>
        <v>3.4128419245422559</v>
      </c>
      <c r="BD260" s="240">
        <f t="shared" ca="1" si="740"/>
        <v>3.3084424127721301</v>
      </c>
      <c r="BE260" s="240">
        <f t="shared" ca="1" si="740"/>
        <v>3.2140271568534433</v>
      </c>
      <c r="BF260" s="666">
        <f t="shared" ca="1" si="740"/>
        <v>3.1647442478428309</v>
      </c>
      <c r="BG260" s="229">
        <f t="shared" ca="1" si="740"/>
        <v>3.1647442478428309</v>
      </c>
      <c r="BH260" s="667">
        <f t="shared" ca="1" si="740"/>
        <v>3.1107560662360685</v>
      </c>
      <c r="BI260" s="240">
        <f t="shared" ca="1" si="740"/>
        <v>3.0789399509969537</v>
      </c>
      <c r="BJ260" s="240">
        <f t="shared" ca="1" si="740"/>
        <v>3.0562833653576793</v>
      </c>
      <c r="BK260" s="666">
        <f t="shared" ca="1" si="740"/>
        <v>3.0901126398386491</v>
      </c>
      <c r="BL260" s="229">
        <f t="shared" ca="1" si="740"/>
        <v>3.0901126398386491</v>
      </c>
      <c r="BM260" s="667">
        <f t="shared" ref="BM260:BQ260" ca="1" si="741">BM247/BM249</f>
        <v>3.0125073911950997</v>
      </c>
      <c r="BN260" s="240">
        <f t="shared" ca="1" si="741"/>
        <v>3.0952398819376983</v>
      </c>
      <c r="BO260" s="240">
        <f t="shared" ca="1" si="741"/>
        <v>3.1097097476085716</v>
      </c>
      <c r="BP260" s="666">
        <f t="shared" ca="1" si="741"/>
        <v>3.1593155485680136</v>
      </c>
      <c r="BQ260" s="229">
        <f t="shared" ca="1" si="741"/>
        <v>3.1593155485680136</v>
      </c>
      <c r="BT260" s="45"/>
      <c r="DR260"/>
      <c r="DS260"/>
      <c r="DT260"/>
      <c r="DU260"/>
      <c r="DV260"/>
      <c r="DW260"/>
      <c r="DX260" s="37"/>
    </row>
    <row r="261" spans="1:128" s="28" customFormat="1">
      <c r="E261" s="667"/>
      <c r="F261" s="240"/>
      <c r="G261" s="240"/>
      <c r="H261" s="666"/>
      <c r="I261" s="1072"/>
      <c r="J261" s="667"/>
      <c r="K261" s="240"/>
      <c r="L261" s="240"/>
      <c r="M261" s="666"/>
      <c r="N261" s="229"/>
      <c r="O261" s="667"/>
      <c r="P261" s="240"/>
      <c r="Q261" s="240"/>
      <c r="R261" s="666"/>
      <c r="S261" s="229"/>
      <c r="T261" s="667"/>
      <c r="U261" s="240"/>
      <c r="V261" s="240"/>
      <c r="W261" s="666"/>
      <c r="X261" s="229"/>
      <c r="Y261" s="667"/>
      <c r="Z261" s="240"/>
      <c r="AA261" s="240"/>
      <c r="AB261" s="666"/>
      <c r="AC261" s="229"/>
      <c r="AD261" s="667"/>
      <c r="AE261" s="240"/>
      <c r="AF261" s="240"/>
      <c r="AG261" s="666"/>
      <c r="AH261" s="229"/>
      <c r="AI261" s="667"/>
      <c r="AJ261" s="240"/>
      <c r="AK261" s="240"/>
      <c r="AL261" s="666"/>
      <c r="AM261" s="229"/>
      <c r="AN261" s="667"/>
      <c r="AO261" s="240"/>
      <c r="AP261" s="240"/>
      <c r="AQ261" s="666"/>
      <c r="AR261" s="229"/>
      <c r="AS261" s="667"/>
      <c r="AT261" s="240"/>
      <c r="AU261" s="240"/>
      <c r="AV261" s="666"/>
      <c r="AW261" s="229"/>
      <c r="AX261" s="667"/>
      <c r="AY261" s="240"/>
      <c r="AZ261" s="240"/>
      <c r="BA261" s="666"/>
      <c r="BB261" s="229"/>
      <c r="BC261" s="667"/>
      <c r="BD261" s="240"/>
      <c r="BE261" s="240"/>
      <c r="BF261" s="666"/>
      <c r="BG261" s="229"/>
      <c r="BH261" s="667"/>
      <c r="BI261" s="240"/>
      <c r="BJ261" s="240"/>
      <c r="BK261" s="666"/>
      <c r="BL261" s="229"/>
      <c r="BM261" s="667"/>
      <c r="BN261" s="240"/>
      <c r="BO261" s="240"/>
      <c r="BP261" s="666"/>
      <c r="BQ261" s="229"/>
      <c r="BT261" s="45"/>
      <c r="DR261"/>
      <c r="DS261"/>
      <c r="DT261"/>
      <c r="DU261"/>
      <c r="DV261"/>
      <c r="DW261"/>
      <c r="DX261" s="37"/>
    </row>
    <row r="262" spans="1:128">
      <c r="V262" s="28"/>
    </row>
    <row r="263" spans="1:128" s="28" customFormat="1">
      <c r="B263" s="73" t="s">
        <v>544</v>
      </c>
      <c r="C263" s="1074"/>
      <c r="D263" s="1074"/>
      <c r="BT263" s="45"/>
      <c r="DR263"/>
      <c r="DS263"/>
      <c r="DT263"/>
      <c r="DU263"/>
      <c r="DV263"/>
      <c r="DW263"/>
      <c r="DX263" s="37"/>
    </row>
    <row r="264" spans="1:128" s="599" customFormat="1">
      <c r="A264" s="458" t="s">
        <v>400</v>
      </c>
      <c r="C264" s="962" t="s">
        <v>546</v>
      </c>
      <c r="D264" s="1077"/>
      <c r="E264" s="1075">
        <f>I264</f>
        <v>0.371</v>
      </c>
      <c r="F264" s="1075">
        <f>I264</f>
        <v>0.371</v>
      </c>
      <c r="G264" s="1075">
        <f>I264</f>
        <v>0.371</v>
      </c>
      <c r="H264" s="1075">
        <f>I264</f>
        <v>0.371</v>
      </c>
      <c r="I264" s="1075">
        <f>(35%+2.1%)</f>
        <v>0.371</v>
      </c>
      <c r="J264" s="1075">
        <f>N264</f>
        <v>0.38</v>
      </c>
      <c r="K264" s="1075">
        <f>N264</f>
        <v>0.38</v>
      </c>
      <c r="L264" s="1075">
        <f>N264</f>
        <v>0.38</v>
      </c>
      <c r="M264" s="1075">
        <f>N264</f>
        <v>0.38</v>
      </c>
      <c r="N264" s="1075">
        <f>(35%+3%)</f>
        <v>0.38</v>
      </c>
      <c r="O264" s="1075">
        <f>S264</f>
        <v>0.39399999999999996</v>
      </c>
      <c r="P264" s="1075">
        <f>S264</f>
        <v>0.39399999999999996</v>
      </c>
      <c r="Q264" s="1075">
        <f>S264</f>
        <v>0.39399999999999996</v>
      </c>
      <c r="R264" s="1075">
        <f>S264</f>
        <v>0.39399999999999996</v>
      </c>
      <c r="S264" s="1075">
        <f>(35%+4.4%)</f>
        <v>0.39399999999999996</v>
      </c>
      <c r="T264" s="1075">
        <f>X264</f>
        <v>0.31399999999999995</v>
      </c>
      <c r="U264" s="1075">
        <f>X264</f>
        <v>0.31399999999999995</v>
      </c>
      <c r="V264" s="1075">
        <f>X264</f>
        <v>0.31399999999999995</v>
      </c>
      <c r="W264" s="1075">
        <f>X264</f>
        <v>0.31399999999999995</v>
      </c>
      <c r="X264" s="1075">
        <f>(35%-3.6%)</f>
        <v>0.31399999999999995</v>
      </c>
      <c r="Y264" s="1075">
        <v>0.38500000000000001</v>
      </c>
      <c r="Z264" s="1075">
        <f>+Y264</f>
        <v>0.38500000000000001</v>
      </c>
      <c r="AA264" s="1075">
        <f>+AB264</f>
        <v>0.39699999999999996</v>
      </c>
      <c r="AB264" s="1075">
        <f>+AC264</f>
        <v>0.39699999999999996</v>
      </c>
      <c r="AC264" s="1075">
        <f>(35%+4.7%)</f>
        <v>0.39699999999999996</v>
      </c>
      <c r="AD264" s="1075">
        <v>0.38500000000000001</v>
      </c>
      <c r="AE264" s="1075">
        <f>+AD264</f>
        <v>0.38500000000000001</v>
      </c>
      <c r="AF264" s="1075">
        <f>+AE264</f>
        <v>0.38500000000000001</v>
      </c>
      <c r="AG264" s="1075">
        <f>+AF264</f>
        <v>0.38500000000000001</v>
      </c>
      <c r="AH264" s="1075">
        <f>AC264</f>
        <v>0.39699999999999996</v>
      </c>
      <c r="AI264" s="1075">
        <v>0.38500000000000001</v>
      </c>
      <c r="AJ264" s="1075">
        <f>+AI264</f>
        <v>0.38500000000000001</v>
      </c>
      <c r="AK264" s="1075">
        <f>+AJ264</f>
        <v>0.38500000000000001</v>
      </c>
      <c r="AL264" s="1075">
        <f>+AK264</f>
        <v>0.38500000000000001</v>
      </c>
      <c r="AM264" s="1075">
        <f>AH264</f>
        <v>0.39699999999999996</v>
      </c>
      <c r="AN264" s="1075">
        <v>0.38500000000000001</v>
      </c>
      <c r="AO264" s="1075">
        <f>+AN264</f>
        <v>0.38500000000000001</v>
      </c>
      <c r="AP264" s="1075">
        <f>+AO264</f>
        <v>0.38500000000000001</v>
      </c>
      <c r="AQ264" s="1075">
        <f>+AP264</f>
        <v>0.38500000000000001</v>
      </c>
      <c r="AR264" s="1075">
        <f>AM264</f>
        <v>0.39699999999999996</v>
      </c>
      <c r="AS264" s="1075">
        <v>0.38500000000000001</v>
      </c>
      <c r="AT264" s="1075">
        <f>+AS264</f>
        <v>0.38500000000000001</v>
      </c>
      <c r="AU264" s="1075">
        <f>+AT264</f>
        <v>0.38500000000000001</v>
      </c>
      <c r="AV264" s="1075">
        <f>+AU264</f>
        <v>0.38500000000000001</v>
      </c>
      <c r="AW264" s="1075">
        <f>AR264</f>
        <v>0.39699999999999996</v>
      </c>
      <c r="AX264" s="1075">
        <v>0.38500000000000001</v>
      </c>
      <c r="AY264" s="1075">
        <f>+AX264</f>
        <v>0.38500000000000001</v>
      </c>
      <c r="AZ264" s="1075">
        <f>+AY264</f>
        <v>0.38500000000000001</v>
      </c>
      <c r="BA264" s="1075">
        <f>+AZ264</f>
        <v>0.38500000000000001</v>
      </c>
      <c r="BB264" s="1075">
        <f>AW264</f>
        <v>0.39699999999999996</v>
      </c>
      <c r="BC264" s="1075">
        <v>0.38500000000000001</v>
      </c>
      <c r="BD264" s="1075">
        <f>+BC264</f>
        <v>0.38500000000000001</v>
      </c>
      <c r="BE264" s="1075">
        <f>+BD264</f>
        <v>0.38500000000000001</v>
      </c>
      <c r="BF264" s="1075">
        <f>+BE264</f>
        <v>0.38500000000000001</v>
      </c>
      <c r="BG264" s="1075">
        <f>BB264</f>
        <v>0.39699999999999996</v>
      </c>
      <c r="BH264" s="1075">
        <v>0.38500000000000001</v>
      </c>
      <c r="BI264" s="1075">
        <f>+BH264</f>
        <v>0.38500000000000001</v>
      </c>
      <c r="BJ264" s="1075">
        <f>+BI264</f>
        <v>0.38500000000000001</v>
      </c>
      <c r="BK264" s="1075">
        <f>+BJ264</f>
        <v>0.38500000000000001</v>
      </c>
      <c r="BL264" s="1075">
        <f>BG264</f>
        <v>0.39699999999999996</v>
      </c>
      <c r="BM264" s="1075">
        <v>0.38500000000000001</v>
      </c>
      <c r="BN264" s="1075">
        <f>+BM264</f>
        <v>0.38500000000000001</v>
      </c>
      <c r="BO264" s="1075">
        <f>+BN264</f>
        <v>0.38500000000000001</v>
      </c>
      <c r="BP264" s="1075">
        <f>+BO264</f>
        <v>0.38500000000000001</v>
      </c>
      <c r="BQ264" s="1075">
        <f>BL264</f>
        <v>0.39699999999999996</v>
      </c>
      <c r="BR264" s="28"/>
      <c r="BS264" s="28"/>
      <c r="BT264" s="774"/>
      <c r="DR264"/>
      <c r="DS264"/>
      <c r="DT264"/>
      <c r="DU264"/>
      <c r="DV264"/>
      <c r="DW264"/>
      <c r="DX264" s="132"/>
    </row>
    <row r="265" spans="1:128" s="599" customFormat="1">
      <c r="A265" s="458"/>
      <c r="C265" s="962" t="s">
        <v>545</v>
      </c>
      <c r="D265" s="1077"/>
      <c r="E265" s="599">
        <v>0</v>
      </c>
      <c r="F265" s="599">
        <f t="shared" ref="F265:AB265" si="742">E265</f>
        <v>0</v>
      </c>
      <c r="G265" s="599">
        <f t="shared" si="742"/>
        <v>0</v>
      </c>
      <c r="H265" s="599">
        <f t="shared" si="742"/>
        <v>0</v>
      </c>
      <c r="I265" s="599">
        <f>+E265</f>
        <v>0</v>
      </c>
      <c r="J265" s="599">
        <f>H265</f>
        <v>0</v>
      </c>
      <c r="K265" s="599">
        <f t="shared" si="742"/>
        <v>0</v>
      </c>
      <c r="L265" s="599">
        <f t="shared" si="742"/>
        <v>0</v>
      </c>
      <c r="M265" s="599">
        <f t="shared" si="742"/>
        <v>0</v>
      </c>
      <c r="N265" s="599">
        <f>I265</f>
        <v>0</v>
      </c>
      <c r="O265" s="599">
        <f>M265</f>
        <v>0</v>
      </c>
      <c r="P265" s="599">
        <f t="shared" si="742"/>
        <v>0</v>
      </c>
      <c r="Q265" s="599">
        <f t="shared" si="742"/>
        <v>0</v>
      </c>
      <c r="R265" s="599">
        <f t="shared" si="742"/>
        <v>0</v>
      </c>
      <c r="S265" s="599">
        <f>N265</f>
        <v>0</v>
      </c>
      <c r="T265" s="599">
        <f>R265</f>
        <v>0</v>
      </c>
      <c r="U265" s="599">
        <f>S265</f>
        <v>0</v>
      </c>
      <c r="V265" s="599">
        <f>T265</f>
        <v>0</v>
      </c>
      <c r="W265" s="599">
        <f>V265</f>
        <v>0</v>
      </c>
      <c r="X265" s="599">
        <f>S265</f>
        <v>0</v>
      </c>
      <c r="Y265" s="599">
        <f>W265</f>
        <v>0</v>
      </c>
      <c r="Z265" s="599">
        <f t="shared" si="742"/>
        <v>0</v>
      </c>
      <c r="AA265" s="599">
        <f t="shared" si="742"/>
        <v>0</v>
      </c>
      <c r="AB265" s="599">
        <f t="shared" si="742"/>
        <v>0</v>
      </c>
      <c r="AC265" s="599">
        <f>X265</f>
        <v>0</v>
      </c>
      <c r="AD265" s="599">
        <f>AB265</f>
        <v>0</v>
      </c>
      <c r="AE265" s="599">
        <f>AD265</f>
        <v>0</v>
      </c>
      <c r="AF265" s="599">
        <f t="shared" ref="AF265:AL265" si="743">AE265</f>
        <v>0</v>
      </c>
      <c r="AG265" s="599">
        <f t="shared" si="743"/>
        <v>0</v>
      </c>
      <c r="AH265" s="599">
        <f>AC265</f>
        <v>0</v>
      </c>
      <c r="AI265" s="599">
        <f>AG265</f>
        <v>0</v>
      </c>
      <c r="AJ265" s="599">
        <f>AI265</f>
        <v>0</v>
      </c>
      <c r="AK265" s="599">
        <f t="shared" si="743"/>
        <v>0</v>
      </c>
      <c r="AL265" s="599">
        <f t="shared" si="743"/>
        <v>0</v>
      </c>
      <c r="AM265" s="599">
        <f>AH265</f>
        <v>0</v>
      </c>
      <c r="AN265" s="599">
        <f>AL265</f>
        <v>0</v>
      </c>
      <c r="AO265" s="599">
        <f>AN265</f>
        <v>0</v>
      </c>
      <c r="AP265" s="599">
        <f t="shared" ref="AP265" si="744">AO265</f>
        <v>0</v>
      </c>
      <c r="AQ265" s="599">
        <f>AP265</f>
        <v>0</v>
      </c>
      <c r="AR265" s="599">
        <f>AM265</f>
        <v>0</v>
      </c>
      <c r="AS265" s="599">
        <f>AQ265</f>
        <v>0</v>
      </c>
      <c r="AT265" s="599">
        <f>AS265</f>
        <v>0</v>
      </c>
      <c r="AU265" s="599">
        <f t="shared" ref="AU265" si="745">AT265</f>
        <v>0</v>
      </c>
      <c r="AV265" s="599">
        <f>AU265</f>
        <v>0</v>
      </c>
      <c r="AW265" s="599">
        <f>AR265</f>
        <v>0</v>
      </c>
      <c r="AX265" s="599">
        <f>AV265</f>
        <v>0</v>
      </c>
      <c r="AY265" s="599">
        <f>AX265</f>
        <v>0</v>
      </c>
      <c r="AZ265" s="599">
        <f>AY265</f>
        <v>0</v>
      </c>
      <c r="BA265" s="599">
        <f>AZ265</f>
        <v>0</v>
      </c>
      <c r="BB265" s="599">
        <f>AW265</f>
        <v>0</v>
      </c>
      <c r="BC265" s="599">
        <f>BA265</f>
        <v>0</v>
      </c>
      <c r="BD265" s="599">
        <f>BC265</f>
        <v>0</v>
      </c>
      <c r="BE265" s="599">
        <f>BD265</f>
        <v>0</v>
      </c>
      <c r="BF265" s="599">
        <f>BE265</f>
        <v>0</v>
      </c>
      <c r="BG265" s="599">
        <f>BB265</f>
        <v>0</v>
      </c>
      <c r="BH265" s="599">
        <f>BF265</f>
        <v>0</v>
      </c>
      <c r="BI265" s="599">
        <f>BH265</f>
        <v>0</v>
      </c>
      <c r="BJ265" s="599">
        <f>BI265</f>
        <v>0</v>
      </c>
      <c r="BK265" s="599">
        <f>BJ265</f>
        <v>0</v>
      </c>
      <c r="BL265" s="599">
        <f>BG265</f>
        <v>0</v>
      </c>
      <c r="BM265" s="599">
        <f>BK265</f>
        <v>0</v>
      </c>
      <c r="BN265" s="599">
        <f>BM265</f>
        <v>0</v>
      </c>
      <c r="BO265" s="599">
        <f>BN265</f>
        <v>0</v>
      </c>
      <c r="BP265" s="599">
        <f>BO265</f>
        <v>0</v>
      </c>
      <c r="BQ265" s="599">
        <f>BL265</f>
        <v>0</v>
      </c>
      <c r="BR265" s="28"/>
      <c r="BS265" s="28"/>
      <c r="BT265" s="774"/>
      <c r="DR265"/>
      <c r="DS265"/>
      <c r="DT265"/>
      <c r="DU265"/>
      <c r="DV265"/>
      <c r="DW265"/>
      <c r="DX265" s="132"/>
    </row>
    <row r="266" spans="1:128" s="599" customFormat="1">
      <c r="A266" s="1077"/>
      <c r="C266" s="962" t="s">
        <v>555</v>
      </c>
      <c r="D266" s="1077"/>
      <c r="E266" s="1076">
        <f>-E167</f>
        <v>346</v>
      </c>
      <c r="F266" s="1076">
        <f>-F167</f>
        <v>346</v>
      </c>
      <c r="G266" s="1076">
        <f>-G167</f>
        <v>346</v>
      </c>
      <c r="H266" s="1076">
        <f>-H167</f>
        <v>347</v>
      </c>
      <c r="I266" s="1076">
        <f>SUM(E266:H266)</f>
        <v>1385</v>
      </c>
      <c r="J266" s="1076">
        <f>-J167</f>
        <v>347</v>
      </c>
      <c r="K266" s="1076">
        <f>-K167</f>
        <v>347</v>
      </c>
      <c r="L266" s="1076">
        <f>-L167</f>
        <v>348</v>
      </c>
      <c r="M266" s="1076">
        <f>-M167</f>
        <v>347</v>
      </c>
      <c r="N266" s="1076">
        <f>SUM(J266:M266)</f>
        <v>1389</v>
      </c>
      <c r="O266" s="1076">
        <f>-O167</f>
        <v>348</v>
      </c>
      <c r="P266" s="1076">
        <f>-P167</f>
        <v>347</v>
      </c>
      <c r="Q266" s="1076">
        <f>-Q167</f>
        <v>349</v>
      </c>
      <c r="R266" s="1076">
        <f>-R167</f>
        <v>349</v>
      </c>
      <c r="S266" s="1076">
        <f>SUM(O266:R266)</f>
        <v>1393</v>
      </c>
      <c r="T266" s="1076">
        <f>-T167</f>
        <v>350</v>
      </c>
      <c r="U266" s="1076">
        <f>-U167</f>
        <v>474</v>
      </c>
      <c r="V266" s="1076">
        <f>-V167</f>
        <v>453</v>
      </c>
      <c r="W266" s="1076">
        <f>-W167</f>
        <v>439</v>
      </c>
      <c r="X266" s="1076">
        <f>SUM(T266:W266)</f>
        <v>1716</v>
      </c>
      <c r="Y266" s="1076">
        <f>-Y167</f>
        <v>450</v>
      </c>
      <c r="Z266" s="1076">
        <f>-Z167</f>
        <v>266</v>
      </c>
      <c r="AA266" s="1076">
        <f>-AA167</f>
        <v>265</v>
      </c>
      <c r="AB266" s="1076">
        <f>-AB167</f>
        <v>268</v>
      </c>
      <c r="AC266" s="1076">
        <f>SUM(Y266:AB266)</f>
        <v>1249</v>
      </c>
      <c r="AD266" s="1076">
        <f>-AD167</f>
        <v>266</v>
      </c>
      <c r="AE266" s="1076">
        <f>-AE167</f>
        <v>267</v>
      </c>
      <c r="AF266" s="1076">
        <f>-AF167</f>
        <v>266</v>
      </c>
      <c r="AG266" s="1076">
        <f>-AG167</f>
        <v>266</v>
      </c>
      <c r="AH266" s="1076">
        <f>SUM(AD266:AG266)</f>
        <v>1065</v>
      </c>
      <c r="AI266" s="1076">
        <f>-AI167</f>
        <v>269</v>
      </c>
      <c r="AJ266" s="1076">
        <f>-AJ167</f>
        <v>268</v>
      </c>
      <c r="AK266" s="1076">
        <f>-AK167</f>
        <v>282</v>
      </c>
      <c r="AL266" s="1076">
        <f>-AL167</f>
        <v>286</v>
      </c>
      <c r="AM266" s="1076">
        <f>SUM(AI266:AL266)</f>
        <v>1105</v>
      </c>
      <c r="AN266" s="1076">
        <f>-AN167</f>
        <v>287</v>
      </c>
      <c r="AO266" s="1076">
        <f>-AO167</f>
        <v>295</v>
      </c>
      <c r="AP266" s="1076">
        <f>-AP167</f>
        <v>291</v>
      </c>
      <c r="AQ266" s="1076">
        <f>-AQ167</f>
        <v>293</v>
      </c>
      <c r="AR266" s="1076">
        <f>SUM(AN266:AQ266)</f>
        <v>1166</v>
      </c>
      <c r="AS266" s="1076">
        <f>-AS167</f>
        <v>303</v>
      </c>
      <c r="AT266" s="1076">
        <f>-AT167</f>
        <v>304</v>
      </c>
      <c r="AU266" s="1076">
        <f>-AU167</f>
        <v>314</v>
      </c>
      <c r="AV266" s="1076">
        <f>-AV167</f>
        <v>315</v>
      </c>
      <c r="AW266" s="1076">
        <f>SUM(AS266:AV266)</f>
        <v>1236</v>
      </c>
      <c r="AX266" s="1076">
        <f>-AX167</f>
        <v>332.23499999999996</v>
      </c>
      <c r="AY266" s="1076">
        <f>-AY167</f>
        <v>332.23499999999996</v>
      </c>
      <c r="AZ266" s="1076">
        <f>-AZ167</f>
        <v>332.23499999999996</v>
      </c>
      <c r="BA266" s="1076">
        <f>-BA167</f>
        <v>332.23499999999996</v>
      </c>
      <c r="BB266" s="1076">
        <f>SUM(AX266:BA266)</f>
        <v>1328.9399999999998</v>
      </c>
      <c r="BC266" s="1076">
        <f>-BC167</f>
        <v>348.84674999999999</v>
      </c>
      <c r="BD266" s="1076">
        <f>-BD167</f>
        <v>348.84674999999999</v>
      </c>
      <c r="BE266" s="1076">
        <f>-BE167</f>
        <v>348.84674999999999</v>
      </c>
      <c r="BF266" s="1076">
        <f>-BF167</f>
        <v>348.84674999999999</v>
      </c>
      <c r="BG266" s="1076">
        <f>SUM(BC266:BF266)</f>
        <v>1395.3869999999999</v>
      </c>
      <c r="BH266" s="1076">
        <f>-BH167</f>
        <v>366.28908749999999</v>
      </c>
      <c r="BI266" s="1076">
        <f>-BI167</f>
        <v>366.28908749999999</v>
      </c>
      <c r="BJ266" s="1076">
        <f>-BJ167</f>
        <v>366.28908749999999</v>
      </c>
      <c r="BK266" s="1076">
        <f>-BK167</f>
        <v>366.28908749999999</v>
      </c>
      <c r="BL266" s="1076">
        <f>SUM(BH266:BK266)</f>
        <v>1465.15635</v>
      </c>
      <c r="BM266" s="1076">
        <f>-BM167</f>
        <v>384.60354187499996</v>
      </c>
      <c r="BN266" s="1076">
        <f>-BN167</f>
        <v>384.60354187499996</v>
      </c>
      <c r="BO266" s="1076">
        <f>-BO167</f>
        <v>384.60354187499996</v>
      </c>
      <c r="BP266" s="1076">
        <f>-BP167</f>
        <v>384.60354187499996</v>
      </c>
      <c r="BQ266" s="1076">
        <f>SUM(BM266:BP266)</f>
        <v>1538.4141674999998</v>
      </c>
      <c r="BR266" s="28"/>
      <c r="BS266" s="28"/>
      <c r="BT266" s="774"/>
      <c r="DR266"/>
      <c r="DS266"/>
      <c r="DT266"/>
      <c r="DU266"/>
      <c r="DV266"/>
      <c r="DW266"/>
      <c r="DX266" s="132"/>
    </row>
    <row r="267" spans="1:128" s="599" customFormat="1">
      <c r="A267" s="1077"/>
      <c r="C267" s="962" t="s">
        <v>562</v>
      </c>
      <c r="D267" s="1077"/>
      <c r="E267" s="773">
        <f t="shared" ref="E267:U267" si="746">E166</f>
        <v>9</v>
      </c>
      <c r="F267" s="599">
        <f t="shared" si="746"/>
        <v>10</v>
      </c>
      <c r="G267" s="599">
        <f t="shared" si="746"/>
        <v>9</v>
      </c>
      <c r="H267" s="599">
        <f t="shared" si="746"/>
        <v>14</v>
      </c>
      <c r="I267" s="813">
        <f t="shared" si="746"/>
        <v>42</v>
      </c>
      <c r="J267" s="813">
        <f t="shared" si="746"/>
        <v>11</v>
      </c>
      <c r="K267" s="813">
        <f t="shared" si="746"/>
        <v>11</v>
      </c>
      <c r="L267" s="813">
        <f t="shared" si="746"/>
        <v>12</v>
      </c>
      <c r="M267" s="813">
        <f t="shared" si="746"/>
        <v>14</v>
      </c>
      <c r="N267" s="813">
        <f t="shared" si="746"/>
        <v>48</v>
      </c>
      <c r="O267" s="813">
        <f t="shared" si="746"/>
        <v>8</v>
      </c>
      <c r="P267" s="813">
        <f t="shared" si="746"/>
        <v>7</v>
      </c>
      <c r="Q267" s="813">
        <f t="shared" si="746"/>
        <v>11</v>
      </c>
      <c r="R267" s="813">
        <f t="shared" si="746"/>
        <v>12</v>
      </c>
      <c r="S267" s="813">
        <f t="shared" si="746"/>
        <v>38</v>
      </c>
      <c r="T267" s="813">
        <f t="shared" si="746"/>
        <v>12</v>
      </c>
      <c r="U267" s="813">
        <f t="shared" si="746"/>
        <v>30</v>
      </c>
      <c r="V267" s="813">
        <f>V166</f>
        <v>19</v>
      </c>
      <c r="W267" s="813">
        <f t="shared" ref="W267:AR267" si="747">W166</f>
        <v>11</v>
      </c>
      <c r="X267" s="813">
        <f t="shared" si="747"/>
        <v>72</v>
      </c>
      <c r="Y267" s="813">
        <f t="shared" si="747"/>
        <v>12</v>
      </c>
      <c r="Z267" s="813">
        <f t="shared" si="747"/>
        <v>20</v>
      </c>
      <c r="AA267" s="813">
        <f t="shared" si="747"/>
        <v>8</v>
      </c>
      <c r="AB267" s="813">
        <f t="shared" si="747"/>
        <v>7</v>
      </c>
      <c r="AC267" s="813">
        <f t="shared" si="747"/>
        <v>47</v>
      </c>
      <c r="AD267" s="813">
        <f t="shared" si="747"/>
        <v>7</v>
      </c>
      <c r="AE267" s="813">
        <f>AE166</f>
        <v>11</v>
      </c>
      <c r="AF267" s="813">
        <f t="shared" si="747"/>
        <v>7</v>
      </c>
      <c r="AG267" s="813">
        <f t="shared" si="747"/>
        <v>10</v>
      </c>
      <c r="AH267" s="813">
        <f t="shared" si="747"/>
        <v>35</v>
      </c>
      <c r="AI267" s="813">
        <f t="shared" si="747"/>
        <v>8</v>
      </c>
      <c r="AJ267" s="813">
        <f t="shared" si="747"/>
        <v>8</v>
      </c>
      <c r="AK267" s="813">
        <f t="shared" si="747"/>
        <v>1876</v>
      </c>
      <c r="AL267" s="813">
        <f t="shared" si="747"/>
        <v>8</v>
      </c>
      <c r="AM267" s="813">
        <f t="shared" si="747"/>
        <v>1900</v>
      </c>
      <c r="AN267" s="813">
        <f t="shared" si="747"/>
        <v>9</v>
      </c>
      <c r="AO267" s="813">
        <f t="shared" si="747"/>
        <v>8</v>
      </c>
      <c r="AP267" s="813">
        <f t="shared" ref="AP267" si="748">AP166</f>
        <v>19</v>
      </c>
      <c r="AQ267" s="813">
        <f t="shared" si="747"/>
        <v>19</v>
      </c>
      <c r="AR267" s="813">
        <f t="shared" si="747"/>
        <v>55</v>
      </c>
      <c r="AS267" s="813">
        <f t="shared" ref="AS267:BB267" si="749">AS166</f>
        <v>12</v>
      </c>
      <c r="AT267" s="813">
        <f t="shared" si="749"/>
        <v>1181</v>
      </c>
      <c r="AU267" s="813">
        <f t="shared" si="749"/>
        <v>18</v>
      </c>
      <c r="AV267" s="813">
        <f t="shared" si="749"/>
        <v>89</v>
      </c>
      <c r="AW267" s="813">
        <f t="shared" si="749"/>
        <v>1300</v>
      </c>
      <c r="AX267" s="813">
        <f t="shared" si="749"/>
        <v>0</v>
      </c>
      <c r="AY267" s="813">
        <f t="shared" si="749"/>
        <v>0</v>
      </c>
      <c r="AZ267" s="813">
        <f t="shared" si="749"/>
        <v>0</v>
      </c>
      <c r="BA267" s="813">
        <f t="shared" si="749"/>
        <v>0</v>
      </c>
      <c r="BB267" s="813">
        <f t="shared" si="749"/>
        <v>0</v>
      </c>
      <c r="BC267" s="813">
        <f t="shared" ref="BC267:BL267" si="750">BC166</f>
        <v>0</v>
      </c>
      <c r="BD267" s="813">
        <f t="shared" si="750"/>
        <v>0</v>
      </c>
      <c r="BE267" s="813">
        <f t="shared" si="750"/>
        <v>0</v>
      </c>
      <c r="BF267" s="813">
        <f t="shared" si="750"/>
        <v>0</v>
      </c>
      <c r="BG267" s="813">
        <f t="shared" si="750"/>
        <v>0</v>
      </c>
      <c r="BH267" s="813">
        <f t="shared" si="750"/>
        <v>0</v>
      </c>
      <c r="BI267" s="813">
        <f t="shared" si="750"/>
        <v>0</v>
      </c>
      <c r="BJ267" s="813">
        <f t="shared" si="750"/>
        <v>0</v>
      </c>
      <c r="BK267" s="813">
        <f t="shared" si="750"/>
        <v>0</v>
      </c>
      <c r="BL267" s="813">
        <f t="shared" si="750"/>
        <v>0</v>
      </c>
      <c r="BM267" s="813">
        <f t="shared" ref="BM267:BQ267" si="751">BM166</f>
        <v>0</v>
      </c>
      <c r="BN267" s="813">
        <f t="shared" si="751"/>
        <v>0</v>
      </c>
      <c r="BO267" s="813">
        <f t="shared" si="751"/>
        <v>0</v>
      </c>
      <c r="BP267" s="813">
        <f t="shared" si="751"/>
        <v>0</v>
      </c>
      <c r="BQ267" s="813">
        <f t="shared" si="751"/>
        <v>0</v>
      </c>
      <c r="BR267" s="28"/>
      <c r="BS267" s="28"/>
      <c r="BT267" s="774"/>
      <c r="DR267"/>
      <c r="DS267"/>
      <c r="DT267"/>
      <c r="DU267"/>
      <c r="DV267"/>
      <c r="DW267"/>
      <c r="DX267" s="132"/>
    </row>
    <row r="268" spans="1:128" s="599" customFormat="1">
      <c r="A268" s="1077"/>
      <c r="B268" s="28"/>
      <c r="C268" s="1077"/>
      <c r="D268" s="1077"/>
      <c r="BR268" s="28"/>
      <c r="BS268" s="28"/>
      <c r="BT268" s="774"/>
      <c r="DR268"/>
      <c r="DS268"/>
      <c r="DT268"/>
      <c r="DU268"/>
      <c r="DV268"/>
      <c r="DW268"/>
      <c r="DX268" s="132"/>
    </row>
    <row r="270" spans="1:128" customFormat="1"/>
  </sheetData>
  <phoneticPr fontId="2" type="noConversion"/>
  <conditionalFormatting sqref="J111:M112 O111:R112 T111:W112 AX111:BA112 E111:H112 AT111:AU112 Y111:AB112 AD111:AG112 AI111:AL112">
    <cfRule type="expression" dxfId="11" priority="12" stopIfTrue="1">
      <formula>AND(E$6&gt;LastQtr,E$6&lt;=LastQtr+365)</formula>
    </cfRule>
  </conditionalFormatting>
  <conditionalFormatting sqref="C150:C151">
    <cfRule type="cellIs" dxfId="10" priority="13" stopIfTrue="1" operator="equal">
      <formula>0</formula>
    </cfRule>
  </conditionalFormatting>
  <conditionalFormatting sqref="BC111:BF112">
    <cfRule type="expression" dxfId="9" priority="10" stopIfTrue="1">
      <formula>AND(BC$6&gt;LastQtr,BC$6&lt;=LastQtr+365)</formula>
    </cfRule>
  </conditionalFormatting>
  <conditionalFormatting sqref="BH111:BK112">
    <cfRule type="expression" dxfId="8" priority="9" stopIfTrue="1">
      <formula>AND(BH$6&gt;LastQtr,BH$6&lt;=LastQtr+365)</formula>
    </cfRule>
  </conditionalFormatting>
  <conditionalFormatting sqref="AN111:AN112">
    <cfRule type="expression" dxfId="7" priority="8" stopIfTrue="1">
      <formula>AND(AN$6&gt;LastQtr,AN$6&lt;=LastQtr+365)</formula>
    </cfRule>
  </conditionalFormatting>
  <conditionalFormatting sqref="AO111:AO112">
    <cfRule type="expression" dxfId="6" priority="7" stopIfTrue="1">
      <formula>AND(AO$6&gt;LastQtr,AO$6&lt;=LastQtr+365)</formula>
    </cfRule>
  </conditionalFormatting>
  <conditionalFormatting sqref="AP111:AP112">
    <cfRule type="expression" dxfId="5" priority="6" stopIfTrue="1">
      <formula>AND(AP$6&gt;LastQtr,AP$6&lt;=LastQtr+365)</formula>
    </cfRule>
  </conditionalFormatting>
  <conditionalFormatting sqref="AQ111:AQ112">
    <cfRule type="expression" dxfId="4" priority="5" stopIfTrue="1">
      <formula>AND(AQ$6&gt;LastQtr,AQ$6&lt;=LastQtr+365)</formula>
    </cfRule>
  </conditionalFormatting>
  <conditionalFormatting sqref="AS111:AS112">
    <cfRule type="expression" dxfId="3" priority="4" stopIfTrue="1">
      <formula>AND(AS$6&gt;LastQtr,AS$6&lt;=LastQtr+365)</formula>
    </cfRule>
  </conditionalFormatting>
  <conditionalFormatting sqref="BM112:BP112">
    <cfRule type="expression" dxfId="2" priority="3" stopIfTrue="1">
      <formula>AND(BM$6&gt;LastQtr,BM$6&lt;=LastQtr+365)</formula>
    </cfRule>
  </conditionalFormatting>
  <conditionalFormatting sqref="BM111:BP111">
    <cfRule type="expression" dxfId="1" priority="2" stopIfTrue="1">
      <formula>AND(BM$6&gt;LastQtr,BM$6&lt;=LastQtr+365)</formula>
    </cfRule>
  </conditionalFormatting>
  <conditionalFormatting sqref="AV111:AV112">
    <cfRule type="expression" dxfId="0" priority="1" stopIfTrue="1">
      <formula>AND(AV$6&gt;LastQtr,AV$6&lt;=LastQtr+365)</formula>
    </cfRule>
  </conditionalFormatting>
  <printOptions headings="1"/>
  <pageMargins left="0.75" right="0.75" top="1" bottom="1" header="0.5" footer="0.5"/>
  <pageSetup scale="60" orientation="portrait" r:id="rId1"/>
  <headerFooter alignWithMargins="0"/>
  <ignoredErrors>
    <ignoredError sqref="R8:R19" formulaRange="1"/>
  </ignoredError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autoPageBreaks="0"/>
  </sheetPr>
  <dimension ref="A1:ER879"/>
  <sheetViews>
    <sheetView zoomScale="85" zoomScaleNormal="85" workbookViewId="0">
      <pane xSplit="4" ySplit="5" topLeftCell="I6" activePane="bottomRight" state="frozen"/>
      <selection activeCell="C76" sqref="C76"/>
      <selection pane="topRight" activeCell="C76" sqref="C76"/>
      <selection pane="bottomLeft" activeCell="C76" sqref="C76"/>
      <selection pane="bottomRight" activeCell="I6" sqref="I6"/>
    </sheetView>
  </sheetViews>
  <sheetFormatPr defaultRowHeight="12.75" outlineLevelCol="1"/>
  <cols>
    <col min="1" max="2" width="2.7109375" customWidth="1"/>
    <col min="3" max="3" width="45.7109375" customWidth="1"/>
    <col min="4" max="4" width="6.7109375" customWidth="1"/>
    <col min="5" max="8" width="9" hidden="1" customWidth="1" outlineLevel="1"/>
    <col min="9" max="9" width="9" customWidth="1" collapsed="1"/>
    <col min="10" max="13" width="9" hidden="1" customWidth="1" outlineLevel="1"/>
    <col min="14" max="14" width="9" customWidth="1" collapsed="1"/>
    <col min="15" max="18" width="9" hidden="1" customWidth="1" outlineLevel="1"/>
    <col min="19" max="19" width="9" customWidth="1" collapsed="1"/>
    <col min="20" max="20" width="9" hidden="1" customWidth="1" outlineLevel="1"/>
    <col min="21" max="21" width="9" style="19" hidden="1" customWidth="1" outlineLevel="1"/>
    <col min="22" max="23" width="9" hidden="1" customWidth="1" outlineLevel="1"/>
    <col min="24" max="24" width="9"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70" max="72" width="9" style="4" customWidth="1"/>
    <col min="73" max="73" width="21.42578125" bestFit="1" customWidth="1"/>
    <col min="74" max="74" width="27.85546875" customWidth="1"/>
    <col min="75" max="75" width="9.42578125" customWidth="1"/>
    <col min="76" max="76" width="14.42578125" customWidth="1"/>
    <col min="77" max="77" width="14.28515625" customWidth="1"/>
    <col min="78" max="78" width="9" customWidth="1"/>
    <col min="79" max="79" width="9.85546875" bestFit="1" customWidth="1"/>
    <col min="80" max="80" width="9.85546875" customWidth="1"/>
    <col min="81" max="81" width="16.140625" customWidth="1"/>
    <col min="82" max="82" width="19.85546875" customWidth="1"/>
    <col min="83" max="83" width="15.42578125" customWidth="1"/>
    <col min="84" max="84" width="17.85546875" bestFit="1" customWidth="1"/>
    <col min="85" max="85" width="16.140625" bestFit="1" customWidth="1"/>
    <col min="86" max="86" width="19.85546875" bestFit="1" customWidth="1"/>
    <col min="87" max="87" width="15.42578125" bestFit="1" customWidth="1"/>
    <col min="88" max="88" width="17.85546875" bestFit="1" customWidth="1"/>
  </cols>
  <sheetData>
    <row r="1" spans="1:119" ht="15" customHeight="1">
      <c r="A1" s="469"/>
      <c r="B1" s="469"/>
      <c r="C1" s="469"/>
      <c r="D1" s="470"/>
      <c r="E1" s="471"/>
      <c r="F1" s="471"/>
      <c r="G1" s="471"/>
      <c r="H1" s="471"/>
      <c r="I1" s="471"/>
      <c r="J1" s="471"/>
      <c r="K1" s="471"/>
      <c r="L1" s="471"/>
      <c r="M1" s="471"/>
      <c r="N1" s="803"/>
      <c r="O1" s="803"/>
      <c r="P1" s="803"/>
      <c r="Q1" s="803"/>
      <c r="R1" s="803"/>
      <c r="S1" s="803"/>
      <c r="T1" s="803"/>
      <c r="U1" s="1150"/>
      <c r="V1" s="803"/>
      <c r="W1" s="803"/>
      <c r="X1" s="803"/>
      <c r="Y1" s="803"/>
      <c r="Z1" s="803"/>
      <c r="AA1" s="803"/>
      <c r="AB1" s="803"/>
      <c r="AC1" s="803"/>
      <c r="AD1" s="803"/>
      <c r="AE1" s="803"/>
      <c r="AF1" s="803"/>
      <c r="AG1" s="803"/>
      <c r="AH1" s="803"/>
      <c r="AI1" s="803"/>
      <c r="AJ1" s="803"/>
      <c r="AK1" s="803"/>
      <c r="AL1" s="803"/>
      <c r="AM1" s="803"/>
      <c r="AN1" s="803"/>
      <c r="AO1" s="803"/>
      <c r="AP1" s="803"/>
      <c r="AQ1" s="803"/>
      <c r="AR1" s="803"/>
      <c r="AS1" s="803"/>
      <c r="AT1" s="803"/>
      <c r="AU1" s="803"/>
      <c r="AV1" s="803"/>
      <c r="AW1" s="803"/>
      <c r="AX1" s="803"/>
      <c r="AY1" s="803"/>
      <c r="AZ1" s="803"/>
      <c r="BA1" s="803"/>
      <c r="BB1" s="803"/>
      <c r="BC1" s="803"/>
      <c r="BD1" s="803"/>
      <c r="BE1" s="803"/>
      <c r="BF1" s="803"/>
      <c r="BG1" s="803"/>
      <c r="BH1" s="803"/>
      <c r="BI1" s="803"/>
      <c r="BJ1" s="803"/>
      <c r="BK1" s="803"/>
      <c r="BL1" s="803"/>
      <c r="BM1" s="803"/>
      <c r="BN1" s="803"/>
      <c r="BO1" s="803"/>
      <c r="BP1" s="803"/>
      <c r="BQ1" s="803"/>
      <c r="BR1" s="1025"/>
      <c r="BS1" s="1025"/>
      <c r="BT1" s="102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row>
    <row r="2" spans="1:119" ht="15" customHeight="1">
      <c r="A2" s="469"/>
      <c r="B2" s="469" t="str">
        <f>Cover!B2</f>
        <v>Exelon Corporation</v>
      </c>
      <c r="C2" s="469"/>
      <c r="D2" s="470"/>
      <c r="E2" s="471"/>
      <c r="F2" s="471"/>
      <c r="G2" s="471"/>
      <c r="H2" s="471"/>
      <c r="I2" s="471"/>
      <c r="J2" s="471"/>
      <c r="K2" s="471"/>
      <c r="L2" s="471"/>
      <c r="M2" s="471"/>
      <c r="N2" s="471"/>
      <c r="O2" s="471"/>
      <c r="P2" s="471"/>
      <c r="Q2" s="471"/>
      <c r="R2" s="471"/>
      <c r="S2" s="471"/>
      <c r="T2" s="471"/>
      <c r="U2" s="1040"/>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1025"/>
      <c r="BS2" s="1025"/>
      <c r="BT2" s="102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row>
    <row r="3" spans="1:119" ht="15" customHeight="1">
      <c r="A3" s="579"/>
      <c r="B3" s="472" t="s">
        <v>637</v>
      </c>
      <c r="C3" s="472"/>
      <c r="D3" s="471"/>
      <c r="E3" s="471"/>
      <c r="F3" s="471"/>
      <c r="G3" s="471"/>
      <c r="H3" s="471"/>
      <c r="I3" s="471"/>
      <c r="J3" s="471"/>
      <c r="K3" s="471"/>
      <c r="L3" s="471"/>
      <c r="M3" s="471"/>
      <c r="N3" s="471"/>
      <c r="O3" s="471"/>
      <c r="P3" s="471"/>
      <c r="Q3" s="471"/>
      <c r="R3" s="471"/>
      <c r="S3" s="471"/>
      <c r="T3" s="471"/>
      <c r="U3" s="1040"/>
      <c r="V3" s="471"/>
      <c r="W3" s="471"/>
      <c r="X3" s="471"/>
      <c r="Y3" s="471"/>
      <c r="Z3" s="471"/>
      <c r="AA3" s="471"/>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1025"/>
      <c r="BS3" s="1025"/>
      <c r="BT3" s="102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row>
    <row r="4" spans="1:119" ht="15" customHeight="1">
      <c r="A4" s="549"/>
      <c r="B4" s="12" t="s">
        <v>69</v>
      </c>
      <c r="C4" s="12"/>
      <c r="D4" s="550"/>
      <c r="E4" s="473"/>
      <c r="F4" s="473"/>
      <c r="G4" s="473"/>
      <c r="H4" s="473"/>
      <c r="I4" s="473"/>
      <c r="J4" s="473"/>
      <c r="K4" s="473"/>
      <c r="L4" s="473"/>
      <c r="M4" s="473"/>
      <c r="N4" s="473"/>
      <c r="O4" s="473"/>
      <c r="P4" s="473"/>
      <c r="Q4" s="473"/>
      <c r="R4" s="473"/>
      <c r="S4" s="473"/>
      <c r="T4" s="473"/>
      <c r="U4" s="1151"/>
      <c r="V4" s="473"/>
      <c r="W4" s="473"/>
      <c r="X4" s="473"/>
      <c r="Y4" s="473"/>
      <c r="Z4" s="473"/>
      <c r="AA4" s="473"/>
      <c r="AB4" s="473"/>
      <c r="AC4" s="473"/>
      <c r="AD4" s="473"/>
      <c r="AE4" s="473"/>
      <c r="AF4" s="473"/>
      <c r="AG4" s="473"/>
      <c r="AH4" s="473"/>
      <c r="AI4" s="473"/>
      <c r="AJ4" s="473"/>
      <c r="AK4" s="473"/>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3"/>
      <c r="BM4" s="473"/>
      <c r="BN4" s="473"/>
      <c r="BO4" s="473"/>
      <c r="BP4" s="473"/>
      <c r="BQ4" s="473"/>
      <c r="BR4" s="1406"/>
      <c r="BS4" s="1406"/>
      <c r="BT4" s="1406"/>
      <c r="BU4" s="811"/>
      <c r="BV4" s="811"/>
      <c r="BW4" s="811"/>
      <c r="BX4" s="811"/>
      <c r="BY4" s="811"/>
      <c r="BZ4" s="811"/>
      <c r="CA4" s="811"/>
      <c r="CB4" s="811"/>
      <c r="CC4" s="811"/>
      <c r="CD4" s="811"/>
      <c r="CE4" s="811"/>
      <c r="CF4" s="811"/>
      <c r="CG4" s="811"/>
      <c r="CH4" s="811"/>
      <c r="CI4" s="811"/>
      <c r="CJ4" s="811"/>
      <c r="CK4" s="811"/>
      <c r="CL4" s="811"/>
      <c r="CM4" s="811"/>
      <c r="CN4" s="811"/>
      <c r="CO4" s="811"/>
      <c r="CP4" s="811"/>
      <c r="CQ4" s="811"/>
      <c r="CR4" s="811"/>
      <c r="CS4" s="811"/>
      <c r="CT4" s="827"/>
      <c r="CU4" s="811"/>
      <c r="CV4" s="811"/>
      <c r="CW4" s="811"/>
      <c r="CX4" s="811"/>
      <c r="CY4" s="811"/>
      <c r="CZ4" s="811"/>
      <c r="DA4" s="811"/>
      <c r="DB4" s="811"/>
      <c r="DC4" s="811"/>
      <c r="DD4" s="811"/>
      <c r="DE4" s="811"/>
      <c r="DF4" s="811"/>
      <c r="DG4" s="811"/>
      <c r="DH4" s="811"/>
      <c r="DI4" s="811"/>
      <c r="DJ4" s="811"/>
      <c r="DK4" s="811"/>
      <c r="DL4" s="811"/>
      <c r="DM4" s="811"/>
      <c r="DN4" s="811"/>
      <c r="DO4" s="19"/>
    </row>
    <row r="5" spans="1:119" ht="12" customHeight="1">
      <c r="B5" s="552" t="s">
        <v>504</v>
      </c>
      <c r="C5" s="552"/>
      <c r="D5" s="553"/>
      <c r="E5" s="554" t="s">
        <v>358</v>
      </c>
      <c r="F5" s="555" t="s">
        <v>359</v>
      </c>
      <c r="G5" s="555" t="s">
        <v>322</v>
      </c>
      <c r="H5" s="556" t="s">
        <v>323</v>
      </c>
      <c r="I5" s="557">
        <v>2009</v>
      </c>
      <c r="J5" s="554" t="s">
        <v>324</v>
      </c>
      <c r="K5" s="555" t="s">
        <v>325</v>
      </c>
      <c r="L5" s="555" t="s">
        <v>326</v>
      </c>
      <c r="M5" s="556" t="s">
        <v>327</v>
      </c>
      <c r="N5" s="557" t="s">
        <v>112</v>
      </c>
      <c r="O5" s="554" t="s">
        <v>268</v>
      </c>
      <c r="P5" s="555" t="s">
        <v>269</v>
      </c>
      <c r="Q5" s="555" t="s">
        <v>270</v>
      </c>
      <c r="R5" s="556" t="s">
        <v>271</v>
      </c>
      <c r="S5" s="558" t="s">
        <v>619</v>
      </c>
      <c r="T5" s="554" t="s">
        <v>616</v>
      </c>
      <c r="U5" s="555" t="s">
        <v>1201</v>
      </c>
      <c r="V5" s="555" t="s">
        <v>1251</v>
      </c>
      <c r="W5" s="556" t="s">
        <v>1252</v>
      </c>
      <c r="X5" s="558" t="s">
        <v>1253</v>
      </c>
      <c r="Y5" s="554" t="s">
        <v>674</v>
      </c>
      <c r="Z5" s="555" t="s">
        <v>673</v>
      </c>
      <c r="AA5" s="555" t="s">
        <v>919</v>
      </c>
      <c r="AB5" s="556" t="s">
        <v>920</v>
      </c>
      <c r="AC5" s="558" t="s">
        <v>921</v>
      </c>
      <c r="AD5" s="554" t="s">
        <v>1218</v>
      </c>
      <c r="AE5" s="555" t="s">
        <v>1211</v>
      </c>
      <c r="AF5" s="555" t="s">
        <v>1344</v>
      </c>
      <c r="AG5" s="556" t="s">
        <v>1345</v>
      </c>
      <c r="AH5" s="558" t="s">
        <v>1343</v>
      </c>
      <c r="AI5" s="554" t="s">
        <v>1409</v>
      </c>
      <c r="AJ5" s="555" t="s">
        <v>1405</v>
      </c>
      <c r="AK5" s="555" t="s">
        <v>1406</v>
      </c>
      <c r="AL5" s="556" t="s">
        <v>1407</v>
      </c>
      <c r="AM5" s="558" t="s">
        <v>1410</v>
      </c>
      <c r="AN5" s="554" t="s">
        <v>1436</v>
      </c>
      <c r="AO5" s="555" t="s">
        <v>1439</v>
      </c>
      <c r="AP5" s="555" t="s">
        <v>1480</v>
      </c>
      <c r="AQ5" s="556" t="s">
        <v>1501</v>
      </c>
      <c r="AR5" s="558" t="s">
        <v>1502</v>
      </c>
      <c r="AS5" s="554" t="s">
        <v>1515</v>
      </c>
      <c r="AT5" s="555" t="s">
        <v>1534</v>
      </c>
      <c r="AU5" s="555" t="s">
        <v>1536</v>
      </c>
      <c r="AV5" s="556" t="s">
        <v>1538</v>
      </c>
      <c r="AW5" s="558" t="s">
        <v>1539</v>
      </c>
      <c r="AX5" s="554" t="s">
        <v>926</v>
      </c>
      <c r="AY5" s="555" t="s">
        <v>927</v>
      </c>
      <c r="AZ5" s="555" t="s">
        <v>928</v>
      </c>
      <c r="BA5" s="556" t="s">
        <v>929</v>
      </c>
      <c r="BB5" s="558">
        <v>2018</v>
      </c>
      <c r="BC5" s="554" t="s">
        <v>1361</v>
      </c>
      <c r="BD5" s="555" t="s">
        <v>1362</v>
      </c>
      <c r="BE5" s="555" t="s">
        <v>1363</v>
      </c>
      <c r="BF5" s="556" t="s">
        <v>1364</v>
      </c>
      <c r="BG5" s="558">
        <v>2019</v>
      </c>
      <c r="BH5" s="554" t="s">
        <v>1365</v>
      </c>
      <c r="BI5" s="555" t="s">
        <v>1366</v>
      </c>
      <c r="BJ5" s="555" t="s">
        <v>1367</v>
      </c>
      <c r="BK5" s="556" t="s">
        <v>1368</v>
      </c>
      <c r="BL5" s="558">
        <v>2020</v>
      </c>
      <c r="BM5" s="554" t="s">
        <v>1516</v>
      </c>
      <c r="BN5" s="555" t="s">
        <v>1517</v>
      </c>
      <c r="BO5" s="555" t="s">
        <v>1518</v>
      </c>
      <c r="BP5" s="556" t="s">
        <v>1519</v>
      </c>
      <c r="BQ5" s="558">
        <v>2021</v>
      </c>
      <c r="BR5" s="1407"/>
      <c r="BS5" s="1407"/>
      <c r="BT5" s="1407"/>
      <c r="BU5" s="812"/>
      <c r="BV5" s="812"/>
      <c r="BW5" s="812"/>
      <c r="BX5" s="812"/>
      <c r="BY5" s="812"/>
      <c r="BZ5" s="812"/>
      <c r="CA5" s="812"/>
      <c r="CB5" s="812"/>
      <c r="CC5" s="812"/>
      <c r="CD5" s="812"/>
      <c r="CE5" s="812"/>
      <c r="CF5" s="812"/>
      <c r="CG5" s="812"/>
      <c r="CH5" s="812"/>
      <c r="CI5" s="812"/>
      <c r="CJ5" s="812"/>
      <c r="CK5" s="812"/>
      <c r="CL5" s="812"/>
      <c r="CM5" s="812"/>
      <c r="CN5" s="812"/>
      <c r="CO5" s="812"/>
      <c r="CP5" s="812"/>
      <c r="CQ5" s="812"/>
      <c r="CR5" s="812"/>
      <c r="CS5" s="812"/>
      <c r="CT5" s="812"/>
      <c r="CU5" s="812"/>
      <c r="CV5" s="812"/>
      <c r="CW5" s="812"/>
      <c r="CX5" s="812"/>
      <c r="CY5" s="812"/>
      <c r="CZ5" s="812"/>
      <c r="DA5" s="812"/>
      <c r="DB5" s="812"/>
      <c r="DC5" s="812"/>
      <c r="DD5" s="812"/>
      <c r="DE5" s="812"/>
      <c r="DF5" s="812"/>
      <c r="DG5" s="812"/>
      <c r="DH5" s="812"/>
      <c r="DI5" s="812"/>
      <c r="DJ5" s="812"/>
      <c r="DK5" s="812"/>
      <c r="DL5" s="812"/>
      <c r="DM5" s="812"/>
      <c r="DN5" s="812"/>
      <c r="DO5" s="19"/>
    </row>
    <row r="6" spans="1:119">
      <c r="A6" s="1"/>
      <c r="B6" s="1"/>
      <c r="C6" s="1"/>
      <c r="D6" s="1"/>
      <c r="E6" s="300"/>
      <c r="F6" s="264"/>
      <c r="G6" s="264"/>
      <c r="H6" s="299"/>
      <c r="I6" s="330"/>
      <c r="J6" s="300"/>
      <c r="K6" s="264"/>
      <c r="L6" s="264"/>
      <c r="M6" s="299"/>
      <c r="N6" s="530"/>
      <c r="O6" s="300"/>
      <c r="P6" s="264"/>
      <c r="Q6" s="264"/>
      <c r="R6" s="299"/>
      <c r="S6" s="530"/>
      <c r="T6" s="300"/>
      <c r="U6" s="264"/>
      <c r="V6" s="264"/>
      <c r="W6" s="299"/>
      <c r="X6" s="530"/>
      <c r="Y6" s="300"/>
      <c r="Z6" s="264"/>
      <c r="AA6" s="264"/>
      <c r="AB6" s="299"/>
      <c r="AC6" s="530"/>
      <c r="AD6" s="300"/>
      <c r="AE6" s="264"/>
      <c r="AF6" s="264"/>
      <c r="AG6" s="299"/>
      <c r="AH6" s="530"/>
      <c r="AI6" s="300"/>
      <c r="AJ6" s="264"/>
      <c r="AK6" s="264"/>
      <c r="AL6" s="299"/>
      <c r="AM6" s="530"/>
      <c r="AN6" s="300"/>
      <c r="AO6" s="264"/>
      <c r="AP6" s="264"/>
      <c r="AQ6" s="299"/>
      <c r="AR6" s="530"/>
      <c r="AS6" s="300"/>
      <c r="AT6" s="264"/>
      <c r="AU6" s="264"/>
      <c r="AV6" s="299"/>
      <c r="AW6" s="530"/>
      <c r="AX6" s="300"/>
      <c r="AY6" s="264"/>
      <c r="AZ6" s="264"/>
      <c r="BA6" s="299"/>
      <c r="BB6" s="530"/>
      <c r="BC6" s="300"/>
      <c r="BD6" s="264"/>
      <c r="BE6" s="264"/>
      <c r="BF6" s="299"/>
      <c r="BG6" s="530"/>
      <c r="BH6" s="300"/>
      <c r="BI6" s="264"/>
      <c r="BJ6" s="264"/>
      <c r="BK6" s="299"/>
      <c r="BL6" s="530"/>
      <c r="BM6" s="300"/>
      <c r="BN6" s="264"/>
      <c r="BO6" s="264"/>
      <c r="BP6" s="299"/>
      <c r="BQ6" s="530"/>
      <c r="BR6" s="1"/>
      <c r="BS6" s="1"/>
      <c r="BT6" s="1"/>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827"/>
      <c r="CU6" s="19"/>
      <c r="CV6" s="19"/>
      <c r="CW6" s="19"/>
      <c r="CX6" s="19"/>
      <c r="CY6" s="19"/>
      <c r="CZ6" s="19"/>
      <c r="DA6" s="19"/>
      <c r="DB6" s="19"/>
      <c r="DC6" s="19"/>
      <c r="DD6" s="19"/>
      <c r="DE6" s="19"/>
      <c r="DF6" s="19"/>
      <c r="DG6" s="19"/>
      <c r="DH6" s="19"/>
      <c r="DI6" s="19"/>
      <c r="DJ6" s="19"/>
      <c r="DK6" s="19"/>
      <c r="DL6" s="19"/>
      <c r="DM6" s="19"/>
      <c r="DN6" s="19"/>
    </row>
    <row r="7" spans="1:119">
      <c r="A7" s="1"/>
      <c r="B7" s="73" t="s">
        <v>277</v>
      </c>
      <c r="C7" s="246"/>
      <c r="D7" s="15"/>
      <c r="E7" s="300"/>
      <c r="F7" s="264"/>
      <c r="G7" s="264"/>
      <c r="H7" s="299"/>
      <c r="I7" s="330"/>
      <c r="J7" s="300"/>
      <c r="K7" s="264"/>
      <c r="L7" s="264"/>
      <c r="M7" s="299"/>
      <c r="N7" s="330"/>
      <c r="O7" s="300"/>
      <c r="P7" s="264"/>
      <c r="Q7" s="264"/>
      <c r="R7" s="299"/>
      <c r="S7" s="530"/>
      <c r="T7" s="300"/>
      <c r="U7" s="264"/>
      <c r="V7" s="264"/>
      <c r="W7" s="299"/>
      <c r="X7" s="530"/>
      <c r="Y7" s="300"/>
      <c r="Z7" s="264"/>
      <c r="AA7" s="264"/>
      <c r="AB7" s="299"/>
      <c r="AC7" s="530"/>
      <c r="AD7" s="300"/>
      <c r="AE7" s="264"/>
      <c r="AF7" s="264"/>
      <c r="AG7" s="299"/>
      <c r="AH7" s="530"/>
      <c r="AI7" s="300"/>
      <c r="AJ7" s="264"/>
      <c r="AK7" s="264"/>
      <c r="AL7" s="299"/>
      <c r="AM7" s="530"/>
      <c r="AN7" s="300"/>
      <c r="AO7" s="264"/>
      <c r="AP7" s="264"/>
      <c r="AQ7" s="299"/>
      <c r="AR7" s="530"/>
      <c r="AS7" s="300"/>
      <c r="AT7" s="264"/>
      <c r="AU7" s="264"/>
      <c r="AV7" s="299"/>
      <c r="AW7" s="530"/>
      <c r="AX7" s="300"/>
      <c r="AY7" s="264"/>
      <c r="AZ7" s="264"/>
      <c r="BA7" s="299"/>
      <c r="BB7" s="530"/>
      <c r="BC7" s="300"/>
      <c r="BD7" s="264"/>
      <c r="BE7" s="264"/>
      <c r="BF7" s="299"/>
      <c r="BG7" s="530"/>
      <c r="BH7" s="300"/>
      <c r="BI7" s="264"/>
      <c r="BJ7" s="264"/>
      <c r="BK7" s="299"/>
      <c r="BL7" s="530"/>
      <c r="BM7" s="300"/>
      <c r="BN7" s="264"/>
      <c r="BO7" s="264"/>
      <c r="BP7" s="299"/>
      <c r="BQ7" s="530"/>
      <c r="BR7" s="1"/>
      <c r="BS7" s="1"/>
      <c r="BT7" s="1"/>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827"/>
      <c r="CU7" s="19"/>
      <c r="CV7" s="19"/>
      <c r="CW7" s="19"/>
      <c r="CX7" s="19"/>
      <c r="CY7" s="19"/>
      <c r="CZ7" s="19"/>
      <c r="DA7" s="19"/>
      <c r="DB7" s="19"/>
      <c r="DC7" s="19"/>
      <c r="DD7" s="19"/>
      <c r="DE7" s="19"/>
      <c r="DF7" s="19"/>
      <c r="DG7" s="19"/>
      <c r="DH7" s="19"/>
      <c r="DI7" s="19"/>
      <c r="DJ7" s="19"/>
      <c r="DK7" s="19"/>
      <c r="DL7" s="19"/>
      <c r="DM7" s="19"/>
      <c r="DN7" s="19"/>
    </row>
    <row r="8" spans="1:119" s="232" customFormat="1">
      <c r="A8" s="45"/>
      <c r="B8" s="45"/>
      <c r="C8" s="28" t="s">
        <v>60</v>
      </c>
      <c r="D8" s="45"/>
      <c r="E8" s="335">
        <v>2601</v>
      </c>
      <c r="F8" s="336">
        <v>2378</v>
      </c>
      <c r="G8" s="336">
        <v>2445</v>
      </c>
      <c r="H8" s="586">
        <f>I8-SUM(E8:G8)</f>
        <v>2279</v>
      </c>
      <c r="I8" s="427">
        <v>9703</v>
      </c>
      <c r="J8" s="335">
        <v>2421</v>
      </c>
      <c r="K8" s="336">
        <v>2353</v>
      </c>
      <c r="L8" s="336">
        <v>2655</v>
      </c>
      <c r="M8" s="586">
        <f>N8-SUM(J8:L8)</f>
        <v>2596</v>
      </c>
      <c r="N8" s="427">
        <v>10025</v>
      </c>
      <c r="O8" s="335">
        <v>2643</v>
      </c>
      <c r="P8" s="336">
        <v>2546</v>
      </c>
      <c r="Q8" s="336">
        <v>2862</v>
      </c>
      <c r="R8" s="586">
        <f>S8-SUM(O8:Q8)</f>
        <v>2257</v>
      </c>
      <c r="S8" s="427">
        <f>9147+1161</f>
        <v>10308</v>
      </c>
      <c r="T8" s="335">
        <v>2739</v>
      </c>
      <c r="U8" s="336">
        <v>3753</v>
      </c>
      <c r="V8" s="336">
        <v>4017</v>
      </c>
      <c r="W8" s="586">
        <f>X8-SUM(T8:V8)</f>
        <v>3928</v>
      </c>
      <c r="X8" s="427">
        <v>14437</v>
      </c>
      <c r="Y8" s="337">
        <v>3533</v>
      </c>
      <c r="Z8" s="338">
        <v>4070</v>
      </c>
      <c r="AA8" s="338">
        <v>4255</v>
      </c>
      <c r="AB8" s="586">
        <f>AC8-SUM(Y8:AA8)</f>
        <v>3772</v>
      </c>
      <c r="AC8" s="339">
        <v>15630</v>
      </c>
      <c r="AD8" s="337">
        <v>4390</v>
      </c>
      <c r="AE8" s="338">
        <v>3789</v>
      </c>
      <c r="AF8" s="338">
        <v>4412</v>
      </c>
      <c r="AG8" s="586">
        <f>AH8-SUM(AD8:AF8)</f>
        <v>4802</v>
      </c>
      <c r="AH8" s="339">
        <v>17393</v>
      </c>
      <c r="AI8" s="337">
        <v>5840</v>
      </c>
      <c r="AJ8" s="338">
        <v>4232</v>
      </c>
      <c r="AK8" s="338">
        <v>4768</v>
      </c>
      <c r="AL8" s="586">
        <f>AM8-SUM(AI8:AK8)</f>
        <v>4295</v>
      </c>
      <c r="AM8" s="2056">
        <v>19135</v>
      </c>
      <c r="AN8" s="337">
        <v>4739</v>
      </c>
      <c r="AO8" s="338">
        <v>3589</v>
      </c>
      <c r="AP8" s="338">
        <v>5035</v>
      </c>
      <c r="AQ8" s="586">
        <f>AR8-SUM(AN8:AP8)</f>
        <v>4388</v>
      </c>
      <c r="AR8" s="2056">
        <v>17751</v>
      </c>
      <c r="AS8" s="337">
        <v>4888</v>
      </c>
      <c r="AT8" s="338">
        <v>4174</v>
      </c>
      <c r="AU8" s="338">
        <v>4751</v>
      </c>
      <c r="AV8" s="586">
        <f>AW8-SUM(AS8:AU8)</f>
        <v>4653</v>
      </c>
      <c r="AW8" s="2056">
        <v>18466</v>
      </c>
      <c r="AX8" s="290">
        <f>SUM(AX263,AX378,AX549,AX596,AX634,AX723,AX753,AX226)</f>
        <v>2535.2984204452023</v>
      </c>
      <c r="AY8" s="260">
        <f>SUM(AY263,AY378,AY549,AY596,AY634,AY723,AY753,AY226)</f>
        <v>2508.3382330553745</v>
      </c>
      <c r="AZ8" s="260">
        <f>SUM(AZ263,AZ378,AZ549,AZ596,AZ634,AZ723,AZ753,AZ226)</f>
        <v>2599.4726773689354</v>
      </c>
      <c r="BA8" s="291">
        <f>SUM(BA263,BA378,BA549,BA596,BA634,BA723,BA753,BA226)</f>
        <v>2431.2971775115016</v>
      </c>
      <c r="BB8" s="45">
        <f>SUM(AX8:BA8)</f>
        <v>10074.406508381013</v>
      </c>
      <c r="BC8" s="290">
        <f>SUM(BC263,BC378,BC549,BC596,BC634,BC723,BC753,BC226)</f>
        <v>2643.8289145064109</v>
      </c>
      <c r="BD8" s="260">
        <f>SUM(BD263,BD378,BD549,BD596,BD634,BD723,BD753,BD226)</f>
        <v>2308.1081719785484</v>
      </c>
      <c r="BE8" s="260">
        <f>SUM(BE263,BE378,BE549,BE596,BE634,BE723,BE753,BE226)</f>
        <v>2339.7246346547686</v>
      </c>
      <c r="BF8" s="291">
        <f>SUM(BF263,BF378,BF549,BF596,BF634,BF723,BF753,BF226)</f>
        <v>2170.0846270665515</v>
      </c>
      <c r="BG8" s="45">
        <f>SUM(BC8:BF8)</f>
        <v>9461.7463482062794</v>
      </c>
      <c r="BH8" s="290">
        <f>SUM(BH263,BH378,BH549,BH596,BH634,BH723,BH753,BH226)</f>
        <v>2407.5157696034926</v>
      </c>
      <c r="BI8" s="260">
        <f>SUM(BI263,BI378,BI549,BI596,BI634,BI723,BI753,BI226)</f>
        <v>2129.3807786717939</v>
      </c>
      <c r="BJ8" s="260">
        <f>SUM(BJ263,BJ378,BJ549,BJ596,BJ634,BJ723,BJ753,BJ226)</f>
        <v>2287.2435926388134</v>
      </c>
      <c r="BK8" s="291">
        <f>SUM(BK263,BK378,BK549,BK596,BK634,BK723,BK753,BK226)</f>
        <v>2169.8127232665333</v>
      </c>
      <c r="BL8" s="45">
        <f>SUM(BH8:BK8)</f>
        <v>8993.9528641806337</v>
      </c>
      <c r="BM8" s="290">
        <f>SUM(BM263,BM378,BM549,BM596,BM634,BM723,BM753,BM226)</f>
        <v>2246.6743771361994</v>
      </c>
      <c r="BN8" s="260">
        <f>SUM(BN263,BN378,BN549,BN596,BN634,BN723,BN753,BN226)</f>
        <v>2277.4014363813685</v>
      </c>
      <c r="BO8" s="260">
        <f>SUM(BO263,BO378,BO549,BO596,BO634,BO723,BO753,BO226)</f>
        <v>2379.1471307929169</v>
      </c>
      <c r="BP8" s="291">
        <f>SUM(BP263,BP378,BP549,BP596,BP634,BP723,BP753,BP226)</f>
        <v>2266.5025666272586</v>
      </c>
      <c r="BQ8" s="45">
        <f>SUM(BM8:BP8)</f>
        <v>9169.7255109377438</v>
      </c>
      <c r="BR8" s="45"/>
      <c r="BS8" s="45"/>
      <c r="BT8" s="45"/>
      <c r="BU8" s="45"/>
      <c r="BV8" s="45"/>
      <c r="BW8" s="45"/>
      <c r="BX8" s="45"/>
      <c r="BY8" s="45"/>
      <c r="BZ8" s="45"/>
      <c r="CA8" s="45"/>
      <c r="CB8" s="45"/>
      <c r="CC8" s="45"/>
      <c r="CD8" s="45"/>
      <c r="CE8" s="45"/>
      <c r="CF8" s="45"/>
      <c r="CG8" s="45"/>
      <c r="CH8" s="45"/>
      <c r="CI8" s="45"/>
      <c r="CJ8" s="45"/>
      <c r="CK8" s="45"/>
      <c r="CL8" s="45"/>
      <c r="CM8" s="45"/>
      <c r="CN8" s="45"/>
      <c r="CO8" s="45"/>
      <c r="CP8" s="45"/>
      <c r="CQ8" s="45"/>
      <c r="CR8" s="45"/>
      <c r="CS8" s="45"/>
      <c r="CT8" s="828"/>
      <c r="CU8" s="45"/>
      <c r="CV8" s="45"/>
      <c r="CW8" s="45"/>
      <c r="CX8" s="45"/>
      <c r="CY8" s="45"/>
      <c r="CZ8" s="45"/>
      <c r="DA8" s="45"/>
      <c r="DB8" s="45"/>
      <c r="DC8" s="45"/>
      <c r="DD8" s="45"/>
      <c r="DE8" s="45"/>
      <c r="DF8" s="45"/>
      <c r="DG8" s="45"/>
      <c r="DH8" s="45"/>
      <c r="DI8" s="45"/>
      <c r="DJ8" s="45"/>
      <c r="DK8" s="45"/>
      <c r="DL8" s="45"/>
      <c r="DM8" s="45"/>
      <c r="DN8" s="45"/>
    </row>
    <row r="9" spans="1:119" s="232" customFormat="1">
      <c r="A9" s="45"/>
      <c r="B9" s="45"/>
      <c r="C9" s="1" t="s">
        <v>1025</v>
      </c>
      <c r="D9" s="45"/>
      <c r="E9" s="335">
        <v>685</v>
      </c>
      <c r="F9" s="336">
        <v>891</v>
      </c>
      <c r="G9" s="336">
        <v>682</v>
      </c>
      <c r="H9" s="586">
        <f>I9-SUM(E9:G9)</f>
        <v>674</v>
      </c>
      <c r="I9" s="427">
        <v>2932</v>
      </c>
      <c r="J9" s="335">
        <v>599</v>
      </c>
      <c r="K9" s="336">
        <v>899</v>
      </c>
      <c r="L9" s="336">
        <v>945</v>
      </c>
      <c r="M9" s="586">
        <f>N9-SUM(J9:L9)</f>
        <v>1020</v>
      </c>
      <c r="N9" s="427">
        <v>3463</v>
      </c>
      <c r="O9" s="335">
        <v>883</v>
      </c>
      <c r="P9" s="336">
        <v>932</v>
      </c>
      <c r="Q9" s="336">
        <v>1112</v>
      </c>
      <c r="R9" s="586">
        <f>S9-SUM(O9:Q9)</f>
        <v>523</v>
      </c>
      <c r="S9" s="427">
        <v>3450</v>
      </c>
      <c r="T9" s="335">
        <v>1044</v>
      </c>
      <c r="U9" s="336">
        <v>1852</v>
      </c>
      <c r="V9" s="336">
        <v>2122</v>
      </c>
      <c r="W9" s="586">
        <f>X9-SUM(T9:V9)</f>
        <v>2043</v>
      </c>
      <c r="X9" s="427">
        <v>7061</v>
      </c>
      <c r="Y9" s="337">
        <v>2169</v>
      </c>
      <c r="Z9" s="338">
        <v>1946</v>
      </c>
      <c r="AA9" s="338">
        <v>2179</v>
      </c>
      <c r="AB9" s="586">
        <f>AC9-SUM(Y9:AA9)</f>
        <v>1903</v>
      </c>
      <c r="AC9" s="339">
        <f>6927+1270</f>
        <v>8197</v>
      </c>
      <c r="AD9" s="337">
        <f>3008+349</f>
        <v>3357</v>
      </c>
      <c r="AE9" s="338">
        <f>1766+69</f>
        <v>1835</v>
      </c>
      <c r="AF9" s="338">
        <f>1821+59</f>
        <v>1880</v>
      </c>
      <c r="AG9" s="586">
        <f>AH9-SUM(AD9:AF9)</f>
        <v>2853</v>
      </c>
      <c r="AH9" s="339">
        <f>9368+557</f>
        <v>9925</v>
      </c>
      <c r="AI9" s="337">
        <v>3433</v>
      </c>
      <c r="AJ9" s="338">
        <v>1849</v>
      </c>
      <c r="AK9" s="338">
        <v>2519</v>
      </c>
      <c r="AL9" s="586">
        <f>AM9-SUM(AI9:AK9)</f>
        <v>2220</v>
      </c>
      <c r="AM9" s="2056">
        <v>10021</v>
      </c>
      <c r="AN9" s="337">
        <v>2442</v>
      </c>
      <c r="AO9" s="338">
        <v>1577</v>
      </c>
      <c r="AP9" s="338">
        <f>2584+5</f>
        <v>2589</v>
      </c>
      <c r="AQ9" s="586">
        <f>AR9-SUM(AN9:AP9)</f>
        <v>2222</v>
      </c>
      <c r="AR9" s="2056">
        <v>8830</v>
      </c>
      <c r="AS9" s="337">
        <f>2796+2</f>
        <v>2798</v>
      </c>
      <c r="AT9" s="338">
        <f>2156+1</f>
        <v>2157</v>
      </c>
      <c r="AU9" s="338">
        <f>2315+16</f>
        <v>2331</v>
      </c>
      <c r="AV9" s="586">
        <f>AW9-SUM(AS9:AU9)</f>
        <v>2404</v>
      </c>
      <c r="AW9" s="2056">
        <f>9671+19</f>
        <v>9690</v>
      </c>
      <c r="AX9" s="290">
        <f>SUM(AX264,AX379,AX550,AX597,AX635)</f>
        <v>532.39632256018183</v>
      </c>
      <c r="AY9" s="260">
        <f>SUM(AY264,AY379,AY550,AY597,AY635)</f>
        <v>508.4575470102647</v>
      </c>
      <c r="AZ9" s="260">
        <f>SUM(AZ264,AZ379,AZ550,AZ597,AZ635)</f>
        <v>515.60709144882355</v>
      </c>
      <c r="BA9" s="291">
        <f>SUM(BA264,BA379,BA550,BA597,BA635)</f>
        <v>514.84200928058829</v>
      </c>
      <c r="BB9" s="45">
        <f>SUM(AX9:BA9)</f>
        <v>2071.3029702998583</v>
      </c>
      <c r="BC9" s="290">
        <f>SUM(BC264,BC379,BC550,BC597,BC635)</f>
        <v>553.32526958408846</v>
      </c>
      <c r="BD9" s="260">
        <f>SUM(BD264,BD379,BD550,BD597,BD635)</f>
        <v>464.10138191572338</v>
      </c>
      <c r="BE9" s="260">
        <f>SUM(BE264,BE379,BE550,BE597,BE635)</f>
        <v>468.71540042435396</v>
      </c>
      <c r="BF9" s="291">
        <f>SUM(BF264,BF379,BF550,BF597,BF635)</f>
        <v>446.1135542722302</v>
      </c>
      <c r="BG9" s="45">
        <f>SUM(BC9:BF9)</f>
        <v>1932.255606196396</v>
      </c>
      <c r="BH9" s="290">
        <f>SUM(BH264,BH379,BH550,BH597,BH635)</f>
        <v>493.08801850599065</v>
      </c>
      <c r="BI9" s="260">
        <f>SUM(BI264,BI379,BI550,BI597,BI635)</f>
        <v>432.82847772243281</v>
      </c>
      <c r="BJ9" s="260">
        <f>SUM(BJ264,BJ379,BJ550,BJ597,BJ635)</f>
        <v>437.50465718741083</v>
      </c>
      <c r="BK9" s="291">
        <f>SUM(BK264,BK379,BK550,BK597,BK635)</f>
        <v>428.26949216499332</v>
      </c>
      <c r="BL9" s="45">
        <f>SUM(BH9:BK9)</f>
        <v>1791.6906455808278</v>
      </c>
      <c r="BM9" s="290">
        <f>SUM(BM264,BM379,BM550,BM597,BM635)</f>
        <v>476.27443533154644</v>
      </c>
      <c r="BN9" s="260">
        <f>SUM(BN264,BN379,BN550,BN597,BN635)</f>
        <v>479.31756511587946</v>
      </c>
      <c r="BO9" s="260">
        <f>SUM(BO264,BO379,BO550,BO597,BO635)</f>
        <v>479.31756511587946</v>
      </c>
      <c r="BP9" s="291">
        <f>SUM(BP264,BP379,BP550,BP597,BP635)</f>
        <v>455.6482845071256</v>
      </c>
      <c r="BQ9" s="45">
        <f>SUM(BM9:BP9)</f>
        <v>1890.557850070431</v>
      </c>
      <c r="BR9" s="45"/>
      <c r="BS9" s="45"/>
      <c r="BT9" s="45"/>
      <c r="BU9" s="45"/>
      <c r="BV9" s="45"/>
      <c r="BW9" s="45"/>
      <c r="BX9" s="45"/>
      <c r="BY9" s="45"/>
      <c r="BZ9" s="45"/>
      <c r="CA9" s="45"/>
      <c r="CB9" s="45"/>
      <c r="CC9" s="45"/>
      <c r="CD9" s="45"/>
      <c r="CE9" s="45"/>
      <c r="CF9" s="45"/>
      <c r="CG9" s="45"/>
      <c r="CH9" s="45"/>
      <c r="CI9" s="45"/>
      <c r="CJ9" s="45"/>
      <c r="CK9" s="45"/>
      <c r="CL9" s="45"/>
      <c r="CM9" s="45"/>
      <c r="CN9" s="45"/>
      <c r="CO9" s="45"/>
      <c r="CP9" s="45"/>
      <c r="CQ9" s="45"/>
      <c r="CR9" s="45"/>
      <c r="CS9" s="45"/>
      <c r="CT9" s="828"/>
      <c r="CU9" s="45"/>
      <c r="CV9" s="45"/>
      <c r="CW9" s="45"/>
      <c r="CX9" s="45"/>
      <c r="CY9" s="45"/>
      <c r="CZ9" s="45"/>
      <c r="DA9" s="45"/>
      <c r="DB9" s="45"/>
      <c r="DC9" s="45"/>
      <c r="DD9" s="45"/>
      <c r="DE9" s="45"/>
      <c r="DF9" s="45"/>
      <c r="DG9" s="45"/>
      <c r="DH9" s="45"/>
      <c r="DI9" s="45"/>
      <c r="DJ9" s="45"/>
      <c r="DK9" s="45"/>
      <c r="DL9" s="45"/>
      <c r="DM9" s="45"/>
      <c r="DN9" s="45"/>
    </row>
    <row r="10" spans="1:119">
      <c r="A10" s="228"/>
      <c r="B10" s="228"/>
      <c r="C10" s="32" t="s">
        <v>1045</v>
      </c>
      <c r="D10" s="228"/>
      <c r="E10" s="292">
        <f t="shared" ref="E10:AJ10" si="0">E8-E9</f>
        <v>1916</v>
      </c>
      <c r="F10" s="261">
        <f t="shared" si="0"/>
        <v>1487</v>
      </c>
      <c r="G10" s="261">
        <f t="shared" si="0"/>
        <v>1763</v>
      </c>
      <c r="H10" s="293">
        <f t="shared" si="0"/>
        <v>1605</v>
      </c>
      <c r="I10" s="228">
        <f t="shared" si="0"/>
        <v>6771</v>
      </c>
      <c r="J10" s="292">
        <f t="shared" si="0"/>
        <v>1822</v>
      </c>
      <c r="K10" s="261">
        <f t="shared" si="0"/>
        <v>1454</v>
      </c>
      <c r="L10" s="261">
        <f t="shared" si="0"/>
        <v>1710</v>
      </c>
      <c r="M10" s="293">
        <f t="shared" si="0"/>
        <v>1576</v>
      </c>
      <c r="N10" s="228">
        <f t="shared" si="0"/>
        <v>6562</v>
      </c>
      <c r="O10" s="292">
        <f t="shared" si="0"/>
        <v>1760</v>
      </c>
      <c r="P10" s="261">
        <f t="shared" si="0"/>
        <v>1614</v>
      </c>
      <c r="Q10" s="261">
        <f t="shared" si="0"/>
        <v>1750</v>
      </c>
      <c r="R10" s="293">
        <f t="shared" si="0"/>
        <v>1734</v>
      </c>
      <c r="S10" s="228">
        <f t="shared" si="0"/>
        <v>6858</v>
      </c>
      <c r="T10" s="292">
        <f t="shared" si="0"/>
        <v>1695</v>
      </c>
      <c r="U10" s="261">
        <f t="shared" si="0"/>
        <v>1901</v>
      </c>
      <c r="V10" s="261">
        <f t="shared" si="0"/>
        <v>1895</v>
      </c>
      <c r="W10" s="293">
        <f t="shared" si="0"/>
        <v>1885</v>
      </c>
      <c r="X10" s="228">
        <f t="shared" si="0"/>
        <v>7376</v>
      </c>
      <c r="Y10" s="292">
        <f t="shared" si="0"/>
        <v>1364</v>
      </c>
      <c r="Z10" s="261">
        <f t="shared" si="0"/>
        <v>2124</v>
      </c>
      <c r="AA10" s="261">
        <f t="shared" si="0"/>
        <v>2076</v>
      </c>
      <c r="AB10" s="293">
        <f t="shared" si="0"/>
        <v>1869</v>
      </c>
      <c r="AC10" s="228">
        <f t="shared" si="0"/>
        <v>7433</v>
      </c>
      <c r="AD10" s="292">
        <f t="shared" si="0"/>
        <v>1033</v>
      </c>
      <c r="AE10" s="261">
        <f t="shared" si="0"/>
        <v>1954</v>
      </c>
      <c r="AF10" s="261">
        <f t="shared" si="0"/>
        <v>2532</v>
      </c>
      <c r="AG10" s="293">
        <f t="shared" si="0"/>
        <v>1949</v>
      </c>
      <c r="AH10" s="228">
        <f t="shared" si="0"/>
        <v>7468</v>
      </c>
      <c r="AI10" s="292">
        <f t="shared" si="0"/>
        <v>2407</v>
      </c>
      <c r="AJ10" s="261">
        <f t="shared" si="0"/>
        <v>2383</v>
      </c>
      <c r="AK10" s="261">
        <f t="shared" ref="AK10:BL10" si="1">AK8-AK9</f>
        <v>2249</v>
      </c>
      <c r="AL10" s="293">
        <f t="shared" si="1"/>
        <v>2075</v>
      </c>
      <c r="AM10" s="228">
        <f t="shared" si="1"/>
        <v>9114</v>
      </c>
      <c r="AN10" s="292">
        <f t="shared" si="1"/>
        <v>2297</v>
      </c>
      <c r="AO10" s="261">
        <f t="shared" si="1"/>
        <v>2012</v>
      </c>
      <c r="AP10" s="261">
        <f t="shared" ref="AP10:AT10" si="2">AP8-AP9</f>
        <v>2446</v>
      </c>
      <c r="AQ10" s="293">
        <f t="shared" si="2"/>
        <v>2166</v>
      </c>
      <c r="AR10" s="228">
        <f t="shared" si="2"/>
        <v>8921</v>
      </c>
      <c r="AS10" s="292">
        <f t="shared" si="2"/>
        <v>2090</v>
      </c>
      <c r="AT10" s="261">
        <f t="shared" si="2"/>
        <v>2017</v>
      </c>
      <c r="AU10" s="261">
        <f t="shared" si="1"/>
        <v>2420</v>
      </c>
      <c r="AV10" s="293">
        <f t="shared" si="1"/>
        <v>2249</v>
      </c>
      <c r="AW10" s="228">
        <f t="shared" si="1"/>
        <v>8776</v>
      </c>
      <c r="AX10" s="292">
        <f t="shared" si="1"/>
        <v>2002.9020978850203</v>
      </c>
      <c r="AY10" s="261">
        <f t="shared" si="1"/>
        <v>1999.8806860451098</v>
      </c>
      <c r="AZ10" s="261">
        <f t="shared" si="1"/>
        <v>2083.8655859201117</v>
      </c>
      <c r="BA10" s="293">
        <f t="shared" si="1"/>
        <v>1916.4551682309134</v>
      </c>
      <c r="BB10" s="228">
        <f t="shared" si="1"/>
        <v>8003.1035380811545</v>
      </c>
      <c r="BC10" s="292">
        <f t="shared" si="1"/>
        <v>2090.5036449223226</v>
      </c>
      <c r="BD10" s="261">
        <f t="shared" si="1"/>
        <v>1844.0067900628251</v>
      </c>
      <c r="BE10" s="261">
        <f t="shared" si="1"/>
        <v>1871.0092342304147</v>
      </c>
      <c r="BF10" s="293">
        <f t="shared" si="1"/>
        <v>1723.9710727943213</v>
      </c>
      <c r="BG10" s="228">
        <f t="shared" si="1"/>
        <v>7529.4907420098834</v>
      </c>
      <c r="BH10" s="292">
        <f t="shared" si="1"/>
        <v>1914.4277510975019</v>
      </c>
      <c r="BI10" s="261">
        <f t="shared" si="1"/>
        <v>1696.5523009493611</v>
      </c>
      <c r="BJ10" s="261">
        <f t="shared" si="1"/>
        <v>1849.7389354514025</v>
      </c>
      <c r="BK10" s="293">
        <f t="shared" si="1"/>
        <v>1741.54323110154</v>
      </c>
      <c r="BL10" s="228">
        <f t="shared" si="1"/>
        <v>7202.2622185998061</v>
      </c>
      <c r="BM10" s="292">
        <f t="shared" ref="BM10:BQ10" si="3">BM8-BM9</f>
        <v>1770.3999418046528</v>
      </c>
      <c r="BN10" s="261">
        <f t="shared" si="3"/>
        <v>1798.0838712654891</v>
      </c>
      <c r="BO10" s="261">
        <f t="shared" si="3"/>
        <v>1899.8295656770374</v>
      </c>
      <c r="BP10" s="293">
        <f t="shared" si="3"/>
        <v>1810.8542821201331</v>
      </c>
      <c r="BQ10" s="228">
        <f t="shared" si="3"/>
        <v>7279.1676608673133</v>
      </c>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824"/>
      <c r="CU10" s="228"/>
      <c r="CV10" s="228"/>
      <c r="CW10" s="228"/>
      <c r="CX10" s="228"/>
      <c r="CY10" s="228"/>
      <c r="CZ10" s="228"/>
      <c r="DA10" s="228"/>
      <c r="DB10" s="228"/>
      <c r="DC10" s="228"/>
      <c r="DD10" s="228"/>
      <c r="DE10" s="228"/>
      <c r="DF10" s="228"/>
      <c r="DG10" s="228"/>
      <c r="DH10" s="228"/>
      <c r="DI10" s="228"/>
      <c r="DJ10" s="228"/>
      <c r="DK10" s="228"/>
      <c r="DL10" s="228"/>
      <c r="DM10" s="228"/>
      <c r="DN10" s="228"/>
    </row>
    <row r="11" spans="1:119">
      <c r="A11" s="228"/>
      <c r="B11" s="228"/>
      <c r="C11" s="32"/>
      <c r="D11" s="228"/>
      <c r="E11" s="292"/>
      <c r="F11" s="261"/>
      <c r="G11" s="261"/>
      <c r="H11" s="293"/>
      <c r="I11" s="228"/>
      <c r="J11" s="292"/>
      <c r="K11" s="261"/>
      <c r="L11" s="261"/>
      <c r="M11" s="293"/>
      <c r="N11" s="228"/>
      <c r="O11" s="292"/>
      <c r="P11" s="261"/>
      <c r="Q11" s="261"/>
      <c r="R11" s="293"/>
      <c r="S11" s="228"/>
      <c r="T11" s="292"/>
      <c r="U11" s="261"/>
      <c r="V11" s="261"/>
      <c r="W11" s="293"/>
      <c r="X11" s="228"/>
      <c r="Y11" s="292"/>
      <c r="Z11" s="261"/>
      <c r="AA11" s="261"/>
      <c r="AB11" s="293"/>
      <c r="AC11" s="228"/>
      <c r="AD11" s="292"/>
      <c r="AE11" s="261"/>
      <c r="AF11" s="261"/>
      <c r="AG11" s="293"/>
      <c r="AH11" s="228"/>
      <c r="AI11" s="292"/>
      <c r="AJ11" s="261"/>
      <c r="AK11" s="261"/>
      <c r="AL11" s="293"/>
      <c r="AM11" s="228"/>
      <c r="AN11" s="292"/>
      <c r="AO11" s="261"/>
      <c r="AP11" s="261"/>
      <c r="AQ11" s="293"/>
      <c r="AR11" s="228"/>
      <c r="AS11" s="292"/>
      <c r="AT11" s="261"/>
      <c r="AU11" s="261"/>
      <c r="AV11" s="293"/>
      <c r="AW11" s="228"/>
      <c r="AX11" s="292"/>
      <c r="AY11" s="261"/>
      <c r="AZ11" s="261"/>
      <c r="BA11" s="293"/>
      <c r="BB11" s="228"/>
      <c r="BC11" s="292"/>
      <c r="BD11" s="261"/>
      <c r="BE11" s="261"/>
      <c r="BF11" s="293"/>
      <c r="BG11" s="228"/>
      <c r="BH11" s="292"/>
      <c r="BI11" s="261"/>
      <c r="BJ11" s="261"/>
      <c r="BK11" s="293"/>
      <c r="BL11" s="228"/>
      <c r="BM11" s="292"/>
      <c r="BN11" s="261"/>
      <c r="BO11" s="261"/>
      <c r="BP11" s="293"/>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824"/>
      <c r="CU11" s="228"/>
      <c r="CV11" s="228"/>
      <c r="CW11" s="228"/>
      <c r="CX11" s="228"/>
      <c r="CY11" s="228"/>
      <c r="CZ11" s="228"/>
      <c r="DA11" s="228"/>
      <c r="DB11" s="228"/>
      <c r="DC11" s="228"/>
      <c r="DD11" s="228"/>
      <c r="DE11" s="228"/>
      <c r="DF11" s="228"/>
      <c r="DG11" s="228"/>
      <c r="DH11" s="228"/>
      <c r="DI11" s="228"/>
      <c r="DJ11" s="228"/>
      <c r="DK11" s="228"/>
      <c r="DL11" s="228"/>
      <c r="DM11" s="228"/>
      <c r="DN11" s="228"/>
    </row>
    <row r="12" spans="1:119">
      <c r="A12" s="330"/>
      <c r="B12" s="330"/>
      <c r="C12" s="28" t="s">
        <v>64</v>
      </c>
      <c r="D12" s="330"/>
      <c r="E12" s="335">
        <v>928</v>
      </c>
      <c r="F12" s="336">
        <v>689</v>
      </c>
      <c r="G12" s="336">
        <v>592</v>
      </c>
      <c r="H12" s="586">
        <f>I12-SUM(E12:G12)</f>
        <v>729</v>
      </c>
      <c r="I12" s="427">
        <v>2938</v>
      </c>
      <c r="J12" s="335">
        <v>740</v>
      </c>
      <c r="K12" s="336">
        <v>691</v>
      </c>
      <c r="L12" s="336">
        <v>649</v>
      </c>
      <c r="M12" s="586">
        <f>N12-SUM(J12:L12)</f>
        <v>732</v>
      </c>
      <c r="N12" s="427">
        <v>2812</v>
      </c>
      <c r="O12" s="335">
        <v>754</v>
      </c>
      <c r="P12" s="336">
        <v>763</v>
      </c>
      <c r="Q12" s="336">
        <v>790</v>
      </c>
      <c r="R12" s="586">
        <f>S12-SUM(O12:Q12)</f>
        <v>841</v>
      </c>
      <c r="S12" s="427">
        <f>2827+321</f>
        <v>3148</v>
      </c>
      <c r="T12" s="335">
        <v>1175</v>
      </c>
      <c r="U12" s="336">
        <v>1166</v>
      </c>
      <c r="V12" s="336">
        <f>1289+126</f>
        <v>1415</v>
      </c>
      <c r="W12" s="586">
        <f>X12-SUM(T12:V12)</f>
        <v>1272</v>
      </c>
      <c r="X12" s="427">
        <f>4398+630</f>
        <v>5028</v>
      </c>
      <c r="Y12" s="337">
        <f>965+147</f>
        <v>1112</v>
      </c>
      <c r="Z12" s="338">
        <f>1041+148</f>
        <v>1189</v>
      </c>
      <c r="AA12" s="338">
        <f>936+140</f>
        <v>1076</v>
      </c>
      <c r="AB12" s="586">
        <f>AC12-SUM(Y12:AA12)</f>
        <v>1157</v>
      </c>
      <c r="AC12" s="339">
        <f>3960+574</f>
        <v>4534</v>
      </c>
      <c r="AD12" s="337">
        <f>938+149</f>
        <v>1087</v>
      </c>
      <c r="AE12" s="338">
        <f>1255+158</f>
        <v>1413</v>
      </c>
      <c r="AF12" s="338">
        <f>1114+152</f>
        <v>1266</v>
      </c>
      <c r="AG12" s="586">
        <f>AH12-SUM(AD12:AF12)</f>
        <v>1800</v>
      </c>
      <c r="AH12" s="339">
        <f>4943+623</f>
        <v>5566</v>
      </c>
      <c r="AI12" s="337">
        <v>1311</v>
      </c>
      <c r="AJ12" s="338">
        <v>1308</v>
      </c>
      <c r="AK12" s="338">
        <v>1241</v>
      </c>
      <c r="AL12" s="586">
        <f>AM12-SUM(AI12:AK12)</f>
        <v>1448</v>
      </c>
      <c r="AM12" s="2056">
        <v>5308</v>
      </c>
      <c r="AN12" s="337">
        <v>1467</v>
      </c>
      <c r="AO12" s="338">
        <v>1530</v>
      </c>
      <c r="AP12" s="338">
        <f>1189+147</f>
        <v>1336</v>
      </c>
      <c r="AQ12" s="586">
        <f>AR12-SUM(AN12:AP12)</f>
        <v>1308</v>
      </c>
      <c r="AR12" s="2056">
        <v>5641</v>
      </c>
      <c r="AS12" s="337">
        <f>1309+179</f>
        <v>1488</v>
      </c>
      <c r="AT12" s="338">
        <f>1824+186</f>
        <v>2010</v>
      </c>
      <c r="AU12" s="338">
        <f>1203+171</f>
        <v>1374</v>
      </c>
      <c r="AV12" s="586">
        <f>AW12-SUM(AS12:AU12)</f>
        <v>1419</v>
      </c>
      <c r="AW12" s="2056">
        <f>5594+697</f>
        <v>6291</v>
      </c>
      <c r="AX12" s="300">
        <f>AX757</f>
        <v>1031.25045</v>
      </c>
      <c r="AY12" s="264">
        <f>AY757</f>
        <v>1193.20705</v>
      </c>
      <c r="AZ12" s="264">
        <f>AZ757</f>
        <v>1031.25045</v>
      </c>
      <c r="BA12" s="299">
        <f>BA757</f>
        <v>1193.20705</v>
      </c>
      <c r="BB12" s="45">
        <f>SUM(AX12:BA12)</f>
        <v>4448.915</v>
      </c>
      <c r="BC12" s="300">
        <f>BC757</f>
        <v>990.27543019999996</v>
      </c>
      <c r="BD12" s="264">
        <f>BD757</f>
        <v>1145.1059398</v>
      </c>
      <c r="BE12" s="264">
        <f>BE757</f>
        <v>990.27543019999996</v>
      </c>
      <c r="BF12" s="299">
        <f>BF757</f>
        <v>1145.1059398</v>
      </c>
      <c r="BG12" s="45">
        <f>SUM(BC12:BF12)</f>
        <v>4270.7627400000001</v>
      </c>
      <c r="BH12" s="300">
        <f>BH757</f>
        <v>984.06157417719987</v>
      </c>
      <c r="BI12" s="264">
        <f>BI757</f>
        <v>1136.7244566427999</v>
      </c>
      <c r="BJ12" s="264">
        <f>BJ757</f>
        <v>984.06157417719987</v>
      </c>
      <c r="BK12" s="299">
        <f>BK757</f>
        <v>1136.7244566427999</v>
      </c>
      <c r="BL12" s="45">
        <f>SUM(BH12:BK12)</f>
        <v>4241.5720616399994</v>
      </c>
      <c r="BM12" s="300">
        <f>BM757</f>
        <v>989.32844362226308</v>
      </c>
      <c r="BN12" s="264">
        <f>BN757</f>
        <v>1142.9073033826567</v>
      </c>
      <c r="BO12" s="264">
        <f>BO757</f>
        <v>989.32844362226308</v>
      </c>
      <c r="BP12" s="299">
        <f>BP757</f>
        <v>1142.9073033826567</v>
      </c>
      <c r="BQ12" s="45">
        <f>SUM(BM12:BP12)</f>
        <v>4264.4714940098393</v>
      </c>
      <c r="BR12" s="330"/>
      <c r="BS12" s="330"/>
      <c r="BT12" s="330"/>
      <c r="BU12" s="330"/>
      <c r="BV12" s="330"/>
      <c r="BW12" s="330"/>
      <c r="BX12" s="330"/>
      <c r="BY12" s="330"/>
      <c r="BZ12" s="330"/>
      <c r="CA12" s="330"/>
      <c r="CB12" s="330"/>
      <c r="CC12" s="330"/>
      <c r="CD12" s="330"/>
      <c r="CE12" s="330"/>
      <c r="CF12" s="330"/>
      <c r="CG12" s="330"/>
      <c r="CH12" s="330"/>
      <c r="CI12" s="330"/>
      <c r="CJ12" s="330"/>
      <c r="CK12" s="330"/>
      <c r="CL12" s="330"/>
      <c r="CM12" s="330"/>
      <c r="CN12" s="330"/>
      <c r="CO12" s="330"/>
      <c r="CP12" s="330"/>
      <c r="CQ12" s="330"/>
      <c r="CR12" s="330"/>
      <c r="CS12" s="330"/>
      <c r="CT12" s="821"/>
      <c r="CU12" s="330"/>
      <c r="CV12" s="330"/>
      <c r="CW12" s="330"/>
      <c r="CX12" s="330"/>
      <c r="CY12" s="330"/>
      <c r="CZ12" s="330"/>
      <c r="DA12" s="330"/>
      <c r="DB12" s="330"/>
      <c r="DC12" s="330"/>
      <c r="DD12" s="330"/>
      <c r="DE12" s="330"/>
      <c r="DF12" s="330"/>
      <c r="DG12" s="330"/>
      <c r="DH12" s="330"/>
      <c r="DI12" s="330"/>
      <c r="DJ12" s="330"/>
      <c r="DK12" s="330"/>
      <c r="DL12" s="330"/>
      <c r="DM12" s="330"/>
      <c r="DN12" s="330"/>
    </row>
    <row r="13" spans="1:119">
      <c r="A13" s="330"/>
      <c r="B13" s="330"/>
      <c r="C13" s="28" t="s">
        <v>67</v>
      </c>
      <c r="D13" s="330"/>
      <c r="E13" s="335">
        <v>76</v>
      </c>
      <c r="F13" s="336">
        <v>72</v>
      </c>
      <c r="G13" s="336">
        <v>74</v>
      </c>
      <c r="H13" s="586">
        <f>I13-SUM(E13:G13)</f>
        <v>111</v>
      </c>
      <c r="I13" s="427">
        <v>333</v>
      </c>
      <c r="J13" s="335">
        <v>109</v>
      </c>
      <c r="K13" s="336">
        <v>115</v>
      </c>
      <c r="L13" s="336">
        <v>121</v>
      </c>
      <c r="M13" s="586">
        <f>N13-SUM(J13:L13)</f>
        <v>129</v>
      </c>
      <c r="N13" s="427">
        <v>474</v>
      </c>
      <c r="O13" s="335">
        <v>139</v>
      </c>
      <c r="P13" s="336">
        <v>138</v>
      </c>
      <c r="Q13" s="336">
        <v>139</v>
      </c>
      <c r="R13" s="586">
        <f>S13-SUM(O13:Q13)</f>
        <v>154</v>
      </c>
      <c r="S13" s="427">
        <v>570</v>
      </c>
      <c r="T13" s="335">
        <v>153</v>
      </c>
      <c r="U13" s="336">
        <v>204</v>
      </c>
      <c r="V13" s="336">
        <v>207</v>
      </c>
      <c r="W13" s="586">
        <f>X13-SUM(T13:V13)</f>
        <v>204</v>
      </c>
      <c r="X13" s="427">
        <v>768</v>
      </c>
      <c r="Y13" s="337">
        <v>214</v>
      </c>
      <c r="Z13" s="338">
        <v>210</v>
      </c>
      <c r="AA13" s="338">
        <v>218</v>
      </c>
      <c r="AB13" s="586">
        <f>AC13-SUM(Y13:AA13)</f>
        <v>214</v>
      </c>
      <c r="AC13" s="339">
        <v>856</v>
      </c>
      <c r="AD13" s="337">
        <v>211</v>
      </c>
      <c r="AE13" s="338">
        <v>254</v>
      </c>
      <c r="AF13" s="338">
        <v>253</v>
      </c>
      <c r="AG13" s="586">
        <f>AH13-SUM(AD13:AF13)</f>
        <v>249</v>
      </c>
      <c r="AH13" s="339">
        <v>967</v>
      </c>
      <c r="AI13" s="337">
        <v>254</v>
      </c>
      <c r="AJ13" s="338">
        <v>255</v>
      </c>
      <c r="AK13" s="338">
        <v>264</v>
      </c>
      <c r="AL13" s="586">
        <f>AM13-SUM(AI13:AK13)</f>
        <v>281</v>
      </c>
      <c r="AM13" s="2056">
        <v>1054</v>
      </c>
      <c r="AN13" s="337">
        <v>289</v>
      </c>
      <c r="AO13" s="338">
        <v>408</v>
      </c>
      <c r="AP13" s="338">
        <v>632</v>
      </c>
      <c r="AQ13" s="586">
        <f>AR13-SUM(AN13:AP13)</f>
        <v>550</v>
      </c>
      <c r="AR13" s="2056">
        <v>1879</v>
      </c>
      <c r="AS13" s="337">
        <v>302</v>
      </c>
      <c r="AT13" s="338">
        <v>334</v>
      </c>
      <c r="AU13" s="338">
        <v>410</v>
      </c>
      <c r="AV13" s="586">
        <f>AW13-SUM(AS13:AU13)</f>
        <v>411</v>
      </c>
      <c r="AW13" s="2056">
        <v>1457</v>
      </c>
      <c r="AX13" s="300">
        <f>AX776+AX777</f>
        <v>278.322</v>
      </c>
      <c r="AY13" s="264">
        <f>AY776+AY777</f>
        <v>279.4201507396856</v>
      </c>
      <c r="AZ13" s="264">
        <f>AZ776+AZ777</f>
        <v>280.5775768699981</v>
      </c>
      <c r="BA13" s="299">
        <f>BA776+BA777</f>
        <v>281.71879903448627</v>
      </c>
      <c r="BB13" s="45">
        <f>SUM(AX13:BA13)</f>
        <v>1120.0385266441699</v>
      </c>
      <c r="BC13" s="300">
        <f>BC776+BC777</f>
        <v>289.58317026961822</v>
      </c>
      <c r="BD13" s="264">
        <f>BD776+BD777</f>
        <v>291.53839308895124</v>
      </c>
      <c r="BE13" s="264">
        <f>BE776+BE777</f>
        <v>291.21693980367485</v>
      </c>
      <c r="BF13" s="299">
        <f>BF776+BF777</f>
        <v>290.90010740937424</v>
      </c>
      <c r="BG13" s="45">
        <f>SUM(BC13:BF13)</f>
        <v>1163.2386105716184</v>
      </c>
      <c r="BH13" s="300">
        <f>BH776+BH777</f>
        <v>290.58782948074173</v>
      </c>
      <c r="BI13" s="264">
        <f>BI776+BI777</f>
        <v>290.59304201369008</v>
      </c>
      <c r="BJ13" s="264">
        <f>BJ776+BJ777</f>
        <v>290.46486565012054</v>
      </c>
      <c r="BK13" s="299">
        <f>BK776+BK777</f>
        <v>290.33853182177722</v>
      </c>
      <c r="BL13" s="45">
        <f>SUM(BH13:BK13)</f>
        <v>1161.9842689663296</v>
      </c>
      <c r="BM13" s="300">
        <f>BM776+BM777</f>
        <v>290.21401404221649</v>
      </c>
      <c r="BN13" s="264">
        <f>BN776+BN777</f>
        <v>290.18409584456248</v>
      </c>
      <c r="BO13" s="264">
        <f>BO776+BO777</f>
        <v>290.1455119667969</v>
      </c>
      <c r="BP13" s="299">
        <f>BP776+BP777</f>
        <v>290.10748273227415</v>
      </c>
      <c r="BQ13" s="45">
        <f>SUM(BM13:BP13)</f>
        <v>1160.6511045858499</v>
      </c>
      <c r="BR13" s="330"/>
      <c r="BS13" s="330"/>
      <c r="BT13" s="330"/>
      <c r="BU13" s="330"/>
      <c r="BV13" s="330"/>
      <c r="BW13" s="330"/>
      <c r="BX13" s="330"/>
      <c r="BY13" s="330"/>
      <c r="BZ13" s="330"/>
      <c r="CA13" s="330"/>
      <c r="CB13" s="330"/>
      <c r="CC13" s="330"/>
      <c r="CD13" s="330"/>
      <c r="CE13" s="330"/>
      <c r="CF13" s="330"/>
      <c r="CG13" s="330"/>
      <c r="CH13" s="330"/>
      <c r="CI13" s="330"/>
      <c r="CJ13" s="330"/>
      <c r="CK13" s="330"/>
      <c r="CL13" s="330"/>
      <c r="CM13" s="330"/>
      <c r="CN13" s="330"/>
      <c r="CO13" s="330"/>
      <c r="CP13" s="330"/>
      <c r="CQ13" s="330"/>
      <c r="CR13" s="330"/>
      <c r="CS13" s="330"/>
      <c r="CT13" s="821"/>
      <c r="CU13" s="330"/>
      <c r="CV13" s="330"/>
      <c r="CW13" s="330"/>
      <c r="CX13" s="330"/>
      <c r="CY13" s="330"/>
      <c r="CZ13" s="330"/>
      <c r="DA13" s="330"/>
      <c r="DB13" s="330"/>
      <c r="DC13" s="330"/>
      <c r="DD13" s="330"/>
      <c r="DE13" s="330"/>
      <c r="DF13" s="330"/>
      <c r="DG13" s="330"/>
      <c r="DH13" s="330"/>
      <c r="DI13" s="330"/>
      <c r="DJ13" s="330"/>
      <c r="DK13" s="330"/>
      <c r="DL13" s="330"/>
      <c r="DM13" s="330"/>
      <c r="DN13" s="330"/>
    </row>
    <row r="14" spans="1:119">
      <c r="A14" s="330"/>
      <c r="B14" s="330"/>
      <c r="C14" s="1" t="s">
        <v>65</v>
      </c>
      <c r="D14" s="330"/>
      <c r="E14" s="335">
        <v>50</v>
      </c>
      <c r="F14" s="336">
        <v>50</v>
      </c>
      <c r="G14" s="336">
        <v>51</v>
      </c>
      <c r="H14" s="586">
        <f>I14-SUM(E14:G14)</f>
        <v>54</v>
      </c>
      <c r="I14" s="427">
        <v>205</v>
      </c>
      <c r="J14" s="335">
        <v>57</v>
      </c>
      <c r="K14" s="336">
        <v>61</v>
      </c>
      <c r="L14" s="336">
        <v>57</v>
      </c>
      <c r="M14" s="586">
        <f>N14-SUM(J14:L14)</f>
        <v>55</v>
      </c>
      <c r="N14" s="427">
        <v>230</v>
      </c>
      <c r="O14" s="335">
        <v>66</v>
      </c>
      <c r="P14" s="336">
        <v>66</v>
      </c>
      <c r="Q14" s="336">
        <v>67</v>
      </c>
      <c r="R14" s="586">
        <f>S14-SUM(O14:Q14)</f>
        <v>65</v>
      </c>
      <c r="S14" s="427">
        <v>264</v>
      </c>
      <c r="T14" s="335">
        <v>73</v>
      </c>
      <c r="U14" s="336">
        <v>90</v>
      </c>
      <c r="V14" s="336">
        <v>109</v>
      </c>
      <c r="W14" s="586">
        <f>X14-SUM(T14:V14)</f>
        <v>97</v>
      </c>
      <c r="X14" s="427">
        <v>369</v>
      </c>
      <c r="Y14" s="337">
        <v>93</v>
      </c>
      <c r="Z14" s="338">
        <v>101</v>
      </c>
      <c r="AA14" s="338">
        <v>98</v>
      </c>
      <c r="AB14" s="586">
        <f>AC14-SUM(Y14:AA14)</f>
        <v>97</v>
      </c>
      <c r="AC14" s="339">
        <v>389</v>
      </c>
      <c r="AD14" s="337">
        <v>105</v>
      </c>
      <c r="AE14" s="338">
        <v>118</v>
      </c>
      <c r="AF14" s="338">
        <v>127</v>
      </c>
      <c r="AG14" s="586">
        <f>AH14-SUM(AD14:AF14)</f>
        <v>115</v>
      </c>
      <c r="AH14" s="339">
        <v>465</v>
      </c>
      <c r="AI14" s="337">
        <v>122</v>
      </c>
      <c r="AJ14" s="338">
        <v>124</v>
      </c>
      <c r="AK14" s="338">
        <v>123</v>
      </c>
      <c r="AL14" s="586">
        <f>AM14-SUM(AI14:AK14)</f>
        <v>120</v>
      </c>
      <c r="AM14" s="2056">
        <v>489</v>
      </c>
      <c r="AN14" s="337">
        <v>126</v>
      </c>
      <c r="AO14" s="338">
        <v>118</v>
      </c>
      <c r="AP14" s="338">
        <v>136</v>
      </c>
      <c r="AQ14" s="586">
        <f>AR14-SUM(AN14:AP14)</f>
        <v>126</v>
      </c>
      <c r="AR14" s="2056">
        <v>506</v>
      </c>
      <c r="AS14" s="337">
        <v>143</v>
      </c>
      <c r="AT14" s="338">
        <v>140</v>
      </c>
      <c r="AU14" s="338">
        <v>141</v>
      </c>
      <c r="AV14" s="586">
        <f>AW14-SUM(AS14:AU14)</f>
        <v>131</v>
      </c>
      <c r="AW14" s="2056">
        <v>555</v>
      </c>
      <c r="AX14" s="300">
        <f>AX763</f>
        <v>131.8125</v>
      </c>
      <c r="AY14" s="264">
        <f>AY763</f>
        <v>131.8125</v>
      </c>
      <c r="AZ14" s="264">
        <f>AZ763</f>
        <v>131.8125</v>
      </c>
      <c r="BA14" s="299">
        <f>BA763</f>
        <v>131.8125</v>
      </c>
      <c r="BB14" s="45">
        <f>SUM(AX14:BA14)</f>
        <v>527.25</v>
      </c>
      <c r="BC14" s="300">
        <f>BC763</f>
        <v>131.8125</v>
      </c>
      <c r="BD14" s="264">
        <f>BD763</f>
        <v>131.8125</v>
      </c>
      <c r="BE14" s="264">
        <f>BE763</f>
        <v>131.8125</v>
      </c>
      <c r="BF14" s="299">
        <f>BF763</f>
        <v>131.8125</v>
      </c>
      <c r="BG14" s="45">
        <f>SUM(BC14:BF14)</f>
        <v>527.25</v>
      </c>
      <c r="BH14" s="300">
        <f>BH763</f>
        <v>131.8125</v>
      </c>
      <c r="BI14" s="264">
        <f>BI763</f>
        <v>131.8125</v>
      </c>
      <c r="BJ14" s="264">
        <f>BJ763</f>
        <v>131.8125</v>
      </c>
      <c r="BK14" s="299">
        <f>BK763</f>
        <v>131.8125</v>
      </c>
      <c r="BL14" s="45">
        <f>SUM(BH14:BK14)</f>
        <v>527.25</v>
      </c>
      <c r="BM14" s="300">
        <f>BM763</f>
        <v>131.8125</v>
      </c>
      <c r="BN14" s="264">
        <f>BN763</f>
        <v>131.8125</v>
      </c>
      <c r="BO14" s="264">
        <f>BO763</f>
        <v>131.8125</v>
      </c>
      <c r="BP14" s="299">
        <f>BP763</f>
        <v>131.8125</v>
      </c>
      <c r="BQ14" s="45">
        <f>SUM(BM14:BP14)</f>
        <v>527.25</v>
      </c>
      <c r="BR14" s="330"/>
      <c r="BS14" s="330"/>
      <c r="BT14" s="330"/>
      <c r="BU14" s="330"/>
      <c r="BV14" s="330"/>
      <c r="BW14" s="330"/>
      <c r="BX14" s="330"/>
      <c r="BY14" s="330"/>
      <c r="BZ14" s="330"/>
      <c r="CA14" s="330"/>
      <c r="CB14" s="330"/>
      <c r="CC14" s="330"/>
      <c r="CD14" s="330"/>
      <c r="CE14" s="330"/>
      <c r="CF14" s="330"/>
      <c r="CG14" s="330"/>
      <c r="CH14" s="330"/>
      <c r="CI14" s="330"/>
      <c r="CJ14" s="330"/>
      <c r="CK14" s="330"/>
      <c r="CL14" s="330"/>
      <c r="CM14" s="330"/>
      <c r="CN14" s="330"/>
      <c r="CO14" s="330"/>
      <c r="CP14" s="330"/>
      <c r="CQ14" s="330"/>
      <c r="CR14" s="330"/>
      <c r="CS14" s="330"/>
      <c r="CT14" s="821"/>
      <c r="CU14" s="330"/>
      <c r="CV14" s="330"/>
      <c r="CW14" s="330"/>
      <c r="CX14" s="330"/>
      <c r="CY14" s="330"/>
      <c r="CZ14" s="330"/>
      <c r="DA14" s="330"/>
      <c r="DB14" s="330"/>
      <c r="DC14" s="330"/>
      <c r="DD14" s="330"/>
      <c r="DE14" s="330"/>
      <c r="DF14" s="330"/>
      <c r="DG14" s="330"/>
      <c r="DH14" s="330"/>
      <c r="DI14" s="330"/>
      <c r="DJ14" s="330"/>
      <c r="DK14" s="330"/>
      <c r="DL14" s="330"/>
      <c r="DM14" s="330"/>
      <c r="DN14" s="330"/>
    </row>
    <row r="15" spans="1:119">
      <c r="A15" s="330"/>
      <c r="B15" s="330"/>
      <c r="C15" s="32" t="s">
        <v>79</v>
      </c>
      <c r="D15" s="330"/>
      <c r="E15" s="292">
        <f t="shared" ref="E15:AJ15" si="4">SUM(E12:E14,E9:E9)</f>
        <v>1739</v>
      </c>
      <c r="F15" s="261">
        <f t="shared" si="4"/>
        <v>1702</v>
      </c>
      <c r="G15" s="261">
        <f t="shared" si="4"/>
        <v>1399</v>
      </c>
      <c r="H15" s="293">
        <f t="shared" si="4"/>
        <v>1568</v>
      </c>
      <c r="I15" s="228">
        <f t="shared" si="4"/>
        <v>6408</v>
      </c>
      <c r="J15" s="292">
        <f t="shared" si="4"/>
        <v>1505</v>
      </c>
      <c r="K15" s="261">
        <f t="shared" si="4"/>
        <v>1766</v>
      </c>
      <c r="L15" s="261">
        <f t="shared" si="4"/>
        <v>1772</v>
      </c>
      <c r="M15" s="293">
        <f t="shared" si="4"/>
        <v>1936</v>
      </c>
      <c r="N15" s="228">
        <f t="shared" si="4"/>
        <v>6979</v>
      </c>
      <c r="O15" s="292">
        <f t="shared" si="4"/>
        <v>1842</v>
      </c>
      <c r="P15" s="261">
        <f t="shared" si="4"/>
        <v>1899</v>
      </c>
      <c r="Q15" s="261">
        <f t="shared" si="4"/>
        <v>2108</v>
      </c>
      <c r="R15" s="293">
        <f t="shared" si="4"/>
        <v>1583</v>
      </c>
      <c r="S15" s="228">
        <f t="shared" si="4"/>
        <v>7432</v>
      </c>
      <c r="T15" s="292">
        <f t="shared" si="4"/>
        <v>2445</v>
      </c>
      <c r="U15" s="261">
        <f t="shared" si="4"/>
        <v>3312</v>
      </c>
      <c r="V15" s="261">
        <f t="shared" si="4"/>
        <v>3853</v>
      </c>
      <c r="W15" s="293">
        <f t="shared" si="4"/>
        <v>3616</v>
      </c>
      <c r="X15" s="228">
        <f t="shared" si="4"/>
        <v>13226</v>
      </c>
      <c r="Y15" s="292">
        <f t="shared" si="4"/>
        <v>3588</v>
      </c>
      <c r="Z15" s="261">
        <f t="shared" si="4"/>
        <v>3446</v>
      </c>
      <c r="AA15" s="261">
        <f t="shared" si="4"/>
        <v>3571</v>
      </c>
      <c r="AB15" s="293">
        <f t="shared" si="4"/>
        <v>3371</v>
      </c>
      <c r="AC15" s="228">
        <f t="shared" si="4"/>
        <v>13976</v>
      </c>
      <c r="AD15" s="292">
        <f t="shared" si="4"/>
        <v>4760</v>
      </c>
      <c r="AE15" s="261">
        <f t="shared" si="4"/>
        <v>3620</v>
      </c>
      <c r="AF15" s="261">
        <f t="shared" si="4"/>
        <v>3526</v>
      </c>
      <c r="AG15" s="293">
        <f t="shared" si="4"/>
        <v>5017</v>
      </c>
      <c r="AH15" s="228">
        <f t="shared" si="4"/>
        <v>16923</v>
      </c>
      <c r="AI15" s="292">
        <f t="shared" si="4"/>
        <v>5120</v>
      </c>
      <c r="AJ15" s="261">
        <f t="shared" si="4"/>
        <v>3536</v>
      </c>
      <c r="AK15" s="261">
        <f t="shared" ref="AK15:BL15" si="5">SUM(AK12:AK14,AK9:AK9)</f>
        <v>4147</v>
      </c>
      <c r="AL15" s="293">
        <f t="shared" si="5"/>
        <v>4069</v>
      </c>
      <c r="AM15" s="228">
        <f t="shared" si="5"/>
        <v>16872</v>
      </c>
      <c r="AN15" s="292">
        <f t="shared" si="5"/>
        <v>4324</v>
      </c>
      <c r="AO15" s="261">
        <f t="shared" si="5"/>
        <v>3633</v>
      </c>
      <c r="AP15" s="261">
        <f t="shared" ref="AP15:AR15" si="6">SUM(AP12:AP14,AP9:AP9)</f>
        <v>4693</v>
      </c>
      <c r="AQ15" s="293">
        <f t="shared" si="6"/>
        <v>4206</v>
      </c>
      <c r="AR15" s="228">
        <f t="shared" si="6"/>
        <v>16856</v>
      </c>
      <c r="AS15" s="292">
        <f t="shared" si="5"/>
        <v>4731</v>
      </c>
      <c r="AT15" s="261">
        <f t="shared" ref="AT15" si="7">SUM(AT12:AT14,AT9:AT9)</f>
        <v>4641</v>
      </c>
      <c r="AU15" s="261">
        <f t="shared" si="5"/>
        <v>4256</v>
      </c>
      <c r="AV15" s="293">
        <f t="shared" si="5"/>
        <v>4365</v>
      </c>
      <c r="AW15" s="228">
        <f t="shared" si="5"/>
        <v>17993</v>
      </c>
      <c r="AX15" s="292">
        <f t="shared" si="5"/>
        <v>1973.7812725601821</v>
      </c>
      <c r="AY15" s="261">
        <f t="shared" si="5"/>
        <v>2112.8972477499501</v>
      </c>
      <c r="AZ15" s="261">
        <f t="shared" si="5"/>
        <v>1959.2476183188219</v>
      </c>
      <c r="BA15" s="293">
        <f t="shared" si="5"/>
        <v>2121.5803583150746</v>
      </c>
      <c r="BB15" s="228">
        <f t="shared" si="5"/>
        <v>8167.5064969440282</v>
      </c>
      <c r="BC15" s="292">
        <f t="shared" si="5"/>
        <v>1964.9963700537064</v>
      </c>
      <c r="BD15" s="261">
        <f t="shared" si="5"/>
        <v>2032.5582148046747</v>
      </c>
      <c r="BE15" s="261">
        <f t="shared" si="5"/>
        <v>1882.0202704280287</v>
      </c>
      <c r="BF15" s="293">
        <f t="shared" si="5"/>
        <v>2013.9321014816044</v>
      </c>
      <c r="BG15" s="228">
        <f t="shared" si="5"/>
        <v>7893.5069567680148</v>
      </c>
      <c r="BH15" s="292">
        <f t="shared" si="5"/>
        <v>1899.5499221639323</v>
      </c>
      <c r="BI15" s="261">
        <f t="shared" si="5"/>
        <v>1991.9584763789228</v>
      </c>
      <c r="BJ15" s="261">
        <f t="shared" si="5"/>
        <v>1843.8435970147314</v>
      </c>
      <c r="BK15" s="293">
        <f t="shared" si="5"/>
        <v>1987.1449806295705</v>
      </c>
      <c r="BL15" s="228">
        <f t="shared" si="5"/>
        <v>7722.4969761871562</v>
      </c>
      <c r="BM15" s="292">
        <f t="shared" ref="BM15:BQ15" si="8">SUM(BM12:BM14,BM9:BM9)</f>
        <v>1887.6293929960261</v>
      </c>
      <c r="BN15" s="261">
        <f t="shared" si="8"/>
        <v>2044.2214643430987</v>
      </c>
      <c r="BO15" s="261">
        <f t="shared" si="8"/>
        <v>1890.6040207049396</v>
      </c>
      <c r="BP15" s="293">
        <f t="shared" si="8"/>
        <v>2020.4755706220562</v>
      </c>
      <c r="BQ15" s="228">
        <f t="shared" si="8"/>
        <v>7842.9304486661204</v>
      </c>
      <c r="BR15" s="330"/>
      <c r="BS15" s="330"/>
      <c r="BT15" s="330"/>
      <c r="BU15" s="330"/>
      <c r="BV15" s="330"/>
      <c r="BW15" s="330"/>
      <c r="BX15" s="330"/>
      <c r="BY15" s="330"/>
      <c r="BZ15" s="330"/>
      <c r="CA15" s="330"/>
      <c r="CB15" s="330"/>
      <c r="CC15" s="330"/>
      <c r="CD15" s="330"/>
      <c r="CE15" s="330"/>
      <c r="CF15" s="330"/>
      <c r="CG15" s="330"/>
      <c r="CH15" s="330"/>
      <c r="CI15" s="330"/>
      <c r="CJ15" s="330"/>
      <c r="CK15" s="330"/>
      <c r="CL15" s="330"/>
      <c r="CM15" s="330"/>
      <c r="CN15" s="330"/>
      <c r="CO15" s="330"/>
      <c r="CP15" s="330"/>
      <c r="CQ15" s="330"/>
      <c r="CR15" s="330"/>
      <c r="CS15" s="330"/>
      <c r="CT15" s="821"/>
      <c r="CU15" s="330"/>
      <c r="CV15" s="330"/>
      <c r="CW15" s="330"/>
      <c r="CX15" s="330"/>
      <c r="CY15" s="330"/>
      <c r="CZ15" s="330"/>
      <c r="DA15" s="330"/>
      <c r="DB15" s="330"/>
      <c r="DC15" s="330"/>
      <c r="DD15" s="330"/>
      <c r="DE15" s="330"/>
      <c r="DF15" s="330"/>
      <c r="DG15" s="330"/>
      <c r="DH15" s="330"/>
      <c r="DI15" s="330"/>
      <c r="DJ15" s="330"/>
      <c r="DK15" s="330"/>
      <c r="DL15" s="330"/>
      <c r="DM15" s="330"/>
      <c r="DN15" s="330"/>
    </row>
    <row r="16" spans="1:119">
      <c r="A16" s="330"/>
      <c r="B16" s="330"/>
      <c r="C16" s="32"/>
      <c r="D16" s="330"/>
      <c r="E16" s="292"/>
      <c r="F16" s="261"/>
      <c r="G16" s="261"/>
      <c r="H16" s="293"/>
      <c r="I16" s="228"/>
      <c r="J16" s="292"/>
      <c r="K16" s="261"/>
      <c r="L16" s="261"/>
      <c r="M16" s="293"/>
      <c r="N16" s="228"/>
      <c r="O16" s="292"/>
      <c r="P16" s="261"/>
      <c r="Q16" s="261"/>
      <c r="R16" s="293"/>
      <c r="S16" s="228"/>
      <c r="T16" s="292"/>
      <c r="U16" s="261"/>
      <c r="V16" s="261"/>
      <c r="W16" s="293"/>
      <c r="X16" s="228"/>
      <c r="Y16" s="292"/>
      <c r="Z16" s="261"/>
      <c r="AA16" s="261"/>
      <c r="AB16" s="293"/>
      <c r="AC16" s="228"/>
      <c r="AD16" s="292"/>
      <c r="AE16" s="261"/>
      <c r="AF16" s="261"/>
      <c r="AG16" s="293"/>
      <c r="AH16" s="228"/>
      <c r="AI16" s="292"/>
      <c r="AJ16" s="261"/>
      <c r="AK16" s="261"/>
      <c r="AL16" s="293"/>
      <c r="AM16" s="228"/>
      <c r="AN16" s="292"/>
      <c r="AO16" s="261"/>
      <c r="AP16" s="261"/>
      <c r="AQ16" s="293"/>
      <c r="AR16" s="228"/>
      <c r="AS16" s="292"/>
      <c r="AT16" s="261"/>
      <c r="AU16" s="261"/>
      <c r="AV16" s="293"/>
      <c r="AW16" s="228"/>
      <c r="AX16" s="292"/>
      <c r="AY16" s="261"/>
      <c r="AZ16" s="261"/>
      <c r="BA16" s="293"/>
      <c r="BB16" s="228"/>
      <c r="BC16" s="292"/>
      <c r="BD16" s="261"/>
      <c r="BE16" s="261"/>
      <c r="BF16" s="293"/>
      <c r="BG16" s="228"/>
      <c r="BH16" s="292"/>
      <c r="BI16" s="261"/>
      <c r="BJ16" s="261"/>
      <c r="BK16" s="293"/>
      <c r="BL16" s="228"/>
      <c r="BM16" s="292"/>
      <c r="BN16" s="261"/>
      <c r="BO16" s="261"/>
      <c r="BP16" s="293"/>
      <c r="BQ16" s="228"/>
      <c r="BR16" s="330"/>
      <c r="BS16" s="330"/>
      <c r="BT16" s="330"/>
      <c r="BU16" s="330"/>
      <c r="BV16" s="330"/>
      <c r="BW16" s="330"/>
      <c r="BX16" s="330"/>
      <c r="BY16" s="330"/>
      <c r="BZ16" s="330"/>
      <c r="CA16" s="330"/>
      <c r="CB16" s="330"/>
      <c r="CC16" s="330"/>
      <c r="CD16" s="330"/>
      <c r="CE16" s="330"/>
      <c r="CF16" s="330"/>
      <c r="CG16" s="330"/>
      <c r="CH16" s="330"/>
      <c r="CI16" s="330"/>
      <c r="CJ16" s="330"/>
      <c r="CK16" s="330"/>
      <c r="CL16" s="330"/>
      <c r="CM16" s="330"/>
      <c r="CN16" s="330"/>
      <c r="CO16" s="330"/>
      <c r="CP16" s="330"/>
      <c r="CQ16" s="330"/>
      <c r="CR16" s="330"/>
      <c r="CS16" s="330"/>
      <c r="CT16" s="821"/>
      <c r="CU16" s="330"/>
      <c r="CV16" s="330"/>
      <c r="CW16" s="330"/>
      <c r="CX16" s="330"/>
      <c r="CY16" s="330"/>
      <c r="CZ16" s="330"/>
      <c r="DA16" s="330"/>
      <c r="DB16" s="330"/>
      <c r="DC16" s="330"/>
      <c r="DD16" s="330"/>
      <c r="DE16" s="330"/>
      <c r="DF16" s="330"/>
      <c r="DG16" s="330"/>
      <c r="DH16" s="330"/>
      <c r="DI16" s="330"/>
      <c r="DJ16" s="330"/>
      <c r="DK16" s="330"/>
      <c r="DL16" s="330"/>
      <c r="DM16" s="330"/>
      <c r="DN16" s="330"/>
    </row>
    <row r="17" spans="1:118" s="1" customFormat="1">
      <c r="C17" s="1" t="s">
        <v>1028</v>
      </c>
      <c r="E17" s="335">
        <v>1</v>
      </c>
      <c r="F17" s="336">
        <v>0</v>
      </c>
      <c r="G17" s="336">
        <v>1</v>
      </c>
      <c r="H17" s="586">
        <f>I17-SUM(E17:G17)</f>
        <v>1</v>
      </c>
      <c r="I17" s="427">
        <v>3</v>
      </c>
      <c r="J17" s="335">
        <v>0</v>
      </c>
      <c r="K17" s="336">
        <v>0</v>
      </c>
      <c r="L17" s="336">
        <v>0</v>
      </c>
      <c r="M17" s="586">
        <f>N17-SUM(J17:L17)</f>
        <v>0</v>
      </c>
      <c r="N17" s="427">
        <v>0</v>
      </c>
      <c r="O17" s="335">
        <v>0</v>
      </c>
      <c r="P17" s="336">
        <v>0</v>
      </c>
      <c r="Q17" s="336">
        <v>0</v>
      </c>
      <c r="R17" s="586">
        <f>S17-SUM(O17:Q17)</f>
        <v>1</v>
      </c>
      <c r="S17" s="427">
        <v>1</v>
      </c>
      <c r="T17" s="335">
        <v>22</v>
      </c>
      <c r="U17" s="336">
        <v>57</v>
      </c>
      <c r="V17" s="336">
        <v>-10</v>
      </c>
      <c r="W17" s="586">
        <f>X17-SUM(T17:V17)</f>
        <v>22</v>
      </c>
      <c r="X17" s="427">
        <v>91</v>
      </c>
      <c r="Y17" s="337">
        <v>9</v>
      </c>
      <c r="Z17" s="338">
        <v>21</v>
      </c>
      <c r="AA17" s="338">
        <v>-37</v>
      </c>
      <c r="AB17" s="586">
        <f>AC17-SUM(Y17:AA17)</f>
        <v>-3</v>
      </c>
      <c r="AC17" s="339">
        <v>-10</v>
      </c>
      <c r="AD17" s="337">
        <v>19</v>
      </c>
      <c r="AE17" s="338">
        <v>1</v>
      </c>
      <c r="AF17" s="338">
        <v>-1</v>
      </c>
      <c r="AG17" s="586">
        <f>AH17-SUM(AD17:AF17)</f>
        <v>1</v>
      </c>
      <c r="AH17" s="339">
        <v>20</v>
      </c>
      <c r="AI17" s="337">
        <v>0</v>
      </c>
      <c r="AJ17" s="338">
        <v>2</v>
      </c>
      <c r="AK17" s="338">
        <v>1</v>
      </c>
      <c r="AL17" s="586">
        <f>AM17-SUM(AI17:AK17)</f>
        <v>5</v>
      </c>
      <c r="AM17" s="2056">
        <v>8</v>
      </c>
      <c r="AN17" s="337">
        <v>3</v>
      </c>
      <c r="AO17" s="338">
        <v>8</v>
      </c>
      <c r="AP17" s="338">
        <v>6</v>
      </c>
      <c r="AQ17" s="586">
        <f>AR17-SUM(AN17:AP17)</f>
        <v>8</v>
      </c>
      <c r="AR17" s="2056">
        <v>25</v>
      </c>
      <c r="AS17" s="337">
        <v>10</v>
      </c>
      <c r="AT17" s="338">
        <v>9</v>
      </c>
      <c r="AU17" s="338">
        <v>8</v>
      </c>
      <c r="AV17" s="586">
        <f>AW17-SUM(AS17:AU17)</f>
        <v>6</v>
      </c>
      <c r="AW17" s="2056">
        <v>33</v>
      </c>
      <c r="AX17" s="306">
        <v>0</v>
      </c>
      <c r="AY17" s="266">
        <v>0</v>
      </c>
      <c r="AZ17" s="266">
        <v>0</v>
      </c>
      <c r="BA17" s="307">
        <v>0</v>
      </c>
      <c r="BB17" s="45">
        <f>SUM(AX17:BA17)</f>
        <v>0</v>
      </c>
      <c r="BC17" s="306">
        <v>0</v>
      </c>
      <c r="BD17" s="266">
        <v>0</v>
      </c>
      <c r="BE17" s="266">
        <v>0</v>
      </c>
      <c r="BF17" s="307">
        <v>0</v>
      </c>
      <c r="BG17" s="45">
        <f>SUM(BC17:BF17)</f>
        <v>0</v>
      </c>
      <c r="BH17" s="306">
        <v>0</v>
      </c>
      <c r="BI17" s="266">
        <v>0</v>
      </c>
      <c r="BJ17" s="266">
        <v>0</v>
      </c>
      <c r="BK17" s="307">
        <v>0</v>
      </c>
      <c r="BL17" s="45">
        <f>SUM(BH17:BK17)</f>
        <v>0</v>
      </c>
      <c r="BM17" s="306">
        <v>0</v>
      </c>
      <c r="BN17" s="266">
        <v>0</v>
      </c>
      <c r="BO17" s="266">
        <v>0</v>
      </c>
      <c r="BP17" s="307">
        <v>0</v>
      </c>
      <c r="BQ17" s="45">
        <f>SUM(BM17:BP17)</f>
        <v>0</v>
      </c>
      <c r="BR17" s="330"/>
      <c r="BS17" s="330"/>
      <c r="BT17" s="330"/>
      <c r="BU17" s="330"/>
      <c r="BV17" s="330"/>
      <c r="BW17" s="330"/>
      <c r="BX17" s="330"/>
      <c r="BY17" s="330"/>
      <c r="BZ17" s="330"/>
      <c r="CA17" s="330"/>
      <c r="CB17" s="330"/>
      <c r="CC17" s="330"/>
      <c r="CD17" s="330"/>
      <c r="CE17" s="330"/>
      <c r="CF17" s="330"/>
      <c r="CG17" s="330"/>
      <c r="CH17" s="330"/>
      <c r="CI17" s="330"/>
      <c r="CJ17" s="330"/>
      <c r="CK17" s="330"/>
      <c r="CL17" s="330"/>
      <c r="CM17" s="330"/>
      <c r="CN17" s="330"/>
      <c r="CO17" s="330"/>
      <c r="CP17" s="330"/>
      <c r="CQ17" s="330"/>
      <c r="CR17" s="330"/>
      <c r="CS17" s="330"/>
      <c r="CT17" s="821"/>
      <c r="CU17" s="330"/>
      <c r="CV17" s="330"/>
      <c r="CW17" s="330"/>
      <c r="CX17" s="330"/>
      <c r="CY17" s="330"/>
      <c r="CZ17" s="330"/>
      <c r="DA17" s="330"/>
      <c r="DB17" s="798"/>
      <c r="DC17" s="798"/>
      <c r="DD17" s="330"/>
      <c r="DE17" s="330"/>
      <c r="DF17" s="330"/>
      <c r="DG17" s="330"/>
      <c r="DH17" s="330"/>
    </row>
    <row r="18" spans="1:118">
      <c r="A18" s="330"/>
      <c r="B18" s="330"/>
      <c r="C18" s="28"/>
      <c r="D18" s="330"/>
      <c r="E18" s="300"/>
      <c r="F18" s="264"/>
      <c r="G18" s="336"/>
      <c r="H18" s="291"/>
      <c r="I18" s="427"/>
      <c r="J18" s="300"/>
      <c r="K18" s="264"/>
      <c r="L18" s="336"/>
      <c r="M18" s="291"/>
      <c r="N18" s="427"/>
      <c r="O18" s="300"/>
      <c r="P18" s="264"/>
      <c r="Q18" s="336"/>
      <c r="R18" s="291"/>
      <c r="S18" s="427"/>
      <c r="T18" s="300"/>
      <c r="U18" s="264"/>
      <c r="V18" s="336"/>
      <c r="W18" s="291"/>
      <c r="X18" s="427"/>
      <c r="Y18" s="1422"/>
      <c r="Z18" s="1423"/>
      <c r="AA18" s="338"/>
      <c r="AB18" s="291"/>
      <c r="AC18" s="339"/>
      <c r="AD18" s="1422"/>
      <c r="AE18" s="1423"/>
      <c r="AF18" s="338"/>
      <c r="AG18" s="291"/>
      <c r="AH18" s="339"/>
      <c r="AI18" s="1422"/>
      <c r="AJ18" s="1423"/>
      <c r="AK18" s="338"/>
      <c r="AL18" s="291"/>
      <c r="AM18" s="2056"/>
      <c r="AN18" s="1422"/>
      <c r="AO18" s="1423"/>
      <c r="AP18" s="338"/>
      <c r="AQ18" s="291"/>
      <c r="AR18" s="2056"/>
      <c r="AS18" s="1422"/>
      <c r="AT18" s="1423"/>
      <c r="AU18" s="264"/>
      <c r="AV18" s="291"/>
      <c r="AW18" s="2056"/>
      <c r="AX18" s="300"/>
      <c r="AY18" s="264"/>
      <c r="AZ18" s="264"/>
      <c r="BA18" s="299"/>
      <c r="BB18" s="330"/>
      <c r="BC18" s="300"/>
      <c r="BD18" s="264"/>
      <c r="BE18" s="264"/>
      <c r="BF18" s="299"/>
      <c r="BG18" s="330"/>
      <c r="BH18" s="300"/>
      <c r="BI18" s="264"/>
      <c r="BJ18" s="264"/>
      <c r="BK18" s="299"/>
      <c r="BL18" s="330"/>
      <c r="BM18" s="300"/>
      <c r="BN18" s="264"/>
      <c r="BO18" s="264"/>
      <c r="BP18" s="299"/>
      <c r="BQ18" s="330"/>
      <c r="BR18" s="330"/>
      <c r="BS18" s="330"/>
      <c r="BT18" s="330"/>
      <c r="BU18" s="330"/>
      <c r="BV18" s="330"/>
      <c r="BW18" s="330"/>
      <c r="BX18" s="330"/>
      <c r="BY18" s="330"/>
      <c r="BZ18" s="330"/>
      <c r="CA18" s="330"/>
      <c r="CB18" s="330"/>
      <c r="CC18" s="330"/>
      <c r="CD18" s="330"/>
      <c r="CE18" s="330"/>
      <c r="CF18" s="330"/>
      <c r="CG18" s="330"/>
      <c r="CH18" s="330"/>
      <c r="CI18" s="330"/>
      <c r="CJ18" s="330"/>
      <c r="CK18" s="330"/>
      <c r="CL18" s="330"/>
      <c r="CM18" s="330"/>
      <c r="CN18" s="330"/>
      <c r="CO18" s="330"/>
      <c r="CP18" s="330"/>
      <c r="CQ18" s="330"/>
      <c r="CR18" s="330"/>
      <c r="CS18" s="330"/>
      <c r="CT18" s="821"/>
      <c r="CU18" s="330"/>
      <c r="CV18" s="330"/>
      <c r="CW18" s="330"/>
      <c r="CX18" s="330"/>
      <c r="CY18" s="330"/>
      <c r="CZ18" s="330"/>
      <c r="DA18" s="330"/>
      <c r="DB18" s="330"/>
      <c r="DC18" s="330"/>
      <c r="DD18" s="330"/>
      <c r="DE18" s="330"/>
      <c r="DF18" s="330"/>
      <c r="DG18" s="330"/>
      <c r="DH18" s="330"/>
      <c r="DI18" s="330"/>
      <c r="DJ18" s="330"/>
      <c r="DK18" s="330"/>
      <c r="DL18" s="330"/>
      <c r="DM18" s="330"/>
      <c r="DN18" s="330"/>
    </row>
    <row r="19" spans="1:118">
      <c r="A19" s="330"/>
      <c r="B19" s="330"/>
      <c r="C19" s="32" t="s">
        <v>70</v>
      </c>
      <c r="D19" s="330"/>
      <c r="E19" s="292">
        <f t="shared" ref="E19:AJ19" si="9">+E8-E15-E17</f>
        <v>861</v>
      </c>
      <c r="F19" s="261">
        <f t="shared" si="9"/>
        <v>676</v>
      </c>
      <c r="G19" s="261">
        <f t="shared" si="9"/>
        <v>1045</v>
      </c>
      <c r="H19" s="293">
        <f t="shared" si="9"/>
        <v>710</v>
      </c>
      <c r="I19" s="228">
        <f t="shared" si="9"/>
        <v>3292</v>
      </c>
      <c r="J19" s="292">
        <f t="shared" si="9"/>
        <v>916</v>
      </c>
      <c r="K19" s="261">
        <f t="shared" si="9"/>
        <v>587</v>
      </c>
      <c r="L19" s="261">
        <f t="shared" si="9"/>
        <v>883</v>
      </c>
      <c r="M19" s="293">
        <f t="shared" si="9"/>
        <v>660</v>
      </c>
      <c r="N19" s="228">
        <f t="shared" si="9"/>
        <v>3046</v>
      </c>
      <c r="O19" s="292">
        <f t="shared" si="9"/>
        <v>801</v>
      </c>
      <c r="P19" s="261">
        <f t="shared" si="9"/>
        <v>647</v>
      </c>
      <c r="Q19" s="261">
        <f t="shared" si="9"/>
        <v>754</v>
      </c>
      <c r="R19" s="293">
        <f t="shared" si="9"/>
        <v>673</v>
      </c>
      <c r="S19" s="228">
        <f t="shared" si="9"/>
        <v>2875</v>
      </c>
      <c r="T19" s="292">
        <f t="shared" si="9"/>
        <v>272</v>
      </c>
      <c r="U19" s="261">
        <f t="shared" si="9"/>
        <v>384</v>
      </c>
      <c r="V19" s="261">
        <f t="shared" si="9"/>
        <v>174</v>
      </c>
      <c r="W19" s="293">
        <f t="shared" si="9"/>
        <v>290</v>
      </c>
      <c r="X19" s="228">
        <f t="shared" si="9"/>
        <v>1120</v>
      </c>
      <c r="Y19" s="292">
        <f t="shared" si="9"/>
        <v>-64</v>
      </c>
      <c r="Z19" s="261">
        <f t="shared" si="9"/>
        <v>603</v>
      </c>
      <c r="AA19" s="261">
        <f t="shared" si="9"/>
        <v>721</v>
      </c>
      <c r="AB19" s="293">
        <f t="shared" si="9"/>
        <v>404</v>
      </c>
      <c r="AC19" s="228">
        <f t="shared" si="9"/>
        <v>1664</v>
      </c>
      <c r="AD19" s="292">
        <f t="shared" si="9"/>
        <v>-389</v>
      </c>
      <c r="AE19" s="261">
        <f t="shared" si="9"/>
        <v>168</v>
      </c>
      <c r="AF19" s="261">
        <f t="shared" si="9"/>
        <v>887</v>
      </c>
      <c r="AG19" s="293">
        <f t="shared" si="9"/>
        <v>-216</v>
      </c>
      <c r="AH19" s="228">
        <f t="shared" si="9"/>
        <v>450</v>
      </c>
      <c r="AI19" s="292">
        <f t="shared" si="9"/>
        <v>720</v>
      </c>
      <c r="AJ19" s="261">
        <f t="shared" si="9"/>
        <v>694</v>
      </c>
      <c r="AK19" s="261">
        <f t="shared" ref="AK19:BL19" si="10">+AK8-AK15-AK17</f>
        <v>620</v>
      </c>
      <c r="AL19" s="293">
        <f t="shared" si="10"/>
        <v>221</v>
      </c>
      <c r="AM19" s="228">
        <f t="shared" si="10"/>
        <v>2255</v>
      </c>
      <c r="AN19" s="292">
        <f t="shared" si="10"/>
        <v>412</v>
      </c>
      <c r="AO19" s="261">
        <f t="shared" si="10"/>
        <v>-52</v>
      </c>
      <c r="AP19" s="261">
        <f t="shared" ref="AP19:AT19" si="11">+AP8-AP15-AP17</f>
        <v>336</v>
      </c>
      <c r="AQ19" s="293">
        <f t="shared" si="11"/>
        <v>174</v>
      </c>
      <c r="AR19" s="228">
        <f t="shared" si="11"/>
        <v>870</v>
      </c>
      <c r="AS19" s="292">
        <f t="shared" si="11"/>
        <v>147</v>
      </c>
      <c r="AT19" s="261">
        <f t="shared" si="11"/>
        <v>-476</v>
      </c>
      <c r="AU19" s="261">
        <f t="shared" si="10"/>
        <v>487</v>
      </c>
      <c r="AV19" s="293">
        <f t="shared" si="10"/>
        <v>282</v>
      </c>
      <c r="AW19" s="228">
        <f t="shared" si="10"/>
        <v>440</v>
      </c>
      <c r="AX19" s="292">
        <f t="shared" si="10"/>
        <v>561.51714788502022</v>
      </c>
      <c r="AY19" s="261">
        <f t="shared" si="10"/>
        <v>395.44098530542442</v>
      </c>
      <c r="AZ19" s="261">
        <f t="shared" si="10"/>
        <v>640.22505905011349</v>
      </c>
      <c r="BA19" s="293">
        <f t="shared" si="10"/>
        <v>309.71681919642697</v>
      </c>
      <c r="BB19" s="228">
        <f t="shared" si="10"/>
        <v>1906.9000114369846</v>
      </c>
      <c r="BC19" s="292">
        <f t="shared" si="10"/>
        <v>678.8325444527045</v>
      </c>
      <c r="BD19" s="261">
        <f t="shared" si="10"/>
        <v>275.54995717387374</v>
      </c>
      <c r="BE19" s="261">
        <f t="shared" si="10"/>
        <v>457.70436422673993</v>
      </c>
      <c r="BF19" s="293">
        <f t="shared" si="10"/>
        <v>156.15252558494717</v>
      </c>
      <c r="BG19" s="228">
        <f t="shared" si="10"/>
        <v>1568.2393914382646</v>
      </c>
      <c r="BH19" s="292">
        <f t="shared" si="10"/>
        <v>507.96584743956032</v>
      </c>
      <c r="BI19" s="261">
        <f t="shared" si="10"/>
        <v>137.42230229287111</v>
      </c>
      <c r="BJ19" s="261">
        <f t="shared" si="10"/>
        <v>443.39999562408207</v>
      </c>
      <c r="BK19" s="293">
        <f t="shared" si="10"/>
        <v>182.66774263696288</v>
      </c>
      <c r="BL19" s="228">
        <f t="shared" si="10"/>
        <v>1271.4558879934775</v>
      </c>
      <c r="BM19" s="292">
        <f t="shared" ref="BM19:BQ19" si="12">+BM8-BM15-BM17</f>
        <v>359.04498414017326</v>
      </c>
      <c r="BN19" s="261">
        <f t="shared" si="12"/>
        <v>233.17997203826985</v>
      </c>
      <c r="BO19" s="261">
        <f t="shared" si="12"/>
        <v>488.54311008797731</v>
      </c>
      <c r="BP19" s="293">
        <f t="shared" si="12"/>
        <v>246.02699600520236</v>
      </c>
      <c r="BQ19" s="228">
        <f t="shared" si="12"/>
        <v>1326.7950622716235</v>
      </c>
      <c r="BR19" s="584"/>
      <c r="BS19" s="584"/>
      <c r="BT19" s="584"/>
      <c r="BU19" s="330"/>
      <c r="BV19" s="330"/>
      <c r="BW19" s="330"/>
      <c r="BX19" s="330"/>
      <c r="BY19" s="330"/>
      <c r="BZ19" s="330"/>
      <c r="CA19" s="330"/>
      <c r="CB19" s="330"/>
      <c r="CC19" s="330"/>
      <c r="CD19" s="330"/>
      <c r="CE19" s="330"/>
      <c r="CF19" s="330"/>
      <c r="CG19" s="330"/>
      <c r="CH19" s="330"/>
      <c r="CI19" s="330"/>
      <c r="CJ19" s="330"/>
      <c r="CK19" s="330"/>
      <c r="CL19" s="330"/>
      <c r="CM19" s="330"/>
      <c r="CN19" s="330"/>
      <c r="CO19" s="330"/>
      <c r="CP19" s="330"/>
      <c r="CQ19" s="330"/>
      <c r="CR19" s="330"/>
      <c r="CS19" s="330"/>
      <c r="CT19" s="821"/>
      <c r="CU19" s="330"/>
      <c r="CV19" s="330"/>
      <c r="CW19" s="330"/>
      <c r="CX19" s="330"/>
      <c r="CY19" s="330"/>
      <c r="CZ19" s="330"/>
      <c r="DA19" s="330"/>
      <c r="DB19" s="330"/>
      <c r="DC19" s="330"/>
      <c r="DD19" s="330"/>
      <c r="DE19" s="330"/>
      <c r="DF19" s="330"/>
      <c r="DG19" s="330"/>
      <c r="DH19" s="330"/>
      <c r="DI19" s="330"/>
      <c r="DJ19" s="330"/>
      <c r="DK19" s="330"/>
      <c r="DL19" s="330"/>
      <c r="DM19" s="330"/>
      <c r="DN19" s="330"/>
    </row>
    <row r="20" spans="1:118">
      <c r="A20" s="330"/>
      <c r="B20" s="330"/>
      <c r="C20" s="28"/>
      <c r="D20" s="330"/>
      <c r="E20" s="300"/>
      <c r="F20" s="264"/>
      <c r="G20" s="264"/>
      <c r="H20" s="299"/>
      <c r="I20" s="330"/>
      <c r="J20" s="300"/>
      <c r="K20" s="264"/>
      <c r="L20" s="264"/>
      <c r="M20" s="299"/>
      <c r="N20" s="330"/>
      <c r="O20" s="300"/>
      <c r="P20" s="264"/>
      <c r="Q20" s="264"/>
      <c r="R20" s="299"/>
      <c r="S20" s="330"/>
      <c r="T20" s="300"/>
      <c r="U20" s="264"/>
      <c r="V20" s="264"/>
      <c r="W20" s="299"/>
      <c r="X20" s="330"/>
      <c r="Y20" s="1422"/>
      <c r="Z20" s="1423"/>
      <c r="AA20" s="1423"/>
      <c r="AB20" s="1424"/>
      <c r="AC20" s="1425"/>
      <c r="AD20" s="1422"/>
      <c r="AE20" s="1423"/>
      <c r="AF20" s="1423"/>
      <c r="AG20" s="1424"/>
      <c r="AH20" s="1425"/>
      <c r="AI20" s="1422"/>
      <c r="AJ20" s="1423"/>
      <c r="AK20" s="1423"/>
      <c r="AL20" s="1424"/>
      <c r="AM20" s="1425"/>
      <c r="AN20" s="1422"/>
      <c r="AO20" s="1423"/>
      <c r="AP20" s="1423"/>
      <c r="AQ20" s="1424"/>
      <c r="AR20" s="1425"/>
      <c r="AS20" s="1422"/>
      <c r="AT20" s="1423"/>
      <c r="AU20" s="264"/>
      <c r="AV20" s="1424"/>
      <c r="AW20" s="1425"/>
      <c r="AX20" s="300"/>
      <c r="AY20" s="264"/>
      <c r="AZ20" s="264"/>
      <c r="BA20" s="299"/>
      <c r="BB20" s="330"/>
      <c r="BC20" s="300"/>
      <c r="BD20" s="264"/>
      <c r="BE20" s="264"/>
      <c r="BF20" s="299"/>
      <c r="BG20" s="330"/>
      <c r="BH20" s="300"/>
      <c r="BI20" s="264"/>
      <c r="BJ20" s="264"/>
      <c r="BK20" s="299"/>
      <c r="BL20" s="330"/>
      <c r="BM20" s="300"/>
      <c r="BN20" s="264"/>
      <c r="BO20" s="264"/>
      <c r="BP20" s="299"/>
      <c r="BQ20" s="330"/>
      <c r="BR20" s="2230"/>
      <c r="BS20" s="330"/>
      <c r="BT20" s="330"/>
      <c r="BU20" s="330"/>
      <c r="BV20" s="330"/>
      <c r="BW20" s="330"/>
      <c r="BX20" s="330"/>
      <c r="BY20" s="330"/>
      <c r="BZ20" s="330"/>
      <c r="CA20" s="330"/>
      <c r="CB20" s="330"/>
      <c r="CC20" s="330"/>
      <c r="CD20" s="330"/>
      <c r="CE20" s="330"/>
      <c r="CF20" s="330"/>
      <c r="CG20" s="330"/>
      <c r="CH20" s="330"/>
      <c r="CI20" s="330"/>
      <c r="CJ20" s="330"/>
      <c r="CK20" s="330"/>
      <c r="CL20" s="330"/>
      <c r="CM20" s="330"/>
      <c r="CN20" s="330"/>
      <c r="CO20" s="330"/>
      <c r="CP20" s="330"/>
      <c r="CQ20" s="330"/>
      <c r="CR20" s="330"/>
      <c r="CS20" s="330"/>
      <c r="CT20" s="821"/>
      <c r="CU20" s="330"/>
      <c r="CV20" s="330"/>
      <c r="CW20" s="330"/>
      <c r="CX20" s="330"/>
      <c r="CY20" s="330"/>
      <c r="CZ20" s="330"/>
      <c r="DA20" s="330"/>
      <c r="DB20" s="330"/>
      <c r="DC20" s="330"/>
      <c r="DD20" s="330"/>
      <c r="DE20" s="330"/>
      <c r="DF20" s="330"/>
      <c r="DG20" s="330"/>
      <c r="DH20" s="330"/>
      <c r="DI20" s="330"/>
      <c r="DJ20" s="330"/>
      <c r="DK20" s="330"/>
      <c r="DL20" s="330"/>
      <c r="DM20" s="330"/>
      <c r="DN20" s="330"/>
    </row>
    <row r="21" spans="1:118" s="232" customFormat="1">
      <c r="A21" s="45"/>
      <c r="B21" s="45"/>
      <c r="C21" s="28" t="s">
        <v>86</v>
      </c>
      <c r="D21" s="45"/>
      <c r="E21" s="335">
        <v>-82</v>
      </c>
      <c r="F21" s="336">
        <v>215</v>
      </c>
      <c r="G21" s="336">
        <v>192</v>
      </c>
      <c r="H21" s="586">
        <f>I21-SUM(E21:G21)</f>
        <v>51</v>
      </c>
      <c r="I21" s="427">
        <v>376</v>
      </c>
      <c r="J21" s="335">
        <v>79</v>
      </c>
      <c r="K21" s="336">
        <v>-133</v>
      </c>
      <c r="L21" s="336">
        <v>192</v>
      </c>
      <c r="M21" s="586">
        <f>N21-SUM(J21:L21)</f>
        <v>119</v>
      </c>
      <c r="N21" s="427">
        <v>257</v>
      </c>
      <c r="O21" s="335">
        <v>75</v>
      </c>
      <c r="P21" s="336">
        <v>76</v>
      </c>
      <c r="Q21" s="336">
        <v>-164</v>
      </c>
      <c r="R21" s="586">
        <f>S21-SUM(O21:Q21)</f>
        <v>135</v>
      </c>
      <c r="S21" s="427">
        <v>122</v>
      </c>
      <c r="T21" s="335">
        <v>178</v>
      </c>
      <c r="U21" s="336">
        <v>-76</v>
      </c>
      <c r="V21" s="336">
        <v>83</v>
      </c>
      <c r="W21" s="586">
        <f>X21-SUM(T21:V21)</f>
        <v>54</v>
      </c>
      <c r="X21" s="427">
        <v>239</v>
      </c>
      <c r="Y21" s="337">
        <v>128</v>
      </c>
      <c r="Z21" s="338">
        <v>-33</v>
      </c>
      <c r="AA21" s="338">
        <v>134</v>
      </c>
      <c r="AB21" s="586">
        <f>AC21-SUM(Y21:AA21)</f>
        <v>139</v>
      </c>
      <c r="AC21" s="339">
        <v>368</v>
      </c>
      <c r="AD21" s="337">
        <v>90</v>
      </c>
      <c r="AE21" s="338">
        <f>228+261</f>
        <v>489</v>
      </c>
      <c r="AF21" s="338">
        <v>342</v>
      </c>
      <c r="AG21" s="586">
        <f>AH21-SUM(AD21:AF21)</f>
        <v>211</v>
      </c>
      <c r="AH21" s="339">
        <f>406+437+289</f>
        <v>1132</v>
      </c>
      <c r="AI21" s="337">
        <f>-1+94</f>
        <v>93</v>
      </c>
      <c r="AJ21" s="338">
        <f>7-31</f>
        <v>-24</v>
      </c>
      <c r="AK21" s="338">
        <f>1-257</f>
        <v>-256</v>
      </c>
      <c r="AL21" s="586">
        <f>AM21-SUM(AI21:AK21)</f>
        <v>139</v>
      </c>
      <c r="AM21" s="2056">
        <f>12-60</f>
        <v>-48</v>
      </c>
      <c r="AN21" s="337">
        <v>93</v>
      </c>
      <c r="AO21" s="338">
        <f>31+117</f>
        <v>148</v>
      </c>
      <c r="AP21" s="338">
        <v>185</v>
      </c>
      <c r="AQ21" s="586">
        <f>AR21-SUM(AN21:AP21)</f>
        <v>-84</v>
      </c>
      <c r="AR21" s="2056">
        <f>-59+401</f>
        <v>342</v>
      </c>
      <c r="AS21" s="337">
        <f>259+4+226</f>
        <v>489</v>
      </c>
      <c r="AT21" s="338">
        <v>181</v>
      </c>
      <c r="AU21" s="338">
        <f>209-2+7</f>
        <v>214</v>
      </c>
      <c r="AV21" s="586">
        <f>AW21-SUM(AS21:AU21)</f>
        <v>512</v>
      </c>
      <c r="AW21" s="2056">
        <f>2+948+233+213</f>
        <v>1396</v>
      </c>
      <c r="AX21" s="306">
        <f>200/4</f>
        <v>50</v>
      </c>
      <c r="AY21" s="266">
        <f t="shared" ref="AY21:BA21" si="13">200/4</f>
        <v>50</v>
      </c>
      <c r="AZ21" s="266">
        <f t="shared" si="13"/>
        <v>50</v>
      </c>
      <c r="BA21" s="307">
        <f t="shared" si="13"/>
        <v>50</v>
      </c>
      <c r="BB21" s="45">
        <f>SUM(AX21:BA21)</f>
        <v>200</v>
      </c>
      <c r="BC21" s="306">
        <f>175/4</f>
        <v>43.75</v>
      </c>
      <c r="BD21" s="266">
        <f>175/4</f>
        <v>43.75</v>
      </c>
      <c r="BE21" s="266">
        <f>175/4</f>
        <v>43.75</v>
      </c>
      <c r="BF21" s="307">
        <f>175/4</f>
        <v>43.75</v>
      </c>
      <c r="BG21" s="45">
        <f>SUM(BC21:BF21)</f>
        <v>175</v>
      </c>
      <c r="BH21" s="306">
        <f>200/4</f>
        <v>50</v>
      </c>
      <c r="BI21" s="266">
        <f t="shared" ref="BI21:BK21" si="14">200/4</f>
        <v>50</v>
      </c>
      <c r="BJ21" s="266">
        <f t="shared" si="14"/>
        <v>50</v>
      </c>
      <c r="BK21" s="307">
        <f t="shared" si="14"/>
        <v>50</v>
      </c>
      <c r="BL21" s="45">
        <f>SUM(BH21:BK21)</f>
        <v>200</v>
      </c>
      <c r="BM21" s="306">
        <f>BH21</f>
        <v>50</v>
      </c>
      <c r="BN21" s="266">
        <f t="shared" ref="BN21" si="15">BI21</f>
        <v>50</v>
      </c>
      <c r="BO21" s="266">
        <f t="shared" ref="BO21" si="16">BJ21</f>
        <v>50</v>
      </c>
      <c r="BP21" s="307">
        <f t="shared" ref="BP21" si="17">BK21</f>
        <v>50</v>
      </c>
      <c r="BQ21" s="45">
        <f>SUM(BM21:BP21)</f>
        <v>200</v>
      </c>
      <c r="BR21" s="330"/>
      <c r="BS21" s="432"/>
      <c r="BT21" s="432"/>
      <c r="BU21" s="45"/>
      <c r="BV21" s="45"/>
      <c r="BW21" s="45"/>
      <c r="BX21" s="45"/>
      <c r="BY21" s="45"/>
      <c r="BZ21" s="45"/>
      <c r="CA21" s="45"/>
      <c r="CB21" s="45"/>
      <c r="CC21" s="45"/>
      <c r="CD21" s="45"/>
      <c r="CE21" s="45"/>
      <c r="CF21" s="45"/>
      <c r="CG21" s="45"/>
      <c r="CH21" s="45"/>
      <c r="CI21" s="45"/>
      <c r="CJ21" s="45"/>
      <c r="CK21" s="45"/>
      <c r="CL21" s="45"/>
      <c r="CM21" s="45"/>
      <c r="CN21" s="45"/>
      <c r="CO21" s="45"/>
      <c r="CP21" s="45"/>
      <c r="CQ21" s="45"/>
      <c r="CR21" s="45"/>
      <c r="CS21" s="45"/>
      <c r="CT21" s="821"/>
      <c r="CU21" s="45"/>
      <c r="CV21" s="45"/>
      <c r="CW21" s="45"/>
      <c r="CX21" s="45"/>
      <c r="CY21" s="45"/>
      <c r="CZ21" s="45"/>
      <c r="DA21" s="45"/>
      <c r="DB21" s="45"/>
      <c r="DC21" s="45"/>
      <c r="DD21" s="45"/>
      <c r="DE21" s="45"/>
      <c r="DF21" s="45"/>
      <c r="DG21" s="45"/>
      <c r="DH21" s="45"/>
      <c r="DI21" s="45"/>
      <c r="DJ21" s="45"/>
      <c r="DK21" s="45"/>
      <c r="DL21" s="45"/>
      <c r="DM21" s="45"/>
      <c r="DN21" s="45"/>
    </row>
    <row r="22" spans="1:118">
      <c r="A22" s="330"/>
      <c r="B22" s="330"/>
      <c r="C22" s="28"/>
      <c r="D22" s="330"/>
      <c r="E22" s="306"/>
      <c r="F22" s="264"/>
      <c r="G22" s="266"/>
      <c r="H22" s="307"/>
      <c r="I22" s="426"/>
      <c r="J22" s="306"/>
      <c r="K22" s="264"/>
      <c r="L22" s="266"/>
      <c r="M22" s="307"/>
      <c r="N22" s="426"/>
      <c r="O22" s="306"/>
      <c r="P22" s="264"/>
      <c r="Q22" s="266"/>
      <c r="R22" s="307"/>
      <c r="S22" s="426"/>
      <c r="T22" s="306"/>
      <c r="U22" s="266"/>
      <c r="V22" s="266"/>
      <c r="W22" s="307"/>
      <c r="X22" s="426"/>
      <c r="Y22" s="814"/>
      <c r="Z22" s="262"/>
      <c r="AA22" s="262"/>
      <c r="AB22" s="294"/>
      <c r="AC22" s="1003"/>
      <c r="AD22" s="814"/>
      <c r="AE22" s="262"/>
      <c r="AF22" s="262"/>
      <c r="AG22" s="294"/>
      <c r="AH22" s="1003"/>
      <c r="AI22" s="814"/>
      <c r="AJ22" s="262"/>
      <c r="AK22" s="262"/>
      <c r="AL22" s="294"/>
      <c r="AM22" s="2058"/>
      <c r="AN22" s="814"/>
      <c r="AO22" s="262"/>
      <c r="AP22" s="262"/>
      <c r="AQ22" s="294"/>
      <c r="AR22" s="2058"/>
      <c r="AS22" s="814"/>
      <c r="AT22" s="262"/>
      <c r="AU22" s="262"/>
      <c r="AV22" s="294"/>
      <c r="AW22" s="2058"/>
      <c r="AX22" s="300"/>
      <c r="AY22" s="264"/>
      <c r="AZ22" s="264"/>
      <c r="BA22" s="299"/>
      <c r="BB22" s="330"/>
      <c r="BC22" s="300"/>
      <c r="BD22" s="264"/>
      <c r="BE22" s="264"/>
      <c r="BF22" s="299"/>
      <c r="BG22" s="330"/>
      <c r="BH22" s="300"/>
      <c r="BI22" s="264"/>
      <c r="BJ22" s="264"/>
      <c r="BK22" s="299"/>
      <c r="BL22" s="330"/>
      <c r="BM22" s="300"/>
      <c r="BN22" s="264"/>
      <c r="BO22" s="264"/>
      <c r="BP22" s="299"/>
      <c r="BQ22" s="330"/>
      <c r="BR22" s="330"/>
      <c r="BS22" s="330"/>
      <c r="BT22" s="330"/>
      <c r="BU22" s="330"/>
      <c r="BV22" s="330"/>
      <c r="BW22" s="330"/>
      <c r="BX22" s="330"/>
      <c r="BY22" s="330"/>
      <c r="BZ22" s="330"/>
      <c r="CA22" s="330"/>
      <c r="CB22" s="330"/>
      <c r="CC22" s="330"/>
      <c r="CD22" s="330"/>
      <c r="CE22" s="330"/>
      <c r="CF22" s="330"/>
      <c r="CG22" s="330"/>
      <c r="CH22" s="330"/>
      <c r="CI22" s="330"/>
      <c r="CJ22" s="330"/>
      <c r="CK22" s="330"/>
      <c r="CL22" s="330"/>
      <c r="CM22" s="330"/>
      <c r="CN22" s="330"/>
      <c r="CO22" s="330"/>
      <c r="CP22" s="330"/>
      <c r="CQ22" s="330"/>
      <c r="CR22" s="330"/>
      <c r="CS22" s="330"/>
      <c r="CT22" s="821"/>
      <c r="CU22" s="330"/>
      <c r="CV22" s="330"/>
      <c r="CW22" s="330"/>
      <c r="CX22" s="330"/>
      <c r="CY22" s="330"/>
      <c r="CZ22" s="330"/>
      <c r="DA22" s="330"/>
      <c r="DB22" s="330"/>
      <c r="DC22" s="330"/>
      <c r="DD22" s="330"/>
      <c r="DE22" s="330"/>
      <c r="DF22" s="330"/>
      <c r="DG22" s="330"/>
      <c r="DH22" s="330"/>
      <c r="DI22" s="330"/>
      <c r="DJ22" s="330"/>
      <c r="DK22" s="330"/>
      <c r="DL22" s="330"/>
      <c r="DM22" s="330"/>
      <c r="DN22" s="330"/>
    </row>
    <row r="23" spans="1:118">
      <c r="A23" s="330"/>
      <c r="B23" s="330"/>
      <c r="C23" s="32" t="s">
        <v>475</v>
      </c>
      <c r="D23" s="330"/>
      <c r="E23" s="292">
        <f t="shared" ref="E23:AJ23" si="18">E19+E21</f>
        <v>779</v>
      </c>
      <c r="F23" s="261">
        <f t="shared" si="18"/>
        <v>891</v>
      </c>
      <c r="G23" s="261">
        <f t="shared" si="18"/>
        <v>1237</v>
      </c>
      <c r="H23" s="293">
        <f t="shared" si="18"/>
        <v>761</v>
      </c>
      <c r="I23" s="228">
        <f t="shared" si="18"/>
        <v>3668</v>
      </c>
      <c r="J23" s="292">
        <f t="shared" si="18"/>
        <v>995</v>
      </c>
      <c r="K23" s="261">
        <f t="shared" si="18"/>
        <v>454</v>
      </c>
      <c r="L23" s="261">
        <f t="shared" si="18"/>
        <v>1075</v>
      </c>
      <c r="M23" s="293">
        <f t="shared" si="18"/>
        <v>779</v>
      </c>
      <c r="N23" s="228">
        <f t="shared" si="18"/>
        <v>3303</v>
      </c>
      <c r="O23" s="292">
        <f t="shared" si="18"/>
        <v>876</v>
      </c>
      <c r="P23" s="261">
        <f t="shared" si="18"/>
        <v>723</v>
      </c>
      <c r="Q23" s="261">
        <f t="shared" si="18"/>
        <v>590</v>
      </c>
      <c r="R23" s="293">
        <f t="shared" si="18"/>
        <v>808</v>
      </c>
      <c r="S23" s="228">
        <f t="shared" si="18"/>
        <v>2997</v>
      </c>
      <c r="T23" s="292">
        <f t="shared" si="18"/>
        <v>450</v>
      </c>
      <c r="U23" s="261">
        <f t="shared" si="18"/>
        <v>308</v>
      </c>
      <c r="V23" s="261">
        <f t="shared" si="18"/>
        <v>257</v>
      </c>
      <c r="W23" s="293">
        <f t="shared" si="18"/>
        <v>344</v>
      </c>
      <c r="X23" s="228">
        <f t="shared" si="18"/>
        <v>1359</v>
      </c>
      <c r="Y23" s="292">
        <f t="shared" si="18"/>
        <v>64</v>
      </c>
      <c r="Z23" s="261">
        <f t="shared" si="18"/>
        <v>570</v>
      </c>
      <c r="AA23" s="261">
        <f t="shared" si="18"/>
        <v>855</v>
      </c>
      <c r="AB23" s="293">
        <f t="shared" si="18"/>
        <v>543</v>
      </c>
      <c r="AC23" s="228">
        <f t="shared" si="18"/>
        <v>2032</v>
      </c>
      <c r="AD23" s="292">
        <f t="shared" si="18"/>
        <v>-299</v>
      </c>
      <c r="AE23" s="261">
        <f t="shared" si="18"/>
        <v>657</v>
      </c>
      <c r="AF23" s="261">
        <f t="shared" si="18"/>
        <v>1229</v>
      </c>
      <c r="AG23" s="293">
        <f t="shared" si="18"/>
        <v>-5</v>
      </c>
      <c r="AH23" s="228">
        <f t="shared" si="18"/>
        <v>1582</v>
      </c>
      <c r="AI23" s="292">
        <f t="shared" si="18"/>
        <v>813</v>
      </c>
      <c r="AJ23" s="261">
        <f t="shared" si="18"/>
        <v>670</v>
      </c>
      <c r="AK23" s="261">
        <f t="shared" ref="AK23:BL23" si="19">AK19+AK21</f>
        <v>364</v>
      </c>
      <c r="AL23" s="293">
        <f t="shared" si="19"/>
        <v>360</v>
      </c>
      <c r="AM23" s="228">
        <f t="shared" si="19"/>
        <v>2207</v>
      </c>
      <c r="AN23" s="292">
        <f t="shared" si="19"/>
        <v>505</v>
      </c>
      <c r="AO23" s="261">
        <f t="shared" si="19"/>
        <v>96</v>
      </c>
      <c r="AP23" s="261">
        <f t="shared" ref="AP23:AT23" si="20">AP19+AP21</f>
        <v>521</v>
      </c>
      <c r="AQ23" s="293">
        <f t="shared" si="20"/>
        <v>90</v>
      </c>
      <c r="AR23" s="228">
        <f t="shared" si="20"/>
        <v>1212</v>
      </c>
      <c r="AS23" s="292">
        <f t="shared" si="20"/>
        <v>636</v>
      </c>
      <c r="AT23" s="261">
        <f t="shared" si="20"/>
        <v>-295</v>
      </c>
      <c r="AU23" s="261">
        <f t="shared" si="19"/>
        <v>701</v>
      </c>
      <c r="AV23" s="293">
        <f t="shared" si="19"/>
        <v>794</v>
      </c>
      <c r="AW23" s="228">
        <f t="shared" si="19"/>
        <v>1836</v>
      </c>
      <c r="AX23" s="292">
        <f t="shared" si="19"/>
        <v>611.51714788502022</v>
      </c>
      <c r="AY23" s="261">
        <f t="shared" si="19"/>
        <v>445.44098530542442</v>
      </c>
      <c r="AZ23" s="261">
        <f t="shared" si="19"/>
        <v>690.22505905011349</v>
      </c>
      <c r="BA23" s="293">
        <f t="shared" si="19"/>
        <v>359.71681919642697</v>
      </c>
      <c r="BB23" s="228">
        <f t="shared" si="19"/>
        <v>2106.9000114369846</v>
      </c>
      <c r="BC23" s="292">
        <f t="shared" si="19"/>
        <v>722.5825444527045</v>
      </c>
      <c r="BD23" s="261">
        <f t="shared" si="19"/>
        <v>319.29995717387374</v>
      </c>
      <c r="BE23" s="261">
        <f t="shared" si="19"/>
        <v>501.45436422673993</v>
      </c>
      <c r="BF23" s="293">
        <f t="shared" si="19"/>
        <v>199.90252558494717</v>
      </c>
      <c r="BG23" s="228">
        <f t="shared" si="19"/>
        <v>1743.2393914382646</v>
      </c>
      <c r="BH23" s="292">
        <f t="shared" si="19"/>
        <v>557.96584743956032</v>
      </c>
      <c r="BI23" s="261">
        <f t="shared" si="19"/>
        <v>187.42230229287111</v>
      </c>
      <c r="BJ23" s="261">
        <f t="shared" si="19"/>
        <v>493.39999562408207</v>
      </c>
      <c r="BK23" s="293">
        <f t="shared" si="19"/>
        <v>232.66774263696288</v>
      </c>
      <c r="BL23" s="228">
        <f t="shared" si="19"/>
        <v>1471.4558879934775</v>
      </c>
      <c r="BM23" s="292">
        <f t="shared" ref="BM23:BQ23" si="21">BM19+BM21</f>
        <v>409.04498414017326</v>
      </c>
      <c r="BN23" s="261">
        <f t="shared" si="21"/>
        <v>283.17997203826985</v>
      </c>
      <c r="BO23" s="261">
        <f t="shared" si="21"/>
        <v>538.54311008797731</v>
      </c>
      <c r="BP23" s="293">
        <f t="shared" si="21"/>
        <v>296.02699600520236</v>
      </c>
      <c r="BQ23" s="228">
        <f t="shared" si="21"/>
        <v>1526.7950622716235</v>
      </c>
      <c r="BR23" s="330"/>
      <c r="BS23" s="330"/>
      <c r="BT23" s="330"/>
      <c r="BU23" s="804"/>
      <c r="BV23" s="330"/>
      <c r="BW23" s="330"/>
      <c r="BX23" s="330"/>
      <c r="BY23" s="330"/>
      <c r="BZ23" s="330"/>
      <c r="CA23" s="330"/>
      <c r="CB23" s="330"/>
      <c r="CC23" s="330"/>
      <c r="CD23" s="330"/>
      <c r="CE23" s="330"/>
      <c r="CF23" s="330"/>
      <c r="CG23" s="330"/>
      <c r="CH23" s="330"/>
      <c r="CI23" s="330"/>
      <c r="CJ23" s="330"/>
      <c r="CK23" s="330"/>
      <c r="CL23" s="330"/>
      <c r="CM23" s="330"/>
      <c r="CN23" s="330"/>
      <c r="CO23" s="330"/>
      <c r="CP23" s="330"/>
      <c r="CQ23" s="330"/>
      <c r="CR23" s="330"/>
      <c r="CS23" s="330"/>
      <c r="CT23" s="821"/>
      <c r="CU23" s="330"/>
      <c r="CV23" s="330"/>
      <c r="CW23" s="330"/>
      <c r="CX23" s="330"/>
      <c r="CY23" s="330"/>
      <c r="CZ23" s="330"/>
      <c r="DA23" s="330"/>
      <c r="DB23" s="330"/>
      <c r="DC23" s="330"/>
      <c r="DD23" s="330"/>
      <c r="DE23" s="330"/>
      <c r="DF23" s="330"/>
      <c r="DG23" s="330"/>
      <c r="DH23" s="330"/>
      <c r="DI23" s="330"/>
      <c r="DJ23" s="330"/>
      <c r="DK23" s="330"/>
      <c r="DL23" s="330"/>
      <c r="DM23" s="330"/>
      <c r="DN23" s="330"/>
    </row>
    <row r="24" spans="1:118">
      <c r="A24" s="330"/>
      <c r="B24" s="330"/>
      <c r="C24" s="32" t="s">
        <v>66</v>
      </c>
      <c r="D24" s="330"/>
      <c r="E24" s="292">
        <f t="shared" ref="E24:AJ24" si="22">+E23+E13</f>
        <v>855</v>
      </c>
      <c r="F24" s="261">
        <f t="shared" si="22"/>
        <v>963</v>
      </c>
      <c r="G24" s="261">
        <f t="shared" si="22"/>
        <v>1311</v>
      </c>
      <c r="H24" s="293">
        <f t="shared" si="22"/>
        <v>872</v>
      </c>
      <c r="I24" s="228">
        <f t="shared" si="22"/>
        <v>4001</v>
      </c>
      <c r="J24" s="292">
        <f t="shared" si="22"/>
        <v>1104</v>
      </c>
      <c r="K24" s="261">
        <f t="shared" si="22"/>
        <v>569</v>
      </c>
      <c r="L24" s="261">
        <f t="shared" si="22"/>
        <v>1196</v>
      </c>
      <c r="M24" s="293">
        <f t="shared" si="22"/>
        <v>908</v>
      </c>
      <c r="N24" s="228">
        <f t="shared" si="22"/>
        <v>3777</v>
      </c>
      <c r="O24" s="292">
        <f t="shared" si="22"/>
        <v>1015</v>
      </c>
      <c r="P24" s="261">
        <f t="shared" si="22"/>
        <v>861</v>
      </c>
      <c r="Q24" s="261">
        <f t="shared" si="22"/>
        <v>729</v>
      </c>
      <c r="R24" s="293">
        <f t="shared" si="22"/>
        <v>962</v>
      </c>
      <c r="S24" s="228">
        <f t="shared" si="22"/>
        <v>3567</v>
      </c>
      <c r="T24" s="292">
        <f t="shared" si="22"/>
        <v>603</v>
      </c>
      <c r="U24" s="261">
        <f t="shared" si="22"/>
        <v>512</v>
      </c>
      <c r="V24" s="261">
        <f t="shared" si="22"/>
        <v>464</v>
      </c>
      <c r="W24" s="293">
        <f t="shared" si="22"/>
        <v>548</v>
      </c>
      <c r="X24" s="228">
        <f t="shared" si="22"/>
        <v>2127</v>
      </c>
      <c r="Y24" s="292">
        <f t="shared" si="22"/>
        <v>278</v>
      </c>
      <c r="Z24" s="261">
        <f t="shared" si="22"/>
        <v>780</v>
      </c>
      <c r="AA24" s="261">
        <f t="shared" si="22"/>
        <v>1073</v>
      </c>
      <c r="AB24" s="293">
        <f t="shared" si="22"/>
        <v>757</v>
      </c>
      <c r="AC24" s="228">
        <f t="shared" si="22"/>
        <v>2888</v>
      </c>
      <c r="AD24" s="292">
        <f t="shared" si="22"/>
        <v>-88</v>
      </c>
      <c r="AE24" s="261">
        <f t="shared" si="22"/>
        <v>911</v>
      </c>
      <c r="AF24" s="261">
        <f t="shared" si="22"/>
        <v>1482</v>
      </c>
      <c r="AG24" s="293">
        <f t="shared" si="22"/>
        <v>244</v>
      </c>
      <c r="AH24" s="228">
        <f t="shared" si="22"/>
        <v>2549</v>
      </c>
      <c r="AI24" s="292">
        <f t="shared" si="22"/>
        <v>1067</v>
      </c>
      <c r="AJ24" s="261">
        <f t="shared" si="22"/>
        <v>925</v>
      </c>
      <c r="AK24" s="261">
        <f t="shared" ref="AK24:BL24" si="23">+AK23+AK13</f>
        <v>628</v>
      </c>
      <c r="AL24" s="293">
        <f t="shared" si="23"/>
        <v>641</v>
      </c>
      <c r="AM24" s="228">
        <f t="shared" si="23"/>
        <v>3261</v>
      </c>
      <c r="AN24" s="292">
        <f t="shared" si="23"/>
        <v>794</v>
      </c>
      <c r="AO24" s="261">
        <f t="shared" si="23"/>
        <v>504</v>
      </c>
      <c r="AP24" s="261">
        <f t="shared" ref="AP24:AT24" si="24">+AP23+AP13</f>
        <v>1153</v>
      </c>
      <c r="AQ24" s="293">
        <f t="shared" si="24"/>
        <v>640</v>
      </c>
      <c r="AR24" s="228">
        <f t="shared" si="24"/>
        <v>3091</v>
      </c>
      <c r="AS24" s="292">
        <f t="shared" si="24"/>
        <v>938</v>
      </c>
      <c r="AT24" s="261">
        <f t="shared" si="24"/>
        <v>39</v>
      </c>
      <c r="AU24" s="261">
        <f t="shared" si="23"/>
        <v>1111</v>
      </c>
      <c r="AV24" s="293">
        <f t="shared" si="23"/>
        <v>1205</v>
      </c>
      <c r="AW24" s="228">
        <f t="shared" si="23"/>
        <v>3293</v>
      </c>
      <c r="AX24" s="292">
        <f t="shared" si="23"/>
        <v>889.83914788502022</v>
      </c>
      <c r="AY24" s="261">
        <f t="shared" si="23"/>
        <v>724.86113604511002</v>
      </c>
      <c r="AZ24" s="261">
        <f t="shared" si="23"/>
        <v>970.80263592011158</v>
      </c>
      <c r="BA24" s="293">
        <f t="shared" si="23"/>
        <v>641.43561823091318</v>
      </c>
      <c r="BB24" s="228">
        <f t="shared" si="23"/>
        <v>3226.9385380811545</v>
      </c>
      <c r="BC24" s="292">
        <f t="shared" si="23"/>
        <v>1012.1657147223227</v>
      </c>
      <c r="BD24" s="261">
        <f t="shared" si="23"/>
        <v>610.83835026282497</v>
      </c>
      <c r="BE24" s="261">
        <f t="shared" si="23"/>
        <v>792.67130403041483</v>
      </c>
      <c r="BF24" s="293">
        <f t="shared" si="23"/>
        <v>490.80263299432141</v>
      </c>
      <c r="BG24" s="228">
        <f t="shared" si="23"/>
        <v>2906.4780020098833</v>
      </c>
      <c r="BH24" s="292">
        <f t="shared" si="23"/>
        <v>848.553676920302</v>
      </c>
      <c r="BI24" s="261">
        <f t="shared" si="23"/>
        <v>478.01534430656119</v>
      </c>
      <c r="BJ24" s="261">
        <f t="shared" si="23"/>
        <v>783.86486127420267</v>
      </c>
      <c r="BK24" s="293">
        <f t="shared" si="23"/>
        <v>523.00627445874011</v>
      </c>
      <c r="BL24" s="228">
        <f t="shared" si="23"/>
        <v>2633.4401569598072</v>
      </c>
      <c r="BM24" s="292">
        <f t="shared" ref="BM24:BQ24" si="25">+BM23+BM13</f>
        <v>699.25899818238975</v>
      </c>
      <c r="BN24" s="261">
        <f t="shared" si="25"/>
        <v>573.36406788283239</v>
      </c>
      <c r="BO24" s="261">
        <f t="shared" si="25"/>
        <v>828.68862205477421</v>
      </c>
      <c r="BP24" s="293">
        <f t="shared" si="25"/>
        <v>586.13447873747646</v>
      </c>
      <c r="BQ24" s="228">
        <f t="shared" si="25"/>
        <v>2687.4461668574731</v>
      </c>
      <c r="BR24" s="330"/>
      <c r="BS24" s="330"/>
      <c r="BT24" s="330"/>
      <c r="BU24" s="330"/>
      <c r="BV24" s="330"/>
      <c r="BW24" s="330"/>
      <c r="BX24" s="330"/>
      <c r="BY24" s="330"/>
      <c r="BZ24" s="330"/>
      <c r="CA24" s="330"/>
      <c r="CB24" s="330"/>
      <c r="CC24" s="330"/>
      <c r="CD24" s="330"/>
      <c r="CE24" s="330"/>
      <c r="CF24" s="330"/>
      <c r="CG24" s="330"/>
      <c r="CH24" s="330"/>
      <c r="CI24" s="330"/>
      <c r="CJ24" s="330"/>
      <c r="CK24" s="330"/>
      <c r="CL24" s="330"/>
      <c r="CM24" s="330"/>
      <c r="CN24" s="330"/>
      <c r="CO24" s="330"/>
      <c r="CP24" s="330"/>
      <c r="CQ24" s="330"/>
      <c r="CR24" s="330"/>
      <c r="CS24" s="330"/>
      <c r="CT24" s="821"/>
      <c r="CU24" s="330"/>
      <c r="CV24" s="330"/>
      <c r="CW24" s="330"/>
      <c r="CX24" s="330"/>
      <c r="CY24" s="330"/>
      <c r="CZ24" s="330"/>
      <c r="DA24" s="330"/>
      <c r="DB24" s="330"/>
      <c r="DC24" s="330"/>
      <c r="DD24" s="330"/>
      <c r="DE24" s="330"/>
      <c r="DF24" s="330"/>
      <c r="DG24" s="330"/>
      <c r="DH24" s="330"/>
      <c r="DI24" s="330"/>
      <c r="DJ24" s="330"/>
      <c r="DK24" s="330"/>
      <c r="DL24" s="330"/>
      <c r="DM24" s="330"/>
      <c r="DN24" s="330"/>
    </row>
    <row r="25" spans="1:118">
      <c r="A25" s="330"/>
      <c r="B25" s="330"/>
      <c r="C25" s="28"/>
      <c r="D25" s="330"/>
      <c r="E25" s="306"/>
      <c r="F25" s="264"/>
      <c r="G25" s="266"/>
      <c r="H25" s="307"/>
      <c r="I25" s="426"/>
      <c r="J25" s="306"/>
      <c r="K25" s="264"/>
      <c r="L25" s="266"/>
      <c r="M25" s="307"/>
      <c r="N25" s="426"/>
      <c r="O25" s="306"/>
      <c r="P25" s="264"/>
      <c r="Q25" s="266"/>
      <c r="R25" s="307"/>
      <c r="S25" s="426"/>
      <c r="T25" s="306"/>
      <c r="U25" s="266"/>
      <c r="V25" s="266"/>
      <c r="W25" s="307"/>
      <c r="X25" s="426"/>
      <c r="Y25" s="814"/>
      <c r="Z25" s="262"/>
      <c r="AA25" s="262"/>
      <c r="AB25" s="294"/>
      <c r="AC25" s="1003"/>
      <c r="AD25" s="814"/>
      <c r="AE25" s="262"/>
      <c r="AF25" s="262"/>
      <c r="AG25" s="294"/>
      <c r="AH25" s="1003"/>
      <c r="AI25" s="814"/>
      <c r="AJ25" s="262"/>
      <c r="AK25" s="262"/>
      <c r="AL25" s="294"/>
      <c r="AM25" s="2058"/>
      <c r="AN25" s="814"/>
      <c r="AO25" s="262"/>
      <c r="AP25" s="262"/>
      <c r="AQ25" s="294"/>
      <c r="AR25" s="2058"/>
      <c r="AS25" s="814"/>
      <c r="AT25" s="262"/>
      <c r="AU25" s="264"/>
      <c r="AV25" s="294"/>
      <c r="AW25" s="2058"/>
      <c r="AX25" s="300"/>
      <c r="AY25" s="264"/>
      <c r="AZ25" s="264"/>
      <c r="BA25" s="299"/>
      <c r="BB25" s="330"/>
      <c r="BC25" s="300"/>
      <c r="BD25" s="264"/>
      <c r="BE25" s="264"/>
      <c r="BF25" s="299"/>
      <c r="BG25" s="330"/>
      <c r="BH25" s="300"/>
      <c r="BI25" s="264"/>
      <c r="BJ25" s="264"/>
      <c r="BK25" s="299"/>
      <c r="BL25" s="330"/>
      <c r="BM25" s="300"/>
      <c r="BN25" s="264"/>
      <c r="BO25" s="264"/>
      <c r="BP25" s="299"/>
      <c r="BQ25" s="330"/>
      <c r="BR25" s="330"/>
      <c r="BS25" s="330"/>
      <c r="BT25" s="330"/>
      <c r="BU25" s="330"/>
      <c r="BV25" s="330"/>
      <c r="BW25" s="330"/>
      <c r="BX25" s="330"/>
      <c r="BY25" s="330"/>
      <c r="BZ25" s="330"/>
      <c r="CA25" s="330"/>
      <c r="CB25" s="330"/>
      <c r="CC25" s="330"/>
      <c r="CD25" s="330"/>
      <c r="CE25" s="330"/>
      <c r="CF25" s="330"/>
      <c r="CG25" s="330"/>
      <c r="CH25" s="330"/>
      <c r="CI25" s="330"/>
      <c r="CJ25" s="330"/>
      <c r="CK25" s="330"/>
      <c r="CL25" s="330"/>
      <c r="CM25" s="330"/>
      <c r="CN25" s="330"/>
      <c r="CO25" s="330"/>
      <c r="CP25" s="330"/>
      <c r="CQ25" s="330"/>
      <c r="CR25" s="330"/>
      <c r="CS25" s="330"/>
      <c r="CT25" s="821"/>
      <c r="CU25" s="330"/>
      <c r="CV25" s="330"/>
      <c r="CW25" s="330"/>
      <c r="CX25" s="330"/>
      <c r="CY25" s="330"/>
      <c r="CZ25" s="330"/>
      <c r="DA25" s="330"/>
      <c r="DB25" s="330"/>
      <c r="DC25" s="330"/>
      <c r="DD25" s="330"/>
      <c r="DE25" s="330"/>
      <c r="DF25" s="330"/>
      <c r="DG25" s="330"/>
      <c r="DH25" s="330"/>
      <c r="DI25" s="330"/>
      <c r="DJ25" s="330"/>
      <c r="DK25" s="330"/>
      <c r="DL25" s="330"/>
      <c r="DM25" s="330"/>
      <c r="DN25" s="330"/>
    </row>
    <row r="26" spans="1:118" s="232" customFormat="1">
      <c r="A26" s="45"/>
      <c r="B26" s="45"/>
      <c r="C26" s="28" t="s">
        <v>80</v>
      </c>
      <c r="D26" s="45"/>
      <c r="E26" s="335">
        <v>29</v>
      </c>
      <c r="F26" s="336">
        <v>24</v>
      </c>
      <c r="G26" s="336">
        <v>24</v>
      </c>
      <c r="H26" s="586">
        <f>I26-SUM(E26:G26)</f>
        <v>36</v>
      </c>
      <c r="I26" s="427">
        <v>113</v>
      </c>
      <c r="J26" s="335">
        <v>35</v>
      </c>
      <c r="K26" s="336">
        <v>37</v>
      </c>
      <c r="L26" s="336">
        <v>37</v>
      </c>
      <c r="M26" s="586">
        <f>N26-SUM(J26:L26)</f>
        <v>44</v>
      </c>
      <c r="N26" s="427">
        <v>153</v>
      </c>
      <c r="O26" s="335">
        <v>45</v>
      </c>
      <c r="P26" s="336">
        <v>45</v>
      </c>
      <c r="Q26" s="336">
        <v>37</v>
      </c>
      <c r="R26" s="586">
        <f>S26-SUM(O26:Q26)</f>
        <v>43</v>
      </c>
      <c r="S26" s="427">
        <v>170</v>
      </c>
      <c r="T26" s="335">
        <v>54</v>
      </c>
      <c r="U26" s="336">
        <v>85</v>
      </c>
      <c r="V26" s="336">
        <v>85</v>
      </c>
      <c r="W26" s="586">
        <f>X26-SUM(T26:V26)</f>
        <v>77</v>
      </c>
      <c r="X26" s="427">
        <v>301</v>
      </c>
      <c r="Y26" s="337">
        <v>82</v>
      </c>
      <c r="Z26" s="338">
        <v>93</v>
      </c>
      <c r="AA26" s="338">
        <v>82</v>
      </c>
      <c r="AB26" s="586">
        <f>AC26-SUM(Y26:AA26)</f>
        <v>100</v>
      </c>
      <c r="AC26" s="339">
        <f>298+59</f>
        <v>357</v>
      </c>
      <c r="AD26" s="337">
        <f>73+12</f>
        <v>85</v>
      </c>
      <c r="AE26" s="338">
        <f>74+12</f>
        <v>86</v>
      </c>
      <c r="AF26" s="338">
        <f>77+12</f>
        <v>89</v>
      </c>
      <c r="AG26" s="586">
        <f>AH26-SUM(AD26:AF26)</f>
        <v>96</v>
      </c>
      <c r="AH26" s="339">
        <f>303+53</f>
        <v>356</v>
      </c>
      <c r="AI26" s="337">
        <v>102</v>
      </c>
      <c r="AJ26" s="338">
        <v>99</v>
      </c>
      <c r="AK26" s="338">
        <v>68</v>
      </c>
      <c r="AL26" s="586">
        <f>AM26-SUM(AI26:AK26)</f>
        <v>96</v>
      </c>
      <c r="AM26" s="2056">
        <v>365</v>
      </c>
      <c r="AN26" s="337">
        <v>97</v>
      </c>
      <c r="AO26" s="338">
        <v>99</v>
      </c>
      <c r="AP26" s="338">
        <f>67+10</f>
        <v>77</v>
      </c>
      <c r="AQ26" s="586">
        <f>AR26-SUM(AN26:AP26)</f>
        <v>91</v>
      </c>
      <c r="AR26" s="2056">
        <v>364</v>
      </c>
      <c r="AS26" s="337">
        <f>90+10</f>
        <v>100</v>
      </c>
      <c r="AT26" s="338">
        <f>120+9</f>
        <v>129</v>
      </c>
      <c r="AU26" s="338">
        <v>113</v>
      </c>
      <c r="AV26" s="586">
        <f>AW26-SUM(AS26:AU26)</f>
        <v>98</v>
      </c>
      <c r="AW26" s="2056">
        <v>440</v>
      </c>
      <c r="AX26" s="290">
        <f>AS26+AX813</f>
        <v>96.385000000000005</v>
      </c>
      <c r="AY26" s="260">
        <f ca="1">AT26+AY813</f>
        <v>123.35945206210006</v>
      </c>
      <c r="AZ26" s="260">
        <f ca="1">AU26+AZ813</f>
        <v>111.27119814365767</v>
      </c>
      <c r="BA26" s="291">
        <f ca="1">AV26+BA813</f>
        <v>88.4543171021311</v>
      </c>
      <c r="BB26" s="45">
        <f ca="1">SUM(AX26:BA26)</f>
        <v>419.46996730788885</v>
      </c>
      <c r="BC26" s="290">
        <f ca="1">AX26+BC813</f>
        <v>88.575658660611253</v>
      </c>
      <c r="BD26" s="260">
        <f ca="1">AY26+BD813</f>
        <v>114.09876917811279</v>
      </c>
      <c r="BE26" s="260">
        <f ca="1">AZ26+BE813</f>
        <v>101.84794788616176</v>
      </c>
      <c r="BF26" s="291">
        <f ca="1">BA26+BF813</f>
        <v>86.737948475621607</v>
      </c>
      <c r="BG26" s="45">
        <f ca="1">SUM(BC26:BF26)</f>
        <v>391.2603242005074</v>
      </c>
      <c r="BH26" s="290">
        <f ca="1">BC26+BH813</f>
        <v>88.04922558397665</v>
      </c>
      <c r="BI26" s="260">
        <f ca="1">BD26+BI813</f>
        <v>116.10815309040466</v>
      </c>
      <c r="BJ26" s="260">
        <f ca="1">BE26+BJ813</f>
        <v>105.06294703356505</v>
      </c>
      <c r="BK26" s="291">
        <f ca="1">BF26+BK813</f>
        <v>81.307926226878578</v>
      </c>
      <c r="BL26" s="45">
        <f ca="1">SUM(BH26:BK26)</f>
        <v>390.52825193482494</v>
      </c>
      <c r="BM26" s="290">
        <f ca="1">BH26+BM813</f>
        <v>75.468821376485437</v>
      </c>
      <c r="BN26" s="260">
        <f ca="1">BI26+BN813</f>
        <v>106.80174876386685</v>
      </c>
      <c r="BO26" s="260">
        <f ca="1">BJ26+BO813</f>
        <v>93.782372491653788</v>
      </c>
      <c r="BP26" s="291">
        <f ca="1">BK26+BP813</f>
        <v>66.995225806496862</v>
      </c>
      <c r="BQ26" s="45">
        <f ca="1">SUM(BM26:BP26)</f>
        <v>343.04816843850296</v>
      </c>
      <c r="BR26" s="45"/>
      <c r="BS26" s="45"/>
      <c r="BT26" s="45"/>
      <c r="BU26" s="45"/>
      <c r="BV26" s="45"/>
      <c r="BW26" s="45"/>
      <c r="BX26" s="45"/>
      <c r="BY26" s="45"/>
      <c r="BZ26" s="45"/>
      <c r="CA26" s="45"/>
      <c r="CB26" s="45"/>
      <c r="CC26" s="45"/>
      <c r="CD26" s="45"/>
      <c r="CE26" s="45"/>
      <c r="CF26" s="45"/>
      <c r="CG26" s="45"/>
      <c r="CH26" s="45"/>
      <c r="CI26" s="45"/>
      <c r="CJ26" s="45"/>
      <c r="CK26" s="45"/>
      <c r="CL26" s="45"/>
      <c r="CM26" s="45"/>
      <c r="CN26" s="45"/>
      <c r="CO26" s="45"/>
      <c r="CP26" s="45"/>
      <c r="CQ26" s="45"/>
      <c r="CR26" s="45"/>
      <c r="CS26" s="45"/>
      <c r="CT26" s="821"/>
      <c r="CU26" s="45"/>
      <c r="CV26" s="45"/>
      <c r="CW26" s="45"/>
      <c r="CX26" s="45"/>
      <c r="CY26" s="45"/>
      <c r="CZ26" s="45"/>
      <c r="DA26" s="45"/>
      <c r="DB26" s="45"/>
      <c r="DC26" s="45"/>
      <c r="DD26" s="45"/>
      <c r="DE26" s="45"/>
      <c r="DF26" s="45"/>
      <c r="DG26" s="45"/>
      <c r="DH26" s="45"/>
      <c r="DI26" s="45"/>
      <c r="DJ26" s="45"/>
      <c r="DK26" s="45"/>
      <c r="DL26" s="45"/>
      <c r="DM26" s="45"/>
      <c r="DN26" s="45"/>
    </row>
    <row r="27" spans="1:118">
      <c r="A27" s="330"/>
      <c r="B27" s="330"/>
      <c r="C27" s="28"/>
      <c r="D27" s="330"/>
      <c r="E27" s="306"/>
      <c r="F27" s="264"/>
      <c r="G27" s="266"/>
      <c r="H27" s="307"/>
      <c r="I27" s="426"/>
      <c r="J27" s="306"/>
      <c r="K27" s="264"/>
      <c r="L27" s="266"/>
      <c r="M27" s="307"/>
      <c r="N27" s="426"/>
      <c r="O27" s="306"/>
      <c r="P27" s="264"/>
      <c r="Q27" s="266"/>
      <c r="R27" s="307"/>
      <c r="S27" s="426"/>
      <c r="T27" s="306"/>
      <c r="U27" s="266"/>
      <c r="V27" s="266"/>
      <c r="W27" s="307"/>
      <c r="X27" s="426"/>
      <c r="Y27" s="814"/>
      <c r="Z27" s="262"/>
      <c r="AA27" s="262"/>
      <c r="AB27" s="294"/>
      <c r="AC27" s="1003"/>
      <c r="AD27" s="814"/>
      <c r="AE27" s="262"/>
      <c r="AF27" s="262"/>
      <c r="AG27" s="294"/>
      <c r="AH27" s="1003"/>
      <c r="AI27" s="814"/>
      <c r="AJ27" s="262"/>
      <c r="AK27" s="262"/>
      <c r="AL27" s="294"/>
      <c r="AM27" s="2058"/>
      <c r="AN27" s="814"/>
      <c r="AO27" s="262"/>
      <c r="AP27" s="262"/>
      <c r="AQ27" s="294"/>
      <c r="AR27" s="2058"/>
      <c r="AS27" s="814"/>
      <c r="AT27" s="262"/>
      <c r="AU27" s="264"/>
      <c r="AV27" s="294"/>
      <c r="AW27" s="2058"/>
      <c r="AX27" s="300"/>
      <c r="AY27" s="264"/>
      <c r="AZ27" s="264"/>
      <c r="BA27" s="299"/>
      <c r="BB27" s="330"/>
      <c r="BC27" s="300"/>
      <c r="BD27" s="264"/>
      <c r="BE27" s="264"/>
      <c r="BF27" s="299"/>
      <c r="BG27" s="330"/>
      <c r="BH27" s="300"/>
      <c r="BI27" s="264"/>
      <c r="BJ27" s="264"/>
      <c r="BK27" s="299"/>
      <c r="BL27" s="330"/>
      <c r="BM27" s="300"/>
      <c r="BN27" s="264"/>
      <c r="BO27" s="264"/>
      <c r="BP27" s="299"/>
      <c r="BQ27" s="330"/>
      <c r="BR27" s="330"/>
      <c r="BS27" s="330"/>
      <c r="BT27" s="330"/>
      <c r="BU27" s="330"/>
      <c r="BV27" s="330"/>
      <c r="BW27" s="330"/>
      <c r="BX27" s="330"/>
      <c r="BY27" s="330"/>
      <c r="BZ27" s="330"/>
      <c r="CA27" s="330"/>
      <c r="CB27" s="330"/>
      <c r="CC27" s="330"/>
      <c r="CD27" s="330"/>
      <c r="CE27" s="330"/>
      <c r="CF27" s="330"/>
      <c r="CG27" s="330"/>
      <c r="CH27" s="330"/>
      <c r="CI27" s="330"/>
      <c r="CJ27" s="330"/>
      <c r="CK27" s="330"/>
      <c r="CL27" s="330"/>
      <c r="CM27" s="330"/>
      <c r="CN27" s="330"/>
      <c r="CO27" s="330"/>
      <c r="CP27" s="330"/>
      <c r="CQ27" s="330"/>
      <c r="CR27" s="330"/>
      <c r="CS27" s="330"/>
      <c r="CT27" s="821"/>
      <c r="CU27" s="330"/>
      <c r="CV27" s="330"/>
      <c r="CW27" s="330"/>
      <c r="CX27" s="330"/>
      <c r="CY27" s="330"/>
      <c r="CZ27" s="330"/>
      <c r="DA27" s="330"/>
      <c r="DB27" s="330"/>
      <c r="DC27" s="330"/>
      <c r="DD27" s="330"/>
      <c r="DE27" s="330"/>
      <c r="DF27" s="330"/>
      <c r="DG27" s="330"/>
      <c r="DH27" s="330"/>
      <c r="DI27" s="330"/>
      <c r="DJ27" s="330"/>
      <c r="DK27" s="330"/>
      <c r="DL27" s="330"/>
      <c r="DM27" s="330"/>
      <c r="DN27" s="330"/>
    </row>
    <row r="28" spans="1:118">
      <c r="A28" s="330"/>
      <c r="B28" s="330"/>
      <c r="C28" s="32" t="s">
        <v>576</v>
      </c>
      <c r="D28" s="45"/>
      <c r="E28" s="292">
        <f t="shared" ref="E28:AJ28" si="26">+E23-E26</f>
        <v>750</v>
      </c>
      <c r="F28" s="261">
        <f t="shared" si="26"/>
        <v>867</v>
      </c>
      <c r="G28" s="261">
        <f t="shared" si="26"/>
        <v>1213</v>
      </c>
      <c r="H28" s="293">
        <f t="shared" si="26"/>
        <v>725</v>
      </c>
      <c r="I28" s="228">
        <f t="shared" si="26"/>
        <v>3555</v>
      </c>
      <c r="J28" s="292">
        <f t="shared" si="26"/>
        <v>960</v>
      </c>
      <c r="K28" s="261">
        <f t="shared" si="26"/>
        <v>417</v>
      </c>
      <c r="L28" s="261">
        <f t="shared" si="26"/>
        <v>1038</v>
      </c>
      <c r="M28" s="293">
        <f t="shared" si="26"/>
        <v>735</v>
      </c>
      <c r="N28" s="228">
        <f t="shared" si="26"/>
        <v>3150</v>
      </c>
      <c r="O28" s="292">
        <f t="shared" si="26"/>
        <v>831</v>
      </c>
      <c r="P28" s="261">
        <f t="shared" si="26"/>
        <v>678</v>
      </c>
      <c r="Q28" s="261">
        <f t="shared" si="26"/>
        <v>553</v>
      </c>
      <c r="R28" s="293">
        <f t="shared" si="26"/>
        <v>765</v>
      </c>
      <c r="S28" s="228">
        <f t="shared" si="26"/>
        <v>2827</v>
      </c>
      <c r="T28" s="292">
        <f t="shared" si="26"/>
        <v>396</v>
      </c>
      <c r="U28" s="261">
        <f t="shared" si="26"/>
        <v>223</v>
      </c>
      <c r="V28" s="261">
        <f t="shared" si="26"/>
        <v>172</v>
      </c>
      <c r="W28" s="293">
        <f t="shared" si="26"/>
        <v>267</v>
      </c>
      <c r="X28" s="228">
        <f t="shared" si="26"/>
        <v>1058</v>
      </c>
      <c r="Y28" s="292">
        <f t="shared" si="26"/>
        <v>-18</v>
      </c>
      <c r="Z28" s="261">
        <f t="shared" si="26"/>
        <v>477</v>
      </c>
      <c r="AA28" s="261">
        <f t="shared" si="26"/>
        <v>773</v>
      </c>
      <c r="AB28" s="293">
        <f t="shared" si="26"/>
        <v>443</v>
      </c>
      <c r="AC28" s="228">
        <f t="shared" si="26"/>
        <v>1675</v>
      </c>
      <c r="AD28" s="292">
        <f t="shared" si="26"/>
        <v>-384</v>
      </c>
      <c r="AE28" s="261">
        <f t="shared" si="26"/>
        <v>571</v>
      </c>
      <c r="AF28" s="261">
        <f t="shared" si="26"/>
        <v>1140</v>
      </c>
      <c r="AG28" s="293">
        <f t="shared" si="26"/>
        <v>-101</v>
      </c>
      <c r="AH28" s="228">
        <f t="shared" si="26"/>
        <v>1226</v>
      </c>
      <c r="AI28" s="292">
        <f t="shared" si="26"/>
        <v>711</v>
      </c>
      <c r="AJ28" s="261">
        <f t="shared" si="26"/>
        <v>571</v>
      </c>
      <c r="AK28" s="261">
        <f t="shared" ref="AK28:BL28" si="27">+AK23-AK26</f>
        <v>296</v>
      </c>
      <c r="AL28" s="293">
        <f t="shared" si="27"/>
        <v>264</v>
      </c>
      <c r="AM28" s="228">
        <f t="shared" si="27"/>
        <v>1842</v>
      </c>
      <c r="AN28" s="292">
        <f t="shared" si="27"/>
        <v>408</v>
      </c>
      <c r="AO28" s="261">
        <f t="shared" si="27"/>
        <v>-3</v>
      </c>
      <c r="AP28" s="261">
        <f t="shared" ref="AP28:AT28" si="28">+AP23-AP26</f>
        <v>444</v>
      </c>
      <c r="AQ28" s="293">
        <f t="shared" si="28"/>
        <v>-1</v>
      </c>
      <c r="AR28" s="228">
        <f t="shared" si="28"/>
        <v>848</v>
      </c>
      <c r="AS28" s="292">
        <f t="shared" si="28"/>
        <v>536</v>
      </c>
      <c r="AT28" s="261">
        <f t="shared" si="28"/>
        <v>-424</v>
      </c>
      <c r="AU28" s="261">
        <f t="shared" si="27"/>
        <v>588</v>
      </c>
      <c r="AV28" s="293">
        <f t="shared" si="27"/>
        <v>696</v>
      </c>
      <c r="AW28" s="228">
        <f t="shared" si="27"/>
        <v>1396</v>
      </c>
      <c r="AX28" s="292">
        <f t="shared" si="27"/>
        <v>515.13214788502023</v>
      </c>
      <c r="AY28" s="261">
        <f t="shared" ca="1" si="27"/>
        <v>322.08153324332437</v>
      </c>
      <c r="AZ28" s="261">
        <f t="shared" ca="1" si="27"/>
        <v>578.95386090645582</v>
      </c>
      <c r="BA28" s="293">
        <f t="shared" ca="1" si="27"/>
        <v>271.26250209429588</v>
      </c>
      <c r="BB28" s="228">
        <f t="shared" ca="1" si="27"/>
        <v>1687.4300441290957</v>
      </c>
      <c r="BC28" s="292">
        <f t="shared" ca="1" si="27"/>
        <v>634.00688579209327</v>
      </c>
      <c r="BD28" s="261">
        <f t="shared" ca="1" si="27"/>
        <v>205.20118799576096</v>
      </c>
      <c r="BE28" s="261">
        <f t="shared" ca="1" si="27"/>
        <v>399.60641634057816</v>
      </c>
      <c r="BF28" s="293">
        <f t="shared" ca="1" si="27"/>
        <v>113.16457710932556</v>
      </c>
      <c r="BG28" s="228">
        <f t="shared" ca="1" si="27"/>
        <v>1351.9790672377571</v>
      </c>
      <c r="BH28" s="292">
        <f t="shared" ca="1" si="27"/>
        <v>469.91662185558368</v>
      </c>
      <c r="BI28" s="261">
        <f t="shared" ca="1" si="27"/>
        <v>71.314149202466453</v>
      </c>
      <c r="BJ28" s="261">
        <f t="shared" ca="1" si="27"/>
        <v>388.33704859051704</v>
      </c>
      <c r="BK28" s="293">
        <f t="shared" ca="1" si="27"/>
        <v>151.35981641008431</v>
      </c>
      <c r="BL28" s="228">
        <f t="shared" ca="1" si="27"/>
        <v>1080.9276360586525</v>
      </c>
      <c r="BM28" s="292">
        <f t="shared" ref="BM28:BQ28" ca="1" si="29">+BM23-BM26</f>
        <v>333.57616276368782</v>
      </c>
      <c r="BN28" s="261">
        <f t="shared" ca="1" si="29"/>
        <v>176.37822327440301</v>
      </c>
      <c r="BO28" s="261">
        <f t="shared" ca="1" si="29"/>
        <v>444.76073759632351</v>
      </c>
      <c r="BP28" s="293">
        <f t="shared" ca="1" si="29"/>
        <v>229.03177019870549</v>
      </c>
      <c r="BQ28" s="228">
        <f t="shared" ca="1" si="29"/>
        <v>1183.7468938331206</v>
      </c>
      <c r="BR28" s="330"/>
      <c r="BS28" s="330"/>
      <c r="BT28" s="330"/>
      <c r="BU28" s="330"/>
      <c r="BV28" s="330"/>
      <c r="BW28" s="330"/>
      <c r="BX28" s="330"/>
      <c r="BY28" s="330"/>
      <c r="BZ28" s="330"/>
      <c r="CA28" s="330"/>
      <c r="CB28" s="330"/>
      <c r="CC28" s="330"/>
      <c r="CD28" s="330"/>
      <c r="CE28" s="330"/>
      <c r="CF28" s="330"/>
      <c r="CG28" s="330"/>
      <c r="CH28" s="330"/>
      <c r="CI28" s="330"/>
      <c r="CJ28" s="330"/>
      <c r="CK28" s="330"/>
      <c r="CL28" s="330"/>
      <c r="CM28" s="330"/>
      <c r="CN28" s="330"/>
      <c r="CO28" s="330"/>
      <c r="CP28" s="330"/>
      <c r="CQ28" s="330"/>
      <c r="CR28" s="330"/>
      <c r="CS28" s="330"/>
      <c r="CT28" s="821"/>
      <c r="CU28" s="330"/>
      <c r="CV28" s="330"/>
      <c r="CW28" s="330"/>
      <c r="CX28" s="330"/>
      <c r="CY28" s="330"/>
      <c r="CZ28" s="330"/>
      <c r="DA28" s="330"/>
      <c r="DB28" s="330"/>
      <c r="DC28" s="330"/>
      <c r="DD28" s="330"/>
      <c r="DE28" s="330"/>
      <c r="DF28" s="330"/>
      <c r="DG28" s="330"/>
      <c r="DH28" s="330"/>
      <c r="DI28" s="330"/>
      <c r="DJ28" s="330"/>
      <c r="DK28" s="330"/>
      <c r="DL28" s="330"/>
      <c r="DM28" s="330"/>
      <c r="DN28" s="330"/>
    </row>
    <row r="29" spans="1:118">
      <c r="A29" s="330"/>
      <c r="B29" s="330"/>
      <c r="C29" s="28"/>
      <c r="D29" s="330"/>
      <c r="E29" s="300"/>
      <c r="F29" s="264"/>
      <c r="G29" s="264"/>
      <c r="H29" s="299"/>
      <c r="I29" s="330"/>
      <c r="J29" s="300"/>
      <c r="K29" s="264"/>
      <c r="L29" s="264"/>
      <c r="M29" s="299"/>
      <c r="N29" s="330"/>
      <c r="O29" s="300"/>
      <c r="P29" s="264"/>
      <c r="Q29" s="264"/>
      <c r="R29" s="299"/>
      <c r="S29" s="330"/>
      <c r="T29" s="300"/>
      <c r="U29" s="264"/>
      <c r="V29" s="264"/>
      <c r="W29" s="299"/>
      <c r="X29" s="330"/>
      <c r="Y29" s="1422"/>
      <c r="Z29" s="1423"/>
      <c r="AA29" s="1423"/>
      <c r="AB29" s="1424"/>
      <c r="AC29" s="1425"/>
      <c r="AD29" s="1422"/>
      <c r="AE29" s="1423"/>
      <c r="AF29" s="1423"/>
      <c r="AG29" s="1424"/>
      <c r="AH29" s="1425"/>
      <c r="AI29" s="1422"/>
      <c r="AJ29" s="1423"/>
      <c r="AK29" s="1423"/>
      <c r="AL29" s="1424"/>
      <c r="AM29" s="1425"/>
      <c r="AN29" s="1422"/>
      <c r="AO29" s="1423"/>
      <c r="AP29" s="1423"/>
      <c r="AQ29" s="1424"/>
      <c r="AR29" s="1425"/>
      <c r="AS29" s="1422"/>
      <c r="AT29" s="1423"/>
      <c r="AU29" s="264"/>
      <c r="AV29" s="1424"/>
      <c r="AW29" s="1425"/>
      <c r="AX29" s="300"/>
      <c r="AY29" s="264"/>
      <c r="AZ29" s="264"/>
      <c r="BA29" s="299"/>
      <c r="BB29" s="330"/>
      <c r="BC29" s="300"/>
      <c r="BD29" s="264"/>
      <c r="BE29" s="264"/>
      <c r="BF29" s="299"/>
      <c r="BG29" s="330"/>
      <c r="BH29" s="300"/>
      <c r="BI29" s="264"/>
      <c r="BJ29" s="264"/>
      <c r="BK29" s="299"/>
      <c r="BL29" s="330"/>
      <c r="BM29" s="300"/>
      <c r="BN29" s="264"/>
      <c r="BO29" s="264"/>
      <c r="BP29" s="299"/>
      <c r="BQ29" s="330"/>
      <c r="BR29" s="584"/>
      <c r="BS29" s="584"/>
      <c r="BT29" s="584"/>
      <c r="BU29" s="1133"/>
      <c r="BV29" s="330"/>
      <c r="BW29" s="330"/>
      <c r="BX29" s="330"/>
      <c r="BY29" s="330"/>
      <c r="BZ29" s="330"/>
      <c r="CA29" s="330"/>
      <c r="CB29" s="330"/>
      <c r="CC29" s="330"/>
      <c r="CD29" s="330"/>
      <c r="CE29" s="330"/>
      <c r="CF29" s="330"/>
      <c r="CG29" s="330"/>
      <c r="CH29" s="330"/>
      <c r="CI29" s="330"/>
      <c r="CJ29" s="330"/>
      <c r="CK29" s="330"/>
      <c r="CL29" s="330"/>
      <c r="CM29" s="330"/>
      <c r="CN29" s="330"/>
      <c r="CO29" s="330"/>
      <c r="CP29" s="330"/>
      <c r="CQ29" s="330"/>
      <c r="CR29" s="330"/>
      <c r="CS29" s="330"/>
      <c r="CT29" s="821"/>
      <c r="CU29" s="330"/>
      <c r="CV29" s="330"/>
      <c r="CW29" s="330"/>
      <c r="CX29" s="330"/>
      <c r="CY29" s="330"/>
      <c r="CZ29" s="330"/>
      <c r="DA29" s="330"/>
      <c r="DB29" s="330"/>
      <c r="DC29" s="330"/>
      <c r="DD29" s="330"/>
      <c r="DE29" s="330"/>
      <c r="DF29" s="330"/>
      <c r="DG29" s="330"/>
      <c r="DH29" s="330"/>
      <c r="DI29" s="330"/>
      <c r="DJ29" s="330"/>
      <c r="DK29" s="330"/>
      <c r="DL29" s="330"/>
      <c r="DM29" s="330"/>
      <c r="DN29" s="330"/>
    </row>
    <row r="30" spans="1:118">
      <c r="A30" s="330"/>
      <c r="B30" s="330"/>
      <c r="C30" s="28" t="s">
        <v>320</v>
      </c>
      <c r="D30" s="330"/>
      <c r="E30" s="335">
        <v>222</v>
      </c>
      <c r="F30" s="336">
        <v>355</v>
      </c>
      <c r="G30" s="336">
        <v>556</v>
      </c>
      <c r="H30" s="586">
        <f>I30-SUM(E30:G30)</f>
        <v>300</v>
      </c>
      <c r="I30" s="427">
        <v>1433</v>
      </c>
      <c r="J30" s="335">
        <v>399</v>
      </c>
      <c r="K30" s="336">
        <v>35</v>
      </c>
      <c r="L30" s="336">
        <v>433</v>
      </c>
      <c r="M30" s="586">
        <f>N30-SUM(J30:L30)</f>
        <v>311</v>
      </c>
      <c r="N30" s="427">
        <v>1178</v>
      </c>
      <c r="O30" s="335">
        <v>336</v>
      </c>
      <c r="P30" s="336">
        <v>235</v>
      </c>
      <c r="Q30" s="336">
        <v>167</v>
      </c>
      <c r="R30" s="586">
        <f>S30-SUM(O30:Q30)</f>
        <v>318</v>
      </c>
      <c r="S30" s="427">
        <v>1056</v>
      </c>
      <c r="T30" s="335">
        <v>230</v>
      </c>
      <c r="U30" s="336">
        <v>58</v>
      </c>
      <c r="V30" s="336">
        <v>85</v>
      </c>
      <c r="W30" s="586">
        <f>X30-SUM(T30:V30)</f>
        <v>127</v>
      </c>
      <c r="X30" s="427">
        <v>500</v>
      </c>
      <c r="Y30" s="337">
        <v>-1</v>
      </c>
      <c r="Z30" s="338">
        <v>149</v>
      </c>
      <c r="AA30" s="338">
        <v>288</v>
      </c>
      <c r="AB30" s="586">
        <f>AC30-SUM(Y30:AA30)</f>
        <v>179</v>
      </c>
      <c r="AC30" s="339">
        <v>615</v>
      </c>
      <c r="AD30" s="337">
        <v>-199</v>
      </c>
      <c r="AE30" s="338">
        <v>199</v>
      </c>
      <c r="AF30" s="338">
        <v>291</v>
      </c>
      <c r="AG30" s="586">
        <f>AH30-SUM(AD30:AF30)</f>
        <v>-84</v>
      </c>
      <c r="AH30" s="339">
        <v>207</v>
      </c>
      <c r="AI30" s="337">
        <v>226</v>
      </c>
      <c r="AJ30" s="338">
        <v>181</v>
      </c>
      <c r="AK30" s="338">
        <v>-36</v>
      </c>
      <c r="AL30" s="586">
        <f>AM30-SUM(AI30:AK30)</f>
        <v>131</v>
      </c>
      <c r="AM30" s="2056">
        <v>502</v>
      </c>
      <c r="AN30" s="337">
        <v>151</v>
      </c>
      <c r="AO30" s="338">
        <v>-31</v>
      </c>
      <c r="AP30" s="338">
        <v>173</v>
      </c>
      <c r="AQ30" s="586">
        <f>AR30-SUM(AN30:AP30)</f>
        <v>-3</v>
      </c>
      <c r="AR30" s="2056">
        <v>290</v>
      </c>
      <c r="AS30" s="337">
        <v>127</v>
      </c>
      <c r="AT30" s="338">
        <v>-158</v>
      </c>
      <c r="AU30" s="338">
        <v>240</v>
      </c>
      <c r="AV30" s="586">
        <f>AW30-SUM(AS30:AU30)</f>
        <v>-1584</v>
      </c>
      <c r="AW30" s="2056">
        <v>-1375</v>
      </c>
      <c r="AX30" s="300">
        <f>(AX28*AX795)-AX798+AX801</f>
        <v>116.75625715279514</v>
      </c>
      <c r="AY30" s="264">
        <f ca="1">(AY28*AY795)-AY798+AY801</f>
        <v>67.721401033804398</v>
      </c>
      <c r="AZ30" s="264">
        <f ca="1">(AZ28*AZ795)-AZ798+AZ801</f>
        <v>132.9669722602398</v>
      </c>
      <c r="BA30" s="299">
        <f ca="1">(BA28*BA795)-BA798+BA801</f>
        <v>54.813367121951167</v>
      </c>
      <c r="BB30" s="330">
        <f ca="1">SUM(AX30:BA30)</f>
        <v>372.25799756879053</v>
      </c>
      <c r="BC30" s="300">
        <f ca="1">(BC28*BC795)-BC798+BC801</f>
        <v>168.82846910256731</v>
      </c>
      <c r="BD30" s="264">
        <f ca="1">(BD28*BD795)-BD798+BD801</f>
        <v>34.183479994518954</v>
      </c>
      <c r="BE30" s="264">
        <f ca="1">(BE28*BE795)-BE798+BE801</f>
        <v>95.22672169479155</v>
      </c>
      <c r="BF30" s="299">
        <f ca="1">(BF28*BF795)-BF798+BF801</f>
        <v>5.2839841761782438</v>
      </c>
      <c r="BG30" s="330">
        <f ca="1">SUM(BC30:BF30)</f>
        <v>303.52265496805609</v>
      </c>
      <c r="BH30" s="300">
        <f ca="1">(BH28*BH795)-BH798+BH801</f>
        <v>125.49301738992831</v>
      </c>
      <c r="BI30" s="264">
        <f ca="1">(BI28*BI795)-BI798+BI801</f>
        <v>-8.0388109488659651</v>
      </c>
      <c r="BJ30" s="264">
        <f ca="1">(BJ28*BJ795)-BJ798+BJ801</f>
        <v>98.163860346130988</v>
      </c>
      <c r="BK30" s="299">
        <f ca="1">(BK28*BK795)-BK798+BK801</f>
        <v>18.776487565686015</v>
      </c>
      <c r="BL30" s="330">
        <f ca="1">SUM(BH30:BK30)</f>
        <v>234.39455435287937</v>
      </c>
      <c r="BM30" s="300">
        <f ca="1">(BM28*BM795)-BM798+BM801</f>
        <v>69.666319110020851</v>
      </c>
      <c r="BN30" s="264">
        <f ca="1">(BN28*BN795)-BN798+BN801</f>
        <v>21.56374962629971</v>
      </c>
      <c r="BO30" s="264">
        <f ca="1">(BO28*BO795)-BO798+BO801</f>
        <v>103.68879900880739</v>
      </c>
      <c r="BP30" s="299">
        <f ca="1">(BP28*BP795)-BP798+BP801</f>
        <v>37.675734985136266</v>
      </c>
      <c r="BQ30" s="330">
        <f ca="1">SUM(BM30:BP30)</f>
        <v>232.59460273026423</v>
      </c>
      <c r="BR30" s="330"/>
      <c r="BS30" s="330"/>
      <c r="BT30" s="330"/>
      <c r="BU30" s="330"/>
      <c r="BV30" s="330"/>
      <c r="BW30" s="330"/>
      <c r="BX30" s="330"/>
      <c r="BY30" s="330"/>
      <c r="BZ30" s="330"/>
      <c r="CA30" s="330"/>
      <c r="CB30" s="330"/>
      <c r="CC30" s="330"/>
      <c r="CD30" s="330"/>
      <c r="CE30" s="330"/>
      <c r="CF30" s="330"/>
      <c r="CG30" s="330"/>
      <c r="CH30" s="330"/>
      <c r="CI30" s="330"/>
      <c r="CJ30" s="330"/>
      <c r="CK30" s="330"/>
      <c r="CL30" s="330"/>
      <c r="CM30" s="330"/>
      <c r="CN30" s="330"/>
      <c r="CO30" s="330"/>
      <c r="CP30" s="330"/>
      <c r="CQ30" s="330"/>
      <c r="CR30" s="330"/>
      <c r="CS30" s="330"/>
      <c r="CT30" s="821"/>
      <c r="CU30" s="330"/>
      <c r="CV30" s="330"/>
      <c r="CW30" s="330"/>
      <c r="CX30" s="330"/>
      <c r="CY30" s="330"/>
      <c r="CZ30" s="330"/>
      <c r="DA30" s="330"/>
      <c r="DB30" s="330"/>
      <c r="DC30" s="330"/>
      <c r="DD30" s="330"/>
      <c r="DE30" s="330"/>
      <c r="DF30" s="330"/>
      <c r="DG30" s="330"/>
      <c r="DH30" s="330"/>
      <c r="DI30" s="330"/>
      <c r="DJ30" s="330"/>
      <c r="DK30" s="330"/>
      <c r="DL30" s="330"/>
      <c r="DM30" s="330"/>
      <c r="DN30" s="330"/>
    </row>
    <row r="31" spans="1:118">
      <c r="A31" s="330"/>
      <c r="B31" s="330"/>
      <c r="C31" s="28"/>
      <c r="D31" s="330"/>
      <c r="E31" s="335"/>
      <c r="F31" s="336"/>
      <c r="G31" s="336"/>
      <c r="H31" s="586"/>
      <c r="I31" s="427"/>
      <c r="J31" s="335"/>
      <c r="K31" s="336"/>
      <c r="L31" s="336"/>
      <c r="M31" s="586"/>
      <c r="N31" s="427"/>
      <c r="O31" s="335"/>
      <c r="P31" s="336"/>
      <c r="Q31" s="336"/>
      <c r="R31" s="586"/>
      <c r="S31" s="427"/>
      <c r="T31" s="335"/>
      <c r="U31" s="336"/>
      <c r="V31" s="336"/>
      <c r="W31" s="586"/>
      <c r="X31" s="427"/>
      <c r="Y31" s="337"/>
      <c r="Z31" s="338"/>
      <c r="AA31" s="338"/>
      <c r="AB31" s="586"/>
      <c r="AC31" s="339"/>
      <c r="AD31" s="337"/>
      <c r="AE31" s="338"/>
      <c r="AF31" s="338"/>
      <c r="AG31" s="586"/>
      <c r="AH31" s="339"/>
      <c r="AI31" s="337"/>
      <c r="AJ31" s="338"/>
      <c r="AK31" s="338"/>
      <c r="AL31" s="586"/>
      <c r="AM31" s="2056"/>
      <c r="AN31" s="337"/>
      <c r="AO31" s="338"/>
      <c r="AP31" s="338"/>
      <c r="AQ31" s="586"/>
      <c r="AR31" s="2056"/>
      <c r="AS31" s="337"/>
      <c r="AT31" s="338"/>
      <c r="AU31" s="264"/>
      <c r="AV31" s="586"/>
      <c r="AW31" s="2056"/>
      <c r="AX31" s="300"/>
      <c r="AY31" s="264"/>
      <c r="AZ31" s="264"/>
      <c r="BA31" s="299"/>
      <c r="BB31" s="330"/>
      <c r="BC31" s="300"/>
      <c r="BD31" s="264"/>
      <c r="BE31" s="264"/>
      <c r="BF31" s="299"/>
      <c r="BG31" s="330"/>
      <c r="BH31" s="300"/>
      <c r="BI31" s="264"/>
      <c r="BJ31" s="264"/>
      <c r="BK31" s="299"/>
      <c r="BL31" s="330"/>
      <c r="BM31" s="300"/>
      <c r="BN31" s="264"/>
      <c r="BO31" s="264"/>
      <c r="BP31" s="299"/>
      <c r="BQ31" s="330"/>
      <c r="BR31" s="330"/>
      <c r="BS31" s="330"/>
      <c r="BT31" s="330"/>
      <c r="BU31" s="330"/>
      <c r="BV31" s="330"/>
      <c r="BW31" s="330"/>
      <c r="BX31" s="330"/>
      <c r="BY31" s="330"/>
      <c r="BZ31" s="330"/>
      <c r="CA31" s="330"/>
      <c r="CB31" s="330"/>
      <c r="CC31" s="330"/>
      <c r="CD31" s="330"/>
      <c r="CE31" s="330"/>
      <c r="CF31" s="330"/>
      <c r="CG31" s="330"/>
      <c r="CH31" s="330"/>
      <c r="CI31" s="330"/>
      <c r="CJ31" s="330"/>
      <c r="CK31" s="330"/>
      <c r="CL31" s="330"/>
      <c r="CM31" s="330"/>
      <c r="CN31" s="330"/>
      <c r="CO31" s="330"/>
      <c r="CP31" s="330"/>
      <c r="CQ31" s="330"/>
      <c r="CR31" s="330"/>
      <c r="CS31" s="330"/>
      <c r="CT31" s="821"/>
      <c r="CU31" s="330"/>
      <c r="CV31" s="330"/>
      <c r="CW31" s="330"/>
      <c r="CX31" s="330"/>
      <c r="CY31" s="330"/>
      <c r="CZ31" s="330"/>
      <c r="DA31" s="330"/>
      <c r="DB31" s="330"/>
      <c r="DC31" s="330"/>
      <c r="DD31" s="330"/>
      <c r="DE31" s="330"/>
      <c r="DF31" s="330"/>
      <c r="DG31" s="330"/>
      <c r="DH31" s="330"/>
      <c r="DI31" s="330"/>
      <c r="DJ31" s="330"/>
      <c r="DK31" s="330"/>
      <c r="DL31" s="330"/>
      <c r="DM31" s="330"/>
      <c r="DN31" s="330"/>
    </row>
    <row r="32" spans="1:118" s="34" customFormat="1">
      <c r="A32" s="228"/>
      <c r="B32" s="228"/>
      <c r="C32" s="808" t="s">
        <v>1309</v>
      </c>
      <c r="D32" s="228"/>
      <c r="E32" s="292">
        <f t="shared" ref="E32:AJ32" si="30">E28-E30</f>
        <v>528</v>
      </c>
      <c r="F32" s="261">
        <f t="shared" si="30"/>
        <v>512</v>
      </c>
      <c r="G32" s="261">
        <f t="shared" si="30"/>
        <v>657</v>
      </c>
      <c r="H32" s="293">
        <f t="shared" si="30"/>
        <v>425</v>
      </c>
      <c r="I32" s="228">
        <f t="shared" si="30"/>
        <v>2122</v>
      </c>
      <c r="J32" s="292">
        <f t="shared" si="30"/>
        <v>561</v>
      </c>
      <c r="K32" s="261">
        <f t="shared" si="30"/>
        <v>382</v>
      </c>
      <c r="L32" s="261">
        <f t="shared" si="30"/>
        <v>605</v>
      </c>
      <c r="M32" s="293">
        <f t="shared" si="30"/>
        <v>424</v>
      </c>
      <c r="N32" s="228">
        <f t="shared" si="30"/>
        <v>1972</v>
      </c>
      <c r="O32" s="292">
        <f t="shared" si="30"/>
        <v>495</v>
      </c>
      <c r="P32" s="261">
        <f t="shared" si="30"/>
        <v>443</v>
      </c>
      <c r="Q32" s="261">
        <f t="shared" si="30"/>
        <v>386</v>
      </c>
      <c r="R32" s="293">
        <f t="shared" si="30"/>
        <v>447</v>
      </c>
      <c r="S32" s="228">
        <f t="shared" si="30"/>
        <v>1771</v>
      </c>
      <c r="T32" s="292">
        <f t="shared" si="30"/>
        <v>166</v>
      </c>
      <c r="U32" s="261">
        <f t="shared" si="30"/>
        <v>165</v>
      </c>
      <c r="V32" s="261">
        <f t="shared" si="30"/>
        <v>87</v>
      </c>
      <c r="W32" s="293">
        <f t="shared" si="30"/>
        <v>140</v>
      </c>
      <c r="X32" s="228">
        <f t="shared" si="30"/>
        <v>558</v>
      </c>
      <c r="Y32" s="292">
        <f t="shared" si="30"/>
        <v>-17</v>
      </c>
      <c r="Z32" s="261">
        <f t="shared" si="30"/>
        <v>328</v>
      </c>
      <c r="AA32" s="261">
        <f t="shared" si="30"/>
        <v>485</v>
      </c>
      <c r="AB32" s="293">
        <f t="shared" si="30"/>
        <v>264</v>
      </c>
      <c r="AC32" s="228">
        <f t="shared" si="30"/>
        <v>1060</v>
      </c>
      <c r="AD32" s="292">
        <f t="shared" si="30"/>
        <v>-185</v>
      </c>
      <c r="AE32" s="261">
        <f t="shared" si="30"/>
        <v>372</v>
      </c>
      <c r="AF32" s="261">
        <f t="shared" si="30"/>
        <v>849</v>
      </c>
      <c r="AG32" s="293">
        <f t="shared" si="30"/>
        <v>-17</v>
      </c>
      <c r="AH32" s="228">
        <f t="shared" si="30"/>
        <v>1019</v>
      </c>
      <c r="AI32" s="292">
        <f t="shared" si="30"/>
        <v>485</v>
      </c>
      <c r="AJ32" s="261">
        <f t="shared" si="30"/>
        <v>390</v>
      </c>
      <c r="AK32" s="261">
        <f t="shared" ref="AK32:BL32" si="31">AK28-AK30</f>
        <v>332</v>
      </c>
      <c r="AL32" s="293">
        <f t="shared" si="31"/>
        <v>133</v>
      </c>
      <c r="AM32" s="228">
        <f t="shared" si="31"/>
        <v>1340</v>
      </c>
      <c r="AN32" s="292">
        <f t="shared" si="31"/>
        <v>257</v>
      </c>
      <c r="AO32" s="261">
        <f t="shared" si="31"/>
        <v>28</v>
      </c>
      <c r="AP32" s="261">
        <f t="shared" ref="AP32:AT32" si="32">AP28-AP30</f>
        <v>271</v>
      </c>
      <c r="AQ32" s="293">
        <f t="shared" si="32"/>
        <v>2</v>
      </c>
      <c r="AR32" s="228">
        <f t="shared" si="32"/>
        <v>558</v>
      </c>
      <c r="AS32" s="292">
        <f t="shared" si="32"/>
        <v>409</v>
      </c>
      <c r="AT32" s="261">
        <f t="shared" si="32"/>
        <v>-266</v>
      </c>
      <c r="AU32" s="261">
        <f t="shared" si="31"/>
        <v>348</v>
      </c>
      <c r="AV32" s="293">
        <f t="shared" si="31"/>
        <v>2280</v>
      </c>
      <c r="AW32" s="228">
        <f t="shared" si="31"/>
        <v>2771</v>
      </c>
      <c r="AX32" s="292">
        <f t="shared" si="31"/>
        <v>398.37589073222512</v>
      </c>
      <c r="AY32" s="261">
        <f t="shared" ca="1" si="31"/>
        <v>254.36013220951997</v>
      </c>
      <c r="AZ32" s="261">
        <f t="shared" ca="1" si="31"/>
        <v>445.98688864621602</v>
      </c>
      <c r="BA32" s="293">
        <f t="shared" ca="1" si="31"/>
        <v>216.44913497234472</v>
      </c>
      <c r="BB32" s="228">
        <f t="shared" ca="1" si="31"/>
        <v>1315.1720465603053</v>
      </c>
      <c r="BC32" s="292">
        <f t="shared" ca="1" si="31"/>
        <v>465.17841668952599</v>
      </c>
      <c r="BD32" s="261">
        <f t="shared" ca="1" si="31"/>
        <v>171.017708001242</v>
      </c>
      <c r="BE32" s="261">
        <f t="shared" ca="1" si="31"/>
        <v>304.37969464578663</v>
      </c>
      <c r="BF32" s="293">
        <f t="shared" ca="1" si="31"/>
        <v>107.88059293314731</v>
      </c>
      <c r="BG32" s="228">
        <f t="shared" ca="1" si="31"/>
        <v>1048.4564122697011</v>
      </c>
      <c r="BH32" s="292">
        <f t="shared" ca="1" si="31"/>
        <v>344.42360446565539</v>
      </c>
      <c r="BI32" s="261">
        <f t="shared" ca="1" si="31"/>
        <v>79.352960151332411</v>
      </c>
      <c r="BJ32" s="261">
        <f t="shared" ca="1" si="31"/>
        <v>290.17318824438604</v>
      </c>
      <c r="BK32" s="293">
        <f t="shared" ca="1" si="31"/>
        <v>132.5833288443983</v>
      </c>
      <c r="BL32" s="228">
        <f t="shared" ca="1" si="31"/>
        <v>846.53308170577316</v>
      </c>
      <c r="BM32" s="292">
        <f t="shared" ref="BM32:BQ32" ca="1" si="33">BM28-BM30</f>
        <v>263.90984365366694</v>
      </c>
      <c r="BN32" s="261">
        <f t="shared" ca="1" si="33"/>
        <v>154.8144736481033</v>
      </c>
      <c r="BO32" s="261">
        <f t="shared" ca="1" si="33"/>
        <v>341.07193858751612</v>
      </c>
      <c r="BP32" s="293">
        <f t="shared" ca="1" si="33"/>
        <v>191.35603521356921</v>
      </c>
      <c r="BQ32" s="228">
        <f t="shared" ca="1" si="33"/>
        <v>951.15229110285634</v>
      </c>
      <c r="BR32" s="228"/>
      <c r="BS32" s="228"/>
      <c r="BT32" s="228"/>
      <c r="BU32" s="228"/>
      <c r="BV32" s="228"/>
      <c r="BW32" s="228"/>
      <c r="BX32" s="228"/>
      <c r="BY32" s="228"/>
      <c r="BZ32" s="228"/>
      <c r="CA32" s="228"/>
      <c r="CB32" s="228"/>
      <c r="CC32" s="228"/>
      <c r="CD32" s="228"/>
      <c r="CE32" s="228"/>
      <c r="CF32" s="228"/>
      <c r="CG32" s="228"/>
      <c r="CH32" s="228"/>
      <c r="CI32" s="228"/>
      <c r="CJ32" s="228"/>
      <c r="CK32" s="228"/>
      <c r="CL32" s="228"/>
      <c r="CM32" s="228"/>
      <c r="CN32" s="228"/>
      <c r="CO32" s="228"/>
      <c r="CP32" s="228"/>
      <c r="CQ32" s="228"/>
      <c r="CR32" s="228"/>
      <c r="CS32" s="228"/>
      <c r="CT32" s="824"/>
      <c r="CU32" s="228"/>
      <c r="CV32" s="228"/>
      <c r="CW32" s="228"/>
      <c r="CX32" s="228"/>
      <c r="CY32" s="228"/>
      <c r="CZ32" s="228"/>
      <c r="DA32" s="228"/>
      <c r="DB32" s="228"/>
      <c r="DC32" s="228"/>
      <c r="DD32" s="228"/>
      <c r="DE32" s="228"/>
      <c r="DF32" s="228"/>
      <c r="DG32" s="228"/>
      <c r="DH32" s="228"/>
      <c r="DI32" s="228"/>
      <c r="DJ32" s="228"/>
      <c r="DK32" s="228"/>
      <c r="DL32" s="228"/>
      <c r="DM32" s="228"/>
      <c r="DN32" s="228"/>
    </row>
    <row r="33" spans="1:118" s="1" customFormat="1">
      <c r="C33" s="28" t="s">
        <v>1294</v>
      </c>
      <c r="E33" s="335">
        <v>0</v>
      </c>
      <c r="F33" s="336">
        <v>0</v>
      </c>
      <c r="G33" s="336">
        <v>0</v>
      </c>
      <c r="H33" s="586">
        <f>I33-SUM(E33:G33)</f>
        <v>0</v>
      </c>
      <c r="I33" s="427">
        <v>0</v>
      </c>
      <c r="J33" s="335">
        <v>0</v>
      </c>
      <c r="K33" s="336">
        <v>0</v>
      </c>
      <c r="L33" s="336">
        <v>0</v>
      </c>
      <c r="M33" s="586">
        <f>N33-SUM(J33:L33)</f>
        <v>0</v>
      </c>
      <c r="N33" s="427">
        <v>0</v>
      </c>
      <c r="O33" s="335">
        <v>0</v>
      </c>
      <c r="P33" s="336">
        <v>0</v>
      </c>
      <c r="Q33" s="336">
        <v>0</v>
      </c>
      <c r="R33" s="586">
        <f>S33-SUM(O33:Q33)</f>
        <v>0</v>
      </c>
      <c r="S33" s="427">
        <v>0</v>
      </c>
      <c r="T33" s="335">
        <v>-2</v>
      </c>
      <c r="U33" s="336">
        <v>-1</v>
      </c>
      <c r="V33" s="336">
        <v>-4</v>
      </c>
      <c r="W33" s="586">
        <f>X33-SUM(T33:V33)</f>
        <v>3</v>
      </c>
      <c r="X33" s="427">
        <v>-4</v>
      </c>
      <c r="Y33" s="337">
        <v>1</v>
      </c>
      <c r="Z33" s="338">
        <v>-2</v>
      </c>
      <c r="AA33" s="338">
        <v>-5</v>
      </c>
      <c r="AB33" s="586">
        <f>AC33-SUM(Y33:AA33)</f>
        <v>-4</v>
      </c>
      <c r="AC33" s="339">
        <v>-10</v>
      </c>
      <c r="AD33" s="337">
        <v>0</v>
      </c>
      <c r="AE33" s="338">
        <v>32</v>
      </c>
      <c r="AF33" s="338">
        <v>78</v>
      </c>
      <c r="AG33" s="586">
        <f>AH33-SUM(AD33:AF33)</f>
        <v>74</v>
      </c>
      <c r="AH33" s="339">
        <v>184</v>
      </c>
      <c r="AI33" s="337">
        <v>42</v>
      </c>
      <c r="AJ33" s="338">
        <v>-8</v>
      </c>
      <c r="AK33" s="338">
        <v>-45</v>
      </c>
      <c r="AL33" s="586">
        <f>AM33-SUM(AI33:AK33)</f>
        <v>-21</v>
      </c>
      <c r="AM33" s="2056">
        <v>-32</v>
      </c>
      <c r="AN33" s="337">
        <v>-53</v>
      </c>
      <c r="AO33" s="338">
        <v>36</v>
      </c>
      <c r="AP33" s="338">
        <v>35</v>
      </c>
      <c r="AQ33" s="586">
        <f>AR33-SUM(AN33:AP33)</f>
        <v>44</v>
      </c>
      <c r="AR33" s="2056">
        <v>62</v>
      </c>
      <c r="AS33" s="337">
        <v>-14</v>
      </c>
      <c r="AT33" s="338">
        <v>-16</v>
      </c>
      <c r="AU33" s="338">
        <v>43</v>
      </c>
      <c r="AV33" s="586">
        <f>AW33-SUM(AS33:AU33)</f>
        <v>64</v>
      </c>
      <c r="AW33" s="2056">
        <v>77</v>
      </c>
      <c r="AX33" s="306">
        <v>0</v>
      </c>
      <c r="AY33" s="589">
        <v>0</v>
      </c>
      <c r="AZ33" s="589">
        <v>0</v>
      </c>
      <c r="BA33" s="307">
        <v>0</v>
      </c>
      <c r="BB33" s="590">
        <f>SUM(AX33:BA33)</f>
        <v>0</v>
      </c>
      <c r="BC33" s="306">
        <v>0</v>
      </c>
      <c r="BD33" s="589">
        <v>0</v>
      </c>
      <c r="BE33" s="589">
        <v>0</v>
      </c>
      <c r="BF33" s="307">
        <v>0</v>
      </c>
      <c r="BG33" s="590">
        <f>SUM(BC33:BF33)</f>
        <v>0</v>
      </c>
      <c r="BH33" s="306">
        <v>0</v>
      </c>
      <c r="BI33" s="589">
        <v>0</v>
      </c>
      <c r="BJ33" s="589">
        <v>0</v>
      </c>
      <c r="BK33" s="307">
        <v>0</v>
      </c>
      <c r="BL33" s="590">
        <f>SUM(BH33:BK33)</f>
        <v>0</v>
      </c>
      <c r="BM33" s="306">
        <v>0</v>
      </c>
      <c r="BN33" s="589">
        <v>0</v>
      </c>
      <c r="BO33" s="589">
        <v>0</v>
      </c>
      <c r="BP33" s="307">
        <v>0</v>
      </c>
      <c r="BQ33" s="590">
        <f>SUM(BM33:BP33)</f>
        <v>0</v>
      </c>
      <c r="BR33" s="2"/>
      <c r="BS33" s="2"/>
      <c r="BT33" s="2"/>
      <c r="CT33" s="820"/>
      <c r="CZ33" s="13"/>
      <c r="DA33" s="13"/>
      <c r="DB33" s="13"/>
      <c r="DC33" s="13"/>
      <c r="DD33" s="806"/>
      <c r="DE33" s="806"/>
    </row>
    <row r="34" spans="1:118">
      <c r="A34" s="330"/>
      <c r="B34" s="330"/>
      <c r="C34" s="28"/>
      <c r="D34" s="330"/>
      <c r="E34" s="335"/>
      <c r="F34" s="336"/>
      <c r="G34" s="336"/>
      <c r="H34" s="588"/>
      <c r="I34" s="427"/>
      <c r="J34" s="335"/>
      <c r="K34" s="336"/>
      <c r="L34" s="336"/>
      <c r="M34" s="588"/>
      <c r="N34" s="427"/>
      <c r="O34" s="335"/>
      <c r="P34" s="336"/>
      <c r="Q34" s="336"/>
      <c r="R34" s="588"/>
      <c r="S34" s="427"/>
      <c r="T34" s="335"/>
      <c r="U34" s="336"/>
      <c r="V34" s="264"/>
      <c r="W34" s="299"/>
      <c r="X34" s="330"/>
      <c r="Y34" s="337"/>
      <c r="Z34" s="338"/>
      <c r="AA34" s="1423"/>
      <c r="AB34" s="1424"/>
      <c r="AC34" s="1425"/>
      <c r="AD34" s="337"/>
      <c r="AE34" s="338"/>
      <c r="AF34" s="1423"/>
      <c r="AG34" s="1424"/>
      <c r="AH34" s="1425"/>
      <c r="AI34" s="337"/>
      <c r="AJ34" s="338"/>
      <c r="AK34" s="1423"/>
      <c r="AL34" s="1424"/>
      <c r="AM34" s="1425"/>
      <c r="AN34" s="337"/>
      <c r="AO34" s="338"/>
      <c r="AP34" s="1423"/>
      <c r="AQ34" s="1424"/>
      <c r="AR34" s="1425"/>
      <c r="AS34" s="337"/>
      <c r="AT34" s="338"/>
      <c r="AU34" s="264"/>
      <c r="AV34" s="1424"/>
      <c r="AW34" s="1425"/>
      <c r="AX34" s="300"/>
      <c r="AY34" s="264"/>
      <c r="AZ34" s="264"/>
      <c r="BA34" s="299"/>
      <c r="BB34" s="330"/>
      <c r="BC34" s="300"/>
      <c r="BD34" s="264"/>
      <c r="BE34" s="264"/>
      <c r="BF34" s="299"/>
      <c r="BG34" s="330"/>
      <c r="BH34" s="300"/>
      <c r="BI34" s="264"/>
      <c r="BJ34" s="264"/>
      <c r="BK34" s="299"/>
      <c r="BL34" s="330"/>
      <c r="BM34" s="300"/>
      <c r="BN34" s="264"/>
      <c r="BO34" s="264"/>
      <c r="BP34" s="299"/>
      <c r="BQ34" s="330"/>
      <c r="BR34" s="330"/>
      <c r="BS34" s="330"/>
      <c r="BT34" s="330"/>
      <c r="BU34" s="330"/>
      <c r="BV34" s="330"/>
      <c r="BW34" s="330"/>
      <c r="BX34" s="330"/>
      <c r="BY34" s="330"/>
      <c r="BZ34" s="330"/>
      <c r="CA34" s="330"/>
      <c r="CB34" s="330"/>
      <c r="CC34" s="330"/>
      <c r="CD34" s="330"/>
      <c r="CE34" s="330"/>
      <c r="CF34" s="330"/>
      <c r="CG34" s="330"/>
      <c r="CH34" s="330"/>
      <c r="CI34" s="330"/>
      <c r="CJ34" s="330"/>
      <c r="CK34" s="330"/>
      <c r="CL34" s="330"/>
      <c r="CM34" s="330"/>
      <c r="CN34" s="330"/>
      <c r="CO34" s="330"/>
      <c r="CP34" s="330"/>
      <c r="CQ34" s="330"/>
      <c r="CR34" s="330"/>
      <c r="CS34" s="330"/>
      <c r="CT34" s="821"/>
      <c r="CU34" s="330"/>
      <c r="CV34" s="330"/>
      <c r="CW34" s="330"/>
      <c r="CX34" s="330"/>
      <c r="CY34" s="330"/>
      <c r="CZ34" s="330"/>
      <c r="DA34" s="330"/>
      <c r="DB34" s="330"/>
      <c r="DC34" s="330"/>
      <c r="DD34" s="330"/>
      <c r="DE34" s="330"/>
      <c r="DF34" s="330"/>
      <c r="DG34" s="330"/>
      <c r="DH34" s="330"/>
      <c r="DI34" s="330"/>
      <c r="DJ34" s="330"/>
      <c r="DK34" s="330"/>
      <c r="DL34" s="330"/>
      <c r="DM34" s="330"/>
      <c r="DN34" s="330"/>
    </row>
    <row r="35" spans="1:118">
      <c r="A35" s="228"/>
      <c r="B35" s="228"/>
      <c r="C35" s="32" t="s">
        <v>82</v>
      </c>
      <c r="D35" s="228"/>
      <c r="E35" s="292">
        <f t="shared" ref="E35:AJ35" si="34">E32-E33</f>
        <v>528</v>
      </c>
      <c r="F35" s="261">
        <f t="shared" si="34"/>
        <v>512</v>
      </c>
      <c r="G35" s="261">
        <f t="shared" si="34"/>
        <v>657</v>
      </c>
      <c r="H35" s="293">
        <f t="shared" si="34"/>
        <v>425</v>
      </c>
      <c r="I35" s="228">
        <f t="shared" si="34"/>
        <v>2122</v>
      </c>
      <c r="J35" s="292">
        <f t="shared" si="34"/>
        <v>561</v>
      </c>
      <c r="K35" s="261">
        <f t="shared" si="34"/>
        <v>382</v>
      </c>
      <c r="L35" s="261">
        <f t="shared" si="34"/>
        <v>605</v>
      </c>
      <c r="M35" s="293">
        <f t="shared" si="34"/>
        <v>424</v>
      </c>
      <c r="N35" s="228">
        <f t="shared" si="34"/>
        <v>1972</v>
      </c>
      <c r="O35" s="292">
        <f t="shared" si="34"/>
        <v>495</v>
      </c>
      <c r="P35" s="261">
        <f t="shared" si="34"/>
        <v>443</v>
      </c>
      <c r="Q35" s="261">
        <f t="shared" si="34"/>
        <v>386</v>
      </c>
      <c r="R35" s="293">
        <f t="shared" si="34"/>
        <v>447</v>
      </c>
      <c r="S35" s="228">
        <f t="shared" si="34"/>
        <v>1771</v>
      </c>
      <c r="T35" s="292">
        <f t="shared" si="34"/>
        <v>168</v>
      </c>
      <c r="U35" s="261">
        <f t="shared" si="34"/>
        <v>166</v>
      </c>
      <c r="V35" s="261">
        <f t="shared" si="34"/>
        <v>91</v>
      </c>
      <c r="W35" s="293">
        <f t="shared" si="34"/>
        <v>137</v>
      </c>
      <c r="X35" s="228">
        <f t="shared" si="34"/>
        <v>562</v>
      </c>
      <c r="Y35" s="292">
        <f t="shared" si="34"/>
        <v>-18</v>
      </c>
      <c r="Z35" s="261">
        <f t="shared" si="34"/>
        <v>330</v>
      </c>
      <c r="AA35" s="261">
        <f t="shared" si="34"/>
        <v>490</v>
      </c>
      <c r="AB35" s="293">
        <f t="shared" si="34"/>
        <v>268</v>
      </c>
      <c r="AC35" s="228">
        <f t="shared" si="34"/>
        <v>1070</v>
      </c>
      <c r="AD35" s="292">
        <f t="shared" si="34"/>
        <v>-185</v>
      </c>
      <c r="AE35" s="261">
        <f t="shared" si="34"/>
        <v>340</v>
      </c>
      <c r="AF35" s="261">
        <f t="shared" si="34"/>
        <v>771</v>
      </c>
      <c r="AG35" s="293">
        <f t="shared" si="34"/>
        <v>-91</v>
      </c>
      <c r="AH35" s="228">
        <f t="shared" si="34"/>
        <v>835</v>
      </c>
      <c r="AI35" s="292">
        <f t="shared" si="34"/>
        <v>443</v>
      </c>
      <c r="AJ35" s="261">
        <f t="shared" si="34"/>
        <v>398</v>
      </c>
      <c r="AK35" s="261">
        <f t="shared" ref="AK35:BL35" si="35">AK32-AK33</f>
        <v>377</v>
      </c>
      <c r="AL35" s="293">
        <f t="shared" si="35"/>
        <v>154</v>
      </c>
      <c r="AM35" s="228">
        <f t="shared" si="35"/>
        <v>1372</v>
      </c>
      <c r="AN35" s="292">
        <f t="shared" si="35"/>
        <v>310</v>
      </c>
      <c r="AO35" s="261">
        <f t="shared" si="35"/>
        <v>-8</v>
      </c>
      <c r="AP35" s="261">
        <f t="shared" ref="AP35:AT35" si="36">AP32-AP33</f>
        <v>236</v>
      </c>
      <c r="AQ35" s="293">
        <f t="shared" si="36"/>
        <v>-42</v>
      </c>
      <c r="AR35" s="228">
        <f t="shared" si="36"/>
        <v>496</v>
      </c>
      <c r="AS35" s="292">
        <f t="shared" si="36"/>
        <v>423</v>
      </c>
      <c r="AT35" s="261">
        <f t="shared" si="36"/>
        <v>-250</v>
      </c>
      <c r="AU35" s="261">
        <f t="shared" si="35"/>
        <v>305</v>
      </c>
      <c r="AV35" s="293">
        <f t="shared" si="35"/>
        <v>2216</v>
      </c>
      <c r="AW35" s="228">
        <f t="shared" si="35"/>
        <v>2694</v>
      </c>
      <c r="AX35" s="292">
        <f t="shared" si="35"/>
        <v>398.37589073222512</v>
      </c>
      <c r="AY35" s="261">
        <f t="shared" ca="1" si="35"/>
        <v>254.36013220951997</v>
      </c>
      <c r="AZ35" s="261">
        <f t="shared" ca="1" si="35"/>
        <v>445.98688864621602</v>
      </c>
      <c r="BA35" s="293">
        <f t="shared" ca="1" si="35"/>
        <v>216.44913497234472</v>
      </c>
      <c r="BB35" s="228">
        <f t="shared" ca="1" si="35"/>
        <v>1315.1720465603053</v>
      </c>
      <c r="BC35" s="292">
        <f t="shared" ca="1" si="35"/>
        <v>465.17841668952599</v>
      </c>
      <c r="BD35" s="261">
        <f t="shared" ca="1" si="35"/>
        <v>171.017708001242</v>
      </c>
      <c r="BE35" s="261">
        <f t="shared" ca="1" si="35"/>
        <v>304.37969464578663</v>
      </c>
      <c r="BF35" s="293">
        <f t="shared" ca="1" si="35"/>
        <v>107.88059293314731</v>
      </c>
      <c r="BG35" s="228">
        <f t="shared" ca="1" si="35"/>
        <v>1048.4564122697011</v>
      </c>
      <c r="BH35" s="292">
        <f t="shared" ca="1" si="35"/>
        <v>344.42360446565539</v>
      </c>
      <c r="BI35" s="261">
        <f t="shared" ca="1" si="35"/>
        <v>79.352960151332411</v>
      </c>
      <c r="BJ35" s="261">
        <f t="shared" ca="1" si="35"/>
        <v>290.17318824438604</v>
      </c>
      <c r="BK35" s="293">
        <f t="shared" ca="1" si="35"/>
        <v>132.5833288443983</v>
      </c>
      <c r="BL35" s="228">
        <f t="shared" ca="1" si="35"/>
        <v>846.53308170577316</v>
      </c>
      <c r="BM35" s="292">
        <f t="shared" ref="BM35:BQ35" ca="1" si="37">BM32-BM33</f>
        <v>263.90984365366694</v>
      </c>
      <c r="BN35" s="261">
        <f t="shared" ca="1" si="37"/>
        <v>154.8144736481033</v>
      </c>
      <c r="BO35" s="261">
        <f t="shared" ca="1" si="37"/>
        <v>341.07193858751612</v>
      </c>
      <c r="BP35" s="293">
        <f t="shared" ca="1" si="37"/>
        <v>191.35603521356921</v>
      </c>
      <c r="BQ35" s="228">
        <f t="shared" ca="1" si="37"/>
        <v>951.15229110285634</v>
      </c>
      <c r="BR35" s="228"/>
      <c r="BS35" s="228"/>
      <c r="BT35" s="228"/>
      <c r="BU35" s="228"/>
      <c r="BV35" s="228"/>
      <c r="BW35" s="228"/>
      <c r="BX35" s="228"/>
      <c r="BY35" s="228"/>
      <c r="BZ35" s="228"/>
      <c r="CA35" s="228"/>
      <c r="CB35" s="228"/>
      <c r="CC35" s="228"/>
      <c r="CD35" s="228"/>
      <c r="CE35" s="228"/>
      <c r="CF35" s="228"/>
      <c r="CG35" s="228"/>
      <c r="CH35" s="228"/>
      <c r="CI35" s="228"/>
      <c r="CJ35" s="228"/>
      <c r="CK35" s="228"/>
      <c r="CL35" s="228"/>
      <c r="CM35" s="228"/>
      <c r="CN35" s="228"/>
      <c r="CO35" s="228"/>
      <c r="CP35" s="228"/>
      <c r="CQ35" s="228"/>
      <c r="CR35" s="228"/>
      <c r="CS35" s="228"/>
      <c r="CT35" s="824"/>
      <c r="CU35" s="228"/>
      <c r="CV35" s="228"/>
      <c r="CW35" s="228"/>
      <c r="CX35" s="228"/>
      <c r="CY35" s="228"/>
      <c r="CZ35" s="228"/>
      <c r="DA35" s="228"/>
      <c r="DB35" s="228"/>
      <c r="DC35" s="228"/>
      <c r="DD35" s="228"/>
      <c r="DE35" s="228"/>
      <c r="DF35" s="228"/>
      <c r="DG35" s="228"/>
      <c r="DH35" s="228"/>
      <c r="DI35" s="228"/>
    </row>
    <row r="36" spans="1:118">
      <c r="C36" s="232" t="s">
        <v>83</v>
      </c>
      <c r="E36" s="335">
        <f>21-112+33+135</f>
        <v>77</v>
      </c>
      <c r="F36" s="336">
        <f>18+106-64+9-38</f>
        <v>31</v>
      </c>
      <c r="G36" s="336">
        <f>9-77-87-32-2+36</f>
        <v>-153</v>
      </c>
      <c r="H36" s="586">
        <f>+I36-SUM(E36:G36)</f>
        <v>15</v>
      </c>
      <c r="I36" s="427">
        <f>62-110-132-32+135+7-38+44+34</f>
        <v>-30</v>
      </c>
      <c r="J36" s="335">
        <f>1-142-20+26+8</f>
        <v>-127</v>
      </c>
      <c r="K36" s="336">
        <f>4+75+53-70+12</f>
        <v>74</v>
      </c>
      <c r="L36" s="336">
        <f>-99-60+35+14+3+1</f>
        <v>-106</v>
      </c>
      <c r="M36" s="586">
        <f>+N36-SUM(J36:L36)</f>
        <v>115</v>
      </c>
      <c r="N36" s="427">
        <f>-52-52+50+26-70+35+12+7</f>
        <v>-44</v>
      </c>
      <c r="O36" s="335">
        <f>89-24+16+21</f>
        <v>102</v>
      </c>
      <c r="P36" s="336">
        <f>75-6+10+1</f>
        <v>80</v>
      </c>
      <c r="Q36" s="336">
        <f>55+76+18+2+3+5-23</f>
        <v>136</v>
      </c>
      <c r="R36" s="586">
        <f>+S36-SUM(O36:Q36)</f>
        <v>-87</v>
      </c>
      <c r="S36" s="427">
        <f>174+1+18+33+8+5+21-23-6</f>
        <v>231</v>
      </c>
      <c r="T36" s="335">
        <f>-36-36+4+45+22+78+172+2-13+3-80</f>
        <v>161</v>
      </c>
      <c r="U36" s="336">
        <f>-120+19-1+57+281-3</f>
        <v>233</v>
      </c>
      <c r="V36" s="1314">
        <f>-9-38+193+6+31+187-3</f>
        <v>367</v>
      </c>
      <c r="W36" s="291">
        <f>X36-SUM(T36:V36)</f>
        <v>225</v>
      </c>
      <c r="X36" s="427">
        <f>-312-56+236+1+167-4+22+758+172-9+3+8</f>
        <v>986</v>
      </c>
      <c r="Y36" s="337">
        <f>246-35-13+29+117-3+13</f>
        <v>354</v>
      </c>
      <c r="Z36" s="338">
        <f>-263+22+12+115-4+61</f>
        <v>-57</v>
      </c>
      <c r="AA36" s="338">
        <f>-151-23+7+20+40+28</f>
        <v>-79</v>
      </c>
      <c r="AB36" s="291">
        <f>AC36-SUM(Y36:AA36)</f>
        <v>-86</v>
      </c>
      <c r="AC36" s="339">
        <f>-309-78-13+7+80+347-7-12+16+101</f>
        <v>132</v>
      </c>
      <c r="AD36" s="335">
        <f>446-8+9+31-35</f>
        <v>443</v>
      </c>
      <c r="AE36" s="338">
        <f>-(-8+76-19-23-53-23+159)</f>
        <v>-109</v>
      </c>
      <c r="AF36" s="338">
        <f>-161+22-13-198+30+47-12-66+13</f>
        <v>-338</v>
      </c>
      <c r="AG36" s="291">
        <f>AH36-SUM(AD36:AF36)</f>
        <v>324</v>
      </c>
      <c r="AH36" s="339">
        <f>365-86-246-13+85+64-39+421-28-159-106+62</f>
        <v>320</v>
      </c>
      <c r="AI36" s="335">
        <f>-100-24-24+7+7-6</f>
        <v>-140</v>
      </c>
      <c r="AJ36" s="336">
        <f>-145+56+5+9-14</f>
        <v>-89</v>
      </c>
      <c r="AK36" s="1435">
        <f>85+133+6+2-6-52-46</f>
        <v>122</v>
      </c>
      <c r="AL36" s="291">
        <f>AM36-SUM(AI36:AK36)</f>
        <v>-12</v>
      </c>
      <c r="AM36" s="2056">
        <f>-160+115-6+6+20-5+11-52-6-10-32</f>
        <v>-119</v>
      </c>
      <c r="AN36" s="335">
        <f>-64-31-12+10+2+71+6+12+11</f>
        <v>5</v>
      </c>
      <c r="AO36" s="338">
        <f>185-27+8+3+22+133+4+8</f>
        <v>336</v>
      </c>
      <c r="AP36" s="1435">
        <f>-54-70+13+7+10+204+7+23</f>
        <v>140</v>
      </c>
      <c r="AQ36" s="291">
        <f>AR36-SUM(AN36:AP36)</f>
        <v>204</v>
      </c>
      <c r="AR36" s="2056">
        <f>24-118+35+35+103-75+20+42+432+28+57+102</f>
        <v>685</v>
      </c>
      <c r="AS36" s="335">
        <f>30-99+3+26-18+3-5-226+35</f>
        <v>-251</v>
      </c>
      <c r="AT36" s="338">
        <f>114-45+12+12+269+66+4+20</f>
        <v>452</v>
      </c>
      <c r="AU36" s="338">
        <f>-46-67+12+7+25+72+10+18-7-2+20</f>
        <v>42</v>
      </c>
      <c r="AV36" s="291">
        <f>AW36-SUM(AS36:AU36)</f>
        <v>-1964</v>
      </c>
      <c r="AW36" s="1437">
        <f>109-318+34+44-18+306+208-1856+25-2-5-233-130-26+27+114</f>
        <v>-1721</v>
      </c>
      <c r="AX36" s="306">
        <v>0</v>
      </c>
      <c r="AY36" s="589">
        <v>0</v>
      </c>
      <c r="AZ36" s="589">
        <v>0</v>
      </c>
      <c r="BA36" s="307">
        <v>0</v>
      </c>
      <c r="BB36" s="590">
        <f>SUM(AX36:BA36)</f>
        <v>0</v>
      </c>
      <c r="BC36" s="306">
        <v>0</v>
      </c>
      <c r="BD36" s="589">
        <v>0</v>
      </c>
      <c r="BE36" s="589">
        <v>0</v>
      </c>
      <c r="BF36" s="307">
        <v>0</v>
      </c>
      <c r="BG36" s="590">
        <f>SUM(BC36:BF36)</f>
        <v>0</v>
      </c>
      <c r="BH36" s="306">
        <v>0</v>
      </c>
      <c r="BI36" s="589">
        <v>0</v>
      </c>
      <c r="BJ36" s="589">
        <v>0</v>
      </c>
      <c r="BK36" s="307">
        <v>0</v>
      </c>
      <c r="BL36" s="590">
        <f>SUM(BH36:BK36)</f>
        <v>0</v>
      </c>
      <c r="BM36" s="306">
        <v>0</v>
      </c>
      <c r="BN36" s="589">
        <v>0</v>
      </c>
      <c r="BO36" s="589">
        <v>0</v>
      </c>
      <c r="BP36" s="307">
        <v>0</v>
      </c>
      <c r="BQ36" s="590">
        <f>SUM(BM36:BP36)</f>
        <v>0</v>
      </c>
      <c r="CT36" s="823"/>
      <c r="CZ36" s="4"/>
      <c r="DA36" s="4"/>
      <c r="DB36" s="4"/>
      <c r="DC36" s="4"/>
      <c r="DD36" s="4"/>
      <c r="DE36" s="4"/>
    </row>
    <row r="37" spans="1:118">
      <c r="A37" s="330"/>
      <c r="B37" s="330"/>
      <c r="C37" s="32" t="s">
        <v>360</v>
      </c>
      <c r="D37" s="330"/>
      <c r="E37" s="292">
        <f t="shared" ref="E37:AJ37" si="38">SUM(E35:E36)</f>
        <v>605</v>
      </c>
      <c r="F37" s="261">
        <f t="shared" si="38"/>
        <v>543</v>
      </c>
      <c r="G37" s="261">
        <f t="shared" si="38"/>
        <v>504</v>
      </c>
      <c r="H37" s="293">
        <f t="shared" si="38"/>
        <v>440</v>
      </c>
      <c r="I37" s="228">
        <f t="shared" si="38"/>
        <v>2092</v>
      </c>
      <c r="J37" s="292">
        <f t="shared" si="38"/>
        <v>434</v>
      </c>
      <c r="K37" s="261">
        <f t="shared" si="38"/>
        <v>456</v>
      </c>
      <c r="L37" s="261">
        <f t="shared" si="38"/>
        <v>499</v>
      </c>
      <c r="M37" s="293">
        <f t="shared" si="38"/>
        <v>539</v>
      </c>
      <c r="N37" s="228">
        <f t="shared" si="38"/>
        <v>1928</v>
      </c>
      <c r="O37" s="292">
        <f t="shared" si="38"/>
        <v>597</v>
      </c>
      <c r="P37" s="261">
        <f t="shared" si="38"/>
        <v>523</v>
      </c>
      <c r="Q37" s="261">
        <f t="shared" si="38"/>
        <v>522</v>
      </c>
      <c r="R37" s="293">
        <f t="shared" si="38"/>
        <v>360</v>
      </c>
      <c r="S37" s="228">
        <f t="shared" si="38"/>
        <v>2002</v>
      </c>
      <c r="T37" s="292">
        <f t="shared" si="38"/>
        <v>329</v>
      </c>
      <c r="U37" s="261">
        <f t="shared" si="38"/>
        <v>399</v>
      </c>
      <c r="V37" s="261">
        <f t="shared" si="38"/>
        <v>458</v>
      </c>
      <c r="W37" s="293">
        <f t="shared" si="38"/>
        <v>362</v>
      </c>
      <c r="X37" s="228">
        <f t="shared" si="38"/>
        <v>1548</v>
      </c>
      <c r="Y37" s="292">
        <f t="shared" si="38"/>
        <v>336</v>
      </c>
      <c r="Z37" s="261">
        <f t="shared" si="38"/>
        <v>273</v>
      </c>
      <c r="AA37" s="261">
        <f t="shared" si="38"/>
        <v>411</v>
      </c>
      <c r="AB37" s="293">
        <f t="shared" si="38"/>
        <v>182</v>
      </c>
      <c r="AC37" s="228">
        <f t="shared" si="38"/>
        <v>1202</v>
      </c>
      <c r="AD37" s="292">
        <f t="shared" si="38"/>
        <v>258</v>
      </c>
      <c r="AE37" s="261">
        <f t="shared" si="38"/>
        <v>231</v>
      </c>
      <c r="AF37" s="261">
        <f t="shared" si="38"/>
        <v>433</v>
      </c>
      <c r="AG37" s="293">
        <f t="shared" si="38"/>
        <v>233</v>
      </c>
      <c r="AH37" s="228">
        <f t="shared" si="38"/>
        <v>1155</v>
      </c>
      <c r="AI37" s="292">
        <f t="shared" si="38"/>
        <v>303</v>
      </c>
      <c r="AJ37" s="261">
        <f t="shared" si="38"/>
        <v>309</v>
      </c>
      <c r="AK37" s="261">
        <f t="shared" ref="AK37:BL37" si="39">SUM(AK35:AK36)</f>
        <v>499</v>
      </c>
      <c r="AL37" s="293">
        <f t="shared" si="39"/>
        <v>142</v>
      </c>
      <c r="AM37" s="228">
        <f t="shared" si="39"/>
        <v>1253</v>
      </c>
      <c r="AN37" s="292">
        <f t="shared" si="39"/>
        <v>315</v>
      </c>
      <c r="AO37" s="261">
        <f t="shared" si="39"/>
        <v>328</v>
      </c>
      <c r="AP37" s="261">
        <f t="shared" ref="AP37:AR37" si="40">SUM(AP35:AP36)</f>
        <v>376</v>
      </c>
      <c r="AQ37" s="293">
        <f t="shared" si="40"/>
        <v>162</v>
      </c>
      <c r="AR37" s="228">
        <f t="shared" si="40"/>
        <v>1181</v>
      </c>
      <c r="AS37" s="292">
        <f t="shared" si="39"/>
        <v>172</v>
      </c>
      <c r="AT37" s="261">
        <f t="shared" ref="AT37" si="41">SUM(AT35:AT36)</f>
        <v>202</v>
      </c>
      <c r="AU37" s="261">
        <f t="shared" si="39"/>
        <v>347</v>
      </c>
      <c r="AV37" s="293">
        <f t="shared" si="39"/>
        <v>252</v>
      </c>
      <c r="AW37" s="228">
        <f t="shared" si="39"/>
        <v>973</v>
      </c>
      <c r="AX37" s="292">
        <f t="shared" si="39"/>
        <v>398.37589073222512</v>
      </c>
      <c r="AY37" s="261">
        <f t="shared" ca="1" si="39"/>
        <v>254.36013220951997</v>
      </c>
      <c r="AZ37" s="261">
        <f t="shared" ca="1" si="39"/>
        <v>445.98688864621602</v>
      </c>
      <c r="BA37" s="293">
        <f t="shared" ca="1" si="39"/>
        <v>216.44913497234472</v>
      </c>
      <c r="BB37" s="228">
        <f t="shared" ca="1" si="39"/>
        <v>1315.1720465603053</v>
      </c>
      <c r="BC37" s="292">
        <f t="shared" ca="1" si="39"/>
        <v>465.17841668952599</v>
      </c>
      <c r="BD37" s="261">
        <f t="shared" ca="1" si="39"/>
        <v>171.017708001242</v>
      </c>
      <c r="BE37" s="261">
        <f t="shared" ca="1" si="39"/>
        <v>304.37969464578663</v>
      </c>
      <c r="BF37" s="293">
        <f t="shared" ca="1" si="39"/>
        <v>107.88059293314731</v>
      </c>
      <c r="BG37" s="228">
        <f t="shared" ca="1" si="39"/>
        <v>1048.4564122697011</v>
      </c>
      <c r="BH37" s="292">
        <f t="shared" ca="1" si="39"/>
        <v>344.42360446565539</v>
      </c>
      <c r="BI37" s="261">
        <f t="shared" ca="1" si="39"/>
        <v>79.352960151332411</v>
      </c>
      <c r="BJ37" s="261">
        <f t="shared" ca="1" si="39"/>
        <v>290.17318824438604</v>
      </c>
      <c r="BK37" s="293">
        <f t="shared" ca="1" si="39"/>
        <v>132.5833288443983</v>
      </c>
      <c r="BL37" s="228">
        <f t="shared" ca="1" si="39"/>
        <v>846.53308170577316</v>
      </c>
      <c r="BM37" s="292">
        <f t="shared" ref="BM37:BQ37" ca="1" si="42">SUM(BM35:BM36)</f>
        <v>263.90984365366694</v>
      </c>
      <c r="BN37" s="261">
        <f t="shared" ca="1" si="42"/>
        <v>154.8144736481033</v>
      </c>
      <c r="BO37" s="261">
        <f t="shared" ca="1" si="42"/>
        <v>341.07193858751612</v>
      </c>
      <c r="BP37" s="293">
        <f t="shared" ca="1" si="42"/>
        <v>191.35603521356921</v>
      </c>
      <c r="BQ37" s="228">
        <f t="shared" ca="1" si="42"/>
        <v>951.15229110285634</v>
      </c>
      <c r="BR37" s="330"/>
      <c r="BS37" s="330"/>
      <c r="BT37" s="330"/>
      <c r="BU37" s="330"/>
      <c r="BV37" s="330"/>
      <c r="BW37" s="330"/>
      <c r="BX37" s="330"/>
      <c r="BY37" s="330"/>
      <c r="BZ37" s="330"/>
      <c r="CA37" s="330"/>
      <c r="CB37" s="330"/>
      <c r="CC37" s="330"/>
      <c r="CD37" s="330"/>
      <c r="CE37" s="330"/>
      <c r="CF37" s="330"/>
      <c r="CG37" s="330"/>
      <c r="CH37" s="330"/>
      <c r="CI37" s="330"/>
      <c r="CJ37" s="330"/>
      <c r="CK37" s="330"/>
      <c r="CL37" s="330"/>
      <c r="CM37" s="330"/>
      <c r="CN37" s="330"/>
      <c r="CO37" s="330"/>
      <c r="CP37" s="330"/>
      <c r="CQ37" s="330"/>
      <c r="CR37" s="330"/>
      <c r="CS37" s="330"/>
      <c r="CT37" s="821"/>
      <c r="CU37" s="330"/>
      <c r="CV37" s="330"/>
      <c r="CW37" s="330"/>
      <c r="CX37" s="330"/>
      <c r="CY37" s="330"/>
      <c r="CZ37" s="330"/>
      <c r="DA37" s="330"/>
      <c r="DB37" s="330"/>
      <c r="DC37" s="330"/>
      <c r="DD37" s="330"/>
      <c r="DE37" s="330"/>
      <c r="DF37" s="330"/>
      <c r="DG37" s="330"/>
      <c r="DH37" s="330"/>
      <c r="DI37" s="330"/>
    </row>
    <row r="38" spans="1:118">
      <c r="A38" s="330"/>
      <c r="B38" s="330"/>
      <c r="C38" s="28"/>
      <c r="D38" s="330"/>
      <c r="E38" s="300"/>
      <c r="F38" s="264"/>
      <c r="G38" s="264"/>
      <c r="H38" s="299"/>
      <c r="I38" s="330"/>
      <c r="J38" s="300"/>
      <c r="K38" s="264"/>
      <c r="L38" s="264"/>
      <c r="M38" s="299"/>
      <c r="N38" s="330"/>
      <c r="O38" s="300"/>
      <c r="P38" s="264"/>
      <c r="Q38" s="264"/>
      <c r="R38" s="299"/>
      <c r="S38" s="330"/>
      <c r="T38" s="300"/>
      <c r="U38" s="264"/>
      <c r="V38" s="264"/>
      <c r="W38" s="299"/>
      <c r="X38" s="330"/>
      <c r="Y38" s="1422"/>
      <c r="Z38" s="1423"/>
      <c r="AA38" s="1423"/>
      <c r="AB38" s="1424"/>
      <c r="AC38" s="1425"/>
      <c r="AD38" s="1422"/>
      <c r="AE38" s="1423"/>
      <c r="AF38" s="1423"/>
      <c r="AG38" s="1424"/>
      <c r="AH38" s="1425"/>
      <c r="AI38" s="1422"/>
      <c r="AJ38" s="1423"/>
      <c r="AK38" s="1423"/>
      <c r="AL38" s="1424"/>
      <c r="AM38" s="1425"/>
      <c r="AN38" s="1422"/>
      <c r="AO38" s="1423"/>
      <c r="AP38" s="1423"/>
      <c r="AQ38" s="1424"/>
      <c r="AR38" s="1425"/>
      <c r="AS38" s="300"/>
      <c r="AT38" s="1423"/>
      <c r="AU38" s="264"/>
      <c r="AV38" s="1424"/>
      <c r="AW38" s="1425"/>
      <c r="AX38" s="300"/>
      <c r="AY38" s="264"/>
      <c r="AZ38" s="264"/>
      <c r="BA38" s="299"/>
      <c r="BB38" s="330"/>
      <c r="BC38" s="300"/>
      <c r="BD38" s="264"/>
      <c r="BE38" s="264"/>
      <c r="BF38" s="299"/>
      <c r="BG38" s="330"/>
      <c r="BH38" s="300"/>
      <c r="BI38" s="264"/>
      <c r="BJ38" s="264"/>
      <c r="BK38" s="299"/>
      <c r="BL38" s="330"/>
      <c r="BM38" s="300"/>
      <c r="BN38" s="264"/>
      <c r="BO38" s="264"/>
      <c r="BP38" s="299"/>
      <c r="BQ38" s="330"/>
      <c r="BR38" s="330"/>
      <c r="BS38" s="330"/>
      <c r="BT38" s="330"/>
      <c r="BU38" s="330"/>
      <c r="BV38" s="330"/>
      <c r="BW38" s="584"/>
      <c r="BX38" s="330"/>
      <c r="BY38" s="330"/>
      <c r="BZ38" s="330"/>
      <c r="CA38" s="330"/>
      <c r="CB38" s="330"/>
      <c r="CC38" s="330"/>
      <c r="CD38" s="330"/>
      <c r="CE38" s="330"/>
      <c r="CF38" s="330"/>
      <c r="CG38" s="330"/>
      <c r="CH38" s="330"/>
      <c r="CI38" s="330"/>
      <c r="CJ38" s="330"/>
      <c r="CK38" s="330"/>
      <c r="CL38" s="330"/>
      <c r="CM38" s="330"/>
      <c r="CN38" s="330"/>
      <c r="CO38" s="330"/>
      <c r="CP38" s="330"/>
      <c r="CQ38" s="330"/>
      <c r="CR38" s="330"/>
      <c r="CS38" s="330"/>
      <c r="CT38" s="821"/>
      <c r="CU38" s="330"/>
      <c r="CV38" s="330"/>
      <c r="CW38" s="330"/>
      <c r="CX38" s="330"/>
      <c r="CY38" s="330"/>
      <c r="CZ38" s="330"/>
      <c r="DA38" s="330"/>
      <c r="DB38" s="330"/>
      <c r="DC38" s="330"/>
      <c r="DD38" s="330"/>
      <c r="DE38" s="330"/>
      <c r="DF38" s="330"/>
      <c r="DG38" s="330"/>
      <c r="DH38" s="330"/>
      <c r="DI38" s="330"/>
      <c r="DJ38" s="330"/>
      <c r="DK38" s="330"/>
      <c r="DL38" s="330"/>
      <c r="DM38" s="330"/>
      <c r="DN38" s="330"/>
    </row>
    <row r="39" spans="1:118">
      <c r="A39" s="330"/>
      <c r="B39" s="330"/>
      <c r="C39" s="28" t="s">
        <v>95</v>
      </c>
      <c r="D39" s="330"/>
      <c r="E39" s="290">
        <f>EXC!E49</f>
        <v>659</v>
      </c>
      <c r="F39" s="260">
        <f>EXC!F49</f>
        <v>659</v>
      </c>
      <c r="G39" s="260">
        <f>EXC!G49</f>
        <v>660</v>
      </c>
      <c r="H39" s="291">
        <f>EXC!H49</f>
        <v>660</v>
      </c>
      <c r="I39" s="45">
        <f>EXC!I49</f>
        <v>659</v>
      </c>
      <c r="J39" s="290">
        <f>EXC!J49</f>
        <v>661</v>
      </c>
      <c r="K39" s="260">
        <f>EXC!K49</f>
        <v>661</v>
      </c>
      <c r="L39" s="260">
        <f>EXC!L49</f>
        <v>662</v>
      </c>
      <c r="M39" s="291">
        <f>EXC!M49</f>
        <v>662</v>
      </c>
      <c r="N39" s="45">
        <f>EXC!N49</f>
        <v>661</v>
      </c>
      <c r="O39" s="290">
        <f>EXC!O49</f>
        <v>662</v>
      </c>
      <c r="P39" s="260">
        <f>EXC!P49</f>
        <v>663</v>
      </c>
      <c r="Q39" s="260">
        <f>EXC!Q49</f>
        <v>663</v>
      </c>
      <c r="R39" s="291">
        <f>EXC!R49</f>
        <v>664</v>
      </c>
      <c r="S39" s="45">
        <f>EXC!S49</f>
        <v>663</v>
      </c>
      <c r="T39" s="290">
        <f>EXC!T49</f>
        <v>705</v>
      </c>
      <c r="U39" s="260">
        <f>EXC!U49</f>
        <v>853</v>
      </c>
      <c r="V39" s="260">
        <f>EXC!V49</f>
        <v>854</v>
      </c>
      <c r="W39" s="291">
        <f>EXC!W49</f>
        <v>816</v>
      </c>
      <c r="X39" s="45">
        <f>EXC!X49</f>
        <v>816</v>
      </c>
      <c r="Y39" s="290">
        <f>EXC!Y49</f>
        <v>855</v>
      </c>
      <c r="Z39" s="260">
        <f>EXC!Z49</f>
        <v>856</v>
      </c>
      <c r="AA39" s="260">
        <f>EXC!AA49</f>
        <v>857</v>
      </c>
      <c r="AB39" s="291">
        <f>EXC!AB49</f>
        <v>857</v>
      </c>
      <c r="AC39" s="45">
        <f>EXC!AC49</f>
        <v>856</v>
      </c>
      <c r="AD39" s="290">
        <f>EXC!AD49</f>
        <v>858</v>
      </c>
      <c r="AE39" s="260">
        <f>EXC!AE49</f>
        <v>860</v>
      </c>
      <c r="AF39" s="260">
        <f>EXC!AF49</f>
        <v>861</v>
      </c>
      <c r="AG39" s="291">
        <f>EXC!AG49</f>
        <v>861</v>
      </c>
      <c r="AH39" s="45">
        <f>EXC!AH49</f>
        <v>860</v>
      </c>
      <c r="AI39" s="290">
        <f>EXC!AI49</f>
        <v>862</v>
      </c>
      <c r="AJ39" s="260">
        <f>EXC!AJ49</f>
        <v>863</v>
      </c>
      <c r="AK39" s="260">
        <f>EXC!AK49</f>
        <v>913</v>
      </c>
      <c r="AL39" s="291">
        <f>EXC!AL49</f>
        <v>921</v>
      </c>
      <c r="AM39" s="45">
        <f>EXC!AM49</f>
        <v>890</v>
      </c>
      <c r="AN39" s="290">
        <f>EXC!AN49</f>
        <v>923</v>
      </c>
      <c r="AO39" s="260">
        <f>EXC!AO49</f>
        <v>924</v>
      </c>
      <c r="AP39" s="260">
        <f>EXC!AP49</f>
        <v>925</v>
      </c>
      <c r="AQ39" s="291">
        <f>EXC!AQ49</f>
        <v>925</v>
      </c>
      <c r="AR39" s="45">
        <f>EXC!AR49</f>
        <v>924</v>
      </c>
      <c r="AS39" s="290">
        <f>EXC!AS49</f>
        <v>928</v>
      </c>
      <c r="AT39" s="260">
        <f>EXC!AT49</f>
        <v>934</v>
      </c>
      <c r="AU39" s="260">
        <f>EXC!AU49</f>
        <v>962</v>
      </c>
      <c r="AV39" s="291">
        <f>EXC!AV49</f>
        <v>964</v>
      </c>
      <c r="AW39" s="45">
        <f>EXC!AW49</f>
        <v>947</v>
      </c>
      <c r="AX39" s="290">
        <f>EXC!AX49</f>
        <v>963</v>
      </c>
      <c r="AY39" s="260">
        <f>EXC!AY49</f>
        <v>963</v>
      </c>
      <c r="AZ39" s="260">
        <f>EXC!AZ49</f>
        <v>963</v>
      </c>
      <c r="BA39" s="291">
        <f>EXC!BA49</f>
        <v>963</v>
      </c>
      <c r="BB39" s="45">
        <f>EXC!BB49</f>
        <v>963</v>
      </c>
      <c r="BC39" s="290">
        <f>EXC!BC49</f>
        <v>963</v>
      </c>
      <c r="BD39" s="260">
        <f>EXC!BD49</f>
        <v>963</v>
      </c>
      <c r="BE39" s="260">
        <f>EXC!BE49</f>
        <v>963</v>
      </c>
      <c r="BF39" s="291">
        <f>EXC!BF49</f>
        <v>963</v>
      </c>
      <c r="BG39" s="45">
        <f>EXC!BG49</f>
        <v>963</v>
      </c>
      <c r="BH39" s="290">
        <f>EXC!BH49</f>
        <v>963</v>
      </c>
      <c r="BI39" s="260">
        <f>EXC!BI49</f>
        <v>963</v>
      </c>
      <c r="BJ39" s="260">
        <f>EXC!BJ49</f>
        <v>963</v>
      </c>
      <c r="BK39" s="291">
        <f>EXC!BK49</f>
        <v>963</v>
      </c>
      <c r="BL39" s="45">
        <f>EXC!BL49</f>
        <v>963</v>
      </c>
      <c r="BM39" s="290">
        <f>EXC!BM49</f>
        <v>963</v>
      </c>
      <c r="BN39" s="260">
        <f>EXC!BN49</f>
        <v>963</v>
      </c>
      <c r="BO39" s="260">
        <f>EXC!BO49</f>
        <v>963</v>
      </c>
      <c r="BP39" s="291">
        <f>EXC!BP49</f>
        <v>963</v>
      </c>
      <c r="BQ39" s="45">
        <f>EXC!BQ49</f>
        <v>963</v>
      </c>
      <c r="BR39" s="330"/>
      <c r="BS39" s="330"/>
      <c r="BT39" s="330"/>
      <c r="BU39" s="330"/>
      <c r="BV39" s="330"/>
      <c r="BW39" s="330"/>
      <c r="BX39" s="330"/>
      <c r="BY39" s="330"/>
      <c r="BZ39" s="330"/>
      <c r="CA39" s="330"/>
      <c r="CB39" s="330"/>
      <c r="CC39" s="330"/>
      <c r="CD39" s="330"/>
      <c r="CE39" s="330"/>
      <c r="CF39" s="330"/>
      <c r="CG39" s="330"/>
      <c r="CH39" s="330"/>
      <c r="CI39" s="330"/>
      <c r="CJ39" s="330"/>
      <c r="CK39" s="330"/>
      <c r="CL39" s="330"/>
      <c r="CM39" s="330"/>
      <c r="CN39" s="330"/>
      <c r="CO39" s="330"/>
      <c r="CP39" s="330"/>
      <c r="CQ39" s="330"/>
      <c r="CR39" s="330"/>
      <c r="CS39" s="330"/>
      <c r="CT39" s="821"/>
      <c r="CU39" s="330"/>
      <c r="CV39" s="330"/>
      <c r="CW39" s="330"/>
      <c r="CX39" s="330"/>
      <c r="CY39" s="330"/>
      <c r="CZ39" s="330"/>
      <c r="DA39" s="330"/>
      <c r="DB39" s="330"/>
      <c r="DC39" s="330"/>
      <c r="DD39" s="330"/>
      <c r="DE39" s="330"/>
      <c r="DF39" s="330"/>
      <c r="DG39" s="330"/>
      <c r="DH39" s="330"/>
      <c r="DI39" s="330"/>
      <c r="DJ39" s="330"/>
      <c r="DK39" s="330"/>
      <c r="DL39" s="330"/>
      <c r="DM39" s="330"/>
      <c r="DN39" s="330"/>
    </row>
    <row r="40" spans="1:118">
      <c r="A40" s="330"/>
      <c r="B40" s="330"/>
      <c r="C40" s="28" t="s">
        <v>109</v>
      </c>
      <c r="D40" s="330"/>
      <c r="E40" s="290">
        <f>EXC!E50</f>
        <v>661</v>
      </c>
      <c r="F40" s="260">
        <f>EXC!F50</f>
        <v>661</v>
      </c>
      <c r="G40" s="260">
        <f>EXC!G50</f>
        <v>662</v>
      </c>
      <c r="H40" s="291">
        <f>EXC!H50</f>
        <v>662</v>
      </c>
      <c r="I40" s="45">
        <f>EXC!I50</f>
        <v>662</v>
      </c>
      <c r="J40" s="290">
        <f>EXC!J50</f>
        <v>662</v>
      </c>
      <c r="K40" s="260">
        <f>EXC!K50</f>
        <v>662</v>
      </c>
      <c r="L40" s="260">
        <f>EXC!L50</f>
        <v>663</v>
      </c>
      <c r="M40" s="291">
        <f>EXC!M50</f>
        <v>663</v>
      </c>
      <c r="N40" s="45">
        <f>EXC!N50</f>
        <v>663</v>
      </c>
      <c r="O40" s="290">
        <f>EXC!O50</f>
        <v>664</v>
      </c>
      <c r="P40" s="260">
        <f>EXC!P50</f>
        <v>664</v>
      </c>
      <c r="Q40" s="260">
        <f>EXC!Q50</f>
        <v>665</v>
      </c>
      <c r="R40" s="291">
        <f>EXC!R50</f>
        <v>666</v>
      </c>
      <c r="S40" s="45">
        <f>EXC!S50</f>
        <v>665</v>
      </c>
      <c r="T40" s="290">
        <f>EXC!T50</f>
        <v>707</v>
      </c>
      <c r="U40" s="260">
        <f>EXC!U50</f>
        <v>856</v>
      </c>
      <c r="V40" s="260">
        <f>EXC!V50</f>
        <v>857</v>
      </c>
      <c r="W40" s="291">
        <f>EXC!W50</f>
        <v>819</v>
      </c>
      <c r="X40" s="45">
        <f>EXC!X50</f>
        <v>819</v>
      </c>
      <c r="Y40" s="290">
        <f>EXC!Y50</f>
        <v>855</v>
      </c>
      <c r="Z40" s="260">
        <f>EXC!Z50</f>
        <v>860</v>
      </c>
      <c r="AA40" s="260">
        <f>EXC!AA50</f>
        <v>860</v>
      </c>
      <c r="AB40" s="291">
        <f>EXC!AB50</f>
        <v>861</v>
      </c>
      <c r="AC40" s="45">
        <f>EXC!AC50</f>
        <v>860</v>
      </c>
      <c r="AD40" s="290">
        <f>EXC!AD50</f>
        <v>861</v>
      </c>
      <c r="AE40" s="260">
        <f>EXC!AE50</f>
        <v>864</v>
      </c>
      <c r="AF40" s="260">
        <f>EXC!AF50</f>
        <v>863</v>
      </c>
      <c r="AG40" s="291">
        <f>EXC!AG50</f>
        <v>868</v>
      </c>
      <c r="AH40" s="45">
        <f>EXC!AH50</f>
        <v>864</v>
      </c>
      <c r="AI40" s="290">
        <f>EXC!AI50</f>
        <v>867</v>
      </c>
      <c r="AJ40" s="260">
        <f>EXC!AJ50</f>
        <v>864</v>
      </c>
      <c r="AK40" s="260">
        <f>EXC!AK50</f>
        <v>915</v>
      </c>
      <c r="AL40" s="291">
        <f>EXC!AL50</f>
        <v>924</v>
      </c>
      <c r="AM40" s="45">
        <f>EXC!AM50</f>
        <v>893</v>
      </c>
      <c r="AN40" s="290">
        <f>EXC!AN50</f>
        <v>925</v>
      </c>
      <c r="AO40" s="260">
        <f>EXC!AO50</f>
        <v>926</v>
      </c>
      <c r="AP40" s="260">
        <f>EXC!AP50</f>
        <v>927</v>
      </c>
      <c r="AQ40" s="291">
        <f>EXC!AQ50</f>
        <v>928</v>
      </c>
      <c r="AR40" s="45">
        <f>EXC!AR50</f>
        <v>927</v>
      </c>
      <c r="AS40" s="290">
        <f>EXC!AS50</f>
        <v>930</v>
      </c>
      <c r="AT40" s="260">
        <f>EXC!AT50</f>
        <v>936</v>
      </c>
      <c r="AU40" s="260">
        <f>EXC!AU50</f>
        <v>965</v>
      </c>
      <c r="AV40" s="291">
        <f>EXC!AV50</f>
        <v>967</v>
      </c>
      <c r="AW40" s="45">
        <f>EXC!AW50</f>
        <v>949</v>
      </c>
      <c r="AX40" s="290">
        <f>EXC!AX50</f>
        <v>966</v>
      </c>
      <c r="AY40" s="260">
        <f>EXC!AY50</f>
        <v>966</v>
      </c>
      <c r="AZ40" s="260">
        <f>EXC!AZ50</f>
        <v>966</v>
      </c>
      <c r="BA40" s="291">
        <f>EXC!BA50</f>
        <v>966</v>
      </c>
      <c r="BB40" s="45">
        <f>EXC!BB50</f>
        <v>966</v>
      </c>
      <c r="BC40" s="290">
        <f>EXC!BC50</f>
        <v>966</v>
      </c>
      <c r="BD40" s="260">
        <f>EXC!BD50</f>
        <v>966</v>
      </c>
      <c r="BE40" s="260">
        <f>EXC!BE50</f>
        <v>966</v>
      </c>
      <c r="BF40" s="291">
        <f>EXC!BF50</f>
        <v>966</v>
      </c>
      <c r="BG40" s="45">
        <f>EXC!BG50</f>
        <v>966</v>
      </c>
      <c r="BH40" s="290">
        <f>EXC!BH50</f>
        <v>966</v>
      </c>
      <c r="BI40" s="260">
        <f>EXC!BI50</f>
        <v>966</v>
      </c>
      <c r="BJ40" s="260">
        <f>EXC!BJ50</f>
        <v>966</v>
      </c>
      <c r="BK40" s="291">
        <f>EXC!BK50</f>
        <v>966</v>
      </c>
      <c r="BL40" s="45">
        <f>EXC!BL50</f>
        <v>966</v>
      </c>
      <c r="BM40" s="290">
        <f>EXC!BM50</f>
        <v>966</v>
      </c>
      <c r="BN40" s="260">
        <f>EXC!BN50</f>
        <v>966</v>
      </c>
      <c r="BO40" s="260">
        <f>EXC!BO50</f>
        <v>966</v>
      </c>
      <c r="BP40" s="291">
        <f>EXC!BP50</f>
        <v>966</v>
      </c>
      <c r="BQ40" s="45">
        <f>EXC!BQ50</f>
        <v>966</v>
      </c>
      <c r="BR40" s="330"/>
      <c r="BS40" s="330"/>
      <c r="BT40" s="330"/>
      <c r="BU40" s="330"/>
      <c r="BV40" s="330"/>
      <c r="BW40" s="330"/>
      <c r="BX40" s="330"/>
      <c r="BY40" s="330"/>
      <c r="BZ40" s="330"/>
      <c r="CA40" s="330"/>
      <c r="CB40" s="330"/>
      <c r="CC40" s="330"/>
      <c r="CD40" s="330"/>
      <c r="CE40" s="330"/>
      <c r="CF40" s="330"/>
      <c r="CG40" s="330"/>
      <c r="CH40" s="330"/>
      <c r="CI40" s="330"/>
      <c r="CJ40" s="330"/>
      <c r="CK40" s="330"/>
      <c r="CL40" s="330"/>
      <c r="CM40" s="330"/>
      <c r="CN40" s="330"/>
      <c r="CO40" s="330"/>
      <c r="CP40" s="330"/>
      <c r="CQ40" s="330"/>
      <c r="CR40" s="330"/>
      <c r="CS40" s="330"/>
      <c r="CT40" s="821"/>
      <c r="CU40" s="330"/>
      <c r="CV40" s="330"/>
      <c r="CW40" s="330"/>
      <c r="CX40" s="330"/>
      <c r="CY40" s="330"/>
      <c r="CZ40" s="330"/>
      <c r="DA40" s="330"/>
      <c r="DB40" s="330"/>
      <c r="DC40" s="330"/>
      <c r="DD40" s="330"/>
      <c r="DE40" s="330"/>
      <c r="DF40" s="330"/>
      <c r="DG40" s="330"/>
      <c r="DH40" s="330"/>
      <c r="DI40" s="330"/>
      <c r="DJ40" s="330"/>
      <c r="DK40" s="330"/>
      <c r="DL40" s="330"/>
      <c r="DM40" s="330"/>
      <c r="DN40" s="330"/>
    </row>
    <row r="41" spans="1:118">
      <c r="A41" s="330"/>
      <c r="B41" s="330"/>
      <c r="C41" s="228"/>
      <c r="D41" s="330"/>
      <c r="E41" s="300"/>
      <c r="F41" s="264"/>
      <c r="G41" s="264"/>
      <c r="H41" s="299"/>
      <c r="I41" s="330"/>
      <c r="J41" s="300"/>
      <c r="K41" s="264"/>
      <c r="L41" s="264"/>
      <c r="M41" s="299"/>
      <c r="N41" s="330"/>
      <c r="O41" s="300"/>
      <c r="P41" s="264"/>
      <c r="Q41" s="264"/>
      <c r="R41" s="299"/>
      <c r="S41" s="330"/>
      <c r="T41" s="300"/>
      <c r="U41" s="264"/>
      <c r="V41" s="264"/>
      <c r="W41" s="299"/>
      <c r="X41" s="330"/>
      <c r="Y41" s="1422"/>
      <c r="Z41" s="1423"/>
      <c r="AA41" s="1423"/>
      <c r="AB41" s="1424"/>
      <c r="AC41" s="1425"/>
      <c r="AD41" s="1422"/>
      <c r="AE41" s="1423"/>
      <c r="AF41" s="1423"/>
      <c r="AG41" s="1424"/>
      <c r="AH41" s="1425"/>
      <c r="AI41" s="1422"/>
      <c r="AJ41" s="1423"/>
      <c r="AK41" s="1423"/>
      <c r="AL41" s="1424"/>
      <c r="AM41" s="1425"/>
      <c r="AN41" s="1422"/>
      <c r="AO41" s="1423"/>
      <c r="AP41" s="1423"/>
      <c r="AQ41" s="1424"/>
      <c r="AR41" s="1425"/>
      <c r="AS41" s="300"/>
      <c r="AT41" s="1423"/>
      <c r="AU41" s="1423"/>
      <c r="AV41" s="1424"/>
      <c r="AW41" s="1425"/>
      <c r="AX41" s="300"/>
      <c r="AY41" s="264"/>
      <c r="AZ41" s="264"/>
      <c r="BA41" s="299"/>
      <c r="BB41" s="330"/>
      <c r="BC41" s="300"/>
      <c r="BD41" s="264"/>
      <c r="BE41" s="264"/>
      <c r="BF41" s="299"/>
      <c r="BG41" s="330"/>
      <c r="BH41" s="300"/>
      <c r="BI41" s="264"/>
      <c r="BJ41" s="264"/>
      <c r="BK41" s="299"/>
      <c r="BL41" s="330"/>
      <c r="BM41" s="300"/>
      <c r="BN41" s="264"/>
      <c r="BO41" s="264"/>
      <c r="BP41" s="299"/>
      <c r="BQ41" s="330"/>
      <c r="BR41" s="330"/>
      <c r="BS41" s="330"/>
      <c r="BT41" s="330"/>
      <c r="BU41" s="330"/>
      <c r="BV41" s="330"/>
      <c r="BW41" s="330"/>
      <c r="BX41" s="330"/>
      <c r="BY41" s="330"/>
      <c r="BZ41" s="330"/>
      <c r="CA41" s="330"/>
      <c r="CB41" s="330"/>
      <c r="CC41" s="330"/>
      <c r="CD41" s="330"/>
      <c r="CE41" s="330"/>
      <c r="CF41" s="330"/>
      <c r="CG41" s="330"/>
      <c r="CH41" s="330"/>
      <c r="CI41" s="330"/>
      <c r="CJ41" s="330"/>
      <c r="CK41" s="330"/>
      <c r="CL41" s="330"/>
      <c r="CM41" s="330"/>
      <c r="CN41" s="330"/>
      <c r="CO41" s="330"/>
      <c r="CP41" s="330"/>
      <c r="CQ41" s="330"/>
      <c r="CR41" s="330"/>
      <c r="CS41" s="330"/>
      <c r="CT41" s="821"/>
      <c r="CU41" s="330"/>
      <c r="CV41" s="330"/>
      <c r="CW41" s="330"/>
      <c r="CX41" s="330"/>
      <c r="CY41" s="330"/>
      <c r="CZ41" s="330"/>
      <c r="DA41" s="330"/>
      <c r="DB41" s="330"/>
      <c r="DC41" s="330"/>
      <c r="DD41" s="330"/>
      <c r="DE41" s="330"/>
      <c r="DF41" s="330"/>
      <c r="DG41" s="330"/>
      <c r="DH41" s="330"/>
      <c r="DI41" s="330"/>
      <c r="DJ41" s="330"/>
      <c r="DK41" s="330"/>
      <c r="DL41" s="330"/>
      <c r="DM41" s="330"/>
      <c r="DN41" s="330"/>
    </row>
    <row r="42" spans="1:118">
      <c r="A42" s="28"/>
      <c r="B42" s="28"/>
      <c r="C42" s="28" t="s">
        <v>447</v>
      </c>
      <c r="D42" s="28"/>
      <c r="E42" s="363">
        <f t="shared" ref="E42:AJ42" si="43">+E35/E40</f>
        <v>0.79878971255673226</v>
      </c>
      <c r="F42" s="364">
        <f t="shared" si="43"/>
        <v>0.77458396369137672</v>
      </c>
      <c r="G42" s="364">
        <f t="shared" si="43"/>
        <v>0.99244712990936557</v>
      </c>
      <c r="H42" s="365">
        <f t="shared" si="43"/>
        <v>0.64199395770392753</v>
      </c>
      <c r="I42" s="366">
        <f t="shared" si="43"/>
        <v>3.2054380664652569</v>
      </c>
      <c r="J42" s="363">
        <f t="shared" si="43"/>
        <v>0.84743202416918428</v>
      </c>
      <c r="K42" s="364">
        <f t="shared" si="43"/>
        <v>0.57703927492447127</v>
      </c>
      <c r="L42" s="364">
        <f t="shared" si="43"/>
        <v>0.91251885369532426</v>
      </c>
      <c r="M42" s="365">
        <f t="shared" si="43"/>
        <v>0.63951734539969829</v>
      </c>
      <c r="N42" s="366">
        <f t="shared" si="43"/>
        <v>2.9743589743589745</v>
      </c>
      <c r="O42" s="363">
        <f t="shared" si="43"/>
        <v>0.74548192771084343</v>
      </c>
      <c r="P42" s="364">
        <f t="shared" si="43"/>
        <v>0.66716867469879515</v>
      </c>
      <c r="Q42" s="364">
        <f t="shared" si="43"/>
        <v>0.58045112781954888</v>
      </c>
      <c r="R42" s="365">
        <f t="shared" si="43"/>
        <v>0.6711711711711712</v>
      </c>
      <c r="S42" s="366">
        <f t="shared" si="43"/>
        <v>2.6631578947368419</v>
      </c>
      <c r="T42" s="363">
        <f t="shared" si="43"/>
        <v>0.23762376237623761</v>
      </c>
      <c r="U42" s="364">
        <f t="shared" si="43"/>
        <v>0.19392523364485981</v>
      </c>
      <c r="V42" s="364">
        <f t="shared" si="43"/>
        <v>0.10618436406067679</v>
      </c>
      <c r="W42" s="365">
        <f t="shared" si="43"/>
        <v>0.16727716727716727</v>
      </c>
      <c r="X42" s="366">
        <f t="shared" si="43"/>
        <v>0.68620268620268621</v>
      </c>
      <c r="Y42" s="363">
        <f t="shared" si="43"/>
        <v>-2.1052631578947368E-2</v>
      </c>
      <c r="Z42" s="364">
        <f t="shared" si="43"/>
        <v>0.38372093023255816</v>
      </c>
      <c r="AA42" s="364">
        <f t="shared" si="43"/>
        <v>0.56976744186046513</v>
      </c>
      <c r="AB42" s="365">
        <f t="shared" si="43"/>
        <v>0.31126596980255516</v>
      </c>
      <c r="AC42" s="366">
        <f t="shared" si="43"/>
        <v>1.2441860465116279</v>
      </c>
      <c r="AD42" s="363">
        <f t="shared" si="43"/>
        <v>-0.21486643437862951</v>
      </c>
      <c r="AE42" s="364">
        <f t="shared" si="43"/>
        <v>0.39351851851851855</v>
      </c>
      <c r="AF42" s="364">
        <f t="shared" si="43"/>
        <v>0.89339513325608344</v>
      </c>
      <c r="AG42" s="365">
        <f t="shared" si="43"/>
        <v>-0.10483870967741936</v>
      </c>
      <c r="AH42" s="366">
        <f t="shared" si="43"/>
        <v>0.96643518518518523</v>
      </c>
      <c r="AI42" s="363">
        <f t="shared" si="43"/>
        <v>0.51095732410611305</v>
      </c>
      <c r="AJ42" s="364">
        <f t="shared" si="43"/>
        <v>0.46064814814814814</v>
      </c>
      <c r="AK42" s="364">
        <f t="shared" ref="AK42:BL42" si="44">+AK35/AK40</f>
        <v>0.41202185792349727</v>
      </c>
      <c r="AL42" s="365">
        <f t="shared" si="44"/>
        <v>0.16666666666666666</v>
      </c>
      <c r="AM42" s="366">
        <f t="shared" si="44"/>
        <v>1.5363941769316909</v>
      </c>
      <c r="AN42" s="363">
        <f t="shared" si="44"/>
        <v>0.33513513513513515</v>
      </c>
      <c r="AO42" s="364">
        <f t="shared" si="44"/>
        <v>-8.6393088552915772E-3</v>
      </c>
      <c r="AP42" s="364">
        <f t="shared" ref="AP42:AR42" si="45">+AP35/AP40</f>
        <v>0.25458468176914778</v>
      </c>
      <c r="AQ42" s="365">
        <f t="shared" si="45"/>
        <v>-4.5258620689655173E-2</v>
      </c>
      <c r="AR42" s="366">
        <f t="shared" si="45"/>
        <v>0.53505933117583604</v>
      </c>
      <c r="AS42" s="363">
        <f t="shared" si="44"/>
        <v>0.45483870967741935</v>
      </c>
      <c r="AT42" s="364">
        <f t="shared" ref="AT42:AW42" si="46">+AT35/AT40</f>
        <v>-0.26709401709401709</v>
      </c>
      <c r="AU42" s="364">
        <f t="shared" si="46"/>
        <v>0.31606217616580312</v>
      </c>
      <c r="AV42" s="365">
        <f t="shared" si="46"/>
        <v>2.2916235780765253</v>
      </c>
      <c r="AW42" s="366">
        <f t="shared" si="46"/>
        <v>2.8387776606954689</v>
      </c>
      <c r="AX42" s="363">
        <f t="shared" si="44"/>
        <v>0.41239740241431172</v>
      </c>
      <c r="AY42" s="364">
        <f t="shared" ca="1" si="44"/>
        <v>0.26331276626244304</v>
      </c>
      <c r="AZ42" s="364">
        <f t="shared" ca="1" si="44"/>
        <v>0.46168414973728367</v>
      </c>
      <c r="BA42" s="365">
        <f t="shared" ca="1" si="44"/>
        <v>0.22406742750760322</v>
      </c>
      <c r="BB42" s="366">
        <f t="shared" ca="1" si="44"/>
        <v>1.3614617459216412</v>
      </c>
      <c r="BC42" s="363">
        <f t="shared" ca="1" si="44"/>
        <v>0.48155115599329812</v>
      </c>
      <c r="BD42" s="364">
        <f t="shared" ca="1" si="44"/>
        <v>0.17703696480459835</v>
      </c>
      <c r="BE42" s="364">
        <f t="shared" ca="1" si="44"/>
        <v>0.31509285160019318</v>
      </c>
      <c r="BF42" s="365">
        <f t="shared" ca="1" si="44"/>
        <v>0.1116776324359703</v>
      </c>
      <c r="BG42" s="366">
        <f t="shared" ca="1" si="44"/>
        <v>1.0853586048340591</v>
      </c>
      <c r="BH42" s="363">
        <f t="shared" ca="1" si="44"/>
        <v>0.3565461743950884</v>
      </c>
      <c r="BI42" s="364">
        <f t="shared" ca="1" si="44"/>
        <v>8.2145921481710571E-2</v>
      </c>
      <c r="BJ42" s="364">
        <f t="shared" ca="1" si="44"/>
        <v>0.3003863232343541</v>
      </c>
      <c r="BK42" s="365">
        <f t="shared" ca="1" si="44"/>
        <v>0.13724982282028808</v>
      </c>
      <c r="BL42" s="366">
        <f t="shared" ca="1" si="44"/>
        <v>0.87632824193144221</v>
      </c>
      <c r="BM42" s="363">
        <f t="shared" ref="BM42:BQ42" ca="1" si="47">+BM35/BM40</f>
        <v>0.27319859591476908</v>
      </c>
      <c r="BN42" s="364">
        <f t="shared" ca="1" si="47"/>
        <v>0.16026343027753964</v>
      </c>
      <c r="BO42" s="364">
        <f t="shared" ca="1" si="47"/>
        <v>0.35307654098086555</v>
      </c>
      <c r="BP42" s="365">
        <f t="shared" ca="1" si="47"/>
        <v>0.19809113376145882</v>
      </c>
      <c r="BQ42" s="366">
        <f t="shared" ca="1" si="47"/>
        <v>0.98462970093463387</v>
      </c>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820"/>
      <c r="CU42" s="28"/>
      <c r="CV42" s="28"/>
      <c r="CW42" s="28"/>
      <c r="CX42" s="28"/>
      <c r="CY42" s="28"/>
      <c r="CZ42" s="28"/>
      <c r="DA42" s="28"/>
      <c r="DB42" s="28"/>
      <c r="DC42" s="28"/>
      <c r="DD42" s="28"/>
      <c r="DE42" s="28"/>
      <c r="DF42" s="28"/>
      <c r="DG42" s="28"/>
      <c r="DH42" s="28"/>
      <c r="DI42" s="28"/>
      <c r="DJ42" s="28"/>
      <c r="DK42" s="28"/>
      <c r="DL42" s="28"/>
      <c r="DM42" s="28"/>
      <c r="DN42" s="28"/>
    </row>
    <row r="43" spans="1:118">
      <c r="A43" s="28"/>
      <c r="B43" s="13"/>
      <c r="C43" s="367" t="s">
        <v>445</v>
      </c>
      <c r="D43" s="368"/>
      <c r="E43" s="591">
        <f t="shared" ref="E43:AJ43" si="48">+E37/E40</f>
        <v>0.91527987897125562</v>
      </c>
      <c r="F43" s="592">
        <f t="shared" si="48"/>
        <v>0.82148260211800306</v>
      </c>
      <c r="G43" s="592">
        <f t="shared" si="48"/>
        <v>0.76132930513595165</v>
      </c>
      <c r="H43" s="593">
        <f t="shared" si="48"/>
        <v>0.66465256797583083</v>
      </c>
      <c r="I43" s="594">
        <f t="shared" si="48"/>
        <v>3.1601208459214503</v>
      </c>
      <c r="J43" s="591">
        <f t="shared" si="48"/>
        <v>0.65558912386706947</v>
      </c>
      <c r="K43" s="592">
        <f t="shared" si="48"/>
        <v>0.68882175226586106</v>
      </c>
      <c r="L43" s="592">
        <f t="shared" si="48"/>
        <v>0.75263951734539969</v>
      </c>
      <c r="M43" s="593">
        <f t="shared" si="48"/>
        <v>0.81297134238310709</v>
      </c>
      <c r="N43" s="594">
        <f t="shared" si="48"/>
        <v>2.9079939668174961</v>
      </c>
      <c r="O43" s="591">
        <f t="shared" si="48"/>
        <v>0.89909638554216864</v>
      </c>
      <c r="P43" s="592">
        <f t="shared" si="48"/>
        <v>0.78765060240963858</v>
      </c>
      <c r="Q43" s="592">
        <f t="shared" si="48"/>
        <v>0.78496240601503764</v>
      </c>
      <c r="R43" s="593">
        <f t="shared" si="48"/>
        <v>0.54054054054054057</v>
      </c>
      <c r="S43" s="594">
        <f t="shared" si="48"/>
        <v>3.0105263157894737</v>
      </c>
      <c r="T43" s="591">
        <f t="shared" si="48"/>
        <v>0.46534653465346537</v>
      </c>
      <c r="U43" s="592">
        <f t="shared" si="48"/>
        <v>0.46612149532710279</v>
      </c>
      <c r="V43" s="592">
        <f t="shared" si="48"/>
        <v>0.53442240373395566</v>
      </c>
      <c r="W43" s="593">
        <f t="shared" si="48"/>
        <v>0.44200244200244199</v>
      </c>
      <c r="X43" s="594">
        <f t="shared" si="48"/>
        <v>1.8901098901098901</v>
      </c>
      <c r="Y43" s="591">
        <f t="shared" si="48"/>
        <v>0.39298245614035088</v>
      </c>
      <c r="Z43" s="592">
        <f t="shared" si="48"/>
        <v>0.3174418604651163</v>
      </c>
      <c r="AA43" s="592">
        <f t="shared" si="48"/>
        <v>0.47790697674418603</v>
      </c>
      <c r="AB43" s="593">
        <f t="shared" si="48"/>
        <v>0.21138211382113822</v>
      </c>
      <c r="AC43" s="594">
        <f t="shared" si="48"/>
        <v>1.3976744186046512</v>
      </c>
      <c r="AD43" s="591">
        <f t="shared" si="48"/>
        <v>0.29965156794425085</v>
      </c>
      <c r="AE43" s="592">
        <f t="shared" si="48"/>
        <v>0.2673611111111111</v>
      </c>
      <c r="AF43" s="592">
        <f t="shared" si="48"/>
        <v>0.50173812282734642</v>
      </c>
      <c r="AG43" s="593">
        <f t="shared" si="48"/>
        <v>0.26843317972350228</v>
      </c>
      <c r="AH43" s="594">
        <f t="shared" si="48"/>
        <v>1.3368055555555556</v>
      </c>
      <c r="AI43" s="591">
        <f t="shared" si="48"/>
        <v>0.34948096885813151</v>
      </c>
      <c r="AJ43" s="592">
        <f t="shared" si="48"/>
        <v>0.3576388888888889</v>
      </c>
      <c r="AK43" s="592">
        <f t="shared" ref="AK43:BL43" si="49">+AK37/AK40</f>
        <v>0.54535519125683063</v>
      </c>
      <c r="AL43" s="593">
        <f t="shared" si="49"/>
        <v>0.15367965367965367</v>
      </c>
      <c r="AM43" s="594">
        <f t="shared" si="49"/>
        <v>1.4031354983202688</v>
      </c>
      <c r="AN43" s="591">
        <f t="shared" si="49"/>
        <v>0.34054054054054056</v>
      </c>
      <c r="AO43" s="592">
        <f t="shared" si="49"/>
        <v>0.35421166306695462</v>
      </c>
      <c r="AP43" s="592">
        <f t="shared" ref="AP43:AR43" si="50">+AP37/AP40</f>
        <v>0.40560949298813376</v>
      </c>
      <c r="AQ43" s="593">
        <f t="shared" si="50"/>
        <v>0.17456896551724138</v>
      </c>
      <c r="AR43" s="594">
        <f t="shared" si="50"/>
        <v>1.2740021574973031</v>
      </c>
      <c r="AS43" s="591">
        <f t="shared" si="49"/>
        <v>0.18494623655913978</v>
      </c>
      <c r="AT43" s="592">
        <f t="shared" ref="AT43:AW43" si="51">+AT37/AT40</f>
        <v>0.21581196581196582</v>
      </c>
      <c r="AU43" s="592">
        <f t="shared" si="51"/>
        <v>0.35958549222797925</v>
      </c>
      <c r="AV43" s="593">
        <f t="shared" si="51"/>
        <v>0.26059979317476734</v>
      </c>
      <c r="AW43" s="594">
        <f t="shared" si="51"/>
        <v>1.0252897787144362</v>
      </c>
      <c r="AX43" s="591">
        <f t="shared" si="49"/>
        <v>0.41239740241431172</v>
      </c>
      <c r="AY43" s="592">
        <f t="shared" ca="1" si="49"/>
        <v>0.26331276626244304</v>
      </c>
      <c r="AZ43" s="592">
        <f t="shared" ca="1" si="49"/>
        <v>0.46168414973728367</v>
      </c>
      <c r="BA43" s="593">
        <f t="shared" ca="1" si="49"/>
        <v>0.22406742750760322</v>
      </c>
      <c r="BB43" s="594">
        <f t="shared" ca="1" si="49"/>
        <v>1.3614617459216412</v>
      </c>
      <c r="BC43" s="591">
        <f t="shared" ca="1" si="49"/>
        <v>0.48155115599329812</v>
      </c>
      <c r="BD43" s="592">
        <f t="shared" ca="1" si="49"/>
        <v>0.17703696480459835</v>
      </c>
      <c r="BE43" s="592">
        <f t="shared" ca="1" si="49"/>
        <v>0.31509285160019318</v>
      </c>
      <c r="BF43" s="593">
        <f t="shared" ca="1" si="49"/>
        <v>0.1116776324359703</v>
      </c>
      <c r="BG43" s="594">
        <f t="shared" ca="1" si="49"/>
        <v>1.0853586048340591</v>
      </c>
      <c r="BH43" s="591">
        <f t="shared" ca="1" si="49"/>
        <v>0.3565461743950884</v>
      </c>
      <c r="BI43" s="592">
        <f t="shared" ca="1" si="49"/>
        <v>8.2145921481710571E-2</v>
      </c>
      <c r="BJ43" s="592">
        <f t="shared" ca="1" si="49"/>
        <v>0.3003863232343541</v>
      </c>
      <c r="BK43" s="593">
        <f t="shared" ca="1" si="49"/>
        <v>0.13724982282028808</v>
      </c>
      <c r="BL43" s="594">
        <f t="shared" ca="1" si="49"/>
        <v>0.87632824193144221</v>
      </c>
      <c r="BM43" s="591">
        <f t="shared" ref="BM43:BQ43" ca="1" si="52">+BM37/BM40</f>
        <v>0.27319859591476908</v>
      </c>
      <c r="BN43" s="592">
        <f t="shared" ca="1" si="52"/>
        <v>0.16026343027753964</v>
      </c>
      <c r="BO43" s="592">
        <f t="shared" ca="1" si="52"/>
        <v>0.35307654098086555</v>
      </c>
      <c r="BP43" s="593">
        <f t="shared" ca="1" si="52"/>
        <v>0.19809113376145882</v>
      </c>
      <c r="BQ43" s="1650">
        <f t="shared" ca="1" si="52"/>
        <v>0.98462970093463387</v>
      </c>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820"/>
      <c r="CU43" s="28"/>
      <c r="CV43" s="28"/>
      <c r="CW43" s="28"/>
      <c r="CX43" s="28"/>
      <c r="CY43" s="28"/>
      <c r="CZ43" s="28"/>
      <c r="DA43" s="28"/>
      <c r="DB43" s="28"/>
      <c r="DC43" s="28"/>
      <c r="DD43" s="28"/>
      <c r="DE43" s="28"/>
      <c r="DF43" s="28"/>
      <c r="DG43" s="28"/>
      <c r="DH43" s="28"/>
      <c r="DI43" s="28"/>
      <c r="DJ43" s="28"/>
      <c r="DK43" s="28"/>
      <c r="DL43" s="28"/>
      <c r="DM43" s="28"/>
      <c r="DN43" s="28"/>
    </row>
    <row r="44" spans="1:118">
      <c r="A44" s="40"/>
      <c r="B44" s="40"/>
      <c r="C44" s="223" t="s">
        <v>309</v>
      </c>
      <c r="D44" s="28"/>
      <c r="E44" s="303"/>
      <c r="F44" s="239"/>
      <c r="G44" s="239"/>
      <c r="H44" s="304"/>
      <c r="I44" s="766"/>
      <c r="J44" s="303">
        <f t="shared" ref="J44:AP44" si="53">J43/E43-1</f>
        <v>-0.2837282464857307</v>
      </c>
      <c r="K44" s="239">
        <f t="shared" si="53"/>
        <v>-0.16148954282185235</v>
      </c>
      <c r="L44" s="239">
        <f t="shared" si="53"/>
        <v>-1.1413967296320271E-2</v>
      </c>
      <c r="M44" s="304">
        <f t="shared" si="53"/>
        <v>0.22315233785822008</v>
      </c>
      <c r="N44" s="767">
        <f t="shared" si="53"/>
        <v>-7.978393593060118E-2</v>
      </c>
      <c r="O44" s="303">
        <f t="shared" si="53"/>
        <v>0.37143273555049694</v>
      </c>
      <c r="P44" s="239">
        <f t="shared" si="53"/>
        <v>0.14347521665609797</v>
      </c>
      <c r="Q44" s="239">
        <f t="shared" si="53"/>
        <v>4.2946042460861644E-2</v>
      </c>
      <c r="R44" s="304">
        <f t="shared" si="53"/>
        <v>-0.33510504939076369</v>
      </c>
      <c r="S44" s="767">
        <f t="shared" si="53"/>
        <v>3.5258790128849249E-2</v>
      </c>
      <c r="T44" s="303">
        <f t="shared" si="53"/>
        <v>-0.48242864487453763</v>
      </c>
      <c r="U44" s="239">
        <f t="shared" si="53"/>
        <v>-0.40821286252926148</v>
      </c>
      <c r="V44" s="239">
        <f t="shared" si="53"/>
        <v>-0.31917452397877299</v>
      </c>
      <c r="W44" s="304">
        <f t="shared" si="53"/>
        <v>-0.18229548229548242</v>
      </c>
      <c r="X44" s="767">
        <f t="shared" si="53"/>
        <v>-0.37216629524321831</v>
      </c>
      <c r="Y44" s="303">
        <f t="shared" si="53"/>
        <v>-0.1555057857409482</v>
      </c>
      <c r="Z44" s="239">
        <f t="shared" si="53"/>
        <v>-0.31897184822521418</v>
      </c>
      <c r="AA44" s="239">
        <f t="shared" si="53"/>
        <v>-0.10575048238042051</v>
      </c>
      <c r="AB44" s="304">
        <f t="shared" si="53"/>
        <v>-0.52176256569195523</v>
      </c>
      <c r="AC44" s="767">
        <f t="shared" si="53"/>
        <v>-0.26053272038939956</v>
      </c>
      <c r="AD44" s="303">
        <f t="shared" si="53"/>
        <v>-0.23749377799900451</v>
      </c>
      <c r="AE44" s="239">
        <f t="shared" si="53"/>
        <v>-0.15776353276353283</v>
      </c>
      <c r="AF44" s="239">
        <f t="shared" si="53"/>
        <v>4.9865658470846563E-2</v>
      </c>
      <c r="AG44" s="304">
        <f t="shared" si="53"/>
        <v>0.26989542715349146</v>
      </c>
      <c r="AH44" s="767">
        <f t="shared" si="53"/>
        <v>-4.355010168238127E-2</v>
      </c>
      <c r="AI44" s="303">
        <f t="shared" si="53"/>
        <v>0.1662911402591134</v>
      </c>
      <c r="AJ44" s="239">
        <f t="shared" si="53"/>
        <v>0.33766233766233777</v>
      </c>
      <c r="AK44" s="239">
        <f t="shared" si="53"/>
        <v>8.6931940080011261E-2</v>
      </c>
      <c r="AL44" s="304">
        <f t="shared" si="53"/>
        <v>-0.42749382234360778</v>
      </c>
      <c r="AM44" s="767">
        <f t="shared" si="53"/>
        <v>4.9618242899317933E-2</v>
      </c>
      <c r="AN44" s="303">
        <f t="shared" si="53"/>
        <v>-2.5582017661225587E-2</v>
      </c>
      <c r="AO44" s="239">
        <f t="shared" si="53"/>
        <v>-9.5829226865734585E-3</v>
      </c>
      <c r="AP44" s="239">
        <f t="shared" si="53"/>
        <v>-0.25624712207586697</v>
      </c>
      <c r="AQ44" s="304">
        <f t="shared" ref="AQ44" si="54">AQ43/AL43-1</f>
        <v>0.13592763477416225</v>
      </c>
      <c r="AR44" s="767">
        <f t="shared" ref="AR44" si="55">AR43/AM43-1</f>
        <v>-9.2031981927301221E-2</v>
      </c>
      <c r="AS44" s="303">
        <f t="shared" ref="AS44:BL44" si="56">AS43/AN43-1</f>
        <v>-0.45690390851681184</v>
      </c>
      <c r="AT44" s="239">
        <f t="shared" si="56"/>
        <v>-0.39072597456743796</v>
      </c>
      <c r="AU44" s="239">
        <f t="shared" ref="AU44" si="57">AU43/AP43-1</f>
        <v>-0.11346874655495542</v>
      </c>
      <c r="AV44" s="304">
        <f t="shared" ref="AV44" si="58">AV43/AQ43-1</f>
        <v>0.49281856830977833</v>
      </c>
      <c r="AW44" s="767">
        <f t="shared" ref="AW44" si="59">AW43/AR43-1</f>
        <v>-0.19522131679230958</v>
      </c>
      <c r="AX44" s="303">
        <f t="shared" si="56"/>
        <v>1.229823164216918</v>
      </c>
      <c r="AY44" s="239">
        <f t="shared" ca="1" si="56"/>
        <v>0.22010271891904298</v>
      </c>
      <c r="AZ44" s="239">
        <f t="shared" ca="1" si="56"/>
        <v>0.28393430690627897</v>
      </c>
      <c r="BA44" s="304">
        <f t="shared" ca="1" si="56"/>
        <v>-0.14018570476249081</v>
      </c>
      <c r="BB44" s="767">
        <f t="shared" ca="1" si="56"/>
        <v>0.3278799556830807</v>
      </c>
      <c r="BC44" s="303">
        <f t="shared" ca="1" si="56"/>
        <v>0.1676871706129508</v>
      </c>
      <c r="BD44" s="239">
        <f t="shared" ca="1" si="56"/>
        <v>-0.32765521657941132</v>
      </c>
      <c r="BE44" s="239">
        <f t="shared" ca="1" si="56"/>
        <v>-0.31751425345770845</v>
      </c>
      <c r="BF44" s="304">
        <f t="shared" ca="1" si="56"/>
        <v>-0.50158917037515072</v>
      </c>
      <c r="BG44" s="767">
        <f t="shared" ca="1" si="56"/>
        <v>-0.20279904442021179</v>
      </c>
      <c r="BH44" s="303">
        <f t="shared" ca="1" si="56"/>
        <v>-0.25958816637115378</v>
      </c>
      <c r="BI44" s="239">
        <f t="shared" ca="1" si="56"/>
        <v>-0.53599565168563645</v>
      </c>
      <c r="BJ44" s="239">
        <f t="shared" ca="1" si="56"/>
        <v>-4.6673633791284863E-2</v>
      </c>
      <c r="BK44" s="304">
        <f t="shared" ca="1" si="56"/>
        <v>0.22898220374594214</v>
      </c>
      <c r="BL44" s="767">
        <f t="shared" ca="1" si="56"/>
        <v>-0.19259105881836691</v>
      </c>
      <c r="BM44" s="303">
        <f t="shared" ref="BM44" ca="1" si="60">BM43/BH43-1</f>
        <v>-0.23376377161170148</v>
      </c>
      <c r="BN44" s="239">
        <f t="shared" ref="BN44" ca="1" si="61">BN43/BI43-1</f>
        <v>0.95096028368519292</v>
      </c>
      <c r="BO44" s="239">
        <f t="shared" ref="BO44" ca="1" si="62">BO43/BJ43-1</f>
        <v>0.17540817830578725</v>
      </c>
      <c r="BP44" s="304">
        <f t="shared" ref="BP44" ca="1" si="63">BP43/BK43-1</f>
        <v>0.44328881226196559</v>
      </c>
      <c r="BQ44" s="767">
        <f t="shared" ref="BQ44" ca="1" si="64">BQ43/BL43-1</f>
        <v>0.12358549436281252</v>
      </c>
      <c r="BR44" s="40"/>
      <c r="BS44" s="40"/>
      <c r="BT44" s="40"/>
      <c r="BU44" s="232"/>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823"/>
      <c r="CU44" s="232"/>
      <c r="CV44" s="232"/>
      <c r="CW44" s="232"/>
      <c r="CX44" s="232"/>
      <c r="CY44" s="232"/>
      <c r="CZ44" s="40"/>
      <c r="DA44" s="40"/>
      <c r="DB44" s="40"/>
      <c r="DC44" s="40"/>
      <c r="DD44" s="40"/>
      <c r="DE44" s="40"/>
      <c r="DF44" s="232"/>
      <c r="DG44" s="232"/>
      <c r="DH44" s="232"/>
      <c r="DI44" s="232"/>
      <c r="DJ44" s="232"/>
      <c r="DK44" s="232"/>
      <c r="DL44" s="232"/>
      <c r="DM44" s="232"/>
      <c r="DN44" s="232"/>
    </row>
    <row r="45" spans="1:118">
      <c r="A45" s="40"/>
      <c r="B45" s="40"/>
      <c r="C45" s="223"/>
      <c r="D45" s="28"/>
      <c r="E45" s="303"/>
      <c r="F45" s="239"/>
      <c r="G45" s="239"/>
      <c r="H45" s="304"/>
      <c r="I45" s="766"/>
      <c r="J45" s="303"/>
      <c r="K45" s="239"/>
      <c r="L45" s="239"/>
      <c r="M45" s="304"/>
      <c r="N45" s="767"/>
      <c r="O45" s="303"/>
      <c r="P45" s="239"/>
      <c r="Q45" s="239"/>
      <c r="R45" s="304"/>
      <c r="S45" s="767"/>
      <c r="T45" s="303"/>
      <c r="U45" s="239"/>
      <c r="V45" s="239"/>
      <c r="W45" s="304"/>
      <c r="X45" s="767"/>
      <c r="Y45" s="303"/>
      <c r="Z45" s="239"/>
      <c r="AA45" s="239"/>
      <c r="AB45" s="304"/>
      <c r="AC45" s="767"/>
      <c r="AD45" s="303"/>
      <c r="AE45" s="239"/>
      <c r="AF45" s="239"/>
      <c r="AG45" s="304"/>
      <c r="AH45" s="767"/>
      <c r="AI45" s="303"/>
      <c r="AJ45" s="239"/>
      <c r="AK45" s="239"/>
      <c r="AL45" s="304"/>
      <c r="AM45" s="767"/>
      <c r="AN45" s="303"/>
      <c r="AO45" s="239"/>
      <c r="AP45" s="239"/>
      <c r="AQ45" s="304"/>
      <c r="AR45" s="767"/>
      <c r="AS45" s="303"/>
      <c r="AT45" s="239"/>
      <c r="AU45" s="239"/>
      <c r="AV45" s="304"/>
      <c r="AW45" s="767"/>
      <c r="AX45" s="2290"/>
      <c r="AY45" s="2291"/>
      <c r="AZ45" s="2291"/>
      <c r="BA45" s="2292"/>
      <c r="BB45" s="2301"/>
      <c r="BC45" s="2290"/>
      <c r="BD45" s="2291"/>
      <c r="BE45" s="2291"/>
      <c r="BF45" s="2292"/>
      <c r="BG45" s="2301"/>
      <c r="BH45" s="2290"/>
      <c r="BI45" s="2291"/>
      <c r="BJ45" s="2291"/>
      <c r="BK45" s="2292"/>
      <c r="BL45" s="2301"/>
      <c r="BM45" s="2290"/>
      <c r="BN45" s="2291"/>
      <c r="BO45" s="2291"/>
      <c r="BP45" s="2292"/>
      <c r="BQ45" s="2301"/>
      <c r="BR45" s="40"/>
      <c r="BS45" s="40"/>
      <c r="BT45" s="40"/>
      <c r="BU45" s="232"/>
      <c r="BV45" s="40"/>
      <c r="BW45" s="40"/>
      <c r="BX45" s="40"/>
      <c r="BY45" s="40"/>
      <c r="BZ45" s="40"/>
      <c r="CA45" s="40"/>
      <c r="CB45" s="40"/>
      <c r="CC45" s="40"/>
      <c r="CD45" s="40"/>
      <c r="CE45" s="40"/>
      <c r="CF45" s="40"/>
      <c r="CG45" s="40"/>
      <c r="CH45" s="40"/>
      <c r="CI45" s="40"/>
      <c r="CJ45" s="40"/>
      <c r="CK45" s="40"/>
      <c r="CL45" s="40"/>
      <c r="CM45" s="40"/>
      <c r="CN45" s="40"/>
      <c r="CO45" s="40"/>
      <c r="CP45" s="40"/>
      <c r="CQ45" s="40"/>
      <c r="CR45" s="40"/>
      <c r="CS45" s="40"/>
      <c r="CT45" s="823"/>
      <c r="CU45" s="232"/>
      <c r="CV45" s="232"/>
      <c r="CW45" s="232"/>
      <c r="CX45" s="232"/>
      <c r="CY45" s="232"/>
      <c r="CZ45" s="40"/>
      <c r="DA45" s="40"/>
      <c r="DB45" s="40"/>
      <c r="DC45" s="40"/>
      <c r="DD45" s="40"/>
      <c r="DE45" s="40"/>
      <c r="DF45" s="232"/>
      <c r="DG45" s="232"/>
      <c r="DH45" s="232"/>
      <c r="DI45" s="232"/>
      <c r="DJ45" s="232"/>
      <c r="DK45" s="232"/>
      <c r="DL45" s="232"/>
      <c r="DM45" s="232"/>
      <c r="DN45" s="232"/>
    </row>
    <row r="46" spans="1:118">
      <c r="A46" s="40"/>
      <c r="B46" s="40"/>
      <c r="C46" s="1289" t="s">
        <v>1223</v>
      </c>
      <c r="D46" s="1289"/>
      <c r="E46" s="1292"/>
      <c r="F46" s="1293"/>
      <c r="G46" s="1293"/>
      <c r="H46" s="1294"/>
      <c r="I46" s="1288"/>
      <c r="J46" s="1292"/>
      <c r="K46" s="1293"/>
      <c r="L46" s="1293"/>
      <c r="M46" s="1294"/>
      <c r="N46" s="1288"/>
      <c r="O46" s="1292"/>
      <c r="P46" s="1293"/>
      <c r="Q46" s="1293"/>
      <c r="R46" s="1294"/>
      <c r="S46" s="1288"/>
      <c r="T46" s="1292"/>
      <c r="U46" s="1293"/>
      <c r="V46" s="1293"/>
      <c r="W46" s="1294"/>
      <c r="X46" s="1288"/>
      <c r="Y46" s="1292"/>
      <c r="Z46" s="1293"/>
      <c r="AA46" s="1524"/>
      <c r="AB46" s="1525"/>
      <c r="AC46" s="1526"/>
      <c r="AD46" s="1292"/>
      <c r="AE46" s="1293"/>
      <c r="AF46" s="1293"/>
      <c r="AG46" s="1294"/>
      <c r="AH46" s="1288"/>
      <c r="AI46" s="303"/>
      <c r="AJ46" s="239"/>
      <c r="AK46" s="239"/>
      <c r="AL46" s="304"/>
      <c r="AM46" s="1288"/>
      <c r="AN46" s="303"/>
      <c r="AO46" s="239"/>
      <c r="AP46" s="239"/>
      <c r="AQ46" s="304"/>
      <c r="AS46" s="303"/>
      <c r="AT46" s="239"/>
      <c r="AU46" s="239"/>
      <c r="AV46" s="304"/>
      <c r="AX46" s="303"/>
      <c r="AY46" s="239"/>
      <c r="AZ46" s="239"/>
      <c r="BA46" s="304"/>
      <c r="BB46" s="1288">
        <v>1.35</v>
      </c>
      <c r="BC46" s="303"/>
      <c r="BD46" s="239"/>
      <c r="BE46" s="239"/>
      <c r="BF46" s="304"/>
      <c r="BG46" s="767"/>
      <c r="BH46" s="303"/>
      <c r="BI46" s="239"/>
      <c r="BJ46" s="239"/>
      <c r="BK46" s="304"/>
      <c r="BL46" s="767"/>
      <c r="BM46" s="303"/>
      <c r="BN46" s="239"/>
      <c r="BO46" s="239"/>
      <c r="BP46" s="304"/>
      <c r="BQ46" s="767"/>
      <c r="BR46" s="40"/>
      <c r="BS46" s="40"/>
      <c r="BT46" s="40"/>
      <c r="BU46" s="232"/>
      <c r="BV46" s="40"/>
      <c r="BW46" s="40"/>
      <c r="BX46" s="40"/>
      <c r="BY46" s="40"/>
      <c r="BZ46" s="40"/>
      <c r="CA46" s="40"/>
      <c r="CB46" s="40"/>
      <c r="CC46" s="40"/>
      <c r="CD46" s="40"/>
      <c r="CE46" s="40"/>
      <c r="CF46" s="40"/>
      <c r="CG46" s="40"/>
      <c r="CH46" s="40"/>
      <c r="CI46" s="40"/>
      <c r="CJ46" s="40"/>
      <c r="CK46" s="40"/>
      <c r="CL46" s="40"/>
      <c r="CM46" s="40"/>
      <c r="CN46" s="40"/>
      <c r="CO46" s="40"/>
      <c r="CP46" s="40"/>
      <c r="CQ46" s="40"/>
      <c r="CR46" s="40"/>
      <c r="CS46" s="40"/>
      <c r="CT46" s="823"/>
      <c r="CU46" s="232"/>
      <c r="CV46" s="232"/>
      <c r="CW46" s="232"/>
      <c r="CX46" s="232"/>
      <c r="CY46" s="232"/>
      <c r="CZ46" s="40"/>
      <c r="DA46" s="40"/>
      <c r="DB46" s="40"/>
      <c r="DC46" s="40"/>
      <c r="DD46" s="40"/>
      <c r="DE46" s="40"/>
      <c r="DF46" s="232"/>
      <c r="DG46" s="232"/>
      <c r="DH46" s="232"/>
      <c r="DI46" s="232"/>
      <c r="DJ46" s="232"/>
      <c r="DK46" s="232"/>
      <c r="DL46" s="232"/>
      <c r="DM46" s="232"/>
      <c r="DN46" s="232"/>
    </row>
    <row r="47" spans="1:118">
      <c r="A47" s="40"/>
      <c r="B47" s="40"/>
      <c r="C47" s="1289" t="s">
        <v>1224</v>
      </c>
      <c r="D47" s="1295"/>
      <c r="E47" s="1296"/>
      <c r="F47" s="1297"/>
      <c r="G47" s="1297"/>
      <c r="H47" s="1298"/>
      <c r="I47" s="1299"/>
      <c r="J47" s="1296"/>
      <c r="K47" s="1297"/>
      <c r="L47" s="1297"/>
      <c r="M47" s="1298"/>
      <c r="N47" s="1299"/>
      <c r="O47" s="1296"/>
      <c r="P47" s="1297"/>
      <c r="Q47" s="1297"/>
      <c r="R47" s="1298"/>
      <c r="S47" s="1299"/>
      <c r="T47" s="1296"/>
      <c r="U47" s="1297"/>
      <c r="V47" s="1293"/>
      <c r="W47" s="1294"/>
      <c r="X47" s="1288"/>
      <c r="Y47" s="1292"/>
      <c r="Z47" s="1293"/>
      <c r="AA47" s="1524"/>
      <c r="AB47" s="1525"/>
      <c r="AC47" s="1526"/>
      <c r="AD47" s="1292"/>
      <c r="AE47" s="1293"/>
      <c r="AF47" s="1293"/>
      <c r="AG47" s="1294"/>
      <c r="AH47" s="1288"/>
      <c r="AI47" s="303"/>
      <c r="AJ47" s="239"/>
      <c r="AK47" s="239"/>
      <c r="AL47" s="304"/>
      <c r="AM47" s="1288"/>
      <c r="AN47" s="303"/>
      <c r="AO47" s="239"/>
      <c r="AP47" s="239"/>
      <c r="AQ47" s="304"/>
      <c r="AS47" s="303"/>
      <c r="AT47" s="239"/>
      <c r="AU47" s="239"/>
      <c r="AV47" s="304"/>
      <c r="AX47" s="303"/>
      <c r="AY47" s="239"/>
      <c r="AZ47" s="239"/>
      <c r="BA47" s="304"/>
      <c r="BB47" s="1288">
        <v>1.45</v>
      </c>
      <c r="BC47" s="2290"/>
      <c r="BD47" s="2291"/>
      <c r="BE47" s="2291"/>
      <c r="BF47" s="2292"/>
      <c r="BG47" s="767"/>
      <c r="BH47" s="2290"/>
      <c r="BI47" s="2291"/>
      <c r="BJ47" s="2291"/>
      <c r="BK47" s="2292"/>
      <c r="BL47" s="767"/>
      <c r="BM47" s="2290"/>
      <c r="BN47" s="2291"/>
      <c r="BO47" s="2291"/>
      <c r="BP47" s="2292"/>
      <c r="BQ47" s="767"/>
      <c r="BR47" s="40"/>
      <c r="BS47" s="40"/>
      <c r="BT47" s="40"/>
      <c r="BU47" s="232"/>
      <c r="BV47" s="40"/>
      <c r="BW47" s="40"/>
      <c r="BX47" s="40"/>
      <c r="BY47" s="40"/>
      <c r="BZ47" s="40"/>
      <c r="CA47" s="40"/>
      <c r="CB47" s="40"/>
      <c r="CC47" s="40"/>
      <c r="CD47" s="40"/>
      <c r="CE47" s="40"/>
      <c r="CF47" s="40"/>
      <c r="CG47" s="40"/>
      <c r="CH47" s="40"/>
      <c r="CI47" s="40"/>
      <c r="CJ47" s="40"/>
      <c r="CK47" s="40"/>
      <c r="CL47" s="40"/>
      <c r="CM47" s="40"/>
      <c r="CN47" s="40"/>
      <c r="CO47" s="40"/>
      <c r="CP47" s="40"/>
      <c r="CQ47" s="40"/>
      <c r="CR47" s="40"/>
      <c r="CS47" s="40"/>
      <c r="CT47" s="823"/>
      <c r="CU47" s="232"/>
      <c r="CV47" s="232"/>
      <c r="CW47" s="232"/>
      <c r="CX47" s="232"/>
      <c r="CY47" s="232"/>
      <c r="CZ47" s="40"/>
      <c r="DA47" s="40"/>
      <c r="DB47" s="40"/>
      <c r="DC47" s="40"/>
      <c r="DD47" s="40"/>
      <c r="DE47" s="40"/>
      <c r="DF47" s="232"/>
      <c r="DG47" s="232"/>
      <c r="DH47" s="232"/>
      <c r="DI47" s="232"/>
      <c r="DJ47" s="232"/>
      <c r="DK47" s="232"/>
      <c r="DL47" s="232"/>
      <c r="DM47" s="232"/>
      <c r="DN47" s="232"/>
    </row>
    <row r="48" spans="1:118">
      <c r="A48" s="40"/>
      <c r="B48" s="40"/>
      <c r="C48" s="793"/>
      <c r="D48" s="793"/>
      <c r="E48" s="794"/>
      <c r="F48" s="795"/>
      <c r="G48" s="795"/>
      <c r="H48" s="796"/>
      <c r="I48" s="797"/>
      <c r="J48" s="794"/>
      <c r="K48" s="795"/>
      <c r="L48" s="795"/>
      <c r="M48" s="796"/>
      <c r="N48" s="797"/>
      <c r="O48" s="794"/>
      <c r="P48" s="795"/>
      <c r="Q48" s="795"/>
      <c r="R48" s="796"/>
      <c r="S48" s="797"/>
      <c r="T48" s="794"/>
      <c r="U48" s="795"/>
      <c r="V48" s="239"/>
      <c r="W48" s="304"/>
      <c r="X48" s="1158"/>
      <c r="Y48" s="303"/>
      <c r="Z48" s="239"/>
      <c r="AA48" s="239"/>
      <c r="AB48" s="304"/>
      <c r="AC48" s="767"/>
      <c r="AD48" s="303"/>
      <c r="AE48" s="239"/>
      <c r="AF48" s="239"/>
      <c r="AG48" s="304"/>
      <c r="AH48" s="767"/>
      <c r="AI48" s="303"/>
      <c r="AJ48" s="239"/>
      <c r="AK48" s="239"/>
      <c r="AL48" s="304"/>
      <c r="AM48" s="767"/>
      <c r="AN48" s="303"/>
      <c r="AO48" s="239"/>
      <c r="AP48" s="239"/>
      <c r="AQ48" s="304"/>
      <c r="AR48" s="767"/>
      <c r="AS48" s="303"/>
      <c r="AT48" s="239"/>
      <c r="AU48" s="239"/>
      <c r="AV48" s="304"/>
      <c r="AW48" s="767"/>
      <c r="AX48" s="303"/>
      <c r="AY48" s="239"/>
      <c r="AZ48" s="239"/>
      <c r="BA48" s="304"/>
      <c r="BB48" s="767"/>
      <c r="BC48" s="303"/>
      <c r="BD48" s="239"/>
      <c r="BE48" s="239"/>
      <c r="BF48" s="304"/>
      <c r="BG48" s="767"/>
      <c r="BH48" s="303"/>
      <c r="BI48" s="239"/>
      <c r="BJ48" s="239"/>
      <c r="BK48" s="304"/>
      <c r="BL48" s="767"/>
      <c r="BM48" s="303"/>
      <c r="BN48" s="239"/>
      <c r="BO48" s="239"/>
      <c r="BP48" s="304"/>
      <c r="BQ48" s="767"/>
      <c r="BR48" s="40"/>
      <c r="BS48" s="40"/>
      <c r="BT48" s="40"/>
      <c r="BU48" s="232"/>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823"/>
      <c r="CU48" s="232"/>
      <c r="CV48" s="232"/>
      <c r="CW48" s="232"/>
      <c r="CX48" s="232"/>
      <c r="CY48" s="232"/>
      <c r="CZ48" s="40"/>
      <c r="DA48" s="40"/>
      <c r="DB48" s="40"/>
      <c r="DC48" s="40"/>
      <c r="DD48" s="40"/>
      <c r="DE48" s="40"/>
      <c r="DF48" s="232"/>
      <c r="DG48" s="232"/>
      <c r="DH48" s="232"/>
      <c r="DI48" s="232"/>
      <c r="DJ48" s="232"/>
      <c r="DK48" s="232"/>
      <c r="DL48" s="232"/>
      <c r="DM48" s="232"/>
      <c r="DN48" s="232"/>
    </row>
    <row r="49" spans="1:118">
      <c r="A49" s="40"/>
      <c r="B49" s="73" t="s">
        <v>443</v>
      </c>
      <c r="C49" s="211"/>
      <c r="D49" s="211"/>
      <c r="E49" s="271"/>
      <c r="F49" s="17"/>
      <c r="G49" s="17"/>
      <c r="H49" s="272"/>
      <c r="I49" s="26"/>
      <c r="J49" s="271"/>
      <c r="K49" s="17"/>
      <c r="L49" s="17"/>
      <c r="M49" s="272"/>
      <c r="N49" s="26"/>
      <c r="O49" s="271"/>
      <c r="P49" s="17"/>
      <c r="Q49" s="17"/>
      <c r="R49" s="272"/>
      <c r="S49" s="26"/>
      <c r="T49" s="271"/>
      <c r="U49" s="17"/>
      <c r="V49" s="17"/>
      <c r="W49" s="272"/>
      <c r="X49" s="26"/>
      <c r="Y49" s="271"/>
      <c r="Z49" s="17"/>
      <c r="AA49" s="17"/>
      <c r="AB49" s="272"/>
      <c r="AC49" s="26"/>
      <c r="AD49" s="271"/>
      <c r="AE49" s="17"/>
      <c r="AF49" s="17"/>
      <c r="AG49" s="272"/>
      <c r="AH49" s="26"/>
      <c r="AI49" s="271"/>
      <c r="AJ49" s="17"/>
      <c r="AK49" s="17"/>
      <c r="AL49" s="272"/>
      <c r="AM49" s="26"/>
      <c r="AN49" s="271"/>
      <c r="AO49" s="17"/>
      <c r="AP49" s="17"/>
      <c r="AQ49" s="272"/>
      <c r="AR49" s="26"/>
      <c r="AS49" s="271"/>
      <c r="AT49" s="17"/>
      <c r="AU49" s="17"/>
      <c r="AV49" s="272"/>
      <c r="AW49" s="26"/>
      <c r="AX49" s="271"/>
      <c r="AY49" s="17"/>
      <c r="AZ49" s="17"/>
      <c r="BA49" s="272"/>
      <c r="BB49" s="26"/>
      <c r="BC49" s="271"/>
      <c r="BD49" s="17"/>
      <c r="BE49" s="17"/>
      <c r="BF49" s="272"/>
      <c r="BG49" s="26"/>
      <c r="BH49" s="271"/>
      <c r="BI49" s="17"/>
      <c r="BJ49" s="17"/>
      <c r="BK49" s="272"/>
      <c r="BL49" s="26"/>
      <c r="BM49" s="271"/>
      <c r="BN49" s="17"/>
      <c r="BO49" s="17"/>
      <c r="BP49" s="272"/>
      <c r="BQ49" s="26"/>
      <c r="BR49" s="40"/>
      <c r="BS49" s="40"/>
      <c r="BT49" s="40"/>
      <c r="BW49" s="40"/>
      <c r="BX49" s="40"/>
      <c r="BY49" s="40"/>
      <c r="BZ49" s="40"/>
      <c r="CA49" s="40"/>
      <c r="CB49" s="40"/>
      <c r="CC49" s="40"/>
      <c r="CD49" s="40"/>
      <c r="CE49" s="40"/>
      <c r="CF49" s="40"/>
      <c r="CG49" s="40"/>
      <c r="CH49" s="40"/>
      <c r="CI49" s="40"/>
      <c r="CJ49" s="40"/>
      <c r="CK49" s="40"/>
      <c r="CL49" s="40"/>
      <c r="CM49" s="40"/>
      <c r="CN49" s="40"/>
      <c r="CO49" s="40"/>
      <c r="CP49" s="40"/>
      <c r="CQ49" s="40"/>
      <c r="CR49" s="40"/>
      <c r="CS49" s="40"/>
      <c r="CT49" s="823"/>
      <c r="CU49" s="232"/>
      <c r="CV49" s="232"/>
      <c r="CW49" s="232"/>
      <c r="CX49" s="232"/>
      <c r="CY49" s="232"/>
      <c r="CZ49" s="40"/>
      <c r="DA49" s="40"/>
      <c r="DB49" s="40"/>
      <c r="DC49" s="40"/>
      <c r="DD49" s="40"/>
      <c r="DE49" s="40"/>
      <c r="DF49" s="232"/>
      <c r="DG49" s="232"/>
      <c r="DH49" s="232"/>
      <c r="DI49" s="232"/>
      <c r="DJ49" s="232"/>
      <c r="DK49" s="232"/>
      <c r="DL49" s="232"/>
      <c r="DM49" s="232"/>
      <c r="DN49" s="232"/>
    </row>
    <row r="50" spans="1:118">
      <c r="A50" s="40"/>
      <c r="B50" s="1"/>
      <c r="C50" s="559"/>
      <c r="D50" s="380"/>
      <c r="E50" s="560"/>
      <c r="F50" s="561"/>
      <c r="G50" s="561"/>
      <c r="H50" s="562"/>
      <c r="I50" s="380"/>
      <c r="J50" s="560"/>
      <c r="K50" s="561"/>
      <c r="L50" s="561"/>
      <c r="M50" s="562"/>
      <c r="N50" s="380"/>
      <c r="O50" s="560"/>
      <c r="P50" s="561"/>
      <c r="Q50" s="561"/>
      <c r="R50" s="562"/>
      <c r="S50" s="380"/>
      <c r="T50" s="560"/>
      <c r="U50" s="561"/>
      <c r="V50" s="561"/>
      <c r="W50" s="562"/>
      <c r="X50" s="380"/>
      <c r="Y50" s="560"/>
      <c r="Z50" s="561"/>
      <c r="AA50" s="561"/>
      <c r="AB50" s="562"/>
      <c r="AC50" s="380"/>
      <c r="AD50" s="560"/>
      <c r="AE50" s="561"/>
      <c r="AF50" s="561"/>
      <c r="AG50" s="562"/>
      <c r="AH50" s="380"/>
      <c r="AI50" s="560"/>
      <c r="AJ50" s="561"/>
      <c r="AK50" s="561"/>
      <c r="AL50" s="562"/>
      <c r="AM50" s="380"/>
      <c r="AN50" s="560"/>
      <c r="AO50" s="561"/>
      <c r="AP50" s="561"/>
      <c r="AQ50" s="562"/>
      <c r="AR50" s="380"/>
      <c r="AS50" s="560"/>
      <c r="AT50" s="561"/>
      <c r="AU50" s="561"/>
      <c r="AV50" s="562"/>
      <c r="AW50" s="380"/>
      <c r="AX50" s="560"/>
      <c r="AY50" s="561"/>
      <c r="AZ50" s="561"/>
      <c r="BA50" s="562"/>
      <c r="BB50" s="380"/>
      <c r="BC50" s="560"/>
      <c r="BD50" s="561"/>
      <c r="BE50" s="561"/>
      <c r="BF50" s="562"/>
      <c r="BG50" s="380"/>
      <c r="BH50" s="560"/>
      <c r="BI50" s="561"/>
      <c r="BJ50" s="561"/>
      <c r="BK50" s="562"/>
      <c r="BL50" s="380"/>
      <c r="BM50" s="560"/>
      <c r="BN50" s="561"/>
      <c r="BO50" s="561"/>
      <c r="BP50" s="562"/>
      <c r="BQ50" s="538"/>
      <c r="BR50" s="40"/>
      <c r="BS50" s="40"/>
      <c r="BT50" s="40"/>
      <c r="BW50" s="40"/>
      <c r="BX50" s="40"/>
      <c r="BY50" s="40"/>
      <c r="BZ50" s="40"/>
      <c r="CA50" s="40"/>
      <c r="CB50" s="40"/>
      <c r="CC50" s="40"/>
      <c r="CD50" s="40"/>
      <c r="CE50" s="40"/>
      <c r="CF50" s="40"/>
      <c r="CG50" s="40"/>
      <c r="CH50" s="40"/>
      <c r="CI50" s="40"/>
      <c r="CJ50" s="40"/>
      <c r="CK50" s="40"/>
      <c r="CL50" s="40"/>
      <c r="CM50" s="40"/>
      <c r="CN50" s="40"/>
      <c r="CO50" s="40"/>
      <c r="CP50" s="40"/>
      <c r="CQ50" s="40"/>
      <c r="CR50" s="40"/>
      <c r="CS50" s="40"/>
      <c r="CT50" s="823"/>
      <c r="CU50" s="232"/>
      <c r="CV50" s="232"/>
      <c r="CW50" s="232"/>
      <c r="CX50" s="232"/>
      <c r="CY50" s="232"/>
      <c r="CZ50" s="40"/>
      <c r="DA50" s="40"/>
      <c r="DB50" s="40"/>
      <c r="DC50" s="40"/>
      <c r="DD50" s="40"/>
      <c r="DE50" s="40"/>
      <c r="DF50" s="232"/>
      <c r="DG50" s="232"/>
      <c r="DH50" s="232"/>
      <c r="DI50" s="232"/>
      <c r="DJ50" s="232"/>
      <c r="DK50" s="232"/>
      <c r="DL50" s="232"/>
      <c r="DM50" s="232"/>
      <c r="DN50" s="232"/>
    </row>
    <row r="51" spans="1:118">
      <c r="A51" s="40"/>
      <c r="B51" s="1"/>
      <c r="C51" s="1357" t="s">
        <v>163</v>
      </c>
      <c r="D51" s="1"/>
      <c r="E51" s="273"/>
      <c r="F51" s="3"/>
      <c r="G51" s="3"/>
      <c r="H51" s="274"/>
      <c r="I51" s="1"/>
      <c r="J51" s="273"/>
      <c r="K51" s="3"/>
      <c r="L51" s="3"/>
      <c r="M51" s="274"/>
      <c r="N51" s="430"/>
      <c r="O51" s="399"/>
      <c r="P51" s="361"/>
      <c r="Q51" s="361"/>
      <c r="R51" s="362"/>
      <c r="S51" s="1"/>
      <c r="T51" s="363"/>
      <c r="U51" s="364"/>
      <c r="V51" s="364"/>
      <c r="W51" s="365"/>
      <c r="X51" s="432"/>
      <c r="Y51" s="363">
        <f>'Market Prices'!S8+Y54</f>
        <v>3.4791000000000003</v>
      </c>
      <c r="Z51" s="364">
        <f>'Market Prices'!T8+Z54</f>
        <v>4.0243281250000011</v>
      </c>
      <c r="AA51" s="364">
        <f>'Market Prices'!U8+AA54</f>
        <v>3.5578281250000003</v>
      </c>
      <c r="AB51" s="365">
        <f>'Market Prices'!V8+AB54</f>
        <v>3.8364218749999996</v>
      </c>
      <c r="AC51" s="432">
        <f>AVERAGE(Y51:AB51)</f>
        <v>3.7244195312500001</v>
      </c>
      <c r="AD51" s="363">
        <f>'Market Prices'!W8+AD54</f>
        <v>5.1762950819672131</v>
      </c>
      <c r="AE51" s="364">
        <f>'Market Prices'!Y8+AE54</f>
        <v>3.9690625000000006</v>
      </c>
      <c r="AF51" s="364">
        <f>'Market Prices'!Y8+AF54</f>
        <v>3.9690625000000006</v>
      </c>
      <c r="AG51" s="365">
        <f>'Market Prices'!Z8+AG54</f>
        <v>3.7758906249999988</v>
      </c>
      <c r="AH51" s="432">
        <f>AVERAGE(AD51:AG51)</f>
        <v>4.2225776767418033</v>
      </c>
      <c r="AI51" s="363">
        <f>'Market Prices'!AA8+AI54</f>
        <v>2.8932580645161292</v>
      </c>
      <c r="AJ51" s="364">
        <f>'Market Prices'!AB8+AJ54</f>
        <v>2.7407301587301576</v>
      </c>
      <c r="AK51" s="364">
        <f>'Market Prices'!AC8+AK54</f>
        <v>2.7644218749999996</v>
      </c>
      <c r="AL51" s="365">
        <f>'Market Prices'!AD8+AL54</f>
        <v>2.1331111111111114</v>
      </c>
      <c r="AM51" s="432">
        <f>AVERAGE(AI51:AL51)</f>
        <v>2.6328803023393492</v>
      </c>
      <c r="AN51" s="363">
        <f>'Market Prices'!AE8+AN54</f>
        <v>1.9876885245901643</v>
      </c>
      <c r="AO51" s="364">
        <f>'Market Prices'!AF8+AO54</f>
        <v>2.135984375</v>
      </c>
      <c r="AP51" s="364">
        <f>'Market Prices'!AG8+AP54</f>
        <v>2.8751562499999994</v>
      </c>
      <c r="AQ51" s="365">
        <f>'Market Prices'!AH8+AQ54</f>
        <v>3.0312419354838709</v>
      </c>
      <c r="AR51" s="432">
        <f>AVERAGE(AN51:AQ51)</f>
        <v>2.5075177712685086</v>
      </c>
      <c r="AS51" s="363">
        <f>'Market Prices'!AI8+AS54</f>
        <v>3.0098387096774188</v>
      </c>
      <c r="AT51" s="364">
        <f>'Market Prices'!AJ8+AT54</f>
        <v>3.076171875</v>
      </c>
      <c r="AU51" s="364">
        <f>'Market Prices'!AK8+AU54</f>
        <v>2.9540158730158725</v>
      </c>
      <c r="AV51" s="365">
        <f>'Market Prices'!AM8+AV54</f>
        <v>3.1108032786885249</v>
      </c>
      <c r="AW51" s="432">
        <f>AVERAGE(AS51:AV51)</f>
        <v>3.0377074340954544</v>
      </c>
      <c r="AX51" s="363">
        <f>'Market Prices'!AM8+AX54</f>
        <v>3.1108032786885249</v>
      </c>
      <c r="AY51" s="364">
        <f>'Market Prices'!AN8+AY54</f>
        <v>2.6796666666666664</v>
      </c>
      <c r="AZ51" s="364">
        <f>'Market Prices'!AO8+AZ54</f>
        <v>2.8149999999999999</v>
      </c>
      <c r="BA51" s="365">
        <f>'Market Prices'!AP8+BA54</f>
        <v>2.9016666666666668</v>
      </c>
      <c r="BB51" s="432">
        <f>AVERAGE(AX51:BA51)</f>
        <v>2.8767841530054645</v>
      </c>
      <c r="BC51" s="363">
        <f>'Market Prices'!AQ8+BA54</f>
        <v>2.9026943643004919</v>
      </c>
      <c r="BD51" s="364">
        <f>'Market Prices'!AR8+BB54</f>
        <v>2.5441789597993276</v>
      </c>
      <c r="BE51" s="364">
        <f>'Market Prices'!AS8+BC54</f>
        <v>2.5777897789713125</v>
      </c>
      <c r="BF51" s="365">
        <f>'Market Prices'!AT8+BD54</f>
        <v>3.0133368969288674</v>
      </c>
      <c r="BG51" s="432">
        <f>AVERAGE(BC51:BF51)</f>
        <v>2.7594999999999996</v>
      </c>
      <c r="BH51" s="363">
        <f>'Market Prices'!AU8+BF54</f>
        <v>2.9460848852381236</v>
      </c>
      <c r="BI51" s="364">
        <f>'Market Prices'!AV8+BG54</f>
        <v>2.5822102633295767</v>
      </c>
      <c r="BJ51" s="364">
        <f>'Market Prices'!AW8+BH54</f>
        <v>2.6163235091335033</v>
      </c>
      <c r="BK51" s="365">
        <f>'Market Prices'!AX8+BI54</f>
        <v>3.0583813422987949</v>
      </c>
      <c r="BL51" s="432">
        <f>AVERAGE(BH51:BK51)</f>
        <v>2.8007499999999994</v>
      </c>
      <c r="BM51" s="363">
        <f t="shared" ref="BM51:BM52" si="65">+BN51</f>
        <v>2.7657875000000001</v>
      </c>
      <c r="BN51" s="364">
        <f t="shared" ref="BN51:BN52" si="66">+BO51</f>
        <v>2.7657875000000001</v>
      </c>
      <c r="BO51" s="364">
        <f t="shared" ref="BO51:BO52" si="67">+BP51</f>
        <v>2.7657875000000001</v>
      </c>
      <c r="BP51" s="365">
        <f t="shared" ref="BP51:BP52" si="68">+BQ51</f>
        <v>2.7657875000000001</v>
      </c>
      <c r="BQ51" s="1548">
        <f>(BV52-BV51)*0.85+BV51</f>
        <v>2.7657875000000001</v>
      </c>
      <c r="BR51" s="1549"/>
      <c r="BS51" s="1079"/>
      <c r="BT51" s="1079"/>
      <c r="BU51" s="1127" t="s">
        <v>1527</v>
      </c>
      <c r="BV51" s="1130">
        <f>+'Market Prices'!BP8</f>
        <v>2.8552499999999994</v>
      </c>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823"/>
      <c r="CU51" s="232"/>
      <c r="CV51" s="232"/>
      <c r="CW51" s="232"/>
      <c r="CX51" s="232"/>
      <c r="CY51" s="232"/>
      <c r="CZ51" s="40"/>
      <c r="DA51" s="40"/>
      <c r="DB51" s="40"/>
      <c r="DC51" s="40"/>
      <c r="DD51" s="40"/>
      <c r="DE51" s="40"/>
      <c r="DF51" s="232"/>
      <c r="DG51" s="232"/>
      <c r="DH51" s="232"/>
      <c r="DI51" s="232"/>
      <c r="DJ51" s="232"/>
      <c r="DK51" s="232"/>
      <c r="DL51" s="232"/>
      <c r="DM51" s="232"/>
      <c r="DN51" s="232"/>
    </row>
    <row r="52" spans="1:118">
      <c r="A52" s="40"/>
      <c r="B52" s="1"/>
      <c r="C52" s="2041" t="s">
        <v>1378</v>
      </c>
      <c r="D52" s="1"/>
      <c r="E52" s="273"/>
      <c r="F52" s="3"/>
      <c r="G52" s="3"/>
      <c r="H52" s="274"/>
      <c r="I52" s="1"/>
      <c r="J52" s="273"/>
      <c r="K52" s="3"/>
      <c r="L52" s="3"/>
      <c r="M52" s="274"/>
      <c r="N52" s="430"/>
      <c r="O52" s="399"/>
      <c r="P52" s="361"/>
      <c r="Q52" s="361"/>
      <c r="R52" s="362"/>
      <c r="S52" s="1"/>
      <c r="T52" s="363"/>
      <c r="U52" s="364"/>
      <c r="V52" s="364"/>
      <c r="W52" s="365"/>
      <c r="X52" s="432"/>
      <c r="Y52" s="363"/>
      <c r="Z52" s="364"/>
      <c r="AA52" s="364"/>
      <c r="AB52" s="365"/>
      <c r="AC52" s="432"/>
      <c r="AD52" s="363"/>
      <c r="AE52" s="364"/>
      <c r="AF52" s="364"/>
      <c r="AG52" s="365"/>
      <c r="AH52" s="432"/>
      <c r="AI52" s="363"/>
      <c r="AJ52" s="364"/>
      <c r="AK52" s="364"/>
      <c r="AL52" s="365"/>
      <c r="AM52" s="432"/>
      <c r="AN52" s="363"/>
      <c r="AO52" s="364"/>
      <c r="AP52" s="364"/>
      <c r="AQ52" s="365"/>
      <c r="AR52" s="432"/>
      <c r="AS52" s="363"/>
      <c r="AT52" s="364"/>
      <c r="AU52" s="364"/>
      <c r="AV52" s="365"/>
      <c r="AW52" s="432"/>
      <c r="AX52" s="363"/>
      <c r="AY52" s="364"/>
      <c r="AZ52" s="364"/>
      <c r="BA52" s="365"/>
      <c r="BB52" s="1548"/>
      <c r="BC52" s="363">
        <f>BC51</f>
        <v>2.9026943643004919</v>
      </c>
      <c r="BD52" s="364">
        <f t="shared" ref="BD52:BG52" si="69">BD51</f>
        <v>2.5441789597993276</v>
      </c>
      <c r="BE52" s="364">
        <f t="shared" si="69"/>
        <v>2.5777897789713125</v>
      </c>
      <c r="BF52" s="365">
        <f t="shared" si="69"/>
        <v>3.0133368969288674</v>
      </c>
      <c r="BG52" s="584">
        <f t="shared" si="69"/>
        <v>2.7594999999999996</v>
      </c>
      <c r="BH52" s="363">
        <f>BH51</f>
        <v>2.9460848852381236</v>
      </c>
      <c r="BI52" s="364">
        <f t="shared" ref="BI52:BL52" si="70">BI51</f>
        <v>2.5822102633295767</v>
      </c>
      <c r="BJ52" s="364">
        <f t="shared" si="70"/>
        <v>2.6163235091335033</v>
      </c>
      <c r="BK52" s="365">
        <f t="shared" si="70"/>
        <v>3.0583813422987949</v>
      </c>
      <c r="BL52" s="584">
        <f t="shared" si="70"/>
        <v>2.8007499999999994</v>
      </c>
      <c r="BM52" s="363">
        <f t="shared" si="65"/>
        <v>2.75</v>
      </c>
      <c r="BN52" s="364">
        <f t="shared" si="66"/>
        <v>2.75</v>
      </c>
      <c r="BO52" s="364">
        <f t="shared" si="67"/>
        <v>2.75</v>
      </c>
      <c r="BP52" s="365">
        <f t="shared" si="68"/>
        <v>2.75</v>
      </c>
      <c r="BQ52" s="1548">
        <f>IF(Valuation!$BY$39="Yes",ExGen!$BV$52,ExGen!BQ51)</f>
        <v>2.75</v>
      </c>
      <c r="BR52" s="1549"/>
      <c r="BS52" s="1079"/>
      <c r="BT52" s="1079"/>
      <c r="BU52" s="1128" t="s">
        <v>96</v>
      </c>
      <c r="BV52" s="1131">
        <f>Valuation!BY31</f>
        <v>2.75</v>
      </c>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823"/>
      <c r="CU52" s="232"/>
      <c r="CV52" s="232"/>
      <c r="CW52" s="232"/>
      <c r="CX52" s="232"/>
      <c r="CY52" s="232"/>
      <c r="CZ52" s="40"/>
      <c r="DA52" s="40"/>
      <c r="DB52" s="40"/>
      <c r="DC52" s="40"/>
      <c r="DD52" s="40"/>
      <c r="DE52" s="40"/>
      <c r="DF52" s="232"/>
      <c r="DG52" s="232"/>
      <c r="DH52" s="232"/>
      <c r="DI52" s="232"/>
      <c r="DJ52" s="232"/>
      <c r="DK52" s="232"/>
      <c r="DL52" s="232"/>
      <c r="DM52" s="232"/>
      <c r="DN52" s="232"/>
    </row>
    <row r="53" spans="1:118">
      <c r="A53" s="40"/>
      <c r="B53" s="1"/>
      <c r="C53" s="564"/>
      <c r="D53" s="28"/>
      <c r="E53" s="273"/>
      <c r="F53" s="3"/>
      <c r="G53" s="3"/>
      <c r="H53" s="274"/>
      <c r="I53" s="1"/>
      <c r="J53" s="273"/>
      <c r="K53" s="3"/>
      <c r="L53" s="3"/>
      <c r="M53" s="274"/>
      <c r="N53" s="25"/>
      <c r="O53" s="273"/>
      <c r="P53" s="3"/>
      <c r="Q53" s="3"/>
      <c r="R53" s="274"/>
      <c r="S53" s="1"/>
      <c r="T53" s="273"/>
      <c r="U53" s="3"/>
      <c r="V53" s="3"/>
      <c r="W53" s="274"/>
      <c r="X53" s="1"/>
      <c r="Y53" s="273"/>
      <c r="Z53" s="3"/>
      <c r="AA53" s="3"/>
      <c r="AB53" s="274"/>
      <c r="AC53" s="1"/>
      <c r="AD53" s="273"/>
      <c r="AE53" s="3"/>
      <c r="AF53" s="3"/>
      <c r="AG53" s="274"/>
      <c r="AH53" s="1"/>
      <c r="AI53" s="273"/>
      <c r="AJ53" s="3"/>
      <c r="AK53" s="3"/>
      <c r="AL53" s="274"/>
      <c r="AM53" s="1"/>
      <c r="AN53" s="273"/>
      <c r="AO53" s="3"/>
      <c r="AP53" s="3"/>
      <c r="AQ53" s="274"/>
      <c r="AR53" s="1"/>
      <c r="AS53" s="273"/>
      <c r="AT53" s="3"/>
      <c r="AU53" s="3"/>
      <c r="AV53" s="274"/>
      <c r="AW53" s="1"/>
      <c r="AX53" s="273"/>
      <c r="AY53" s="3"/>
      <c r="AZ53" s="3"/>
      <c r="BA53" s="274"/>
      <c r="BB53" s="1"/>
      <c r="BC53" s="273"/>
      <c r="BD53" s="3"/>
      <c r="BE53" s="3"/>
      <c r="BF53" s="274"/>
      <c r="BG53" s="1"/>
      <c r="BH53" s="273"/>
      <c r="BI53" s="3"/>
      <c r="BJ53" s="3"/>
      <c r="BK53" s="274"/>
      <c r="BL53" s="1"/>
      <c r="BM53" s="273"/>
      <c r="BN53" s="3"/>
      <c r="BO53" s="3"/>
      <c r="BP53" s="274"/>
      <c r="BQ53" s="1"/>
      <c r="BR53" s="564"/>
      <c r="BS53" s="40"/>
      <c r="BT53" s="40"/>
      <c r="BW53" s="40"/>
      <c r="BX53" s="40"/>
      <c r="BY53" s="40"/>
      <c r="BZ53" s="40"/>
      <c r="CA53" s="40"/>
      <c r="CB53" s="40"/>
      <c r="CC53" s="40"/>
      <c r="CD53" s="40"/>
      <c r="CE53" s="40"/>
      <c r="CF53" s="40"/>
      <c r="CG53" s="40"/>
      <c r="CH53" s="40"/>
      <c r="CI53" s="40"/>
      <c r="CJ53" s="40"/>
      <c r="CK53" s="40"/>
      <c r="CL53" s="40"/>
      <c r="CM53" s="40"/>
      <c r="CN53" s="40"/>
      <c r="CO53" s="40"/>
      <c r="CP53" s="40"/>
      <c r="CQ53" s="40"/>
      <c r="CR53" s="40"/>
      <c r="CS53" s="40"/>
      <c r="CT53" s="823"/>
      <c r="CU53" s="232"/>
      <c r="CV53" s="232"/>
      <c r="CW53" s="232"/>
      <c r="CX53" s="232"/>
      <c r="CY53" s="232"/>
      <c r="CZ53" s="40"/>
      <c r="DA53" s="40"/>
      <c r="DB53" s="40"/>
      <c r="DC53" s="40"/>
      <c r="DD53" s="40"/>
      <c r="DE53" s="40"/>
      <c r="DF53" s="232"/>
      <c r="DG53" s="232"/>
      <c r="DH53" s="232"/>
      <c r="DI53" s="232"/>
      <c r="DJ53" s="232"/>
      <c r="DK53" s="232"/>
      <c r="DL53" s="232"/>
      <c r="DM53" s="232"/>
      <c r="DN53" s="232"/>
    </row>
    <row r="54" spans="1:118">
      <c r="A54" s="40"/>
      <c r="B54" s="1"/>
      <c r="C54" s="565" t="s">
        <v>164</v>
      </c>
      <c r="D54" s="28"/>
      <c r="E54" s="273"/>
      <c r="F54" s="3"/>
      <c r="G54" s="3"/>
      <c r="H54" s="274"/>
      <c r="I54" s="1"/>
      <c r="J54" s="273"/>
      <c r="K54" s="3"/>
      <c r="L54" s="3"/>
      <c r="M54" s="274"/>
      <c r="N54" s="431"/>
      <c r="O54" s="433"/>
      <c r="P54" s="434"/>
      <c r="Q54" s="434"/>
      <c r="R54" s="435"/>
      <c r="S54" s="431"/>
      <c r="T54" s="433"/>
      <c r="U54" s="434"/>
      <c r="V54" s="434"/>
      <c r="W54" s="435"/>
      <c r="X54" s="432"/>
      <c r="Y54" s="1008">
        <f>AC54</f>
        <v>0</v>
      </c>
      <c r="Z54" s="1009">
        <f t="shared" ref="Z54:AB55" si="71">Y54</f>
        <v>0</v>
      </c>
      <c r="AA54" s="1009">
        <f t="shared" si="71"/>
        <v>0</v>
      </c>
      <c r="AB54" s="1007">
        <f t="shared" si="71"/>
        <v>0</v>
      </c>
      <c r="AC54" s="432">
        <v>0</v>
      </c>
      <c r="AD54" s="1008">
        <v>0</v>
      </c>
      <c r="AE54" s="1009">
        <v>0</v>
      </c>
      <c r="AF54" s="1009">
        <v>0</v>
      </c>
      <c r="AG54" s="1007">
        <v>0</v>
      </c>
      <c r="AH54" s="432">
        <v>0</v>
      </c>
      <c r="AI54" s="1008">
        <v>0</v>
      </c>
      <c r="AJ54" s="1009">
        <v>0</v>
      </c>
      <c r="AK54" s="1009">
        <v>0</v>
      </c>
      <c r="AL54" s="1007">
        <v>0</v>
      </c>
      <c r="AM54" s="432">
        <v>0</v>
      </c>
      <c r="AN54" s="1008">
        <v>0</v>
      </c>
      <c r="AO54" s="1009">
        <v>0</v>
      </c>
      <c r="AP54" s="1009">
        <v>0</v>
      </c>
      <c r="AQ54" s="1007">
        <v>0</v>
      </c>
      <c r="AR54" s="432">
        <v>0</v>
      </c>
      <c r="AS54" s="1008">
        <v>0</v>
      </c>
      <c r="AT54" s="1009">
        <v>0</v>
      </c>
      <c r="AU54" s="1009">
        <v>0</v>
      </c>
      <c r="AV54" s="1007">
        <v>0</v>
      </c>
      <c r="AW54" s="432">
        <v>0</v>
      </c>
      <c r="AX54" s="1008">
        <v>0</v>
      </c>
      <c r="AY54" s="1009">
        <v>0</v>
      </c>
      <c r="AZ54" s="1009">
        <v>0</v>
      </c>
      <c r="BA54" s="1007">
        <v>0</v>
      </c>
      <c r="BB54" s="432">
        <v>0</v>
      </c>
      <c r="BC54" s="1008">
        <v>0</v>
      </c>
      <c r="BD54" s="1009">
        <v>0</v>
      </c>
      <c r="BE54" s="1009">
        <v>0</v>
      </c>
      <c r="BF54" s="1007">
        <v>0</v>
      </c>
      <c r="BG54" s="432">
        <v>0</v>
      </c>
      <c r="BH54" s="1008">
        <v>0</v>
      </c>
      <c r="BI54" s="1009">
        <v>0</v>
      </c>
      <c r="BJ54" s="1009">
        <v>0</v>
      </c>
      <c r="BK54" s="1007">
        <v>0</v>
      </c>
      <c r="BL54" s="432">
        <v>0</v>
      </c>
      <c r="BM54" s="1008">
        <v>0</v>
      </c>
      <c r="BN54" s="1009">
        <v>0</v>
      </c>
      <c r="BO54" s="1009">
        <v>0</v>
      </c>
      <c r="BP54" s="1007">
        <v>0</v>
      </c>
      <c r="BQ54" s="432">
        <v>0</v>
      </c>
      <c r="BR54" s="1549"/>
      <c r="BS54" s="1079"/>
      <c r="BT54" s="1079"/>
      <c r="BU54" s="232"/>
      <c r="BV54" s="40"/>
      <c r="BW54" s="40"/>
      <c r="BX54" s="40"/>
      <c r="BY54" s="40"/>
      <c r="BZ54" s="40"/>
      <c r="CA54" s="40"/>
      <c r="CB54" s="40"/>
      <c r="CC54" s="40"/>
      <c r="CD54" s="40"/>
      <c r="CE54" s="40"/>
      <c r="CF54" s="40"/>
      <c r="CG54" s="40"/>
      <c r="CH54" s="40"/>
      <c r="CI54" s="40"/>
      <c r="CJ54" s="40"/>
      <c r="CK54" s="40"/>
      <c r="CL54" s="40"/>
      <c r="CM54" s="40"/>
      <c r="CN54" s="40"/>
      <c r="CO54" s="40"/>
      <c r="CP54" s="40"/>
      <c r="CQ54" s="40"/>
      <c r="CR54" s="40"/>
      <c r="CS54" s="40"/>
      <c r="CT54" s="823"/>
      <c r="CU54" s="232"/>
      <c r="CV54" s="232"/>
      <c r="CW54" s="232"/>
      <c r="CX54" s="232"/>
      <c r="CY54" s="232"/>
      <c r="CZ54" s="40"/>
      <c r="DA54" s="40"/>
      <c r="DB54" s="40"/>
      <c r="DC54" s="40"/>
      <c r="DD54" s="40"/>
      <c r="DE54" s="40"/>
      <c r="DF54" s="232"/>
      <c r="DG54" s="232"/>
      <c r="DH54" s="232"/>
      <c r="DI54" s="232"/>
      <c r="DJ54" s="232"/>
      <c r="DK54" s="232"/>
      <c r="DL54" s="232"/>
      <c r="DM54" s="232"/>
      <c r="DN54" s="232"/>
    </row>
    <row r="55" spans="1:118">
      <c r="A55" s="40"/>
      <c r="B55" s="1"/>
      <c r="C55" s="565" t="s">
        <v>444</v>
      </c>
      <c r="D55" s="440"/>
      <c r="E55" s="273"/>
      <c r="F55" s="3"/>
      <c r="G55" s="3"/>
      <c r="H55" s="274"/>
      <c r="I55" s="1"/>
      <c r="J55" s="273"/>
      <c r="K55" s="3"/>
      <c r="L55" s="3"/>
      <c r="M55" s="274"/>
      <c r="N55" s="25"/>
      <c r="O55" s="273"/>
      <c r="P55" s="3"/>
      <c r="Q55" s="3"/>
      <c r="R55" s="274"/>
      <c r="S55" s="1"/>
      <c r="T55" s="436"/>
      <c r="U55" s="437"/>
      <c r="V55" s="437"/>
      <c r="W55" s="438"/>
      <c r="X55" s="432"/>
      <c r="Y55" s="1008">
        <f>AC55</f>
        <v>0</v>
      </c>
      <c r="Z55" s="1009">
        <f t="shared" si="71"/>
        <v>0</v>
      </c>
      <c r="AA55" s="1009">
        <f t="shared" si="71"/>
        <v>0</v>
      </c>
      <c r="AB55" s="1007">
        <f t="shared" si="71"/>
        <v>0</v>
      </c>
      <c r="AC55" s="432">
        <v>0</v>
      </c>
      <c r="AD55" s="1008">
        <v>0</v>
      </c>
      <c r="AE55" s="1009">
        <v>0</v>
      </c>
      <c r="AF55" s="1009">
        <v>0</v>
      </c>
      <c r="AG55" s="1007">
        <v>0</v>
      </c>
      <c r="AH55" s="432">
        <v>0</v>
      </c>
      <c r="AI55" s="1008">
        <v>0</v>
      </c>
      <c r="AJ55" s="1009">
        <v>0</v>
      </c>
      <c r="AK55" s="1009">
        <v>0</v>
      </c>
      <c r="AL55" s="1007">
        <v>0</v>
      </c>
      <c r="AM55" s="432">
        <v>0</v>
      </c>
      <c r="AN55" s="1008">
        <v>0</v>
      </c>
      <c r="AO55" s="1009">
        <v>0</v>
      </c>
      <c r="AP55" s="1009">
        <v>0</v>
      </c>
      <c r="AQ55" s="1007">
        <v>0</v>
      </c>
      <c r="AR55" s="432">
        <v>0</v>
      </c>
      <c r="AS55" s="1008">
        <v>0</v>
      </c>
      <c r="AT55" s="1009">
        <v>0</v>
      </c>
      <c r="AU55" s="1009">
        <v>0</v>
      </c>
      <c r="AV55" s="1007">
        <v>0</v>
      </c>
      <c r="AW55" s="432">
        <v>0</v>
      </c>
      <c r="AX55" s="1008">
        <v>0</v>
      </c>
      <c r="AY55" s="1009">
        <v>0</v>
      </c>
      <c r="AZ55" s="1009">
        <v>0</v>
      </c>
      <c r="BA55" s="1007">
        <v>0</v>
      </c>
      <c r="BB55" s="432">
        <v>0</v>
      </c>
      <c r="BC55" s="1008">
        <v>0</v>
      </c>
      <c r="BD55" s="1009">
        <v>0</v>
      </c>
      <c r="BE55" s="1009">
        <v>0</v>
      </c>
      <c r="BF55" s="1007">
        <v>0</v>
      </c>
      <c r="BG55" s="432">
        <v>0</v>
      </c>
      <c r="BH55" s="1008">
        <v>0</v>
      </c>
      <c r="BI55" s="1009">
        <v>0</v>
      </c>
      <c r="BJ55" s="1009">
        <v>0</v>
      </c>
      <c r="BK55" s="1007">
        <v>0</v>
      </c>
      <c r="BL55" s="432">
        <v>0</v>
      </c>
      <c r="BM55" s="1008">
        <v>0</v>
      </c>
      <c r="BN55" s="1009">
        <v>0</v>
      </c>
      <c r="BO55" s="1009">
        <v>0</v>
      </c>
      <c r="BP55" s="1007">
        <v>0</v>
      </c>
      <c r="BQ55" s="432">
        <v>0</v>
      </c>
      <c r="BR55" s="1549"/>
      <c r="BS55" s="1079"/>
      <c r="BT55" s="1079"/>
      <c r="BU55" s="232"/>
      <c r="BV55" s="40"/>
      <c r="BW55" s="40"/>
      <c r="BX55" s="40"/>
      <c r="BY55" s="40"/>
      <c r="BZ55" s="40"/>
      <c r="CA55" s="40"/>
      <c r="CB55" s="40"/>
      <c r="CC55" s="40"/>
      <c r="CD55" s="40"/>
      <c r="CE55" s="40"/>
      <c r="CF55" s="40"/>
      <c r="CG55" s="40"/>
      <c r="CH55" s="40"/>
      <c r="CI55" s="40"/>
      <c r="CJ55" s="40"/>
      <c r="CK55" s="40"/>
      <c r="CL55" s="40"/>
      <c r="CM55" s="40"/>
      <c r="CN55" s="40"/>
      <c r="CO55" s="40"/>
      <c r="CP55" s="40"/>
      <c r="CQ55" s="40"/>
      <c r="CR55" s="40"/>
      <c r="CS55" s="40"/>
      <c r="CT55" s="823"/>
      <c r="CU55" s="232"/>
      <c r="CV55" s="232"/>
      <c r="CW55" s="232"/>
      <c r="CX55" s="232"/>
      <c r="CY55" s="232"/>
      <c r="CZ55" s="40"/>
      <c r="DA55" s="40"/>
      <c r="DB55" s="40"/>
      <c r="DC55" s="40"/>
      <c r="DD55" s="40"/>
      <c r="DE55" s="40"/>
      <c r="DF55" s="232"/>
      <c r="DG55" s="232"/>
      <c r="DH55" s="232"/>
      <c r="DI55" s="232"/>
      <c r="DJ55" s="232"/>
      <c r="DK55" s="232"/>
      <c r="DL55" s="232"/>
      <c r="DM55" s="232"/>
      <c r="DN55" s="232"/>
    </row>
    <row r="56" spans="1:118">
      <c r="A56" s="40"/>
      <c r="B56" s="1"/>
      <c r="C56" s="564"/>
      <c r="D56" s="28"/>
      <c r="E56" s="273"/>
      <c r="F56" s="3"/>
      <c r="G56" s="3"/>
      <c r="H56" s="274"/>
      <c r="I56" s="1"/>
      <c r="J56" s="273"/>
      <c r="K56" s="3"/>
      <c r="L56" s="3"/>
      <c r="M56" s="274"/>
      <c r="N56" s="1"/>
      <c r="O56" s="273"/>
      <c r="P56" s="3"/>
      <c r="Q56" s="3"/>
      <c r="R56" s="274"/>
      <c r="S56" s="1"/>
      <c r="T56" s="273"/>
      <c r="U56" s="3"/>
      <c r="V56" s="3"/>
      <c r="W56" s="274"/>
      <c r="X56" s="1"/>
      <c r="Y56" s="273"/>
      <c r="Z56" s="3"/>
      <c r="AA56" s="3"/>
      <c r="AB56" s="274"/>
      <c r="AC56" s="1"/>
      <c r="AD56" s="273"/>
      <c r="AE56" s="3"/>
      <c r="AF56" s="3"/>
      <c r="AG56" s="274"/>
      <c r="AH56" s="1"/>
      <c r="AI56" s="273"/>
      <c r="AJ56" s="3"/>
      <c r="AK56" s="3"/>
      <c r="AL56" s="274"/>
      <c r="AM56" s="1"/>
      <c r="AN56" s="273"/>
      <c r="AO56" s="3"/>
      <c r="AP56" s="3"/>
      <c r="AQ56" s="274"/>
      <c r="AR56" s="1"/>
      <c r="AS56" s="273"/>
      <c r="AT56" s="3"/>
      <c r="AU56" s="3"/>
      <c r="AV56" s="274"/>
      <c r="AW56" s="1"/>
      <c r="AX56" s="273"/>
      <c r="AY56" s="3"/>
      <c r="AZ56" s="3"/>
      <c r="BA56" s="274"/>
      <c r="BB56" s="1"/>
      <c r="BC56" s="273"/>
      <c r="BD56" s="3"/>
      <c r="BE56" s="3"/>
      <c r="BF56" s="274"/>
      <c r="BG56" s="1"/>
      <c r="BH56" s="273"/>
      <c r="BI56" s="3"/>
      <c r="BJ56" s="3"/>
      <c r="BK56" s="274"/>
      <c r="BL56" s="1"/>
      <c r="BM56" s="273"/>
      <c r="BN56" s="3"/>
      <c r="BO56" s="3"/>
      <c r="BP56" s="274"/>
      <c r="BQ56" s="1"/>
      <c r="BR56" s="564"/>
      <c r="BS56" s="40"/>
      <c r="BT56" s="40"/>
      <c r="BU56" s="232"/>
      <c r="BV56" s="40"/>
      <c r="BW56" s="40"/>
      <c r="BX56" s="40"/>
      <c r="BY56" s="40"/>
      <c r="BZ56" s="40"/>
      <c r="CA56" s="40"/>
      <c r="CB56" s="40"/>
      <c r="CC56" s="40"/>
      <c r="CD56" s="40"/>
      <c r="CE56" s="40"/>
      <c r="CF56" s="40"/>
      <c r="CG56" s="40"/>
      <c r="CH56" s="40"/>
      <c r="CI56" s="40"/>
      <c r="CJ56" s="40"/>
      <c r="CK56" s="40"/>
      <c r="CL56" s="40"/>
      <c r="CM56" s="40"/>
      <c r="CN56" s="40"/>
      <c r="CO56" s="40"/>
      <c r="CP56" s="40"/>
      <c r="CQ56" s="40"/>
      <c r="CR56" s="40"/>
      <c r="CS56" s="40"/>
      <c r="CT56" s="823"/>
      <c r="CU56" s="232"/>
      <c r="CV56" s="232"/>
      <c r="CW56" s="232"/>
      <c r="CX56" s="232"/>
      <c r="CY56" s="232"/>
      <c r="CZ56" s="40"/>
      <c r="DA56" s="40"/>
      <c r="DB56" s="40"/>
      <c r="DC56" s="40"/>
      <c r="DD56" s="40"/>
      <c r="DE56" s="40"/>
      <c r="DF56" s="232"/>
      <c r="DG56" s="232"/>
      <c r="DH56" s="232"/>
      <c r="DI56" s="232"/>
      <c r="DJ56" s="232"/>
      <c r="DK56" s="232"/>
      <c r="DL56" s="232"/>
      <c r="DM56" s="232"/>
      <c r="DN56" s="232"/>
    </row>
    <row r="57" spans="1:118">
      <c r="A57" s="40"/>
      <c r="B57" s="1"/>
      <c r="C57" s="563" t="s">
        <v>812</v>
      </c>
      <c r="D57" s="28"/>
      <c r="E57" s="273"/>
      <c r="F57" s="3"/>
      <c r="G57" s="3"/>
      <c r="H57" s="274"/>
      <c r="I57" s="1"/>
      <c r="J57" s="273"/>
      <c r="K57" s="3"/>
      <c r="L57" s="3"/>
      <c r="M57" s="274"/>
      <c r="N57" s="25"/>
      <c r="O57" s="273"/>
      <c r="P57" s="3"/>
      <c r="Q57" s="3"/>
      <c r="R57" s="274"/>
      <c r="S57" s="1"/>
      <c r="T57" s="273"/>
      <c r="U57" s="3"/>
      <c r="V57" s="3"/>
      <c r="W57" s="274"/>
      <c r="X57" s="1"/>
      <c r="Y57" s="273"/>
      <c r="Z57" s="3"/>
      <c r="AA57" s="3"/>
      <c r="AB57" s="274"/>
      <c r="AC57" s="1"/>
      <c r="AD57" s="273"/>
      <c r="AE57" s="3"/>
      <c r="AF57" s="3"/>
      <c r="AG57" s="274"/>
      <c r="AH57" s="1"/>
      <c r="AI57" s="273"/>
      <c r="AJ57" s="3"/>
      <c r="AK57" s="3"/>
      <c r="AL57" s="274"/>
      <c r="AM57" s="1"/>
      <c r="AN57" s="273"/>
      <c r="AO57" s="3"/>
      <c r="AP57" s="3"/>
      <c r="AQ57" s="274"/>
      <c r="AR57" s="1"/>
      <c r="AS57" s="273"/>
      <c r="AT57" s="3"/>
      <c r="AU57" s="3"/>
      <c r="AV57" s="274"/>
      <c r="AW57" s="1"/>
      <c r="AX57" s="273"/>
      <c r="AY57" s="3"/>
      <c r="AZ57" s="3"/>
      <c r="BA57" s="274"/>
      <c r="BB57" s="1"/>
      <c r="BC57" s="273"/>
      <c r="BD57" s="3"/>
      <c r="BE57" s="3"/>
      <c r="BF57" s="274"/>
      <c r="BG57" s="1"/>
      <c r="BH57" s="273"/>
      <c r="BI57" s="3"/>
      <c r="BJ57" s="3"/>
      <c r="BK57" s="274"/>
      <c r="BL57" s="1"/>
      <c r="BM57" s="273"/>
      <c r="BN57" s="3"/>
      <c r="BO57" s="3"/>
      <c r="BP57" s="274"/>
      <c r="BQ57" s="1"/>
      <c r="BR57" s="564"/>
      <c r="BS57" s="40"/>
      <c r="BT57" s="40"/>
      <c r="BU57" s="232"/>
      <c r="BV57" s="40"/>
      <c r="BW57" s="40"/>
      <c r="BX57" s="40"/>
      <c r="BY57" s="40"/>
      <c r="BZ57" s="40"/>
      <c r="CA57" s="40"/>
      <c r="CB57" s="40"/>
      <c r="CC57" s="40"/>
      <c r="CD57" s="40"/>
      <c r="CE57" s="40"/>
      <c r="CF57" s="40"/>
      <c r="CG57" s="40"/>
      <c r="CH57" s="40"/>
      <c r="CI57" s="40"/>
      <c r="CJ57" s="40"/>
      <c r="CK57" s="40"/>
      <c r="CL57" s="40"/>
      <c r="CM57" s="40"/>
      <c r="CN57" s="40"/>
      <c r="CO57" s="40"/>
      <c r="CP57" s="40"/>
      <c r="CQ57" s="40"/>
      <c r="CR57" s="40"/>
      <c r="CS57" s="40"/>
      <c r="CT57" s="823"/>
      <c r="CU57" s="232"/>
      <c r="CV57" s="232"/>
      <c r="CW57" s="232"/>
      <c r="CX57" s="232"/>
      <c r="CY57" s="232"/>
      <c r="CZ57" s="40"/>
      <c r="DA57" s="40"/>
      <c r="DB57" s="40"/>
      <c r="DC57" s="40"/>
      <c r="DD57" s="40"/>
      <c r="DE57" s="40"/>
      <c r="DF57" s="232"/>
      <c r="DG57" s="232"/>
      <c r="DH57" s="232"/>
      <c r="DI57" s="232"/>
      <c r="DJ57" s="232"/>
      <c r="DK57" s="232"/>
      <c r="DL57" s="232"/>
      <c r="DM57" s="232"/>
      <c r="DN57" s="232"/>
    </row>
    <row r="58" spans="1:118">
      <c r="A58" s="40"/>
      <c r="B58" s="1"/>
      <c r="C58" s="564" t="s">
        <v>551</v>
      </c>
      <c r="D58" s="28"/>
      <c r="E58" s="273"/>
      <c r="F58" s="3"/>
      <c r="G58" s="3"/>
      <c r="H58" s="274"/>
      <c r="I58" s="1"/>
      <c r="J58" s="273"/>
      <c r="K58" s="3"/>
      <c r="L58" s="3"/>
      <c r="M58" s="274"/>
      <c r="N58" s="25"/>
      <c r="O58" s="436"/>
      <c r="P58" s="437"/>
      <c r="Q58" s="437"/>
      <c r="R58" s="438"/>
      <c r="S58" s="439"/>
      <c r="T58" s="436"/>
      <c r="U58" s="437"/>
      <c r="V58" s="437"/>
      <c r="W58" s="438"/>
      <c r="X58" s="439"/>
      <c r="Y58" s="436">
        <f>'Market Prices'!S53</f>
        <v>4.3436166666666658</v>
      </c>
      <c r="Z58" s="437">
        <f>'Market Prices'!T53</f>
        <v>0.30776562499999827</v>
      </c>
      <c r="AA58" s="437">
        <f>'Market Prices'!U53</f>
        <v>0.20923437499999897</v>
      </c>
      <c r="AB58" s="438">
        <f>'Market Prices'!V53</f>
        <v>0.48042187499999889</v>
      </c>
      <c r="AC58" s="439">
        <f>AVERAGE(Y58:AB58)</f>
        <v>1.3352596354166657</v>
      </c>
      <c r="AD58" s="436">
        <f>'Market Prices'!W53</f>
        <v>11.865918032786885</v>
      </c>
      <c r="AE58" s="437">
        <f>'Market Prices'!Y53</f>
        <v>-1.3732187500000017</v>
      </c>
      <c r="AF58" s="437">
        <f>'Market Prices'!Y53</f>
        <v>-1.3732187500000017</v>
      </c>
      <c r="AG58" s="438">
        <f>'Market Prices'!Z53</f>
        <v>-0.57965624999999754</v>
      </c>
      <c r="AH58" s="439">
        <f>AVERAGE(AD58:AG58)</f>
        <v>2.1349560706967212</v>
      </c>
      <c r="AI58" s="436">
        <f>'Market Prices'!AA53</f>
        <v>6.0189193548387117</v>
      </c>
      <c r="AJ58" s="437">
        <f>'Market Prices'!AB53</f>
        <v>-0.25368253968253818</v>
      </c>
      <c r="AK58" s="437">
        <f>'Market Prices'!AC53</f>
        <v>-0.4931562499999993</v>
      </c>
      <c r="AL58" s="438">
        <f>'Market Prices'!AD53</f>
        <v>-0.2235238095238099</v>
      </c>
      <c r="AM58" s="439">
        <f>AVERAGE(AI58:AL58)</f>
        <v>1.2621391889080911</v>
      </c>
      <c r="AN58" s="436">
        <f>'Market Prices'!AE53</f>
        <v>0.49621311475409802</v>
      </c>
      <c r="AO58" s="437">
        <f>'Market Prices'!AF53</f>
        <v>-0.43893749999999998</v>
      </c>
      <c r="AP58" s="437">
        <f>'Market Prices'!AG53</f>
        <v>-0.95798437499999922</v>
      </c>
      <c r="AQ58" s="438">
        <f>'Market Prices'!AH53</f>
        <v>-0.3514999999999997</v>
      </c>
      <c r="AR58" s="439">
        <f>AVERAGE(AN58:AQ58)</f>
        <v>-0.31305219006147522</v>
      </c>
      <c r="AS58" s="436">
        <f>'Market Prices'!AI53</f>
        <v>0.30054838709677556</v>
      </c>
      <c r="AT58" s="437">
        <f>'Market Prices'!AJ53</f>
        <v>-0.38845312499999896</v>
      </c>
      <c r="AU58" s="437">
        <f>'Market Prices'!AK53</f>
        <v>-0.54298412698412557</v>
      </c>
      <c r="AV58" s="438">
        <f>'Market Prices'!AM53</f>
        <v>4.698950819672131</v>
      </c>
      <c r="AW58" s="439">
        <f>AVERAGE(AS58:AV58)</f>
        <v>1.0170154886961955</v>
      </c>
      <c r="AX58" s="436">
        <f>'Market Prices'!AM53</f>
        <v>4.698950819672131</v>
      </c>
      <c r="AY58" s="437">
        <f>'Market Prices'!AN53</f>
        <v>-0.19166666666666643</v>
      </c>
      <c r="AZ58" s="437">
        <f>'Market Prices'!AO53</f>
        <v>-0.30999999999999961</v>
      </c>
      <c r="BA58" s="438">
        <f>'Market Prices'!AP53</f>
        <v>0.25666666666666638</v>
      </c>
      <c r="BB58" s="439">
        <f>AVERAGE(AX58:BA58)</f>
        <v>1.113487704918033</v>
      </c>
      <c r="BC58" s="436">
        <f>'Market Prices'!AQ53</f>
        <v>1.637734667576852</v>
      </c>
      <c r="BD58" s="437">
        <f>'Market Prices'!AR53</f>
        <v>-0.69677150590554215</v>
      </c>
      <c r="BE58" s="437">
        <f>'Market Prices'!AS53</f>
        <v>-0.82532002718121711</v>
      </c>
      <c r="BF58" s="438">
        <f>'Market Prices'!AT53</f>
        <v>1.5445568651099078</v>
      </c>
      <c r="BG58" s="439">
        <f>AVERAGE(BC58:BF58)</f>
        <v>0.41504999990000013</v>
      </c>
      <c r="BH58" s="436">
        <f>'Market Prices'!AU53</f>
        <v>1.6691288195742207</v>
      </c>
      <c r="BI58" s="437">
        <f>'Market Prices'!AV53</f>
        <v>-0.704374459769459</v>
      </c>
      <c r="BJ58" s="437">
        <f>'Market Prices'!AW53</f>
        <v>-0.83498911122825525</v>
      </c>
      <c r="BK58" s="438">
        <f>'Market Prices'!AX53</f>
        <v>1.5745847514234943</v>
      </c>
      <c r="BL58" s="439">
        <f>AVERAGE(BH58:BK58)</f>
        <v>0.42608750000000017</v>
      </c>
      <c r="BM58" s="436">
        <f>BN58</f>
        <v>0.47749583330000062</v>
      </c>
      <c r="BN58" s="437">
        <f>BO58</f>
        <v>0.47749583330000062</v>
      </c>
      <c r="BO58" s="437">
        <f>BP58</f>
        <v>0.47749583330000062</v>
      </c>
      <c r="BP58" s="438">
        <f>BQ58</f>
        <v>0.47749583330000062</v>
      </c>
      <c r="BQ58" s="439">
        <f>'Market Prices'!BP53</f>
        <v>0.47749583330000062</v>
      </c>
      <c r="BR58" s="939"/>
      <c r="BS58" s="1080"/>
      <c r="BT58" s="1080"/>
      <c r="BU58" s="232"/>
      <c r="BV58" s="40"/>
      <c r="BW58" s="40"/>
      <c r="BX58" s="40"/>
      <c r="BY58" s="40"/>
      <c r="BZ58" s="40"/>
      <c r="CA58" s="40"/>
      <c r="CB58" s="40"/>
      <c r="CC58" s="40"/>
      <c r="CD58" s="40"/>
      <c r="CE58" s="40"/>
      <c r="CF58" s="40"/>
      <c r="CG58" s="40"/>
      <c r="CH58" s="40"/>
      <c r="CI58" s="40"/>
      <c r="CJ58" s="40"/>
      <c r="CK58" s="40"/>
      <c r="CL58" s="40"/>
      <c r="CM58" s="40"/>
      <c r="CN58" s="40"/>
      <c r="CO58" s="40"/>
      <c r="CP58" s="40"/>
      <c r="CQ58" s="40"/>
      <c r="CR58" s="40"/>
      <c r="CS58" s="40"/>
      <c r="CT58" s="823"/>
      <c r="CU58" s="232"/>
      <c r="CV58" s="232"/>
      <c r="CW58" s="232"/>
      <c r="CX58" s="232"/>
      <c r="CY58" s="232"/>
      <c r="CZ58" s="40"/>
      <c r="DA58" s="40"/>
      <c r="DB58" s="40"/>
      <c r="DC58" s="40"/>
      <c r="DD58" s="40"/>
      <c r="DE58" s="40"/>
      <c r="DF58" s="232"/>
      <c r="DG58" s="232"/>
      <c r="DH58" s="232"/>
      <c r="DI58" s="232"/>
      <c r="DJ58" s="232"/>
      <c r="DK58" s="232"/>
      <c r="DL58" s="232"/>
      <c r="DM58" s="232"/>
      <c r="DN58" s="232"/>
    </row>
    <row r="59" spans="1:118">
      <c r="A59" s="40"/>
      <c r="B59" s="1"/>
      <c r="C59" s="564" t="s">
        <v>219</v>
      </c>
      <c r="D59" s="28"/>
      <c r="E59" s="273"/>
      <c r="F59" s="3"/>
      <c r="G59" s="3"/>
      <c r="H59" s="274"/>
      <c r="I59" s="1"/>
      <c r="J59" s="273"/>
      <c r="K59" s="3"/>
      <c r="L59" s="3"/>
      <c r="M59" s="274"/>
      <c r="N59" s="25"/>
      <c r="O59" s="436"/>
      <c r="P59" s="437"/>
      <c r="Q59" s="437"/>
      <c r="R59" s="438"/>
      <c r="S59" s="439"/>
      <c r="T59" s="436"/>
      <c r="U59" s="437"/>
      <c r="V59" s="437"/>
      <c r="W59" s="438"/>
      <c r="X59" s="439"/>
      <c r="Y59" s="436">
        <f>'Market Prices'!S57</f>
        <v>0.819599999999999</v>
      </c>
      <c r="Z59" s="437">
        <f>'Market Prices'!T57</f>
        <v>0.11882812499999851</v>
      </c>
      <c r="AA59" s="437">
        <f>'Market Prices'!U57</f>
        <v>-1.3265625000001169E-2</v>
      </c>
      <c r="AB59" s="438">
        <f>'Market Prices'!V57</f>
        <v>0.14118750000000091</v>
      </c>
      <c r="AC59" s="439">
        <f>AVERAGE(Y59:AB59)</f>
        <v>0.26658749999999931</v>
      </c>
      <c r="AD59" s="436">
        <f>'Market Prices'!W57</f>
        <v>7.5181639344262283</v>
      </c>
      <c r="AE59" s="437">
        <f>'Market Prices'!Y57</f>
        <v>-1.4395156250000012</v>
      </c>
      <c r="AF59" s="437">
        <f>'Market Prices'!Y57</f>
        <v>-1.4395156250000012</v>
      </c>
      <c r="AG59" s="438">
        <f>'Market Prices'!Z57</f>
        <v>-1.017578125</v>
      </c>
      <c r="AH59" s="439">
        <f>AVERAGE(AD59:AG59)</f>
        <v>0.90538863985655649</v>
      </c>
      <c r="AI59" s="436">
        <f>'Market Prices'!AA57</f>
        <v>3.554258064516127</v>
      </c>
      <c r="AJ59" s="437">
        <f>'Market Prices'!AB57</f>
        <v>-1.1179206349206339</v>
      </c>
      <c r="AK59" s="437">
        <f>'Market Prices'!AC57</f>
        <v>-1.3916093749999998</v>
      </c>
      <c r="AL59" s="438">
        <f>'Market Prices'!AD57</f>
        <v>-0.84366666666666723</v>
      </c>
      <c r="AM59" s="439">
        <f>AVERAGE(AI59:AL59)</f>
        <v>5.0265346982206582E-2</v>
      </c>
      <c r="AN59" s="436">
        <f>'Market Prices'!AE57</f>
        <v>-0.15401639344262286</v>
      </c>
      <c r="AO59" s="437">
        <f>'Market Prices'!AF57</f>
        <v>-0.55339062499999958</v>
      </c>
      <c r="AP59" s="437">
        <f>'Market Prices'!AG57</f>
        <v>-1.5273593749999999</v>
      </c>
      <c r="AQ59" s="438">
        <f>'Market Prices'!AH57</f>
        <v>-0.79788709677419334</v>
      </c>
      <c r="AR59" s="439">
        <f>AVERAGE(AN59:AQ59)</f>
        <v>-0.75816337255420385</v>
      </c>
      <c r="AS59" s="436">
        <f>'Market Prices'!AI57</f>
        <v>-1.6838709677418517E-2</v>
      </c>
      <c r="AT59" s="437">
        <f>'Market Prices'!AJ57</f>
        <v>-0.56160937500000019</v>
      </c>
      <c r="AU59" s="437">
        <f>'Market Prices'!AK57</f>
        <v>-1.2109841269841268</v>
      </c>
      <c r="AV59" s="438">
        <f>'Market Prices'!AM57</f>
        <v>3.4441967213114757</v>
      </c>
      <c r="AW59" s="439">
        <f>AVERAGE(AS59:AV59)</f>
        <v>0.41369112741248254</v>
      </c>
      <c r="AX59" s="436">
        <f>'Market Prices'!AM57</f>
        <v>3.4441967213114757</v>
      </c>
      <c r="AY59" s="437">
        <f>'Market Prices'!AN57</f>
        <v>-0.46333333333333293</v>
      </c>
      <c r="AZ59" s="437">
        <f>'Market Prices'!AO57</f>
        <v>-0.59499999999999975</v>
      </c>
      <c r="BA59" s="438">
        <f>'Market Prices'!AP57</f>
        <v>-0.21666666666666679</v>
      </c>
      <c r="BB59" s="439">
        <f>AVERAGE(AX59:BA59)</f>
        <v>0.54229918032786906</v>
      </c>
      <c r="BC59" s="436">
        <f>'Market Prices'!AQ57</f>
        <v>0.74457975965344758</v>
      </c>
      <c r="BD59" s="437">
        <f>'Market Prices'!AR57</f>
        <v>-0.76430483819771866</v>
      </c>
      <c r="BE59" s="437">
        <f>'Market Prices'!AS57</f>
        <v>-0.78296558457066712</v>
      </c>
      <c r="BF59" s="438">
        <f>'Market Prices'!AT57</f>
        <v>0.8235214539149398</v>
      </c>
      <c r="BG59" s="439">
        <f>AVERAGE(BC59:BF59)</f>
        <v>5.2076977000004021E-3</v>
      </c>
      <c r="BH59" s="436">
        <f>'Market Prices'!AU57</f>
        <v>0.64485745238273218</v>
      </c>
      <c r="BI59" s="437">
        <f>'Market Prices'!AV57</f>
        <v>-0.82982612063011629</v>
      </c>
      <c r="BJ59" s="437">
        <f>'Market Prices'!AW57</f>
        <v>-0.84922019602346377</v>
      </c>
      <c r="BK59" s="438">
        <f>'Market Prices'!AX57</f>
        <v>0.71921711267084909</v>
      </c>
      <c r="BL59" s="439">
        <f>AVERAGE(BH59:BK59)</f>
        <v>-7.8742937899999699E-2</v>
      </c>
      <c r="BM59" s="436">
        <f>'Market Prices'!AY57</f>
        <v>-0.25</v>
      </c>
      <c r="BN59" s="437">
        <f>'Market Prices'!AZ57</f>
        <v>-0.25</v>
      </c>
      <c r="BO59" s="437">
        <f>'Market Prices'!BA57</f>
        <v>-0.25</v>
      </c>
      <c r="BP59" s="438">
        <f>'Market Prices'!BB57</f>
        <v>-0.25</v>
      </c>
      <c r="BQ59" s="439">
        <f>'Market Prices'!BP57</f>
        <v>-0.25</v>
      </c>
      <c r="BR59" s="939"/>
      <c r="BS59" s="1080"/>
      <c r="BT59" s="1080"/>
      <c r="BU59" s="232"/>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823"/>
      <c r="CU59" s="232"/>
      <c r="CV59" s="232"/>
      <c r="CW59" s="232"/>
      <c r="CX59" s="232"/>
      <c r="CY59" s="232"/>
      <c r="CZ59" s="40"/>
      <c r="DA59" s="40"/>
      <c r="DB59" s="40"/>
      <c r="DC59" s="40"/>
      <c r="DD59" s="40"/>
      <c r="DE59" s="40"/>
      <c r="DF59" s="232"/>
      <c r="DG59" s="232"/>
      <c r="DH59" s="232"/>
      <c r="DI59" s="232"/>
      <c r="DJ59" s="232"/>
      <c r="DK59" s="232"/>
      <c r="DL59" s="232"/>
      <c r="DM59" s="232"/>
      <c r="DN59" s="232"/>
    </row>
    <row r="60" spans="1:118">
      <c r="A60" s="40"/>
      <c r="B60" s="1"/>
      <c r="C60" s="564" t="s">
        <v>376</v>
      </c>
      <c r="D60" s="28"/>
      <c r="E60" s="273"/>
      <c r="F60" s="3"/>
      <c r="G60" s="3"/>
      <c r="H60" s="274"/>
      <c r="I60" s="1"/>
      <c r="J60" s="273"/>
      <c r="K60" s="3"/>
      <c r="L60" s="3"/>
      <c r="M60" s="274"/>
      <c r="N60" s="25"/>
      <c r="O60" s="436"/>
      <c r="P60" s="437"/>
      <c r="Q60" s="437"/>
      <c r="R60" s="438"/>
      <c r="S60" s="439"/>
      <c r="T60" s="436"/>
      <c r="U60" s="437"/>
      <c r="V60" s="437"/>
      <c r="W60" s="438"/>
      <c r="X60" s="439"/>
      <c r="Y60" s="436">
        <f>'Market Prices'!S56</f>
        <v>4.3436166666666658</v>
      </c>
      <c r="Z60" s="437">
        <f>'Market Prices'!T56</f>
        <v>0.30776562499999827</v>
      </c>
      <c r="AA60" s="437">
        <f>'Market Prices'!U56</f>
        <v>0.20923437499999897</v>
      </c>
      <c r="AB60" s="438">
        <f>'Market Prices'!V56</f>
        <v>0.48042187499999889</v>
      </c>
      <c r="AC60" s="439">
        <f>AVERAGE(Y60:AB60)</f>
        <v>1.3352596354166657</v>
      </c>
      <c r="AD60" s="436">
        <f>'Market Prices'!W56</f>
        <v>11.865918032786885</v>
      </c>
      <c r="AE60" s="437">
        <f>'Market Prices'!Y56</f>
        <v>-1.3732187500000017</v>
      </c>
      <c r="AF60" s="437">
        <f>'Market Prices'!Y56</f>
        <v>-1.3732187500000017</v>
      </c>
      <c r="AG60" s="438">
        <f>'Market Prices'!Z56</f>
        <v>-0.57965624999999754</v>
      </c>
      <c r="AH60" s="439">
        <f>AVERAGE(AD60:AG60)</f>
        <v>2.1349560706967212</v>
      </c>
      <c r="AI60" s="436">
        <f>'Market Prices'!AA56</f>
        <v>6.0189193548387117</v>
      </c>
      <c r="AJ60" s="437">
        <f>'Market Prices'!AB56</f>
        <v>-0.25368253968253818</v>
      </c>
      <c r="AK60" s="437">
        <f>'Market Prices'!AC56</f>
        <v>-0.4931562499999993</v>
      </c>
      <c r="AL60" s="438">
        <f>'Market Prices'!AD56</f>
        <v>-0.2235238095238099</v>
      </c>
      <c r="AM60" s="439">
        <f>AVERAGE(AI60:AL60)</f>
        <v>1.2621391889080911</v>
      </c>
      <c r="AN60" s="436">
        <f>'Market Prices'!AE56</f>
        <v>0.49621311475409802</v>
      </c>
      <c r="AO60" s="437">
        <f>'Market Prices'!AF56</f>
        <v>-0.43893749999999998</v>
      </c>
      <c r="AP60" s="437">
        <f>'Market Prices'!AG56</f>
        <v>-0.95798437499999922</v>
      </c>
      <c r="AQ60" s="438">
        <f>'Market Prices'!AH56</f>
        <v>-0.3514999999999997</v>
      </c>
      <c r="AR60" s="439">
        <f>AVERAGE(AN60:AQ60)</f>
        <v>-0.31305219006147522</v>
      </c>
      <c r="AS60" s="436">
        <f>'Market Prices'!AI56</f>
        <v>0.30054838709677556</v>
      </c>
      <c r="AT60" s="437">
        <f>'Market Prices'!AJ56</f>
        <v>-0.38845312499999896</v>
      </c>
      <c r="AU60" s="437">
        <f>'Market Prices'!AK56</f>
        <v>-0.54298412698412557</v>
      </c>
      <c r="AV60" s="438">
        <f>'Market Prices'!AM56</f>
        <v>4.698950819672131</v>
      </c>
      <c r="AW60" s="439">
        <f>AVERAGE(AS60:AV60)</f>
        <v>1.0170154886961955</v>
      </c>
      <c r="AX60" s="436">
        <f>'Market Prices'!AM56</f>
        <v>4.698950819672131</v>
      </c>
      <c r="AY60" s="437">
        <f>'Market Prices'!AN56</f>
        <v>-0.19166666666666643</v>
      </c>
      <c r="AZ60" s="437">
        <f>'Market Prices'!AO56</f>
        <v>-0.30999999999999961</v>
      </c>
      <c r="BA60" s="438">
        <f>'Market Prices'!AP56</f>
        <v>0.25666666666666638</v>
      </c>
      <c r="BB60" s="439">
        <f>AVERAGE(AX60:BA60)</f>
        <v>1.113487704918033</v>
      </c>
      <c r="BC60" s="436">
        <f>'Market Prices'!AQ56</f>
        <v>1.637734667576852</v>
      </c>
      <c r="BD60" s="437">
        <f>'Market Prices'!AR56</f>
        <v>-0.69677150590554215</v>
      </c>
      <c r="BE60" s="437">
        <f>'Market Prices'!AS56</f>
        <v>-0.82532002718121711</v>
      </c>
      <c r="BF60" s="438">
        <f>'Market Prices'!AT56</f>
        <v>1.5445568651099078</v>
      </c>
      <c r="BG60" s="439">
        <f>AVERAGE(BC60:BF60)</f>
        <v>0.41504999990000013</v>
      </c>
      <c r="BH60" s="436">
        <f>'Market Prices'!AU56</f>
        <v>1.6691288195742207</v>
      </c>
      <c r="BI60" s="437">
        <f>'Market Prices'!AV56</f>
        <v>-0.704374459769459</v>
      </c>
      <c r="BJ60" s="437">
        <f>'Market Prices'!AW56</f>
        <v>-0.83498911122825525</v>
      </c>
      <c r="BK60" s="438">
        <f>'Market Prices'!AX56</f>
        <v>1.5745847514234943</v>
      </c>
      <c r="BL60" s="439">
        <f>AVERAGE(BH60:BK60)</f>
        <v>0.42608750000000017</v>
      </c>
      <c r="BM60" s="436">
        <f t="shared" ref="BM60:BM61" si="72">BN60</f>
        <v>0.47749583330000062</v>
      </c>
      <c r="BN60" s="437">
        <f t="shared" ref="BN60:BN61" si="73">BO60</f>
        <v>0.47749583330000062</v>
      </c>
      <c r="BO60" s="437">
        <f t="shared" ref="BO60:BO61" si="74">BP60</f>
        <v>0.47749583330000062</v>
      </c>
      <c r="BP60" s="438">
        <f t="shared" ref="BP60:BP61" si="75">BQ60</f>
        <v>0.47749583330000062</v>
      </c>
      <c r="BQ60" s="439">
        <f>'Market Prices'!BP56</f>
        <v>0.47749583330000062</v>
      </c>
      <c r="BR60" s="939"/>
      <c r="BS60" s="1080"/>
      <c r="BT60" s="1080"/>
      <c r="BU60" s="232"/>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823"/>
      <c r="CU60" s="232"/>
      <c r="CV60" s="232"/>
      <c r="CW60" s="232"/>
      <c r="CX60" s="232"/>
      <c r="CY60" s="232"/>
      <c r="CZ60" s="40"/>
      <c r="DA60" s="40"/>
      <c r="DB60" s="40"/>
      <c r="DC60" s="40"/>
      <c r="DD60" s="40"/>
      <c r="DE60" s="40"/>
      <c r="DF60" s="232"/>
      <c r="DG60" s="232"/>
      <c r="DH60" s="232"/>
      <c r="DI60" s="232"/>
      <c r="DJ60" s="232"/>
      <c r="DK60" s="232"/>
      <c r="DL60" s="232"/>
      <c r="DM60" s="232"/>
      <c r="DN60" s="232"/>
    </row>
    <row r="61" spans="1:118">
      <c r="A61" s="40"/>
      <c r="B61" s="1"/>
      <c r="C61" s="564" t="s">
        <v>787</v>
      </c>
      <c r="D61" s="28"/>
      <c r="E61" s="273"/>
      <c r="F61" s="3"/>
      <c r="G61" s="3"/>
      <c r="H61" s="274"/>
      <c r="I61" s="1"/>
      <c r="J61" s="273"/>
      <c r="K61" s="3"/>
      <c r="L61" s="3"/>
      <c r="M61" s="274"/>
      <c r="N61" s="25"/>
      <c r="O61" s="436"/>
      <c r="P61" s="437"/>
      <c r="Q61" s="437"/>
      <c r="R61" s="438"/>
      <c r="S61" s="439"/>
      <c r="T61" s="436"/>
      <c r="U61" s="437"/>
      <c r="V61" s="437"/>
      <c r="W61" s="438"/>
      <c r="X61" s="439"/>
      <c r="Y61" s="436">
        <f>'Market Prices'!S66</f>
        <v>0.26973333333333294</v>
      </c>
      <c r="Z61" s="437">
        <f>'Market Prices'!T66</f>
        <v>0.15754687499999775</v>
      </c>
      <c r="AA61" s="437">
        <f>'Market Prices'!U66</f>
        <v>0.23087499999999972</v>
      </c>
      <c r="AB61" s="438">
        <f>'Market Prices'!V66</f>
        <v>0.29959375000000188</v>
      </c>
      <c r="AC61" s="439">
        <f>AVERAGE(Y61:AB61)</f>
        <v>0.23943723958333307</v>
      </c>
      <c r="AD61" s="436">
        <f>'Market Prices'!W66</f>
        <v>0.30404918032786998</v>
      </c>
      <c r="AE61" s="437">
        <f>'Market Prices'!Y66</f>
        <v>0.50754687499999829</v>
      </c>
      <c r="AF61" s="437">
        <f>'Market Prices'!Y66</f>
        <v>0.50754687499999829</v>
      </c>
      <c r="AG61" s="438">
        <f>'Market Prices'!Z66</f>
        <v>0.25204687500000134</v>
      </c>
      <c r="AH61" s="439">
        <f>AVERAGE(AD61:AG61)</f>
        <v>0.39279745133196697</v>
      </c>
      <c r="AI61" s="436">
        <f>'Market Prices'!AA66</f>
        <v>-3.7548387096775215E-2</v>
      </c>
      <c r="AJ61" s="437">
        <f>'Market Prices'!AB66</f>
        <v>6.8507936507938183E-2</v>
      </c>
      <c r="AK61" s="437">
        <f>'Market Prices'!AC66</f>
        <v>0.26343749999999932</v>
      </c>
      <c r="AL61" s="438">
        <f>'Market Prices'!AD66</f>
        <v>0.35907936507936444</v>
      </c>
      <c r="AM61" s="439">
        <f>AVERAGE(AI61:AL61)</f>
        <v>0.16336910362263168</v>
      </c>
      <c r="AN61" s="436">
        <f>'Market Prices'!AE66</f>
        <v>0.10468852459016342</v>
      </c>
      <c r="AO61" s="437">
        <f>'Market Prices'!AF66</f>
        <v>7.9562500000000203E-2</v>
      </c>
      <c r="AP61" s="437">
        <f>'Market Prices'!AG66</f>
        <v>3.6515625000000718E-2</v>
      </c>
      <c r="AQ61" s="438">
        <f>'Market Prices'!AH66</f>
        <v>4.9693548387096609E-2</v>
      </c>
      <c r="AR61" s="439">
        <f>AVERAGE(AN61:AQ61)</f>
        <v>6.7615049494315238E-2</v>
      </c>
      <c r="AS61" s="436">
        <f>'Market Prices'!AI66</f>
        <v>0.15672580645161371</v>
      </c>
      <c r="AT61" s="437">
        <f>'Market Prices'!AJ66</f>
        <v>0.10859375000000027</v>
      </c>
      <c r="AU61" s="437">
        <f>'Market Prices'!AK66</f>
        <v>0.25880952380952404</v>
      </c>
      <c r="AV61" s="438">
        <f>'Market Prices'!AM66</f>
        <v>0.7802950819672132</v>
      </c>
      <c r="AW61" s="439">
        <f>AVERAGE(AS61:AV61)</f>
        <v>0.32610604055708781</v>
      </c>
      <c r="AX61" s="436">
        <f>'Market Prices'!AM66</f>
        <v>0.7802950819672132</v>
      </c>
      <c r="AY61" s="437">
        <f>'Market Prices'!AN66</f>
        <v>-0.66499999999999959</v>
      </c>
      <c r="AZ61" s="437">
        <f>'Market Prices'!AO66</f>
        <v>-0.37199999999999989</v>
      </c>
      <c r="BA61" s="438">
        <f>'Market Prices'!AP66</f>
        <v>-0.49500000000000055</v>
      </c>
      <c r="BB61" s="439">
        <f>AVERAGE(AX61:BA61)</f>
        <v>-0.18792622950819671</v>
      </c>
      <c r="BC61" s="436">
        <f>'Market Prices'!AQ66</f>
        <v>-0.30713417480557936</v>
      </c>
      <c r="BD61" s="437">
        <f>'Market Prices'!AR66</f>
        <v>-0.75064523540322092</v>
      </c>
      <c r="BE61" s="437">
        <f>'Market Prices'!AS66</f>
        <v>-0.53237727470099783</v>
      </c>
      <c r="BF61" s="438">
        <f>'Market Prices'!AT66</f>
        <v>-0.20050998189020053</v>
      </c>
      <c r="BG61" s="439">
        <f>AVERAGE(BC61:BF61)</f>
        <v>-0.44766666669999966</v>
      </c>
      <c r="BH61" s="436">
        <f>'Market Prices'!AU66</f>
        <v>-0.26491667997570767</v>
      </c>
      <c r="BI61" s="437">
        <f>'Market Prices'!AV66</f>
        <v>-0.72952134616272168</v>
      </c>
      <c r="BJ61" s="437">
        <f>'Market Prices'!AW66</f>
        <v>-0.50344822491097485</v>
      </c>
      <c r="BK61" s="438">
        <f>'Market Prices'!AX66</f>
        <v>-0.15278041575059387</v>
      </c>
      <c r="BL61" s="439">
        <f>AVERAGE(BH61:BK61)</f>
        <v>-0.41266666669999952</v>
      </c>
      <c r="BM61" s="436">
        <f t="shared" si="72"/>
        <v>-0.34916666669999963</v>
      </c>
      <c r="BN61" s="437">
        <f t="shared" si="73"/>
        <v>-0.34916666669999963</v>
      </c>
      <c r="BO61" s="437">
        <f t="shared" si="74"/>
        <v>-0.34916666669999963</v>
      </c>
      <c r="BP61" s="438">
        <f t="shared" si="75"/>
        <v>-0.34916666669999963</v>
      </c>
      <c r="BQ61" s="439">
        <f>'Market Prices'!BP66</f>
        <v>-0.34916666669999963</v>
      </c>
      <c r="BR61" s="939"/>
      <c r="BS61" s="1080"/>
      <c r="BT61" s="1080"/>
      <c r="BU61" s="232"/>
      <c r="BV61" s="40"/>
      <c r="BW61" s="40"/>
      <c r="BX61" s="40"/>
      <c r="BY61" s="40"/>
      <c r="BZ61" s="40"/>
      <c r="CA61" s="40"/>
      <c r="CB61" s="40"/>
      <c r="CC61" s="40"/>
      <c r="CD61" s="40"/>
      <c r="CE61" s="40"/>
      <c r="CF61" s="40"/>
      <c r="CG61" s="40"/>
      <c r="CH61" s="40"/>
      <c r="CI61" s="40"/>
      <c r="CJ61" s="40"/>
      <c r="CK61" s="40"/>
      <c r="CL61" s="40"/>
      <c r="CM61" s="40"/>
      <c r="CN61" s="40"/>
      <c r="CO61" s="40"/>
      <c r="CP61" s="40"/>
      <c r="CQ61" s="40"/>
      <c r="CR61" s="40"/>
      <c r="CS61" s="40"/>
      <c r="CT61" s="823"/>
      <c r="CU61" s="232"/>
      <c r="CV61" s="232"/>
      <c r="CW61" s="232"/>
      <c r="CX61" s="232"/>
      <c r="CY61" s="232"/>
      <c r="CZ61" s="40"/>
      <c r="DA61" s="40"/>
      <c r="DB61" s="40"/>
      <c r="DC61" s="40"/>
      <c r="DD61" s="40"/>
      <c r="DE61" s="40"/>
      <c r="DF61" s="232"/>
      <c r="DG61" s="232"/>
      <c r="DH61" s="232"/>
      <c r="DI61" s="232"/>
      <c r="DJ61" s="232"/>
      <c r="DK61" s="232"/>
      <c r="DL61" s="232"/>
      <c r="DM61" s="232"/>
      <c r="DN61" s="232"/>
    </row>
    <row r="62" spans="1:118">
      <c r="A62" s="40"/>
      <c r="B62" s="1"/>
      <c r="C62" s="1948" t="s">
        <v>1341</v>
      </c>
      <c r="D62" s="28"/>
      <c r="E62" s="273"/>
      <c r="F62" s="3"/>
      <c r="G62" s="3"/>
      <c r="H62" s="274"/>
      <c r="I62" s="1"/>
      <c r="J62" s="273"/>
      <c r="K62" s="3"/>
      <c r="L62" s="3"/>
      <c r="M62" s="274"/>
      <c r="N62" s="25"/>
      <c r="O62" s="436"/>
      <c r="P62" s="437"/>
      <c r="Q62" s="437"/>
      <c r="R62" s="438"/>
      <c r="S62" s="439"/>
      <c r="T62" s="436"/>
      <c r="U62" s="437"/>
      <c r="V62" s="437"/>
      <c r="W62" s="438"/>
      <c r="X62" s="439"/>
      <c r="Y62" s="436">
        <f>'Market Prices'!S61</f>
        <v>0</v>
      </c>
      <c r="Z62" s="437">
        <f>'Market Prices'!T61</f>
        <v>0</v>
      </c>
      <c r="AA62" s="437">
        <f>'Market Prices'!U61</f>
        <v>0</v>
      </c>
      <c r="AB62" s="438">
        <f>'Market Prices'!V61</f>
        <v>0</v>
      </c>
      <c r="AC62" s="439">
        <f>AVERAGE(Y62:AB62)</f>
        <v>0</v>
      </c>
      <c r="AD62" s="436">
        <f>'Market Prices'!W61</f>
        <v>0</v>
      </c>
      <c r="AE62" s="437">
        <f>'Market Prices'!Y61</f>
        <v>0</v>
      </c>
      <c r="AF62" s="437">
        <f>'Market Prices'!Y61</f>
        <v>0</v>
      </c>
      <c r="AG62" s="438">
        <f>'Market Prices'!Z61</f>
        <v>0</v>
      </c>
      <c r="AH62" s="439">
        <f>AVERAGE(AD62:AG62)</f>
        <v>0</v>
      </c>
      <c r="AI62" s="436">
        <f>'Market Prices'!AA61</f>
        <v>0</v>
      </c>
      <c r="AJ62" s="437">
        <f>'Market Prices'!AB61</f>
        <v>0</v>
      </c>
      <c r="AK62" s="437">
        <f>'Market Prices'!AC61</f>
        <v>0</v>
      </c>
      <c r="AL62" s="438">
        <f>'Market Prices'!AD61</f>
        <v>0</v>
      </c>
      <c r="AM62" s="439">
        <f>AVERAGE(AI62:AL62)</f>
        <v>0</v>
      </c>
      <c r="AN62" s="436">
        <f>'Market Prices'!AE61</f>
        <v>0</v>
      </c>
      <c r="AO62" s="437">
        <f>'Market Prices'!AF61</f>
        <v>0</v>
      </c>
      <c r="AP62" s="437">
        <f>'Market Prices'!AG61</f>
        <v>0</v>
      </c>
      <c r="AQ62" s="438">
        <f>'Market Prices'!AH61</f>
        <v>0</v>
      </c>
      <c r="AR62" s="439">
        <f>AVERAGE(AN62:AQ62)</f>
        <v>0</v>
      </c>
      <c r="AS62" s="436">
        <f>'Market Prices'!AI61</f>
        <v>0</v>
      </c>
      <c r="AT62" s="437">
        <f>'Market Prices'!AJ61</f>
        <v>0</v>
      </c>
      <c r="AU62" s="437">
        <f>'Market Prices'!AK61</f>
        <v>0</v>
      </c>
      <c r="AV62" s="438">
        <f>'Market Prices'!AM61</f>
        <v>0</v>
      </c>
      <c r="AW62" s="439">
        <f>AVERAGE(AS62:AV62)</f>
        <v>0</v>
      </c>
      <c r="AX62" s="436">
        <f>'Market Prices'!AM61</f>
        <v>0</v>
      </c>
      <c r="AY62" s="437">
        <f>'Market Prices'!AN61</f>
        <v>0</v>
      </c>
      <c r="AZ62" s="437">
        <f>'Market Prices'!AO61</f>
        <v>0</v>
      </c>
      <c r="BA62" s="438">
        <f>'Market Prices'!AP61</f>
        <v>0</v>
      </c>
      <c r="BB62" s="439">
        <f>AVERAGE(AX62:BA62)</f>
        <v>0</v>
      </c>
      <c r="BC62" s="436">
        <f>'Market Prices'!AQ61</f>
        <v>0</v>
      </c>
      <c r="BD62" s="437">
        <f>'Market Prices'!AR61</f>
        <v>0</v>
      </c>
      <c r="BE62" s="437">
        <f>'Market Prices'!AS61</f>
        <v>0</v>
      </c>
      <c r="BF62" s="438">
        <f>'Market Prices'!AT61</f>
        <v>0</v>
      </c>
      <c r="BG62" s="439">
        <f>AVERAGE(BC62:BF62)</f>
        <v>0</v>
      </c>
      <c r="BH62" s="436">
        <f>'Market Prices'!AU61</f>
        <v>0</v>
      </c>
      <c r="BI62" s="437">
        <f>'Market Prices'!AV61</f>
        <v>0</v>
      </c>
      <c r="BJ62" s="437">
        <f>'Market Prices'!AW61</f>
        <v>0</v>
      </c>
      <c r="BK62" s="438">
        <f>'Market Prices'!AX61</f>
        <v>0</v>
      </c>
      <c r="BL62" s="439">
        <f>AVERAGE(BH62:BK62)</f>
        <v>0</v>
      </c>
      <c r="BM62" s="436">
        <f>'Market Prices'!AY61</f>
        <v>-0.25</v>
      </c>
      <c r="BN62" s="437">
        <f>'Market Prices'!AZ61</f>
        <v>-0.25</v>
      </c>
      <c r="BO62" s="437">
        <f>'Market Prices'!BA61</f>
        <v>-0.25</v>
      </c>
      <c r="BP62" s="438">
        <f>'Market Prices'!BB61</f>
        <v>-0.25</v>
      </c>
      <c r="BQ62" s="439">
        <f>'Market Prices'!BP61</f>
        <v>-0.25</v>
      </c>
      <c r="BR62" s="939"/>
      <c r="BS62" s="1080"/>
      <c r="BT62" s="1080"/>
      <c r="BU62" s="232"/>
      <c r="BV62" s="40"/>
      <c r="BW62" s="40"/>
      <c r="BX62" s="40"/>
      <c r="BY62" s="40"/>
      <c r="BZ62" s="40"/>
      <c r="CA62" s="40"/>
      <c r="CB62" s="40"/>
      <c r="CC62" s="40"/>
      <c r="CD62" s="40"/>
      <c r="CE62" s="40"/>
      <c r="CF62" s="40"/>
      <c r="CG62" s="40"/>
      <c r="CH62" s="40"/>
      <c r="CI62" s="40"/>
      <c r="CJ62" s="40"/>
      <c r="CK62" s="40"/>
      <c r="CL62" s="40"/>
      <c r="CM62" s="40"/>
      <c r="CN62" s="40"/>
      <c r="CO62" s="40"/>
      <c r="CP62" s="40"/>
      <c r="CQ62" s="40"/>
      <c r="CR62" s="40"/>
      <c r="CS62" s="40"/>
      <c r="CT62" s="823"/>
      <c r="CU62" s="232"/>
      <c r="CV62" s="232"/>
      <c r="CW62" s="232"/>
      <c r="CX62" s="232"/>
      <c r="CY62" s="232"/>
      <c r="CZ62" s="40"/>
      <c r="DA62" s="40"/>
      <c r="DB62" s="40"/>
      <c r="DC62" s="40"/>
      <c r="DD62" s="40"/>
      <c r="DE62" s="40"/>
      <c r="DF62" s="232"/>
      <c r="DG62" s="232"/>
      <c r="DH62" s="232"/>
      <c r="DI62" s="232"/>
      <c r="DJ62" s="232"/>
      <c r="DK62" s="232"/>
      <c r="DL62" s="232"/>
      <c r="DM62" s="232"/>
      <c r="DN62" s="232"/>
    </row>
    <row r="63" spans="1:118">
      <c r="A63" s="40"/>
      <c r="B63" s="1"/>
      <c r="C63" s="564"/>
      <c r="D63" s="28"/>
      <c r="E63" s="273"/>
      <c r="F63" s="3"/>
      <c r="G63" s="3"/>
      <c r="H63" s="274"/>
      <c r="I63" s="1"/>
      <c r="J63" s="273"/>
      <c r="K63" s="3"/>
      <c r="L63" s="3"/>
      <c r="M63" s="274"/>
      <c r="N63" s="25"/>
      <c r="O63" s="436"/>
      <c r="P63" s="437"/>
      <c r="Q63" s="437"/>
      <c r="R63" s="438"/>
      <c r="S63" s="439"/>
      <c r="T63" s="436"/>
      <c r="U63" s="437"/>
      <c r="V63" s="437"/>
      <c r="W63" s="438"/>
      <c r="X63" s="439"/>
      <c r="Y63" s="436"/>
      <c r="Z63" s="437"/>
      <c r="AA63" s="437"/>
      <c r="AB63" s="438"/>
      <c r="AC63" s="439"/>
      <c r="AD63" s="436"/>
      <c r="AE63" s="437"/>
      <c r="AF63" s="437"/>
      <c r="AG63" s="438"/>
      <c r="AH63" s="439"/>
      <c r="AI63" s="436"/>
      <c r="AJ63" s="437"/>
      <c r="AK63" s="437"/>
      <c r="AL63" s="438"/>
      <c r="AM63" s="439"/>
      <c r="AN63" s="436"/>
      <c r="AO63" s="437"/>
      <c r="AP63" s="437"/>
      <c r="AQ63" s="438"/>
      <c r="AR63" s="439"/>
      <c r="AS63" s="436"/>
      <c r="AT63" s="437"/>
      <c r="AU63" s="437"/>
      <c r="AV63" s="438"/>
      <c r="AW63" s="439"/>
      <c r="AX63" s="436"/>
      <c r="AY63" s="437"/>
      <c r="AZ63" s="437"/>
      <c r="BA63" s="438"/>
      <c r="BB63" s="439"/>
      <c r="BC63" s="436"/>
      <c r="BD63" s="437"/>
      <c r="BE63" s="437"/>
      <c r="BF63" s="438"/>
      <c r="BG63" s="439"/>
      <c r="BH63" s="436"/>
      <c r="BI63" s="437"/>
      <c r="BJ63" s="437"/>
      <c r="BK63" s="438"/>
      <c r="BL63" s="439"/>
      <c r="BM63" s="436"/>
      <c r="BN63" s="437"/>
      <c r="BO63" s="437"/>
      <c r="BP63" s="438"/>
      <c r="BQ63" s="439"/>
      <c r="BR63" s="564"/>
      <c r="BS63" s="40"/>
      <c r="BT63" s="40"/>
      <c r="BU63" s="232"/>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823"/>
      <c r="CU63" s="232"/>
      <c r="CV63" s="232"/>
      <c r="CW63" s="232"/>
      <c r="CX63" s="232"/>
      <c r="CY63" s="232"/>
      <c r="CZ63" s="40"/>
      <c r="DA63" s="40"/>
      <c r="DB63" s="40"/>
      <c r="DC63" s="40"/>
      <c r="DD63" s="40"/>
      <c r="DE63" s="40"/>
      <c r="DF63" s="232"/>
      <c r="DG63" s="232"/>
      <c r="DH63" s="232"/>
      <c r="DI63" s="232"/>
      <c r="DJ63" s="232"/>
      <c r="DK63" s="232"/>
      <c r="DL63" s="232"/>
      <c r="DM63" s="232"/>
      <c r="DN63" s="232"/>
    </row>
    <row r="64" spans="1:118">
      <c r="A64" s="40"/>
      <c r="B64" s="1"/>
      <c r="C64" s="563" t="s">
        <v>179</v>
      </c>
      <c r="D64" s="1"/>
      <c r="E64" s="273"/>
      <c r="F64" s="3"/>
      <c r="G64" s="3"/>
      <c r="H64" s="274"/>
      <c r="I64" s="28"/>
      <c r="J64" s="273"/>
      <c r="K64" s="3"/>
      <c r="L64" s="3"/>
      <c r="M64" s="274"/>
      <c r="N64" s="1"/>
      <c r="O64" s="273"/>
      <c r="P64" s="3"/>
      <c r="Q64" s="3"/>
      <c r="R64" s="274"/>
      <c r="S64" s="1"/>
      <c r="T64" s="273"/>
      <c r="U64" s="3"/>
      <c r="V64" s="3"/>
      <c r="W64" s="274"/>
      <c r="X64" s="1"/>
      <c r="Y64" s="273"/>
      <c r="Z64" s="3"/>
      <c r="AA64" s="3"/>
      <c r="AB64" s="274"/>
      <c r="AC64" s="1"/>
      <c r="AD64" s="273"/>
      <c r="AE64" s="3"/>
      <c r="AF64" s="3"/>
      <c r="AG64" s="274"/>
      <c r="AH64" s="1"/>
      <c r="AI64" s="273"/>
      <c r="AJ64" s="3"/>
      <c r="AK64" s="3"/>
      <c r="AL64" s="274"/>
      <c r="AM64" s="1"/>
      <c r="AN64" s="273"/>
      <c r="AO64" s="3"/>
      <c r="AP64" s="3"/>
      <c r="AQ64" s="274"/>
      <c r="AR64" s="1"/>
      <c r="AS64" s="273"/>
      <c r="AT64" s="3"/>
      <c r="AU64" s="3"/>
      <c r="AV64" s="274"/>
      <c r="AW64" s="1"/>
      <c r="AX64" s="273"/>
      <c r="AY64" s="3"/>
      <c r="AZ64" s="3"/>
      <c r="BA64" s="274"/>
      <c r="BB64" s="1"/>
      <c r="BC64" s="273"/>
      <c r="BD64" s="3"/>
      <c r="BE64" s="3"/>
      <c r="BF64" s="274"/>
      <c r="BG64" s="1"/>
      <c r="BH64" s="273"/>
      <c r="BI64" s="3"/>
      <c r="BJ64" s="3"/>
      <c r="BK64" s="274"/>
      <c r="BL64" s="1"/>
      <c r="BM64" s="273"/>
      <c r="BN64" s="3"/>
      <c r="BO64" s="3"/>
      <c r="BP64" s="274"/>
      <c r="BQ64" s="1"/>
      <c r="BR64" s="1550"/>
      <c r="BS64" s="439"/>
      <c r="BT64" s="439"/>
      <c r="BU64" s="232"/>
      <c r="BV64" s="1157"/>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823"/>
      <c r="CU64" s="232"/>
      <c r="CV64" s="232"/>
      <c r="CW64" s="232"/>
      <c r="CX64" s="232"/>
      <c r="CY64" s="232"/>
      <c r="CZ64" s="40"/>
      <c r="DA64" s="40"/>
      <c r="DB64" s="40"/>
      <c r="DC64" s="40"/>
      <c r="DD64" s="40"/>
      <c r="DE64" s="40"/>
      <c r="DF64" s="232"/>
      <c r="DG64" s="232"/>
      <c r="DH64" s="232"/>
      <c r="DI64" s="232"/>
      <c r="DJ64" s="232"/>
      <c r="DK64" s="232"/>
      <c r="DL64" s="232"/>
      <c r="DM64" s="232"/>
      <c r="DN64" s="232"/>
    </row>
    <row r="65" spans="1:118">
      <c r="A65" s="40"/>
      <c r="B65" s="1"/>
      <c r="C65" s="564" t="s">
        <v>813</v>
      </c>
      <c r="D65" s="1"/>
      <c r="E65" s="273"/>
      <c r="F65" s="3"/>
      <c r="G65" s="3"/>
      <c r="H65" s="274"/>
      <c r="I65" s="28"/>
      <c r="J65" s="273"/>
      <c r="K65" s="3"/>
      <c r="L65" s="3"/>
      <c r="M65" s="274"/>
      <c r="N65" s="1"/>
      <c r="O65" s="273"/>
      <c r="P65" s="3"/>
      <c r="Q65" s="3"/>
      <c r="R65" s="274"/>
      <c r="S65" s="1"/>
      <c r="T65" s="436"/>
      <c r="U65" s="437"/>
      <c r="V65" s="437"/>
      <c r="W65" s="438"/>
      <c r="X65" s="439"/>
      <c r="Y65" s="436">
        <f t="shared" ref="Y65:AB66" si="76">(Y$51+Y$60)*Y98/1000+Y$55</f>
        <v>89.765515873015843</v>
      </c>
      <c r="Z65" s="437">
        <f t="shared" si="76"/>
        <v>45.06300781249999</v>
      </c>
      <c r="AA65" s="437">
        <f t="shared" si="76"/>
        <v>54.984013671875005</v>
      </c>
      <c r="AB65" s="438">
        <f t="shared" si="76"/>
        <v>67.341074218749995</v>
      </c>
      <c r="AC65" s="439">
        <f>AVERAGE(Y65:AB65)</f>
        <v>64.288402894035215</v>
      </c>
      <c r="AD65" s="436">
        <f t="shared" ref="AD65:AG66" si="77">(AD$51+AD$60)*AD98/1000+AD$55</f>
        <v>167.3350595238096</v>
      </c>
      <c r="AE65" s="437">
        <f t="shared" si="77"/>
        <v>41.33302734374999</v>
      </c>
      <c r="AF65" s="437">
        <f t="shared" si="77"/>
        <v>41.33302734374999</v>
      </c>
      <c r="AG65" s="438">
        <f t="shared" si="77"/>
        <v>48.027636718750003</v>
      </c>
      <c r="AH65" s="439">
        <f>AVERAGE(AD65:AG65)</f>
        <v>74.507187732514893</v>
      </c>
      <c r="AI65" s="436">
        <f t="shared" ref="AI65:AL66" si="78">(AI$51+AI$60)*AI98/1000+AI$55</f>
        <v>87.659980158730164</v>
      </c>
      <c r="AJ65" s="437">
        <f t="shared" si="78"/>
        <v>28.370332031249998</v>
      </c>
      <c r="AK65" s="437">
        <f t="shared" si="78"/>
        <v>42.395605769230762</v>
      </c>
      <c r="AL65" s="438">
        <f t="shared" si="78"/>
        <v>33.06513671874999</v>
      </c>
      <c r="AM65" s="439">
        <f>AVERAGE(AI65:AL65)</f>
        <v>47.872763669490226</v>
      </c>
      <c r="AN65" s="436">
        <f t="shared" ref="AN65:AQ66" si="79">(AN$51+AN$60)*AN98/1000+AN$55</f>
        <v>30.31946289062499</v>
      </c>
      <c r="AO65" s="437">
        <f t="shared" si="79"/>
        <v>28.207148437500003</v>
      </c>
      <c r="AP65" s="437">
        <f t="shared" si="79"/>
        <v>42.730703124999998</v>
      </c>
      <c r="AQ65" s="438">
        <f t="shared" si="79"/>
        <v>38.680972222222231</v>
      </c>
      <c r="AR65" s="439">
        <f>AVERAGE(AN65:AQ65)</f>
        <v>34.984571668836807</v>
      </c>
      <c r="AS65" s="436">
        <f t="shared" ref="AS65:AT66" si="80">(AS$51+AS$60)*AS98/1000+AS$55</f>
        <v>33.978535156249976</v>
      </c>
      <c r="AT65" s="437">
        <f t="shared" si="80"/>
        <v>33.298916015625025</v>
      </c>
      <c r="AU65" s="437">
        <f t="shared" ref="AU65:AV65" si="81">(AU$51+AU$60)*AU98/1000+AU$55</f>
        <v>31.712827380952373</v>
      </c>
      <c r="AV65" s="438">
        <f t="shared" si="81"/>
        <v>62.437333984375016</v>
      </c>
      <c r="AW65" s="439">
        <f>AVERAGE(AS65:AV65)</f>
        <v>40.356903134300595</v>
      </c>
      <c r="AX65" s="436">
        <f t="shared" ref="AX65:BA66" si="82">(AX$51+AX$60)*AX98/1000+AX$55</f>
        <v>62.437333984375016</v>
      </c>
      <c r="AY65" s="437">
        <f t="shared" si="82"/>
        <v>32.65</v>
      </c>
      <c r="AZ65" s="437">
        <f t="shared" si="82"/>
        <v>35.383333333333326</v>
      </c>
      <c r="BA65" s="438">
        <f t="shared" si="82"/>
        <v>42.35</v>
      </c>
      <c r="BB65" s="439">
        <f>AVERAGE(AX65:BA65)</f>
        <v>43.205166829427085</v>
      </c>
      <c r="BC65" s="436">
        <f t="shared" ref="BC65:BF66" si="83">(BC$51+BC$60)*BC98/1000+BC$55</f>
        <v>73.199444871908241</v>
      </c>
      <c r="BD65" s="437">
        <f t="shared" si="83"/>
        <v>31.598138616301913</v>
      </c>
      <c r="BE65" s="437">
        <f t="shared" si="83"/>
        <v>36.852856695587477</v>
      </c>
      <c r="BF65" s="438">
        <f t="shared" si="83"/>
        <v>38.566226482602353</v>
      </c>
      <c r="BG65" s="439">
        <f>AVERAGE(BC65:BF65)</f>
        <v>45.054166666599997</v>
      </c>
      <c r="BH65" s="436">
        <f t="shared" ref="BH65:BK66" si="84">(BH$51+BH$60)*BH98/1000+BH$55</f>
        <v>73.199444871908241</v>
      </c>
      <c r="BI65" s="437">
        <f t="shared" si="84"/>
        <v>31.598138616301917</v>
      </c>
      <c r="BJ65" s="437">
        <f t="shared" si="84"/>
        <v>36.852856695587484</v>
      </c>
      <c r="BK65" s="438">
        <f t="shared" si="84"/>
        <v>38.566226482602353</v>
      </c>
      <c r="BL65" s="439">
        <f>AVERAGE(BH65:BK65)</f>
        <v>45.054166666600004</v>
      </c>
      <c r="BM65" s="436">
        <f t="shared" ref="BM65:BP65" si="85">(BM$51+BM$60)*BM98/1000+BM$55</f>
        <v>43.942071644216981</v>
      </c>
      <c r="BN65" s="437">
        <f t="shared" si="85"/>
        <v>43.942071644216981</v>
      </c>
      <c r="BO65" s="437">
        <f t="shared" si="85"/>
        <v>43.942071644216981</v>
      </c>
      <c r="BP65" s="438">
        <f t="shared" si="85"/>
        <v>43.942071644216981</v>
      </c>
      <c r="BQ65" s="439">
        <f>AVERAGE(BM65:BP65)</f>
        <v>43.942071644216981</v>
      </c>
      <c r="BR65" s="1550"/>
      <c r="BS65" s="439"/>
      <c r="BT65" s="439"/>
      <c r="BU65" s="232"/>
      <c r="BV65" s="40"/>
      <c r="BW65" s="40"/>
      <c r="BX65" s="40"/>
      <c r="BY65" s="40"/>
      <c r="BZ65" s="40"/>
      <c r="CA65" s="40"/>
      <c r="CB65" s="40"/>
      <c r="CC65" s="40"/>
      <c r="CD65" s="40"/>
      <c r="CE65" s="40"/>
      <c r="CF65" s="40"/>
      <c r="CG65" s="40"/>
      <c r="CH65" s="40"/>
      <c r="CI65" s="40"/>
      <c r="CJ65" s="40"/>
      <c r="CK65" s="40"/>
      <c r="CL65" s="40"/>
      <c r="CM65" s="40"/>
      <c r="CN65" s="40"/>
      <c r="CO65" s="40"/>
      <c r="CP65" s="40"/>
      <c r="CQ65" s="40"/>
      <c r="CR65" s="40"/>
      <c r="CS65" s="40"/>
      <c r="CT65" s="823"/>
      <c r="CU65" s="232"/>
      <c r="CV65" s="232"/>
      <c r="CW65" s="232"/>
      <c r="CX65" s="232"/>
      <c r="CY65" s="232"/>
      <c r="CZ65" s="40"/>
      <c r="DA65" s="40"/>
      <c r="DB65" s="40"/>
      <c r="DC65" s="40"/>
      <c r="DD65" s="40"/>
      <c r="DE65" s="40"/>
      <c r="DF65" s="232"/>
      <c r="DG65" s="232"/>
      <c r="DH65" s="232"/>
      <c r="DI65" s="232"/>
      <c r="DJ65" s="232"/>
      <c r="DK65" s="232"/>
      <c r="DL65" s="232"/>
      <c r="DM65" s="232"/>
      <c r="DN65" s="232"/>
    </row>
    <row r="66" spans="1:118">
      <c r="A66" s="40"/>
      <c r="B66" s="1"/>
      <c r="C66" s="564" t="s">
        <v>814</v>
      </c>
      <c r="D66" s="1"/>
      <c r="E66" s="273"/>
      <c r="F66" s="3"/>
      <c r="G66" s="3"/>
      <c r="H66" s="274"/>
      <c r="I66" s="28"/>
      <c r="J66" s="273"/>
      <c r="K66" s="3"/>
      <c r="L66" s="3"/>
      <c r="M66" s="274"/>
      <c r="N66" s="1"/>
      <c r="O66" s="273"/>
      <c r="P66" s="3"/>
      <c r="Q66" s="3"/>
      <c r="R66" s="274"/>
      <c r="S66" s="1"/>
      <c r="T66" s="436"/>
      <c r="U66" s="437"/>
      <c r="V66" s="437"/>
      <c r="W66" s="438"/>
      <c r="X66" s="439"/>
      <c r="Y66" s="436">
        <f t="shared" si="76"/>
        <v>72.617844806763287</v>
      </c>
      <c r="Z66" s="437">
        <f t="shared" si="76"/>
        <v>34.133154761904763</v>
      </c>
      <c r="AA66" s="437">
        <f t="shared" si="76"/>
        <v>30.454148550724629</v>
      </c>
      <c r="AB66" s="438">
        <f t="shared" si="76"/>
        <v>51.12213387681161</v>
      </c>
      <c r="AC66" s="439">
        <f>AVERAGE(Y66:AB66)</f>
        <v>47.081820499051069</v>
      </c>
      <c r="AD66" s="436">
        <f t="shared" si="77"/>
        <v>125.17613546698867</v>
      </c>
      <c r="AE66" s="437">
        <f t="shared" si="77"/>
        <v>26.776259057971</v>
      </c>
      <c r="AF66" s="437">
        <f t="shared" si="77"/>
        <v>26.776259057971</v>
      </c>
      <c r="AG66" s="438">
        <f t="shared" si="77"/>
        <v>31.050057065217374</v>
      </c>
      <c r="AH66" s="439">
        <f>AVERAGE(AD66:AG66)</f>
        <v>52.444677662037009</v>
      </c>
      <c r="AI66" s="436">
        <f t="shared" si="78"/>
        <v>74.709404790660244</v>
      </c>
      <c r="AJ66" s="437">
        <f t="shared" si="78"/>
        <v>18.747051282051284</v>
      </c>
      <c r="AK66" s="437">
        <f t="shared" si="78"/>
        <v>22.344044384057977</v>
      </c>
      <c r="AL66" s="438">
        <f t="shared" si="78"/>
        <v>20.198206884057964</v>
      </c>
      <c r="AM66" s="439">
        <f>AVERAGE(AI66:AL66)</f>
        <v>33.99967683520687</v>
      </c>
      <c r="AN66" s="436">
        <f t="shared" si="79"/>
        <v>22.403306059882151</v>
      </c>
      <c r="AO66" s="437">
        <f t="shared" si="79"/>
        <v>18.611707875457874</v>
      </c>
      <c r="AP66" s="437">
        <f t="shared" si="79"/>
        <v>21.732721920289862</v>
      </c>
      <c r="AQ66" s="438">
        <f t="shared" si="79"/>
        <v>28.745413949275392</v>
      </c>
      <c r="AR66" s="439">
        <f>AVERAGE(AN66:AQ66)</f>
        <v>22.873287451226318</v>
      </c>
      <c r="AS66" s="436">
        <f t="shared" si="80"/>
        <v>30.265937600644126</v>
      </c>
      <c r="AT66" s="437">
        <f t="shared" si="80"/>
        <v>22.968333333333337</v>
      </c>
      <c r="AU66" s="437">
        <f t="shared" ref="AU66:AV66" si="86">(AU$51+AU$60)*AU99/1000+AU$55</f>
        <v>19.421938405797103</v>
      </c>
      <c r="AV66" s="438">
        <f t="shared" si="86"/>
        <v>55.496529991948492</v>
      </c>
      <c r="AW66" s="439">
        <f>AVERAGE(AS66:AV66)</f>
        <v>32.038184832930767</v>
      </c>
      <c r="AX66" s="436">
        <f t="shared" si="82"/>
        <v>55.496529991948492</v>
      </c>
      <c r="AY66" s="437">
        <f t="shared" si="82"/>
        <v>24.166666666666671</v>
      </c>
      <c r="AZ66" s="437">
        <f t="shared" si="82"/>
        <v>23.300000000000004</v>
      </c>
      <c r="BA66" s="438">
        <f t="shared" si="82"/>
        <v>33.700000000000003</v>
      </c>
      <c r="BB66" s="439">
        <f>AVERAGE(AX66:BA66)</f>
        <v>34.165799164653791</v>
      </c>
      <c r="BC66" s="436">
        <f t="shared" si="83"/>
        <v>56.863680246618706</v>
      </c>
      <c r="BD66" s="437">
        <f t="shared" si="83"/>
        <v>22.402357917897522</v>
      </c>
      <c r="BE66" s="437">
        <f t="shared" si="83"/>
        <v>23.701528116853666</v>
      </c>
      <c r="BF66" s="438">
        <f t="shared" si="83"/>
        <v>32.932400385030085</v>
      </c>
      <c r="BG66" s="439">
        <f>AVERAGE(BC66:BF66)</f>
        <v>33.974991666599998</v>
      </c>
      <c r="BH66" s="436">
        <f t="shared" si="84"/>
        <v>56.696324969164479</v>
      </c>
      <c r="BI66" s="437">
        <f t="shared" si="84"/>
        <v>22.336425624934453</v>
      </c>
      <c r="BJ66" s="437">
        <f t="shared" si="84"/>
        <v>23.631772241101654</v>
      </c>
      <c r="BK66" s="438">
        <f t="shared" si="84"/>
        <v>32.8354771647994</v>
      </c>
      <c r="BL66" s="439">
        <f>AVERAGE(BH66:BK66)</f>
        <v>33.875</v>
      </c>
      <c r="BM66" s="436">
        <f t="shared" ref="BM66:BP66" si="87">(BM$51+BM$60)*BM99/1000+BM$55</f>
        <v>33.160251611814239</v>
      </c>
      <c r="BN66" s="437">
        <f t="shared" si="87"/>
        <v>33.160251611814239</v>
      </c>
      <c r="BO66" s="437">
        <f t="shared" si="87"/>
        <v>33.160251611814239</v>
      </c>
      <c r="BP66" s="438">
        <f t="shared" si="87"/>
        <v>33.160251611814239</v>
      </c>
      <c r="BQ66" s="439">
        <f>AVERAGE(BM66:BP66)</f>
        <v>33.160251611814239</v>
      </c>
      <c r="BR66" s="1550"/>
      <c r="BS66" s="439"/>
      <c r="BT66" s="439"/>
      <c r="BU66" s="232"/>
      <c r="BV66" s="40"/>
      <c r="BW66" s="1080"/>
      <c r="BX66" s="1080"/>
      <c r="BY66" s="1080"/>
      <c r="BZ66" s="1080"/>
      <c r="CA66" s="1080"/>
      <c r="CB66" s="1080"/>
      <c r="CC66" s="1080"/>
      <c r="CD66" s="40"/>
      <c r="CE66" s="40"/>
      <c r="CF66" s="40"/>
      <c r="CG66" s="40"/>
      <c r="CH66" s="40"/>
      <c r="CI66" s="40"/>
      <c r="CJ66" s="40"/>
      <c r="CK66" s="40"/>
      <c r="CL66" s="40"/>
      <c r="CM66" s="40"/>
      <c r="CN66" s="40"/>
      <c r="CO66" s="40"/>
      <c r="CP66" s="40"/>
      <c r="CQ66" s="40"/>
      <c r="CR66" s="40"/>
      <c r="CS66" s="40"/>
      <c r="CT66" s="823"/>
      <c r="CU66" s="232"/>
      <c r="CV66" s="232"/>
      <c r="CW66" s="232"/>
      <c r="CX66" s="232"/>
      <c r="CY66" s="232"/>
      <c r="CZ66" s="40"/>
      <c r="DA66" s="40"/>
      <c r="DB66" s="40"/>
      <c r="DC66" s="40"/>
      <c r="DD66" s="40"/>
      <c r="DE66" s="40"/>
      <c r="DF66" s="232"/>
      <c r="DG66" s="232"/>
      <c r="DH66" s="232"/>
      <c r="DI66" s="232"/>
      <c r="DJ66" s="232"/>
      <c r="DK66" s="232"/>
      <c r="DL66" s="232"/>
      <c r="DM66" s="232"/>
      <c r="DN66" s="232"/>
    </row>
    <row r="67" spans="1:118">
      <c r="A67" s="40"/>
      <c r="B67" s="1"/>
      <c r="C67" s="564" t="s">
        <v>166</v>
      </c>
      <c r="D67" s="1"/>
      <c r="E67" s="273"/>
      <c r="F67" s="3"/>
      <c r="G67" s="3"/>
      <c r="H67" s="274"/>
      <c r="I67" s="28"/>
      <c r="J67" s="273"/>
      <c r="K67" s="3"/>
      <c r="L67" s="3"/>
      <c r="M67" s="274"/>
      <c r="N67" s="1"/>
      <c r="O67" s="273"/>
      <c r="P67" s="3"/>
      <c r="Q67" s="3"/>
      <c r="R67" s="274"/>
      <c r="S67" s="1"/>
      <c r="T67" s="436"/>
      <c r="U67" s="437"/>
      <c r="V67" s="437"/>
      <c r="W67" s="438"/>
      <c r="X67" s="439"/>
      <c r="Y67" s="436">
        <f t="shared" ref="Y67:BL67" si="88">Y65*47.5%+Y66*52.5%</f>
        <v>80.76298856323325</v>
      </c>
      <c r="Z67" s="437">
        <f t="shared" si="88"/>
        <v>39.324834960937494</v>
      </c>
      <c r="AA67" s="437">
        <f t="shared" si="88"/>
        <v>42.105834483271053</v>
      </c>
      <c r="AB67" s="438">
        <f t="shared" si="88"/>
        <v>58.826130539232338</v>
      </c>
      <c r="AC67" s="439">
        <f t="shared" si="88"/>
        <v>55.254947136668534</v>
      </c>
      <c r="AD67" s="436">
        <f t="shared" si="88"/>
        <v>145.20162439397859</v>
      </c>
      <c r="AE67" s="437">
        <f t="shared" si="88"/>
        <v>33.69072399371602</v>
      </c>
      <c r="AF67" s="437">
        <f t="shared" si="88"/>
        <v>33.69072399371602</v>
      </c>
      <c r="AG67" s="438">
        <f t="shared" si="88"/>
        <v>39.114407400645376</v>
      </c>
      <c r="AH67" s="439">
        <f t="shared" si="88"/>
        <v>62.924369945514002</v>
      </c>
      <c r="AI67" s="436">
        <f t="shared" si="88"/>
        <v>80.860928090493445</v>
      </c>
      <c r="AJ67" s="437">
        <f t="shared" si="88"/>
        <v>23.318109637920671</v>
      </c>
      <c r="AK67" s="437">
        <f t="shared" si="88"/>
        <v>31.868536042015048</v>
      </c>
      <c r="AL67" s="438">
        <f t="shared" si="88"/>
        <v>26.309998555536676</v>
      </c>
      <c r="AM67" s="439">
        <f t="shared" si="88"/>
        <v>40.589393081491465</v>
      </c>
      <c r="AN67" s="436">
        <f t="shared" si="88"/>
        <v>26.163480554484998</v>
      </c>
      <c r="AO67" s="437">
        <f t="shared" si="88"/>
        <v>23.169542142427886</v>
      </c>
      <c r="AP67" s="437">
        <f t="shared" si="88"/>
        <v>31.706762992527175</v>
      </c>
      <c r="AQ67" s="438">
        <f t="shared" si="88"/>
        <v>33.464804128925138</v>
      </c>
      <c r="AR67" s="439">
        <f t="shared" si="88"/>
        <v>28.626147454591301</v>
      </c>
      <c r="AS67" s="436">
        <f t="shared" si="88"/>
        <v>32.029421439556906</v>
      </c>
      <c r="AT67" s="437">
        <f t="shared" si="88"/>
        <v>27.875360107421891</v>
      </c>
      <c r="AU67" s="437">
        <f t="shared" ref="AU67:AW67" si="89">AU65*47.5%+AU66*52.5%</f>
        <v>25.260110668995857</v>
      </c>
      <c r="AV67" s="438">
        <f t="shared" si="89"/>
        <v>58.793411888351088</v>
      </c>
      <c r="AW67" s="439">
        <f t="shared" si="89"/>
        <v>35.989576026081437</v>
      </c>
      <c r="AX67" s="436">
        <f t="shared" si="88"/>
        <v>58.793411888351088</v>
      </c>
      <c r="AY67" s="437">
        <f t="shared" si="88"/>
        <v>28.196250000000003</v>
      </c>
      <c r="AZ67" s="437">
        <f t="shared" si="88"/>
        <v>29.039583333333333</v>
      </c>
      <c r="BA67" s="438">
        <f t="shared" si="88"/>
        <v>37.808750000000003</v>
      </c>
      <c r="BB67" s="439">
        <f t="shared" si="88"/>
        <v>38.459498805421106</v>
      </c>
      <c r="BC67" s="436">
        <f t="shared" si="88"/>
        <v>64.623168443631229</v>
      </c>
      <c r="BD67" s="437">
        <f t="shared" si="88"/>
        <v>26.770353749639611</v>
      </c>
      <c r="BE67" s="437">
        <f t="shared" si="88"/>
        <v>29.948409191752226</v>
      </c>
      <c r="BF67" s="438">
        <f t="shared" si="88"/>
        <v>35.608467781376916</v>
      </c>
      <c r="BG67" s="439">
        <f t="shared" si="88"/>
        <v>39.237599791599997</v>
      </c>
      <c r="BH67" s="436">
        <f t="shared" si="88"/>
        <v>64.535306922967763</v>
      </c>
      <c r="BI67" s="437">
        <f t="shared" si="88"/>
        <v>26.735739295834001</v>
      </c>
      <c r="BJ67" s="437">
        <f t="shared" si="88"/>
        <v>29.911787356982423</v>
      </c>
      <c r="BK67" s="438">
        <f t="shared" si="88"/>
        <v>35.557583090755799</v>
      </c>
      <c r="BL67" s="439">
        <f t="shared" si="88"/>
        <v>39.185104166635</v>
      </c>
      <c r="BM67" s="436">
        <f t="shared" ref="BM67:BQ67" si="90">BM65*47.5%+BM66*52.5%</f>
        <v>38.281616127205538</v>
      </c>
      <c r="BN67" s="437">
        <f t="shared" si="90"/>
        <v>38.281616127205538</v>
      </c>
      <c r="BO67" s="437">
        <f t="shared" si="90"/>
        <v>38.281616127205538</v>
      </c>
      <c r="BP67" s="438">
        <f t="shared" si="90"/>
        <v>38.281616127205538</v>
      </c>
      <c r="BQ67" s="439">
        <f t="shared" si="90"/>
        <v>38.281616127205538</v>
      </c>
      <c r="BR67" s="1550"/>
      <c r="BS67" s="439"/>
      <c r="BT67" s="439"/>
      <c r="BU67" s="232"/>
      <c r="BV67" s="40"/>
      <c r="BW67" s="1080"/>
      <c r="BX67" s="1080"/>
      <c r="BY67" s="1080"/>
      <c r="BZ67" s="1080"/>
      <c r="CA67" s="1080"/>
      <c r="CB67" s="1080"/>
      <c r="CC67" s="1080"/>
      <c r="CD67" s="40"/>
      <c r="CE67" s="40"/>
      <c r="CF67" s="40"/>
      <c r="CG67" s="40"/>
      <c r="CH67" s="40"/>
      <c r="CI67" s="40"/>
      <c r="CJ67" s="40"/>
      <c r="CK67" s="40"/>
      <c r="CL67" s="40"/>
      <c r="CM67" s="40"/>
      <c r="CN67" s="40"/>
      <c r="CO67" s="40"/>
      <c r="CP67" s="40"/>
      <c r="CQ67" s="40"/>
      <c r="CR67" s="40"/>
      <c r="CS67" s="40"/>
      <c r="CT67" s="823"/>
      <c r="CU67" s="232"/>
      <c r="CV67" s="232"/>
      <c r="CW67" s="232"/>
      <c r="CX67" s="232"/>
      <c r="CY67" s="232"/>
      <c r="CZ67" s="40"/>
      <c r="DA67" s="40"/>
      <c r="DB67" s="40"/>
      <c r="DC67" s="40"/>
      <c r="DD67" s="40"/>
      <c r="DE67" s="40"/>
      <c r="DF67" s="232"/>
      <c r="DG67" s="232"/>
      <c r="DH67" s="232"/>
      <c r="DI67" s="232"/>
      <c r="DJ67" s="232"/>
      <c r="DK67" s="232"/>
      <c r="DL67" s="232"/>
      <c r="DM67" s="232"/>
      <c r="DN67" s="232"/>
    </row>
    <row r="68" spans="1:118">
      <c r="A68" s="40"/>
      <c r="B68" s="1"/>
      <c r="C68" s="564"/>
      <c r="D68" s="1"/>
      <c r="E68" s="273"/>
      <c r="F68" s="3"/>
      <c r="G68" s="3"/>
      <c r="H68" s="274"/>
      <c r="I68" s="28"/>
      <c r="J68" s="273"/>
      <c r="K68" s="3"/>
      <c r="L68" s="3"/>
      <c r="M68" s="274"/>
      <c r="N68" s="1"/>
      <c r="O68" s="273"/>
      <c r="P68" s="3"/>
      <c r="Q68" s="3"/>
      <c r="R68" s="274"/>
      <c r="S68" s="1"/>
      <c r="T68" s="436"/>
      <c r="U68" s="437"/>
      <c r="V68" s="437"/>
      <c r="W68" s="438"/>
      <c r="X68" s="439"/>
      <c r="Y68" s="436"/>
      <c r="Z68" s="437"/>
      <c r="AA68" s="437"/>
      <c r="AB68" s="438"/>
      <c r="AC68" s="439"/>
      <c r="AD68" s="436"/>
      <c r="AE68" s="437"/>
      <c r="AF68" s="437"/>
      <c r="AG68" s="438"/>
      <c r="AH68" s="439"/>
      <c r="AI68" s="436"/>
      <c r="AJ68" s="437"/>
      <c r="AK68" s="437"/>
      <c r="AL68" s="438"/>
      <c r="AM68" s="439"/>
      <c r="AN68" s="436"/>
      <c r="AO68" s="437"/>
      <c r="AP68" s="437"/>
      <c r="AQ68" s="438"/>
      <c r="AR68" s="439"/>
      <c r="AS68" s="436"/>
      <c r="AT68" s="437"/>
      <c r="AU68" s="437"/>
      <c r="AV68" s="438"/>
      <c r="AW68" s="439"/>
      <c r="AX68" s="436"/>
      <c r="AY68" s="437"/>
      <c r="AZ68" s="437"/>
      <c r="BA68" s="438"/>
      <c r="BB68" s="439"/>
      <c r="BC68" s="436"/>
      <c r="BD68" s="437"/>
      <c r="BE68" s="437"/>
      <c r="BF68" s="438"/>
      <c r="BG68" s="439"/>
      <c r="BH68" s="436"/>
      <c r="BI68" s="437"/>
      <c r="BJ68" s="437"/>
      <c r="BK68" s="438"/>
      <c r="BL68" s="439"/>
      <c r="BM68" s="436"/>
      <c r="BN68" s="437"/>
      <c r="BO68" s="437"/>
      <c r="BP68" s="438"/>
      <c r="BQ68" s="439"/>
      <c r="BR68" s="1550"/>
      <c r="BS68" s="439"/>
      <c r="BT68" s="439"/>
      <c r="BU68" s="232"/>
      <c r="BV68" s="156"/>
      <c r="BW68" s="1080"/>
      <c r="BX68" s="1080"/>
      <c r="BY68" s="1080"/>
      <c r="BZ68" s="1080"/>
      <c r="CA68" s="1080"/>
      <c r="CB68" s="1080"/>
      <c r="CC68" s="1080"/>
      <c r="CD68" s="40"/>
      <c r="CE68" s="40"/>
      <c r="CF68" s="40"/>
      <c r="CG68" s="40"/>
      <c r="CH68" s="40"/>
      <c r="CI68" s="40"/>
      <c r="CJ68" s="40"/>
      <c r="CK68" s="40"/>
      <c r="CL68" s="40"/>
      <c r="CM68" s="40"/>
      <c r="CN68" s="40"/>
      <c r="CO68" s="40"/>
      <c r="CP68" s="40"/>
      <c r="CQ68" s="40"/>
      <c r="CR68" s="40"/>
      <c r="CS68" s="40"/>
      <c r="CT68" s="823"/>
      <c r="CU68" s="232"/>
      <c r="CV68" s="232"/>
      <c r="CW68" s="232"/>
      <c r="CX68" s="232"/>
      <c r="CY68" s="232"/>
      <c r="CZ68" s="40"/>
      <c r="DA68" s="40"/>
      <c r="DB68" s="40"/>
      <c r="DC68" s="40"/>
      <c r="DD68" s="40"/>
      <c r="DE68" s="40"/>
      <c r="DF68" s="232"/>
      <c r="DG68" s="232"/>
      <c r="DH68" s="232"/>
      <c r="DI68" s="232"/>
      <c r="DJ68" s="232"/>
      <c r="DK68" s="232"/>
      <c r="DL68" s="232"/>
      <c r="DM68" s="232"/>
      <c r="DN68" s="232"/>
    </row>
    <row r="69" spans="1:118">
      <c r="A69" s="40"/>
      <c r="B69" s="1"/>
      <c r="C69" s="564" t="s">
        <v>815</v>
      </c>
      <c r="D69" s="1"/>
      <c r="E69" s="273"/>
      <c r="F69" s="3"/>
      <c r="G69" s="3"/>
      <c r="H69" s="274"/>
      <c r="I69" s="28"/>
      <c r="J69" s="273"/>
      <c r="K69" s="3"/>
      <c r="L69" s="3"/>
      <c r="M69" s="274"/>
      <c r="N69" s="1"/>
      <c r="O69" s="273"/>
      <c r="P69" s="3"/>
      <c r="Q69" s="3"/>
      <c r="R69" s="274"/>
      <c r="S69" s="1"/>
      <c r="T69" s="436"/>
      <c r="U69" s="437"/>
      <c r="V69" s="437"/>
      <c r="W69" s="438"/>
      <c r="X69" s="439"/>
      <c r="Y69" s="436">
        <f t="shared" ref="Y69:AB70" si="91">(Y$51+Y$59)*Y101/1000+Y$55</f>
        <v>45.623531746031752</v>
      </c>
      <c r="Z69" s="437">
        <f t="shared" si="91"/>
        <v>40.663671874999991</v>
      </c>
      <c r="AA69" s="437">
        <f t="shared" si="91"/>
        <v>53.937705078124999</v>
      </c>
      <c r="AB69" s="438">
        <f t="shared" si="91"/>
        <v>46.228017578124991</v>
      </c>
      <c r="AC69" s="439">
        <f>AVERAGE(Y69:AB69)</f>
        <v>46.613231569320433</v>
      </c>
      <c r="AD69" s="436">
        <f t="shared" ref="AD69:AG70" si="92">(AD$51+AD$59)*AD101/1000+AD$55</f>
        <v>105.87010912698418</v>
      </c>
      <c r="AE69" s="437">
        <f t="shared" si="92"/>
        <v>43.024843750000009</v>
      </c>
      <c r="AF69" s="437">
        <f t="shared" si="92"/>
        <v>43.024843750000009</v>
      </c>
      <c r="AG69" s="438">
        <f t="shared" si="92"/>
        <v>39.284560546874999</v>
      </c>
      <c r="AH69" s="439">
        <f>AVERAGE(AD69:AG69)</f>
        <v>57.801089293464798</v>
      </c>
      <c r="AI69" s="436">
        <f t="shared" ref="AI69:AL70" si="93">(AI$51+AI$59)*AI101/1000+AI$55</f>
        <v>53.16058531746031</v>
      </c>
      <c r="AJ69" s="437">
        <f t="shared" si="93"/>
        <v>38.357529296875022</v>
      </c>
      <c r="AK69" s="437">
        <f t="shared" si="93"/>
        <v>40.580288461538458</v>
      </c>
      <c r="AL69" s="438">
        <f t="shared" si="93"/>
        <v>34.609042968750003</v>
      </c>
      <c r="AM69" s="439">
        <f>AVERAGE(AI69:AL69)</f>
        <v>41.676861511155948</v>
      </c>
      <c r="AN69" s="436">
        <f t="shared" ref="AN69:AQ70" si="94">(AN$51+AN$59)*AN101/1000+AN$55</f>
        <v>30.752001953124989</v>
      </c>
      <c r="AO69" s="437">
        <f t="shared" si="94"/>
        <v>35.76955078124999</v>
      </c>
      <c r="AP69" s="437">
        <f t="shared" si="94"/>
        <v>46.082998046874998</v>
      </c>
      <c r="AQ69" s="438">
        <f t="shared" si="94"/>
        <v>27.32274801587301</v>
      </c>
      <c r="AR69" s="439">
        <f>AVERAGE(AN69:AQ69)</f>
        <v>34.981824699280743</v>
      </c>
      <c r="AS69" s="436">
        <f t="shared" ref="AS69:AT70" si="95">(AS$51+AS$59)*AS101/1000+AS$55</f>
        <v>27.648046875000006</v>
      </c>
      <c r="AT69" s="437">
        <f t="shared" si="95"/>
        <v>33.630214843749989</v>
      </c>
      <c r="AU69" s="437">
        <f t="shared" ref="AU69:AV69" si="96">(AU$51+AU$59)*AU101/1000+AU$55</f>
        <v>34.760575396825409</v>
      </c>
      <c r="AV69" s="438">
        <f t="shared" si="96"/>
        <v>36.453183593749984</v>
      </c>
      <c r="AW69" s="439">
        <f>AVERAGE(AS69:AV69)</f>
        <v>33.123005177331351</v>
      </c>
      <c r="AX69" s="436">
        <f t="shared" ref="AX69:BA70" si="97">(AX$51+AX$59)*AX101/1000+AX$55</f>
        <v>36.453183593749984</v>
      </c>
      <c r="AY69" s="437">
        <f t="shared" si="97"/>
        <v>37.466666666666654</v>
      </c>
      <c r="AZ69" s="437">
        <f t="shared" si="97"/>
        <v>33.733333333333327</v>
      </c>
      <c r="BA69" s="438">
        <f t="shared" si="97"/>
        <v>37.766666666666666</v>
      </c>
      <c r="BB69" s="439">
        <f>AVERAGE(AX69:BA69)</f>
        <v>36.354962565104159</v>
      </c>
      <c r="BC69" s="436">
        <f t="shared" ref="BC69:BF70" si="98">(BC$51+BC$59)*BC101/1000+BC$55</f>
        <v>52.984877086683944</v>
      </c>
      <c r="BD69" s="437">
        <f t="shared" si="98"/>
        <v>34.892480032694301</v>
      </c>
      <c r="BE69" s="437">
        <f t="shared" si="98"/>
        <v>31.661694844481875</v>
      </c>
      <c r="BF69" s="438">
        <f t="shared" si="98"/>
        <v>28.460948036139868</v>
      </c>
      <c r="BG69" s="439">
        <f>AVERAGE(BC69:BF69)</f>
        <v>37</v>
      </c>
      <c r="BH69" s="436">
        <f t="shared" ref="BH69:BK70" si="99">(BH$51+BH$59)*BH101/1000+BH$55</f>
        <v>52.579137036825585</v>
      </c>
      <c r="BI69" s="437">
        <f t="shared" si="99"/>
        <v>34.625285365714404</v>
      </c>
      <c r="BJ69" s="437">
        <f t="shared" si="99"/>
        <v>31.41924042444456</v>
      </c>
      <c r="BK69" s="438">
        <f t="shared" si="99"/>
        <v>28.243003839415444</v>
      </c>
      <c r="BL69" s="439">
        <f>AVERAGE(BH69:BK69)</f>
        <v>36.716666666599998</v>
      </c>
      <c r="BM69" s="436">
        <f t="shared" ref="BM69:BP69" si="100">(BM$51+BM$59)*BM101/1000+BM$55</f>
        <v>33.636847760909099</v>
      </c>
      <c r="BN69" s="437">
        <f t="shared" si="100"/>
        <v>33.636847760909099</v>
      </c>
      <c r="BO69" s="437">
        <f t="shared" si="100"/>
        <v>33.636847760909099</v>
      </c>
      <c r="BP69" s="438">
        <f t="shared" si="100"/>
        <v>33.636847760909099</v>
      </c>
      <c r="BQ69" s="439">
        <f>AVERAGE(BM69:BP69)</f>
        <v>33.636847760909099</v>
      </c>
      <c r="BR69" s="1550"/>
      <c r="BS69" s="439"/>
      <c r="BT69" s="439"/>
      <c r="BU69" s="232"/>
      <c r="BV69" s="40"/>
      <c r="BW69" s="1080"/>
      <c r="BX69" s="1080"/>
      <c r="BY69" s="1080"/>
      <c r="BZ69" s="1080"/>
      <c r="CA69" s="1080"/>
      <c r="CB69" s="1080"/>
      <c r="CC69" s="1080"/>
      <c r="CD69" s="40"/>
      <c r="CE69" s="40"/>
      <c r="CF69" s="40"/>
      <c r="CG69" s="40"/>
      <c r="CH69" s="40"/>
      <c r="CI69" s="40"/>
      <c r="CJ69" s="40"/>
      <c r="CK69" s="40"/>
      <c r="CL69" s="40"/>
      <c r="CM69" s="40"/>
      <c r="CN69" s="40"/>
      <c r="CO69" s="40"/>
      <c r="CP69" s="40"/>
      <c r="CQ69" s="40"/>
      <c r="CR69" s="40"/>
      <c r="CS69" s="40"/>
      <c r="CT69" s="823"/>
      <c r="CU69" s="232"/>
      <c r="CV69" s="232"/>
      <c r="CW69" s="232"/>
      <c r="CX69" s="232"/>
      <c r="CY69" s="232"/>
      <c r="CZ69" s="40"/>
      <c r="DA69" s="40"/>
      <c r="DB69" s="40"/>
      <c r="DC69" s="40"/>
      <c r="DD69" s="40"/>
      <c r="DE69" s="40"/>
      <c r="DF69" s="232"/>
      <c r="DG69" s="232"/>
      <c r="DH69" s="232"/>
      <c r="DI69" s="232"/>
      <c r="DJ69" s="232"/>
      <c r="DK69" s="232"/>
      <c r="DL69" s="232"/>
      <c r="DM69" s="232"/>
      <c r="DN69" s="232"/>
    </row>
    <row r="70" spans="1:118">
      <c r="A70" s="40"/>
      <c r="B70" s="1"/>
      <c r="C70" s="564" t="s">
        <v>816</v>
      </c>
      <c r="D70" s="1"/>
      <c r="E70" s="273"/>
      <c r="F70" s="3"/>
      <c r="G70" s="3"/>
      <c r="H70" s="274"/>
      <c r="I70" s="28"/>
      <c r="J70" s="273"/>
      <c r="K70" s="3"/>
      <c r="L70" s="3"/>
      <c r="M70" s="274"/>
      <c r="N70" s="1"/>
      <c r="O70" s="273"/>
      <c r="P70" s="3"/>
      <c r="Q70" s="3"/>
      <c r="R70" s="274"/>
      <c r="S70" s="1"/>
      <c r="T70" s="436"/>
      <c r="U70" s="437"/>
      <c r="V70" s="437"/>
      <c r="W70" s="438"/>
      <c r="X70" s="439"/>
      <c r="Y70" s="436">
        <f t="shared" si="91"/>
        <v>35.609952294685982</v>
      </c>
      <c r="Z70" s="437">
        <f t="shared" si="91"/>
        <v>28.352330586080591</v>
      </c>
      <c r="AA70" s="437">
        <f t="shared" si="91"/>
        <v>26.087404891304349</v>
      </c>
      <c r="AB70" s="438">
        <f t="shared" si="91"/>
        <v>29.252230615942018</v>
      </c>
      <c r="AC70" s="439">
        <f>AVERAGE(Y70:AB70)</f>
        <v>29.825479597003238</v>
      </c>
      <c r="AD70" s="436">
        <f t="shared" si="92"/>
        <v>74.738565619967801</v>
      </c>
      <c r="AE70" s="437">
        <f t="shared" si="92"/>
        <v>23.849180253623189</v>
      </c>
      <c r="AF70" s="437">
        <f t="shared" si="92"/>
        <v>23.849180253623189</v>
      </c>
      <c r="AG70" s="438">
        <f t="shared" si="92"/>
        <v>21.799227355072475</v>
      </c>
      <c r="AH70" s="439">
        <f>AVERAGE(AD70:AG70)</f>
        <v>36.059038370571663</v>
      </c>
      <c r="AI70" s="436">
        <f t="shared" si="93"/>
        <v>37.643325281803563</v>
      </c>
      <c r="AJ70" s="437">
        <f t="shared" si="93"/>
        <v>18.227133699633701</v>
      </c>
      <c r="AK70" s="437">
        <f t="shared" si="93"/>
        <v>20.449230072463756</v>
      </c>
      <c r="AL70" s="438">
        <f t="shared" si="93"/>
        <v>14.298236956521746</v>
      </c>
      <c r="AM70" s="439">
        <f>AVERAGE(AI70:AL70)</f>
        <v>22.654481502605691</v>
      </c>
      <c r="AN70" s="436">
        <f t="shared" si="94"/>
        <v>13.624288899506292</v>
      </c>
      <c r="AO70" s="437">
        <f t="shared" si="94"/>
        <v>15.5952152014652</v>
      </c>
      <c r="AP70" s="437">
        <f t="shared" si="94"/>
        <v>19.290855978260876</v>
      </c>
      <c r="AQ70" s="438">
        <f t="shared" si="94"/>
        <v>17.24411086956523</v>
      </c>
      <c r="AR70" s="439">
        <f>AVERAGE(AN70:AQ70)</f>
        <v>16.438617737199401</v>
      </c>
      <c r="AS70" s="436">
        <f t="shared" si="95"/>
        <v>19.385393719806771</v>
      </c>
      <c r="AT70" s="437">
        <f t="shared" si="95"/>
        <v>14.500613553113544</v>
      </c>
      <c r="AU70" s="437">
        <f t="shared" ref="AU70:AV70" si="101">(AU$51+AU$59)*AU102/1000+AU$55</f>
        <v>17.318980978260868</v>
      </c>
      <c r="AV70" s="438">
        <f t="shared" si="101"/>
        <v>32.735488727858289</v>
      </c>
      <c r="AW70" s="439">
        <f>AVERAGE(AS70:AV70)</f>
        <v>20.985119244759868</v>
      </c>
      <c r="AX70" s="436">
        <f t="shared" si="97"/>
        <v>32.735488727858289</v>
      </c>
      <c r="AY70" s="437">
        <f t="shared" si="97"/>
        <v>32.93333333333333</v>
      </c>
      <c r="AZ70" s="437">
        <f t="shared" si="97"/>
        <v>29.3</v>
      </c>
      <c r="BA70" s="438">
        <f t="shared" si="97"/>
        <v>33.083333333333336</v>
      </c>
      <c r="BB70" s="439">
        <f>AVERAGE(AX70:BA70)</f>
        <v>32.01303884863124</v>
      </c>
      <c r="BC70" s="436">
        <f t="shared" si="98"/>
        <v>50.208915257706195</v>
      </c>
      <c r="BD70" s="437">
        <f t="shared" si="98"/>
        <v>32.014743875122768</v>
      </c>
      <c r="BE70" s="437">
        <f t="shared" si="98"/>
        <v>27.396223447236203</v>
      </c>
      <c r="BF70" s="438">
        <f t="shared" si="98"/>
        <v>24.304750753134822</v>
      </c>
      <c r="BG70" s="439">
        <f>AVERAGE(BC70:BF70)</f>
        <v>33.481158333299994</v>
      </c>
      <c r="BH70" s="436">
        <f t="shared" si="99"/>
        <v>49.68362440537765</v>
      </c>
      <c r="BI70" s="437">
        <f t="shared" si="99"/>
        <v>31.679802321198984</v>
      </c>
      <c r="BJ70" s="437">
        <f t="shared" si="99"/>
        <v>27.109601330599784</v>
      </c>
      <c r="BK70" s="438">
        <f t="shared" si="99"/>
        <v>24.050471942823588</v>
      </c>
      <c r="BL70" s="439">
        <f>AVERAGE(BH70:BK70)</f>
        <v>33.130875000000003</v>
      </c>
      <c r="BM70" s="436">
        <f t="shared" ref="BM70:BP70" si="102">(BM$51+BM$59)*BM102/1000+BM$55</f>
        <v>30.192012952184108</v>
      </c>
      <c r="BN70" s="437">
        <f t="shared" si="102"/>
        <v>30.192012952184108</v>
      </c>
      <c r="BO70" s="437">
        <f t="shared" si="102"/>
        <v>30.192012952184108</v>
      </c>
      <c r="BP70" s="438">
        <f t="shared" si="102"/>
        <v>30.192012952184108</v>
      </c>
      <c r="BQ70" s="439">
        <f>AVERAGE(BM70:BP70)</f>
        <v>30.192012952184108</v>
      </c>
      <c r="BR70" s="1550"/>
      <c r="BS70" s="439"/>
      <c r="BT70" s="439"/>
      <c r="BU70" s="232"/>
      <c r="BV70" s="40"/>
      <c r="BW70" s="1080"/>
      <c r="BX70" s="1080"/>
      <c r="BY70" s="1080"/>
      <c r="BZ70" s="1080"/>
      <c r="CA70" s="1080"/>
      <c r="CB70" s="1080"/>
      <c r="CC70" s="1080"/>
      <c r="CD70" s="40"/>
      <c r="CE70" s="40"/>
      <c r="CF70" s="40"/>
      <c r="CG70" s="40"/>
      <c r="CH70" s="40"/>
      <c r="CI70" s="40"/>
      <c r="CJ70" s="40"/>
      <c r="CK70" s="40"/>
      <c r="CL70" s="40"/>
      <c r="CM70" s="40"/>
      <c r="CN70" s="40"/>
      <c r="CO70" s="40"/>
      <c r="CP70" s="40"/>
      <c r="CQ70" s="40"/>
      <c r="CR70" s="40"/>
      <c r="CS70" s="40"/>
      <c r="CT70" s="823"/>
      <c r="CU70" s="232"/>
      <c r="CV70" s="232"/>
      <c r="CW70" s="232"/>
      <c r="CX70" s="232"/>
      <c r="CY70" s="232"/>
      <c r="CZ70" s="40"/>
      <c r="DA70" s="40"/>
      <c r="DB70" s="40"/>
      <c r="DC70" s="40"/>
      <c r="DD70" s="40"/>
      <c r="DE70" s="40"/>
      <c r="DF70" s="232"/>
      <c r="DG70" s="232"/>
      <c r="DH70" s="232"/>
      <c r="DI70" s="232"/>
      <c r="DJ70" s="232"/>
      <c r="DK70" s="232"/>
      <c r="DL70" s="232"/>
      <c r="DM70" s="232"/>
      <c r="DN70" s="232"/>
    </row>
    <row r="71" spans="1:118">
      <c r="A71" s="40"/>
      <c r="B71" s="1"/>
      <c r="C71" s="564" t="s">
        <v>788</v>
      </c>
      <c r="D71" s="1"/>
      <c r="E71" s="273"/>
      <c r="F71" s="3"/>
      <c r="G71" s="3"/>
      <c r="H71" s="274"/>
      <c r="I71" s="28"/>
      <c r="J71" s="273"/>
      <c r="K71" s="3"/>
      <c r="L71" s="3"/>
      <c r="M71" s="274"/>
      <c r="N71" s="1"/>
      <c r="O71" s="273"/>
      <c r="P71" s="3"/>
      <c r="Q71" s="3"/>
      <c r="R71" s="274"/>
      <c r="S71" s="1"/>
      <c r="T71" s="436"/>
      <c r="U71" s="437"/>
      <c r="V71" s="437"/>
      <c r="W71" s="438"/>
      <c r="X71" s="439"/>
      <c r="Y71" s="436">
        <f t="shared" ref="Y71:BL71" si="103">Y69*47.5%+Y70*52.5%</f>
        <v>40.36640253407522</v>
      </c>
      <c r="Z71" s="437">
        <f t="shared" si="103"/>
        <v>34.200217698317303</v>
      </c>
      <c r="AA71" s="437">
        <f t="shared" si="103"/>
        <v>39.316297480044156</v>
      </c>
      <c r="AB71" s="438">
        <f t="shared" si="103"/>
        <v>37.315729422978933</v>
      </c>
      <c r="AC71" s="439">
        <f t="shared" si="103"/>
        <v>37.799661783853907</v>
      </c>
      <c r="AD71" s="436">
        <f t="shared" si="103"/>
        <v>89.526048785800583</v>
      </c>
      <c r="AE71" s="437">
        <f t="shared" si="103"/>
        <v>32.957620414402179</v>
      </c>
      <c r="AF71" s="437">
        <f t="shared" si="103"/>
        <v>32.957620414402179</v>
      </c>
      <c r="AG71" s="438">
        <f t="shared" si="103"/>
        <v>30.104760621178674</v>
      </c>
      <c r="AH71" s="439">
        <f t="shared" si="103"/>
        <v>46.386512558945903</v>
      </c>
      <c r="AI71" s="436">
        <f t="shared" si="103"/>
        <v>45.014023798740517</v>
      </c>
      <c r="AJ71" s="437">
        <f t="shared" si="103"/>
        <v>27.789071608323329</v>
      </c>
      <c r="AK71" s="437">
        <f t="shared" si="103"/>
        <v>30.011482807274241</v>
      </c>
      <c r="AL71" s="438">
        <f t="shared" si="103"/>
        <v>23.945869812330169</v>
      </c>
      <c r="AM71" s="439">
        <f t="shared" si="103"/>
        <v>31.690112006667061</v>
      </c>
      <c r="AN71" s="436">
        <f t="shared" si="103"/>
        <v>21.759952599975172</v>
      </c>
      <c r="AO71" s="437">
        <f t="shared" si="103"/>
        <v>25.178024601862976</v>
      </c>
      <c r="AP71" s="437">
        <f t="shared" si="103"/>
        <v>32.017123460852581</v>
      </c>
      <c r="AQ71" s="438">
        <f t="shared" si="103"/>
        <v>22.031463514061425</v>
      </c>
      <c r="AR71" s="439">
        <f t="shared" si="103"/>
        <v>25.246641044188038</v>
      </c>
      <c r="AS71" s="436">
        <f t="shared" si="103"/>
        <v>23.310153968523558</v>
      </c>
      <c r="AT71" s="437">
        <f t="shared" si="103"/>
        <v>23.587174166165855</v>
      </c>
      <c r="AU71" s="437">
        <f t="shared" ref="AU71:AW71" si="104">AU69*47.5%+AU70*52.5%</f>
        <v>25.603738327079025</v>
      </c>
      <c r="AV71" s="438">
        <f t="shared" si="104"/>
        <v>34.50139378915685</v>
      </c>
      <c r="AW71" s="439">
        <f t="shared" si="104"/>
        <v>26.75061506273132</v>
      </c>
      <c r="AX71" s="436">
        <f t="shared" si="103"/>
        <v>34.50139378915685</v>
      </c>
      <c r="AY71" s="437">
        <f t="shared" si="103"/>
        <v>35.086666666666659</v>
      </c>
      <c r="AZ71" s="437">
        <f t="shared" si="103"/>
        <v>31.40583333333333</v>
      </c>
      <c r="BA71" s="438">
        <f t="shared" si="103"/>
        <v>35.307916666666671</v>
      </c>
      <c r="BB71" s="439">
        <f t="shared" si="103"/>
        <v>34.075452613955875</v>
      </c>
      <c r="BC71" s="436">
        <f t="shared" si="103"/>
        <v>51.527497126470621</v>
      </c>
      <c r="BD71" s="437">
        <f t="shared" si="103"/>
        <v>33.381668549969248</v>
      </c>
      <c r="BE71" s="437">
        <f t="shared" si="103"/>
        <v>29.422322360927897</v>
      </c>
      <c r="BF71" s="438">
        <f t="shared" si="103"/>
        <v>26.278944462562219</v>
      </c>
      <c r="BG71" s="439">
        <f t="shared" si="103"/>
        <v>35.152608124982493</v>
      </c>
      <c r="BH71" s="436">
        <f t="shared" si="103"/>
        <v>51.058992905315421</v>
      </c>
      <c r="BI71" s="437">
        <f t="shared" si="103"/>
        <v>33.07890676734381</v>
      </c>
      <c r="BJ71" s="437">
        <f t="shared" si="103"/>
        <v>29.156679900176051</v>
      </c>
      <c r="BK71" s="438">
        <f t="shared" si="103"/>
        <v>26.041924593704721</v>
      </c>
      <c r="BL71" s="439">
        <f t="shared" si="103"/>
        <v>34.834126041635002</v>
      </c>
      <c r="BM71" s="436">
        <f t="shared" ref="BM71:BQ71" si="105">BM69*47.5%+BM70*52.5%</f>
        <v>31.828309486328479</v>
      </c>
      <c r="BN71" s="437">
        <f t="shared" si="105"/>
        <v>31.828309486328479</v>
      </c>
      <c r="BO71" s="437">
        <f t="shared" si="105"/>
        <v>31.828309486328479</v>
      </c>
      <c r="BP71" s="438">
        <f t="shared" si="105"/>
        <v>31.828309486328479</v>
      </c>
      <c r="BQ71" s="439">
        <f t="shared" si="105"/>
        <v>31.828309486328479</v>
      </c>
      <c r="BR71" s="1550"/>
      <c r="BS71" s="439"/>
      <c r="BT71" s="439"/>
      <c r="BU71" s="232"/>
      <c r="BV71" s="40"/>
      <c r="BW71" s="1080"/>
      <c r="BX71" s="1080"/>
      <c r="BY71" s="1080"/>
      <c r="BZ71" s="1080"/>
      <c r="CA71" s="1080"/>
      <c r="CB71" s="1080"/>
      <c r="CC71" s="1080"/>
      <c r="CD71" s="40"/>
      <c r="CE71" s="40"/>
      <c r="CF71" s="40"/>
      <c r="CG71" s="40"/>
      <c r="CH71" s="40"/>
      <c r="CI71" s="40"/>
      <c r="CJ71" s="40"/>
      <c r="CK71" s="40"/>
      <c r="CL71" s="40"/>
      <c r="CM71" s="40"/>
      <c r="CN71" s="40"/>
      <c r="CO71" s="40"/>
      <c r="CP71" s="40"/>
      <c r="CQ71" s="40"/>
      <c r="CR71" s="40"/>
      <c r="CS71" s="40"/>
      <c r="CT71" s="823"/>
      <c r="CU71" s="232"/>
      <c r="CV71" s="232"/>
      <c r="CW71" s="232"/>
      <c r="CX71" s="232"/>
      <c r="CY71" s="232"/>
      <c r="CZ71" s="40"/>
      <c r="DA71" s="40"/>
      <c r="DB71" s="40"/>
      <c r="DC71" s="40"/>
      <c r="DD71" s="40"/>
      <c r="DE71" s="40"/>
      <c r="DF71" s="232"/>
      <c r="DG71" s="232"/>
      <c r="DH71" s="232"/>
      <c r="DI71" s="232"/>
      <c r="DJ71" s="232"/>
      <c r="DK71" s="232"/>
      <c r="DL71" s="232"/>
      <c r="DM71" s="232"/>
      <c r="DN71" s="232"/>
    </row>
    <row r="72" spans="1:118">
      <c r="A72" s="40"/>
      <c r="B72" s="1"/>
      <c r="C72" s="564"/>
      <c r="D72" s="1"/>
      <c r="E72" s="273"/>
      <c r="F72" s="3"/>
      <c r="G72" s="3"/>
      <c r="H72" s="274"/>
      <c r="I72" s="28"/>
      <c r="J72" s="273"/>
      <c r="K72" s="3"/>
      <c r="L72" s="3"/>
      <c r="M72" s="274"/>
      <c r="N72" s="1"/>
      <c r="O72" s="273"/>
      <c r="P72" s="3"/>
      <c r="Q72" s="3"/>
      <c r="R72" s="274"/>
      <c r="S72" s="1"/>
      <c r="T72" s="436"/>
      <c r="U72" s="437"/>
      <c r="V72" s="437"/>
      <c r="W72" s="438"/>
      <c r="X72" s="439"/>
      <c r="Y72" s="436"/>
      <c r="Z72" s="437"/>
      <c r="AA72" s="437"/>
      <c r="AB72" s="438"/>
      <c r="AC72" s="439"/>
      <c r="AD72" s="436"/>
      <c r="AE72" s="437"/>
      <c r="AF72" s="437"/>
      <c r="AG72" s="438"/>
      <c r="AH72" s="439"/>
      <c r="AI72" s="436"/>
      <c r="AJ72" s="437"/>
      <c r="AK72" s="437"/>
      <c r="AL72" s="438"/>
      <c r="AM72" s="439"/>
      <c r="AN72" s="436"/>
      <c r="AO72" s="437"/>
      <c r="AP72" s="437"/>
      <c r="AQ72" s="438"/>
      <c r="AR72" s="439"/>
      <c r="AS72" s="436"/>
      <c r="AT72" s="437"/>
      <c r="AU72" s="437"/>
      <c r="AV72" s="438"/>
      <c r="AW72" s="439"/>
      <c r="AX72" s="436"/>
      <c r="AY72" s="437"/>
      <c r="AZ72" s="437"/>
      <c r="BA72" s="438"/>
      <c r="BB72" s="439"/>
      <c r="BC72" s="436"/>
      <c r="BD72" s="437"/>
      <c r="BE72" s="437"/>
      <c r="BF72" s="438"/>
      <c r="BG72" s="439"/>
      <c r="BH72" s="436"/>
      <c r="BI72" s="437"/>
      <c r="BJ72" s="437"/>
      <c r="BK72" s="438"/>
      <c r="BL72" s="439"/>
      <c r="BM72" s="436"/>
      <c r="BN72" s="437"/>
      <c r="BO72" s="437"/>
      <c r="BP72" s="438"/>
      <c r="BQ72" s="1992"/>
      <c r="BR72" s="439"/>
      <c r="BS72" s="439"/>
      <c r="BT72" s="439"/>
      <c r="BU72" s="232"/>
      <c r="BV72" s="156"/>
      <c r="BW72" s="1080"/>
      <c r="BX72" s="1080"/>
      <c r="BY72" s="1080"/>
      <c r="BZ72" s="1080"/>
      <c r="CA72" s="1080"/>
      <c r="CB72" s="1080"/>
      <c r="CC72" s="1080"/>
      <c r="CD72" s="40"/>
      <c r="CE72" s="40"/>
      <c r="CF72" s="40"/>
      <c r="CG72" s="40"/>
      <c r="CH72" s="40"/>
      <c r="CI72" s="40"/>
      <c r="CJ72" s="40"/>
      <c r="CK72" s="40"/>
      <c r="CL72" s="40"/>
      <c r="CM72" s="40"/>
      <c r="CN72" s="40"/>
      <c r="CO72" s="40"/>
      <c r="CP72" s="40"/>
      <c r="CQ72" s="40"/>
      <c r="CR72" s="40"/>
      <c r="CS72" s="40"/>
      <c r="CT72" s="823"/>
      <c r="CU72" s="232"/>
      <c r="CV72" s="232"/>
      <c r="CW72" s="232"/>
      <c r="CX72" s="232"/>
      <c r="CY72" s="232"/>
      <c r="CZ72" s="40"/>
      <c r="DA72" s="40"/>
      <c r="DB72" s="40"/>
      <c r="DC72" s="40"/>
      <c r="DD72" s="40"/>
      <c r="DE72" s="40"/>
      <c r="DF72" s="232"/>
      <c r="DG72" s="232"/>
      <c r="DH72" s="232"/>
      <c r="DI72" s="232"/>
      <c r="DJ72" s="232"/>
      <c r="DK72" s="232"/>
      <c r="DL72" s="232"/>
      <c r="DM72" s="232"/>
      <c r="DN72" s="232"/>
    </row>
    <row r="73" spans="1:118">
      <c r="A73" s="40"/>
      <c r="B73" s="1"/>
      <c r="C73" s="564" t="s">
        <v>1074</v>
      </c>
      <c r="D73" s="1"/>
      <c r="E73" s="273"/>
      <c r="F73" s="3"/>
      <c r="G73" s="3"/>
      <c r="H73" s="274"/>
      <c r="I73" s="28"/>
      <c r="J73" s="273"/>
      <c r="K73" s="3"/>
      <c r="L73" s="3"/>
      <c r="M73" s="274"/>
      <c r="N73" s="1"/>
      <c r="O73" s="273"/>
      <c r="P73" s="3"/>
      <c r="Q73" s="3"/>
      <c r="R73" s="274"/>
      <c r="S73" s="1"/>
      <c r="T73" s="436"/>
      <c r="U73" s="437"/>
      <c r="V73" s="437"/>
      <c r="W73" s="438"/>
      <c r="X73" s="439"/>
      <c r="Y73" s="436">
        <f t="shared" ref="Y73:BB73" si="106">(Y$51+Y62)*Y104/1000+Y$55</f>
        <v>34.838090073412694</v>
      </c>
      <c r="Z73" s="437">
        <f t="shared" si="106"/>
        <v>39.428378864257809</v>
      </c>
      <c r="AA73" s="437">
        <f t="shared" si="106"/>
        <v>41.117048625976572</v>
      </c>
      <c r="AB73" s="438">
        <f t="shared" si="106"/>
        <v>34.355717211914069</v>
      </c>
      <c r="AC73" s="439">
        <f t="shared" si="106"/>
        <v>37.544914435613492</v>
      </c>
      <c r="AD73" s="436">
        <f t="shared" si="106"/>
        <v>72.99622284523808</v>
      </c>
      <c r="AE73" s="437">
        <f t="shared" si="106"/>
        <v>37.030601145507802</v>
      </c>
      <c r="AF73" s="437">
        <f t="shared" si="106"/>
        <v>37.030601145507802</v>
      </c>
      <c r="AG73" s="438">
        <f t="shared" si="106"/>
        <v>38.673259170898433</v>
      </c>
      <c r="AH73" s="439">
        <f t="shared" si="106"/>
        <v>45.396719168306625</v>
      </c>
      <c r="AI73" s="436">
        <f t="shared" si="106"/>
        <v>39.963556904761916</v>
      </c>
      <c r="AJ73" s="437">
        <f t="shared" si="106"/>
        <v>30.605513267578122</v>
      </c>
      <c r="AK73" s="437">
        <f t="shared" si="106"/>
        <v>33.950207826923084</v>
      </c>
      <c r="AL73" s="438">
        <f t="shared" si="106"/>
        <v>29.947609584960933</v>
      </c>
      <c r="AM73" s="439">
        <f t="shared" si="106"/>
        <v>33.766753454204306</v>
      </c>
      <c r="AN73" s="436">
        <f t="shared" si="106"/>
        <v>26.738570957031257</v>
      </c>
      <c r="AO73" s="437">
        <f t="shared" si="106"/>
        <v>29.587132090820308</v>
      </c>
      <c r="AP73" s="437">
        <f t="shared" si="106"/>
        <v>37.576820068359396</v>
      </c>
      <c r="AQ73" s="438">
        <f t="shared" si="106"/>
        <v>31.571357599206351</v>
      </c>
      <c r="AR73" s="439">
        <f t="shared" si="106"/>
        <v>31.83836493046487</v>
      </c>
      <c r="AS73" s="436">
        <f t="shared" si="106"/>
        <v>29.354624452148439</v>
      </c>
      <c r="AT73" s="437">
        <f t="shared" si="106"/>
        <v>33.630935440429681</v>
      </c>
      <c r="AU73" s="437">
        <f t="shared" ref="AU73:AW73" si="107">(AU$51+AU62)*AU104/1000+AU$55</f>
        <v>34.552619896825412</v>
      </c>
      <c r="AV73" s="438">
        <f t="shared" si="107"/>
        <v>31.943508934570321</v>
      </c>
      <c r="AW73" s="439">
        <f t="shared" si="107"/>
        <v>32.390326042714477</v>
      </c>
      <c r="AX73" s="436">
        <f t="shared" si="106"/>
        <v>31.943508934570321</v>
      </c>
      <c r="AY73" s="437">
        <f t="shared" si="106"/>
        <v>30.066666666666663</v>
      </c>
      <c r="AZ73" s="437">
        <f t="shared" si="106"/>
        <v>34.600000000000009</v>
      </c>
      <c r="BA73" s="438">
        <f t="shared" si="106"/>
        <v>30.166666666666668</v>
      </c>
      <c r="BB73" s="439">
        <f t="shared" si="106"/>
        <v>31.771559532113393</v>
      </c>
      <c r="BC73" s="436">
        <f>(BC$52+BC62)*BC104/1000+BC$55</f>
        <v>33.929172095569285</v>
      </c>
      <c r="BD73" s="437">
        <f>(BD$52+BD62)*BD104/1000+BD$55</f>
        <v>28.660363159574629</v>
      </c>
      <c r="BE73" s="437">
        <f>(BE$52+BE62)*BE104/1000+BE$55</f>
        <v>32.36321030654301</v>
      </c>
      <c r="BF73" s="438">
        <f>(BF$52+BF62)*BF104/1000+BF$55</f>
        <v>28.947254438313074</v>
      </c>
      <c r="BG73" s="439">
        <f>(BG$51+BG62)*BG104/1000+BG$55</f>
        <v>31.123670381605542</v>
      </c>
      <c r="BH73" s="436">
        <f>(BH$52+BH62)*BH104/1000+BH$55</f>
        <v>33.932622519850185</v>
      </c>
      <c r="BI73" s="437">
        <f>(BI$52+BI62)*BI104/1000+BI$55</f>
        <v>28.663277772777299</v>
      </c>
      <c r="BJ73" s="437">
        <f>(BJ$52+BJ62)*BJ104/1000+BJ$55</f>
        <v>32.366501480472486</v>
      </c>
      <c r="BK73" s="438">
        <f>(BK$52+BK62)*BK104/1000+BK$55</f>
        <v>28.950198226900017</v>
      </c>
      <c r="BL73" s="439">
        <f>(BL$51+BL62)*BL104/1000+BL$55</f>
        <v>31.126835500627397</v>
      </c>
      <c r="BM73" s="436">
        <f>(BM$52+BM62)*BM104/1000+BM$55</f>
        <v>36.5</v>
      </c>
      <c r="BN73" s="437">
        <f>(BN$52+BN62)*BN104/1000+BN$55</f>
        <v>36.5</v>
      </c>
      <c r="BO73" s="437">
        <f>(BO$52+BO62)*BO104/1000+BO$55</f>
        <v>36.5</v>
      </c>
      <c r="BP73" s="438">
        <f>(BP$52+BP62)*BP104/1000+BP$55</f>
        <v>36.5</v>
      </c>
      <c r="BQ73" s="566">
        <f>(BQ$51+BQ62)*BQ104/1000+BQ$55</f>
        <v>36.730497499999998</v>
      </c>
      <c r="BR73" s="439"/>
      <c r="BS73" s="439"/>
      <c r="BT73" s="439"/>
      <c r="BU73" s="232"/>
      <c r="BV73" s="40"/>
      <c r="BW73" s="1080"/>
      <c r="BX73" s="1080"/>
      <c r="BY73" s="1080"/>
      <c r="BZ73" s="1080"/>
      <c r="CA73" s="1080"/>
      <c r="CB73" s="1080"/>
      <c r="CC73" s="1080"/>
      <c r="CD73" s="40"/>
      <c r="CE73" s="40"/>
      <c r="CF73" s="40"/>
      <c r="CG73" s="40"/>
      <c r="CH73" s="40"/>
      <c r="CI73" s="40"/>
      <c r="CJ73" s="40"/>
      <c r="CK73" s="40"/>
      <c r="CL73" s="40"/>
      <c r="CM73" s="40"/>
      <c r="CN73" s="40"/>
      <c r="CO73" s="40"/>
      <c r="CP73" s="40"/>
      <c r="CQ73" s="40"/>
      <c r="CR73" s="40"/>
      <c r="CS73" s="40"/>
      <c r="CT73" s="823"/>
      <c r="CU73" s="232"/>
      <c r="CV73" s="232"/>
      <c r="CW73" s="232"/>
      <c r="CX73" s="232"/>
      <c r="CY73" s="232"/>
      <c r="CZ73" s="40"/>
      <c r="DA73" s="40"/>
      <c r="DB73" s="40"/>
      <c r="DC73" s="40"/>
      <c r="DD73" s="40"/>
      <c r="DE73" s="40"/>
      <c r="DF73" s="232"/>
      <c r="DG73" s="232"/>
      <c r="DH73" s="232"/>
      <c r="DI73" s="232"/>
      <c r="DJ73" s="232"/>
      <c r="DK73" s="232"/>
      <c r="DL73" s="232"/>
      <c r="DM73" s="232"/>
      <c r="DN73" s="232"/>
    </row>
    <row r="74" spans="1:118">
      <c r="A74" s="40"/>
      <c r="B74" s="1"/>
      <c r="C74" s="564" t="s">
        <v>1075</v>
      </c>
      <c r="D74" s="1"/>
      <c r="E74" s="273"/>
      <c r="F74" s="3"/>
      <c r="G74" s="3"/>
      <c r="H74" s="274"/>
      <c r="I74" s="28"/>
      <c r="J74" s="273"/>
      <c r="K74" s="3"/>
      <c r="L74" s="3"/>
      <c r="M74" s="274"/>
      <c r="N74" s="1"/>
      <c r="O74" s="273"/>
      <c r="P74" s="3"/>
      <c r="Q74" s="3"/>
      <c r="R74" s="274"/>
      <c r="S74" s="1"/>
      <c r="T74" s="436"/>
      <c r="U74" s="437"/>
      <c r="V74" s="437"/>
      <c r="W74" s="438"/>
      <c r="X74" s="439"/>
      <c r="Y74" s="436">
        <f t="shared" ref="Y74:BB74" si="108">(Y$51+Y62)*Y105/1000+Y$55</f>
        <v>27.102873879810776</v>
      </c>
      <c r="Z74" s="437">
        <f t="shared" si="108"/>
        <v>23.983492510531139</v>
      </c>
      <c r="AA74" s="437">
        <f t="shared" si="108"/>
        <v>24.337539511322465</v>
      </c>
      <c r="AB74" s="438">
        <f t="shared" si="108"/>
        <v>25.034081106974632</v>
      </c>
      <c r="AC74" s="439">
        <f t="shared" si="108"/>
        <v>25.247613223503294</v>
      </c>
      <c r="AD74" s="436">
        <f t="shared" si="108"/>
        <v>46.659030578200486</v>
      </c>
      <c r="AE74" s="437">
        <f t="shared" si="108"/>
        <v>24.573567941576091</v>
      </c>
      <c r="AF74" s="437">
        <f t="shared" si="108"/>
        <v>24.573567941576091</v>
      </c>
      <c r="AG74" s="438">
        <f t="shared" si="108"/>
        <v>25.868583025362316</v>
      </c>
      <c r="AH74" s="439">
        <f t="shared" si="108"/>
        <v>29.819342876817011</v>
      </c>
      <c r="AI74" s="436">
        <f t="shared" si="108"/>
        <v>29.701038306400971</v>
      </c>
      <c r="AJ74" s="437">
        <f t="shared" si="108"/>
        <v>18.405672966575075</v>
      </c>
      <c r="AK74" s="437">
        <f t="shared" si="108"/>
        <v>21.186602595561595</v>
      </c>
      <c r="AL74" s="438">
        <f t="shared" si="108"/>
        <v>19.679295579764489</v>
      </c>
      <c r="AM74" s="439">
        <f t="shared" si="108"/>
        <v>22.294486297089133</v>
      </c>
      <c r="AN74" s="436">
        <f t="shared" si="108"/>
        <v>19.228153737279026</v>
      </c>
      <c r="AO74" s="437">
        <f t="shared" si="108"/>
        <v>18.306781789377293</v>
      </c>
      <c r="AP74" s="437">
        <f t="shared" si="108"/>
        <v>21.426197764039859</v>
      </c>
      <c r="AQ74" s="438">
        <f t="shared" si="108"/>
        <v>22.456417462771746</v>
      </c>
      <c r="AR74" s="439">
        <f t="shared" si="108"/>
        <v>20.752710104649612</v>
      </c>
      <c r="AS74" s="436">
        <f t="shared" si="108"/>
        <v>23.077807067310793</v>
      </c>
      <c r="AT74" s="437">
        <f t="shared" si="108"/>
        <v>19.554939797619053</v>
      </c>
      <c r="AU74" s="437">
        <f t="shared" ref="AU74:AW74" si="109">(AU$51+AU62)*AU105/1000+AU$55</f>
        <v>18.802316540760867</v>
      </c>
      <c r="AV74" s="438">
        <f t="shared" si="109"/>
        <v>25.592786000905797</v>
      </c>
      <c r="AW74" s="439">
        <f t="shared" si="109"/>
        <v>21.732087325309184</v>
      </c>
      <c r="AX74" s="436">
        <f t="shared" si="108"/>
        <v>25.592786000905797</v>
      </c>
      <c r="AY74" s="437">
        <f t="shared" si="108"/>
        <v>19.816666666666666</v>
      </c>
      <c r="AZ74" s="437">
        <f t="shared" si="108"/>
        <v>21.449999999999996</v>
      </c>
      <c r="BA74" s="438">
        <f t="shared" si="108"/>
        <v>20.516666666666673</v>
      </c>
      <c r="BB74" s="439">
        <f t="shared" si="108"/>
        <v>21.800851110966146</v>
      </c>
      <c r="BC74" s="436">
        <f>(BC$52+BC62)*BC105/1000+BC$55</f>
        <v>27.334808227990884</v>
      </c>
      <c r="BD74" s="437">
        <f>(BD$52+BD62)*BD105/1000+BD$55</f>
        <v>19.223933699175628</v>
      </c>
      <c r="BE74" s="437">
        <f>(BE$52+BE62)*BE105/1000+BE$55</f>
        <v>19.937159884736072</v>
      </c>
      <c r="BF74" s="438">
        <f>(BF$52+BF62)*BF105/1000+BF$55</f>
        <v>20.328731521297417</v>
      </c>
      <c r="BG74" s="439">
        <f>(BG$51+BG62)*BG105/1000+BG$55</f>
        <v>21.69901943103735</v>
      </c>
      <c r="BH74" s="436">
        <f>(BH$52+BH62)*BH105/1000+BH$55</f>
        <v>27.753990948397757</v>
      </c>
      <c r="BI74" s="437">
        <f>(BI$52+BI62)*BI105/1000+BI$55</f>
        <v>19.518735139073424</v>
      </c>
      <c r="BJ74" s="437">
        <f>(BJ$52+BJ62)*BJ105/1000+BJ$55</f>
        <v>20.242898737848364</v>
      </c>
      <c r="BK74" s="438">
        <f>(BK$52+BK62)*BK105/1000+BK$55</f>
        <v>20.640475174680446</v>
      </c>
      <c r="BL74" s="439">
        <f>(BL$51+BL62)*BL105/1000+BL$55</f>
        <v>22.031776621773727</v>
      </c>
      <c r="BM74" s="436">
        <f>(BM$52+BM62)*BM105/1000+BM$55</f>
        <v>21.099069192448557</v>
      </c>
      <c r="BN74" s="437">
        <f>(BN$52+BN62)*BN105/1000+BN$55</f>
        <v>21.099069192448557</v>
      </c>
      <c r="BO74" s="437">
        <f>(BO$52+BO62)*BO105/1000+BO$55</f>
        <v>21.099069192448557</v>
      </c>
      <c r="BP74" s="438">
        <f>(BP$52+BP62)*BP105/1000+BP$55</f>
        <v>21.099069192448557</v>
      </c>
      <c r="BQ74" s="566">
        <f>(BQ$51+BQ62)*BQ105/1000+BQ$55</f>
        <v>21.232309814398871</v>
      </c>
      <c r="BR74" s="439"/>
      <c r="BS74" s="439"/>
      <c r="BT74" s="439"/>
      <c r="BU74" s="232"/>
      <c r="BV74" s="40"/>
      <c r="BW74" s="1080"/>
      <c r="BX74" s="1080"/>
      <c r="BY74" s="1080"/>
      <c r="BZ74" s="1080"/>
      <c r="CA74" s="1080"/>
      <c r="CB74" s="1080"/>
      <c r="CC74" s="1080"/>
      <c r="CD74" s="40"/>
      <c r="CE74" s="40"/>
      <c r="CF74" s="40"/>
      <c r="CG74" s="40"/>
      <c r="CH74" s="40"/>
      <c r="CI74" s="40"/>
      <c r="CJ74" s="40"/>
      <c r="CK74" s="40"/>
      <c r="CL74" s="40"/>
      <c r="CM74" s="40"/>
      <c r="CN74" s="40"/>
      <c r="CO74" s="40"/>
      <c r="CP74" s="40"/>
      <c r="CQ74" s="40"/>
      <c r="CR74" s="40"/>
      <c r="CS74" s="40"/>
      <c r="CT74" s="823"/>
      <c r="CU74" s="232"/>
      <c r="CV74" s="232"/>
      <c r="CW74" s="232"/>
      <c r="CX74" s="232"/>
      <c r="CY74" s="232"/>
      <c r="CZ74" s="40"/>
      <c r="DA74" s="40"/>
      <c r="DB74" s="40"/>
      <c r="DC74" s="40"/>
      <c r="DD74" s="40"/>
      <c r="DE74" s="40"/>
      <c r="DF74" s="232"/>
      <c r="DG74" s="232"/>
      <c r="DH74" s="232"/>
      <c r="DI74" s="232"/>
      <c r="DJ74" s="232"/>
      <c r="DK74" s="232"/>
      <c r="DL74" s="232"/>
      <c r="DM74" s="232"/>
      <c r="DN74" s="232"/>
    </row>
    <row r="75" spans="1:118">
      <c r="A75" s="40"/>
      <c r="B75" s="1"/>
      <c r="C75" s="564" t="s">
        <v>1076</v>
      </c>
      <c r="D75" s="1"/>
      <c r="E75" s="273"/>
      <c r="F75" s="3"/>
      <c r="G75" s="3"/>
      <c r="H75" s="274"/>
      <c r="I75" s="28"/>
      <c r="J75" s="273"/>
      <c r="K75" s="3"/>
      <c r="L75" s="3"/>
      <c r="M75" s="274"/>
      <c r="N75" s="1"/>
      <c r="O75" s="273"/>
      <c r="P75" s="3"/>
      <c r="Q75" s="3"/>
      <c r="R75" s="274"/>
      <c r="S75" s="1"/>
      <c r="T75" s="436"/>
      <c r="U75" s="437"/>
      <c r="V75" s="437"/>
      <c r="W75" s="438"/>
      <c r="X75" s="439"/>
      <c r="Y75" s="436">
        <f t="shared" ref="Y75:BL75" si="110">Y73*47.5%+Y74*52.5%</f>
        <v>30.777101571771688</v>
      </c>
      <c r="Z75" s="437">
        <f t="shared" si="110"/>
        <v>31.319813528551308</v>
      </c>
      <c r="AA75" s="437">
        <f t="shared" si="110"/>
        <v>32.307806340783166</v>
      </c>
      <c r="AB75" s="438">
        <f t="shared" si="110"/>
        <v>29.461858256820864</v>
      </c>
      <c r="AC75" s="439">
        <f t="shared" si="110"/>
        <v>31.088831299255638</v>
      </c>
      <c r="AD75" s="436">
        <f t="shared" si="110"/>
        <v>59.169196905043336</v>
      </c>
      <c r="AE75" s="437">
        <f t="shared" si="110"/>
        <v>30.490658713443654</v>
      </c>
      <c r="AF75" s="437">
        <f t="shared" si="110"/>
        <v>30.490658713443654</v>
      </c>
      <c r="AG75" s="438">
        <f t="shared" si="110"/>
        <v>31.950804194491973</v>
      </c>
      <c r="AH75" s="439">
        <f t="shared" si="110"/>
        <v>37.218596615274578</v>
      </c>
      <c r="AI75" s="436">
        <f t="shared" si="110"/>
        <v>34.575734640622422</v>
      </c>
      <c r="AJ75" s="437">
        <f t="shared" si="110"/>
        <v>24.200597109551524</v>
      </c>
      <c r="AK75" s="437">
        <f t="shared" si="110"/>
        <v>27.249315080458302</v>
      </c>
      <c r="AL75" s="438">
        <f t="shared" si="110"/>
        <v>24.556744732232801</v>
      </c>
      <c r="AM75" s="439">
        <f t="shared" si="110"/>
        <v>27.74381319671884</v>
      </c>
      <c r="AN75" s="436">
        <f t="shared" si="110"/>
        <v>22.795601916661337</v>
      </c>
      <c r="AO75" s="437">
        <f t="shared" si="110"/>
        <v>23.664948182562725</v>
      </c>
      <c r="AP75" s="437">
        <f t="shared" si="110"/>
        <v>29.097743358591636</v>
      </c>
      <c r="AQ75" s="438">
        <f t="shared" si="110"/>
        <v>26.786014027578183</v>
      </c>
      <c r="AR75" s="439">
        <f t="shared" si="110"/>
        <v>26.018396146911861</v>
      </c>
      <c r="AS75" s="436">
        <f t="shared" si="110"/>
        <v>26.059295325108675</v>
      </c>
      <c r="AT75" s="437">
        <f t="shared" si="110"/>
        <v>26.241037727954101</v>
      </c>
      <c r="AU75" s="437">
        <f t="shared" ref="AU75:AW75" si="111">AU73*47.5%+AU74*52.5%</f>
        <v>26.283710634891527</v>
      </c>
      <c r="AV75" s="438">
        <f t="shared" si="111"/>
        <v>28.609379394396445</v>
      </c>
      <c r="AW75" s="439">
        <f t="shared" si="111"/>
        <v>26.794750716076699</v>
      </c>
      <c r="AX75" s="436">
        <f t="shared" si="110"/>
        <v>28.609379394396445</v>
      </c>
      <c r="AY75" s="437">
        <f t="shared" si="110"/>
        <v>24.685416666666665</v>
      </c>
      <c r="AZ75" s="437">
        <f t="shared" si="110"/>
        <v>27.696249999999999</v>
      </c>
      <c r="BA75" s="438">
        <f t="shared" si="110"/>
        <v>25.100416666666668</v>
      </c>
      <c r="BB75" s="439">
        <f t="shared" si="110"/>
        <v>26.536937611011091</v>
      </c>
      <c r="BC75" s="436">
        <f t="shared" si="110"/>
        <v>30.467131065090626</v>
      </c>
      <c r="BD75" s="437">
        <f t="shared" si="110"/>
        <v>23.706237692865152</v>
      </c>
      <c r="BE75" s="437">
        <f t="shared" si="110"/>
        <v>25.839533835094368</v>
      </c>
      <c r="BF75" s="438">
        <f t="shared" si="110"/>
        <v>24.422529906879852</v>
      </c>
      <c r="BG75" s="439">
        <f t="shared" si="110"/>
        <v>26.175728632557242</v>
      </c>
      <c r="BH75" s="436">
        <f t="shared" si="110"/>
        <v>30.688840944837658</v>
      </c>
      <c r="BI75" s="437">
        <f t="shared" si="110"/>
        <v>23.862392890082766</v>
      </c>
      <c r="BJ75" s="437">
        <f t="shared" si="110"/>
        <v>26.001610040594819</v>
      </c>
      <c r="BK75" s="438">
        <f t="shared" si="110"/>
        <v>24.587593624484743</v>
      </c>
      <c r="BL75" s="439">
        <f t="shared" si="110"/>
        <v>26.351929589229222</v>
      </c>
      <c r="BM75" s="436">
        <f t="shared" ref="BM75:BQ75" si="112">BM73*47.5%+BM74*52.5%</f>
        <v>28.414511326035491</v>
      </c>
      <c r="BN75" s="437">
        <f t="shared" si="112"/>
        <v>28.414511326035491</v>
      </c>
      <c r="BO75" s="437">
        <f t="shared" si="112"/>
        <v>28.414511326035491</v>
      </c>
      <c r="BP75" s="438">
        <f t="shared" si="112"/>
        <v>28.414511326035491</v>
      </c>
      <c r="BQ75" s="566">
        <f t="shared" si="112"/>
        <v>28.593948965059404</v>
      </c>
      <c r="BR75" s="439"/>
      <c r="BS75" s="439"/>
      <c r="BT75" s="439"/>
      <c r="BU75" s="232"/>
      <c r="BV75" s="40"/>
      <c r="BW75" s="1080"/>
      <c r="BX75" s="1080"/>
      <c r="BY75" s="1080"/>
      <c r="BZ75" s="1080"/>
      <c r="CA75" s="1080"/>
      <c r="CB75" s="1080"/>
      <c r="CC75" s="1080"/>
      <c r="CD75" s="40"/>
      <c r="CE75" s="40"/>
      <c r="CF75" s="40"/>
      <c r="CG75" s="40"/>
      <c r="CH75" s="40"/>
      <c r="CI75" s="40"/>
      <c r="CJ75" s="40"/>
      <c r="CK75" s="40"/>
      <c r="CL75" s="40"/>
      <c r="CM75" s="40"/>
      <c r="CN75" s="40"/>
      <c r="CO75" s="40"/>
      <c r="CP75" s="40"/>
      <c r="CQ75" s="40"/>
      <c r="CR75" s="40"/>
      <c r="CS75" s="40"/>
      <c r="CT75" s="823"/>
      <c r="CU75" s="232"/>
      <c r="CV75" s="232"/>
      <c r="CW75" s="232"/>
      <c r="CX75" s="232"/>
      <c r="CY75" s="232"/>
      <c r="CZ75" s="40"/>
      <c r="DA75" s="40"/>
      <c r="DB75" s="40"/>
      <c r="DC75" s="40"/>
      <c r="DD75" s="40"/>
      <c r="DE75" s="40"/>
      <c r="DF75" s="232"/>
      <c r="DG75" s="232"/>
      <c r="DH75" s="232"/>
      <c r="DI75" s="232"/>
      <c r="DJ75" s="232"/>
      <c r="DK75" s="232"/>
      <c r="DL75" s="232"/>
      <c r="DM75" s="232"/>
      <c r="DN75" s="232"/>
    </row>
    <row r="76" spans="1:118">
      <c r="A76" s="40"/>
      <c r="B76" s="1"/>
      <c r="C76" s="564"/>
      <c r="D76" s="1"/>
      <c r="E76" s="273"/>
      <c r="F76" s="3"/>
      <c r="G76" s="3"/>
      <c r="H76" s="274"/>
      <c r="I76" s="28"/>
      <c r="J76" s="273"/>
      <c r="K76" s="3"/>
      <c r="L76" s="3"/>
      <c r="M76" s="274"/>
      <c r="N76" s="1"/>
      <c r="O76" s="273"/>
      <c r="P76" s="3"/>
      <c r="Q76" s="3"/>
      <c r="R76" s="274"/>
      <c r="S76" s="1"/>
      <c r="T76" s="436"/>
      <c r="U76" s="437"/>
      <c r="V76" s="437"/>
      <c r="W76" s="438"/>
      <c r="X76" s="439"/>
      <c r="Y76" s="436"/>
      <c r="Z76" s="437"/>
      <c r="AA76" s="437"/>
      <c r="AB76" s="438"/>
      <c r="AC76" s="439"/>
      <c r="AD76" s="436"/>
      <c r="AE76" s="437"/>
      <c r="AF76" s="437"/>
      <c r="AG76" s="438"/>
      <c r="AH76" s="439"/>
      <c r="AI76" s="436"/>
      <c r="AJ76" s="437"/>
      <c r="AK76" s="437"/>
      <c r="AL76" s="438"/>
      <c r="AM76" s="439"/>
      <c r="AN76" s="436"/>
      <c r="AO76" s="437"/>
      <c r="AP76" s="437"/>
      <c r="AQ76" s="438"/>
      <c r="AR76" s="439"/>
      <c r="AS76" s="436"/>
      <c r="AT76" s="437"/>
      <c r="AU76" s="437"/>
      <c r="AV76" s="438"/>
      <c r="AW76" s="439"/>
      <c r="AX76" s="436"/>
      <c r="AY76" s="437"/>
      <c r="AZ76" s="437"/>
      <c r="BA76" s="438"/>
      <c r="BB76" s="439"/>
      <c r="BC76" s="436"/>
      <c r="BD76" s="437"/>
      <c r="BE76" s="437"/>
      <c r="BF76" s="438"/>
      <c r="BG76" s="439"/>
      <c r="BH76" s="436"/>
      <c r="BI76" s="437"/>
      <c r="BJ76" s="437"/>
      <c r="BK76" s="438"/>
      <c r="BL76" s="439"/>
      <c r="BM76" s="436"/>
      <c r="BN76" s="437"/>
      <c r="BO76" s="437"/>
      <c r="BP76" s="438"/>
      <c r="BQ76" s="566"/>
      <c r="BR76" s="439"/>
      <c r="BS76" s="439"/>
      <c r="BT76" s="439"/>
      <c r="BU76" s="232"/>
      <c r="BV76" s="156"/>
      <c r="BW76" s="1080"/>
      <c r="BX76" s="1080"/>
      <c r="BY76" s="1080"/>
      <c r="BZ76" s="1080"/>
      <c r="CA76" s="1080"/>
      <c r="CB76" s="1080"/>
      <c r="CC76" s="1080"/>
      <c r="CD76" s="40"/>
      <c r="CE76" s="40"/>
      <c r="CF76" s="40"/>
      <c r="CG76" s="40"/>
      <c r="CH76" s="40"/>
      <c r="CI76" s="40"/>
      <c r="CJ76" s="40"/>
      <c r="CK76" s="40"/>
      <c r="CL76" s="40"/>
      <c r="CM76" s="40"/>
      <c r="CN76" s="40"/>
      <c r="CO76" s="40"/>
      <c r="CP76" s="40"/>
      <c r="CQ76" s="40"/>
      <c r="CR76" s="40"/>
      <c r="CS76" s="40"/>
      <c r="CT76" s="823"/>
      <c r="CU76" s="232"/>
      <c r="CV76" s="232"/>
      <c r="CW76" s="232"/>
      <c r="CX76" s="232"/>
      <c r="CY76" s="232"/>
      <c r="CZ76" s="40"/>
      <c r="DA76" s="40"/>
      <c r="DB76" s="40"/>
      <c r="DC76" s="40"/>
      <c r="DD76" s="40"/>
      <c r="DE76" s="40"/>
      <c r="DF76" s="232"/>
      <c r="DG76" s="232"/>
      <c r="DH76" s="232"/>
      <c r="DI76" s="232"/>
      <c r="DJ76" s="232"/>
      <c r="DK76" s="232"/>
      <c r="DL76" s="232"/>
      <c r="DM76" s="232"/>
      <c r="DN76" s="232"/>
    </row>
    <row r="77" spans="1:118">
      <c r="A77" s="40"/>
      <c r="B77" s="1"/>
      <c r="C77" s="1948" t="s">
        <v>505</v>
      </c>
      <c r="D77" s="1"/>
      <c r="E77" s="273"/>
      <c r="F77" s="3"/>
      <c r="G77" s="3"/>
      <c r="H77" s="274"/>
      <c r="I77" s="28"/>
      <c r="J77" s="273"/>
      <c r="K77" s="3"/>
      <c r="L77" s="3"/>
      <c r="M77" s="274"/>
      <c r="N77" s="1"/>
      <c r="O77" s="273"/>
      <c r="P77" s="3"/>
      <c r="Q77" s="3"/>
      <c r="R77" s="274"/>
      <c r="S77" s="1"/>
      <c r="T77" s="436"/>
      <c r="U77" s="437"/>
      <c r="V77" s="437"/>
      <c r="W77" s="438"/>
      <c r="X77" s="439"/>
      <c r="Y77" s="436">
        <f t="shared" ref="Y77:AB78" si="113">(Y$51)*Y107/1000+Y$55</f>
        <v>37.715632986111103</v>
      </c>
      <c r="Z77" s="437">
        <f t="shared" si="113"/>
        <v>41.98792515625</v>
      </c>
      <c r="AA77" s="437">
        <f t="shared" si="113"/>
        <v>41.924110576171877</v>
      </c>
      <c r="AB77" s="438">
        <f t="shared" si="113"/>
        <v>36.103588144531258</v>
      </c>
      <c r="AC77" s="439">
        <f>AVERAGE(Y77:AB77)</f>
        <v>39.432814215766058</v>
      </c>
      <c r="AD77" s="436">
        <f t="shared" ref="AD77:AG78" si="114">(AD$51)*AD107/1000+AD$55</f>
        <v>79.291454067460307</v>
      </c>
      <c r="AE77" s="437">
        <f t="shared" si="114"/>
        <v>38.224814638671887</v>
      </c>
      <c r="AF77" s="437">
        <f t="shared" si="114"/>
        <v>38.224814638671887</v>
      </c>
      <c r="AG77" s="438">
        <f t="shared" si="114"/>
        <v>39.049467128906258</v>
      </c>
      <c r="AH77" s="439">
        <f>AVERAGE(AD77:AG77)</f>
        <v>48.697637618427585</v>
      </c>
      <c r="AI77" s="436">
        <f t="shared" ref="AI77:AL78" si="115">(AI$51)*AI107/1000+AI$55</f>
        <v>42.983203065476182</v>
      </c>
      <c r="AJ77" s="437">
        <f t="shared" si="115"/>
        <v>35.431994833984376</v>
      </c>
      <c r="AK77" s="437">
        <f t="shared" si="115"/>
        <v>35.234762865384596</v>
      </c>
      <c r="AL77" s="438">
        <f t="shared" si="115"/>
        <v>30.793894384765622</v>
      </c>
      <c r="AM77" s="439">
        <f>AVERAGE(AI77:AL77)</f>
        <v>36.110963787402696</v>
      </c>
      <c r="AN77" s="436">
        <f t="shared" ref="AN77:AQ78" si="116">(AN$51)*AN107/1000+AN$55</f>
        <v>27.255926289062501</v>
      </c>
      <c r="AO77" s="437">
        <f t="shared" si="116"/>
        <v>31.587512695312505</v>
      </c>
      <c r="AP77" s="437">
        <f t="shared" si="116"/>
        <v>38.382545029296871</v>
      </c>
      <c r="AQ77" s="438">
        <f t="shared" si="116"/>
        <v>32.453721736111113</v>
      </c>
      <c r="AR77" s="439">
        <f>AVERAGE(AN77:AQ77)</f>
        <v>32.419926437445746</v>
      </c>
      <c r="AS77" s="436">
        <f t="shared" ref="AS77:AT78" si="117">(AS$51)*AS107/1000+AS$55</f>
        <v>31.073804345703124</v>
      </c>
      <c r="AT77" s="437">
        <f t="shared" si="117"/>
        <v>33.234170273437506</v>
      </c>
      <c r="AU77" s="437">
        <f t="shared" ref="AU77:AV77" si="118">(AU$51)*AU107/1000+AU$55</f>
        <v>36.864877966269844</v>
      </c>
      <c r="AV77" s="438">
        <f t="shared" si="118"/>
        <v>38.43211967773437</v>
      </c>
      <c r="AW77" s="439">
        <f>AVERAGE(AS77:AV77)</f>
        <v>34.901243065786211</v>
      </c>
      <c r="AX77" s="436">
        <f t="shared" ref="AX77:BA78" si="119">(AX$51)*AX107/1000+AX$55</f>
        <v>38.43211967773437</v>
      </c>
      <c r="AY77" s="437">
        <f t="shared" si="119"/>
        <v>33.833333333333336</v>
      </c>
      <c r="AZ77" s="437">
        <f t="shared" si="119"/>
        <v>36.31666666666667</v>
      </c>
      <c r="BA77" s="438">
        <f t="shared" si="119"/>
        <v>33.616666666666667</v>
      </c>
      <c r="BB77" s="439">
        <f>AVERAGE(AX77:BA77)</f>
        <v>35.549696586100261</v>
      </c>
      <c r="BC77" s="436">
        <f t="shared" ref="BC77:BF78" si="120">(BC$52)*BC107/1000+BC$55</f>
        <v>34.505559751881279</v>
      </c>
      <c r="BD77" s="437">
        <f t="shared" si="120"/>
        <v>30.200278902105271</v>
      </c>
      <c r="BE77" s="437">
        <f t="shared" si="120"/>
        <v>33.302613632090932</v>
      </c>
      <c r="BF77" s="438">
        <f t="shared" si="120"/>
        <v>36.708214380322509</v>
      </c>
      <c r="BG77" s="439">
        <f>AVERAGE(BC77:BF77)</f>
        <v>33.679166666599997</v>
      </c>
      <c r="BH77" s="436">
        <f t="shared" ref="BH77:BK78" si="121">(BH$52)*BH107/1000+BH$55</f>
        <v>34.59186847479863</v>
      </c>
      <c r="BI77" s="437">
        <f t="shared" si="121"/>
        <v>30.275818830236602</v>
      </c>
      <c r="BJ77" s="437">
        <f t="shared" si="121"/>
        <v>33.38591342705336</v>
      </c>
      <c r="BK77" s="438">
        <f t="shared" si="121"/>
        <v>36.800032601111397</v>
      </c>
      <c r="BL77" s="439">
        <f>AVERAGE(BH77:BK77)</f>
        <v>33.763408333299992</v>
      </c>
      <c r="BM77" s="436">
        <f>(BM$52)*BM107/1000+BM$55</f>
        <v>41.435625000000002</v>
      </c>
      <c r="BN77" s="437">
        <f t="shared" ref="BN77:BP77" si="122">(BN$52)*BN107/1000+BN$55</f>
        <v>41.435625000000002</v>
      </c>
      <c r="BO77" s="437">
        <f t="shared" si="122"/>
        <v>41.435625000000002</v>
      </c>
      <c r="BP77" s="438">
        <f t="shared" si="122"/>
        <v>41.435625000000002</v>
      </c>
      <c r="BQ77" s="566">
        <f>AVERAGE(BM77:BP77)</f>
        <v>41.435625000000002</v>
      </c>
      <c r="BR77" s="439"/>
      <c r="BS77" s="439"/>
      <c r="BT77" s="439"/>
      <c r="BU77" s="232"/>
      <c r="BV77" s="40"/>
      <c r="BW77" s="1080"/>
      <c r="BX77" s="1080"/>
      <c r="BY77" s="1080"/>
      <c r="BZ77" s="1080"/>
      <c r="CA77" s="1080"/>
      <c r="CB77" s="1080"/>
      <c r="CC77" s="1080"/>
      <c r="CD77" s="40"/>
      <c r="CE77" s="40"/>
      <c r="CF77" s="40"/>
      <c r="CG77" s="40"/>
      <c r="CH77" s="40"/>
      <c r="CI77" s="40"/>
      <c r="CJ77" s="40"/>
      <c r="CK77" s="40"/>
      <c r="CL77" s="40"/>
      <c r="CM77" s="40"/>
      <c r="CN77" s="40"/>
      <c r="CO77" s="40"/>
      <c r="CP77" s="40"/>
      <c r="CQ77" s="40"/>
      <c r="CR77" s="40"/>
      <c r="CS77" s="40"/>
      <c r="CT77" s="823"/>
      <c r="CU77" s="232"/>
      <c r="CV77" s="232"/>
      <c r="CW77" s="232"/>
      <c r="CX77" s="232"/>
      <c r="CY77" s="232"/>
      <c r="CZ77" s="40"/>
      <c r="DA77" s="40"/>
      <c r="DB77" s="40"/>
      <c r="DC77" s="40"/>
      <c r="DD77" s="40"/>
      <c r="DE77" s="40"/>
      <c r="DF77" s="232"/>
      <c r="DG77" s="232"/>
      <c r="DH77" s="232"/>
      <c r="DI77" s="232"/>
      <c r="DJ77" s="232"/>
      <c r="DK77" s="232"/>
      <c r="DL77" s="232"/>
      <c r="DM77" s="232"/>
      <c r="DN77" s="232"/>
    </row>
    <row r="78" spans="1:118">
      <c r="A78" s="40"/>
      <c r="B78" s="1"/>
      <c r="C78" s="1948" t="s">
        <v>506</v>
      </c>
      <c r="D78" s="1"/>
      <c r="E78" s="273"/>
      <c r="F78" s="3"/>
      <c r="G78" s="3"/>
      <c r="H78" s="274"/>
      <c r="I78" s="28"/>
      <c r="J78" s="273"/>
      <c r="K78" s="3"/>
      <c r="L78" s="3"/>
      <c r="M78" s="274"/>
      <c r="N78" s="1"/>
      <c r="O78" s="273"/>
      <c r="P78" s="3"/>
      <c r="Q78" s="3"/>
      <c r="R78" s="274"/>
      <c r="S78" s="1"/>
      <c r="T78" s="436"/>
      <c r="U78" s="437"/>
      <c r="V78" s="437"/>
      <c r="W78" s="438"/>
      <c r="X78" s="439"/>
      <c r="Y78" s="436">
        <f t="shared" si="113"/>
        <v>30.59628365193236</v>
      </c>
      <c r="Z78" s="437">
        <f t="shared" si="113"/>
        <v>28.85574062912087</v>
      </c>
      <c r="AA78" s="437">
        <f t="shared" si="113"/>
        <v>26.426258410326099</v>
      </c>
      <c r="AB78" s="438">
        <f t="shared" si="113"/>
        <v>28.631262306884057</v>
      </c>
      <c r="AC78" s="439">
        <f>AVERAGE(Y78:AB78)</f>
        <v>28.627386249565845</v>
      </c>
      <c r="AD78" s="436">
        <f t="shared" si="114"/>
        <v>55.245883308574896</v>
      </c>
      <c r="AE78" s="437">
        <f t="shared" si="114"/>
        <v>26.565221706068851</v>
      </c>
      <c r="AF78" s="437">
        <f t="shared" si="114"/>
        <v>26.565221706068851</v>
      </c>
      <c r="AG78" s="438">
        <f t="shared" si="114"/>
        <v>29.935611420199269</v>
      </c>
      <c r="AH78" s="439">
        <f>AVERAGE(AD78:AG78)</f>
        <v>34.577984535227969</v>
      </c>
      <c r="AI78" s="436">
        <f t="shared" si="115"/>
        <v>33.546102769424323</v>
      </c>
      <c r="AJ78" s="437">
        <f t="shared" si="115"/>
        <v>24.350682732600731</v>
      </c>
      <c r="AK78" s="437">
        <f t="shared" si="115"/>
        <v>22.832639235507255</v>
      </c>
      <c r="AL78" s="438">
        <f t="shared" si="115"/>
        <v>21.995092569728254</v>
      </c>
      <c r="AM78" s="439">
        <f>AVERAGE(AI78:AL78)</f>
        <v>25.681129326815142</v>
      </c>
      <c r="AN78" s="436">
        <f t="shared" si="116"/>
        <v>22.062136905279502</v>
      </c>
      <c r="AO78" s="437">
        <f t="shared" si="116"/>
        <v>21.344116594322347</v>
      </c>
      <c r="AP78" s="437">
        <f t="shared" si="116"/>
        <v>22.511571963768123</v>
      </c>
      <c r="AQ78" s="438">
        <f t="shared" si="116"/>
        <v>25.05356571974637</v>
      </c>
      <c r="AR78" s="439">
        <f>AVERAGE(AN78:AQ78)</f>
        <v>22.742847795779085</v>
      </c>
      <c r="AS78" s="436">
        <f t="shared" si="117"/>
        <v>25.637689978663456</v>
      </c>
      <c r="AT78" s="437">
        <f t="shared" si="117"/>
        <v>22.658216380036624</v>
      </c>
      <c r="AU78" s="437">
        <f t="shared" ref="AU78:AV78" si="123">(AU$51)*AU108/1000+AU$55</f>
        <v>22.877026026268119</v>
      </c>
      <c r="AV78" s="438">
        <f t="shared" si="123"/>
        <v>33.49635729142512</v>
      </c>
      <c r="AW78" s="439">
        <f>AVERAGE(AS78:AV78)</f>
        <v>26.167322419098326</v>
      </c>
      <c r="AX78" s="436">
        <f t="shared" si="119"/>
        <v>33.49635729142512</v>
      </c>
      <c r="AY78" s="437">
        <f t="shared" si="119"/>
        <v>24.300000000000004</v>
      </c>
      <c r="AZ78" s="437">
        <f t="shared" si="119"/>
        <v>24.716666666666672</v>
      </c>
      <c r="BA78" s="438">
        <f t="shared" si="119"/>
        <v>24.833333333333332</v>
      </c>
      <c r="BB78" s="439">
        <f>AVERAGE(AX78:BA78)</f>
        <v>26.83658932285628</v>
      </c>
      <c r="BC78" s="436">
        <f t="shared" si="120"/>
        <v>26.535204784504245</v>
      </c>
      <c r="BD78" s="437">
        <f t="shared" si="120"/>
        <v>20.510009202701681</v>
      </c>
      <c r="BE78" s="437">
        <f t="shared" si="120"/>
        <v>20.875172571295771</v>
      </c>
      <c r="BF78" s="438">
        <f t="shared" si="120"/>
        <v>29.770913441498301</v>
      </c>
      <c r="BG78" s="439">
        <f>AVERAGE(BC78:BF78)</f>
        <v>24.422824999999996</v>
      </c>
      <c r="BH78" s="436">
        <f t="shared" si="121"/>
        <v>26.434034268000325</v>
      </c>
      <c r="BI78" s="437">
        <f t="shared" si="121"/>
        <v>20.431810890633283</v>
      </c>
      <c r="BJ78" s="437">
        <f t="shared" si="121"/>
        <v>20.795582004413095</v>
      </c>
      <c r="BK78" s="438">
        <f t="shared" si="121"/>
        <v>29.657406170153294</v>
      </c>
      <c r="BL78" s="439">
        <f>AVERAGE(BH78:BK78)</f>
        <v>24.329708333299997</v>
      </c>
      <c r="BM78" s="436">
        <f>(BM$52)*BM108/1000+BM$55</f>
        <v>25.402833297678725</v>
      </c>
      <c r="BN78" s="437">
        <f t="shared" ref="BN78:BP78" si="124">(BN$52)*BN108/1000+BN$55</f>
        <v>25.402833297678725</v>
      </c>
      <c r="BO78" s="437">
        <f t="shared" si="124"/>
        <v>25.402833297678725</v>
      </c>
      <c r="BP78" s="438">
        <f t="shared" si="124"/>
        <v>25.402833297678725</v>
      </c>
      <c r="BQ78" s="566">
        <f>AVERAGE(BM78:BP78)</f>
        <v>25.402833297678725</v>
      </c>
      <c r="BR78" s="439"/>
      <c r="BS78" s="439"/>
      <c r="BT78" s="439"/>
      <c r="BU78" s="232"/>
      <c r="BV78" s="40"/>
      <c r="BW78" s="1080"/>
      <c r="BX78" s="1080"/>
      <c r="BY78" s="1080"/>
      <c r="BZ78" s="1080"/>
      <c r="CA78" s="1080"/>
      <c r="CB78" s="1080"/>
      <c r="CC78" s="1080"/>
      <c r="CD78" s="40"/>
      <c r="CE78" s="40"/>
      <c r="CF78" s="40"/>
      <c r="CG78" s="40"/>
      <c r="CH78" s="40"/>
      <c r="CI78" s="40"/>
      <c r="CJ78" s="40"/>
      <c r="CK78" s="40"/>
      <c r="CL78" s="40"/>
      <c r="CM78" s="40"/>
      <c r="CN78" s="40"/>
      <c r="CO78" s="40"/>
      <c r="CP78" s="40"/>
      <c r="CQ78" s="40"/>
      <c r="CR78" s="40"/>
      <c r="CS78" s="40"/>
      <c r="CT78" s="823"/>
      <c r="CU78" s="232"/>
      <c r="CV78" s="232"/>
      <c r="CW78" s="232"/>
      <c r="CX78" s="232"/>
      <c r="CY78" s="232"/>
      <c r="CZ78" s="40"/>
      <c r="DA78" s="40"/>
      <c r="DB78" s="40"/>
      <c r="DC78" s="40"/>
      <c r="DD78" s="40"/>
      <c r="DE78" s="40"/>
      <c r="DF78" s="232"/>
      <c r="DG78" s="232"/>
      <c r="DH78" s="232"/>
      <c r="DI78" s="232"/>
      <c r="DJ78" s="232"/>
      <c r="DK78" s="232"/>
      <c r="DL78" s="232"/>
      <c r="DM78" s="232"/>
      <c r="DN78" s="232"/>
    </row>
    <row r="79" spans="1:118">
      <c r="A79" s="40"/>
      <c r="B79" s="1"/>
      <c r="C79" s="1948" t="s">
        <v>507</v>
      </c>
      <c r="D79" s="1"/>
      <c r="E79" s="273"/>
      <c r="F79" s="3"/>
      <c r="G79" s="3"/>
      <c r="H79" s="274"/>
      <c r="I79" s="28"/>
      <c r="J79" s="273"/>
      <c r="K79" s="3"/>
      <c r="L79" s="3"/>
      <c r="M79" s="274"/>
      <c r="N79" s="1"/>
      <c r="O79" s="273"/>
      <c r="P79" s="3"/>
      <c r="Q79" s="3"/>
      <c r="R79" s="274"/>
      <c r="S79" s="1"/>
      <c r="T79" s="436"/>
      <c r="U79" s="437"/>
      <c r="V79" s="437"/>
      <c r="W79" s="438"/>
      <c r="X79" s="439"/>
      <c r="Y79" s="436">
        <f t="shared" ref="Y79:BL79" si="125">Y77*47.5%+Y78*52.5%</f>
        <v>33.977974585667262</v>
      </c>
      <c r="Z79" s="437">
        <f t="shared" si="125"/>
        <v>35.093528279507211</v>
      </c>
      <c r="AA79" s="437">
        <f t="shared" si="125"/>
        <v>33.787738189102839</v>
      </c>
      <c r="AB79" s="438">
        <f t="shared" si="125"/>
        <v>32.180617079766478</v>
      </c>
      <c r="AC79" s="439">
        <f t="shared" si="125"/>
        <v>33.759964533510946</v>
      </c>
      <c r="AD79" s="436">
        <f t="shared" si="125"/>
        <v>66.667529419045465</v>
      </c>
      <c r="AE79" s="437">
        <f t="shared" si="125"/>
        <v>32.103528349055296</v>
      </c>
      <c r="AF79" s="437">
        <f t="shared" si="125"/>
        <v>32.103528349055296</v>
      </c>
      <c r="AG79" s="438">
        <f t="shared" si="125"/>
        <v>34.264692881835089</v>
      </c>
      <c r="AH79" s="439">
        <f t="shared" si="125"/>
        <v>41.284819749747783</v>
      </c>
      <c r="AI79" s="436">
        <f t="shared" si="125"/>
        <v>38.028725410048956</v>
      </c>
      <c r="AJ79" s="437">
        <f t="shared" si="125"/>
        <v>29.614305980757962</v>
      </c>
      <c r="AK79" s="437">
        <f t="shared" si="125"/>
        <v>28.72364795969899</v>
      </c>
      <c r="AL79" s="438">
        <f t="shared" si="125"/>
        <v>26.174523431871002</v>
      </c>
      <c r="AM79" s="439">
        <f t="shared" si="125"/>
        <v>30.635300695594232</v>
      </c>
      <c r="AN79" s="436">
        <f t="shared" si="125"/>
        <v>24.529186862576424</v>
      </c>
      <c r="AO79" s="437">
        <f t="shared" si="125"/>
        <v>26.209729742292673</v>
      </c>
      <c r="AP79" s="437">
        <f t="shared" si="125"/>
        <v>30.05028416989428</v>
      </c>
      <c r="AQ79" s="438">
        <f t="shared" si="125"/>
        <v>28.568639827519622</v>
      </c>
      <c r="AR79" s="439">
        <f t="shared" si="125"/>
        <v>27.339460150570748</v>
      </c>
      <c r="AS79" s="436">
        <f t="shared" si="125"/>
        <v>28.219844303007299</v>
      </c>
      <c r="AT79" s="437">
        <f t="shared" si="125"/>
        <v>27.681794479402043</v>
      </c>
      <c r="AU79" s="437">
        <f t="shared" ref="AU79:AW79" si="126">AU77*47.5%+AU78*52.5%</f>
        <v>29.521255697768936</v>
      </c>
      <c r="AV79" s="438">
        <f t="shared" si="126"/>
        <v>35.840844424922011</v>
      </c>
      <c r="AW79" s="439">
        <f t="shared" si="126"/>
        <v>30.315934726275074</v>
      </c>
      <c r="AX79" s="436">
        <f t="shared" si="125"/>
        <v>35.840844424922011</v>
      </c>
      <c r="AY79" s="437">
        <f t="shared" si="125"/>
        <v>28.828333333333333</v>
      </c>
      <c r="AZ79" s="437">
        <f t="shared" si="125"/>
        <v>30.22666666666667</v>
      </c>
      <c r="BA79" s="438">
        <f t="shared" si="125"/>
        <v>29.005416666666665</v>
      </c>
      <c r="BB79" s="439">
        <f t="shared" si="125"/>
        <v>30.97531527289717</v>
      </c>
      <c r="BC79" s="436">
        <f t="shared" si="125"/>
        <v>30.321123394008332</v>
      </c>
      <c r="BD79" s="437">
        <f t="shared" si="125"/>
        <v>25.112887309918385</v>
      </c>
      <c r="BE79" s="437">
        <f t="shared" si="125"/>
        <v>26.778207075173469</v>
      </c>
      <c r="BF79" s="438">
        <f t="shared" si="125"/>
        <v>33.066131387439803</v>
      </c>
      <c r="BG79" s="439">
        <f t="shared" si="125"/>
        <v>28.819587291634996</v>
      </c>
      <c r="BH79" s="436">
        <f t="shared" si="125"/>
        <v>30.309005516229519</v>
      </c>
      <c r="BI79" s="437">
        <f t="shared" si="125"/>
        <v>25.107714661944861</v>
      </c>
      <c r="BJ79" s="437">
        <f t="shared" si="125"/>
        <v>26.775989430167222</v>
      </c>
      <c r="BK79" s="438">
        <f t="shared" si="125"/>
        <v>33.05015372485839</v>
      </c>
      <c r="BL79" s="439">
        <f t="shared" si="125"/>
        <v>28.810715833299994</v>
      </c>
      <c r="BM79" s="436">
        <f t="shared" ref="BM79:BQ79" si="127">BM77*47.5%+BM78*52.5%</f>
        <v>33.018409356281332</v>
      </c>
      <c r="BN79" s="437">
        <f t="shared" si="127"/>
        <v>33.018409356281332</v>
      </c>
      <c r="BO79" s="437">
        <f t="shared" si="127"/>
        <v>33.018409356281332</v>
      </c>
      <c r="BP79" s="438">
        <f t="shared" si="127"/>
        <v>33.018409356281332</v>
      </c>
      <c r="BQ79" s="566">
        <f t="shared" si="127"/>
        <v>33.018409356281332</v>
      </c>
      <c r="BR79" s="439"/>
      <c r="BS79" s="439"/>
      <c r="BT79" s="439"/>
      <c r="BU79" s="232"/>
      <c r="BV79" s="40"/>
      <c r="BW79" s="1080"/>
      <c r="BX79" s="1080"/>
      <c r="BY79" s="1080"/>
      <c r="BZ79" s="1080"/>
      <c r="CA79" s="1080"/>
      <c r="CB79" s="1080"/>
      <c r="CC79" s="1080"/>
      <c r="CD79" s="40"/>
      <c r="CE79" s="40"/>
      <c r="CF79" s="40"/>
      <c r="CG79" s="40"/>
      <c r="CH79" s="40"/>
      <c r="CI79" s="40"/>
      <c r="CJ79" s="40"/>
      <c r="CK79" s="40"/>
      <c r="CL79" s="40"/>
      <c r="CM79" s="40"/>
      <c r="CN79" s="40"/>
      <c r="CO79" s="40"/>
      <c r="CP79" s="40"/>
      <c r="CQ79" s="40"/>
      <c r="CR79" s="40"/>
      <c r="CS79" s="40"/>
      <c r="CT79" s="823"/>
      <c r="CU79" s="232"/>
      <c r="CV79" s="232"/>
      <c r="CW79" s="232"/>
      <c r="CX79" s="232"/>
      <c r="CY79" s="232"/>
      <c r="CZ79" s="40"/>
      <c r="DA79" s="40"/>
      <c r="DB79" s="40"/>
      <c r="DC79" s="40"/>
      <c r="DD79" s="40"/>
      <c r="DE79" s="40"/>
      <c r="DF79" s="232"/>
      <c r="DG79" s="232"/>
      <c r="DH79" s="232"/>
      <c r="DI79" s="232"/>
      <c r="DJ79" s="232"/>
      <c r="DK79" s="232"/>
      <c r="DL79" s="232"/>
      <c r="DM79" s="232"/>
      <c r="DN79" s="232"/>
    </row>
    <row r="80" spans="1:118">
      <c r="A80" s="40"/>
      <c r="B80" s="1"/>
      <c r="C80" s="564"/>
      <c r="D80" s="1"/>
      <c r="E80" s="273"/>
      <c r="F80" s="3"/>
      <c r="G80" s="3"/>
      <c r="H80" s="274"/>
      <c r="I80" s="28"/>
      <c r="J80" s="273"/>
      <c r="K80" s="3"/>
      <c r="L80" s="3"/>
      <c r="M80" s="274"/>
      <c r="N80" s="1"/>
      <c r="O80" s="273"/>
      <c r="P80" s="3"/>
      <c r="Q80" s="3"/>
      <c r="R80" s="274"/>
      <c r="S80" s="1"/>
      <c r="T80" s="436"/>
      <c r="U80" s="437"/>
      <c r="V80" s="437"/>
      <c r="W80" s="438"/>
      <c r="X80" s="439"/>
      <c r="Y80" s="436"/>
      <c r="Z80" s="437"/>
      <c r="AA80" s="437"/>
      <c r="AB80" s="438"/>
      <c r="AC80" s="439"/>
      <c r="AD80" s="436"/>
      <c r="AE80" s="437"/>
      <c r="AF80" s="437"/>
      <c r="AG80" s="438"/>
      <c r="AH80" s="439"/>
      <c r="AI80" s="436"/>
      <c r="AJ80" s="437"/>
      <c r="AK80" s="437"/>
      <c r="AL80" s="438"/>
      <c r="AM80" s="439"/>
      <c r="AN80" s="436"/>
      <c r="AO80" s="437"/>
      <c r="AP80" s="437"/>
      <c r="AQ80" s="438"/>
      <c r="AR80" s="439"/>
      <c r="AS80" s="436"/>
      <c r="AT80" s="437"/>
      <c r="AU80" s="437"/>
      <c r="AV80" s="438"/>
      <c r="AW80" s="439"/>
      <c r="AX80" s="436"/>
      <c r="AY80" s="437"/>
      <c r="AZ80" s="437"/>
      <c r="BA80" s="438"/>
      <c r="BB80" s="439"/>
      <c r="BC80" s="436"/>
      <c r="BD80" s="437"/>
      <c r="BE80" s="437"/>
      <c r="BF80" s="438"/>
      <c r="BG80" s="439"/>
      <c r="BH80" s="436"/>
      <c r="BI80" s="437"/>
      <c r="BJ80" s="437"/>
      <c r="BK80" s="438"/>
      <c r="BL80" s="439"/>
      <c r="BM80" s="436"/>
      <c r="BN80" s="437"/>
      <c r="BO80" s="437"/>
      <c r="BP80" s="438"/>
      <c r="BQ80" s="566"/>
      <c r="BR80" s="439"/>
      <c r="BS80" s="439"/>
      <c r="BT80" s="439"/>
      <c r="BU80" s="232"/>
      <c r="BV80" s="156"/>
      <c r="BW80" s="1080"/>
      <c r="BX80" s="1080"/>
      <c r="BY80" s="1080"/>
      <c r="BZ80" s="1080"/>
      <c r="CA80" s="1080"/>
      <c r="CB80" s="1080"/>
      <c r="CC80" s="1080"/>
      <c r="CD80" s="40"/>
      <c r="CE80" s="40"/>
      <c r="CF80" s="40"/>
      <c r="CG80" s="40"/>
      <c r="CH80" s="40"/>
      <c r="CI80" s="40"/>
      <c r="CJ80" s="40"/>
      <c r="CK80" s="40"/>
      <c r="CL80" s="40"/>
      <c r="CM80" s="40"/>
      <c r="CN80" s="40"/>
      <c r="CO80" s="40"/>
      <c r="CP80" s="40"/>
      <c r="CQ80" s="40"/>
      <c r="CR80" s="40"/>
      <c r="CS80" s="40"/>
      <c r="CT80" s="823"/>
      <c r="CU80" s="232"/>
      <c r="CV80" s="232"/>
      <c r="CW80" s="232"/>
      <c r="CX80" s="232"/>
      <c r="CY80" s="232"/>
      <c r="CZ80" s="40"/>
      <c r="DA80" s="40"/>
      <c r="DB80" s="40"/>
      <c r="DC80" s="40"/>
      <c r="DD80" s="40"/>
      <c r="DE80" s="40"/>
      <c r="DF80" s="232"/>
      <c r="DG80" s="232"/>
      <c r="DH80" s="232"/>
      <c r="DI80" s="232"/>
      <c r="DJ80" s="232"/>
      <c r="DK80" s="232"/>
      <c r="DL80" s="232"/>
      <c r="DM80" s="232"/>
      <c r="DN80" s="232"/>
    </row>
    <row r="81" spans="1:118">
      <c r="A81" s="40"/>
      <c r="B81" s="1"/>
      <c r="C81" s="564" t="s">
        <v>817</v>
      </c>
      <c r="D81" s="1"/>
      <c r="E81" s="273"/>
      <c r="F81" s="3"/>
      <c r="G81" s="3"/>
      <c r="H81" s="274"/>
      <c r="I81" s="28"/>
      <c r="J81" s="273"/>
      <c r="K81" s="3"/>
      <c r="L81" s="3"/>
      <c r="M81" s="274"/>
      <c r="N81" s="1"/>
      <c r="O81" s="273"/>
      <c r="P81" s="3"/>
      <c r="Q81" s="3"/>
      <c r="R81" s="274"/>
      <c r="S81" s="1"/>
      <c r="T81" s="436"/>
      <c r="U81" s="437"/>
      <c r="V81" s="437"/>
      <c r="W81" s="438"/>
      <c r="X81" s="439"/>
      <c r="Y81" s="436">
        <f t="shared" ref="Y81:AB82" si="128">(Y$51+Y$59)*Y116/1000+Y$55</f>
        <v>41.997815863095234</v>
      </c>
      <c r="Z81" s="437">
        <f t="shared" si="128"/>
        <v>45.53030431640623</v>
      </c>
      <c r="AA81" s="437">
        <f t="shared" si="128"/>
        <v>48.136464199218771</v>
      </c>
      <c r="AB81" s="438">
        <f t="shared" si="128"/>
        <v>40.193486718750009</v>
      </c>
      <c r="AC81" s="439">
        <f>AVERAGE(Y81:AB81)</f>
        <v>43.964517774367565</v>
      </c>
      <c r="AD81" s="436">
        <f t="shared" ref="AD81:AG82" si="129">(AD$51+AD$59)*AD116/1000+AD$55</f>
        <v>113.57858770833332</v>
      </c>
      <c r="AE81" s="437">
        <f t="shared" si="129"/>
        <v>41.389708935546885</v>
      </c>
      <c r="AF81" s="437">
        <f t="shared" si="129"/>
        <v>41.389708935546885</v>
      </c>
      <c r="AG81" s="438">
        <f t="shared" si="129"/>
        <v>40.371172851562484</v>
      </c>
      <c r="AH81" s="439">
        <f>AVERAGE(AD81:AG81)</f>
        <v>59.182294607747387</v>
      </c>
      <c r="AI81" s="436">
        <f t="shared" ref="AI81:AL82" si="130">(AI$51+AI$59)*AI116/1000+AI$55</f>
        <v>56.866776517857161</v>
      </c>
      <c r="AJ81" s="437">
        <f t="shared" si="130"/>
        <v>39.147263818359377</v>
      </c>
      <c r="AK81" s="437">
        <f t="shared" si="130"/>
        <v>39.464831807692292</v>
      </c>
      <c r="AL81" s="438">
        <f t="shared" si="130"/>
        <v>31.895178447265621</v>
      </c>
      <c r="AM81" s="439">
        <f>AVERAGE(AI81:AL81)</f>
        <v>41.843512647793617</v>
      </c>
      <c r="AN81" s="436">
        <f t="shared" ref="AN81:AQ82" si="131">(AN$51+AN$59)*AN116/1000+AN$55</f>
        <v>30.103148642578116</v>
      </c>
      <c r="AO81" s="437">
        <f t="shared" si="131"/>
        <v>32.701806339843749</v>
      </c>
      <c r="AP81" s="437">
        <f t="shared" si="131"/>
        <v>38.936782353515625</v>
      </c>
      <c r="AQ81" s="438">
        <f t="shared" si="131"/>
        <v>33.269796091269853</v>
      </c>
      <c r="AR81" s="439">
        <f>AVERAGE(AN81:AQ81)</f>
        <v>33.752883356801831</v>
      </c>
      <c r="AS81" s="436">
        <f t="shared" ref="AS81:AT82" si="132">(AS$51+AS$59)*AS116/1000+AS$55</f>
        <v>32.144072138671881</v>
      </c>
      <c r="AT81" s="437">
        <f t="shared" si="132"/>
        <v>32.803312458984372</v>
      </c>
      <c r="AU81" s="437">
        <f t="shared" ref="AU81:AV81" si="133">(AU$51+AU$59)*AU116/1000+AU$55</f>
        <v>35.491018034722231</v>
      </c>
      <c r="AV81" s="438">
        <f t="shared" si="133"/>
        <v>48.149713212890617</v>
      </c>
      <c r="AW81" s="439">
        <f>AVERAGE(AS81:AV81)</f>
        <v>37.147028961317275</v>
      </c>
      <c r="AX81" s="436">
        <f t="shared" ref="AX81:BA82" si="134">(AX$51+AX$59)*AX116/1000+AX$55</f>
        <v>48.149713212890617</v>
      </c>
      <c r="AY81" s="437">
        <f t="shared" si="134"/>
        <v>34.5</v>
      </c>
      <c r="AZ81" s="437">
        <f t="shared" si="134"/>
        <v>36.9</v>
      </c>
      <c r="BA81" s="438">
        <f t="shared" si="134"/>
        <v>34.68333333333333</v>
      </c>
      <c r="BB81" s="439">
        <f>AVERAGE(AX81:BA81)</f>
        <v>38.55826163655599</v>
      </c>
      <c r="BC81" s="436">
        <f t="shared" ref="BC81:BF82" si="135">(BC$52+BC$59)*BC116/1000+BC$55</f>
        <v>40.501333218824755</v>
      </c>
      <c r="BD81" s="437">
        <f t="shared" si="135"/>
        <v>29.678493986239484</v>
      </c>
      <c r="BE81" s="437">
        <f t="shared" si="135"/>
        <v>32.100602483050345</v>
      </c>
      <c r="BF81" s="438">
        <f t="shared" si="135"/>
        <v>39.002903645085446</v>
      </c>
      <c r="BG81" s="439">
        <f>AVERAGE(BC81:BF81)</f>
        <v>35.320833333300008</v>
      </c>
      <c r="BH81" s="436">
        <f t="shared" ref="BH81:BK82" si="136">(BH$52+BH$59)*BH116/1000+BH$55</f>
        <v>40.405777401430242</v>
      </c>
      <c r="BI81" s="437">
        <f t="shared" si="136"/>
        <v>29.608472766528742</v>
      </c>
      <c r="BJ81" s="437">
        <f t="shared" si="136"/>
        <v>32.024866721648337</v>
      </c>
      <c r="BK81" s="438">
        <f t="shared" si="136"/>
        <v>38.910883110392703</v>
      </c>
      <c r="BL81" s="439">
        <f>AVERAGE(BH81:BK81)</f>
        <v>35.237500000000004</v>
      </c>
      <c r="BM81" s="436">
        <f t="shared" ref="BM81:BP81" si="137">(BM$52+BM$59)*BM116/1000+BM$55</f>
        <v>35.79999999999999</v>
      </c>
      <c r="BN81" s="437">
        <f t="shared" si="137"/>
        <v>35.79999999999999</v>
      </c>
      <c r="BO81" s="437">
        <f t="shared" si="137"/>
        <v>35.79999999999999</v>
      </c>
      <c r="BP81" s="438">
        <f t="shared" si="137"/>
        <v>35.79999999999999</v>
      </c>
      <c r="BQ81" s="566">
        <f>AVERAGE(BM81:BP81)</f>
        <v>35.79999999999999</v>
      </c>
      <c r="BR81" s="439"/>
      <c r="BS81" s="439"/>
      <c r="BT81" s="439"/>
      <c r="BU81" s="232"/>
      <c r="BV81" s="40"/>
      <c r="BW81" s="1080"/>
      <c r="BX81" s="1080"/>
      <c r="BY81" s="1080"/>
      <c r="BZ81" s="1080"/>
      <c r="CA81" s="1080"/>
      <c r="CB81" s="1080"/>
      <c r="CC81" s="1080"/>
      <c r="CD81" s="40"/>
      <c r="CE81" s="40"/>
      <c r="CF81" s="40"/>
      <c r="CG81" s="40"/>
      <c r="CH81" s="40"/>
      <c r="CI81" s="40"/>
      <c r="CJ81" s="40"/>
      <c r="CK81" s="40"/>
      <c r="CL81" s="40"/>
      <c r="CM81" s="40"/>
      <c r="CN81" s="40"/>
      <c r="CO81" s="40"/>
      <c r="CP81" s="40"/>
      <c r="CQ81" s="40"/>
      <c r="CR81" s="40"/>
      <c r="CS81" s="40"/>
      <c r="CT81" s="823"/>
      <c r="CU81" s="232"/>
      <c r="CV81" s="232"/>
      <c r="CW81" s="232"/>
      <c r="CX81" s="232"/>
      <c r="CY81" s="232"/>
      <c r="CZ81" s="40"/>
      <c r="DA81" s="40"/>
      <c r="DB81" s="40"/>
      <c r="DC81" s="40"/>
      <c r="DD81" s="40"/>
      <c r="DE81" s="40"/>
      <c r="DF81" s="232"/>
      <c r="DG81" s="232"/>
      <c r="DH81" s="232"/>
      <c r="DI81" s="232"/>
      <c r="DJ81" s="232"/>
      <c r="DK81" s="232"/>
      <c r="DL81" s="232"/>
      <c r="DM81" s="232"/>
      <c r="DN81" s="232"/>
    </row>
    <row r="82" spans="1:118">
      <c r="A82" s="40"/>
      <c r="B82" s="1"/>
      <c r="C82" s="564" t="s">
        <v>818</v>
      </c>
      <c r="D82" s="1"/>
      <c r="E82" s="273"/>
      <c r="F82" s="3"/>
      <c r="G82" s="3"/>
      <c r="H82" s="274"/>
      <c r="I82" s="28"/>
      <c r="J82" s="273"/>
      <c r="K82" s="3"/>
      <c r="L82" s="3"/>
      <c r="M82" s="274"/>
      <c r="N82" s="1"/>
      <c r="O82" s="273"/>
      <c r="P82" s="3"/>
      <c r="Q82" s="3"/>
      <c r="R82" s="274"/>
      <c r="S82" s="1"/>
      <c r="T82" s="436"/>
      <c r="U82" s="437"/>
      <c r="V82" s="437"/>
      <c r="W82" s="438"/>
      <c r="X82" s="439"/>
      <c r="Y82" s="436">
        <f t="shared" si="128"/>
        <v>33.486062323832535</v>
      </c>
      <c r="Z82" s="437">
        <f t="shared" si="128"/>
        <v>29.612168522893782</v>
      </c>
      <c r="AA82" s="437">
        <f t="shared" si="128"/>
        <v>28.466996774909429</v>
      </c>
      <c r="AB82" s="438">
        <f t="shared" si="128"/>
        <v>31.005893446105066</v>
      </c>
      <c r="AC82" s="439">
        <f>AVERAGE(Y82:AB82)</f>
        <v>30.642780266935201</v>
      </c>
      <c r="AD82" s="436">
        <f t="shared" si="129"/>
        <v>78.280771197463764</v>
      </c>
      <c r="AE82" s="437">
        <f t="shared" si="129"/>
        <v>27.413026009963776</v>
      </c>
      <c r="AF82" s="437">
        <f t="shared" si="129"/>
        <v>27.413026009963776</v>
      </c>
      <c r="AG82" s="438">
        <f t="shared" si="129"/>
        <v>29.952876293025366</v>
      </c>
      <c r="AH82" s="439">
        <f>AVERAGE(AD82:AG82)</f>
        <v>40.764924877604166</v>
      </c>
      <c r="AI82" s="436">
        <f t="shared" si="130"/>
        <v>44.217764477254434</v>
      </c>
      <c r="AJ82" s="437">
        <f t="shared" si="130"/>
        <v>25.028568056318672</v>
      </c>
      <c r="AK82" s="437">
        <f t="shared" si="130"/>
        <v>23.22481523731884</v>
      </c>
      <c r="AL82" s="438">
        <f t="shared" si="130"/>
        <v>22.109061745018124</v>
      </c>
      <c r="AM82" s="439">
        <f>AVERAGE(AI82:AL82)</f>
        <v>28.645052378977518</v>
      </c>
      <c r="AN82" s="436">
        <f t="shared" si="131"/>
        <v>23.988923446826721</v>
      </c>
      <c r="AO82" s="437">
        <f t="shared" si="131"/>
        <v>21.266628026098903</v>
      </c>
      <c r="AP82" s="437">
        <f t="shared" si="131"/>
        <v>22.9101000946558</v>
      </c>
      <c r="AQ82" s="438">
        <f t="shared" si="131"/>
        <v>25.259746692934794</v>
      </c>
      <c r="AR82" s="439">
        <f>AVERAGE(AN82:AQ82)</f>
        <v>23.356349565129054</v>
      </c>
      <c r="AS82" s="436">
        <f t="shared" si="132"/>
        <v>27.075569670692431</v>
      </c>
      <c r="AT82" s="437">
        <f t="shared" si="132"/>
        <v>22.121270426282049</v>
      </c>
      <c r="AU82" s="437">
        <f t="shared" ref="AU82:AV82" si="138">(AU$51+AU$59)*AU117/1000+AU$55</f>
        <v>21.948979516304348</v>
      </c>
      <c r="AV82" s="438">
        <f t="shared" si="138"/>
        <v>43.803590137359109</v>
      </c>
      <c r="AW82" s="439">
        <f>AVERAGE(AS82:AV82)</f>
        <v>28.737352437659485</v>
      </c>
      <c r="AX82" s="436">
        <f t="shared" si="134"/>
        <v>43.803590137359109</v>
      </c>
      <c r="AY82" s="437">
        <f t="shared" si="134"/>
        <v>24.95</v>
      </c>
      <c r="AZ82" s="437">
        <f t="shared" si="134"/>
        <v>24.783333333333335</v>
      </c>
      <c r="BA82" s="438">
        <f t="shared" si="134"/>
        <v>25.683333333333334</v>
      </c>
      <c r="BB82" s="439">
        <f>AVERAGE(AX82:BA82)</f>
        <v>29.805064201006445</v>
      </c>
      <c r="BC82" s="436">
        <f t="shared" si="135"/>
        <v>32.710239316820804</v>
      </c>
      <c r="BD82" s="437">
        <f t="shared" si="135"/>
        <v>20.631697104333988</v>
      </c>
      <c r="BE82" s="437">
        <f t="shared" si="135"/>
        <v>20.527571740433242</v>
      </c>
      <c r="BF82" s="438">
        <f t="shared" si="135"/>
        <v>31.938458504811976</v>
      </c>
      <c r="BG82" s="439">
        <f>AVERAGE(BC82:BF82)</f>
        <v>26.451991666600001</v>
      </c>
      <c r="BH82" s="436">
        <f t="shared" si="136"/>
        <v>32.33891227956417</v>
      </c>
      <c r="BI82" s="437">
        <f t="shared" si="136"/>
        <v>20.397485826173483</v>
      </c>
      <c r="BJ82" s="437">
        <f t="shared" si="136"/>
        <v>20.29454249467874</v>
      </c>
      <c r="BK82" s="438">
        <f t="shared" si="136"/>
        <v>31.575892732783618</v>
      </c>
      <c r="BL82" s="439">
        <f>AVERAGE(BH82:BK82)</f>
        <v>26.1517083333</v>
      </c>
      <c r="BM82" s="436">
        <f t="shared" ref="BM82:BP82" si="139">(BM$52+BM$59)*BM117/1000+BM$55</f>
        <v>26.18883759785253</v>
      </c>
      <c r="BN82" s="437">
        <f t="shared" si="139"/>
        <v>26.18883759785253</v>
      </c>
      <c r="BO82" s="437">
        <f t="shared" si="139"/>
        <v>26.18883759785253</v>
      </c>
      <c r="BP82" s="438">
        <f t="shared" si="139"/>
        <v>26.18883759785253</v>
      </c>
      <c r="BQ82" s="566">
        <f>AVERAGE(BM82:BP82)</f>
        <v>26.18883759785253</v>
      </c>
      <c r="BR82" s="439"/>
      <c r="BS82" s="439"/>
      <c r="BT82" s="439"/>
      <c r="BU82" s="232"/>
      <c r="BV82" s="40"/>
      <c r="BW82" s="1080"/>
      <c r="BX82" s="1080"/>
      <c r="BY82" s="1080"/>
      <c r="BZ82" s="1080"/>
      <c r="CA82" s="1080"/>
      <c r="CB82" s="1080"/>
      <c r="CC82" s="1080"/>
      <c r="CD82" s="40"/>
      <c r="CE82" s="40"/>
      <c r="CF82" s="40"/>
      <c r="CG82" s="40"/>
      <c r="CH82" s="40"/>
      <c r="CI82" s="40"/>
      <c r="CJ82" s="40"/>
      <c r="CK82" s="40"/>
      <c r="CL82" s="40"/>
      <c r="CM82" s="40"/>
      <c r="CN82" s="40"/>
      <c r="CO82" s="40"/>
      <c r="CP82" s="40"/>
      <c r="CQ82" s="40"/>
      <c r="CR82" s="40"/>
      <c r="CS82" s="40"/>
      <c r="CT82" s="823"/>
      <c r="CU82" s="232"/>
      <c r="CV82" s="232"/>
      <c r="CW82" s="232"/>
      <c r="CX82" s="232"/>
      <c r="CY82" s="232"/>
      <c r="CZ82" s="40"/>
      <c r="DA82" s="40"/>
      <c r="DB82" s="40"/>
      <c r="DC82" s="40"/>
      <c r="DD82" s="40"/>
      <c r="DE82" s="40"/>
      <c r="DF82" s="232"/>
      <c r="DG82" s="232"/>
      <c r="DH82" s="232"/>
      <c r="DI82" s="232"/>
      <c r="DJ82" s="232"/>
      <c r="DK82" s="232"/>
      <c r="DL82" s="232"/>
      <c r="DM82" s="232"/>
      <c r="DN82" s="232"/>
    </row>
    <row r="83" spans="1:118">
      <c r="A83" s="40"/>
      <c r="B83" s="1"/>
      <c r="C83" s="564" t="s">
        <v>180</v>
      </c>
      <c r="D83" s="1"/>
      <c r="E83" s="273"/>
      <c r="F83" s="3"/>
      <c r="G83" s="3"/>
      <c r="H83" s="274"/>
      <c r="I83" s="28"/>
      <c r="J83" s="273"/>
      <c r="K83" s="3"/>
      <c r="L83" s="3"/>
      <c r="M83" s="274"/>
      <c r="N83" s="1"/>
      <c r="O83" s="273"/>
      <c r="P83" s="3"/>
      <c r="Q83" s="3"/>
      <c r="R83" s="274"/>
      <c r="S83" s="1"/>
      <c r="T83" s="436"/>
      <c r="U83" s="437"/>
      <c r="V83" s="437"/>
      <c r="W83" s="438"/>
      <c r="X83" s="439"/>
      <c r="Y83" s="436">
        <f t="shared" ref="Y83:BL83" si="140">Y81*47.5%+Y82*52.5%</f>
        <v>37.529145254982318</v>
      </c>
      <c r="Z83" s="437">
        <f t="shared" si="140"/>
        <v>37.173283024812193</v>
      </c>
      <c r="AA83" s="437">
        <f t="shared" si="140"/>
        <v>37.809993801456365</v>
      </c>
      <c r="AB83" s="438">
        <f t="shared" si="140"/>
        <v>35.370000250611412</v>
      </c>
      <c r="AC83" s="439">
        <f t="shared" si="140"/>
        <v>36.970605582965575</v>
      </c>
      <c r="AD83" s="436">
        <f t="shared" si="140"/>
        <v>95.047234040126796</v>
      </c>
      <c r="AE83" s="437">
        <f t="shared" si="140"/>
        <v>34.051950399615748</v>
      </c>
      <c r="AF83" s="437">
        <f t="shared" si="140"/>
        <v>34.051950399615748</v>
      </c>
      <c r="AG83" s="438">
        <f t="shared" si="140"/>
        <v>34.901567158330494</v>
      </c>
      <c r="AH83" s="439">
        <f t="shared" si="140"/>
        <v>49.513175499422196</v>
      </c>
      <c r="AI83" s="436">
        <f t="shared" si="140"/>
        <v>50.226045196540731</v>
      </c>
      <c r="AJ83" s="437">
        <f t="shared" si="140"/>
        <v>31.734948543288006</v>
      </c>
      <c r="AK83" s="437">
        <f t="shared" si="140"/>
        <v>30.938823108246229</v>
      </c>
      <c r="AL83" s="438">
        <f t="shared" si="140"/>
        <v>26.757467178585685</v>
      </c>
      <c r="AM83" s="439">
        <f t="shared" si="140"/>
        <v>34.914321006665162</v>
      </c>
      <c r="AN83" s="436">
        <f t="shared" si="140"/>
        <v>26.893180414808633</v>
      </c>
      <c r="AO83" s="437">
        <f t="shared" si="140"/>
        <v>26.698337725127704</v>
      </c>
      <c r="AP83" s="437">
        <f t="shared" si="140"/>
        <v>30.522774167614216</v>
      </c>
      <c r="AQ83" s="438">
        <f t="shared" si="140"/>
        <v>29.064520157143946</v>
      </c>
      <c r="AR83" s="439">
        <f t="shared" si="140"/>
        <v>28.294703116173622</v>
      </c>
      <c r="AS83" s="436">
        <f t="shared" si="140"/>
        <v>29.483108342982668</v>
      </c>
      <c r="AT83" s="437">
        <f t="shared" si="140"/>
        <v>27.195240391815652</v>
      </c>
      <c r="AU83" s="437">
        <f t="shared" ref="AU83:AW83" si="141">AU81*47.5%+AU82*52.5%</f>
        <v>28.381447812552842</v>
      </c>
      <c r="AV83" s="438">
        <f t="shared" si="141"/>
        <v>45.867998598236575</v>
      </c>
      <c r="AW83" s="439">
        <f t="shared" si="141"/>
        <v>32.731948786396934</v>
      </c>
      <c r="AX83" s="436">
        <f t="shared" si="140"/>
        <v>45.867998598236575</v>
      </c>
      <c r="AY83" s="437">
        <f t="shared" si="140"/>
        <v>29.486249999999998</v>
      </c>
      <c r="AZ83" s="437">
        <f t="shared" si="140"/>
        <v>30.53875</v>
      </c>
      <c r="BA83" s="438">
        <f t="shared" si="140"/>
        <v>29.958333333333332</v>
      </c>
      <c r="BB83" s="439">
        <f t="shared" si="140"/>
        <v>33.962832982892479</v>
      </c>
      <c r="BC83" s="436">
        <f t="shared" si="140"/>
        <v>36.411008920272678</v>
      </c>
      <c r="BD83" s="437">
        <f t="shared" si="140"/>
        <v>24.928925623239095</v>
      </c>
      <c r="BE83" s="437">
        <f t="shared" si="140"/>
        <v>26.024761343176365</v>
      </c>
      <c r="BF83" s="438">
        <f t="shared" si="140"/>
        <v>35.294069946441873</v>
      </c>
      <c r="BG83" s="439">
        <f t="shared" si="140"/>
        <v>30.664691458282505</v>
      </c>
      <c r="BH83" s="436">
        <f t="shared" si="140"/>
        <v>36.170673212450552</v>
      </c>
      <c r="BI83" s="437">
        <f t="shared" si="140"/>
        <v>24.77270462284223</v>
      </c>
      <c r="BJ83" s="437">
        <f t="shared" si="140"/>
        <v>25.866446502489296</v>
      </c>
      <c r="BK83" s="438">
        <f t="shared" si="140"/>
        <v>35.060013162147939</v>
      </c>
      <c r="BL83" s="439">
        <f t="shared" si="140"/>
        <v>30.467459374982504</v>
      </c>
      <c r="BM83" s="436">
        <f t="shared" ref="BM83:BQ83" si="142">BM81*47.5%+BM82*52.5%</f>
        <v>30.754139738872574</v>
      </c>
      <c r="BN83" s="437">
        <f t="shared" si="142"/>
        <v>30.754139738872574</v>
      </c>
      <c r="BO83" s="437">
        <f t="shared" si="142"/>
        <v>30.754139738872574</v>
      </c>
      <c r="BP83" s="438">
        <f t="shared" si="142"/>
        <v>30.754139738872574</v>
      </c>
      <c r="BQ83" s="566">
        <f t="shared" si="142"/>
        <v>30.754139738872574</v>
      </c>
      <c r="BR83" s="439"/>
      <c r="BS83" s="439"/>
      <c r="BT83" s="439"/>
      <c r="BU83" s="232"/>
      <c r="BV83" s="40"/>
      <c r="BW83" s="1080"/>
      <c r="BX83" s="1080"/>
      <c r="BY83" s="1080"/>
      <c r="BZ83" s="1080"/>
      <c r="CA83" s="1080"/>
      <c r="CB83" s="1080"/>
      <c r="CC83" s="1080"/>
      <c r="CD83" s="40"/>
      <c r="CE83" s="40"/>
      <c r="CF83" s="40"/>
      <c r="CG83" s="40"/>
      <c r="CH83" s="40"/>
      <c r="CI83" s="40"/>
      <c r="CJ83" s="40"/>
      <c r="CK83" s="40"/>
      <c r="CL83" s="40"/>
      <c r="CM83" s="40"/>
      <c r="CN83" s="40"/>
      <c r="CO83" s="40"/>
      <c r="CP83" s="40"/>
      <c r="CQ83" s="40"/>
      <c r="CR83" s="40"/>
      <c r="CS83" s="40"/>
      <c r="CT83" s="823"/>
      <c r="CU83" s="232"/>
      <c r="CV83" s="232"/>
      <c r="CW83" s="232"/>
      <c r="CX83" s="232"/>
      <c r="CY83" s="232"/>
      <c r="CZ83" s="40"/>
      <c r="DA83" s="40"/>
      <c r="DB83" s="40"/>
      <c r="DC83" s="40"/>
      <c r="DD83" s="40"/>
      <c r="DE83" s="40"/>
      <c r="DF83" s="232"/>
      <c r="DG83" s="232"/>
      <c r="DH83" s="232"/>
      <c r="DI83" s="232"/>
      <c r="DJ83" s="232"/>
      <c r="DK83" s="232"/>
      <c r="DL83" s="232"/>
      <c r="DM83" s="232"/>
      <c r="DN83" s="232"/>
    </row>
    <row r="84" spans="1:118">
      <c r="A84" s="40"/>
      <c r="B84" s="1"/>
      <c r="C84" s="564"/>
      <c r="D84" s="1"/>
      <c r="E84" s="273"/>
      <c r="F84" s="3"/>
      <c r="G84" s="3"/>
      <c r="H84" s="274"/>
      <c r="I84" s="28"/>
      <c r="J84" s="273"/>
      <c r="K84" s="3"/>
      <c r="L84" s="3"/>
      <c r="M84" s="274"/>
      <c r="N84" s="1"/>
      <c r="O84" s="273"/>
      <c r="P84" s="3"/>
      <c r="Q84" s="3"/>
      <c r="R84" s="274"/>
      <c r="S84" s="1"/>
      <c r="T84" s="436"/>
      <c r="U84" s="437"/>
      <c r="V84" s="437"/>
      <c r="W84" s="438"/>
      <c r="X84" s="439"/>
      <c r="Y84" s="436"/>
      <c r="Z84" s="437"/>
      <c r="AA84" s="437"/>
      <c r="AB84" s="438"/>
      <c r="AC84" s="439"/>
      <c r="AD84" s="436"/>
      <c r="AE84" s="437"/>
      <c r="AF84" s="437"/>
      <c r="AG84" s="438"/>
      <c r="AH84" s="439"/>
      <c r="AI84" s="436"/>
      <c r="AJ84" s="437"/>
      <c r="AK84" s="437"/>
      <c r="AL84" s="438"/>
      <c r="AM84" s="439"/>
      <c r="AN84" s="436"/>
      <c r="AO84" s="437"/>
      <c r="AP84" s="437"/>
      <c r="AQ84" s="438"/>
      <c r="AR84" s="439"/>
      <c r="AS84" s="436"/>
      <c r="AT84" s="437"/>
      <c r="AU84" s="437"/>
      <c r="AV84" s="438"/>
      <c r="AW84" s="439"/>
      <c r="AX84" s="436"/>
      <c r="AY84" s="437"/>
      <c r="AZ84" s="437"/>
      <c r="BA84" s="438"/>
      <c r="BB84" s="439"/>
      <c r="BC84" s="436"/>
      <c r="BD84" s="437"/>
      <c r="BE84" s="437"/>
      <c r="BF84" s="438"/>
      <c r="BG84" s="439"/>
      <c r="BH84" s="436"/>
      <c r="BI84" s="437"/>
      <c r="BJ84" s="437"/>
      <c r="BK84" s="438"/>
      <c r="BL84" s="439"/>
      <c r="BM84" s="436"/>
      <c r="BN84" s="437"/>
      <c r="BO84" s="437"/>
      <c r="BP84" s="438"/>
      <c r="BQ84" s="566"/>
      <c r="BR84" s="439"/>
      <c r="BS84" s="439"/>
      <c r="BT84" s="439"/>
      <c r="BU84" s="232"/>
      <c r="BV84" s="156"/>
      <c r="BW84" s="1080"/>
      <c r="BX84" s="1080"/>
      <c r="BY84" s="1080"/>
      <c r="BZ84" s="1080"/>
      <c r="CA84" s="1080"/>
      <c r="CB84" s="1080"/>
      <c r="CC84" s="1080"/>
      <c r="CD84" s="40"/>
      <c r="CE84" s="40"/>
      <c r="CF84" s="40"/>
      <c r="CG84" s="40"/>
      <c r="CH84" s="40"/>
      <c r="CI84" s="40"/>
      <c r="CJ84" s="40"/>
      <c r="CK84" s="40"/>
      <c r="CL84" s="40"/>
      <c r="CM84" s="40"/>
      <c r="CN84" s="40"/>
      <c r="CO84" s="40"/>
      <c r="CP84" s="40"/>
      <c r="CQ84" s="40"/>
      <c r="CR84" s="40"/>
      <c r="CS84" s="40"/>
      <c r="CT84" s="823"/>
      <c r="CU84" s="232"/>
      <c r="CV84" s="232"/>
      <c r="CW84" s="232"/>
      <c r="CX84" s="232"/>
      <c r="CY84" s="232"/>
      <c r="CZ84" s="40"/>
      <c r="DA84" s="40"/>
      <c r="DB84" s="40"/>
      <c r="DC84" s="40"/>
      <c r="DD84" s="40"/>
      <c r="DE84" s="40"/>
      <c r="DF84" s="232"/>
      <c r="DG84" s="232"/>
      <c r="DH84" s="232"/>
      <c r="DI84" s="232"/>
      <c r="DJ84" s="232"/>
      <c r="DK84" s="232"/>
      <c r="DL84" s="232"/>
      <c r="DM84" s="232"/>
      <c r="DN84" s="232"/>
    </row>
    <row r="85" spans="1:118">
      <c r="A85" s="40"/>
      <c r="B85" s="1"/>
      <c r="C85" s="564" t="s">
        <v>819</v>
      </c>
      <c r="D85" s="1"/>
      <c r="E85" s="273"/>
      <c r="F85" s="3"/>
      <c r="G85" s="3"/>
      <c r="H85" s="274"/>
      <c r="I85" s="28"/>
      <c r="J85" s="273"/>
      <c r="K85" s="3"/>
      <c r="L85" s="3"/>
      <c r="M85" s="274"/>
      <c r="N85" s="1"/>
      <c r="O85" s="273"/>
      <c r="P85" s="3"/>
      <c r="Q85" s="3"/>
      <c r="R85" s="274"/>
      <c r="S85" s="1"/>
      <c r="T85" s="436"/>
      <c r="U85" s="437"/>
      <c r="V85" s="437"/>
      <c r="W85" s="438"/>
      <c r="X85" s="439"/>
      <c r="Y85" s="436">
        <f t="shared" ref="Y85:AB86" si="143">(Y$51+Y$59)*Y119/1000+Y$55</f>
        <v>42.607887670634931</v>
      </c>
      <c r="Z85" s="437">
        <f t="shared" si="143"/>
        <v>47.166300820312507</v>
      </c>
      <c r="AA85" s="437">
        <f t="shared" si="143"/>
        <v>55.200128388671871</v>
      </c>
      <c r="AB85" s="438">
        <f t="shared" si="143"/>
        <v>42.19233237304686</v>
      </c>
      <c r="AC85" s="439">
        <f>AVERAGE(Y85:AB85)</f>
        <v>46.791662313166547</v>
      </c>
      <c r="AD85" s="436">
        <f t="shared" ref="AD85:AG86" si="144">(AD$51+AD$59)*AD119/1000+AD$55</f>
        <v>132.34547472222226</v>
      </c>
      <c r="AE85" s="437">
        <f t="shared" si="144"/>
        <v>45.337472450195328</v>
      </c>
      <c r="AF85" s="437">
        <f t="shared" si="144"/>
        <v>45.337472450195328</v>
      </c>
      <c r="AG85" s="438">
        <f t="shared" si="144"/>
        <v>49.12051941503907</v>
      </c>
      <c r="AH85" s="439">
        <f>AVERAGE(AD85:AG85)</f>
        <v>68.035234759412987</v>
      </c>
      <c r="AI85" s="436">
        <f>(AI$51+AI$59)*AI119/1000+AI$55</f>
        <v>67.284598143849195</v>
      </c>
      <c r="AJ85" s="2089">
        <v>43.70333333333334</v>
      </c>
      <c r="AK85" s="437">
        <f>(AK$51+AK$59)*AK119/1000+AK$55</f>
        <v>39.898508561538463</v>
      </c>
      <c r="AL85" s="438">
        <f>(AL$51+AL$59)*AL119/1000+AL$55</f>
        <v>30.041686161132823</v>
      </c>
      <c r="AM85" s="439">
        <f>AVERAGE(AI85:AL85)</f>
        <v>45.232031549963452</v>
      </c>
      <c r="AN85" s="436">
        <f t="shared" ref="AN85:AQ86" si="145">(AN$51+AN$59)*AN119/1000+AN$55</f>
        <v>31.26632047949219</v>
      </c>
      <c r="AO85" s="437">
        <f t="shared" si="145"/>
        <v>28.707086242187497</v>
      </c>
      <c r="AP85" s="437">
        <f t="shared" si="145"/>
        <v>40.605906624023433</v>
      </c>
      <c r="AQ85" s="438">
        <f t="shared" si="145"/>
        <v>28.828253920634918</v>
      </c>
      <c r="AR85" s="439">
        <f>AVERAGE(AN85:AQ85)</f>
        <v>32.351891816584512</v>
      </c>
      <c r="AS85" s="436">
        <f t="shared" ref="AS85:AT86" si="146">(AS$51+AS$59)*AS119/1000+AS$55</f>
        <v>33.256564817382809</v>
      </c>
      <c r="AT85" s="437">
        <f t="shared" si="146"/>
        <v>32.387231337890618</v>
      </c>
      <c r="AU85" s="437">
        <f t="shared" ref="AU85:AV85" si="147">(AU$51+AU$59)*AU119/1000+AU$55</f>
        <v>34.354411583333338</v>
      </c>
      <c r="AV85" s="438">
        <f t="shared" si="147"/>
        <v>49.504310380859366</v>
      </c>
      <c r="AW85" s="439">
        <f>AVERAGE(AS85:AV85)</f>
        <v>37.375629529866529</v>
      </c>
      <c r="AX85" s="436">
        <f t="shared" ref="AX85:BA86" si="148">(AX$51+AX$59)*AX119/1000+AX$55</f>
        <v>49.504310380859366</v>
      </c>
      <c r="AY85" s="437">
        <f t="shared" si="148"/>
        <v>34.371333333333332</v>
      </c>
      <c r="AZ85" s="437">
        <f t="shared" si="148"/>
        <v>38.062833333333337</v>
      </c>
      <c r="BA85" s="438">
        <f t="shared" si="148"/>
        <v>34.614333333333327</v>
      </c>
      <c r="BB85" s="439">
        <f>AVERAGE(AX85:BA85)</f>
        <v>39.138202595214842</v>
      </c>
      <c r="BC85" s="436">
        <f t="shared" ref="BC85:BF86" si="149">(BC$52+BC$59)*BC119/1000+BC$55</f>
        <v>46.510944725679025</v>
      </c>
      <c r="BD85" s="437">
        <f t="shared" si="149"/>
        <v>30.296280173373429</v>
      </c>
      <c r="BE85" s="437">
        <f t="shared" si="149"/>
        <v>33.94738406386135</v>
      </c>
      <c r="BF85" s="438">
        <f t="shared" si="149"/>
        <v>36.410057703486217</v>
      </c>
      <c r="BG85" s="439">
        <f>AVERAGE(BC85:BF85)</f>
        <v>36.791166666600006</v>
      </c>
      <c r="BH85" s="436">
        <f t="shared" ref="BH85:BK86" si="150">(BH$52+BH$59)*BH119/1000+BH$55</f>
        <v>46.479340030218324</v>
      </c>
      <c r="BI85" s="437">
        <f t="shared" si="150"/>
        <v>30.275693519756331</v>
      </c>
      <c r="BJ85" s="437">
        <f t="shared" si="150"/>
        <v>33.924316445231916</v>
      </c>
      <c r="BK85" s="438">
        <f t="shared" si="150"/>
        <v>36.385316671193436</v>
      </c>
      <c r="BL85" s="439">
        <f>AVERAGE(BH85:BK85)</f>
        <v>36.7661666666</v>
      </c>
      <c r="BM85" s="436">
        <f>(BM$52+BM$59)*BM119/1000+BM$55</f>
        <v>36.021428571428572</v>
      </c>
      <c r="BN85" s="437">
        <f t="shared" ref="BN85:BP85" si="151">(BN$52+BN$59)*BN119/1000+BN$55</f>
        <v>36.021428571428572</v>
      </c>
      <c r="BO85" s="437">
        <f t="shared" si="151"/>
        <v>36.021428571428572</v>
      </c>
      <c r="BP85" s="438">
        <f t="shared" si="151"/>
        <v>36.021428571428572</v>
      </c>
      <c r="BQ85" s="566">
        <f>AVERAGE(BM85:BP85)</f>
        <v>36.021428571428572</v>
      </c>
      <c r="BR85" s="439"/>
      <c r="BS85" s="439"/>
      <c r="BT85" s="439"/>
      <c r="BU85" s="232"/>
      <c r="BV85" s="40"/>
      <c r="BW85" s="1080"/>
      <c r="BX85" s="1080"/>
      <c r="BY85" s="1080"/>
      <c r="BZ85" s="1080"/>
      <c r="CA85" s="1080"/>
      <c r="CB85" s="1080"/>
      <c r="CC85" s="1080"/>
      <c r="CD85" s="40"/>
      <c r="CE85" s="40"/>
      <c r="CF85" s="40"/>
      <c r="CG85" s="40"/>
      <c r="CH85" s="40"/>
      <c r="CI85" s="40"/>
      <c r="CJ85" s="40"/>
      <c r="CK85" s="40"/>
      <c r="CL85" s="40"/>
      <c r="CM85" s="40"/>
      <c r="CN85" s="40"/>
      <c r="CO85" s="40"/>
      <c r="CP85" s="40"/>
      <c r="CQ85" s="40"/>
      <c r="CR85" s="40"/>
      <c r="CS85" s="40"/>
      <c r="CT85" s="823"/>
      <c r="CU85" s="232"/>
      <c r="CV85" s="232"/>
      <c r="CW85" s="232"/>
      <c r="CX85" s="232"/>
      <c r="CY85" s="232"/>
      <c r="CZ85" s="40"/>
      <c r="DA85" s="40"/>
      <c r="DB85" s="40"/>
      <c r="DC85" s="40"/>
      <c r="DD85" s="40"/>
      <c r="DE85" s="40"/>
      <c r="DF85" s="232"/>
      <c r="DG85" s="232"/>
      <c r="DH85" s="232"/>
      <c r="DI85" s="232"/>
      <c r="DJ85" s="232"/>
      <c r="DK85" s="232"/>
      <c r="DL85" s="232"/>
      <c r="DM85" s="232"/>
      <c r="DN85" s="232"/>
    </row>
    <row r="86" spans="1:118">
      <c r="A86" s="40"/>
      <c r="B86" s="1"/>
      <c r="C86" s="564" t="s">
        <v>820</v>
      </c>
      <c r="D86" s="1"/>
      <c r="E86" s="273"/>
      <c r="F86" s="3"/>
      <c r="G86" s="3"/>
      <c r="H86" s="274"/>
      <c r="I86" s="28"/>
      <c r="J86" s="273"/>
      <c r="K86" s="3"/>
      <c r="L86" s="3"/>
      <c r="M86" s="274"/>
      <c r="N86" s="1"/>
      <c r="O86" s="273"/>
      <c r="P86" s="3"/>
      <c r="Q86" s="3"/>
      <c r="R86" s="274"/>
      <c r="S86" s="1"/>
      <c r="T86" s="436"/>
      <c r="U86" s="437"/>
      <c r="V86" s="437"/>
      <c r="W86" s="438"/>
      <c r="X86" s="439"/>
      <c r="Y86" s="436">
        <f t="shared" si="143"/>
        <v>34.559726323027377</v>
      </c>
      <c r="Z86" s="437">
        <f t="shared" si="143"/>
        <v>31.325106590201472</v>
      </c>
      <c r="AA86" s="437">
        <f t="shared" si="143"/>
        <v>30.007325350543468</v>
      </c>
      <c r="AB86" s="438">
        <f t="shared" si="143"/>
        <v>32.19676385769926</v>
      </c>
      <c r="AC86" s="439">
        <f>AVERAGE(Y86:AB86)</f>
        <v>32.022230530367892</v>
      </c>
      <c r="AD86" s="436">
        <f t="shared" si="144"/>
        <v>90.786707820652154</v>
      </c>
      <c r="AE86" s="437">
        <f t="shared" si="144"/>
        <v>26.507552103713767</v>
      </c>
      <c r="AF86" s="437">
        <f t="shared" si="144"/>
        <v>26.507552103713767</v>
      </c>
      <c r="AG86" s="438">
        <f t="shared" si="144"/>
        <v>37.660706784782626</v>
      </c>
      <c r="AH86" s="439">
        <f>AVERAGE(AD86:AG86)</f>
        <v>45.365629703215582</v>
      </c>
      <c r="AI86" s="436">
        <f>(AI$51+AI$59)*AI120/1000+AI$55</f>
        <v>52.915014835144923</v>
      </c>
      <c r="AJ86" s="437">
        <f>(AJ$51+AJ$59)*AJ120/1000+AJ$55</f>
        <v>25.152664907509156</v>
      </c>
      <c r="AK86" s="437">
        <f>(AK$51+AK$59)*AK120/1000+AK$55</f>
        <v>20.837114357789854</v>
      </c>
      <c r="AL86" s="438">
        <f>(AL$51+AL$59)*AL120/1000+AL$55</f>
        <v>25.347991754166664</v>
      </c>
      <c r="AM86" s="439">
        <f>AVERAGE(AI86:AL86)</f>
        <v>31.063196463652652</v>
      </c>
      <c r="AN86" s="436">
        <f t="shared" si="145"/>
        <v>25.346020121237455</v>
      </c>
      <c r="AO86" s="437">
        <f t="shared" si="145"/>
        <v>19.254250642399263</v>
      </c>
      <c r="AP86" s="437">
        <f t="shared" si="145"/>
        <v>21.072814450181166</v>
      </c>
      <c r="AQ86" s="438">
        <f t="shared" si="145"/>
        <v>21.316599519927536</v>
      </c>
      <c r="AR86" s="439">
        <f>AVERAGE(AN86:AQ86)</f>
        <v>21.747421183436355</v>
      </c>
      <c r="AS86" s="436">
        <f t="shared" si="146"/>
        <v>29.336510980555559</v>
      </c>
      <c r="AT86" s="437">
        <f t="shared" si="146"/>
        <v>21.736222810439564</v>
      </c>
      <c r="AU86" s="437">
        <f t="shared" ref="AU86:AV86" si="152">(AU$51+AU$59)*AU120/1000+AU$55</f>
        <v>19.181085373188402</v>
      </c>
      <c r="AV86" s="438">
        <f t="shared" si="152"/>
        <v>46.651077805173117</v>
      </c>
      <c r="AW86" s="439">
        <f>AVERAGE(AS86:AV86)</f>
        <v>29.22622424233916</v>
      </c>
      <c r="AX86" s="436">
        <f t="shared" si="148"/>
        <v>46.651077805173117</v>
      </c>
      <c r="AY86" s="437">
        <f t="shared" si="148"/>
        <v>25.158666666666669</v>
      </c>
      <c r="AZ86" s="437">
        <f t="shared" si="148"/>
        <v>25.266666666666666</v>
      </c>
      <c r="BA86" s="438">
        <f t="shared" si="148"/>
        <v>25.499833333333331</v>
      </c>
      <c r="BB86" s="439">
        <f>AVERAGE(AX86:BA86)</f>
        <v>30.644061117959946</v>
      </c>
      <c r="BC86" s="436">
        <f t="shared" si="149"/>
        <v>37.348531597794086</v>
      </c>
      <c r="BD86" s="437">
        <f t="shared" si="149"/>
        <v>20.745010650110842</v>
      </c>
      <c r="BE86" s="437">
        <f t="shared" si="149"/>
        <v>21.194398638146538</v>
      </c>
      <c r="BF86" s="438">
        <f t="shared" si="149"/>
        <v>30.99135911394854</v>
      </c>
      <c r="BG86" s="439">
        <f>AVERAGE(BC86:BF86)</f>
        <v>27.569825000000002</v>
      </c>
      <c r="BH86" s="436">
        <f t="shared" si="150"/>
        <v>37.020764656216237</v>
      </c>
      <c r="BI86" s="437">
        <f t="shared" si="150"/>
        <v>20.562954531626438</v>
      </c>
      <c r="BJ86" s="437">
        <f t="shared" si="150"/>
        <v>21.008398736061572</v>
      </c>
      <c r="BK86" s="438">
        <f t="shared" si="150"/>
        <v>30.719382076095741</v>
      </c>
      <c r="BL86" s="439">
        <f>AVERAGE(BH86:BK86)</f>
        <v>27.327874999999999</v>
      </c>
      <c r="BM86" s="436">
        <f t="shared" ref="BM86:BP86" si="153">(BM$52+BM$59)*BM120/1000+BM$55</f>
        <v>26.910278327419032</v>
      </c>
      <c r="BN86" s="437">
        <f t="shared" si="153"/>
        <v>26.910278327419032</v>
      </c>
      <c r="BO86" s="437">
        <f t="shared" si="153"/>
        <v>26.910278327419032</v>
      </c>
      <c r="BP86" s="438">
        <f t="shared" si="153"/>
        <v>26.910278327419032</v>
      </c>
      <c r="BQ86" s="566">
        <f>AVERAGE(BM86:BP86)</f>
        <v>26.910278327419032</v>
      </c>
      <c r="BR86" s="439"/>
      <c r="BS86" s="439"/>
      <c r="BT86" s="439"/>
      <c r="BU86" s="232"/>
      <c r="BV86" s="40"/>
      <c r="BW86" s="1080"/>
      <c r="BX86" s="1080"/>
      <c r="BY86" s="1080"/>
      <c r="BZ86" s="1080"/>
      <c r="CA86" s="1080"/>
      <c r="CB86" s="1080"/>
      <c r="CC86" s="1080"/>
      <c r="CD86" s="40"/>
      <c r="CE86" s="40"/>
      <c r="CF86" s="40"/>
      <c r="CG86" s="40"/>
      <c r="CH86" s="40"/>
      <c r="CI86" s="40"/>
      <c r="CJ86" s="40"/>
      <c r="CK86" s="40"/>
      <c r="CL86" s="40"/>
      <c r="CM86" s="40"/>
      <c r="CN86" s="40"/>
      <c r="CO86" s="40"/>
      <c r="CP86" s="40"/>
      <c r="CQ86" s="40"/>
      <c r="CR86" s="40"/>
      <c r="CS86" s="40"/>
      <c r="CT86" s="823"/>
      <c r="CU86" s="232"/>
      <c r="CV86" s="232"/>
      <c r="CW86" s="232"/>
      <c r="CX86" s="232"/>
      <c r="CY86" s="232"/>
      <c r="CZ86" s="40"/>
      <c r="DA86" s="40"/>
      <c r="DB86" s="40"/>
      <c r="DC86" s="40"/>
      <c r="DD86" s="40"/>
      <c r="DE86" s="40"/>
      <c r="DF86" s="232"/>
      <c r="DG86" s="232"/>
      <c r="DH86" s="232"/>
      <c r="DI86" s="232"/>
      <c r="DJ86" s="232"/>
      <c r="DK86" s="232"/>
      <c r="DL86" s="232"/>
      <c r="DM86" s="232"/>
      <c r="DN86" s="232"/>
    </row>
    <row r="87" spans="1:118">
      <c r="A87" s="40"/>
      <c r="B87" s="1"/>
      <c r="C87" s="564" t="s">
        <v>181</v>
      </c>
      <c r="D87" s="1"/>
      <c r="E87" s="273"/>
      <c r="F87" s="3"/>
      <c r="G87" s="3"/>
      <c r="H87" s="274"/>
      <c r="I87" s="28"/>
      <c r="J87" s="273"/>
      <c r="K87" s="3"/>
      <c r="L87" s="3"/>
      <c r="M87" s="274"/>
      <c r="N87" s="1"/>
      <c r="O87" s="273"/>
      <c r="P87" s="3"/>
      <c r="Q87" s="3"/>
      <c r="R87" s="274"/>
      <c r="S87" s="1"/>
      <c r="T87" s="436"/>
      <c r="U87" s="437"/>
      <c r="V87" s="437"/>
      <c r="W87" s="438"/>
      <c r="X87" s="439"/>
      <c r="Y87" s="436">
        <f t="shared" ref="Y87:BL87" si="154">Y85*47.5%+Y86*52.5%</f>
        <v>38.382602963140968</v>
      </c>
      <c r="Z87" s="437">
        <f t="shared" si="154"/>
        <v>38.849673849504214</v>
      </c>
      <c r="AA87" s="437">
        <f t="shared" si="154"/>
        <v>41.973906793654457</v>
      </c>
      <c r="AB87" s="438">
        <f t="shared" si="154"/>
        <v>36.944658902489365</v>
      </c>
      <c r="AC87" s="439">
        <f t="shared" si="154"/>
        <v>39.037710627197256</v>
      </c>
      <c r="AD87" s="436">
        <f t="shared" si="154"/>
        <v>110.52712209889796</v>
      </c>
      <c r="AE87" s="437">
        <f t="shared" si="154"/>
        <v>35.451764268292507</v>
      </c>
      <c r="AF87" s="437">
        <f t="shared" si="154"/>
        <v>35.451764268292507</v>
      </c>
      <c r="AG87" s="438">
        <f t="shared" si="154"/>
        <v>43.10411778415444</v>
      </c>
      <c r="AH87" s="439">
        <f t="shared" si="154"/>
        <v>56.133692104909343</v>
      </c>
      <c r="AI87" s="436">
        <f t="shared" si="154"/>
        <v>59.740566906779449</v>
      </c>
      <c r="AJ87" s="437">
        <f t="shared" si="154"/>
        <v>33.964232409775647</v>
      </c>
      <c r="AK87" s="437">
        <f t="shared" si="154"/>
        <v>29.891276604570443</v>
      </c>
      <c r="AL87" s="438">
        <f t="shared" si="154"/>
        <v>27.577496597475587</v>
      </c>
      <c r="AM87" s="439">
        <f t="shared" si="154"/>
        <v>37.793393129650283</v>
      </c>
      <c r="AN87" s="436">
        <f t="shared" si="154"/>
        <v>28.158162791408454</v>
      </c>
      <c r="AO87" s="437">
        <f t="shared" si="154"/>
        <v>23.744347552298677</v>
      </c>
      <c r="AP87" s="437">
        <f t="shared" si="154"/>
        <v>30.351033232756244</v>
      </c>
      <c r="AQ87" s="438">
        <f t="shared" si="154"/>
        <v>24.884635360263541</v>
      </c>
      <c r="AR87" s="439">
        <f t="shared" si="154"/>
        <v>26.784544734181729</v>
      </c>
      <c r="AS87" s="436">
        <f t="shared" si="154"/>
        <v>31.198536553048502</v>
      </c>
      <c r="AT87" s="437">
        <f t="shared" si="154"/>
        <v>26.795451860978815</v>
      </c>
      <c r="AU87" s="437">
        <f t="shared" ref="AU87:AW87" si="155">AU85*47.5%+AU86*52.5%</f>
        <v>26.388415323007248</v>
      </c>
      <c r="AV87" s="438">
        <f t="shared" si="155"/>
        <v>48.006363278624086</v>
      </c>
      <c r="AW87" s="439">
        <f t="shared" si="155"/>
        <v>33.097191753914665</v>
      </c>
      <c r="AX87" s="436">
        <f t="shared" si="154"/>
        <v>48.006363278624086</v>
      </c>
      <c r="AY87" s="437">
        <f t="shared" si="154"/>
        <v>29.534683333333334</v>
      </c>
      <c r="AZ87" s="437">
        <f t="shared" si="154"/>
        <v>31.344845833333334</v>
      </c>
      <c r="BA87" s="438">
        <f t="shared" si="154"/>
        <v>29.829220833333331</v>
      </c>
      <c r="BB87" s="439">
        <f t="shared" si="154"/>
        <v>34.678778319656018</v>
      </c>
      <c r="BC87" s="436">
        <f t="shared" si="154"/>
        <v>41.70067783353943</v>
      </c>
      <c r="BD87" s="437">
        <f t="shared" si="154"/>
        <v>25.28186367366057</v>
      </c>
      <c r="BE87" s="437">
        <f t="shared" si="154"/>
        <v>27.252066715361075</v>
      </c>
      <c r="BF87" s="438">
        <f t="shared" si="154"/>
        <v>33.565240943978935</v>
      </c>
      <c r="BG87" s="439">
        <f t="shared" si="154"/>
        <v>31.949962291635003</v>
      </c>
      <c r="BH87" s="436">
        <f t="shared" si="154"/>
        <v>41.513587958867234</v>
      </c>
      <c r="BI87" s="437">
        <f t="shared" si="154"/>
        <v>25.176505550988139</v>
      </c>
      <c r="BJ87" s="437">
        <f t="shared" si="154"/>
        <v>27.143459647917485</v>
      </c>
      <c r="BK87" s="438">
        <f t="shared" si="154"/>
        <v>33.410701008767148</v>
      </c>
      <c r="BL87" s="439">
        <f t="shared" si="154"/>
        <v>31.811063541634997</v>
      </c>
      <c r="BM87" s="436">
        <f t="shared" ref="BM87:BQ87" si="156">BM85*47.5%+BM86*52.5%</f>
        <v>31.238074693323561</v>
      </c>
      <c r="BN87" s="437">
        <f t="shared" si="156"/>
        <v>31.238074693323561</v>
      </c>
      <c r="BO87" s="437">
        <f t="shared" si="156"/>
        <v>31.238074693323561</v>
      </c>
      <c r="BP87" s="438">
        <f t="shared" si="156"/>
        <v>31.238074693323561</v>
      </c>
      <c r="BQ87" s="566">
        <f t="shared" si="156"/>
        <v>31.238074693323561</v>
      </c>
      <c r="BR87" s="439"/>
      <c r="BS87" s="439"/>
      <c r="BT87" s="439"/>
      <c r="BU87" s="232"/>
      <c r="BV87" s="40"/>
      <c r="BW87" s="1080"/>
      <c r="BX87" s="1080"/>
      <c r="BY87" s="1080"/>
      <c r="BZ87" s="1080"/>
      <c r="CA87" s="1080"/>
      <c r="CB87" s="1080"/>
      <c r="CC87" s="1080"/>
      <c r="CD87" s="40"/>
      <c r="CE87" s="40"/>
      <c r="CF87" s="40"/>
      <c r="CG87" s="40"/>
      <c r="CH87" s="40"/>
      <c r="CI87" s="40"/>
      <c r="CJ87" s="40"/>
      <c r="CK87" s="40"/>
      <c r="CL87" s="40"/>
      <c r="CM87" s="40"/>
      <c r="CN87" s="40"/>
      <c r="CO87" s="40"/>
      <c r="CP87" s="40"/>
      <c r="CQ87" s="40"/>
      <c r="CR87" s="40"/>
      <c r="CS87" s="40"/>
      <c r="CT87" s="823"/>
      <c r="CU87" s="232"/>
      <c r="CV87" s="232"/>
      <c r="CW87" s="232"/>
      <c r="CX87" s="232"/>
      <c r="CY87" s="232"/>
      <c r="CZ87" s="40"/>
      <c r="DA87" s="40"/>
      <c r="DB87" s="40"/>
      <c r="DC87" s="40"/>
      <c r="DD87" s="40"/>
      <c r="DE87" s="40"/>
      <c r="DF87" s="232"/>
      <c r="DG87" s="232"/>
      <c r="DH87" s="232"/>
      <c r="DI87" s="232"/>
      <c r="DJ87" s="232"/>
      <c r="DK87" s="232"/>
      <c r="DL87" s="232"/>
      <c r="DM87" s="232"/>
      <c r="DN87" s="232"/>
    </row>
    <row r="88" spans="1:118">
      <c r="A88" s="40"/>
      <c r="B88" s="1"/>
      <c r="C88" s="564"/>
      <c r="D88" s="1"/>
      <c r="E88" s="273"/>
      <c r="F88" s="3"/>
      <c r="G88" s="3"/>
      <c r="H88" s="274"/>
      <c r="I88" s="28"/>
      <c r="J88" s="273"/>
      <c r="K88" s="3"/>
      <c r="L88" s="3"/>
      <c r="M88" s="274"/>
      <c r="N88" s="1"/>
      <c r="O88" s="273"/>
      <c r="P88" s="3"/>
      <c r="Q88" s="3"/>
      <c r="R88" s="274"/>
      <c r="S88" s="1"/>
      <c r="T88" s="436"/>
      <c r="U88" s="437"/>
      <c r="V88" s="437"/>
      <c r="W88" s="438"/>
      <c r="X88" s="439"/>
      <c r="Y88" s="436"/>
      <c r="Z88" s="437"/>
      <c r="AA88" s="437"/>
      <c r="AB88" s="438"/>
      <c r="AC88" s="439"/>
      <c r="AD88" s="436"/>
      <c r="AE88" s="437"/>
      <c r="AF88" s="437"/>
      <c r="AG88" s="438"/>
      <c r="AH88" s="439"/>
      <c r="AI88" s="436"/>
      <c r="AJ88" s="437"/>
      <c r="AK88" s="437"/>
      <c r="AL88" s="438"/>
      <c r="AM88" s="439"/>
      <c r="AN88" s="436"/>
      <c r="AO88" s="437"/>
      <c r="AP88" s="437"/>
      <c r="AQ88" s="438"/>
      <c r="AR88" s="439"/>
      <c r="AS88" s="436"/>
      <c r="AT88" s="437"/>
      <c r="AU88" s="437"/>
      <c r="AV88" s="438"/>
      <c r="AW88" s="439"/>
      <c r="AX88" s="436"/>
      <c r="AY88" s="437"/>
      <c r="AZ88" s="437"/>
      <c r="BA88" s="438"/>
      <c r="BB88" s="439"/>
      <c r="BC88" s="436"/>
      <c r="BD88" s="437"/>
      <c r="BE88" s="437"/>
      <c r="BF88" s="438"/>
      <c r="BG88" s="439"/>
      <c r="BH88" s="436"/>
      <c r="BI88" s="437"/>
      <c r="BJ88" s="437"/>
      <c r="BK88" s="438"/>
      <c r="BL88" s="439"/>
      <c r="BM88" s="436"/>
      <c r="BN88" s="437"/>
      <c r="BO88" s="437"/>
      <c r="BP88" s="438"/>
      <c r="BQ88" s="566"/>
      <c r="BR88" s="439"/>
      <c r="BS88" s="439"/>
      <c r="BT88" s="439"/>
      <c r="BU88" s="232"/>
      <c r="BV88" s="156"/>
      <c r="BW88" s="1080"/>
      <c r="BX88" s="1080"/>
      <c r="BY88" s="1080"/>
      <c r="BZ88" s="1080"/>
      <c r="CA88" s="1080"/>
      <c r="CB88" s="1080"/>
      <c r="CC88" s="1080"/>
      <c r="CD88" s="40"/>
      <c r="CE88" s="40"/>
      <c r="CF88" s="40"/>
      <c r="CG88" s="40"/>
      <c r="CH88" s="40"/>
      <c r="CI88" s="40"/>
      <c r="CJ88" s="40"/>
      <c r="CK88" s="40"/>
      <c r="CL88" s="40"/>
      <c r="CM88" s="40"/>
      <c r="CN88" s="40"/>
      <c r="CO88" s="40"/>
      <c r="CP88" s="40"/>
      <c r="CQ88" s="40"/>
      <c r="CR88" s="40"/>
      <c r="CS88" s="40"/>
      <c r="CT88" s="823"/>
      <c r="CU88" s="232"/>
      <c r="CV88" s="232"/>
      <c r="CW88" s="232"/>
      <c r="CX88" s="232"/>
      <c r="CY88" s="232"/>
      <c r="CZ88" s="40"/>
      <c r="DA88" s="40"/>
      <c r="DB88" s="40"/>
      <c r="DC88" s="40"/>
      <c r="DD88" s="40"/>
      <c r="DE88" s="40"/>
      <c r="DF88" s="232"/>
      <c r="DG88" s="232"/>
      <c r="DH88" s="232"/>
      <c r="DI88" s="232"/>
      <c r="DJ88" s="232"/>
      <c r="DK88" s="232"/>
      <c r="DL88" s="232"/>
      <c r="DM88" s="232"/>
      <c r="DN88" s="232"/>
    </row>
    <row r="89" spans="1:118">
      <c r="A89" s="40"/>
      <c r="B89" s="1"/>
      <c r="C89" s="564" t="s">
        <v>846</v>
      </c>
      <c r="D89" s="1"/>
      <c r="E89" s="273"/>
      <c r="F89" s="3"/>
      <c r="G89" s="3"/>
      <c r="H89" s="274"/>
      <c r="I89" s="28"/>
      <c r="J89" s="273"/>
      <c r="K89" s="3"/>
      <c r="L89" s="3"/>
      <c r="M89" s="274"/>
      <c r="N89" s="1"/>
      <c r="O89" s="273"/>
      <c r="P89" s="3"/>
      <c r="Q89" s="3"/>
      <c r="R89" s="274"/>
      <c r="S89" s="1"/>
      <c r="T89" s="436"/>
      <c r="U89" s="437"/>
      <c r="V89" s="437"/>
      <c r="W89" s="438"/>
      <c r="X89" s="439"/>
      <c r="Y89" s="436">
        <f t="shared" ref="Y89:AB90" si="157">(Y$51+Y$61)*Y110/1000+Y$55</f>
        <v>32.511999999999993</v>
      </c>
      <c r="Z89" s="437">
        <f t="shared" si="157"/>
        <v>38.131384615384611</v>
      </c>
      <c r="AA89" s="437">
        <f t="shared" si="157"/>
        <v>42.04296875</v>
      </c>
      <c r="AB89" s="438">
        <f t="shared" si="157"/>
        <v>37.624062500000001</v>
      </c>
      <c r="AC89" s="439">
        <f>AVERAGE(Y89:AB89)</f>
        <v>37.577603966346153</v>
      </c>
      <c r="AD89" s="436">
        <f t="shared" ref="AD89:AG90" si="158">(AD$51+AD$61)*AD110/1000+AD$55</f>
        <v>47.590967741935479</v>
      </c>
      <c r="AE89" s="437">
        <f t="shared" si="158"/>
        <v>43.211212121212114</v>
      </c>
      <c r="AF89" s="437">
        <f t="shared" si="158"/>
        <v>43.211212121212114</v>
      </c>
      <c r="AG89" s="438">
        <f t="shared" si="158"/>
        <v>36.127031249999987</v>
      </c>
      <c r="AH89" s="439">
        <f>AVERAGE(AD89:AG89)</f>
        <v>42.535105808589925</v>
      </c>
      <c r="AI89" s="436">
        <f t="shared" ref="AI89:AL90" si="159">(AI$51+AI$61)*AI110/1000+AI$55</f>
        <v>25.419180327868862</v>
      </c>
      <c r="AJ89" s="437">
        <f t="shared" si="159"/>
        <v>26.83111111111111</v>
      </c>
      <c r="AK89" s="437">
        <f t="shared" si="159"/>
        <v>33.160312500000018</v>
      </c>
      <c r="AL89" s="438">
        <f t="shared" si="159"/>
        <v>23.980158730158735</v>
      </c>
      <c r="AM89" s="439">
        <f>AVERAGE(AI89:AL89)</f>
        <v>27.347690667284681</v>
      </c>
      <c r="AN89" s="436">
        <f t="shared" ref="AN89:AQ90" si="160">(AN$51+AN$61)*AN110/1000+AN$55</f>
        <v>19.007377049180324</v>
      </c>
      <c r="AO89" s="437">
        <f t="shared" si="160"/>
        <v>22.532187499999996</v>
      </c>
      <c r="AP89" s="437">
        <f t="shared" si="160"/>
        <v>34.896093749999991</v>
      </c>
      <c r="AQ89" s="438">
        <f t="shared" si="160"/>
        <v>25.215322580645168</v>
      </c>
      <c r="AR89" s="439">
        <f>AVERAGE(AN89:AQ89)</f>
        <v>25.412745219956371</v>
      </c>
      <c r="AS89" s="436">
        <f t="shared" ref="AS89:AT90" si="161">(AS$51+AS$61)*AS110/1000+AS$55</f>
        <v>23.400322580645167</v>
      </c>
      <c r="AT89" s="437">
        <f t="shared" si="161"/>
        <v>32.938906250000009</v>
      </c>
      <c r="AU89" s="437">
        <f t="shared" ref="AU89:AV89" si="162">(AU$51+AU$61)*AU110/1000+AU$55</f>
        <v>44.240952380952379</v>
      </c>
      <c r="AV89" s="438">
        <f t="shared" si="162"/>
        <v>26.38622950819672</v>
      </c>
      <c r="AW89" s="439">
        <f>AVERAGE(AS89:AV89)</f>
        <v>31.741602679948571</v>
      </c>
      <c r="AX89" s="436">
        <f t="shared" ref="AX89:BA90" si="163">(AX$51+AX$61)*AX110/1000+AX$55</f>
        <v>26.38622950819672</v>
      </c>
      <c r="AY89" s="437">
        <f t="shared" si="163"/>
        <v>27.183333333333337</v>
      </c>
      <c r="AZ89" s="437">
        <f t="shared" si="163"/>
        <v>42.6</v>
      </c>
      <c r="BA89" s="438">
        <f t="shared" si="163"/>
        <v>25.1</v>
      </c>
      <c r="BB89" s="439">
        <f>AVERAGE(AX89:BA89)</f>
        <v>30.317390710382512</v>
      </c>
      <c r="BC89" s="436">
        <f t="shared" ref="BC89:BF90" si="164">(BC$51+BC$61)*BC110/1000+BC$55</f>
        <v>25.992977359392917</v>
      </c>
      <c r="BD89" s="437">
        <f t="shared" si="164"/>
        <v>25.589202953810119</v>
      </c>
      <c r="BE89" s="437">
        <f t="shared" si="164"/>
        <v>40.377440558280256</v>
      </c>
      <c r="BF89" s="438">
        <f t="shared" si="164"/>
        <v>30.457045794916702</v>
      </c>
      <c r="BG89" s="439">
        <f>AVERAGE(BC89:BF89)</f>
        <v>30.604166666600001</v>
      </c>
      <c r="BH89" s="436">
        <f t="shared" ref="BH89:BK90" si="165">(BH$51+BH$61)*BH110/1000+BH$55</f>
        <v>28.466645320489615</v>
      </c>
      <c r="BI89" s="437">
        <f t="shared" si="165"/>
        <v>28.024445004831527</v>
      </c>
      <c r="BJ89" s="437">
        <f t="shared" si="165"/>
        <v>44.220031565809116</v>
      </c>
      <c r="BK89" s="438">
        <f t="shared" si="165"/>
        <v>33.355544775269742</v>
      </c>
      <c r="BL89" s="439">
        <f>AVERAGE(BH89:BK89)</f>
        <v>33.516666666600003</v>
      </c>
      <c r="BM89" s="436">
        <f t="shared" ref="BM89:BP89" si="166">(BM$51+BM$61)*BM110/1000+BM$55</f>
        <v>26.167085900371887</v>
      </c>
      <c r="BN89" s="437">
        <f t="shared" si="166"/>
        <v>37.280149688427869</v>
      </c>
      <c r="BO89" s="437">
        <f t="shared" si="166"/>
        <v>51.580828765144588</v>
      </c>
      <c r="BP89" s="438">
        <f t="shared" si="166"/>
        <v>28.292752679703028</v>
      </c>
      <c r="BQ89" s="566">
        <f>AVERAGE(BM89:BP89)</f>
        <v>35.83020425841184</v>
      </c>
      <c r="BR89" s="439"/>
      <c r="BS89" s="439"/>
      <c r="BT89" s="439"/>
      <c r="BU89" s="232"/>
      <c r="BV89" s="40"/>
      <c r="BW89" s="1080"/>
      <c r="BX89" s="1080"/>
      <c r="BY89" s="1080"/>
      <c r="BZ89" s="1080"/>
      <c r="CA89" s="1080"/>
      <c r="CB89" s="1080"/>
      <c r="CC89" s="1080"/>
      <c r="CD89" s="40"/>
      <c r="CE89" s="40"/>
      <c r="CF89" s="40"/>
      <c r="CG89" s="40"/>
      <c r="CH89" s="40"/>
      <c r="CI89" s="40"/>
      <c r="CJ89" s="40"/>
      <c r="CK89" s="40"/>
      <c r="CL89" s="40"/>
      <c r="CM89" s="40"/>
      <c r="CN89" s="40"/>
      <c r="CO89" s="40"/>
      <c r="CP89" s="40"/>
      <c r="CQ89" s="40"/>
      <c r="CR89" s="40"/>
      <c r="CS89" s="40"/>
      <c r="CT89" s="823"/>
      <c r="CU89" s="232"/>
      <c r="CV89" s="232"/>
      <c r="CW89" s="232"/>
      <c r="CX89" s="232"/>
      <c r="CY89" s="232"/>
      <c r="CZ89" s="40"/>
      <c r="DA89" s="40"/>
      <c r="DB89" s="40"/>
      <c r="DC89" s="40"/>
      <c r="DD89" s="40"/>
      <c r="DE89" s="40"/>
      <c r="DF89" s="232"/>
      <c r="DG89" s="232"/>
      <c r="DH89" s="232"/>
      <c r="DI89" s="232"/>
      <c r="DJ89" s="232"/>
      <c r="DK89" s="232"/>
      <c r="DL89" s="232"/>
      <c r="DM89" s="232"/>
      <c r="DN89" s="232"/>
    </row>
    <row r="90" spans="1:118">
      <c r="A90" s="40"/>
      <c r="B90" s="1"/>
      <c r="C90" s="564" t="s">
        <v>847</v>
      </c>
      <c r="D90" s="1"/>
      <c r="E90" s="273"/>
      <c r="F90" s="3"/>
      <c r="G90" s="3"/>
      <c r="H90" s="274"/>
      <c r="I90" s="28"/>
      <c r="J90" s="273"/>
      <c r="K90" s="3"/>
      <c r="L90" s="3"/>
      <c r="M90" s="274"/>
      <c r="N90" s="1"/>
      <c r="O90" s="273"/>
      <c r="P90" s="3"/>
      <c r="Q90" s="3"/>
      <c r="R90" s="274"/>
      <c r="S90" s="1"/>
      <c r="T90" s="436"/>
      <c r="U90" s="437"/>
      <c r="V90" s="437"/>
      <c r="W90" s="438"/>
      <c r="X90" s="439"/>
      <c r="Y90" s="436">
        <f t="shared" si="157"/>
        <v>27.013333333333335</v>
      </c>
      <c r="Z90" s="437">
        <f t="shared" si="157"/>
        <v>26.58642857142857</v>
      </c>
      <c r="AA90" s="437">
        <f t="shared" si="157"/>
        <v>24.336666666666659</v>
      </c>
      <c r="AB90" s="438">
        <f t="shared" si="157"/>
        <v>29.902142857142856</v>
      </c>
      <c r="AC90" s="439">
        <f>AVERAGE(Y90:AB90)</f>
        <v>26.959642857142853</v>
      </c>
      <c r="AD90" s="436">
        <f t="shared" si="158"/>
        <v>37.216206896551732</v>
      </c>
      <c r="AE90" s="437">
        <f t="shared" si="158"/>
        <v>31.499310344827585</v>
      </c>
      <c r="AF90" s="437">
        <f t="shared" si="158"/>
        <v>31.499310344827585</v>
      </c>
      <c r="AG90" s="438">
        <f t="shared" si="158"/>
        <v>26.8483870967742</v>
      </c>
      <c r="AH90" s="439">
        <f>AVERAGE(AD90:AG90)</f>
        <v>31.765803670745274</v>
      </c>
      <c r="AI90" s="436">
        <f t="shared" si="159"/>
        <v>21.951388888888893</v>
      </c>
      <c r="AJ90" s="437">
        <f t="shared" si="159"/>
        <v>21.208409090909093</v>
      </c>
      <c r="AK90" s="437">
        <f t="shared" si="159"/>
        <v>23.832173913043476</v>
      </c>
      <c r="AL90" s="438">
        <f t="shared" si="159"/>
        <v>19.805555555555557</v>
      </c>
      <c r="AM90" s="439">
        <f>AVERAGE(AI90:AL90)</f>
        <v>21.699381862099255</v>
      </c>
      <c r="AN90" s="436">
        <f t="shared" si="160"/>
        <v>16.825681818181817</v>
      </c>
      <c r="AO90" s="437">
        <f t="shared" si="160"/>
        <v>16.068333333333332</v>
      </c>
      <c r="AP90" s="437">
        <f t="shared" si="160"/>
        <v>22.099565217391302</v>
      </c>
      <c r="AQ90" s="438">
        <f t="shared" si="160"/>
        <v>21.735135135135135</v>
      </c>
      <c r="AR90" s="439">
        <f>AVERAGE(AN90:AQ90)</f>
        <v>19.182178876010397</v>
      </c>
      <c r="AS90" s="436">
        <f t="shared" si="161"/>
        <v>20.877073170731702</v>
      </c>
      <c r="AT90" s="437">
        <f t="shared" si="161"/>
        <v>21.894222222222222</v>
      </c>
      <c r="AU90" s="437">
        <f t="shared" ref="AU90:AV90" si="167">(AU$51+AU$61)*AU111/1000+AU$55</f>
        <v>23.702653061224492</v>
      </c>
      <c r="AV90" s="438">
        <f t="shared" si="167"/>
        <v>23.66375</v>
      </c>
      <c r="AW90" s="439">
        <f>AVERAGE(AS90:AV90)</f>
        <v>22.534424613544601</v>
      </c>
      <c r="AX90" s="436">
        <f t="shared" si="163"/>
        <v>23.66375</v>
      </c>
      <c r="AY90" s="437">
        <f t="shared" si="163"/>
        <v>21.866666666666664</v>
      </c>
      <c r="AZ90" s="437">
        <f t="shared" si="163"/>
        <v>25.499999999999996</v>
      </c>
      <c r="BA90" s="438">
        <f t="shared" si="163"/>
        <v>21.55</v>
      </c>
      <c r="BB90" s="439">
        <f>AVERAGE(AX90:BA90)</f>
        <v>23.145104166666666</v>
      </c>
      <c r="BC90" s="436">
        <f t="shared" si="164"/>
        <v>24.836427915484958</v>
      </c>
      <c r="BD90" s="437">
        <f t="shared" si="164"/>
        <v>21.765546372753505</v>
      </c>
      <c r="BE90" s="437">
        <f t="shared" si="164"/>
        <v>25.429054178110412</v>
      </c>
      <c r="BF90" s="438">
        <f t="shared" si="164"/>
        <v>25.752304866851134</v>
      </c>
      <c r="BG90" s="439">
        <f>AVERAGE(BC90:BF90)</f>
        <v>24.445833333300005</v>
      </c>
      <c r="BH90" s="436">
        <f t="shared" si="165"/>
        <v>28.09179063350722</v>
      </c>
      <c r="BI90" s="437">
        <f t="shared" si="165"/>
        <v>24.61840220372709</v>
      </c>
      <c r="BJ90" s="437">
        <f t="shared" si="165"/>
        <v>28.762093663807821</v>
      </c>
      <c r="BK90" s="438">
        <f t="shared" si="165"/>
        <v>29.127713498557874</v>
      </c>
      <c r="BL90" s="439">
        <f>AVERAGE(BH90:BK90)</f>
        <v>27.649999999900004</v>
      </c>
      <c r="BM90" s="436">
        <f t="shared" ref="BM90:BP90" si="168">(BM$51+BM$61)*BM111/1000+BM$55</f>
        <v>26.269349641446041</v>
      </c>
      <c r="BN90" s="437">
        <f t="shared" si="168"/>
        <v>33.315882196374226</v>
      </c>
      <c r="BO90" s="437">
        <f t="shared" si="168"/>
        <v>34.130338215814632</v>
      </c>
      <c r="BP90" s="438">
        <f t="shared" si="168"/>
        <v>25.134160700201214</v>
      </c>
      <c r="BQ90" s="566">
        <f>AVERAGE(BM90:BP90)</f>
        <v>29.712432688459032</v>
      </c>
      <c r="BR90" s="439"/>
      <c r="BS90" s="439"/>
      <c r="BT90" s="439"/>
      <c r="BU90" s="232"/>
      <c r="BV90" s="40"/>
      <c r="BW90" s="1080"/>
      <c r="BX90" s="1080"/>
      <c r="BY90" s="1080"/>
      <c r="BZ90" s="1080"/>
      <c r="CA90" s="1080"/>
      <c r="CB90" s="1080"/>
      <c r="CC90" s="1080"/>
      <c r="CD90" s="40"/>
      <c r="CE90" s="40"/>
      <c r="CF90" s="40"/>
      <c r="CG90" s="40"/>
      <c r="CH90" s="40"/>
      <c r="CI90" s="40"/>
      <c r="CJ90" s="40"/>
      <c r="CK90" s="40"/>
      <c r="CL90" s="40"/>
      <c r="CM90" s="40"/>
      <c r="CN90" s="40"/>
      <c r="CO90" s="40"/>
      <c r="CP90" s="40"/>
      <c r="CQ90" s="40"/>
      <c r="CR90" s="40"/>
      <c r="CS90" s="40"/>
      <c r="CT90" s="823"/>
      <c r="CU90" s="232"/>
      <c r="CV90" s="232"/>
      <c r="CW90" s="232"/>
      <c r="CX90" s="232"/>
      <c r="CY90" s="232"/>
      <c r="CZ90" s="40"/>
      <c r="DA90" s="40"/>
      <c r="DB90" s="40"/>
      <c r="DC90" s="40"/>
      <c r="DD90" s="40"/>
      <c r="DE90" s="40"/>
      <c r="DF90" s="232"/>
      <c r="DG90" s="232"/>
      <c r="DH90" s="232"/>
      <c r="DI90" s="232"/>
      <c r="DJ90" s="232"/>
      <c r="DK90" s="232"/>
      <c r="DL90" s="232"/>
      <c r="DM90" s="232"/>
      <c r="DN90" s="232"/>
    </row>
    <row r="91" spans="1:118">
      <c r="A91" s="40"/>
      <c r="B91" s="1"/>
      <c r="C91" s="564" t="s">
        <v>848</v>
      </c>
      <c r="D91" s="1"/>
      <c r="E91" s="273"/>
      <c r="F91" s="3"/>
      <c r="G91" s="3"/>
      <c r="H91" s="274"/>
      <c r="I91" s="28"/>
      <c r="J91" s="273"/>
      <c r="K91" s="3"/>
      <c r="L91" s="3"/>
      <c r="M91" s="274"/>
      <c r="N91" s="1"/>
      <c r="O91" s="273"/>
      <c r="P91" s="3"/>
      <c r="Q91" s="3"/>
      <c r="R91" s="274"/>
      <c r="S91" s="1"/>
      <c r="T91" s="436"/>
      <c r="U91" s="437"/>
      <c r="V91" s="437"/>
      <c r="W91" s="438"/>
      <c r="X91" s="439"/>
      <c r="Y91" s="436">
        <f t="shared" ref="Y91:BL91" si="169">Y89*47.5%+Y90*52.5%</f>
        <v>29.6252</v>
      </c>
      <c r="Z91" s="437">
        <f t="shared" si="169"/>
        <v>32.070282692307693</v>
      </c>
      <c r="AA91" s="437">
        <f t="shared" si="169"/>
        <v>32.747160156249997</v>
      </c>
      <c r="AB91" s="438">
        <f t="shared" si="169"/>
        <v>33.570054687500004</v>
      </c>
      <c r="AC91" s="439">
        <f t="shared" si="169"/>
        <v>32.003174384014422</v>
      </c>
      <c r="AD91" s="436">
        <f t="shared" si="169"/>
        <v>42.14421829810901</v>
      </c>
      <c r="AE91" s="437">
        <f t="shared" si="169"/>
        <v>37.062463688610237</v>
      </c>
      <c r="AF91" s="437">
        <f t="shared" si="169"/>
        <v>37.062463688610237</v>
      </c>
      <c r="AG91" s="438">
        <f t="shared" si="169"/>
        <v>31.255743069556452</v>
      </c>
      <c r="AH91" s="439">
        <f t="shared" si="169"/>
        <v>36.881222186221478</v>
      </c>
      <c r="AI91" s="436">
        <f t="shared" si="169"/>
        <v>23.598589822404378</v>
      </c>
      <c r="AJ91" s="437">
        <f t="shared" si="169"/>
        <v>23.879192550505053</v>
      </c>
      <c r="AK91" s="437">
        <f t="shared" si="169"/>
        <v>28.263039741847834</v>
      </c>
      <c r="AL91" s="438">
        <f t="shared" si="169"/>
        <v>21.788492063492065</v>
      </c>
      <c r="AM91" s="439">
        <f t="shared" si="169"/>
        <v>24.382328544562334</v>
      </c>
      <c r="AN91" s="436">
        <f t="shared" si="169"/>
        <v>17.861987052906109</v>
      </c>
      <c r="AO91" s="437">
        <f t="shared" si="169"/>
        <v>19.138664062499998</v>
      </c>
      <c r="AP91" s="437">
        <f t="shared" si="169"/>
        <v>28.177916270380429</v>
      </c>
      <c r="AQ91" s="438">
        <f t="shared" si="169"/>
        <v>23.388224171752398</v>
      </c>
      <c r="AR91" s="439">
        <f t="shared" si="169"/>
        <v>22.141697889384734</v>
      </c>
      <c r="AS91" s="436">
        <f t="shared" si="169"/>
        <v>22.0756166404406</v>
      </c>
      <c r="AT91" s="437">
        <f t="shared" si="169"/>
        <v>27.140447135416672</v>
      </c>
      <c r="AU91" s="437">
        <f t="shared" ref="AU91:AW91" si="170">AU89*47.5%+AU90*52.5%</f>
        <v>33.458345238095234</v>
      </c>
      <c r="AV91" s="438">
        <f t="shared" si="170"/>
        <v>24.956927766393441</v>
      </c>
      <c r="AW91" s="439">
        <f t="shared" si="170"/>
        <v>26.907834195086487</v>
      </c>
      <c r="AX91" s="436">
        <f t="shared" si="169"/>
        <v>24.956927766393441</v>
      </c>
      <c r="AY91" s="437">
        <f t="shared" si="169"/>
        <v>24.392083333333332</v>
      </c>
      <c r="AZ91" s="437">
        <f t="shared" si="169"/>
        <v>33.622500000000002</v>
      </c>
      <c r="BA91" s="438">
        <f t="shared" si="169"/>
        <v>23.236249999999998</v>
      </c>
      <c r="BB91" s="439">
        <f t="shared" si="169"/>
        <v>26.551940274931695</v>
      </c>
      <c r="BC91" s="436">
        <f t="shared" si="169"/>
        <v>25.385788901341236</v>
      </c>
      <c r="BD91" s="437">
        <f t="shared" si="169"/>
        <v>23.581783248755396</v>
      </c>
      <c r="BE91" s="437">
        <f t="shared" si="169"/>
        <v>32.529537708691088</v>
      </c>
      <c r="BF91" s="438">
        <f t="shared" si="169"/>
        <v>27.987056807682279</v>
      </c>
      <c r="BG91" s="439">
        <f t="shared" si="169"/>
        <v>27.371041666617501</v>
      </c>
      <c r="BH91" s="436">
        <f t="shared" si="169"/>
        <v>28.269846609823858</v>
      </c>
      <c r="BI91" s="437">
        <f t="shared" si="169"/>
        <v>26.236272534251697</v>
      </c>
      <c r="BJ91" s="437">
        <f t="shared" si="169"/>
        <v>36.104614167258433</v>
      </c>
      <c r="BK91" s="438">
        <f t="shared" si="169"/>
        <v>31.135933354996013</v>
      </c>
      <c r="BL91" s="439">
        <f t="shared" si="169"/>
        <v>30.436666666582504</v>
      </c>
      <c r="BM91" s="436">
        <f t="shared" ref="BM91:BQ91" si="171">BM89*47.5%+BM90*52.5%</f>
        <v>26.220774364435819</v>
      </c>
      <c r="BN91" s="437">
        <f t="shared" si="171"/>
        <v>35.198909255099707</v>
      </c>
      <c r="BO91" s="437">
        <f t="shared" si="171"/>
        <v>42.419321226746362</v>
      </c>
      <c r="BP91" s="438">
        <f t="shared" si="171"/>
        <v>26.634491890464574</v>
      </c>
      <c r="BQ91" s="566">
        <f t="shared" si="171"/>
        <v>32.618374184186614</v>
      </c>
      <c r="BR91" s="439"/>
      <c r="BS91" s="439"/>
      <c r="BT91" s="439"/>
      <c r="BU91" s="232"/>
      <c r="BV91" s="40"/>
      <c r="BW91" s="1080"/>
      <c r="BX91" s="1080"/>
      <c r="BY91" s="1080"/>
      <c r="BZ91" s="1080"/>
      <c r="CA91" s="1080"/>
      <c r="CB91" s="1080"/>
      <c r="CC91" s="1080"/>
      <c r="CD91" s="40"/>
      <c r="CE91" s="40"/>
      <c r="CF91" s="40"/>
      <c r="CG91" s="40"/>
      <c r="CH91" s="40"/>
      <c r="CI91" s="40"/>
      <c r="CJ91" s="40"/>
      <c r="CK91" s="40"/>
      <c r="CL91" s="40"/>
      <c r="CM91" s="40"/>
      <c r="CN91" s="40"/>
      <c r="CO91" s="40"/>
      <c r="CP91" s="40"/>
      <c r="CQ91" s="40"/>
      <c r="CR91" s="40"/>
      <c r="CS91" s="40"/>
      <c r="CT91" s="823"/>
      <c r="CU91" s="232"/>
      <c r="CV91" s="232"/>
      <c r="CW91" s="232"/>
      <c r="CX91" s="232"/>
      <c r="CY91" s="232"/>
      <c r="CZ91" s="40"/>
      <c r="DA91" s="40"/>
      <c r="DB91" s="40"/>
      <c r="DC91" s="40"/>
      <c r="DD91" s="40"/>
      <c r="DE91" s="40"/>
      <c r="DF91" s="232"/>
      <c r="DG91" s="232"/>
      <c r="DH91" s="232"/>
      <c r="DI91" s="232"/>
      <c r="DJ91" s="232"/>
      <c r="DK91" s="232"/>
      <c r="DL91" s="232"/>
      <c r="DM91" s="232"/>
      <c r="DN91" s="232"/>
    </row>
    <row r="92" spans="1:118">
      <c r="A92" s="40"/>
      <c r="B92" s="1"/>
      <c r="C92" s="564"/>
      <c r="D92" s="1"/>
      <c r="E92" s="273"/>
      <c r="F92" s="3"/>
      <c r="G92" s="3"/>
      <c r="H92" s="274"/>
      <c r="I92" s="28"/>
      <c r="J92" s="273"/>
      <c r="K92" s="3"/>
      <c r="L92" s="3"/>
      <c r="M92" s="274"/>
      <c r="N92" s="1"/>
      <c r="O92" s="273"/>
      <c r="P92" s="3"/>
      <c r="Q92" s="3"/>
      <c r="R92" s="274"/>
      <c r="S92" s="1"/>
      <c r="T92" s="436"/>
      <c r="U92" s="437"/>
      <c r="V92" s="437"/>
      <c r="W92" s="438"/>
      <c r="X92" s="439"/>
      <c r="Y92" s="436"/>
      <c r="Z92" s="437"/>
      <c r="AA92" s="437"/>
      <c r="AB92" s="438"/>
      <c r="AC92" s="439"/>
      <c r="AD92" s="436"/>
      <c r="AE92" s="437"/>
      <c r="AF92" s="437"/>
      <c r="AG92" s="438"/>
      <c r="AH92" s="439"/>
      <c r="AI92" s="436"/>
      <c r="AJ92" s="437"/>
      <c r="AK92" s="437"/>
      <c r="AL92" s="438"/>
      <c r="AM92" s="439"/>
      <c r="AN92" s="436"/>
      <c r="AO92" s="437"/>
      <c r="AP92" s="437"/>
      <c r="AQ92" s="438"/>
      <c r="AR92" s="439"/>
      <c r="AS92" s="436"/>
      <c r="AT92" s="437"/>
      <c r="AU92" s="437"/>
      <c r="AV92" s="438"/>
      <c r="AW92" s="439"/>
      <c r="AX92" s="436"/>
      <c r="AY92" s="437"/>
      <c r="AZ92" s="437"/>
      <c r="BA92" s="438"/>
      <c r="BB92" s="439"/>
      <c r="BC92" s="436"/>
      <c r="BD92" s="437"/>
      <c r="BE92" s="437"/>
      <c r="BF92" s="438"/>
      <c r="BG92" s="439"/>
      <c r="BH92" s="436"/>
      <c r="BI92" s="437"/>
      <c r="BJ92" s="437"/>
      <c r="BK92" s="438"/>
      <c r="BL92" s="439"/>
      <c r="BM92" s="436"/>
      <c r="BN92" s="437"/>
      <c r="BO92" s="437"/>
      <c r="BP92" s="438"/>
      <c r="BQ92" s="566"/>
      <c r="BR92" s="439"/>
      <c r="BS92" s="439"/>
      <c r="BT92" s="439"/>
      <c r="BX92" s="1080"/>
      <c r="BY92" s="1080"/>
      <c r="BZ92" s="1080"/>
      <c r="CA92" s="1080"/>
      <c r="CB92" s="1080"/>
      <c r="CC92" s="1080"/>
      <c r="CD92" s="40"/>
      <c r="CE92" s="40"/>
      <c r="CF92" s="40"/>
      <c r="CG92" s="40"/>
      <c r="CH92" s="40"/>
      <c r="CI92" s="40"/>
      <c r="CJ92" s="40"/>
      <c r="CK92" s="40"/>
      <c r="CL92" s="40"/>
      <c r="CM92" s="40"/>
      <c r="CN92" s="40"/>
      <c r="CO92" s="40"/>
      <c r="CP92" s="40"/>
      <c r="CQ92" s="40"/>
      <c r="CR92" s="40"/>
      <c r="CS92" s="40"/>
      <c r="CT92" s="823"/>
      <c r="CU92" s="232"/>
      <c r="CV92" s="232"/>
      <c r="CW92" s="232"/>
      <c r="CX92" s="232"/>
      <c r="CY92" s="232"/>
      <c r="CZ92" s="40"/>
      <c r="DA92" s="40"/>
      <c r="DB92" s="40"/>
      <c r="DC92" s="40"/>
      <c r="DD92" s="40"/>
      <c r="DE92" s="40"/>
      <c r="DF92" s="232"/>
      <c r="DG92" s="232"/>
      <c r="DH92" s="232"/>
      <c r="DI92" s="232"/>
      <c r="DJ92" s="232"/>
      <c r="DK92" s="232"/>
      <c r="DL92" s="232"/>
      <c r="DM92" s="232"/>
      <c r="DN92" s="232"/>
    </row>
    <row r="93" spans="1:118">
      <c r="A93" s="40"/>
      <c r="B93" s="1"/>
      <c r="C93" s="564" t="s">
        <v>821</v>
      </c>
      <c r="D93" s="1"/>
      <c r="E93" s="273"/>
      <c r="F93" s="3"/>
      <c r="G93" s="3"/>
      <c r="H93" s="274"/>
      <c r="I93" s="28"/>
      <c r="J93" s="273"/>
      <c r="K93" s="3"/>
      <c r="L93" s="3"/>
      <c r="M93" s="274"/>
      <c r="N93" s="1"/>
      <c r="O93" s="273"/>
      <c r="P93" s="3"/>
      <c r="Q93" s="3"/>
      <c r="R93" s="274"/>
      <c r="S93" s="1"/>
      <c r="T93" s="436"/>
      <c r="U93" s="437"/>
      <c r="V93" s="437"/>
      <c r="W93" s="438"/>
      <c r="X93" s="439"/>
      <c r="Y93" s="436">
        <f t="shared" ref="Y93:AB94" si="172">(Y$51)*Y113/1000+Y$55</f>
        <v>29.044474206349207</v>
      </c>
      <c r="Z93" s="437">
        <f t="shared" si="172"/>
        <v>35.193894042968758</v>
      </c>
      <c r="AA93" s="437">
        <f t="shared" si="172"/>
        <v>38.431984863281251</v>
      </c>
      <c r="AB93" s="438">
        <f t="shared" si="172"/>
        <v>35.855332031250001</v>
      </c>
      <c r="AC93" s="439">
        <f>AVERAGE(Y93:AB93)</f>
        <v>34.631421285962304</v>
      </c>
      <c r="AD93" s="436">
        <f t="shared" ref="AD93:AG94" si="173">(AD$51)*AD113/1000+AD$55</f>
        <v>60.188559027777771</v>
      </c>
      <c r="AE93" s="437">
        <f t="shared" si="173"/>
        <v>37.938735351562507</v>
      </c>
      <c r="AF93" s="437">
        <f t="shared" si="173"/>
        <v>37.938735351562507</v>
      </c>
      <c r="AG93" s="438">
        <f t="shared" si="173"/>
        <v>34.462575683593748</v>
      </c>
      <c r="AH93" s="439">
        <f>AVERAGE(AD93:AG93)</f>
        <v>42.632151353624131</v>
      </c>
      <c r="AI93" s="436">
        <f t="shared" ref="AI93:AL94" si="174">(AI$51)*AI113/1000+AI$55</f>
        <v>26.624528769841277</v>
      </c>
      <c r="AJ93" s="437">
        <f t="shared" si="174"/>
        <v>27.696826171875003</v>
      </c>
      <c r="AK93" s="437">
        <f t="shared" si="174"/>
        <v>35.11308653846153</v>
      </c>
      <c r="AL93" s="438">
        <f t="shared" si="174"/>
        <v>20.858798828125007</v>
      </c>
      <c r="AM93" s="439">
        <f>AVERAGE(AI93:AL93)</f>
        <v>27.573310077075703</v>
      </c>
      <c r="AN93" s="436">
        <f t="shared" ref="AN93:AQ94" si="175">(AN$51)*AN113/1000+AN$55</f>
        <v>19.67302978515626</v>
      </c>
      <c r="AO93" s="437">
        <f t="shared" si="175"/>
        <v>22.350983886718744</v>
      </c>
      <c r="AP93" s="437">
        <f t="shared" si="175"/>
        <v>30.610273437499991</v>
      </c>
      <c r="AQ93" s="438">
        <f t="shared" si="175"/>
        <v>25.72022321428571</v>
      </c>
      <c r="AR93" s="439">
        <f>AVERAGE(AN93:AQ93)</f>
        <v>24.588627580915176</v>
      </c>
      <c r="AS93" s="436">
        <f t="shared" ref="AS93:AT94" si="176">(AS$51)*AS113/1000+AS$55</f>
        <v>22.746433105468753</v>
      </c>
      <c r="AT93" s="437">
        <f t="shared" si="176"/>
        <v>27.890290527343748</v>
      </c>
      <c r="AU93" s="437">
        <f t="shared" ref="AU93:AV93" si="177">(AU$51)*AU113/1000+AU$55</f>
        <v>29.419799107142854</v>
      </c>
      <c r="AV93" s="438">
        <f t="shared" si="177"/>
        <v>31.786008300781265</v>
      </c>
      <c r="AW93" s="439">
        <f>AVERAGE(AS93:AV93)</f>
        <v>27.960632760184154</v>
      </c>
      <c r="AX93" s="436">
        <f t="shared" ref="AX93:BA94" si="178">(AX$51)*AX113/1000+AX$55</f>
        <v>31.786008300781265</v>
      </c>
      <c r="AY93" s="437">
        <f t="shared" si="178"/>
        <v>35.332000000000001</v>
      </c>
      <c r="AZ93" s="437">
        <f t="shared" si="178"/>
        <v>118.57111666666667</v>
      </c>
      <c r="BA93" s="438">
        <f t="shared" si="178"/>
        <v>26.272433333333336</v>
      </c>
      <c r="BB93" s="439">
        <f>AVERAGE(AX93:BA93)</f>
        <v>52.990389575195316</v>
      </c>
      <c r="BC93" s="436">
        <f t="shared" ref="BC93:BF94" si="179">(BC$51)*BC113/1000+BC$55</f>
        <v>23.582895883834407</v>
      </c>
      <c r="BD93" s="437">
        <f t="shared" si="179"/>
        <v>24.587500242086577</v>
      </c>
      <c r="BE93" s="437">
        <f t="shared" si="179"/>
        <v>70.499208350188795</v>
      </c>
      <c r="BF93" s="438">
        <f t="shared" si="179"/>
        <v>43.541112190290228</v>
      </c>
      <c r="BG93" s="439">
        <f>AVERAGE(BC93:BF93)</f>
        <v>40.552679166600001</v>
      </c>
      <c r="BH93" s="436">
        <f t="shared" ref="BH93:BK94" si="180">(BH$51)*BH113/1000+BH$55</f>
        <v>21.356595924499164</v>
      </c>
      <c r="BI93" s="437">
        <f t="shared" si="180"/>
        <v>22.266362453973152</v>
      </c>
      <c r="BJ93" s="437">
        <f t="shared" si="180"/>
        <v>63.843860107279397</v>
      </c>
      <c r="BK93" s="438">
        <f t="shared" si="180"/>
        <v>39.430693487848281</v>
      </c>
      <c r="BL93" s="439">
        <f>AVERAGE(BH93:BK93)</f>
        <v>36.724377993399997</v>
      </c>
      <c r="BM93" s="436">
        <f t="shared" ref="BM93:BP93" si="181">(BM$51)*BM113/1000+BM$55</f>
        <v>25.807336032311365</v>
      </c>
      <c r="BN93" s="437">
        <f t="shared" si="181"/>
        <v>29.32454016156213</v>
      </c>
      <c r="BO93" s="437">
        <f t="shared" si="181"/>
        <v>69.721108842409734</v>
      </c>
      <c r="BP93" s="438">
        <f t="shared" si="181"/>
        <v>40.25545698550826</v>
      </c>
      <c r="BQ93" s="566">
        <f>AVERAGE(BM93:BP93)</f>
        <v>41.277110505447872</v>
      </c>
      <c r="BR93" s="439"/>
      <c r="BS93" s="439"/>
      <c r="BT93" s="439"/>
      <c r="BX93" s="1080"/>
      <c r="BY93" s="1080"/>
      <c r="BZ93" s="1080"/>
      <c r="CA93" s="1080"/>
      <c r="CB93" s="1080"/>
      <c r="CC93" s="1080"/>
      <c r="CD93" s="40"/>
      <c r="CE93" s="40"/>
      <c r="CF93" s="40"/>
      <c r="CG93" s="40"/>
      <c r="CH93" s="40"/>
      <c r="CI93" s="40"/>
      <c r="CJ93" s="40"/>
      <c r="CK93" s="40"/>
      <c r="CL93" s="40"/>
      <c r="CM93" s="40"/>
      <c r="CN93" s="40"/>
      <c r="CO93" s="40"/>
      <c r="CP93" s="40"/>
      <c r="CQ93" s="40"/>
      <c r="CR93" s="40"/>
      <c r="CS93" s="40"/>
      <c r="CT93" s="823"/>
      <c r="CU93" s="232"/>
      <c r="CV93" s="232"/>
      <c r="CW93" s="232"/>
      <c r="CX93" s="232"/>
      <c r="CY93" s="232"/>
      <c r="CZ93" s="40"/>
      <c r="DA93" s="40"/>
      <c r="DB93" s="40"/>
      <c r="DC93" s="40"/>
      <c r="DD93" s="40"/>
      <c r="DE93" s="40"/>
      <c r="DF93" s="232"/>
      <c r="DG93" s="232"/>
      <c r="DH93" s="232"/>
      <c r="DI93" s="232"/>
      <c r="DJ93" s="232"/>
      <c r="DK93" s="232"/>
      <c r="DL93" s="232"/>
      <c r="DM93" s="232"/>
      <c r="DN93" s="232"/>
    </row>
    <row r="94" spans="1:118">
      <c r="A94" s="40"/>
      <c r="B94" s="1"/>
      <c r="C94" s="564" t="s">
        <v>822</v>
      </c>
      <c r="D94" s="1"/>
      <c r="E94" s="273"/>
      <c r="F94" s="3"/>
      <c r="G94" s="3"/>
      <c r="H94" s="274"/>
      <c r="I94" s="28"/>
      <c r="J94" s="273"/>
      <c r="K94" s="3"/>
      <c r="L94" s="3"/>
      <c r="M94" s="274"/>
      <c r="N94" s="1"/>
      <c r="O94" s="273"/>
      <c r="P94" s="3"/>
      <c r="Q94" s="3"/>
      <c r="R94" s="274"/>
      <c r="S94" s="1"/>
      <c r="T94" s="436"/>
      <c r="U94" s="437"/>
      <c r="V94" s="437"/>
      <c r="W94" s="438"/>
      <c r="X94" s="439"/>
      <c r="Y94" s="436">
        <f t="shared" si="172"/>
        <v>23.199066475442827</v>
      </c>
      <c r="Z94" s="437">
        <f t="shared" si="172"/>
        <v>26.300711996337007</v>
      </c>
      <c r="AA94" s="437">
        <f t="shared" si="172"/>
        <v>25.430877490942027</v>
      </c>
      <c r="AB94" s="438">
        <f t="shared" si="172"/>
        <v>26.785470153985496</v>
      </c>
      <c r="AC94" s="439">
        <f>AVERAGE(Y94:AB94)</f>
        <v>25.429031529176839</v>
      </c>
      <c r="AD94" s="436">
        <f t="shared" si="173"/>
        <v>32.004984551127215</v>
      </c>
      <c r="AE94" s="437">
        <f t="shared" si="173"/>
        <v>28.32578691123188</v>
      </c>
      <c r="AF94" s="437">
        <f t="shared" si="173"/>
        <v>28.32578691123188</v>
      </c>
      <c r="AG94" s="438">
        <f t="shared" si="173"/>
        <v>25.307324320652164</v>
      </c>
      <c r="AH94" s="439">
        <f>AVERAGE(AD94:AG94)</f>
        <v>28.490970673560781</v>
      </c>
      <c r="AI94" s="436">
        <f t="shared" si="174"/>
        <v>22.17571215780999</v>
      </c>
      <c r="AJ94" s="437">
        <f t="shared" si="174"/>
        <v>19.319275412087919</v>
      </c>
      <c r="AK94" s="437">
        <f t="shared" si="174"/>
        <v>19.897398097826084</v>
      </c>
      <c r="AL94" s="438">
        <f t="shared" si="174"/>
        <v>15.149004076086959</v>
      </c>
      <c r="AM94" s="439">
        <f>AVERAGE(AI94:AL94)</f>
        <v>19.135347435952738</v>
      </c>
      <c r="AN94" s="436">
        <f t="shared" si="175"/>
        <v>13.804743092052874</v>
      </c>
      <c r="AO94" s="437">
        <f t="shared" si="175"/>
        <v>14.6552048992674</v>
      </c>
      <c r="AP94" s="437">
        <f t="shared" si="175"/>
        <v>20.848108016304352</v>
      </c>
      <c r="AQ94" s="438">
        <f t="shared" si="175"/>
        <v>18.255682925724642</v>
      </c>
      <c r="AR94" s="439">
        <f>AVERAGE(AN94:AQ94)</f>
        <v>16.890934733337318</v>
      </c>
      <c r="AS94" s="436">
        <f t="shared" si="176"/>
        <v>17.694403532608696</v>
      </c>
      <c r="AT94" s="437">
        <f t="shared" si="176"/>
        <v>19.575868818681322</v>
      </c>
      <c r="AU94" s="437">
        <f t="shared" ref="AU94:AV94" si="182">(AU$51)*AU114/1000+AU$55</f>
        <v>21.74405457427536</v>
      </c>
      <c r="AV94" s="438">
        <f t="shared" si="182"/>
        <v>19.286005585748793</v>
      </c>
      <c r="AW94" s="439">
        <f>AVERAGE(AS94:AV94)</f>
        <v>19.575083127828542</v>
      </c>
      <c r="AX94" s="436">
        <f t="shared" si="178"/>
        <v>19.286005585748793</v>
      </c>
      <c r="AY94" s="437">
        <f t="shared" si="178"/>
        <v>20.67720666666667</v>
      </c>
      <c r="AZ94" s="437">
        <f t="shared" si="178"/>
        <v>28.640856666666668</v>
      </c>
      <c r="BA94" s="438">
        <f t="shared" si="178"/>
        <v>19.388083333333327</v>
      </c>
      <c r="BB94" s="439">
        <f>AVERAGE(AX94:BA94)</f>
        <v>21.998038063103863</v>
      </c>
      <c r="BC94" s="436">
        <f t="shared" si="179"/>
        <v>20.204147210285914</v>
      </c>
      <c r="BD94" s="437">
        <f t="shared" si="179"/>
        <v>17.911730019517361</v>
      </c>
      <c r="BE94" s="437">
        <f t="shared" si="179"/>
        <v>23.181362548745138</v>
      </c>
      <c r="BF94" s="438">
        <f t="shared" si="179"/>
        <v>18.447223554651586</v>
      </c>
      <c r="BG94" s="439">
        <f>AVERAGE(BC94:BF94)</f>
        <v>19.936115833300001</v>
      </c>
      <c r="BH94" s="436">
        <f t="shared" si="180"/>
        <v>20.133012438578383</v>
      </c>
      <c r="BI94" s="437">
        <f t="shared" si="180"/>
        <v>17.848666391413492</v>
      </c>
      <c r="BJ94" s="437">
        <f t="shared" si="180"/>
        <v>23.099745595769516</v>
      </c>
      <c r="BK94" s="438">
        <f t="shared" si="180"/>
        <v>18.382274560638621</v>
      </c>
      <c r="BL94" s="439">
        <f>AVERAGE(BH94:BK94)</f>
        <v>19.865924746600005</v>
      </c>
      <c r="BM94" s="436">
        <f t="shared" ref="BM94:BP94" si="183">(BM$51)*BM114/1000+BM$55</f>
        <v>18.07773650297338</v>
      </c>
      <c r="BN94" s="437">
        <f t="shared" si="183"/>
        <v>18.284989501961714</v>
      </c>
      <c r="BO94" s="437">
        <f t="shared" si="183"/>
        <v>23.355883448015717</v>
      </c>
      <c r="BP94" s="438">
        <f t="shared" si="183"/>
        <v>15.899671771331317</v>
      </c>
      <c r="BQ94" s="566">
        <f>AVERAGE(BM94:BP94)</f>
        <v>18.904570306070532</v>
      </c>
      <c r="BR94" s="439"/>
      <c r="BS94" s="439"/>
      <c r="BT94" s="439"/>
      <c r="BX94" s="1080"/>
      <c r="BY94" s="1080"/>
      <c r="BZ94" s="1080"/>
      <c r="CA94" s="1080"/>
      <c r="CB94" s="1080"/>
      <c r="CC94" s="1080"/>
      <c r="CD94" s="40"/>
      <c r="CE94" s="40"/>
      <c r="CF94" s="40"/>
      <c r="CG94" s="40"/>
      <c r="CH94" s="40"/>
      <c r="CI94" s="40"/>
      <c r="CJ94" s="40"/>
      <c r="CK94" s="40"/>
      <c r="CL94" s="40"/>
      <c r="CM94" s="40"/>
      <c r="CN94" s="40"/>
      <c r="CO94" s="40"/>
      <c r="CP94" s="40"/>
      <c r="CQ94" s="40"/>
      <c r="CR94" s="40"/>
      <c r="CS94" s="40"/>
      <c r="CT94" s="823"/>
      <c r="CU94" s="232"/>
      <c r="CV94" s="232"/>
      <c r="CW94" s="232"/>
      <c r="CX94" s="232"/>
      <c r="CY94" s="232"/>
      <c r="CZ94" s="40"/>
      <c r="DA94" s="40"/>
      <c r="DB94" s="40"/>
      <c r="DC94" s="40"/>
      <c r="DD94" s="40"/>
      <c r="DE94" s="40"/>
      <c r="DF94" s="232"/>
      <c r="DG94" s="232"/>
      <c r="DH94" s="232"/>
      <c r="DI94" s="232"/>
      <c r="DJ94" s="232"/>
      <c r="DK94" s="232"/>
      <c r="DL94" s="232"/>
      <c r="DM94" s="232"/>
      <c r="DN94" s="232"/>
    </row>
    <row r="95" spans="1:118">
      <c r="A95" s="40"/>
      <c r="B95" s="1"/>
      <c r="C95" s="564" t="s">
        <v>789</v>
      </c>
      <c r="D95" s="1"/>
      <c r="E95" s="273"/>
      <c r="F95" s="3"/>
      <c r="G95" s="3"/>
      <c r="H95" s="274"/>
      <c r="I95" s="28"/>
      <c r="J95" s="273"/>
      <c r="K95" s="3"/>
      <c r="L95" s="3"/>
      <c r="M95" s="274"/>
      <c r="N95" s="1"/>
      <c r="O95" s="273"/>
      <c r="P95" s="3"/>
      <c r="Q95" s="3"/>
      <c r="R95" s="274"/>
      <c r="S95" s="1"/>
      <c r="T95" s="436"/>
      <c r="U95" s="437"/>
      <c r="V95" s="437"/>
      <c r="W95" s="438"/>
      <c r="X95" s="439"/>
      <c r="Y95" s="436">
        <f t="shared" ref="Y95:BL95" si="184">Y93*47.5%+Y94*52.5%</f>
        <v>25.975635147623358</v>
      </c>
      <c r="Z95" s="437">
        <f t="shared" si="184"/>
        <v>30.52497346848709</v>
      </c>
      <c r="AA95" s="437">
        <f t="shared" si="184"/>
        <v>31.606403492803157</v>
      </c>
      <c r="AB95" s="438">
        <f t="shared" si="184"/>
        <v>31.093654545686135</v>
      </c>
      <c r="AC95" s="439">
        <f t="shared" si="184"/>
        <v>29.800166663649936</v>
      </c>
      <c r="AD95" s="436">
        <f t="shared" si="184"/>
        <v>45.392182427536227</v>
      </c>
      <c r="AE95" s="437">
        <f t="shared" si="184"/>
        <v>32.891937420388928</v>
      </c>
      <c r="AF95" s="437">
        <f t="shared" si="184"/>
        <v>32.891937420388928</v>
      </c>
      <c r="AG95" s="438">
        <f t="shared" si="184"/>
        <v>29.656068718049418</v>
      </c>
      <c r="AH95" s="439">
        <f t="shared" si="184"/>
        <v>35.208031496590877</v>
      </c>
      <c r="AI95" s="436">
        <f t="shared" si="184"/>
        <v>24.288900048524852</v>
      </c>
      <c r="AJ95" s="437">
        <f t="shared" si="184"/>
        <v>23.298612022986781</v>
      </c>
      <c r="AK95" s="437">
        <f t="shared" si="184"/>
        <v>27.124850107127919</v>
      </c>
      <c r="AL95" s="438">
        <f t="shared" si="184"/>
        <v>17.861156583305032</v>
      </c>
      <c r="AM95" s="439">
        <f t="shared" si="184"/>
        <v>23.14337969048615</v>
      </c>
      <c r="AN95" s="436">
        <f t="shared" si="184"/>
        <v>16.592179271276983</v>
      </c>
      <c r="AO95" s="437">
        <f t="shared" si="184"/>
        <v>18.310699918306788</v>
      </c>
      <c r="AP95" s="437">
        <f t="shared" si="184"/>
        <v>25.485136591372282</v>
      </c>
      <c r="AQ95" s="438">
        <f t="shared" si="184"/>
        <v>21.801339562791149</v>
      </c>
      <c r="AR95" s="439">
        <f t="shared" si="184"/>
        <v>20.547338835936799</v>
      </c>
      <c r="AS95" s="436">
        <f t="shared" si="184"/>
        <v>20.094117579717221</v>
      </c>
      <c r="AT95" s="437">
        <f t="shared" si="184"/>
        <v>23.525219130295973</v>
      </c>
      <c r="AU95" s="437">
        <f t="shared" ref="AU95:AW95" si="185">AU93*47.5%+AU94*52.5%</f>
        <v>25.39003322738742</v>
      </c>
      <c r="AV95" s="438">
        <f t="shared" si="185"/>
        <v>25.223506875389216</v>
      </c>
      <c r="AW95" s="439">
        <f t="shared" si="185"/>
        <v>23.55821920319746</v>
      </c>
      <c r="AX95" s="436">
        <f t="shared" si="184"/>
        <v>25.223506875389216</v>
      </c>
      <c r="AY95" s="437">
        <f t="shared" si="184"/>
        <v>27.638233499999998</v>
      </c>
      <c r="AZ95" s="437">
        <f t="shared" si="184"/>
        <v>71.35773016666667</v>
      </c>
      <c r="BA95" s="438">
        <f t="shared" si="184"/>
        <v>22.658149583333334</v>
      </c>
      <c r="BB95" s="439">
        <f t="shared" si="184"/>
        <v>36.7194050313473</v>
      </c>
      <c r="BC95" s="436">
        <f t="shared" si="184"/>
        <v>21.809052830221447</v>
      </c>
      <c r="BD95" s="437">
        <f t="shared" si="184"/>
        <v>21.08272087523774</v>
      </c>
      <c r="BE95" s="437">
        <f t="shared" si="184"/>
        <v>45.65733930443087</v>
      </c>
      <c r="BF95" s="438">
        <f t="shared" si="184"/>
        <v>30.366820656579939</v>
      </c>
      <c r="BG95" s="439">
        <f t="shared" si="184"/>
        <v>29.728983416617503</v>
      </c>
      <c r="BH95" s="436">
        <f t="shared" si="184"/>
        <v>20.714214594390754</v>
      </c>
      <c r="BI95" s="437">
        <f t="shared" si="184"/>
        <v>19.94707202112933</v>
      </c>
      <c r="BJ95" s="437">
        <f t="shared" si="184"/>
        <v>42.453199988736706</v>
      </c>
      <c r="BK95" s="438">
        <f t="shared" si="184"/>
        <v>28.380273551063208</v>
      </c>
      <c r="BL95" s="439">
        <f t="shared" si="184"/>
        <v>27.873690038829999</v>
      </c>
      <c r="BM95" s="436">
        <f t="shared" ref="BM95:BQ95" si="186">BM93*47.5%+BM94*52.5%</f>
        <v>21.749296279408924</v>
      </c>
      <c r="BN95" s="437">
        <f t="shared" si="186"/>
        <v>23.528776065271913</v>
      </c>
      <c r="BO95" s="437">
        <f t="shared" si="186"/>
        <v>45.379365510352876</v>
      </c>
      <c r="BP95" s="438">
        <f t="shared" si="186"/>
        <v>27.468669748065366</v>
      </c>
      <c r="BQ95" s="566">
        <f t="shared" si="186"/>
        <v>29.531526900774768</v>
      </c>
      <c r="BR95" s="439"/>
      <c r="BS95" s="439"/>
      <c r="BT95" s="439"/>
      <c r="BU95" s="232"/>
      <c r="BV95" s="40"/>
      <c r="BW95" s="40"/>
      <c r="BX95" s="40"/>
      <c r="BY95" s="40"/>
      <c r="BZ95" s="40"/>
      <c r="CA95" s="40"/>
      <c r="CB95" s="40"/>
      <c r="CC95" s="40"/>
      <c r="CD95" s="40"/>
      <c r="CE95" s="40"/>
      <c r="CF95" s="40"/>
      <c r="CG95" s="40"/>
      <c r="CH95" s="40"/>
      <c r="CI95" s="40"/>
      <c r="CJ95" s="40"/>
      <c r="CK95" s="40"/>
      <c r="CL95" s="40"/>
      <c r="CM95" s="40"/>
      <c r="CN95" s="40"/>
      <c r="CO95" s="40"/>
      <c r="CP95" s="40"/>
      <c r="CQ95" s="40"/>
      <c r="CR95" s="40"/>
      <c r="CS95" s="40"/>
      <c r="CT95" s="823"/>
      <c r="CU95" s="232"/>
      <c r="CV95" s="232"/>
      <c r="CW95" s="232"/>
      <c r="CX95" s="232"/>
      <c r="CY95" s="232"/>
      <c r="CZ95" s="40"/>
      <c r="DA95" s="40"/>
      <c r="DB95" s="40"/>
      <c r="DC95" s="40"/>
      <c r="DD95" s="40"/>
      <c r="DE95" s="40"/>
      <c r="DF95" s="232"/>
      <c r="DG95" s="232"/>
      <c r="DH95" s="232"/>
      <c r="DI95" s="232"/>
      <c r="DJ95" s="232"/>
      <c r="DK95" s="232"/>
      <c r="DL95" s="232"/>
      <c r="DM95" s="232"/>
      <c r="DN95" s="232"/>
    </row>
    <row r="96" spans="1:118">
      <c r="A96" s="40"/>
      <c r="B96" s="1"/>
      <c r="C96" s="564"/>
      <c r="D96" s="1"/>
      <c r="E96" s="273"/>
      <c r="F96" s="3"/>
      <c r="G96" s="3"/>
      <c r="H96" s="274"/>
      <c r="I96" s="28"/>
      <c r="J96" s="273"/>
      <c r="K96" s="3"/>
      <c r="L96" s="3"/>
      <c r="M96" s="274"/>
      <c r="N96" s="1"/>
      <c r="O96" s="273"/>
      <c r="P96" s="3"/>
      <c r="Q96" s="3"/>
      <c r="R96" s="274"/>
      <c r="S96" s="1"/>
      <c r="T96" s="436"/>
      <c r="U96" s="437"/>
      <c r="V96" s="437"/>
      <c r="W96" s="438"/>
      <c r="X96" s="439"/>
      <c r="Y96" s="436"/>
      <c r="Z96" s="437"/>
      <c r="AA96" s="437"/>
      <c r="AB96" s="438"/>
      <c r="AC96" s="439"/>
      <c r="AD96" s="436"/>
      <c r="AE96" s="437"/>
      <c r="AF96" s="437"/>
      <c r="AG96" s="438"/>
      <c r="AH96" s="439"/>
      <c r="AI96" s="436"/>
      <c r="AJ96" s="437"/>
      <c r="AK96" s="437"/>
      <c r="AL96" s="438"/>
      <c r="AM96" s="439"/>
      <c r="AN96" s="436"/>
      <c r="AO96" s="437"/>
      <c r="AP96" s="437"/>
      <c r="AQ96" s="438"/>
      <c r="AR96" s="439"/>
      <c r="AS96" s="436"/>
      <c r="AT96" s="437"/>
      <c r="AU96" s="437"/>
      <c r="AV96" s="438"/>
      <c r="AW96" s="439"/>
      <c r="AX96" s="436"/>
      <c r="AY96" s="437"/>
      <c r="AZ96" s="437"/>
      <c r="BA96" s="438"/>
      <c r="BB96" s="439"/>
      <c r="BC96" s="436"/>
      <c r="BD96" s="437"/>
      <c r="BE96" s="437"/>
      <c r="BF96" s="438"/>
      <c r="BG96" s="439"/>
      <c r="BH96" s="436"/>
      <c r="BI96" s="437"/>
      <c r="BJ96" s="437"/>
      <c r="BK96" s="438"/>
      <c r="BL96" s="439"/>
      <c r="BM96" s="436"/>
      <c r="BN96" s="437"/>
      <c r="BO96" s="437"/>
      <c r="BP96" s="438"/>
      <c r="BQ96" s="566"/>
      <c r="BR96" s="1"/>
      <c r="BS96" s="1"/>
      <c r="BT96" s="1"/>
      <c r="BU96" s="232"/>
      <c r="BV96" s="40"/>
      <c r="BW96" s="40"/>
      <c r="BX96" s="40"/>
      <c r="BY96" s="40"/>
      <c r="BZ96" s="40"/>
      <c r="CA96" s="40"/>
      <c r="CB96" s="40"/>
      <c r="CC96" s="40"/>
      <c r="CD96" s="40"/>
      <c r="CE96" s="40"/>
      <c r="CF96" s="40"/>
      <c r="CG96" s="40"/>
      <c r="CH96" s="40"/>
      <c r="CI96" s="40"/>
      <c r="CJ96" s="40"/>
      <c r="CK96" s="40"/>
      <c r="CL96" s="40"/>
      <c r="CM96" s="40"/>
      <c r="CN96" s="40"/>
      <c r="CO96" s="40"/>
      <c r="CP96" s="40"/>
      <c r="CQ96" s="40"/>
      <c r="CR96" s="40"/>
      <c r="CS96" s="40"/>
      <c r="CT96" s="823"/>
      <c r="CU96" s="232"/>
      <c r="CV96" s="232"/>
      <c r="CW96" s="232"/>
      <c r="CX96" s="232"/>
      <c r="CY96" s="232"/>
      <c r="CZ96" s="40"/>
      <c r="DA96" s="40"/>
      <c r="DB96" s="40"/>
      <c r="DC96" s="40"/>
      <c r="DD96" s="40"/>
      <c r="DE96" s="40"/>
      <c r="DF96" s="232"/>
      <c r="DG96" s="232"/>
      <c r="DH96" s="232"/>
      <c r="DI96" s="232"/>
      <c r="DJ96" s="232"/>
      <c r="DK96" s="232"/>
      <c r="DL96" s="232"/>
      <c r="DM96" s="232"/>
      <c r="DN96" s="232"/>
    </row>
    <row r="97" spans="1:118">
      <c r="A97" s="40"/>
      <c r="B97" s="1"/>
      <c r="C97" s="563" t="s">
        <v>165</v>
      </c>
      <c r="D97" s="1"/>
      <c r="E97" s="273"/>
      <c r="F97" s="3"/>
      <c r="G97" s="3"/>
      <c r="H97" s="274"/>
      <c r="I97" s="28"/>
      <c r="J97" s="273"/>
      <c r="K97" s="3"/>
      <c r="L97" s="3"/>
      <c r="M97" s="274"/>
      <c r="N97" s="1"/>
      <c r="O97" s="273"/>
      <c r="P97" s="3"/>
      <c r="Q97" s="3"/>
      <c r="R97" s="274"/>
      <c r="S97" s="1"/>
      <c r="T97" s="273"/>
      <c r="U97" s="3"/>
      <c r="V97" s="3"/>
      <c r="W97" s="274"/>
      <c r="X97" s="1"/>
      <c r="Y97" s="273"/>
      <c r="Z97" s="3"/>
      <c r="AA97" s="3"/>
      <c r="AB97" s="274"/>
      <c r="AC97" s="1"/>
      <c r="AD97" s="273"/>
      <c r="AE97" s="3"/>
      <c r="AF97" s="3"/>
      <c r="AG97" s="274"/>
      <c r="AH97" s="1"/>
      <c r="AI97" s="273"/>
      <c r="AJ97" s="3"/>
      <c r="AK97" s="3"/>
      <c r="AL97" s="274"/>
      <c r="AM97" s="1"/>
      <c r="AN97" s="273"/>
      <c r="AO97" s="3"/>
      <c r="AP97" s="3"/>
      <c r="AQ97" s="274"/>
      <c r="AR97" s="1"/>
      <c r="AS97" s="273"/>
      <c r="AT97" s="3"/>
      <c r="AU97" s="3"/>
      <c r="AV97" s="274"/>
      <c r="AW97" s="1"/>
      <c r="AX97" s="273"/>
      <c r="AY97" s="3"/>
      <c r="AZ97" s="3"/>
      <c r="BA97" s="274"/>
      <c r="BB97" s="1"/>
      <c r="BC97" s="273"/>
      <c r="BD97" s="3"/>
      <c r="BE97" s="3"/>
      <c r="BF97" s="274"/>
      <c r="BG97" s="1"/>
      <c r="BH97" s="273"/>
      <c r="BI97" s="3"/>
      <c r="BJ97" s="3"/>
      <c r="BK97" s="274"/>
      <c r="BL97" s="1"/>
      <c r="BM97" s="273"/>
      <c r="BN97" s="3"/>
      <c r="BO97" s="3"/>
      <c r="BP97" s="274"/>
      <c r="BQ97" s="44"/>
      <c r="BR97" s="428"/>
      <c r="BS97" s="428"/>
      <c r="BT97" s="428"/>
      <c r="BU97" s="232"/>
      <c r="BV97" s="40"/>
      <c r="BW97" s="40"/>
      <c r="BX97" s="40"/>
      <c r="BY97" s="40"/>
      <c r="BZ97" s="40"/>
      <c r="CA97" s="40"/>
      <c r="CB97" s="40"/>
      <c r="CC97" s="40"/>
      <c r="CD97" s="40"/>
      <c r="CE97" s="40"/>
      <c r="CF97" s="40"/>
      <c r="CG97" s="40"/>
      <c r="CH97" s="40"/>
      <c r="CI97" s="40"/>
      <c r="CJ97" s="40"/>
      <c r="CK97" s="40"/>
      <c r="CL97" s="40"/>
      <c r="CM97" s="40"/>
      <c r="CN97" s="40"/>
      <c r="CO97" s="40"/>
      <c r="CP97" s="40"/>
      <c r="CQ97" s="40"/>
      <c r="CR97" s="40"/>
      <c r="CS97" s="40"/>
      <c r="CT97" s="823"/>
      <c r="CU97" s="232"/>
      <c r="CV97" s="232"/>
      <c r="CW97" s="232"/>
      <c r="CX97" s="232"/>
      <c r="CY97" s="232"/>
      <c r="CZ97" s="40"/>
      <c r="DA97" s="40"/>
      <c r="DB97" s="40"/>
      <c r="DC97" s="40"/>
      <c r="DD97" s="40"/>
      <c r="DE97" s="40"/>
      <c r="DF97" s="232"/>
      <c r="DG97" s="232"/>
      <c r="DH97" s="232"/>
      <c r="DI97" s="232"/>
      <c r="DJ97" s="232"/>
      <c r="DK97" s="232"/>
      <c r="DL97" s="232"/>
      <c r="DM97" s="232"/>
      <c r="DN97" s="232"/>
    </row>
    <row r="98" spans="1:118">
      <c r="A98" s="40"/>
      <c r="B98" s="1"/>
      <c r="C98" s="564" t="s">
        <v>813</v>
      </c>
      <c r="D98" s="1"/>
      <c r="E98" s="273"/>
      <c r="F98" s="3"/>
      <c r="G98" s="3"/>
      <c r="H98" s="274"/>
      <c r="I98" s="28"/>
      <c r="J98" s="273"/>
      <c r="K98" s="3"/>
      <c r="L98" s="3"/>
      <c r="M98" s="274"/>
      <c r="N98" s="1"/>
      <c r="O98" s="273"/>
      <c r="P98" s="3"/>
      <c r="Q98" s="3"/>
      <c r="R98" s="274"/>
      <c r="S98" s="1"/>
      <c r="T98" s="758"/>
      <c r="U98" s="660"/>
      <c r="V98" s="660"/>
      <c r="W98" s="661"/>
      <c r="X98" s="428"/>
      <c r="Y98" s="758">
        <f>'Market Prices'!S78</f>
        <v>11474.979818138521</v>
      </c>
      <c r="Z98" s="660">
        <f>'Market Prices'!T78</f>
        <v>10402.131258701407</v>
      </c>
      <c r="AA98" s="660">
        <f>'Market Prices'!U78</f>
        <v>14595.99188276675</v>
      </c>
      <c r="AB98" s="661">
        <f>'Market Prices'!V78</f>
        <v>15599.608908418337</v>
      </c>
      <c r="AC98" s="428">
        <f>AVERAGE(Y98:AB98)</f>
        <v>13018.177967006253</v>
      </c>
      <c r="AD98" s="758">
        <f>'Market Prices'!W78</f>
        <v>9818.857351275652</v>
      </c>
      <c r="AE98" s="660">
        <f>'Market Prices'!Y78</f>
        <v>15922.771678283798</v>
      </c>
      <c r="AF98" s="660">
        <f>'Market Prices'!Y78</f>
        <v>15922.771678283798</v>
      </c>
      <c r="AG98" s="661">
        <f>'Market Prices'!Z78</f>
        <v>15026.318812665288</v>
      </c>
      <c r="AH98" s="428">
        <f>AVERAGE(AD98:AG98)</f>
        <v>14172.679880127134</v>
      </c>
      <c r="AI98" s="758">
        <f>'Market Prices'!AA78</f>
        <v>9835.9779023649571</v>
      </c>
      <c r="AJ98" s="660">
        <f>'Market Prices'!AB78</f>
        <v>11407.233144218615</v>
      </c>
      <c r="AK98" s="660">
        <f>'Market Prices'!AC78</f>
        <v>18666.071155473397</v>
      </c>
      <c r="AL98" s="661">
        <f>'Market Prices'!AD78</f>
        <v>17315.33127145606</v>
      </c>
      <c r="AM98" s="428">
        <f>AVERAGE(AI98:AL98)</f>
        <v>14306.153368378258</v>
      </c>
      <c r="AN98" s="758">
        <f>'Market Prices'!AE78</f>
        <v>12206.386279703562</v>
      </c>
      <c r="AO98" s="660">
        <f>'Market Prices'!AF78</f>
        <v>16621.31367909328</v>
      </c>
      <c r="AP98" s="660">
        <f>'Market Prices'!AG78</f>
        <v>22288.404958475618</v>
      </c>
      <c r="AQ98" s="661">
        <f>'Market Prices'!AH78</f>
        <v>14434.588536316558</v>
      </c>
      <c r="AR98" s="428">
        <f>AVERAGE(AN98:AQ98)</f>
        <v>16387.673363397254</v>
      </c>
      <c r="AS98" s="758">
        <f>'Market Prices'!AI78</f>
        <v>10264.218099859183</v>
      </c>
      <c r="AT98" s="660">
        <f>'Market Prices'!AJ78</f>
        <v>12389.285901147583</v>
      </c>
      <c r="AU98" s="660">
        <f>'Market Prices'!AK78</f>
        <v>13153.218506204936</v>
      </c>
      <c r="AV98" s="661">
        <f>'Market Prices'!AM78</f>
        <v>7994.7887216424933</v>
      </c>
      <c r="AW98" s="428">
        <f>AVERAGE(AS98:AV98)</f>
        <v>10950.377807213548</v>
      </c>
      <c r="AX98" s="758">
        <f>'Market Prices'!AM78</f>
        <v>7994.7887216424933</v>
      </c>
      <c r="AY98" s="660">
        <f>'Market Prices'!AN78</f>
        <v>13122.990353697749</v>
      </c>
      <c r="AZ98" s="660">
        <f>'Market Prices'!AO78</f>
        <v>14125.083166999331</v>
      </c>
      <c r="BA98" s="661">
        <f>'Market Prices'!AP78</f>
        <v>13408.970976253298</v>
      </c>
      <c r="BB98" s="428">
        <f>AVERAGE(AX98:BA98)</f>
        <v>12162.958304648218</v>
      </c>
      <c r="BC98" s="758">
        <f>'Market Prices'!AQ78</f>
        <v>16121.702235183328</v>
      </c>
      <c r="BD98" s="660">
        <f>'Market Prices'!AR78</f>
        <v>17104.044129356756</v>
      </c>
      <c r="BE98" s="660">
        <f>'Market Prices'!AS78</f>
        <v>21029.097168692006</v>
      </c>
      <c r="BF98" s="661">
        <f>'Market Prices'!AT78</f>
        <v>8461.414086437906</v>
      </c>
      <c r="BG98" s="428">
        <f>AVERAGE(BC98:BF98)</f>
        <v>15679.064404917501</v>
      </c>
      <c r="BH98" s="758">
        <f>'Market Prices'!AU78</f>
        <v>15860.467045238278</v>
      </c>
      <c r="BI98" s="660">
        <f>'Market Prices'!AV78</f>
        <v>16826.891124557431</v>
      </c>
      <c r="BJ98" s="660">
        <f>'Market Prices'!AW78</f>
        <v>20688.34281700529</v>
      </c>
      <c r="BK98" s="661">
        <f>'Market Prices'!AX78</f>
        <v>8324.3057908107585</v>
      </c>
      <c r="BL98" s="428">
        <f>AVERAGE(BH98:BK98)</f>
        <v>15425.001694402939</v>
      </c>
      <c r="BM98" s="758">
        <f>BQ98</f>
        <v>13548.637947553741</v>
      </c>
      <c r="BN98" s="660">
        <f>BQ98</f>
        <v>13548.637947553741</v>
      </c>
      <c r="BO98" s="660">
        <f>BQ98</f>
        <v>13548.637947553741</v>
      </c>
      <c r="BP98" s="661">
        <f>BQ98</f>
        <v>13548.637947553741</v>
      </c>
      <c r="BQ98" s="759">
        <f>'Market Prices'!$BP$16/('Market Prices'!$BP$8+'Market Prices'!$BP$53)*1000</f>
        <v>13548.637947553741</v>
      </c>
      <c r="BR98" s="428"/>
      <c r="BS98" s="428"/>
      <c r="BT98" s="428"/>
      <c r="BU98" s="232"/>
      <c r="BV98" s="40"/>
      <c r="BW98" s="40"/>
      <c r="BX98" s="40"/>
      <c r="BY98" s="40"/>
      <c r="BZ98" s="40"/>
      <c r="CA98" s="40"/>
      <c r="CB98" s="40"/>
      <c r="CC98" s="40"/>
      <c r="CD98" s="40"/>
      <c r="CE98" s="40"/>
      <c r="CF98" s="40"/>
      <c r="CG98" s="40"/>
      <c r="CH98" s="40"/>
      <c r="CI98" s="40"/>
      <c r="CJ98" s="40"/>
      <c r="CK98" s="40"/>
      <c r="CL98" s="40"/>
      <c r="CM98" s="40"/>
      <c r="CN98" s="40"/>
      <c r="CO98" s="40"/>
      <c r="CP98" s="40"/>
      <c r="CQ98" s="40"/>
      <c r="CR98" s="40"/>
      <c r="CS98" s="40"/>
      <c r="CT98" s="823"/>
      <c r="CU98" s="232"/>
      <c r="CV98" s="232"/>
      <c r="CW98" s="232"/>
      <c r="CX98" s="232"/>
      <c r="CY98" s="232"/>
      <c r="CZ98" s="40"/>
      <c r="DA98" s="40"/>
      <c r="DB98" s="40"/>
      <c r="DC98" s="40"/>
      <c r="DD98" s="40"/>
      <c r="DE98" s="40"/>
      <c r="DF98" s="232"/>
      <c r="DG98" s="232"/>
      <c r="DH98" s="232"/>
      <c r="DI98" s="232"/>
      <c r="DJ98" s="232"/>
      <c r="DK98" s="232"/>
      <c r="DL98" s="232"/>
      <c r="DM98" s="232"/>
      <c r="DN98" s="232"/>
    </row>
    <row r="99" spans="1:118">
      <c r="A99" s="40"/>
      <c r="B99" s="1"/>
      <c r="C99" s="564" t="s">
        <v>814</v>
      </c>
      <c r="D99" s="1"/>
      <c r="E99" s="273"/>
      <c r="F99" s="3"/>
      <c r="G99" s="3"/>
      <c r="H99" s="274"/>
      <c r="I99" s="28"/>
      <c r="J99" s="273"/>
      <c r="K99" s="3"/>
      <c r="L99" s="3"/>
      <c r="M99" s="274"/>
      <c r="N99" s="1"/>
      <c r="O99" s="273"/>
      <c r="P99" s="3"/>
      <c r="Q99" s="3"/>
      <c r="R99" s="274"/>
      <c r="S99" s="1"/>
      <c r="T99" s="758"/>
      <c r="U99" s="660"/>
      <c r="V99" s="660"/>
      <c r="W99" s="661"/>
      <c r="X99" s="428"/>
      <c r="Y99" s="758">
        <f>+'Market Prices'!S96</f>
        <v>9282.9445192863459</v>
      </c>
      <c r="Z99" s="660">
        <f>+'Market Prices'!T96</f>
        <v>7879.1357555234736</v>
      </c>
      <c r="AA99" s="660">
        <f>+'Market Prices'!U96</f>
        <v>8084.3226123072382</v>
      </c>
      <c r="AB99" s="661">
        <f>+'Market Prices'!V96</f>
        <v>11842.479560862408</v>
      </c>
      <c r="AC99" s="428">
        <f>AVERAGE(Y99:AB99)</f>
        <v>9272.2206119948678</v>
      </c>
      <c r="AD99" s="758">
        <f>+'Market Prices'!W96</f>
        <v>7345.0633802143266</v>
      </c>
      <c r="AE99" s="660">
        <f>+'Market Prices'!Y96</f>
        <v>10315.050379273025</v>
      </c>
      <c r="AF99" s="660">
        <f>+'Market Prices'!Y96</f>
        <v>10315.050379273025</v>
      </c>
      <c r="AG99" s="661">
        <f>+'Market Prices'!Z96</f>
        <v>9714.574534358846</v>
      </c>
      <c r="AH99" s="428">
        <f>AVERAGE(AD99:AG99)</f>
        <v>9422.4346682798059</v>
      </c>
      <c r="AI99" s="758">
        <f>+'Market Prices'!AA96</f>
        <v>8382.8453222230091</v>
      </c>
      <c r="AJ99" s="660">
        <f>+'Market Prices'!AB96</f>
        <v>7537.8738784383268</v>
      </c>
      <c r="AK99" s="660">
        <f>+'Market Prices'!AC96</f>
        <v>9837.7064039165271</v>
      </c>
      <c r="AL99" s="661">
        <f>+'Market Prices'!AD96</f>
        <v>10577.262881497305</v>
      </c>
      <c r="AM99" s="428">
        <f>AVERAGE(AI99:AL99)</f>
        <v>9083.9221215187918</v>
      </c>
      <c r="AN99" s="758">
        <f>+'Market Prices'!AE96</f>
        <v>9019.4014549612002</v>
      </c>
      <c r="AO99" s="660">
        <f>+'Market Prices'!AF96</f>
        <v>10967.114786064982</v>
      </c>
      <c r="AP99" s="660">
        <f>+'Market Prices'!AG96</f>
        <v>11335.823461467095</v>
      </c>
      <c r="AQ99" s="661">
        <f>+'Market Prices'!AH96</f>
        <v>10726.933653066462</v>
      </c>
      <c r="AR99" s="428">
        <f>AVERAGE(AN99:AQ99)</f>
        <v>10512.318338889934</v>
      </c>
      <c r="AS99" s="758">
        <f>+'Market Prices'!AI96</f>
        <v>9142.7185751590077</v>
      </c>
      <c r="AT99" s="660">
        <f>+'Market Prices'!AJ96</f>
        <v>8545.6610120881614</v>
      </c>
      <c r="AU99" s="660">
        <f>+'Market Prices'!AK96</f>
        <v>8055.4469835426908</v>
      </c>
      <c r="AV99" s="661">
        <f>+'Market Prices'!AM96</f>
        <v>7106.0534420152553</v>
      </c>
      <c r="AW99" s="428">
        <f>AVERAGE(AS99:AV99)</f>
        <v>8212.4700032012788</v>
      </c>
      <c r="AX99" s="758">
        <f>+'Market Prices'!AM96</f>
        <v>7106.0534420152553</v>
      </c>
      <c r="AY99" s="660">
        <f>+'Market Prices'!AN96</f>
        <v>9713.2904608788867</v>
      </c>
      <c r="AZ99" s="660">
        <f>+'Market Prices'!AO96</f>
        <v>9301.3972055888225</v>
      </c>
      <c r="BA99" s="661">
        <f>+'Market Prices'!AP96</f>
        <v>10670.184696569921</v>
      </c>
      <c r="BB99" s="428">
        <f>AVERAGE(AX99:BA99)</f>
        <v>9197.731451263222</v>
      </c>
      <c r="BC99" s="758">
        <f>+'Market Prices'!AQ96</f>
        <v>12523.856192309457</v>
      </c>
      <c r="BD99" s="660">
        <f>+'Market Prices'!AR96</f>
        <v>12126.37627431892</v>
      </c>
      <c r="BE99" s="660">
        <f>+'Market Prices'!AS96</f>
        <v>13524.643202910216</v>
      </c>
      <c r="BF99" s="661">
        <f>+'Market Prices'!AT96</f>
        <v>7225.3549785020023</v>
      </c>
      <c r="BG99" s="428">
        <f>AVERAGE(BC99:BF99)</f>
        <v>11350.057662010147</v>
      </c>
      <c r="BH99" s="758">
        <f>+'Market Prices'!AU96</f>
        <v>12284.65865189438</v>
      </c>
      <c r="BI99" s="660">
        <f>+'Market Prices'!AV96</f>
        <v>11894.770342853019</v>
      </c>
      <c r="BJ99" s="660">
        <f>+'Market Prices'!AW96</f>
        <v>13266.331278894815</v>
      </c>
      <c r="BK99" s="661">
        <f>+'Market Prices'!AX96</f>
        <v>7087.3553789421785</v>
      </c>
      <c r="BL99" s="428">
        <f>AVERAGE(BH99:BK99)</f>
        <v>11133.278913146098</v>
      </c>
      <c r="BM99" s="758">
        <f>BN99</f>
        <v>10224.284530230694</v>
      </c>
      <c r="BN99" s="660">
        <f>BO99</f>
        <v>10224.284530230694</v>
      </c>
      <c r="BO99" s="660">
        <f>BP99</f>
        <v>10224.284530230694</v>
      </c>
      <c r="BP99" s="661">
        <f>BQ99</f>
        <v>10224.284530230694</v>
      </c>
      <c r="BQ99" s="759">
        <f>'Market Prices'!$BP$34/('Market Prices'!$BP$8+'Market Prices'!$BP$53)*1000</f>
        <v>10224.284530230694</v>
      </c>
      <c r="BR99" s="1"/>
      <c r="BS99" s="1"/>
      <c r="BT99" s="1"/>
      <c r="BU99" s="232"/>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823"/>
      <c r="CU99" s="232"/>
      <c r="CV99" s="232"/>
      <c r="CW99" s="232"/>
      <c r="CX99" s="232"/>
      <c r="CY99" s="232"/>
      <c r="CZ99" s="40"/>
      <c r="DA99" s="40"/>
      <c r="DB99" s="40"/>
      <c r="DC99" s="40"/>
      <c r="DD99" s="40"/>
      <c r="DE99" s="40"/>
      <c r="DF99" s="232"/>
      <c r="DG99" s="232"/>
      <c r="DH99" s="232"/>
      <c r="DI99" s="232"/>
      <c r="DJ99" s="232"/>
      <c r="DK99" s="232"/>
      <c r="DL99" s="232"/>
      <c r="DM99" s="232"/>
      <c r="DN99" s="232"/>
    </row>
    <row r="100" spans="1:118">
      <c r="A100" s="40"/>
      <c r="B100" s="1"/>
      <c r="C100" s="564"/>
      <c r="D100" s="1"/>
      <c r="E100" s="273"/>
      <c r="F100" s="3"/>
      <c r="G100" s="3"/>
      <c r="H100" s="274"/>
      <c r="I100" s="28"/>
      <c r="J100" s="273"/>
      <c r="K100" s="3"/>
      <c r="L100" s="3"/>
      <c r="M100" s="274"/>
      <c r="N100" s="1"/>
      <c r="O100" s="273"/>
      <c r="P100" s="3"/>
      <c r="Q100" s="3"/>
      <c r="R100" s="274"/>
      <c r="S100" s="1"/>
      <c r="T100" s="273"/>
      <c r="U100" s="3"/>
      <c r="V100" s="3"/>
      <c r="W100" s="274"/>
      <c r="X100" s="1"/>
      <c r="Y100" s="273"/>
      <c r="Z100" s="3"/>
      <c r="AA100" s="3"/>
      <c r="AB100" s="274"/>
      <c r="AC100" s="1"/>
      <c r="AD100" s="273"/>
      <c r="AE100" s="3"/>
      <c r="AF100" s="3"/>
      <c r="AG100" s="274"/>
      <c r="AH100" s="1"/>
      <c r="AI100" s="273"/>
      <c r="AJ100" s="3"/>
      <c r="AK100" s="3"/>
      <c r="AL100" s="274"/>
      <c r="AM100" s="1"/>
      <c r="AN100" s="273"/>
      <c r="AO100" s="3"/>
      <c r="AP100" s="3"/>
      <c r="AQ100" s="274"/>
      <c r="AR100" s="1"/>
      <c r="AS100" s="273"/>
      <c r="AT100" s="3"/>
      <c r="AU100" s="3"/>
      <c r="AV100" s="274"/>
      <c r="AW100" s="1"/>
      <c r="AX100" s="273"/>
      <c r="AY100" s="3"/>
      <c r="AZ100" s="3"/>
      <c r="BA100" s="274"/>
      <c r="BB100" s="1"/>
      <c r="BC100" s="273"/>
      <c r="BD100" s="3"/>
      <c r="BE100" s="3"/>
      <c r="BF100" s="274"/>
      <c r="BG100" s="1"/>
      <c r="BH100" s="273"/>
      <c r="BI100" s="3"/>
      <c r="BJ100" s="3"/>
      <c r="BK100" s="274"/>
      <c r="BL100" s="1"/>
      <c r="BM100" s="273"/>
      <c r="BN100" s="3"/>
      <c r="BO100" s="3"/>
      <c r="BP100" s="274"/>
      <c r="BQ100" s="44"/>
      <c r="BR100" s="428"/>
      <c r="BS100" s="428"/>
      <c r="BT100" s="428"/>
      <c r="BU100" s="232"/>
      <c r="BV100" s="40"/>
      <c r="BW100" s="40"/>
      <c r="BX100" s="40"/>
      <c r="BY100" s="40"/>
      <c r="BZ100" s="40"/>
      <c r="CA100" s="40"/>
      <c r="CB100" s="40"/>
      <c r="CC100" s="40"/>
      <c r="CD100" s="40"/>
      <c r="CE100" s="40"/>
      <c r="CF100" s="40"/>
      <c r="CG100" s="40"/>
      <c r="CH100" s="40"/>
      <c r="CI100" s="40"/>
      <c r="CJ100" s="40"/>
      <c r="CK100" s="40"/>
      <c r="CL100" s="40"/>
      <c r="CM100" s="40"/>
      <c r="CN100" s="40"/>
      <c r="CO100" s="40"/>
      <c r="CP100" s="40"/>
      <c r="CQ100" s="40"/>
      <c r="CR100" s="40"/>
      <c r="CS100" s="40"/>
      <c r="CT100" s="823"/>
      <c r="CU100" s="232"/>
      <c r="CV100" s="232"/>
      <c r="CW100" s="232"/>
      <c r="CX100" s="232"/>
      <c r="CY100" s="232"/>
      <c r="CZ100" s="40"/>
      <c r="DA100" s="40"/>
      <c r="DB100" s="40"/>
      <c r="DC100" s="40"/>
      <c r="DD100" s="40"/>
      <c r="DE100" s="40"/>
      <c r="DF100" s="232"/>
      <c r="DG100" s="232"/>
      <c r="DH100" s="232"/>
      <c r="DI100" s="232"/>
      <c r="DJ100" s="232"/>
      <c r="DK100" s="232"/>
      <c r="DL100" s="232"/>
      <c r="DM100" s="232"/>
      <c r="DN100" s="232"/>
    </row>
    <row r="101" spans="1:118">
      <c r="A101" s="40"/>
      <c r="B101" s="1"/>
      <c r="C101" s="564" t="s">
        <v>815</v>
      </c>
      <c r="D101" s="1"/>
      <c r="E101" s="273"/>
      <c r="F101" s="3"/>
      <c r="G101" s="3"/>
      <c r="H101" s="274"/>
      <c r="I101" s="28"/>
      <c r="J101" s="273"/>
      <c r="K101" s="3"/>
      <c r="L101" s="3"/>
      <c r="M101" s="274"/>
      <c r="N101" s="1"/>
      <c r="O101" s="273"/>
      <c r="P101" s="3"/>
      <c r="Q101" s="3"/>
      <c r="R101" s="274"/>
      <c r="S101" s="1"/>
      <c r="T101" s="758"/>
      <c r="U101" s="660"/>
      <c r="V101" s="660"/>
      <c r="W101" s="661"/>
      <c r="X101" s="428"/>
      <c r="Y101" s="758">
        <f>'Market Prices'!S79</f>
        <v>10613.332343739214</v>
      </c>
      <c r="Z101" s="660">
        <f>'Market Prices'!T79</f>
        <v>9814.6604717116315</v>
      </c>
      <c r="AA101" s="660">
        <f>'Market Prices'!U79</f>
        <v>15217.027511328975</v>
      </c>
      <c r="AB101" s="661">
        <f>'Market Prices'!V79</f>
        <v>11622.060695219723</v>
      </c>
      <c r="AC101" s="428">
        <f>AVERAGE(Y101:AB101)</f>
        <v>11816.770255499887</v>
      </c>
      <c r="AD101" s="758">
        <f>'Market Prices'!W79</f>
        <v>8339.8677320762581</v>
      </c>
      <c r="AE101" s="660">
        <f>'Market Prices'!Y79</f>
        <v>17008.913404698229</v>
      </c>
      <c r="AF101" s="660">
        <f>'Market Prices'!Y79</f>
        <v>17008.913404698229</v>
      </c>
      <c r="AG101" s="661">
        <f>'Market Prices'!Z79</f>
        <v>14242.244323975263</v>
      </c>
      <c r="AH101" s="428">
        <f>AVERAGE(AD101:AG101)</f>
        <v>14149.984716361994</v>
      </c>
      <c r="AI101" s="758">
        <f>'Market Prices'!AA79</f>
        <v>8245.126379457306</v>
      </c>
      <c r="AJ101" s="660">
        <f>'Market Prices'!AB79</f>
        <v>23636.495062483507</v>
      </c>
      <c r="AK101" s="660">
        <f>'Market Prices'!AC79</f>
        <v>29559.964278835214</v>
      </c>
      <c r="AL101" s="661">
        <f>'Market Prices'!AD79</f>
        <v>26840.274598772085</v>
      </c>
      <c r="AM101" s="428">
        <f>AVERAGE(AI101:AL101)</f>
        <v>22070.465079887028</v>
      </c>
      <c r="AN101" s="758">
        <f>'Market Prices'!AE79</f>
        <v>16770.720038090938</v>
      </c>
      <c r="AO101" s="660">
        <f>'Market Prices'!AF79</f>
        <v>22601.852674604575</v>
      </c>
      <c r="AP101" s="660">
        <f>'Market Prices'!AG79</f>
        <v>34191.352496551095</v>
      </c>
      <c r="AQ101" s="661">
        <f>'Market Prices'!AH79</f>
        <v>12233.948471734455</v>
      </c>
      <c r="AR101" s="428">
        <f>AVERAGE(AN101:AQ101)</f>
        <v>21449.468420245266</v>
      </c>
      <c r="AS101" s="758">
        <f>'Market Prices'!AI79</f>
        <v>9237.5699548947559</v>
      </c>
      <c r="AT101" s="660">
        <f>'Market Prices'!AJ79</f>
        <v>13374.181331245492</v>
      </c>
      <c r="AU101" s="660">
        <f>'Market Prices'!AK79</f>
        <v>19942.594548815701</v>
      </c>
      <c r="AV101" s="661">
        <f>'Market Prices'!AM79</f>
        <v>5561.1264063691815</v>
      </c>
      <c r="AW101" s="428">
        <f>AVERAGE(AS101:AV101)</f>
        <v>12028.868060331282</v>
      </c>
      <c r="AX101" s="758">
        <f>'Market Prices'!AM79</f>
        <v>5561.1264063691815</v>
      </c>
      <c r="AY101" s="660">
        <f>'Market Prices'!AN79</f>
        <v>16904.797713941942</v>
      </c>
      <c r="AZ101" s="660">
        <f>'Market Prices'!AO79</f>
        <v>15195.195195195192</v>
      </c>
      <c r="BA101" s="661">
        <f>'Market Prices'!AP79</f>
        <v>14065.797641216635</v>
      </c>
      <c r="BB101" s="428">
        <f>AVERAGE(AX101:BA101)</f>
        <v>12931.729239180739</v>
      </c>
      <c r="BC101" s="758">
        <f>'Market Prices'!AQ79</f>
        <v>14527.253857531297</v>
      </c>
      <c r="BD101" s="660">
        <f>'Market Prices'!AR79</f>
        <v>19603.903225075555</v>
      </c>
      <c r="BE101" s="660">
        <f>'Market Prices'!AS79</f>
        <v>17640.554959788038</v>
      </c>
      <c r="BF101" s="661">
        <f>'Market Prices'!AT79</f>
        <v>7417.7739790369633</v>
      </c>
      <c r="BG101" s="428">
        <f>AVERAGE(BC101:BF101)</f>
        <v>14797.371505357962</v>
      </c>
      <c r="BH101" s="758">
        <f>'Market Prices'!AU79</f>
        <v>14642.155761170308</v>
      </c>
      <c r="BI101" s="660">
        <f>'Market Prices'!AV79</f>
        <v>19758.958393891811</v>
      </c>
      <c r="BJ101" s="660">
        <f>'Market Prices'!AW79</f>
        <v>17780.081216161496</v>
      </c>
      <c r="BK101" s="661">
        <f>'Market Prices'!AX79</f>
        <v>7476.4441419813102</v>
      </c>
      <c r="BL101" s="428">
        <f>AVERAGE(BH101:BK101)</f>
        <v>14914.40987830123</v>
      </c>
      <c r="BM101" s="758">
        <f t="shared" ref="BM101:BM102" si="187">BN101</f>
        <v>13370.305624345896</v>
      </c>
      <c r="BN101" s="660">
        <f t="shared" ref="BN101:BN102" si="188">BO101</f>
        <v>13370.305624345896</v>
      </c>
      <c r="BO101" s="660">
        <f t="shared" ref="BO101:BO102" si="189">BP101</f>
        <v>13370.305624345896</v>
      </c>
      <c r="BP101" s="661">
        <f t="shared" ref="BP101:BP102" si="190">BQ101</f>
        <v>13370.305624345896</v>
      </c>
      <c r="BQ101" s="759">
        <f>'Market Prices'!$BP$17/('Market Prices'!$BP$8+'Market Prices'!$BP$54)*1000</f>
        <v>13370.305624345896</v>
      </c>
      <c r="BR101" s="428"/>
      <c r="BS101" s="428"/>
      <c r="BT101" s="428"/>
      <c r="BU101" s="232"/>
      <c r="BV101" s="40"/>
      <c r="BW101" s="40"/>
      <c r="BX101" s="40"/>
      <c r="BY101" s="40"/>
      <c r="BZ101" s="40"/>
      <c r="CA101" s="40"/>
      <c r="CB101" s="40"/>
      <c r="CC101" s="40"/>
      <c r="CD101" s="40"/>
      <c r="CE101" s="40"/>
      <c r="CF101" s="40"/>
      <c r="CG101" s="40"/>
      <c r="CH101" s="40"/>
      <c r="CI101" s="40"/>
      <c r="CJ101" s="40"/>
      <c r="CK101" s="40"/>
      <c r="CL101" s="40"/>
      <c r="CM101" s="40"/>
      <c r="CN101" s="40"/>
      <c r="CO101" s="40"/>
      <c r="CP101" s="40"/>
      <c r="CQ101" s="40"/>
      <c r="CR101" s="40"/>
      <c r="CS101" s="40"/>
      <c r="CT101" s="823"/>
      <c r="CU101" s="232"/>
      <c r="CV101" s="232"/>
      <c r="CW101" s="232"/>
      <c r="CX101" s="232"/>
      <c r="CY101" s="232"/>
      <c r="CZ101" s="40"/>
      <c r="DA101" s="40"/>
      <c r="DB101" s="40"/>
      <c r="DC101" s="40"/>
      <c r="DD101" s="40"/>
      <c r="DE101" s="40"/>
      <c r="DF101" s="232"/>
      <c r="DG101" s="232"/>
      <c r="DH101" s="232"/>
      <c r="DI101" s="232"/>
      <c r="DJ101" s="232"/>
      <c r="DK101" s="232"/>
      <c r="DL101" s="232"/>
      <c r="DM101" s="232"/>
      <c r="DN101" s="232"/>
    </row>
    <row r="102" spans="1:118">
      <c r="A102" s="40"/>
      <c r="B102" s="1"/>
      <c r="C102" s="564" t="s">
        <v>816</v>
      </c>
      <c r="D102" s="1"/>
      <c r="E102" s="273"/>
      <c r="F102" s="3"/>
      <c r="G102" s="3"/>
      <c r="H102" s="274"/>
      <c r="I102" s="28"/>
      <c r="J102" s="273"/>
      <c r="K102" s="3"/>
      <c r="L102" s="3"/>
      <c r="M102" s="274"/>
      <c r="N102" s="1"/>
      <c r="O102" s="273"/>
      <c r="P102" s="3"/>
      <c r="Q102" s="3"/>
      <c r="R102" s="274"/>
      <c r="S102" s="1"/>
      <c r="T102" s="758"/>
      <c r="U102" s="660"/>
      <c r="V102" s="660"/>
      <c r="W102" s="661"/>
      <c r="X102" s="428"/>
      <c r="Y102" s="758">
        <f>+'Market Prices'!S97</f>
        <v>8283.8886860413586</v>
      </c>
      <c r="Z102" s="660">
        <f>+'Market Prices'!T97</f>
        <v>6843.1719383213203</v>
      </c>
      <c r="AA102" s="660">
        <f>+'Market Prices'!U97</f>
        <v>7359.8377490323146</v>
      </c>
      <c r="AB102" s="661">
        <f>+'Market Prices'!V97</f>
        <v>7354.2240723278701</v>
      </c>
      <c r="AC102" s="428">
        <f>AVERAGE(Y102:AB102)</f>
        <v>7460.2806114307159</v>
      </c>
      <c r="AD102" s="758">
        <f>+'Market Prices'!W97</f>
        <v>5887.49512865822</v>
      </c>
      <c r="AE102" s="660">
        <f>+'Market Prices'!Y97</f>
        <v>9428.2420655372098</v>
      </c>
      <c r="AF102" s="660">
        <f>+'Market Prices'!Y97</f>
        <v>9428.2420655372098</v>
      </c>
      <c r="AG102" s="661">
        <f>+'Market Prices'!Z97</f>
        <v>7903.1028409842911</v>
      </c>
      <c r="AH102" s="428">
        <f>AVERAGE(AD102:AG102)</f>
        <v>8161.7705251792322</v>
      </c>
      <c r="AI102" s="758">
        <f>+'Market Prices'!AA97</f>
        <v>5838.4228171684554</v>
      </c>
      <c r="AJ102" s="660">
        <f>+'Market Prices'!AB97</f>
        <v>11231.838014387387</v>
      </c>
      <c r="AK102" s="660">
        <f>+'Market Prices'!AC97</f>
        <v>14895.865292939685</v>
      </c>
      <c r="AL102" s="661">
        <f>+'Market Prices'!AD97</f>
        <v>11088.680104153016</v>
      </c>
      <c r="AM102" s="428">
        <f>AVERAGE(AI102:AL102)</f>
        <v>10763.701557162136</v>
      </c>
      <c r="AN102" s="758">
        <f>+'Market Prices'!AE97</f>
        <v>7430.0572431015753</v>
      </c>
      <c r="AO102" s="660">
        <f>+'Market Prices'!AF97</f>
        <v>9854.2125554743252</v>
      </c>
      <c r="AP102" s="660">
        <f>+'Market Prices'!AG97</f>
        <v>14312.880773121604</v>
      </c>
      <c r="AQ102" s="661">
        <f>+'Market Prices'!AH97</f>
        <v>7721.1693236924348</v>
      </c>
      <c r="AR102" s="428">
        <f>AVERAGE(AN102:AQ102)</f>
        <v>9829.5799738474852</v>
      </c>
      <c r="AS102" s="758">
        <f>+'Market Prices'!AI97</f>
        <v>6476.9106982314634</v>
      </c>
      <c r="AT102" s="660">
        <f>+'Market Prices'!AJ97</f>
        <v>5766.6546578633643</v>
      </c>
      <c r="AU102" s="660">
        <f>+'Market Prices'!AK97</f>
        <v>9936.1248110884608</v>
      </c>
      <c r="AV102" s="661">
        <f>+'Market Prices'!AM97</f>
        <v>4993.9723459738043</v>
      </c>
      <c r="AW102" s="428">
        <f>AVERAGE(AS102:AV102)</f>
        <v>6793.4156282892736</v>
      </c>
      <c r="AX102" s="758">
        <f>+'Market Prices'!AM97</f>
        <v>4993.9723459738043</v>
      </c>
      <c r="AY102" s="660">
        <f>+'Market Prices'!AN97</f>
        <v>14859.377349977438</v>
      </c>
      <c r="AZ102" s="660">
        <f>+'Market Prices'!AO97</f>
        <v>13198.198198198197</v>
      </c>
      <c r="BA102" s="661">
        <f>+'Market Prices'!AP97</f>
        <v>12321.539416511485</v>
      </c>
      <c r="BB102" s="428">
        <f>AVERAGE(AX102:BA102)</f>
        <v>11343.27182766523</v>
      </c>
      <c r="BC102" s="758">
        <f>+'Market Prices'!AQ97</f>
        <v>13766.147964572425</v>
      </c>
      <c r="BD102" s="660">
        <f>+'Market Prices'!AR97</f>
        <v>17987.083179969206</v>
      </c>
      <c r="BE102" s="660">
        <f>+'Market Prices'!AS97</f>
        <v>15264.015012002199</v>
      </c>
      <c r="BF102" s="661">
        <f>+'Market Prices'!AT97</f>
        <v>6334.5447057720257</v>
      </c>
      <c r="BG102" s="428">
        <f>AVERAGE(BC102:BF102)</f>
        <v>13337.947715578963</v>
      </c>
      <c r="BH102" s="758">
        <f>+'Market Prices'!AU97</f>
        <v>13835.817936941603</v>
      </c>
      <c r="BI102" s="660">
        <f>+'Market Prices'!AV97</f>
        <v>18078.115151394733</v>
      </c>
      <c r="BJ102" s="660">
        <f>+'Market Prices'!AW97</f>
        <v>15341.265634824622</v>
      </c>
      <c r="BK102" s="661">
        <f>+'Market Prices'!AX97</f>
        <v>6366.603605310097</v>
      </c>
      <c r="BL102" s="428">
        <f>AVERAGE(BH102:BK102)</f>
        <v>13405.450582117764</v>
      </c>
      <c r="BM102" s="758">
        <f t="shared" si="187"/>
        <v>12001.018747483286</v>
      </c>
      <c r="BN102" s="660">
        <f t="shared" si="188"/>
        <v>12001.018747483286</v>
      </c>
      <c r="BO102" s="660">
        <f t="shared" si="189"/>
        <v>12001.018747483286</v>
      </c>
      <c r="BP102" s="661">
        <f t="shared" si="190"/>
        <v>12001.018747483286</v>
      </c>
      <c r="BQ102" s="759">
        <f>'Market Prices'!$BP$35/('Market Prices'!$BP$8+'Market Prices'!$BP$54)*1000</f>
        <v>12001.018747483286</v>
      </c>
      <c r="BR102" s="1"/>
      <c r="BS102" s="1"/>
      <c r="BT102" s="1"/>
      <c r="BU102" s="232"/>
      <c r="BV102" s="40"/>
      <c r="BW102" s="40"/>
      <c r="BX102" s="40"/>
      <c r="BY102" s="40"/>
      <c r="BZ102" s="40"/>
      <c r="CA102" s="40"/>
      <c r="CB102" s="40"/>
      <c r="CC102" s="40"/>
      <c r="CD102" s="40"/>
      <c r="CE102" s="40"/>
      <c r="CF102" s="40"/>
      <c r="CG102" s="40"/>
      <c r="CH102" s="40"/>
      <c r="CI102" s="40"/>
      <c r="CJ102" s="40"/>
      <c r="CK102" s="40"/>
      <c r="CL102" s="40"/>
      <c r="CM102" s="40"/>
      <c r="CN102" s="40"/>
      <c r="CO102" s="40"/>
      <c r="CP102" s="40"/>
      <c r="CQ102" s="40"/>
      <c r="CR102" s="40"/>
      <c r="CS102" s="40"/>
      <c r="CT102" s="823"/>
      <c r="CU102" s="232"/>
      <c r="CV102" s="232"/>
      <c r="CW102" s="232"/>
      <c r="CX102" s="232"/>
      <c r="CY102" s="232"/>
      <c r="CZ102" s="40"/>
      <c r="DA102" s="40"/>
      <c r="DB102" s="40"/>
      <c r="DC102" s="40"/>
      <c r="DD102" s="40"/>
      <c r="DE102" s="40"/>
      <c r="DF102" s="232"/>
      <c r="DG102" s="232"/>
      <c r="DH102" s="232"/>
      <c r="DI102" s="232"/>
      <c r="DJ102" s="232"/>
      <c r="DK102" s="232"/>
      <c r="DL102" s="232"/>
      <c r="DM102" s="232"/>
      <c r="DN102" s="232"/>
    </row>
    <row r="103" spans="1:118">
      <c r="A103" s="40"/>
      <c r="B103" s="1"/>
      <c r="C103" s="564"/>
      <c r="D103" s="1"/>
      <c r="E103" s="273"/>
      <c r="F103" s="3"/>
      <c r="G103" s="3"/>
      <c r="H103" s="274"/>
      <c r="I103" s="28"/>
      <c r="J103" s="273"/>
      <c r="K103" s="3"/>
      <c r="L103" s="3"/>
      <c r="M103" s="274"/>
      <c r="N103" s="1"/>
      <c r="O103" s="273"/>
      <c r="P103" s="3"/>
      <c r="Q103" s="3"/>
      <c r="R103" s="274"/>
      <c r="S103" s="1"/>
      <c r="T103" s="273"/>
      <c r="U103" s="3"/>
      <c r="V103" s="3"/>
      <c r="W103" s="274"/>
      <c r="X103" s="1"/>
      <c r="Y103" s="273"/>
      <c r="Z103" s="3"/>
      <c r="AA103" s="3"/>
      <c r="AB103" s="274"/>
      <c r="AC103" s="1"/>
      <c r="AD103" s="273"/>
      <c r="AE103" s="3"/>
      <c r="AF103" s="3"/>
      <c r="AG103" s="274"/>
      <c r="AH103" s="1"/>
      <c r="AI103" s="273"/>
      <c r="AJ103" s="3"/>
      <c r="AK103" s="3"/>
      <c r="AL103" s="274"/>
      <c r="AM103" s="1"/>
      <c r="AN103" s="273"/>
      <c r="AO103" s="3"/>
      <c r="AP103" s="3"/>
      <c r="AQ103" s="274"/>
      <c r="AR103" s="1"/>
      <c r="AS103" s="273"/>
      <c r="AT103" s="3"/>
      <c r="AU103" s="3"/>
      <c r="AV103" s="274"/>
      <c r="AW103" s="1"/>
      <c r="AX103" s="273"/>
      <c r="AY103" s="3"/>
      <c r="AZ103" s="3"/>
      <c r="BA103" s="274"/>
      <c r="BB103" s="1"/>
      <c r="BC103" s="273"/>
      <c r="BD103" s="3"/>
      <c r="BE103" s="3"/>
      <c r="BF103" s="274"/>
      <c r="BG103" s="1"/>
      <c r="BH103" s="273"/>
      <c r="BI103" s="3"/>
      <c r="BJ103" s="3"/>
      <c r="BK103" s="274"/>
      <c r="BL103" s="1"/>
      <c r="BM103" s="273"/>
      <c r="BN103" s="3"/>
      <c r="BO103" s="3"/>
      <c r="BP103" s="274"/>
      <c r="BQ103" s="44"/>
      <c r="BR103" s="428"/>
      <c r="BS103" s="428"/>
      <c r="BT103" s="428"/>
      <c r="BU103" s="232"/>
      <c r="BV103" s="40"/>
      <c r="BW103" s="40"/>
      <c r="BX103" s="40"/>
      <c r="BY103" s="40"/>
      <c r="BZ103" s="40"/>
      <c r="CA103" s="40"/>
      <c r="CB103" s="40"/>
      <c r="CC103" s="40"/>
      <c r="CD103" s="40"/>
      <c r="CE103" s="40"/>
      <c r="CF103" s="40"/>
      <c r="CG103" s="40"/>
      <c r="CH103" s="40"/>
      <c r="CI103" s="40"/>
      <c r="CJ103" s="40"/>
      <c r="CK103" s="40"/>
      <c r="CL103" s="40"/>
      <c r="CM103" s="40"/>
      <c r="CN103" s="40"/>
      <c r="CO103" s="40"/>
      <c r="CP103" s="40"/>
      <c r="CQ103" s="40"/>
      <c r="CR103" s="40"/>
      <c r="CS103" s="40"/>
      <c r="CT103" s="823"/>
      <c r="CU103" s="232"/>
      <c r="CV103" s="232"/>
      <c r="CW103" s="232"/>
      <c r="CX103" s="232"/>
      <c r="CY103" s="232"/>
      <c r="CZ103" s="40"/>
      <c r="DA103" s="40"/>
      <c r="DB103" s="40"/>
      <c r="DC103" s="40"/>
      <c r="DD103" s="40"/>
      <c r="DE103" s="40"/>
      <c r="DF103" s="232"/>
      <c r="DG103" s="232"/>
      <c r="DH103" s="232"/>
      <c r="DI103" s="232"/>
      <c r="DJ103" s="232"/>
      <c r="DK103" s="232"/>
      <c r="DL103" s="232"/>
      <c r="DM103" s="232"/>
      <c r="DN103" s="232"/>
    </row>
    <row r="104" spans="1:118">
      <c r="A104" s="40"/>
      <c r="B104" s="1"/>
      <c r="C104" s="564" t="s">
        <v>1077</v>
      </c>
      <c r="D104" s="1"/>
      <c r="E104" s="273"/>
      <c r="F104" s="3"/>
      <c r="G104" s="3"/>
      <c r="H104" s="274"/>
      <c r="I104" s="28"/>
      <c r="J104" s="273"/>
      <c r="K104" s="3"/>
      <c r="L104" s="3"/>
      <c r="M104" s="274"/>
      <c r="N104" s="1"/>
      <c r="O104" s="273"/>
      <c r="P104" s="3"/>
      <c r="Q104" s="3"/>
      <c r="R104" s="274"/>
      <c r="S104" s="1"/>
      <c r="T104" s="758"/>
      <c r="U104" s="660"/>
      <c r="V104" s="660"/>
      <c r="W104" s="661"/>
      <c r="X104" s="428"/>
      <c r="Y104" s="758">
        <f>'Market Prices'!S86</f>
        <v>10013.535130755854</v>
      </c>
      <c r="Z104" s="660">
        <f>'Market Prices'!T86</f>
        <v>9797.5059785309622</v>
      </c>
      <c r="AA104" s="660">
        <f>'Market Prices'!U86</f>
        <v>11556.783290642117</v>
      </c>
      <c r="AB104" s="661">
        <f>'Market Prices'!V86</f>
        <v>8955.14579243558</v>
      </c>
      <c r="AC104" s="428">
        <f>AVERAGE(Y104:AB104)</f>
        <v>10080.742548091128</v>
      </c>
      <c r="AD104" s="758">
        <f>'Market Prices'!W86</f>
        <v>14102.021173316958</v>
      </c>
      <c r="AE104" s="660">
        <f>'Market Prices'!Y86</f>
        <v>9329.8105397704876</v>
      </c>
      <c r="AF104" s="660">
        <f>'Market Prices'!Y86</f>
        <v>9329.8105397704876</v>
      </c>
      <c r="AG104" s="661">
        <f>'Market Prices'!Z86</f>
        <v>10242.15556320529</v>
      </c>
      <c r="AH104" s="428">
        <f>AVERAGE(AD104:AG104)</f>
        <v>10750.949454015807</v>
      </c>
      <c r="AI104" s="758">
        <f>'Market Prices'!AA86</f>
        <v>13812.6485828859</v>
      </c>
      <c r="AJ104" s="660">
        <f>'Market Prices'!AB86</f>
        <v>11166.919578014331</v>
      </c>
      <c r="AK104" s="660">
        <f>'Market Prices'!AC86</f>
        <v>12281.123997010438</v>
      </c>
      <c r="AL104" s="661">
        <f>'Market Prices'!AD86</f>
        <v>14039.404430911989</v>
      </c>
      <c r="AM104" s="428">
        <f>AVERAGE(AI104:AL104)</f>
        <v>12825.024147205666</v>
      </c>
      <c r="AN104" s="758">
        <f>'Market Prices'!AE86</f>
        <v>13452.093034820135</v>
      </c>
      <c r="AO104" s="660">
        <f>'Market Prices'!AF86</f>
        <v>13851.754927196182</v>
      </c>
      <c r="AP104" s="660">
        <f>'Market Prices'!AG86</f>
        <v>13069.487986386619</v>
      </c>
      <c r="AQ104" s="661">
        <f>'Market Prices'!AH86</f>
        <v>10415.320938137747</v>
      </c>
      <c r="AR104" s="428">
        <f>AVERAGE(AN104:AQ104)</f>
        <v>12697.16422163517</v>
      </c>
      <c r="AS104" s="758">
        <f>'Market Prices'!AI86</f>
        <v>9752.8895345008495</v>
      </c>
      <c r="AT104" s="660">
        <f>'Market Prices'!AJ86</f>
        <v>10932.723139999998</v>
      </c>
      <c r="AU104" s="660">
        <f>'Market Prices'!AK86</f>
        <v>11696.829462716889</v>
      </c>
      <c r="AV104" s="661">
        <f>'Market Prices'!AM86</f>
        <v>10268.572478822029</v>
      </c>
      <c r="AW104" s="428">
        <f>AVERAGE(AS104:AV104)</f>
        <v>10662.753654009943</v>
      </c>
      <c r="AX104" s="758">
        <f>'Market Prices'!AM86</f>
        <v>10268.572478822029</v>
      </c>
      <c r="AY104" s="660">
        <f>'Market Prices'!AN86</f>
        <v>11220.301032466725</v>
      </c>
      <c r="AZ104" s="660">
        <f>'Market Prices'!AO86</f>
        <v>12291.296625222027</v>
      </c>
      <c r="BA104" s="661">
        <f>'Market Prices'!AP86</f>
        <v>10396.323951751867</v>
      </c>
      <c r="BB104" s="428">
        <f>AVERAGE(AX104:BA104)</f>
        <v>11044.123522065662</v>
      </c>
      <c r="BC104" s="758">
        <f>'Market Prices'!AQ86</f>
        <v>11688.854504578794</v>
      </c>
      <c r="BD104" s="660">
        <f>'Market Prices'!AR86</f>
        <v>11265.073570860448</v>
      </c>
      <c r="BE104" s="660">
        <f>'Market Prices'!AS86</f>
        <v>12554.63520359593</v>
      </c>
      <c r="BF104" s="661">
        <f>'Market Prices'!AT86</f>
        <v>9606.3783866369322</v>
      </c>
      <c r="BG104" s="428">
        <f>AVERAGE(BC104:BF104)</f>
        <v>11278.735416418027</v>
      </c>
      <c r="BH104" s="758">
        <f>'Market Prices'!AU86</f>
        <v>11517.869933034026</v>
      </c>
      <c r="BI104" s="660">
        <f>'Market Prices'!AV86</f>
        <v>11100.28806709878</v>
      </c>
      <c r="BJ104" s="660">
        <f>'Market Prices'!AW86</f>
        <v>12370.985991404368</v>
      </c>
      <c r="BK104" s="661">
        <f>'Market Prices'!AX86</f>
        <v>9465.8562771442867</v>
      </c>
      <c r="BL104" s="428">
        <f>AVERAGE(BH104:BK104)</f>
        <v>11113.750067170366</v>
      </c>
      <c r="BM104" s="758">
        <f>'Market Prices'!AY86</f>
        <v>14600</v>
      </c>
      <c r="BN104" s="660">
        <f>'Market Prices'!AZ86</f>
        <v>14600</v>
      </c>
      <c r="BO104" s="660">
        <f>'Market Prices'!BA86</f>
        <v>14600</v>
      </c>
      <c r="BP104" s="661">
        <f>'Market Prices'!BB86</f>
        <v>14600</v>
      </c>
      <c r="BQ104" s="759">
        <f>AVERAGE(BM104:BP104)</f>
        <v>14600</v>
      </c>
      <c r="BR104" s="428"/>
      <c r="BS104" s="428"/>
      <c r="BT104" s="428"/>
      <c r="BU104" s="232"/>
      <c r="BV104" s="40"/>
      <c r="BW104" s="40"/>
      <c r="BX104" s="40"/>
      <c r="BY104" s="40"/>
      <c r="BZ104" s="40"/>
      <c r="CA104" s="40"/>
      <c r="CB104" s="40"/>
      <c r="CC104" s="40"/>
      <c r="CD104" s="40"/>
      <c r="CE104" s="40"/>
      <c r="CF104" s="40"/>
      <c r="CG104" s="40"/>
      <c r="CH104" s="40"/>
      <c r="CI104" s="40"/>
      <c r="CJ104" s="40"/>
      <c r="CK104" s="40"/>
      <c r="CL104" s="40"/>
      <c r="CM104" s="40"/>
      <c r="CN104" s="40"/>
      <c r="CO104" s="40"/>
      <c r="CP104" s="40"/>
      <c r="CQ104" s="40"/>
      <c r="CR104" s="40"/>
      <c r="CS104" s="40"/>
      <c r="CT104" s="823"/>
      <c r="CU104" s="232"/>
      <c r="CV104" s="232"/>
      <c r="CW104" s="232"/>
      <c r="CX104" s="232"/>
      <c r="CY104" s="232"/>
      <c r="CZ104" s="40"/>
      <c r="DA104" s="40"/>
      <c r="DB104" s="40"/>
      <c r="DC104" s="40"/>
      <c r="DD104" s="40"/>
      <c r="DE104" s="40"/>
      <c r="DF104" s="232"/>
      <c r="DG104" s="232"/>
      <c r="DH104" s="232"/>
      <c r="DI104" s="232"/>
      <c r="DJ104" s="232"/>
      <c r="DK104" s="232"/>
      <c r="DL104" s="232"/>
      <c r="DM104" s="232"/>
      <c r="DN104" s="232"/>
    </row>
    <row r="105" spans="1:118">
      <c r="A105" s="40"/>
      <c r="B105" s="1"/>
      <c r="C105" s="564" t="s">
        <v>1078</v>
      </c>
      <c r="D105" s="1"/>
      <c r="E105" s="273"/>
      <c r="F105" s="3"/>
      <c r="G105" s="3"/>
      <c r="H105" s="274"/>
      <c r="I105" s="28"/>
      <c r="J105" s="273"/>
      <c r="K105" s="3"/>
      <c r="L105" s="3"/>
      <c r="M105" s="274"/>
      <c r="N105" s="1"/>
      <c r="O105" s="273"/>
      <c r="P105" s="3"/>
      <c r="Q105" s="3"/>
      <c r="R105" s="274"/>
      <c r="S105" s="1"/>
      <c r="T105" s="758"/>
      <c r="U105" s="660"/>
      <c r="V105" s="660"/>
      <c r="W105" s="661"/>
      <c r="X105" s="428"/>
      <c r="Y105" s="758">
        <f>+'Market Prices'!S104</f>
        <v>7790.1968554542191</v>
      </c>
      <c r="Z105" s="660">
        <f>+'Market Prices'!T104</f>
        <v>5959.6264930636416</v>
      </c>
      <c r="AA105" s="660">
        <f>+'Market Prices'!U104</f>
        <v>6840.5607736665088</v>
      </c>
      <c r="AB105" s="661">
        <f>+'Market Prices'!V104</f>
        <v>6525.372318959221</v>
      </c>
      <c r="AC105" s="428">
        <f>AVERAGE(Y105:AB105)</f>
        <v>6778.9391102858972</v>
      </c>
      <c r="AD105" s="758">
        <f>+'Market Prices'!W104</f>
        <v>9013.981977331181</v>
      </c>
      <c r="AE105" s="660">
        <f>+'Market Prices'!Y104</f>
        <v>6191.277648456301</v>
      </c>
      <c r="AF105" s="660">
        <f>+'Market Prices'!Y104</f>
        <v>6191.277648456301</v>
      </c>
      <c r="AG105" s="661">
        <f>+'Market Prices'!Z104</f>
        <v>6850.9884407370319</v>
      </c>
      <c r="AH105" s="428">
        <f>AVERAGE(AD105:AG105)</f>
        <v>7061.8814287452042</v>
      </c>
      <c r="AI105" s="758">
        <f>+'Market Prices'!AA104</f>
        <v>10265.602875410354</v>
      </c>
      <c r="AJ105" s="660">
        <f>+'Market Prices'!AB104</f>
        <v>6715.6093086897836</v>
      </c>
      <c r="AK105" s="660">
        <f>+'Market Prices'!AC104</f>
        <v>7664.0265319712089</v>
      </c>
      <c r="AL105" s="661">
        <f>+'Market Prices'!AD104</f>
        <v>9225.6308062235858</v>
      </c>
      <c r="AM105" s="428">
        <f>AVERAGE(AI105:AL105)</f>
        <v>8467.717380573733</v>
      </c>
      <c r="AN105" s="758">
        <f>+'Market Prices'!AE104</f>
        <v>9673.625167828357</v>
      </c>
      <c r="AO105" s="660">
        <f>+'Market Prices'!AF104</f>
        <v>8570.6534203356659</v>
      </c>
      <c r="AP105" s="660">
        <f>+'Market Prices'!AG104</f>
        <v>7452.1855165401403</v>
      </c>
      <c r="AQ105" s="661">
        <f>+'Market Prices'!AH104</f>
        <v>7408.3223776683062</v>
      </c>
      <c r="AR105" s="428">
        <f>AVERAGE(AN105:AQ105)</f>
        <v>8276.1966205931167</v>
      </c>
      <c r="AS105" s="758">
        <f>+'Market Prices'!AI104</f>
        <v>7667.4563966200603</v>
      </c>
      <c r="AT105" s="660">
        <f>+'Market Prices'!AJ104</f>
        <v>6356.9074135752089</v>
      </c>
      <c r="AU105" s="660">
        <f>+'Market Prices'!AK104</f>
        <v>6365.0018649239109</v>
      </c>
      <c r="AV105" s="661">
        <f>+'Market Prices'!AM104</f>
        <v>8227.0666796054647</v>
      </c>
      <c r="AW105" s="428">
        <f>AVERAGE(AS105:AV105)</f>
        <v>7154.1080886811615</v>
      </c>
      <c r="AX105" s="758">
        <f>+'Market Prices'!AM104</f>
        <v>8227.0666796054647</v>
      </c>
      <c r="AY105" s="660">
        <f>+'Market Prices'!AN104</f>
        <v>7395.1984077621601</v>
      </c>
      <c r="AZ105" s="660">
        <f>+'Market Prices'!AO104</f>
        <v>7619.8934280639423</v>
      </c>
      <c r="BA105" s="661">
        <f>+'Market Prices'!AP104</f>
        <v>7070.6490522688118</v>
      </c>
      <c r="BB105" s="428">
        <f>AVERAGE(AX105:BA105)</f>
        <v>7578.201891925095</v>
      </c>
      <c r="BC105" s="758">
        <f>+'Market Prices'!AQ104</f>
        <v>9417.0466461005399</v>
      </c>
      <c r="BD105" s="660">
        <f>+'Market Prices'!AR104</f>
        <v>7556.0461755771757</v>
      </c>
      <c r="BE105" s="660">
        <f>+'Market Prices'!AS104</f>
        <v>7734.2070510855065</v>
      </c>
      <c r="BF105" s="661">
        <f>+'Market Prices'!AT104</f>
        <v>6746.2524824277207</v>
      </c>
      <c r="BG105" s="428">
        <f>AVERAGE(BC105:BF105)</f>
        <v>7863.3880887977357</v>
      </c>
      <c r="BH105" s="758">
        <f>+'Market Prices'!AU104</f>
        <v>9420.6351919674853</v>
      </c>
      <c r="BI105" s="660">
        <f>+'Market Prices'!AV104</f>
        <v>7558.9255515952455</v>
      </c>
      <c r="BJ105" s="660">
        <f>+'Market Prices'!AW104</f>
        <v>7737.1543187151901</v>
      </c>
      <c r="BK105" s="661">
        <f>+'Market Prices'!AX104</f>
        <v>6748.8232710595485</v>
      </c>
      <c r="BL105" s="428">
        <f>AVERAGE(BH105:BK105)</f>
        <v>7866.3845833343676</v>
      </c>
      <c r="BM105" s="758">
        <f>+'Market Prices'!AY104</f>
        <v>8439.627676979424</v>
      </c>
      <c r="BN105" s="660">
        <f>+'Market Prices'!AZ104</f>
        <v>8439.627676979424</v>
      </c>
      <c r="BO105" s="660">
        <f>+'Market Prices'!BA104</f>
        <v>8439.627676979424</v>
      </c>
      <c r="BP105" s="661">
        <f>+'Market Prices'!BB104</f>
        <v>8439.627676979424</v>
      </c>
      <c r="BQ105" s="759">
        <f>AVERAGE(BM105:BP105)</f>
        <v>8439.627676979424</v>
      </c>
      <c r="BR105" s="428"/>
      <c r="BS105" s="428"/>
      <c r="BT105" s="428"/>
      <c r="BU105" s="232"/>
      <c r="BV105" s="40"/>
      <c r="BW105" s="40"/>
      <c r="BX105" s="40"/>
      <c r="BY105" s="40"/>
      <c r="BZ105" s="40"/>
      <c r="CA105" s="40"/>
      <c r="CB105" s="40"/>
      <c r="CC105" s="40"/>
      <c r="CD105" s="40"/>
      <c r="CE105" s="40"/>
      <c r="CF105" s="40"/>
      <c r="CG105" s="40"/>
      <c r="CH105" s="40"/>
      <c r="CI105" s="40"/>
      <c r="CJ105" s="40"/>
      <c r="CK105" s="40"/>
      <c r="CL105" s="40"/>
      <c r="CM105" s="40"/>
      <c r="CN105" s="40"/>
      <c r="CO105" s="40"/>
      <c r="CP105" s="40"/>
      <c r="CQ105" s="40"/>
      <c r="CR105" s="40"/>
      <c r="CS105" s="40"/>
      <c r="CT105" s="823"/>
      <c r="CU105" s="232"/>
      <c r="CV105" s="232"/>
      <c r="CW105" s="232"/>
      <c r="CX105" s="232"/>
      <c r="CY105" s="232"/>
      <c r="CZ105" s="40"/>
      <c r="DA105" s="40"/>
      <c r="DB105" s="40"/>
      <c r="DC105" s="40"/>
      <c r="DD105" s="40"/>
      <c r="DE105" s="40"/>
      <c r="DF105" s="232"/>
      <c r="DG105" s="232"/>
      <c r="DH105" s="232"/>
      <c r="DI105" s="232"/>
      <c r="DJ105" s="232"/>
      <c r="DK105" s="232"/>
      <c r="DL105" s="232"/>
      <c r="DM105" s="232"/>
      <c r="DN105" s="232"/>
    </row>
    <row r="106" spans="1:118">
      <c r="A106" s="40"/>
      <c r="B106" s="1"/>
      <c r="C106" s="564"/>
      <c r="D106" s="1"/>
      <c r="E106" s="273"/>
      <c r="F106" s="3"/>
      <c r="G106" s="3"/>
      <c r="H106" s="274"/>
      <c r="I106" s="28"/>
      <c r="J106" s="273"/>
      <c r="K106" s="3"/>
      <c r="L106" s="3"/>
      <c r="M106" s="274"/>
      <c r="N106" s="1"/>
      <c r="O106" s="273"/>
      <c r="P106" s="3"/>
      <c r="Q106" s="3"/>
      <c r="R106" s="274"/>
      <c r="S106" s="1"/>
      <c r="T106" s="758"/>
      <c r="U106" s="660"/>
      <c r="V106" s="660"/>
      <c r="W106" s="661"/>
      <c r="X106" s="428"/>
      <c r="Y106" s="758"/>
      <c r="Z106" s="660"/>
      <c r="AA106" s="660"/>
      <c r="AB106" s="661"/>
      <c r="AC106" s="428"/>
      <c r="AD106" s="758"/>
      <c r="AE106" s="660"/>
      <c r="AF106" s="660"/>
      <c r="AG106" s="661"/>
      <c r="AH106" s="428"/>
      <c r="AI106" s="758"/>
      <c r="AJ106" s="660"/>
      <c r="AK106" s="660"/>
      <c r="AL106" s="661"/>
      <c r="AM106" s="428"/>
      <c r="AN106" s="758"/>
      <c r="AO106" s="660"/>
      <c r="AP106" s="660"/>
      <c r="AQ106" s="661"/>
      <c r="AR106" s="428"/>
      <c r="AS106" s="758"/>
      <c r="AT106" s="660"/>
      <c r="AU106" s="660"/>
      <c r="AV106" s="661"/>
      <c r="AW106" s="428"/>
      <c r="AX106" s="758"/>
      <c r="AY106" s="660"/>
      <c r="AZ106" s="660"/>
      <c r="BA106" s="661"/>
      <c r="BB106" s="428"/>
      <c r="BC106" s="758"/>
      <c r="BD106" s="660"/>
      <c r="BE106" s="660"/>
      <c r="BF106" s="661"/>
      <c r="BG106" s="428"/>
      <c r="BH106" s="758"/>
      <c r="BI106" s="660"/>
      <c r="BJ106" s="660"/>
      <c r="BK106" s="661"/>
      <c r="BL106" s="428"/>
      <c r="BM106" s="758"/>
      <c r="BN106" s="660"/>
      <c r="BO106" s="660"/>
      <c r="BP106" s="661"/>
      <c r="BQ106" s="759"/>
      <c r="BR106" s="428"/>
      <c r="BS106" s="428"/>
      <c r="BT106" s="428"/>
      <c r="BU106" s="232"/>
      <c r="BV106" s="40"/>
      <c r="BW106" s="40"/>
      <c r="BX106" s="40"/>
      <c r="BY106" s="40"/>
      <c r="BZ106" s="40"/>
      <c r="CA106" s="40"/>
      <c r="CB106" s="40"/>
      <c r="CC106" s="40"/>
      <c r="CD106" s="40"/>
      <c r="CE106" s="40"/>
      <c r="CF106" s="40"/>
      <c r="CG106" s="40"/>
      <c r="CH106" s="40"/>
      <c r="CI106" s="40"/>
      <c r="CJ106" s="40"/>
      <c r="CK106" s="40"/>
      <c r="CL106" s="40"/>
      <c r="CM106" s="40"/>
      <c r="CN106" s="40"/>
      <c r="CO106" s="40"/>
      <c r="CP106" s="40"/>
      <c r="CQ106" s="40"/>
      <c r="CR106" s="40"/>
      <c r="CS106" s="40"/>
      <c r="CT106" s="823"/>
      <c r="CU106" s="232"/>
      <c r="CV106" s="232"/>
      <c r="CW106" s="232"/>
      <c r="CX106" s="232"/>
      <c r="CY106" s="232"/>
      <c r="CZ106" s="40"/>
      <c r="DA106" s="40"/>
      <c r="DB106" s="40"/>
      <c r="DC106" s="40"/>
      <c r="DD106" s="40"/>
      <c r="DE106" s="40"/>
      <c r="DF106" s="232"/>
      <c r="DG106" s="232"/>
      <c r="DH106" s="232"/>
      <c r="DI106" s="232"/>
      <c r="DJ106" s="232"/>
      <c r="DK106" s="232"/>
      <c r="DL106" s="232"/>
      <c r="DM106" s="232"/>
      <c r="DN106" s="232"/>
    </row>
    <row r="107" spans="1:118">
      <c r="A107" s="40"/>
      <c r="B107" s="1"/>
      <c r="C107" s="1948" t="s">
        <v>505</v>
      </c>
      <c r="D107" s="1"/>
      <c r="E107" s="273"/>
      <c r="F107" s="3"/>
      <c r="G107" s="3"/>
      <c r="H107" s="274"/>
      <c r="I107" s="28"/>
      <c r="J107" s="273"/>
      <c r="K107" s="3"/>
      <c r="L107" s="3"/>
      <c r="M107" s="274"/>
      <c r="N107" s="1"/>
      <c r="O107" s="273"/>
      <c r="P107" s="3"/>
      <c r="Q107" s="3"/>
      <c r="R107" s="274"/>
      <c r="S107" s="1"/>
      <c r="T107" s="758"/>
      <c r="U107" s="660"/>
      <c r="V107" s="660"/>
      <c r="W107" s="661"/>
      <c r="X107" s="428"/>
      <c r="Y107" s="758">
        <f>'Market Prices'!S85</f>
        <v>10840.629181716851</v>
      </c>
      <c r="Z107" s="660">
        <f>'Market Prices'!T85</f>
        <v>10433.524268414367</v>
      </c>
      <c r="AA107" s="660">
        <f>'Market Prices'!U85</f>
        <v>11783.624476286885</v>
      </c>
      <c r="AB107" s="661">
        <f>'Market Prices'!V85</f>
        <v>9410.7450433957438</v>
      </c>
      <c r="AC107" s="428">
        <f>AVERAGE(Y107:AB107)</f>
        <v>10617.130742453461</v>
      </c>
      <c r="AD107" s="758">
        <f>'Market Prices'!W85</f>
        <v>15318.186620328099</v>
      </c>
      <c r="AE107" s="660">
        <f>'Market Prices'!Y85</f>
        <v>9630.6910356468015</v>
      </c>
      <c r="AF107" s="660">
        <f>'Market Prices'!Y85</f>
        <v>9630.6910356468015</v>
      </c>
      <c r="AG107" s="661">
        <f>'Market Prices'!Z85</f>
        <v>10341.789794005559</v>
      </c>
      <c r="AH107" s="428">
        <f>AVERAGE(AD107:AG107)</f>
        <v>11230.339621406816</v>
      </c>
      <c r="AI107" s="758">
        <f>'Market Prices'!AA85</f>
        <v>14856.332241024871</v>
      </c>
      <c r="AJ107" s="660">
        <f>'Market Prices'!AB85</f>
        <v>12927.939921820258</v>
      </c>
      <c r="AK107" s="660">
        <f>'Market Prices'!AC85</f>
        <v>12745.79802165131</v>
      </c>
      <c r="AL107" s="661">
        <f>'Market Prices'!AD85</f>
        <v>14436.141757625302</v>
      </c>
      <c r="AM107" s="428">
        <f>AVERAGE(AI107:AL107)</f>
        <v>13741.552985530434</v>
      </c>
      <c r="AN107" s="758">
        <f>'Market Prices'!AE85</f>
        <v>13712.372915511156</v>
      </c>
      <c r="AO107" s="660">
        <f>'Market Prices'!AF85</f>
        <v>14788.269551509478</v>
      </c>
      <c r="AP107" s="660">
        <f>'Market Prices'!AG85</f>
        <v>13349.72491644476</v>
      </c>
      <c r="AQ107" s="661">
        <f>'Market Prices'!AH85</f>
        <v>10706.4109123743</v>
      </c>
      <c r="AR107" s="428">
        <f>AVERAGE(AN107:AQ107)</f>
        <v>13139.194573959921</v>
      </c>
      <c r="AS107" s="758">
        <f>'Market Prices'!AI85</f>
        <v>10324.076252256546</v>
      </c>
      <c r="AT107" s="660">
        <f>'Market Prices'!AJ85</f>
        <v>10803.742971428574</v>
      </c>
      <c r="AU107" s="660">
        <f>'Market Prices'!AK85</f>
        <v>12479.580188793305</v>
      </c>
      <c r="AV107" s="661">
        <f>'Market Prices'!AM85</f>
        <v>12354.403745497164</v>
      </c>
      <c r="AW107" s="428">
        <f>AVERAGE(AS107:AV107)</f>
        <v>11490.450789493896</v>
      </c>
      <c r="AX107" s="758">
        <f>'Market Prices'!AM85</f>
        <v>12354.403745497164</v>
      </c>
      <c r="AY107" s="660">
        <f>'Market Prices'!AN85</f>
        <v>12625.948501057348</v>
      </c>
      <c r="AZ107" s="660">
        <f>'Market Prices'!AO85</f>
        <v>12901.124925991713</v>
      </c>
      <c r="BA107" s="661">
        <f>'Market Prices'!AP85</f>
        <v>11585.295807007466</v>
      </c>
      <c r="BB107" s="428">
        <f>AVERAGE(AX107:BA107)</f>
        <v>12366.693244888422</v>
      </c>
      <c r="BC107" s="758">
        <f>'Market Prices'!AQ85</f>
        <v>11887.424379313399</v>
      </c>
      <c r="BD107" s="660">
        <f>'Market Prices'!AR85</f>
        <v>11870.343784498289</v>
      </c>
      <c r="BE107" s="660">
        <f>'Market Prices'!AS85</f>
        <v>12919.05721085627</v>
      </c>
      <c r="BF107" s="661">
        <f>'Market Prices'!AT85</f>
        <v>12181.915144547824</v>
      </c>
      <c r="BG107" s="428">
        <f>AVERAGE(BC107:BF107)</f>
        <v>12214.685129803944</v>
      </c>
      <c r="BH107" s="758">
        <f>'Market Prices'!AU85</f>
        <v>11741.640116388797</v>
      </c>
      <c r="BI107" s="660">
        <f>'Market Prices'!AV85</f>
        <v>11724.768993520336</v>
      </c>
      <c r="BJ107" s="660">
        <f>'Market Prices'!AW85</f>
        <v>12760.621272753231</v>
      </c>
      <c r="BK107" s="661">
        <f>'Market Prices'!AX85</f>
        <v>12032.519323915016</v>
      </c>
      <c r="BL107" s="428">
        <f>AVERAGE(BH107:BK107)</f>
        <v>12064.887426644345</v>
      </c>
      <c r="BM107" s="758">
        <f>'Market Prices'!AY85</f>
        <v>15067.5</v>
      </c>
      <c r="BN107" s="660">
        <f>'Market Prices'!AZ85</f>
        <v>15067.5</v>
      </c>
      <c r="BO107" s="660">
        <f>'Market Prices'!BA85</f>
        <v>15067.5</v>
      </c>
      <c r="BP107" s="661">
        <f>'Market Prices'!BB85</f>
        <v>15067.5</v>
      </c>
      <c r="BQ107" s="759">
        <f>AVERAGE(BM107:BP107)</f>
        <v>15067.5</v>
      </c>
      <c r="BR107" s="428"/>
      <c r="BS107" s="428"/>
      <c r="BT107" s="428"/>
      <c r="BU107" s="232"/>
      <c r="BV107" s="40"/>
      <c r="BW107" s="40"/>
      <c r="BX107" s="40"/>
      <c r="BY107" s="40"/>
      <c r="BZ107" s="40"/>
      <c r="CA107" s="40"/>
      <c r="CB107" s="40"/>
      <c r="CC107" s="40"/>
      <c r="CD107" s="40"/>
      <c r="CE107" s="40"/>
      <c r="CF107" s="40"/>
      <c r="CG107" s="40"/>
      <c r="CH107" s="40"/>
      <c r="CI107" s="40"/>
      <c r="CJ107" s="40"/>
      <c r="CK107" s="40"/>
      <c r="CL107" s="40"/>
      <c r="CM107" s="40"/>
      <c r="CN107" s="40"/>
      <c r="CO107" s="40"/>
      <c r="CP107" s="40"/>
      <c r="CQ107" s="40"/>
      <c r="CR107" s="40"/>
      <c r="CS107" s="40"/>
      <c r="CT107" s="823"/>
      <c r="CU107" s="232"/>
      <c r="CV107" s="232"/>
      <c r="CW107" s="232"/>
      <c r="CX107" s="232"/>
      <c r="CY107" s="232"/>
      <c r="CZ107" s="40"/>
      <c r="DA107" s="40"/>
      <c r="DB107" s="40"/>
      <c r="DC107" s="40"/>
      <c r="DD107" s="40"/>
      <c r="DE107" s="40"/>
      <c r="DF107" s="232"/>
      <c r="DG107" s="232"/>
      <c r="DH107" s="232"/>
      <c r="DI107" s="232"/>
      <c r="DJ107" s="232"/>
      <c r="DK107" s="232"/>
      <c r="DL107" s="232"/>
      <c r="DM107" s="232"/>
      <c r="DN107" s="232"/>
    </row>
    <row r="108" spans="1:118">
      <c r="A108" s="40"/>
      <c r="B108" s="1"/>
      <c r="C108" s="1948" t="s">
        <v>506</v>
      </c>
      <c r="D108" s="1"/>
      <c r="E108" s="273"/>
      <c r="F108" s="3"/>
      <c r="G108" s="3"/>
      <c r="H108" s="274"/>
      <c r="I108" s="28"/>
      <c r="J108" s="273"/>
      <c r="K108" s="3"/>
      <c r="L108" s="3"/>
      <c r="M108" s="274"/>
      <c r="N108" s="1"/>
      <c r="O108" s="273"/>
      <c r="P108" s="3"/>
      <c r="Q108" s="3"/>
      <c r="R108" s="274"/>
      <c r="S108" s="1"/>
      <c r="T108" s="758"/>
      <c r="U108" s="660"/>
      <c r="V108" s="660"/>
      <c r="W108" s="661"/>
      <c r="X108" s="428"/>
      <c r="Y108" s="758">
        <f>+'Market Prices'!S103</f>
        <v>8794.3099226617105</v>
      </c>
      <c r="Z108" s="660">
        <f>+'Market Prices'!T103</f>
        <v>7170.3250164574647</v>
      </c>
      <c r="AA108" s="660">
        <f>+'Market Prices'!U103</f>
        <v>7427.6377278135369</v>
      </c>
      <c r="AB108" s="661">
        <f>+'Market Prices'!V103</f>
        <v>7463.0119522202085</v>
      </c>
      <c r="AC108" s="428">
        <f>AVERAGE(Y108:AB108)</f>
        <v>7713.8211547882302</v>
      </c>
      <c r="AD108" s="758">
        <f>+'Market Prices'!W103</f>
        <v>10672.862043942654</v>
      </c>
      <c r="AE108" s="660">
        <f>+'Market Prices'!Y103</f>
        <v>6693.0721564774667</v>
      </c>
      <c r="AF108" s="660">
        <f>+'Market Prices'!Y103</f>
        <v>6693.0721564774667</v>
      </c>
      <c r="AG108" s="661">
        <f>+'Market Prices'!Z103</f>
        <v>7928.0928377524915</v>
      </c>
      <c r="AH108" s="428">
        <f>AVERAGE(AD108:AG108)</f>
        <v>7996.77479866252</v>
      </c>
      <c r="AI108" s="758">
        <f>+'Market Prices'!AA103</f>
        <v>11594.576778630564</v>
      </c>
      <c r="AJ108" s="660">
        <f>+'Market Prices'!AB103</f>
        <v>8884.7428686240874</v>
      </c>
      <c r="AK108" s="660">
        <f>+'Market Prices'!AC103</f>
        <v>8259.4626536542146</v>
      </c>
      <c r="AL108" s="661">
        <f>+'Market Prices'!AD103</f>
        <v>10311.27373307398</v>
      </c>
      <c r="AM108" s="428">
        <f>AVERAGE(AI108:AL108)</f>
        <v>9762.5140084957129</v>
      </c>
      <c r="AN108" s="758">
        <f>+'Market Prices'!AE103</f>
        <v>11099.393407137786</v>
      </c>
      <c r="AO108" s="660">
        <f>+'Market Prices'!AF103</f>
        <v>9992.6370455412834</v>
      </c>
      <c r="AP108" s="660">
        <f>+'Market Prices'!AG103</f>
        <v>7829.6864609595132</v>
      </c>
      <c r="AQ108" s="661">
        <f>+'Market Prices'!AH103</f>
        <v>8265.1158346907469</v>
      </c>
      <c r="AR108" s="428">
        <f>AVERAGE(AN108:AQ108)</f>
        <v>9296.7081870823331</v>
      </c>
      <c r="AS108" s="758">
        <f>+'Market Prices'!AI103</f>
        <v>8517.9614097697577</v>
      </c>
      <c r="AT108" s="660">
        <f>+'Market Prices'!AJ103</f>
        <v>7365.7185946531754</v>
      </c>
      <c r="AU108" s="660">
        <f>+'Market Prices'!AK103</f>
        <v>7744.3815502968346</v>
      </c>
      <c r="AV108" s="661">
        <f>+'Market Prices'!AM103</f>
        <v>10767.751699666062</v>
      </c>
      <c r="AW108" s="428">
        <f>AVERAGE(AS108:AV108)</f>
        <v>8598.9533135964575</v>
      </c>
      <c r="AX108" s="758">
        <f>+'Market Prices'!AM103</f>
        <v>10767.751699666062</v>
      </c>
      <c r="AY108" s="660">
        <f>+'Market Prices'!AN103</f>
        <v>9068.2920761288733</v>
      </c>
      <c r="AZ108" s="660">
        <f>+'Market Prices'!AO103</f>
        <v>8780.343398460629</v>
      </c>
      <c r="BA108" s="661">
        <f>+'Market Prices'!AP103</f>
        <v>8558.2998276852377</v>
      </c>
      <c r="BB108" s="428">
        <f>AVERAGE(AX108:BA108)</f>
        <v>9293.6717504852004</v>
      </c>
      <c r="BC108" s="758">
        <f>+'Market Prices'!AQ103</f>
        <v>9141.5772569286164</v>
      </c>
      <c r="BD108" s="660">
        <f>+'Market Prices'!AR103</f>
        <v>8061.5434396640903</v>
      </c>
      <c r="BE108" s="660">
        <f>+'Market Prices'!AS103</f>
        <v>8098.0895888361283</v>
      </c>
      <c r="BF108" s="661">
        <f>+'Market Prices'!AT103</f>
        <v>9879.7162281589626</v>
      </c>
      <c r="BG108" s="428">
        <f>AVERAGE(BC108:BF108)</f>
        <v>8795.2316283969485</v>
      </c>
      <c r="BH108" s="758">
        <f>+'Market Prices'!AU103</f>
        <v>8972.5976330324702</v>
      </c>
      <c r="BI108" s="660">
        <f>+'Market Prices'!AV103</f>
        <v>7912.5279535865184</v>
      </c>
      <c r="BJ108" s="660">
        <f>+'Market Prices'!AW103</f>
        <v>7948.3985569125425</v>
      </c>
      <c r="BK108" s="661">
        <f>+'Market Prices'!AX103</f>
        <v>9697.0923017277073</v>
      </c>
      <c r="BL108" s="428">
        <f>AVERAGE(BH108:BK108)</f>
        <v>8632.6541113148105</v>
      </c>
      <c r="BM108" s="758">
        <f>+'Market Prices'!AY103</f>
        <v>9237.3939264286273</v>
      </c>
      <c r="BN108" s="660">
        <f>+'Market Prices'!AZ103</f>
        <v>9237.3939264286273</v>
      </c>
      <c r="BO108" s="660">
        <f>+'Market Prices'!BA103</f>
        <v>9237.3939264286273</v>
      </c>
      <c r="BP108" s="661">
        <f>+'Market Prices'!BB103</f>
        <v>9237.3939264286273</v>
      </c>
      <c r="BQ108" s="759">
        <f>AVERAGE(BM108:BP108)</f>
        <v>9237.3939264286273</v>
      </c>
      <c r="BR108" s="428"/>
      <c r="BS108" s="428"/>
      <c r="BT108" s="428"/>
      <c r="BU108" s="232"/>
      <c r="BV108" s="40"/>
      <c r="BW108" s="40"/>
      <c r="BX108" s="40"/>
      <c r="BY108" s="40"/>
      <c r="BZ108" s="40"/>
      <c r="CA108" s="40"/>
      <c r="CB108" s="40"/>
      <c r="CC108" s="40"/>
      <c r="CD108" s="40"/>
      <c r="CE108" s="40"/>
      <c r="CF108" s="40"/>
      <c r="CG108" s="40"/>
      <c r="CH108" s="40"/>
      <c r="CI108" s="40"/>
      <c r="CJ108" s="40"/>
      <c r="CK108" s="40"/>
      <c r="CL108" s="40"/>
      <c r="CM108" s="40"/>
      <c r="CN108" s="40"/>
      <c r="CO108" s="40"/>
      <c r="CP108" s="40"/>
      <c r="CQ108" s="40"/>
      <c r="CR108" s="40"/>
      <c r="CS108" s="40"/>
      <c r="CT108" s="823"/>
      <c r="CU108" s="232"/>
      <c r="CV108" s="232"/>
      <c r="CW108" s="232"/>
      <c r="CX108" s="232"/>
      <c r="CY108" s="232"/>
      <c r="CZ108" s="40"/>
      <c r="DA108" s="40"/>
      <c r="DB108" s="40"/>
      <c r="DC108" s="40"/>
      <c r="DD108" s="40"/>
      <c r="DE108" s="40"/>
      <c r="DF108" s="232"/>
      <c r="DG108" s="232"/>
      <c r="DH108" s="232"/>
      <c r="DI108" s="232"/>
      <c r="DJ108" s="232"/>
      <c r="DK108" s="232"/>
      <c r="DL108" s="232"/>
      <c r="DM108" s="232"/>
      <c r="DN108" s="232"/>
    </row>
    <row r="109" spans="1:118">
      <c r="A109" s="40"/>
      <c r="B109" s="1"/>
      <c r="C109" s="564"/>
      <c r="D109" s="1"/>
      <c r="E109" s="273"/>
      <c r="F109" s="3"/>
      <c r="G109" s="3"/>
      <c r="H109" s="274"/>
      <c r="I109" s="28"/>
      <c r="J109" s="273"/>
      <c r="K109" s="3"/>
      <c r="L109" s="3"/>
      <c r="M109" s="274"/>
      <c r="N109" s="1"/>
      <c r="O109" s="273"/>
      <c r="P109" s="3"/>
      <c r="Q109" s="3"/>
      <c r="R109" s="274"/>
      <c r="S109" s="1"/>
      <c r="T109" s="758"/>
      <c r="U109" s="660"/>
      <c r="V109" s="660"/>
      <c r="W109" s="661"/>
      <c r="X109" s="428"/>
      <c r="Y109" s="758"/>
      <c r="Z109" s="660"/>
      <c r="AA109" s="660"/>
      <c r="AB109" s="661"/>
      <c r="AC109" s="428"/>
      <c r="AD109" s="758"/>
      <c r="AE109" s="660"/>
      <c r="AF109" s="660"/>
      <c r="AG109" s="661"/>
      <c r="AH109" s="428"/>
      <c r="AI109" s="758"/>
      <c r="AJ109" s="660"/>
      <c r="AK109" s="660"/>
      <c r="AL109" s="661"/>
      <c r="AM109" s="428"/>
      <c r="AN109" s="758"/>
      <c r="AO109" s="660"/>
      <c r="AP109" s="660"/>
      <c r="AQ109" s="661"/>
      <c r="AR109" s="428"/>
      <c r="AS109" s="758"/>
      <c r="AT109" s="660"/>
      <c r="AU109" s="660"/>
      <c r="AV109" s="661"/>
      <c r="AW109" s="428"/>
      <c r="AX109" s="758"/>
      <c r="AY109" s="660"/>
      <c r="AZ109" s="660"/>
      <c r="BA109" s="661"/>
      <c r="BB109" s="428"/>
      <c r="BC109" s="758"/>
      <c r="BD109" s="660"/>
      <c r="BE109" s="660"/>
      <c r="BF109" s="661"/>
      <c r="BG109" s="428"/>
      <c r="BH109" s="758"/>
      <c r="BI109" s="660"/>
      <c r="BJ109" s="660"/>
      <c r="BK109" s="661"/>
      <c r="BL109" s="428"/>
      <c r="BM109" s="758"/>
      <c r="BN109" s="660"/>
      <c r="BO109" s="660"/>
      <c r="BP109" s="661"/>
      <c r="BQ109" s="759"/>
      <c r="BR109" s="428"/>
      <c r="BS109" s="428"/>
      <c r="BT109" s="428"/>
      <c r="BU109" s="232"/>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823"/>
      <c r="CU109" s="232"/>
      <c r="CV109" s="232"/>
      <c r="CW109" s="232"/>
      <c r="CX109" s="232"/>
      <c r="CY109" s="232"/>
      <c r="CZ109" s="40"/>
      <c r="DA109" s="40"/>
      <c r="DB109" s="40"/>
      <c r="DC109" s="40"/>
      <c r="DD109" s="40"/>
      <c r="DE109" s="40"/>
      <c r="DF109" s="232"/>
      <c r="DG109" s="232"/>
      <c r="DH109" s="232"/>
      <c r="DI109" s="232"/>
      <c r="DJ109" s="232"/>
      <c r="DK109" s="232"/>
      <c r="DL109" s="232"/>
      <c r="DM109" s="232"/>
      <c r="DN109" s="232"/>
    </row>
    <row r="110" spans="1:118">
      <c r="A110" s="40"/>
      <c r="B110" s="1"/>
      <c r="C110" s="564" t="s">
        <v>846</v>
      </c>
      <c r="D110" s="1"/>
      <c r="E110" s="273"/>
      <c r="F110" s="3"/>
      <c r="G110" s="3"/>
      <c r="H110" s="274"/>
      <c r="I110" s="28"/>
      <c r="J110" s="273"/>
      <c r="K110" s="3"/>
      <c r="L110" s="3"/>
      <c r="M110" s="274"/>
      <c r="N110" s="1"/>
      <c r="O110" s="273"/>
      <c r="P110" s="3"/>
      <c r="Q110" s="3"/>
      <c r="R110" s="274"/>
      <c r="S110" s="1"/>
      <c r="T110" s="758"/>
      <c r="U110" s="660"/>
      <c r="V110" s="660"/>
      <c r="W110" s="661"/>
      <c r="X110" s="428"/>
      <c r="Y110" s="758">
        <f>'Market Prices'!S90</f>
        <v>8672.5647979371352</v>
      </c>
      <c r="Z110" s="660">
        <f>'Market Prices'!T90</f>
        <v>9118.2506926640854</v>
      </c>
      <c r="AA110" s="660">
        <f>'Market Prices'!U90</f>
        <v>11096.928780874063</v>
      </c>
      <c r="AB110" s="661">
        <f>'Market Prices'!V90</f>
        <v>9096.6925445307006</v>
      </c>
      <c r="AC110" s="428">
        <f>AVERAGE(Y110:AB110)</f>
        <v>9496.1092040014955</v>
      </c>
      <c r="AD110" s="758">
        <f>'Market Prices'!W90</f>
        <v>8683.9376258463581</v>
      </c>
      <c r="AE110" s="660">
        <f>'Market Prices'!Y90</f>
        <v>9652.6653325011466</v>
      </c>
      <c r="AF110" s="660">
        <f>'Market Prices'!Y90</f>
        <v>9652.6653325011466</v>
      </c>
      <c r="AG110" s="661">
        <f>'Market Prices'!Z90</f>
        <v>8969.1141558179552</v>
      </c>
      <c r="AH110" s="428">
        <f>AVERAGE(AD110:AG110)</f>
        <v>9239.5956116666512</v>
      </c>
      <c r="AI110" s="758">
        <f>'Market Prices'!AA90</f>
        <v>8901.1780605231725</v>
      </c>
      <c r="AJ110" s="660">
        <f>'Market Prices'!AB90</f>
        <v>9551.0277881366437</v>
      </c>
      <c r="AK110" s="660">
        <f>'Market Prices'!AC90</f>
        <v>10951.734672288083</v>
      </c>
      <c r="AL110" s="661">
        <f>'Market Prices'!AD90</f>
        <v>9622.1211658004722</v>
      </c>
      <c r="AM110" s="428">
        <f>AVERAGE(AI110:AL110)</f>
        <v>9756.5154216870942</v>
      </c>
      <c r="AN110" s="758">
        <f>'Market Prices'!AE90</f>
        <v>9084.1070239354394</v>
      </c>
      <c r="AO110" s="660">
        <f>'Market Prices'!AF90</f>
        <v>10170.034204309035</v>
      </c>
      <c r="AP110" s="660">
        <f>'Market Prices'!AG90</f>
        <v>11984.899139776866</v>
      </c>
      <c r="AQ110" s="661">
        <f>'Market Prices'!AH90</f>
        <v>8184.3072380613366</v>
      </c>
      <c r="AR110" s="428">
        <f>AVERAGE(AN110:AQ110)</f>
        <v>9855.8369015206681</v>
      </c>
      <c r="AS110" s="758">
        <f>'Market Prices'!AI90</f>
        <v>7389.8139328772922</v>
      </c>
      <c r="AT110" s="660">
        <f>'Market Prices'!AJ90</f>
        <v>10342.646878449652</v>
      </c>
      <c r="AU110" s="660">
        <f>'Market Prices'!AK90</f>
        <v>13770.107900873485</v>
      </c>
      <c r="AV110" s="661">
        <f>'Market Prices'!AM90</f>
        <v>6781.1777196375069</v>
      </c>
      <c r="AW110" s="428">
        <f>AVERAGE(AS110:AV110)</f>
        <v>9570.9366079594838</v>
      </c>
      <c r="AX110" s="758">
        <f>'Market Prices'!AM90</f>
        <v>6781.1777196375069</v>
      </c>
      <c r="AY110" s="660">
        <f>'Market Prices'!AN90</f>
        <v>13492.720052945069</v>
      </c>
      <c r="AZ110" s="660">
        <f>'Market Prices'!AO90</f>
        <v>17437.576749897667</v>
      </c>
      <c r="BA110" s="661">
        <f>'Market Prices'!AP90</f>
        <v>10429.362880886429</v>
      </c>
      <c r="BB110" s="428">
        <f>AVERAGE(AX110:BA110)</f>
        <v>12035.209350841669</v>
      </c>
      <c r="BC110" s="758">
        <f>'Market Prices'!AQ90</f>
        <v>10014.399767955705</v>
      </c>
      <c r="BD110" s="660">
        <f>'Market Prices'!AR90</f>
        <v>14267.477999292238</v>
      </c>
      <c r="BE110" s="660">
        <f>'Market Prices'!AS90</f>
        <v>19740.487786195776</v>
      </c>
      <c r="BF110" s="661">
        <f>'Market Prices'!AT90</f>
        <v>10827.913239907981</v>
      </c>
      <c r="BG110" s="428">
        <f>AVERAGE(BC110:BF110)</f>
        <v>13712.569698337924</v>
      </c>
      <c r="BH110" s="758">
        <f>'Market Prices'!AU90</f>
        <v>10617.254547706931</v>
      </c>
      <c r="BI110" s="660">
        <f>'Market Prices'!AV90</f>
        <v>15126.362955572005</v>
      </c>
      <c r="BJ110" s="660">
        <f>'Market Prices'!AW90</f>
        <v>20928.841326325935</v>
      </c>
      <c r="BK110" s="661">
        <f>'Market Prices'!AX90</f>
        <v>11479.740548849391</v>
      </c>
      <c r="BL110" s="428">
        <f>AVERAGE(BH110:BK110)</f>
        <v>14538.049844613566</v>
      </c>
      <c r="BM110" s="758">
        <f>'Market Prices'!AY90</f>
        <v>10827.965041019528</v>
      </c>
      <c r="BN110" s="660">
        <f>'Market Prices'!AZ90</f>
        <v>15426.561409520005</v>
      </c>
      <c r="BO110" s="660">
        <f>'Market Prices'!BA90</f>
        <v>21344.196017175243</v>
      </c>
      <c r="BP110" s="661">
        <f>'Market Prices'!BB90</f>
        <v>11707.567976672637</v>
      </c>
      <c r="BQ110" s="759">
        <f>AVERAGE(BM110:BP110)</f>
        <v>14826.572611096854</v>
      </c>
      <c r="BR110" s="428"/>
      <c r="BS110" s="428"/>
      <c r="BT110" s="428"/>
      <c r="BU110" s="232"/>
      <c r="BV110" s="40"/>
      <c r="BW110" s="40"/>
      <c r="BX110" s="40"/>
      <c r="BY110" s="40"/>
      <c r="BZ110" s="40"/>
      <c r="CA110" s="40"/>
      <c r="CB110" s="40"/>
      <c r="CC110" s="40"/>
      <c r="CD110" s="40"/>
      <c r="CE110" s="40"/>
      <c r="CF110" s="40"/>
      <c r="CG110" s="40"/>
      <c r="CH110" s="40"/>
      <c r="CI110" s="40"/>
      <c r="CJ110" s="40"/>
      <c r="CK110" s="40"/>
      <c r="CL110" s="40"/>
      <c r="CM110" s="40"/>
      <c r="CN110" s="40"/>
      <c r="CO110" s="40"/>
      <c r="CP110" s="40"/>
      <c r="CQ110" s="40"/>
      <c r="CR110" s="40"/>
      <c r="CS110" s="40"/>
      <c r="CT110" s="823"/>
      <c r="CU110" s="232"/>
      <c r="CV110" s="232"/>
      <c r="CW110" s="232"/>
      <c r="CX110" s="232"/>
      <c r="CY110" s="232"/>
      <c r="CZ110" s="40"/>
      <c r="DA110" s="40"/>
      <c r="DB110" s="40"/>
      <c r="DC110" s="40"/>
      <c r="DD110" s="40"/>
      <c r="DE110" s="40"/>
      <c r="DF110" s="232"/>
      <c r="DG110" s="232"/>
      <c r="DH110" s="232"/>
      <c r="DI110" s="232"/>
      <c r="DJ110" s="232"/>
      <c r="DK110" s="232"/>
      <c r="DL110" s="232"/>
      <c r="DM110" s="232"/>
      <c r="DN110" s="232"/>
    </row>
    <row r="111" spans="1:118">
      <c r="A111" s="40"/>
      <c r="B111" s="1"/>
      <c r="C111" s="564" t="s">
        <v>847</v>
      </c>
      <c r="D111" s="1"/>
      <c r="E111" s="273"/>
      <c r="F111" s="3"/>
      <c r="G111" s="3"/>
      <c r="H111" s="274"/>
      <c r="I111" s="28"/>
      <c r="J111" s="273"/>
      <c r="K111" s="3"/>
      <c r="L111" s="3"/>
      <c r="M111" s="274"/>
      <c r="N111" s="1"/>
      <c r="O111" s="273"/>
      <c r="P111" s="3"/>
      <c r="Q111" s="3"/>
      <c r="R111" s="274"/>
      <c r="S111" s="1"/>
      <c r="T111" s="758"/>
      <c r="U111" s="660"/>
      <c r="V111" s="660"/>
      <c r="W111" s="661"/>
      <c r="X111" s="428"/>
      <c r="Y111" s="758">
        <f>+'Market Prices'!S108</f>
        <v>7205.7973591784121</v>
      </c>
      <c r="Z111" s="660">
        <f>+'Market Prices'!T108</f>
        <v>6357.537844012214</v>
      </c>
      <c r="AA111" s="660">
        <f>+'Market Prices'!U108</f>
        <v>6423.4820897102254</v>
      </c>
      <c r="AB111" s="661">
        <f>+'Market Prices'!V108</f>
        <v>7229.6977497861471</v>
      </c>
      <c r="AC111" s="428">
        <f>AVERAGE(Y111:AB111)</f>
        <v>6804.1287606717497</v>
      </c>
      <c r="AD111" s="758">
        <f>+'Market Prices'!W108</f>
        <v>6790.8520186587984</v>
      </c>
      <c r="AE111" s="660">
        <f>+'Market Prices'!Y108</f>
        <v>7036.4214757575519</v>
      </c>
      <c r="AF111" s="660">
        <f>+'Market Prices'!Y108</f>
        <v>7036.4214757575519</v>
      </c>
      <c r="AG111" s="661">
        <f>+'Market Prices'!Z108</f>
        <v>6665.5421283905716</v>
      </c>
      <c r="AH111" s="428">
        <f>AVERAGE(AD111:AG111)</f>
        <v>6882.3092746411176</v>
      </c>
      <c r="AI111" s="758">
        <f>+'Market Prices'!AA108</f>
        <v>7686.8419302083648</v>
      </c>
      <c r="AJ111" s="660">
        <f>+'Market Prices'!AB108</f>
        <v>7549.5235262753986</v>
      </c>
      <c r="AK111" s="660">
        <f>+'Market Prices'!AC108</f>
        <v>7870.964586340303</v>
      </c>
      <c r="AL111" s="661">
        <f>+'Market Prices'!AD108</f>
        <v>7947.0472842148192</v>
      </c>
      <c r="AM111" s="428">
        <f>AVERAGE(AI111:AL111)</f>
        <v>7763.5943317597212</v>
      </c>
      <c r="AN111" s="758">
        <f>+'Market Prices'!AE108</f>
        <v>8041.4196020612753</v>
      </c>
      <c r="AO111" s="660">
        <f>+'Market Prices'!AF108</f>
        <v>7252.5359380326045</v>
      </c>
      <c r="AP111" s="660">
        <f>+'Market Prices'!AG108</f>
        <v>7589.9916495196767</v>
      </c>
      <c r="AQ111" s="661">
        <f>+'Market Prices'!AH108</f>
        <v>7054.7193373314476</v>
      </c>
      <c r="AR111" s="428">
        <f>AVERAGE(AN111:AQ111)</f>
        <v>7484.6666317362515</v>
      </c>
      <c r="AS111" s="758">
        <f>+'Market Prices'!AI108</f>
        <v>6592.9726251884122</v>
      </c>
      <c r="AT111" s="660">
        <f>+'Market Prices'!AJ108</f>
        <v>6874.6729901740318</v>
      </c>
      <c r="AU111" s="660">
        <f>+'Market Prices'!AK108</f>
        <v>7377.5104880100744</v>
      </c>
      <c r="AV111" s="661">
        <f>+'Market Prices'!AM108</f>
        <v>6081.509077044283</v>
      </c>
      <c r="AW111" s="428">
        <f>AVERAGE(AS111:AV111)</f>
        <v>6731.6662951042008</v>
      </c>
      <c r="AX111" s="758">
        <f>+'Market Prices'!AM108</f>
        <v>6081.509077044283</v>
      </c>
      <c r="AY111" s="660">
        <f>+'Market Prices'!AN108</f>
        <v>10853.739245532757</v>
      </c>
      <c r="AZ111" s="660">
        <f>+'Market Prices'!AO108</f>
        <v>10437.986082685222</v>
      </c>
      <c r="BA111" s="661">
        <f>+'Market Prices'!AP108</f>
        <v>8954.2936288088658</v>
      </c>
      <c r="BB111" s="428">
        <f>AVERAGE(AX111:BA111)</f>
        <v>9081.8820085177831</v>
      </c>
      <c r="BC111" s="758">
        <f>+'Market Prices'!AQ108</f>
        <v>9568.8121647134849</v>
      </c>
      <c r="BD111" s="660">
        <f>+'Market Prices'!AR108</f>
        <v>12135.565714038688</v>
      </c>
      <c r="BE111" s="660">
        <f>+'Market Prices'!AS108</f>
        <v>12432.237568226872</v>
      </c>
      <c r="BF111" s="661">
        <f>+'Market Prices'!AT108</f>
        <v>9155.3108828586155</v>
      </c>
      <c r="BG111" s="428">
        <f>AVERAGE(BC111:BF111)</f>
        <v>10822.981582459415</v>
      </c>
      <c r="BH111" s="758">
        <f>+'Market Prices'!AU108</f>
        <v>10477.444338766418</v>
      </c>
      <c r="BI111" s="660">
        <f>+'Market Prices'!AV108</f>
        <v>13287.930842363825</v>
      </c>
      <c r="BJ111" s="660">
        <f>+'Market Prices'!AW108</f>
        <v>13612.773966633513</v>
      </c>
      <c r="BK111" s="661">
        <f>+'Market Prices'!AX108</f>
        <v>10024.677935782822</v>
      </c>
      <c r="BL111" s="428">
        <f>AVERAGE(BH111:BK111)</f>
        <v>11850.706770886643</v>
      </c>
      <c r="BM111" s="758">
        <f>+'Market Prices'!AY108</f>
        <v>10870.28187437005</v>
      </c>
      <c r="BN111" s="660">
        <f>+'Market Prices'!AZ108</f>
        <v>13786.143749691979</v>
      </c>
      <c r="BO111" s="660">
        <f>+'Market Prices'!BA108</f>
        <v>14123.166425412372</v>
      </c>
      <c r="BP111" s="661">
        <f>+'Market Prices'!BB108</f>
        <v>10400.539610460706</v>
      </c>
      <c r="BQ111" s="759">
        <f>AVERAGE(BM111:BP111)</f>
        <v>12295.032914983778</v>
      </c>
      <c r="BR111" s="428"/>
      <c r="BS111" s="428"/>
      <c r="BT111" s="428"/>
      <c r="BU111" s="232"/>
      <c r="BV111" s="40"/>
      <c r="BW111" s="40"/>
      <c r="BX111" s="40"/>
      <c r="BY111" s="40"/>
      <c r="BZ111" s="40"/>
      <c r="CA111" s="40"/>
      <c r="CB111" s="40"/>
      <c r="CC111" s="40"/>
      <c r="CD111" s="40"/>
      <c r="CE111" s="40"/>
      <c r="CF111" s="40"/>
      <c r="CG111" s="40"/>
      <c r="CH111" s="40"/>
      <c r="CI111" s="40"/>
      <c r="CJ111" s="40"/>
      <c r="CK111" s="40"/>
      <c r="CL111" s="40"/>
      <c r="CM111" s="40"/>
      <c r="CN111" s="40"/>
      <c r="CO111" s="40"/>
      <c r="CP111" s="40"/>
      <c r="CQ111" s="40"/>
      <c r="CR111" s="40"/>
      <c r="CS111" s="40"/>
      <c r="CT111" s="823"/>
      <c r="CU111" s="232"/>
      <c r="CV111" s="232"/>
      <c r="CW111" s="232"/>
      <c r="CX111" s="232"/>
      <c r="CY111" s="232"/>
      <c r="CZ111" s="40"/>
      <c r="DA111" s="40"/>
      <c r="DB111" s="40"/>
      <c r="DC111" s="40"/>
      <c r="DD111" s="40"/>
      <c r="DE111" s="40"/>
      <c r="DF111" s="232"/>
      <c r="DG111" s="232"/>
      <c r="DH111" s="232"/>
      <c r="DI111" s="232"/>
      <c r="DJ111" s="232"/>
      <c r="DK111" s="232"/>
      <c r="DL111" s="232"/>
      <c r="DM111" s="232"/>
      <c r="DN111" s="232"/>
    </row>
    <row r="112" spans="1:118">
      <c r="A112" s="40"/>
      <c r="B112" s="1"/>
      <c r="C112" s="564"/>
      <c r="D112" s="1"/>
      <c r="E112" s="273"/>
      <c r="F112" s="3"/>
      <c r="G112" s="3"/>
      <c r="H112" s="274"/>
      <c r="I112" s="28"/>
      <c r="J112" s="273"/>
      <c r="K112" s="3"/>
      <c r="L112" s="3"/>
      <c r="M112" s="274"/>
      <c r="N112" s="1"/>
      <c r="O112" s="273"/>
      <c r="P112" s="3"/>
      <c r="Q112" s="3"/>
      <c r="R112" s="274"/>
      <c r="S112" s="1"/>
      <c r="T112" s="758"/>
      <c r="U112" s="660"/>
      <c r="V112" s="660"/>
      <c r="W112" s="661"/>
      <c r="X112" s="428"/>
      <c r="Y112" s="758"/>
      <c r="Z112" s="660"/>
      <c r="AA112" s="660"/>
      <c r="AB112" s="661"/>
      <c r="AC112" s="428"/>
      <c r="AD112" s="758"/>
      <c r="AE112" s="660"/>
      <c r="AF112" s="660"/>
      <c r="AG112" s="661"/>
      <c r="AH112" s="428"/>
      <c r="AI112" s="758"/>
      <c r="AJ112" s="660"/>
      <c r="AK112" s="660"/>
      <c r="AL112" s="661"/>
      <c r="AM112" s="428"/>
      <c r="AN112" s="758"/>
      <c r="AO112" s="660"/>
      <c r="AP112" s="660"/>
      <c r="AQ112" s="661"/>
      <c r="AR112" s="428"/>
      <c r="AS112" s="758"/>
      <c r="AT112" s="660"/>
      <c r="AU112" s="660"/>
      <c r="AV112" s="661"/>
      <c r="AW112" s="428"/>
      <c r="AX112" s="758"/>
      <c r="AY112" s="660"/>
      <c r="AZ112" s="660"/>
      <c r="BA112" s="661"/>
      <c r="BB112" s="428"/>
      <c r="BC112" s="758"/>
      <c r="BD112" s="660"/>
      <c r="BE112" s="660"/>
      <c r="BF112" s="661"/>
      <c r="BG112" s="428"/>
      <c r="BH112" s="758"/>
      <c r="BI112" s="660"/>
      <c r="BJ112" s="660"/>
      <c r="BK112" s="661"/>
      <c r="BL112" s="428"/>
      <c r="BM112" s="758"/>
      <c r="BN112" s="660"/>
      <c r="BO112" s="660"/>
      <c r="BP112" s="661"/>
      <c r="BQ112" s="759"/>
      <c r="BR112" s="428"/>
      <c r="BS112" s="428"/>
      <c r="BT112" s="428"/>
      <c r="BU112" s="232"/>
      <c r="BV112" s="40"/>
      <c r="BW112" s="40"/>
      <c r="BX112" s="40"/>
      <c r="BY112" s="40"/>
      <c r="BZ112" s="40"/>
      <c r="CA112" s="40"/>
      <c r="CB112" s="40"/>
      <c r="CC112" s="40"/>
      <c r="CD112" s="40"/>
      <c r="CE112" s="40"/>
      <c r="CF112" s="40"/>
      <c r="CG112" s="40"/>
      <c r="CH112" s="40"/>
      <c r="CI112" s="40"/>
      <c r="CJ112" s="40"/>
      <c r="CK112" s="40"/>
      <c r="CL112" s="40"/>
      <c r="CM112" s="40"/>
      <c r="CN112" s="40"/>
      <c r="CO112" s="40"/>
      <c r="CP112" s="40"/>
      <c r="CQ112" s="40"/>
      <c r="CR112" s="40"/>
      <c r="CS112" s="40"/>
      <c r="CT112" s="823"/>
      <c r="CU112" s="232"/>
      <c r="CV112" s="232"/>
      <c r="CW112" s="232"/>
      <c r="CX112" s="232"/>
      <c r="CY112" s="232"/>
      <c r="CZ112" s="40"/>
      <c r="DA112" s="40"/>
      <c r="DB112" s="40"/>
      <c r="DC112" s="40"/>
      <c r="DD112" s="40"/>
      <c r="DE112" s="40"/>
      <c r="DF112" s="232"/>
      <c r="DG112" s="232"/>
      <c r="DH112" s="232"/>
      <c r="DI112" s="232"/>
      <c r="DJ112" s="232"/>
      <c r="DK112" s="232"/>
      <c r="DL112" s="232"/>
      <c r="DM112" s="232"/>
      <c r="DN112" s="232"/>
    </row>
    <row r="113" spans="1:118">
      <c r="A113" s="40"/>
      <c r="B113" s="1"/>
      <c r="C113" s="564" t="s">
        <v>821</v>
      </c>
      <c r="D113" s="1"/>
      <c r="E113" s="273"/>
      <c r="F113" s="3"/>
      <c r="G113" s="3"/>
      <c r="H113" s="274"/>
      <c r="I113" s="28"/>
      <c r="J113" s="273"/>
      <c r="K113" s="3"/>
      <c r="L113" s="3"/>
      <c r="M113" s="274"/>
      <c r="N113" s="1"/>
      <c r="O113" s="273"/>
      <c r="P113" s="3"/>
      <c r="Q113" s="3"/>
      <c r="R113" s="274"/>
      <c r="S113" s="1"/>
      <c r="T113" s="758"/>
      <c r="U113" s="660"/>
      <c r="V113" s="660"/>
      <c r="W113" s="661"/>
      <c r="X113" s="428"/>
      <c r="Y113" s="758">
        <f>'Market Prices'!S$88</f>
        <v>8348.2723136297336</v>
      </c>
      <c r="Z113" s="660">
        <f>'Market Prices'!T$88</f>
        <v>8745.2844176240596</v>
      </c>
      <c r="AA113" s="660">
        <f>'Market Prices'!U$88</f>
        <v>10802.091476322017</v>
      </c>
      <c r="AB113" s="661">
        <f>'Market Prices'!V$88</f>
        <v>9346.0347165938329</v>
      </c>
      <c r="AC113" s="428">
        <f>AVERAGE(Y113:AB113)</f>
        <v>9310.4207310424099</v>
      </c>
      <c r="AD113" s="758">
        <f>'Market Prices'!W$88</f>
        <v>11627.729500479627</v>
      </c>
      <c r="AE113" s="660">
        <f>'Market Prices'!Y$88</f>
        <v>9558.6137410440133</v>
      </c>
      <c r="AF113" s="660">
        <f>'Market Prices'!Y$88</f>
        <v>9558.6137410440133</v>
      </c>
      <c r="AG113" s="661">
        <f>'Market Prices'!Z$88</f>
        <v>9127.0058129911431</v>
      </c>
      <c r="AH113" s="428">
        <f>AVERAGE(AD113:AG113)</f>
        <v>9967.9906988896983</v>
      </c>
      <c r="AI113" s="758">
        <f>'Market Prices'!AA$88</f>
        <v>9202.2654654879479</v>
      </c>
      <c r="AJ113" s="660">
        <f>'Market Prices'!AB$88</f>
        <v>10105.637756293225</v>
      </c>
      <c r="AK113" s="660">
        <f>'Market Prices'!AC$88</f>
        <v>12701.782913818659</v>
      </c>
      <c r="AL113" s="661">
        <f>'Market Prices'!AD$88</f>
        <v>9778.5805528245146</v>
      </c>
      <c r="AM113" s="428">
        <f>AVERAGE(AI113:AL113)</f>
        <v>10447.066672106088</v>
      </c>
      <c r="AN113" s="300">
        <f>'Market Prices'!AE$88</f>
        <v>9897.4409429729876</v>
      </c>
      <c r="AO113" s="264">
        <f>'Market Prices'!AF$88</f>
        <v>10464.020312282828</v>
      </c>
      <c r="AP113" s="264">
        <f>'Market Prices'!AG$88</f>
        <v>10646.473017770773</v>
      </c>
      <c r="AQ113" s="299">
        <f>'Market Prices'!AH$88</f>
        <v>8485.0446654235948</v>
      </c>
      <c r="AR113" s="428">
        <f>AVERAGE(AN113:AQ113)</f>
        <v>9873.2447346125464</v>
      </c>
      <c r="AS113" s="300">
        <f>'Market Prices'!AI$88</f>
        <v>7557.3594798727981</v>
      </c>
      <c r="AT113" s="264">
        <f>'Market Prices'!AJ$88</f>
        <v>9066.5579365079357</v>
      </c>
      <c r="AU113" s="264">
        <f>'Market Prices'!AK$88</f>
        <v>9959.2555936766203</v>
      </c>
      <c r="AV113" s="299">
        <f>'Market Prices'!AM$88</f>
        <v>10217.942265440148</v>
      </c>
      <c r="AW113" s="428">
        <f>AVERAGE(AS113:AV113)</f>
        <v>9200.2788188743762</v>
      </c>
      <c r="AX113" s="300">
        <f>'Market Prices'!AM$88</f>
        <v>10217.942265440148</v>
      </c>
      <c r="AY113" s="264">
        <f>'Market Prices'!AN$88</f>
        <v>13185.222042542606</v>
      </c>
      <c r="AZ113" s="264">
        <f>'Market Prices'!AO$88</f>
        <v>42121.178211959741</v>
      </c>
      <c r="BA113" s="299">
        <f>'Market Prices'!AP$88</f>
        <v>9054.2561746122919</v>
      </c>
      <c r="BB113" s="428">
        <f>AVERAGE(AX113:BA113)</f>
        <v>18644.649673638698</v>
      </c>
      <c r="BC113" s="300">
        <f>'Market Prices'!AQ$88</f>
        <v>8124.4846766764404</v>
      </c>
      <c r="BD113" s="264">
        <f>'Market Prices'!AR$88</f>
        <v>9664.2180564318169</v>
      </c>
      <c r="BE113" s="264">
        <f>'Market Prices'!AS$88</f>
        <v>27348.703499911488</v>
      </c>
      <c r="BF113" s="299">
        <f>'Market Prices'!AT$88</f>
        <v>14449.467045874115</v>
      </c>
      <c r="BG113" s="428">
        <f>AVERAGE(BC113:BF113)</f>
        <v>14896.718319723466</v>
      </c>
      <c r="BH113" s="300">
        <f>'Market Prices'!AU$88</f>
        <v>7249.1447994286054</v>
      </c>
      <c r="BI113" s="264">
        <f>'Market Prices'!AV$88</f>
        <v>8622.9858080039758</v>
      </c>
      <c r="BJ113" s="264">
        <f>'Market Prices'!AW$88</f>
        <v>24402.127597906943</v>
      </c>
      <c r="BK113" s="299">
        <f>'Market Prices'!AX$88</f>
        <v>12892.66741936461</v>
      </c>
      <c r="BL113" s="428">
        <f>AVERAGE(BH113:BK113)</f>
        <v>13291.731406176033</v>
      </c>
      <c r="BM113" s="300">
        <f>'Market Prices'!AY$88</f>
        <v>9330.9178786553075</v>
      </c>
      <c r="BN113" s="264">
        <f>'Market Prices'!AZ$88</f>
        <v>10602.600583581396</v>
      </c>
      <c r="BO113" s="264">
        <f>'Market Prices'!BA$88</f>
        <v>25208.411290603395</v>
      </c>
      <c r="BP113" s="299">
        <f>'Market Prices'!BB$88</f>
        <v>14554.790266970351</v>
      </c>
      <c r="BQ113" s="759">
        <f>AVERAGE(BM113:BP113)</f>
        <v>14924.18000495261</v>
      </c>
      <c r="BR113" s="428"/>
      <c r="BS113" s="428"/>
      <c r="BT113" s="428"/>
      <c r="BU113" s="232"/>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823"/>
      <c r="CU113" s="232"/>
      <c r="CV113" s="232"/>
      <c r="CW113" s="232"/>
      <c r="CX113" s="232"/>
      <c r="CY113" s="232"/>
      <c r="CZ113" s="40"/>
      <c r="DA113" s="40"/>
      <c r="DB113" s="40"/>
      <c r="DC113" s="40"/>
      <c r="DD113" s="40"/>
      <c r="DE113" s="40"/>
      <c r="DF113" s="232"/>
      <c r="DG113" s="232"/>
      <c r="DH113" s="232"/>
      <c r="DI113" s="232"/>
      <c r="DJ113" s="232"/>
      <c r="DK113" s="232"/>
      <c r="DL113" s="232"/>
      <c r="DM113" s="232"/>
      <c r="DN113" s="232"/>
    </row>
    <row r="114" spans="1:118">
      <c r="A114" s="40"/>
      <c r="B114" s="1"/>
      <c r="C114" s="564" t="s">
        <v>822</v>
      </c>
      <c r="D114" s="1"/>
      <c r="E114" s="273"/>
      <c r="F114" s="3"/>
      <c r="G114" s="3"/>
      <c r="H114" s="274"/>
      <c r="I114" s="28"/>
      <c r="J114" s="273"/>
      <c r="K114" s="3"/>
      <c r="L114" s="3"/>
      <c r="M114" s="274"/>
      <c r="N114" s="1"/>
      <c r="O114" s="273"/>
      <c r="P114" s="3"/>
      <c r="Q114" s="3"/>
      <c r="R114" s="274"/>
      <c r="S114" s="1"/>
      <c r="T114" s="758"/>
      <c r="U114" s="660"/>
      <c r="V114" s="660"/>
      <c r="W114" s="661"/>
      <c r="X114" s="428"/>
      <c r="Y114" s="758">
        <f>'Market Prices'!S$106</f>
        <v>6668.1229270336653</v>
      </c>
      <c r="Z114" s="660">
        <f>'Market Prices'!T$106</f>
        <v>6535.4293137657605</v>
      </c>
      <c r="AA114" s="660">
        <f>'Market Prices'!U$106</f>
        <v>7147.865663393176</v>
      </c>
      <c r="AB114" s="661">
        <f>'Market Prices'!V$106</f>
        <v>6981.8886000345046</v>
      </c>
      <c r="AC114" s="428">
        <f>AVERAGE(Y114:AB114)</f>
        <v>6833.3266260567761</v>
      </c>
      <c r="AD114" s="758">
        <f>'Market Prices'!W$106</f>
        <v>6182.9907384190228</v>
      </c>
      <c r="AE114" s="660">
        <f>'Market Prices'!Y$106</f>
        <v>7136.6442103725694</v>
      </c>
      <c r="AF114" s="660">
        <f>'Market Prices'!Y$106</f>
        <v>7136.6442103725694</v>
      </c>
      <c r="AG114" s="661">
        <f>'Market Prices'!Z$106</f>
        <v>6702.3457070216837</v>
      </c>
      <c r="AH114" s="428">
        <f>AVERAGE(AD114:AG114)</f>
        <v>6789.6562165464611</v>
      </c>
      <c r="AI114" s="758">
        <f>'Market Prices'!AA$106</f>
        <v>7664.6160360806507</v>
      </c>
      <c r="AJ114" s="660">
        <f>'Market Prices'!AB$106</f>
        <v>7048.9520285495655</v>
      </c>
      <c r="AK114" s="660">
        <f>'Market Prices'!AC$106</f>
        <v>7197.670615244313</v>
      </c>
      <c r="AL114" s="661">
        <f>'Market Prices'!AD$106</f>
        <v>7101.8354351902599</v>
      </c>
      <c r="AM114" s="428">
        <f>AVERAGE(AI114:AL114)</f>
        <v>7253.2685287661971</v>
      </c>
      <c r="AN114" s="758">
        <f>'Market Prices'!AE$106</f>
        <v>6945.1239071268637</v>
      </c>
      <c r="AO114" s="660">
        <f>'Market Prices'!AF$106</f>
        <v>6861.101172272105</v>
      </c>
      <c r="AP114" s="660">
        <f>'Market Prices'!AG$106</f>
        <v>7251.121749054284</v>
      </c>
      <c r="AQ114" s="661">
        <f>'Market Prices'!AH$106</f>
        <v>6022.5093589603321</v>
      </c>
      <c r="AR114" s="428">
        <f>AVERAGE(AN114:AQ114)</f>
        <v>6769.9640468533962</v>
      </c>
      <c r="AS114" s="758">
        <f>'Market Prices'!AI$106</f>
        <v>5878.8543969869743</v>
      </c>
      <c r="AT114" s="660">
        <f>'Market Prices'!AJ$106</f>
        <v>6363.7110064538647</v>
      </c>
      <c r="AU114" s="660">
        <f>'Market Prices'!AK$106</f>
        <v>7360.8455434858543</v>
      </c>
      <c r="AV114" s="661">
        <f>'Market Prices'!AM$106</f>
        <v>6199.6866590289592</v>
      </c>
      <c r="AW114" s="428">
        <f>AVERAGE(AS114:AV114)</f>
        <v>6450.774401488914</v>
      </c>
      <c r="AX114" s="758">
        <f>'Market Prices'!AM$106</f>
        <v>6199.6866590289592</v>
      </c>
      <c r="AY114" s="660">
        <f>'Market Prices'!AN$106</f>
        <v>7716.3353650951622</v>
      </c>
      <c r="AZ114" s="660">
        <f>'Market Prices'!AO$106</f>
        <v>10174.371817643576</v>
      </c>
      <c r="BA114" s="661">
        <f>'Market Prices'!AP$106</f>
        <v>6681.7059161401476</v>
      </c>
      <c r="BB114" s="428">
        <f>AVERAGE(AX114:BA114)</f>
        <v>7693.0249394769617</v>
      </c>
      <c r="BC114" s="758">
        <f>'Market Prices'!AQ$106</f>
        <v>6960.4803932414106</v>
      </c>
      <c r="BD114" s="660">
        <f>'Market Prices'!AR$106</f>
        <v>7040.2791244410537</v>
      </c>
      <c r="BE114" s="660">
        <f>'Market Prices'!AS$106</f>
        <v>8992.7280873911477</v>
      </c>
      <c r="BF114" s="661">
        <f>'Market Prices'!AT$106</f>
        <v>6121.8589841224284</v>
      </c>
      <c r="BG114" s="428">
        <f>AVERAGE(BC114:BF114)</f>
        <v>7278.8366472990101</v>
      </c>
      <c r="BH114" s="758">
        <f>'Market Prices'!AU$106</f>
        <v>6833.8195343448451</v>
      </c>
      <c r="BI114" s="660">
        <f>'Market Prices'!AV$106</f>
        <v>6912.1661566006269</v>
      </c>
      <c r="BJ114" s="660">
        <f>'Market Prices'!AW$106</f>
        <v>8829.0861260578167</v>
      </c>
      <c r="BK114" s="661">
        <f>'Market Prices'!AX$106</f>
        <v>6010.4586391511948</v>
      </c>
      <c r="BL114" s="428">
        <f>AVERAGE(BH114:BK114)</f>
        <v>7146.3826140386209</v>
      </c>
      <c r="BM114" s="758">
        <f>'Market Prices'!AY$106</f>
        <v>6536.1986425108153</v>
      </c>
      <c r="BN114" s="660">
        <f>'Market Prices'!AZ$106</f>
        <v>6611.1331770650186</v>
      </c>
      <c r="BO114" s="660">
        <f>'Market Prices'!BA$106</f>
        <v>8444.5690234754893</v>
      </c>
      <c r="BP114" s="661">
        <f>'Market Prices'!BB$106</f>
        <v>5748.6960843272727</v>
      </c>
      <c r="BQ114" s="759">
        <f>AVERAGE(BM114:BP114)</f>
        <v>6835.1492318446481</v>
      </c>
      <c r="BR114" s="428"/>
      <c r="BS114" s="428"/>
      <c r="BT114" s="428"/>
      <c r="BU114" s="232"/>
      <c r="BV114" s="40"/>
      <c r="BW114" s="40"/>
      <c r="BX114" s="40"/>
      <c r="BY114" s="40"/>
      <c r="BZ114" s="40"/>
      <c r="CA114" s="40"/>
      <c r="CB114" s="40"/>
      <c r="CC114" s="40"/>
      <c r="CD114" s="40"/>
      <c r="CE114" s="40"/>
      <c r="CF114" s="40"/>
      <c r="CG114" s="40"/>
      <c r="CH114" s="40"/>
      <c r="CI114" s="40"/>
      <c r="CJ114" s="40"/>
      <c r="CK114" s="40"/>
      <c r="CL114" s="40"/>
      <c r="CM114" s="40"/>
      <c r="CN114" s="40"/>
      <c r="CO114" s="40"/>
      <c r="CP114" s="40"/>
      <c r="CQ114" s="40"/>
      <c r="CR114" s="40"/>
      <c r="CS114" s="40"/>
      <c r="CT114" s="823"/>
      <c r="CU114" s="232"/>
      <c r="CV114" s="232"/>
      <c r="CW114" s="232"/>
      <c r="CX114" s="232"/>
      <c r="CY114" s="232"/>
      <c r="CZ114" s="40"/>
      <c r="DA114" s="40"/>
      <c r="DB114" s="40"/>
      <c r="DC114" s="40"/>
      <c r="DD114" s="40"/>
      <c r="DE114" s="40"/>
      <c r="DF114" s="232"/>
      <c r="DG114" s="232"/>
      <c r="DH114" s="232"/>
      <c r="DI114" s="232"/>
      <c r="DJ114" s="232"/>
      <c r="DK114" s="232"/>
      <c r="DL114" s="232"/>
      <c r="DM114" s="232"/>
      <c r="DN114" s="232"/>
    </row>
    <row r="115" spans="1:118">
      <c r="A115" s="40"/>
      <c r="B115" s="1"/>
      <c r="C115" s="564"/>
      <c r="D115" s="1"/>
      <c r="E115" s="273"/>
      <c r="F115" s="3"/>
      <c r="G115" s="3"/>
      <c r="H115" s="274"/>
      <c r="I115" s="28"/>
      <c r="J115" s="273"/>
      <c r="K115" s="3"/>
      <c r="L115" s="3"/>
      <c r="M115" s="274"/>
      <c r="N115" s="1"/>
      <c r="O115" s="273"/>
      <c r="P115" s="3"/>
      <c r="Q115" s="3"/>
      <c r="R115" s="274"/>
      <c r="S115" s="1"/>
      <c r="T115" s="758"/>
      <c r="U115" s="660"/>
      <c r="V115" s="660"/>
      <c r="W115" s="661"/>
      <c r="X115" s="428"/>
      <c r="Y115" s="758"/>
      <c r="Z115" s="660"/>
      <c r="AA115" s="660"/>
      <c r="AB115" s="661"/>
      <c r="AC115" s="428"/>
      <c r="AD115" s="758"/>
      <c r="AE115" s="660"/>
      <c r="AF115" s="660"/>
      <c r="AG115" s="661"/>
      <c r="AH115" s="428"/>
      <c r="AI115" s="758"/>
      <c r="AJ115" s="660"/>
      <c r="AK115" s="660"/>
      <c r="AL115" s="661"/>
      <c r="AM115" s="428"/>
      <c r="AN115" s="758"/>
      <c r="AO115" s="660"/>
      <c r="AP115" s="660"/>
      <c r="AQ115" s="661"/>
      <c r="AR115" s="428"/>
      <c r="AS115" s="758"/>
      <c r="AT115" s="660"/>
      <c r="AU115" s="660"/>
      <c r="AV115" s="661"/>
      <c r="AW115" s="428"/>
      <c r="AX115" s="758"/>
      <c r="AY115" s="660"/>
      <c r="AZ115" s="660"/>
      <c r="BA115" s="661"/>
      <c r="BB115" s="428"/>
      <c r="BC115" s="758"/>
      <c r="BD115" s="660"/>
      <c r="BE115" s="660"/>
      <c r="BF115" s="661"/>
      <c r="BG115" s="428"/>
      <c r="BH115" s="758"/>
      <c r="BI115" s="660"/>
      <c r="BJ115" s="660"/>
      <c r="BK115" s="661"/>
      <c r="BL115" s="428"/>
      <c r="BM115" s="758"/>
      <c r="BN115" s="660"/>
      <c r="BO115" s="660"/>
      <c r="BP115" s="661"/>
      <c r="BQ115" s="759"/>
      <c r="BR115" s="428"/>
      <c r="BS115" s="428"/>
      <c r="BT115" s="428"/>
      <c r="BU115" s="232"/>
      <c r="BV115" s="40"/>
      <c r="BW115" s="40"/>
      <c r="BX115" s="40"/>
      <c r="BY115" s="40"/>
      <c r="BZ115" s="40"/>
      <c r="CA115" s="40"/>
      <c r="CB115" s="40"/>
      <c r="CC115" s="40"/>
      <c r="CD115" s="40"/>
      <c r="CE115" s="40"/>
      <c r="CF115" s="40"/>
      <c r="CG115" s="40"/>
      <c r="CH115" s="40"/>
      <c r="CI115" s="40"/>
      <c r="CJ115" s="40"/>
      <c r="CK115" s="40"/>
      <c r="CL115" s="40"/>
      <c r="CM115" s="40"/>
      <c r="CN115" s="40"/>
      <c r="CO115" s="40"/>
      <c r="CP115" s="40"/>
      <c r="CQ115" s="40"/>
      <c r="CR115" s="40"/>
      <c r="CS115" s="40"/>
      <c r="CT115" s="823"/>
      <c r="CU115" s="232"/>
      <c r="CV115" s="232"/>
      <c r="CW115" s="232"/>
      <c r="CX115" s="232"/>
      <c r="CY115" s="232"/>
      <c r="CZ115" s="40"/>
      <c r="DA115" s="40"/>
      <c r="DB115" s="40"/>
      <c r="DC115" s="40"/>
      <c r="DD115" s="40"/>
      <c r="DE115" s="40"/>
      <c r="DF115" s="232"/>
      <c r="DG115" s="232"/>
      <c r="DH115" s="232"/>
      <c r="DI115" s="232"/>
      <c r="DJ115" s="232"/>
      <c r="DK115" s="232"/>
      <c r="DL115" s="232"/>
      <c r="DM115" s="232"/>
      <c r="DN115" s="232"/>
    </row>
    <row r="116" spans="1:118">
      <c r="A116" s="40"/>
      <c r="B116" s="1"/>
      <c r="C116" s="564" t="s">
        <v>817</v>
      </c>
      <c r="D116" s="1"/>
      <c r="E116" s="273"/>
      <c r="F116" s="3"/>
      <c r="G116" s="3"/>
      <c r="H116" s="274"/>
      <c r="I116" s="28"/>
      <c r="J116" s="273"/>
      <c r="K116" s="3"/>
      <c r="L116" s="3"/>
      <c r="M116" s="274"/>
      <c r="N116" s="1"/>
      <c r="O116" s="273"/>
      <c r="P116" s="3"/>
      <c r="Q116" s="3"/>
      <c r="R116" s="274"/>
      <c r="S116" s="1"/>
      <c r="T116" s="758"/>
      <c r="U116" s="660"/>
      <c r="V116" s="660"/>
      <c r="W116" s="661"/>
      <c r="X116" s="428"/>
      <c r="Y116" s="758">
        <f>'Market Prices'!S$82</f>
        <v>9769.8876086014934</v>
      </c>
      <c r="Z116" s="660">
        <f>'Market Prices'!T$82</f>
        <v>10989.280048611789</v>
      </c>
      <c r="AA116" s="660">
        <f>'Market Prices'!U$82</f>
        <v>13580.3682962901</v>
      </c>
      <c r="AB116" s="661">
        <f>'Market Prices'!V$82</f>
        <v>10104.935635805112</v>
      </c>
      <c r="AC116" s="428">
        <f>AVERAGE(Y116:AB116)</f>
        <v>11111.117897327124</v>
      </c>
      <c r="AD116" s="758">
        <f>'Market Prices'!W$82</f>
        <v>8947.0994834564881</v>
      </c>
      <c r="AE116" s="660">
        <f>'Market Prices'!Y$82</f>
        <v>16362.499285784888</v>
      </c>
      <c r="AF116" s="660">
        <f>'Market Prices'!Y$82</f>
        <v>16362.499285784888</v>
      </c>
      <c r="AG116" s="661">
        <f>'Market Prices'!Z$82</f>
        <v>14636.185295017334</v>
      </c>
      <c r="AH116" s="428">
        <f>AVERAGE(AD116:AG116)</f>
        <v>14077.070837510899</v>
      </c>
      <c r="AI116" s="758">
        <f>'Market Prices'!AA$82</f>
        <v>8819.9510291713868</v>
      </c>
      <c r="AJ116" s="660">
        <f>'Market Prices'!AB$82</f>
        <v>24123.141529550368</v>
      </c>
      <c r="AK116" s="660">
        <f>'Market Prices'!AC$82</f>
        <v>28747.430408517044</v>
      </c>
      <c r="AL116" s="661">
        <f>'Market Prices'!AD$82</f>
        <v>24735.597244755765</v>
      </c>
      <c r="AM116" s="428">
        <f>AVERAGE(AI116:AL116)</f>
        <v>21606.530052998642</v>
      </c>
      <c r="AN116" s="758">
        <f>'Market Prices'!AE$82</f>
        <v>16416.865442427312</v>
      </c>
      <c r="AO116" s="660">
        <f>'Market Prices'!AF$82</f>
        <v>20663.424419465664</v>
      </c>
      <c r="AP116" s="660">
        <f>'Market Prices'!AG$82</f>
        <v>28889.206582791372</v>
      </c>
      <c r="AQ116" s="661">
        <f>'Market Prices'!AH$82</f>
        <v>14896.780177793647</v>
      </c>
      <c r="AR116" s="428">
        <f>AVERAGE(AN116:AQ116)</f>
        <v>20216.569155619502</v>
      </c>
      <c r="AS116" s="758">
        <f>'Market Prices'!AI$82</f>
        <v>10739.7501298603</v>
      </c>
      <c r="AT116" s="660">
        <f>'Market Prices'!AJ$82</f>
        <v>13045.335901964805</v>
      </c>
      <c r="AU116" s="660">
        <f>'Market Prices'!AK$82</f>
        <v>20361.658997618648</v>
      </c>
      <c r="AV116" s="661">
        <f>'Market Prices'!AM$82</f>
        <v>7345.4940065431902</v>
      </c>
      <c r="AW116" s="428">
        <f>AVERAGE(AS116:AV116)</f>
        <v>12873.059758996736</v>
      </c>
      <c r="AX116" s="758">
        <f>'Market Prices'!AM$82</f>
        <v>7345.4940065431902</v>
      </c>
      <c r="AY116" s="660">
        <f>'Market Prices'!AN$82</f>
        <v>15566.250563994585</v>
      </c>
      <c r="AZ116" s="660">
        <f>'Market Prices'!AO$82</f>
        <v>16621.62162162162</v>
      </c>
      <c r="BA116" s="661">
        <f>'Market Prices'!AP$82</f>
        <v>12917.442582247049</v>
      </c>
      <c r="BB116" s="428">
        <f>AVERAGE(AX116:BA116)</f>
        <v>13112.702193601612</v>
      </c>
      <c r="BC116" s="758">
        <f>'Market Prices'!AQ$82</f>
        <v>11104.548723888633</v>
      </c>
      <c r="BD116" s="660">
        <f>'Market Prices'!AR$82</f>
        <v>16674.490418195121</v>
      </c>
      <c r="BE116" s="660">
        <f>'Market Prices'!AS$82</f>
        <v>17885.095700846545</v>
      </c>
      <c r="BF116" s="661">
        <f>'Market Prices'!AT$82</f>
        <v>10165.322792411107</v>
      </c>
      <c r="BG116" s="428">
        <f>AVERAGE(BC116:BF116)</f>
        <v>13957.364408835352</v>
      </c>
      <c r="BH116" s="758">
        <f>'Market Prices'!AU$82</f>
        <v>11252.137629199777</v>
      </c>
      <c r="BI116" s="660">
        <f>'Market Prices'!AV$82</f>
        <v>16896.108590048279</v>
      </c>
      <c r="BJ116" s="660">
        <f>'Market Prices'!AW$82</f>
        <v>18122.803847436458</v>
      </c>
      <c r="BK116" s="661">
        <f>'Market Prices'!AX$82</f>
        <v>10300.428585574848</v>
      </c>
      <c r="BL116" s="428">
        <f>AVERAGE(BH116:BK116)</f>
        <v>14142.869663064841</v>
      </c>
      <c r="BM116" s="758">
        <f>'Market Prices'!AY$82</f>
        <v>14319.999999999998</v>
      </c>
      <c r="BN116" s="660">
        <f>'Market Prices'!AZ$82</f>
        <v>14319.999999999998</v>
      </c>
      <c r="BO116" s="660">
        <f>'Market Prices'!BA$82</f>
        <v>14319.999999999998</v>
      </c>
      <c r="BP116" s="661">
        <f>'Market Prices'!BB$82</f>
        <v>14319.999999999998</v>
      </c>
      <c r="BQ116" s="759">
        <f>AVERAGE(BM116:BP116)</f>
        <v>14319.999999999998</v>
      </c>
      <c r="BR116" s="428"/>
      <c r="BS116" s="428"/>
      <c r="BT116" s="428"/>
      <c r="BU116" s="232"/>
      <c r="BV116" s="40"/>
      <c r="BW116" s="40"/>
      <c r="BX116" s="40"/>
      <c r="BY116" s="40"/>
      <c r="BZ116" s="40"/>
      <c r="CA116" s="40"/>
      <c r="CB116" s="40"/>
      <c r="CC116" s="40"/>
      <c r="CD116" s="40"/>
      <c r="CE116" s="40"/>
      <c r="CF116" s="40"/>
      <c r="CG116" s="40"/>
      <c r="CH116" s="40"/>
      <c r="CI116" s="40"/>
      <c r="CJ116" s="40"/>
      <c r="CK116" s="40"/>
      <c r="CL116" s="40"/>
      <c r="CM116" s="40"/>
      <c r="CN116" s="40"/>
      <c r="CO116" s="40"/>
      <c r="CP116" s="40"/>
      <c r="CQ116" s="40"/>
      <c r="CR116" s="40"/>
      <c r="CS116" s="40"/>
      <c r="CT116" s="823"/>
      <c r="CU116" s="232"/>
      <c r="CV116" s="232"/>
      <c r="CW116" s="232"/>
      <c r="CX116" s="232"/>
      <c r="CY116" s="232"/>
      <c r="CZ116" s="40"/>
      <c r="DA116" s="40"/>
      <c r="DB116" s="40"/>
      <c r="DC116" s="40"/>
      <c r="DD116" s="40"/>
      <c r="DE116" s="40"/>
      <c r="DF116" s="232"/>
      <c r="DG116" s="232"/>
      <c r="DH116" s="232"/>
      <c r="DI116" s="232"/>
      <c r="DJ116" s="232"/>
      <c r="DK116" s="232"/>
      <c r="DL116" s="232"/>
      <c r="DM116" s="232"/>
      <c r="DN116" s="232"/>
    </row>
    <row r="117" spans="1:118">
      <c r="A117" s="40"/>
      <c r="B117" s="1"/>
      <c r="C117" s="564" t="s">
        <v>818</v>
      </c>
      <c r="D117" s="1"/>
      <c r="E117" s="273"/>
      <c r="F117" s="3"/>
      <c r="G117" s="3"/>
      <c r="H117" s="274"/>
      <c r="I117" s="28"/>
      <c r="J117" s="273"/>
      <c r="K117" s="3"/>
      <c r="L117" s="3"/>
      <c r="M117" s="274"/>
      <c r="N117" s="1"/>
      <c r="O117" s="273"/>
      <c r="P117" s="3"/>
      <c r="Q117" s="3"/>
      <c r="R117" s="274"/>
      <c r="S117" s="1"/>
      <c r="T117" s="758"/>
      <c r="U117" s="660"/>
      <c r="V117" s="660"/>
      <c r="W117" s="661"/>
      <c r="X117" s="428"/>
      <c r="Y117" s="758">
        <f>'Market Prices'!S$100</f>
        <v>7789.8114136442509</v>
      </c>
      <c r="Z117" s="660">
        <f>'Market Prices'!T$100</f>
        <v>7147.248796830625</v>
      </c>
      <c r="AA117" s="660">
        <f>'Market Prices'!U$100</f>
        <v>8031.1736003835267</v>
      </c>
      <c r="AB117" s="661">
        <f>'Market Prices'!V$100</f>
        <v>7795.107694833674</v>
      </c>
      <c r="AC117" s="428">
        <f>AVERAGE(Y117:AB117)</f>
        <v>7690.8353764230187</v>
      </c>
      <c r="AD117" s="758">
        <f>'Market Prices'!W$100</f>
        <v>6166.530696296164</v>
      </c>
      <c r="AE117" s="660">
        <f>'Market Prices'!Y$100</f>
        <v>10837.129084616699</v>
      </c>
      <c r="AF117" s="660">
        <f>'Market Prices'!Y$100</f>
        <v>10837.129084616699</v>
      </c>
      <c r="AG117" s="661">
        <f>'Market Prices'!Z$100</f>
        <v>10859.130824743526</v>
      </c>
      <c r="AH117" s="428">
        <f>AVERAGE(AD117:AG117)</f>
        <v>9674.9799225682727</v>
      </c>
      <c r="AI117" s="758">
        <f>'Market Prices'!AA$100</f>
        <v>6858.1083928038697</v>
      </c>
      <c r="AJ117" s="660">
        <f>'Market Prices'!AB$100</f>
        <v>15422.985685691838</v>
      </c>
      <c r="AK117" s="660">
        <f>'Market Prices'!AC$100</f>
        <v>16917.689223633119</v>
      </c>
      <c r="AL117" s="661">
        <f>'Market Prices'!AD$100</f>
        <v>17146.191788467313</v>
      </c>
      <c r="AM117" s="428">
        <f>AVERAGE(AI117:AL117)</f>
        <v>14086.243772649035</v>
      </c>
      <c r="AN117" s="758">
        <f>'Market Prices'!AE$100</f>
        <v>13082.44971352325</v>
      </c>
      <c r="AO117" s="660">
        <f>'Market Prices'!AF$100</f>
        <v>13437.831424583155</v>
      </c>
      <c r="AP117" s="660">
        <f>'Market Prices'!AG$100</f>
        <v>16998.184607495699</v>
      </c>
      <c r="AQ117" s="661">
        <f>'Market Prices'!AH$100</f>
        <v>11310.225430871806</v>
      </c>
      <c r="AR117" s="428">
        <f>AVERAGE(AN117:AQ117)</f>
        <v>13707.172794118478</v>
      </c>
      <c r="AS117" s="758">
        <f>'Market Prices'!AI$100</f>
        <v>9046.2979187077945</v>
      </c>
      <c r="AT117" s="660">
        <f>'Market Prices'!AJ$100</f>
        <v>8797.2641070890259</v>
      </c>
      <c r="AU117" s="660">
        <f>'Market Prices'!AK$100</f>
        <v>12592.415236425988</v>
      </c>
      <c r="AV117" s="661">
        <f>'Market Prices'!AM$100</f>
        <v>6682.4698912828535</v>
      </c>
      <c r="AW117" s="428">
        <f>AVERAGE(AS117:AV117)</f>
        <v>9279.6117883764146</v>
      </c>
      <c r="AX117" s="758">
        <f>'Market Prices'!AM$100</f>
        <v>6682.4698912828535</v>
      </c>
      <c r="AY117" s="660">
        <f>'Market Prices'!AN$100</f>
        <v>11257.331929613474</v>
      </c>
      <c r="AZ117" s="660">
        <f>'Market Prices'!AO$100</f>
        <v>11163.663663663663</v>
      </c>
      <c r="BA117" s="661">
        <f>'Market Prices'!AP$100</f>
        <v>9565.4872749844817</v>
      </c>
      <c r="BB117" s="428">
        <f>AVERAGE(AX117:BA117)</f>
        <v>9667.2381898861167</v>
      </c>
      <c r="BC117" s="758">
        <f>'Market Prices'!AQ$100</f>
        <v>8968.4071460360283</v>
      </c>
      <c r="BD117" s="660">
        <f>'Market Prices'!AR$100</f>
        <v>11591.660811253709</v>
      </c>
      <c r="BE117" s="660">
        <f>'Market Prices'!AS$100</f>
        <v>11437.093284386061</v>
      </c>
      <c r="BF117" s="661">
        <f>'Market Prices'!AT$100</f>
        <v>8324.117177218186</v>
      </c>
      <c r="BG117" s="428">
        <f>AVERAGE(BC117:BF117)</f>
        <v>10080.319604723496</v>
      </c>
      <c r="BH117" s="758">
        <f>'Market Prices'!AU$100</f>
        <v>9005.6896599988304</v>
      </c>
      <c r="BI117" s="660">
        <f>'Market Prices'!AV$100</f>
        <v>11639.848437998402</v>
      </c>
      <c r="BJ117" s="660">
        <f>'Market Prices'!AW$100</f>
        <v>11484.6383593504</v>
      </c>
      <c r="BK117" s="661">
        <f>'Market Prices'!AX$100</f>
        <v>8358.7213170430405</v>
      </c>
      <c r="BL117" s="428">
        <f>AVERAGE(BH117:BK117)</f>
        <v>10122.224443597668</v>
      </c>
      <c r="BM117" s="758">
        <f>'Market Prices'!AY$100</f>
        <v>10475.535039141012</v>
      </c>
      <c r="BN117" s="660">
        <f>'Market Prices'!AZ$100</f>
        <v>10475.535039141012</v>
      </c>
      <c r="BO117" s="660">
        <f>'Market Prices'!BA$100</f>
        <v>10475.535039141012</v>
      </c>
      <c r="BP117" s="661">
        <f>'Market Prices'!BB$100</f>
        <v>10475.535039141012</v>
      </c>
      <c r="BQ117" s="759">
        <f>AVERAGE(BM117:BP117)</f>
        <v>10475.535039141012</v>
      </c>
      <c r="BR117" s="428"/>
      <c r="BS117" s="428"/>
      <c r="BT117" s="428"/>
      <c r="BU117" s="232"/>
      <c r="BV117" s="40"/>
      <c r="BW117" s="40"/>
      <c r="BX117" s="40"/>
      <c r="BY117" s="40"/>
      <c r="BZ117" s="40"/>
      <c r="CA117" s="40"/>
      <c r="CB117" s="40"/>
      <c r="CC117" s="40"/>
      <c r="CD117" s="40"/>
      <c r="CE117" s="40"/>
      <c r="CF117" s="40"/>
      <c r="CG117" s="40"/>
      <c r="CH117" s="40"/>
      <c r="CI117" s="40"/>
      <c r="CJ117" s="40"/>
      <c r="CK117" s="40"/>
      <c r="CL117" s="40"/>
      <c r="CM117" s="40"/>
      <c r="CN117" s="40"/>
      <c r="CO117" s="40"/>
      <c r="CP117" s="40"/>
      <c r="CQ117" s="40"/>
      <c r="CR117" s="40"/>
      <c r="CS117" s="40"/>
      <c r="CT117" s="823"/>
      <c r="CU117" s="232"/>
      <c r="CV117" s="232"/>
      <c r="CW117" s="232"/>
      <c r="CX117" s="232"/>
      <c r="CY117" s="232"/>
      <c r="CZ117" s="40"/>
      <c r="DA117" s="40"/>
      <c r="DB117" s="40"/>
      <c r="DC117" s="40"/>
      <c r="DD117" s="40"/>
      <c r="DE117" s="40"/>
      <c r="DF117" s="232"/>
      <c r="DG117" s="232"/>
      <c r="DH117" s="232"/>
      <c r="DI117" s="232"/>
      <c r="DJ117" s="232"/>
      <c r="DK117" s="232"/>
      <c r="DL117" s="232"/>
      <c r="DM117" s="232"/>
      <c r="DN117" s="232"/>
    </row>
    <row r="118" spans="1:118">
      <c r="A118" s="40"/>
      <c r="B118" s="1"/>
      <c r="C118" s="564"/>
      <c r="D118" s="1"/>
      <c r="E118" s="273"/>
      <c r="F118" s="3"/>
      <c r="G118" s="3"/>
      <c r="H118" s="274"/>
      <c r="I118" s="28"/>
      <c r="J118" s="273"/>
      <c r="K118" s="3"/>
      <c r="L118" s="3"/>
      <c r="M118" s="274"/>
      <c r="N118" s="1"/>
      <c r="O118" s="273"/>
      <c r="P118" s="3"/>
      <c r="Q118" s="3"/>
      <c r="R118" s="274"/>
      <c r="S118" s="1"/>
      <c r="T118" s="758"/>
      <c r="U118" s="660"/>
      <c r="V118" s="660"/>
      <c r="W118" s="661"/>
      <c r="X118" s="428"/>
      <c r="Y118" s="758"/>
      <c r="Z118" s="660"/>
      <c r="AA118" s="660"/>
      <c r="AB118" s="661"/>
      <c r="AC118" s="428"/>
      <c r="AD118" s="758"/>
      <c r="AE118" s="660"/>
      <c r="AF118" s="660"/>
      <c r="AG118" s="661"/>
      <c r="AH118" s="428"/>
      <c r="AI118" s="758"/>
      <c r="AJ118" s="660"/>
      <c r="AK118" s="660"/>
      <c r="AL118" s="661"/>
      <c r="AM118" s="428"/>
      <c r="AN118" s="758"/>
      <c r="AO118" s="660"/>
      <c r="AP118" s="660"/>
      <c r="AQ118" s="661"/>
      <c r="AR118" s="428"/>
      <c r="AS118" s="758"/>
      <c r="AT118" s="660"/>
      <c r="AU118" s="660"/>
      <c r="AV118" s="661"/>
      <c r="AW118" s="428"/>
      <c r="AX118" s="758"/>
      <c r="AY118" s="660"/>
      <c r="AZ118" s="660"/>
      <c r="BA118" s="661"/>
      <c r="BB118" s="428"/>
      <c r="BC118" s="758"/>
      <c r="BD118" s="660"/>
      <c r="BE118" s="660"/>
      <c r="BF118" s="661"/>
      <c r="BG118" s="428"/>
      <c r="BH118" s="758"/>
      <c r="BI118" s="660"/>
      <c r="BJ118" s="660"/>
      <c r="BK118" s="661"/>
      <c r="BL118" s="428"/>
      <c r="BM118" s="758"/>
      <c r="BN118" s="660"/>
      <c r="BO118" s="660"/>
      <c r="BP118" s="661"/>
      <c r="BQ118" s="759"/>
      <c r="BR118" s="428"/>
      <c r="BS118" s="428"/>
      <c r="BT118" s="428"/>
      <c r="BU118" s="232"/>
      <c r="BV118" s="40"/>
      <c r="BW118" s="40"/>
      <c r="BX118" s="40"/>
      <c r="BY118" s="40"/>
      <c r="BZ118" s="40"/>
      <c r="CA118" s="40"/>
      <c r="CB118" s="40"/>
      <c r="CC118" s="40"/>
      <c r="CD118" s="40"/>
      <c r="CE118" s="40"/>
      <c r="CF118" s="40"/>
      <c r="CG118" s="40"/>
      <c r="CH118" s="40"/>
      <c r="CI118" s="40"/>
      <c r="CJ118" s="40"/>
      <c r="CK118" s="40"/>
      <c r="CL118" s="40"/>
      <c r="CM118" s="40"/>
      <c r="CN118" s="40"/>
      <c r="CO118" s="40"/>
      <c r="CP118" s="40"/>
      <c r="CQ118" s="40"/>
      <c r="CR118" s="40"/>
      <c r="CS118" s="40"/>
      <c r="CT118" s="823"/>
      <c r="CU118" s="232"/>
      <c r="CV118" s="232"/>
      <c r="CW118" s="232"/>
      <c r="CX118" s="232"/>
      <c r="CY118" s="232"/>
      <c r="CZ118" s="40"/>
      <c r="DA118" s="40"/>
      <c r="DB118" s="40"/>
      <c r="DC118" s="40"/>
      <c r="DD118" s="40"/>
      <c r="DE118" s="40"/>
      <c r="DF118" s="232"/>
      <c r="DG118" s="232"/>
      <c r="DH118" s="232"/>
      <c r="DI118" s="232"/>
      <c r="DJ118" s="232"/>
      <c r="DK118" s="232"/>
      <c r="DL118" s="232"/>
      <c r="DM118" s="232"/>
      <c r="DN118" s="232"/>
    </row>
    <row r="119" spans="1:118">
      <c r="A119" s="40"/>
      <c r="B119" s="1"/>
      <c r="C119" s="564" t="s">
        <v>819</v>
      </c>
      <c r="D119" s="1"/>
      <c r="E119" s="273"/>
      <c r="F119" s="3"/>
      <c r="G119" s="3"/>
      <c r="H119" s="274"/>
      <c r="I119" s="28"/>
      <c r="J119" s="273"/>
      <c r="K119" s="3"/>
      <c r="L119" s="3"/>
      <c r="M119" s="274"/>
      <c r="N119" s="1"/>
      <c r="O119" s="273"/>
      <c r="P119" s="3"/>
      <c r="Q119" s="3"/>
      <c r="R119" s="274"/>
      <c r="S119" s="1"/>
      <c r="T119" s="758"/>
      <c r="U119" s="660"/>
      <c r="V119" s="660"/>
      <c r="W119" s="661"/>
      <c r="X119" s="428"/>
      <c r="Y119" s="758">
        <f>'Market Prices'!S$83</f>
        <v>9911.8076792134689</v>
      </c>
      <c r="Z119" s="660">
        <f>'Market Prices'!T$83</f>
        <v>11384.147247720264</v>
      </c>
      <c r="AA119" s="660">
        <f>'Market Prices'!U$83</f>
        <v>15573.185234756584</v>
      </c>
      <c r="AB119" s="661">
        <f>'Market Prices'!V$83</f>
        <v>10607.460008072527</v>
      </c>
      <c r="AC119" s="428">
        <f>AVERAGE(Y119:AB119)</f>
        <v>11869.150042440711</v>
      </c>
      <c r="AD119" s="758">
        <f>'Market Prices'!W$83</f>
        <v>10425.452124530333</v>
      </c>
      <c r="AE119" s="660">
        <f>'Market Prices'!Y$83</f>
        <v>17923.159637116962</v>
      </c>
      <c r="AF119" s="660">
        <f>'Market Prices'!Y$83</f>
        <v>17923.159637116962</v>
      </c>
      <c r="AG119" s="661">
        <f>'Market Prices'!Z$83</f>
        <v>17808.177795314739</v>
      </c>
      <c r="AH119" s="428">
        <f>AVERAGE(AD119:AG119)</f>
        <v>16019.987298519749</v>
      </c>
      <c r="AI119" s="758">
        <f>'Market Prices'!AA$83</f>
        <v>10435.739406819961</v>
      </c>
      <c r="AJ119" s="660">
        <f>'Market Prices'!AB$83</f>
        <v>22688.465601410513</v>
      </c>
      <c r="AK119" s="660">
        <f>'Market Prices'!AC$83</f>
        <v>29063.334258348081</v>
      </c>
      <c r="AL119" s="661">
        <f>'Market Prices'!AD$83</f>
        <v>23298.162468780309</v>
      </c>
      <c r="AM119" s="428">
        <f>AVERAGE(AI119:AL119)</f>
        <v>21371.425433839719</v>
      </c>
      <c r="AN119" s="758">
        <f>'Market Prices'!AE$83</f>
        <v>17051.205582715174</v>
      </c>
      <c r="AO119" s="660">
        <f>'Market Prices'!AF$83</f>
        <v>18139.264256659353</v>
      </c>
      <c r="AP119" s="660">
        <f>'Market Prices'!AG$83</f>
        <v>30127.615946596885</v>
      </c>
      <c r="AQ119" s="661">
        <f>'Market Prices'!AH$83</f>
        <v>12908.049102170644</v>
      </c>
      <c r="AR119" s="428">
        <f>AVERAGE(AN119:AQ119)</f>
        <v>19556.533722035514</v>
      </c>
      <c r="AS119" s="758">
        <f>'Market Prices'!AI$83</f>
        <v>11111.448318537523</v>
      </c>
      <c r="AT119" s="660">
        <f>'Market Prices'!AJ$83</f>
        <v>12879.867308086643</v>
      </c>
      <c r="AU119" s="660">
        <f>'Market Prices'!AK$83</f>
        <v>19709.573082387014</v>
      </c>
      <c r="AV119" s="661">
        <f>'Market Prices'!AM$83</f>
        <v>7552.144985638347</v>
      </c>
      <c r="AW119" s="428">
        <f>AVERAGE(AS119:AV119)</f>
        <v>12813.258423662382</v>
      </c>
      <c r="AX119" s="758">
        <f>'Market Prices'!AM$83</f>
        <v>7552.144985638347</v>
      </c>
      <c r="AY119" s="660">
        <f>'Market Prices'!AN$83</f>
        <v>15508.196721311475</v>
      </c>
      <c r="AZ119" s="660">
        <f>'Market Prices'!AO$83</f>
        <v>17145.420420420422</v>
      </c>
      <c r="BA119" s="661">
        <f>'Market Prices'!AP$83</f>
        <v>12891.744258224702</v>
      </c>
      <c r="BB119" s="428">
        <f>AVERAGE(AX119:BA119)</f>
        <v>13274.376596398735</v>
      </c>
      <c r="BC119" s="758">
        <f>'Market Prices'!AQ$83</f>
        <v>12752.248157113403</v>
      </c>
      <c r="BD119" s="660">
        <f>'Market Prices'!AR$83</f>
        <v>17021.585855808447</v>
      </c>
      <c r="BE119" s="660">
        <f>'Market Prices'!AS$83</f>
        <v>18914.044155281495</v>
      </c>
      <c r="BF119" s="661">
        <f>'Market Prices'!AT$83</f>
        <v>9489.5496195419528</v>
      </c>
      <c r="BG119" s="428">
        <f>AVERAGE(BC119:BF119)</f>
        <v>14544.356946936325</v>
      </c>
      <c r="BH119" s="758">
        <f>'Market Prices'!AU$83</f>
        <v>12943.493840954505</v>
      </c>
      <c r="BI119" s="660">
        <f>'Market Prices'!AV$83</f>
        <v>17276.858870177937</v>
      </c>
      <c r="BJ119" s="660">
        <f>'Market Prices'!AW$83</f>
        <v>19197.698399153764</v>
      </c>
      <c r="BK119" s="661">
        <f>'Market Prices'!AX$83</f>
        <v>9631.864557580624</v>
      </c>
      <c r="BL119" s="428">
        <f>AVERAGE(BH119:BK119)</f>
        <v>14762.478916966707</v>
      </c>
      <c r="BM119" s="758">
        <f>'Market Prices'!AY$83</f>
        <v>14408.571428571429</v>
      </c>
      <c r="BN119" s="660">
        <f>'Market Prices'!AZ$83</f>
        <v>14408.571428571429</v>
      </c>
      <c r="BO119" s="660">
        <f>'Market Prices'!BA$83</f>
        <v>14408.571428571429</v>
      </c>
      <c r="BP119" s="661">
        <f>'Market Prices'!BB$83</f>
        <v>14408.571428571429</v>
      </c>
      <c r="BQ119" s="759">
        <f>AVERAGE(BM119:BP119)</f>
        <v>14408.571428571429</v>
      </c>
      <c r="BR119" s="428"/>
      <c r="BS119" s="428"/>
      <c r="BT119" s="428"/>
      <c r="BU119" s="232"/>
      <c r="BV119" s="40"/>
      <c r="BW119" s="40"/>
      <c r="BX119" s="40"/>
      <c r="BY119" s="40"/>
      <c r="BZ119" s="40"/>
      <c r="CA119" s="40"/>
      <c r="CB119" s="40"/>
      <c r="CC119" s="40"/>
      <c r="CD119" s="40"/>
      <c r="CE119" s="40"/>
      <c r="CF119" s="40"/>
      <c r="CG119" s="40"/>
      <c r="CH119" s="40"/>
      <c r="CI119" s="40"/>
      <c r="CJ119" s="40"/>
      <c r="CK119" s="40"/>
      <c r="CL119" s="40"/>
      <c r="CM119" s="40"/>
      <c r="CN119" s="40"/>
      <c r="CO119" s="40"/>
      <c r="CP119" s="40"/>
      <c r="CQ119" s="40"/>
      <c r="CR119" s="40"/>
      <c r="CS119" s="40"/>
      <c r="CT119" s="823"/>
      <c r="CU119" s="232"/>
      <c r="CV119" s="232"/>
      <c r="CW119" s="232"/>
      <c r="CX119" s="232"/>
      <c r="CY119" s="232"/>
      <c r="CZ119" s="40"/>
      <c r="DA119" s="40"/>
      <c r="DB119" s="40"/>
      <c r="DC119" s="40"/>
      <c r="DD119" s="40"/>
      <c r="DE119" s="40"/>
      <c r="DF119" s="232"/>
      <c r="DG119" s="232"/>
      <c r="DH119" s="232"/>
      <c r="DI119" s="232"/>
      <c r="DJ119" s="232"/>
      <c r="DK119" s="232"/>
      <c r="DL119" s="232"/>
      <c r="DM119" s="232"/>
      <c r="DN119" s="232"/>
    </row>
    <row r="120" spans="1:118">
      <c r="A120" s="40"/>
      <c r="B120" s="1"/>
      <c r="C120" s="564" t="s">
        <v>820</v>
      </c>
      <c r="D120" s="1"/>
      <c r="E120" s="273"/>
      <c r="F120" s="3"/>
      <c r="G120" s="3"/>
      <c r="H120" s="274"/>
      <c r="I120" s="28"/>
      <c r="J120" s="273"/>
      <c r="K120" s="3"/>
      <c r="L120" s="3"/>
      <c r="M120" s="274"/>
      <c r="N120" s="1"/>
      <c r="O120" s="273"/>
      <c r="P120" s="3"/>
      <c r="Q120" s="3"/>
      <c r="R120" s="274"/>
      <c r="S120" s="1"/>
      <c r="T120" s="758"/>
      <c r="U120" s="660"/>
      <c r="V120" s="660"/>
      <c r="W120" s="661"/>
      <c r="X120" s="428"/>
      <c r="Y120" s="758">
        <f>'Market Prices'!S$101</f>
        <v>8039.5762260747151</v>
      </c>
      <c r="Z120" s="660">
        <f>'Market Prices'!T$101</f>
        <v>7560.6867566728806</v>
      </c>
      <c r="AA120" s="660">
        <f>'Market Prices'!U$101</f>
        <v>8465.7345865797197</v>
      </c>
      <c r="AB120" s="661">
        <f>'Market Prices'!V$101</f>
        <v>8094.5011996556996</v>
      </c>
      <c r="AC120" s="428">
        <f>AVERAGE(Y120:AB120)</f>
        <v>8040.124692245754</v>
      </c>
      <c r="AD120" s="758">
        <f>'Market Prices'!W$101</f>
        <v>7151.6799340099105</v>
      </c>
      <c r="AE120" s="660">
        <f>'Market Prices'!Y$101</f>
        <v>10479.170149283662</v>
      </c>
      <c r="AF120" s="660">
        <f>'Market Prices'!Y$101</f>
        <v>10479.170149283662</v>
      </c>
      <c r="AG120" s="661">
        <f>'Market Prices'!Z$101</f>
        <v>13653.53156496323</v>
      </c>
      <c r="AH120" s="428">
        <f>AVERAGE(AD120:AG120)</f>
        <v>10440.887949385116</v>
      </c>
      <c r="AI120" s="758">
        <f>'Market Prices'!AA$101</f>
        <v>8207.0387690658226</v>
      </c>
      <c r="AJ120" s="660">
        <f>'Market Prices'!AB$101</f>
        <v>15499.45605967582</v>
      </c>
      <c r="AK120" s="660">
        <f>'Market Prices'!AC$101</f>
        <v>15178.412461854665</v>
      </c>
      <c r="AL120" s="661">
        <f>'Market Prices'!AD$101</f>
        <v>19658.072019603624</v>
      </c>
      <c r="AM120" s="428">
        <f>AVERAGE(AI120:AL120)</f>
        <v>14635.744827549981</v>
      </c>
      <c r="AN120" s="758">
        <f>'Market Prices'!AE$101</f>
        <v>13822.547494014379</v>
      </c>
      <c r="AO120" s="660">
        <f>'Market Prices'!AF$101</f>
        <v>12166.262278237393</v>
      </c>
      <c r="AP120" s="660">
        <f>'Market Prices'!AG$101</f>
        <v>15635.007649191331</v>
      </c>
      <c r="AQ120" s="661">
        <f>'Market Prices'!AH$101</f>
        <v>9544.6541456185332</v>
      </c>
      <c r="AR120" s="428">
        <f>AVERAGE(AN120:AQ120)</f>
        <v>12792.117891765411</v>
      </c>
      <c r="AS120" s="758">
        <f>'Market Prices'!AI$101</f>
        <v>9801.7076446894607</v>
      </c>
      <c r="AT120" s="660">
        <f>'Market Prices'!AJ$101</f>
        <v>8644.1370259993801</v>
      </c>
      <c r="AU120" s="660">
        <f>'Market Prices'!AK$101</f>
        <v>11004.438339609598</v>
      </c>
      <c r="AV120" s="661">
        <f>'Market Prices'!AM$101</f>
        <v>7116.8692303849139</v>
      </c>
      <c r="AW120" s="428">
        <f>AVERAGE(AS120:AV120)</f>
        <v>9141.7880601708384</v>
      </c>
      <c r="AX120" s="758">
        <f>'Market Prices'!AM$101</f>
        <v>7116.8692303849139</v>
      </c>
      <c r="AY120" s="660">
        <f>'Market Prices'!AN$101</f>
        <v>11351.481425778313</v>
      </c>
      <c r="AZ120" s="660">
        <f>'Market Prices'!AO$101</f>
        <v>11381.381381381379</v>
      </c>
      <c r="BA120" s="661">
        <f>'Market Prices'!AP$101</f>
        <v>9497.1446306641828</v>
      </c>
      <c r="BB120" s="428">
        <f>AVERAGE(AX120:BA120)</f>
        <v>9836.719167052197</v>
      </c>
      <c r="BC120" s="758">
        <f>'Market Prices'!AQ$101</f>
        <v>10240.121890620401</v>
      </c>
      <c r="BD120" s="660">
        <f>'Market Prices'!AR$101</f>
        <v>11655.324608823219</v>
      </c>
      <c r="BE120" s="660">
        <f>'Market Prices'!AS$101</f>
        <v>11808.620980409776</v>
      </c>
      <c r="BF120" s="661">
        <f>'Market Prices'!AT$101</f>
        <v>8077.2747597348434</v>
      </c>
      <c r="BG120" s="428">
        <f>AVERAGE(BC120:BF120)</f>
        <v>10445.335559897059</v>
      </c>
      <c r="BH120" s="758">
        <f>'Market Prices'!AU$101</f>
        <v>10309.484579678321</v>
      </c>
      <c r="BI120" s="660">
        <f>'Market Prices'!AV$101</f>
        <v>11734.273342573297</v>
      </c>
      <c r="BJ120" s="660">
        <f>'Market Prices'!AW$101</f>
        <v>11888.608085447777</v>
      </c>
      <c r="BK120" s="661">
        <f>'Market Prices'!AX$101</f>
        <v>8131.9871453469759</v>
      </c>
      <c r="BL120" s="428">
        <f>AVERAGE(BH120:BK120)</f>
        <v>10516.088288261593</v>
      </c>
      <c r="BM120" s="758">
        <f>'Market Prices'!AY$101</f>
        <v>10764.111330967613</v>
      </c>
      <c r="BN120" s="660">
        <f>'Market Prices'!AZ$101</f>
        <v>10764.111330967613</v>
      </c>
      <c r="BO120" s="660">
        <f>'Market Prices'!BA$101</f>
        <v>10764.111330967613</v>
      </c>
      <c r="BP120" s="661">
        <f>'Market Prices'!BB$101</f>
        <v>10764.111330967613</v>
      </c>
      <c r="BQ120" s="759">
        <f>AVERAGE(BM120:BP120)</f>
        <v>10764.111330967613</v>
      </c>
      <c r="BR120" s="40"/>
      <c r="BS120" s="40"/>
      <c r="BT120" s="40"/>
      <c r="BU120" s="232"/>
      <c r="BV120" s="40"/>
      <c r="BW120" s="40"/>
      <c r="BX120" s="40"/>
      <c r="BY120" s="40"/>
      <c r="BZ120" s="40"/>
      <c r="CA120" s="40"/>
      <c r="CB120" s="40"/>
      <c r="CC120" s="40"/>
      <c r="CD120" s="40"/>
      <c r="CE120" s="40"/>
      <c r="CF120" s="40"/>
      <c r="CG120" s="40"/>
      <c r="CH120" s="40"/>
      <c r="CI120" s="40"/>
      <c r="CJ120" s="40"/>
      <c r="CK120" s="40"/>
      <c r="CL120" s="40"/>
      <c r="CM120" s="40"/>
      <c r="CN120" s="40"/>
      <c r="CO120" s="40"/>
      <c r="CP120" s="40"/>
      <c r="CQ120" s="40"/>
      <c r="CR120" s="40"/>
      <c r="CS120" s="40"/>
      <c r="CT120" s="823"/>
      <c r="CU120" s="232"/>
      <c r="CV120" s="232"/>
      <c r="CW120" s="232"/>
      <c r="CX120" s="232"/>
      <c r="CY120" s="232"/>
      <c r="CZ120" s="40"/>
      <c r="DA120" s="40"/>
      <c r="DB120" s="40"/>
      <c r="DC120" s="40"/>
      <c r="DD120" s="40"/>
      <c r="DE120" s="40"/>
      <c r="DF120" s="232"/>
      <c r="DG120" s="232"/>
      <c r="DH120" s="232"/>
      <c r="DI120" s="232"/>
      <c r="DJ120" s="232"/>
      <c r="DK120" s="232"/>
      <c r="DL120" s="232"/>
      <c r="DM120" s="232"/>
      <c r="DN120" s="232"/>
    </row>
    <row r="121" spans="1:118">
      <c r="A121" s="40"/>
      <c r="B121" s="1"/>
      <c r="C121" s="564"/>
      <c r="D121" s="1"/>
      <c r="E121" s="273"/>
      <c r="F121" s="3"/>
      <c r="G121" s="3"/>
      <c r="H121" s="274"/>
      <c r="I121" s="28"/>
      <c r="J121" s="273"/>
      <c r="K121" s="3"/>
      <c r="L121" s="3"/>
      <c r="M121" s="274"/>
      <c r="N121" s="1"/>
      <c r="O121" s="273"/>
      <c r="P121" s="3"/>
      <c r="Q121" s="3"/>
      <c r="R121" s="274"/>
      <c r="S121" s="1"/>
      <c r="T121" s="758"/>
      <c r="U121" s="660"/>
      <c r="V121" s="660"/>
      <c r="W121" s="661"/>
      <c r="X121" s="428"/>
      <c r="Y121" s="758"/>
      <c r="Z121" s="660"/>
      <c r="AA121" s="660"/>
      <c r="AB121" s="661"/>
      <c r="AC121" s="428"/>
      <c r="AD121" s="758"/>
      <c r="AE121" s="660"/>
      <c r="AF121" s="660"/>
      <c r="AG121" s="661"/>
      <c r="AH121" s="428"/>
      <c r="AI121" s="758"/>
      <c r="AJ121" s="660"/>
      <c r="AK121" s="660"/>
      <c r="AL121" s="661"/>
      <c r="AM121" s="428"/>
      <c r="AN121" s="758"/>
      <c r="AO121" s="660"/>
      <c r="AP121" s="660"/>
      <c r="AQ121" s="661"/>
      <c r="AR121" s="428"/>
      <c r="AS121" s="758"/>
      <c r="AT121" s="660"/>
      <c r="AU121" s="660"/>
      <c r="AV121" s="661"/>
      <c r="AW121" s="428"/>
      <c r="AX121" s="758"/>
      <c r="AY121" s="660"/>
      <c r="AZ121" s="660"/>
      <c r="BA121" s="661"/>
      <c r="BB121" s="428"/>
      <c r="BC121" s="758"/>
      <c r="BD121" s="660"/>
      <c r="BE121" s="660"/>
      <c r="BF121" s="661"/>
      <c r="BG121" s="428"/>
      <c r="BH121" s="758"/>
      <c r="BI121" s="660"/>
      <c r="BJ121" s="660"/>
      <c r="BK121" s="661"/>
      <c r="BL121" s="428"/>
      <c r="BM121" s="758"/>
      <c r="BN121" s="660"/>
      <c r="BO121" s="660"/>
      <c r="BP121" s="661"/>
      <c r="BQ121" s="759"/>
      <c r="BR121" s="40"/>
      <c r="BS121" s="40"/>
      <c r="BT121" s="40"/>
      <c r="BU121" s="232"/>
      <c r="BV121" s="40"/>
      <c r="BW121" s="40"/>
      <c r="BX121" s="40"/>
      <c r="BY121" s="40"/>
      <c r="BZ121" s="40"/>
      <c r="CA121" s="40"/>
      <c r="CB121" s="40"/>
      <c r="CC121" s="40"/>
      <c r="CD121" s="40"/>
      <c r="CE121" s="40"/>
      <c r="CF121" s="40"/>
      <c r="CG121" s="40"/>
      <c r="CH121" s="40"/>
      <c r="CI121" s="40"/>
      <c r="CJ121" s="40"/>
      <c r="CK121" s="40"/>
      <c r="CL121" s="40"/>
      <c r="CM121" s="40"/>
      <c r="CN121" s="40"/>
      <c r="CO121" s="40"/>
      <c r="CP121" s="40"/>
      <c r="CQ121" s="40"/>
      <c r="CR121" s="40"/>
      <c r="CS121" s="40"/>
      <c r="CT121" s="823"/>
      <c r="CU121" s="232"/>
      <c r="CV121" s="232"/>
      <c r="CW121" s="232"/>
      <c r="CX121" s="232"/>
      <c r="CY121" s="232"/>
      <c r="CZ121" s="40"/>
      <c r="DA121" s="40"/>
      <c r="DB121" s="40"/>
      <c r="DC121" s="40"/>
      <c r="DD121" s="40"/>
      <c r="DE121" s="40"/>
      <c r="DF121" s="232"/>
      <c r="DG121" s="232"/>
      <c r="DH121" s="232"/>
      <c r="DI121" s="232"/>
      <c r="DJ121" s="232"/>
      <c r="DK121" s="232"/>
      <c r="DL121" s="232"/>
      <c r="DM121" s="232"/>
      <c r="DN121" s="232"/>
    </row>
    <row r="122" spans="1:118">
      <c r="A122" s="40"/>
      <c r="B122" s="1"/>
      <c r="C122" s="563" t="s">
        <v>394</v>
      </c>
      <c r="D122" s="1"/>
      <c r="E122" s="273"/>
      <c r="F122" s="3"/>
      <c r="G122" s="3"/>
      <c r="H122" s="274"/>
      <c r="I122" s="28"/>
      <c r="J122" s="273"/>
      <c r="K122" s="3"/>
      <c r="L122" s="3"/>
      <c r="M122" s="274"/>
      <c r="N122" s="1"/>
      <c r="O122" s="273"/>
      <c r="P122" s="3"/>
      <c r="Q122" s="3"/>
      <c r="R122" s="274"/>
      <c r="S122" s="1"/>
      <c r="T122" s="273"/>
      <c r="U122" s="3"/>
      <c r="V122" s="3"/>
      <c r="W122" s="274"/>
      <c r="X122" s="1"/>
      <c r="Y122" s="273"/>
      <c r="Z122" s="3"/>
      <c r="AA122" s="3"/>
      <c r="AB122" s="274"/>
      <c r="AC122" s="1"/>
      <c r="AD122" s="273"/>
      <c r="AE122" s="3"/>
      <c r="AF122" s="3"/>
      <c r="AG122" s="274"/>
      <c r="AH122" s="1"/>
      <c r="AI122" s="273"/>
      <c r="AJ122" s="3"/>
      <c r="AK122" s="3"/>
      <c r="AL122" s="274"/>
      <c r="AM122" s="1"/>
      <c r="AN122" s="273"/>
      <c r="AO122" s="3"/>
      <c r="AP122" s="3"/>
      <c r="AQ122" s="274"/>
      <c r="AR122" s="1"/>
      <c r="AS122" s="273"/>
      <c r="AT122" s="3"/>
      <c r="AU122" s="3"/>
      <c r="AV122" s="274"/>
      <c r="AW122" s="1"/>
      <c r="AX122" s="273"/>
      <c r="AY122" s="3"/>
      <c r="AZ122" s="3"/>
      <c r="BA122" s="274"/>
      <c r="BB122" s="1"/>
      <c r="BC122" s="273"/>
      <c r="BD122" s="3"/>
      <c r="BE122" s="3"/>
      <c r="BF122" s="274"/>
      <c r="BG122" s="1"/>
      <c r="BH122" s="273"/>
      <c r="BI122" s="3"/>
      <c r="BJ122" s="3"/>
      <c r="BK122" s="274"/>
      <c r="BL122" s="1"/>
      <c r="BM122" s="273"/>
      <c r="BN122" s="3"/>
      <c r="BO122" s="3"/>
      <c r="BP122" s="274"/>
      <c r="BQ122" s="44"/>
      <c r="BR122" s="40"/>
      <c r="BS122" s="40"/>
      <c r="BT122" s="40"/>
      <c r="BU122" s="1"/>
      <c r="BV122" s="40"/>
      <c r="BW122" s="40"/>
      <c r="BX122" s="40"/>
      <c r="BY122" s="40"/>
      <c r="BZ122" s="40"/>
      <c r="CA122" s="40"/>
      <c r="CB122" s="40"/>
      <c r="CC122" s="40"/>
      <c r="CD122" s="40"/>
      <c r="CE122" s="40"/>
      <c r="CF122" s="40"/>
      <c r="CG122" s="40"/>
      <c r="CH122" s="40"/>
      <c r="CI122" s="40"/>
      <c r="CJ122" s="40"/>
      <c r="CK122" s="40"/>
      <c r="CL122" s="40"/>
      <c r="CM122" s="40"/>
      <c r="CN122" s="40"/>
      <c r="CO122" s="40"/>
      <c r="CP122" s="40"/>
      <c r="CQ122" s="40"/>
      <c r="CR122" s="40"/>
      <c r="CS122" s="40"/>
      <c r="CT122" s="823"/>
      <c r="CU122" s="232"/>
      <c r="CV122" s="232"/>
      <c r="CW122" s="232"/>
      <c r="CX122" s="232"/>
      <c r="CY122" s="232"/>
      <c r="CZ122" s="40"/>
      <c r="DA122" s="40"/>
      <c r="DB122" s="40"/>
      <c r="DC122" s="40"/>
      <c r="DD122" s="40"/>
      <c r="DE122" s="40"/>
      <c r="DF122" s="232"/>
      <c r="DG122" s="232"/>
      <c r="DH122" s="232"/>
      <c r="DI122" s="232"/>
      <c r="DJ122" s="232"/>
      <c r="DK122" s="232"/>
      <c r="DL122" s="232"/>
      <c r="DM122" s="232"/>
      <c r="DN122" s="232"/>
    </row>
    <row r="123" spans="1:118">
      <c r="A123" s="40"/>
      <c r="B123" s="1"/>
      <c r="C123" s="1948" t="s">
        <v>1383</v>
      </c>
      <c r="D123" s="1"/>
      <c r="E123" s="273"/>
      <c r="F123" s="3"/>
      <c r="G123" s="3"/>
      <c r="H123" s="274"/>
      <c r="I123" s="28"/>
      <c r="J123" s="273"/>
      <c r="K123" s="3"/>
      <c r="L123" s="3"/>
      <c r="M123" s="274"/>
      <c r="N123" s="1"/>
      <c r="O123" s="273"/>
      <c r="P123" s="3"/>
      <c r="Q123" s="3"/>
      <c r="R123" s="274"/>
      <c r="S123" s="441"/>
      <c r="T123" s="572"/>
      <c r="U123" s="573"/>
      <c r="V123" s="573"/>
      <c r="W123" s="574"/>
      <c r="X123" s="760"/>
      <c r="Y123" s="761">
        <f>'Market Prices'!S116</f>
        <v>16.46</v>
      </c>
      <c r="Z123" s="762">
        <f>'Market Prices'!T116</f>
        <v>20.216666666666669</v>
      </c>
      <c r="AA123" s="762">
        <f>'Market Prices'!U116</f>
        <v>27.73</v>
      </c>
      <c r="AB123" s="763">
        <f>'Market Prices'!V116</f>
        <v>27.73</v>
      </c>
      <c r="AC123" s="760">
        <f t="shared" ref="AC123:AC130" si="191">AVERAGE(Y123:AB123)</f>
        <v>23.034166666666668</v>
      </c>
      <c r="AD123" s="761">
        <f>'Market Prices'!W116</f>
        <v>27.73</v>
      </c>
      <c r="AE123" s="762">
        <f>'Market Prices'!Y116</f>
        <v>125.99</v>
      </c>
      <c r="AF123" s="762">
        <f>'Market Prices'!Y116</f>
        <v>125.99</v>
      </c>
      <c r="AG123" s="763">
        <f>'Market Prices'!Z116</f>
        <v>125.99</v>
      </c>
      <c r="AH123" s="760">
        <f t="shared" ref="AH123:AH130" si="192">AVERAGE(AD123:AG123)</f>
        <v>101.425</v>
      </c>
      <c r="AI123" s="761">
        <f>'Market Prices'!AA116</f>
        <v>125.99</v>
      </c>
      <c r="AJ123" s="762">
        <f>'Market Prices'!AB116</f>
        <v>129.32666666666668</v>
      </c>
      <c r="AK123" s="762">
        <f>'Market Prices'!AC116</f>
        <v>136</v>
      </c>
      <c r="AL123" s="763">
        <f>'Market Prices'!AD116</f>
        <v>136</v>
      </c>
      <c r="AM123" s="760">
        <f t="shared" ref="AM123:AM130" si="193">AVERAGE(AI123:AL123)</f>
        <v>131.82916666666665</v>
      </c>
      <c r="AN123" s="761">
        <f>'Market Prices'!AE116</f>
        <v>136</v>
      </c>
      <c r="AO123" s="762">
        <f>'Market Prices'!AF116</f>
        <v>110.45666666666666</v>
      </c>
      <c r="AP123" s="762">
        <f>'Market Prices'!AG116</f>
        <v>59.37</v>
      </c>
      <c r="AQ123" s="763">
        <f>'Market Prices'!AH116</f>
        <v>59.37</v>
      </c>
      <c r="AR123" s="760">
        <f t="shared" ref="AR123:AR130" si="194">AVERAGE(AN123:AQ123)</f>
        <v>91.299166666666665</v>
      </c>
      <c r="AS123" s="761">
        <f>'Market Prices'!AI116</f>
        <v>59.37</v>
      </c>
      <c r="AT123" s="762">
        <f>'Market Prices'!AJ116</f>
        <v>79.58</v>
      </c>
      <c r="AU123" s="762">
        <f>'Market Prices'!AK116</f>
        <v>120</v>
      </c>
      <c r="AV123" s="763">
        <f>'Market Prices'!AM116</f>
        <v>120</v>
      </c>
      <c r="AW123" s="760">
        <f t="shared" ref="AW123:AW130" si="195">AVERAGE(AS123:AV123)</f>
        <v>94.737499999999997</v>
      </c>
      <c r="AX123" s="761">
        <f>'Market Prices'!AM116</f>
        <v>120</v>
      </c>
      <c r="AY123" s="762">
        <f>'Market Prices'!AN116</f>
        <v>134.92333333333335</v>
      </c>
      <c r="AZ123" s="762">
        <f>'Market Prices'!AO116</f>
        <v>164.77</v>
      </c>
      <c r="BA123" s="763">
        <f>'Market Prices'!AP116</f>
        <v>164.77</v>
      </c>
      <c r="BB123" s="760">
        <f t="shared" ref="BB123:BB130" si="196">AVERAGE(AX123:BA123)</f>
        <v>146.11583333333334</v>
      </c>
      <c r="BC123" s="761">
        <f>'Market Prices'!AQ116</f>
        <v>164.77</v>
      </c>
      <c r="BD123" s="762">
        <f>'Market Prices'!AR116</f>
        <v>143.18</v>
      </c>
      <c r="BE123" s="762">
        <f>'Market Prices'!AS116</f>
        <v>100</v>
      </c>
      <c r="BF123" s="763">
        <f>'Market Prices'!AT116</f>
        <v>100</v>
      </c>
      <c r="BG123" s="760">
        <f t="shared" ref="BG123:BG130" si="197">AVERAGE(BC123:BF123)</f>
        <v>126.98750000000001</v>
      </c>
      <c r="BH123" s="761">
        <f>'Market Prices'!AU116</f>
        <v>100</v>
      </c>
      <c r="BI123" s="762">
        <f>'Market Prices'!AV116</f>
        <v>100</v>
      </c>
      <c r="BJ123" s="762">
        <f>'Market Prices'!AW116</f>
        <v>76.53</v>
      </c>
      <c r="BK123" s="763">
        <f>'Market Prices'!AX116</f>
        <v>76.53</v>
      </c>
      <c r="BL123" s="760">
        <f t="shared" ref="BL123:BL130" si="198">AVERAGE(BH123:BK123)</f>
        <v>88.264999999999986</v>
      </c>
      <c r="BM123" s="761">
        <f t="shared" ref="BM123:BM124" si="199">BN123</f>
        <v>160</v>
      </c>
      <c r="BN123" s="762">
        <f t="shared" ref="BN123:BN124" si="200">BO123</f>
        <v>160</v>
      </c>
      <c r="BO123" s="762">
        <f t="shared" ref="BO123:BO124" si="201">BP123</f>
        <v>160</v>
      </c>
      <c r="BP123" s="763">
        <f t="shared" ref="BP123:BP124" si="202">BQ123</f>
        <v>160</v>
      </c>
      <c r="BQ123" s="881">
        <f>+Valuation!BY34</f>
        <v>160</v>
      </c>
      <c r="BR123" s="40"/>
      <c r="BS123" s="40"/>
      <c r="BT123" s="40"/>
      <c r="BU123" s="1"/>
      <c r="BV123" s="40"/>
      <c r="BW123" s="40"/>
      <c r="BX123" s="40"/>
      <c r="BY123" s="40"/>
      <c r="BZ123" s="40"/>
      <c r="CA123" s="40"/>
      <c r="CB123" s="40"/>
      <c r="CC123" s="40"/>
      <c r="CD123" s="40"/>
      <c r="CE123" s="40"/>
      <c r="CF123" s="40"/>
      <c r="CG123" s="40"/>
      <c r="CH123" s="40"/>
      <c r="CI123" s="40"/>
      <c r="CJ123" s="40"/>
      <c r="CK123" s="40"/>
      <c r="CL123" s="40"/>
      <c r="CM123" s="40"/>
      <c r="CN123" s="40"/>
      <c r="CO123" s="40"/>
      <c r="CP123" s="40"/>
      <c r="CQ123" s="40"/>
      <c r="CR123" s="40"/>
      <c r="CS123" s="40"/>
      <c r="CT123" s="823"/>
      <c r="CU123" s="232"/>
      <c r="CV123" s="232"/>
      <c r="CW123" s="232"/>
      <c r="CX123" s="232"/>
      <c r="CY123" s="232"/>
      <c r="CZ123" s="40"/>
      <c r="DA123" s="40"/>
      <c r="DB123" s="40"/>
      <c r="DC123" s="40"/>
      <c r="DD123" s="40"/>
      <c r="DE123" s="40"/>
      <c r="DF123" s="232"/>
      <c r="DG123" s="232"/>
      <c r="DH123" s="232"/>
      <c r="DI123" s="232"/>
      <c r="DJ123" s="232"/>
      <c r="DK123" s="232"/>
      <c r="DL123" s="232"/>
      <c r="DM123" s="232"/>
      <c r="DN123" s="232"/>
    </row>
    <row r="124" spans="1:118">
      <c r="A124" s="40"/>
      <c r="B124" s="1"/>
      <c r="C124" s="567" t="s">
        <v>407</v>
      </c>
      <c r="D124" s="1"/>
      <c r="E124" s="273"/>
      <c r="F124" s="3"/>
      <c r="G124" s="3"/>
      <c r="H124" s="274"/>
      <c r="I124" s="28"/>
      <c r="J124" s="273"/>
      <c r="K124" s="3"/>
      <c r="L124" s="3"/>
      <c r="M124" s="274"/>
      <c r="N124" s="1"/>
      <c r="O124" s="273"/>
      <c r="P124" s="3"/>
      <c r="Q124" s="3"/>
      <c r="R124" s="274"/>
      <c r="S124" s="441"/>
      <c r="T124" s="572"/>
      <c r="U124" s="573"/>
      <c r="V124" s="573"/>
      <c r="W124" s="574"/>
      <c r="X124" s="760"/>
      <c r="Y124" s="761">
        <f>'Market Prices'!S119</f>
        <v>139.72999999999999</v>
      </c>
      <c r="Z124" s="762">
        <f>'Market Prices'!T119</f>
        <v>174.82</v>
      </c>
      <c r="AA124" s="762">
        <f>'Market Prices'!U119</f>
        <v>245</v>
      </c>
      <c r="AB124" s="763">
        <f>'Market Prices'!V119</f>
        <v>245</v>
      </c>
      <c r="AC124" s="760">
        <f t="shared" si="191"/>
        <v>201.13749999999999</v>
      </c>
      <c r="AD124" s="761">
        <f>'Market Prices'!W119</f>
        <v>245</v>
      </c>
      <c r="AE124" s="762">
        <f>'Market Prices'!Y119</f>
        <v>136.5</v>
      </c>
      <c r="AF124" s="762">
        <f>'Market Prices'!Y119</f>
        <v>136.5</v>
      </c>
      <c r="AG124" s="763">
        <f>'Market Prices'!Z119</f>
        <v>136.5</v>
      </c>
      <c r="AH124" s="760">
        <f t="shared" si="192"/>
        <v>163.625</v>
      </c>
      <c r="AI124" s="761">
        <f>'Market Prices'!AA119</f>
        <v>136.5</v>
      </c>
      <c r="AJ124" s="762">
        <f>'Market Prices'!AB119</f>
        <v>146.82</v>
      </c>
      <c r="AK124" s="762">
        <f>'Market Prices'!AC119</f>
        <v>167.46</v>
      </c>
      <c r="AL124" s="763">
        <f>'Market Prices'!AD119</f>
        <v>167.46</v>
      </c>
      <c r="AM124" s="760">
        <f t="shared" si="193"/>
        <v>154.56</v>
      </c>
      <c r="AN124" s="761">
        <f>'Market Prices'!AE119</f>
        <v>167.46</v>
      </c>
      <c r="AO124" s="762">
        <f>'Market Prices'!AF119</f>
        <v>151.35</v>
      </c>
      <c r="AP124" s="762">
        <f>'Market Prices'!AG119</f>
        <v>119.13</v>
      </c>
      <c r="AQ124" s="763">
        <f>'Market Prices'!AH119</f>
        <v>119.13</v>
      </c>
      <c r="AR124" s="760">
        <f t="shared" si="194"/>
        <v>139.26749999999998</v>
      </c>
      <c r="AS124" s="761">
        <f>'Market Prices'!AI119</f>
        <v>119.13</v>
      </c>
      <c r="AT124" s="762">
        <f>'Market Prices'!AJ119</f>
        <v>119.41999999999999</v>
      </c>
      <c r="AU124" s="762">
        <f>'Market Prices'!AK119</f>
        <v>120</v>
      </c>
      <c r="AV124" s="763">
        <f>'Market Prices'!AM119</f>
        <v>120</v>
      </c>
      <c r="AW124" s="760">
        <f t="shared" si="195"/>
        <v>119.63749999999999</v>
      </c>
      <c r="AX124" s="761">
        <f>'Market Prices'!AM119</f>
        <v>120</v>
      </c>
      <c r="AY124" s="762">
        <f>'Market Prices'!AN119</f>
        <v>155.13999999999999</v>
      </c>
      <c r="AZ124" s="762">
        <f>'Market Prices'!AO119</f>
        <v>225.42</v>
      </c>
      <c r="BA124" s="763">
        <f>'Market Prices'!AP119</f>
        <v>225.42</v>
      </c>
      <c r="BB124" s="760">
        <f t="shared" si="196"/>
        <v>181.49499999999998</v>
      </c>
      <c r="BC124" s="761">
        <f>'Market Prices'!AQ119</f>
        <v>225.42</v>
      </c>
      <c r="BD124" s="762">
        <f>'Market Prices'!AR119</f>
        <v>190.27999999999997</v>
      </c>
      <c r="BE124" s="762">
        <f>'Market Prices'!AS119</f>
        <v>120</v>
      </c>
      <c r="BF124" s="763">
        <f>'Market Prices'!AT119</f>
        <v>120</v>
      </c>
      <c r="BG124" s="760">
        <f t="shared" si="197"/>
        <v>163.92499999999998</v>
      </c>
      <c r="BH124" s="761">
        <f>'Market Prices'!AU119</f>
        <v>120</v>
      </c>
      <c r="BI124" s="762">
        <f>'Market Prices'!AV119</f>
        <v>142.62333333333333</v>
      </c>
      <c r="BJ124" s="762">
        <f>'Market Prices'!AW119</f>
        <v>187.87</v>
      </c>
      <c r="BK124" s="763">
        <f>'Market Prices'!AX119</f>
        <v>187.87</v>
      </c>
      <c r="BL124" s="760">
        <f t="shared" si="198"/>
        <v>159.59083333333334</v>
      </c>
      <c r="BM124" s="761">
        <f t="shared" si="199"/>
        <v>185</v>
      </c>
      <c r="BN124" s="762">
        <f t="shared" si="200"/>
        <v>185</v>
      </c>
      <c r="BO124" s="762">
        <f t="shared" si="201"/>
        <v>185</v>
      </c>
      <c r="BP124" s="763">
        <f t="shared" si="202"/>
        <v>185</v>
      </c>
      <c r="BQ124" s="881">
        <f>+Valuation!BY35</f>
        <v>185</v>
      </c>
      <c r="BR124" s="40"/>
      <c r="BS124" s="40"/>
      <c r="BT124" s="40"/>
      <c r="BU124" s="1"/>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823"/>
      <c r="CU124" s="232"/>
      <c r="CV124" s="232"/>
      <c r="CW124" s="232"/>
      <c r="CX124" s="232"/>
      <c r="CY124" s="232"/>
      <c r="CZ124" s="40"/>
      <c r="DA124" s="40"/>
      <c r="DB124" s="40"/>
      <c r="DC124" s="40"/>
      <c r="DD124" s="40"/>
      <c r="DE124" s="40"/>
      <c r="DF124" s="232"/>
      <c r="DG124" s="232"/>
      <c r="DH124" s="232"/>
      <c r="DI124" s="232"/>
      <c r="DJ124" s="232"/>
      <c r="DK124" s="232"/>
      <c r="DL124" s="232"/>
      <c r="DM124" s="232"/>
      <c r="DN124" s="232"/>
    </row>
    <row r="125" spans="1:118">
      <c r="A125" s="40"/>
      <c r="B125" s="1"/>
      <c r="C125" s="567" t="s">
        <v>791</v>
      </c>
      <c r="D125" s="1"/>
      <c r="E125" s="273"/>
      <c r="F125" s="3"/>
      <c r="G125" s="3"/>
      <c r="H125" s="274"/>
      <c r="I125" s="28"/>
      <c r="J125" s="273"/>
      <c r="K125" s="3"/>
      <c r="L125" s="3"/>
      <c r="M125" s="274"/>
      <c r="N125" s="1"/>
      <c r="O125" s="273"/>
      <c r="P125" s="3"/>
      <c r="Q125" s="3"/>
      <c r="R125" s="274"/>
      <c r="S125" s="441"/>
      <c r="T125" s="572"/>
      <c r="U125" s="573"/>
      <c r="V125" s="573"/>
      <c r="W125" s="574"/>
      <c r="X125" s="760"/>
      <c r="Y125" s="761">
        <f>'Market Prices'!S118</f>
        <v>133.37</v>
      </c>
      <c r="Z125" s="762">
        <f>'Market Prices'!T118</f>
        <v>164.29666666666665</v>
      </c>
      <c r="AA125" s="762">
        <f>'Market Prices'!U118</f>
        <v>226.15</v>
      </c>
      <c r="AB125" s="763">
        <f>'Market Prices'!V118</f>
        <v>226.15</v>
      </c>
      <c r="AC125" s="760">
        <f t="shared" si="191"/>
        <v>187.49166666666665</v>
      </c>
      <c r="AD125" s="761">
        <f>'Market Prices'!W118</f>
        <v>226.15</v>
      </c>
      <c r="AE125" s="762">
        <f>'Market Prices'!Y118</f>
        <v>136.5</v>
      </c>
      <c r="AF125" s="762">
        <f>'Market Prices'!Y118</f>
        <v>136.5</v>
      </c>
      <c r="AG125" s="763">
        <f>'Market Prices'!Z118</f>
        <v>136.5</v>
      </c>
      <c r="AH125" s="760">
        <f t="shared" si="192"/>
        <v>158.91249999999999</v>
      </c>
      <c r="AI125" s="761">
        <f>'Market Prices'!AA118</f>
        <v>136.5</v>
      </c>
      <c r="AJ125" s="762">
        <f>'Market Prices'!AB118</f>
        <v>146.82</v>
      </c>
      <c r="AK125" s="762">
        <f>'Market Prices'!AC118</f>
        <v>167.46</v>
      </c>
      <c r="AL125" s="763">
        <f>'Market Prices'!AD118</f>
        <v>167.46</v>
      </c>
      <c r="AM125" s="760">
        <f t="shared" si="193"/>
        <v>154.56</v>
      </c>
      <c r="AN125" s="761">
        <f>'Market Prices'!AE118</f>
        <v>167.46</v>
      </c>
      <c r="AO125" s="762">
        <f>'Market Prices'!AF118</f>
        <v>151.35</v>
      </c>
      <c r="AP125" s="762">
        <f>'Market Prices'!AG118</f>
        <v>119.13</v>
      </c>
      <c r="AQ125" s="763">
        <f>'Market Prices'!AH118</f>
        <v>119.13</v>
      </c>
      <c r="AR125" s="760">
        <f t="shared" si="194"/>
        <v>139.26749999999998</v>
      </c>
      <c r="AS125" s="761">
        <f>'Market Prices'!AI118</f>
        <v>119.13</v>
      </c>
      <c r="AT125" s="762">
        <f>'Market Prices'!AJ118</f>
        <v>119.41999999999999</v>
      </c>
      <c r="AU125" s="762">
        <f>'Market Prices'!AK118</f>
        <v>120</v>
      </c>
      <c r="AV125" s="763">
        <f>'Market Prices'!AM118</f>
        <v>120</v>
      </c>
      <c r="AW125" s="760">
        <f t="shared" si="195"/>
        <v>119.63749999999999</v>
      </c>
      <c r="AX125" s="761">
        <f>'Market Prices'!AM118</f>
        <v>120</v>
      </c>
      <c r="AY125" s="762">
        <f>'Market Prices'!AN118</f>
        <v>134.92333333333335</v>
      </c>
      <c r="AZ125" s="762">
        <f>'Market Prices'!AO118</f>
        <v>164.77</v>
      </c>
      <c r="BA125" s="763">
        <f>'Market Prices'!AP118</f>
        <v>164.77</v>
      </c>
      <c r="BB125" s="760">
        <f t="shared" si="196"/>
        <v>146.11583333333334</v>
      </c>
      <c r="BC125" s="761">
        <f>'Market Prices'!AQ118</f>
        <v>164.77</v>
      </c>
      <c r="BD125" s="762">
        <f>'Market Prices'!AR118</f>
        <v>143.18</v>
      </c>
      <c r="BE125" s="762">
        <f>'Market Prices'!AS118</f>
        <v>100</v>
      </c>
      <c r="BF125" s="763">
        <f>'Market Prices'!AT118</f>
        <v>100</v>
      </c>
      <c r="BG125" s="760">
        <f t="shared" si="197"/>
        <v>126.98750000000001</v>
      </c>
      <c r="BH125" s="761">
        <f>'Market Prices'!AU118</f>
        <v>100</v>
      </c>
      <c r="BI125" s="762">
        <f>'Market Prices'!AV118</f>
        <v>100</v>
      </c>
      <c r="BJ125" s="762">
        <f>'Market Prices'!AW118</f>
        <v>86.04</v>
      </c>
      <c r="BK125" s="763">
        <f>'Market Prices'!AX118</f>
        <v>86.04</v>
      </c>
      <c r="BL125" s="760">
        <f t="shared" si="198"/>
        <v>93.02000000000001</v>
      </c>
      <c r="BM125" s="761">
        <f t="shared" ref="BM125:BM127" si="203">+BN125</f>
        <v>175</v>
      </c>
      <c r="BN125" s="762">
        <f t="shared" ref="BN125:BN127" si="204">+BO125</f>
        <v>175</v>
      </c>
      <c r="BO125" s="762">
        <f t="shared" ref="BO125:BO127" si="205">+BP125</f>
        <v>175</v>
      </c>
      <c r="BP125" s="763">
        <f t="shared" ref="BP125:BP127" si="206">+BQ125</f>
        <v>175</v>
      </c>
      <c r="BQ125" s="881">
        <f>+BQ126</f>
        <v>175</v>
      </c>
      <c r="BR125" s="40"/>
      <c r="BS125" s="40"/>
      <c r="BT125" s="40"/>
      <c r="BU125" s="232"/>
      <c r="BV125" s="40"/>
      <c r="BW125" s="40"/>
      <c r="BX125" s="40"/>
      <c r="BY125" s="40"/>
      <c r="BZ125" s="40"/>
      <c r="CA125" s="40"/>
      <c r="CB125" s="40"/>
      <c r="CC125" s="40"/>
      <c r="CD125" s="40"/>
      <c r="CE125" s="40"/>
      <c r="CF125" s="40"/>
      <c r="CG125" s="40"/>
      <c r="CH125" s="40"/>
      <c r="CI125" s="40"/>
      <c r="CJ125" s="40"/>
      <c r="CK125" s="40"/>
      <c r="CL125" s="40"/>
      <c r="CM125" s="40"/>
      <c r="CN125" s="40"/>
      <c r="CO125" s="40"/>
      <c r="CP125" s="40"/>
      <c r="CQ125" s="40"/>
      <c r="CR125" s="40"/>
      <c r="CS125" s="40"/>
      <c r="CT125" s="823"/>
      <c r="CU125" s="232"/>
      <c r="CV125" s="232"/>
      <c r="CW125" s="232"/>
      <c r="CX125" s="232"/>
      <c r="CY125" s="232"/>
      <c r="CZ125" s="40"/>
      <c r="DA125" s="40"/>
      <c r="DB125" s="40"/>
      <c r="DC125" s="40"/>
      <c r="DD125" s="40"/>
      <c r="DE125" s="40"/>
      <c r="DF125" s="232"/>
      <c r="DG125" s="232"/>
      <c r="DH125" s="232"/>
      <c r="DI125" s="232"/>
      <c r="DJ125" s="232"/>
      <c r="DK125" s="232"/>
      <c r="DL125" s="232"/>
      <c r="DM125" s="232"/>
      <c r="DN125" s="232"/>
    </row>
    <row r="126" spans="1:118">
      <c r="A126" s="40"/>
      <c r="B126" s="1"/>
      <c r="C126" s="567" t="s">
        <v>792</v>
      </c>
      <c r="D126" s="1"/>
      <c r="E126" s="273"/>
      <c r="F126" s="3"/>
      <c r="G126" s="3"/>
      <c r="H126" s="274"/>
      <c r="I126" s="28"/>
      <c r="J126" s="273"/>
      <c r="K126" s="3"/>
      <c r="L126" s="3"/>
      <c r="M126" s="274"/>
      <c r="N126" s="1"/>
      <c r="O126" s="273"/>
      <c r="P126" s="3"/>
      <c r="Q126" s="3"/>
      <c r="R126" s="274"/>
      <c r="S126" s="441"/>
      <c r="T126" s="572"/>
      <c r="U126" s="573"/>
      <c r="V126" s="573"/>
      <c r="W126" s="574"/>
      <c r="X126" s="760"/>
      <c r="Y126" s="761">
        <f>'Market Prices'!S117</f>
        <v>133.37</v>
      </c>
      <c r="Z126" s="762">
        <f>'Market Prices'!T117</f>
        <v>164.29666666666665</v>
      </c>
      <c r="AA126" s="762">
        <f>'Market Prices'!U117</f>
        <v>226.15</v>
      </c>
      <c r="AB126" s="763">
        <f>'Market Prices'!V117</f>
        <v>226.15</v>
      </c>
      <c r="AC126" s="760">
        <f t="shared" si="191"/>
        <v>187.49166666666665</v>
      </c>
      <c r="AD126" s="761">
        <f>'Market Prices'!W117</f>
        <v>226.15</v>
      </c>
      <c r="AE126" s="762">
        <f>'Market Prices'!Y117</f>
        <v>136.5</v>
      </c>
      <c r="AF126" s="762">
        <f>'Market Prices'!Y117</f>
        <v>136.5</v>
      </c>
      <c r="AG126" s="763">
        <f>'Market Prices'!Z117</f>
        <v>136.5</v>
      </c>
      <c r="AH126" s="760">
        <f t="shared" si="192"/>
        <v>158.91249999999999</v>
      </c>
      <c r="AI126" s="761">
        <f>'Market Prices'!AA117</f>
        <v>136.5</v>
      </c>
      <c r="AJ126" s="762">
        <f>'Market Prices'!AB117</f>
        <v>146.82</v>
      </c>
      <c r="AK126" s="762">
        <f>'Market Prices'!AC117</f>
        <v>167.46</v>
      </c>
      <c r="AL126" s="763">
        <f>'Market Prices'!AD117</f>
        <v>167.46</v>
      </c>
      <c r="AM126" s="760">
        <f t="shared" si="193"/>
        <v>154.56</v>
      </c>
      <c r="AN126" s="761">
        <f>'Market Prices'!AE117</f>
        <v>167.46</v>
      </c>
      <c r="AO126" s="762">
        <f>'Market Prices'!AF117</f>
        <v>151.35</v>
      </c>
      <c r="AP126" s="762">
        <f>'Market Prices'!AG117</f>
        <v>119.13</v>
      </c>
      <c r="AQ126" s="763">
        <f>'Market Prices'!AH117</f>
        <v>119.13</v>
      </c>
      <c r="AR126" s="760">
        <f t="shared" si="194"/>
        <v>139.26749999999998</v>
      </c>
      <c r="AS126" s="761">
        <f>'Market Prices'!AI117</f>
        <v>119.13</v>
      </c>
      <c r="AT126" s="762">
        <f>'Market Prices'!AJ117</f>
        <v>119.41999999999999</v>
      </c>
      <c r="AU126" s="762">
        <f>'Market Prices'!AK117</f>
        <v>120</v>
      </c>
      <c r="AV126" s="763">
        <f>'Market Prices'!AM117</f>
        <v>120</v>
      </c>
      <c r="AW126" s="760">
        <f t="shared" si="195"/>
        <v>119.63749999999999</v>
      </c>
      <c r="AX126" s="761">
        <f>'Market Prices'!AM117</f>
        <v>120</v>
      </c>
      <c r="AY126" s="762">
        <f>'Market Prices'!AN117</f>
        <v>134.92333333333335</v>
      </c>
      <c r="AZ126" s="762">
        <f>'Market Prices'!AO117</f>
        <v>164.77</v>
      </c>
      <c r="BA126" s="763">
        <f>'Market Prices'!AP117</f>
        <v>164.77</v>
      </c>
      <c r="BB126" s="760">
        <f t="shared" si="196"/>
        <v>146.11583333333334</v>
      </c>
      <c r="BC126" s="761">
        <f>'Market Prices'!AQ117</f>
        <v>164.77</v>
      </c>
      <c r="BD126" s="762">
        <f>'Market Prices'!AR117</f>
        <v>143.18</v>
      </c>
      <c r="BE126" s="762">
        <f>'Market Prices'!AS117</f>
        <v>100</v>
      </c>
      <c r="BF126" s="763">
        <f>'Market Prices'!AT117</f>
        <v>100</v>
      </c>
      <c r="BG126" s="760">
        <f t="shared" si="197"/>
        <v>126.98750000000001</v>
      </c>
      <c r="BH126" s="761">
        <f>'Market Prices'!AU117</f>
        <v>100</v>
      </c>
      <c r="BI126" s="762">
        <f>'Market Prices'!AV117</f>
        <v>100</v>
      </c>
      <c r="BJ126" s="762">
        <f>'Market Prices'!AW117</f>
        <v>86.04</v>
      </c>
      <c r="BK126" s="763">
        <f>'Market Prices'!AX117</f>
        <v>86.04</v>
      </c>
      <c r="BL126" s="760">
        <f t="shared" si="198"/>
        <v>93.02000000000001</v>
      </c>
      <c r="BM126" s="761">
        <f t="shared" si="203"/>
        <v>175</v>
      </c>
      <c r="BN126" s="762">
        <f t="shared" si="204"/>
        <v>175</v>
      </c>
      <c r="BO126" s="762">
        <f t="shared" si="205"/>
        <v>175</v>
      </c>
      <c r="BP126" s="763">
        <f t="shared" si="206"/>
        <v>175</v>
      </c>
      <c r="BQ126" s="881">
        <f>Valuation!BY36</f>
        <v>175</v>
      </c>
      <c r="BR126" s="40"/>
      <c r="BS126" s="40"/>
      <c r="BT126" s="40"/>
      <c r="BU126" s="232"/>
      <c r="BV126" s="40"/>
      <c r="BW126" s="40"/>
      <c r="BX126" s="40"/>
      <c r="BY126" s="40"/>
      <c r="BZ126" s="40"/>
      <c r="CA126" s="40"/>
      <c r="CB126" s="40"/>
      <c r="CC126" s="40"/>
      <c r="CD126" s="40"/>
      <c r="CE126" s="40"/>
      <c r="CF126" s="40"/>
      <c r="CG126" s="40"/>
      <c r="CH126" s="40"/>
      <c r="CI126" s="40"/>
      <c r="CJ126" s="40"/>
      <c r="CK126" s="40"/>
      <c r="CL126" s="40"/>
      <c r="CM126" s="40"/>
      <c r="CN126" s="40"/>
      <c r="CO126" s="40"/>
      <c r="CP126" s="40"/>
      <c r="CQ126" s="40"/>
      <c r="CR126" s="40"/>
      <c r="CS126" s="40"/>
      <c r="CT126" s="823"/>
      <c r="CU126" s="232"/>
      <c r="CV126" s="232"/>
      <c r="CW126" s="232"/>
      <c r="CX126" s="232"/>
      <c r="CY126" s="232"/>
      <c r="CZ126" s="40"/>
      <c r="DA126" s="40"/>
      <c r="DB126" s="40"/>
      <c r="DC126" s="40"/>
      <c r="DD126" s="40"/>
      <c r="DE126" s="40"/>
      <c r="DF126" s="232"/>
      <c r="DG126" s="232"/>
      <c r="DH126" s="232"/>
      <c r="DI126" s="232"/>
      <c r="DJ126" s="232"/>
      <c r="DK126" s="232"/>
      <c r="DL126" s="232"/>
      <c r="DM126" s="232"/>
      <c r="DN126" s="232"/>
    </row>
    <row r="127" spans="1:118">
      <c r="A127" s="40"/>
      <c r="B127" s="1"/>
      <c r="C127" s="1948" t="s">
        <v>1305</v>
      </c>
      <c r="D127" s="1"/>
      <c r="E127" s="273"/>
      <c r="F127" s="3"/>
      <c r="G127" s="3"/>
      <c r="H127" s="274"/>
      <c r="I127" s="28"/>
      <c r="J127" s="273"/>
      <c r="K127" s="3"/>
      <c r="L127" s="3"/>
      <c r="M127" s="274"/>
      <c r="N127" s="1"/>
      <c r="O127" s="273"/>
      <c r="P127" s="3"/>
      <c r="Q127" s="3"/>
      <c r="R127" s="274"/>
      <c r="S127" s="441"/>
      <c r="T127" s="572"/>
      <c r="U127" s="573"/>
      <c r="V127" s="573"/>
      <c r="W127" s="574"/>
      <c r="X127" s="760"/>
      <c r="Y127" s="761">
        <f>'Market Prices'!S121</f>
        <v>16.46</v>
      </c>
      <c r="Z127" s="762">
        <f>'Market Prices'!T121</f>
        <v>20.216666666666669</v>
      </c>
      <c r="AA127" s="762">
        <f>'Market Prices'!U121</f>
        <v>27.73</v>
      </c>
      <c r="AB127" s="763">
        <f>'Market Prices'!V121</f>
        <v>27.73</v>
      </c>
      <c r="AC127" s="760">
        <f t="shared" si="191"/>
        <v>23.034166666666668</v>
      </c>
      <c r="AD127" s="761">
        <f>'Market Prices'!W121</f>
        <v>27.73</v>
      </c>
      <c r="AE127" s="762">
        <f>'Market Prices'!X121</f>
        <v>60.483333333333327</v>
      </c>
      <c r="AF127" s="762">
        <f>'Market Prices'!Y121</f>
        <v>125.99</v>
      </c>
      <c r="AG127" s="763">
        <f>'Market Prices'!Z121</f>
        <v>125.99</v>
      </c>
      <c r="AH127" s="760">
        <f t="shared" si="192"/>
        <v>85.048333333333332</v>
      </c>
      <c r="AI127" s="761">
        <f>'Market Prices'!AA121</f>
        <v>125.99</v>
      </c>
      <c r="AJ127" s="762">
        <f>'Market Prices'!AB121</f>
        <v>129.32666666666668</v>
      </c>
      <c r="AK127" s="762">
        <f>'Market Prices'!AC121</f>
        <v>136</v>
      </c>
      <c r="AL127" s="763">
        <f>'Market Prices'!AD121</f>
        <v>136</v>
      </c>
      <c r="AM127" s="760">
        <f t="shared" si="193"/>
        <v>131.82916666666665</v>
      </c>
      <c r="AN127" s="761">
        <f>'Market Prices'!AE121</f>
        <v>136</v>
      </c>
      <c r="AO127" s="762">
        <f>'Market Prices'!AF121</f>
        <v>110.45666666666666</v>
      </c>
      <c r="AP127" s="762">
        <f>'Market Prices'!AG121</f>
        <v>59.37</v>
      </c>
      <c r="AQ127" s="763">
        <f>'Market Prices'!AH121</f>
        <v>59.37</v>
      </c>
      <c r="AR127" s="760">
        <f t="shared" si="194"/>
        <v>91.299166666666665</v>
      </c>
      <c r="AS127" s="761">
        <f>'Market Prices'!AI121</f>
        <v>59.37</v>
      </c>
      <c r="AT127" s="762">
        <f>'Market Prices'!AJ121</f>
        <v>79.58</v>
      </c>
      <c r="AU127" s="762">
        <f>'Market Prices'!AK121</f>
        <v>120</v>
      </c>
      <c r="AV127" s="763">
        <f>'Market Prices'!AM121</f>
        <v>120</v>
      </c>
      <c r="AW127" s="760">
        <f t="shared" si="195"/>
        <v>94.737499999999997</v>
      </c>
      <c r="AX127" s="761">
        <f>'Market Prices'!AM121</f>
        <v>120</v>
      </c>
      <c r="AY127" s="762">
        <f>'Market Prices'!AN121</f>
        <v>151.66666666666666</v>
      </c>
      <c r="AZ127" s="762">
        <f>'Market Prices'!AO121</f>
        <v>215</v>
      </c>
      <c r="BA127" s="763">
        <f>'Market Prices'!AP121</f>
        <v>215</v>
      </c>
      <c r="BB127" s="760">
        <f t="shared" si="196"/>
        <v>175.41666666666666</v>
      </c>
      <c r="BC127" s="761">
        <f>'Market Prices'!AQ121</f>
        <v>215</v>
      </c>
      <c r="BD127" s="762">
        <f>'Market Prices'!AR121</f>
        <v>210.92333333333332</v>
      </c>
      <c r="BE127" s="762">
        <f>'Market Prices'!AS121</f>
        <v>202.77</v>
      </c>
      <c r="BF127" s="763">
        <f>'Market Prices'!AT121</f>
        <v>202.77</v>
      </c>
      <c r="BG127" s="760">
        <f t="shared" si="197"/>
        <v>207.86583333333331</v>
      </c>
      <c r="BH127" s="761">
        <f>'Market Prices'!AU121</f>
        <v>202.77</v>
      </c>
      <c r="BI127" s="762">
        <f>'Market Prices'!AV121</f>
        <v>202.77</v>
      </c>
      <c r="BJ127" s="762">
        <f>'Market Prices'!AW121</f>
        <v>188.12</v>
      </c>
      <c r="BK127" s="763">
        <f>'Market Prices'!AX121</f>
        <v>188.12</v>
      </c>
      <c r="BL127" s="760">
        <f t="shared" si="198"/>
        <v>195.44500000000002</v>
      </c>
      <c r="BM127" s="761">
        <f t="shared" si="203"/>
        <v>160</v>
      </c>
      <c r="BN127" s="762">
        <f t="shared" si="204"/>
        <v>160</v>
      </c>
      <c r="BO127" s="762">
        <f t="shared" si="205"/>
        <v>160</v>
      </c>
      <c r="BP127" s="763">
        <f t="shared" si="206"/>
        <v>160</v>
      </c>
      <c r="BQ127" s="881">
        <f>BQ123</f>
        <v>160</v>
      </c>
      <c r="BR127" s="40"/>
      <c r="BS127" s="40"/>
      <c r="BT127" s="40"/>
      <c r="BU127" s="232"/>
      <c r="BV127" s="40"/>
      <c r="BW127" s="40"/>
      <c r="BX127" s="40"/>
      <c r="BY127" s="40"/>
      <c r="BZ127" s="40"/>
      <c r="CA127" s="40"/>
      <c r="CB127" s="40"/>
      <c r="CC127" s="40"/>
      <c r="CD127" s="40"/>
      <c r="CE127" s="40"/>
      <c r="CF127" s="40"/>
      <c r="CG127" s="40"/>
      <c r="CH127" s="40"/>
      <c r="CI127" s="40"/>
      <c r="CJ127" s="40"/>
      <c r="CK127" s="40"/>
      <c r="CL127" s="40"/>
      <c r="CM127" s="40"/>
      <c r="CN127" s="40"/>
      <c r="CO127" s="40"/>
      <c r="CP127" s="40"/>
      <c r="CQ127" s="40"/>
      <c r="CR127" s="40"/>
      <c r="CS127" s="40"/>
      <c r="CT127" s="823"/>
      <c r="CU127" s="232"/>
      <c r="CV127" s="232"/>
      <c r="CW127" s="232"/>
      <c r="CX127" s="232"/>
      <c r="CY127" s="232"/>
      <c r="CZ127" s="40"/>
      <c r="DA127" s="40"/>
      <c r="DB127" s="40"/>
      <c r="DC127" s="40"/>
      <c r="DD127" s="40"/>
      <c r="DE127" s="40"/>
      <c r="DF127" s="232"/>
      <c r="DG127" s="232"/>
      <c r="DH127" s="232"/>
      <c r="DI127" s="232"/>
      <c r="DJ127" s="232"/>
      <c r="DK127" s="232"/>
      <c r="DL127" s="232"/>
      <c r="DM127" s="232"/>
      <c r="DN127" s="232"/>
    </row>
    <row r="128" spans="1:118">
      <c r="A128" s="40"/>
      <c r="B128" s="1"/>
      <c r="C128" s="567" t="s">
        <v>303</v>
      </c>
      <c r="D128" s="1"/>
      <c r="E128" s="273"/>
      <c r="F128" s="3"/>
      <c r="G128" s="3"/>
      <c r="H128" s="274"/>
      <c r="I128" s="28"/>
      <c r="J128" s="273"/>
      <c r="K128" s="3"/>
      <c r="L128" s="3"/>
      <c r="M128" s="274"/>
      <c r="N128" s="1"/>
      <c r="O128" s="273"/>
      <c r="P128" s="3"/>
      <c r="Q128" s="3"/>
      <c r="R128" s="274"/>
      <c r="S128" s="441"/>
      <c r="T128" s="572"/>
      <c r="U128" s="573"/>
      <c r="V128" s="573"/>
      <c r="W128" s="574"/>
      <c r="X128" s="760"/>
      <c r="Y128" s="761">
        <f>'Market Prices'!S123</f>
        <v>27</v>
      </c>
      <c r="Z128" s="762">
        <f>'Market Prices'!T123</f>
        <v>101</v>
      </c>
      <c r="AA128" s="762">
        <f>'Market Prices'!U123</f>
        <v>138</v>
      </c>
      <c r="AB128" s="763">
        <f>'Market Prices'!V123</f>
        <v>108.66666666666667</v>
      </c>
      <c r="AC128" s="760">
        <f t="shared" si="191"/>
        <v>93.666666666666671</v>
      </c>
      <c r="AD128" s="761">
        <f>'Market Prices'!W123</f>
        <v>94</v>
      </c>
      <c r="AE128" s="762">
        <f>'Market Prices'!Y123</f>
        <v>169</v>
      </c>
      <c r="AF128" s="762">
        <f>'Market Prices'!Y123</f>
        <v>169</v>
      </c>
      <c r="AG128" s="763">
        <f>'Market Prices'!Z123</f>
        <v>108.38812785388127</v>
      </c>
      <c r="AH128" s="760">
        <f t="shared" si="192"/>
        <v>135.09703196347033</v>
      </c>
      <c r="AI128" s="761">
        <f>'Market Prices'!AA123</f>
        <v>78.082191780821915</v>
      </c>
      <c r="AJ128" s="762">
        <f>'Market Prices'!AB123</f>
        <v>103.83561643835614</v>
      </c>
      <c r="AK128" s="762">
        <f>'Market Prices'!AC123</f>
        <v>116.71232876712327</v>
      </c>
      <c r="AL128" s="763">
        <f>'Market Prices'!AD123</f>
        <v>63.452054794520535</v>
      </c>
      <c r="AM128" s="760">
        <f t="shared" si="193"/>
        <v>90.520547945205465</v>
      </c>
      <c r="AN128" s="761">
        <f>'Market Prices'!AE123</f>
        <v>36.821917808219183</v>
      </c>
      <c r="AO128" s="762">
        <f>'Market Prices'!AF123</f>
        <v>91.61643835616438</v>
      </c>
      <c r="AP128" s="762">
        <f>'Market Prices'!AG123</f>
        <v>119.01369863013699</v>
      </c>
      <c r="AQ128" s="763">
        <f>'Market Prices'!AH123</f>
        <v>56.109589041095887</v>
      </c>
      <c r="AR128" s="760">
        <f t="shared" si="194"/>
        <v>75.890410958904113</v>
      </c>
      <c r="AS128" s="761">
        <f>'Market Prices'!AI123</f>
        <v>24.657534246575342</v>
      </c>
      <c r="AT128" s="762">
        <f>'Market Prices'!AJ123</f>
        <v>101.36986301369862</v>
      </c>
      <c r="AU128" s="762">
        <f>'Market Prices'!AK123</f>
        <v>139.72602739726028</v>
      </c>
      <c r="AV128" s="763">
        <f>'Market Prices'!AM123</f>
        <v>42.739726027397268</v>
      </c>
      <c r="AW128" s="760">
        <f t="shared" si="195"/>
        <v>77.123287671232873</v>
      </c>
      <c r="AX128" s="761">
        <f>'Market Prices'!AM123</f>
        <v>42.739726027397268</v>
      </c>
      <c r="AY128" s="762">
        <f>'Market Prices'!AN123</f>
        <v>123.83561643835615</v>
      </c>
      <c r="AZ128" s="762">
        <f>'Market Prices'!AO123</f>
        <v>164.38356164383561</v>
      </c>
      <c r="BA128" s="763">
        <f>'Market Prices'!AP123</f>
        <v>83.287671232876704</v>
      </c>
      <c r="BB128" s="760">
        <f t="shared" si="196"/>
        <v>103.56164383561642</v>
      </c>
      <c r="BC128" s="761">
        <f>'Market Prices'!AQ123</f>
        <v>42.739726027397268</v>
      </c>
      <c r="BD128" s="762">
        <f>'Market Prices'!AR123</f>
        <v>123.83561643835615</v>
      </c>
      <c r="BE128" s="762">
        <f>'Market Prices'!AS123</f>
        <v>164.38356164383561</v>
      </c>
      <c r="BF128" s="763">
        <f>'Market Prices'!AT123</f>
        <v>83.287671232876704</v>
      </c>
      <c r="BG128" s="760">
        <f t="shared" si="197"/>
        <v>103.56164383561642</v>
      </c>
      <c r="BH128" s="761">
        <f>'Market Prices'!AU123</f>
        <v>42.739726027397268</v>
      </c>
      <c r="BI128" s="762">
        <f>'Market Prices'!AV123</f>
        <v>123.83561643835615</v>
      </c>
      <c r="BJ128" s="762">
        <f>'Market Prices'!AW123</f>
        <v>164.38356164383561</v>
      </c>
      <c r="BK128" s="763">
        <f>'Market Prices'!AX123</f>
        <v>83.287671232876704</v>
      </c>
      <c r="BL128" s="760">
        <f t="shared" si="198"/>
        <v>103.56164383561642</v>
      </c>
      <c r="BM128" s="761">
        <f>'Market Prices'!AY123</f>
        <v>42.739726027397268</v>
      </c>
      <c r="BN128" s="762">
        <f>'Market Prices'!AZ123</f>
        <v>123.83561643835615</v>
      </c>
      <c r="BO128" s="762">
        <f>'Market Prices'!BA123</f>
        <v>164.38356164383561</v>
      </c>
      <c r="BP128" s="763">
        <f>'Market Prices'!BB123</f>
        <v>83.287671232876704</v>
      </c>
      <c r="BQ128" s="764">
        <f>AVERAGE(BM128:BP128)</f>
        <v>103.56164383561642</v>
      </c>
      <c r="BR128" s="40"/>
      <c r="BS128" s="40"/>
      <c r="BT128" s="40"/>
      <c r="BU128" s="232"/>
      <c r="BV128" s="40"/>
      <c r="BW128" s="40"/>
      <c r="BX128" s="40"/>
      <c r="BY128" s="40"/>
      <c r="BZ128" s="40"/>
      <c r="CA128" s="40"/>
      <c r="CB128" s="40"/>
      <c r="CC128" s="40"/>
      <c r="CD128" s="40"/>
      <c r="CE128" s="40"/>
      <c r="CF128" s="40"/>
      <c r="CG128" s="40"/>
      <c r="CH128" s="40"/>
      <c r="CI128" s="40"/>
      <c r="CJ128" s="40"/>
      <c r="CK128" s="40"/>
      <c r="CL128" s="40"/>
      <c r="CM128" s="40"/>
      <c r="CN128" s="40"/>
      <c r="CO128" s="40"/>
      <c r="CP128" s="40"/>
      <c r="CQ128" s="40"/>
      <c r="CR128" s="40"/>
      <c r="CS128" s="40"/>
      <c r="CT128" s="823"/>
      <c r="CU128" s="232"/>
      <c r="CV128" s="232"/>
      <c r="CW128" s="232"/>
      <c r="CX128" s="232"/>
      <c r="CY128" s="232"/>
      <c r="CZ128" s="40"/>
      <c r="DA128" s="40"/>
      <c r="DB128" s="40"/>
      <c r="DC128" s="40"/>
      <c r="DD128" s="40"/>
      <c r="DE128" s="40"/>
      <c r="DF128" s="232"/>
      <c r="DG128" s="232"/>
      <c r="DH128" s="232"/>
      <c r="DI128" s="232"/>
      <c r="DJ128" s="232"/>
      <c r="DK128" s="232"/>
      <c r="DL128" s="232"/>
      <c r="DM128" s="232"/>
      <c r="DN128" s="232"/>
    </row>
    <row r="129" spans="1:118">
      <c r="A129" s="40"/>
      <c r="B129" s="1"/>
      <c r="C129" s="564" t="s">
        <v>978</v>
      </c>
      <c r="D129" s="1"/>
      <c r="E129" s="273"/>
      <c r="F129" s="3"/>
      <c r="G129" s="3"/>
      <c r="H129" s="274"/>
      <c r="I129" s="28"/>
      <c r="J129" s="273"/>
      <c r="K129" s="3"/>
      <c r="L129" s="3"/>
      <c r="M129" s="274"/>
      <c r="N129" s="1"/>
      <c r="O129" s="273"/>
      <c r="P129" s="3"/>
      <c r="Q129" s="3"/>
      <c r="R129" s="274"/>
      <c r="S129" s="441"/>
      <c r="T129" s="572"/>
      <c r="U129" s="573"/>
      <c r="V129" s="573"/>
      <c r="W129" s="574"/>
      <c r="X129" s="760"/>
      <c r="Y129" s="761">
        <f>'Market Prices'!S128</f>
        <v>83.34</v>
      </c>
      <c r="Z129" s="762">
        <f>'Market Prices'!T128</f>
        <v>83.13333333333334</v>
      </c>
      <c r="AA129" s="762">
        <f>'Market Prices'!U128</f>
        <v>82.72</v>
      </c>
      <c r="AB129" s="763">
        <f>'Market Prices'!V128</f>
        <v>82.72</v>
      </c>
      <c r="AC129" s="760">
        <f t="shared" si="191"/>
        <v>82.978333333333339</v>
      </c>
      <c r="AD129" s="761">
        <f>'Market Prices'!W128</f>
        <v>82.72</v>
      </c>
      <c r="AE129" s="762">
        <f>'Market Prices'!Y128</f>
        <v>93.86</v>
      </c>
      <c r="AF129" s="762">
        <f>'Market Prices'!Y128</f>
        <v>93.86</v>
      </c>
      <c r="AG129" s="763">
        <f>'Market Prices'!Z128</f>
        <v>93.86</v>
      </c>
      <c r="AH129" s="760">
        <f t="shared" si="192"/>
        <v>91.075000000000003</v>
      </c>
      <c r="AI129" s="761">
        <f>'Market Prices'!AA128</f>
        <v>93.86</v>
      </c>
      <c r="AJ129" s="762">
        <f>'Market Prices'!AB128</f>
        <v>96.874703196347028</v>
      </c>
      <c r="AK129" s="762">
        <f>'Market Prices'!AC128</f>
        <v>102.9041095890411</v>
      </c>
      <c r="AL129" s="763">
        <f>'Market Prices'!AD128</f>
        <v>102.9041095890411</v>
      </c>
      <c r="AM129" s="760">
        <f t="shared" si="193"/>
        <v>99.13573059360732</v>
      </c>
      <c r="AN129" s="761">
        <f>'Market Prices'!AE128</f>
        <v>103</v>
      </c>
      <c r="AO129" s="762">
        <f>'Market Prices'!AF128</f>
        <v>161</v>
      </c>
      <c r="AP129" s="762">
        <f>'Market Prices'!AG128</f>
        <v>219</v>
      </c>
      <c r="AQ129" s="763">
        <f>'Market Prices'!AH128</f>
        <v>219</v>
      </c>
      <c r="AR129" s="760">
        <f t="shared" si="194"/>
        <v>175.5</v>
      </c>
      <c r="AS129" s="761">
        <f>'Market Prices'!AI128</f>
        <v>219</v>
      </c>
      <c r="AT129" s="762">
        <f>'Market Prices'!AJ128</f>
        <v>310.38356164383561</v>
      </c>
      <c r="AU129" s="762">
        <f>'Market Prices'!AK128</f>
        <v>493.15068493150687</v>
      </c>
      <c r="AV129" s="763">
        <f>'Market Prices'!AM128</f>
        <v>493.15068493150687</v>
      </c>
      <c r="AW129" s="760">
        <f t="shared" si="195"/>
        <v>378.92123287671234</v>
      </c>
      <c r="AX129" s="761">
        <f>'Market Prices'!AM128</f>
        <v>493.15068493150687</v>
      </c>
      <c r="AY129" s="762">
        <f>'Market Prices'!AN128</f>
        <v>433.42465753424653</v>
      </c>
      <c r="AZ129" s="762">
        <f>'Market Prices'!AO128</f>
        <v>313.97260273972609</v>
      </c>
      <c r="BA129" s="763">
        <f>'Market Prices'!AP128</f>
        <v>313.97260273972609</v>
      </c>
      <c r="BB129" s="760">
        <f t="shared" si="196"/>
        <v>388.63013698630141</v>
      </c>
      <c r="BC129" s="761">
        <f>'Market Prices'!AQ128</f>
        <v>313.97260273972609</v>
      </c>
      <c r="BD129" s="762">
        <f>'Market Prices'!AR128</f>
        <v>286.35616438356169</v>
      </c>
      <c r="BE129" s="762">
        <f>'Market Prices'!AS128</f>
        <v>231.12328767123287</v>
      </c>
      <c r="BF129" s="763">
        <f>'Market Prices'!AT128</f>
        <v>231.12328767123287</v>
      </c>
      <c r="BG129" s="760">
        <f t="shared" si="197"/>
        <v>265.64383561643837</v>
      </c>
      <c r="BH129" s="761">
        <f>'Market Prices'!AU128</f>
        <v>231.12328767123287</v>
      </c>
      <c r="BI129" s="762">
        <f>'Market Prices'!AV128</f>
        <v>212.13150684931506</v>
      </c>
      <c r="BJ129" s="762">
        <f>'Market Prices'!AW128</f>
        <v>174.14794520547943</v>
      </c>
      <c r="BK129" s="763">
        <f>'Market Prices'!AX128</f>
        <v>174.14794520547943</v>
      </c>
      <c r="BL129" s="760">
        <f t="shared" si="198"/>
        <v>197.8876712328767</v>
      </c>
      <c r="BM129" s="761">
        <f>+BN129</f>
        <v>200</v>
      </c>
      <c r="BN129" s="762">
        <f>+BO129</f>
        <v>200</v>
      </c>
      <c r="BO129" s="762">
        <f>+BP129</f>
        <v>200</v>
      </c>
      <c r="BP129" s="763">
        <f>+BQ129</f>
        <v>200</v>
      </c>
      <c r="BQ129" s="881">
        <f>Valuation!$BY$38</f>
        <v>200</v>
      </c>
      <c r="BR129" s="40"/>
      <c r="BS129" s="40"/>
      <c r="BT129" s="40"/>
      <c r="BU129" s="232"/>
      <c r="BV129" s="40"/>
      <c r="BW129" s="40"/>
      <c r="BX129" s="40"/>
      <c r="BY129" s="40"/>
      <c r="BZ129" s="40"/>
      <c r="CA129" s="40"/>
      <c r="CB129" s="40"/>
      <c r="CC129" s="40"/>
      <c r="CD129" s="40"/>
      <c r="CE129" s="40"/>
      <c r="CF129" s="40"/>
      <c r="CG129" s="40"/>
      <c r="CH129" s="40"/>
      <c r="CI129" s="40"/>
      <c r="CJ129" s="40"/>
      <c r="CK129" s="40"/>
      <c r="CL129" s="40"/>
      <c r="CM129" s="40"/>
      <c r="CN129" s="40"/>
      <c r="CO129" s="40"/>
      <c r="CP129" s="40"/>
      <c r="CQ129" s="40"/>
      <c r="CR129" s="40"/>
      <c r="CS129" s="40"/>
      <c r="CT129" s="823"/>
      <c r="CU129" s="232"/>
      <c r="CV129" s="232"/>
      <c r="CW129" s="232"/>
      <c r="CX129" s="232"/>
      <c r="CY129" s="232"/>
      <c r="CZ129" s="40"/>
      <c r="DA129" s="40"/>
      <c r="DB129" s="40"/>
      <c r="DC129" s="40"/>
      <c r="DD129" s="40"/>
      <c r="DE129" s="40"/>
      <c r="DF129" s="232"/>
      <c r="DG129" s="232"/>
      <c r="DH129" s="232"/>
      <c r="DI129" s="232"/>
      <c r="DJ129" s="232"/>
      <c r="DK129" s="232"/>
      <c r="DL129" s="232"/>
      <c r="DM129" s="232"/>
      <c r="DN129" s="232"/>
    </row>
    <row r="130" spans="1:118">
      <c r="A130" s="40"/>
      <c r="B130" s="1"/>
      <c r="C130" s="1948" t="s">
        <v>1118</v>
      </c>
      <c r="D130" s="1"/>
      <c r="E130" s="273"/>
      <c r="F130" s="3"/>
      <c r="G130" s="3"/>
      <c r="H130" s="274"/>
      <c r="I130" s="28"/>
      <c r="J130" s="273"/>
      <c r="K130" s="3"/>
      <c r="L130" s="3"/>
      <c r="M130" s="274"/>
      <c r="N130" s="1"/>
      <c r="O130" s="273"/>
      <c r="P130" s="3"/>
      <c r="Q130" s="3"/>
      <c r="R130" s="274"/>
      <c r="S130" s="441"/>
      <c r="T130" s="572"/>
      <c r="U130" s="573"/>
      <c r="V130" s="573"/>
      <c r="W130" s="574"/>
      <c r="X130" s="760"/>
      <c r="Y130" s="761">
        <f>'Market Prices'!S126</f>
        <v>0.1</v>
      </c>
      <c r="Z130" s="762">
        <f>'Market Prices'!T126</f>
        <v>0.41666666666666669</v>
      </c>
      <c r="AA130" s="762">
        <f>'Market Prices'!U126</f>
        <v>1.05</v>
      </c>
      <c r="AB130" s="763">
        <f>'Market Prices'!V126</f>
        <v>1.05</v>
      </c>
      <c r="AC130" s="760">
        <f t="shared" si="191"/>
        <v>0.65416666666666679</v>
      </c>
      <c r="AD130" s="761">
        <f>'Market Prices'!W126</f>
        <v>1.05</v>
      </c>
      <c r="AE130" s="762">
        <f>'Market Prices'!Y126</f>
        <v>16.75</v>
      </c>
      <c r="AF130" s="762">
        <f>'Market Prices'!Y126</f>
        <v>16.75</v>
      </c>
      <c r="AG130" s="763">
        <f>'Market Prices'!Z126</f>
        <v>16.75</v>
      </c>
      <c r="AH130" s="760">
        <f t="shared" si="192"/>
        <v>12.824999999999999</v>
      </c>
      <c r="AI130" s="761">
        <f>'Market Prices'!AA126</f>
        <v>16.75</v>
      </c>
      <c r="AJ130" s="762">
        <f>'Market Prices'!AB126</f>
        <v>105.58333333333333</v>
      </c>
      <c r="AK130" s="762">
        <f>'Market Prices'!AC126</f>
        <v>150</v>
      </c>
      <c r="AL130" s="763">
        <f>'Market Prices'!AD126</f>
        <v>150</v>
      </c>
      <c r="AM130" s="760">
        <f t="shared" si="193"/>
        <v>105.58333333333333</v>
      </c>
      <c r="AN130" s="761">
        <f>'Market Prices'!AE126</f>
        <v>150</v>
      </c>
      <c r="AO130" s="762">
        <f>'Market Prices'!AF126</f>
        <v>150</v>
      </c>
      <c r="AP130" s="762">
        <f>'Market Prices'!AG126</f>
        <v>150</v>
      </c>
      <c r="AQ130" s="763">
        <f>'Market Prices'!AH126</f>
        <v>150</v>
      </c>
      <c r="AR130" s="760">
        <f t="shared" si="194"/>
        <v>150</v>
      </c>
      <c r="AS130" s="761">
        <f>'Market Prices'!AI126</f>
        <v>150</v>
      </c>
      <c r="AT130" s="762">
        <f>'Market Prices'!AJ126</f>
        <v>150</v>
      </c>
      <c r="AU130" s="762">
        <f>'Market Prices'!AK126</f>
        <v>150</v>
      </c>
      <c r="AV130" s="763">
        <f>'Market Prices'!AM126</f>
        <v>150</v>
      </c>
      <c r="AW130" s="760">
        <f t="shared" si="195"/>
        <v>150</v>
      </c>
      <c r="AX130" s="761">
        <f>'Market Prices'!AM126</f>
        <v>150</v>
      </c>
      <c r="AY130" s="762">
        <f>'Market Prices'!AN126</f>
        <v>150</v>
      </c>
      <c r="AZ130" s="762">
        <f>'Market Prices'!AO126</f>
        <v>150</v>
      </c>
      <c r="BA130" s="763">
        <f>'Market Prices'!AP126</f>
        <v>150</v>
      </c>
      <c r="BB130" s="760">
        <f t="shared" si="196"/>
        <v>150</v>
      </c>
      <c r="BC130" s="761">
        <f>'Market Prices'!AQ126</f>
        <v>150</v>
      </c>
      <c r="BD130" s="762">
        <f>'Market Prices'!AR126</f>
        <v>150</v>
      </c>
      <c r="BE130" s="762">
        <f>'Market Prices'!AS126</f>
        <v>150</v>
      </c>
      <c r="BF130" s="763">
        <f>'Market Prices'!AT126</f>
        <v>150</v>
      </c>
      <c r="BG130" s="760">
        <f t="shared" si="197"/>
        <v>150</v>
      </c>
      <c r="BH130" s="761">
        <f>'Market Prices'!AU126</f>
        <v>150</v>
      </c>
      <c r="BI130" s="762">
        <f>'Market Prices'!AV126</f>
        <v>150</v>
      </c>
      <c r="BJ130" s="762">
        <f>'Market Prices'!AW126</f>
        <v>150</v>
      </c>
      <c r="BK130" s="763">
        <f>'Market Prices'!AX126</f>
        <v>150</v>
      </c>
      <c r="BL130" s="760">
        <f t="shared" si="198"/>
        <v>150</v>
      </c>
      <c r="BM130" s="761">
        <f>'Market Prices'!AY126</f>
        <v>150</v>
      </c>
      <c r="BN130" s="762">
        <f>'Market Prices'!AZ126</f>
        <v>150</v>
      </c>
      <c r="BO130" s="762">
        <f>'Market Prices'!BA126</f>
        <v>150</v>
      </c>
      <c r="BP130" s="763">
        <f>'Market Prices'!BB126</f>
        <v>150</v>
      </c>
      <c r="BQ130" s="764">
        <f>AVERAGE(BM130:BP130)</f>
        <v>150</v>
      </c>
      <c r="BR130" s="40"/>
      <c r="BS130" s="40"/>
      <c r="BT130" s="40"/>
      <c r="BU130" s="232"/>
      <c r="BV130" s="40"/>
      <c r="BW130" s="40"/>
      <c r="BX130" s="40"/>
      <c r="BY130" s="40"/>
      <c r="BZ130" s="40"/>
      <c r="CA130" s="40"/>
      <c r="CB130" s="40"/>
      <c r="CC130" s="40"/>
      <c r="CD130" s="40"/>
      <c r="CE130" s="40"/>
      <c r="CF130" s="40"/>
      <c r="CG130" s="40"/>
      <c r="CH130" s="40"/>
      <c r="CI130" s="40"/>
      <c r="CJ130" s="40"/>
      <c r="CK130" s="40"/>
      <c r="CL130" s="40"/>
      <c r="CM130" s="40"/>
      <c r="CN130" s="40"/>
      <c r="CO130" s="40"/>
      <c r="CP130" s="40"/>
      <c r="CQ130" s="40"/>
      <c r="CR130" s="40"/>
      <c r="CS130" s="40"/>
      <c r="CT130" s="823"/>
      <c r="CU130" s="232"/>
      <c r="CV130" s="232"/>
      <c r="CW130" s="232"/>
      <c r="CX130" s="232"/>
      <c r="CY130" s="232"/>
      <c r="CZ130" s="40"/>
      <c r="DA130" s="40"/>
      <c r="DB130" s="40"/>
      <c r="DC130" s="40"/>
      <c r="DD130" s="40"/>
      <c r="DE130" s="40"/>
      <c r="DF130" s="232"/>
      <c r="DG130" s="232"/>
      <c r="DH130" s="232"/>
      <c r="DI130" s="232"/>
      <c r="DJ130" s="232"/>
      <c r="DK130" s="232"/>
      <c r="DL130" s="232"/>
      <c r="DM130" s="232"/>
      <c r="DN130" s="232"/>
    </row>
    <row r="131" spans="1:118">
      <c r="A131" s="40"/>
      <c r="B131" s="1"/>
      <c r="C131" s="567" t="s">
        <v>641</v>
      </c>
      <c r="D131" s="1"/>
      <c r="E131" s="273"/>
      <c r="F131" s="3"/>
      <c r="G131" s="3"/>
      <c r="H131" s="274"/>
      <c r="I131" s="28"/>
      <c r="J131" s="273"/>
      <c r="K131" s="3"/>
      <c r="L131" s="3"/>
      <c r="M131" s="274"/>
      <c r="N131" s="1"/>
      <c r="O131" s="273"/>
      <c r="P131" s="3"/>
      <c r="Q131" s="3"/>
      <c r="R131" s="274"/>
      <c r="S131" s="441"/>
      <c r="T131" s="572"/>
      <c r="U131" s="573"/>
      <c r="V131" s="573"/>
      <c r="W131" s="574"/>
      <c r="X131" s="760"/>
      <c r="Y131" s="761"/>
      <c r="Z131" s="762"/>
      <c r="AA131" s="762"/>
      <c r="AB131" s="763"/>
      <c r="AC131" s="760"/>
      <c r="AD131" s="761"/>
      <c r="AE131" s="762"/>
      <c r="AF131" s="762"/>
      <c r="AG131" s="763"/>
      <c r="AH131" s="760"/>
      <c r="AI131" s="761"/>
      <c r="AJ131" s="762"/>
      <c r="AK131" s="762"/>
      <c r="AL131" s="763"/>
      <c r="AM131" s="760"/>
      <c r="AN131" s="761"/>
      <c r="AO131" s="762"/>
      <c r="AP131" s="762"/>
      <c r="AQ131" s="763"/>
      <c r="AR131" s="760"/>
      <c r="AS131" s="761">
        <f>+AT131</f>
        <v>0</v>
      </c>
      <c r="AT131" s="762">
        <f>+AU131</f>
        <v>0</v>
      </c>
      <c r="AU131" s="762">
        <f t="shared" ref="AU131" si="207">+AV131</f>
        <v>0</v>
      </c>
      <c r="AV131" s="763"/>
      <c r="AW131" s="760"/>
      <c r="AX131" s="761">
        <f>+AY131</f>
        <v>0</v>
      </c>
      <c r="AY131" s="762">
        <f>+AZ131</f>
        <v>0</v>
      </c>
      <c r="AZ131" s="762">
        <f>+BA131</f>
        <v>0</v>
      </c>
      <c r="BA131" s="763">
        <f>+BB131</f>
        <v>0</v>
      </c>
      <c r="BB131" s="760">
        <f>Valuation!$BY$37</f>
        <v>0</v>
      </c>
      <c r="BC131" s="761">
        <f>+BD131</f>
        <v>0</v>
      </c>
      <c r="BD131" s="762">
        <f>+BE131</f>
        <v>0</v>
      </c>
      <c r="BE131" s="762">
        <f>+BF131</f>
        <v>0</v>
      </c>
      <c r="BF131" s="763">
        <f>+BG131</f>
        <v>0</v>
      </c>
      <c r="BG131" s="760">
        <f>Valuation!$BY$37</f>
        <v>0</v>
      </c>
      <c r="BH131" s="761">
        <f>+BI131</f>
        <v>0</v>
      </c>
      <c r="BI131" s="762">
        <f t="shared" ref="BI131:BK131" si="208">+BJ131</f>
        <v>0</v>
      </c>
      <c r="BJ131" s="762">
        <f t="shared" si="208"/>
        <v>0</v>
      </c>
      <c r="BK131" s="763">
        <f t="shared" si="208"/>
        <v>0</v>
      </c>
      <c r="BL131" s="760">
        <f>Valuation!$BY$37</f>
        <v>0</v>
      </c>
      <c r="BM131" s="761">
        <f>+BN131</f>
        <v>0</v>
      </c>
      <c r="BN131" s="762">
        <f>+BO131</f>
        <v>0</v>
      </c>
      <c r="BO131" s="762">
        <f>+BP131</f>
        <v>0</v>
      </c>
      <c r="BP131" s="763">
        <f>+BQ131</f>
        <v>0</v>
      </c>
      <c r="BQ131" s="881">
        <f>Valuation!$BY$37</f>
        <v>0</v>
      </c>
      <c r="BR131" s="40"/>
      <c r="BS131" s="40"/>
      <c r="BT131" s="40"/>
      <c r="BU131" s="232"/>
      <c r="BV131" s="40"/>
      <c r="BW131" s="40"/>
      <c r="BX131" s="40"/>
      <c r="BY131" s="40"/>
      <c r="BZ131" s="40"/>
      <c r="CA131" s="40"/>
      <c r="CB131" s="40"/>
      <c r="CC131" s="40"/>
      <c r="CD131" s="40"/>
      <c r="CE131" s="40"/>
      <c r="CF131" s="40"/>
      <c r="CG131" s="40"/>
      <c r="CH131" s="40"/>
      <c r="CI131" s="40"/>
      <c r="CJ131" s="40"/>
      <c r="CK131" s="40"/>
      <c r="CL131" s="40"/>
      <c r="CM131" s="40"/>
      <c r="CN131" s="40"/>
      <c r="CO131" s="40"/>
      <c r="CP131" s="40"/>
      <c r="CQ131" s="40"/>
      <c r="CR131" s="40"/>
      <c r="CS131" s="40"/>
      <c r="CT131" s="823"/>
      <c r="CU131" s="232"/>
      <c r="CV131" s="232"/>
      <c r="CW131" s="232"/>
      <c r="CX131" s="232"/>
      <c r="CY131" s="232"/>
      <c r="CZ131" s="40"/>
      <c r="DA131" s="40"/>
      <c r="DB131" s="40"/>
      <c r="DC131" s="40"/>
      <c r="DD131" s="40"/>
      <c r="DE131" s="40"/>
      <c r="DF131" s="232"/>
      <c r="DG131" s="232"/>
      <c r="DH131" s="232"/>
      <c r="DI131" s="232"/>
      <c r="DJ131" s="232"/>
      <c r="DK131" s="232"/>
      <c r="DL131" s="232"/>
      <c r="DM131" s="232"/>
      <c r="DN131" s="232"/>
    </row>
    <row r="132" spans="1:118">
      <c r="A132" s="40"/>
      <c r="B132" s="1"/>
      <c r="C132" s="567"/>
      <c r="D132" s="1"/>
      <c r="E132" s="273"/>
      <c r="F132" s="3"/>
      <c r="G132" s="3"/>
      <c r="H132" s="274"/>
      <c r="I132" s="28"/>
      <c r="J132" s="273"/>
      <c r="K132" s="3"/>
      <c r="L132" s="3"/>
      <c r="M132" s="274"/>
      <c r="N132" s="1"/>
      <c r="O132" s="273"/>
      <c r="P132" s="3"/>
      <c r="Q132" s="3"/>
      <c r="R132" s="274"/>
      <c r="S132" s="441"/>
      <c r="T132" s="442"/>
      <c r="U132" s="443"/>
      <c r="V132" s="443"/>
      <c r="W132" s="444"/>
      <c r="X132" s="441"/>
      <c r="Y132" s="442"/>
      <c r="Z132" s="443"/>
      <c r="AA132" s="443"/>
      <c r="AB132" s="444"/>
      <c r="AC132" s="441"/>
      <c r="AD132" s="442"/>
      <c r="AE132" s="443"/>
      <c r="AF132" s="443"/>
      <c r="AG132" s="444"/>
      <c r="AH132" s="441"/>
      <c r="AI132" s="442"/>
      <c r="AJ132" s="443"/>
      <c r="AK132" s="443"/>
      <c r="AL132" s="444"/>
      <c r="AM132" s="441"/>
      <c r="AN132" s="442"/>
      <c r="AO132" s="443"/>
      <c r="AP132" s="443"/>
      <c r="AQ132" s="444"/>
      <c r="AR132" s="441"/>
      <c r="AS132" s="442"/>
      <c r="AT132" s="443"/>
      <c r="AU132" s="443"/>
      <c r="AV132" s="444"/>
      <c r="AW132" s="441"/>
      <c r="AX132" s="442"/>
      <c r="AY132" s="443"/>
      <c r="AZ132" s="443"/>
      <c r="BA132" s="444"/>
      <c r="BB132" s="441"/>
      <c r="BC132" s="442"/>
      <c r="BD132" s="443"/>
      <c r="BE132" s="443"/>
      <c r="BF132" s="444"/>
      <c r="BG132" s="441"/>
      <c r="BH132" s="442"/>
      <c r="BI132" s="443"/>
      <c r="BJ132" s="443"/>
      <c r="BK132" s="444"/>
      <c r="BL132" s="441"/>
      <c r="BM132" s="442"/>
      <c r="BN132" s="443"/>
      <c r="BO132" s="443"/>
      <c r="BP132" s="444"/>
      <c r="BQ132" s="1306"/>
      <c r="BR132" s="40"/>
      <c r="BS132" s="40"/>
      <c r="BT132" s="40"/>
      <c r="BU132" s="232"/>
      <c r="BV132" s="40"/>
      <c r="BW132" s="1010"/>
      <c r="BX132" s="40"/>
      <c r="BY132" s="40"/>
      <c r="BZ132" s="40"/>
      <c r="CA132" s="40"/>
      <c r="CB132" s="40"/>
      <c r="CC132" s="40"/>
      <c r="CD132" s="40"/>
      <c r="CE132" s="40"/>
      <c r="CF132" s="40"/>
      <c r="CG132" s="40"/>
      <c r="CH132" s="40"/>
      <c r="CI132" s="40"/>
      <c r="CJ132" s="40"/>
      <c r="CK132" s="40"/>
      <c r="CL132" s="40"/>
      <c r="CM132" s="40"/>
      <c r="CN132" s="40"/>
      <c r="CO132" s="40"/>
      <c r="CP132" s="40"/>
      <c r="CQ132" s="40"/>
      <c r="CR132" s="40"/>
      <c r="CS132" s="40"/>
      <c r="CT132" s="823"/>
      <c r="CU132" s="232"/>
      <c r="CV132" s="232"/>
      <c r="CW132" s="232"/>
      <c r="CX132" s="232"/>
      <c r="CY132" s="232"/>
      <c r="CZ132" s="40"/>
      <c r="DA132" s="40"/>
      <c r="DB132" s="40"/>
      <c r="DC132" s="40"/>
      <c r="DD132" s="40"/>
      <c r="DE132" s="40"/>
      <c r="DF132" s="232"/>
      <c r="DG132" s="232"/>
      <c r="DH132" s="232"/>
      <c r="DI132" s="232"/>
      <c r="DJ132" s="232"/>
      <c r="DK132" s="232"/>
      <c r="DL132" s="232"/>
      <c r="DM132" s="232"/>
      <c r="DN132" s="232"/>
    </row>
    <row r="133" spans="1:118">
      <c r="A133" s="40"/>
      <c r="B133" s="1"/>
      <c r="C133" s="563" t="s">
        <v>175</v>
      </c>
      <c r="D133" s="28"/>
      <c r="E133" s="273"/>
      <c r="F133" s="3"/>
      <c r="G133" s="3"/>
      <c r="H133" s="274"/>
      <c r="I133" s="1"/>
      <c r="J133" s="273"/>
      <c r="K133" s="3"/>
      <c r="L133" s="3"/>
      <c r="M133" s="274"/>
      <c r="N133" s="25"/>
      <c r="O133" s="273"/>
      <c r="P133" s="3"/>
      <c r="Q133" s="3"/>
      <c r="R133" s="274"/>
      <c r="S133" s="1"/>
      <c r="T133" s="273"/>
      <c r="U133" s="3"/>
      <c r="V133" s="3"/>
      <c r="W133" s="274"/>
      <c r="X133" s="1"/>
      <c r="Y133" s="273"/>
      <c r="Z133" s="3"/>
      <c r="AA133" s="3"/>
      <c r="AB133" s="274"/>
      <c r="AC133" s="1"/>
      <c r="AD133" s="273"/>
      <c r="AE133" s="3"/>
      <c r="AF133" s="3"/>
      <c r="AG133" s="274"/>
      <c r="AH133" s="1"/>
      <c r="AI133" s="273"/>
      <c r="AJ133" s="3"/>
      <c r="AK133" s="3"/>
      <c r="AL133" s="274"/>
      <c r="AM133" s="1"/>
      <c r="AN133" s="273"/>
      <c r="AO133" s="3"/>
      <c r="AP133" s="3"/>
      <c r="AQ133" s="274"/>
      <c r="AR133" s="1"/>
      <c r="AS133" s="273"/>
      <c r="AT133" s="3"/>
      <c r="AU133" s="3"/>
      <c r="AV133" s="274"/>
      <c r="AW133" s="1"/>
      <c r="AX133" s="273"/>
      <c r="AY133" s="3"/>
      <c r="AZ133" s="3"/>
      <c r="BA133" s="274"/>
      <c r="BB133" s="1"/>
      <c r="BC133" s="273"/>
      <c r="BD133" s="3"/>
      <c r="BE133" s="3"/>
      <c r="BF133" s="274"/>
      <c r="BG133" s="1"/>
      <c r="BH133" s="273"/>
      <c r="BI133" s="3"/>
      <c r="BJ133" s="3"/>
      <c r="BK133" s="274"/>
      <c r="BL133" s="1"/>
      <c r="BM133" s="273"/>
      <c r="BN133" s="3"/>
      <c r="BO133" s="3"/>
      <c r="BP133" s="274"/>
      <c r="BQ133" s="1"/>
      <c r="BR133" s="564"/>
      <c r="BS133" s="40"/>
      <c r="BT133" s="40"/>
      <c r="BU133" s="232"/>
      <c r="BV133" s="40"/>
      <c r="BW133" s="1010"/>
      <c r="BX133" s="40"/>
      <c r="BY133" s="40"/>
      <c r="BZ133" s="40"/>
      <c r="CA133" s="40"/>
      <c r="CB133" s="40"/>
      <c r="CC133" s="40"/>
      <c r="CD133" s="40"/>
      <c r="CE133" s="40"/>
      <c r="CF133" s="40"/>
      <c r="CG133" s="40"/>
      <c r="CH133" s="40"/>
      <c r="CI133" s="40"/>
      <c r="CJ133" s="40"/>
      <c r="CK133" s="40"/>
      <c r="CL133" s="40"/>
      <c r="CM133" s="40"/>
      <c r="CN133" s="40"/>
      <c r="CO133" s="40"/>
      <c r="CP133" s="40"/>
      <c r="CQ133" s="40"/>
      <c r="CR133" s="40"/>
      <c r="CS133" s="40"/>
      <c r="CT133" s="823"/>
      <c r="CU133" s="232"/>
      <c r="CV133" s="232"/>
      <c r="CW133" s="232"/>
      <c r="CX133" s="232"/>
      <c r="CY133" s="232"/>
      <c r="CZ133" s="40"/>
      <c r="DA133" s="40"/>
      <c r="DB133" s="40"/>
      <c r="DC133" s="40"/>
      <c r="DD133" s="40"/>
      <c r="DE133" s="40"/>
      <c r="DF133" s="232"/>
      <c r="DG133" s="232"/>
      <c r="DH133" s="232"/>
      <c r="DI133" s="232"/>
      <c r="DJ133" s="232"/>
      <c r="DK133" s="232"/>
      <c r="DL133" s="232"/>
      <c r="DM133" s="232"/>
      <c r="DN133" s="232"/>
    </row>
    <row r="134" spans="1:118">
      <c r="A134" s="40"/>
      <c r="B134" s="1"/>
      <c r="C134" s="567" t="s">
        <v>990</v>
      </c>
      <c r="D134" s="28"/>
      <c r="E134" s="273"/>
      <c r="F134" s="3"/>
      <c r="G134" s="3"/>
      <c r="H134" s="274"/>
      <c r="I134" s="1"/>
      <c r="J134" s="273"/>
      <c r="K134" s="3"/>
      <c r="L134" s="3"/>
      <c r="M134" s="274"/>
      <c r="N134" s="1"/>
      <c r="O134" s="273"/>
      <c r="P134" s="3"/>
      <c r="Q134" s="3"/>
      <c r="R134" s="274"/>
      <c r="S134" s="441"/>
      <c r="T134" s="447"/>
      <c r="U134" s="448"/>
      <c r="V134" s="448"/>
      <c r="W134" s="449"/>
      <c r="X134" s="450"/>
      <c r="Y134" s="447">
        <f>'Market Prices'!S9</f>
        <v>66.511538461538478</v>
      </c>
      <c r="Z134" s="448">
        <f>'Market Prices'!T9</f>
        <v>66.914615384615374</v>
      </c>
      <c r="AA134" s="448">
        <f>'Market Prices'!U9</f>
        <v>64.0053846153846</v>
      </c>
      <c r="AB134" s="449">
        <f>'Market Prices'!V9</f>
        <v>62.446153846153841</v>
      </c>
      <c r="AC134" s="450">
        <f>AVERAGE(Y134:AB134)</f>
        <v>64.969423076923078</v>
      </c>
      <c r="AD134" s="447">
        <f>'Market Prices'!W9</f>
        <v>63.813846153846164</v>
      </c>
      <c r="AE134" s="448">
        <f>'Market Prices'!Y9</f>
        <v>57.336923076923085</v>
      </c>
      <c r="AF134" s="448">
        <f>'Market Prices'!Y9</f>
        <v>57.336923076923085</v>
      </c>
      <c r="AG134" s="449">
        <f>'Market Prices'!Z9</f>
        <v>56.106923076923081</v>
      </c>
      <c r="AH134" s="450">
        <f>AVERAGE(AD134:AG134)</f>
        <v>58.648653846153849</v>
      </c>
      <c r="AI134" s="447">
        <f>'Market Prices'!AA9</f>
        <v>53.513846153846139</v>
      </c>
      <c r="AJ134" s="448">
        <f>'Market Prices'!AB9</f>
        <v>52.858461538461547</v>
      </c>
      <c r="AK134" s="448">
        <f>'Market Prices'!AC9</f>
        <v>50.784615384615385</v>
      </c>
      <c r="AL134" s="449">
        <f>'Market Prices'!AD9</f>
        <v>46.303846153846159</v>
      </c>
      <c r="AM134" s="545">
        <f>AVERAGE(AI134:AL134)</f>
        <v>50.865192307692311</v>
      </c>
      <c r="AN134" s="447">
        <f>'Market Prices'!AE9</f>
        <v>42.380769230769232</v>
      </c>
      <c r="AO134" s="448">
        <f>'Market Prices'!AF9</f>
        <v>41.192307692307693</v>
      </c>
      <c r="AP134" s="448">
        <f>'Market Prices'!AG9</f>
        <v>40.928571428571438</v>
      </c>
      <c r="AQ134" s="449">
        <f>'Market Prices'!AH9</f>
        <v>44.896153846153844</v>
      </c>
      <c r="AR134" s="545">
        <f>AVERAGE(AN134:AQ134)</f>
        <v>42.349450549450552</v>
      </c>
      <c r="AS134" s="447">
        <f>'Market Prices'!AI9</f>
        <v>50.057692307692314</v>
      </c>
      <c r="AT134" s="448">
        <f>'Market Prices'!AJ9</f>
        <v>52.46153846153846</v>
      </c>
      <c r="AU134" s="448">
        <f>'Market Prices'!AK9</f>
        <v>52.98846153846155</v>
      </c>
      <c r="AV134" s="449">
        <f>'Market Prices'!AM9</f>
        <v>60.850000000000009</v>
      </c>
      <c r="AW134" s="545">
        <f>AVERAGE(AS134:AV134)</f>
        <v>54.089423076923083</v>
      </c>
      <c r="AX134" s="447">
        <f>'Market Prices'!AM9</f>
        <v>60.850000000000009</v>
      </c>
      <c r="AY134" s="448">
        <f>'Market Prices'!AN9</f>
        <v>49</v>
      </c>
      <c r="AZ134" s="448">
        <f>'Market Prices'!AO9</f>
        <v>49</v>
      </c>
      <c r="BA134" s="449">
        <f>'Market Prices'!AP9</f>
        <v>49</v>
      </c>
      <c r="BB134" s="545">
        <f>AVERAGE(AX134:BA134)</f>
        <v>51.962500000000006</v>
      </c>
      <c r="BC134" s="447">
        <f>'Market Prices'!AQ9</f>
        <v>48.154286333412259</v>
      </c>
      <c r="BD134" s="448">
        <f>'Market Prices'!AR9</f>
        <v>48.154286333412259</v>
      </c>
      <c r="BE134" s="448">
        <f>'Market Prices'!AS9</f>
        <v>48.154286333412259</v>
      </c>
      <c r="BF134" s="449">
        <f>'Market Prices'!AT9</f>
        <v>55.537140999763238</v>
      </c>
      <c r="BG134" s="545">
        <f>AVERAGE(BC134:BF134)</f>
        <v>50.000000000000007</v>
      </c>
      <c r="BH134" s="447">
        <f>'Market Prices'!AU9</f>
        <v>48.154286333412259</v>
      </c>
      <c r="BI134" s="448">
        <f>'Market Prices'!AV9</f>
        <v>48.154286333412259</v>
      </c>
      <c r="BJ134" s="448">
        <f>'Market Prices'!AW9</f>
        <v>48.154286333412259</v>
      </c>
      <c r="BK134" s="449">
        <f>'Market Prices'!AX9</f>
        <v>55.537140999763238</v>
      </c>
      <c r="BL134" s="545">
        <f>AVERAGE(BH134:BK134)</f>
        <v>50.000000000000007</v>
      </c>
      <c r="BM134" s="447">
        <f>'Market Prices'!AY9</f>
        <v>48.154286333412259</v>
      </c>
      <c r="BN134" s="448">
        <f>'Market Prices'!AZ9</f>
        <v>48.154286333412259</v>
      </c>
      <c r="BO134" s="448">
        <f>'Market Prices'!BA9</f>
        <v>48.154286333412259</v>
      </c>
      <c r="BP134" s="449">
        <f>'Market Prices'!BB9</f>
        <v>55.537140999763238</v>
      </c>
      <c r="BQ134" s="545">
        <f>AVERAGE(BM134:BP134)</f>
        <v>50.000000000000007</v>
      </c>
      <c r="BR134" s="564"/>
      <c r="BS134" s="40"/>
      <c r="BT134" s="40"/>
      <c r="BU134" s="232"/>
      <c r="BV134" s="40"/>
      <c r="BW134" s="40"/>
      <c r="BX134" s="40"/>
      <c r="BY134" s="40"/>
      <c r="BZ134" s="40"/>
      <c r="CA134" s="40"/>
      <c r="CB134" s="40"/>
      <c r="CC134" s="40"/>
      <c r="CD134" s="40"/>
      <c r="CE134" s="40"/>
      <c r="CF134" s="40"/>
      <c r="CG134" s="40"/>
      <c r="CH134" s="40"/>
      <c r="CI134" s="40"/>
      <c r="CJ134" s="40"/>
      <c r="CK134" s="40"/>
      <c r="CL134" s="40"/>
      <c r="CM134" s="40"/>
      <c r="CN134" s="40"/>
      <c r="CO134" s="40"/>
      <c r="CP134" s="40"/>
      <c r="CQ134" s="40"/>
      <c r="CR134" s="40"/>
      <c r="CS134" s="40"/>
      <c r="CT134" s="823"/>
      <c r="CU134" s="232"/>
      <c r="CV134" s="232"/>
      <c r="CW134" s="232"/>
      <c r="CX134" s="232"/>
      <c r="CY134" s="232"/>
      <c r="CZ134" s="40"/>
      <c r="DA134" s="40"/>
      <c r="DB134" s="40"/>
      <c r="DC134" s="40"/>
      <c r="DD134" s="40"/>
      <c r="DE134" s="40"/>
      <c r="DF134" s="232"/>
      <c r="DG134" s="232"/>
      <c r="DH134" s="232"/>
      <c r="DI134" s="232"/>
      <c r="DJ134" s="232"/>
      <c r="DK134" s="232"/>
      <c r="DL134" s="232"/>
      <c r="DM134" s="232"/>
      <c r="DN134" s="232"/>
    </row>
    <row r="135" spans="1:118">
      <c r="A135" s="40"/>
      <c r="B135" s="1"/>
      <c r="C135" s="567" t="s">
        <v>991</v>
      </c>
      <c r="D135" s="1"/>
      <c r="E135" s="273"/>
      <c r="F135" s="3"/>
      <c r="G135" s="3"/>
      <c r="H135" s="274"/>
      <c r="I135" s="1"/>
      <c r="J135" s="273"/>
      <c r="K135" s="3"/>
      <c r="L135" s="3"/>
      <c r="M135" s="274"/>
      <c r="N135" s="1"/>
      <c r="O135" s="273"/>
      <c r="P135" s="3"/>
      <c r="Q135" s="3"/>
      <c r="R135" s="274"/>
      <c r="S135" s="1"/>
      <c r="T135" s="447"/>
      <c r="U135" s="448"/>
      <c r="V135" s="448"/>
      <c r="W135" s="449"/>
      <c r="X135" s="450"/>
      <c r="Y135" s="447">
        <f>'Market Prices'!S72</f>
        <v>5</v>
      </c>
      <c r="Z135" s="448">
        <f>'Market Prices'!T72</f>
        <v>5</v>
      </c>
      <c r="AA135" s="448">
        <f>'Market Prices'!U72</f>
        <v>5</v>
      </c>
      <c r="AB135" s="449">
        <f>'Market Prices'!V72</f>
        <v>5</v>
      </c>
      <c r="AC135" s="450">
        <f>AVERAGE(Y135:AB135)</f>
        <v>5</v>
      </c>
      <c r="AD135" s="447">
        <f>'Market Prices'!W72</f>
        <v>5</v>
      </c>
      <c r="AE135" s="448">
        <f>'Market Prices'!Y72</f>
        <v>5</v>
      </c>
      <c r="AF135" s="448">
        <f>'Market Prices'!Y72</f>
        <v>5</v>
      </c>
      <c r="AG135" s="449">
        <f>'Market Prices'!Z72</f>
        <v>5</v>
      </c>
      <c r="AH135" s="450">
        <f>AVERAGE(AD135:AG135)</f>
        <v>5</v>
      </c>
      <c r="AI135" s="447">
        <f>'Market Prices'!AA72</f>
        <v>5</v>
      </c>
      <c r="AJ135" s="448">
        <f>'Market Prices'!AB72</f>
        <v>5</v>
      </c>
      <c r="AK135" s="448">
        <f>'Market Prices'!AC72</f>
        <v>5</v>
      </c>
      <c r="AL135" s="449">
        <f>'Market Prices'!AD72</f>
        <v>5</v>
      </c>
      <c r="AM135" s="545">
        <f>AVERAGE(AI135:AL135)</f>
        <v>5</v>
      </c>
      <c r="AN135" s="447">
        <f>'Market Prices'!AE72</f>
        <v>5</v>
      </c>
      <c r="AO135" s="448">
        <f>'Market Prices'!AF72</f>
        <v>5</v>
      </c>
      <c r="AP135" s="448">
        <f>'Market Prices'!AG72</f>
        <v>5</v>
      </c>
      <c r="AQ135" s="449">
        <f>'Market Prices'!AH72</f>
        <v>5</v>
      </c>
      <c r="AR135" s="545">
        <f>AVERAGE(AN135:AQ135)</f>
        <v>5</v>
      </c>
      <c r="AS135" s="447">
        <f>'Market Prices'!AI72</f>
        <v>5</v>
      </c>
      <c r="AT135" s="448">
        <f>'Market Prices'!AJ72</f>
        <v>5</v>
      </c>
      <c r="AU135" s="448">
        <f>'Market Prices'!AK72</f>
        <v>5</v>
      </c>
      <c r="AV135" s="449">
        <f>'Market Prices'!AM72</f>
        <v>5</v>
      </c>
      <c r="AW135" s="545">
        <f>AVERAGE(AS135:AV135)</f>
        <v>5</v>
      </c>
      <c r="AX135" s="447">
        <f>'Market Prices'!AM72</f>
        <v>5</v>
      </c>
      <c r="AY135" s="448">
        <f>'Market Prices'!AN72</f>
        <v>5</v>
      </c>
      <c r="AZ135" s="448">
        <f>'Market Prices'!AO72</f>
        <v>5</v>
      </c>
      <c r="BA135" s="449">
        <f>'Market Prices'!AP72</f>
        <v>5</v>
      </c>
      <c r="BB135" s="545">
        <f>AVERAGE(AX135:BA135)</f>
        <v>5</v>
      </c>
      <c r="BC135" s="447">
        <f>'Market Prices'!AQ72</f>
        <v>5</v>
      </c>
      <c r="BD135" s="448">
        <f>'Market Prices'!AR72</f>
        <v>5</v>
      </c>
      <c r="BE135" s="448">
        <f>'Market Prices'!AS72</f>
        <v>5</v>
      </c>
      <c r="BF135" s="449">
        <f>'Market Prices'!AT72</f>
        <v>5</v>
      </c>
      <c r="BG135" s="545">
        <f>AVERAGE(BC135:BF135)</f>
        <v>5</v>
      </c>
      <c r="BH135" s="447">
        <f>'Market Prices'!AU72</f>
        <v>5</v>
      </c>
      <c r="BI135" s="448">
        <f>'Market Prices'!AV72</f>
        <v>5</v>
      </c>
      <c r="BJ135" s="448">
        <f>'Market Prices'!AW72</f>
        <v>5</v>
      </c>
      <c r="BK135" s="449">
        <f>'Market Prices'!AX72</f>
        <v>5</v>
      </c>
      <c r="BL135" s="545">
        <f>AVERAGE(BH135:BK135)</f>
        <v>5</v>
      </c>
      <c r="BM135" s="447">
        <f>'Market Prices'!AY72</f>
        <v>5</v>
      </c>
      <c r="BN135" s="448">
        <f>'Market Prices'!AZ72</f>
        <v>5</v>
      </c>
      <c r="BO135" s="448">
        <f>'Market Prices'!BA72</f>
        <v>5</v>
      </c>
      <c r="BP135" s="449">
        <f>'Market Prices'!BB72</f>
        <v>5</v>
      </c>
      <c r="BQ135" s="545">
        <f>AVERAGE(BM135:BP135)</f>
        <v>5</v>
      </c>
      <c r="BR135" s="564"/>
      <c r="BS135" s="40"/>
      <c r="BT135" s="40"/>
      <c r="BU135" s="232"/>
      <c r="BV135" s="40"/>
      <c r="BW135" s="40"/>
      <c r="BX135" s="40"/>
      <c r="BY135" s="40"/>
      <c r="BZ135" s="40"/>
      <c r="CA135" s="40"/>
      <c r="CB135" s="40"/>
      <c r="CC135" s="40"/>
      <c r="CD135" s="40"/>
      <c r="CE135" s="40"/>
      <c r="CF135" s="40"/>
      <c r="CG135" s="40"/>
      <c r="CH135" s="40"/>
      <c r="CI135" s="40"/>
      <c r="CJ135" s="40"/>
      <c r="CK135" s="40"/>
      <c r="CL135" s="40"/>
      <c r="CM135" s="40"/>
      <c r="CN135" s="40"/>
      <c r="CO135" s="40"/>
      <c r="CP135" s="40"/>
      <c r="CQ135" s="40"/>
      <c r="CR135" s="40"/>
      <c r="CS135" s="40"/>
      <c r="CT135" s="823"/>
      <c r="CU135" s="232"/>
      <c r="CV135" s="232"/>
      <c r="CW135" s="232"/>
      <c r="CX135" s="232"/>
      <c r="CY135" s="232"/>
      <c r="CZ135" s="40"/>
      <c r="DA135" s="40"/>
      <c r="DB135" s="40"/>
      <c r="DC135" s="40"/>
      <c r="DD135" s="40"/>
      <c r="DE135" s="40"/>
      <c r="DF135" s="232"/>
      <c r="DG135" s="232"/>
      <c r="DH135" s="232"/>
      <c r="DI135" s="232"/>
      <c r="DJ135" s="232"/>
      <c r="DK135" s="232"/>
      <c r="DL135" s="232"/>
      <c r="DM135" s="232"/>
      <c r="DN135" s="232"/>
    </row>
    <row r="136" spans="1:118">
      <c r="A136" s="40"/>
      <c r="B136" s="1"/>
      <c r="C136" s="943" t="s">
        <v>992</v>
      </c>
      <c r="D136" s="32"/>
      <c r="E136" s="489"/>
      <c r="F136" s="342"/>
      <c r="G136" s="342"/>
      <c r="H136" s="490"/>
      <c r="I136" s="32"/>
      <c r="J136" s="489"/>
      <c r="K136" s="342"/>
      <c r="L136" s="342"/>
      <c r="M136" s="490"/>
      <c r="N136" s="32"/>
      <c r="O136" s="489"/>
      <c r="P136" s="342"/>
      <c r="Q136" s="342"/>
      <c r="R136" s="490"/>
      <c r="S136" s="1358"/>
      <c r="T136" s="451"/>
      <c r="U136" s="452"/>
      <c r="V136" s="452"/>
      <c r="W136" s="453"/>
      <c r="X136" s="454"/>
      <c r="Y136" s="451">
        <f>+Y135+Y134</f>
        <v>71.511538461538478</v>
      </c>
      <c r="Z136" s="452">
        <f>+Z135+Z134</f>
        <v>71.914615384615374</v>
      </c>
      <c r="AA136" s="452">
        <f>+AA135+AA134</f>
        <v>69.0053846153846</v>
      </c>
      <c r="AB136" s="453">
        <f>+AB135+AB134</f>
        <v>67.446153846153834</v>
      </c>
      <c r="AC136" s="454">
        <f>AVERAGE(Y136:AB136)</f>
        <v>69.969423076923078</v>
      </c>
      <c r="AD136" s="451">
        <f>+AD135+AD134</f>
        <v>68.813846153846157</v>
      </c>
      <c r="AE136" s="452">
        <f>+AE135+AE134</f>
        <v>62.336923076923085</v>
      </c>
      <c r="AF136" s="452">
        <f>+AF135+AF134</f>
        <v>62.336923076923085</v>
      </c>
      <c r="AG136" s="453">
        <f>+AG135+AG134</f>
        <v>61.106923076923081</v>
      </c>
      <c r="AH136" s="454">
        <f>AVERAGE(AD136:AG136)</f>
        <v>63.648653846153849</v>
      </c>
      <c r="AI136" s="451">
        <f>+AI135+AI134</f>
        <v>58.513846153846139</v>
      </c>
      <c r="AJ136" s="452">
        <f>+AJ135+AJ134</f>
        <v>57.858461538461547</v>
      </c>
      <c r="AK136" s="452">
        <f>+AK135+AK134</f>
        <v>55.784615384615385</v>
      </c>
      <c r="AL136" s="453">
        <f>+AL135+AL134</f>
        <v>51.303846153846159</v>
      </c>
      <c r="AM136" s="454">
        <f>AVERAGE(AI136:AL136)</f>
        <v>55.865192307692311</v>
      </c>
      <c r="AN136" s="451">
        <f>+AN135+AN134</f>
        <v>47.380769230769232</v>
      </c>
      <c r="AO136" s="452">
        <f>+AO135+AO134</f>
        <v>46.192307692307693</v>
      </c>
      <c r="AP136" s="452">
        <f>+AP135+AP134</f>
        <v>45.928571428571438</v>
      </c>
      <c r="AQ136" s="453">
        <f>+AQ135+AQ134</f>
        <v>49.896153846153844</v>
      </c>
      <c r="AR136" s="454">
        <f>AVERAGE(AN136:AQ136)</f>
        <v>47.349450549450552</v>
      </c>
      <c r="AS136" s="451">
        <f>+AS135+AS134</f>
        <v>55.057692307692314</v>
      </c>
      <c r="AT136" s="452">
        <f>+AT135+AT134</f>
        <v>57.46153846153846</v>
      </c>
      <c r="AU136" s="452">
        <f t="shared" ref="AU136" si="209">+AU135+AU134</f>
        <v>57.98846153846155</v>
      </c>
      <c r="AV136" s="453">
        <f>+AV135+AV134</f>
        <v>65.850000000000009</v>
      </c>
      <c r="AW136" s="454">
        <f>AVERAGE(AS136:AV136)</f>
        <v>59.089423076923083</v>
      </c>
      <c r="AX136" s="451">
        <f>+AX135+AX134</f>
        <v>65.850000000000009</v>
      </c>
      <c r="AY136" s="452">
        <f>+AY135+AY134</f>
        <v>54</v>
      </c>
      <c r="AZ136" s="452">
        <f>+AZ135+AZ134</f>
        <v>54</v>
      </c>
      <c r="BA136" s="453">
        <f>+BA135+BA134</f>
        <v>54</v>
      </c>
      <c r="BB136" s="454">
        <f>AVERAGE(AX136:BA136)</f>
        <v>56.962500000000006</v>
      </c>
      <c r="BC136" s="451">
        <f>+BC135+BC134</f>
        <v>53.154286333412259</v>
      </c>
      <c r="BD136" s="452">
        <f>+BD135+BD134</f>
        <v>53.154286333412259</v>
      </c>
      <c r="BE136" s="452">
        <f>+BE135+BE134</f>
        <v>53.154286333412259</v>
      </c>
      <c r="BF136" s="453">
        <f>+BF135+BF134</f>
        <v>60.537140999763238</v>
      </c>
      <c r="BG136" s="454">
        <f>AVERAGE(BC136:BF136)</f>
        <v>55.000000000000007</v>
      </c>
      <c r="BH136" s="451">
        <f>+BH135+BH134</f>
        <v>53.154286333412259</v>
      </c>
      <c r="BI136" s="452">
        <f>+BI135+BI134</f>
        <v>53.154286333412259</v>
      </c>
      <c r="BJ136" s="452">
        <f>+BJ135+BJ134</f>
        <v>53.154286333412259</v>
      </c>
      <c r="BK136" s="453">
        <f>+BK135+BK134</f>
        <v>60.537140999763238</v>
      </c>
      <c r="BL136" s="454">
        <f>AVERAGE(BH136:BK136)</f>
        <v>55.000000000000007</v>
      </c>
      <c r="BM136" s="451">
        <f>+BM135+BM134</f>
        <v>53.154286333412259</v>
      </c>
      <c r="BN136" s="452">
        <f t="shared" ref="BN136:BP136" si="210">+BN135+BN134</f>
        <v>53.154286333412259</v>
      </c>
      <c r="BO136" s="452">
        <f t="shared" si="210"/>
        <v>53.154286333412259</v>
      </c>
      <c r="BP136" s="453">
        <f t="shared" si="210"/>
        <v>60.537140999763238</v>
      </c>
      <c r="BQ136" s="454">
        <f>AVERAGE(BM136:BP136)</f>
        <v>55.000000000000007</v>
      </c>
      <c r="BR136" s="564"/>
      <c r="BS136" s="40"/>
      <c r="BT136" s="40"/>
      <c r="BU136" s="232"/>
      <c r="BV136" s="40"/>
      <c r="BW136" s="40"/>
      <c r="BX136" s="40"/>
      <c r="BY136" s="40"/>
      <c r="BZ136" s="40"/>
      <c r="CA136" s="40"/>
      <c r="CB136" s="40"/>
      <c r="CC136" s="40"/>
      <c r="CD136" s="40"/>
      <c r="CE136" s="40"/>
      <c r="CF136" s="40"/>
      <c r="CG136" s="40"/>
      <c r="CH136" s="40"/>
      <c r="CI136" s="40"/>
      <c r="CJ136" s="40"/>
      <c r="CK136" s="40"/>
      <c r="CL136" s="40"/>
      <c r="CM136" s="40"/>
      <c r="CN136" s="40"/>
      <c r="CO136" s="40"/>
      <c r="CP136" s="40"/>
      <c r="CQ136" s="40"/>
      <c r="CR136" s="40"/>
      <c r="CS136" s="40"/>
      <c r="CT136" s="823"/>
      <c r="CU136" s="232"/>
      <c r="CV136" s="232"/>
      <c r="CW136" s="232"/>
      <c r="CX136" s="232"/>
      <c r="CY136" s="232"/>
      <c r="CZ136" s="40"/>
      <c r="DA136" s="40"/>
      <c r="DB136" s="40"/>
      <c r="DC136" s="40"/>
      <c r="DD136" s="40"/>
      <c r="DE136" s="40"/>
      <c r="DF136" s="232"/>
      <c r="DG136" s="232"/>
      <c r="DH136" s="232"/>
      <c r="DI136" s="232"/>
      <c r="DJ136" s="232"/>
      <c r="DK136" s="232"/>
      <c r="DL136" s="232"/>
      <c r="DM136" s="232"/>
      <c r="DN136" s="232"/>
    </row>
    <row r="137" spans="1:118">
      <c r="A137" s="40"/>
      <c r="B137" s="1"/>
      <c r="C137" s="567"/>
      <c r="D137" s="28"/>
      <c r="E137" s="273"/>
      <c r="F137" s="3"/>
      <c r="G137" s="3"/>
      <c r="H137" s="274"/>
      <c r="I137" s="1"/>
      <c r="J137" s="273"/>
      <c r="K137" s="3"/>
      <c r="L137" s="3"/>
      <c r="M137" s="274"/>
      <c r="N137" s="1"/>
      <c r="O137" s="273"/>
      <c r="P137" s="3"/>
      <c r="Q137" s="3"/>
      <c r="R137" s="274"/>
      <c r="S137" s="441"/>
      <c r="T137" s="447"/>
      <c r="U137" s="448"/>
      <c r="V137" s="448"/>
      <c r="W137" s="449"/>
      <c r="X137" s="450"/>
      <c r="Y137" s="447"/>
      <c r="Z137" s="448"/>
      <c r="AA137" s="448"/>
      <c r="AB137" s="449"/>
      <c r="AC137" s="450"/>
      <c r="AD137" s="447"/>
      <c r="AE137" s="448"/>
      <c r="AF137" s="448"/>
      <c r="AG137" s="449"/>
      <c r="AH137" s="450"/>
      <c r="AI137" s="447"/>
      <c r="AJ137" s="448"/>
      <c r="AK137" s="448"/>
      <c r="AL137" s="449"/>
      <c r="AM137" s="450"/>
      <c r="AN137" s="447"/>
      <c r="AO137" s="448"/>
      <c r="AP137" s="448"/>
      <c r="AQ137" s="449"/>
      <c r="AR137" s="450"/>
      <c r="AS137" s="447"/>
      <c r="AT137" s="448"/>
      <c r="AU137" s="448"/>
      <c r="AV137" s="449"/>
      <c r="AW137" s="450"/>
      <c r="AX137" s="447"/>
      <c r="AY137" s="448"/>
      <c r="AZ137" s="448"/>
      <c r="BA137" s="449"/>
      <c r="BB137" s="450"/>
      <c r="BC137" s="447"/>
      <c r="BD137" s="448"/>
      <c r="BE137" s="448"/>
      <c r="BF137" s="449"/>
      <c r="BG137" s="450"/>
      <c r="BH137" s="447"/>
      <c r="BI137" s="448"/>
      <c r="BJ137" s="448"/>
      <c r="BK137" s="449"/>
      <c r="BL137" s="450"/>
      <c r="BM137" s="447"/>
      <c r="BN137" s="448"/>
      <c r="BO137" s="448"/>
      <c r="BP137" s="449"/>
      <c r="BQ137" s="450"/>
      <c r="BR137" s="564"/>
      <c r="BS137" s="40"/>
      <c r="BT137" s="40"/>
      <c r="BU137" s="31"/>
      <c r="BV137" s="40"/>
      <c r="BW137" s="40"/>
      <c r="BX137" s="40"/>
      <c r="BY137" s="40"/>
      <c r="BZ137" s="40"/>
      <c r="CA137" s="40"/>
      <c r="CB137" s="40"/>
      <c r="CC137" s="40"/>
      <c r="CD137" s="40"/>
      <c r="CE137" s="40"/>
      <c r="CF137" s="40"/>
      <c r="CG137" s="40"/>
      <c r="CH137" s="40"/>
      <c r="CI137" s="40"/>
      <c r="CJ137" s="40"/>
      <c r="CK137" s="40"/>
      <c r="CL137" s="40"/>
      <c r="CM137" s="40"/>
      <c r="CN137" s="40"/>
      <c r="CO137" s="40"/>
      <c r="CP137" s="40"/>
      <c r="CQ137" s="40"/>
      <c r="CR137" s="40"/>
      <c r="CS137" s="40"/>
      <c r="CT137" s="823"/>
      <c r="CU137" s="232"/>
      <c r="CV137" s="232"/>
      <c r="CW137" s="232"/>
      <c r="CX137" s="232"/>
      <c r="CY137" s="232"/>
      <c r="CZ137" s="40"/>
      <c r="DA137" s="40"/>
      <c r="DB137" s="40"/>
      <c r="DC137" s="40"/>
      <c r="DD137" s="40"/>
      <c r="DE137" s="40"/>
      <c r="DF137" s="232"/>
      <c r="DG137" s="232"/>
      <c r="DH137" s="232"/>
      <c r="DI137" s="232"/>
      <c r="DJ137" s="232"/>
      <c r="DK137" s="232"/>
      <c r="DL137" s="232"/>
      <c r="DM137" s="232"/>
      <c r="DN137" s="232"/>
    </row>
    <row r="138" spans="1:118">
      <c r="A138" s="40"/>
      <c r="B138" s="1"/>
      <c r="C138" s="567" t="s">
        <v>993</v>
      </c>
      <c r="D138" s="28"/>
      <c r="E138" s="273"/>
      <c r="F138" s="3"/>
      <c r="G138" s="3"/>
      <c r="H138" s="274"/>
      <c r="I138" s="1"/>
      <c r="J138" s="273"/>
      <c r="K138" s="3"/>
      <c r="L138" s="3"/>
      <c r="M138" s="274"/>
      <c r="N138" s="1"/>
      <c r="O138" s="273"/>
      <c r="P138" s="3"/>
      <c r="Q138" s="3"/>
      <c r="R138" s="274"/>
      <c r="S138" s="441"/>
      <c r="T138" s="447"/>
      <c r="U138" s="448"/>
      <c r="V138" s="448"/>
      <c r="W138" s="449"/>
      <c r="X138" s="450"/>
      <c r="Y138" s="447">
        <f>'Market Prices'!S10</f>
        <v>10.238461538461538</v>
      </c>
      <c r="Z138" s="448">
        <f>'Market Prices'!T10</f>
        <v>10.513846153846153</v>
      </c>
      <c r="AA138" s="448">
        <f>'Market Prices'!U10</f>
        <v>10.403846153846152</v>
      </c>
      <c r="AB138" s="449">
        <f>'Market Prices'!V10</f>
        <v>10.982307692307691</v>
      </c>
      <c r="AC138" s="450">
        <f>AVERAGE(Y138:AB138)</f>
        <v>10.534615384615384</v>
      </c>
      <c r="AD138" s="447">
        <f>'Market Prices'!W10</f>
        <v>12.356153846153846</v>
      </c>
      <c r="AE138" s="448">
        <f>'Market Prices'!Y10</f>
        <v>11.965384615384615</v>
      </c>
      <c r="AF138" s="448">
        <f>'Market Prices'!Y10</f>
        <v>11.965384615384615</v>
      </c>
      <c r="AG138" s="449">
        <f>'Market Prices'!Z10</f>
        <v>11.526923076923076</v>
      </c>
      <c r="AH138" s="450">
        <f>AVERAGE(AD138:AG138)</f>
        <v>11.953461538461537</v>
      </c>
      <c r="AI138" s="447">
        <f>'Market Prices'!AA10</f>
        <v>11.592307692307692</v>
      </c>
      <c r="AJ138" s="448">
        <f>'Market Prices'!AB10</f>
        <v>11.55</v>
      </c>
      <c r="AK138" s="448">
        <f>'Market Prices'!AC10</f>
        <v>11.592307692307692</v>
      </c>
      <c r="AL138" s="449">
        <f>'Market Prices'!AD10</f>
        <v>11.342307692307694</v>
      </c>
      <c r="AM138" s="450">
        <f>AVERAGE(AI138:AL138)</f>
        <v>11.519230769230768</v>
      </c>
      <c r="AN138" s="447">
        <f>'Market Prices'!AE10</f>
        <v>9.7807692307692307</v>
      </c>
      <c r="AO138" s="448">
        <f>'Market Prices'!AF10</f>
        <v>9.1807692307692292</v>
      </c>
      <c r="AP138" s="448">
        <f>'Market Prices'!AG10</f>
        <v>8.6428571428571441</v>
      </c>
      <c r="AQ138" s="449">
        <f>'Market Prices'!AH10</f>
        <v>9.3461538461538467</v>
      </c>
      <c r="AR138" s="450">
        <f>AVERAGE(AN138:AQ138)</f>
        <v>9.2376373626373631</v>
      </c>
      <c r="AS138" s="447">
        <f>'Market Prices'!AI10</f>
        <v>11.473076923076921</v>
      </c>
      <c r="AT138" s="448">
        <f>'Market Prices'!AJ10</f>
        <v>11.597692307692309</v>
      </c>
      <c r="AU138" s="448">
        <f>'Market Prices'!AK10</f>
        <v>11.516153846153847</v>
      </c>
      <c r="AV138" s="449">
        <f>'Market Prices'!AM10</f>
        <v>12.296153846153848</v>
      </c>
      <c r="AW138" s="450">
        <f>AVERAGE(AS138:AV138)</f>
        <v>11.720769230769232</v>
      </c>
      <c r="AX138" s="447">
        <f>'Market Prices'!AM10</f>
        <v>12.296153846153848</v>
      </c>
      <c r="AY138" s="448">
        <f>'Market Prices'!AN10</f>
        <v>11</v>
      </c>
      <c r="AZ138" s="448">
        <f>'Market Prices'!AO10</f>
        <v>11.35</v>
      </c>
      <c r="BA138" s="449">
        <f>'Market Prices'!AP10</f>
        <v>11.65</v>
      </c>
      <c r="BB138" s="450">
        <f>AVERAGE(AX138:BA138)</f>
        <v>11.574038461538462</v>
      </c>
      <c r="BC138" s="447">
        <f>'Market Prices'!AQ10</f>
        <v>11.728652443964354</v>
      </c>
      <c r="BD138" s="448">
        <f>'Market Prices'!AR10</f>
        <v>11.728652443964354</v>
      </c>
      <c r="BE138" s="448">
        <f>'Market Prices'!AS10</f>
        <v>11.728652443964354</v>
      </c>
      <c r="BF138" s="449">
        <f>'Market Prices'!AT10</f>
        <v>11.414042668106942</v>
      </c>
      <c r="BG138" s="450">
        <f>AVERAGE(BC138:BF138)</f>
        <v>11.650000000000002</v>
      </c>
      <c r="BH138" s="447">
        <f>'Market Prices'!AU10</f>
        <v>11.728652443964354</v>
      </c>
      <c r="BI138" s="448">
        <f>'Market Prices'!AV10</f>
        <v>11.728652443964354</v>
      </c>
      <c r="BJ138" s="448">
        <f>'Market Prices'!AW10</f>
        <v>11.728652443964354</v>
      </c>
      <c r="BK138" s="449">
        <f>'Market Prices'!AX10</f>
        <v>11.414042668106942</v>
      </c>
      <c r="BL138" s="450">
        <f>AVERAGE(BH138:BK138)</f>
        <v>11.650000000000002</v>
      </c>
      <c r="BM138" s="447">
        <f>'Market Prices'!AY10</f>
        <v>11.728652443964354</v>
      </c>
      <c r="BN138" s="448">
        <f>'Market Prices'!AZ10</f>
        <v>11.728652443964354</v>
      </c>
      <c r="BO138" s="448">
        <f>'Market Prices'!BA10</f>
        <v>11.728652443964354</v>
      </c>
      <c r="BP138" s="449">
        <f>'Market Prices'!BB10</f>
        <v>11.414042668106942</v>
      </c>
      <c r="BQ138" s="450">
        <f>AVERAGE(BM138:BP138)</f>
        <v>11.650000000000002</v>
      </c>
      <c r="BR138" s="564"/>
      <c r="BS138" s="40"/>
      <c r="BT138" s="40"/>
      <c r="BU138" s="232"/>
      <c r="BV138" s="40"/>
      <c r="BW138" s="40"/>
      <c r="BX138" s="40"/>
      <c r="BY138" s="40"/>
      <c r="BZ138" s="40"/>
      <c r="CA138" s="40"/>
      <c r="CB138" s="40"/>
      <c r="CC138" s="40"/>
      <c r="CD138" s="40"/>
      <c r="CE138" s="40"/>
      <c r="CF138" s="40"/>
      <c r="CG138" s="40"/>
      <c r="CH138" s="40"/>
      <c r="CI138" s="40"/>
      <c r="CJ138" s="40"/>
      <c r="CK138" s="40"/>
      <c r="CL138" s="40"/>
      <c r="CM138" s="40"/>
      <c r="CN138" s="40"/>
      <c r="CO138" s="40"/>
      <c r="CP138" s="40"/>
      <c r="CQ138" s="40"/>
      <c r="CR138" s="40"/>
      <c r="CS138" s="40"/>
      <c r="CT138" s="823"/>
      <c r="CU138" s="232"/>
      <c r="CV138" s="232"/>
      <c r="CW138" s="232"/>
      <c r="CX138" s="232"/>
      <c r="CY138" s="232"/>
      <c r="CZ138" s="40"/>
      <c r="DA138" s="40"/>
      <c r="DB138" s="40"/>
      <c r="DC138" s="40"/>
      <c r="DD138" s="40"/>
      <c r="DE138" s="40"/>
      <c r="DF138" s="232"/>
      <c r="DG138" s="232"/>
      <c r="DH138" s="232"/>
      <c r="DI138" s="232"/>
      <c r="DJ138" s="232"/>
      <c r="DK138" s="232"/>
      <c r="DL138" s="232"/>
      <c r="DM138" s="232"/>
      <c r="DN138" s="232"/>
    </row>
    <row r="139" spans="1:118">
      <c r="A139" s="40"/>
      <c r="B139" s="1"/>
      <c r="C139" s="1948" t="s">
        <v>508</v>
      </c>
      <c r="D139" s="1"/>
      <c r="E139" s="273"/>
      <c r="F139" s="3"/>
      <c r="G139" s="3"/>
      <c r="H139" s="274"/>
      <c r="I139" s="1"/>
      <c r="J139" s="273"/>
      <c r="K139" s="3"/>
      <c r="L139" s="3"/>
      <c r="M139" s="274"/>
      <c r="N139" s="1"/>
      <c r="O139" s="273"/>
      <c r="P139" s="3"/>
      <c r="Q139" s="3"/>
      <c r="R139" s="274"/>
      <c r="S139" s="1"/>
      <c r="T139" s="447"/>
      <c r="U139" s="448"/>
      <c r="V139" s="448"/>
      <c r="W139" s="449"/>
      <c r="X139" s="450"/>
      <c r="Y139" s="447">
        <f>'Market Prices'!S74</f>
        <v>25</v>
      </c>
      <c r="Z139" s="448">
        <f>'Market Prices'!T74</f>
        <v>25</v>
      </c>
      <c r="AA139" s="448">
        <f>'Market Prices'!U74</f>
        <v>25</v>
      </c>
      <c r="AB139" s="449">
        <f>'Market Prices'!V74</f>
        <v>25</v>
      </c>
      <c r="AC139" s="450">
        <f>AVERAGE(Y139:AB139)</f>
        <v>25</v>
      </c>
      <c r="AD139" s="447">
        <f>'Market Prices'!W74</f>
        <v>25</v>
      </c>
      <c r="AE139" s="448">
        <f>'Market Prices'!Y74</f>
        <v>25</v>
      </c>
      <c r="AF139" s="448">
        <f>'Market Prices'!Y74</f>
        <v>25</v>
      </c>
      <c r="AG139" s="449">
        <f>'Market Prices'!Z74</f>
        <v>25</v>
      </c>
      <c r="AH139" s="450">
        <f>AVERAGE(AD139:AG139)</f>
        <v>25</v>
      </c>
      <c r="AI139" s="447">
        <f>'Market Prices'!AA74</f>
        <v>25</v>
      </c>
      <c r="AJ139" s="448">
        <f>'Market Prices'!AB74</f>
        <v>25</v>
      </c>
      <c r="AK139" s="448">
        <f>'Market Prices'!AC74</f>
        <v>25</v>
      </c>
      <c r="AL139" s="449">
        <f>'Market Prices'!AD74</f>
        <v>25</v>
      </c>
      <c r="AM139" s="545">
        <f>AVERAGE(AI139:AL139)</f>
        <v>25</v>
      </c>
      <c r="AN139" s="447">
        <f>'Market Prices'!AE74</f>
        <v>25</v>
      </c>
      <c r="AO139" s="448">
        <f>'Market Prices'!AF74</f>
        <v>25</v>
      </c>
      <c r="AP139" s="448">
        <f>'Market Prices'!AG74</f>
        <v>25</v>
      </c>
      <c r="AQ139" s="449">
        <f>'Market Prices'!AH74</f>
        <v>25</v>
      </c>
      <c r="AR139" s="545">
        <f>AVERAGE(AN139:AQ139)</f>
        <v>25</v>
      </c>
      <c r="AS139" s="447">
        <f>'Market Prices'!AI74</f>
        <v>25</v>
      </c>
      <c r="AT139" s="448">
        <f>'Market Prices'!AJ74</f>
        <v>25</v>
      </c>
      <c r="AU139" s="448">
        <f>'Market Prices'!AK74</f>
        <v>25</v>
      </c>
      <c r="AV139" s="449">
        <f>'Market Prices'!AM74</f>
        <v>25</v>
      </c>
      <c r="AW139" s="545">
        <f>AVERAGE(AS139:AV139)</f>
        <v>25</v>
      </c>
      <c r="AX139" s="447">
        <f>'Market Prices'!AM74</f>
        <v>25</v>
      </c>
      <c r="AY139" s="448">
        <f>'Market Prices'!AN74</f>
        <v>25</v>
      </c>
      <c r="AZ139" s="448">
        <f>'Market Prices'!AO74</f>
        <v>25</v>
      </c>
      <c r="BA139" s="449">
        <f>'Market Prices'!AP74</f>
        <v>25</v>
      </c>
      <c r="BB139" s="545">
        <f>AVERAGE(AX139:BA139)</f>
        <v>25</v>
      </c>
      <c r="BC139" s="447">
        <f>'Market Prices'!AQ74</f>
        <v>25</v>
      </c>
      <c r="BD139" s="448">
        <f>'Market Prices'!AR74</f>
        <v>25</v>
      </c>
      <c r="BE139" s="448">
        <f>'Market Prices'!AS74</f>
        <v>25</v>
      </c>
      <c r="BF139" s="449">
        <f>'Market Prices'!AT74</f>
        <v>25</v>
      </c>
      <c r="BG139" s="545">
        <f>AVERAGE(BC139:BF139)</f>
        <v>25</v>
      </c>
      <c r="BH139" s="447">
        <f>'Market Prices'!AU74</f>
        <v>25</v>
      </c>
      <c r="BI139" s="448">
        <f>'Market Prices'!AV74</f>
        <v>25</v>
      </c>
      <c r="BJ139" s="448">
        <f>'Market Prices'!AW74</f>
        <v>25</v>
      </c>
      <c r="BK139" s="449">
        <f>'Market Prices'!AX74</f>
        <v>25</v>
      </c>
      <c r="BL139" s="545">
        <f>AVERAGE(BH139:BK139)</f>
        <v>25</v>
      </c>
      <c r="BM139" s="447">
        <f>'Market Prices'!AY74</f>
        <v>25</v>
      </c>
      <c r="BN139" s="448">
        <f>'Market Prices'!AZ74</f>
        <v>25</v>
      </c>
      <c r="BO139" s="448">
        <f>'Market Prices'!BA74</f>
        <v>25</v>
      </c>
      <c r="BP139" s="449">
        <f>'Market Prices'!BB74</f>
        <v>25</v>
      </c>
      <c r="BQ139" s="545">
        <f>AVERAGE(BM139:BP139)</f>
        <v>25</v>
      </c>
      <c r="BR139" s="564"/>
      <c r="BS139" s="40"/>
      <c r="BT139" s="40"/>
      <c r="BU139" s="232"/>
      <c r="BV139" s="40"/>
      <c r="BW139" s="40"/>
      <c r="BX139" s="40"/>
      <c r="BY139" s="40"/>
      <c r="BZ139" s="40"/>
      <c r="CA139" s="40"/>
      <c r="CB139" s="40"/>
      <c r="CC139" s="40"/>
      <c r="CD139" s="40"/>
      <c r="CE139" s="40"/>
      <c r="CF139" s="40"/>
      <c r="CG139" s="40"/>
      <c r="CH139" s="40"/>
      <c r="CI139" s="40"/>
      <c r="CJ139" s="40"/>
      <c r="CK139" s="40"/>
      <c r="CL139" s="40"/>
      <c r="CM139" s="40"/>
      <c r="CN139" s="40"/>
      <c r="CO139" s="40"/>
      <c r="CP139" s="40"/>
      <c r="CQ139" s="40"/>
      <c r="CR139" s="40"/>
      <c r="CS139" s="40"/>
      <c r="CT139" s="823"/>
      <c r="CU139" s="232"/>
      <c r="CV139" s="232"/>
      <c r="CW139" s="232"/>
      <c r="CX139" s="232"/>
      <c r="CY139" s="232"/>
      <c r="CZ139" s="40"/>
      <c r="DA139" s="40"/>
      <c r="DB139" s="40"/>
      <c r="DC139" s="40"/>
      <c r="DD139" s="40"/>
      <c r="DE139" s="40"/>
      <c r="DF139" s="232"/>
      <c r="DG139" s="232"/>
      <c r="DH139" s="232"/>
      <c r="DI139" s="232"/>
      <c r="DJ139" s="232"/>
      <c r="DK139" s="232"/>
      <c r="DL139" s="232"/>
      <c r="DM139" s="232"/>
      <c r="DN139" s="232"/>
    </row>
    <row r="140" spans="1:118">
      <c r="A140" s="40"/>
      <c r="B140" s="1"/>
      <c r="C140" s="943" t="s">
        <v>994</v>
      </c>
      <c r="D140" s="32"/>
      <c r="E140" s="489"/>
      <c r="F140" s="342"/>
      <c r="G140" s="342"/>
      <c r="H140" s="490"/>
      <c r="I140" s="32"/>
      <c r="J140" s="489"/>
      <c r="K140" s="342"/>
      <c r="L140" s="342"/>
      <c r="M140" s="490"/>
      <c r="N140" s="32"/>
      <c r="O140" s="489"/>
      <c r="P140" s="342"/>
      <c r="Q140" s="342"/>
      <c r="R140" s="490"/>
      <c r="S140" s="1358"/>
      <c r="T140" s="451"/>
      <c r="U140" s="452"/>
      <c r="V140" s="452"/>
      <c r="W140" s="453"/>
      <c r="X140" s="454"/>
      <c r="Y140" s="451">
        <f>+Y139+Y138</f>
        <v>35.238461538461536</v>
      </c>
      <c r="Z140" s="452">
        <f>+Z139+Z138</f>
        <v>35.513846153846153</v>
      </c>
      <c r="AA140" s="452">
        <f>+AA139+AA138</f>
        <v>35.403846153846153</v>
      </c>
      <c r="AB140" s="453">
        <f>+AB139+AB138</f>
        <v>35.982307692307693</v>
      </c>
      <c r="AC140" s="454">
        <f>AVERAGE(Y140:AB140)</f>
        <v>35.534615384615385</v>
      </c>
      <c r="AD140" s="451">
        <f>+AD139+AD138</f>
        <v>37.356153846153845</v>
      </c>
      <c r="AE140" s="452">
        <f>+AE139+AE138</f>
        <v>36.965384615384615</v>
      </c>
      <c r="AF140" s="452">
        <f>+AF139+AF138</f>
        <v>36.965384615384615</v>
      </c>
      <c r="AG140" s="453">
        <f>+AG139+AG138</f>
        <v>36.526923076923076</v>
      </c>
      <c r="AH140" s="454">
        <f>AVERAGE(AD140:AG140)</f>
        <v>36.953461538461539</v>
      </c>
      <c r="AI140" s="451">
        <f>+AI139+AI138</f>
        <v>36.592307692307692</v>
      </c>
      <c r="AJ140" s="452">
        <f>+AJ139+AJ138</f>
        <v>36.549999999999997</v>
      </c>
      <c r="AK140" s="452">
        <f>+AK139+AK138</f>
        <v>36.592307692307692</v>
      </c>
      <c r="AL140" s="453">
        <f>+AL139+AL138</f>
        <v>36.342307692307692</v>
      </c>
      <c r="AM140" s="454">
        <f>AVERAGE(AI140:AL140)</f>
        <v>36.519230769230766</v>
      </c>
      <c r="AN140" s="451">
        <f>+AN139+AN138</f>
        <v>34.780769230769231</v>
      </c>
      <c r="AO140" s="452">
        <f>+AO139+AO138</f>
        <v>34.180769230769229</v>
      </c>
      <c r="AP140" s="452">
        <f>+AP139+AP138</f>
        <v>33.642857142857146</v>
      </c>
      <c r="AQ140" s="453">
        <f>+AQ139+AQ138</f>
        <v>34.346153846153847</v>
      </c>
      <c r="AR140" s="454">
        <f>AVERAGE(AN140:AQ140)</f>
        <v>34.237637362637358</v>
      </c>
      <c r="AS140" s="451">
        <f>+AS139+AS138</f>
        <v>36.473076923076917</v>
      </c>
      <c r="AT140" s="452">
        <f>+AT139+AT138</f>
        <v>36.597692307692313</v>
      </c>
      <c r="AU140" s="452">
        <f t="shared" ref="AU140" si="211">+AU139+AU138</f>
        <v>36.516153846153848</v>
      </c>
      <c r="AV140" s="453">
        <f>+AV139+AV138</f>
        <v>37.29615384615385</v>
      </c>
      <c r="AW140" s="454">
        <f>AVERAGE(AS140:AV140)</f>
        <v>36.720769230769235</v>
      </c>
      <c r="AX140" s="451">
        <f>+AX139+AX138</f>
        <v>37.29615384615385</v>
      </c>
      <c r="AY140" s="452">
        <f>+AY139+AY138</f>
        <v>36</v>
      </c>
      <c r="AZ140" s="452">
        <f>+AZ139+AZ138</f>
        <v>36.35</v>
      </c>
      <c r="BA140" s="453">
        <f>+BA139+BA138</f>
        <v>36.65</v>
      </c>
      <c r="BB140" s="454">
        <f>AVERAGE(AX140:BA140)</f>
        <v>36.574038461538464</v>
      </c>
      <c r="BC140" s="451">
        <f>+BC139+BC138</f>
        <v>36.72865244396435</v>
      </c>
      <c r="BD140" s="452">
        <f>+BD139+BD138</f>
        <v>36.72865244396435</v>
      </c>
      <c r="BE140" s="452">
        <f>+BE139+BE138</f>
        <v>36.72865244396435</v>
      </c>
      <c r="BF140" s="453">
        <f>+BF139+BF138</f>
        <v>36.414042668106944</v>
      </c>
      <c r="BG140" s="454">
        <f>AVERAGE(BC140:BF140)</f>
        <v>36.65</v>
      </c>
      <c r="BH140" s="451">
        <f>+BH139+BH138</f>
        <v>36.72865244396435</v>
      </c>
      <c r="BI140" s="452">
        <f>+BI139+BI138</f>
        <v>36.72865244396435</v>
      </c>
      <c r="BJ140" s="452">
        <f>+BJ139+BJ138</f>
        <v>36.72865244396435</v>
      </c>
      <c r="BK140" s="453">
        <f>+BK139+BK138</f>
        <v>36.414042668106944</v>
      </c>
      <c r="BL140" s="454">
        <f>AVERAGE(BH140:BK140)</f>
        <v>36.65</v>
      </c>
      <c r="BM140" s="451">
        <f>+BM139+BM138</f>
        <v>36.72865244396435</v>
      </c>
      <c r="BN140" s="452">
        <f>+BN139+BN138</f>
        <v>36.72865244396435</v>
      </c>
      <c r="BO140" s="452">
        <f>+BO139+BO138</f>
        <v>36.72865244396435</v>
      </c>
      <c r="BP140" s="453">
        <f>+BP139+BP138</f>
        <v>36.414042668106944</v>
      </c>
      <c r="BQ140" s="454">
        <f>AVERAGE(BM140:BP140)</f>
        <v>36.65</v>
      </c>
      <c r="BR140" s="564"/>
      <c r="BS140" s="40"/>
      <c r="BT140" s="40"/>
      <c r="BU140" s="232"/>
      <c r="BV140" s="40"/>
      <c r="BW140" s="40"/>
      <c r="BX140" s="40"/>
      <c r="BY140" s="40"/>
      <c r="BZ140" s="40"/>
      <c r="CA140" s="40"/>
      <c r="CB140" s="40"/>
      <c r="CC140" s="40"/>
      <c r="CD140" s="40"/>
      <c r="CE140" s="40"/>
      <c r="CF140" s="40"/>
      <c r="CG140" s="40"/>
      <c r="CH140" s="40"/>
      <c r="CI140" s="40"/>
      <c r="CJ140" s="40"/>
      <c r="CK140" s="40"/>
      <c r="CL140" s="40"/>
      <c r="CM140" s="40"/>
      <c r="CN140" s="40"/>
      <c r="CO140" s="40"/>
      <c r="CP140" s="40"/>
      <c r="CQ140" s="40"/>
      <c r="CR140" s="40"/>
      <c r="CS140" s="40"/>
      <c r="CT140" s="823"/>
      <c r="CU140" s="232"/>
      <c r="CV140" s="232"/>
      <c r="CW140" s="232"/>
      <c r="CX140" s="232"/>
      <c r="CY140" s="232"/>
      <c r="CZ140" s="40"/>
      <c r="DA140" s="40"/>
      <c r="DB140" s="40"/>
      <c r="DC140" s="40"/>
      <c r="DD140" s="40"/>
      <c r="DE140" s="40"/>
      <c r="DF140" s="232"/>
      <c r="DG140" s="232"/>
      <c r="DH140" s="232"/>
      <c r="DI140" s="232"/>
      <c r="DJ140" s="232"/>
      <c r="DK140" s="232"/>
      <c r="DL140" s="232"/>
      <c r="DM140" s="232"/>
      <c r="DN140" s="232"/>
    </row>
    <row r="141" spans="1:118">
      <c r="A141" s="40"/>
      <c r="B141" s="1"/>
      <c r="C141" s="567"/>
      <c r="D141" s="1"/>
      <c r="E141" s="273"/>
      <c r="F141" s="3"/>
      <c r="G141" s="3"/>
      <c r="H141" s="274"/>
      <c r="I141" s="1"/>
      <c r="J141" s="273"/>
      <c r="K141" s="3"/>
      <c r="L141" s="3"/>
      <c r="M141" s="274"/>
      <c r="N141" s="1"/>
      <c r="O141" s="273"/>
      <c r="P141" s="3"/>
      <c r="Q141" s="3"/>
      <c r="R141" s="274"/>
      <c r="S141" s="1"/>
      <c r="T141" s="436"/>
      <c r="U141" s="437"/>
      <c r="V141" s="437"/>
      <c r="W141" s="438"/>
      <c r="X141" s="450"/>
      <c r="Y141" s="447"/>
      <c r="Z141" s="448"/>
      <c r="AA141" s="448"/>
      <c r="AB141" s="449"/>
      <c r="AC141" s="450"/>
      <c r="AD141" s="447"/>
      <c r="AE141" s="448"/>
      <c r="AF141" s="448"/>
      <c r="AG141" s="449"/>
      <c r="AH141" s="450"/>
      <c r="AI141" s="447"/>
      <c r="AJ141" s="448"/>
      <c r="AK141" s="448"/>
      <c r="AL141" s="449"/>
      <c r="AM141" s="450"/>
      <c r="AN141" s="447"/>
      <c r="AO141" s="448"/>
      <c r="AP141" s="448"/>
      <c r="AQ141" s="449"/>
      <c r="AR141" s="450"/>
      <c r="AS141" s="447"/>
      <c r="AT141" s="448"/>
      <c r="AU141" s="448"/>
      <c r="AV141" s="449"/>
      <c r="AW141" s="450"/>
      <c r="AX141" s="447"/>
      <c r="AY141" s="448"/>
      <c r="AZ141" s="448"/>
      <c r="BA141" s="449"/>
      <c r="BB141" s="450"/>
      <c r="BC141" s="447"/>
      <c r="BD141" s="448"/>
      <c r="BE141" s="448"/>
      <c r="BF141" s="449"/>
      <c r="BG141" s="450"/>
      <c r="BH141" s="447"/>
      <c r="BI141" s="448"/>
      <c r="BJ141" s="448"/>
      <c r="BK141" s="449"/>
      <c r="BL141" s="450"/>
      <c r="BM141" s="447"/>
      <c r="BN141" s="448"/>
      <c r="BO141" s="448"/>
      <c r="BP141" s="449"/>
      <c r="BQ141" s="450"/>
      <c r="BR141" s="564"/>
      <c r="BS141" s="40"/>
      <c r="BT141" s="40"/>
      <c r="BU141" s="232"/>
      <c r="BV141" s="40"/>
      <c r="BW141" s="40"/>
      <c r="BX141" s="40"/>
      <c r="BY141" s="40"/>
      <c r="BZ141" s="40"/>
      <c r="CA141" s="40"/>
      <c r="CB141" s="40"/>
      <c r="CC141" s="40"/>
      <c r="CD141" s="40"/>
      <c r="CE141" s="40"/>
      <c r="CF141" s="40"/>
      <c r="CG141" s="40"/>
      <c r="CH141" s="40"/>
      <c r="CI141" s="40"/>
      <c r="CJ141" s="40"/>
      <c r="CK141" s="40"/>
      <c r="CL141" s="40"/>
      <c r="CM141" s="40"/>
      <c r="CN141" s="40"/>
      <c r="CO141" s="40"/>
      <c r="CP141" s="40"/>
      <c r="CQ141" s="40"/>
      <c r="CR141" s="40"/>
      <c r="CS141" s="40"/>
      <c r="CT141" s="823"/>
      <c r="CU141" s="232"/>
      <c r="CV141" s="232"/>
      <c r="CW141" s="232"/>
      <c r="CX141" s="232"/>
      <c r="CY141" s="232"/>
      <c r="CZ141" s="40"/>
      <c r="DA141" s="40"/>
      <c r="DB141" s="40"/>
      <c r="DC141" s="40"/>
      <c r="DD141" s="40"/>
      <c r="DE141" s="40"/>
      <c r="DF141" s="232"/>
      <c r="DG141" s="232"/>
      <c r="DH141" s="232"/>
      <c r="DI141" s="232"/>
      <c r="DJ141" s="232"/>
      <c r="DK141" s="232"/>
      <c r="DL141" s="232"/>
      <c r="DM141" s="232"/>
      <c r="DN141" s="232"/>
    </row>
    <row r="142" spans="1:118">
      <c r="A142" s="40"/>
      <c r="B142" s="1"/>
      <c r="C142" s="563" t="s">
        <v>1395</v>
      </c>
      <c r="D142" s="1"/>
      <c r="E142" s="273"/>
      <c r="F142" s="3"/>
      <c r="G142" s="3"/>
      <c r="H142" s="274"/>
      <c r="I142" s="1"/>
      <c r="J142" s="273"/>
      <c r="K142" s="3"/>
      <c r="L142" s="3"/>
      <c r="M142" s="274"/>
      <c r="N142" s="1"/>
      <c r="O142" s="273"/>
      <c r="P142" s="3"/>
      <c r="Q142" s="3"/>
      <c r="R142" s="274"/>
      <c r="S142" s="1"/>
      <c r="T142" s="436"/>
      <c r="U142" s="437"/>
      <c r="V142" s="437"/>
      <c r="W142" s="438"/>
      <c r="X142" s="450"/>
      <c r="Y142" s="447"/>
      <c r="Z142" s="448"/>
      <c r="AA142" s="448"/>
      <c r="AB142" s="449"/>
      <c r="AC142" s="450"/>
      <c r="AD142" s="447"/>
      <c r="AE142" s="448"/>
      <c r="AF142" s="448"/>
      <c r="AG142" s="449"/>
      <c r="AH142" s="450"/>
      <c r="AI142" s="447"/>
      <c r="AJ142" s="448"/>
      <c r="AK142" s="448"/>
      <c r="AL142" s="449"/>
      <c r="AM142" s="450"/>
      <c r="AN142" s="447"/>
      <c r="AO142" s="448"/>
      <c r="AP142" s="448"/>
      <c r="AQ142" s="449"/>
      <c r="AR142" s="450"/>
      <c r="AS142" s="447"/>
      <c r="AT142" s="448"/>
      <c r="AU142" s="448"/>
      <c r="AV142" s="449"/>
      <c r="AW142" s="450"/>
      <c r="AX142" s="447"/>
      <c r="AY142" s="448"/>
      <c r="AZ142" s="448"/>
      <c r="BA142" s="449"/>
      <c r="BB142" s="450"/>
      <c r="BC142" s="447"/>
      <c r="BD142" s="448"/>
      <c r="BE142" s="448"/>
      <c r="BF142" s="449"/>
      <c r="BG142" s="450"/>
      <c r="BH142" s="447"/>
      <c r="BI142" s="448"/>
      <c r="BJ142" s="448"/>
      <c r="BK142" s="449"/>
      <c r="BL142" s="450"/>
      <c r="BM142" s="447"/>
      <c r="BN142" s="448"/>
      <c r="BO142" s="448"/>
      <c r="BP142" s="449"/>
      <c r="BQ142" s="568"/>
      <c r="BR142" s="40"/>
      <c r="BS142" s="40"/>
      <c r="BT142" s="40"/>
      <c r="BU142" s="232"/>
      <c r="BV142" s="40"/>
      <c r="BW142" s="40"/>
      <c r="BX142" s="40"/>
      <c r="BY142" s="40"/>
      <c r="BZ142" s="40"/>
      <c r="CA142" s="40"/>
      <c r="CB142" s="40"/>
      <c r="CC142" s="40"/>
      <c r="CD142" s="40"/>
      <c r="CE142" s="40"/>
      <c r="CF142" s="40"/>
      <c r="CG142" s="40"/>
      <c r="CH142" s="40"/>
      <c r="CI142" s="40"/>
      <c r="CJ142" s="40"/>
      <c r="CK142" s="40"/>
      <c r="CL142" s="40"/>
      <c r="CM142" s="40"/>
      <c r="CN142" s="40"/>
      <c r="CO142" s="40"/>
      <c r="CP142" s="40"/>
      <c r="CQ142" s="40"/>
      <c r="CR142" s="40"/>
      <c r="CS142" s="40"/>
      <c r="CT142" s="823"/>
      <c r="CU142" s="232"/>
      <c r="CV142" s="232"/>
      <c r="CW142" s="232"/>
      <c r="CX142" s="232"/>
      <c r="CY142" s="232"/>
      <c r="CZ142" s="40"/>
      <c r="DA142" s="40"/>
      <c r="DB142" s="40"/>
      <c r="DC142" s="40"/>
      <c r="DD142" s="40"/>
      <c r="DE142" s="40"/>
      <c r="DF142" s="232"/>
      <c r="DG142" s="232"/>
      <c r="DH142" s="232"/>
      <c r="DI142" s="232"/>
      <c r="DJ142" s="232"/>
      <c r="DK142" s="232"/>
      <c r="DL142" s="232"/>
      <c r="DM142" s="232"/>
      <c r="DN142" s="232"/>
    </row>
    <row r="143" spans="1:118">
      <c r="A143" s="40"/>
      <c r="B143" s="1"/>
      <c r="C143" s="564" t="s">
        <v>1089</v>
      </c>
      <c r="D143" s="1"/>
      <c r="E143" s="273"/>
      <c r="F143" s="3"/>
      <c r="G143" s="3"/>
      <c r="H143" s="274"/>
      <c r="I143" s="1"/>
      <c r="J143" s="273"/>
      <c r="K143" s="3"/>
      <c r="L143" s="3"/>
      <c r="M143" s="274"/>
      <c r="N143" s="1"/>
      <c r="O143" s="273"/>
      <c r="P143" s="3"/>
      <c r="Q143" s="3"/>
      <c r="R143" s="274"/>
      <c r="S143" s="1"/>
      <c r="T143" s="436"/>
      <c r="U143" s="437"/>
      <c r="V143" s="437"/>
      <c r="W143" s="438"/>
      <c r="X143" s="450"/>
      <c r="Y143" s="447"/>
      <c r="Z143" s="448"/>
      <c r="AA143" s="448"/>
      <c r="AB143" s="449"/>
      <c r="AC143" s="450"/>
      <c r="AD143" s="447"/>
      <c r="AE143" s="448"/>
      <c r="AF143" s="448"/>
      <c r="AG143" s="449"/>
      <c r="AH143" s="450"/>
      <c r="AI143" s="447"/>
      <c r="AJ143" s="448"/>
      <c r="AK143" s="448"/>
      <c r="AL143" s="449"/>
      <c r="AM143" s="450"/>
      <c r="AN143" s="447"/>
      <c r="AO143" s="448"/>
      <c r="AP143" s="448"/>
      <c r="AQ143" s="449"/>
      <c r="AR143" s="450"/>
      <c r="AS143" s="447"/>
      <c r="AT143" s="448"/>
      <c r="AU143" s="448"/>
      <c r="AV143" s="449"/>
      <c r="AW143" s="450"/>
      <c r="AX143" s="761"/>
      <c r="AY143" s="762"/>
      <c r="AZ143" s="762"/>
      <c r="BA143" s="763"/>
      <c r="BB143" s="450"/>
      <c r="BC143" s="761">
        <f>+BD143</f>
        <v>0</v>
      </c>
      <c r="BD143" s="762">
        <f>+BE143</f>
        <v>0</v>
      </c>
      <c r="BE143" s="762">
        <f>+BF143</f>
        <v>0</v>
      </c>
      <c r="BF143" s="763">
        <f>+BG143</f>
        <v>0</v>
      </c>
      <c r="BG143" s="450">
        <f>Valuation!$BY$42</f>
        <v>0</v>
      </c>
      <c r="BH143" s="761">
        <f>+BI143</f>
        <v>0</v>
      </c>
      <c r="BI143" s="762">
        <f>+BJ143</f>
        <v>0</v>
      </c>
      <c r="BJ143" s="762">
        <f>+BK143</f>
        <v>0</v>
      </c>
      <c r="BK143" s="763">
        <f>+BL143</f>
        <v>0</v>
      </c>
      <c r="BL143" s="450">
        <f>Valuation!$BY$42</f>
        <v>0</v>
      </c>
      <c r="BM143" s="761">
        <f>+BN143</f>
        <v>0</v>
      </c>
      <c r="BN143" s="762">
        <f>+BO143</f>
        <v>0</v>
      </c>
      <c r="BO143" s="762">
        <f>+BP143</f>
        <v>0</v>
      </c>
      <c r="BP143" s="763">
        <f>+BQ143</f>
        <v>0</v>
      </c>
      <c r="BQ143" s="1961">
        <f>Valuation!$BY$42</f>
        <v>0</v>
      </c>
      <c r="BR143" s="40"/>
      <c r="BS143" s="40"/>
      <c r="BT143" s="40"/>
      <c r="BU143" s="232"/>
      <c r="BV143" s="40"/>
      <c r="BW143" s="40"/>
      <c r="BX143" s="40"/>
      <c r="BY143" s="40"/>
      <c r="BZ143" s="40"/>
      <c r="CA143" s="40"/>
      <c r="CB143" s="40"/>
      <c r="CC143" s="40"/>
      <c r="CD143" s="40"/>
      <c r="CE143" s="40"/>
      <c r="CF143" s="40"/>
      <c r="CG143" s="40"/>
      <c r="CH143" s="40"/>
      <c r="CI143" s="40"/>
      <c r="CJ143" s="40"/>
      <c r="CK143" s="40"/>
      <c r="CL143" s="40"/>
      <c r="CM143" s="40"/>
      <c r="CN143" s="40"/>
      <c r="CO143" s="40"/>
      <c r="CP143" s="40"/>
      <c r="CQ143" s="40"/>
      <c r="CR143" s="40"/>
      <c r="CS143" s="40"/>
      <c r="CT143" s="823"/>
      <c r="CU143" s="232"/>
      <c r="CV143" s="232"/>
      <c r="CW143" s="232"/>
      <c r="CX143" s="232"/>
      <c r="CY143" s="232"/>
      <c r="CZ143" s="40"/>
      <c r="DA143" s="40"/>
      <c r="DB143" s="40"/>
      <c r="DC143" s="40"/>
      <c r="DD143" s="40"/>
      <c r="DE143" s="40"/>
      <c r="DF143" s="232"/>
      <c r="DG143" s="232"/>
      <c r="DH143" s="232"/>
      <c r="DI143" s="232"/>
      <c r="DJ143" s="232"/>
      <c r="DK143" s="232"/>
      <c r="DL143" s="232"/>
      <c r="DM143" s="232"/>
      <c r="DN143" s="232"/>
    </row>
    <row r="144" spans="1:118">
      <c r="A144" s="40"/>
      <c r="B144" s="1"/>
      <c r="C144" s="1948" t="s">
        <v>520</v>
      </c>
      <c r="D144" s="1"/>
      <c r="E144" s="273"/>
      <c r="F144" s="3"/>
      <c r="G144" s="3"/>
      <c r="H144" s="274"/>
      <c r="I144" s="1925">
        <f>1*0.7+0.5*0.3</f>
        <v>0.85</v>
      </c>
      <c r="J144" s="273"/>
      <c r="K144" s="3"/>
      <c r="L144" s="3"/>
      <c r="M144" s="274"/>
      <c r="N144" s="13" t="s">
        <v>518</v>
      </c>
      <c r="O144" s="273"/>
      <c r="P144" s="3"/>
      <c r="Q144" s="3"/>
      <c r="R144" s="274"/>
      <c r="S144" s="1"/>
      <c r="T144" s="436"/>
      <c r="U144" s="437"/>
      <c r="V144" s="437"/>
      <c r="W144" s="438"/>
      <c r="X144" s="450"/>
      <c r="Y144" s="447"/>
      <c r="Z144" s="448"/>
      <c r="AA144" s="448"/>
      <c r="AB144" s="449"/>
      <c r="AC144" s="450"/>
      <c r="AD144" s="447"/>
      <c r="AE144" s="448"/>
      <c r="AF144" s="448"/>
      <c r="AG144" s="449"/>
      <c r="AH144" s="450"/>
      <c r="AI144" s="447"/>
      <c r="AJ144" s="448"/>
      <c r="AK144" s="448"/>
      <c r="AL144" s="449"/>
      <c r="AM144" s="450"/>
      <c r="AN144" s="447"/>
      <c r="AO144" s="448"/>
      <c r="AP144" s="448"/>
      <c r="AQ144" s="449"/>
      <c r="AR144" s="450"/>
      <c r="AS144" s="447"/>
      <c r="AT144" s="448"/>
      <c r="AU144" s="448"/>
      <c r="AV144" s="449"/>
      <c r="AW144" s="450"/>
      <c r="AX144" s="761"/>
      <c r="AY144" s="762"/>
      <c r="AZ144" s="762"/>
      <c r="BA144" s="763"/>
      <c r="BB144" s="450"/>
      <c r="BC144" s="761">
        <f>BC143*$I$144</f>
        <v>0</v>
      </c>
      <c r="BD144" s="762">
        <f>BD143*$I$144</f>
        <v>0</v>
      </c>
      <c r="BE144" s="762">
        <f>BE143*$I$144</f>
        <v>0</v>
      </c>
      <c r="BF144" s="763">
        <f>BF143*$I$144</f>
        <v>0</v>
      </c>
      <c r="BG144" s="450">
        <f>AVERAGE(BC144:BF144)</f>
        <v>0</v>
      </c>
      <c r="BH144" s="761">
        <f>BH143*$I$144</f>
        <v>0</v>
      </c>
      <c r="BI144" s="762">
        <f>BI143*$I$144</f>
        <v>0</v>
      </c>
      <c r="BJ144" s="762">
        <f>BJ143*$I$144</f>
        <v>0</v>
      </c>
      <c r="BK144" s="763">
        <f>BK143*$I$144</f>
        <v>0</v>
      </c>
      <c r="BL144" s="450">
        <f>AVERAGE(BH144:BK144)</f>
        <v>0</v>
      </c>
      <c r="BM144" s="761">
        <f>BM143*$I$144</f>
        <v>0</v>
      </c>
      <c r="BN144" s="762">
        <f>BN143*$I$144</f>
        <v>0</v>
      </c>
      <c r="BO144" s="762">
        <f>BO143*$I$144</f>
        <v>0</v>
      </c>
      <c r="BP144" s="763">
        <f>BP143*$I$144</f>
        <v>0</v>
      </c>
      <c r="BQ144" s="764">
        <f>AVERAGE(BM144:BP144)</f>
        <v>0</v>
      </c>
      <c r="BR144" s="40"/>
      <c r="BS144" s="40"/>
      <c r="BT144" s="40"/>
      <c r="BU144" s="232"/>
      <c r="BV144" s="40"/>
      <c r="BW144" s="40"/>
      <c r="BX144" s="40"/>
      <c r="BY144" s="40"/>
      <c r="BZ144" s="1010"/>
      <c r="CA144" s="40"/>
      <c r="CB144" s="40"/>
      <c r="CC144" s="40"/>
      <c r="CD144" s="40"/>
      <c r="CE144" s="40"/>
      <c r="CF144" s="40"/>
      <c r="CG144" s="40"/>
      <c r="CH144" s="40"/>
      <c r="CI144" s="40"/>
      <c r="CJ144" s="40"/>
      <c r="CK144" s="40"/>
      <c r="CL144" s="40"/>
      <c r="CM144" s="40"/>
      <c r="CN144" s="40"/>
      <c r="CO144" s="40"/>
      <c r="CP144" s="40"/>
      <c r="CQ144" s="40"/>
      <c r="CR144" s="40"/>
      <c r="CS144" s="40"/>
      <c r="CT144" s="823"/>
      <c r="CU144" s="232"/>
      <c r="CV144" s="232"/>
      <c r="CW144" s="232"/>
      <c r="CX144" s="232"/>
      <c r="CY144" s="232"/>
      <c r="CZ144" s="40"/>
      <c r="DA144" s="40"/>
      <c r="DB144" s="40"/>
      <c r="DC144" s="40"/>
      <c r="DD144" s="40"/>
      <c r="DE144" s="40"/>
      <c r="DF144" s="232"/>
      <c r="DG144" s="232"/>
      <c r="DH144" s="232"/>
      <c r="DI144" s="232"/>
      <c r="DJ144" s="232"/>
      <c r="DK144" s="232"/>
      <c r="DL144" s="232"/>
      <c r="DM144" s="232"/>
      <c r="DN144" s="232"/>
    </row>
    <row r="145" spans="1:118">
      <c r="A145" s="40"/>
      <c r="B145" s="1"/>
      <c r="C145" s="1948"/>
      <c r="D145" s="1"/>
      <c r="E145" s="273"/>
      <c r="F145" s="3"/>
      <c r="G145" s="3"/>
      <c r="H145" s="3"/>
      <c r="I145" s="2085"/>
      <c r="J145" s="3"/>
      <c r="K145" s="3"/>
      <c r="L145" s="3"/>
      <c r="M145" s="274"/>
      <c r="N145" s="13"/>
      <c r="O145" s="273"/>
      <c r="P145" s="3"/>
      <c r="Q145" s="3"/>
      <c r="R145" s="274"/>
      <c r="S145" s="1"/>
      <c r="T145" s="436"/>
      <c r="U145" s="437"/>
      <c r="V145" s="437"/>
      <c r="W145" s="438"/>
      <c r="X145" s="450"/>
      <c r="Y145" s="447"/>
      <c r="Z145" s="448"/>
      <c r="AA145" s="448"/>
      <c r="AB145" s="449"/>
      <c r="AC145" s="450"/>
      <c r="AD145" s="447"/>
      <c r="AE145" s="448"/>
      <c r="AF145" s="448"/>
      <c r="AG145" s="449"/>
      <c r="AH145" s="450"/>
      <c r="AI145" s="447"/>
      <c r="AJ145" s="448"/>
      <c r="AK145" s="448"/>
      <c r="AL145" s="449"/>
      <c r="AM145" s="450"/>
      <c r="AN145" s="447"/>
      <c r="AO145" s="448"/>
      <c r="AP145" s="448"/>
      <c r="AQ145" s="449"/>
      <c r="AR145" s="450"/>
      <c r="AS145" s="447"/>
      <c r="AT145" s="448"/>
      <c r="AU145" s="448"/>
      <c r="AV145" s="449"/>
      <c r="AW145" s="450"/>
      <c r="AX145" s="761"/>
      <c r="AY145" s="762"/>
      <c r="AZ145" s="762"/>
      <c r="BA145" s="763"/>
      <c r="BB145" s="450"/>
      <c r="BC145" s="761"/>
      <c r="BD145" s="762"/>
      <c r="BE145" s="762"/>
      <c r="BF145" s="763"/>
      <c r="BG145" s="450"/>
      <c r="BH145" s="761"/>
      <c r="BI145" s="762"/>
      <c r="BJ145" s="762"/>
      <c r="BK145" s="763"/>
      <c r="BL145" s="450"/>
      <c r="BM145" s="761"/>
      <c r="BN145" s="762"/>
      <c r="BO145" s="762"/>
      <c r="BP145" s="763"/>
      <c r="BQ145" s="764"/>
      <c r="BR145" s="40"/>
      <c r="BS145" s="40"/>
      <c r="BT145" s="40"/>
      <c r="BU145" s="232"/>
      <c r="BV145" s="40"/>
      <c r="BW145" s="40"/>
      <c r="BX145" s="40"/>
      <c r="BY145" s="40"/>
      <c r="BZ145" s="1010"/>
      <c r="CA145" s="40"/>
      <c r="CB145" s="40"/>
      <c r="CC145" s="40"/>
      <c r="CD145" s="40"/>
      <c r="CE145" s="40"/>
      <c r="CF145" s="40"/>
      <c r="CG145" s="40"/>
      <c r="CH145" s="40"/>
      <c r="CI145" s="40"/>
      <c r="CJ145" s="40"/>
      <c r="CK145" s="40"/>
      <c r="CL145" s="40"/>
      <c r="CM145" s="40"/>
      <c r="CN145" s="40"/>
      <c r="CO145" s="40"/>
      <c r="CP145" s="40"/>
      <c r="CQ145" s="40"/>
      <c r="CR145" s="40"/>
      <c r="CS145" s="40"/>
      <c r="CT145" s="823"/>
      <c r="CU145" s="232"/>
      <c r="CV145" s="232"/>
      <c r="CW145" s="232"/>
      <c r="CX145" s="232"/>
      <c r="CY145" s="232"/>
      <c r="CZ145" s="40"/>
      <c r="DA145" s="40"/>
      <c r="DB145" s="40"/>
      <c r="DC145" s="40"/>
      <c r="DD145" s="40"/>
      <c r="DE145" s="40"/>
      <c r="DF145" s="232"/>
      <c r="DG145" s="232"/>
      <c r="DH145" s="232"/>
      <c r="DI145" s="232"/>
      <c r="DJ145" s="232"/>
      <c r="DK145" s="232"/>
      <c r="DL145" s="232"/>
      <c r="DM145" s="232"/>
      <c r="DN145" s="232"/>
    </row>
    <row r="146" spans="1:118">
      <c r="A146" s="40"/>
      <c r="B146" s="1"/>
      <c r="C146" s="563" t="s">
        <v>1396</v>
      </c>
      <c r="D146" s="1"/>
      <c r="E146" s="273"/>
      <c r="F146" s="3"/>
      <c r="G146" s="3"/>
      <c r="H146" s="3"/>
      <c r="I146" s="2085"/>
      <c r="J146" s="3"/>
      <c r="K146" s="3"/>
      <c r="L146" s="3"/>
      <c r="M146" s="274"/>
      <c r="N146" s="13"/>
      <c r="O146" s="273"/>
      <c r="P146" s="3"/>
      <c r="Q146" s="3"/>
      <c r="R146" s="274"/>
      <c r="S146" s="1"/>
      <c r="T146" s="436"/>
      <c r="U146" s="437"/>
      <c r="V146" s="437"/>
      <c r="W146" s="438"/>
      <c r="X146" s="450"/>
      <c r="Y146" s="447"/>
      <c r="Z146" s="448"/>
      <c r="AA146" s="448"/>
      <c r="AB146" s="449"/>
      <c r="AC146" s="450"/>
      <c r="AD146" s="447"/>
      <c r="AE146" s="448"/>
      <c r="AF146" s="448"/>
      <c r="AG146" s="449"/>
      <c r="AH146" s="450"/>
      <c r="AI146" s="447"/>
      <c r="AJ146" s="448"/>
      <c r="AK146" s="448"/>
      <c r="AL146" s="449"/>
      <c r="AM146" s="450"/>
      <c r="AN146" s="447"/>
      <c r="AO146" s="448"/>
      <c r="AP146" s="448"/>
      <c r="AQ146" s="449"/>
      <c r="AR146" s="450"/>
      <c r="AS146" s="447"/>
      <c r="AT146" s="448"/>
      <c r="AU146" s="448"/>
      <c r="AV146" s="449"/>
      <c r="AW146" s="450"/>
      <c r="AX146" s="761"/>
      <c r="AY146" s="762"/>
      <c r="AZ146" s="762"/>
      <c r="BA146" s="763"/>
      <c r="BB146" s="450"/>
      <c r="BC146" s="761"/>
      <c r="BD146" s="762"/>
      <c r="BE146" s="762"/>
      <c r="BF146" s="763"/>
      <c r="BG146" s="450"/>
      <c r="BH146" s="761"/>
      <c r="BI146" s="762"/>
      <c r="BJ146" s="762"/>
      <c r="BK146" s="763"/>
      <c r="BL146" s="450"/>
      <c r="BM146" s="761"/>
      <c r="BN146" s="762"/>
      <c r="BO146" s="762"/>
      <c r="BP146" s="763"/>
      <c r="BQ146" s="764"/>
      <c r="BR146" s="40"/>
      <c r="BS146" s="40"/>
      <c r="BT146" s="40"/>
      <c r="BU146" s="232"/>
      <c r="BV146" s="40"/>
      <c r="BW146" s="40"/>
      <c r="BX146" s="40"/>
      <c r="BY146" s="40"/>
      <c r="BZ146" s="1010"/>
      <c r="CA146" s="40"/>
      <c r="CB146" s="40"/>
      <c r="CC146" s="40"/>
      <c r="CD146" s="40"/>
      <c r="CE146" s="40"/>
      <c r="CF146" s="40"/>
      <c r="CG146" s="40"/>
      <c r="CH146" s="40"/>
      <c r="CI146" s="40"/>
      <c r="CJ146" s="40"/>
      <c r="CK146" s="40"/>
      <c r="CL146" s="40"/>
      <c r="CM146" s="40"/>
      <c r="CN146" s="40"/>
      <c r="CO146" s="40"/>
      <c r="CP146" s="40"/>
      <c r="CQ146" s="40"/>
      <c r="CR146" s="40"/>
      <c r="CS146" s="40"/>
      <c r="CT146" s="823"/>
      <c r="CU146" s="232"/>
      <c r="CV146" s="232"/>
      <c r="CW146" s="232"/>
      <c r="CX146" s="232"/>
      <c r="CY146" s="232"/>
      <c r="CZ146" s="40"/>
      <c r="DA146" s="40"/>
      <c r="DB146" s="40"/>
      <c r="DC146" s="40"/>
      <c r="DD146" s="40"/>
      <c r="DE146" s="40"/>
      <c r="DF146" s="232"/>
      <c r="DG146" s="232"/>
      <c r="DH146" s="232"/>
      <c r="DI146" s="232"/>
      <c r="DJ146" s="232"/>
      <c r="DK146" s="232"/>
      <c r="DL146" s="232"/>
      <c r="DM146" s="232"/>
      <c r="DN146" s="232"/>
    </row>
    <row r="147" spans="1:118">
      <c r="A147" s="40"/>
      <c r="B147" s="1"/>
      <c r="C147" s="564" t="s">
        <v>1089</v>
      </c>
      <c r="D147" s="1"/>
      <c r="E147" s="273"/>
      <c r="F147" s="3"/>
      <c r="G147" s="3"/>
      <c r="H147" s="3"/>
      <c r="I147" s="2085"/>
      <c r="J147" s="3"/>
      <c r="K147" s="3"/>
      <c r="L147" s="3"/>
      <c r="M147" s="274"/>
      <c r="N147" s="13"/>
      <c r="O147" s="273"/>
      <c r="P147" s="3"/>
      <c r="Q147" s="3"/>
      <c r="R147" s="274"/>
      <c r="S147" s="1"/>
      <c r="T147" s="436"/>
      <c r="U147" s="437"/>
      <c r="V147" s="437"/>
      <c r="W147" s="438"/>
      <c r="X147" s="450"/>
      <c r="Y147" s="447"/>
      <c r="Z147" s="448"/>
      <c r="AA147" s="448"/>
      <c r="AB147" s="449"/>
      <c r="AC147" s="450"/>
      <c r="AD147" s="447"/>
      <c r="AE147" s="448"/>
      <c r="AF147" s="448"/>
      <c r="AG147" s="449"/>
      <c r="AH147" s="450"/>
      <c r="AI147" s="447"/>
      <c r="AJ147" s="448"/>
      <c r="AK147" s="448"/>
      <c r="AL147" s="449"/>
      <c r="AM147" s="450"/>
      <c r="AN147" s="447"/>
      <c r="AO147" s="448"/>
      <c r="AP147" s="448"/>
      <c r="AQ147" s="449"/>
      <c r="AR147" s="450"/>
      <c r="AS147" s="447"/>
      <c r="AT147" s="448"/>
      <c r="AU147" s="448"/>
      <c r="AV147" s="449"/>
      <c r="AW147" s="450"/>
      <c r="AX147" s="761"/>
      <c r="AY147" s="762"/>
      <c r="AZ147" s="762"/>
      <c r="BA147" s="763"/>
      <c r="BB147" s="450"/>
      <c r="BC147" s="761">
        <f t="shared" ref="BC147:BE150" si="212">BD147</f>
        <v>0</v>
      </c>
      <c r="BD147" s="762">
        <f t="shared" si="212"/>
        <v>0</v>
      </c>
      <c r="BE147" s="762">
        <f t="shared" si="212"/>
        <v>0</v>
      </c>
      <c r="BF147" s="763">
        <f t="shared" ref="BF147:BG150" si="213">BG147</f>
        <v>0</v>
      </c>
      <c r="BG147" s="450">
        <f t="shared" si="213"/>
        <v>0</v>
      </c>
      <c r="BH147" s="761">
        <f>+BI147</f>
        <v>0</v>
      </c>
      <c r="BI147" s="762">
        <f>+BJ147</f>
        <v>0</v>
      </c>
      <c r="BJ147" s="762">
        <f>+BK147</f>
        <v>0</v>
      </c>
      <c r="BK147" s="763">
        <f>+BL147</f>
        <v>0</v>
      </c>
      <c r="BL147" s="450">
        <f t="shared" ref="BL147:BL150" si="214">BM147</f>
        <v>0</v>
      </c>
      <c r="BM147" s="761">
        <f>+BN147</f>
        <v>0</v>
      </c>
      <c r="BN147" s="762">
        <f>+BO147</f>
        <v>0</v>
      </c>
      <c r="BO147" s="762">
        <f>+BP147</f>
        <v>0</v>
      </c>
      <c r="BP147" s="763">
        <f>+BQ147</f>
        <v>0</v>
      </c>
      <c r="BQ147" s="1961">
        <f>Valuation!$BY$41</f>
        <v>0</v>
      </c>
      <c r="BR147" s="40"/>
      <c r="BS147" s="40"/>
      <c r="BT147" s="40"/>
      <c r="BU147" s="232"/>
      <c r="BV147" s="40"/>
      <c r="BW147" s="40"/>
      <c r="BX147" s="40"/>
      <c r="BY147" s="40"/>
      <c r="BZ147" s="1010"/>
      <c r="CA147" s="40"/>
      <c r="CB147" s="40"/>
      <c r="CC147" s="40"/>
      <c r="CD147" s="40"/>
      <c r="CE147" s="40"/>
      <c r="CF147" s="40"/>
      <c r="CG147" s="40"/>
      <c r="CH147" s="40"/>
      <c r="CI147" s="40"/>
      <c r="CJ147" s="40"/>
      <c r="CK147" s="40"/>
      <c r="CL147" s="40"/>
      <c r="CM147" s="40"/>
      <c r="CN147" s="40"/>
      <c r="CO147" s="40"/>
      <c r="CP147" s="40"/>
      <c r="CQ147" s="40"/>
      <c r="CR147" s="40"/>
      <c r="CS147" s="40"/>
      <c r="CT147" s="823"/>
      <c r="CU147" s="232"/>
      <c r="CV147" s="232"/>
      <c r="CW147" s="232"/>
      <c r="CX147" s="232"/>
      <c r="CY147" s="232"/>
      <c r="CZ147" s="40"/>
      <c r="DA147" s="40"/>
      <c r="DB147" s="40"/>
      <c r="DC147" s="40"/>
      <c r="DD147" s="40"/>
      <c r="DE147" s="40"/>
      <c r="DF147" s="232"/>
      <c r="DG147" s="232"/>
      <c r="DH147" s="232"/>
      <c r="DI147" s="232"/>
      <c r="DJ147" s="232"/>
      <c r="DK147" s="232"/>
      <c r="DL147" s="232"/>
      <c r="DM147" s="232"/>
      <c r="DN147" s="232"/>
    </row>
    <row r="148" spans="1:118">
      <c r="A148" s="40"/>
      <c r="B148" s="1"/>
      <c r="C148" s="1948" t="s">
        <v>1398</v>
      </c>
      <c r="D148" s="1"/>
      <c r="E148" s="273"/>
      <c r="F148" s="3"/>
      <c r="G148" s="3"/>
      <c r="H148" s="3"/>
      <c r="I148" s="2087">
        <v>0.6</v>
      </c>
      <c r="J148" s="3"/>
      <c r="K148" s="3"/>
      <c r="L148" s="3"/>
      <c r="M148" s="274"/>
      <c r="N148" s="13" t="s">
        <v>1400</v>
      </c>
      <c r="O148" s="273"/>
      <c r="P148" s="3"/>
      <c r="Q148" s="3"/>
      <c r="R148" s="274"/>
      <c r="S148" s="1"/>
      <c r="T148" s="436"/>
      <c r="U148" s="437"/>
      <c r="V148" s="437"/>
      <c r="W148" s="438"/>
      <c r="X148" s="450"/>
      <c r="Y148" s="447"/>
      <c r="Z148" s="448"/>
      <c r="AA148" s="448"/>
      <c r="AB148" s="449"/>
      <c r="AC148" s="450"/>
      <c r="AD148" s="447"/>
      <c r="AE148" s="448"/>
      <c r="AF148" s="448"/>
      <c r="AG148" s="449"/>
      <c r="AH148" s="450"/>
      <c r="AI148" s="447"/>
      <c r="AJ148" s="448"/>
      <c r="AK148" s="448"/>
      <c r="AL148" s="449"/>
      <c r="AM148" s="450"/>
      <c r="AN148" s="447"/>
      <c r="AO148" s="448"/>
      <c r="AP148" s="448"/>
      <c r="AQ148" s="449"/>
      <c r="AR148" s="450"/>
      <c r="AS148" s="447"/>
      <c r="AT148" s="448"/>
      <c r="AU148" s="448"/>
      <c r="AV148" s="449"/>
      <c r="AW148" s="450"/>
      <c r="AX148" s="761"/>
      <c r="AY148" s="762"/>
      <c r="AZ148" s="762"/>
      <c r="BA148" s="763"/>
      <c r="BB148" s="450"/>
      <c r="BC148" s="761">
        <f t="shared" si="212"/>
        <v>0</v>
      </c>
      <c r="BD148" s="762">
        <f t="shared" si="212"/>
        <v>0</v>
      </c>
      <c r="BE148" s="762">
        <f t="shared" si="212"/>
        <v>0</v>
      </c>
      <c r="BF148" s="763">
        <f t="shared" si="213"/>
        <v>0</v>
      </c>
      <c r="BG148" s="450">
        <f t="shared" si="213"/>
        <v>0</v>
      </c>
      <c r="BH148" s="761">
        <f t="shared" ref="BH148:BP150" si="215">BH$147*$I148</f>
        <v>0</v>
      </c>
      <c r="BI148" s="762">
        <f t="shared" si="215"/>
        <v>0</v>
      </c>
      <c r="BJ148" s="762">
        <f t="shared" si="215"/>
        <v>0</v>
      </c>
      <c r="BK148" s="763">
        <f t="shared" si="215"/>
        <v>0</v>
      </c>
      <c r="BL148" s="450">
        <f t="shared" si="214"/>
        <v>0</v>
      </c>
      <c r="BM148" s="761">
        <f t="shared" si="215"/>
        <v>0</v>
      </c>
      <c r="BN148" s="762">
        <f t="shared" si="215"/>
        <v>0</v>
      </c>
      <c r="BO148" s="762">
        <f t="shared" si="215"/>
        <v>0</v>
      </c>
      <c r="BP148" s="763">
        <f t="shared" si="215"/>
        <v>0</v>
      </c>
      <c r="BQ148" s="764">
        <f>AVERAGE(BM148:BP148)</f>
        <v>0</v>
      </c>
      <c r="BR148" s="40"/>
      <c r="BS148" s="40"/>
      <c r="BT148" s="40"/>
      <c r="BU148" s="232"/>
      <c r="BV148" s="40"/>
      <c r="BW148" s="40"/>
      <c r="BX148" s="40"/>
      <c r="BY148" s="40"/>
      <c r="BZ148" s="1010"/>
      <c r="CA148" s="40"/>
      <c r="CB148" s="40"/>
      <c r="CC148" s="40"/>
      <c r="CD148" s="40"/>
      <c r="CE148" s="40"/>
      <c r="CF148" s="40"/>
      <c r="CG148" s="40"/>
      <c r="CH148" s="40"/>
      <c r="CI148" s="40"/>
      <c r="CJ148" s="40"/>
      <c r="CK148" s="40"/>
      <c r="CL148" s="40"/>
      <c r="CM148" s="40"/>
      <c r="CN148" s="40"/>
      <c r="CO148" s="40"/>
      <c r="CP148" s="40"/>
      <c r="CQ148" s="40"/>
      <c r="CR148" s="40"/>
      <c r="CS148" s="40"/>
      <c r="CT148" s="823"/>
      <c r="CU148" s="232"/>
      <c r="CV148" s="232"/>
      <c r="CW148" s="232"/>
      <c r="CX148" s="232"/>
      <c r="CY148" s="232"/>
      <c r="CZ148" s="40"/>
      <c r="DA148" s="40"/>
      <c r="DB148" s="40"/>
      <c r="DC148" s="40"/>
      <c r="DD148" s="40"/>
      <c r="DE148" s="40"/>
      <c r="DF148" s="232"/>
      <c r="DG148" s="232"/>
      <c r="DH148" s="232"/>
      <c r="DI148" s="232"/>
      <c r="DJ148" s="232"/>
      <c r="DK148" s="232"/>
      <c r="DL148" s="232"/>
      <c r="DM148" s="232"/>
      <c r="DN148" s="232"/>
    </row>
    <row r="149" spans="1:118">
      <c r="A149" s="40"/>
      <c r="B149" s="1"/>
      <c r="C149" s="1948" t="s">
        <v>1397</v>
      </c>
      <c r="D149" s="1"/>
      <c r="E149" s="273"/>
      <c r="F149" s="3"/>
      <c r="G149" s="3"/>
      <c r="H149" s="3"/>
      <c r="I149" s="2087">
        <v>0.4</v>
      </c>
      <c r="J149" s="3"/>
      <c r="K149" s="3"/>
      <c r="L149" s="3"/>
      <c r="M149" s="274"/>
      <c r="N149" s="13"/>
      <c r="O149" s="273"/>
      <c r="P149" s="3"/>
      <c r="Q149" s="3"/>
      <c r="R149" s="274"/>
      <c r="S149" s="1"/>
      <c r="T149" s="436"/>
      <c r="U149" s="437"/>
      <c r="V149" s="437"/>
      <c r="W149" s="438"/>
      <c r="X149" s="450"/>
      <c r="Y149" s="447"/>
      <c r="Z149" s="448"/>
      <c r="AA149" s="448"/>
      <c r="AB149" s="449"/>
      <c r="AC149" s="450"/>
      <c r="AD149" s="447"/>
      <c r="AE149" s="448"/>
      <c r="AF149" s="448"/>
      <c r="AG149" s="449"/>
      <c r="AH149" s="450"/>
      <c r="AI149" s="447"/>
      <c r="AJ149" s="448"/>
      <c r="AK149" s="448"/>
      <c r="AL149" s="449"/>
      <c r="AM149" s="450"/>
      <c r="AN149" s="447"/>
      <c r="AO149" s="448"/>
      <c r="AP149" s="448"/>
      <c r="AQ149" s="449"/>
      <c r="AR149" s="450"/>
      <c r="AS149" s="447"/>
      <c r="AT149" s="448"/>
      <c r="AU149" s="448"/>
      <c r="AV149" s="449"/>
      <c r="AW149" s="450"/>
      <c r="AX149" s="761"/>
      <c r="AY149" s="762"/>
      <c r="AZ149" s="762"/>
      <c r="BA149" s="763"/>
      <c r="BB149" s="450"/>
      <c r="BC149" s="761">
        <f t="shared" si="212"/>
        <v>0</v>
      </c>
      <c r="BD149" s="762">
        <f t="shared" si="212"/>
        <v>0</v>
      </c>
      <c r="BE149" s="762">
        <f t="shared" si="212"/>
        <v>0</v>
      </c>
      <c r="BF149" s="763">
        <f t="shared" si="213"/>
        <v>0</v>
      </c>
      <c r="BG149" s="450">
        <f t="shared" si="213"/>
        <v>0</v>
      </c>
      <c r="BH149" s="761">
        <f t="shared" si="215"/>
        <v>0</v>
      </c>
      <c r="BI149" s="762">
        <f t="shared" si="215"/>
        <v>0</v>
      </c>
      <c r="BJ149" s="762">
        <f t="shared" si="215"/>
        <v>0</v>
      </c>
      <c r="BK149" s="763">
        <f t="shared" si="215"/>
        <v>0</v>
      </c>
      <c r="BL149" s="450">
        <f t="shared" si="214"/>
        <v>0</v>
      </c>
      <c r="BM149" s="761">
        <f t="shared" si="215"/>
        <v>0</v>
      </c>
      <c r="BN149" s="762">
        <f t="shared" si="215"/>
        <v>0</v>
      </c>
      <c r="BO149" s="762">
        <f t="shared" si="215"/>
        <v>0</v>
      </c>
      <c r="BP149" s="763">
        <f t="shared" si="215"/>
        <v>0</v>
      </c>
      <c r="BQ149" s="764">
        <f>AVERAGE(BM149:BP149)</f>
        <v>0</v>
      </c>
      <c r="BR149" s="40"/>
      <c r="BS149" s="40"/>
      <c r="BT149" s="40"/>
      <c r="BU149" s="232"/>
      <c r="BV149" s="40"/>
      <c r="BW149" s="40"/>
      <c r="BX149" s="40"/>
      <c r="BY149" s="40"/>
      <c r="BZ149" s="1010"/>
      <c r="CA149" s="40"/>
      <c r="CB149" s="40"/>
      <c r="CC149" s="40"/>
      <c r="CD149" s="40"/>
      <c r="CE149" s="40"/>
      <c r="CF149" s="40"/>
      <c r="CG149" s="40"/>
      <c r="CH149" s="40"/>
      <c r="CI149" s="40"/>
      <c r="CJ149" s="40"/>
      <c r="CK149" s="40"/>
      <c r="CL149" s="40"/>
      <c r="CM149" s="40"/>
      <c r="CN149" s="40"/>
      <c r="CO149" s="40"/>
      <c r="CP149" s="40"/>
      <c r="CQ149" s="40"/>
      <c r="CR149" s="40"/>
      <c r="CS149" s="40"/>
      <c r="CT149" s="823"/>
      <c r="CU149" s="232"/>
      <c r="CV149" s="232"/>
      <c r="CW149" s="232"/>
      <c r="CX149" s="232"/>
      <c r="CY149" s="232"/>
      <c r="CZ149" s="40"/>
      <c r="DA149" s="40"/>
      <c r="DB149" s="40"/>
      <c r="DC149" s="40"/>
      <c r="DD149" s="40"/>
      <c r="DE149" s="40"/>
      <c r="DF149" s="232"/>
      <c r="DG149" s="232"/>
      <c r="DH149" s="232"/>
      <c r="DI149" s="232"/>
      <c r="DJ149" s="232"/>
      <c r="DK149" s="232"/>
      <c r="DL149" s="232"/>
      <c r="DM149" s="232"/>
      <c r="DN149" s="232"/>
    </row>
    <row r="150" spans="1:118">
      <c r="A150" s="40"/>
      <c r="B150" s="1"/>
      <c r="C150" s="1948" t="s">
        <v>1399</v>
      </c>
      <c r="D150" s="1"/>
      <c r="E150" s="273"/>
      <c r="F150" s="3"/>
      <c r="G150" s="3"/>
      <c r="H150" s="3"/>
      <c r="I150" s="2087">
        <v>1.1000000000000001</v>
      </c>
      <c r="J150" s="3"/>
      <c r="K150" s="3"/>
      <c r="L150" s="3"/>
      <c r="M150" s="274"/>
      <c r="N150" s="13"/>
      <c r="O150" s="273"/>
      <c r="P150" s="3"/>
      <c r="Q150" s="3"/>
      <c r="R150" s="274"/>
      <c r="S150" s="1"/>
      <c r="T150" s="436"/>
      <c r="U150" s="437"/>
      <c r="V150" s="437"/>
      <c r="W150" s="438"/>
      <c r="X150" s="450"/>
      <c r="Y150" s="447"/>
      <c r="Z150" s="448"/>
      <c r="AA150" s="448"/>
      <c r="AB150" s="449"/>
      <c r="AC150" s="450"/>
      <c r="AD150" s="447"/>
      <c r="AE150" s="448"/>
      <c r="AF150" s="448"/>
      <c r="AG150" s="449"/>
      <c r="AH150" s="450"/>
      <c r="AI150" s="447"/>
      <c r="AJ150" s="448"/>
      <c r="AK150" s="448"/>
      <c r="AL150" s="449"/>
      <c r="AM150" s="450"/>
      <c r="AN150" s="447"/>
      <c r="AO150" s="448"/>
      <c r="AP150" s="448"/>
      <c r="AQ150" s="449"/>
      <c r="AR150" s="450"/>
      <c r="AS150" s="447"/>
      <c r="AT150" s="448"/>
      <c r="AU150" s="448"/>
      <c r="AV150" s="449"/>
      <c r="AW150" s="450"/>
      <c r="AX150" s="761"/>
      <c r="AY150" s="762"/>
      <c r="AZ150" s="762"/>
      <c r="BA150" s="763"/>
      <c r="BB150" s="450"/>
      <c r="BC150" s="761">
        <f t="shared" si="212"/>
        <v>0</v>
      </c>
      <c r="BD150" s="762">
        <f t="shared" si="212"/>
        <v>0</v>
      </c>
      <c r="BE150" s="762">
        <f t="shared" si="212"/>
        <v>0</v>
      </c>
      <c r="BF150" s="763">
        <f t="shared" si="213"/>
        <v>0</v>
      </c>
      <c r="BG150" s="450">
        <f t="shared" si="213"/>
        <v>0</v>
      </c>
      <c r="BH150" s="761">
        <f t="shared" si="215"/>
        <v>0</v>
      </c>
      <c r="BI150" s="762">
        <f t="shared" si="215"/>
        <v>0</v>
      </c>
      <c r="BJ150" s="762">
        <f t="shared" si="215"/>
        <v>0</v>
      </c>
      <c r="BK150" s="763">
        <f t="shared" si="215"/>
        <v>0</v>
      </c>
      <c r="BL150" s="450">
        <f t="shared" si="214"/>
        <v>0</v>
      </c>
      <c r="BM150" s="761">
        <f t="shared" si="215"/>
        <v>0</v>
      </c>
      <c r="BN150" s="762">
        <f t="shared" si="215"/>
        <v>0</v>
      </c>
      <c r="BO150" s="762">
        <f t="shared" si="215"/>
        <v>0</v>
      </c>
      <c r="BP150" s="763">
        <f t="shared" si="215"/>
        <v>0</v>
      </c>
      <c r="BQ150" s="764">
        <f>AVERAGE(BM150:BP150)</f>
        <v>0</v>
      </c>
      <c r="BR150" s="40"/>
      <c r="BS150" s="40"/>
      <c r="BT150" s="40"/>
      <c r="BU150" s="232"/>
      <c r="BV150" s="40"/>
      <c r="BW150" s="40"/>
      <c r="BX150" s="40"/>
      <c r="BY150" s="40"/>
      <c r="BZ150" s="1010"/>
      <c r="CA150" s="40"/>
      <c r="CB150" s="40"/>
      <c r="CC150" s="40"/>
      <c r="CD150" s="40"/>
      <c r="CE150" s="40"/>
      <c r="CF150" s="40"/>
      <c r="CG150" s="40"/>
      <c r="CH150" s="40"/>
      <c r="CI150" s="40"/>
      <c r="CJ150" s="40"/>
      <c r="CK150" s="40"/>
      <c r="CL150" s="40"/>
      <c r="CM150" s="40"/>
      <c r="CN150" s="40"/>
      <c r="CO150" s="40"/>
      <c r="CP150" s="40"/>
      <c r="CQ150" s="40"/>
      <c r="CR150" s="40"/>
      <c r="CS150" s="40"/>
      <c r="CT150" s="823"/>
      <c r="CU150" s="232"/>
      <c r="CV150" s="232"/>
      <c r="CW150" s="232"/>
      <c r="CX150" s="232"/>
      <c r="CY150" s="232"/>
      <c r="CZ150" s="40"/>
      <c r="DA150" s="40"/>
      <c r="DB150" s="40"/>
      <c r="DC150" s="40"/>
      <c r="DD150" s="40"/>
      <c r="DE150" s="40"/>
      <c r="DF150" s="232"/>
      <c r="DG150" s="232"/>
      <c r="DH150" s="232"/>
      <c r="DI150" s="232"/>
      <c r="DJ150" s="232"/>
      <c r="DK150" s="232"/>
      <c r="DL150" s="232"/>
      <c r="DM150" s="232"/>
      <c r="DN150" s="232"/>
    </row>
    <row r="151" spans="1:118">
      <c r="A151" s="40"/>
      <c r="B151" s="13"/>
      <c r="C151" s="569"/>
      <c r="D151" s="381"/>
      <c r="E151" s="541"/>
      <c r="F151" s="539"/>
      <c r="G151" s="539"/>
      <c r="H151" s="540"/>
      <c r="I151" s="570"/>
      <c r="J151" s="541"/>
      <c r="K151" s="539"/>
      <c r="L151" s="539"/>
      <c r="M151" s="540"/>
      <c r="N151" s="381"/>
      <c r="O151" s="541"/>
      <c r="P151" s="539"/>
      <c r="Q151" s="539"/>
      <c r="R151" s="540"/>
      <c r="S151" s="381"/>
      <c r="T151" s="541"/>
      <c r="U151" s="539"/>
      <c r="V151" s="539"/>
      <c r="W151" s="540"/>
      <c r="X151" s="381"/>
      <c r="Y151" s="541"/>
      <c r="Z151" s="539"/>
      <c r="AA151" s="539"/>
      <c r="AB151" s="540"/>
      <c r="AC151" s="381"/>
      <c r="AD151" s="541"/>
      <c r="AE151" s="539"/>
      <c r="AF151" s="539"/>
      <c r="AG151" s="540"/>
      <c r="AH151" s="381"/>
      <c r="AI151" s="541"/>
      <c r="AJ151" s="539"/>
      <c r="AK151" s="539"/>
      <c r="AL151" s="540"/>
      <c r="AM151" s="381"/>
      <c r="AN151" s="541"/>
      <c r="AO151" s="539"/>
      <c r="AP151" s="539"/>
      <c r="AQ151" s="540"/>
      <c r="AR151" s="381"/>
      <c r="AS151" s="541"/>
      <c r="AT151" s="539"/>
      <c r="AU151" s="539"/>
      <c r="AV151" s="540"/>
      <c r="AW151" s="381"/>
      <c r="AX151" s="541"/>
      <c r="AY151" s="539"/>
      <c r="AZ151" s="539"/>
      <c r="BA151" s="540"/>
      <c r="BB151" s="381"/>
      <c r="BC151" s="541"/>
      <c r="BD151" s="539"/>
      <c r="BE151" s="539"/>
      <c r="BF151" s="540"/>
      <c r="BG151" s="381"/>
      <c r="BH151" s="541"/>
      <c r="BI151" s="539"/>
      <c r="BJ151" s="539"/>
      <c r="BK151" s="540"/>
      <c r="BL151" s="381"/>
      <c r="BM151" s="541"/>
      <c r="BN151" s="539"/>
      <c r="BO151" s="539"/>
      <c r="BP151" s="540"/>
      <c r="BQ151" s="571"/>
      <c r="BR151" s="40"/>
      <c r="BS151" s="40"/>
      <c r="BT151" s="40"/>
      <c r="BU151" s="232"/>
      <c r="BV151" s="40"/>
      <c r="BW151" s="40"/>
      <c r="BX151" s="40"/>
      <c r="BY151" s="40"/>
      <c r="BZ151" s="40"/>
      <c r="CA151" s="40"/>
      <c r="CB151" s="40"/>
      <c r="CC151" s="40"/>
      <c r="CD151" s="40"/>
      <c r="CE151" s="40"/>
      <c r="CF151" s="40"/>
      <c r="CG151" s="40"/>
      <c r="CH151" s="40"/>
      <c r="CI151" s="40"/>
      <c r="CJ151" s="40"/>
      <c r="CK151" s="40"/>
      <c r="CL151" s="40"/>
      <c r="CM151" s="40"/>
      <c r="CN151" s="40"/>
      <c r="CO151" s="40"/>
      <c r="CP151" s="40"/>
      <c r="CQ151" s="40"/>
      <c r="CR151" s="40"/>
      <c r="CS151" s="40"/>
      <c r="CT151" s="823"/>
      <c r="CU151" s="232"/>
      <c r="CV151" s="232"/>
      <c r="CW151" s="232"/>
      <c r="CX151" s="232"/>
      <c r="CY151" s="232"/>
      <c r="CZ151" s="40"/>
      <c r="DA151" s="40"/>
      <c r="DB151" s="40"/>
      <c r="DC151" s="40"/>
      <c r="DD151" s="40"/>
      <c r="DE151" s="40"/>
      <c r="DF151" s="232"/>
      <c r="DG151" s="232"/>
      <c r="DH151" s="232"/>
      <c r="DI151" s="232"/>
      <c r="DJ151" s="232"/>
      <c r="DK151" s="232"/>
      <c r="DL151" s="232"/>
      <c r="DM151" s="232"/>
      <c r="DN151" s="232"/>
    </row>
    <row r="152" spans="1:118">
      <c r="A152" s="40"/>
      <c r="B152" s="1"/>
      <c r="C152" s="1"/>
      <c r="D152" s="1"/>
      <c r="E152" s="273"/>
      <c r="F152" s="3"/>
      <c r="G152" s="3"/>
      <c r="H152" s="274"/>
      <c r="I152" s="28"/>
      <c r="J152" s="273"/>
      <c r="K152" s="3"/>
      <c r="L152" s="3"/>
      <c r="M152" s="274"/>
      <c r="N152" s="1"/>
      <c r="O152" s="273"/>
      <c r="P152" s="3"/>
      <c r="Q152" s="3"/>
      <c r="R152" s="274"/>
      <c r="S152" s="1"/>
      <c r="T152" s="273"/>
      <c r="U152" s="3"/>
      <c r="V152" s="3"/>
      <c r="W152" s="274"/>
      <c r="X152" s="1"/>
      <c r="Y152" s="273"/>
      <c r="Z152" s="3"/>
      <c r="AA152" s="3"/>
      <c r="AB152" s="274"/>
      <c r="AC152" s="1"/>
      <c r="AD152" s="273"/>
      <c r="AE152" s="3"/>
      <c r="AF152" s="3"/>
      <c r="AG152" s="274"/>
      <c r="AH152" s="1"/>
      <c r="AI152" s="273"/>
      <c r="AJ152" s="3"/>
      <c r="AK152" s="3"/>
      <c r="AL152" s="274"/>
      <c r="AM152" s="1"/>
      <c r="AN152" s="273"/>
      <c r="AO152" s="3"/>
      <c r="AP152" s="3"/>
      <c r="AQ152" s="274"/>
      <c r="AR152" s="1"/>
      <c r="AS152" s="273"/>
      <c r="AT152" s="3"/>
      <c r="AU152" s="3"/>
      <c r="AV152" s="274"/>
      <c r="AW152" s="1"/>
      <c r="AX152" s="273"/>
      <c r="AY152" s="3"/>
      <c r="AZ152" s="3"/>
      <c r="BA152" s="274"/>
      <c r="BB152" s="1"/>
      <c r="BC152" s="273"/>
      <c r="BD152" s="3"/>
      <c r="BE152" s="3"/>
      <c r="BF152" s="274"/>
      <c r="BG152" s="1"/>
      <c r="BH152" s="273"/>
      <c r="BI152" s="3"/>
      <c r="BJ152" s="3"/>
      <c r="BK152" s="274"/>
      <c r="BL152" s="1"/>
      <c r="BM152" s="273"/>
      <c r="BN152" s="3"/>
      <c r="BO152" s="3"/>
      <c r="BP152" s="274"/>
      <c r="BQ152" s="1"/>
      <c r="BR152" s="40"/>
      <c r="BS152" s="40"/>
      <c r="BT152" s="40"/>
      <c r="BV152" s="1127" t="s">
        <v>1107</v>
      </c>
      <c r="BW152" s="1359"/>
      <c r="BX152" s="1359">
        <v>2016</v>
      </c>
      <c r="BY152" s="1359">
        <v>2017</v>
      </c>
      <c r="BZ152" s="1359">
        <v>2018</v>
      </c>
      <c r="CA152" s="1359">
        <v>2019</v>
      </c>
      <c r="CB152" s="1360">
        <f>CA152+1</f>
        <v>2020</v>
      </c>
      <c r="CC152" s="40"/>
      <c r="CD152" s="40"/>
      <c r="CE152" s="40"/>
      <c r="CF152" s="40"/>
      <c r="CG152" s="40"/>
      <c r="CH152" s="40"/>
      <c r="CI152" s="40"/>
      <c r="CJ152" s="40"/>
      <c r="CK152" s="40"/>
      <c r="CL152" s="40"/>
      <c r="CM152" s="40"/>
      <c r="CN152" s="40"/>
      <c r="CO152" s="40"/>
      <c r="CP152" s="40"/>
      <c r="CQ152" s="40"/>
      <c r="CR152" s="823"/>
      <c r="CS152" s="232"/>
      <c r="CT152" s="232"/>
      <c r="CU152" s="232"/>
      <c r="CV152" s="232"/>
      <c r="CW152" s="232"/>
      <c r="CX152" s="40"/>
      <c r="CY152" s="40"/>
      <c r="CZ152" s="40"/>
      <c r="DA152" s="40"/>
      <c r="DB152" s="40"/>
      <c r="DC152" s="40"/>
      <c r="DD152" s="232"/>
      <c r="DE152" s="232"/>
      <c r="DF152" s="232"/>
      <c r="DG152" s="232"/>
      <c r="DH152" s="232"/>
      <c r="DI152" s="232"/>
      <c r="DJ152" s="232"/>
      <c r="DK152" s="232"/>
      <c r="DL152" s="232"/>
    </row>
    <row r="153" spans="1:118">
      <c r="A153" s="40"/>
      <c r="B153" s="73" t="s">
        <v>1002</v>
      </c>
      <c r="C153" s="15"/>
      <c r="D153" s="211"/>
      <c r="E153" s="273"/>
      <c r="F153" s="3"/>
      <c r="G153" s="3"/>
      <c r="H153" s="274"/>
      <c r="I153" s="28"/>
      <c r="J153" s="273"/>
      <c r="K153" s="3"/>
      <c r="L153" s="3"/>
      <c r="M153" s="274"/>
      <c r="N153" s="1"/>
      <c r="O153" s="273"/>
      <c r="P153" s="3"/>
      <c r="Q153" s="3"/>
      <c r="R153" s="274"/>
      <c r="S153" s="1"/>
      <c r="T153" s="273"/>
      <c r="U153" s="3"/>
      <c r="V153" s="3"/>
      <c r="W153" s="274"/>
      <c r="X153" s="1"/>
      <c r="Y153" s="273"/>
      <c r="Z153" s="3"/>
      <c r="AA153" s="3"/>
      <c r="AB153" s="274"/>
      <c r="AC153" s="1"/>
      <c r="AD153" s="273"/>
      <c r="AE153" s="3"/>
      <c r="AF153" s="3"/>
      <c r="AG153" s="274"/>
      <c r="AH153" s="331"/>
      <c r="AI153" s="273"/>
      <c r="AJ153" s="3"/>
      <c r="AK153" s="3"/>
      <c r="AL153" s="274"/>
      <c r="AM153" s="1"/>
      <c r="AN153" s="273"/>
      <c r="AO153" s="3"/>
      <c r="AP153" s="3"/>
      <c r="AQ153" s="274"/>
      <c r="AR153" s="1"/>
      <c r="AS153" s="273"/>
      <c r="AT153" s="3"/>
      <c r="AU153" s="3"/>
      <c r="AV153" s="274"/>
      <c r="AW153" s="1"/>
      <c r="AX153" s="273"/>
      <c r="AY153" s="3"/>
      <c r="AZ153" s="3"/>
      <c r="BA153" s="274"/>
      <c r="BB153" s="1"/>
      <c r="BC153" s="273"/>
      <c r="BD153" s="3"/>
      <c r="BE153" s="3"/>
      <c r="BF153" s="274"/>
      <c r="BG153" s="1"/>
      <c r="BH153" s="273"/>
      <c r="BI153" s="3"/>
      <c r="BJ153" s="3"/>
      <c r="BK153" s="274"/>
      <c r="BL153" s="1"/>
      <c r="BM153" s="273"/>
      <c r="BN153" s="3"/>
      <c r="BO153" s="3"/>
      <c r="BP153" s="274"/>
      <c r="BQ153" s="1"/>
      <c r="BR153" s="40"/>
      <c r="BS153" s="40"/>
      <c r="BT153" s="40"/>
      <c r="BV153" s="952" t="s">
        <v>1105</v>
      </c>
      <c r="BW153" s="426"/>
      <c r="BX153" s="426">
        <v>4450</v>
      </c>
      <c r="BY153" s="426">
        <f>3600+1700</f>
        <v>5300</v>
      </c>
      <c r="BZ153" s="426">
        <f>4350+2300</f>
        <v>6650</v>
      </c>
      <c r="CA153" s="426">
        <f>3900+2000</f>
        <v>5900</v>
      </c>
      <c r="CB153" s="1361">
        <f>3750+1850</f>
        <v>5600</v>
      </c>
      <c r="CC153" s="426" t="s">
        <v>367</v>
      </c>
      <c r="CD153" s="40"/>
      <c r="CE153" s="40"/>
      <c r="CF153" s="40"/>
      <c r="CG153" s="40"/>
      <c r="CH153" s="40"/>
      <c r="CI153" s="40"/>
      <c r="CJ153" s="40"/>
      <c r="CK153" s="40"/>
      <c r="CL153" s="40"/>
      <c r="CM153" s="40"/>
      <c r="CN153" s="40"/>
      <c r="CO153" s="40"/>
      <c r="CP153" s="40"/>
      <c r="CQ153" s="40"/>
      <c r="CR153" s="823"/>
      <c r="CS153" s="232"/>
      <c r="CT153" s="232"/>
      <c r="CU153" s="232"/>
      <c r="CV153" s="232"/>
      <c r="CW153" s="232"/>
      <c r="CX153" s="40"/>
      <c r="CY153" s="40"/>
      <c r="CZ153" s="40"/>
      <c r="DA153" s="40"/>
      <c r="DB153" s="40"/>
      <c r="DC153" s="40"/>
      <c r="DD153" s="232"/>
      <c r="DE153" s="232"/>
      <c r="DF153" s="232"/>
      <c r="DG153" s="232"/>
      <c r="DH153" s="232"/>
      <c r="DI153" s="232"/>
      <c r="DJ153" s="232"/>
      <c r="DK153" s="232"/>
      <c r="DL153" s="232"/>
    </row>
    <row r="154" spans="1:118">
      <c r="A154" s="40"/>
      <c r="E154" s="273"/>
      <c r="F154" s="3"/>
      <c r="G154" s="3"/>
      <c r="H154" s="274"/>
      <c r="I154" s="28"/>
      <c r="J154" s="273"/>
      <c r="K154" s="3"/>
      <c r="L154" s="3"/>
      <c r="M154" s="274"/>
      <c r="N154" s="1"/>
      <c r="O154" s="273"/>
      <c r="P154" s="3"/>
      <c r="Q154" s="3"/>
      <c r="R154" s="274"/>
      <c r="S154" s="1"/>
      <c r="T154" s="273"/>
      <c r="U154" s="3"/>
      <c r="V154" s="3"/>
      <c r="W154" s="274"/>
      <c r="X154" s="1"/>
      <c r="Y154" s="273"/>
      <c r="Z154" s="3"/>
      <c r="AA154" s="3"/>
      <c r="AB154" s="274"/>
      <c r="AC154" s="1"/>
      <c r="AD154" s="273"/>
      <c r="AE154" s="3"/>
      <c r="AF154" s="3"/>
      <c r="AG154" s="274"/>
      <c r="AH154" s="331"/>
      <c r="AI154" s="273"/>
      <c r="AJ154" s="3"/>
      <c r="AK154" s="3"/>
      <c r="AL154" s="274"/>
      <c r="AM154" s="1"/>
      <c r="AN154" s="273"/>
      <c r="AO154" s="3"/>
      <c r="AP154" s="3"/>
      <c r="AQ154" s="274"/>
      <c r="AR154" s="1"/>
      <c r="AS154" s="273"/>
      <c r="AT154" s="3"/>
      <c r="AU154" s="3"/>
      <c r="AV154" s="274"/>
      <c r="AW154" s="1"/>
      <c r="AX154" s="273"/>
      <c r="AY154" s="3"/>
      <c r="AZ154" s="3"/>
      <c r="BA154" s="274"/>
      <c r="BB154" s="1"/>
      <c r="BC154" s="273"/>
      <c r="BD154" s="3"/>
      <c r="BE154" s="3"/>
      <c r="BF154" s="274"/>
      <c r="BG154" s="1"/>
      <c r="BH154" s="273"/>
      <c r="BI154" s="3"/>
      <c r="BJ154" s="3"/>
      <c r="BK154" s="274"/>
      <c r="BL154" s="1"/>
      <c r="BM154" s="273"/>
      <c r="BN154" s="3"/>
      <c r="BO154" s="3"/>
      <c r="BP154" s="274"/>
      <c r="BQ154" s="1"/>
      <c r="BR154" s="40"/>
      <c r="BS154" s="40"/>
      <c r="BT154" s="40"/>
      <c r="BV154" s="952" t="s">
        <v>1106</v>
      </c>
      <c r="BW154" s="426"/>
      <c r="BX154" s="426">
        <v>2900</v>
      </c>
      <c r="BY154" s="426">
        <v>2150</v>
      </c>
      <c r="BZ154" s="426">
        <v>350</v>
      </c>
      <c r="CA154" s="426">
        <v>400</v>
      </c>
      <c r="CB154" s="1361">
        <v>250</v>
      </c>
      <c r="CC154" s="426" t="s">
        <v>176</v>
      </c>
      <c r="CD154" s="40"/>
      <c r="CE154" s="40"/>
      <c r="CF154" s="40"/>
      <c r="CG154" s="40"/>
      <c r="CH154" s="40"/>
      <c r="CI154" s="40"/>
      <c r="CJ154" s="40"/>
      <c r="CK154" s="40"/>
      <c r="CL154" s="40"/>
      <c r="CM154" s="40"/>
      <c r="CN154" s="40"/>
      <c r="CO154" s="40"/>
      <c r="CP154" s="40"/>
      <c r="CQ154" s="40"/>
      <c r="CR154" s="823"/>
      <c r="CS154" s="232"/>
      <c r="CT154" s="232"/>
      <c r="CU154" s="232"/>
      <c r="CV154" s="232"/>
      <c r="CW154" s="232"/>
      <c r="CX154" s="40"/>
      <c r="CY154" s="40"/>
      <c r="CZ154" s="40"/>
      <c r="DA154" s="40"/>
      <c r="DB154" s="40"/>
      <c r="DC154" s="40"/>
      <c r="DD154" s="232"/>
      <c r="DE154" s="232"/>
      <c r="DF154" s="232"/>
      <c r="DG154" s="232"/>
      <c r="DH154" s="232"/>
      <c r="DI154" s="232"/>
      <c r="DJ154" s="232"/>
      <c r="DK154" s="232"/>
      <c r="DL154" s="232"/>
    </row>
    <row r="155" spans="1:118">
      <c r="A155" s="40"/>
      <c r="C155" s="34" t="s">
        <v>834</v>
      </c>
      <c r="E155" s="273"/>
      <c r="F155" s="3"/>
      <c r="G155" s="3"/>
      <c r="H155" s="274"/>
      <c r="I155" s="28"/>
      <c r="J155" s="273"/>
      <c r="K155" s="3"/>
      <c r="L155" s="3"/>
      <c r="M155" s="274"/>
      <c r="N155" s="1"/>
      <c r="O155" s="273"/>
      <c r="P155" s="3"/>
      <c r="Q155" s="3"/>
      <c r="R155" s="274"/>
      <c r="S155" s="1"/>
      <c r="T155" s="273"/>
      <c r="U155" s="3"/>
      <c r="V155" s="3"/>
      <c r="W155" s="274"/>
      <c r="X155" s="1"/>
      <c r="Y155" s="273"/>
      <c r="Z155" s="3"/>
      <c r="AA155" s="3"/>
      <c r="AB155" s="274"/>
      <c r="AC155" s="1"/>
      <c r="AD155" s="273"/>
      <c r="AE155" s="3"/>
      <c r="AF155" s="3"/>
      <c r="AG155" s="274"/>
      <c r="AH155" s="331"/>
      <c r="AI155" s="273"/>
      <c r="AJ155" s="3"/>
      <c r="AK155" s="3"/>
      <c r="AL155" s="274"/>
      <c r="AM155" s="1"/>
      <c r="AN155" s="273"/>
      <c r="AO155" s="3"/>
      <c r="AP155" s="3"/>
      <c r="AQ155" s="274"/>
      <c r="AR155" s="1"/>
      <c r="AS155" s="273"/>
      <c r="AT155" s="3"/>
      <c r="AU155" s="3"/>
      <c r="AV155" s="274"/>
      <c r="AW155" s="1"/>
      <c r="AX155" s="273"/>
      <c r="AY155" s="3"/>
      <c r="AZ155" s="3"/>
      <c r="BA155" s="274"/>
      <c r="BB155" s="1"/>
      <c r="BC155" s="273"/>
      <c r="BD155" s="3"/>
      <c r="BE155" s="3"/>
      <c r="BF155" s="274"/>
      <c r="BG155" s="1"/>
      <c r="BH155" s="273"/>
      <c r="BI155" s="3"/>
      <c r="BJ155" s="3"/>
      <c r="BK155" s="274"/>
      <c r="BL155" s="1"/>
      <c r="BM155" s="273"/>
      <c r="BN155" s="3"/>
      <c r="BO155" s="3"/>
      <c r="BP155" s="274"/>
      <c r="BQ155" s="1"/>
      <c r="BR155" s="40"/>
      <c r="BS155" s="40"/>
      <c r="BT155" s="40"/>
      <c r="BV155" s="952" t="s">
        <v>1110</v>
      </c>
      <c r="BW155" s="426"/>
      <c r="BX155" s="426">
        <v>50</v>
      </c>
      <c r="BY155" s="426">
        <v>100</v>
      </c>
      <c r="BZ155" s="426">
        <v>550</v>
      </c>
      <c r="CA155" s="426">
        <v>750</v>
      </c>
      <c r="CB155" s="1361">
        <v>900</v>
      </c>
      <c r="CC155" s="426" t="s">
        <v>366</v>
      </c>
      <c r="CD155" s="40"/>
      <c r="CE155" s="40"/>
      <c r="CF155" s="40"/>
      <c r="CG155" s="40"/>
      <c r="CH155" s="40"/>
      <c r="CI155" s="40"/>
      <c r="CJ155" s="40"/>
      <c r="CK155" s="40"/>
      <c r="CL155" s="40"/>
      <c r="CM155" s="40"/>
      <c r="CN155" s="40"/>
      <c r="CO155" s="40"/>
      <c r="CP155" s="40"/>
      <c r="CQ155" s="40"/>
      <c r="CR155" s="823"/>
      <c r="CS155" s="232"/>
      <c r="CT155" s="232"/>
      <c r="CU155" s="232"/>
      <c r="CV155" s="232"/>
      <c r="CW155" s="232"/>
      <c r="CX155" s="40"/>
      <c r="CY155" s="40"/>
      <c r="CZ155" s="40"/>
      <c r="DA155" s="40"/>
      <c r="DB155" s="40"/>
      <c r="DC155" s="40"/>
      <c r="DD155" s="232"/>
      <c r="DE155" s="232"/>
      <c r="DF155" s="232"/>
      <c r="DG155" s="232"/>
      <c r="DH155" s="232"/>
      <c r="DI155" s="232"/>
      <c r="DJ155" s="232"/>
      <c r="DK155" s="232"/>
      <c r="DL155" s="232"/>
    </row>
    <row r="156" spans="1:118">
      <c r="A156" s="40"/>
      <c r="B156" s="1"/>
      <c r="C156" s="882" t="s">
        <v>850</v>
      </c>
      <c r="D156" s="1"/>
      <c r="E156" s="273"/>
      <c r="F156" s="3"/>
      <c r="G156" s="3"/>
      <c r="H156" s="274"/>
      <c r="I156" s="28"/>
      <c r="J156" s="273"/>
      <c r="K156" s="3"/>
      <c r="L156" s="3"/>
      <c r="M156" s="274"/>
      <c r="N156" s="1"/>
      <c r="O156" s="273"/>
      <c r="P156" s="3"/>
      <c r="Q156" s="3"/>
      <c r="R156" s="274"/>
      <c r="S156" s="1"/>
      <c r="T156" s="332"/>
      <c r="U156" s="333"/>
      <c r="V156" s="333"/>
      <c r="W156" s="334"/>
      <c r="X156" s="331"/>
      <c r="Y156" s="332">
        <f>+Y265</f>
        <v>726.46613229492186</v>
      </c>
      <c r="Z156" s="333">
        <f>+Z265</f>
        <v>737.43416998827774</v>
      </c>
      <c r="AA156" s="333">
        <f>+AA265</f>
        <v>794.23848779490879</v>
      </c>
      <c r="AB156" s="334">
        <f>+AB265</f>
        <v>685.96208954525127</v>
      </c>
      <c r="AC156" s="331"/>
      <c r="AD156" s="332">
        <f>+AD265</f>
        <v>2596.0294067480572</v>
      </c>
      <c r="AE156" s="333">
        <f>+AE265</f>
        <v>903.42516679440189</v>
      </c>
      <c r="AF156" s="333">
        <f>+AF265</f>
        <v>903.42516679440189</v>
      </c>
      <c r="AG156" s="334">
        <f>+AG265</f>
        <v>1034.9543572058042</v>
      </c>
      <c r="AH156" s="331">
        <f t="shared" ref="AH156:AH163" si="216">SUM(AD156:AG156)</f>
        <v>5437.8340975426654</v>
      </c>
      <c r="AI156" s="332">
        <f>+AI265</f>
        <v>1353.7689623972783</v>
      </c>
      <c r="AJ156" s="333">
        <f>+AJ265</f>
        <v>743.81335416413776</v>
      </c>
      <c r="AK156" s="333">
        <f>+AK265</f>
        <v>746.66457839764621</v>
      </c>
      <c r="AL156" s="334">
        <f>+AL265</f>
        <v>652.21424982717986</v>
      </c>
      <c r="AM156" s="331">
        <f t="shared" ref="AM156:AM163" si="217">SUM(AI156:AL156)</f>
        <v>3496.4611447862417</v>
      </c>
      <c r="AN156" s="332">
        <f>+AN265</f>
        <v>607.95500327480386</v>
      </c>
      <c r="AO156" s="333">
        <f>+AO265</f>
        <v>583.71259497328799</v>
      </c>
      <c r="AP156" s="333">
        <f>+AP265</f>
        <v>796.68745499863246</v>
      </c>
      <c r="AQ156" s="334">
        <f>+AQ265</f>
        <v>658.38795403430527</v>
      </c>
      <c r="AR156" s="331">
        <f t="shared" ref="AR156:AR163" si="218">SUM(AN156:AQ156)</f>
        <v>2646.7430072810293</v>
      </c>
      <c r="AS156" s="332">
        <f>+AS265</f>
        <v>730.95242686947302</v>
      </c>
      <c r="AT156" s="333">
        <f>+AT265</f>
        <v>752.81146911009864</v>
      </c>
      <c r="AU156" s="333">
        <f t="shared" ref="AU156" si="219">+AU265</f>
        <v>759.82171062513294</v>
      </c>
      <c r="AV156" s="334">
        <f>+AV265</f>
        <v>1160.3371373777393</v>
      </c>
      <c r="AW156" s="331">
        <f t="shared" ref="AW156:AW163" si="220">SUM(AS156:AV156)</f>
        <v>3403.9227439824435</v>
      </c>
      <c r="AX156" s="332">
        <f>+AX265</f>
        <v>1240.1700812277395</v>
      </c>
      <c r="AY156" s="333">
        <f>+AY265</f>
        <v>890.67127946905487</v>
      </c>
      <c r="AZ156" s="333">
        <f>+AZ265</f>
        <v>947.36102921779116</v>
      </c>
      <c r="BA156" s="334">
        <f>+BA265</f>
        <v>854.26132211639742</v>
      </c>
      <c r="BB156" s="331">
        <f t="shared" ref="BB156:BB163" si="221">SUM(AX156:BA156)</f>
        <v>3932.4637120309826</v>
      </c>
      <c r="BC156" s="332">
        <f>+BC265</f>
        <v>1199.3202696128594</v>
      </c>
      <c r="BD156" s="333">
        <f>+BD265</f>
        <v>781.0299167050789</v>
      </c>
      <c r="BE156" s="333">
        <f>+BE265</f>
        <v>835.75966452786383</v>
      </c>
      <c r="BF156" s="334">
        <f>+BF265</f>
        <v>846.30347220965575</v>
      </c>
      <c r="BG156" s="331">
        <f t="shared" ref="BG156:BG163" si="222">SUM(BC156:BF156)</f>
        <v>3662.413323055458</v>
      </c>
      <c r="BH156" s="332">
        <f>+BH265</f>
        <v>1084.9987054437527</v>
      </c>
      <c r="BI156" s="333">
        <f>+BI265</f>
        <v>770.00774622122094</v>
      </c>
      <c r="BJ156" s="333">
        <f>+BJ265</f>
        <v>822.5575052872307</v>
      </c>
      <c r="BK156" s="334">
        <f>+BK265</f>
        <v>850.45147287740156</v>
      </c>
      <c r="BL156" s="331">
        <f t="shared" ref="BL156:BL163" si="223">SUM(BH156:BK156)</f>
        <v>3528.0154298296061</v>
      </c>
      <c r="BM156" s="332">
        <f>+BM265</f>
        <v>931.08414680676901</v>
      </c>
      <c r="BN156" s="333">
        <f>+BN265</f>
        <v>934.03686617963467</v>
      </c>
      <c r="BO156" s="333">
        <f>+BO265</f>
        <v>934.03686617963467</v>
      </c>
      <c r="BP156" s="334">
        <f>+BP265</f>
        <v>934.03686617963467</v>
      </c>
      <c r="BQ156" s="331">
        <f t="shared" ref="BQ156:BQ163" si="224">SUM(BM156:BP156)</f>
        <v>3733.1947453456733</v>
      </c>
      <c r="BR156" s="40"/>
      <c r="BS156" s="40"/>
      <c r="BT156" s="40"/>
      <c r="BV156" s="952" t="s">
        <v>1108</v>
      </c>
      <c r="BW156" s="426"/>
      <c r="BX156" s="426">
        <v>400</v>
      </c>
      <c r="BY156" s="426">
        <v>350</v>
      </c>
      <c r="BZ156" s="426">
        <v>200</v>
      </c>
      <c r="CA156" s="426">
        <v>100</v>
      </c>
      <c r="CB156" s="1361">
        <v>100</v>
      </c>
      <c r="CC156" s="426" t="s">
        <v>365</v>
      </c>
      <c r="CD156" s="40"/>
      <c r="CE156" s="40"/>
      <c r="CF156" s="40"/>
      <c r="CG156" s="40"/>
      <c r="CH156" s="40"/>
      <c r="CI156" s="40"/>
      <c r="CJ156" s="40"/>
      <c r="CK156" s="40"/>
      <c r="CL156" s="40"/>
      <c r="CM156" s="40"/>
      <c r="CN156" s="40"/>
      <c r="CO156" s="40"/>
      <c r="CP156" s="40"/>
      <c r="CQ156" s="40"/>
      <c r="CR156" s="823"/>
      <c r="CS156" s="232"/>
      <c r="CT156" s="232"/>
      <c r="CU156" s="232"/>
      <c r="CV156" s="232"/>
      <c r="CW156" s="232"/>
      <c r="CX156" s="40"/>
      <c r="CY156" s="40"/>
      <c r="CZ156" s="40"/>
      <c r="DA156" s="40"/>
      <c r="DB156" s="40"/>
      <c r="DC156" s="40"/>
      <c r="DD156" s="232"/>
      <c r="DE156" s="232"/>
      <c r="DF156" s="232"/>
      <c r="DG156" s="232"/>
      <c r="DH156" s="232"/>
      <c r="DI156" s="232"/>
      <c r="DJ156" s="232"/>
      <c r="DK156" s="232"/>
      <c r="DL156" s="232"/>
    </row>
    <row r="157" spans="1:118">
      <c r="A157" s="40"/>
      <c r="B157" s="1"/>
      <c r="C157" s="882" t="s">
        <v>859</v>
      </c>
      <c r="D157" s="1"/>
      <c r="E157" s="273"/>
      <c r="F157" s="3"/>
      <c r="G157" s="3"/>
      <c r="H157" s="274"/>
      <c r="I157" s="28"/>
      <c r="J157" s="273"/>
      <c r="K157" s="3"/>
      <c r="L157" s="3"/>
      <c r="M157" s="274"/>
      <c r="N157" s="1"/>
      <c r="O157" s="273"/>
      <c r="P157" s="3"/>
      <c r="Q157" s="3"/>
      <c r="R157" s="274"/>
      <c r="S157" s="1"/>
      <c r="T157" s="332"/>
      <c r="U157" s="333"/>
      <c r="V157" s="333"/>
      <c r="W157" s="334"/>
      <c r="X157" s="331"/>
      <c r="Y157" s="332">
        <f>+Y380</f>
        <v>96.799877614896275</v>
      </c>
      <c r="Z157" s="333">
        <f>+Z380</f>
        <v>35.909865728534783</v>
      </c>
      <c r="AA157" s="333">
        <f>+AA380</f>
        <v>90.386459071877937</v>
      </c>
      <c r="AB157" s="334">
        <f>+AB380</f>
        <v>112.51648068152895</v>
      </c>
      <c r="AC157" s="331"/>
      <c r="AD157" s="332">
        <f>+AD380</f>
        <v>148.7941925682004</v>
      </c>
      <c r="AE157" s="333">
        <f>+AE380</f>
        <v>83.630942610853083</v>
      </c>
      <c r="AF157" s="333">
        <f>+AF380</f>
        <v>83.630942610853083</v>
      </c>
      <c r="AG157" s="334">
        <f>+AG380</f>
        <v>88.373673286356052</v>
      </c>
      <c r="AH157" s="331">
        <f t="shared" si="216"/>
        <v>404.42975107626262</v>
      </c>
      <c r="AI157" s="332">
        <f>+AI380</f>
        <v>26.625630672216346</v>
      </c>
      <c r="AJ157" s="333">
        <f>+AJ380</f>
        <v>42.431896375140937</v>
      </c>
      <c r="AK157" s="333">
        <f>+AK380</f>
        <v>81.453898560040415</v>
      </c>
      <c r="AL157" s="334">
        <f>+AL380</f>
        <v>52.88530737884156</v>
      </c>
      <c r="AM157" s="331">
        <f t="shared" si="217"/>
        <v>203.39673298623927</v>
      </c>
      <c r="AN157" s="332">
        <f>+AN380</f>
        <v>27.660529320044787</v>
      </c>
      <c r="AO157" s="333">
        <f>+AO380</f>
        <v>24.141547263448558</v>
      </c>
      <c r="AP157" s="333">
        <f>+AP380</f>
        <v>57.174019078220184</v>
      </c>
      <c r="AQ157" s="334">
        <f>+AQ380</f>
        <v>27.854422641569556</v>
      </c>
      <c r="AR157" s="331">
        <f t="shared" si="218"/>
        <v>136.8305183032831</v>
      </c>
      <c r="AS157" s="332">
        <f>+AS380</f>
        <v>18.64446711679696</v>
      </c>
      <c r="AT157" s="333">
        <f>+AT380</f>
        <v>31.976442922521883</v>
      </c>
      <c r="AU157" s="333">
        <f t="shared" ref="AU157" si="225">+AU380</f>
        <v>46.453398643287358</v>
      </c>
      <c r="AV157" s="334">
        <f>+AV380</f>
        <v>47.974666184159531</v>
      </c>
      <c r="AW157" s="331">
        <f t="shared" si="220"/>
        <v>145.04897486676572</v>
      </c>
      <c r="AX157" s="332">
        <f>+AX380</f>
        <v>36.83171463072361</v>
      </c>
      <c r="AY157" s="333">
        <f>+AY380</f>
        <v>77.979821180500011</v>
      </c>
      <c r="AZ157" s="333">
        <f>+AZ380</f>
        <v>268.87686707850003</v>
      </c>
      <c r="BA157" s="334">
        <f>+BA380</f>
        <v>58.695869620499963</v>
      </c>
      <c r="BB157" s="331">
        <f t="shared" si="221"/>
        <v>442.38427251022358</v>
      </c>
      <c r="BC157" s="332">
        <f>+BC380</f>
        <v>101.06696451252543</v>
      </c>
      <c r="BD157" s="333">
        <f>+BD380</f>
        <v>62.476568224562953</v>
      </c>
      <c r="BE157" s="333">
        <f>+BE380</f>
        <v>183.04092121012718</v>
      </c>
      <c r="BF157" s="334">
        <f>+BF380</f>
        <v>62.590147204479479</v>
      </c>
      <c r="BG157" s="331">
        <f t="shared" si="222"/>
        <v>409.17460115169507</v>
      </c>
      <c r="BH157" s="332">
        <f>+BH380</f>
        <v>93.842355390370955</v>
      </c>
      <c r="BI157" s="333">
        <f>+BI380</f>
        <v>56.216256221340927</v>
      </c>
      <c r="BJ157" s="333">
        <f>+BJ380</f>
        <v>167.7342042257259</v>
      </c>
      <c r="BK157" s="334">
        <f>+BK380</f>
        <v>52.185289669700808</v>
      </c>
      <c r="BL157" s="331">
        <f t="shared" si="223"/>
        <v>369.97810550713859</v>
      </c>
      <c r="BM157" s="332">
        <f>+BM380</f>
        <v>69.080400343185204</v>
      </c>
      <c r="BN157" s="333">
        <f>+BN380</f>
        <v>77.786347351742478</v>
      </c>
      <c r="BO157" s="333">
        <f>+BO380</f>
        <v>170.94517235037193</v>
      </c>
      <c r="BP157" s="334">
        <f>+BP380</f>
        <v>99.379501741873753</v>
      </c>
      <c r="BQ157" s="331">
        <f t="shared" si="224"/>
        <v>417.1914217871734</v>
      </c>
      <c r="BR157" s="40"/>
      <c r="BS157" s="40"/>
      <c r="BT157" s="40"/>
      <c r="BV157" s="952" t="s">
        <v>1109</v>
      </c>
      <c r="BW157" s="426"/>
      <c r="BX157" s="426">
        <v>50</v>
      </c>
      <c r="BY157" s="426">
        <v>100</v>
      </c>
      <c r="BZ157" s="426">
        <v>300</v>
      </c>
      <c r="CA157" s="426">
        <v>400</v>
      </c>
      <c r="CB157" s="1361">
        <v>400</v>
      </c>
      <c r="CC157" s="1003" t="s">
        <v>1377</v>
      </c>
      <c r="CD157" s="40"/>
      <c r="CE157" s="40"/>
      <c r="CF157" s="40"/>
      <c r="CG157" s="40"/>
      <c r="CH157" s="40"/>
      <c r="CI157" s="40"/>
      <c r="CJ157" s="40"/>
      <c r="CK157" s="40"/>
      <c r="CL157" s="40"/>
      <c r="CM157" s="40"/>
      <c r="CN157" s="40"/>
      <c r="CO157" s="40"/>
      <c r="CP157" s="40"/>
      <c r="CQ157" s="40"/>
      <c r="CR157" s="823"/>
      <c r="CS157" s="232"/>
      <c r="CT157" s="232"/>
      <c r="CU157" s="232"/>
      <c r="CV157" s="232"/>
      <c r="CW157" s="232"/>
      <c r="CX157" s="40"/>
      <c r="CY157" s="40"/>
      <c r="CZ157" s="40"/>
      <c r="DA157" s="40"/>
      <c r="DB157" s="40"/>
      <c r="DC157" s="40"/>
      <c r="DD157" s="232"/>
      <c r="DE157" s="232"/>
      <c r="DF157" s="232"/>
      <c r="DG157" s="232"/>
      <c r="DH157" s="232"/>
      <c r="DI157" s="232"/>
      <c r="DJ157" s="232"/>
      <c r="DK157" s="232"/>
      <c r="DL157" s="232"/>
    </row>
    <row r="158" spans="1:118">
      <c r="A158" s="40"/>
      <c r="B158" s="1"/>
      <c r="C158" s="882" t="s">
        <v>851</v>
      </c>
      <c r="D158" s="1"/>
      <c r="E158" s="273"/>
      <c r="F158" s="3"/>
      <c r="G158" s="3"/>
      <c r="H158" s="274"/>
      <c r="I158" s="28"/>
      <c r="J158" s="273"/>
      <c r="K158" s="3"/>
      <c r="L158" s="3"/>
      <c r="M158" s="274"/>
      <c r="N158" s="1"/>
      <c r="O158" s="273"/>
      <c r="P158" s="3"/>
      <c r="Q158" s="3"/>
      <c r="R158" s="274"/>
      <c r="S158" s="1"/>
      <c r="T158" s="332"/>
      <c r="U158" s="333"/>
      <c r="V158" s="333"/>
      <c r="W158" s="334"/>
      <c r="X158" s="331"/>
      <c r="Y158" s="332">
        <f>+Y551</f>
        <v>61.986854999999998</v>
      </c>
      <c r="Z158" s="333">
        <f>+Z551</f>
        <v>61.986854999999998</v>
      </c>
      <c r="AA158" s="333">
        <f>+AA551</f>
        <v>61.986854999999998</v>
      </c>
      <c r="AB158" s="334">
        <f>+AB551</f>
        <v>61.986854999999998</v>
      </c>
      <c r="AC158" s="331"/>
      <c r="AD158" s="332">
        <f>+AD551</f>
        <v>63.226592099999998</v>
      </c>
      <c r="AE158" s="333">
        <f>+AE551</f>
        <v>63.226592099999998</v>
      </c>
      <c r="AF158" s="333">
        <f>+AF551</f>
        <v>63.226592099999998</v>
      </c>
      <c r="AG158" s="334">
        <f>+AG551</f>
        <v>63.226592099999998</v>
      </c>
      <c r="AH158" s="331">
        <f t="shared" si="216"/>
        <v>252.90636839999999</v>
      </c>
      <c r="AI158" s="332">
        <f>+AI551</f>
        <v>64.491123942000002</v>
      </c>
      <c r="AJ158" s="333">
        <f>+AJ551</f>
        <v>64.491123942000002</v>
      </c>
      <c r="AK158" s="333">
        <f>+AK551</f>
        <v>64.491123942000002</v>
      </c>
      <c r="AL158" s="334">
        <f>+AL551</f>
        <v>64.491123942000002</v>
      </c>
      <c r="AM158" s="331">
        <f t="shared" si="217"/>
        <v>257.96449576800001</v>
      </c>
      <c r="AN158" s="332">
        <f>+AN551</f>
        <v>65.780946420839996</v>
      </c>
      <c r="AO158" s="333">
        <f>+AO551</f>
        <v>65.780946420839996</v>
      </c>
      <c r="AP158" s="333">
        <f>+AP551</f>
        <v>65.780946420839996</v>
      </c>
      <c r="AQ158" s="334">
        <f>+AQ551</f>
        <v>75.745291587840001</v>
      </c>
      <c r="AR158" s="331">
        <f t="shared" si="218"/>
        <v>273.08813085036002</v>
      </c>
      <c r="AS158" s="332">
        <f>+AS551</f>
        <v>77.260197419596778</v>
      </c>
      <c r="AT158" s="333">
        <f>+AT551</f>
        <v>77.260197419596778</v>
      </c>
      <c r="AU158" s="333">
        <f t="shared" ref="AU158" si="226">+AU551</f>
        <v>79.630723849996784</v>
      </c>
      <c r="AV158" s="334">
        <f>+AV551</f>
        <v>79.630723849996784</v>
      </c>
      <c r="AW158" s="331">
        <f t="shared" si="220"/>
        <v>313.78184253918715</v>
      </c>
      <c r="AX158" s="332">
        <f>+AX551</f>
        <v>81.223338326996725</v>
      </c>
      <c r="AY158" s="333">
        <f>+AY551</f>
        <v>81.223338326996725</v>
      </c>
      <c r="AZ158" s="333">
        <f>+AZ551</f>
        <v>81.223338326996725</v>
      </c>
      <c r="BA158" s="334">
        <f>+BA551</f>
        <v>81.223338326996725</v>
      </c>
      <c r="BB158" s="331">
        <f t="shared" si="221"/>
        <v>324.8933533079869</v>
      </c>
      <c r="BC158" s="332">
        <f>+BC551</f>
        <v>82.847805093536664</v>
      </c>
      <c r="BD158" s="333">
        <f>+BD551</f>
        <v>82.847805093536664</v>
      </c>
      <c r="BE158" s="333">
        <f>+BE551</f>
        <v>82.847805093536664</v>
      </c>
      <c r="BF158" s="334">
        <f>+BF551</f>
        <v>82.847805093536664</v>
      </c>
      <c r="BG158" s="331">
        <f t="shared" si="222"/>
        <v>331.39122037414666</v>
      </c>
      <c r="BH158" s="332">
        <f>+BH551</f>
        <v>84.504761195407411</v>
      </c>
      <c r="BI158" s="333">
        <f>+BI551</f>
        <v>84.504761195407411</v>
      </c>
      <c r="BJ158" s="333">
        <f>+BJ551</f>
        <v>84.504761195407411</v>
      </c>
      <c r="BK158" s="334">
        <f>+BK551</f>
        <v>84.504761195407411</v>
      </c>
      <c r="BL158" s="331">
        <f t="shared" si="223"/>
        <v>338.01904478162965</v>
      </c>
      <c r="BM158" s="332">
        <f>+BM551</f>
        <v>86.194856419315542</v>
      </c>
      <c r="BN158" s="333">
        <f>+BN551</f>
        <v>86.194856419315542</v>
      </c>
      <c r="BO158" s="333">
        <f>+BO551</f>
        <v>86.194856419315542</v>
      </c>
      <c r="BP158" s="334">
        <f>+BP551</f>
        <v>86.194856419315542</v>
      </c>
      <c r="BQ158" s="331">
        <f t="shared" si="224"/>
        <v>344.77942567726217</v>
      </c>
      <c r="BR158" s="1079"/>
      <c r="BS158" s="1079"/>
      <c r="BT158" s="1079"/>
      <c r="BV158" s="1362" t="s">
        <v>399</v>
      </c>
      <c r="BW158" s="228"/>
      <c r="BX158" s="228">
        <f>SUM(BX153:BX157)</f>
        <v>7850</v>
      </c>
      <c r="BY158" s="228">
        <f>SUM(BY153:BY157)</f>
        <v>8000</v>
      </c>
      <c r="BZ158" s="228">
        <f>SUM(BZ153:BZ157)</f>
        <v>8050</v>
      </c>
      <c r="CA158" s="228">
        <f>SUM(CA153:CA157)</f>
        <v>7550</v>
      </c>
      <c r="CB158" s="1363">
        <f>SUM(CB153:CB157)</f>
        <v>7250</v>
      </c>
      <c r="CC158" s="40"/>
      <c r="CD158" s="40"/>
      <c r="CE158" s="40"/>
      <c r="CF158" s="40"/>
      <c r="CG158" s="40"/>
      <c r="CH158" s="40"/>
      <c r="CI158" s="40"/>
      <c r="CJ158" s="40"/>
      <c r="CK158" s="40"/>
      <c r="CL158" s="40"/>
      <c r="CM158" s="40"/>
      <c r="CN158" s="40"/>
      <c r="CO158" s="40"/>
      <c r="CP158" s="40"/>
      <c r="CQ158" s="40"/>
      <c r="CR158" s="823"/>
      <c r="CS158" s="232"/>
      <c r="CT158" s="232"/>
      <c r="CU158" s="232"/>
      <c r="CV158" s="232"/>
      <c r="CW158" s="232"/>
      <c r="CX158" s="40"/>
      <c r="CY158" s="40"/>
      <c r="CZ158" s="40"/>
      <c r="DA158" s="40"/>
      <c r="DB158" s="40"/>
      <c r="DC158" s="40"/>
      <c r="DD158" s="232"/>
      <c r="DE158" s="232"/>
      <c r="DF158" s="232"/>
      <c r="DG158" s="232"/>
      <c r="DH158" s="232"/>
      <c r="DI158" s="232"/>
      <c r="DJ158" s="232"/>
      <c r="DK158" s="232"/>
      <c r="DL158" s="232"/>
    </row>
    <row r="159" spans="1:118">
      <c r="A159" s="40"/>
      <c r="B159" s="1"/>
      <c r="C159" s="882" t="s">
        <v>860</v>
      </c>
      <c r="D159" s="1"/>
      <c r="E159" s="273"/>
      <c r="F159" s="3"/>
      <c r="G159" s="3"/>
      <c r="H159" s="274"/>
      <c r="I159" s="28"/>
      <c r="J159" s="273"/>
      <c r="K159" s="3"/>
      <c r="L159" s="3"/>
      <c r="M159" s="274"/>
      <c r="N159" s="1"/>
      <c r="O159" s="273"/>
      <c r="P159" s="3"/>
      <c r="Q159" s="3"/>
      <c r="R159" s="274"/>
      <c r="S159" s="1"/>
      <c r="T159" s="332"/>
      <c r="U159" s="333"/>
      <c r="V159" s="333"/>
      <c r="W159" s="334"/>
      <c r="X159" s="331"/>
      <c r="Y159" s="332">
        <f>+Y598</f>
        <v>23.172194105483879</v>
      </c>
      <c r="Z159" s="333">
        <f>+Z598</f>
        <v>29.236459922158524</v>
      </c>
      <c r="AA159" s="333">
        <f>+AA598</f>
        <v>35.29683755888361</v>
      </c>
      <c r="AB159" s="334">
        <f>+AB598</f>
        <v>23.371882174978275</v>
      </c>
      <c r="AC159" s="331"/>
      <c r="AD159" s="332">
        <f>+AD598</f>
        <v>72.400054906346298</v>
      </c>
      <c r="AE159" s="333">
        <f>+AE598</f>
        <v>28.918674932909013</v>
      </c>
      <c r="AF159" s="333">
        <f>+AF598</f>
        <v>28.918674932909013</v>
      </c>
      <c r="AG159" s="334">
        <f>+AG598</f>
        <v>16.14421612779141</v>
      </c>
      <c r="AH159" s="331">
        <f t="shared" si="216"/>
        <v>146.38162089995575</v>
      </c>
      <c r="AI159" s="332">
        <f>+AI598</f>
        <v>21.913418216650602</v>
      </c>
      <c r="AJ159" s="333">
        <f>+AJ598</f>
        <v>20.544578227963402</v>
      </c>
      <c r="AK159" s="333">
        <f>+AK598</f>
        <v>21.420049782681392</v>
      </c>
      <c r="AL159" s="334">
        <f>+AL598</f>
        <v>11.204668736938755</v>
      </c>
      <c r="AM159" s="331">
        <f t="shared" si="217"/>
        <v>75.082714964234157</v>
      </c>
      <c r="AN159" s="332">
        <f>+AN598</f>
        <v>11.114908428528544</v>
      </c>
      <c r="AO159" s="333">
        <f>+AO598</f>
        <v>14.49622331017652</v>
      </c>
      <c r="AP159" s="333">
        <f>+AP598</f>
        <v>21.417949567755592</v>
      </c>
      <c r="AQ159" s="334">
        <f>+AQ598</f>
        <v>13.54107001064803</v>
      </c>
      <c r="AR159" s="331">
        <f t="shared" si="218"/>
        <v>60.570151317108682</v>
      </c>
      <c r="AS159" s="332">
        <f>+AS598</f>
        <v>10.455905178182668</v>
      </c>
      <c r="AT159" s="333">
        <f>+AT598</f>
        <v>14.80915355162271</v>
      </c>
      <c r="AU159" s="333">
        <f t="shared" ref="AU159" si="227">+AU598</f>
        <v>18.274175143924531</v>
      </c>
      <c r="AV159" s="334">
        <f>+AV598</f>
        <v>13.904440037710899</v>
      </c>
      <c r="AW159" s="331">
        <f t="shared" si="220"/>
        <v>57.443673911440811</v>
      </c>
      <c r="AX159" s="332">
        <f>+AX598</f>
        <v>13.904440037710899</v>
      </c>
      <c r="AY159" s="333">
        <f>+AY598</f>
        <v>14.355615563999995</v>
      </c>
      <c r="AZ159" s="333">
        <f>+AZ598</f>
        <v>16.949258405999998</v>
      </c>
      <c r="BA159" s="334">
        <f>+BA598</f>
        <v>14.337247705499994</v>
      </c>
      <c r="BB159" s="331">
        <f t="shared" si="221"/>
        <v>59.546561713210892</v>
      </c>
      <c r="BC159" s="332">
        <f>+BC598</f>
        <v>15.137454424667109</v>
      </c>
      <c r="BD159" s="333">
        <f>+BD598</f>
        <v>13.22959559411678</v>
      </c>
      <c r="BE159" s="333">
        <f>+BE598</f>
        <v>15.609347584166688</v>
      </c>
      <c r="BF159" s="334">
        <f>+BF598</f>
        <v>13.549549270372477</v>
      </c>
      <c r="BG159" s="331">
        <f t="shared" si="222"/>
        <v>57.525946873323051</v>
      </c>
      <c r="BH159" s="332">
        <f>+BH598</f>
        <v>15.281396130944646</v>
      </c>
      <c r="BI159" s="333">
        <f>+BI598</f>
        <v>13.301736764520914</v>
      </c>
      <c r="BJ159" s="333">
        <f>+BJ598</f>
        <v>15.680506005851736</v>
      </c>
      <c r="BK159" s="334">
        <f>+BK598</f>
        <v>13.664912535055873</v>
      </c>
      <c r="BL159" s="331">
        <f t="shared" si="223"/>
        <v>57.928551436373169</v>
      </c>
      <c r="BM159" s="332">
        <f>+BM598</f>
        <v>14.587576246405842</v>
      </c>
      <c r="BN159" s="333">
        <f>+BN598</f>
        <v>14.587576246405842</v>
      </c>
      <c r="BO159" s="333">
        <f>+BO598</f>
        <v>14.587576246405842</v>
      </c>
      <c r="BP159" s="334">
        <f>+BP598</f>
        <v>14.587576246405842</v>
      </c>
      <c r="BQ159" s="331">
        <f t="shared" si="224"/>
        <v>58.350304985623367</v>
      </c>
      <c r="BR159" s="40"/>
      <c r="BS159" s="40"/>
      <c r="BT159" s="40"/>
      <c r="BU159" s="232"/>
      <c r="BV159" s="564"/>
      <c r="BW159" s="28"/>
      <c r="BX159" s="28"/>
      <c r="BY159" s="28"/>
      <c r="BZ159" s="28"/>
      <c r="CA159" s="28"/>
      <c r="CB159" s="1364"/>
      <c r="CC159" s="40"/>
      <c r="CD159" s="40"/>
      <c r="CE159" s="40"/>
      <c r="CF159" s="40"/>
      <c r="CG159" s="40"/>
      <c r="CH159" s="40"/>
      <c r="CI159" s="40"/>
      <c r="CJ159" s="40"/>
      <c r="CK159" s="40"/>
      <c r="CL159" s="40"/>
      <c r="CM159" s="40"/>
      <c r="CN159" s="40"/>
      <c r="CO159" s="40"/>
      <c r="CP159" s="40"/>
      <c r="CQ159" s="40"/>
      <c r="CR159" s="823"/>
      <c r="CS159" s="232"/>
      <c r="CT159" s="232"/>
      <c r="CU159" s="232"/>
      <c r="CV159" s="232"/>
      <c r="CW159" s="232"/>
      <c r="CX159" s="40"/>
      <c r="CY159" s="40"/>
      <c r="CZ159" s="40"/>
      <c r="DA159" s="40"/>
      <c r="DB159" s="40"/>
      <c r="DC159" s="40"/>
      <c r="DD159" s="232"/>
      <c r="DE159" s="232"/>
      <c r="DF159" s="232"/>
      <c r="DG159" s="232"/>
      <c r="DH159" s="232"/>
      <c r="DI159" s="232"/>
      <c r="DJ159" s="232"/>
      <c r="DK159" s="232"/>
      <c r="DL159" s="232"/>
    </row>
    <row r="160" spans="1:118">
      <c r="A160" s="40"/>
      <c r="B160" s="1"/>
      <c r="C160" s="882" t="s">
        <v>858</v>
      </c>
      <c r="D160" s="1"/>
      <c r="E160" s="273"/>
      <c r="F160" s="3"/>
      <c r="G160" s="3"/>
      <c r="H160" s="274"/>
      <c r="I160" s="28"/>
      <c r="J160" s="273"/>
      <c r="K160" s="3"/>
      <c r="L160" s="3"/>
      <c r="M160" s="274"/>
      <c r="N160" s="1"/>
      <c r="O160" s="273"/>
      <c r="P160" s="3"/>
      <c r="Q160" s="3"/>
      <c r="R160" s="274"/>
      <c r="S160" s="1"/>
      <c r="T160" s="332"/>
      <c r="U160" s="333"/>
      <c r="V160" s="333"/>
      <c r="W160" s="334"/>
      <c r="X160" s="331"/>
      <c r="Y160" s="332">
        <f>+Y636</f>
        <v>49.610095121110867</v>
      </c>
      <c r="Z160" s="333">
        <f>+Z636</f>
        <v>51.014840571840956</v>
      </c>
      <c r="AA160" s="333">
        <f>+AA636</f>
        <v>52.778627261395734</v>
      </c>
      <c r="AB160" s="334">
        <f>+AB636</f>
        <v>48.280902455519985</v>
      </c>
      <c r="AC160" s="331"/>
      <c r="AD160" s="332">
        <f>+AD636</f>
        <v>53.36742864159126</v>
      </c>
      <c r="AE160" s="333">
        <f>+AE636</f>
        <v>50.703599430116334</v>
      </c>
      <c r="AF160" s="333">
        <f>+AF636</f>
        <v>9.7193152801163194</v>
      </c>
      <c r="AG160" s="334">
        <f>+AG636</f>
        <v>11.801058239282341</v>
      </c>
      <c r="AH160" s="331">
        <f t="shared" si="216"/>
        <v>125.59140159110625</v>
      </c>
      <c r="AI160" s="332">
        <f>+AI636</f>
        <v>-0.46910313637118772</v>
      </c>
      <c r="AJ160" s="333">
        <f>+AJ636</f>
        <v>-0.40383055818181823</v>
      </c>
      <c r="AK160" s="333">
        <f>+AK636</f>
        <v>0.51155081469260466</v>
      </c>
      <c r="AL160" s="334">
        <f>+AL636</f>
        <v>-0.8125569127343244</v>
      </c>
      <c r="AM160" s="331">
        <f t="shared" si="217"/>
        <v>-1.1739397925947257</v>
      </c>
      <c r="AN160" s="332">
        <f>+AN636</f>
        <v>-1.4063256700513178</v>
      </c>
      <c r="AO160" s="333">
        <f>+AO636</f>
        <v>-1.0488742720248876</v>
      </c>
      <c r="AP160" s="333">
        <f>+AP636</f>
        <v>0.93136679735705119</v>
      </c>
      <c r="AQ160" s="334">
        <f>+AQ636</f>
        <v>-0.17999060985928228</v>
      </c>
      <c r="AR160" s="331">
        <f t="shared" si="218"/>
        <v>-1.7038237545784365</v>
      </c>
      <c r="AS160" s="332">
        <f>+AS636</f>
        <v>-0.7715986109074322</v>
      </c>
      <c r="AT160" s="333">
        <f>+AT636</f>
        <v>0.27473784285407277</v>
      </c>
      <c r="AU160" s="333">
        <f t="shared" ref="AU160" si="228">+AU636</f>
        <v>1.6151134313639286</v>
      </c>
      <c r="AV160" s="334">
        <f>+AV636</f>
        <v>-0.28798024847489057</v>
      </c>
      <c r="AW160" s="331">
        <f t="shared" si="220"/>
        <v>0.8302724148356786</v>
      </c>
      <c r="AX160" s="332">
        <f>+AX636</f>
        <v>-0.28798024847489057</v>
      </c>
      <c r="AY160" s="333">
        <f>+AY636</f>
        <v>-0.21437781176470594</v>
      </c>
      <c r="AZ160" s="333">
        <f>+AZ636</f>
        <v>1.6742833411764702</v>
      </c>
      <c r="BA160" s="334">
        <f>+BA636</f>
        <v>-0.55384327058823501</v>
      </c>
      <c r="BB160" s="331">
        <f t="shared" si="221"/>
        <v>0.61808201034863863</v>
      </c>
      <c r="BC160" s="332">
        <f>+BC636</f>
        <v>-0.11359660478371136</v>
      </c>
      <c r="BD160" s="333">
        <f>+BD636</f>
        <v>-0.49287075318335827</v>
      </c>
      <c r="BE160" s="333">
        <f>+BE636</f>
        <v>1.3883051444735219</v>
      </c>
      <c r="BF160" s="334">
        <f>+BF636</f>
        <v>0.47998353109925951</v>
      </c>
      <c r="BG160" s="331">
        <f t="shared" si="222"/>
        <v>1.2618213176057118</v>
      </c>
      <c r="BH160" s="332">
        <f>+BH636</f>
        <v>0.49274768784767531</v>
      </c>
      <c r="BI160" s="333">
        <f>+BI636</f>
        <v>6.5209074199383821E-2</v>
      </c>
      <c r="BJ160" s="333">
        <f>+BJ636</f>
        <v>2.1399292191227195</v>
      </c>
      <c r="BK160" s="334">
        <f>+BK636</f>
        <v>1.1420033364064999</v>
      </c>
      <c r="BL160" s="331">
        <f t="shared" si="223"/>
        <v>3.8398893175762785</v>
      </c>
      <c r="BM160" s="332">
        <f>+BM636</f>
        <v>6.1950738977293973E-2</v>
      </c>
      <c r="BN160" s="333">
        <f>+BN636</f>
        <v>1.9495138183904688</v>
      </c>
      <c r="BO160" s="333">
        <f>+BO636</f>
        <v>3.4675332313094618</v>
      </c>
      <c r="BP160" s="334">
        <f>+BP636</f>
        <v>0.19562028290340994</v>
      </c>
      <c r="BQ160" s="331">
        <f t="shared" si="224"/>
        <v>5.6746180715806345</v>
      </c>
      <c r="BR160" s="40"/>
      <c r="BS160" s="40"/>
      <c r="BT160" s="40"/>
      <c r="BU160" s="232"/>
      <c r="BV160" s="1362" t="s">
        <v>1111</v>
      </c>
      <c r="BW160" s="32"/>
      <c r="BX160" s="32">
        <v>2016</v>
      </c>
      <c r="BY160" s="32">
        <v>2017</v>
      </c>
      <c r="BZ160" s="32">
        <v>2018</v>
      </c>
      <c r="CA160" s="32">
        <v>2019</v>
      </c>
      <c r="CB160" s="1365">
        <v>2019</v>
      </c>
      <c r="CC160" s="40"/>
      <c r="CD160" s="40"/>
      <c r="CE160" s="40"/>
      <c r="CF160" s="40"/>
      <c r="CG160" s="40"/>
      <c r="CH160" s="40"/>
      <c r="CI160" s="40"/>
      <c r="CJ160" s="40"/>
      <c r="CK160" s="40"/>
      <c r="CL160" s="40"/>
      <c r="CM160" s="40"/>
      <c r="CN160" s="40"/>
      <c r="CO160" s="40"/>
      <c r="CP160" s="40"/>
      <c r="CQ160" s="40"/>
      <c r="CR160" s="823"/>
      <c r="CS160" s="232"/>
      <c r="CT160" s="232"/>
      <c r="CU160" s="232"/>
      <c r="CV160" s="232"/>
      <c r="CW160" s="232"/>
      <c r="CX160" s="40"/>
      <c r="CY160" s="40"/>
      <c r="CZ160" s="40"/>
      <c r="DA160" s="40"/>
      <c r="DB160" s="40"/>
      <c r="DC160" s="40"/>
      <c r="DD160" s="232"/>
      <c r="DE160" s="232"/>
      <c r="DF160" s="232"/>
      <c r="DG160" s="232"/>
      <c r="DH160" s="232"/>
      <c r="DI160" s="232"/>
      <c r="DJ160" s="232"/>
      <c r="DK160" s="232"/>
      <c r="DL160" s="232"/>
    </row>
    <row r="161" spans="1:116">
      <c r="A161" s="40"/>
      <c r="B161" s="1"/>
      <c r="C161" s="409" t="s">
        <v>1001</v>
      </c>
      <c r="D161" s="1"/>
      <c r="E161" s="273"/>
      <c r="F161" s="3"/>
      <c r="G161" s="3"/>
      <c r="H161" s="274"/>
      <c r="I161" s="28"/>
      <c r="J161" s="273"/>
      <c r="K161" s="3"/>
      <c r="L161" s="3"/>
      <c r="M161" s="274"/>
      <c r="N161" s="1"/>
      <c r="O161" s="273"/>
      <c r="P161" s="3"/>
      <c r="Q161" s="3"/>
      <c r="R161" s="274"/>
      <c r="S161" s="1"/>
      <c r="T161" s="332"/>
      <c r="U161" s="333"/>
      <c r="V161" s="333"/>
      <c r="W161" s="334"/>
      <c r="X161" s="331"/>
      <c r="Y161" s="332">
        <f>Y723</f>
        <v>201.61113788437501</v>
      </c>
      <c r="Z161" s="333">
        <f>Z723</f>
        <v>252.15282605208333</v>
      </c>
      <c r="AA161" s="333">
        <f>AA723</f>
        <v>342.37311801250002</v>
      </c>
      <c r="AB161" s="334">
        <f>AB723</f>
        <v>339.50239301250002</v>
      </c>
      <c r="AC161" s="331"/>
      <c r="AD161" s="332">
        <f>AD723</f>
        <v>338.06703051250003</v>
      </c>
      <c r="AE161" s="333">
        <f>AE723</f>
        <v>263.47885642812503</v>
      </c>
      <c r="AF161" s="333">
        <f>AF723</f>
        <v>330.50138830312494</v>
      </c>
      <c r="AG161" s="334">
        <f>AG723</f>
        <v>321.45566330312494</v>
      </c>
      <c r="AH161" s="331">
        <f t="shared" si="216"/>
        <v>1253.5029385468749</v>
      </c>
      <c r="AI161" s="332">
        <f>AI723</f>
        <v>297.6683677093751</v>
      </c>
      <c r="AJ161" s="333">
        <f>AJ723</f>
        <v>318.1826822441667</v>
      </c>
      <c r="AK161" s="333">
        <f>AK723</f>
        <v>348.92268475124996</v>
      </c>
      <c r="AL161" s="334">
        <f>AL723</f>
        <v>343.71033475124995</v>
      </c>
      <c r="AM161" s="331">
        <f t="shared" si="217"/>
        <v>1308.4840694560419</v>
      </c>
      <c r="AN161" s="332">
        <f>AN723</f>
        <v>342.11459296999999</v>
      </c>
      <c r="AO161" s="333">
        <f>AO723</f>
        <v>344.71741779041662</v>
      </c>
      <c r="AP161" s="333">
        <f>AP723</f>
        <v>316.35265461874997</v>
      </c>
      <c r="AQ161" s="334">
        <f>AQ723</f>
        <v>310.19650461875</v>
      </c>
      <c r="AR161" s="331">
        <f t="shared" si="218"/>
        <v>1313.3811699979165</v>
      </c>
      <c r="AS161" s="332">
        <f>AS723</f>
        <v>307.11842961874999</v>
      </c>
      <c r="AT161" s="333">
        <f>AT723</f>
        <v>349.35814974583332</v>
      </c>
      <c r="AU161" s="333">
        <f t="shared" ref="AU161" si="229">AU723</f>
        <v>398.54305875000006</v>
      </c>
      <c r="AV161" s="334">
        <f>AV723</f>
        <v>388.20437409375006</v>
      </c>
      <c r="AW161" s="331">
        <f t="shared" si="220"/>
        <v>1443.2240122083335</v>
      </c>
      <c r="AX161" s="332">
        <f>AX723</f>
        <v>388.20437409375006</v>
      </c>
      <c r="AY161" s="333">
        <f>AY723</f>
        <v>429.21559240604171</v>
      </c>
      <c r="AZ161" s="333">
        <f>AZ723</f>
        <v>438.38712143749996</v>
      </c>
      <c r="BA161" s="334">
        <f>BA723</f>
        <v>411.39343706249991</v>
      </c>
      <c r="BB161" s="331">
        <f t="shared" si="221"/>
        <v>1667.2005249997917</v>
      </c>
      <c r="BC161" s="332">
        <f>BC723</f>
        <v>404.32458706249992</v>
      </c>
      <c r="BD161" s="333">
        <f>BD723</f>
        <v>388.99887231249994</v>
      </c>
      <c r="BE161" s="333">
        <f>BE723</f>
        <v>312.48715031249998</v>
      </c>
      <c r="BF161" s="334">
        <f>BF723</f>
        <v>298.34945031249998</v>
      </c>
      <c r="BG161" s="331">
        <f t="shared" si="222"/>
        <v>1404.1600599999999</v>
      </c>
      <c r="BH161" s="332">
        <f>BH723</f>
        <v>291.28060031249998</v>
      </c>
      <c r="BI161" s="333">
        <f>BI723</f>
        <v>314.19430877083329</v>
      </c>
      <c r="BJ161" s="333">
        <f>BJ723</f>
        <v>334.41181568749994</v>
      </c>
      <c r="BK161" s="334">
        <f>BK723</f>
        <v>320.27411568749994</v>
      </c>
      <c r="BL161" s="331">
        <f t="shared" si="223"/>
        <v>1260.160840458333</v>
      </c>
      <c r="BM161" s="332">
        <f>BM723</f>
        <v>307.14101124999996</v>
      </c>
      <c r="BN161" s="333">
        <f>BN723</f>
        <v>321.27871124999996</v>
      </c>
      <c r="BO161" s="333">
        <f>BO723</f>
        <v>328.34756124999996</v>
      </c>
      <c r="BP161" s="334">
        <f>BP723</f>
        <v>314.20986124999996</v>
      </c>
      <c r="BQ161" s="331">
        <f t="shared" si="224"/>
        <v>1270.9771449999998</v>
      </c>
      <c r="BR161" s="40"/>
      <c r="BS161" s="40"/>
      <c r="BT161" s="40"/>
      <c r="BU161" s="232"/>
      <c r="BV161" s="952" t="s">
        <v>1105</v>
      </c>
      <c r="BW161" s="45"/>
      <c r="BX161" s="45">
        <f>+SUM(AR167:AR171,AR172)</f>
        <v>4428.9091539951196</v>
      </c>
      <c r="BY161" s="45">
        <f>+SUM(AW167:AW171,AW172)</f>
        <v>5364.2515199230074</v>
      </c>
      <c r="BZ161" s="45">
        <f>+SUM(BB167:BB171,BB172)</f>
        <v>6424.024273197545</v>
      </c>
      <c r="CA161" s="45">
        <f>+SUM(BG167:BG171,BG172)</f>
        <v>5859.494812098982</v>
      </c>
      <c r="CB161" s="1366">
        <f>+SUM(BL167:BL171,BL172)</f>
        <v>5551.6528453284736</v>
      </c>
      <c r="CC161" s="40"/>
      <c r="CD161" s="40"/>
      <c r="CE161" s="40"/>
      <c r="CG161" s="40"/>
      <c r="CH161" s="40"/>
      <c r="CI161" s="40"/>
      <c r="CJ161" s="40"/>
      <c r="CK161" s="40"/>
      <c r="CL161" s="40"/>
      <c r="CM161" s="40"/>
      <c r="CN161" s="40"/>
      <c r="CO161" s="40"/>
      <c r="CP161" s="40"/>
      <c r="CQ161" s="40"/>
      <c r="CR161" s="823"/>
      <c r="CS161" s="232"/>
      <c r="CT161" s="232"/>
      <c r="CU161" s="232"/>
      <c r="CV161" s="232"/>
      <c r="CW161" s="232"/>
      <c r="CX161" s="40"/>
      <c r="CY161" s="40"/>
      <c r="CZ161" s="40"/>
      <c r="DA161" s="40"/>
      <c r="DB161" s="40"/>
      <c r="DC161" s="40"/>
      <c r="DD161" s="232"/>
      <c r="DE161" s="232"/>
      <c r="DF161" s="232"/>
      <c r="DG161" s="232"/>
      <c r="DH161" s="232"/>
      <c r="DI161" s="232"/>
      <c r="DJ161" s="232"/>
      <c r="DK161" s="232"/>
      <c r="DL161" s="232"/>
    </row>
    <row r="162" spans="1:116">
      <c r="A162" s="40"/>
      <c r="B162" s="1"/>
      <c r="C162" s="882" t="s">
        <v>1003</v>
      </c>
      <c r="D162" s="1"/>
      <c r="E162" s="273"/>
      <c r="F162" s="3"/>
      <c r="G162" s="3"/>
      <c r="H162" s="274"/>
      <c r="I162" s="28"/>
      <c r="J162" s="273"/>
      <c r="K162" s="3"/>
      <c r="L162" s="3"/>
      <c r="M162" s="274"/>
      <c r="N162" s="1"/>
      <c r="O162" s="273"/>
      <c r="P162" s="3"/>
      <c r="Q162" s="3"/>
      <c r="R162" s="274"/>
      <c r="S162" s="1"/>
      <c r="T162" s="332"/>
      <c r="U162" s="333"/>
      <c r="V162" s="333"/>
      <c r="W162" s="334"/>
      <c r="X162" s="331"/>
      <c r="Y162" s="332">
        <f>Y753</f>
        <v>0</v>
      </c>
      <c r="Z162" s="333">
        <f>Z753</f>
        <v>0</v>
      </c>
      <c r="AA162" s="333">
        <f>AA753</f>
        <v>0</v>
      </c>
      <c r="AB162" s="334">
        <f>AB753</f>
        <v>0</v>
      </c>
      <c r="AC162" s="331"/>
      <c r="AD162" s="332">
        <f>AD753</f>
        <v>0</v>
      </c>
      <c r="AE162" s="333">
        <f>AE753</f>
        <v>0</v>
      </c>
      <c r="AF162" s="333">
        <f>AF753</f>
        <v>0</v>
      </c>
      <c r="AG162" s="334">
        <f>AG753</f>
        <v>0</v>
      </c>
      <c r="AH162" s="331">
        <f t="shared" si="216"/>
        <v>0</v>
      </c>
      <c r="AI162" s="332">
        <f>AI753</f>
        <v>95.90625</v>
      </c>
      <c r="AJ162" s="333">
        <f>AJ753</f>
        <v>95.90625</v>
      </c>
      <c r="AK162" s="333">
        <f>AK753</f>
        <v>95.90625</v>
      </c>
      <c r="AL162" s="334">
        <f>AL753</f>
        <v>95.90625</v>
      </c>
      <c r="AM162" s="331">
        <f t="shared" si="217"/>
        <v>383.625</v>
      </c>
      <c r="AN162" s="332">
        <f>AN753</f>
        <v>196.375</v>
      </c>
      <c r="AO162" s="333">
        <f>AO753</f>
        <v>196.375</v>
      </c>
      <c r="AP162" s="333">
        <f>AP753</f>
        <v>196.375</v>
      </c>
      <c r="AQ162" s="334">
        <f>AQ753</f>
        <v>196.375</v>
      </c>
      <c r="AR162" s="331">
        <f t="shared" si="218"/>
        <v>785.5</v>
      </c>
      <c r="AS162" s="332">
        <f>AS753</f>
        <v>181.25</v>
      </c>
      <c r="AT162" s="333">
        <f>AT753</f>
        <v>181.25</v>
      </c>
      <c r="AU162" s="333">
        <f t="shared" ref="AU162" si="230">AU753</f>
        <v>181.25</v>
      </c>
      <c r="AV162" s="334">
        <f>AV753</f>
        <v>181.25</v>
      </c>
      <c r="AW162" s="331">
        <f t="shared" si="220"/>
        <v>725</v>
      </c>
      <c r="AX162" s="332">
        <f>AX753</f>
        <v>341.5</v>
      </c>
      <c r="AY162" s="333">
        <f>AY753</f>
        <v>341.5</v>
      </c>
      <c r="AZ162" s="333">
        <f>AZ753</f>
        <v>341.5</v>
      </c>
      <c r="BA162" s="334">
        <f>BA753</f>
        <v>341.5</v>
      </c>
      <c r="BB162" s="331">
        <f t="shared" si="221"/>
        <v>1366</v>
      </c>
      <c r="BC162" s="332">
        <f>BC753</f>
        <v>331</v>
      </c>
      <c r="BD162" s="333">
        <f>BD753</f>
        <v>331</v>
      </c>
      <c r="BE162" s="333">
        <f>BE753</f>
        <v>331</v>
      </c>
      <c r="BF162" s="334">
        <f>BF753</f>
        <v>331</v>
      </c>
      <c r="BG162" s="331">
        <f t="shared" si="222"/>
        <v>1324</v>
      </c>
      <c r="BH162" s="332">
        <f>BH753</f>
        <v>362.25</v>
      </c>
      <c r="BI162" s="333">
        <f>BI753</f>
        <v>362.25</v>
      </c>
      <c r="BJ162" s="333">
        <f>BJ753</f>
        <v>362.25</v>
      </c>
      <c r="BK162" s="334">
        <f>BK753</f>
        <v>362.25</v>
      </c>
      <c r="BL162" s="331">
        <f t="shared" si="223"/>
        <v>1449</v>
      </c>
      <c r="BM162" s="332">
        <f>BM753</f>
        <v>362.25</v>
      </c>
      <c r="BN162" s="333">
        <f>BN753</f>
        <v>362.25</v>
      </c>
      <c r="BO162" s="333">
        <f>BO753</f>
        <v>362.25</v>
      </c>
      <c r="BP162" s="334">
        <f>BP753</f>
        <v>362.25</v>
      </c>
      <c r="BQ162" s="331">
        <f t="shared" si="224"/>
        <v>1449</v>
      </c>
      <c r="BR162" s="40"/>
      <c r="BS162" s="40"/>
      <c r="BT162" s="40"/>
      <c r="BU162" s="232"/>
      <c r="BV162" s="952" t="s">
        <v>1106</v>
      </c>
      <c r="BW162" s="45"/>
      <c r="BX162" s="45">
        <f>+AR174+AR739</f>
        <v>2939.9250409203214</v>
      </c>
      <c r="BY162" s="45">
        <f>+AW174+AW739</f>
        <v>1878.7658454956254</v>
      </c>
      <c r="BZ162" s="45">
        <f>+BB174+BB739</f>
        <v>525.9970315086108</v>
      </c>
      <c r="CA162" s="45">
        <f>+BG174+BG739</f>
        <v>413.56376923765504</v>
      </c>
      <c r="CB162" s="1366">
        <f>+BL174+BL739</f>
        <v>244.32035726915035</v>
      </c>
      <c r="CC162" s="40"/>
      <c r="CD162" s="925"/>
      <c r="CE162" s="925"/>
      <c r="CF162" s="925"/>
      <c r="CG162" s="40"/>
      <c r="CH162" s="40"/>
      <c r="CI162" s="40"/>
      <c r="CJ162" s="40"/>
      <c r="CK162" s="40"/>
      <c r="CL162" s="40"/>
      <c r="CM162" s="40"/>
      <c r="CN162" s="40"/>
      <c r="CO162" s="40"/>
      <c r="CP162" s="40"/>
      <c r="CQ162" s="40"/>
      <c r="CR162" s="823"/>
      <c r="CS162" s="232"/>
      <c r="CT162" s="232"/>
      <c r="CU162" s="232"/>
      <c r="CV162" s="232"/>
      <c r="CW162" s="232"/>
      <c r="CX162" s="40"/>
      <c r="CY162" s="40"/>
      <c r="CZ162" s="40"/>
      <c r="DA162" s="40"/>
      <c r="DB162" s="40"/>
      <c r="DC162" s="40"/>
      <c r="DD162" s="232"/>
      <c r="DE162" s="232"/>
      <c r="DF162" s="232"/>
      <c r="DG162" s="232"/>
      <c r="DH162" s="232"/>
      <c r="DI162" s="232"/>
      <c r="DJ162" s="232"/>
      <c r="DK162" s="232"/>
      <c r="DL162" s="232"/>
    </row>
    <row r="163" spans="1:116">
      <c r="A163" s="40"/>
      <c r="B163" s="1"/>
      <c r="C163" s="409" t="s">
        <v>176</v>
      </c>
      <c r="D163" s="1"/>
      <c r="E163" s="273"/>
      <c r="F163" s="3"/>
      <c r="G163" s="3"/>
      <c r="H163" s="274"/>
      <c r="I163" s="28"/>
      <c r="J163" s="273"/>
      <c r="K163" s="3"/>
      <c r="L163" s="3"/>
      <c r="M163" s="274"/>
      <c r="N163" s="1"/>
      <c r="O163" s="273"/>
      <c r="P163" s="3"/>
      <c r="Q163" s="3"/>
      <c r="R163" s="274"/>
      <c r="S163" s="1"/>
      <c r="T163" s="332"/>
      <c r="U163" s="333"/>
      <c r="V163" s="333"/>
      <c r="W163" s="334"/>
      <c r="X163" s="331"/>
      <c r="Y163" s="332">
        <f>Y226</f>
        <v>0</v>
      </c>
      <c r="Z163" s="333">
        <f>Z226</f>
        <v>0</v>
      </c>
      <c r="AA163" s="333">
        <f>AA226</f>
        <v>0</v>
      </c>
      <c r="AB163" s="334">
        <f>AB226</f>
        <v>0</v>
      </c>
      <c r="AC163" s="331"/>
      <c r="AD163" s="332">
        <f>AD226</f>
        <v>-1583.1864875309852</v>
      </c>
      <c r="AE163" s="333">
        <f>AE226</f>
        <v>206.38236915226199</v>
      </c>
      <c r="AF163" s="333">
        <f>AF226</f>
        <v>224.88315363891704</v>
      </c>
      <c r="AG163" s="334">
        <f>AG226</f>
        <v>178.42792762299786</v>
      </c>
      <c r="AH163" s="331">
        <f t="shared" si="216"/>
        <v>-973.49303711680818</v>
      </c>
      <c r="AI163" s="332">
        <f>AI226</f>
        <v>-74.888842822800783</v>
      </c>
      <c r="AJ163" s="333">
        <f>AJ226</f>
        <v>567.49289688634929</v>
      </c>
      <c r="AK163" s="333">
        <f>AK226</f>
        <v>542.56257145537609</v>
      </c>
      <c r="AL163" s="334">
        <f>AL226</f>
        <v>633.40521992676054</v>
      </c>
      <c r="AM163" s="331">
        <f t="shared" si="217"/>
        <v>1668.5718454456851</v>
      </c>
      <c r="AN163" s="332">
        <f>AN226</f>
        <v>763.07455774444998</v>
      </c>
      <c r="AO163" s="333">
        <f>AO226</f>
        <v>739.26791113503987</v>
      </c>
      <c r="AP163" s="333">
        <f>AP226</f>
        <v>518.03045798865628</v>
      </c>
      <c r="AQ163" s="334">
        <f>AQ226</f>
        <v>634.05211405217528</v>
      </c>
      <c r="AR163" s="331">
        <f t="shared" si="218"/>
        <v>2654.4250409203214</v>
      </c>
      <c r="AS163" s="332">
        <f>AS226</f>
        <v>510.85623411755626</v>
      </c>
      <c r="AT163" s="333">
        <f>AT226</f>
        <v>534.42365227158098</v>
      </c>
      <c r="AU163" s="333">
        <f t="shared" ref="AU163" si="231">AU226</f>
        <v>493.01086030921283</v>
      </c>
      <c r="AV163" s="334">
        <f>AV226</f>
        <v>165.47509879727554</v>
      </c>
      <c r="AW163" s="331">
        <f t="shared" si="220"/>
        <v>1703.7658454956254</v>
      </c>
      <c r="AX163" s="332">
        <f>AX226</f>
        <v>-98.643870183425534</v>
      </c>
      <c r="AY163" s="333">
        <f>AY226</f>
        <v>165.14941691028108</v>
      </c>
      <c r="AZ163" s="333">
        <f>AZ226</f>
        <v>-12.106311887852208</v>
      </c>
      <c r="BA163" s="334">
        <f>BA226</f>
        <v>155.5977966696075</v>
      </c>
      <c r="BB163" s="331">
        <f t="shared" si="221"/>
        <v>209.99703150861083</v>
      </c>
      <c r="BC163" s="332">
        <f>BC226</f>
        <v>-43.079839178982311</v>
      </c>
      <c r="BD163" s="333">
        <f>BD226</f>
        <v>184.91690288621305</v>
      </c>
      <c r="BE163" s="333">
        <f>BE226</f>
        <v>108.87604035774672</v>
      </c>
      <c r="BF163" s="334">
        <f>BF226</f>
        <v>88.850665172677537</v>
      </c>
      <c r="BG163" s="331">
        <f t="shared" si="222"/>
        <v>339.56376923765504</v>
      </c>
      <c r="BH163" s="332">
        <f>BH226</f>
        <v>-18.222815063321285</v>
      </c>
      <c r="BI163" s="333">
        <f>BI226</f>
        <v>96.012282701838757</v>
      </c>
      <c r="BJ163" s="333">
        <f>BJ226</f>
        <v>60.460213830564612</v>
      </c>
      <c r="BK163" s="334">
        <f>BK226</f>
        <v>57.070675800068287</v>
      </c>
      <c r="BL163" s="331">
        <f t="shared" si="223"/>
        <v>195.32035726915035</v>
      </c>
      <c r="BM163" s="332">
        <f>BM226</f>
        <v>0</v>
      </c>
      <c r="BN163" s="333">
        <f>BN226</f>
        <v>0</v>
      </c>
      <c r="BO163" s="333">
        <f>BO226</f>
        <v>0</v>
      </c>
      <c r="BP163" s="334">
        <f>BP226</f>
        <v>0</v>
      </c>
      <c r="BQ163" s="331">
        <f t="shared" si="224"/>
        <v>0</v>
      </c>
      <c r="BR163" s="40"/>
      <c r="BS163" s="40"/>
      <c r="BT163" s="40"/>
      <c r="BU163" s="232"/>
      <c r="BV163" s="952" t="s">
        <v>442</v>
      </c>
      <c r="BW163" s="45"/>
      <c r="BX163" s="45">
        <f>+AR173-AR739</f>
        <v>500</v>
      </c>
      <c r="BY163" s="45">
        <f>+AW173-AW739</f>
        <v>550</v>
      </c>
      <c r="BZ163" s="45">
        <f>+BB173-BB739</f>
        <v>1050</v>
      </c>
      <c r="CA163" s="45">
        <f>+BG173-BG739</f>
        <v>1250</v>
      </c>
      <c r="CB163" s="1366">
        <f>+BL173-BL739</f>
        <v>1400</v>
      </c>
      <c r="CC163" s="40"/>
      <c r="CD163" s="40"/>
      <c r="CE163" s="40"/>
      <c r="CG163" s="40"/>
      <c r="CH163" s="40"/>
      <c r="CI163" s="40"/>
      <c r="CJ163" s="40"/>
      <c r="CK163" s="40"/>
      <c r="CL163" s="40"/>
      <c r="CM163" s="40"/>
      <c r="CN163" s="40"/>
      <c r="CO163" s="40"/>
      <c r="CP163" s="40"/>
      <c r="CQ163" s="40"/>
      <c r="CR163" s="823"/>
      <c r="CS163" s="232"/>
      <c r="CT163" s="232"/>
      <c r="CU163" s="232"/>
      <c r="CV163" s="232"/>
      <c r="CW163" s="232"/>
      <c r="CX163" s="40"/>
      <c r="CY163" s="40"/>
      <c r="CZ163" s="40"/>
      <c r="DA163" s="40"/>
      <c r="DB163" s="40"/>
      <c r="DC163" s="40"/>
      <c r="DD163" s="232"/>
      <c r="DE163" s="232"/>
      <c r="DF163" s="232"/>
      <c r="DG163" s="232"/>
      <c r="DH163" s="232"/>
      <c r="DI163" s="232"/>
      <c r="DJ163" s="232"/>
      <c r="DK163" s="232"/>
      <c r="DL163" s="232"/>
    </row>
    <row r="164" spans="1:116">
      <c r="A164" s="40"/>
      <c r="B164" s="32"/>
      <c r="C164" s="446" t="s">
        <v>399</v>
      </c>
      <c r="D164" s="32"/>
      <c r="E164" s="489"/>
      <c r="F164" s="342"/>
      <c r="G164" s="342"/>
      <c r="H164" s="490"/>
      <c r="I164" s="32"/>
      <c r="J164" s="489"/>
      <c r="K164" s="342"/>
      <c r="L164" s="342"/>
      <c r="M164" s="490"/>
      <c r="N164" s="32"/>
      <c r="O164" s="489"/>
      <c r="P164" s="342"/>
      <c r="Q164" s="342"/>
      <c r="R164" s="490"/>
      <c r="S164" s="32"/>
      <c r="T164" s="301"/>
      <c r="U164" s="265"/>
      <c r="V164" s="265"/>
      <c r="W164" s="302"/>
      <c r="X164" s="445"/>
      <c r="Y164" s="301">
        <f>SUM(Y156:Y163)</f>
        <v>1159.6462920207878</v>
      </c>
      <c r="Z164" s="265">
        <f>SUM(Z156:Z163)</f>
        <v>1167.7350172628953</v>
      </c>
      <c r="AA164" s="265">
        <f>SUM(AA156:AA163)</f>
        <v>1377.0603846995662</v>
      </c>
      <c r="AB164" s="302">
        <f>SUM(AB156:AB163)</f>
        <v>1271.6206028697784</v>
      </c>
      <c r="AC164" s="445"/>
      <c r="AD164" s="301">
        <f t="shared" ref="AD164:BL164" si="232">SUM(AD156:AD163)</f>
        <v>1688.6982179457095</v>
      </c>
      <c r="AE164" s="265">
        <f t="shared" si="232"/>
        <v>1599.7662014486675</v>
      </c>
      <c r="AF164" s="265">
        <f t="shared" si="232"/>
        <v>1644.3052336603223</v>
      </c>
      <c r="AG164" s="302">
        <f t="shared" si="232"/>
        <v>1714.383487885357</v>
      </c>
      <c r="AH164" s="445">
        <f t="shared" si="232"/>
        <v>6647.1531409400577</v>
      </c>
      <c r="AI164" s="301">
        <f t="shared" si="232"/>
        <v>1785.0158069783486</v>
      </c>
      <c r="AJ164" s="265">
        <f t="shared" si="232"/>
        <v>1852.4589512815764</v>
      </c>
      <c r="AK164" s="265">
        <f t="shared" si="232"/>
        <v>1901.9327077036869</v>
      </c>
      <c r="AL164" s="302">
        <f t="shared" si="232"/>
        <v>1853.0045976502365</v>
      </c>
      <c r="AM164" s="445">
        <f t="shared" si="232"/>
        <v>7392.4120636138468</v>
      </c>
      <c r="AN164" s="301">
        <f t="shared" si="232"/>
        <v>2012.6692124886158</v>
      </c>
      <c r="AO164" s="265">
        <f t="shared" si="232"/>
        <v>1967.4427666211848</v>
      </c>
      <c r="AP164" s="265">
        <f t="shared" si="232"/>
        <v>1972.7498494702115</v>
      </c>
      <c r="AQ164" s="302">
        <f t="shared" si="232"/>
        <v>1915.9723663354289</v>
      </c>
      <c r="AR164" s="445">
        <f t="shared" si="232"/>
        <v>7868.8341949154401</v>
      </c>
      <c r="AS164" s="301">
        <f t="shared" si="232"/>
        <v>1835.7660617094484</v>
      </c>
      <c r="AT164" s="265">
        <f t="shared" ref="AT164:AW164" si="233">SUM(AT156:AT163)</f>
        <v>1942.1638028641082</v>
      </c>
      <c r="AU164" s="265">
        <f t="shared" si="233"/>
        <v>1978.5990407529184</v>
      </c>
      <c r="AV164" s="302">
        <f t="shared" si="233"/>
        <v>2036.4884600921571</v>
      </c>
      <c r="AW164" s="445">
        <f t="shared" si="233"/>
        <v>7793.017365418631</v>
      </c>
      <c r="AX164" s="301">
        <f t="shared" si="232"/>
        <v>2002.9020978850201</v>
      </c>
      <c r="AY164" s="265">
        <f t="shared" si="232"/>
        <v>1999.8806860451095</v>
      </c>
      <c r="AZ164" s="265">
        <f t="shared" si="232"/>
        <v>2083.8655859201122</v>
      </c>
      <c r="BA164" s="302">
        <f t="shared" si="232"/>
        <v>1916.4551682309134</v>
      </c>
      <c r="BB164" s="445">
        <f t="shared" si="232"/>
        <v>8003.1035380811554</v>
      </c>
      <c r="BC164" s="301">
        <f t="shared" si="232"/>
        <v>2090.5036449223226</v>
      </c>
      <c r="BD164" s="265">
        <f t="shared" si="232"/>
        <v>1844.0067900628246</v>
      </c>
      <c r="BE164" s="265">
        <f t="shared" si="232"/>
        <v>1871.0092342304147</v>
      </c>
      <c r="BF164" s="302">
        <f t="shared" si="232"/>
        <v>1723.9710727943211</v>
      </c>
      <c r="BG164" s="445">
        <f t="shared" si="232"/>
        <v>7529.4907420098834</v>
      </c>
      <c r="BH164" s="301">
        <f t="shared" si="232"/>
        <v>1914.4277510975019</v>
      </c>
      <c r="BI164" s="265">
        <f t="shared" si="232"/>
        <v>1696.5523009493616</v>
      </c>
      <c r="BJ164" s="265">
        <f t="shared" si="232"/>
        <v>1849.738935451403</v>
      </c>
      <c r="BK164" s="302">
        <f t="shared" si="232"/>
        <v>1741.5432311015402</v>
      </c>
      <c r="BL164" s="445">
        <f t="shared" si="232"/>
        <v>7202.2622185998061</v>
      </c>
      <c r="BM164" s="301">
        <f t="shared" ref="BM164:BQ164" si="234">SUM(BM156:BM163)</f>
        <v>1770.3999418046528</v>
      </c>
      <c r="BN164" s="265">
        <f t="shared" si="234"/>
        <v>1798.0838712654891</v>
      </c>
      <c r="BO164" s="265">
        <f t="shared" si="234"/>
        <v>1899.8295656770374</v>
      </c>
      <c r="BP164" s="302">
        <f t="shared" si="234"/>
        <v>1810.8542821201333</v>
      </c>
      <c r="BQ164" s="445">
        <f t="shared" si="234"/>
        <v>7279.1676608673133</v>
      </c>
      <c r="BR164" s="40"/>
      <c r="BS164" s="40"/>
      <c r="BT164" s="40"/>
      <c r="BU164" s="232"/>
      <c r="BV164" s="1362" t="s">
        <v>399</v>
      </c>
      <c r="BW164" s="228"/>
      <c r="BX164" s="228">
        <f>SUM(BX161:BX163)</f>
        <v>7868.834194915441</v>
      </c>
      <c r="BY164" s="228">
        <f>SUM(BY161:BY163)</f>
        <v>7793.0173654186328</v>
      </c>
      <c r="BZ164" s="228">
        <f>SUM(BZ161:BZ163)</f>
        <v>8000.0213047061561</v>
      </c>
      <c r="CA164" s="228">
        <f>SUM(CA161:CA163)</f>
        <v>7523.058581336637</v>
      </c>
      <c r="CB164" s="1363">
        <f>SUM(CB161:CB163)</f>
        <v>7195.9732025976236</v>
      </c>
      <c r="CC164" s="40"/>
      <c r="CD164" s="40"/>
      <c r="CE164" s="40"/>
      <c r="CG164" s="40"/>
      <c r="CH164" s="40"/>
      <c r="CI164" s="40"/>
      <c r="CJ164" s="40"/>
      <c r="CK164" s="40"/>
      <c r="CL164" s="40"/>
      <c r="CM164" s="40"/>
      <c r="CN164" s="40"/>
      <c r="CO164" s="40"/>
      <c r="CP164" s="40"/>
      <c r="CQ164" s="40"/>
      <c r="CR164" s="823"/>
      <c r="CS164" s="232"/>
      <c r="CT164" s="232"/>
      <c r="CU164" s="232"/>
      <c r="CV164" s="232"/>
      <c r="CW164" s="232"/>
      <c r="CX164" s="40"/>
      <c r="CY164" s="40"/>
      <c r="CZ164" s="40"/>
      <c r="DA164" s="40"/>
      <c r="DB164" s="40"/>
      <c r="DC164" s="40"/>
      <c r="DD164" s="232"/>
      <c r="DE164" s="232"/>
      <c r="DF164" s="232"/>
      <c r="DG164" s="232"/>
      <c r="DH164" s="232"/>
      <c r="DI164" s="232"/>
      <c r="DJ164" s="232"/>
      <c r="DK164" s="232"/>
      <c r="DL164" s="232"/>
    </row>
    <row r="165" spans="1:116">
      <c r="A165" s="40"/>
      <c r="B165" s="1"/>
      <c r="D165" s="1"/>
      <c r="E165" s="273"/>
      <c r="F165" s="3"/>
      <c r="G165" s="3"/>
      <c r="H165" s="274"/>
      <c r="I165" s="28"/>
      <c r="J165" s="273"/>
      <c r="K165" s="3"/>
      <c r="L165" s="3"/>
      <c r="M165" s="274"/>
      <c r="N165" s="1"/>
      <c r="O165" s="273"/>
      <c r="P165" s="3"/>
      <c r="Q165" s="3"/>
      <c r="R165" s="274"/>
      <c r="S165" s="1"/>
      <c r="T165" s="273"/>
      <c r="U165" s="3"/>
      <c r="V165" s="3"/>
      <c r="W165" s="274"/>
      <c r="X165" s="1"/>
      <c r="Y165" s="273"/>
      <c r="Z165" s="3"/>
      <c r="AA165" s="3"/>
      <c r="AB165" s="274"/>
      <c r="AC165" s="331"/>
      <c r="AD165" s="273"/>
      <c r="AE165" s="3"/>
      <c r="AF165" s="3"/>
      <c r="AG165" s="274"/>
      <c r="AH165" s="1"/>
      <c r="AI165" s="273"/>
      <c r="AJ165" s="3"/>
      <c r="AK165" s="3"/>
      <c r="AL165" s="274"/>
      <c r="AM165" s="1"/>
      <c r="AN165" s="273"/>
      <c r="AO165" s="3"/>
      <c r="AP165" s="3"/>
      <c r="AQ165" s="274"/>
      <c r="AR165" s="1"/>
      <c r="AS165" s="273"/>
      <c r="AT165" s="3"/>
      <c r="AU165" s="3"/>
      <c r="AV165" s="274"/>
      <c r="AW165" s="1"/>
      <c r="AX165" s="273"/>
      <c r="AY165" s="3"/>
      <c r="AZ165" s="3"/>
      <c r="BA165" s="274"/>
      <c r="BB165" s="1"/>
      <c r="BC165" s="273"/>
      <c r="BD165" s="3"/>
      <c r="BE165" s="3"/>
      <c r="BF165" s="274"/>
      <c r="BG165" s="1"/>
      <c r="BH165" s="273"/>
      <c r="BI165" s="3"/>
      <c r="BJ165" s="3"/>
      <c r="BK165" s="274"/>
      <c r="BL165" s="1"/>
      <c r="BM165" s="273"/>
      <c r="BN165" s="3"/>
      <c r="BO165" s="3"/>
      <c r="BP165" s="274"/>
      <c r="BQ165" s="1"/>
      <c r="BR165" s="40"/>
      <c r="BS165" s="40"/>
      <c r="BT165" s="40"/>
      <c r="BU165" s="232"/>
      <c r="BV165" s="952"/>
      <c r="BW165" s="28"/>
      <c r="BX165" s="28"/>
      <c r="BY165" s="28"/>
      <c r="BZ165" s="28"/>
      <c r="CA165" s="28"/>
      <c r="CB165" s="1364"/>
      <c r="CC165" s="40"/>
      <c r="CD165" s="40"/>
      <c r="CE165" s="40"/>
      <c r="CG165" s="40"/>
      <c r="CH165" s="40"/>
      <c r="CI165" s="40"/>
      <c r="CJ165" s="40"/>
      <c r="CK165" s="40"/>
      <c r="CL165" s="40"/>
      <c r="CM165" s="40"/>
      <c r="CN165" s="40"/>
      <c r="CO165" s="40"/>
      <c r="CP165" s="40"/>
      <c r="CQ165" s="40"/>
      <c r="CR165" s="823"/>
      <c r="CS165" s="232"/>
      <c r="CT165" s="232"/>
      <c r="CU165" s="232"/>
      <c r="CV165" s="232"/>
      <c r="CW165" s="232"/>
      <c r="CX165" s="40"/>
      <c r="CY165" s="40"/>
      <c r="CZ165" s="40"/>
      <c r="DA165" s="40"/>
      <c r="DB165" s="40"/>
      <c r="DC165" s="40"/>
      <c r="DD165" s="232"/>
      <c r="DE165" s="232"/>
      <c r="DF165" s="232"/>
      <c r="DG165" s="232"/>
      <c r="DH165" s="232"/>
      <c r="DI165" s="232"/>
      <c r="DJ165" s="232"/>
      <c r="DK165" s="232"/>
      <c r="DL165" s="232"/>
    </row>
    <row r="166" spans="1:116">
      <c r="A166" s="40"/>
      <c r="B166" s="1"/>
      <c r="C166" s="225" t="s">
        <v>835</v>
      </c>
      <c r="D166" s="1"/>
      <c r="E166" s="273"/>
      <c r="F166" s="3"/>
      <c r="G166" s="3"/>
      <c r="H166" s="274"/>
      <c r="I166" s="28"/>
      <c r="J166" s="273"/>
      <c r="K166" s="3"/>
      <c r="L166" s="3"/>
      <c r="M166" s="274"/>
      <c r="N166" s="1"/>
      <c r="O166" s="273"/>
      <c r="P166" s="3"/>
      <c r="Q166" s="3"/>
      <c r="R166" s="274"/>
      <c r="S166" s="1"/>
      <c r="T166" s="273"/>
      <c r="U166" s="3"/>
      <c r="V166" s="3"/>
      <c r="W166" s="274"/>
      <c r="X166" s="1"/>
      <c r="Y166" s="273"/>
      <c r="Z166" s="3"/>
      <c r="AA166" s="3"/>
      <c r="AB166" s="274"/>
      <c r="AC166" s="331"/>
      <c r="AD166" s="273"/>
      <c r="AE166" s="3"/>
      <c r="AF166" s="3"/>
      <c r="AG166" s="274"/>
      <c r="AH166" s="1"/>
      <c r="AI166" s="273"/>
      <c r="AJ166" s="3"/>
      <c r="AK166" s="3"/>
      <c r="AL166" s="274"/>
      <c r="AM166" s="1"/>
      <c r="AN166" s="273"/>
      <c r="AO166" s="3"/>
      <c r="AP166" s="3"/>
      <c r="AQ166" s="274"/>
      <c r="AR166" s="1"/>
      <c r="AS166" s="273"/>
      <c r="AT166" s="3"/>
      <c r="AU166" s="3"/>
      <c r="AV166" s="274"/>
      <c r="AW166" s="1"/>
      <c r="AX166" s="273"/>
      <c r="AY166" s="3"/>
      <c r="AZ166" s="3"/>
      <c r="BA166" s="274"/>
      <c r="BB166" s="1"/>
      <c r="BC166" s="273"/>
      <c r="BD166" s="3"/>
      <c r="BE166" s="3"/>
      <c r="BF166" s="274"/>
      <c r="BG166" s="1"/>
      <c r="BH166" s="273"/>
      <c r="BI166" s="3"/>
      <c r="BJ166" s="3"/>
      <c r="BK166" s="274"/>
      <c r="BL166" s="1"/>
      <c r="BM166" s="273"/>
      <c r="BN166" s="3"/>
      <c r="BO166" s="3"/>
      <c r="BP166" s="274"/>
      <c r="BQ166" s="1"/>
      <c r="BR166" s="1010"/>
      <c r="BS166" s="1010"/>
      <c r="BT166" s="1010"/>
      <c r="BU166" s="232"/>
      <c r="BV166" s="1362" t="s">
        <v>1113</v>
      </c>
      <c r="BW166" s="32"/>
      <c r="BX166" s="32">
        <v>2016</v>
      </c>
      <c r="BY166" s="32">
        <v>2017</v>
      </c>
      <c r="BZ166" s="32">
        <v>2018</v>
      </c>
      <c r="CA166" s="32">
        <v>2019</v>
      </c>
      <c r="CB166" s="1365">
        <v>2019</v>
      </c>
      <c r="CC166" s="40"/>
      <c r="CD166" s="40"/>
      <c r="CE166" s="40"/>
      <c r="CG166" s="40"/>
      <c r="CH166" s="40"/>
      <c r="CI166" s="40"/>
      <c r="CJ166" s="40"/>
      <c r="CK166" s="40"/>
      <c r="CL166" s="40"/>
      <c r="CM166" s="40"/>
      <c r="CN166" s="40"/>
      <c r="CO166" s="40"/>
      <c r="CP166" s="40"/>
      <c r="CQ166" s="40"/>
      <c r="CR166" s="823"/>
      <c r="CS166" s="232"/>
      <c r="CT166" s="232"/>
      <c r="CU166" s="232"/>
      <c r="CV166" s="232"/>
      <c r="CW166" s="232"/>
      <c r="CX166" s="40"/>
      <c r="CY166" s="40"/>
      <c r="CZ166" s="40"/>
      <c r="DA166" s="40"/>
      <c r="DB166" s="40"/>
      <c r="DC166" s="40"/>
      <c r="DD166" s="232"/>
      <c r="DE166" s="232"/>
      <c r="DF166" s="232"/>
      <c r="DG166" s="232"/>
      <c r="DH166" s="232"/>
      <c r="DI166" s="232"/>
      <c r="DJ166" s="232"/>
      <c r="DK166" s="232"/>
      <c r="DL166" s="232"/>
    </row>
    <row r="167" spans="1:116">
      <c r="A167" s="40"/>
      <c r="B167" s="1"/>
      <c r="C167" s="409" t="s">
        <v>1006</v>
      </c>
      <c r="D167" s="1"/>
      <c r="E167" s="273"/>
      <c r="F167" s="3"/>
      <c r="G167" s="3"/>
      <c r="H167" s="274"/>
      <c r="I167" s="28"/>
      <c r="J167" s="273"/>
      <c r="K167" s="3"/>
      <c r="L167" s="3"/>
      <c r="M167" s="274"/>
      <c r="N167" s="227"/>
      <c r="O167" s="288"/>
      <c r="P167" s="259"/>
      <c r="Q167" s="259"/>
      <c r="R167" s="289"/>
      <c r="S167" s="227"/>
      <c r="T167" s="288"/>
      <c r="U167" s="259"/>
      <c r="V167" s="259"/>
      <c r="W167" s="289"/>
      <c r="X167" s="227"/>
      <c r="Y167" s="288"/>
      <c r="Z167" s="259"/>
      <c r="AA167" s="259"/>
      <c r="AB167" s="289"/>
      <c r="AC167" s="227"/>
      <c r="AD167" s="288"/>
      <c r="AE167" s="259"/>
      <c r="AF167" s="259"/>
      <c r="AG167" s="289"/>
      <c r="AH167" s="227">
        <f>+AH295+AH410+AH321+AH308</f>
        <v>2445.1139503100385</v>
      </c>
      <c r="AI167" s="288"/>
      <c r="AJ167" s="259"/>
      <c r="AK167" s="259"/>
      <c r="AL167" s="289"/>
      <c r="AM167" s="227">
        <f>+AM295+AM410+AM321+AM308</f>
        <v>1590.6053494339712</v>
      </c>
      <c r="AN167" s="288"/>
      <c r="AO167" s="259"/>
      <c r="AP167" s="259"/>
      <c r="AQ167" s="289"/>
      <c r="AR167" s="227">
        <f>+AR295+AR410+AR321+AR308</f>
        <v>1391.442750191095</v>
      </c>
      <c r="AS167" s="288"/>
      <c r="AT167" s="259"/>
      <c r="AU167" s="259"/>
      <c r="AV167" s="289"/>
      <c r="AW167" s="227">
        <f>+AW295+AW410+AW321+AW308</f>
        <v>1506.2217955350698</v>
      </c>
      <c r="AX167" s="288"/>
      <c r="AY167" s="259"/>
      <c r="AZ167" s="259"/>
      <c r="BA167" s="289"/>
      <c r="BB167" s="227">
        <f>+BB295+BB410+BB321+BB308</f>
        <v>1773.3041242011345</v>
      </c>
      <c r="BC167" s="288"/>
      <c r="BD167" s="259"/>
      <c r="BE167" s="259"/>
      <c r="BF167" s="289"/>
      <c r="BG167" s="227">
        <f>+BG295+BG410+BG321+BG308</f>
        <v>1747.926768877812</v>
      </c>
      <c r="BH167" s="288"/>
      <c r="BI167" s="259"/>
      <c r="BJ167" s="259"/>
      <c r="BK167" s="289"/>
      <c r="BL167" s="227">
        <f>+BL295+BL410+BL321+BL308</f>
        <v>1705.3757134453278</v>
      </c>
      <c r="BM167" s="288"/>
      <c r="BN167" s="259"/>
      <c r="BO167" s="259"/>
      <c r="BP167" s="289"/>
      <c r="BQ167" s="227">
        <f>+BQ295+BQ410+BQ321+BQ308</f>
        <v>1975.2964187915468</v>
      </c>
      <c r="BR167" s="1010"/>
      <c r="BS167" s="1010"/>
      <c r="BT167" s="1010"/>
      <c r="BU167" s="232"/>
      <c r="BV167" s="952" t="s">
        <v>1105</v>
      </c>
      <c r="BW167" s="45"/>
      <c r="BX167" s="45">
        <f t="shared" ref="BX167:BX168" si="235">+BX153-BX161</f>
        <v>21.090846004880405</v>
      </c>
      <c r="BY167" s="45">
        <f>+BY153-BY161</f>
        <v>-64.251519923007436</v>
      </c>
      <c r="BZ167" s="45">
        <f>+BZ153-BZ161</f>
        <v>225.97572680245503</v>
      </c>
      <c r="CA167" s="45">
        <f>+CA153-CA161</f>
        <v>40.505187901017962</v>
      </c>
      <c r="CB167" s="1366">
        <f>+CB153-CB161</f>
        <v>48.347154671526368</v>
      </c>
      <c r="CC167" s="40"/>
      <c r="CD167" s="40"/>
      <c r="CE167" s="40"/>
      <c r="CG167" s="40"/>
      <c r="CH167" s="40"/>
      <c r="CI167" s="40"/>
      <c r="CJ167" s="40"/>
      <c r="CK167" s="40"/>
      <c r="CL167" s="40"/>
      <c r="CM167" s="40"/>
      <c r="CN167" s="40"/>
      <c r="CO167" s="40"/>
      <c r="CP167" s="40"/>
      <c r="CQ167" s="40"/>
      <c r="CR167" s="823"/>
      <c r="CS167" s="232"/>
      <c r="CT167" s="232"/>
      <c r="CU167" s="232"/>
      <c r="CV167" s="232"/>
      <c r="CW167" s="232"/>
      <c r="CX167" s="40"/>
      <c r="CY167" s="40"/>
      <c r="CZ167" s="40"/>
      <c r="DA167" s="40"/>
      <c r="DB167" s="40"/>
      <c r="DC167" s="40"/>
      <c r="DD167" s="232"/>
      <c r="DE167" s="232"/>
      <c r="DF167" s="232"/>
      <c r="DG167" s="232"/>
      <c r="DH167" s="232"/>
      <c r="DI167" s="232"/>
      <c r="DJ167" s="232"/>
      <c r="DK167" s="232"/>
      <c r="DL167" s="232"/>
    </row>
    <row r="168" spans="1:116">
      <c r="A168" s="40"/>
      <c r="B168" s="1"/>
      <c r="C168" s="409" t="s">
        <v>1005</v>
      </c>
      <c r="D168" s="1"/>
      <c r="E168" s="273"/>
      <c r="F168" s="3"/>
      <c r="G168" s="3"/>
      <c r="H168" s="274"/>
      <c r="I168" s="28"/>
      <c r="J168" s="273"/>
      <c r="K168" s="3"/>
      <c r="L168" s="3"/>
      <c r="M168" s="274"/>
      <c r="N168" s="227"/>
      <c r="O168" s="288"/>
      <c r="P168" s="259"/>
      <c r="Q168" s="259"/>
      <c r="R168" s="289"/>
      <c r="S168" s="227"/>
      <c r="T168" s="288"/>
      <c r="U168" s="259"/>
      <c r="V168" s="259"/>
      <c r="W168" s="289"/>
      <c r="X168" s="227"/>
      <c r="Y168" s="288"/>
      <c r="Z168" s="259"/>
      <c r="AA168" s="259"/>
      <c r="AB168" s="289"/>
      <c r="AC168" s="227"/>
      <c r="AD168" s="288"/>
      <c r="AE168" s="259"/>
      <c r="AF168" s="259"/>
      <c r="AG168" s="289"/>
      <c r="AH168" s="227">
        <f>+AH282+AH397+AH529+AH615+AH628+AH636</f>
        <v>2610.2221368912246</v>
      </c>
      <c r="AI168" s="288"/>
      <c r="AJ168" s="259"/>
      <c r="AK168" s="259"/>
      <c r="AL168" s="289"/>
      <c r="AM168" s="227">
        <f>+AM282+AM397+AM529+AM615+AM628+AM636</f>
        <v>1587.931863285866</v>
      </c>
      <c r="AN168" s="288"/>
      <c r="AO168" s="259"/>
      <c r="AP168" s="259"/>
      <c r="AQ168" s="289"/>
      <c r="AR168" s="227">
        <f>+AR282+AR397+AR529+AR615+AR628+AR636</f>
        <v>1023.4063983769192</v>
      </c>
      <c r="AS168" s="288"/>
      <c r="AT168" s="259"/>
      <c r="AU168" s="259"/>
      <c r="AV168" s="289"/>
      <c r="AW168" s="227">
        <f>+AW282+AW397+AW529+AW615+AW628+AW636</f>
        <v>1288.3883325618167</v>
      </c>
      <c r="AX168" s="288"/>
      <c r="AY168" s="259"/>
      <c r="AZ168" s="259"/>
      <c r="BA168" s="289"/>
      <c r="BB168" s="227">
        <f>+BB282+BB397+BB529+BB615+BB628+BB636</f>
        <v>1370.4063661493506</v>
      </c>
      <c r="BC168" s="288"/>
      <c r="BD168" s="259"/>
      <c r="BE168" s="259"/>
      <c r="BF168" s="289"/>
      <c r="BG168" s="227">
        <f>+BG282+BG397+BG529+BG615+BG628+BG636</f>
        <v>1108.4427196240727</v>
      </c>
      <c r="BH168" s="288"/>
      <c r="BI168" s="259"/>
      <c r="BJ168" s="259"/>
      <c r="BK168" s="289"/>
      <c r="BL168" s="227">
        <f>+BL282+BL397+BL529+BL615+BL628+BL636</f>
        <v>1004.7875138067907</v>
      </c>
      <c r="BM168" s="288"/>
      <c r="BN168" s="259"/>
      <c r="BO168" s="259"/>
      <c r="BP168" s="289"/>
      <c r="BQ168" s="227">
        <f>+BQ282+BQ397+BQ529+BQ615+BQ628+BQ636</f>
        <v>985.12506417338489</v>
      </c>
      <c r="BR168" s="1010"/>
      <c r="BS168" s="1010"/>
      <c r="BT168" s="1010"/>
      <c r="BU168" s="232"/>
      <c r="BV168" s="952" t="s">
        <v>1106</v>
      </c>
      <c r="BW168" s="45"/>
      <c r="BX168" s="45">
        <f t="shared" si="235"/>
        <v>-39.925040920321408</v>
      </c>
      <c r="BY168" s="45">
        <f t="shared" ref="BY168:CA168" si="236">+BY154-BY162</f>
        <v>271.2341545043746</v>
      </c>
      <c r="BZ168" s="45">
        <f t="shared" si="236"/>
        <v>-175.9970315086108</v>
      </c>
      <c r="CA168" s="45">
        <f t="shared" si="236"/>
        <v>-13.563769237655038</v>
      </c>
      <c r="CB168" s="1366">
        <f>+CB154-CB162</f>
        <v>5.6796427308496504</v>
      </c>
      <c r="CC168" s="40"/>
      <c r="CD168" s="40"/>
      <c r="CE168" s="40"/>
      <c r="CG168" s="40"/>
      <c r="CH168" s="40"/>
      <c r="CI168" s="40"/>
      <c r="CJ168" s="40"/>
      <c r="CK168" s="40"/>
      <c r="CL168" s="40"/>
      <c r="CM168" s="40"/>
      <c r="CN168" s="40"/>
      <c r="CO168" s="40"/>
      <c r="CP168" s="40"/>
      <c r="CQ168" s="40"/>
      <c r="CR168" s="823"/>
      <c r="CS168" s="232"/>
      <c r="CT168" s="232"/>
      <c r="CU168" s="232"/>
      <c r="CV168" s="232"/>
      <c r="CW168" s="232"/>
      <c r="CX168" s="40"/>
      <c r="CY168" s="40"/>
      <c r="CZ168" s="40"/>
      <c r="DA168" s="40"/>
      <c r="DB168" s="40"/>
      <c r="DC168" s="40"/>
      <c r="DD168" s="232"/>
      <c r="DE168" s="232"/>
      <c r="DF168" s="232"/>
      <c r="DG168" s="232"/>
      <c r="DH168" s="232"/>
      <c r="DI168" s="232"/>
      <c r="DJ168" s="232"/>
      <c r="DK168" s="232"/>
      <c r="DL168" s="232"/>
    </row>
    <row r="169" spans="1:116">
      <c r="A169" s="40"/>
      <c r="B169" s="1"/>
      <c r="C169" s="409" t="s">
        <v>641</v>
      </c>
      <c r="D169" s="1"/>
      <c r="E169" s="273"/>
      <c r="F169" s="3"/>
      <c r="G169" s="3"/>
      <c r="H169" s="274"/>
      <c r="I169" s="28"/>
      <c r="J169" s="273"/>
      <c r="K169" s="3"/>
      <c r="L169" s="3"/>
      <c r="M169" s="274"/>
      <c r="N169" s="227"/>
      <c r="O169" s="288"/>
      <c r="P169" s="259"/>
      <c r="Q169" s="259"/>
      <c r="R169" s="289"/>
      <c r="S169" s="227"/>
      <c r="T169" s="288"/>
      <c r="U169" s="259"/>
      <c r="V169" s="259"/>
      <c r="W169" s="289"/>
      <c r="X169" s="227"/>
      <c r="Y169" s="288"/>
      <c r="Z169" s="259"/>
      <c r="AA169" s="259"/>
      <c r="AB169" s="289"/>
      <c r="AC169" s="227"/>
      <c r="AD169" s="288"/>
      <c r="AE169" s="259"/>
      <c r="AF169" s="259"/>
      <c r="AG169" s="289"/>
      <c r="AH169" s="227">
        <f>+AH423+AH436+AH456+AH516+AH476</f>
        <v>95.037055430514968</v>
      </c>
      <c r="AI169" s="288"/>
      <c r="AJ169" s="259"/>
      <c r="AK169" s="259"/>
      <c r="AL169" s="289"/>
      <c r="AM169" s="227">
        <f>+AM423+AM436+AM456+AM516+AM476</f>
        <v>84.209469694213752</v>
      </c>
      <c r="AN169" s="288"/>
      <c r="AO169" s="259"/>
      <c r="AP169" s="259"/>
      <c r="AQ169" s="289"/>
      <c r="AR169" s="227">
        <f>+AR423+AR436+AR456+AR516+AR476</f>
        <v>62.140689455098055</v>
      </c>
      <c r="AS169" s="288"/>
      <c r="AT169" s="259"/>
      <c r="AU169" s="259"/>
      <c r="AV169" s="289"/>
      <c r="AW169" s="227">
        <f>+AW423+AW436+AW456+AW516+AW476</f>
        <v>78.298894808453269</v>
      </c>
      <c r="AX169" s="288"/>
      <c r="AY169" s="259"/>
      <c r="AZ169" s="259"/>
      <c r="BA169" s="289"/>
      <c r="BB169" s="227">
        <f>+BB423+BB436+BB456+BB516+BB476</f>
        <v>348.61455200344972</v>
      </c>
      <c r="BC169" s="288"/>
      <c r="BD169" s="259"/>
      <c r="BE169" s="259"/>
      <c r="BF169" s="289"/>
      <c r="BG169" s="227">
        <f>+BG423+BG436+BG456+BG516+BG476</f>
        <v>240.66589642907428</v>
      </c>
      <c r="BH169" s="288"/>
      <c r="BI169" s="259"/>
      <c r="BJ169" s="259"/>
      <c r="BK169" s="289"/>
      <c r="BL169" s="227">
        <f>+BL423+BL436+BL456+BL516+BL476</f>
        <v>204.59177522909866</v>
      </c>
      <c r="BM169" s="288"/>
      <c r="BN169" s="259"/>
      <c r="BO169" s="259"/>
      <c r="BP169" s="289"/>
      <c r="BQ169" s="227">
        <f>+BQ423+BQ436+BQ456+BQ516+BQ476</f>
        <v>263.91535230077363</v>
      </c>
      <c r="BR169" s="1010"/>
      <c r="BS169" s="1010"/>
      <c r="BT169" s="1010"/>
      <c r="BU169" s="232"/>
      <c r="BV169" s="952" t="s">
        <v>1112</v>
      </c>
      <c r="BW169" s="45"/>
      <c r="BX169" s="45">
        <f>+BX155+BX156+BX157-BX163</f>
        <v>0</v>
      </c>
      <c r="BY169" s="45">
        <f>+BY155+BY156+BY157-BY163</f>
        <v>0</v>
      </c>
      <c r="BZ169" s="45">
        <f>+BZ155+BZ156+BZ157-BZ163</f>
        <v>0</v>
      </c>
      <c r="CA169" s="45">
        <f>+CA155+CA156+CA157-CA163</f>
        <v>0</v>
      </c>
      <c r="CB169" s="1366">
        <f>+CB155+CB156+CB157-CB163</f>
        <v>0</v>
      </c>
      <c r="CC169" s="40"/>
      <c r="CD169" s="40"/>
      <c r="CE169" s="40"/>
      <c r="CG169" s="40"/>
      <c r="CH169" s="40"/>
      <c r="CI169" s="40"/>
      <c r="CJ169" s="40"/>
      <c r="CK169" s="40"/>
      <c r="CL169" s="40"/>
      <c r="CM169" s="40"/>
      <c r="CN169" s="40"/>
      <c r="CO169" s="40"/>
      <c r="CP169" s="40"/>
      <c r="CQ169" s="40"/>
      <c r="CR169" s="823"/>
      <c r="CS169" s="232"/>
      <c r="CT169" s="232"/>
      <c r="CU169" s="232"/>
      <c r="CV169" s="232"/>
      <c r="CW169" s="232"/>
      <c r="CX169" s="40"/>
      <c r="CY169" s="40"/>
      <c r="CZ169" s="40"/>
      <c r="DA169" s="40"/>
      <c r="DB169" s="40"/>
      <c r="DC169" s="40"/>
      <c r="DD169" s="232"/>
      <c r="DE169" s="232"/>
      <c r="DF169" s="232"/>
      <c r="DG169" s="232"/>
      <c r="DH169" s="232"/>
      <c r="DI169" s="232"/>
      <c r="DJ169" s="232"/>
      <c r="DK169" s="232"/>
      <c r="DL169" s="232"/>
    </row>
    <row r="170" spans="1:116">
      <c r="A170" s="40"/>
      <c r="B170" s="1"/>
      <c r="C170" s="2191" t="s">
        <v>1478</v>
      </c>
      <c r="D170" s="1"/>
      <c r="E170" s="273"/>
      <c r="F170" s="3"/>
      <c r="G170" s="3"/>
      <c r="H170" s="274"/>
      <c r="I170" s="28"/>
      <c r="J170" s="273"/>
      <c r="K170" s="3"/>
      <c r="L170" s="3"/>
      <c r="M170" s="274"/>
      <c r="N170" s="227"/>
      <c r="O170" s="288"/>
      <c r="P170" s="259"/>
      <c r="Q170" s="259"/>
      <c r="R170" s="289"/>
      <c r="S170" s="227"/>
      <c r="T170" s="288"/>
      <c r="U170" s="259"/>
      <c r="V170" s="259"/>
      <c r="W170" s="289"/>
      <c r="X170" s="227"/>
      <c r="Y170" s="288"/>
      <c r="Z170" s="259"/>
      <c r="AA170" s="259"/>
      <c r="AB170" s="289"/>
      <c r="AC170" s="227"/>
      <c r="AD170" s="288"/>
      <c r="AE170" s="259"/>
      <c r="AF170" s="259"/>
      <c r="AG170" s="289"/>
      <c r="AH170" s="227">
        <f>+AH496+AH347+AH334+AH360+AH373</f>
        <v>963.86372847821201</v>
      </c>
      <c r="AI170" s="288"/>
      <c r="AJ170" s="259"/>
      <c r="AK170" s="259"/>
      <c r="AL170" s="289"/>
      <c r="AM170" s="227">
        <f>+AM496+AM347+AM334+AM360+AM373</f>
        <v>511.01997053007022</v>
      </c>
      <c r="AN170" s="288"/>
      <c r="AO170" s="259"/>
      <c r="AP170" s="259"/>
      <c r="AQ170" s="289"/>
      <c r="AR170" s="227">
        <f>+AR496+AR347+AR334+AR360+AR373</f>
        <v>365.45001512373062</v>
      </c>
      <c r="AS170" s="288"/>
      <c r="AT170" s="259"/>
      <c r="AU170" s="259"/>
      <c r="AV170" s="289"/>
      <c r="AW170" s="227">
        <f>+AW496+AW347+AW334+AW360+AW373</f>
        <v>734.33664227014719</v>
      </c>
      <c r="AX170" s="288"/>
      <c r="AY170" s="259"/>
      <c r="AZ170" s="259"/>
      <c r="BA170" s="289"/>
      <c r="BB170" s="227">
        <f>+BB496+BB347+BB334+BB360+BB373</f>
        <v>939.60535253583089</v>
      </c>
      <c r="BC170" s="288"/>
      <c r="BD170" s="259"/>
      <c r="BE170" s="259"/>
      <c r="BF170" s="289"/>
      <c r="BG170" s="227">
        <f>+BG496+BG347+BG334+BG360+BG373</f>
        <v>1026.9081467938768</v>
      </c>
      <c r="BH170" s="288"/>
      <c r="BI170" s="259"/>
      <c r="BJ170" s="259"/>
      <c r="BK170" s="289"/>
      <c r="BL170" s="227">
        <f>+BL496+BL347+BL334+BL360+BL373</f>
        <v>1038.7179576072936</v>
      </c>
      <c r="BM170" s="288"/>
      <c r="BN170" s="259"/>
      <c r="BO170" s="259"/>
      <c r="BP170" s="289"/>
      <c r="BQ170" s="227">
        <f>+BQ496+BQ347+BQ334+BQ360+BQ373</f>
        <v>985.1592347035396</v>
      </c>
      <c r="BR170" s="1010"/>
      <c r="BS170" s="1010"/>
      <c r="BT170" s="1010"/>
      <c r="BU170" s="232"/>
      <c r="BV170" s="1362" t="s">
        <v>399</v>
      </c>
      <c r="BW170" s="228"/>
      <c r="BX170" s="228">
        <f>SUM(BX167:BX169)</f>
        <v>-18.834194915441003</v>
      </c>
      <c r="BY170" s="228">
        <f>SUM(BY167:BY169)</f>
        <v>206.98263458136717</v>
      </c>
      <c r="BZ170" s="2296">
        <f>SUM(BZ167:BZ169)</f>
        <v>49.978695293844225</v>
      </c>
      <c r="CA170" s="2296">
        <f>SUM(CA167:CA169)</f>
        <v>26.941418663362924</v>
      </c>
      <c r="CB170" s="2297">
        <f>SUM(CB167:CB169)</f>
        <v>54.026797402376019</v>
      </c>
      <c r="CC170" s="40"/>
      <c r="CD170" s="40"/>
      <c r="CE170" s="40"/>
      <c r="CG170" s="40"/>
      <c r="CH170" s="40"/>
      <c r="CI170" s="40"/>
      <c r="CJ170" s="40"/>
      <c r="CK170" s="40"/>
      <c r="CL170" s="40"/>
      <c r="CM170" s="40"/>
      <c r="CN170" s="40"/>
      <c r="CO170" s="40"/>
      <c r="CP170" s="40"/>
      <c r="CQ170" s="40"/>
      <c r="CR170" s="823"/>
      <c r="CS170" s="232"/>
      <c r="CT170" s="232"/>
      <c r="CU170" s="232"/>
      <c r="CV170" s="232"/>
      <c r="CW170" s="232"/>
      <c r="CX170" s="40"/>
      <c r="CY170" s="40"/>
      <c r="CZ170" s="40"/>
      <c r="DA170" s="40"/>
      <c r="DB170" s="40"/>
      <c r="DC170" s="40"/>
      <c r="DD170" s="232"/>
      <c r="DE170" s="232"/>
      <c r="DF170" s="232"/>
      <c r="DG170" s="232"/>
      <c r="DH170" s="232"/>
      <c r="DI170" s="232"/>
      <c r="DJ170" s="232"/>
      <c r="DK170" s="232"/>
      <c r="DL170" s="232"/>
    </row>
    <row r="171" spans="1:116">
      <c r="A171" s="40"/>
      <c r="B171" s="1"/>
      <c r="C171" s="882" t="s">
        <v>849</v>
      </c>
      <c r="D171" s="1"/>
      <c r="E171" s="273"/>
      <c r="F171" s="3"/>
      <c r="G171" s="3"/>
      <c r="H171" s="274"/>
      <c r="I171" s="28"/>
      <c r="J171" s="273"/>
      <c r="K171" s="3"/>
      <c r="L171" s="3"/>
      <c r="M171" s="274"/>
      <c r="N171" s="227"/>
      <c r="O171" s="288"/>
      <c r="P171" s="259"/>
      <c r="Q171" s="259"/>
      <c r="R171" s="289"/>
      <c r="S171" s="227"/>
      <c r="T171" s="288"/>
      <c r="U171" s="259"/>
      <c r="V171" s="259"/>
      <c r="W171" s="289"/>
      <c r="X171" s="227"/>
      <c r="Y171" s="288"/>
      <c r="Z171" s="259"/>
      <c r="AA171" s="259"/>
      <c r="AB171" s="289"/>
      <c r="AC171" s="227"/>
      <c r="AD171" s="288"/>
      <c r="AE171" s="259"/>
      <c r="AF171" s="259"/>
      <c r="AG171" s="289"/>
      <c r="AH171" s="227">
        <f>+AH158</f>
        <v>252.90636839999999</v>
      </c>
      <c r="AI171" s="288"/>
      <c r="AJ171" s="259"/>
      <c r="AK171" s="259"/>
      <c r="AL171" s="289"/>
      <c r="AM171" s="227">
        <f>+AM158</f>
        <v>257.96449576800001</v>
      </c>
      <c r="AN171" s="288"/>
      <c r="AO171" s="259"/>
      <c r="AP171" s="259"/>
      <c r="AQ171" s="289"/>
      <c r="AR171" s="227">
        <f>+AR158</f>
        <v>273.08813085036002</v>
      </c>
      <c r="AS171" s="288"/>
      <c r="AT171" s="259"/>
      <c r="AU171" s="259"/>
      <c r="AV171" s="289"/>
      <c r="AW171" s="227">
        <f>+AW158</f>
        <v>313.78184253918715</v>
      </c>
      <c r="AX171" s="288"/>
      <c r="AY171" s="259"/>
      <c r="AZ171" s="259"/>
      <c r="BA171" s="289"/>
      <c r="BB171" s="227">
        <f>+BB158</f>
        <v>324.8933533079869</v>
      </c>
      <c r="BC171" s="288"/>
      <c r="BD171" s="259"/>
      <c r="BE171" s="259"/>
      <c r="BF171" s="289"/>
      <c r="BG171" s="227">
        <f>+BG158</f>
        <v>331.39122037414666</v>
      </c>
      <c r="BH171" s="288"/>
      <c r="BI171" s="259"/>
      <c r="BJ171" s="259"/>
      <c r="BK171" s="289"/>
      <c r="BL171" s="227">
        <f>+BL158</f>
        <v>338.01904478162965</v>
      </c>
      <c r="BM171" s="288"/>
      <c r="BN171" s="259"/>
      <c r="BO171" s="259"/>
      <c r="BP171" s="289"/>
      <c r="BQ171" s="227">
        <f>+BQ158</f>
        <v>344.77942567726217</v>
      </c>
      <c r="BR171" s="1010"/>
      <c r="BS171" s="1010"/>
      <c r="BT171" s="1010"/>
      <c r="BU171" s="232"/>
      <c r="BV171" s="2192"/>
      <c r="BZ171" s="19"/>
      <c r="CA171" s="19"/>
      <c r="CB171" s="2193"/>
      <c r="CC171" s="40"/>
      <c r="CD171" s="40"/>
      <c r="CE171" s="40"/>
      <c r="CG171" s="40"/>
      <c r="CH171" s="40"/>
      <c r="CI171" s="40"/>
      <c r="CJ171" s="40"/>
      <c r="CK171" s="40"/>
      <c r="CL171" s="40"/>
      <c r="CM171" s="40"/>
      <c r="CN171" s="40"/>
      <c r="CO171" s="40"/>
      <c r="CP171" s="40"/>
      <c r="CQ171" s="40"/>
      <c r="CR171" s="823"/>
      <c r="CS171" s="232"/>
      <c r="CT171" s="232"/>
      <c r="CU171" s="232"/>
      <c r="CV171" s="232"/>
      <c r="CW171" s="232"/>
      <c r="CX171" s="40"/>
      <c r="CY171" s="40"/>
      <c r="CZ171" s="40"/>
      <c r="DA171" s="40"/>
      <c r="DB171" s="40"/>
      <c r="DC171" s="40"/>
      <c r="DD171" s="232"/>
      <c r="DE171" s="232"/>
      <c r="DF171" s="232"/>
      <c r="DG171" s="232"/>
      <c r="DH171" s="232"/>
      <c r="DI171" s="232"/>
      <c r="DJ171" s="232"/>
      <c r="DK171" s="232"/>
      <c r="DL171" s="232"/>
    </row>
    <row r="172" spans="1:116">
      <c r="A172" s="40"/>
      <c r="B172" s="1"/>
      <c r="C172" s="409" t="s">
        <v>1001</v>
      </c>
      <c r="D172" s="1"/>
      <c r="E172" s="273"/>
      <c r="F172" s="3"/>
      <c r="G172" s="3"/>
      <c r="H172" s="274"/>
      <c r="I172" s="28"/>
      <c r="J172" s="273"/>
      <c r="K172" s="3"/>
      <c r="L172" s="3"/>
      <c r="M172" s="274"/>
      <c r="N172" s="227"/>
      <c r="O172" s="288"/>
      <c r="P172" s="259"/>
      <c r="Q172" s="259"/>
      <c r="R172" s="289"/>
      <c r="S172" s="227"/>
      <c r="T172" s="288"/>
      <c r="U172" s="259"/>
      <c r="V172" s="259"/>
      <c r="W172" s="289"/>
      <c r="X172" s="227"/>
      <c r="Y172" s="288"/>
      <c r="Z172" s="259"/>
      <c r="AA172" s="259"/>
      <c r="AB172" s="289"/>
      <c r="AC172" s="227"/>
      <c r="AD172" s="288"/>
      <c r="AE172" s="259"/>
      <c r="AF172" s="259"/>
      <c r="AG172" s="289"/>
      <c r="AH172" s="227">
        <f>+AH161</f>
        <v>1253.5029385468749</v>
      </c>
      <c r="AI172" s="288"/>
      <c r="AJ172" s="259"/>
      <c r="AK172" s="259"/>
      <c r="AL172" s="289"/>
      <c r="AM172" s="227">
        <f>+AM161</f>
        <v>1308.4840694560419</v>
      </c>
      <c r="AN172" s="288"/>
      <c r="AO172" s="259"/>
      <c r="AP172" s="259"/>
      <c r="AQ172" s="289"/>
      <c r="AR172" s="227">
        <f>+AR161</f>
        <v>1313.3811699979165</v>
      </c>
      <c r="AS172" s="288"/>
      <c r="AT172" s="259"/>
      <c r="AU172" s="259"/>
      <c r="AV172" s="289"/>
      <c r="AW172" s="227">
        <f>+AW161</f>
        <v>1443.2240122083335</v>
      </c>
      <c r="AX172" s="288"/>
      <c r="AY172" s="259"/>
      <c r="AZ172" s="259"/>
      <c r="BA172" s="289"/>
      <c r="BB172" s="227">
        <f>+BB161</f>
        <v>1667.2005249997917</v>
      </c>
      <c r="BC172" s="288"/>
      <c r="BD172" s="259"/>
      <c r="BE172" s="259"/>
      <c r="BF172" s="289"/>
      <c r="BG172" s="227">
        <f>+BG161</f>
        <v>1404.1600599999999</v>
      </c>
      <c r="BH172" s="288"/>
      <c r="BI172" s="259"/>
      <c r="BJ172" s="259"/>
      <c r="BK172" s="289"/>
      <c r="BL172" s="227">
        <f>+BL161</f>
        <v>1260.160840458333</v>
      </c>
      <c r="BM172" s="288"/>
      <c r="BN172" s="259"/>
      <c r="BO172" s="259"/>
      <c r="BP172" s="289"/>
      <c r="BQ172" s="227">
        <f>+BQ161</f>
        <v>1270.9771449999998</v>
      </c>
      <c r="BR172" s="1010"/>
      <c r="BS172" s="1010"/>
      <c r="BT172" s="1010"/>
      <c r="BU172" s="232"/>
      <c r="BV172" s="943" t="s">
        <v>1115</v>
      </c>
      <c r="BW172" s="28"/>
      <c r="BX172" s="28"/>
      <c r="BY172" s="28"/>
      <c r="BZ172" s="28"/>
      <c r="CA172" s="28"/>
      <c r="CB172" s="1364"/>
      <c r="CC172" s="40"/>
      <c r="CD172" s="40"/>
      <c r="CE172" s="40"/>
      <c r="CG172" s="40"/>
      <c r="CH172" s="40"/>
      <c r="CI172" s="40"/>
      <c r="CJ172" s="40"/>
      <c r="CK172" s="40"/>
      <c r="CL172" s="40"/>
      <c r="CM172" s="40"/>
      <c r="CN172" s="40"/>
      <c r="CO172" s="40"/>
      <c r="CP172" s="40"/>
      <c r="CQ172" s="40"/>
      <c r="CR172" s="823"/>
      <c r="CS172" s="232"/>
      <c r="CT172" s="232"/>
      <c r="CU172" s="232"/>
      <c r="CV172" s="232"/>
      <c r="CW172" s="232"/>
      <c r="CX172" s="40"/>
      <c r="CY172" s="40"/>
      <c r="CZ172" s="40"/>
      <c r="DA172" s="40"/>
      <c r="DB172" s="40"/>
      <c r="DC172" s="40"/>
      <c r="DD172" s="232"/>
      <c r="DE172" s="232"/>
      <c r="DF172" s="232"/>
      <c r="DG172" s="232"/>
      <c r="DH172" s="232"/>
      <c r="DI172" s="232"/>
      <c r="DJ172" s="232"/>
      <c r="DK172" s="232"/>
      <c r="DL172" s="232"/>
    </row>
    <row r="173" spans="1:116">
      <c r="A173" s="40"/>
      <c r="B173" s="1"/>
      <c r="C173" s="882" t="s">
        <v>1003</v>
      </c>
      <c r="D173" s="1"/>
      <c r="E173" s="273"/>
      <c r="F173" s="3"/>
      <c r="G173" s="3"/>
      <c r="H173" s="274"/>
      <c r="I173" s="28"/>
      <c r="J173" s="273"/>
      <c r="K173" s="3"/>
      <c r="L173" s="3"/>
      <c r="M173" s="274"/>
      <c r="N173" s="227"/>
      <c r="O173" s="288"/>
      <c r="P173" s="259"/>
      <c r="Q173" s="259"/>
      <c r="R173" s="289"/>
      <c r="S173" s="227"/>
      <c r="T173" s="288"/>
      <c r="U173" s="259"/>
      <c r="V173" s="259"/>
      <c r="W173" s="289"/>
      <c r="X173" s="227"/>
      <c r="Y173" s="288"/>
      <c r="Z173" s="259"/>
      <c r="AA173" s="259"/>
      <c r="AB173" s="289"/>
      <c r="AC173" s="227"/>
      <c r="AD173" s="288"/>
      <c r="AE173" s="259"/>
      <c r="AF173" s="259"/>
      <c r="AG173" s="289"/>
      <c r="AH173" s="227">
        <f>+AH162</f>
        <v>0</v>
      </c>
      <c r="AI173" s="288"/>
      <c r="AJ173" s="259"/>
      <c r="AK173" s="259"/>
      <c r="AL173" s="289"/>
      <c r="AM173" s="227">
        <f>+AM162</f>
        <v>383.625</v>
      </c>
      <c r="AN173" s="288"/>
      <c r="AO173" s="259"/>
      <c r="AP173" s="259"/>
      <c r="AQ173" s="289"/>
      <c r="AR173" s="227">
        <f>+AR162</f>
        <v>785.5</v>
      </c>
      <c r="AS173" s="288"/>
      <c r="AT173" s="259"/>
      <c r="AU173" s="259"/>
      <c r="AV173" s="289"/>
      <c r="AW173" s="227">
        <f>+AW162</f>
        <v>725</v>
      </c>
      <c r="AX173" s="288"/>
      <c r="AY173" s="259"/>
      <c r="AZ173" s="259"/>
      <c r="BA173" s="289"/>
      <c r="BB173" s="227">
        <f>+BB162</f>
        <v>1366</v>
      </c>
      <c r="BC173" s="288"/>
      <c r="BD173" s="259"/>
      <c r="BE173" s="259"/>
      <c r="BF173" s="289"/>
      <c r="BG173" s="227">
        <f>+BG162</f>
        <v>1324</v>
      </c>
      <c r="BH173" s="288"/>
      <c r="BI173" s="259"/>
      <c r="BJ173" s="259"/>
      <c r="BK173" s="289"/>
      <c r="BL173" s="227">
        <f>+BL162</f>
        <v>1449</v>
      </c>
      <c r="BM173" s="288"/>
      <c r="BN173" s="259"/>
      <c r="BO173" s="259"/>
      <c r="BP173" s="289"/>
      <c r="BQ173" s="227">
        <f>+BQ162</f>
        <v>1449</v>
      </c>
      <c r="BR173" s="1010"/>
      <c r="BS173" s="1010"/>
      <c r="BT173" s="1010"/>
      <c r="BU173" s="232"/>
      <c r="BV173" s="564" t="s">
        <v>1114</v>
      </c>
      <c r="BW173" s="1006"/>
      <c r="BX173" s="1006">
        <v>25.87</v>
      </c>
      <c r="BY173" s="1006">
        <v>28.81</v>
      </c>
      <c r="BZ173" s="1006">
        <v>33.51</v>
      </c>
      <c r="CA173" s="1006">
        <v>30.72</v>
      </c>
      <c r="CB173" s="1367">
        <v>30.12</v>
      </c>
      <c r="CC173" s="40"/>
      <c r="CD173" s="40"/>
      <c r="CE173" s="40"/>
      <c r="CG173" s="40"/>
      <c r="CH173" s="40"/>
      <c r="CI173" s="40"/>
      <c r="CJ173" s="40"/>
      <c r="CK173" s="40"/>
      <c r="CL173" s="40"/>
      <c r="CM173" s="40"/>
      <c r="CN173" s="40"/>
      <c r="CO173" s="40"/>
      <c r="CP173" s="40"/>
      <c r="CQ173" s="40"/>
      <c r="CR173" s="823"/>
      <c r="CS173" s="232"/>
      <c r="CT173" s="232"/>
      <c r="CU173" s="232"/>
      <c r="CV173" s="232"/>
      <c r="CW173" s="232"/>
      <c r="CX173" s="40"/>
      <c r="CY173" s="40"/>
      <c r="CZ173" s="40"/>
      <c r="DA173" s="40"/>
      <c r="DB173" s="40"/>
      <c r="DC173" s="40"/>
      <c r="DD173" s="232"/>
      <c r="DE173" s="232"/>
      <c r="DF173" s="232"/>
      <c r="DG173" s="232"/>
      <c r="DH173" s="232"/>
      <c r="DI173" s="232"/>
      <c r="DJ173" s="232"/>
      <c r="DK173" s="232"/>
      <c r="DL173" s="232"/>
    </row>
    <row r="174" spans="1:116">
      <c r="A174" s="40"/>
      <c r="B174" s="1"/>
      <c r="C174" s="409" t="s">
        <v>176</v>
      </c>
      <c r="D174" s="1"/>
      <c r="E174" s="273"/>
      <c r="F174" s="3"/>
      <c r="G174" s="3"/>
      <c r="H174" s="274"/>
      <c r="I174" s="28"/>
      <c r="J174" s="273"/>
      <c r="K174" s="3"/>
      <c r="L174" s="3"/>
      <c r="M174" s="274"/>
      <c r="N174" s="227"/>
      <c r="O174" s="288"/>
      <c r="P174" s="259"/>
      <c r="Q174" s="259"/>
      <c r="R174" s="289"/>
      <c r="S174" s="227"/>
      <c r="T174" s="288"/>
      <c r="U174" s="259"/>
      <c r="V174" s="259"/>
      <c r="W174" s="289"/>
      <c r="X174" s="227"/>
      <c r="Y174" s="288"/>
      <c r="Z174" s="259"/>
      <c r="AA174" s="259"/>
      <c r="AB174" s="289"/>
      <c r="AC174" s="227"/>
      <c r="AD174" s="288"/>
      <c r="AE174" s="259"/>
      <c r="AF174" s="259"/>
      <c r="AG174" s="289"/>
      <c r="AH174" s="227">
        <f>+AH163</f>
        <v>-973.49303711680818</v>
      </c>
      <c r="AI174" s="288"/>
      <c r="AJ174" s="259"/>
      <c r="AK174" s="259"/>
      <c r="AL174" s="289"/>
      <c r="AM174" s="227">
        <f>+AM163</f>
        <v>1668.5718454456851</v>
      </c>
      <c r="AN174" s="288"/>
      <c r="AO174" s="259"/>
      <c r="AP174" s="259"/>
      <c r="AQ174" s="289"/>
      <c r="AR174" s="227">
        <f>+AR163</f>
        <v>2654.4250409203214</v>
      </c>
      <c r="AS174" s="288"/>
      <c r="AT174" s="259"/>
      <c r="AU174" s="259"/>
      <c r="AV174" s="289"/>
      <c r="AW174" s="227">
        <f>+AW163</f>
        <v>1703.7658454956254</v>
      </c>
      <c r="AX174" s="288"/>
      <c r="AY174" s="259"/>
      <c r="AZ174" s="259"/>
      <c r="BA174" s="289"/>
      <c r="BB174" s="227">
        <f>+BB163</f>
        <v>209.99703150861083</v>
      </c>
      <c r="BC174" s="288"/>
      <c r="BD174" s="259"/>
      <c r="BE174" s="259"/>
      <c r="BF174" s="289"/>
      <c r="BG174" s="227">
        <f>+BG163</f>
        <v>339.56376923765504</v>
      </c>
      <c r="BH174" s="288"/>
      <c r="BI174" s="259"/>
      <c r="BJ174" s="259"/>
      <c r="BK174" s="289"/>
      <c r="BL174" s="227">
        <f>+BL163</f>
        <v>195.32035726915035</v>
      </c>
      <c r="BM174" s="288"/>
      <c r="BN174" s="259"/>
      <c r="BO174" s="259"/>
      <c r="BP174" s="289"/>
      <c r="BQ174" s="227">
        <f>+BQ163</f>
        <v>0</v>
      </c>
      <c r="BR174" s="1010"/>
      <c r="BS174" s="1010"/>
      <c r="BT174" s="1010"/>
      <c r="BU174" s="232"/>
      <c r="BV174" s="564" t="s">
        <v>1079</v>
      </c>
      <c r="BW174" s="1006"/>
      <c r="BX174" s="1006">
        <v>28.84</v>
      </c>
      <c r="BY174" s="1006">
        <v>26.52</v>
      </c>
      <c r="BZ174" s="1006">
        <v>27.93</v>
      </c>
      <c r="CA174" s="1006">
        <v>26.94</v>
      </c>
      <c r="CB174" s="1367">
        <v>26.91</v>
      </c>
      <c r="CC174" s="40"/>
      <c r="CD174" s="40"/>
      <c r="CE174" s="40"/>
      <c r="CG174" s="40"/>
      <c r="CH174" s="40"/>
      <c r="CI174" s="40"/>
      <c r="CJ174" s="40"/>
      <c r="CK174" s="40"/>
      <c r="CL174" s="40"/>
      <c r="CM174" s="40"/>
      <c r="CN174" s="40"/>
      <c r="CO174" s="40"/>
      <c r="CP174" s="40"/>
      <c r="CQ174" s="40"/>
      <c r="CR174" s="823"/>
      <c r="CS174" s="232"/>
      <c r="CT174" s="232"/>
      <c r="CU174" s="232"/>
      <c r="CV174" s="232"/>
      <c r="CW174" s="232"/>
      <c r="CX174" s="40"/>
      <c r="CY174" s="40"/>
      <c r="CZ174" s="40"/>
      <c r="DA174" s="40"/>
      <c r="DB174" s="40"/>
      <c r="DC174" s="40"/>
      <c r="DD174" s="232"/>
      <c r="DE174" s="232"/>
      <c r="DF174" s="232"/>
      <c r="DG174" s="232"/>
      <c r="DH174" s="232"/>
      <c r="DI174" s="232"/>
      <c r="DJ174" s="232"/>
      <c r="DK174" s="232"/>
      <c r="DL174" s="232"/>
    </row>
    <row r="175" spans="1:116">
      <c r="A175" s="40"/>
      <c r="B175" s="1"/>
      <c r="C175" s="446" t="s">
        <v>399</v>
      </c>
      <c r="D175" s="1"/>
      <c r="E175" s="273"/>
      <c r="F175" s="3"/>
      <c r="G175" s="3"/>
      <c r="H175" s="274"/>
      <c r="I175" s="28"/>
      <c r="J175" s="273"/>
      <c r="K175" s="3"/>
      <c r="L175" s="3"/>
      <c r="M175" s="274"/>
      <c r="N175" s="227"/>
      <c r="O175" s="288"/>
      <c r="P175" s="259"/>
      <c r="Q175" s="259"/>
      <c r="R175" s="289"/>
      <c r="S175" s="227"/>
      <c r="T175" s="288"/>
      <c r="U175" s="259"/>
      <c r="V175" s="259"/>
      <c r="W175" s="289"/>
      <c r="X175" s="228"/>
      <c r="Y175" s="288"/>
      <c r="Z175" s="259"/>
      <c r="AA175" s="259"/>
      <c r="AB175" s="289"/>
      <c r="AC175" s="228"/>
      <c r="AD175" s="288"/>
      <c r="AE175" s="259"/>
      <c r="AF175" s="259"/>
      <c r="AG175" s="289"/>
      <c r="AH175" s="228">
        <f>SUM(AH167:AH174)</f>
        <v>6647.1531409400568</v>
      </c>
      <c r="AI175" s="288"/>
      <c r="AJ175" s="259"/>
      <c r="AK175" s="259"/>
      <c r="AL175" s="289"/>
      <c r="AM175" s="228">
        <f>SUM(AM167:AM174)</f>
        <v>7392.4120636138468</v>
      </c>
      <c r="AN175" s="288"/>
      <c r="AO175" s="259"/>
      <c r="AP175" s="259"/>
      <c r="AQ175" s="289"/>
      <c r="AR175" s="228">
        <f>SUM(AR167:AR174)</f>
        <v>7868.834194915441</v>
      </c>
      <c r="AS175" s="288"/>
      <c r="AT175" s="259"/>
      <c r="AU175" s="259"/>
      <c r="AV175" s="289"/>
      <c r="AW175" s="228">
        <f>SUM(AW167:AW174)</f>
        <v>7793.0173654186328</v>
      </c>
      <c r="AX175" s="288"/>
      <c r="AY175" s="259"/>
      <c r="AZ175" s="259"/>
      <c r="BA175" s="289"/>
      <c r="BB175" s="228">
        <f>SUM(BB167:BB174)</f>
        <v>8000.0213047061561</v>
      </c>
      <c r="BC175" s="288"/>
      <c r="BD175" s="259"/>
      <c r="BE175" s="259"/>
      <c r="BF175" s="289"/>
      <c r="BG175" s="228">
        <f>SUM(BG167:BG174)</f>
        <v>7523.058581336637</v>
      </c>
      <c r="BH175" s="288"/>
      <c r="BI175" s="259"/>
      <c r="BJ175" s="259"/>
      <c r="BK175" s="289"/>
      <c r="BL175" s="228">
        <f>SUM(BL167:BL174)</f>
        <v>7195.9732025976236</v>
      </c>
      <c r="BM175" s="288"/>
      <c r="BN175" s="259"/>
      <c r="BO175" s="259"/>
      <c r="BP175" s="289"/>
      <c r="BQ175" s="228">
        <f>SUM(BQ167:BQ174)</f>
        <v>7274.2526406465067</v>
      </c>
      <c r="BR175" s="40"/>
      <c r="BS175" s="40"/>
      <c r="BT175" s="40"/>
      <c r="BU175" s="232"/>
      <c r="BV175" s="564"/>
      <c r="BW175" s="28"/>
      <c r="BX175" s="28"/>
      <c r="BY175" s="28"/>
      <c r="BZ175" s="28"/>
      <c r="CA175" s="28"/>
      <c r="CB175" s="1364"/>
      <c r="CC175" s="40"/>
      <c r="CD175" s="40"/>
      <c r="CE175" s="40"/>
      <c r="CG175" s="40"/>
      <c r="CH175" s="40"/>
      <c r="CI175" s="40"/>
      <c r="CJ175" s="40"/>
      <c r="CK175" s="40"/>
      <c r="CL175" s="40"/>
      <c r="CM175" s="40"/>
      <c r="CN175" s="40"/>
      <c r="CO175" s="40"/>
      <c r="CP175" s="40"/>
      <c r="CQ175" s="40"/>
      <c r="CR175" s="823"/>
      <c r="CS175" s="232"/>
      <c r="CT175" s="232"/>
      <c r="CU175" s="232"/>
      <c r="CV175" s="232"/>
      <c r="CW175" s="232"/>
      <c r="CX175" s="40"/>
      <c r="CY175" s="40"/>
      <c r="CZ175" s="40"/>
      <c r="DA175" s="40"/>
      <c r="DB175" s="40"/>
      <c r="DC175" s="40"/>
      <c r="DD175" s="232"/>
      <c r="DE175" s="232"/>
      <c r="DF175" s="232"/>
      <c r="DG175" s="232"/>
      <c r="DH175" s="232"/>
      <c r="DI175" s="232"/>
      <c r="DJ175" s="232"/>
      <c r="DK175" s="232"/>
      <c r="DL175" s="232"/>
    </row>
    <row r="176" spans="1:116">
      <c r="A176" s="40"/>
      <c r="B176" s="1"/>
      <c r="C176" s="446"/>
      <c r="D176" s="1"/>
      <c r="E176" s="273"/>
      <c r="F176" s="3"/>
      <c r="G176" s="3"/>
      <c r="H176" s="274"/>
      <c r="I176" s="28"/>
      <c r="J176" s="273"/>
      <c r="K176" s="3"/>
      <c r="L176" s="3"/>
      <c r="M176" s="274"/>
      <c r="N176" s="227"/>
      <c r="O176" s="288"/>
      <c r="P176" s="259"/>
      <c r="Q176" s="259"/>
      <c r="R176" s="289"/>
      <c r="S176" s="227"/>
      <c r="T176" s="288"/>
      <c r="U176" s="259"/>
      <c r="V176" s="259"/>
      <c r="W176" s="289"/>
      <c r="X176" s="228"/>
      <c r="Y176" s="288"/>
      <c r="Z176" s="259"/>
      <c r="AA176" s="259"/>
      <c r="AB176" s="289"/>
      <c r="AC176" s="228"/>
      <c r="AD176" s="288"/>
      <c r="AE176" s="259"/>
      <c r="AF176" s="259"/>
      <c r="AG176" s="289"/>
      <c r="AH176" s="228"/>
      <c r="AI176" s="288"/>
      <c r="AJ176" s="259"/>
      <c r="AK176" s="259"/>
      <c r="AL176" s="289"/>
      <c r="AM176" s="228"/>
      <c r="AN176" s="288"/>
      <c r="AO176" s="259"/>
      <c r="AP176" s="259"/>
      <c r="AQ176" s="289"/>
      <c r="AR176" s="228"/>
      <c r="AS176" s="288"/>
      <c r="AT176" s="259"/>
      <c r="AU176" s="259"/>
      <c r="AV176" s="289"/>
      <c r="AW176" s="228"/>
      <c r="AX176" s="288"/>
      <c r="AY176" s="259"/>
      <c r="AZ176" s="259"/>
      <c r="BA176" s="289"/>
      <c r="BB176" s="228"/>
      <c r="BC176" s="288"/>
      <c r="BD176" s="259"/>
      <c r="BE176" s="259"/>
      <c r="BF176" s="289"/>
      <c r="BG176" s="228"/>
      <c r="BH176" s="288"/>
      <c r="BI176" s="259"/>
      <c r="BJ176" s="259"/>
      <c r="BK176" s="289"/>
      <c r="BL176" s="228"/>
      <c r="BM176" s="288"/>
      <c r="BN176" s="259"/>
      <c r="BO176" s="259"/>
      <c r="BP176" s="289"/>
      <c r="BQ176" s="228"/>
      <c r="BR176" s="40"/>
      <c r="BS176" s="40"/>
      <c r="BT176" s="40"/>
      <c r="BU176" s="232"/>
      <c r="BV176" s="943" t="s">
        <v>1116</v>
      </c>
      <c r="BW176" s="28"/>
      <c r="BX176" s="28"/>
      <c r="BY176" s="28"/>
      <c r="BZ176" s="28"/>
      <c r="CA176" s="28"/>
      <c r="CB176" s="1364"/>
      <c r="CC176" s="40"/>
      <c r="CD176" s="40"/>
      <c r="CE176" s="40"/>
      <c r="CG176" s="40"/>
      <c r="CH176" s="40"/>
      <c r="CI176" s="40"/>
      <c r="CJ176" s="40"/>
      <c r="CK176" s="40"/>
      <c r="CL176" s="40"/>
      <c r="CM176" s="40"/>
      <c r="CN176" s="40"/>
      <c r="CO176" s="40"/>
      <c r="CP176" s="40"/>
      <c r="CQ176" s="40"/>
      <c r="CR176" s="823"/>
      <c r="CS176" s="232"/>
      <c r="CT176" s="232"/>
      <c r="CU176" s="232"/>
      <c r="CV176" s="232"/>
      <c r="CW176" s="232"/>
      <c r="CX176" s="40"/>
      <c r="CY176" s="40"/>
      <c r="CZ176" s="40"/>
      <c r="DA176" s="40"/>
      <c r="DB176" s="40"/>
      <c r="DC176" s="40"/>
      <c r="DD176" s="232"/>
      <c r="DE176" s="232"/>
      <c r="DF176" s="232"/>
      <c r="DG176" s="232"/>
      <c r="DH176" s="232"/>
      <c r="DI176" s="232"/>
      <c r="DJ176" s="232"/>
      <c r="DK176" s="232"/>
      <c r="DL176" s="232"/>
    </row>
    <row r="177" spans="1:118">
      <c r="A177" s="40"/>
      <c r="B177" s="1"/>
      <c r="C177" s="1"/>
      <c r="D177" s="1"/>
      <c r="E177" s="273"/>
      <c r="F177" s="3"/>
      <c r="G177" s="3"/>
      <c r="H177" s="274"/>
      <c r="I177" s="28"/>
      <c r="J177" s="273"/>
      <c r="K177" s="3"/>
      <c r="L177" s="3"/>
      <c r="M177" s="274"/>
      <c r="N177" s="1"/>
      <c r="O177" s="273"/>
      <c r="P177" s="3"/>
      <c r="Q177" s="3"/>
      <c r="R177" s="274"/>
      <c r="S177" s="1"/>
      <c r="T177" s="273"/>
      <c r="U177" s="3"/>
      <c r="V177" s="3"/>
      <c r="W177" s="274"/>
      <c r="X177" s="1"/>
      <c r="Y177" s="273"/>
      <c r="Z177" s="3"/>
      <c r="AA177" s="3"/>
      <c r="AB177" s="274"/>
      <c r="AC177" s="1"/>
      <c r="AD177" s="273"/>
      <c r="AE177" s="3"/>
      <c r="AF177" s="3"/>
      <c r="AG177" s="274"/>
      <c r="AH177" s="1"/>
      <c r="AI177" s="273"/>
      <c r="AJ177" s="3"/>
      <c r="AK177" s="3"/>
      <c r="AL177" s="274"/>
      <c r="AM177" s="1"/>
      <c r="AN177" s="273"/>
      <c r="AO177" s="3"/>
      <c r="AP177" s="3"/>
      <c r="AQ177" s="274"/>
      <c r="AR177" s="1"/>
      <c r="AS177" s="273"/>
      <c r="AT177" s="3"/>
      <c r="AU177" s="3"/>
      <c r="AV177" s="274"/>
      <c r="AW177" s="1"/>
      <c r="AX177" s="273"/>
      <c r="AY177" s="3"/>
      <c r="AZ177" s="3"/>
      <c r="BA177" s="274"/>
      <c r="BB177" s="1"/>
      <c r="BC177" s="273"/>
      <c r="BD177" s="3"/>
      <c r="BE177" s="3"/>
      <c r="BF177" s="274"/>
      <c r="BG177" s="1"/>
      <c r="BH177" s="273"/>
      <c r="BI177" s="3"/>
      <c r="BJ177" s="3"/>
      <c r="BK177" s="274"/>
      <c r="BL177" s="1"/>
      <c r="BM177" s="273"/>
      <c r="BN177" s="3"/>
      <c r="BO177" s="3"/>
      <c r="BP177" s="274"/>
      <c r="BQ177" s="1"/>
      <c r="BR177" s="40"/>
      <c r="BS177" s="40"/>
      <c r="BT177" s="40"/>
      <c r="BU177" s="232"/>
      <c r="BV177" s="564" t="s">
        <v>1114</v>
      </c>
      <c r="BW177" s="202"/>
      <c r="BX177" s="202">
        <f>+AR83</f>
        <v>28.294703116173622</v>
      </c>
      <c r="BY177" s="202">
        <f>+AW83</f>
        <v>32.731948786396934</v>
      </c>
      <c r="BZ177" s="202">
        <f>+BB83</f>
        <v>33.962832982892479</v>
      </c>
      <c r="CA177" s="202">
        <f>+BG83</f>
        <v>30.664691458282505</v>
      </c>
      <c r="CB177" s="1368">
        <f>+BL83</f>
        <v>30.467459374982504</v>
      </c>
      <c r="CC177" s="40"/>
      <c r="CD177" s="40"/>
      <c r="CE177" s="40"/>
      <c r="CF177" s="40"/>
      <c r="CG177" s="40"/>
      <c r="CH177" s="40"/>
      <c r="CI177" s="40"/>
      <c r="CJ177" s="40"/>
      <c r="CK177" s="40"/>
      <c r="CL177" s="40"/>
      <c r="CM177" s="40"/>
      <c r="CN177" s="40"/>
      <c r="CO177" s="40"/>
      <c r="CP177" s="40"/>
      <c r="CQ177" s="40"/>
      <c r="CR177" s="823"/>
      <c r="CS177" s="232"/>
      <c r="CT177" s="232"/>
      <c r="CU177" s="232"/>
      <c r="CV177" s="232"/>
      <c r="CW177" s="232"/>
      <c r="CX177" s="40"/>
      <c r="CY177" s="40"/>
      <c r="CZ177" s="40"/>
      <c r="DA177" s="40"/>
      <c r="DB177" s="40"/>
      <c r="DC177" s="40"/>
      <c r="DD177" s="232"/>
      <c r="DE177" s="232"/>
      <c r="DF177" s="232"/>
      <c r="DG177" s="232"/>
      <c r="DH177" s="232"/>
      <c r="DI177" s="232"/>
      <c r="DJ177" s="232"/>
      <c r="DK177" s="232"/>
      <c r="DL177" s="232"/>
    </row>
    <row r="178" spans="1:118">
      <c r="A178" s="40"/>
      <c r="B178" s="73" t="s">
        <v>174</v>
      </c>
      <c r="C178" s="15"/>
      <c r="D178" s="211"/>
      <c r="E178" s="273"/>
      <c r="F178" s="3"/>
      <c r="G178" s="3"/>
      <c r="H178" s="274"/>
      <c r="I178" s="28"/>
      <c r="J178" s="273"/>
      <c r="K178" s="3"/>
      <c r="L178" s="3"/>
      <c r="M178" s="274"/>
      <c r="N178" s="1"/>
      <c r="O178" s="273"/>
      <c r="P178" s="3"/>
      <c r="Q178" s="3"/>
      <c r="R178" s="274"/>
      <c r="S178" s="1"/>
      <c r="T178" s="273"/>
      <c r="U178" s="3"/>
      <c r="V178" s="3"/>
      <c r="W178" s="274"/>
      <c r="X178" s="1"/>
      <c r="Y178" s="273"/>
      <c r="Z178" s="3"/>
      <c r="AA178" s="3"/>
      <c r="AB178" s="274"/>
      <c r="AC178" s="1"/>
      <c r="AD178" s="273"/>
      <c r="AE178" s="3"/>
      <c r="AF178" s="3"/>
      <c r="AG178" s="274"/>
      <c r="AH178" s="1"/>
      <c r="AI178" s="273"/>
      <c r="AJ178" s="3"/>
      <c r="AK178" s="3"/>
      <c r="AL178" s="274"/>
      <c r="AM178" s="1"/>
      <c r="AN178" s="273"/>
      <c r="AO178" s="3"/>
      <c r="AP178" s="3"/>
      <c r="AQ178" s="274"/>
      <c r="AR178" s="445"/>
      <c r="AS178" s="273"/>
      <c r="AT178" s="3"/>
      <c r="AU178" s="3"/>
      <c r="AV178" s="274"/>
      <c r="AW178" s="445"/>
      <c r="AX178" s="273"/>
      <c r="AY178" s="3"/>
      <c r="AZ178" s="3"/>
      <c r="BA178" s="274"/>
      <c r="BB178" s="445"/>
      <c r="BC178" s="273"/>
      <c r="BD178" s="3"/>
      <c r="BE178" s="3"/>
      <c r="BF178" s="274"/>
      <c r="BG178" s="445"/>
      <c r="BH178" s="273"/>
      <c r="BI178" s="3"/>
      <c r="BJ178" s="3"/>
      <c r="BK178" s="274"/>
      <c r="BL178" s="445"/>
      <c r="BM178" s="273"/>
      <c r="BN178" s="3"/>
      <c r="BO178" s="3"/>
      <c r="BP178" s="274"/>
      <c r="BQ178" s="445"/>
      <c r="BR178" s="40"/>
      <c r="BS178" s="40"/>
      <c r="BT178" s="40"/>
      <c r="BU178" s="232"/>
      <c r="BV178" s="564" t="s">
        <v>1079</v>
      </c>
      <c r="BW178" s="202"/>
      <c r="BX178" s="202">
        <f>+AR75</f>
        <v>26.018396146911861</v>
      </c>
      <c r="BY178" s="202">
        <f>+AW75</f>
        <v>26.794750716076699</v>
      </c>
      <c r="BZ178" s="202">
        <f>+BB75</f>
        <v>26.536937611011091</v>
      </c>
      <c r="CA178" s="202">
        <f>+BG75</f>
        <v>26.175728632557242</v>
      </c>
      <c r="CB178" s="1368">
        <f>+BL75</f>
        <v>26.351929589229222</v>
      </c>
      <c r="CC178" s="40"/>
      <c r="CD178" s="40"/>
      <c r="CE178" s="40"/>
      <c r="CF178" s="40"/>
      <c r="CG178" s="40"/>
      <c r="CH178" s="40"/>
      <c r="CI178" s="40"/>
      <c r="CJ178" s="40"/>
      <c r="CK178" s="40"/>
      <c r="CL178" s="40"/>
      <c r="CM178" s="40"/>
      <c r="CN178" s="40"/>
      <c r="CO178" s="40"/>
      <c r="CP178" s="40"/>
      <c r="CQ178" s="40"/>
      <c r="CR178" s="823"/>
      <c r="CS178" s="232"/>
      <c r="CT178" s="232"/>
      <c r="CU178" s="232"/>
      <c r="CV178" s="232"/>
      <c r="CW178" s="232"/>
      <c r="CX178" s="40"/>
      <c r="CY178" s="40"/>
      <c r="CZ178" s="40"/>
      <c r="DA178" s="40"/>
      <c r="DB178" s="40"/>
      <c r="DC178" s="40"/>
      <c r="DD178" s="232"/>
      <c r="DE178" s="232"/>
      <c r="DF178" s="232"/>
      <c r="DG178" s="232"/>
      <c r="DH178" s="232"/>
      <c r="DI178" s="232"/>
      <c r="DJ178" s="232"/>
      <c r="DK178" s="232"/>
      <c r="DL178" s="232"/>
    </row>
    <row r="179" spans="1:118">
      <c r="A179" s="40"/>
      <c r="B179" s="1"/>
      <c r="C179" s="226"/>
      <c r="D179" s="1"/>
      <c r="E179" s="273"/>
      <c r="F179" s="3"/>
      <c r="G179" s="3"/>
      <c r="H179" s="274"/>
      <c r="I179" s="28"/>
      <c r="J179" s="273"/>
      <c r="K179" s="3"/>
      <c r="L179" s="3"/>
      <c r="M179" s="274"/>
      <c r="N179" s="1"/>
      <c r="O179" s="273"/>
      <c r="P179" s="3"/>
      <c r="Q179" s="3"/>
      <c r="R179" s="274"/>
      <c r="S179" s="1"/>
      <c r="T179" s="273"/>
      <c r="U179" s="3"/>
      <c r="V179" s="3"/>
      <c r="W179" s="274"/>
      <c r="X179" s="1"/>
      <c r="Y179" s="273"/>
      <c r="Z179" s="3"/>
      <c r="AA179" s="3"/>
      <c r="AB179" s="274"/>
      <c r="AC179" s="1"/>
      <c r="AD179" s="273"/>
      <c r="AE179" s="3"/>
      <c r="AF179" s="3"/>
      <c r="AG179" s="274"/>
      <c r="AH179" s="1"/>
      <c r="AI179" s="273"/>
      <c r="AJ179" s="3"/>
      <c r="AK179" s="3"/>
      <c r="AL179" s="274"/>
      <c r="AM179" s="1"/>
      <c r="AN179" s="273"/>
      <c r="AO179" s="3"/>
      <c r="AP179" s="3"/>
      <c r="AQ179" s="274"/>
      <c r="AR179" s="45"/>
      <c r="AS179" s="273"/>
      <c r="AT179" s="3"/>
      <c r="AU179" s="3"/>
      <c r="AV179" s="274"/>
      <c r="AW179" s="45"/>
      <c r="AX179" s="273"/>
      <c r="AY179" s="3"/>
      <c r="AZ179" s="3"/>
      <c r="BA179" s="274"/>
      <c r="BB179" s="45"/>
      <c r="BC179" s="273"/>
      <c r="BD179" s="3"/>
      <c r="BE179" s="3"/>
      <c r="BF179" s="274"/>
      <c r="BG179" s="45"/>
      <c r="BH179" s="273"/>
      <c r="BI179" s="3"/>
      <c r="BJ179" s="3"/>
      <c r="BK179" s="274"/>
      <c r="BL179" s="45"/>
      <c r="BM179" s="273"/>
      <c r="BN179" s="3"/>
      <c r="BO179" s="3"/>
      <c r="BP179" s="274"/>
      <c r="BQ179" s="45"/>
      <c r="BR179" s="40"/>
      <c r="BS179" s="40"/>
      <c r="BT179" s="40"/>
      <c r="BU179" s="232"/>
      <c r="BV179" s="564"/>
      <c r="BW179" s="28"/>
      <c r="BX179" s="28"/>
      <c r="BY179" s="28"/>
      <c r="BZ179" s="28"/>
      <c r="CA179" s="28"/>
      <c r="CB179" s="1364"/>
      <c r="CC179" s="40"/>
      <c r="CD179" s="40"/>
      <c r="CE179" s="40"/>
      <c r="CF179" s="40"/>
      <c r="CG179" s="40"/>
      <c r="CH179" s="40"/>
      <c r="CI179" s="40"/>
      <c r="CJ179" s="40"/>
      <c r="CK179" s="40"/>
      <c r="CL179" s="40"/>
      <c r="CM179" s="40"/>
      <c r="CN179" s="40"/>
      <c r="CO179" s="40"/>
      <c r="CP179" s="40"/>
      <c r="CQ179" s="40"/>
      <c r="CR179" s="823"/>
      <c r="CS179" s="232"/>
      <c r="CT179" s="232"/>
      <c r="CU179" s="232"/>
      <c r="CV179" s="232"/>
      <c r="CW179" s="232"/>
      <c r="CX179" s="40"/>
      <c r="CY179" s="40"/>
      <c r="CZ179" s="40"/>
      <c r="DA179" s="40"/>
      <c r="DB179" s="40"/>
      <c r="DC179" s="40"/>
      <c r="DD179" s="232"/>
      <c r="DE179" s="232"/>
      <c r="DF179" s="232"/>
      <c r="DG179" s="232"/>
      <c r="DH179" s="232"/>
      <c r="DI179" s="232"/>
      <c r="DJ179" s="232"/>
      <c r="DK179" s="232"/>
      <c r="DL179" s="232"/>
    </row>
    <row r="180" spans="1:118">
      <c r="A180" s="40"/>
      <c r="B180" s="1"/>
      <c r="C180" s="542" t="s">
        <v>793</v>
      </c>
      <c r="D180" s="1"/>
      <c r="E180" s="273"/>
      <c r="F180" s="3"/>
      <c r="G180" s="3"/>
      <c r="H180" s="274"/>
      <c r="I180" s="28"/>
      <c r="J180" s="273"/>
      <c r="K180" s="3"/>
      <c r="L180" s="3"/>
      <c r="M180" s="274"/>
      <c r="N180" s="1"/>
      <c r="O180" s="273"/>
      <c r="P180" s="3"/>
      <c r="Q180" s="3"/>
      <c r="R180" s="274"/>
      <c r="S180" s="1"/>
      <c r="T180" s="273"/>
      <c r="U180" s="3"/>
      <c r="V180" s="3"/>
      <c r="W180" s="274"/>
      <c r="X180" s="1"/>
      <c r="Y180" s="273"/>
      <c r="Z180" s="3"/>
      <c r="AA180" s="3"/>
      <c r="AB180" s="274"/>
      <c r="AC180" s="1"/>
      <c r="AD180" s="273"/>
      <c r="AE180" s="3"/>
      <c r="AF180" s="3"/>
      <c r="AG180" s="274"/>
      <c r="AH180" s="1"/>
      <c r="AI180" s="273"/>
      <c r="AJ180" s="3"/>
      <c r="AK180" s="3"/>
      <c r="AL180" s="274"/>
      <c r="AM180" s="1"/>
      <c r="AN180" s="273"/>
      <c r="AO180" s="3"/>
      <c r="AP180" s="3"/>
      <c r="AQ180" s="274"/>
      <c r="AR180" s="45"/>
      <c r="AS180" s="273"/>
      <c r="AT180" s="3"/>
      <c r="AU180" s="3"/>
      <c r="AV180" s="274"/>
      <c r="AW180" s="45"/>
      <c r="AX180" s="273"/>
      <c r="AY180" s="3"/>
      <c r="AZ180" s="3"/>
      <c r="BA180" s="274"/>
      <c r="BB180" s="45"/>
      <c r="BC180" s="273"/>
      <c r="BD180" s="3"/>
      <c r="BE180" s="3"/>
      <c r="BF180" s="274"/>
      <c r="BG180" s="45"/>
      <c r="BH180" s="273"/>
      <c r="BI180" s="3"/>
      <c r="BJ180" s="3"/>
      <c r="BK180" s="274"/>
      <c r="BL180" s="45"/>
      <c r="BM180" s="273"/>
      <c r="BN180" s="3"/>
      <c r="BO180" s="3"/>
      <c r="BP180" s="274"/>
      <c r="BQ180" s="45"/>
      <c r="BR180" s="40"/>
      <c r="BS180" s="40"/>
      <c r="BT180" s="40"/>
      <c r="BU180" s="232"/>
      <c r="BV180" s="943" t="s">
        <v>1117</v>
      </c>
      <c r="BW180" s="28"/>
      <c r="BX180" s="28"/>
      <c r="BY180" s="28"/>
      <c r="BZ180" s="28"/>
      <c r="CA180" s="28"/>
      <c r="CB180" s="1364"/>
      <c r="CC180" s="40"/>
      <c r="CD180" s="40"/>
      <c r="CE180" s="40"/>
      <c r="CF180" s="40"/>
      <c r="CG180" s="40"/>
      <c r="CH180" s="40"/>
      <c r="CI180" s="40"/>
      <c r="CJ180" s="40"/>
      <c r="CK180" s="40"/>
      <c r="CL180" s="40"/>
      <c r="CM180" s="40"/>
      <c r="CN180" s="40"/>
      <c r="CO180" s="40"/>
      <c r="CP180" s="40"/>
      <c r="CQ180" s="40"/>
      <c r="CR180" s="823"/>
      <c r="CS180" s="232"/>
      <c r="CT180" s="232"/>
      <c r="CU180" s="232"/>
      <c r="CV180" s="232"/>
      <c r="CW180" s="232"/>
      <c r="CX180" s="40"/>
      <c r="CY180" s="40"/>
      <c r="CZ180" s="40"/>
      <c r="DA180" s="40"/>
      <c r="DB180" s="40"/>
      <c r="DC180" s="40"/>
      <c r="DD180" s="232"/>
      <c r="DE180" s="232"/>
      <c r="DF180" s="232"/>
      <c r="DG180" s="232"/>
      <c r="DH180" s="232"/>
      <c r="DI180" s="232"/>
      <c r="DJ180" s="232"/>
      <c r="DK180" s="232"/>
      <c r="DL180" s="232"/>
    </row>
    <row r="181" spans="1:118">
      <c r="A181" s="40"/>
      <c r="B181" s="1"/>
      <c r="C181" s="409" t="s">
        <v>1006</v>
      </c>
      <c r="D181" s="1"/>
      <c r="E181" s="273"/>
      <c r="F181" s="3"/>
      <c r="G181" s="3"/>
      <c r="H181" s="274"/>
      <c r="I181" s="28"/>
      <c r="J181" s="273"/>
      <c r="K181" s="3"/>
      <c r="L181" s="3"/>
      <c r="M181" s="274"/>
      <c r="N181" s="1"/>
      <c r="O181" s="273"/>
      <c r="P181" s="3"/>
      <c r="Q181" s="3"/>
      <c r="R181" s="274"/>
      <c r="S181" s="1"/>
      <c r="T181" s="332"/>
      <c r="U181" s="333"/>
      <c r="V181" s="333"/>
      <c r="W181" s="334"/>
      <c r="X181" s="331"/>
      <c r="Y181" s="332">
        <f>+Y291+Y406</f>
        <v>18031.200750000004</v>
      </c>
      <c r="Z181" s="333">
        <f>+Z291+Z406</f>
        <v>18031.200750000004</v>
      </c>
      <c r="AA181" s="333">
        <f>+AA291+AA406</f>
        <v>18193.260750000005</v>
      </c>
      <c r="AB181" s="334">
        <f>+AB291+AB406</f>
        <v>18031.200750000004</v>
      </c>
      <c r="AC181" s="331"/>
      <c r="AD181" s="332">
        <f t="shared" ref="AD181:BL181" si="237">+AD291+AD406+AD317+AD304</f>
        <v>23196.863250000006</v>
      </c>
      <c r="AE181" s="333">
        <f t="shared" si="237"/>
        <v>23034.803250000004</v>
      </c>
      <c r="AF181" s="333">
        <f t="shared" si="237"/>
        <v>23034.803250000004</v>
      </c>
      <c r="AG181" s="334">
        <f t="shared" si="237"/>
        <v>23034.803250000004</v>
      </c>
      <c r="AH181" s="331">
        <f t="shared" si="237"/>
        <v>92301.273000000016</v>
      </c>
      <c r="AI181" s="332">
        <f t="shared" si="237"/>
        <v>23196.863250000006</v>
      </c>
      <c r="AJ181" s="333">
        <f t="shared" si="237"/>
        <v>23034.803250000004</v>
      </c>
      <c r="AK181" s="333">
        <f t="shared" si="237"/>
        <v>23196.863250000006</v>
      </c>
      <c r="AL181" s="334">
        <f t="shared" si="237"/>
        <v>23196.863250000006</v>
      </c>
      <c r="AM181" s="331">
        <f t="shared" si="237"/>
        <v>92625.393000000011</v>
      </c>
      <c r="AN181" s="332">
        <f t="shared" si="237"/>
        <v>23321.375700000001</v>
      </c>
      <c r="AO181" s="333">
        <f t="shared" si="237"/>
        <v>23196.863250000006</v>
      </c>
      <c r="AP181" s="333">
        <f t="shared" si="237"/>
        <v>23196.863250000006</v>
      </c>
      <c r="AQ181" s="334">
        <f t="shared" si="237"/>
        <v>23034.803250000004</v>
      </c>
      <c r="AR181" s="331">
        <f t="shared" si="237"/>
        <v>92749.905450000006</v>
      </c>
      <c r="AS181" s="332">
        <f t="shared" si="237"/>
        <v>23906.390399999997</v>
      </c>
      <c r="AT181" s="333">
        <f t="shared" ref="AT181:AW181" si="238">+AT291+AT406+AT317+AT304</f>
        <v>23906.390399999997</v>
      </c>
      <c r="AU181" s="333">
        <f t="shared" si="238"/>
        <v>24068.450399999998</v>
      </c>
      <c r="AV181" s="334">
        <f t="shared" si="238"/>
        <v>23906.390399999997</v>
      </c>
      <c r="AW181" s="331">
        <f t="shared" si="238"/>
        <v>95787.621599999984</v>
      </c>
      <c r="AX181" s="332">
        <f t="shared" si="237"/>
        <v>23906.390399999997</v>
      </c>
      <c r="AY181" s="333">
        <f t="shared" si="237"/>
        <v>23906.390399999997</v>
      </c>
      <c r="AZ181" s="333">
        <f t="shared" si="237"/>
        <v>24068.450399999998</v>
      </c>
      <c r="BA181" s="334">
        <f t="shared" si="237"/>
        <v>23906.390399999997</v>
      </c>
      <c r="BB181" s="331">
        <f t="shared" si="237"/>
        <v>95787.621599999984</v>
      </c>
      <c r="BC181" s="332">
        <f t="shared" si="237"/>
        <v>24068.450399999998</v>
      </c>
      <c r="BD181" s="333">
        <f t="shared" si="237"/>
        <v>23906.390399999997</v>
      </c>
      <c r="BE181" s="333">
        <f t="shared" si="237"/>
        <v>24068.450399999998</v>
      </c>
      <c r="BF181" s="334">
        <f t="shared" si="237"/>
        <v>23906.390399999997</v>
      </c>
      <c r="BG181" s="331">
        <f t="shared" si="237"/>
        <v>95949.681599999982</v>
      </c>
      <c r="BH181" s="332">
        <f t="shared" si="237"/>
        <v>19974.880499999999</v>
      </c>
      <c r="BI181" s="333">
        <f t="shared" si="237"/>
        <v>23906.390399999997</v>
      </c>
      <c r="BJ181" s="333">
        <f t="shared" si="237"/>
        <v>24068.450399999998</v>
      </c>
      <c r="BK181" s="334">
        <f t="shared" si="237"/>
        <v>23906.390399999997</v>
      </c>
      <c r="BL181" s="331">
        <f t="shared" si="237"/>
        <v>91856.111699999979</v>
      </c>
      <c r="BM181" s="332">
        <f t="shared" ref="BM181:BQ181" si="239">+BM291+BM406+BM317+BM304</f>
        <v>24068.450399999998</v>
      </c>
      <c r="BN181" s="333">
        <f t="shared" si="239"/>
        <v>24068.450399999998</v>
      </c>
      <c r="BO181" s="333">
        <f t="shared" si="239"/>
        <v>24068.450399999998</v>
      </c>
      <c r="BP181" s="334">
        <f t="shared" si="239"/>
        <v>24068.450399999998</v>
      </c>
      <c r="BQ181" s="331">
        <f t="shared" si="239"/>
        <v>96273.801599999992</v>
      </c>
      <c r="BR181" s="40"/>
      <c r="BS181" s="40"/>
      <c r="BT181" s="40"/>
      <c r="BU181" s="232"/>
      <c r="BV181" s="564" t="s">
        <v>1114</v>
      </c>
      <c r="BW181" s="366"/>
      <c r="BX181" s="366">
        <f t="shared" ref="BX181:BX182" si="240">+BX173-BX177</f>
        <v>-2.424703116173621</v>
      </c>
      <c r="BY181" s="366">
        <f t="shared" ref="BY181:CA182" si="241">+BY173-BY177</f>
        <v>-3.9219487863969356</v>
      </c>
      <c r="BZ181" s="366">
        <f t="shared" si="241"/>
        <v>-0.45283298289248108</v>
      </c>
      <c r="CA181" s="366">
        <f t="shared" si="241"/>
        <v>5.5308541717494109E-2</v>
      </c>
      <c r="CB181" s="1369">
        <f>+CB173-CB177</f>
        <v>-0.34745937498250257</v>
      </c>
      <c r="CC181" s="40"/>
      <c r="CD181" s="40"/>
      <c r="CE181" s="40"/>
      <c r="CF181" s="40"/>
      <c r="CG181" s="40"/>
      <c r="CH181" s="40"/>
      <c r="CI181" s="40"/>
      <c r="CJ181" s="40"/>
      <c r="CK181" s="40"/>
      <c r="CL181" s="40"/>
      <c r="CM181" s="40"/>
      <c r="CN181" s="40"/>
      <c r="CO181" s="40"/>
      <c r="CP181" s="40"/>
      <c r="CQ181" s="40"/>
      <c r="CR181" s="823"/>
      <c r="CS181" s="232"/>
      <c r="CT181" s="232"/>
      <c r="CU181" s="232"/>
      <c r="CV181" s="232"/>
      <c r="CW181" s="232"/>
      <c r="CX181" s="40"/>
      <c r="CY181" s="40"/>
      <c r="CZ181" s="40"/>
      <c r="DA181" s="40"/>
      <c r="DB181" s="40"/>
      <c r="DC181" s="40"/>
      <c r="DD181" s="232"/>
      <c r="DE181" s="232"/>
      <c r="DF181" s="232"/>
      <c r="DG181" s="232"/>
      <c r="DH181" s="232"/>
      <c r="DI181" s="232"/>
      <c r="DJ181" s="232"/>
      <c r="DK181" s="232"/>
      <c r="DL181" s="232"/>
    </row>
    <row r="182" spans="1:118">
      <c r="A182" s="40"/>
      <c r="B182" s="1"/>
      <c r="C182" s="409" t="s">
        <v>1005</v>
      </c>
      <c r="D182" s="1"/>
      <c r="E182" s="273"/>
      <c r="F182" s="3"/>
      <c r="G182" s="3"/>
      <c r="H182" s="274"/>
      <c r="I182" s="28"/>
      <c r="J182" s="273"/>
      <c r="K182" s="3"/>
      <c r="L182" s="3"/>
      <c r="M182" s="274"/>
      <c r="N182" s="1"/>
      <c r="O182" s="273"/>
      <c r="P182" s="3"/>
      <c r="Q182" s="3"/>
      <c r="R182" s="274"/>
      <c r="S182" s="1"/>
      <c r="T182" s="332"/>
      <c r="U182" s="333"/>
      <c r="V182" s="333"/>
      <c r="W182" s="334"/>
      <c r="X182" s="331"/>
      <c r="Y182" s="332">
        <f>+Y278+Y393+Y611+Y624+Y649</f>
        <v>14795.7057</v>
      </c>
      <c r="Z182" s="333">
        <f>+Z278+Z393+Z611+Z624+Z649</f>
        <v>14795.7057</v>
      </c>
      <c r="AA182" s="333">
        <f>+AA278+AA393+AA611+AA624+AA649</f>
        <v>15445.4787</v>
      </c>
      <c r="AB182" s="334">
        <f>+AB278+AB393+AB611+AB624+AB649</f>
        <v>14795.7057</v>
      </c>
      <c r="AC182" s="331"/>
      <c r="AD182" s="332">
        <f t="shared" ref="AD182:BK182" si="242">+AD278+AD393+AD611+AD624+AD649</f>
        <v>14404.725</v>
      </c>
      <c r="AE182" s="333">
        <f t="shared" si="242"/>
        <v>15445.4787</v>
      </c>
      <c r="AF182" s="333">
        <f t="shared" si="242"/>
        <v>15445.4787</v>
      </c>
      <c r="AG182" s="334">
        <f t="shared" si="242"/>
        <v>15262.832699999999</v>
      </c>
      <c r="AH182" s="331">
        <f t="shared" si="242"/>
        <v>60558.515100000004</v>
      </c>
      <c r="AI182" s="332">
        <f t="shared" si="242"/>
        <v>13320.850200000001</v>
      </c>
      <c r="AJ182" s="333">
        <f t="shared" si="242"/>
        <v>13754.0322</v>
      </c>
      <c r="AK182" s="333">
        <f t="shared" si="242"/>
        <v>13754.0322</v>
      </c>
      <c r="AL182" s="334">
        <f t="shared" si="242"/>
        <v>13754.0322</v>
      </c>
      <c r="AM182" s="331">
        <f t="shared" si="242"/>
        <v>54582.946799999998</v>
      </c>
      <c r="AN182" s="332">
        <f t="shared" si="242"/>
        <v>13886.417699999998</v>
      </c>
      <c r="AO182" s="333">
        <f t="shared" si="242"/>
        <v>13886.417699999998</v>
      </c>
      <c r="AP182" s="333">
        <f t="shared" si="242"/>
        <v>13886.417699999998</v>
      </c>
      <c r="AQ182" s="334">
        <f t="shared" si="242"/>
        <v>13886.417699999998</v>
      </c>
      <c r="AR182" s="331">
        <f t="shared" si="242"/>
        <v>55545.670799999993</v>
      </c>
      <c r="AS182" s="332">
        <f t="shared" si="242"/>
        <v>13236.644699999999</v>
      </c>
      <c r="AT182" s="333">
        <f t="shared" ref="AT182:AW182" si="243">+AT278+AT393+AT611+AT624+AT649</f>
        <v>13886.417699999998</v>
      </c>
      <c r="AU182" s="333">
        <f t="shared" si="243"/>
        <v>13886.417699999998</v>
      </c>
      <c r="AV182" s="334">
        <f t="shared" si="243"/>
        <v>13236.644699999999</v>
      </c>
      <c r="AW182" s="331">
        <f t="shared" si="243"/>
        <v>54246.124799999998</v>
      </c>
      <c r="AX182" s="332">
        <f t="shared" si="242"/>
        <v>13236.644699999999</v>
      </c>
      <c r="AY182" s="333">
        <f t="shared" si="242"/>
        <v>13886.417699999998</v>
      </c>
      <c r="AZ182" s="333">
        <f t="shared" si="242"/>
        <v>13886.417699999998</v>
      </c>
      <c r="BA182" s="334">
        <f t="shared" si="242"/>
        <v>12613.480199999998</v>
      </c>
      <c r="BB182" s="331">
        <f t="shared" si="242"/>
        <v>53622.960299999999</v>
      </c>
      <c r="BC182" s="332">
        <f t="shared" si="242"/>
        <v>12613.480199999998</v>
      </c>
      <c r="BD182" s="333">
        <f t="shared" si="242"/>
        <v>12613.480199999998</v>
      </c>
      <c r="BE182" s="333">
        <f t="shared" si="242"/>
        <v>12613.480199999998</v>
      </c>
      <c r="BF182" s="334">
        <f t="shared" si="242"/>
        <v>10258.989299999999</v>
      </c>
      <c r="BG182" s="331">
        <f t="shared" si="242"/>
        <v>48099.429900000003</v>
      </c>
      <c r="BH182" s="332">
        <f>+BH278+BH393+BH611+BH624+BH649</f>
        <v>10908.762299999999</v>
      </c>
      <c r="BI182" s="333">
        <f>+BI278+BI393+BI611+BI624+BI649</f>
        <v>10908.762299999999</v>
      </c>
      <c r="BJ182" s="333">
        <f>+BJ278+BJ393+BJ611+BJ624+BJ649</f>
        <v>10908.762299999999</v>
      </c>
      <c r="BK182" s="334">
        <f t="shared" si="242"/>
        <v>10258.989299999999</v>
      </c>
      <c r="BL182" s="331">
        <f>+BL278+BL393+BL611+BL624+BL649</f>
        <v>42985.2762</v>
      </c>
      <c r="BM182" s="332">
        <f t="shared" ref="BM182:BQ182" si="244">+BM278+BM393+BM611+BM624+BM649</f>
        <v>10908.762299999999</v>
      </c>
      <c r="BN182" s="333">
        <f t="shared" si="244"/>
        <v>10908.762299999999</v>
      </c>
      <c r="BO182" s="333">
        <f t="shared" si="244"/>
        <v>10908.762299999999</v>
      </c>
      <c r="BP182" s="334">
        <f t="shared" si="244"/>
        <v>10908.762299999999</v>
      </c>
      <c r="BQ182" s="331">
        <f t="shared" si="244"/>
        <v>43635.049199999994</v>
      </c>
      <c r="BR182" s="40"/>
      <c r="BS182" s="40"/>
      <c r="BT182" s="40"/>
      <c r="BU182" s="232"/>
      <c r="BV182" s="564" t="s">
        <v>1079</v>
      </c>
      <c r="BW182" s="366"/>
      <c r="BX182" s="366">
        <f t="shared" si="240"/>
        <v>2.8216038530881384</v>
      </c>
      <c r="BY182" s="366">
        <f t="shared" si="241"/>
        <v>-0.27475071607669932</v>
      </c>
      <c r="BZ182" s="366">
        <f t="shared" si="241"/>
        <v>1.3930623889889091</v>
      </c>
      <c r="CA182" s="366">
        <f t="shared" si="241"/>
        <v>0.7642713674427597</v>
      </c>
      <c r="CB182" s="1369">
        <f>+CB174-CB178</f>
        <v>0.55807041077077812</v>
      </c>
      <c r="CC182" s="40"/>
      <c r="CD182" s="40"/>
      <c r="CE182" s="40"/>
      <c r="CF182" s="40"/>
      <c r="CG182" s="40"/>
      <c r="CH182" s="40"/>
      <c r="CI182" s="40"/>
      <c r="CJ182" s="40"/>
      <c r="CK182" s="40"/>
      <c r="CL182" s="40"/>
      <c r="CM182" s="40"/>
      <c r="CN182" s="40"/>
      <c r="CO182" s="40"/>
      <c r="CP182" s="40"/>
      <c r="CQ182" s="40"/>
      <c r="CR182" s="823"/>
      <c r="CS182" s="232"/>
      <c r="CT182" s="232"/>
      <c r="CU182" s="232"/>
      <c r="CV182" s="232"/>
      <c r="CW182" s="232"/>
      <c r="CX182" s="40"/>
      <c r="CY182" s="40"/>
      <c r="CZ182" s="40"/>
      <c r="DA182" s="40"/>
      <c r="DB182" s="40"/>
      <c r="DC182" s="40"/>
      <c r="DD182" s="232"/>
      <c r="DE182" s="232"/>
      <c r="DF182" s="232"/>
      <c r="DG182" s="232"/>
      <c r="DH182" s="232"/>
      <c r="DI182" s="232"/>
      <c r="DJ182" s="232"/>
      <c r="DK182" s="232"/>
      <c r="DL182" s="232"/>
    </row>
    <row r="183" spans="1:118">
      <c r="A183" s="40"/>
      <c r="C183" s="409" t="s">
        <v>1276</v>
      </c>
      <c r="E183" s="273"/>
      <c r="F183" s="3"/>
      <c r="G183" s="3"/>
      <c r="H183" s="274"/>
      <c r="I183" s="28"/>
      <c r="J183" s="273"/>
      <c r="K183" s="3"/>
      <c r="L183" s="3"/>
      <c r="M183" s="274"/>
      <c r="N183" s="1"/>
      <c r="O183" s="273"/>
      <c r="P183" s="3"/>
      <c r="Q183" s="3"/>
      <c r="R183" s="274"/>
      <c r="S183" s="1"/>
      <c r="T183" s="332"/>
      <c r="U183" s="333"/>
      <c r="V183" s="333"/>
      <c r="W183" s="334"/>
      <c r="X183" s="331"/>
      <c r="Y183" s="332"/>
      <c r="Z183" s="333"/>
      <c r="AA183" s="333"/>
      <c r="AB183" s="334"/>
      <c r="AC183" s="331"/>
      <c r="AD183" s="332">
        <f>AD330</f>
        <v>1788.2226000000001</v>
      </c>
      <c r="AE183" s="333">
        <f>AE330</f>
        <v>1788.2226000000001</v>
      </c>
      <c r="AF183" s="333">
        <f t="shared" ref="AF183:BL183" si="245">AF330</f>
        <v>1788.2226000000001</v>
      </c>
      <c r="AG183" s="334">
        <f t="shared" si="245"/>
        <v>1788.2226000000001</v>
      </c>
      <c r="AH183" s="331">
        <f t="shared" si="245"/>
        <v>7152.8904000000002</v>
      </c>
      <c r="AI183" s="332">
        <f t="shared" si="245"/>
        <v>1788.2226000000001</v>
      </c>
      <c r="AJ183" s="333">
        <f t="shared" si="245"/>
        <v>1788.2226000000001</v>
      </c>
      <c r="AK183" s="333">
        <f t="shared" si="245"/>
        <v>1788.2226000000001</v>
      </c>
      <c r="AL183" s="334">
        <f t="shared" si="245"/>
        <v>1788.2226000000001</v>
      </c>
      <c r="AM183" s="331">
        <f t="shared" si="245"/>
        <v>7152.8904000000002</v>
      </c>
      <c r="AN183" s="332">
        <f t="shared" si="245"/>
        <v>1788.2226000000001</v>
      </c>
      <c r="AO183" s="333">
        <f t="shared" si="245"/>
        <v>1788.2226000000001</v>
      </c>
      <c r="AP183" s="333">
        <f t="shared" si="245"/>
        <v>1788.2226000000001</v>
      </c>
      <c r="AQ183" s="334">
        <f t="shared" si="245"/>
        <v>1788.2226000000001</v>
      </c>
      <c r="AR183" s="331">
        <f t="shared" si="245"/>
        <v>7152.8904000000002</v>
      </c>
      <c r="AS183" s="332">
        <f t="shared" si="245"/>
        <v>1788.2226000000001</v>
      </c>
      <c r="AT183" s="333">
        <f t="shared" ref="AT183:AW183" si="246">AT330</f>
        <v>1788.2226000000001</v>
      </c>
      <c r="AU183" s="333">
        <f t="shared" si="246"/>
        <v>1788.2226000000001</v>
      </c>
      <c r="AV183" s="334">
        <f t="shared" si="246"/>
        <v>1788.2226000000001</v>
      </c>
      <c r="AW183" s="331">
        <f t="shared" si="246"/>
        <v>7152.8904000000002</v>
      </c>
      <c r="AX183" s="332">
        <f t="shared" si="245"/>
        <v>1788.2226000000001</v>
      </c>
      <c r="AY183" s="333">
        <f t="shared" si="245"/>
        <v>1788.2226000000001</v>
      </c>
      <c r="AZ183" s="333">
        <f t="shared" si="245"/>
        <v>1788.2226000000001</v>
      </c>
      <c r="BA183" s="334">
        <f t="shared" si="245"/>
        <v>1788.2226000000001</v>
      </c>
      <c r="BB183" s="331">
        <f t="shared" si="245"/>
        <v>7152.8904000000002</v>
      </c>
      <c r="BC183" s="332">
        <f t="shared" si="245"/>
        <v>1788.2226000000001</v>
      </c>
      <c r="BD183" s="333">
        <f t="shared" si="245"/>
        <v>1788.2226000000001</v>
      </c>
      <c r="BE183" s="333">
        <f t="shared" si="245"/>
        <v>1788.2226000000001</v>
      </c>
      <c r="BF183" s="334">
        <f t="shared" si="245"/>
        <v>1788.2226000000001</v>
      </c>
      <c r="BG183" s="331">
        <f t="shared" si="245"/>
        <v>7152.8904000000002</v>
      </c>
      <c r="BH183" s="332">
        <f t="shared" si="245"/>
        <v>1788.2226000000001</v>
      </c>
      <c r="BI183" s="333">
        <f t="shared" si="245"/>
        <v>1788.2226000000001</v>
      </c>
      <c r="BJ183" s="333">
        <f t="shared" si="245"/>
        <v>1788.2226000000001</v>
      </c>
      <c r="BK183" s="334">
        <f t="shared" si="245"/>
        <v>1788.2226000000001</v>
      </c>
      <c r="BL183" s="331">
        <f t="shared" si="245"/>
        <v>7152.8904000000002</v>
      </c>
      <c r="BM183" s="332">
        <f t="shared" ref="BM183:BQ183" si="247">BM330</f>
        <v>1788.2226000000001</v>
      </c>
      <c r="BN183" s="333">
        <f t="shared" si="247"/>
        <v>1788.2226000000001</v>
      </c>
      <c r="BO183" s="333">
        <f t="shared" si="247"/>
        <v>1788.2226000000001</v>
      </c>
      <c r="BP183" s="334">
        <f t="shared" si="247"/>
        <v>1788.2226000000001</v>
      </c>
      <c r="BQ183" s="331">
        <f t="shared" si="247"/>
        <v>7152.8904000000002</v>
      </c>
      <c r="BR183" s="40"/>
      <c r="BS183" s="40"/>
      <c r="BT183" s="40"/>
      <c r="BU183" s="232"/>
      <c r="BV183" s="565"/>
      <c r="BW183" s="28"/>
      <c r="BX183" s="28"/>
      <c r="BY183" s="28"/>
      <c r="BZ183" s="28"/>
      <c r="CA183" s="28"/>
      <c r="CB183" s="1364"/>
      <c r="CC183" s="40"/>
      <c r="CD183" s="40"/>
      <c r="CE183" s="40"/>
      <c r="CF183" s="40"/>
      <c r="CG183" s="40"/>
      <c r="CH183" s="40"/>
      <c r="CI183" s="40"/>
      <c r="CJ183" s="40"/>
      <c r="CK183" s="40"/>
      <c r="CL183" s="40"/>
      <c r="CM183" s="40"/>
      <c r="CN183" s="40"/>
      <c r="CO183" s="40"/>
      <c r="CP183" s="40"/>
      <c r="CQ183" s="40"/>
      <c r="CR183" s="823"/>
      <c r="CS183" s="232"/>
      <c r="CT183" s="232"/>
      <c r="CU183" s="232"/>
      <c r="CV183" s="232"/>
      <c r="CW183" s="232"/>
      <c r="CX183" s="40"/>
      <c r="CY183" s="40"/>
      <c r="CZ183" s="40"/>
      <c r="DA183" s="40"/>
      <c r="DB183" s="40"/>
      <c r="DC183" s="40"/>
      <c r="DD183" s="232"/>
      <c r="DE183" s="232"/>
      <c r="DF183" s="232"/>
      <c r="DG183" s="232"/>
      <c r="DH183" s="232"/>
      <c r="DI183" s="232"/>
      <c r="DJ183" s="232"/>
      <c r="DK183" s="232"/>
      <c r="DL183" s="232"/>
    </row>
    <row r="184" spans="1:118">
      <c r="A184" s="40"/>
      <c r="B184" s="1"/>
      <c r="C184" s="409" t="s">
        <v>641</v>
      </c>
      <c r="D184" s="1"/>
      <c r="E184" s="273"/>
      <c r="F184" s="3"/>
      <c r="G184" s="3"/>
      <c r="H184" s="274"/>
      <c r="I184" s="28"/>
      <c r="J184" s="273"/>
      <c r="K184" s="3"/>
      <c r="L184" s="3"/>
      <c r="M184" s="274"/>
      <c r="N184" s="1"/>
      <c r="O184" s="273"/>
      <c r="P184" s="3"/>
      <c r="Q184" s="3"/>
      <c r="R184" s="274"/>
      <c r="S184" s="1"/>
      <c r="T184" s="332"/>
      <c r="U184" s="333"/>
      <c r="V184" s="333"/>
      <c r="W184" s="334"/>
      <c r="X184" s="331"/>
      <c r="Y184" s="332">
        <f>+Y432+Y452</f>
        <v>1332.396</v>
      </c>
      <c r="Z184" s="333">
        <f>+Z432+Z452</f>
        <v>1332.396</v>
      </c>
      <c r="AA184" s="333">
        <f>+AA432+AA452</f>
        <v>1332.396</v>
      </c>
      <c r="AB184" s="334">
        <f>+AB432+AB452</f>
        <v>1332.396</v>
      </c>
      <c r="AC184" s="331"/>
      <c r="AD184" s="332">
        <f>+AD432+AD452+AD472</f>
        <v>2519.3760000000002</v>
      </c>
      <c r="AE184" s="333">
        <f>+AE432+AE452+AE472</f>
        <v>1332.396</v>
      </c>
      <c r="AF184" s="333">
        <f>+AF432+AF452+AF472</f>
        <v>1332.396</v>
      </c>
      <c r="AG184" s="334">
        <f>+AG432+AG452+AG472</f>
        <v>1332.396</v>
      </c>
      <c r="AH184" s="331">
        <f>+AH432+AH452+AH472</f>
        <v>6516.5640000000003</v>
      </c>
      <c r="AI184" s="332">
        <f t="shared" ref="AI184:BB184" si="248">+AI432+AI452+AI472</f>
        <v>1332.396</v>
      </c>
      <c r="AJ184" s="333">
        <f t="shared" si="248"/>
        <v>1332.396</v>
      </c>
      <c r="AK184" s="333">
        <f t="shared" si="248"/>
        <v>2305.6320000000001</v>
      </c>
      <c r="AL184" s="334">
        <f t="shared" si="248"/>
        <v>1332.396</v>
      </c>
      <c r="AM184" s="331">
        <f t="shared" si="248"/>
        <v>6302.82</v>
      </c>
      <c r="AN184" s="332">
        <f t="shared" si="248"/>
        <v>1332.396</v>
      </c>
      <c r="AO184" s="333">
        <f t="shared" si="248"/>
        <v>1332.396</v>
      </c>
      <c r="AP184" s="333">
        <f t="shared" si="248"/>
        <v>1332.396</v>
      </c>
      <c r="AQ184" s="334">
        <f t="shared" si="248"/>
        <v>1332.396</v>
      </c>
      <c r="AR184" s="331">
        <f t="shared" si="248"/>
        <v>5329.5839999999998</v>
      </c>
      <c r="AS184" s="332">
        <f t="shared" si="248"/>
        <v>1332.396</v>
      </c>
      <c r="AT184" s="333">
        <f t="shared" ref="AT184:AW184" si="249">+AT432+AT452+AT472</f>
        <v>1332.396</v>
      </c>
      <c r="AU184" s="333">
        <f t="shared" si="249"/>
        <v>1332.396</v>
      </c>
      <c r="AV184" s="334">
        <f t="shared" si="249"/>
        <v>3434.7960000000003</v>
      </c>
      <c r="AW184" s="331">
        <f t="shared" si="249"/>
        <v>7431.9840000000004</v>
      </c>
      <c r="AX184" s="332">
        <f t="shared" si="248"/>
        <v>2102.4</v>
      </c>
      <c r="AY184" s="333">
        <f t="shared" si="248"/>
        <v>3416.4</v>
      </c>
      <c r="AZ184" s="333">
        <f t="shared" si="248"/>
        <v>3416.4</v>
      </c>
      <c r="BA184" s="334">
        <f t="shared" si="248"/>
        <v>3416.4</v>
      </c>
      <c r="BB184" s="331">
        <f t="shared" si="248"/>
        <v>12351.6</v>
      </c>
      <c r="BC184" s="332">
        <f t="shared" ref="BC184:BL184" si="250">+BC432+BC452+BC472</f>
        <v>3416.4</v>
      </c>
      <c r="BD184" s="333">
        <f t="shared" si="250"/>
        <v>3416.4</v>
      </c>
      <c r="BE184" s="333">
        <f t="shared" si="250"/>
        <v>3416.4</v>
      </c>
      <c r="BF184" s="334">
        <f t="shared" si="250"/>
        <v>2102.4</v>
      </c>
      <c r="BG184" s="331">
        <f t="shared" si="250"/>
        <v>12351.6</v>
      </c>
      <c r="BH184" s="332">
        <f t="shared" si="250"/>
        <v>3416.4</v>
      </c>
      <c r="BI184" s="333">
        <f t="shared" si="250"/>
        <v>3416.4</v>
      </c>
      <c r="BJ184" s="333">
        <f>+BJ432+BJ452+BJ472</f>
        <v>3416.4</v>
      </c>
      <c r="BK184" s="334">
        <f t="shared" si="250"/>
        <v>2102.4</v>
      </c>
      <c r="BL184" s="331">
        <f t="shared" si="250"/>
        <v>12351.6</v>
      </c>
      <c r="BM184" s="332">
        <f t="shared" ref="BM184:BN184" si="251">+BM432+BM452+BM472</f>
        <v>3416.4</v>
      </c>
      <c r="BN184" s="333">
        <f t="shared" si="251"/>
        <v>3416.4</v>
      </c>
      <c r="BO184" s="333">
        <f>+BO432+BO452+BO472</f>
        <v>3416.4</v>
      </c>
      <c r="BP184" s="334">
        <f t="shared" ref="BP184:BQ184" si="252">+BP432+BP452+BP472</f>
        <v>2102.4</v>
      </c>
      <c r="BQ184" s="331">
        <f t="shared" si="252"/>
        <v>12351.6</v>
      </c>
      <c r="BR184" s="40"/>
      <c r="BS184" s="40"/>
      <c r="BT184" s="40"/>
      <c r="BU184" s="232"/>
      <c r="BV184" s="943" t="s">
        <v>1119</v>
      </c>
      <c r="BW184" s="28"/>
      <c r="BX184" s="28"/>
      <c r="BY184" s="28"/>
      <c r="BZ184" s="28"/>
      <c r="CA184" s="28"/>
      <c r="CB184" s="1364"/>
      <c r="CC184" s="40"/>
      <c r="CD184" s="40"/>
      <c r="CE184" s="40"/>
      <c r="CF184" s="40"/>
      <c r="CG184" s="40"/>
      <c r="CH184" s="40"/>
      <c r="CI184" s="40"/>
      <c r="CJ184" s="40"/>
      <c r="CK184" s="40"/>
      <c r="CL184" s="40"/>
      <c r="CM184" s="40"/>
      <c r="CN184" s="40"/>
      <c r="CO184" s="40"/>
      <c r="CP184" s="40"/>
      <c r="CQ184" s="40"/>
      <c r="CR184" s="823"/>
      <c r="CS184" s="232"/>
      <c r="CT184" s="232"/>
      <c r="CU184" s="232"/>
      <c r="CV184" s="232"/>
      <c r="CW184" s="232"/>
      <c r="CX184" s="40"/>
      <c r="CY184" s="40"/>
      <c r="CZ184" s="40"/>
      <c r="DA184" s="40"/>
      <c r="DB184" s="40"/>
      <c r="DC184" s="40"/>
      <c r="DD184" s="232"/>
      <c r="DE184" s="232"/>
      <c r="DF184" s="232"/>
      <c r="DG184" s="232"/>
      <c r="DH184" s="232"/>
      <c r="DI184" s="232"/>
      <c r="DJ184" s="232"/>
      <c r="DK184" s="232"/>
      <c r="DL184" s="232"/>
    </row>
    <row r="185" spans="1:118">
      <c r="A185" s="40"/>
      <c r="B185" s="1"/>
      <c r="C185" s="409" t="s">
        <v>432</v>
      </c>
      <c r="D185" s="1"/>
      <c r="E185" s="273"/>
      <c r="F185" s="3"/>
      <c r="G185" s="3"/>
      <c r="H185" s="274"/>
      <c r="I185" s="28"/>
      <c r="J185" s="273"/>
      <c r="K185" s="3"/>
      <c r="L185" s="3"/>
      <c r="M185" s="274"/>
      <c r="N185" s="1"/>
      <c r="O185" s="273"/>
      <c r="P185" s="3"/>
      <c r="Q185" s="3"/>
      <c r="R185" s="274"/>
      <c r="S185" s="1"/>
      <c r="T185" s="332"/>
      <c r="U185" s="333"/>
      <c r="V185" s="333"/>
      <c r="W185" s="334"/>
      <c r="X185" s="331"/>
      <c r="Y185" s="332">
        <f>+Y492</f>
        <v>3488.6699999999996</v>
      </c>
      <c r="Z185" s="333">
        <f>+Z492</f>
        <v>3488.6699999999996</v>
      </c>
      <c r="AA185" s="333">
        <f>+AA492</f>
        <v>3488.6699999999996</v>
      </c>
      <c r="AB185" s="334">
        <f>+AB492</f>
        <v>3488.6699999999996</v>
      </c>
      <c r="AC185" s="331"/>
      <c r="AD185" s="332">
        <f>+AD492+AD539</f>
        <v>2325.7799999999997</v>
      </c>
      <c r="AE185" s="333">
        <f t="shared" ref="AE185:BB185" si="253">+AE492+AE539</f>
        <v>3488.6699999999996</v>
      </c>
      <c r="AF185" s="333">
        <f t="shared" si="253"/>
        <v>3488.6699999999996</v>
      </c>
      <c r="AG185" s="334">
        <f t="shared" si="253"/>
        <v>3488.6699999999996</v>
      </c>
      <c r="AH185" s="331">
        <f t="shared" si="253"/>
        <v>12791.789999999999</v>
      </c>
      <c r="AI185" s="332">
        <f t="shared" si="253"/>
        <v>1624.98</v>
      </c>
      <c r="AJ185" s="333">
        <f t="shared" si="253"/>
        <v>1624.98</v>
      </c>
      <c r="AK185" s="333">
        <f t="shared" si="253"/>
        <v>2437.4700000000003</v>
      </c>
      <c r="AL185" s="334">
        <f t="shared" si="253"/>
        <v>2437.4700000000003</v>
      </c>
      <c r="AM185" s="331">
        <f t="shared" si="253"/>
        <v>8124.9000000000005</v>
      </c>
      <c r="AN185" s="332">
        <f t="shared" si="253"/>
        <v>1624.98</v>
      </c>
      <c r="AO185" s="333">
        <f t="shared" si="253"/>
        <v>1624.98</v>
      </c>
      <c r="AP185" s="333">
        <f t="shared" si="253"/>
        <v>1624.98</v>
      </c>
      <c r="AQ185" s="334">
        <f t="shared" si="253"/>
        <v>2437.4700000000003</v>
      </c>
      <c r="AR185" s="331">
        <f t="shared" si="253"/>
        <v>7312.4100000000008</v>
      </c>
      <c r="AS185" s="332">
        <f t="shared" si="253"/>
        <v>2437.4700000000003</v>
      </c>
      <c r="AT185" s="333">
        <f t="shared" ref="AT185:AW185" si="254">+AT492+AT539</f>
        <v>2437.4700000000003</v>
      </c>
      <c r="AU185" s="333">
        <f t="shared" si="254"/>
        <v>1624.98</v>
      </c>
      <c r="AV185" s="334">
        <f t="shared" si="254"/>
        <v>1624.98</v>
      </c>
      <c r="AW185" s="331">
        <f t="shared" si="254"/>
        <v>8124.9</v>
      </c>
      <c r="AX185" s="332">
        <f t="shared" si="253"/>
        <v>1624.98</v>
      </c>
      <c r="AY185" s="333">
        <f t="shared" si="253"/>
        <v>2544.2325000000001</v>
      </c>
      <c r="AZ185" s="333">
        <f t="shared" si="253"/>
        <v>2544.2325000000001</v>
      </c>
      <c r="BA185" s="334">
        <f t="shared" si="253"/>
        <v>2544.2325000000001</v>
      </c>
      <c r="BB185" s="331">
        <f t="shared" si="253"/>
        <v>9257.6774999999998</v>
      </c>
      <c r="BC185" s="332">
        <f t="shared" ref="BC185:BL185" si="255">+BC492+BC539</f>
        <v>2544.2325000000001</v>
      </c>
      <c r="BD185" s="333">
        <f t="shared" si="255"/>
        <v>2544.2325000000001</v>
      </c>
      <c r="BE185" s="333">
        <f t="shared" si="255"/>
        <v>2544.2325000000001</v>
      </c>
      <c r="BF185" s="2294">
        <f>+BF492+BF539</f>
        <v>1624.98</v>
      </c>
      <c r="BG185" s="331">
        <f>+BG492+BG539</f>
        <v>9257.6775000000016</v>
      </c>
      <c r="BH185" s="332">
        <f t="shared" si="255"/>
        <v>2544.2325000000001</v>
      </c>
      <c r="BI185" s="333">
        <f t="shared" si="255"/>
        <v>2544.2325000000001</v>
      </c>
      <c r="BJ185" s="333">
        <f>+BJ492+BJ539</f>
        <v>2544.2325000000001</v>
      </c>
      <c r="BK185" s="334">
        <f t="shared" si="255"/>
        <v>1624.98</v>
      </c>
      <c r="BL185" s="331">
        <f t="shared" si="255"/>
        <v>9257.6775000000016</v>
      </c>
      <c r="BM185" s="332">
        <f t="shared" ref="BM185:BQ185" si="256">+BM492+BM539</f>
        <v>2544.2325000000001</v>
      </c>
      <c r="BN185" s="333">
        <f t="shared" si="256"/>
        <v>2544.2325000000001</v>
      </c>
      <c r="BO185" s="333">
        <f t="shared" si="256"/>
        <v>2544.2325000000001</v>
      </c>
      <c r="BP185" s="334">
        <f t="shared" si="256"/>
        <v>2544.2325000000001</v>
      </c>
      <c r="BQ185" s="331">
        <f t="shared" si="256"/>
        <v>10176.93</v>
      </c>
      <c r="BR185" s="40"/>
      <c r="BS185" s="40"/>
      <c r="BT185" s="40"/>
      <c r="BU185" s="232"/>
      <c r="BV185" s="564" t="s">
        <v>433</v>
      </c>
      <c r="BW185" s="45"/>
      <c r="BX185" s="45">
        <f>+AR181</f>
        <v>92749.905450000006</v>
      </c>
      <c r="BY185" s="45">
        <f>+AW181</f>
        <v>95787.621599999984</v>
      </c>
      <c r="BZ185" s="45">
        <f>+BB181</f>
        <v>95787.621599999984</v>
      </c>
      <c r="CA185" s="45">
        <f>+BG181</f>
        <v>95949.681599999982</v>
      </c>
      <c r="CB185" s="1366">
        <f>+BL181</f>
        <v>91856.111699999979</v>
      </c>
      <c r="CC185" s="40"/>
      <c r="CD185" s="40"/>
      <c r="CE185" s="40"/>
      <c r="CF185" s="40"/>
      <c r="CG185" s="40"/>
      <c r="CH185" s="40"/>
      <c r="CI185" s="40"/>
      <c r="CJ185" s="40"/>
      <c r="CK185" s="40"/>
      <c r="CL185" s="40"/>
      <c r="CM185" s="40"/>
      <c r="CN185" s="40"/>
      <c r="CO185" s="40"/>
      <c r="CP185" s="40"/>
      <c r="CQ185" s="40"/>
      <c r="CR185" s="823"/>
      <c r="CS185" s="232"/>
      <c r="CT185" s="232"/>
      <c r="CU185" s="232"/>
      <c r="CV185" s="232"/>
      <c r="CW185" s="232"/>
      <c r="CX185" s="40"/>
      <c r="CY185" s="40"/>
      <c r="CZ185" s="40"/>
      <c r="DA185" s="40"/>
      <c r="DB185" s="40"/>
      <c r="DC185" s="40"/>
      <c r="DD185" s="232"/>
      <c r="DE185" s="232"/>
      <c r="DF185" s="232"/>
      <c r="DG185" s="232"/>
      <c r="DH185" s="232"/>
      <c r="DI185" s="232"/>
      <c r="DJ185" s="232"/>
      <c r="DK185" s="232"/>
      <c r="DL185" s="232"/>
    </row>
    <row r="186" spans="1:118">
      <c r="A186" s="40"/>
      <c r="B186" s="1"/>
      <c r="C186" s="2194" t="s">
        <v>1479</v>
      </c>
      <c r="D186" s="1"/>
      <c r="E186" s="273"/>
      <c r="F186" s="3"/>
      <c r="G186" s="3"/>
      <c r="H186" s="274"/>
      <c r="I186" s="28"/>
      <c r="J186" s="273"/>
      <c r="K186" s="3"/>
      <c r="L186" s="3"/>
      <c r="M186" s="274"/>
      <c r="N186" s="1"/>
      <c r="O186" s="273"/>
      <c r="P186" s="3"/>
      <c r="Q186" s="3"/>
      <c r="R186" s="274"/>
      <c r="S186" s="1"/>
      <c r="T186" s="332"/>
      <c r="U186" s="333"/>
      <c r="V186" s="333"/>
      <c r="W186" s="334"/>
      <c r="X186" s="331"/>
      <c r="Y186" s="332">
        <f>+Y343+Y330</f>
        <v>2355.8706000000002</v>
      </c>
      <c r="Z186" s="333">
        <f>+Z343</f>
        <v>567.64799999999991</v>
      </c>
      <c r="AA186" s="333">
        <f>+AA343</f>
        <v>567.64799999999991</v>
      </c>
      <c r="AB186" s="334">
        <f>+AB343</f>
        <v>567.64799999999991</v>
      </c>
      <c r="AC186" s="331"/>
      <c r="AD186" s="332">
        <f>+AD343</f>
        <v>567.64799999999991</v>
      </c>
      <c r="AE186" s="333">
        <f>+AE343</f>
        <v>567.64799999999991</v>
      </c>
      <c r="AF186" s="333">
        <f>+AF343</f>
        <v>567.64799999999991</v>
      </c>
      <c r="AG186" s="334">
        <f>+AG343</f>
        <v>567.64799999999991</v>
      </c>
      <c r="AH186" s="331">
        <f>+AH343+AH356+AH369</f>
        <v>8877.384</v>
      </c>
      <c r="AI186" s="332">
        <f t="shared" ref="AI186:BL186" si="257">+AI343+AI356+AI369</f>
        <v>2219.346</v>
      </c>
      <c r="AJ186" s="333">
        <f t="shared" si="257"/>
        <v>2219.346</v>
      </c>
      <c r="AK186" s="333">
        <f t="shared" si="257"/>
        <v>2219.346</v>
      </c>
      <c r="AL186" s="334">
        <f t="shared" si="257"/>
        <v>2219.346</v>
      </c>
      <c r="AM186" s="331">
        <f t="shared" si="257"/>
        <v>8877.384</v>
      </c>
      <c r="AN186" s="332">
        <f t="shared" si="257"/>
        <v>2219.346</v>
      </c>
      <c r="AO186" s="333">
        <f t="shared" si="257"/>
        <v>2219.346</v>
      </c>
      <c r="AP186" s="333">
        <f t="shared" si="257"/>
        <v>2219.346</v>
      </c>
      <c r="AQ186" s="334">
        <f t="shared" si="257"/>
        <v>2219.346</v>
      </c>
      <c r="AR186" s="331">
        <f t="shared" si="257"/>
        <v>8877.384</v>
      </c>
      <c r="AS186" s="332">
        <f t="shared" si="257"/>
        <v>2342.6429999999996</v>
      </c>
      <c r="AT186" s="333">
        <f t="shared" ref="AT186:AW186" si="258">+AT343+AT356+AT369</f>
        <v>4086.1019999999994</v>
      </c>
      <c r="AU186" s="333">
        <f t="shared" si="258"/>
        <v>4086.1019999999994</v>
      </c>
      <c r="AV186" s="334">
        <f t="shared" si="258"/>
        <v>4086.1019999999994</v>
      </c>
      <c r="AW186" s="331">
        <f t="shared" si="258"/>
        <v>14600.948999999997</v>
      </c>
      <c r="AX186" s="332">
        <f t="shared" si="257"/>
        <v>4086.1019999999994</v>
      </c>
      <c r="AY186" s="333">
        <f t="shared" si="257"/>
        <v>4086.1019999999994</v>
      </c>
      <c r="AZ186" s="333">
        <f t="shared" si="257"/>
        <v>3719.0579999999995</v>
      </c>
      <c r="BA186" s="334">
        <f t="shared" si="257"/>
        <v>3592.9139999999998</v>
      </c>
      <c r="BB186" s="331">
        <f t="shared" si="257"/>
        <v>15484.175999999998</v>
      </c>
      <c r="BC186" s="332">
        <f t="shared" si="257"/>
        <v>3871.0439999999999</v>
      </c>
      <c r="BD186" s="333">
        <f t="shared" si="257"/>
        <v>3871.0439999999999</v>
      </c>
      <c r="BE186" s="333">
        <f t="shared" si="257"/>
        <v>3871.0439999999999</v>
      </c>
      <c r="BF186" s="334">
        <f t="shared" si="257"/>
        <v>3871.0439999999999</v>
      </c>
      <c r="BG186" s="331">
        <f t="shared" si="257"/>
        <v>15484.175999999999</v>
      </c>
      <c r="BH186" s="332">
        <f t="shared" si="257"/>
        <v>3871.0439999999999</v>
      </c>
      <c r="BI186" s="333">
        <f t="shared" si="257"/>
        <v>3871.0439999999999</v>
      </c>
      <c r="BJ186" s="333">
        <f t="shared" si="257"/>
        <v>3871.0439999999999</v>
      </c>
      <c r="BK186" s="334">
        <f t="shared" si="257"/>
        <v>3871.0439999999999</v>
      </c>
      <c r="BL186" s="331">
        <f t="shared" si="257"/>
        <v>15484.175999999999</v>
      </c>
      <c r="BM186" s="332">
        <f t="shared" ref="BM186:BQ186" si="259">+BM343+BM356+BM369</f>
        <v>3871.0439999999999</v>
      </c>
      <c r="BN186" s="333">
        <f t="shared" si="259"/>
        <v>3871.0439999999999</v>
      </c>
      <c r="BO186" s="333">
        <f t="shared" si="259"/>
        <v>3871.0439999999999</v>
      </c>
      <c r="BP186" s="334">
        <f t="shared" si="259"/>
        <v>3871.0439999999999</v>
      </c>
      <c r="BQ186" s="331">
        <f t="shared" si="259"/>
        <v>15484.175999999999</v>
      </c>
      <c r="BR186" s="40"/>
      <c r="BS186" s="40"/>
      <c r="BT186" s="40"/>
      <c r="BU186" s="232"/>
      <c r="BV186" s="1370" t="s">
        <v>479</v>
      </c>
      <c r="BW186" s="1371"/>
      <c r="BX186" s="1371">
        <f>+AR182</f>
        <v>55545.670799999993</v>
      </c>
      <c r="BY186" s="1371">
        <f>+AW182</f>
        <v>54246.124799999998</v>
      </c>
      <c r="BZ186" s="1371">
        <f>+BB182</f>
        <v>53622.960299999999</v>
      </c>
      <c r="CA186" s="1371">
        <f>+BG182</f>
        <v>48099.429900000003</v>
      </c>
      <c r="CB186" s="1372">
        <f>+BL182</f>
        <v>42985.2762</v>
      </c>
      <c r="CE186" s="40"/>
      <c r="CF186" s="40"/>
      <c r="CG186" s="40"/>
      <c r="CH186" s="40"/>
      <c r="CI186" s="40"/>
      <c r="CJ186" s="40"/>
      <c r="CK186" s="40"/>
      <c r="CL186" s="40"/>
      <c r="CM186" s="40"/>
      <c r="CN186" s="40"/>
      <c r="CO186" s="40"/>
      <c r="CP186" s="40"/>
      <c r="CQ186" s="40"/>
      <c r="CR186" s="40"/>
      <c r="CS186" s="40"/>
      <c r="CT186" s="823"/>
      <c r="CU186" s="232"/>
      <c r="CV186" s="232"/>
      <c r="CW186" s="232"/>
      <c r="CX186" s="232"/>
      <c r="CY186" s="232"/>
      <c r="CZ186" s="40"/>
      <c r="DA186" s="40"/>
      <c r="DB186" s="40"/>
      <c r="DC186" s="40"/>
      <c r="DD186" s="40"/>
      <c r="DE186" s="40"/>
      <c r="DF186" s="232"/>
      <c r="DG186" s="232"/>
      <c r="DH186" s="232"/>
      <c r="DI186" s="232"/>
      <c r="DJ186" s="232"/>
      <c r="DK186" s="232"/>
      <c r="DL186" s="232"/>
      <c r="DM186" s="232"/>
      <c r="DN186" s="232"/>
    </row>
    <row r="187" spans="1:118">
      <c r="A187" s="40"/>
      <c r="B187" s="1"/>
      <c r="C187" s="409" t="s">
        <v>849</v>
      </c>
      <c r="D187" s="1"/>
      <c r="E187" s="273"/>
      <c r="F187" s="3"/>
      <c r="G187" s="3"/>
      <c r="H187" s="274"/>
      <c r="I187" s="28"/>
      <c r="J187" s="273"/>
      <c r="K187" s="3"/>
      <c r="L187" s="3"/>
      <c r="M187" s="274"/>
      <c r="N187" s="1"/>
      <c r="O187" s="273"/>
      <c r="P187" s="3"/>
      <c r="Q187" s="3"/>
      <c r="R187" s="274"/>
      <c r="S187" s="1"/>
      <c r="T187" s="332"/>
      <c r="U187" s="333"/>
      <c r="V187" s="333"/>
      <c r="W187" s="334"/>
      <c r="X187" s="331"/>
      <c r="Y187" s="332">
        <f>Y554</f>
        <v>1305.6779999999999</v>
      </c>
      <c r="Z187" s="333">
        <f>Z554</f>
        <v>1305.6779999999999</v>
      </c>
      <c r="AA187" s="333">
        <f>AA554</f>
        <v>1305.6779999999999</v>
      </c>
      <c r="AB187" s="334">
        <f>AB554</f>
        <v>1305.6779999999999</v>
      </c>
      <c r="AC187" s="331"/>
      <c r="AD187" s="332">
        <f t="shared" ref="AD187:BB187" si="260">AD554</f>
        <v>1305.6779999999999</v>
      </c>
      <c r="AE187" s="333">
        <f t="shared" si="260"/>
        <v>1305.6779999999999</v>
      </c>
      <c r="AF187" s="333">
        <f t="shared" si="260"/>
        <v>1305.6779999999999</v>
      </c>
      <c r="AG187" s="334">
        <f t="shared" si="260"/>
        <v>1305.6779999999999</v>
      </c>
      <c r="AH187" s="331">
        <f t="shared" si="260"/>
        <v>5222.7119999999995</v>
      </c>
      <c r="AI187" s="332">
        <f t="shared" si="260"/>
        <v>1305.6779999999999</v>
      </c>
      <c r="AJ187" s="333">
        <f t="shared" si="260"/>
        <v>1305.6779999999999</v>
      </c>
      <c r="AK187" s="333">
        <f t="shared" si="260"/>
        <v>1305.6779999999999</v>
      </c>
      <c r="AL187" s="334">
        <f t="shared" si="260"/>
        <v>1305.6779999999999</v>
      </c>
      <c r="AM187" s="331">
        <f t="shared" si="260"/>
        <v>5222.7119999999995</v>
      </c>
      <c r="AN187" s="332">
        <f t="shared" si="260"/>
        <v>1305.6779999999999</v>
      </c>
      <c r="AO187" s="333">
        <f t="shared" si="260"/>
        <v>1305.6779999999999</v>
      </c>
      <c r="AP187" s="333">
        <f t="shared" si="260"/>
        <v>1305.6779999999999</v>
      </c>
      <c r="AQ187" s="334">
        <f t="shared" si="260"/>
        <v>1573.9529999999997</v>
      </c>
      <c r="AR187" s="331">
        <f t="shared" si="260"/>
        <v>5490.9869999999992</v>
      </c>
      <c r="AS187" s="332">
        <f t="shared" si="260"/>
        <v>1573.9529999999995</v>
      </c>
      <c r="AT187" s="333">
        <f t="shared" ref="AT187:AW187" si="261">AT554</f>
        <v>1573.9529999999995</v>
      </c>
      <c r="AU187" s="333">
        <f t="shared" si="261"/>
        <v>1628.7029999999995</v>
      </c>
      <c r="AV187" s="334">
        <f t="shared" si="261"/>
        <v>1628.7029999999995</v>
      </c>
      <c r="AW187" s="331">
        <f t="shared" si="261"/>
        <v>6405.3119999999981</v>
      </c>
      <c r="AX187" s="332">
        <f t="shared" si="260"/>
        <v>1628.7029999999995</v>
      </c>
      <c r="AY187" s="333">
        <f t="shared" si="260"/>
        <v>1628.7029999999995</v>
      </c>
      <c r="AZ187" s="333">
        <f t="shared" si="260"/>
        <v>1628.7029999999995</v>
      </c>
      <c r="BA187" s="334">
        <f t="shared" si="260"/>
        <v>1628.7029999999995</v>
      </c>
      <c r="BB187" s="331">
        <f t="shared" si="260"/>
        <v>6514.8119999999981</v>
      </c>
      <c r="BC187" s="332">
        <f t="shared" ref="BC187:BL187" si="262">BC554</f>
        <v>1628.7029999999995</v>
      </c>
      <c r="BD187" s="333">
        <f t="shared" si="262"/>
        <v>1628.7029999999995</v>
      </c>
      <c r="BE187" s="333">
        <f t="shared" si="262"/>
        <v>1628.7029999999995</v>
      </c>
      <c r="BF187" s="334">
        <f t="shared" si="262"/>
        <v>1628.7029999999995</v>
      </c>
      <c r="BG187" s="331">
        <f>BG554</f>
        <v>6514.8119999999981</v>
      </c>
      <c r="BH187" s="332">
        <f t="shared" si="262"/>
        <v>1628.7029999999995</v>
      </c>
      <c r="BI187" s="333">
        <f t="shared" si="262"/>
        <v>1628.7029999999995</v>
      </c>
      <c r="BJ187" s="333">
        <f t="shared" si="262"/>
        <v>1628.7029999999995</v>
      </c>
      <c r="BK187" s="334">
        <f t="shared" si="262"/>
        <v>1628.7029999999995</v>
      </c>
      <c r="BL187" s="331">
        <f t="shared" si="262"/>
        <v>6514.8119999999981</v>
      </c>
      <c r="BM187" s="332">
        <f t="shared" ref="BM187:BQ187" si="263">BM554</f>
        <v>1628.7029999999995</v>
      </c>
      <c r="BN187" s="333">
        <f t="shared" si="263"/>
        <v>1628.7029999999995</v>
      </c>
      <c r="BO187" s="333">
        <f t="shared" si="263"/>
        <v>1628.7029999999995</v>
      </c>
      <c r="BP187" s="334">
        <f t="shared" si="263"/>
        <v>1628.7029999999995</v>
      </c>
      <c r="BQ187" s="331">
        <f t="shared" si="263"/>
        <v>6514.8119999999981</v>
      </c>
      <c r="BR187" s="40"/>
      <c r="BS187" s="40"/>
      <c r="BT187" s="40"/>
      <c r="BU187" s="232"/>
      <c r="CE187" s="40"/>
      <c r="CF187" s="40"/>
      <c r="CG187" s="40"/>
      <c r="CH187" s="40"/>
      <c r="CI187" s="40"/>
      <c r="CJ187" s="40"/>
      <c r="CK187" s="40"/>
      <c r="CL187" s="40"/>
      <c r="CM187" s="40"/>
      <c r="CN187" s="40"/>
      <c r="CO187" s="40"/>
      <c r="CP187" s="40"/>
      <c r="CQ187" s="40"/>
      <c r="CR187" s="40"/>
      <c r="CS187" s="40"/>
      <c r="CT187" s="823"/>
      <c r="CU187" s="232"/>
      <c r="CV187" s="232"/>
      <c r="CW187" s="232"/>
      <c r="CX187" s="232"/>
      <c r="CY187" s="232"/>
      <c r="CZ187" s="40"/>
      <c r="DA187" s="40"/>
      <c r="DB187" s="40"/>
      <c r="DC187" s="40"/>
      <c r="DD187" s="40"/>
      <c r="DE187" s="40"/>
      <c r="DF187" s="232"/>
      <c r="DG187" s="232"/>
      <c r="DH187" s="232"/>
      <c r="DI187" s="232"/>
      <c r="DJ187" s="232"/>
      <c r="DK187" s="232"/>
      <c r="DL187" s="232"/>
      <c r="DM187" s="232"/>
      <c r="DN187" s="232"/>
    </row>
    <row r="188" spans="1:118">
      <c r="A188" s="40"/>
      <c r="B188" s="1"/>
      <c r="C188" s="409" t="s">
        <v>1018</v>
      </c>
      <c r="D188" s="1"/>
      <c r="E188" s="273"/>
      <c r="F188" s="3"/>
      <c r="G188" s="3"/>
      <c r="H188" s="274"/>
      <c r="I188" s="28"/>
      <c r="J188" s="273"/>
      <c r="K188" s="3"/>
      <c r="L188" s="3"/>
      <c r="M188" s="274"/>
      <c r="N188" s="1"/>
      <c r="O188" s="273"/>
      <c r="P188" s="3"/>
      <c r="Q188" s="3"/>
      <c r="R188" s="274"/>
      <c r="S188" s="1"/>
      <c r="T188" s="321"/>
      <c r="U188" s="1152"/>
      <c r="V188" s="333"/>
      <c r="W188" s="334"/>
      <c r="X188" s="331"/>
      <c r="Y188" s="321">
        <f>+Y419+Y512+Y662</f>
        <v>1020.54</v>
      </c>
      <c r="Z188" s="333">
        <f>+Z419+Z512+Z662</f>
        <v>1020.54</v>
      </c>
      <c r="AA188" s="333">
        <f>+AA419+AA512+AA662</f>
        <v>1020.54</v>
      </c>
      <c r="AB188" s="334">
        <f>+AB419+AB512+AB662</f>
        <v>1020.54</v>
      </c>
      <c r="AC188" s="331"/>
      <c r="AD188" s="321">
        <f t="shared" ref="AD188:BB188" si="264">+AD419+AD512+AD662</f>
        <v>1020.54</v>
      </c>
      <c r="AE188" s="333">
        <f t="shared" si="264"/>
        <v>858.48</v>
      </c>
      <c r="AF188" s="333">
        <f t="shared" si="264"/>
        <v>858.48</v>
      </c>
      <c r="AG188" s="334">
        <f t="shared" si="264"/>
        <v>1020.54</v>
      </c>
      <c r="AH188" s="331">
        <f t="shared" si="264"/>
        <v>3758.04</v>
      </c>
      <c r="AI188" s="321">
        <f t="shared" si="264"/>
        <v>1020.54</v>
      </c>
      <c r="AJ188" s="333">
        <f t="shared" si="264"/>
        <v>1020.54</v>
      </c>
      <c r="AK188" s="333">
        <f t="shared" si="264"/>
        <v>1020.54</v>
      </c>
      <c r="AL188" s="334">
        <f t="shared" si="264"/>
        <v>1020.54</v>
      </c>
      <c r="AM188" s="331">
        <f t="shared" si="264"/>
        <v>4082.16</v>
      </c>
      <c r="AN188" s="321">
        <f t="shared" si="264"/>
        <v>1020.54</v>
      </c>
      <c r="AO188" s="333">
        <f t="shared" si="264"/>
        <v>1020.54</v>
      </c>
      <c r="AP188" s="333">
        <f t="shared" si="264"/>
        <v>1130.04</v>
      </c>
      <c r="AQ188" s="334">
        <f t="shared" si="264"/>
        <v>1020.54</v>
      </c>
      <c r="AR188" s="331">
        <f t="shared" si="264"/>
        <v>4191.66</v>
      </c>
      <c r="AS188" s="321">
        <f t="shared" si="264"/>
        <v>1020.54</v>
      </c>
      <c r="AT188" s="333">
        <f t="shared" ref="AT188:AW188" si="265">+AT419+AT512+AT662</f>
        <v>858.48</v>
      </c>
      <c r="AU188" s="333">
        <f t="shared" si="265"/>
        <v>1130.04</v>
      </c>
      <c r="AV188" s="334">
        <f t="shared" si="265"/>
        <v>1020.54</v>
      </c>
      <c r="AW188" s="331">
        <f t="shared" si="265"/>
        <v>4029.6000000000004</v>
      </c>
      <c r="AX188" s="321">
        <f t="shared" si="264"/>
        <v>1020.54</v>
      </c>
      <c r="AY188" s="333">
        <f t="shared" si="264"/>
        <v>1130.04</v>
      </c>
      <c r="AZ188" s="333">
        <f t="shared" si="264"/>
        <v>1130.04</v>
      </c>
      <c r="BA188" s="334">
        <f t="shared" si="264"/>
        <v>1020.54</v>
      </c>
      <c r="BB188" s="331">
        <f t="shared" si="264"/>
        <v>4301.16</v>
      </c>
      <c r="BC188" s="321">
        <f t="shared" ref="BC188:BL188" si="266">+BC419+BC512+BC662</f>
        <v>1020.54</v>
      </c>
      <c r="BD188" s="333">
        <f t="shared" si="266"/>
        <v>1130.04</v>
      </c>
      <c r="BE188" s="333">
        <f t="shared" si="266"/>
        <v>1130.04</v>
      </c>
      <c r="BF188" s="334">
        <f t="shared" si="266"/>
        <v>1020.54</v>
      </c>
      <c r="BG188" s="331">
        <f t="shared" si="266"/>
        <v>4301.16</v>
      </c>
      <c r="BH188" s="321">
        <f t="shared" si="266"/>
        <v>1020.54</v>
      </c>
      <c r="BI188" s="333">
        <f t="shared" si="266"/>
        <v>1130.04</v>
      </c>
      <c r="BJ188" s="333">
        <f t="shared" si="266"/>
        <v>1130.04</v>
      </c>
      <c r="BK188" s="334">
        <f t="shared" si="266"/>
        <v>1020.54</v>
      </c>
      <c r="BL188" s="331">
        <f t="shared" si="266"/>
        <v>4301.16</v>
      </c>
      <c r="BM188" s="321">
        <f t="shared" ref="BM188:BQ188" si="267">+BM419+BM512+BM662</f>
        <v>1020.54</v>
      </c>
      <c r="BN188" s="333">
        <f t="shared" si="267"/>
        <v>1130.04</v>
      </c>
      <c r="BO188" s="333">
        <f t="shared" si="267"/>
        <v>1130.04</v>
      </c>
      <c r="BP188" s="334">
        <f t="shared" si="267"/>
        <v>1130.04</v>
      </c>
      <c r="BQ188" s="331">
        <f t="shared" si="267"/>
        <v>4410.66</v>
      </c>
      <c r="BR188" s="40"/>
      <c r="BS188" s="40"/>
      <c r="BT188" s="40"/>
      <c r="BU188" s="232"/>
      <c r="CE188" s="40"/>
      <c r="CF188" s="40"/>
      <c r="CG188" s="40"/>
      <c r="CH188" s="40"/>
      <c r="CI188" s="40"/>
      <c r="CJ188" s="40"/>
      <c r="CK188" s="40"/>
      <c r="CL188" s="40"/>
      <c r="CM188" s="40"/>
      <c r="CN188" s="40"/>
      <c r="CO188" s="40"/>
      <c r="CP188" s="40"/>
      <c r="CQ188" s="40"/>
      <c r="CR188" s="40"/>
      <c r="CS188" s="40"/>
      <c r="CT188" s="823"/>
      <c r="CU188" s="232"/>
      <c r="CV188" s="232"/>
      <c r="CW188" s="232"/>
      <c r="CX188" s="232"/>
      <c r="CY188" s="232"/>
      <c r="CZ188" s="40"/>
      <c r="DA188" s="40"/>
      <c r="DB188" s="40"/>
      <c r="DC188" s="40"/>
      <c r="DD188" s="40"/>
      <c r="DE188" s="40"/>
      <c r="DF188" s="232"/>
      <c r="DG188" s="232"/>
      <c r="DH188" s="232"/>
      <c r="DI188" s="232"/>
      <c r="DJ188" s="232"/>
      <c r="DK188" s="232"/>
      <c r="DL188" s="232"/>
      <c r="DM188" s="232"/>
      <c r="DN188" s="232"/>
    </row>
    <row r="189" spans="1:118">
      <c r="A189" s="40"/>
      <c r="B189" s="32"/>
      <c r="C189" s="446" t="s">
        <v>399</v>
      </c>
      <c r="D189" s="32"/>
      <c r="E189" s="489"/>
      <c r="F189" s="342"/>
      <c r="G189" s="342"/>
      <c r="H189" s="490"/>
      <c r="I189" s="32"/>
      <c r="J189" s="489"/>
      <c r="K189" s="342"/>
      <c r="L189" s="342"/>
      <c r="M189" s="490"/>
      <c r="N189" s="32"/>
      <c r="O189" s="489"/>
      <c r="P189" s="342"/>
      <c r="Q189" s="342"/>
      <c r="R189" s="490"/>
      <c r="S189" s="32"/>
      <c r="T189" s="301"/>
      <c r="U189" s="265"/>
      <c r="V189" s="265"/>
      <c r="W189" s="302"/>
      <c r="X189" s="445"/>
      <c r="Y189" s="301">
        <f>SUM(Y181:Y188)</f>
        <v>42330.061050000004</v>
      </c>
      <c r="Z189" s="265">
        <f>SUM(Z181:Z188)</f>
        <v>40541.838450000003</v>
      </c>
      <c r="AA189" s="265">
        <f>SUM(AA181:AA188)</f>
        <v>41353.671450000009</v>
      </c>
      <c r="AB189" s="302">
        <f>SUM(AB181:AB188)</f>
        <v>40541.838450000003</v>
      </c>
      <c r="AC189" s="445"/>
      <c r="AD189" s="301">
        <f t="shared" ref="AD189:BL189" si="268">SUM(AD181:AD188)</f>
        <v>47128.832850000013</v>
      </c>
      <c r="AE189" s="265">
        <f t="shared" si="268"/>
        <v>47821.376550000008</v>
      </c>
      <c r="AF189" s="265">
        <f t="shared" si="268"/>
        <v>47821.376550000008</v>
      </c>
      <c r="AG189" s="302">
        <f t="shared" si="268"/>
        <v>47800.790550000005</v>
      </c>
      <c r="AH189" s="445">
        <f t="shared" si="268"/>
        <v>197179.16850000003</v>
      </c>
      <c r="AI189" s="301">
        <f t="shared" si="268"/>
        <v>45808.876050000013</v>
      </c>
      <c r="AJ189" s="265">
        <f t="shared" si="268"/>
        <v>46079.998050000009</v>
      </c>
      <c r="AK189" s="265">
        <f t="shared" si="268"/>
        <v>48027.784050000002</v>
      </c>
      <c r="AL189" s="302">
        <f t="shared" si="268"/>
        <v>47054.548050000005</v>
      </c>
      <c r="AM189" s="445">
        <f t="shared" si="268"/>
        <v>186971.20620000002</v>
      </c>
      <c r="AN189" s="301">
        <f t="shared" si="268"/>
        <v>46498.955999999998</v>
      </c>
      <c r="AO189" s="265">
        <f t="shared" si="268"/>
        <v>46374.443550000004</v>
      </c>
      <c r="AP189" s="265">
        <f t="shared" si="268"/>
        <v>46483.943550000004</v>
      </c>
      <c r="AQ189" s="302">
        <f t="shared" si="268"/>
        <v>47293.148550000005</v>
      </c>
      <c r="AR189" s="445">
        <f t="shared" si="268"/>
        <v>186650.49164999998</v>
      </c>
      <c r="AS189" s="301">
        <f t="shared" si="268"/>
        <v>47638.259699999995</v>
      </c>
      <c r="AT189" s="265">
        <f t="shared" ref="AT189:AW189" si="269">SUM(AT181:AT188)</f>
        <v>49869.431700000001</v>
      </c>
      <c r="AU189" s="265">
        <f t="shared" si="269"/>
        <v>49545.311699999998</v>
      </c>
      <c r="AV189" s="302">
        <f t="shared" si="269"/>
        <v>50726.378700000001</v>
      </c>
      <c r="AW189" s="445">
        <f t="shared" si="269"/>
        <v>197779.38179999997</v>
      </c>
      <c r="AX189" s="301">
        <f t="shared" si="268"/>
        <v>49393.9827</v>
      </c>
      <c r="AY189" s="265">
        <f t="shared" si="268"/>
        <v>52386.508199999997</v>
      </c>
      <c r="AZ189" s="265">
        <f t="shared" si="268"/>
        <v>52181.524199999993</v>
      </c>
      <c r="BA189" s="302">
        <f t="shared" si="268"/>
        <v>50510.882699999995</v>
      </c>
      <c r="BB189" s="445">
        <f t="shared" si="268"/>
        <v>204472.89780000001</v>
      </c>
      <c r="BC189" s="301">
        <f t="shared" si="268"/>
        <v>50951.072699999997</v>
      </c>
      <c r="BD189" s="265">
        <f t="shared" si="268"/>
        <v>50898.512699999999</v>
      </c>
      <c r="BE189" s="265">
        <f t="shared" si="268"/>
        <v>51060.572699999997</v>
      </c>
      <c r="BF189" s="302">
        <f t="shared" si="268"/>
        <v>46201.269300000007</v>
      </c>
      <c r="BG189" s="445">
        <f t="shared" si="268"/>
        <v>199111.42740000002</v>
      </c>
      <c r="BH189" s="301">
        <f t="shared" si="268"/>
        <v>45152.784899999999</v>
      </c>
      <c r="BI189" s="265">
        <f t="shared" si="268"/>
        <v>49193.794799999996</v>
      </c>
      <c r="BJ189" s="265">
        <f t="shared" si="268"/>
        <v>49355.854800000001</v>
      </c>
      <c r="BK189" s="302">
        <f t="shared" si="268"/>
        <v>46201.269300000007</v>
      </c>
      <c r="BL189" s="445">
        <f t="shared" si="268"/>
        <v>189903.70379999999</v>
      </c>
      <c r="BM189" s="301">
        <f t="shared" ref="BM189:BQ189" si="270">SUM(BM181:BM188)</f>
        <v>49246.354800000001</v>
      </c>
      <c r="BN189" s="265">
        <f t="shared" si="270"/>
        <v>49355.854800000001</v>
      </c>
      <c r="BO189" s="265">
        <f t="shared" si="270"/>
        <v>49355.854800000001</v>
      </c>
      <c r="BP189" s="302">
        <f t="shared" si="270"/>
        <v>48041.854800000001</v>
      </c>
      <c r="BQ189" s="445">
        <f t="shared" si="270"/>
        <v>195999.9192</v>
      </c>
      <c r="BR189" s="40"/>
      <c r="BS189" s="40"/>
      <c r="BT189" s="40"/>
      <c r="BU189" s="232"/>
      <c r="CE189" s="40"/>
      <c r="CF189" s="40"/>
      <c r="CG189" s="40"/>
      <c r="CH189" s="40"/>
      <c r="CI189" s="40"/>
      <c r="CJ189" s="40"/>
      <c r="CK189" s="40"/>
      <c r="CL189" s="40"/>
      <c r="CM189" s="40"/>
      <c r="CN189" s="40"/>
      <c r="CO189" s="40"/>
      <c r="CP189" s="40"/>
      <c r="CQ189" s="40"/>
      <c r="CR189" s="40"/>
      <c r="CS189" s="40"/>
      <c r="CT189" s="823"/>
      <c r="CU189" s="232"/>
      <c r="CV189" s="232"/>
      <c r="CW189" s="232"/>
      <c r="CX189" s="232"/>
      <c r="CY189" s="232"/>
      <c r="CZ189" s="40"/>
      <c r="DA189" s="40"/>
      <c r="DB189" s="40"/>
      <c r="DC189" s="40"/>
      <c r="DD189" s="40"/>
      <c r="DE189" s="40"/>
      <c r="DF189" s="232"/>
      <c r="DG189" s="232"/>
      <c r="DH189" s="232"/>
      <c r="DI189" s="232"/>
      <c r="DJ189" s="232"/>
      <c r="DK189" s="232"/>
      <c r="DL189" s="232"/>
      <c r="DM189" s="232"/>
      <c r="DN189" s="232"/>
    </row>
    <row r="190" spans="1:118">
      <c r="A190" s="40"/>
      <c r="B190" s="1"/>
      <c r="C190" s="542"/>
      <c r="D190" s="1"/>
      <c r="E190" s="273"/>
      <c r="F190" s="3"/>
      <c r="G190" s="3"/>
      <c r="H190" s="274"/>
      <c r="I190" s="28"/>
      <c r="J190" s="273"/>
      <c r="K190" s="3"/>
      <c r="L190" s="3"/>
      <c r="M190" s="274"/>
      <c r="N190" s="1"/>
      <c r="O190" s="273"/>
      <c r="P190" s="3"/>
      <c r="Q190" s="3"/>
      <c r="R190" s="274"/>
      <c r="S190" s="1"/>
      <c r="T190" s="273"/>
      <c r="U190" s="3"/>
      <c r="V190" s="3"/>
      <c r="W190" s="274"/>
      <c r="X190" s="331"/>
      <c r="Y190" s="273"/>
      <c r="Z190" s="3"/>
      <c r="AA190" s="3"/>
      <c r="AB190" s="274"/>
      <c r="AC190" s="331"/>
      <c r="AD190" s="273"/>
      <c r="AE190" s="3"/>
      <c r="AF190" s="3"/>
      <c r="AG190" s="274"/>
      <c r="AH190" s="331"/>
      <c r="AI190" s="273"/>
      <c r="AJ190" s="3"/>
      <c r="AK190" s="3"/>
      <c r="AL190" s="274"/>
      <c r="AM190" s="331"/>
      <c r="AN190" s="273"/>
      <c r="AO190" s="3"/>
      <c r="AP190" s="3"/>
      <c r="AQ190" s="274"/>
      <c r="AR190" s="331"/>
      <c r="AS190" s="273"/>
      <c r="AT190" s="3"/>
      <c r="AU190" s="3"/>
      <c r="AV190" s="274"/>
      <c r="AW190" s="331"/>
      <c r="AX190" s="273"/>
      <c r="AY190" s="3"/>
      <c r="AZ190" s="3"/>
      <c r="BA190" s="274"/>
      <c r="BB190" s="331"/>
      <c r="BC190" s="273"/>
      <c r="BD190" s="3"/>
      <c r="BE190" s="3"/>
      <c r="BF190" s="274"/>
      <c r="BG190" s="331"/>
      <c r="BH190" s="273"/>
      <c r="BI190" s="3"/>
      <c r="BJ190" s="3"/>
      <c r="BK190" s="274"/>
      <c r="BL190" s="331"/>
      <c r="BM190" s="273"/>
      <c r="BN190" s="3"/>
      <c r="BO190" s="3"/>
      <c r="BP190" s="274"/>
      <c r="BQ190" s="331"/>
      <c r="BR190" s="40"/>
      <c r="BS190" s="40"/>
      <c r="BT190" s="40"/>
      <c r="BU190" s="526"/>
      <c r="CE190" s="40"/>
      <c r="CF190" s="40"/>
      <c r="CG190" s="40"/>
      <c r="CI190" s="40"/>
      <c r="CJ190" s="40"/>
      <c r="CK190" s="40"/>
      <c r="CL190" s="40"/>
      <c r="CM190" s="40"/>
      <c r="CN190" s="40"/>
      <c r="CO190" s="40"/>
      <c r="CP190" s="40"/>
      <c r="CQ190" s="40"/>
      <c r="CR190" s="40"/>
      <c r="CS190" s="40"/>
      <c r="CT190" s="823"/>
      <c r="CU190" s="232"/>
      <c r="CV190" s="232"/>
      <c r="CW190" s="232"/>
      <c r="CX190" s="232"/>
      <c r="CY190" s="232"/>
      <c r="CZ190" s="40"/>
      <c r="DA190" s="40"/>
      <c r="DB190" s="40"/>
      <c r="DC190" s="40"/>
      <c r="DD190" s="40"/>
      <c r="DE190" s="40"/>
      <c r="DF190" s="232"/>
      <c r="DG190" s="232"/>
      <c r="DH190" s="232"/>
      <c r="DI190" s="232"/>
      <c r="DJ190" s="232"/>
      <c r="DK190" s="232"/>
      <c r="DL190" s="232"/>
      <c r="DM190" s="232"/>
      <c r="DN190" s="232"/>
    </row>
    <row r="191" spans="1:118">
      <c r="A191" s="40"/>
      <c r="B191" s="1"/>
      <c r="C191" s="542" t="s">
        <v>1017</v>
      </c>
      <c r="D191" s="1"/>
      <c r="E191" s="273"/>
      <c r="F191" s="3"/>
      <c r="G191" s="3"/>
      <c r="H191" s="274"/>
      <c r="I191" s="28"/>
      <c r="J191" s="273"/>
      <c r="K191" s="3"/>
      <c r="L191" s="3"/>
      <c r="M191" s="274"/>
      <c r="N191" s="1"/>
      <c r="O191" s="273"/>
      <c r="P191" s="3"/>
      <c r="Q191" s="3"/>
      <c r="R191" s="274"/>
      <c r="S191" s="1"/>
      <c r="T191" s="273"/>
      <c r="U191" s="3"/>
      <c r="V191" s="3"/>
      <c r="W191" s="274"/>
      <c r="X191" s="1"/>
      <c r="Y191" s="273"/>
      <c r="Z191" s="3"/>
      <c r="AA191" s="3"/>
      <c r="AB191" s="274"/>
      <c r="AC191" s="1"/>
      <c r="AD191" s="273"/>
      <c r="AE191" s="3"/>
      <c r="AF191" s="3"/>
      <c r="AG191" s="274"/>
      <c r="AH191" s="201"/>
      <c r="AI191" s="273"/>
      <c r="AJ191" s="3"/>
      <c r="AK191" s="3"/>
      <c r="AL191" s="274"/>
      <c r="AM191" s="1"/>
      <c r="AN191" s="273"/>
      <c r="AO191" s="3"/>
      <c r="AP191" s="3"/>
      <c r="AQ191" s="274"/>
      <c r="AR191" s="1"/>
      <c r="AS191" s="273"/>
      <c r="AT191" s="3"/>
      <c r="AU191" s="3"/>
      <c r="AV191" s="274"/>
      <c r="AW191" s="1"/>
      <c r="AX191" s="273"/>
      <c r="AY191" s="3"/>
      <c r="AZ191" s="3"/>
      <c r="BA191" s="274"/>
      <c r="BB191" s="1"/>
      <c r="BC191" s="273"/>
      <c r="BD191" s="3"/>
      <c r="BE191" s="3"/>
      <c r="BF191" s="274"/>
      <c r="BG191" s="1"/>
      <c r="BH191" s="273"/>
      <c r="BI191" s="3"/>
      <c r="BJ191" s="3"/>
      <c r="BK191" s="274"/>
      <c r="BL191" s="1"/>
      <c r="BM191" s="273"/>
      <c r="BN191" s="3"/>
      <c r="BO191" s="3"/>
      <c r="BP191" s="274"/>
      <c r="BQ191" s="1"/>
      <c r="BR191" s="40"/>
      <c r="BS191" s="40"/>
      <c r="BT191" s="40"/>
      <c r="BU191" s="232"/>
      <c r="CE191" s="40"/>
      <c r="CF191" s="40"/>
      <c r="CG191" s="40"/>
      <c r="CI191" s="40"/>
      <c r="CJ191" s="40"/>
      <c r="CK191" s="40"/>
      <c r="CL191" s="40"/>
      <c r="CM191" s="40"/>
      <c r="CN191" s="40"/>
      <c r="CO191" s="40"/>
      <c r="CP191" s="40"/>
      <c r="CQ191" s="40"/>
      <c r="CR191" s="40"/>
      <c r="CS191" s="40"/>
      <c r="CT191" s="823"/>
      <c r="CU191" s="232"/>
      <c r="CV191" s="232"/>
      <c r="CW191" s="232"/>
      <c r="CX191" s="232"/>
      <c r="CY191" s="232"/>
      <c r="CZ191" s="40"/>
      <c r="DA191" s="40"/>
      <c r="DB191" s="40"/>
      <c r="DC191" s="40"/>
      <c r="DD191" s="40"/>
      <c r="DE191" s="40"/>
      <c r="DF191" s="232"/>
      <c r="DG191" s="232"/>
      <c r="DH191" s="232"/>
      <c r="DI191" s="232"/>
      <c r="DJ191" s="232"/>
      <c r="DK191" s="232"/>
      <c r="DL191" s="232"/>
      <c r="DM191" s="232"/>
      <c r="DN191" s="232"/>
    </row>
    <row r="192" spans="1:118">
      <c r="A192" s="40"/>
      <c r="B192" s="1"/>
      <c r="C192" s="882" t="s">
        <v>607</v>
      </c>
      <c r="D192" s="1"/>
      <c r="E192" s="273"/>
      <c r="F192" s="3"/>
      <c r="G192" s="3"/>
      <c r="H192" s="274"/>
      <c r="I192" s="28"/>
      <c r="J192" s="273"/>
      <c r="K192" s="3"/>
      <c r="L192" s="3"/>
      <c r="M192" s="274"/>
      <c r="N192" s="1"/>
      <c r="O192" s="273"/>
      <c r="P192" s="3"/>
      <c r="Q192" s="3"/>
      <c r="R192" s="274"/>
      <c r="S192" s="1"/>
      <c r="T192" s="308"/>
      <c r="U192" s="244"/>
      <c r="V192" s="244"/>
      <c r="W192" s="309"/>
      <c r="X192" s="24"/>
      <c r="Y192" s="308">
        <f>+Y268</f>
        <v>34668.948300000011</v>
      </c>
      <c r="Z192" s="244">
        <f>+Z268</f>
        <v>34668.948300000011</v>
      </c>
      <c r="AA192" s="244">
        <f>+AA268</f>
        <v>34668.948300000011</v>
      </c>
      <c r="AB192" s="309">
        <f>+AB268</f>
        <v>34668.948300000011</v>
      </c>
      <c r="AC192" s="24"/>
      <c r="AD192" s="308">
        <f t="shared" ref="AD192:BL192" si="271">+AD268</f>
        <v>38771.792850000005</v>
      </c>
      <c r="AE192" s="244">
        <f t="shared" si="271"/>
        <v>39162.773550000005</v>
      </c>
      <c r="AF192" s="244">
        <f t="shared" si="271"/>
        <v>39162.773550000005</v>
      </c>
      <c r="AG192" s="309">
        <f t="shared" si="271"/>
        <v>39162.773550000005</v>
      </c>
      <c r="AH192" s="24">
        <f t="shared" si="271"/>
        <v>156260.11350000001</v>
      </c>
      <c r="AI192" s="308">
        <f t="shared" si="271"/>
        <v>39295.159050000002</v>
      </c>
      <c r="AJ192" s="244">
        <f t="shared" si="271"/>
        <v>39295.159050000002</v>
      </c>
      <c r="AK192" s="244">
        <f t="shared" si="271"/>
        <v>39295.159050000002</v>
      </c>
      <c r="AL192" s="309">
        <f t="shared" si="271"/>
        <v>39295.159050000002</v>
      </c>
      <c r="AM192" s="24">
        <f t="shared" si="271"/>
        <v>157180.63620000001</v>
      </c>
      <c r="AN192" s="308">
        <f t="shared" si="271"/>
        <v>39552.057000000001</v>
      </c>
      <c r="AO192" s="244">
        <f t="shared" si="271"/>
        <v>39427.544549999999</v>
      </c>
      <c r="AP192" s="244">
        <f t="shared" si="271"/>
        <v>39427.544549999999</v>
      </c>
      <c r="AQ192" s="309">
        <f t="shared" si="271"/>
        <v>39427.544549999999</v>
      </c>
      <c r="AR192" s="24">
        <f t="shared" si="271"/>
        <v>157834.69065</v>
      </c>
      <c r="AS192" s="308">
        <f t="shared" si="271"/>
        <v>40422.428699999989</v>
      </c>
      <c r="AT192" s="244">
        <f t="shared" ref="AT192:AW192" si="272">+AT268</f>
        <v>42165.887699999992</v>
      </c>
      <c r="AU192" s="244">
        <f t="shared" si="272"/>
        <v>42165.887699999992</v>
      </c>
      <c r="AV192" s="309">
        <f t="shared" si="272"/>
        <v>42165.887699999992</v>
      </c>
      <c r="AW192" s="24">
        <f t="shared" si="272"/>
        <v>166920.09179999997</v>
      </c>
      <c r="AX192" s="308">
        <f t="shared" si="271"/>
        <v>42165.887699999992</v>
      </c>
      <c r="AY192" s="244">
        <f t="shared" si="271"/>
        <v>42165.887699999992</v>
      </c>
      <c r="AZ192" s="244">
        <f t="shared" si="271"/>
        <v>41798.843699999998</v>
      </c>
      <c r="BA192" s="309">
        <f t="shared" si="271"/>
        <v>40399.762200000005</v>
      </c>
      <c r="BB192" s="24">
        <f t="shared" si="271"/>
        <v>166530.38129999998</v>
      </c>
      <c r="BC192" s="308">
        <f t="shared" si="271"/>
        <v>40677.892199999995</v>
      </c>
      <c r="BD192" s="244">
        <f t="shared" si="271"/>
        <v>40677.892199999995</v>
      </c>
      <c r="BE192" s="244">
        <f t="shared" si="271"/>
        <v>40677.892199999995</v>
      </c>
      <c r="BF192" s="309">
        <f t="shared" si="271"/>
        <v>38973.174299999991</v>
      </c>
      <c r="BG192" s="24">
        <f t="shared" si="271"/>
        <v>161006.85089999999</v>
      </c>
      <c r="BH192" s="308">
        <f t="shared" si="271"/>
        <v>34879.604400000004</v>
      </c>
      <c r="BI192" s="244">
        <f t="shared" si="271"/>
        <v>38973.174299999991</v>
      </c>
      <c r="BJ192" s="244">
        <f t="shared" si="271"/>
        <v>38973.174299999991</v>
      </c>
      <c r="BK192" s="309">
        <f t="shared" si="271"/>
        <v>38973.174299999991</v>
      </c>
      <c r="BL192" s="24">
        <f t="shared" si="271"/>
        <v>151799.12729999996</v>
      </c>
      <c r="BM192" s="308">
        <f t="shared" ref="BM192:BQ192" si="273">+BM268</f>
        <v>38973.174299999991</v>
      </c>
      <c r="BN192" s="244">
        <f t="shared" si="273"/>
        <v>38973.174299999991</v>
      </c>
      <c r="BO192" s="244">
        <f t="shared" si="273"/>
        <v>38973.174299999991</v>
      </c>
      <c r="BP192" s="309">
        <f t="shared" si="273"/>
        <v>38973.174299999991</v>
      </c>
      <c r="BQ192" s="24">
        <f t="shared" si="273"/>
        <v>155892.69719999997</v>
      </c>
      <c r="BR192" s="40"/>
      <c r="BS192" s="40"/>
      <c r="BT192" s="40"/>
      <c r="BU192" s="232"/>
      <c r="CE192" s="40"/>
      <c r="CF192" s="40"/>
      <c r="CG192" s="40"/>
      <c r="CH192" s="40"/>
      <c r="CI192" s="40"/>
      <c r="CJ192" s="40"/>
      <c r="CK192" s="40"/>
      <c r="CL192" s="40"/>
      <c r="CM192" s="40"/>
      <c r="CN192" s="40"/>
      <c r="CO192" s="40"/>
      <c r="CP192" s="40"/>
      <c r="CQ192" s="40"/>
      <c r="CR192" s="40"/>
      <c r="CS192" s="40"/>
      <c r="CT192" s="823"/>
      <c r="CU192" s="232"/>
      <c r="CV192" s="232"/>
      <c r="CW192" s="232"/>
      <c r="CX192" s="232"/>
      <c r="CY192" s="232"/>
      <c r="CZ192" s="40"/>
      <c r="DA192" s="40"/>
      <c r="DB192" s="40"/>
      <c r="DC192" s="40"/>
      <c r="DD192" s="40"/>
      <c r="DE192" s="40"/>
      <c r="DF192" s="232"/>
      <c r="DG192" s="232"/>
      <c r="DH192" s="232"/>
      <c r="DI192" s="232"/>
      <c r="DJ192" s="232"/>
      <c r="DK192" s="232"/>
      <c r="DL192" s="232"/>
      <c r="DM192" s="232"/>
      <c r="DN192" s="232"/>
    </row>
    <row r="193" spans="1:118">
      <c r="A193" s="40"/>
      <c r="B193" s="1"/>
      <c r="C193" s="882" t="s">
        <v>1016</v>
      </c>
      <c r="D193" s="1"/>
      <c r="E193" s="273"/>
      <c r="F193" s="3"/>
      <c r="G193" s="3"/>
      <c r="H193" s="274"/>
      <c r="I193" s="28"/>
      <c r="J193" s="273"/>
      <c r="K193" s="3"/>
      <c r="L193" s="3"/>
      <c r="M193" s="274"/>
      <c r="N193" s="1"/>
      <c r="O193" s="273"/>
      <c r="P193" s="3"/>
      <c r="Q193" s="3"/>
      <c r="R193" s="274"/>
      <c r="S193" s="1"/>
      <c r="T193" s="308"/>
      <c r="U193" s="244"/>
      <c r="V193" s="244"/>
      <c r="W193" s="309"/>
      <c r="X193" s="24"/>
      <c r="Y193" s="308">
        <f>+Y383</f>
        <v>5631.366</v>
      </c>
      <c r="Z193" s="244">
        <f>+Z383</f>
        <v>5631.366</v>
      </c>
      <c r="AA193" s="244">
        <f>+AA383</f>
        <v>6443.1989999999996</v>
      </c>
      <c r="AB193" s="309">
        <f>+AB383</f>
        <v>5631.366</v>
      </c>
      <c r="AC193" s="24"/>
      <c r="AD193" s="308">
        <f>+AD383</f>
        <v>5817.5159999999996</v>
      </c>
      <c r="AE193" s="244">
        <f t="shared" ref="AE193:BB193" si="274">+AE383</f>
        <v>6119.0789999999988</v>
      </c>
      <c r="AF193" s="244">
        <f t="shared" si="274"/>
        <v>6119.0789999999988</v>
      </c>
      <c r="AG193" s="309">
        <f t="shared" si="274"/>
        <v>6281.1389999999992</v>
      </c>
      <c r="AH193" s="24">
        <f t="shared" si="274"/>
        <v>24336.813000000002</v>
      </c>
      <c r="AI193" s="308">
        <f t="shared" si="274"/>
        <v>4146.3270000000002</v>
      </c>
      <c r="AJ193" s="244">
        <f t="shared" si="274"/>
        <v>4417.4489999999996</v>
      </c>
      <c r="AK193" s="244">
        <f t="shared" si="274"/>
        <v>6365.2350000000006</v>
      </c>
      <c r="AL193" s="309">
        <f t="shared" si="274"/>
        <v>5391.9989999999998</v>
      </c>
      <c r="AM193" s="24">
        <f t="shared" si="274"/>
        <v>20321.010000000002</v>
      </c>
      <c r="AN193" s="308">
        <f t="shared" si="274"/>
        <v>4579.509</v>
      </c>
      <c r="AO193" s="244">
        <f t="shared" si="274"/>
        <v>4579.509</v>
      </c>
      <c r="AP193" s="244">
        <f t="shared" si="274"/>
        <v>4689.009</v>
      </c>
      <c r="AQ193" s="309">
        <f t="shared" si="274"/>
        <v>5229.9390000000003</v>
      </c>
      <c r="AR193" s="24">
        <f t="shared" si="274"/>
        <v>19077.966</v>
      </c>
      <c r="AS193" s="308">
        <f t="shared" si="274"/>
        <v>4580.1660000000002</v>
      </c>
      <c r="AT193" s="244">
        <f t="shared" ref="AT193:AW193" si="275">+AT383</f>
        <v>5067.8789999999999</v>
      </c>
      <c r="AU193" s="244">
        <f t="shared" si="275"/>
        <v>4689.009</v>
      </c>
      <c r="AV193" s="309">
        <f t="shared" si="275"/>
        <v>5870.0760000000009</v>
      </c>
      <c r="AW193" s="24">
        <f t="shared" si="275"/>
        <v>20207.13</v>
      </c>
      <c r="AX193" s="308">
        <f t="shared" si="274"/>
        <v>4537.68</v>
      </c>
      <c r="AY193" s="244">
        <f t="shared" si="274"/>
        <v>7530.2055000000009</v>
      </c>
      <c r="AZ193" s="244">
        <f t="shared" si="274"/>
        <v>7692.2655000000004</v>
      </c>
      <c r="BA193" s="309">
        <f t="shared" si="274"/>
        <v>7420.7055000000009</v>
      </c>
      <c r="BB193" s="24">
        <f t="shared" si="274"/>
        <v>27180.856500000002</v>
      </c>
      <c r="BC193" s="308">
        <f t="shared" ref="BC193:BL193" si="276">+BC383</f>
        <v>7582.7655000000004</v>
      </c>
      <c r="BD193" s="244">
        <f t="shared" si="276"/>
        <v>7530.2055000000009</v>
      </c>
      <c r="BE193" s="244">
        <f t="shared" si="276"/>
        <v>7692.2655000000004</v>
      </c>
      <c r="BF193" s="309">
        <f t="shared" si="276"/>
        <v>4537.68</v>
      </c>
      <c r="BG193" s="24">
        <f t="shared" si="276"/>
        <v>27342.916499999999</v>
      </c>
      <c r="BH193" s="308">
        <f t="shared" si="276"/>
        <v>7582.7655000000004</v>
      </c>
      <c r="BI193" s="244">
        <f t="shared" si="276"/>
        <v>7530.2055000000009</v>
      </c>
      <c r="BJ193" s="244">
        <f t="shared" si="276"/>
        <v>7692.2655000000004</v>
      </c>
      <c r="BK193" s="309">
        <f t="shared" si="276"/>
        <v>4537.68</v>
      </c>
      <c r="BL193" s="24">
        <f t="shared" si="276"/>
        <v>27342.916499999999</v>
      </c>
      <c r="BM193" s="308">
        <f t="shared" ref="BM193:BQ193" si="277">+BM383</f>
        <v>7582.7655000000004</v>
      </c>
      <c r="BN193" s="244">
        <f t="shared" si="277"/>
        <v>7692.2655000000004</v>
      </c>
      <c r="BO193" s="244">
        <f t="shared" si="277"/>
        <v>7692.2655000000004</v>
      </c>
      <c r="BP193" s="309">
        <f t="shared" si="277"/>
        <v>6378.2655000000004</v>
      </c>
      <c r="BQ193" s="24">
        <f t="shared" si="277"/>
        <v>29345.562000000002</v>
      </c>
      <c r="BR193" s="40"/>
      <c r="BS193" s="40"/>
      <c r="BT193" s="40"/>
      <c r="BU193" s="232"/>
      <c r="CE193" s="40"/>
      <c r="CF193" s="40"/>
      <c r="CG193" s="40"/>
      <c r="CH193" s="40"/>
      <c r="CI193" s="40"/>
      <c r="CJ193" s="40"/>
      <c r="CK193" s="40"/>
      <c r="CL193" s="40"/>
      <c r="CM193" s="40"/>
      <c r="CN193" s="40"/>
      <c r="CO193" s="40"/>
      <c r="CP193" s="40"/>
      <c r="CQ193" s="40"/>
      <c r="CR193" s="40"/>
      <c r="CS193" s="40"/>
      <c r="CT193" s="823"/>
      <c r="CU193" s="232"/>
      <c r="CV193" s="232"/>
      <c r="CW193" s="232"/>
      <c r="CX193" s="232"/>
      <c r="CY193" s="232"/>
      <c r="CZ193" s="40"/>
      <c r="DA193" s="40"/>
      <c r="DB193" s="40"/>
      <c r="DC193" s="40"/>
      <c r="DD193" s="40"/>
      <c r="DE193" s="40"/>
      <c r="DF193" s="232"/>
      <c r="DG193" s="232"/>
      <c r="DH193" s="232"/>
      <c r="DI193" s="232"/>
      <c r="DJ193" s="232"/>
      <c r="DK193" s="232"/>
      <c r="DL193" s="232"/>
      <c r="DM193" s="232"/>
      <c r="DN193" s="232"/>
    </row>
    <row r="194" spans="1:118">
      <c r="A194" s="40"/>
      <c r="B194" s="1"/>
      <c r="C194" s="882" t="s">
        <v>849</v>
      </c>
      <c r="D194" s="1"/>
      <c r="E194" s="273"/>
      <c r="F194" s="3"/>
      <c r="G194" s="3"/>
      <c r="H194" s="274"/>
      <c r="I194" s="28"/>
      <c r="J194" s="273"/>
      <c r="K194" s="3"/>
      <c r="L194" s="3"/>
      <c r="M194" s="274"/>
      <c r="N194" s="1"/>
      <c r="O194" s="273"/>
      <c r="P194" s="3"/>
      <c r="Q194" s="3"/>
      <c r="R194" s="274"/>
      <c r="S194" s="1"/>
      <c r="T194" s="290"/>
      <c r="U194" s="260"/>
      <c r="V194" s="260"/>
      <c r="W194" s="291"/>
      <c r="X194" s="45"/>
      <c r="Y194" s="290">
        <f>+Y554</f>
        <v>1305.6779999999999</v>
      </c>
      <c r="Z194" s="260">
        <f>+Z554</f>
        <v>1305.6779999999999</v>
      </c>
      <c r="AA194" s="260">
        <f>+AA554</f>
        <v>1305.6779999999999</v>
      </c>
      <c r="AB194" s="291">
        <f>+AB554</f>
        <v>1305.6779999999999</v>
      </c>
      <c r="AC194" s="45"/>
      <c r="AD194" s="290">
        <f>+AD554</f>
        <v>1305.6779999999999</v>
      </c>
      <c r="AE194" s="260">
        <f t="shared" ref="AE194:BB194" si="278">+AE554</f>
        <v>1305.6779999999999</v>
      </c>
      <c r="AF194" s="260">
        <f t="shared" si="278"/>
        <v>1305.6779999999999</v>
      </c>
      <c r="AG194" s="291">
        <f t="shared" si="278"/>
        <v>1305.6779999999999</v>
      </c>
      <c r="AH194" s="45">
        <f t="shared" si="278"/>
        <v>5222.7119999999995</v>
      </c>
      <c r="AI194" s="290">
        <f t="shared" si="278"/>
        <v>1305.6779999999999</v>
      </c>
      <c r="AJ194" s="260">
        <f t="shared" si="278"/>
        <v>1305.6779999999999</v>
      </c>
      <c r="AK194" s="260">
        <f t="shared" si="278"/>
        <v>1305.6779999999999</v>
      </c>
      <c r="AL194" s="291">
        <f t="shared" si="278"/>
        <v>1305.6779999999999</v>
      </c>
      <c r="AM194" s="45">
        <f t="shared" si="278"/>
        <v>5222.7119999999995</v>
      </c>
      <c r="AN194" s="290">
        <f t="shared" si="278"/>
        <v>1305.6779999999999</v>
      </c>
      <c r="AO194" s="260">
        <f t="shared" si="278"/>
        <v>1305.6779999999999</v>
      </c>
      <c r="AP194" s="260">
        <f t="shared" si="278"/>
        <v>1305.6779999999999</v>
      </c>
      <c r="AQ194" s="291">
        <f t="shared" si="278"/>
        <v>1573.9529999999997</v>
      </c>
      <c r="AR194" s="45">
        <f t="shared" si="278"/>
        <v>5490.9869999999992</v>
      </c>
      <c r="AS194" s="290">
        <f t="shared" si="278"/>
        <v>1573.9529999999995</v>
      </c>
      <c r="AT194" s="260">
        <f t="shared" ref="AT194:AW194" si="279">+AT554</f>
        <v>1573.9529999999995</v>
      </c>
      <c r="AU194" s="260">
        <f t="shared" si="279"/>
        <v>1628.7029999999995</v>
      </c>
      <c r="AV194" s="291">
        <f t="shared" si="279"/>
        <v>1628.7029999999995</v>
      </c>
      <c r="AW194" s="45">
        <f t="shared" si="279"/>
        <v>6405.3119999999981</v>
      </c>
      <c r="AX194" s="290">
        <f t="shared" si="278"/>
        <v>1628.7029999999995</v>
      </c>
      <c r="AY194" s="260">
        <f t="shared" si="278"/>
        <v>1628.7029999999995</v>
      </c>
      <c r="AZ194" s="260">
        <f t="shared" si="278"/>
        <v>1628.7029999999995</v>
      </c>
      <c r="BA194" s="291">
        <f t="shared" si="278"/>
        <v>1628.7029999999995</v>
      </c>
      <c r="BB194" s="45">
        <f t="shared" si="278"/>
        <v>6514.8119999999981</v>
      </c>
      <c r="BC194" s="290">
        <f t="shared" ref="BC194:BL194" si="280">+BC554</f>
        <v>1628.7029999999995</v>
      </c>
      <c r="BD194" s="260">
        <f t="shared" si="280"/>
        <v>1628.7029999999995</v>
      </c>
      <c r="BE194" s="260">
        <f t="shared" si="280"/>
        <v>1628.7029999999995</v>
      </c>
      <c r="BF194" s="291">
        <f t="shared" si="280"/>
        <v>1628.7029999999995</v>
      </c>
      <c r="BG194" s="45">
        <f t="shared" si="280"/>
        <v>6514.8119999999981</v>
      </c>
      <c r="BH194" s="290">
        <f t="shared" si="280"/>
        <v>1628.7029999999995</v>
      </c>
      <c r="BI194" s="260">
        <f t="shared" si="280"/>
        <v>1628.7029999999995</v>
      </c>
      <c r="BJ194" s="260">
        <f t="shared" si="280"/>
        <v>1628.7029999999995</v>
      </c>
      <c r="BK194" s="291">
        <f t="shared" si="280"/>
        <v>1628.7029999999995</v>
      </c>
      <c r="BL194" s="45">
        <f t="shared" si="280"/>
        <v>6514.8119999999981</v>
      </c>
      <c r="BM194" s="290">
        <f t="shared" ref="BM194:BQ194" si="281">+BM554</f>
        <v>1628.7029999999995</v>
      </c>
      <c r="BN194" s="260">
        <f t="shared" si="281"/>
        <v>1628.7029999999995</v>
      </c>
      <c r="BO194" s="260">
        <f t="shared" si="281"/>
        <v>1628.7029999999995</v>
      </c>
      <c r="BP194" s="291">
        <f t="shared" si="281"/>
        <v>1628.7029999999995</v>
      </c>
      <c r="BQ194" s="45">
        <f t="shared" si="281"/>
        <v>6514.8119999999981</v>
      </c>
      <c r="BR194" s="40"/>
      <c r="BS194" s="40"/>
      <c r="BT194" s="40"/>
      <c r="BU194" s="232"/>
      <c r="CE194" s="40"/>
      <c r="CF194" s="40"/>
      <c r="CG194" s="40"/>
      <c r="CH194" s="40"/>
      <c r="CI194" s="40"/>
      <c r="CJ194" s="40"/>
      <c r="CK194" s="40"/>
      <c r="CL194" s="40"/>
      <c r="CM194" s="40"/>
      <c r="CN194" s="40"/>
      <c r="CO194" s="40"/>
      <c r="CP194" s="40"/>
      <c r="CQ194" s="40"/>
      <c r="CR194" s="40"/>
      <c r="CS194" s="40"/>
      <c r="CT194" s="823"/>
      <c r="CU194" s="232"/>
      <c r="CV194" s="232"/>
      <c r="CW194" s="232"/>
      <c r="CX194" s="232"/>
      <c r="CY194" s="232"/>
      <c r="CZ194" s="40"/>
      <c r="DA194" s="40"/>
      <c r="DB194" s="40"/>
      <c r="DC194" s="40"/>
      <c r="DD194" s="40"/>
      <c r="DE194" s="40"/>
      <c r="DF194" s="232"/>
      <c r="DG194" s="232"/>
      <c r="DH194" s="232"/>
      <c r="DI194" s="232"/>
      <c r="DJ194" s="232"/>
      <c r="DK194" s="232"/>
      <c r="DL194" s="232"/>
      <c r="DM194" s="232"/>
      <c r="DN194" s="232"/>
    </row>
    <row r="195" spans="1:118">
      <c r="A195" s="40"/>
      <c r="B195" s="1"/>
      <c r="C195" s="882" t="s">
        <v>395</v>
      </c>
      <c r="D195" s="1"/>
      <c r="E195" s="273"/>
      <c r="F195" s="3"/>
      <c r="G195" s="3"/>
      <c r="H195" s="274"/>
      <c r="I195" s="28"/>
      <c r="J195" s="273"/>
      <c r="K195" s="3"/>
      <c r="L195" s="3"/>
      <c r="M195" s="274"/>
      <c r="N195" s="1"/>
      <c r="O195" s="273"/>
      <c r="P195" s="3"/>
      <c r="Q195" s="3"/>
      <c r="R195" s="274"/>
      <c r="S195" s="1"/>
      <c r="T195" s="308"/>
      <c r="U195" s="244"/>
      <c r="V195" s="244"/>
      <c r="W195" s="309"/>
      <c r="X195" s="24"/>
      <c r="Y195" s="308">
        <f>+Y601</f>
        <v>1034.1179999999999</v>
      </c>
      <c r="Z195" s="244">
        <f>+Z601</f>
        <v>1034.1179999999999</v>
      </c>
      <c r="AA195" s="244">
        <f>+AA601</f>
        <v>1034.1179999999999</v>
      </c>
      <c r="AB195" s="309">
        <f>+AB601</f>
        <v>1034.1179999999999</v>
      </c>
      <c r="AC195" s="24"/>
      <c r="AD195" s="308">
        <f>+AD601</f>
        <v>1034.1179999999999</v>
      </c>
      <c r="AE195" s="244">
        <f t="shared" ref="AE195:BB195" si="282">+AE601</f>
        <v>1034.1179999999999</v>
      </c>
      <c r="AF195" s="244">
        <f t="shared" si="282"/>
        <v>1034.1179999999999</v>
      </c>
      <c r="AG195" s="309">
        <f t="shared" si="282"/>
        <v>851.47199999999998</v>
      </c>
      <c r="AH195" s="24">
        <f t="shared" si="282"/>
        <v>3953.826</v>
      </c>
      <c r="AI195" s="308">
        <f t="shared" si="282"/>
        <v>851.47199999999998</v>
      </c>
      <c r="AJ195" s="244">
        <f t="shared" si="282"/>
        <v>851.47199999999998</v>
      </c>
      <c r="AK195" s="244">
        <f t="shared" si="282"/>
        <v>851.47199999999998</v>
      </c>
      <c r="AL195" s="309">
        <f t="shared" si="282"/>
        <v>851.47199999999998</v>
      </c>
      <c r="AM195" s="24">
        <f t="shared" si="282"/>
        <v>3405.8879999999999</v>
      </c>
      <c r="AN195" s="308">
        <f t="shared" si="282"/>
        <v>851.47199999999998</v>
      </c>
      <c r="AO195" s="244">
        <f t="shared" si="282"/>
        <v>851.47199999999998</v>
      </c>
      <c r="AP195" s="244">
        <f t="shared" si="282"/>
        <v>851.47199999999998</v>
      </c>
      <c r="AQ195" s="309">
        <f t="shared" si="282"/>
        <v>851.47199999999998</v>
      </c>
      <c r="AR195" s="24">
        <f t="shared" si="282"/>
        <v>3405.8879999999999</v>
      </c>
      <c r="AS195" s="308">
        <f t="shared" si="282"/>
        <v>851.47199999999998</v>
      </c>
      <c r="AT195" s="244">
        <f t="shared" ref="AT195:AW195" si="283">+AT601</f>
        <v>851.47199999999998</v>
      </c>
      <c r="AU195" s="244">
        <f t="shared" si="283"/>
        <v>851.47199999999998</v>
      </c>
      <c r="AV195" s="309">
        <f t="shared" si="283"/>
        <v>851.47199999999998</v>
      </c>
      <c r="AW195" s="24">
        <f t="shared" si="283"/>
        <v>3405.8879999999999</v>
      </c>
      <c r="AX195" s="308">
        <f t="shared" si="282"/>
        <v>851.47199999999998</v>
      </c>
      <c r="AY195" s="244">
        <f t="shared" si="282"/>
        <v>851.47199999999998</v>
      </c>
      <c r="AZ195" s="244">
        <f t="shared" si="282"/>
        <v>851.47199999999998</v>
      </c>
      <c r="BA195" s="309">
        <f t="shared" si="282"/>
        <v>851.47199999999998</v>
      </c>
      <c r="BB195" s="24">
        <f t="shared" si="282"/>
        <v>3405.8879999999999</v>
      </c>
      <c r="BC195" s="308">
        <f t="shared" ref="BC195:BL195" si="284">+BC601</f>
        <v>851.47199999999998</v>
      </c>
      <c r="BD195" s="244">
        <f t="shared" si="284"/>
        <v>851.47199999999998</v>
      </c>
      <c r="BE195" s="244">
        <f t="shared" si="284"/>
        <v>851.47199999999998</v>
      </c>
      <c r="BF195" s="309">
        <f t="shared" si="284"/>
        <v>851.47199999999998</v>
      </c>
      <c r="BG195" s="24">
        <f t="shared" si="284"/>
        <v>3405.8879999999999</v>
      </c>
      <c r="BH195" s="308">
        <f t="shared" si="284"/>
        <v>851.47199999999998</v>
      </c>
      <c r="BI195" s="244">
        <f t="shared" si="284"/>
        <v>851.47199999999998</v>
      </c>
      <c r="BJ195" s="244">
        <f t="shared" si="284"/>
        <v>851.47199999999998</v>
      </c>
      <c r="BK195" s="309">
        <f t="shared" si="284"/>
        <v>851.47199999999998</v>
      </c>
      <c r="BL195" s="24">
        <f t="shared" si="284"/>
        <v>3405.8879999999999</v>
      </c>
      <c r="BM195" s="308">
        <f t="shared" ref="BM195:BQ195" si="285">+BM601</f>
        <v>851.47199999999998</v>
      </c>
      <c r="BN195" s="244">
        <f t="shared" si="285"/>
        <v>851.47199999999998</v>
      </c>
      <c r="BO195" s="244">
        <f t="shared" si="285"/>
        <v>851.47199999999998</v>
      </c>
      <c r="BP195" s="309">
        <f t="shared" si="285"/>
        <v>851.47199999999998</v>
      </c>
      <c r="BQ195" s="24">
        <f t="shared" si="285"/>
        <v>3405.8879999999999</v>
      </c>
      <c r="BR195" s="40"/>
      <c r="BS195" s="40"/>
      <c r="BT195" s="40"/>
      <c r="BU195" s="232"/>
      <c r="CE195" s="40"/>
      <c r="CH195" s="40"/>
      <c r="CI195" s="40"/>
      <c r="CJ195" s="40"/>
      <c r="CK195" s="40"/>
      <c r="CL195" s="40"/>
      <c r="CM195" s="40"/>
      <c r="CN195" s="40"/>
      <c r="CO195" s="40"/>
      <c r="CP195" s="40"/>
      <c r="CQ195" s="40"/>
      <c r="CR195" s="40"/>
      <c r="CS195" s="40"/>
      <c r="CT195" s="823"/>
      <c r="CU195" s="232"/>
      <c r="CV195" s="232"/>
      <c r="CW195" s="232"/>
      <c r="CX195" s="232"/>
      <c r="CY195" s="232"/>
      <c r="CZ195" s="40"/>
      <c r="DA195" s="40"/>
      <c r="DB195" s="40"/>
      <c r="DC195" s="40"/>
      <c r="DD195" s="40"/>
      <c r="DE195" s="40"/>
      <c r="DF195" s="232"/>
      <c r="DG195" s="232"/>
      <c r="DH195" s="232"/>
      <c r="DI195" s="232"/>
      <c r="DJ195" s="232"/>
      <c r="DK195" s="232"/>
      <c r="DL195" s="232"/>
      <c r="DM195" s="232"/>
      <c r="DN195" s="232"/>
    </row>
    <row r="196" spans="1:118">
      <c r="A196" s="40"/>
      <c r="B196" s="1"/>
      <c r="C196" s="882" t="s">
        <v>371</v>
      </c>
      <c r="D196" s="1"/>
      <c r="E196" s="273"/>
      <c r="F196" s="3"/>
      <c r="G196" s="3"/>
      <c r="H196" s="274"/>
      <c r="I196" s="28"/>
      <c r="J196" s="273"/>
      <c r="K196" s="3"/>
      <c r="L196" s="3"/>
      <c r="M196" s="274"/>
      <c r="N196" s="1"/>
      <c r="O196" s="273"/>
      <c r="P196" s="3"/>
      <c r="Q196" s="3"/>
      <c r="R196" s="274"/>
      <c r="S196" s="1"/>
      <c r="T196" s="290"/>
      <c r="U196" s="260"/>
      <c r="V196" s="260"/>
      <c r="W196" s="291"/>
      <c r="X196" s="45"/>
      <c r="Y196" s="290">
        <f>Y639</f>
        <v>1851.4259999999999</v>
      </c>
      <c r="Z196" s="260">
        <f>Z639</f>
        <v>1851.4259999999999</v>
      </c>
      <c r="AA196" s="260">
        <f>AA639</f>
        <v>1851.4259999999999</v>
      </c>
      <c r="AB196" s="291">
        <f>AB639</f>
        <v>1851.4259999999999</v>
      </c>
      <c r="AC196" s="45"/>
      <c r="AD196" s="290">
        <f>AD639</f>
        <v>1851.4259999999999</v>
      </c>
      <c r="AE196" s="260">
        <f t="shared" ref="AE196:BB196" si="286">AE639</f>
        <v>1851.4259999999999</v>
      </c>
      <c r="AF196" s="260">
        <f t="shared" si="286"/>
        <v>1851.4259999999999</v>
      </c>
      <c r="AG196" s="291">
        <f t="shared" si="286"/>
        <v>1851.4259999999999</v>
      </c>
      <c r="AH196" s="45">
        <f t="shared" si="286"/>
        <v>7405.7039999999997</v>
      </c>
      <c r="AI196" s="290">
        <f t="shared" si="286"/>
        <v>210.24</v>
      </c>
      <c r="AJ196" s="260">
        <f t="shared" si="286"/>
        <v>210.24</v>
      </c>
      <c r="AK196" s="260">
        <f t="shared" si="286"/>
        <v>210.24</v>
      </c>
      <c r="AL196" s="291">
        <f t="shared" si="286"/>
        <v>210.24</v>
      </c>
      <c r="AM196" s="45">
        <f t="shared" si="286"/>
        <v>840.96</v>
      </c>
      <c r="AN196" s="290">
        <f t="shared" si="286"/>
        <v>210.24</v>
      </c>
      <c r="AO196" s="260">
        <f t="shared" si="286"/>
        <v>210.24</v>
      </c>
      <c r="AP196" s="260">
        <f t="shared" si="286"/>
        <v>210.24</v>
      </c>
      <c r="AQ196" s="291">
        <f t="shared" si="286"/>
        <v>210.24</v>
      </c>
      <c r="AR196" s="45">
        <f t="shared" si="286"/>
        <v>840.96</v>
      </c>
      <c r="AS196" s="290">
        <f t="shared" si="286"/>
        <v>210.24</v>
      </c>
      <c r="AT196" s="260">
        <f t="shared" ref="AT196:AW196" si="287">AT639</f>
        <v>210.24</v>
      </c>
      <c r="AU196" s="260">
        <f t="shared" si="287"/>
        <v>210.24</v>
      </c>
      <c r="AV196" s="291">
        <f t="shared" si="287"/>
        <v>210.24</v>
      </c>
      <c r="AW196" s="45">
        <f t="shared" si="287"/>
        <v>840.96</v>
      </c>
      <c r="AX196" s="290">
        <f t="shared" si="286"/>
        <v>210.24</v>
      </c>
      <c r="AY196" s="260">
        <f t="shared" si="286"/>
        <v>210.24</v>
      </c>
      <c r="AZ196" s="260">
        <f t="shared" si="286"/>
        <v>210.24</v>
      </c>
      <c r="BA196" s="291">
        <f t="shared" si="286"/>
        <v>210.24</v>
      </c>
      <c r="BB196" s="45">
        <f t="shared" si="286"/>
        <v>840.96</v>
      </c>
      <c r="BC196" s="290">
        <f t="shared" ref="BC196:BL196" si="288">BC639</f>
        <v>210.24</v>
      </c>
      <c r="BD196" s="260">
        <f t="shared" si="288"/>
        <v>210.24</v>
      </c>
      <c r="BE196" s="260">
        <f t="shared" si="288"/>
        <v>210.24</v>
      </c>
      <c r="BF196" s="291">
        <f t="shared" si="288"/>
        <v>210.24</v>
      </c>
      <c r="BG196" s="45">
        <f t="shared" si="288"/>
        <v>840.96</v>
      </c>
      <c r="BH196" s="290">
        <f t="shared" si="288"/>
        <v>210.24</v>
      </c>
      <c r="BI196" s="260">
        <f t="shared" si="288"/>
        <v>210.24</v>
      </c>
      <c r="BJ196" s="260">
        <f t="shared" si="288"/>
        <v>210.24</v>
      </c>
      <c r="BK196" s="291">
        <f t="shared" si="288"/>
        <v>210.24</v>
      </c>
      <c r="BL196" s="45">
        <f t="shared" si="288"/>
        <v>840.96</v>
      </c>
      <c r="BM196" s="290">
        <f t="shared" ref="BM196:BQ196" si="289">BM639</f>
        <v>210.24</v>
      </c>
      <c r="BN196" s="260">
        <f t="shared" si="289"/>
        <v>210.24</v>
      </c>
      <c r="BO196" s="260">
        <f t="shared" si="289"/>
        <v>210.24</v>
      </c>
      <c r="BP196" s="291">
        <f t="shared" si="289"/>
        <v>210.24</v>
      </c>
      <c r="BQ196" s="45">
        <f t="shared" si="289"/>
        <v>840.96</v>
      </c>
      <c r="BR196" s="40"/>
      <c r="BS196" s="40"/>
      <c r="BT196" s="40"/>
      <c r="BU196" s="232"/>
      <c r="CE196" s="40"/>
      <c r="CH196" s="40"/>
      <c r="CI196" s="40"/>
      <c r="CJ196" s="40"/>
      <c r="CK196" s="40"/>
      <c r="CL196" s="40"/>
      <c r="CM196" s="40"/>
      <c r="CN196" s="40"/>
      <c r="CO196" s="40"/>
      <c r="CP196" s="40"/>
      <c r="CQ196" s="40"/>
      <c r="CR196" s="40"/>
      <c r="CS196" s="40"/>
      <c r="CT196" s="823"/>
      <c r="CU196" s="232"/>
      <c r="CV196" s="232"/>
      <c r="CW196" s="232"/>
      <c r="CX196" s="232"/>
      <c r="CY196" s="232"/>
      <c r="CZ196" s="40"/>
      <c r="DA196" s="40"/>
      <c r="DB196" s="40"/>
      <c r="DC196" s="40"/>
      <c r="DD196" s="40"/>
      <c r="DE196" s="40"/>
      <c r="DF196" s="232"/>
      <c r="DG196" s="232"/>
      <c r="DH196" s="232"/>
      <c r="DI196" s="232"/>
      <c r="DJ196" s="232"/>
      <c r="DK196" s="232"/>
      <c r="DL196" s="232"/>
      <c r="DM196" s="232"/>
      <c r="DN196" s="232"/>
    </row>
    <row r="197" spans="1:118">
      <c r="A197" s="40"/>
      <c r="B197" s="32"/>
      <c r="C197" s="446" t="s">
        <v>399</v>
      </c>
      <c r="D197" s="32"/>
      <c r="E197" s="489"/>
      <c r="F197" s="342"/>
      <c r="G197" s="342"/>
      <c r="H197" s="490"/>
      <c r="I197" s="32"/>
      <c r="J197" s="489"/>
      <c r="K197" s="342"/>
      <c r="L197" s="342"/>
      <c r="M197" s="490"/>
      <c r="N197" s="32"/>
      <c r="O197" s="489"/>
      <c r="P197" s="342"/>
      <c r="Q197" s="342"/>
      <c r="R197" s="490"/>
      <c r="S197" s="32"/>
      <c r="T197" s="301"/>
      <c r="U197" s="265"/>
      <c r="V197" s="265"/>
      <c r="W197" s="302"/>
      <c r="X197" s="445"/>
      <c r="Y197" s="301">
        <f>SUM(Y192:Y196)</f>
        <v>44491.536300000014</v>
      </c>
      <c r="Z197" s="265">
        <f>SUM(Z192:Z196)</f>
        <v>44491.536300000014</v>
      </c>
      <c r="AA197" s="265">
        <f>SUM(AA192:AA196)</f>
        <v>45303.369300000013</v>
      </c>
      <c r="AB197" s="302">
        <f>SUM(AB192:AB196)</f>
        <v>44491.536300000014</v>
      </c>
      <c r="AC197" s="445"/>
      <c r="AD197" s="301">
        <f t="shared" ref="AD197:BL197" si="290">SUM(AD192:AD196)</f>
        <v>48780.530850000003</v>
      </c>
      <c r="AE197" s="265">
        <f t="shared" si="290"/>
        <v>49473.074550000005</v>
      </c>
      <c r="AF197" s="265">
        <f t="shared" si="290"/>
        <v>49473.074550000005</v>
      </c>
      <c r="AG197" s="302">
        <f t="shared" si="290"/>
        <v>49452.488550000009</v>
      </c>
      <c r="AH197" s="445">
        <f t="shared" si="290"/>
        <v>197179.1685</v>
      </c>
      <c r="AI197" s="301">
        <f t="shared" si="290"/>
        <v>45808.876049999999</v>
      </c>
      <c r="AJ197" s="265">
        <f t="shared" si="290"/>
        <v>46079.998050000002</v>
      </c>
      <c r="AK197" s="265">
        <f t="shared" si="290"/>
        <v>48027.784050000002</v>
      </c>
      <c r="AL197" s="302">
        <f t="shared" si="290"/>
        <v>47054.548049999998</v>
      </c>
      <c r="AM197" s="445">
        <f t="shared" si="290"/>
        <v>186971.20620000002</v>
      </c>
      <c r="AN197" s="301">
        <f t="shared" si="290"/>
        <v>46498.955999999998</v>
      </c>
      <c r="AO197" s="265">
        <f t="shared" si="290"/>
        <v>46374.443549999996</v>
      </c>
      <c r="AP197" s="265">
        <f t="shared" si="290"/>
        <v>46483.943549999996</v>
      </c>
      <c r="AQ197" s="302">
        <f t="shared" si="290"/>
        <v>47293.148549999998</v>
      </c>
      <c r="AR197" s="445">
        <f t="shared" si="290"/>
        <v>186650.49165000001</v>
      </c>
      <c r="AS197" s="301">
        <f t="shared" si="290"/>
        <v>47638.259699999988</v>
      </c>
      <c r="AT197" s="265">
        <f t="shared" ref="AT197:AW197" si="291">SUM(AT192:AT196)</f>
        <v>49869.431699999994</v>
      </c>
      <c r="AU197" s="265">
        <f t="shared" si="291"/>
        <v>49545.311699999991</v>
      </c>
      <c r="AV197" s="302">
        <f t="shared" si="291"/>
        <v>50726.378699999994</v>
      </c>
      <c r="AW197" s="445">
        <f t="shared" si="291"/>
        <v>197779.38179999997</v>
      </c>
      <c r="AX197" s="301">
        <f t="shared" si="290"/>
        <v>49393.982699999993</v>
      </c>
      <c r="AY197" s="265">
        <f t="shared" si="290"/>
        <v>52386.508199999997</v>
      </c>
      <c r="AZ197" s="265">
        <f t="shared" si="290"/>
        <v>52181.5242</v>
      </c>
      <c r="BA197" s="302">
        <f t="shared" si="290"/>
        <v>50510.882700000009</v>
      </c>
      <c r="BB197" s="445">
        <f t="shared" si="290"/>
        <v>204472.89779999998</v>
      </c>
      <c r="BC197" s="301">
        <f t="shared" si="290"/>
        <v>50951.072699999997</v>
      </c>
      <c r="BD197" s="265">
        <f t="shared" si="290"/>
        <v>50898.512699999999</v>
      </c>
      <c r="BE197" s="265">
        <f t="shared" si="290"/>
        <v>51060.572699999997</v>
      </c>
      <c r="BF197" s="302">
        <f t="shared" si="290"/>
        <v>46201.269299999993</v>
      </c>
      <c r="BG197" s="445">
        <f t="shared" si="290"/>
        <v>199111.42739999999</v>
      </c>
      <c r="BH197" s="301">
        <f t="shared" si="290"/>
        <v>45152.784900000006</v>
      </c>
      <c r="BI197" s="265">
        <f t="shared" si="290"/>
        <v>49193.794799999996</v>
      </c>
      <c r="BJ197" s="265">
        <f t="shared" si="290"/>
        <v>49355.854799999994</v>
      </c>
      <c r="BK197" s="302">
        <f t="shared" si="290"/>
        <v>46201.269299999993</v>
      </c>
      <c r="BL197" s="445">
        <f t="shared" si="290"/>
        <v>189903.70379999996</v>
      </c>
      <c r="BM197" s="301">
        <f t="shared" ref="BM197:BQ197" si="292">SUM(BM192:BM196)</f>
        <v>49246.354799999994</v>
      </c>
      <c r="BN197" s="265">
        <f t="shared" si="292"/>
        <v>49355.854799999994</v>
      </c>
      <c r="BO197" s="265">
        <f t="shared" si="292"/>
        <v>49355.854799999994</v>
      </c>
      <c r="BP197" s="302">
        <f t="shared" si="292"/>
        <v>48041.854799999994</v>
      </c>
      <c r="BQ197" s="445">
        <f t="shared" si="292"/>
        <v>195999.91919999997</v>
      </c>
      <c r="BR197" s="40"/>
      <c r="BS197" s="40"/>
      <c r="BT197" s="40"/>
      <c r="BU197" s="232"/>
      <c r="CE197" s="40"/>
      <c r="CH197" s="40"/>
      <c r="CI197" s="40"/>
      <c r="CJ197" s="40"/>
      <c r="CK197" s="40"/>
      <c r="CL197" s="40"/>
      <c r="CM197" s="40"/>
      <c r="CN197" s="40"/>
      <c r="CO197" s="40"/>
      <c r="CP197" s="40"/>
      <c r="CQ197" s="40"/>
      <c r="CR197" s="40"/>
      <c r="CS197" s="40"/>
      <c r="CT197" s="823"/>
      <c r="CU197" s="232"/>
      <c r="CV197" s="232"/>
      <c r="CW197" s="232"/>
      <c r="CX197" s="232"/>
      <c r="CY197" s="232"/>
      <c r="CZ197" s="40"/>
      <c r="DA197" s="40"/>
      <c r="DB197" s="40"/>
      <c r="DC197" s="40"/>
      <c r="DD197" s="40"/>
      <c r="DE197" s="40"/>
      <c r="DF197" s="232"/>
      <c r="DG197" s="232"/>
      <c r="DH197" s="232"/>
      <c r="DI197" s="232"/>
      <c r="DJ197" s="232"/>
      <c r="DK197" s="232"/>
      <c r="DL197" s="232"/>
      <c r="DM197" s="232"/>
      <c r="DN197" s="232"/>
    </row>
    <row r="198" spans="1:118">
      <c r="A198" s="40"/>
      <c r="B198" s="1"/>
      <c r="C198" s="542"/>
      <c r="D198" s="1"/>
      <c r="E198" s="273"/>
      <c r="F198" s="3"/>
      <c r="G198" s="3"/>
      <c r="H198" s="274"/>
      <c r="I198" s="28"/>
      <c r="J198" s="273"/>
      <c r="K198" s="3"/>
      <c r="L198" s="3"/>
      <c r="M198" s="274"/>
      <c r="N198" s="1"/>
      <c r="O198" s="273"/>
      <c r="P198" s="3"/>
      <c r="Q198" s="3"/>
      <c r="R198" s="274"/>
      <c r="S198" s="1"/>
      <c r="T198" s="321"/>
      <c r="U198" s="1152"/>
      <c r="V198" s="333"/>
      <c r="W198" s="334"/>
      <c r="X198" s="331"/>
      <c r="Y198" s="321"/>
      <c r="Z198" s="333"/>
      <c r="AA198" s="333"/>
      <c r="AB198" s="334"/>
      <c r="AC198" s="331"/>
      <c r="AD198" s="321"/>
      <c r="AE198" s="333"/>
      <c r="AF198" s="333"/>
      <c r="AG198" s="334"/>
      <c r="AH198" s="331"/>
      <c r="AI198" s="321"/>
      <c r="AJ198" s="333"/>
      <c r="AK198" s="333"/>
      <c r="AL198" s="334"/>
      <c r="AM198" s="331"/>
      <c r="AN198" s="321"/>
      <c r="AO198" s="333"/>
      <c r="AP198" s="333"/>
      <c r="AQ198" s="334"/>
      <c r="AR198" s="331"/>
      <c r="AS198" s="321"/>
      <c r="AT198" s="333"/>
      <c r="AU198" s="333"/>
      <c r="AV198" s="334"/>
      <c r="AW198" s="331"/>
      <c r="AX198" s="321"/>
      <c r="AY198" s="333"/>
      <c r="AZ198" s="333"/>
      <c r="BA198" s="334"/>
      <c r="BB198" s="331"/>
      <c r="BC198" s="321"/>
      <c r="BD198" s="333"/>
      <c r="BE198" s="333"/>
      <c r="BF198" s="334"/>
      <c r="BG198" s="331"/>
      <c r="BH198" s="321"/>
      <c r="BI198" s="333"/>
      <c r="BJ198" s="333"/>
      <c r="BK198" s="334"/>
      <c r="BL198" s="331"/>
      <c r="BM198" s="321"/>
      <c r="BN198" s="333"/>
      <c r="BO198" s="333"/>
      <c r="BP198" s="334"/>
      <c r="BQ198" s="331"/>
      <c r="BR198"/>
      <c r="BS198" s="40"/>
      <c r="BT198" s="40"/>
      <c r="BU198" s="232"/>
      <c r="CE198" s="40"/>
      <c r="CI198" s="40"/>
      <c r="CJ198" s="40"/>
      <c r="CK198" s="40"/>
      <c r="CL198" s="40"/>
      <c r="CM198" s="40"/>
      <c r="CN198" s="40"/>
      <c r="CO198" s="40"/>
      <c r="CP198" s="40"/>
      <c r="CQ198" s="40"/>
      <c r="CR198" s="40"/>
      <c r="CS198" s="40"/>
      <c r="CT198" s="823"/>
      <c r="CU198" s="232"/>
      <c r="CV198" s="232"/>
      <c r="CW198" s="232"/>
      <c r="CX198" s="232"/>
      <c r="CY198" s="232"/>
      <c r="CZ198" s="40"/>
      <c r="DA198" s="40"/>
      <c r="DB198" s="40"/>
      <c r="DC198" s="40"/>
      <c r="DD198" s="40"/>
      <c r="DE198" s="40"/>
      <c r="DF198" s="232"/>
      <c r="DG198" s="232"/>
      <c r="DH198" s="232"/>
      <c r="DI198" s="232"/>
      <c r="DJ198" s="232"/>
      <c r="DK198" s="232"/>
      <c r="DL198" s="232"/>
      <c r="DM198" s="232"/>
      <c r="DN198" s="232"/>
    </row>
    <row r="199" spans="1:118">
      <c r="A199" s="40"/>
      <c r="B199" s="1"/>
      <c r="C199" s="542" t="s">
        <v>795</v>
      </c>
      <c r="D199" s="1"/>
      <c r="E199" s="273"/>
      <c r="F199" s="3"/>
      <c r="G199" s="3"/>
      <c r="H199" s="274"/>
      <c r="I199" s="28"/>
      <c r="J199" s="273"/>
      <c r="K199" s="3"/>
      <c r="L199" s="3"/>
      <c r="M199" s="274"/>
      <c r="N199" s="1"/>
      <c r="O199" s="273"/>
      <c r="P199" s="3"/>
      <c r="Q199" s="3"/>
      <c r="R199" s="274"/>
      <c r="S199" s="1"/>
      <c r="T199" s="273"/>
      <c r="U199" s="3"/>
      <c r="V199" s="3"/>
      <c r="W199" s="274"/>
      <c r="X199" s="1"/>
      <c r="Y199" s="273"/>
      <c r="Z199" s="3"/>
      <c r="AA199" s="3"/>
      <c r="AB199" s="274"/>
      <c r="AC199" s="331"/>
      <c r="AD199" s="273"/>
      <c r="AE199" s="3"/>
      <c r="AF199" s="3"/>
      <c r="AG199" s="274"/>
      <c r="AH199" s="1"/>
      <c r="AI199" s="273"/>
      <c r="AJ199" s="3"/>
      <c r="AK199" s="3"/>
      <c r="AL199" s="274"/>
      <c r="AM199" s="1"/>
      <c r="AN199" s="273"/>
      <c r="AO199" s="3"/>
      <c r="AP199" s="3"/>
      <c r="AQ199" s="274"/>
      <c r="AR199" s="45"/>
      <c r="AS199" s="273"/>
      <c r="AT199" s="3"/>
      <c r="AU199" s="3"/>
      <c r="AV199" s="274"/>
      <c r="AW199" s="45"/>
      <c r="AX199" s="273"/>
      <c r="AY199" s="3"/>
      <c r="AZ199" s="3"/>
      <c r="BA199" s="274"/>
      <c r="BB199" s="45"/>
      <c r="BC199" s="273"/>
      <c r="BD199" s="3"/>
      <c r="BE199" s="3"/>
      <c r="BF199" s="274"/>
      <c r="BG199" s="45"/>
      <c r="BH199" s="273"/>
      <c r="BI199" s="3"/>
      <c r="BJ199" s="3"/>
      <c r="BK199" s="274"/>
      <c r="BL199" s="45"/>
      <c r="BM199" s="273"/>
      <c r="BN199" s="3"/>
      <c r="BO199" s="3"/>
      <c r="BP199" s="274"/>
      <c r="BQ199" s="45"/>
      <c r="BR199"/>
      <c r="BS199" s="40"/>
      <c r="BT199" s="40"/>
      <c r="BU199" s="232"/>
      <c r="CE199" s="40"/>
      <c r="CI199" s="40"/>
      <c r="CJ199" s="40"/>
      <c r="CK199" s="40"/>
      <c r="CL199" s="40"/>
      <c r="CM199" s="40"/>
      <c r="CN199" s="40"/>
      <c r="CO199" s="40"/>
      <c r="CP199" s="40"/>
      <c r="CQ199" s="40"/>
      <c r="CR199" s="40"/>
      <c r="CS199" s="40"/>
      <c r="CT199" s="823"/>
      <c r="CU199" s="232"/>
      <c r="CV199" s="232"/>
      <c r="CW199" s="232"/>
      <c r="CX199" s="232"/>
      <c r="CY199" s="232"/>
      <c r="CZ199" s="40"/>
      <c r="DA199" s="40"/>
      <c r="DB199" s="40"/>
      <c r="DC199" s="40"/>
      <c r="DD199" s="40"/>
      <c r="DE199" s="40"/>
      <c r="DF199" s="232"/>
      <c r="DG199" s="232"/>
      <c r="DH199" s="232"/>
      <c r="DI199" s="232"/>
      <c r="DJ199" s="232"/>
      <c r="DK199" s="232"/>
      <c r="DL199" s="232"/>
      <c r="DM199" s="232"/>
      <c r="DN199" s="232"/>
    </row>
    <row r="200" spans="1:118">
      <c r="A200" s="40"/>
      <c r="B200" s="1"/>
      <c r="C200" s="882" t="s">
        <v>607</v>
      </c>
      <c r="D200" s="1"/>
      <c r="E200" s="273"/>
      <c r="F200" s="3"/>
      <c r="G200" s="3"/>
      <c r="H200" s="274"/>
      <c r="I200" s="28"/>
      <c r="J200" s="273"/>
      <c r="K200" s="3"/>
      <c r="L200" s="3"/>
      <c r="M200" s="274"/>
      <c r="N200" s="1"/>
      <c r="O200" s="273"/>
      <c r="P200" s="3"/>
      <c r="Q200" s="3"/>
      <c r="R200" s="274"/>
      <c r="S200" s="1"/>
      <c r="T200" s="308"/>
      <c r="U200" s="244"/>
      <c r="V200" s="333"/>
      <c r="W200" s="334"/>
      <c r="X200" s="331"/>
      <c r="Y200" s="332">
        <f>+Y267</f>
        <v>17085</v>
      </c>
      <c r="Z200" s="333">
        <f>+Z267</f>
        <v>17085</v>
      </c>
      <c r="AA200" s="333">
        <f>+AA267</f>
        <v>17085</v>
      </c>
      <c r="AB200" s="334">
        <f>+AB267</f>
        <v>17085</v>
      </c>
      <c r="AC200" s="331"/>
      <c r="AD200" s="332">
        <f t="shared" ref="AD200:BL200" si="293">+AD267</f>
        <v>19326</v>
      </c>
      <c r="AE200" s="333">
        <f t="shared" si="293"/>
        <v>19326</v>
      </c>
      <c r="AF200" s="333">
        <f t="shared" si="293"/>
        <v>19326</v>
      </c>
      <c r="AG200" s="334">
        <f t="shared" si="293"/>
        <v>19326</v>
      </c>
      <c r="AH200" s="331">
        <f t="shared" si="293"/>
        <v>19326</v>
      </c>
      <c r="AI200" s="332">
        <f t="shared" si="293"/>
        <v>19391</v>
      </c>
      <c r="AJ200" s="333">
        <f t="shared" si="293"/>
        <v>19391</v>
      </c>
      <c r="AK200" s="333">
        <f t="shared" si="293"/>
        <v>19391</v>
      </c>
      <c r="AL200" s="334">
        <f t="shared" si="293"/>
        <v>19391</v>
      </c>
      <c r="AM200" s="331">
        <f t="shared" si="293"/>
        <v>19391</v>
      </c>
      <c r="AN200" s="332">
        <f t="shared" si="293"/>
        <v>19456</v>
      </c>
      <c r="AO200" s="333">
        <f t="shared" si="293"/>
        <v>19456</v>
      </c>
      <c r="AP200" s="333">
        <f t="shared" si="293"/>
        <v>19456</v>
      </c>
      <c r="AQ200" s="334">
        <f t="shared" si="293"/>
        <v>19456</v>
      </c>
      <c r="AR200" s="331">
        <f t="shared" si="293"/>
        <v>19456</v>
      </c>
      <c r="AS200" s="332">
        <f t="shared" si="293"/>
        <v>19456</v>
      </c>
      <c r="AT200" s="333">
        <f t="shared" ref="AT200:AW200" si="294">+AT267</f>
        <v>20294</v>
      </c>
      <c r="AU200" s="333">
        <f t="shared" si="294"/>
        <v>20294</v>
      </c>
      <c r="AV200" s="334">
        <f t="shared" si="294"/>
        <v>20294</v>
      </c>
      <c r="AW200" s="331">
        <f t="shared" si="294"/>
        <v>20294</v>
      </c>
      <c r="AX200" s="332">
        <f t="shared" si="293"/>
        <v>20294</v>
      </c>
      <c r="AY200" s="333">
        <f t="shared" si="293"/>
        <v>20294</v>
      </c>
      <c r="AZ200" s="333">
        <f t="shared" si="293"/>
        <v>20294</v>
      </c>
      <c r="BA200" s="334">
        <f t="shared" si="293"/>
        <v>19669</v>
      </c>
      <c r="BB200" s="331">
        <f t="shared" si="293"/>
        <v>19669</v>
      </c>
      <c r="BC200" s="332">
        <f t="shared" si="293"/>
        <v>19669</v>
      </c>
      <c r="BD200" s="333">
        <f t="shared" si="293"/>
        <v>19669</v>
      </c>
      <c r="BE200" s="333">
        <f t="shared" si="293"/>
        <v>19669</v>
      </c>
      <c r="BF200" s="334">
        <f t="shared" si="293"/>
        <v>18832</v>
      </c>
      <c r="BG200" s="331">
        <f t="shared" si="293"/>
        <v>18832</v>
      </c>
      <c r="BH200" s="332">
        <f t="shared" si="293"/>
        <v>18832</v>
      </c>
      <c r="BI200" s="333">
        <f t="shared" si="293"/>
        <v>18832</v>
      </c>
      <c r="BJ200" s="333">
        <f t="shared" si="293"/>
        <v>18832</v>
      </c>
      <c r="BK200" s="334">
        <f t="shared" si="293"/>
        <v>18832</v>
      </c>
      <c r="BL200" s="331">
        <f t="shared" si="293"/>
        <v>18832</v>
      </c>
      <c r="BM200" s="332">
        <f t="shared" ref="BM200:BQ200" si="295">+BM267</f>
        <v>18832</v>
      </c>
      <c r="BN200" s="333">
        <f t="shared" si="295"/>
        <v>18832</v>
      </c>
      <c r="BO200" s="333">
        <f t="shared" si="295"/>
        <v>18832</v>
      </c>
      <c r="BP200" s="334">
        <f t="shared" si="295"/>
        <v>18832</v>
      </c>
      <c r="BQ200" s="331">
        <f t="shared" si="295"/>
        <v>18832</v>
      </c>
      <c r="BR200"/>
      <c r="BS200" s="40"/>
      <c r="BT200" s="40"/>
      <c r="BU200" s="232"/>
      <c r="BV200" s="40"/>
      <c r="BW200" s="40"/>
      <c r="BX200" s="40"/>
      <c r="BY200" s="40"/>
      <c r="BZ200" s="40"/>
      <c r="CA200" s="40"/>
      <c r="CB200" s="40"/>
      <c r="CC200" s="40"/>
      <c r="CD200" s="40"/>
      <c r="CE200" s="40"/>
      <c r="CF200" s="40"/>
      <c r="CG200" s="40"/>
      <c r="CH200" s="40"/>
      <c r="CI200" s="40"/>
      <c r="CJ200" s="40"/>
      <c r="CK200" s="40"/>
      <c r="CL200" s="40"/>
      <c r="CM200" s="40"/>
      <c r="CN200" s="40"/>
      <c r="CO200" s="40"/>
      <c r="CP200" s="40"/>
      <c r="CQ200" s="40"/>
      <c r="CR200" s="40"/>
      <c r="CS200" s="40"/>
      <c r="CT200" s="823"/>
      <c r="CU200" s="232"/>
      <c r="CV200" s="232"/>
      <c r="CW200" s="232"/>
      <c r="CX200" s="232"/>
      <c r="CY200" s="232"/>
      <c r="CZ200" s="40"/>
      <c r="DA200" s="40"/>
      <c r="DB200" s="40"/>
      <c r="DC200" s="40"/>
      <c r="DD200" s="40"/>
      <c r="DE200" s="40"/>
      <c r="DF200" s="232"/>
      <c r="DG200" s="232"/>
      <c r="DH200" s="232"/>
      <c r="DI200" s="232"/>
      <c r="DJ200" s="232"/>
      <c r="DK200" s="232"/>
      <c r="DL200" s="232"/>
      <c r="DM200" s="232"/>
      <c r="DN200" s="232"/>
    </row>
    <row r="201" spans="1:118">
      <c r="A201" s="40"/>
      <c r="B201" s="1"/>
      <c r="C201" s="882" t="s">
        <v>1016</v>
      </c>
      <c r="D201" s="1"/>
      <c r="E201" s="273"/>
      <c r="F201" s="3"/>
      <c r="G201" s="3"/>
      <c r="H201" s="274"/>
      <c r="I201" s="28"/>
      <c r="J201" s="273"/>
      <c r="K201" s="3"/>
      <c r="L201" s="3"/>
      <c r="M201" s="274"/>
      <c r="N201" s="1"/>
      <c r="O201" s="273"/>
      <c r="P201" s="3"/>
      <c r="Q201" s="3"/>
      <c r="R201" s="274"/>
      <c r="S201" s="1"/>
      <c r="T201" s="308"/>
      <c r="U201" s="244"/>
      <c r="V201" s="333"/>
      <c r="W201" s="334"/>
      <c r="X201" s="331"/>
      <c r="Y201" s="332">
        <f>+Y382</f>
        <v>11333</v>
      </c>
      <c r="Z201" s="333">
        <f>+Z382</f>
        <v>11333</v>
      </c>
      <c r="AA201" s="333">
        <f>+AA382</f>
        <v>11333</v>
      </c>
      <c r="AB201" s="334">
        <f>+AB382</f>
        <v>11333</v>
      </c>
      <c r="AC201" s="331"/>
      <c r="AD201" s="332">
        <f t="shared" ref="AD201:BB201" si="296">+AD382</f>
        <v>11333</v>
      </c>
      <c r="AE201" s="333">
        <f t="shared" si="296"/>
        <v>11333</v>
      </c>
      <c r="AF201" s="333">
        <f t="shared" si="296"/>
        <v>11333</v>
      </c>
      <c r="AG201" s="334">
        <f t="shared" si="296"/>
        <v>11333</v>
      </c>
      <c r="AH201" s="331">
        <f t="shared" si="296"/>
        <v>11333</v>
      </c>
      <c r="AI201" s="332">
        <f t="shared" si="296"/>
        <v>10045</v>
      </c>
      <c r="AJ201" s="333">
        <f t="shared" si="296"/>
        <v>10045</v>
      </c>
      <c r="AK201" s="333">
        <f t="shared" si="296"/>
        <v>10045</v>
      </c>
      <c r="AL201" s="334">
        <f t="shared" si="296"/>
        <v>10045</v>
      </c>
      <c r="AM201" s="331">
        <f t="shared" si="296"/>
        <v>10045</v>
      </c>
      <c r="AN201" s="332">
        <f t="shared" si="296"/>
        <v>10045</v>
      </c>
      <c r="AO201" s="333">
        <f t="shared" si="296"/>
        <v>10045</v>
      </c>
      <c r="AP201" s="333">
        <f t="shared" si="296"/>
        <v>10045</v>
      </c>
      <c r="AQ201" s="334">
        <f t="shared" si="296"/>
        <v>10045</v>
      </c>
      <c r="AR201" s="331">
        <f t="shared" si="296"/>
        <v>10045</v>
      </c>
      <c r="AS201" s="332">
        <f t="shared" si="296"/>
        <v>10045</v>
      </c>
      <c r="AT201" s="333">
        <f t="shared" ref="AT201:AW201" si="297">+AT382</f>
        <v>10045</v>
      </c>
      <c r="AU201" s="333">
        <f t="shared" si="297"/>
        <v>10045</v>
      </c>
      <c r="AV201" s="334">
        <f t="shared" si="297"/>
        <v>10045</v>
      </c>
      <c r="AW201" s="331">
        <f t="shared" si="297"/>
        <v>10045</v>
      </c>
      <c r="AX201" s="332">
        <f t="shared" si="296"/>
        <v>6666</v>
      </c>
      <c r="AY201" s="333">
        <f t="shared" si="296"/>
        <v>6666</v>
      </c>
      <c r="AZ201" s="333">
        <f t="shared" si="296"/>
        <v>6666</v>
      </c>
      <c r="BA201" s="334">
        <f t="shared" si="296"/>
        <v>6666</v>
      </c>
      <c r="BB201" s="331">
        <f t="shared" si="296"/>
        <v>6666</v>
      </c>
      <c r="BC201" s="332">
        <f t="shared" ref="BC201:BL201" si="298">+BC382</f>
        <v>6666</v>
      </c>
      <c r="BD201" s="333">
        <f t="shared" si="298"/>
        <v>6666</v>
      </c>
      <c r="BE201" s="333">
        <f t="shared" si="298"/>
        <v>6666</v>
      </c>
      <c r="BF201" s="334">
        <f t="shared" si="298"/>
        <v>6666</v>
      </c>
      <c r="BG201" s="331">
        <f t="shared" si="298"/>
        <v>6666</v>
      </c>
      <c r="BH201" s="332">
        <f t="shared" si="298"/>
        <v>6666</v>
      </c>
      <c r="BI201" s="333">
        <f t="shared" si="298"/>
        <v>6666</v>
      </c>
      <c r="BJ201" s="333">
        <f t="shared" si="298"/>
        <v>6666</v>
      </c>
      <c r="BK201" s="334">
        <f t="shared" si="298"/>
        <v>6666</v>
      </c>
      <c r="BL201" s="331">
        <f t="shared" si="298"/>
        <v>6666</v>
      </c>
      <c r="BM201" s="332">
        <f t="shared" ref="BM201:BQ201" si="299">+BM382</f>
        <v>6666</v>
      </c>
      <c r="BN201" s="333">
        <f t="shared" si="299"/>
        <v>6666</v>
      </c>
      <c r="BO201" s="333">
        <f t="shared" si="299"/>
        <v>6666</v>
      </c>
      <c r="BP201" s="334">
        <f t="shared" si="299"/>
        <v>6666</v>
      </c>
      <c r="BQ201" s="331">
        <f t="shared" si="299"/>
        <v>6666</v>
      </c>
      <c r="BR201"/>
      <c r="BS201" s="40"/>
      <c r="BT201" s="40"/>
      <c r="BU201" s="232"/>
      <c r="BV201" s="40"/>
      <c r="BW201" s="40"/>
      <c r="BX201" s="40"/>
      <c r="BY201" s="40"/>
      <c r="BZ201" s="40"/>
      <c r="CA201" s="40"/>
      <c r="CB201" s="40"/>
      <c r="CC201" s="40"/>
      <c r="CD201" s="40"/>
      <c r="CE201" s="40"/>
      <c r="CF201" s="40"/>
      <c r="CG201" s="40"/>
      <c r="CH201" s="40"/>
      <c r="CI201" s="40"/>
      <c r="CJ201" s="40"/>
      <c r="CK201" s="40"/>
      <c r="CL201" s="40"/>
      <c r="CM201" s="40"/>
      <c r="CN201" s="40"/>
      <c r="CO201" s="40"/>
      <c r="CP201" s="40"/>
      <c r="CQ201" s="40"/>
      <c r="CR201" s="40"/>
      <c r="CS201" s="40"/>
      <c r="CT201" s="823"/>
      <c r="CU201" s="232"/>
      <c r="CV201" s="232"/>
      <c r="CW201" s="232"/>
      <c r="CX201" s="232"/>
      <c r="CY201" s="232"/>
      <c r="CZ201" s="40"/>
      <c r="DA201" s="40"/>
      <c r="DB201" s="40"/>
      <c r="DC201" s="40"/>
      <c r="DD201" s="40"/>
      <c r="DE201" s="40"/>
      <c r="DF201" s="232"/>
      <c r="DG201" s="232"/>
      <c r="DH201" s="232"/>
      <c r="DI201" s="232"/>
      <c r="DJ201" s="232"/>
      <c r="DK201" s="232"/>
      <c r="DL201" s="232"/>
      <c r="DM201" s="232"/>
      <c r="DN201" s="232"/>
    </row>
    <row r="202" spans="1:118">
      <c r="A202" s="40"/>
      <c r="B202" s="1"/>
      <c r="C202" s="882" t="s">
        <v>849</v>
      </c>
      <c r="D202" s="1"/>
      <c r="E202" s="273"/>
      <c r="F202" s="3"/>
      <c r="G202" s="3"/>
      <c r="H202" s="274"/>
      <c r="I202" s="28"/>
      <c r="J202" s="273"/>
      <c r="K202" s="3"/>
      <c r="L202" s="3"/>
      <c r="M202" s="274"/>
      <c r="N202" s="1"/>
      <c r="O202" s="273"/>
      <c r="P202" s="3"/>
      <c r="Q202" s="3"/>
      <c r="R202" s="274"/>
      <c r="S202" s="1"/>
      <c r="T202" s="290"/>
      <c r="U202" s="260"/>
      <c r="V202" s="333"/>
      <c r="W202" s="334"/>
      <c r="X202" s="331"/>
      <c r="Y202" s="332">
        <f>+Y553</f>
        <v>1732</v>
      </c>
      <c r="Z202" s="333">
        <f>+Z553</f>
        <v>1732</v>
      </c>
      <c r="AA202" s="333">
        <f>+AA553</f>
        <v>1732</v>
      </c>
      <c r="AB202" s="334">
        <f>+AB553</f>
        <v>1732</v>
      </c>
      <c r="AC202" s="331"/>
      <c r="AD202" s="332">
        <f t="shared" ref="AD202:BB202" si="300">+AD553</f>
        <v>1732</v>
      </c>
      <c r="AE202" s="333">
        <f t="shared" si="300"/>
        <v>1732</v>
      </c>
      <c r="AF202" s="333">
        <f t="shared" si="300"/>
        <v>1732</v>
      </c>
      <c r="AG202" s="334">
        <f t="shared" si="300"/>
        <v>1732</v>
      </c>
      <c r="AH202" s="331">
        <f t="shared" si="300"/>
        <v>1732</v>
      </c>
      <c r="AI202" s="332">
        <f t="shared" si="300"/>
        <v>1732</v>
      </c>
      <c r="AJ202" s="333">
        <f t="shared" si="300"/>
        <v>1732</v>
      </c>
      <c r="AK202" s="333">
        <f t="shared" si="300"/>
        <v>1732</v>
      </c>
      <c r="AL202" s="334">
        <f t="shared" si="300"/>
        <v>1732</v>
      </c>
      <c r="AM202" s="331">
        <f t="shared" si="300"/>
        <v>1732</v>
      </c>
      <c r="AN202" s="332">
        <f t="shared" si="300"/>
        <v>1732</v>
      </c>
      <c r="AO202" s="333">
        <f t="shared" si="300"/>
        <v>1732</v>
      </c>
      <c r="AP202" s="333">
        <f t="shared" si="300"/>
        <v>1732</v>
      </c>
      <c r="AQ202" s="334">
        <f t="shared" si="300"/>
        <v>2082</v>
      </c>
      <c r="AR202" s="331">
        <f t="shared" si="300"/>
        <v>2082</v>
      </c>
      <c r="AS202" s="332">
        <f t="shared" si="300"/>
        <v>2082</v>
      </c>
      <c r="AT202" s="333">
        <f t="shared" ref="AT202:AW202" si="301">+AT553</f>
        <v>2082</v>
      </c>
      <c r="AU202" s="333">
        <f t="shared" si="301"/>
        <v>2132</v>
      </c>
      <c r="AV202" s="334">
        <f t="shared" si="301"/>
        <v>2132</v>
      </c>
      <c r="AW202" s="331">
        <f t="shared" si="301"/>
        <v>2132</v>
      </c>
      <c r="AX202" s="332">
        <f t="shared" si="300"/>
        <v>2132</v>
      </c>
      <c r="AY202" s="333">
        <f t="shared" si="300"/>
        <v>2132</v>
      </c>
      <c r="AZ202" s="333">
        <f t="shared" si="300"/>
        <v>2132</v>
      </c>
      <c r="BA202" s="334">
        <f t="shared" si="300"/>
        <v>2132</v>
      </c>
      <c r="BB202" s="331">
        <f t="shared" si="300"/>
        <v>2132</v>
      </c>
      <c r="BC202" s="332">
        <f t="shared" ref="BC202:BL202" si="302">+BC553</f>
        <v>2132</v>
      </c>
      <c r="BD202" s="333">
        <f t="shared" si="302"/>
        <v>2132</v>
      </c>
      <c r="BE202" s="333">
        <f t="shared" si="302"/>
        <v>2132</v>
      </c>
      <c r="BF202" s="334">
        <f t="shared" si="302"/>
        <v>2132</v>
      </c>
      <c r="BG202" s="331">
        <f t="shared" si="302"/>
        <v>2132</v>
      </c>
      <c r="BH202" s="332">
        <f t="shared" si="302"/>
        <v>2132</v>
      </c>
      <c r="BI202" s="333">
        <f t="shared" si="302"/>
        <v>2132</v>
      </c>
      <c r="BJ202" s="333">
        <f t="shared" si="302"/>
        <v>2132</v>
      </c>
      <c r="BK202" s="334">
        <f t="shared" si="302"/>
        <v>2132</v>
      </c>
      <c r="BL202" s="331">
        <f t="shared" si="302"/>
        <v>2132</v>
      </c>
      <c r="BM202" s="332">
        <f t="shared" ref="BM202:BQ202" si="303">+BM553</f>
        <v>2132</v>
      </c>
      <c r="BN202" s="333">
        <f t="shared" si="303"/>
        <v>2132</v>
      </c>
      <c r="BO202" s="333">
        <f t="shared" si="303"/>
        <v>2132</v>
      </c>
      <c r="BP202" s="334">
        <f t="shared" si="303"/>
        <v>2132</v>
      </c>
      <c r="BQ202" s="331">
        <f t="shared" si="303"/>
        <v>2132</v>
      </c>
      <c r="BR202"/>
      <c r="BS202" s="40"/>
      <c r="BT202" s="40"/>
      <c r="BU202" s="232"/>
      <c r="BV202" s="40"/>
      <c r="BW202" s="40"/>
      <c r="BX202" s="40"/>
      <c r="BY202" s="40"/>
      <c r="BZ202" s="40"/>
      <c r="CA202" s="40"/>
      <c r="CB202" s="40"/>
      <c r="CC202" s="40"/>
      <c r="CD202" s="40"/>
      <c r="CE202" s="40"/>
      <c r="CF202" s="40"/>
      <c r="CG202" s="40"/>
      <c r="CH202" s="40"/>
      <c r="CI202" s="40"/>
      <c r="CJ202" s="40"/>
      <c r="CK202" s="40"/>
      <c r="CL202" s="40"/>
      <c r="CM202" s="40"/>
      <c r="CN202" s="40"/>
      <c r="CO202" s="40"/>
      <c r="CP202" s="40"/>
      <c r="CQ202" s="40"/>
      <c r="CR202" s="40"/>
      <c r="CS202" s="40"/>
      <c r="CT202" s="823"/>
      <c r="CU202" s="232"/>
      <c r="CV202" s="232"/>
      <c r="CW202" s="232"/>
      <c r="CX202" s="232"/>
      <c r="CY202" s="232"/>
      <c r="CZ202" s="40"/>
      <c r="DA202" s="40"/>
      <c r="DB202" s="40"/>
      <c r="DC202" s="40"/>
      <c r="DD202" s="40"/>
      <c r="DE202" s="40"/>
      <c r="DF202" s="232"/>
      <c r="DG202" s="232"/>
      <c r="DH202" s="232"/>
      <c r="DI202" s="232"/>
      <c r="DJ202" s="232"/>
      <c r="DK202" s="232"/>
      <c r="DL202" s="232"/>
      <c r="DM202" s="232"/>
      <c r="DN202" s="232"/>
    </row>
    <row r="203" spans="1:118">
      <c r="A203" s="40"/>
      <c r="B203" s="1"/>
      <c r="C203" s="882" t="s">
        <v>395</v>
      </c>
      <c r="D203" s="1"/>
      <c r="E203" s="273"/>
      <c r="F203" s="3"/>
      <c r="G203" s="3"/>
      <c r="H203" s="274"/>
      <c r="I203" s="28"/>
      <c r="J203" s="273"/>
      <c r="K203" s="3"/>
      <c r="L203" s="3"/>
      <c r="M203" s="274"/>
      <c r="N203" s="1"/>
      <c r="O203" s="273"/>
      <c r="P203" s="3"/>
      <c r="Q203" s="3"/>
      <c r="R203" s="274"/>
      <c r="S203" s="1"/>
      <c r="T203" s="290"/>
      <c r="U203" s="260"/>
      <c r="V203" s="333"/>
      <c r="W203" s="334"/>
      <c r="X203" s="331"/>
      <c r="Y203" s="332">
        <f>Y600</f>
        <v>1936</v>
      </c>
      <c r="Z203" s="333">
        <f>Z600</f>
        <v>1936</v>
      </c>
      <c r="AA203" s="333">
        <f>AA600</f>
        <v>1936</v>
      </c>
      <c r="AB203" s="334">
        <f>AB600</f>
        <v>1936</v>
      </c>
      <c r="AC203" s="331"/>
      <c r="AD203" s="332">
        <f t="shared" ref="AD203:BB203" si="304">AD600</f>
        <v>1936</v>
      </c>
      <c r="AE203" s="333">
        <f t="shared" si="304"/>
        <v>1936</v>
      </c>
      <c r="AF203" s="333">
        <f t="shared" si="304"/>
        <v>1936</v>
      </c>
      <c r="AG203" s="334">
        <f t="shared" si="304"/>
        <v>1658</v>
      </c>
      <c r="AH203" s="331">
        <f t="shared" si="304"/>
        <v>1658</v>
      </c>
      <c r="AI203" s="332">
        <f t="shared" si="304"/>
        <v>1658</v>
      </c>
      <c r="AJ203" s="333">
        <f t="shared" si="304"/>
        <v>1658</v>
      </c>
      <c r="AK203" s="333">
        <f t="shared" si="304"/>
        <v>1658</v>
      </c>
      <c r="AL203" s="334">
        <f t="shared" si="304"/>
        <v>1658</v>
      </c>
      <c r="AM203" s="331">
        <f t="shared" si="304"/>
        <v>1658</v>
      </c>
      <c r="AN203" s="332">
        <f t="shared" si="304"/>
        <v>1658</v>
      </c>
      <c r="AO203" s="333">
        <f t="shared" si="304"/>
        <v>1658</v>
      </c>
      <c r="AP203" s="333">
        <f t="shared" si="304"/>
        <v>1658</v>
      </c>
      <c r="AQ203" s="334">
        <f t="shared" si="304"/>
        <v>1658</v>
      </c>
      <c r="AR203" s="331">
        <f t="shared" si="304"/>
        <v>1658</v>
      </c>
      <c r="AS203" s="332">
        <f t="shared" si="304"/>
        <v>1658</v>
      </c>
      <c r="AT203" s="333">
        <f t="shared" ref="AT203:AW203" si="305">AT600</f>
        <v>1658</v>
      </c>
      <c r="AU203" s="333">
        <f t="shared" si="305"/>
        <v>1658</v>
      </c>
      <c r="AV203" s="334">
        <f t="shared" si="305"/>
        <v>1658</v>
      </c>
      <c r="AW203" s="331">
        <f t="shared" si="305"/>
        <v>1658</v>
      </c>
      <c r="AX203" s="332">
        <f t="shared" si="304"/>
        <v>1658</v>
      </c>
      <c r="AY203" s="333">
        <f t="shared" si="304"/>
        <v>1658</v>
      </c>
      <c r="AZ203" s="333">
        <f t="shared" si="304"/>
        <v>1658</v>
      </c>
      <c r="BA203" s="334">
        <f t="shared" si="304"/>
        <v>1658</v>
      </c>
      <c r="BB203" s="331">
        <f t="shared" si="304"/>
        <v>1658</v>
      </c>
      <c r="BC203" s="332">
        <f t="shared" ref="BC203:BL203" si="306">BC600</f>
        <v>1658</v>
      </c>
      <c r="BD203" s="333">
        <f t="shared" si="306"/>
        <v>1658</v>
      </c>
      <c r="BE203" s="333">
        <f t="shared" si="306"/>
        <v>1658</v>
      </c>
      <c r="BF203" s="334">
        <f t="shared" si="306"/>
        <v>1658</v>
      </c>
      <c r="BG203" s="331">
        <f t="shared" si="306"/>
        <v>1658</v>
      </c>
      <c r="BH203" s="332">
        <f t="shared" si="306"/>
        <v>1658</v>
      </c>
      <c r="BI203" s="333">
        <f t="shared" si="306"/>
        <v>1658</v>
      </c>
      <c r="BJ203" s="333">
        <f t="shared" si="306"/>
        <v>1658</v>
      </c>
      <c r="BK203" s="334">
        <f t="shared" si="306"/>
        <v>1658</v>
      </c>
      <c r="BL203" s="331">
        <f t="shared" si="306"/>
        <v>1658</v>
      </c>
      <c r="BM203" s="332">
        <f t="shared" ref="BM203:BQ203" si="307">BM600</f>
        <v>1658</v>
      </c>
      <c r="BN203" s="333">
        <f t="shared" si="307"/>
        <v>1658</v>
      </c>
      <c r="BO203" s="333">
        <f t="shared" si="307"/>
        <v>1658</v>
      </c>
      <c r="BP203" s="334">
        <f t="shared" si="307"/>
        <v>1658</v>
      </c>
      <c r="BQ203" s="331">
        <f t="shared" si="307"/>
        <v>1658</v>
      </c>
      <c r="BR203"/>
      <c r="BS203" s="40"/>
      <c r="BT203" s="40"/>
      <c r="BU203" s="232"/>
      <c r="BV203" s="40"/>
      <c r="BW203" s="40"/>
      <c r="BX203" s="40"/>
      <c r="BY203" s="40"/>
      <c r="BZ203" s="40"/>
      <c r="CA203" s="40"/>
      <c r="CB203" s="40"/>
      <c r="CC203" s="40"/>
      <c r="CD203" s="40"/>
      <c r="CE203" s="40"/>
      <c r="CF203" s="40"/>
      <c r="CG203" s="40"/>
      <c r="CH203" s="40"/>
      <c r="CI203" s="40"/>
      <c r="CJ203" s="40"/>
      <c r="CK203" s="40"/>
      <c r="CL203" s="40"/>
      <c r="CM203" s="40"/>
      <c r="CN203" s="40"/>
      <c r="CO203" s="40"/>
      <c r="CP203" s="40"/>
      <c r="CQ203" s="40"/>
      <c r="CR203" s="40"/>
      <c r="CS203" s="40"/>
      <c r="CT203" s="823"/>
      <c r="CU203" s="232"/>
      <c r="CV203" s="232"/>
      <c r="CW203" s="232"/>
      <c r="CX203" s="232"/>
      <c r="CY203" s="232"/>
      <c r="CZ203" s="40"/>
      <c r="DA203" s="40"/>
      <c r="DB203" s="40"/>
      <c r="DC203" s="40"/>
      <c r="DD203" s="40"/>
      <c r="DE203" s="40"/>
      <c r="DF203" s="232"/>
      <c r="DG203" s="232"/>
      <c r="DH203" s="232"/>
      <c r="DI203" s="232"/>
      <c r="DJ203" s="232"/>
      <c r="DK203" s="232"/>
      <c r="DL203" s="232"/>
      <c r="DM203" s="232"/>
      <c r="DN203" s="232"/>
    </row>
    <row r="204" spans="1:118">
      <c r="A204" s="40"/>
      <c r="B204" s="1"/>
      <c r="C204" s="882" t="s">
        <v>371</v>
      </c>
      <c r="D204" s="1"/>
      <c r="E204" s="273"/>
      <c r="F204" s="3"/>
      <c r="G204" s="3"/>
      <c r="H204" s="274"/>
      <c r="I204" s="28"/>
      <c r="J204" s="273"/>
      <c r="K204" s="3"/>
      <c r="L204" s="3"/>
      <c r="M204" s="274"/>
      <c r="N204" s="1"/>
      <c r="O204" s="273"/>
      <c r="P204" s="3"/>
      <c r="Q204" s="3"/>
      <c r="R204" s="274"/>
      <c r="S204" s="1"/>
      <c r="T204" s="308"/>
      <c r="U204" s="244"/>
      <c r="V204" s="333"/>
      <c r="W204" s="334"/>
      <c r="X204" s="331"/>
      <c r="Y204" s="332">
        <f>+Y638</f>
        <v>1409</v>
      </c>
      <c r="Z204" s="333">
        <f>+Z638</f>
        <v>1409</v>
      </c>
      <c r="AA204" s="333">
        <f>+AA638</f>
        <v>1409</v>
      </c>
      <c r="AB204" s="334">
        <f>+AB638</f>
        <v>1409</v>
      </c>
      <c r="AC204" s="331"/>
      <c r="AD204" s="332">
        <f t="shared" ref="AD204:BB204" si="308">+AD638</f>
        <v>1409</v>
      </c>
      <c r="AE204" s="333">
        <f t="shared" si="308"/>
        <v>1409</v>
      </c>
      <c r="AF204" s="333">
        <f t="shared" si="308"/>
        <v>1409</v>
      </c>
      <c r="AG204" s="334">
        <f t="shared" si="308"/>
        <v>1409</v>
      </c>
      <c r="AH204" s="331">
        <f t="shared" si="308"/>
        <v>1409</v>
      </c>
      <c r="AI204" s="332">
        <f t="shared" si="308"/>
        <v>160</v>
      </c>
      <c r="AJ204" s="333">
        <f t="shared" si="308"/>
        <v>160</v>
      </c>
      <c r="AK204" s="333">
        <f t="shared" si="308"/>
        <v>160</v>
      </c>
      <c r="AL204" s="334">
        <f t="shared" si="308"/>
        <v>160</v>
      </c>
      <c r="AM204" s="331">
        <f t="shared" si="308"/>
        <v>160</v>
      </c>
      <c r="AN204" s="332">
        <f t="shared" si="308"/>
        <v>160</v>
      </c>
      <c r="AO204" s="333">
        <f t="shared" si="308"/>
        <v>160</v>
      </c>
      <c r="AP204" s="333">
        <f t="shared" si="308"/>
        <v>160</v>
      </c>
      <c r="AQ204" s="334">
        <f t="shared" si="308"/>
        <v>160</v>
      </c>
      <c r="AR204" s="331">
        <f t="shared" si="308"/>
        <v>160</v>
      </c>
      <c r="AS204" s="332">
        <f t="shared" si="308"/>
        <v>160</v>
      </c>
      <c r="AT204" s="333">
        <f t="shared" ref="AT204:AW204" si="309">+AT638</f>
        <v>160</v>
      </c>
      <c r="AU204" s="333">
        <f t="shared" si="309"/>
        <v>160</v>
      </c>
      <c r="AV204" s="334">
        <f t="shared" si="309"/>
        <v>160</v>
      </c>
      <c r="AW204" s="331">
        <f t="shared" si="309"/>
        <v>160</v>
      </c>
      <c r="AX204" s="332">
        <f t="shared" si="308"/>
        <v>160</v>
      </c>
      <c r="AY204" s="333">
        <f t="shared" si="308"/>
        <v>160</v>
      </c>
      <c r="AZ204" s="333">
        <f t="shared" si="308"/>
        <v>160</v>
      </c>
      <c r="BA204" s="334">
        <f t="shared" si="308"/>
        <v>160</v>
      </c>
      <c r="BB204" s="331">
        <f t="shared" si="308"/>
        <v>160</v>
      </c>
      <c r="BC204" s="332">
        <f t="shared" ref="BC204:BL204" si="310">+BC638</f>
        <v>160</v>
      </c>
      <c r="BD204" s="333">
        <f t="shared" si="310"/>
        <v>160</v>
      </c>
      <c r="BE204" s="333">
        <f t="shared" si="310"/>
        <v>160</v>
      </c>
      <c r="BF204" s="334">
        <f t="shared" si="310"/>
        <v>160</v>
      </c>
      <c r="BG204" s="331">
        <f t="shared" si="310"/>
        <v>160</v>
      </c>
      <c r="BH204" s="332">
        <f t="shared" si="310"/>
        <v>160</v>
      </c>
      <c r="BI204" s="333">
        <f t="shared" si="310"/>
        <v>160</v>
      </c>
      <c r="BJ204" s="333">
        <f t="shared" si="310"/>
        <v>160</v>
      </c>
      <c r="BK204" s="334">
        <f t="shared" si="310"/>
        <v>160</v>
      </c>
      <c r="BL204" s="331">
        <f t="shared" si="310"/>
        <v>160</v>
      </c>
      <c r="BM204" s="332">
        <f t="shared" ref="BM204:BQ204" si="311">+BM638</f>
        <v>160</v>
      </c>
      <c r="BN204" s="333">
        <f t="shared" si="311"/>
        <v>160</v>
      </c>
      <c r="BO204" s="333">
        <f t="shared" si="311"/>
        <v>160</v>
      </c>
      <c r="BP204" s="334">
        <f t="shared" si="311"/>
        <v>160</v>
      </c>
      <c r="BQ204" s="331">
        <f t="shared" si="311"/>
        <v>160</v>
      </c>
      <c r="BR204"/>
      <c r="BS204" s="40"/>
      <c r="BT204" s="40"/>
      <c r="BU204" s="232"/>
      <c r="BV204" s="40"/>
      <c r="BW204" s="40"/>
      <c r="BX204" s="40"/>
      <c r="BY204" s="40"/>
      <c r="BZ204" s="40"/>
      <c r="CA204" s="40"/>
      <c r="CB204" s="40"/>
      <c r="CC204" s="40"/>
      <c r="CD204" s="40"/>
      <c r="CE204" s="40"/>
      <c r="CF204" s="40"/>
      <c r="CG204" s="40"/>
      <c r="CH204" s="40"/>
      <c r="CI204" s="40"/>
      <c r="CJ204" s="40"/>
      <c r="CK204" s="40"/>
      <c r="CL204" s="40"/>
      <c r="CM204" s="40"/>
      <c r="CN204" s="40"/>
      <c r="CO204" s="40"/>
      <c r="CP204" s="40"/>
      <c r="CQ204" s="40"/>
      <c r="CR204" s="40"/>
      <c r="CS204" s="40"/>
      <c r="CT204" s="823"/>
      <c r="CU204" s="232"/>
      <c r="CV204" s="232"/>
      <c r="CW204" s="232"/>
      <c r="CX204" s="232"/>
      <c r="CY204" s="232"/>
      <c r="CZ204" s="40"/>
      <c r="DA204" s="40"/>
      <c r="DB204" s="40"/>
      <c r="DC204" s="40"/>
      <c r="DD204" s="40"/>
      <c r="DE204" s="40"/>
      <c r="DF204" s="232"/>
      <c r="DG204" s="232"/>
      <c r="DH204" s="232"/>
      <c r="DI204" s="232"/>
      <c r="DJ204" s="232"/>
      <c r="DK204" s="232"/>
      <c r="DL204" s="232"/>
      <c r="DM204" s="232"/>
      <c r="DN204" s="232"/>
    </row>
    <row r="205" spans="1:118">
      <c r="A205" s="40"/>
      <c r="B205" s="32"/>
      <c r="C205" s="446" t="s">
        <v>399</v>
      </c>
      <c r="D205" s="32"/>
      <c r="E205" s="489"/>
      <c r="F205" s="342"/>
      <c r="G205" s="342"/>
      <c r="H205" s="490"/>
      <c r="I205" s="32"/>
      <c r="J205" s="489"/>
      <c r="K205" s="342"/>
      <c r="L205" s="342"/>
      <c r="M205" s="490"/>
      <c r="N205" s="32"/>
      <c r="O205" s="489"/>
      <c r="P205" s="342"/>
      <c r="Q205" s="342"/>
      <c r="R205" s="490"/>
      <c r="S205" s="32"/>
      <c r="T205" s="301"/>
      <c r="U205" s="265"/>
      <c r="V205" s="265"/>
      <c r="W205" s="302"/>
      <c r="X205" s="445"/>
      <c r="Y205" s="301">
        <f>SUM(Y200:Y204)</f>
        <v>33495</v>
      </c>
      <c r="Z205" s="265">
        <f>SUM(Z200:Z204)</f>
        <v>33495</v>
      </c>
      <c r="AA205" s="265">
        <f>SUM(AA200:AA204)</f>
        <v>33495</v>
      </c>
      <c r="AB205" s="302">
        <f>SUM(AB200:AB204)</f>
        <v>33495</v>
      </c>
      <c r="AC205" s="445"/>
      <c r="AD205" s="301">
        <f t="shared" ref="AD205:BL205" si="312">SUM(AD200:AD204)</f>
        <v>35736</v>
      </c>
      <c r="AE205" s="265">
        <f t="shared" si="312"/>
        <v>35736</v>
      </c>
      <c r="AF205" s="265">
        <f t="shared" si="312"/>
        <v>35736</v>
      </c>
      <c r="AG205" s="302">
        <f t="shared" si="312"/>
        <v>35458</v>
      </c>
      <c r="AH205" s="445">
        <f t="shared" si="312"/>
        <v>35458</v>
      </c>
      <c r="AI205" s="301">
        <f t="shared" si="312"/>
        <v>32986</v>
      </c>
      <c r="AJ205" s="265">
        <f t="shared" si="312"/>
        <v>32986</v>
      </c>
      <c r="AK205" s="265">
        <f t="shared" si="312"/>
        <v>32986</v>
      </c>
      <c r="AL205" s="302">
        <f t="shared" si="312"/>
        <v>32986</v>
      </c>
      <c r="AM205" s="445">
        <f t="shared" si="312"/>
        <v>32986</v>
      </c>
      <c r="AN205" s="301">
        <f t="shared" si="312"/>
        <v>33051</v>
      </c>
      <c r="AO205" s="265">
        <f t="shared" si="312"/>
        <v>33051</v>
      </c>
      <c r="AP205" s="265">
        <f t="shared" si="312"/>
        <v>33051</v>
      </c>
      <c r="AQ205" s="302">
        <f t="shared" si="312"/>
        <v>33401</v>
      </c>
      <c r="AR205" s="445">
        <f t="shared" si="312"/>
        <v>33401</v>
      </c>
      <c r="AS205" s="301">
        <f t="shared" si="312"/>
        <v>33401</v>
      </c>
      <c r="AT205" s="265">
        <f t="shared" ref="AT205:AW205" si="313">SUM(AT200:AT204)</f>
        <v>34239</v>
      </c>
      <c r="AU205" s="265">
        <f t="shared" si="313"/>
        <v>34289</v>
      </c>
      <c r="AV205" s="302">
        <f t="shared" si="313"/>
        <v>34289</v>
      </c>
      <c r="AW205" s="445">
        <f t="shared" si="313"/>
        <v>34289</v>
      </c>
      <c r="AX205" s="301">
        <f t="shared" si="312"/>
        <v>30910</v>
      </c>
      <c r="AY205" s="265">
        <f t="shared" si="312"/>
        <v>30910</v>
      </c>
      <c r="AZ205" s="265">
        <f t="shared" si="312"/>
        <v>30910</v>
      </c>
      <c r="BA205" s="302">
        <f t="shared" si="312"/>
        <v>30285</v>
      </c>
      <c r="BB205" s="445">
        <f t="shared" si="312"/>
        <v>30285</v>
      </c>
      <c r="BC205" s="301">
        <f t="shared" si="312"/>
        <v>30285</v>
      </c>
      <c r="BD205" s="265">
        <f t="shared" si="312"/>
        <v>30285</v>
      </c>
      <c r="BE205" s="265">
        <f t="shared" si="312"/>
        <v>30285</v>
      </c>
      <c r="BF205" s="302">
        <f t="shared" si="312"/>
        <v>29448</v>
      </c>
      <c r="BG205" s="445">
        <f t="shared" si="312"/>
        <v>29448</v>
      </c>
      <c r="BH205" s="301">
        <f t="shared" si="312"/>
        <v>29448</v>
      </c>
      <c r="BI205" s="265">
        <f t="shared" si="312"/>
        <v>29448</v>
      </c>
      <c r="BJ205" s="265">
        <f t="shared" si="312"/>
        <v>29448</v>
      </c>
      <c r="BK205" s="302">
        <f t="shared" si="312"/>
        <v>29448</v>
      </c>
      <c r="BL205" s="445">
        <f t="shared" si="312"/>
        <v>29448</v>
      </c>
      <c r="BM205" s="301">
        <f t="shared" ref="BM205:BQ205" si="314">SUM(BM200:BM204)</f>
        <v>29448</v>
      </c>
      <c r="BN205" s="265">
        <f t="shared" si="314"/>
        <v>29448</v>
      </c>
      <c r="BO205" s="265">
        <f t="shared" si="314"/>
        <v>29448</v>
      </c>
      <c r="BP205" s="302">
        <f t="shared" si="314"/>
        <v>29448</v>
      </c>
      <c r="BQ205" s="445">
        <f t="shared" si="314"/>
        <v>29448</v>
      </c>
      <c r="BR205"/>
      <c r="BS205" s="40"/>
      <c r="BT205" s="40"/>
      <c r="BU205" s="232"/>
      <c r="BV205" s="40"/>
      <c r="BW205" s="40"/>
      <c r="BX205" s="40"/>
      <c r="BY205" s="40"/>
      <c r="BZ205" s="40"/>
      <c r="CA205" s="40"/>
      <c r="CB205" s="40"/>
      <c r="CC205" s="40"/>
      <c r="CD205" s="40"/>
      <c r="CE205" s="40"/>
      <c r="CF205" s="40"/>
      <c r="CG205" s="40"/>
      <c r="CH205" s="40"/>
      <c r="CI205" s="40"/>
      <c r="CJ205" s="40"/>
      <c r="CK205" s="40"/>
      <c r="CL205" s="40"/>
      <c r="CM205" s="40"/>
      <c r="CN205" s="40"/>
      <c r="CO205" s="40"/>
      <c r="CP205" s="40"/>
      <c r="CQ205" s="40"/>
      <c r="CR205" s="40"/>
      <c r="CS205" s="40"/>
      <c r="CT205" s="823"/>
      <c r="CU205" s="232"/>
      <c r="CV205" s="232"/>
      <c r="CW205" s="232"/>
      <c r="CX205" s="232"/>
      <c r="CY205" s="232"/>
      <c r="CZ205" s="40"/>
      <c r="DA205" s="40"/>
      <c r="DB205" s="40"/>
      <c r="DC205" s="40"/>
      <c r="DD205" s="40"/>
      <c r="DE205" s="40"/>
      <c r="DF205" s="232"/>
      <c r="DG205" s="232"/>
      <c r="DH205" s="232"/>
      <c r="DI205" s="232"/>
      <c r="DJ205" s="232"/>
      <c r="DK205" s="232"/>
      <c r="DL205" s="232"/>
      <c r="DM205" s="232"/>
      <c r="DN205" s="232"/>
    </row>
    <row r="206" spans="1:118">
      <c r="A206" s="40"/>
      <c r="B206" s="32"/>
      <c r="C206" s="446"/>
      <c r="D206" s="32"/>
      <c r="E206" s="489"/>
      <c r="F206" s="342"/>
      <c r="G206" s="342"/>
      <c r="H206" s="490"/>
      <c r="I206" s="32"/>
      <c r="J206" s="489"/>
      <c r="K206" s="342"/>
      <c r="L206" s="342"/>
      <c r="M206" s="490"/>
      <c r="N206" s="32"/>
      <c r="O206" s="489"/>
      <c r="P206" s="342"/>
      <c r="Q206" s="342"/>
      <c r="R206" s="490"/>
      <c r="S206" s="32"/>
      <c r="T206" s="301"/>
      <c r="U206" s="265"/>
      <c r="V206" s="265"/>
      <c r="W206" s="302"/>
      <c r="X206" s="445"/>
      <c r="Y206" s="301"/>
      <c r="Z206" s="265"/>
      <c r="AA206" s="265"/>
      <c r="AB206" s="302"/>
      <c r="AC206" s="445"/>
      <c r="AD206" s="301"/>
      <c r="AE206" s="265"/>
      <c r="AF206" s="265"/>
      <c r="AG206" s="302"/>
      <c r="AH206" s="445"/>
      <c r="AI206" s="301"/>
      <c r="AJ206" s="265"/>
      <c r="AK206" s="265"/>
      <c r="AL206" s="302"/>
      <c r="AM206" s="445"/>
      <c r="AN206" s="301"/>
      <c r="AO206" s="265"/>
      <c r="AP206" s="265"/>
      <c r="AQ206" s="302"/>
      <c r="AR206" s="445"/>
      <c r="AS206" s="301"/>
      <c r="AT206" s="265"/>
      <c r="AU206" s="265"/>
      <c r="AV206" s="302"/>
      <c r="AW206" s="445"/>
      <c r="AX206" s="301"/>
      <c r="AY206" s="265"/>
      <c r="AZ206" s="265"/>
      <c r="BA206" s="302"/>
      <c r="BB206" s="445"/>
      <c r="BC206" s="301"/>
      <c r="BD206" s="265"/>
      <c r="BE206" s="265"/>
      <c r="BF206" s="302"/>
      <c r="BG206" s="445"/>
      <c r="BH206" s="301"/>
      <c r="BI206" s="265"/>
      <c r="BJ206" s="265"/>
      <c r="BK206" s="302"/>
      <c r="BL206" s="445"/>
      <c r="BM206" s="301"/>
      <c r="BN206" s="265"/>
      <c r="BO206" s="265"/>
      <c r="BP206" s="302"/>
      <c r="BQ206" s="445"/>
      <c r="BR206"/>
      <c r="BS206" s="40"/>
      <c r="BT206" s="40"/>
      <c r="BU206" s="232"/>
      <c r="BV206" s="40"/>
      <c r="BW206" s="40"/>
      <c r="BX206" s="40"/>
      <c r="BY206" s="40"/>
      <c r="BZ206" s="40"/>
      <c r="CA206" s="40"/>
      <c r="CB206" s="40"/>
      <c r="CC206" s="40"/>
      <c r="CD206" s="40"/>
      <c r="CE206" s="40"/>
      <c r="CF206" s="40"/>
      <c r="CG206" s="40"/>
      <c r="CH206" s="40"/>
      <c r="CI206" s="40"/>
      <c r="CJ206" s="40"/>
      <c r="CK206" s="40"/>
      <c r="CL206" s="40"/>
      <c r="CM206" s="40"/>
      <c r="CN206" s="40"/>
      <c r="CO206" s="40"/>
      <c r="CP206" s="40"/>
      <c r="CQ206" s="40"/>
      <c r="CR206" s="40"/>
      <c r="CS206" s="40"/>
      <c r="CT206" s="823"/>
      <c r="CU206" s="232"/>
      <c r="CV206" s="232"/>
      <c r="CW206" s="232"/>
      <c r="CX206" s="232"/>
      <c r="CY206" s="232"/>
      <c r="CZ206" s="40"/>
      <c r="DA206" s="40"/>
      <c r="DB206" s="40"/>
      <c r="DC206" s="40"/>
      <c r="DD206" s="40"/>
      <c r="DE206" s="40"/>
      <c r="DF206" s="232"/>
      <c r="DG206" s="232"/>
      <c r="DH206" s="232"/>
      <c r="DI206" s="232"/>
      <c r="DJ206" s="232"/>
      <c r="DK206" s="232"/>
      <c r="DL206" s="232"/>
      <c r="DM206" s="232"/>
      <c r="DN206" s="232"/>
    </row>
    <row r="207" spans="1:118">
      <c r="A207" s="40"/>
      <c r="B207" s="1"/>
      <c r="C207" s="542" t="s">
        <v>122</v>
      </c>
      <c r="D207" s="1"/>
      <c r="E207" s="273"/>
      <c r="F207" s="3"/>
      <c r="G207" s="3"/>
      <c r="H207" s="274"/>
      <c r="I207" s="28"/>
      <c r="J207" s="273"/>
      <c r="K207" s="3"/>
      <c r="L207" s="3"/>
      <c r="M207" s="274"/>
      <c r="N207" s="1"/>
      <c r="O207" s="273"/>
      <c r="P207" s="3"/>
      <c r="Q207" s="3"/>
      <c r="R207" s="274"/>
      <c r="S207" s="1"/>
      <c r="T207" s="332"/>
      <c r="U207" s="333"/>
      <c r="V207" s="333"/>
      <c r="W207" s="334"/>
      <c r="X207" s="331"/>
      <c r="Y207" s="332"/>
      <c r="Z207" s="333"/>
      <c r="AA207" s="333"/>
      <c r="AB207" s="334"/>
      <c r="AC207" s="331"/>
      <c r="AD207" s="332"/>
      <c r="AE207" s="333"/>
      <c r="AF207" s="333"/>
      <c r="AG207" s="334"/>
      <c r="AH207" s="331"/>
      <c r="AI207" s="332"/>
      <c r="AJ207" s="333"/>
      <c r="AK207" s="333"/>
      <c r="AL207" s="334"/>
      <c r="AM207" s="331"/>
      <c r="AN207" s="332"/>
      <c r="AO207" s="333"/>
      <c r="AP207" s="333"/>
      <c r="AQ207" s="334"/>
      <c r="AR207" s="331"/>
      <c r="AS207" s="332"/>
      <c r="AT207" s="333"/>
      <c r="AU207" s="333"/>
      <c r="AV207" s="334"/>
      <c r="AW207" s="331"/>
      <c r="AX207" s="332"/>
      <c r="AY207" s="333"/>
      <c r="AZ207" s="333"/>
      <c r="BA207" s="334"/>
      <c r="BB207" s="331"/>
      <c r="BC207" s="332"/>
      <c r="BD207" s="333"/>
      <c r="BE207" s="333"/>
      <c r="BF207" s="334"/>
      <c r="BG207" s="331"/>
      <c r="BH207" s="332"/>
      <c r="BI207" s="333"/>
      <c r="BJ207" s="333"/>
      <c r="BK207" s="334"/>
      <c r="BL207" s="331"/>
      <c r="BM207" s="332"/>
      <c r="BN207" s="333"/>
      <c r="BO207" s="333"/>
      <c r="BP207" s="334"/>
      <c r="BQ207" s="331"/>
      <c r="BR207" s="40"/>
      <c r="BS207" s="40"/>
      <c r="BT207" s="40"/>
      <c r="BU207" s="232"/>
      <c r="BV207" s="40"/>
      <c r="BW207" s="40"/>
      <c r="BX207" s="40"/>
      <c r="BY207" s="40"/>
      <c r="BZ207" s="40"/>
      <c r="CA207" s="40"/>
      <c r="CB207" s="40"/>
      <c r="CC207" s="40"/>
      <c r="CD207" s="40"/>
      <c r="CE207" s="40"/>
      <c r="CF207" s="40"/>
      <c r="CG207" s="40"/>
      <c r="CH207" s="40"/>
      <c r="CI207" s="40"/>
      <c r="CJ207" s="40"/>
      <c r="CK207" s="40"/>
      <c r="CL207" s="40"/>
      <c r="CM207" s="40"/>
      <c r="CN207" s="40"/>
      <c r="CO207" s="40"/>
      <c r="CP207" s="40"/>
      <c r="CQ207" s="40"/>
      <c r="CR207" s="40"/>
      <c r="CS207" s="40"/>
      <c r="CT207" s="823"/>
      <c r="CU207" s="232"/>
      <c r="CV207" s="232"/>
      <c r="CW207" s="232"/>
      <c r="CX207" s="232"/>
      <c r="CY207" s="232"/>
      <c r="CZ207" s="40"/>
      <c r="DA207" s="40"/>
      <c r="DB207" s="40"/>
      <c r="DC207" s="40"/>
      <c r="DD207" s="40"/>
      <c r="DE207" s="40"/>
      <c r="DF207" s="232"/>
      <c r="DG207" s="232"/>
      <c r="DH207" s="232"/>
      <c r="DI207" s="232"/>
      <c r="DJ207" s="232"/>
      <c r="DK207" s="232"/>
      <c r="DL207" s="232"/>
      <c r="DM207" s="232"/>
      <c r="DN207" s="232"/>
    </row>
    <row r="208" spans="1:118">
      <c r="A208" s="40"/>
      <c r="B208" s="1"/>
      <c r="C208" s="409" t="s">
        <v>790</v>
      </c>
      <c r="D208" s="1"/>
      <c r="E208" s="273"/>
      <c r="F208" s="3"/>
      <c r="G208" s="3"/>
      <c r="H208" s="274"/>
      <c r="I208" s="28"/>
      <c r="J208" s="273"/>
      <c r="K208" s="3"/>
      <c r="L208" s="3"/>
      <c r="M208" s="274"/>
      <c r="N208" s="1"/>
      <c r="O208" s="273"/>
      <c r="P208" s="3"/>
      <c r="Q208" s="3"/>
      <c r="R208" s="274"/>
      <c r="S208" s="1"/>
      <c r="T208" s="332"/>
      <c r="U208" s="333"/>
      <c r="V208" s="333"/>
      <c r="W208" s="334"/>
      <c r="X208" s="331"/>
      <c r="Y208" s="332">
        <f>Y674</f>
        <v>11212.5</v>
      </c>
      <c r="Z208" s="333">
        <f>Z674</f>
        <v>11212.5</v>
      </c>
      <c r="AA208" s="333">
        <f>AA674</f>
        <v>11212.5</v>
      </c>
      <c r="AB208" s="334">
        <f>AB674</f>
        <v>11212.5</v>
      </c>
      <c r="AC208" s="331"/>
      <c r="AD208" s="332">
        <f>AD674</f>
        <v>11212.5</v>
      </c>
      <c r="AE208" s="333">
        <f>AE674</f>
        <v>11212.5</v>
      </c>
      <c r="AF208" s="333">
        <f>AF674</f>
        <v>11212.5</v>
      </c>
      <c r="AG208" s="334">
        <f>AG674</f>
        <v>11212.5</v>
      </c>
      <c r="AH208" s="331">
        <f>AG208</f>
        <v>11212.5</v>
      </c>
      <c r="AI208" s="332">
        <f>AI674</f>
        <v>11212.5</v>
      </c>
      <c r="AJ208" s="333">
        <f>AJ674</f>
        <v>11212.5</v>
      </c>
      <c r="AK208" s="333">
        <f>AK674</f>
        <v>11212.5</v>
      </c>
      <c r="AL208" s="334">
        <f>AL674</f>
        <v>11212.5</v>
      </c>
      <c r="AM208" s="331">
        <f>AL208</f>
        <v>11212.5</v>
      </c>
      <c r="AN208" s="332">
        <f>AN674</f>
        <v>11212.5</v>
      </c>
      <c r="AO208" s="333">
        <f>AO674</f>
        <v>11212.5</v>
      </c>
      <c r="AP208" s="333">
        <f>AP674</f>
        <v>9975</v>
      </c>
      <c r="AQ208" s="334">
        <f>AQ674</f>
        <v>9975</v>
      </c>
      <c r="AR208" s="331">
        <f>AQ208</f>
        <v>9975</v>
      </c>
      <c r="AS208" s="332">
        <f>AS674</f>
        <v>9975</v>
      </c>
      <c r="AT208" s="333">
        <f>AT674</f>
        <v>9975</v>
      </c>
      <c r="AU208" s="333">
        <f t="shared" ref="AU208" si="315">AU674</f>
        <v>9975</v>
      </c>
      <c r="AV208" s="334">
        <f>AV674</f>
        <v>9975</v>
      </c>
      <c r="AW208" s="331">
        <f>AV208</f>
        <v>9975</v>
      </c>
      <c r="AX208" s="332">
        <f>AX674</f>
        <v>9975</v>
      </c>
      <c r="AY208" s="333">
        <f>AY674</f>
        <v>9975</v>
      </c>
      <c r="AZ208" s="333">
        <f>AZ674</f>
        <v>8625</v>
      </c>
      <c r="BA208" s="334">
        <f>BA674</f>
        <v>8625</v>
      </c>
      <c r="BB208" s="331">
        <f>BA208</f>
        <v>8625</v>
      </c>
      <c r="BC208" s="332">
        <f>BC674</f>
        <v>8625</v>
      </c>
      <c r="BD208" s="333">
        <f>BD674</f>
        <v>8625</v>
      </c>
      <c r="BE208" s="333">
        <f>BE674</f>
        <v>6925</v>
      </c>
      <c r="BF208" s="334">
        <f>BF674</f>
        <v>6925</v>
      </c>
      <c r="BG208" s="331">
        <f>BF208</f>
        <v>6925</v>
      </c>
      <c r="BH208" s="332">
        <f>BH674</f>
        <v>6925</v>
      </c>
      <c r="BI208" s="333">
        <f>BI674</f>
        <v>6925</v>
      </c>
      <c r="BJ208" s="333">
        <f>BJ674</f>
        <v>8075</v>
      </c>
      <c r="BK208" s="334">
        <f>BK674</f>
        <v>8075</v>
      </c>
      <c r="BL208" s="331">
        <f>BK208</f>
        <v>8075</v>
      </c>
      <c r="BM208" s="332">
        <f>BM674</f>
        <v>8075</v>
      </c>
      <c r="BN208" s="333">
        <f>BN674</f>
        <v>8075</v>
      </c>
      <c r="BO208" s="333">
        <f>BO674</f>
        <v>8075</v>
      </c>
      <c r="BP208" s="334">
        <f>BP674</f>
        <v>8075</v>
      </c>
      <c r="BQ208" s="331">
        <f>BP208</f>
        <v>8075</v>
      </c>
      <c r="BR208" s="40"/>
      <c r="BS208" s="40"/>
      <c r="BT208" s="40"/>
      <c r="BU208" s="232"/>
      <c r="BV208" s="40"/>
      <c r="BW208" s="40"/>
      <c r="BX208" s="40"/>
      <c r="BY208" s="40"/>
      <c r="BZ208" s="40"/>
      <c r="CA208" s="40"/>
      <c r="CB208" s="40"/>
      <c r="CC208" s="40"/>
      <c r="CD208" s="40"/>
      <c r="CE208" s="40"/>
      <c r="CF208" s="40"/>
      <c r="CG208" s="40"/>
      <c r="CH208" s="40"/>
      <c r="CI208" s="40"/>
      <c r="CJ208" s="40"/>
      <c r="CK208" s="40"/>
      <c r="CL208" s="40"/>
      <c r="CM208" s="40"/>
      <c r="CN208" s="40"/>
      <c r="CO208" s="40"/>
      <c r="CP208" s="40"/>
      <c r="CQ208" s="40"/>
      <c r="CR208" s="40"/>
      <c r="CS208" s="40"/>
      <c r="CT208" s="823"/>
      <c r="CU208" s="232"/>
      <c r="CV208" s="232"/>
      <c r="CW208" s="232"/>
      <c r="CX208" s="232"/>
      <c r="CY208" s="232"/>
      <c r="CZ208" s="40"/>
      <c r="DA208" s="40"/>
      <c r="DB208" s="40"/>
      <c r="DC208" s="40"/>
      <c r="DD208" s="40"/>
      <c r="DE208" s="40"/>
      <c r="DF208" s="232"/>
      <c r="DG208" s="232"/>
      <c r="DH208" s="232"/>
      <c r="DI208" s="232"/>
      <c r="DJ208" s="232"/>
      <c r="DK208" s="232"/>
      <c r="DL208" s="232"/>
      <c r="DM208" s="232"/>
      <c r="DN208" s="232"/>
    </row>
    <row r="209" spans="1:118">
      <c r="A209" s="40"/>
      <c r="B209" s="1"/>
      <c r="C209" s="409" t="s">
        <v>407</v>
      </c>
      <c r="D209" s="1"/>
      <c r="E209" s="273"/>
      <c r="F209" s="3"/>
      <c r="G209" s="3"/>
      <c r="H209" s="274"/>
      <c r="I209" s="28"/>
      <c r="J209" s="273"/>
      <c r="K209" s="3"/>
      <c r="L209" s="3"/>
      <c r="M209" s="274"/>
      <c r="N209" s="1"/>
      <c r="O209" s="273"/>
      <c r="P209" s="3"/>
      <c r="Q209" s="3"/>
      <c r="R209" s="274"/>
      <c r="S209" s="1"/>
      <c r="T209" s="332"/>
      <c r="U209" s="333"/>
      <c r="V209" s="333"/>
      <c r="W209" s="334"/>
      <c r="X209" s="331"/>
      <c r="Y209" s="332">
        <f>Y679</f>
        <v>8645</v>
      </c>
      <c r="Z209" s="333">
        <f>Z679</f>
        <v>8645</v>
      </c>
      <c r="AA209" s="333">
        <f>AA679</f>
        <v>8645</v>
      </c>
      <c r="AB209" s="334">
        <f>AB679</f>
        <v>8645</v>
      </c>
      <c r="AC209" s="331"/>
      <c r="AD209" s="332">
        <f>AD679</f>
        <v>8645</v>
      </c>
      <c r="AE209" s="333">
        <f>AE679</f>
        <v>8645</v>
      </c>
      <c r="AF209" s="333">
        <f>AF679</f>
        <v>8645</v>
      </c>
      <c r="AG209" s="334">
        <f>AG679</f>
        <v>8645</v>
      </c>
      <c r="AH209" s="331">
        <f>AG209</f>
        <v>8645</v>
      </c>
      <c r="AI209" s="332">
        <f>AI679</f>
        <v>8710</v>
      </c>
      <c r="AJ209" s="333">
        <f>AJ679</f>
        <v>8710</v>
      </c>
      <c r="AK209" s="333">
        <f>AK679</f>
        <v>8710</v>
      </c>
      <c r="AL209" s="334">
        <f>AL679</f>
        <v>8710</v>
      </c>
      <c r="AM209" s="331">
        <f>AL209</f>
        <v>8710</v>
      </c>
      <c r="AN209" s="332">
        <f>AN679</f>
        <v>8775</v>
      </c>
      <c r="AO209" s="333">
        <f>AO679</f>
        <v>8775</v>
      </c>
      <c r="AP209" s="333">
        <f>AP679</f>
        <v>8775</v>
      </c>
      <c r="AQ209" s="334">
        <f>AQ679</f>
        <v>8775</v>
      </c>
      <c r="AR209" s="331">
        <f>AQ209</f>
        <v>8775</v>
      </c>
      <c r="AS209" s="332">
        <f>AS679</f>
        <v>8775</v>
      </c>
      <c r="AT209" s="333">
        <f>AT679</f>
        <v>8775</v>
      </c>
      <c r="AU209" s="333">
        <f t="shared" ref="AU209" si="316">AU679</f>
        <v>8175</v>
      </c>
      <c r="AV209" s="334">
        <f>AV679</f>
        <v>8175</v>
      </c>
      <c r="AW209" s="331">
        <f>AV209</f>
        <v>8175</v>
      </c>
      <c r="AX209" s="332">
        <f>AX679</f>
        <v>8175</v>
      </c>
      <c r="AY209" s="333">
        <f>AY679</f>
        <v>8175</v>
      </c>
      <c r="AZ209" s="333">
        <f>AZ679</f>
        <v>6400</v>
      </c>
      <c r="BA209" s="334">
        <f>BA679</f>
        <v>5775</v>
      </c>
      <c r="BB209" s="331">
        <f>BA209</f>
        <v>5775</v>
      </c>
      <c r="BC209" s="332">
        <f>BC679</f>
        <v>5775</v>
      </c>
      <c r="BD209" s="333">
        <f>BD679</f>
        <v>5775</v>
      </c>
      <c r="BE209" s="333">
        <f>BE679</f>
        <v>5900</v>
      </c>
      <c r="BF209" s="334">
        <f>BF679</f>
        <v>5900</v>
      </c>
      <c r="BG209" s="331">
        <f>BF209</f>
        <v>5900</v>
      </c>
      <c r="BH209" s="332">
        <f>BH679</f>
        <v>5900</v>
      </c>
      <c r="BI209" s="333">
        <f>BI679</f>
        <v>5900</v>
      </c>
      <c r="BJ209" s="333">
        <f>BJ679</f>
        <v>6675</v>
      </c>
      <c r="BK209" s="334">
        <f>BK679</f>
        <v>6675</v>
      </c>
      <c r="BL209" s="331">
        <f>BK209</f>
        <v>6675</v>
      </c>
      <c r="BM209" s="332">
        <f>BM679</f>
        <v>6675</v>
      </c>
      <c r="BN209" s="333">
        <f>BN679</f>
        <v>6675</v>
      </c>
      <c r="BO209" s="333">
        <f>BO679</f>
        <v>6675</v>
      </c>
      <c r="BP209" s="334">
        <f>BP679</f>
        <v>6675</v>
      </c>
      <c r="BQ209" s="331">
        <f>BP209</f>
        <v>6675</v>
      </c>
      <c r="BR209" s="40"/>
      <c r="BS209" s="40"/>
      <c r="BT209" s="40"/>
      <c r="BU209" s="232"/>
      <c r="BV209" s="40"/>
      <c r="BW209" s="40"/>
      <c r="BX209" s="40"/>
      <c r="BY209" s="40"/>
      <c r="BZ209" s="40"/>
      <c r="CA209" s="40"/>
      <c r="CB209" s="40"/>
      <c r="CC209" s="40"/>
      <c r="CD209" s="40"/>
      <c r="CE209" s="40"/>
      <c r="CF209" s="40"/>
      <c r="CG209" s="40"/>
      <c r="CH209" s="40"/>
      <c r="CI209" s="40"/>
      <c r="CJ209" s="40"/>
      <c r="CK209" s="40"/>
      <c r="CL209" s="40"/>
      <c r="CM209" s="40"/>
      <c r="CN209" s="40"/>
      <c r="CO209" s="40"/>
      <c r="CP209" s="40"/>
      <c r="CQ209" s="40"/>
      <c r="CR209" s="40"/>
      <c r="CS209" s="40"/>
      <c r="CT209" s="823"/>
      <c r="CU209" s="232"/>
      <c r="CV209" s="232"/>
      <c r="CW209" s="232"/>
      <c r="CX209" s="232"/>
      <c r="CY209" s="232"/>
      <c r="CZ209" s="40"/>
      <c r="DA209" s="40"/>
      <c r="DB209" s="40"/>
      <c r="DC209" s="40"/>
      <c r="DD209" s="40"/>
      <c r="DE209" s="40"/>
      <c r="DF209" s="232"/>
      <c r="DG209" s="232"/>
      <c r="DH209" s="232"/>
      <c r="DI209" s="232"/>
      <c r="DJ209" s="232"/>
      <c r="DK209" s="232"/>
      <c r="DL209" s="232"/>
      <c r="DM209" s="232"/>
      <c r="DN209" s="232"/>
    </row>
    <row r="210" spans="1:118">
      <c r="A210" s="40"/>
      <c r="B210" s="1"/>
      <c r="C210" s="409" t="s">
        <v>791</v>
      </c>
      <c r="D210" s="1"/>
      <c r="E210" s="273"/>
      <c r="F210" s="3"/>
      <c r="G210" s="3"/>
      <c r="H210" s="274"/>
      <c r="I210" s="28"/>
      <c r="J210" s="273"/>
      <c r="K210" s="3"/>
      <c r="L210" s="3"/>
      <c r="M210" s="274"/>
      <c r="N210" s="1"/>
      <c r="O210" s="273"/>
      <c r="P210" s="3"/>
      <c r="Q210" s="3"/>
      <c r="R210" s="274"/>
      <c r="S210" s="1"/>
      <c r="T210" s="332"/>
      <c r="U210" s="333"/>
      <c r="V210" s="333"/>
      <c r="W210" s="334"/>
      <c r="X210" s="331"/>
      <c r="Y210" s="332">
        <f>Y684</f>
        <v>1710</v>
      </c>
      <c r="Z210" s="333">
        <f>Z684</f>
        <v>1710</v>
      </c>
      <c r="AA210" s="333">
        <f>AA684</f>
        <v>1710</v>
      </c>
      <c r="AB210" s="334">
        <f>AB684</f>
        <v>1710</v>
      </c>
      <c r="AC210" s="331"/>
      <c r="AD210" s="332">
        <f>AD684</f>
        <v>1710</v>
      </c>
      <c r="AE210" s="333">
        <f>AE684</f>
        <v>1710</v>
      </c>
      <c r="AF210" s="333">
        <f>AF684</f>
        <v>1710</v>
      </c>
      <c r="AG210" s="334">
        <f>AG684</f>
        <v>1710</v>
      </c>
      <c r="AH210" s="331">
        <f>AG210</f>
        <v>1710</v>
      </c>
      <c r="AI210" s="332">
        <f>AI684</f>
        <v>1710</v>
      </c>
      <c r="AJ210" s="333">
        <f>AJ684</f>
        <v>1710</v>
      </c>
      <c r="AK210" s="333">
        <f>AK684</f>
        <v>1710</v>
      </c>
      <c r="AL210" s="334">
        <f>AL684</f>
        <v>1710</v>
      </c>
      <c r="AM210" s="331">
        <f>AL210</f>
        <v>1710</v>
      </c>
      <c r="AN210" s="332">
        <f>AN684</f>
        <v>1710</v>
      </c>
      <c r="AO210" s="333">
        <f>AO684</f>
        <v>1710</v>
      </c>
      <c r="AP210" s="333">
        <f>AP684</f>
        <v>1710</v>
      </c>
      <c r="AQ210" s="334">
        <f>AQ684</f>
        <v>1710</v>
      </c>
      <c r="AR210" s="331">
        <f>AQ210</f>
        <v>1710</v>
      </c>
      <c r="AS210" s="332">
        <f>AS684</f>
        <v>1710</v>
      </c>
      <c r="AT210" s="333">
        <f>AT684</f>
        <v>1710</v>
      </c>
      <c r="AU210" s="333">
        <f t="shared" ref="AU210" si="317">AU684</f>
        <v>1710</v>
      </c>
      <c r="AV210" s="334">
        <f>AV684</f>
        <v>1710</v>
      </c>
      <c r="AW210" s="331">
        <f>AV210</f>
        <v>1710</v>
      </c>
      <c r="AX210" s="332">
        <f>AX684</f>
        <v>1710</v>
      </c>
      <c r="AY210" s="333">
        <f>AY684</f>
        <v>1710</v>
      </c>
      <c r="AZ210" s="333">
        <f>AZ684</f>
        <v>1150</v>
      </c>
      <c r="BA210" s="334">
        <f>BA684</f>
        <v>1150</v>
      </c>
      <c r="BB210" s="331">
        <f>BA210</f>
        <v>1150</v>
      </c>
      <c r="BC210" s="332">
        <f>BC684</f>
        <v>1150</v>
      </c>
      <c r="BD210" s="333">
        <f>BD684</f>
        <v>1150</v>
      </c>
      <c r="BE210" s="333">
        <f>BE684</f>
        <v>1225</v>
      </c>
      <c r="BF210" s="334">
        <f>BF684</f>
        <v>1225</v>
      </c>
      <c r="BG210" s="331">
        <f>BF210</f>
        <v>1225</v>
      </c>
      <c r="BH210" s="332">
        <f>BH684</f>
        <v>1225</v>
      </c>
      <c r="BI210" s="333">
        <f>BI684</f>
        <v>1225</v>
      </c>
      <c r="BJ210" s="333">
        <f>BJ684</f>
        <v>1225</v>
      </c>
      <c r="BK210" s="334">
        <f>BK684</f>
        <v>1225</v>
      </c>
      <c r="BL210" s="331">
        <f>BK210</f>
        <v>1225</v>
      </c>
      <c r="BM210" s="332">
        <f>BM684</f>
        <v>1225</v>
      </c>
      <c r="BN210" s="333">
        <f>BN684</f>
        <v>1225</v>
      </c>
      <c r="BO210" s="333">
        <f>BO684</f>
        <v>1225</v>
      </c>
      <c r="BP210" s="334">
        <f>BP684</f>
        <v>1225</v>
      </c>
      <c r="BQ210" s="331">
        <f>BP210</f>
        <v>1225</v>
      </c>
      <c r="BR210" s="40"/>
      <c r="BS210" s="40"/>
      <c r="BT210" s="40"/>
      <c r="BU210" s="232"/>
      <c r="BV210" s="40"/>
      <c r="BW210" s="40"/>
      <c r="BX210" s="40"/>
      <c r="BY210" s="40"/>
      <c r="BZ210" s="40"/>
      <c r="CA210" s="40"/>
      <c r="CB210" s="40"/>
      <c r="CC210" s="40"/>
      <c r="CD210" s="40"/>
      <c r="CE210" s="40"/>
      <c r="CF210" s="1010"/>
      <c r="CG210" s="40"/>
      <c r="CH210" s="40"/>
      <c r="CI210" s="40"/>
      <c r="CJ210" s="40"/>
      <c r="CK210" s="40"/>
      <c r="CL210" s="40"/>
      <c r="CM210" s="40"/>
      <c r="CN210" s="40"/>
      <c r="CO210" s="40"/>
      <c r="CP210" s="40"/>
      <c r="CQ210" s="40"/>
      <c r="CR210" s="40"/>
      <c r="CS210" s="40"/>
      <c r="CT210" s="823"/>
      <c r="CU210" s="232"/>
      <c r="CV210" s="232"/>
      <c r="CW210" s="232"/>
      <c r="CX210" s="232"/>
      <c r="CY210" s="232"/>
      <c r="CZ210" s="40"/>
      <c r="DA210" s="40"/>
      <c r="DB210" s="40"/>
      <c r="DC210" s="40"/>
      <c r="DD210" s="40"/>
      <c r="DE210" s="40"/>
      <c r="DF210" s="232"/>
      <c r="DG210" s="232"/>
      <c r="DH210" s="232"/>
      <c r="DI210" s="232"/>
      <c r="DJ210" s="232"/>
      <c r="DK210" s="232"/>
      <c r="DL210" s="232"/>
      <c r="DM210" s="232"/>
      <c r="DN210" s="232"/>
    </row>
    <row r="211" spans="1:118">
      <c r="A211" s="40"/>
      <c r="B211" s="1"/>
      <c r="C211" s="409" t="s">
        <v>792</v>
      </c>
      <c r="D211" s="1"/>
      <c r="E211" s="273"/>
      <c r="F211" s="3"/>
      <c r="G211" s="3"/>
      <c r="H211" s="274"/>
      <c r="I211" s="28"/>
      <c r="J211" s="273"/>
      <c r="K211" s="3"/>
      <c r="L211" s="3"/>
      <c r="M211" s="274"/>
      <c r="N211" s="1"/>
      <c r="O211" s="273"/>
      <c r="P211" s="3"/>
      <c r="Q211" s="3"/>
      <c r="R211" s="274"/>
      <c r="S211" s="1"/>
      <c r="T211" s="332"/>
      <c r="U211" s="333"/>
      <c r="V211" s="333"/>
      <c r="W211" s="334"/>
      <c r="X211" s="331"/>
      <c r="Y211" s="332">
        <f>Y689</f>
        <v>2470</v>
      </c>
      <c r="Z211" s="333">
        <f>Z689</f>
        <v>2470</v>
      </c>
      <c r="AA211" s="333">
        <f>AA689</f>
        <v>2470</v>
      </c>
      <c r="AB211" s="334">
        <f>AB689</f>
        <v>2470</v>
      </c>
      <c r="AC211" s="331"/>
      <c r="AD211" s="332">
        <f>AD689</f>
        <v>2470</v>
      </c>
      <c r="AE211" s="333">
        <f>AE689</f>
        <v>2470</v>
      </c>
      <c r="AF211" s="333">
        <f>AF689</f>
        <v>2470</v>
      </c>
      <c r="AG211" s="334">
        <f>AG689</f>
        <v>2220</v>
      </c>
      <c r="AH211" s="331">
        <f>AG211</f>
        <v>2220</v>
      </c>
      <c r="AI211" s="332">
        <f>AI689</f>
        <v>1033.45</v>
      </c>
      <c r="AJ211" s="333">
        <f>AJ689</f>
        <v>1033.45</v>
      </c>
      <c r="AK211" s="333">
        <f>AK689</f>
        <v>1033.45</v>
      </c>
      <c r="AL211" s="334">
        <f>AL689</f>
        <v>1033.45</v>
      </c>
      <c r="AM211" s="331">
        <f>AL211</f>
        <v>1033.45</v>
      </c>
      <c r="AN211" s="332">
        <f>AN689</f>
        <v>1033.45</v>
      </c>
      <c r="AO211" s="333">
        <f>AO689</f>
        <v>1033.45</v>
      </c>
      <c r="AP211" s="333">
        <f>AP689</f>
        <v>1033.45</v>
      </c>
      <c r="AQ211" s="334">
        <f>AQ689</f>
        <v>1033.45</v>
      </c>
      <c r="AR211" s="331">
        <f>AQ211</f>
        <v>1033.45</v>
      </c>
      <c r="AS211" s="332">
        <f>AS689</f>
        <v>1033.45</v>
      </c>
      <c r="AT211" s="333">
        <f>AT689</f>
        <v>1033.45</v>
      </c>
      <c r="AU211" s="333">
        <f t="shared" ref="AU211" si="318">AU689</f>
        <v>1033.45</v>
      </c>
      <c r="AV211" s="334">
        <f>AV689</f>
        <v>1033.45</v>
      </c>
      <c r="AW211" s="331">
        <f>AV211</f>
        <v>1033.45</v>
      </c>
      <c r="AX211" s="332">
        <f>AX689</f>
        <v>1033.45</v>
      </c>
      <c r="AY211" s="333">
        <f>AY689</f>
        <v>1033.45</v>
      </c>
      <c r="AZ211" s="333">
        <f>AZ689</f>
        <v>265</v>
      </c>
      <c r="BA211" s="334">
        <f>BA689</f>
        <v>265</v>
      </c>
      <c r="BB211" s="331">
        <f>BA211</f>
        <v>265</v>
      </c>
      <c r="BC211" s="332">
        <f>BC689</f>
        <v>265</v>
      </c>
      <c r="BD211" s="333">
        <f>BD689</f>
        <v>265</v>
      </c>
      <c r="BE211" s="333">
        <f>BE689</f>
        <v>275</v>
      </c>
      <c r="BF211" s="334">
        <f>BF689</f>
        <v>275</v>
      </c>
      <c r="BG211" s="331">
        <f>BF211</f>
        <v>275</v>
      </c>
      <c r="BH211" s="332">
        <f>BH689</f>
        <v>275</v>
      </c>
      <c r="BI211" s="333">
        <f>BI689</f>
        <v>275</v>
      </c>
      <c r="BJ211" s="333">
        <f>BJ689</f>
        <v>225</v>
      </c>
      <c r="BK211" s="334">
        <f>BK689</f>
        <v>225</v>
      </c>
      <c r="BL211" s="331">
        <f>BK211</f>
        <v>225</v>
      </c>
      <c r="BM211" s="332">
        <f>BM689</f>
        <v>225</v>
      </c>
      <c r="BN211" s="333">
        <f>BN689</f>
        <v>225</v>
      </c>
      <c r="BO211" s="333">
        <f>BO689</f>
        <v>225</v>
      </c>
      <c r="BP211" s="334">
        <f>BP689</f>
        <v>225</v>
      </c>
      <c r="BQ211" s="331">
        <f>BP211</f>
        <v>225</v>
      </c>
      <c r="BR211" s="40"/>
      <c r="BS211" s="40"/>
      <c r="BT211" s="40"/>
      <c r="BU211" s="232"/>
      <c r="BV211" s="40"/>
      <c r="BW211" s="40"/>
      <c r="BX211" s="40"/>
      <c r="BY211" s="40"/>
      <c r="BZ211" s="40"/>
      <c r="CA211" s="40"/>
      <c r="CB211" s="40"/>
      <c r="CC211" s="40"/>
      <c r="CD211" s="40"/>
      <c r="CE211" s="40"/>
      <c r="CF211" s="40"/>
      <c r="CG211" s="40"/>
      <c r="CH211" s="40"/>
      <c r="CI211" s="40"/>
      <c r="CJ211" s="40"/>
      <c r="CK211" s="40"/>
      <c r="CL211" s="40"/>
      <c r="CM211" s="40"/>
      <c r="CN211" s="40"/>
      <c r="CO211" s="40"/>
      <c r="CP211" s="40"/>
      <c r="CQ211" s="40"/>
      <c r="CR211" s="40"/>
      <c r="CS211" s="40"/>
      <c r="CT211" s="823"/>
      <c r="CU211" s="232"/>
      <c r="CV211" s="232"/>
      <c r="CW211" s="232"/>
      <c r="CX211" s="232"/>
      <c r="CY211" s="232"/>
      <c r="CZ211" s="40"/>
      <c r="DA211" s="40"/>
      <c r="DB211" s="40"/>
      <c r="DC211" s="40"/>
      <c r="DD211" s="40"/>
      <c r="DE211" s="40"/>
      <c r="DF211" s="232"/>
      <c r="DG211" s="232"/>
      <c r="DH211" s="232"/>
      <c r="DI211" s="232"/>
      <c r="DJ211" s="232"/>
      <c r="DK211" s="232"/>
      <c r="DL211" s="232"/>
      <c r="DM211" s="232"/>
      <c r="DN211" s="232"/>
    </row>
    <row r="212" spans="1:118">
      <c r="A212" s="40"/>
      <c r="B212" s="1"/>
      <c r="C212" s="226" t="s">
        <v>303</v>
      </c>
      <c r="D212" s="1"/>
      <c r="E212" s="273"/>
      <c r="F212" s="3"/>
      <c r="G212" s="3"/>
      <c r="H212" s="274"/>
      <c r="I212" s="28"/>
      <c r="J212" s="273"/>
      <c r="K212" s="3"/>
      <c r="L212" s="3"/>
      <c r="M212" s="274"/>
      <c r="N212" s="1"/>
      <c r="O212" s="273"/>
      <c r="P212" s="3"/>
      <c r="Q212" s="3"/>
      <c r="R212" s="274"/>
      <c r="S212" s="1"/>
      <c r="T212" s="332"/>
      <c r="U212" s="333"/>
      <c r="V212" s="333"/>
      <c r="W212" s="334"/>
      <c r="X212" s="331"/>
      <c r="Y212" s="332">
        <f>Y694</f>
        <v>1072.5</v>
      </c>
      <c r="Z212" s="333">
        <f>Z694</f>
        <v>1072.5</v>
      </c>
      <c r="AA212" s="333">
        <f>AA694</f>
        <v>1072.5</v>
      </c>
      <c r="AB212" s="334">
        <f>AB694</f>
        <v>1072.5</v>
      </c>
      <c r="AC212" s="331"/>
      <c r="AD212" s="332">
        <f>AD694</f>
        <v>1072.5</v>
      </c>
      <c r="AE212" s="333">
        <f>AE694</f>
        <v>1072.5</v>
      </c>
      <c r="AF212" s="333">
        <f>AF694</f>
        <v>1072.5</v>
      </c>
      <c r="AG212" s="334">
        <f>AG694</f>
        <v>1072.5</v>
      </c>
      <c r="AH212" s="331">
        <f>AG212</f>
        <v>1072.5</v>
      </c>
      <c r="AI212" s="332">
        <f>AI694</f>
        <v>1072.5</v>
      </c>
      <c r="AJ212" s="333">
        <f>AJ694</f>
        <v>1072.5</v>
      </c>
      <c r="AK212" s="333">
        <f>AK694</f>
        <v>1072.5</v>
      </c>
      <c r="AL212" s="334">
        <f>AL694</f>
        <v>1072.5</v>
      </c>
      <c r="AM212" s="331">
        <f>AL212</f>
        <v>1072.5</v>
      </c>
      <c r="AN212" s="332">
        <f>AN694</f>
        <v>1072.5</v>
      </c>
      <c r="AO212" s="333">
        <f>AO694</f>
        <v>1072.5</v>
      </c>
      <c r="AP212" s="333">
        <f>AP694</f>
        <v>1072.5</v>
      </c>
      <c r="AQ212" s="334">
        <f>AQ694</f>
        <v>1072.5</v>
      </c>
      <c r="AR212" s="331">
        <f>AQ212</f>
        <v>1072.5</v>
      </c>
      <c r="AS212" s="332">
        <f>AS694</f>
        <v>1072.5</v>
      </c>
      <c r="AT212" s="333">
        <f>AT694</f>
        <v>1910.5</v>
      </c>
      <c r="AU212" s="333">
        <f t="shared" ref="AU212" si="319">AU694</f>
        <v>1910.5</v>
      </c>
      <c r="AV212" s="334">
        <f>AV694</f>
        <v>1910.5</v>
      </c>
      <c r="AW212" s="331">
        <f>AV212</f>
        <v>1910.5</v>
      </c>
      <c r="AX212" s="332">
        <f>AX694</f>
        <v>1910.5</v>
      </c>
      <c r="AY212" s="333">
        <f>AY694</f>
        <v>1910.5</v>
      </c>
      <c r="AZ212" s="333">
        <f>AZ694</f>
        <v>1910.5</v>
      </c>
      <c r="BA212" s="334">
        <f>BA694</f>
        <v>1910.5</v>
      </c>
      <c r="BB212" s="331">
        <f>BA212</f>
        <v>1910.5</v>
      </c>
      <c r="BC212" s="332">
        <f>BC694</f>
        <v>1910.5</v>
      </c>
      <c r="BD212" s="333">
        <f>BD694</f>
        <v>1910.5</v>
      </c>
      <c r="BE212" s="333">
        <f>BE694</f>
        <v>1910.5</v>
      </c>
      <c r="BF212" s="334">
        <f>BF694</f>
        <v>1910.5</v>
      </c>
      <c r="BG212" s="331">
        <f>BF212</f>
        <v>1910.5</v>
      </c>
      <c r="BH212" s="332">
        <f>BH694</f>
        <v>1910.5</v>
      </c>
      <c r="BI212" s="333">
        <f>BI694</f>
        <v>1910.5</v>
      </c>
      <c r="BJ212" s="333">
        <f>BJ694</f>
        <v>1910.5</v>
      </c>
      <c r="BK212" s="334">
        <f>BK694</f>
        <v>1910.5</v>
      </c>
      <c r="BL212" s="331">
        <f>BK212</f>
        <v>1910.5</v>
      </c>
      <c r="BM212" s="332">
        <f>BM694</f>
        <v>1910.5</v>
      </c>
      <c r="BN212" s="333">
        <f>BN694</f>
        <v>1910.5</v>
      </c>
      <c r="BO212" s="333">
        <f>BO694</f>
        <v>1910.5</v>
      </c>
      <c r="BP212" s="334">
        <f>BP694</f>
        <v>1910.5</v>
      </c>
      <c r="BQ212" s="331">
        <f>BP212</f>
        <v>1910.5</v>
      </c>
      <c r="BR212" s="40"/>
      <c r="BS212" s="40"/>
      <c r="BT212" s="40"/>
      <c r="BU212" s="232"/>
      <c r="BV212" s="40"/>
      <c r="BW212" s="40"/>
      <c r="BX212" s="40"/>
      <c r="BY212" s="40"/>
      <c r="BZ212" s="40"/>
      <c r="CA212" s="40"/>
      <c r="CB212" s="40"/>
      <c r="CC212" s="40"/>
      <c r="CD212" s="40"/>
      <c r="CE212" s="40"/>
      <c r="CF212" s="40"/>
      <c r="CG212" s="40"/>
      <c r="CH212" s="40"/>
      <c r="CI212" s="40"/>
      <c r="CJ212" s="40"/>
      <c r="CK212" s="40"/>
      <c r="CL212" s="40"/>
      <c r="CM212" s="40"/>
      <c r="CN212" s="40"/>
      <c r="CO212" s="40"/>
      <c r="CP212" s="40"/>
      <c r="CQ212" s="40"/>
      <c r="CR212" s="40"/>
      <c r="CS212" s="40"/>
      <c r="CT212" s="823"/>
      <c r="CU212" s="232"/>
      <c r="CV212" s="232"/>
      <c r="CW212" s="232"/>
      <c r="CX212" s="232"/>
      <c r="CY212" s="232"/>
      <c r="CZ212" s="40"/>
      <c r="DA212" s="40"/>
      <c r="DB212" s="40"/>
      <c r="DC212" s="40"/>
      <c r="DD212" s="40"/>
      <c r="DE212" s="40"/>
      <c r="DF212" s="232"/>
      <c r="DG212" s="232"/>
      <c r="DH212" s="232"/>
      <c r="DI212" s="232"/>
      <c r="DJ212" s="232"/>
      <c r="DK212" s="232"/>
      <c r="DL212" s="232"/>
      <c r="DM212" s="232"/>
      <c r="DN212" s="232"/>
    </row>
    <row r="213" spans="1:118">
      <c r="A213" s="40"/>
      <c r="B213" s="1"/>
      <c r="C213" s="409" t="s">
        <v>432</v>
      </c>
      <c r="D213" s="1"/>
      <c r="E213" s="273"/>
      <c r="F213" s="3"/>
      <c r="G213" s="3"/>
      <c r="H213" s="274"/>
      <c r="I213" s="28"/>
      <c r="J213" s="273"/>
      <c r="K213" s="3"/>
      <c r="L213" s="3"/>
      <c r="M213" s="274"/>
      <c r="N213" s="1"/>
      <c r="O213" s="273"/>
      <c r="P213" s="3"/>
      <c r="Q213" s="3"/>
      <c r="R213" s="274"/>
      <c r="S213" s="1"/>
      <c r="T213" s="332"/>
      <c r="U213" s="333"/>
      <c r="V213" s="333"/>
      <c r="W213" s="334"/>
      <c r="X213" s="331"/>
      <c r="Y213" s="332">
        <f>Y699</f>
        <v>2764.125</v>
      </c>
      <c r="Z213" s="333">
        <f>Z699</f>
        <v>2764.125</v>
      </c>
      <c r="AA213" s="333">
        <f>AA699</f>
        <v>2764.125</v>
      </c>
      <c r="AB213" s="334">
        <f>AB699</f>
        <v>2764.125</v>
      </c>
      <c r="AC213" s="331"/>
      <c r="AD213" s="332">
        <f>AD699+AD704</f>
        <v>2764.125</v>
      </c>
      <c r="AE213" s="333">
        <f t="shared" ref="AE213:BB213" si="320">AE699+AE704</f>
        <v>2764.125</v>
      </c>
      <c r="AF213" s="333">
        <f t="shared" si="320"/>
        <v>2764.125</v>
      </c>
      <c r="AG213" s="334">
        <f t="shared" si="320"/>
        <v>2764.125</v>
      </c>
      <c r="AH213" s="331">
        <f t="shared" si="320"/>
        <v>2764.125</v>
      </c>
      <c r="AI213" s="332">
        <f t="shared" si="320"/>
        <v>1964.125</v>
      </c>
      <c r="AJ213" s="333">
        <f t="shared" si="320"/>
        <v>1964.125</v>
      </c>
      <c r="AK213" s="333">
        <f t="shared" si="320"/>
        <v>1964.125</v>
      </c>
      <c r="AL213" s="334">
        <f t="shared" si="320"/>
        <v>1964.125</v>
      </c>
      <c r="AM213" s="331">
        <f t="shared" si="320"/>
        <v>1964.125</v>
      </c>
      <c r="AN213" s="332">
        <f t="shared" si="320"/>
        <v>1964.125</v>
      </c>
      <c r="AO213" s="333">
        <f t="shared" si="320"/>
        <v>1964.125</v>
      </c>
      <c r="AP213" s="333">
        <f t="shared" si="320"/>
        <v>1964.125</v>
      </c>
      <c r="AQ213" s="334">
        <f t="shared" si="320"/>
        <v>1964.125</v>
      </c>
      <c r="AR213" s="331">
        <f t="shared" si="320"/>
        <v>1964.125</v>
      </c>
      <c r="AS213" s="332">
        <f t="shared" si="320"/>
        <v>1964.125</v>
      </c>
      <c r="AT213" s="333">
        <f t="shared" ref="AT213:AW213" si="321">AT699+AT704</f>
        <v>1964.125</v>
      </c>
      <c r="AU213" s="333">
        <f t="shared" si="321"/>
        <v>1964.125</v>
      </c>
      <c r="AV213" s="334">
        <f t="shared" si="321"/>
        <v>1964.125</v>
      </c>
      <c r="AW213" s="331">
        <f t="shared" si="321"/>
        <v>1964.125</v>
      </c>
      <c r="AX213" s="332">
        <f t="shared" si="320"/>
        <v>1964.125</v>
      </c>
      <c r="AY213" s="333">
        <f t="shared" si="320"/>
        <v>1964.125</v>
      </c>
      <c r="AZ213" s="333">
        <f t="shared" si="320"/>
        <v>2154.25</v>
      </c>
      <c r="BA213" s="334">
        <f t="shared" si="320"/>
        <v>2154.25</v>
      </c>
      <c r="BB213" s="331">
        <f t="shared" si="320"/>
        <v>2154.25</v>
      </c>
      <c r="BC213" s="332">
        <f t="shared" ref="BC213:BL213" si="322">BC699+BC704</f>
        <v>2154.25</v>
      </c>
      <c r="BD213" s="333">
        <f t="shared" si="322"/>
        <v>2154.25</v>
      </c>
      <c r="BE213" s="333">
        <f t="shared" si="322"/>
        <v>2154.25</v>
      </c>
      <c r="BF213" s="334">
        <f t="shared" si="322"/>
        <v>2154.25</v>
      </c>
      <c r="BG213" s="331">
        <f t="shared" si="322"/>
        <v>2154.25</v>
      </c>
      <c r="BH213" s="332">
        <f t="shared" si="322"/>
        <v>2154.25</v>
      </c>
      <c r="BI213" s="333">
        <f t="shared" si="322"/>
        <v>2154.25</v>
      </c>
      <c r="BJ213" s="333">
        <f t="shared" si="322"/>
        <v>2154.25</v>
      </c>
      <c r="BK213" s="334">
        <f t="shared" si="322"/>
        <v>2154.25</v>
      </c>
      <c r="BL213" s="331">
        <f t="shared" si="322"/>
        <v>2154.25</v>
      </c>
      <c r="BM213" s="332">
        <f t="shared" ref="BM213:BQ213" si="323">BM699+BM704</f>
        <v>2154.25</v>
      </c>
      <c r="BN213" s="333">
        <f t="shared" si="323"/>
        <v>2154.25</v>
      </c>
      <c r="BO213" s="333">
        <f t="shared" si="323"/>
        <v>2154.25</v>
      </c>
      <c r="BP213" s="334">
        <f t="shared" si="323"/>
        <v>2154.25</v>
      </c>
      <c r="BQ213" s="331">
        <f t="shared" si="323"/>
        <v>2154.25</v>
      </c>
      <c r="BR213" s="40"/>
      <c r="BS213" s="40"/>
      <c r="BT213" s="40"/>
      <c r="BU213" s="232"/>
      <c r="BV213" s="40"/>
      <c r="BW213" s="40"/>
      <c r="BX213" s="40"/>
      <c r="BY213" s="40"/>
      <c r="BZ213" s="40"/>
      <c r="CA213" s="40"/>
      <c r="CB213" s="40"/>
      <c r="CC213" s="40"/>
      <c r="CD213" s="40"/>
      <c r="CE213" s="40"/>
      <c r="CF213" s="40"/>
      <c r="CG213" s="40"/>
      <c r="CH213" s="40"/>
      <c r="CI213" s="40"/>
      <c r="CJ213" s="40"/>
      <c r="CK213" s="40"/>
      <c r="CL213" s="40"/>
      <c r="CM213" s="40"/>
      <c r="CN213" s="40"/>
      <c r="CO213" s="40"/>
      <c r="CP213" s="40"/>
      <c r="CQ213" s="40"/>
      <c r="CR213" s="40"/>
      <c r="CS213" s="40"/>
      <c r="CT213" s="823"/>
      <c r="CU213" s="232"/>
      <c r="CV213" s="232"/>
      <c r="CW213" s="232"/>
      <c r="CX213" s="232"/>
      <c r="CY213" s="232"/>
      <c r="CZ213" s="40"/>
      <c r="DA213" s="40"/>
      <c r="DB213" s="40"/>
      <c r="DC213" s="40"/>
      <c r="DD213" s="40"/>
      <c r="DE213" s="40"/>
      <c r="DF213" s="232"/>
      <c r="DG213" s="232"/>
      <c r="DH213" s="232"/>
      <c r="DI213" s="232"/>
      <c r="DJ213" s="232"/>
      <c r="DK213" s="232"/>
      <c r="DL213" s="232"/>
      <c r="DM213" s="232"/>
      <c r="DN213" s="232"/>
    </row>
    <row r="214" spans="1:118">
      <c r="A214" s="40"/>
      <c r="B214" s="1"/>
      <c r="C214" s="409" t="s">
        <v>641</v>
      </c>
      <c r="D214" s="1"/>
      <c r="E214" s="273"/>
      <c r="F214" s="3"/>
      <c r="G214" s="3"/>
      <c r="H214" s="274"/>
      <c r="I214" s="28"/>
      <c r="J214" s="273"/>
      <c r="K214" s="3"/>
      <c r="L214" s="3"/>
      <c r="M214" s="274"/>
      <c r="N214" s="1"/>
      <c r="O214" s="273"/>
      <c r="P214" s="3"/>
      <c r="Q214" s="3"/>
      <c r="R214" s="274"/>
      <c r="S214" s="1"/>
      <c r="T214" s="332"/>
      <c r="U214" s="333"/>
      <c r="V214" s="333"/>
      <c r="W214" s="334"/>
      <c r="X214" s="331"/>
      <c r="Y214" s="332">
        <f>Y714</f>
        <v>3960.45</v>
      </c>
      <c r="Z214" s="333">
        <f>Z714</f>
        <v>3960.45</v>
      </c>
      <c r="AA214" s="333">
        <f>AA714</f>
        <v>3960.45</v>
      </c>
      <c r="AB214" s="334">
        <f>AB714</f>
        <v>3960.45</v>
      </c>
      <c r="AC214" s="331"/>
      <c r="AD214" s="332">
        <f t="shared" ref="AD214:BB214" si="324">AD714</f>
        <v>3960.45</v>
      </c>
      <c r="AE214" s="333">
        <f t="shared" si="324"/>
        <v>3960.45</v>
      </c>
      <c r="AF214" s="333">
        <f t="shared" si="324"/>
        <v>3960.45</v>
      </c>
      <c r="AG214" s="334">
        <f t="shared" si="324"/>
        <v>3960.45</v>
      </c>
      <c r="AH214" s="331">
        <f t="shared" si="324"/>
        <v>3960.45</v>
      </c>
      <c r="AI214" s="332">
        <f t="shared" si="324"/>
        <v>3460.45</v>
      </c>
      <c r="AJ214" s="333">
        <f t="shared" si="324"/>
        <v>3460.45</v>
      </c>
      <c r="AK214" s="333">
        <f t="shared" si="324"/>
        <v>3460.45</v>
      </c>
      <c r="AL214" s="334">
        <f t="shared" si="324"/>
        <v>3460.45</v>
      </c>
      <c r="AM214" s="331">
        <f t="shared" si="324"/>
        <v>3460.45</v>
      </c>
      <c r="AN214" s="332">
        <f t="shared" si="324"/>
        <v>3460.45</v>
      </c>
      <c r="AO214" s="333">
        <f t="shared" si="324"/>
        <v>3460.45</v>
      </c>
      <c r="AP214" s="333">
        <f t="shared" si="324"/>
        <v>3460.45</v>
      </c>
      <c r="AQ214" s="334">
        <f t="shared" si="324"/>
        <v>3460.45</v>
      </c>
      <c r="AR214" s="331">
        <f t="shared" si="324"/>
        <v>3460.45</v>
      </c>
      <c r="AS214" s="332">
        <f t="shared" si="324"/>
        <v>3460.45</v>
      </c>
      <c r="AT214" s="333">
        <f t="shared" ref="AT214:AW214" si="325">AT714</f>
        <v>3460.45</v>
      </c>
      <c r="AU214" s="333">
        <f t="shared" si="325"/>
        <v>3460.45</v>
      </c>
      <c r="AV214" s="334">
        <f t="shared" si="325"/>
        <v>3460.45</v>
      </c>
      <c r="AW214" s="331">
        <f t="shared" si="325"/>
        <v>3460.45</v>
      </c>
      <c r="AX214" s="332">
        <f t="shared" si="324"/>
        <v>3460.45</v>
      </c>
      <c r="AY214" s="333">
        <f t="shared" si="324"/>
        <v>3460.45</v>
      </c>
      <c r="AZ214" s="333">
        <f t="shared" si="324"/>
        <v>3460.45</v>
      </c>
      <c r="BA214" s="334">
        <f t="shared" si="324"/>
        <v>3460.45</v>
      </c>
      <c r="BB214" s="331">
        <f t="shared" si="324"/>
        <v>3460.45</v>
      </c>
      <c r="BC214" s="332">
        <f t="shared" ref="BC214:BL214" si="326">BC714</f>
        <v>3460.45</v>
      </c>
      <c r="BD214" s="333">
        <f t="shared" si="326"/>
        <v>3460.45</v>
      </c>
      <c r="BE214" s="333">
        <f t="shared" si="326"/>
        <v>3460.45</v>
      </c>
      <c r="BF214" s="334">
        <f t="shared" si="326"/>
        <v>3460.45</v>
      </c>
      <c r="BG214" s="331">
        <f t="shared" si="326"/>
        <v>3460.45</v>
      </c>
      <c r="BH214" s="332">
        <f t="shared" si="326"/>
        <v>3460.45</v>
      </c>
      <c r="BI214" s="333">
        <f t="shared" si="326"/>
        <v>3460.45</v>
      </c>
      <c r="BJ214" s="333">
        <f t="shared" si="326"/>
        <v>3460.45</v>
      </c>
      <c r="BK214" s="334">
        <f t="shared" si="326"/>
        <v>3460.45</v>
      </c>
      <c r="BL214" s="331">
        <f t="shared" si="326"/>
        <v>3460.45</v>
      </c>
      <c r="BM214" s="332">
        <f t="shared" ref="BM214:BQ214" si="327">BM714</f>
        <v>3460.45</v>
      </c>
      <c r="BN214" s="333">
        <f t="shared" si="327"/>
        <v>3460.45</v>
      </c>
      <c r="BO214" s="333">
        <f t="shared" si="327"/>
        <v>3460.45</v>
      </c>
      <c r="BP214" s="334">
        <f t="shared" si="327"/>
        <v>3460.45</v>
      </c>
      <c r="BQ214" s="331">
        <f t="shared" si="327"/>
        <v>3460.45</v>
      </c>
      <c r="BR214" s="40"/>
      <c r="BS214" s="40"/>
      <c r="BT214" s="40"/>
      <c r="BU214" s="232"/>
      <c r="BV214" s="40"/>
      <c r="BW214" s="40"/>
      <c r="BX214" s="40"/>
      <c r="BY214" s="40"/>
      <c r="BZ214" s="40"/>
      <c r="CA214" s="40"/>
      <c r="CB214" s="40"/>
      <c r="CC214" s="40"/>
      <c r="CD214" s="40"/>
      <c r="CE214" s="40"/>
      <c r="CF214" s="40"/>
      <c r="CG214" s="40"/>
      <c r="CH214" s="40"/>
      <c r="CI214" s="40"/>
      <c r="CJ214" s="40"/>
      <c r="CK214" s="40"/>
      <c r="CL214" s="40"/>
      <c r="CM214" s="40"/>
      <c r="CN214" s="40"/>
      <c r="CO214" s="40"/>
      <c r="CP214" s="40"/>
      <c r="CQ214" s="40"/>
      <c r="CR214" s="40"/>
      <c r="CS214" s="40"/>
      <c r="CT214" s="823"/>
      <c r="CU214" s="232"/>
      <c r="CV214" s="232"/>
      <c r="CW214" s="232"/>
      <c r="CX214" s="232"/>
      <c r="CY214" s="232"/>
      <c r="CZ214" s="40"/>
      <c r="DA214" s="40"/>
      <c r="DB214" s="40"/>
      <c r="DC214" s="40"/>
      <c r="DD214" s="40"/>
      <c r="DE214" s="40"/>
      <c r="DF214" s="232"/>
      <c r="DG214" s="232"/>
      <c r="DH214" s="232"/>
      <c r="DI214" s="232"/>
      <c r="DJ214" s="232"/>
      <c r="DK214" s="232"/>
      <c r="DL214" s="232"/>
      <c r="DM214" s="232"/>
      <c r="DN214" s="232"/>
    </row>
    <row r="215" spans="1:118">
      <c r="A215" s="40"/>
      <c r="B215" s="32"/>
      <c r="C215" s="446" t="s">
        <v>399</v>
      </c>
      <c r="D215" s="32"/>
      <c r="E215" s="489"/>
      <c r="F215" s="342"/>
      <c r="G215" s="342"/>
      <c r="H215" s="490"/>
      <c r="I215" s="32"/>
      <c r="J215" s="489"/>
      <c r="K215" s="342"/>
      <c r="L215" s="342"/>
      <c r="M215" s="490"/>
      <c r="N215" s="32"/>
      <c r="O215" s="489"/>
      <c r="P215" s="342"/>
      <c r="Q215" s="342"/>
      <c r="R215" s="490"/>
      <c r="S215" s="32"/>
      <c r="T215" s="301"/>
      <c r="U215" s="265"/>
      <c r="V215" s="265"/>
      <c r="W215" s="302"/>
      <c r="X215" s="445"/>
      <c r="Y215" s="301">
        <f>SUM(Y208:Y214)</f>
        <v>31834.575000000001</v>
      </c>
      <c r="Z215" s="265">
        <f>SUM(Z208:Z214)</f>
        <v>31834.575000000001</v>
      </c>
      <c r="AA215" s="265">
        <f>SUM(AA208:AA214)</f>
        <v>31834.575000000001</v>
      </c>
      <c r="AB215" s="302">
        <f>SUM(AB208:AB214)</f>
        <v>31834.575000000001</v>
      </c>
      <c r="AC215" s="445"/>
      <c r="AD215" s="301">
        <f t="shared" ref="AD215:BL215" si="328">SUM(AD208:AD214)</f>
        <v>31834.575000000001</v>
      </c>
      <c r="AE215" s="265">
        <f t="shared" si="328"/>
        <v>31834.575000000001</v>
      </c>
      <c r="AF215" s="265">
        <f t="shared" si="328"/>
        <v>31834.575000000001</v>
      </c>
      <c r="AG215" s="302">
        <f t="shared" si="328"/>
        <v>31584.575000000001</v>
      </c>
      <c r="AH215" s="445">
        <f t="shared" si="328"/>
        <v>31584.575000000001</v>
      </c>
      <c r="AI215" s="301">
        <f t="shared" si="328"/>
        <v>29163.025000000001</v>
      </c>
      <c r="AJ215" s="265">
        <f t="shared" si="328"/>
        <v>29163.025000000001</v>
      </c>
      <c r="AK215" s="265">
        <f t="shared" si="328"/>
        <v>29163.025000000001</v>
      </c>
      <c r="AL215" s="302">
        <f t="shared" si="328"/>
        <v>29163.025000000001</v>
      </c>
      <c r="AM215" s="445">
        <f t="shared" si="328"/>
        <v>29163.025000000001</v>
      </c>
      <c r="AN215" s="301">
        <f t="shared" si="328"/>
        <v>29228.025000000001</v>
      </c>
      <c r="AO215" s="265">
        <f t="shared" si="328"/>
        <v>29228.025000000001</v>
      </c>
      <c r="AP215" s="265">
        <f t="shared" si="328"/>
        <v>27990.525000000001</v>
      </c>
      <c r="AQ215" s="302">
        <f t="shared" si="328"/>
        <v>27990.525000000001</v>
      </c>
      <c r="AR215" s="445">
        <f t="shared" si="328"/>
        <v>27990.525000000001</v>
      </c>
      <c r="AS215" s="301">
        <f t="shared" si="328"/>
        <v>27990.525000000001</v>
      </c>
      <c r="AT215" s="265">
        <f t="shared" ref="AT215:AW215" si="329">SUM(AT208:AT214)</f>
        <v>28828.525000000001</v>
      </c>
      <c r="AU215" s="265">
        <f t="shared" si="329"/>
        <v>28228.525000000001</v>
      </c>
      <c r="AV215" s="302">
        <f t="shared" si="329"/>
        <v>28228.525000000001</v>
      </c>
      <c r="AW215" s="445">
        <f t="shared" si="329"/>
        <v>28228.525000000001</v>
      </c>
      <c r="AX215" s="301">
        <f t="shared" si="328"/>
        <v>28228.525000000001</v>
      </c>
      <c r="AY215" s="265">
        <f t="shared" si="328"/>
        <v>28228.525000000001</v>
      </c>
      <c r="AZ215" s="265">
        <f t="shared" si="328"/>
        <v>23965.200000000001</v>
      </c>
      <c r="BA215" s="302">
        <f t="shared" si="328"/>
        <v>23340.2</v>
      </c>
      <c r="BB215" s="445">
        <f t="shared" si="328"/>
        <v>23340.2</v>
      </c>
      <c r="BC215" s="301">
        <f t="shared" si="328"/>
        <v>23340.2</v>
      </c>
      <c r="BD215" s="265">
        <f t="shared" si="328"/>
        <v>23340.2</v>
      </c>
      <c r="BE215" s="265">
        <f t="shared" si="328"/>
        <v>21850.2</v>
      </c>
      <c r="BF215" s="302">
        <f t="shared" si="328"/>
        <v>21850.2</v>
      </c>
      <c r="BG215" s="445">
        <f t="shared" si="328"/>
        <v>21850.2</v>
      </c>
      <c r="BH215" s="301">
        <f t="shared" si="328"/>
        <v>21850.2</v>
      </c>
      <c r="BI215" s="265">
        <f t="shared" si="328"/>
        <v>21850.2</v>
      </c>
      <c r="BJ215" s="265">
        <f t="shared" si="328"/>
        <v>23725.200000000001</v>
      </c>
      <c r="BK215" s="302">
        <f t="shared" si="328"/>
        <v>23725.200000000001</v>
      </c>
      <c r="BL215" s="445">
        <f t="shared" si="328"/>
        <v>23725.200000000001</v>
      </c>
      <c r="BM215" s="301">
        <f t="shared" ref="BM215:BQ215" si="330">SUM(BM208:BM214)</f>
        <v>23725.200000000001</v>
      </c>
      <c r="BN215" s="265">
        <f t="shared" si="330"/>
        <v>23725.200000000001</v>
      </c>
      <c r="BO215" s="265">
        <f t="shared" si="330"/>
        <v>23725.200000000001</v>
      </c>
      <c r="BP215" s="302">
        <f t="shared" si="330"/>
        <v>23725.200000000001</v>
      </c>
      <c r="BQ215" s="445">
        <f t="shared" si="330"/>
        <v>23725.200000000001</v>
      </c>
      <c r="BR215" s="40"/>
      <c r="BS215" s="40"/>
      <c r="BT215" s="40"/>
      <c r="BU215" s="232"/>
      <c r="BV215" s="40"/>
      <c r="BW215" s="40"/>
      <c r="BX215" s="40"/>
      <c r="BY215" s="40"/>
      <c r="BZ215" s="40"/>
      <c r="CA215" s="40"/>
      <c r="CB215" s="40"/>
      <c r="CC215" s="40"/>
      <c r="CD215" s="40"/>
      <c r="CE215" s="40"/>
      <c r="CF215" s="40"/>
      <c r="CG215" s="40"/>
      <c r="CH215" s="40"/>
      <c r="CI215" s="40"/>
      <c r="CJ215" s="40"/>
      <c r="CK215" s="40"/>
      <c r="CL215" s="40"/>
      <c r="CM215" s="40"/>
      <c r="CN215" s="40"/>
      <c r="CO215" s="40"/>
      <c r="CP215" s="40"/>
      <c r="CQ215" s="40"/>
      <c r="CR215" s="40"/>
      <c r="CS215" s="40"/>
      <c r="CT215" s="823"/>
      <c r="CU215" s="232"/>
      <c r="CV215" s="232"/>
      <c r="CW215" s="232"/>
      <c r="CX215" s="232"/>
      <c r="CY215" s="232"/>
      <c r="CZ215" s="40"/>
      <c r="DA215" s="40"/>
      <c r="DB215" s="40"/>
      <c r="DC215" s="40"/>
      <c r="DD215" s="40"/>
      <c r="DE215" s="40"/>
      <c r="DF215" s="232"/>
      <c r="DG215" s="232"/>
      <c r="DH215" s="232"/>
      <c r="DI215" s="232"/>
      <c r="DJ215" s="232"/>
      <c r="DK215" s="232"/>
      <c r="DL215" s="232"/>
      <c r="DM215" s="232"/>
      <c r="DN215" s="232"/>
    </row>
    <row r="216" spans="1:118">
      <c r="A216" s="40"/>
      <c r="B216" s="1"/>
      <c r="C216" s="542"/>
      <c r="D216" s="1"/>
      <c r="E216" s="273"/>
      <c r="F216" s="3"/>
      <c r="G216" s="3"/>
      <c r="H216" s="274"/>
      <c r="I216" s="28"/>
      <c r="J216" s="273"/>
      <c r="K216" s="3"/>
      <c r="L216" s="3"/>
      <c r="M216" s="274"/>
      <c r="N216" s="1"/>
      <c r="O216" s="273"/>
      <c r="P216" s="3"/>
      <c r="Q216" s="3"/>
      <c r="R216" s="274"/>
      <c r="S216" s="1"/>
      <c r="T216" s="321"/>
      <c r="U216" s="1152"/>
      <c r="V216" s="3"/>
      <c r="W216" s="274"/>
      <c r="X216" s="1"/>
      <c r="Y216" s="321"/>
      <c r="Z216" s="3"/>
      <c r="AA216" s="3"/>
      <c r="AB216" s="274"/>
      <c r="AC216" s="1"/>
      <c r="AD216" s="321"/>
      <c r="AE216" s="3"/>
      <c r="AF216" s="3"/>
      <c r="AG216" s="274"/>
      <c r="AH216" s="1"/>
      <c r="AI216" s="321"/>
      <c r="AJ216" s="3"/>
      <c r="AK216" s="3"/>
      <c r="AL216" s="274"/>
      <c r="AM216" s="1"/>
      <c r="AN216" s="321"/>
      <c r="AO216" s="3"/>
      <c r="AP216" s="3"/>
      <c r="AQ216" s="274"/>
      <c r="AR216" s="1"/>
      <c r="AS216" s="321"/>
      <c r="AT216" s="3"/>
      <c r="AU216" s="3"/>
      <c r="AV216" s="274"/>
      <c r="AW216" s="1"/>
      <c r="AX216" s="321"/>
      <c r="AY216" s="3"/>
      <c r="AZ216" s="3"/>
      <c r="BA216" s="274"/>
      <c r="BB216" s="1"/>
      <c r="BC216" s="321"/>
      <c r="BD216" s="3"/>
      <c r="BE216" s="3"/>
      <c r="BF216" s="274"/>
      <c r="BG216" s="1"/>
      <c r="BH216" s="321"/>
      <c r="BI216" s="3"/>
      <c r="BJ216" s="3"/>
      <c r="BK216" s="274"/>
      <c r="BL216" s="1"/>
      <c r="BM216" s="321"/>
      <c r="BN216" s="3"/>
      <c r="BO216" s="3"/>
      <c r="BP216" s="274"/>
      <c r="BQ216" s="1"/>
      <c r="BR216" s="40"/>
      <c r="BS216" s="40"/>
      <c r="BT216" s="40"/>
      <c r="BU216" s="232"/>
      <c r="BV216" s="40"/>
      <c r="BW216" s="40"/>
      <c r="BX216" s="40"/>
      <c r="BY216" s="40"/>
      <c r="BZ216" s="40"/>
      <c r="CA216" s="40"/>
      <c r="CB216" s="40"/>
      <c r="CC216" s="40"/>
      <c r="CD216" s="40"/>
      <c r="CE216" s="40"/>
      <c r="CF216" s="40"/>
      <c r="CG216" s="40"/>
      <c r="CH216" s="40"/>
      <c r="CI216" s="40"/>
      <c r="CJ216" s="40"/>
      <c r="CK216" s="40"/>
      <c r="CL216" s="40"/>
      <c r="CM216" s="40"/>
      <c r="CN216" s="40"/>
      <c r="CO216" s="40"/>
      <c r="CP216" s="40"/>
      <c r="CQ216" s="40"/>
      <c r="CR216" s="40"/>
      <c r="CS216" s="40"/>
      <c r="CT216" s="823"/>
      <c r="CU216" s="232"/>
      <c r="CV216" s="232"/>
      <c r="CW216" s="232"/>
      <c r="CX216" s="232"/>
      <c r="CY216" s="232"/>
      <c r="CZ216" s="40"/>
      <c r="DA216" s="40"/>
      <c r="DB216" s="40"/>
      <c r="DC216" s="40"/>
      <c r="DD216" s="40"/>
      <c r="DE216" s="40"/>
      <c r="DF216" s="232"/>
      <c r="DG216" s="232"/>
      <c r="DH216" s="232"/>
      <c r="DI216" s="232"/>
      <c r="DJ216" s="232"/>
      <c r="DK216" s="232"/>
      <c r="DL216" s="232"/>
      <c r="DM216" s="232"/>
      <c r="DN216" s="232"/>
    </row>
    <row r="217" spans="1:118">
      <c r="A217" s="40"/>
      <c r="B217" s="1"/>
      <c r="C217" s="542"/>
      <c r="D217" s="1"/>
      <c r="E217" s="273"/>
      <c r="F217" s="3"/>
      <c r="G217" s="3"/>
      <c r="H217" s="274"/>
      <c r="I217" s="28"/>
      <c r="J217" s="273"/>
      <c r="K217" s="3"/>
      <c r="L217" s="3"/>
      <c r="M217" s="274"/>
      <c r="N217" s="1"/>
      <c r="O217" s="273"/>
      <c r="P217" s="3"/>
      <c r="Q217" s="3"/>
      <c r="R217" s="274"/>
      <c r="S217" s="1"/>
      <c r="T217" s="321"/>
      <c r="U217" s="1152"/>
      <c r="V217" s="3"/>
      <c r="W217" s="274"/>
      <c r="X217" s="1"/>
      <c r="Y217" s="321"/>
      <c r="Z217" s="3"/>
      <c r="AA217" s="3"/>
      <c r="AB217" s="274"/>
      <c r="AC217" s="1"/>
      <c r="AD217" s="321"/>
      <c r="AE217" s="3"/>
      <c r="AF217" s="3"/>
      <c r="AG217" s="274"/>
      <c r="AH217" s="1"/>
      <c r="AI217" s="321"/>
      <c r="AJ217" s="3"/>
      <c r="AK217" s="3"/>
      <c r="AL217" s="274"/>
      <c r="AM217" s="1"/>
      <c r="AN217" s="321"/>
      <c r="AO217" s="3"/>
      <c r="AP217" s="3"/>
      <c r="AQ217" s="274"/>
      <c r="AR217" s="1"/>
      <c r="AS217" s="321"/>
      <c r="AT217" s="3"/>
      <c r="AU217" s="3"/>
      <c r="AV217" s="274"/>
      <c r="AW217" s="1"/>
      <c r="AX217" s="321"/>
      <c r="AY217" s="3"/>
      <c r="AZ217" s="3"/>
      <c r="BA217" s="274"/>
      <c r="BB217" s="1"/>
      <c r="BC217" s="321"/>
      <c r="BD217" s="3"/>
      <c r="BE217" s="3"/>
      <c r="BF217" s="274"/>
      <c r="BG217" s="1"/>
      <c r="BH217" s="321"/>
      <c r="BI217" s="3"/>
      <c r="BJ217" s="3"/>
      <c r="BK217" s="274"/>
      <c r="BL217" s="1"/>
      <c r="BM217" s="321"/>
      <c r="BN217" s="3"/>
      <c r="BO217" s="3"/>
      <c r="BP217" s="274"/>
      <c r="BQ217" s="1"/>
      <c r="BR217" s="40"/>
      <c r="BS217" s="40"/>
      <c r="BT217" s="40"/>
      <c r="BU217" s="232"/>
      <c r="BV217" s="40"/>
      <c r="BW217" s="40"/>
      <c r="BX217" s="40"/>
      <c r="BY217" s="40"/>
      <c r="BZ217" s="40"/>
      <c r="CA217" s="40"/>
      <c r="CB217" s="40"/>
      <c r="CC217" s="40"/>
      <c r="CD217" s="40"/>
      <c r="CE217" s="40"/>
      <c r="CF217" s="40"/>
      <c r="CG217" s="40"/>
      <c r="CH217" s="40"/>
      <c r="CI217" s="40"/>
      <c r="CJ217" s="40"/>
      <c r="CK217" s="40"/>
      <c r="CL217" s="40"/>
      <c r="CM217" s="40"/>
      <c r="CN217" s="40"/>
      <c r="CO217" s="40"/>
      <c r="CP217" s="40"/>
      <c r="CQ217" s="40"/>
      <c r="CR217" s="40"/>
      <c r="CS217" s="40"/>
      <c r="CT217" s="823"/>
      <c r="CU217" s="232"/>
      <c r="CV217" s="232"/>
      <c r="CW217" s="232"/>
      <c r="CX217" s="232"/>
      <c r="CY217" s="232"/>
      <c r="CZ217" s="40"/>
      <c r="DA217" s="40"/>
      <c r="DB217" s="40"/>
      <c r="DC217" s="40"/>
      <c r="DD217" s="40"/>
      <c r="DE217" s="40"/>
      <c r="DF217" s="232"/>
      <c r="DG217" s="232"/>
      <c r="DH217" s="232"/>
      <c r="DI217" s="232"/>
      <c r="DJ217" s="232"/>
      <c r="DK217" s="232"/>
      <c r="DL217" s="232"/>
      <c r="DM217" s="232"/>
      <c r="DN217" s="232"/>
    </row>
    <row r="218" spans="1:118">
      <c r="A218" s="40"/>
      <c r="B218" s="73" t="s">
        <v>177</v>
      </c>
      <c r="C218" s="15"/>
      <c r="D218" s="246"/>
      <c r="E218" s="273"/>
      <c r="F218" s="3"/>
      <c r="G218" s="3"/>
      <c r="H218" s="274"/>
      <c r="I218" s="28"/>
      <c r="J218" s="273"/>
      <c r="K218" s="3"/>
      <c r="L218" s="3"/>
      <c r="M218" s="274"/>
      <c r="N218" s="1"/>
      <c r="O218" s="273"/>
      <c r="P218" s="3"/>
      <c r="Q218" s="3"/>
      <c r="R218" s="274"/>
      <c r="S218" s="1"/>
      <c r="T218" s="273"/>
      <c r="U218" s="3"/>
      <c r="V218" s="3"/>
      <c r="W218" s="274"/>
      <c r="X218" s="1"/>
      <c r="Y218" s="273"/>
      <c r="Z218" s="3"/>
      <c r="AA218" s="3"/>
      <c r="AB218" s="274"/>
      <c r="AC218" s="1"/>
      <c r="AD218" s="273"/>
      <c r="AE218" s="3"/>
      <c r="AF218" s="3"/>
      <c r="AG218" s="274"/>
      <c r="AH218" s="1"/>
      <c r="AI218" s="273"/>
      <c r="AJ218" s="3"/>
      <c r="AK218" s="3"/>
      <c r="AL218" s="274"/>
      <c r="AM218" s="1"/>
      <c r="AN218" s="273"/>
      <c r="AO218" s="3"/>
      <c r="AP218" s="3"/>
      <c r="AQ218" s="274"/>
      <c r="AR218" s="445"/>
      <c r="AS218" s="273"/>
      <c r="AT218" s="3"/>
      <c r="AU218" s="3"/>
      <c r="AV218" s="274"/>
      <c r="AW218" s="445"/>
      <c r="AX218" s="273"/>
      <c r="AY218" s="3"/>
      <c r="AZ218" s="3"/>
      <c r="BA218" s="274"/>
      <c r="BB218" s="445"/>
      <c r="BC218" s="273"/>
      <c r="BD218" s="3"/>
      <c r="BE218" s="3"/>
      <c r="BF218" s="274"/>
      <c r="BG218" s="445"/>
      <c r="BH218" s="273"/>
      <c r="BI218" s="3"/>
      <c r="BJ218" s="3"/>
      <c r="BK218" s="274"/>
      <c r="BL218" s="445"/>
      <c r="BM218" s="273"/>
      <c r="BN218" s="3"/>
      <c r="BO218" s="3"/>
      <c r="BP218" s="274"/>
      <c r="BQ218" s="445"/>
      <c r="BR218" s="40"/>
      <c r="BS218" s="40"/>
      <c r="BT218" s="40"/>
      <c r="BU218" s="232"/>
      <c r="BV218" s="40"/>
      <c r="BW218" s="40"/>
      <c r="BX218" s="40"/>
      <c r="BY218" s="40"/>
      <c r="BZ218" s="40"/>
      <c r="CA218" s="40"/>
      <c r="CB218" s="40"/>
      <c r="CC218" s="40"/>
      <c r="CD218" s="40"/>
      <c r="CE218" s="40"/>
      <c r="CF218" s="40"/>
      <c r="CG218" s="40"/>
      <c r="CH218" s="40"/>
      <c r="CI218" s="40"/>
      <c r="CJ218" s="40"/>
      <c r="CK218" s="40"/>
      <c r="CL218" s="40"/>
      <c r="CM218" s="40"/>
      <c r="CN218" s="40"/>
      <c r="CO218" s="40"/>
      <c r="CP218" s="40"/>
      <c r="CQ218" s="40"/>
      <c r="CR218" s="40"/>
      <c r="CS218" s="40"/>
      <c r="CT218" s="823"/>
      <c r="CU218" s="232"/>
      <c r="CV218" s="232"/>
      <c r="CW218" s="232"/>
      <c r="CX218" s="232"/>
      <c r="CY218" s="232"/>
      <c r="CZ218" s="40"/>
      <c r="DA218" s="40"/>
      <c r="DB218" s="40"/>
      <c r="DC218" s="40"/>
      <c r="DD218" s="40"/>
      <c r="DE218" s="40"/>
      <c r="DF218" s="232"/>
      <c r="DG218" s="232"/>
      <c r="DH218" s="232"/>
      <c r="DI218" s="232"/>
      <c r="DJ218" s="232"/>
      <c r="DK218" s="232"/>
      <c r="DL218" s="232"/>
      <c r="DM218" s="232"/>
      <c r="DN218" s="232"/>
    </row>
    <row r="219" spans="1:118">
      <c r="A219" s="40"/>
      <c r="B219" s="1"/>
      <c r="C219" s="1"/>
      <c r="D219" s="1"/>
      <c r="E219" s="273"/>
      <c r="F219" s="3"/>
      <c r="G219" s="3"/>
      <c r="H219" s="274"/>
      <c r="I219" s="28"/>
      <c r="J219" s="273"/>
      <c r="K219" s="3"/>
      <c r="L219" s="3"/>
      <c r="M219" s="274"/>
      <c r="N219" s="1"/>
      <c r="O219" s="273"/>
      <c r="P219" s="3"/>
      <c r="Q219" s="3"/>
      <c r="R219" s="274"/>
      <c r="S219" s="1"/>
      <c r="T219" s="273"/>
      <c r="U219" s="3"/>
      <c r="V219" s="3"/>
      <c r="W219" s="274"/>
      <c r="X219" s="1"/>
      <c r="Y219" s="273"/>
      <c r="Z219" s="3"/>
      <c r="AA219" s="3"/>
      <c r="AB219" s="274"/>
      <c r="AC219" s="1"/>
      <c r="AD219" s="273"/>
      <c r="AE219" s="3"/>
      <c r="AF219" s="3"/>
      <c r="AG219" s="274"/>
      <c r="AH219" s="1"/>
      <c r="AI219" s="273"/>
      <c r="AJ219" s="3"/>
      <c r="AK219" s="3"/>
      <c r="AL219" s="274"/>
      <c r="AM219" s="1"/>
      <c r="AN219" s="273"/>
      <c r="AO219" s="3"/>
      <c r="AP219" s="3"/>
      <c r="AQ219" s="274"/>
      <c r="AR219" s="445"/>
      <c r="AS219" s="273"/>
      <c r="AT219" s="3"/>
      <c r="AU219" s="3"/>
      <c r="AV219" s="274"/>
      <c r="AW219" s="445"/>
      <c r="AX219" s="273"/>
      <c r="AY219" s="3"/>
      <c r="AZ219" s="3"/>
      <c r="BA219" s="274"/>
      <c r="BB219" s="445"/>
      <c r="BC219" s="273"/>
      <c r="BD219" s="3"/>
      <c r="BE219" s="3"/>
      <c r="BF219" s="274"/>
      <c r="BG219" s="445"/>
      <c r="BH219" s="273"/>
      <c r="BI219" s="3"/>
      <c r="BJ219" s="3"/>
      <c r="BK219" s="274"/>
      <c r="BL219" s="445"/>
      <c r="BM219" s="273"/>
      <c r="BN219" s="3"/>
      <c r="BO219" s="3"/>
      <c r="BP219" s="274"/>
      <c r="BQ219" s="445"/>
      <c r="BR219" s="40"/>
      <c r="BS219" s="40"/>
      <c r="BT219" s="40"/>
      <c r="BU219" s="232"/>
      <c r="BV219" s="40"/>
      <c r="BW219" s="40"/>
      <c r="BX219" s="40"/>
      <c r="BZ219" s="40"/>
      <c r="CA219" s="40"/>
      <c r="CB219" s="40"/>
      <c r="CC219" s="40"/>
      <c r="CD219" s="40"/>
      <c r="CE219" s="40"/>
      <c r="CF219" s="40"/>
      <c r="CG219" s="40"/>
      <c r="CH219" s="40"/>
      <c r="CI219" s="40"/>
      <c r="CJ219" s="40"/>
      <c r="CK219" s="40"/>
      <c r="CL219" s="40"/>
      <c r="CM219" s="40"/>
      <c r="CN219" s="40"/>
      <c r="CO219" s="40"/>
      <c r="CP219" s="40"/>
      <c r="CQ219" s="40"/>
      <c r="CR219" s="40"/>
      <c r="CS219" s="40"/>
      <c r="CT219" s="823"/>
      <c r="CU219" s="232"/>
      <c r="CV219" s="232"/>
      <c r="CW219" s="232"/>
      <c r="CX219" s="232"/>
      <c r="CY219" s="232"/>
      <c r="CZ219" s="40"/>
      <c r="DA219" s="40"/>
      <c r="DB219" s="40"/>
      <c r="DC219" s="40"/>
      <c r="DD219" s="40"/>
      <c r="DE219" s="40"/>
      <c r="DF219" s="232"/>
      <c r="DG219" s="232"/>
      <c r="DH219" s="232"/>
      <c r="DI219" s="232"/>
      <c r="DJ219" s="232"/>
      <c r="DK219" s="232"/>
      <c r="DL219" s="232"/>
      <c r="DM219" s="232"/>
      <c r="DN219" s="232"/>
    </row>
    <row r="220" spans="1:118">
      <c r="A220" s="40"/>
      <c r="B220" s="1"/>
      <c r="C220" s="225" t="s">
        <v>1318</v>
      </c>
      <c r="D220" s="1"/>
      <c r="E220" s="273"/>
      <c r="F220" s="3"/>
      <c r="G220" s="3"/>
      <c r="H220" s="274"/>
      <c r="I220" s="28"/>
      <c r="J220" s="273"/>
      <c r="K220" s="3"/>
      <c r="L220" s="3"/>
      <c r="M220" s="274"/>
      <c r="N220" s="1"/>
      <c r="O220" s="273"/>
      <c r="P220" s="3"/>
      <c r="Q220" s="3"/>
      <c r="R220" s="274"/>
      <c r="S220" s="1"/>
      <c r="T220" s="298"/>
      <c r="U220" s="254"/>
      <c r="V220" s="254"/>
      <c r="W220" s="279"/>
      <c r="X220" s="883"/>
      <c r="Y220" s="298"/>
      <c r="Z220" s="254"/>
      <c r="AA220" s="254"/>
      <c r="AB220" s="279"/>
      <c r="AC220" s="1"/>
      <c r="AD220" s="298"/>
      <c r="AE220" s="254"/>
      <c r="AF220" s="254"/>
      <c r="AG220" s="279"/>
      <c r="AH220" s="1"/>
      <c r="AI220" s="273"/>
      <c r="AJ220" s="3"/>
      <c r="AK220" s="3"/>
      <c r="AL220" s="274"/>
      <c r="AM220" s="1"/>
      <c r="AN220" s="273"/>
      <c r="AO220" s="3"/>
      <c r="AP220" s="3"/>
      <c r="AQ220" s="274"/>
      <c r="AR220" s="224"/>
      <c r="AS220" s="273"/>
      <c r="AT220" s="3"/>
      <c r="AU220" s="3"/>
      <c r="AV220" s="274"/>
      <c r="AW220" s="224"/>
      <c r="AX220" s="273"/>
      <c r="AY220" s="3"/>
      <c r="AZ220" s="3"/>
      <c r="BA220" s="274"/>
      <c r="BB220" s="224"/>
      <c r="BC220" s="273"/>
      <c r="BD220" s="3"/>
      <c r="BE220" s="3"/>
      <c r="BF220" s="274"/>
      <c r="BG220" s="224"/>
      <c r="BH220" s="273"/>
      <c r="BI220" s="3"/>
      <c r="BJ220" s="3"/>
      <c r="BK220" s="274"/>
      <c r="BL220" s="224"/>
      <c r="BM220" s="273"/>
      <c r="BN220" s="3"/>
      <c r="BO220" s="3"/>
      <c r="BP220" s="274"/>
      <c r="BQ220" s="224"/>
      <c r="BR220" s="40"/>
      <c r="BS220" s="40"/>
      <c r="BT220" s="40"/>
      <c r="BU220" s="232"/>
      <c r="BV220" s="40"/>
      <c r="BW220" s="1079"/>
      <c r="BX220" s="1079"/>
      <c r="BY220" s="1079"/>
      <c r="BZ220" s="1079"/>
      <c r="CA220" s="1079"/>
      <c r="CB220" s="1079"/>
      <c r="CC220" s="1079"/>
      <c r="CD220" s="40"/>
      <c r="CE220" s="40"/>
      <c r="CF220" s="40"/>
      <c r="CG220" s="40"/>
      <c r="CH220" s="40"/>
      <c r="CI220" s="40"/>
      <c r="CJ220" s="40"/>
      <c r="CK220" s="40"/>
      <c r="CL220" s="40"/>
      <c r="CM220" s="40"/>
      <c r="CN220" s="40"/>
      <c r="CO220" s="40"/>
      <c r="CP220" s="40"/>
      <c r="CQ220" s="40"/>
      <c r="CR220" s="40"/>
      <c r="CS220" s="40"/>
      <c r="CT220" s="823"/>
      <c r="CU220" s="232"/>
      <c r="CV220" s="232"/>
      <c r="CW220" s="232"/>
      <c r="CX220" s="232"/>
      <c r="CY220" s="232"/>
      <c r="CZ220" s="40"/>
      <c r="DA220" s="40"/>
      <c r="DB220" s="40"/>
      <c r="DC220" s="40"/>
      <c r="DD220" s="40"/>
      <c r="DE220" s="40"/>
      <c r="DF220" s="232"/>
      <c r="DG220" s="232"/>
      <c r="DH220" s="232"/>
      <c r="DI220" s="232"/>
      <c r="DJ220" s="232"/>
      <c r="DK220" s="232"/>
      <c r="DL220" s="232"/>
      <c r="DM220" s="232"/>
      <c r="DN220" s="232"/>
    </row>
    <row r="221" spans="1:118">
      <c r="A221" s="40"/>
      <c r="B221" s="1"/>
      <c r="C221" s="409" t="s">
        <v>1006</v>
      </c>
      <c r="D221" s="1"/>
      <c r="E221" s="273"/>
      <c r="F221" s="3"/>
      <c r="G221" s="3"/>
      <c r="H221" s="274"/>
      <c r="I221" s="28"/>
      <c r="J221" s="273"/>
      <c r="K221" s="3"/>
      <c r="L221" s="3"/>
      <c r="M221" s="274"/>
      <c r="N221" s="1"/>
      <c r="O221" s="273"/>
      <c r="P221" s="3"/>
      <c r="Q221" s="3"/>
      <c r="R221" s="274"/>
      <c r="S221" s="1"/>
      <c r="T221" s="332"/>
      <c r="U221" s="333"/>
      <c r="V221" s="333"/>
      <c r="W221" s="334"/>
      <c r="X221" s="374"/>
      <c r="Y221" s="332">
        <f t="shared" ref="Y221:AB222" si="331">Y229*Y239*(Y246-Y253)</f>
        <v>0</v>
      </c>
      <c r="Z221" s="333">
        <f t="shared" si="331"/>
        <v>0</v>
      </c>
      <c r="AA221" s="333">
        <f t="shared" si="331"/>
        <v>0</v>
      </c>
      <c r="AB221" s="334">
        <f t="shared" si="331"/>
        <v>0</v>
      </c>
      <c r="AC221" s="1426"/>
      <c r="AD221" s="332">
        <f t="shared" ref="AD221:AG222" si="332">AD229*AD239*(AD246-AD253)</f>
        <v>-533.09239902521108</v>
      </c>
      <c r="AE221" s="333">
        <f t="shared" si="332"/>
        <v>62.497357119136929</v>
      </c>
      <c r="AF221" s="333">
        <f t="shared" si="332"/>
        <v>62.497357119136929</v>
      </c>
      <c r="AG221" s="334">
        <f t="shared" si="332"/>
        <v>32.173367619296563</v>
      </c>
      <c r="AH221" s="374">
        <f>SUM(AD221:AG221)</f>
        <v>-375.9243171676406</v>
      </c>
      <c r="AI221" s="332">
        <f t="shared" ref="AI221:AL222" si="333">AI229*AI239*(AI246-AI253)</f>
        <v>-12.93195448270615</v>
      </c>
      <c r="AJ221" s="333">
        <f t="shared" si="333"/>
        <v>231.34166329533309</v>
      </c>
      <c r="AK221" s="333">
        <f t="shared" si="333"/>
        <v>174.09323239774287</v>
      </c>
      <c r="AL221" s="334">
        <f t="shared" si="333"/>
        <v>223.34199726749236</v>
      </c>
      <c r="AM221" s="374">
        <f>SUM(AI221:AL221)</f>
        <v>615.84493847786223</v>
      </c>
      <c r="AN221" s="332">
        <f t="shared" ref="AN221:AQ222" si="334">AN229*AN239*(AN246-AN253)</f>
        <v>290.16418630334744</v>
      </c>
      <c r="AO221" s="333">
        <f t="shared" si="334"/>
        <v>270.30860950180261</v>
      </c>
      <c r="AP221" s="333">
        <f t="shared" si="334"/>
        <v>146.22539192122534</v>
      </c>
      <c r="AQ221" s="334">
        <f t="shared" si="334"/>
        <v>199.02451360230714</v>
      </c>
      <c r="AR221" s="374">
        <f>SUM(AN221:AQ221)</f>
        <v>905.72270132868255</v>
      </c>
      <c r="AS221" s="332">
        <f t="shared" ref="AS221:AT222" si="335">AS229*AS239*(AS246-AS253)</f>
        <v>163.71527228507588</v>
      </c>
      <c r="AT221" s="333">
        <f t="shared" si="335"/>
        <v>159.42838667888941</v>
      </c>
      <c r="AU221" s="333">
        <f t="shared" ref="AU221:AV221" si="336">AU229*AU239*(AU246-AU253)</f>
        <v>158.42183087429945</v>
      </c>
      <c r="AV221" s="334">
        <f t="shared" si="336"/>
        <v>103.56464964533384</v>
      </c>
      <c r="AW221" s="374">
        <f>SUM(AS221:AV221)</f>
        <v>585.13013948359855</v>
      </c>
      <c r="AX221" s="332">
        <f t="shared" ref="AX221:BA222" si="337">AX229*AX239*(AX246-AX253)</f>
        <v>17.808552170381994</v>
      </c>
      <c r="AY221" s="333">
        <f t="shared" si="337"/>
        <v>96.270800305831258</v>
      </c>
      <c r="AZ221" s="333">
        <f t="shared" si="337"/>
        <v>36.067182563733752</v>
      </c>
      <c r="BA221" s="334">
        <f t="shared" si="337"/>
        <v>87.972598912096203</v>
      </c>
      <c r="BB221" s="374">
        <f>SUM(AX221:BA221)</f>
        <v>238.1191339520432</v>
      </c>
      <c r="BC221" s="332">
        <f t="shared" ref="BC221:BF222" si="338">BC229*BC239*(BC246-BC253)</f>
        <v>-12.179464206120024</v>
      </c>
      <c r="BD221" s="333">
        <f t="shared" si="338"/>
        <v>72.96314138343169</v>
      </c>
      <c r="BE221" s="333">
        <f t="shared" si="338"/>
        <v>46.097698897722729</v>
      </c>
      <c r="BF221" s="334">
        <f t="shared" si="338"/>
        <v>63.94259008835256</v>
      </c>
      <c r="BG221" s="374">
        <f>SUM(BC221:BF221)</f>
        <v>170.82396616338696</v>
      </c>
      <c r="BH221" s="332">
        <f>BH229*BH239*(BH246-BH253)</f>
        <v>1.6791843294881905</v>
      </c>
      <c r="BI221" s="333">
        <f t="shared" ref="BH221:BK222" si="339">BI229*BI239*(BI246-BI253)</f>
        <v>38.518429112607194</v>
      </c>
      <c r="BJ221" s="333">
        <f t="shared" si="339"/>
        <v>26.974044152837738</v>
      </c>
      <c r="BK221" s="334">
        <f t="shared" si="339"/>
        <v>34.604849582338389</v>
      </c>
      <c r="BL221" s="374">
        <f>SUM(BH221:BK221)</f>
        <v>101.77650717727151</v>
      </c>
      <c r="BM221" s="332">
        <f t="shared" ref="BM221:BP221" si="340">BM229*BM239*(BM246-BM253)</f>
        <v>0</v>
      </c>
      <c r="BN221" s="333">
        <f t="shared" si="340"/>
        <v>0</v>
      </c>
      <c r="BO221" s="333">
        <f t="shared" si="340"/>
        <v>0</v>
      </c>
      <c r="BP221" s="334">
        <f t="shared" si="340"/>
        <v>0</v>
      </c>
      <c r="BQ221" s="374">
        <f>SUM(BM221:BP221)</f>
        <v>0</v>
      </c>
      <c r="BR221" s="40"/>
      <c r="BS221" s="40"/>
      <c r="BT221" s="40"/>
      <c r="BU221" s="232"/>
      <c r="BV221" s="40"/>
      <c r="BW221" s="1079"/>
      <c r="BX221" s="1079"/>
      <c r="BZ221" s="1079"/>
      <c r="CA221" s="1079"/>
      <c r="CB221" s="1079"/>
      <c r="CC221" s="1079"/>
      <c r="CD221" s="40"/>
      <c r="CE221" s="40"/>
      <c r="CF221" s="40"/>
      <c r="CG221" s="40"/>
      <c r="CH221" s="40"/>
      <c r="CI221" s="40"/>
      <c r="CJ221" s="40"/>
      <c r="CK221" s="40"/>
      <c r="CL221" s="40"/>
      <c r="CM221" s="40"/>
      <c r="CN221" s="40"/>
      <c r="CO221" s="40"/>
      <c r="CP221" s="40"/>
      <c r="CQ221" s="40"/>
      <c r="CR221" s="40"/>
      <c r="CS221" s="40"/>
      <c r="CT221" s="823"/>
      <c r="CU221" s="232"/>
      <c r="CV221" s="232"/>
      <c r="CW221" s="232"/>
      <c r="CX221" s="232"/>
      <c r="CY221" s="232"/>
      <c r="CZ221" s="40"/>
      <c r="DA221" s="40"/>
      <c r="DB221" s="40"/>
      <c r="DC221" s="40"/>
      <c r="DD221" s="40"/>
      <c r="DE221" s="40"/>
      <c r="DF221" s="232"/>
      <c r="DG221" s="232"/>
      <c r="DH221" s="232"/>
      <c r="DI221" s="232"/>
      <c r="DJ221" s="232"/>
      <c r="DK221" s="232"/>
      <c r="DL221" s="232"/>
      <c r="DM221" s="232"/>
      <c r="DN221" s="232"/>
    </row>
    <row r="222" spans="1:118">
      <c r="A222" s="40"/>
      <c r="B222" s="1"/>
      <c r="C222" s="409" t="s">
        <v>1005</v>
      </c>
      <c r="D222" s="1"/>
      <c r="E222" s="273"/>
      <c r="F222" s="3"/>
      <c r="G222" s="3"/>
      <c r="H222" s="274"/>
      <c r="I222" s="28"/>
      <c r="J222" s="273"/>
      <c r="K222" s="3"/>
      <c r="L222" s="3"/>
      <c r="M222" s="274"/>
      <c r="N222" s="1"/>
      <c r="O222" s="273"/>
      <c r="P222" s="3"/>
      <c r="Q222" s="3"/>
      <c r="R222" s="274"/>
      <c r="S222" s="1"/>
      <c r="T222" s="332"/>
      <c r="U222" s="333"/>
      <c r="V222" s="333"/>
      <c r="W222" s="334"/>
      <c r="X222" s="374"/>
      <c r="Y222" s="332">
        <f t="shared" si="331"/>
        <v>0</v>
      </c>
      <c r="Z222" s="333">
        <f t="shared" si="331"/>
        <v>0</v>
      </c>
      <c r="AA222" s="333">
        <f t="shared" si="331"/>
        <v>0</v>
      </c>
      <c r="AB222" s="334">
        <f t="shared" si="331"/>
        <v>0</v>
      </c>
      <c r="AC222" s="1426"/>
      <c r="AD222" s="332">
        <f t="shared" si="332"/>
        <v>-716.02323463099458</v>
      </c>
      <c r="AE222" s="333">
        <f t="shared" si="332"/>
        <v>156.63318938829889</v>
      </c>
      <c r="AF222" s="333">
        <f t="shared" si="332"/>
        <v>156.63318938829889</v>
      </c>
      <c r="AG222" s="334">
        <f t="shared" si="332"/>
        <v>144.47776558837671</v>
      </c>
      <c r="AH222" s="374">
        <f>SUM(AD222:AG222)</f>
        <v>-258.27909026602009</v>
      </c>
      <c r="AI222" s="332">
        <f t="shared" si="333"/>
        <v>-71.313236734294563</v>
      </c>
      <c r="AJ222" s="333">
        <f t="shared" si="333"/>
        <v>211.7143070652433</v>
      </c>
      <c r="AK222" s="333">
        <f t="shared" si="333"/>
        <v>253.28093270699634</v>
      </c>
      <c r="AL222" s="334">
        <f t="shared" si="333"/>
        <v>279.63570719712783</v>
      </c>
      <c r="AM222" s="374">
        <f>SUM(AI222:AL222)</f>
        <v>673.31771023507292</v>
      </c>
      <c r="AN222" s="332">
        <f t="shared" si="334"/>
        <v>294.56360364390054</v>
      </c>
      <c r="AO222" s="333">
        <f t="shared" si="334"/>
        <v>297.28279895347487</v>
      </c>
      <c r="AP222" s="333">
        <f t="shared" si="334"/>
        <v>243.90953843646781</v>
      </c>
      <c r="AQ222" s="334">
        <f t="shared" si="334"/>
        <v>264.26071236006862</v>
      </c>
      <c r="AR222" s="374">
        <f>SUM(AN222:AQ222)</f>
        <v>1100.0166533939118</v>
      </c>
      <c r="AS222" s="332">
        <f t="shared" si="335"/>
        <v>195.88692273799194</v>
      </c>
      <c r="AT222" s="333">
        <f t="shared" si="335"/>
        <v>226.75878037621735</v>
      </c>
      <c r="AU222" s="333">
        <f t="shared" ref="AU222:AV222" si="341">AU230*AU240*(AU247-AU254)</f>
        <v>210.75242537494842</v>
      </c>
      <c r="AV222" s="334">
        <f t="shared" si="341"/>
        <v>-25.206256665183869</v>
      </c>
      <c r="AW222" s="374">
        <f>SUM(AS222:AV222)</f>
        <v>608.19187182397377</v>
      </c>
      <c r="AX222" s="332">
        <f t="shared" si="337"/>
        <v>-118.39760272023936</v>
      </c>
      <c r="AY222" s="333">
        <f t="shared" si="337"/>
        <v>78.152867275110481</v>
      </c>
      <c r="AZ222" s="333">
        <f t="shared" si="337"/>
        <v>65.524827696211389</v>
      </c>
      <c r="BA222" s="334">
        <f t="shared" si="337"/>
        <v>72.488746593046884</v>
      </c>
      <c r="BB222" s="374">
        <f>SUM(AX222:BA222)</f>
        <v>97.768838844129391</v>
      </c>
      <c r="BC222" s="332">
        <f t="shared" si="338"/>
        <v>8.7081500793028255</v>
      </c>
      <c r="BD222" s="333">
        <f t="shared" si="338"/>
        <v>100.52497616263594</v>
      </c>
      <c r="BE222" s="333">
        <f t="shared" si="338"/>
        <v>91.762092711043252</v>
      </c>
      <c r="BF222" s="334">
        <f t="shared" si="338"/>
        <v>17.639786338413973</v>
      </c>
      <c r="BG222" s="374">
        <f>SUM(BC222:BF222)</f>
        <v>218.635005291396</v>
      </c>
      <c r="BH222" s="332">
        <f t="shared" si="339"/>
        <v>8.635932646597686</v>
      </c>
      <c r="BI222" s="333">
        <f t="shared" si="339"/>
        <v>50.893674056701975</v>
      </c>
      <c r="BJ222" s="333">
        <f t="shared" si="339"/>
        <v>46.838647833725219</v>
      </c>
      <c r="BK222" s="334">
        <f t="shared" si="339"/>
        <v>12.753682650138806</v>
      </c>
      <c r="BL222" s="374">
        <f>SUM(BH222:BK222)</f>
        <v>119.1219371871637</v>
      </c>
      <c r="BM222" s="332">
        <f t="shared" ref="BM222:BP222" si="342">BM230*BM240*(BM247-BM254)</f>
        <v>0</v>
      </c>
      <c r="BN222" s="333">
        <f t="shared" si="342"/>
        <v>0</v>
      </c>
      <c r="BO222" s="333">
        <f t="shared" si="342"/>
        <v>0</v>
      </c>
      <c r="BP222" s="334">
        <f t="shared" si="342"/>
        <v>0</v>
      </c>
      <c r="BQ222" s="374">
        <f>SUM(BM222:BP222)</f>
        <v>0</v>
      </c>
      <c r="BR222" s="40"/>
      <c r="BS222" s="40"/>
      <c r="BT222" s="40"/>
      <c r="BU222" s="232"/>
      <c r="BV222" s="40"/>
      <c r="BW222" s="1079"/>
      <c r="BX222" s="1079"/>
      <c r="BZ222" s="1079"/>
      <c r="CA222" s="1079"/>
      <c r="CB222" s="1079"/>
      <c r="CC222" s="1079"/>
      <c r="CD222" s="40"/>
      <c r="CE222" s="40"/>
      <c r="CF222" s="40"/>
      <c r="CG222" s="40"/>
      <c r="CH222" s="40"/>
      <c r="CI222" s="40"/>
      <c r="CJ222" s="40"/>
      <c r="CK222" s="40"/>
      <c r="CL222" s="40"/>
      <c r="CM222" s="40"/>
      <c r="CN222" s="40"/>
      <c r="CO222" s="40"/>
      <c r="CP222" s="40"/>
      <c r="CQ222" s="40"/>
      <c r="CR222" s="40"/>
      <c r="CS222" s="40"/>
      <c r="CT222" s="823"/>
      <c r="CU222" s="232"/>
      <c r="CV222" s="232"/>
      <c r="CW222" s="232"/>
      <c r="CX222" s="232"/>
      <c r="CY222" s="232"/>
      <c r="CZ222" s="40"/>
      <c r="DA222" s="40"/>
      <c r="DB222" s="40"/>
      <c r="DC222" s="40"/>
      <c r="DD222" s="40"/>
      <c r="DE222" s="40"/>
      <c r="DF222" s="232"/>
      <c r="DG222" s="232"/>
      <c r="DH222" s="232"/>
      <c r="DI222" s="232"/>
      <c r="DJ222" s="232"/>
      <c r="DK222" s="232"/>
      <c r="DL222" s="232"/>
      <c r="DM222" s="232"/>
      <c r="DN222" s="232"/>
    </row>
    <row r="223" spans="1:118">
      <c r="A223" s="40"/>
      <c r="B223" s="1"/>
      <c r="C223" s="409" t="s">
        <v>641</v>
      </c>
      <c r="D223" s="1"/>
      <c r="E223" s="273"/>
      <c r="F223" s="3"/>
      <c r="G223" s="3"/>
      <c r="H223" s="274"/>
      <c r="I223" s="28"/>
      <c r="J223" s="273"/>
      <c r="K223" s="3"/>
      <c r="L223" s="3"/>
      <c r="M223" s="274"/>
      <c r="N223" s="1"/>
      <c r="O223" s="273"/>
      <c r="P223" s="3"/>
      <c r="Q223" s="3"/>
      <c r="R223" s="274"/>
      <c r="S223" s="1"/>
      <c r="T223" s="332"/>
      <c r="U223" s="333"/>
      <c r="V223" s="333"/>
      <c r="W223" s="334"/>
      <c r="X223" s="374"/>
      <c r="Y223" s="332">
        <f>Y232*Y241*(Y248-Y255)</f>
        <v>0</v>
      </c>
      <c r="Z223" s="333">
        <f>Z232*Z241*(Z248-Z255)</f>
        <v>0</v>
      </c>
      <c r="AA223" s="333">
        <f>AA232*AA241*(AA248-AA255)</f>
        <v>0</v>
      </c>
      <c r="AB223" s="334">
        <f>AB232*AB241*(AB248-AB255)</f>
        <v>0</v>
      </c>
      <c r="AC223" s="1426"/>
      <c r="AD223" s="332">
        <f>AD232*AD241*(AD248-AD255)</f>
        <v>6.4025741238048122</v>
      </c>
      <c r="AE223" s="333">
        <f>AE232*AE241*(AE248-AE255)</f>
        <v>12.016595056353921</v>
      </c>
      <c r="AF223" s="333">
        <f>AF232*AF241*(AF248-AF255)</f>
        <v>12.016595056353921</v>
      </c>
      <c r="AG223" s="334">
        <f>AG232*AG241*(AG248-AG255)</f>
        <v>14.927999767881674</v>
      </c>
      <c r="AH223" s="374">
        <f>SUM(AD223:AG223)</f>
        <v>45.363764004394326</v>
      </c>
      <c r="AI223" s="332">
        <f>AI232*AI241*(AI248-AI255)</f>
        <v>12.340023535770531</v>
      </c>
      <c r="AJ223" s="333">
        <f>AJ232*AJ241*(AJ248-AJ255)</f>
        <v>19.120070131503546</v>
      </c>
      <c r="AK223" s="333">
        <f>AK232*AK241*(AK248-AK255)</f>
        <v>20.448287482639067</v>
      </c>
      <c r="AL223" s="334">
        <f>AL232*AL241*(AL248-AL255)</f>
        <v>20.493311939994314</v>
      </c>
      <c r="AM223" s="374">
        <f>SUM(AI223:AL223)</f>
        <v>72.401693089907454</v>
      </c>
      <c r="AN223" s="332">
        <f>AN232*AN241*(AN248-AN255)</f>
        <v>22.516908925757608</v>
      </c>
      <c r="AO223" s="333">
        <f>AO232*AO241*(AO248-AO255)</f>
        <v>21.705035703748912</v>
      </c>
      <c r="AP223" s="333">
        <f>AP232*AP241*(AP248-AP255)</f>
        <v>19.521504008253252</v>
      </c>
      <c r="AQ223" s="334">
        <f>AQ232*AQ241*(AQ248-AQ255)</f>
        <v>26.021880186407216</v>
      </c>
      <c r="AR223" s="374">
        <f>SUM(AN223:AQ223)</f>
        <v>89.765328824167</v>
      </c>
      <c r="AS223" s="332">
        <f>AS232*AS241*(AS248-AS255)</f>
        <v>24.669500366986028</v>
      </c>
      <c r="AT223" s="333">
        <f>AT232*AT241*(AT248-AT255)</f>
        <v>19.300637413509026</v>
      </c>
      <c r="AU223" s="333">
        <f t="shared" ref="AU223" si="343">AU232*AU241*(AU248-AU255)</f>
        <v>14.211085917742375</v>
      </c>
      <c r="AV223" s="334">
        <f>AV232*AV241*(AV248-AV255)</f>
        <v>16.667905511720868</v>
      </c>
      <c r="AW223" s="374">
        <f>SUM(AS223:AV223)</f>
        <v>74.849129209958292</v>
      </c>
      <c r="AX223" s="332">
        <f>AX232*AX241*(AX248-AX255)</f>
        <v>6.6426970099486145</v>
      </c>
      <c r="AY223" s="333">
        <f>AY232*AY241*(AY248-AY255)</f>
        <v>-7.7463218040862545</v>
      </c>
      <c r="AZ223" s="333">
        <f>AZ232*AZ241*(AZ248-AZ255)</f>
        <v>-116.53677439111127</v>
      </c>
      <c r="BA223" s="334">
        <f>BA232*BA241*(BA248-BA255)</f>
        <v>9.1821457625906326</v>
      </c>
      <c r="BB223" s="374">
        <f>SUM(AX223:BA223)</f>
        <v>-108.45825342265827</v>
      </c>
      <c r="BC223" s="332">
        <f>BC232*BC241*(BC248-BC255)</f>
        <v>5.9316736232018741</v>
      </c>
      <c r="BD223" s="333">
        <f>BD232*BD241*(BD248-BD255)</f>
        <v>2.5683139951677103</v>
      </c>
      <c r="BE223" s="333">
        <f>BE232*BE241*(BE248-BE255)</f>
        <v>-39.11527340522845</v>
      </c>
      <c r="BF223" s="334">
        <f>BF232*BF241*(BF248-BF255)</f>
        <v>-7.3123653012655963</v>
      </c>
      <c r="BG223" s="374">
        <f>SUM(BC223:BF223)</f>
        <v>-37.927651088124463</v>
      </c>
      <c r="BH223" s="332">
        <f>BH232*BH241*(BH248-BH255)</f>
        <v>2.8714106114187476</v>
      </c>
      <c r="BI223" s="333">
        <f>BI232*BI241*(BI248-BI255)</f>
        <v>1.2054045704168159</v>
      </c>
      <c r="BJ223" s="333">
        <f>BJ232*BJ241*(BJ248-BJ255)</f>
        <v>-17.688920154487999</v>
      </c>
      <c r="BK223" s="334">
        <f>BK232*BK241*(BK248-BK255)</f>
        <v>-2.923202864091047</v>
      </c>
      <c r="BL223" s="374">
        <f>SUM(BH223:BK223)</f>
        <v>-16.535307836743481</v>
      </c>
      <c r="BM223" s="332">
        <f>BM232*BM241*(BM248-BM255)</f>
        <v>0</v>
      </c>
      <c r="BN223" s="333">
        <f>BN232*BN241*(BN248-BN255)</f>
        <v>0</v>
      </c>
      <c r="BO223" s="333">
        <f>BO232*BO241*(BO248-BO255)</f>
        <v>0</v>
      </c>
      <c r="BP223" s="334">
        <f>BP232*BP241*(BP248-BP255)</f>
        <v>0</v>
      </c>
      <c r="BQ223" s="374">
        <f>SUM(BM223:BP223)</f>
        <v>0</v>
      </c>
      <c r="BR223" s="40"/>
      <c r="BS223" s="40"/>
      <c r="BT223" s="40"/>
      <c r="BU223" s="232"/>
      <c r="BV223" s="28"/>
      <c r="BW223" s="28"/>
      <c r="BX223" s="28"/>
      <c r="BY223" s="28"/>
      <c r="BZ223" s="28"/>
      <c r="CA223" s="28"/>
      <c r="CB223" s="28"/>
      <c r="CC223" s="28"/>
      <c r="CD223" s="40"/>
      <c r="CE223" s="40"/>
      <c r="CF223" s="40"/>
      <c r="CG223" s="40"/>
      <c r="CH223" s="40"/>
      <c r="CI223" s="40"/>
      <c r="CJ223" s="40"/>
      <c r="CK223" s="40"/>
      <c r="CL223" s="40"/>
      <c r="CM223" s="40"/>
      <c r="CN223" s="40"/>
      <c r="CO223" s="40"/>
      <c r="CP223" s="40"/>
      <c r="CQ223" s="40"/>
      <c r="CR223" s="40"/>
      <c r="CS223" s="40"/>
      <c r="CT223" s="823"/>
      <c r="CU223" s="232"/>
      <c r="CV223" s="232"/>
      <c r="CW223" s="232"/>
      <c r="CX223" s="232"/>
      <c r="CY223" s="232"/>
      <c r="CZ223" s="40"/>
      <c r="DA223" s="40"/>
      <c r="DB223" s="40"/>
      <c r="DC223" s="40"/>
      <c r="DD223" s="40"/>
      <c r="DE223" s="40"/>
      <c r="DF223" s="232"/>
      <c r="DG223" s="232"/>
      <c r="DH223" s="232"/>
      <c r="DI223" s="232"/>
      <c r="DJ223" s="232"/>
      <c r="DK223" s="232"/>
      <c r="DL223" s="232"/>
      <c r="DM223" s="232"/>
      <c r="DN223" s="232"/>
    </row>
    <row r="224" spans="1:118">
      <c r="A224" s="40"/>
      <c r="B224" s="1"/>
      <c r="C224" s="409" t="s">
        <v>432</v>
      </c>
      <c r="D224" s="1"/>
      <c r="E224" s="273"/>
      <c r="F224" s="3"/>
      <c r="G224" s="3"/>
      <c r="H224" s="274"/>
      <c r="I224" s="28"/>
      <c r="J224" s="273"/>
      <c r="K224" s="3"/>
      <c r="L224" s="3"/>
      <c r="M224" s="274"/>
      <c r="N224" s="1"/>
      <c r="O224" s="273"/>
      <c r="P224" s="3"/>
      <c r="Q224" s="3"/>
      <c r="R224" s="274"/>
      <c r="S224" s="1"/>
      <c r="T224" s="332"/>
      <c r="U224" s="333"/>
      <c r="V224" s="333"/>
      <c r="W224" s="334"/>
      <c r="X224" s="374"/>
      <c r="Y224" s="332">
        <f>Y234*Y243*(Y250-Y257)</f>
        <v>0</v>
      </c>
      <c r="Z224" s="333">
        <f>Z234*Z243*(Z250-Z257)</f>
        <v>0</v>
      </c>
      <c r="AA224" s="333">
        <f>AA234*AA243*(AA250-AA257)</f>
        <v>0</v>
      </c>
      <c r="AB224" s="334">
        <f>AB234*AB243*(AB250-AB257)</f>
        <v>0</v>
      </c>
      <c r="AC224" s="1426"/>
      <c r="AD224" s="332">
        <f>AD234*AD243*(AD250-AD257)</f>
        <v>-143.40668614516125</v>
      </c>
      <c r="AE224" s="333">
        <f>AE234*AE243*(AE250-AE257)</f>
        <v>-33.42221101157368</v>
      </c>
      <c r="AF224" s="333">
        <f>AF234*AF243*(AF250-AF257)</f>
        <v>-33.42221101157368</v>
      </c>
      <c r="AG224" s="334">
        <f>AG234*AG243*(AG250-AG257)</f>
        <v>-44.983567330574225</v>
      </c>
      <c r="AH224" s="374">
        <f>SUM(AD224:AG224)</f>
        <v>-255.23467549888281</v>
      </c>
      <c r="AI224" s="332">
        <f>AI234*AI243*(AI250-AI257)</f>
        <v>1.1754501294461697</v>
      </c>
      <c r="AJ224" s="333">
        <f>AJ234*AJ243*(AJ250-AJ257)</f>
        <v>37.494935481801193</v>
      </c>
      <c r="AK224" s="333">
        <f>AK234*AK243*(AK250-AK257)</f>
        <v>27.150501670615288</v>
      </c>
      <c r="AL224" s="334">
        <f>AL234*AL243*(AL250-AL257)</f>
        <v>25.193807081095962</v>
      </c>
      <c r="AM224" s="374">
        <f>SUM(AI224:AL224)</f>
        <v>91.014694362958608</v>
      </c>
      <c r="AN224" s="332">
        <f>AN234*AN243*(AN250-AN257)</f>
        <v>36.233180959971598</v>
      </c>
      <c r="AO224" s="333">
        <f>AO234*AO243*(AO250-AO257)</f>
        <v>37.420862167377066</v>
      </c>
      <c r="AP224" s="333">
        <f>AP234*AP243*(AP250-AP257)</f>
        <v>17.495425740080542</v>
      </c>
      <c r="AQ224" s="334">
        <f>AQ234*AQ243*(AQ250-AQ257)</f>
        <v>29.63809523004462</v>
      </c>
      <c r="AR224" s="374">
        <f>SUM(AN224:AQ224)</f>
        <v>120.78756409747385</v>
      </c>
      <c r="AS224" s="332">
        <f>AS234*AS243*(AS250-AS257)</f>
        <v>34.025662329747519</v>
      </c>
      <c r="AT224" s="333">
        <f>AT234*AT243*(AT250-AT257)</f>
        <v>33.322455706656605</v>
      </c>
      <c r="AU224" s="333">
        <f t="shared" ref="AU224" si="344">AU234*AU243*(AU250-AU257)</f>
        <v>23.520465254639852</v>
      </c>
      <c r="AV224" s="334">
        <f>AV234*AV243*(AV250-AV257)</f>
        <v>48.098189674643464</v>
      </c>
      <c r="AW224" s="374">
        <f>SUM(AS224:AV224)</f>
        <v>138.96677296568743</v>
      </c>
      <c r="AX224" s="332">
        <f>AX234*AX243*(AX250-AX257)</f>
        <v>7.9195537219265653</v>
      </c>
      <c r="AY224" s="333">
        <f>AY234*AY243*(AY250-AY257)</f>
        <v>-13.888707715845703</v>
      </c>
      <c r="AZ224" s="333">
        <f>AZ234*AZ243*(AZ250-AZ257)</f>
        <v>-15.639279081464835</v>
      </c>
      <c r="BA224" s="334">
        <f>BA234*BA243*(BA250-BA257)</f>
        <v>-25.181989381763682</v>
      </c>
      <c r="BB224" s="374">
        <f>SUM(AX224:BA224)</f>
        <v>-46.790422457147656</v>
      </c>
      <c r="BC224" s="332">
        <f>BC234*BC243*(BC250-BC257)</f>
        <v>-21.482302558223147</v>
      </c>
      <c r="BD224" s="333">
        <f>BD234*BD243*(BD250-BD257)</f>
        <v>-4.2948040607729281</v>
      </c>
      <c r="BE224" s="333">
        <f>BE234*BE243*(BE250-BE257)</f>
        <v>-6.8611085378053991</v>
      </c>
      <c r="BF224" s="334">
        <f>BF234*BF243*(BF250-BF257)</f>
        <v>4.5296865454426429</v>
      </c>
      <c r="BG224" s="374">
        <f>SUM(BC224:BF224)</f>
        <v>-28.108528611358828</v>
      </c>
      <c r="BH224" s="332">
        <f>BH234*BH243*(BH250-BH257)</f>
        <v>-19.993662349481923</v>
      </c>
      <c r="BI224" s="333">
        <f>BI234*BI243*(BI250-BI257)</f>
        <v>-1.1949798392625719</v>
      </c>
      <c r="BJ224" s="333">
        <f>BJ234*BJ243*(BJ250-BJ257)</f>
        <v>-3.972357280815312</v>
      </c>
      <c r="BK224" s="334">
        <f>BK234*BK243*(BK250-BK257)</f>
        <v>8.0973987945340902</v>
      </c>
      <c r="BL224" s="374">
        <f>SUM(BH224:BK224)</f>
        <v>-17.063600675025718</v>
      </c>
      <c r="BM224" s="332">
        <f>BM234*BM243*(BM250-BM257)</f>
        <v>0</v>
      </c>
      <c r="BN224" s="333">
        <f>BN234*BN243*(BN250-BN257)</f>
        <v>0</v>
      </c>
      <c r="BO224" s="333">
        <f>BO234*BO243*(BO250-BO257)</f>
        <v>0</v>
      </c>
      <c r="BP224" s="334">
        <f>BP234*BP243*(BP250-BP257)</f>
        <v>0</v>
      </c>
      <c r="BQ224" s="374">
        <f>SUM(BM224:BP224)</f>
        <v>0</v>
      </c>
      <c r="BR224" s="40"/>
      <c r="BS224" s="40"/>
      <c r="BT224" s="40"/>
      <c r="BU224" s="232"/>
      <c r="BV224" s="28"/>
      <c r="BW224" s="28"/>
      <c r="BX224" s="28"/>
      <c r="BY224" s="28"/>
      <c r="BZ224" s="28"/>
      <c r="CA224" s="28"/>
      <c r="CB224" s="28"/>
      <c r="CC224" s="28"/>
      <c r="CD224" s="40"/>
      <c r="CE224" s="40"/>
      <c r="CF224" s="40"/>
      <c r="CG224" s="40"/>
      <c r="CH224" s="40"/>
      <c r="CI224" s="40"/>
      <c r="CJ224" s="40"/>
      <c r="CK224" s="40"/>
      <c r="CL224" s="40"/>
      <c r="CM224" s="40"/>
      <c r="CN224" s="40"/>
      <c r="CO224" s="40"/>
      <c r="CP224" s="40"/>
      <c r="CQ224" s="40"/>
      <c r="CR224" s="40"/>
      <c r="CS224" s="40"/>
      <c r="CT224" s="823"/>
      <c r="CU224" s="232"/>
      <c r="CV224" s="232"/>
      <c r="CW224" s="232"/>
      <c r="CX224" s="232"/>
      <c r="CY224" s="232"/>
      <c r="CZ224" s="40"/>
      <c r="DA224" s="40"/>
      <c r="DB224" s="40"/>
      <c r="DC224" s="40"/>
      <c r="DD224" s="40"/>
      <c r="DE224" s="40"/>
      <c r="DF224" s="232"/>
      <c r="DG224" s="232"/>
      <c r="DH224" s="232"/>
      <c r="DI224" s="232"/>
      <c r="DJ224" s="232"/>
      <c r="DK224" s="232"/>
      <c r="DL224" s="232"/>
      <c r="DM224" s="232"/>
      <c r="DN224" s="232"/>
    </row>
    <row r="225" spans="1:118">
      <c r="A225" s="40"/>
      <c r="B225" s="1"/>
      <c r="C225" s="409" t="s">
        <v>1278</v>
      </c>
      <c r="D225" s="1"/>
      <c r="E225" s="273"/>
      <c r="F225" s="3"/>
      <c r="G225" s="3"/>
      <c r="H225" s="274"/>
      <c r="I225" s="28"/>
      <c r="J225" s="273"/>
      <c r="K225" s="3"/>
      <c r="L225" s="3"/>
      <c r="M225" s="274"/>
      <c r="N225" s="1"/>
      <c r="O225" s="273"/>
      <c r="P225" s="3"/>
      <c r="Q225" s="3"/>
      <c r="R225" s="274"/>
      <c r="S225" s="1"/>
      <c r="T225" s="332"/>
      <c r="U225" s="333"/>
      <c r="V225" s="333"/>
      <c r="W225" s="334"/>
      <c r="X225" s="374"/>
      <c r="Y225" s="332">
        <f>Y233*Y242*(Y249-Y256)</f>
        <v>0</v>
      </c>
      <c r="Z225" s="333">
        <f>Z233*Z242*(Z249-Z256)</f>
        <v>0</v>
      </c>
      <c r="AA225" s="333">
        <f>AA233*AA242*(AA249-AA256)</f>
        <v>0</v>
      </c>
      <c r="AB225" s="334">
        <f>AB233*AB242*(AB249-AB256)</f>
        <v>0</v>
      </c>
      <c r="AC225" s="1426"/>
      <c r="AD225" s="332">
        <f>AD233*AD242*(AD249-AD256)+AD231*AD240*(AD247-AD254)</f>
        <v>-197.06674185342297</v>
      </c>
      <c r="AE225" s="333">
        <f>AE233*AE242*(AE249-AE256)</f>
        <v>8.6574386000459445</v>
      </c>
      <c r="AF225" s="333">
        <f>AF233*AF242*(AF249-AF256)+AF231*AF240*(AF247-AF254)</f>
        <v>27.158223086700986</v>
      </c>
      <c r="AG225" s="334">
        <f>AG233*AG242*(AG249-AG256)+AG231*AG240*(AG247-AG254)</f>
        <v>31.832361978017129</v>
      </c>
      <c r="AH225" s="374">
        <f>SUM(AD225:AG225)</f>
        <v>-129.41871818865891</v>
      </c>
      <c r="AI225" s="332">
        <f>AI233*AI242*(AI249-AI256)+AI231*AI240*(AI247-AI254)</f>
        <v>-4.1591252710167756</v>
      </c>
      <c r="AJ225" s="333">
        <f>AJ233*AJ242*(AJ249-AJ256)+AJ231*AJ240*(AJ247-AJ254)</f>
        <v>67.821920912468116</v>
      </c>
      <c r="AK225" s="333">
        <f>AK233*AK242*(AK249-AK256)+AK231*AK240*(AK247-AK254)</f>
        <v>67.589617197382552</v>
      </c>
      <c r="AL225" s="334">
        <f>AL233*AL242*(AL249-AL256)+AL231*AL240*(AL247-AL254)</f>
        <v>84.740396441050081</v>
      </c>
      <c r="AM225" s="374">
        <f>SUM(AI225:AL225)</f>
        <v>215.99280927988397</v>
      </c>
      <c r="AN225" s="332">
        <f>AN233*AN242*(AN249-AN256)+AN231*AN240*(AN247-AN254)</f>
        <v>119.59667791147274</v>
      </c>
      <c r="AO225" s="333">
        <f>AO233*AO242*(AO249-AO256)+AO231*AO240*(AO247-AO254)</f>
        <v>112.55060480863648</v>
      </c>
      <c r="AP225" s="333">
        <f>AP233*AP242*(AP249-AP256)+AP231*AP240*(AP247-AP254)</f>
        <v>90.878597882629336</v>
      </c>
      <c r="AQ225" s="334">
        <f>AQ233*AQ242*(AQ249-AQ256)+AQ231*AQ240*(AQ247-AQ254)</f>
        <v>115.10691267334761</v>
      </c>
      <c r="AR225" s="374">
        <f>SUM(AN225:AQ225)</f>
        <v>438.13279327608615</v>
      </c>
      <c r="AS225" s="332">
        <f>AS233*AS242*(AS249-AS256)+AS231*AS240*(AS247-AS254)</f>
        <v>92.558876397754958</v>
      </c>
      <c r="AT225" s="333">
        <f>AT233*AT242*(AT249-AT256)+AT231*AT240*(AT247-AT254)</f>
        <v>95.613392096308587</v>
      </c>
      <c r="AU225" s="333">
        <f t="shared" ref="AU225" si="345">AU233*AU242*(AU249-AU256)+AU231*AU240*(AU247-AU254)</f>
        <v>86.10505288758273</v>
      </c>
      <c r="AV225" s="334">
        <f>AV233*AV242*(AV249-AV256)+AV231*AV240*(AV247-AV254)</f>
        <v>22.350610630761228</v>
      </c>
      <c r="AW225" s="374">
        <f>SUM(AS225:AV225)</f>
        <v>296.62793201240754</v>
      </c>
      <c r="AX225" s="332">
        <f>AX233*AX242*(AX249-AX256)+AX231*AX240*(AX247-AX254)</f>
        <v>-12.617070365443341</v>
      </c>
      <c r="AY225" s="333">
        <f>AY233*AY242*(AY249-AY256)+AY231*AY240*(AY247-AY254)</f>
        <v>12.36077884927127</v>
      </c>
      <c r="AZ225" s="333">
        <f>AZ233*AZ242*(AZ249-AZ256)+AZ231*AZ240*(AZ247-AZ254)</f>
        <v>18.477731324778752</v>
      </c>
      <c r="BA225" s="334">
        <f>BA233*BA242*(BA249-BA256)+BA231*BA240*(BA247-BA254)</f>
        <v>11.136294783637492</v>
      </c>
      <c r="BB225" s="374">
        <f>SUM(AX225:BA225)</f>
        <v>29.357734592244174</v>
      </c>
      <c r="BC225" s="332">
        <f>BC233*BC242*(BC249-BC256)+BC231*BC240*(BC247-BC254)</f>
        <v>-24.057896117143844</v>
      </c>
      <c r="BD225" s="333">
        <f>BD233*BD242*(BD249-BD256)+BD231*BD240*(BD247-BD254)</f>
        <v>13.155275405750642</v>
      </c>
      <c r="BE225" s="333">
        <f>BE233*BE242*(BE249-BE256)+BE231*BE240*(BE247-BE254)</f>
        <v>16.992630692014579</v>
      </c>
      <c r="BF225" s="334">
        <f>BF233*BF242*(BF249-BF256)+BF231*BF240*(BF247-BF254)</f>
        <v>10.050967501733957</v>
      </c>
      <c r="BG225" s="374">
        <f>SUM(BC225:BF225)</f>
        <v>16.140977482355332</v>
      </c>
      <c r="BH225" s="332">
        <f>BH233*BH242*(BH249-BH256)+BH231*BH240*(BH247-BH254)</f>
        <v>-11.415680301343984</v>
      </c>
      <c r="BI225" s="333">
        <f>BI233*BI242*(BI249-BI256)+BI231*BI240*(BI247-BI254)</f>
        <v>6.5897548013753333</v>
      </c>
      <c r="BJ225" s="333">
        <f>BJ233*BJ242*(BJ249-BJ256)+BJ231*BJ240*(BJ247-BJ254)</f>
        <v>8.308799279304969</v>
      </c>
      <c r="BK225" s="334">
        <f>BK233*BK242*(BK249-BK256)+BK231*BK240*(BK247-BK254)</f>
        <v>4.5379476371480543</v>
      </c>
      <c r="BL225" s="374">
        <f>SUM(BH225:BK225)</f>
        <v>8.0208214164843721</v>
      </c>
      <c r="BM225" s="332">
        <f>BM233*BM242*(BM249-BM256)+BM231*BM240*(BM247-BM254)</f>
        <v>0</v>
      </c>
      <c r="BN225" s="333">
        <f>BN233*BN242*(BN249-BN256)+BN231*BN240*(BN247-BN254)</f>
        <v>0</v>
      </c>
      <c r="BO225" s="333">
        <f>BO233*BO242*(BO249-BO256)+BO231*BO240*(BO247-BO254)</f>
        <v>0</v>
      </c>
      <c r="BP225" s="334">
        <f>BP233*BP242*(BP249-BP256)+BP231*BP240*(BP247-BP254)</f>
        <v>0</v>
      </c>
      <c r="BQ225" s="374">
        <f>SUM(BM225:BP225)</f>
        <v>0</v>
      </c>
      <c r="BR225" s="40"/>
      <c r="BS225" s="40"/>
      <c r="BT225" s="40"/>
      <c r="BU225" s="232"/>
      <c r="BV225" s="28"/>
      <c r="BW225" s="28"/>
      <c r="BX225" s="28"/>
      <c r="BY225" s="28"/>
      <c r="BZ225" s="28"/>
      <c r="CA225" s="28"/>
      <c r="CB225" s="28"/>
      <c r="CC225" s="28"/>
      <c r="CD225" s="40"/>
      <c r="CE225" s="40"/>
      <c r="CF225" s="40"/>
      <c r="CG225" s="40"/>
      <c r="CH225" s="40"/>
      <c r="CI225" s="40"/>
      <c r="CJ225" s="40"/>
      <c r="CK225" s="40"/>
      <c r="CL225" s="40"/>
      <c r="CM225" s="40"/>
      <c r="CN225" s="40"/>
      <c r="CO225" s="40"/>
      <c r="CP225" s="40"/>
      <c r="CQ225" s="40"/>
      <c r="CR225" s="40"/>
      <c r="CS225" s="40"/>
      <c r="CT225" s="823"/>
      <c r="CU225" s="232"/>
      <c r="CV225" s="232"/>
      <c r="CW225" s="232"/>
      <c r="CX225" s="232"/>
      <c r="CY225" s="232"/>
      <c r="CZ225" s="40"/>
      <c r="DA225" s="40"/>
      <c r="DB225" s="40"/>
      <c r="DC225" s="40"/>
      <c r="DD225" s="40"/>
      <c r="DE225" s="40"/>
      <c r="DF225" s="232"/>
      <c r="DG225" s="232"/>
      <c r="DH225" s="232"/>
      <c r="DI225" s="232"/>
      <c r="DJ225" s="232"/>
      <c r="DK225" s="232"/>
      <c r="DL225" s="232"/>
      <c r="DM225" s="232"/>
      <c r="DN225" s="232"/>
    </row>
    <row r="226" spans="1:118" s="34" customFormat="1">
      <c r="A226" s="156"/>
      <c r="B226" s="32"/>
      <c r="C226" s="446" t="s">
        <v>399</v>
      </c>
      <c r="D226" s="32"/>
      <c r="E226" s="489"/>
      <c r="F226" s="342"/>
      <c r="G226" s="342"/>
      <c r="H226" s="490"/>
      <c r="I226" s="32"/>
      <c r="J226" s="489"/>
      <c r="K226" s="342"/>
      <c r="L226" s="342"/>
      <c r="M226" s="490"/>
      <c r="N226" s="32"/>
      <c r="O226" s="489"/>
      <c r="P226" s="342"/>
      <c r="Q226" s="342"/>
      <c r="R226" s="490"/>
      <c r="S226" s="32"/>
      <c r="T226" s="301"/>
      <c r="U226" s="265"/>
      <c r="V226" s="265"/>
      <c r="W226" s="302"/>
      <c r="X226" s="445"/>
      <c r="Y226" s="301">
        <f>SUM(Y221:Y225)</f>
        <v>0</v>
      </c>
      <c r="Z226" s="265">
        <f>SUM(Z221:Z225)</f>
        <v>0</v>
      </c>
      <c r="AA226" s="265">
        <f>SUM(AA221:AA225)</f>
        <v>0</v>
      </c>
      <c r="AB226" s="302">
        <f>SUM(AB221:AB225)</f>
        <v>0</v>
      </c>
      <c r="AC226" s="445"/>
      <c r="AD226" s="301">
        <f t="shared" ref="AD226:BL226" si="346">SUM(AD221:AD225)</f>
        <v>-1583.1864875309852</v>
      </c>
      <c r="AE226" s="265">
        <f t="shared" si="346"/>
        <v>206.38236915226199</v>
      </c>
      <c r="AF226" s="265">
        <f t="shared" si="346"/>
        <v>224.88315363891704</v>
      </c>
      <c r="AG226" s="302">
        <f t="shared" si="346"/>
        <v>178.42792762299786</v>
      </c>
      <c r="AH226" s="445">
        <f t="shared" si="346"/>
        <v>-973.49303711680807</v>
      </c>
      <c r="AI226" s="301">
        <f t="shared" si="346"/>
        <v>-74.888842822800783</v>
      </c>
      <c r="AJ226" s="265">
        <f t="shared" si="346"/>
        <v>567.49289688634929</v>
      </c>
      <c r="AK226" s="265">
        <f t="shared" si="346"/>
        <v>542.56257145537609</v>
      </c>
      <c r="AL226" s="302">
        <f t="shared" si="346"/>
        <v>633.40521992676054</v>
      </c>
      <c r="AM226" s="445">
        <f t="shared" si="346"/>
        <v>1668.5718454456851</v>
      </c>
      <c r="AN226" s="301">
        <f t="shared" si="346"/>
        <v>763.07455774444998</v>
      </c>
      <c r="AO226" s="265">
        <f t="shared" si="346"/>
        <v>739.26791113503987</v>
      </c>
      <c r="AP226" s="265">
        <f t="shared" si="346"/>
        <v>518.03045798865628</v>
      </c>
      <c r="AQ226" s="302">
        <f t="shared" si="346"/>
        <v>634.05211405217528</v>
      </c>
      <c r="AR226" s="445">
        <f t="shared" si="346"/>
        <v>2654.425040920321</v>
      </c>
      <c r="AS226" s="301">
        <f t="shared" si="346"/>
        <v>510.85623411755626</v>
      </c>
      <c r="AT226" s="265">
        <f t="shared" si="346"/>
        <v>534.42365227158098</v>
      </c>
      <c r="AU226" s="265">
        <f t="shared" ref="AU226:AW226" si="347">SUM(AU221:AU225)</f>
        <v>493.01086030921283</v>
      </c>
      <c r="AV226" s="302">
        <f t="shared" si="347"/>
        <v>165.47509879727554</v>
      </c>
      <c r="AW226" s="445">
        <f t="shared" si="347"/>
        <v>1703.7658454956254</v>
      </c>
      <c r="AX226" s="301">
        <f t="shared" si="346"/>
        <v>-98.643870183425534</v>
      </c>
      <c r="AY226" s="265">
        <f t="shared" si="346"/>
        <v>165.14941691028108</v>
      </c>
      <c r="AZ226" s="265">
        <f t="shared" si="346"/>
        <v>-12.106311887852208</v>
      </c>
      <c r="BA226" s="302">
        <f t="shared" si="346"/>
        <v>155.5977966696075</v>
      </c>
      <c r="BB226" s="445">
        <f t="shared" si="346"/>
        <v>209.9970315086108</v>
      </c>
      <c r="BC226" s="301">
        <f t="shared" si="346"/>
        <v>-43.079839178982311</v>
      </c>
      <c r="BD226" s="265">
        <f t="shared" si="346"/>
        <v>184.91690288621305</v>
      </c>
      <c r="BE226" s="265">
        <f t="shared" si="346"/>
        <v>108.87604035774672</v>
      </c>
      <c r="BF226" s="302">
        <f t="shared" si="346"/>
        <v>88.850665172677537</v>
      </c>
      <c r="BG226" s="445">
        <f t="shared" si="346"/>
        <v>339.56376923765498</v>
      </c>
      <c r="BH226" s="301">
        <f t="shared" si="346"/>
        <v>-18.222815063321285</v>
      </c>
      <c r="BI226" s="265">
        <f t="shared" si="346"/>
        <v>96.012282701838757</v>
      </c>
      <c r="BJ226" s="265">
        <f t="shared" si="346"/>
        <v>60.460213830564612</v>
      </c>
      <c r="BK226" s="302">
        <f t="shared" si="346"/>
        <v>57.070675800068287</v>
      </c>
      <c r="BL226" s="445">
        <f t="shared" si="346"/>
        <v>195.32035726915038</v>
      </c>
      <c r="BM226" s="301">
        <f t="shared" ref="BM226:BQ226" si="348">SUM(BM221:BM225)</f>
        <v>0</v>
      </c>
      <c r="BN226" s="265">
        <f t="shared" si="348"/>
        <v>0</v>
      </c>
      <c r="BO226" s="265">
        <f t="shared" si="348"/>
        <v>0</v>
      </c>
      <c r="BP226" s="302">
        <f t="shared" si="348"/>
        <v>0</v>
      </c>
      <c r="BQ226" s="445">
        <f t="shared" si="348"/>
        <v>0</v>
      </c>
      <c r="BR226" s="40"/>
      <c r="BS226" s="156"/>
      <c r="BT226" s="156"/>
      <c r="BV226" s="28"/>
      <c r="BW226" s="28"/>
      <c r="BX226" s="28"/>
      <c r="BY226" s="28"/>
      <c r="BZ226" s="28"/>
      <c r="CA226" s="28"/>
      <c r="CB226" s="28"/>
      <c r="CC226" s="28"/>
      <c r="CD226" s="156"/>
      <c r="CE226" s="156"/>
      <c r="CF226" s="156"/>
      <c r="CG226" s="156"/>
      <c r="CH226" s="156"/>
      <c r="CI226" s="156"/>
      <c r="CJ226" s="156"/>
      <c r="CK226" s="156"/>
      <c r="CL226" s="156"/>
      <c r="CM226" s="156"/>
      <c r="CN226" s="156"/>
      <c r="CO226" s="156"/>
      <c r="CP226" s="156"/>
      <c r="CQ226" s="156"/>
      <c r="CR226" s="156"/>
      <c r="CS226" s="156"/>
      <c r="CT226" s="954"/>
      <c r="CZ226" s="156"/>
      <c r="DA226" s="156"/>
      <c r="DB226" s="156"/>
      <c r="DC226" s="156"/>
      <c r="DD226" s="156"/>
      <c r="DE226" s="156"/>
    </row>
    <row r="227" spans="1:118">
      <c r="A227" s="40"/>
      <c r="B227" s="1"/>
      <c r="C227" s="446"/>
      <c r="D227" s="1"/>
      <c r="E227" s="273"/>
      <c r="F227" s="3"/>
      <c r="G227" s="3"/>
      <c r="H227" s="274"/>
      <c r="I227" s="28"/>
      <c r="J227" s="273"/>
      <c r="K227" s="3"/>
      <c r="L227" s="3"/>
      <c r="M227" s="274"/>
      <c r="N227" s="1"/>
      <c r="O227" s="273"/>
      <c r="P227" s="3"/>
      <c r="Q227" s="3"/>
      <c r="R227" s="274"/>
      <c r="S227" s="1"/>
      <c r="T227" s="451"/>
      <c r="U227" s="452"/>
      <c r="V227" s="452"/>
      <c r="W227" s="453"/>
      <c r="X227" s="454"/>
      <c r="Y227" s="451"/>
      <c r="Z227" s="452"/>
      <c r="AA227" s="452"/>
      <c r="AB227" s="453"/>
      <c r="AC227" s="454"/>
      <c r="AD227" s="451"/>
      <c r="AE227" s="452"/>
      <c r="AF227" s="452"/>
      <c r="AG227" s="453"/>
      <c r="AH227" s="454"/>
      <c r="AI227" s="451"/>
      <c r="AJ227" s="452"/>
      <c r="AK227" s="452"/>
      <c r="AL227" s="453"/>
      <c r="AM227" s="454"/>
      <c r="AN227" s="451"/>
      <c r="AO227" s="452"/>
      <c r="AP227" s="452"/>
      <c r="AQ227" s="453"/>
      <c r="AR227" s="454"/>
      <c r="AS227" s="451"/>
      <c r="AT227" s="452"/>
      <c r="AU227" s="452"/>
      <c r="AV227" s="453"/>
      <c r="AW227" s="454"/>
      <c r="AX227" s="451"/>
      <c r="AY227" s="452"/>
      <c r="AZ227" s="452"/>
      <c r="BA227" s="453"/>
      <c r="BB227" s="454"/>
      <c r="BC227" s="451"/>
      <c r="BD227" s="452"/>
      <c r="BE227" s="452"/>
      <c r="BF227" s="453"/>
      <c r="BG227" s="454"/>
      <c r="BH227" s="451"/>
      <c r="BI227" s="452"/>
      <c r="BJ227" s="452"/>
      <c r="BK227" s="453"/>
      <c r="BL227" s="454"/>
      <c r="BM227" s="451"/>
      <c r="BN227" s="452"/>
      <c r="BO227" s="452"/>
      <c r="BP227" s="453"/>
      <c r="BQ227" s="454"/>
      <c r="BR227" s="156"/>
      <c r="BS227" s="40"/>
      <c r="BT227" s="40"/>
      <c r="BU227" s="232"/>
      <c r="BV227" s="28"/>
      <c r="BW227" s="28"/>
      <c r="BX227" s="28"/>
      <c r="BY227" s="28"/>
      <c r="BZ227" s="28"/>
      <c r="CA227" s="28"/>
      <c r="CB227" s="28"/>
      <c r="CC227" s="28"/>
      <c r="CD227" s="40"/>
      <c r="CE227" s="40"/>
      <c r="CF227" s="40"/>
      <c r="CG227" s="40"/>
      <c r="CH227" s="40"/>
      <c r="CI227" s="40"/>
      <c r="CJ227" s="40"/>
      <c r="CK227" s="40"/>
      <c r="CL227" s="40"/>
      <c r="CM227" s="40"/>
      <c r="CN227" s="40"/>
      <c r="CO227" s="40"/>
      <c r="CP227" s="40"/>
      <c r="CQ227" s="40"/>
      <c r="CR227" s="40"/>
      <c r="CS227" s="40"/>
      <c r="CT227" s="823"/>
      <c r="CU227" s="232"/>
      <c r="CV227" s="232"/>
      <c r="CW227" s="232"/>
      <c r="CX227" s="232"/>
      <c r="CY227" s="232"/>
      <c r="CZ227" s="40"/>
      <c r="DA227" s="40"/>
      <c r="DB227" s="40"/>
      <c r="DC227" s="40"/>
      <c r="DD227" s="40"/>
      <c r="DE227" s="40"/>
      <c r="DF227" s="232"/>
      <c r="DG227" s="232"/>
      <c r="DH227" s="232"/>
      <c r="DI227" s="232"/>
      <c r="DJ227" s="232"/>
      <c r="DK227" s="232"/>
      <c r="DL227" s="232"/>
      <c r="DM227" s="232"/>
      <c r="DN227" s="232"/>
    </row>
    <row r="228" spans="1:118">
      <c r="A228" s="40"/>
      <c r="B228" s="32"/>
      <c r="C228" s="225" t="s">
        <v>1014</v>
      </c>
      <c r="D228" s="32"/>
      <c r="E228" s="489"/>
      <c r="F228" s="342"/>
      <c r="G228" s="342"/>
      <c r="H228" s="490"/>
      <c r="I228" s="32"/>
      <c r="J228" s="489"/>
      <c r="K228" s="342"/>
      <c r="L228" s="342"/>
      <c r="M228" s="490"/>
      <c r="N228" s="32"/>
      <c r="O228" s="489"/>
      <c r="P228" s="342"/>
      <c r="Q228" s="342"/>
      <c r="R228" s="490"/>
      <c r="S228" s="32"/>
      <c r="T228" s="292"/>
      <c r="U228" s="261"/>
      <c r="V228" s="261"/>
      <c r="W228" s="293"/>
      <c r="X228" s="669"/>
      <c r="Y228" s="292">
        <f>AC228/4</f>
        <v>0</v>
      </c>
      <c r="Z228" s="261">
        <f>AC228/4</f>
        <v>0</v>
      </c>
      <c r="AA228" s="261">
        <f>AC228/4</f>
        <v>0</v>
      </c>
      <c r="AB228" s="293">
        <f>AC228/4</f>
        <v>0</v>
      </c>
      <c r="AC228" s="228"/>
      <c r="AD228" s="292">
        <f t="shared" ref="AD228:AD234" si="349">AH228/4</f>
        <v>49.294792125000008</v>
      </c>
      <c r="AE228" s="261">
        <f>AH228/4</f>
        <v>49.294792125000008</v>
      </c>
      <c r="AF228" s="261">
        <f t="shared" ref="AF228:AF234" si="350">AH228/4</f>
        <v>49.294792125000008</v>
      </c>
      <c r="AG228" s="293">
        <f t="shared" ref="AG228:AG234" si="351">AH228/4</f>
        <v>49.294792125000008</v>
      </c>
      <c r="AH228" s="228">
        <f>+AH189/1000</f>
        <v>197.17916850000003</v>
      </c>
      <c r="AI228" s="292">
        <f t="shared" ref="AI228:AI236" si="352">AM228/4</f>
        <v>46.742801550000003</v>
      </c>
      <c r="AJ228" s="261">
        <f t="shared" ref="AJ228:AJ236" si="353">AM228/4</f>
        <v>46.742801550000003</v>
      </c>
      <c r="AK228" s="261">
        <f t="shared" ref="AK228:AK236" si="354">AM228/4</f>
        <v>46.742801550000003</v>
      </c>
      <c r="AL228" s="293">
        <f t="shared" ref="AL228:AL236" si="355">AM228/4</f>
        <v>46.742801550000003</v>
      </c>
      <c r="AM228" s="228">
        <f>+AM189/1000</f>
        <v>186.97120620000001</v>
      </c>
      <c r="AN228" s="292">
        <f t="shared" ref="AN228:AN236" si="356">AR228/4</f>
        <v>46.662622912499998</v>
      </c>
      <c r="AO228" s="261">
        <f t="shared" ref="AO228:AO236" si="357">AR228/4</f>
        <v>46.662622912499998</v>
      </c>
      <c r="AP228" s="261">
        <f t="shared" ref="AP228:AP236" si="358">AR228/4</f>
        <v>46.662622912499998</v>
      </c>
      <c r="AQ228" s="293">
        <f t="shared" ref="AQ228:AQ236" si="359">AR228/4</f>
        <v>46.662622912499998</v>
      </c>
      <c r="AR228" s="228">
        <f>+AR189/1000</f>
        <v>186.65049164999999</v>
      </c>
      <c r="AS228" s="292">
        <f t="shared" ref="AS228:AS236" si="360">AW228/4</f>
        <v>49.444845449999995</v>
      </c>
      <c r="AT228" s="261">
        <f t="shared" ref="AT228:AT236" si="361">AW228/4</f>
        <v>49.444845449999995</v>
      </c>
      <c r="AU228" s="261">
        <f t="shared" ref="AU228:AU236" si="362">AW228/4</f>
        <v>49.444845449999995</v>
      </c>
      <c r="AV228" s="293">
        <f t="shared" ref="AV228:AV236" si="363">AW228/4</f>
        <v>49.444845449999995</v>
      </c>
      <c r="AW228" s="228">
        <f>+AW189/1000</f>
        <v>197.77938179999998</v>
      </c>
      <c r="AX228" s="292">
        <f t="shared" ref="AX228:AX236" si="364">BB228/4</f>
        <v>49.466526450000003</v>
      </c>
      <c r="AY228" s="261">
        <f t="shared" ref="AY228:AY236" si="365">BB228/4</f>
        <v>49.466526450000003</v>
      </c>
      <c r="AZ228" s="261">
        <f t="shared" ref="AZ228:AZ236" si="366">BB228/4</f>
        <v>49.466526450000003</v>
      </c>
      <c r="BA228" s="293">
        <f t="shared" ref="BA228:BA236" si="367">BB228/4</f>
        <v>49.466526450000003</v>
      </c>
      <c r="BB228" s="228">
        <f>+(BB189-BB369)/1000</f>
        <v>197.86610580000001</v>
      </c>
      <c r="BC228" s="292">
        <f t="shared" ref="BC228:BC236" si="368">BG228/4</f>
        <v>48.12615885000001</v>
      </c>
      <c r="BD228" s="261">
        <f t="shared" ref="BD228:BD236" si="369">BG228/4</f>
        <v>48.12615885000001</v>
      </c>
      <c r="BE228" s="261">
        <f t="shared" ref="BE228:BE236" si="370">BG228/4</f>
        <v>48.12615885000001</v>
      </c>
      <c r="BF228" s="293">
        <f t="shared" ref="BF228:BF236" si="371">BG228/4</f>
        <v>48.12615885000001</v>
      </c>
      <c r="BG228" s="228">
        <f>+(BG189-BG369)/1000</f>
        <v>192.50463540000004</v>
      </c>
      <c r="BH228" s="292">
        <f t="shared" ref="BH228:BH236" si="372">BL228/4</f>
        <v>45.824227950000001</v>
      </c>
      <c r="BI228" s="261">
        <f t="shared" ref="BI228:BI236" si="373">BL228/4</f>
        <v>45.824227950000001</v>
      </c>
      <c r="BJ228" s="261">
        <f t="shared" ref="BJ228:BJ236" si="374">BL228/4</f>
        <v>45.824227950000001</v>
      </c>
      <c r="BK228" s="293">
        <f t="shared" ref="BK228:BK236" si="375">BL228/4</f>
        <v>45.824227950000001</v>
      </c>
      <c r="BL228" s="228">
        <f>+(BL189-BL369)/1000</f>
        <v>183.2969118</v>
      </c>
      <c r="BM228" s="292">
        <f t="shared" ref="BM228:BM236" si="376">BQ228/4</f>
        <v>47.348281800000002</v>
      </c>
      <c r="BN228" s="261">
        <f t="shared" ref="BN228:BN236" si="377">BQ228/4</f>
        <v>47.348281800000002</v>
      </c>
      <c r="BO228" s="261">
        <f t="shared" ref="BO228:BO236" si="378">BQ228/4</f>
        <v>47.348281800000002</v>
      </c>
      <c r="BP228" s="293">
        <f t="shared" ref="BP228:BP236" si="379">BQ228/4</f>
        <v>47.348281800000002</v>
      </c>
      <c r="BQ228" s="228">
        <f>+(BQ189-BQ369)/1000</f>
        <v>189.39312720000001</v>
      </c>
      <c r="BR228" s="40"/>
      <c r="BS228" s="40"/>
      <c r="BT228" s="40"/>
      <c r="BU228" s="232"/>
      <c r="BV228" s="28"/>
      <c r="BW228" s="28"/>
      <c r="BX228" s="28"/>
      <c r="BY228" s="28"/>
      <c r="BZ228" s="28"/>
      <c r="CA228" s="28"/>
      <c r="CB228" s="28"/>
      <c r="CC228" s="28"/>
      <c r="CD228" s="40"/>
      <c r="CE228" s="40"/>
      <c r="CF228" s="40"/>
      <c r="CG228" s="40"/>
      <c r="CH228" s="40"/>
      <c r="CI228" s="40"/>
      <c r="CJ228" s="40"/>
      <c r="CK228" s="40"/>
      <c r="CL228" s="40"/>
      <c r="CM228" s="40"/>
      <c r="CN228" s="40"/>
      <c r="CO228" s="40"/>
      <c r="CP228" s="40"/>
      <c r="CQ228" s="40"/>
      <c r="CR228" s="40"/>
      <c r="CS228" s="40"/>
      <c r="CT228" s="823"/>
      <c r="CU228" s="232"/>
      <c r="CV228" s="232"/>
      <c r="CW228" s="232"/>
      <c r="CX228" s="232"/>
      <c r="CY228" s="232"/>
      <c r="CZ228" s="40"/>
      <c r="DA228" s="40"/>
      <c r="DB228" s="40"/>
      <c r="DC228" s="40"/>
      <c r="DD228" s="40"/>
      <c r="DE228" s="40"/>
      <c r="DF228" s="232"/>
      <c r="DG228" s="232"/>
      <c r="DH228" s="232"/>
      <c r="DI228" s="232"/>
      <c r="DJ228" s="232"/>
      <c r="DK228" s="232"/>
      <c r="DL228" s="232"/>
      <c r="DM228" s="232"/>
      <c r="DN228" s="232"/>
    </row>
    <row r="229" spans="1:118">
      <c r="A229" s="40"/>
      <c r="B229" s="1"/>
      <c r="C229" s="409" t="s">
        <v>1006</v>
      </c>
      <c r="D229" s="1"/>
      <c r="E229" s="273"/>
      <c r="F229" s="3"/>
      <c r="G229" s="3"/>
      <c r="H229" s="274"/>
      <c r="I229" s="28"/>
      <c r="J229" s="273"/>
      <c r="K229" s="3"/>
      <c r="L229" s="3"/>
      <c r="M229" s="274"/>
      <c r="N229" s="1"/>
      <c r="O229" s="273"/>
      <c r="P229" s="3"/>
      <c r="Q229" s="3"/>
      <c r="R229" s="274"/>
      <c r="S229" s="1"/>
      <c r="T229" s="290"/>
      <c r="U229" s="260"/>
      <c r="V229" s="260"/>
      <c r="W229" s="291"/>
      <c r="X229" s="1003"/>
      <c r="Y229" s="290">
        <f>AC229/4</f>
        <v>0</v>
      </c>
      <c r="Z229" s="260">
        <f>AC229/4</f>
        <v>0</v>
      </c>
      <c r="AA229" s="260">
        <f>AC229/4</f>
        <v>0</v>
      </c>
      <c r="AB229" s="291">
        <f>AC229/4</f>
        <v>0</v>
      </c>
      <c r="AC229" s="45"/>
      <c r="AD229" s="290">
        <f t="shared" si="349"/>
        <v>23.075318250000002</v>
      </c>
      <c r="AE229" s="260">
        <f>AH229/4</f>
        <v>23.075318250000002</v>
      </c>
      <c r="AF229" s="260">
        <f t="shared" si="350"/>
        <v>23.075318250000002</v>
      </c>
      <c r="AG229" s="291">
        <f t="shared" si="351"/>
        <v>23.075318250000002</v>
      </c>
      <c r="AH229" s="45">
        <f>+AH181/1000</f>
        <v>92.301273000000009</v>
      </c>
      <c r="AI229" s="290">
        <f t="shared" si="352"/>
        <v>23.156348250000004</v>
      </c>
      <c r="AJ229" s="260">
        <f t="shared" si="353"/>
        <v>23.156348250000004</v>
      </c>
      <c r="AK229" s="260">
        <f t="shared" si="354"/>
        <v>23.156348250000004</v>
      </c>
      <c r="AL229" s="291">
        <f t="shared" si="355"/>
        <v>23.156348250000004</v>
      </c>
      <c r="AM229" s="45">
        <f>+AM181/1000</f>
        <v>92.625393000000017</v>
      </c>
      <c r="AN229" s="290">
        <f t="shared" si="356"/>
        <v>23.1874763625</v>
      </c>
      <c r="AO229" s="260">
        <f t="shared" si="357"/>
        <v>23.1874763625</v>
      </c>
      <c r="AP229" s="260">
        <f t="shared" si="358"/>
        <v>23.1874763625</v>
      </c>
      <c r="AQ229" s="291">
        <f t="shared" si="359"/>
        <v>23.1874763625</v>
      </c>
      <c r="AR229" s="45">
        <f>+AR181/1000</f>
        <v>92.74990545</v>
      </c>
      <c r="AS229" s="1814">
        <f t="shared" si="360"/>
        <v>23.946905399999995</v>
      </c>
      <c r="AT229" s="260">
        <f t="shared" si="361"/>
        <v>23.946905399999995</v>
      </c>
      <c r="AU229" s="260">
        <f t="shared" si="362"/>
        <v>23.946905399999995</v>
      </c>
      <c r="AV229" s="291">
        <f t="shared" si="363"/>
        <v>23.946905399999995</v>
      </c>
      <c r="AW229" s="45">
        <f>+AW181/1000</f>
        <v>95.78762159999998</v>
      </c>
      <c r="AX229" s="290">
        <f t="shared" si="364"/>
        <v>23.946905399999995</v>
      </c>
      <c r="AY229" s="260">
        <f t="shared" si="365"/>
        <v>23.946905399999995</v>
      </c>
      <c r="AZ229" s="260">
        <f t="shared" si="366"/>
        <v>23.946905399999995</v>
      </c>
      <c r="BA229" s="291">
        <f t="shared" si="367"/>
        <v>23.946905399999995</v>
      </c>
      <c r="BB229" s="45">
        <f>+BB181/1000</f>
        <v>95.78762159999998</v>
      </c>
      <c r="BC229" s="290">
        <f t="shared" si="368"/>
        <v>23.987420399999994</v>
      </c>
      <c r="BD229" s="260">
        <f t="shared" si="369"/>
        <v>23.987420399999994</v>
      </c>
      <c r="BE229" s="260">
        <f t="shared" si="370"/>
        <v>23.987420399999994</v>
      </c>
      <c r="BF229" s="291">
        <f t="shared" si="371"/>
        <v>23.987420399999994</v>
      </c>
      <c r="BG229" s="45">
        <f>+BG181/1000</f>
        <v>95.949681599999977</v>
      </c>
      <c r="BH229" s="290">
        <f t="shared" si="372"/>
        <v>22.964027924999996</v>
      </c>
      <c r="BI229" s="260">
        <f t="shared" si="373"/>
        <v>22.964027924999996</v>
      </c>
      <c r="BJ229" s="260">
        <f t="shared" si="374"/>
        <v>22.964027924999996</v>
      </c>
      <c r="BK229" s="291">
        <f t="shared" si="375"/>
        <v>22.964027924999996</v>
      </c>
      <c r="BL229" s="45">
        <f>+BL181/1000</f>
        <v>91.856111699999985</v>
      </c>
      <c r="BM229" s="290">
        <f t="shared" si="376"/>
        <v>24.068450399999996</v>
      </c>
      <c r="BN229" s="260">
        <f t="shared" si="377"/>
        <v>24.068450399999996</v>
      </c>
      <c r="BO229" s="260">
        <f t="shared" si="378"/>
        <v>24.068450399999996</v>
      </c>
      <c r="BP229" s="291">
        <f t="shared" si="379"/>
        <v>24.068450399999996</v>
      </c>
      <c r="BQ229" s="45">
        <f>+BQ181/1000</f>
        <v>96.273801599999985</v>
      </c>
      <c r="BR229" s="40"/>
      <c r="BS229" s="40"/>
      <c r="BT229" s="40"/>
      <c r="BU229" s="232"/>
      <c r="BV229" s="28"/>
      <c r="BW229" s="28"/>
      <c r="BX229" s="28"/>
      <c r="BY229" s="28"/>
      <c r="BZ229" s="28"/>
      <c r="CA229" s="28"/>
      <c r="CB229" s="28"/>
      <c r="CC229" s="28"/>
      <c r="CD229" s="40"/>
      <c r="CE229" s="40"/>
      <c r="CF229" s="40"/>
      <c r="CG229" s="40"/>
      <c r="CH229" s="40"/>
      <c r="CI229" s="40"/>
      <c r="CJ229" s="40"/>
      <c r="CK229" s="40"/>
      <c r="CL229" s="40"/>
      <c r="CM229" s="40"/>
      <c r="CN229" s="40"/>
      <c r="CO229" s="40"/>
      <c r="CP229" s="40"/>
      <c r="CQ229" s="40"/>
      <c r="CR229" s="40"/>
      <c r="CS229" s="40"/>
      <c r="CT229" s="823"/>
      <c r="CU229" s="232"/>
      <c r="CV229" s="232"/>
      <c r="CW229" s="232"/>
      <c r="CX229" s="232"/>
      <c r="CY229" s="232"/>
      <c r="CZ229" s="40"/>
      <c r="DA229" s="40"/>
      <c r="DB229" s="40"/>
      <c r="DC229" s="40"/>
      <c r="DD229" s="40"/>
      <c r="DE229" s="40"/>
      <c r="DF229" s="232"/>
      <c r="DG229" s="232"/>
      <c r="DH229" s="232"/>
      <c r="DI229" s="232"/>
      <c r="DJ229" s="232"/>
      <c r="DK229" s="232"/>
      <c r="DL229" s="232"/>
      <c r="DM229" s="232"/>
      <c r="DN229" s="232"/>
    </row>
    <row r="230" spans="1:118">
      <c r="A230" s="40"/>
      <c r="B230" s="1"/>
      <c r="C230" s="409" t="s">
        <v>1005</v>
      </c>
      <c r="D230" s="1"/>
      <c r="E230" s="273"/>
      <c r="F230" s="3"/>
      <c r="G230" s="3"/>
      <c r="H230" s="274"/>
      <c r="I230" s="28"/>
      <c r="J230" s="273"/>
      <c r="K230" s="3"/>
      <c r="L230" s="3"/>
      <c r="M230" s="274"/>
      <c r="N230" s="1"/>
      <c r="O230" s="273"/>
      <c r="P230" s="3"/>
      <c r="Q230" s="3"/>
      <c r="R230" s="274"/>
      <c r="S230" s="1"/>
      <c r="T230" s="290"/>
      <c r="U230" s="260"/>
      <c r="V230" s="260"/>
      <c r="W230" s="291"/>
      <c r="X230" s="1003"/>
      <c r="Y230" s="290">
        <f>AC230/4</f>
        <v>0</v>
      </c>
      <c r="Z230" s="260">
        <f>AC230/4</f>
        <v>0</v>
      </c>
      <c r="AA230" s="260">
        <f>AC230/4</f>
        <v>0</v>
      </c>
      <c r="AB230" s="291">
        <f>AC230/4</f>
        <v>0</v>
      </c>
      <c r="AC230" s="45"/>
      <c r="AD230" s="290">
        <f t="shared" si="349"/>
        <v>15.139628775</v>
      </c>
      <c r="AE230" s="260">
        <f>AH230/4</f>
        <v>15.139628775</v>
      </c>
      <c r="AF230" s="260">
        <f t="shared" si="350"/>
        <v>15.139628775</v>
      </c>
      <c r="AG230" s="291">
        <f t="shared" si="351"/>
        <v>15.139628775</v>
      </c>
      <c r="AH230" s="45">
        <f>+AH182/1000</f>
        <v>60.558515100000001</v>
      </c>
      <c r="AI230" s="290">
        <f t="shared" si="352"/>
        <v>13.645736699999999</v>
      </c>
      <c r="AJ230" s="260">
        <f t="shared" si="353"/>
        <v>13.645736699999999</v>
      </c>
      <c r="AK230" s="260">
        <f t="shared" si="354"/>
        <v>13.645736699999999</v>
      </c>
      <c r="AL230" s="291">
        <f t="shared" si="355"/>
        <v>13.645736699999999</v>
      </c>
      <c r="AM230" s="45">
        <f>+AM182/1000</f>
        <v>54.582946799999995</v>
      </c>
      <c r="AN230" s="290">
        <f t="shared" si="356"/>
        <v>13.886417699999997</v>
      </c>
      <c r="AO230" s="260">
        <f t="shared" si="357"/>
        <v>13.886417699999997</v>
      </c>
      <c r="AP230" s="260">
        <f t="shared" si="358"/>
        <v>13.886417699999997</v>
      </c>
      <c r="AQ230" s="291">
        <f t="shared" si="359"/>
        <v>13.886417699999997</v>
      </c>
      <c r="AR230" s="45">
        <f>+AR182/1000</f>
        <v>55.545670799999989</v>
      </c>
      <c r="AS230" s="290">
        <f t="shared" si="360"/>
        <v>13.561531199999999</v>
      </c>
      <c r="AT230" s="260">
        <f t="shared" si="361"/>
        <v>13.561531199999999</v>
      </c>
      <c r="AU230" s="260">
        <f t="shared" si="362"/>
        <v>13.561531199999999</v>
      </c>
      <c r="AV230" s="291">
        <f t="shared" si="363"/>
        <v>13.561531199999999</v>
      </c>
      <c r="AW230" s="45">
        <f>+AW182/1000</f>
        <v>54.246124799999997</v>
      </c>
      <c r="AX230" s="290">
        <f t="shared" si="364"/>
        <v>13.405740074999999</v>
      </c>
      <c r="AY230" s="260">
        <f t="shared" si="365"/>
        <v>13.405740074999999</v>
      </c>
      <c r="AZ230" s="260">
        <f t="shared" si="366"/>
        <v>13.405740074999999</v>
      </c>
      <c r="BA230" s="291">
        <f t="shared" si="367"/>
        <v>13.405740074999999</v>
      </c>
      <c r="BB230" s="45">
        <f>+BB182/1000</f>
        <v>53.622960299999995</v>
      </c>
      <c r="BC230" s="290">
        <f t="shared" si="368"/>
        <v>12.024857475000001</v>
      </c>
      <c r="BD230" s="260">
        <f t="shared" si="369"/>
        <v>12.024857475000001</v>
      </c>
      <c r="BE230" s="260">
        <f t="shared" si="370"/>
        <v>12.024857475000001</v>
      </c>
      <c r="BF230" s="291">
        <f t="shared" si="371"/>
        <v>12.024857475000001</v>
      </c>
      <c r="BG230" s="45">
        <f>+BG182/1000</f>
        <v>48.099429900000004</v>
      </c>
      <c r="BH230" s="290">
        <f t="shared" si="372"/>
        <v>10.74631905</v>
      </c>
      <c r="BI230" s="260">
        <f t="shared" si="373"/>
        <v>10.74631905</v>
      </c>
      <c r="BJ230" s="260">
        <f t="shared" si="374"/>
        <v>10.74631905</v>
      </c>
      <c r="BK230" s="291">
        <f t="shared" si="375"/>
        <v>10.74631905</v>
      </c>
      <c r="BL230" s="45">
        <f>+BL182/1000</f>
        <v>42.985276200000001</v>
      </c>
      <c r="BM230" s="290">
        <f t="shared" si="376"/>
        <v>10.908762299999999</v>
      </c>
      <c r="BN230" s="260">
        <f t="shared" si="377"/>
        <v>10.908762299999999</v>
      </c>
      <c r="BO230" s="260">
        <f t="shared" si="378"/>
        <v>10.908762299999999</v>
      </c>
      <c r="BP230" s="291">
        <f t="shared" si="379"/>
        <v>10.908762299999999</v>
      </c>
      <c r="BQ230" s="45">
        <f>+BQ182/1000</f>
        <v>43.635049199999997</v>
      </c>
      <c r="BR230" s="40"/>
      <c r="BS230" s="40"/>
      <c r="BT230" s="40"/>
      <c r="BU230" s="232"/>
      <c r="BV230" s="28"/>
      <c r="BW230" s="28"/>
      <c r="BX230" s="28"/>
      <c r="BY230" s="28"/>
      <c r="BZ230" s="28"/>
      <c r="CA230" s="28"/>
      <c r="CB230" s="28"/>
      <c r="CC230" s="28"/>
      <c r="CD230" s="40"/>
      <c r="CE230" s="40"/>
      <c r="CF230" s="40"/>
      <c r="CG230" s="40"/>
      <c r="CH230" s="40"/>
      <c r="CI230" s="40"/>
      <c r="CJ230" s="40"/>
      <c r="CK230" s="40"/>
      <c r="CL230" s="40"/>
      <c r="CM230" s="40"/>
      <c r="CN230" s="40"/>
      <c r="CO230" s="40"/>
      <c r="CP230" s="40"/>
      <c r="CQ230" s="40"/>
      <c r="CR230" s="40"/>
      <c r="CS230" s="40"/>
      <c r="CT230" s="823"/>
      <c r="CU230" s="232"/>
      <c r="CV230" s="232"/>
      <c r="CW230" s="232"/>
      <c r="CX230" s="232"/>
      <c r="CY230" s="232"/>
      <c r="CZ230" s="40"/>
      <c r="DA230" s="40"/>
      <c r="DB230" s="40"/>
      <c r="DC230" s="40"/>
      <c r="DD230" s="40"/>
      <c r="DE230" s="40"/>
      <c r="DF230" s="232"/>
      <c r="DG230" s="232"/>
      <c r="DH230" s="232"/>
      <c r="DI230" s="232"/>
      <c r="DJ230" s="232"/>
      <c r="DK230" s="232"/>
      <c r="DL230" s="232"/>
      <c r="DM230" s="232"/>
      <c r="DN230" s="232"/>
    </row>
    <row r="231" spans="1:118">
      <c r="A231" s="40"/>
      <c r="B231" s="1"/>
      <c r="C231" s="409" t="s">
        <v>1276</v>
      </c>
      <c r="D231" s="1"/>
      <c r="E231" s="273"/>
      <c r="F231" s="3"/>
      <c r="G231" s="3"/>
      <c r="H231" s="274"/>
      <c r="I231" s="28"/>
      <c r="J231" s="273"/>
      <c r="K231" s="3"/>
      <c r="L231" s="3"/>
      <c r="M231" s="274"/>
      <c r="N231" s="1"/>
      <c r="O231" s="273"/>
      <c r="P231" s="3"/>
      <c r="Q231" s="3"/>
      <c r="R231" s="274"/>
      <c r="S231" s="1"/>
      <c r="T231" s="290"/>
      <c r="U231" s="260"/>
      <c r="V231" s="260"/>
      <c r="W231" s="291"/>
      <c r="X231" s="1003"/>
      <c r="Y231" s="290"/>
      <c r="Z231" s="260"/>
      <c r="AA231" s="260"/>
      <c r="AB231" s="291"/>
      <c r="AC231" s="45"/>
      <c r="AD231" s="290">
        <f t="shared" si="349"/>
        <v>1.7882226000000001</v>
      </c>
      <c r="AE231" s="260"/>
      <c r="AF231" s="260">
        <f t="shared" si="350"/>
        <v>1.7882226000000001</v>
      </c>
      <c r="AG231" s="291">
        <f t="shared" si="351"/>
        <v>1.7882226000000001</v>
      </c>
      <c r="AH231" s="45">
        <f>+AH183/1000</f>
        <v>7.1528904000000004</v>
      </c>
      <c r="AI231" s="290">
        <f t="shared" si="352"/>
        <v>1.7882226000000001</v>
      </c>
      <c r="AJ231" s="260">
        <f t="shared" si="353"/>
        <v>1.7882226000000001</v>
      </c>
      <c r="AK231" s="260">
        <f t="shared" si="354"/>
        <v>1.7882226000000001</v>
      </c>
      <c r="AL231" s="291">
        <f t="shared" si="355"/>
        <v>1.7882226000000001</v>
      </c>
      <c r="AM231" s="45">
        <f>+AM183/1000</f>
        <v>7.1528904000000004</v>
      </c>
      <c r="AN231" s="290">
        <f t="shared" si="356"/>
        <v>1.7882226000000001</v>
      </c>
      <c r="AO231" s="260">
        <f t="shared" si="357"/>
        <v>1.7882226000000001</v>
      </c>
      <c r="AP231" s="260">
        <f t="shared" si="358"/>
        <v>1.7882226000000001</v>
      </c>
      <c r="AQ231" s="291">
        <f t="shared" si="359"/>
        <v>1.7882226000000001</v>
      </c>
      <c r="AR231" s="45">
        <f>+AR183/1000</f>
        <v>7.1528904000000004</v>
      </c>
      <c r="AS231" s="290">
        <f t="shared" si="360"/>
        <v>1.7882226000000001</v>
      </c>
      <c r="AT231" s="260">
        <f t="shared" si="361"/>
        <v>1.7882226000000001</v>
      </c>
      <c r="AU231" s="260">
        <f t="shared" si="362"/>
        <v>1.7882226000000001</v>
      </c>
      <c r="AV231" s="291">
        <f t="shared" si="363"/>
        <v>1.7882226000000001</v>
      </c>
      <c r="AW231" s="45">
        <f>+AW183/1000</f>
        <v>7.1528904000000004</v>
      </c>
      <c r="AX231" s="290">
        <f t="shared" si="364"/>
        <v>1.7882226000000001</v>
      </c>
      <c r="AY231" s="260">
        <f t="shared" si="365"/>
        <v>1.7882226000000001</v>
      </c>
      <c r="AZ231" s="260">
        <f t="shared" si="366"/>
        <v>1.7882226000000001</v>
      </c>
      <c r="BA231" s="291">
        <f t="shared" si="367"/>
        <v>1.7882226000000001</v>
      </c>
      <c r="BB231" s="45">
        <f>+BB183/1000</f>
        <v>7.1528904000000004</v>
      </c>
      <c r="BC231" s="290">
        <f t="shared" si="368"/>
        <v>1.7882226000000001</v>
      </c>
      <c r="BD231" s="260">
        <f t="shared" si="369"/>
        <v>1.7882226000000001</v>
      </c>
      <c r="BE231" s="260">
        <f t="shared" si="370"/>
        <v>1.7882226000000001</v>
      </c>
      <c r="BF231" s="291">
        <f t="shared" si="371"/>
        <v>1.7882226000000001</v>
      </c>
      <c r="BG231" s="45">
        <f>+BG183/1000</f>
        <v>7.1528904000000004</v>
      </c>
      <c r="BH231" s="290">
        <f t="shared" si="372"/>
        <v>1.7882226000000001</v>
      </c>
      <c r="BI231" s="260">
        <f t="shared" si="373"/>
        <v>1.7882226000000001</v>
      </c>
      <c r="BJ231" s="260">
        <f t="shared" si="374"/>
        <v>1.7882226000000001</v>
      </c>
      <c r="BK231" s="291">
        <f t="shared" si="375"/>
        <v>1.7882226000000001</v>
      </c>
      <c r="BL231" s="45">
        <f>+BL183/1000</f>
        <v>7.1528904000000004</v>
      </c>
      <c r="BM231" s="290">
        <f t="shared" si="376"/>
        <v>1.7882226000000001</v>
      </c>
      <c r="BN231" s="260">
        <f t="shared" si="377"/>
        <v>1.7882226000000001</v>
      </c>
      <c r="BO231" s="260">
        <f t="shared" si="378"/>
        <v>1.7882226000000001</v>
      </c>
      <c r="BP231" s="291">
        <f t="shared" si="379"/>
        <v>1.7882226000000001</v>
      </c>
      <c r="BQ231" s="45">
        <f>+BQ183/1000</f>
        <v>7.1528904000000004</v>
      </c>
      <c r="BR231" s="40"/>
      <c r="BS231" s="40"/>
      <c r="BT231" s="40"/>
      <c r="BU231" s="232"/>
      <c r="BV231" s="28"/>
      <c r="BW231" s="28"/>
      <c r="BX231" s="28"/>
      <c r="BY231" s="28"/>
      <c r="BZ231" s="28"/>
      <c r="CA231" s="28"/>
      <c r="CB231" s="28"/>
      <c r="CC231" s="28"/>
      <c r="CD231" s="40"/>
      <c r="CE231" s="40"/>
      <c r="CF231" s="40"/>
      <c r="CG231" s="40"/>
      <c r="CH231" s="40"/>
      <c r="CI231" s="40"/>
      <c r="CJ231" s="40"/>
      <c r="CK231" s="40"/>
      <c r="CL231" s="40"/>
      <c r="CM231" s="40"/>
      <c r="CN231" s="40"/>
      <c r="CO231" s="40"/>
      <c r="CP231" s="40"/>
      <c r="CQ231" s="40"/>
      <c r="CR231" s="40"/>
      <c r="CS231" s="40"/>
      <c r="CT231" s="823"/>
      <c r="CU231" s="232"/>
      <c r="CV231" s="232"/>
      <c r="CW231" s="232"/>
      <c r="CX231" s="232"/>
      <c r="CY231" s="232"/>
      <c r="CZ231" s="40"/>
      <c r="DA231" s="40"/>
      <c r="DB231" s="40"/>
      <c r="DC231" s="40"/>
      <c r="DD231" s="40"/>
      <c r="DE231" s="40"/>
      <c r="DF231" s="232"/>
      <c r="DG231" s="232"/>
      <c r="DH231" s="232"/>
      <c r="DI231" s="232"/>
      <c r="DJ231" s="232"/>
      <c r="DK231" s="232"/>
      <c r="DL231" s="232"/>
      <c r="DM231" s="232"/>
      <c r="DN231" s="232"/>
    </row>
    <row r="232" spans="1:118">
      <c r="A232" s="40"/>
      <c r="B232" s="1"/>
      <c r="C232" s="409" t="s">
        <v>641</v>
      </c>
      <c r="D232" s="1"/>
      <c r="E232" s="273"/>
      <c r="F232" s="3"/>
      <c r="G232" s="3"/>
      <c r="H232" s="274"/>
      <c r="I232" s="28"/>
      <c r="J232" s="273"/>
      <c r="K232" s="3"/>
      <c r="L232" s="3"/>
      <c r="M232" s="274"/>
      <c r="N232" s="1"/>
      <c r="O232" s="273"/>
      <c r="P232" s="3"/>
      <c r="Q232" s="3"/>
      <c r="R232" s="274"/>
      <c r="S232" s="1"/>
      <c r="T232" s="290"/>
      <c r="U232" s="260"/>
      <c r="V232" s="260"/>
      <c r="W232" s="291"/>
      <c r="X232" s="1003"/>
      <c r="Y232" s="290">
        <f>AC232/4</f>
        <v>0</v>
      </c>
      <c r="Z232" s="260">
        <f>AC232/4</f>
        <v>0</v>
      </c>
      <c r="AA232" s="260">
        <f>AC232/4</f>
        <v>0</v>
      </c>
      <c r="AB232" s="291">
        <f>AC232/4</f>
        <v>0</v>
      </c>
      <c r="AC232" s="45"/>
      <c r="AD232" s="290">
        <f t="shared" si="349"/>
        <v>1.6291410000000002</v>
      </c>
      <c r="AE232" s="260">
        <f>AH232/4</f>
        <v>1.6291410000000002</v>
      </c>
      <c r="AF232" s="260">
        <f t="shared" si="350"/>
        <v>1.6291410000000002</v>
      </c>
      <c r="AG232" s="291">
        <f t="shared" si="351"/>
        <v>1.6291410000000002</v>
      </c>
      <c r="AH232" s="45">
        <f>+AH184/1000</f>
        <v>6.5165640000000007</v>
      </c>
      <c r="AI232" s="290">
        <f t="shared" si="352"/>
        <v>1.5757049999999999</v>
      </c>
      <c r="AJ232" s="260">
        <f t="shared" si="353"/>
        <v>1.5757049999999999</v>
      </c>
      <c r="AK232" s="260">
        <f t="shared" si="354"/>
        <v>1.5757049999999999</v>
      </c>
      <c r="AL232" s="291">
        <f t="shared" si="355"/>
        <v>1.5757049999999999</v>
      </c>
      <c r="AM232" s="45">
        <f>+AM184/1000</f>
        <v>6.3028199999999996</v>
      </c>
      <c r="AN232" s="290">
        <f t="shared" si="356"/>
        <v>1.3323959999999999</v>
      </c>
      <c r="AO232" s="260">
        <f t="shared" si="357"/>
        <v>1.3323959999999999</v>
      </c>
      <c r="AP232" s="260">
        <f t="shared" si="358"/>
        <v>1.3323959999999999</v>
      </c>
      <c r="AQ232" s="291">
        <f t="shared" si="359"/>
        <v>1.3323959999999999</v>
      </c>
      <c r="AR232" s="45">
        <f>+AR184/1000</f>
        <v>5.3295839999999997</v>
      </c>
      <c r="AS232" s="290">
        <f t="shared" si="360"/>
        <v>1.8579960000000002</v>
      </c>
      <c r="AT232" s="260">
        <f t="shared" si="361"/>
        <v>1.8579960000000002</v>
      </c>
      <c r="AU232" s="260">
        <f t="shared" si="362"/>
        <v>1.8579960000000002</v>
      </c>
      <c r="AV232" s="291">
        <f t="shared" si="363"/>
        <v>1.8579960000000002</v>
      </c>
      <c r="AW232" s="45">
        <f>+AW184/1000</f>
        <v>7.4319840000000008</v>
      </c>
      <c r="AX232" s="290">
        <f t="shared" si="364"/>
        <v>3.0879000000000003</v>
      </c>
      <c r="AY232" s="260">
        <f t="shared" si="365"/>
        <v>3.0879000000000003</v>
      </c>
      <c r="AZ232" s="260">
        <f t="shared" si="366"/>
        <v>3.0879000000000003</v>
      </c>
      <c r="BA232" s="291">
        <f t="shared" si="367"/>
        <v>3.0879000000000003</v>
      </c>
      <c r="BB232" s="45">
        <f>+BB184/1000</f>
        <v>12.351600000000001</v>
      </c>
      <c r="BC232" s="290">
        <f t="shared" si="368"/>
        <v>3.0879000000000003</v>
      </c>
      <c r="BD232" s="260">
        <f t="shared" si="369"/>
        <v>3.0879000000000003</v>
      </c>
      <c r="BE232" s="260">
        <f t="shared" si="370"/>
        <v>3.0879000000000003</v>
      </c>
      <c r="BF232" s="291">
        <f t="shared" si="371"/>
        <v>3.0879000000000003</v>
      </c>
      <c r="BG232" s="45">
        <f>+BG184/1000</f>
        <v>12.351600000000001</v>
      </c>
      <c r="BH232" s="290">
        <f t="shared" si="372"/>
        <v>3.0879000000000003</v>
      </c>
      <c r="BI232" s="260">
        <f t="shared" si="373"/>
        <v>3.0879000000000003</v>
      </c>
      <c r="BJ232" s="260">
        <f t="shared" si="374"/>
        <v>3.0879000000000003</v>
      </c>
      <c r="BK232" s="291">
        <f t="shared" si="375"/>
        <v>3.0879000000000003</v>
      </c>
      <c r="BL232" s="45">
        <f>+BL184/1000</f>
        <v>12.351600000000001</v>
      </c>
      <c r="BM232" s="290">
        <f t="shared" si="376"/>
        <v>3.0879000000000003</v>
      </c>
      <c r="BN232" s="260">
        <f t="shared" si="377"/>
        <v>3.0879000000000003</v>
      </c>
      <c r="BO232" s="260">
        <f t="shared" si="378"/>
        <v>3.0879000000000003</v>
      </c>
      <c r="BP232" s="291">
        <f t="shared" si="379"/>
        <v>3.0879000000000003</v>
      </c>
      <c r="BQ232" s="45">
        <f>+BQ184/1000</f>
        <v>12.351600000000001</v>
      </c>
      <c r="BR232" s="40"/>
      <c r="BS232" s="40"/>
      <c r="BT232" s="40"/>
      <c r="BU232" s="232"/>
      <c r="BV232" s="28"/>
      <c r="BW232" s="28"/>
      <c r="BX232" s="28"/>
      <c r="BY232" s="28"/>
      <c r="BZ232" s="28"/>
      <c r="CA232" s="28"/>
      <c r="CB232" s="28"/>
      <c r="CC232" s="28"/>
      <c r="CD232" s="40"/>
      <c r="CE232" s="40"/>
      <c r="CF232" s="40"/>
      <c r="CG232" s="40"/>
      <c r="CH232" s="40"/>
      <c r="CI232" s="40"/>
      <c r="CJ232" s="40"/>
      <c r="CK232" s="40"/>
      <c r="CL232" s="40"/>
      <c r="CM232" s="40"/>
      <c r="CN232" s="40"/>
      <c r="CO232" s="40"/>
      <c r="CP232" s="40"/>
      <c r="CQ232" s="40"/>
      <c r="CR232" s="40"/>
      <c r="CS232" s="40"/>
      <c r="CT232" s="823"/>
      <c r="CU232" s="232"/>
      <c r="CV232" s="232"/>
      <c r="CW232" s="232"/>
      <c r="CX232" s="232"/>
      <c r="CY232" s="232"/>
      <c r="CZ232" s="40"/>
      <c r="DA232" s="40"/>
      <c r="DB232" s="40"/>
      <c r="DC232" s="40"/>
      <c r="DD232" s="40"/>
      <c r="DE232" s="40"/>
      <c r="DF232" s="232"/>
      <c r="DG232" s="232"/>
      <c r="DH232" s="232"/>
      <c r="DI232" s="232"/>
      <c r="DJ232" s="232"/>
      <c r="DK232" s="232"/>
      <c r="DL232" s="232"/>
      <c r="DM232" s="232"/>
      <c r="DN232" s="232"/>
    </row>
    <row r="233" spans="1:118">
      <c r="A233" s="40"/>
      <c r="B233" s="1"/>
      <c r="C233" s="409" t="s">
        <v>1275</v>
      </c>
      <c r="D233" s="1"/>
      <c r="E233" s="273"/>
      <c r="F233" s="3"/>
      <c r="G233" s="3"/>
      <c r="H233" s="274"/>
      <c r="I233" s="28"/>
      <c r="J233" s="273"/>
      <c r="K233" s="3"/>
      <c r="L233" s="3"/>
      <c r="M233" s="274"/>
      <c r="N233" s="1"/>
      <c r="O233" s="273"/>
      <c r="P233" s="3"/>
      <c r="Q233" s="3"/>
      <c r="R233" s="274"/>
      <c r="S233" s="1"/>
      <c r="T233" s="290"/>
      <c r="U233" s="260"/>
      <c r="V233" s="260"/>
      <c r="W233" s="291"/>
      <c r="X233" s="1003"/>
      <c r="Y233" s="290">
        <f>AC233/4</f>
        <v>0</v>
      </c>
      <c r="Z233" s="260">
        <f>AC233/4</f>
        <v>0</v>
      </c>
      <c r="AA233" s="260">
        <f>AC233/4</f>
        <v>0</v>
      </c>
      <c r="AB233" s="291">
        <f>AC233/4</f>
        <v>0</v>
      </c>
      <c r="AC233" s="45"/>
      <c r="AD233" s="290">
        <f t="shared" si="349"/>
        <v>2.2193459999999998</v>
      </c>
      <c r="AE233" s="260">
        <f>AH233/4</f>
        <v>2.2193459999999998</v>
      </c>
      <c r="AF233" s="260">
        <f t="shared" si="350"/>
        <v>2.2193459999999998</v>
      </c>
      <c r="AG233" s="291">
        <f t="shared" si="351"/>
        <v>2.2193459999999998</v>
      </c>
      <c r="AH233" s="45">
        <f>+AH186/1000</f>
        <v>8.8773839999999993</v>
      </c>
      <c r="AI233" s="290">
        <f t="shared" si="352"/>
        <v>2.2193459999999998</v>
      </c>
      <c r="AJ233" s="260">
        <f t="shared" si="353"/>
        <v>2.2193459999999998</v>
      </c>
      <c r="AK233" s="260">
        <f t="shared" si="354"/>
        <v>2.2193459999999998</v>
      </c>
      <c r="AL233" s="291">
        <f t="shared" si="355"/>
        <v>2.2193459999999998</v>
      </c>
      <c r="AM233" s="45">
        <f>+AM186/1000</f>
        <v>8.8773839999999993</v>
      </c>
      <c r="AN233" s="290">
        <f t="shared" si="356"/>
        <v>2.2193459999999998</v>
      </c>
      <c r="AO233" s="260">
        <f t="shared" si="357"/>
        <v>2.2193459999999998</v>
      </c>
      <c r="AP233" s="260">
        <f t="shared" si="358"/>
        <v>2.2193459999999998</v>
      </c>
      <c r="AQ233" s="291">
        <f t="shared" si="359"/>
        <v>2.2193459999999998</v>
      </c>
      <c r="AR233" s="45">
        <f>+AR186/1000</f>
        <v>8.8773839999999993</v>
      </c>
      <c r="AS233" s="290">
        <f t="shared" si="360"/>
        <v>3.6502372499999991</v>
      </c>
      <c r="AT233" s="260">
        <f t="shared" si="361"/>
        <v>3.6502372499999991</v>
      </c>
      <c r="AU233" s="260">
        <f t="shared" si="362"/>
        <v>3.6502372499999991</v>
      </c>
      <c r="AV233" s="291">
        <f t="shared" si="363"/>
        <v>3.6502372499999991</v>
      </c>
      <c r="AW233" s="45">
        <f>+AW186/1000</f>
        <v>14.600948999999996</v>
      </c>
      <c r="AX233" s="290">
        <f t="shared" si="364"/>
        <v>2.2193459999999994</v>
      </c>
      <c r="AY233" s="260">
        <f t="shared" si="365"/>
        <v>2.2193459999999994</v>
      </c>
      <c r="AZ233" s="260">
        <f t="shared" si="366"/>
        <v>2.2193459999999994</v>
      </c>
      <c r="BA233" s="291">
        <f t="shared" si="367"/>
        <v>2.2193459999999994</v>
      </c>
      <c r="BB233" s="45">
        <f>+(BB186-BB369)/1000</f>
        <v>8.8773839999999975</v>
      </c>
      <c r="BC233" s="290">
        <f t="shared" si="368"/>
        <v>2.2193459999999994</v>
      </c>
      <c r="BD233" s="260">
        <f t="shared" si="369"/>
        <v>2.2193459999999994</v>
      </c>
      <c r="BE233" s="260">
        <f t="shared" si="370"/>
        <v>2.2193459999999994</v>
      </c>
      <c r="BF233" s="291">
        <f t="shared" si="371"/>
        <v>2.2193459999999994</v>
      </c>
      <c r="BG233" s="45">
        <f>+(BG186-BG369)/1000</f>
        <v>8.8773839999999975</v>
      </c>
      <c r="BH233" s="290">
        <f t="shared" si="372"/>
        <v>2.2193459999999994</v>
      </c>
      <c r="BI233" s="260">
        <f t="shared" si="373"/>
        <v>2.2193459999999994</v>
      </c>
      <c r="BJ233" s="260">
        <f t="shared" si="374"/>
        <v>2.2193459999999994</v>
      </c>
      <c r="BK233" s="291">
        <f t="shared" si="375"/>
        <v>2.2193459999999994</v>
      </c>
      <c r="BL233" s="45">
        <f>+(BL186-BL369)/1000</f>
        <v>8.8773839999999975</v>
      </c>
      <c r="BM233" s="290">
        <f t="shared" si="376"/>
        <v>2.2193459999999994</v>
      </c>
      <c r="BN233" s="260">
        <f t="shared" si="377"/>
        <v>2.2193459999999994</v>
      </c>
      <c r="BO233" s="260">
        <f t="shared" si="378"/>
        <v>2.2193459999999994</v>
      </c>
      <c r="BP233" s="291">
        <f t="shared" si="379"/>
        <v>2.2193459999999994</v>
      </c>
      <c r="BQ233" s="45">
        <f>+(BQ186-BQ369)/1000</f>
        <v>8.8773839999999975</v>
      </c>
      <c r="BR233" s="40"/>
      <c r="BS233" s="40"/>
      <c r="BT233" s="40"/>
      <c r="BU233" s="232"/>
      <c r="BV233" s="28"/>
      <c r="BW233" s="28"/>
      <c r="BX233" s="28"/>
      <c r="BY233" s="28"/>
      <c r="BZ233" s="28"/>
      <c r="CA233" s="28"/>
      <c r="CB233" s="28"/>
      <c r="CC233" s="28"/>
      <c r="CD233" s="40"/>
      <c r="CE233" s="40"/>
      <c r="CF233" s="40"/>
      <c r="CG233" s="40"/>
      <c r="CH233" s="40"/>
      <c r="CI233" s="40"/>
      <c r="CJ233" s="40"/>
      <c r="CK233" s="40"/>
      <c r="CL233" s="40"/>
      <c r="CM233" s="40"/>
      <c r="CN233" s="40"/>
      <c r="CO233" s="40"/>
      <c r="CP233" s="40"/>
      <c r="CQ233" s="40"/>
      <c r="CR233" s="40"/>
      <c r="CS233" s="40"/>
      <c r="CT233" s="823"/>
      <c r="CU233" s="232"/>
      <c r="CV233" s="232"/>
      <c r="CW233" s="232"/>
      <c r="CX233" s="232"/>
      <c r="CY233" s="232"/>
      <c r="CZ233" s="40"/>
      <c r="DA233" s="40"/>
      <c r="DB233" s="40"/>
      <c r="DC233" s="40"/>
      <c r="DD233" s="40"/>
      <c r="DE233" s="40"/>
      <c r="DF233" s="232"/>
      <c r="DG233" s="232"/>
      <c r="DH233" s="232"/>
      <c r="DI233" s="232"/>
      <c r="DJ233" s="232"/>
      <c r="DK233" s="232"/>
      <c r="DL233" s="232"/>
      <c r="DM233" s="232"/>
      <c r="DN233" s="232"/>
    </row>
    <row r="234" spans="1:118" s="34" customFormat="1">
      <c r="A234" s="156"/>
      <c r="B234" s="1"/>
      <c r="C234" s="409" t="s">
        <v>432</v>
      </c>
      <c r="D234" s="1"/>
      <c r="E234" s="273"/>
      <c r="F234" s="3"/>
      <c r="G234" s="3"/>
      <c r="H234" s="274"/>
      <c r="I234" s="28"/>
      <c r="J234" s="273"/>
      <c r="K234" s="3"/>
      <c r="L234" s="3"/>
      <c r="M234" s="274"/>
      <c r="N234" s="1"/>
      <c r="O234" s="273"/>
      <c r="P234" s="3"/>
      <c r="Q234" s="3"/>
      <c r="R234" s="274"/>
      <c r="S234" s="1"/>
      <c r="T234" s="290"/>
      <c r="U234" s="260"/>
      <c r="V234" s="260"/>
      <c r="W234" s="291"/>
      <c r="X234" s="1003"/>
      <c r="Y234" s="290">
        <f>AC234/4</f>
        <v>0</v>
      </c>
      <c r="Z234" s="260">
        <f>AC234/4</f>
        <v>0</v>
      </c>
      <c r="AA234" s="260">
        <f>AC234/4</f>
        <v>0</v>
      </c>
      <c r="AB234" s="291">
        <f>AC234/4</f>
        <v>0</v>
      </c>
      <c r="AC234" s="45"/>
      <c r="AD234" s="290">
        <f t="shared" si="349"/>
        <v>3.1979474999999997</v>
      </c>
      <c r="AE234" s="260">
        <f>AH234/4</f>
        <v>3.1979474999999997</v>
      </c>
      <c r="AF234" s="260">
        <f t="shared" si="350"/>
        <v>3.1979474999999997</v>
      </c>
      <c r="AG234" s="291">
        <f t="shared" si="351"/>
        <v>3.1979474999999997</v>
      </c>
      <c r="AH234" s="45">
        <f>+AH185/1000</f>
        <v>12.791789999999999</v>
      </c>
      <c r="AI234" s="290">
        <f t="shared" si="352"/>
        <v>2.0312250000000001</v>
      </c>
      <c r="AJ234" s="260">
        <f t="shared" si="353"/>
        <v>2.0312250000000001</v>
      </c>
      <c r="AK234" s="260">
        <f t="shared" si="354"/>
        <v>2.0312250000000001</v>
      </c>
      <c r="AL234" s="291">
        <f t="shared" si="355"/>
        <v>2.0312250000000001</v>
      </c>
      <c r="AM234" s="45">
        <f>+AM185/1000</f>
        <v>8.1249000000000002</v>
      </c>
      <c r="AN234" s="290">
        <f t="shared" si="356"/>
        <v>1.8281025000000002</v>
      </c>
      <c r="AO234" s="260">
        <f t="shared" si="357"/>
        <v>1.8281025000000002</v>
      </c>
      <c r="AP234" s="260">
        <f t="shared" si="358"/>
        <v>1.8281025000000002</v>
      </c>
      <c r="AQ234" s="291">
        <f t="shared" si="359"/>
        <v>1.8281025000000002</v>
      </c>
      <c r="AR234" s="45">
        <f>+AR185/1000</f>
        <v>7.3124100000000007</v>
      </c>
      <c r="AS234" s="290">
        <f t="shared" si="360"/>
        <v>2.0312250000000001</v>
      </c>
      <c r="AT234" s="260">
        <f t="shared" si="361"/>
        <v>2.0312250000000001</v>
      </c>
      <c r="AU234" s="260">
        <f t="shared" si="362"/>
        <v>2.0312250000000001</v>
      </c>
      <c r="AV234" s="291">
        <f t="shared" si="363"/>
        <v>2.0312250000000001</v>
      </c>
      <c r="AW234" s="45">
        <f>+AW185/1000</f>
        <v>8.1249000000000002</v>
      </c>
      <c r="AX234" s="290">
        <f t="shared" si="364"/>
        <v>2.3144193749999999</v>
      </c>
      <c r="AY234" s="260">
        <f t="shared" si="365"/>
        <v>2.3144193749999999</v>
      </c>
      <c r="AZ234" s="260">
        <f t="shared" si="366"/>
        <v>2.3144193749999999</v>
      </c>
      <c r="BA234" s="291">
        <f t="shared" si="367"/>
        <v>2.3144193749999999</v>
      </c>
      <c r="BB234" s="45">
        <f>+BB185/1000</f>
        <v>9.2576774999999998</v>
      </c>
      <c r="BC234" s="290">
        <f t="shared" si="368"/>
        <v>2.3144193750000004</v>
      </c>
      <c r="BD234" s="260">
        <f t="shared" si="369"/>
        <v>2.3144193750000004</v>
      </c>
      <c r="BE234" s="260">
        <f t="shared" si="370"/>
        <v>2.3144193750000004</v>
      </c>
      <c r="BF234" s="291">
        <f t="shared" si="371"/>
        <v>2.3144193750000004</v>
      </c>
      <c r="BG234" s="45">
        <f>+BG185/1000</f>
        <v>9.2576775000000016</v>
      </c>
      <c r="BH234" s="290">
        <f t="shared" si="372"/>
        <v>2.3144193750000004</v>
      </c>
      <c r="BI234" s="260">
        <f t="shared" si="373"/>
        <v>2.3144193750000004</v>
      </c>
      <c r="BJ234" s="260">
        <f t="shared" si="374"/>
        <v>2.3144193750000004</v>
      </c>
      <c r="BK234" s="291">
        <f t="shared" si="375"/>
        <v>2.3144193750000004</v>
      </c>
      <c r="BL234" s="45">
        <f>+BL185/1000</f>
        <v>9.2576775000000016</v>
      </c>
      <c r="BM234" s="290">
        <f t="shared" si="376"/>
        <v>2.5442325000000001</v>
      </c>
      <c r="BN234" s="260">
        <f t="shared" si="377"/>
        <v>2.5442325000000001</v>
      </c>
      <c r="BO234" s="260">
        <f t="shared" si="378"/>
        <v>2.5442325000000001</v>
      </c>
      <c r="BP234" s="291">
        <f t="shared" si="379"/>
        <v>2.5442325000000001</v>
      </c>
      <c r="BQ234" s="45">
        <f>+BQ185/1000</f>
        <v>10.17693</v>
      </c>
      <c r="BR234" s="40"/>
      <c r="BS234" s="156"/>
      <c r="BT234" s="156"/>
      <c r="BV234" s="28"/>
      <c r="BW234" s="28"/>
      <c r="BX234" s="28"/>
      <c r="BY234" s="28"/>
      <c r="BZ234" s="28"/>
      <c r="CA234" s="28"/>
      <c r="CB234" s="28"/>
      <c r="CC234" s="28"/>
      <c r="CD234" s="1087"/>
      <c r="CE234" s="156"/>
      <c r="CF234" s="156"/>
      <c r="CG234" s="156"/>
      <c r="CH234" s="156"/>
      <c r="CI234" s="156"/>
      <c r="CJ234" s="156"/>
      <c r="CK234" s="156"/>
      <c r="CL234" s="156"/>
      <c r="CM234" s="156"/>
      <c r="CN234" s="156"/>
      <c r="CO234" s="156"/>
      <c r="CP234" s="156"/>
      <c r="CQ234" s="156"/>
      <c r="CR234" s="156"/>
      <c r="CS234" s="156"/>
      <c r="CT234" s="954"/>
      <c r="CZ234" s="156"/>
      <c r="DA234" s="156"/>
      <c r="DB234" s="156"/>
      <c r="DC234" s="156"/>
      <c r="DD234" s="156"/>
      <c r="DE234" s="156"/>
    </row>
    <row r="235" spans="1:118">
      <c r="A235" s="40"/>
      <c r="B235" s="1"/>
      <c r="C235" s="226" t="s">
        <v>849</v>
      </c>
      <c r="D235" s="1"/>
      <c r="E235" s="273"/>
      <c r="F235" s="3"/>
      <c r="G235" s="3"/>
      <c r="H235" s="274"/>
      <c r="I235" s="28"/>
      <c r="J235" s="273"/>
      <c r="K235" s="3"/>
      <c r="L235" s="3"/>
      <c r="M235" s="274"/>
      <c r="N235" s="1"/>
      <c r="O235" s="273"/>
      <c r="P235" s="3"/>
      <c r="Q235" s="3"/>
      <c r="R235" s="274"/>
      <c r="S235" s="1"/>
      <c r="T235" s="273"/>
      <c r="U235" s="3"/>
      <c r="V235" s="3"/>
      <c r="W235" s="274"/>
      <c r="X235" s="883"/>
      <c r="Y235" s="273"/>
      <c r="Z235" s="3"/>
      <c r="AA235" s="3"/>
      <c r="AB235" s="274"/>
      <c r="AC235" s="1"/>
      <c r="AD235" s="290">
        <f>+AD187/1000</f>
        <v>1.3056779999999999</v>
      </c>
      <c r="AE235" s="3"/>
      <c r="AF235" s="260">
        <f t="shared" ref="AF235:AH236" si="380">+AF187/1000</f>
        <v>1.3056779999999999</v>
      </c>
      <c r="AG235" s="291">
        <f t="shared" si="380"/>
        <v>1.3056779999999999</v>
      </c>
      <c r="AH235" s="45">
        <f t="shared" si="380"/>
        <v>5.2227119999999996</v>
      </c>
      <c r="AI235" s="290">
        <f t="shared" si="352"/>
        <v>1.3056779999999999</v>
      </c>
      <c r="AJ235" s="260">
        <f t="shared" si="353"/>
        <v>1.3056779999999999</v>
      </c>
      <c r="AK235" s="260">
        <f t="shared" si="354"/>
        <v>1.3056779999999999</v>
      </c>
      <c r="AL235" s="291">
        <f t="shared" si="355"/>
        <v>1.3056779999999999</v>
      </c>
      <c r="AM235" s="45">
        <f>+AM187/1000</f>
        <v>5.2227119999999996</v>
      </c>
      <c r="AN235" s="290">
        <f t="shared" si="356"/>
        <v>1.3727467499999997</v>
      </c>
      <c r="AO235" s="260">
        <f t="shared" si="357"/>
        <v>1.3727467499999997</v>
      </c>
      <c r="AP235" s="260">
        <f t="shared" si="358"/>
        <v>1.3727467499999997</v>
      </c>
      <c r="AQ235" s="291">
        <f t="shared" si="359"/>
        <v>1.3727467499999997</v>
      </c>
      <c r="AR235" s="45">
        <f>+AR187/1000</f>
        <v>5.4909869999999987</v>
      </c>
      <c r="AS235" s="290">
        <f t="shared" si="360"/>
        <v>1.6013279999999994</v>
      </c>
      <c r="AT235" s="260">
        <f t="shared" si="361"/>
        <v>1.6013279999999994</v>
      </c>
      <c r="AU235" s="260">
        <f t="shared" si="362"/>
        <v>1.6013279999999994</v>
      </c>
      <c r="AV235" s="291">
        <f t="shared" si="363"/>
        <v>1.6013279999999994</v>
      </c>
      <c r="AW235" s="45">
        <f>+AW187/1000</f>
        <v>6.4053119999999977</v>
      </c>
      <c r="AX235" s="290">
        <f t="shared" si="364"/>
        <v>1.6287029999999996</v>
      </c>
      <c r="AY235" s="260">
        <f t="shared" si="365"/>
        <v>1.6287029999999996</v>
      </c>
      <c r="AZ235" s="260">
        <f t="shared" si="366"/>
        <v>1.6287029999999996</v>
      </c>
      <c r="BA235" s="291">
        <f t="shared" si="367"/>
        <v>1.6287029999999996</v>
      </c>
      <c r="BB235" s="45">
        <f>+BB187/1000</f>
        <v>6.5148119999999983</v>
      </c>
      <c r="BC235" s="290">
        <f t="shared" si="368"/>
        <v>1.6287029999999996</v>
      </c>
      <c r="BD235" s="260">
        <f t="shared" si="369"/>
        <v>1.6287029999999996</v>
      </c>
      <c r="BE235" s="260">
        <f t="shared" si="370"/>
        <v>1.6287029999999996</v>
      </c>
      <c r="BF235" s="291">
        <f t="shared" si="371"/>
        <v>1.6287029999999996</v>
      </c>
      <c r="BG235" s="45">
        <f>+BG187/1000</f>
        <v>6.5148119999999983</v>
      </c>
      <c r="BH235" s="290">
        <f t="shared" si="372"/>
        <v>1.6287029999999996</v>
      </c>
      <c r="BI235" s="260">
        <f t="shared" si="373"/>
        <v>1.6287029999999996</v>
      </c>
      <c r="BJ235" s="260">
        <f t="shared" si="374"/>
        <v>1.6287029999999996</v>
      </c>
      <c r="BK235" s="291">
        <f t="shared" si="375"/>
        <v>1.6287029999999996</v>
      </c>
      <c r="BL235" s="45">
        <f>+BL187/1000</f>
        <v>6.5148119999999983</v>
      </c>
      <c r="BM235" s="290">
        <f t="shared" si="376"/>
        <v>1.6287029999999996</v>
      </c>
      <c r="BN235" s="260">
        <f t="shared" si="377"/>
        <v>1.6287029999999996</v>
      </c>
      <c r="BO235" s="260">
        <f t="shared" si="378"/>
        <v>1.6287029999999996</v>
      </c>
      <c r="BP235" s="291">
        <f t="shared" si="379"/>
        <v>1.6287029999999996</v>
      </c>
      <c r="BQ235" s="45">
        <f>+BQ187/1000</f>
        <v>6.5148119999999983</v>
      </c>
      <c r="BS235" s="40"/>
      <c r="BT235" s="40"/>
      <c r="BU235" s="232"/>
      <c r="BV235" s="28"/>
      <c r="BW235" s="28"/>
      <c r="BX235" s="28"/>
      <c r="BY235" s="28"/>
      <c r="BZ235" s="28"/>
      <c r="CA235" s="28"/>
      <c r="CB235" s="28"/>
      <c r="CC235" s="28"/>
      <c r="CD235" s="1079"/>
      <c r="CE235" s="40"/>
      <c r="CF235" s="40"/>
      <c r="CG235" s="40"/>
      <c r="CH235" s="40"/>
      <c r="CI235" s="40"/>
      <c r="CJ235" s="40"/>
      <c r="CK235" s="40"/>
      <c r="CL235" s="40"/>
      <c r="CM235" s="40"/>
      <c r="CN235" s="40"/>
      <c r="CO235" s="40"/>
      <c r="CP235" s="40"/>
      <c r="CQ235" s="40"/>
      <c r="CR235" s="40"/>
      <c r="CS235" s="40"/>
      <c r="CT235" s="823"/>
      <c r="CU235" s="232"/>
      <c r="CV235" s="232"/>
      <c r="CW235" s="232"/>
      <c r="CX235" s="232"/>
      <c r="CY235" s="232"/>
      <c r="CZ235" s="40"/>
      <c r="DA235" s="40"/>
      <c r="DB235" s="40"/>
      <c r="DC235" s="40"/>
      <c r="DD235" s="40"/>
      <c r="DE235" s="40"/>
      <c r="DF235" s="232"/>
      <c r="DG235" s="232"/>
      <c r="DH235" s="232"/>
      <c r="DI235" s="232"/>
      <c r="DJ235" s="232"/>
      <c r="DK235" s="232"/>
      <c r="DL235" s="232"/>
      <c r="DM235" s="232"/>
      <c r="DN235" s="232"/>
    </row>
    <row r="236" spans="1:118">
      <c r="A236" s="40"/>
      <c r="C236" s="226" t="s">
        <v>62</v>
      </c>
      <c r="Y236" s="273"/>
      <c r="Z236" s="3"/>
      <c r="AA236" s="3"/>
      <c r="AB236" s="274"/>
      <c r="AD236" s="290">
        <f>+AD188/1000</f>
        <v>1.02054</v>
      </c>
      <c r="AE236" s="3"/>
      <c r="AF236" s="260">
        <f t="shared" si="380"/>
        <v>0.85848000000000002</v>
      </c>
      <c r="AG236" s="291">
        <f t="shared" si="380"/>
        <v>1.02054</v>
      </c>
      <c r="AH236" s="45">
        <f t="shared" si="380"/>
        <v>3.7580399999999998</v>
      </c>
      <c r="AI236" s="290">
        <f t="shared" si="352"/>
        <v>1.02054</v>
      </c>
      <c r="AJ236" s="260">
        <f t="shared" si="353"/>
        <v>1.02054</v>
      </c>
      <c r="AK236" s="260">
        <f t="shared" si="354"/>
        <v>1.02054</v>
      </c>
      <c r="AL236" s="291">
        <f t="shared" si="355"/>
        <v>1.02054</v>
      </c>
      <c r="AM236" s="45">
        <f>+AM188/1000</f>
        <v>4.08216</v>
      </c>
      <c r="AN236" s="290">
        <f t="shared" si="356"/>
        <v>1.0479149999999999</v>
      </c>
      <c r="AO236" s="260">
        <f t="shared" si="357"/>
        <v>1.0479149999999999</v>
      </c>
      <c r="AP236" s="260">
        <f t="shared" si="358"/>
        <v>1.0479149999999999</v>
      </c>
      <c r="AQ236" s="291">
        <f t="shared" si="359"/>
        <v>1.0479149999999999</v>
      </c>
      <c r="AR236" s="45">
        <f>+AR188/1000</f>
        <v>4.1916599999999997</v>
      </c>
      <c r="AS236" s="290">
        <f t="shared" si="360"/>
        <v>1.0074000000000001</v>
      </c>
      <c r="AT236" s="260">
        <f t="shared" si="361"/>
        <v>1.0074000000000001</v>
      </c>
      <c r="AU236" s="260">
        <f t="shared" si="362"/>
        <v>1.0074000000000001</v>
      </c>
      <c r="AV236" s="291">
        <f t="shared" si="363"/>
        <v>1.0074000000000001</v>
      </c>
      <c r="AW236" s="45">
        <f>+AW188/1000</f>
        <v>4.0296000000000003</v>
      </c>
      <c r="AX236" s="290">
        <f t="shared" si="364"/>
        <v>1.0752899999999999</v>
      </c>
      <c r="AY236" s="260">
        <f t="shared" si="365"/>
        <v>1.0752899999999999</v>
      </c>
      <c r="AZ236" s="260">
        <f t="shared" si="366"/>
        <v>1.0752899999999999</v>
      </c>
      <c r="BA236" s="291">
        <f t="shared" si="367"/>
        <v>1.0752899999999999</v>
      </c>
      <c r="BB236" s="45">
        <f>+BB188/1000</f>
        <v>4.3011599999999994</v>
      </c>
      <c r="BC236" s="290">
        <f t="shared" si="368"/>
        <v>1.0752899999999999</v>
      </c>
      <c r="BD236" s="260">
        <f t="shared" si="369"/>
        <v>1.0752899999999999</v>
      </c>
      <c r="BE236" s="260">
        <f t="shared" si="370"/>
        <v>1.0752899999999999</v>
      </c>
      <c r="BF236" s="291">
        <f t="shared" si="371"/>
        <v>1.0752899999999999</v>
      </c>
      <c r="BG236" s="45">
        <f>+BG188/1000</f>
        <v>4.3011599999999994</v>
      </c>
      <c r="BH236" s="290">
        <f t="shared" si="372"/>
        <v>1.0752899999999999</v>
      </c>
      <c r="BI236" s="260">
        <f t="shared" si="373"/>
        <v>1.0752899999999999</v>
      </c>
      <c r="BJ236" s="260">
        <f t="shared" si="374"/>
        <v>1.0752899999999999</v>
      </c>
      <c r="BK236" s="291">
        <f t="shared" si="375"/>
        <v>1.0752899999999999</v>
      </c>
      <c r="BL236" s="45">
        <f>+BL188/1000</f>
        <v>4.3011599999999994</v>
      </c>
      <c r="BM236" s="290">
        <f t="shared" si="376"/>
        <v>1.102665</v>
      </c>
      <c r="BN236" s="260">
        <f t="shared" si="377"/>
        <v>1.102665</v>
      </c>
      <c r="BO236" s="260">
        <f t="shared" si="378"/>
        <v>1.102665</v>
      </c>
      <c r="BP236" s="291">
        <f t="shared" si="379"/>
        <v>1.102665</v>
      </c>
      <c r="BQ236" s="45">
        <f>+BQ188/1000</f>
        <v>4.41066</v>
      </c>
      <c r="BS236" s="40"/>
      <c r="BT236" s="40"/>
      <c r="BU236" s="232"/>
      <c r="BV236" s="28"/>
      <c r="BW236" s="28"/>
      <c r="BX236" s="28"/>
      <c r="BY236" s="28"/>
      <c r="BZ236" s="28"/>
      <c r="CA236" s="28"/>
      <c r="CB236" s="28"/>
      <c r="CC236" s="28"/>
      <c r="CD236" s="1079"/>
      <c r="CE236" s="40"/>
      <c r="CF236" s="40"/>
      <c r="CG236" s="40"/>
      <c r="CH236" s="40"/>
      <c r="CI236" s="40"/>
      <c r="CJ236" s="40"/>
      <c r="CK236" s="40"/>
      <c r="CL236" s="40"/>
      <c r="CM236" s="40"/>
      <c r="CN236" s="40"/>
      <c r="CO236" s="40"/>
      <c r="CP236" s="40"/>
      <c r="CQ236" s="40"/>
      <c r="CR236" s="40"/>
      <c r="CS236" s="40"/>
      <c r="CT236" s="823"/>
      <c r="CU236" s="232"/>
      <c r="CV236" s="232"/>
      <c r="CW236" s="232"/>
      <c r="CX236" s="232"/>
      <c r="CY236" s="232"/>
      <c r="CZ236" s="40"/>
      <c r="DA236" s="40"/>
      <c r="DB236" s="40"/>
      <c r="DC236" s="40"/>
      <c r="DD236" s="40"/>
      <c r="DE236" s="40"/>
      <c r="DF236" s="232"/>
      <c r="DG236" s="232"/>
      <c r="DH236" s="232"/>
      <c r="DI236" s="232"/>
      <c r="DJ236" s="232"/>
      <c r="DK236" s="232"/>
      <c r="DL236" s="232"/>
      <c r="DM236" s="232"/>
      <c r="DN236" s="232"/>
    </row>
    <row r="237" spans="1:118">
      <c r="A237" s="40"/>
      <c r="Y237" s="273"/>
      <c r="Z237" s="3"/>
      <c r="AA237" s="3"/>
      <c r="AB237" s="274"/>
      <c r="AD237" s="290"/>
      <c r="AE237" s="3"/>
      <c r="AF237" s="260"/>
      <c r="AG237" s="291"/>
      <c r="AH237" s="45"/>
      <c r="AI237" s="290"/>
      <c r="AJ237" s="260"/>
      <c r="AK237" s="260"/>
      <c r="AL237" s="291"/>
      <c r="AM237" s="45"/>
      <c r="AN237" s="290"/>
      <c r="AO237" s="260"/>
      <c r="AP237" s="260"/>
      <c r="AQ237" s="291"/>
      <c r="AR237" s="45"/>
      <c r="AS237" s="290"/>
      <c r="AT237" s="260"/>
      <c r="AU237" s="260"/>
      <c r="AV237" s="274"/>
      <c r="AW237" s="1"/>
      <c r="AX237" s="290"/>
      <c r="AY237" s="260"/>
      <c r="AZ237" s="260"/>
      <c r="BA237" s="291"/>
      <c r="BB237" s="45"/>
      <c r="BC237" s="290"/>
      <c r="BD237" s="260"/>
      <c r="BE237" s="260"/>
      <c r="BF237" s="291"/>
      <c r="BG237" s="45"/>
      <c r="BH237" s="290"/>
      <c r="BI237" s="260"/>
      <c r="BJ237" s="260"/>
      <c r="BK237" s="291"/>
      <c r="BL237" s="45"/>
      <c r="BM237" s="290"/>
      <c r="BN237" s="260"/>
      <c r="BO237" s="260"/>
      <c r="BP237" s="291"/>
      <c r="BQ237" s="45"/>
      <c r="BR237" s="156"/>
      <c r="BS237" s="40"/>
      <c r="BT237" s="40"/>
      <c r="BU237" s="232"/>
      <c r="BV237" s="28"/>
      <c r="BW237" s="28"/>
      <c r="BX237" s="28"/>
      <c r="BY237" s="28"/>
      <c r="BZ237" s="28"/>
      <c r="CA237" s="28"/>
      <c r="CB237" s="28"/>
      <c r="CC237" s="28"/>
      <c r="CD237" s="40"/>
      <c r="CE237" s="40"/>
      <c r="CF237" s="40"/>
      <c r="CG237" s="40"/>
      <c r="CH237" s="40"/>
      <c r="CI237" s="40"/>
      <c r="CJ237" s="40"/>
      <c r="CK237" s="40"/>
      <c r="CL237" s="40"/>
      <c r="CM237" s="40"/>
      <c r="CN237" s="40"/>
      <c r="CO237" s="40"/>
      <c r="CP237" s="40"/>
      <c r="CQ237" s="40"/>
      <c r="CR237" s="40"/>
      <c r="CS237" s="40"/>
      <c r="CT237" s="823"/>
      <c r="CU237" s="232"/>
      <c r="CV237" s="232"/>
      <c r="CW237" s="232"/>
      <c r="CX237" s="232"/>
      <c r="CY237" s="232"/>
      <c r="CZ237" s="40"/>
      <c r="DA237" s="40"/>
      <c r="DB237" s="40"/>
      <c r="DC237" s="40"/>
      <c r="DD237" s="40"/>
      <c r="DE237" s="40"/>
      <c r="DF237" s="232"/>
      <c r="DG237" s="232"/>
      <c r="DH237" s="232"/>
      <c r="DI237" s="232"/>
      <c r="DJ237" s="232"/>
      <c r="DK237" s="232"/>
      <c r="DL237" s="232"/>
      <c r="DM237" s="232"/>
      <c r="DN237" s="232"/>
    </row>
    <row r="238" spans="1:118">
      <c r="A238" s="40"/>
      <c r="B238" s="32"/>
      <c r="C238" s="225" t="s">
        <v>796</v>
      </c>
      <c r="D238" s="32"/>
      <c r="E238" s="489"/>
      <c r="F238" s="342"/>
      <c r="G238" s="342"/>
      <c r="H238" s="490"/>
      <c r="I238" s="32"/>
      <c r="J238" s="489"/>
      <c r="K238" s="342"/>
      <c r="L238" s="342"/>
      <c r="M238" s="490"/>
      <c r="N238" s="32"/>
      <c r="O238" s="489"/>
      <c r="P238" s="342"/>
      <c r="Q238" s="342"/>
      <c r="R238" s="490"/>
      <c r="S238" s="32"/>
      <c r="T238" s="955"/>
      <c r="U238" s="956"/>
      <c r="V238" s="956"/>
      <c r="W238" s="957"/>
      <c r="X238" s="958"/>
      <c r="Y238" s="955">
        <f t="shared" ref="Y238:AB243" si="381">Z238</f>
        <v>0</v>
      </c>
      <c r="Z238" s="956">
        <f t="shared" si="381"/>
        <v>0</v>
      </c>
      <c r="AA238" s="956">
        <f t="shared" si="381"/>
        <v>0</v>
      </c>
      <c r="AB238" s="957">
        <f t="shared" si="381"/>
        <v>0</v>
      </c>
      <c r="AC238" s="958"/>
      <c r="AD238" s="955">
        <f t="shared" ref="AD238:AG243" si="382">AE238</f>
        <v>0.92500000000000004</v>
      </c>
      <c r="AE238" s="956">
        <f t="shared" si="382"/>
        <v>0.92500000000000004</v>
      </c>
      <c r="AF238" s="956">
        <f t="shared" si="382"/>
        <v>0.92500000000000004</v>
      </c>
      <c r="AG238" s="957">
        <f t="shared" si="382"/>
        <v>0.92500000000000004</v>
      </c>
      <c r="AH238" s="958">
        <v>0.92500000000000004</v>
      </c>
      <c r="AI238" s="955">
        <f t="shared" ref="AI238:AL243" si="383">AJ238</f>
        <v>0.98</v>
      </c>
      <c r="AJ238" s="956">
        <f t="shared" si="383"/>
        <v>0.98</v>
      </c>
      <c r="AK238" s="956">
        <f t="shared" si="383"/>
        <v>0.98</v>
      </c>
      <c r="AL238" s="957">
        <f t="shared" si="383"/>
        <v>0.98</v>
      </c>
      <c r="AM238" s="958">
        <v>0.98</v>
      </c>
      <c r="AN238" s="955">
        <f t="shared" ref="AN238:AQ243" si="384">AO238</f>
        <v>0.995</v>
      </c>
      <c r="AO238" s="956">
        <f t="shared" si="384"/>
        <v>0.995</v>
      </c>
      <c r="AP238" s="956">
        <f t="shared" si="384"/>
        <v>0.995</v>
      </c>
      <c r="AQ238" s="957">
        <f t="shared" si="384"/>
        <v>0.995</v>
      </c>
      <c r="AR238" s="958">
        <f>AVERAGE(98%,101%)</f>
        <v>0.995</v>
      </c>
      <c r="AS238" s="955">
        <f t="shared" ref="AS238:AV243" si="385">AT238</f>
        <v>0.995</v>
      </c>
      <c r="AT238" s="956">
        <f t="shared" si="385"/>
        <v>0.995</v>
      </c>
      <c r="AU238" s="956">
        <f t="shared" si="385"/>
        <v>0.995</v>
      </c>
      <c r="AV238" s="957">
        <f t="shared" si="385"/>
        <v>0.995</v>
      </c>
      <c r="AW238" s="958">
        <f>AVERAGE(98%,101%)</f>
        <v>0.995</v>
      </c>
      <c r="AX238" s="955">
        <f t="shared" ref="AX238:BA243" si="386">AY238</f>
        <v>0.86499999999999999</v>
      </c>
      <c r="AY238" s="956">
        <f t="shared" si="386"/>
        <v>0.86499999999999999</v>
      </c>
      <c r="AZ238" s="956">
        <f t="shared" si="386"/>
        <v>0.86499999999999999</v>
      </c>
      <c r="BA238" s="957">
        <f t="shared" si="386"/>
        <v>0.86499999999999999</v>
      </c>
      <c r="BB238" s="958">
        <f>AVERAGE(85%,88%)</f>
        <v>0.86499999999999999</v>
      </c>
      <c r="BC238" s="955">
        <f t="shared" ref="BC238:BE243" si="387">BD238</f>
        <v>0.56499999999999995</v>
      </c>
      <c r="BD238" s="956">
        <f t="shared" si="387"/>
        <v>0.56499999999999995</v>
      </c>
      <c r="BE238" s="956">
        <f t="shared" si="387"/>
        <v>0.56499999999999995</v>
      </c>
      <c r="BF238" s="957">
        <f t="shared" ref="BF238:BF243" si="388">BG238</f>
        <v>0.56499999999999995</v>
      </c>
      <c r="BG238" s="958">
        <f>AVERAGE(55%,58%)</f>
        <v>0.56499999999999995</v>
      </c>
      <c r="BH238" s="955">
        <f t="shared" ref="BH238:BK243" si="389">BI238</f>
        <v>0.27500000000000002</v>
      </c>
      <c r="BI238" s="956">
        <f t="shared" si="389"/>
        <v>0.27500000000000002</v>
      </c>
      <c r="BJ238" s="956">
        <f t="shared" si="389"/>
        <v>0.27500000000000002</v>
      </c>
      <c r="BK238" s="957">
        <f t="shared" si="389"/>
        <v>0.27500000000000002</v>
      </c>
      <c r="BL238" s="958">
        <f>AVERAGE(26%,29%)</f>
        <v>0.27500000000000002</v>
      </c>
      <c r="BM238" s="955">
        <f t="shared" ref="BM238:BM243" si="390">BN238</f>
        <v>0</v>
      </c>
      <c r="BN238" s="956">
        <f t="shared" ref="BN238:BN243" si="391">BO238</f>
        <v>0</v>
      </c>
      <c r="BO238" s="956">
        <f t="shared" ref="BO238:BO243" si="392">BP238</f>
        <v>0</v>
      </c>
      <c r="BP238" s="957">
        <f t="shared" ref="BP238:BP243" si="393">BQ238</f>
        <v>0</v>
      </c>
      <c r="BQ238" s="958">
        <v>0</v>
      </c>
      <c r="BR238" s="156"/>
      <c r="BS238" s="40"/>
      <c r="BT238" s="40"/>
      <c r="BU238" s="232"/>
      <c r="BV238" s="28"/>
      <c r="BW238" s="28"/>
      <c r="BX238" s="28"/>
      <c r="BY238" s="28"/>
      <c r="BZ238" s="28"/>
      <c r="CA238" s="28"/>
      <c r="CB238" s="28"/>
      <c r="CC238" s="28"/>
      <c r="CD238" s="40"/>
      <c r="CE238" s="40"/>
      <c r="CF238" s="40"/>
      <c r="CG238" s="40"/>
      <c r="CH238" s="40"/>
      <c r="CI238" s="40"/>
      <c r="CJ238" s="40"/>
      <c r="CK238" s="40"/>
      <c r="CL238" s="40"/>
      <c r="CM238" s="40"/>
      <c r="CN238" s="40"/>
      <c r="CO238" s="40"/>
      <c r="CP238" s="40"/>
      <c r="CQ238" s="40"/>
      <c r="CR238" s="40"/>
      <c r="CS238" s="40"/>
      <c r="CT238" s="823"/>
      <c r="CU238" s="232"/>
      <c r="CV238" s="232"/>
      <c r="CW238" s="232"/>
      <c r="CX238" s="232"/>
      <c r="CY238" s="232"/>
      <c r="CZ238" s="40"/>
      <c r="DA238" s="40"/>
      <c r="DB238" s="40"/>
      <c r="DC238" s="40"/>
      <c r="DD238" s="40"/>
      <c r="DE238" s="40"/>
      <c r="DF238" s="232"/>
      <c r="DG238" s="232"/>
      <c r="DH238" s="232"/>
      <c r="DI238" s="232"/>
      <c r="DJ238" s="232"/>
      <c r="DK238" s="232"/>
      <c r="DL238" s="232"/>
      <c r="DM238" s="232"/>
      <c r="DN238" s="232"/>
    </row>
    <row r="239" spans="1:118">
      <c r="A239" s="40"/>
      <c r="B239" s="1"/>
      <c r="C239" s="409" t="s">
        <v>1006</v>
      </c>
      <c r="D239" s="1"/>
      <c r="E239" s="273"/>
      <c r="F239" s="3"/>
      <c r="G239" s="3"/>
      <c r="H239" s="274"/>
      <c r="I239" s="28"/>
      <c r="J239" s="273"/>
      <c r="K239" s="3"/>
      <c r="L239" s="3"/>
      <c r="M239" s="274"/>
      <c r="N239" s="1"/>
      <c r="O239" s="273"/>
      <c r="P239" s="3"/>
      <c r="Q239" s="3"/>
      <c r="R239" s="274"/>
      <c r="S239" s="1"/>
      <c r="T239" s="298"/>
      <c r="U239" s="254"/>
      <c r="V239" s="254"/>
      <c r="W239" s="279"/>
      <c r="X239" s="883"/>
      <c r="Y239" s="298">
        <f t="shared" si="381"/>
        <v>0</v>
      </c>
      <c r="Z239" s="254">
        <f t="shared" si="381"/>
        <v>0</v>
      </c>
      <c r="AA239" s="254">
        <f t="shared" si="381"/>
        <v>0</v>
      </c>
      <c r="AB239" s="279">
        <f t="shared" si="381"/>
        <v>0</v>
      </c>
      <c r="AC239" s="883"/>
      <c r="AD239" s="298">
        <f t="shared" si="382"/>
        <v>0.9</v>
      </c>
      <c r="AE239" s="254">
        <f t="shared" si="382"/>
        <v>0.9</v>
      </c>
      <c r="AF239" s="254">
        <f t="shared" si="382"/>
        <v>0.9</v>
      </c>
      <c r="AG239" s="279">
        <f t="shared" si="382"/>
        <v>0.9</v>
      </c>
      <c r="AH239" s="883">
        <v>0.9</v>
      </c>
      <c r="AI239" s="298">
        <f t="shared" si="383"/>
        <v>0.97</v>
      </c>
      <c r="AJ239" s="254">
        <f t="shared" si="383"/>
        <v>0.97</v>
      </c>
      <c r="AK239" s="254">
        <f t="shared" si="383"/>
        <v>0.97</v>
      </c>
      <c r="AL239" s="279">
        <f t="shared" si="383"/>
        <v>0.97</v>
      </c>
      <c r="AM239" s="883">
        <v>0.97</v>
      </c>
      <c r="AN239" s="298">
        <f t="shared" si="384"/>
        <v>0.98499999999999999</v>
      </c>
      <c r="AO239" s="254">
        <f t="shared" si="384"/>
        <v>0.98499999999999999</v>
      </c>
      <c r="AP239" s="254">
        <f t="shared" si="384"/>
        <v>0.98499999999999999</v>
      </c>
      <c r="AQ239" s="279">
        <f t="shared" si="384"/>
        <v>0.98499999999999999</v>
      </c>
      <c r="AR239" s="883">
        <f>AVERAGE(97%,100%)</f>
        <v>0.98499999999999999</v>
      </c>
      <c r="AS239" s="298">
        <f t="shared" si="385"/>
        <v>0.98499999999999999</v>
      </c>
      <c r="AT239" s="254">
        <f t="shared" si="385"/>
        <v>0.98499999999999999</v>
      </c>
      <c r="AU239" s="254">
        <f t="shared" si="385"/>
        <v>0.98499999999999999</v>
      </c>
      <c r="AV239" s="279">
        <f t="shared" si="385"/>
        <v>0.98499999999999999</v>
      </c>
      <c r="AW239" s="883">
        <f>AVERAGE(97%,100%)</f>
        <v>0.98499999999999999</v>
      </c>
      <c r="AX239" s="298">
        <f t="shared" si="386"/>
        <v>0.83499999999999996</v>
      </c>
      <c r="AY239" s="254">
        <f t="shared" si="386"/>
        <v>0.83499999999999996</v>
      </c>
      <c r="AZ239" s="254">
        <f t="shared" si="386"/>
        <v>0.83499999999999996</v>
      </c>
      <c r="BA239" s="279">
        <f t="shared" si="386"/>
        <v>0.83499999999999996</v>
      </c>
      <c r="BB239" s="883">
        <f>AVERAGE(82%,85%)</f>
        <v>0.83499999999999996</v>
      </c>
      <c r="BC239" s="298">
        <f t="shared" si="387"/>
        <v>0.52500000000000002</v>
      </c>
      <c r="BD239" s="254">
        <f t="shared" si="387"/>
        <v>0.52500000000000002</v>
      </c>
      <c r="BE239" s="254">
        <f t="shared" si="387"/>
        <v>0.52500000000000002</v>
      </c>
      <c r="BF239" s="279">
        <f t="shared" si="388"/>
        <v>0.52500000000000002</v>
      </c>
      <c r="BG239" s="883">
        <f>AVERAGE(51%,54%)</f>
        <v>0.52500000000000002</v>
      </c>
      <c r="BH239" s="298">
        <f t="shared" si="389"/>
        <v>0.23499999999999999</v>
      </c>
      <c r="BI239" s="254">
        <f t="shared" si="389"/>
        <v>0.23499999999999999</v>
      </c>
      <c r="BJ239" s="254">
        <f t="shared" si="389"/>
        <v>0.23499999999999999</v>
      </c>
      <c r="BK239" s="279">
        <f t="shared" si="389"/>
        <v>0.23499999999999999</v>
      </c>
      <c r="BL239" s="883">
        <f>AVERAGE(22%,25%)</f>
        <v>0.23499999999999999</v>
      </c>
      <c r="BM239" s="298">
        <f t="shared" si="390"/>
        <v>0</v>
      </c>
      <c r="BN239" s="254">
        <f t="shared" si="391"/>
        <v>0</v>
      </c>
      <c r="BO239" s="254">
        <f t="shared" si="392"/>
        <v>0</v>
      </c>
      <c r="BP239" s="279">
        <f t="shared" si="393"/>
        <v>0</v>
      </c>
      <c r="BQ239" s="883">
        <v>0</v>
      </c>
      <c r="BR239" s="2137"/>
      <c r="BS239" s="40"/>
      <c r="BT239" s="40"/>
      <c r="BU239" s="232"/>
      <c r="BV239" s="28"/>
      <c r="BW239" s="28"/>
      <c r="BX239" s="28"/>
      <c r="BY239" s="28"/>
      <c r="BZ239" s="28"/>
      <c r="CA239" s="28"/>
      <c r="CB239" s="28"/>
      <c r="CC239" s="28"/>
      <c r="CD239" s="40"/>
      <c r="CE239" s="40"/>
      <c r="CF239" s="40"/>
      <c r="CG239" s="40"/>
      <c r="CH239" s="40"/>
      <c r="CI239" s="40"/>
      <c r="CJ239" s="40"/>
      <c r="CK239" s="40"/>
      <c r="CL239" s="40"/>
      <c r="CM239" s="40"/>
      <c r="CN239" s="40"/>
      <c r="CO239" s="40"/>
      <c r="CP239" s="40"/>
      <c r="CQ239" s="40"/>
      <c r="CR239" s="40"/>
      <c r="CS239" s="40"/>
      <c r="CT239" s="823"/>
      <c r="CU239" s="232"/>
      <c r="CV239" s="232"/>
      <c r="CW239" s="232"/>
      <c r="CX239" s="232"/>
      <c r="CY239" s="232"/>
      <c r="CZ239" s="40"/>
      <c r="DA239" s="40"/>
      <c r="DB239" s="40"/>
      <c r="DC239" s="40"/>
      <c r="DD239" s="40"/>
      <c r="DE239" s="40"/>
      <c r="DF239" s="232"/>
      <c r="DG239" s="232"/>
      <c r="DH239" s="232"/>
      <c r="DI239" s="232"/>
      <c r="DJ239" s="232"/>
      <c r="DK239" s="232"/>
      <c r="DL239" s="232"/>
      <c r="DM239" s="232"/>
      <c r="DN239" s="232"/>
    </row>
    <row r="240" spans="1:118">
      <c r="A240" s="40"/>
      <c r="B240" s="1"/>
      <c r="C240" s="409" t="s">
        <v>1005</v>
      </c>
      <c r="D240" s="1"/>
      <c r="E240" s="273"/>
      <c r="F240" s="3"/>
      <c r="G240" s="3"/>
      <c r="H240" s="274"/>
      <c r="I240" s="28"/>
      <c r="J240" s="273"/>
      <c r="K240" s="3"/>
      <c r="L240" s="3"/>
      <c r="M240" s="274"/>
      <c r="N240" s="1"/>
      <c r="O240" s="273"/>
      <c r="P240" s="3"/>
      <c r="Q240" s="3"/>
      <c r="R240" s="274"/>
      <c r="S240" s="1"/>
      <c r="T240" s="298"/>
      <c r="U240" s="254"/>
      <c r="V240" s="254"/>
      <c r="W240" s="279"/>
      <c r="X240" s="883"/>
      <c r="Y240" s="298">
        <f t="shared" si="381"/>
        <v>0</v>
      </c>
      <c r="Z240" s="254">
        <f t="shared" si="381"/>
        <v>0</v>
      </c>
      <c r="AA240" s="254">
        <f t="shared" si="381"/>
        <v>0</v>
      </c>
      <c r="AB240" s="279">
        <f t="shared" si="381"/>
        <v>0</v>
      </c>
      <c r="AC240" s="883"/>
      <c r="AD240" s="298">
        <f t="shared" si="382"/>
        <v>0.94499999999999995</v>
      </c>
      <c r="AE240" s="254">
        <f t="shared" si="382"/>
        <v>0.94499999999999995</v>
      </c>
      <c r="AF240" s="254">
        <f t="shared" si="382"/>
        <v>0.94499999999999995</v>
      </c>
      <c r="AG240" s="279">
        <f t="shared" si="382"/>
        <v>0.94499999999999995</v>
      </c>
      <c r="AH240" s="883">
        <v>0.94499999999999995</v>
      </c>
      <c r="AI240" s="298">
        <f t="shared" si="383"/>
        <v>1</v>
      </c>
      <c r="AJ240" s="254">
        <f t="shared" si="383"/>
        <v>1</v>
      </c>
      <c r="AK240" s="254">
        <f t="shared" si="383"/>
        <v>1</v>
      </c>
      <c r="AL240" s="279">
        <f t="shared" si="383"/>
        <v>1</v>
      </c>
      <c r="AM240" s="883">
        <v>1</v>
      </c>
      <c r="AN240" s="298">
        <f t="shared" si="384"/>
        <v>1.0049999999999999</v>
      </c>
      <c r="AO240" s="254">
        <f t="shared" si="384"/>
        <v>1.0049999999999999</v>
      </c>
      <c r="AP240" s="254">
        <f t="shared" si="384"/>
        <v>1.0049999999999999</v>
      </c>
      <c r="AQ240" s="279">
        <f t="shared" si="384"/>
        <v>1.0049999999999999</v>
      </c>
      <c r="AR240" s="883">
        <f>AVERAGE(99%,102%)</f>
        <v>1.0049999999999999</v>
      </c>
      <c r="AS240" s="298">
        <f t="shared" si="385"/>
        <v>0.995</v>
      </c>
      <c r="AT240" s="254">
        <f t="shared" si="385"/>
        <v>0.995</v>
      </c>
      <c r="AU240" s="254">
        <f t="shared" si="385"/>
        <v>0.995</v>
      </c>
      <c r="AV240" s="279">
        <f t="shared" si="385"/>
        <v>0.995</v>
      </c>
      <c r="AW240" s="883">
        <f>AVERAGE(98%,101%)</f>
        <v>0.995</v>
      </c>
      <c r="AX240" s="298">
        <f t="shared" si="386"/>
        <v>0.89500000000000002</v>
      </c>
      <c r="AY240" s="254">
        <f t="shared" si="386"/>
        <v>0.89500000000000002</v>
      </c>
      <c r="AZ240" s="254">
        <f t="shared" si="386"/>
        <v>0.89500000000000002</v>
      </c>
      <c r="BA240" s="279">
        <f t="shared" si="386"/>
        <v>0.89500000000000002</v>
      </c>
      <c r="BB240" s="883">
        <f>AVERAGE(88%,91%)</f>
        <v>0.89500000000000002</v>
      </c>
      <c r="BC240" s="298">
        <f t="shared" si="387"/>
        <v>0.66500000000000004</v>
      </c>
      <c r="BD240" s="254">
        <f t="shared" si="387"/>
        <v>0.66500000000000004</v>
      </c>
      <c r="BE240" s="254">
        <f t="shared" si="387"/>
        <v>0.66500000000000004</v>
      </c>
      <c r="BF240" s="279">
        <f t="shared" si="388"/>
        <v>0.66500000000000004</v>
      </c>
      <c r="BG240" s="883">
        <f>AVERAGE(65%,68%)</f>
        <v>0.66500000000000004</v>
      </c>
      <c r="BH240" s="298">
        <f t="shared" si="389"/>
        <v>0.34499999999999997</v>
      </c>
      <c r="BI240" s="254">
        <f t="shared" si="389"/>
        <v>0.34499999999999997</v>
      </c>
      <c r="BJ240" s="254">
        <f t="shared" si="389"/>
        <v>0.34499999999999997</v>
      </c>
      <c r="BK240" s="279">
        <f t="shared" si="389"/>
        <v>0.34499999999999997</v>
      </c>
      <c r="BL240" s="883">
        <f>AVERAGE(33%,36%)</f>
        <v>0.34499999999999997</v>
      </c>
      <c r="BM240" s="298">
        <f t="shared" si="390"/>
        <v>0</v>
      </c>
      <c r="BN240" s="254">
        <f t="shared" si="391"/>
        <v>0</v>
      </c>
      <c r="BO240" s="254">
        <f t="shared" si="392"/>
        <v>0</v>
      </c>
      <c r="BP240" s="279">
        <f t="shared" si="393"/>
        <v>0</v>
      </c>
      <c r="BQ240" s="883">
        <v>0</v>
      </c>
      <c r="BR240" s="2137"/>
      <c r="BS240" s="40"/>
      <c r="BT240" s="40"/>
      <c r="BU240" s="232"/>
      <c r="BV240" s="28"/>
      <c r="BW240" s="28"/>
      <c r="BX240" s="28"/>
      <c r="BY240" s="28"/>
      <c r="BZ240" s="28"/>
      <c r="CA240" s="28"/>
      <c r="CB240" s="28"/>
      <c r="CC240" s="28"/>
      <c r="CD240" s="40"/>
      <c r="CE240" s="40"/>
      <c r="CF240" s="40"/>
      <c r="CG240" s="40"/>
      <c r="CH240" s="40"/>
      <c r="CI240" s="40"/>
      <c r="CJ240" s="40"/>
      <c r="CK240" s="40"/>
      <c r="CL240" s="40"/>
      <c r="CM240" s="40"/>
      <c r="CN240" s="40"/>
      <c r="CO240" s="40"/>
      <c r="CP240" s="40"/>
      <c r="CQ240" s="40"/>
      <c r="CR240" s="40"/>
      <c r="CS240" s="40"/>
      <c r="CT240" s="823"/>
      <c r="CU240" s="232"/>
      <c r="CV240" s="232"/>
      <c r="CW240" s="232"/>
      <c r="CX240" s="232"/>
      <c r="CY240" s="232"/>
      <c r="CZ240" s="40"/>
      <c r="DA240" s="40"/>
      <c r="DB240" s="40"/>
      <c r="DC240" s="40"/>
      <c r="DD240" s="40"/>
      <c r="DE240" s="40"/>
      <c r="DF240" s="232"/>
      <c r="DG240" s="232"/>
      <c r="DH240" s="232"/>
      <c r="DI240" s="232"/>
      <c r="DJ240" s="232"/>
      <c r="DK240" s="232"/>
      <c r="DL240" s="232"/>
      <c r="DM240" s="232"/>
      <c r="DN240" s="232"/>
    </row>
    <row r="241" spans="1:118">
      <c r="A241" s="40"/>
      <c r="B241" s="1"/>
      <c r="C241" s="409" t="s">
        <v>641</v>
      </c>
      <c r="D241" s="1"/>
      <c r="E241" s="273"/>
      <c r="F241" s="3"/>
      <c r="G241" s="3"/>
      <c r="H241" s="274"/>
      <c r="I241" s="28"/>
      <c r="J241" s="273"/>
      <c r="K241" s="3"/>
      <c r="L241" s="3"/>
      <c r="M241" s="274"/>
      <c r="N241" s="1"/>
      <c r="O241" s="273"/>
      <c r="P241" s="3"/>
      <c r="Q241" s="3"/>
      <c r="R241" s="274"/>
      <c r="S241" s="1"/>
      <c r="T241" s="298"/>
      <c r="U241" s="254"/>
      <c r="V241" s="254"/>
      <c r="W241" s="279"/>
      <c r="X241" s="883"/>
      <c r="Y241" s="298">
        <f t="shared" si="381"/>
        <v>0</v>
      </c>
      <c r="Z241" s="254">
        <f t="shared" si="381"/>
        <v>0</v>
      </c>
      <c r="AA241" s="254">
        <f t="shared" si="381"/>
        <v>0</v>
      </c>
      <c r="AB241" s="279">
        <f t="shared" si="381"/>
        <v>0</v>
      </c>
      <c r="AC241" s="883"/>
      <c r="AD241" s="298">
        <f t="shared" si="382"/>
        <v>1</v>
      </c>
      <c r="AE241" s="254">
        <f t="shared" si="382"/>
        <v>1</v>
      </c>
      <c r="AF241" s="254">
        <f t="shared" si="382"/>
        <v>1</v>
      </c>
      <c r="AG241" s="279">
        <f t="shared" si="382"/>
        <v>1</v>
      </c>
      <c r="AH241" s="883">
        <v>1</v>
      </c>
      <c r="AI241" s="298">
        <f t="shared" si="383"/>
        <v>0.99</v>
      </c>
      <c r="AJ241" s="254">
        <f t="shared" si="383"/>
        <v>0.99</v>
      </c>
      <c r="AK241" s="254">
        <f t="shared" si="383"/>
        <v>0.99</v>
      </c>
      <c r="AL241" s="279">
        <f t="shared" si="383"/>
        <v>0.99</v>
      </c>
      <c r="AM241" s="883">
        <v>0.99</v>
      </c>
      <c r="AN241" s="298">
        <f t="shared" si="384"/>
        <v>1.0049999999999999</v>
      </c>
      <c r="AO241" s="254">
        <f t="shared" si="384"/>
        <v>1.0049999999999999</v>
      </c>
      <c r="AP241" s="254">
        <f t="shared" si="384"/>
        <v>1.0049999999999999</v>
      </c>
      <c r="AQ241" s="279">
        <f t="shared" si="384"/>
        <v>1.0049999999999999</v>
      </c>
      <c r="AR241" s="883">
        <f>AVERAGE(99%,102%)</f>
        <v>1.0049999999999999</v>
      </c>
      <c r="AS241" s="298">
        <f t="shared" si="385"/>
        <v>0.98499999999999999</v>
      </c>
      <c r="AT241" s="254">
        <f t="shared" si="385"/>
        <v>0.98499999999999999</v>
      </c>
      <c r="AU241" s="254">
        <f t="shared" si="385"/>
        <v>0.98499999999999999</v>
      </c>
      <c r="AV241" s="279">
        <f t="shared" si="385"/>
        <v>0.98499999999999999</v>
      </c>
      <c r="AW241" s="883">
        <f>AVERAGE(97%,100%)</f>
        <v>0.98499999999999999</v>
      </c>
      <c r="AX241" s="298">
        <f t="shared" si="386"/>
        <v>0.82499999999999996</v>
      </c>
      <c r="AY241" s="254">
        <f t="shared" si="386"/>
        <v>0.82499999999999996</v>
      </c>
      <c r="AZ241" s="254">
        <f t="shared" si="386"/>
        <v>0.82499999999999996</v>
      </c>
      <c r="BA241" s="279">
        <f t="shared" si="386"/>
        <v>0.82499999999999996</v>
      </c>
      <c r="BB241" s="883">
        <f>AVERAGE(81%,84%)</f>
        <v>0.82499999999999996</v>
      </c>
      <c r="BC241" s="298">
        <f t="shared" si="387"/>
        <v>0.55499999999999994</v>
      </c>
      <c r="BD241" s="254">
        <f t="shared" si="387"/>
        <v>0.55499999999999994</v>
      </c>
      <c r="BE241" s="254">
        <f t="shared" si="387"/>
        <v>0.55499999999999994</v>
      </c>
      <c r="BF241" s="279">
        <f t="shared" si="388"/>
        <v>0.55499999999999994</v>
      </c>
      <c r="BG241" s="883">
        <f>AVERAGE(54%,57%)</f>
        <v>0.55499999999999994</v>
      </c>
      <c r="BH241" s="298">
        <f t="shared" si="389"/>
        <v>0.27500000000000002</v>
      </c>
      <c r="BI241" s="254">
        <f t="shared" si="389"/>
        <v>0.27500000000000002</v>
      </c>
      <c r="BJ241" s="254">
        <f t="shared" si="389"/>
        <v>0.27500000000000002</v>
      </c>
      <c r="BK241" s="279">
        <f t="shared" si="389"/>
        <v>0.27500000000000002</v>
      </c>
      <c r="BL241" s="883">
        <f>AVERAGE(26%,29%)</f>
        <v>0.27500000000000002</v>
      </c>
      <c r="BM241" s="298">
        <f t="shared" si="390"/>
        <v>0</v>
      </c>
      <c r="BN241" s="254">
        <f t="shared" si="391"/>
        <v>0</v>
      </c>
      <c r="BO241" s="254">
        <f t="shared" si="392"/>
        <v>0</v>
      </c>
      <c r="BP241" s="279">
        <f t="shared" si="393"/>
        <v>0</v>
      </c>
      <c r="BQ241" s="883">
        <v>0</v>
      </c>
      <c r="BR241" s="2137"/>
      <c r="BS241" s="40"/>
      <c r="BT241" s="40"/>
      <c r="BU241" s="232"/>
      <c r="BV241" s="28"/>
      <c r="BW241" s="28"/>
      <c r="BX241" s="28"/>
      <c r="BY241" s="28"/>
      <c r="BZ241" s="28"/>
      <c r="CA241" s="28"/>
      <c r="CB241" s="28"/>
      <c r="CC241" s="28"/>
      <c r="CD241" s="40"/>
      <c r="CE241" s="40"/>
      <c r="CF241" s="40"/>
      <c r="CG241" s="40"/>
      <c r="CH241" s="40"/>
      <c r="CI241" s="40"/>
      <c r="CJ241" s="40"/>
      <c r="CK241" s="40"/>
      <c r="CL241" s="40"/>
      <c r="CM241" s="40"/>
      <c r="CN241" s="40"/>
      <c r="CO241" s="40"/>
      <c r="CP241" s="40"/>
      <c r="CQ241" s="40"/>
      <c r="CR241" s="40"/>
      <c r="CS241" s="40"/>
      <c r="CT241" s="823"/>
      <c r="CU241" s="232"/>
      <c r="CV241" s="232"/>
      <c r="CW241" s="232"/>
      <c r="CX241" s="232"/>
      <c r="CY241" s="232"/>
      <c r="CZ241" s="40"/>
      <c r="DA241" s="40"/>
      <c r="DB241" s="40"/>
      <c r="DC241" s="40"/>
      <c r="DD241" s="40"/>
      <c r="DE241" s="40"/>
      <c r="DF241" s="232"/>
      <c r="DG241" s="232"/>
      <c r="DH241" s="232"/>
      <c r="DI241" s="232"/>
      <c r="DJ241" s="232"/>
      <c r="DK241" s="232"/>
      <c r="DL241" s="232"/>
      <c r="DM241" s="232"/>
      <c r="DN241" s="232"/>
    </row>
    <row r="242" spans="1:118">
      <c r="A242" s="40"/>
      <c r="B242" s="1"/>
      <c r="C242" s="409" t="s">
        <v>1275</v>
      </c>
      <c r="D242" s="1"/>
      <c r="E242" s="273"/>
      <c r="F242" s="3"/>
      <c r="G242" s="3"/>
      <c r="H242" s="274"/>
      <c r="I242" s="28"/>
      <c r="J242" s="273"/>
      <c r="K242" s="3"/>
      <c r="L242" s="3"/>
      <c r="M242" s="274"/>
      <c r="N242" s="1"/>
      <c r="O242" s="273"/>
      <c r="P242" s="3"/>
      <c r="Q242" s="3"/>
      <c r="R242" s="274"/>
      <c r="S242" s="1"/>
      <c r="T242" s="298"/>
      <c r="U242" s="254"/>
      <c r="V242" s="254"/>
      <c r="W242" s="279"/>
      <c r="X242" s="883"/>
      <c r="Y242" s="298">
        <f t="shared" si="381"/>
        <v>0</v>
      </c>
      <c r="Z242" s="254">
        <f t="shared" si="381"/>
        <v>0</v>
      </c>
      <c r="AA242" s="254">
        <f t="shared" si="381"/>
        <v>0</v>
      </c>
      <c r="AB242" s="279">
        <f t="shared" si="381"/>
        <v>0</v>
      </c>
      <c r="AC242" s="883"/>
      <c r="AD242" s="298">
        <f t="shared" si="382"/>
        <v>0.96499999999999997</v>
      </c>
      <c r="AE242" s="254">
        <f t="shared" si="382"/>
        <v>0.96499999999999997</v>
      </c>
      <c r="AF242" s="254">
        <f t="shared" si="382"/>
        <v>0.96499999999999997</v>
      </c>
      <c r="AG242" s="279">
        <f t="shared" si="382"/>
        <v>0.96499999999999997</v>
      </c>
      <c r="AH242" s="883">
        <v>0.96499999999999997</v>
      </c>
      <c r="AI242" s="298">
        <f t="shared" si="383"/>
        <v>0.94</v>
      </c>
      <c r="AJ242" s="254">
        <f t="shared" si="383"/>
        <v>0.94</v>
      </c>
      <c r="AK242" s="254">
        <f t="shared" si="383"/>
        <v>0.94</v>
      </c>
      <c r="AL242" s="279">
        <f t="shared" si="383"/>
        <v>0.94</v>
      </c>
      <c r="AM242" s="883">
        <v>0.94</v>
      </c>
      <c r="AN242" s="298">
        <f t="shared" si="384"/>
        <v>0.97499999999999998</v>
      </c>
      <c r="AO242" s="254">
        <f t="shared" si="384"/>
        <v>0.97499999999999998</v>
      </c>
      <c r="AP242" s="254">
        <f t="shared" si="384"/>
        <v>0.97499999999999998</v>
      </c>
      <c r="AQ242" s="279">
        <f t="shared" si="384"/>
        <v>0.97499999999999998</v>
      </c>
      <c r="AR242" s="883">
        <f>AVERAGE(96%,99%)</f>
        <v>0.97499999999999998</v>
      </c>
      <c r="AS242" s="298">
        <f t="shared" si="385"/>
        <v>1.0049999999999999</v>
      </c>
      <c r="AT242" s="254">
        <f t="shared" si="385"/>
        <v>1.0049999999999999</v>
      </c>
      <c r="AU242" s="254">
        <f t="shared" si="385"/>
        <v>1.0049999999999999</v>
      </c>
      <c r="AV242" s="279">
        <f t="shared" si="385"/>
        <v>1.0049999999999999</v>
      </c>
      <c r="AW242" s="883">
        <f>AVERAGE(99%,102%)</f>
        <v>1.0049999999999999</v>
      </c>
      <c r="AX242" s="298">
        <f t="shared" si="386"/>
        <v>0.95499999999999996</v>
      </c>
      <c r="AY242" s="254">
        <f t="shared" si="386"/>
        <v>0.95499999999999996</v>
      </c>
      <c r="AZ242" s="254">
        <f t="shared" si="386"/>
        <v>0.95499999999999996</v>
      </c>
      <c r="BA242" s="279">
        <f t="shared" si="386"/>
        <v>0.95499999999999996</v>
      </c>
      <c r="BB242" s="883">
        <f>AVERAGE(94%,97%)</f>
        <v>0.95499999999999996</v>
      </c>
      <c r="BC242" s="298">
        <f t="shared" si="387"/>
        <v>0.58499999999999996</v>
      </c>
      <c r="BD242" s="254">
        <f t="shared" si="387"/>
        <v>0.58499999999999996</v>
      </c>
      <c r="BE242" s="254">
        <f t="shared" si="387"/>
        <v>0.58499999999999996</v>
      </c>
      <c r="BF242" s="279">
        <f t="shared" si="388"/>
        <v>0.58499999999999996</v>
      </c>
      <c r="BG242" s="883">
        <f>AVERAGE(57%,60%)</f>
        <v>0.58499999999999996</v>
      </c>
      <c r="BH242" s="298">
        <f t="shared" si="389"/>
        <v>0.27500000000000002</v>
      </c>
      <c r="BI242" s="254">
        <f t="shared" si="389"/>
        <v>0.27500000000000002</v>
      </c>
      <c r="BJ242" s="254">
        <f t="shared" si="389"/>
        <v>0.27500000000000002</v>
      </c>
      <c r="BK242" s="279">
        <f t="shared" si="389"/>
        <v>0.27500000000000002</v>
      </c>
      <c r="BL242" s="883">
        <f>AVERAGE(26%,29%)</f>
        <v>0.27500000000000002</v>
      </c>
      <c r="BM242" s="298">
        <f t="shared" si="390"/>
        <v>0</v>
      </c>
      <c r="BN242" s="254">
        <f t="shared" si="391"/>
        <v>0</v>
      </c>
      <c r="BO242" s="254">
        <f t="shared" si="392"/>
        <v>0</v>
      </c>
      <c r="BP242" s="279">
        <f t="shared" si="393"/>
        <v>0</v>
      </c>
      <c r="BQ242" s="883">
        <v>0</v>
      </c>
      <c r="BR242" s="2137"/>
      <c r="BS242" s="40"/>
      <c r="BT242" s="40"/>
      <c r="BU242" s="232"/>
      <c r="BV242" s="28"/>
      <c r="BW242" s="28"/>
      <c r="BX242" s="28"/>
      <c r="BY242" s="28"/>
      <c r="BZ242" s="28"/>
      <c r="CA242" s="28"/>
      <c r="CB242" s="28"/>
      <c r="CC242" s="28"/>
      <c r="CD242" s="40"/>
      <c r="CE242" s="40"/>
      <c r="CF242" s="40"/>
      <c r="CG242" s="40"/>
      <c r="CH242" s="40"/>
      <c r="CI242" s="40"/>
      <c r="CJ242" s="40"/>
      <c r="CK242" s="40"/>
      <c r="CL242" s="40"/>
      <c r="CM242" s="40"/>
      <c r="CN242" s="40"/>
      <c r="CO242" s="40"/>
      <c r="CP242" s="40"/>
      <c r="CQ242" s="40"/>
      <c r="CR242" s="40"/>
      <c r="CS242" s="40"/>
      <c r="CT242" s="823"/>
      <c r="CU242" s="232"/>
      <c r="CV242" s="232"/>
      <c r="CW242" s="232"/>
      <c r="CX242" s="232"/>
      <c r="CY242" s="232"/>
      <c r="CZ242" s="40"/>
      <c r="DA242" s="40"/>
      <c r="DB242" s="40"/>
      <c r="DC242" s="40"/>
      <c r="DD242" s="40"/>
      <c r="DE242" s="40"/>
      <c r="DF242" s="232"/>
      <c r="DG242" s="232"/>
      <c r="DH242" s="232"/>
      <c r="DI242" s="232"/>
      <c r="DJ242" s="232"/>
      <c r="DK242" s="232"/>
      <c r="DL242" s="232"/>
      <c r="DM242" s="232"/>
      <c r="DN242" s="232"/>
    </row>
    <row r="243" spans="1:118">
      <c r="A243" s="40"/>
      <c r="B243" s="1"/>
      <c r="C243" s="409" t="s">
        <v>432</v>
      </c>
      <c r="D243" s="1"/>
      <c r="E243" s="273"/>
      <c r="F243" s="3"/>
      <c r="G243" s="3"/>
      <c r="H243" s="274"/>
      <c r="I243" s="28"/>
      <c r="J243" s="273"/>
      <c r="K243" s="3"/>
      <c r="L243" s="3"/>
      <c r="M243" s="274"/>
      <c r="N243" s="1"/>
      <c r="O243" s="273"/>
      <c r="P243" s="3"/>
      <c r="Q243" s="3"/>
      <c r="R243" s="274"/>
      <c r="S243" s="1"/>
      <c r="T243" s="298"/>
      <c r="U243" s="254"/>
      <c r="V243" s="254"/>
      <c r="W243" s="279"/>
      <c r="X243" s="883"/>
      <c r="Y243" s="298">
        <f t="shared" si="381"/>
        <v>0</v>
      </c>
      <c r="Z243" s="254">
        <f t="shared" si="381"/>
        <v>0</v>
      </c>
      <c r="AA243" s="254">
        <f t="shared" si="381"/>
        <v>0</v>
      </c>
      <c r="AB243" s="279">
        <f t="shared" si="381"/>
        <v>0</v>
      </c>
      <c r="AC243" s="883"/>
      <c r="AD243" s="298">
        <f t="shared" si="382"/>
        <v>0.97499999999999998</v>
      </c>
      <c r="AE243" s="254">
        <f t="shared" si="382"/>
        <v>0.97499999999999998</v>
      </c>
      <c r="AF243" s="254">
        <f t="shared" si="382"/>
        <v>0.97499999999999998</v>
      </c>
      <c r="AG243" s="279">
        <f t="shared" si="382"/>
        <v>0.97499999999999998</v>
      </c>
      <c r="AH243" s="883">
        <v>0.97499999999999998</v>
      </c>
      <c r="AI243" s="298">
        <f t="shared" si="383"/>
        <v>0.99</v>
      </c>
      <c r="AJ243" s="254">
        <f t="shared" si="383"/>
        <v>0.99</v>
      </c>
      <c r="AK243" s="254">
        <f t="shared" si="383"/>
        <v>0.99</v>
      </c>
      <c r="AL243" s="279">
        <f t="shared" si="383"/>
        <v>0.99</v>
      </c>
      <c r="AM243" s="883">
        <v>0.99</v>
      </c>
      <c r="AN243" s="298">
        <f t="shared" si="384"/>
        <v>1.0150000000000001</v>
      </c>
      <c r="AO243" s="254">
        <f t="shared" si="384"/>
        <v>1.0150000000000001</v>
      </c>
      <c r="AP243" s="254">
        <f t="shared" si="384"/>
        <v>1.0150000000000001</v>
      </c>
      <c r="AQ243" s="279">
        <f t="shared" si="384"/>
        <v>1.0150000000000001</v>
      </c>
      <c r="AR243" s="883">
        <f>AVERAGE(100%,103%)</f>
        <v>1.0150000000000001</v>
      </c>
      <c r="AS243" s="298">
        <f t="shared" si="385"/>
        <v>1.0449999999999999</v>
      </c>
      <c r="AT243" s="254">
        <f t="shared" si="385"/>
        <v>1.0449999999999999</v>
      </c>
      <c r="AU243" s="254">
        <f t="shared" si="385"/>
        <v>1.0449999999999999</v>
      </c>
      <c r="AV243" s="279">
        <f t="shared" si="385"/>
        <v>1.0449999999999999</v>
      </c>
      <c r="AW243" s="883">
        <f>AVERAGE(103%,106%)</f>
        <v>1.0449999999999999</v>
      </c>
      <c r="AX243" s="298">
        <f t="shared" si="386"/>
        <v>0.93500000000000005</v>
      </c>
      <c r="AY243" s="254">
        <f t="shared" si="386"/>
        <v>0.93500000000000005</v>
      </c>
      <c r="AZ243" s="254">
        <f t="shared" si="386"/>
        <v>0.93500000000000005</v>
      </c>
      <c r="BA243" s="279">
        <f t="shared" si="386"/>
        <v>0.93500000000000005</v>
      </c>
      <c r="BB243" s="883">
        <f>AVERAGE(92%,95%)</f>
        <v>0.93500000000000005</v>
      </c>
      <c r="BC243" s="298">
        <f t="shared" si="387"/>
        <v>0.36499999999999999</v>
      </c>
      <c r="BD243" s="254">
        <f t="shared" si="387"/>
        <v>0.36499999999999999</v>
      </c>
      <c r="BE243" s="254">
        <f t="shared" si="387"/>
        <v>0.36499999999999999</v>
      </c>
      <c r="BF243" s="279">
        <f t="shared" si="388"/>
        <v>0.36499999999999999</v>
      </c>
      <c r="BG243" s="883">
        <f>AVERAGE(35%,38%)</f>
        <v>0.36499999999999999</v>
      </c>
      <c r="BH243" s="298">
        <f t="shared" si="389"/>
        <v>0.39500000000000002</v>
      </c>
      <c r="BI243" s="254">
        <f t="shared" si="389"/>
        <v>0.39500000000000002</v>
      </c>
      <c r="BJ243" s="254">
        <f t="shared" si="389"/>
        <v>0.39500000000000002</v>
      </c>
      <c r="BK243" s="279">
        <f t="shared" si="389"/>
        <v>0.39500000000000002</v>
      </c>
      <c r="BL243" s="883">
        <f>AVERAGE(38%,41%)</f>
        <v>0.39500000000000002</v>
      </c>
      <c r="BM243" s="298">
        <f t="shared" si="390"/>
        <v>0</v>
      </c>
      <c r="BN243" s="254">
        <f t="shared" si="391"/>
        <v>0</v>
      </c>
      <c r="BO243" s="254">
        <f t="shared" si="392"/>
        <v>0</v>
      </c>
      <c r="BP243" s="279">
        <f t="shared" si="393"/>
        <v>0</v>
      </c>
      <c r="BQ243" s="883">
        <v>0</v>
      </c>
      <c r="BR243" s="2137"/>
      <c r="BS243" s="1000"/>
      <c r="BT243" s="1000"/>
      <c r="BU243" s="232"/>
      <c r="BV243" s="28"/>
      <c r="BW243" s="28"/>
      <c r="BX243" s="28"/>
      <c r="BY243" s="28"/>
      <c r="BZ243" s="28"/>
      <c r="CA243" s="28"/>
      <c r="CB243" s="28"/>
      <c r="CC243" s="28"/>
      <c r="CD243" s="40"/>
      <c r="CE243" s="40"/>
      <c r="CF243" s="40"/>
      <c r="CG243" s="40"/>
      <c r="CH243" s="40"/>
      <c r="CI243" s="40"/>
      <c r="CJ243" s="40"/>
      <c r="CK243" s="40"/>
      <c r="CL243" s="40"/>
      <c r="CM243" s="40"/>
      <c r="CN243" s="40"/>
      <c r="CO243" s="40"/>
      <c r="CP243" s="40"/>
      <c r="CQ243" s="40"/>
      <c r="CR243" s="40"/>
      <c r="CS243" s="40"/>
      <c r="CT243" s="823"/>
      <c r="CU243" s="232"/>
      <c r="CV243" s="232"/>
      <c r="CW243" s="232"/>
      <c r="CX243" s="232"/>
      <c r="CY243" s="232"/>
      <c r="CZ243" s="40"/>
      <c r="DA243" s="40"/>
      <c r="DB243" s="40"/>
      <c r="DC243" s="40"/>
      <c r="DD243" s="40"/>
      <c r="DE243" s="40"/>
      <c r="DF243" s="232"/>
      <c r="DG243" s="232"/>
      <c r="DH243" s="232"/>
      <c r="DI243" s="232"/>
      <c r="DJ243" s="232"/>
      <c r="DK243" s="232"/>
      <c r="DL243" s="232"/>
      <c r="DM243" s="232"/>
      <c r="DN243" s="232"/>
    </row>
    <row r="244" spans="1:118">
      <c r="A244" s="40"/>
      <c r="B244" s="1"/>
      <c r="C244" s="226"/>
      <c r="D244" s="1"/>
      <c r="E244" s="273"/>
      <c r="F244" s="3"/>
      <c r="G244" s="3"/>
      <c r="H244" s="274"/>
      <c r="I244" s="28"/>
      <c r="J244" s="273"/>
      <c r="K244" s="3"/>
      <c r="L244" s="3"/>
      <c r="M244" s="274"/>
      <c r="N244" s="1"/>
      <c r="O244" s="273"/>
      <c r="P244" s="3"/>
      <c r="Q244" s="3"/>
      <c r="R244" s="274"/>
      <c r="S244" s="1"/>
      <c r="T244" s="273"/>
      <c r="U244" s="3"/>
      <c r="V244" s="3"/>
      <c r="W244" s="274"/>
      <c r="X244" s="883"/>
      <c r="Y244" s="273"/>
      <c r="Z244" s="3"/>
      <c r="AA244" s="3"/>
      <c r="AB244" s="274"/>
      <c r="AC244" s="1"/>
      <c r="AD244" s="273"/>
      <c r="AE244" s="3"/>
      <c r="AF244" s="3"/>
      <c r="AG244" s="274"/>
      <c r="AH244" s="1"/>
      <c r="AI244" s="273"/>
      <c r="AJ244" s="3"/>
      <c r="AK244" s="3"/>
      <c r="AL244" s="274"/>
      <c r="AM244" s="1"/>
      <c r="AN244" s="273"/>
      <c r="AO244" s="3"/>
      <c r="AP244" s="3"/>
      <c r="AQ244" s="274"/>
      <c r="AR244" s="224"/>
      <c r="AS244" s="273"/>
      <c r="AT244" s="3"/>
      <c r="AU244" s="3"/>
      <c r="AV244" s="274"/>
      <c r="AW244" s="224"/>
      <c r="AX244" s="273"/>
      <c r="AY244" s="3"/>
      <c r="AZ244" s="3"/>
      <c r="BA244" s="274"/>
      <c r="BB244" s="224"/>
      <c r="BC244" s="273"/>
      <c r="BD244" s="3"/>
      <c r="BE244" s="3"/>
      <c r="BF244" s="274"/>
      <c r="BG244" s="224"/>
      <c r="BH244" s="273"/>
      <c r="BI244" s="3"/>
      <c r="BJ244" s="3"/>
      <c r="BK244" s="274"/>
      <c r="BL244" s="224"/>
      <c r="BM244" s="273"/>
      <c r="BN244" s="3"/>
      <c r="BO244" s="3"/>
      <c r="BP244" s="274"/>
      <c r="BQ244" s="224"/>
      <c r="BR244" s="40"/>
      <c r="BS244" s="1000"/>
      <c r="BT244" s="1000"/>
      <c r="BU244" s="232"/>
      <c r="BV244" s="28"/>
      <c r="BW244" s="28"/>
      <c r="BX244" s="28"/>
      <c r="BY244" s="28"/>
      <c r="BZ244" s="28"/>
      <c r="CA244" s="28"/>
      <c r="CB244" s="28"/>
      <c r="CC244" s="28"/>
      <c r="CD244" s="40"/>
      <c r="CE244" s="40"/>
      <c r="CF244" s="40"/>
      <c r="CG244" s="40"/>
      <c r="CH244" s="40"/>
      <c r="CI244" s="40"/>
      <c r="CJ244" s="40"/>
      <c r="CK244" s="40"/>
      <c r="CL244" s="40"/>
      <c r="CM244" s="40"/>
      <c r="CN244" s="40"/>
      <c r="CO244" s="40"/>
      <c r="CP244" s="40"/>
      <c r="CQ244" s="40"/>
      <c r="CR244" s="40"/>
      <c r="CS244" s="40"/>
      <c r="CT244" s="823"/>
      <c r="CU244" s="232"/>
      <c r="CV244" s="232"/>
      <c r="CW244" s="232"/>
      <c r="CX244" s="232"/>
      <c r="CY244" s="232"/>
      <c r="CZ244" s="40"/>
      <c r="DA244" s="40"/>
      <c r="DB244" s="40"/>
      <c r="DC244" s="40"/>
      <c r="DD244" s="40"/>
      <c r="DE244" s="40"/>
      <c r="DF244" s="232"/>
      <c r="DG244" s="232"/>
      <c r="DH244" s="232"/>
      <c r="DI244" s="232"/>
      <c r="DJ244" s="232"/>
      <c r="DK244" s="232"/>
      <c r="DL244" s="232"/>
      <c r="DM244" s="232"/>
      <c r="DN244" s="232"/>
    </row>
    <row r="245" spans="1:118">
      <c r="A245" s="40"/>
      <c r="B245" s="1"/>
      <c r="C245" s="225" t="s">
        <v>1007</v>
      </c>
      <c r="D245" s="1"/>
      <c r="E245" s="273"/>
      <c r="F245" s="3"/>
      <c r="G245" s="3"/>
      <c r="H245" s="274"/>
      <c r="I245" s="28"/>
      <c r="J245" s="273"/>
      <c r="K245" s="3"/>
      <c r="L245" s="3"/>
      <c r="M245" s="274"/>
      <c r="N245" s="1"/>
      <c r="O245" s="273"/>
      <c r="P245" s="3"/>
      <c r="Q245" s="3"/>
      <c r="R245" s="274"/>
      <c r="S245" s="1"/>
      <c r="T245" s="273"/>
      <c r="U245" s="3"/>
      <c r="V245" s="3"/>
      <c r="W245" s="274"/>
      <c r="X245" s="883"/>
      <c r="Y245" s="273"/>
      <c r="Z245" s="3"/>
      <c r="AA245" s="3"/>
      <c r="AB245" s="274"/>
      <c r="AC245" s="1"/>
      <c r="AD245" s="273"/>
      <c r="AE245" s="3"/>
      <c r="AF245" s="3"/>
      <c r="AG245" s="274"/>
      <c r="AH245" s="1"/>
      <c r="AI245" s="273"/>
      <c r="AJ245" s="3"/>
      <c r="AK245" s="3"/>
      <c r="AL245" s="274"/>
      <c r="AM245" s="1"/>
      <c r="AN245" s="273"/>
      <c r="AO245" s="3"/>
      <c r="AP245" s="3"/>
      <c r="AQ245" s="274"/>
      <c r="AR245" s="224"/>
      <c r="AS245" s="273"/>
      <c r="AT245" s="3"/>
      <c r="AU245" s="3"/>
      <c r="AV245" s="274"/>
      <c r="AW245" s="224"/>
      <c r="AX245" s="273"/>
      <c r="AY245" s="3"/>
      <c r="AZ245" s="3"/>
      <c r="BA245" s="274"/>
      <c r="BB245" s="224"/>
      <c r="BC245" s="273"/>
      <c r="BD245" s="3"/>
      <c r="BE245" s="3"/>
      <c r="BF245" s="274"/>
      <c r="BG245" s="224"/>
      <c r="BH245" s="273"/>
      <c r="BI245" s="3"/>
      <c r="BJ245" s="3"/>
      <c r="BK245" s="274"/>
      <c r="BL245" s="224"/>
      <c r="BM245" s="273"/>
      <c r="BN245" s="3"/>
      <c r="BO245" s="3"/>
      <c r="BP245" s="274"/>
      <c r="BQ245" s="224"/>
      <c r="BR245" s="1000"/>
      <c r="BS245" s="1000"/>
      <c r="BT245" s="1000"/>
      <c r="BU245" s="232"/>
      <c r="BV245" s="28"/>
      <c r="BW245" s="28"/>
      <c r="BX245" s="28"/>
      <c r="BY245" s="28"/>
      <c r="BZ245" s="28"/>
      <c r="CA245" s="28"/>
      <c r="CB245" s="28"/>
      <c r="CC245" s="28"/>
      <c r="CD245" s="40"/>
      <c r="CE245" s="40"/>
      <c r="CF245" s="40"/>
      <c r="CG245" s="40"/>
      <c r="CH245" s="40"/>
      <c r="CI245" s="40"/>
      <c r="CJ245" s="40"/>
      <c r="CK245" s="40"/>
      <c r="CL245" s="40"/>
      <c r="CM245" s="40"/>
      <c r="CN245" s="40"/>
      <c r="CO245" s="40"/>
      <c r="CP245" s="40"/>
      <c r="CQ245" s="40"/>
      <c r="CR245" s="40"/>
      <c r="CS245" s="40"/>
      <c r="CT245" s="823"/>
      <c r="CU245" s="232"/>
      <c r="CV245" s="232"/>
      <c r="CW245" s="232"/>
      <c r="CX245" s="232"/>
      <c r="CY245" s="232"/>
      <c r="CZ245" s="40"/>
      <c r="DA245" s="40"/>
      <c r="DB245" s="40"/>
      <c r="DC245" s="40"/>
      <c r="DD245" s="40"/>
      <c r="DE245" s="40"/>
      <c r="DF245" s="232"/>
      <c r="DG245" s="232"/>
      <c r="DH245" s="232"/>
      <c r="DI245" s="232"/>
      <c r="DJ245" s="232"/>
      <c r="DK245" s="232"/>
      <c r="DL245" s="232"/>
      <c r="DM245" s="232"/>
      <c r="DN245" s="232"/>
    </row>
    <row r="246" spans="1:118">
      <c r="A246" s="40"/>
      <c r="B246" s="1"/>
      <c r="C246" s="409" t="s">
        <v>1006</v>
      </c>
      <c r="D246" s="1"/>
      <c r="E246" s="273"/>
      <c r="F246" s="3"/>
      <c r="G246" s="3"/>
      <c r="H246" s="274"/>
      <c r="I246" s="28"/>
      <c r="J246" s="273"/>
      <c r="K246" s="3"/>
      <c r="L246" s="3"/>
      <c r="M246" s="274"/>
      <c r="N246" s="1"/>
      <c r="O246" s="273"/>
      <c r="P246" s="3"/>
      <c r="Q246" s="3"/>
      <c r="R246" s="274"/>
      <c r="S246" s="1"/>
      <c r="T246" s="997"/>
      <c r="U246" s="998"/>
      <c r="V246" s="998"/>
      <c r="W246" s="999"/>
      <c r="X246" s="1000"/>
      <c r="Y246" s="997">
        <f t="shared" ref="Y246:AB250" si="394">Z246</f>
        <v>0</v>
      </c>
      <c r="Z246" s="998">
        <f t="shared" si="394"/>
        <v>0</v>
      </c>
      <c r="AA246" s="998">
        <f t="shared" si="394"/>
        <v>0</v>
      </c>
      <c r="AB246" s="999">
        <f t="shared" si="394"/>
        <v>0</v>
      </c>
      <c r="AC246" s="1000"/>
      <c r="AD246" s="997">
        <f t="shared" ref="AD246:AG250" si="395">AE246</f>
        <v>33.5</v>
      </c>
      <c r="AE246" s="998">
        <f t="shared" si="395"/>
        <v>33.5</v>
      </c>
      <c r="AF246" s="998">
        <f t="shared" si="395"/>
        <v>33.5</v>
      </c>
      <c r="AG246" s="999">
        <f t="shared" si="395"/>
        <v>33.5</v>
      </c>
      <c r="AH246" s="1000">
        <v>33.5</v>
      </c>
      <c r="AI246" s="2091">
        <v>34</v>
      </c>
      <c r="AJ246" s="998">
        <f>AVERAGE(AI246,AK246)</f>
        <v>34.5</v>
      </c>
      <c r="AK246" s="2090">
        <v>35</v>
      </c>
      <c r="AL246" s="999">
        <f>AJ246</f>
        <v>34.5</v>
      </c>
      <c r="AM246" s="1000">
        <v>34</v>
      </c>
      <c r="AN246" s="997">
        <f t="shared" ref="AN246:AQ250" si="396">AO246</f>
        <v>35.5</v>
      </c>
      <c r="AO246" s="998">
        <f t="shared" si="396"/>
        <v>35.5</v>
      </c>
      <c r="AP246" s="998">
        <f t="shared" si="396"/>
        <v>35.5</v>
      </c>
      <c r="AQ246" s="999">
        <f t="shared" si="396"/>
        <v>35.5</v>
      </c>
      <c r="AR246" s="1000">
        <v>35.5</v>
      </c>
      <c r="AS246" s="997">
        <f t="shared" ref="AS246:AV250" si="397">AT246</f>
        <v>33</v>
      </c>
      <c r="AT246" s="998">
        <f t="shared" si="397"/>
        <v>33</v>
      </c>
      <c r="AU246" s="998">
        <f t="shared" si="397"/>
        <v>33</v>
      </c>
      <c r="AV246" s="999">
        <f t="shared" si="397"/>
        <v>33</v>
      </c>
      <c r="AW246" s="1000">
        <v>33</v>
      </c>
      <c r="AX246" s="997">
        <f t="shared" ref="AX246:BA250" si="398">AY246</f>
        <v>29.5</v>
      </c>
      <c r="AY246" s="998">
        <f t="shared" si="398"/>
        <v>29.5</v>
      </c>
      <c r="AZ246" s="998">
        <f t="shared" si="398"/>
        <v>29.5</v>
      </c>
      <c r="BA246" s="999">
        <f t="shared" si="398"/>
        <v>29.5</v>
      </c>
      <c r="BB246" s="1000">
        <v>29.5</v>
      </c>
      <c r="BC246" s="997">
        <f t="shared" ref="BC246:BE250" si="399">BD246</f>
        <v>29.5</v>
      </c>
      <c r="BD246" s="998">
        <f t="shared" si="399"/>
        <v>29.5</v>
      </c>
      <c r="BE246" s="998">
        <f t="shared" si="399"/>
        <v>29.5</v>
      </c>
      <c r="BF246" s="999">
        <f>BG246</f>
        <v>29.5</v>
      </c>
      <c r="BG246" s="1000">
        <v>29.5</v>
      </c>
      <c r="BH246" s="997">
        <f t="shared" ref="BH246:BK250" si="400">BI246</f>
        <v>31</v>
      </c>
      <c r="BI246" s="998">
        <f t="shared" si="400"/>
        <v>31</v>
      </c>
      <c r="BJ246" s="998">
        <f t="shared" si="400"/>
        <v>31</v>
      </c>
      <c r="BK246" s="999">
        <f t="shared" si="400"/>
        <v>31</v>
      </c>
      <c r="BL246" s="1000">
        <v>31</v>
      </c>
      <c r="BM246" s="997">
        <f t="shared" ref="BM246:BM250" si="401">BN246</f>
        <v>31</v>
      </c>
      <c r="BN246" s="998">
        <f t="shared" ref="BN246:BN250" si="402">BO246</f>
        <v>31</v>
      </c>
      <c r="BO246" s="998">
        <f t="shared" ref="BO246:BO250" si="403">BP246</f>
        <v>31</v>
      </c>
      <c r="BP246" s="999">
        <f t="shared" ref="BP246:BP250" si="404">BQ246</f>
        <v>31</v>
      </c>
      <c r="BQ246" s="1000">
        <f>+BL246</f>
        <v>31</v>
      </c>
      <c r="BR246" s="1000"/>
      <c r="BS246" s="1000"/>
      <c r="BT246" s="1000"/>
      <c r="BU246" s="232"/>
      <c r="BV246" s="28"/>
      <c r="BW246" s="28"/>
      <c r="BX246" s="28"/>
      <c r="BY246" s="28"/>
      <c r="BZ246" s="28"/>
      <c r="CA246" s="28"/>
      <c r="CB246" s="28"/>
      <c r="CC246" s="28"/>
      <c r="CD246" s="40"/>
      <c r="CE246" s="40"/>
      <c r="CF246" s="40"/>
      <c r="CG246" s="40"/>
      <c r="CH246" s="40"/>
      <c r="CI246" s="40"/>
      <c r="CJ246" s="40"/>
      <c r="CK246" s="40"/>
      <c r="CL246" s="40"/>
      <c r="CM246" s="40"/>
      <c r="CN246" s="40"/>
      <c r="CO246" s="40"/>
      <c r="CP246" s="40"/>
      <c r="CQ246" s="40"/>
      <c r="CR246" s="40"/>
      <c r="CS246" s="40"/>
      <c r="CT246" s="823"/>
      <c r="CU246" s="232"/>
      <c r="CV246" s="232"/>
      <c r="CW246" s="232"/>
      <c r="CX246" s="232"/>
      <c r="CY246" s="232"/>
      <c r="CZ246" s="40"/>
      <c r="DA246" s="40"/>
      <c r="DB246" s="40"/>
      <c r="DC246" s="40"/>
      <c r="DD246" s="40"/>
      <c r="DE246" s="40"/>
      <c r="DF246" s="232"/>
      <c r="DG246" s="232"/>
      <c r="DH246" s="232"/>
      <c r="DI246" s="232"/>
      <c r="DJ246" s="232"/>
      <c r="DK246" s="232"/>
      <c r="DL246" s="232"/>
      <c r="DM246" s="232"/>
      <c r="DN246" s="232"/>
    </row>
    <row r="247" spans="1:118">
      <c r="A247" s="40"/>
      <c r="B247" s="1"/>
      <c r="C247" s="409" t="s">
        <v>1005</v>
      </c>
      <c r="D247" s="1"/>
      <c r="E247" s="273"/>
      <c r="F247" s="3"/>
      <c r="G247" s="3"/>
      <c r="H247" s="274"/>
      <c r="I247" s="28"/>
      <c r="J247" s="273"/>
      <c r="K247" s="3"/>
      <c r="L247" s="3"/>
      <c r="M247" s="274"/>
      <c r="N247" s="1"/>
      <c r="O247" s="273"/>
      <c r="P247" s="3"/>
      <c r="Q247" s="3"/>
      <c r="R247" s="274"/>
      <c r="S247" s="1"/>
      <c r="T247" s="997"/>
      <c r="U247" s="998"/>
      <c r="V247" s="998"/>
      <c r="W247" s="999"/>
      <c r="X247" s="1000"/>
      <c r="Y247" s="997">
        <f t="shared" si="394"/>
        <v>0</v>
      </c>
      <c r="Z247" s="998">
        <f t="shared" si="394"/>
        <v>0</v>
      </c>
      <c r="AA247" s="998">
        <f t="shared" si="394"/>
        <v>0</v>
      </c>
      <c r="AB247" s="999">
        <f t="shared" si="394"/>
        <v>0</v>
      </c>
      <c r="AC247" s="1000"/>
      <c r="AD247" s="997">
        <f t="shared" si="395"/>
        <v>45</v>
      </c>
      <c r="AE247" s="998">
        <f t="shared" si="395"/>
        <v>45</v>
      </c>
      <c r="AF247" s="998">
        <f t="shared" si="395"/>
        <v>45</v>
      </c>
      <c r="AG247" s="999">
        <f t="shared" si="395"/>
        <v>45</v>
      </c>
      <c r="AH247" s="1000">
        <v>45</v>
      </c>
      <c r="AI247" s="2091">
        <v>45</v>
      </c>
      <c r="AJ247" s="998">
        <f>AVERAGE(AI247,AK247)</f>
        <v>47.25</v>
      </c>
      <c r="AK247" s="2090">
        <v>49.5</v>
      </c>
      <c r="AL247" s="999">
        <f>AJ247</f>
        <v>47.25</v>
      </c>
      <c r="AM247" s="1000">
        <v>45</v>
      </c>
      <c r="AN247" s="997">
        <f t="shared" si="396"/>
        <v>48</v>
      </c>
      <c r="AO247" s="998">
        <f t="shared" si="396"/>
        <v>48</v>
      </c>
      <c r="AP247" s="998">
        <f t="shared" si="396"/>
        <v>48</v>
      </c>
      <c r="AQ247" s="999">
        <f t="shared" si="396"/>
        <v>48</v>
      </c>
      <c r="AR247" s="1000">
        <v>48</v>
      </c>
      <c r="AS247" s="997">
        <f t="shared" si="397"/>
        <v>44</v>
      </c>
      <c r="AT247" s="998">
        <f t="shared" si="397"/>
        <v>44</v>
      </c>
      <c r="AU247" s="998">
        <f t="shared" si="397"/>
        <v>44</v>
      </c>
      <c r="AV247" s="999">
        <f t="shared" si="397"/>
        <v>44</v>
      </c>
      <c r="AW247" s="1000">
        <v>44</v>
      </c>
      <c r="AX247" s="997">
        <f t="shared" si="398"/>
        <v>36</v>
      </c>
      <c r="AY247" s="998">
        <f t="shared" si="398"/>
        <v>36</v>
      </c>
      <c r="AZ247" s="998">
        <f t="shared" si="398"/>
        <v>36</v>
      </c>
      <c r="BA247" s="999">
        <f t="shared" si="398"/>
        <v>36</v>
      </c>
      <c r="BB247" s="1000">
        <v>36</v>
      </c>
      <c r="BC247" s="997">
        <f t="shared" si="399"/>
        <v>37.5</v>
      </c>
      <c r="BD247" s="998">
        <f t="shared" si="399"/>
        <v>37.5</v>
      </c>
      <c r="BE247" s="998">
        <f t="shared" si="399"/>
        <v>37.5</v>
      </c>
      <c r="BF247" s="999">
        <f>BG247</f>
        <v>37.5</v>
      </c>
      <c r="BG247" s="1000">
        <v>37.5</v>
      </c>
      <c r="BH247" s="997">
        <f t="shared" si="400"/>
        <v>38.5</v>
      </c>
      <c r="BI247" s="998">
        <f t="shared" si="400"/>
        <v>38.5</v>
      </c>
      <c r="BJ247" s="998">
        <f t="shared" si="400"/>
        <v>38.5</v>
      </c>
      <c r="BK247" s="999">
        <f t="shared" si="400"/>
        <v>38.5</v>
      </c>
      <c r="BL247" s="1000">
        <v>38.5</v>
      </c>
      <c r="BM247" s="997">
        <f t="shared" si="401"/>
        <v>38.5</v>
      </c>
      <c r="BN247" s="998">
        <f t="shared" si="402"/>
        <v>38.5</v>
      </c>
      <c r="BO247" s="998">
        <f t="shared" si="403"/>
        <v>38.5</v>
      </c>
      <c r="BP247" s="999">
        <f t="shared" si="404"/>
        <v>38.5</v>
      </c>
      <c r="BQ247" s="1000">
        <f t="shared" ref="BQ247:BQ250" si="405">+BL247</f>
        <v>38.5</v>
      </c>
      <c r="BR247" s="1000"/>
      <c r="BS247" s="1000"/>
      <c r="BT247" s="1000"/>
      <c r="BU247" s="232"/>
      <c r="BV247" s="28"/>
      <c r="BW247" s="28"/>
      <c r="BX247" s="28"/>
      <c r="BY247" s="28"/>
      <c r="BZ247" s="28"/>
      <c r="CA247" s="28"/>
      <c r="CB247" s="28"/>
      <c r="CC247" s="28"/>
      <c r="CD247" s="40"/>
      <c r="CE247" s="40"/>
      <c r="CF247" s="40"/>
      <c r="CG247" s="40"/>
      <c r="CH247" s="40"/>
      <c r="CI247" s="40"/>
      <c r="CJ247" s="40"/>
      <c r="CK247" s="40"/>
      <c r="CL247" s="40"/>
      <c r="CM247" s="40"/>
      <c r="CN247" s="40"/>
      <c r="CO247" s="40"/>
      <c r="CP247" s="40"/>
      <c r="CQ247" s="40"/>
      <c r="CR247" s="40"/>
      <c r="CS247" s="40"/>
      <c r="CT247" s="823"/>
      <c r="CU247" s="232"/>
      <c r="CV247" s="232"/>
      <c r="CW247" s="232"/>
      <c r="CX247" s="232"/>
      <c r="CY247" s="232"/>
      <c r="CZ247" s="40"/>
      <c r="DA247" s="40"/>
      <c r="DB247" s="40"/>
      <c r="DC247" s="40"/>
      <c r="DD247" s="40"/>
      <c r="DE247" s="40"/>
      <c r="DF247" s="232"/>
      <c r="DG247" s="232"/>
      <c r="DH247" s="232"/>
      <c r="DI247" s="232"/>
      <c r="DJ247" s="232"/>
      <c r="DK247" s="232"/>
      <c r="DL247" s="232"/>
      <c r="DM247" s="232"/>
      <c r="DN247" s="232"/>
    </row>
    <row r="248" spans="1:118">
      <c r="A248" s="40"/>
      <c r="B248" s="1"/>
      <c r="C248" s="409" t="s">
        <v>1009</v>
      </c>
      <c r="D248" s="1"/>
      <c r="E248" s="273"/>
      <c r="F248" s="3"/>
      <c r="G248" s="3"/>
      <c r="H248" s="274"/>
      <c r="I248" s="28"/>
      <c r="J248" s="273"/>
      <c r="K248" s="3"/>
      <c r="L248" s="3"/>
      <c r="M248" s="274"/>
      <c r="N248" s="1"/>
      <c r="O248" s="273"/>
      <c r="P248" s="3"/>
      <c r="Q248" s="3"/>
      <c r="R248" s="274"/>
      <c r="S248" s="1"/>
      <c r="T248" s="997"/>
      <c r="U248" s="998"/>
      <c r="V248" s="998"/>
      <c r="W248" s="999"/>
      <c r="X248" s="1000"/>
      <c r="Y248" s="997">
        <f t="shared" si="394"/>
        <v>0</v>
      </c>
      <c r="Z248" s="998">
        <f t="shared" si="394"/>
        <v>0</v>
      </c>
      <c r="AA248" s="998">
        <f t="shared" si="394"/>
        <v>0</v>
      </c>
      <c r="AB248" s="999">
        <f t="shared" si="394"/>
        <v>0</v>
      </c>
      <c r="AC248" s="1000"/>
      <c r="AD248" s="997">
        <f t="shared" si="395"/>
        <v>10.5</v>
      </c>
      <c r="AE248" s="998">
        <f t="shared" si="395"/>
        <v>10.5</v>
      </c>
      <c r="AF248" s="998">
        <f t="shared" si="395"/>
        <v>10.5</v>
      </c>
      <c r="AG248" s="999">
        <f t="shared" si="395"/>
        <v>10.5</v>
      </c>
      <c r="AH248" s="1000">
        <v>10.5</v>
      </c>
      <c r="AI248" s="2091">
        <v>10.5</v>
      </c>
      <c r="AJ248" s="998">
        <f>AVERAGE(AI248,AK248)</f>
        <v>15</v>
      </c>
      <c r="AK248" s="2090">
        <v>19.5</v>
      </c>
      <c r="AL248" s="999">
        <f>AJ248</f>
        <v>15</v>
      </c>
      <c r="AM248" s="1000">
        <v>10.5</v>
      </c>
      <c r="AN248" s="997">
        <f t="shared" si="396"/>
        <v>18.5</v>
      </c>
      <c r="AO248" s="998">
        <f t="shared" si="396"/>
        <v>18.5</v>
      </c>
      <c r="AP248" s="998">
        <f t="shared" si="396"/>
        <v>18.5</v>
      </c>
      <c r="AQ248" s="999">
        <f t="shared" si="396"/>
        <v>18.5</v>
      </c>
      <c r="AR248" s="1000">
        <v>18.5</v>
      </c>
      <c r="AS248" s="997">
        <f t="shared" si="397"/>
        <v>11</v>
      </c>
      <c r="AT248" s="998">
        <f t="shared" si="397"/>
        <v>11</v>
      </c>
      <c r="AU248" s="998">
        <f t="shared" si="397"/>
        <v>11</v>
      </c>
      <c r="AV248" s="999">
        <f t="shared" si="397"/>
        <v>11</v>
      </c>
      <c r="AW248" s="1000">
        <v>11</v>
      </c>
      <c r="AX248" s="997">
        <f t="shared" si="398"/>
        <v>4.5</v>
      </c>
      <c r="AY248" s="998">
        <f t="shared" si="398"/>
        <v>4.5</v>
      </c>
      <c r="AZ248" s="998">
        <f t="shared" si="398"/>
        <v>4.5</v>
      </c>
      <c r="BA248" s="999">
        <f t="shared" si="398"/>
        <v>4.5</v>
      </c>
      <c r="BB248" s="1000">
        <v>4.5</v>
      </c>
      <c r="BC248" s="997">
        <f t="shared" si="399"/>
        <v>3.5</v>
      </c>
      <c r="BD248" s="998">
        <f t="shared" si="399"/>
        <v>3.5</v>
      </c>
      <c r="BE248" s="998">
        <f t="shared" si="399"/>
        <v>3.5</v>
      </c>
      <c r="BF248" s="999">
        <f>BG248</f>
        <v>3.5</v>
      </c>
      <c r="BG248" s="1000">
        <v>3.5</v>
      </c>
      <c r="BH248" s="997">
        <f t="shared" si="400"/>
        <v>2</v>
      </c>
      <c r="BI248" s="998">
        <f t="shared" si="400"/>
        <v>2</v>
      </c>
      <c r="BJ248" s="998">
        <f t="shared" si="400"/>
        <v>2</v>
      </c>
      <c r="BK248" s="999">
        <f t="shared" si="400"/>
        <v>2</v>
      </c>
      <c r="BL248" s="1000">
        <v>2</v>
      </c>
      <c r="BM248" s="997">
        <f t="shared" si="401"/>
        <v>2</v>
      </c>
      <c r="BN248" s="998">
        <f t="shared" si="402"/>
        <v>2</v>
      </c>
      <c r="BO248" s="998">
        <f t="shared" si="403"/>
        <v>2</v>
      </c>
      <c r="BP248" s="999">
        <f t="shared" si="404"/>
        <v>2</v>
      </c>
      <c r="BQ248" s="1000">
        <f t="shared" si="405"/>
        <v>2</v>
      </c>
      <c r="BR248" s="1000"/>
      <c r="BS248" s="40"/>
      <c r="BT248" s="40"/>
      <c r="BU248" s="232"/>
      <c r="BV248" s="28"/>
      <c r="BW248" s="28"/>
      <c r="BX248" s="28"/>
      <c r="BY248" s="28"/>
      <c r="BZ248" s="28"/>
      <c r="CA248" s="28"/>
      <c r="CB248" s="28"/>
      <c r="CC248" s="28"/>
      <c r="CD248" s="40"/>
      <c r="CE248" s="40"/>
      <c r="CF248" s="40"/>
      <c r="CG248" s="40"/>
      <c r="CH248" s="40"/>
      <c r="CI248" s="40"/>
      <c r="CJ248" s="40"/>
      <c r="CK248" s="40"/>
      <c r="CL248" s="40"/>
      <c r="CM248" s="40"/>
      <c r="CN248" s="40"/>
      <c r="CO248" s="40"/>
      <c r="CP248" s="40"/>
      <c r="CQ248" s="40"/>
      <c r="CR248" s="40"/>
      <c r="CS248" s="40"/>
      <c r="CT248" s="823"/>
      <c r="CU248" s="232"/>
      <c r="CV248" s="232"/>
      <c r="CW248" s="232"/>
      <c r="CX248" s="232"/>
      <c r="CY248" s="232"/>
      <c r="CZ248" s="40"/>
      <c r="DA248" s="40"/>
      <c r="DB248" s="40"/>
      <c r="DC248" s="40"/>
      <c r="DD248" s="40"/>
      <c r="DE248" s="40"/>
      <c r="DF248" s="232"/>
      <c r="DG248" s="232"/>
      <c r="DH248" s="232"/>
      <c r="DI248" s="232"/>
      <c r="DJ248" s="232"/>
      <c r="DK248" s="232"/>
      <c r="DL248" s="232"/>
      <c r="DM248" s="232"/>
      <c r="DN248" s="232"/>
    </row>
    <row r="249" spans="1:118">
      <c r="A249" s="40"/>
      <c r="B249" s="1"/>
      <c r="C249" s="409" t="s">
        <v>640</v>
      </c>
      <c r="D249" s="1"/>
      <c r="E249" s="273"/>
      <c r="F249" s="3"/>
      <c r="G249" s="3"/>
      <c r="H249" s="274"/>
      <c r="I249" s="28"/>
      <c r="J249" s="273"/>
      <c r="K249" s="3"/>
      <c r="L249" s="3"/>
      <c r="M249" s="274"/>
      <c r="N249" s="1"/>
      <c r="O249" s="273"/>
      <c r="P249" s="3"/>
      <c r="Q249" s="3"/>
      <c r="R249" s="274"/>
      <c r="S249" s="1"/>
      <c r="T249" s="997"/>
      <c r="U249" s="998"/>
      <c r="V249" s="998"/>
      <c r="W249" s="999"/>
      <c r="X249" s="1000"/>
      <c r="Y249" s="997">
        <f t="shared" si="394"/>
        <v>0</v>
      </c>
      <c r="Z249" s="998">
        <f t="shared" si="394"/>
        <v>0</v>
      </c>
      <c r="AA249" s="998">
        <f t="shared" si="394"/>
        <v>0</v>
      </c>
      <c r="AB249" s="999">
        <f t="shared" si="394"/>
        <v>0</v>
      </c>
      <c r="AC249" s="1000"/>
      <c r="AD249" s="997">
        <f t="shared" si="395"/>
        <v>37</v>
      </c>
      <c r="AE249" s="998">
        <f t="shared" si="395"/>
        <v>37</v>
      </c>
      <c r="AF249" s="998">
        <f t="shared" si="395"/>
        <v>37</v>
      </c>
      <c r="AG249" s="999">
        <f t="shared" si="395"/>
        <v>37</v>
      </c>
      <c r="AH249" s="1000">
        <v>37</v>
      </c>
      <c r="AI249" s="2091">
        <v>47.5</v>
      </c>
      <c r="AJ249" s="998">
        <f>AVERAGE(AI249,AK249)</f>
        <v>47</v>
      </c>
      <c r="AK249" s="2090">
        <v>46.5</v>
      </c>
      <c r="AL249" s="999">
        <f>AJ249</f>
        <v>47</v>
      </c>
      <c r="AM249" s="1000">
        <v>47.5</v>
      </c>
      <c r="AN249" s="997">
        <f t="shared" si="396"/>
        <v>59.5</v>
      </c>
      <c r="AO249" s="998">
        <f t="shared" si="396"/>
        <v>59.5</v>
      </c>
      <c r="AP249" s="998">
        <f t="shared" si="396"/>
        <v>59.5</v>
      </c>
      <c r="AQ249" s="999">
        <f t="shared" si="396"/>
        <v>59.5</v>
      </c>
      <c r="AR249" s="1000">
        <v>59.5</v>
      </c>
      <c r="AS249" s="997">
        <f t="shared" si="397"/>
        <v>41.5</v>
      </c>
      <c r="AT249" s="998">
        <f t="shared" si="397"/>
        <v>41.5</v>
      </c>
      <c r="AU249" s="998">
        <f>AV249</f>
        <v>41.5</v>
      </c>
      <c r="AV249" s="999">
        <f t="shared" si="397"/>
        <v>41.5</v>
      </c>
      <c r="AW249" s="1000">
        <v>41.5</v>
      </c>
      <c r="AX249" s="997">
        <f t="shared" si="398"/>
        <v>36</v>
      </c>
      <c r="AY249" s="998">
        <f t="shared" si="398"/>
        <v>36</v>
      </c>
      <c r="AZ249" s="998">
        <f t="shared" si="398"/>
        <v>36</v>
      </c>
      <c r="BA249" s="999">
        <f t="shared" si="398"/>
        <v>36</v>
      </c>
      <c r="BB249" s="1000">
        <v>36</v>
      </c>
      <c r="BC249" s="997">
        <f t="shared" si="399"/>
        <v>32</v>
      </c>
      <c r="BD249" s="998">
        <f t="shared" si="399"/>
        <v>32</v>
      </c>
      <c r="BE249" s="998">
        <f t="shared" si="399"/>
        <v>32</v>
      </c>
      <c r="BF249" s="999">
        <f>BG249</f>
        <v>32</v>
      </c>
      <c r="BG249" s="1000">
        <v>32</v>
      </c>
      <c r="BH249" s="997">
        <f t="shared" si="400"/>
        <v>30</v>
      </c>
      <c r="BI249" s="998">
        <f t="shared" si="400"/>
        <v>30</v>
      </c>
      <c r="BJ249" s="998">
        <f t="shared" si="400"/>
        <v>30</v>
      </c>
      <c r="BK249" s="999">
        <f t="shared" si="400"/>
        <v>30</v>
      </c>
      <c r="BL249" s="1000">
        <v>30</v>
      </c>
      <c r="BM249" s="997">
        <f t="shared" si="401"/>
        <v>30</v>
      </c>
      <c r="BN249" s="998">
        <f t="shared" si="402"/>
        <v>30</v>
      </c>
      <c r="BO249" s="998">
        <f t="shared" si="403"/>
        <v>30</v>
      </c>
      <c r="BP249" s="999">
        <f t="shared" si="404"/>
        <v>30</v>
      </c>
      <c r="BQ249" s="1000">
        <f t="shared" si="405"/>
        <v>30</v>
      </c>
      <c r="BR249" s="1000"/>
      <c r="BS249" s="40"/>
      <c r="BT249" s="40"/>
      <c r="BU249" s="232"/>
      <c r="BV249" s="28"/>
      <c r="BW249" s="28"/>
      <c r="BX249" s="28"/>
      <c r="BY249" s="28"/>
      <c r="BZ249" s="28"/>
      <c r="CA249" s="28"/>
      <c r="CB249" s="28"/>
      <c r="CC249" s="28"/>
      <c r="CD249" s="40"/>
      <c r="CE249" s="40"/>
      <c r="CF249" s="40"/>
      <c r="CG249" s="40"/>
      <c r="CH249" s="40"/>
      <c r="CI249" s="40"/>
      <c r="CJ249" s="40"/>
      <c r="CK249" s="40"/>
      <c r="CL249" s="40"/>
      <c r="CM249" s="40"/>
      <c r="CN249" s="40"/>
      <c r="CO249" s="40"/>
      <c r="CP249" s="40"/>
      <c r="CQ249" s="40"/>
      <c r="CR249" s="40"/>
      <c r="CS249" s="40"/>
      <c r="CT249" s="823"/>
      <c r="CU249" s="232"/>
      <c r="CV249" s="232"/>
      <c r="CW249" s="232"/>
      <c r="CX249" s="232"/>
      <c r="CY249" s="232"/>
      <c r="CZ249" s="40"/>
      <c r="DA249" s="40"/>
      <c r="DB249" s="40"/>
      <c r="DC249" s="40"/>
      <c r="DD249" s="40"/>
      <c r="DE249" s="40"/>
      <c r="DF249" s="232"/>
      <c r="DG249" s="232"/>
      <c r="DH249" s="232"/>
      <c r="DI249" s="232"/>
      <c r="DJ249" s="232"/>
      <c r="DK249" s="232"/>
      <c r="DL249" s="232"/>
      <c r="DM249" s="232"/>
      <c r="DN249" s="232"/>
    </row>
    <row r="250" spans="1:118">
      <c r="A250" s="40"/>
      <c r="B250" s="1"/>
      <c r="C250" s="409" t="s">
        <v>1010</v>
      </c>
      <c r="D250" s="1"/>
      <c r="E250" s="273"/>
      <c r="F250" s="3"/>
      <c r="G250" s="3"/>
      <c r="H250" s="274"/>
      <c r="I250" s="28"/>
      <c r="J250" s="273"/>
      <c r="K250" s="3"/>
      <c r="L250" s="3"/>
      <c r="M250" s="274"/>
      <c r="N250" s="1"/>
      <c r="O250" s="273"/>
      <c r="P250" s="3"/>
      <c r="Q250" s="3"/>
      <c r="R250" s="274"/>
      <c r="S250" s="1"/>
      <c r="T250" s="997"/>
      <c r="U250" s="998"/>
      <c r="V250" s="998"/>
      <c r="W250" s="999"/>
      <c r="X250" s="1000"/>
      <c r="Y250" s="997">
        <f t="shared" si="394"/>
        <v>0</v>
      </c>
      <c r="Z250" s="998">
        <f t="shared" si="394"/>
        <v>0</v>
      </c>
      <c r="AA250" s="998">
        <f t="shared" si="394"/>
        <v>0</v>
      </c>
      <c r="AB250" s="999">
        <f t="shared" si="394"/>
        <v>0</v>
      </c>
      <c r="AC250" s="1000"/>
      <c r="AD250" s="997">
        <f t="shared" si="395"/>
        <v>4</v>
      </c>
      <c r="AE250" s="998">
        <f t="shared" si="395"/>
        <v>4</v>
      </c>
      <c r="AF250" s="998">
        <f t="shared" si="395"/>
        <v>4</v>
      </c>
      <c r="AG250" s="999">
        <f t="shared" si="395"/>
        <v>4</v>
      </c>
      <c r="AH250" s="1000">
        <v>4</v>
      </c>
      <c r="AI250" s="2091">
        <v>21</v>
      </c>
      <c r="AJ250" s="998">
        <f>AVERAGE(AI250,AK250)</f>
        <v>26.75</v>
      </c>
      <c r="AK250" s="2090">
        <v>32.5</v>
      </c>
      <c r="AL250" s="999">
        <f>AJ250</f>
        <v>26.75</v>
      </c>
      <c r="AM250" s="1000">
        <v>21</v>
      </c>
      <c r="AN250" s="997">
        <f t="shared" si="396"/>
        <v>28.5</v>
      </c>
      <c r="AO250" s="998">
        <f t="shared" si="396"/>
        <v>28.5</v>
      </c>
      <c r="AP250" s="998">
        <f t="shared" si="396"/>
        <v>28.5</v>
      </c>
      <c r="AQ250" s="999">
        <f t="shared" si="396"/>
        <v>28.5</v>
      </c>
      <c r="AR250" s="1000">
        <v>28.5</v>
      </c>
      <c r="AS250" s="997">
        <f t="shared" si="397"/>
        <v>20</v>
      </c>
      <c r="AT250" s="998">
        <f t="shared" si="397"/>
        <v>20</v>
      </c>
      <c r="AU250" s="998">
        <f t="shared" si="397"/>
        <v>20</v>
      </c>
      <c r="AV250" s="999">
        <f t="shared" si="397"/>
        <v>20</v>
      </c>
      <c r="AW250" s="1000">
        <v>20</v>
      </c>
      <c r="AX250" s="997">
        <f t="shared" si="398"/>
        <v>1</v>
      </c>
      <c r="AY250" s="998">
        <f t="shared" si="398"/>
        <v>1</v>
      </c>
      <c r="AZ250" s="998">
        <f t="shared" si="398"/>
        <v>1</v>
      </c>
      <c r="BA250" s="999">
        <f t="shared" si="398"/>
        <v>1</v>
      </c>
      <c r="BB250" s="1000">
        <v>1</v>
      </c>
      <c r="BC250" s="997">
        <f t="shared" si="399"/>
        <v>5</v>
      </c>
      <c r="BD250" s="998">
        <f t="shared" si="399"/>
        <v>5</v>
      </c>
      <c r="BE250" s="998">
        <f t="shared" si="399"/>
        <v>5</v>
      </c>
      <c r="BF250" s="999">
        <f>BG250</f>
        <v>5</v>
      </c>
      <c r="BG250" s="1000">
        <v>5</v>
      </c>
      <c r="BH250" s="997">
        <f t="shared" si="400"/>
        <v>9</v>
      </c>
      <c r="BI250" s="998">
        <f t="shared" si="400"/>
        <v>9</v>
      </c>
      <c r="BJ250" s="998">
        <f t="shared" si="400"/>
        <v>9</v>
      </c>
      <c r="BK250" s="999">
        <f t="shared" si="400"/>
        <v>9</v>
      </c>
      <c r="BL250" s="1000">
        <v>9</v>
      </c>
      <c r="BM250" s="997">
        <f t="shared" si="401"/>
        <v>9</v>
      </c>
      <c r="BN250" s="998">
        <f t="shared" si="402"/>
        <v>9</v>
      </c>
      <c r="BO250" s="998">
        <f t="shared" si="403"/>
        <v>9</v>
      </c>
      <c r="BP250" s="999">
        <f t="shared" si="404"/>
        <v>9</v>
      </c>
      <c r="BQ250" s="1000">
        <f t="shared" si="405"/>
        <v>9</v>
      </c>
      <c r="BR250" s="40"/>
      <c r="BS250" s="40"/>
      <c r="BT250" s="40"/>
      <c r="BU250" s="232"/>
      <c r="BV250" s="28"/>
      <c r="BW250" s="28"/>
      <c r="BX250" s="28"/>
      <c r="BY250" s="28"/>
      <c r="BZ250" s="28"/>
      <c r="CA250" s="28"/>
      <c r="CB250" s="28"/>
      <c r="CC250" s="28"/>
      <c r="CD250" s="40"/>
      <c r="CE250" s="40"/>
      <c r="CF250" s="40"/>
      <c r="CG250" s="40"/>
      <c r="CH250" s="40"/>
      <c r="CI250" s="40"/>
      <c r="CJ250" s="40"/>
      <c r="CK250" s="40"/>
      <c r="CL250" s="40"/>
      <c r="CM250" s="40"/>
      <c r="CN250" s="40"/>
      <c r="CO250" s="40"/>
      <c r="CP250" s="40"/>
      <c r="CQ250" s="40"/>
      <c r="CR250" s="40"/>
      <c r="CS250" s="40"/>
      <c r="CT250" s="823"/>
      <c r="CU250" s="232"/>
      <c r="CV250" s="232"/>
      <c r="CW250" s="232"/>
      <c r="CX250" s="232"/>
      <c r="CY250" s="232"/>
      <c r="CZ250" s="40"/>
      <c r="DA250" s="40"/>
      <c r="DB250" s="40"/>
      <c r="DC250" s="40"/>
      <c r="DD250" s="40"/>
      <c r="DE250" s="40"/>
      <c r="DF250" s="232"/>
      <c r="DG250" s="232"/>
      <c r="DH250" s="232"/>
      <c r="DI250" s="232"/>
      <c r="DJ250" s="232"/>
      <c r="DK250" s="232"/>
      <c r="DL250" s="232"/>
      <c r="DM250" s="232"/>
      <c r="DN250" s="232"/>
    </row>
    <row r="251" spans="1:118">
      <c r="A251" s="40"/>
      <c r="B251" s="1"/>
      <c r="C251" s="226"/>
      <c r="D251" s="1"/>
      <c r="E251" s="273"/>
      <c r="F251" s="3"/>
      <c r="G251" s="3"/>
      <c r="H251" s="274"/>
      <c r="I251" s="28"/>
      <c r="J251" s="273"/>
      <c r="K251" s="3"/>
      <c r="L251" s="3"/>
      <c r="M251" s="274"/>
      <c r="N251" s="1"/>
      <c r="O251" s="273"/>
      <c r="P251" s="3"/>
      <c r="Q251" s="3"/>
      <c r="R251" s="274"/>
      <c r="S251" s="1"/>
      <c r="T251" s="997"/>
      <c r="U251" s="998"/>
      <c r="V251" s="998"/>
      <c r="W251" s="999"/>
      <c r="X251" s="1000"/>
      <c r="Y251" s="997"/>
      <c r="Z251" s="998"/>
      <c r="AA251" s="998"/>
      <c r="AB251" s="999"/>
      <c r="AC251" s="1001"/>
      <c r="AD251" s="997"/>
      <c r="AE251" s="998"/>
      <c r="AF251" s="998"/>
      <c r="AG251" s="999"/>
      <c r="AH251" s="1001"/>
      <c r="AI251" s="997"/>
      <c r="AJ251" s="998"/>
      <c r="AK251" s="998"/>
      <c r="AL251" s="999"/>
      <c r="AM251" s="1001"/>
      <c r="AN251" s="997"/>
      <c r="AO251" s="998"/>
      <c r="AP251" s="998"/>
      <c r="AQ251" s="999"/>
      <c r="AR251" s="1001"/>
      <c r="AS251" s="997"/>
      <c r="AT251" s="998"/>
      <c r="AU251" s="998"/>
      <c r="AV251" s="999"/>
      <c r="AW251" s="1001"/>
      <c r="AX251" s="997"/>
      <c r="AY251" s="998"/>
      <c r="AZ251" s="998"/>
      <c r="BA251" s="999"/>
      <c r="BB251" s="1001"/>
      <c r="BC251" s="997"/>
      <c r="BD251" s="998"/>
      <c r="BE251" s="998"/>
      <c r="BF251" s="999"/>
      <c r="BG251" s="1001"/>
      <c r="BH251" s="997"/>
      <c r="BI251" s="998"/>
      <c r="BJ251" s="998"/>
      <c r="BK251" s="999"/>
      <c r="BL251" s="1001"/>
      <c r="BM251" s="997"/>
      <c r="BN251" s="998"/>
      <c r="BO251" s="998"/>
      <c r="BP251" s="999"/>
      <c r="BQ251" s="1001"/>
      <c r="BR251" s="40"/>
      <c r="BS251" s="40"/>
      <c r="BT251" s="40"/>
      <c r="BU251" s="232"/>
      <c r="BV251" s="28"/>
      <c r="BW251" s="28"/>
      <c r="BX251" s="28"/>
      <c r="BY251" s="28"/>
      <c r="BZ251" s="28"/>
      <c r="CA251" s="28"/>
      <c r="CB251" s="28"/>
      <c r="CC251" s="28"/>
      <c r="CD251" s="40"/>
      <c r="CE251" s="40"/>
      <c r="CF251" s="40"/>
      <c r="CG251" s="40"/>
      <c r="CH251" s="40"/>
      <c r="CI251" s="40"/>
      <c r="CJ251" s="40"/>
      <c r="CK251" s="40"/>
      <c r="CL251" s="40"/>
      <c r="CM251" s="40"/>
      <c r="CN251" s="40"/>
      <c r="CO251" s="40"/>
      <c r="CP251" s="40"/>
      <c r="CQ251" s="40"/>
      <c r="CR251" s="40"/>
      <c r="CS251" s="40"/>
      <c r="CT251" s="823"/>
      <c r="CU251" s="232"/>
      <c r="CV251" s="232"/>
      <c r="CW251" s="232"/>
      <c r="CX251" s="232"/>
      <c r="CY251" s="232"/>
      <c r="CZ251" s="40"/>
      <c r="DA251" s="40"/>
      <c r="DB251" s="40"/>
      <c r="DC251" s="40"/>
      <c r="DD251" s="40"/>
      <c r="DE251" s="40"/>
      <c r="DF251" s="232"/>
      <c r="DG251" s="232"/>
      <c r="DH251" s="232"/>
      <c r="DI251" s="232"/>
      <c r="DJ251" s="232"/>
      <c r="DK251" s="232"/>
      <c r="DL251" s="232"/>
      <c r="DM251" s="232"/>
      <c r="DN251" s="232"/>
    </row>
    <row r="252" spans="1:118">
      <c r="A252" s="40"/>
      <c r="B252" s="1"/>
      <c r="C252" s="225" t="s">
        <v>1008</v>
      </c>
      <c r="D252" s="1"/>
      <c r="E252" s="273"/>
      <c r="F252" s="3"/>
      <c r="G252" s="3"/>
      <c r="H252" s="274"/>
      <c r="I252" s="28"/>
      <c r="J252" s="273"/>
      <c r="K252" s="3"/>
      <c r="L252" s="3"/>
      <c r="M252" s="274"/>
      <c r="N252" s="1"/>
      <c r="O252" s="273"/>
      <c r="P252" s="3"/>
      <c r="Q252" s="3"/>
      <c r="R252" s="274"/>
      <c r="S252" s="1"/>
      <c r="T252" s="997"/>
      <c r="U252" s="998"/>
      <c r="V252" s="998"/>
      <c r="W252" s="999"/>
      <c r="X252" s="1000"/>
      <c r="Y252" s="997"/>
      <c r="Z252" s="998"/>
      <c r="AA252" s="998"/>
      <c r="AB252" s="999"/>
      <c r="AC252" s="1001"/>
      <c r="AD252" s="997"/>
      <c r="AE252" s="998"/>
      <c r="AF252" s="998"/>
      <c r="AG252" s="999"/>
      <c r="AH252" s="1001"/>
      <c r="AI252" s="997"/>
      <c r="AJ252" s="998"/>
      <c r="AK252" s="998"/>
      <c r="AL252" s="999"/>
      <c r="AM252" s="1001"/>
      <c r="AN252" s="997"/>
      <c r="AO252" s="998"/>
      <c r="AP252" s="998"/>
      <c r="AQ252" s="999"/>
      <c r="AR252" s="1001"/>
      <c r="AS252" s="997"/>
      <c r="AT252" s="998"/>
      <c r="AU252" s="998"/>
      <c r="AV252" s="999"/>
      <c r="AW252" s="1001"/>
      <c r="AX252" s="997"/>
      <c r="AY252" s="998"/>
      <c r="AZ252" s="998"/>
      <c r="BA252" s="999"/>
      <c r="BB252" s="1001"/>
      <c r="BC252" s="997"/>
      <c r="BD252" s="998"/>
      <c r="BE252" s="998"/>
      <c r="BF252" s="999"/>
      <c r="BG252" s="1001"/>
      <c r="BH252" s="997"/>
      <c r="BI252" s="998"/>
      <c r="BJ252" s="998"/>
      <c r="BK252" s="999"/>
      <c r="BL252" s="1001"/>
      <c r="BM252" s="997"/>
      <c r="BN252" s="998"/>
      <c r="BO252" s="998"/>
      <c r="BP252" s="999"/>
      <c r="BQ252" s="1001"/>
      <c r="BR252" s="40"/>
      <c r="BS252" s="40"/>
      <c r="BT252" s="40"/>
      <c r="BU252" s="232"/>
      <c r="BV252" s="28"/>
      <c r="BW252" s="28"/>
      <c r="BX252" s="28"/>
      <c r="BY252" s="28"/>
      <c r="BZ252" s="28"/>
      <c r="CA252" s="28"/>
      <c r="CB252" s="28"/>
      <c r="CC252" s="28"/>
      <c r="CD252" s="40"/>
      <c r="CE252" s="40"/>
      <c r="CF252" s="40"/>
      <c r="CG252" s="40"/>
      <c r="CH252" s="40"/>
      <c r="CI252" s="40"/>
      <c r="CJ252" s="40"/>
      <c r="CK252" s="40"/>
      <c r="CL252" s="40"/>
      <c r="CM252" s="40"/>
      <c r="CN252" s="40"/>
      <c r="CO252" s="40"/>
      <c r="CP252" s="40"/>
      <c r="CQ252" s="40"/>
      <c r="CR252" s="40"/>
      <c r="CS252" s="40"/>
      <c r="CT252" s="823"/>
      <c r="CU252" s="232"/>
      <c r="CV252" s="232"/>
      <c r="CW252" s="232"/>
      <c r="CX252" s="232"/>
      <c r="CY252" s="232"/>
      <c r="CZ252" s="40"/>
      <c r="DA252" s="40"/>
      <c r="DB252" s="40"/>
      <c r="DC252" s="40"/>
      <c r="DD252" s="40"/>
      <c r="DE252" s="40"/>
      <c r="DF252" s="232"/>
      <c r="DG252" s="232"/>
      <c r="DH252" s="232"/>
      <c r="DI252" s="232"/>
      <c r="DJ252" s="232"/>
      <c r="DK252" s="232"/>
      <c r="DL252" s="232"/>
      <c r="DM252" s="232"/>
      <c r="DN252" s="232"/>
    </row>
    <row r="253" spans="1:118">
      <c r="A253" s="40"/>
      <c r="B253" s="1"/>
      <c r="C253" s="409" t="s">
        <v>1080</v>
      </c>
      <c r="D253" s="1"/>
      <c r="E253" s="273"/>
      <c r="F253" s="3"/>
      <c r="G253" s="3"/>
      <c r="H253" s="274"/>
      <c r="I253" s="28"/>
      <c r="J253" s="273"/>
      <c r="K253" s="3"/>
      <c r="L253" s="3"/>
      <c r="M253" s="274"/>
      <c r="N253" s="1"/>
      <c r="O253" s="273"/>
      <c r="P253" s="3"/>
      <c r="Q253" s="3"/>
      <c r="R253" s="274"/>
      <c r="S253" s="1"/>
      <c r="T253" s="997"/>
      <c r="U253" s="998"/>
      <c r="V253" s="998"/>
      <c r="W253" s="999"/>
      <c r="X253" s="1002"/>
      <c r="Y253" s="997">
        <f>+Y75</f>
        <v>30.777101571771688</v>
      </c>
      <c r="Z253" s="998">
        <f>+Z75</f>
        <v>31.319813528551308</v>
      </c>
      <c r="AA253" s="998">
        <f>+AA75</f>
        <v>32.307806340783166</v>
      </c>
      <c r="AB253" s="999">
        <f>+AB75</f>
        <v>29.461858256820864</v>
      </c>
      <c r="AC253" s="1002"/>
      <c r="AD253" s="997">
        <f t="shared" ref="AD253:BL253" si="406">+AD75</f>
        <v>59.169196905043336</v>
      </c>
      <c r="AE253" s="998">
        <f t="shared" si="406"/>
        <v>30.490658713443654</v>
      </c>
      <c r="AF253" s="998">
        <f t="shared" si="406"/>
        <v>30.490658713443654</v>
      </c>
      <c r="AG253" s="999">
        <f t="shared" si="406"/>
        <v>31.950804194491973</v>
      </c>
      <c r="AH253" s="1002">
        <f t="shared" si="406"/>
        <v>37.218596615274578</v>
      </c>
      <c r="AI253" s="997">
        <f t="shared" si="406"/>
        <v>34.575734640622422</v>
      </c>
      <c r="AJ253" s="998">
        <f t="shared" si="406"/>
        <v>24.200597109551524</v>
      </c>
      <c r="AK253" s="998">
        <f t="shared" si="406"/>
        <v>27.249315080458302</v>
      </c>
      <c r="AL253" s="999">
        <f t="shared" si="406"/>
        <v>24.556744732232801</v>
      </c>
      <c r="AM253" s="1001">
        <f t="shared" si="406"/>
        <v>27.74381319671884</v>
      </c>
      <c r="AN253" s="997">
        <f t="shared" si="406"/>
        <v>22.795601916661337</v>
      </c>
      <c r="AO253" s="998">
        <f t="shared" si="406"/>
        <v>23.664948182562725</v>
      </c>
      <c r="AP253" s="998">
        <f t="shared" si="406"/>
        <v>29.097743358591636</v>
      </c>
      <c r="AQ253" s="999">
        <f t="shared" si="406"/>
        <v>26.786014027578183</v>
      </c>
      <c r="AR253" s="1001">
        <f t="shared" si="406"/>
        <v>26.018396146911861</v>
      </c>
      <c r="AS253" s="997">
        <f t="shared" si="406"/>
        <v>26.059295325108675</v>
      </c>
      <c r="AT253" s="998">
        <f t="shared" si="406"/>
        <v>26.241037727954101</v>
      </c>
      <c r="AU253" s="998">
        <f t="shared" ref="AU253" si="407">+AU75</f>
        <v>26.283710634891527</v>
      </c>
      <c r="AV253" s="999">
        <f t="shared" si="406"/>
        <v>28.609379394396445</v>
      </c>
      <c r="AW253" s="1001">
        <f t="shared" si="406"/>
        <v>26.794750716076699</v>
      </c>
      <c r="AX253" s="997">
        <f t="shared" si="406"/>
        <v>28.609379394396445</v>
      </c>
      <c r="AY253" s="998">
        <f t="shared" si="406"/>
        <v>24.685416666666665</v>
      </c>
      <c r="AZ253" s="998">
        <f t="shared" si="406"/>
        <v>27.696249999999999</v>
      </c>
      <c r="BA253" s="999">
        <f t="shared" si="406"/>
        <v>25.100416666666668</v>
      </c>
      <c r="BB253" s="1001">
        <f t="shared" si="406"/>
        <v>26.536937611011091</v>
      </c>
      <c r="BC253" s="997">
        <f t="shared" si="406"/>
        <v>30.467131065090626</v>
      </c>
      <c r="BD253" s="998">
        <f t="shared" si="406"/>
        <v>23.706237692865152</v>
      </c>
      <c r="BE253" s="998">
        <f t="shared" si="406"/>
        <v>25.839533835094368</v>
      </c>
      <c r="BF253" s="999">
        <f t="shared" si="406"/>
        <v>24.422529906879852</v>
      </c>
      <c r="BG253" s="1001">
        <f t="shared" si="406"/>
        <v>26.175728632557242</v>
      </c>
      <c r="BH253" s="997">
        <f t="shared" si="406"/>
        <v>30.688840944837658</v>
      </c>
      <c r="BI253" s="998">
        <f t="shared" si="406"/>
        <v>23.862392890082766</v>
      </c>
      <c r="BJ253" s="998">
        <f t="shared" si="406"/>
        <v>26.001610040594819</v>
      </c>
      <c r="BK253" s="999">
        <f t="shared" si="406"/>
        <v>24.587593624484743</v>
      </c>
      <c r="BL253" s="1001">
        <f t="shared" si="406"/>
        <v>26.351929589229222</v>
      </c>
      <c r="BM253" s="997">
        <f t="shared" ref="BM253:BQ253" si="408">+BM75</f>
        <v>28.414511326035491</v>
      </c>
      <c r="BN253" s="998">
        <f t="shared" si="408"/>
        <v>28.414511326035491</v>
      </c>
      <c r="BO253" s="998">
        <f t="shared" si="408"/>
        <v>28.414511326035491</v>
      </c>
      <c r="BP253" s="999">
        <f t="shared" si="408"/>
        <v>28.414511326035491</v>
      </c>
      <c r="BQ253" s="1001">
        <f t="shared" si="408"/>
        <v>28.593948965059404</v>
      </c>
      <c r="BR253" s="40"/>
      <c r="BS253" s="40"/>
      <c r="BT253" s="40"/>
      <c r="BU253" s="232"/>
      <c r="BV253" s="28"/>
      <c r="BW253" s="28"/>
      <c r="BX253" s="28"/>
      <c r="BY253" s="28"/>
      <c r="BZ253" s="28"/>
      <c r="CA253" s="28"/>
      <c r="CB253" s="28"/>
      <c r="CC253" s="28"/>
      <c r="CD253" s="40"/>
      <c r="CE253" s="40"/>
      <c r="CF253" s="40"/>
      <c r="CG253" s="40"/>
      <c r="CH253" s="40"/>
      <c r="CI253" s="40"/>
      <c r="CJ253" s="40"/>
      <c r="CK253" s="40"/>
      <c r="CL253" s="40"/>
      <c r="CM253" s="40"/>
      <c r="CN253" s="40"/>
      <c r="CO253" s="40"/>
      <c r="CP253" s="40"/>
      <c r="CQ253" s="40"/>
      <c r="CR253" s="40"/>
      <c r="CS253" s="40"/>
      <c r="CT253" s="823"/>
      <c r="CU253" s="232"/>
      <c r="CV253" s="232"/>
      <c r="CW253" s="232"/>
      <c r="CX253" s="232"/>
      <c r="CY253" s="232"/>
      <c r="CZ253" s="40"/>
      <c r="DA253" s="40"/>
      <c r="DB253" s="40"/>
      <c r="DC253" s="40"/>
      <c r="DD253" s="40"/>
      <c r="DE253" s="40"/>
      <c r="DF253" s="232"/>
      <c r="DG253" s="232"/>
      <c r="DH253" s="232"/>
      <c r="DI253" s="232"/>
      <c r="DJ253" s="232"/>
      <c r="DK253" s="232"/>
      <c r="DL253" s="232"/>
      <c r="DM253" s="232"/>
      <c r="DN253" s="232"/>
    </row>
    <row r="254" spans="1:118">
      <c r="A254" s="40"/>
      <c r="B254" s="1"/>
      <c r="C254" s="409" t="s">
        <v>1011</v>
      </c>
      <c r="D254" s="1"/>
      <c r="E254" s="273"/>
      <c r="F254" s="3"/>
      <c r="G254" s="3"/>
      <c r="H254" s="274"/>
      <c r="I254" s="28"/>
      <c r="J254" s="273"/>
      <c r="K254" s="3"/>
      <c r="L254" s="3"/>
      <c r="M254" s="274"/>
      <c r="N254" s="1"/>
      <c r="O254" s="273"/>
      <c r="P254" s="3"/>
      <c r="Q254" s="3"/>
      <c r="R254" s="274"/>
      <c r="S254" s="1"/>
      <c r="T254" s="997"/>
      <c r="U254" s="998"/>
      <c r="V254" s="998"/>
      <c r="W254" s="999"/>
      <c r="X254" s="1002"/>
      <c r="Y254" s="997">
        <f>Y83</f>
        <v>37.529145254982318</v>
      </c>
      <c r="Z254" s="998">
        <f>Z83</f>
        <v>37.173283024812193</v>
      </c>
      <c r="AA254" s="998">
        <f>AA83</f>
        <v>37.809993801456365</v>
      </c>
      <c r="AB254" s="999">
        <f>AB83</f>
        <v>35.370000250611412</v>
      </c>
      <c r="AC254" s="1002"/>
      <c r="AD254" s="997">
        <f t="shared" ref="AD254:BL254" si="409">AD83</f>
        <v>95.047234040126796</v>
      </c>
      <c r="AE254" s="998">
        <f t="shared" si="409"/>
        <v>34.051950399615748</v>
      </c>
      <c r="AF254" s="998">
        <f t="shared" si="409"/>
        <v>34.051950399615748</v>
      </c>
      <c r="AG254" s="999">
        <f t="shared" si="409"/>
        <v>34.901567158330494</v>
      </c>
      <c r="AH254" s="1002">
        <f t="shared" si="409"/>
        <v>49.513175499422196</v>
      </c>
      <c r="AI254" s="997">
        <f t="shared" si="409"/>
        <v>50.226045196540731</v>
      </c>
      <c r="AJ254" s="998">
        <f t="shared" si="409"/>
        <v>31.734948543288006</v>
      </c>
      <c r="AK254" s="998">
        <f t="shared" si="409"/>
        <v>30.938823108246229</v>
      </c>
      <c r="AL254" s="999">
        <f t="shared" si="409"/>
        <v>26.757467178585685</v>
      </c>
      <c r="AM254" s="1001">
        <f t="shared" si="409"/>
        <v>34.914321006665162</v>
      </c>
      <c r="AN254" s="997">
        <f t="shared" si="409"/>
        <v>26.893180414808633</v>
      </c>
      <c r="AO254" s="998">
        <f t="shared" si="409"/>
        <v>26.698337725127704</v>
      </c>
      <c r="AP254" s="998">
        <f t="shared" si="409"/>
        <v>30.522774167614216</v>
      </c>
      <c r="AQ254" s="999">
        <f t="shared" si="409"/>
        <v>29.064520157143946</v>
      </c>
      <c r="AR254" s="1001">
        <f t="shared" si="409"/>
        <v>28.294703116173622</v>
      </c>
      <c r="AS254" s="997">
        <f t="shared" si="409"/>
        <v>29.483108342982668</v>
      </c>
      <c r="AT254" s="998">
        <f t="shared" si="409"/>
        <v>27.195240391815652</v>
      </c>
      <c r="AU254" s="998">
        <f t="shared" ref="AU254" si="410">AU83</f>
        <v>28.381447812552842</v>
      </c>
      <c r="AV254" s="999">
        <f t="shared" si="409"/>
        <v>45.867998598236575</v>
      </c>
      <c r="AW254" s="1001">
        <f>AW83</f>
        <v>32.731948786396934</v>
      </c>
      <c r="AX254" s="997">
        <f t="shared" si="409"/>
        <v>45.867998598236575</v>
      </c>
      <c r="AY254" s="998">
        <f t="shared" si="409"/>
        <v>29.486249999999998</v>
      </c>
      <c r="AZ254" s="998">
        <f t="shared" si="409"/>
        <v>30.53875</v>
      </c>
      <c r="BA254" s="999">
        <f t="shared" si="409"/>
        <v>29.958333333333332</v>
      </c>
      <c r="BB254" s="1001">
        <f t="shared" si="409"/>
        <v>33.962832982892479</v>
      </c>
      <c r="BC254" s="997">
        <f t="shared" si="409"/>
        <v>36.411008920272678</v>
      </c>
      <c r="BD254" s="998">
        <f t="shared" si="409"/>
        <v>24.928925623239095</v>
      </c>
      <c r="BE254" s="998">
        <f t="shared" si="409"/>
        <v>26.024761343176365</v>
      </c>
      <c r="BF254" s="999">
        <f t="shared" si="409"/>
        <v>35.294069946441873</v>
      </c>
      <c r="BG254" s="1001">
        <f>BG83</f>
        <v>30.664691458282505</v>
      </c>
      <c r="BH254" s="997">
        <f t="shared" si="409"/>
        <v>36.170673212450552</v>
      </c>
      <c r="BI254" s="998">
        <f t="shared" si="409"/>
        <v>24.77270462284223</v>
      </c>
      <c r="BJ254" s="998">
        <f t="shared" si="409"/>
        <v>25.866446502489296</v>
      </c>
      <c r="BK254" s="999">
        <f t="shared" si="409"/>
        <v>35.060013162147939</v>
      </c>
      <c r="BL254" s="1001">
        <f t="shared" si="409"/>
        <v>30.467459374982504</v>
      </c>
      <c r="BM254" s="997">
        <f t="shared" ref="BM254:BQ254" si="411">BM83</f>
        <v>30.754139738872574</v>
      </c>
      <c r="BN254" s="998">
        <f t="shared" si="411"/>
        <v>30.754139738872574</v>
      </c>
      <c r="BO254" s="998">
        <f t="shared" si="411"/>
        <v>30.754139738872574</v>
      </c>
      <c r="BP254" s="999">
        <f t="shared" si="411"/>
        <v>30.754139738872574</v>
      </c>
      <c r="BQ254" s="1001">
        <f t="shared" si="411"/>
        <v>30.754139738872574</v>
      </c>
      <c r="BR254" s="40"/>
      <c r="BS254" s="40"/>
      <c r="BT254" s="40"/>
      <c r="BU254" s="232"/>
      <c r="BV254" s="28"/>
      <c r="BW254" s="28"/>
      <c r="BX254" s="28"/>
      <c r="BY254" s="28"/>
      <c r="BZ254" s="28"/>
      <c r="CA254" s="28"/>
      <c r="CB254" s="28"/>
      <c r="CC254" s="28"/>
      <c r="CD254" s="40"/>
      <c r="CE254" s="40"/>
      <c r="CF254" s="40"/>
      <c r="CG254" s="40"/>
      <c r="CH254" s="40"/>
      <c r="CI254" s="40"/>
      <c r="CJ254" s="40"/>
      <c r="CK254" s="40"/>
      <c r="CL254" s="40"/>
      <c r="CM254" s="40"/>
      <c r="CN254" s="40"/>
      <c r="CO254" s="40"/>
      <c r="CP254" s="40"/>
      <c r="CQ254" s="40"/>
      <c r="CR254" s="40"/>
      <c r="CS254" s="40"/>
      <c r="CT254" s="823"/>
      <c r="CU254" s="232"/>
      <c r="CV254" s="232"/>
      <c r="CW254" s="232"/>
      <c r="CX254" s="232"/>
      <c r="CY254" s="232"/>
      <c r="CZ254" s="40"/>
      <c r="DA254" s="40"/>
      <c r="DB254" s="40"/>
      <c r="DC254" s="40"/>
      <c r="DD254" s="40"/>
      <c r="DE254" s="40"/>
      <c r="DF254" s="232"/>
      <c r="DG254" s="232"/>
      <c r="DH254" s="232"/>
      <c r="DI254" s="232"/>
      <c r="DJ254" s="232"/>
      <c r="DK254" s="232"/>
      <c r="DL254" s="232"/>
      <c r="DM254" s="232"/>
      <c r="DN254" s="232"/>
    </row>
    <row r="255" spans="1:118">
      <c r="A255" s="40"/>
      <c r="B255" s="1"/>
      <c r="C255" s="409" t="s">
        <v>1120</v>
      </c>
      <c r="D255" s="1"/>
      <c r="E255" s="273"/>
      <c r="F255" s="3"/>
      <c r="G255" s="3"/>
      <c r="H255" s="274"/>
      <c r="I255" s="28"/>
      <c r="J255" s="273"/>
      <c r="K255" s="3"/>
      <c r="L255" s="3"/>
      <c r="M255" s="274"/>
      <c r="N255" s="1"/>
      <c r="O255" s="273"/>
      <c r="P255" s="3"/>
      <c r="Q255" s="3"/>
      <c r="R255" s="274"/>
      <c r="S255" s="1"/>
      <c r="T255" s="997"/>
      <c r="U255" s="998"/>
      <c r="V255" s="998"/>
      <c r="W255" s="999"/>
      <c r="X255" s="1002"/>
      <c r="Y255" s="997">
        <f>Y95-(7.5*(Y51))</f>
        <v>-0.1176148523766436</v>
      </c>
      <c r="Z255" s="998">
        <f>Z95-(7.5*(Z51))</f>
        <v>0.3425125309870829</v>
      </c>
      <c r="AA255" s="998">
        <f>AA95-(7.5*(AA51))</f>
        <v>4.9226925553031542</v>
      </c>
      <c r="AB255" s="999">
        <f>AB95-(7.5*(AB51))</f>
        <v>2.3204904831861377</v>
      </c>
      <c r="AC255" s="1002"/>
      <c r="AD255" s="997">
        <f t="shared" ref="AD255:BL255" si="412">AD95-(7.5*(AD51))</f>
        <v>6.5699693127821277</v>
      </c>
      <c r="AE255" s="998">
        <f t="shared" si="412"/>
        <v>3.1239686703889227</v>
      </c>
      <c r="AF255" s="998">
        <f t="shared" si="412"/>
        <v>3.1239686703889227</v>
      </c>
      <c r="AG255" s="999">
        <f t="shared" si="412"/>
        <v>1.336889030549429</v>
      </c>
      <c r="AH255" s="1002">
        <f t="shared" si="412"/>
        <v>3.5386989210273541</v>
      </c>
      <c r="AI255" s="997">
        <f t="shared" si="412"/>
        <v>2.5894645646538841</v>
      </c>
      <c r="AJ255" s="998">
        <f t="shared" si="412"/>
        <v>2.7431358325105997</v>
      </c>
      <c r="AK255" s="998">
        <f t="shared" si="412"/>
        <v>6.3916860446279209</v>
      </c>
      <c r="AL255" s="999">
        <f t="shared" si="412"/>
        <v>1.8628232499716972</v>
      </c>
      <c r="AM255" s="1001">
        <f t="shared" si="412"/>
        <v>3.3967774229410317</v>
      </c>
      <c r="AN255" s="997">
        <f t="shared" si="412"/>
        <v>1.6845153368507511</v>
      </c>
      <c r="AO255" s="998">
        <f t="shared" si="412"/>
        <v>2.2908171058067879</v>
      </c>
      <c r="AP255" s="998">
        <f t="shared" si="412"/>
        <v>3.9214647163722844</v>
      </c>
      <c r="AQ255" s="999">
        <f t="shared" si="412"/>
        <v>-0.93297495333788305</v>
      </c>
      <c r="AR255" s="1001">
        <f t="shared" si="412"/>
        <v>1.7409555514229851</v>
      </c>
      <c r="AS255" s="997">
        <f t="shared" si="412"/>
        <v>-2.4796727428634213</v>
      </c>
      <c r="AT255" s="998">
        <f t="shared" si="412"/>
        <v>0.453930067795973</v>
      </c>
      <c r="AU255" s="998">
        <f t="shared" ref="AU255" si="413">AU95-(7.5*(AU51))</f>
        <v>3.2349141797683743</v>
      </c>
      <c r="AV255" s="999">
        <f t="shared" si="412"/>
        <v>1.8924822852252774</v>
      </c>
      <c r="AW255" s="1001">
        <f t="shared" si="412"/>
        <v>0.77541344748155083</v>
      </c>
      <c r="AX255" s="997">
        <f t="shared" si="412"/>
        <v>1.8924822852252774</v>
      </c>
      <c r="AY255" s="998">
        <f t="shared" si="412"/>
        <v>7.5407335000000018</v>
      </c>
      <c r="AZ255" s="998">
        <f t="shared" si="412"/>
        <v>50.245230166666673</v>
      </c>
      <c r="BA255" s="999">
        <f t="shared" si="412"/>
        <v>0.89564958333333067</v>
      </c>
      <c r="BB255" s="1001">
        <f t="shared" si="412"/>
        <v>15.143523883806317</v>
      </c>
      <c r="BC255" s="997">
        <f t="shared" si="412"/>
        <v>3.8845097967758591E-2</v>
      </c>
      <c r="BD255" s="998">
        <f t="shared" si="412"/>
        <v>2.0013786767427817</v>
      </c>
      <c r="BE255" s="998">
        <f t="shared" si="412"/>
        <v>26.323915962146028</v>
      </c>
      <c r="BF255" s="999">
        <f t="shared" si="412"/>
        <v>7.766793929613435</v>
      </c>
      <c r="BG255" s="1001">
        <f>BG95-(7.5*(BG51))</f>
        <v>9.0327334166175071</v>
      </c>
      <c r="BH255" s="997">
        <f t="shared" si="412"/>
        <v>-1.3814220448951744</v>
      </c>
      <c r="BI255" s="998">
        <f t="shared" si="412"/>
        <v>0.58049504615750536</v>
      </c>
      <c r="BJ255" s="998">
        <f t="shared" si="412"/>
        <v>22.83077367023543</v>
      </c>
      <c r="BK255" s="999">
        <f t="shared" si="412"/>
        <v>5.4424134838222464</v>
      </c>
      <c r="BL255" s="1001">
        <f t="shared" si="412"/>
        <v>6.8680650388300037</v>
      </c>
      <c r="BM255" s="997">
        <f t="shared" ref="BM255:BQ255" si="414">BM95-(7.5*(BM51))</f>
        <v>1.0058900294089241</v>
      </c>
      <c r="BN255" s="998">
        <f t="shared" si="414"/>
        <v>2.7853698152719133</v>
      </c>
      <c r="BO255" s="998">
        <f t="shared" si="414"/>
        <v>24.635959260352877</v>
      </c>
      <c r="BP255" s="999">
        <f t="shared" si="414"/>
        <v>6.7252634980653667</v>
      </c>
      <c r="BQ255" s="1001">
        <f t="shared" si="414"/>
        <v>8.7881206507747684</v>
      </c>
      <c r="BR255" s="40"/>
      <c r="BS255" s="40"/>
      <c r="BT255" s="40"/>
      <c r="BU255" s="232"/>
      <c r="BV255" s="28"/>
      <c r="BW255" s="28"/>
      <c r="BX255" s="28"/>
      <c r="BY255" s="28"/>
      <c r="BZ255" s="28"/>
      <c r="CA255" s="28"/>
      <c r="CB255" s="28"/>
      <c r="CC255" s="28"/>
      <c r="CD255" s="40"/>
      <c r="CE255" s="40"/>
      <c r="CF255" s="40"/>
      <c r="CG255" s="40"/>
      <c r="CH255" s="40"/>
      <c r="CI255" s="40"/>
      <c r="CJ255" s="40"/>
      <c r="CK255" s="40"/>
      <c r="CL255" s="40"/>
      <c r="CM255" s="40"/>
      <c r="CN255" s="40"/>
      <c r="CO255" s="40"/>
      <c r="CP255" s="40"/>
      <c r="CQ255" s="40"/>
      <c r="CR255" s="40"/>
      <c r="CS255" s="40"/>
      <c r="CT255" s="823"/>
      <c r="CU255" s="232"/>
      <c r="CV255" s="232"/>
      <c r="CW255" s="232"/>
      <c r="CX255" s="232"/>
      <c r="CY255" s="232"/>
      <c r="CZ255" s="40"/>
      <c r="DA255" s="40"/>
      <c r="DB255" s="40"/>
      <c r="DC255" s="40"/>
      <c r="DD255" s="40"/>
      <c r="DE255" s="40"/>
      <c r="DF255" s="232"/>
      <c r="DG255" s="232"/>
      <c r="DH255" s="232"/>
      <c r="DI255" s="232"/>
      <c r="DJ255" s="232"/>
      <c r="DK255" s="232"/>
      <c r="DL255" s="232"/>
      <c r="DM255" s="232"/>
      <c r="DN255" s="232"/>
    </row>
    <row r="256" spans="1:118">
      <c r="A256" s="40"/>
      <c r="B256" s="1"/>
      <c r="C256" s="409" t="s">
        <v>1012</v>
      </c>
      <c r="D256" s="1"/>
      <c r="E256" s="273"/>
      <c r="F256" s="3"/>
      <c r="G256" s="3"/>
      <c r="H256" s="274"/>
      <c r="I256" s="28"/>
      <c r="J256" s="273"/>
      <c r="K256" s="3"/>
      <c r="L256" s="3"/>
      <c r="M256" s="274"/>
      <c r="N256" s="1"/>
      <c r="O256" s="273"/>
      <c r="P256" s="3"/>
      <c r="Q256" s="3"/>
      <c r="R256" s="274"/>
      <c r="S256" s="1"/>
      <c r="T256" s="997"/>
      <c r="U256" s="998"/>
      <c r="V256" s="998"/>
      <c r="W256" s="999"/>
      <c r="X256" s="1002"/>
      <c r="Y256" s="997">
        <f>+Y71</f>
        <v>40.36640253407522</v>
      </c>
      <c r="Z256" s="998">
        <f>+Z71</f>
        <v>34.200217698317303</v>
      </c>
      <c r="AA256" s="998">
        <f>+AA71</f>
        <v>39.316297480044156</v>
      </c>
      <c r="AB256" s="999">
        <f>+AB71</f>
        <v>37.315729422978933</v>
      </c>
      <c r="AC256" s="1002"/>
      <c r="AD256" s="997">
        <f t="shared" ref="AD256:BL256" si="415">+AD71</f>
        <v>89.526048785800583</v>
      </c>
      <c r="AE256" s="998">
        <f t="shared" si="415"/>
        <v>32.957620414402179</v>
      </c>
      <c r="AF256" s="998">
        <f t="shared" si="415"/>
        <v>32.957620414402179</v>
      </c>
      <c r="AG256" s="999">
        <f t="shared" si="415"/>
        <v>30.104760621178674</v>
      </c>
      <c r="AH256" s="1002">
        <f t="shared" si="415"/>
        <v>46.386512558945903</v>
      </c>
      <c r="AI256" s="997">
        <f t="shared" si="415"/>
        <v>45.014023798740517</v>
      </c>
      <c r="AJ256" s="998">
        <f t="shared" si="415"/>
        <v>27.789071608323329</v>
      </c>
      <c r="AK256" s="998">
        <f t="shared" si="415"/>
        <v>30.011482807274241</v>
      </c>
      <c r="AL256" s="999">
        <f t="shared" si="415"/>
        <v>23.945869812330169</v>
      </c>
      <c r="AM256" s="1001">
        <f t="shared" si="415"/>
        <v>31.690112006667061</v>
      </c>
      <c r="AN256" s="997">
        <f t="shared" si="415"/>
        <v>21.759952599975172</v>
      </c>
      <c r="AO256" s="998">
        <f t="shared" si="415"/>
        <v>25.178024601862976</v>
      </c>
      <c r="AP256" s="998">
        <f t="shared" si="415"/>
        <v>32.017123460852581</v>
      </c>
      <c r="AQ256" s="999">
        <f t="shared" si="415"/>
        <v>22.031463514061425</v>
      </c>
      <c r="AR256" s="1001">
        <f t="shared" si="415"/>
        <v>25.246641044188038</v>
      </c>
      <c r="AS256" s="997">
        <f t="shared" si="415"/>
        <v>23.310153968523558</v>
      </c>
      <c r="AT256" s="998">
        <f t="shared" si="415"/>
        <v>23.587174166165855</v>
      </c>
      <c r="AU256" s="998">
        <f t="shared" ref="AU256" si="416">+AU71</f>
        <v>25.603738327079025</v>
      </c>
      <c r="AV256" s="999">
        <f t="shared" si="415"/>
        <v>34.50139378915685</v>
      </c>
      <c r="AW256" s="1001">
        <f t="shared" si="415"/>
        <v>26.75061506273132</v>
      </c>
      <c r="AX256" s="997">
        <f t="shared" si="415"/>
        <v>34.50139378915685</v>
      </c>
      <c r="AY256" s="998">
        <f t="shared" si="415"/>
        <v>35.086666666666659</v>
      </c>
      <c r="AZ256" s="998">
        <f t="shared" si="415"/>
        <v>31.40583333333333</v>
      </c>
      <c r="BA256" s="999">
        <f t="shared" si="415"/>
        <v>35.307916666666671</v>
      </c>
      <c r="BB256" s="1001">
        <f t="shared" si="415"/>
        <v>34.075452613955875</v>
      </c>
      <c r="BC256" s="997">
        <f t="shared" si="415"/>
        <v>51.527497126470621</v>
      </c>
      <c r="BD256" s="998">
        <f t="shared" si="415"/>
        <v>33.381668549969248</v>
      </c>
      <c r="BE256" s="998">
        <f t="shared" si="415"/>
        <v>29.422322360927897</v>
      </c>
      <c r="BF256" s="999">
        <f t="shared" si="415"/>
        <v>26.278944462562219</v>
      </c>
      <c r="BG256" s="1001">
        <f>+BG71</f>
        <v>35.152608124982493</v>
      </c>
      <c r="BH256" s="997">
        <f t="shared" si="415"/>
        <v>51.058992905315421</v>
      </c>
      <c r="BI256" s="998">
        <f t="shared" si="415"/>
        <v>33.07890676734381</v>
      </c>
      <c r="BJ256" s="998">
        <f t="shared" si="415"/>
        <v>29.156679900176051</v>
      </c>
      <c r="BK256" s="999">
        <f t="shared" si="415"/>
        <v>26.041924593704721</v>
      </c>
      <c r="BL256" s="1001">
        <f t="shared" si="415"/>
        <v>34.834126041635002</v>
      </c>
      <c r="BM256" s="997">
        <f t="shared" ref="BM256:BQ256" si="417">+BM71</f>
        <v>31.828309486328479</v>
      </c>
      <c r="BN256" s="998">
        <f t="shared" si="417"/>
        <v>31.828309486328479</v>
      </c>
      <c r="BO256" s="998">
        <f t="shared" si="417"/>
        <v>31.828309486328479</v>
      </c>
      <c r="BP256" s="999">
        <f t="shared" si="417"/>
        <v>31.828309486328479</v>
      </c>
      <c r="BQ256" s="1001">
        <f t="shared" si="417"/>
        <v>31.828309486328479</v>
      </c>
      <c r="BR256" s="40"/>
      <c r="BS256" s="40"/>
      <c r="BT256" s="40"/>
      <c r="BU256" s="232"/>
      <c r="BV256" s="28"/>
      <c r="BW256" s="28"/>
      <c r="BX256" s="28"/>
      <c r="BY256" s="28"/>
      <c r="BZ256" s="28"/>
      <c r="CA256" s="28"/>
      <c r="CB256" s="28"/>
      <c r="CC256" s="28"/>
      <c r="CD256" s="40"/>
      <c r="CE256" s="40"/>
      <c r="CF256" s="40"/>
      <c r="CG256" s="40"/>
      <c r="CH256" s="40"/>
      <c r="CI256" s="40"/>
      <c r="CJ256" s="40"/>
      <c r="CK256" s="40"/>
      <c r="CL256" s="40"/>
      <c r="CM256" s="40"/>
      <c r="CN256" s="40"/>
      <c r="CO256" s="40"/>
      <c r="CP256" s="40"/>
      <c r="CQ256" s="40"/>
      <c r="CR256" s="40"/>
      <c r="CS256" s="40"/>
      <c r="CT256" s="823"/>
      <c r="CU256" s="232"/>
      <c r="CV256" s="232"/>
      <c r="CW256" s="232"/>
      <c r="CX256" s="232"/>
      <c r="CY256" s="232"/>
      <c r="CZ256" s="40"/>
      <c r="DA256" s="40"/>
      <c r="DB256" s="40"/>
      <c r="DC256" s="40"/>
      <c r="DD256" s="40"/>
      <c r="DE256" s="40"/>
      <c r="DF256" s="232"/>
      <c r="DG256" s="232"/>
      <c r="DH256" s="232"/>
      <c r="DI256" s="232"/>
      <c r="DJ256" s="232"/>
      <c r="DK256" s="232"/>
      <c r="DL256" s="232"/>
      <c r="DM256" s="232"/>
      <c r="DN256" s="232"/>
    </row>
    <row r="257" spans="1:118">
      <c r="A257" s="40"/>
      <c r="B257" s="1"/>
      <c r="C257" s="409" t="s">
        <v>1121</v>
      </c>
      <c r="D257" s="1"/>
      <c r="E257" s="273"/>
      <c r="F257" s="3"/>
      <c r="G257" s="3"/>
      <c r="H257" s="274"/>
      <c r="I257" s="28"/>
      <c r="J257" s="273"/>
      <c r="K257" s="3"/>
      <c r="L257" s="3"/>
      <c r="M257" s="274"/>
      <c r="N257" s="1"/>
      <c r="O257" s="273"/>
      <c r="P257" s="3"/>
      <c r="Q257" s="3"/>
      <c r="R257" s="274"/>
      <c r="S257" s="1"/>
      <c r="T257" s="997"/>
      <c r="U257" s="998"/>
      <c r="V257" s="998"/>
      <c r="W257" s="999"/>
      <c r="X257" s="1002"/>
      <c r="Y257" s="997">
        <f>Y67-(7.5*(Y59+Y51))</f>
        <v>48.522738563233254</v>
      </c>
      <c r="Z257" s="998">
        <f>Z67-(7.5*(Z59+Z51))</f>
        <v>8.2511630859374954</v>
      </c>
      <c r="AA257" s="998">
        <f>AA67-(7.5*(AA59+AA51))</f>
        <v>15.521615733271059</v>
      </c>
      <c r="AB257" s="999">
        <f>AB67-(7.5*(AB59+AB51))</f>
        <v>28.994060226732334</v>
      </c>
      <c r="AC257" s="1002"/>
      <c r="AD257" s="997">
        <f>AD67-(7.5*(AD59+AD51))</f>
        <v>49.993181771027778</v>
      </c>
      <c r="AE257" s="998">
        <f>AE67-(7.5*(AE59+AE51))</f>
        <v>14.719122431216025</v>
      </c>
      <c r="AF257" s="998">
        <f>AF67-(7.5*(AF59+AF51))</f>
        <v>14.719122431216025</v>
      </c>
      <c r="AG257" s="999">
        <f>AG67-(7.5*(AG59+AG51))</f>
        <v>18.427063650645387</v>
      </c>
      <c r="AH257" s="1002">
        <f>AH67-(7.5*(AH59+AH51))</f>
        <v>24.464622571026304</v>
      </c>
      <c r="AI257" s="997">
        <f t="shared" ref="AI257:BL257" si="418">AI67-(7.5*(AI59+AI51)*1.25)</f>
        <v>20.41546438081604</v>
      </c>
      <c r="AJ257" s="998">
        <f t="shared" si="418"/>
        <v>8.1042703522063846</v>
      </c>
      <c r="AK257" s="998">
        <f t="shared" si="418"/>
        <v>18.998418854515052</v>
      </c>
      <c r="AL257" s="999">
        <f t="shared" si="418"/>
        <v>14.221456888870012</v>
      </c>
      <c r="AM257" s="1001">
        <f t="shared" si="418"/>
        <v>15.434902619101877</v>
      </c>
      <c r="AN257" s="997">
        <f t="shared" si="418"/>
        <v>8.9728043249767957</v>
      </c>
      <c r="AO257" s="998">
        <f t="shared" si="418"/>
        <v>8.3327257361778813</v>
      </c>
      <c r="AP257" s="998">
        <f t="shared" si="418"/>
        <v>19.07116728940218</v>
      </c>
      <c r="AQ257" s="999">
        <f t="shared" si="418"/>
        <v>12.527102516021912</v>
      </c>
      <c r="AR257" s="1001">
        <f t="shared" si="418"/>
        <v>12.225949966644695</v>
      </c>
      <c r="AS257" s="997">
        <f t="shared" si="418"/>
        <v>3.9700464395569028</v>
      </c>
      <c r="AT257" s="998">
        <f t="shared" si="418"/>
        <v>4.3013366699218913</v>
      </c>
      <c r="AU257" s="998">
        <f t="shared" ref="AU257" si="419">AU67-(7.5*(AU59+AU51)*1.25)</f>
        <v>8.919188049948243</v>
      </c>
      <c r="AV257" s="999">
        <f t="shared" si="418"/>
        <v>-2.6597131116489123</v>
      </c>
      <c r="AW257" s="1001">
        <f t="shared" si="418"/>
        <v>3.6327145119445277</v>
      </c>
      <c r="AX257" s="997">
        <f t="shared" si="418"/>
        <v>-2.6597131116489123</v>
      </c>
      <c r="AY257" s="998">
        <f t="shared" si="418"/>
        <v>7.4181249999999999</v>
      </c>
      <c r="AZ257" s="998">
        <f t="shared" si="418"/>
        <v>8.2270833333333293</v>
      </c>
      <c r="BA257" s="999">
        <f t="shared" si="418"/>
        <v>12.636875000000003</v>
      </c>
      <c r="BB257" s="1001">
        <f t="shared" si="418"/>
        <v>6.4055925554211015</v>
      </c>
      <c r="BC257" s="997">
        <f t="shared" si="418"/>
        <v>30.42997353156305</v>
      </c>
      <c r="BD257" s="998">
        <f t="shared" si="418"/>
        <v>10.084033859624526</v>
      </c>
      <c r="BE257" s="998">
        <f t="shared" si="418"/>
        <v>13.121932369246178</v>
      </c>
      <c r="BF257" s="999">
        <f t="shared" si="418"/>
        <v>-0.36207925778377614</v>
      </c>
      <c r="BG257" s="1001">
        <f t="shared" si="418"/>
        <v>13.318465125662495</v>
      </c>
      <c r="BH257" s="997">
        <f t="shared" si="418"/>
        <v>30.87022250777224</v>
      </c>
      <c r="BI257" s="998">
        <f t="shared" si="418"/>
        <v>10.307137958026562</v>
      </c>
      <c r="BJ257" s="998">
        <f t="shared" si="418"/>
        <v>13.345193796575799</v>
      </c>
      <c r="BK257" s="999">
        <f t="shared" si="418"/>
        <v>0.14259757541538676</v>
      </c>
      <c r="BL257" s="1001">
        <f t="shared" si="418"/>
        <v>13.666287959447502</v>
      </c>
      <c r="BM257" s="997">
        <f t="shared" ref="BM257:BQ257" si="420">BM67-(7.5*(BM59+BM51)*1.25)</f>
        <v>14.69610831470554</v>
      </c>
      <c r="BN257" s="998">
        <f t="shared" si="420"/>
        <v>14.69610831470554</v>
      </c>
      <c r="BO257" s="998">
        <f t="shared" si="420"/>
        <v>14.69610831470554</v>
      </c>
      <c r="BP257" s="999">
        <f t="shared" si="420"/>
        <v>14.69610831470554</v>
      </c>
      <c r="BQ257" s="1001">
        <f t="shared" si="420"/>
        <v>14.69610831470554</v>
      </c>
      <c r="BR257" s="40"/>
      <c r="BS257" s="40"/>
      <c r="BT257" s="40"/>
      <c r="BU257" s="232"/>
      <c r="BV257" s="28"/>
      <c r="BW257" s="28"/>
      <c r="BX257" s="28"/>
      <c r="BY257" s="28"/>
      <c r="BZ257" s="28"/>
      <c r="CA257" s="28"/>
      <c r="CB257" s="28"/>
      <c r="CC257" s="28"/>
      <c r="CD257" s="40"/>
      <c r="CE257" s="40"/>
      <c r="CF257" s="40"/>
      <c r="CG257" s="40"/>
      <c r="CH257" s="40"/>
      <c r="CI257" s="40"/>
      <c r="CJ257" s="40"/>
      <c r="CK257" s="40"/>
      <c r="CL257" s="40"/>
      <c r="CM257" s="40"/>
      <c r="CN257" s="40"/>
      <c r="CO257" s="40"/>
      <c r="CP257" s="40"/>
      <c r="CQ257" s="40"/>
      <c r="CR257" s="40"/>
      <c r="CS257" s="40"/>
      <c r="CT257" s="823"/>
      <c r="CU257" s="232"/>
      <c r="CV257" s="232"/>
      <c r="CW257" s="232"/>
      <c r="CX257" s="232"/>
      <c r="CY257" s="232"/>
      <c r="CZ257" s="40"/>
      <c r="DA257" s="40"/>
      <c r="DB257" s="40"/>
      <c r="DC257" s="40"/>
      <c r="DD257" s="40"/>
      <c r="DE257" s="40"/>
      <c r="DF257" s="232"/>
      <c r="DG257" s="232"/>
      <c r="DH257" s="232"/>
      <c r="DI257" s="232"/>
      <c r="DJ257" s="232"/>
      <c r="DK257" s="232"/>
      <c r="DL257" s="232"/>
      <c r="DM257" s="232"/>
      <c r="DN257" s="232"/>
    </row>
    <row r="258" spans="1:118">
      <c r="A258" s="40"/>
      <c r="B258" s="1"/>
      <c r="C258" s="226"/>
      <c r="D258" s="1"/>
      <c r="E258" s="273"/>
      <c r="F258" s="3"/>
      <c r="G258" s="3"/>
      <c r="H258" s="274"/>
      <c r="I258" s="28"/>
      <c r="J258" s="273"/>
      <c r="K258" s="3"/>
      <c r="L258" s="3"/>
      <c r="M258" s="274"/>
      <c r="N258" s="1"/>
      <c r="O258" s="273"/>
      <c r="P258" s="3"/>
      <c r="Q258" s="3"/>
      <c r="R258" s="274"/>
      <c r="S258" s="1"/>
      <c r="T258" s="298"/>
      <c r="U258" s="254"/>
      <c r="V258" s="254"/>
      <c r="W258" s="279"/>
      <c r="X258" s="883"/>
      <c r="Y258" s="298"/>
      <c r="Z258" s="254"/>
      <c r="AA258" s="254"/>
      <c r="AB258" s="279"/>
      <c r="AC258" s="1"/>
      <c r="AD258" s="298"/>
      <c r="AE258" s="254"/>
      <c r="AF258" s="254"/>
      <c r="AG258" s="279"/>
      <c r="AH258" s="1"/>
      <c r="AI258" s="273"/>
      <c r="AJ258" s="3"/>
      <c r="AK258" s="3"/>
      <c r="AL258" s="274"/>
      <c r="AM258" s="1"/>
      <c r="AN258" s="273"/>
      <c r="AO258" s="3"/>
      <c r="AP258" s="3"/>
      <c r="AQ258" s="274"/>
      <c r="AR258" s="224"/>
      <c r="AS258" s="273"/>
      <c r="AT258" s="3"/>
      <c r="AU258" s="3"/>
      <c r="AV258" s="274"/>
      <c r="AW258" s="1"/>
      <c r="AX258" s="273"/>
      <c r="AY258" s="3"/>
      <c r="AZ258" s="3"/>
      <c r="BA258" s="274"/>
      <c r="BB258" s="224"/>
      <c r="BC258" s="273"/>
      <c r="BD258" s="3"/>
      <c r="BE258" s="3"/>
      <c r="BF258" s="274"/>
      <c r="BG258" s="224"/>
      <c r="BH258" s="273"/>
      <c r="BI258" s="3"/>
      <c r="BJ258" s="3"/>
      <c r="BK258" s="274"/>
      <c r="BL258" s="224"/>
      <c r="BM258" s="273"/>
      <c r="BN258" s="3"/>
      <c r="BO258" s="3"/>
      <c r="BP258" s="274"/>
      <c r="BQ258" s="224"/>
      <c r="BR258" s="40"/>
      <c r="BS258" s="40"/>
      <c r="BT258" s="40"/>
      <c r="BU258" s="232"/>
      <c r="BV258" s="28"/>
      <c r="BW258" s="28"/>
      <c r="BX258" s="28"/>
      <c r="BY258" s="28"/>
      <c r="BZ258" s="28"/>
      <c r="CA258" s="28"/>
      <c r="CB258" s="28"/>
      <c r="CC258" s="28"/>
      <c r="CD258" s="40"/>
      <c r="CE258" s="40"/>
      <c r="CF258" s="40"/>
      <c r="CG258" s="40"/>
      <c r="CH258" s="40"/>
      <c r="CI258" s="40"/>
      <c r="CJ258" s="40"/>
      <c r="CK258" s="40"/>
      <c r="CL258" s="40"/>
      <c r="CM258" s="40"/>
      <c r="CN258" s="40"/>
      <c r="CO258" s="40"/>
      <c r="CP258" s="40"/>
      <c r="CQ258" s="40"/>
      <c r="CR258" s="40"/>
      <c r="CS258" s="40"/>
      <c r="CT258" s="823"/>
      <c r="CU258" s="232"/>
      <c r="CV258" s="232"/>
      <c r="CW258" s="232"/>
      <c r="CX258" s="232"/>
      <c r="CY258" s="232"/>
      <c r="CZ258" s="40"/>
      <c r="DA258" s="40"/>
      <c r="DB258" s="40"/>
      <c r="DC258" s="40"/>
      <c r="DD258" s="40"/>
      <c r="DE258" s="40"/>
      <c r="DF258" s="232"/>
      <c r="DG258" s="232"/>
      <c r="DH258" s="232"/>
      <c r="DI258" s="232"/>
      <c r="DJ258" s="232"/>
      <c r="DK258" s="232"/>
      <c r="DL258" s="232"/>
      <c r="DM258" s="232"/>
      <c r="DN258" s="232"/>
    </row>
    <row r="259" spans="1:118">
      <c r="A259" s="40"/>
      <c r="B259" s="1"/>
      <c r="C259" s="446"/>
      <c r="D259" s="1"/>
      <c r="E259" s="273"/>
      <c r="F259" s="3"/>
      <c r="G259" s="3"/>
      <c r="H259" s="274"/>
      <c r="I259" s="28"/>
      <c r="J259" s="273"/>
      <c r="K259" s="3"/>
      <c r="L259" s="3"/>
      <c r="M259" s="274"/>
      <c r="N259" s="1"/>
      <c r="O259" s="273"/>
      <c r="P259" s="3"/>
      <c r="Q259" s="3"/>
      <c r="R259" s="274"/>
      <c r="S259" s="1"/>
      <c r="T259" s="451"/>
      <c r="U259" s="452"/>
      <c r="V259" s="452"/>
      <c r="W259" s="453"/>
      <c r="X259" s="454"/>
      <c r="Y259" s="451"/>
      <c r="Z259" s="452"/>
      <c r="AA259" s="452"/>
      <c r="AB259" s="453"/>
      <c r="AC259" s="454"/>
      <c r="AD259" s="451"/>
      <c r="AE259" s="452"/>
      <c r="AF259" s="452"/>
      <c r="AG259" s="453"/>
      <c r="AH259" s="454"/>
      <c r="AI259" s="451"/>
      <c r="AJ259" s="452"/>
      <c r="AK259" s="452"/>
      <c r="AL259" s="453"/>
      <c r="AM259" s="454"/>
      <c r="AN259" s="451"/>
      <c r="AO259" s="452"/>
      <c r="AP259" s="452"/>
      <c r="AQ259" s="453"/>
      <c r="AR259" s="454"/>
      <c r="AS259" s="451"/>
      <c r="AT259" s="452"/>
      <c r="AU259" s="452"/>
      <c r="AV259" s="453"/>
      <c r="AW259" s="454"/>
      <c r="AX259" s="451"/>
      <c r="AY259" s="452"/>
      <c r="AZ259" s="452"/>
      <c r="BA259" s="453"/>
      <c r="BB259" s="454"/>
      <c r="BC259" s="451"/>
      <c r="BD259" s="452"/>
      <c r="BE259" s="452"/>
      <c r="BF259" s="453"/>
      <c r="BG259" s="454"/>
      <c r="BH259" s="451"/>
      <c r="BI259" s="452"/>
      <c r="BJ259" s="452"/>
      <c r="BK259" s="453"/>
      <c r="BL259" s="454"/>
      <c r="BM259" s="451"/>
      <c r="BN259" s="452"/>
      <c r="BO259" s="452"/>
      <c r="BP259" s="453"/>
      <c r="BQ259" s="454"/>
      <c r="BR259" s="40"/>
      <c r="BS259" s="40"/>
      <c r="BT259" s="40"/>
      <c r="BU259" s="232"/>
      <c r="BV259" s="28"/>
      <c r="BW259" s="28"/>
      <c r="BX259" s="28"/>
      <c r="BY259" s="28"/>
      <c r="BZ259" s="28"/>
      <c r="CA259" s="28"/>
      <c r="CB259" s="28"/>
      <c r="CC259" s="28"/>
      <c r="CD259" s="40"/>
      <c r="CE259" s="40"/>
      <c r="CF259" s="40"/>
      <c r="CG259" s="40"/>
      <c r="CH259" s="40"/>
      <c r="CI259" s="40"/>
      <c r="CJ259" s="40"/>
      <c r="CK259" s="40"/>
      <c r="CL259" s="40"/>
      <c r="CM259" s="40"/>
      <c r="CN259" s="40"/>
      <c r="CO259" s="40"/>
      <c r="CP259" s="40"/>
      <c r="CQ259" s="40"/>
      <c r="CR259" s="40"/>
      <c r="CS259" s="40"/>
      <c r="CT259" s="823"/>
      <c r="CU259" s="232"/>
      <c r="CV259" s="232"/>
      <c r="CW259" s="232"/>
      <c r="CX259" s="232"/>
      <c r="CY259" s="232"/>
      <c r="CZ259" s="40"/>
      <c r="DA259" s="40"/>
      <c r="DB259" s="40"/>
      <c r="DC259" s="40"/>
      <c r="DD259" s="40"/>
      <c r="DE259" s="40"/>
      <c r="DF259" s="232"/>
      <c r="DG259" s="232"/>
      <c r="DH259" s="232"/>
      <c r="DI259" s="232"/>
      <c r="DJ259" s="232"/>
      <c r="DK259" s="232"/>
      <c r="DL259" s="232"/>
      <c r="DM259" s="232"/>
      <c r="DN259" s="232"/>
    </row>
    <row r="260" spans="1:118">
      <c r="A260" s="40"/>
      <c r="B260" s="210" t="s">
        <v>823</v>
      </c>
      <c r="C260" s="15"/>
      <c r="D260" s="211"/>
      <c r="E260" s="273"/>
      <c r="F260" s="3"/>
      <c r="G260" s="3"/>
      <c r="H260" s="274"/>
      <c r="I260" s="28"/>
      <c r="J260" s="273"/>
      <c r="K260" s="3"/>
      <c r="L260" s="3"/>
      <c r="M260" s="274"/>
      <c r="N260" s="1"/>
      <c r="O260" s="273"/>
      <c r="P260" s="3"/>
      <c r="Q260" s="3"/>
      <c r="R260" s="274"/>
      <c r="S260" s="1"/>
      <c r="T260" s="273"/>
      <c r="U260" s="3"/>
      <c r="V260" s="3"/>
      <c r="W260" s="274"/>
      <c r="X260" s="1"/>
      <c r="Y260" s="273"/>
      <c r="Z260" s="3"/>
      <c r="AA260" s="3"/>
      <c r="AB260" s="274"/>
      <c r="AC260" s="1"/>
      <c r="AD260" s="273"/>
      <c r="AE260" s="3"/>
      <c r="AF260" s="3"/>
      <c r="AG260" s="274"/>
      <c r="AH260" s="1"/>
      <c r="AI260" s="273"/>
      <c r="AJ260" s="3"/>
      <c r="AK260" s="3"/>
      <c r="AL260" s="274"/>
      <c r="AM260" s="1"/>
      <c r="AN260" s="273"/>
      <c r="AO260" s="3"/>
      <c r="AP260" s="3"/>
      <c r="AQ260" s="274"/>
      <c r="AR260" s="1"/>
      <c r="AS260" s="273"/>
      <c r="AT260" s="3"/>
      <c r="AU260" s="3"/>
      <c r="AV260" s="274"/>
      <c r="AW260" s="1"/>
      <c r="AX260" s="273"/>
      <c r="AY260" s="3"/>
      <c r="AZ260" s="3"/>
      <c r="BA260" s="274"/>
      <c r="BB260" s="1"/>
      <c r="BC260" s="273"/>
      <c r="BD260" s="3"/>
      <c r="BE260" s="3"/>
      <c r="BF260" s="274"/>
      <c r="BG260" s="1"/>
      <c r="BH260" s="273"/>
      <c r="BI260" s="3"/>
      <c r="BJ260" s="3"/>
      <c r="BK260" s="274"/>
      <c r="BL260" s="1"/>
      <c r="BM260" s="273"/>
      <c r="BN260" s="3"/>
      <c r="BO260" s="3"/>
      <c r="BP260" s="274"/>
      <c r="BQ260" s="1"/>
      <c r="BR260" s="40"/>
      <c r="BS260" s="40"/>
      <c r="BT260" s="40"/>
      <c r="BU260" s="232"/>
      <c r="BV260" s="28"/>
      <c r="BW260" s="28"/>
      <c r="BX260" s="28"/>
      <c r="BY260" s="28"/>
      <c r="BZ260" s="28"/>
      <c r="CA260" s="28"/>
      <c r="CB260" s="28"/>
      <c r="CC260" s="28"/>
      <c r="CD260" s="40"/>
      <c r="CE260" s="40"/>
      <c r="CF260" s="40"/>
      <c r="CG260" s="40"/>
      <c r="CH260" s="40"/>
      <c r="CI260" s="40"/>
      <c r="CJ260" s="40"/>
      <c r="CK260" s="40"/>
      <c r="CL260" s="40"/>
      <c r="CM260" s="40"/>
      <c r="CN260" s="40"/>
      <c r="CO260" s="40"/>
      <c r="CP260" s="40"/>
      <c r="CQ260" s="40"/>
      <c r="CR260" s="40"/>
      <c r="CS260" s="40"/>
      <c r="CT260" s="823"/>
      <c r="CU260" s="232"/>
      <c r="CV260" s="232"/>
      <c r="CW260" s="232"/>
      <c r="CX260" s="232"/>
      <c r="CY260" s="232"/>
      <c r="CZ260" s="40"/>
      <c r="DA260" s="40"/>
      <c r="DB260" s="40"/>
      <c r="DC260" s="40"/>
      <c r="DD260" s="40"/>
      <c r="DE260" s="40"/>
      <c r="DF260" s="232"/>
      <c r="DG260" s="232"/>
      <c r="DH260" s="232"/>
      <c r="DI260" s="232"/>
      <c r="DJ260" s="232"/>
      <c r="DK260" s="232"/>
      <c r="DL260" s="232"/>
      <c r="DM260" s="232"/>
      <c r="DN260" s="232"/>
    </row>
    <row r="261" spans="1:118">
      <c r="A261" s="40"/>
      <c r="B261" s="1"/>
      <c r="C261" s="1"/>
      <c r="D261" s="1"/>
      <c r="E261" s="273"/>
      <c r="F261" s="3"/>
      <c r="G261" s="3"/>
      <c r="H261" s="274"/>
      <c r="I261" s="28"/>
      <c r="J261" s="273"/>
      <c r="K261" s="3"/>
      <c r="L261" s="3"/>
      <c r="M261" s="274"/>
      <c r="N261" s="1"/>
      <c r="O261" s="273"/>
      <c r="P261" s="3"/>
      <c r="Q261" s="3"/>
      <c r="R261" s="274"/>
      <c r="S261" s="1"/>
      <c r="T261" s="273"/>
      <c r="U261" s="3"/>
      <c r="V261" s="3"/>
      <c r="W261" s="274"/>
      <c r="X261" s="1"/>
      <c r="Y261" s="273"/>
      <c r="Z261" s="3"/>
      <c r="AA261" s="3"/>
      <c r="AB261" s="274"/>
      <c r="AC261" s="1"/>
      <c r="AD261" s="273"/>
      <c r="AE261" s="3"/>
      <c r="AF261" s="3"/>
      <c r="AG261" s="274"/>
      <c r="AH261" s="1"/>
      <c r="AI261" s="273"/>
      <c r="AJ261" s="3"/>
      <c r="AK261" s="3"/>
      <c r="AL261" s="274"/>
      <c r="AM261" s="1"/>
      <c r="AN261" s="273"/>
      <c r="AO261" s="3"/>
      <c r="AP261" s="3"/>
      <c r="AQ261" s="274"/>
      <c r="AR261" s="1"/>
      <c r="AS261" s="273"/>
      <c r="AT261" s="3"/>
      <c r="AU261" s="3"/>
      <c r="AV261" s="274"/>
      <c r="AW261" s="1"/>
      <c r="AX261" s="273"/>
      <c r="AY261" s="3"/>
      <c r="AZ261" s="3"/>
      <c r="BA261" s="274"/>
      <c r="BB261" s="1"/>
      <c r="BC261" s="273"/>
      <c r="BD261" s="3"/>
      <c r="BE261" s="3"/>
      <c r="BF261" s="274"/>
      <c r="BG261" s="1"/>
      <c r="BH261" s="273"/>
      <c r="BI261" s="3"/>
      <c r="BJ261" s="3"/>
      <c r="BK261" s="274"/>
      <c r="BL261" s="1"/>
      <c r="BM261" s="273"/>
      <c r="BN261" s="3"/>
      <c r="BO261" s="3"/>
      <c r="BP261" s="274"/>
      <c r="BQ261" s="1"/>
      <c r="BR261" s="40"/>
      <c r="BS261" s="40"/>
      <c r="BT261" s="40"/>
      <c r="BU261" s="232"/>
      <c r="BV261" s="28"/>
      <c r="BW261" s="28"/>
      <c r="BX261" s="28"/>
      <c r="BY261" s="28"/>
      <c r="BZ261" s="28"/>
      <c r="CA261" s="28"/>
      <c r="CB261" s="28"/>
      <c r="CC261" s="28"/>
      <c r="CD261" s="40"/>
      <c r="CE261" s="40"/>
      <c r="CF261" s="40"/>
      <c r="CG261" s="40"/>
      <c r="CH261" s="40"/>
      <c r="CI261" s="40"/>
      <c r="CJ261" s="40"/>
      <c r="CK261" s="40"/>
      <c r="CL261" s="40"/>
      <c r="CM261" s="40"/>
      <c r="CN261" s="40"/>
      <c r="CO261" s="40"/>
      <c r="CP261" s="40"/>
      <c r="CQ261" s="40"/>
      <c r="CR261" s="40"/>
      <c r="CS261" s="40"/>
      <c r="CT261" s="823"/>
      <c r="CU261" s="232"/>
      <c r="CV261" s="232"/>
      <c r="CW261" s="232"/>
      <c r="CX261" s="232"/>
      <c r="CY261" s="232"/>
      <c r="CZ261" s="40"/>
      <c r="DA261" s="40"/>
      <c r="DB261" s="40"/>
      <c r="DC261" s="40"/>
      <c r="DD261" s="40"/>
      <c r="DE261" s="40"/>
      <c r="DF261" s="232"/>
      <c r="DG261" s="232"/>
      <c r="DH261" s="232"/>
      <c r="DI261" s="232"/>
      <c r="DJ261" s="232"/>
      <c r="DK261" s="232"/>
      <c r="DL261" s="232"/>
      <c r="DM261" s="232"/>
      <c r="DN261" s="232"/>
    </row>
    <row r="262" spans="1:118">
      <c r="A262" s="40"/>
      <c r="B262" s="1"/>
      <c r="C262" s="996" t="s">
        <v>852</v>
      </c>
      <c r="D262" s="1"/>
      <c r="E262" s="273"/>
      <c r="F262" s="3"/>
      <c r="G262" s="3"/>
      <c r="H262" s="274"/>
      <c r="I262" s="28"/>
      <c r="J262" s="273"/>
      <c r="K262" s="3"/>
      <c r="L262" s="3"/>
      <c r="M262" s="274"/>
      <c r="N262" s="1"/>
      <c r="O262" s="273"/>
      <c r="P262" s="3"/>
      <c r="Q262" s="3"/>
      <c r="R262" s="274"/>
      <c r="S262" s="1"/>
      <c r="T262" s="273"/>
      <c r="U262" s="3"/>
      <c r="V262" s="3"/>
      <c r="W262" s="274"/>
      <c r="X262" s="1"/>
      <c r="Y262" s="273"/>
      <c r="Z262" s="3"/>
      <c r="AA262" s="3"/>
      <c r="AB262" s="274"/>
      <c r="AC262" s="1"/>
      <c r="AD262" s="273"/>
      <c r="AE262" s="3"/>
      <c r="AF262" s="3"/>
      <c r="AG262" s="274"/>
      <c r="AH262" s="1"/>
      <c r="AI262" s="273"/>
      <c r="AJ262" s="3"/>
      <c r="AK262" s="3"/>
      <c r="AL262" s="274"/>
      <c r="AM262" s="1"/>
      <c r="AN262" s="273"/>
      <c r="AO262" s="3"/>
      <c r="AP262" s="3"/>
      <c r="AQ262" s="274"/>
      <c r="AR262" s="1"/>
      <c r="AS262" s="273"/>
      <c r="AT262" s="3"/>
      <c r="AU262" s="3"/>
      <c r="AV262" s="274"/>
      <c r="AW262" s="1"/>
      <c r="AX262" s="273"/>
      <c r="AY262" s="3"/>
      <c r="AZ262" s="3"/>
      <c r="BA262" s="274"/>
      <c r="BB262" s="1"/>
      <c r="BC262" s="273"/>
      <c r="BD262" s="3"/>
      <c r="BE262" s="3"/>
      <c r="BF262" s="274"/>
      <c r="BG262" s="1"/>
      <c r="BH262" s="273"/>
      <c r="BI262" s="3"/>
      <c r="BJ262" s="3"/>
      <c r="BK262" s="274"/>
      <c r="BL262" s="1"/>
      <c r="BM262" s="273"/>
      <c r="BN262" s="3"/>
      <c r="BO262" s="3"/>
      <c r="BP262" s="274"/>
      <c r="BQ262" s="1"/>
      <c r="BR262" s="40"/>
      <c r="BS262" s="40"/>
      <c r="BT262" s="40"/>
      <c r="BU262" s="232"/>
      <c r="BV262" s="28"/>
      <c r="BW262" s="28"/>
      <c r="BX262" s="28"/>
      <c r="BY262" s="28"/>
      <c r="BZ262" s="28"/>
      <c r="CA262" s="28"/>
      <c r="CB262" s="28"/>
      <c r="CC262" s="28"/>
      <c r="CD262" s="40"/>
      <c r="CE262" s="40"/>
      <c r="CF262" s="40"/>
      <c r="CG262" s="40"/>
      <c r="CH262" s="40"/>
      <c r="CI262" s="40"/>
      <c r="CJ262" s="40"/>
      <c r="CK262" s="40"/>
      <c r="CL262" s="40"/>
      <c r="CM262" s="40"/>
      <c r="CN262" s="40"/>
      <c r="CO262" s="40"/>
      <c r="CP262" s="40"/>
      <c r="CQ262" s="40"/>
      <c r="CR262" s="40"/>
      <c r="CS262" s="40"/>
      <c r="CT262" s="823"/>
      <c r="CU262" s="232"/>
      <c r="CV262" s="232"/>
      <c r="CW262" s="232"/>
      <c r="CX262" s="232"/>
      <c r="CY262" s="232"/>
      <c r="CZ262" s="40"/>
      <c r="DA262" s="40"/>
      <c r="DB262" s="40"/>
      <c r="DC262" s="40"/>
      <c r="DD262" s="40"/>
      <c r="DE262" s="40"/>
      <c r="DF262" s="232"/>
      <c r="DG262" s="232"/>
      <c r="DH262" s="232"/>
      <c r="DI262" s="232"/>
      <c r="DJ262" s="232"/>
      <c r="DK262" s="232"/>
      <c r="DL262" s="232"/>
      <c r="DM262" s="232"/>
      <c r="DN262" s="232"/>
    </row>
    <row r="263" spans="1:118">
      <c r="A263" s="40"/>
      <c r="B263" s="1"/>
      <c r="C263" s="28" t="s">
        <v>797</v>
      </c>
      <c r="D263" s="1"/>
      <c r="E263" s="273"/>
      <c r="F263" s="3"/>
      <c r="G263" s="3"/>
      <c r="H263" s="274"/>
      <c r="I263" s="28"/>
      <c r="J263" s="273"/>
      <c r="K263" s="3"/>
      <c r="L263" s="3"/>
      <c r="M263" s="274"/>
      <c r="N263" s="1"/>
      <c r="O263" s="273"/>
      <c r="P263" s="3"/>
      <c r="Q263" s="3"/>
      <c r="R263" s="274"/>
      <c r="S263" s="1"/>
      <c r="T263" s="758"/>
      <c r="U263" s="660"/>
      <c r="V263" s="660"/>
      <c r="W263" s="661"/>
      <c r="X263" s="428"/>
      <c r="Y263" s="758">
        <f t="shared" ref="Y263:AB264" si="421">+Y280+Y293+Y345</f>
        <v>987.57976111992195</v>
      </c>
      <c r="Z263" s="660">
        <f t="shared" si="421"/>
        <v>998.54779881327784</v>
      </c>
      <c r="AA263" s="660">
        <f t="shared" si="421"/>
        <v>1055.3521166199089</v>
      </c>
      <c r="AB263" s="661">
        <f t="shared" si="421"/>
        <v>947.07571837025137</v>
      </c>
      <c r="AC263" s="428"/>
      <c r="AD263" s="758">
        <f t="shared" ref="AD263:AS264" si="422">+AD280+AD293+AD345+AD332+AD319+AD306+AD358</f>
        <v>2925.5896459730575</v>
      </c>
      <c r="AE263" s="660">
        <f t="shared" si="422"/>
        <v>1197.1459684194019</v>
      </c>
      <c r="AF263" s="660">
        <f t="shared" si="422"/>
        <v>1197.1459684194019</v>
      </c>
      <c r="AG263" s="661">
        <f t="shared" si="422"/>
        <v>1328.6751588308043</v>
      </c>
      <c r="AH263" s="428">
        <f t="shared" si="422"/>
        <v>6648.5567416426657</v>
      </c>
      <c r="AI263" s="758">
        <f t="shared" si="422"/>
        <v>1657.3240660585284</v>
      </c>
      <c r="AJ263" s="660">
        <f t="shared" si="422"/>
        <v>1047.3684578253878</v>
      </c>
      <c r="AK263" s="660">
        <f t="shared" si="422"/>
        <v>1050.2196820588963</v>
      </c>
      <c r="AL263" s="661">
        <f t="shared" si="422"/>
        <v>955.76935348842994</v>
      </c>
      <c r="AM263" s="428">
        <f t="shared" si="422"/>
        <v>4710.6815594312429</v>
      </c>
      <c r="AN263" s="758">
        <f t="shared" si="422"/>
        <v>922.66083280955377</v>
      </c>
      <c r="AO263" s="660">
        <f t="shared" si="422"/>
        <v>897.42771007150054</v>
      </c>
      <c r="AP263" s="660">
        <f t="shared" si="422"/>
        <v>1110.402570096845</v>
      </c>
      <c r="AQ263" s="661">
        <f t="shared" si="422"/>
        <v>972.10306913251782</v>
      </c>
      <c r="AR263" s="428">
        <f t="shared" si="422"/>
        <v>3902.5941821104175</v>
      </c>
      <c r="AS263" s="758">
        <f t="shared" si="422"/>
        <v>1074.5430708194731</v>
      </c>
      <c r="AT263" s="660">
        <f>+AT280+AT293+AT345+AT332+AT319+AT306+AT358+AT371</f>
        <v>1111.2215145600987</v>
      </c>
      <c r="AU263" s="660">
        <f t="shared" ref="AU263:AU264" si="423">+AU280+AU293+AU345+AU332+AU319+AU306+AU358+AU371</f>
        <v>1118.231756075133</v>
      </c>
      <c r="AV263" s="661">
        <f t="shared" ref="AV263:BL264" si="424">+AV280+AV293+AV345+AV332+AV319+AV306+AV358+AV371</f>
        <v>1518.7471828277394</v>
      </c>
      <c r="AW263" s="428">
        <f t="shared" si="424"/>
        <v>4822.743524282444</v>
      </c>
      <c r="AX263" s="758">
        <f t="shared" si="424"/>
        <v>1577.4971828277394</v>
      </c>
      <c r="AY263" s="660">
        <f t="shared" si="424"/>
        <v>1227.9983810690549</v>
      </c>
      <c r="AZ263" s="660">
        <f t="shared" si="424"/>
        <v>1281.7517788177911</v>
      </c>
      <c r="BA263" s="661">
        <f t="shared" si="424"/>
        <v>1177.4594197163974</v>
      </c>
      <c r="BB263" s="428">
        <f t="shared" si="424"/>
        <v>5264.7067624309821</v>
      </c>
      <c r="BC263" s="758">
        <f t="shared" si="424"/>
        <v>1514.5739341628594</v>
      </c>
      <c r="BD263" s="660">
        <f t="shared" si="424"/>
        <v>1096.2835812550788</v>
      </c>
      <c r="BE263" s="660">
        <f t="shared" si="424"/>
        <v>1151.0133290778638</v>
      </c>
      <c r="BF263" s="661">
        <f t="shared" si="424"/>
        <v>1148.3455730346557</v>
      </c>
      <c r="BG263" s="428">
        <f t="shared" si="424"/>
        <v>4910.2164175304588</v>
      </c>
      <c r="BH263" s="758">
        <f t="shared" si="424"/>
        <v>1337.8758373437527</v>
      </c>
      <c r="BI263" s="660">
        <f t="shared" si="424"/>
        <v>1052.5632598962209</v>
      </c>
      <c r="BJ263" s="660">
        <f t="shared" si="424"/>
        <v>1105.1130189622306</v>
      </c>
      <c r="BK263" s="661">
        <f t="shared" si="424"/>
        <v>1133.0069865524015</v>
      </c>
      <c r="BL263" s="428">
        <f t="shared" si="424"/>
        <v>4628.5591027546052</v>
      </c>
      <c r="BM263" s="758">
        <f t="shared" ref="BM263:BQ263" si="425">+BM280+BM293+BM345+BM332+BM319+BM306+BM358+BM371</f>
        <v>1213.6396604817689</v>
      </c>
      <c r="BN263" s="660">
        <f t="shared" si="425"/>
        <v>1216.5923798546346</v>
      </c>
      <c r="BO263" s="660">
        <f t="shared" si="425"/>
        <v>1216.5923798546346</v>
      </c>
      <c r="BP263" s="661">
        <f t="shared" si="425"/>
        <v>1216.5923798546346</v>
      </c>
      <c r="BQ263" s="428">
        <f t="shared" si="425"/>
        <v>4863.416800045673</v>
      </c>
      <c r="BR263" s="40"/>
      <c r="BS263" s="40"/>
      <c r="BT263" s="40"/>
      <c r="BU263" s="232"/>
      <c r="BV263" s="28"/>
      <c r="BW263" s="28"/>
      <c r="BX263" s="28"/>
      <c r="BY263" s="28"/>
      <c r="BZ263" s="28"/>
      <c r="CA263" s="28"/>
      <c r="CB263" s="28"/>
      <c r="CC263" s="28"/>
      <c r="CD263" s="40"/>
      <c r="CE263" s="40"/>
      <c r="CF263" s="40"/>
      <c r="CG263" s="40"/>
      <c r="CH263" s="40"/>
      <c r="CI263" s="40"/>
      <c r="CJ263" s="40"/>
      <c r="CK263" s="40"/>
      <c r="CL263" s="40"/>
      <c r="CM263" s="40"/>
      <c r="CN263" s="40"/>
      <c r="CO263" s="40"/>
      <c r="CP263" s="40"/>
      <c r="CQ263" s="40"/>
      <c r="CR263" s="40"/>
      <c r="CS263" s="40"/>
      <c r="CT263" s="823"/>
      <c r="CU263" s="232"/>
      <c r="CV263" s="232"/>
      <c r="CW263" s="232"/>
      <c r="CX263" s="232"/>
      <c r="CY263" s="232"/>
      <c r="CZ263" s="40"/>
      <c r="DA263" s="40"/>
      <c r="DB263" s="40"/>
      <c r="DC263" s="40"/>
      <c r="DD263" s="40"/>
      <c r="DE263" s="40"/>
      <c r="DF263" s="232"/>
      <c r="DG263" s="232"/>
      <c r="DH263" s="232"/>
      <c r="DI263" s="232"/>
      <c r="DJ263" s="232"/>
      <c r="DK263" s="232"/>
      <c r="DL263" s="232"/>
      <c r="DM263" s="232"/>
      <c r="DN263" s="232"/>
    </row>
    <row r="264" spans="1:118" s="232" customFormat="1">
      <c r="A264" s="40"/>
      <c r="B264" s="1"/>
      <c r="C264" s="28" t="s">
        <v>278</v>
      </c>
      <c r="D264" s="1"/>
      <c r="E264" s="273"/>
      <c r="F264" s="3"/>
      <c r="G264" s="3"/>
      <c r="H264" s="274"/>
      <c r="I264" s="28"/>
      <c r="J264" s="273"/>
      <c r="K264" s="3"/>
      <c r="L264" s="3"/>
      <c r="M264" s="274"/>
      <c r="N264" s="1"/>
      <c r="O264" s="273"/>
      <c r="P264" s="3"/>
      <c r="Q264" s="3"/>
      <c r="R264" s="274"/>
      <c r="S264" s="1"/>
      <c r="T264" s="758"/>
      <c r="U264" s="660"/>
      <c r="V264" s="660"/>
      <c r="W264" s="661"/>
      <c r="X264" s="428"/>
      <c r="Y264" s="758">
        <f t="shared" si="421"/>
        <v>261.11362882500009</v>
      </c>
      <c r="Z264" s="660">
        <f t="shared" si="421"/>
        <v>261.11362882500009</v>
      </c>
      <c r="AA264" s="660">
        <f t="shared" si="421"/>
        <v>261.11362882500009</v>
      </c>
      <c r="AB264" s="661">
        <f t="shared" si="421"/>
        <v>261.11362882500009</v>
      </c>
      <c r="AC264" s="428"/>
      <c r="AD264" s="758">
        <f t="shared" ref="AD264:AR264" si="426">+AD281+AD294+AD346+AD333+AD320+AD307+AD359</f>
        <v>329.56023922500015</v>
      </c>
      <c r="AE264" s="660">
        <f t="shared" si="426"/>
        <v>293.72080162500004</v>
      </c>
      <c r="AF264" s="660">
        <f t="shared" si="426"/>
        <v>293.72080162500004</v>
      </c>
      <c r="AG264" s="661">
        <f t="shared" si="426"/>
        <v>293.72080162500004</v>
      </c>
      <c r="AH264" s="428">
        <f t="shared" si="426"/>
        <v>1210.7226440999998</v>
      </c>
      <c r="AI264" s="758">
        <f t="shared" si="426"/>
        <v>303.55510366125009</v>
      </c>
      <c r="AJ264" s="660">
        <f t="shared" si="426"/>
        <v>303.55510366125009</v>
      </c>
      <c r="AK264" s="660">
        <f t="shared" si="426"/>
        <v>303.55510366125009</v>
      </c>
      <c r="AL264" s="661">
        <f t="shared" si="426"/>
        <v>303.55510366125009</v>
      </c>
      <c r="AM264" s="428">
        <f t="shared" si="426"/>
        <v>1214.2204146450003</v>
      </c>
      <c r="AN264" s="758">
        <f t="shared" si="426"/>
        <v>314.70582953474997</v>
      </c>
      <c r="AO264" s="660">
        <f t="shared" si="426"/>
        <v>313.71511509821255</v>
      </c>
      <c r="AP264" s="660">
        <f t="shared" si="426"/>
        <v>313.71511509821255</v>
      </c>
      <c r="AQ264" s="661">
        <f t="shared" si="426"/>
        <v>313.71511509821255</v>
      </c>
      <c r="AR264" s="428">
        <f t="shared" si="426"/>
        <v>1255.8511748293877</v>
      </c>
      <c r="AS264" s="758">
        <f t="shared" si="422"/>
        <v>343.59064395000007</v>
      </c>
      <c r="AT264" s="660">
        <f>+AT281+AT294+AT346+AT333+AT320+AT307+AT359+AT372</f>
        <v>358.4100454500001</v>
      </c>
      <c r="AU264" s="660">
        <f t="shared" si="423"/>
        <v>358.4100454500001</v>
      </c>
      <c r="AV264" s="661">
        <f>+AV281+AV294+AV346+AV333+AV320+AV307+AV359+AV372</f>
        <v>358.4100454500001</v>
      </c>
      <c r="AW264" s="428">
        <f t="shared" si="424"/>
        <v>1418.8207803000003</v>
      </c>
      <c r="AX264" s="758">
        <f t="shared" si="424"/>
        <v>337.32710159999999</v>
      </c>
      <c r="AY264" s="660">
        <f t="shared" si="424"/>
        <v>337.32710159999999</v>
      </c>
      <c r="AZ264" s="660">
        <f t="shared" si="424"/>
        <v>334.39074959999999</v>
      </c>
      <c r="BA264" s="661">
        <f t="shared" si="424"/>
        <v>323.19809760000004</v>
      </c>
      <c r="BB264" s="428">
        <f t="shared" si="424"/>
        <v>1332.2430504000001</v>
      </c>
      <c r="BC264" s="758">
        <f t="shared" si="424"/>
        <v>315.25366454999994</v>
      </c>
      <c r="BD264" s="660">
        <f t="shared" si="424"/>
        <v>315.25366454999994</v>
      </c>
      <c r="BE264" s="660">
        <f t="shared" si="424"/>
        <v>315.25366454999994</v>
      </c>
      <c r="BF264" s="661">
        <f>+BF281+BF294+BF346+BF333+BF320+BF307+BF359+BF372</f>
        <v>302.04210082499992</v>
      </c>
      <c r="BG264" s="428">
        <f t="shared" si="424"/>
        <v>1247.8030944749996</v>
      </c>
      <c r="BH264" s="758">
        <f t="shared" si="424"/>
        <v>252.87713189999999</v>
      </c>
      <c r="BI264" s="660">
        <f t="shared" si="424"/>
        <v>282.55551367499999</v>
      </c>
      <c r="BJ264" s="660">
        <f t="shared" si="424"/>
        <v>282.55551367499999</v>
      </c>
      <c r="BK264" s="661">
        <f t="shared" si="424"/>
        <v>282.55551367499999</v>
      </c>
      <c r="BL264" s="428">
        <f t="shared" si="424"/>
        <v>1100.5436729249998</v>
      </c>
      <c r="BM264" s="758">
        <f t="shared" ref="BM264:BQ264" si="427">+BM281+BM294+BM346+BM333+BM320+BM307+BM359+BM372</f>
        <v>282.55551367499999</v>
      </c>
      <c r="BN264" s="660">
        <f t="shared" si="427"/>
        <v>282.55551367499999</v>
      </c>
      <c r="BO264" s="660">
        <f t="shared" si="427"/>
        <v>282.55551367499999</v>
      </c>
      <c r="BP264" s="661">
        <f t="shared" si="427"/>
        <v>282.55551367499999</v>
      </c>
      <c r="BQ264" s="428">
        <f t="shared" si="427"/>
        <v>1130.2220546999999</v>
      </c>
      <c r="BR264" s="40"/>
      <c r="BS264" s="40"/>
      <c r="BT264" s="40"/>
      <c r="BV264" s="28"/>
      <c r="BW264" s="28"/>
      <c r="BX264" s="28"/>
      <c r="BY264" s="28"/>
      <c r="BZ264" s="28"/>
      <c r="CA264" s="28"/>
      <c r="CB264" s="28"/>
      <c r="CC264" s="28"/>
      <c r="CD264" s="40"/>
      <c r="CE264" s="40"/>
      <c r="CF264" s="40"/>
      <c r="CG264" s="40"/>
      <c r="CH264" s="40"/>
      <c r="CI264" s="40"/>
      <c r="CJ264" s="40"/>
      <c r="CK264" s="40"/>
      <c r="CL264" s="40"/>
      <c r="CM264" s="40"/>
      <c r="CN264" s="40"/>
      <c r="CO264" s="40"/>
      <c r="CP264" s="40"/>
      <c r="CQ264" s="40"/>
      <c r="CR264" s="40"/>
      <c r="CS264" s="40"/>
      <c r="CT264" s="994"/>
      <c r="CZ264" s="40"/>
      <c r="DA264" s="40"/>
      <c r="DB264" s="40"/>
      <c r="DC264" s="40"/>
      <c r="DD264" s="40"/>
      <c r="DE264" s="40"/>
    </row>
    <row r="265" spans="1:118" s="232" customFormat="1">
      <c r="A265" s="40"/>
      <c r="B265" s="1"/>
      <c r="C265" s="32" t="s">
        <v>199</v>
      </c>
      <c r="D265" s="32"/>
      <c r="E265" s="489"/>
      <c r="F265" s="342"/>
      <c r="G265" s="342"/>
      <c r="H265" s="490"/>
      <c r="I265" s="28"/>
      <c r="J265" s="489"/>
      <c r="K265" s="342"/>
      <c r="L265" s="342"/>
      <c r="M265" s="490"/>
      <c r="N265" s="32"/>
      <c r="O265" s="489"/>
      <c r="P265" s="342"/>
      <c r="Q265" s="342"/>
      <c r="R265" s="490"/>
      <c r="S265" s="32"/>
      <c r="T265" s="292"/>
      <c r="U265" s="261"/>
      <c r="V265" s="261"/>
      <c r="W265" s="293"/>
      <c r="X265" s="228"/>
      <c r="Y265" s="292">
        <f>Y263-Y264</f>
        <v>726.46613229492186</v>
      </c>
      <c r="Z265" s="261">
        <f>Z263-Z264</f>
        <v>737.43416998827774</v>
      </c>
      <c r="AA265" s="261">
        <f>AA263-AA264</f>
        <v>794.23848779490879</v>
      </c>
      <c r="AB265" s="293">
        <f>AB263-AB264</f>
        <v>685.96208954525127</v>
      </c>
      <c r="AC265" s="228"/>
      <c r="AD265" s="292">
        <f t="shared" ref="AD265:BL265" si="428">AD263-AD264</f>
        <v>2596.0294067480572</v>
      </c>
      <c r="AE265" s="261">
        <f t="shared" si="428"/>
        <v>903.42516679440189</v>
      </c>
      <c r="AF265" s="261">
        <f t="shared" si="428"/>
        <v>903.42516679440189</v>
      </c>
      <c r="AG265" s="293">
        <f t="shared" si="428"/>
        <v>1034.9543572058042</v>
      </c>
      <c r="AH265" s="228">
        <f t="shared" si="428"/>
        <v>5437.8340975426654</v>
      </c>
      <c r="AI265" s="292">
        <f t="shared" si="428"/>
        <v>1353.7689623972783</v>
      </c>
      <c r="AJ265" s="261">
        <f t="shared" si="428"/>
        <v>743.81335416413776</v>
      </c>
      <c r="AK265" s="261">
        <f t="shared" si="428"/>
        <v>746.66457839764621</v>
      </c>
      <c r="AL265" s="293">
        <f t="shared" si="428"/>
        <v>652.21424982717986</v>
      </c>
      <c r="AM265" s="228">
        <f t="shared" si="428"/>
        <v>3496.4611447862426</v>
      </c>
      <c r="AN265" s="292">
        <f t="shared" si="428"/>
        <v>607.95500327480386</v>
      </c>
      <c r="AO265" s="261">
        <f t="shared" si="428"/>
        <v>583.71259497328799</v>
      </c>
      <c r="AP265" s="261">
        <f t="shared" si="428"/>
        <v>796.68745499863246</v>
      </c>
      <c r="AQ265" s="293">
        <f t="shared" si="428"/>
        <v>658.38795403430527</v>
      </c>
      <c r="AR265" s="228">
        <f t="shared" si="428"/>
        <v>2646.7430072810298</v>
      </c>
      <c r="AS265" s="292">
        <f t="shared" si="428"/>
        <v>730.95242686947302</v>
      </c>
      <c r="AT265" s="261">
        <f t="shared" si="428"/>
        <v>752.81146911009864</v>
      </c>
      <c r="AU265" s="261">
        <f t="shared" ref="AU265" si="429">AU263-AU264</f>
        <v>759.82171062513294</v>
      </c>
      <c r="AV265" s="293">
        <f t="shared" si="428"/>
        <v>1160.3371373777393</v>
      </c>
      <c r="AW265" s="228">
        <f t="shared" si="428"/>
        <v>3403.9227439824435</v>
      </c>
      <c r="AX265" s="292">
        <f t="shared" si="428"/>
        <v>1240.1700812277395</v>
      </c>
      <c r="AY265" s="261">
        <f t="shared" si="428"/>
        <v>890.67127946905487</v>
      </c>
      <c r="AZ265" s="261">
        <f t="shared" si="428"/>
        <v>947.36102921779116</v>
      </c>
      <c r="BA265" s="293">
        <f t="shared" si="428"/>
        <v>854.26132211639742</v>
      </c>
      <c r="BB265" s="228">
        <f t="shared" si="428"/>
        <v>3932.4637120309817</v>
      </c>
      <c r="BC265" s="292">
        <f t="shared" si="428"/>
        <v>1199.3202696128594</v>
      </c>
      <c r="BD265" s="261">
        <f t="shared" si="428"/>
        <v>781.0299167050789</v>
      </c>
      <c r="BE265" s="261">
        <f t="shared" si="428"/>
        <v>835.75966452786383</v>
      </c>
      <c r="BF265" s="293">
        <f t="shared" si="428"/>
        <v>846.30347220965575</v>
      </c>
      <c r="BG265" s="228">
        <f t="shared" si="428"/>
        <v>3662.4133230554589</v>
      </c>
      <c r="BH265" s="292">
        <f t="shared" si="428"/>
        <v>1084.9987054437527</v>
      </c>
      <c r="BI265" s="261">
        <f t="shared" si="428"/>
        <v>770.00774622122094</v>
      </c>
      <c r="BJ265" s="261">
        <f t="shared" si="428"/>
        <v>822.5575052872307</v>
      </c>
      <c r="BK265" s="293">
        <f t="shared" si="428"/>
        <v>850.45147287740156</v>
      </c>
      <c r="BL265" s="228">
        <f t="shared" si="428"/>
        <v>3528.0154298296056</v>
      </c>
      <c r="BM265" s="292">
        <f t="shared" ref="BM265:BQ265" si="430">BM263-BM264</f>
        <v>931.08414680676901</v>
      </c>
      <c r="BN265" s="261">
        <f t="shared" si="430"/>
        <v>934.03686617963467</v>
      </c>
      <c r="BO265" s="261">
        <f t="shared" si="430"/>
        <v>934.03686617963467</v>
      </c>
      <c r="BP265" s="293">
        <f t="shared" si="430"/>
        <v>934.03686617963467</v>
      </c>
      <c r="BQ265" s="228">
        <f t="shared" si="430"/>
        <v>3733.1947453456733</v>
      </c>
      <c r="BR265" s="40"/>
      <c r="BS265" s="40"/>
      <c r="BT265" s="40"/>
      <c r="BV265" s="28"/>
      <c r="BW265" s="28"/>
      <c r="BX265" s="28"/>
      <c r="BY265" s="28"/>
      <c r="BZ265" s="28"/>
      <c r="CA265" s="28"/>
      <c r="CB265" s="28"/>
      <c r="CC265" s="28"/>
      <c r="CD265" s="40"/>
      <c r="CE265" s="40"/>
      <c r="CF265" s="40"/>
      <c r="CG265" s="40"/>
      <c r="CH265" s="40"/>
      <c r="CI265" s="40"/>
      <c r="CJ265" s="40"/>
      <c r="CK265" s="40"/>
      <c r="CL265" s="40"/>
      <c r="CM265" s="40"/>
      <c r="CN265" s="40"/>
      <c r="CO265" s="40"/>
      <c r="CP265" s="40"/>
      <c r="CQ265" s="40"/>
      <c r="CR265" s="40"/>
      <c r="CS265" s="40"/>
      <c r="CT265" s="994"/>
      <c r="CZ265" s="40"/>
      <c r="DA265" s="40"/>
      <c r="DB265" s="40"/>
      <c r="DC265" s="40"/>
      <c r="DD265" s="40"/>
      <c r="DE265" s="40"/>
    </row>
    <row r="266" spans="1:118">
      <c r="A266" s="40"/>
      <c r="B266" s="1"/>
      <c r="C266" s="1"/>
      <c r="D266" s="1"/>
      <c r="E266" s="273"/>
      <c r="F266" s="3"/>
      <c r="G266" s="3"/>
      <c r="H266" s="274"/>
      <c r="I266" s="28"/>
      <c r="J266" s="273"/>
      <c r="K266" s="3"/>
      <c r="L266" s="3"/>
      <c r="M266" s="274"/>
      <c r="N266" s="1"/>
      <c r="O266" s="273"/>
      <c r="P266" s="3"/>
      <c r="Q266" s="3"/>
      <c r="R266" s="274"/>
      <c r="S266" s="1"/>
      <c r="T266" s="273"/>
      <c r="U266" s="3"/>
      <c r="V266" s="3"/>
      <c r="W266" s="274"/>
      <c r="X266" s="1"/>
      <c r="Y266" s="273"/>
      <c r="Z266" s="3"/>
      <c r="AA266" s="3"/>
      <c r="AB266" s="274"/>
      <c r="AC266" s="1"/>
      <c r="AD266" s="273"/>
      <c r="AE266" s="3"/>
      <c r="AF266" s="3"/>
      <c r="AG266" s="274"/>
      <c r="AH266" s="1"/>
      <c r="AI266" s="273"/>
      <c r="AJ266" s="3"/>
      <c r="AK266" s="3"/>
      <c r="AL266" s="274"/>
      <c r="AM266" s="1"/>
      <c r="AN266" s="273"/>
      <c r="AO266" s="3"/>
      <c r="AP266" s="3"/>
      <c r="AQ266" s="274"/>
      <c r="AR266" s="1"/>
      <c r="AS266" s="273"/>
      <c r="AT266" s="3"/>
      <c r="AU266" s="3"/>
      <c r="AV266" s="274"/>
      <c r="AW266" s="1"/>
      <c r="AX266" s="273"/>
      <c r="AY266" s="3"/>
      <c r="AZ266" s="3"/>
      <c r="BA266" s="274"/>
      <c r="BB266" s="1"/>
      <c r="BC266" s="273"/>
      <c r="BD266" s="3"/>
      <c r="BE266" s="3"/>
      <c r="BF266" s="274"/>
      <c r="BG266" s="1"/>
      <c r="BH266" s="273"/>
      <c r="BI266" s="3"/>
      <c r="BJ266" s="3"/>
      <c r="BK266" s="274"/>
      <c r="BL266" s="1"/>
      <c r="BM266" s="273"/>
      <c r="BN266" s="3"/>
      <c r="BO266" s="3"/>
      <c r="BP266" s="274"/>
      <c r="BQ266" s="1"/>
      <c r="BR266" s="40"/>
      <c r="BS266" s="40"/>
      <c r="BT266" s="40"/>
      <c r="BU266" s="232"/>
      <c r="BV266" s="28"/>
      <c r="BW266" s="28"/>
      <c r="BX266" s="28"/>
      <c r="BY266" s="28"/>
      <c r="BZ266" s="28"/>
      <c r="CA266" s="28"/>
      <c r="CB266" s="28"/>
      <c r="CC266" s="28"/>
      <c r="CD266" s="40"/>
      <c r="CE266" s="40"/>
      <c r="CF266" s="40"/>
      <c r="CG266" s="40"/>
      <c r="CH266" s="40"/>
      <c r="CI266" s="40"/>
      <c r="CJ266" s="40"/>
      <c r="CK266" s="40"/>
      <c r="CL266" s="40"/>
      <c r="CM266" s="40"/>
      <c r="CN266" s="40"/>
      <c r="CO266" s="40"/>
      <c r="CP266" s="40"/>
      <c r="CQ266" s="40"/>
      <c r="CR266" s="40"/>
      <c r="CS266" s="40"/>
      <c r="CT266" s="823"/>
      <c r="CU266" s="232"/>
      <c r="CV266" s="232"/>
      <c r="CW266" s="232"/>
      <c r="CX266" s="232"/>
      <c r="CY266" s="232"/>
      <c r="CZ266" s="40"/>
      <c r="DA266" s="40"/>
      <c r="DB266" s="40"/>
      <c r="DC266" s="40"/>
      <c r="DD266" s="40"/>
      <c r="DE266" s="40"/>
      <c r="DF266" s="232"/>
      <c r="DG266" s="232"/>
      <c r="DH266" s="232"/>
      <c r="DI266" s="232"/>
      <c r="DJ266" s="232"/>
      <c r="DK266" s="232"/>
      <c r="DL266" s="232"/>
      <c r="DM266" s="232"/>
      <c r="DN266" s="232"/>
    </row>
    <row r="267" spans="1:118">
      <c r="A267" s="40"/>
      <c r="B267" s="28"/>
      <c r="C267" s="28" t="s">
        <v>853</v>
      </c>
      <c r="D267" s="28"/>
      <c r="E267" s="290"/>
      <c r="F267" s="260"/>
      <c r="G267" s="260"/>
      <c r="H267" s="291"/>
      <c r="I267" s="45"/>
      <c r="J267" s="290"/>
      <c r="K267" s="260"/>
      <c r="L267" s="260"/>
      <c r="M267" s="291"/>
      <c r="N267" s="45"/>
      <c r="O267" s="290"/>
      <c r="P267" s="260"/>
      <c r="Q267" s="260"/>
      <c r="R267" s="291"/>
      <c r="S267" s="45"/>
      <c r="T267" s="758"/>
      <c r="U267" s="260"/>
      <c r="V267" s="260"/>
      <c r="W267" s="291"/>
      <c r="X267" s="45"/>
      <c r="Y267" s="290">
        <f>+Y275+Y288+Y340+Y327+Y314</f>
        <v>17085</v>
      </c>
      <c r="Z267" s="260">
        <f>+Z275+Z288+Z340+Z327+Z314</f>
        <v>17085</v>
      </c>
      <c r="AA267" s="260">
        <f>+AA275+AA288+AA340+AA327+AA314</f>
        <v>17085</v>
      </c>
      <c r="AB267" s="291">
        <f>+AB275+AB288+AB340+AB327+AB314</f>
        <v>17085</v>
      </c>
      <c r="AC267" s="45">
        <f>+AC275+AC288+AC340+AC327+AC314+AC353</f>
        <v>17923</v>
      </c>
      <c r="AD267" s="290">
        <f>+AD275+AD288+AD340+AD327+AD314+AD353+AD301+AD366</f>
        <v>19326</v>
      </c>
      <c r="AE267" s="260">
        <f t="shared" ref="AE267:BL267" si="431">+AE275+AE288+AE340+AE327+AE314+AE353+AE301+AE366</f>
        <v>19326</v>
      </c>
      <c r="AF267" s="260">
        <f t="shared" si="431"/>
        <v>19326</v>
      </c>
      <c r="AG267" s="291">
        <f t="shared" si="431"/>
        <v>19326</v>
      </c>
      <c r="AH267" s="45">
        <f t="shared" si="431"/>
        <v>19326</v>
      </c>
      <c r="AI267" s="290">
        <f t="shared" si="431"/>
        <v>19391</v>
      </c>
      <c r="AJ267" s="260">
        <f t="shared" si="431"/>
        <v>19391</v>
      </c>
      <c r="AK267" s="260">
        <f t="shared" si="431"/>
        <v>19391</v>
      </c>
      <c r="AL267" s="291">
        <f t="shared" si="431"/>
        <v>19391</v>
      </c>
      <c r="AM267" s="45">
        <f t="shared" si="431"/>
        <v>19391</v>
      </c>
      <c r="AN267" s="290">
        <f t="shared" si="431"/>
        <v>19456</v>
      </c>
      <c r="AO267" s="260">
        <f t="shared" si="431"/>
        <v>19456</v>
      </c>
      <c r="AP267" s="260">
        <f t="shared" si="431"/>
        <v>19456</v>
      </c>
      <c r="AQ267" s="291">
        <f t="shared" si="431"/>
        <v>19456</v>
      </c>
      <c r="AR267" s="45">
        <f t="shared" si="431"/>
        <v>19456</v>
      </c>
      <c r="AS267" s="290">
        <f t="shared" si="431"/>
        <v>19456</v>
      </c>
      <c r="AT267" s="260">
        <f t="shared" si="431"/>
        <v>20294</v>
      </c>
      <c r="AU267" s="260">
        <f t="shared" ref="AU267" si="432">+AU275+AU288+AU340+AU327+AU314+AU353+AU301+AU366</f>
        <v>20294</v>
      </c>
      <c r="AV267" s="291">
        <f t="shared" si="431"/>
        <v>20294</v>
      </c>
      <c r="AW267" s="45">
        <f t="shared" si="431"/>
        <v>20294</v>
      </c>
      <c r="AX267" s="290">
        <f t="shared" si="431"/>
        <v>20294</v>
      </c>
      <c r="AY267" s="260">
        <f t="shared" si="431"/>
        <v>20294</v>
      </c>
      <c r="AZ267" s="260">
        <f t="shared" si="431"/>
        <v>20294</v>
      </c>
      <c r="BA267" s="291">
        <f t="shared" si="431"/>
        <v>19669</v>
      </c>
      <c r="BB267" s="45">
        <f t="shared" si="431"/>
        <v>19669</v>
      </c>
      <c r="BC267" s="290">
        <f t="shared" si="431"/>
        <v>19669</v>
      </c>
      <c r="BD267" s="260">
        <f t="shared" si="431"/>
        <v>19669</v>
      </c>
      <c r="BE267" s="260">
        <f t="shared" si="431"/>
        <v>19669</v>
      </c>
      <c r="BF267" s="291">
        <f t="shared" si="431"/>
        <v>18832</v>
      </c>
      <c r="BG267" s="45">
        <f t="shared" si="431"/>
        <v>18832</v>
      </c>
      <c r="BH267" s="290">
        <f t="shared" si="431"/>
        <v>18832</v>
      </c>
      <c r="BI267" s="260">
        <f t="shared" si="431"/>
        <v>18832</v>
      </c>
      <c r="BJ267" s="260">
        <f t="shared" si="431"/>
        <v>18832</v>
      </c>
      <c r="BK267" s="291">
        <f t="shared" si="431"/>
        <v>18832</v>
      </c>
      <c r="BL267" s="45">
        <f t="shared" si="431"/>
        <v>18832</v>
      </c>
      <c r="BM267" s="290">
        <f t="shared" ref="BM267:BQ267" si="433">+BM275+BM288+BM340+BM327+BM314+BM353+BM301+BM366</f>
        <v>18832</v>
      </c>
      <c r="BN267" s="260">
        <f t="shared" si="433"/>
        <v>18832</v>
      </c>
      <c r="BO267" s="260">
        <f t="shared" si="433"/>
        <v>18832</v>
      </c>
      <c r="BP267" s="291">
        <f t="shared" si="433"/>
        <v>18832</v>
      </c>
      <c r="BQ267" s="45">
        <f t="shared" si="433"/>
        <v>18832</v>
      </c>
      <c r="BR267" s="40"/>
      <c r="BS267" s="40"/>
      <c r="BT267" s="40"/>
      <c r="BU267" s="232"/>
      <c r="BV267" s="28"/>
      <c r="BW267" s="28"/>
      <c r="BX267" s="28"/>
      <c r="BY267" s="28"/>
      <c r="BZ267" s="28"/>
      <c r="CA267" s="28"/>
      <c r="CB267" s="28"/>
      <c r="CC267" s="28"/>
      <c r="CD267" s="40"/>
      <c r="CE267" s="40"/>
      <c r="CF267" s="40"/>
      <c r="CG267" s="40"/>
      <c r="CH267" s="40"/>
      <c r="CI267" s="40"/>
      <c r="CJ267" s="40"/>
      <c r="CK267" s="40"/>
      <c r="CL267" s="40"/>
      <c r="CM267" s="40"/>
      <c r="CN267" s="40"/>
      <c r="CO267" s="40"/>
      <c r="CP267" s="40"/>
      <c r="CQ267" s="40"/>
      <c r="CR267" s="40"/>
      <c r="CS267" s="40"/>
      <c r="CT267" s="823"/>
      <c r="CU267" s="232"/>
      <c r="CV267" s="232"/>
      <c r="CW267" s="232"/>
      <c r="CX267" s="232"/>
      <c r="CY267" s="232"/>
      <c r="CZ267" s="40"/>
      <c r="DA267" s="40"/>
      <c r="DB267" s="40"/>
      <c r="DC267" s="40"/>
      <c r="DD267" s="40"/>
      <c r="DE267" s="40"/>
      <c r="DF267" s="232"/>
      <c r="DG267" s="232"/>
      <c r="DH267" s="232"/>
      <c r="DI267" s="232"/>
      <c r="DJ267" s="232"/>
      <c r="DK267" s="232"/>
      <c r="DL267" s="232"/>
      <c r="DM267" s="232"/>
      <c r="DN267" s="232"/>
    </row>
    <row r="268" spans="1:118">
      <c r="A268" s="40"/>
      <c r="B268" s="28"/>
      <c r="C268" s="28" t="s">
        <v>198</v>
      </c>
      <c r="D268" s="28"/>
      <c r="E268" s="305"/>
      <c r="F268" s="36"/>
      <c r="G268" s="36"/>
      <c r="H268" s="685"/>
      <c r="I268" s="28"/>
      <c r="J268" s="305"/>
      <c r="K268" s="36"/>
      <c r="L268" s="36"/>
      <c r="M268" s="685"/>
      <c r="N268" s="995"/>
      <c r="O268" s="305"/>
      <c r="P268" s="36"/>
      <c r="Q268" s="36"/>
      <c r="R268" s="685"/>
      <c r="S268" s="28"/>
      <c r="T268" s="308"/>
      <c r="U268" s="244"/>
      <c r="V268" s="244"/>
      <c r="W268" s="309"/>
      <c r="X268" s="24"/>
      <c r="Y268" s="308">
        <f>+Y278+Y291+Y330+Y343+Y317</f>
        <v>34668.948300000011</v>
      </c>
      <c r="Z268" s="244">
        <f>+Z278+Z291+Z330+Z343+Z317</f>
        <v>34668.948300000011</v>
      </c>
      <c r="AA268" s="244">
        <f>+AA278+AA291+AA330+AA343+AA317</f>
        <v>34668.948300000011</v>
      </c>
      <c r="AB268" s="309">
        <f>+AB278+AB291+AB330+AB343+AB317</f>
        <v>34668.948300000011</v>
      </c>
      <c r="AC268" s="24">
        <f>+AC278+AC291+AC330+AC343+AC317+AC356</f>
        <v>145282.58520000003</v>
      </c>
      <c r="AD268" s="308">
        <f>+AD278+AD291+AD330+AD343+AD317+AD356+AD304+AD369</f>
        <v>38771.792850000005</v>
      </c>
      <c r="AE268" s="244">
        <f t="shared" ref="AE268:BL268" si="434">+AE278+AE291+AE330+AE343+AE317+AE356+AE304+AE369</f>
        <v>39162.773550000005</v>
      </c>
      <c r="AF268" s="244">
        <f t="shared" si="434"/>
        <v>39162.773550000005</v>
      </c>
      <c r="AG268" s="309">
        <f t="shared" si="434"/>
        <v>39162.773550000005</v>
      </c>
      <c r="AH268" s="24">
        <f t="shared" si="434"/>
        <v>156260.11350000001</v>
      </c>
      <c r="AI268" s="308">
        <f t="shared" si="434"/>
        <v>39295.159050000002</v>
      </c>
      <c r="AJ268" s="244">
        <f t="shared" si="434"/>
        <v>39295.159050000002</v>
      </c>
      <c r="AK268" s="244">
        <f t="shared" si="434"/>
        <v>39295.159050000002</v>
      </c>
      <c r="AL268" s="309">
        <f t="shared" si="434"/>
        <v>39295.159050000002</v>
      </c>
      <c r="AM268" s="24">
        <f t="shared" si="434"/>
        <v>157180.63620000001</v>
      </c>
      <c r="AN268" s="308">
        <f t="shared" si="434"/>
        <v>39552.057000000001</v>
      </c>
      <c r="AO268" s="244">
        <f t="shared" si="434"/>
        <v>39427.544549999999</v>
      </c>
      <c r="AP268" s="244">
        <f t="shared" si="434"/>
        <v>39427.544549999999</v>
      </c>
      <c r="AQ268" s="309">
        <f t="shared" si="434"/>
        <v>39427.544549999999</v>
      </c>
      <c r="AR268" s="24">
        <f t="shared" si="434"/>
        <v>157834.69065</v>
      </c>
      <c r="AS268" s="308">
        <f t="shared" si="434"/>
        <v>40422.428699999989</v>
      </c>
      <c r="AT268" s="244">
        <f t="shared" si="434"/>
        <v>42165.887699999992</v>
      </c>
      <c r="AU268" s="244">
        <f t="shared" ref="AU268" si="435">+AU278+AU291+AU330+AU343+AU317+AU356+AU304+AU369</f>
        <v>42165.887699999992</v>
      </c>
      <c r="AV268" s="309">
        <f t="shared" si="434"/>
        <v>42165.887699999992</v>
      </c>
      <c r="AW268" s="24">
        <f t="shared" si="434"/>
        <v>166920.09179999997</v>
      </c>
      <c r="AX268" s="308">
        <f t="shared" si="434"/>
        <v>42165.887699999992</v>
      </c>
      <c r="AY268" s="244">
        <f t="shared" si="434"/>
        <v>42165.887699999992</v>
      </c>
      <c r="AZ268" s="244">
        <f t="shared" si="434"/>
        <v>41798.843699999998</v>
      </c>
      <c r="BA268" s="309">
        <f t="shared" si="434"/>
        <v>40399.762200000005</v>
      </c>
      <c r="BB268" s="24">
        <f t="shared" si="434"/>
        <v>166530.38129999998</v>
      </c>
      <c r="BC268" s="308">
        <f t="shared" si="434"/>
        <v>40677.892199999995</v>
      </c>
      <c r="BD268" s="244">
        <f t="shared" si="434"/>
        <v>40677.892199999995</v>
      </c>
      <c r="BE268" s="244">
        <f t="shared" si="434"/>
        <v>40677.892199999995</v>
      </c>
      <c r="BF268" s="309">
        <f t="shared" si="434"/>
        <v>38973.174299999991</v>
      </c>
      <c r="BG268" s="24">
        <f t="shared" si="434"/>
        <v>161006.85089999999</v>
      </c>
      <c r="BH268" s="308">
        <f t="shared" si="434"/>
        <v>34879.604400000004</v>
      </c>
      <c r="BI268" s="244">
        <f t="shared" si="434"/>
        <v>38973.174299999991</v>
      </c>
      <c r="BJ268" s="244">
        <f t="shared" si="434"/>
        <v>38973.174299999991</v>
      </c>
      <c r="BK268" s="309">
        <f t="shared" si="434"/>
        <v>38973.174299999991</v>
      </c>
      <c r="BL268" s="24">
        <f t="shared" si="434"/>
        <v>151799.12729999996</v>
      </c>
      <c r="BM268" s="308">
        <f t="shared" ref="BM268:BQ268" si="436">+BM278+BM291+BM330+BM343+BM317+BM356+BM304+BM369</f>
        <v>38973.174299999991</v>
      </c>
      <c r="BN268" s="244">
        <f t="shared" si="436"/>
        <v>38973.174299999991</v>
      </c>
      <c r="BO268" s="244">
        <f t="shared" si="436"/>
        <v>38973.174299999991</v>
      </c>
      <c r="BP268" s="309">
        <f t="shared" si="436"/>
        <v>38973.174299999991</v>
      </c>
      <c r="BQ268" s="24">
        <f t="shared" si="436"/>
        <v>155892.69719999997</v>
      </c>
      <c r="BR268" s="40"/>
      <c r="BS268" s="40"/>
      <c r="BT268" s="40"/>
      <c r="BU268" s="232"/>
      <c r="BV268" s="28"/>
      <c r="BW268" s="28"/>
      <c r="BX268" s="28"/>
      <c r="BY268" s="28"/>
      <c r="BZ268" s="28"/>
      <c r="CA268" s="28"/>
      <c r="CB268" s="28"/>
      <c r="CC268" s="28"/>
      <c r="CD268" s="40"/>
      <c r="CE268" s="40"/>
      <c r="CF268" s="40"/>
      <c r="CG268" s="40"/>
      <c r="CH268" s="40"/>
      <c r="CI268" s="40"/>
      <c r="CJ268" s="40"/>
      <c r="CK268" s="40"/>
      <c r="CL268" s="40"/>
      <c r="CM268" s="40"/>
      <c r="CN268" s="40"/>
      <c r="CO268" s="40"/>
      <c r="CP268" s="40"/>
      <c r="CQ268" s="40"/>
      <c r="CR268" s="40"/>
      <c r="CS268" s="40"/>
      <c r="CT268" s="823"/>
      <c r="CU268" s="232"/>
      <c r="CV268" s="232"/>
      <c r="CW268" s="232"/>
      <c r="CX268" s="232"/>
      <c r="CY268" s="232"/>
      <c r="CZ268" s="40"/>
      <c r="DA268" s="40"/>
      <c r="DB268" s="40"/>
      <c r="DC268" s="40"/>
      <c r="DD268" s="40"/>
      <c r="DE268" s="40"/>
      <c r="DF268" s="232"/>
      <c r="DG268" s="232"/>
      <c r="DH268" s="232"/>
      <c r="DI268" s="232"/>
      <c r="DJ268" s="232"/>
      <c r="DK268" s="232"/>
      <c r="DL268" s="232"/>
      <c r="DM268" s="232"/>
      <c r="DN268" s="232"/>
    </row>
    <row r="269" spans="1:118">
      <c r="A269" s="40"/>
      <c r="B269" s="1"/>
      <c r="C269" s="28" t="s">
        <v>854</v>
      </c>
      <c r="D269" s="1"/>
      <c r="E269" s="273"/>
      <c r="F269" s="3"/>
      <c r="G269" s="3"/>
      <c r="H269" s="274"/>
      <c r="I269" s="28"/>
      <c r="J269" s="273"/>
      <c r="K269" s="3"/>
      <c r="L269" s="3"/>
      <c r="M269" s="274"/>
      <c r="N269" s="1"/>
      <c r="O269" s="273"/>
      <c r="P269" s="3"/>
      <c r="Q269" s="3"/>
      <c r="R269" s="274"/>
      <c r="S269" s="1"/>
      <c r="T269" s="277"/>
      <c r="U269" s="253"/>
      <c r="V269" s="253"/>
      <c r="W269" s="278"/>
      <c r="X269" s="765"/>
      <c r="Y269" s="277">
        <f>Y268/(Y267*8.76/4)</f>
        <v>0.92657711442786095</v>
      </c>
      <c r="Z269" s="253">
        <f>Z268/(Z267*8.76/4)</f>
        <v>0.92657711442786095</v>
      </c>
      <c r="AA269" s="253">
        <f>AA268/(AA267*8.76/4)</f>
        <v>0.92657711442786095</v>
      </c>
      <c r="AB269" s="278">
        <f>AB268/(AB267*8.76/4)</f>
        <v>0.92657711442786095</v>
      </c>
      <c r="AC269" s="765"/>
      <c r="AD269" s="277">
        <f>AD268/(AD267*8.76/4)</f>
        <v>0.91607238952706205</v>
      </c>
      <c r="AE269" s="253">
        <f>AE268/(AE267*8.76/4)</f>
        <v>0.92531020387043372</v>
      </c>
      <c r="AF269" s="253">
        <f>AF268/(AF267*8.76/4)</f>
        <v>0.92531020387043372</v>
      </c>
      <c r="AG269" s="278">
        <f>AG268/(AG267*8.76/4)</f>
        <v>0.92531020387043372</v>
      </c>
      <c r="AH269" s="765">
        <f>AH268/(AH267*8.76)</f>
        <v>0.92300075028459072</v>
      </c>
      <c r="AI269" s="277">
        <f>AI268/(AI267*8.76/4)</f>
        <v>0.92532592439791661</v>
      </c>
      <c r="AJ269" s="253">
        <f>AJ268/(AJ267*8.76/4)</f>
        <v>0.92532592439791661</v>
      </c>
      <c r="AK269" s="253">
        <f>AK268/(AK267*8.76/4)</f>
        <v>0.92532592439791661</v>
      </c>
      <c r="AL269" s="278">
        <f>AL268/(AL267*8.76/4)</f>
        <v>0.92532592439791661</v>
      </c>
      <c r="AM269" s="765">
        <f>AM268/(AM267*8.76)</f>
        <v>0.92532592439791661</v>
      </c>
      <c r="AN269" s="277">
        <f>AN268/(AN267*8.76/4)</f>
        <v>0.9282637746710527</v>
      </c>
      <c r="AO269" s="253">
        <f>AO268/(AO267*8.76/4)</f>
        <v>0.92534153988486845</v>
      </c>
      <c r="AP269" s="253">
        <f>AP268/(AP267*8.76/4)</f>
        <v>0.92534153988486845</v>
      </c>
      <c r="AQ269" s="278">
        <f>AQ268/(AQ267*8.76/4)</f>
        <v>0.92534153988486845</v>
      </c>
      <c r="AR269" s="765">
        <f>AR268/(AR267*8.76)</f>
        <v>0.92607209858141448</v>
      </c>
      <c r="AS269" s="277">
        <f>AS268/(AS267*8.76/4)</f>
        <v>0.94869089226973657</v>
      </c>
      <c r="AT269" s="253">
        <f>AT268/(AT267*8.76/4)</f>
        <v>0.94874494924608244</v>
      </c>
      <c r="AU269" s="253">
        <f t="shared" ref="AU269" si="437">AU268/(AU267*8.76/4)</f>
        <v>0.94874494924608244</v>
      </c>
      <c r="AV269" s="278">
        <f>AV268/(AV267*8.76/4)</f>
        <v>0.94874494924608244</v>
      </c>
      <c r="AW269" s="765">
        <f>AW268/(AW267*8.76)</f>
        <v>0.93893786340790364</v>
      </c>
      <c r="AX269" s="277">
        <f>AX268/(AX267*8.76/4)</f>
        <v>0.94874494924608244</v>
      </c>
      <c r="AY269" s="253">
        <f>AY268/(AY267*8.76/4)</f>
        <v>0.94874494924608244</v>
      </c>
      <c r="AZ269" s="253">
        <f>AZ268/(AZ267*8.76/4)</f>
        <v>0.94048635064551089</v>
      </c>
      <c r="BA269" s="278">
        <f>BA268/(BA267*8.76/4)</f>
        <v>0.93789109766637868</v>
      </c>
      <c r="BB269" s="765">
        <f>BB268/(BB267*8.76)</f>
        <v>0.96651164268646084</v>
      </c>
      <c r="BC269" s="277">
        <f>BC268/(BC267*8.76/4)</f>
        <v>0.94434795871676225</v>
      </c>
      <c r="BD269" s="253">
        <f>BD268/(BD267*8.76/4)</f>
        <v>0.94434795871676225</v>
      </c>
      <c r="BE269" s="253">
        <f>BE268/(BE267*8.76/4)</f>
        <v>0.94434795871676225</v>
      </c>
      <c r="BF269" s="278">
        <f>BF268/(BF267*8.76/4)</f>
        <v>0.94498566270178397</v>
      </c>
      <c r="BG269" s="765">
        <f>BG268/(BG267*8.76)</f>
        <v>0.9759864857689039</v>
      </c>
      <c r="BH269" s="277">
        <f>BH268/(BH267*8.76/4)</f>
        <v>0.84572854715378087</v>
      </c>
      <c r="BI269" s="253">
        <f>BI268/(BI267*8.76/4)</f>
        <v>0.94498566270178397</v>
      </c>
      <c r="BJ269" s="253">
        <f>BJ268/(BJ267*8.76/4)</f>
        <v>0.94498566270178397</v>
      </c>
      <c r="BK269" s="278">
        <f>BK268/(BK267*8.76/4)</f>
        <v>0.94498566270178397</v>
      </c>
      <c r="BL269" s="765">
        <f>BL268/(BL267*8.76)</f>
        <v>0.92017138381478314</v>
      </c>
      <c r="BM269" s="277">
        <f>BM268/(BM267*8.76/4)</f>
        <v>0.94498566270178397</v>
      </c>
      <c r="BN269" s="253">
        <f>BN268/(BN267*8.76/4)</f>
        <v>0.94498566270178397</v>
      </c>
      <c r="BO269" s="253">
        <f>BO268/(BO267*8.76/4)</f>
        <v>0.94498566270178397</v>
      </c>
      <c r="BP269" s="278">
        <f>BP268/(BP267*8.76/4)</f>
        <v>0.94498566270178397</v>
      </c>
      <c r="BQ269" s="765">
        <f>BQ268/(BQ267*8.76)</f>
        <v>0.94498566270178397</v>
      </c>
      <c r="BR269" s="40"/>
      <c r="BS269" s="40"/>
      <c r="BT269" s="40"/>
      <c r="BV269" s="2151" t="s">
        <v>1033</v>
      </c>
      <c r="BW269" s="2152" t="s">
        <v>1041</v>
      </c>
      <c r="BX269" s="1359"/>
      <c r="BY269" s="1359">
        <v>2014</v>
      </c>
      <c r="BZ269" s="1359">
        <v>2015</v>
      </c>
      <c r="CA269" s="1360">
        <v>2016</v>
      </c>
      <c r="CB269" s="32"/>
      <c r="CC269" s="32"/>
      <c r="CF269" s="40"/>
      <c r="CG269" s="40"/>
      <c r="CH269" s="40"/>
      <c r="CI269" s="40"/>
      <c r="CJ269" s="40"/>
      <c r="CK269" s="40"/>
      <c r="CL269" s="40"/>
      <c r="CM269" s="40"/>
      <c r="CN269" s="40"/>
      <c r="CO269" s="40"/>
      <c r="CP269" s="40"/>
      <c r="CQ269" s="40"/>
      <c r="CR269" s="40"/>
      <c r="CS269" s="40"/>
      <c r="CT269" s="823"/>
      <c r="CU269" s="232"/>
      <c r="CV269" s="232"/>
      <c r="CW269" s="232"/>
      <c r="CX269" s="232"/>
      <c r="CY269" s="232"/>
      <c r="CZ269" s="40"/>
      <c r="DA269" s="40"/>
      <c r="DB269" s="40"/>
      <c r="DC269" s="40"/>
      <c r="DD269" s="40"/>
      <c r="DE269" s="40"/>
      <c r="DF269" s="232"/>
      <c r="DG269" s="232"/>
      <c r="DH269" s="232"/>
      <c r="DI269" s="232"/>
      <c r="DJ269" s="232"/>
      <c r="DK269" s="232"/>
      <c r="DL269" s="232"/>
      <c r="DM269" s="232"/>
      <c r="DN269" s="232"/>
    </row>
    <row r="270" spans="1:118">
      <c r="A270" s="40"/>
      <c r="B270" s="1"/>
      <c r="C270" s="1"/>
      <c r="D270" s="1"/>
      <c r="E270" s="273"/>
      <c r="F270" s="3"/>
      <c r="G270" s="3"/>
      <c r="H270" s="274"/>
      <c r="I270" s="28"/>
      <c r="J270" s="273"/>
      <c r="K270" s="3"/>
      <c r="L270" s="3"/>
      <c r="M270" s="274"/>
      <c r="N270" s="1"/>
      <c r="O270" s="273"/>
      <c r="P270" s="3"/>
      <c r="Q270" s="3"/>
      <c r="R270" s="274"/>
      <c r="S270" s="1"/>
      <c r="T270" s="273"/>
      <c r="U270" s="3"/>
      <c r="V270" s="3"/>
      <c r="W270" s="274"/>
      <c r="X270" s="1"/>
      <c r="Y270" s="273"/>
      <c r="Z270" s="3"/>
      <c r="AA270" s="3"/>
      <c r="AB270" s="274"/>
      <c r="AC270" s="1"/>
      <c r="AD270" s="273"/>
      <c r="AE270" s="3"/>
      <c r="AF270" s="3"/>
      <c r="AG270" s="274"/>
      <c r="AH270" s="1"/>
      <c r="AI270" s="273"/>
      <c r="AJ270" s="3"/>
      <c r="AK270" s="3"/>
      <c r="AL270" s="274"/>
      <c r="AM270" s="1"/>
      <c r="AN270" s="273"/>
      <c r="AO270" s="3"/>
      <c r="AP270" s="3"/>
      <c r="AQ270" s="274"/>
      <c r="AR270" s="1"/>
      <c r="AS270" s="273"/>
      <c r="AT270" s="3"/>
      <c r="AU270" s="3"/>
      <c r="AV270" s="274"/>
      <c r="AW270" s="1"/>
      <c r="AX270" s="273"/>
      <c r="AY270" s="3"/>
      <c r="AZ270" s="3"/>
      <c r="BA270" s="274"/>
      <c r="BB270" s="1"/>
      <c r="BC270" s="273"/>
      <c r="BD270" s="3"/>
      <c r="BE270" s="3"/>
      <c r="BF270" s="274"/>
      <c r="BG270" s="1"/>
      <c r="BH270" s="273"/>
      <c r="BI270" s="3"/>
      <c r="BJ270" s="3"/>
      <c r="BK270" s="274"/>
      <c r="BL270" s="1"/>
      <c r="BM270" s="273"/>
      <c r="BN270" s="3"/>
      <c r="BO270" s="3"/>
      <c r="BP270" s="274"/>
      <c r="BQ270" s="1"/>
      <c r="BR270" s="40"/>
      <c r="BS270" s="40"/>
      <c r="BT270" s="40"/>
      <c r="BV270" s="1415" t="s">
        <v>1036</v>
      </c>
      <c r="BW270" s="37" t="s">
        <v>1207</v>
      </c>
      <c r="BX270" s="426"/>
      <c r="BY270" s="426"/>
      <c r="BZ270" s="426">
        <v>65</v>
      </c>
      <c r="CA270" s="1361">
        <v>65</v>
      </c>
      <c r="CB270" s="426"/>
      <c r="CC270" s="426"/>
      <c r="CF270" s="40"/>
      <c r="CG270" s="40"/>
      <c r="CH270" s="40"/>
      <c r="CI270" s="40"/>
      <c r="CJ270" s="40"/>
      <c r="CK270" s="40"/>
      <c r="CL270" s="40"/>
      <c r="CM270" s="40"/>
      <c r="CN270" s="40"/>
      <c r="CO270" s="40"/>
      <c r="CP270" s="40"/>
      <c r="CQ270" s="40"/>
      <c r="CR270" s="40"/>
      <c r="CS270" s="40"/>
      <c r="CT270" s="823"/>
      <c r="CU270" s="232"/>
      <c r="CV270" s="232"/>
      <c r="CW270" s="232"/>
      <c r="CX270" s="232"/>
      <c r="CY270" s="232"/>
      <c r="CZ270" s="40"/>
      <c r="DA270" s="40"/>
      <c r="DB270" s="40"/>
      <c r="DC270" s="40"/>
      <c r="DD270" s="40"/>
      <c r="DE270" s="40"/>
      <c r="DF270" s="232"/>
      <c r="DG270" s="232"/>
      <c r="DH270" s="232"/>
      <c r="DI270" s="232"/>
      <c r="DJ270" s="232"/>
      <c r="DK270" s="232"/>
      <c r="DL270" s="232"/>
      <c r="DM270" s="232"/>
      <c r="DN270" s="232"/>
    </row>
    <row r="271" spans="1:118">
      <c r="A271" s="40"/>
      <c r="B271" s="1"/>
      <c r="C271" s="429" t="s">
        <v>824</v>
      </c>
      <c r="D271" s="1"/>
      <c r="E271" s="273"/>
      <c r="F271" s="3"/>
      <c r="G271" s="3"/>
      <c r="H271" s="274"/>
      <c r="I271" s="28"/>
      <c r="J271" s="273"/>
      <c r="K271" s="3"/>
      <c r="L271" s="3"/>
      <c r="M271" s="274"/>
      <c r="N271" s="1"/>
      <c r="O271" s="273"/>
      <c r="P271" s="3"/>
      <c r="Q271" s="3"/>
      <c r="R271" s="274"/>
      <c r="S271" s="1"/>
      <c r="T271" s="273"/>
      <c r="U271" s="3"/>
      <c r="V271" s="3"/>
      <c r="W271" s="274"/>
      <c r="X271" s="1"/>
      <c r="Y271" s="273"/>
      <c r="Z271" s="3"/>
      <c r="AA271" s="3"/>
      <c r="AB271" s="274"/>
      <c r="AC271" s="1"/>
      <c r="AD271" s="273"/>
      <c r="AE271" s="3"/>
      <c r="AF271" s="3"/>
      <c r="AG271" s="274"/>
      <c r="AH271" s="1"/>
      <c r="AI271" s="273"/>
      <c r="AJ271" s="3"/>
      <c r="AK271" s="3"/>
      <c r="AL271" s="274"/>
      <c r="AM271" s="1"/>
      <c r="AN271" s="273"/>
      <c r="AO271" s="3"/>
      <c r="AP271" s="3"/>
      <c r="AQ271" s="274"/>
      <c r="AR271" s="1"/>
      <c r="AS271" s="273"/>
      <c r="AT271" s="3"/>
      <c r="AU271" s="3"/>
      <c r="AV271" s="274"/>
      <c r="AW271" s="1"/>
      <c r="AX271" s="273"/>
      <c r="AY271" s="3"/>
      <c r="AZ271" s="3"/>
      <c r="BA271" s="274"/>
      <c r="BB271" s="1"/>
      <c r="BC271" s="273"/>
      <c r="BD271" s="3"/>
      <c r="BE271" s="3"/>
      <c r="BF271" s="274"/>
      <c r="BG271" s="1"/>
      <c r="BH271" s="273"/>
      <c r="BI271" s="3"/>
      <c r="BJ271" s="3"/>
      <c r="BK271" s="274"/>
      <c r="BL271" s="1"/>
      <c r="BM271" s="273"/>
      <c r="BN271" s="3"/>
      <c r="BO271" s="3"/>
      <c r="BP271" s="274"/>
      <c r="BQ271" s="1"/>
      <c r="BR271" s="40"/>
      <c r="BS271" s="40"/>
      <c r="BT271" s="40"/>
      <c r="BV271" s="1415" t="s">
        <v>1037</v>
      </c>
      <c r="BW271" s="37" t="s">
        <v>1207</v>
      </c>
      <c r="BX271" s="426"/>
      <c r="BY271" s="426"/>
      <c r="BZ271" s="426"/>
      <c r="CA271" s="1361">
        <f>0*340</f>
        <v>0</v>
      </c>
      <c r="CB271" s="426"/>
      <c r="CC271" s="426"/>
      <c r="CF271" s="40"/>
      <c r="CG271" s="40"/>
      <c r="CH271" s="40"/>
      <c r="CI271" s="40"/>
      <c r="CJ271" s="40"/>
      <c r="CK271" s="40"/>
      <c r="CL271" s="40"/>
      <c r="CM271" s="40"/>
      <c r="CN271" s="40"/>
      <c r="CO271" s="40"/>
      <c r="CP271" s="40"/>
      <c r="CQ271" s="40"/>
      <c r="CR271" s="40"/>
      <c r="CS271" s="40"/>
      <c r="CT271" s="823"/>
      <c r="CU271" s="232"/>
      <c r="CV271" s="232"/>
      <c r="CW271" s="232"/>
      <c r="CX271" s="232"/>
      <c r="CY271" s="232"/>
      <c r="CZ271" s="40"/>
      <c r="DA271" s="40"/>
      <c r="DB271" s="40"/>
      <c r="DC271" s="40"/>
      <c r="DD271" s="40"/>
      <c r="DE271" s="40"/>
      <c r="DF271" s="232"/>
      <c r="DG271" s="232"/>
      <c r="DH271" s="232"/>
      <c r="DI271" s="232"/>
      <c r="DJ271" s="232"/>
      <c r="DK271" s="232"/>
      <c r="DL271" s="232"/>
      <c r="DM271" s="232"/>
      <c r="DN271" s="232"/>
    </row>
    <row r="272" spans="1:118">
      <c r="A272" s="40"/>
      <c r="B272" s="1"/>
      <c r="C272" s="28" t="s">
        <v>194</v>
      </c>
      <c r="D272" s="1"/>
      <c r="E272" s="273"/>
      <c r="F272" s="3"/>
      <c r="G272" s="3"/>
      <c r="H272" s="274"/>
      <c r="I272" s="28"/>
      <c r="J272" s="273"/>
      <c r="K272" s="3"/>
      <c r="L272" s="3"/>
      <c r="M272" s="274"/>
      <c r="N272" s="1"/>
      <c r="O272" s="273"/>
      <c r="P272" s="3"/>
      <c r="Q272" s="3"/>
      <c r="R272" s="274"/>
      <c r="S272" s="1"/>
      <c r="T272" s="436"/>
      <c r="U272" s="437"/>
      <c r="V272" s="437"/>
      <c r="W272" s="438"/>
      <c r="X272" s="439"/>
      <c r="Y272" s="436">
        <f t="shared" ref="Y272:BQ272" si="438">Y$87</f>
        <v>38.382602963140968</v>
      </c>
      <c r="Z272" s="437">
        <f t="shared" si="438"/>
        <v>38.849673849504214</v>
      </c>
      <c r="AA272" s="437">
        <f t="shared" si="438"/>
        <v>41.973906793654457</v>
      </c>
      <c r="AB272" s="438">
        <f t="shared" si="438"/>
        <v>36.944658902489365</v>
      </c>
      <c r="AC272" s="439">
        <f t="shared" si="438"/>
        <v>39.037710627197256</v>
      </c>
      <c r="AD272" s="436">
        <f t="shared" si="438"/>
        <v>110.52712209889796</v>
      </c>
      <c r="AE272" s="437">
        <f t="shared" si="438"/>
        <v>35.451764268292507</v>
      </c>
      <c r="AF272" s="437">
        <f t="shared" si="438"/>
        <v>35.451764268292507</v>
      </c>
      <c r="AG272" s="438">
        <f t="shared" si="438"/>
        <v>43.10411778415444</v>
      </c>
      <c r="AH272" s="439">
        <f t="shared" si="438"/>
        <v>56.133692104909343</v>
      </c>
      <c r="AI272" s="436">
        <f t="shared" si="438"/>
        <v>59.740566906779449</v>
      </c>
      <c r="AJ272" s="437">
        <f t="shared" si="438"/>
        <v>33.964232409775647</v>
      </c>
      <c r="AK272" s="437">
        <f t="shared" si="438"/>
        <v>29.891276604570443</v>
      </c>
      <c r="AL272" s="438">
        <f t="shared" si="438"/>
        <v>27.577496597475587</v>
      </c>
      <c r="AM272" s="439">
        <f t="shared" si="438"/>
        <v>37.793393129650283</v>
      </c>
      <c r="AN272" s="436">
        <f t="shared" si="438"/>
        <v>28.158162791408454</v>
      </c>
      <c r="AO272" s="437">
        <f t="shared" si="438"/>
        <v>23.744347552298677</v>
      </c>
      <c r="AP272" s="437">
        <f t="shared" si="438"/>
        <v>30.351033232756244</v>
      </c>
      <c r="AQ272" s="438">
        <f t="shared" si="438"/>
        <v>24.884635360263541</v>
      </c>
      <c r="AR272" s="439">
        <f t="shared" si="438"/>
        <v>26.784544734181729</v>
      </c>
      <c r="AS272" s="436">
        <f t="shared" si="438"/>
        <v>31.198536553048502</v>
      </c>
      <c r="AT272" s="437">
        <f t="shared" si="438"/>
        <v>26.795451860978815</v>
      </c>
      <c r="AU272" s="437">
        <f t="shared" si="438"/>
        <v>26.388415323007248</v>
      </c>
      <c r="AV272" s="438">
        <f t="shared" si="438"/>
        <v>48.006363278624086</v>
      </c>
      <c r="AW272" s="439">
        <f t="shared" si="438"/>
        <v>33.097191753914665</v>
      </c>
      <c r="AX272" s="436">
        <f t="shared" si="438"/>
        <v>48.006363278624086</v>
      </c>
      <c r="AY272" s="437">
        <f t="shared" si="438"/>
        <v>29.534683333333334</v>
      </c>
      <c r="AZ272" s="437">
        <f t="shared" si="438"/>
        <v>31.344845833333334</v>
      </c>
      <c r="BA272" s="438">
        <f t="shared" si="438"/>
        <v>29.829220833333331</v>
      </c>
      <c r="BB272" s="439">
        <f t="shared" si="438"/>
        <v>34.678778319656018</v>
      </c>
      <c r="BC272" s="436">
        <f t="shared" si="438"/>
        <v>41.70067783353943</v>
      </c>
      <c r="BD272" s="437">
        <f t="shared" si="438"/>
        <v>25.28186367366057</v>
      </c>
      <c r="BE272" s="437">
        <f t="shared" si="438"/>
        <v>27.252066715361075</v>
      </c>
      <c r="BF272" s="438">
        <f t="shared" si="438"/>
        <v>33.565240943978935</v>
      </c>
      <c r="BG272" s="439">
        <f>BG$87</f>
        <v>31.949962291635003</v>
      </c>
      <c r="BH272" s="436">
        <f t="shared" si="438"/>
        <v>41.513587958867234</v>
      </c>
      <c r="BI272" s="437">
        <f t="shared" si="438"/>
        <v>25.176505550988139</v>
      </c>
      <c r="BJ272" s="437">
        <f t="shared" si="438"/>
        <v>27.143459647917485</v>
      </c>
      <c r="BK272" s="438">
        <f t="shared" si="438"/>
        <v>33.410701008767148</v>
      </c>
      <c r="BL272" s="439">
        <f t="shared" si="438"/>
        <v>31.811063541634997</v>
      </c>
      <c r="BM272" s="436">
        <f t="shared" si="438"/>
        <v>31.238074693323561</v>
      </c>
      <c r="BN272" s="437">
        <f t="shared" si="438"/>
        <v>31.238074693323561</v>
      </c>
      <c r="BO272" s="437">
        <f t="shared" si="438"/>
        <v>31.238074693323561</v>
      </c>
      <c r="BP272" s="438">
        <f t="shared" si="438"/>
        <v>31.238074693323561</v>
      </c>
      <c r="BQ272" s="439">
        <f t="shared" si="438"/>
        <v>31.238074693323561</v>
      </c>
      <c r="BR272" s="40"/>
      <c r="BS272" s="40"/>
      <c r="BT272" s="40"/>
      <c r="BV272" s="1415" t="s">
        <v>1040</v>
      </c>
      <c r="BW272" s="37" t="s">
        <v>1207</v>
      </c>
      <c r="BX272" s="426"/>
      <c r="BY272" s="426"/>
      <c r="BZ272" s="426"/>
      <c r="CA272" s="1364"/>
      <c r="CB272" s="28"/>
      <c r="CC272" s="28"/>
      <c r="CF272" s="40"/>
      <c r="CG272" s="40"/>
      <c r="CH272" s="40"/>
      <c r="CI272" s="40"/>
      <c r="CJ272" s="40"/>
      <c r="CK272" s="40"/>
      <c r="CL272" s="40"/>
      <c r="CM272" s="40"/>
      <c r="CN272" s="40"/>
      <c r="CO272" s="40"/>
      <c r="CP272" s="40"/>
      <c r="CQ272" s="40"/>
      <c r="CR272" s="40"/>
      <c r="CS272" s="40"/>
      <c r="CT272" s="823"/>
      <c r="CU272" s="232"/>
      <c r="CV272" s="232"/>
      <c r="CW272" s="232"/>
      <c r="CX272" s="232"/>
      <c r="CY272" s="232"/>
      <c r="CZ272" s="40"/>
      <c r="DA272" s="40"/>
      <c r="DB272" s="40"/>
      <c r="DC272" s="40"/>
      <c r="DD272" s="40"/>
      <c r="DE272" s="40"/>
      <c r="DF272" s="232"/>
      <c r="DG272" s="232"/>
      <c r="DH272" s="232"/>
      <c r="DI272" s="232"/>
      <c r="DJ272" s="232"/>
      <c r="DK272" s="232"/>
      <c r="DL272" s="232"/>
      <c r="DM272" s="232"/>
      <c r="DN272" s="232"/>
    </row>
    <row r="273" spans="1:118">
      <c r="A273" s="40"/>
      <c r="B273" s="1"/>
      <c r="C273" s="28" t="s">
        <v>195</v>
      </c>
      <c r="D273" s="1"/>
      <c r="E273" s="273"/>
      <c r="F273" s="3"/>
      <c r="G273" s="3"/>
      <c r="H273" s="274"/>
      <c r="I273" s="547">
        <f>8.5</f>
        <v>8.5</v>
      </c>
      <c r="J273" s="273"/>
      <c r="K273" s="3"/>
      <c r="L273" s="3"/>
      <c r="M273" s="274"/>
      <c r="N273" s="1"/>
      <c r="O273" s="273"/>
      <c r="P273" s="3"/>
      <c r="Q273" s="3"/>
      <c r="R273" s="274"/>
      <c r="S273" s="1"/>
      <c r="T273" s="436"/>
      <c r="U273" s="437"/>
      <c r="V273" s="437"/>
      <c r="W273" s="438"/>
      <c r="X273" s="439"/>
      <c r="Y273" s="436">
        <f>+Z273</f>
        <v>8.5</v>
      </c>
      <c r="Z273" s="437">
        <f>+AA273</f>
        <v>8.5</v>
      </c>
      <c r="AA273" s="437">
        <f>+AB273</f>
        <v>8.5</v>
      </c>
      <c r="AB273" s="438">
        <f>+AC273</f>
        <v>8.5</v>
      </c>
      <c r="AC273" s="712">
        <f>+I273</f>
        <v>8.5</v>
      </c>
      <c r="AD273" s="436">
        <f>AC273</f>
        <v>8.5</v>
      </c>
      <c r="AE273" s="437">
        <f>+AF273</f>
        <v>7.5</v>
      </c>
      <c r="AF273" s="437">
        <f>+AG273</f>
        <v>7.5</v>
      </c>
      <c r="AG273" s="438">
        <f>+AH273</f>
        <v>7.5</v>
      </c>
      <c r="AH273" s="712">
        <v>7.5</v>
      </c>
      <c r="AI273" s="436">
        <f>+AJ273</f>
        <v>7.7250000000000005</v>
      </c>
      <c r="AJ273" s="437">
        <f>+AK273</f>
        <v>7.7250000000000005</v>
      </c>
      <c r="AK273" s="437">
        <f>+AL273</f>
        <v>7.7250000000000005</v>
      </c>
      <c r="AL273" s="438">
        <f>+AM273</f>
        <v>7.7250000000000005</v>
      </c>
      <c r="AM273" s="712">
        <f>AH273*1.03</f>
        <v>7.7250000000000005</v>
      </c>
      <c r="AN273" s="436">
        <f>+AO273</f>
        <v>7.9567500000000004</v>
      </c>
      <c r="AO273" s="437">
        <f>+AP273</f>
        <v>7.9567500000000004</v>
      </c>
      <c r="AP273" s="437">
        <f>+AQ273</f>
        <v>7.9567500000000004</v>
      </c>
      <c r="AQ273" s="438">
        <f>+AR273</f>
        <v>7.9567500000000004</v>
      </c>
      <c r="AR273" s="712">
        <f>AM273*1.03</f>
        <v>7.9567500000000004</v>
      </c>
      <c r="AS273" s="436">
        <f>+AT273</f>
        <v>8.5</v>
      </c>
      <c r="AT273" s="437">
        <f>+AU273</f>
        <v>8.5</v>
      </c>
      <c r="AU273" s="437">
        <f t="shared" ref="AU273" si="439">+AV273</f>
        <v>8.5</v>
      </c>
      <c r="AV273" s="438">
        <f>+AW273</f>
        <v>8.5</v>
      </c>
      <c r="AW273" s="712">
        <v>8.5</v>
      </c>
      <c r="AX273" s="436">
        <f>+AY273</f>
        <v>8</v>
      </c>
      <c r="AY273" s="437">
        <f>+AZ273</f>
        <v>8</v>
      </c>
      <c r="AZ273" s="437">
        <f>+BA273</f>
        <v>8</v>
      </c>
      <c r="BA273" s="438">
        <f>+BB273</f>
        <v>8</v>
      </c>
      <c r="BB273" s="712">
        <v>8</v>
      </c>
      <c r="BC273" s="436">
        <f>+BD273</f>
        <v>7.75</v>
      </c>
      <c r="BD273" s="437">
        <f>+BE273</f>
        <v>7.75</v>
      </c>
      <c r="BE273" s="437">
        <f>+BF273</f>
        <v>7.75</v>
      </c>
      <c r="BF273" s="438">
        <f>+BG273</f>
        <v>7.75</v>
      </c>
      <c r="BG273" s="712">
        <v>7.75</v>
      </c>
      <c r="BH273" s="436">
        <f>+BI273</f>
        <v>7.25</v>
      </c>
      <c r="BI273" s="437">
        <f>+BJ273</f>
        <v>7.25</v>
      </c>
      <c r="BJ273" s="437">
        <f>+BK273</f>
        <v>7.25</v>
      </c>
      <c r="BK273" s="438">
        <f>+BL273</f>
        <v>7.25</v>
      </c>
      <c r="BL273" s="712">
        <v>7.25</v>
      </c>
      <c r="BM273" s="436">
        <f>+BN273</f>
        <v>7.25</v>
      </c>
      <c r="BN273" s="437">
        <f>+BO273</f>
        <v>7.25</v>
      </c>
      <c r="BO273" s="437">
        <f>+BP273</f>
        <v>7.25</v>
      </c>
      <c r="BP273" s="438">
        <f>+BQ273</f>
        <v>7.25</v>
      </c>
      <c r="BQ273" s="2267">
        <f>+BL273</f>
        <v>7.25</v>
      </c>
      <c r="BR273" s="40"/>
      <c r="BS273" s="40"/>
      <c r="BT273" s="40"/>
      <c r="BV273" s="1415" t="s">
        <v>1034</v>
      </c>
      <c r="BW273" s="37" t="s">
        <v>433</v>
      </c>
      <c r="BX273" s="426"/>
      <c r="BY273" s="426"/>
      <c r="BZ273" s="426"/>
      <c r="CA273" s="1364"/>
      <c r="CB273" s="28"/>
      <c r="CC273" s="28"/>
      <c r="CF273" s="40"/>
      <c r="CG273" s="40"/>
      <c r="CH273" s="40"/>
      <c r="CI273" s="40"/>
      <c r="CJ273" s="40"/>
      <c r="CK273" s="40"/>
      <c r="CL273" s="40"/>
      <c r="CM273" s="40"/>
      <c r="CN273" s="40"/>
      <c r="CO273" s="40"/>
      <c r="CP273" s="40"/>
      <c r="CQ273" s="40"/>
      <c r="CR273" s="40"/>
      <c r="CS273" s="40"/>
      <c r="CT273" s="823"/>
      <c r="CU273" s="232"/>
      <c r="CV273" s="232"/>
      <c r="CW273" s="232"/>
      <c r="CX273" s="232"/>
      <c r="CY273" s="232"/>
      <c r="CZ273" s="40"/>
      <c r="DA273" s="40"/>
      <c r="DB273" s="40"/>
      <c r="DC273" s="40"/>
      <c r="DD273" s="40"/>
      <c r="DE273" s="40"/>
      <c r="DF273" s="232"/>
      <c r="DG273" s="232"/>
      <c r="DH273" s="232"/>
      <c r="DI273" s="232"/>
      <c r="DJ273" s="232"/>
      <c r="DK273" s="232"/>
      <c r="DL273" s="232"/>
      <c r="DM273" s="232"/>
      <c r="DN273" s="232"/>
    </row>
    <row r="274" spans="1:118">
      <c r="A274" s="40"/>
      <c r="B274" s="1"/>
      <c r="C274" s="1"/>
      <c r="D274" s="1"/>
      <c r="E274" s="273"/>
      <c r="F274" s="3"/>
      <c r="G274" s="3"/>
      <c r="H274" s="274"/>
      <c r="I274" s="28"/>
      <c r="J274" s="273"/>
      <c r="K274" s="3"/>
      <c r="L274" s="3"/>
      <c r="M274" s="274"/>
      <c r="N274" s="1"/>
      <c r="O274" s="273"/>
      <c r="P274" s="3"/>
      <c r="Q274" s="3"/>
      <c r="R274" s="274"/>
      <c r="S274" s="1"/>
      <c r="T274" s="273"/>
      <c r="U274" s="3"/>
      <c r="V274" s="3"/>
      <c r="W274" s="274"/>
      <c r="X274" s="1"/>
      <c r="Y274" s="273"/>
      <c r="Z274" s="3"/>
      <c r="AA274" s="3"/>
      <c r="AB274" s="274"/>
      <c r="AC274" s="1"/>
      <c r="AD274" s="273"/>
      <c r="AE274" s="3"/>
      <c r="AF274" s="3"/>
      <c r="AG274" s="274"/>
      <c r="AH274" s="1"/>
      <c r="AI274" s="273"/>
      <c r="AJ274" s="3"/>
      <c r="AK274" s="3"/>
      <c r="AL274" s="274"/>
      <c r="AM274" s="1"/>
      <c r="AN274" s="273"/>
      <c r="AO274" s="3"/>
      <c r="AP274" s="3"/>
      <c r="AQ274" s="274"/>
      <c r="AR274" s="1"/>
      <c r="AS274" s="273"/>
      <c r="AT274" s="3"/>
      <c r="AU274" s="3"/>
      <c r="AV274" s="274"/>
      <c r="AW274" s="1"/>
      <c r="AX274" s="273"/>
      <c r="AY274" s="3"/>
      <c r="AZ274" s="3"/>
      <c r="BA274" s="274"/>
      <c r="BB274" s="1"/>
      <c r="BC274" s="273"/>
      <c r="BD274" s="3"/>
      <c r="BE274" s="3"/>
      <c r="BF274" s="274"/>
      <c r="BG274" s="1"/>
      <c r="BH274" s="273"/>
      <c r="BI274" s="3"/>
      <c r="BJ274" s="3"/>
      <c r="BK274" s="274"/>
      <c r="BL274" s="1"/>
      <c r="BM274" s="273"/>
      <c r="BN274" s="3"/>
      <c r="BO274" s="3"/>
      <c r="BP274" s="274"/>
      <c r="BQ274" s="1"/>
      <c r="BR274" s="40"/>
      <c r="BS274" s="40"/>
      <c r="BT274" s="40"/>
      <c r="BV274" s="1415" t="s">
        <v>1035</v>
      </c>
      <c r="BW274" s="37" t="s">
        <v>433</v>
      </c>
      <c r="BX274" s="426"/>
      <c r="BY274" s="426"/>
      <c r="BZ274" s="426"/>
      <c r="CA274" s="1364"/>
      <c r="CB274" s="28"/>
      <c r="CC274" s="28"/>
      <c r="CF274" s="40"/>
      <c r="CG274" s="40"/>
      <c r="CH274" s="40"/>
      <c r="CI274" s="40"/>
      <c r="CJ274" s="40"/>
      <c r="CK274" s="40"/>
      <c r="CL274" s="40"/>
      <c r="CM274" s="40"/>
      <c r="CN274" s="40"/>
      <c r="CO274" s="40"/>
      <c r="CP274" s="40"/>
      <c r="CQ274" s="40"/>
      <c r="CR274" s="40"/>
      <c r="CS274" s="40"/>
      <c r="CT274" s="823"/>
      <c r="CU274" s="232"/>
      <c r="CV274" s="232"/>
      <c r="CW274" s="232"/>
      <c r="CX274" s="232"/>
      <c r="CY274" s="232"/>
      <c r="CZ274" s="40"/>
      <c r="DA274" s="40"/>
      <c r="DB274" s="40"/>
      <c r="DC274" s="40"/>
      <c r="DD274" s="40"/>
      <c r="DE274" s="40"/>
      <c r="DF274" s="232"/>
      <c r="DG274" s="232"/>
      <c r="DH274" s="232"/>
      <c r="DI274" s="232"/>
      <c r="DJ274" s="232"/>
      <c r="DK274" s="232"/>
      <c r="DL274" s="232"/>
      <c r="DM274" s="232"/>
      <c r="DN274" s="232"/>
    </row>
    <row r="275" spans="1:118">
      <c r="A275" s="40"/>
      <c r="B275" s="1"/>
      <c r="C275" s="32" t="s">
        <v>196</v>
      </c>
      <c r="D275" s="32"/>
      <c r="E275" s="292"/>
      <c r="F275" s="261"/>
      <c r="G275" s="261"/>
      <c r="H275" s="293"/>
      <c r="I275" s="884">
        <f>2316+1167+1006+837+625</f>
        <v>5951</v>
      </c>
      <c r="J275" s="292"/>
      <c r="K275" s="261"/>
      <c r="L275" s="261"/>
      <c r="M275" s="293"/>
      <c r="N275" s="228"/>
      <c r="O275" s="292"/>
      <c r="P275" s="261"/>
      <c r="Q275" s="261"/>
      <c r="R275" s="293"/>
      <c r="S275" s="228"/>
      <c r="T275" s="292"/>
      <c r="U275" s="261"/>
      <c r="V275" s="261"/>
      <c r="W275" s="293"/>
      <c r="X275" s="669"/>
      <c r="Y275" s="292">
        <f>+I275</f>
        <v>5951</v>
      </c>
      <c r="Z275" s="261">
        <f t="shared" ref="Z275:AH275" si="440">Y275</f>
        <v>5951</v>
      </c>
      <c r="AA275" s="261">
        <f t="shared" si="440"/>
        <v>5951</v>
      </c>
      <c r="AB275" s="293">
        <f t="shared" si="440"/>
        <v>5951</v>
      </c>
      <c r="AC275" s="228">
        <f t="shared" si="440"/>
        <v>5951</v>
      </c>
      <c r="AD275" s="292">
        <f t="shared" si="440"/>
        <v>5951</v>
      </c>
      <c r="AE275" s="261">
        <f t="shared" si="440"/>
        <v>5951</v>
      </c>
      <c r="AF275" s="261">
        <f t="shared" si="440"/>
        <v>5951</v>
      </c>
      <c r="AG275" s="293">
        <f t="shared" si="440"/>
        <v>5951</v>
      </c>
      <c r="AH275" s="228">
        <f t="shared" si="440"/>
        <v>5951</v>
      </c>
      <c r="AI275" s="1546">
        <f>AH275+BZ270</f>
        <v>6016</v>
      </c>
      <c r="AJ275" s="261">
        <f>AI275</f>
        <v>6016</v>
      </c>
      <c r="AK275" s="261">
        <f>AJ275</f>
        <v>6016</v>
      </c>
      <c r="AL275" s="293">
        <f>AK275</f>
        <v>6016</v>
      </c>
      <c r="AM275" s="228">
        <f>AL275</f>
        <v>6016</v>
      </c>
      <c r="AN275" s="1546">
        <f>AM275+CA270</f>
        <v>6081</v>
      </c>
      <c r="AO275" s="261">
        <f t="shared" ref="AO275:BE275" si="441">AN275</f>
        <v>6081</v>
      </c>
      <c r="AP275" s="261">
        <f t="shared" si="441"/>
        <v>6081</v>
      </c>
      <c r="AQ275" s="293">
        <f t="shared" si="441"/>
        <v>6081</v>
      </c>
      <c r="AR275" s="228">
        <f t="shared" si="441"/>
        <v>6081</v>
      </c>
      <c r="AS275" s="292">
        <f t="shared" si="441"/>
        <v>6081</v>
      </c>
      <c r="AT275" s="261">
        <f t="shared" si="441"/>
        <v>6081</v>
      </c>
      <c r="AU275" s="261">
        <f t="shared" ref="AU275" si="442">AT275</f>
        <v>6081</v>
      </c>
      <c r="AV275" s="293">
        <f t="shared" si="441"/>
        <v>6081</v>
      </c>
      <c r="AW275" s="228">
        <f t="shared" si="441"/>
        <v>6081</v>
      </c>
      <c r="AX275" s="292">
        <f t="shared" si="441"/>
        <v>6081</v>
      </c>
      <c r="AY275" s="261">
        <f t="shared" si="441"/>
        <v>6081</v>
      </c>
      <c r="AZ275" s="261">
        <f t="shared" si="441"/>
        <v>6081</v>
      </c>
      <c r="BA275" s="2136">
        <f>AZ275-625</f>
        <v>5456</v>
      </c>
      <c r="BB275" s="228">
        <f t="shared" si="441"/>
        <v>5456</v>
      </c>
      <c r="BC275" s="292">
        <f t="shared" si="441"/>
        <v>5456</v>
      </c>
      <c r="BD275" s="261">
        <f t="shared" si="441"/>
        <v>5456</v>
      </c>
      <c r="BE275" s="261">
        <f t="shared" si="441"/>
        <v>5456</v>
      </c>
      <c r="BF275" s="2136">
        <f>BE275-837</f>
        <v>4619</v>
      </c>
      <c r="BG275" s="228">
        <f t="shared" ref="BG275:BL275" si="443">BF275</f>
        <v>4619</v>
      </c>
      <c r="BH275" s="292">
        <f t="shared" si="443"/>
        <v>4619</v>
      </c>
      <c r="BI275" s="261">
        <f t="shared" si="443"/>
        <v>4619</v>
      </c>
      <c r="BJ275" s="261">
        <f t="shared" si="443"/>
        <v>4619</v>
      </c>
      <c r="BK275" s="293">
        <f t="shared" si="443"/>
        <v>4619</v>
      </c>
      <c r="BL275" s="228">
        <f t="shared" si="443"/>
        <v>4619</v>
      </c>
      <c r="BM275" s="292">
        <f t="shared" ref="BM275:BQ275" si="444">BL275</f>
        <v>4619</v>
      </c>
      <c r="BN275" s="261">
        <f t="shared" si="444"/>
        <v>4619</v>
      </c>
      <c r="BO275" s="261">
        <f t="shared" si="444"/>
        <v>4619</v>
      </c>
      <c r="BP275" s="293">
        <f t="shared" si="444"/>
        <v>4619</v>
      </c>
      <c r="BQ275" s="228">
        <f t="shared" si="444"/>
        <v>4619</v>
      </c>
      <c r="BR275" s="40"/>
      <c r="BS275" s="40"/>
      <c r="BT275" s="40"/>
      <c r="BV275" s="1415" t="s">
        <v>1038</v>
      </c>
      <c r="BW275" s="37" t="s">
        <v>433</v>
      </c>
      <c r="BX275" s="426"/>
      <c r="BY275" s="426"/>
      <c r="BZ275" s="426"/>
      <c r="CA275" s="1364"/>
      <c r="CB275" s="28"/>
      <c r="CC275" s="28"/>
      <c r="CF275" s="40"/>
      <c r="CG275" s="40"/>
      <c r="CH275" s="40"/>
      <c r="CI275" s="40"/>
      <c r="CJ275" s="40"/>
      <c r="CK275" s="40"/>
      <c r="CL275" s="40"/>
      <c r="CM275" s="40"/>
      <c r="CN275" s="40"/>
      <c r="CO275" s="40"/>
      <c r="CP275" s="40"/>
      <c r="CQ275" s="40"/>
      <c r="CR275" s="40"/>
      <c r="CS275" s="40"/>
      <c r="CT275" s="823"/>
      <c r="CU275" s="232"/>
      <c r="CV275" s="232"/>
      <c r="CW275" s="232"/>
      <c r="CX275" s="232"/>
      <c r="CY275" s="232"/>
      <c r="CZ275" s="40"/>
      <c r="DA275" s="40"/>
      <c r="DB275" s="40"/>
      <c r="DC275" s="40"/>
      <c r="DD275" s="40"/>
      <c r="DE275" s="40"/>
      <c r="DF275" s="232"/>
      <c r="DG275" s="232"/>
      <c r="DH275" s="232"/>
      <c r="DI275" s="232"/>
      <c r="DJ275" s="232"/>
      <c r="DK275" s="232"/>
      <c r="DL275" s="232"/>
      <c r="DM275" s="232"/>
      <c r="DN275" s="232"/>
    </row>
    <row r="276" spans="1:118">
      <c r="A276" s="40"/>
      <c r="B276" s="1"/>
      <c r="C276" s="1"/>
      <c r="D276" s="1"/>
      <c r="E276" s="273"/>
      <c r="F276" s="3"/>
      <c r="G276" s="3"/>
      <c r="H276" s="274"/>
      <c r="I276" s="28"/>
      <c r="J276" s="273"/>
      <c r="K276" s="3"/>
      <c r="L276" s="3"/>
      <c r="M276" s="274"/>
      <c r="N276" s="1"/>
      <c r="O276" s="273"/>
      <c r="P276" s="3"/>
      <c r="Q276" s="3"/>
      <c r="R276" s="274"/>
      <c r="S276" s="1"/>
      <c r="T276" s="273"/>
      <c r="U276" s="3"/>
      <c r="V276" s="3"/>
      <c r="W276" s="274"/>
      <c r="X276" s="1"/>
      <c r="Y276" s="273"/>
      <c r="Z276" s="3"/>
      <c r="AA276" s="3"/>
      <c r="AB276" s="274"/>
      <c r="AC276" s="1"/>
      <c r="AD276" s="273"/>
      <c r="AE276" s="3"/>
      <c r="AF276" s="3"/>
      <c r="AG276" s="274"/>
      <c r="AH276" s="1"/>
      <c r="AI276" s="273"/>
      <c r="AJ276" s="3"/>
      <c r="AK276" s="3"/>
      <c r="AL276" s="274"/>
      <c r="AM276" s="1"/>
      <c r="AN276" s="305"/>
      <c r="AO276" s="3"/>
      <c r="AP276" s="3"/>
      <c r="AQ276" s="274"/>
      <c r="AR276" s="1"/>
      <c r="AS276" s="273"/>
      <c r="AT276" s="3"/>
      <c r="AU276" s="3"/>
      <c r="AV276" s="274"/>
      <c r="AW276" s="1"/>
      <c r="AX276" s="273"/>
      <c r="AY276" s="3"/>
      <c r="AZ276" s="3"/>
      <c r="BA276" s="274"/>
      <c r="BB276" s="1"/>
      <c r="BC276" s="273"/>
      <c r="BD276" s="3"/>
      <c r="BE276" s="3"/>
      <c r="BF276" s="274"/>
      <c r="BG276" s="1"/>
      <c r="BH276" s="273"/>
      <c r="BI276" s="3"/>
      <c r="BJ276" s="3"/>
      <c r="BK276" s="274"/>
      <c r="BL276" s="1"/>
      <c r="BM276" s="273"/>
      <c r="BN276" s="3"/>
      <c r="BO276" s="3"/>
      <c r="BP276" s="274"/>
      <c r="BQ276" s="1"/>
      <c r="BR276" s="40"/>
      <c r="BS276" s="40"/>
      <c r="BT276" s="40"/>
      <c r="BV276" s="1415" t="s">
        <v>1039</v>
      </c>
      <c r="BW276" s="37" t="s">
        <v>433</v>
      </c>
      <c r="BX276" s="426"/>
      <c r="BY276" s="426"/>
      <c r="BZ276" s="426"/>
      <c r="CA276" s="1364"/>
      <c r="CB276" s="28"/>
      <c r="CC276" s="28"/>
      <c r="CF276" s="40"/>
      <c r="CG276" s="40"/>
      <c r="CH276" s="40"/>
      <c r="CI276" s="40"/>
      <c r="CJ276" s="40"/>
      <c r="CK276" s="40"/>
      <c r="CL276" s="40"/>
      <c r="CM276" s="40"/>
      <c r="CN276" s="40"/>
      <c r="CO276" s="40"/>
      <c r="CP276" s="40"/>
      <c r="CQ276" s="40"/>
      <c r="CR276" s="40"/>
      <c r="CS276" s="40"/>
      <c r="CT276" s="823"/>
      <c r="CU276" s="232"/>
      <c r="CV276" s="232"/>
      <c r="CW276" s="232"/>
      <c r="CX276" s="232"/>
      <c r="CY276" s="232"/>
      <c r="CZ276" s="40"/>
      <c r="DA276" s="40"/>
      <c r="DB276" s="40"/>
      <c r="DC276" s="40"/>
      <c r="DD276" s="40"/>
      <c r="DE276" s="40"/>
      <c r="DF276" s="232"/>
      <c r="DG276" s="232"/>
      <c r="DH276" s="232"/>
      <c r="DI276" s="232"/>
      <c r="DJ276" s="232"/>
      <c r="DK276" s="232"/>
      <c r="DL276" s="232"/>
      <c r="DM276" s="232"/>
      <c r="DN276" s="232"/>
    </row>
    <row r="277" spans="1:118">
      <c r="A277" s="40"/>
      <c r="B277" s="1"/>
      <c r="C277" s="28" t="s">
        <v>197</v>
      </c>
      <c r="D277" s="1"/>
      <c r="E277" s="273"/>
      <c r="F277" s="3"/>
      <c r="G277" s="3"/>
      <c r="H277" s="274"/>
      <c r="I277" s="544">
        <v>0.93</v>
      </c>
      <c r="J277" s="273"/>
      <c r="K277" s="3"/>
      <c r="L277" s="3"/>
      <c r="M277" s="274"/>
      <c r="N277" s="1"/>
      <c r="O277" s="273"/>
      <c r="P277" s="3"/>
      <c r="Q277" s="3"/>
      <c r="R277" s="274"/>
      <c r="S277" s="1"/>
      <c r="T277" s="277"/>
      <c r="U277" s="253"/>
      <c r="V277" s="253"/>
      <c r="W277" s="278"/>
      <c r="X277" s="765"/>
      <c r="Y277" s="277">
        <f>+$I$277</f>
        <v>0.93</v>
      </c>
      <c r="Z277" s="253">
        <f>+$I$277</f>
        <v>0.93</v>
      </c>
      <c r="AA277" s="253">
        <f>+$I$277</f>
        <v>0.93</v>
      </c>
      <c r="AB277" s="278">
        <f>+$I$277</f>
        <v>0.93</v>
      </c>
      <c r="AC277" s="765">
        <f>IF(AVERAGE(Y275:AB275)=0,0,AC278/(AVERAGE(Y275:AB275)*8.76))</f>
        <v>0.92999999999999994</v>
      </c>
      <c r="AD277" s="277">
        <f>+$I$277-3%</f>
        <v>0.9</v>
      </c>
      <c r="AE277" s="253">
        <f>+$I$277</f>
        <v>0.93</v>
      </c>
      <c r="AF277" s="253">
        <f>+$I$277</f>
        <v>0.93</v>
      </c>
      <c r="AG277" s="278">
        <f>+$I$277</f>
        <v>0.93</v>
      </c>
      <c r="AH277" s="765">
        <f>IF(AVERAGE(AD275:AG275)=0,0,AH278/(AVERAGE(AD275:AG275)*8.76))</f>
        <v>0.92249999999999999</v>
      </c>
      <c r="AI277" s="277">
        <f>+$I$277</f>
        <v>0.93</v>
      </c>
      <c r="AJ277" s="253">
        <f>+$I$277</f>
        <v>0.93</v>
      </c>
      <c r="AK277" s="253">
        <f>+$I$277</f>
        <v>0.93</v>
      </c>
      <c r="AL277" s="278">
        <f>+$I$277</f>
        <v>0.93</v>
      </c>
      <c r="AM277" s="765">
        <f>IF(AVERAGE(AI275:AL275)=0,0,AM278/(AVERAGE(AI275:AL275)*8.76))</f>
        <v>0.93000000000000016</v>
      </c>
      <c r="AN277" s="277">
        <f>+$I$277</f>
        <v>0.93</v>
      </c>
      <c r="AO277" s="253">
        <f>+$I$277</f>
        <v>0.93</v>
      </c>
      <c r="AP277" s="253">
        <f>+$I$277</f>
        <v>0.93</v>
      </c>
      <c r="AQ277" s="278">
        <f>+$I$277</f>
        <v>0.93</v>
      </c>
      <c r="AR277" s="765">
        <f>IF(AVERAGE(AN275:AQ275)=0,0,AR278/(AVERAGE(AN275:AQ275)*8.76))</f>
        <v>0.92999999999999994</v>
      </c>
      <c r="AS277" s="277">
        <f>+$I$277</f>
        <v>0.93</v>
      </c>
      <c r="AT277" s="253">
        <f>+$I$277</f>
        <v>0.93</v>
      </c>
      <c r="AU277" s="253">
        <f t="shared" ref="AU277" si="445">+$I$277</f>
        <v>0.93</v>
      </c>
      <c r="AV277" s="278">
        <f>+$I$277</f>
        <v>0.93</v>
      </c>
      <c r="AW277" s="765">
        <f>IF(AVERAGE(AS275:AV275)=0,0,AW278/(AVERAGE(AS275:AV275)*8.76))</f>
        <v>0.92999999999999994</v>
      </c>
      <c r="AX277" s="277">
        <f>+$I$277</f>
        <v>0.93</v>
      </c>
      <c r="AY277" s="253">
        <f>+$I$277</f>
        <v>0.93</v>
      </c>
      <c r="AZ277" s="253">
        <f>+$I$277</f>
        <v>0.93</v>
      </c>
      <c r="BA277" s="278">
        <f>+$I$277</f>
        <v>0.93</v>
      </c>
      <c r="BB277" s="765">
        <f>IF(AVERAGE(AX275:BA275)=0,0,BB278/(AVERAGE(AX275:BA275)*8.76))</f>
        <v>0.92999999999999994</v>
      </c>
      <c r="BC277" s="277">
        <f>+$I$277</f>
        <v>0.93</v>
      </c>
      <c r="BD277" s="253">
        <f>+$I$277</f>
        <v>0.93</v>
      </c>
      <c r="BE277" s="253">
        <f>+$I$277</f>
        <v>0.93</v>
      </c>
      <c r="BF277" s="278">
        <f>+$I$277</f>
        <v>0.93</v>
      </c>
      <c r="BG277" s="765">
        <f>IF(AVERAGE(BC275:BF275)=0,0,BG278/(AVERAGE(BC275:BF275)*8.76))</f>
        <v>0.93</v>
      </c>
      <c r="BH277" s="277">
        <f>+$I$277</f>
        <v>0.93</v>
      </c>
      <c r="BI277" s="253">
        <f>+$I$277</f>
        <v>0.93</v>
      </c>
      <c r="BJ277" s="253">
        <f>+$I$277</f>
        <v>0.93</v>
      </c>
      <c r="BK277" s="278">
        <f>+$I$277</f>
        <v>0.93</v>
      </c>
      <c r="BL277" s="765">
        <f>IF(AVERAGE(BH275:BK275)=0,0,BL278/(AVERAGE(BH275:BK275)*8.76))</f>
        <v>0.92999999999999994</v>
      </c>
      <c r="BM277" s="277">
        <f>+$I$277</f>
        <v>0.93</v>
      </c>
      <c r="BN277" s="253">
        <f>+$I$277</f>
        <v>0.93</v>
      </c>
      <c r="BO277" s="253">
        <f>+$I$277</f>
        <v>0.93</v>
      </c>
      <c r="BP277" s="278">
        <f>+$I$277</f>
        <v>0.93</v>
      </c>
      <c r="BQ277" s="765">
        <f>IF(AVERAGE(BM275:BP275)=0,0,BQ278/(AVERAGE(BM275:BP275)*8.76))</f>
        <v>0.92999999999999994</v>
      </c>
      <c r="BR277" s="40"/>
      <c r="BS277" s="40"/>
      <c r="BT277" s="40"/>
      <c r="BV277" s="1415"/>
      <c r="BW277" s="28"/>
      <c r="BX277" s="111"/>
      <c r="BY277" s="111">
        <f>SUM(BY270:BY276)</f>
        <v>0</v>
      </c>
      <c r="BZ277" s="111">
        <f>SUM(BZ270:BZ276)</f>
        <v>65</v>
      </c>
      <c r="CA277" s="1416">
        <f>SUM(CA270:CA276)</f>
        <v>65</v>
      </c>
      <c r="CB277" s="111"/>
      <c r="CC277" s="111"/>
      <c r="CF277" s="40"/>
      <c r="CG277" s="40"/>
      <c r="CH277" s="40"/>
      <c r="CI277" s="40"/>
      <c r="CJ277" s="40"/>
      <c r="CK277" s="40"/>
      <c r="CL277" s="40"/>
      <c r="CM277" s="40"/>
      <c r="CN277" s="40"/>
      <c r="CO277" s="40"/>
      <c r="CP277" s="40"/>
      <c r="CQ277" s="40"/>
      <c r="CR277" s="40"/>
      <c r="CS277" s="40"/>
      <c r="CT277" s="823"/>
      <c r="CU277" s="232"/>
      <c r="CV277" s="232"/>
      <c r="CW277" s="232"/>
      <c r="CX277" s="232"/>
      <c r="CY277" s="232"/>
      <c r="CZ277" s="40"/>
      <c r="DA277" s="40"/>
      <c r="DB277" s="40"/>
      <c r="DC277" s="40"/>
      <c r="DD277" s="40"/>
      <c r="DE277" s="40"/>
      <c r="DF277" s="232"/>
      <c r="DG277" s="232"/>
      <c r="DH277" s="232"/>
      <c r="DI277" s="232"/>
      <c r="DJ277" s="232"/>
      <c r="DK277" s="232"/>
      <c r="DL277" s="232"/>
      <c r="DM277" s="232"/>
      <c r="DN277" s="232"/>
    </row>
    <row r="278" spans="1:118">
      <c r="A278" s="40"/>
      <c r="B278" s="1"/>
      <c r="C278" s="32" t="s">
        <v>198</v>
      </c>
      <c r="D278" s="32"/>
      <c r="E278" s="489"/>
      <c r="F278" s="342"/>
      <c r="G278" s="342"/>
      <c r="H278" s="490"/>
      <c r="I278" s="32"/>
      <c r="J278" s="489"/>
      <c r="K278" s="342"/>
      <c r="L278" s="342"/>
      <c r="M278" s="490"/>
      <c r="N278" s="458"/>
      <c r="O278" s="489"/>
      <c r="P278" s="342"/>
      <c r="Q278" s="342"/>
      <c r="R278" s="490"/>
      <c r="S278" s="32"/>
      <c r="T278" s="301"/>
      <c r="U278" s="265"/>
      <c r="V278" s="265"/>
      <c r="W278" s="302"/>
      <c r="X278" s="445"/>
      <c r="Y278" s="301">
        <f>(Y275*Y277*(8760/1000))/4</f>
        <v>12120.4017</v>
      </c>
      <c r="Z278" s="265">
        <f>(Z275*Z277*(8760/1000))/4</f>
        <v>12120.4017</v>
      </c>
      <c r="AA278" s="265">
        <f>(AA275*AA277*(8760/1000))/4</f>
        <v>12120.4017</v>
      </c>
      <c r="AB278" s="302">
        <f>(AB275*AB277*(8760/1000))/4</f>
        <v>12120.4017</v>
      </c>
      <c r="AC278" s="445">
        <f>SUM(Y278:AB278)</f>
        <v>48481.606800000001</v>
      </c>
      <c r="AD278" s="301">
        <f>(AD275*AD277*(8760/1000))/4</f>
        <v>11729.421</v>
      </c>
      <c r="AE278" s="265">
        <f>(AE275*AE277*(8760/1000))/4</f>
        <v>12120.4017</v>
      </c>
      <c r="AF278" s="265">
        <f>(AF275*AF277*(8760/1000))/4</f>
        <v>12120.4017</v>
      </c>
      <c r="AG278" s="302">
        <f>(AG275*AG277*(8760/1000))/4</f>
        <v>12120.4017</v>
      </c>
      <c r="AH278" s="445">
        <f>SUM(AD278:AG278)</f>
        <v>48090.626100000001</v>
      </c>
      <c r="AI278" s="301">
        <f>(AI275*AI277*(8760/1000))/4</f>
        <v>12252.787200000001</v>
      </c>
      <c r="AJ278" s="265">
        <f>(AJ275*AJ277*(8760/1000))/4</f>
        <v>12252.787200000001</v>
      </c>
      <c r="AK278" s="265">
        <f>(AK275*AK277*(8760/1000))/4</f>
        <v>12252.787200000001</v>
      </c>
      <c r="AL278" s="302">
        <f>(AL275*AL277*(8760/1000))/4</f>
        <v>12252.787200000001</v>
      </c>
      <c r="AM278" s="445">
        <f>SUM(AI278:AL278)</f>
        <v>49011.148800000003</v>
      </c>
      <c r="AN278" s="301">
        <f>(AN275*AN277*(8760/1000))/4</f>
        <v>12385.172699999999</v>
      </c>
      <c r="AO278" s="265">
        <f>(AO275*AO277*(8760/1000))/4</f>
        <v>12385.172699999999</v>
      </c>
      <c r="AP278" s="265">
        <f>(AP275*AP277*(8760/1000))/4</f>
        <v>12385.172699999999</v>
      </c>
      <c r="AQ278" s="302">
        <f>(AQ275*AQ277*(8760/1000))/4</f>
        <v>12385.172699999999</v>
      </c>
      <c r="AR278" s="445">
        <f>SUM(AN278:AQ278)</f>
        <v>49540.690799999997</v>
      </c>
      <c r="AS278" s="301">
        <f>(AS275*AS277*(8760/1000))/4</f>
        <v>12385.172699999999</v>
      </c>
      <c r="AT278" s="265">
        <f>(AT275*AT277*(8760/1000))/4</f>
        <v>12385.172699999999</v>
      </c>
      <c r="AU278" s="265">
        <f t="shared" ref="AU278" si="446">(AU275*AU277*(8760/1000))/4</f>
        <v>12385.172699999999</v>
      </c>
      <c r="AV278" s="302">
        <f>(AV275*AV277*(8760/1000))/4</f>
        <v>12385.172699999999</v>
      </c>
      <c r="AW278" s="445">
        <f>SUM(AS278:AV278)</f>
        <v>49540.690799999997</v>
      </c>
      <c r="AX278" s="301">
        <f>(AX275*AX277*(8760/1000))/4</f>
        <v>12385.172699999999</v>
      </c>
      <c r="AY278" s="265">
        <f>(AY275*AY277*(8760/1000))/4</f>
        <v>12385.172699999999</v>
      </c>
      <c r="AZ278" s="265">
        <f>(AZ275*AZ277*(8760/1000))/4</f>
        <v>12385.172699999999</v>
      </c>
      <c r="BA278" s="302">
        <f>(BA275*BA277*(8760/1000))/4</f>
        <v>11112.235199999999</v>
      </c>
      <c r="BB278" s="445">
        <f>SUM(AX278:BA278)</f>
        <v>48267.753299999997</v>
      </c>
      <c r="BC278" s="301">
        <f>(BC275*BC277*(8760/1000))/4</f>
        <v>11112.235199999999</v>
      </c>
      <c r="BD278" s="265">
        <f>(BD275*BD277*(8760/1000))/4</f>
        <v>11112.235199999999</v>
      </c>
      <c r="BE278" s="265">
        <f>(BE275*BE277*(8760/1000))/4</f>
        <v>11112.235199999999</v>
      </c>
      <c r="BF278" s="302">
        <f>(BF275*BF277*(8760/1000))/4</f>
        <v>9407.5172999999995</v>
      </c>
      <c r="BG278" s="445">
        <f>SUM(BC278:BF278)</f>
        <v>42744.222900000001</v>
      </c>
      <c r="BH278" s="301">
        <f>(BH275*BH277*(8760/1000))/4</f>
        <v>9407.5172999999995</v>
      </c>
      <c r="BI278" s="265">
        <f>(BI275*BI277*(8760/1000))/4</f>
        <v>9407.5172999999995</v>
      </c>
      <c r="BJ278" s="265">
        <f>(BJ275*BJ277*(8760/1000))/4</f>
        <v>9407.5172999999995</v>
      </c>
      <c r="BK278" s="302">
        <f>(BK275*BK277*(8760/1000))/4</f>
        <v>9407.5172999999995</v>
      </c>
      <c r="BL278" s="445">
        <f>SUM(BH278:BK278)</f>
        <v>37630.069199999998</v>
      </c>
      <c r="BM278" s="301">
        <f>(BM275*BM277*(8760/1000))/4</f>
        <v>9407.5172999999995</v>
      </c>
      <c r="BN278" s="265">
        <f>(BN275*BN277*(8760/1000))/4</f>
        <v>9407.5172999999995</v>
      </c>
      <c r="BO278" s="265">
        <f>(BO275*BO277*(8760/1000))/4</f>
        <v>9407.5172999999995</v>
      </c>
      <c r="BP278" s="302">
        <f>(BP275*BP277*(8760/1000))/4</f>
        <v>9407.5172999999995</v>
      </c>
      <c r="BQ278" s="445">
        <f>SUM(BM278:BP278)</f>
        <v>37630.069199999998</v>
      </c>
      <c r="BR278" s="40"/>
      <c r="BS278" s="40"/>
      <c r="BT278" s="40"/>
      <c r="BV278" s="1415"/>
      <c r="BW278" s="37" t="s">
        <v>1042</v>
      </c>
      <c r="BX278" s="349"/>
      <c r="BY278" s="349">
        <f>+SUM(BY273:BY276)</f>
        <v>0</v>
      </c>
      <c r="BZ278" s="349">
        <f>+SUM(BZ273:BZ276)</f>
        <v>0</v>
      </c>
      <c r="CA278" s="1417">
        <f>+SUM(CA273:CA276)</f>
        <v>0</v>
      </c>
      <c r="CB278" s="349"/>
      <c r="CC278" s="349"/>
      <c r="CF278" s="40"/>
      <c r="CG278" s="40"/>
      <c r="CH278" s="40"/>
      <c r="CI278" s="40"/>
      <c r="CJ278" s="40"/>
      <c r="CK278" s="40"/>
      <c r="CL278" s="40"/>
      <c r="CM278" s="40"/>
      <c r="CN278" s="40"/>
      <c r="CO278" s="40"/>
      <c r="CP278" s="40"/>
      <c r="CQ278" s="40"/>
      <c r="CR278" s="40"/>
      <c r="CS278" s="40"/>
      <c r="CT278" s="823"/>
      <c r="CU278" s="232"/>
      <c r="CV278" s="232"/>
      <c r="CW278" s="232"/>
      <c r="CX278" s="232"/>
      <c r="CY278" s="232"/>
      <c r="CZ278" s="40"/>
      <c r="DA278" s="40"/>
      <c r="DB278" s="40"/>
      <c r="DC278" s="40"/>
      <c r="DD278" s="40"/>
      <c r="DE278" s="40"/>
      <c r="DF278" s="232"/>
      <c r="DG278" s="232"/>
      <c r="DH278" s="232"/>
      <c r="DI278" s="232"/>
      <c r="DJ278" s="232"/>
      <c r="DK278" s="232"/>
      <c r="DL278" s="232"/>
      <c r="DM278" s="232"/>
      <c r="DN278" s="232"/>
    </row>
    <row r="279" spans="1:118">
      <c r="A279" s="40"/>
      <c r="B279" s="1"/>
      <c r="C279" s="1"/>
      <c r="D279" s="1"/>
      <c r="E279" s="273"/>
      <c r="F279" s="3"/>
      <c r="G279" s="3"/>
      <c r="H279" s="274"/>
      <c r="I279" s="28"/>
      <c r="J279" s="273"/>
      <c r="K279" s="3"/>
      <c r="L279" s="3"/>
      <c r="M279" s="274"/>
      <c r="N279" s="1"/>
      <c r="O279" s="273"/>
      <c r="P279" s="3"/>
      <c r="Q279" s="3"/>
      <c r="R279" s="274"/>
      <c r="S279" s="1"/>
      <c r="T279" s="273"/>
      <c r="U279" s="3"/>
      <c r="V279" s="3"/>
      <c r="W279" s="274"/>
      <c r="X279" s="1"/>
      <c r="Y279" s="273"/>
      <c r="Z279" s="3"/>
      <c r="AA279" s="3"/>
      <c r="AB279" s="274"/>
      <c r="AC279" s="1"/>
      <c r="AD279" s="1654"/>
      <c r="AE279" s="3"/>
      <c r="AF279" s="3"/>
      <c r="AG279" s="274"/>
      <c r="AH279" s="1"/>
      <c r="AI279" s="273"/>
      <c r="AJ279" s="3"/>
      <c r="AK279" s="3"/>
      <c r="AL279" s="274"/>
      <c r="AM279" s="1"/>
      <c r="AN279" s="273"/>
      <c r="AO279" s="3"/>
      <c r="AP279" s="3"/>
      <c r="AQ279" s="274"/>
      <c r="AR279" s="1"/>
      <c r="AS279" s="273"/>
      <c r="AT279" s="3"/>
      <c r="AU279" s="3"/>
      <c r="AV279" s="274"/>
      <c r="AW279" s="1"/>
      <c r="AX279" s="273"/>
      <c r="AY279" s="3"/>
      <c r="AZ279" s="3"/>
      <c r="BA279" s="274"/>
      <c r="BB279" s="1"/>
      <c r="BC279" s="273"/>
      <c r="BD279" s="3"/>
      <c r="BE279" s="3"/>
      <c r="BF279" s="274"/>
      <c r="BG279" s="1"/>
      <c r="BH279" s="273"/>
      <c r="BI279" s="3"/>
      <c r="BJ279" s="3"/>
      <c r="BK279" s="274"/>
      <c r="BL279" s="1"/>
      <c r="BM279" s="273"/>
      <c r="BN279" s="3"/>
      <c r="BO279" s="3"/>
      <c r="BP279" s="274"/>
      <c r="BQ279" s="1"/>
      <c r="BR279" s="40"/>
      <c r="BS279" s="40"/>
      <c r="BT279" s="40"/>
      <c r="BV279" s="1418"/>
      <c r="BW279" s="1419" t="s">
        <v>1043</v>
      </c>
      <c r="BX279" s="1420"/>
      <c r="BY279" s="1420">
        <f>SUM(BY270:BY272)</f>
        <v>0</v>
      </c>
      <c r="BZ279" s="1420">
        <f>SUM(BZ270:BZ272)</f>
        <v>65</v>
      </c>
      <c r="CA279" s="1421">
        <f>SUM(CA270:CA272)</f>
        <v>65</v>
      </c>
      <c r="CB279" s="349"/>
      <c r="CC279" s="349"/>
      <c r="CF279" s="40"/>
      <c r="CG279" s="40"/>
      <c r="CH279" s="40"/>
      <c r="CI279" s="40"/>
      <c r="CJ279" s="40"/>
      <c r="CK279" s="40"/>
      <c r="CL279" s="40"/>
      <c r="CM279" s="40"/>
      <c r="CN279" s="40"/>
      <c r="CO279" s="40"/>
      <c r="CP279" s="40"/>
      <c r="CQ279" s="40"/>
      <c r="CR279" s="40"/>
      <c r="CS279" s="40"/>
      <c r="CT279" s="823"/>
      <c r="CU279" s="232"/>
      <c r="CV279" s="232"/>
      <c r="CW279" s="232"/>
      <c r="CX279" s="232"/>
      <c r="CY279" s="232"/>
      <c r="CZ279" s="40"/>
      <c r="DA279" s="40"/>
      <c r="DB279" s="40"/>
      <c r="DC279" s="40"/>
      <c r="DD279" s="40"/>
      <c r="DE279" s="40"/>
      <c r="DF279" s="232"/>
      <c r="DG279" s="232"/>
      <c r="DH279" s="232"/>
      <c r="DI279" s="232"/>
      <c r="DJ279" s="232"/>
      <c r="DK279" s="232"/>
      <c r="DL279" s="232"/>
      <c r="DM279" s="232"/>
      <c r="DN279" s="232"/>
    </row>
    <row r="280" spans="1:118">
      <c r="A280" s="40"/>
      <c r="B280" s="1"/>
      <c r="C280" s="28" t="s">
        <v>797</v>
      </c>
      <c r="D280" s="1"/>
      <c r="E280" s="273"/>
      <c r="F280" s="3"/>
      <c r="G280" s="3"/>
      <c r="H280" s="274"/>
      <c r="I280" s="28"/>
      <c r="J280" s="273"/>
      <c r="K280" s="3"/>
      <c r="L280" s="3"/>
      <c r="M280" s="274"/>
      <c r="N280" s="1"/>
      <c r="O280" s="273"/>
      <c r="P280" s="3"/>
      <c r="Q280" s="3"/>
      <c r="R280" s="274"/>
      <c r="S280" s="1"/>
      <c r="T280" s="885"/>
      <c r="U280" s="886"/>
      <c r="V280" s="886"/>
      <c r="W280" s="887"/>
      <c r="X280" s="888"/>
      <c r="Y280" s="885">
        <f>(Y272/1000*Y278)</f>
        <v>465.2125662048789</v>
      </c>
      <c r="Z280" s="886">
        <f>(Z272/1000*Z278)</f>
        <v>470.87365296997638</v>
      </c>
      <c r="AA280" s="886">
        <f>(AA272/1000*AA278)</f>
        <v>508.74061125745106</v>
      </c>
      <c r="AB280" s="887">
        <f>(AB272/1000*AB278)</f>
        <v>447.78410656765226</v>
      </c>
      <c r="AC280" s="888">
        <f>SUM(Y280:AB280)</f>
        <v>1892.6109369999588</v>
      </c>
      <c r="AD280" s="885">
        <f>(AD272/1000*AD278)</f>
        <v>1296.4191470163778</v>
      </c>
      <c r="AE280" s="886">
        <f>(AE272/1000*AE278)</f>
        <v>429.68962390541179</v>
      </c>
      <c r="AF280" s="886">
        <f>(AF272/1000*AF278)</f>
        <v>429.68962390541179</v>
      </c>
      <c r="AG280" s="887">
        <f>(AG272/1000*AG278)</f>
        <v>522.43922246806574</v>
      </c>
      <c r="AH280" s="888">
        <f>SUM(AD280:AG280)</f>
        <v>2678.2376172952672</v>
      </c>
      <c r="AI280" s="885">
        <f>(AI272/1000*AI278)</f>
        <v>731.9884535161309</v>
      </c>
      <c r="AJ280" s="886">
        <f>(AJ272/1000*AJ278)</f>
        <v>416.15651212832421</v>
      </c>
      <c r="AK280" s="886">
        <f>(AK272/1000*AK278)</f>
        <v>366.2514513721402</v>
      </c>
      <c r="AL280" s="887">
        <f>(AL272/1000*AL278)</f>
        <v>337.90119731759245</v>
      </c>
      <c r="AM280" s="888">
        <f>SUM(AI280:AL280)</f>
        <v>1852.297614334188</v>
      </c>
      <c r="AN280" s="885">
        <f>(AN272/1000*AN278)</f>
        <v>348.74370908630772</v>
      </c>
      <c r="AO280" s="886">
        <f>(AO272/1000*AO278)</f>
        <v>294.07784508404137</v>
      </c>
      <c r="AP280" s="886">
        <f>(AP272/1000*AP278)</f>
        <v>375.90278821112537</v>
      </c>
      <c r="AQ280" s="887">
        <f>(AQ272/1000*AQ278)</f>
        <v>308.20050651339062</v>
      </c>
      <c r="AR280" s="888">
        <f>SUM(AN280:AQ280)</f>
        <v>1326.9248488948651</v>
      </c>
      <c r="AS280" s="885">
        <f>(AS272/1000*AS278)</f>
        <v>386.3992631967684</v>
      </c>
      <c r="AT280" s="886">
        <f>(AT272/1000*AT278)</f>
        <v>331.86629887275899</v>
      </c>
      <c r="AU280" s="886">
        <f t="shared" ref="AU280" si="447">(AU272/1000*AU278)</f>
        <v>326.82508105477103</v>
      </c>
      <c r="AV280" s="887">
        <f>(AV272/1000*AV278)</f>
        <v>594.56709990469744</v>
      </c>
      <c r="AW280" s="888">
        <f>SUM(AS280:AV280)</f>
        <v>1639.6577430289958</v>
      </c>
      <c r="AX280" s="885">
        <f>(AX272/1000*AX278)</f>
        <v>594.56709990469744</v>
      </c>
      <c r="AY280" s="886">
        <f>(AY272/1000*AY278)</f>
        <v>365.79215372314496</v>
      </c>
      <c r="AZ280" s="886">
        <f>(AZ272/1000*AZ278)</f>
        <v>388.21132890070874</v>
      </c>
      <c r="BA280" s="887">
        <f>(BA272/1000*BA278)</f>
        <v>331.46931773273991</v>
      </c>
      <c r="BB280" s="888">
        <f>SUM(AX280:BA280)</f>
        <v>1680.0399002612912</v>
      </c>
      <c r="BC280" s="885">
        <f>(BC272/1000*BC278)</f>
        <v>463.38774008571659</v>
      </c>
      <c r="BD280" s="886">
        <f>(BD272/1000*BD278)</f>
        <v>280.9380154360523</v>
      </c>
      <c r="BE280" s="886">
        <f>(BE272/1000*BE278)</f>
        <v>302.8313750271837</v>
      </c>
      <c r="BF280" s="887">
        <f>(BF272/1000*BF278)</f>
        <v>315.76558485915012</v>
      </c>
      <c r="BG280" s="888">
        <f>SUM(BC280:BF280)</f>
        <v>1362.9227154081027</v>
      </c>
      <c r="BH280" s="885">
        <f>(BH272/1000*BH278)</f>
        <v>390.53979690811519</v>
      </c>
      <c r="BI280" s="886">
        <f>(BI272/1000*BI278)</f>
        <v>236.84841152446694</v>
      </c>
      <c r="BJ280" s="886">
        <f>(BJ272/1000*BJ278)</f>
        <v>255.35256621963563</v>
      </c>
      <c r="BK280" s="887">
        <f>(BK272/1000*BK278)</f>
        <v>314.31174774510436</v>
      </c>
      <c r="BL280" s="888">
        <f>SUM(BH280:BK280)</f>
        <v>1197.052522397322</v>
      </c>
      <c r="BM280" s="885">
        <f>(BM272/1000*BM278)</f>
        <v>293.87272809613359</v>
      </c>
      <c r="BN280" s="886">
        <f>(BN272/1000*BN278)</f>
        <v>293.87272809613359</v>
      </c>
      <c r="BO280" s="886">
        <f>(BO272/1000*BO278)</f>
        <v>293.87272809613359</v>
      </c>
      <c r="BP280" s="887">
        <f>(BP272/1000*BP278)</f>
        <v>293.87272809613359</v>
      </c>
      <c r="BQ280" s="888">
        <f>SUM(BM280:BP280)</f>
        <v>1175.4909123845343</v>
      </c>
      <c r="BR280" s="40"/>
      <c r="BT280" s="40"/>
      <c r="BU280" s="232"/>
      <c r="BV280" s="40"/>
      <c r="BW280" s="40"/>
      <c r="BX280" s="40"/>
      <c r="BY280" s="40"/>
      <c r="BZ280" s="40"/>
      <c r="CA280" s="40"/>
      <c r="CB280" s="40"/>
      <c r="CC280" s="40"/>
      <c r="CD280" s="40"/>
      <c r="CE280" s="40"/>
      <c r="CF280" s="40"/>
      <c r="CG280" s="40"/>
      <c r="CH280" s="40"/>
      <c r="CI280" s="40"/>
      <c r="CJ280" s="40"/>
      <c r="CK280" s="40"/>
      <c r="CL280" s="40"/>
      <c r="CM280" s="40"/>
      <c r="CN280" s="40"/>
      <c r="CO280" s="40"/>
      <c r="CP280" s="40"/>
      <c r="CQ280" s="40"/>
      <c r="CR280" s="40"/>
      <c r="CS280" s="40"/>
      <c r="CT280" s="823"/>
      <c r="CU280" s="232"/>
      <c r="CV280" s="232"/>
      <c r="CW280" s="232"/>
      <c r="CX280" s="232"/>
      <c r="CY280" s="232"/>
      <c r="CZ280" s="40"/>
      <c r="DA280" s="40"/>
      <c r="DB280" s="40"/>
      <c r="DC280" s="40"/>
      <c r="DD280" s="40"/>
      <c r="DE280" s="40"/>
      <c r="DF280" s="232"/>
      <c r="DG280" s="232"/>
      <c r="DH280" s="232"/>
      <c r="DI280" s="232"/>
      <c r="DJ280" s="232"/>
      <c r="DK280" s="232"/>
      <c r="DL280" s="232"/>
      <c r="DM280" s="232"/>
      <c r="DN280" s="232"/>
    </row>
    <row r="281" spans="1:118">
      <c r="A281" s="40"/>
      <c r="B281" s="1"/>
      <c r="C281" s="28" t="s">
        <v>278</v>
      </c>
      <c r="D281" s="1"/>
      <c r="E281" s="273"/>
      <c r="F281" s="3"/>
      <c r="G281" s="3"/>
      <c r="H281" s="274"/>
      <c r="I281" s="28"/>
      <c r="J281" s="273"/>
      <c r="K281" s="3"/>
      <c r="L281" s="3"/>
      <c r="M281" s="274"/>
      <c r="N281" s="1"/>
      <c r="O281" s="273"/>
      <c r="P281" s="3"/>
      <c r="Q281" s="3"/>
      <c r="R281" s="274"/>
      <c r="S281" s="1"/>
      <c r="T281" s="885"/>
      <c r="U281" s="886"/>
      <c r="V281" s="886"/>
      <c r="W281" s="887"/>
      <c r="X281" s="888"/>
      <c r="Y281" s="885">
        <f>Y273/1000*Y278</f>
        <v>103.02341445</v>
      </c>
      <c r="Z281" s="886">
        <f>Z273/1000*Z278</f>
        <v>103.02341445</v>
      </c>
      <c r="AA281" s="886">
        <f>AA273/1000*AA278</f>
        <v>103.02341445</v>
      </c>
      <c r="AB281" s="887">
        <f>AB273/1000*AB278</f>
        <v>103.02341445</v>
      </c>
      <c r="AC281" s="888">
        <f>SUM(Y281:AB281)</f>
        <v>412.09365780000002</v>
      </c>
      <c r="AD281" s="885">
        <f>AD273/1000*AD278</f>
        <v>99.700078500000004</v>
      </c>
      <c r="AE281" s="886">
        <f>AE273/1000*AE278</f>
        <v>90.903012750000002</v>
      </c>
      <c r="AF281" s="886">
        <f>AF273/1000*AF278</f>
        <v>90.903012750000002</v>
      </c>
      <c r="AG281" s="887">
        <f>AG273/1000*AG278</f>
        <v>90.903012750000002</v>
      </c>
      <c r="AH281" s="888">
        <f>SUM(AD281:AG281)</f>
        <v>372.40911675000001</v>
      </c>
      <c r="AI281" s="885">
        <f>AI273/1000*AI278</f>
        <v>94.652781120000014</v>
      </c>
      <c r="AJ281" s="886">
        <f>AJ273/1000*AJ278</f>
        <v>94.652781120000014</v>
      </c>
      <c r="AK281" s="886">
        <f>AK273/1000*AK278</f>
        <v>94.652781120000014</v>
      </c>
      <c r="AL281" s="887">
        <f>AL273/1000*AL278</f>
        <v>94.652781120000014</v>
      </c>
      <c r="AM281" s="888">
        <f>SUM(AI281:AL281)</f>
        <v>378.61112448000006</v>
      </c>
      <c r="AN281" s="885">
        <f>AN273/1000*AN278</f>
        <v>98.545722880724995</v>
      </c>
      <c r="AO281" s="886">
        <f>AO273/1000*AO278</f>
        <v>98.545722880724995</v>
      </c>
      <c r="AP281" s="886">
        <f>AP273/1000*AP278</f>
        <v>98.545722880724995</v>
      </c>
      <c r="AQ281" s="887">
        <f>AQ273/1000*AQ278</f>
        <v>98.545722880724995</v>
      </c>
      <c r="AR281" s="888">
        <f>SUM(AN281:AQ281)</f>
        <v>394.18289152289998</v>
      </c>
      <c r="AS281" s="885">
        <f>AS273/1000*AS278</f>
        <v>105.27396795</v>
      </c>
      <c r="AT281" s="886">
        <f>AT273/1000*AT278</f>
        <v>105.27396795</v>
      </c>
      <c r="AU281" s="886">
        <f t="shared" ref="AU281" si="448">AU273/1000*AU278</f>
        <v>105.27396795</v>
      </c>
      <c r="AV281" s="887">
        <f>AV273/1000*AV278</f>
        <v>105.27396795</v>
      </c>
      <c r="AW281" s="888">
        <f>SUM(AS281:AV281)</f>
        <v>421.0958718</v>
      </c>
      <c r="AX281" s="885">
        <f>AX273/1000*AX278</f>
        <v>99.0813816</v>
      </c>
      <c r="AY281" s="886">
        <f>AY273/1000*AY278</f>
        <v>99.0813816</v>
      </c>
      <c r="AZ281" s="886">
        <f>AZ273/1000*AZ278</f>
        <v>99.0813816</v>
      </c>
      <c r="BA281" s="887">
        <f>BA273/1000*BA278</f>
        <v>88.897881599999991</v>
      </c>
      <c r="BB281" s="888">
        <f>SUM(AX281:BA281)</f>
        <v>386.14202640000002</v>
      </c>
      <c r="BC281" s="885">
        <f>BC273/1000*BC278</f>
        <v>86.119822799999994</v>
      </c>
      <c r="BD281" s="886">
        <f>BD273/1000*BD278</f>
        <v>86.119822799999994</v>
      </c>
      <c r="BE281" s="886">
        <f>BE273/1000*BE278</f>
        <v>86.119822799999994</v>
      </c>
      <c r="BF281" s="887">
        <f>BF273/1000*BF278</f>
        <v>72.908259074999989</v>
      </c>
      <c r="BG281" s="888">
        <f>SUM(BC281:BF281)</f>
        <v>331.26772747499996</v>
      </c>
      <c r="BH281" s="885">
        <f>BH273/1000*BH278</f>
        <v>68.204500425000006</v>
      </c>
      <c r="BI281" s="886">
        <f>BI273/1000*BI278</f>
        <v>68.204500425000006</v>
      </c>
      <c r="BJ281" s="886">
        <f>BJ273/1000*BJ278</f>
        <v>68.204500425000006</v>
      </c>
      <c r="BK281" s="887">
        <f>BK273/1000*BK278</f>
        <v>68.204500425000006</v>
      </c>
      <c r="BL281" s="888">
        <f>SUM(BH281:BK281)</f>
        <v>272.81800170000002</v>
      </c>
      <c r="BM281" s="885">
        <f>BM273/1000*BM278</f>
        <v>68.204500425000006</v>
      </c>
      <c r="BN281" s="886">
        <f>BN273/1000*BN278</f>
        <v>68.204500425000006</v>
      </c>
      <c r="BO281" s="886">
        <f>BO273/1000*BO278</f>
        <v>68.204500425000006</v>
      </c>
      <c r="BP281" s="887">
        <f>BP273/1000*BP278</f>
        <v>68.204500425000006</v>
      </c>
      <c r="BQ281" s="888">
        <f>SUM(BM281:BP281)</f>
        <v>272.81800170000002</v>
      </c>
      <c r="BR281" s="40"/>
      <c r="BT281" s="40"/>
      <c r="BU281" s="232"/>
      <c r="BV281" s="40"/>
      <c r="BW281" s="40"/>
      <c r="BX281" s="40"/>
      <c r="BY281" s="40"/>
      <c r="BZ281" s="40"/>
      <c r="CA281" s="40"/>
      <c r="CB281" s="40"/>
      <c r="CC281" s="40"/>
      <c r="CD281" s="40"/>
      <c r="CE281" s="40"/>
      <c r="CF281" s="40"/>
      <c r="CG281" s="40"/>
      <c r="CH281" s="40"/>
      <c r="CI281" s="40"/>
      <c r="CJ281" s="40"/>
      <c r="CK281" s="40"/>
      <c r="CL281" s="40"/>
      <c r="CM281" s="40"/>
      <c r="CN281" s="40"/>
      <c r="CO281" s="40"/>
      <c r="CP281" s="40"/>
      <c r="CQ281" s="40"/>
      <c r="CR281" s="40"/>
      <c r="CS281" s="40"/>
      <c r="CT281" s="823"/>
      <c r="CU281" s="232"/>
      <c r="CV281" s="232"/>
      <c r="CW281" s="232"/>
      <c r="CX281" s="232"/>
      <c r="CY281" s="232"/>
      <c r="CZ281" s="40"/>
      <c r="DA281" s="40"/>
      <c r="DB281" s="40"/>
      <c r="DC281" s="40"/>
      <c r="DD281" s="40"/>
      <c r="DE281" s="40"/>
      <c r="DF281" s="232"/>
      <c r="DG281" s="232"/>
      <c r="DH281" s="232"/>
      <c r="DI281" s="232"/>
      <c r="DJ281" s="232"/>
      <c r="DK281" s="232"/>
      <c r="DL281" s="232"/>
      <c r="DM281" s="232"/>
      <c r="DN281" s="232"/>
    </row>
    <row r="282" spans="1:118">
      <c r="A282" s="40"/>
      <c r="B282" s="1"/>
      <c r="C282" s="32" t="s">
        <v>199</v>
      </c>
      <c r="D282" s="32"/>
      <c r="E282" s="489"/>
      <c r="F282" s="342"/>
      <c r="G282" s="342"/>
      <c r="H282" s="490"/>
      <c r="I282" s="28"/>
      <c r="J282" s="489"/>
      <c r="K282" s="342"/>
      <c r="L282" s="342"/>
      <c r="M282" s="490"/>
      <c r="N282" s="32"/>
      <c r="O282" s="489"/>
      <c r="P282" s="342"/>
      <c r="Q282" s="342"/>
      <c r="R282" s="490"/>
      <c r="S282" s="32"/>
      <c r="T282" s="788"/>
      <c r="U282" s="789"/>
      <c r="V282" s="789"/>
      <c r="W282" s="790"/>
      <c r="X282" s="747"/>
      <c r="Y282" s="788">
        <f t="shared" ref="Y282:BL282" si="449">Y280-Y281</f>
        <v>362.18915175487888</v>
      </c>
      <c r="Z282" s="789">
        <f t="shared" si="449"/>
        <v>367.85023851997636</v>
      </c>
      <c r="AA282" s="789">
        <f t="shared" si="449"/>
        <v>405.71719680745105</v>
      </c>
      <c r="AB282" s="790">
        <f t="shared" si="449"/>
        <v>344.76069211765224</v>
      </c>
      <c r="AC282" s="747">
        <f t="shared" si="449"/>
        <v>1480.5172791999587</v>
      </c>
      <c r="AD282" s="788">
        <f t="shared" si="449"/>
        <v>1196.7190685163778</v>
      </c>
      <c r="AE282" s="789">
        <f t="shared" si="449"/>
        <v>338.78661115541178</v>
      </c>
      <c r="AF282" s="789">
        <f t="shared" si="449"/>
        <v>338.78661115541178</v>
      </c>
      <c r="AG282" s="790">
        <f t="shared" si="449"/>
        <v>431.53620971806572</v>
      </c>
      <c r="AH282" s="747">
        <f t="shared" si="449"/>
        <v>2305.8285005452672</v>
      </c>
      <c r="AI282" s="788">
        <f t="shared" si="449"/>
        <v>637.33567239613092</v>
      </c>
      <c r="AJ282" s="789">
        <f t="shared" si="449"/>
        <v>321.50373100832417</v>
      </c>
      <c r="AK282" s="789">
        <f t="shared" si="449"/>
        <v>271.59867025214021</v>
      </c>
      <c r="AL282" s="790">
        <f t="shared" si="449"/>
        <v>243.24841619759243</v>
      </c>
      <c r="AM282" s="747">
        <f t="shared" si="449"/>
        <v>1473.686489854188</v>
      </c>
      <c r="AN282" s="788">
        <f t="shared" si="449"/>
        <v>250.19798620558271</v>
      </c>
      <c r="AO282" s="789">
        <f t="shared" si="449"/>
        <v>195.53212220331636</v>
      </c>
      <c r="AP282" s="789">
        <f t="shared" si="449"/>
        <v>277.35706533040036</v>
      </c>
      <c r="AQ282" s="790">
        <f t="shared" si="449"/>
        <v>209.65478363266561</v>
      </c>
      <c r="AR282" s="747">
        <f t="shared" si="449"/>
        <v>932.7419573719651</v>
      </c>
      <c r="AS282" s="788">
        <f t="shared" si="449"/>
        <v>281.12529524676842</v>
      </c>
      <c r="AT282" s="789">
        <f t="shared" si="449"/>
        <v>226.592330922759</v>
      </c>
      <c r="AU282" s="789">
        <f t="shared" ref="AU282" si="450">AU280-AU281</f>
        <v>221.55111310477105</v>
      </c>
      <c r="AV282" s="790">
        <f t="shared" si="449"/>
        <v>489.29313195469746</v>
      </c>
      <c r="AW282" s="747">
        <f t="shared" si="449"/>
        <v>1218.5618712289959</v>
      </c>
      <c r="AX282" s="788">
        <f t="shared" si="449"/>
        <v>495.48571830469746</v>
      </c>
      <c r="AY282" s="789">
        <f t="shared" si="449"/>
        <v>266.71077212314498</v>
      </c>
      <c r="AZ282" s="789">
        <f t="shared" si="449"/>
        <v>289.12994730070875</v>
      </c>
      <c r="BA282" s="790">
        <f t="shared" si="449"/>
        <v>242.5714361327399</v>
      </c>
      <c r="BB282" s="747">
        <f t="shared" si="449"/>
        <v>1293.8978738612911</v>
      </c>
      <c r="BC282" s="788">
        <f t="shared" si="449"/>
        <v>377.26791728571658</v>
      </c>
      <c r="BD282" s="789">
        <f t="shared" si="449"/>
        <v>194.81819263605229</v>
      </c>
      <c r="BE282" s="789">
        <f t="shared" si="449"/>
        <v>216.71155222718369</v>
      </c>
      <c r="BF282" s="790">
        <f t="shared" si="449"/>
        <v>242.85732578415013</v>
      </c>
      <c r="BG282" s="747">
        <f t="shared" si="449"/>
        <v>1031.6549879331028</v>
      </c>
      <c r="BH282" s="788">
        <f t="shared" si="449"/>
        <v>322.3352964831152</v>
      </c>
      <c r="BI282" s="789">
        <f t="shared" si="449"/>
        <v>168.64391109946695</v>
      </c>
      <c r="BJ282" s="789">
        <f t="shared" si="449"/>
        <v>187.14806579463561</v>
      </c>
      <c r="BK282" s="790">
        <f t="shared" si="449"/>
        <v>246.10724732010436</v>
      </c>
      <c r="BL282" s="747">
        <f t="shared" si="449"/>
        <v>924.23452069732207</v>
      </c>
      <c r="BM282" s="788">
        <f t="shared" ref="BM282:BQ282" si="451">BM280-BM281</f>
        <v>225.66822767113359</v>
      </c>
      <c r="BN282" s="789">
        <f t="shared" si="451"/>
        <v>225.66822767113359</v>
      </c>
      <c r="BO282" s="789">
        <f t="shared" si="451"/>
        <v>225.66822767113359</v>
      </c>
      <c r="BP282" s="790">
        <f t="shared" si="451"/>
        <v>225.66822767113359</v>
      </c>
      <c r="BQ282" s="747">
        <f t="shared" si="451"/>
        <v>902.67291068453437</v>
      </c>
      <c r="BR282" s="40"/>
      <c r="BT282" s="1084"/>
      <c r="BU282" s="232"/>
      <c r="BV282" s="156" t="s">
        <v>107</v>
      </c>
      <c r="BX282" s="1081"/>
      <c r="BY282" s="1081" t="s">
        <v>97</v>
      </c>
      <c r="BZ282" s="1081"/>
      <c r="CA282" s="40"/>
      <c r="CB282" s="40"/>
      <c r="CC282" s="40"/>
      <c r="CD282" s="40"/>
      <c r="CE282" s="40"/>
      <c r="CF282" s="40"/>
      <c r="CG282" s="40"/>
      <c r="CH282" s="40"/>
      <c r="CI282" s="40"/>
      <c r="CJ282" s="40"/>
      <c r="CK282" s="40"/>
      <c r="CL282" s="40"/>
      <c r="CM282" s="40"/>
      <c r="CN282" s="40"/>
      <c r="CO282" s="40"/>
      <c r="CP282" s="40"/>
      <c r="CQ282" s="40"/>
      <c r="CR282" s="40"/>
      <c r="CS282" s="40"/>
      <c r="CT282" s="823"/>
      <c r="CU282" s="232"/>
      <c r="CV282" s="232"/>
      <c r="CW282" s="232"/>
      <c r="CX282" s="232"/>
      <c r="CY282" s="232"/>
      <c r="CZ282" s="40"/>
      <c r="DA282" s="40"/>
      <c r="DB282" s="40"/>
      <c r="DC282" s="40"/>
      <c r="DD282" s="40"/>
      <c r="DE282" s="40"/>
      <c r="DF282" s="232"/>
      <c r="DG282" s="232"/>
      <c r="DH282" s="232"/>
      <c r="DI282" s="232"/>
      <c r="DJ282" s="232"/>
      <c r="DK282" s="232"/>
      <c r="DL282" s="232"/>
      <c r="DM282" s="232"/>
      <c r="DN282" s="232"/>
    </row>
    <row r="283" spans="1:118">
      <c r="A283" s="40"/>
      <c r="B283" s="1"/>
      <c r="C283" s="1"/>
      <c r="D283" s="1"/>
      <c r="E283" s="273"/>
      <c r="F283" s="3"/>
      <c r="G283" s="3"/>
      <c r="H283" s="274"/>
      <c r="I283" s="28"/>
      <c r="J283" s="273"/>
      <c r="K283" s="3"/>
      <c r="L283" s="3"/>
      <c r="M283" s="274"/>
      <c r="N283" s="1"/>
      <c r="O283" s="273"/>
      <c r="P283" s="3"/>
      <c r="Q283" s="3"/>
      <c r="R283" s="274"/>
      <c r="S283" s="1"/>
      <c r="T283" s="273"/>
      <c r="U283" s="3"/>
      <c r="V283" s="3"/>
      <c r="W283" s="274"/>
      <c r="X283" s="1"/>
      <c r="Y283" s="273"/>
      <c r="Z283" s="3"/>
      <c r="AA283" s="3"/>
      <c r="AB283" s="274"/>
      <c r="AC283" s="1"/>
      <c r="AD283" s="1654"/>
      <c r="AE283" s="3"/>
      <c r="AF283" s="1655"/>
      <c r="AG283" s="1656"/>
      <c r="AH283" s="1"/>
      <c r="AI283" s="273"/>
      <c r="AJ283" s="3"/>
      <c r="AK283" s="3"/>
      <c r="AL283" s="274"/>
      <c r="AM283" s="1"/>
      <c r="AN283" s="273"/>
      <c r="AO283" s="3"/>
      <c r="AP283" s="3"/>
      <c r="AQ283" s="274"/>
      <c r="AR283" s="1"/>
      <c r="AS283" s="273"/>
      <c r="AT283" s="3"/>
      <c r="AU283" s="3"/>
      <c r="AV283" s="274"/>
      <c r="AW283" s="1"/>
      <c r="AX283" s="273"/>
      <c r="AY283" s="3"/>
      <c r="AZ283" s="3"/>
      <c r="BA283" s="274"/>
      <c r="BB283" s="1"/>
      <c r="BC283" s="273"/>
      <c r="BD283" s="3"/>
      <c r="BE283" s="3"/>
      <c r="BF283" s="274"/>
      <c r="BG283" s="1"/>
      <c r="BH283" s="273"/>
      <c r="BI283" s="3"/>
      <c r="BJ283" s="3"/>
      <c r="BK283" s="274"/>
      <c r="BL283" s="1"/>
      <c r="BM283" s="273"/>
      <c r="BN283" s="3"/>
      <c r="BO283" s="3"/>
      <c r="BP283" s="274"/>
      <c r="BQ283" s="1"/>
      <c r="BR283" s="40"/>
      <c r="BT283" s="40"/>
      <c r="BU283" s="232"/>
      <c r="BV283" s="40" t="s">
        <v>98</v>
      </c>
      <c r="BX283" s="233"/>
      <c r="BY283" s="233">
        <v>100</v>
      </c>
      <c r="BZ283" s="233"/>
      <c r="CA283" s="40"/>
      <c r="CB283" s="40"/>
      <c r="CC283" s="40"/>
      <c r="CD283" s="40"/>
      <c r="CE283" s="40"/>
      <c r="CF283" s="40"/>
      <c r="CG283" s="40"/>
      <c r="CH283" s="40"/>
      <c r="CI283" s="40"/>
      <c r="CJ283" s="40"/>
      <c r="CK283" s="40"/>
      <c r="CL283" s="40"/>
      <c r="CM283" s="40"/>
      <c r="CN283" s="40"/>
      <c r="CO283" s="40"/>
      <c r="CP283" s="40"/>
      <c r="CQ283" s="40"/>
      <c r="CR283" s="40"/>
      <c r="CS283" s="40"/>
      <c r="CT283" s="823"/>
      <c r="CU283" s="232"/>
      <c r="CV283" s="232"/>
      <c r="CW283" s="232"/>
      <c r="CX283" s="232"/>
      <c r="CY283" s="232"/>
      <c r="CZ283" s="40"/>
      <c r="DA283" s="40"/>
      <c r="DB283" s="40"/>
      <c r="DC283" s="40"/>
      <c r="DD283" s="40"/>
      <c r="DE283" s="40"/>
      <c r="DF283" s="232"/>
      <c r="DG283" s="232"/>
      <c r="DH283" s="232"/>
      <c r="DI283" s="232"/>
      <c r="DJ283" s="232"/>
      <c r="DK283" s="232"/>
      <c r="DL283" s="232"/>
      <c r="DM283" s="232"/>
      <c r="DN283" s="232"/>
    </row>
    <row r="284" spans="1:118">
      <c r="A284" s="40"/>
      <c r="B284" s="1"/>
      <c r="C284" s="429" t="s">
        <v>1277</v>
      </c>
      <c r="D284" s="1"/>
      <c r="E284" s="273"/>
      <c r="F284" s="3"/>
      <c r="G284" s="3"/>
      <c r="H284" s="274"/>
      <c r="I284" s="13" t="s">
        <v>1449</v>
      </c>
      <c r="J284" s="273"/>
      <c r="K284" s="3"/>
      <c r="L284" s="3"/>
      <c r="M284" s="274"/>
      <c r="N284" s="13" t="s">
        <v>1450</v>
      </c>
      <c r="O284" s="273"/>
      <c r="P284" s="3"/>
      <c r="Q284" s="3"/>
      <c r="R284" s="274"/>
      <c r="S284" s="1"/>
      <c r="T284" s="273"/>
      <c r="U284" s="3"/>
      <c r="V284" s="3"/>
      <c r="W284" s="274"/>
      <c r="X284" s="1"/>
      <c r="Y284" s="273"/>
      <c r="Z284" s="3"/>
      <c r="AA284" s="3"/>
      <c r="AB284" s="274"/>
      <c r="AC284" s="1"/>
      <c r="AD284" s="273"/>
      <c r="AE284" s="3"/>
      <c r="AF284" s="3"/>
      <c r="AG284" s="274"/>
      <c r="AH284" s="1"/>
      <c r="AI284" s="273"/>
      <c r="AJ284" s="3"/>
      <c r="AK284" s="3"/>
      <c r="AL284" s="274"/>
      <c r="AM284" s="1"/>
      <c r="AN284" s="273"/>
      <c r="AO284" s="3"/>
      <c r="AP284" s="3"/>
      <c r="AQ284" s="274"/>
      <c r="AR284" s="1"/>
      <c r="AS284" s="273"/>
      <c r="AT284" s="3"/>
      <c r="AU284" s="3"/>
      <c r="AV284" s="274"/>
      <c r="AW284" s="1"/>
      <c r="AX284" s="273"/>
      <c r="AY284" s="3"/>
      <c r="AZ284" s="3"/>
      <c r="BA284" s="274"/>
      <c r="BB284" s="1"/>
      <c r="BC284" s="273"/>
      <c r="BD284" s="3"/>
      <c r="BE284" s="3"/>
      <c r="BF284" s="274"/>
      <c r="BG284" s="1"/>
      <c r="BH284" s="273"/>
      <c r="BI284" s="3"/>
      <c r="BJ284" s="3"/>
      <c r="BK284" s="274"/>
      <c r="BL284" s="1"/>
      <c r="BM284" s="273"/>
      <c r="BN284" s="3"/>
      <c r="BO284" s="3"/>
      <c r="BP284" s="274"/>
      <c r="BQ284" s="1"/>
      <c r="BR284" s="1084"/>
      <c r="BT284" s="40"/>
      <c r="BU284" s="232"/>
      <c r="BV284" s="40" t="s">
        <v>1206</v>
      </c>
      <c r="BX284" s="1086"/>
      <c r="BY284" s="1086">
        <v>0.93500000000000005</v>
      </c>
      <c r="BZ284" s="1086"/>
      <c r="CA284" s="40"/>
      <c r="CB284" s="40"/>
      <c r="CC284" s="40"/>
      <c r="CD284" s="40"/>
      <c r="CE284" s="40"/>
      <c r="CF284" s="40"/>
      <c r="CG284" s="40"/>
      <c r="CH284" s="40"/>
      <c r="CI284" s="40"/>
      <c r="CJ284" s="40"/>
      <c r="CK284" s="40"/>
      <c r="CL284" s="40"/>
      <c r="CM284" s="40"/>
      <c r="CN284" s="40"/>
      <c r="CO284" s="40"/>
      <c r="CP284" s="40"/>
      <c r="CQ284" s="40"/>
      <c r="CR284" s="40"/>
      <c r="CS284" s="40"/>
      <c r="CT284" s="823"/>
      <c r="CU284" s="232"/>
      <c r="CV284" s="232"/>
      <c r="CW284" s="232"/>
      <c r="CX284" s="232"/>
      <c r="CY284" s="232"/>
      <c r="CZ284" s="40"/>
      <c r="DA284" s="40"/>
      <c r="DB284" s="40"/>
      <c r="DC284" s="40"/>
      <c r="DD284" s="40"/>
      <c r="DE284" s="40"/>
      <c r="DF284" s="232"/>
      <c r="DG284" s="232"/>
      <c r="DH284" s="232"/>
      <c r="DI284" s="232"/>
      <c r="DJ284" s="232"/>
      <c r="DK284" s="232"/>
      <c r="DL284" s="232"/>
      <c r="DM284" s="232"/>
      <c r="DN284" s="232"/>
    </row>
    <row r="285" spans="1:118">
      <c r="A285" s="40"/>
      <c r="B285" s="1"/>
      <c r="C285" s="28" t="s">
        <v>194</v>
      </c>
      <c r="D285" s="1"/>
      <c r="E285" s="273"/>
      <c r="F285" s="3"/>
      <c r="G285" s="3"/>
      <c r="H285" s="274"/>
      <c r="I285" s="544">
        <v>0.1</v>
      </c>
      <c r="J285" s="273"/>
      <c r="K285" s="3"/>
      <c r="L285" s="3"/>
      <c r="M285" s="274"/>
      <c r="N285" s="544">
        <v>0.1</v>
      </c>
      <c r="O285" s="273"/>
      <c r="P285" s="3"/>
      <c r="Q285" s="3"/>
      <c r="R285" s="274"/>
      <c r="S285" s="1"/>
      <c r="T285" s="436"/>
      <c r="U285" s="437"/>
      <c r="V285" s="437"/>
      <c r="W285" s="438"/>
      <c r="X285" s="439"/>
      <c r="Y285" s="436">
        <f t="shared" ref="Y285:AW285" si="452">Y$75*(1-$I285)</f>
        <v>27.699391414594519</v>
      </c>
      <c r="Z285" s="437">
        <f t="shared" si="452"/>
        <v>28.187832175696176</v>
      </c>
      <c r="AA285" s="437">
        <f t="shared" si="452"/>
        <v>29.077025706704852</v>
      </c>
      <c r="AB285" s="438">
        <f t="shared" si="452"/>
        <v>26.515672431138778</v>
      </c>
      <c r="AC285" s="439">
        <f t="shared" si="452"/>
        <v>27.979948169330076</v>
      </c>
      <c r="AD285" s="436">
        <f t="shared" si="452"/>
        <v>53.252277214539006</v>
      </c>
      <c r="AE285" s="437">
        <f t="shared" si="452"/>
        <v>27.44159284209929</v>
      </c>
      <c r="AF285" s="437">
        <f t="shared" si="452"/>
        <v>27.44159284209929</v>
      </c>
      <c r="AG285" s="438">
        <f t="shared" si="452"/>
        <v>28.755723775042775</v>
      </c>
      <c r="AH285" s="439">
        <f t="shared" si="452"/>
        <v>33.496736953747124</v>
      </c>
      <c r="AI285" s="436">
        <f t="shared" si="452"/>
        <v>31.118161176560179</v>
      </c>
      <c r="AJ285" s="437">
        <f t="shared" si="452"/>
        <v>21.780537398596373</v>
      </c>
      <c r="AK285" s="437">
        <f t="shared" si="452"/>
        <v>24.524383572412471</v>
      </c>
      <c r="AL285" s="438">
        <f t="shared" si="452"/>
        <v>22.101070259009521</v>
      </c>
      <c r="AM285" s="439">
        <f t="shared" si="452"/>
        <v>24.969431877046958</v>
      </c>
      <c r="AN285" s="436">
        <f t="shared" si="452"/>
        <v>20.516041724995205</v>
      </c>
      <c r="AO285" s="437">
        <f t="shared" si="452"/>
        <v>21.298453364306454</v>
      </c>
      <c r="AP285" s="437">
        <f t="shared" si="452"/>
        <v>26.187969022732474</v>
      </c>
      <c r="AQ285" s="438">
        <f t="shared" si="452"/>
        <v>24.107412624820366</v>
      </c>
      <c r="AR285" s="439">
        <f t="shared" si="452"/>
        <v>23.416556532220675</v>
      </c>
      <c r="AS285" s="436">
        <f t="shared" si="452"/>
        <v>23.453365792597808</v>
      </c>
      <c r="AT285" s="437">
        <f t="shared" si="452"/>
        <v>23.616933955158693</v>
      </c>
      <c r="AU285" s="437">
        <f t="shared" si="452"/>
        <v>23.655339571402376</v>
      </c>
      <c r="AV285" s="438">
        <f t="shared" si="452"/>
        <v>25.748441454956801</v>
      </c>
      <c r="AW285" s="439">
        <f t="shared" si="452"/>
        <v>24.11527564446903</v>
      </c>
      <c r="AX285" s="436">
        <f>AX$75*(1-$I285)+AX$144</f>
        <v>25.748441454956801</v>
      </c>
      <c r="AY285" s="437">
        <f>AY$75*(1-$I285)+AY$144</f>
        <v>22.216874999999998</v>
      </c>
      <c r="AZ285" s="437">
        <f t="shared" ref="AZ285:BL285" si="453">AZ$75*(1-$N285)+AZ$144</f>
        <v>24.926625000000001</v>
      </c>
      <c r="BA285" s="438">
        <f t="shared" si="453"/>
        <v>22.590375000000002</v>
      </c>
      <c r="BB285" s="439">
        <f t="shared" si="453"/>
        <v>23.883243849909981</v>
      </c>
      <c r="BC285" s="436">
        <f t="shared" si="453"/>
        <v>27.420417958581563</v>
      </c>
      <c r="BD285" s="437">
        <f t="shared" si="453"/>
        <v>21.335613923578638</v>
      </c>
      <c r="BE285" s="437">
        <f t="shared" si="453"/>
        <v>23.255580451584933</v>
      </c>
      <c r="BF285" s="438">
        <f t="shared" si="453"/>
        <v>21.980276916191869</v>
      </c>
      <c r="BG285" s="439">
        <f>BG$75*(1-$N285)+BG$144</f>
        <v>23.558155769301518</v>
      </c>
      <c r="BH285" s="436">
        <f t="shared" si="453"/>
        <v>27.619956850353894</v>
      </c>
      <c r="BI285" s="437">
        <f t="shared" si="453"/>
        <v>21.47615360107449</v>
      </c>
      <c r="BJ285" s="437">
        <f t="shared" si="453"/>
        <v>23.40144903653534</v>
      </c>
      <c r="BK285" s="438">
        <f t="shared" si="453"/>
        <v>22.128834262036268</v>
      </c>
      <c r="BL285" s="439">
        <f t="shared" si="453"/>
        <v>23.716736630306301</v>
      </c>
      <c r="BM285" s="436">
        <f t="shared" ref="BM285:BQ285" si="454">BM$75*(1-$N285)+BM$144</f>
        <v>25.573060193431942</v>
      </c>
      <c r="BN285" s="437">
        <f t="shared" si="454"/>
        <v>25.573060193431942</v>
      </c>
      <c r="BO285" s="437">
        <f t="shared" si="454"/>
        <v>25.573060193431942</v>
      </c>
      <c r="BP285" s="438">
        <f t="shared" si="454"/>
        <v>25.573060193431942</v>
      </c>
      <c r="BQ285" s="439">
        <f t="shared" si="454"/>
        <v>25.734554068553464</v>
      </c>
      <c r="BR285" s="40"/>
      <c r="BT285" s="40"/>
      <c r="BU285" s="232"/>
      <c r="BV285" s="40" t="s">
        <v>99</v>
      </c>
      <c r="BX285" s="1134"/>
      <c r="BY285" s="1134">
        <f>+AR87</f>
        <v>26.784544734181729</v>
      </c>
      <c r="BZ285" s="1134"/>
      <c r="CA285" s="40"/>
      <c r="CB285" s="40"/>
      <c r="CC285" s="40"/>
      <c r="CD285" s="40"/>
      <c r="CE285" s="40"/>
      <c r="CF285" s="40"/>
      <c r="CG285" s="40"/>
      <c r="CH285" s="40"/>
      <c r="CI285" s="40"/>
      <c r="CJ285" s="40"/>
      <c r="CK285" s="40"/>
      <c r="CL285" s="40"/>
      <c r="CM285" s="40"/>
      <c r="CN285" s="40"/>
      <c r="CO285" s="40"/>
      <c r="CP285" s="40"/>
      <c r="CQ285" s="40"/>
      <c r="CR285" s="40"/>
      <c r="CS285" s="40"/>
      <c r="CT285" s="823"/>
      <c r="CU285" s="232"/>
      <c r="CV285" s="232"/>
      <c r="CW285" s="232"/>
      <c r="CX285" s="232"/>
      <c r="CY285" s="232"/>
      <c r="CZ285" s="40"/>
      <c r="DA285" s="40"/>
      <c r="DB285" s="40"/>
      <c r="DC285" s="40"/>
      <c r="DD285" s="40"/>
      <c r="DE285" s="40"/>
      <c r="DF285" s="232"/>
      <c r="DG285" s="232"/>
      <c r="DH285" s="232"/>
      <c r="DI285" s="232"/>
      <c r="DJ285" s="232"/>
      <c r="DK285" s="232"/>
      <c r="DL285" s="232"/>
      <c r="DM285" s="232"/>
      <c r="DN285" s="232"/>
    </row>
    <row r="286" spans="1:118">
      <c r="A286" s="40"/>
      <c r="B286" s="1"/>
      <c r="C286" s="28" t="s">
        <v>195</v>
      </c>
      <c r="D286" s="1"/>
      <c r="E286" s="273"/>
      <c r="F286" s="3"/>
      <c r="G286" s="3"/>
      <c r="H286" s="274"/>
      <c r="I286" s="28"/>
      <c r="J286" s="273"/>
      <c r="K286" s="3"/>
      <c r="L286" s="3"/>
      <c r="M286" s="274"/>
      <c r="N286" s="1"/>
      <c r="O286" s="273"/>
      <c r="P286" s="3"/>
      <c r="Q286" s="3"/>
      <c r="R286" s="274"/>
      <c r="S286" s="1"/>
      <c r="T286" s="436"/>
      <c r="U286" s="437"/>
      <c r="V286" s="437"/>
      <c r="W286" s="438"/>
      <c r="X286" s="439"/>
      <c r="Y286" s="436">
        <f t="shared" ref="Y286:BQ286" si="455">+Y$273</f>
        <v>8.5</v>
      </c>
      <c r="Z286" s="437">
        <f t="shared" si="455"/>
        <v>8.5</v>
      </c>
      <c r="AA286" s="437">
        <f t="shared" si="455"/>
        <v>8.5</v>
      </c>
      <c r="AB286" s="438">
        <f t="shared" si="455"/>
        <v>8.5</v>
      </c>
      <c r="AC286" s="439">
        <f t="shared" si="455"/>
        <v>8.5</v>
      </c>
      <c r="AD286" s="436">
        <f t="shared" si="455"/>
        <v>8.5</v>
      </c>
      <c r="AE286" s="437">
        <f t="shared" si="455"/>
        <v>7.5</v>
      </c>
      <c r="AF286" s="437">
        <f t="shared" si="455"/>
        <v>7.5</v>
      </c>
      <c r="AG286" s="438">
        <f t="shared" si="455"/>
        <v>7.5</v>
      </c>
      <c r="AH286" s="439">
        <f t="shared" si="455"/>
        <v>7.5</v>
      </c>
      <c r="AI286" s="436">
        <f t="shared" si="455"/>
        <v>7.7250000000000005</v>
      </c>
      <c r="AJ286" s="437">
        <f t="shared" si="455"/>
        <v>7.7250000000000005</v>
      </c>
      <c r="AK286" s="437">
        <f t="shared" si="455"/>
        <v>7.7250000000000005</v>
      </c>
      <c r="AL286" s="438">
        <f t="shared" si="455"/>
        <v>7.7250000000000005</v>
      </c>
      <c r="AM286" s="439">
        <f t="shared" si="455"/>
        <v>7.7250000000000005</v>
      </c>
      <c r="AN286" s="436">
        <f t="shared" si="455"/>
        <v>7.9567500000000004</v>
      </c>
      <c r="AO286" s="437">
        <f t="shared" si="455"/>
        <v>7.9567500000000004</v>
      </c>
      <c r="AP286" s="437">
        <f t="shared" si="455"/>
        <v>7.9567500000000004</v>
      </c>
      <c r="AQ286" s="438">
        <f t="shared" si="455"/>
        <v>7.9567500000000004</v>
      </c>
      <c r="AR286" s="439">
        <f t="shared" si="455"/>
        <v>7.9567500000000004</v>
      </c>
      <c r="AS286" s="436">
        <f t="shared" si="455"/>
        <v>8.5</v>
      </c>
      <c r="AT286" s="437">
        <f t="shared" si="455"/>
        <v>8.5</v>
      </c>
      <c r="AU286" s="437">
        <f t="shared" si="455"/>
        <v>8.5</v>
      </c>
      <c r="AV286" s="438">
        <f t="shared" si="455"/>
        <v>8.5</v>
      </c>
      <c r="AW286" s="439">
        <f t="shared" si="455"/>
        <v>8.5</v>
      </c>
      <c r="AX286" s="436">
        <f t="shared" si="455"/>
        <v>8</v>
      </c>
      <c r="AY286" s="437">
        <f t="shared" si="455"/>
        <v>8</v>
      </c>
      <c r="AZ286" s="437">
        <f t="shared" si="455"/>
        <v>8</v>
      </c>
      <c r="BA286" s="438">
        <f t="shared" si="455"/>
        <v>8</v>
      </c>
      <c r="BB286" s="439">
        <f t="shared" si="455"/>
        <v>8</v>
      </c>
      <c r="BC286" s="436">
        <f t="shared" si="455"/>
        <v>7.75</v>
      </c>
      <c r="BD286" s="437">
        <f t="shared" si="455"/>
        <v>7.75</v>
      </c>
      <c r="BE286" s="437">
        <f t="shared" si="455"/>
        <v>7.75</v>
      </c>
      <c r="BF286" s="438">
        <f t="shared" si="455"/>
        <v>7.75</v>
      </c>
      <c r="BG286" s="439">
        <f>+BG$273</f>
        <v>7.75</v>
      </c>
      <c r="BH286" s="436">
        <f t="shared" si="455"/>
        <v>7.25</v>
      </c>
      <c r="BI286" s="437">
        <f t="shared" si="455"/>
        <v>7.25</v>
      </c>
      <c r="BJ286" s="437">
        <f t="shared" si="455"/>
        <v>7.25</v>
      </c>
      <c r="BK286" s="438">
        <f t="shared" si="455"/>
        <v>7.25</v>
      </c>
      <c r="BL286" s="439">
        <f t="shared" si="455"/>
        <v>7.25</v>
      </c>
      <c r="BM286" s="436">
        <f t="shared" si="455"/>
        <v>7.25</v>
      </c>
      <c r="BN286" s="437">
        <f t="shared" si="455"/>
        <v>7.25</v>
      </c>
      <c r="BO286" s="437">
        <f t="shared" si="455"/>
        <v>7.25</v>
      </c>
      <c r="BP286" s="438">
        <f t="shared" si="455"/>
        <v>7.25</v>
      </c>
      <c r="BQ286" s="439">
        <f t="shared" si="455"/>
        <v>7.25</v>
      </c>
      <c r="BR286" s="40"/>
      <c r="BT286" s="40"/>
      <c r="BU286" s="232"/>
      <c r="BV286" s="40" t="s">
        <v>102</v>
      </c>
      <c r="BX286" s="233"/>
      <c r="BY286" s="233">
        <v>190</v>
      </c>
      <c r="BZ286" s="233"/>
      <c r="CA286" s="40"/>
      <c r="CB286" s="40"/>
      <c r="CC286" s="40"/>
      <c r="CD286" s="40"/>
      <c r="CE286" s="40"/>
      <c r="CF286" s="40"/>
      <c r="CG286" s="40"/>
      <c r="CH286" s="40"/>
      <c r="CI286" s="40"/>
      <c r="CJ286" s="40"/>
      <c r="CK286" s="40"/>
      <c r="CL286" s="40"/>
      <c r="CM286" s="40"/>
      <c r="CN286" s="40"/>
      <c r="CO286" s="40"/>
      <c r="CP286" s="40"/>
      <c r="CQ286" s="40"/>
      <c r="CR286" s="40"/>
      <c r="CS286" s="40"/>
      <c r="CT286" s="823"/>
      <c r="CU286" s="232"/>
      <c r="CV286" s="232"/>
      <c r="CW286" s="232"/>
      <c r="CX286" s="232"/>
      <c r="CY286" s="232"/>
      <c r="CZ286" s="40"/>
      <c r="DA286" s="40"/>
      <c r="DB286" s="40"/>
      <c r="DC286" s="40"/>
      <c r="DD286" s="40"/>
      <c r="DE286" s="40"/>
      <c r="DF286" s="232"/>
      <c r="DG286" s="232"/>
      <c r="DH286" s="232"/>
      <c r="DI286" s="232"/>
      <c r="DJ286" s="232"/>
      <c r="DK286" s="232"/>
      <c r="DL286" s="232"/>
      <c r="DM286" s="232"/>
      <c r="DN286" s="232"/>
    </row>
    <row r="287" spans="1:118">
      <c r="A287" s="40"/>
      <c r="B287" s="1"/>
      <c r="C287" s="1"/>
      <c r="D287" s="1"/>
      <c r="E287" s="273"/>
      <c r="F287" s="3"/>
      <c r="G287" s="3"/>
      <c r="H287" s="274"/>
      <c r="I287" s="28"/>
      <c r="J287" s="273"/>
      <c r="K287" s="3"/>
      <c r="L287" s="3"/>
      <c r="M287" s="274"/>
      <c r="N287" s="1"/>
      <c r="O287" s="273"/>
      <c r="P287" s="3"/>
      <c r="Q287" s="3"/>
      <c r="R287" s="274"/>
      <c r="S287" s="1"/>
      <c r="T287" s="273"/>
      <c r="U287" s="3"/>
      <c r="V287" s="3"/>
      <c r="W287" s="274"/>
      <c r="X287" s="1"/>
      <c r="Y287" s="273"/>
      <c r="Z287" s="3"/>
      <c r="AA287" s="3"/>
      <c r="AB287" s="274"/>
      <c r="AC287" s="1"/>
      <c r="AD287" s="273"/>
      <c r="AE287" s="3"/>
      <c r="AF287" s="3"/>
      <c r="AG287" s="274"/>
      <c r="AH287" s="1"/>
      <c r="AI287" s="273"/>
      <c r="AJ287" s="3"/>
      <c r="AK287" s="3"/>
      <c r="AL287" s="274"/>
      <c r="AM287" s="1"/>
      <c r="AN287" s="273"/>
      <c r="AO287" s="3"/>
      <c r="AP287" s="3"/>
      <c r="AQ287" s="274"/>
      <c r="AR287" s="1"/>
      <c r="AS287" s="273"/>
      <c r="AT287" s="3"/>
      <c r="AU287" s="3"/>
      <c r="AV287" s="274"/>
      <c r="AW287" s="1"/>
      <c r="AX287" s="273"/>
      <c r="AY287" s="3"/>
      <c r="AZ287" s="3"/>
      <c r="BA287" s="274"/>
      <c r="BB287" s="1"/>
      <c r="BC287" s="273"/>
      <c r="BD287" s="3"/>
      <c r="BE287" s="3"/>
      <c r="BF287" s="274"/>
      <c r="BG287" s="1"/>
      <c r="BH287" s="273"/>
      <c r="BI287" s="3"/>
      <c r="BJ287" s="3"/>
      <c r="BK287" s="274"/>
      <c r="BL287" s="1"/>
      <c r="BM287" s="273"/>
      <c r="BN287" s="3"/>
      <c r="BO287" s="3"/>
      <c r="BP287" s="274"/>
      <c r="BQ287" s="1"/>
      <c r="BR287" s="40"/>
      <c r="BT287" s="40"/>
      <c r="BU287" s="232"/>
      <c r="BV287" s="40" t="s">
        <v>104</v>
      </c>
      <c r="BX287" s="1135"/>
      <c r="BY287" s="1135">
        <v>6</v>
      </c>
      <c r="BZ287" s="1135"/>
      <c r="CA287" s="40"/>
      <c r="CB287" s="40"/>
      <c r="CC287" s="40"/>
      <c r="CD287" s="40"/>
      <c r="CE287" s="40"/>
      <c r="CF287" s="40"/>
      <c r="CG287" s="40"/>
      <c r="CH287" s="40"/>
      <c r="CI287" s="40"/>
      <c r="CJ287" s="40"/>
      <c r="CK287" s="40"/>
      <c r="CL287" s="40"/>
      <c r="CM287" s="40"/>
      <c r="CN287" s="40"/>
      <c r="CO287" s="40"/>
      <c r="CP287" s="40"/>
      <c r="CQ287" s="40"/>
      <c r="CR287" s="40"/>
      <c r="CS287" s="40"/>
      <c r="CT287" s="823"/>
      <c r="CU287" s="232"/>
      <c r="CV287" s="232"/>
      <c r="CW287" s="232"/>
      <c r="CX287" s="232"/>
      <c r="CY287" s="232"/>
      <c r="CZ287" s="40"/>
      <c r="DA287" s="40"/>
      <c r="DB287" s="40"/>
      <c r="DC287" s="40"/>
      <c r="DD287" s="40"/>
      <c r="DE287" s="40"/>
      <c r="DF287" s="232"/>
      <c r="DG287" s="232"/>
      <c r="DH287" s="232"/>
      <c r="DI287" s="232"/>
      <c r="DJ287" s="232"/>
      <c r="DK287" s="232"/>
      <c r="DL287" s="232"/>
      <c r="DM287" s="232"/>
      <c r="DN287" s="232"/>
    </row>
    <row r="288" spans="1:118">
      <c r="A288" s="40"/>
      <c r="B288" s="1"/>
      <c r="C288" s="32" t="s">
        <v>196</v>
      </c>
      <c r="D288" s="32"/>
      <c r="E288" s="292"/>
      <c r="F288" s="261"/>
      <c r="G288" s="261"/>
      <c r="H288" s="293"/>
      <c r="I288" s="884">
        <f>2389+2347+2320+1845</f>
        <v>8901</v>
      </c>
      <c r="J288" s="292"/>
      <c r="K288" s="261"/>
      <c r="L288" s="261"/>
      <c r="M288" s="293"/>
      <c r="N288" s="228"/>
      <c r="O288" s="292"/>
      <c r="P288" s="261"/>
      <c r="Q288" s="261"/>
      <c r="R288" s="293"/>
      <c r="S288" s="228"/>
      <c r="T288" s="292"/>
      <c r="U288" s="261"/>
      <c r="V288" s="261"/>
      <c r="W288" s="293"/>
      <c r="X288" s="669"/>
      <c r="Y288" s="292">
        <f>+I288</f>
        <v>8901</v>
      </c>
      <c r="Z288" s="261">
        <f t="shared" ref="Z288:BL288" si="456">Y288</f>
        <v>8901</v>
      </c>
      <c r="AA288" s="261">
        <f t="shared" si="456"/>
        <v>8901</v>
      </c>
      <c r="AB288" s="293">
        <f t="shared" si="456"/>
        <v>8901</v>
      </c>
      <c r="AC288" s="228">
        <f t="shared" si="456"/>
        <v>8901</v>
      </c>
      <c r="AD288" s="292">
        <f t="shared" si="456"/>
        <v>8901</v>
      </c>
      <c r="AE288" s="261">
        <f t="shared" si="456"/>
        <v>8901</v>
      </c>
      <c r="AF288" s="261">
        <f t="shared" si="456"/>
        <v>8901</v>
      </c>
      <c r="AG288" s="293">
        <f t="shared" si="456"/>
        <v>8901</v>
      </c>
      <c r="AH288" s="228">
        <f t="shared" si="456"/>
        <v>8901</v>
      </c>
      <c r="AI288" s="292">
        <f t="shared" si="456"/>
        <v>8901</v>
      </c>
      <c r="AJ288" s="261">
        <f t="shared" si="456"/>
        <v>8901</v>
      </c>
      <c r="AK288" s="261">
        <f t="shared" si="456"/>
        <v>8901</v>
      </c>
      <c r="AL288" s="293">
        <f t="shared" si="456"/>
        <v>8901</v>
      </c>
      <c r="AM288" s="228">
        <f t="shared" si="456"/>
        <v>8901</v>
      </c>
      <c r="AN288" s="292">
        <f t="shared" si="456"/>
        <v>8901</v>
      </c>
      <c r="AO288" s="261">
        <f t="shared" si="456"/>
        <v>8901</v>
      </c>
      <c r="AP288" s="261">
        <f t="shared" si="456"/>
        <v>8901</v>
      </c>
      <c r="AQ288" s="293">
        <f t="shared" si="456"/>
        <v>8901</v>
      </c>
      <c r="AR288" s="228">
        <f t="shared" si="456"/>
        <v>8901</v>
      </c>
      <c r="AS288" s="292">
        <f t="shared" si="456"/>
        <v>8901</v>
      </c>
      <c r="AT288" s="261">
        <f t="shared" si="456"/>
        <v>8901</v>
      </c>
      <c r="AU288" s="261">
        <f t="shared" ref="AU288" si="457">AT288</f>
        <v>8901</v>
      </c>
      <c r="AV288" s="293">
        <f t="shared" si="456"/>
        <v>8901</v>
      </c>
      <c r="AW288" s="228">
        <f t="shared" si="456"/>
        <v>8901</v>
      </c>
      <c r="AX288" s="292">
        <f t="shared" si="456"/>
        <v>8901</v>
      </c>
      <c r="AY288" s="261">
        <f t="shared" si="456"/>
        <v>8901</v>
      </c>
      <c r="AZ288" s="261">
        <f t="shared" si="456"/>
        <v>8901</v>
      </c>
      <c r="BA288" s="293">
        <f t="shared" si="456"/>
        <v>8901</v>
      </c>
      <c r="BB288" s="228">
        <f t="shared" si="456"/>
        <v>8901</v>
      </c>
      <c r="BC288" s="292">
        <f t="shared" si="456"/>
        <v>8901</v>
      </c>
      <c r="BD288" s="261">
        <f t="shared" si="456"/>
        <v>8901</v>
      </c>
      <c r="BE288" s="261">
        <f t="shared" si="456"/>
        <v>8901</v>
      </c>
      <c r="BF288" s="293">
        <f t="shared" si="456"/>
        <v>8901</v>
      </c>
      <c r="BG288" s="228">
        <f>BF288</f>
        <v>8901</v>
      </c>
      <c r="BH288" s="292">
        <f>BG288</f>
        <v>8901</v>
      </c>
      <c r="BI288" s="261">
        <f t="shared" si="456"/>
        <v>8901</v>
      </c>
      <c r="BJ288" s="261">
        <f t="shared" si="456"/>
        <v>8901</v>
      </c>
      <c r="BK288" s="293">
        <f t="shared" si="456"/>
        <v>8901</v>
      </c>
      <c r="BL288" s="228">
        <f t="shared" si="456"/>
        <v>8901</v>
      </c>
      <c r="BM288" s="292">
        <f t="shared" ref="BM288" si="458">BL288</f>
        <v>8901</v>
      </c>
      <c r="BN288" s="261">
        <f t="shared" ref="BN288" si="459">BM288</f>
        <v>8901</v>
      </c>
      <c r="BO288" s="261">
        <f t="shared" ref="BO288" si="460">BN288</f>
        <v>8901</v>
      </c>
      <c r="BP288" s="293">
        <f t="shared" ref="BP288" si="461">BO288</f>
        <v>8901</v>
      </c>
      <c r="BQ288" s="228">
        <f t="shared" ref="BQ288" si="462">BP288</f>
        <v>8901</v>
      </c>
      <c r="BR288" s="40"/>
      <c r="BT288" s="40"/>
      <c r="BU288" s="232"/>
      <c r="BV288" s="156" t="s">
        <v>106</v>
      </c>
      <c r="BX288" s="989"/>
      <c r="BY288" s="989">
        <f>((BY283*8.76*BY284*BY285/1000)+(BY283*BY286*0.365/1000))*BY287</f>
        <v>173.23889525987332</v>
      </c>
      <c r="BZ288" s="989"/>
      <c r="CA288" s="40"/>
      <c r="CB288" s="40"/>
      <c r="CC288" s="40"/>
      <c r="CD288" s="40"/>
      <c r="CE288" s="40"/>
      <c r="CF288" s="40"/>
      <c r="CG288" s="40"/>
      <c r="CH288" s="40"/>
      <c r="CI288" s="40"/>
      <c r="CJ288" s="40"/>
      <c r="CK288" s="40"/>
      <c r="CL288" s="40"/>
      <c r="CM288" s="40"/>
      <c r="CN288" s="40"/>
      <c r="CO288" s="40"/>
      <c r="CP288" s="40"/>
      <c r="CQ288" s="40"/>
      <c r="CR288" s="40"/>
      <c r="CS288" s="40"/>
      <c r="CT288" s="823"/>
      <c r="CU288" s="232"/>
      <c r="CV288" s="232"/>
      <c r="CW288" s="232"/>
      <c r="CX288" s="232"/>
      <c r="CY288" s="232"/>
      <c r="CZ288" s="40"/>
      <c r="DA288" s="40"/>
      <c r="DB288" s="40"/>
      <c r="DC288" s="40"/>
      <c r="DD288" s="40"/>
      <c r="DE288" s="40"/>
      <c r="DF288" s="232"/>
      <c r="DG288" s="232"/>
      <c r="DH288" s="232"/>
      <c r="DI288" s="232"/>
      <c r="DJ288" s="232"/>
      <c r="DK288" s="232"/>
      <c r="DL288" s="232"/>
      <c r="DM288" s="232"/>
      <c r="DN288" s="232"/>
    </row>
    <row r="289" spans="1:118">
      <c r="A289" s="40"/>
      <c r="B289" s="1"/>
      <c r="C289" s="1"/>
      <c r="D289" s="1"/>
      <c r="E289" s="273"/>
      <c r="F289" s="3"/>
      <c r="G289" s="3"/>
      <c r="H289" s="274"/>
      <c r="I289" s="28"/>
      <c r="J289" s="273"/>
      <c r="K289" s="3"/>
      <c r="L289" s="3"/>
      <c r="M289" s="274"/>
      <c r="N289" s="1"/>
      <c r="O289" s="273"/>
      <c r="P289" s="3"/>
      <c r="Q289" s="3"/>
      <c r="R289" s="274"/>
      <c r="S289" s="1"/>
      <c r="T289" s="273"/>
      <c r="U289" s="3"/>
      <c r="V289" s="3"/>
      <c r="W289" s="274"/>
      <c r="X289" s="1"/>
      <c r="Y289" s="273"/>
      <c r="Z289" s="3"/>
      <c r="AA289" s="3"/>
      <c r="AB289" s="274"/>
      <c r="AC289" s="1"/>
      <c r="AD289" s="273"/>
      <c r="AE289" s="3"/>
      <c r="AF289" s="3"/>
      <c r="AG289" s="274"/>
      <c r="AH289" s="1"/>
      <c r="AI289" s="273"/>
      <c r="AJ289" s="3"/>
      <c r="AK289" s="3"/>
      <c r="AL289" s="274"/>
      <c r="AM289" s="1"/>
      <c r="AN289" s="273"/>
      <c r="AO289" s="3"/>
      <c r="AP289" s="3"/>
      <c r="AQ289" s="274"/>
      <c r="AR289" s="1"/>
      <c r="AS289" s="2243"/>
      <c r="AT289" s="2244"/>
      <c r="AU289" s="2244"/>
      <c r="AV289" s="2245"/>
      <c r="AW289" s="1"/>
      <c r="AX289" s="273"/>
      <c r="AY289" s="3"/>
      <c r="AZ289" s="3"/>
      <c r="BA289" s="274"/>
      <c r="BB289" s="1"/>
      <c r="BC289" s="273"/>
      <c r="BD289" s="3"/>
      <c r="BE289" s="3"/>
      <c r="BF289" s="274"/>
      <c r="BG289" s="1"/>
      <c r="BH289" s="273"/>
      <c r="BI289" s="3"/>
      <c r="BJ289" s="3"/>
      <c r="BK289" s="274"/>
      <c r="BL289" s="1"/>
      <c r="BM289" s="273"/>
      <c r="BN289" s="3"/>
      <c r="BO289" s="3"/>
      <c r="BP289" s="274"/>
      <c r="BQ289" s="1"/>
      <c r="BR289" s="40"/>
      <c r="BT289" s="40"/>
      <c r="BU289" s="232"/>
      <c r="BX289" s="40"/>
      <c r="BY289" s="40"/>
      <c r="BZ289" s="40"/>
      <c r="CA289" s="40"/>
      <c r="CB289" s="40"/>
      <c r="CC289" s="40"/>
      <c r="CD289" s="40"/>
      <c r="CE289" s="40"/>
      <c r="CF289" s="40"/>
      <c r="CG289" s="40"/>
      <c r="CH289" s="40"/>
      <c r="CI289" s="40"/>
      <c r="CJ289" s="40"/>
      <c r="CK289" s="40"/>
      <c r="CL289" s="40"/>
      <c r="CM289" s="40"/>
      <c r="CN289" s="40"/>
      <c r="CO289" s="40"/>
      <c r="CP289" s="40"/>
      <c r="CQ289" s="40"/>
      <c r="CR289" s="40"/>
      <c r="CS289" s="40"/>
      <c r="CT289" s="823"/>
      <c r="CU289" s="232"/>
      <c r="CV289" s="232"/>
      <c r="CW289" s="232"/>
      <c r="CX289" s="232"/>
      <c r="CY289" s="232"/>
      <c r="CZ289" s="40"/>
      <c r="DA289" s="40"/>
      <c r="DB289" s="40"/>
      <c r="DC289" s="40"/>
      <c r="DD289" s="40"/>
      <c r="DE289" s="40"/>
      <c r="DF289" s="232"/>
      <c r="DG289" s="232"/>
      <c r="DH289" s="232"/>
      <c r="DI289" s="232"/>
      <c r="DJ289" s="232"/>
      <c r="DK289" s="232"/>
      <c r="DL289" s="232"/>
      <c r="DM289" s="232"/>
      <c r="DN289" s="232"/>
    </row>
    <row r="290" spans="1:118">
      <c r="A290" s="40"/>
      <c r="B290" s="1"/>
      <c r="C290" s="28" t="s">
        <v>197</v>
      </c>
      <c r="D290" s="1"/>
      <c r="E290" s="273"/>
      <c r="F290" s="3"/>
      <c r="G290" s="3"/>
      <c r="H290" s="274"/>
      <c r="I290" s="544">
        <v>0.92500000000000004</v>
      </c>
      <c r="J290" s="273"/>
      <c r="K290" s="3"/>
      <c r="L290" s="3"/>
      <c r="M290" s="274"/>
      <c r="N290" s="1"/>
      <c r="O290" s="273"/>
      <c r="P290" s="3"/>
      <c r="Q290" s="3"/>
      <c r="R290" s="274"/>
      <c r="S290" s="1"/>
      <c r="T290" s="277"/>
      <c r="U290" s="253"/>
      <c r="V290" s="253"/>
      <c r="W290" s="278"/>
      <c r="X290" s="765"/>
      <c r="Y290" s="277">
        <f>+I290</f>
        <v>0.92500000000000004</v>
      </c>
      <c r="Z290" s="253">
        <f>+Y290</f>
        <v>0.92500000000000004</v>
      </c>
      <c r="AA290" s="253">
        <f>+Z290</f>
        <v>0.92500000000000004</v>
      </c>
      <c r="AB290" s="278">
        <f>+AA290</f>
        <v>0.92500000000000004</v>
      </c>
      <c r="AC290" s="765">
        <f>IF(AVERAGE(Y288:AB288)=0,0,AC291/(AVERAGE(Y288:AB288)*8.76))</f>
        <v>0.92500000000000027</v>
      </c>
      <c r="AD290" s="277">
        <f>+AB290</f>
        <v>0.92500000000000004</v>
      </c>
      <c r="AE290" s="253">
        <f>+AD290</f>
        <v>0.92500000000000004</v>
      </c>
      <c r="AF290" s="253">
        <f>+AA290</f>
        <v>0.92500000000000004</v>
      </c>
      <c r="AG290" s="278">
        <f>+AB290</f>
        <v>0.92500000000000004</v>
      </c>
      <c r="AH290" s="765">
        <f>IF(AVERAGE(AD288:AG288)=0,0,AH291/(AVERAGE(AD288:AG288)*8.76))</f>
        <v>0.92500000000000027</v>
      </c>
      <c r="AI290" s="277">
        <f>+AG290</f>
        <v>0.92500000000000004</v>
      </c>
      <c r="AJ290" s="253">
        <f>+AE290</f>
        <v>0.92500000000000004</v>
      </c>
      <c r="AK290" s="253">
        <f>+AF290</f>
        <v>0.92500000000000004</v>
      </c>
      <c r="AL290" s="278">
        <f>+AG290</f>
        <v>0.92500000000000004</v>
      </c>
      <c r="AM290" s="765">
        <f>IF(AVERAGE(AI288:AL288)=0,0,AM291/(AVERAGE(AI288:AL288)*8.76))</f>
        <v>0.92500000000000027</v>
      </c>
      <c r="AN290" s="277">
        <f>+$I$277</f>
        <v>0.93</v>
      </c>
      <c r="AO290" s="253">
        <f>+AJ290</f>
        <v>0.92500000000000004</v>
      </c>
      <c r="AP290" s="253">
        <f>+AK290</f>
        <v>0.92500000000000004</v>
      </c>
      <c r="AQ290" s="278">
        <f>+AL290</f>
        <v>0.92500000000000004</v>
      </c>
      <c r="AR290" s="765">
        <f>IF(AVERAGE(AN288:AQ288)=0,0,AR291/(AVERAGE(AN288:AQ288)*8.76))</f>
        <v>0.92625000000000024</v>
      </c>
      <c r="AS290" s="2061">
        <v>0.96</v>
      </c>
      <c r="AT290" s="2246">
        <v>0.96</v>
      </c>
      <c r="AU290" s="2246">
        <v>0.96</v>
      </c>
      <c r="AV290" s="2247">
        <v>0.96</v>
      </c>
      <c r="AW290" s="765">
        <f>IF(AVERAGE(AS288:AV288)=0,0,AW291/(AVERAGE(AS288:AV288)*8.76))</f>
        <v>0.95999999999999985</v>
      </c>
      <c r="AX290" s="277">
        <f>+AV290</f>
        <v>0.96</v>
      </c>
      <c r="AY290" s="253">
        <f>+AT290</f>
        <v>0.96</v>
      </c>
      <c r="AZ290" s="253">
        <f>+AU290</f>
        <v>0.96</v>
      </c>
      <c r="BA290" s="278">
        <f>+AV290</f>
        <v>0.96</v>
      </c>
      <c r="BB290" s="765">
        <f>IF(AVERAGE(AX288:BA288)=0,0,BB291/(AVERAGE(AX288:BA288)*8.76))</f>
        <v>0.95999999999999985</v>
      </c>
      <c r="BC290" s="277">
        <f>+BA290</f>
        <v>0.96</v>
      </c>
      <c r="BD290" s="253">
        <f>+AY290</f>
        <v>0.96</v>
      </c>
      <c r="BE290" s="253">
        <f>+AZ290</f>
        <v>0.96</v>
      </c>
      <c r="BF290" s="278">
        <f>+BA290</f>
        <v>0.96</v>
      </c>
      <c r="BG290" s="765">
        <f>IF(AVERAGE(BC288:BF288)=0,0,BG291/(AVERAGE(BC288:BF288)*8.76))</f>
        <v>0.95999999999999985</v>
      </c>
      <c r="BH290" s="2061">
        <v>0.75</v>
      </c>
      <c r="BI290" s="253">
        <f>+BD290</f>
        <v>0.96</v>
      </c>
      <c r="BJ290" s="253">
        <f>+BE290</f>
        <v>0.96</v>
      </c>
      <c r="BK290" s="278">
        <f>+BF290</f>
        <v>0.96</v>
      </c>
      <c r="BL290" s="765">
        <f>IF(AVERAGE(BH288:BK288)=0,0,BL291/(AVERAGE(BH288:BK288)*8.76))</f>
        <v>0.90749999999999986</v>
      </c>
      <c r="BM290" s="277">
        <f>+BK290</f>
        <v>0.96</v>
      </c>
      <c r="BN290" s="253">
        <f>+BI290</f>
        <v>0.96</v>
      </c>
      <c r="BO290" s="253">
        <f>+BJ290</f>
        <v>0.96</v>
      </c>
      <c r="BP290" s="278">
        <f>+BK290</f>
        <v>0.96</v>
      </c>
      <c r="BQ290" s="765">
        <f>IF(AVERAGE(BM288:BP288)=0,0,BQ291/(AVERAGE(BM288:BP288)*8.76))</f>
        <v>0.95999999999999985</v>
      </c>
      <c r="BR290" s="40"/>
      <c r="BT290" s="40"/>
      <c r="BU290" s="232"/>
      <c r="BV290" s="40" t="s">
        <v>103</v>
      </c>
      <c r="BX290" s="233"/>
      <c r="BY290" s="233">
        <v>2800</v>
      </c>
      <c r="BZ290" s="233"/>
      <c r="CA290" s="40"/>
      <c r="CB290" s="40"/>
      <c r="CC290" s="40"/>
      <c r="CD290" s="40"/>
      <c r="CE290" s="40"/>
      <c r="CF290" s="40"/>
      <c r="CG290" s="40"/>
      <c r="CH290" s="40"/>
      <c r="CI290" s="40"/>
      <c r="CJ290" s="40"/>
      <c r="CK290" s="40"/>
      <c r="CL290" s="40"/>
      <c r="CM290" s="40"/>
      <c r="CN290" s="40"/>
      <c r="CO290" s="40"/>
      <c r="CP290" s="40"/>
      <c r="CQ290" s="40"/>
      <c r="CR290" s="40"/>
      <c r="CS290" s="40"/>
      <c r="CT290" s="823"/>
      <c r="CU290" s="232"/>
      <c r="CV290" s="232"/>
      <c r="CW290" s="232"/>
      <c r="CX290" s="232"/>
      <c r="CY290" s="232"/>
      <c r="CZ290" s="40"/>
      <c r="DA290" s="40"/>
      <c r="DB290" s="40"/>
      <c r="DC290" s="40"/>
      <c r="DD290" s="40"/>
      <c r="DE290" s="40"/>
      <c r="DF290" s="232"/>
      <c r="DG290" s="232"/>
      <c r="DH290" s="232"/>
      <c r="DI290" s="232"/>
      <c r="DJ290" s="232"/>
      <c r="DK290" s="232"/>
      <c r="DL290" s="232"/>
      <c r="DM290" s="232"/>
      <c r="DN290" s="232"/>
    </row>
    <row r="291" spans="1:118">
      <c r="A291" s="40"/>
      <c r="B291" s="1"/>
      <c r="C291" s="32" t="s">
        <v>198</v>
      </c>
      <c r="D291" s="32"/>
      <c r="E291" s="489"/>
      <c r="F291" s="342"/>
      <c r="G291" s="342"/>
      <c r="H291" s="490"/>
      <c r="I291" s="32"/>
      <c r="J291" s="489"/>
      <c r="K291" s="342"/>
      <c r="L291" s="342"/>
      <c r="M291" s="490"/>
      <c r="N291" s="458"/>
      <c r="O291" s="489"/>
      <c r="P291" s="342"/>
      <c r="Q291" s="342"/>
      <c r="R291" s="490"/>
      <c r="S291" s="32"/>
      <c r="T291" s="301"/>
      <c r="U291" s="265"/>
      <c r="V291" s="265"/>
      <c r="W291" s="302"/>
      <c r="X291" s="445"/>
      <c r="Y291" s="301">
        <f>(Y288*Y290*(8760/1000))/4</f>
        <v>18031.200750000004</v>
      </c>
      <c r="Z291" s="265">
        <f>(Z288*Z290*(8760/1000))/4</f>
        <v>18031.200750000004</v>
      </c>
      <c r="AA291" s="265">
        <f>(AA288*AA290*(8760/1000))/4</f>
        <v>18031.200750000004</v>
      </c>
      <c r="AB291" s="302">
        <f>(AB288*AB290*(8760/1000))/4</f>
        <v>18031.200750000004</v>
      </c>
      <c r="AC291" s="445">
        <f>SUM(Y291:AB291)</f>
        <v>72124.803000000014</v>
      </c>
      <c r="AD291" s="301">
        <f>(AD288*AD290*(8760/1000))/4</f>
        <v>18031.200750000004</v>
      </c>
      <c r="AE291" s="265">
        <f>(AE288*AE290*(8760/1000))/4</f>
        <v>18031.200750000004</v>
      </c>
      <c r="AF291" s="265">
        <f>(AF288*AF290*(8760/1000))/4</f>
        <v>18031.200750000004</v>
      </c>
      <c r="AG291" s="302">
        <f>(AG288*AG290*(8760/1000))/4</f>
        <v>18031.200750000004</v>
      </c>
      <c r="AH291" s="445">
        <f>SUM(AD291:AG291)</f>
        <v>72124.803000000014</v>
      </c>
      <c r="AI291" s="301">
        <f>(AI288*AI290*(8760/1000))/4</f>
        <v>18031.200750000004</v>
      </c>
      <c r="AJ291" s="265">
        <f>(AJ288*AJ290*(8760/1000))/4</f>
        <v>18031.200750000004</v>
      </c>
      <c r="AK291" s="265">
        <f>(AK288*AK290*(8760/1000))/4</f>
        <v>18031.200750000004</v>
      </c>
      <c r="AL291" s="302">
        <f>(AL288*AL290*(8760/1000))/4</f>
        <v>18031.200750000004</v>
      </c>
      <c r="AM291" s="445">
        <f>SUM(AI291:AL291)</f>
        <v>72124.803000000014</v>
      </c>
      <c r="AN291" s="301">
        <f>(AN288*AN290*(8760/1000))/4</f>
        <v>18128.666700000002</v>
      </c>
      <c r="AO291" s="265">
        <f>(AO288*AO290*(8760/1000))/4</f>
        <v>18031.200750000004</v>
      </c>
      <c r="AP291" s="265">
        <f>(AP288*AP290*(8760/1000))/4</f>
        <v>18031.200750000004</v>
      </c>
      <c r="AQ291" s="302">
        <f>(AQ288*AQ290*(8760/1000))/4</f>
        <v>18031.200750000004</v>
      </c>
      <c r="AR291" s="445">
        <f>SUM(AN291:AQ291)</f>
        <v>72222.268950000012</v>
      </c>
      <c r="AS291" s="301">
        <f>(AS288*AS290*(8760/1000))/4</f>
        <v>18713.462399999997</v>
      </c>
      <c r="AT291" s="265">
        <f>(AT288*AT290*(8760/1000))/4</f>
        <v>18713.462399999997</v>
      </c>
      <c r="AU291" s="265">
        <f>(AU288*AU290*(8760/1000))/4</f>
        <v>18713.462399999997</v>
      </c>
      <c r="AV291" s="302">
        <f>(AV288*AV290*(8760/1000))/4</f>
        <v>18713.462399999997</v>
      </c>
      <c r="AW291" s="445">
        <f>SUM(AS291:AV291)</f>
        <v>74853.849599999987</v>
      </c>
      <c r="AX291" s="301">
        <f>(AX288*AX290*(8760/1000))/4</f>
        <v>18713.462399999997</v>
      </c>
      <c r="AY291" s="265">
        <f>(AY288*AY290*(8760/1000))/4</f>
        <v>18713.462399999997</v>
      </c>
      <c r="AZ291" s="265">
        <f>(AZ288*AZ290*(8760/1000))/4</f>
        <v>18713.462399999997</v>
      </c>
      <c r="BA291" s="302">
        <f>(BA288*BA290*(8760/1000))/4</f>
        <v>18713.462399999997</v>
      </c>
      <c r="BB291" s="445">
        <f>SUM(AX291:BA291)</f>
        <v>74853.849599999987</v>
      </c>
      <c r="BC291" s="301">
        <f>(BC288*BC290*(8760/1000))/4</f>
        <v>18713.462399999997</v>
      </c>
      <c r="BD291" s="265">
        <f>(BD288*BD290*(8760/1000))/4</f>
        <v>18713.462399999997</v>
      </c>
      <c r="BE291" s="265">
        <f>(BE288*BE290*(8760/1000))/4</f>
        <v>18713.462399999997</v>
      </c>
      <c r="BF291" s="302">
        <f>(BF288*BF290*(8760/1000))/4</f>
        <v>18713.462399999997</v>
      </c>
      <c r="BG291" s="445">
        <f>SUM(BC291:BF291)</f>
        <v>74853.849599999987</v>
      </c>
      <c r="BH291" s="301">
        <f>(BH288*BH290*(8760/1000))/4</f>
        <v>14619.8925</v>
      </c>
      <c r="BI291" s="265">
        <f>(BI288*BI290*(8760/1000))/4</f>
        <v>18713.462399999997</v>
      </c>
      <c r="BJ291" s="265">
        <f>(BJ288*BJ290*(8760/1000))/4</f>
        <v>18713.462399999997</v>
      </c>
      <c r="BK291" s="302">
        <f>(BK288*BK290*(8760/1000))/4</f>
        <v>18713.462399999997</v>
      </c>
      <c r="BL291" s="445">
        <f>SUM(BH291:BK291)</f>
        <v>70760.279699999985</v>
      </c>
      <c r="BM291" s="301">
        <f>(BM288*BM290*(8760/1000))/4</f>
        <v>18713.462399999997</v>
      </c>
      <c r="BN291" s="265">
        <f>(BN288*BN290*(8760/1000))/4</f>
        <v>18713.462399999997</v>
      </c>
      <c r="BO291" s="265">
        <f>(BO288*BO290*(8760/1000))/4</f>
        <v>18713.462399999997</v>
      </c>
      <c r="BP291" s="302">
        <f>(BP288*BP290*(8760/1000))/4</f>
        <v>18713.462399999997</v>
      </c>
      <c r="BQ291" s="445">
        <f>SUM(BM291:BP291)</f>
        <v>74853.849599999987</v>
      </c>
      <c r="BR291" s="40"/>
      <c r="BT291" s="40"/>
      <c r="BU291" s="232"/>
      <c r="BV291" s="156" t="s">
        <v>105</v>
      </c>
      <c r="BX291" s="1026"/>
      <c r="BY291" s="1026">
        <f>+BY290*BY283/1000</f>
        <v>280</v>
      </c>
      <c r="BZ291" s="1026"/>
      <c r="CA291" s="40"/>
      <c r="CB291" s="40"/>
      <c r="CC291" s="40"/>
      <c r="CD291" s="40"/>
      <c r="CE291" s="40"/>
      <c r="CF291" s="40"/>
      <c r="CG291" s="40"/>
      <c r="CH291" s="40"/>
      <c r="CI291" s="40"/>
      <c r="CJ291" s="40"/>
      <c r="CK291" s="40"/>
      <c r="CL291" s="40"/>
      <c r="CM291" s="40"/>
      <c r="CN291" s="40"/>
      <c r="CO291" s="40"/>
      <c r="CP291" s="40"/>
      <c r="CQ291" s="40"/>
      <c r="CR291" s="40"/>
      <c r="CS291" s="40"/>
      <c r="CT291" s="823"/>
      <c r="CU291" s="232"/>
      <c r="CV291" s="232"/>
      <c r="CW291" s="232"/>
      <c r="CX291" s="232"/>
      <c r="CY291" s="232"/>
      <c r="CZ291" s="40"/>
      <c r="DA291" s="40"/>
      <c r="DB291" s="40"/>
      <c r="DC291" s="40"/>
      <c r="DD291" s="40"/>
      <c r="DE291" s="40"/>
      <c r="DF291" s="232"/>
      <c r="DG291" s="232"/>
      <c r="DH291" s="232"/>
      <c r="DI291" s="232"/>
      <c r="DJ291" s="232"/>
      <c r="DK291" s="232"/>
      <c r="DL291" s="232"/>
      <c r="DM291" s="232"/>
      <c r="DN291" s="232"/>
    </row>
    <row r="292" spans="1:118">
      <c r="A292" s="40"/>
      <c r="B292" s="1"/>
      <c r="C292" s="1"/>
      <c r="D292" s="1"/>
      <c r="E292" s="273"/>
      <c r="F292" s="3"/>
      <c r="G292" s="3"/>
      <c r="H292" s="274"/>
      <c r="I292" s="28"/>
      <c r="J292" s="273"/>
      <c r="K292" s="3"/>
      <c r="L292" s="3"/>
      <c r="M292" s="274"/>
      <c r="N292" s="1"/>
      <c r="O292" s="273"/>
      <c r="P292" s="3"/>
      <c r="Q292" s="3"/>
      <c r="R292" s="274"/>
      <c r="S292" s="1"/>
      <c r="T292" s="273"/>
      <c r="U292" s="3"/>
      <c r="V292" s="3"/>
      <c r="W292" s="274"/>
      <c r="X292" s="1"/>
      <c r="Y292" s="273"/>
      <c r="Z292" s="3"/>
      <c r="AA292" s="3"/>
      <c r="AB292" s="274"/>
      <c r="AC292" s="1"/>
      <c r="AD292" s="273"/>
      <c r="AE292" s="3"/>
      <c r="AF292" s="3"/>
      <c r="AG292" s="274"/>
      <c r="AH292" s="1"/>
      <c r="AI292" s="273"/>
      <c r="AJ292" s="3"/>
      <c r="AK292" s="3"/>
      <c r="AL292" s="274"/>
      <c r="AM292" s="1"/>
      <c r="AN292" s="273"/>
      <c r="AO292" s="3"/>
      <c r="AP292" s="3"/>
      <c r="AQ292" s="274"/>
      <c r="AR292" s="1"/>
      <c r="AS292" s="273"/>
      <c r="AT292" s="3"/>
      <c r="AU292" s="3"/>
      <c r="AV292" s="274"/>
      <c r="AW292" s="1"/>
      <c r="AX292" s="273"/>
      <c r="AY292" s="3"/>
      <c r="AZ292" s="3"/>
      <c r="BA292" s="274"/>
      <c r="BB292" s="1"/>
      <c r="BC292" s="273"/>
      <c r="BD292" s="3"/>
      <c r="BE292" s="3"/>
      <c r="BF292" s="274"/>
      <c r="BG292" s="1"/>
      <c r="BH292" s="273"/>
      <c r="BI292" s="3"/>
      <c r="BJ292" s="3"/>
      <c r="BK292" s="274"/>
      <c r="BL292" s="1"/>
      <c r="BM292" s="273"/>
      <c r="BN292" s="3"/>
      <c r="BO292" s="3"/>
      <c r="BP292" s="274"/>
      <c r="BQ292" s="1"/>
      <c r="BR292" s="40"/>
      <c r="BT292" s="40"/>
      <c r="BU292" s="232"/>
      <c r="BV292" s="40"/>
      <c r="BW292" s="40"/>
      <c r="BX292" s="40"/>
      <c r="BY292" s="40"/>
      <c r="BZ292" s="40"/>
      <c r="CA292" s="40"/>
      <c r="CB292" s="40"/>
      <c r="CC292" s="40"/>
      <c r="CD292" s="40"/>
      <c r="CE292" s="40"/>
      <c r="CF292" s="40"/>
      <c r="CG292" s="40"/>
      <c r="CH292" s="40"/>
      <c r="CI292" s="40"/>
      <c r="CJ292" s="40"/>
      <c r="CK292" s="40"/>
      <c r="CL292" s="40"/>
      <c r="CM292" s="40"/>
      <c r="CN292" s="40"/>
      <c r="CO292" s="40"/>
      <c r="CP292" s="40"/>
      <c r="CQ292" s="40"/>
      <c r="CR292" s="40"/>
      <c r="CS292" s="40"/>
      <c r="CT292" s="823"/>
      <c r="CU292" s="232"/>
      <c r="CV292" s="232"/>
      <c r="CW292" s="232"/>
      <c r="CX292" s="232"/>
      <c r="CY292" s="232"/>
      <c r="CZ292" s="40"/>
      <c r="DA292" s="40"/>
      <c r="DB292" s="40"/>
      <c r="DC292" s="40"/>
      <c r="DD292" s="40"/>
      <c r="DE292" s="40"/>
      <c r="DF292" s="232"/>
      <c r="DG292" s="232"/>
      <c r="DH292" s="232"/>
      <c r="DI292" s="232"/>
      <c r="DJ292" s="232"/>
      <c r="DK292" s="232"/>
      <c r="DL292" s="232"/>
      <c r="DM292" s="232"/>
      <c r="DN292" s="232"/>
    </row>
    <row r="293" spans="1:118">
      <c r="A293" s="40"/>
      <c r="B293" s="1"/>
      <c r="C293" s="28" t="s">
        <v>797</v>
      </c>
      <c r="D293" s="1"/>
      <c r="E293" s="273"/>
      <c r="F293" s="3"/>
      <c r="G293" s="3"/>
      <c r="H293" s="274"/>
      <c r="I293" s="28"/>
      <c r="J293" s="273"/>
      <c r="K293" s="3"/>
      <c r="L293" s="3"/>
      <c r="M293" s="274"/>
      <c r="N293" s="1"/>
      <c r="O293" s="273"/>
      <c r="P293" s="3"/>
      <c r="Q293" s="3"/>
      <c r="R293" s="274"/>
      <c r="S293" s="1"/>
      <c r="T293" s="758"/>
      <c r="U293" s="660"/>
      <c r="V293" s="660"/>
      <c r="W293" s="661"/>
      <c r="X293" s="428"/>
      <c r="Y293" s="758">
        <f>(Y285/1000*Y291)</f>
        <v>499.45328724938037</v>
      </c>
      <c r="Z293" s="660">
        <f>(Z285/1000*Z291)</f>
        <v>508.26046066728713</v>
      </c>
      <c r="AA293" s="660">
        <f>(AA285/1000*AA291)</f>
        <v>524.29368773050589</v>
      </c>
      <c r="AB293" s="661">
        <f>(AB285/1000*AB291)</f>
        <v>478.10941262710395</v>
      </c>
      <c r="AC293" s="428">
        <f>SUM(Y293:AB293)</f>
        <v>2010.1168482742771</v>
      </c>
      <c r="AD293" s="758">
        <f>(AD285/1000*AD291)</f>
        <v>960.20250085000384</v>
      </c>
      <c r="AE293" s="660">
        <f>(AE285/1000*AE291)</f>
        <v>494.80486943565546</v>
      </c>
      <c r="AF293" s="660">
        <f>(AF285/1000*AF291)</f>
        <v>494.80486943565546</v>
      </c>
      <c r="AG293" s="661">
        <f>(AG285/1000*AG291)</f>
        <v>518.50022809934421</v>
      </c>
      <c r="AH293" s="428">
        <f>SUM(AD293:AG293)</f>
        <v>2468.3124678206591</v>
      </c>
      <c r="AI293" s="758">
        <f>(AI285/1000*AI291)</f>
        <v>561.09781114541283</v>
      </c>
      <c r="AJ293" s="660">
        <f>(AJ285/1000*AJ291)</f>
        <v>392.72924227697405</v>
      </c>
      <c r="AK293" s="660">
        <f>(AK285/1000*AK291)</f>
        <v>442.2040834641715</v>
      </c>
      <c r="AL293" s="661">
        <f>(AL285/1000*AL291)</f>
        <v>398.50883463005528</v>
      </c>
      <c r="AM293" s="428">
        <f>SUM(AI293:AL293)</f>
        <v>1794.5399715166136</v>
      </c>
      <c r="AN293" s="758">
        <f>(AN285/1000*AN291)</f>
        <v>371.92848243573115</v>
      </c>
      <c r="AO293" s="660">
        <f>(AO285/1000*AO291)</f>
        <v>384.03668827632265</v>
      </c>
      <c r="AP293" s="660">
        <f>(AP285/1000*AP291)</f>
        <v>472.20052668367066</v>
      </c>
      <c r="AQ293" s="661">
        <f>(AQ285/1000*AQ291)</f>
        <v>434.68559660122054</v>
      </c>
      <c r="AR293" s="428">
        <f>SUM(AN293:AQ293)</f>
        <v>1662.8512939969451</v>
      </c>
      <c r="AS293" s="758">
        <f>(AS285/1000*AS291)</f>
        <v>438.89367891322519</v>
      </c>
      <c r="AT293" s="660">
        <f>(AT285/1000*AT291)</f>
        <v>441.95460557314539</v>
      </c>
      <c r="AU293" s="660">
        <f t="shared" ref="AU293" si="463">(AU285/1000*AU291)</f>
        <v>442.67330762867039</v>
      </c>
      <c r="AV293" s="661">
        <f>(AV285/1000*AV291)</f>
        <v>481.84249102593532</v>
      </c>
      <c r="AW293" s="428">
        <f>SUM(AS293:AV293)</f>
        <v>1805.3640831409764</v>
      </c>
      <c r="AX293" s="758">
        <f>(AX285/1000*AX291)</f>
        <v>481.84249102593532</v>
      </c>
      <c r="AY293" s="660">
        <f>(AY285/1000*AY291)</f>
        <v>415.75465495799989</v>
      </c>
      <c r="AZ293" s="660">
        <f>(AZ285/1000*AZ291)</f>
        <v>466.46345969639992</v>
      </c>
      <c r="BA293" s="661">
        <f>(BA285/1000*BA291)</f>
        <v>422.74413316439995</v>
      </c>
      <c r="BB293" s="428">
        <f>SUM(AX293:BA293)</f>
        <v>1786.8047388447351</v>
      </c>
      <c r="BC293" s="758">
        <f>(BC285/1000*BC291)</f>
        <v>513.13096046020075</v>
      </c>
      <c r="BD293" s="660">
        <f>(BD285/1000*BD291)</f>
        <v>399.26320893980522</v>
      </c>
      <c r="BE293" s="660">
        <f>(BE285/1000*BE291)</f>
        <v>435.19243037090962</v>
      </c>
      <c r="BF293" s="661">
        <f>(BF285/1000*BF291)</f>
        <v>411.32708561274444</v>
      </c>
      <c r="BG293" s="428">
        <f>SUM(BC293:BF293)</f>
        <v>1758.9136853836601</v>
      </c>
      <c r="BH293" s="758">
        <f>(BH285/1000*BH291)</f>
        <v>403.80080000681249</v>
      </c>
      <c r="BI293" s="660">
        <f>(BI285/1000*BI291)</f>
        <v>401.893192910332</v>
      </c>
      <c r="BJ293" s="660">
        <f>(BJ285/1000*BJ291)</f>
        <v>437.92213665072023</v>
      </c>
      <c r="BK293" s="661">
        <f>(BK285/1000*BK291)</f>
        <v>414.10710791844735</v>
      </c>
      <c r="BL293" s="428">
        <f>SUM(BH293:BK293)</f>
        <v>1657.723237486312</v>
      </c>
      <c r="BM293" s="758">
        <f>(BM285/1000*BM291)</f>
        <v>478.56050038272531</v>
      </c>
      <c r="BN293" s="660">
        <f>(BN285/1000*BN291)</f>
        <v>478.56050038272531</v>
      </c>
      <c r="BO293" s="660">
        <f>(BO285/1000*BO291)</f>
        <v>478.56050038272531</v>
      </c>
      <c r="BP293" s="661">
        <f>(BP285/1000*BP291)</f>
        <v>478.56050038272531</v>
      </c>
      <c r="BQ293" s="428">
        <f>SUM(BM293:BP293)</f>
        <v>1914.2420015309012</v>
      </c>
      <c r="BR293" s="40"/>
      <c r="BT293" s="40"/>
      <c r="BU293" s="232"/>
      <c r="BV293" s="40"/>
      <c r="BW293" s="40"/>
      <c r="BX293" s="40"/>
      <c r="BY293" s="40"/>
      <c r="BZ293" s="40"/>
      <c r="CA293" s="40"/>
      <c r="CB293" s="40"/>
      <c r="CC293" s="40"/>
      <c r="CD293" s="40"/>
      <c r="CE293" s="40"/>
      <c r="CF293" s="40"/>
      <c r="CG293" s="40"/>
      <c r="CH293" s="40"/>
      <c r="CI293" s="40"/>
      <c r="CJ293" s="40"/>
      <c r="CK293" s="40"/>
      <c r="CL293" s="40"/>
      <c r="CM293" s="40"/>
      <c r="CN293" s="40"/>
      <c r="CO293" s="40"/>
      <c r="CP293" s="40"/>
      <c r="CQ293" s="40"/>
      <c r="CR293" s="40"/>
      <c r="CS293" s="40"/>
      <c r="CT293" s="823"/>
      <c r="CU293" s="232"/>
      <c r="CV293" s="232"/>
      <c r="CW293" s="232"/>
      <c r="CX293" s="232"/>
      <c r="CY293" s="232"/>
      <c r="CZ293" s="40"/>
      <c r="DA293" s="40"/>
      <c r="DB293" s="40"/>
      <c r="DC293" s="40"/>
      <c r="DD293" s="40"/>
      <c r="DE293" s="40"/>
      <c r="DF293" s="232"/>
      <c r="DG293" s="232"/>
      <c r="DH293" s="232"/>
      <c r="DI293" s="232"/>
      <c r="DJ293" s="232"/>
      <c r="DK293" s="232"/>
      <c r="DL293" s="232"/>
      <c r="DM293" s="232"/>
      <c r="DN293" s="232"/>
    </row>
    <row r="294" spans="1:118">
      <c r="A294" s="40"/>
      <c r="B294" s="1"/>
      <c r="C294" s="28" t="s">
        <v>278</v>
      </c>
      <c r="D294" s="1"/>
      <c r="E294" s="273"/>
      <c r="F294" s="3"/>
      <c r="G294" s="3"/>
      <c r="H294" s="274"/>
      <c r="I294" s="28"/>
      <c r="J294" s="273"/>
      <c r="K294" s="3"/>
      <c r="L294" s="3"/>
      <c r="M294" s="274"/>
      <c r="N294" s="1"/>
      <c r="O294" s="273"/>
      <c r="P294" s="3"/>
      <c r="Q294" s="3"/>
      <c r="R294" s="274"/>
      <c r="S294" s="1"/>
      <c r="T294" s="758"/>
      <c r="U294" s="660"/>
      <c r="V294" s="660"/>
      <c r="W294" s="661"/>
      <c r="X294" s="428"/>
      <c r="Y294" s="758">
        <f>Y286/1000*Y291</f>
        <v>153.26520637500005</v>
      </c>
      <c r="Z294" s="660">
        <f>Z286/1000*Z291</f>
        <v>153.26520637500005</v>
      </c>
      <c r="AA294" s="660">
        <f>AA286/1000*AA291</f>
        <v>153.26520637500005</v>
      </c>
      <c r="AB294" s="661">
        <f>AB286/1000*AB291</f>
        <v>153.26520637500005</v>
      </c>
      <c r="AC294" s="428">
        <f>SUM(Y294:AB294)</f>
        <v>613.06082550000019</v>
      </c>
      <c r="AD294" s="758">
        <f>AD286/1000*AD291</f>
        <v>153.26520637500005</v>
      </c>
      <c r="AE294" s="660">
        <f>AE286/1000*AE291</f>
        <v>135.23400562500001</v>
      </c>
      <c r="AF294" s="660">
        <f>AF286/1000*AF291</f>
        <v>135.23400562500001</v>
      </c>
      <c r="AG294" s="661">
        <f>AG286/1000*AG291</f>
        <v>135.23400562500001</v>
      </c>
      <c r="AH294" s="428">
        <f>SUM(AD294:AG294)</f>
        <v>558.96722325000007</v>
      </c>
      <c r="AI294" s="758">
        <f>AI286/1000*AI291</f>
        <v>139.29102579375004</v>
      </c>
      <c r="AJ294" s="660">
        <f>AJ286/1000*AJ291</f>
        <v>139.29102579375004</v>
      </c>
      <c r="AK294" s="660">
        <f>AK286/1000*AK291</f>
        <v>139.29102579375004</v>
      </c>
      <c r="AL294" s="661">
        <f>AL286/1000*AL291</f>
        <v>139.29102579375004</v>
      </c>
      <c r="AM294" s="428">
        <f>SUM(AI294:AL294)</f>
        <v>557.16410317500015</v>
      </c>
      <c r="AN294" s="758">
        <f>AN286/1000*AN291</f>
        <v>144.24526876522501</v>
      </c>
      <c r="AO294" s="660">
        <f>AO286/1000*AO291</f>
        <v>143.46975656756254</v>
      </c>
      <c r="AP294" s="660">
        <f>AP286/1000*AP291</f>
        <v>143.46975656756254</v>
      </c>
      <c r="AQ294" s="661">
        <f>AQ286/1000*AQ291</f>
        <v>143.46975656756254</v>
      </c>
      <c r="AR294" s="428">
        <f>SUM(AN294:AQ294)</f>
        <v>574.65453846791263</v>
      </c>
      <c r="AS294" s="758">
        <f>AS286/1000*AS291</f>
        <v>159.06443039999999</v>
      </c>
      <c r="AT294" s="660">
        <f>AT286/1000*AT291</f>
        <v>159.06443039999999</v>
      </c>
      <c r="AU294" s="660">
        <f t="shared" ref="AU294" si="464">AU286/1000*AU291</f>
        <v>159.06443039999999</v>
      </c>
      <c r="AV294" s="661">
        <f>AV286/1000*AV291</f>
        <v>159.06443039999999</v>
      </c>
      <c r="AW294" s="428">
        <f>SUM(AS294:AV294)</f>
        <v>636.25772159999997</v>
      </c>
      <c r="AX294" s="758">
        <f>AX286/1000*AX291</f>
        <v>149.70769919999998</v>
      </c>
      <c r="AY294" s="660">
        <f>AY286/1000*AY291</f>
        <v>149.70769919999998</v>
      </c>
      <c r="AZ294" s="660">
        <f>AZ286/1000*AZ291</f>
        <v>149.70769919999998</v>
      </c>
      <c r="BA294" s="661">
        <f>BA286/1000*BA291</f>
        <v>149.70769919999998</v>
      </c>
      <c r="BB294" s="428">
        <f>SUM(AX294:BA294)</f>
        <v>598.83079679999992</v>
      </c>
      <c r="BC294" s="758">
        <f>BC286/1000*BC291</f>
        <v>145.02933359999997</v>
      </c>
      <c r="BD294" s="660">
        <f>BD286/1000*BD291</f>
        <v>145.02933359999997</v>
      </c>
      <c r="BE294" s="660">
        <f>BE286/1000*BE291</f>
        <v>145.02933359999997</v>
      </c>
      <c r="BF294" s="661">
        <f>BF286/1000*BF291</f>
        <v>145.02933359999997</v>
      </c>
      <c r="BG294" s="428">
        <f>SUM(BC294:BF294)</f>
        <v>580.11733439999989</v>
      </c>
      <c r="BH294" s="758">
        <f>BH286/1000*BH291</f>
        <v>105.99422062500001</v>
      </c>
      <c r="BI294" s="660">
        <f>BI286/1000*BI291</f>
        <v>135.67260239999999</v>
      </c>
      <c r="BJ294" s="660">
        <f>BJ286/1000*BJ291</f>
        <v>135.67260239999999</v>
      </c>
      <c r="BK294" s="661">
        <f>BK286/1000*BK291</f>
        <v>135.67260239999999</v>
      </c>
      <c r="BL294" s="428">
        <f>SUM(BH294:BK294)</f>
        <v>513.0120278249999</v>
      </c>
      <c r="BM294" s="758">
        <f>BM286/1000*BM291</f>
        <v>135.67260239999999</v>
      </c>
      <c r="BN294" s="660">
        <f>BN286/1000*BN291</f>
        <v>135.67260239999999</v>
      </c>
      <c r="BO294" s="660">
        <f>BO286/1000*BO291</f>
        <v>135.67260239999999</v>
      </c>
      <c r="BP294" s="661">
        <f>BP286/1000*BP291</f>
        <v>135.67260239999999</v>
      </c>
      <c r="BQ294" s="428">
        <f>SUM(BM294:BP294)</f>
        <v>542.69040959999995</v>
      </c>
      <c r="BR294" s="40"/>
      <c r="BT294" s="40"/>
      <c r="BU294" s="232"/>
      <c r="BV294" s="40"/>
      <c r="BW294" s="40"/>
      <c r="BX294" s="40"/>
      <c r="BY294" s="40"/>
      <c r="BZ294" s="40"/>
      <c r="CA294" s="40"/>
      <c r="CB294" s="40"/>
      <c r="CC294" s="40"/>
      <c r="CD294" s="40"/>
      <c r="CE294" s="40"/>
      <c r="CF294" s="40"/>
      <c r="CG294" s="40"/>
      <c r="CH294" s="40"/>
      <c r="CI294" s="40"/>
      <c r="CJ294" s="40"/>
      <c r="CK294" s="40"/>
      <c r="CL294" s="40"/>
      <c r="CM294" s="40"/>
      <c r="CN294" s="40"/>
      <c r="CO294" s="40"/>
      <c r="CP294" s="40"/>
      <c r="CQ294" s="40"/>
      <c r="CR294" s="40"/>
      <c r="CS294" s="40"/>
      <c r="CT294" s="823"/>
      <c r="CU294" s="232"/>
      <c r="CV294" s="232"/>
      <c r="CW294" s="232"/>
      <c r="CX294" s="232"/>
      <c r="CY294" s="232"/>
      <c r="CZ294" s="40"/>
      <c r="DA294" s="40"/>
      <c r="DB294" s="40"/>
      <c r="DC294" s="40"/>
      <c r="DD294" s="40"/>
      <c r="DE294" s="40"/>
      <c r="DF294" s="232"/>
      <c r="DG294" s="232"/>
      <c r="DH294" s="232"/>
      <c r="DI294" s="232"/>
      <c r="DJ294" s="232"/>
      <c r="DK294" s="232"/>
      <c r="DL294" s="232"/>
      <c r="DM294" s="232"/>
      <c r="DN294" s="232"/>
    </row>
    <row r="295" spans="1:118">
      <c r="A295" s="40"/>
      <c r="B295" s="1"/>
      <c r="C295" s="32" t="s">
        <v>199</v>
      </c>
      <c r="D295" s="32"/>
      <c r="E295" s="489"/>
      <c r="F295" s="342"/>
      <c r="G295" s="342"/>
      <c r="H295" s="490"/>
      <c r="I295" s="28"/>
      <c r="J295" s="489"/>
      <c r="K295" s="342"/>
      <c r="L295" s="342"/>
      <c r="M295" s="490"/>
      <c r="N295" s="32"/>
      <c r="O295" s="489"/>
      <c r="P295" s="342"/>
      <c r="Q295" s="342"/>
      <c r="R295" s="490"/>
      <c r="S295" s="32"/>
      <c r="T295" s="292"/>
      <c r="U295" s="261"/>
      <c r="V295" s="261"/>
      <c r="W295" s="293"/>
      <c r="X295" s="228"/>
      <c r="Y295" s="292">
        <f t="shared" ref="Y295:BL295" si="465">Y293-Y294</f>
        <v>346.18808087438032</v>
      </c>
      <c r="Z295" s="261">
        <f t="shared" si="465"/>
        <v>354.99525429228709</v>
      </c>
      <c r="AA295" s="261">
        <f t="shared" si="465"/>
        <v>371.02848135550585</v>
      </c>
      <c r="AB295" s="293">
        <f t="shared" si="465"/>
        <v>324.8442062521039</v>
      </c>
      <c r="AC295" s="228">
        <f t="shared" si="465"/>
        <v>1397.0560227742769</v>
      </c>
      <c r="AD295" s="292">
        <f t="shared" si="465"/>
        <v>806.9372944750038</v>
      </c>
      <c r="AE295" s="261">
        <f t="shared" si="465"/>
        <v>359.57086381065545</v>
      </c>
      <c r="AF295" s="261">
        <f t="shared" si="465"/>
        <v>359.57086381065545</v>
      </c>
      <c r="AG295" s="293">
        <f t="shared" si="465"/>
        <v>383.2662224743442</v>
      </c>
      <c r="AH295" s="228">
        <f t="shared" si="465"/>
        <v>1909.3452445706589</v>
      </c>
      <c r="AI295" s="292">
        <f t="shared" si="465"/>
        <v>421.80678535166282</v>
      </c>
      <c r="AJ295" s="261">
        <f t="shared" si="465"/>
        <v>253.43821648322401</v>
      </c>
      <c r="AK295" s="261">
        <f t="shared" si="465"/>
        <v>302.91305767042149</v>
      </c>
      <c r="AL295" s="293">
        <f t="shared" si="465"/>
        <v>259.21780883630527</v>
      </c>
      <c r="AM295" s="228">
        <f t="shared" si="465"/>
        <v>1237.3758683416136</v>
      </c>
      <c r="AN295" s="292">
        <f t="shared" si="465"/>
        <v>227.68321367050615</v>
      </c>
      <c r="AO295" s="261">
        <f t="shared" si="465"/>
        <v>240.56693170876011</v>
      </c>
      <c r="AP295" s="261">
        <f t="shared" si="465"/>
        <v>328.73077011610815</v>
      </c>
      <c r="AQ295" s="293">
        <f t="shared" si="465"/>
        <v>291.21584003365797</v>
      </c>
      <c r="AR295" s="228">
        <f t="shared" si="465"/>
        <v>1088.1967555290325</v>
      </c>
      <c r="AS295" s="292">
        <f t="shared" si="465"/>
        <v>279.8292485132252</v>
      </c>
      <c r="AT295" s="261">
        <f t="shared" si="465"/>
        <v>282.89017517314539</v>
      </c>
      <c r="AU295" s="261">
        <f t="shared" ref="AU295" si="466">AU293-AU294</f>
        <v>283.60887722867039</v>
      </c>
      <c r="AV295" s="293">
        <f t="shared" si="465"/>
        <v>322.77806062593532</v>
      </c>
      <c r="AW295" s="228">
        <f t="shared" si="465"/>
        <v>1169.1063615409764</v>
      </c>
      <c r="AX295" s="292">
        <f t="shared" si="465"/>
        <v>332.13479182593534</v>
      </c>
      <c r="AY295" s="261">
        <f t="shared" si="465"/>
        <v>266.04695575799991</v>
      </c>
      <c r="AZ295" s="261">
        <f t="shared" si="465"/>
        <v>316.75576049639994</v>
      </c>
      <c r="BA295" s="293">
        <f t="shared" si="465"/>
        <v>273.03643396439998</v>
      </c>
      <c r="BB295" s="228">
        <f t="shared" si="465"/>
        <v>1187.9739420447352</v>
      </c>
      <c r="BC295" s="292">
        <f t="shared" si="465"/>
        <v>368.10162686020078</v>
      </c>
      <c r="BD295" s="261">
        <f t="shared" si="465"/>
        <v>254.23387533980525</v>
      </c>
      <c r="BE295" s="261">
        <f t="shared" si="465"/>
        <v>290.16309677090965</v>
      </c>
      <c r="BF295" s="293">
        <f t="shared" si="465"/>
        <v>266.29775201274447</v>
      </c>
      <c r="BG295" s="228">
        <f t="shared" si="465"/>
        <v>1178.7963509836602</v>
      </c>
      <c r="BH295" s="292">
        <f t="shared" si="465"/>
        <v>297.80657938181247</v>
      </c>
      <c r="BI295" s="261">
        <f t="shared" si="465"/>
        <v>266.22059051033204</v>
      </c>
      <c r="BJ295" s="261">
        <f t="shared" si="465"/>
        <v>302.24953425072022</v>
      </c>
      <c r="BK295" s="293">
        <f t="shared" si="465"/>
        <v>278.43450551844739</v>
      </c>
      <c r="BL295" s="228">
        <f t="shared" si="465"/>
        <v>1144.7112096613121</v>
      </c>
      <c r="BM295" s="292">
        <f t="shared" ref="BM295:BQ295" si="467">BM293-BM294</f>
        <v>342.88789798272535</v>
      </c>
      <c r="BN295" s="261">
        <f t="shared" si="467"/>
        <v>342.88789798272535</v>
      </c>
      <c r="BO295" s="261">
        <f t="shared" si="467"/>
        <v>342.88789798272535</v>
      </c>
      <c r="BP295" s="293">
        <f t="shared" si="467"/>
        <v>342.88789798272535</v>
      </c>
      <c r="BQ295" s="228">
        <f t="shared" si="467"/>
        <v>1371.5515919309014</v>
      </c>
      <c r="BT295" s="40"/>
      <c r="BU295" s="232"/>
      <c r="BV295" s="40"/>
      <c r="BW295" s="40"/>
      <c r="BX295" s="40"/>
      <c r="BY295" s="40"/>
      <c r="BZ295" s="40"/>
      <c r="CA295" s="40"/>
      <c r="CB295" s="40"/>
      <c r="CC295" s="40"/>
      <c r="CD295" s="40"/>
      <c r="CE295" s="40"/>
      <c r="CF295" s="40"/>
      <c r="CG295" s="40"/>
      <c r="CH295" s="40"/>
      <c r="CI295" s="40"/>
      <c r="CJ295" s="40"/>
      <c r="CK295" s="40"/>
      <c r="CL295" s="40"/>
      <c r="CM295" s="40"/>
      <c r="CN295" s="40"/>
      <c r="CO295" s="40"/>
      <c r="CP295" s="40"/>
      <c r="CQ295" s="40"/>
      <c r="CR295" s="40"/>
      <c r="CS295" s="40"/>
      <c r="CT295" s="823"/>
      <c r="CU295" s="232"/>
      <c r="CV295" s="232"/>
      <c r="CW295" s="232"/>
      <c r="CX295" s="232"/>
      <c r="CY295" s="232"/>
      <c r="CZ295" s="40"/>
      <c r="DA295" s="40"/>
      <c r="DB295" s="40"/>
      <c r="DC295" s="40"/>
      <c r="DD295" s="40"/>
      <c r="DE295" s="40"/>
      <c r="DF295" s="232"/>
      <c r="DG295" s="232"/>
      <c r="DH295" s="232"/>
      <c r="DI295" s="232"/>
      <c r="DJ295" s="232"/>
      <c r="DK295" s="232"/>
      <c r="DL295" s="232"/>
      <c r="DM295" s="232"/>
      <c r="DN295" s="232"/>
    </row>
    <row r="296" spans="1:118">
      <c r="A296" s="40"/>
      <c r="Y296" s="788"/>
      <c r="Z296" s="789"/>
      <c r="AA296" s="789"/>
      <c r="AB296" s="790"/>
      <c r="AC296" s="747"/>
      <c r="AD296" s="788"/>
      <c r="AE296" s="789"/>
      <c r="AF296" s="789"/>
      <c r="AG296" s="790"/>
      <c r="AH296" s="747"/>
      <c r="AI296" s="788"/>
      <c r="AJ296" s="789"/>
      <c r="AK296" s="789"/>
      <c r="AL296" s="790"/>
      <c r="AM296" s="747"/>
      <c r="AN296" s="788"/>
      <c r="AO296" s="789"/>
      <c r="AP296" s="789"/>
      <c r="AQ296" s="790"/>
      <c r="AR296" s="747"/>
      <c r="AS296" s="788"/>
      <c r="AT296" s="789"/>
      <c r="AU296" s="789"/>
      <c r="AV296" s="790"/>
      <c r="AW296" s="747"/>
      <c r="AX296" s="788"/>
      <c r="AY296" s="789"/>
      <c r="AZ296" s="789"/>
      <c r="BA296" s="790"/>
      <c r="BB296" s="747"/>
      <c r="BC296" s="788"/>
      <c r="BD296" s="789"/>
      <c r="BE296" s="789"/>
      <c r="BF296" s="790"/>
      <c r="BG296" s="747"/>
      <c r="BH296" s="788"/>
      <c r="BI296" s="789"/>
      <c r="BJ296" s="789"/>
      <c r="BK296" s="790"/>
      <c r="BL296" s="747"/>
      <c r="BM296" s="788"/>
      <c r="BN296" s="789"/>
      <c r="BO296" s="789"/>
      <c r="BP296" s="790"/>
      <c r="BQ296" s="747"/>
      <c r="BS296" s="40"/>
      <c r="BT296" s="40"/>
      <c r="BU296" s="232"/>
      <c r="BV296" s="40"/>
      <c r="BW296" s="40"/>
      <c r="BX296" s="40"/>
      <c r="BY296" s="40"/>
      <c r="BZ296" s="40"/>
      <c r="CA296" s="40"/>
      <c r="CB296" s="40"/>
      <c r="CC296" s="40"/>
      <c r="CD296" s="40"/>
      <c r="CE296" s="40"/>
      <c r="CF296" s="40"/>
      <c r="CG296" s="40"/>
      <c r="CH296" s="40"/>
      <c r="CI296" s="40"/>
      <c r="CJ296" s="40"/>
      <c r="CK296" s="40"/>
      <c r="CL296" s="40"/>
      <c r="CM296" s="40"/>
      <c r="CN296" s="40"/>
      <c r="CO296" s="40"/>
      <c r="CP296" s="40"/>
      <c r="CQ296" s="40"/>
      <c r="CR296" s="40"/>
      <c r="CS296" s="40"/>
      <c r="CT296" s="823"/>
      <c r="CU296" s="232"/>
      <c r="CV296" s="232"/>
      <c r="CW296" s="232"/>
      <c r="CX296" s="232"/>
      <c r="CY296" s="232"/>
      <c r="CZ296" s="40"/>
      <c r="DA296" s="40"/>
      <c r="DB296" s="40"/>
      <c r="DC296" s="40"/>
      <c r="DD296" s="40"/>
      <c r="DE296" s="40"/>
      <c r="DF296" s="232"/>
      <c r="DG296" s="232"/>
      <c r="DH296" s="232"/>
      <c r="DI296" s="232"/>
      <c r="DJ296" s="232"/>
      <c r="DK296" s="232"/>
      <c r="DL296" s="232"/>
      <c r="DM296" s="232"/>
      <c r="DN296" s="232"/>
    </row>
    <row r="297" spans="1:118">
      <c r="A297" s="40"/>
      <c r="B297" s="1"/>
      <c r="C297" s="429" t="s">
        <v>1435</v>
      </c>
      <c r="D297" s="1"/>
      <c r="E297" s="273"/>
      <c r="F297" s="3"/>
      <c r="G297" s="3"/>
      <c r="H297" s="274"/>
      <c r="I297" s="28"/>
      <c r="J297" s="273"/>
      <c r="K297" s="3"/>
      <c r="L297" s="3"/>
      <c r="M297" s="274"/>
      <c r="N297" s="1"/>
      <c r="O297" s="273"/>
      <c r="P297" s="3"/>
      <c r="Q297" s="3"/>
      <c r="R297" s="274"/>
      <c r="S297" s="1"/>
      <c r="T297" s="273"/>
      <c r="U297" s="3"/>
      <c r="V297" s="3"/>
      <c r="W297" s="274"/>
      <c r="X297" s="1"/>
      <c r="Y297" s="273"/>
      <c r="Z297" s="3"/>
      <c r="AA297" s="3"/>
      <c r="AB297" s="274"/>
      <c r="AC297" s="1"/>
      <c r="AD297" s="273"/>
      <c r="AE297" s="3"/>
      <c r="AF297" s="3"/>
      <c r="AG297" s="274"/>
      <c r="AH297" s="1"/>
      <c r="AI297" s="273"/>
      <c r="AJ297" s="3"/>
      <c r="AK297" s="3"/>
      <c r="AL297" s="274"/>
      <c r="AM297" s="1"/>
      <c r="AN297" s="273"/>
      <c r="AO297" s="3"/>
      <c r="AP297" s="3"/>
      <c r="AQ297" s="274"/>
      <c r="AR297" s="1"/>
      <c r="AS297" s="273"/>
      <c r="AT297" s="3"/>
      <c r="AU297" s="3"/>
      <c r="AV297" s="274"/>
      <c r="AW297" s="1"/>
      <c r="AX297" s="273"/>
      <c r="AY297" s="3"/>
      <c r="AZ297" s="3"/>
      <c r="BA297" s="274"/>
      <c r="BB297" s="1"/>
      <c r="BC297" s="273"/>
      <c r="BD297" s="3"/>
      <c r="BE297" s="3"/>
      <c r="BF297" s="274"/>
      <c r="BG297" s="1"/>
      <c r="BH297" s="273"/>
      <c r="BI297" s="3"/>
      <c r="BJ297" s="3"/>
      <c r="BK297" s="274"/>
      <c r="BL297" s="1"/>
      <c r="BM297" s="273"/>
      <c r="BN297" s="3"/>
      <c r="BO297" s="3"/>
      <c r="BP297" s="274"/>
      <c r="BQ297" s="1"/>
      <c r="BR297" s="1084"/>
      <c r="BT297" s="40"/>
      <c r="BU297" s="232"/>
      <c r="BV297" s="40" t="s">
        <v>1206</v>
      </c>
      <c r="BX297" s="1086"/>
      <c r="BY297" s="1086">
        <v>0.93500000000000005</v>
      </c>
      <c r="BZ297" s="1086"/>
      <c r="CA297" s="40"/>
      <c r="CB297" s="40"/>
      <c r="CC297" s="40"/>
      <c r="CD297" s="40"/>
      <c r="CE297" s="40"/>
      <c r="CF297" s="40"/>
      <c r="CG297" s="40"/>
      <c r="CH297" s="40"/>
      <c r="CI297" s="40"/>
      <c r="CJ297" s="40"/>
      <c r="CK297" s="40"/>
      <c r="CL297" s="40"/>
      <c r="CM297" s="40"/>
      <c r="CN297" s="40"/>
      <c r="CO297" s="40"/>
      <c r="CP297" s="40"/>
      <c r="CQ297" s="40"/>
      <c r="CR297" s="40"/>
      <c r="CS297" s="40"/>
      <c r="CT297" s="823"/>
      <c r="CU297" s="232"/>
      <c r="CV297" s="232"/>
      <c r="CW297" s="232"/>
      <c r="CX297" s="232"/>
      <c r="CY297" s="232"/>
      <c r="CZ297" s="40"/>
      <c r="DA297" s="40"/>
      <c r="DB297" s="40"/>
      <c r="DC297" s="40"/>
      <c r="DD297" s="40"/>
      <c r="DE297" s="40"/>
      <c r="DF297" s="232"/>
      <c r="DG297" s="232"/>
      <c r="DH297" s="232"/>
      <c r="DI297" s="232"/>
      <c r="DJ297" s="232"/>
      <c r="DK297" s="232"/>
      <c r="DL297" s="232"/>
      <c r="DM297" s="232"/>
      <c r="DN297" s="232"/>
    </row>
    <row r="298" spans="1:118">
      <c r="A298" s="40"/>
      <c r="B298" s="1"/>
      <c r="C298" s="28" t="s">
        <v>194</v>
      </c>
      <c r="D298" s="1"/>
      <c r="E298" s="273"/>
      <c r="F298" s="3"/>
      <c r="G298" s="3"/>
      <c r="H298" s="274"/>
      <c r="I298" s="544">
        <v>0.15</v>
      </c>
      <c r="J298" s="273"/>
      <c r="K298" s="3"/>
      <c r="L298" s="3"/>
      <c r="M298" s="274"/>
      <c r="N298" s="1"/>
      <c r="O298" s="273"/>
      <c r="P298" s="3"/>
      <c r="Q298" s="3"/>
      <c r="R298" s="274"/>
      <c r="S298" s="1"/>
      <c r="T298" s="436"/>
      <c r="U298" s="437"/>
      <c r="V298" s="437"/>
      <c r="W298" s="438"/>
      <c r="X298" s="439"/>
      <c r="Y298" s="436">
        <f t="shared" ref="Y298:AU298" si="468">Y$75*(1-$I298)</f>
        <v>26.160536336005933</v>
      </c>
      <c r="Z298" s="437">
        <f t="shared" si="468"/>
        <v>26.621841499268612</v>
      </c>
      <c r="AA298" s="437">
        <f t="shared" si="468"/>
        <v>27.461635389665691</v>
      </c>
      <c r="AB298" s="438">
        <f t="shared" si="468"/>
        <v>25.042579518297735</v>
      </c>
      <c r="AC298" s="439">
        <f t="shared" si="468"/>
        <v>26.425506604367293</v>
      </c>
      <c r="AD298" s="436">
        <f t="shared" si="468"/>
        <v>50.293817369286835</v>
      </c>
      <c r="AE298" s="437">
        <f t="shared" si="468"/>
        <v>25.917059906427106</v>
      </c>
      <c r="AF298" s="437">
        <f t="shared" si="468"/>
        <v>25.917059906427106</v>
      </c>
      <c r="AG298" s="438">
        <f t="shared" si="468"/>
        <v>27.158183565318176</v>
      </c>
      <c r="AH298" s="439">
        <f t="shared" si="468"/>
        <v>31.63580712298339</v>
      </c>
      <c r="AI298" s="436">
        <f t="shared" si="468"/>
        <v>29.389374444529057</v>
      </c>
      <c r="AJ298" s="437">
        <f t="shared" si="468"/>
        <v>20.570507543118794</v>
      </c>
      <c r="AK298" s="437">
        <f t="shared" si="468"/>
        <v>23.161917818389558</v>
      </c>
      <c r="AL298" s="438">
        <f t="shared" si="468"/>
        <v>20.87323302239788</v>
      </c>
      <c r="AM298" s="439">
        <f t="shared" si="468"/>
        <v>23.582241217211013</v>
      </c>
      <c r="AN298" s="436">
        <f t="shared" si="468"/>
        <v>19.376261629162137</v>
      </c>
      <c r="AO298" s="437">
        <f t="shared" si="468"/>
        <v>20.115205955178315</v>
      </c>
      <c r="AP298" s="437">
        <f t="shared" si="468"/>
        <v>24.73308185480289</v>
      </c>
      <c r="AQ298" s="438">
        <f t="shared" si="468"/>
        <v>22.768111923441456</v>
      </c>
      <c r="AR298" s="439">
        <f t="shared" si="468"/>
        <v>22.115636724875081</v>
      </c>
      <c r="AS298" s="436">
        <f t="shared" si="468"/>
        <v>22.150401026342372</v>
      </c>
      <c r="AT298" s="437">
        <f t="shared" si="468"/>
        <v>22.304882068760985</v>
      </c>
      <c r="AU298" s="437">
        <f t="shared" si="468"/>
        <v>22.341154039657798</v>
      </c>
      <c r="AV298" s="2101">
        <f>AV$75*(1-$I298)</f>
        <v>24.317972485236979</v>
      </c>
      <c r="AW298" s="2144">
        <f>AW$75*(1-$I298)</f>
        <v>22.775538108665195</v>
      </c>
      <c r="AX298" s="2143">
        <f>AX$75*(1-$I298)+CF313</f>
        <v>35.631435718310883</v>
      </c>
      <c r="AY298" s="2089">
        <f>AY$75*(1-$I298)+CF313</f>
        <v>32.296067399740565</v>
      </c>
      <c r="AZ298" s="2089">
        <f>AZ$75*(1-$I298)+CF313</f>
        <v>34.855275733073903</v>
      </c>
      <c r="BA298" s="2101">
        <f>BA$75*(1-$I298)+CF313</f>
        <v>32.648817399740572</v>
      </c>
      <c r="BB298" s="2144">
        <f>BB$75*(1-$I298)+CF313</f>
        <v>33.86986020243333</v>
      </c>
      <c r="BC298" s="2143">
        <f>BC$75*(1-$I298)+CF314</f>
        <v>37.21052463840094</v>
      </c>
      <c r="BD298" s="2089">
        <f>BD$75*(1-$I298)+CF314</f>
        <v>31.463765272009283</v>
      </c>
      <c r="BE298" s="2089">
        <f>BE$75*(1-$I298)+CF314</f>
        <v>33.277066992904118</v>
      </c>
      <c r="BF298" s="2101">
        <f>BF$75*(1-$I298)+CF314</f>
        <v>32.072613653921778</v>
      </c>
      <c r="BG298" s="2144">
        <f>BG$75*(1-$I298)+CF314</f>
        <v>33.56283257074756</v>
      </c>
      <c r="BH298" s="2143">
        <f>BH$75*(1-$I298)+CF315</f>
        <v>37.398978036185909</v>
      </c>
      <c r="BI298" s="2089">
        <f>BI$75*(1-$I298)+CF315</f>
        <v>31.596497189644253</v>
      </c>
      <c r="BJ298" s="2089">
        <f>BJ$75*(1-$I298)+CF315</f>
        <v>33.4148317675795</v>
      </c>
      <c r="BK298" s="2101">
        <f>BK$75*(1-$I298)+CF315</f>
        <v>32.212917813885937</v>
      </c>
      <c r="BL298" s="2144">
        <f>BL$75*(1-$I298)+CF315</f>
        <v>33.712603383918747</v>
      </c>
      <c r="BM298" s="2143">
        <f>BM$75*(1-$I298)+CF316</f>
        <v>35.46579786020407</v>
      </c>
      <c r="BN298" s="2089">
        <f>BN$75*(1-$I298)+CF316</f>
        <v>35.46579786020407</v>
      </c>
      <c r="BO298" s="2089">
        <f>BO$75*(1-$I298)+CF316</f>
        <v>35.46579786020407</v>
      </c>
      <c r="BP298" s="2101">
        <f>BP$75*(1-$I298)+CF316</f>
        <v>35.46579786020407</v>
      </c>
      <c r="BQ298" s="2144">
        <f>BQ$75*(1-$I298)+CF316</f>
        <v>35.618319853374402</v>
      </c>
      <c r="BR298" s="1084"/>
      <c r="BT298" s="40"/>
      <c r="BU298" s="232"/>
      <c r="BV298" s="40" t="s">
        <v>99</v>
      </c>
      <c r="BX298" s="1134"/>
      <c r="BY298" s="1134">
        <f>+AR100</f>
        <v>0</v>
      </c>
      <c r="BZ298" s="1134"/>
      <c r="CA298" s="40"/>
      <c r="CB298" s="40"/>
      <c r="CC298" s="40"/>
      <c r="CD298" s="40"/>
      <c r="CE298" s="40"/>
      <c r="CF298" s="40"/>
      <c r="CG298" s="40"/>
      <c r="CH298" s="40"/>
      <c r="CI298" s="40"/>
      <c r="CJ298" s="40"/>
      <c r="CK298" s="40"/>
      <c r="CL298" s="40"/>
      <c r="CM298" s="40"/>
      <c r="CN298" s="40"/>
      <c r="CO298" s="40"/>
      <c r="CP298" s="40"/>
      <c r="CQ298" s="40"/>
      <c r="CR298" s="40"/>
      <c r="CS298" s="40"/>
      <c r="CT298" s="823"/>
      <c r="CU298" s="232"/>
      <c r="CV298" s="232"/>
      <c r="CW298" s="232"/>
      <c r="CX298" s="232"/>
      <c r="CY298" s="232"/>
      <c r="CZ298" s="40"/>
      <c r="DA298" s="40"/>
      <c r="DB298" s="40"/>
      <c r="DC298" s="40"/>
      <c r="DD298" s="40"/>
      <c r="DE298" s="40"/>
      <c r="DF298" s="232"/>
      <c r="DG298" s="232"/>
      <c r="DH298" s="232"/>
      <c r="DI298" s="232"/>
      <c r="DJ298" s="232"/>
      <c r="DK298" s="232"/>
      <c r="DL298" s="232"/>
      <c r="DM298" s="232"/>
      <c r="DN298" s="232"/>
    </row>
    <row r="299" spans="1:118">
      <c r="A299" s="40"/>
      <c r="B299" s="1"/>
      <c r="C299" s="28" t="s">
        <v>195</v>
      </c>
      <c r="D299" s="1"/>
      <c r="E299" s="273"/>
      <c r="F299" s="3"/>
      <c r="G299" s="3"/>
      <c r="H299" s="274"/>
      <c r="I299" s="28"/>
      <c r="J299" s="273"/>
      <c r="K299" s="3"/>
      <c r="L299" s="3"/>
      <c r="M299" s="274"/>
      <c r="N299" s="1"/>
      <c r="O299" s="273"/>
      <c r="P299" s="3"/>
      <c r="Q299" s="3"/>
      <c r="R299" s="274"/>
      <c r="S299" s="1"/>
      <c r="T299" s="436"/>
      <c r="U299" s="437"/>
      <c r="V299" s="437"/>
      <c r="W299" s="438"/>
      <c r="X299" s="439"/>
      <c r="Y299" s="436">
        <f t="shared" ref="Y299:BQ299" si="469">+Y$273</f>
        <v>8.5</v>
      </c>
      <c r="Z299" s="437">
        <f t="shared" si="469"/>
        <v>8.5</v>
      </c>
      <c r="AA299" s="437">
        <f t="shared" si="469"/>
        <v>8.5</v>
      </c>
      <c r="AB299" s="438">
        <f t="shared" si="469"/>
        <v>8.5</v>
      </c>
      <c r="AC299" s="439">
        <f t="shared" si="469"/>
        <v>8.5</v>
      </c>
      <c r="AD299" s="436">
        <f t="shared" si="469"/>
        <v>8.5</v>
      </c>
      <c r="AE299" s="437">
        <f t="shared" si="469"/>
        <v>7.5</v>
      </c>
      <c r="AF299" s="437">
        <f t="shared" si="469"/>
        <v>7.5</v>
      </c>
      <c r="AG299" s="438">
        <f t="shared" si="469"/>
        <v>7.5</v>
      </c>
      <c r="AH299" s="439">
        <f t="shared" si="469"/>
        <v>7.5</v>
      </c>
      <c r="AI299" s="436">
        <f t="shared" si="469"/>
        <v>7.7250000000000005</v>
      </c>
      <c r="AJ299" s="437">
        <f t="shared" si="469"/>
        <v>7.7250000000000005</v>
      </c>
      <c r="AK299" s="437">
        <f t="shared" si="469"/>
        <v>7.7250000000000005</v>
      </c>
      <c r="AL299" s="438">
        <f t="shared" si="469"/>
        <v>7.7250000000000005</v>
      </c>
      <c r="AM299" s="439">
        <f t="shared" si="469"/>
        <v>7.7250000000000005</v>
      </c>
      <c r="AN299" s="436">
        <f t="shared" si="469"/>
        <v>7.9567500000000004</v>
      </c>
      <c r="AO299" s="437">
        <f t="shared" si="469"/>
        <v>7.9567500000000004</v>
      </c>
      <c r="AP299" s="437">
        <f t="shared" si="469"/>
        <v>7.9567500000000004</v>
      </c>
      <c r="AQ299" s="438">
        <f t="shared" si="469"/>
        <v>7.9567500000000004</v>
      </c>
      <c r="AR299" s="439">
        <f t="shared" si="469"/>
        <v>7.9567500000000004</v>
      </c>
      <c r="AS299" s="436">
        <f t="shared" si="469"/>
        <v>8.5</v>
      </c>
      <c r="AT299" s="437">
        <f t="shared" si="469"/>
        <v>8.5</v>
      </c>
      <c r="AU299" s="437">
        <f t="shared" si="469"/>
        <v>8.5</v>
      </c>
      <c r="AV299" s="438">
        <f t="shared" si="469"/>
        <v>8.5</v>
      </c>
      <c r="AW299" s="439">
        <f t="shared" si="469"/>
        <v>8.5</v>
      </c>
      <c r="AX299" s="436">
        <f t="shared" si="469"/>
        <v>8</v>
      </c>
      <c r="AY299" s="437">
        <f t="shared" si="469"/>
        <v>8</v>
      </c>
      <c r="AZ299" s="437">
        <f t="shared" si="469"/>
        <v>8</v>
      </c>
      <c r="BA299" s="438">
        <f t="shared" si="469"/>
        <v>8</v>
      </c>
      <c r="BB299" s="439">
        <f t="shared" si="469"/>
        <v>8</v>
      </c>
      <c r="BC299" s="436">
        <f t="shared" si="469"/>
        <v>7.75</v>
      </c>
      <c r="BD299" s="437">
        <f t="shared" si="469"/>
        <v>7.75</v>
      </c>
      <c r="BE299" s="437">
        <f t="shared" si="469"/>
        <v>7.75</v>
      </c>
      <c r="BF299" s="438">
        <f t="shared" si="469"/>
        <v>7.75</v>
      </c>
      <c r="BG299" s="439">
        <f>+BG$273</f>
        <v>7.75</v>
      </c>
      <c r="BH299" s="436">
        <f t="shared" si="469"/>
        <v>7.25</v>
      </c>
      <c r="BI299" s="437">
        <f t="shared" si="469"/>
        <v>7.25</v>
      </c>
      <c r="BJ299" s="437">
        <f t="shared" si="469"/>
        <v>7.25</v>
      </c>
      <c r="BK299" s="438">
        <f t="shared" si="469"/>
        <v>7.25</v>
      </c>
      <c r="BL299" s="439">
        <f t="shared" si="469"/>
        <v>7.25</v>
      </c>
      <c r="BM299" s="436">
        <f t="shared" si="469"/>
        <v>7.25</v>
      </c>
      <c r="BN299" s="437">
        <f t="shared" si="469"/>
        <v>7.25</v>
      </c>
      <c r="BO299" s="437">
        <f t="shared" si="469"/>
        <v>7.25</v>
      </c>
      <c r="BP299" s="438">
        <f t="shared" si="469"/>
        <v>7.25</v>
      </c>
      <c r="BQ299" s="439">
        <f t="shared" si="469"/>
        <v>7.25</v>
      </c>
      <c r="BR299" s="40"/>
      <c r="BT299" s="40"/>
      <c r="BU299" s="232"/>
      <c r="BV299" s="40" t="s">
        <v>102</v>
      </c>
      <c r="BX299" s="233"/>
      <c r="BY299" s="233">
        <v>190</v>
      </c>
      <c r="BZ299" s="233"/>
      <c r="CA299" s="40"/>
      <c r="CB299" s="40"/>
      <c r="CC299" s="40"/>
      <c r="CD299" s="40"/>
      <c r="CE299" s="40"/>
      <c r="CF299" s="40"/>
      <c r="CG299" s="40"/>
      <c r="CH299" s="40"/>
      <c r="CI299" s="40"/>
      <c r="CJ299" s="40"/>
      <c r="CK299" s="40"/>
      <c r="CL299" s="40"/>
      <c r="CM299" s="40"/>
      <c r="CN299" s="40"/>
      <c r="CO299" s="40"/>
      <c r="CP299" s="40"/>
      <c r="CQ299" s="40"/>
      <c r="CR299" s="40"/>
      <c r="CS299" s="40"/>
      <c r="CT299" s="823"/>
      <c r="CU299" s="232"/>
      <c r="CV299" s="232"/>
      <c r="CW299" s="232"/>
      <c r="CX299" s="232"/>
      <c r="CY299" s="232"/>
      <c r="CZ299" s="40"/>
      <c r="DA299" s="40"/>
      <c r="DB299" s="40"/>
      <c r="DC299" s="40"/>
      <c r="DD299" s="40"/>
      <c r="DE299" s="40"/>
      <c r="DF299" s="232"/>
      <c r="DG299" s="232"/>
      <c r="DH299" s="232"/>
      <c r="DI299" s="232"/>
      <c r="DJ299" s="232"/>
      <c r="DK299" s="232"/>
      <c r="DL299" s="232"/>
      <c r="DM299" s="232"/>
      <c r="DN299" s="232"/>
    </row>
    <row r="300" spans="1:118">
      <c r="A300" s="40"/>
      <c r="B300" s="1"/>
      <c r="C300" s="1"/>
      <c r="D300" s="1"/>
      <c r="E300" s="273"/>
      <c r="F300" s="3"/>
      <c r="G300" s="3"/>
      <c r="H300" s="274"/>
      <c r="I300" s="28"/>
      <c r="J300" s="273"/>
      <c r="K300" s="3"/>
      <c r="L300" s="3"/>
      <c r="M300" s="274"/>
      <c r="N300" s="1"/>
      <c r="O300" s="273"/>
      <c r="P300" s="3"/>
      <c r="Q300" s="3"/>
      <c r="R300" s="274"/>
      <c r="S300" s="1"/>
      <c r="T300" s="273"/>
      <c r="U300" s="3"/>
      <c r="V300" s="3"/>
      <c r="W300" s="274"/>
      <c r="X300" s="1"/>
      <c r="Y300" s="273"/>
      <c r="Z300" s="3"/>
      <c r="AA300" s="3"/>
      <c r="AB300" s="274"/>
      <c r="AC300" s="1"/>
      <c r="AD300" s="273"/>
      <c r="AE300" s="3"/>
      <c r="AF300" s="3"/>
      <c r="AG300" s="274"/>
      <c r="AH300" s="1"/>
      <c r="AI300" s="273"/>
      <c r="AJ300" s="3"/>
      <c r="AK300" s="3"/>
      <c r="AL300" s="274"/>
      <c r="AM300" s="1"/>
      <c r="AN300" s="273"/>
      <c r="AO300" s="3"/>
      <c r="AP300" s="3"/>
      <c r="AQ300" s="274"/>
      <c r="AR300" s="1"/>
      <c r="AS300" s="273"/>
      <c r="AT300" s="3"/>
      <c r="AU300" s="3"/>
      <c r="AV300" s="274"/>
      <c r="AW300" s="1"/>
      <c r="AX300" s="273"/>
      <c r="AY300" s="3"/>
      <c r="AZ300" s="3"/>
      <c r="BA300" s="274"/>
      <c r="BB300" s="1"/>
      <c r="BC300" s="273"/>
      <c r="BD300" s="3"/>
      <c r="BE300" s="3"/>
      <c r="BF300" s="274"/>
      <c r="BG300" s="1"/>
      <c r="BH300" s="273"/>
      <c r="BI300" s="3"/>
      <c r="BJ300" s="3"/>
      <c r="BK300" s="274"/>
      <c r="BL300" s="1"/>
      <c r="BM300" s="273"/>
      <c r="BN300" s="3"/>
      <c r="BO300" s="3"/>
      <c r="BP300" s="274"/>
      <c r="BQ300" s="1"/>
      <c r="BR300" s="40"/>
      <c r="BT300" s="40"/>
      <c r="BU300" s="232"/>
      <c r="BV300" s="40" t="s">
        <v>104</v>
      </c>
      <c r="BX300" s="1135"/>
      <c r="BY300" s="1135">
        <v>6</v>
      </c>
      <c r="BZ300" s="1135"/>
      <c r="CA300" s="40"/>
      <c r="CB300" s="40"/>
      <c r="CC300" s="40"/>
      <c r="CD300" s="40"/>
      <c r="CE300" s="40"/>
      <c r="CF300" s="40"/>
      <c r="CG300" s="40"/>
      <c r="CH300" s="40"/>
      <c r="CI300" s="40"/>
      <c r="CJ300" s="40"/>
      <c r="CK300" s="40"/>
      <c r="CL300" s="40"/>
      <c r="CM300" s="40"/>
      <c r="CN300" s="40"/>
      <c r="CO300" s="40"/>
      <c r="CP300" s="40"/>
      <c r="CQ300" s="40"/>
      <c r="CR300" s="40"/>
      <c r="CS300" s="40"/>
      <c r="CT300" s="823"/>
      <c r="CU300" s="232"/>
      <c r="CV300" s="232"/>
      <c r="CW300" s="232"/>
      <c r="CX300" s="232"/>
      <c r="CY300" s="232"/>
      <c r="CZ300" s="40"/>
      <c r="DA300" s="40"/>
      <c r="DB300" s="40"/>
      <c r="DC300" s="40"/>
      <c r="DD300" s="40"/>
      <c r="DE300" s="40"/>
      <c r="DF300" s="232"/>
      <c r="DG300" s="232"/>
      <c r="DH300" s="232"/>
      <c r="DI300" s="232"/>
      <c r="DJ300" s="232"/>
      <c r="DK300" s="232"/>
      <c r="DL300" s="232"/>
      <c r="DM300" s="232"/>
      <c r="DN300" s="232"/>
    </row>
    <row r="301" spans="1:118">
      <c r="A301" s="40"/>
      <c r="B301" s="1"/>
      <c r="C301" s="32" t="s">
        <v>196</v>
      </c>
      <c r="D301" s="32"/>
      <c r="E301" s="292"/>
      <c r="F301" s="261"/>
      <c r="G301" s="261"/>
      <c r="H301" s="293"/>
      <c r="I301" s="884">
        <f>1403</f>
        <v>1403</v>
      </c>
      <c r="J301" s="292"/>
      <c r="K301" s="261"/>
      <c r="L301" s="261"/>
      <c r="M301" s="293"/>
      <c r="N301" s="228"/>
      <c r="O301" s="292"/>
      <c r="P301" s="261"/>
      <c r="Q301" s="261"/>
      <c r="R301" s="293"/>
      <c r="S301" s="228"/>
      <c r="T301" s="292"/>
      <c r="U301" s="261"/>
      <c r="V301" s="261"/>
      <c r="W301" s="293"/>
      <c r="X301" s="669"/>
      <c r="Y301" s="292">
        <f>+I301</f>
        <v>1403</v>
      </c>
      <c r="Z301" s="261">
        <f t="shared" ref="Z301:AY301" si="470">Y301</f>
        <v>1403</v>
      </c>
      <c r="AA301" s="261">
        <f t="shared" si="470"/>
        <v>1403</v>
      </c>
      <c r="AB301" s="293">
        <f t="shared" si="470"/>
        <v>1403</v>
      </c>
      <c r="AC301" s="228">
        <f t="shared" si="470"/>
        <v>1403</v>
      </c>
      <c r="AD301" s="292">
        <f t="shared" si="470"/>
        <v>1403</v>
      </c>
      <c r="AE301" s="261">
        <f t="shared" si="470"/>
        <v>1403</v>
      </c>
      <c r="AF301" s="261">
        <f t="shared" si="470"/>
        <v>1403</v>
      </c>
      <c r="AG301" s="293">
        <f t="shared" si="470"/>
        <v>1403</v>
      </c>
      <c r="AH301" s="228">
        <f t="shared" si="470"/>
        <v>1403</v>
      </c>
      <c r="AI301" s="292">
        <f t="shared" si="470"/>
        <v>1403</v>
      </c>
      <c r="AJ301" s="261">
        <f t="shared" si="470"/>
        <v>1403</v>
      </c>
      <c r="AK301" s="261">
        <f t="shared" si="470"/>
        <v>1403</v>
      </c>
      <c r="AL301" s="293">
        <f t="shared" si="470"/>
        <v>1403</v>
      </c>
      <c r="AM301" s="228">
        <f t="shared" si="470"/>
        <v>1403</v>
      </c>
      <c r="AN301" s="292">
        <f t="shared" si="470"/>
        <v>1403</v>
      </c>
      <c r="AO301" s="261">
        <f t="shared" si="470"/>
        <v>1403</v>
      </c>
      <c r="AP301" s="261">
        <f t="shared" si="470"/>
        <v>1403</v>
      </c>
      <c r="AQ301" s="293">
        <f t="shared" si="470"/>
        <v>1403</v>
      </c>
      <c r="AR301" s="228">
        <f t="shared" si="470"/>
        <v>1403</v>
      </c>
      <c r="AS301" s="292">
        <f t="shared" si="470"/>
        <v>1403</v>
      </c>
      <c r="AT301" s="261">
        <f t="shared" si="470"/>
        <v>1403</v>
      </c>
      <c r="AU301" s="261">
        <f t="shared" ref="AU301" si="471">AT301</f>
        <v>1403</v>
      </c>
      <c r="AV301" s="293">
        <f t="shared" si="470"/>
        <v>1403</v>
      </c>
      <c r="AW301" s="228">
        <f t="shared" si="470"/>
        <v>1403</v>
      </c>
      <c r="AX301" s="292">
        <f t="shared" si="470"/>
        <v>1403</v>
      </c>
      <c r="AY301" s="261">
        <f t="shared" si="470"/>
        <v>1403</v>
      </c>
      <c r="AZ301" s="261">
        <f>AY301</f>
        <v>1403</v>
      </c>
      <c r="BA301" s="293">
        <f t="shared" ref="BA301:BL301" si="472">AZ301</f>
        <v>1403</v>
      </c>
      <c r="BB301" s="228">
        <f t="shared" si="472"/>
        <v>1403</v>
      </c>
      <c r="BC301" s="292">
        <f t="shared" si="472"/>
        <v>1403</v>
      </c>
      <c r="BD301" s="261">
        <f t="shared" si="472"/>
        <v>1403</v>
      </c>
      <c r="BE301" s="261">
        <f t="shared" si="472"/>
        <v>1403</v>
      </c>
      <c r="BF301" s="293">
        <f t="shared" si="472"/>
        <v>1403</v>
      </c>
      <c r="BG301" s="228">
        <f>BF301</f>
        <v>1403</v>
      </c>
      <c r="BH301" s="292">
        <f>BG301</f>
        <v>1403</v>
      </c>
      <c r="BI301" s="261">
        <f t="shared" si="472"/>
        <v>1403</v>
      </c>
      <c r="BJ301" s="261">
        <f t="shared" si="472"/>
        <v>1403</v>
      </c>
      <c r="BK301" s="293">
        <f t="shared" si="472"/>
        <v>1403</v>
      </c>
      <c r="BL301" s="228">
        <f t="shared" si="472"/>
        <v>1403</v>
      </c>
      <c r="BM301" s="292">
        <f t="shared" ref="BM301" si="473">BL301</f>
        <v>1403</v>
      </c>
      <c r="BN301" s="261">
        <f t="shared" ref="BN301" si="474">BM301</f>
        <v>1403</v>
      </c>
      <c r="BO301" s="261">
        <f t="shared" ref="BO301" si="475">BN301</f>
        <v>1403</v>
      </c>
      <c r="BP301" s="293">
        <f t="shared" ref="BP301" si="476">BO301</f>
        <v>1403</v>
      </c>
      <c r="BQ301" s="228">
        <f t="shared" ref="BQ301" si="477">BP301</f>
        <v>1403</v>
      </c>
      <c r="BR301" s="40"/>
      <c r="BT301" s="40"/>
      <c r="BU301" s="232"/>
      <c r="BV301" s="156" t="s">
        <v>106</v>
      </c>
      <c r="BX301" s="989"/>
      <c r="BY301" s="989">
        <f>((BY296*8.76*BY297*BY298/1000)+(BY296*BY299*0.365/1000))*BY300</f>
        <v>0</v>
      </c>
      <c r="BZ301" s="989"/>
      <c r="CA301" s="40"/>
      <c r="CB301" s="40"/>
      <c r="CC301" s="40"/>
      <c r="CD301" s="40"/>
      <c r="CE301" s="40"/>
      <c r="CF301" s="40"/>
      <c r="CG301" s="40"/>
      <c r="CH301" s="40"/>
      <c r="CI301" s="40"/>
      <c r="CJ301" s="40"/>
      <c r="CK301" s="40"/>
      <c r="CL301" s="40"/>
      <c r="CM301" s="40"/>
      <c r="CN301" s="40"/>
      <c r="CO301" s="40"/>
      <c r="CP301" s="40"/>
      <c r="CQ301" s="40"/>
      <c r="CR301" s="40"/>
      <c r="CS301" s="40"/>
      <c r="CT301" s="823"/>
      <c r="CU301" s="232"/>
      <c r="CV301" s="232"/>
      <c r="CW301" s="232"/>
      <c r="CX301" s="232"/>
      <c r="CY301" s="232"/>
      <c r="CZ301" s="40"/>
      <c r="DA301" s="40"/>
      <c r="DB301" s="40"/>
      <c r="DC301" s="40"/>
      <c r="DD301" s="40"/>
      <c r="DE301" s="40"/>
      <c r="DF301" s="232"/>
      <c r="DG301" s="232"/>
      <c r="DH301" s="232"/>
      <c r="DI301" s="232"/>
      <c r="DJ301" s="232"/>
      <c r="DK301" s="232"/>
      <c r="DL301" s="232"/>
      <c r="DM301" s="232"/>
      <c r="DN301" s="232"/>
    </row>
    <row r="302" spans="1:118">
      <c r="A302" s="40"/>
      <c r="B302" s="1"/>
      <c r="C302" s="1"/>
      <c r="D302" s="1"/>
      <c r="E302" s="273"/>
      <c r="F302" s="3"/>
      <c r="G302" s="3"/>
      <c r="H302" s="274"/>
      <c r="I302" s="28"/>
      <c r="J302" s="273"/>
      <c r="K302" s="3"/>
      <c r="L302" s="3"/>
      <c r="M302" s="274"/>
      <c r="N302" s="1"/>
      <c r="O302" s="273"/>
      <c r="P302" s="3"/>
      <c r="Q302" s="3"/>
      <c r="R302" s="274"/>
      <c r="S302" s="1"/>
      <c r="T302" s="273"/>
      <c r="U302" s="3"/>
      <c r="V302" s="3"/>
      <c r="W302" s="274"/>
      <c r="X302" s="1"/>
      <c r="Y302" s="273"/>
      <c r="Z302" s="3"/>
      <c r="AA302" s="3"/>
      <c r="AB302" s="274"/>
      <c r="AC302" s="1"/>
      <c r="AD302" s="273"/>
      <c r="AE302" s="3"/>
      <c r="AF302" s="3"/>
      <c r="AG302" s="274"/>
      <c r="AH302" s="1"/>
      <c r="AI302" s="273"/>
      <c r="AJ302" s="3"/>
      <c r="AK302" s="3"/>
      <c r="AL302" s="274"/>
      <c r="AM302" s="1"/>
      <c r="AN302" s="273"/>
      <c r="AO302" s="3"/>
      <c r="AP302" s="3"/>
      <c r="AQ302" s="274"/>
      <c r="AR302" s="1"/>
      <c r="AS302" s="273"/>
      <c r="AT302" s="3"/>
      <c r="AU302" s="3"/>
      <c r="AV302" s="274"/>
      <c r="AW302" s="1"/>
      <c r="AX302" s="273"/>
      <c r="AY302" s="3"/>
      <c r="AZ302" s="3"/>
      <c r="BA302" s="274"/>
      <c r="BB302" s="1"/>
      <c r="BC302" s="273"/>
      <c r="BD302" s="3"/>
      <c r="BE302" s="3"/>
      <c r="BF302" s="274"/>
      <c r="BG302" s="1"/>
      <c r="BH302" s="273"/>
      <c r="BI302" s="3"/>
      <c r="BJ302" s="3"/>
      <c r="BK302" s="274"/>
      <c r="BL302" s="1"/>
      <c r="BM302" s="273"/>
      <c r="BN302" s="3"/>
      <c r="BO302" s="3"/>
      <c r="BP302" s="274"/>
      <c r="BQ302" s="1"/>
      <c r="BR302" s="40"/>
      <c r="BT302" s="40"/>
      <c r="BU302" s="232"/>
      <c r="BX302" s="40"/>
      <c r="BY302" s="40"/>
      <c r="BZ302" s="40"/>
      <c r="CA302" s="40"/>
      <c r="CB302" s="40"/>
      <c r="CC302" s="40"/>
      <c r="CD302" s="40"/>
      <c r="CE302" s="40"/>
      <c r="CF302" s="40"/>
      <c r="CG302" s="40"/>
      <c r="CH302" s="40"/>
      <c r="CI302" s="40"/>
      <c r="CJ302" s="40"/>
      <c r="CK302" s="40"/>
      <c r="CL302" s="40"/>
      <c r="CM302" s="40"/>
      <c r="CN302" s="40"/>
      <c r="CO302" s="40"/>
      <c r="CP302" s="40"/>
      <c r="CQ302" s="40"/>
      <c r="CR302" s="40"/>
      <c r="CS302" s="40"/>
      <c r="CT302" s="823"/>
      <c r="CU302" s="232"/>
      <c r="CV302" s="232"/>
      <c r="CW302" s="232"/>
      <c r="CX302" s="232"/>
      <c r="CY302" s="232"/>
      <c r="CZ302" s="40"/>
      <c r="DA302" s="40"/>
      <c r="DB302" s="40"/>
      <c r="DC302" s="40"/>
      <c r="DD302" s="40"/>
      <c r="DE302" s="40"/>
      <c r="DF302" s="232"/>
      <c r="DG302" s="232"/>
      <c r="DH302" s="232"/>
      <c r="DI302" s="232"/>
      <c r="DJ302" s="232"/>
      <c r="DK302" s="232"/>
      <c r="DL302" s="232"/>
      <c r="DM302" s="232"/>
      <c r="DN302" s="232"/>
    </row>
    <row r="303" spans="1:118">
      <c r="A303" s="40"/>
      <c r="B303" s="1"/>
      <c r="C303" s="28" t="s">
        <v>197</v>
      </c>
      <c r="D303" s="1"/>
      <c r="E303" s="273"/>
      <c r="F303" s="3"/>
      <c r="G303" s="3"/>
      <c r="H303" s="274"/>
      <c r="I303" s="544">
        <v>0.92500000000000004</v>
      </c>
      <c r="J303" s="273"/>
      <c r="K303" s="3"/>
      <c r="L303" s="3"/>
      <c r="M303" s="274"/>
      <c r="N303" s="1"/>
      <c r="O303" s="273"/>
      <c r="P303" s="3"/>
      <c r="Q303" s="3"/>
      <c r="R303" s="274"/>
      <c r="S303" s="1"/>
      <c r="T303" s="277"/>
      <c r="U303" s="253"/>
      <c r="V303" s="253"/>
      <c r="W303" s="278"/>
      <c r="X303" s="765"/>
      <c r="Y303" s="277">
        <f>+I303</f>
        <v>0.92500000000000004</v>
      </c>
      <c r="Z303" s="253">
        <f>+Y303</f>
        <v>0.92500000000000004</v>
      </c>
      <c r="AA303" s="253">
        <f>+Z303</f>
        <v>0.92500000000000004</v>
      </c>
      <c r="AB303" s="278">
        <f>+AA303</f>
        <v>0.92500000000000004</v>
      </c>
      <c r="AC303" s="765">
        <f>IF(AVERAGE(Y301:AB301)=0,0,AC304/(AVERAGE(Y301:AB301)*8.76))</f>
        <v>0.92500000000000004</v>
      </c>
      <c r="AD303" s="277">
        <f>+AB303</f>
        <v>0.92500000000000004</v>
      </c>
      <c r="AE303" s="253">
        <f>+AD303</f>
        <v>0.92500000000000004</v>
      </c>
      <c r="AF303" s="253">
        <f>+AA303</f>
        <v>0.92500000000000004</v>
      </c>
      <c r="AG303" s="278">
        <f>+AB303</f>
        <v>0.92500000000000004</v>
      </c>
      <c r="AH303" s="765">
        <f>IF(AVERAGE(AD301:AG301)=0,0,AH304/(AVERAGE(AD301:AG301)*8.76))</f>
        <v>0.92500000000000004</v>
      </c>
      <c r="AI303" s="277">
        <f>+AG303</f>
        <v>0.92500000000000004</v>
      </c>
      <c r="AJ303" s="253">
        <f>+AE303</f>
        <v>0.92500000000000004</v>
      </c>
      <c r="AK303" s="253">
        <f>+AF303</f>
        <v>0.92500000000000004</v>
      </c>
      <c r="AL303" s="278">
        <f>+AG303</f>
        <v>0.92500000000000004</v>
      </c>
      <c r="AM303" s="765">
        <f>IF(AVERAGE(AI301:AL301)=0,0,AM304/(AVERAGE(AI301:AL301)*8.76))</f>
        <v>0.92500000000000004</v>
      </c>
      <c r="AN303" s="277">
        <f>+$I$277</f>
        <v>0.93</v>
      </c>
      <c r="AO303" s="253">
        <f>+AJ303</f>
        <v>0.92500000000000004</v>
      </c>
      <c r="AP303" s="253">
        <f>+AK303</f>
        <v>0.92500000000000004</v>
      </c>
      <c r="AQ303" s="278">
        <f>+AL303</f>
        <v>0.92500000000000004</v>
      </c>
      <c r="AR303" s="765">
        <f>IF(AVERAGE(AN301:AQ301)=0,0,AR304/(AVERAGE(AN301:AQ301)*8.76))</f>
        <v>0.92625000000000002</v>
      </c>
      <c r="AS303" s="2061">
        <v>0.96</v>
      </c>
      <c r="AT303" s="2246">
        <v>0.96</v>
      </c>
      <c r="AU303" s="2246">
        <v>0.96</v>
      </c>
      <c r="AV303" s="2247">
        <v>0.96</v>
      </c>
      <c r="AW303" s="765">
        <f>IF(AVERAGE(AS301:AV301)=0,0,AW304/(AVERAGE(AS301:AV301)*8.76))</f>
        <v>0.96000000000000008</v>
      </c>
      <c r="AX303" s="277">
        <f>+AV303</f>
        <v>0.96</v>
      </c>
      <c r="AY303" s="253">
        <f>+AT303</f>
        <v>0.96</v>
      </c>
      <c r="AZ303" s="253">
        <f>+AU303</f>
        <v>0.96</v>
      </c>
      <c r="BA303" s="278">
        <f>+AV303</f>
        <v>0.96</v>
      </c>
      <c r="BB303" s="765">
        <f>IF(AVERAGE(AX301:BA301)=0,0,BB304/(AVERAGE(AX301:BA301)*8.76))</f>
        <v>0.96000000000000008</v>
      </c>
      <c r="BC303" s="277">
        <f>+BA303</f>
        <v>0.96</v>
      </c>
      <c r="BD303" s="253">
        <f>+AY303</f>
        <v>0.96</v>
      </c>
      <c r="BE303" s="253">
        <f>+AZ303</f>
        <v>0.96</v>
      </c>
      <c r="BF303" s="278">
        <f>+BA303</f>
        <v>0.96</v>
      </c>
      <c r="BG303" s="765">
        <f>IF(AVERAGE(BC301:BF301)=0,0,BG304/(AVERAGE(BC301:BF301)*8.76))</f>
        <v>0.96000000000000008</v>
      </c>
      <c r="BH303" s="277">
        <f>+BF303</f>
        <v>0.96</v>
      </c>
      <c r="BI303" s="253">
        <f>+BD303</f>
        <v>0.96</v>
      </c>
      <c r="BJ303" s="253">
        <f>+BE303</f>
        <v>0.96</v>
      </c>
      <c r="BK303" s="278">
        <f>+BF303</f>
        <v>0.96</v>
      </c>
      <c r="BL303" s="765">
        <f>IF(AVERAGE(BH301:BK301)=0,0,BL304/(AVERAGE(BH301:BK301)*8.76))</f>
        <v>0.96000000000000008</v>
      </c>
      <c r="BM303" s="277">
        <f>+BK303</f>
        <v>0.96</v>
      </c>
      <c r="BN303" s="253">
        <f>+BI303</f>
        <v>0.96</v>
      </c>
      <c r="BO303" s="253">
        <f>+BJ303</f>
        <v>0.96</v>
      </c>
      <c r="BP303" s="278">
        <f>+BK303</f>
        <v>0.96</v>
      </c>
      <c r="BQ303" s="765">
        <f>IF(AVERAGE(BM301:BP301)=0,0,BQ304/(AVERAGE(BM301:BP301)*8.76))</f>
        <v>0.96000000000000008</v>
      </c>
      <c r="BR303" s="40"/>
      <c r="BT303" s="40"/>
      <c r="BU303" s="232"/>
      <c r="BV303" s="40" t="s">
        <v>103</v>
      </c>
      <c r="BX303" s="233"/>
      <c r="BY303" s="233">
        <v>2800</v>
      </c>
      <c r="BZ303" s="233"/>
      <c r="CA303" s="40"/>
      <c r="CB303" s="40"/>
      <c r="CC303" s="40"/>
      <c r="CD303" s="40"/>
      <c r="CE303" s="40"/>
      <c r="CF303" s="40"/>
      <c r="CG303" s="40"/>
      <c r="CH303" s="40"/>
      <c r="CI303" s="40"/>
      <c r="CJ303" s="40"/>
      <c r="CK303" s="40"/>
      <c r="CL303" s="40"/>
      <c r="CM303" s="40"/>
      <c r="CN303" s="40"/>
      <c r="CO303" s="40"/>
      <c r="CP303" s="40"/>
      <c r="CQ303" s="40"/>
      <c r="CR303" s="40"/>
      <c r="CS303" s="40"/>
      <c r="CT303" s="823"/>
      <c r="CU303" s="232"/>
      <c r="CV303" s="232"/>
      <c r="CW303" s="232"/>
      <c r="CX303" s="232"/>
      <c r="CY303" s="232"/>
      <c r="CZ303" s="40"/>
      <c r="DA303" s="40"/>
      <c r="DB303" s="40"/>
      <c r="DC303" s="40"/>
      <c r="DD303" s="40"/>
      <c r="DE303" s="40"/>
      <c r="DF303" s="232"/>
      <c r="DG303" s="232"/>
      <c r="DH303" s="232"/>
      <c r="DI303" s="232"/>
      <c r="DJ303" s="232"/>
      <c r="DK303" s="232"/>
      <c r="DL303" s="232"/>
      <c r="DM303" s="232"/>
      <c r="DN303" s="232"/>
    </row>
    <row r="304" spans="1:118">
      <c r="A304" s="40"/>
      <c r="B304" s="1"/>
      <c r="C304" s="32" t="s">
        <v>198</v>
      </c>
      <c r="D304" s="32"/>
      <c r="E304" s="489"/>
      <c r="F304" s="342"/>
      <c r="G304" s="342"/>
      <c r="H304" s="490"/>
      <c r="I304" s="32"/>
      <c r="J304" s="489"/>
      <c r="K304" s="342"/>
      <c r="L304" s="342"/>
      <c r="M304" s="490"/>
      <c r="N304" s="458"/>
      <c r="O304" s="489"/>
      <c r="P304" s="342"/>
      <c r="Q304" s="342"/>
      <c r="R304" s="490"/>
      <c r="S304" s="32"/>
      <c r="T304" s="301"/>
      <c r="U304" s="265"/>
      <c r="V304" s="265"/>
      <c r="W304" s="302"/>
      <c r="X304" s="445"/>
      <c r="Y304" s="301">
        <f>(Y301*Y303*(8760/1000))/4</f>
        <v>2842.12725</v>
      </c>
      <c r="Z304" s="265">
        <f>(Z301*Z303*(8760/1000))/4</f>
        <v>2842.12725</v>
      </c>
      <c r="AA304" s="265">
        <f>(AA301*AA303*(8760/1000))/4</f>
        <v>2842.12725</v>
      </c>
      <c r="AB304" s="302">
        <f>(AB301*AB303*(8760/1000))/4</f>
        <v>2842.12725</v>
      </c>
      <c r="AC304" s="445">
        <f>SUM(Y304:AB304)</f>
        <v>11368.509</v>
      </c>
      <c r="AD304" s="301">
        <f>(AD301*AD303*(8760/1000))/4</f>
        <v>2842.12725</v>
      </c>
      <c r="AE304" s="265">
        <f>(AE301*AE303*(8760/1000))/4</f>
        <v>2842.12725</v>
      </c>
      <c r="AF304" s="265">
        <f>(AF301*AF303*(8760/1000))/4</f>
        <v>2842.12725</v>
      </c>
      <c r="AG304" s="302">
        <f>(AG301*AG303*(8760/1000))/4</f>
        <v>2842.12725</v>
      </c>
      <c r="AH304" s="445">
        <f>SUM(AD304:AG304)</f>
        <v>11368.509</v>
      </c>
      <c r="AI304" s="301">
        <f>(AI301*AI303*(8760/1000))/4</f>
        <v>2842.12725</v>
      </c>
      <c r="AJ304" s="265">
        <f>(AJ301*AJ303*(8760/1000))/4</f>
        <v>2842.12725</v>
      </c>
      <c r="AK304" s="265">
        <f>(AK301*AK303*(8760/1000))/4</f>
        <v>2842.12725</v>
      </c>
      <c r="AL304" s="302">
        <f>(AL301*AL303*(8760/1000))/4</f>
        <v>2842.12725</v>
      </c>
      <c r="AM304" s="445">
        <f>SUM(AI304:AL304)</f>
        <v>11368.509</v>
      </c>
      <c r="AN304" s="301">
        <f>(AN301*AN303*(8760/1000))/4</f>
        <v>2857.4901</v>
      </c>
      <c r="AO304" s="265">
        <f>(AO301*AO303*(8760/1000))/4</f>
        <v>2842.12725</v>
      </c>
      <c r="AP304" s="265">
        <f>(AP301*AP303*(8760/1000))/4</f>
        <v>2842.12725</v>
      </c>
      <c r="AQ304" s="302">
        <f>(AQ301*AQ303*(8760/1000))/4</f>
        <v>2842.12725</v>
      </c>
      <c r="AR304" s="445">
        <f>SUM(AN304:AQ304)</f>
        <v>11383.87185</v>
      </c>
      <c r="AS304" s="301">
        <f>(AS301*AS303*(8760/1000))/4</f>
        <v>2949.6671999999999</v>
      </c>
      <c r="AT304" s="265">
        <f>(AT301*AT303*(8760/1000))/4</f>
        <v>2949.6671999999999</v>
      </c>
      <c r="AU304" s="265">
        <f t="shared" ref="AU304" si="478">(AU301*AU303*(8760/1000))/4</f>
        <v>2949.6671999999999</v>
      </c>
      <c r="AV304" s="302">
        <f>(AV301*AV303*(8760/1000))/4</f>
        <v>2949.6671999999999</v>
      </c>
      <c r="AW304" s="445">
        <f>SUM(AS304:AV304)</f>
        <v>11798.668799999999</v>
      </c>
      <c r="AX304" s="301">
        <f>(AX301*AX303*(8760/1000))/4</f>
        <v>2949.6671999999999</v>
      </c>
      <c r="AY304" s="265">
        <f>(AY301*AY303*(8760/1000))/4</f>
        <v>2949.6671999999999</v>
      </c>
      <c r="AZ304" s="265">
        <f>(AZ301*AZ303*(8760/1000))/4</f>
        <v>2949.6671999999999</v>
      </c>
      <c r="BA304" s="302">
        <f>(BA301*BA303*(8760/1000))/4</f>
        <v>2949.6671999999999</v>
      </c>
      <c r="BB304" s="445">
        <f>SUM(AX304:BA304)</f>
        <v>11798.668799999999</v>
      </c>
      <c r="BC304" s="301">
        <f>(BC301*BC303*(8760/1000))/4</f>
        <v>2949.6671999999999</v>
      </c>
      <c r="BD304" s="265">
        <f>(BD301*BD303*(8760/1000))/4</f>
        <v>2949.6671999999999</v>
      </c>
      <c r="BE304" s="265">
        <f>(BE301*BE303*(8760/1000))/4</f>
        <v>2949.6671999999999</v>
      </c>
      <c r="BF304" s="302">
        <f>(BF301*BF303*(8760/1000))/4</f>
        <v>2949.6671999999999</v>
      </c>
      <c r="BG304" s="445">
        <f>SUM(BC304:BF304)</f>
        <v>11798.668799999999</v>
      </c>
      <c r="BH304" s="301">
        <f>(BH301*BH303*(8760/1000))/4</f>
        <v>2949.6671999999999</v>
      </c>
      <c r="BI304" s="265">
        <f>(BI301*BI303*(8760/1000))/4</f>
        <v>2949.6671999999999</v>
      </c>
      <c r="BJ304" s="265">
        <f>(BJ301*BJ303*(8760/1000))/4</f>
        <v>2949.6671999999999</v>
      </c>
      <c r="BK304" s="302">
        <f>(BK301*BK303*(8760/1000))/4</f>
        <v>2949.6671999999999</v>
      </c>
      <c r="BL304" s="445">
        <f>SUM(BH304:BK304)</f>
        <v>11798.668799999999</v>
      </c>
      <c r="BM304" s="301">
        <f>(BM301*BM303*(8760/1000))/4</f>
        <v>2949.6671999999999</v>
      </c>
      <c r="BN304" s="265">
        <f>(BN301*BN303*(8760/1000))/4</f>
        <v>2949.6671999999999</v>
      </c>
      <c r="BO304" s="265">
        <f>(BO301*BO303*(8760/1000))/4</f>
        <v>2949.6671999999999</v>
      </c>
      <c r="BP304" s="302">
        <f>(BP301*BP303*(8760/1000))/4</f>
        <v>2949.6671999999999</v>
      </c>
      <c r="BQ304" s="445">
        <f>SUM(BM304:BP304)</f>
        <v>11798.668799999999</v>
      </c>
      <c r="BR304" s="40"/>
      <c r="BT304" s="40"/>
      <c r="BU304" s="232"/>
      <c r="BV304" s="156" t="s">
        <v>105</v>
      </c>
      <c r="BX304" s="1026"/>
      <c r="BY304" s="1026">
        <f>+BY303*BY296/1000</f>
        <v>0</v>
      </c>
      <c r="BZ304" s="1026"/>
      <c r="CA304" s="40"/>
      <c r="CB304" s="40"/>
      <c r="CC304" s="40"/>
      <c r="CD304" s="40"/>
      <c r="CE304" s="40"/>
      <c r="CF304" s="40"/>
      <c r="CG304" s="40"/>
      <c r="CH304" s="40"/>
      <c r="CI304" s="40"/>
      <c r="CJ304" s="40"/>
      <c r="CK304" s="40"/>
      <c r="CL304" s="40"/>
      <c r="CM304" s="40"/>
      <c r="CN304" s="40"/>
      <c r="CO304" s="40"/>
      <c r="CP304" s="40"/>
      <c r="CQ304" s="40"/>
      <c r="CR304" s="40"/>
      <c r="CS304" s="40"/>
      <c r="CT304" s="823"/>
      <c r="CU304" s="232"/>
      <c r="CV304" s="232"/>
      <c r="CW304" s="232"/>
      <c r="CX304" s="232"/>
      <c r="CY304" s="232"/>
      <c r="CZ304" s="40"/>
      <c r="DA304" s="40"/>
      <c r="DB304" s="40"/>
      <c r="DC304" s="40"/>
      <c r="DD304" s="40"/>
      <c r="DE304" s="40"/>
      <c r="DF304" s="232"/>
      <c r="DG304" s="232"/>
      <c r="DH304" s="232"/>
      <c r="DI304" s="232"/>
      <c r="DJ304" s="232"/>
      <c r="DK304" s="232"/>
      <c r="DL304" s="232"/>
      <c r="DM304" s="232"/>
      <c r="DN304" s="232"/>
    </row>
    <row r="305" spans="1:118">
      <c r="A305" s="40"/>
      <c r="B305" s="1"/>
      <c r="C305" s="1"/>
      <c r="D305" s="1"/>
      <c r="E305" s="273"/>
      <c r="F305" s="3"/>
      <c r="G305" s="3"/>
      <c r="H305" s="274"/>
      <c r="I305" s="28"/>
      <c r="J305" s="273"/>
      <c r="K305" s="3"/>
      <c r="L305" s="3"/>
      <c r="M305" s="274"/>
      <c r="N305" s="1"/>
      <c r="O305" s="273"/>
      <c r="P305" s="3"/>
      <c r="Q305" s="3"/>
      <c r="R305" s="274"/>
      <c r="S305" s="1"/>
      <c r="T305" s="273"/>
      <c r="U305" s="3"/>
      <c r="V305" s="3"/>
      <c r="W305" s="274"/>
      <c r="X305" s="1"/>
      <c r="Y305" s="273"/>
      <c r="Z305" s="3"/>
      <c r="AA305" s="3"/>
      <c r="AB305" s="274"/>
      <c r="AC305" s="1"/>
      <c r="AD305" s="273"/>
      <c r="AE305" s="3"/>
      <c r="AF305" s="3"/>
      <c r="AG305" s="274"/>
      <c r="AH305" s="1"/>
      <c r="AI305" s="273"/>
      <c r="AJ305" s="3"/>
      <c r="AK305" s="3"/>
      <c r="AL305" s="274"/>
      <c r="AM305" s="1"/>
      <c r="AN305" s="273"/>
      <c r="AO305" s="3"/>
      <c r="AP305" s="3"/>
      <c r="AQ305" s="274"/>
      <c r="AR305" s="1"/>
      <c r="AS305" s="273"/>
      <c r="AT305" s="3"/>
      <c r="AU305" s="3"/>
      <c r="AV305" s="274"/>
      <c r="AW305" s="1"/>
      <c r="AX305" s="273"/>
      <c r="AY305" s="3"/>
      <c r="AZ305" s="3"/>
      <c r="BA305" s="274"/>
      <c r="BB305" s="1"/>
      <c r="BC305" s="273"/>
      <c r="BD305" s="3"/>
      <c r="BE305" s="3"/>
      <c r="BF305" s="274"/>
      <c r="BG305" s="1"/>
      <c r="BH305" s="273"/>
      <c r="BI305" s="3"/>
      <c r="BJ305" s="3"/>
      <c r="BK305" s="274"/>
      <c r="BL305" s="1"/>
      <c r="BM305" s="273"/>
      <c r="BN305" s="3"/>
      <c r="BO305" s="3"/>
      <c r="BP305" s="274"/>
      <c r="BQ305" s="1"/>
      <c r="BR305" s="40"/>
      <c r="BT305" s="40"/>
      <c r="BU305" s="232"/>
      <c r="BV305" s="40"/>
      <c r="BW305" s="40"/>
      <c r="BX305" s="40"/>
      <c r="BY305" s="40"/>
      <c r="BZ305" s="40"/>
      <c r="CA305" s="40"/>
      <c r="CB305" s="40"/>
      <c r="CC305" s="40"/>
      <c r="CD305" s="40"/>
      <c r="CE305" s="40"/>
      <c r="CF305" s="40"/>
      <c r="CG305" s="40"/>
      <c r="CH305" s="40"/>
      <c r="CI305" s="40"/>
      <c r="CJ305" s="40"/>
      <c r="CK305" s="40"/>
      <c r="CL305" s="40"/>
      <c r="CM305" s="40"/>
      <c r="CN305" s="40"/>
      <c r="CO305" s="40"/>
      <c r="CP305" s="40"/>
      <c r="CQ305" s="40"/>
      <c r="CR305" s="40"/>
      <c r="CS305" s="40"/>
      <c r="CT305" s="823"/>
      <c r="CU305" s="232"/>
      <c r="CV305" s="232"/>
      <c r="CW305" s="232"/>
      <c r="CX305" s="232"/>
      <c r="CY305" s="232"/>
      <c r="CZ305" s="40"/>
      <c r="DA305" s="40"/>
      <c r="DB305" s="40"/>
      <c r="DC305" s="40"/>
      <c r="DD305" s="40"/>
      <c r="DE305" s="40"/>
      <c r="DF305" s="232"/>
      <c r="DG305" s="232"/>
      <c r="DH305" s="232"/>
      <c r="DI305" s="232"/>
      <c r="DJ305" s="232"/>
      <c r="DK305" s="232"/>
      <c r="DL305" s="232"/>
      <c r="DM305" s="232"/>
      <c r="DN305" s="232"/>
    </row>
    <row r="306" spans="1:118">
      <c r="A306" s="40"/>
      <c r="B306" s="1"/>
      <c r="C306" s="28" t="s">
        <v>797</v>
      </c>
      <c r="D306" s="1"/>
      <c r="E306" s="273"/>
      <c r="F306" s="3"/>
      <c r="G306" s="3"/>
      <c r="H306" s="274"/>
      <c r="I306" s="28"/>
      <c r="J306" s="273"/>
      <c r="K306" s="3"/>
      <c r="L306" s="3"/>
      <c r="M306" s="274"/>
      <c r="N306" s="1"/>
      <c r="O306" s="273"/>
      <c r="P306" s="3"/>
      <c r="Q306" s="3"/>
      <c r="R306" s="274"/>
      <c r="S306" s="1"/>
      <c r="T306" s="758"/>
      <c r="U306" s="660"/>
      <c r="V306" s="660"/>
      <c r="W306" s="661"/>
      <c r="X306" s="428"/>
      <c r="Y306" s="758">
        <f>(Y298/1000*Y304)</f>
        <v>74.351573195177622</v>
      </c>
      <c r="Z306" s="660">
        <f>(Z298/1000*Z304)</f>
        <v>75.662661170252179</v>
      </c>
      <c r="AA306" s="660">
        <f>(AA298/1000*AA304)</f>
        <v>78.049462270533226</v>
      </c>
      <c r="AB306" s="661">
        <f>(AB298/1000*AB304)</f>
        <v>71.174197659245877</v>
      </c>
      <c r="AC306" s="428">
        <f>SUM(Y306:AB306)</f>
        <v>299.23789429520889</v>
      </c>
      <c r="AD306" s="758">
        <f>(AD298/1000*AD304)</f>
        <v>142.94142885177342</v>
      </c>
      <c r="AE306" s="660">
        <f>(AE298/1000*AE304)</f>
        <v>73.659582199938924</v>
      </c>
      <c r="AF306" s="660">
        <f>(AF298/1000*AF304)</f>
        <v>73.659582199938924</v>
      </c>
      <c r="AG306" s="661">
        <f>(AG298/1000*AG304)</f>
        <v>77.18701357149294</v>
      </c>
      <c r="AH306" s="428">
        <f>SUM(AD306:AG306)</f>
        <v>367.44760682314427</v>
      </c>
      <c r="AI306" s="758">
        <f>(AI298/1000*AI304)</f>
        <v>83.528341969249652</v>
      </c>
      <c r="AJ306" s="660">
        <f>(AJ298/1000*AJ304)</f>
        <v>58.464000034628476</v>
      </c>
      <c r="AK306" s="660">
        <f>(AK298/1000*AK304)</f>
        <v>65.82911779390551</v>
      </c>
      <c r="AL306" s="661">
        <f>(AL298/1000*AL304)</f>
        <v>59.324384368556878</v>
      </c>
      <c r="AM306" s="428">
        <f>SUM(AI306:AL306)</f>
        <v>267.14584416634051</v>
      </c>
      <c r="AN306" s="758">
        <f>(AN298/1000*AN304)</f>
        <v>55.367475780340683</v>
      </c>
      <c r="AO306" s="660">
        <f>(AO298/1000*AO304)</f>
        <v>57.169974984574566</v>
      </c>
      <c r="AP306" s="660">
        <f>(AP298/1000*AP304)</f>
        <v>70.294565916015827</v>
      </c>
      <c r="AQ306" s="661">
        <f>(AQ298/1000*AQ304)</f>
        <v>64.709871328662871</v>
      </c>
      <c r="AR306" s="428">
        <f>SUM(AN306:AQ306)</f>
        <v>247.54188800959395</v>
      </c>
      <c r="AS306" s="758">
        <f>(AS298/1000*AS304)</f>
        <v>65.336311374248424</v>
      </c>
      <c r="AT306" s="660">
        <f>(AT298/1000*AT304)</f>
        <v>65.791979038092421</v>
      </c>
      <c r="AU306" s="660">
        <f>(AU298/1000*AU304)</f>
        <v>65.89896928092611</v>
      </c>
      <c r="AV306" s="661">
        <f>(AV298/1000*AV304)</f>
        <v>71.729925810205998</v>
      </c>
      <c r="AW306" s="428">
        <f>SUM(AS306:AV306)</f>
        <v>268.75718550347295</v>
      </c>
      <c r="AX306" s="758">
        <f>(AX298/1000*AX304)</f>
        <v>105.10087722721005</v>
      </c>
      <c r="AY306" s="660">
        <f>(AY298/1000*AY304)</f>
        <v>95.262650698004023</v>
      </c>
      <c r="AZ306" s="660">
        <f>(AZ298/1000*AZ304)</f>
        <v>102.81146357680404</v>
      </c>
      <c r="BA306" s="661">
        <f>(BA298/1000*BA304)</f>
        <v>96.303145802804039</v>
      </c>
      <c r="BB306" s="428">
        <f>SUM(AX306:BA306)</f>
        <v>399.4781373048221</v>
      </c>
      <c r="BC306" s="758">
        <f>(BC298/1000*BC304)</f>
        <v>109.7586640206831</v>
      </c>
      <c r="BD306" s="660">
        <f>(BD298/1000*BD304)</f>
        <v>92.807636411344845</v>
      </c>
      <c r="BE306" s="660">
        <f>(BE298/1000*BE304)</f>
        <v>98.156273021171913</v>
      </c>
      <c r="BF306" s="661">
        <f>(BF298/1000*BF304)</f>
        <v>94.603536513245217</v>
      </c>
      <c r="BG306" s="428">
        <f>SUM(BC306:BF306)</f>
        <v>395.32610996644507</v>
      </c>
      <c r="BH306" s="758">
        <f>(BH298/1000*BH304)</f>
        <v>110.31453882685798</v>
      </c>
      <c r="BI306" s="660">
        <f>(BI298/1000*BI304)</f>
        <v>93.199151395185822</v>
      </c>
      <c r="BJ306" s="660">
        <f>(BJ298/1000*BJ304)</f>
        <v>98.562633258347262</v>
      </c>
      <c r="BK306" s="661">
        <f>(BK298/1000*BK304)</f>
        <v>95.017387091915054</v>
      </c>
      <c r="BL306" s="428">
        <f>SUM(BH306:BK306)</f>
        <v>397.09371057230612</v>
      </c>
      <c r="BM306" s="758">
        <f>(BM298/1000*BM304)</f>
        <v>104.61230067007412</v>
      </c>
      <c r="BN306" s="660">
        <f>(BN298/1000*BN304)</f>
        <v>104.61230067007412</v>
      </c>
      <c r="BO306" s="660">
        <f>(BO298/1000*BO304)</f>
        <v>104.61230067007412</v>
      </c>
      <c r="BP306" s="661">
        <f>(BP298/1000*BP304)</f>
        <v>104.61230067007412</v>
      </c>
      <c r="BQ306" s="428">
        <f>SUM(BM306:BP306)</f>
        <v>418.44920268029648</v>
      </c>
      <c r="BR306" s="40"/>
      <c r="BT306" s="40"/>
      <c r="BU306" s="232"/>
      <c r="BV306" s="40"/>
      <c r="BW306" s="40"/>
      <c r="BX306" s="40"/>
      <c r="BY306" s="40"/>
      <c r="BZ306" s="40"/>
      <c r="CA306" s="40"/>
      <c r="CB306" s="40"/>
      <c r="CC306" s="40"/>
      <c r="CD306" s="40"/>
      <c r="CE306" s="40"/>
      <c r="CF306" s="40"/>
      <c r="CG306" s="40"/>
      <c r="CH306" s="40"/>
      <c r="CI306" s="40"/>
      <c r="CJ306" s="40"/>
      <c r="CK306" s="40"/>
      <c r="CL306" s="40"/>
      <c r="CM306" s="40"/>
      <c r="CN306" s="40"/>
      <c r="CO306" s="40"/>
      <c r="CP306" s="40"/>
      <c r="CQ306" s="40"/>
      <c r="CR306" s="40"/>
      <c r="CS306" s="40"/>
      <c r="CT306" s="823"/>
      <c r="CU306" s="232"/>
      <c r="CV306" s="232"/>
      <c r="CW306" s="232"/>
      <c r="CX306" s="232"/>
      <c r="CY306" s="232"/>
      <c r="CZ306" s="40"/>
      <c r="DA306" s="40"/>
      <c r="DB306" s="40"/>
      <c r="DC306" s="40"/>
      <c r="DD306" s="40"/>
      <c r="DE306" s="40"/>
      <c r="DF306" s="232"/>
      <c r="DG306" s="232"/>
      <c r="DH306" s="232"/>
      <c r="DI306" s="232"/>
      <c r="DJ306" s="232"/>
      <c r="DK306" s="232"/>
      <c r="DL306" s="232"/>
      <c r="DM306" s="232"/>
      <c r="DN306" s="232"/>
    </row>
    <row r="307" spans="1:118">
      <c r="A307" s="40"/>
      <c r="B307" s="1"/>
      <c r="C307" s="28" t="s">
        <v>278</v>
      </c>
      <c r="D307" s="1"/>
      <c r="E307" s="273"/>
      <c r="F307" s="3"/>
      <c r="G307" s="3"/>
      <c r="H307" s="274"/>
      <c r="I307" s="28"/>
      <c r="J307" s="273"/>
      <c r="K307" s="3"/>
      <c r="L307" s="3"/>
      <c r="M307" s="274"/>
      <c r="N307" s="1"/>
      <c r="O307" s="273"/>
      <c r="P307" s="3"/>
      <c r="Q307" s="3"/>
      <c r="R307" s="274"/>
      <c r="S307" s="1"/>
      <c r="T307" s="758"/>
      <c r="U307" s="660"/>
      <c r="V307" s="660"/>
      <c r="W307" s="661"/>
      <c r="X307" s="428"/>
      <c r="Y307" s="758">
        <f>Y299/1000*Y304</f>
        <v>24.158081625000001</v>
      </c>
      <c r="Z307" s="660">
        <f>Z299/1000*Z304</f>
        <v>24.158081625000001</v>
      </c>
      <c r="AA307" s="660">
        <f>AA299/1000*AA304</f>
        <v>24.158081625000001</v>
      </c>
      <c r="AB307" s="661">
        <f>AB299/1000*AB304</f>
        <v>24.158081625000001</v>
      </c>
      <c r="AC307" s="428">
        <f>SUM(Y307:AB307)</f>
        <v>96.632326500000005</v>
      </c>
      <c r="AD307" s="758">
        <f>AD299/1000*AD304</f>
        <v>24.158081625000001</v>
      </c>
      <c r="AE307" s="660">
        <f>AE299/1000*AE304</f>
        <v>21.315954375</v>
      </c>
      <c r="AF307" s="660">
        <f>AF299/1000*AF304</f>
        <v>21.315954375</v>
      </c>
      <c r="AG307" s="661">
        <f>AG299/1000*AG304</f>
        <v>21.315954375</v>
      </c>
      <c r="AH307" s="428">
        <f>SUM(AD307:AG307)</f>
        <v>88.105944750000006</v>
      </c>
      <c r="AI307" s="758">
        <f>AI299/1000*AI304</f>
        <v>21.955433006250004</v>
      </c>
      <c r="AJ307" s="660">
        <f>AJ299/1000*AJ304</f>
        <v>21.955433006250004</v>
      </c>
      <c r="AK307" s="660">
        <f>AK299/1000*AK304</f>
        <v>21.955433006250004</v>
      </c>
      <c r="AL307" s="661">
        <f>AL299/1000*AL304</f>
        <v>21.955433006250004</v>
      </c>
      <c r="AM307" s="428">
        <f>SUM(AI307:AL307)</f>
        <v>87.821732025000017</v>
      </c>
      <c r="AN307" s="758">
        <f>AN299/1000*AN304</f>
        <v>22.736334353175</v>
      </c>
      <c r="AO307" s="660">
        <f>AO299/1000*AO304</f>
        <v>22.614095996437502</v>
      </c>
      <c r="AP307" s="660">
        <f>AP299/1000*AP304</f>
        <v>22.614095996437502</v>
      </c>
      <c r="AQ307" s="661">
        <f>AQ299/1000*AQ304</f>
        <v>22.614095996437502</v>
      </c>
      <c r="AR307" s="428">
        <f>SUM(AN307:AQ307)</f>
        <v>90.578622342487506</v>
      </c>
      <c r="AS307" s="758">
        <f>AS299/1000*AS304</f>
        <v>25.0721712</v>
      </c>
      <c r="AT307" s="660">
        <f>AT299/1000*AT304</f>
        <v>25.0721712</v>
      </c>
      <c r="AU307" s="660">
        <f>AU299/1000*AU304</f>
        <v>25.0721712</v>
      </c>
      <c r="AV307" s="661">
        <f>AV299/1000*AV304</f>
        <v>25.0721712</v>
      </c>
      <c r="AW307" s="428">
        <f>SUM(AS307:AV307)</f>
        <v>100.2886848</v>
      </c>
      <c r="AX307" s="758">
        <f>AX299/1000*AX304</f>
        <v>23.597337599999999</v>
      </c>
      <c r="AY307" s="660">
        <f>AY299/1000*AY304</f>
        <v>23.597337599999999</v>
      </c>
      <c r="AZ307" s="660">
        <f>AZ299/1000*AZ304</f>
        <v>23.597337599999999</v>
      </c>
      <c r="BA307" s="661">
        <f>BA299/1000*BA304</f>
        <v>23.597337599999999</v>
      </c>
      <c r="BB307" s="428">
        <f>SUM(AX307:BA307)</f>
        <v>94.389350399999998</v>
      </c>
      <c r="BC307" s="758">
        <f>BC299/1000*BC304</f>
        <v>22.859920799999998</v>
      </c>
      <c r="BD307" s="660">
        <f>BD299/1000*BD304</f>
        <v>22.859920799999998</v>
      </c>
      <c r="BE307" s="660">
        <f>BE299/1000*BE304</f>
        <v>22.859920799999998</v>
      </c>
      <c r="BF307" s="661">
        <f>BF299/1000*BF304</f>
        <v>22.859920799999998</v>
      </c>
      <c r="BG307" s="428">
        <f>SUM(BC307:BF307)</f>
        <v>91.43968319999999</v>
      </c>
      <c r="BH307" s="758">
        <f>BH299/1000*BH304</f>
        <v>21.385087200000001</v>
      </c>
      <c r="BI307" s="660">
        <f>BI299/1000*BI304</f>
        <v>21.385087200000001</v>
      </c>
      <c r="BJ307" s="660">
        <f>BJ299/1000*BJ304</f>
        <v>21.385087200000001</v>
      </c>
      <c r="BK307" s="661">
        <f>BK299/1000*BK304</f>
        <v>21.385087200000001</v>
      </c>
      <c r="BL307" s="428">
        <f>SUM(BH307:BK307)</f>
        <v>85.540348800000004</v>
      </c>
      <c r="BM307" s="758">
        <f>BM299/1000*BM304</f>
        <v>21.385087200000001</v>
      </c>
      <c r="BN307" s="660">
        <f>BN299/1000*BN304</f>
        <v>21.385087200000001</v>
      </c>
      <c r="BO307" s="660">
        <f>BO299/1000*BO304</f>
        <v>21.385087200000001</v>
      </c>
      <c r="BP307" s="661">
        <f>BP299/1000*BP304</f>
        <v>21.385087200000001</v>
      </c>
      <c r="BQ307" s="428">
        <f>SUM(BM307:BP307)</f>
        <v>85.540348800000004</v>
      </c>
      <c r="BR307" s="40"/>
      <c r="BT307" s="40"/>
      <c r="BU307" s="232"/>
      <c r="BV307" s="40"/>
      <c r="BW307" s="40"/>
      <c r="BX307" s="40"/>
      <c r="BY307" s="40"/>
      <c r="BZ307" s="40"/>
      <c r="CA307" s="40"/>
      <c r="CB307" s="40"/>
      <c r="CC307" s="40"/>
      <c r="CD307" s="40"/>
      <c r="CE307" s="40"/>
      <c r="CF307" s="40"/>
      <c r="CG307" s="40"/>
      <c r="CH307" s="40"/>
      <c r="CI307" s="40"/>
      <c r="CJ307" s="40"/>
      <c r="CK307" s="40"/>
      <c r="CL307" s="40"/>
      <c r="CM307" s="40"/>
      <c r="CN307" s="40"/>
      <c r="CO307" s="40"/>
      <c r="CP307" s="40"/>
      <c r="CQ307" s="40"/>
      <c r="CR307" s="40"/>
      <c r="CS307" s="40"/>
      <c r="CT307" s="823"/>
      <c r="CU307" s="232"/>
      <c r="CV307" s="232"/>
      <c r="CW307" s="232"/>
      <c r="CX307" s="232"/>
      <c r="CY307" s="232"/>
      <c r="CZ307" s="40"/>
      <c r="DA307" s="40"/>
      <c r="DB307" s="40"/>
      <c r="DC307" s="40"/>
      <c r="DD307" s="40"/>
      <c r="DE307" s="40"/>
      <c r="DF307" s="232"/>
      <c r="DG307" s="232"/>
      <c r="DH307" s="232"/>
      <c r="DI307" s="232"/>
      <c r="DJ307" s="232"/>
      <c r="DK307" s="232"/>
      <c r="DL307" s="232"/>
      <c r="DM307" s="232"/>
      <c r="DN307" s="232"/>
    </row>
    <row r="308" spans="1:118">
      <c r="A308" s="40"/>
      <c r="B308" s="1"/>
      <c r="C308" s="32" t="s">
        <v>199</v>
      </c>
      <c r="D308" s="32"/>
      <c r="E308" s="489"/>
      <c r="F308" s="342"/>
      <c r="G308" s="342"/>
      <c r="H308" s="490"/>
      <c r="I308" s="28"/>
      <c r="J308" s="489"/>
      <c r="K308" s="342"/>
      <c r="L308" s="342"/>
      <c r="M308" s="490"/>
      <c r="N308" s="32"/>
      <c r="O308" s="489"/>
      <c r="P308" s="342"/>
      <c r="Q308" s="342"/>
      <c r="R308" s="490"/>
      <c r="S308" s="32"/>
      <c r="T308" s="292"/>
      <c r="U308" s="261"/>
      <c r="V308" s="261"/>
      <c r="W308" s="293"/>
      <c r="X308" s="228"/>
      <c r="Y308" s="292">
        <f t="shared" ref="Y308:BL308" si="479">Y306-Y307</f>
        <v>50.193491570177621</v>
      </c>
      <c r="Z308" s="261">
        <f t="shared" si="479"/>
        <v>51.504579545252177</v>
      </c>
      <c r="AA308" s="261">
        <f t="shared" si="479"/>
        <v>53.891380645533225</v>
      </c>
      <c r="AB308" s="293">
        <f t="shared" si="479"/>
        <v>47.016116034245876</v>
      </c>
      <c r="AC308" s="228">
        <f t="shared" si="479"/>
        <v>202.60556779520888</v>
      </c>
      <c r="AD308" s="292">
        <f t="shared" si="479"/>
        <v>118.78334722677343</v>
      </c>
      <c r="AE308" s="261">
        <f t="shared" si="479"/>
        <v>52.34362782493892</v>
      </c>
      <c r="AF308" s="261">
        <f t="shared" si="479"/>
        <v>52.34362782493892</v>
      </c>
      <c r="AG308" s="293">
        <f t="shared" si="479"/>
        <v>55.871059196492936</v>
      </c>
      <c r="AH308" s="228">
        <f t="shared" si="479"/>
        <v>279.34166207314428</v>
      </c>
      <c r="AI308" s="292">
        <f t="shared" si="479"/>
        <v>61.572908962999648</v>
      </c>
      <c r="AJ308" s="261">
        <f t="shared" si="479"/>
        <v>36.508567028378472</v>
      </c>
      <c r="AK308" s="261">
        <f t="shared" si="479"/>
        <v>43.873684787655506</v>
      </c>
      <c r="AL308" s="293">
        <f t="shared" si="479"/>
        <v>37.368951362306873</v>
      </c>
      <c r="AM308" s="228">
        <f t="shared" si="479"/>
        <v>179.32411214134049</v>
      </c>
      <c r="AN308" s="292">
        <f t="shared" si="479"/>
        <v>32.631141427165687</v>
      </c>
      <c r="AO308" s="261">
        <f t="shared" si="479"/>
        <v>34.555878988137067</v>
      </c>
      <c r="AP308" s="261">
        <f t="shared" si="479"/>
        <v>47.680469919578329</v>
      </c>
      <c r="AQ308" s="293">
        <f t="shared" si="479"/>
        <v>42.095775332225372</v>
      </c>
      <c r="AR308" s="228">
        <f t="shared" si="479"/>
        <v>156.96326566710644</v>
      </c>
      <c r="AS308" s="292">
        <f t="shared" si="479"/>
        <v>40.264140174248425</v>
      </c>
      <c r="AT308" s="261">
        <f t="shared" si="479"/>
        <v>40.719807838092422</v>
      </c>
      <c r="AU308" s="261">
        <f t="shared" si="479"/>
        <v>40.82679808092611</v>
      </c>
      <c r="AV308" s="293">
        <f t="shared" si="479"/>
        <v>46.657754610205998</v>
      </c>
      <c r="AW308" s="228">
        <f t="shared" si="479"/>
        <v>168.46850070347296</v>
      </c>
      <c r="AX308" s="292">
        <f t="shared" si="479"/>
        <v>81.503539627210046</v>
      </c>
      <c r="AY308" s="261">
        <f t="shared" si="479"/>
        <v>71.66531309800402</v>
      </c>
      <c r="AZ308" s="261">
        <f t="shared" si="479"/>
        <v>79.214125976804041</v>
      </c>
      <c r="BA308" s="293">
        <f t="shared" si="479"/>
        <v>72.705808202804036</v>
      </c>
      <c r="BB308" s="228">
        <f t="shared" si="479"/>
        <v>305.08878690482209</v>
      </c>
      <c r="BC308" s="292">
        <f t="shared" si="479"/>
        <v>86.898743220683102</v>
      </c>
      <c r="BD308" s="261">
        <f t="shared" si="479"/>
        <v>69.947715611344847</v>
      </c>
      <c r="BE308" s="261">
        <f t="shared" si="479"/>
        <v>75.296352221171915</v>
      </c>
      <c r="BF308" s="293">
        <f t="shared" si="479"/>
        <v>71.743615713245219</v>
      </c>
      <c r="BG308" s="228">
        <f t="shared" si="479"/>
        <v>303.88642676644508</v>
      </c>
      <c r="BH308" s="292">
        <f t="shared" si="479"/>
        <v>88.929451626857983</v>
      </c>
      <c r="BI308" s="261">
        <f t="shared" si="479"/>
        <v>71.814064195185821</v>
      </c>
      <c r="BJ308" s="261">
        <f t="shared" si="479"/>
        <v>77.177546058347261</v>
      </c>
      <c r="BK308" s="293">
        <f t="shared" si="479"/>
        <v>73.632299891915054</v>
      </c>
      <c r="BL308" s="228">
        <f t="shared" si="479"/>
        <v>311.55336177230612</v>
      </c>
      <c r="BM308" s="292">
        <f t="shared" ref="BM308:BQ308" si="480">BM306-BM307</f>
        <v>83.227213470074119</v>
      </c>
      <c r="BN308" s="261">
        <f t="shared" si="480"/>
        <v>83.227213470074119</v>
      </c>
      <c r="BO308" s="261">
        <f t="shared" si="480"/>
        <v>83.227213470074119</v>
      </c>
      <c r="BP308" s="293">
        <f t="shared" si="480"/>
        <v>83.227213470074119</v>
      </c>
      <c r="BQ308" s="228">
        <f t="shared" si="480"/>
        <v>332.90885388029648</v>
      </c>
      <c r="BT308" s="40"/>
      <c r="BU308" s="232"/>
      <c r="BV308" s="40"/>
      <c r="BW308" s="40"/>
      <c r="BX308" s="40"/>
      <c r="BY308" s="40"/>
      <c r="BZ308" s="40"/>
      <c r="CA308" s="40"/>
      <c r="CB308" s="40"/>
      <c r="CC308" s="40"/>
      <c r="CD308" s="40"/>
      <c r="CE308" s="40"/>
      <c r="CF308" s="40"/>
      <c r="CG308" s="40"/>
      <c r="CH308" s="40"/>
      <c r="CI308" s="40"/>
      <c r="CJ308" s="40"/>
      <c r="CK308" s="40"/>
      <c r="CL308" s="40"/>
      <c r="CM308" s="40"/>
      <c r="CN308" s="40"/>
      <c r="CO308" s="40"/>
      <c r="CP308" s="40"/>
      <c r="CQ308" s="40"/>
      <c r="CR308" s="40"/>
      <c r="CS308" s="40"/>
      <c r="CT308" s="823"/>
      <c r="CU308" s="232"/>
      <c r="CV308" s="232"/>
      <c r="CW308" s="232"/>
      <c r="CX308" s="232"/>
      <c r="CY308" s="232"/>
      <c r="CZ308" s="40"/>
      <c r="DA308" s="40"/>
      <c r="DB308" s="40"/>
      <c r="DC308" s="40"/>
      <c r="DD308" s="40"/>
      <c r="DE308" s="40"/>
      <c r="DF308" s="232"/>
      <c r="DG308" s="232"/>
      <c r="DH308" s="232"/>
      <c r="DI308" s="232"/>
      <c r="DJ308" s="232"/>
      <c r="DK308" s="232"/>
      <c r="DL308" s="232"/>
      <c r="DM308" s="232"/>
      <c r="DN308" s="232"/>
    </row>
    <row r="309" spans="1:118">
      <c r="A309" s="40"/>
      <c r="Y309" s="788"/>
      <c r="Z309" s="789"/>
      <c r="AA309" s="789"/>
      <c r="AB309" s="790"/>
      <c r="AC309" s="747"/>
      <c r="AD309" s="788"/>
      <c r="AE309" s="789"/>
      <c r="AF309" s="789"/>
      <c r="AG309" s="790"/>
      <c r="AH309" s="747"/>
      <c r="AI309" s="788"/>
      <c r="AJ309" s="789"/>
      <c r="AK309" s="789"/>
      <c r="AL309" s="790"/>
      <c r="AM309" s="747"/>
      <c r="AN309" s="788"/>
      <c r="AO309" s="789"/>
      <c r="AP309" s="789"/>
      <c r="AQ309" s="790"/>
      <c r="AR309" s="747"/>
      <c r="AS309" s="788"/>
      <c r="AT309" s="789"/>
      <c r="AU309" s="789"/>
      <c r="AV309" s="790"/>
      <c r="AW309" s="747"/>
      <c r="AX309" s="788"/>
      <c r="AY309" s="789"/>
      <c r="AZ309" s="789"/>
      <c r="BA309" s="790"/>
      <c r="BB309" s="747"/>
      <c r="BC309" s="788"/>
      <c r="BD309" s="789"/>
      <c r="BE309" s="789"/>
      <c r="BF309" s="790"/>
      <c r="BG309" s="747"/>
      <c r="BH309" s="788"/>
      <c r="BI309" s="789"/>
      <c r="BJ309" s="789"/>
      <c r="BK309" s="790"/>
      <c r="BL309" s="747"/>
      <c r="BM309" s="788"/>
      <c r="BN309" s="789"/>
      <c r="BO309" s="789"/>
      <c r="BP309" s="790"/>
      <c r="BQ309" s="747"/>
      <c r="BS309" s="40"/>
      <c r="BT309" s="40"/>
      <c r="BU309" s="232"/>
      <c r="BV309" s="40"/>
      <c r="BW309" s="40"/>
      <c r="BX309" s="40"/>
      <c r="BY309" s="40"/>
      <c r="BZ309" s="40"/>
      <c r="CA309" s="40"/>
      <c r="CB309" s="40"/>
      <c r="CC309" s="40"/>
      <c r="CD309" s="40"/>
      <c r="CE309" s="40"/>
      <c r="CF309" s="40"/>
      <c r="CG309" s="40"/>
      <c r="CH309" s="40"/>
      <c r="CI309" s="40"/>
      <c r="CJ309" s="40"/>
      <c r="CK309" s="40"/>
      <c r="CL309" s="40"/>
      <c r="CM309" s="40"/>
      <c r="CN309" s="40"/>
      <c r="CO309" s="40"/>
      <c r="CP309" s="40"/>
      <c r="CQ309" s="40"/>
      <c r="CR309" s="40"/>
      <c r="CS309" s="40"/>
      <c r="CT309" s="823"/>
      <c r="CU309" s="232"/>
      <c r="CV309" s="232"/>
      <c r="CW309" s="232"/>
      <c r="CX309" s="232"/>
      <c r="CY309" s="232"/>
      <c r="CZ309" s="40"/>
      <c r="DA309" s="40"/>
      <c r="DB309" s="40"/>
      <c r="DC309" s="40"/>
      <c r="DD309" s="40"/>
      <c r="DE309" s="40"/>
      <c r="DF309" s="232"/>
      <c r="DG309" s="232"/>
      <c r="DH309" s="232"/>
      <c r="DI309" s="232"/>
      <c r="DJ309" s="232"/>
      <c r="DK309" s="232"/>
      <c r="DL309" s="232"/>
      <c r="DM309" s="232"/>
      <c r="DN309" s="232"/>
    </row>
    <row r="310" spans="1:118">
      <c r="A310" s="40"/>
      <c r="B310" s="1"/>
      <c r="C310" s="429" t="s">
        <v>1434</v>
      </c>
      <c r="D310" s="1"/>
      <c r="E310" s="273"/>
      <c r="F310" s="3"/>
      <c r="G310" s="3"/>
      <c r="H310" s="274"/>
      <c r="I310" s="28"/>
      <c r="J310" s="273"/>
      <c r="K310" s="3"/>
      <c r="L310" s="3"/>
      <c r="M310" s="274"/>
      <c r="N310" s="1"/>
      <c r="O310" s="273"/>
      <c r="P310" s="3"/>
      <c r="Q310" s="3"/>
      <c r="R310" s="274"/>
      <c r="S310" s="1"/>
      <c r="T310" s="273"/>
      <c r="U310" s="3"/>
      <c r="V310" s="3"/>
      <c r="W310" s="274"/>
      <c r="X310" s="1"/>
      <c r="Y310" s="273"/>
      <c r="Z310" s="3"/>
      <c r="AA310" s="3"/>
      <c r="AB310" s="274"/>
      <c r="AC310" s="1"/>
      <c r="AD310" s="273"/>
      <c r="AE310" s="3"/>
      <c r="AF310" s="3"/>
      <c r="AG310" s="274"/>
      <c r="AH310" s="1"/>
      <c r="AI310" s="273"/>
      <c r="AJ310" s="3"/>
      <c r="AK310" s="3"/>
      <c r="AL310" s="274"/>
      <c r="AM310" s="1"/>
      <c r="AN310" s="273"/>
      <c r="AO310" s="3"/>
      <c r="AP310" s="3"/>
      <c r="AQ310" s="274"/>
      <c r="AR310" s="1"/>
      <c r="AS310" s="273"/>
      <c r="AT310" s="3"/>
      <c r="AU310" s="3"/>
      <c r="AV310" s="274"/>
      <c r="AW310" s="1"/>
      <c r="AX310" s="273"/>
      <c r="AY310" s="3"/>
      <c r="AZ310" s="3"/>
      <c r="BA310" s="274"/>
      <c r="BB310" s="1"/>
      <c r="BC310" s="273"/>
      <c r="BD310" s="3"/>
      <c r="BE310" s="3"/>
      <c r="BF310" s="274"/>
      <c r="BG310" s="1"/>
      <c r="BH310" s="273"/>
      <c r="BI310" s="3"/>
      <c r="BJ310" s="3"/>
      <c r="BK310" s="274"/>
      <c r="BL310" s="1"/>
      <c r="BM310" s="273"/>
      <c r="BN310" s="3"/>
      <c r="BO310" s="3"/>
      <c r="BP310" s="274"/>
      <c r="BQ310" s="1"/>
      <c r="BS310" s="40"/>
      <c r="BT310" s="40"/>
      <c r="BU310" s="232"/>
      <c r="BV310" s="1147" t="s">
        <v>1497</v>
      </c>
      <c r="BW310" s="40"/>
      <c r="BY310" s="40"/>
      <c r="BZ310" s="40"/>
      <c r="CA310" s="40"/>
      <c r="CB310" s="40"/>
      <c r="CC310" s="40"/>
      <c r="CD310" s="40"/>
      <c r="CE310" s="40"/>
      <c r="CF310" s="40"/>
      <c r="CG310" s="40"/>
      <c r="CH310" s="40"/>
      <c r="CI310" s="40"/>
      <c r="CJ310" s="40"/>
      <c r="CK310" s="40"/>
      <c r="CL310" s="40"/>
      <c r="CM310" s="40"/>
      <c r="CN310" s="40"/>
      <c r="CO310" s="40"/>
      <c r="CP310" s="40"/>
      <c r="CQ310" s="40"/>
      <c r="CR310" s="40"/>
      <c r="CS310" s="40"/>
      <c r="CT310" s="823"/>
      <c r="CU310" s="232"/>
      <c r="CV310" s="232"/>
      <c r="CW310" s="232"/>
      <c r="CX310" s="232"/>
      <c r="CY310" s="232"/>
      <c r="CZ310" s="40"/>
      <c r="DA310" s="40"/>
      <c r="DB310" s="40"/>
      <c r="DC310" s="40"/>
      <c r="DD310" s="40"/>
      <c r="DE310" s="40"/>
      <c r="DF310" s="232"/>
      <c r="DG310" s="232"/>
      <c r="DH310" s="232"/>
      <c r="DI310" s="232"/>
      <c r="DJ310" s="232"/>
      <c r="DK310" s="232"/>
      <c r="DL310" s="232"/>
      <c r="DM310" s="232"/>
      <c r="DN310" s="232"/>
    </row>
    <row r="311" spans="1:118">
      <c r="A311" s="40"/>
      <c r="B311" s="1"/>
      <c r="C311" s="28" t="s">
        <v>194</v>
      </c>
      <c r="D311" s="1"/>
      <c r="E311" s="273"/>
      <c r="F311" s="3"/>
      <c r="G311" s="3"/>
      <c r="H311" s="274"/>
      <c r="I311" s="544">
        <v>0.1</v>
      </c>
      <c r="J311" s="273"/>
      <c r="K311" s="3"/>
      <c r="L311" s="3"/>
      <c r="M311" s="274"/>
      <c r="N311" s="1"/>
      <c r="O311" s="273"/>
      <c r="P311" s="3"/>
      <c r="Q311" s="3"/>
      <c r="R311" s="274"/>
      <c r="S311" s="1"/>
      <c r="T311" s="436"/>
      <c r="U311" s="437"/>
      <c r="V311" s="437"/>
      <c r="W311" s="438"/>
      <c r="X311" s="439"/>
      <c r="Y311" s="436">
        <f t="shared" ref="Y311:AU311" si="481">Y$79*(1-$I311)</f>
        <v>30.580177127100537</v>
      </c>
      <c r="Z311" s="437">
        <f t="shared" si="481"/>
        <v>31.58417545155649</v>
      </c>
      <c r="AA311" s="437">
        <f t="shared" si="481"/>
        <v>30.408964370192557</v>
      </c>
      <c r="AB311" s="438">
        <f t="shared" si="481"/>
        <v>28.962555371789829</v>
      </c>
      <c r="AC311" s="439">
        <f t="shared" si="481"/>
        <v>30.383968080159853</v>
      </c>
      <c r="AD311" s="436">
        <f t="shared" si="481"/>
        <v>60.000776477140917</v>
      </c>
      <c r="AE311" s="437">
        <f t="shared" si="481"/>
        <v>28.893175514149767</v>
      </c>
      <c r="AF311" s="437">
        <f t="shared" si="481"/>
        <v>28.893175514149767</v>
      </c>
      <c r="AG311" s="438">
        <f t="shared" si="481"/>
        <v>30.838223593651581</v>
      </c>
      <c r="AH311" s="439">
        <f t="shared" si="481"/>
        <v>37.156337774773007</v>
      </c>
      <c r="AI311" s="436">
        <f t="shared" si="481"/>
        <v>34.225852869044061</v>
      </c>
      <c r="AJ311" s="437">
        <f t="shared" si="481"/>
        <v>26.652875382682165</v>
      </c>
      <c r="AK311" s="437">
        <f t="shared" si="481"/>
        <v>25.851283163729093</v>
      </c>
      <c r="AL311" s="438">
        <f t="shared" si="481"/>
        <v>23.557071088683902</v>
      </c>
      <c r="AM311" s="439">
        <f t="shared" si="481"/>
        <v>27.571770626034809</v>
      </c>
      <c r="AN311" s="436">
        <f t="shared" si="481"/>
        <v>22.076268176318781</v>
      </c>
      <c r="AO311" s="437">
        <f t="shared" si="481"/>
        <v>23.588756768063405</v>
      </c>
      <c r="AP311" s="437">
        <f t="shared" si="481"/>
        <v>27.045255752904851</v>
      </c>
      <c r="AQ311" s="438">
        <f t="shared" si="481"/>
        <v>25.711775844767661</v>
      </c>
      <c r="AR311" s="439">
        <f t="shared" si="481"/>
        <v>24.605514135513673</v>
      </c>
      <c r="AS311" s="436">
        <f t="shared" si="481"/>
        <v>25.397859872706569</v>
      </c>
      <c r="AT311" s="437">
        <f t="shared" si="481"/>
        <v>24.913615031461841</v>
      </c>
      <c r="AU311" s="437">
        <f t="shared" si="481"/>
        <v>26.569130127992043</v>
      </c>
      <c r="AV311" s="2101">
        <f>AV$79*(1-$I311)</f>
        <v>32.256759982429813</v>
      </c>
      <c r="AW311" s="2144">
        <f>AW$79*(1-$I311)</f>
        <v>27.284341253647568</v>
      </c>
      <c r="AX311" s="2143">
        <f>AX$79*(1-$I311)+CF321</f>
        <v>43.570223215503717</v>
      </c>
      <c r="AY311" s="2089">
        <f>AY$79*(1-$I311)+CF321</f>
        <v>37.258963233073899</v>
      </c>
      <c r="AZ311" s="2089">
        <f>AZ$79*(1-$I311)+CF321</f>
        <v>38.517463233073912</v>
      </c>
      <c r="BA311" s="2101">
        <f>BA$79*(1-$I311)+CF321</f>
        <v>37.418338233073904</v>
      </c>
      <c r="BB311" s="2144">
        <f>BB$79*(1-$I311)+CF321</f>
        <v>39.191246978681356</v>
      </c>
      <c r="BC311" s="2143">
        <f>BC$79*(1-$I311)+CF322</f>
        <v>38.602474287681403</v>
      </c>
      <c r="BD311" s="2089">
        <f>BD$79*(1-$I311)+CF322</f>
        <v>33.915061812000452</v>
      </c>
      <c r="BE311" s="2089">
        <f>BE$79*(1-$I311)+CF322</f>
        <v>35.413849600730032</v>
      </c>
      <c r="BF311" s="2101">
        <f>BF$79*(1-$I311)+CF322</f>
        <v>41.07298148176973</v>
      </c>
      <c r="BG311" s="2144">
        <f>BG$79*(1-$I311)+CF322</f>
        <v>37.251091795545399</v>
      </c>
      <c r="BH311" s="2143">
        <f>BH$75*(1-$I311)+CF323</f>
        <v>38.933420083427798</v>
      </c>
      <c r="BI311" s="2089">
        <f>BI$75*(1-$I311)+CF323</f>
        <v>32.78961683414839</v>
      </c>
      <c r="BJ311" s="2089">
        <f>BJ$75*(1-$I311)+CF323</f>
        <v>34.714912269609243</v>
      </c>
      <c r="BK311" s="2101">
        <f>BK$75*(1-$I311)+CF323</f>
        <v>33.442297495110168</v>
      </c>
      <c r="BL311" s="2144">
        <f>BL$75*(1-$I311)+CF323</f>
        <v>35.030199863380204</v>
      </c>
      <c r="BM311" s="2143">
        <f>BM$75*(1-$I311)+CF324</f>
        <v>36.886523426505846</v>
      </c>
      <c r="BN311" s="2089">
        <f>BN$75*(1-$I311)+CF324</f>
        <v>36.886523426505846</v>
      </c>
      <c r="BO311" s="2089">
        <f>BO$75*(1-$I311)+CF324</f>
        <v>36.886523426505846</v>
      </c>
      <c r="BP311" s="2101">
        <f>BP$75*(1-$I311)+CF324</f>
        <v>36.886523426505846</v>
      </c>
      <c r="BQ311" s="2144">
        <f>BQ$75*(1-$I311)+CF324</f>
        <v>37.048017301627368</v>
      </c>
      <c r="BR311" s="236"/>
      <c r="BS311" s="1084"/>
      <c r="BT311" s="40"/>
      <c r="BU311" s="2231"/>
      <c r="BV311" s="2232" t="s">
        <v>1454</v>
      </c>
      <c r="BW311" s="2232" t="s">
        <v>1456</v>
      </c>
      <c r="BX311" s="2232" t="s">
        <v>1495</v>
      </c>
      <c r="BY311" s="2232" t="s">
        <v>1500</v>
      </c>
      <c r="BZ311" s="2195" t="s">
        <v>1459</v>
      </c>
      <c r="CA311" s="2232" t="s">
        <v>1487</v>
      </c>
      <c r="CB311" s="2232"/>
      <c r="CC311" s="2232" t="s">
        <v>1492</v>
      </c>
      <c r="CD311" s="2232" t="s">
        <v>1493</v>
      </c>
      <c r="CE311" s="2232" t="s">
        <v>1496</v>
      </c>
      <c r="CF311" s="2232" t="s">
        <v>1494</v>
      </c>
      <c r="CK311" s="40"/>
      <c r="CL311" s="40"/>
      <c r="CM311" s="40"/>
      <c r="CN311" s="40"/>
      <c r="CO311" s="40"/>
      <c r="CP311" s="40"/>
      <c r="CQ311" s="40"/>
      <c r="CR311" s="40"/>
      <c r="CS311" s="40"/>
      <c r="CT311" s="823"/>
      <c r="CU311" s="232"/>
      <c r="CV311" s="232"/>
      <c r="CW311" s="232"/>
      <c r="CX311" s="232"/>
      <c r="CY311" s="232"/>
      <c r="CZ311" s="40"/>
      <c r="DA311" s="40"/>
      <c r="DB311" s="40"/>
      <c r="DC311" s="40"/>
      <c r="DD311" s="40"/>
      <c r="DE311" s="40"/>
      <c r="DF311" s="232"/>
      <c r="DG311" s="232"/>
      <c r="DH311" s="232"/>
      <c r="DI311" s="232"/>
      <c r="DJ311" s="232"/>
      <c r="DK311" s="232"/>
      <c r="DL311" s="232"/>
      <c r="DM311" s="232"/>
      <c r="DN311" s="232"/>
    </row>
    <row r="312" spans="1:118">
      <c r="A312" s="40"/>
      <c r="B312" s="1"/>
      <c r="C312" s="28" t="s">
        <v>195</v>
      </c>
      <c r="D312" s="1"/>
      <c r="E312" s="273"/>
      <c r="F312" s="3"/>
      <c r="G312" s="3"/>
      <c r="H312" s="274"/>
      <c r="I312" s="28"/>
      <c r="J312" s="273"/>
      <c r="K312" s="3"/>
      <c r="L312" s="3"/>
      <c r="M312" s="274"/>
      <c r="N312" s="1"/>
      <c r="O312" s="273"/>
      <c r="P312" s="3"/>
      <c r="Q312" s="3"/>
      <c r="R312" s="274"/>
      <c r="S312" s="1"/>
      <c r="T312" s="436"/>
      <c r="U312" s="437"/>
      <c r="V312" s="437"/>
      <c r="W312" s="438"/>
      <c r="X312" s="439"/>
      <c r="Y312" s="436">
        <f t="shared" ref="Y312:BQ312" si="482">+Y$273</f>
        <v>8.5</v>
      </c>
      <c r="Z312" s="437">
        <f t="shared" si="482"/>
        <v>8.5</v>
      </c>
      <c r="AA312" s="437">
        <f t="shared" si="482"/>
        <v>8.5</v>
      </c>
      <c r="AB312" s="438">
        <f t="shared" si="482"/>
        <v>8.5</v>
      </c>
      <c r="AC312" s="439">
        <f t="shared" si="482"/>
        <v>8.5</v>
      </c>
      <c r="AD312" s="436">
        <f t="shared" si="482"/>
        <v>8.5</v>
      </c>
      <c r="AE312" s="437">
        <f t="shared" si="482"/>
        <v>7.5</v>
      </c>
      <c r="AF312" s="437">
        <f t="shared" si="482"/>
        <v>7.5</v>
      </c>
      <c r="AG312" s="438">
        <f t="shared" si="482"/>
        <v>7.5</v>
      </c>
      <c r="AH312" s="439">
        <f t="shared" si="482"/>
        <v>7.5</v>
      </c>
      <c r="AI312" s="436">
        <f t="shared" si="482"/>
        <v>7.7250000000000005</v>
      </c>
      <c r="AJ312" s="437">
        <f t="shared" si="482"/>
        <v>7.7250000000000005</v>
      </c>
      <c r="AK312" s="437">
        <f t="shared" si="482"/>
        <v>7.7250000000000005</v>
      </c>
      <c r="AL312" s="438">
        <f t="shared" si="482"/>
        <v>7.7250000000000005</v>
      </c>
      <c r="AM312" s="439">
        <f t="shared" si="482"/>
        <v>7.7250000000000005</v>
      </c>
      <c r="AN312" s="436">
        <f t="shared" si="482"/>
        <v>7.9567500000000004</v>
      </c>
      <c r="AO312" s="437">
        <f t="shared" si="482"/>
        <v>7.9567500000000004</v>
      </c>
      <c r="AP312" s="437">
        <f t="shared" si="482"/>
        <v>7.9567500000000004</v>
      </c>
      <c r="AQ312" s="438">
        <f t="shared" si="482"/>
        <v>7.9567500000000004</v>
      </c>
      <c r="AR312" s="439">
        <f t="shared" si="482"/>
        <v>7.9567500000000004</v>
      </c>
      <c r="AS312" s="436">
        <f t="shared" si="482"/>
        <v>8.5</v>
      </c>
      <c r="AT312" s="437">
        <f t="shared" si="482"/>
        <v>8.5</v>
      </c>
      <c r="AU312" s="437">
        <f t="shared" si="482"/>
        <v>8.5</v>
      </c>
      <c r="AV312" s="438">
        <f t="shared" si="482"/>
        <v>8.5</v>
      </c>
      <c r="AW312" s="439">
        <f t="shared" si="482"/>
        <v>8.5</v>
      </c>
      <c r="AX312" s="436">
        <f t="shared" si="482"/>
        <v>8</v>
      </c>
      <c r="AY312" s="437">
        <f t="shared" si="482"/>
        <v>8</v>
      </c>
      <c r="AZ312" s="437">
        <f t="shared" si="482"/>
        <v>8</v>
      </c>
      <c r="BA312" s="438">
        <f t="shared" si="482"/>
        <v>8</v>
      </c>
      <c r="BB312" s="439">
        <f t="shared" si="482"/>
        <v>8</v>
      </c>
      <c r="BC312" s="436">
        <f t="shared" si="482"/>
        <v>7.75</v>
      </c>
      <c r="BD312" s="437">
        <f t="shared" si="482"/>
        <v>7.75</v>
      </c>
      <c r="BE312" s="437">
        <f t="shared" si="482"/>
        <v>7.75</v>
      </c>
      <c r="BF312" s="438">
        <f>+BF$273</f>
        <v>7.75</v>
      </c>
      <c r="BG312" s="439">
        <f>+BG$273</f>
        <v>7.75</v>
      </c>
      <c r="BH312" s="436">
        <f t="shared" si="482"/>
        <v>7.25</v>
      </c>
      <c r="BI312" s="437">
        <f t="shared" si="482"/>
        <v>7.25</v>
      </c>
      <c r="BJ312" s="437">
        <f t="shared" si="482"/>
        <v>7.25</v>
      </c>
      <c r="BK312" s="438">
        <f t="shared" si="482"/>
        <v>7.25</v>
      </c>
      <c r="BL312" s="439">
        <f t="shared" si="482"/>
        <v>7.25</v>
      </c>
      <c r="BM312" s="436">
        <f t="shared" si="482"/>
        <v>7.25</v>
      </c>
      <c r="BN312" s="437">
        <f t="shared" si="482"/>
        <v>7.25</v>
      </c>
      <c r="BO312" s="437">
        <f t="shared" si="482"/>
        <v>7.25</v>
      </c>
      <c r="BP312" s="438">
        <f t="shared" si="482"/>
        <v>7.25</v>
      </c>
      <c r="BQ312" s="439">
        <f t="shared" si="482"/>
        <v>7.25</v>
      </c>
      <c r="BR312" s="236"/>
      <c r="BS312" s="40"/>
      <c r="BT312" s="40"/>
      <c r="BU312" s="34" t="s">
        <v>1488</v>
      </c>
      <c r="BV312" s="2233">
        <v>16.5</v>
      </c>
      <c r="BW312" s="2234">
        <v>31.4</v>
      </c>
      <c r="BX312" s="2235">
        <f>AW75</f>
        <v>26.794750716076699</v>
      </c>
      <c r="BY312" s="2235">
        <f>AW675*365/(8760*0.93)</f>
        <v>4.2445116487455197</v>
      </c>
      <c r="BZ312" s="2236">
        <f>MAX(0,(BX312+BY312)-BW312)</f>
        <v>0</v>
      </c>
      <c r="CA312" s="2234">
        <v>16.5</v>
      </c>
      <c r="CB312" s="2234"/>
      <c r="CC312" s="2237">
        <f>AW304</f>
        <v>11798.668799999999</v>
      </c>
      <c r="CD312" s="2238">
        <f>CA312*CC312/1000</f>
        <v>194.67803519999998</v>
      </c>
      <c r="CE312" s="2238">
        <v>235</v>
      </c>
      <c r="CF312" s="2233">
        <f>IF((CD312+CD320)&gt;CE312,CE312/(CC312+CC320)*1000,CA312)</f>
        <v>11.313463233073904</v>
      </c>
      <c r="CK312" s="40"/>
      <c r="CL312" s="40"/>
      <c r="CM312" s="40"/>
      <c r="CN312" s="40"/>
      <c r="CO312" s="40"/>
      <c r="CP312" s="40"/>
      <c r="CQ312" s="40"/>
      <c r="CR312" s="40"/>
      <c r="CS312" s="40"/>
      <c r="CT312" s="823"/>
      <c r="CU312" s="232"/>
      <c r="CV312" s="232"/>
      <c r="CW312" s="232"/>
      <c r="CX312" s="232"/>
      <c r="CY312" s="232"/>
      <c r="CZ312" s="40"/>
      <c r="DA312" s="40"/>
      <c r="DB312" s="40"/>
      <c r="DC312" s="40"/>
      <c r="DD312" s="40"/>
      <c r="DE312" s="40"/>
      <c r="DF312" s="232"/>
      <c r="DG312" s="232"/>
      <c r="DH312" s="232"/>
      <c r="DI312" s="232"/>
      <c r="DJ312" s="232"/>
      <c r="DK312" s="232"/>
      <c r="DL312" s="232"/>
      <c r="DM312" s="232"/>
      <c r="DN312" s="232"/>
    </row>
    <row r="313" spans="1:118">
      <c r="A313" s="40"/>
      <c r="B313" s="1"/>
      <c r="C313" s="1"/>
      <c r="D313" s="1"/>
      <c r="E313" s="273"/>
      <c r="F313" s="3"/>
      <c r="G313" s="3"/>
      <c r="H313" s="274"/>
      <c r="I313" s="28"/>
      <c r="J313" s="273"/>
      <c r="K313" s="3"/>
      <c r="L313" s="3"/>
      <c r="M313" s="274"/>
      <c r="N313" s="1"/>
      <c r="O313" s="273"/>
      <c r="P313" s="3"/>
      <c r="Q313" s="3"/>
      <c r="R313" s="274"/>
      <c r="S313" s="1"/>
      <c r="T313" s="273"/>
      <c r="U313" s="3"/>
      <c r="V313" s="3"/>
      <c r="W313" s="274"/>
      <c r="X313" s="1"/>
      <c r="Y313" s="273"/>
      <c r="Z313" s="3"/>
      <c r="AA313" s="3"/>
      <c r="AB313" s="274"/>
      <c r="AC313" s="1"/>
      <c r="AD313" s="273"/>
      <c r="AE313" s="3"/>
      <c r="AF313" s="3"/>
      <c r="AG313" s="274"/>
      <c r="AH313" s="1"/>
      <c r="AI313" s="273"/>
      <c r="AJ313" s="3"/>
      <c r="AK313" s="3"/>
      <c r="AL313" s="274"/>
      <c r="AM313" s="1"/>
      <c r="AN313" s="273"/>
      <c r="AO313" s="3"/>
      <c r="AP313" s="3"/>
      <c r="AQ313" s="274"/>
      <c r="AR313" s="1"/>
      <c r="AS313" s="273"/>
      <c r="AT313" s="3"/>
      <c r="AU313" s="3"/>
      <c r="AV313" s="274"/>
      <c r="AW313" s="1"/>
      <c r="AX313" s="273"/>
      <c r="AY313" s="3"/>
      <c r="AZ313" s="3"/>
      <c r="BA313" s="274"/>
      <c r="BB313" s="1"/>
      <c r="BC313" s="273"/>
      <c r="BD313" s="3"/>
      <c r="BE313" s="3"/>
      <c r="BF313" s="274"/>
      <c r="BG313" s="1"/>
      <c r="BH313" s="273"/>
      <c r="BI313" s="3"/>
      <c r="BJ313" s="3"/>
      <c r="BK313" s="274"/>
      <c r="BL313" s="1"/>
      <c r="BM313" s="273"/>
      <c r="BN313" s="3"/>
      <c r="BO313" s="3"/>
      <c r="BP313" s="274"/>
      <c r="BQ313" s="1"/>
      <c r="BS313" s="40"/>
      <c r="BT313" s="40"/>
      <c r="BU313" s="34" t="s">
        <v>1489</v>
      </c>
      <c r="BV313" s="2233">
        <f>BV312*1.01</f>
        <v>16.664999999999999</v>
      </c>
      <c r="BW313" s="2234">
        <v>31.4</v>
      </c>
      <c r="BX313" s="2235">
        <f>BB75</f>
        <v>26.536937611011091</v>
      </c>
      <c r="BY313" s="2235">
        <f>BB675*365/(8760*0.93)</f>
        <v>7.859169653524491</v>
      </c>
      <c r="BZ313" s="2236">
        <f>MAX(0,(BX313+BY313)-BW313)</f>
        <v>2.9961072645355813</v>
      </c>
      <c r="CA313" s="2234">
        <f>BV313-BZ313</f>
        <v>13.668892735464418</v>
      </c>
      <c r="CB313" s="2234"/>
      <c r="CC313" s="2237">
        <f>BB304</f>
        <v>11798.668799999999</v>
      </c>
      <c r="CD313" s="2238">
        <f>CA313*CC313/1000</f>
        <v>161.27473824847067</v>
      </c>
      <c r="CE313" s="2238">
        <v>235</v>
      </c>
      <c r="CF313" s="2233">
        <f>IF((CD313+CD321)&gt;CE313,CE313/(CC313+CC321)*1000,CA313)</f>
        <v>11.313463233073904</v>
      </c>
      <c r="CK313" s="1079"/>
      <c r="CL313" s="40"/>
      <c r="CM313" s="40"/>
      <c r="CN313" s="40"/>
      <c r="CO313" s="40"/>
      <c r="CP313" s="40"/>
      <c r="CQ313" s="40"/>
      <c r="CR313" s="40"/>
      <c r="CS313" s="40"/>
      <c r="CT313" s="823"/>
      <c r="CU313" s="232"/>
      <c r="CV313" s="232"/>
      <c r="CW313" s="232"/>
      <c r="CX313" s="232"/>
      <c r="CY313" s="232"/>
      <c r="CZ313" s="40"/>
      <c r="DA313" s="40"/>
      <c r="DB313" s="40"/>
      <c r="DC313" s="40"/>
      <c r="DD313" s="40"/>
      <c r="DE313" s="40"/>
      <c r="DF313" s="232"/>
      <c r="DG313" s="232"/>
      <c r="DH313" s="232"/>
      <c r="DI313" s="232"/>
      <c r="DJ313" s="232"/>
      <c r="DK313" s="232"/>
      <c r="DL313" s="232"/>
      <c r="DM313" s="232"/>
      <c r="DN313" s="232"/>
    </row>
    <row r="314" spans="1:118">
      <c r="A314" s="40"/>
      <c r="B314" s="1"/>
      <c r="C314" s="32" t="s">
        <v>196</v>
      </c>
      <c r="D314" s="32"/>
      <c r="E314" s="292"/>
      <c r="F314" s="261"/>
      <c r="G314" s="261"/>
      <c r="H314" s="293"/>
      <c r="I314" s="884">
        <v>1067</v>
      </c>
      <c r="J314" s="292"/>
      <c r="K314" s="261"/>
      <c r="L314" s="261"/>
      <c r="M314" s="293"/>
      <c r="N314" s="228"/>
      <c r="O314" s="292"/>
      <c r="P314" s="261"/>
      <c r="Q314" s="261"/>
      <c r="R314" s="293"/>
      <c r="S314" s="228"/>
      <c r="T314" s="292"/>
      <c r="U314" s="261"/>
      <c r="V314" s="261"/>
      <c r="W314" s="293"/>
      <c r="X314" s="669"/>
      <c r="Y314" s="292">
        <f>+I314</f>
        <v>1067</v>
      </c>
      <c r="Z314" s="261">
        <f t="shared" ref="Z314:AT314" si="483">Y314</f>
        <v>1067</v>
      </c>
      <c r="AA314" s="261">
        <f t="shared" si="483"/>
        <v>1067</v>
      </c>
      <c r="AB314" s="293">
        <f t="shared" si="483"/>
        <v>1067</v>
      </c>
      <c r="AC314" s="228">
        <f t="shared" si="483"/>
        <v>1067</v>
      </c>
      <c r="AD314" s="292">
        <f t="shared" si="483"/>
        <v>1067</v>
      </c>
      <c r="AE314" s="261">
        <f t="shared" si="483"/>
        <v>1067</v>
      </c>
      <c r="AF314" s="261">
        <f t="shared" si="483"/>
        <v>1067</v>
      </c>
      <c r="AG314" s="293">
        <f t="shared" si="483"/>
        <v>1067</v>
      </c>
      <c r="AH314" s="228">
        <f t="shared" si="483"/>
        <v>1067</v>
      </c>
      <c r="AI314" s="292">
        <f t="shared" si="483"/>
        <v>1067</v>
      </c>
      <c r="AJ314" s="261">
        <f t="shared" si="483"/>
        <v>1067</v>
      </c>
      <c r="AK314" s="261">
        <f t="shared" si="483"/>
        <v>1067</v>
      </c>
      <c r="AL314" s="293">
        <f t="shared" si="483"/>
        <v>1067</v>
      </c>
      <c r="AM314" s="228">
        <f t="shared" si="483"/>
        <v>1067</v>
      </c>
      <c r="AN314" s="292">
        <f t="shared" si="483"/>
        <v>1067</v>
      </c>
      <c r="AO314" s="261">
        <f t="shared" si="483"/>
        <v>1067</v>
      </c>
      <c r="AP314" s="261">
        <f t="shared" si="483"/>
        <v>1067</v>
      </c>
      <c r="AQ314" s="293">
        <f t="shared" si="483"/>
        <v>1067</v>
      </c>
      <c r="AR314" s="228">
        <f t="shared" si="483"/>
        <v>1067</v>
      </c>
      <c r="AS314" s="292">
        <f t="shared" si="483"/>
        <v>1067</v>
      </c>
      <c r="AT314" s="261">
        <f t="shared" si="483"/>
        <v>1067</v>
      </c>
      <c r="AU314" s="261">
        <f t="shared" ref="AU314" si="484">AT314</f>
        <v>1067</v>
      </c>
      <c r="AV314" s="293">
        <f t="shared" ref="AV314:BL314" si="485">AU314</f>
        <v>1067</v>
      </c>
      <c r="AW314" s="228">
        <f t="shared" si="485"/>
        <v>1067</v>
      </c>
      <c r="AX314" s="292">
        <f t="shared" si="485"/>
        <v>1067</v>
      </c>
      <c r="AY314" s="261">
        <f t="shared" si="485"/>
        <v>1067</v>
      </c>
      <c r="AZ314" s="261">
        <f t="shared" si="485"/>
        <v>1067</v>
      </c>
      <c r="BA314" s="293">
        <f t="shared" si="485"/>
        <v>1067</v>
      </c>
      <c r="BB314" s="228">
        <f t="shared" si="485"/>
        <v>1067</v>
      </c>
      <c r="BC314" s="292">
        <f t="shared" si="485"/>
        <v>1067</v>
      </c>
      <c r="BD314" s="261">
        <f t="shared" si="485"/>
        <v>1067</v>
      </c>
      <c r="BE314" s="261">
        <f t="shared" si="485"/>
        <v>1067</v>
      </c>
      <c r="BF314" s="293">
        <f t="shared" si="485"/>
        <v>1067</v>
      </c>
      <c r="BG314" s="228">
        <f>BF314</f>
        <v>1067</v>
      </c>
      <c r="BH314" s="292">
        <f>BG314</f>
        <v>1067</v>
      </c>
      <c r="BI314" s="261">
        <f t="shared" si="485"/>
        <v>1067</v>
      </c>
      <c r="BJ314" s="261">
        <f t="shared" si="485"/>
        <v>1067</v>
      </c>
      <c r="BK314" s="293">
        <f t="shared" si="485"/>
        <v>1067</v>
      </c>
      <c r="BL314" s="228">
        <f t="shared" si="485"/>
        <v>1067</v>
      </c>
      <c r="BM314" s="292">
        <f t="shared" ref="BM314" si="486">BL314</f>
        <v>1067</v>
      </c>
      <c r="BN314" s="261">
        <f t="shared" ref="BN314" si="487">BM314</f>
        <v>1067</v>
      </c>
      <c r="BO314" s="261">
        <f t="shared" ref="BO314" si="488">BN314</f>
        <v>1067</v>
      </c>
      <c r="BP314" s="293">
        <f t="shared" ref="BP314" si="489">BO314</f>
        <v>1067</v>
      </c>
      <c r="BQ314" s="228">
        <f t="shared" ref="BQ314" si="490">BP314</f>
        <v>1067</v>
      </c>
      <c r="BR314" s="236"/>
      <c r="BS314" s="40"/>
      <c r="BT314" s="40"/>
      <c r="BU314" s="34" t="s">
        <v>1490</v>
      </c>
      <c r="BV314" s="2236">
        <f>BV313*1.01</f>
        <v>16.83165</v>
      </c>
      <c r="BW314" s="2234">
        <v>31.4</v>
      </c>
      <c r="BX314" s="2235">
        <f>BG75</f>
        <v>26.175728632557242</v>
      </c>
      <c r="BY314" s="2235">
        <f>BG675*365/(8760*0.93)</f>
        <v>9.3129853643966545</v>
      </c>
      <c r="BZ314" s="2236">
        <f>MAX(0,(BX314+BY314)-BW314)</f>
        <v>4.0887139969538993</v>
      </c>
      <c r="CA314" s="2234">
        <f>BV314-BZ314</f>
        <v>12.742936003046101</v>
      </c>
      <c r="CB314" s="2234"/>
      <c r="CC314" s="2237">
        <f>BG304</f>
        <v>11798.668799999999</v>
      </c>
      <c r="CD314" s="2238">
        <f>CA314*CC314/1000</f>
        <v>150.34968143953671</v>
      </c>
      <c r="CE314" s="2238">
        <v>235</v>
      </c>
      <c r="CF314" s="2233">
        <f>IF((CD314+CD322)&gt;CE314,CE314/(CC314+CC322)*1000,CA314)</f>
        <v>11.313463233073904</v>
      </c>
      <c r="CK314" s="40"/>
      <c r="CL314" s="40"/>
      <c r="CM314" s="40"/>
      <c r="CN314" s="40"/>
      <c r="CO314" s="40"/>
      <c r="CP314" s="40"/>
      <c r="CQ314" s="40"/>
      <c r="CR314" s="40"/>
      <c r="CS314" s="40"/>
      <c r="CT314" s="823"/>
      <c r="CU314" s="232"/>
      <c r="CV314" s="232"/>
      <c r="CW314" s="232"/>
      <c r="CX314" s="232"/>
      <c r="CY314" s="232"/>
      <c r="CZ314" s="40"/>
      <c r="DA314" s="40"/>
      <c r="DB314" s="40"/>
      <c r="DC314" s="40"/>
      <c r="DD314" s="40"/>
      <c r="DE314" s="40"/>
      <c r="DF314" s="232"/>
      <c r="DG314" s="232"/>
      <c r="DH314" s="232"/>
      <c r="DI314" s="232"/>
      <c r="DJ314" s="232"/>
      <c r="DK314" s="232"/>
      <c r="DL314" s="232"/>
      <c r="DM314" s="232"/>
      <c r="DN314" s="232"/>
    </row>
    <row r="315" spans="1:118">
      <c r="A315" s="40"/>
      <c r="B315" s="1"/>
      <c r="C315" s="1"/>
      <c r="D315" s="1"/>
      <c r="E315" s="273"/>
      <c r="F315" s="3"/>
      <c r="G315" s="3"/>
      <c r="H315" s="274"/>
      <c r="I315" s="28"/>
      <c r="J315" s="273"/>
      <c r="K315" s="3"/>
      <c r="L315" s="3"/>
      <c r="M315" s="274"/>
      <c r="N315" s="1"/>
      <c r="O315" s="273"/>
      <c r="P315" s="3"/>
      <c r="Q315" s="3"/>
      <c r="R315" s="274"/>
      <c r="S315" s="1"/>
      <c r="T315" s="273"/>
      <c r="U315" s="3"/>
      <c r="V315" s="3"/>
      <c r="W315" s="274"/>
      <c r="X315" s="1"/>
      <c r="Y315" s="273"/>
      <c r="Z315" s="3"/>
      <c r="AA315" s="3"/>
      <c r="AB315" s="274"/>
      <c r="AC315" s="1"/>
      <c r="AD315" s="273"/>
      <c r="AE315" s="3"/>
      <c r="AF315" s="3"/>
      <c r="AG315" s="274"/>
      <c r="AH315" s="1"/>
      <c r="AI315" s="273"/>
      <c r="AJ315" s="3"/>
      <c r="AK315" s="3"/>
      <c r="AL315" s="274"/>
      <c r="AM315" s="1"/>
      <c r="AN315" s="273"/>
      <c r="AO315" s="3"/>
      <c r="AP315" s="3"/>
      <c r="AQ315" s="274"/>
      <c r="AR315" s="1"/>
      <c r="AS315" s="273"/>
      <c r="AT315" s="3"/>
      <c r="AU315" s="3"/>
      <c r="AV315" s="274"/>
      <c r="AW315" s="1"/>
      <c r="AX315" s="273"/>
      <c r="AY315" s="3"/>
      <c r="AZ315" s="3"/>
      <c r="BA315" s="274"/>
      <c r="BB315" s="1"/>
      <c r="BC315" s="273"/>
      <c r="BD315" s="3"/>
      <c r="BE315" s="3"/>
      <c r="BF315" s="274"/>
      <c r="BG315" s="1"/>
      <c r="BH315" s="273"/>
      <c r="BI315" s="3"/>
      <c r="BJ315" s="3"/>
      <c r="BK315" s="274"/>
      <c r="BL315" s="1"/>
      <c r="BM315" s="273"/>
      <c r="BN315" s="3"/>
      <c r="BO315" s="3"/>
      <c r="BP315" s="274"/>
      <c r="BQ315" s="1"/>
      <c r="BR315" s="236"/>
      <c r="BS315" s="40"/>
      <c r="BT315" s="40"/>
      <c r="BU315" s="34" t="s">
        <v>1491</v>
      </c>
      <c r="BV315" s="2233">
        <f>BV314*1.01</f>
        <v>16.999966499999999</v>
      </c>
      <c r="BW315" s="2234">
        <v>31.4</v>
      </c>
      <c r="BX315" s="2235">
        <f>BL75</f>
        <v>26.351929589229222</v>
      </c>
      <c r="BY315" s="2235">
        <f>BL675*365/(8760*0.93)</f>
        <v>8.7564964157706093</v>
      </c>
      <c r="BZ315" s="2236">
        <f>MAX(0,(BX315+BY315)-BW315)</f>
        <v>3.7084260049998292</v>
      </c>
      <c r="CA315" s="2234">
        <f>BV315-BZ315</f>
        <v>13.29154049500017</v>
      </c>
      <c r="CB315" s="2234"/>
      <c r="CC315" s="2237">
        <f>BL304</f>
        <v>11798.668799999999</v>
      </c>
      <c r="CD315" s="2238">
        <f>CA315*CC315/1000</f>
        <v>156.82248414229505</v>
      </c>
      <c r="CE315" s="2238">
        <v>235</v>
      </c>
      <c r="CF315" s="2233">
        <f>IF((CD315+CD323)&gt;CE315,CE315/(CC315+CC323)*1000,CA315)</f>
        <v>11.313463233073904</v>
      </c>
      <c r="CK315" s="40"/>
      <c r="CL315" s="40"/>
      <c r="CM315" s="40"/>
      <c r="CN315" s="40"/>
      <c r="CO315" s="40"/>
      <c r="CP315" s="40"/>
      <c r="CQ315" s="40"/>
      <c r="CR315" s="40"/>
      <c r="CS315" s="40"/>
      <c r="CT315" s="823"/>
      <c r="CU315" s="232"/>
      <c r="CV315" s="232"/>
      <c r="CW315" s="232"/>
      <c r="CX315" s="232"/>
      <c r="CY315" s="232"/>
      <c r="CZ315" s="40"/>
      <c r="DA315" s="40"/>
      <c r="DB315" s="40"/>
      <c r="DC315" s="40"/>
      <c r="DD315" s="40"/>
      <c r="DE315" s="40"/>
      <c r="DF315" s="232"/>
      <c r="DG315" s="232"/>
      <c r="DH315" s="232"/>
      <c r="DI315" s="232"/>
      <c r="DJ315" s="232"/>
      <c r="DK315" s="232"/>
      <c r="DL315" s="232"/>
      <c r="DM315" s="232"/>
      <c r="DN315" s="232"/>
    </row>
    <row r="316" spans="1:118">
      <c r="A316" s="40"/>
      <c r="B316" s="1"/>
      <c r="C316" s="28" t="s">
        <v>197</v>
      </c>
      <c r="D316" s="1"/>
      <c r="E316" s="273"/>
      <c r="F316" s="3"/>
      <c r="G316" s="3"/>
      <c r="H316" s="274"/>
      <c r="I316" s="544">
        <v>0.92500000000000004</v>
      </c>
      <c r="J316" s="273"/>
      <c r="K316" s="3"/>
      <c r="L316" s="3"/>
      <c r="M316" s="274"/>
      <c r="N316" s="1"/>
      <c r="O316" s="273"/>
      <c r="P316" s="3"/>
      <c r="Q316" s="3"/>
      <c r="R316" s="274"/>
      <c r="S316" s="1"/>
      <c r="T316" s="277"/>
      <c r="U316" s="253"/>
      <c r="V316" s="253"/>
      <c r="W316" s="278"/>
      <c r="X316" s="765"/>
      <c r="Y316" s="277">
        <f>+I316</f>
        <v>0.92500000000000004</v>
      </c>
      <c r="Z316" s="253">
        <f>+Y316</f>
        <v>0.92500000000000004</v>
      </c>
      <c r="AA316" s="253">
        <f>+Z316</f>
        <v>0.92500000000000004</v>
      </c>
      <c r="AB316" s="278">
        <f>+AA316</f>
        <v>0.92500000000000004</v>
      </c>
      <c r="AC316" s="765">
        <f>IF(AVERAGE(Y314:AB314)=0,0,AC317/(AVERAGE(Y314:AB314)*8.76))</f>
        <v>0.92499999999999993</v>
      </c>
      <c r="AD316" s="277">
        <f>+AB316</f>
        <v>0.92500000000000004</v>
      </c>
      <c r="AE316" s="253">
        <f>+AD316</f>
        <v>0.92500000000000004</v>
      </c>
      <c r="AF316" s="253">
        <f>+AA316</f>
        <v>0.92500000000000004</v>
      </c>
      <c r="AG316" s="278">
        <f>+AB316</f>
        <v>0.92500000000000004</v>
      </c>
      <c r="AH316" s="765">
        <f>IF(AVERAGE(AD314:AG314)=0,0,AH317/(AVERAGE(AD314:AG314)*8.76))</f>
        <v>0.92499999999999993</v>
      </c>
      <c r="AI316" s="277">
        <f>+AG316</f>
        <v>0.92500000000000004</v>
      </c>
      <c r="AJ316" s="253">
        <f>+AE316</f>
        <v>0.92500000000000004</v>
      </c>
      <c r="AK316" s="253">
        <f>+AF316</f>
        <v>0.92500000000000004</v>
      </c>
      <c r="AL316" s="278">
        <f>+AG316</f>
        <v>0.92500000000000004</v>
      </c>
      <c r="AM316" s="765">
        <f>IF(AVERAGE(AI314:AL314)=0,0,AM317/(AVERAGE(AI314:AL314)*8.76))</f>
        <v>0.92499999999999993</v>
      </c>
      <c r="AN316" s="277">
        <f>+$I$277</f>
        <v>0.93</v>
      </c>
      <c r="AO316" s="253">
        <f>+AJ316</f>
        <v>0.92500000000000004</v>
      </c>
      <c r="AP316" s="253">
        <f>+AK316</f>
        <v>0.92500000000000004</v>
      </c>
      <c r="AQ316" s="278">
        <f>+AL316</f>
        <v>0.92500000000000004</v>
      </c>
      <c r="AR316" s="765">
        <f>IF(AVERAGE(AN314:AQ314)=0,0,AR317/(AVERAGE(AN314:AQ314)*8.76))</f>
        <v>0.92624999999999991</v>
      </c>
      <c r="AS316" s="2061">
        <v>0.96</v>
      </c>
      <c r="AT316" s="2246">
        <v>0.96</v>
      </c>
      <c r="AU316" s="2246">
        <v>0.96</v>
      </c>
      <c r="AV316" s="2247">
        <v>0.96</v>
      </c>
      <c r="AW316" s="765">
        <f>IF(AVERAGE(AS314:AV314)=0,0,AW317/(AVERAGE(AS314:AV314)*8.76))</f>
        <v>0.96</v>
      </c>
      <c r="AX316" s="277">
        <f>+AV316</f>
        <v>0.96</v>
      </c>
      <c r="AY316" s="253">
        <f>+AT316</f>
        <v>0.96</v>
      </c>
      <c r="AZ316" s="253">
        <f>+AU316</f>
        <v>0.96</v>
      </c>
      <c r="BA316" s="278">
        <f>+AV316</f>
        <v>0.96</v>
      </c>
      <c r="BB316" s="765">
        <f>IF(AVERAGE(AX314:BA314)=0,0,BB317/(AVERAGE(AX314:BA314)*8.76))</f>
        <v>0.96</v>
      </c>
      <c r="BC316" s="277">
        <f>+BA316</f>
        <v>0.96</v>
      </c>
      <c r="BD316" s="253">
        <f>+AY316</f>
        <v>0.96</v>
      </c>
      <c r="BE316" s="253">
        <f>+AZ316</f>
        <v>0.96</v>
      </c>
      <c r="BF316" s="278">
        <f>+BA316</f>
        <v>0.96</v>
      </c>
      <c r="BG316" s="765">
        <f>IF(AVERAGE(BC314:BF314)=0,0,BG317/(AVERAGE(BC314:BF314)*8.76))</f>
        <v>0.96</v>
      </c>
      <c r="BH316" s="277">
        <f>+BF316</f>
        <v>0.96</v>
      </c>
      <c r="BI316" s="253">
        <f>+BD316</f>
        <v>0.96</v>
      </c>
      <c r="BJ316" s="253">
        <f>+BE316</f>
        <v>0.96</v>
      </c>
      <c r="BK316" s="278">
        <f>+BF316</f>
        <v>0.96</v>
      </c>
      <c r="BL316" s="765">
        <f>IF(AVERAGE(BH314:BK314)=0,0,BL317/(AVERAGE(BH314:BK314)*8.76))</f>
        <v>0.96</v>
      </c>
      <c r="BM316" s="277">
        <f>+BK316</f>
        <v>0.96</v>
      </c>
      <c r="BN316" s="253">
        <f>+BI316</f>
        <v>0.96</v>
      </c>
      <c r="BO316" s="253">
        <f>+BJ316</f>
        <v>0.96</v>
      </c>
      <c r="BP316" s="278">
        <f>+BK316</f>
        <v>0.96</v>
      </c>
      <c r="BQ316" s="765">
        <f>IF(AVERAGE(BM314:BP314)=0,0,BQ317/(AVERAGE(BM314:BP314)*8.76))</f>
        <v>0.96</v>
      </c>
      <c r="BS316" s="40"/>
      <c r="BT316" s="40"/>
      <c r="BU316" s="34" t="s">
        <v>1530</v>
      </c>
      <c r="BV316" s="2233">
        <f>BV315*1.01</f>
        <v>17.169966164999998</v>
      </c>
      <c r="BW316" s="2234">
        <v>31.4</v>
      </c>
      <c r="BX316" s="2235">
        <f>BQ75</f>
        <v>28.593948965059404</v>
      </c>
      <c r="BY316" s="2235">
        <f>BQ675*365/(8760*0.93)</f>
        <v>7.1684587813620073</v>
      </c>
      <c r="BZ316" s="2236">
        <f>MAX(0,(BX316+BY316)-BW316)</f>
        <v>4.362407746421411</v>
      </c>
      <c r="CA316" s="2234">
        <f>BV316-BZ316</f>
        <v>12.807558418578587</v>
      </c>
      <c r="CB316" s="2234"/>
      <c r="CC316" s="2237">
        <f>BQ304</f>
        <v>11798.668799999999</v>
      </c>
      <c r="CD316" s="2238">
        <f>CA316*CC316/1000</f>
        <v>151.1121399174605</v>
      </c>
      <c r="CE316" s="2238">
        <v>235</v>
      </c>
      <c r="CF316" s="2233">
        <f>IF((CD316+CD324)&gt;CE316,CE316/(CC316+CC324)*1000,CA316)</f>
        <v>11.313463233073904</v>
      </c>
      <c r="CK316" s="40"/>
      <c r="CL316" s="40"/>
      <c r="CM316" s="40"/>
      <c r="CN316" s="40"/>
      <c r="CO316" s="40"/>
      <c r="CP316" s="40"/>
      <c r="CQ316" s="40"/>
      <c r="CR316" s="40"/>
      <c r="CS316" s="40"/>
      <c r="CT316" s="823"/>
      <c r="CU316" s="232"/>
      <c r="CV316" s="232"/>
      <c r="CW316" s="232"/>
      <c r="CX316" s="232"/>
      <c r="CY316" s="232"/>
      <c r="CZ316" s="40"/>
      <c r="DA316" s="40"/>
      <c r="DB316" s="40"/>
      <c r="DC316" s="40"/>
      <c r="DD316" s="40"/>
      <c r="DE316" s="40"/>
      <c r="DF316" s="232"/>
      <c r="DG316" s="232"/>
      <c r="DH316" s="232"/>
      <c r="DI316" s="232"/>
      <c r="DJ316" s="232"/>
      <c r="DK316" s="232"/>
      <c r="DL316" s="232"/>
      <c r="DM316" s="232"/>
      <c r="DN316" s="232"/>
    </row>
    <row r="317" spans="1:118">
      <c r="A317" s="40"/>
      <c r="B317" s="1"/>
      <c r="C317" s="32" t="s">
        <v>198</v>
      </c>
      <c r="D317" s="32"/>
      <c r="E317" s="489"/>
      <c r="F317" s="342"/>
      <c r="G317" s="342"/>
      <c r="H317" s="490"/>
      <c r="I317" s="32"/>
      <c r="J317" s="489"/>
      <c r="K317" s="342"/>
      <c r="L317" s="342"/>
      <c r="M317" s="490"/>
      <c r="N317" s="458"/>
      <c r="O317" s="489"/>
      <c r="P317" s="342"/>
      <c r="Q317" s="342"/>
      <c r="R317" s="490"/>
      <c r="S317" s="32"/>
      <c r="T317" s="301"/>
      <c r="U317" s="265"/>
      <c r="V317" s="265"/>
      <c r="W317" s="302"/>
      <c r="X317" s="445"/>
      <c r="Y317" s="301">
        <f>(Y314*Y316*(8760/1000))/4</f>
        <v>2161.47525</v>
      </c>
      <c r="Z317" s="265">
        <f>(Z314*Z316*(8760/1000))/4</f>
        <v>2161.47525</v>
      </c>
      <c r="AA317" s="265">
        <f>(AA314*AA316*(8760/1000))/4</f>
        <v>2161.47525</v>
      </c>
      <c r="AB317" s="302">
        <f>(AB314*AB316*(8760/1000))/4</f>
        <v>2161.47525</v>
      </c>
      <c r="AC317" s="445">
        <f>SUM(Y317:AB317)</f>
        <v>8645.9009999999998</v>
      </c>
      <c r="AD317" s="301">
        <f>(AD314*AD316*(8760/1000))/4</f>
        <v>2161.47525</v>
      </c>
      <c r="AE317" s="265">
        <f>(AE314*AE316*(8760/1000))/4</f>
        <v>2161.47525</v>
      </c>
      <c r="AF317" s="265">
        <f>(AF314*AF316*(8760/1000))/4</f>
        <v>2161.47525</v>
      </c>
      <c r="AG317" s="302">
        <f>(AG314*AG316*(8760/1000))/4</f>
        <v>2161.47525</v>
      </c>
      <c r="AH317" s="445">
        <f>SUM(AD317:AG317)</f>
        <v>8645.9009999999998</v>
      </c>
      <c r="AI317" s="301">
        <f>(AI314*AI316*(8760/1000))/4</f>
        <v>2161.47525</v>
      </c>
      <c r="AJ317" s="265">
        <f>(AJ314*AJ316*(8760/1000))/4</f>
        <v>2161.47525</v>
      </c>
      <c r="AK317" s="265">
        <f>(AK314*AK316*(8760/1000))/4</f>
        <v>2161.47525</v>
      </c>
      <c r="AL317" s="302">
        <f>(AL314*AL316*(8760/1000))/4</f>
        <v>2161.47525</v>
      </c>
      <c r="AM317" s="445">
        <f>SUM(AI317:AL317)</f>
        <v>8645.9009999999998</v>
      </c>
      <c r="AN317" s="301">
        <f>(AN314*AN316*(8760/1000))/4</f>
        <v>2173.1588999999999</v>
      </c>
      <c r="AO317" s="265">
        <f>(AO314*AO316*(8760/1000))/4</f>
        <v>2161.47525</v>
      </c>
      <c r="AP317" s="265">
        <f>(AP314*AP316*(8760/1000))/4</f>
        <v>2161.47525</v>
      </c>
      <c r="AQ317" s="302">
        <f>(AQ314*AQ316*(8760/1000))/4</f>
        <v>2161.47525</v>
      </c>
      <c r="AR317" s="445">
        <f>SUM(AN317:AQ317)</f>
        <v>8657.5846499999989</v>
      </c>
      <c r="AS317" s="301">
        <f>(AS314*AS316*(8760/1000))/4</f>
        <v>2243.2608</v>
      </c>
      <c r="AT317" s="265">
        <f>(AT314*AT316*(8760/1000))/4</f>
        <v>2243.2608</v>
      </c>
      <c r="AU317" s="265">
        <f t="shared" ref="AU317" si="491">(AU314*AU316*(8760/1000))/4</f>
        <v>2243.2608</v>
      </c>
      <c r="AV317" s="302">
        <f>(AV314*AV316*(8760/1000))/4</f>
        <v>2243.2608</v>
      </c>
      <c r="AW317" s="445">
        <f>SUM(AS317:AV317)</f>
        <v>8973.0432000000001</v>
      </c>
      <c r="AX317" s="301">
        <f>(AX314*AX316*(8760/1000))/4</f>
        <v>2243.2608</v>
      </c>
      <c r="AY317" s="265">
        <f>(AY314*AY316*(8760/1000))/4</f>
        <v>2243.2608</v>
      </c>
      <c r="AZ317" s="265">
        <f>(AZ314*AZ316*(8760/1000))/4</f>
        <v>2243.2608</v>
      </c>
      <c r="BA317" s="302">
        <f>(BA314*BA316*(8760/1000))/4</f>
        <v>2243.2608</v>
      </c>
      <c r="BB317" s="445">
        <f>SUM(AX317:BA317)</f>
        <v>8973.0432000000001</v>
      </c>
      <c r="BC317" s="301">
        <f>(BC314*BC316*(8760/1000))/4</f>
        <v>2243.2608</v>
      </c>
      <c r="BD317" s="265">
        <f>(BD314*BD316*(8760/1000))/4</f>
        <v>2243.2608</v>
      </c>
      <c r="BE317" s="265">
        <f>(BE314*BE316*(8760/1000))/4</f>
        <v>2243.2608</v>
      </c>
      <c r="BF317" s="302">
        <f>(BF314*BF316*(8760/1000))/4</f>
        <v>2243.2608</v>
      </c>
      <c r="BG317" s="445">
        <f>SUM(BC317:BF317)</f>
        <v>8973.0432000000001</v>
      </c>
      <c r="BH317" s="301">
        <f>(BH314*BH316*(8760/1000))/4</f>
        <v>2243.2608</v>
      </c>
      <c r="BI317" s="265">
        <f>(BI314*BI316*(8760/1000))/4</f>
        <v>2243.2608</v>
      </c>
      <c r="BJ317" s="265">
        <f>(BJ314*BJ316*(8760/1000))/4</f>
        <v>2243.2608</v>
      </c>
      <c r="BK317" s="302">
        <f>(BK314*BK316*(8760/1000))/4</f>
        <v>2243.2608</v>
      </c>
      <c r="BL317" s="445">
        <f>SUM(BH317:BK317)</f>
        <v>8973.0432000000001</v>
      </c>
      <c r="BM317" s="301">
        <f>(BM314*BM316*(8760/1000))/4</f>
        <v>2243.2608</v>
      </c>
      <c r="BN317" s="265">
        <f>(BN314*BN316*(8760/1000))/4</f>
        <v>2243.2608</v>
      </c>
      <c r="BO317" s="265">
        <f>(BO314*BO316*(8760/1000))/4</f>
        <v>2243.2608</v>
      </c>
      <c r="BP317" s="302">
        <f>(BP314*BP316*(8760/1000))/4</f>
        <v>2243.2608</v>
      </c>
      <c r="BQ317" s="445">
        <f>SUM(BM317:BP317)</f>
        <v>8973.0432000000001</v>
      </c>
      <c r="BS317" s="40"/>
      <c r="BT317" s="40"/>
      <c r="BU317" s="232"/>
      <c r="BV317" s="40"/>
      <c r="BW317" s="40"/>
      <c r="BX317" s="40"/>
      <c r="BY317" s="40"/>
      <c r="BZ317" s="40"/>
      <c r="CA317" s="40"/>
      <c r="CB317" s="40"/>
      <c r="CC317" s="40"/>
      <c r="CD317" s="40"/>
      <c r="CE317" s="40"/>
      <c r="CF317" s="40"/>
      <c r="CK317" s="40"/>
      <c r="CL317" s="40"/>
      <c r="CM317" s="40"/>
      <c r="CN317" s="40"/>
      <c r="CO317" s="40"/>
      <c r="CP317" s="40"/>
      <c r="CQ317" s="40"/>
      <c r="CR317" s="40"/>
      <c r="CS317" s="40"/>
      <c r="CT317" s="823"/>
      <c r="CU317" s="232"/>
      <c r="CV317" s="232"/>
      <c r="CW317" s="232"/>
      <c r="CX317" s="232"/>
      <c r="CY317" s="232"/>
      <c r="CZ317" s="40"/>
      <c r="DA317" s="40"/>
      <c r="DB317" s="40"/>
      <c r="DC317" s="40"/>
      <c r="DD317" s="40"/>
      <c r="DE317" s="40"/>
      <c r="DF317" s="232"/>
      <c r="DG317" s="232"/>
      <c r="DH317" s="232"/>
      <c r="DI317" s="232"/>
      <c r="DJ317" s="232"/>
      <c r="DK317" s="232"/>
      <c r="DL317" s="232"/>
      <c r="DM317" s="232"/>
      <c r="DN317" s="232"/>
    </row>
    <row r="318" spans="1:118">
      <c r="A318" s="40"/>
      <c r="B318" s="1"/>
      <c r="C318" s="1"/>
      <c r="D318" s="1"/>
      <c r="E318" s="273"/>
      <c r="F318" s="3"/>
      <c r="G318" s="3"/>
      <c r="H318" s="274"/>
      <c r="I318" s="28"/>
      <c r="J318" s="273"/>
      <c r="K318" s="3"/>
      <c r="L318" s="3"/>
      <c r="M318" s="274"/>
      <c r="N318" s="1"/>
      <c r="O318" s="273"/>
      <c r="P318" s="3"/>
      <c r="Q318" s="3"/>
      <c r="R318" s="274"/>
      <c r="S318" s="1"/>
      <c r="T318" s="273"/>
      <c r="U318" s="3"/>
      <c r="V318" s="3"/>
      <c r="W318" s="274"/>
      <c r="X318" s="1"/>
      <c r="Y318" s="273"/>
      <c r="Z318" s="3"/>
      <c r="AA318" s="3"/>
      <c r="AB318" s="274"/>
      <c r="AC318" s="1"/>
      <c r="AD318" s="273"/>
      <c r="AE318" s="3"/>
      <c r="AF318" s="3"/>
      <c r="AG318" s="274"/>
      <c r="AH318" s="1"/>
      <c r="AI318" s="273"/>
      <c r="AJ318" s="3"/>
      <c r="AK318" s="3"/>
      <c r="AL318" s="274"/>
      <c r="AM318" s="1"/>
      <c r="AN318" s="273"/>
      <c r="AO318" s="3"/>
      <c r="AP318" s="3"/>
      <c r="AQ318" s="274"/>
      <c r="AR318" s="1"/>
      <c r="AS318" s="273"/>
      <c r="AT318" s="3"/>
      <c r="AU318" s="3"/>
      <c r="AV318" s="274"/>
      <c r="AW318" s="1"/>
      <c r="AX318" s="273"/>
      <c r="AY318" s="3"/>
      <c r="AZ318" s="3"/>
      <c r="BA318" s="274"/>
      <c r="BB318" s="1"/>
      <c r="BC318" s="273"/>
      <c r="BD318" s="3"/>
      <c r="BE318" s="3"/>
      <c r="BF318" s="274"/>
      <c r="BG318" s="1"/>
      <c r="BH318" s="273"/>
      <c r="BI318" s="3"/>
      <c r="BJ318" s="3"/>
      <c r="BK318" s="274"/>
      <c r="BL318" s="1"/>
      <c r="BM318" s="273"/>
      <c r="BN318" s="3"/>
      <c r="BO318" s="3"/>
      <c r="BP318" s="274"/>
      <c r="BQ318" s="1"/>
      <c r="BS318" s="40"/>
      <c r="BT318" s="40"/>
      <c r="BU318" s="232"/>
      <c r="BV318" s="1147" t="s">
        <v>1498</v>
      </c>
      <c r="BW318" s="40"/>
      <c r="BX318" s="40"/>
      <c r="BY318" s="40"/>
      <c r="BZ318" s="40"/>
      <c r="CA318" s="40"/>
      <c r="CB318" s="40"/>
      <c r="CC318" s="40"/>
      <c r="CD318" s="40"/>
      <c r="CE318" s="40"/>
      <c r="CF318" s="40"/>
      <c r="CK318" s="40"/>
      <c r="CL318" s="40"/>
      <c r="CM318" s="40"/>
      <c r="CN318" s="40"/>
      <c r="CO318" s="40"/>
      <c r="CP318" s="40"/>
      <c r="CQ318" s="40"/>
      <c r="CR318" s="40"/>
      <c r="CS318" s="40"/>
      <c r="CT318" s="823"/>
      <c r="CU318" s="232"/>
      <c r="CV318" s="232"/>
      <c r="CW318" s="232"/>
      <c r="CX318" s="232"/>
      <c r="CY318" s="232"/>
      <c r="CZ318" s="40"/>
      <c r="DA318" s="40"/>
      <c r="DB318" s="40"/>
      <c r="DC318" s="40"/>
      <c r="DD318" s="40"/>
      <c r="DE318" s="40"/>
      <c r="DF318" s="232"/>
      <c r="DG318" s="232"/>
      <c r="DH318" s="232"/>
      <c r="DI318" s="232"/>
      <c r="DJ318" s="232"/>
      <c r="DK318" s="232"/>
      <c r="DL318" s="232"/>
      <c r="DM318" s="232"/>
      <c r="DN318" s="232"/>
    </row>
    <row r="319" spans="1:118">
      <c r="A319" s="40"/>
      <c r="B319" s="1"/>
      <c r="C319" s="28" t="s">
        <v>797</v>
      </c>
      <c r="D319" s="1"/>
      <c r="E319" s="273"/>
      <c r="F319" s="3"/>
      <c r="G319" s="3"/>
      <c r="H319" s="274"/>
      <c r="I319" s="28"/>
      <c r="J319" s="273"/>
      <c r="K319" s="3"/>
      <c r="L319" s="3"/>
      <c r="M319" s="274"/>
      <c r="N319" s="1"/>
      <c r="O319" s="273"/>
      <c r="P319" s="3"/>
      <c r="Q319" s="3"/>
      <c r="R319" s="274"/>
      <c r="S319" s="1"/>
      <c r="T319" s="758"/>
      <c r="U319" s="660"/>
      <c r="V319" s="660"/>
      <c r="W319" s="661"/>
      <c r="X319" s="428"/>
      <c r="Y319" s="758">
        <f>(Y311/1000*Y317)</f>
        <v>66.098296000843916</v>
      </c>
      <c r="Z319" s="660">
        <f>(Z311/1000*Z317)</f>
        <v>68.268413530196938</v>
      </c>
      <c r="AA319" s="660">
        <f>(AA311/1000*AA317)</f>
        <v>65.728223864303047</v>
      </c>
      <c r="AB319" s="661">
        <f>(AB311/1000*AB317)</f>
        <v>62.601846612878262</v>
      </c>
      <c r="AC319" s="428">
        <f>SUM(Y319:AB319)</f>
        <v>262.69678000822216</v>
      </c>
      <c r="AD319" s="758">
        <f>(AD311/1000*AD317)</f>
        <v>129.69019333612229</v>
      </c>
      <c r="AE319" s="660">
        <f>(AE311/1000*AE317)</f>
        <v>62.451883767740746</v>
      </c>
      <c r="AF319" s="660">
        <f>(AF311/1000*AF317)</f>
        <v>62.451883767740746</v>
      </c>
      <c r="AG319" s="661">
        <f>(AG311/1000*AG317)</f>
        <v>66.656057051643941</v>
      </c>
      <c r="AH319" s="428">
        <f>SUM(AD319:AG319)</f>
        <v>321.25001792324775</v>
      </c>
      <c r="AI319" s="758">
        <f>(AI311/1000*AI317)</f>
        <v>73.978333886580231</v>
      </c>
      <c r="AJ319" s="660">
        <f>(AJ311/1000*AJ317)</f>
        <v>57.609530481001777</v>
      </c>
      <c r="AK319" s="660">
        <f>(AK311/1000*AK317)</f>
        <v>55.876908739142131</v>
      </c>
      <c r="AL319" s="661">
        <f>(AL311/1000*AL317)</f>
        <v>50.918026120680807</v>
      </c>
      <c r="AM319" s="428">
        <f>SUM(AI319:AL319)</f>
        <v>238.38279922740492</v>
      </c>
      <c r="AN319" s="758">
        <f>(AN311/1000*AN317)</f>
        <v>47.975238666153928</v>
      </c>
      <c r="AO319" s="660">
        <f>(AO311/1000*AO317)</f>
        <v>50.986513932439038</v>
      </c>
      <c r="AP319" s="660">
        <f>(AP311/1000*AP317)</f>
        <v>58.457650939823949</v>
      </c>
      <c r="AQ319" s="661">
        <f>(AQ311/1000*AQ317)</f>
        <v>55.575367122013141</v>
      </c>
      <c r="AR319" s="428">
        <f>SUM(AN319:AQ319)</f>
        <v>212.99477066043008</v>
      </c>
      <c r="AS319" s="758">
        <f>(AS311/1000*AS317)</f>
        <v>56.974023456335637</v>
      </c>
      <c r="AT319" s="660">
        <f>(AT311/1000*AT317)</f>
        <v>55.887735986369115</v>
      </c>
      <c r="AU319" s="660">
        <f t="shared" ref="AU319" si="492">(AU311/1000*AU317)</f>
        <v>59.601488106223535</v>
      </c>
      <c r="AV319" s="661">
        <f>(AV311/1000*AV317)</f>
        <v>72.36032520359349</v>
      </c>
      <c r="AW319" s="428">
        <f>SUM(AS319:AV319)</f>
        <v>244.82357275252178</v>
      </c>
      <c r="AX319" s="758">
        <f>(AX311/1000*AX317)</f>
        <v>97.739373786589439</v>
      </c>
      <c r="AY319" s="660">
        <f>(AY311/1000*AY317)</f>
        <v>83.581571669395942</v>
      </c>
      <c r="AZ319" s="660">
        <f>(AZ311/1000*AZ317)</f>
        <v>86.40471538619596</v>
      </c>
      <c r="BA319" s="661">
        <f>(BA311/1000*BA317)</f>
        <v>83.939091359395945</v>
      </c>
      <c r="BB319" s="428">
        <f>SUM(AX319:BA319)</f>
        <v>351.6647522015773</v>
      </c>
      <c r="BC319" s="758">
        <f>(BC311/1000*BC317)</f>
        <v>86.595417352563615</v>
      </c>
      <c r="BD319" s="660">
        <f>(BD311/1000*BD317)</f>
        <v>76.080328692437575</v>
      </c>
      <c r="BE319" s="660">
        <f>(BE311/1000*BE317)</f>
        <v>79.442500586413331</v>
      </c>
      <c r="BF319" s="661">
        <f>(BF311/1000*BF317)</f>
        <v>92.137409297179957</v>
      </c>
      <c r="BG319" s="428">
        <f>SUM(BC319:BF319)</f>
        <v>334.25565592859448</v>
      </c>
      <c r="BH319" s="758">
        <f>(BH311/1000*BH317)</f>
        <v>87.337815083086298</v>
      </c>
      <c r="BI319" s="660">
        <f>(BI311/1000*BI317)</f>
        <v>73.555662091065187</v>
      </c>
      <c r="BJ319" s="660">
        <f>(BJ311/1000*BJ317)</f>
        <v>77.87460186985345</v>
      </c>
      <c r="BK319" s="661">
        <f>(BK311/1000*BK317)</f>
        <v>75.019795032718832</v>
      </c>
      <c r="BL319" s="428">
        <f>SUM(BH319:BK319)</f>
        <v>313.78787407672377</v>
      </c>
      <c r="BM319" s="758">
        <f>(BM311/1000*BM317)</f>
        <v>82.746092050962247</v>
      </c>
      <c r="BN319" s="660">
        <f>(BN311/1000*BN317)</f>
        <v>82.746092050962247</v>
      </c>
      <c r="BO319" s="660">
        <f>(BO311/1000*BO317)</f>
        <v>82.746092050962247</v>
      </c>
      <c r="BP319" s="661">
        <f>(BP311/1000*BP317)</f>
        <v>82.746092050962247</v>
      </c>
      <c r="BQ319" s="428">
        <f>SUM(BM319:BP319)</f>
        <v>330.98436820384899</v>
      </c>
      <c r="BS319" s="40"/>
      <c r="BT319" s="40"/>
      <c r="BU319" s="2196"/>
      <c r="BV319" s="2232" t="s">
        <v>1454</v>
      </c>
      <c r="BW319" s="2232" t="s">
        <v>1456</v>
      </c>
      <c r="BX319" s="2232" t="s">
        <v>1499</v>
      </c>
      <c r="BY319" s="2232" t="s">
        <v>1500</v>
      </c>
      <c r="BZ319" s="2195" t="s">
        <v>1459</v>
      </c>
      <c r="CA319" s="2232" t="s">
        <v>1487</v>
      </c>
      <c r="CB319" s="2232"/>
      <c r="CC319" s="2232" t="s">
        <v>1492</v>
      </c>
      <c r="CD319" s="2232" t="s">
        <v>1493</v>
      </c>
      <c r="CE319" s="2232" t="s">
        <v>1496</v>
      </c>
      <c r="CF319" s="2232" t="s">
        <v>1494</v>
      </c>
      <c r="CK319" s="40"/>
      <c r="CL319" s="40"/>
      <c r="CM319" s="40"/>
      <c r="CN319" s="40"/>
      <c r="CO319" s="40"/>
      <c r="CP319" s="40"/>
      <c r="CQ319" s="40"/>
      <c r="CR319" s="40"/>
      <c r="CS319" s="40"/>
      <c r="CT319" s="823"/>
      <c r="CU319" s="232"/>
      <c r="CV319" s="232"/>
      <c r="CW319" s="232"/>
      <c r="CX319" s="232"/>
      <c r="CY319" s="232"/>
      <c r="CZ319" s="40"/>
      <c r="DA319" s="40"/>
      <c r="DB319" s="40"/>
      <c r="DC319" s="40"/>
      <c r="DD319" s="40"/>
      <c r="DE319" s="40"/>
      <c r="DF319" s="232"/>
      <c r="DG319" s="232"/>
      <c r="DH319" s="232"/>
      <c r="DI319" s="232"/>
      <c r="DJ319" s="232"/>
      <c r="DK319" s="232"/>
      <c r="DL319" s="232"/>
      <c r="DM319" s="232"/>
      <c r="DN319" s="232"/>
    </row>
    <row r="320" spans="1:118">
      <c r="A320" s="40"/>
      <c r="B320" s="1"/>
      <c r="C320" s="28" t="s">
        <v>278</v>
      </c>
      <c r="D320" s="1"/>
      <c r="E320" s="273"/>
      <c r="F320" s="3"/>
      <c r="G320" s="3"/>
      <c r="H320" s="274"/>
      <c r="I320" s="28"/>
      <c r="J320" s="273"/>
      <c r="K320" s="3"/>
      <c r="L320" s="3"/>
      <c r="M320" s="274"/>
      <c r="N320" s="1"/>
      <c r="O320" s="273"/>
      <c r="P320" s="3"/>
      <c r="Q320" s="3"/>
      <c r="R320" s="274"/>
      <c r="S320" s="1"/>
      <c r="T320" s="758"/>
      <c r="U320" s="660"/>
      <c r="V320" s="660"/>
      <c r="W320" s="661"/>
      <c r="X320" s="428"/>
      <c r="Y320" s="758">
        <f>Y312/1000*Y317</f>
        <v>18.372539625000002</v>
      </c>
      <c r="Z320" s="660">
        <f>Z312/1000*Z317</f>
        <v>18.372539625000002</v>
      </c>
      <c r="AA320" s="660">
        <f>AA312/1000*AA317</f>
        <v>18.372539625000002</v>
      </c>
      <c r="AB320" s="661">
        <f>AB312/1000*AB317</f>
        <v>18.372539625000002</v>
      </c>
      <c r="AC320" s="428">
        <f>SUM(Y320:AB320)</f>
        <v>73.490158500000007</v>
      </c>
      <c r="AD320" s="758">
        <f>AD312/1000*AD317</f>
        <v>18.372539625000002</v>
      </c>
      <c r="AE320" s="660">
        <f>AE312/1000*AE317</f>
        <v>16.211064374999999</v>
      </c>
      <c r="AF320" s="660">
        <f>AF312/1000*AF317</f>
        <v>16.211064374999999</v>
      </c>
      <c r="AG320" s="661">
        <f>AG312/1000*AG317</f>
        <v>16.211064374999999</v>
      </c>
      <c r="AH320" s="428">
        <f>SUM(AD320:AG320)</f>
        <v>67.005732749999993</v>
      </c>
      <c r="AI320" s="758">
        <f>AI312/1000*AI317</f>
        <v>16.697396306250003</v>
      </c>
      <c r="AJ320" s="660">
        <f>AJ312/1000*AJ317</f>
        <v>16.697396306250003</v>
      </c>
      <c r="AK320" s="660">
        <f>AK312/1000*AK317</f>
        <v>16.697396306250003</v>
      </c>
      <c r="AL320" s="661">
        <f>AL312/1000*AL317</f>
        <v>16.697396306250003</v>
      </c>
      <c r="AM320" s="428">
        <f>SUM(AI320:AL320)</f>
        <v>66.78958522500001</v>
      </c>
      <c r="AN320" s="758">
        <f>AN312/1000*AN317</f>
        <v>17.291282077575001</v>
      </c>
      <c r="AO320" s="660">
        <f>AO312/1000*AO317</f>
        <v>17.198318195437501</v>
      </c>
      <c r="AP320" s="660">
        <f>AP312/1000*AP317</f>
        <v>17.198318195437501</v>
      </c>
      <c r="AQ320" s="661">
        <f>AQ312/1000*AQ317</f>
        <v>17.198318195437501</v>
      </c>
      <c r="AR320" s="428">
        <f>SUM(AN320:AQ320)</f>
        <v>68.886236663887502</v>
      </c>
      <c r="AS320" s="758">
        <f>AS312/1000*AS317</f>
        <v>19.067716800000003</v>
      </c>
      <c r="AT320" s="660">
        <f>AT312/1000*AT317</f>
        <v>19.067716800000003</v>
      </c>
      <c r="AU320" s="660">
        <f t="shared" ref="AU320" si="493">AU312/1000*AU317</f>
        <v>19.067716800000003</v>
      </c>
      <c r="AV320" s="661">
        <f>AV312/1000*AV317</f>
        <v>19.067716800000003</v>
      </c>
      <c r="AW320" s="428">
        <f>SUM(AS320:AV320)</f>
        <v>76.270867200000012</v>
      </c>
      <c r="AX320" s="758">
        <f>AX312/1000*AX317</f>
        <v>17.946086400000002</v>
      </c>
      <c r="AY320" s="660">
        <f>AY312/1000*AY317</f>
        <v>17.946086400000002</v>
      </c>
      <c r="AZ320" s="660">
        <f>AZ312/1000*AZ317</f>
        <v>17.946086400000002</v>
      </c>
      <c r="BA320" s="661">
        <f>BA312/1000*BA317</f>
        <v>17.946086400000002</v>
      </c>
      <c r="BB320" s="428">
        <f>SUM(AX320:BA320)</f>
        <v>71.784345600000009</v>
      </c>
      <c r="BC320" s="758">
        <f>BC312/1000*BC317</f>
        <v>17.385271199999998</v>
      </c>
      <c r="BD320" s="660">
        <f>BD312/1000*BD317</f>
        <v>17.385271199999998</v>
      </c>
      <c r="BE320" s="660">
        <f>BE312/1000*BE317</f>
        <v>17.385271199999998</v>
      </c>
      <c r="BF320" s="661">
        <f>BF312/1000*BF317</f>
        <v>17.385271199999998</v>
      </c>
      <c r="BG320" s="428">
        <f>SUM(BC320:BF320)</f>
        <v>69.541084799999993</v>
      </c>
      <c r="BH320" s="758">
        <f>BH312/1000*BH317</f>
        <v>16.263640800000001</v>
      </c>
      <c r="BI320" s="660">
        <f>BI312/1000*BI317</f>
        <v>16.263640800000001</v>
      </c>
      <c r="BJ320" s="660">
        <f>BJ312/1000*BJ317</f>
        <v>16.263640800000001</v>
      </c>
      <c r="BK320" s="661">
        <f>BK312/1000*BK317</f>
        <v>16.263640800000001</v>
      </c>
      <c r="BL320" s="428">
        <f>SUM(BH320:BK320)</f>
        <v>65.054563200000004</v>
      </c>
      <c r="BM320" s="758">
        <f>BM312/1000*BM317</f>
        <v>16.263640800000001</v>
      </c>
      <c r="BN320" s="660">
        <f>BN312/1000*BN317</f>
        <v>16.263640800000001</v>
      </c>
      <c r="BO320" s="660">
        <f>BO312/1000*BO317</f>
        <v>16.263640800000001</v>
      </c>
      <c r="BP320" s="661">
        <f>BP312/1000*BP317</f>
        <v>16.263640800000001</v>
      </c>
      <c r="BQ320" s="428">
        <f>SUM(BM320:BP320)</f>
        <v>65.054563200000004</v>
      </c>
      <c r="BS320" s="40"/>
      <c r="BT320" s="40"/>
      <c r="BU320" s="34" t="s">
        <v>1488</v>
      </c>
      <c r="BV320" s="2233">
        <v>16.5</v>
      </c>
      <c r="BW320" s="2234">
        <v>31.4</v>
      </c>
      <c r="BX320" s="2235">
        <f>AW79</f>
        <v>30.315934726275074</v>
      </c>
      <c r="BY320" s="2235">
        <f>AW710*365/(8760*0.93)</f>
        <v>2.2401433691756272</v>
      </c>
      <c r="BZ320" s="2236">
        <f>MAX(0,(BX320+BY320)-BW320)</f>
        <v>1.1560780954507024</v>
      </c>
      <c r="CA320" s="2234">
        <v>16.5</v>
      </c>
      <c r="CB320" s="2234"/>
      <c r="CC320" s="2237">
        <f>AW317</f>
        <v>8973.0432000000001</v>
      </c>
      <c r="CD320" s="2238">
        <f>CA320*CC320/1000</f>
        <v>148.05521280000002</v>
      </c>
      <c r="CE320" s="2238">
        <v>235</v>
      </c>
      <c r="CF320" s="2233">
        <f>IF((CD312+CD320)&gt;CE312,CE312/(CC312+CC320)*1000,CA320)</f>
        <v>11.313463233073904</v>
      </c>
      <c r="CK320" s="40"/>
      <c r="CL320" s="40"/>
      <c r="CM320" s="40"/>
      <c r="CN320" s="40"/>
      <c r="CO320" s="40"/>
      <c r="CP320" s="40"/>
      <c r="CQ320" s="40"/>
      <c r="CR320" s="40"/>
      <c r="CS320" s="40"/>
      <c r="CT320" s="823"/>
      <c r="CU320" s="232"/>
      <c r="CV320" s="232"/>
      <c r="CW320" s="232"/>
      <c r="CX320" s="232"/>
      <c r="CY320" s="232"/>
      <c r="CZ320" s="40"/>
      <c r="DA320" s="40"/>
      <c r="DB320" s="40"/>
      <c r="DC320" s="40"/>
      <c r="DD320" s="40"/>
      <c r="DE320" s="40"/>
      <c r="DF320" s="232"/>
      <c r="DG320" s="232"/>
      <c r="DH320" s="232"/>
      <c r="DI320" s="232"/>
      <c r="DJ320" s="232"/>
      <c r="DK320" s="232"/>
      <c r="DL320" s="232"/>
      <c r="DM320" s="232"/>
      <c r="DN320" s="232"/>
    </row>
    <row r="321" spans="1:118">
      <c r="A321" s="40"/>
      <c r="B321" s="1"/>
      <c r="C321" s="32" t="s">
        <v>199</v>
      </c>
      <c r="D321" s="32"/>
      <c r="E321" s="489"/>
      <c r="F321" s="342"/>
      <c r="G321" s="342"/>
      <c r="H321" s="490"/>
      <c r="I321" s="28"/>
      <c r="J321" s="489"/>
      <c r="K321" s="342"/>
      <c r="L321" s="342"/>
      <c r="M321" s="490"/>
      <c r="N321" s="32"/>
      <c r="O321" s="489"/>
      <c r="P321" s="342"/>
      <c r="Q321" s="342"/>
      <c r="R321" s="490"/>
      <c r="S321" s="32"/>
      <c r="T321" s="292"/>
      <c r="U321" s="261"/>
      <c r="V321" s="261"/>
      <c r="W321" s="293"/>
      <c r="X321" s="228"/>
      <c r="Y321" s="292">
        <f t="shared" ref="Y321:BL321" si="494">Y319-Y320</f>
        <v>47.725756375843915</v>
      </c>
      <c r="Z321" s="261">
        <f t="shared" si="494"/>
        <v>49.895873905196936</v>
      </c>
      <c r="AA321" s="261">
        <f t="shared" si="494"/>
        <v>47.355684239303045</v>
      </c>
      <c r="AB321" s="293">
        <f t="shared" si="494"/>
        <v>44.22930698787826</v>
      </c>
      <c r="AC321" s="228">
        <f t="shared" si="494"/>
        <v>189.20662150822216</v>
      </c>
      <c r="AD321" s="292">
        <f t="shared" si="494"/>
        <v>111.31765371112229</v>
      </c>
      <c r="AE321" s="261">
        <f t="shared" si="494"/>
        <v>46.240819392740747</v>
      </c>
      <c r="AF321" s="261">
        <f t="shared" si="494"/>
        <v>46.240819392740747</v>
      </c>
      <c r="AG321" s="293">
        <f t="shared" si="494"/>
        <v>50.444992676643942</v>
      </c>
      <c r="AH321" s="228">
        <f t="shared" si="494"/>
        <v>254.24428517324776</v>
      </c>
      <c r="AI321" s="292">
        <f t="shared" si="494"/>
        <v>57.280937580330232</v>
      </c>
      <c r="AJ321" s="261">
        <f t="shared" si="494"/>
        <v>40.91213417475177</v>
      </c>
      <c r="AK321" s="261">
        <f t="shared" si="494"/>
        <v>39.179512432892125</v>
      </c>
      <c r="AL321" s="293">
        <f t="shared" si="494"/>
        <v>34.220629814430808</v>
      </c>
      <c r="AM321" s="228">
        <f t="shared" si="494"/>
        <v>171.59321400240492</v>
      </c>
      <c r="AN321" s="292">
        <f t="shared" si="494"/>
        <v>30.683956588578926</v>
      </c>
      <c r="AO321" s="261">
        <f t="shared" si="494"/>
        <v>33.788195737001537</v>
      </c>
      <c r="AP321" s="261">
        <f t="shared" si="494"/>
        <v>41.259332744386448</v>
      </c>
      <c r="AQ321" s="293">
        <f t="shared" si="494"/>
        <v>38.37704892657564</v>
      </c>
      <c r="AR321" s="228">
        <f t="shared" si="494"/>
        <v>144.10853399654258</v>
      </c>
      <c r="AS321" s="292">
        <f t="shared" si="494"/>
        <v>37.90630665633563</v>
      </c>
      <c r="AT321" s="261">
        <f t="shared" si="494"/>
        <v>36.820019186369109</v>
      </c>
      <c r="AU321" s="261">
        <f t="shared" ref="AU321" si="495">AU319-AU320</f>
        <v>40.533771306223528</v>
      </c>
      <c r="AV321" s="293">
        <f t="shared" si="494"/>
        <v>53.292608403593491</v>
      </c>
      <c r="AW321" s="228">
        <f t="shared" si="494"/>
        <v>168.55270555252179</v>
      </c>
      <c r="AX321" s="292">
        <f t="shared" si="494"/>
        <v>79.793287386589441</v>
      </c>
      <c r="AY321" s="261">
        <f t="shared" si="494"/>
        <v>65.635485269395943</v>
      </c>
      <c r="AZ321" s="261">
        <f t="shared" si="494"/>
        <v>68.458628986195961</v>
      </c>
      <c r="BA321" s="293">
        <f t="shared" si="494"/>
        <v>65.993004959395947</v>
      </c>
      <c r="BB321" s="228">
        <f t="shared" si="494"/>
        <v>279.88040660157731</v>
      </c>
      <c r="BC321" s="292">
        <f t="shared" si="494"/>
        <v>69.210146152563624</v>
      </c>
      <c r="BD321" s="261">
        <f t="shared" si="494"/>
        <v>58.695057492437577</v>
      </c>
      <c r="BE321" s="261">
        <f t="shared" si="494"/>
        <v>62.057229386413333</v>
      </c>
      <c r="BF321" s="293">
        <f t="shared" si="494"/>
        <v>74.752138097179966</v>
      </c>
      <c r="BG321" s="228">
        <f t="shared" si="494"/>
        <v>264.71457112859446</v>
      </c>
      <c r="BH321" s="292">
        <f t="shared" si="494"/>
        <v>71.074174283086293</v>
      </c>
      <c r="BI321" s="261">
        <f t="shared" si="494"/>
        <v>57.292021291065183</v>
      </c>
      <c r="BJ321" s="261">
        <f t="shared" si="494"/>
        <v>61.610961069853445</v>
      </c>
      <c r="BK321" s="293">
        <f t="shared" si="494"/>
        <v>58.756154232718828</v>
      </c>
      <c r="BL321" s="228">
        <f t="shared" si="494"/>
        <v>248.73331087672375</v>
      </c>
      <c r="BM321" s="292">
        <f t="shared" ref="BM321:BQ321" si="496">BM319-BM320</f>
        <v>66.482451250962242</v>
      </c>
      <c r="BN321" s="261">
        <f t="shared" si="496"/>
        <v>66.482451250962242</v>
      </c>
      <c r="BO321" s="261">
        <f t="shared" si="496"/>
        <v>66.482451250962242</v>
      </c>
      <c r="BP321" s="293">
        <f t="shared" si="496"/>
        <v>66.482451250962242</v>
      </c>
      <c r="BQ321" s="228">
        <f t="shared" si="496"/>
        <v>265.92980500384897</v>
      </c>
      <c r="BS321" s="40"/>
      <c r="BT321" s="40"/>
      <c r="BU321" s="34" t="s">
        <v>1489</v>
      </c>
      <c r="BV321" s="2233">
        <f>BV320*1.01</f>
        <v>16.664999999999999</v>
      </c>
      <c r="BW321" s="2234">
        <v>31.4</v>
      </c>
      <c r="BX321" s="2235">
        <f>BB79</f>
        <v>30.97531527289717</v>
      </c>
      <c r="BY321" s="2235">
        <f>BB710*365/(8760*0.93)</f>
        <v>2.2401433691756272</v>
      </c>
      <c r="BZ321" s="2236">
        <f>MAX(0,(BX321+BY321)-BW321)</f>
        <v>1.8154586420727981</v>
      </c>
      <c r="CA321" s="2234">
        <f>BV321-BZ321</f>
        <v>14.849541357927201</v>
      </c>
      <c r="CB321" s="2234"/>
      <c r="CC321" s="2237">
        <f>BB317</f>
        <v>8973.0432000000001</v>
      </c>
      <c r="CD321" s="2238">
        <f>CA321*CC321/1000</f>
        <v>133.24557610486744</v>
      </c>
      <c r="CE321" s="2238">
        <v>235</v>
      </c>
      <c r="CF321" s="2233">
        <f>IF((CD313+CD321)&gt;CE313,CE313/(CC313+CC321)*1000,CA321)</f>
        <v>11.313463233073904</v>
      </c>
      <c r="CK321" s="40"/>
      <c r="CL321" s="40"/>
      <c r="CM321" s="40"/>
      <c r="CN321" s="40"/>
      <c r="CO321" s="40"/>
      <c r="CP321" s="40"/>
      <c r="CQ321" s="40"/>
      <c r="CR321" s="40"/>
      <c r="CS321" s="40"/>
      <c r="CT321" s="823"/>
      <c r="CU321" s="232"/>
      <c r="CV321" s="232"/>
      <c r="CW321" s="232"/>
      <c r="CX321" s="232"/>
      <c r="CY321" s="232"/>
      <c r="CZ321" s="40"/>
      <c r="DA321" s="40"/>
      <c r="DB321" s="40"/>
      <c r="DC321" s="40"/>
      <c r="DD321" s="40"/>
      <c r="DE321" s="40"/>
      <c r="DF321" s="232"/>
      <c r="DG321" s="232"/>
      <c r="DH321" s="232"/>
      <c r="DI321" s="232"/>
      <c r="DJ321" s="232"/>
      <c r="DK321" s="232"/>
      <c r="DL321" s="232"/>
      <c r="DM321" s="232"/>
      <c r="DN321" s="232"/>
    </row>
    <row r="322" spans="1:118">
      <c r="A322" s="40"/>
      <c r="Y322" s="788"/>
      <c r="Z322" s="789"/>
      <c r="AA322" s="789"/>
      <c r="AB322" s="790"/>
      <c r="AC322" s="747"/>
      <c r="AD322" s="788"/>
      <c r="AE322" s="789"/>
      <c r="AF322" s="789"/>
      <c r="AG322" s="790"/>
      <c r="AH322" s="747"/>
      <c r="AI322" s="788"/>
      <c r="AJ322" s="789"/>
      <c r="AK322" s="789"/>
      <c r="AL322" s="790"/>
      <c r="AM322" s="747"/>
      <c r="AN322" s="788"/>
      <c r="AO322" s="789"/>
      <c r="AP322" s="789"/>
      <c r="AQ322" s="790"/>
      <c r="AR322" s="747"/>
      <c r="AS322" s="788"/>
      <c r="AT322" s="789"/>
      <c r="AU322" s="789"/>
      <c r="AV322" s="790"/>
      <c r="AW322" s="747"/>
      <c r="AX322" s="788"/>
      <c r="AY322" s="789"/>
      <c r="AZ322" s="789"/>
      <c r="BA322" s="790"/>
      <c r="BB322" s="747"/>
      <c r="BC322" s="788"/>
      <c r="BD322" s="789"/>
      <c r="BE322" s="789"/>
      <c r="BF322" s="790"/>
      <c r="BG322" s="747"/>
      <c r="BH322" s="788"/>
      <c r="BI322" s="789"/>
      <c r="BJ322" s="789"/>
      <c r="BK322" s="790"/>
      <c r="BL322" s="747"/>
      <c r="BM322" s="788"/>
      <c r="BN322" s="789"/>
      <c r="BO322" s="789"/>
      <c r="BP322" s="790"/>
      <c r="BQ322" s="747"/>
      <c r="BR322" s="40"/>
      <c r="BS322" s="40"/>
      <c r="BT322" s="40"/>
      <c r="BU322" s="34" t="s">
        <v>1490</v>
      </c>
      <c r="BV322" s="2233">
        <f>BV321*1.01</f>
        <v>16.83165</v>
      </c>
      <c r="BW322" s="2234">
        <v>31.4</v>
      </c>
      <c r="BX322" s="2235">
        <f>BG79</f>
        <v>28.819587291634996</v>
      </c>
      <c r="BY322" s="2235">
        <f>BG710*365/(8760*0.93)</f>
        <v>2.2401433691756272</v>
      </c>
      <c r="BZ322" s="2236">
        <f>MAX(0,(BX322+BY322)-BW322)</f>
        <v>0</v>
      </c>
      <c r="CA322" s="2234">
        <f>BV322-BZ322</f>
        <v>16.83165</v>
      </c>
      <c r="CB322" s="2234"/>
      <c r="CC322" s="2237">
        <f>BG317</f>
        <v>8973.0432000000001</v>
      </c>
      <c r="CD322" s="2238">
        <f>CA322*CC322/1000</f>
        <v>151.03112257728</v>
      </c>
      <c r="CE322" s="2238">
        <v>235</v>
      </c>
      <c r="CF322" s="2233">
        <f>IF((CD314+CD322)&gt;CE314,CE314/(CC314+CC322)*1000,CA322)</f>
        <v>11.313463233073904</v>
      </c>
      <c r="CK322" s="40"/>
      <c r="CL322" s="40"/>
      <c r="CM322" s="40"/>
      <c r="CN322" s="40"/>
      <c r="CO322" s="40"/>
      <c r="CP322" s="40"/>
      <c r="CQ322" s="40"/>
      <c r="CR322" s="40"/>
      <c r="CS322" s="40"/>
      <c r="CT322" s="823"/>
      <c r="CU322" s="232"/>
      <c r="CV322" s="232"/>
      <c r="CW322" s="232"/>
      <c r="CX322" s="232"/>
      <c r="CY322" s="232"/>
      <c r="CZ322" s="40"/>
      <c r="DA322" s="40"/>
      <c r="DB322" s="40"/>
      <c r="DC322" s="40"/>
      <c r="DD322" s="40"/>
      <c r="DE322" s="40"/>
      <c r="DF322" s="232"/>
      <c r="DG322" s="232"/>
      <c r="DH322" s="232"/>
      <c r="DI322" s="232"/>
      <c r="DJ322" s="232"/>
      <c r="DK322" s="232"/>
      <c r="DL322" s="232"/>
      <c r="DM322" s="232"/>
      <c r="DN322" s="232"/>
    </row>
    <row r="323" spans="1:118">
      <c r="A323" s="40"/>
      <c r="C323" s="429" t="s">
        <v>1274</v>
      </c>
      <c r="D323" s="1"/>
      <c r="E323" s="273"/>
      <c r="F323" s="3"/>
      <c r="G323" s="3"/>
      <c r="H323" s="274"/>
      <c r="I323" s="28"/>
      <c r="J323" s="273"/>
      <c r="K323" s="3"/>
      <c r="L323" s="3"/>
      <c r="M323" s="274"/>
      <c r="N323" s="1"/>
      <c r="O323" s="273"/>
      <c r="P323" s="3"/>
      <c r="Q323" s="3"/>
      <c r="R323" s="274"/>
      <c r="S323" s="1"/>
      <c r="T323" s="273"/>
      <c r="U323" s="3"/>
      <c r="V323" s="3"/>
      <c r="W323" s="274"/>
      <c r="X323" s="1"/>
      <c r="Y323" s="273"/>
      <c r="Z323" s="3"/>
      <c r="AA323" s="3"/>
      <c r="AB323" s="274"/>
      <c r="AC323" s="1"/>
      <c r="AD323" s="273"/>
      <c r="AE323" s="3"/>
      <c r="AF323" s="3"/>
      <c r="AG323" s="274"/>
      <c r="AH323" s="1"/>
      <c r="AI323" s="273"/>
      <c r="AJ323" s="3"/>
      <c r="AK323" s="3"/>
      <c r="AL323" s="274"/>
      <c r="AM323" s="1"/>
      <c r="AN323" s="273"/>
      <c r="AO323" s="3"/>
      <c r="AP323" s="3"/>
      <c r="AQ323" s="274"/>
      <c r="AR323" s="1"/>
      <c r="AS323" s="273"/>
      <c r="AT323" s="3"/>
      <c r="AU323" s="3"/>
      <c r="AV323" s="274"/>
      <c r="AW323" s="1"/>
      <c r="AX323" s="273"/>
      <c r="AY323" s="3"/>
      <c r="AZ323" s="3"/>
      <c r="BA323" s="274"/>
      <c r="BB323" s="1"/>
      <c r="BC323" s="273"/>
      <c r="BD323" s="3"/>
      <c r="BE323" s="3"/>
      <c r="BF323" s="274"/>
      <c r="BG323" s="1"/>
      <c r="BH323" s="273"/>
      <c r="BI323" s="3"/>
      <c r="BJ323" s="3"/>
      <c r="BK323" s="274"/>
      <c r="BL323" s="1"/>
      <c r="BM323" s="273"/>
      <c r="BN323" s="3"/>
      <c r="BO323" s="3"/>
      <c r="BP323" s="274"/>
      <c r="BQ323" s="1"/>
      <c r="BR323" s="40"/>
      <c r="BS323" s="40"/>
      <c r="BT323" s="40"/>
      <c r="BU323" s="34" t="s">
        <v>1491</v>
      </c>
      <c r="BV323" s="2233">
        <f>BV322*1.01</f>
        <v>16.999966499999999</v>
      </c>
      <c r="BW323" s="2234">
        <v>31.4</v>
      </c>
      <c r="BX323" s="2235">
        <f>BL79</f>
        <v>28.810715833299994</v>
      </c>
      <c r="BY323" s="2235">
        <f>BL710*365/(8760*0.93)</f>
        <v>2.2401433691756272</v>
      </c>
      <c r="BZ323" s="2236">
        <f>MAX(0,(BX323+BY323)-BW323)</f>
        <v>0</v>
      </c>
      <c r="CA323" s="2234">
        <f>BV323-BZ323</f>
        <v>16.999966499999999</v>
      </c>
      <c r="CB323" s="2234"/>
      <c r="CC323" s="2237">
        <f>BL317</f>
        <v>8973.0432000000001</v>
      </c>
      <c r="CD323" s="2238">
        <f>CA323*CC323/1000</f>
        <v>152.5414338030528</v>
      </c>
      <c r="CE323" s="2238">
        <v>235</v>
      </c>
      <c r="CF323" s="2233">
        <f>IF((CD315+CD323)&gt;CE315,CE315/(CC315+CC323)*1000,CA323)</f>
        <v>11.313463233073904</v>
      </c>
      <c r="CG323" s="40"/>
      <c r="CH323" s="40"/>
      <c r="CI323" s="40"/>
      <c r="CJ323" s="40"/>
      <c r="CK323" s="40"/>
      <c r="CL323" s="40"/>
      <c r="CM323" s="40"/>
      <c r="CN323" s="40"/>
      <c r="CO323" s="40"/>
      <c r="CP323" s="40"/>
      <c r="CQ323" s="40"/>
      <c r="CR323" s="40"/>
      <c r="CS323" s="40"/>
      <c r="CT323" s="823"/>
      <c r="CU323" s="232"/>
      <c r="CV323" s="232"/>
      <c r="CW323" s="232"/>
      <c r="CX323" s="232"/>
      <c r="CY323" s="232"/>
      <c r="CZ323" s="40"/>
      <c r="DA323" s="40"/>
      <c r="DB323" s="40"/>
      <c r="DC323" s="40"/>
      <c r="DD323" s="40"/>
      <c r="DE323" s="40"/>
      <c r="DF323" s="232"/>
      <c r="DG323" s="232"/>
      <c r="DH323" s="232"/>
      <c r="DI323" s="232"/>
      <c r="DJ323" s="232"/>
      <c r="DK323" s="232"/>
      <c r="DL323" s="232"/>
      <c r="DM323" s="232"/>
      <c r="DN323" s="232"/>
    </row>
    <row r="324" spans="1:118">
      <c r="A324" s="40"/>
      <c r="C324" s="28" t="s">
        <v>194</v>
      </c>
      <c r="D324" s="1"/>
      <c r="E324" s="273"/>
      <c r="F324" s="3"/>
      <c r="G324" s="3"/>
      <c r="H324" s="274"/>
      <c r="I324" s="28"/>
      <c r="J324" s="273"/>
      <c r="K324" s="3"/>
      <c r="L324" s="3"/>
      <c r="M324" s="274"/>
      <c r="N324" s="1"/>
      <c r="O324" s="273"/>
      <c r="P324" s="3"/>
      <c r="Q324" s="3"/>
      <c r="R324" s="274"/>
      <c r="S324" s="1"/>
      <c r="T324" s="436"/>
      <c r="U324" s="437"/>
      <c r="V324" s="437"/>
      <c r="W324" s="438"/>
      <c r="X324" s="439"/>
      <c r="Y324" s="436">
        <f t="shared" ref="Y324:BQ324" si="497">Y$87</f>
        <v>38.382602963140968</v>
      </c>
      <c r="Z324" s="437">
        <f t="shared" si="497"/>
        <v>38.849673849504214</v>
      </c>
      <c r="AA324" s="437">
        <f t="shared" si="497"/>
        <v>41.973906793654457</v>
      </c>
      <c r="AB324" s="438">
        <f t="shared" si="497"/>
        <v>36.944658902489365</v>
      </c>
      <c r="AC324" s="439">
        <f t="shared" si="497"/>
        <v>39.037710627197256</v>
      </c>
      <c r="AD324" s="436">
        <f t="shared" si="497"/>
        <v>110.52712209889796</v>
      </c>
      <c r="AE324" s="437">
        <f t="shared" si="497"/>
        <v>35.451764268292507</v>
      </c>
      <c r="AF324" s="437">
        <f t="shared" si="497"/>
        <v>35.451764268292507</v>
      </c>
      <c r="AG324" s="438">
        <f t="shared" si="497"/>
        <v>43.10411778415444</v>
      </c>
      <c r="AH324" s="439">
        <f t="shared" si="497"/>
        <v>56.133692104909343</v>
      </c>
      <c r="AI324" s="436">
        <f t="shared" si="497"/>
        <v>59.740566906779449</v>
      </c>
      <c r="AJ324" s="437">
        <f t="shared" si="497"/>
        <v>33.964232409775647</v>
      </c>
      <c r="AK324" s="437">
        <f t="shared" si="497"/>
        <v>29.891276604570443</v>
      </c>
      <c r="AL324" s="438">
        <f t="shared" si="497"/>
        <v>27.577496597475587</v>
      </c>
      <c r="AM324" s="439">
        <f t="shared" si="497"/>
        <v>37.793393129650283</v>
      </c>
      <c r="AN324" s="436">
        <f t="shared" si="497"/>
        <v>28.158162791408454</v>
      </c>
      <c r="AO324" s="437">
        <f t="shared" si="497"/>
        <v>23.744347552298677</v>
      </c>
      <c r="AP324" s="437">
        <f t="shared" si="497"/>
        <v>30.351033232756244</v>
      </c>
      <c r="AQ324" s="438">
        <f t="shared" si="497"/>
        <v>24.884635360263541</v>
      </c>
      <c r="AR324" s="439">
        <f t="shared" si="497"/>
        <v>26.784544734181729</v>
      </c>
      <c r="AS324" s="436">
        <f t="shared" si="497"/>
        <v>31.198536553048502</v>
      </c>
      <c r="AT324" s="437">
        <f t="shared" si="497"/>
        <v>26.795451860978815</v>
      </c>
      <c r="AU324" s="437">
        <f t="shared" si="497"/>
        <v>26.388415323007248</v>
      </c>
      <c r="AV324" s="438">
        <f t="shared" si="497"/>
        <v>48.006363278624086</v>
      </c>
      <c r="AW324" s="439">
        <f t="shared" si="497"/>
        <v>33.097191753914665</v>
      </c>
      <c r="AX324" s="436">
        <f t="shared" si="497"/>
        <v>48.006363278624086</v>
      </c>
      <c r="AY324" s="437">
        <f t="shared" si="497"/>
        <v>29.534683333333334</v>
      </c>
      <c r="AZ324" s="437">
        <f t="shared" si="497"/>
        <v>31.344845833333334</v>
      </c>
      <c r="BA324" s="438">
        <f t="shared" si="497"/>
        <v>29.829220833333331</v>
      </c>
      <c r="BB324" s="439">
        <f t="shared" si="497"/>
        <v>34.678778319656018</v>
      </c>
      <c r="BC324" s="436">
        <f t="shared" si="497"/>
        <v>41.70067783353943</v>
      </c>
      <c r="BD324" s="437">
        <f t="shared" si="497"/>
        <v>25.28186367366057</v>
      </c>
      <c r="BE324" s="437">
        <f t="shared" si="497"/>
        <v>27.252066715361075</v>
      </c>
      <c r="BF324" s="438">
        <f t="shared" si="497"/>
        <v>33.565240943978935</v>
      </c>
      <c r="BG324" s="439">
        <f>BG$87</f>
        <v>31.949962291635003</v>
      </c>
      <c r="BH324" s="436">
        <f t="shared" si="497"/>
        <v>41.513587958867234</v>
      </c>
      <c r="BI324" s="437">
        <f t="shared" si="497"/>
        <v>25.176505550988139</v>
      </c>
      <c r="BJ324" s="437">
        <f t="shared" si="497"/>
        <v>27.143459647917485</v>
      </c>
      <c r="BK324" s="438">
        <f t="shared" si="497"/>
        <v>33.410701008767148</v>
      </c>
      <c r="BL324" s="439">
        <f t="shared" si="497"/>
        <v>31.811063541634997</v>
      </c>
      <c r="BM324" s="436">
        <f t="shared" si="497"/>
        <v>31.238074693323561</v>
      </c>
      <c r="BN324" s="437">
        <f t="shared" si="497"/>
        <v>31.238074693323561</v>
      </c>
      <c r="BO324" s="437">
        <f t="shared" si="497"/>
        <v>31.238074693323561</v>
      </c>
      <c r="BP324" s="438">
        <f t="shared" si="497"/>
        <v>31.238074693323561</v>
      </c>
      <c r="BQ324" s="439">
        <f t="shared" si="497"/>
        <v>31.238074693323561</v>
      </c>
      <c r="BR324" s="40"/>
      <c r="BS324" s="40"/>
      <c r="BT324" s="40"/>
      <c r="BU324" s="34" t="s">
        <v>1530</v>
      </c>
      <c r="BV324" s="2233">
        <f>BV323*1.01</f>
        <v>17.169966164999998</v>
      </c>
      <c r="BW324" s="2234">
        <v>31.4</v>
      </c>
      <c r="BX324" s="2235">
        <f>BQ79</f>
        <v>33.018409356281332</v>
      </c>
      <c r="BY324" s="2235">
        <f>BQ710*365/(8760*0.93)</f>
        <v>2.2401433691756272</v>
      </c>
      <c r="BZ324" s="2236">
        <f>MAX(0,(BX324+BY324)-BW324)</f>
        <v>3.8585527254569598</v>
      </c>
      <c r="CA324" s="2234">
        <f>BV324-BZ324</f>
        <v>13.311413439543038</v>
      </c>
      <c r="CB324" s="2234"/>
      <c r="CC324" s="2237">
        <f>BQ317</f>
        <v>8973.0432000000001</v>
      </c>
      <c r="CD324" s="2238">
        <f>CA324*CC324/1000</f>
        <v>119.44388784608027</v>
      </c>
      <c r="CE324" s="2238">
        <v>235</v>
      </c>
      <c r="CF324" s="2233">
        <f>IF((CD316+CD324)&gt;CE316,CE316/(CC316+CC324)*1000,CA324)</f>
        <v>11.313463233073904</v>
      </c>
      <c r="CG324" s="40"/>
      <c r="CH324" s="40"/>
      <c r="CI324" s="40"/>
      <c r="CJ324" s="40"/>
      <c r="CK324" s="40"/>
      <c r="CL324" s="40"/>
      <c r="CM324" s="40"/>
      <c r="CN324" s="40"/>
      <c r="CO324" s="40"/>
      <c r="CP324" s="40"/>
      <c r="CQ324" s="40"/>
      <c r="CR324" s="40"/>
      <c r="CS324" s="40"/>
      <c r="CT324" s="823"/>
      <c r="CU324" s="232"/>
      <c r="CV324" s="232"/>
      <c r="CW324" s="232"/>
      <c r="CX324" s="232"/>
      <c r="CY324" s="232"/>
      <c r="CZ324" s="40"/>
      <c r="DA324" s="40"/>
      <c r="DB324" s="40"/>
      <c r="DC324" s="40"/>
      <c r="DD324" s="40"/>
      <c r="DE324" s="40"/>
      <c r="DF324" s="232"/>
      <c r="DG324" s="232"/>
      <c r="DH324" s="232"/>
      <c r="DI324" s="232"/>
      <c r="DJ324" s="232"/>
      <c r="DK324" s="232"/>
      <c r="DL324" s="232"/>
      <c r="DM324" s="232"/>
      <c r="DN324" s="232"/>
    </row>
    <row r="325" spans="1:118">
      <c r="A325" s="40"/>
      <c r="C325" s="28" t="s">
        <v>195</v>
      </c>
      <c r="D325" s="1"/>
      <c r="E325" s="273"/>
      <c r="F325" s="3"/>
      <c r="G325" s="3"/>
      <c r="H325" s="274"/>
      <c r="I325" s="547">
        <f>I273</f>
        <v>8.5</v>
      </c>
      <c r="J325" s="273"/>
      <c r="K325" s="3"/>
      <c r="L325" s="3"/>
      <c r="M325" s="274"/>
      <c r="N325" s="1"/>
      <c r="O325" s="273"/>
      <c r="P325" s="3"/>
      <c r="Q325" s="3"/>
      <c r="R325" s="274"/>
      <c r="S325" s="1"/>
      <c r="T325" s="436"/>
      <c r="U325" s="437"/>
      <c r="V325" s="437"/>
      <c r="W325" s="438"/>
      <c r="X325" s="439"/>
      <c r="Y325" s="436">
        <f>+Z325</f>
        <v>8.5</v>
      </c>
      <c r="Z325" s="437">
        <f>+AA325</f>
        <v>8.5</v>
      </c>
      <c r="AA325" s="437">
        <f>+AB325</f>
        <v>8.5</v>
      </c>
      <c r="AB325" s="438">
        <f>+AC325</f>
        <v>8.5</v>
      </c>
      <c r="AC325" s="712">
        <f>AC273</f>
        <v>8.5</v>
      </c>
      <c r="AD325" s="436">
        <f>AD273</f>
        <v>8.5</v>
      </c>
      <c r="AE325" s="437">
        <f>+AF325</f>
        <v>7.5</v>
      </c>
      <c r="AF325" s="437">
        <f t="shared" ref="AF325:BL325" si="498">AF273</f>
        <v>7.5</v>
      </c>
      <c r="AG325" s="438">
        <f t="shared" si="498"/>
        <v>7.5</v>
      </c>
      <c r="AH325" s="712">
        <f t="shared" si="498"/>
        <v>7.5</v>
      </c>
      <c r="AI325" s="436">
        <f t="shared" si="498"/>
        <v>7.7250000000000005</v>
      </c>
      <c r="AJ325" s="437">
        <f t="shared" si="498"/>
        <v>7.7250000000000005</v>
      </c>
      <c r="AK325" s="437">
        <f t="shared" si="498"/>
        <v>7.7250000000000005</v>
      </c>
      <c r="AL325" s="438">
        <f t="shared" si="498"/>
        <v>7.7250000000000005</v>
      </c>
      <c r="AM325" s="712">
        <f t="shared" si="498"/>
        <v>7.7250000000000005</v>
      </c>
      <c r="AN325" s="436">
        <f t="shared" si="498"/>
        <v>7.9567500000000004</v>
      </c>
      <c r="AO325" s="437">
        <f t="shared" si="498"/>
        <v>7.9567500000000004</v>
      </c>
      <c r="AP325" s="437">
        <f t="shared" si="498"/>
        <v>7.9567500000000004</v>
      </c>
      <c r="AQ325" s="438">
        <f t="shared" si="498"/>
        <v>7.9567500000000004</v>
      </c>
      <c r="AR325" s="712">
        <f t="shared" si="498"/>
        <v>7.9567500000000004</v>
      </c>
      <c r="AS325" s="436">
        <f t="shared" si="498"/>
        <v>8.5</v>
      </c>
      <c r="AT325" s="437">
        <f t="shared" si="498"/>
        <v>8.5</v>
      </c>
      <c r="AU325" s="437">
        <f t="shared" ref="AU325" si="499">AU273</f>
        <v>8.5</v>
      </c>
      <c r="AV325" s="438">
        <f t="shared" si="498"/>
        <v>8.5</v>
      </c>
      <c r="AW325" s="712">
        <f t="shared" si="498"/>
        <v>8.5</v>
      </c>
      <c r="AX325" s="436">
        <f t="shared" si="498"/>
        <v>8</v>
      </c>
      <c r="AY325" s="437">
        <f t="shared" si="498"/>
        <v>8</v>
      </c>
      <c r="AZ325" s="437">
        <f t="shared" si="498"/>
        <v>8</v>
      </c>
      <c r="BA325" s="438">
        <f t="shared" si="498"/>
        <v>8</v>
      </c>
      <c r="BB325" s="712">
        <f t="shared" si="498"/>
        <v>8</v>
      </c>
      <c r="BC325" s="436">
        <f t="shared" si="498"/>
        <v>7.75</v>
      </c>
      <c r="BD325" s="437">
        <f t="shared" si="498"/>
        <v>7.75</v>
      </c>
      <c r="BE325" s="437">
        <f t="shared" si="498"/>
        <v>7.75</v>
      </c>
      <c r="BF325" s="438">
        <f t="shared" si="498"/>
        <v>7.75</v>
      </c>
      <c r="BG325" s="712">
        <f>BG273</f>
        <v>7.75</v>
      </c>
      <c r="BH325" s="436">
        <f t="shared" si="498"/>
        <v>7.25</v>
      </c>
      <c r="BI325" s="437">
        <f t="shared" si="498"/>
        <v>7.25</v>
      </c>
      <c r="BJ325" s="437">
        <f t="shared" si="498"/>
        <v>7.25</v>
      </c>
      <c r="BK325" s="438">
        <f t="shared" si="498"/>
        <v>7.25</v>
      </c>
      <c r="BL325" s="712">
        <f t="shared" si="498"/>
        <v>7.25</v>
      </c>
      <c r="BM325" s="436">
        <f t="shared" ref="BM325:BQ325" si="500">BM273</f>
        <v>7.25</v>
      </c>
      <c r="BN325" s="437">
        <f t="shared" si="500"/>
        <v>7.25</v>
      </c>
      <c r="BO325" s="437">
        <f t="shared" si="500"/>
        <v>7.25</v>
      </c>
      <c r="BP325" s="438">
        <f t="shared" si="500"/>
        <v>7.25</v>
      </c>
      <c r="BQ325" s="2267">
        <f t="shared" si="500"/>
        <v>7.25</v>
      </c>
      <c r="BR325" s="40"/>
      <c r="BS325" s="40"/>
      <c r="BT325" s="40"/>
      <c r="BU325" s="232"/>
      <c r="BW325" s="40"/>
      <c r="BX325" s="40"/>
      <c r="BY325" s="40"/>
      <c r="BZ325" s="40"/>
      <c r="CA325" s="40"/>
      <c r="CB325" s="40"/>
      <c r="CC325" s="40"/>
      <c r="CD325" s="40"/>
      <c r="CE325" s="40"/>
      <c r="CF325" s="40"/>
      <c r="CG325" s="40"/>
      <c r="CH325" s="40"/>
      <c r="CI325" s="40"/>
      <c r="CJ325" s="40"/>
      <c r="CK325" s="40"/>
      <c r="CL325" s="40"/>
      <c r="CM325" s="40"/>
      <c r="CN325" s="40"/>
      <c r="CO325" s="40"/>
      <c r="CP325" s="40"/>
      <c r="CQ325" s="40"/>
      <c r="CR325" s="40"/>
      <c r="CS325" s="40"/>
      <c r="CT325" s="823"/>
      <c r="CU325" s="232"/>
      <c r="CV325" s="232"/>
      <c r="CW325" s="232"/>
      <c r="CX325" s="232"/>
      <c r="CY325" s="232"/>
      <c r="CZ325" s="40"/>
      <c r="DA325" s="40"/>
      <c r="DB325" s="40"/>
      <c r="DC325" s="40"/>
      <c r="DD325" s="40"/>
      <c r="DE325" s="40"/>
      <c r="DF325" s="232"/>
      <c r="DG325" s="232"/>
      <c r="DH325" s="232"/>
      <c r="DI325" s="232"/>
      <c r="DJ325" s="232"/>
      <c r="DK325" s="232"/>
      <c r="DL325" s="232"/>
      <c r="DM325" s="232"/>
      <c r="DN325" s="232"/>
    </row>
    <row r="326" spans="1:118">
      <c r="A326" s="40"/>
      <c r="C326" s="1"/>
      <c r="D326" s="1"/>
      <c r="E326" s="273"/>
      <c r="F326" s="3"/>
      <c r="G326" s="3"/>
      <c r="H326" s="274"/>
      <c r="I326" s="28"/>
      <c r="J326" s="273"/>
      <c r="K326" s="3"/>
      <c r="L326" s="3"/>
      <c r="M326" s="274"/>
      <c r="N326" s="1"/>
      <c r="O326" s="273"/>
      <c r="P326" s="3"/>
      <c r="Q326" s="3"/>
      <c r="R326" s="274"/>
      <c r="S326" s="1"/>
      <c r="T326" s="273"/>
      <c r="U326" s="3"/>
      <c r="V326" s="3"/>
      <c r="W326" s="274"/>
      <c r="X326" s="1"/>
      <c r="Y326" s="273"/>
      <c r="Z326" s="3"/>
      <c r="AA326" s="3"/>
      <c r="AB326" s="274"/>
      <c r="AC326" s="1"/>
      <c r="AD326" s="273"/>
      <c r="AE326" s="3"/>
      <c r="AF326" s="3"/>
      <c r="AG326" s="274"/>
      <c r="AH326" s="1"/>
      <c r="AI326" s="273"/>
      <c r="AJ326" s="3"/>
      <c r="AK326" s="3"/>
      <c r="AL326" s="274"/>
      <c r="AM326" s="1"/>
      <c r="AN326" s="273"/>
      <c r="AO326" s="3"/>
      <c r="AP326" s="3"/>
      <c r="AQ326" s="274"/>
      <c r="AR326" s="1"/>
      <c r="AS326" s="273"/>
      <c r="AT326" s="3"/>
      <c r="AU326" s="3"/>
      <c r="AV326" s="274"/>
      <c r="AW326" s="1"/>
      <c r="AX326" s="273"/>
      <c r="AY326" s="3"/>
      <c r="AZ326" s="3"/>
      <c r="BA326" s="274"/>
      <c r="BB326" s="1"/>
      <c r="BC326" s="273"/>
      <c r="BD326" s="3"/>
      <c r="BE326" s="3"/>
      <c r="BF326" s="274"/>
      <c r="BG326" s="1"/>
      <c r="BH326" s="273"/>
      <c r="BI326" s="3"/>
      <c r="BJ326" s="3"/>
      <c r="BK326" s="274"/>
      <c r="BL326" s="1"/>
      <c r="BM326" s="273"/>
      <c r="BN326" s="3"/>
      <c r="BO326" s="3"/>
      <c r="BP326" s="274"/>
      <c r="BQ326" s="1"/>
      <c r="BR326" s="40"/>
      <c r="BS326" s="40"/>
      <c r="BT326" s="40"/>
      <c r="BU326" s="232"/>
      <c r="BW326" s="40"/>
      <c r="BX326" s="40"/>
      <c r="BY326" s="40"/>
      <c r="BZ326" s="40"/>
      <c r="CA326" s="40"/>
      <c r="CB326" s="40"/>
      <c r="CC326" s="40"/>
      <c r="CD326" s="40"/>
      <c r="CE326" s="40"/>
      <c r="CF326" s="40"/>
      <c r="CG326" s="40"/>
      <c r="CH326" s="40"/>
      <c r="CI326" s="40"/>
      <c r="CJ326" s="40"/>
      <c r="CK326" s="40"/>
      <c r="CL326" s="40"/>
      <c r="CM326" s="40"/>
      <c r="CN326" s="40"/>
      <c r="CO326" s="40"/>
      <c r="CP326" s="40"/>
      <c r="CQ326" s="40"/>
      <c r="CR326" s="40"/>
      <c r="CS326" s="40"/>
      <c r="CT326" s="823"/>
      <c r="CU326" s="232"/>
      <c r="CV326" s="232"/>
      <c r="CW326" s="232"/>
      <c r="CX326" s="232"/>
      <c r="CY326" s="232"/>
      <c r="CZ326" s="40"/>
      <c r="DA326" s="40"/>
      <c r="DB326" s="40"/>
      <c r="DC326" s="40"/>
      <c r="DD326" s="40"/>
      <c r="DE326" s="40"/>
      <c r="DF326" s="232"/>
      <c r="DG326" s="232"/>
      <c r="DH326" s="232"/>
      <c r="DI326" s="232"/>
      <c r="DJ326" s="232"/>
      <c r="DK326" s="232"/>
      <c r="DL326" s="232"/>
      <c r="DM326" s="232"/>
      <c r="DN326" s="232"/>
    </row>
    <row r="327" spans="1:118" s="232" customFormat="1">
      <c r="A327" s="40"/>
      <c r="B327"/>
      <c r="C327" s="32" t="s">
        <v>196</v>
      </c>
      <c r="D327" s="32"/>
      <c r="E327" s="292"/>
      <c r="F327" s="261"/>
      <c r="G327" s="261"/>
      <c r="H327" s="293"/>
      <c r="I327" s="884">
        <v>878</v>
      </c>
      <c r="J327" s="292"/>
      <c r="K327" s="261"/>
      <c r="L327" s="261"/>
      <c r="M327" s="293"/>
      <c r="N327" s="228"/>
      <c r="O327" s="292"/>
      <c r="P327" s="261"/>
      <c r="Q327" s="261"/>
      <c r="R327" s="293"/>
      <c r="S327" s="228"/>
      <c r="T327" s="292"/>
      <c r="U327" s="261"/>
      <c r="V327" s="261"/>
      <c r="W327" s="293"/>
      <c r="X327" s="669"/>
      <c r="Y327" s="292">
        <f>+I327</f>
        <v>878</v>
      </c>
      <c r="Z327" s="261">
        <f t="shared" ref="Z327:BL327" si="501">Y327</f>
        <v>878</v>
      </c>
      <c r="AA327" s="261">
        <f t="shared" si="501"/>
        <v>878</v>
      </c>
      <c r="AB327" s="293">
        <f t="shared" si="501"/>
        <v>878</v>
      </c>
      <c r="AC327" s="228">
        <f t="shared" si="501"/>
        <v>878</v>
      </c>
      <c r="AD327" s="292">
        <f t="shared" si="501"/>
        <v>878</v>
      </c>
      <c r="AE327" s="261">
        <f t="shared" si="501"/>
        <v>878</v>
      </c>
      <c r="AF327" s="261">
        <f t="shared" si="501"/>
        <v>878</v>
      </c>
      <c r="AG327" s="293">
        <f t="shared" si="501"/>
        <v>878</v>
      </c>
      <c r="AH327" s="228">
        <f t="shared" si="501"/>
        <v>878</v>
      </c>
      <c r="AI327" s="292">
        <f t="shared" si="501"/>
        <v>878</v>
      </c>
      <c r="AJ327" s="261">
        <f t="shared" si="501"/>
        <v>878</v>
      </c>
      <c r="AK327" s="261">
        <f t="shared" si="501"/>
        <v>878</v>
      </c>
      <c r="AL327" s="293">
        <f t="shared" si="501"/>
        <v>878</v>
      </c>
      <c r="AM327" s="228">
        <f t="shared" si="501"/>
        <v>878</v>
      </c>
      <c r="AN327" s="292">
        <f t="shared" si="501"/>
        <v>878</v>
      </c>
      <c r="AO327" s="261">
        <f t="shared" si="501"/>
        <v>878</v>
      </c>
      <c r="AP327" s="261">
        <f t="shared" si="501"/>
        <v>878</v>
      </c>
      <c r="AQ327" s="293">
        <f t="shared" si="501"/>
        <v>878</v>
      </c>
      <c r="AR327" s="228">
        <f t="shared" si="501"/>
        <v>878</v>
      </c>
      <c r="AS327" s="292">
        <f t="shared" si="501"/>
        <v>878</v>
      </c>
      <c r="AT327" s="261">
        <f t="shared" si="501"/>
        <v>878</v>
      </c>
      <c r="AU327" s="261">
        <f t="shared" ref="AU327" si="502">AT327</f>
        <v>878</v>
      </c>
      <c r="AV327" s="293">
        <f t="shared" si="501"/>
        <v>878</v>
      </c>
      <c r="AW327" s="228">
        <f t="shared" si="501"/>
        <v>878</v>
      </c>
      <c r="AX327" s="292">
        <f t="shared" si="501"/>
        <v>878</v>
      </c>
      <c r="AY327" s="261">
        <f t="shared" si="501"/>
        <v>878</v>
      </c>
      <c r="AZ327" s="261">
        <f t="shared" si="501"/>
        <v>878</v>
      </c>
      <c r="BA327" s="293">
        <f t="shared" si="501"/>
        <v>878</v>
      </c>
      <c r="BB327" s="228">
        <f t="shared" si="501"/>
        <v>878</v>
      </c>
      <c r="BC327" s="292">
        <f t="shared" si="501"/>
        <v>878</v>
      </c>
      <c r="BD327" s="261">
        <f t="shared" si="501"/>
        <v>878</v>
      </c>
      <c r="BE327" s="261">
        <f t="shared" si="501"/>
        <v>878</v>
      </c>
      <c r="BF327" s="293">
        <f t="shared" si="501"/>
        <v>878</v>
      </c>
      <c r="BG327" s="228">
        <f>BF327</f>
        <v>878</v>
      </c>
      <c r="BH327" s="292">
        <f>BG327</f>
        <v>878</v>
      </c>
      <c r="BI327" s="261">
        <f t="shared" si="501"/>
        <v>878</v>
      </c>
      <c r="BJ327" s="261">
        <f t="shared" si="501"/>
        <v>878</v>
      </c>
      <c r="BK327" s="293">
        <f t="shared" si="501"/>
        <v>878</v>
      </c>
      <c r="BL327" s="228">
        <f t="shared" si="501"/>
        <v>878</v>
      </c>
      <c r="BM327" s="292">
        <f t="shared" ref="BM327" si="503">BL327</f>
        <v>878</v>
      </c>
      <c r="BN327" s="261">
        <f t="shared" ref="BN327" si="504">BM327</f>
        <v>878</v>
      </c>
      <c r="BO327" s="261">
        <f t="shared" ref="BO327" si="505">BN327</f>
        <v>878</v>
      </c>
      <c r="BP327" s="293">
        <f t="shared" ref="BP327" si="506">BO327</f>
        <v>878</v>
      </c>
      <c r="BQ327" s="228">
        <f t="shared" ref="BQ327" si="507">BP327</f>
        <v>878</v>
      </c>
      <c r="BR327" s="40"/>
      <c r="BS327" s="40"/>
      <c r="BT327" s="40"/>
      <c r="BV327" s="806"/>
      <c r="BW327" s="40"/>
      <c r="BX327" s="40"/>
      <c r="BY327" s="40"/>
      <c r="BZ327" s="40"/>
      <c r="CA327" s="40"/>
      <c r="CB327" s="40"/>
      <c r="CC327" s="40"/>
      <c r="CD327" s="40"/>
      <c r="CE327" s="40"/>
      <c r="CF327" s="40"/>
      <c r="CG327" s="40"/>
      <c r="CH327" s="40"/>
      <c r="CI327" s="40"/>
      <c r="CJ327" s="40"/>
      <c r="CK327" s="40"/>
      <c r="CL327" s="40"/>
      <c r="CM327" s="40"/>
      <c r="CN327" s="40"/>
      <c r="CO327" s="40"/>
      <c r="CP327" s="40"/>
      <c r="CQ327" s="40"/>
      <c r="CR327" s="40"/>
      <c r="CS327" s="40"/>
      <c r="CT327" s="994"/>
      <c r="CZ327" s="40"/>
      <c r="DA327" s="40"/>
      <c r="DB327" s="40"/>
      <c r="DC327" s="40"/>
      <c r="DD327" s="40"/>
      <c r="DE327" s="40"/>
    </row>
    <row r="328" spans="1:118" s="232" customFormat="1">
      <c r="A328" s="40"/>
      <c r="B328"/>
      <c r="C328" s="1"/>
      <c r="D328" s="1"/>
      <c r="E328" s="273"/>
      <c r="F328" s="3"/>
      <c r="G328" s="3"/>
      <c r="H328" s="274"/>
      <c r="I328" s="28"/>
      <c r="J328" s="273"/>
      <c r="K328" s="3"/>
      <c r="L328" s="3"/>
      <c r="M328" s="274"/>
      <c r="N328" s="1"/>
      <c r="O328" s="273"/>
      <c r="P328" s="3"/>
      <c r="Q328" s="3"/>
      <c r="R328" s="274"/>
      <c r="S328" s="1"/>
      <c r="T328" s="273"/>
      <c r="U328" s="3"/>
      <c r="V328" s="3"/>
      <c r="W328" s="274"/>
      <c r="X328" s="1"/>
      <c r="Y328" s="273"/>
      <c r="Z328" s="3"/>
      <c r="AA328" s="3"/>
      <c r="AB328" s="274"/>
      <c r="AC328" s="1"/>
      <c r="AD328" s="273"/>
      <c r="AE328" s="3"/>
      <c r="AF328" s="3"/>
      <c r="AG328" s="274"/>
      <c r="AH328" s="1"/>
      <c r="AI328" s="273"/>
      <c r="AJ328" s="3"/>
      <c r="AK328" s="3"/>
      <c r="AL328" s="274"/>
      <c r="AM328" s="1"/>
      <c r="AN328" s="305"/>
      <c r="AO328" s="3"/>
      <c r="AP328" s="3"/>
      <c r="AQ328" s="274"/>
      <c r="AR328" s="1"/>
      <c r="AS328" s="273"/>
      <c r="AT328" s="3"/>
      <c r="AU328" s="3"/>
      <c r="AV328" s="274"/>
      <c r="AW328" s="1"/>
      <c r="AX328" s="273"/>
      <c r="AY328" s="3"/>
      <c r="AZ328" s="3"/>
      <c r="BA328" s="274"/>
      <c r="BB328" s="1"/>
      <c r="BC328" s="273"/>
      <c r="BD328" s="3"/>
      <c r="BE328" s="3"/>
      <c r="BF328" s="274"/>
      <c r="BG328" s="1"/>
      <c r="BH328" s="273"/>
      <c r="BI328" s="3"/>
      <c r="BJ328" s="3"/>
      <c r="BK328" s="274"/>
      <c r="BL328" s="1"/>
      <c r="BM328" s="273"/>
      <c r="BN328" s="3"/>
      <c r="BO328" s="3"/>
      <c r="BP328" s="274"/>
      <c r="BQ328" s="1"/>
      <c r="BR328" s="40"/>
      <c r="BS328" s="40"/>
      <c r="BT328" s="40"/>
      <c r="BV328" s="806"/>
      <c r="BW328" s="40"/>
      <c r="BX328" s="40"/>
      <c r="BY328" s="40"/>
      <c r="BZ328" s="40"/>
      <c r="CA328" s="40"/>
      <c r="CB328" s="40"/>
      <c r="CC328" s="40"/>
      <c r="CD328" s="40"/>
      <c r="CE328" s="40"/>
      <c r="CF328" s="40"/>
      <c r="CG328" s="40"/>
      <c r="CH328" s="40"/>
      <c r="CI328" s="40"/>
      <c r="CJ328" s="40"/>
      <c r="CK328" s="40"/>
      <c r="CL328" s="40"/>
      <c r="CM328" s="40"/>
      <c r="CN328" s="40"/>
      <c r="CO328" s="40"/>
      <c r="CP328" s="40"/>
      <c r="CQ328" s="40"/>
      <c r="CR328" s="40"/>
      <c r="CS328" s="40"/>
      <c r="CT328" s="994"/>
      <c r="CZ328" s="40"/>
      <c r="DA328" s="40"/>
      <c r="DB328" s="40"/>
      <c r="DC328" s="40"/>
      <c r="DD328" s="40"/>
      <c r="DE328" s="40"/>
    </row>
    <row r="329" spans="1:118">
      <c r="A329" s="40"/>
      <c r="C329" s="28" t="s">
        <v>197</v>
      </c>
      <c r="D329" s="1"/>
      <c r="E329" s="273"/>
      <c r="F329" s="3"/>
      <c r="G329" s="3"/>
      <c r="H329" s="274"/>
      <c r="I329" s="544">
        <v>0.93</v>
      </c>
      <c r="J329" s="273"/>
      <c r="K329" s="3"/>
      <c r="L329" s="3"/>
      <c r="M329" s="274"/>
      <c r="N329" s="1"/>
      <c r="O329" s="273"/>
      <c r="P329" s="3"/>
      <c r="Q329" s="3"/>
      <c r="R329" s="274"/>
      <c r="S329" s="1"/>
      <c r="T329" s="277"/>
      <c r="U329" s="253"/>
      <c r="V329" s="253"/>
      <c r="W329" s="278"/>
      <c r="X329" s="765"/>
      <c r="Y329" s="277">
        <f>+I329</f>
        <v>0.93</v>
      </c>
      <c r="Z329" s="253">
        <f>+Y329</f>
        <v>0.93</v>
      </c>
      <c r="AA329" s="253">
        <f>+Z329</f>
        <v>0.93</v>
      </c>
      <c r="AB329" s="278">
        <f>+AA329</f>
        <v>0.93</v>
      </c>
      <c r="AC329" s="765">
        <f>IF(AVERAGE(Y327:AB327)=0,0,AC330/(AVERAGE(Y327:AB327)*8.76))</f>
        <v>0.93</v>
      </c>
      <c r="AD329" s="277">
        <f>+AB329</f>
        <v>0.93</v>
      </c>
      <c r="AE329" s="253">
        <f>+AD329</f>
        <v>0.93</v>
      </c>
      <c r="AF329" s="253">
        <f>+AA329</f>
        <v>0.93</v>
      </c>
      <c r="AG329" s="278">
        <f>+AB329</f>
        <v>0.93</v>
      </c>
      <c r="AH329" s="765">
        <f>IF(AVERAGE(AD327:AG327)=0,0,AH330/(AVERAGE(AD327:AG327)*8.76))</f>
        <v>0.93</v>
      </c>
      <c r="AI329" s="277">
        <f>+AG329</f>
        <v>0.93</v>
      </c>
      <c r="AJ329" s="253">
        <f>+AE329</f>
        <v>0.93</v>
      </c>
      <c r="AK329" s="253">
        <f>+AF329</f>
        <v>0.93</v>
      </c>
      <c r="AL329" s="278">
        <f>+AG329</f>
        <v>0.93</v>
      </c>
      <c r="AM329" s="765">
        <f>IF(AVERAGE(AI327:AL327)=0,0,AM330/(AVERAGE(AI327:AL327)*8.76))</f>
        <v>0.93</v>
      </c>
      <c r="AN329" s="277">
        <f>+AL329</f>
        <v>0.93</v>
      </c>
      <c r="AO329" s="253">
        <f>+AJ329</f>
        <v>0.93</v>
      </c>
      <c r="AP329" s="253">
        <f>+AK329</f>
        <v>0.93</v>
      </c>
      <c r="AQ329" s="278">
        <f>+AL329</f>
        <v>0.93</v>
      </c>
      <c r="AR329" s="765">
        <f>IF(AVERAGE(AN327:AQ327)=0,0,AR330/(AVERAGE(AN327:AQ327)*8.76))</f>
        <v>0.93</v>
      </c>
      <c r="AS329" s="277">
        <f>+AQ329</f>
        <v>0.93</v>
      </c>
      <c r="AT329" s="253">
        <f>+AO329</f>
        <v>0.93</v>
      </c>
      <c r="AU329" s="253">
        <f t="shared" ref="AU329" si="508">+AP329</f>
        <v>0.93</v>
      </c>
      <c r="AV329" s="278">
        <f>+AQ329</f>
        <v>0.93</v>
      </c>
      <c r="AW329" s="765">
        <f>IF(AVERAGE(AS327:AV327)=0,0,AW330/(AVERAGE(AS327:AV327)*8.76))</f>
        <v>0.93</v>
      </c>
      <c r="AX329" s="277">
        <f>+AV329</f>
        <v>0.93</v>
      </c>
      <c r="AY329" s="253">
        <f>+AT329</f>
        <v>0.93</v>
      </c>
      <c r="AZ329" s="253">
        <f>+AU329</f>
        <v>0.93</v>
      </c>
      <c r="BA329" s="278">
        <f>+AV329</f>
        <v>0.93</v>
      </c>
      <c r="BB329" s="765">
        <f>IF(AVERAGE(AX327:BA327)=0,0,BB330/(AVERAGE(AX327:BA327)*8.76))</f>
        <v>0.93</v>
      </c>
      <c r="BC329" s="277">
        <f>+BA329</f>
        <v>0.93</v>
      </c>
      <c r="BD329" s="253">
        <f>+AY329</f>
        <v>0.93</v>
      </c>
      <c r="BE329" s="253">
        <f>+AZ329</f>
        <v>0.93</v>
      </c>
      <c r="BF329" s="278">
        <f>+BA329</f>
        <v>0.93</v>
      </c>
      <c r="BG329" s="765">
        <f>IF(AVERAGE(BC327:BF327)=0,0,BG330/(AVERAGE(BC327:BF327)*8.76))</f>
        <v>0.93</v>
      </c>
      <c r="BH329" s="277">
        <f>+BF329</f>
        <v>0.93</v>
      </c>
      <c r="BI329" s="253">
        <f>+BD329</f>
        <v>0.93</v>
      </c>
      <c r="BJ329" s="253">
        <f>+BE329</f>
        <v>0.93</v>
      </c>
      <c r="BK329" s="278">
        <f>+BF329</f>
        <v>0.93</v>
      </c>
      <c r="BL329" s="765">
        <f>IF(AVERAGE(BH327:BK327)=0,0,BL330/(AVERAGE(BH327:BK327)*8.76))</f>
        <v>0.93</v>
      </c>
      <c r="BM329" s="277">
        <f>+BK329</f>
        <v>0.93</v>
      </c>
      <c r="BN329" s="253">
        <f>+BI329</f>
        <v>0.93</v>
      </c>
      <c r="BO329" s="253">
        <f>+BJ329</f>
        <v>0.93</v>
      </c>
      <c r="BP329" s="278">
        <f>+BK329</f>
        <v>0.93</v>
      </c>
      <c r="BQ329" s="765">
        <f>IF(AVERAGE(BM327:BP327)=0,0,BQ330/(AVERAGE(BM327:BP327)*8.76))</f>
        <v>0.93</v>
      </c>
      <c r="BR329" s="40"/>
      <c r="BS329" s="40"/>
      <c r="BT329" s="40"/>
      <c r="BU329" s="232"/>
      <c r="BV329" s="40"/>
      <c r="BW329" s="40"/>
      <c r="BX329" s="40"/>
      <c r="BY329" s="40"/>
      <c r="BZ329" s="40"/>
      <c r="CA329" s="40"/>
      <c r="CB329" s="40"/>
      <c r="CC329" s="40"/>
      <c r="CD329" s="40"/>
      <c r="CE329" s="40"/>
      <c r="CF329" s="40"/>
      <c r="CG329" s="40"/>
      <c r="CH329" s="40"/>
      <c r="CI329" s="40"/>
      <c r="CJ329" s="40"/>
      <c r="CK329" s="40"/>
      <c r="CL329" s="40"/>
      <c r="CM329" s="40"/>
      <c r="CN329" s="40"/>
      <c r="CO329" s="40"/>
      <c r="CP329" s="40"/>
      <c r="CQ329" s="40"/>
      <c r="CR329" s="40"/>
      <c r="CS329" s="40"/>
      <c r="CT329" s="823"/>
      <c r="CU329" s="232"/>
      <c r="CV329" s="232"/>
      <c r="CW329" s="232"/>
      <c r="CX329" s="232"/>
      <c r="CY329" s="232"/>
      <c r="CZ329" s="40"/>
      <c r="DA329" s="40"/>
      <c r="DB329" s="40"/>
      <c r="DC329" s="40"/>
      <c r="DD329" s="40"/>
      <c r="DE329" s="40"/>
      <c r="DF329" s="232"/>
      <c r="DG329" s="232"/>
      <c r="DH329" s="232"/>
      <c r="DI329" s="232"/>
      <c r="DJ329" s="232"/>
      <c r="DK329" s="232"/>
      <c r="DL329" s="232"/>
      <c r="DM329" s="232"/>
      <c r="DN329" s="232"/>
    </row>
    <row r="330" spans="1:118">
      <c r="A330" s="40"/>
      <c r="C330" s="32" t="s">
        <v>198</v>
      </c>
      <c r="D330" s="32"/>
      <c r="E330" s="489"/>
      <c r="F330" s="342"/>
      <c r="G330" s="342"/>
      <c r="H330" s="490"/>
      <c r="I330" s="32"/>
      <c r="J330" s="489"/>
      <c r="K330" s="342"/>
      <c r="L330" s="342"/>
      <c r="M330" s="490"/>
      <c r="N330" s="458"/>
      <c r="O330" s="489"/>
      <c r="P330" s="342"/>
      <c r="Q330" s="342"/>
      <c r="R330" s="490"/>
      <c r="S330" s="32"/>
      <c r="T330" s="301"/>
      <c r="U330" s="265"/>
      <c r="V330" s="265"/>
      <c r="W330" s="302"/>
      <c r="X330" s="445"/>
      <c r="Y330" s="301">
        <f>(Y327*Y329*(8760/1000))/4</f>
        <v>1788.2226000000001</v>
      </c>
      <c r="Z330" s="265">
        <f>(Z327*Z329*(8760/1000))/4</f>
        <v>1788.2226000000001</v>
      </c>
      <c r="AA330" s="265">
        <f>(AA327*AA329*(8760/1000))/4</f>
        <v>1788.2226000000001</v>
      </c>
      <c r="AB330" s="302">
        <f>(AB327*AB329*(8760/1000))/4</f>
        <v>1788.2226000000001</v>
      </c>
      <c r="AC330" s="445">
        <f>SUM(Y330:AB330)</f>
        <v>7152.8904000000002</v>
      </c>
      <c r="AD330" s="301">
        <f>(AD327*AD329*(8760/1000))/4</f>
        <v>1788.2226000000001</v>
      </c>
      <c r="AE330" s="265">
        <f>(AE327*AE329*(8760/1000))/4</f>
        <v>1788.2226000000001</v>
      </c>
      <c r="AF330" s="265">
        <f>(AF327*AF329*(8760/1000))/4</f>
        <v>1788.2226000000001</v>
      </c>
      <c r="AG330" s="302">
        <f>(AG327*AG329*(8760/1000))/4</f>
        <v>1788.2226000000001</v>
      </c>
      <c r="AH330" s="445">
        <f>SUM(AD330:AG330)</f>
        <v>7152.8904000000002</v>
      </c>
      <c r="AI330" s="301">
        <f>(AI327*AI329*(8760/1000))/4</f>
        <v>1788.2226000000001</v>
      </c>
      <c r="AJ330" s="265">
        <f>(AJ327*AJ329*(8760/1000))/4</f>
        <v>1788.2226000000001</v>
      </c>
      <c r="AK330" s="265">
        <f>(AK327*AK329*(8760/1000))/4</f>
        <v>1788.2226000000001</v>
      </c>
      <c r="AL330" s="302">
        <f>(AL327*AL329*(8760/1000))/4</f>
        <v>1788.2226000000001</v>
      </c>
      <c r="AM330" s="445">
        <f>SUM(AI330:AL330)</f>
        <v>7152.8904000000002</v>
      </c>
      <c r="AN330" s="301">
        <f>(AN327*AN329*(8760/1000))/4</f>
        <v>1788.2226000000001</v>
      </c>
      <c r="AO330" s="265">
        <f>(AO327*AO329*(8760/1000))/4</f>
        <v>1788.2226000000001</v>
      </c>
      <c r="AP330" s="265">
        <f>(AP327*AP329*(8760/1000))/4</f>
        <v>1788.2226000000001</v>
      </c>
      <c r="AQ330" s="302">
        <f>(AQ327*AQ329*(8760/1000))/4</f>
        <v>1788.2226000000001</v>
      </c>
      <c r="AR330" s="445">
        <f>SUM(AN330:AQ330)</f>
        <v>7152.8904000000002</v>
      </c>
      <c r="AS330" s="301">
        <f>(AS327*AS329*(8760/1000))/4</f>
        <v>1788.2226000000001</v>
      </c>
      <c r="AT330" s="265">
        <f>(AT327*AT329*(8760/1000))/4</f>
        <v>1788.2226000000001</v>
      </c>
      <c r="AU330" s="265">
        <f t="shared" ref="AU330" si="509">(AU327*AU329*(8760/1000))/4</f>
        <v>1788.2226000000001</v>
      </c>
      <c r="AV330" s="302">
        <f>(AV327*AV329*(8760/1000))/4</f>
        <v>1788.2226000000001</v>
      </c>
      <c r="AW330" s="445">
        <f>SUM(AS330:AV330)</f>
        <v>7152.8904000000002</v>
      </c>
      <c r="AX330" s="301">
        <f>(AX327*AX329*(8760/1000))/4</f>
        <v>1788.2226000000001</v>
      </c>
      <c r="AY330" s="265">
        <f>(AY327*AY329*(8760/1000))/4</f>
        <v>1788.2226000000001</v>
      </c>
      <c r="AZ330" s="265">
        <f>(AZ327*AZ329*(8760/1000))/4</f>
        <v>1788.2226000000001</v>
      </c>
      <c r="BA330" s="302">
        <f>(BA327*BA329*(8760/1000))/4</f>
        <v>1788.2226000000001</v>
      </c>
      <c r="BB330" s="445">
        <f>SUM(AX330:BA330)</f>
        <v>7152.8904000000002</v>
      </c>
      <c r="BC330" s="301">
        <f>(BC327*BC329*(8760/1000))/4</f>
        <v>1788.2226000000001</v>
      </c>
      <c r="BD330" s="265">
        <f>(BD327*BD329*(8760/1000))/4</f>
        <v>1788.2226000000001</v>
      </c>
      <c r="BE330" s="265">
        <f>(BE327*BE329*(8760/1000))/4</f>
        <v>1788.2226000000001</v>
      </c>
      <c r="BF330" s="302">
        <f>(BF327*BF329*(8760/1000))/4</f>
        <v>1788.2226000000001</v>
      </c>
      <c r="BG330" s="445">
        <f>SUM(BC330:BF330)</f>
        <v>7152.8904000000002</v>
      </c>
      <c r="BH330" s="301">
        <f>(BH327*BH329*(8760/1000))/4</f>
        <v>1788.2226000000001</v>
      </c>
      <c r="BI330" s="265">
        <f>(BI327*BI329*(8760/1000))/4</f>
        <v>1788.2226000000001</v>
      </c>
      <c r="BJ330" s="265">
        <f>(BJ327*BJ329*(8760/1000))/4</f>
        <v>1788.2226000000001</v>
      </c>
      <c r="BK330" s="302">
        <f>(BK327*BK329*(8760/1000))/4</f>
        <v>1788.2226000000001</v>
      </c>
      <c r="BL330" s="445">
        <f>SUM(BH330:BK330)</f>
        <v>7152.8904000000002</v>
      </c>
      <c r="BM330" s="301">
        <f>(BM327*BM329*(8760/1000))/4</f>
        <v>1788.2226000000001</v>
      </c>
      <c r="BN330" s="265">
        <f>(BN327*BN329*(8760/1000))/4</f>
        <v>1788.2226000000001</v>
      </c>
      <c r="BO330" s="265">
        <f>(BO327*BO329*(8760/1000))/4</f>
        <v>1788.2226000000001</v>
      </c>
      <c r="BP330" s="302">
        <f>(BP327*BP329*(8760/1000))/4</f>
        <v>1788.2226000000001</v>
      </c>
      <c r="BQ330" s="445">
        <f>SUM(BM330:BP330)</f>
        <v>7152.8904000000002</v>
      </c>
      <c r="BR330" s="40"/>
      <c r="BS330" s="40"/>
      <c r="BT330" s="40"/>
      <c r="BU330" s="232"/>
      <c r="BV330" s="806"/>
      <c r="BW330" s="40"/>
      <c r="BX330" s="40"/>
      <c r="BY330" s="40"/>
      <c r="BZ330" s="40"/>
      <c r="CA330" s="40"/>
      <c r="CB330" s="40"/>
      <c r="CC330" s="40"/>
      <c r="CD330" s="40"/>
      <c r="CE330" s="40"/>
      <c r="CF330" s="40"/>
      <c r="CG330" s="40"/>
      <c r="CH330" s="40"/>
      <c r="CI330" s="40"/>
      <c r="CJ330" s="40"/>
      <c r="CK330" s="40"/>
      <c r="CL330" s="40"/>
      <c r="CM330" s="40"/>
      <c r="CN330" s="40"/>
      <c r="CO330" s="40"/>
      <c r="CP330" s="40"/>
      <c r="CQ330" s="40"/>
      <c r="CR330" s="40"/>
      <c r="CS330" s="40"/>
      <c r="CT330" s="823"/>
      <c r="CU330" s="232"/>
      <c r="CV330" s="232"/>
      <c r="CW330" s="232"/>
      <c r="CX330" s="232"/>
      <c r="CY330" s="232"/>
      <c r="CZ330" s="40"/>
      <c r="DA330" s="40"/>
      <c r="DB330" s="40"/>
      <c r="DC330" s="40"/>
      <c r="DD330" s="40"/>
      <c r="DE330" s="40"/>
      <c r="DF330" s="232"/>
      <c r="DG330" s="232"/>
      <c r="DH330" s="232"/>
      <c r="DI330" s="232"/>
      <c r="DJ330" s="232"/>
      <c r="DK330" s="232"/>
      <c r="DL330" s="232"/>
      <c r="DM330" s="232"/>
      <c r="DN330" s="232"/>
    </row>
    <row r="331" spans="1:118">
      <c r="A331" s="40"/>
      <c r="C331" s="1"/>
      <c r="D331" s="1"/>
      <c r="E331" s="273"/>
      <c r="F331" s="3"/>
      <c r="G331" s="3"/>
      <c r="H331" s="274"/>
      <c r="I331" s="28"/>
      <c r="J331" s="273"/>
      <c r="K331" s="3"/>
      <c r="L331" s="3"/>
      <c r="M331" s="274"/>
      <c r="N331" s="1"/>
      <c r="O331" s="273"/>
      <c r="P331" s="3"/>
      <c r="Q331" s="3"/>
      <c r="R331" s="274"/>
      <c r="S331" s="1"/>
      <c r="T331" s="273"/>
      <c r="U331" s="3"/>
      <c r="V331" s="3"/>
      <c r="W331" s="274"/>
      <c r="X331" s="1"/>
      <c r="Y331" s="273"/>
      <c r="Z331" s="3"/>
      <c r="AA331" s="3"/>
      <c r="AB331" s="274"/>
      <c r="AC331" s="1"/>
      <c r="AD331" s="273"/>
      <c r="AE331" s="3"/>
      <c r="AF331" s="3"/>
      <c r="AG331" s="274"/>
      <c r="AH331" s="1"/>
      <c r="AI331" s="273"/>
      <c r="AJ331" s="3"/>
      <c r="AK331" s="3"/>
      <c r="AL331" s="274"/>
      <c r="AM331" s="1"/>
      <c r="AN331" s="273"/>
      <c r="AO331" s="3"/>
      <c r="AP331" s="3"/>
      <c r="AQ331" s="274"/>
      <c r="AR331" s="1"/>
      <c r="AS331" s="273"/>
      <c r="AT331" s="3"/>
      <c r="AU331" s="3"/>
      <c r="AV331" s="274"/>
      <c r="AW331" s="1"/>
      <c r="AX331" s="273"/>
      <c r="AY331" s="3"/>
      <c r="AZ331" s="3"/>
      <c r="BA331" s="274"/>
      <c r="BB331" s="1"/>
      <c r="BC331" s="273"/>
      <c r="BD331" s="3"/>
      <c r="BE331" s="3"/>
      <c r="BF331" s="274"/>
      <c r="BG331" s="1"/>
      <c r="BH331" s="273"/>
      <c r="BI331" s="3"/>
      <c r="BJ331" s="3"/>
      <c r="BK331" s="274"/>
      <c r="BL331" s="1"/>
      <c r="BM331" s="273"/>
      <c r="BN331" s="3"/>
      <c r="BO331" s="3"/>
      <c r="BP331" s="274"/>
      <c r="BQ331" s="1"/>
      <c r="BR331" s="40"/>
      <c r="BS331" s="40"/>
      <c r="BT331" s="40"/>
      <c r="BU331" s="232"/>
      <c r="BV331" s="40"/>
      <c r="BW331" s="40"/>
      <c r="BX331" s="40"/>
      <c r="BY331" s="40"/>
      <c r="BZ331" s="40"/>
      <c r="CA331" s="40"/>
      <c r="CB331" s="40"/>
      <c r="CC331" s="40"/>
      <c r="CD331" s="40"/>
      <c r="CE331" s="40"/>
      <c r="CF331" s="40"/>
      <c r="CG331" s="40"/>
      <c r="CH331" s="40"/>
      <c r="CI331" s="40"/>
      <c r="CJ331" s="40"/>
      <c r="CK331" s="40"/>
      <c r="CL331" s="40"/>
      <c r="CM331" s="40"/>
      <c r="CN331" s="40"/>
      <c r="CO331" s="40"/>
      <c r="CP331" s="40"/>
      <c r="CQ331" s="40"/>
      <c r="CR331" s="40"/>
      <c r="CS331" s="40"/>
      <c r="CT331" s="823"/>
      <c r="CU331" s="232"/>
      <c r="CV331" s="232"/>
      <c r="CW331" s="232"/>
      <c r="CX331" s="232"/>
      <c r="CY331" s="232"/>
      <c r="CZ331" s="40"/>
      <c r="DA331" s="40"/>
      <c r="DB331" s="40"/>
      <c r="DC331" s="40"/>
      <c r="DD331" s="40"/>
      <c r="DE331" s="40"/>
      <c r="DF331" s="232"/>
      <c r="DG331" s="232"/>
      <c r="DH331" s="232"/>
      <c r="DI331" s="232"/>
      <c r="DJ331" s="232"/>
      <c r="DK331" s="232"/>
      <c r="DL331" s="232"/>
      <c r="DM331" s="232"/>
      <c r="DN331" s="232"/>
    </row>
    <row r="332" spans="1:118">
      <c r="A332" s="40"/>
      <c r="C332" s="28" t="s">
        <v>797</v>
      </c>
      <c r="D332" s="1"/>
      <c r="E332" s="273"/>
      <c r="F332" s="3"/>
      <c r="G332" s="3"/>
      <c r="H332" s="274"/>
      <c r="I332" s="28"/>
      <c r="J332" s="273"/>
      <c r="K332" s="3"/>
      <c r="L332" s="3"/>
      <c r="M332" s="274"/>
      <c r="N332" s="1"/>
      <c r="O332" s="273"/>
      <c r="P332" s="3"/>
      <c r="Q332" s="3"/>
      <c r="R332" s="274"/>
      <c r="S332" s="1"/>
      <c r="T332" s="885"/>
      <c r="U332" s="886"/>
      <c r="V332" s="886"/>
      <c r="W332" s="887"/>
      <c r="X332" s="888"/>
      <c r="Y332" s="885">
        <f>(Y324/1000*Y330)</f>
        <v>68.636638065515655</v>
      </c>
      <c r="Z332" s="886">
        <f>(Z324/1000*Z330)</f>
        <v>69.47186478031243</v>
      </c>
      <c r="AA332" s="886">
        <f>(AA324/1000*AA330)</f>
        <v>75.058688738706451</v>
      </c>
      <c r="AB332" s="887">
        <f>(AB324/1000*AB330)</f>
        <v>66.065273998722688</v>
      </c>
      <c r="AC332" s="888">
        <f>SUM(Y332:AB332)</f>
        <v>279.23246558325718</v>
      </c>
      <c r="AD332" s="885">
        <f>(AD324/1000*AD330)</f>
        <v>197.64709765020879</v>
      </c>
      <c r="AE332" s="886">
        <f>(AE324/1000*AE330)</f>
        <v>63.395646074433131</v>
      </c>
      <c r="AF332" s="886">
        <f>(AF324/1000*AF330)</f>
        <v>63.395646074433131</v>
      </c>
      <c r="AG332" s="887">
        <f>(AG324/1000*AG330)</f>
        <v>77.079757574686894</v>
      </c>
      <c r="AH332" s="888">
        <f>SUM(AD332:AG332)</f>
        <v>401.51814737376191</v>
      </c>
      <c r="AI332" s="885">
        <f>(AI324/1000*AI330)</f>
        <v>106.82943187951511</v>
      </c>
      <c r="AJ332" s="886">
        <f>(AJ324/1000*AJ330)</f>
        <v>60.735607986813278</v>
      </c>
      <c r="AK332" s="886">
        <f>(AK324/1000*AK330)</f>
        <v>53.45225636714413</v>
      </c>
      <c r="AL332" s="887">
        <f>(AL324/1000*AL330)</f>
        <v>49.314702667028946</v>
      </c>
      <c r="AM332" s="888">
        <f>SUM(AI332:AL332)</f>
        <v>270.33199890050145</v>
      </c>
      <c r="AN332" s="885">
        <f>(AN324/1000*AN330)</f>
        <v>50.353063078075685</v>
      </c>
      <c r="AO332" s="886">
        <f>(AO324/1000*AO330)</f>
        <v>42.460178915275179</v>
      </c>
      <c r="AP332" s="886">
        <f>(AP324/1000*AP330)</f>
        <v>54.27440356016578</v>
      </c>
      <c r="AQ332" s="887">
        <f>(AQ324/1000*AQ330)</f>
        <v>44.499267343982403</v>
      </c>
      <c r="AR332" s="888">
        <f>SUM(AN332:AQ332)</f>
        <v>191.58691289749905</v>
      </c>
      <c r="AS332" s="885">
        <f>(AS324/1000*AS330)</f>
        <v>55.78992815108743</v>
      </c>
      <c r="AT332" s="886">
        <f>(AT324/1000*AT330)</f>
        <v>47.916232595014378</v>
      </c>
      <c r="AU332" s="886">
        <f t="shared" ref="AU332" si="510">(AU324/1000*AU330)</f>
        <v>47.188360658787865</v>
      </c>
      <c r="AV332" s="887">
        <f>(AV324/1000*AV330)</f>
        <v>85.846063758645684</v>
      </c>
      <c r="AW332" s="888">
        <f>SUM(AS332:AV332)</f>
        <v>236.74058516353534</v>
      </c>
      <c r="AX332" s="885">
        <f>(AX324/1000*AX330)</f>
        <v>85.846063758645684</v>
      </c>
      <c r="AY332" s="886">
        <f>(AY324/1000*AY330)</f>
        <v>52.814588220509997</v>
      </c>
      <c r="AZ332" s="886">
        <f>(AZ324/1000*AZ330)</f>
        <v>56.051561712682506</v>
      </c>
      <c r="BA332" s="887">
        <f>(BA324/1000*BA330)</f>
        <v>53.341286834557494</v>
      </c>
      <c r="BB332" s="888">
        <f>SUM(AX332:BA332)</f>
        <v>248.05350052639568</v>
      </c>
      <c r="BC332" s="885">
        <f>(BC324/1000*BC330)</f>
        <v>74.570094537254249</v>
      </c>
      <c r="BD332" s="886">
        <f>(BD324/1000*BD330)</f>
        <v>45.209599991358857</v>
      </c>
      <c r="BE332" s="886">
        <f>(BE324/1000*BE330)</f>
        <v>48.732761597116443</v>
      </c>
      <c r="BF332" s="887">
        <f>(BF324/1000*BF330)</f>
        <v>60.022122430468464</v>
      </c>
      <c r="BG332" s="888">
        <f>SUM(BC332:BF332)</f>
        <v>228.53457855619803</v>
      </c>
      <c r="BH332" s="885">
        <f>(BH324/1000*BH330)</f>
        <v>74.235536195134259</v>
      </c>
      <c r="BI332" s="886">
        <f>(BI324/1000*BI330)</f>
        <v>45.021196215302446</v>
      </c>
      <c r="BJ332" s="886">
        <f>(BJ324/1000*BJ330)</f>
        <v>48.538547984594089</v>
      </c>
      <c r="BK332" s="887">
        <f>(BK324/1000*BK330)</f>
        <v>59.745770625720212</v>
      </c>
      <c r="BL332" s="888">
        <f>SUM(BH332:BK332)</f>
        <v>227.54105102075101</v>
      </c>
      <c r="BM332" s="885">
        <f>(BM324/1000*BM330)</f>
        <v>55.860631147089265</v>
      </c>
      <c r="BN332" s="886">
        <f>(BN324/1000*BN330)</f>
        <v>55.860631147089265</v>
      </c>
      <c r="BO332" s="886">
        <f>(BO324/1000*BO330)</f>
        <v>55.860631147089265</v>
      </c>
      <c r="BP332" s="887">
        <f>(BP324/1000*BP330)</f>
        <v>55.860631147089265</v>
      </c>
      <c r="BQ332" s="888">
        <f>SUM(BM332:BP332)</f>
        <v>223.44252458835706</v>
      </c>
      <c r="BR332" s="40"/>
      <c r="BS332" s="40"/>
      <c r="BT332" s="40"/>
      <c r="BU332" s="232"/>
      <c r="BV332" s="806"/>
      <c r="BW332" s="40"/>
      <c r="BX332" s="40"/>
      <c r="BY332" s="40"/>
      <c r="BZ332" s="40"/>
      <c r="CA332" s="40"/>
      <c r="CB332" s="40"/>
      <c r="CC332" s="40"/>
      <c r="CD332" s="40"/>
      <c r="CE332" s="40"/>
      <c r="CF332" s="40"/>
      <c r="CG332" s="40"/>
      <c r="CH332" s="40"/>
      <c r="CI332" s="40"/>
      <c r="CJ332" s="40"/>
      <c r="CK332" s="40"/>
      <c r="CL332" s="40"/>
      <c r="CM332" s="40"/>
      <c r="CN332" s="40"/>
      <c r="CO332" s="40"/>
      <c r="CP332" s="40"/>
      <c r="CQ332" s="40"/>
      <c r="CR332" s="40"/>
      <c r="CS332" s="40"/>
      <c r="CT332" s="823"/>
      <c r="CU332" s="232"/>
      <c r="CV332" s="232"/>
      <c r="CW332" s="232"/>
      <c r="CX332" s="232"/>
      <c r="CY332" s="232"/>
      <c r="CZ332" s="40"/>
      <c r="DA332" s="40"/>
      <c r="DB332" s="40"/>
      <c r="DC332" s="40"/>
      <c r="DD332" s="40"/>
      <c r="DE332" s="40"/>
      <c r="DF332" s="232"/>
      <c r="DG332" s="232"/>
      <c r="DH332" s="232"/>
      <c r="DI332" s="232"/>
      <c r="DJ332" s="232"/>
      <c r="DK332" s="232"/>
      <c r="DL332" s="232"/>
      <c r="DM332" s="232"/>
      <c r="DN332" s="232"/>
    </row>
    <row r="333" spans="1:118">
      <c r="A333" s="40"/>
      <c r="C333" s="28" t="s">
        <v>278</v>
      </c>
      <c r="D333" s="1"/>
      <c r="E333" s="273"/>
      <c r="F333" s="3"/>
      <c r="G333" s="3"/>
      <c r="H333" s="274"/>
      <c r="I333" s="28"/>
      <c r="J333" s="273"/>
      <c r="K333" s="3"/>
      <c r="L333" s="3"/>
      <c r="M333" s="274"/>
      <c r="N333" s="1"/>
      <c r="O333" s="273"/>
      <c r="P333" s="3"/>
      <c r="Q333" s="3"/>
      <c r="R333" s="274"/>
      <c r="S333" s="1"/>
      <c r="T333" s="885"/>
      <c r="U333" s="886"/>
      <c r="V333" s="886"/>
      <c r="W333" s="887"/>
      <c r="X333" s="888"/>
      <c r="Y333" s="885">
        <f>Y325/1000*Y330</f>
        <v>15.199892100000001</v>
      </c>
      <c r="Z333" s="886">
        <f>Z325/1000*Z330</f>
        <v>15.199892100000001</v>
      </c>
      <c r="AA333" s="886">
        <f>AA325/1000*AA330</f>
        <v>15.199892100000001</v>
      </c>
      <c r="AB333" s="887">
        <f>AB325/1000*AB330</f>
        <v>15.199892100000001</v>
      </c>
      <c r="AC333" s="888">
        <f>SUM(Y333:AB333)</f>
        <v>60.799568400000005</v>
      </c>
      <c r="AD333" s="885">
        <f>AD325/1000*AD330</f>
        <v>15.199892100000001</v>
      </c>
      <c r="AE333" s="886">
        <f>AE325/1000*AE330</f>
        <v>13.4116695</v>
      </c>
      <c r="AF333" s="886">
        <f>AF325/1000*AF330</f>
        <v>13.4116695</v>
      </c>
      <c r="AG333" s="887">
        <f>AG325/1000*AG330</f>
        <v>13.4116695</v>
      </c>
      <c r="AH333" s="888">
        <f>SUM(AD333:AG333)</f>
        <v>55.434900600000006</v>
      </c>
      <c r="AI333" s="885">
        <f>AI325/1000*AI330</f>
        <v>13.814019585000002</v>
      </c>
      <c r="AJ333" s="886">
        <f>AJ325/1000*AJ330</f>
        <v>13.814019585000002</v>
      </c>
      <c r="AK333" s="886">
        <f>AK325/1000*AK330</f>
        <v>13.814019585000002</v>
      </c>
      <c r="AL333" s="887">
        <f>AL325/1000*AL330</f>
        <v>13.814019585000002</v>
      </c>
      <c r="AM333" s="888">
        <f>SUM(AI333:AL333)</f>
        <v>55.256078340000009</v>
      </c>
      <c r="AN333" s="885">
        <f>AN325/1000*AN330</f>
        <v>14.228440172550002</v>
      </c>
      <c r="AO333" s="886">
        <f>AO325/1000*AO330</f>
        <v>14.228440172550002</v>
      </c>
      <c r="AP333" s="886">
        <f>AP325/1000*AP330</f>
        <v>14.228440172550002</v>
      </c>
      <c r="AQ333" s="887">
        <f>AQ325/1000*AQ330</f>
        <v>14.228440172550002</v>
      </c>
      <c r="AR333" s="888">
        <f>SUM(AN333:AQ333)</f>
        <v>56.913760690200007</v>
      </c>
      <c r="AS333" s="885">
        <f>AS325/1000*AS330</f>
        <v>15.199892100000001</v>
      </c>
      <c r="AT333" s="886">
        <f>AT325/1000*AT330</f>
        <v>15.199892100000001</v>
      </c>
      <c r="AU333" s="886">
        <f t="shared" ref="AU333" si="511">AU325/1000*AU330</f>
        <v>15.199892100000001</v>
      </c>
      <c r="AV333" s="887">
        <f>AV325/1000*AV330</f>
        <v>15.199892100000001</v>
      </c>
      <c r="AW333" s="888">
        <f>SUM(AS333:AV333)</f>
        <v>60.799568400000005</v>
      </c>
      <c r="AX333" s="885">
        <f>AX325/1000*AX330</f>
        <v>14.305780800000001</v>
      </c>
      <c r="AY333" s="886">
        <f>AY325/1000*AY330</f>
        <v>14.305780800000001</v>
      </c>
      <c r="AZ333" s="886">
        <f>AZ325/1000*AZ330</f>
        <v>14.305780800000001</v>
      </c>
      <c r="BA333" s="887">
        <f>BA325/1000*BA330</f>
        <v>14.305780800000001</v>
      </c>
      <c r="BB333" s="888">
        <f>SUM(AX333:BA333)</f>
        <v>57.223123200000003</v>
      </c>
      <c r="BC333" s="885">
        <f>BC325/1000*BC330</f>
        <v>13.85872515</v>
      </c>
      <c r="BD333" s="886">
        <f>BD325/1000*BD330</f>
        <v>13.85872515</v>
      </c>
      <c r="BE333" s="886">
        <f>BE325/1000*BE330</f>
        <v>13.85872515</v>
      </c>
      <c r="BF333" s="887">
        <f>BF325/1000*BF330</f>
        <v>13.85872515</v>
      </c>
      <c r="BG333" s="888">
        <f>SUM(BC333:BF333)</f>
        <v>55.434900599999999</v>
      </c>
      <c r="BH333" s="885">
        <f>BH325/1000*BH330</f>
        <v>12.964613850000001</v>
      </c>
      <c r="BI333" s="886">
        <f>BI325/1000*BI330</f>
        <v>12.964613850000001</v>
      </c>
      <c r="BJ333" s="886">
        <f>BJ325/1000*BJ330</f>
        <v>12.964613850000001</v>
      </c>
      <c r="BK333" s="887">
        <f>BK325/1000*BK330</f>
        <v>12.964613850000001</v>
      </c>
      <c r="BL333" s="888">
        <f>SUM(BH333:BK333)</f>
        <v>51.858455400000004</v>
      </c>
      <c r="BM333" s="885">
        <f>BM325/1000*BM330</f>
        <v>12.964613850000001</v>
      </c>
      <c r="BN333" s="886">
        <f>BN325/1000*BN330</f>
        <v>12.964613850000001</v>
      </c>
      <c r="BO333" s="886">
        <f>BO325/1000*BO330</f>
        <v>12.964613850000001</v>
      </c>
      <c r="BP333" s="887">
        <f>BP325/1000*BP330</f>
        <v>12.964613850000001</v>
      </c>
      <c r="BQ333" s="888">
        <f>SUM(BM333:BP333)</f>
        <v>51.858455400000004</v>
      </c>
      <c r="BR333" s="40"/>
      <c r="BS333" s="40"/>
      <c r="BT333" s="40"/>
      <c r="BU333" s="232"/>
      <c r="BV333" s="806"/>
      <c r="BW333" s="40"/>
      <c r="BX333" s="40"/>
      <c r="BY333" s="40"/>
      <c r="BZ333" s="40"/>
      <c r="CA333" s="40"/>
      <c r="CB333" s="40"/>
      <c r="CC333" s="40"/>
      <c r="CD333" s="40"/>
      <c r="CE333" s="40"/>
      <c r="CF333" s="40"/>
      <c r="CG333" s="40"/>
      <c r="CH333" s="40"/>
      <c r="CI333" s="40"/>
      <c r="CJ333" s="40"/>
      <c r="CK333" s="40"/>
      <c r="CL333" s="40"/>
      <c r="CM333" s="40"/>
      <c r="CN333" s="40"/>
      <c r="CO333" s="40"/>
      <c r="CP333" s="40"/>
      <c r="CQ333" s="40"/>
      <c r="CR333" s="40"/>
      <c r="CS333" s="40"/>
      <c r="CT333" s="823"/>
      <c r="CU333" s="232"/>
      <c r="CV333" s="232"/>
      <c r="CW333" s="232"/>
      <c r="CX333" s="232"/>
      <c r="CY333" s="232"/>
      <c r="CZ333" s="40"/>
      <c r="DA333" s="40"/>
      <c r="DB333" s="40"/>
      <c r="DC333" s="40"/>
      <c r="DD333" s="40"/>
      <c r="DE333" s="40"/>
      <c r="DF333" s="232"/>
      <c r="DG333" s="232"/>
      <c r="DH333" s="232"/>
      <c r="DI333" s="232"/>
      <c r="DJ333" s="232"/>
      <c r="DK333" s="232"/>
      <c r="DL333" s="232"/>
      <c r="DM333" s="232"/>
      <c r="DN333" s="232"/>
    </row>
    <row r="334" spans="1:118">
      <c r="A334" s="40"/>
      <c r="C334" s="32" t="s">
        <v>199</v>
      </c>
      <c r="D334" s="32"/>
      <c r="E334" s="489"/>
      <c r="F334" s="342"/>
      <c r="G334" s="342"/>
      <c r="H334" s="490"/>
      <c r="I334" s="28"/>
      <c r="J334" s="489"/>
      <c r="K334" s="342"/>
      <c r="L334" s="342"/>
      <c r="M334" s="490"/>
      <c r="N334" s="32"/>
      <c r="O334" s="489"/>
      <c r="P334" s="342"/>
      <c r="Q334" s="342"/>
      <c r="R334" s="490"/>
      <c r="S334" s="32"/>
      <c r="T334" s="788"/>
      <c r="U334" s="789"/>
      <c r="V334" s="789"/>
      <c r="W334" s="790"/>
      <c r="X334" s="747"/>
      <c r="Y334" s="788">
        <f t="shared" ref="Y334:BL334" si="512">Y332-Y333</f>
        <v>53.436745965515655</v>
      </c>
      <c r="Z334" s="789">
        <f t="shared" si="512"/>
        <v>54.27197268031243</v>
      </c>
      <c r="AA334" s="789">
        <f t="shared" si="512"/>
        <v>59.858796638706451</v>
      </c>
      <c r="AB334" s="790">
        <f t="shared" si="512"/>
        <v>50.865381898722688</v>
      </c>
      <c r="AC334" s="747">
        <f t="shared" si="512"/>
        <v>218.43289718325718</v>
      </c>
      <c r="AD334" s="788">
        <f t="shared" si="512"/>
        <v>182.44720555020879</v>
      </c>
      <c r="AE334" s="789">
        <f t="shared" si="512"/>
        <v>49.983976574433129</v>
      </c>
      <c r="AF334" s="789">
        <f t="shared" si="512"/>
        <v>49.983976574433129</v>
      </c>
      <c r="AG334" s="790">
        <f t="shared" si="512"/>
        <v>63.668088074686892</v>
      </c>
      <c r="AH334" s="747">
        <f t="shared" si="512"/>
        <v>346.08324677376191</v>
      </c>
      <c r="AI334" s="788">
        <f t="shared" si="512"/>
        <v>93.015412294515116</v>
      </c>
      <c r="AJ334" s="789">
        <f t="shared" si="512"/>
        <v>46.921588401813274</v>
      </c>
      <c r="AK334" s="789">
        <f t="shared" si="512"/>
        <v>39.638236782144126</v>
      </c>
      <c r="AL334" s="790">
        <f t="shared" si="512"/>
        <v>35.500683082028942</v>
      </c>
      <c r="AM334" s="747">
        <f t="shared" si="512"/>
        <v>215.07592056050143</v>
      </c>
      <c r="AN334" s="788">
        <f t="shared" si="512"/>
        <v>36.124622905525683</v>
      </c>
      <c r="AO334" s="789">
        <f t="shared" si="512"/>
        <v>28.231738742725177</v>
      </c>
      <c r="AP334" s="789">
        <f t="shared" si="512"/>
        <v>40.045963387615778</v>
      </c>
      <c r="AQ334" s="790">
        <f t="shared" si="512"/>
        <v>30.270827171432401</v>
      </c>
      <c r="AR334" s="747">
        <f t="shared" si="512"/>
        <v>134.67315220729904</v>
      </c>
      <c r="AS334" s="788">
        <f t="shared" si="512"/>
        <v>40.590036051087431</v>
      </c>
      <c r="AT334" s="789">
        <f t="shared" si="512"/>
        <v>32.716340495014379</v>
      </c>
      <c r="AU334" s="789">
        <f t="shared" ref="AU334" si="513">AU332-AU333</f>
        <v>31.988468558787865</v>
      </c>
      <c r="AV334" s="790">
        <f t="shared" si="512"/>
        <v>70.646171658645684</v>
      </c>
      <c r="AW334" s="747">
        <f t="shared" si="512"/>
        <v>175.94101676353534</v>
      </c>
      <c r="AX334" s="788">
        <f t="shared" si="512"/>
        <v>71.54028295864569</v>
      </c>
      <c r="AY334" s="789">
        <f t="shared" si="512"/>
        <v>38.508807420509996</v>
      </c>
      <c r="AZ334" s="789">
        <f t="shared" si="512"/>
        <v>41.745780912682505</v>
      </c>
      <c r="BA334" s="790">
        <f t="shared" si="512"/>
        <v>39.035506034557493</v>
      </c>
      <c r="BB334" s="747">
        <f t="shared" si="512"/>
        <v>190.83037732639568</v>
      </c>
      <c r="BC334" s="788">
        <f t="shared" si="512"/>
        <v>60.711369387254251</v>
      </c>
      <c r="BD334" s="789">
        <f t="shared" si="512"/>
        <v>31.350874841358859</v>
      </c>
      <c r="BE334" s="789">
        <f t="shared" si="512"/>
        <v>34.874036447116445</v>
      </c>
      <c r="BF334" s="790">
        <f t="shared" si="512"/>
        <v>46.163397280468466</v>
      </c>
      <c r="BG334" s="747">
        <f t="shared" si="512"/>
        <v>173.09967795619804</v>
      </c>
      <c r="BH334" s="788">
        <f t="shared" si="512"/>
        <v>61.27092234513426</v>
      </c>
      <c r="BI334" s="789">
        <f t="shared" si="512"/>
        <v>32.056582365302447</v>
      </c>
      <c r="BJ334" s="789">
        <f t="shared" si="512"/>
        <v>35.57393413459409</v>
      </c>
      <c r="BK334" s="790">
        <f t="shared" si="512"/>
        <v>46.781156775720213</v>
      </c>
      <c r="BL334" s="747">
        <f t="shared" si="512"/>
        <v>175.68259562075102</v>
      </c>
      <c r="BM334" s="788">
        <f t="shared" ref="BM334:BQ334" si="514">BM332-BM333</f>
        <v>42.896017297089266</v>
      </c>
      <c r="BN334" s="789">
        <f t="shared" si="514"/>
        <v>42.896017297089266</v>
      </c>
      <c r="BO334" s="789">
        <f t="shared" si="514"/>
        <v>42.896017297089266</v>
      </c>
      <c r="BP334" s="790">
        <f t="shared" si="514"/>
        <v>42.896017297089266</v>
      </c>
      <c r="BQ334" s="747">
        <f t="shared" si="514"/>
        <v>171.58406918835706</v>
      </c>
      <c r="BR334" s="40"/>
      <c r="BS334" s="40"/>
      <c r="BT334" s="40"/>
      <c r="BU334" s="232"/>
      <c r="BV334" s="40"/>
      <c r="BW334" s="40"/>
      <c r="BX334" s="40"/>
      <c r="BY334" s="40"/>
      <c r="BZ334" s="40"/>
      <c r="CA334" s="40"/>
      <c r="CB334" s="40"/>
      <c r="CC334" s="40"/>
      <c r="CD334" s="40"/>
      <c r="CE334" s="40"/>
      <c r="CF334" s="40"/>
      <c r="CG334" s="40"/>
      <c r="CH334" s="40"/>
      <c r="CI334" s="40"/>
      <c r="CJ334" s="40"/>
      <c r="CK334" s="40"/>
      <c r="CL334" s="40"/>
      <c r="CM334" s="40"/>
      <c r="CN334" s="40"/>
      <c r="CO334" s="40"/>
      <c r="CP334" s="40"/>
      <c r="CQ334" s="40"/>
      <c r="CR334" s="40"/>
      <c r="CS334" s="40"/>
      <c r="CT334" s="823"/>
      <c r="CU334" s="232"/>
      <c r="CV334" s="232"/>
      <c r="CW334" s="232"/>
      <c r="CX334" s="232"/>
      <c r="CY334" s="232"/>
      <c r="CZ334" s="40"/>
      <c r="DA334" s="40"/>
      <c r="DB334" s="40"/>
      <c r="DC334" s="40"/>
      <c r="DD334" s="40"/>
      <c r="DE334" s="40"/>
      <c r="DF334" s="232"/>
      <c r="DG334" s="232"/>
      <c r="DH334" s="232"/>
      <c r="DI334" s="232"/>
      <c r="DJ334" s="232"/>
      <c r="DK334" s="232"/>
      <c r="DL334" s="232"/>
      <c r="DM334" s="232"/>
      <c r="DN334" s="232"/>
    </row>
    <row r="335" spans="1:118">
      <c r="A335" s="40"/>
      <c r="Y335" s="788"/>
      <c r="Z335" s="789"/>
      <c r="AA335" s="789"/>
      <c r="AB335" s="790"/>
      <c r="AC335" s="747"/>
      <c r="AD335" s="788"/>
      <c r="AE335" s="789"/>
      <c r="AF335" s="789"/>
      <c r="AG335" s="790"/>
      <c r="AH335" s="747"/>
      <c r="AI335" s="788"/>
      <c r="AJ335" s="789"/>
      <c r="AK335" s="789"/>
      <c r="AL335" s="790"/>
      <c r="AM335" s="747"/>
      <c r="AN335" s="788"/>
      <c r="AO335" s="789"/>
      <c r="AP335" s="789"/>
      <c r="AQ335" s="790"/>
      <c r="AR335" s="747"/>
      <c r="AS335" s="788"/>
      <c r="AT335" s="789"/>
      <c r="AU335" s="789"/>
      <c r="AV335" s="790"/>
      <c r="AW335" s="747"/>
      <c r="AX335" s="788"/>
      <c r="AY335" s="789"/>
      <c r="AZ335" s="789"/>
      <c r="BA335" s="790"/>
      <c r="BB335" s="747"/>
      <c r="BC335" s="788"/>
      <c r="BD335" s="789"/>
      <c r="BE335" s="789"/>
      <c r="BF335" s="790"/>
      <c r="BG335" s="747"/>
      <c r="BH335" s="788"/>
      <c r="BI335" s="789"/>
      <c r="BJ335" s="789"/>
      <c r="BK335" s="790"/>
      <c r="BL335" s="747"/>
      <c r="BM335" s="788"/>
      <c r="BN335" s="789"/>
      <c r="BO335" s="789"/>
      <c r="BP335" s="790"/>
      <c r="BQ335" s="747"/>
      <c r="BR335" s="40"/>
      <c r="BS335" s="40"/>
      <c r="BT335" s="40"/>
      <c r="BU335" s="232"/>
      <c r="BV335" s="40"/>
      <c r="BW335" s="40"/>
      <c r="BX335" s="40"/>
      <c r="BY335" s="40"/>
      <c r="BZ335" s="40"/>
      <c r="CA335" s="40"/>
      <c r="CB335" s="40"/>
      <c r="CC335" s="40"/>
      <c r="CD335" s="40"/>
      <c r="CE335" s="40"/>
      <c r="CF335" s="40"/>
      <c r="CG335" s="40"/>
      <c r="CH335" s="40"/>
      <c r="CI335" s="40"/>
      <c r="CJ335" s="40"/>
      <c r="CK335" s="40"/>
      <c r="CL335" s="40"/>
      <c r="CM335" s="40"/>
      <c r="CN335" s="40"/>
      <c r="CO335" s="40"/>
      <c r="CP335" s="40"/>
      <c r="CQ335" s="40"/>
      <c r="CR335" s="40"/>
      <c r="CS335" s="40"/>
      <c r="CT335" s="823"/>
      <c r="CU335" s="232"/>
      <c r="CV335" s="232"/>
      <c r="CW335" s="232"/>
      <c r="CX335" s="232"/>
      <c r="CY335" s="232"/>
      <c r="CZ335" s="40"/>
      <c r="DA335" s="40"/>
      <c r="DB335" s="40"/>
      <c r="DC335" s="40"/>
      <c r="DD335" s="40"/>
      <c r="DE335" s="40"/>
      <c r="DF335" s="232"/>
      <c r="DG335" s="232"/>
      <c r="DH335" s="232"/>
      <c r="DI335" s="232"/>
      <c r="DJ335" s="232"/>
      <c r="DK335" s="232"/>
      <c r="DL335" s="232"/>
      <c r="DM335" s="232"/>
      <c r="DN335" s="232"/>
    </row>
    <row r="336" spans="1:118">
      <c r="A336" s="40"/>
      <c r="B336" s="1"/>
      <c r="C336" s="429" t="s">
        <v>1432</v>
      </c>
      <c r="D336" s="1"/>
      <c r="E336" s="273"/>
      <c r="F336" s="3"/>
      <c r="G336" s="3"/>
      <c r="H336" s="274"/>
      <c r="I336" s="28"/>
      <c r="J336" s="273"/>
      <c r="K336" s="3"/>
      <c r="L336" s="3"/>
      <c r="M336" s="274"/>
      <c r="N336" s="1"/>
      <c r="O336" s="273"/>
      <c r="P336" s="3"/>
      <c r="Q336" s="3"/>
      <c r="R336" s="274"/>
      <c r="S336" s="1"/>
      <c r="T336" s="273"/>
      <c r="U336" s="3"/>
      <c r="V336" s="3"/>
      <c r="W336" s="274"/>
      <c r="X336" s="1"/>
      <c r="Y336" s="273"/>
      <c r="Z336" s="3"/>
      <c r="AA336" s="3"/>
      <c r="AB336" s="274"/>
      <c r="AC336" s="1"/>
      <c r="AD336" s="273"/>
      <c r="AE336" s="3"/>
      <c r="AF336" s="3"/>
      <c r="AG336" s="274"/>
      <c r="AH336" s="1"/>
      <c r="AI336" s="273"/>
      <c r="AJ336" s="3"/>
      <c r="AK336" s="3"/>
      <c r="AL336" s="274"/>
      <c r="AM336" s="1"/>
      <c r="AN336" s="273"/>
      <c r="AO336" s="3"/>
      <c r="AP336" s="3"/>
      <c r="AQ336" s="274"/>
      <c r="AR336" s="1"/>
      <c r="AS336" s="273"/>
      <c r="AT336" s="3"/>
      <c r="AU336" s="3"/>
      <c r="AV336" s="274"/>
      <c r="AW336" s="1"/>
      <c r="AX336" s="273"/>
      <c r="AY336" s="3"/>
      <c r="AZ336" s="3"/>
      <c r="BA336" s="274"/>
      <c r="BB336" s="1"/>
      <c r="BC336" s="273"/>
      <c r="BD336" s="3"/>
      <c r="BE336" s="3"/>
      <c r="BF336" s="274"/>
      <c r="BG336" s="1"/>
      <c r="BH336" s="273"/>
      <c r="BI336" s="3"/>
      <c r="BJ336" s="3"/>
      <c r="BK336" s="274"/>
      <c r="BL336" s="1"/>
      <c r="BM336" s="273"/>
      <c r="BN336" s="3"/>
      <c r="BO336" s="3"/>
      <c r="BP336" s="274"/>
      <c r="BQ336" s="1"/>
      <c r="BR336" s="40"/>
      <c r="BS336" s="40"/>
      <c r="BT336" s="40"/>
      <c r="BU336" s="232"/>
      <c r="BV336" s="40"/>
      <c r="BW336" s="40"/>
      <c r="BX336" s="40"/>
      <c r="BY336" s="40"/>
      <c r="BZ336" s="40"/>
      <c r="CA336" s="40"/>
      <c r="CB336" s="40"/>
      <c r="CC336" s="40"/>
      <c r="CD336" s="40"/>
      <c r="CE336" s="40"/>
      <c r="CF336" s="40"/>
      <c r="CG336" s="40"/>
      <c r="CH336" s="40"/>
      <c r="CI336" s="40"/>
      <c r="CJ336" s="40"/>
      <c r="CK336" s="40"/>
      <c r="CL336" s="40"/>
      <c r="CM336" s="40"/>
      <c r="CN336" s="40"/>
      <c r="CO336" s="40"/>
      <c r="CP336" s="40"/>
      <c r="CQ336" s="40"/>
      <c r="CR336" s="40"/>
      <c r="CS336" s="40"/>
      <c r="CT336" s="823"/>
      <c r="CU336" s="232"/>
      <c r="CV336" s="232"/>
      <c r="CW336" s="232"/>
      <c r="CX336" s="232"/>
      <c r="CY336" s="232"/>
      <c r="CZ336" s="40"/>
      <c r="DA336" s="40"/>
      <c r="DB336" s="40"/>
      <c r="DC336" s="40"/>
      <c r="DD336" s="40"/>
      <c r="DE336" s="40"/>
      <c r="DF336" s="232"/>
      <c r="DG336" s="232"/>
      <c r="DH336" s="232"/>
      <c r="DI336" s="232"/>
      <c r="DJ336" s="232"/>
      <c r="DK336" s="232"/>
      <c r="DL336" s="232"/>
      <c r="DM336" s="232"/>
      <c r="DN336" s="232"/>
    </row>
    <row r="337" spans="1:118">
      <c r="A337" s="40"/>
      <c r="B337" s="1"/>
      <c r="C337" s="28" t="s">
        <v>194</v>
      </c>
      <c r="D337" s="1"/>
      <c r="E337" s="273"/>
      <c r="F337" s="3"/>
      <c r="G337" s="3"/>
      <c r="H337" s="274"/>
      <c r="I337" s="28"/>
      <c r="J337" s="273"/>
      <c r="K337" s="3"/>
      <c r="L337" s="3"/>
      <c r="M337" s="274"/>
      <c r="N337" s="1"/>
      <c r="O337" s="273"/>
      <c r="P337" s="3"/>
      <c r="Q337" s="3"/>
      <c r="R337" s="274"/>
      <c r="S337" s="1"/>
      <c r="T337" s="436"/>
      <c r="U337" s="437"/>
      <c r="V337" s="437"/>
      <c r="W337" s="438"/>
      <c r="X337" s="439"/>
      <c r="Y337" s="436">
        <f t="shared" ref="Y337:AK337" si="515">Y$71</f>
        <v>40.36640253407522</v>
      </c>
      <c r="Z337" s="437">
        <f t="shared" si="515"/>
        <v>34.200217698317303</v>
      </c>
      <c r="AA337" s="437">
        <f t="shared" si="515"/>
        <v>39.316297480044156</v>
      </c>
      <c r="AB337" s="438">
        <f t="shared" si="515"/>
        <v>37.315729422978933</v>
      </c>
      <c r="AC337" s="439">
        <f t="shared" si="515"/>
        <v>37.799661783853907</v>
      </c>
      <c r="AD337" s="436">
        <f t="shared" si="515"/>
        <v>89.526048785800583</v>
      </c>
      <c r="AE337" s="437">
        <f t="shared" si="515"/>
        <v>32.957620414402179</v>
      </c>
      <c r="AF337" s="437">
        <f t="shared" si="515"/>
        <v>32.957620414402179</v>
      </c>
      <c r="AG337" s="438">
        <f t="shared" si="515"/>
        <v>30.104760621178674</v>
      </c>
      <c r="AH337" s="439">
        <f t="shared" si="515"/>
        <v>46.386512558945903</v>
      </c>
      <c r="AI337" s="436">
        <f t="shared" si="515"/>
        <v>45.014023798740517</v>
      </c>
      <c r="AJ337" s="437">
        <f t="shared" si="515"/>
        <v>27.789071608323329</v>
      </c>
      <c r="AK337" s="437">
        <f t="shared" si="515"/>
        <v>30.011482807274241</v>
      </c>
      <c r="AL337" s="438">
        <f>AL$71+3</f>
        <v>26.945869812330169</v>
      </c>
      <c r="AM337" s="439">
        <f>AM$71+3</f>
        <v>34.690112006667064</v>
      </c>
      <c r="AN337" s="2135">
        <f>AN$71</f>
        <v>21.759952599975172</v>
      </c>
      <c r="AO337" s="2142">
        <f t="shared" ref="AO337:AS337" si="516">52-(AO340*AO695*365/4/1000)/AO343</f>
        <v>47.758498224251646</v>
      </c>
      <c r="AP337" s="437">
        <f t="shared" si="516"/>
        <v>46.490106544901067</v>
      </c>
      <c r="AQ337" s="438">
        <f t="shared" si="516"/>
        <v>49.402333840690005</v>
      </c>
      <c r="AR337" s="439">
        <f t="shared" si="516"/>
        <v>51.12163876204972</v>
      </c>
      <c r="AS337" s="436">
        <f t="shared" si="516"/>
        <v>50.918529199711607</v>
      </c>
      <c r="AT337" s="437">
        <f t="shared" ref="AT337:BC337" si="517">AT$71+17.48</f>
        <v>41.067174166165856</v>
      </c>
      <c r="AU337" s="437">
        <f t="shared" si="517"/>
        <v>43.083738327079026</v>
      </c>
      <c r="AV337" s="2101">
        <f t="shared" si="517"/>
        <v>51.981393789156854</v>
      </c>
      <c r="AW337" s="2144">
        <f t="shared" si="517"/>
        <v>44.230615062731317</v>
      </c>
      <c r="AX337" s="2143">
        <f t="shared" si="517"/>
        <v>51.981393789156854</v>
      </c>
      <c r="AY337" s="2089">
        <f t="shared" si="517"/>
        <v>52.566666666666663</v>
      </c>
      <c r="AZ337" s="2089">
        <f t="shared" si="517"/>
        <v>48.885833333333331</v>
      </c>
      <c r="BA337" s="2101">
        <f t="shared" si="517"/>
        <v>52.787916666666675</v>
      </c>
      <c r="BB337" s="2144">
        <f t="shared" si="517"/>
        <v>51.555452613955879</v>
      </c>
      <c r="BC337" s="2143">
        <f t="shared" si="517"/>
        <v>69.007497126470625</v>
      </c>
      <c r="BD337" s="2089">
        <f>BD$71+$CF$367</f>
        <v>52.178376630201072</v>
      </c>
      <c r="BE337" s="2089">
        <f>BE$71+$CF$367</f>
        <v>48.219030441159724</v>
      </c>
      <c r="BF337" s="2101">
        <f>BF$71+$CF$367</f>
        <v>45.075652542794046</v>
      </c>
      <c r="BG337" s="2144">
        <f>BG$71+$CF$367</f>
        <v>53.949316205214316</v>
      </c>
      <c r="BH337" s="2143">
        <f t="shared" ref="BH337:BQ337" si="518">BH$71+$CF$368</f>
        <v>70.174183068894735</v>
      </c>
      <c r="BI337" s="2089">
        <f t="shared" si="518"/>
        <v>52.194096930923124</v>
      </c>
      <c r="BJ337" s="2089">
        <f t="shared" si="518"/>
        <v>48.271870063755372</v>
      </c>
      <c r="BK337" s="2101">
        <f t="shared" si="518"/>
        <v>45.157114757284035</v>
      </c>
      <c r="BL337" s="2144">
        <f t="shared" si="518"/>
        <v>53.949316205214316</v>
      </c>
      <c r="BM337" s="2143">
        <f t="shared" si="518"/>
        <v>50.943499649907793</v>
      </c>
      <c r="BN337" s="2089">
        <f t="shared" si="518"/>
        <v>50.943499649907793</v>
      </c>
      <c r="BO337" s="2089">
        <f t="shared" si="518"/>
        <v>50.943499649907793</v>
      </c>
      <c r="BP337" s="2101">
        <f t="shared" si="518"/>
        <v>50.943499649907793</v>
      </c>
      <c r="BQ337" s="2144">
        <f t="shared" si="518"/>
        <v>50.943499649907793</v>
      </c>
      <c r="BR337" s="40"/>
      <c r="BS337" s="40"/>
      <c r="BT337" s="40"/>
      <c r="BU337" s="232"/>
      <c r="BV337" s="40"/>
      <c r="BW337" s="40"/>
      <c r="BX337" s="40"/>
      <c r="BY337" s="40"/>
      <c r="BZ337" s="40"/>
      <c r="CA337" s="40"/>
      <c r="CB337" s="40"/>
      <c r="CC337" s="40"/>
      <c r="CD337" s="40"/>
      <c r="CE337" s="40"/>
      <c r="CF337" s="40"/>
      <c r="CG337" s="40"/>
      <c r="CH337" s="40"/>
      <c r="CI337" s="40"/>
      <c r="CJ337" s="40"/>
      <c r="CK337" s="40"/>
      <c r="CL337" s="40"/>
      <c r="CM337" s="40"/>
      <c r="CN337" s="40"/>
      <c r="CO337" s="40"/>
      <c r="CP337" s="40"/>
      <c r="CQ337" s="40"/>
      <c r="CR337" s="40"/>
      <c r="CS337" s="40"/>
      <c r="CT337" s="823"/>
      <c r="CU337" s="232"/>
      <c r="CV337" s="232"/>
      <c r="CW337" s="232"/>
      <c r="CX337" s="232"/>
      <c r="CY337" s="232"/>
      <c r="CZ337" s="40"/>
      <c r="DA337" s="40"/>
      <c r="DB337" s="40"/>
      <c r="DC337" s="40"/>
      <c r="DD337" s="40"/>
      <c r="DE337" s="40"/>
      <c r="DF337" s="232"/>
      <c r="DG337" s="232"/>
      <c r="DH337" s="232"/>
      <c r="DI337" s="232"/>
      <c r="DJ337" s="232"/>
      <c r="DK337" s="232"/>
      <c r="DL337" s="232"/>
      <c r="DM337" s="232"/>
      <c r="DN337" s="232"/>
    </row>
    <row r="338" spans="1:118">
      <c r="A338" s="40"/>
      <c r="B338" s="1"/>
      <c r="C338" s="28" t="s">
        <v>195</v>
      </c>
      <c r="D338" s="1"/>
      <c r="E338" s="273"/>
      <c r="F338" s="3"/>
      <c r="G338" s="3"/>
      <c r="H338" s="274"/>
      <c r="I338" s="28"/>
      <c r="J338" s="273"/>
      <c r="K338" s="3"/>
      <c r="L338" s="3"/>
      <c r="M338" s="274"/>
      <c r="N338" s="1"/>
      <c r="O338" s="273"/>
      <c r="P338" s="3"/>
      <c r="Q338" s="3"/>
      <c r="R338" s="274"/>
      <c r="S338" s="1"/>
      <c r="T338" s="436"/>
      <c r="U338" s="437"/>
      <c r="V338" s="437"/>
      <c r="W338" s="438"/>
      <c r="X338" s="439"/>
      <c r="Y338" s="436">
        <f t="shared" ref="Y338:BQ338" si="519">+Y$273</f>
        <v>8.5</v>
      </c>
      <c r="Z338" s="437">
        <f t="shared" si="519"/>
        <v>8.5</v>
      </c>
      <c r="AA338" s="437">
        <f t="shared" si="519"/>
        <v>8.5</v>
      </c>
      <c r="AB338" s="438">
        <f t="shared" si="519"/>
        <v>8.5</v>
      </c>
      <c r="AC338" s="439">
        <f t="shared" si="519"/>
        <v>8.5</v>
      </c>
      <c r="AD338" s="436">
        <f t="shared" si="519"/>
        <v>8.5</v>
      </c>
      <c r="AE338" s="437">
        <f t="shared" si="519"/>
        <v>7.5</v>
      </c>
      <c r="AF338" s="437">
        <f t="shared" si="519"/>
        <v>7.5</v>
      </c>
      <c r="AG338" s="438">
        <f t="shared" si="519"/>
        <v>7.5</v>
      </c>
      <c r="AH338" s="439">
        <f t="shared" si="519"/>
        <v>7.5</v>
      </c>
      <c r="AI338" s="436">
        <f t="shared" si="519"/>
        <v>7.7250000000000005</v>
      </c>
      <c r="AJ338" s="437">
        <f t="shared" si="519"/>
        <v>7.7250000000000005</v>
      </c>
      <c r="AK338" s="437">
        <f t="shared" si="519"/>
        <v>7.7250000000000005</v>
      </c>
      <c r="AL338" s="438">
        <f t="shared" si="519"/>
        <v>7.7250000000000005</v>
      </c>
      <c r="AM338" s="439">
        <f t="shared" si="519"/>
        <v>7.7250000000000005</v>
      </c>
      <c r="AN338" s="436">
        <f t="shared" si="519"/>
        <v>7.9567500000000004</v>
      </c>
      <c r="AO338" s="437">
        <f t="shared" si="519"/>
        <v>7.9567500000000004</v>
      </c>
      <c r="AP338" s="437">
        <f t="shared" si="519"/>
        <v>7.9567500000000004</v>
      </c>
      <c r="AQ338" s="438">
        <f t="shared" si="519"/>
        <v>7.9567500000000004</v>
      </c>
      <c r="AR338" s="439">
        <f t="shared" si="519"/>
        <v>7.9567500000000004</v>
      </c>
      <c r="AS338" s="436">
        <f t="shared" si="519"/>
        <v>8.5</v>
      </c>
      <c r="AT338" s="437">
        <f t="shared" si="519"/>
        <v>8.5</v>
      </c>
      <c r="AU338" s="437">
        <f t="shared" si="519"/>
        <v>8.5</v>
      </c>
      <c r="AV338" s="438">
        <f t="shared" si="519"/>
        <v>8.5</v>
      </c>
      <c r="AW338" s="439">
        <f t="shared" si="519"/>
        <v>8.5</v>
      </c>
      <c r="AX338" s="436">
        <f t="shared" si="519"/>
        <v>8</v>
      </c>
      <c r="AY338" s="437">
        <f t="shared" si="519"/>
        <v>8</v>
      </c>
      <c r="AZ338" s="437">
        <f t="shared" si="519"/>
        <v>8</v>
      </c>
      <c r="BA338" s="438">
        <f t="shared" si="519"/>
        <v>8</v>
      </c>
      <c r="BB338" s="439">
        <f t="shared" si="519"/>
        <v>8</v>
      </c>
      <c r="BC338" s="436">
        <f t="shared" si="519"/>
        <v>7.75</v>
      </c>
      <c r="BD338" s="437">
        <f t="shared" si="519"/>
        <v>7.75</v>
      </c>
      <c r="BE338" s="437">
        <f t="shared" si="519"/>
        <v>7.75</v>
      </c>
      <c r="BF338" s="438">
        <f t="shared" si="519"/>
        <v>7.75</v>
      </c>
      <c r="BG338" s="439">
        <f>+BG$273</f>
        <v>7.75</v>
      </c>
      <c r="BH338" s="436">
        <f t="shared" si="519"/>
        <v>7.25</v>
      </c>
      <c r="BI338" s="437">
        <f t="shared" si="519"/>
        <v>7.25</v>
      </c>
      <c r="BJ338" s="437">
        <f t="shared" si="519"/>
        <v>7.25</v>
      </c>
      <c r="BK338" s="438">
        <f t="shared" si="519"/>
        <v>7.25</v>
      </c>
      <c r="BL338" s="439">
        <f t="shared" si="519"/>
        <v>7.25</v>
      </c>
      <c r="BM338" s="436">
        <f t="shared" si="519"/>
        <v>7.25</v>
      </c>
      <c r="BN338" s="437">
        <f t="shared" si="519"/>
        <v>7.25</v>
      </c>
      <c r="BO338" s="437">
        <f t="shared" si="519"/>
        <v>7.25</v>
      </c>
      <c r="BP338" s="438">
        <f t="shared" si="519"/>
        <v>7.25</v>
      </c>
      <c r="BQ338" s="439">
        <f t="shared" si="519"/>
        <v>7.25</v>
      </c>
      <c r="BR338" s="40"/>
      <c r="BS338" s="40"/>
      <c r="BT338" s="40"/>
      <c r="BU338" s="232"/>
      <c r="BV338" s="40"/>
      <c r="BW338" s="40"/>
      <c r="BX338" s="40"/>
      <c r="BY338" s="40"/>
      <c r="BZ338" s="40"/>
      <c r="CA338" s="40"/>
      <c r="CB338" s="40"/>
      <c r="CC338" s="40"/>
      <c r="CD338" s="40"/>
      <c r="CE338" s="40"/>
      <c r="CF338" s="40"/>
      <c r="CG338" s="40"/>
      <c r="CH338" s="40"/>
      <c r="CI338" s="40"/>
      <c r="CJ338" s="40"/>
      <c r="CK338" s="40"/>
      <c r="CL338" s="40"/>
      <c r="CM338" s="40"/>
      <c r="CN338" s="40"/>
      <c r="CO338" s="40"/>
      <c r="CP338" s="40"/>
      <c r="CQ338" s="40"/>
      <c r="CR338" s="40"/>
      <c r="CS338" s="40"/>
      <c r="CT338" s="823"/>
      <c r="CU338" s="232"/>
      <c r="CV338" s="232"/>
      <c r="CW338" s="232"/>
      <c r="CX338" s="232"/>
      <c r="CY338" s="232"/>
      <c r="CZ338" s="40"/>
      <c r="DA338" s="40"/>
      <c r="DB338" s="40"/>
      <c r="DC338" s="40"/>
      <c r="DD338" s="40"/>
      <c r="DE338" s="40"/>
      <c r="DF338" s="232"/>
      <c r="DG338" s="232"/>
      <c r="DH338" s="232"/>
      <c r="DI338" s="232"/>
      <c r="DJ338" s="232"/>
      <c r="DK338" s="232"/>
      <c r="DL338" s="232"/>
      <c r="DM338" s="232"/>
      <c r="DN338" s="232"/>
    </row>
    <row r="339" spans="1:118">
      <c r="A339" s="40"/>
      <c r="B339" s="1"/>
      <c r="C339" s="1"/>
      <c r="D339" s="1"/>
      <c r="E339" s="273"/>
      <c r="F339" s="3"/>
      <c r="G339" s="3"/>
      <c r="H339" s="274"/>
      <c r="I339" s="28"/>
      <c r="J339" s="273"/>
      <c r="K339" s="3"/>
      <c r="L339" s="3"/>
      <c r="M339" s="274"/>
      <c r="N339" s="1"/>
      <c r="O339" s="273"/>
      <c r="P339" s="3"/>
      <c r="Q339" s="3"/>
      <c r="R339" s="274"/>
      <c r="S339" s="1"/>
      <c r="T339" s="273"/>
      <c r="U339" s="3"/>
      <c r="V339" s="3"/>
      <c r="W339" s="274"/>
      <c r="X339" s="1"/>
      <c r="Y339" s="273"/>
      <c r="Z339" s="3"/>
      <c r="AA339" s="3"/>
      <c r="AB339" s="274"/>
      <c r="AC339" s="1"/>
      <c r="AD339" s="273"/>
      <c r="AE339" s="3"/>
      <c r="AF339" s="3"/>
      <c r="AG339" s="274"/>
      <c r="AH339" s="1"/>
      <c r="AI339" s="273"/>
      <c r="AJ339" s="3"/>
      <c r="AK339" s="3"/>
      <c r="AL339" s="274"/>
      <c r="AM339" s="1"/>
      <c r="AN339" s="273"/>
      <c r="AO339" s="3"/>
      <c r="AP339" s="3"/>
      <c r="AQ339" s="274"/>
      <c r="AR339" s="1"/>
      <c r="AS339" s="273"/>
      <c r="AT339" s="3"/>
      <c r="AU339" s="3"/>
      <c r="AV339" s="274"/>
      <c r="AW339" s="1"/>
      <c r="AX339" s="273"/>
      <c r="AY339" s="3"/>
      <c r="AZ339" s="3"/>
      <c r="BA339" s="274"/>
      <c r="BB339" s="1"/>
      <c r="BC339" s="273"/>
      <c r="BD339" s="3"/>
      <c r="BE339" s="3"/>
      <c r="BF339" s="274"/>
      <c r="BG339" s="1"/>
      <c r="BH339" s="273"/>
      <c r="BI339" s="3"/>
      <c r="BJ339" s="3"/>
      <c r="BK339" s="274"/>
      <c r="BL339" s="1"/>
      <c r="BM339" s="273"/>
      <c r="BN339" s="3"/>
      <c r="BO339" s="3"/>
      <c r="BP339" s="274"/>
      <c r="BQ339" s="1"/>
      <c r="BR339" s="40"/>
      <c r="BS339" s="40"/>
      <c r="BT339" s="40"/>
      <c r="BU339" s="232"/>
      <c r="BV339" s="40"/>
      <c r="BW339" s="40"/>
      <c r="BX339" s="40"/>
      <c r="BY339" s="40"/>
      <c r="BZ339" s="40"/>
      <c r="CA339" s="40"/>
      <c r="CB339" s="40"/>
      <c r="CC339" s="40"/>
      <c r="CD339" s="40"/>
      <c r="CE339" s="40"/>
      <c r="CF339" s="40"/>
      <c r="CG339" s="40"/>
      <c r="CH339" s="40"/>
      <c r="CI339" s="40"/>
      <c r="CJ339" s="40"/>
      <c r="CK339" s="40"/>
      <c r="CL339" s="40"/>
      <c r="CM339" s="40"/>
      <c r="CN339" s="40"/>
      <c r="CO339" s="40"/>
      <c r="CP339" s="40"/>
      <c r="CQ339" s="40"/>
      <c r="CR339" s="40"/>
      <c r="CS339" s="40"/>
      <c r="CT339" s="823"/>
      <c r="CU339" s="232"/>
      <c r="CV339" s="232"/>
      <c r="CW339" s="232"/>
      <c r="CX339" s="232"/>
      <c r="CY339" s="232"/>
      <c r="CZ339" s="40"/>
      <c r="DA339" s="40"/>
      <c r="DB339" s="40"/>
      <c r="DC339" s="40"/>
      <c r="DD339" s="40"/>
      <c r="DE339" s="40"/>
      <c r="DF339" s="232"/>
      <c r="DG339" s="232"/>
      <c r="DH339" s="232"/>
      <c r="DI339" s="232"/>
      <c r="DJ339" s="232"/>
      <c r="DK339" s="232"/>
      <c r="DL339" s="232"/>
      <c r="DM339" s="232"/>
      <c r="DN339" s="232"/>
    </row>
    <row r="340" spans="1:118">
      <c r="A340" s="40"/>
      <c r="B340" s="1"/>
      <c r="C340" s="32" t="s">
        <v>196</v>
      </c>
      <c r="D340" s="32"/>
      <c r="E340" s="292"/>
      <c r="F340" s="261"/>
      <c r="G340" s="261"/>
      <c r="H340" s="293"/>
      <c r="I340" s="884">
        <v>288</v>
      </c>
      <c r="J340" s="292"/>
      <c r="K340" s="261"/>
      <c r="L340" s="261"/>
      <c r="M340" s="293"/>
      <c r="N340" s="228"/>
      <c r="O340" s="292"/>
      <c r="P340" s="261"/>
      <c r="Q340" s="261"/>
      <c r="R340" s="293"/>
      <c r="S340" s="228"/>
      <c r="T340" s="292"/>
      <c r="U340" s="261"/>
      <c r="V340" s="261"/>
      <c r="W340" s="293"/>
      <c r="X340" s="228"/>
      <c r="Y340" s="292">
        <f>+I340</f>
        <v>288</v>
      </c>
      <c r="Z340" s="261">
        <f t="shared" ref="Z340:BL340" si="520">Y340</f>
        <v>288</v>
      </c>
      <c r="AA340" s="261">
        <f t="shared" si="520"/>
        <v>288</v>
      </c>
      <c r="AB340" s="293">
        <f t="shared" si="520"/>
        <v>288</v>
      </c>
      <c r="AC340" s="228">
        <f t="shared" si="520"/>
        <v>288</v>
      </c>
      <c r="AD340" s="292">
        <f t="shared" si="520"/>
        <v>288</v>
      </c>
      <c r="AE340" s="261">
        <f t="shared" si="520"/>
        <v>288</v>
      </c>
      <c r="AF340" s="261">
        <f t="shared" si="520"/>
        <v>288</v>
      </c>
      <c r="AG340" s="293">
        <f t="shared" si="520"/>
        <v>288</v>
      </c>
      <c r="AH340" s="228">
        <f t="shared" si="520"/>
        <v>288</v>
      </c>
      <c r="AI340" s="292">
        <f t="shared" si="520"/>
        <v>288</v>
      </c>
      <c r="AJ340" s="261">
        <f t="shared" si="520"/>
        <v>288</v>
      </c>
      <c r="AK340" s="261">
        <f t="shared" si="520"/>
        <v>288</v>
      </c>
      <c r="AL340" s="293">
        <f t="shared" si="520"/>
        <v>288</v>
      </c>
      <c r="AM340" s="228">
        <f t="shared" si="520"/>
        <v>288</v>
      </c>
      <c r="AN340" s="292">
        <f t="shared" si="520"/>
        <v>288</v>
      </c>
      <c r="AO340" s="261">
        <f t="shared" si="520"/>
        <v>288</v>
      </c>
      <c r="AP340" s="261">
        <f t="shared" si="520"/>
        <v>288</v>
      </c>
      <c r="AQ340" s="293">
        <f t="shared" si="520"/>
        <v>288</v>
      </c>
      <c r="AR340" s="228">
        <f t="shared" si="520"/>
        <v>288</v>
      </c>
      <c r="AS340" s="292">
        <f t="shared" si="520"/>
        <v>288</v>
      </c>
      <c r="AT340" s="261">
        <f t="shared" si="520"/>
        <v>288</v>
      </c>
      <c r="AU340" s="261">
        <f t="shared" ref="AU340" si="521">AT340</f>
        <v>288</v>
      </c>
      <c r="AV340" s="293">
        <f t="shared" si="520"/>
        <v>288</v>
      </c>
      <c r="AW340" s="228">
        <f t="shared" si="520"/>
        <v>288</v>
      </c>
      <c r="AX340" s="292">
        <f t="shared" si="520"/>
        <v>288</v>
      </c>
      <c r="AY340" s="261">
        <f t="shared" si="520"/>
        <v>288</v>
      </c>
      <c r="AZ340" s="261">
        <f t="shared" si="520"/>
        <v>288</v>
      </c>
      <c r="BA340" s="293">
        <f t="shared" si="520"/>
        <v>288</v>
      </c>
      <c r="BB340" s="228">
        <f t="shared" si="520"/>
        <v>288</v>
      </c>
      <c r="BC340" s="292">
        <f t="shared" si="520"/>
        <v>288</v>
      </c>
      <c r="BD340" s="261">
        <f t="shared" si="520"/>
        <v>288</v>
      </c>
      <c r="BE340" s="261">
        <f t="shared" si="520"/>
        <v>288</v>
      </c>
      <c r="BF340" s="293">
        <f t="shared" si="520"/>
        <v>288</v>
      </c>
      <c r="BG340" s="228">
        <f>BF340</f>
        <v>288</v>
      </c>
      <c r="BH340" s="292">
        <f>BG340</f>
        <v>288</v>
      </c>
      <c r="BI340" s="261">
        <f t="shared" si="520"/>
        <v>288</v>
      </c>
      <c r="BJ340" s="261">
        <f t="shared" si="520"/>
        <v>288</v>
      </c>
      <c r="BK340" s="293">
        <f t="shared" si="520"/>
        <v>288</v>
      </c>
      <c r="BL340" s="228">
        <f t="shared" si="520"/>
        <v>288</v>
      </c>
      <c r="BM340" s="292">
        <f t="shared" ref="BM340" si="522">BL340</f>
        <v>288</v>
      </c>
      <c r="BN340" s="261">
        <f t="shared" ref="BN340" si="523">BM340</f>
        <v>288</v>
      </c>
      <c r="BO340" s="261">
        <f t="shared" ref="BO340" si="524">BN340</f>
        <v>288</v>
      </c>
      <c r="BP340" s="293">
        <f t="shared" ref="BP340" si="525">BO340</f>
        <v>288</v>
      </c>
      <c r="BQ340" s="228">
        <f t="shared" ref="BQ340" si="526">BP340</f>
        <v>288</v>
      </c>
      <c r="BR340" s="40"/>
      <c r="BS340" s="40"/>
      <c r="BT340" s="40"/>
      <c r="BU340" s="232"/>
      <c r="BV340" s="40"/>
      <c r="BW340" s="40"/>
      <c r="BX340" s="40"/>
      <c r="BY340" s="40"/>
      <c r="BZ340" s="40"/>
      <c r="CA340" s="40"/>
      <c r="CB340" s="40"/>
      <c r="CC340" s="40"/>
      <c r="CD340" s="40"/>
      <c r="CE340" s="40"/>
      <c r="CF340" s="40"/>
      <c r="CG340" s="40"/>
      <c r="CH340" s="40"/>
      <c r="CI340" s="40"/>
      <c r="CJ340" s="40"/>
      <c r="CK340" s="40"/>
      <c r="CL340" s="40"/>
      <c r="CM340" s="40"/>
      <c r="CN340" s="40"/>
      <c r="CO340" s="40"/>
      <c r="CP340" s="40"/>
      <c r="CQ340" s="40"/>
      <c r="CR340" s="40"/>
      <c r="CS340" s="40"/>
      <c r="CT340" s="823"/>
      <c r="CU340" s="232"/>
      <c r="CV340" s="232"/>
      <c r="CW340" s="232"/>
      <c r="CX340" s="232"/>
      <c r="CY340" s="232"/>
      <c r="CZ340" s="40"/>
      <c r="DA340" s="40"/>
      <c r="DB340" s="40"/>
      <c r="DC340" s="40"/>
      <c r="DD340" s="40"/>
      <c r="DE340" s="40"/>
      <c r="DF340" s="232"/>
      <c r="DG340" s="232"/>
      <c r="DH340" s="232"/>
      <c r="DI340" s="232"/>
      <c r="DJ340" s="232"/>
      <c r="DK340" s="232"/>
      <c r="DL340" s="232"/>
      <c r="DM340" s="232"/>
      <c r="DN340" s="232"/>
    </row>
    <row r="341" spans="1:118">
      <c r="A341" s="40"/>
      <c r="B341" s="1"/>
      <c r="C341" s="1"/>
      <c r="D341" s="1"/>
      <c r="E341" s="273"/>
      <c r="F341" s="3"/>
      <c r="G341" s="3"/>
      <c r="H341" s="274"/>
      <c r="I341" s="28"/>
      <c r="J341" s="273"/>
      <c r="K341" s="3"/>
      <c r="L341" s="3"/>
      <c r="M341" s="274"/>
      <c r="N341" s="1"/>
      <c r="O341" s="273"/>
      <c r="P341" s="3"/>
      <c r="Q341" s="3"/>
      <c r="R341" s="274"/>
      <c r="S341" s="1"/>
      <c r="T341" s="273"/>
      <c r="U341" s="3"/>
      <c r="V341" s="3"/>
      <c r="W341" s="274"/>
      <c r="X341" s="1"/>
      <c r="Y341" s="273"/>
      <c r="Z341" s="3"/>
      <c r="AA341" s="3"/>
      <c r="AB341" s="274"/>
      <c r="AC341" s="1"/>
      <c r="AD341" s="273"/>
      <c r="AE341" s="3"/>
      <c r="AF341" s="3"/>
      <c r="AG341" s="274"/>
      <c r="AH341" s="1"/>
      <c r="AI341" s="273"/>
      <c r="AJ341" s="3"/>
      <c r="AK341" s="3"/>
      <c r="AL341" s="274"/>
      <c r="AM341" s="1"/>
      <c r="AN341" s="273"/>
      <c r="AO341" s="3"/>
      <c r="AP341" s="3"/>
      <c r="AQ341" s="274"/>
      <c r="AR341" s="1"/>
      <c r="AS341" s="273"/>
      <c r="AT341" s="3"/>
      <c r="AU341" s="3"/>
      <c r="AV341" s="274"/>
      <c r="AW341" s="1"/>
      <c r="AX341" s="273"/>
      <c r="AY341" s="3"/>
      <c r="AZ341" s="3"/>
      <c r="BA341" s="274"/>
      <c r="BB341" s="1"/>
      <c r="BC341" s="273"/>
      <c r="BD341" s="3"/>
      <c r="BE341" s="3"/>
      <c r="BF341" s="274"/>
      <c r="BG341" s="1"/>
      <c r="BH341" s="273"/>
      <c r="BI341" s="3"/>
      <c r="BJ341" s="3"/>
      <c r="BK341" s="274"/>
      <c r="BL341" s="1"/>
      <c r="BM341" s="273"/>
      <c r="BN341" s="3"/>
      <c r="BO341" s="3"/>
      <c r="BP341" s="274"/>
      <c r="BQ341" s="1"/>
      <c r="BR341" s="40"/>
      <c r="BS341" s="40"/>
      <c r="BT341" s="40"/>
      <c r="BU341" s="232"/>
      <c r="BV341" s="40"/>
      <c r="BW341" s="40"/>
      <c r="BX341" s="40"/>
      <c r="BY341" s="40"/>
      <c r="BZ341" s="40"/>
      <c r="CA341" s="40"/>
      <c r="CB341" s="40"/>
      <c r="CC341" s="40"/>
      <c r="CD341" s="40"/>
      <c r="CE341" s="40"/>
      <c r="CF341" s="40"/>
      <c r="CG341" s="40"/>
      <c r="CH341" s="40"/>
      <c r="CI341" s="40"/>
      <c r="CJ341" s="40"/>
      <c r="CK341" s="40"/>
      <c r="CL341" s="40"/>
      <c r="CM341" s="40"/>
      <c r="CN341" s="40"/>
      <c r="CO341" s="40"/>
      <c r="CP341" s="40"/>
      <c r="CQ341" s="40"/>
      <c r="CR341" s="40"/>
      <c r="CS341" s="40"/>
      <c r="CT341" s="823"/>
      <c r="CU341" s="232"/>
      <c r="CV341" s="232"/>
      <c r="CW341" s="232"/>
      <c r="CX341" s="232"/>
      <c r="CY341" s="232"/>
      <c r="CZ341" s="40"/>
      <c r="DA341" s="40"/>
      <c r="DB341" s="40"/>
      <c r="DC341" s="40"/>
      <c r="DD341" s="40"/>
      <c r="DE341" s="40"/>
      <c r="DF341" s="232"/>
      <c r="DG341" s="232"/>
      <c r="DH341" s="232"/>
      <c r="DI341" s="232"/>
      <c r="DJ341" s="232"/>
      <c r="DK341" s="232"/>
      <c r="DL341" s="232"/>
      <c r="DM341" s="232"/>
      <c r="DN341" s="232"/>
    </row>
    <row r="342" spans="1:118">
      <c r="A342" s="40"/>
      <c r="B342" s="1"/>
      <c r="C342" s="28" t="s">
        <v>197</v>
      </c>
      <c r="D342" s="1"/>
      <c r="E342" s="273"/>
      <c r="F342" s="3"/>
      <c r="G342" s="3"/>
      <c r="H342" s="274"/>
      <c r="I342" s="544">
        <v>0.9</v>
      </c>
      <c r="J342" s="273"/>
      <c r="K342" s="3"/>
      <c r="L342" s="3"/>
      <c r="M342" s="274"/>
      <c r="N342" s="1"/>
      <c r="O342" s="273"/>
      <c r="P342" s="3"/>
      <c r="Q342" s="3"/>
      <c r="R342" s="274"/>
      <c r="S342" s="1"/>
      <c r="T342" s="277"/>
      <c r="U342" s="253"/>
      <c r="V342" s="253"/>
      <c r="W342" s="278"/>
      <c r="X342" s="765"/>
      <c r="Y342" s="277">
        <f>+I342</f>
        <v>0.9</v>
      </c>
      <c r="Z342" s="253">
        <f>+Y342</f>
        <v>0.9</v>
      </c>
      <c r="AA342" s="253">
        <f>+Z342</f>
        <v>0.9</v>
      </c>
      <c r="AB342" s="278">
        <f>+AA342</f>
        <v>0.9</v>
      </c>
      <c r="AC342" s="765">
        <f>IF(AVERAGE(Y340:AB340)=0,0,AC343/(AVERAGE(Y340:AB340)*8.76))</f>
        <v>0.8999999999999998</v>
      </c>
      <c r="AD342" s="277">
        <f>+AB342</f>
        <v>0.9</v>
      </c>
      <c r="AE342" s="253">
        <f>+AD342</f>
        <v>0.9</v>
      </c>
      <c r="AF342" s="253">
        <f>+AA342</f>
        <v>0.9</v>
      </c>
      <c r="AG342" s="278">
        <f>+AB342</f>
        <v>0.9</v>
      </c>
      <c r="AH342" s="765">
        <f>IF(AVERAGE(AD340:AG340)=0,0,AH343/(AVERAGE(AD340:AG340)*8.76))</f>
        <v>0.8999999999999998</v>
      </c>
      <c r="AI342" s="277">
        <f>+AG342</f>
        <v>0.9</v>
      </c>
      <c r="AJ342" s="253">
        <f>+AE342</f>
        <v>0.9</v>
      </c>
      <c r="AK342" s="253">
        <f>+AF342</f>
        <v>0.9</v>
      </c>
      <c r="AL342" s="278">
        <f>+AG342</f>
        <v>0.9</v>
      </c>
      <c r="AM342" s="765">
        <f>IF(AVERAGE(AI340:AL340)=0,0,AM343/(AVERAGE(AI340:AL340)*8.76))</f>
        <v>0.8999999999999998</v>
      </c>
      <c r="AN342" s="277">
        <f>+AL342</f>
        <v>0.9</v>
      </c>
      <c r="AO342" s="253">
        <f>+AJ342</f>
        <v>0.9</v>
      </c>
      <c r="AP342" s="253">
        <f>+AK342</f>
        <v>0.9</v>
      </c>
      <c r="AQ342" s="278">
        <f>+AL342</f>
        <v>0.9</v>
      </c>
      <c r="AR342" s="765">
        <f>IF(AVERAGE(AN340:AQ340)=0,0,AR343/(AVERAGE(AN340:AQ340)*8.76))</f>
        <v>0.8999999999999998</v>
      </c>
      <c r="AS342" s="2061">
        <v>0.95</v>
      </c>
      <c r="AT342" s="2246">
        <v>0.95</v>
      </c>
      <c r="AU342" s="2246">
        <v>0.95</v>
      </c>
      <c r="AV342" s="2247">
        <v>0.95</v>
      </c>
      <c r="AW342" s="765">
        <f>IF(AVERAGE(AS340:AV340)=0,0,AW343/(AVERAGE(AS340:AV340)*8.76))</f>
        <v>0.94999999999999973</v>
      </c>
      <c r="AX342" s="277">
        <f>+AV342</f>
        <v>0.95</v>
      </c>
      <c r="AY342" s="253">
        <f>+AT342</f>
        <v>0.95</v>
      </c>
      <c r="AZ342" s="253">
        <f>+AU342</f>
        <v>0.95</v>
      </c>
      <c r="BA342" s="2247">
        <v>0.75</v>
      </c>
      <c r="BB342" s="765">
        <f>IF(AVERAGE(AX340:BA340)=0,0,BB343/(AVERAGE(AX340:BA340)*8.76))</f>
        <v>0.8999999999999998</v>
      </c>
      <c r="BC342" s="2061">
        <v>0.9</v>
      </c>
      <c r="BD342" s="253">
        <f>BC342</f>
        <v>0.9</v>
      </c>
      <c r="BE342" s="253">
        <f t="shared" ref="BE342:BF342" si="527">BD342</f>
        <v>0.9</v>
      </c>
      <c r="BF342" s="278">
        <f t="shared" si="527"/>
        <v>0.9</v>
      </c>
      <c r="BG342" s="765">
        <f>IF(AVERAGE(BC340:BF340)=0,0,BG343/(AVERAGE(BC340:BF340)*8.76))</f>
        <v>0.8999999999999998</v>
      </c>
      <c r="BH342" s="277">
        <f>+BF342</f>
        <v>0.9</v>
      </c>
      <c r="BI342" s="253">
        <f>+BD342</f>
        <v>0.9</v>
      </c>
      <c r="BJ342" s="253">
        <f>+BE342</f>
        <v>0.9</v>
      </c>
      <c r="BK342" s="278">
        <f>+BF342</f>
        <v>0.9</v>
      </c>
      <c r="BL342" s="765">
        <f>IF(AVERAGE(BH340:BK340)=0,0,BL343/(AVERAGE(BH340:BK340)*8.76))</f>
        <v>0.8999999999999998</v>
      </c>
      <c r="BM342" s="277">
        <f>+BK342</f>
        <v>0.9</v>
      </c>
      <c r="BN342" s="253">
        <f>+BI342</f>
        <v>0.9</v>
      </c>
      <c r="BO342" s="253">
        <f>+BJ342</f>
        <v>0.9</v>
      </c>
      <c r="BP342" s="278">
        <f>+BK342</f>
        <v>0.9</v>
      </c>
      <c r="BQ342" s="765">
        <f>IF(AVERAGE(BM340:BP340)=0,0,BQ343/(AVERAGE(BM340:BP340)*8.76))</f>
        <v>0.8999999999999998</v>
      </c>
      <c r="BR342" s="40"/>
      <c r="BS342" s="40"/>
      <c r="BT342" s="40"/>
      <c r="BU342" s="232"/>
      <c r="BV342" s="40"/>
      <c r="BW342" s="40"/>
      <c r="BX342" s="40"/>
      <c r="BY342" s="40"/>
      <c r="BZ342" s="40"/>
      <c r="CA342" s="40"/>
      <c r="CB342" s="40"/>
      <c r="CC342" s="40"/>
      <c r="CD342" s="40"/>
      <c r="CE342" s="40"/>
      <c r="CF342" s="40"/>
      <c r="CG342" s="40"/>
      <c r="CH342" s="40"/>
      <c r="CI342" s="40"/>
      <c r="CJ342" s="40"/>
      <c r="CK342" s="40"/>
      <c r="CL342" s="40"/>
      <c r="CM342" s="40"/>
      <c r="CN342" s="40"/>
      <c r="CO342" s="40"/>
      <c r="CP342" s="40"/>
      <c r="CQ342" s="40"/>
      <c r="CR342" s="40"/>
      <c r="CS342" s="40"/>
      <c r="CT342" s="823"/>
      <c r="CU342" s="232"/>
      <c r="CV342" s="232"/>
      <c r="CW342" s="232"/>
      <c r="CX342" s="232"/>
      <c r="CY342" s="232"/>
      <c r="CZ342" s="40"/>
      <c r="DA342" s="40"/>
      <c r="DB342" s="40"/>
      <c r="DC342" s="40"/>
      <c r="DD342" s="40"/>
      <c r="DE342" s="40"/>
      <c r="DF342" s="232"/>
      <c r="DG342" s="232"/>
      <c r="DH342" s="232"/>
      <c r="DI342" s="232"/>
      <c r="DJ342" s="232"/>
      <c r="DK342" s="232"/>
      <c r="DL342" s="232"/>
      <c r="DM342" s="232"/>
      <c r="DN342" s="232"/>
    </row>
    <row r="343" spans="1:118">
      <c r="A343" s="40"/>
      <c r="B343" s="1"/>
      <c r="C343" s="32" t="s">
        <v>198</v>
      </c>
      <c r="D343" s="32"/>
      <c r="E343" s="489"/>
      <c r="F343" s="342"/>
      <c r="G343" s="342"/>
      <c r="H343" s="490"/>
      <c r="I343" s="32"/>
      <c r="J343" s="489"/>
      <c r="K343" s="342"/>
      <c r="L343" s="342"/>
      <c r="M343" s="490"/>
      <c r="N343" s="458"/>
      <c r="O343" s="489"/>
      <c r="P343" s="342"/>
      <c r="Q343" s="342"/>
      <c r="R343" s="490"/>
      <c r="S343" s="32"/>
      <c r="T343" s="301"/>
      <c r="U343" s="265"/>
      <c r="V343" s="265"/>
      <c r="W343" s="302"/>
      <c r="X343" s="445"/>
      <c r="Y343" s="301">
        <f>(Y340*Y342*(8760/1000))/4</f>
        <v>567.64799999999991</v>
      </c>
      <c r="Z343" s="265">
        <f>(Z340*Z342*(8760/1000))/4</f>
        <v>567.64799999999991</v>
      </c>
      <c r="AA343" s="265">
        <f>(AA340*AA342*(8760/1000))/4</f>
        <v>567.64799999999991</v>
      </c>
      <c r="AB343" s="302">
        <f>(AB340*AB342*(8760/1000))/4</f>
        <v>567.64799999999991</v>
      </c>
      <c r="AC343" s="445">
        <f>SUM(Y343:AB343)</f>
        <v>2270.5919999999996</v>
      </c>
      <c r="AD343" s="301">
        <f>(AD340*AD342*(8760/1000))/4</f>
        <v>567.64799999999991</v>
      </c>
      <c r="AE343" s="265">
        <f>(AE340*AE342*(8760/1000))/4</f>
        <v>567.64799999999991</v>
      </c>
      <c r="AF343" s="265">
        <f>(AF340*AF342*(8760/1000))/4</f>
        <v>567.64799999999991</v>
      </c>
      <c r="AG343" s="302">
        <f>(AG340*AG342*(8760/1000))/4</f>
        <v>567.64799999999991</v>
      </c>
      <c r="AH343" s="445">
        <f>SUM(AD343:AG343)</f>
        <v>2270.5919999999996</v>
      </c>
      <c r="AI343" s="301">
        <f>(AI340*AI342*(8760/1000))/4</f>
        <v>567.64799999999991</v>
      </c>
      <c r="AJ343" s="265">
        <f>(AJ340*AJ342*(8760/1000))/4</f>
        <v>567.64799999999991</v>
      </c>
      <c r="AK343" s="265">
        <f>(AK340*AK342*(8760/1000))/4</f>
        <v>567.64799999999991</v>
      </c>
      <c r="AL343" s="302">
        <f>(AL340*AL342*(8760/1000))/4</f>
        <v>567.64799999999991</v>
      </c>
      <c r="AM343" s="445">
        <f>SUM(AI343:AL343)</f>
        <v>2270.5919999999996</v>
      </c>
      <c r="AN343" s="301">
        <f>(AN340*AN342*(8760/1000))/4</f>
        <v>567.64799999999991</v>
      </c>
      <c r="AO343" s="265">
        <f>(AO340*AO342*(8760/1000))/4</f>
        <v>567.64799999999991</v>
      </c>
      <c r="AP343" s="265">
        <f>(AP340*AP342*(8760/1000))/4</f>
        <v>567.64799999999991</v>
      </c>
      <c r="AQ343" s="302">
        <f>(AQ340*AQ342*(8760/1000))/4</f>
        <v>567.64799999999991</v>
      </c>
      <c r="AR343" s="445">
        <f>SUM(AN343:AQ343)</f>
        <v>2270.5919999999996</v>
      </c>
      <c r="AS343" s="301">
        <f>(AS340*AS342*(8760/1000))/4</f>
        <v>599.18399999999986</v>
      </c>
      <c r="AT343" s="265">
        <f>(AT340*AT342*(8760/1000))/4</f>
        <v>599.18399999999986</v>
      </c>
      <c r="AU343" s="265">
        <f t="shared" ref="AU343" si="528">(AU340*AU342*(8760/1000))/4</f>
        <v>599.18399999999986</v>
      </c>
      <c r="AV343" s="302">
        <f>(AV340*AV342*(8760/1000))/4</f>
        <v>599.18399999999986</v>
      </c>
      <c r="AW343" s="445">
        <f>SUM(AS343:AV343)</f>
        <v>2396.7359999999994</v>
      </c>
      <c r="AX343" s="301">
        <f>(AX340*AX342*(8760/1000))/4</f>
        <v>599.18399999999986</v>
      </c>
      <c r="AY343" s="265">
        <f>(AY340*AY342*(8760/1000))/4</f>
        <v>599.18399999999986</v>
      </c>
      <c r="AZ343" s="265">
        <f>(AZ340*AZ342*(8760/1000))/4</f>
        <v>599.18399999999986</v>
      </c>
      <c r="BA343" s="302">
        <f>(BA340*BA342*(8760/1000))/4</f>
        <v>473.03999999999996</v>
      </c>
      <c r="BB343" s="445">
        <f>SUM(AX343:BA343)</f>
        <v>2270.5919999999996</v>
      </c>
      <c r="BC343" s="301">
        <f>(BC340*BC342*(8760/1000))/4</f>
        <v>567.64799999999991</v>
      </c>
      <c r="BD343" s="265">
        <f>(BD340*BD342*(8760/1000))/4</f>
        <v>567.64799999999991</v>
      </c>
      <c r="BE343" s="265">
        <f>(BE340*BE342*(8760/1000))/4</f>
        <v>567.64799999999991</v>
      </c>
      <c r="BF343" s="302">
        <f>(BF340*BF342*(8760/1000))/4</f>
        <v>567.64799999999991</v>
      </c>
      <c r="BG343" s="445">
        <f>SUM(BC343:BF343)</f>
        <v>2270.5919999999996</v>
      </c>
      <c r="BH343" s="301">
        <f>(BH340*BH342*(8760/1000))/4</f>
        <v>567.64799999999991</v>
      </c>
      <c r="BI343" s="265">
        <f>(BI340*BI342*(8760/1000))/4</f>
        <v>567.64799999999991</v>
      </c>
      <c r="BJ343" s="265">
        <f>(BJ340*BJ342*(8760/1000))/4</f>
        <v>567.64799999999991</v>
      </c>
      <c r="BK343" s="302">
        <f>(BK340*BK342*(8760/1000))/4</f>
        <v>567.64799999999991</v>
      </c>
      <c r="BL343" s="445">
        <f>SUM(BH343:BK343)</f>
        <v>2270.5919999999996</v>
      </c>
      <c r="BM343" s="301">
        <f>(BM340*BM342*(8760/1000))/4</f>
        <v>567.64799999999991</v>
      </c>
      <c r="BN343" s="265">
        <f>(BN340*BN342*(8760/1000))/4</f>
        <v>567.64799999999991</v>
      </c>
      <c r="BO343" s="265">
        <f>(BO340*BO342*(8760/1000))/4</f>
        <v>567.64799999999991</v>
      </c>
      <c r="BP343" s="302">
        <f>(BP340*BP342*(8760/1000))/4</f>
        <v>567.64799999999991</v>
      </c>
      <c r="BQ343" s="445">
        <f>SUM(BM343:BP343)</f>
        <v>2270.5919999999996</v>
      </c>
      <c r="BR343" s="40"/>
      <c r="BS343" s="40"/>
      <c r="BT343" s="40"/>
      <c r="BU343" s="232"/>
      <c r="BV343" s="40"/>
      <c r="BW343" s="40"/>
      <c r="BX343" s="40"/>
      <c r="BY343" s="40"/>
      <c r="BZ343" s="40"/>
      <c r="CA343" s="40"/>
      <c r="CB343" s="40"/>
      <c r="CC343" s="40"/>
      <c r="CD343" s="40"/>
      <c r="CE343" s="40"/>
      <c r="CF343" s="40"/>
      <c r="CG343" s="40"/>
      <c r="CH343" s="40"/>
      <c r="CI343" s="40"/>
      <c r="CJ343" s="40"/>
      <c r="CK343" s="40"/>
      <c r="CL343" s="40"/>
      <c r="CM343" s="40"/>
      <c r="CN343" s="40"/>
      <c r="CO343" s="40"/>
      <c r="CP343" s="40"/>
      <c r="CQ343" s="40"/>
      <c r="CR343" s="40"/>
      <c r="CS343" s="40"/>
      <c r="CT343" s="823"/>
      <c r="CU343" s="232"/>
      <c r="CV343" s="232"/>
      <c r="CW343" s="232"/>
      <c r="CX343" s="232"/>
      <c r="CY343" s="232"/>
      <c r="CZ343" s="40"/>
      <c r="DA343" s="40"/>
      <c r="DB343" s="40"/>
      <c r="DC343" s="40"/>
      <c r="DD343" s="40"/>
      <c r="DE343" s="40"/>
      <c r="DF343" s="232"/>
      <c r="DG343" s="232"/>
      <c r="DH343" s="232"/>
      <c r="DI343" s="232"/>
      <c r="DJ343" s="232"/>
      <c r="DK343" s="232"/>
      <c r="DL343" s="232"/>
      <c r="DM343" s="232"/>
      <c r="DN343" s="232"/>
    </row>
    <row r="344" spans="1:118">
      <c r="A344" s="40"/>
      <c r="B344" s="1"/>
      <c r="C344" s="1"/>
      <c r="D344" s="1"/>
      <c r="E344" s="273"/>
      <c r="F344" s="3"/>
      <c r="G344" s="3"/>
      <c r="H344" s="274"/>
      <c r="I344" s="28"/>
      <c r="J344" s="273"/>
      <c r="K344" s="3"/>
      <c r="L344" s="3"/>
      <c r="M344" s="274"/>
      <c r="N344" s="1"/>
      <c r="O344" s="273"/>
      <c r="P344" s="3"/>
      <c r="Q344" s="3"/>
      <c r="R344" s="274"/>
      <c r="S344" s="1"/>
      <c r="T344" s="273"/>
      <c r="U344" s="3"/>
      <c r="V344" s="3"/>
      <c r="W344" s="274"/>
      <c r="X344" s="1"/>
      <c r="Y344" s="273"/>
      <c r="Z344" s="3"/>
      <c r="AA344" s="3"/>
      <c r="AB344" s="274"/>
      <c r="AC344" s="1"/>
      <c r="AD344" s="273"/>
      <c r="AE344" s="3"/>
      <c r="AF344" s="3"/>
      <c r="AG344" s="274"/>
      <c r="AH344" s="1"/>
      <c r="AI344" s="273"/>
      <c r="AJ344" s="3"/>
      <c r="AK344" s="3"/>
      <c r="AL344" s="274"/>
      <c r="AM344" s="1"/>
      <c r="AN344" s="273"/>
      <c r="AO344" s="3"/>
      <c r="AP344" s="3"/>
      <c r="AQ344" s="274"/>
      <c r="AR344" s="1"/>
      <c r="AS344" s="273"/>
      <c r="AT344" s="3"/>
      <c r="AU344" s="3"/>
      <c r="AV344" s="274"/>
      <c r="AW344" s="1"/>
      <c r="AX344" s="273"/>
      <c r="AY344" s="3"/>
      <c r="AZ344" s="3"/>
      <c r="BA344" s="274"/>
      <c r="BB344" s="1"/>
      <c r="BC344" s="273"/>
      <c r="BD344" s="3"/>
      <c r="BE344" s="3"/>
      <c r="BF344" s="274"/>
      <c r="BG344" s="1"/>
      <c r="BH344" s="273"/>
      <c r="BI344" s="3"/>
      <c r="BJ344" s="3"/>
      <c r="BK344" s="274"/>
      <c r="BL344" s="1"/>
      <c r="BM344" s="273"/>
      <c r="BN344" s="3"/>
      <c r="BO344" s="3"/>
      <c r="BP344" s="274"/>
      <c r="BQ344" s="1"/>
      <c r="BR344" s="40"/>
      <c r="BS344" s="40"/>
      <c r="BT344" s="40"/>
      <c r="BU344" s="232"/>
      <c r="BV344" s="40"/>
      <c r="BW344" s="40"/>
      <c r="BX344" s="40"/>
      <c r="BY344" s="40"/>
      <c r="BZ344" s="40"/>
      <c r="CA344" s="40"/>
      <c r="CB344" s="40"/>
      <c r="CC344" s="40"/>
      <c r="CD344" s="40"/>
      <c r="CE344" s="40"/>
      <c r="CF344" s="40"/>
      <c r="CG344" s="40"/>
      <c r="CH344" s="40"/>
      <c r="CI344" s="40"/>
      <c r="CJ344" s="40"/>
      <c r="CK344" s="40"/>
      <c r="CL344" s="40"/>
      <c r="CM344" s="40"/>
      <c r="CN344" s="40"/>
      <c r="CO344" s="40"/>
      <c r="CP344" s="40"/>
      <c r="CQ344" s="40"/>
      <c r="CR344" s="40"/>
      <c r="CS344" s="40"/>
      <c r="CT344" s="823"/>
      <c r="CU344" s="232"/>
      <c r="CV344" s="232"/>
      <c r="CW344" s="232"/>
      <c r="CX344" s="232"/>
      <c r="CY344" s="232"/>
      <c r="CZ344" s="40"/>
      <c r="DA344" s="40"/>
      <c r="DB344" s="40"/>
      <c r="DC344" s="40"/>
      <c r="DD344" s="40"/>
      <c r="DE344" s="40"/>
      <c r="DF344" s="232"/>
      <c r="DG344" s="232"/>
      <c r="DH344" s="232"/>
      <c r="DI344" s="232"/>
      <c r="DJ344" s="232"/>
      <c r="DK344" s="232"/>
      <c r="DL344" s="232"/>
      <c r="DM344" s="232"/>
      <c r="DN344" s="232"/>
    </row>
    <row r="345" spans="1:118">
      <c r="A345" s="40"/>
      <c r="B345" s="1"/>
      <c r="C345" s="28" t="s">
        <v>797</v>
      </c>
      <c r="D345" s="1"/>
      <c r="E345" s="273"/>
      <c r="F345" s="3"/>
      <c r="G345" s="3"/>
      <c r="H345" s="274"/>
      <c r="I345" s="28"/>
      <c r="J345" s="273"/>
      <c r="K345" s="3"/>
      <c r="L345" s="3"/>
      <c r="M345" s="274"/>
      <c r="N345" s="1"/>
      <c r="O345" s="273"/>
      <c r="P345" s="3"/>
      <c r="Q345" s="3"/>
      <c r="R345" s="274"/>
      <c r="S345" s="1"/>
      <c r="T345" s="758"/>
      <c r="U345" s="660"/>
      <c r="V345" s="660"/>
      <c r="W345" s="661"/>
      <c r="X345" s="428"/>
      <c r="Y345" s="758">
        <f>(Y337/1000*Y343)</f>
        <v>22.913907665662727</v>
      </c>
      <c r="Z345" s="660">
        <f>(Z337/1000*Z343)</f>
        <v>19.413685176014418</v>
      </c>
      <c r="AA345" s="660">
        <f>(AA337/1000*AA343)</f>
        <v>22.317817631952103</v>
      </c>
      <c r="AB345" s="661">
        <f>(AB337/1000*AB343)</f>
        <v>21.182199175495143</v>
      </c>
      <c r="AC345" s="428">
        <f>SUM(Y345:AB345)</f>
        <v>85.827609649124398</v>
      </c>
      <c r="AD345" s="758">
        <f>(AD337/1000*AD343)</f>
        <v>50.819282541162124</v>
      </c>
      <c r="AE345" s="660">
        <f>(AE337/1000*AE343)</f>
        <v>18.708327312994566</v>
      </c>
      <c r="AF345" s="660">
        <f>(AF337/1000*AF343)</f>
        <v>18.708327312994566</v>
      </c>
      <c r="AG345" s="661">
        <f>(AG337/1000*AG343)</f>
        <v>17.08890715709083</v>
      </c>
      <c r="AH345" s="428">
        <f>SUM(AD345:AG345)</f>
        <v>105.32484432424209</v>
      </c>
      <c r="AI345" s="758">
        <f>(AI337/1000*AI343)</f>
        <v>25.552120581307452</v>
      </c>
      <c r="AJ345" s="660">
        <f>(AJ337/1000*AJ343)</f>
        <v>15.774410920321518</v>
      </c>
      <c r="AK345" s="660">
        <f>(AK337/1000*AK343)</f>
        <v>17.035958192583603</v>
      </c>
      <c r="AL345" s="661">
        <f>(AL337/1000*AL343)</f>
        <v>15.295769107229594</v>
      </c>
      <c r="AM345" s="428">
        <f>SUM(AI345:AL345)</f>
        <v>73.658258801442159</v>
      </c>
      <c r="AN345" s="758">
        <f>(AN337/1000*AN343)</f>
        <v>12.351993573470706</v>
      </c>
      <c r="AO345" s="660">
        <f>(AO337/1000*AO343)</f>
        <v>27.110015999999995</v>
      </c>
      <c r="AP345" s="660">
        <f>(AP337/1000*AP343)</f>
        <v>26.390015999999996</v>
      </c>
      <c r="AQ345" s="661">
        <f>(AQ337/1000*AQ343)</f>
        <v>28.043135999999993</v>
      </c>
      <c r="AR345" s="428">
        <f>SUM(AN345:AQ345)</f>
        <v>93.895161573470688</v>
      </c>
      <c r="AS345" s="758">
        <f>(AS337/1000*AS343)</f>
        <v>30.509567999999991</v>
      </c>
      <c r="AT345" s="660">
        <f>(AT337/1000*AT343)</f>
        <v>24.606793685579916</v>
      </c>
      <c r="AU345" s="660">
        <f t="shared" ref="AU345" si="529">(AU337/1000*AU343)</f>
        <v>25.815086665772512</v>
      </c>
      <c r="AV345" s="661">
        <f>(AV337/1000*AV343)</f>
        <v>31.146419456162153</v>
      </c>
      <c r="AW345" s="428">
        <f>SUM(AS345:AV345)</f>
        <v>112.07786780751456</v>
      </c>
      <c r="AX345" s="758">
        <f>(AX337/1000*AX343)</f>
        <v>31.146419456162153</v>
      </c>
      <c r="AY345" s="660">
        <f>(AY337/1000*AY343)</f>
        <v>31.49710559999999</v>
      </c>
      <c r="AZ345" s="660">
        <f>(AZ337/1000*AZ343)</f>
        <v>29.291609159999989</v>
      </c>
      <c r="BA345" s="661">
        <f>(BA337/1000*BA343)</f>
        <v>24.970796100000005</v>
      </c>
      <c r="BB345" s="428">
        <f>SUM(AX345:BA345)</f>
        <v>116.90593031616214</v>
      </c>
      <c r="BC345" s="758">
        <f>(BC337/1000*BC343)</f>
        <v>39.171967728846795</v>
      </c>
      <c r="BD345" s="660">
        <f>(BD337/1000*BD343)</f>
        <v>29.618951137380371</v>
      </c>
      <c r="BE345" s="660">
        <f>(BE337/1000*BE343)</f>
        <v>27.371436191863431</v>
      </c>
      <c r="BF345" s="661">
        <f>(BF337/1000*BF343)</f>
        <v>25.587104014611953</v>
      </c>
      <c r="BG345" s="428">
        <f>SUM(BC345:BF345)</f>
        <v>121.74945907270256</v>
      </c>
      <c r="BH345" s="758">
        <f>(BH337/1000*BH343)</f>
        <v>39.834234670691956</v>
      </c>
      <c r="BI345" s="660">
        <f>(BI337/1000*BI343)</f>
        <v>29.627874734644646</v>
      </c>
      <c r="BJ345" s="660">
        <f>(BJ337/1000*BJ343)</f>
        <v>27.401430497950603</v>
      </c>
      <c r="BK345" s="661">
        <f>(BK337/1000*BK343)</f>
        <v>25.633345877742762</v>
      </c>
      <c r="BL345" s="428">
        <f>SUM(BH345:BK345)</f>
        <v>122.49688578102996</v>
      </c>
      <c r="BM345" s="758">
        <f>(BM337/1000*BM343)</f>
        <v>28.917975689270854</v>
      </c>
      <c r="BN345" s="660">
        <f>(BN337/1000*BN343)</f>
        <v>28.917975689270854</v>
      </c>
      <c r="BO345" s="660">
        <f>(BO337/1000*BO343)</f>
        <v>28.917975689270854</v>
      </c>
      <c r="BP345" s="661">
        <f>(BP337/1000*BP343)</f>
        <v>28.917975689270854</v>
      </c>
      <c r="BQ345" s="428">
        <f>SUM(BM345:BP345)</f>
        <v>115.67190275708342</v>
      </c>
      <c r="BR345" s="40"/>
      <c r="BS345" s="40"/>
      <c r="BT345" s="40"/>
      <c r="BU345" s="232"/>
      <c r="BV345" s="40"/>
      <c r="BW345" s="40"/>
      <c r="BX345" s="40"/>
      <c r="BY345" s="40"/>
      <c r="BZ345" s="40"/>
      <c r="CA345" s="40"/>
      <c r="CB345" s="40"/>
      <c r="CC345" s="40"/>
      <c r="CD345" s="40"/>
      <c r="CE345" s="40"/>
      <c r="CF345" s="40"/>
      <c r="CG345" s="40"/>
      <c r="CH345" s="40"/>
      <c r="CI345" s="40"/>
      <c r="CJ345" s="40"/>
      <c r="CK345" s="40"/>
      <c r="CL345" s="40"/>
      <c r="CM345" s="40"/>
      <c r="CN345" s="40"/>
      <c r="CO345" s="40"/>
      <c r="CP345" s="40"/>
      <c r="CQ345" s="40"/>
      <c r="CR345" s="40"/>
      <c r="CS345" s="40"/>
      <c r="CT345" s="823"/>
      <c r="CU345" s="232"/>
      <c r="CV345" s="232"/>
      <c r="CW345" s="232"/>
      <c r="CX345" s="232"/>
      <c r="CY345" s="232"/>
      <c r="CZ345" s="40"/>
      <c r="DA345" s="40"/>
      <c r="DB345" s="40"/>
      <c r="DC345" s="40"/>
      <c r="DD345" s="40"/>
      <c r="DE345" s="40"/>
      <c r="DF345" s="232"/>
      <c r="DG345" s="232"/>
      <c r="DH345" s="232"/>
      <c r="DI345" s="232"/>
      <c r="DJ345" s="232"/>
      <c r="DK345" s="232"/>
      <c r="DL345" s="232"/>
      <c r="DM345" s="232"/>
      <c r="DN345" s="232"/>
    </row>
    <row r="346" spans="1:118">
      <c r="A346" s="40"/>
      <c r="B346" s="1"/>
      <c r="C346" s="28" t="s">
        <v>278</v>
      </c>
      <c r="D346" s="1"/>
      <c r="E346" s="273"/>
      <c r="F346" s="3"/>
      <c r="G346" s="3"/>
      <c r="H346" s="274"/>
      <c r="I346" s="28"/>
      <c r="J346" s="273"/>
      <c r="K346" s="3"/>
      <c r="L346" s="3"/>
      <c r="M346" s="274"/>
      <c r="N346" s="1"/>
      <c r="O346" s="273"/>
      <c r="P346" s="3"/>
      <c r="Q346" s="3"/>
      <c r="R346" s="274"/>
      <c r="S346" s="1"/>
      <c r="T346" s="758"/>
      <c r="U346" s="660"/>
      <c r="V346" s="660"/>
      <c r="W346" s="661"/>
      <c r="X346" s="428"/>
      <c r="Y346" s="758">
        <f>Y338/1000*Y343</f>
        <v>4.8250079999999995</v>
      </c>
      <c r="Z346" s="660">
        <f>Z338/1000*Z343</f>
        <v>4.8250079999999995</v>
      </c>
      <c r="AA346" s="660">
        <f>AA338/1000*AA343</f>
        <v>4.8250079999999995</v>
      </c>
      <c r="AB346" s="661">
        <f>AB338/1000*AB343</f>
        <v>4.8250079999999995</v>
      </c>
      <c r="AC346" s="428">
        <f>SUM(Y346:AB346)</f>
        <v>19.300031999999998</v>
      </c>
      <c r="AD346" s="758">
        <f>AD338/1000*AD343</f>
        <v>4.8250079999999995</v>
      </c>
      <c r="AE346" s="660">
        <f>AE338/1000*AE343</f>
        <v>4.2573599999999994</v>
      </c>
      <c r="AF346" s="660">
        <f>AF338/1000*AF343</f>
        <v>4.2573599999999994</v>
      </c>
      <c r="AG346" s="661">
        <f>AG338/1000*AG343</f>
        <v>4.2573599999999994</v>
      </c>
      <c r="AH346" s="428">
        <f>SUM(AD346:AG346)</f>
        <v>17.597087999999996</v>
      </c>
      <c r="AI346" s="758">
        <f>AI338/1000*AI343</f>
        <v>4.3850807999999999</v>
      </c>
      <c r="AJ346" s="660">
        <f>AJ338/1000*AJ343</f>
        <v>4.3850807999999999</v>
      </c>
      <c r="AK346" s="660">
        <f>AK338/1000*AK343</f>
        <v>4.3850807999999999</v>
      </c>
      <c r="AL346" s="661">
        <f>AL338/1000*AL343</f>
        <v>4.3850807999999999</v>
      </c>
      <c r="AM346" s="428">
        <f>SUM(AI346:AL346)</f>
        <v>17.5403232</v>
      </c>
      <c r="AN346" s="758">
        <f>AN338/1000*AN343</f>
        <v>4.5166332239999996</v>
      </c>
      <c r="AO346" s="660">
        <f>AO338/1000*AO343</f>
        <v>4.5166332239999996</v>
      </c>
      <c r="AP346" s="660">
        <f>AP338/1000*AP343</f>
        <v>4.5166332239999996</v>
      </c>
      <c r="AQ346" s="661">
        <f>AQ338/1000*AQ343</f>
        <v>4.5166332239999996</v>
      </c>
      <c r="AR346" s="428">
        <f>SUM(AN346:AQ346)</f>
        <v>18.066532895999998</v>
      </c>
      <c r="AS346" s="758">
        <f>AS338/1000*AS343</f>
        <v>5.0930639999999991</v>
      </c>
      <c r="AT346" s="660">
        <f>AT338/1000*AT343</f>
        <v>5.0930639999999991</v>
      </c>
      <c r="AU346" s="660">
        <f t="shared" ref="AU346" si="530">AU338/1000*AU343</f>
        <v>5.0930639999999991</v>
      </c>
      <c r="AV346" s="661">
        <f>AV338/1000*AV343</f>
        <v>5.0930639999999991</v>
      </c>
      <c r="AW346" s="428">
        <f>SUM(AS346:AV346)</f>
        <v>20.372255999999997</v>
      </c>
      <c r="AX346" s="758">
        <f>AX338/1000*AX343</f>
        <v>4.7934719999999986</v>
      </c>
      <c r="AY346" s="660">
        <f>AY338/1000*AY343</f>
        <v>4.7934719999999986</v>
      </c>
      <c r="AZ346" s="660">
        <f>AZ338/1000*AZ343</f>
        <v>4.7934719999999986</v>
      </c>
      <c r="BA346" s="661">
        <f>BA338/1000*BA343</f>
        <v>3.7843199999999997</v>
      </c>
      <c r="BB346" s="428">
        <f>SUM(AX346:BA346)</f>
        <v>18.164735999999998</v>
      </c>
      <c r="BC346" s="758">
        <f>BC338/1000*BC343</f>
        <v>4.399271999999999</v>
      </c>
      <c r="BD346" s="660">
        <f>BD338/1000*BD343</f>
        <v>4.399271999999999</v>
      </c>
      <c r="BE346" s="660">
        <f>BE338/1000*BE343</f>
        <v>4.399271999999999</v>
      </c>
      <c r="BF346" s="661">
        <f>BF338/1000*BF343</f>
        <v>4.399271999999999</v>
      </c>
      <c r="BG346" s="428">
        <f>SUM(BC346:BF346)</f>
        <v>17.597087999999996</v>
      </c>
      <c r="BH346" s="758">
        <f>BH338/1000*BH343</f>
        <v>4.1154479999999998</v>
      </c>
      <c r="BI346" s="660">
        <f>BI338/1000*BI343</f>
        <v>4.1154479999999998</v>
      </c>
      <c r="BJ346" s="660">
        <f>BJ338/1000*BJ343</f>
        <v>4.1154479999999998</v>
      </c>
      <c r="BK346" s="661">
        <f>BK338/1000*BK343</f>
        <v>4.1154479999999998</v>
      </c>
      <c r="BL346" s="428">
        <f>SUM(BH346:BK346)</f>
        <v>16.461791999999999</v>
      </c>
      <c r="BM346" s="758">
        <f>BM338/1000*BM343</f>
        <v>4.1154479999999998</v>
      </c>
      <c r="BN346" s="660">
        <f>BN338/1000*BN343</f>
        <v>4.1154479999999998</v>
      </c>
      <c r="BO346" s="660">
        <f>BO338/1000*BO343</f>
        <v>4.1154479999999998</v>
      </c>
      <c r="BP346" s="661">
        <f>BP338/1000*BP343</f>
        <v>4.1154479999999998</v>
      </c>
      <c r="BQ346" s="428">
        <f>SUM(BM346:BP346)</f>
        <v>16.461791999999999</v>
      </c>
      <c r="BR346" s="40"/>
      <c r="BS346" s="40"/>
      <c r="BT346" s="40"/>
      <c r="BU346" s="232"/>
      <c r="BV346" s="40"/>
      <c r="BW346" s="40"/>
      <c r="BX346" s="40"/>
      <c r="BY346" s="40"/>
      <c r="BZ346" s="40"/>
      <c r="CA346" s="40"/>
      <c r="CB346" s="40"/>
      <c r="CC346" s="40"/>
      <c r="CD346" s="40"/>
      <c r="CE346" s="40"/>
      <c r="CF346" s="40"/>
      <c r="CG346" s="40"/>
      <c r="CH346" s="40"/>
      <c r="CI346" s="40"/>
      <c r="CJ346" s="40"/>
      <c r="CK346" s="40"/>
      <c r="CL346" s="40"/>
      <c r="CM346" s="40"/>
      <c r="CN346" s="40"/>
      <c r="CO346" s="40"/>
      <c r="CP346" s="40"/>
      <c r="CQ346" s="40"/>
      <c r="CR346" s="40"/>
      <c r="CS346" s="40"/>
      <c r="CT346" s="823"/>
      <c r="CU346" s="232"/>
      <c r="CV346" s="232"/>
      <c r="CW346" s="232"/>
      <c r="CX346" s="232"/>
      <c r="CY346" s="232"/>
      <c r="CZ346" s="40"/>
      <c r="DA346" s="40"/>
      <c r="DB346" s="40"/>
      <c r="DC346" s="40"/>
      <c r="DD346" s="40"/>
      <c r="DE346" s="40"/>
      <c r="DF346" s="232"/>
      <c r="DG346" s="232"/>
      <c r="DH346" s="232"/>
      <c r="DI346" s="232"/>
      <c r="DJ346" s="232"/>
      <c r="DK346" s="232"/>
      <c r="DL346" s="232"/>
      <c r="DM346" s="232"/>
      <c r="DN346" s="232"/>
    </row>
    <row r="347" spans="1:118">
      <c r="A347" s="40"/>
      <c r="B347" s="1"/>
      <c r="C347" s="32" t="s">
        <v>199</v>
      </c>
      <c r="D347" s="32"/>
      <c r="E347" s="489"/>
      <c r="F347" s="342"/>
      <c r="G347" s="342"/>
      <c r="H347" s="490"/>
      <c r="I347" s="28"/>
      <c r="J347" s="489"/>
      <c r="K347" s="342"/>
      <c r="L347" s="342"/>
      <c r="M347" s="490"/>
      <c r="N347" s="32"/>
      <c r="O347" s="489"/>
      <c r="P347" s="342"/>
      <c r="Q347" s="342"/>
      <c r="R347" s="490"/>
      <c r="S347" s="32"/>
      <c r="T347" s="292"/>
      <c r="U347" s="261"/>
      <c r="V347" s="261"/>
      <c r="W347" s="293"/>
      <c r="X347" s="228"/>
      <c r="Y347" s="292">
        <f t="shared" ref="Y347:BL347" si="531">Y345-Y346</f>
        <v>18.088899665662726</v>
      </c>
      <c r="Z347" s="261">
        <f t="shared" si="531"/>
        <v>14.588677176014418</v>
      </c>
      <c r="AA347" s="261">
        <f t="shared" si="531"/>
        <v>17.492809631952102</v>
      </c>
      <c r="AB347" s="293">
        <f t="shared" si="531"/>
        <v>16.357191175495142</v>
      </c>
      <c r="AC347" s="228">
        <f t="shared" si="531"/>
        <v>66.527577649124396</v>
      </c>
      <c r="AD347" s="292">
        <f t="shared" si="531"/>
        <v>45.994274541162127</v>
      </c>
      <c r="AE347" s="261">
        <f t="shared" si="531"/>
        <v>14.450967312994567</v>
      </c>
      <c r="AF347" s="261">
        <f t="shared" si="531"/>
        <v>14.450967312994567</v>
      </c>
      <c r="AG347" s="293">
        <f t="shared" si="531"/>
        <v>12.831547157090831</v>
      </c>
      <c r="AH347" s="228">
        <f t="shared" si="531"/>
        <v>87.727756324242094</v>
      </c>
      <c r="AI347" s="292">
        <f t="shared" si="531"/>
        <v>21.167039781307452</v>
      </c>
      <c r="AJ347" s="261">
        <f t="shared" si="531"/>
        <v>11.389330120321517</v>
      </c>
      <c r="AK347" s="261">
        <f t="shared" si="531"/>
        <v>12.650877392583602</v>
      </c>
      <c r="AL347" s="293">
        <f t="shared" si="531"/>
        <v>10.910688307229595</v>
      </c>
      <c r="AM347" s="228">
        <f t="shared" si="531"/>
        <v>56.117935601442156</v>
      </c>
      <c r="AN347" s="292">
        <f t="shared" si="531"/>
        <v>7.8353603494707063</v>
      </c>
      <c r="AO347" s="261">
        <f t="shared" si="531"/>
        <v>22.593382775999995</v>
      </c>
      <c r="AP347" s="261">
        <f t="shared" si="531"/>
        <v>21.873382775999996</v>
      </c>
      <c r="AQ347" s="293">
        <f t="shared" si="531"/>
        <v>23.526502775999994</v>
      </c>
      <c r="AR347" s="228">
        <f t="shared" si="531"/>
        <v>75.828628677470689</v>
      </c>
      <c r="AS347" s="292">
        <f t="shared" si="531"/>
        <v>25.416503999999993</v>
      </c>
      <c r="AT347" s="261">
        <f t="shared" si="531"/>
        <v>19.513729685579918</v>
      </c>
      <c r="AU347" s="261">
        <f t="shared" ref="AU347" si="532">AU345-AU346</f>
        <v>20.722022665772514</v>
      </c>
      <c r="AV347" s="293">
        <f t="shared" si="531"/>
        <v>26.053355456162155</v>
      </c>
      <c r="AW347" s="228">
        <f t="shared" si="531"/>
        <v>91.705611807514572</v>
      </c>
      <c r="AX347" s="292">
        <f t="shared" si="531"/>
        <v>26.352947456162156</v>
      </c>
      <c r="AY347" s="261">
        <f t="shared" si="531"/>
        <v>26.703633599999993</v>
      </c>
      <c r="AZ347" s="261">
        <f t="shared" si="531"/>
        <v>24.498137159999992</v>
      </c>
      <c r="BA347" s="293">
        <f t="shared" si="531"/>
        <v>21.186476100000004</v>
      </c>
      <c r="BB347" s="228">
        <f t="shared" si="531"/>
        <v>98.741194316162137</v>
      </c>
      <c r="BC347" s="292">
        <f t="shared" si="531"/>
        <v>34.772695728846799</v>
      </c>
      <c r="BD347" s="261">
        <f t="shared" si="531"/>
        <v>25.219679137380371</v>
      </c>
      <c r="BE347" s="261">
        <f t="shared" si="531"/>
        <v>22.972164191863431</v>
      </c>
      <c r="BF347" s="293">
        <f t="shared" si="531"/>
        <v>21.187832014611953</v>
      </c>
      <c r="BG347" s="228">
        <f t="shared" si="531"/>
        <v>104.15237107270256</v>
      </c>
      <c r="BH347" s="292">
        <f t="shared" si="531"/>
        <v>35.718786670691955</v>
      </c>
      <c r="BI347" s="261">
        <f t="shared" si="531"/>
        <v>25.512426734644645</v>
      </c>
      <c r="BJ347" s="261">
        <f t="shared" si="531"/>
        <v>23.285982497950602</v>
      </c>
      <c r="BK347" s="293">
        <f t="shared" si="531"/>
        <v>21.517897877742762</v>
      </c>
      <c r="BL347" s="228">
        <f t="shared" si="531"/>
        <v>106.03509378102996</v>
      </c>
      <c r="BM347" s="292">
        <f t="shared" ref="BM347:BQ347" si="533">BM345-BM346</f>
        <v>24.802527689270853</v>
      </c>
      <c r="BN347" s="261">
        <f t="shared" si="533"/>
        <v>24.802527689270853</v>
      </c>
      <c r="BO347" s="261">
        <f t="shared" si="533"/>
        <v>24.802527689270853</v>
      </c>
      <c r="BP347" s="293">
        <f t="shared" si="533"/>
        <v>24.802527689270853</v>
      </c>
      <c r="BQ347" s="228">
        <f t="shared" si="533"/>
        <v>99.210110757083413</v>
      </c>
      <c r="BR347" s="40"/>
      <c r="BS347" s="40"/>
      <c r="BT347" s="40"/>
      <c r="BU347" s="232"/>
      <c r="BV347" s="40"/>
      <c r="BW347" s="40"/>
      <c r="BX347" s="40"/>
      <c r="BY347" s="40"/>
      <c r="BZ347" s="40"/>
      <c r="CA347" s="40"/>
      <c r="CB347" s="40"/>
      <c r="CC347" s="40"/>
      <c r="CD347" s="40"/>
      <c r="CE347" s="40"/>
      <c r="CF347" s="40"/>
      <c r="CG347" s="40"/>
      <c r="CH347" s="40"/>
      <c r="CI347" s="40"/>
      <c r="CJ347" s="40"/>
      <c r="CK347" s="40"/>
      <c r="CL347" s="40"/>
      <c r="CM347" s="40"/>
      <c r="CN347" s="40"/>
      <c r="CO347" s="40"/>
      <c r="CP347" s="40"/>
      <c r="CQ347" s="40"/>
      <c r="CR347" s="40"/>
      <c r="CS347" s="40"/>
      <c r="CT347" s="823"/>
      <c r="CU347" s="232"/>
      <c r="CV347" s="232"/>
      <c r="CW347" s="232"/>
      <c r="CX347" s="232"/>
      <c r="CY347" s="232"/>
      <c r="CZ347" s="40"/>
      <c r="DA347" s="40"/>
      <c r="DB347" s="40"/>
      <c r="DC347" s="40"/>
      <c r="DD347" s="40"/>
      <c r="DE347" s="40"/>
      <c r="DF347" s="232"/>
      <c r="DG347" s="232"/>
      <c r="DH347" s="232"/>
      <c r="DI347" s="232"/>
      <c r="DJ347" s="232"/>
      <c r="DK347" s="232"/>
      <c r="DL347" s="232"/>
      <c r="DM347" s="232"/>
      <c r="DN347" s="232"/>
    </row>
    <row r="348" spans="1:118">
      <c r="A348" s="40"/>
      <c r="B348" s="1"/>
      <c r="C348" s="1"/>
      <c r="D348" s="1"/>
      <c r="E348" s="273"/>
      <c r="F348" s="3"/>
      <c r="G348" s="3"/>
      <c r="H348" s="274"/>
      <c r="I348" s="28"/>
      <c r="J348" s="273"/>
      <c r="K348" s="3"/>
      <c r="L348" s="3"/>
      <c r="M348" s="274"/>
      <c r="N348" s="1"/>
      <c r="O348" s="273"/>
      <c r="P348" s="3"/>
      <c r="Q348" s="3"/>
      <c r="R348" s="274"/>
      <c r="S348" s="1"/>
      <c r="T348" s="273"/>
      <c r="U348" s="3"/>
      <c r="V348" s="3"/>
      <c r="W348" s="274"/>
      <c r="X348" s="1"/>
      <c r="Y348" s="273"/>
      <c r="Z348" s="3"/>
      <c r="AA348" s="3"/>
      <c r="AB348" s="274"/>
      <c r="AC348" s="1"/>
      <c r="AD348" s="273"/>
      <c r="AE348" s="3"/>
      <c r="AF348" s="3"/>
      <c r="AG348" s="274"/>
      <c r="AH348" s="1"/>
      <c r="AI348" s="273"/>
      <c r="AJ348" s="3"/>
      <c r="AK348" s="3"/>
      <c r="AL348" s="274"/>
      <c r="AM348" s="1"/>
      <c r="AN348" s="273"/>
      <c r="AO348" s="3"/>
      <c r="AP348" s="3"/>
      <c r="AQ348" s="274"/>
      <c r="AR348" s="1"/>
      <c r="AS348" s="273"/>
      <c r="AT348" s="3"/>
      <c r="AU348" s="3"/>
      <c r="AV348" s="274"/>
      <c r="AW348" s="1"/>
      <c r="AX348" s="273"/>
      <c r="AY348" s="3"/>
      <c r="AZ348" s="3"/>
      <c r="BA348" s="274"/>
      <c r="BB348" s="1"/>
      <c r="BC348" s="273"/>
      <c r="BD348" s="3"/>
      <c r="BE348" s="3"/>
      <c r="BF348" s="274"/>
      <c r="BG348" s="1"/>
      <c r="BH348" s="273"/>
      <c r="BI348" s="3"/>
      <c r="BJ348" s="3"/>
      <c r="BK348" s="274"/>
      <c r="BL348" s="1"/>
      <c r="BM348" s="273"/>
      <c r="BN348" s="3"/>
      <c r="BO348" s="3"/>
      <c r="BP348" s="274"/>
      <c r="BQ348" s="1"/>
      <c r="BR348" s="40"/>
      <c r="BS348" s="40"/>
      <c r="BT348" s="40"/>
      <c r="BU348" s="232"/>
      <c r="BV348" s="40"/>
      <c r="BW348" s="40"/>
      <c r="BX348" s="40"/>
      <c r="BY348" s="40"/>
      <c r="BZ348" s="40"/>
      <c r="CA348" s="40"/>
      <c r="CB348" s="40"/>
      <c r="CC348" s="40"/>
      <c r="CD348" s="40"/>
      <c r="CE348" s="40"/>
      <c r="CF348" s="40"/>
      <c r="CG348" s="40"/>
      <c r="CH348" s="40"/>
      <c r="CI348" s="40"/>
      <c r="CJ348" s="40"/>
      <c r="CK348" s="40"/>
      <c r="CL348" s="40"/>
      <c r="CM348" s="40"/>
      <c r="CN348" s="40"/>
      <c r="CO348" s="40"/>
      <c r="CP348" s="40"/>
      <c r="CQ348" s="40"/>
      <c r="CR348" s="40"/>
      <c r="CS348" s="40"/>
      <c r="CT348" s="823"/>
      <c r="CU348" s="232"/>
      <c r="CV348" s="232"/>
      <c r="CW348" s="232"/>
      <c r="CX348" s="232"/>
      <c r="CY348" s="232"/>
      <c r="CZ348" s="40"/>
      <c r="DA348" s="40"/>
      <c r="DB348" s="40"/>
      <c r="DC348" s="40"/>
      <c r="DD348" s="40"/>
      <c r="DE348" s="40"/>
      <c r="DF348" s="232"/>
      <c r="DG348" s="232"/>
      <c r="DH348" s="232"/>
      <c r="DI348" s="232"/>
      <c r="DJ348" s="232"/>
      <c r="DK348" s="232"/>
      <c r="DL348" s="232"/>
      <c r="DM348" s="232"/>
      <c r="DN348" s="232"/>
    </row>
    <row r="349" spans="1:118">
      <c r="A349" s="40"/>
      <c r="B349" s="1"/>
      <c r="C349" s="429" t="s">
        <v>1433</v>
      </c>
      <c r="D349" s="1"/>
      <c r="E349" s="273"/>
      <c r="F349" s="3"/>
      <c r="G349" s="3"/>
      <c r="H349" s="274"/>
      <c r="I349" s="28"/>
      <c r="J349" s="273"/>
      <c r="K349" s="3"/>
      <c r="L349" s="3"/>
      <c r="M349" s="274"/>
      <c r="N349" s="1"/>
      <c r="O349" s="273"/>
      <c r="P349" s="3"/>
      <c r="Q349" s="3"/>
      <c r="R349" s="274"/>
      <c r="S349" s="1"/>
      <c r="T349" s="273"/>
      <c r="U349" s="3"/>
      <c r="V349" s="3"/>
      <c r="W349" s="274"/>
      <c r="X349" s="1"/>
      <c r="Y349" s="273"/>
      <c r="Z349" s="3"/>
      <c r="AA349" s="3"/>
      <c r="AB349" s="274"/>
      <c r="AC349" s="1"/>
      <c r="AD349" s="273"/>
      <c r="AE349" s="3"/>
      <c r="AF349" s="3"/>
      <c r="AG349" s="274"/>
      <c r="AH349" s="1"/>
      <c r="AI349" s="273"/>
      <c r="AJ349" s="3"/>
      <c r="AK349" s="3"/>
      <c r="AL349" s="274"/>
      <c r="AM349" s="1"/>
      <c r="AN349" s="273"/>
      <c r="AO349" s="3"/>
      <c r="AP349" s="3"/>
      <c r="AQ349" s="274"/>
      <c r="AR349" s="1"/>
      <c r="AS349" s="273"/>
      <c r="AT349" s="3"/>
      <c r="AU349" s="3"/>
      <c r="AV349" s="274"/>
      <c r="AW349" s="1"/>
      <c r="AX349" s="273"/>
      <c r="AY349" s="3"/>
      <c r="AZ349" s="3"/>
      <c r="BA349" s="274"/>
      <c r="BB349" s="1"/>
      <c r="BC349" s="273"/>
      <c r="BD349" s="3"/>
      <c r="BE349" s="3"/>
      <c r="BF349" s="274"/>
      <c r="BG349" s="1"/>
      <c r="BH349" s="273"/>
      <c r="BI349" s="3"/>
      <c r="BJ349" s="3"/>
      <c r="BK349" s="274"/>
      <c r="BL349" s="1"/>
      <c r="BM349" s="273"/>
      <c r="BN349" s="3"/>
      <c r="BO349" s="3"/>
      <c r="BP349" s="274"/>
      <c r="BQ349" s="1"/>
      <c r="BR349" s="40"/>
      <c r="BS349" s="40"/>
      <c r="BT349" s="40"/>
      <c r="BU349" s="232"/>
      <c r="BV349" s="40"/>
      <c r="BW349" s="40"/>
      <c r="BX349" s="40"/>
      <c r="BY349" s="40"/>
      <c r="BZ349" s="40"/>
      <c r="CA349" s="40"/>
      <c r="CB349" s="40"/>
      <c r="CC349" s="40"/>
      <c r="CD349" s="40"/>
      <c r="CE349" s="40"/>
      <c r="CF349" s="40"/>
      <c r="CG349" s="40"/>
      <c r="CH349" s="40"/>
      <c r="CI349" s="40"/>
      <c r="CJ349" s="40"/>
      <c r="CK349" s="40"/>
      <c r="CL349" s="40"/>
      <c r="CM349" s="40"/>
      <c r="CN349" s="40"/>
      <c r="CO349" s="40"/>
      <c r="CP349" s="40"/>
      <c r="CQ349" s="40"/>
      <c r="CR349" s="40"/>
      <c r="CS349" s="40"/>
      <c r="CT349" s="823"/>
      <c r="CU349" s="232"/>
      <c r="CV349" s="232"/>
      <c r="CW349" s="232"/>
      <c r="CX349" s="232"/>
      <c r="CY349" s="232"/>
      <c r="CZ349" s="40"/>
      <c r="DA349" s="40"/>
      <c r="DB349" s="40"/>
      <c r="DC349" s="40"/>
      <c r="DD349" s="40"/>
      <c r="DE349" s="40"/>
      <c r="DF349" s="232"/>
      <c r="DG349" s="232"/>
      <c r="DH349" s="232"/>
      <c r="DI349" s="232"/>
      <c r="DJ349" s="232"/>
      <c r="DK349" s="232"/>
      <c r="DL349" s="232"/>
      <c r="DM349" s="232"/>
      <c r="DN349" s="232"/>
    </row>
    <row r="350" spans="1:118">
      <c r="A350" s="40"/>
      <c r="B350" s="1"/>
      <c r="C350" s="28" t="s">
        <v>194</v>
      </c>
      <c r="D350" s="1"/>
      <c r="E350" s="273"/>
      <c r="F350" s="3"/>
      <c r="G350" s="3"/>
      <c r="H350" s="274"/>
      <c r="I350" s="28"/>
      <c r="J350" s="273"/>
      <c r="K350" s="3"/>
      <c r="L350" s="3"/>
      <c r="M350" s="274"/>
      <c r="N350" s="1"/>
      <c r="O350" s="273"/>
      <c r="P350" s="3"/>
      <c r="Q350" s="3"/>
      <c r="R350" s="274"/>
      <c r="S350" s="1"/>
      <c r="T350" s="436"/>
      <c r="U350" s="437"/>
      <c r="V350" s="437"/>
      <c r="W350" s="438"/>
      <c r="X350" s="439"/>
      <c r="Y350" s="436">
        <f t="shared" ref="Y350:AK350" si="534">Y$71</f>
        <v>40.36640253407522</v>
      </c>
      <c r="Z350" s="437">
        <f t="shared" si="534"/>
        <v>34.200217698317303</v>
      </c>
      <c r="AA350" s="437">
        <f t="shared" si="534"/>
        <v>39.316297480044156</v>
      </c>
      <c r="AB350" s="438">
        <f t="shared" si="534"/>
        <v>37.315729422978933</v>
      </c>
      <c r="AC350" s="439">
        <f t="shared" si="534"/>
        <v>37.799661783853907</v>
      </c>
      <c r="AD350" s="436">
        <f t="shared" si="534"/>
        <v>89.526048785800583</v>
      </c>
      <c r="AE350" s="437">
        <f t="shared" si="534"/>
        <v>32.957620414402179</v>
      </c>
      <c r="AF350" s="437">
        <f t="shared" si="534"/>
        <v>32.957620414402179</v>
      </c>
      <c r="AG350" s="438">
        <f t="shared" si="534"/>
        <v>30.104760621178674</v>
      </c>
      <c r="AH350" s="439">
        <f t="shared" si="534"/>
        <v>46.386512558945903</v>
      </c>
      <c r="AI350" s="436">
        <f t="shared" si="534"/>
        <v>45.014023798740517</v>
      </c>
      <c r="AJ350" s="437">
        <f t="shared" si="534"/>
        <v>27.789071608323329</v>
      </c>
      <c r="AK350" s="437">
        <f t="shared" si="534"/>
        <v>30.011482807274241</v>
      </c>
      <c r="AL350" s="438">
        <f>AL$71+3</f>
        <v>26.945869812330169</v>
      </c>
      <c r="AM350" s="439">
        <f>AM$71+3</f>
        <v>34.690112006667064</v>
      </c>
      <c r="AN350" s="2135">
        <f t="shared" ref="AN350:AS350" si="535">AN$71</f>
        <v>21.759952599975172</v>
      </c>
      <c r="AO350" s="2145">
        <f t="shared" si="535"/>
        <v>25.178024601862976</v>
      </c>
      <c r="AP350" s="2145">
        <f t="shared" si="535"/>
        <v>32.017123460852581</v>
      </c>
      <c r="AQ350" s="2146">
        <f t="shared" si="535"/>
        <v>22.031463514061425</v>
      </c>
      <c r="AR350" s="439">
        <f t="shared" si="535"/>
        <v>25.246641044188038</v>
      </c>
      <c r="AS350" s="436">
        <f t="shared" si="535"/>
        <v>23.310153968523558</v>
      </c>
      <c r="AT350" s="437">
        <f t="shared" ref="AT350:BC350" si="536">AT$71+17.48</f>
        <v>41.067174166165856</v>
      </c>
      <c r="AU350" s="437">
        <f t="shared" si="536"/>
        <v>43.083738327079026</v>
      </c>
      <c r="AV350" s="2101">
        <f t="shared" si="536"/>
        <v>51.981393789156854</v>
      </c>
      <c r="AW350" s="2144">
        <f t="shared" si="536"/>
        <v>44.230615062731317</v>
      </c>
      <c r="AX350" s="2143">
        <f t="shared" si="536"/>
        <v>51.981393789156854</v>
      </c>
      <c r="AY350" s="2089">
        <f t="shared" si="536"/>
        <v>52.566666666666663</v>
      </c>
      <c r="AZ350" s="2089">
        <f t="shared" si="536"/>
        <v>48.885833333333331</v>
      </c>
      <c r="BA350" s="2101">
        <f t="shared" si="536"/>
        <v>52.787916666666675</v>
      </c>
      <c r="BB350" s="2144">
        <f t="shared" si="536"/>
        <v>51.555452613955879</v>
      </c>
      <c r="BC350" s="2143">
        <f t="shared" si="536"/>
        <v>69.007497126470625</v>
      </c>
      <c r="BD350" s="2089">
        <f>BD$71+$CF$367</f>
        <v>52.178376630201072</v>
      </c>
      <c r="BE350" s="2089">
        <f>BE$71+$CF$367</f>
        <v>48.219030441159724</v>
      </c>
      <c r="BF350" s="2101">
        <f>BF$71+$CF$367</f>
        <v>45.075652542794046</v>
      </c>
      <c r="BG350" s="2144">
        <f>BG$71+$CF$367</f>
        <v>53.949316205214316</v>
      </c>
      <c r="BH350" s="2143">
        <f t="shared" ref="BH350:BQ350" si="537">BH$71+$CF$368</f>
        <v>70.174183068894735</v>
      </c>
      <c r="BI350" s="2089">
        <f t="shared" si="537"/>
        <v>52.194096930923124</v>
      </c>
      <c r="BJ350" s="2089">
        <f t="shared" si="537"/>
        <v>48.271870063755372</v>
      </c>
      <c r="BK350" s="2101">
        <f t="shared" si="537"/>
        <v>45.157114757284035</v>
      </c>
      <c r="BL350" s="2144">
        <f t="shared" si="537"/>
        <v>53.949316205214316</v>
      </c>
      <c r="BM350" s="2143">
        <f t="shared" si="537"/>
        <v>50.943499649907793</v>
      </c>
      <c r="BN350" s="2089">
        <f t="shared" si="537"/>
        <v>50.943499649907793</v>
      </c>
      <c r="BO350" s="2089">
        <f t="shared" si="537"/>
        <v>50.943499649907793</v>
      </c>
      <c r="BP350" s="2101">
        <f t="shared" si="537"/>
        <v>50.943499649907793</v>
      </c>
      <c r="BQ350" s="2144">
        <f t="shared" si="537"/>
        <v>50.943499649907793</v>
      </c>
      <c r="BR350" s="40"/>
      <c r="BS350" s="40"/>
      <c r="BT350" s="40"/>
      <c r="BU350" s="232"/>
      <c r="BV350" s="40"/>
      <c r="BW350" s="40"/>
      <c r="BX350" s="40"/>
      <c r="BY350" s="40"/>
      <c r="BZ350" s="40"/>
      <c r="CA350" s="40"/>
      <c r="CB350" s="40"/>
      <c r="CC350" s="40"/>
      <c r="CD350" s="40"/>
      <c r="CE350" s="40"/>
      <c r="CF350" s="40"/>
      <c r="CG350" s="40"/>
      <c r="CH350" s="40"/>
      <c r="CI350" s="40"/>
      <c r="CJ350" s="40"/>
      <c r="CK350" s="40"/>
      <c r="CL350" s="40"/>
      <c r="CM350" s="40"/>
      <c r="CN350" s="40"/>
      <c r="CO350" s="40"/>
      <c r="CP350" s="40"/>
      <c r="CQ350" s="40"/>
      <c r="CR350" s="40"/>
      <c r="CS350" s="40"/>
      <c r="CT350" s="823"/>
      <c r="CU350" s="232"/>
      <c r="CV350" s="232"/>
      <c r="CW350" s="232"/>
      <c r="CX350" s="232"/>
      <c r="CY350" s="232"/>
      <c r="CZ350" s="40"/>
      <c r="DA350" s="40"/>
      <c r="DB350" s="40"/>
      <c r="DC350" s="40"/>
      <c r="DD350" s="40"/>
      <c r="DE350" s="40"/>
      <c r="DF350" s="232"/>
      <c r="DG350" s="232"/>
      <c r="DH350" s="232"/>
      <c r="DI350" s="232"/>
      <c r="DJ350" s="232"/>
      <c r="DK350" s="232"/>
      <c r="DL350" s="232"/>
      <c r="DM350" s="232"/>
      <c r="DN350" s="232"/>
    </row>
    <row r="351" spans="1:118">
      <c r="A351" s="40"/>
      <c r="B351" s="1"/>
      <c r="C351" s="28" t="s">
        <v>195</v>
      </c>
      <c r="D351" s="1"/>
      <c r="E351" s="273"/>
      <c r="F351" s="3"/>
      <c r="G351" s="3"/>
      <c r="H351" s="274"/>
      <c r="I351" s="28"/>
      <c r="J351" s="273"/>
      <c r="K351" s="3"/>
      <c r="L351" s="3"/>
      <c r="M351" s="274"/>
      <c r="N351" s="1"/>
      <c r="O351" s="273"/>
      <c r="P351" s="3"/>
      <c r="Q351" s="3"/>
      <c r="R351" s="274"/>
      <c r="S351" s="1"/>
      <c r="T351" s="436"/>
      <c r="U351" s="437"/>
      <c r="V351" s="437"/>
      <c r="W351" s="438"/>
      <c r="X351" s="439"/>
      <c r="Y351" s="436">
        <f t="shared" ref="Y351:BQ351" si="538">+Y$273</f>
        <v>8.5</v>
      </c>
      <c r="Z351" s="437">
        <f t="shared" si="538"/>
        <v>8.5</v>
      </c>
      <c r="AA351" s="437">
        <f t="shared" si="538"/>
        <v>8.5</v>
      </c>
      <c r="AB351" s="438">
        <f t="shared" si="538"/>
        <v>8.5</v>
      </c>
      <c r="AC351" s="439">
        <f t="shared" si="538"/>
        <v>8.5</v>
      </c>
      <c r="AD351" s="436">
        <f t="shared" si="538"/>
        <v>8.5</v>
      </c>
      <c r="AE351" s="437">
        <f t="shared" si="538"/>
        <v>7.5</v>
      </c>
      <c r="AF351" s="437">
        <f t="shared" si="538"/>
        <v>7.5</v>
      </c>
      <c r="AG351" s="438">
        <f t="shared" si="538"/>
        <v>7.5</v>
      </c>
      <c r="AH351" s="439">
        <f t="shared" si="538"/>
        <v>7.5</v>
      </c>
      <c r="AI351" s="436">
        <f t="shared" si="538"/>
        <v>7.7250000000000005</v>
      </c>
      <c r="AJ351" s="437">
        <f t="shared" si="538"/>
        <v>7.7250000000000005</v>
      </c>
      <c r="AK351" s="437">
        <f t="shared" si="538"/>
        <v>7.7250000000000005</v>
      </c>
      <c r="AL351" s="438">
        <f t="shared" si="538"/>
        <v>7.7250000000000005</v>
      </c>
      <c r="AM351" s="439">
        <f t="shared" si="538"/>
        <v>7.7250000000000005</v>
      </c>
      <c r="AN351" s="436">
        <f t="shared" si="538"/>
        <v>7.9567500000000004</v>
      </c>
      <c r="AO351" s="437">
        <f t="shared" si="538"/>
        <v>7.9567500000000004</v>
      </c>
      <c r="AP351" s="437">
        <f t="shared" si="538"/>
        <v>7.9567500000000004</v>
      </c>
      <c r="AQ351" s="438">
        <f t="shared" si="538"/>
        <v>7.9567500000000004</v>
      </c>
      <c r="AR351" s="439">
        <f t="shared" si="538"/>
        <v>7.9567500000000004</v>
      </c>
      <c r="AS351" s="436">
        <f t="shared" si="538"/>
        <v>8.5</v>
      </c>
      <c r="AT351" s="437">
        <f t="shared" si="538"/>
        <v>8.5</v>
      </c>
      <c r="AU351" s="437">
        <f t="shared" si="538"/>
        <v>8.5</v>
      </c>
      <c r="AV351" s="438">
        <f t="shared" si="538"/>
        <v>8.5</v>
      </c>
      <c r="AW351" s="439">
        <f t="shared" si="538"/>
        <v>8.5</v>
      </c>
      <c r="AX351" s="436">
        <f t="shared" si="538"/>
        <v>8</v>
      </c>
      <c r="AY351" s="437">
        <f t="shared" si="538"/>
        <v>8</v>
      </c>
      <c r="AZ351" s="437">
        <f t="shared" si="538"/>
        <v>8</v>
      </c>
      <c r="BA351" s="438">
        <f t="shared" si="538"/>
        <v>8</v>
      </c>
      <c r="BB351" s="439">
        <f t="shared" si="538"/>
        <v>8</v>
      </c>
      <c r="BC351" s="436">
        <f t="shared" si="538"/>
        <v>7.75</v>
      </c>
      <c r="BD351" s="437">
        <f t="shared" si="538"/>
        <v>7.75</v>
      </c>
      <c r="BE351" s="437">
        <f t="shared" si="538"/>
        <v>7.75</v>
      </c>
      <c r="BF351" s="438">
        <f t="shared" si="538"/>
        <v>7.75</v>
      </c>
      <c r="BG351" s="439">
        <f>+BG$273</f>
        <v>7.75</v>
      </c>
      <c r="BH351" s="436">
        <f t="shared" si="538"/>
        <v>7.25</v>
      </c>
      <c r="BI351" s="437">
        <f t="shared" si="538"/>
        <v>7.25</v>
      </c>
      <c r="BJ351" s="437">
        <f t="shared" si="538"/>
        <v>7.25</v>
      </c>
      <c r="BK351" s="438">
        <f t="shared" si="538"/>
        <v>7.25</v>
      </c>
      <c r="BL351" s="439">
        <f t="shared" si="538"/>
        <v>7.25</v>
      </c>
      <c r="BM351" s="436">
        <f t="shared" si="538"/>
        <v>7.25</v>
      </c>
      <c r="BN351" s="437">
        <f t="shared" si="538"/>
        <v>7.25</v>
      </c>
      <c r="BO351" s="437">
        <f t="shared" si="538"/>
        <v>7.25</v>
      </c>
      <c r="BP351" s="438">
        <f t="shared" si="538"/>
        <v>7.25</v>
      </c>
      <c r="BQ351" s="439">
        <f t="shared" si="538"/>
        <v>7.25</v>
      </c>
      <c r="BR351" s="40"/>
      <c r="BS351" s="40"/>
      <c r="BT351" s="40"/>
      <c r="BU351" s="232"/>
      <c r="BV351" s="40"/>
      <c r="BW351" s="40"/>
      <c r="BX351" s="40"/>
      <c r="BY351" s="40"/>
      <c r="BZ351" s="40"/>
      <c r="CA351" s="40"/>
      <c r="CB351" s="40"/>
      <c r="CC351" s="40"/>
      <c r="CD351" s="40"/>
      <c r="CE351" s="40"/>
      <c r="CF351" s="40"/>
      <c r="CG351" s="40"/>
      <c r="CH351" s="40"/>
      <c r="CI351" s="40"/>
      <c r="CJ351" s="40"/>
      <c r="CK351" s="40"/>
      <c r="CL351" s="40"/>
      <c r="CM351" s="40"/>
      <c r="CN351" s="40"/>
      <c r="CO351" s="40"/>
      <c r="CP351" s="40"/>
      <c r="CQ351" s="40"/>
      <c r="CR351" s="40"/>
      <c r="CS351" s="40"/>
      <c r="CT351" s="823"/>
      <c r="CU351" s="232"/>
      <c r="CV351" s="232"/>
      <c r="CW351" s="232"/>
      <c r="CX351" s="232"/>
      <c r="CY351" s="232"/>
      <c r="CZ351" s="40"/>
      <c r="DA351" s="40"/>
      <c r="DB351" s="40"/>
      <c r="DC351" s="40"/>
      <c r="DD351" s="40"/>
      <c r="DE351" s="40"/>
      <c r="DF351" s="232"/>
      <c r="DG351" s="232"/>
      <c r="DH351" s="232"/>
      <c r="DI351" s="232"/>
      <c r="DJ351" s="232"/>
      <c r="DK351" s="232"/>
      <c r="DL351" s="232"/>
      <c r="DM351" s="232"/>
      <c r="DN351" s="232"/>
    </row>
    <row r="352" spans="1:118">
      <c r="A352" s="40"/>
      <c r="B352" s="1"/>
      <c r="C352" s="1"/>
      <c r="D352" s="1"/>
      <c r="E352" s="273"/>
      <c r="F352" s="3"/>
      <c r="G352" s="3"/>
      <c r="H352" s="274"/>
      <c r="I352" s="28"/>
      <c r="J352" s="273"/>
      <c r="K352" s="3"/>
      <c r="L352" s="3"/>
      <c r="M352" s="274"/>
      <c r="N352" s="1"/>
      <c r="O352" s="273"/>
      <c r="P352" s="3"/>
      <c r="Q352" s="3"/>
      <c r="R352" s="274"/>
      <c r="S352" s="1"/>
      <c r="T352" s="273"/>
      <c r="U352" s="3"/>
      <c r="V352" s="3"/>
      <c r="W352" s="274"/>
      <c r="X352" s="1"/>
      <c r="Y352" s="273"/>
      <c r="Z352" s="3"/>
      <c r="AA352" s="3"/>
      <c r="AB352" s="274"/>
      <c r="AC352" s="1"/>
      <c r="AD352" s="273"/>
      <c r="AE352" s="3"/>
      <c r="AF352" s="3"/>
      <c r="AG352" s="274"/>
      <c r="AH352" s="1"/>
      <c r="AI352" s="273"/>
      <c r="AJ352" s="3"/>
      <c r="AK352" s="3"/>
      <c r="AL352" s="274"/>
      <c r="AM352" s="1"/>
      <c r="AN352" s="273"/>
      <c r="AO352" s="3"/>
      <c r="AP352" s="3"/>
      <c r="AQ352" s="274"/>
      <c r="AR352" s="1"/>
      <c r="AS352" s="273"/>
      <c r="AT352" s="3"/>
      <c r="AU352" s="3"/>
      <c r="AV352" s="274"/>
      <c r="AW352" s="1"/>
      <c r="AX352" s="273"/>
      <c r="AY352" s="3"/>
      <c r="AZ352" s="3"/>
      <c r="BA352" s="274"/>
      <c r="BB352" s="1"/>
      <c r="BC352" s="273"/>
      <c r="BD352" s="3"/>
      <c r="BE352" s="3"/>
      <c r="BF352" s="274"/>
      <c r="BG352" s="1"/>
      <c r="BH352" s="273"/>
      <c r="BI352" s="3"/>
      <c r="BJ352" s="3"/>
      <c r="BK352" s="274"/>
      <c r="BL352" s="1"/>
      <c r="BM352" s="273"/>
      <c r="BN352" s="3"/>
      <c r="BO352" s="3"/>
      <c r="BP352" s="274"/>
      <c r="BQ352" s="1"/>
      <c r="BR352" s="40"/>
      <c r="BS352" s="40"/>
      <c r="BT352" s="40"/>
      <c r="BU352" s="232"/>
      <c r="BV352" s="40"/>
      <c r="BW352" s="40"/>
      <c r="BX352" s="40"/>
      <c r="BY352" s="40"/>
      <c r="BZ352" s="40"/>
      <c r="CA352" s="40"/>
      <c r="CB352" s="40"/>
      <c r="CC352" s="40"/>
      <c r="CD352" s="40"/>
      <c r="CE352" s="40"/>
      <c r="CF352" s="40"/>
      <c r="CG352" s="40"/>
      <c r="CH352" s="40"/>
      <c r="CI352" s="40"/>
      <c r="CJ352" s="40"/>
      <c r="CK352" s="40"/>
      <c r="CL352" s="40"/>
      <c r="CM352" s="40"/>
      <c r="CN352" s="40"/>
      <c r="CO352" s="40"/>
      <c r="CP352" s="40"/>
      <c r="CQ352" s="40"/>
      <c r="CR352" s="40"/>
      <c r="CS352" s="40"/>
      <c r="CT352" s="823"/>
      <c r="CU352" s="232"/>
      <c r="CV352" s="232"/>
      <c r="CW352" s="232"/>
      <c r="CX352" s="232"/>
      <c r="CY352" s="232"/>
      <c r="CZ352" s="40"/>
      <c r="DA352" s="40"/>
      <c r="DB352" s="40"/>
      <c r="DC352" s="40"/>
      <c r="DD352" s="40"/>
      <c r="DE352" s="40"/>
      <c r="DF352" s="232"/>
      <c r="DG352" s="232"/>
      <c r="DH352" s="232"/>
      <c r="DI352" s="232"/>
      <c r="DJ352" s="232"/>
      <c r="DK352" s="232"/>
      <c r="DL352" s="232"/>
      <c r="DM352" s="232"/>
      <c r="DN352" s="232"/>
    </row>
    <row r="353" spans="1:118">
      <c r="A353" s="40"/>
      <c r="B353" s="1"/>
      <c r="C353" s="32" t="s">
        <v>196</v>
      </c>
      <c r="D353" s="32"/>
      <c r="E353" s="292"/>
      <c r="F353" s="261"/>
      <c r="G353" s="261"/>
      <c r="H353" s="293"/>
      <c r="I353" s="884">
        <v>838</v>
      </c>
      <c r="J353" s="292"/>
      <c r="K353" s="261"/>
      <c r="L353" s="261"/>
      <c r="M353" s="293"/>
      <c r="N353" s="228"/>
      <c r="O353" s="292"/>
      <c r="P353" s="261"/>
      <c r="Q353" s="261"/>
      <c r="R353" s="293"/>
      <c r="S353" s="228"/>
      <c r="T353" s="292"/>
      <c r="U353" s="261"/>
      <c r="V353" s="261"/>
      <c r="W353" s="293"/>
      <c r="X353" s="228"/>
      <c r="Y353" s="292">
        <f>+I353</f>
        <v>838</v>
      </c>
      <c r="Z353" s="261">
        <f t="shared" ref="Z353:BL353" si="539">Y353</f>
        <v>838</v>
      </c>
      <c r="AA353" s="261">
        <f t="shared" si="539"/>
        <v>838</v>
      </c>
      <c r="AB353" s="293">
        <f t="shared" si="539"/>
        <v>838</v>
      </c>
      <c r="AC353" s="228">
        <f t="shared" si="539"/>
        <v>838</v>
      </c>
      <c r="AD353" s="292">
        <f t="shared" si="539"/>
        <v>838</v>
      </c>
      <c r="AE353" s="261">
        <f t="shared" si="539"/>
        <v>838</v>
      </c>
      <c r="AF353" s="261">
        <f t="shared" si="539"/>
        <v>838</v>
      </c>
      <c r="AG353" s="293">
        <f t="shared" si="539"/>
        <v>838</v>
      </c>
      <c r="AH353" s="228">
        <f t="shared" si="539"/>
        <v>838</v>
      </c>
      <c r="AI353" s="292">
        <f t="shared" si="539"/>
        <v>838</v>
      </c>
      <c r="AJ353" s="261">
        <f t="shared" si="539"/>
        <v>838</v>
      </c>
      <c r="AK353" s="261">
        <f t="shared" si="539"/>
        <v>838</v>
      </c>
      <c r="AL353" s="293">
        <f t="shared" si="539"/>
        <v>838</v>
      </c>
      <c r="AM353" s="228">
        <f t="shared" si="539"/>
        <v>838</v>
      </c>
      <c r="AN353" s="292">
        <f t="shared" si="539"/>
        <v>838</v>
      </c>
      <c r="AO353" s="261">
        <f t="shared" si="539"/>
        <v>838</v>
      </c>
      <c r="AP353" s="261">
        <f t="shared" si="539"/>
        <v>838</v>
      </c>
      <c r="AQ353" s="293">
        <f t="shared" si="539"/>
        <v>838</v>
      </c>
      <c r="AR353" s="228">
        <f t="shared" si="539"/>
        <v>838</v>
      </c>
      <c r="AS353" s="292">
        <f t="shared" si="539"/>
        <v>838</v>
      </c>
      <c r="AT353" s="261">
        <f t="shared" si="539"/>
        <v>838</v>
      </c>
      <c r="AU353" s="261">
        <f t="shared" ref="AU353" si="540">AT353</f>
        <v>838</v>
      </c>
      <c r="AV353" s="293">
        <f t="shared" si="539"/>
        <v>838</v>
      </c>
      <c r="AW353" s="228">
        <f t="shared" si="539"/>
        <v>838</v>
      </c>
      <c r="AX353" s="292">
        <f t="shared" si="539"/>
        <v>838</v>
      </c>
      <c r="AY353" s="261">
        <f t="shared" si="539"/>
        <v>838</v>
      </c>
      <c r="AZ353" s="261">
        <f t="shared" si="539"/>
        <v>838</v>
      </c>
      <c r="BA353" s="293">
        <f t="shared" si="539"/>
        <v>838</v>
      </c>
      <c r="BB353" s="228">
        <f t="shared" si="539"/>
        <v>838</v>
      </c>
      <c r="BC353" s="292">
        <f t="shared" si="539"/>
        <v>838</v>
      </c>
      <c r="BD353" s="261">
        <f t="shared" si="539"/>
        <v>838</v>
      </c>
      <c r="BE353" s="261">
        <f t="shared" si="539"/>
        <v>838</v>
      </c>
      <c r="BF353" s="293">
        <f t="shared" si="539"/>
        <v>838</v>
      </c>
      <c r="BG353" s="228">
        <f>BF353</f>
        <v>838</v>
      </c>
      <c r="BH353" s="292">
        <f>BG353</f>
        <v>838</v>
      </c>
      <c r="BI353" s="261">
        <f t="shared" si="539"/>
        <v>838</v>
      </c>
      <c r="BJ353" s="261">
        <f t="shared" si="539"/>
        <v>838</v>
      </c>
      <c r="BK353" s="293">
        <f t="shared" si="539"/>
        <v>838</v>
      </c>
      <c r="BL353" s="228">
        <f t="shared" si="539"/>
        <v>838</v>
      </c>
      <c r="BM353" s="292">
        <f t="shared" ref="BM353" si="541">BL353</f>
        <v>838</v>
      </c>
      <c r="BN353" s="261">
        <f t="shared" ref="BN353" si="542">BM353</f>
        <v>838</v>
      </c>
      <c r="BO353" s="261">
        <f t="shared" ref="BO353" si="543">BN353</f>
        <v>838</v>
      </c>
      <c r="BP353" s="293">
        <f t="shared" ref="BP353" si="544">BO353</f>
        <v>838</v>
      </c>
      <c r="BQ353" s="228">
        <f t="shared" ref="BQ353" si="545">BP353</f>
        <v>838</v>
      </c>
      <c r="BR353" s="40"/>
      <c r="BS353" s="40"/>
      <c r="BT353" s="40"/>
      <c r="BU353" s="232"/>
      <c r="BV353" s="40"/>
      <c r="BW353" s="40"/>
      <c r="BX353" s="40"/>
      <c r="BY353" s="40"/>
      <c r="BZ353" s="40"/>
      <c r="CA353" s="40"/>
      <c r="CB353" s="40"/>
      <c r="CC353" s="40"/>
      <c r="CD353" s="40"/>
      <c r="CE353" s="40"/>
      <c r="CF353" s="40"/>
      <c r="CG353" s="40"/>
      <c r="CH353" s="40"/>
      <c r="CI353" s="40"/>
      <c r="CJ353" s="40"/>
      <c r="CK353" s="40"/>
      <c r="CL353" s="40"/>
      <c r="CM353" s="40"/>
      <c r="CN353" s="40"/>
      <c r="CO353" s="40"/>
      <c r="CP353" s="40"/>
      <c r="CQ353" s="40"/>
      <c r="CR353" s="40"/>
      <c r="CS353" s="40"/>
      <c r="CT353" s="823"/>
      <c r="CU353" s="232"/>
      <c r="CV353" s="232"/>
      <c r="CW353" s="232"/>
      <c r="CX353" s="232"/>
      <c r="CY353" s="232"/>
      <c r="CZ353" s="40"/>
      <c r="DA353" s="40"/>
      <c r="DB353" s="40"/>
      <c r="DC353" s="40"/>
      <c r="DD353" s="40"/>
      <c r="DE353" s="40"/>
      <c r="DF353" s="232"/>
      <c r="DG353" s="232"/>
      <c r="DH353" s="232"/>
      <c r="DI353" s="232"/>
      <c r="DJ353" s="232"/>
      <c r="DK353" s="232"/>
      <c r="DL353" s="232"/>
      <c r="DM353" s="232"/>
      <c r="DN353" s="232"/>
    </row>
    <row r="354" spans="1:118">
      <c r="A354" s="40"/>
      <c r="B354" s="1"/>
      <c r="C354" s="1"/>
      <c r="D354" s="1"/>
      <c r="E354" s="273"/>
      <c r="F354" s="3"/>
      <c r="G354" s="3"/>
      <c r="H354" s="274"/>
      <c r="I354" s="28"/>
      <c r="J354" s="273"/>
      <c r="K354" s="3"/>
      <c r="L354" s="3"/>
      <c r="M354" s="274"/>
      <c r="N354" s="1"/>
      <c r="O354" s="273"/>
      <c r="P354" s="3"/>
      <c r="Q354" s="3"/>
      <c r="R354" s="274"/>
      <c r="S354" s="1"/>
      <c r="T354" s="273"/>
      <c r="U354" s="3"/>
      <c r="V354" s="3"/>
      <c r="W354" s="274"/>
      <c r="X354" s="1"/>
      <c r="Y354" s="273"/>
      <c r="Z354" s="3"/>
      <c r="AA354" s="3"/>
      <c r="AB354" s="274"/>
      <c r="AC354" s="1"/>
      <c r="AD354" s="273"/>
      <c r="AE354" s="3"/>
      <c r="AF354" s="3"/>
      <c r="AG354" s="274"/>
      <c r="AH354" s="1"/>
      <c r="AI354" s="273"/>
      <c r="AJ354" s="3"/>
      <c r="AK354" s="3"/>
      <c r="AL354" s="274"/>
      <c r="AM354" s="1"/>
      <c r="AN354" s="273"/>
      <c r="AO354" s="3"/>
      <c r="AP354" s="3"/>
      <c r="AQ354" s="274"/>
      <c r="AR354" s="1"/>
      <c r="AS354" s="273"/>
      <c r="AT354" s="3"/>
      <c r="AU354" s="3"/>
      <c r="AV354" s="274"/>
      <c r="AW354" s="1"/>
      <c r="AX354" s="273"/>
      <c r="AY354" s="3"/>
      <c r="AZ354" s="3"/>
      <c r="BA354" s="274"/>
      <c r="BB354" s="1"/>
      <c r="BC354" s="273"/>
      <c r="BD354" s="3"/>
      <c r="BE354" s="3"/>
      <c r="BF354" s="274"/>
      <c r="BG354" s="1"/>
      <c r="BH354" s="273"/>
      <c r="BI354" s="3"/>
      <c r="BJ354" s="3"/>
      <c r="BK354" s="274"/>
      <c r="BL354" s="1"/>
      <c r="BM354" s="273"/>
      <c r="BN354" s="3"/>
      <c r="BO354" s="3"/>
      <c r="BP354" s="274"/>
      <c r="BQ354" s="1"/>
      <c r="BR354" s="40"/>
      <c r="BS354" s="40"/>
      <c r="BT354" s="40"/>
      <c r="BU354" s="232"/>
      <c r="BV354" s="40"/>
      <c r="BW354" s="40"/>
      <c r="BX354" s="40"/>
      <c r="BY354" s="40"/>
      <c r="BZ354" s="40"/>
      <c r="CA354" s="40"/>
      <c r="CB354" s="40"/>
      <c r="CC354" s="40"/>
      <c r="CD354" s="40"/>
      <c r="CE354" s="40"/>
      <c r="CF354" s="40"/>
      <c r="CG354" s="40"/>
      <c r="CH354" s="40"/>
      <c r="CI354" s="40"/>
      <c r="CJ354" s="40"/>
      <c r="CK354" s="40"/>
      <c r="CL354" s="40"/>
      <c r="CM354" s="40"/>
      <c r="CN354" s="40"/>
      <c r="CO354" s="40"/>
      <c r="CP354" s="40"/>
      <c r="CQ354" s="40"/>
      <c r="CR354" s="40"/>
      <c r="CS354" s="40"/>
      <c r="CT354" s="823"/>
      <c r="CU354" s="232"/>
      <c r="CV354" s="232"/>
      <c r="CW354" s="232"/>
      <c r="CX354" s="232"/>
      <c r="CY354" s="232"/>
      <c r="CZ354" s="40"/>
      <c r="DA354" s="40"/>
      <c r="DB354" s="40"/>
      <c r="DC354" s="40"/>
      <c r="DD354" s="40"/>
      <c r="DE354" s="40"/>
      <c r="DF354" s="232"/>
      <c r="DG354" s="232"/>
      <c r="DH354" s="232"/>
      <c r="DI354" s="232"/>
      <c r="DJ354" s="232"/>
      <c r="DK354" s="232"/>
      <c r="DL354" s="232"/>
      <c r="DM354" s="232"/>
      <c r="DN354" s="232"/>
    </row>
    <row r="355" spans="1:118">
      <c r="A355" s="40"/>
      <c r="B355" s="1"/>
      <c r="C355" s="28" t="s">
        <v>197</v>
      </c>
      <c r="D355" s="1"/>
      <c r="E355" s="273"/>
      <c r="F355" s="3"/>
      <c r="G355" s="3"/>
      <c r="H355" s="274"/>
      <c r="I355" s="544">
        <v>0.9</v>
      </c>
      <c r="J355" s="273"/>
      <c r="K355" s="3"/>
      <c r="L355" s="3"/>
      <c r="M355" s="274"/>
      <c r="N355" s="1"/>
      <c r="O355" s="273"/>
      <c r="P355" s="3"/>
      <c r="Q355" s="3"/>
      <c r="R355" s="274"/>
      <c r="S355" s="1"/>
      <c r="T355" s="277"/>
      <c r="U355" s="253"/>
      <c r="V355" s="253"/>
      <c r="W355" s="278"/>
      <c r="X355" s="765"/>
      <c r="Y355" s="277">
        <f>+I355</f>
        <v>0.9</v>
      </c>
      <c r="Z355" s="253">
        <f>+Y355</f>
        <v>0.9</v>
      </c>
      <c r="AA355" s="253">
        <f>+Z355</f>
        <v>0.9</v>
      </c>
      <c r="AB355" s="278">
        <f>+AA355</f>
        <v>0.9</v>
      </c>
      <c r="AC355" s="765">
        <f>IF(AVERAGE(Y353:AB353)=0,0,AC356/(AVERAGE(Y353:AB353)*8.76))</f>
        <v>0.9</v>
      </c>
      <c r="AD355" s="277">
        <f>+AB355</f>
        <v>0.9</v>
      </c>
      <c r="AE355" s="253">
        <f>+AD355</f>
        <v>0.9</v>
      </c>
      <c r="AF355" s="253">
        <f>+AA355</f>
        <v>0.9</v>
      </c>
      <c r="AG355" s="278">
        <f>+AB355</f>
        <v>0.9</v>
      </c>
      <c r="AH355" s="765">
        <f>IF(AVERAGE(AD353:AG353)=0,0,AH356/(AVERAGE(AD353:AG353)*8.76))</f>
        <v>0.9</v>
      </c>
      <c r="AI355" s="277">
        <f>+AG355</f>
        <v>0.9</v>
      </c>
      <c r="AJ355" s="253">
        <f>+AE355</f>
        <v>0.9</v>
      </c>
      <c r="AK355" s="253">
        <f>+AF355</f>
        <v>0.9</v>
      </c>
      <c r="AL355" s="278">
        <f>+AG355</f>
        <v>0.9</v>
      </c>
      <c r="AM355" s="765">
        <f>IF(AVERAGE(AI353:AL353)=0,0,AM356/(AVERAGE(AI353:AL353)*8.76))</f>
        <v>0.9</v>
      </c>
      <c r="AN355" s="277">
        <f>+AL355</f>
        <v>0.9</v>
      </c>
      <c r="AO355" s="253">
        <f>+AJ355</f>
        <v>0.9</v>
      </c>
      <c r="AP355" s="253">
        <f>+AK355</f>
        <v>0.9</v>
      </c>
      <c r="AQ355" s="278">
        <f>+AL355</f>
        <v>0.9</v>
      </c>
      <c r="AR355" s="765">
        <f>IF(AVERAGE(AN353:AQ353)=0,0,AR356/(AVERAGE(AN353:AQ353)*8.76))</f>
        <v>0.9</v>
      </c>
      <c r="AS355" s="2061">
        <v>0.95</v>
      </c>
      <c r="AT355" s="2246">
        <v>0.95</v>
      </c>
      <c r="AU355" s="2246">
        <v>0.95</v>
      </c>
      <c r="AV355" s="2247">
        <v>0.95</v>
      </c>
      <c r="AW355" s="765">
        <f>IF(AVERAGE(AS353:AV353)=0,0,AW356/(AVERAGE(AS353:AV353)*8.76))</f>
        <v>0.94999999999999984</v>
      </c>
      <c r="AX355" s="277">
        <f>+AV355</f>
        <v>0.95</v>
      </c>
      <c r="AY355" s="253">
        <f>+AT355</f>
        <v>0.95</v>
      </c>
      <c r="AZ355" s="2246">
        <v>0.75</v>
      </c>
      <c r="BA355" s="278">
        <v>0.95</v>
      </c>
      <c r="BB355" s="765">
        <f>IF(AVERAGE(AX353:BA353)=0,0,BB356/(AVERAGE(AX353:BA353)*8.76))</f>
        <v>0.89999999999999991</v>
      </c>
      <c r="BC355" s="2061">
        <v>0.9</v>
      </c>
      <c r="BD355" s="253">
        <f>BC355</f>
        <v>0.9</v>
      </c>
      <c r="BE355" s="253">
        <f t="shared" ref="BE355:BF355" si="546">BD355</f>
        <v>0.9</v>
      </c>
      <c r="BF355" s="278">
        <f t="shared" si="546"/>
        <v>0.9</v>
      </c>
      <c r="BG355" s="765">
        <f>IF(AVERAGE(BC353:BF353)=0,0,BG356/(AVERAGE(BC353:BF353)*8.76))</f>
        <v>0.9</v>
      </c>
      <c r="BH355" s="277">
        <f>+BF355</f>
        <v>0.9</v>
      </c>
      <c r="BI355" s="253">
        <f>+BD355</f>
        <v>0.9</v>
      </c>
      <c r="BJ355" s="253">
        <f>+BE355</f>
        <v>0.9</v>
      </c>
      <c r="BK355" s="278">
        <f>+BF355</f>
        <v>0.9</v>
      </c>
      <c r="BL355" s="765">
        <f>IF(AVERAGE(BH353:BK353)=0,0,BL356/(AVERAGE(BH353:BK353)*8.76))</f>
        <v>0.9</v>
      </c>
      <c r="BM355" s="277">
        <f>+BK355</f>
        <v>0.9</v>
      </c>
      <c r="BN355" s="253">
        <f>+BI355</f>
        <v>0.9</v>
      </c>
      <c r="BO355" s="253">
        <f>+BJ355</f>
        <v>0.9</v>
      </c>
      <c r="BP355" s="278">
        <f>+BK355</f>
        <v>0.9</v>
      </c>
      <c r="BQ355" s="765">
        <f>IF(AVERAGE(BM353:BP353)=0,0,BQ356/(AVERAGE(BM353:BP353)*8.76))</f>
        <v>0.9</v>
      </c>
      <c r="BR355" s="40"/>
      <c r="BS355" s="40"/>
      <c r="BT355" s="40"/>
      <c r="BU355" s="232"/>
      <c r="BV355" s="40"/>
      <c r="BW355" s="40"/>
      <c r="BX355" s="40"/>
      <c r="BY355" s="40"/>
      <c r="BZ355" s="40"/>
      <c r="CA355" s="40"/>
      <c r="CB355" s="40"/>
      <c r="CC355" s="40"/>
      <c r="CD355" s="40"/>
      <c r="CE355" s="40"/>
      <c r="CF355" s="40"/>
      <c r="CG355" s="40"/>
      <c r="CH355" s="40"/>
      <c r="CI355" s="40"/>
      <c r="CJ355" s="40"/>
      <c r="CK355" s="40"/>
      <c r="CL355" s="40"/>
      <c r="CM355" s="40"/>
      <c r="CN355" s="40"/>
      <c r="CO355" s="40"/>
      <c r="CP355" s="40"/>
      <c r="CQ355" s="40"/>
      <c r="CR355" s="40"/>
      <c r="CS355" s="40"/>
      <c r="CT355" s="823"/>
      <c r="CU355" s="232"/>
      <c r="CV355" s="232"/>
      <c r="CW355" s="232"/>
      <c r="CX355" s="232"/>
      <c r="CY355" s="232"/>
      <c r="CZ355" s="40"/>
      <c r="DA355" s="40"/>
      <c r="DB355" s="40"/>
      <c r="DC355" s="40"/>
      <c r="DD355" s="40"/>
      <c r="DE355" s="40"/>
      <c r="DF355" s="232"/>
      <c r="DG355" s="232"/>
      <c r="DH355" s="232"/>
      <c r="DI355" s="232"/>
      <c r="DJ355" s="232"/>
      <c r="DK355" s="232"/>
      <c r="DL355" s="232"/>
      <c r="DM355" s="232"/>
      <c r="DN355" s="232"/>
    </row>
    <row r="356" spans="1:118">
      <c r="A356" s="40"/>
      <c r="B356" s="1"/>
      <c r="C356" s="32" t="s">
        <v>198</v>
      </c>
      <c r="D356" s="32"/>
      <c r="E356" s="489"/>
      <c r="F356" s="342"/>
      <c r="G356" s="342"/>
      <c r="H356" s="490"/>
      <c r="I356" s="32"/>
      <c r="J356" s="489"/>
      <c r="K356" s="342"/>
      <c r="L356" s="342"/>
      <c r="M356" s="490"/>
      <c r="N356" s="458"/>
      <c r="O356" s="489"/>
      <c r="P356" s="342"/>
      <c r="Q356" s="342"/>
      <c r="R356" s="490"/>
      <c r="S356" s="32"/>
      <c r="T356" s="301"/>
      <c r="U356" s="265"/>
      <c r="V356" s="265"/>
      <c r="W356" s="302"/>
      <c r="X356" s="445"/>
      <c r="Y356" s="301">
        <f>(Y353*Y355*(8760/1000))/4</f>
        <v>1651.6980000000001</v>
      </c>
      <c r="Z356" s="265">
        <f>(Z353*Z355*(8760/1000))/4</f>
        <v>1651.6980000000001</v>
      </c>
      <c r="AA356" s="265">
        <f>(AA353*AA355*(8760/1000))/4</f>
        <v>1651.6980000000001</v>
      </c>
      <c r="AB356" s="302">
        <f>(AB353*AB355*(8760/1000))/4</f>
        <v>1651.6980000000001</v>
      </c>
      <c r="AC356" s="445">
        <f>SUM(Y356:AB356)</f>
        <v>6606.7920000000004</v>
      </c>
      <c r="AD356" s="301">
        <f>(AD353*AD355*(8760/1000))/4</f>
        <v>1651.6980000000001</v>
      </c>
      <c r="AE356" s="265">
        <f>(AE353*AE355*(8760/1000))/4</f>
        <v>1651.6980000000001</v>
      </c>
      <c r="AF356" s="265">
        <f>(AF353*AF355*(8760/1000))/4</f>
        <v>1651.6980000000001</v>
      </c>
      <c r="AG356" s="302">
        <f>(AG353*AG355*(8760/1000))/4</f>
        <v>1651.6980000000001</v>
      </c>
      <c r="AH356" s="445">
        <f>SUM(AD356:AG356)</f>
        <v>6606.7920000000004</v>
      </c>
      <c r="AI356" s="301">
        <f>(AI353*AI355*(8760/1000))/4</f>
        <v>1651.6980000000001</v>
      </c>
      <c r="AJ356" s="265">
        <f>(AJ353*AJ355*(8760/1000))/4</f>
        <v>1651.6980000000001</v>
      </c>
      <c r="AK356" s="265">
        <f>(AK353*AK355*(8760/1000))/4</f>
        <v>1651.6980000000001</v>
      </c>
      <c r="AL356" s="302">
        <f>(AL353*AL355*(8760/1000))/4</f>
        <v>1651.6980000000001</v>
      </c>
      <c r="AM356" s="445">
        <f>SUM(AI356:AL356)</f>
        <v>6606.7920000000004</v>
      </c>
      <c r="AN356" s="301">
        <f>(AN353*AN355*(8760/1000))/4</f>
        <v>1651.6980000000001</v>
      </c>
      <c r="AO356" s="265">
        <f>(AO353*AO355*(8760/1000))/4</f>
        <v>1651.6980000000001</v>
      </c>
      <c r="AP356" s="265">
        <f>(AP353*AP355*(8760/1000))/4</f>
        <v>1651.6980000000001</v>
      </c>
      <c r="AQ356" s="302">
        <f>(AQ353*AQ355*(8760/1000))/4</f>
        <v>1651.6980000000001</v>
      </c>
      <c r="AR356" s="445">
        <f>SUM(AN356:AQ356)</f>
        <v>6606.7920000000004</v>
      </c>
      <c r="AS356" s="301">
        <f>(AS353*AS355*(8760/1000))/4</f>
        <v>1743.4589999999998</v>
      </c>
      <c r="AT356" s="265">
        <f>(AT353*AT355*(8760/1000))/4</f>
        <v>1743.4589999999998</v>
      </c>
      <c r="AU356" s="265">
        <f t="shared" ref="AU356" si="547">(AU353*AU355*(8760/1000))/4</f>
        <v>1743.4589999999998</v>
      </c>
      <c r="AV356" s="302">
        <f>(AV353*AV355*(8760/1000))/4</f>
        <v>1743.4589999999998</v>
      </c>
      <c r="AW356" s="445">
        <f>SUM(AS356:AV356)</f>
        <v>6973.8359999999993</v>
      </c>
      <c r="AX356" s="301">
        <f>(AX353*AX355*(8760/1000))/4</f>
        <v>1743.4589999999998</v>
      </c>
      <c r="AY356" s="265">
        <f>(AY353*AY355*(8760/1000))/4</f>
        <v>1743.4589999999998</v>
      </c>
      <c r="AZ356" s="265">
        <f>(AZ353*AZ355*(8760/1000))/4</f>
        <v>1376.415</v>
      </c>
      <c r="BA356" s="302">
        <f>(BA353*BA355*(8760/1000))/4</f>
        <v>1743.4589999999998</v>
      </c>
      <c r="BB356" s="445">
        <f>SUM(AX356:BA356)</f>
        <v>6606.7919999999995</v>
      </c>
      <c r="BC356" s="301">
        <f>(BC353*BC355*(8760/1000))/4</f>
        <v>1651.6980000000001</v>
      </c>
      <c r="BD356" s="265">
        <f>(BD353*BD355*(8760/1000))/4</f>
        <v>1651.6980000000001</v>
      </c>
      <c r="BE356" s="265">
        <f>(BE353*BE355*(8760/1000))/4</f>
        <v>1651.6980000000001</v>
      </c>
      <c r="BF356" s="302">
        <f>(BF353*BF355*(8760/1000))/4</f>
        <v>1651.6980000000001</v>
      </c>
      <c r="BG356" s="445">
        <f>SUM(BC356:BF356)</f>
        <v>6606.7920000000004</v>
      </c>
      <c r="BH356" s="301">
        <f>(BH353*BH355*(8760/1000))/4</f>
        <v>1651.6980000000001</v>
      </c>
      <c r="BI356" s="265">
        <f>(BI353*BI355*(8760/1000))/4</f>
        <v>1651.6980000000001</v>
      </c>
      <c r="BJ356" s="265">
        <f>(BJ353*BJ355*(8760/1000))/4</f>
        <v>1651.6980000000001</v>
      </c>
      <c r="BK356" s="302">
        <f>(BK353*BK355*(8760/1000))/4</f>
        <v>1651.6980000000001</v>
      </c>
      <c r="BL356" s="445">
        <f>SUM(BH356:BK356)</f>
        <v>6606.7920000000004</v>
      </c>
      <c r="BM356" s="301">
        <f>(BM353*BM355*(8760/1000))/4</f>
        <v>1651.6980000000001</v>
      </c>
      <c r="BN356" s="265">
        <f>(BN353*BN355*(8760/1000))/4</f>
        <v>1651.6980000000001</v>
      </c>
      <c r="BO356" s="265">
        <f>(BO353*BO355*(8760/1000))/4</f>
        <v>1651.6980000000001</v>
      </c>
      <c r="BP356" s="302">
        <f>(BP353*BP355*(8760/1000))/4</f>
        <v>1651.6980000000001</v>
      </c>
      <c r="BQ356" s="445">
        <f>SUM(BM356:BP356)</f>
        <v>6606.7920000000004</v>
      </c>
      <c r="BR356" s="40"/>
      <c r="BS356" s="40"/>
      <c r="BT356" s="40"/>
      <c r="BU356" s="232"/>
      <c r="BV356" s="40"/>
      <c r="BW356" s="40"/>
      <c r="BX356" s="40"/>
      <c r="BY356" s="40"/>
      <c r="BZ356" s="40"/>
      <c r="CA356" s="40"/>
      <c r="CB356" s="40"/>
      <c r="CC356" s="40"/>
      <c r="CD356" s="40"/>
      <c r="CE356" s="40"/>
      <c r="CF356" s="40"/>
      <c r="CG356" s="40"/>
      <c r="CH356" s="40"/>
      <c r="CI356" s="40"/>
      <c r="CJ356" s="40"/>
      <c r="CK356" s="40"/>
      <c r="CL356" s="40"/>
      <c r="CM356" s="40"/>
      <c r="CN356" s="40"/>
      <c r="CO356" s="40"/>
      <c r="CP356" s="40"/>
      <c r="CQ356" s="40"/>
      <c r="CR356" s="40"/>
      <c r="CS356" s="40"/>
      <c r="CT356" s="823"/>
      <c r="CU356" s="232"/>
      <c r="CV356" s="232"/>
      <c r="CW356" s="232"/>
      <c r="CX356" s="232"/>
      <c r="CY356" s="232"/>
      <c r="CZ356" s="40"/>
      <c r="DA356" s="40"/>
      <c r="DB356" s="40"/>
      <c r="DC356" s="40"/>
      <c r="DD356" s="40"/>
      <c r="DE356" s="40"/>
      <c r="DF356" s="232"/>
      <c r="DG356" s="232"/>
      <c r="DH356" s="232"/>
      <c r="DI356" s="232"/>
      <c r="DJ356" s="232"/>
      <c r="DK356" s="232"/>
      <c r="DL356" s="232"/>
      <c r="DM356" s="232"/>
      <c r="DN356" s="232"/>
    </row>
    <row r="357" spans="1:118">
      <c r="A357" s="40"/>
      <c r="B357" s="1"/>
      <c r="C357" s="1"/>
      <c r="D357" s="1"/>
      <c r="E357" s="273"/>
      <c r="F357" s="3"/>
      <c r="G357" s="3"/>
      <c r="H357" s="274"/>
      <c r="I357" s="28"/>
      <c r="J357" s="273"/>
      <c r="K357" s="3"/>
      <c r="L357" s="3"/>
      <c r="M357" s="274"/>
      <c r="N357" s="1"/>
      <c r="O357" s="273"/>
      <c r="P357" s="3"/>
      <c r="Q357" s="3"/>
      <c r="R357" s="274"/>
      <c r="S357" s="1"/>
      <c r="T357" s="273"/>
      <c r="U357" s="3"/>
      <c r="V357" s="3"/>
      <c r="W357" s="274"/>
      <c r="X357" s="1"/>
      <c r="Y357" s="273"/>
      <c r="Z357" s="3"/>
      <c r="AA357" s="3"/>
      <c r="AB357" s="274"/>
      <c r="AC357" s="1"/>
      <c r="AD357" s="273"/>
      <c r="AE357" s="3"/>
      <c r="AF357" s="3"/>
      <c r="AG357" s="274"/>
      <c r="AH357" s="1"/>
      <c r="AI357" s="273"/>
      <c r="AJ357" s="3"/>
      <c r="AK357" s="3"/>
      <c r="AL357" s="274"/>
      <c r="AM357" s="1"/>
      <c r="AN357" s="273"/>
      <c r="AO357" s="3"/>
      <c r="AP357" s="3"/>
      <c r="AQ357" s="274"/>
      <c r="AR357" s="1"/>
      <c r="AS357" s="273"/>
      <c r="AT357" s="3"/>
      <c r="AU357" s="3"/>
      <c r="AV357" s="274"/>
      <c r="AW357" s="1"/>
      <c r="AX357" s="273"/>
      <c r="AY357" s="3"/>
      <c r="AZ357" s="3"/>
      <c r="BA357" s="274"/>
      <c r="BB357" s="1"/>
      <c r="BC357" s="273"/>
      <c r="BD357" s="3"/>
      <c r="BE357" s="3"/>
      <c r="BF357" s="274"/>
      <c r="BG357" s="1"/>
      <c r="BH357" s="273"/>
      <c r="BI357" s="3"/>
      <c r="BJ357" s="3"/>
      <c r="BK357" s="274"/>
      <c r="BL357" s="1"/>
      <c r="BM357" s="273"/>
      <c r="BN357" s="3"/>
      <c r="BO357" s="3"/>
      <c r="BP357" s="274"/>
      <c r="BQ357" s="1"/>
      <c r="BR357" s="40"/>
      <c r="BS357" s="40"/>
      <c r="BT357" s="40"/>
      <c r="BU357" s="232"/>
      <c r="BV357" s="40"/>
      <c r="BW357" s="40"/>
      <c r="BX357" s="40"/>
      <c r="BY357" s="40"/>
      <c r="BZ357" s="40"/>
      <c r="CA357" s="40"/>
      <c r="CB357" s="40"/>
      <c r="CC357" s="40"/>
      <c r="CD357" s="40"/>
      <c r="CE357" s="40"/>
      <c r="CF357" s="40"/>
      <c r="CG357" s="40"/>
      <c r="CH357" s="40"/>
      <c r="CI357" s="40"/>
      <c r="CJ357" s="40"/>
      <c r="CK357" s="40"/>
      <c r="CL357" s="40"/>
      <c r="CM357" s="40"/>
      <c r="CN357" s="40"/>
      <c r="CO357" s="40"/>
      <c r="CP357" s="40"/>
      <c r="CQ357" s="40"/>
      <c r="CR357" s="40"/>
      <c r="CS357" s="40"/>
      <c r="CT357" s="823"/>
      <c r="CU357" s="232"/>
      <c r="CV357" s="232"/>
      <c r="CW357" s="232"/>
      <c r="CX357" s="232"/>
      <c r="CY357" s="232"/>
      <c r="CZ357" s="40"/>
      <c r="DA357" s="40"/>
      <c r="DB357" s="40"/>
      <c r="DC357" s="40"/>
      <c r="DD357" s="40"/>
      <c r="DE357" s="40"/>
      <c r="DF357" s="232"/>
      <c r="DG357" s="232"/>
      <c r="DH357" s="232"/>
      <c r="DI357" s="232"/>
      <c r="DJ357" s="232"/>
      <c r="DK357" s="232"/>
      <c r="DL357" s="232"/>
      <c r="DM357" s="232"/>
      <c r="DN357" s="232"/>
    </row>
    <row r="358" spans="1:118">
      <c r="A358" s="40"/>
      <c r="B358" s="1"/>
      <c r="C358" s="28" t="s">
        <v>797</v>
      </c>
      <c r="D358" s="1"/>
      <c r="E358" s="273"/>
      <c r="F358" s="3"/>
      <c r="G358" s="3"/>
      <c r="H358" s="274"/>
      <c r="I358" s="28"/>
      <c r="J358" s="273"/>
      <c r="K358" s="3"/>
      <c r="L358" s="3"/>
      <c r="M358" s="274"/>
      <c r="N358" s="1"/>
      <c r="O358" s="273"/>
      <c r="P358" s="3"/>
      <c r="Q358" s="3"/>
      <c r="R358" s="274"/>
      <c r="S358" s="1"/>
      <c r="T358" s="758"/>
      <c r="U358" s="660"/>
      <c r="V358" s="660"/>
      <c r="W358" s="661"/>
      <c r="X358" s="428"/>
      <c r="Y358" s="758">
        <f>(Y350/1000*Y356)</f>
        <v>66.673106332726974</v>
      </c>
      <c r="Z358" s="660">
        <f>(Z350/1000*Z356)</f>
        <v>56.488431171875298</v>
      </c>
      <c r="AA358" s="660">
        <f>(AA350/1000*AA356)</f>
        <v>64.938649915193977</v>
      </c>
      <c r="AB358" s="661">
        <f>(AB350/1000*AB356)</f>
        <v>61.634315656475465</v>
      </c>
      <c r="AC358" s="428">
        <f>SUM(Y358:AB358)</f>
        <v>249.73450307627172</v>
      </c>
      <c r="AD358" s="758">
        <f>(AD350/1000*AD356)</f>
        <v>147.86999572740928</v>
      </c>
      <c r="AE358" s="660">
        <f>(AE350/1000*AE356)</f>
        <v>54.436035723227256</v>
      </c>
      <c r="AF358" s="660">
        <f>(AF350/1000*AF356)</f>
        <v>54.436035723227256</v>
      </c>
      <c r="AG358" s="661">
        <f>(AG350/1000*AG356)</f>
        <v>49.723972908479574</v>
      </c>
      <c r="AH358" s="428">
        <f>SUM(AD358:AG358)</f>
        <v>306.4660400823434</v>
      </c>
      <c r="AI358" s="758">
        <f>(AI350/1000*AI356)</f>
        <v>74.349573080332121</v>
      </c>
      <c r="AJ358" s="660">
        <f>(AJ350/1000*AJ356)</f>
        <v>45.899153997324426</v>
      </c>
      <c r="AK358" s="660">
        <f>(AK350/1000*AK356)</f>
        <v>49.569906129809247</v>
      </c>
      <c r="AL358" s="661">
        <f>(AL350/1000*AL356)</f>
        <v>44.50643927728612</v>
      </c>
      <c r="AM358" s="428">
        <f>SUM(AI358:AL358)</f>
        <v>214.32507248475193</v>
      </c>
      <c r="AN358" s="758">
        <f>(AN350/1000*AN356)</f>
        <v>35.940870189473792</v>
      </c>
      <c r="AO358" s="660">
        <f>(AO350/1000*AO356)</f>
        <v>41.586492878847878</v>
      </c>
      <c r="AP358" s="660">
        <f>(AP350/1000*AP356)</f>
        <v>52.882618786043288</v>
      </c>
      <c r="AQ358" s="661">
        <f>(AQ350/1000*AQ356)</f>
        <v>36.389324223248231</v>
      </c>
      <c r="AR358" s="428">
        <f>SUM(AN358:AQ358)</f>
        <v>166.79930607761318</v>
      </c>
      <c r="AS358" s="758">
        <f>(AS350/1000*AS356)</f>
        <v>40.640297727808111</v>
      </c>
      <c r="AT358" s="660">
        <f>(AT350/1000*AT356)</f>
        <v>71.598934404569349</v>
      </c>
      <c r="AU358" s="660">
        <f t="shared" ref="AU358" si="548">(AU350/1000*AU356)</f>
        <v>75.114731339990868</v>
      </c>
      <c r="AV358" s="661">
        <f>(AV350/1000*AV356)</f>
        <v>90.627428834249613</v>
      </c>
      <c r="AW358" s="428">
        <f>SUM(AS358:AV358)</f>
        <v>277.98139230661792</v>
      </c>
      <c r="AX358" s="758">
        <f>(AX350/1000*AX356)</f>
        <v>90.627428834249613</v>
      </c>
      <c r="AY358" s="660">
        <f>(AY350/1000*AY356)</f>
        <v>91.647828099999984</v>
      </c>
      <c r="AZ358" s="660">
        <f>(AZ350/1000*AZ356)</f>
        <v>67.2871942875</v>
      </c>
      <c r="BA358" s="661">
        <f>(BA350/1000*BA356)</f>
        <v>92.03356840375001</v>
      </c>
      <c r="BB358" s="428">
        <f>SUM(AX358:BA358)</f>
        <v>341.59601962549959</v>
      </c>
      <c r="BC358" s="758">
        <f>(BC350/1000*BC356)</f>
        <v>113.97954498879729</v>
      </c>
      <c r="BD358" s="660">
        <f>(BD350/1000*BD356)</f>
        <v>86.182920323349848</v>
      </c>
      <c r="BE358" s="660">
        <f>(BE350/1000*BE356)</f>
        <v>79.643276141602641</v>
      </c>
      <c r="BF358" s="661">
        <f>(BF350/1000*BF356)</f>
        <v>74.451365153627847</v>
      </c>
      <c r="BG358" s="428">
        <f>SUM(BC358:BF358)</f>
        <v>354.25710660737764</v>
      </c>
      <c r="BH358" s="758">
        <f>(BH350/1000*BH356)</f>
        <v>115.9065578265273</v>
      </c>
      <c r="BI358" s="660">
        <f>(BI350/1000*BI356)</f>
        <v>86.208885512611872</v>
      </c>
      <c r="BJ358" s="660">
        <f>(BJ350/1000*BJ356)</f>
        <v>79.730551240564623</v>
      </c>
      <c r="BK358" s="661">
        <f>(BK350/1000*BK356)</f>
        <v>74.585916130376532</v>
      </c>
      <c r="BL358" s="428">
        <f>SUM(BH358:BK358)</f>
        <v>356.43191071008033</v>
      </c>
      <c r="BM358" s="758">
        <f>(BM350/1000*BM356)</f>
        <v>84.1432764847534</v>
      </c>
      <c r="BN358" s="660">
        <f>(BN350/1000*BN356)</f>
        <v>84.1432764847534</v>
      </c>
      <c r="BO358" s="660">
        <f>(BO350/1000*BO356)</f>
        <v>84.1432764847534</v>
      </c>
      <c r="BP358" s="661">
        <f>(BP350/1000*BP356)</f>
        <v>84.1432764847534</v>
      </c>
      <c r="BQ358" s="428">
        <f>SUM(BM358:BP358)</f>
        <v>336.5731059390136</v>
      </c>
      <c r="BR358" s="40"/>
      <c r="BS358" s="40"/>
      <c r="BT358" s="40"/>
      <c r="BU358" s="232"/>
      <c r="BV358" s="40"/>
      <c r="BW358" s="40"/>
      <c r="BX358" s="40"/>
      <c r="BY358" s="40"/>
      <c r="BZ358" s="40"/>
      <c r="CA358" s="40"/>
      <c r="CB358" s="40"/>
      <c r="CC358" s="40"/>
      <c r="CD358" s="40"/>
      <c r="CE358" s="40"/>
      <c r="CF358" s="40"/>
      <c r="CG358" s="40"/>
      <c r="CH358" s="40"/>
      <c r="CI358" s="40"/>
      <c r="CJ358" s="40"/>
      <c r="CK358" s="40"/>
      <c r="CL358" s="40"/>
      <c r="CM358" s="40"/>
      <c r="CN358" s="40"/>
      <c r="CO358" s="40"/>
      <c r="CP358" s="40"/>
      <c r="CQ358" s="40"/>
      <c r="CR358" s="40"/>
      <c r="CS358" s="40"/>
      <c r="CT358" s="823"/>
      <c r="CU358" s="232"/>
      <c r="CV358" s="232"/>
      <c r="CW358" s="232"/>
      <c r="CX358" s="232"/>
      <c r="CY358" s="232"/>
      <c r="CZ358" s="40"/>
      <c r="DA358" s="40"/>
      <c r="DB358" s="40"/>
      <c r="DC358" s="40"/>
      <c r="DD358" s="40"/>
      <c r="DE358" s="40"/>
      <c r="DF358" s="232"/>
      <c r="DG358" s="232"/>
      <c r="DH358" s="232"/>
      <c r="DI358" s="232"/>
      <c r="DJ358" s="232"/>
      <c r="DK358" s="232"/>
      <c r="DL358" s="232"/>
      <c r="DM358" s="232"/>
      <c r="DN358" s="232"/>
    </row>
    <row r="359" spans="1:118">
      <c r="A359" s="40"/>
      <c r="B359" s="1"/>
      <c r="C359" s="28" t="s">
        <v>278</v>
      </c>
      <c r="D359" s="1"/>
      <c r="E359" s="273"/>
      <c r="F359" s="3"/>
      <c r="G359" s="3"/>
      <c r="H359" s="274"/>
      <c r="I359" s="28"/>
      <c r="J359" s="273"/>
      <c r="K359" s="3"/>
      <c r="L359" s="3"/>
      <c r="M359" s="274"/>
      <c r="N359" s="1"/>
      <c r="O359" s="273"/>
      <c r="P359" s="3"/>
      <c r="Q359" s="3"/>
      <c r="R359" s="274"/>
      <c r="S359" s="1"/>
      <c r="T359" s="758"/>
      <c r="U359" s="660"/>
      <c r="V359" s="660"/>
      <c r="W359" s="661"/>
      <c r="X359" s="428"/>
      <c r="Y359" s="758">
        <f>Y351/1000*Y356</f>
        <v>14.039433000000002</v>
      </c>
      <c r="Z359" s="660">
        <f>Z351/1000*Z356</f>
        <v>14.039433000000002</v>
      </c>
      <c r="AA359" s="660">
        <f>AA351/1000*AA356</f>
        <v>14.039433000000002</v>
      </c>
      <c r="AB359" s="661">
        <f>AB351/1000*AB356</f>
        <v>14.039433000000002</v>
      </c>
      <c r="AC359" s="428">
        <f>SUM(Y359:AB359)</f>
        <v>56.15773200000001</v>
      </c>
      <c r="AD359" s="758">
        <f>AD351/1000*AD356</f>
        <v>14.039433000000002</v>
      </c>
      <c r="AE359" s="660">
        <f>AE351/1000*AE356</f>
        <v>12.387735000000001</v>
      </c>
      <c r="AF359" s="660">
        <f>AF351/1000*AF356</f>
        <v>12.387735000000001</v>
      </c>
      <c r="AG359" s="661">
        <f>AG351/1000*AG356</f>
        <v>12.387735000000001</v>
      </c>
      <c r="AH359" s="428">
        <f>SUM(AD359:AG359)</f>
        <v>51.202638</v>
      </c>
      <c r="AI359" s="758">
        <f>AI351/1000*AI356</f>
        <v>12.759367050000002</v>
      </c>
      <c r="AJ359" s="660">
        <f>AJ351/1000*AJ356</f>
        <v>12.759367050000002</v>
      </c>
      <c r="AK359" s="660">
        <f>AK351/1000*AK356</f>
        <v>12.759367050000002</v>
      </c>
      <c r="AL359" s="661">
        <f>AL351/1000*AL356</f>
        <v>12.759367050000002</v>
      </c>
      <c r="AM359" s="428">
        <f>SUM(AI359:AL359)</f>
        <v>51.037468200000006</v>
      </c>
      <c r="AN359" s="758">
        <f>AN351/1000*AN356</f>
        <v>13.1421480615</v>
      </c>
      <c r="AO359" s="660">
        <f>AO351/1000*AO356</f>
        <v>13.1421480615</v>
      </c>
      <c r="AP359" s="660">
        <f>AP351/1000*AP356</f>
        <v>13.1421480615</v>
      </c>
      <c r="AQ359" s="661">
        <f>AQ351/1000*AQ356</f>
        <v>13.1421480615</v>
      </c>
      <c r="AR359" s="428">
        <f>SUM(AN359:AQ359)</f>
        <v>52.568592246000001</v>
      </c>
      <c r="AS359" s="758">
        <f>AS351/1000*AS356</f>
        <v>14.8194015</v>
      </c>
      <c r="AT359" s="660">
        <f>AT351/1000*AT356</f>
        <v>14.8194015</v>
      </c>
      <c r="AU359" s="660">
        <f t="shared" ref="AU359" si="549">AU351/1000*AU356</f>
        <v>14.8194015</v>
      </c>
      <c r="AV359" s="661">
        <f>AV351/1000*AV356</f>
        <v>14.8194015</v>
      </c>
      <c r="AW359" s="428">
        <f>SUM(AS359:AV359)</f>
        <v>59.277605999999999</v>
      </c>
      <c r="AX359" s="758">
        <f>AX351/1000*AX356</f>
        <v>13.947671999999999</v>
      </c>
      <c r="AY359" s="660">
        <f>AY351/1000*AY356</f>
        <v>13.947671999999999</v>
      </c>
      <c r="AZ359" s="660">
        <f>AZ351/1000*AZ356</f>
        <v>11.01132</v>
      </c>
      <c r="BA359" s="661">
        <f>BA351/1000*BA356</f>
        <v>13.947671999999999</v>
      </c>
      <c r="BB359" s="428">
        <f>SUM(AX359:BA359)</f>
        <v>52.854335999999996</v>
      </c>
      <c r="BC359" s="758">
        <f>BC351/1000*BC356</f>
        <v>12.8006595</v>
      </c>
      <c r="BD359" s="660">
        <f>BD351/1000*BD356</f>
        <v>12.8006595</v>
      </c>
      <c r="BE359" s="660">
        <f>BE351/1000*BE356</f>
        <v>12.8006595</v>
      </c>
      <c r="BF359" s="661">
        <f>BF351/1000*BF356</f>
        <v>12.8006595</v>
      </c>
      <c r="BG359" s="428">
        <f>SUM(BC359:BF359)</f>
        <v>51.202638</v>
      </c>
      <c r="BH359" s="758">
        <f>BH351/1000*BH356</f>
        <v>11.974810500000002</v>
      </c>
      <c r="BI359" s="660">
        <f>BI351/1000*BI356</f>
        <v>11.974810500000002</v>
      </c>
      <c r="BJ359" s="660">
        <f>BJ351/1000*BJ356</f>
        <v>11.974810500000002</v>
      </c>
      <c r="BK359" s="661">
        <f>BK351/1000*BK356</f>
        <v>11.974810500000002</v>
      </c>
      <c r="BL359" s="428">
        <f>SUM(BH359:BK359)</f>
        <v>47.899242000000008</v>
      </c>
      <c r="BM359" s="758">
        <f>BM351/1000*BM356</f>
        <v>11.974810500000002</v>
      </c>
      <c r="BN359" s="660">
        <f>BN351/1000*BN356</f>
        <v>11.974810500000002</v>
      </c>
      <c r="BO359" s="660">
        <f>BO351/1000*BO356</f>
        <v>11.974810500000002</v>
      </c>
      <c r="BP359" s="661">
        <f>BP351/1000*BP356</f>
        <v>11.974810500000002</v>
      </c>
      <c r="BQ359" s="428">
        <f>SUM(BM359:BP359)</f>
        <v>47.899242000000008</v>
      </c>
      <c r="BR359" s="40"/>
      <c r="BS359" s="40"/>
      <c r="BT359" s="40"/>
      <c r="BU359" s="232"/>
      <c r="BV359" s="40"/>
      <c r="BW359" s="40"/>
      <c r="BX359" s="40"/>
      <c r="BY359" s="40"/>
      <c r="BZ359" s="40"/>
      <c r="CA359" s="40"/>
      <c r="CB359" s="40"/>
      <c r="CC359" s="40"/>
      <c r="CD359" s="40"/>
      <c r="CE359" s="40"/>
      <c r="CF359" s="40"/>
      <c r="CG359" s="40"/>
      <c r="CH359" s="40"/>
      <c r="CI359" s="40"/>
      <c r="CJ359" s="40"/>
      <c r="CK359" s="40"/>
      <c r="CL359" s="40"/>
      <c r="CM359" s="40"/>
      <c r="CN359" s="40"/>
      <c r="CO359" s="40"/>
      <c r="CP359" s="40"/>
      <c r="CQ359" s="40"/>
      <c r="CR359" s="40"/>
      <c r="CS359" s="40"/>
      <c r="CT359" s="823"/>
      <c r="CU359" s="232"/>
      <c r="CV359" s="232"/>
      <c r="CW359" s="232"/>
      <c r="CX359" s="232"/>
      <c r="CY359" s="232"/>
      <c r="CZ359" s="40"/>
      <c r="DA359" s="40"/>
      <c r="DB359" s="40"/>
      <c r="DC359" s="40"/>
      <c r="DD359" s="40"/>
      <c r="DE359" s="40"/>
      <c r="DF359" s="232"/>
      <c r="DG359" s="232"/>
      <c r="DH359" s="232"/>
      <c r="DI359" s="232"/>
      <c r="DJ359" s="232"/>
      <c r="DK359" s="232"/>
      <c r="DL359" s="232"/>
      <c r="DM359" s="232"/>
      <c r="DN359" s="232"/>
    </row>
    <row r="360" spans="1:118">
      <c r="A360" s="40"/>
      <c r="B360" s="1"/>
      <c r="C360" s="32" t="s">
        <v>199</v>
      </c>
      <c r="D360" s="32"/>
      <c r="E360" s="489"/>
      <c r="F360" s="342"/>
      <c r="G360" s="342"/>
      <c r="H360" s="490"/>
      <c r="I360" s="28"/>
      <c r="J360" s="489"/>
      <c r="K360" s="342"/>
      <c r="L360" s="342"/>
      <c r="M360" s="490"/>
      <c r="N360" s="32"/>
      <c r="O360" s="489"/>
      <c r="P360" s="342"/>
      <c r="Q360" s="342"/>
      <c r="R360" s="490"/>
      <c r="S360" s="32"/>
      <c r="T360" s="292"/>
      <c r="U360" s="261"/>
      <c r="V360" s="261"/>
      <c r="W360" s="293"/>
      <c r="X360" s="228"/>
      <c r="Y360" s="292">
        <f t="shared" ref="Y360:BL360" si="550">Y358-Y359</f>
        <v>52.633673332726971</v>
      </c>
      <c r="Z360" s="261">
        <f t="shared" si="550"/>
        <v>42.448998171875296</v>
      </c>
      <c r="AA360" s="261">
        <f t="shared" si="550"/>
        <v>50.899216915193975</v>
      </c>
      <c r="AB360" s="293">
        <f t="shared" si="550"/>
        <v>47.594882656475463</v>
      </c>
      <c r="AC360" s="228">
        <f t="shared" si="550"/>
        <v>193.57677107627171</v>
      </c>
      <c r="AD360" s="292">
        <f t="shared" si="550"/>
        <v>133.83056272740927</v>
      </c>
      <c r="AE360" s="261">
        <f t="shared" si="550"/>
        <v>42.048300723227257</v>
      </c>
      <c r="AF360" s="261">
        <f t="shared" si="550"/>
        <v>42.048300723227257</v>
      </c>
      <c r="AG360" s="293">
        <f t="shared" si="550"/>
        <v>37.336237908479575</v>
      </c>
      <c r="AH360" s="228">
        <f t="shared" si="550"/>
        <v>255.26340208234339</v>
      </c>
      <c r="AI360" s="292">
        <f t="shared" si="550"/>
        <v>61.590206030332119</v>
      </c>
      <c r="AJ360" s="261">
        <f t="shared" si="550"/>
        <v>33.139786947324424</v>
      </c>
      <c r="AK360" s="261">
        <f t="shared" si="550"/>
        <v>36.810539079809246</v>
      </c>
      <c r="AL360" s="293">
        <f t="shared" si="550"/>
        <v>31.747072227286118</v>
      </c>
      <c r="AM360" s="228">
        <f t="shared" si="550"/>
        <v>163.28760428475192</v>
      </c>
      <c r="AN360" s="292">
        <f t="shared" si="550"/>
        <v>22.798722127973789</v>
      </c>
      <c r="AO360" s="261">
        <f t="shared" si="550"/>
        <v>28.444344817347876</v>
      </c>
      <c r="AP360" s="261">
        <f t="shared" si="550"/>
        <v>39.740470724543286</v>
      </c>
      <c r="AQ360" s="293">
        <f t="shared" si="550"/>
        <v>23.247176161748229</v>
      </c>
      <c r="AR360" s="228">
        <f t="shared" si="550"/>
        <v>114.23071383161317</v>
      </c>
      <c r="AS360" s="292">
        <f t="shared" si="550"/>
        <v>25.820896227808113</v>
      </c>
      <c r="AT360" s="261">
        <f t="shared" si="550"/>
        <v>56.779532904569351</v>
      </c>
      <c r="AU360" s="261">
        <f t="shared" ref="AU360" si="551">AU358-AU359</f>
        <v>60.29532983999087</v>
      </c>
      <c r="AV360" s="293">
        <f t="shared" si="550"/>
        <v>75.808027334249616</v>
      </c>
      <c r="AW360" s="228">
        <f t="shared" si="550"/>
        <v>218.70378630661793</v>
      </c>
      <c r="AX360" s="292">
        <f t="shared" si="550"/>
        <v>76.679756834249616</v>
      </c>
      <c r="AY360" s="261">
        <f t="shared" si="550"/>
        <v>77.700156099999987</v>
      </c>
      <c r="AZ360" s="261">
        <f t="shared" si="550"/>
        <v>56.275874287500002</v>
      </c>
      <c r="BA360" s="293">
        <f t="shared" si="550"/>
        <v>78.085896403750013</v>
      </c>
      <c r="BB360" s="228">
        <f t="shared" si="550"/>
        <v>288.7416836254996</v>
      </c>
      <c r="BC360" s="292">
        <f t="shared" si="550"/>
        <v>101.17888548879729</v>
      </c>
      <c r="BD360" s="261">
        <f t="shared" si="550"/>
        <v>73.382260823349853</v>
      </c>
      <c r="BE360" s="261">
        <f t="shared" si="550"/>
        <v>66.842616641602646</v>
      </c>
      <c r="BF360" s="293">
        <f t="shared" si="550"/>
        <v>61.650705653627845</v>
      </c>
      <c r="BG360" s="228">
        <f t="shared" si="550"/>
        <v>303.05446860737766</v>
      </c>
      <c r="BH360" s="292">
        <f t="shared" si="550"/>
        <v>103.9317473265273</v>
      </c>
      <c r="BI360" s="261">
        <f t="shared" si="550"/>
        <v>74.234075012611868</v>
      </c>
      <c r="BJ360" s="261">
        <f t="shared" si="550"/>
        <v>67.755740740564619</v>
      </c>
      <c r="BK360" s="293">
        <f t="shared" si="550"/>
        <v>62.611105630376528</v>
      </c>
      <c r="BL360" s="228">
        <f t="shared" si="550"/>
        <v>308.53266871008032</v>
      </c>
      <c r="BM360" s="292">
        <f t="shared" ref="BM360:BQ360" si="552">BM358-BM359</f>
        <v>72.168465984753396</v>
      </c>
      <c r="BN360" s="261">
        <f t="shared" si="552"/>
        <v>72.168465984753396</v>
      </c>
      <c r="BO360" s="261">
        <f t="shared" si="552"/>
        <v>72.168465984753396</v>
      </c>
      <c r="BP360" s="293">
        <f t="shared" si="552"/>
        <v>72.168465984753396</v>
      </c>
      <c r="BQ360" s="228">
        <f t="shared" si="552"/>
        <v>288.67386393901359</v>
      </c>
      <c r="BR360" s="40"/>
      <c r="BS360" s="40"/>
      <c r="BT360" s="40"/>
      <c r="BU360" s="232"/>
      <c r="BV360" s="40"/>
      <c r="BW360" s="40"/>
      <c r="BX360" s="40"/>
      <c r="BY360" s="40"/>
      <c r="BZ360" s="40"/>
      <c r="CA360" s="40"/>
      <c r="CB360" s="40"/>
      <c r="CC360" s="40"/>
      <c r="CD360" s="40"/>
      <c r="CE360" s="40"/>
      <c r="CF360" s="40"/>
      <c r="CG360" s="40"/>
      <c r="CH360" s="40"/>
      <c r="CI360" s="40"/>
      <c r="CJ360" s="40"/>
      <c r="CK360" s="40"/>
      <c r="CL360" s="40"/>
      <c r="CM360" s="40"/>
      <c r="CN360" s="40"/>
      <c r="CO360" s="40"/>
      <c r="CP360" s="40"/>
      <c r="CQ360" s="40"/>
      <c r="CR360" s="40"/>
      <c r="CS360" s="40"/>
      <c r="CT360" s="823"/>
      <c r="CU360" s="232"/>
      <c r="CV360" s="232"/>
      <c r="CW360" s="232"/>
      <c r="CX360" s="232"/>
      <c r="CY360" s="232"/>
      <c r="CZ360" s="40"/>
      <c r="DA360" s="40"/>
      <c r="DB360" s="40"/>
      <c r="DC360" s="40"/>
      <c r="DD360" s="40"/>
      <c r="DE360" s="40"/>
      <c r="DF360" s="232"/>
      <c r="DG360" s="232"/>
      <c r="DH360" s="232"/>
      <c r="DI360" s="232"/>
      <c r="DJ360" s="232"/>
      <c r="DK360" s="232"/>
      <c r="DL360" s="232"/>
      <c r="DM360" s="232"/>
      <c r="DN360" s="232"/>
    </row>
    <row r="361" spans="1:118">
      <c r="A361" s="40"/>
      <c r="B361" s="1"/>
      <c r="C361" s="32"/>
      <c r="D361" s="32"/>
      <c r="E361" s="489"/>
      <c r="F361" s="342"/>
      <c r="G361" s="342"/>
      <c r="H361" s="490"/>
      <c r="I361" s="28"/>
      <c r="J361" s="489"/>
      <c r="K361" s="342"/>
      <c r="L361" s="342"/>
      <c r="M361" s="490"/>
      <c r="N361" s="32"/>
      <c r="O361" s="489"/>
      <c r="P361" s="342"/>
      <c r="Q361" s="342"/>
      <c r="R361" s="490"/>
      <c r="S361" s="32"/>
      <c r="T361" s="292"/>
      <c r="U361" s="261"/>
      <c r="V361" s="261"/>
      <c r="W361" s="293"/>
      <c r="X361" s="228"/>
      <c r="Y361" s="292"/>
      <c r="Z361" s="261"/>
      <c r="AA361" s="261"/>
      <c r="AB361" s="293"/>
      <c r="AC361" s="228"/>
      <c r="AD361" s="292"/>
      <c r="AE361" s="261"/>
      <c r="AF361" s="261"/>
      <c r="AG361" s="293"/>
      <c r="AH361" s="228"/>
      <c r="AI361" s="292"/>
      <c r="AJ361" s="261"/>
      <c r="AK361" s="261"/>
      <c r="AL361" s="293"/>
      <c r="AM361" s="228"/>
      <c r="AN361" s="292"/>
      <c r="AO361" s="261"/>
      <c r="AP361" s="261"/>
      <c r="AQ361" s="293"/>
      <c r="AR361" s="228"/>
      <c r="AS361" s="292"/>
      <c r="AT361" s="261"/>
      <c r="AU361" s="261"/>
      <c r="AV361" s="293"/>
      <c r="AW361" s="228"/>
      <c r="AX361" s="292"/>
      <c r="AY361" s="261"/>
      <c r="AZ361" s="261"/>
      <c r="BA361" s="293"/>
      <c r="BB361" s="228"/>
      <c r="BC361" s="292"/>
      <c r="BD361" s="261"/>
      <c r="BE361" s="261"/>
      <c r="BF361" s="293"/>
      <c r="BG361" s="228"/>
      <c r="BH361" s="292"/>
      <c r="BI361" s="261"/>
      <c r="BJ361" s="261"/>
      <c r="BK361" s="293"/>
      <c r="BL361" s="228"/>
      <c r="BM361" s="292"/>
      <c r="BN361" s="261"/>
      <c r="BO361" s="261"/>
      <c r="BP361" s="293"/>
      <c r="BQ361" s="228"/>
      <c r="BR361" s="40"/>
      <c r="BS361" s="40"/>
      <c r="BT361" s="40"/>
      <c r="BU361" s="232"/>
      <c r="BV361" s="40"/>
      <c r="BW361" s="40"/>
      <c r="BX361" s="40"/>
      <c r="BY361" s="40"/>
      <c r="BZ361" s="40"/>
      <c r="CA361" s="40"/>
      <c r="CB361" s="40"/>
      <c r="CC361" s="40"/>
      <c r="CD361" s="40"/>
      <c r="CE361" s="40"/>
      <c r="CF361" s="40"/>
      <c r="CG361" s="40"/>
      <c r="CH361" s="40"/>
      <c r="CI361" s="40"/>
      <c r="CJ361" s="40"/>
      <c r="CK361" s="40"/>
      <c r="CL361" s="40"/>
      <c r="CM361" s="40"/>
      <c r="CN361" s="40"/>
      <c r="CO361" s="40"/>
      <c r="CP361" s="40"/>
      <c r="CQ361" s="40"/>
      <c r="CR361" s="40"/>
      <c r="CS361" s="40"/>
      <c r="CT361" s="823"/>
      <c r="CU361" s="232"/>
      <c r="CV361" s="232"/>
      <c r="CW361" s="232"/>
      <c r="CX361" s="232"/>
      <c r="CY361" s="232"/>
      <c r="CZ361" s="40"/>
      <c r="DA361" s="40"/>
      <c r="DB361" s="40"/>
      <c r="DC361" s="40"/>
      <c r="DD361" s="40"/>
      <c r="DE361" s="40"/>
      <c r="DF361" s="232"/>
      <c r="DG361" s="232"/>
      <c r="DH361" s="232"/>
      <c r="DI361" s="232"/>
      <c r="DJ361" s="232"/>
      <c r="DK361" s="232"/>
      <c r="DL361" s="232"/>
      <c r="DM361" s="232"/>
      <c r="DN361" s="232"/>
    </row>
    <row r="362" spans="1:118">
      <c r="A362" s="40"/>
      <c r="B362" s="1"/>
      <c r="C362" s="429" t="s">
        <v>1477</v>
      </c>
      <c r="D362" s="32"/>
      <c r="E362" s="489"/>
      <c r="F362" s="342"/>
      <c r="G362" s="342"/>
      <c r="H362" s="490"/>
      <c r="I362" s="28"/>
      <c r="J362" s="489"/>
      <c r="K362" s="342"/>
      <c r="L362" s="342"/>
      <c r="M362" s="490"/>
      <c r="N362" s="32"/>
      <c r="O362" s="489"/>
      <c r="P362" s="342"/>
      <c r="Q362" s="342"/>
      <c r="R362" s="490"/>
      <c r="S362" s="32"/>
      <c r="T362" s="292"/>
      <c r="U362" s="261"/>
      <c r="V362" s="261"/>
      <c r="W362" s="293"/>
      <c r="X362" s="228"/>
      <c r="Y362" s="292"/>
      <c r="Z362" s="261"/>
      <c r="AA362" s="261"/>
      <c r="AB362" s="293"/>
      <c r="AC362" s="228"/>
      <c r="AD362" s="292"/>
      <c r="AE362" s="261"/>
      <c r="AF362" s="261"/>
      <c r="AG362" s="293"/>
      <c r="AH362" s="228"/>
      <c r="AI362" s="292"/>
      <c r="AJ362" s="261"/>
      <c r="AK362" s="261"/>
      <c r="AL362" s="293"/>
      <c r="AM362" s="228"/>
      <c r="AN362" s="292"/>
      <c r="AO362" s="261"/>
      <c r="AP362" s="261"/>
      <c r="AQ362" s="293"/>
      <c r="AR362" s="228"/>
      <c r="AS362" s="292"/>
      <c r="AT362" s="261"/>
      <c r="AU362" s="261"/>
      <c r="AV362" s="293"/>
      <c r="AW362" s="228"/>
      <c r="AX362" s="292"/>
      <c r="AY362" s="261"/>
      <c r="AZ362" s="261"/>
      <c r="BA362" s="293"/>
      <c r="BB362" s="228"/>
      <c r="BC362" s="292"/>
      <c r="BD362" s="261"/>
      <c r="BE362" s="261"/>
      <c r="BF362" s="293"/>
      <c r="BG362" s="228"/>
      <c r="BH362" s="2166"/>
      <c r="BI362" s="261"/>
      <c r="BJ362" s="261"/>
      <c r="BK362" s="293"/>
      <c r="BL362" s="228"/>
      <c r="BM362" s="2166"/>
      <c r="BN362" s="261"/>
      <c r="BO362" s="261"/>
      <c r="BP362" s="293"/>
      <c r="BQ362" s="228"/>
      <c r="BR362" s="40"/>
      <c r="BS362" s="40"/>
      <c r="BT362" s="40"/>
      <c r="BU362" s="232"/>
      <c r="BV362" s="40"/>
      <c r="BW362" s="40"/>
      <c r="BX362" s="40"/>
      <c r="BY362" s="40"/>
      <c r="BZ362" s="40"/>
      <c r="CA362" s="40"/>
      <c r="CB362" s="40"/>
      <c r="CC362" s="40"/>
      <c r="CD362" s="40"/>
      <c r="CE362" s="40"/>
      <c r="CF362" s="40"/>
      <c r="CG362" s="40"/>
      <c r="CH362" s="40"/>
      <c r="CI362" s="40"/>
      <c r="CJ362" s="40"/>
      <c r="CK362" s="40"/>
      <c r="CL362" s="40"/>
      <c r="CM362" s="40"/>
      <c r="CN362" s="40"/>
      <c r="CO362" s="40"/>
      <c r="CP362" s="40"/>
      <c r="CQ362" s="40"/>
      <c r="CR362" s="40"/>
      <c r="CS362" s="40"/>
      <c r="CT362" s="823"/>
      <c r="CU362" s="232"/>
      <c r="CV362" s="232"/>
      <c r="CW362" s="232"/>
      <c r="CX362" s="232"/>
      <c r="CY362" s="232"/>
      <c r="CZ362" s="40"/>
      <c r="DA362" s="40"/>
      <c r="DB362" s="40"/>
      <c r="DC362" s="40"/>
      <c r="DD362" s="40"/>
      <c r="DE362" s="40"/>
      <c r="DF362" s="232"/>
      <c r="DG362" s="232"/>
      <c r="DH362" s="232"/>
      <c r="DI362" s="232"/>
      <c r="DJ362" s="232"/>
      <c r="DK362" s="232"/>
      <c r="DL362" s="232"/>
      <c r="DM362" s="232"/>
      <c r="DN362" s="232"/>
    </row>
    <row r="363" spans="1:118">
      <c r="A363" s="40"/>
      <c r="B363" s="1"/>
      <c r="C363" s="28" t="s">
        <v>194</v>
      </c>
      <c r="D363" s="32"/>
      <c r="E363" s="489"/>
      <c r="F363" s="342"/>
      <c r="G363" s="342"/>
      <c r="H363" s="490"/>
      <c r="I363" s="28"/>
      <c r="J363" s="489"/>
      <c r="K363" s="342"/>
      <c r="L363" s="342"/>
      <c r="M363" s="490"/>
      <c r="N363" s="32"/>
      <c r="O363" s="489"/>
      <c r="P363" s="342"/>
      <c r="Q363" s="342"/>
      <c r="R363" s="490"/>
      <c r="S363" s="32"/>
      <c r="T363" s="292"/>
      <c r="U363" s="261"/>
      <c r="V363" s="261"/>
      <c r="W363" s="293"/>
      <c r="X363" s="228"/>
      <c r="Y363" s="436">
        <f t="shared" ref="Y363:AK363" si="553">Y$71</f>
        <v>40.36640253407522</v>
      </c>
      <c r="Z363" s="437">
        <f t="shared" si="553"/>
        <v>34.200217698317303</v>
      </c>
      <c r="AA363" s="437">
        <f t="shared" si="553"/>
        <v>39.316297480044156</v>
      </c>
      <c r="AB363" s="438">
        <f t="shared" si="553"/>
        <v>37.315729422978933</v>
      </c>
      <c r="AC363" s="439">
        <f t="shared" si="553"/>
        <v>37.799661783853907</v>
      </c>
      <c r="AD363" s="436">
        <f t="shared" si="553"/>
        <v>89.526048785800583</v>
      </c>
      <c r="AE363" s="437">
        <f t="shared" si="553"/>
        <v>32.957620414402179</v>
      </c>
      <c r="AF363" s="437">
        <f t="shared" si="553"/>
        <v>32.957620414402179</v>
      </c>
      <c r="AG363" s="438">
        <f t="shared" si="553"/>
        <v>30.104760621178674</v>
      </c>
      <c r="AH363" s="439">
        <f t="shared" si="553"/>
        <v>46.386512558945903</v>
      </c>
      <c r="AI363" s="436">
        <f t="shared" si="553"/>
        <v>45.014023798740517</v>
      </c>
      <c r="AJ363" s="437">
        <f t="shared" si="553"/>
        <v>27.789071608323329</v>
      </c>
      <c r="AK363" s="437">
        <f t="shared" si="553"/>
        <v>30.011482807274241</v>
      </c>
      <c r="AL363" s="438">
        <f>AL$71+3</f>
        <v>26.945869812330169</v>
      </c>
      <c r="AM363" s="439">
        <f>AM$71+3</f>
        <v>34.690112006667064</v>
      </c>
      <c r="AN363" s="2135">
        <f t="shared" ref="AN363:AS363" si="554">AN$71</f>
        <v>21.759952599975172</v>
      </c>
      <c r="AO363" s="2145">
        <f t="shared" si="554"/>
        <v>25.178024601862976</v>
      </c>
      <c r="AP363" s="2145">
        <f t="shared" si="554"/>
        <v>32.017123460852581</v>
      </c>
      <c r="AQ363" s="2146">
        <f t="shared" si="554"/>
        <v>22.031463514061425</v>
      </c>
      <c r="AR363" s="439">
        <f t="shared" si="554"/>
        <v>25.246641044188038</v>
      </c>
      <c r="AS363" s="436">
        <f t="shared" si="554"/>
        <v>23.310153968523558</v>
      </c>
      <c r="AT363" s="437">
        <f>AT$71+17.48</f>
        <v>41.067174166165856</v>
      </c>
      <c r="AU363" s="437">
        <f t="shared" ref="AU363" si="555">AU$71+17.48</f>
        <v>43.083738327079026</v>
      </c>
      <c r="AV363" s="2101">
        <f t="shared" ref="AV363:BC363" si="556">AV$71+17.48</f>
        <v>51.981393789156854</v>
      </c>
      <c r="AW363" s="2144">
        <f t="shared" si="556"/>
        <v>44.230615062731317</v>
      </c>
      <c r="AX363" s="2143">
        <f t="shared" si="556"/>
        <v>51.981393789156854</v>
      </c>
      <c r="AY363" s="2089">
        <f t="shared" si="556"/>
        <v>52.566666666666663</v>
      </c>
      <c r="AZ363" s="2089">
        <f t="shared" si="556"/>
        <v>48.885833333333331</v>
      </c>
      <c r="BA363" s="2101">
        <f t="shared" si="556"/>
        <v>52.787916666666675</v>
      </c>
      <c r="BB363" s="2144">
        <f t="shared" si="556"/>
        <v>51.555452613955879</v>
      </c>
      <c r="BC363" s="2143">
        <f t="shared" si="556"/>
        <v>69.007497126470625</v>
      </c>
      <c r="BD363" s="2089">
        <f>BD$71+$CF$367</f>
        <v>52.178376630201072</v>
      </c>
      <c r="BE363" s="2089">
        <f>BE$71+$CF$367</f>
        <v>48.219030441159724</v>
      </c>
      <c r="BF363" s="2101">
        <f>BF$71+$CF$367</f>
        <v>45.075652542794046</v>
      </c>
      <c r="BG363" s="2144">
        <f>BG$71+$CF$367</f>
        <v>53.949316205214316</v>
      </c>
      <c r="BH363" s="2143">
        <f>BH$71+$CF$368</f>
        <v>70.174183068894735</v>
      </c>
      <c r="BI363" s="2089">
        <f>BI$71+$CF$368</f>
        <v>52.194096930923124</v>
      </c>
      <c r="BJ363" s="2089">
        <f>BJ$71+$CF$368</f>
        <v>48.271870063755372</v>
      </c>
      <c r="BK363" s="2101">
        <f>BK$71+$CF$368</f>
        <v>45.157114757284035</v>
      </c>
      <c r="BL363" s="2144">
        <f>BL$71+$CF$368</f>
        <v>53.949316205214316</v>
      </c>
      <c r="BM363" s="2143">
        <f>BM$71+$CF$369</f>
        <v>51.417484286328474</v>
      </c>
      <c r="BN363" s="2089">
        <f>BN$71+$CF$370</f>
        <v>53.205171486328481</v>
      </c>
      <c r="BO363" s="2089">
        <f>BO$71+$CF$370</f>
        <v>53.205171486328481</v>
      </c>
      <c r="BP363" s="2101">
        <f>BP$71+$CF$370</f>
        <v>53.205171486328481</v>
      </c>
      <c r="BQ363" s="2144">
        <f>BQ$71+$CF$370</f>
        <v>53.205171486328481</v>
      </c>
      <c r="BR363" s="40"/>
      <c r="BS363" s="40"/>
      <c r="BT363" s="40"/>
      <c r="BU363" s="232"/>
      <c r="BV363" s="40"/>
      <c r="BW363" s="40"/>
      <c r="BX363" s="40"/>
      <c r="BY363" s="40"/>
      <c r="BZ363" s="40"/>
      <c r="CA363" s="40"/>
      <c r="CB363" s="40"/>
      <c r="CC363" s="40"/>
      <c r="CD363" s="40"/>
      <c r="CE363" s="40"/>
      <c r="CF363" s="40"/>
      <c r="CG363" s="40"/>
      <c r="CH363" s="40"/>
      <c r="CI363" s="40"/>
      <c r="CJ363" s="40"/>
      <c r="CK363" s="40"/>
      <c r="CL363" s="40"/>
      <c r="CM363" s="40"/>
      <c r="CN363" s="40"/>
      <c r="CO363" s="40"/>
      <c r="CP363" s="40"/>
      <c r="CQ363" s="40"/>
      <c r="CR363" s="40"/>
      <c r="CS363" s="40"/>
      <c r="CT363" s="823"/>
      <c r="CU363" s="232"/>
      <c r="CV363" s="232"/>
      <c r="CW363" s="232"/>
      <c r="CX363" s="232"/>
      <c r="CY363" s="232"/>
      <c r="CZ363" s="40"/>
      <c r="DA363" s="40"/>
      <c r="DB363" s="40"/>
      <c r="DC363" s="40"/>
      <c r="DD363" s="40"/>
      <c r="DE363" s="40"/>
      <c r="DF363" s="232"/>
      <c r="DG363" s="232"/>
      <c r="DH363" s="232"/>
      <c r="DI363" s="232"/>
      <c r="DJ363" s="232"/>
      <c r="DK363" s="232"/>
      <c r="DL363" s="232"/>
      <c r="DM363" s="232"/>
      <c r="DN363" s="232"/>
    </row>
    <row r="364" spans="1:118">
      <c r="A364" s="40"/>
      <c r="B364" s="1"/>
      <c r="C364" s="28" t="s">
        <v>195</v>
      </c>
      <c r="D364" s="32"/>
      <c r="E364" s="489"/>
      <c r="F364" s="342"/>
      <c r="G364" s="342"/>
      <c r="H364" s="490"/>
      <c r="I364" s="28"/>
      <c r="J364" s="489"/>
      <c r="K364" s="342"/>
      <c r="L364" s="342"/>
      <c r="M364" s="490"/>
      <c r="N364" s="32"/>
      <c r="O364" s="489"/>
      <c r="P364" s="342"/>
      <c r="Q364" s="342"/>
      <c r="R364" s="490"/>
      <c r="S364" s="32"/>
      <c r="T364" s="292"/>
      <c r="U364" s="261"/>
      <c r="V364" s="261"/>
      <c r="W364" s="293"/>
      <c r="X364" s="228"/>
      <c r="Y364" s="436">
        <f t="shared" ref="Y364:BQ364" si="557">+Y$273</f>
        <v>8.5</v>
      </c>
      <c r="Z364" s="437">
        <f t="shared" si="557"/>
        <v>8.5</v>
      </c>
      <c r="AA364" s="437">
        <f t="shared" si="557"/>
        <v>8.5</v>
      </c>
      <c r="AB364" s="438">
        <f t="shared" si="557"/>
        <v>8.5</v>
      </c>
      <c r="AC364" s="439">
        <f t="shared" si="557"/>
        <v>8.5</v>
      </c>
      <c r="AD364" s="436">
        <f t="shared" si="557"/>
        <v>8.5</v>
      </c>
      <c r="AE364" s="437">
        <f t="shared" si="557"/>
        <v>7.5</v>
      </c>
      <c r="AF364" s="437">
        <f t="shared" si="557"/>
        <v>7.5</v>
      </c>
      <c r="AG364" s="438">
        <f t="shared" si="557"/>
        <v>7.5</v>
      </c>
      <c r="AH364" s="439">
        <f t="shared" si="557"/>
        <v>7.5</v>
      </c>
      <c r="AI364" s="436">
        <f t="shared" si="557"/>
        <v>7.7250000000000005</v>
      </c>
      <c r="AJ364" s="437">
        <f t="shared" si="557"/>
        <v>7.7250000000000005</v>
      </c>
      <c r="AK364" s="437">
        <f t="shared" si="557"/>
        <v>7.7250000000000005</v>
      </c>
      <c r="AL364" s="438">
        <f t="shared" si="557"/>
        <v>7.7250000000000005</v>
      </c>
      <c r="AM364" s="439">
        <f t="shared" si="557"/>
        <v>7.7250000000000005</v>
      </c>
      <c r="AN364" s="436">
        <f t="shared" si="557"/>
        <v>7.9567500000000004</v>
      </c>
      <c r="AO364" s="437">
        <f t="shared" si="557"/>
        <v>7.9567500000000004</v>
      </c>
      <c r="AP364" s="437">
        <f t="shared" si="557"/>
        <v>7.9567500000000004</v>
      </c>
      <c r="AQ364" s="438">
        <f t="shared" si="557"/>
        <v>7.9567500000000004</v>
      </c>
      <c r="AR364" s="439">
        <f t="shared" si="557"/>
        <v>7.9567500000000004</v>
      </c>
      <c r="AS364" s="436">
        <f t="shared" si="557"/>
        <v>8.5</v>
      </c>
      <c r="AT364" s="437">
        <f t="shared" si="557"/>
        <v>8.5</v>
      </c>
      <c r="AU364" s="437">
        <f t="shared" si="557"/>
        <v>8.5</v>
      </c>
      <c r="AV364" s="438">
        <f t="shared" si="557"/>
        <v>8.5</v>
      </c>
      <c r="AW364" s="439">
        <f t="shared" si="557"/>
        <v>8.5</v>
      </c>
      <c r="AX364" s="436">
        <f t="shared" si="557"/>
        <v>8</v>
      </c>
      <c r="AY364" s="437">
        <f t="shared" si="557"/>
        <v>8</v>
      </c>
      <c r="AZ364" s="437">
        <f t="shared" si="557"/>
        <v>8</v>
      </c>
      <c r="BA364" s="438">
        <f t="shared" si="557"/>
        <v>8</v>
      </c>
      <c r="BB364" s="439">
        <f t="shared" si="557"/>
        <v>8</v>
      </c>
      <c r="BC364" s="436">
        <f t="shared" si="557"/>
        <v>7.75</v>
      </c>
      <c r="BD364" s="437">
        <f t="shared" si="557"/>
        <v>7.75</v>
      </c>
      <c r="BE364" s="437">
        <f t="shared" si="557"/>
        <v>7.75</v>
      </c>
      <c r="BF364" s="438">
        <f>+BF$273</f>
        <v>7.75</v>
      </c>
      <c r="BG364" s="439">
        <f>+BG$273</f>
        <v>7.75</v>
      </c>
      <c r="BH364" s="436">
        <f t="shared" si="557"/>
        <v>7.25</v>
      </c>
      <c r="BI364" s="437">
        <f t="shared" si="557"/>
        <v>7.25</v>
      </c>
      <c r="BJ364" s="437">
        <f t="shared" si="557"/>
        <v>7.25</v>
      </c>
      <c r="BK364" s="438">
        <f t="shared" si="557"/>
        <v>7.25</v>
      </c>
      <c r="BL364" s="439">
        <f t="shared" si="557"/>
        <v>7.25</v>
      </c>
      <c r="BM364" s="436">
        <f t="shared" si="557"/>
        <v>7.25</v>
      </c>
      <c r="BN364" s="437">
        <f t="shared" si="557"/>
        <v>7.25</v>
      </c>
      <c r="BO364" s="437">
        <f t="shared" si="557"/>
        <v>7.25</v>
      </c>
      <c r="BP364" s="438">
        <f t="shared" si="557"/>
        <v>7.25</v>
      </c>
      <c r="BQ364" s="439">
        <f t="shared" si="557"/>
        <v>7.25</v>
      </c>
      <c r="BR364" s="40"/>
      <c r="BS364" s="40"/>
      <c r="BT364" s="40"/>
      <c r="BU364" s="232"/>
      <c r="BV364" s="1147" t="s">
        <v>1486</v>
      </c>
      <c r="BW364" s="40"/>
      <c r="BY364" s="40"/>
      <c r="BZ364" s="40"/>
      <c r="CA364" s="40"/>
      <c r="CB364" s="40"/>
      <c r="CC364" s="40"/>
      <c r="CD364" s="40"/>
      <c r="CE364" s="40"/>
      <c r="CF364" s="40"/>
      <c r="CG364" s="40"/>
      <c r="CH364" s="40"/>
      <c r="CI364" s="40"/>
      <c r="CJ364" s="40"/>
      <c r="CK364" s="40"/>
      <c r="CL364" s="40"/>
      <c r="CM364" s="40"/>
      <c r="CN364" s="40"/>
      <c r="CO364" s="40"/>
      <c r="CP364" s="40"/>
      <c r="CQ364" s="40"/>
      <c r="CR364" s="40"/>
      <c r="CS364" s="40"/>
      <c r="CT364" s="823"/>
      <c r="CU364" s="232"/>
      <c r="CV364" s="232"/>
      <c r="CW364" s="232"/>
      <c r="CX364" s="232"/>
      <c r="CY364" s="232"/>
      <c r="CZ364" s="40"/>
      <c r="DA364" s="40"/>
      <c r="DB364" s="40"/>
      <c r="DC364" s="40"/>
      <c r="DD364" s="40"/>
      <c r="DE364" s="40"/>
      <c r="DF364" s="232"/>
      <c r="DG364" s="232"/>
      <c r="DH364" s="232"/>
      <c r="DI364" s="232"/>
      <c r="DJ364" s="232"/>
      <c r="DK364" s="232"/>
      <c r="DL364" s="232"/>
      <c r="DM364" s="232"/>
      <c r="DN364" s="232"/>
    </row>
    <row r="365" spans="1:118">
      <c r="A365" s="40"/>
      <c r="B365" s="1"/>
      <c r="C365" s="1"/>
      <c r="D365" s="32"/>
      <c r="E365" s="489"/>
      <c r="F365" s="342"/>
      <c r="G365" s="342"/>
      <c r="H365" s="490"/>
      <c r="I365" s="28"/>
      <c r="J365" s="489"/>
      <c r="K365" s="342"/>
      <c r="L365" s="342"/>
      <c r="M365" s="490"/>
      <c r="N365" s="32"/>
      <c r="O365" s="489"/>
      <c r="P365" s="342"/>
      <c r="Q365" s="342"/>
      <c r="R365" s="490"/>
      <c r="S365" s="32"/>
      <c r="T365" s="292"/>
      <c r="U365" s="261"/>
      <c r="V365" s="261"/>
      <c r="W365" s="293"/>
      <c r="X365" s="228"/>
      <c r="Y365" s="292"/>
      <c r="Z365" s="261"/>
      <c r="AA365" s="261"/>
      <c r="AB365" s="293"/>
      <c r="AC365" s="228"/>
      <c r="AD365" s="292"/>
      <c r="AE365" s="261"/>
      <c r="AF365" s="261"/>
      <c r="AG365" s="293"/>
      <c r="AH365" s="228"/>
      <c r="AI365" s="292"/>
      <c r="AJ365" s="261"/>
      <c r="AK365" s="261"/>
      <c r="AL365" s="293"/>
      <c r="AM365" s="228"/>
      <c r="AN365" s="292"/>
      <c r="AO365" s="261"/>
      <c r="AP365" s="261"/>
      <c r="AQ365" s="293"/>
      <c r="AR365" s="228"/>
      <c r="AS365" s="292"/>
      <c r="AT365" s="261"/>
      <c r="AU365" s="261"/>
      <c r="AV365" s="293"/>
      <c r="AW365" s="228"/>
      <c r="AX365" s="292"/>
      <c r="AY365" s="261"/>
      <c r="AZ365" s="261"/>
      <c r="BA365" s="293"/>
      <c r="BB365" s="228"/>
      <c r="BC365" s="292"/>
      <c r="BD365" s="261"/>
      <c r="BE365" s="261"/>
      <c r="BF365" s="293"/>
      <c r="BG365" s="228"/>
      <c r="BH365" s="292"/>
      <c r="BI365" s="261"/>
      <c r="BJ365" s="261"/>
      <c r="BK365" s="293"/>
      <c r="BL365" s="228"/>
      <c r="BM365" s="292"/>
      <c r="BN365" s="261"/>
      <c r="BO365" s="261"/>
      <c r="BP365" s="293"/>
      <c r="BQ365" s="228"/>
      <c r="BR365" s="40"/>
      <c r="BS365" s="40"/>
      <c r="BU365" s="2196"/>
      <c r="BV365" s="2232" t="s">
        <v>1455</v>
      </c>
      <c r="BW365" s="2232" t="s">
        <v>1451</v>
      </c>
      <c r="BX365" s="2232" t="s">
        <v>1452</v>
      </c>
      <c r="BY365" s="2232" t="s">
        <v>1453</v>
      </c>
      <c r="BZ365" s="2232" t="s">
        <v>1454</v>
      </c>
      <c r="CA365" s="2232" t="s">
        <v>1456</v>
      </c>
      <c r="CB365" s="2232"/>
      <c r="CC365" s="2232" t="s">
        <v>1457</v>
      </c>
      <c r="CD365" s="2232" t="s">
        <v>1500</v>
      </c>
      <c r="CE365" s="2195" t="s">
        <v>1459</v>
      </c>
      <c r="CF365" s="2232" t="s">
        <v>1460</v>
      </c>
      <c r="CG365" s="40"/>
      <c r="CH365" s="40"/>
      <c r="CI365" s="40"/>
      <c r="CJ365" s="40"/>
      <c r="CK365" s="40"/>
      <c r="CL365" s="40"/>
      <c r="CM365" s="40"/>
      <c r="CN365" s="40"/>
      <c r="CO365" s="40"/>
      <c r="CP365" s="40"/>
      <c r="CQ365" s="40"/>
      <c r="CR365" s="40"/>
      <c r="CS365" s="40"/>
      <c r="CT365" s="823"/>
      <c r="CU365" s="232"/>
      <c r="CV365" s="232"/>
      <c r="CW365" s="232"/>
      <c r="CX365" s="232"/>
      <c r="CY365" s="232"/>
      <c r="CZ365" s="40"/>
      <c r="DA365" s="40"/>
      <c r="DB365" s="40"/>
      <c r="DC365" s="40"/>
      <c r="DD365" s="40"/>
      <c r="DE365" s="40"/>
      <c r="DF365" s="232"/>
      <c r="DG365" s="232"/>
      <c r="DH365" s="232"/>
      <c r="DI365" s="232"/>
      <c r="DJ365" s="232"/>
      <c r="DK365" s="232"/>
      <c r="DL365" s="232"/>
      <c r="DM365" s="232"/>
      <c r="DN365" s="232"/>
    </row>
    <row r="366" spans="1:118">
      <c r="A366" s="40"/>
      <c r="B366" s="1"/>
      <c r="C366" s="32" t="s">
        <v>196</v>
      </c>
      <c r="D366" s="32"/>
      <c r="E366" s="489"/>
      <c r="F366" s="342"/>
      <c r="G366" s="342"/>
      <c r="H366" s="490"/>
      <c r="I366" s="884">
        <v>838</v>
      </c>
      <c r="J366" s="489"/>
      <c r="K366" s="342"/>
      <c r="L366" s="342"/>
      <c r="M366" s="490"/>
      <c r="N366" s="32"/>
      <c r="O366" s="489"/>
      <c r="P366" s="342"/>
      <c r="Q366" s="342"/>
      <c r="R366" s="490"/>
      <c r="S366" s="32"/>
      <c r="T366" s="292"/>
      <c r="U366" s="261"/>
      <c r="V366" s="261"/>
      <c r="W366" s="293"/>
      <c r="X366" s="228"/>
      <c r="Y366" s="292">
        <v>0</v>
      </c>
      <c r="Z366" s="261">
        <f>Y366</f>
        <v>0</v>
      </c>
      <c r="AA366" s="261">
        <f>Z366</f>
        <v>0</v>
      </c>
      <c r="AB366" s="293">
        <f>AA366</f>
        <v>0</v>
      </c>
      <c r="AC366" s="228">
        <f>AB366</f>
        <v>0</v>
      </c>
      <c r="AD366" s="292">
        <v>0</v>
      </c>
      <c r="AE366" s="261">
        <f>AD366</f>
        <v>0</v>
      </c>
      <c r="AF366" s="261">
        <f>AE366</f>
        <v>0</v>
      </c>
      <c r="AG366" s="293">
        <f>AF366</f>
        <v>0</v>
      </c>
      <c r="AH366" s="228">
        <f>AG366</f>
        <v>0</v>
      </c>
      <c r="AI366" s="292">
        <v>0</v>
      </c>
      <c r="AJ366" s="261">
        <f>AI366</f>
        <v>0</v>
      </c>
      <c r="AK366" s="261">
        <f>AJ366</f>
        <v>0</v>
      </c>
      <c r="AL366" s="293">
        <f>AK366</f>
        <v>0</v>
      </c>
      <c r="AM366" s="228">
        <f>AL366</f>
        <v>0</v>
      </c>
      <c r="AN366" s="292">
        <v>0</v>
      </c>
      <c r="AO366" s="261">
        <f>AN366</f>
        <v>0</v>
      </c>
      <c r="AP366" s="261">
        <f>AO366</f>
        <v>0</v>
      </c>
      <c r="AQ366" s="293">
        <f>AP366</f>
        <v>0</v>
      </c>
      <c r="AR366" s="228">
        <f>AQ366</f>
        <v>0</v>
      </c>
      <c r="AS366" s="292">
        <f>AR366</f>
        <v>0</v>
      </c>
      <c r="AT366" s="2147">
        <f>I366</f>
        <v>838</v>
      </c>
      <c r="AU366" s="261">
        <f t="shared" ref="AU366:BL366" si="558">AT366</f>
        <v>838</v>
      </c>
      <c r="AV366" s="293">
        <f t="shared" si="558"/>
        <v>838</v>
      </c>
      <c r="AW366" s="228">
        <f t="shared" si="558"/>
        <v>838</v>
      </c>
      <c r="AX366" s="292">
        <f t="shared" si="558"/>
        <v>838</v>
      </c>
      <c r="AY366" s="261">
        <f t="shared" si="558"/>
        <v>838</v>
      </c>
      <c r="AZ366" s="261">
        <f t="shared" si="558"/>
        <v>838</v>
      </c>
      <c r="BA366" s="293">
        <f t="shared" si="558"/>
        <v>838</v>
      </c>
      <c r="BB366" s="228">
        <f t="shared" si="558"/>
        <v>838</v>
      </c>
      <c r="BC366" s="292">
        <f t="shared" si="558"/>
        <v>838</v>
      </c>
      <c r="BD366" s="261">
        <f t="shared" si="558"/>
        <v>838</v>
      </c>
      <c r="BE366" s="261">
        <f t="shared" si="558"/>
        <v>838</v>
      </c>
      <c r="BF366" s="293">
        <f t="shared" si="558"/>
        <v>838</v>
      </c>
      <c r="BG366" s="228">
        <f>BF366</f>
        <v>838</v>
      </c>
      <c r="BH366" s="292">
        <f>BG366</f>
        <v>838</v>
      </c>
      <c r="BI366" s="261">
        <f t="shared" si="558"/>
        <v>838</v>
      </c>
      <c r="BJ366" s="261">
        <f t="shared" si="558"/>
        <v>838</v>
      </c>
      <c r="BK366" s="293">
        <f t="shared" si="558"/>
        <v>838</v>
      </c>
      <c r="BL366" s="228">
        <f t="shared" si="558"/>
        <v>838</v>
      </c>
      <c r="BM366" s="292">
        <f t="shared" ref="BM366" si="559">BL366</f>
        <v>838</v>
      </c>
      <c r="BN366" s="261">
        <f t="shared" ref="BN366" si="560">BM366</f>
        <v>838</v>
      </c>
      <c r="BO366" s="261">
        <f t="shared" ref="BO366" si="561">BN366</f>
        <v>838</v>
      </c>
      <c r="BP366" s="293">
        <f t="shared" ref="BP366" si="562">BO366</f>
        <v>838</v>
      </c>
      <c r="BQ366" s="228">
        <f t="shared" ref="BQ366" si="563">BP366</f>
        <v>838</v>
      </c>
      <c r="BR366" s="40"/>
      <c r="BS366" s="40"/>
      <c r="BU366" s="34" t="s">
        <v>1458</v>
      </c>
      <c r="BV366" s="2235">
        <v>42.87</v>
      </c>
      <c r="BW366" s="2235">
        <v>10.41</v>
      </c>
      <c r="BX366" s="2235">
        <f>BV366-BW366</f>
        <v>32.459999999999994</v>
      </c>
      <c r="BY366" s="2239">
        <v>0.53846000000000005</v>
      </c>
      <c r="BZ366" s="2240">
        <f>BX366*BY366</f>
        <v>17.478411599999998</v>
      </c>
      <c r="CA366" s="2241"/>
      <c r="CB366" s="2241"/>
      <c r="CC366" s="2239"/>
      <c r="CD366" s="2239"/>
      <c r="CE366" s="2236"/>
      <c r="CF366" s="2239"/>
      <c r="CG366" s="40"/>
      <c r="CH366" s="40"/>
      <c r="CI366" s="40"/>
      <c r="CJ366" s="40"/>
      <c r="CK366" s="40"/>
      <c r="CL366" s="40"/>
      <c r="CM366" s="40"/>
      <c r="CN366" s="40"/>
      <c r="CO366" s="40"/>
      <c r="CP366" s="40"/>
      <c r="CQ366" s="40"/>
      <c r="CR366" s="40"/>
      <c r="CS366" s="40"/>
      <c r="CT366" s="823"/>
      <c r="CU366" s="232"/>
      <c r="CV366" s="232"/>
      <c r="CW366" s="232"/>
      <c r="CX366" s="232"/>
      <c r="CY366" s="232"/>
      <c r="CZ366" s="40"/>
      <c r="DA366" s="40"/>
      <c r="DB366" s="40"/>
      <c r="DC366" s="40"/>
      <c r="DD366" s="40"/>
      <c r="DE366" s="40"/>
      <c r="DF366" s="232"/>
      <c r="DG366" s="232"/>
      <c r="DH366" s="232"/>
      <c r="DI366" s="232"/>
      <c r="DJ366" s="232"/>
      <c r="DK366" s="232"/>
      <c r="DL366" s="232"/>
      <c r="DM366" s="232"/>
      <c r="DN366" s="232"/>
    </row>
    <row r="367" spans="1:118">
      <c r="A367" s="40"/>
      <c r="B367" s="1"/>
      <c r="C367" s="1"/>
      <c r="D367" s="32"/>
      <c r="E367" s="489"/>
      <c r="F367" s="342"/>
      <c r="G367" s="342"/>
      <c r="H367" s="490"/>
      <c r="I367" s="28"/>
      <c r="J367" s="489"/>
      <c r="K367" s="342"/>
      <c r="L367" s="342"/>
      <c r="M367" s="490"/>
      <c r="N367" s="32"/>
      <c r="O367" s="489"/>
      <c r="P367" s="342"/>
      <c r="Q367" s="342"/>
      <c r="R367" s="490"/>
      <c r="S367" s="32"/>
      <c r="T367" s="292"/>
      <c r="U367" s="261"/>
      <c r="V367" s="261"/>
      <c r="W367" s="293"/>
      <c r="X367" s="228"/>
      <c r="Y367" s="292"/>
      <c r="Z367" s="261"/>
      <c r="AA367" s="261"/>
      <c r="AB367" s="293"/>
      <c r="AC367" s="228"/>
      <c r="AD367" s="292"/>
      <c r="AE367" s="261"/>
      <c r="AF367" s="261"/>
      <c r="AG367" s="293"/>
      <c r="AH367" s="228"/>
      <c r="AI367" s="292"/>
      <c r="AJ367" s="261"/>
      <c r="AK367" s="261"/>
      <c r="AL367" s="293"/>
      <c r="AM367" s="228"/>
      <c r="AN367" s="292"/>
      <c r="AO367" s="261"/>
      <c r="AP367" s="261"/>
      <c r="AQ367" s="293"/>
      <c r="AR367" s="228"/>
      <c r="AS367" s="292"/>
      <c r="AT367" s="261"/>
      <c r="AU367" s="261"/>
      <c r="AV367" s="293"/>
      <c r="AW367" s="228"/>
      <c r="AX367" s="292"/>
      <c r="AY367" s="261"/>
      <c r="AZ367" s="261"/>
      <c r="BA367" s="293"/>
      <c r="BB367" s="228"/>
      <c r="BC367" s="292"/>
      <c r="BD367" s="261"/>
      <c r="BE367" s="261"/>
      <c r="BF367" s="293"/>
      <c r="BG367" s="228"/>
      <c r="BH367" s="292"/>
      <c r="BI367" s="261"/>
      <c r="BJ367" s="261"/>
      <c r="BK367" s="293"/>
      <c r="BL367" s="228"/>
      <c r="BM367" s="292"/>
      <c r="BN367" s="261"/>
      <c r="BO367" s="261"/>
      <c r="BP367" s="293"/>
      <c r="BQ367" s="228"/>
      <c r="BR367" s="40"/>
      <c r="BS367" s="40"/>
      <c r="BT367" s="40"/>
      <c r="BU367" s="34" t="s">
        <v>1461</v>
      </c>
      <c r="BV367" s="2235">
        <v>46.79</v>
      </c>
      <c r="BW367" s="2235">
        <v>10.41</v>
      </c>
      <c r="BX367" s="2235">
        <f t="shared" ref="BX367" si="564">BV367-BW367</f>
        <v>36.379999999999995</v>
      </c>
      <c r="BY367" s="2239">
        <v>0.53846000000000005</v>
      </c>
      <c r="BZ367" s="2240">
        <f>BX367*BY367</f>
        <v>19.589174799999999</v>
      </c>
      <c r="CA367" s="2235">
        <v>39</v>
      </c>
      <c r="CB367" s="2235"/>
      <c r="CC367" s="2235">
        <f>BG71</f>
        <v>35.152608124982493</v>
      </c>
      <c r="CD367" s="2235">
        <f>BG695*365/(8760*0.93)</f>
        <v>4.6398585947856814</v>
      </c>
      <c r="CE367" s="2236">
        <f>MAX(0,(CC367+CD367)-CA367)</f>
        <v>0.7924667197681714</v>
      </c>
      <c r="CF367" s="2234">
        <f>BZ367-CE367</f>
        <v>18.796708080231827</v>
      </c>
      <c r="CG367" s="40"/>
      <c r="CH367" s="40"/>
      <c r="CI367" s="40"/>
      <c r="CJ367" s="40"/>
      <c r="CK367" s="40"/>
      <c r="CL367" s="40"/>
      <c r="CM367" s="40"/>
      <c r="CN367" s="40"/>
      <c r="CO367" s="40"/>
      <c r="CP367" s="40"/>
      <c r="CQ367" s="40"/>
      <c r="CR367" s="40"/>
      <c r="CS367" s="40"/>
      <c r="CT367" s="823"/>
      <c r="CU367" s="232"/>
      <c r="CV367" s="232"/>
      <c r="CW367" s="232"/>
      <c r="CX367" s="232"/>
      <c r="CY367" s="232"/>
      <c r="CZ367" s="40"/>
      <c r="DA367" s="40"/>
      <c r="DB367" s="40"/>
      <c r="DC367" s="40"/>
      <c r="DD367" s="40"/>
      <c r="DE367" s="40"/>
      <c r="DF367" s="232"/>
      <c r="DG367" s="232"/>
      <c r="DH367" s="232"/>
      <c r="DI367" s="232"/>
      <c r="DJ367" s="232"/>
      <c r="DK367" s="232"/>
      <c r="DL367" s="232"/>
      <c r="DM367" s="232"/>
      <c r="DN367" s="232"/>
    </row>
    <row r="368" spans="1:118">
      <c r="A368" s="40"/>
      <c r="B368" s="1"/>
      <c r="C368" s="28" t="s">
        <v>197</v>
      </c>
      <c r="D368" s="32"/>
      <c r="E368" s="489"/>
      <c r="F368" s="342"/>
      <c r="G368" s="342"/>
      <c r="H368" s="490"/>
      <c r="I368" s="544">
        <v>0.9</v>
      </c>
      <c r="J368" s="489"/>
      <c r="K368" s="342"/>
      <c r="L368" s="342"/>
      <c r="M368" s="490"/>
      <c r="N368" s="32"/>
      <c r="O368" s="489"/>
      <c r="P368" s="342"/>
      <c r="Q368" s="342"/>
      <c r="R368" s="490"/>
      <c r="S368" s="32"/>
      <c r="T368" s="292"/>
      <c r="U368" s="261"/>
      <c r="V368" s="261"/>
      <c r="W368" s="293"/>
      <c r="X368" s="228"/>
      <c r="Y368" s="277">
        <f>+I368</f>
        <v>0.9</v>
      </c>
      <c r="Z368" s="253">
        <f>+Y368</f>
        <v>0.9</v>
      </c>
      <c r="AA368" s="253">
        <f>+Z368</f>
        <v>0.9</v>
      </c>
      <c r="AB368" s="278">
        <f>+AA368</f>
        <v>0.9</v>
      </c>
      <c r="AC368" s="765">
        <f>IF(AVERAGE(Y366:AB366)=0,0,AC369/(AVERAGE(Y366:AB366)*8.76))</f>
        <v>0</v>
      </c>
      <c r="AD368" s="277">
        <f>AB368</f>
        <v>0.9</v>
      </c>
      <c r="AE368" s="253">
        <f>+AD368</f>
        <v>0.9</v>
      </c>
      <c r="AF368" s="253">
        <f>+AE368</f>
        <v>0.9</v>
      </c>
      <c r="AG368" s="278">
        <f>+AF368</f>
        <v>0.9</v>
      </c>
      <c r="AH368" s="765">
        <f>IF(AVERAGE(AD366:AG366)=0,0,AH369/(AVERAGE(AD366:AG366)*8.76))</f>
        <v>0</v>
      </c>
      <c r="AI368" s="277">
        <f>AG368</f>
        <v>0.9</v>
      </c>
      <c r="AJ368" s="253">
        <f>+AI368</f>
        <v>0.9</v>
      </c>
      <c r="AK368" s="253">
        <f>+AJ368</f>
        <v>0.9</v>
      </c>
      <c r="AL368" s="278">
        <f>+AK368</f>
        <v>0.9</v>
      </c>
      <c r="AM368" s="765">
        <f>IF(AVERAGE(AI366:AL366)=0,0,AM369/(AVERAGE(AI366:AL366)*8.76))</f>
        <v>0</v>
      </c>
      <c r="AN368" s="277">
        <f>AL368</f>
        <v>0.9</v>
      </c>
      <c r="AO368" s="253">
        <f>+AN368</f>
        <v>0.9</v>
      </c>
      <c r="AP368" s="253">
        <f>+AO368</f>
        <v>0.9</v>
      </c>
      <c r="AQ368" s="278">
        <f>+AP368</f>
        <v>0.9</v>
      </c>
      <c r="AR368" s="765">
        <f>IF(AVERAGE(AN366:AQ366)=0,0,AR369/(AVERAGE(AN366:AQ366)*8.76))</f>
        <v>0</v>
      </c>
      <c r="AS368" s="2061">
        <v>0.95</v>
      </c>
      <c r="AT368" s="2246">
        <v>0.95</v>
      </c>
      <c r="AU368" s="2246">
        <v>0.95</v>
      </c>
      <c r="AV368" s="2247">
        <v>0.95</v>
      </c>
      <c r="AW368" s="765">
        <f>IF(AVERAGE(AS366:AV366)=0,0,AW369/(AVERAGE(AS366:AV366)*8.76))</f>
        <v>0.95</v>
      </c>
      <c r="AX368" s="277">
        <f>AV368</f>
        <v>0.95</v>
      </c>
      <c r="AY368" s="253">
        <f>+AX368</f>
        <v>0.95</v>
      </c>
      <c r="AZ368" s="253">
        <v>0.95</v>
      </c>
      <c r="BA368" s="2247">
        <v>0.75</v>
      </c>
      <c r="BB368" s="765">
        <f>IF(AVERAGE(AX366:BA366)=0,0,BB369/(AVERAGE(AX366:BA366)*8.76))</f>
        <v>0.89999999999999991</v>
      </c>
      <c r="BC368" s="2061">
        <v>0.9</v>
      </c>
      <c r="BD368" s="253">
        <f>+BC368</f>
        <v>0.9</v>
      </c>
      <c r="BE368" s="253">
        <f>+BD368</f>
        <v>0.9</v>
      </c>
      <c r="BF368" s="278">
        <f>+BE368</f>
        <v>0.9</v>
      </c>
      <c r="BG368" s="765">
        <f>IF(AVERAGE(BC366:BF366)=0,0,BG369/(AVERAGE(BC366:BF366)*8.76))</f>
        <v>0.9</v>
      </c>
      <c r="BH368" s="277">
        <f>BF368</f>
        <v>0.9</v>
      </c>
      <c r="BI368" s="253">
        <f>+BH368</f>
        <v>0.9</v>
      </c>
      <c r="BJ368" s="253">
        <f>+BI368</f>
        <v>0.9</v>
      </c>
      <c r="BK368" s="278">
        <f>+BJ368</f>
        <v>0.9</v>
      </c>
      <c r="BL368" s="765">
        <f>IF(AVERAGE(BH366:BK366)=0,0,BL369/(AVERAGE(BH366:BK366)*8.76))</f>
        <v>0.9</v>
      </c>
      <c r="BM368" s="277">
        <f>BK368</f>
        <v>0.9</v>
      </c>
      <c r="BN368" s="253">
        <f>+BM368</f>
        <v>0.9</v>
      </c>
      <c r="BO368" s="253">
        <f>+BN368</f>
        <v>0.9</v>
      </c>
      <c r="BP368" s="278">
        <f>+BO368</f>
        <v>0.9</v>
      </c>
      <c r="BQ368" s="765">
        <f>IF(AVERAGE(BM366:BP366)=0,0,BQ369/(AVERAGE(BM366:BP366)*8.76))</f>
        <v>0.9</v>
      </c>
      <c r="BR368" s="40"/>
      <c r="BS368" s="40"/>
      <c r="BT368" s="40"/>
      <c r="BU368" s="34" t="s">
        <v>1462</v>
      </c>
      <c r="BV368" s="2235">
        <v>46.79</v>
      </c>
      <c r="BW368" s="2235">
        <v>10.41</v>
      </c>
      <c r="BX368" s="2235">
        <f t="shared" ref="BX368" si="565">BV368-BW368</f>
        <v>36.379999999999995</v>
      </c>
      <c r="BY368" s="2239">
        <v>0.53846000000000005</v>
      </c>
      <c r="BZ368" s="2240">
        <f t="shared" ref="BZ368" si="566">BX368*BY368</f>
        <v>19.589174799999999</v>
      </c>
      <c r="CA368" s="2235">
        <v>39</v>
      </c>
      <c r="CB368" s="2235"/>
      <c r="CC368" s="2235">
        <f>BL71</f>
        <v>34.834126041635002</v>
      </c>
      <c r="CD368" s="2235">
        <f>BL695*365/(8760*0.93)</f>
        <v>4.6398585947856814</v>
      </c>
      <c r="CE368" s="2236">
        <f>MAX(0,(CC368+CD368)-CA368)</f>
        <v>0.47398463642068123</v>
      </c>
      <c r="CF368" s="2234">
        <f>BZ368-CE368</f>
        <v>19.115190163579317</v>
      </c>
      <c r="CG368" s="40"/>
      <c r="CH368" s="40"/>
      <c r="CI368" s="40"/>
      <c r="CJ368" s="40"/>
      <c r="CK368" s="40"/>
      <c r="CL368" s="40"/>
      <c r="CM368" s="40"/>
      <c r="CN368" s="40"/>
      <c r="CO368" s="40"/>
      <c r="CP368" s="40"/>
      <c r="CQ368" s="40"/>
      <c r="CR368" s="40"/>
      <c r="CS368" s="40"/>
      <c r="CT368" s="823"/>
      <c r="CU368" s="232"/>
      <c r="CV368" s="232"/>
      <c r="CW368" s="232"/>
      <c r="CX368" s="232"/>
      <c r="CY368" s="232"/>
      <c r="CZ368" s="40"/>
      <c r="DA368" s="40"/>
      <c r="DB368" s="40"/>
      <c r="DC368" s="40"/>
      <c r="DD368" s="40"/>
      <c r="DE368" s="40"/>
      <c r="DF368" s="232"/>
      <c r="DG368" s="232"/>
      <c r="DH368" s="232"/>
      <c r="DI368" s="232"/>
      <c r="DJ368" s="232"/>
      <c r="DK368" s="232"/>
      <c r="DL368" s="232"/>
      <c r="DM368" s="232"/>
      <c r="DN368" s="232"/>
    </row>
    <row r="369" spans="1:118">
      <c r="A369" s="40"/>
      <c r="B369" s="1"/>
      <c r="C369" s="32" t="s">
        <v>198</v>
      </c>
      <c r="D369" s="32"/>
      <c r="E369" s="489"/>
      <c r="F369" s="342"/>
      <c r="G369" s="342"/>
      <c r="H369" s="490"/>
      <c r="I369" s="28"/>
      <c r="J369" s="489"/>
      <c r="K369" s="342"/>
      <c r="L369" s="342"/>
      <c r="M369" s="490"/>
      <c r="N369" s="32"/>
      <c r="O369" s="489"/>
      <c r="P369" s="342"/>
      <c r="Q369" s="342"/>
      <c r="R369" s="490"/>
      <c r="S369" s="32"/>
      <c r="T369" s="292"/>
      <c r="U369" s="261"/>
      <c r="V369" s="261"/>
      <c r="W369" s="293"/>
      <c r="X369" s="228"/>
      <c r="Y369" s="301">
        <f>(Y366*Y368*(8760/1000))/4</f>
        <v>0</v>
      </c>
      <c r="Z369" s="265">
        <f>(Z366*Z368*(8760/1000))/4</f>
        <v>0</v>
      </c>
      <c r="AA369" s="265">
        <f>(AA366*AA368*(8760/1000))/4</f>
        <v>0</v>
      </c>
      <c r="AB369" s="302">
        <f>(AB366*AB368*(8760/1000))/4</f>
        <v>0</v>
      </c>
      <c r="AC369" s="445">
        <f>SUM(Y369:AB369)</f>
        <v>0</v>
      </c>
      <c r="AD369" s="301">
        <f>(AD366*AD368*(8760/1000))/4</f>
        <v>0</v>
      </c>
      <c r="AE369" s="265">
        <f>(AE366*AE368*(8760/1000))/4</f>
        <v>0</v>
      </c>
      <c r="AF369" s="265">
        <f>(AF366*AF368*(8760/1000))/4</f>
        <v>0</v>
      </c>
      <c r="AG369" s="302">
        <f>(AG366*AG368*(8760/1000))/4</f>
        <v>0</v>
      </c>
      <c r="AH369" s="445">
        <f>SUM(AD369:AG369)</f>
        <v>0</v>
      </c>
      <c r="AI369" s="301">
        <f>(AI366*AI368*(8760/1000))/4</f>
        <v>0</v>
      </c>
      <c r="AJ369" s="265">
        <f>(AJ366*AJ368*(8760/1000))/4</f>
        <v>0</v>
      </c>
      <c r="AK369" s="265">
        <f>(AK366*AK368*(8760/1000))/4</f>
        <v>0</v>
      </c>
      <c r="AL369" s="302">
        <f>(AL366*AL368*(8760/1000))/4</f>
        <v>0</v>
      </c>
      <c r="AM369" s="445">
        <f>SUM(AI369:AL369)</f>
        <v>0</v>
      </c>
      <c r="AN369" s="301">
        <f>(AN366*AN368*(8760/1000))/4</f>
        <v>0</v>
      </c>
      <c r="AO369" s="265">
        <f>(AO366*AO368*(8760/1000))/4</f>
        <v>0</v>
      </c>
      <c r="AP369" s="265">
        <f>(AP366*AP368*(8760/1000))/4</f>
        <v>0</v>
      </c>
      <c r="AQ369" s="302">
        <f>(AQ366*AQ368*(8760/1000))/4</f>
        <v>0</v>
      </c>
      <c r="AR369" s="445">
        <f>SUM(AN369:AQ369)</f>
        <v>0</v>
      </c>
      <c r="AS369" s="301">
        <f>(AS366*AS368*(8760/1000))/4</f>
        <v>0</v>
      </c>
      <c r="AT369" s="265">
        <f>(AT366*AT368*(8760/1000))/4</f>
        <v>1743.4589999999998</v>
      </c>
      <c r="AU369" s="265">
        <f t="shared" ref="AU369" si="567">(AU366*AU368*(8760/1000))/4</f>
        <v>1743.4589999999998</v>
      </c>
      <c r="AV369" s="302">
        <f>(AV366*AV368*(8760/1000))/4</f>
        <v>1743.4589999999998</v>
      </c>
      <c r="AW369" s="445">
        <f>SUM(AS369:AV369)</f>
        <v>5230.3769999999995</v>
      </c>
      <c r="AX369" s="301">
        <f>(AX366*AX368*(8760/1000))/4</f>
        <v>1743.4589999999998</v>
      </c>
      <c r="AY369" s="265">
        <f>(AY366*AY368*(8760/1000))/4</f>
        <v>1743.4589999999998</v>
      </c>
      <c r="AZ369" s="265">
        <f>(AZ366*AZ368*(8760/1000))/4</f>
        <v>1743.4589999999998</v>
      </c>
      <c r="BA369" s="302">
        <f>(BA366*BA368*(8760/1000))/4</f>
        <v>1376.415</v>
      </c>
      <c r="BB369" s="445">
        <f>SUM(AX369:BA369)</f>
        <v>6606.7919999999995</v>
      </c>
      <c r="BC369" s="301">
        <f>(BC366*BC368*(8760/1000))/4</f>
        <v>1651.6980000000001</v>
      </c>
      <c r="BD369" s="265">
        <f>(BD366*BD368*(8760/1000))/4</f>
        <v>1651.6980000000001</v>
      </c>
      <c r="BE369" s="265">
        <f>(BE366*BE368*(8760/1000))/4</f>
        <v>1651.6980000000001</v>
      </c>
      <c r="BF369" s="302">
        <f>(BF366*BF368*(8760/1000))/4</f>
        <v>1651.6980000000001</v>
      </c>
      <c r="BG369" s="445">
        <f>SUM(BC369:BF369)</f>
        <v>6606.7920000000004</v>
      </c>
      <c r="BH369" s="301">
        <f>(BH366*BH368*(8760/1000))/4</f>
        <v>1651.6980000000001</v>
      </c>
      <c r="BI369" s="265">
        <f>(BI366*BI368*(8760/1000))/4</f>
        <v>1651.6980000000001</v>
      </c>
      <c r="BJ369" s="265">
        <f>(BJ366*BJ368*(8760/1000))/4</f>
        <v>1651.6980000000001</v>
      </c>
      <c r="BK369" s="302">
        <f>(BK366*BK368*(8760/1000))/4</f>
        <v>1651.6980000000001</v>
      </c>
      <c r="BL369" s="445">
        <f>SUM(BH369:BK369)</f>
        <v>6606.7920000000004</v>
      </c>
      <c r="BM369" s="301">
        <f>(BM366*BM368*(8760/1000))/4</f>
        <v>1651.6980000000001</v>
      </c>
      <c r="BN369" s="265">
        <f>(BN366*BN368*(8760/1000))/4</f>
        <v>1651.6980000000001</v>
      </c>
      <c r="BO369" s="265">
        <f>(BO366*BO368*(8760/1000))/4</f>
        <v>1651.6980000000001</v>
      </c>
      <c r="BP369" s="302">
        <f>(BP366*BP368*(8760/1000))/4</f>
        <v>1651.6980000000001</v>
      </c>
      <c r="BQ369" s="445">
        <f>SUM(BM369:BP369)</f>
        <v>6606.7920000000004</v>
      </c>
      <c r="BR369" s="40"/>
      <c r="BS369" s="40"/>
      <c r="BT369" s="40"/>
      <c r="BU369" s="34" t="s">
        <v>1531</v>
      </c>
      <c r="BV369" s="2235">
        <v>46.79</v>
      </c>
      <c r="BW369" s="2235">
        <v>10.41</v>
      </c>
      <c r="BX369" s="2235">
        <f>BV369-BW369</f>
        <v>36.379999999999995</v>
      </c>
      <c r="BY369" s="2239">
        <v>0.53846000000000005</v>
      </c>
      <c r="BZ369" s="2240">
        <f>BX369*BY369</f>
        <v>19.589174799999999</v>
      </c>
      <c r="CA369" s="2286">
        <v>39</v>
      </c>
      <c r="CB369" s="2286"/>
      <c r="CC369" s="2235">
        <f>BQ71</f>
        <v>31.828309486328479</v>
      </c>
      <c r="CD369" s="2235">
        <f>BQ695*365/(8760*0.93)</f>
        <v>4.6398585947856814</v>
      </c>
      <c r="CE369" s="2236">
        <f>MAX(0,(CC369+CD369)-CA369)</f>
        <v>0</v>
      </c>
      <c r="CF369" s="2234">
        <f>BZ369-CE369</f>
        <v>19.589174799999999</v>
      </c>
      <c r="CG369" s="40"/>
      <c r="CH369" s="40"/>
      <c r="CI369" s="40"/>
      <c r="CJ369" s="40"/>
      <c r="CK369" s="40"/>
      <c r="CL369" s="40"/>
      <c r="CM369" s="40"/>
      <c r="CN369" s="40"/>
      <c r="CO369" s="40"/>
      <c r="CP369" s="40"/>
      <c r="CQ369" s="40"/>
      <c r="CR369" s="40"/>
      <c r="CS369" s="40"/>
      <c r="CT369" s="823"/>
      <c r="CU369" s="232"/>
      <c r="CV369" s="232"/>
      <c r="CW369" s="232"/>
      <c r="CX369" s="232"/>
      <c r="CY369" s="232"/>
      <c r="CZ369" s="40"/>
      <c r="DA369" s="40"/>
      <c r="DB369" s="40"/>
      <c r="DC369" s="40"/>
      <c r="DD369" s="40"/>
      <c r="DE369" s="40"/>
      <c r="DF369" s="232"/>
      <c r="DG369" s="232"/>
      <c r="DH369" s="232"/>
      <c r="DI369" s="232"/>
      <c r="DJ369" s="232"/>
      <c r="DK369" s="232"/>
      <c r="DL369" s="232"/>
      <c r="DM369" s="232"/>
      <c r="DN369" s="232"/>
    </row>
    <row r="370" spans="1:118">
      <c r="A370" s="40"/>
      <c r="B370" s="1"/>
      <c r="C370" s="1"/>
      <c r="D370" s="32"/>
      <c r="E370" s="489"/>
      <c r="F370" s="342"/>
      <c r="G370" s="342"/>
      <c r="H370" s="490"/>
      <c r="I370" s="28"/>
      <c r="J370" s="489"/>
      <c r="K370" s="342"/>
      <c r="L370" s="342"/>
      <c r="M370" s="490"/>
      <c r="N370" s="32"/>
      <c r="O370" s="489"/>
      <c r="P370" s="342"/>
      <c r="Q370" s="342"/>
      <c r="R370" s="490"/>
      <c r="S370" s="32"/>
      <c r="T370" s="292"/>
      <c r="U370" s="261"/>
      <c r="V370" s="261"/>
      <c r="W370" s="293"/>
      <c r="X370" s="228"/>
      <c r="Y370" s="292"/>
      <c r="Z370" s="261"/>
      <c r="AA370" s="261"/>
      <c r="AB370" s="293"/>
      <c r="AC370" s="228"/>
      <c r="AD370" s="292"/>
      <c r="AE370" s="261"/>
      <c r="AF370" s="261"/>
      <c r="AG370" s="293"/>
      <c r="AH370" s="228"/>
      <c r="AI370" s="292"/>
      <c r="AJ370" s="261"/>
      <c r="AK370" s="261"/>
      <c r="AL370" s="293"/>
      <c r="AM370" s="228"/>
      <c r="AN370" s="292"/>
      <c r="AO370" s="261"/>
      <c r="AP370" s="261"/>
      <c r="AQ370" s="293"/>
      <c r="AR370" s="228"/>
      <c r="AS370" s="292"/>
      <c r="AT370" s="261"/>
      <c r="AU370" s="261"/>
      <c r="AV370" s="293"/>
      <c r="AW370" s="228"/>
      <c r="AX370" s="292"/>
      <c r="AY370" s="261"/>
      <c r="AZ370" s="261"/>
      <c r="BA370" s="293"/>
      <c r="BB370" s="228"/>
      <c r="BC370" s="292"/>
      <c r="BD370" s="261"/>
      <c r="BE370" s="261"/>
      <c r="BF370" s="293"/>
      <c r="BG370" s="228"/>
      <c r="BH370" s="292"/>
      <c r="BI370" s="261"/>
      <c r="BJ370" s="261"/>
      <c r="BK370" s="293"/>
      <c r="BL370" s="228"/>
      <c r="BM370" s="292"/>
      <c r="BN370" s="261"/>
      <c r="BO370" s="261"/>
      <c r="BP370" s="293"/>
      <c r="BQ370" s="228"/>
      <c r="BR370" s="40"/>
      <c r="BS370" s="40"/>
      <c r="BT370" s="40"/>
      <c r="BU370" s="34" t="s">
        <v>1532</v>
      </c>
      <c r="BV370" s="2286">
        <v>50.11</v>
      </c>
      <c r="BW370" s="2235">
        <v>10.41</v>
      </c>
      <c r="BX370" s="2235">
        <f>BV370-BW370</f>
        <v>39.700000000000003</v>
      </c>
      <c r="BY370" s="2239">
        <v>0.53846000000000005</v>
      </c>
      <c r="BZ370" s="2240">
        <f>BX370*BY370</f>
        <v>21.376862000000003</v>
      </c>
      <c r="CA370" s="2286">
        <v>39</v>
      </c>
      <c r="CB370" s="2286"/>
      <c r="CC370" s="2235">
        <f>BQ71</f>
        <v>31.828309486328479</v>
      </c>
      <c r="CD370" s="2235">
        <f>BQ695*365/(8760*0.93)</f>
        <v>4.6398585947856814</v>
      </c>
      <c r="CE370" s="2236">
        <f>MAX(0,(CC370+CD370)-CA370)</f>
        <v>0</v>
      </c>
      <c r="CF370" s="2234">
        <f>BZ370-CE370</f>
        <v>21.376862000000003</v>
      </c>
      <c r="CG370" s="40"/>
      <c r="CH370" s="40"/>
      <c r="CI370" s="40"/>
      <c r="CJ370" s="40"/>
      <c r="CK370" s="40"/>
      <c r="CL370" s="40"/>
      <c r="CM370" s="40"/>
      <c r="CN370" s="40"/>
      <c r="CO370" s="40"/>
      <c r="CP370" s="40"/>
      <c r="CQ370" s="40"/>
      <c r="CR370" s="40"/>
      <c r="CS370" s="40"/>
      <c r="CT370" s="823"/>
      <c r="CU370" s="232"/>
      <c r="CV370" s="232"/>
      <c r="CW370" s="232"/>
      <c r="CX370" s="232"/>
      <c r="CY370" s="232"/>
      <c r="CZ370" s="40"/>
      <c r="DA370" s="40"/>
      <c r="DB370" s="40"/>
      <c r="DC370" s="40"/>
      <c r="DD370" s="40"/>
      <c r="DE370" s="40"/>
      <c r="DF370" s="232"/>
      <c r="DG370" s="232"/>
      <c r="DH370" s="232"/>
      <c r="DI370" s="232"/>
      <c r="DJ370" s="232"/>
      <c r="DK370" s="232"/>
      <c r="DL370" s="232"/>
      <c r="DM370" s="232"/>
      <c r="DN370" s="232"/>
    </row>
    <row r="371" spans="1:118">
      <c r="A371" s="40"/>
      <c r="B371" s="1"/>
      <c r="C371" s="28" t="s">
        <v>797</v>
      </c>
      <c r="D371" s="32"/>
      <c r="E371" s="489"/>
      <c r="F371" s="342"/>
      <c r="G371" s="342"/>
      <c r="H371" s="490"/>
      <c r="I371" s="28"/>
      <c r="J371" s="489"/>
      <c r="K371" s="342"/>
      <c r="L371" s="342"/>
      <c r="M371" s="490"/>
      <c r="N371" s="32"/>
      <c r="O371" s="489"/>
      <c r="P371" s="342"/>
      <c r="Q371" s="342"/>
      <c r="R371" s="490"/>
      <c r="S371" s="32"/>
      <c r="T371" s="292"/>
      <c r="U371" s="261"/>
      <c r="V371" s="261"/>
      <c r="W371" s="293"/>
      <c r="X371" s="228"/>
      <c r="Y371" s="758">
        <f>(Y363/1000*Y369)</f>
        <v>0</v>
      </c>
      <c r="Z371" s="660">
        <f>(Z363/1000*Z369)</f>
        <v>0</v>
      </c>
      <c r="AA371" s="660">
        <f>(AA363/1000*AA369)</f>
        <v>0</v>
      </c>
      <c r="AB371" s="661">
        <f>(AB363/1000*AB369)</f>
        <v>0</v>
      </c>
      <c r="AC371" s="428">
        <f>SUM(Y371:AB371)</f>
        <v>0</v>
      </c>
      <c r="AD371" s="758">
        <f>(AD363/1000*AD369)</f>
        <v>0</v>
      </c>
      <c r="AE371" s="660">
        <f>(AE363/1000*AE369)</f>
        <v>0</v>
      </c>
      <c r="AF371" s="660">
        <f>(AF363/1000*AF369)</f>
        <v>0</v>
      </c>
      <c r="AG371" s="661">
        <f>(AG363/1000*AG369)</f>
        <v>0</v>
      </c>
      <c r="AH371" s="428">
        <f>SUM(AD371:AG371)</f>
        <v>0</v>
      </c>
      <c r="AI371" s="758">
        <f>(AI363/1000*AI369)</f>
        <v>0</v>
      </c>
      <c r="AJ371" s="660">
        <f>(AJ363/1000*AJ369)</f>
        <v>0</v>
      </c>
      <c r="AK371" s="660">
        <f>(AK363/1000*AK369)</f>
        <v>0</v>
      </c>
      <c r="AL371" s="661">
        <f>(AL363/1000*AL369)</f>
        <v>0</v>
      </c>
      <c r="AM371" s="428">
        <f>SUM(AI371:AL371)</f>
        <v>0</v>
      </c>
      <c r="AN371" s="758">
        <f>(AN363/1000*AN369)</f>
        <v>0</v>
      </c>
      <c r="AO371" s="660">
        <f>(AO363/1000*AO369)</f>
        <v>0</v>
      </c>
      <c r="AP371" s="660">
        <f>(AP363/1000*AP369)</f>
        <v>0</v>
      </c>
      <c r="AQ371" s="661">
        <f>(AQ363/1000*AQ369)</f>
        <v>0</v>
      </c>
      <c r="AR371" s="428">
        <f>SUM(AN371:AQ371)</f>
        <v>0</v>
      </c>
      <c r="AS371" s="758">
        <f>(AS363/1000*AS369)</f>
        <v>0</v>
      </c>
      <c r="AT371" s="660">
        <f>(AT363/1000*AT369)</f>
        <v>71.598934404569349</v>
      </c>
      <c r="AU371" s="660">
        <f t="shared" ref="AU371" si="568">(AU363/1000*AU369)</f>
        <v>75.114731339990868</v>
      </c>
      <c r="AV371" s="661">
        <f>(AV363/1000*AV369)</f>
        <v>90.627428834249613</v>
      </c>
      <c r="AW371" s="428">
        <f>SUM(AS371:AV371)</f>
        <v>237.34109457880982</v>
      </c>
      <c r="AX371" s="758">
        <f>(AX363/1000*AX369)</f>
        <v>90.627428834249613</v>
      </c>
      <c r="AY371" s="660">
        <f>(AY363/1000*AY369)</f>
        <v>91.647828099999984</v>
      </c>
      <c r="AZ371" s="660">
        <f>(AZ363/1000*AZ369)</f>
        <v>85.230446097499993</v>
      </c>
      <c r="BA371" s="661">
        <f>(BA363/1000*BA369)</f>
        <v>72.658080318750009</v>
      </c>
      <c r="BB371" s="428">
        <f>SUM(AX371:BA371)</f>
        <v>340.16378335049961</v>
      </c>
      <c r="BC371" s="758">
        <f>(BC363/1000*BC369)</f>
        <v>113.97954498879729</v>
      </c>
      <c r="BD371" s="660">
        <f>(BD363/1000*BD369)</f>
        <v>86.182920323349848</v>
      </c>
      <c r="BE371" s="660">
        <f>(BE363/1000*BE369)</f>
        <v>79.643276141602641</v>
      </c>
      <c r="BF371" s="661">
        <f>(BF363/1000*BF369)</f>
        <v>74.451365153627847</v>
      </c>
      <c r="BG371" s="428">
        <f>SUM(BC371:BF371)</f>
        <v>354.25710660737764</v>
      </c>
      <c r="BH371" s="758">
        <f>(BH363/1000*BH369)</f>
        <v>115.9065578265273</v>
      </c>
      <c r="BI371" s="660">
        <f>(BI363/1000*BI369)</f>
        <v>86.208885512611872</v>
      </c>
      <c r="BJ371" s="660">
        <f>(BJ363/1000*BJ369)</f>
        <v>79.730551240564623</v>
      </c>
      <c r="BK371" s="661">
        <f>(BK363/1000*BK369)</f>
        <v>74.585916130376532</v>
      </c>
      <c r="BL371" s="428">
        <f>SUM(BH371:BK371)</f>
        <v>356.43191071008033</v>
      </c>
      <c r="BM371" s="758">
        <f>(BM363/1000*BM369)</f>
        <v>84.92615596076017</v>
      </c>
      <c r="BN371" s="660">
        <f>(BN363/1000*BN369)</f>
        <v>87.878875333625786</v>
      </c>
      <c r="BO371" s="660">
        <f>(BO363/1000*BO369)</f>
        <v>87.878875333625786</v>
      </c>
      <c r="BP371" s="661">
        <f>(BP363/1000*BP369)</f>
        <v>87.878875333625786</v>
      </c>
      <c r="BQ371" s="428">
        <f>SUM(BM371:BP371)</f>
        <v>348.56278196163754</v>
      </c>
      <c r="BR371" s="40"/>
      <c r="BS371" s="40"/>
      <c r="BT371" s="40"/>
      <c r="BU371" s="232"/>
      <c r="BV371" s="40"/>
      <c r="BW371" s="40"/>
      <c r="BX371" s="40"/>
      <c r="BY371" s="40"/>
      <c r="BZ371" s="40"/>
      <c r="CA371" s="40"/>
      <c r="CB371" s="40"/>
      <c r="CC371" s="40"/>
      <c r="CD371" s="40"/>
      <c r="CE371" s="40"/>
      <c r="CF371" s="40"/>
      <c r="CG371" s="40"/>
      <c r="CH371" s="40"/>
      <c r="CI371" s="40"/>
      <c r="CJ371" s="40"/>
      <c r="CK371" s="40"/>
      <c r="CL371" s="40"/>
      <c r="CM371" s="40"/>
      <c r="CN371" s="40"/>
      <c r="CO371" s="40"/>
      <c r="CP371" s="40"/>
      <c r="CQ371" s="40"/>
      <c r="CR371" s="40"/>
      <c r="CS371" s="40"/>
      <c r="CT371" s="823"/>
      <c r="CU371" s="232"/>
      <c r="CV371" s="232"/>
      <c r="CW371" s="232"/>
      <c r="CX371" s="232"/>
      <c r="CY371" s="232"/>
      <c r="CZ371" s="40"/>
      <c r="DA371" s="40"/>
      <c r="DB371" s="40"/>
      <c r="DC371" s="40"/>
      <c r="DD371" s="40"/>
      <c r="DE371" s="40"/>
      <c r="DF371" s="232"/>
      <c r="DG371" s="232"/>
      <c r="DH371" s="232"/>
      <c r="DI371" s="232"/>
      <c r="DJ371" s="232"/>
      <c r="DK371" s="232"/>
      <c r="DL371" s="232"/>
      <c r="DM371" s="232"/>
      <c r="DN371" s="232"/>
    </row>
    <row r="372" spans="1:118">
      <c r="A372" s="40"/>
      <c r="B372" s="1"/>
      <c r="C372" s="28" t="s">
        <v>278</v>
      </c>
      <c r="D372" s="32"/>
      <c r="E372" s="489"/>
      <c r="F372" s="342"/>
      <c r="G372" s="342"/>
      <c r="H372" s="490"/>
      <c r="I372" s="28"/>
      <c r="J372" s="489"/>
      <c r="K372" s="342"/>
      <c r="L372" s="342"/>
      <c r="M372" s="490"/>
      <c r="N372" s="32"/>
      <c r="O372" s="489"/>
      <c r="P372" s="342"/>
      <c r="Q372" s="342"/>
      <c r="R372" s="490"/>
      <c r="S372" s="32"/>
      <c r="T372" s="292"/>
      <c r="U372" s="261"/>
      <c r="V372" s="261"/>
      <c r="W372" s="293"/>
      <c r="X372" s="228"/>
      <c r="Y372" s="758">
        <f>Y364/1000*Y369</f>
        <v>0</v>
      </c>
      <c r="Z372" s="660">
        <f>Z364/1000*Z369</f>
        <v>0</v>
      </c>
      <c r="AA372" s="660">
        <f>AA364/1000*AA369</f>
        <v>0</v>
      </c>
      <c r="AB372" s="661">
        <f>AB364/1000*AB369</f>
        <v>0</v>
      </c>
      <c r="AC372" s="428">
        <f>SUM(Y372:AB372)</f>
        <v>0</v>
      </c>
      <c r="AD372" s="758">
        <f>AD364/1000*AD369</f>
        <v>0</v>
      </c>
      <c r="AE372" s="660">
        <f>AE364/1000*AE369</f>
        <v>0</v>
      </c>
      <c r="AF372" s="660">
        <f>AF364/1000*AF369</f>
        <v>0</v>
      </c>
      <c r="AG372" s="661">
        <f>AG364/1000*AG369</f>
        <v>0</v>
      </c>
      <c r="AH372" s="428">
        <f>SUM(AD372:AG372)</f>
        <v>0</v>
      </c>
      <c r="AI372" s="758">
        <f>AI364/1000*AI369</f>
        <v>0</v>
      </c>
      <c r="AJ372" s="660">
        <f>AJ364/1000*AJ369</f>
        <v>0</v>
      </c>
      <c r="AK372" s="660">
        <f>AK364/1000*AK369</f>
        <v>0</v>
      </c>
      <c r="AL372" s="661">
        <f>AL364/1000*AL369</f>
        <v>0</v>
      </c>
      <c r="AM372" s="428">
        <f>SUM(AI372:AL372)</f>
        <v>0</v>
      </c>
      <c r="AN372" s="758">
        <f>AN364/1000*AN369</f>
        <v>0</v>
      </c>
      <c r="AO372" s="660">
        <f>AO364/1000*AO369</f>
        <v>0</v>
      </c>
      <c r="AP372" s="660">
        <f>AP364/1000*AP369</f>
        <v>0</v>
      </c>
      <c r="AQ372" s="661">
        <f>AQ364/1000*AQ369</f>
        <v>0</v>
      </c>
      <c r="AR372" s="428">
        <f>SUM(AN372:AQ372)</f>
        <v>0</v>
      </c>
      <c r="AS372" s="758">
        <f>AS364/1000*AS369</f>
        <v>0</v>
      </c>
      <c r="AT372" s="660">
        <f>AT364/1000*AT369</f>
        <v>14.8194015</v>
      </c>
      <c r="AU372" s="660">
        <f t="shared" ref="AU372" si="569">AU364/1000*AU369</f>
        <v>14.8194015</v>
      </c>
      <c r="AV372" s="661">
        <f>AV364/1000*AV369</f>
        <v>14.8194015</v>
      </c>
      <c r="AW372" s="428">
        <f>SUM(AS372:AV372)</f>
        <v>44.458204500000001</v>
      </c>
      <c r="AX372" s="758">
        <f>AX364/1000*AX369</f>
        <v>13.947671999999999</v>
      </c>
      <c r="AY372" s="660">
        <f>AY364/1000*AY369</f>
        <v>13.947671999999999</v>
      </c>
      <c r="AZ372" s="660">
        <f>AZ364/1000*AZ369</f>
        <v>13.947671999999999</v>
      </c>
      <c r="BA372" s="661">
        <f>BA364/1000*BA369</f>
        <v>11.01132</v>
      </c>
      <c r="BB372" s="428">
        <f>SUM(AX372:BA372)</f>
        <v>52.854335999999996</v>
      </c>
      <c r="BC372" s="758">
        <f>BC364/1000*BC369</f>
        <v>12.8006595</v>
      </c>
      <c r="BD372" s="660">
        <f>BD364/1000*BD369</f>
        <v>12.8006595</v>
      </c>
      <c r="BE372" s="660">
        <f>BE364/1000*BE369</f>
        <v>12.8006595</v>
      </c>
      <c r="BF372" s="661">
        <f>BF364/1000*BF369</f>
        <v>12.8006595</v>
      </c>
      <c r="BG372" s="428">
        <f>SUM(BC372:BF372)</f>
        <v>51.202638</v>
      </c>
      <c r="BH372" s="758">
        <f>BH364/1000*BH369</f>
        <v>11.974810500000002</v>
      </c>
      <c r="BI372" s="660">
        <f>BI364/1000*BI369</f>
        <v>11.974810500000002</v>
      </c>
      <c r="BJ372" s="660">
        <f>BJ364/1000*BJ369</f>
        <v>11.974810500000002</v>
      </c>
      <c r="BK372" s="661">
        <f>BK364/1000*BK369</f>
        <v>11.974810500000002</v>
      </c>
      <c r="BL372" s="428">
        <f>SUM(BH372:BK372)</f>
        <v>47.899242000000008</v>
      </c>
      <c r="BM372" s="758">
        <f>BM364/1000*BM369</f>
        <v>11.974810500000002</v>
      </c>
      <c r="BN372" s="660">
        <f>BN364/1000*BN369</f>
        <v>11.974810500000002</v>
      </c>
      <c r="BO372" s="660">
        <f>BO364/1000*BO369</f>
        <v>11.974810500000002</v>
      </c>
      <c r="BP372" s="661">
        <f>BP364/1000*BP369</f>
        <v>11.974810500000002</v>
      </c>
      <c r="BQ372" s="428">
        <f>SUM(BM372:BP372)</f>
        <v>47.899242000000008</v>
      </c>
      <c r="BR372" s="40"/>
      <c r="BS372" s="40"/>
      <c r="BT372" s="40"/>
      <c r="BU372" s="232"/>
      <c r="BV372" s="40"/>
      <c r="BW372" s="40"/>
      <c r="BX372" s="40"/>
      <c r="BY372" s="40"/>
      <c r="BZ372" s="40"/>
      <c r="CA372" s="40"/>
      <c r="CB372" s="40"/>
      <c r="CC372" s="40"/>
      <c r="CD372" s="40"/>
      <c r="CE372" s="40"/>
      <c r="CF372" s="40"/>
      <c r="CG372" s="40"/>
      <c r="CH372" s="40"/>
      <c r="CI372" s="40"/>
      <c r="CJ372" s="40"/>
      <c r="CK372" s="40"/>
      <c r="CL372" s="40"/>
      <c r="CM372" s="40"/>
      <c r="CN372" s="40"/>
      <c r="CO372" s="40"/>
      <c r="CP372" s="40"/>
      <c r="CQ372" s="40"/>
      <c r="CR372" s="40"/>
      <c r="CS372" s="40"/>
      <c r="CT372" s="823"/>
      <c r="CU372" s="232"/>
      <c r="CV372" s="232"/>
      <c r="CW372" s="232"/>
      <c r="CX372" s="232"/>
      <c r="CY372" s="232"/>
      <c r="CZ372" s="40"/>
      <c r="DA372" s="40"/>
      <c r="DB372" s="40"/>
      <c r="DC372" s="40"/>
      <c r="DD372" s="40"/>
      <c r="DE372" s="40"/>
      <c r="DF372" s="232"/>
      <c r="DG372" s="232"/>
      <c r="DH372" s="232"/>
      <c r="DI372" s="232"/>
      <c r="DJ372" s="232"/>
      <c r="DK372" s="232"/>
      <c r="DL372" s="232"/>
      <c r="DM372" s="232"/>
      <c r="DN372" s="232"/>
    </row>
    <row r="373" spans="1:118">
      <c r="A373" s="40"/>
      <c r="B373" s="1"/>
      <c r="C373" s="32" t="s">
        <v>199</v>
      </c>
      <c r="D373" s="1"/>
      <c r="E373" s="273"/>
      <c r="F373" s="3"/>
      <c r="G373" s="3"/>
      <c r="H373" s="274"/>
      <c r="I373" s="28"/>
      <c r="J373" s="273"/>
      <c r="K373" s="3"/>
      <c r="L373" s="3"/>
      <c r="M373" s="274"/>
      <c r="N373" s="1"/>
      <c r="O373" s="273"/>
      <c r="P373" s="3"/>
      <c r="Q373" s="3"/>
      <c r="R373" s="274"/>
      <c r="S373" s="1"/>
      <c r="T373" s="273"/>
      <c r="U373" s="3"/>
      <c r="V373" s="3"/>
      <c r="W373" s="274"/>
      <c r="X373" s="1"/>
      <c r="Y373" s="292">
        <f t="shared" ref="Y373:BL373" si="570">Y371-Y372</f>
        <v>0</v>
      </c>
      <c r="Z373" s="261">
        <f t="shared" si="570"/>
        <v>0</v>
      </c>
      <c r="AA373" s="261">
        <f t="shared" si="570"/>
        <v>0</v>
      </c>
      <c r="AB373" s="293">
        <f t="shared" si="570"/>
        <v>0</v>
      </c>
      <c r="AC373" s="228">
        <f t="shared" si="570"/>
        <v>0</v>
      </c>
      <c r="AD373" s="292">
        <f t="shared" si="570"/>
        <v>0</v>
      </c>
      <c r="AE373" s="261">
        <f t="shared" si="570"/>
        <v>0</v>
      </c>
      <c r="AF373" s="261">
        <f t="shared" si="570"/>
        <v>0</v>
      </c>
      <c r="AG373" s="293">
        <f t="shared" si="570"/>
        <v>0</v>
      </c>
      <c r="AH373" s="228">
        <f t="shared" si="570"/>
        <v>0</v>
      </c>
      <c r="AI373" s="292">
        <f t="shared" si="570"/>
        <v>0</v>
      </c>
      <c r="AJ373" s="261">
        <f t="shared" si="570"/>
        <v>0</v>
      </c>
      <c r="AK373" s="261">
        <f t="shared" si="570"/>
        <v>0</v>
      </c>
      <c r="AL373" s="293">
        <f t="shared" si="570"/>
        <v>0</v>
      </c>
      <c r="AM373" s="228">
        <f t="shared" si="570"/>
        <v>0</v>
      </c>
      <c r="AN373" s="292">
        <f t="shared" si="570"/>
        <v>0</v>
      </c>
      <c r="AO373" s="261">
        <f t="shared" si="570"/>
        <v>0</v>
      </c>
      <c r="AP373" s="261">
        <f t="shared" si="570"/>
        <v>0</v>
      </c>
      <c r="AQ373" s="293">
        <f t="shared" si="570"/>
        <v>0</v>
      </c>
      <c r="AR373" s="228">
        <f t="shared" si="570"/>
        <v>0</v>
      </c>
      <c r="AS373" s="292">
        <f t="shared" si="570"/>
        <v>0</v>
      </c>
      <c r="AT373" s="261">
        <f t="shared" si="570"/>
        <v>56.779532904569351</v>
      </c>
      <c r="AU373" s="261">
        <f t="shared" ref="AU373" si="571">AU371-AU372</f>
        <v>60.29532983999087</v>
      </c>
      <c r="AV373" s="293">
        <f t="shared" si="570"/>
        <v>75.808027334249616</v>
      </c>
      <c r="AW373" s="228">
        <f t="shared" si="570"/>
        <v>192.88289007880982</v>
      </c>
      <c r="AX373" s="292">
        <f t="shared" si="570"/>
        <v>76.679756834249616</v>
      </c>
      <c r="AY373" s="261">
        <f t="shared" si="570"/>
        <v>77.700156099999987</v>
      </c>
      <c r="AZ373" s="261">
        <f t="shared" si="570"/>
        <v>71.282774097499995</v>
      </c>
      <c r="BA373" s="293">
        <f t="shared" si="570"/>
        <v>61.646760318750012</v>
      </c>
      <c r="BB373" s="228">
        <f t="shared" si="570"/>
        <v>287.30944735049962</v>
      </c>
      <c r="BC373" s="292">
        <f t="shared" si="570"/>
        <v>101.17888548879729</v>
      </c>
      <c r="BD373" s="261">
        <f t="shared" si="570"/>
        <v>73.382260823349853</v>
      </c>
      <c r="BE373" s="261">
        <f t="shared" si="570"/>
        <v>66.842616641602646</v>
      </c>
      <c r="BF373" s="293">
        <f t="shared" si="570"/>
        <v>61.650705653627845</v>
      </c>
      <c r="BG373" s="228">
        <f t="shared" si="570"/>
        <v>303.05446860737766</v>
      </c>
      <c r="BH373" s="292">
        <f t="shared" si="570"/>
        <v>103.9317473265273</v>
      </c>
      <c r="BI373" s="261">
        <f t="shared" si="570"/>
        <v>74.234075012611868</v>
      </c>
      <c r="BJ373" s="261">
        <f t="shared" si="570"/>
        <v>67.755740740564619</v>
      </c>
      <c r="BK373" s="293">
        <f t="shared" si="570"/>
        <v>62.611105630376528</v>
      </c>
      <c r="BL373" s="228">
        <f t="shared" si="570"/>
        <v>308.53266871008032</v>
      </c>
      <c r="BM373" s="292">
        <f t="shared" ref="BM373:BQ373" si="572">BM371-BM372</f>
        <v>72.951345460760166</v>
      </c>
      <c r="BN373" s="261">
        <f t="shared" si="572"/>
        <v>75.904064833625782</v>
      </c>
      <c r="BO373" s="261">
        <f t="shared" si="572"/>
        <v>75.904064833625782</v>
      </c>
      <c r="BP373" s="293">
        <f t="shared" si="572"/>
        <v>75.904064833625782</v>
      </c>
      <c r="BQ373" s="228">
        <f t="shared" si="572"/>
        <v>300.66353996163753</v>
      </c>
      <c r="BR373" s="40"/>
      <c r="BS373" s="40"/>
      <c r="BT373" s="40"/>
      <c r="BU373" s="232"/>
      <c r="BV373" s="40"/>
      <c r="BW373" s="40"/>
      <c r="BX373" s="40"/>
      <c r="BY373" s="40"/>
      <c r="BZ373" s="40"/>
      <c r="CA373" s="40"/>
      <c r="CB373" s="40"/>
      <c r="CC373" s="40"/>
      <c r="CD373" s="40"/>
      <c r="CE373" s="40"/>
      <c r="CF373" s="40"/>
      <c r="CG373" s="40"/>
      <c r="CH373" s="40"/>
      <c r="CI373" s="40"/>
      <c r="CJ373" s="40"/>
      <c r="CK373" s="40"/>
      <c r="CL373" s="40"/>
      <c r="CM373" s="40"/>
      <c r="CN373" s="40"/>
      <c r="CO373" s="40"/>
      <c r="CP373" s="40"/>
      <c r="CQ373" s="40"/>
      <c r="CR373" s="40"/>
      <c r="CS373" s="40"/>
      <c r="CT373" s="823"/>
      <c r="CU373" s="232"/>
      <c r="CV373" s="232"/>
      <c r="CW373" s="232"/>
      <c r="CX373" s="232"/>
      <c r="CY373" s="232"/>
      <c r="CZ373" s="40"/>
      <c r="DA373" s="40"/>
      <c r="DB373" s="40"/>
      <c r="DC373" s="40"/>
      <c r="DD373" s="40"/>
      <c r="DE373" s="40"/>
      <c r="DF373" s="232"/>
      <c r="DG373" s="232"/>
      <c r="DH373" s="232"/>
      <c r="DI373" s="232"/>
      <c r="DJ373" s="232"/>
      <c r="DK373" s="232"/>
      <c r="DL373" s="232"/>
      <c r="DM373" s="232"/>
      <c r="DN373" s="232"/>
    </row>
    <row r="374" spans="1:118">
      <c r="A374" s="40"/>
      <c r="B374" s="1"/>
      <c r="C374" s="1"/>
      <c r="D374" s="1"/>
      <c r="E374" s="273"/>
      <c r="F374" s="3"/>
      <c r="G374" s="3"/>
      <c r="H374" s="274"/>
      <c r="I374" s="28"/>
      <c r="J374" s="273"/>
      <c r="K374" s="3"/>
      <c r="L374" s="3"/>
      <c r="M374" s="274"/>
      <c r="N374" s="1"/>
      <c r="O374" s="273"/>
      <c r="P374" s="3"/>
      <c r="Q374" s="3"/>
      <c r="R374" s="274"/>
      <c r="S374" s="1"/>
      <c r="T374" s="273"/>
      <c r="U374" s="3"/>
      <c r="V374" s="3"/>
      <c r="W374" s="274"/>
      <c r="X374" s="1"/>
      <c r="Y374" s="273"/>
      <c r="Z374" s="3"/>
      <c r="AA374" s="3"/>
      <c r="AB374" s="274"/>
      <c r="AC374" s="1"/>
      <c r="AD374" s="273"/>
      <c r="AE374" s="3"/>
      <c r="AF374" s="3"/>
      <c r="AG374" s="274"/>
      <c r="AH374" s="1"/>
      <c r="AI374" s="273"/>
      <c r="AJ374" s="3"/>
      <c r="AK374" s="3"/>
      <c r="AL374" s="274"/>
      <c r="AM374" s="1"/>
      <c r="AN374" s="273"/>
      <c r="AO374" s="3"/>
      <c r="AP374" s="3"/>
      <c r="AQ374" s="274"/>
      <c r="AR374" s="1"/>
      <c r="AS374" s="273"/>
      <c r="AT374" s="3"/>
      <c r="AU374" s="3"/>
      <c r="AV374" s="274"/>
      <c r="AW374" s="1"/>
      <c r="AX374" s="273"/>
      <c r="AY374" s="3"/>
      <c r="AZ374" s="3"/>
      <c r="BA374" s="274"/>
      <c r="BB374" s="1"/>
      <c r="BC374" s="273"/>
      <c r="BD374" s="3"/>
      <c r="BE374" s="3"/>
      <c r="BF374" s="274"/>
      <c r="BG374" s="2226"/>
      <c r="BH374" s="273"/>
      <c r="BI374" s="3"/>
      <c r="BJ374" s="3"/>
      <c r="BK374" s="274"/>
      <c r="BL374" s="2226"/>
      <c r="BM374" s="273"/>
      <c r="BN374" s="3"/>
      <c r="BO374" s="3"/>
      <c r="BP374" s="274"/>
      <c r="BQ374" s="2227"/>
      <c r="BR374" s="40"/>
      <c r="BS374" s="40"/>
      <c r="BT374" s="40"/>
      <c r="BU374" s="232"/>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823"/>
      <c r="CU374" s="232"/>
      <c r="CV374" s="232"/>
      <c r="CW374" s="232"/>
      <c r="CX374" s="232"/>
      <c r="CY374" s="232"/>
      <c r="CZ374" s="40"/>
      <c r="DA374" s="40"/>
      <c r="DB374" s="40"/>
      <c r="DC374" s="40"/>
      <c r="DD374" s="40"/>
      <c r="DE374" s="40"/>
      <c r="DF374" s="232"/>
      <c r="DG374" s="232"/>
      <c r="DH374" s="232"/>
      <c r="DI374" s="232"/>
      <c r="DJ374" s="232"/>
      <c r="DK374" s="232"/>
      <c r="DL374" s="232"/>
      <c r="DM374" s="232"/>
      <c r="DN374" s="232"/>
    </row>
    <row r="375" spans="1:118">
      <c r="A375" s="40"/>
      <c r="B375" s="210" t="s">
        <v>1004</v>
      </c>
      <c r="C375" s="15"/>
      <c r="D375" s="211"/>
      <c r="E375" s="273"/>
      <c r="F375" s="3"/>
      <c r="G375" s="3"/>
      <c r="H375" s="274"/>
      <c r="I375" s="28"/>
      <c r="J375" s="273"/>
      <c r="K375" s="3"/>
      <c r="L375" s="3"/>
      <c r="M375" s="274"/>
      <c r="N375" s="1"/>
      <c r="O375" s="273"/>
      <c r="P375" s="3"/>
      <c r="Q375" s="3"/>
      <c r="R375" s="274"/>
      <c r="S375" s="1"/>
      <c r="T375" s="273"/>
      <c r="U375" s="3"/>
      <c r="V375" s="3"/>
      <c r="W375" s="274"/>
      <c r="X375" s="1"/>
      <c r="Y375" s="273"/>
      <c r="Z375" s="3"/>
      <c r="AA375" s="3"/>
      <c r="AB375" s="274"/>
      <c r="AC375" s="1"/>
      <c r="AD375" s="273"/>
      <c r="AE375" s="3"/>
      <c r="AF375" s="3"/>
      <c r="AG375" s="274"/>
      <c r="AH375" s="1"/>
      <c r="AI375" s="273"/>
      <c r="AJ375" s="3"/>
      <c r="AK375" s="3"/>
      <c r="AL375" s="274"/>
      <c r="AM375" s="1"/>
      <c r="AN375" s="273"/>
      <c r="AO375" s="3"/>
      <c r="AP375" s="3"/>
      <c r="AQ375" s="274"/>
      <c r="AR375" s="1"/>
      <c r="AS375" s="273"/>
      <c r="AT375" s="3"/>
      <c r="AU375" s="3"/>
      <c r="AV375" s="274"/>
      <c r="AW375" s="1"/>
      <c r="AX375" s="273"/>
      <c r="AY375" s="3"/>
      <c r="AZ375" s="3"/>
      <c r="BA375" s="274"/>
      <c r="BB375" s="1"/>
      <c r="BC375" s="273"/>
      <c r="BD375" s="3"/>
      <c r="BE375" s="3"/>
      <c r="BF375" s="274"/>
      <c r="BG375" s="331"/>
      <c r="BH375" s="273"/>
      <c r="BI375" s="3"/>
      <c r="BJ375" s="3"/>
      <c r="BK375" s="274"/>
      <c r="BL375" s="331"/>
      <c r="BM375" s="273"/>
      <c r="BN375" s="3"/>
      <c r="BO375" s="3"/>
      <c r="BP375" s="274"/>
      <c r="BQ375" s="1"/>
      <c r="BR375" s="40"/>
      <c r="BS375" s="40"/>
      <c r="BT375" s="40"/>
      <c r="BU375" s="232"/>
      <c r="BV375" s="40"/>
      <c r="BW375" s="40"/>
      <c r="BX375" s="40"/>
      <c r="BY375" s="40"/>
      <c r="BZ375" s="40"/>
      <c r="CA375" s="40"/>
      <c r="CB375" s="40"/>
      <c r="CC375" s="40"/>
      <c r="CD375" s="40"/>
      <c r="CE375" s="40"/>
      <c r="CF375" s="40"/>
      <c r="CG375" s="40"/>
      <c r="CH375" s="40"/>
      <c r="CI375" s="40"/>
      <c r="CJ375" s="40"/>
      <c r="CK375" s="40"/>
      <c r="CL375" s="40"/>
      <c r="CM375" s="40"/>
      <c r="CN375" s="40"/>
      <c r="CO375" s="40"/>
      <c r="CP375" s="40"/>
      <c r="CQ375" s="40"/>
      <c r="CR375" s="40"/>
      <c r="CS375" s="40"/>
      <c r="CT375" s="823"/>
      <c r="CU375" s="232"/>
      <c r="CV375" s="232"/>
      <c r="CW375" s="232"/>
      <c r="CX375" s="232"/>
      <c r="CY375" s="232"/>
      <c r="CZ375" s="40"/>
      <c r="DA375" s="40"/>
      <c r="DB375" s="40"/>
      <c r="DC375" s="40"/>
      <c r="DD375" s="40"/>
      <c r="DE375" s="40"/>
      <c r="DF375" s="232"/>
      <c r="DG375" s="232"/>
      <c r="DH375" s="232"/>
      <c r="DI375" s="232"/>
      <c r="DJ375" s="232"/>
      <c r="DK375" s="232"/>
      <c r="DL375" s="232"/>
      <c r="DM375" s="232"/>
      <c r="DN375" s="232"/>
    </row>
    <row r="376" spans="1:118">
      <c r="A376" s="40"/>
      <c r="B376" s="1"/>
      <c r="C376" s="1"/>
      <c r="D376" s="1"/>
      <c r="E376" s="273"/>
      <c r="F376" s="3"/>
      <c r="G376" s="3"/>
      <c r="H376" s="274"/>
      <c r="I376" s="28"/>
      <c r="J376" s="273"/>
      <c r="K376" s="3"/>
      <c r="L376" s="3"/>
      <c r="M376" s="274"/>
      <c r="N376" s="1"/>
      <c r="O376" s="273"/>
      <c r="P376" s="3"/>
      <c r="Q376" s="3"/>
      <c r="R376" s="274"/>
      <c r="S376" s="1"/>
      <c r="T376" s="273"/>
      <c r="U376" s="3"/>
      <c r="V376" s="3"/>
      <c r="W376" s="274"/>
      <c r="X376" s="1"/>
      <c r="Y376" s="273"/>
      <c r="Z376" s="3"/>
      <c r="AA376" s="3"/>
      <c r="AB376" s="274"/>
      <c r="AC376" s="1"/>
      <c r="AD376" s="273"/>
      <c r="AE376" s="3"/>
      <c r="AF376" s="3"/>
      <c r="AG376" s="274"/>
      <c r="AH376" s="1"/>
      <c r="AI376" s="273"/>
      <c r="AJ376" s="3"/>
      <c r="AK376" s="3"/>
      <c r="AL376" s="274"/>
      <c r="AM376" s="1"/>
      <c r="AN376" s="273"/>
      <c r="AO376" s="3"/>
      <c r="AP376" s="3"/>
      <c r="AQ376" s="274"/>
      <c r="AR376" s="1"/>
      <c r="AS376" s="273"/>
      <c r="AT376" s="3"/>
      <c r="AU376" s="3"/>
      <c r="AV376" s="274"/>
      <c r="AW376" s="1"/>
      <c r="AX376" s="273"/>
      <c r="AY376" s="3"/>
      <c r="AZ376" s="3"/>
      <c r="BA376" s="274"/>
      <c r="BB376" s="1"/>
      <c r="BC376" s="273"/>
      <c r="BD376" s="3"/>
      <c r="BE376" s="3"/>
      <c r="BF376" s="274"/>
      <c r="BG376" s="1"/>
      <c r="BH376" s="273"/>
      <c r="BI376" s="3"/>
      <c r="BJ376" s="3"/>
      <c r="BK376" s="274"/>
      <c r="BL376" s="1"/>
      <c r="BM376" s="273"/>
      <c r="BN376" s="3"/>
      <c r="BO376" s="3"/>
      <c r="BP376" s="274"/>
      <c r="BQ376" s="1"/>
      <c r="BR376" s="40"/>
      <c r="BS376" s="40"/>
      <c r="BT376" s="40"/>
      <c r="BU376" s="232"/>
      <c r="BV376" s="40"/>
      <c r="BW376" s="40"/>
      <c r="BX376" s="40"/>
      <c r="BY376" s="40"/>
      <c r="BZ376" s="40"/>
      <c r="CA376" s="40"/>
      <c r="CB376" s="40"/>
      <c r="CC376" s="40"/>
      <c r="CD376" s="40"/>
      <c r="CE376" s="40"/>
      <c r="CF376" s="40"/>
      <c r="CG376" s="40"/>
      <c r="CH376" s="40"/>
      <c r="CI376" s="40"/>
      <c r="CJ376" s="40"/>
      <c r="CK376" s="40"/>
      <c r="CL376" s="40"/>
      <c r="CM376" s="40"/>
      <c r="CN376" s="40"/>
      <c r="CO376" s="40"/>
      <c r="CP376" s="40"/>
      <c r="CQ376" s="40"/>
      <c r="CR376" s="40"/>
      <c r="CS376" s="40"/>
      <c r="CT376" s="823"/>
      <c r="CU376" s="232"/>
      <c r="CV376" s="232"/>
      <c r="CW376" s="232"/>
      <c r="CX376" s="232"/>
      <c r="CY376" s="232"/>
      <c r="CZ376" s="40"/>
      <c r="DA376" s="40"/>
      <c r="DB376" s="40"/>
      <c r="DC376" s="40"/>
      <c r="DD376" s="40"/>
      <c r="DE376" s="40"/>
      <c r="DF376" s="232"/>
      <c r="DG376" s="232"/>
      <c r="DH376" s="232"/>
      <c r="DI376" s="232"/>
      <c r="DJ376" s="232"/>
      <c r="DK376" s="232"/>
      <c r="DL376" s="232"/>
      <c r="DM376" s="232"/>
      <c r="DN376" s="232"/>
    </row>
    <row r="377" spans="1:118">
      <c r="A377" s="40"/>
      <c r="B377" s="1"/>
      <c r="C377" s="996" t="s">
        <v>1000</v>
      </c>
      <c r="D377" s="1"/>
      <c r="E377" s="273"/>
      <c r="F377" s="3"/>
      <c r="G377" s="3"/>
      <c r="H377" s="274"/>
      <c r="I377" s="28"/>
      <c r="J377" s="273"/>
      <c r="K377" s="3"/>
      <c r="L377" s="3"/>
      <c r="M377" s="274"/>
      <c r="N377" s="1"/>
      <c r="O377" s="273"/>
      <c r="P377" s="3"/>
      <c r="Q377" s="3"/>
      <c r="R377" s="274"/>
      <c r="S377" s="1"/>
      <c r="T377" s="273"/>
      <c r="U377" s="3"/>
      <c r="V377" s="3"/>
      <c r="W377" s="274"/>
      <c r="X377" s="1"/>
      <c r="Y377" s="273"/>
      <c r="Z377" s="3"/>
      <c r="AA377" s="3"/>
      <c r="AB377" s="274"/>
      <c r="AC377" s="1"/>
      <c r="AD377" s="273"/>
      <c r="AE377" s="3"/>
      <c r="AF377" s="3"/>
      <c r="AG377" s="274"/>
      <c r="AH377" s="1"/>
      <c r="AI377" s="273"/>
      <c r="AJ377" s="3"/>
      <c r="AK377" s="3"/>
      <c r="AL377" s="274"/>
      <c r="AM377" s="1"/>
      <c r="AN377" s="273"/>
      <c r="AO377" s="3"/>
      <c r="AP377" s="3"/>
      <c r="AQ377" s="274"/>
      <c r="AR377" s="1"/>
      <c r="AS377" s="273"/>
      <c r="AT377" s="3"/>
      <c r="AU377" s="3"/>
      <c r="AV377" s="274"/>
      <c r="AW377" s="1"/>
      <c r="AX377" s="273"/>
      <c r="AY377" s="3"/>
      <c r="AZ377" s="3"/>
      <c r="BA377" s="274"/>
      <c r="BB377" s="1"/>
      <c r="BC377" s="273"/>
      <c r="BD377" s="3"/>
      <c r="BE377" s="3"/>
      <c r="BF377" s="274"/>
      <c r="BG377" s="1"/>
      <c r="BH377" s="273"/>
      <c r="BI377" s="3"/>
      <c r="BJ377" s="3"/>
      <c r="BK377" s="274"/>
      <c r="BL377" s="1"/>
      <c r="BM377" s="273"/>
      <c r="BN377" s="3"/>
      <c r="BO377" s="3"/>
      <c r="BP377" s="274"/>
      <c r="BQ377" s="1"/>
      <c r="BR377" s="40"/>
      <c r="BS377" s="40"/>
      <c r="BT377" s="40"/>
      <c r="BU377" s="232"/>
      <c r="BV377" s="40"/>
      <c r="BW377" s="40"/>
      <c r="BX377" s="40"/>
      <c r="BY377" s="40"/>
      <c r="BZ377" s="40"/>
      <c r="CA377" s="40"/>
      <c r="CB377" s="40"/>
      <c r="CC377" s="40"/>
      <c r="CD377" s="40"/>
      <c r="CE377" s="40"/>
      <c r="CF377" s="40"/>
      <c r="CG377" s="40"/>
      <c r="CH377" s="40"/>
      <c r="CI377" s="40"/>
      <c r="CJ377" s="40"/>
      <c r="CK377" s="40"/>
      <c r="CL377" s="40"/>
      <c r="CM377" s="40"/>
      <c r="CN377" s="40"/>
      <c r="CO377" s="40"/>
      <c r="CP377" s="40"/>
      <c r="CQ377" s="40"/>
      <c r="CR377" s="40"/>
      <c r="CS377" s="40"/>
      <c r="CT377" s="823"/>
      <c r="CU377" s="232"/>
      <c r="CV377" s="232"/>
      <c r="CW377" s="232"/>
      <c r="CX377" s="232"/>
      <c r="CY377" s="232"/>
      <c r="CZ377" s="40"/>
      <c r="DA377" s="40"/>
      <c r="DB377" s="40"/>
      <c r="DC377" s="40"/>
      <c r="DD377" s="40"/>
      <c r="DE377" s="40"/>
      <c r="DF377" s="232"/>
      <c r="DG377" s="232"/>
      <c r="DH377" s="232"/>
      <c r="DI377" s="232"/>
      <c r="DJ377" s="232"/>
      <c r="DK377" s="232"/>
      <c r="DL377" s="232"/>
      <c r="DM377" s="232"/>
      <c r="DN377" s="232"/>
    </row>
    <row r="378" spans="1:118">
      <c r="A378" s="40"/>
      <c r="B378" s="1"/>
      <c r="C378" s="28" t="s">
        <v>797</v>
      </c>
      <c r="D378" s="1"/>
      <c r="E378" s="273"/>
      <c r="F378" s="3"/>
      <c r="G378" s="3"/>
      <c r="H378" s="274"/>
      <c r="I378" s="28"/>
      <c r="J378" s="273"/>
      <c r="K378" s="3"/>
      <c r="L378" s="3"/>
      <c r="M378" s="274"/>
      <c r="N378" s="1"/>
      <c r="O378" s="273"/>
      <c r="P378" s="3"/>
      <c r="Q378" s="3"/>
      <c r="R378" s="274"/>
      <c r="S378" s="1"/>
      <c r="T378" s="758"/>
      <c r="U378" s="660"/>
      <c r="V378" s="660"/>
      <c r="W378" s="661"/>
      <c r="X378" s="428"/>
      <c r="Y378" s="758">
        <f>+Y395+Y408+Y434+Y421+Y494+Y454+Y514+Y527+Y474+Y541</f>
        <v>359.70912662994624</v>
      </c>
      <c r="Z378" s="660">
        <f t="shared" ref="Z378:BL379" si="573">+Z395+Z408+Z434+Z421+Z494+Z454+Z514+Z527+Z474+Z541</f>
        <v>216.61204466878479</v>
      </c>
      <c r="AA378" s="660">
        <f t="shared" si="573"/>
        <v>281.61408253847162</v>
      </c>
      <c r="AB378" s="661">
        <f t="shared" si="573"/>
        <v>289.67476544571639</v>
      </c>
      <c r="AC378" s="428">
        <f t="shared" si="573"/>
        <v>1147.6100192829192</v>
      </c>
      <c r="AD378" s="758">
        <f t="shared" si="573"/>
        <v>613.00495373642991</v>
      </c>
      <c r="AE378" s="660">
        <f t="shared" si="573"/>
        <v>232.05671078670463</v>
      </c>
      <c r="AF378" s="660">
        <f t="shared" si="573"/>
        <v>232.05671078670463</v>
      </c>
      <c r="AG378" s="661">
        <f t="shared" si="573"/>
        <v>255.80929479909042</v>
      </c>
      <c r="AH378" s="428">
        <f t="shared" si="573"/>
        <v>1332.9276701089298</v>
      </c>
      <c r="AI378" s="758">
        <f t="shared" si="573"/>
        <v>232.26977559169214</v>
      </c>
      <c r="AJ378" s="660">
        <f t="shared" si="573"/>
        <v>138.31631653306948</v>
      </c>
      <c r="AK378" s="660">
        <f t="shared" si="573"/>
        <v>225.97196450468493</v>
      </c>
      <c r="AL378" s="661">
        <f t="shared" si="573"/>
        <v>145.83315204900822</v>
      </c>
      <c r="AM378" s="428">
        <f t="shared" si="573"/>
        <v>742.39120867845475</v>
      </c>
      <c r="AN378" s="758">
        <f t="shared" si="573"/>
        <v>121.37382223233989</v>
      </c>
      <c r="AO378" s="660">
        <f t="shared" si="573"/>
        <v>122.99971053506576</v>
      </c>
      <c r="AP378" s="660">
        <f t="shared" si="573"/>
        <v>175.0463136840483</v>
      </c>
      <c r="AQ378" s="661">
        <f t="shared" si="573"/>
        <v>164.31049262466632</v>
      </c>
      <c r="AR378" s="428">
        <f t="shared" si="573"/>
        <v>583.73033907612034</v>
      </c>
      <c r="AS378" s="758">
        <f t="shared" si="573"/>
        <v>134.41059515034536</v>
      </c>
      <c r="AT378" s="660">
        <f t="shared" si="573"/>
        <v>152.52059224070939</v>
      </c>
      <c r="AU378" s="660">
        <f t="shared" ref="AU378" si="574">+AU395+AU408+AU434+AU421+AU494+AU454+AU514+AU527+AU474+AU541</f>
        <v>151.10282316326354</v>
      </c>
      <c r="AV378" s="661">
        <f t="shared" si="573"/>
        <v>240.97953006796286</v>
      </c>
      <c r="AW378" s="428">
        <f t="shared" si="573"/>
        <v>679.0135406222812</v>
      </c>
      <c r="AX378" s="758">
        <f t="shared" si="573"/>
        <v>198.62797975203512</v>
      </c>
      <c r="AY378" s="660">
        <f t="shared" si="573"/>
        <v>228.80873135900001</v>
      </c>
      <c r="AZ378" s="660">
        <f t="shared" si="573"/>
        <v>429.67551686850004</v>
      </c>
      <c r="BA378" s="661">
        <f t="shared" si="573"/>
        <v>229.73893042799997</v>
      </c>
      <c r="BB378" s="428">
        <f t="shared" si="573"/>
        <v>1086.8511584075352</v>
      </c>
      <c r="BC378" s="758">
        <f t="shared" si="573"/>
        <v>311.4809880231378</v>
      </c>
      <c r="BD378" s="660">
        <f t="shared" si="573"/>
        <v>193.53890856948854</v>
      </c>
      <c r="BE378" s="660">
        <f t="shared" si="573"/>
        <v>318.45008070681712</v>
      </c>
      <c r="BF378" s="661">
        <f t="shared" si="573"/>
        <v>182.83058810079484</v>
      </c>
      <c r="BG378" s="428">
        <f t="shared" si="573"/>
        <v>1006.3005654002383</v>
      </c>
      <c r="BH378" s="758">
        <f t="shared" si="573"/>
        <v>306.59054577984358</v>
      </c>
      <c r="BI378" s="660">
        <f t="shared" si="573"/>
        <v>188.81209108518496</v>
      </c>
      <c r="BJ378" s="660">
        <f t="shared" si="573"/>
        <v>304.74136411225385</v>
      </c>
      <c r="BK378" s="661">
        <f t="shared" si="573"/>
        <v>174.22996907583092</v>
      </c>
      <c r="BL378" s="428">
        <f t="shared" si="573"/>
        <v>974.37397005311334</v>
      </c>
      <c r="BM378" s="758">
        <f t="shared" ref="BM378:BQ378" si="575">+BM395+BM408+BM434+BM421+BM494+BM454+BM514+BM527+BM474+BM541</f>
        <v>241.34816929702151</v>
      </c>
      <c r="BN378" s="660">
        <f t="shared" si="575"/>
        <v>253.09724608991181</v>
      </c>
      <c r="BO378" s="660">
        <f t="shared" si="575"/>
        <v>346.25607108854126</v>
      </c>
      <c r="BP378" s="661">
        <f t="shared" si="575"/>
        <v>251.06780944254308</v>
      </c>
      <c r="BQ378" s="428">
        <f t="shared" si="575"/>
        <v>1091.7692959180176</v>
      </c>
      <c r="BR378" s="40"/>
      <c r="BS378" s="40"/>
      <c r="BT378" s="40"/>
      <c r="BU378" s="232"/>
      <c r="BV378" s="40"/>
      <c r="BW378" s="40"/>
      <c r="BX378" s="40"/>
      <c r="BY378" s="40"/>
      <c r="BZ378" s="40"/>
      <c r="CA378" s="40"/>
      <c r="CB378" s="40"/>
      <c r="CC378" s="40"/>
      <c r="CD378" s="40"/>
      <c r="CE378" s="40"/>
      <c r="CF378" s="40"/>
      <c r="CG378" s="40"/>
      <c r="CH378" s="40"/>
      <c r="CI378" s="40"/>
      <c r="CJ378" s="40"/>
      <c r="CK378" s="40"/>
      <c r="CL378" s="40"/>
      <c r="CM378" s="40"/>
      <c r="CN378" s="40"/>
      <c r="CO378" s="40"/>
      <c r="CP378" s="40"/>
      <c r="CQ378" s="40"/>
      <c r="CR378" s="40"/>
      <c r="CS378" s="40"/>
      <c r="CT378" s="823"/>
      <c r="CU378" s="232"/>
      <c r="CV378" s="232"/>
      <c r="CW378" s="232"/>
      <c r="CX378" s="232"/>
      <c r="CY378" s="232"/>
      <c r="CZ378" s="40"/>
      <c r="DA378" s="40"/>
      <c r="DB378" s="40"/>
      <c r="DC378" s="40"/>
      <c r="DD378" s="40"/>
      <c r="DE378" s="40"/>
      <c r="DF378" s="232"/>
      <c r="DG378" s="232"/>
      <c r="DH378" s="232"/>
      <c r="DI378" s="232"/>
      <c r="DJ378" s="232"/>
      <c r="DK378" s="232"/>
      <c r="DL378" s="232"/>
      <c r="DM378" s="232"/>
      <c r="DN378" s="232"/>
    </row>
    <row r="379" spans="1:118">
      <c r="A379" s="40"/>
      <c r="B379" s="1"/>
      <c r="C379" s="28" t="s">
        <v>278</v>
      </c>
      <c r="D379" s="1"/>
      <c r="E379" s="273"/>
      <c r="F379" s="3"/>
      <c r="G379" s="3"/>
      <c r="H379" s="274"/>
      <c r="I379" s="28"/>
      <c r="J379" s="273"/>
      <c r="K379" s="3"/>
      <c r="L379" s="3"/>
      <c r="M379" s="274"/>
      <c r="N379" s="1"/>
      <c r="O379" s="273"/>
      <c r="P379" s="3"/>
      <c r="Q379" s="3"/>
      <c r="R379" s="274"/>
      <c r="S379" s="1"/>
      <c r="T379" s="758"/>
      <c r="U379" s="660"/>
      <c r="V379" s="660"/>
      <c r="W379" s="661"/>
      <c r="X379" s="428"/>
      <c r="Y379" s="758">
        <f>+Y396+Y409+Y435+Y422+Y495+Y455+Y515+Y528+Y475+Y542</f>
        <v>262.90924901504997</v>
      </c>
      <c r="Z379" s="660">
        <f t="shared" ref="Z379:AR379" si="576">+Z396+Z409+Z435+Z422+Z495+Z455+Z515+Z528+Z475+Z542</f>
        <v>180.70217894025001</v>
      </c>
      <c r="AA379" s="660">
        <f t="shared" si="576"/>
        <v>191.22762346659368</v>
      </c>
      <c r="AB379" s="661">
        <f t="shared" si="576"/>
        <v>177.15828476418744</v>
      </c>
      <c r="AC379" s="428">
        <f t="shared" si="576"/>
        <v>811.99733618608104</v>
      </c>
      <c r="AD379" s="1545">
        <f t="shared" si="576"/>
        <v>464.21076116822951</v>
      </c>
      <c r="AE379" s="660">
        <f t="shared" si="576"/>
        <v>148.42576817585154</v>
      </c>
      <c r="AF379" s="660">
        <f t="shared" si="576"/>
        <v>148.42576817585154</v>
      </c>
      <c r="AG379" s="661">
        <f t="shared" si="576"/>
        <v>167.43562151273437</v>
      </c>
      <c r="AH379" s="428">
        <f t="shared" si="576"/>
        <v>928.49791903266691</v>
      </c>
      <c r="AI379" s="758">
        <f t="shared" si="576"/>
        <v>205.64414491947579</v>
      </c>
      <c r="AJ379" s="660">
        <f t="shared" si="576"/>
        <v>95.884420157928545</v>
      </c>
      <c r="AK379" s="660">
        <f t="shared" si="576"/>
        <v>144.51806594464452</v>
      </c>
      <c r="AL379" s="661">
        <f t="shared" si="576"/>
        <v>92.94784467016666</v>
      </c>
      <c r="AM379" s="428">
        <f t="shared" si="576"/>
        <v>538.99447569221559</v>
      </c>
      <c r="AN379" s="758">
        <f t="shared" si="576"/>
        <v>93.713292912295103</v>
      </c>
      <c r="AO379" s="660">
        <f t="shared" si="576"/>
        <v>98.858163271617201</v>
      </c>
      <c r="AP379" s="660">
        <f t="shared" si="576"/>
        <v>117.87229460582812</v>
      </c>
      <c r="AQ379" s="661">
        <f t="shared" si="576"/>
        <v>136.45606998309677</v>
      </c>
      <c r="AR379" s="428">
        <f t="shared" si="576"/>
        <v>446.89982077283713</v>
      </c>
      <c r="AS379" s="758">
        <f t="shared" si="573"/>
        <v>115.7661280335484</v>
      </c>
      <c r="AT379" s="660">
        <f t="shared" si="573"/>
        <v>120.54414931818751</v>
      </c>
      <c r="AU379" s="660">
        <f t="shared" ref="AU379" si="577">+AU396+AU409+AU435+AU422+AU495+AU455+AU515+AU528+AU475+AU542</f>
        <v>104.64942451997618</v>
      </c>
      <c r="AV379" s="661">
        <f t="shared" si="573"/>
        <v>193.00486388380332</v>
      </c>
      <c r="AW379" s="428">
        <f t="shared" si="573"/>
        <v>533.96456575551542</v>
      </c>
      <c r="AX379" s="758">
        <f t="shared" si="573"/>
        <v>161.79626512131151</v>
      </c>
      <c r="AY379" s="660">
        <f t="shared" si="573"/>
        <v>150.8289101785</v>
      </c>
      <c r="AZ379" s="660">
        <f t="shared" si="573"/>
        <v>160.79864978999998</v>
      </c>
      <c r="BA379" s="661">
        <f t="shared" si="573"/>
        <v>171.04306080750001</v>
      </c>
      <c r="BB379" s="428">
        <f t="shared" si="573"/>
        <v>644.4668858973115</v>
      </c>
      <c r="BC379" s="758">
        <f t="shared" si="573"/>
        <v>210.41402351061237</v>
      </c>
      <c r="BD379" s="660">
        <f t="shared" si="573"/>
        <v>131.06234034492559</v>
      </c>
      <c r="BE379" s="660">
        <f t="shared" si="573"/>
        <v>135.40915949668994</v>
      </c>
      <c r="BF379" s="661">
        <f t="shared" si="573"/>
        <v>120.24044089631536</v>
      </c>
      <c r="BG379" s="428">
        <f t="shared" si="573"/>
        <v>597.12596424854337</v>
      </c>
      <c r="BH379" s="758">
        <f t="shared" si="573"/>
        <v>212.74819038947263</v>
      </c>
      <c r="BI379" s="660">
        <f t="shared" si="573"/>
        <v>132.59583486384403</v>
      </c>
      <c r="BJ379" s="660">
        <f t="shared" si="573"/>
        <v>137.00715988652794</v>
      </c>
      <c r="BK379" s="661">
        <f t="shared" si="573"/>
        <v>122.04467940613011</v>
      </c>
      <c r="BL379" s="428">
        <f t="shared" si="573"/>
        <v>604.39586454597475</v>
      </c>
      <c r="BM379" s="758">
        <f>+BM396+BM409+BM435+BM422+BM495+BM455+BM515+BM528+BM475+BM542</f>
        <v>172.26776895383631</v>
      </c>
      <c r="BN379" s="660">
        <f t="shared" ref="BN379:BQ379" si="578">+BN396+BN409+BN435+BN422+BN495+BN455+BN515+BN528+BN475+BN542</f>
        <v>175.31089873816933</v>
      </c>
      <c r="BO379" s="660">
        <f t="shared" si="578"/>
        <v>175.31089873816933</v>
      </c>
      <c r="BP379" s="661">
        <f t="shared" si="578"/>
        <v>151.68830770066933</v>
      </c>
      <c r="BQ379" s="428">
        <f t="shared" si="578"/>
        <v>674.57787413084429</v>
      </c>
      <c r="BR379" s="40"/>
      <c r="BS379" s="40"/>
      <c r="BT379" s="40"/>
      <c r="BU379" s="232"/>
      <c r="BV379" s="40"/>
      <c r="BW379" s="40"/>
      <c r="BX379" s="40"/>
      <c r="BY379" s="40"/>
      <c r="BZ379" s="40"/>
      <c r="CA379" s="40"/>
      <c r="CB379" s="40"/>
      <c r="CC379" s="40"/>
      <c r="CD379" s="40"/>
      <c r="CE379" s="40"/>
      <c r="CF379" s="40"/>
      <c r="CG379" s="40"/>
      <c r="CH379" s="40"/>
      <c r="CI379" s="40"/>
      <c r="CJ379" s="40"/>
      <c r="CK379" s="40"/>
      <c r="CL379" s="40"/>
      <c r="CM379" s="40"/>
      <c r="CN379" s="40"/>
      <c r="CO379" s="40"/>
      <c r="CP379" s="40"/>
      <c r="CQ379" s="40"/>
      <c r="CR379" s="40"/>
      <c r="CS379" s="40"/>
      <c r="CT379" s="823"/>
      <c r="CU379" s="232"/>
      <c r="CV379" s="232"/>
      <c r="CW379" s="232"/>
      <c r="CX379" s="232"/>
      <c r="CY379" s="232"/>
      <c r="CZ379" s="40"/>
      <c r="DA379" s="40"/>
      <c r="DB379" s="40"/>
      <c r="DC379" s="40"/>
      <c r="DD379" s="40"/>
      <c r="DE379" s="40"/>
      <c r="DF379" s="232"/>
      <c r="DG379" s="232"/>
      <c r="DH379" s="232"/>
      <c r="DI379" s="232"/>
      <c r="DJ379" s="232"/>
      <c r="DK379" s="232"/>
      <c r="DL379" s="232"/>
      <c r="DM379" s="232"/>
      <c r="DN379" s="232"/>
    </row>
    <row r="380" spans="1:118">
      <c r="A380" s="40"/>
      <c r="B380" s="1"/>
      <c r="C380" s="32" t="s">
        <v>199</v>
      </c>
      <c r="D380" s="32"/>
      <c r="E380" s="489"/>
      <c r="F380" s="342"/>
      <c r="G380" s="342"/>
      <c r="H380" s="490"/>
      <c r="I380" s="28"/>
      <c r="J380" s="489"/>
      <c r="K380" s="342"/>
      <c r="L380" s="342"/>
      <c r="M380" s="490"/>
      <c r="N380" s="32"/>
      <c r="O380" s="489"/>
      <c r="P380" s="342"/>
      <c r="Q380" s="342"/>
      <c r="R380" s="490"/>
      <c r="S380" s="32"/>
      <c r="T380" s="292"/>
      <c r="U380" s="261"/>
      <c r="V380" s="261"/>
      <c r="W380" s="293"/>
      <c r="X380" s="228"/>
      <c r="Y380" s="292">
        <f>Y378-Y379</f>
        <v>96.799877614896275</v>
      </c>
      <c r="Z380" s="261">
        <f>Z378-Z379</f>
        <v>35.909865728534783</v>
      </c>
      <c r="AA380" s="261">
        <f>AA378-AA379</f>
        <v>90.386459071877937</v>
      </c>
      <c r="AB380" s="293">
        <f>AB378-AB379</f>
        <v>112.51648068152895</v>
      </c>
      <c r="AC380" s="228">
        <f>AC378-AC379</f>
        <v>335.61268309683817</v>
      </c>
      <c r="AD380" s="292">
        <f t="shared" ref="AD380:AQ380" si="579">AD378-AD379</f>
        <v>148.7941925682004</v>
      </c>
      <c r="AE380" s="261">
        <f>AE378-AE379</f>
        <v>83.630942610853083</v>
      </c>
      <c r="AF380" s="261">
        <f t="shared" si="579"/>
        <v>83.630942610853083</v>
      </c>
      <c r="AG380" s="293">
        <f t="shared" si="579"/>
        <v>88.373673286356052</v>
      </c>
      <c r="AH380" s="228">
        <f t="shared" si="579"/>
        <v>404.42975107626285</v>
      </c>
      <c r="AI380" s="292">
        <f t="shared" si="579"/>
        <v>26.625630672216346</v>
      </c>
      <c r="AJ380" s="261">
        <f t="shared" si="579"/>
        <v>42.431896375140937</v>
      </c>
      <c r="AK380" s="261">
        <f t="shared" si="579"/>
        <v>81.453898560040415</v>
      </c>
      <c r="AL380" s="293">
        <f t="shared" si="579"/>
        <v>52.88530737884156</v>
      </c>
      <c r="AM380" s="228">
        <f>AM378-AM379</f>
        <v>203.39673298623916</v>
      </c>
      <c r="AN380" s="292">
        <f t="shared" si="579"/>
        <v>27.660529320044787</v>
      </c>
      <c r="AO380" s="261">
        <f t="shared" si="579"/>
        <v>24.141547263448558</v>
      </c>
      <c r="AP380" s="261">
        <f t="shared" si="579"/>
        <v>57.174019078220184</v>
      </c>
      <c r="AQ380" s="293">
        <f t="shared" si="579"/>
        <v>27.854422641569556</v>
      </c>
      <c r="AR380" s="228">
        <f>AR378-AR379</f>
        <v>136.83051830328321</v>
      </c>
      <c r="AS380" s="292">
        <f t="shared" ref="AS380:BA380" si="580">AS378-AS379</f>
        <v>18.64446711679696</v>
      </c>
      <c r="AT380" s="261">
        <f t="shared" si="580"/>
        <v>31.976442922521883</v>
      </c>
      <c r="AU380" s="261">
        <f t="shared" ref="AU380" si="581">AU378-AU379</f>
        <v>46.453398643287358</v>
      </c>
      <c r="AV380" s="293">
        <f t="shared" si="580"/>
        <v>47.974666184159531</v>
      </c>
      <c r="AW380" s="228">
        <f>AW378-AW379</f>
        <v>145.04897486676578</v>
      </c>
      <c r="AX380" s="292">
        <f t="shared" si="580"/>
        <v>36.83171463072361</v>
      </c>
      <c r="AY380" s="261">
        <f t="shared" si="580"/>
        <v>77.979821180500011</v>
      </c>
      <c r="AZ380" s="261">
        <f t="shared" si="580"/>
        <v>268.87686707850003</v>
      </c>
      <c r="BA380" s="293">
        <f t="shared" si="580"/>
        <v>58.695869620499963</v>
      </c>
      <c r="BB380" s="228">
        <f>BB378-BB379</f>
        <v>442.3842725102237</v>
      </c>
      <c r="BC380" s="292">
        <f t="shared" ref="BC380:BF380" si="582">BC378-BC379</f>
        <v>101.06696451252543</v>
      </c>
      <c r="BD380" s="261">
        <f t="shared" si="582"/>
        <v>62.476568224562953</v>
      </c>
      <c r="BE380" s="261">
        <f t="shared" si="582"/>
        <v>183.04092121012718</v>
      </c>
      <c r="BF380" s="293">
        <f t="shared" si="582"/>
        <v>62.590147204479479</v>
      </c>
      <c r="BG380" s="228">
        <f>BG378-BG379</f>
        <v>409.1746011516949</v>
      </c>
      <c r="BH380" s="292">
        <f t="shared" ref="BH380:BK380" si="583">BH378-BH379</f>
        <v>93.842355390370955</v>
      </c>
      <c r="BI380" s="261">
        <f t="shared" si="583"/>
        <v>56.216256221340927</v>
      </c>
      <c r="BJ380" s="261">
        <f t="shared" si="583"/>
        <v>167.7342042257259</v>
      </c>
      <c r="BK380" s="293">
        <f t="shared" si="583"/>
        <v>52.185289669700808</v>
      </c>
      <c r="BL380" s="228">
        <f>BL378-BL379</f>
        <v>369.97810550713859</v>
      </c>
      <c r="BM380" s="292">
        <f t="shared" ref="BM380:BP380" si="584">BM378-BM379</f>
        <v>69.080400343185204</v>
      </c>
      <c r="BN380" s="261">
        <f t="shared" si="584"/>
        <v>77.786347351742478</v>
      </c>
      <c r="BO380" s="261">
        <f t="shared" si="584"/>
        <v>170.94517235037193</v>
      </c>
      <c r="BP380" s="293">
        <f t="shared" si="584"/>
        <v>99.379501741873753</v>
      </c>
      <c r="BQ380" s="228">
        <f>BQ378-BQ379</f>
        <v>417.19142178717334</v>
      </c>
      <c r="BR380" s="40"/>
      <c r="BS380" s="40"/>
      <c r="BT380" s="40"/>
      <c r="BU380" s="232"/>
      <c r="BV380" s="40"/>
      <c r="BW380" s="40"/>
      <c r="BX380" s="40"/>
      <c r="BY380" s="40"/>
      <c r="BZ380" s="40"/>
      <c r="CA380" s="40"/>
      <c r="CB380" s="40"/>
      <c r="CC380" s="40"/>
      <c r="CD380" s="40"/>
      <c r="CE380" s="40"/>
      <c r="CF380" s="40"/>
      <c r="CG380" s="40"/>
      <c r="CH380" s="40"/>
      <c r="CI380" s="40"/>
      <c r="CJ380" s="40"/>
      <c r="CK380" s="40"/>
      <c r="CL380" s="40"/>
      <c r="CM380" s="40"/>
      <c r="CN380" s="40"/>
      <c r="CO380" s="40"/>
      <c r="CP380" s="40"/>
      <c r="CQ380" s="40"/>
      <c r="CR380" s="40"/>
      <c r="CS380" s="40"/>
      <c r="CT380" s="823"/>
      <c r="CU380" s="232"/>
      <c r="CV380" s="232"/>
      <c r="CW380" s="232"/>
      <c r="CX380" s="232"/>
      <c r="CY380" s="232"/>
      <c r="CZ380" s="40"/>
      <c r="DA380" s="40"/>
      <c r="DB380" s="40"/>
      <c r="DC380" s="40"/>
      <c r="DD380" s="40"/>
      <c r="DE380" s="40"/>
      <c r="DF380" s="232"/>
      <c r="DG380" s="232"/>
      <c r="DH380" s="232"/>
      <c r="DI380" s="232"/>
      <c r="DJ380" s="232"/>
      <c r="DK380" s="232"/>
      <c r="DL380" s="232"/>
      <c r="DM380" s="232"/>
      <c r="DN380" s="232"/>
    </row>
    <row r="381" spans="1:118">
      <c r="A381" s="40"/>
      <c r="B381" s="1"/>
      <c r="C381" s="1"/>
      <c r="D381" s="1"/>
      <c r="E381" s="273"/>
      <c r="F381" s="3"/>
      <c r="G381" s="3"/>
      <c r="H381" s="274"/>
      <c r="I381" s="28"/>
      <c r="J381" s="273"/>
      <c r="K381" s="3"/>
      <c r="L381" s="3"/>
      <c r="M381" s="274"/>
      <c r="N381" s="1"/>
      <c r="O381" s="273"/>
      <c r="P381" s="3"/>
      <c r="Q381" s="3"/>
      <c r="R381" s="274"/>
      <c r="S381" s="1"/>
      <c r="T381" s="273"/>
      <c r="U381" s="3"/>
      <c r="V381" s="3"/>
      <c r="W381" s="274"/>
      <c r="X381" s="1"/>
      <c r="Y381" s="273"/>
      <c r="Z381" s="3"/>
      <c r="AA381" s="3"/>
      <c r="AB381" s="274"/>
      <c r="AC381" s="1"/>
      <c r="AD381" s="273"/>
      <c r="AE381" s="3"/>
      <c r="AF381" s="3"/>
      <c r="AG381" s="274"/>
      <c r="AH381" s="1"/>
      <c r="AI381" s="273"/>
      <c r="AJ381" s="3"/>
      <c r="AK381" s="3"/>
      <c r="AL381" s="274"/>
      <c r="AM381" s="1"/>
      <c r="AN381" s="273"/>
      <c r="AO381" s="3"/>
      <c r="AP381" s="3"/>
      <c r="AQ381" s="274"/>
      <c r="AR381" s="1"/>
      <c r="AS381" s="273"/>
      <c r="AT381" s="3"/>
      <c r="AU381" s="3"/>
      <c r="AV381" s="274"/>
      <c r="AW381" s="1"/>
      <c r="AX381" s="273"/>
      <c r="AY381" s="3"/>
      <c r="AZ381" s="3"/>
      <c r="BA381" s="274"/>
      <c r="BB381" s="1"/>
      <c r="BC381" s="273"/>
      <c r="BD381" s="3"/>
      <c r="BE381" s="3"/>
      <c r="BF381" s="274"/>
      <c r="BG381" s="1"/>
      <c r="BH381" s="273"/>
      <c r="BI381" s="3"/>
      <c r="BJ381" s="3"/>
      <c r="BK381" s="274"/>
      <c r="BL381" s="1"/>
      <c r="BM381" s="273"/>
      <c r="BN381" s="3"/>
      <c r="BO381" s="3"/>
      <c r="BP381" s="274"/>
      <c r="BQ381" s="1"/>
      <c r="BR381" s="40"/>
      <c r="BS381" s="40"/>
      <c r="BT381" s="40"/>
      <c r="BU381" s="232"/>
      <c r="BV381" s="40"/>
      <c r="BW381" s="40"/>
      <c r="BX381" s="40"/>
      <c r="BY381" s="40"/>
      <c r="BZ381" s="40"/>
      <c r="CA381" s="40"/>
      <c r="CB381" s="40"/>
      <c r="CC381" s="40"/>
      <c r="CD381" s="40"/>
      <c r="CE381" s="40"/>
      <c r="CF381" s="40"/>
      <c r="CG381" s="40"/>
      <c r="CH381" s="40"/>
      <c r="CI381" s="40"/>
      <c r="CJ381" s="40"/>
      <c r="CK381" s="40"/>
      <c r="CL381" s="40"/>
      <c r="CM381" s="40"/>
      <c r="CN381" s="40"/>
      <c r="CO381" s="40"/>
      <c r="CP381" s="40"/>
      <c r="CQ381" s="40"/>
      <c r="CR381" s="40"/>
      <c r="CS381" s="40"/>
      <c r="CT381" s="823"/>
      <c r="CU381" s="232"/>
      <c r="CV381" s="232"/>
      <c r="CW381" s="232"/>
      <c r="CX381" s="232"/>
      <c r="CY381" s="232"/>
      <c r="CZ381" s="40"/>
      <c r="DA381" s="40"/>
      <c r="DB381" s="40"/>
      <c r="DC381" s="40"/>
      <c r="DD381" s="40"/>
      <c r="DE381" s="40"/>
      <c r="DF381" s="232"/>
      <c r="DG381" s="232"/>
      <c r="DH381" s="232"/>
      <c r="DI381" s="232"/>
      <c r="DJ381" s="232"/>
      <c r="DK381" s="232"/>
      <c r="DL381" s="232"/>
      <c r="DM381" s="232"/>
      <c r="DN381" s="232"/>
    </row>
    <row r="382" spans="1:118">
      <c r="A382" s="40"/>
      <c r="B382" s="28"/>
      <c r="C382" s="28" t="s">
        <v>853</v>
      </c>
      <c r="D382" s="28"/>
      <c r="E382" s="290"/>
      <c r="F382" s="260"/>
      <c r="G382" s="260"/>
      <c r="H382" s="291"/>
      <c r="I382" s="28"/>
      <c r="J382" s="290"/>
      <c r="K382" s="260"/>
      <c r="L382" s="260"/>
      <c r="M382" s="291"/>
      <c r="N382" s="45"/>
      <c r="O382" s="290"/>
      <c r="P382" s="260"/>
      <c r="Q382" s="260"/>
      <c r="R382" s="291"/>
      <c r="S382" s="45"/>
      <c r="T382" s="290"/>
      <c r="U382" s="260"/>
      <c r="V382" s="260"/>
      <c r="W382" s="291"/>
      <c r="X382" s="45"/>
      <c r="Y382" s="290">
        <f>+Y390+Y403+Y429+Y416+Y483+Y443+Y503+Y522+Y536</f>
        <v>11333</v>
      </c>
      <c r="Z382" s="260">
        <f t="shared" ref="Z382:BL382" si="585">+Z390+Z403+Z429+Z416+Z483+Z443+Z503+Z522+Z536</f>
        <v>11333</v>
      </c>
      <c r="AA382" s="260">
        <f t="shared" si="585"/>
        <v>11333</v>
      </c>
      <c r="AB382" s="291">
        <f t="shared" si="585"/>
        <v>11333</v>
      </c>
      <c r="AC382" s="45">
        <f t="shared" si="585"/>
        <v>11333</v>
      </c>
      <c r="AD382" s="290">
        <f t="shared" si="585"/>
        <v>11333</v>
      </c>
      <c r="AE382" s="260">
        <f t="shared" si="585"/>
        <v>11333</v>
      </c>
      <c r="AF382" s="260">
        <f t="shared" si="585"/>
        <v>11333</v>
      </c>
      <c r="AG382" s="291">
        <f t="shared" si="585"/>
        <v>11333</v>
      </c>
      <c r="AH382" s="45">
        <f t="shared" si="585"/>
        <v>11333</v>
      </c>
      <c r="AI382" s="290">
        <f t="shared" si="585"/>
        <v>10045</v>
      </c>
      <c r="AJ382" s="260">
        <f t="shared" si="585"/>
        <v>10045</v>
      </c>
      <c r="AK382" s="260">
        <f t="shared" si="585"/>
        <v>10045</v>
      </c>
      <c r="AL382" s="291">
        <f t="shared" si="585"/>
        <v>10045</v>
      </c>
      <c r="AM382" s="45">
        <f t="shared" si="585"/>
        <v>10045</v>
      </c>
      <c r="AN382" s="290">
        <f t="shared" si="585"/>
        <v>10045</v>
      </c>
      <c r="AO382" s="260">
        <f t="shared" si="585"/>
        <v>10045</v>
      </c>
      <c r="AP382" s="260">
        <f t="shared" si="585"/>
        <v>10045</v>
      </c>
      <c r="AQ382" s="291">
        <f t="shared" si="585"/>
        <v>10045</v>
      </c>
      <c r="AR382" s="45">
        <f t="shared" si="585"/>
        <v>10045</v>
      </c>
      <c r="AS382" s="290">
        <f t="shared" si="585"/>
        <v>10045</v>
      </c>
      <c r="AT382" s="260">
        <f t="shared" si="585"/>
        <v>10045</v>
      </c>
      <c r="AU382" s="260">
        <f t="shared" ref="AU382" si="586">+AU390+AU403+AU429+AU416+AU483+AU443+AU503+AU522+AU536</f>
        <v>10045</v>
      </c>
      <c r="AV382" s="291">
        <f t="shared" si="585"/>
        <v>10045</v>
      </c>
      <c r="AW382" s="45">
        <f t="shared" si="585"/>
        <v>10045</v>
      </c>
      <c r="AX382" s="290">
        <f t="shared" si="585"/>
        <v>6666</v>
      </c>
      <c r="AY382" s="260">
        <f t="shared" si="585"/>
        <v>6666</v>
      </c>
      <c r="AZ382" s="260">
        <f t="shared" si="585"/>
        <v>6666</v>
      </c>
      <c r="BA382" s="291">
        <f t="shared" si="585"/>
        <v>6666</v>
      </c>
      <c r="BB382" s="45">
        <f t="shared" si="585"/>
        <v>6666</v>
      </c>
      <c r="BC382" s="290">
        <f t="shared" si="585"/>
        <v>6666</v>
      </c>
      <c r="BD382" s="260">
        <f t="shared" si="585"/>
        <v>6666</v>
      </c>
      <c r="BE382" s="260">
        <f t="shared" si="585"/>
        <v>6666</v>
      </c>
      <c r="BF382" s="291">
        <f t="shared" si="585"/>
        <v>6666</v>
      </c>
      <c r="BG382" s="45">
        <f t="shared" si="585"/>
        <v>6666</v>
      </c>
      <c r="BH382" s="290">
        <f t="shared" si="585"/>
        <v>6666</v>
      </c>
      <c r="BI382" s="260">
        <f t="shared" si="585"/>
        <v>6666</v>
      </c>
      <c r="BJ382" s="260">
        <f t="shared" si="585"/>
        <v>6666</v>
      </c>
      <c r="BK382" s="291">
        <f t="shared" si="585"/>
        <v>6666</v>
      </c>
      <c r="BL382" s="45">
        <f t="shared" si="585"/>
        <v>6666</v>
      </c>
      <c r="BM382" s="290">
        <f t="shared" ref="BM382:BQ382" si="587">+BM390+BM403+BM429+BM416+BM483+BM443+BM503+BM522+BM536</f>
        <v>6666</v>
      </c>
      <c r="BN382" s="260">
        <f t="shared" si="587"/>
        <v>6666</v>
      </c>
      <c r="BO382" s="260">
        <f t="shared" si="587"/>
        <v>6666</v>
      </c>
      <c r="BP382" s="291">
        <f t="shared" si="587"/>
        <v>6666</v>
      </c>
      <c r="BQ382" s="45">
        <f t="shared" si="587"/>
        <v>6666</v>
      </c>
      <c r="BR382" s="40"/>
      <c r="BS382" s="40"/>
      <c r="BT382" s="40"/>
      <c r="BU382" s="232"/>
      <c r="BV382" s="40"/>
      <c r="BW382" s="40"/>
      <c r="BX382" s="40"/>
      <c r="BY382" s="40"/>
      <c r="BZ382" s="40"/>
      <c r="CA382" s="40"/>
      <c r="CB382" s="40"/>
      <c r="CC382" s="40"/>
      <c r="CD382" s="40"/>
      <c r="CE382" s="40"/>
      <c r="CF382" s="40"/>
      <c r="CG382" s="40"/>
      <c r="CH382" s="40"/>
      <c r="CI382" s="40"/>
      <c r="CJ382" s="40"/>
      <c r="CK382" s="40"/>
      <c r="CL382" s="40"/>
      <c r="CM382" s="40"/>
      <c r="CN382" s="40"/>
      <c r="CO382" s="40"/>
      <c r="CP382" s="40"/>
      <c r="CQ382" s="40"/>
      <c r="CR382" s="40"/>
      <c r="CS382" s="40"/>
      <c r="CT382" s="823"/>
      <c r="CU382" s="232"/>
      <c r="CV382" s="232"/>
      <c r="CW382" s="232"/>
      <c r="CX382" s="232"/>
      <c r="CY382" s="232"/>
      <c r="CZ382" s="40"/>
      <c r="DA382" s="40"/>
      <c r="DB382" s="40"/>
      <c r="DC382" s="40"/>
      <c r="DD382" s="40"/>
      <c r="DE382" s="40"/>
      <c r="DF382" s="232"/>
      <c r="DG382" s="232"/>
      <c r="DH382" s="232"/>
      <c r="DI382" s="232"/>
      <c r="DJ382" s="232"/>
      <c r="DK382" s="232"/>
      <c r="DL382" s="232"/>
      <c r="DM382" s="232"/>
      <c r="DN382" s="232"/>
    </row>
    <row r="383" spans="1:118">
      <c r="A383" s="40"/>
      <c r="B383" s="28"/>
      <c r="C383" s="28" t="s">
        <v>198</v>
      </c>
      <c r="D383" s="28"/>
      <c r="E383" s="305"/>
      <c r="F383" s="36"/>
      <c r="G383" s="36"/>
      <c r="H383" s="685"/>
      <c r="I383" s="28"/>
      <c r="J383" s="305"/>
      <c r="K383" s="36"/>
      <c r="L383" s="36"/>
      <c r="M383" s="685"/>
      <c r="N383" s="995"/>
      <c r="O383" s="305"/>
      <c r="P383" s="36"/>
      <c r="Q383" s="36"/>
      <c r="R383" s="685"/>
      <c r="S383" s="28"/>
      <c r="T383" s="308"/>
      <c r="U383" s="244"/>
      <c r="V383" s="244"/>
      <c r="W383" s="309"/>
      <c r="X383" s="24"/>
      <c r="Y383" s="308">
        <f>+Y393+Y406+Y432+Y419+Y492+Y452+Y512+Y525+Y472+Y539</f>
        <v>5631.366</v>
      </c>
      <c r="Z383" s="244">
        <f t="shared" ref="Z383:BL383" si="588">+Z393+Z406+Z432+Z419+Z492+Z452+Z512+Z525+Z472+Z539</f>
        <v>5631.366</v>
      </c>
      <c r="AA383" s="244">
        <f t="shared" si="588"/>
        <v>6443.1989999999996</v>
      </c>
      <c r="AB383" s="309">
        <f t="shared" si="588"/>
        <v>5631.366</v>
      </c>
      <c r="AC383" s="24">
        <f t="shared" si="588"/>
        <v>23337.296999999999</v>
      </c>
      <c r="AD383" s="308">
        <f t="shared" si="588"/>
        <v>5817.5159999999996</v>
      </c>
      <c r="AE383" s="244">
        <f t="shared" si="588"/>
        <v>6119.0789999999988</v>
      </c>
      <c r="AF383" s="244">
        <f t="shared" si="588"/>
        <v>6119.0789999999988</v>
      </c>
      <c r="AG383" s="309">
        <f t="shared" si="588"/>
        <v>6281.1389999999992</v>
      </c>
      <c r="AH383" s="24">
        <f t="shared" si="588"/>
        <v>24336.813000000002</v>
      </c>
      <c r="AI383" s="308">
        <f t="shared" si="588"/>
        <v>4146.3270000000002</v>
      </c>
      <c r="AJ383" s="244">
        <f t="shared" si="588"/>
        <v>4417.4489999999996</v>
      </c>
      <c r="AK383" s="244">
        <f t="shared" si="588"/>
        <v>6365.2350000000006</v>
      </c>
      <c r="AL383" s="309">
        <f t="shared" si="588"/>
        <v>5391.9989999999998</v>
      </c>
      <c r="AM383" s="24">
        <f t="shared" si="588"/>
        <v>20321.010000000002</v>
      </c>
      <c r="AN383" s="308">
        <f t="shared" si="588"/>
        <v>4579.509</v>
      </c>
      <c r="AO383" s="244">
        <f t="shared" si="588"/>
        <v>4579.509</v>
      </c>
      <c r="AP383" s="244">
        <f t="shared" si="588"/>
        <v>4689.009</v>
      </c>
      <c r="AQ383" s="309">
        <f t="shared" si="588"/>
        <v>5229.9390000000003</v>
      </c>
      <c r="AR383" s="24">
        <f t="shared" si="588"/>
        <v>19077.966</v>
      </c>
      <c r="AS383" s="308">
        <f t="shared" si="588"/>
        <v>4580.1660000000002</v>
      </c>
      <c r="AT383" s="244">
        <f t="shared" si="588"/>
        <v>5067.8789999999999</v>
      </c>
      <c r="AU383" s="244">
        <f t="shared" ref="AU383" si="589">+AU393+AU406+AU432+AU419+AU492+AU452+AU512+AU525+AU472+AU539</f>
        <v>4689.009</v>
      </c>
      <c r="AV383" s="309">
        <f t="shared" si="588"/>
        <v>5870.0760000000009</v>
      </c>
      <c r="AW383" s="24">
        <f t="shared" si="588"/>
        <v>20207.13</v>
      </c>
      <c r="AX383" s="308">
        <f t="shared" si="588"/>
        <v>4537.68</v>
      </c>
      <c r="AY383" s="244">
        <f t="shared" si="588"/>
        <v>7530.2055000000009</v>
      </c>
      <c r="AZ383" s="244">
        <f t="shared" si="588"/>
        <v>7692.2655000000004</v>
      </c>
      <c r="BA383" s="309">
        <f t="shared" si="588"/>
        <v>7420.7055000000009</v>
      </c>
      <c r="BB383" s="24">
        <f t="shared" si="588"/>
        <v>27180.856500000002</v>
      </c>
      <c r="BC383" s="308">
        <f t="shared" si="588"/>
        <v>7582.7655000000004</v>
      </c>
      <c r="BD383" s="244">
        <f t="shared" si="588"/>
        <v>7530.2055000000009</v>
      </c>
      <c r="BE383" s="244">
        <f t="shared" si="588"/>
        <v>7692.2655000000004</v>
      </c>
      <c r="BF383" s="309">
        <f t="shared" si="588"/>
        <v>4537.68</v>
      </c>
      <c r="BG383" s="24">
        <f t="shared" si="588"/>
        <v>27342.916499999999</v>
      </c>
      <c r="BH383" s="308">
        <f t="shared" si="588"/>
        <v>7582.7655000000004</v>
      </c>
      <c r="BI383" s="244">
        <f t="shared" si="588"/>
        <v>7530.2055000000009</v>
      </c>
      <c r="BJ383" s="244">
        <f t="shared" si="588"/>
        <v>7692.2655000000004</v>
      </c>
      <c r="BK383" s="309">
        <f t="shared" si="588"/>
        <v>4537.68</v>
      </c>
      <c r="BL383" s="24">
        <f t="shared" si="588"/>
        <v>27342.916499999999</v>
      </c>
      <c r="BM383" s="308">
        <f t="shared" ref="BM383:BQ383" si="590">+BM393+BM406+BM432+BM419+BM492+BM452+BM512+BM525+BM472+BM539</f>
        <v>7582.7655000000004</v>
      </c>
      <c r="BN383" s="244">
        <f t="shared" si="590"/>
        <v>7692.2655000000004</v>
      </c>
      <c r="BO383" s="244">
        <f t="shared" si="590"/>
        <v>7692.2655000000004</v>
      </c>
      <c r="BP383" s="309">
        <f t="shared" si="590"/>
        <v>6378.2655000000004</v>
      </c>
      <c r="BQ383" s="24">
        <f t="shared" si="590"/>
        <v>29345.562000000002</v>
      </c>
      <c r="BR383" s="40"/>
      <c r="BS383" s="40"/>
      <c r="BT383" s="40"/>
      <c r="BU383" s="232"/>
      <c r="BV383" s="40"/>
      <c r="BW383" s="40"/>
      <c r="BX383" s="40"/>
      <c r="BY383" s="40"/>
      <c r="BZ383" s="40"/>
      <c r="CA383" s="40"/>
      <c r="CB383" s="40"/>
      <c r="CC383" s="40"/>
      <c r="CD383" s="40"/>
      <c r="CE383" s="40"/>
      <c r="CF383" s="40"/>
      <c r="CG383" s="40"/>
      <c r="CH383" s="40"/>
      <c r="CI383" s="40"/>
      <c r="CJ383" s="40"/>
      <c r="CK383" s="40"/>
      <c r="CL383" s="40"/>
      <c r="CM383" s="40"/>
      <c r="CN383" s="40"/>
      <c r="CO383" s="40"/>
      <c r="CP383" s="40"/>
      <c r="CQ383" s="40"/>
      <c r="CR383" s="40"/>
      <c r="CS383" s="40"/>
      <c r="CT383" s="823"/>
      <c r="CU383" s="232"/>
      <c r="CV383" s="232"/>
      <c r="CW383" s="232"/>
      <c r="CX383" s="232"/>
      <c r="CY383" s="232"/>
      <c r="CZ383" s="40"/>
      <c r="DA383" s="40"/>
      <c r="DB383" s="40"/>
      <c r="DC383" s="40"/>
      <c r="DD383" s="40"/>
      <c r="DE383" s="40"/>
      <c r="DF383" s="232"/>
      <c r="DG383" s="232"/>
      <c r="DH383" s="232"/>
      <c r="DI383" s="232"/>
      <c r="DJ383" s="232"/>
      <c r="DK383" s="232"/>
      <c r="DL383" s="232"/>
      <c r="DM383" s="232"/>
      <c r="DN383" s="232"/>
    </row>
    <row r="384" spans="1:118">
      <c r="A384" s="40"/>
      <c r="B384" s="1"/>
      <c r="C384" s="28" t="s">
        <v>854</v>
      </c>
      <c r="D384" s="1"/>
      <c r="E384" s="273"/>
      <c r="F384" s="3"/>
      <c r="G384" s="3"/>
      <c r="H384" s="274"/>
      <c r="I384" s="28"/>
      <c r="J384" s="273"/>
      <c r="K384" s="3"/>
      <c r="L384" s="3"/>
      <c r="M384" s="274"/>
      <c r="N384" s="1"/>
      <c r="O384" s="273"/>
      <c r="P384" s="3"/>
      <c r="Q384" s="3"/>
      <c r="R384" s="274"/>
      <c r="S384" s="1"/>
      <c r="T384" s="277"/>
      <c r="U384" s="253"/>
      <c r="V384" s="253"/>
      <c r="W384" s="278"/>
      <c r="X384" s="765"/>
      <c r="Y384" s="277">
        <f>Y383/(Y382*8.76/4)</f>
        <v>0.22689490867378451</v>
      </c>
      <c r="Z384" s="253">
        <f>Z383/(Z382*8.76/4)</f>
        <v>0.22689490867378451</v>
      </c>
      <c r="AA384" s="253">
        <f>AA383/(AA382*8.76/4)</f>
        <v>0.25960469425571336</v>
      </c>
      <c r="AB384" s="278">
        <f>AB383/(AB382*8.76/4)</f>
        <v>0.22689490867378451</v>
      </c>
      <c r="AC384" s="765">
        <f>AC383/(AC382*8.76)</f>
        <v>0.23507235506926671</v>
      </c>
      <c r="AD384" s="277">
        <f>AD383/(AD382*8.76/4)</f>
        <v>0.23439512926850789</v>
      </c>
      <c r="AE384" s="253">
        <f>AE383/(AE382*8.76/4)</f>
        <v>0.24654548663195971</v>
      </c>
      <c r="AF384" s="253">
        <f>AF383/(AF382*8.76/4)</f>
        <v>0.24654548663195971</v>
      </c>
      <c r="AG384" s="278">
        <f>AG383/(AG382*8.76/4)</f>
        <v>0.25307509044383653</v>
      </c>
      <c r="AH384" s="765">
        <f>AH383/(AH382*8.76)</f>
        <v>0.24514029824406602</v>
      </c>
      <c r="AI384" s="277">
        <f>AI383/(AI382*8.76/4)</f>
        <v>0.1884818317570931</v>
      </c>
      <c r="AJ384" s="253">
        <f>AJ383/(AJ382*8.76/4)</f>
        <v>0.20080637132901941</v>
      </c>
      <c r="AK384" s="253">
        <f>AK383/(AK382*8.76/4)</f>
        <v>0.28934793429566952</v>
      </c>
      <c r="AL384" s="278">
        <f>AL383/(AL382*8.76/4)</f>
        <v>0.24510701841712296</v>
      </c>
      <c r="AM384" s="765">
        <f>AM383/(AM382*8.76)</f>
        <v>0.23093578894972627</v>
      </c>
      <c r="AN384" s="277">
        <f>AN383/(AN382*8.76/4)</f>
        <v>0.20817322050771528</v>
      </c>
      <c r="AO384" s="253">
        <f>AO383/(AO382*8.76/4)</f>
        <v>0.20817322050771528</v>
      </c>
      <c r="AP384" s="253">
        <f>AP383/(AP382*8.76/4)</f>
        <v>0.2131508213041314</v>
      </c>
      <c r="AQ384" s="278">
        <f>AQ383/(AQ382*8.76/4)</f>
        <v>0.23774016923842711</v>
      </c>
      <c r="AR384" s="765">
        <f>AR383/(AR382*8.76)</f>
        <v>0.21680935788949726</v>
      </c>
      <c r="AS384" s="277">
        <f>AS383/(AS382*8.76/4)</f>
        <v>0.2082030861124938</v>
      </c>
      <c r="AT384" s="253">
        <f>AT383/(AT382*8.76/4)</f>
        <v>0.23037332005973121</v>
      </c>
      <c r="AU384" s="253">
        <f t="shared" ref="AU384" si="591">AU383/(AU382*8.76/4)</f>
        <v>0.2131508213041314</v>
      </c>
      <c r="AV384" s="278">
        <f>AV383/(AV382*8.76/4)</f>
        <v>0.2668392234942758</v>
      </c>
      <c r="AW384" s="765">
        <f>AW383/(AW382*8.76)</f>
        <v>0.22964161274265807</v>
      </c>
      <c r="AX384" s="277">
        <f>AX383/(AX382*8.76/4)</f>
        <v>0.31083108310831087</v>
      </c>
      <c r="AY384" s="253">
        <f>AY383/(AY382*8.76/4)</f>
        <v>0.51581908190819092</v>
      </c>
      <c r="AZ384" s="253">
        <f>AZ383/(AZ382*8.76/4)</f>
        <v>0.52692019201920204</v>
      </c>
      <c r="BA384" s="278">
        <f>BA383/(BA382*8.76/4)</f>
        <v>0.50831833183318342</v>
      </c>
      <c r="BB384" s="765">
        <f>BB383/(BB382*8.76)</f>
        <v>0.46547217221722176</v>
      </c>
      <c r="BC384" s="277">
        <f>BC383/(BC382*8.76/4)</f>
        <v>0.51941944194419454</v>
      </c>
      <c r="BD384" s="253">
        <f>BD383/(BD382*8.76/4)</f>
        <v>0.51581908190819092</v>
      </c>
      <c r="BE384" s="253">
        <f>BE383/(BE382*8.76/4)</f>
        <v>0.52692019201920204</v>
      </c>
      <c r="BF384" s="278">
        <f>BF383/(BF382*8.76/4)</f>
        <v>0.31083108310831087</v>
      </c>
      <c r="BG384" s="765">
        <f>BG383/(BG382*8.76)</f>
        <v>0.46824744974497451</v>
      </c>
      <c r="BH384" s="277">
        <f>BH383/(BH382*8.76/4)</f>
        <v>0.51941944194419454</v>
      </c>
      <c r="BI384" s="253">
        <f>BI383/(BI382*8.76/4)</f>
        <v>0.51581908190819092</v>
      </c>
      <c r="BJ384" s="253">
        <f>BJ383/(BJ382*8.76/4)</f>
        <v>0.52692019201920204</v>
      </c>
      <c r="BK384" s="278">
        <f>BK383/(BK382*8.76/4)</f>
        <v>0.31083108310831087</v>
      </c>
      <c r="BL384" s="765">
        <f>BL383/(BL382*8.76)</f>
        <v>0.46824744974497451</v>
      </c>
      <c r="BM384" s="277">
        <f>BM383/(BM382*8.76/4)</f>
        <v>0.51941944194419454</v>
      </c>
      <c r="BN384" s="253">
        <f>BN383/(BN382*8.76/4)</f>
        <v>0.52692019201920204</v>
      </c>
      <c r="BO384" s="253">
        <f>BO383/(BO382*8.76/4)</f>
        <v>0.52692019201920204</v>
      </c>
      <c r="BP384" s="278">
        <f>BP383/(BP382*8.76/4)</f>
        <v>0.43691119111911197</v>
      </c>
      <c r="BQ384" s="765">
        <f>BQ383/(BQ382*8.76)</f>
        <v>0.50254275427542761</v>
      </c>
      <c r="BR384" s="40"/>
      <c r="BS384" s="40"/>
      <c r="BT384" s="40"/>
      <c r="BU384" s="232"/>
      <c r="BV384" s="40"/>
      <c r="BW384" s="40"/>
      <c r="BX384" s="40"/>
      <c r="BY384" s="40"/>
      <c r="BZ384" s="40"/>
      <c r="CA384" s="40"/>
      <c r="CB384" s="40"/>
      <c r="CC384" s="40"/>
      <c r="CD384" s="40"/>
      <c r="CE384" s="40"/>
      <c r="CF384" s="40"/>
      <c r="CG384" s="40"/>
      <c r="CH384" s="40"/>
      <c r="CI384" s="40"/>
      <c r="CJ384" s="40"/>
      <c r="CK384" s="40"/>
      <c r="CL384" s="40"/>
      <c r="CM384" s="40"/>
      <c r="CN384" s="40"/>
      <c r="CO384" s="40"/>
      <c r="CP384" s="40"/>
      <c r="CQ384" s="40"/>
      <c r="CR384" s="40"/>
      <c r="CS384" s="40"/>
      <c r="CT384" s="823"/>
      <c r="CU384" s="232"/>
      <c r="CV384" s="232"/>
      <c r="CW384" s="232"/>
      <c r="CX384" s="232"/>
      <c r="CY384" s="232"/>
      <c r="CZ384" s="40"/>
      <c r="DA384" s="40"/>
      <c r="DB384" s="40"/>
      <c r="DC384" s="40"/>
      <c r="DD384" s="40"/>
      <c r="DE384" s="40"/>
      <c r="DF384" s="232"/>
      <c r="DG384" s="232"/>
      <c r="DH384" s="232"/>
      <c r="DI384" s="232"/>
      <c r="DJ384" s="232"/>
      <c r="DK384" s="232"/>
      <c r="DL384" s="232"/>
      <c r="DM384" s="232"/>
      <c r="DN384" s="232"/>
    </row>
    <row r="385" spans="1:118">
      <c r="A385" s="40"/>
      <c r="B385" s="1"/>
      <c r="C385" s="1"/>
      <c r="D385" s="1"/>
      <c r="E385" s="273"/>
      <c r="F385" s="3"/>
      <c r="G385" s="3"/>
      <c r="H385" s="274"/>
      <c r="I385" s="28"/>
      <c r="J385" s="273"/>
      <c r="K385" s="3"/>
      <c r="L385" s="3"/>
      <c r="M385" s="274"/>
      <c r="N385" s="1"/>
      <c r="O385" s="273"/>
      <c r="P385" s="3"/>
      <c r="Q385" s="3"/>
      <c r="R385" s="274"/>
      <c r="S385" s="1"/>
      <c r="T385" s="273"/>
      <c r="U385" s="3"/>
      <c r="V385" s="3"/>
      <c r="W385" s="274"/>
      <c r="X385" s="1"/>
      <c r="Y385" s="273"/>
      <c r="Z385" s="3"/>
      <c r="AA385" s="3"/>
      <c r="AB385" s="274"/>
      <c r="AC385" s="1"/>
      <c r="AD385" s="273"/>
      <c r="AE385" s="3"/>
      <c r="AF385" s="3"/>
      <c r="AG385" s="274"/>
      <c r="AH385" s="1"/>
      <c r="AI385" s="273"/>
      <c r="AJ385" s="3"/>
      <c r="AK385" s="3"/>
      <c r="AL385" s="274"/>
      <c r="AM385" s="1"/>
      <c r="AN385" s="273"/>
      <c r="AO385" s="3"/>
      <c r="AP385" s="3"/>
      <c r="AQ385" s="274"/>
      <c r="AR385" s="1"/>
      <c r="AS385" s="273"/>
      <c r="AT385" s="3"/>
      <c r="AU385" s="3"/>
      <c r="AV385" s="274"/>
      <c r="AW385" s="1"/>
      <c r="AX385" s="273"/>
      <c r="AY385" s="3"/>
      <c r="AZ385" s="3"/>
      <c r="BA385" s="274"/>
      <c r="BB385" s="1"/>
      <c r="BC385" s="273"/>
      <c r="BD385" s="3"/>
      <c r="BE385" s="3"/>
      <c r="BF385" s="274"/>
      <c r="BG385" s="1"/>
      <c r="BH385" s="273"/>
      <c r="BI385" s="3"/>
      <c r="BJ385" s="3"/>
      <c r="BK385" s="274"/>
      <c r="BL385" s="1"/>
      <c r="BM385" s="273"/>
      <c r="BN385" s="3"/>
      <c r="BO385" s="3"/>
      <c r="BP385" s="274"/>
      <c r="BQ385" s="1"/>
      <c r="BR385" s="40"/>
      <c r="BS385" s="40"/>
      <c r="BT385" s="40"/>
      <c r="BU385" s="232"/>
      <c r="BV385" s="40"/>
      <c r="BW385" s="40"/>
      <c r="BX385" s="40"/>
      <c r="BY385" s="40"/>
      <c r="BZ385" s="40"/>
      <c r="CA385" s="40"/>
      <c r="CB385" s="40"/>
      <c r="CC385" s="40"/>
      <c r="CD385" s="40"/>
      <c r="CE385" s="40"/>
      <c r="CF385" s="40"/>
      <c r="CG385" s="40"/>
      <c r="CH385" s="40"/>
      <c r="CI385" s="40"/>
      <c r="CJ385" s="40"/>
      <c r="CK385" s="40"/>
      <c r="CL385" s="40"/>
      <c r="CM385" s="40"/>
      <c r="CN385" s="40"/>
      <c r="CO385" s="40"/>
      <c r="CP385" s="40"/>
      <c r="CQ385" s="40"/>
      <c r="CR385" s="40"/>
      <c r="CS385" s="40"/>
      <c r="CT385" s="823"/>
      <c r="CU385" s="232"/>
      <c r="CV385" s="232"/>
      <c r="CW385" s="232"/>
      <c r="CX385" s="232"/>
      <c r="CY385" s="232"/>
      <c r="CZ385" s="40"/>
      <c r="DA385" s="40"/>
      <c r="DB385" s="40"/>
      <c r="DC385" s="40"/>
      <c r="DD385" s="40"/>
      <c r="DE385" s="40"/>
      <c r="DF385" s="232"/>
      <c r="DG385" s="232"/>
      <c r="DH385" s="232"/>
      <c r="DI385" s="232"/>
      <c r="DJ385" s="232"/>
      <c r="DK385" s="232"/>
      <c r="DL385" s="232"/>
      <c r="DM385" s="232"/>
      <c r="DN385" s="232"/>
    </row>
    <row r="386" spans="1:118">
      <c r="A386" s="40"/>
      <c r="B386" s="1"/>
      <c r="C386" s="429" t="s">
        <v>830</v>
      </c>
      <c r="D386" s="1"/>
      <c r="E386" s="273"/>
      <c r="F386" s="3"/>
      <c r="G386" s="3"/>
      <c r="H386" s="274"/>
      <c r="I386" s="440"/>
      <c r="J386" s="273"/>
      <c r="K386" s="3"/>
      <c r="L386" s="3"/>
      <c r="M386" s="274"/>
      <c r="N386" s="1"/>
      <c r="O386" s="273"/>
      <c r="P386" s="3"/>
      <c r="Q386" s="3"/>
      <c r="R386" s="274"/>
      <c r="S386" s="1"/>
      <c r="T386" s="273"/>
      <c r="U386" s="3"/>
      <c r="V386" s="3"/>
      <c r="W386" s="274"/>
      <c r="X386" s="1"/>
      <c r="Y386" s="273"/>
      <c r="Z386" s="3"/>
      <c r="AA386" s="3"/>
      <c r="AB386" s="274"/>
      <c r="AC386" s="1"/>
      <c r="AD386" s="273"/>
      <c r="AE386" s="3"/>
      <c r="AF386" s="3"/>
      <c r="AG386" s="274"/>
      <c r="AH386" s="1"/>
      <c r="AI386" s="273"/>
      <c r="AJ386" s="3"/>
      <c r="AK386" s="3"/>
      <c r="AL386" s="274"/>
      <c r="AM386" s="1"/>
      <c r="AN386" s="273"/>
      <c r="AO386" s="3"/>
      <c r="AP386" s="3"/>
      <c r="AQ386" s="274"/>
      <c r="AR386" s="1"/>
      <c r="AS386" s="273"/>
      <c r="AT386" s="3"/>
      <c r="AU386" s="3"/>
      <c r="AV386" s="274"/>
      <c r="AW386" s="1"/>
      <c r="AX386" s="273"/>
      <c r="AY386" s="3"/>
      <c r="AZ386" s="3"/>
      <c r="BA386" s="274"/>
      <c r="BB386" s="1"/>
      <c r="BC386" s="273"/>
      <c r="BD386" s="3"/>
      <c r="BE386" s="3"/>
      <c r="BF386" s="274"/>
      <c r="BG386" s="1"/>
      <c r="BH386" s="273"/>
      <c r="BI386" s="3"/>
      <c r="BJ386" s="3"/>
      <c r="BK386" s="274"/>
      <c r="BL386" s="1"/>
      <c r="BM386" s="273"/>
      <c r="BN386" s="3"/>
      <c r="BO386" s="3"/>
      <c r="BP386" s="274"/>
      <c r="BQ386" s="1"/>
      <c r="BR386" s="40"/>
      <c r="BS386" s="40"/>
      <c r="BT386" s="40"/>
      <c r="BU386" s="232"/>
      <c r="BV386" s="40"/>
      <c r="BW386" s="40"/>
      <c r="BX386" s="40"/>
      <c r="BY386" s="40"/>
      <c r="BZ386" s="40"/>
      <c r="CA386" s="40"/>
      <c r="CB386" s="40"/>
      <c r="CC386" s="40"/>
      <c r="CD386" s="40"/>
      <c r="CE386" s="40"/>
      <c r="CF386" s="40"/>
      <c r="CG386" s="40"/>
      <c r="CH386" s="40"/>
      <c r="CI386" s="40"/>
      <c r="CJ386" s="40"/>
      <c r="CK386" s="40"/>
      <c r="CL386" s="40"/>
      <c r="CM386" s="40"/>
      <c r="CN386" s="40"/>
      <c r="CO386" s="40"/>
      <c r="CP386" s="40"/>
      <c r="CQ386" s="40"/>
      <c r="CR386" s="40"/>
      <c r="CS386" s="40"/>
      <c r="CT386" s="823"/>
      <c r="CU386" s="232"/>
      <c r="CV386" s="232"/>
      <c r="CW386" s="232"/>
      <c r="CX386" s="232"/>
      <c r="CY386" s="232"/>
      <c r="CZ386" s="40"/>
      <c r="DA386" s="40"/>
      <c r="DB386" s="40"/>
      <c r="DC386" s="40"/>
      <c r="DD386" s="40"/>
      <c r="DE386" s="40"/>
      <c r="DF386" s="232"/>
      <c r="DG386" s="232"/>
      <c r="DH386" s="232"/>
      <c r="DI386" s="232"/>
      <c r="DJ386" s="232"/>
      <c r="DK386" s="232"/>
      <c r="DL386" s="232"/>
      <c r="DM386" s="232"/>
      <c r="DN386" s="232"/>
    </row>
    <row r="387" spans="1:118">
      <c r="A387" s="40"/>
      <c r="B387" s="1"/>
      <c r="C387" s="28" t="s">
        <v>200</v>
      </c>
      <c r="D387" s="1"/>
      <c r="E387" s="273"/>
      <c r="F387" s="3"/>
      <c r="G387" s="3"/>
      <c r="H387" s="274"/>
      <c r="I387" s="28"/>
      <c r="J387" s="273"/>
      <c r="K387" s="3"/>
      <c r="L387" s="3"/>
      <c r="M387" s="274"/>
      <c r="N387" s="1"/>
      <c r="O387" s="273"/>
      <c r="P387" s="3"/>
      <c r="Q387" s="3"/>
      <c r="R387" s="274"/>
      <c r="S387" s="1"/>
      <c r="T387" s="436"/>
      <c r="U387" s="437"/>
      <c r="V387" s="437"/>
      <c r="W387" s="438"/>
      <c r="X387" s="439"/>
      <c r="Y387" s="436">
        <f>Y$85</f>
        <v>42.607887670634931</v>
      </c>
      <c r="Z387" s="437">
        <f>Z$85</f>
        <v>47.166300820312507</v>
      </c>
      <c r="AA387" s="437">
        <f>AA$85</f>
        <v>55.200128388671871</v>
      </c>
      <c r="AB387" s="438">
        <f>AB$85</f>
        <v>42.19233237304686</v>
      </c>
      <c r="AC387" s="439">
        <f>AVERAGE(Y387:AB387)</f>
        <v>46.791662313166547</v>
      </c>
      <c r="AD387" s="436">
        <f>AD$85</f>
        <v>132.34547472222226</v>
      </c>
      <c r="AE387" s="437">
        <f>AE$85</f>
        <v>45.337472450195328</v>
      </c>
      <c r="AF387" s="437">
        <f>AF$85</f>
        <v>45.337472450195328</v>
      </c>
      <c r="AG387" s="438">
        <f>AG$85</f>
        <v>49.12051941503907</v>
      </c>
      <c r="AH387" s="439">
        <f>AVERAGE(AD387:AG387)</f>
        <v>68.035234759412987</v>
      </c>
      <c r="AI387" s="436">
        <f>AI$85</f>
        <v>67.284598143849195</v>
      </c>
      <c r="AJ387" s="437">
        <f>AJ$85</f>
        <v>43.70333333333334</v>
      </c>
      <c r="AK387" s="437">
        <f>AK$85</f>
        <v>39.898508561538463</v>
      </c>
      <c r="AL387" s="438">
        <f>AL$85</f>
        <v>30.041686161132823</v>
      </c>
      <c r="AM387" s="439">
        <f>AVERAGE(AI387:AL387)</f>
        <v>45.232031549963452</v>
      </c>
      <c r="AN387" s="436">
        <f>AN$85</f>
        <v>31.26632047949219</v>
      </c>
      <c r="AO387" s="437">
        <f>AO$85</f>
        <v>28.707086242187497</v>
      </c>
      <c r="AP387" s="437">
        <f>AP$85</f>
        <v>40.605906624023433</v>
      </c>
      <c r="AQ387" s="438">
        <f>AQ$85</f>
        <v>28.828253920634918</v>
      </c>
      <c r="AR387" s="439">
        <f>AVERAGE(AN387:AQ387)</f>
        <v>32.351891816584512</v>
      </c>
      <c r="AS387" s="436">
        <f>AS$85</f>
        <v>33.256564817382809</v>
      </c>
      <c r="AT387" s="437">
        <f>AT$85</f>
        <v>32.387231337890618</v>
      </c>
      <c r="AU387" s="437">
        <f t="shared" ref="AU387" si="592">AU$85</f>
        <v>34.354411583333338</v>
      </c>
      <c r="AV387" s="438">
        <f>AV$85</f>
        <v>49.504310380859366</v>
      </c>
      <c r="AW387" s="439">
        <f>AVERAGE(AS387:AV387)</f>
        <v>37.375629529866529</v>
      </c>
      <c r="AX387" s="436">
        <f>AX$85</f>
        <v>49.504310380859366</v>
      </c>
      <c r="AY387" s="437">
        <f>AY$85</f>
        <v>34.371333333333332</v>
      </c>
      <c r="AZ387" s="437">
        <f>AZ$85</f>
        <v>38.062833333333337</v>
      </c>
      <c r="BA387" s="438">
        <f>BA$85</f>
        <v>34.614333333333327</v>
      </c>
      <c r="BB387" s="439">
        <f>AVERAGE(AX387:BA387)</f>
        <v>39.138202595214842</v>
      </c>
      <c r="BC387" s="436">
        <f>BC$85</f>
        <v>46.510944725679025</v>
      </c>
      <c r="BD387" s="437">
        <f>BD$85</f>
        <v>30.296280173373429</v>
      </c>
      <c r="BE387" s="437">
        <f>BE$85</f>
        <v>33.94738406386135</v>
      </c>
      <c r="BF387" s="438">
        <f>BF$85</f>
        <v>36.410057703486217</v>
      </c>
      <c r="BG387" s="439">
        <f>AVERAGE(BC387:BF387)</f>
        <v>36.791166666600006</v>
      </c>
      <c r="BH387" s="436">
        <f>BH$85</f>
        <v>46.479340030218324</v>
      </c>
      <c r="BI387" s="437">
        <f>BI$85</f>
        <v>30.275693519756331</v>
      </c>
      <c r="BJ387" s="437">
        <f>BJ$85</f>
        <v>33.924316445231916</v>
      </c>
      <c r="BK387" s="438">
        <f>BK$85</f>
        <v>36.385316671193436</v>
      </c>
      <c r="BL387" s="439">
        <f>AVERAGE(BH387:BK387)</f>
        <v>36.7661666666</v>
      </c>
      <c r="BM387" s="436">
        <f>BM$85</f>
        <v>36.021428571428572</v>
      </c>
      <c r="BN387" s="437">
        <f>BN$85</f>
        <v>36.021428571428572</v>
      </c>
      <c r="BO387" s="437">
        <f>BO$85</f>
        <v>36.021428571428572</v>
      </c>
      <c r="BP387" s="438">
        <f>BP$85</f>
        <v>36.021428571428572</v>
      </c>
      <c r="BQ387" s="439">
        <f>AVERAGE(BM387:BP387)</f>
        <v>36.021428571428572</v>
      </c>
      <c r="BR387" s="40"/>
      <c r="BS387" s="40"/>
      <c r="BT387" s="40"/>
      <c r="BU387" s="232"/>
      <c r="BV387" s="40"/>
      <c r="BW387" s="40"/>
      <c r="BX387" s="40"/>
      <c r="BY387" s="40"/>
      <c r="BZ387" s="40"/>
      <c r="CA387" s="40"/>
      <c r="CB387" s="40"/>
      <c r="CC387" s="40"/>
      <c r="CD387" s="40"/>
      <c r="CE387" s="40"/>
      <c r="CF387" s="40"/>
      <c r="CG387" s="40"/>
      <c r="CH387" s="40"/>
      <c r="CI387" s="40"/>
      <c r="CJ387" s="40"/>
      <c r="CK387" s="40"/>
      <c r="CL387" s="40"/>
      <c r="CM387" s="40"/>
      <c r="CN387" s="40"/>
      <c r="CO387" s="40"/>
      <c r="CP387" s="40"/>
      <c r="CQ387" s="40"/>
      <c r="CR387" s="40"/>
      <c r="CS387" s="40"/>
      <c r="CT387" s="823"/>
      <c r="CU387" s="232"/>
      <c r="CV387" s="232"/>
      <c r="CW387" s="232"/>
      <c r="CX387" s="232"/>
      <c r="CY387" s="232"/>
      <c r="CZ387" s="40"/>
      <c r="DA387" s="40"/>
      <c r="DB387" s="40"/>
      <c r="DC387" s="40"/>
      <c r="DD387" s="40"/>
      <c r="DE387" s="40"/>
      <c r="DF387" s="232"/>
      <c r="DG387" s="232"/>
      <c r="DH387" s="232"/>
      <c r="DI387" s="232"/>
      <c r="DJ387" s="232"/>
      <c r="DK387" s="232"/>
      <c r="DL387" s="232"/>
      <c r="DM387" s="232"/>
      <c r="DN387" s="232"/>
    </row>
    <row r="388" spans="1:118">
      <c r="A388" s="40"/>
      <c r="B388" s="1"/>
      <c r="C388" s="28" t="s">
        <v>195</v>
      </c>
      <c r="D388" s="1"/>
      <c r="E388" s="273"/>
      <c r="F388" s="3"/>
      <c r="G388" s="3"/>
      <c r="H388" s="274"/>
      <c r="I388" s="543">
        <v>11500</v>
      </c>
      <c r="J388" s="273"/>
      <c r="K388" s="3"/>
      <c r="L388" s="3"/>
      <c r="M388" s="274"/>
      <c r="N388" s="1"/>
      <c r="O388" s="273"/>
      <c r="P388" s="3"/>
      <c r="Q388" s="3"/>
      <c r="R388" s="274"/>
      <c r="S388" s="1"/>
      <c r="T388" s="436"/>
      <c r="U388" s="437"/>
      <c r="V388" s="437"/>
      <c r="W388" s="438"/>
      <c r="X388" s="439"/>
      <c r="Y388" s="436">
        <f>$I388/1000*(Y$51+Y$59)</f>
        <v>49.43504999999999</v>
      </c>
      <c r="Z388" s="437">
        <f>$I388/1000*(Z$51+Z$59)</f>
        <v>47.646296874999997</v>
      </c>
      <c r="AA388" s="437">
        <f>$I388/1000*(AA$51+AA$59)</f>
        <v>40.762468749999989</v>
      </c>
      <c r="AB388" s="438">
        <f>$I388/1000*(AB$51+AB$59)</f>
        <v>45.742507812500008</v>
      </c>
      <c r="AC388" s="439">
        <f>AVERAGE(Y388:AB388)</f>
        <v>45.896580859374993</v>
      </c>
      <c r="AD388" s="436">
        <f>$I388/1000*(AD$51+AD$59)</f>
        <v>145.98627868852458</v>
      </c>
      <c r="AE388" s="437">
        <f>$I388/1000*(AE$51+AE$59)</f>
        <v>29.089789062499992</v>
      </c>
      <c r="AF388" s="437">
        <f>$I388/1000*(AF$51+AF$59)</f>
        <v>29.089789062499992</v>
      </c>
      <c r="AG388" s="438">
        <f>$I388/1000*(AG$51+AG$59)</f>
        <v>31.720593749999985</v>
      </c>
      <c r="AH388" s="439">
        <f>AVERAGE(AD388:AG388)</f>
        <v>58.971612640881133</v>
      </c>
      <c r="AI388" s="436">
        <f>$I388/1000*(AI$51+AI$59)</f>
        <v>74.146435483870945</v>
      </c>
      <c r="AJ388" s="437">
        <f>$I388/1000*(AJ$51+AJ$59)</f>
        <v>18.662309523809522</v>
      </c>
      <c r="AK388" s="437">
        <f>$I388/1000*(AK$51+AK$59)</f>
        <v>15.787343749999998</v>
      </c>
      <c r="AL388" s="438">
        <f>$I388/1000*(AL$51+AL$59)</f>
        <v>14.828611111111108</v>
      </c>
      <c r="AM388" s="439">
        <f>AVERAGE(AI388:AL388)</f>
        <v>30.856174967197894</v>
      </c>
      <c r="AN388" s="436">
        <f>$I388/1000*(AN$51+AN$59)</f>
        <v>21.087229508196728</v>
      </c>
      <c r="AO388" s="437">
        <f>$I388/1000*(AO$51+AO$59)</f>
        <v>18.199828125000007</v>
      </c>
      <c r="AP388" s="437">
        <f>$I388/1000*(AP$51+AP$59)</f>
        <v>15.499664062499996</v>
      </c>
      <c r="AQ388" s="438">
        <f>$I388/1000*(AQ$51+AQ$59)</f>
        <v>25.683580645161292</v>
      </c>
      <c r="AR388" s="439">
        <f>AVERAGE(AN388:AQ388)</f>
        <v>20.117575585214507</v>
      </c>
      <c r="AS388" s="436">
        <f>$I388/1000*(AS$51+AS$59)</f>
        <v>34.419500000000006</v>
      </c>
      <c r="AT388" s="437">
        <f>$I388/1000*(AT$51+AT$59)</f>
        <v>28.917468749999998</v>
      </c>
      <c r="AU388" s="437">
        <f t="shared" ref="AU388" si="593">$I388/1000*(AU$51+AU$59)</f>
        <v>20.044865079365074</v>
      </c>
      <c r="AV388" s="438">
        <f>$I388/1000*(AV$51+AV$59)</f>
        <v>75.382500000000007</v>
      </c>
      <c r="AW388" s="439">
        <f>AVERAGE(AS388:AV388)</f>
        <v>39.691083457341271</v>
      </c>
      <c r="AX388" s="436">
        <f>$I388/1000*(AX$51+AX$59)</f>
        <v>75.382500000000007</v>
      </c>
      <c r="AY388" s="437">
        <f>$I388/1000*(AY$51+AY$59)</f>
        <v>25.487833333333334</v>
      </c>
      <c r="AZ388" s="437">
        <f>$I388/1000*(AZ$51+AZ$59)</f>
        <v>25.53</v>
      </c>
      <c r="BA388" s="438">
        <f>$I388/1000*(BA$51+BA$59)</f>
        <v>30.877500000000001</v>
      </c>
      <c r="BB388" s="439">
        <f>AVERAGE(AX388:BA388)</f>
        <v>39.319458333333337</v>
      </c>
      <c r="BC388" s="436">
        <f>$I388/1000*(BC$51+BC$59)+BC$148</f>
        <v>41.943652425470304</v>
      </c>
      <c r="BD388" s="437">
        <f>$I388/1000*(BD$51+BD$59)+BD$148</f>
        <v>20.468552398418502</v>
      </c>
      <c r="BE388" s="437">
        <f>$I388/1000*(BE$51+BE$59)+BE$148</f>
        <v>20.640478235607421</v>
      </c>
      <c r="BF388" s="438">
        <f>$I388/1000*(BF$51+BF$59)+BF$148</f>
        <v>44.123871034703782</v>
      </c>
      <c r="BG388" s="439">
        <f>AVERAGE(BC388:BF388)</f>
        <v>31.794138523550004</v>
      </c>
      <c r="BH388" s="436">
        <f>$I388/1000*(BH$51+BH$59)+BH$148</f>
        <v>41.29583688263984</v>
      </c>
      <c r="BI388" s="437">
        <f>$I388/1000*(BI$51+BI$59)+BI$148</f>
        <v>20.152417641043794</v>
      </c>
      <c r="BJ388" s="437">
        <f>$I388/1000*(BJ$51+BJ$59)+BJ$148</f>
        <v>20.321688100765456</v>
      </c>
      <c r="BK388" s="438">
        <f>$I388/1000*(BK$51+BK$59)+BK$148</f>
        <v>43.442382232150905</v>
      </c>
      <c r="BL388" s="439">
        <f>AVERAGE(BH388:BK388)</f>
        <v>31.303081214149998</v>
      </c>
      <c r="BM388" s="436">
        <f>$I388/1000*(BM$51+BM$59)+BM$148</f>
        <v>28.93155625</v>
      </c>
      <c r="BN388" s="437">
        <f>$I388/1000*(BN$51+BN$59)+BN$148</f>
        <v>28.93155625</v>
      </c>
      <c r="BO388" s="437">
        <f>$I388/1000*(BO$51+BO$59)+BO$148</f>
        <v>28.93155625</v>
      </c>
      <c r="BP388" s="438">
        <f>$I388/1000*(BP$51+BP$59)+BP$148</f>
        <v>28.93155625</v>
      </c>
      <c r="BQ388" s="439">
        <f>AVERAGE(BM388:BP388)</f>
        <v>28.93155625</v>
      </c>
      <c r="BR388" s="40"/>
      <c r="BS388" s="40"/>
      <c r="BT388" s="40"/>
      <c r="BU388" s="232"/>
      <c r="BV388" s="40"/>
      <c r="BW388" s="40"/>
      <c r="BX388" s="40"/>
      <c r="BY388" s="40"/>
      <c r="BZ388" s="40"/>
      <c r="CA388" s="40"/>
      <c r="CB388" s="40"/>
      <c r="CC388" s="40"/>
      <c r="CD388" s="40"/>
      <c r="CE388" s="40"/>
      <c r="CF388" s="40"/>
      <c r="CG388" s="40"/>
      <c r="CH388" s="40"/>
      <c r="CI388" s="40"/>
      <c r="CJ388" s="40"/>
      <c r="CK388" s="40"/>
      <c r="CL388" s="40"/>
      <c r="CM388" s="40"/>
      <c r="CN388" s="40"/>
      <c r="CO388" s="40"/>
      <c r="CP388" s="40"/>
      <c r="CQ388" s="40"/>
      <c r="CR388" s="40"/>
      <c r="CS388" s="40"/>
      <c r="CT388" s="823"/>
      <c r="CU388" s="232"/>
      <c r="CV388" s="232"/>
      <c r="CW388" s="232"/>
      <c r="CX388" s="232"/>
      <c r="CY388" s="232"/>
      <c r="CZ388" s="40"/>
      <c r="DA388" s="40"/>
      <c r="DB388" s="40"/>
      <c r="DC388" s="40"/>
      <c r="DD388" s="40"/>
      <c r="DE388" s="40"/>
      <c r="DF388" s="232"/>
      <c r="DG388" s="232"/>
      <c r="DH388" s="232"/>
      <c r="DI388" s="232"/>
      <c r="DJ388" s="232"/>
      <c r="DK388" s="232"/>
      <c r="DL388" s="232"/>
      <c r="DM388" s="232"/>
      <c r="DN388" s="232"/>
    </row>
    <row r="389" spans="1:118">
      <c r="A389" s="40"/>
      <c r="B389" s="1"/>
      <c r="C389" s="28"/>
      <c r="D389" s="1"/>
      <c r="E389" s="273"/>
      <c r="F389" s="3"/>
      <c r="G389" s="3"/>
      <c r="H389" s="274"/>
      <c r="I389" s="426"/>
      <c r="J389" s="273"/>
      <c r="K389" s="3"/>
      <c r="L389" s="3"/>
      <c r="M389" s="274"/>
      <c r="N389" s="1"/>
      <c r="O389" s="273"/>
      <c r="P389" s="3"/>
      <c r="Q389" s="3"/>
      <c r="R389" s="274"/>
      <c r="S389" s="1"/>
      <c r="T389" s="436"/>
      <c r="U389" s="437"/>
      <c r="V389" s="437"/>
      <c r="W389" s="438"/>
      <c r="X389" s="439"/>
      <c r="Y389" s="436"/>
      <c r="Z389" s="437"/>
      <c r="AA389" s="437"/>
      <c r="AB389" s="438"/>
      <c r="AC389" s="439"/>
      <c r="AD389" s="436"/>
      <c r="AE389" s="437"/>
      <c r="AF389" s="437"/>
      <c r="AG389" s="438"/>
      <c r="AH389" s="439"/>
      <c r="AI389" s="436"/>
      <c r="AJ389" s="437"/>
      <c r="AK389" s="437"/>
      <c r="AL389" s="438"/>
      <c r="AM389" s="439"/>
      <c r="AN389" s="436"/>
      <c r="AO389" s="437"/>
      <c r="AP389" s="437"/>
      <c r="AQ389" s="438"/>
      <c r="AR389" s="439"/>
      <c r="AS389" s="436"/>
      <c r="AT389" s="437"/>
      <c r="AU389" s="437"/>
      <c r="AV389" s="438"/>
      <c r="AW389" s="439"/>
      <c r="AX389" s="436"/>
      <c r="AY389" s="437"/>
      <c r="AZ389" s="437"/>
      <c r="BA389" s="438"/>
      <c r="BB389" s="439"/>
      <c r="BC389" s="436"/>
      <c r="BD389" s="437"/>
      <c r="BE389" s="437"/>
      <c r="BF389" s="438"/>
      <c r="BG389" s="439"/>
      <c r="BH389" s="436"/>
      <c r="BI389" s="437"/>
      <c r="BJ389" s="437"/>
      <c r="BK389" s="438"/>
      <c r="BL389" s="439"/>
      <c r="BM389" s="436"/>
      <c r="BN389" s="437"/>
      <c r="BO389" s="437"/>
      <c r="BP389" s="438"/>
      <c r="BQ389" s="439"/>
      <c r="BR389" s="40"/>
      <c r="BS389" s="40"/>
      <c r="BT389" s="40"/>
      <c r="BU389" s="232"/>
      <c r="BV389" s="40"/>
      <c r="BW389" s="40"/>
      <c r="BX389" s="40"/>
      <c r="BY389" s="40"/>
      <c r="BZ389" s="40"/>
      <c r="CA389" s="40"/>
      <c r="CB389" s="40"/>
      <c r="CC389" s="40"/>
      <c r="CD389" s="40"/>
      <c r="CE389" s="40"/>
      <c r="CF389" s="40"/>
      <c r="CG389" s="40"/>
      <c r="CH389" s="40"/>
      <c r="CI389" s="40"/>
      <c r="CJ389" s="40"/>
      <c r="CK389" s="40"/>
      <c r="CL389" s="40"/>
      <c r="CM389" s="40"/>
      <c r="CN389" s="40"/>
      <c r="CO389" s="40"/>
      <c r="CP389" s="40"/>
      <c r="CQ389" s="40"/>
      <c r="CR389" s="40"/>
      <c r="CS389" s="40"/>
      <c r="CT389" s="823"/>
      <c r="CU389" s="232"/>
      <c r="CV389" s="232"/>
      <c r="CW389" s="232"/>
      <c r="CX389" s="232"/>
      <c r="CY389" s="232"/>
      <c r="CZ389" s="40"/>
      <c r="DA389" s="40"/>
      <c r="DB389" s="40"/>
      <c r="DC389" s="40"/>
      <c r="DD389" s="40"/>
      <c r="DE389" s="40"/>
      <c r="DF389" s="232"/>
      <c r="DG389" s="232"/>
      <c r="DH389" s="232"/>
      <c r="DI389" s="232"/>
      <c r="DJ389" s="232"/>
      <c r="DK389" s="232"/>
      <c r="DL389" s="232"/>
      <c r="DM389" s="232"/>
      <c r="DN389" s="232"/>
    </row>
    <row r="390" spans="1:118">
      <c r="A390" s="40"/>
      <c r="B390" s="32"/>
      <c r="C390" s="32" t="s">
        <v>196</v>
      </c>
      <c r="D390" s="32"/>
      <c r="E390" s="292"/>
      <c r="F390" s="261"/>
      <c r="G390" s="261"/>
      <c r="H390" s="293"/>
      <c r="I390" s="884">
        <f>760+1218</f>
        <v>1978</v>
      </c>
      <c r="J390" s="292"/>
      <c r="K390" s="261"/>
      <c r="L390" s="261"/>
      <c r="M390" s="293"/>
      <c r="N390" s="228"/>
      <c r="O390" s="292"/>
      <c r="P390" s="261"/>
      <c r="Q390" s="261"/>
      <c r="R390" s="293"/>
      <c r="S390" s="228"/>
      <c r="T390" s="292"/>
      <c r="U390" s="261"/>
      <c r="V390" s="261"/>
      <c r="W390" s="293"/>
      <c r="X390" s="228"/>
      <c r="Y390" s="292">
        <f>+Z390</f>
        <v>1978</v>
      </c>
      <c r="Z390" s="261">
        <f>+AA390</f>
        <v>1978</v>
      </c>
      <c r="AA390" s="261">
        <f>+AB390</f>
        <v>1978</v>
      </c>
      <c r="AB390" s="293">
        <f>+AC390</f>
        <v>1978</v>
      </c>
      <c r="AC390" s="669">
        <f>+I390</f>
        <v>1978</v>
      </c>
      <c r="AD390" s="292">
        <f t="shared" ref="AD390:BL390" si="594">AC390</f>
        <v>1978</v>
      </c>
      <c r="AE390" s="261">
        <f>+AD390</f>
        <v>1978</v>
      </c>
      <c r="AF390" s="261">
        <f t="shared" si="594"/>
        <v>1978</v>
      </c>
      <c r="AG390" s="293">
        <f>AF390</f>
        <v>1978</v>
      </c>
      <c r="AH390" s="228">
        <f t="shared" si="594"/>
        <v>1978</v>
      </c>
      <c r="AI390" s="292">
        <f t="shared" si="594"/>
        <v>1978</v>
      </c>
      <c r="AJ390" s="261">
        <f t="shared" si="594"/>
        <v>1978</v>
      </c>
      <c r="AK390" s="261">
        <f t="shared" si="594"/>
        <v>1978</v>
      </c>
      <c r="AL390" s="293">
        <f>AK390</f>
        <v>1978</v>
      </c>
      <c r="AM390" s="228">
        <f t="shared" si="594"/>
        <v>1978</v>
      </c>
      <c r="AN390" s="292">
        <f>AM390</f>
        <v>1978</v>
      </c>
      <c r="AO390" s="261">
        <f>AN390</f>
        <v>1978</v>
      </c>
      <c r="AP390" s="261">
        <f>AO390</f>
        <v>1978</v>
      </c>
      <c r="AQ390" s="293">
        <f t="shared" si="594"/>
        <v>1978</v>
      </c>
      <c r="AR390" s="228">
        <f t="shared" si="594"/>
        <v>1978</v>
      </c>
      <c r="AS390" s="292">
        <f t="shared" si="594"/>
        <v>1978</v>
      </c>
      <c r="AT390" s="261">
        <f t="shared" si="594"/>
        <v>1978</v>
      </c>
      <c r="AU390" s="261">
        <f t="shared" ref="AU390" si="595">AT390</f>
        <v>1978</v>
      </c>
      <c r="AV390" s="293">
        <f t="shared" si="594"/>
        <v>1978</v>
      </c>
      <c r="AW390" s="228">
        <f t="shared" si="594"/>
        <v>1978</v>
      </c>
      <c r="AX390" s="292">
        <f t="shared" si="594"/>
        <v>1978</v>
      </c>
      <c r="AY390" s="261">
        <f t="shared" si="594"/>
        <v>1978</v>
      </c>
      <c r="AZ390" s="261">
        <f t="shared" si="594"/>
        <v>1978</v>
      </c>
      <c r="BA390" s="293">
        <f t="shared" si="594"/>
        <v>1978</v>
      </c>
      <c r="BB390" s="228">
        <f t="shared" si="594"/>
        <v>1978</v>
      </c>
      <c r="BC390" s="292">
        <f t="shared" si="594"/>
        <v>1978</v>
      </c>
      <c r="BD390" s="261">
        <f t="shared" si="594"/>
        <v>1978</v>
      </c>
      <c r="BE390" s="261">
        <f t="shared" si="594"/>
        <v>1978</v>
      </c>
      <c r="BF390" s="293">
        <f t="shared" si="594"/>
        <v>1978</v>
      </c>
      <c r="BG390" s="228">
        <f>BF390</f>
        <v>1978</v>
      </c>
      <c r="BH390" s="292">
        <f>BG390</f>
        <v>1978</v>
      </c>
      <c r="BI390" s="261">
        <f t="shared" si="594"/>
        <v>1978</v>
      </c>
      <c r="BJ390" s="261">
        <f t="shared" si="594"/>
        <v>1978</v>
      </c>
      <c r="BK390" s="293">
        <f t="shared" si="594"/>
        <v>1978</v>
      </c>
      <c r="BL390" s="228">
        <f t="shared" si="594"/>
        <v>1978</v>
      </c>
      <c r="BM390" s="292">
        <f t="shared" ref="BM390" si="596">BL390</f>
        <v>1978</v>
      </c>
      <c r="BN390" s="261">
        <f t="shared" ref="BN390" si="597">BM390</f>
        <v>1978</v>
      </c>
      <c r="BO390" s="261">
        <f t="shared" ref="BO390" si="598">BN390</f>
        <v>1978</v>
      </c>
      <c r="BP390" s="293">
        <f t="shared" ref="BP390" si="599">BO390</f>
        <v>1978</v>
      </c>
      <c r="BQ390" s="228">
        <f t="shared" ref="BQ390" si="600">BP390</f>
        <v>1978</v>
      </c>
      <c r="BR390" s="40"/>
      <c r="BS390" s="40"/>
      <c r="BT390" s="40"/>
      <c r="BU390" s="232"/>
      <c r="BV390" s="40"/>
      <c r="BW390" s="40"/>
      <c r="BX390" s="40"/>
      <c r="BY390" s="40"/>
      <c r="BZ390" s="40"/>
      <c r="CA390" s="40"/>
      <c r="CB390" s="40"/>
      <c r="CC390" s="40"/>
      <c r="CD390" s="40"/>
      <c r="CE390" s="40"/>
      <c r="CF390" s="40"/>
      <c r="CG390" s="40"/>
      <c r="CH390" s="40"/>
      <c r="CI390" s="40"/>
      <c r="CJ390" s="40"/>
      <c r="CK390" s="40"/>
      <c r="CL390" s="40"/>
      <c r="CM390" s="40"/>
      <c r="CN390" s="40"/>
      <c r="CO390" s="40"/>
      <c r="CP390" s="40"/>
      <c r="CQ390" s="40"/>
      <c r="CR390" s="40"/>
      <c r="CS390" s="40"/>
      <c r="CT390" s="823"/>
      <c r="CU390" s="232"/>
      <c r="CV390" s="232"/>
      <c r="CW390" s="232"/>
      <c r="CX390" s="232"/>
      <c r="CY390" s="232"/>
      <c r="CZ390" s="40"/>
      <c r="DA390" s="40"/>
      <c r="DB390" s="40"/>
      <c r="DC390" s="40"/>
      <c r="DD390" s="40"/>
      <c r="DE390" s="40"/>
      <c r="DF390" s="232"/>
      <c r="DG390" s="232"/>
      <c r="DH390" s="232"/>
      <c r="DI390" s="232"/>
      <c r="DJ390" s="232"/>
      <c r="DK390" s="232"/>
      <c r="DL390" s="232"/>
      <c r="DM390" s="232"/>
      <c r="DN390" s="232"/>
    </row>
    <row r="391" spans="1:118">
      <c r="A391" s="40"/>
      <c r="B391" s="1"/>
      <c r="C391" s="1"/>
      <c r="D391" s="1"/>
      <c r="E391" s="273"/>
      <c r="F391" s="3"/>
      <c r="G391" s="3"/>
      <c r="H391" s="274"/>
      <c r="I391" s="28"/>
      <c r="J391" s="273"/>
      <c r="K391" s="3"/>
      <c r="L391" s="3"/>
      <c r="M391" s="274"/>
      <c r="N391" s="1"/>
      <c r="O391" s="273"/>
      <c r="P391" s="3"/>
      <c r="Q391" s="3"/>
      <c r="R391" s="274"/>
      <c r="S391" s="1"/>
      <c r="T391" s="273"/>
      <c r="U391" s="3"/>
      <c r="V391" s="3"/>
      <c r="W391" s="274"/>
      <c r="X391" s="1"/>
      <c r="Y391" s="273"/>
      <c r="Z391" s="3"/>
      <c r="AA391" s="3"/>
      <c r="AB391" s="274"/>
      <c r="AC391" s="1"/>
      <c r="AD391" s="273"/>
      <c r="AE391" s="3"/>
      <c r="AF391" s="3"/>
      <c r="AG391" s="274"/>
      <c r="AH391" s="1"/>
      <c r="AI391" s="273"/>
      <c r="AJ391" s="3"/>
      <c r="AK391" s="3"/>
      <c r="AL391" s="274"/>
      <c r="AM391" s="1"/>
      <c r="AN391" s="273"/>
      <c r="AO391" s="3"/>
      <c r="AP391" s="3"/>
      <c r="AQ391" s="274"/>
      <c r="AR391" s="1"/>
      <c r="AS391" s="273"/>
      <c r="AT391" s="3"/>
      <c r="AU391" s="3"/>
      <c r="AV391" s="274"/>
      <c r="AW391" s="1"/>
      <c r="AX391" s="273"/>
      <c r="AY391" s="3"/>
      <c r="AZ391" s="3"/>
      <c r="BA391" s="274"/>
      <c r="BB391" s="1"/>
      <c r="BC391" s="273"/>
      <c r="BD391" s="3"/>
      <c r="BE391" s="3"/>
      <c r="BF391" s="274"/>
      <c r="BG391" s="1"/>
      <c r="BH391" s="273"/>
      <c r="BI391" s="3"/>
      <c r="BJ391" s="3"/>
      <c r="BK391" s="274"/>
      <c r="BL391" s="1"/>
      <c r="BM391" s="273"/>
      <c r="BN391" s="3"/>
      <c r="BO391" s="3"/>
      <c r="BP391" s="274"/>
      <c r="BQ391" s="1"/>
      <c r="BR391" s="40"/>
      <c r="BS391" s="40"/>
      <c r="BT391" s="40"/>
      <c r="BU391" s="232"/>
      <c r="BV391" s="40"/>
      <c r="BW391" s="40"/>
      <c r="BX391" s="40"/>
      <c r="BY391" s="40"/>
      <c r="BZ391" s="40"/>
      <c r="CA391" s="40"/>
      <c r="CB391" s="40"/>
      <c r="CC391" s="40"/>
      <c r="CD391" s="40"/>
      <c r="CE391" s="40"/>
      <c r="CF391" s="40"/>
      <c r="CG391" s="40"/>
      <c r="CH391" s="40"/>
      <c r="CI391" s="40"/>
      <c r="CJ391" s="40"/>
      <c r="CK391" s="40"/>
      <c r="CL391" s="40"/>
      <c r="CM391" s="40"/>
      <c r="CN391" s="40"/>
      <c r="CO391" s="40"/>
      <c r="CP391" s="40"/>
      <c r="CQ391" s="40"/>
      <c r="CR391" s="40"/>
      <c r="CS391" s="40"/>
      <c r="CT391" s="823"/>
      <c r="CU391" s="232"/>
      <c r="CV391" s="232"/>
      <c r="CW391" s="232"/>
      <c r="CX391" s="232"/>
      <c r="CY391" s="232"/>
      <c r="CZ391" s="40"/>
      <c r="DA391" s="40"/>
      <c r="DB391" s="40"/>
      <c r="DC391" s="40"/>
      <c r="DD391" s="40"/>
      <c r="DE391" s="40"/>
      <c r="DF391" s="232"/>
      <c r="DG391" s="232"/>
      <c r="DH391" s="232"/>
      <c r="DI391" s="232"/>
      <c r="DJ391" s="232"/>
      <c r="DK391" s="232"/>
      <c r="DL391" s="232"/>
      <c r="DM391" s="232"/>
      <c r="DN391" s="232"/>
    </row>
    <row r="392" spans="1:118">
      <c r="A392" s="40"/>
      <c r="B392" s="1"/>
      <c r="C392" s="28" t="s">
        <v>170</v>
      </c>
      <c r="D392" s="1"/>
      <c r="E392" s="273"/>
      <c r="F392" s="3"/>
      <c r="G392" s="3"/>
      <c r="H392" s="274"/>
      <c r="I392" s="544">
        <v>0.15</v>
      </c>
      <c r="J392" s="273"/>
      <c r="K392" s="3"/>
      <c r="L392" s="3"/>
      <c r="M392" s="274"/>
      <c r="N392" s="1"/>
      <c r="O392" s="273"/>
      <c r="P392" s="3"/>
      <c r="Q392" s="3"/>
      <c r="R392" s="274"/>
      <c r="S392" s="1"/>
      <c r="T392" s="277"/>
      <c r="U392" s="253"/>
      <c r="V392" s="253"/>
      <c r="W392" s="278"/>
      <c r="X392" s="224"/>
      <c r="Y392" s="277">
        <f>IF(Y387&gt;Y388,$I392,0%)</f>
        <v>0</v>
      </c>
      <c r="Z392" s="253">
        <f>IF(Z387&gt;Z388,$I392,0%)</f>
        <v>0</v>
      </c>
      <c r="AA392" s="253">
        <f>IF(AA387&gt;AA388,$I392,0%)</f>
        <v>0.15</v>
      </c>
      <c r="AB392" s="278">
        <f>IF(AB387&gt;AB388,$I392,0%)</f>
        <v>0</v>
      </c>
      <c r="AC392" s="224">
        <f>AVERAGE(Y392:AB392)</f>
        <v>3.7499999999999999E-2</v>
      </c>
      <c r="AD392" s="277">
        <f>IF(AD387&gt;AD388,$I392,0%)</f>
        <v>0</v>
      </c>
      <c r="AE392" s="253">
        <f>IF(AE387&gt;AE388,$I392,0%)</f>
        <v>0.15</v>
      </c>
      <c r="AF392" s="253">
        <f>IF(AF387&gt;AF388,$I392,0%)</f>
        <v>0.15</v>
      </c>
      <c r="AG392" s="278">
        <f>IF(AG387&gt;AG388,$I392,0%)</f>
        <v>0.15</v>
      </c>
      <c r="AH392" s="224">
        <f>AVERAGE(AD392:AG392)</f>
        <v>0.11249999999999999</v>
      </c>
      <c r="AI392" s="2061">
        <v>0.05</v>
      </c>
      <c r="AJ392" s="253">
        <f>IF(AJ387&gt;AJ388,$I392,0%)</f>
        <v>0.15</v>
      </c>
      <c r="AK392" s="253">
        <f>IF(AK387&gt;AK388,$I392,0%)</f>
        <v>0.15</v>
      </c>
      <c r="AL392" s="278">
        <f>IF(AL387&gt;AL388,$I392,0%)</f>
        <v>0.15</v>
      </c>
      <c r="AM392" s="224">
        <f>AVERAGE(AI392:AL392)</f>
        <v>0.125</v>
      </c>
      <c r="AN392" s="277">
        <f>IF(AN387&gt;AN388,$I392,0%)</f>
        <v>0.15</v>
      </c>
      <c r="AO392" s="253">
        <f>IF(AO387&gt;AO388,$I392,0%)</f>
        <v>0.15</v>
      </c>
      <c r="AP392" s="253">
        <f>IF(AP387&gt;AP388,$I392,0%)</f>
        <v>0.15</v>
      </c>
      <c r="AQ392" s="278">
        <f>IF(AQ387&gt;AQ388,$I392,0%)</f>
        <v>0.15</v>
      </c>
      <c r="AR392" s="224">
        <f>AVERAGE(AN392:AQ392)</f>
        <v>0.15</v>
      </c>
      <c r="AS392" s="277">
        <f>IF(AS387&gt;AS388,$I392,0%)</f>
        <v>0</v>
      </c>
      <c r="AT392" s="253">
        <f>IF(AT387&gt;AT388,$I392,0%)</f>
        <v>0.15</v>
      </c>
      <c r="AU392" s="253">
        <f t="shared" ref="AU392" si="601">IF(AU387&gt;AU388,$I392,0%)</f>
        <v>0.15</v>
      </c>
      <c r="AV392" s="278">
        <f>IF(AV387&gt;AV388,$I392,0%)</f>
        <v>0</v>
      </c>
      <c r="AW392" s="224">
        <f>AVERAGE(AS392:AV392)</f>
        <v>7.4999999999999997E-2</v>
      </c>
      <c r="AX392" s="277">
        <f>IF(AX387&gt;AX388,$I392,0%)</f>
        <v>0</v>
      </c>
      <c r="AY392" s="253">
        <f>IF(AY387&gt;AY388,$I392,0%)</f>
        <v>0.15</v>
      </c>
      <c r="AZ392" s="253">
        <f>IF(AZ387&gt;AZ388,$I392,0%)</f>
        <v>0.15</v>
      </c>
      <c r="BA392" s="278">
        <f>IF(BA387&gt;BA388,$I392,0%)</f>
        <v>0.15</v>
      </c>
      <c r="BB392" s="224">
        <f>AVERAGE(AX392:BA392)</f>
        <v>0.11249999999999999</v>
      </c>
      <c r="BC392" s="277">
        <f>IF(BC387&gt;BC388,$I392,0%)</f>
        <v>0.15</v>
      </c>
      <c r="BD392" s="253">
        <f>IF(BD387&gt;BD388,$I392,0%)</f>
        <v>0.15</v>
      </c>
      <c r="BE392" s="253">
        <f>IF(BE387&gt;BE388,$I392,0%)</f>
        <v>0.15</v>
      </c>
      <c r="BF392" s="278">
        <f>IF(BF387&gt;BF388,$I392,0%)</f>
        <v>0</v>
      </c>
      <c r="BG392" s="224">
        <f>AVERAGE(BC392:BF392)</f>
        <v>0.11249999999999999</v>
      </c>
      <c r="BH392" s="277">
        <f>IF(BH387&gt;BH388,$I392,0%)</f>
        <v>0.15</v>
      </c>
      <c r="BI392" s="253">
        <f>IF(BI387&gt;BI388,$I392,0%)</f>
        <v>0.15</v>
      </c>
      <c r="BJ392" s="253">
        <f>IF(BJ387&gt;BJ388,$I392,0%)</f>
        <v>0.15</v>
      </c>
      <c r="BK392" s="278">
        <f>IF(BK387&gt;BK388,$I392,0%)</f>
        <v>0</v>
      </c>
      <c r="BL392" s="224">
        <f>AVERAGE(BH392:BK392)</f>
        <v>0.11249999999999999</v>
      </c>
      <c r="BM392" s="277">
        <f>IF(BM387&gt;BM388,$I392,0%)</f>
        <v>0.15</v>
      </c>
      <c r="BN392" s="253">
        <f>IF(BN387&gt;BN388,$I392,0%)</f>
        <v>0.15</v>
      </c>
      <c r="BO392" s="253">
        <f>IF(BO387&gt;BO388,$I392,0%)</f>
        <v>0.15</v>
      </c>
      <c r="BP392" s="278">
        <f>IF(BP387&gt;BP388,$I392,0%)</f>
        <v>0.15</v>
      </c>
      <c r="BQ392" s="224">
        <f>AVERAGE(BM392:BP392)</f>
        <v>0.15</v>
      </c>
      <c r="BR392" s="40"/>
      <c r="BS392" s="40"/>
      <c r="BT392" s="40"/>
      <c r="BU392" s="232"/>
      <c r="BV392" s="40"/>
      <c r="BW392" s="40"/>
      <c r="BX392" s="40"/>
      <c r="BY392" s="40"/>
      <c r="BZ392" s="40"/>
      <c r="CA392" s="40"/>
      <c r="CB392" s="40"/>
      <c r="CC392" s="40"/>
      <c r="CD392" s="40"/>
      <c r="CE392" s="40"/>
      <c r="CF392" s="40"/>
      <c r="CG392" s="40"/>
      <c r="CH392" s="40"/>
      <c r="CI392" s="40"/>
      <c r="CJ392" s="40"/>
      <c r="CK392" s="40"/>
      <c r="CL392" s="40"/>
      <c r="CM392" s="40"/>
      <c r="CN392" s="40"/>
      <c r="CO392" s="40"/>
      <c r="CP392" s="40"/>
      <c r="CQ392" s="40"/>
      <c r="CR392" s="40"/>
      <c r="CS392" s="40"/>
      <c r="CT392" s="823"/>
      <c r="CU392" s="232"/>
      <c r="CV392" s="232"/>
      <c r="CW392" s="232"/>
      <c r="CX392" s="232"/>
      <c r="CY392" s="232"/>
      <c r="CZ392" s="40"/>
      <c r="DA392" s="40"/>
      <c r="DB392" s="40"/>
      <c r="DC392" s="40"/>
      <c r="DD392" s="40"/>
      <c r="DE392" s="40"/>
      <c r="DF392" s="232"/>
      <c r="DG392" s="232"/>
      <c r="DH392" s="232"/>
      <c r="DI392" s="232"/>
      <c r="DJ392" s="232"/>
      <c r="DK392" s="232"/>
      <c r="DL392" s="232"/>
      <c r="DM392" s="232"/>
      <c r="DN392" s="232"/>
    </row>
    <row r="393" spans="1:118">
      <c r="A393" s="40"/>
      <c r="B393" s="32"/>
      <c r="C393" s="32" t="s">
        <v>198</v>
      </c>
      <c r="D393" s="32"/>
      <c r="E393" s="489"/>
      <c r="F393" s="342"/>
      <c r="G393" s="342"/>
      <c r="H393" s="490"/>
      <c r="I393" s="32"/>
      <c r="J393" s="489"/>
      <c r="K393" s="342"/>
      <c r="L393" s="342"/>
      <c r="M393" s="490"/>
      <c r="N393" s="32"/>
      <c r="O393" s="489"/>
      <c r="P393" s="342"/>
      <c r="Q393" s="342"/>
      <c r="R393" s="490"/>
      <c r="S393" s="32"/>
      <c r="T393" s="301"/>
      <c r="U393" s="265"/>
      <c r="V393" s="265"/>
      <c r="W393" s="302"/>
      <c r="X393" s="445"/>
      <c r="Y393" s="301">
        <f>(Y390*Y392*(8760/1000))/4</f>
        <v>0</v>
      </c>
      <c r="Z393" s="265">
        <f>(Z390*Z392*(8760/1000))/4</f>
        <v>0</v>
      </c>
      <c r="AA393" s="265">
        <f>(AA390*AA392*(8760/1000))/4</f>
        <v>649.77299999999991</v>
      </c>
      <c r="AB393" s="302">
        <f>(AB390*AB392*(8760/1000))/4</f>
        <v>0</v>
      </c>
      <c r="AC393" s="445">
        <f>SUM(Y393:AB393)</f>
        <v>649.77299999999991</v>
      </c>
      <c r="AD393" s="301">
        <f>(AD390*AD392*(8760/1000))/4</f>
        <v>0</v>
      </c>
      <c r="AE393" s="265">
        <f>(AE390*AE392*(8760/1000))/4</f>
        <v>649.77299999999991</v>
      </c>
      <c r="AF393" s="265">
        <f>(AF390*AF392*(8760/1000))/4</f>
        <v>649.77299999999991</v>
      </c>
      <c r="AG393" s="302">
        <f>(AG390*AG392*(8760/1000))/4</f>
        <v>649.77299999999991</v>
      </c>
      <c r="AH393" s="445">
        <f>SUM(AD393:AG393)</f>
        <v>1949.3189999999997</v>
      </c>
      <c r="AI393" s="301">
        <f>(AI390*AI392*(8760/1000))/4</f>
        <v>216.59100000000001</v>
      </c>
      <c r="AJ393" s="265">
        <f>(AJ390*AJ392*(8760/1000))/4</f>
        <v>649.77299999999991</v>
      </c>
      <c r="AK393" s="265">
        <f>(AK390*AK392*(8760/1000))/4</f>
        <v>649.77299999999991</v>
      </c>
      <c r="AL393" s="302">
        <f>(AL390*AL392*(8760/1000))/4</f>
        <v>649.77299999999991</v>
      </c>
      <c r="AM393" s="445">
        <f>SUM(AI393:AL393)</f>
        <v>2165.91</v>
      </c>
      <c r="AN393" s="301">
        <f>(AN390*AN392*(8760/1000))/4</f>
        <v>649.77299999999991</v>
      </c>
      <c r="AO393" s="265">
        <f>(AO390*AO392*(8760/1000))/4</f>
        <v>649.77299999999991</v>
      </c>
      <c r="AP393" s="265">
        <f>(AP390*AP392*(8760/1000))/4</f>
        <v>649.77299999999991</v>
      </c>
      <c r="AQ393" s="302">
        <f>(AQ390*AQ392*(8760/1000))/4</f>
        <v>649.77299999999991</v>
      </c>
      <c r="AR393" s="445">
        <f>SUM(AN393:AQ393)</f>
        <v>2599.0919999999996</v>
      </c>
      <c r="AS393" s="301">
        <f>(AS390*AS392*(8760/1000))/4</f>
        <v>0</v>
      </c>
      <c r="AT393" s="265">
        <f>(AT390*AT392*(8760/1000))/4</f>
        <v>649.77299999999991</v>
      </c>
      <c r="AU393" s="265">
        <f t="shared" ref="AU393" si="602">(AU390*AU392*(8760/1000))/4</f>
        <v>649.77299999999991</v>
      </c>
      <c r="AV393" s="302">
        <f>(AV390*AV392*(8760/1000))/4</f>
        <v>0</v>
      </c>
      <c r="AW393" s="445">
        <f>SUM(AS393:AV393)</f>
        <v>1299.5459999999998</v>
      </c>
      <c r="AX393" s="301">
        <f>(AX390*AX392*(8760/1000))/4</f>
        <v>0</v>
      </c>
      <c r="AY393" s="265">
        <f>(AY390*AY392*(8760/1000))/4</f>
        <v>649.77299999999991</v>
      </c>
      <c r="AZ393" s="265">
        <f>(AZ390*AZ392*(8760/1000))/4</f>
        <v>649.77299999999991</v>
      </c>
      <c r="BA393" s="302">
        <f>(BA390*BA392*(8760/1000))/4</f>
        <v>649.77299999999991</v>
      </c>
      <c r="BB393" s="445">
        <f>SUM(AX393:BA393)</f>
        <v>1949.3189999999997</v>
      </c>
      <c r="BC393" s="301">
        <f>(BC390*BC392*(8760/1000))/4</f>
        <v>649.77299999999991</v>
      </c>
      <c r="BD393" s="265">
        <f>(BD390*BD392*(8760/1000))/4</f>
        <v>649.77299999999991</v>
      </c>
      <c r="BE393" s="265">
        <f>(BE390*BE392*(8760/1000))/4</f>
        <v>649.77299999999991</v>
      </c>
      <c r="BF393" s="302">
        <f>(BF390*BF392*(8760/1000))/4</f>
        <v>0</v>
      </c>
      <c r="BG393" s="445">
        <f>SUM(BC393:BF393)</f>
        <v>1949.3189999999997</v>
      </c>
      <c r="BH393" s="301">
        <f>(BH390*BH392*(8760/1000))/4</f>
        <v>649.77299999999991</v>
      </c>
      <c r="BI393" s="265">
        <f>(BI390*BI392*(8760/1000))/4</f>
        <v>649.77299999999991</v>
      </c>
      <c r="BJ393" s="265">
        <f>(BJ390*BJ392*(8760/1000))/4</f>
        <v>649.77299999999991</v>
      </c>
      <c r="BK393" s="302">
        <f>(BK390*BK392*(8760/1000))/4</f>
        <v>0</v>
      </c>
      <c r="BL393" s="445">
        <f>SUM(BH393:BK393)</f>
        <v>1949.3189999999997</v>
      </c>
      <c r="BM393" s="301">
        <f>(BM390*BM392*(8760/1000))/4</f>
        <v>649.77299999999991</v>
      </c>
      <c r="BN393" s="265">
        <f>(BN390*BN392*(8760/1000))/4</f>
        <v>649.77299999999991</v>
      </c>
      <c r="BO393" s="265">
        <f>(BO390*BO392*(8760/1000))/4</f>
        <v>649.77299999999991</v>
      </c>
      <c r="BP393" s="302">
        <f>(BP390*BP392*(8760/1000))/4</f>
        <v>649.77299999999991</v>
      </c>
      <c r="BQ393" s="445">
        <f>SUM(BM393:BP393)</f>
        <v>2599.0919999999996</v>
      </c>
      <c r="BR393" s="40"/>
      <c r="BS393" s="40"/>
      <c r="BT393" s="40"/>
      <c r="BU393" s="232"/>
      <c r="BV393" s="40"/>
      <c r="BW393" s="40"/>
      <c r="BX393" s="40"/>
      <c r="BY393" s="40"/>
      <c r="BZ393" s="40"/>
      <c r="CA393" s="40"/>
      <c r="CB393" s="40"/>
      <c r="CC393" s="40"/>
      <c r="CD393" s="40"/>
      <c r="CE393" s="40"/>
      <c r="CF393" s="40"/>
      <c r="CG393" s="40"/>
      <c r="CH393" s="40"/>
      <c r="CI393" s="40"/>
      <c r="CJ393" s="40"/>
      <c r="CK393" s="40"/>
      <c r="CL393" s="40"/>
      <c r="CM393" s="40"/>
      <c r="CN393" s="40"/>
      <c r="CO393" s="40"/>
      <c r="CP393" s="40"/>
      <c r="CQ393" s="40"/>
      <c r="CR393" s="40"/>
      <c r="CS393" s="40"/>
      <c r="CT393" s="823"/>
      <c r="CU393" s="232"/>
      <c r="CV393" s="232"/>
      <c r="CW393" s="232"/>
      <c r="CX393" s="232"/>
      <c r="CY393" s="232"/>
      <c r="CZ393" s="40"/>
      <c r="DA393" s="40"/>
      <c r="DB393" s="40"/>
      <c r="DC393" s="40"/>
      <c r="DD393" s="40"/>
      <c r="DE393" s="40"/>
      <c r="DF393" s="232"/>
      <c r="DG393" s="232"/>
      <c r="DH393" s="232"/>
      <c r="DI393" s="232"/>
      <c r="DJ393" s="232"/>
      <c r="DK393" s="232"/>
      <c r="DL393" s="232"/>
      <c r="DM393" s="232"/>
      <c r="DN393" s="232"/>
    </row>
    <row r="394" spans="1:118">
      <c r="A394" s="40"/>
      <c r="B394" s="1"/>
      <c r="C394" s="28"/>
      <c r="D394" s="1"/>
      <c r="E394" s="273"/>
      <c r="F394" s="3"/>
      <c r="G394" s="3"/>
      <c r="H394" s="274"/>
      <c r="I394" s="28"/>
      <c r="J394" s="273"/>
      <c r="K394" s="3"/>
      <c r="L394" s="3"/>
      <c r="M394" s="274"/>
      <c r="N394" s="1"/>
      <c r="O394" s="273"/>
      <c r="P394" s="3"/>
      <c r="Q394" s="3"/>
      <c r="R394" s="274"/>
      <c r="S394" s="1"/>
      <c r="T394" s="273"/>
      <c r="U394" s="3"/>
      <c r="V394" s="3"/>
      <c r="W394" s="274"/>
      <c r="X394" s="1"/>
      <c r="Y394" s="273"/>
      <c r="Z394" s="3"/>
      <c r="AA394" s="3"/>
      <c r="AB394" s="274"/>
      <c r="AC394" s="1"/>
      <c r="AD394" s="273"/>
      <c r="AE394" s="3"/>
      <c r="AF394" s="3"/>
      <c r="AG394" s="274"/>
      <c r="AH394" s="1"/>
      <c r="AI394" s="273"/>
      <c r="AJ394" s="3"/>
      <c r="AK394" s="3"/>
      <c r="AL394" s="274"/>
      <c r="AM394" s="1"/>
      <c r="AN394" s="273"/>
      <c r="AO394" s="3"/>
      <c r="AP394" s="3"/>
      <c r="AQ394" s="274"/>
      <c r="AR394" s="1"/>
      <c r="AS394" s="273"/>
      <c r="AT394" s="3"/>
      <c r="AU394" s="3"/>
      <c r="AV394" s="274"/>
      <c r="AW394" s="1"/>
      <c r="AX394" s="273"/>
      <c r="AY394" s="3"/>
      <c r="AZ394" s="3"/>
      <c r="BA394" s="274"/>
      <c r="BB394" s="1"/>
      <c r="BC394" s="273"/>
      <c r="BD394" s="3"/>
      <c r="BE394" s="3"/>
      <c r="BF394" s="274"/>
      <c r="BG394" s="1"/>
      <c r="BH394" s="273"/>
      <c r="BI394" s="3"/>
      <c r="BJ394" s="3"/>
      <c r="BK394" s="274"/>
      <c r="BL394" s="1"/>
      <c r="BM394" s="273"/>
      <c r="BN394" s="3"/>
      <c r="BO394" s="3"/>
      <c r="BP394" s="274"/>
      <c r="BQ394" s="1"/>
      <c r="BR394" s="40"/>
      <c r="BS394" s="40"/>
      <c r="BT394" s="40"/>
      <c r="BU394" s="232"/>
      <c r="BV394" s="40"/>
      <c r="BW394" s="40"/>
      <c r="BX394" s="40"/>
      <c r="BY394" s="40"/>
      <c r="BZ394" s="40"/>
      <c r="CA394" s="40"/>
      <c r="CB394" s="40"/>
      <c r="CC394" s="40"/>
      <c r="CD394" s="40"/>
      <c r="CE394" s="40"/>
      <c r="CF394" s="40"/>
      <c r="CG394" s="40"/>
      <c r="CH394" s="40"/>
      <c r="CI394" s="40"/>
      <c r="CJ394" s="40"/>
      <c r="CK394" s="40"/>
      <c r="CL394" s="40"/>
      <c r="CM394" s="40"/>
      <c r="CN394" s="40"/>
      <c r="CO394" s="40"/>
      <c r="CP394" s="40"/>
      <c r="CQ394" s="40"/>
      <c r="CR394" s="40"/>
      <c r="CS394" s="40"/>
      <c r="CT394" s="823"/>
      <c r="CU394" s="232"/>
      <c r="CV394" s="232"/>
      <c r="CW394" s="232"/>
      <c r="CX394" s="232"/>
      <c r="CY394" s="232"/>
      <c r="CZ394" s="40"/>
      <c r="DA394" s="40"/>
      <c r="DB394" s="40"/>
      <c r="DC394" s="40"/>
      <c r="DD394" s="40"/>
      <c r="DE394" s="40"/>
      <c r="DF394" s="232"/>
      <c r="DG394" s="232"/>
      <c r="DH394" s="232"/>
      <c r="DI394" s="232"/>
      <c r="DJ394" s="232"/>
      <c r="DK394" s="232"/>
      <c r="DL394" s="232"/>
      <c r="DM394" s="232"/>
      <c r="DN394" s="232"/>
    </row>
    <row r="395" spans="1:118">
      <c r="A395" s="40"/>
      <c r="B395" s="1"/>
      <c r="C395" s="28" t="s">
        <v>798</v>
      </c>
      <c r="D395" s="1"/>
      <c r="E395" s="273"/>
      <c r="F395" s="3"/>
      <c r="G395" s="3"/>
      <c r="H395" s="274"/>
      <c r="I395" s="28"/>
      <c r="J395" s="273"/>
      <c r="K395" s="3"/>
      <c r="L395" s="3"/>
      <c r="M395" s="274"/>
      <c r="N395" s="1"/>
      <c r="O395" s="273"/>
      <c r="P395" s="3"/>
      <c r="Q395" s="3"/>
      <c r="R395" s="274"/>
      <c r="S395" s="1"/>
      <c r="T395" s="758"/>
      <c r="U395" s="660"/>
      <c r="V395" s="660"/>
      <c r="W395" s="661"/>
      <c r="X395" s="428"/>
      <c r="Y395" s="758">
        <f>(Y387/1000*Y393)</f>
        <v>0</v>
      </c>
      <c r="Z395" s="660">
        <f>(Z387/1000*Z393)</f>
        <v>0</v>
      </c>
      <c r="AA395" s="660">
        <f>(AA387/1000*AA393)</f>
        <v>35.867553023492484</v>
      </c>
      <c r="AB395" s="661">
        <f>(AB387/1000*AB393)</f>
        <v>0</v>
      </c>
      <c r="AC395" s="428">
        <f>SUM(Y395:AB395)</f>
        <v>35.867553023492484</v>
      </c>
      <c r="AD395" s="758">
        <f>(AD387/1000*AD393)</f>
        <v>0</v>
      </c>
      <c r="AE395" s="660">
        <f>(AE387/1000*AE393)</f>
        <v>29.459065486380766</v>
      </c>
      <c r="AF395" s="660">
        <f>(AF387/1000*AF393)</f>
        <v>29.459065486380766</v>
      </c>
      <c r="AG395" s="661">
        <f>(AG387/1000*AG393)</f>
        <v>31.917187261868175</v>
      </c>
      <c r="AH395" s="428">
        <f>SUM(AD395:AG395)</f>
        <v>90.83531823462971</v>
      </c>
      <c r="AI395" s="758">
        <f>(AI387/1000*AI393)</f>
        <v>14.573238396574443</v>
      </c>
      <c r="AJ395" s="660">
        <f>(AJ387/1000*AJ393)</f>
        <v>28.39724601</v>
      </c>
      <c r="AK395" s="660">
        <f>(AK387/1000*AK393)</f>
        <v>25.924973603556527</v>
      </c>
      <c r="AL395" s="661">
        <f>(AL387/1000*AL393)</f>
        <v>19.520276541977754</v>
      </c>
      <c r="AM395" s="428">
        <f>SUM(AI395:AL395)</f>
        <v>88.415734552108717</v>
      </c>
      <c r="AN395" s="758">
        <f>(AN387/1000*AN393)</f>
        <v>20.316010856921075</v>
      </c>
      <c r="AO395" s="660">
        <f>(AO387/1000*AO393)</f>
        <v>18.653089548844893</v>
      </c>
      <c r="AP395" s="660">
        <f>(AP387/1000*AP393)</f>
        <v>26.384621764811577</v>
      </c>
      <c r="AQ395" s="661">
        <f>(AQ387/1000*AQ393)</f>
        <v>18.731821034772711</v>
      </c>
      <c r="AR395" s="428">
        <f>SUM(AN395:AQ395)</f>
        <v>84.085543205350262</v>
      </c>
      <c r="AS395" s="758">
        <f>(AS387/1000*AS393)</f>
        <v>0</v>
      </c>
      <c r="AT395" s="660">
        <f>(AT387/1000*AT393)</f>
        <v>21.044348468115199</v>
      </c>
      <c r="AU395" s="660">
        <f t="shared" ref="AU395" si="603">(AU387/1000*AU393)</f>
        <v>22.322569077737253</v>
      </c>
      <c r="AV395" s="661">
        <f>(AV387/1000*AV393)</f>
        <v>0</v>
      </c>
      <c r="AW395" s="428">
        <f>SUM(AS395:AV395)</f>
        <v>43.366917545852452</v>
      </c>
      <c r="AX395" s="758">
        <f>(AX387/1000*AX393)</f>
        <v>0</v>
      </c>
      <c r="AY395" s="660">
        <f>(AY387/1000*AY393)</f>
        <v>22.333564373999995</v>
      </c>
      <c r="AZ395" s="660">
        <f>(AZ387/1000*AZ393)</f>
        <v>24.7322014035</v>
      </c>
      <c r="BA395" s="661">
        <f>(BA387/1000*BA393)</f>
        <v>22.491459212999995</v>
      </c>
      <c r="BB395" s="428">
        <f>SUM(AX395:BA395)</f>
        <v>69.557224990499989</v>
      </c>
      <c r="BC395" s="758">
        <f>(BC387/1000*BC393)</f>
        <v>30.221556087238632</v>
      </c>
      <c r="BD395" s="660">
        <f>(BD387/1000*BD393)</f>
        <v>19.68570485709337</v>
      </c>
      <c r="BE395" s="660">
        <f>(BE387/1000*BE393)</f>
        <v>22.058093585327377</v>
      </c>
      <c r="BF395" s="661">
        <f>(BF387/1000*BF393)</f>
        <v>0</v>
      </c>
      <c r="BG395" s="428">
        <f>SUM(BC395:BF395)</f>
        <v>71.965354529659379</v>
      </c>
      <c r="BH395" s="758">
        <f>(BH387/1000*BH393)</f>
        <v>30.201020209455045</v>
      </c>
      <c r="BI395" s="660">
        <f>(BI387/1000*BI393)</f>
        <v>19.672328205412629</v>
      </c>
      <c r="BJ395" s="660">
        <f>(BJ387/1000*BJ393)</f>
        <v>22.043104869567674</v>
      </c>
      <c r="BK395" s="661">
        <f>(BK387/1000*BK393)</f>
        <v>0</v>
      </c>
      <c r="BL395" s="428">
        <f>SUM(BH395:BK395)</f>
        <v>71.916453284435349</v>
      </c>
      <c r="BM395" s="758">
        <f>(BM387/1000*BM393)</f>
        <v>23.405751707142855</v>
      </c>
      <c r="BN395" s="660">
        <f>(BN387/1000*BN393)</f>
        <v>23.405751707142855</v>
      </c>
      <c r="BO395" s="660">
        <f>(BO387/1000*BO393)</f>
        <v>23.405751707142855</v>
      </c>
      <c r="BP395" s="661">
        <f>(BP387/1000*BP393)</f>
        <v>23.405751707142855</v>
      </c>
      <c r="BQ395" s="428">
        <f>SUM(BM395:BP395)</f>
        <v>93.62300682857142</v>
      </c>
      <c r="BR395" s="40"/>
      <c r="BS395" s="40"/>
      <c r="BT395" s="40"/>
      <c r="BU395" s="232"/>
      <c r="BV395" s="40"/>
      <c r="BW395" s="40"/>
      <c r="BX395" s="40"/>
      <c r="BY395" s="40"/>
      <c r="BZ395" s="40"/>
      <c r="CA395" s="40"/>
      <c r="CB395" s="40"/>
      <c r="CC395" s="40"/>
      <c r="CD395" s="40"/>
      <c r="CE395" s="40"/>
      <c r="CF395" s="40"/>
      <c r="CG395" s="40"/>
      <c r="CH395" s="40"/>
      <c r="CI395" s="40"/>
      <c r="CJ395" s="40"/>
      <c r="CK395" s="40"/>
      <c r="CL395" s="40"/>
      <c r="CM395" s="40"/>
      <c r="CN395" s="40"/>
      <c r="CO395" s="40"/>
      <c r="CP395" s="40"/>
      <c r="CQ395" s="40"/>
      <c r="CR395" s="40"/>
      <c r="CS395" s="40"/>
      <c r="CT395" s="823"/>
      <c r="CU395" s="232"/>
      <c r="CV395" s="232"/>
      <c r="CW395" s="232"/>
      <c r="CX395" s="232"/>
      <c r="CY395" s="232"/>
      <c r="CZ395" s="40"/>
      <c r="DA395" s="40"/>
      <c r="DB395" s="40"/>
      <c r="DC395" s="40"/>
      <c r="DD395" s="40"/>
      <c r="DE395" s="40"/>
      <c r="DF395" s="232"/>
      <c r="DG395" s="232"/>
      <c r="DH395" s="232"/>
      <c r="DI395" s="232"/>
      <c r="DJ395" s="232"/>
      <c r="DK395" s="232"/>
      <c r="DL395" s="232"/>
      <c r="DM395" s="232"/>
      <c r="DN395" s="232"/>
    </row>
    <row r="396" spans="1:118">
      <c r="A396" s="40"/>
      <c r="B396" s="1"/>
      <c r="C396" s="28" t="s">
        <v>278</v>
      </c>
      <c r="D396" s="1"/>
      <c r="E396" s="273"/>
      <c r="F396" s="3"/>
      <c r="G396" s="3"/>
      <c r="H396" s="274"/>
      <c r="I396" s="28"/>
      <c r="J396" s="273"/>
      <c r="K396" s="3"/>
      <c r="L396" s="3"/>
      <c r="M396" s="274"/>
      <c r="N396" s="1"/>
      <c r="O396" s="273"/>
      <c r="P396" s="3"/>
      <c r="Q396" s="3"/>
      <c r="R396" s="274"/>
      <c r="S396" s="1"/>
      <c r="T396" s="758"/>
      <c r="U396" s="660"/>
      <c r="V396" s="660"/>
      <c r="W396" s="661"/>
      <c r="X396" s="428"/>
      <c r="Y396" s="758">
        <f>Y388/1000*Y393</f>
        <v>0</v>
      </c>
      <c r="Z396" s="660">
        <f>Z388/1000*Z393</f>
        <v>0</v>
      </c>
      <c r="AA396" s="660">
        <f>AA388/1000*AA393</f>
        <v>26.486351607093738</v>
      </c>
      <c r="AB396" s="661">
        <f>AB388/1000*AB393</f>
        <v>0</v>
      </c>
      <c r="AC396" s="428">
        <f>SUM(Y396:AB396)</f>
        <v>26.486351607093738</v>
      </c>
      <c r="AD396" s="758">
        <f>AD388/1000*AD393</f>
        <v>0</v>
      </c>
      <c r="AE396" s="660">
        <f>AE388/1000*AE393</f>
        <v>18.901759508507805</v>
      </c>
      <c r="AF396" s="660">
        <f>AF388/1000*AF393</f>
        <v>18.901759508507805</v>
      </c>
      <c r="AG396" s="661">
        <f>AG388/1000*AG393</f>
        <v>20.611185362718736</v>
      </c>
      <c r="AH396" s="428">
        <f>SUM(AD396:AG396)</f>
        <v>58.414704379734346</v>
      </c>
      <c r="AI396" s="758">
        <f>AI388/1000*AI393</f>
        <v>16.05945060788709</v>
      </c>
      <c r="AJ396" s="660">
        <f>AJ388/1000*AJ393</f>
        <v>12.126264846214283</v>
      </c>
      <c r="AK396" s="660">
        <f>AK388/1000*AK393</f>
        <v>10.258189710468747</v>
      </c>
      <c r="AL396" s="661">
        <f>AL388/1000*AL393</f>
        <v>9.6352311274999973</v>
      </c>
      <c r="AM396" s="428">
        <f>SUM(AI396:AL396)</f>
        <v>48.079136292070118</v>
      </c>
      <c r="AN396" s="758">
        <f>AN388/1000*AN393</f>
        <v>13.70191237922951</v>
      </c>
      <c r="AO396" s="660">
        <f>AO388/1000*AO393</f>
        <v>11.825756920265629</v>
      </c>
      <c r="AP396" s="660">
        <f>AP388/1000*AP393</f>
        <v>10.071263216882809</v>
      </c>
      <c r="AQ396" s="661">
        <f>AQ388/1000*AQ393</f>
        <v>16.688497246548387</v>
      </c>
      <c r="AR396" s="428">
        <f>SUM(AN396:AQ396)</f>
        <v>52.28742976292633</v>
      </c>
      <c r="AS396" s="758">
        <f>AS388/1000*AS393</f>
        <v>0</v>
      </c>
      <c r="AT396" s="660">
        <f>AT388/1000*AT393</f>
        <v>18.789790422093745</v>
      </c>
      <c r="AU396" s="660">
        <f t="shared" ref="AU396" si="604">AU388/1000*AU393</f>
        <v>13.024612117214282</v>
      </c>
      <c r="AV396" s="661">
        <f>AV388/1000*AV393</f>
        <v>0</v>
      </c>
      <c r="AW396" s="428">
        <f>SUM(AS396:AV396)</f>
        <v>31.814402539308027</v>
      </c>
      <c r="AX396" s="758">
        <f>AX388/1000*AX393</f>
        <v>0</v>
      </c>
      <c r="AY396" s="660">
        <f>AY388/1000*AY393</f>
        <v>16.561305928499998</v>
      </c>
      <c r="AZ396" s="660">
        <f>AZ388/1000*AZ393</f>
        <v>16.588704689999997</v>
      </c>
      <c r="BA396" s="661">
        <f>BA388/1000*BA393</f>
        <v>20.063365807499999</v>
      </c>
      <c r="BB396" s="428">
        <f>SUM(AX396:BA396)</f>
        <v>53.213376425999989</v>
      </c>
      <c r="BC396" s="758">
        <f>BC388/1000*BC393</f>
        <v>27.253852867455112</v>
      </c>
      <c r="BD396" s="660">
        <f>BD388/1000*BD393</f>
        <v>13.299912697577584</v>
      </c>
      <c r="BE396" s="660">
        <f>BE388/1000*BE393</f>
        <v>13.41162546458534</v>
      </c>
      <c r="BF396" s="661">
        <f>BF388/1000*BF393</f>
        <v>0</v>
      </c>
      <c r="BG396" s="428">
        <f>SUM(BC396:BF396)</f>
        <v>53.96539102961804</v>
      </c>
      <c r="BH396" s="758">
        <f>BH388/1000*BH393</f>
        <v>26.832919818743534</v>
      </c>
      <c r="BI396" s="660">
        <f>BI388/1000*BI393</f>
        <v>13.094496867873946</v>
      </c>
      <c r="BJ396" s="660">
        <f>BJ388/1000*BJ393</f>
        <v>13.204484242298671</v>
      </c>
      <c r="BK396" s="661">
        <f>BK388/1000*BK393</f>
        <v>0</v>
      </c>
      <c r="BL396" s="428">
        <f>SUM(BH396:BK396)</f>
        <v>53.131900928916146</v>
      </c>
      <c r="BM396" s="758">
        <f>BM388/1000*BM393</f>
        <v>18.798944099231246</v>
      </c>
      <c r="BN396" s="660">
        <f>BN388/1000*BN393</f>
        <v>18.798944099231246</v>
      </c>
      <c r="BO396" s="660">
        <f>BO388/1000*BO393</f>
        <v>18.798944099231246</v>
      </c>
      <c r="BP396" s="661">
        <f>BP388/1000*BP393</f>
        <v>18.798944099231246</v>
      </c>
      <c r="BQ396" s="428">
        <f>SUM(BM396:BP396)</f>
        <v>75.195776396924984</v>
      </c>
      <c r="BR396" s="40"/>
      <c r="BS396" s="40"/>
      <c r="BT396" s="40"/>
      <c r="BU396" s="232"/>
      <c r="BV396" s="40"/>
      <c r="BW396" s="40"/>
      <c r="BX396" s="40"/>
      <c r="BY396" s="40"/>
      <c r="BZ396" s="40"/>
      <c r="CA396" s="40"/>
      <c r="CB396" s="40"/>
      <c r="CC396" s="40"/>
      <c r="CD396" s="40"/>
      <c r="CE396" s="40"/>
      <c r="CF396" s="40"/>
      <c r="CG396" s="40"/>
      <c r="CH396" s="40"/>
      <c r="CI396" s="40"/>
      <c r="CJ396" s="40"/>
      <c r="CK396" s="40"/>
      <c r="CL396" s="40"/>
      <c r="CM396" s="40"/>
      <c r="CN396" s="40"/>
      <c r="CO396" s="40"/>
      <c r="CP396" s="40"/>
      <c r="CQ396" s="40"/>
      <c r="CR396" s="40"/>
      <c r="CS396" s="40"/>
      <c r="CT396" s="823"/>
      <c r="CU396" s="232"/>
      <c r="CV396" s="232"/>
      <c r="CW396" s="232"/>
      <c r="CX396" s="232"/>
      <c r="CY396" s="232"/>
      <c r="CZ396" s="40"/>
      <c r="DA396" s="40"/>
      <c r="DB396" s="40"/>
      <c r="DC396" s="40"/>
      <c r="DD396" s="40"/>
      <c r="DE396" s="40"/>
      <c r="DF396" s="232"/>
      <c r="DG396" s="232"/>
      <c r="DH396" s="232"/>
      <c r="DI396" s="232"/>
      <c r="DJ396" s="232"/>
      <c r="DK396" s="232"/>
      <c r="DL396" s="232"/>
      <c r="DM396" s="232"/>
      <c r="DN396" s="232"/>
    </row>
    <row r="397" spans="1:118">
      <c r="A397" s="40"/>
      <c r="B397" s="32"/>
      <c r="C397" s="32" t="s">
        <v>199</v>
      </c>
      <c r="D397" s="32"/>
      <c r="E397" s="489"/>
      <c r="F397" s="342"/>
      <c r="G397" s="342"/>
      <c r="H397" s="490"/>
      <c r="I397" s="28"/>
      <c r="J397" s="489"/>
      <c r="K397" s="342"/>
      <c r="L397" s="342"/>
      <c r="M397" s="490"/>
      <c r="N397" s="32"/>
      <c r="O397" s="489"/>
      <c r="P397" s="342"/>
      <c r="Q397" s="342"/>
      <c r="R397" s="490"/>
      <c r="S397" s="32"/>
      <c r="T397" s="292"/>
      <c r="U397" s="261"/>
      <c r="V397" s="261"/>
      <c r="W397" s="293"/>
      <c r="X397" s="228"/>
      <c r="Y397" s="292">
        <f>Y395-Y396</f>
        <v>0</v>
      </c>
      <c r="Z397" s="261">
        <f>Z395-Z396</f>
        <v>0</v>
      </c>
      <c r="AA397" s="261">
        <f>AA395-AA396</f>
        <v>9.3812014163987456</v>
      </c>
      <c r="AB397" s="293">
        <f>AB395-AB396</f>
        <v>0</v>
      </c>
      <c r="AC397" s="228">
        <f>AC395-AC396</f>
        <v>9.3812014163987456</v>
      </c>
      <c r="AD397" s="292">
        <f t="shared" ref="AD397:BL397" si="605">AD395-AD396</f>
        <v>0</v>
      </c>
      <c r="AE397" s="261">
        <f>AE395-AE396</f>
        <v>10.557305977872961</v>
      </c>
      <c r="AF397" s="261">
        <f t="shared" si="605"/>
        <v>10.557305977872961</v>
      </c>
      <c r="AG397" s="293">
        <f t="shared" si="605"/>
        <v>11.30600189914944</v>
      </c>
      <c r="AH397" s="228">
        <f t="shared" si="605"/>
        <v>32.420613854895365</v>
      </c>
      <c r="AI397" s="292">
        <f t="shared" si="605"/>
        <v>-1.4862122113126475</v>
      </c>
      <c r="AJ397" s="261">
        <f t="shared" si="605"/>
        <v>16.270981163785716</v>
      </c>
      <c r="AK397" s="261">
        <f t="shared" si="605"/>
        <v>15.66678389308778</v>
      </c>
      <c r="AL397" s="293">
        <f t="shared" si="605"/>
        <v>9.8850454144777569</v>
      </c>
      <c r="AM397" s="228">
        <f t="shared" si="605"/>
        <v>40.336598260038599</v>
      </c>
      <c r="AN397" s="292">
        <f t="shared" si="605"/>
        <v>6.6140984776915648</v>
      </c>
      <c r="AO397" s="261">
        <f t="shared" si="605"/>
        <v>6.8273326285792635</v>
      </c>
      <c r="AP397" s="261">
        <f t="shared" si="605"/>
        <v>16.313358547928768</v>
      </c>
      <c r="AQ397" s="293">
        <f t="shared" si="605"/>
        <v>2.043323788224324</v>
      </c>
      <c r="AR397" s="228">
        <f t="shared" si="605"/>
        <v>31.798113442423933</v>
      </c>
      <c r="AS397" s="292">
        <f t="shared" si="605"/>
        <v>0</v>
      </c>
      <c r="AT397" s="261">
        <f t="shared" si="605"/>
        <v>2.2545580460214545</v>
      </c>
      <c r="AU397" s="261">
        <f t="shared" ref="AU397" si="606">AU395-AU396</f>
        <v>9.2979569605229706</v>
      </c>
      <c r="AV397" s="293">
        <f t="shared" si="605"/>
        <v>0</v>
      </c>
      <c r="AW397" s="228">
        <f t="shared" si="605"/>
        <v>11.552515006544425</v>
      </c>
      <c r="AX397" s="292">
        <f t="shared" si="605"/>
        <v>0</v>
      </c>
      <c r="AY397" s="261">
        <f t="shared" si="605"/>
        <v>5.7722584454999968</v>
      </c>
      <c r="AZ397" s="261">
        <f t="shared" si="605"/>
        <v>8.1434967135000029</v>
      </c>
      <c r="BA397" s="293">
        <f t="shared" si="605"/>
        <v>2.4280934054999967</v>
      </c>
      <c r="BB397" s="228">
        <f t="shared" si="605"/>
        <v>16.3438485645</v>
      </c>
      <c r="BC397" s="292">
        <f t="shared" si="605"/>
        <v>2.9677032197835196</v>
      </c>
      <c r="BD397" s="261">
        <f t="shared" si="605"/>
        <v>6.3857921595157858</v>
      </c>
      <c r="BE397" s="261">
        <f t="shared" si="605"/>
        <v>8.6464681207420373</v>
      </c>
      <c r="BF397" s="293">
        <f t="shared" si="605"/>
        <v>0</v>
      </c>
      <c r="BG397" s="228">
        <f t="shared" si="605"/>
        <v>17.999963500041339</v>
      </c>
      <c r="BH397" s="292">
        <f t="shared" si="605"/>
        <v>3.3681003907115112</v>
      </c>
      <c r="BI397" s="261">
        <f t="shared" si="605"/>
        <v>6.577831337538683</v>
      </c>
      <c r="BJ397" s="261">
        <f t="shared" si="605"/>
        <v>8.8386206272690035</v>
      </c>
      <c r="BK397" s="293">
        <f t="shared" si="605"/>
        <v>0</v>
      </c>
      <c r="BL397" s="228">
        <f t="shared" si="605"/>
        <v>18.784552355519203</v>
      </c>
      <c r="BM397" s="292">
        <f t="shared" ref="BM397:BQ397" si="607">BM395-BM396</f>
        <v>4.6068076079116089</v>
      </c>
      <c r="BN397" s="261">
        <f t="shared" si="607"/>
        <v>4.6068076079116089</v>
      </c>
      <c r="BO397" s="261">
        <f t="shared" si="607"/>
        <v>4.6068076079116089</v>
      </c>
      <c r="BP397" s="293">
        <f t="shared" si="607"/>
        <v>4.6068076079116089</v>
      </c>
      <c r="BQ397" s="228">
        <f t="shared" si="607"/>
        <v>18.427230431646436</v>
      </c>
      <c r="BR397" s="40"/>
      <c r="BS397" s="40"/>
      <c r="BT397" s="40"/>
      <c r="BU397" s="232"/>
      <c r="BV397" s="40"/>
      <c r="BW397" s="40"/>
      <c r="BX397" s="40"/>
      <c r="BY397" s="40"/>
      <c r="BZ397" s="40"/>
      <c r="CA397" s="40"/>
      <c r="CB397" s="40"/>
      <c r="CC397" s="40"/>
      <c r="CD397" s="40"/>
      <c r="CE397" s="40"/>
      <c r="CF397" s="40"/>
      <c r="CG397" s="40"/>
      <c r="CH397" s="40"/>
      <c r="CI397" s="40"/>
      <c r="CJ397" s="40"/>
      <c r="CK397" s="40"/>
      <c r="CL397" s="40"/>
      <c r="CM397" s="40"/>
      <c r="CN397" s="40"/>
      <c r="CO397" s="40"/>
      <c r="CP397" s="40"/>
      <c r="CQ397" s="40"/>
      <c r="CR397" s="40"/>
      <c r="CS397" s="40"/>
      <c r="CT397" s="823"/>
      <c r="CU397" s="232"/>
      <c r="CV397" s="232"/>
      <c r="CW397" s="232"/>
      <c r="CX397" s="232"/>
      <c r="CY397" s="232"/>
      <c r="CZ397" s="40"/>
      <c r="DA397" s="40"/>
      <c r="DB397" s="40"/>
      <c r="DC397" s="40"/>
      <c r="DD397" s="40"/>
      <c r="DE397" s="40"/>
      <c r="DF397" s="232"/>
      <c r="DG397" s="232"/>
      <c r="DH397" s="232"/>
      <c r="DI397" s="232"/>
      <c r="DJ397" s="232"/>
      <c r="DK397" s="232"/>
      <c r="DL397" s="232"/>
      <c r="DM397" s="232"/>
      <c r="DN397" s="232"/>
    </row>
    <row r="398" spans="1:118">
      <c r="A398" s="40"/>
      <c r="B398" s="32"/>
      <c r="C398" s="32"/>
      <c r="D398" s="32"/>
      <c r="E398" s="489"/>
      <c r="F398" s="342"/>
      <c r="G398" s="342"/>
      <c r="H398" s="490"/>
      <c r="I398" s="28"/>
      <c r="J398" s="489"/>
      <c r="K398" s="342"/>
      <c r="L398" s="342"/>
      <c r="M398" s="490"/>
      <c r="N398" s="32"/>
      <c r="O398" s="489"/>
      <c r="P398" s="342"/>
      <c r="Q398" s="342"/>
      <c r="R398" s="490"/>
      <c r="S398" s="32"/>
      <c r="T398" s="292"/>
      <c r="U398" s="261"/>
      <c r="V398" s="261"/>
      <c r="W398" s="293"/>
      <c r="X398" s="228"/>
      <c r="Y398" s="292"/>
      <c r="Z398" s="261"/>
      <c r="AA398" s="261"/>
      <c r="AB398" s="293"/>
      <c r="AC398" s="228"/>
      <c r="AD398" s="292"/>
      <c r="AE398" s="261"/>
      <c r="AF398" s="261"/>
      <c r="AG398" s="293"/>
      <c r="AH398" s="228"/>
      <c r="AI398" s="292"/>
      <c r="AJ398" s="261"/>
      <c r="AK398" s="261"/>
      <c r="AL398" s="293"/>
      <c r="AM398" s="228"/>
      <c r="AN398" s="292"/>
      <c r="AO398" s="261"/>
      <c r="AP398" s="261"/>
      <c r="AQ398" s="293"/>
      <c r="AR398" s="228"/>
      <c r="AS398" s="292"/>
      <c r="AT398" s="261"/>
      <c r="AU398" s="261"/>
      <c r="AV398" s="293"/>
      <c r="AW398" s="228"/>
      <c r="AX398" s="292"/>
      <c r="AY398" s="261"/>
      <c r="AZ398" s="261"/>
      <c r="BA398" s="293"/>
      <c r="BB398" s="228"/>
      <c r="BC398" s="292"/>
      <c r="BD398" s="261"/>
      <c r="BE398" s="261"/>
      <c r="BF398" s="293"/>
      <c r="BG398" s="228"/>
      <c r="BH398" s="292"/>
      <c r="BI398" s="261"/>
      <c r="BJ398" s="261"/>
      <c r="BK398" s="293"/>
      <c r="BL398" s="228"/>
      <c r="BM398" s="292"/>
      <c r="BN398" s="261"/>
      <c r="BO398" s="261"/>
      <c r="BP398" s="293"/>
      <c r="BQ398" s="228"/>
      <c r="BR398" s="40"/>
      <c r="BS398" s="40"/>
      <c r="BT398" s="40"/>
      <c r="BU398" s="232"/>
      <c r="BV398" s="40"/>
      <c r="BW398" s="40"/>
      <c r="BX398" s="40"/>
      <c r="BY398" s="40"/>
      <c r="BZ398" s="40"/>
      <c r="CA398" s="40"/>
      <c r="CB398" s="40"/>
      <c r="CC398" s="40"/>
      <c r="CD398" s="40"/>
      <c r="CE398" s="40"/>
      <c r="CF398" s="40"/>
      <c r="CG398" s="40"/>
      <c r="CH398" s="40"/>
      <c r="CI398" s="40"/>
      <c r="CJ398" s="40"/>
      <c r="CK398" s="40"/>
      <c r="CL398" s="40"/>
      <c r="CM398" s="40"/>
      <c r="CN398" s="40"/>
      <c r="CO398" s="40"/>
      <c r="CP398" s="40"/>
      <c r="CQ398" s="40"/>
      <c r="CR398" s="40"/>
      <c r="CS398" s="40"/>
      <c r="CT398" s="823"/>
      <c r="CU398" s="232"/>
      <c r="CV398" s="232"/>
      <c r="CW398" s="232"/>
      <c r="CX398" s="232"/>
      <c r="CY398" s="232"/>
      <c r="CZ398" s="40"/>
      <c r="DA398" s="40"/>
      <c r="DB398" s="40"/>
      <c r="DC398" s="40"/>
      <c r="DD398" s="40"/>
      <c r="DE398" s="40"/>
      <c r="DF398" s="232"/>
      <c r="DG398" s="232"/>
      <c r="DH398" s="232"/>
      <c r="DI398" s="232"/>
      <c r="DJ398" s="232"/>
      <c r="DK398" s="232"/>
      <c r="DL398" s="232"/>
      <c r="DM398" s="232"/>
      <c r="DN398" s="232"/>
    </row>
    <row r="399" spans="1:118">
      <c r="A399" s="40"/>
      <c r="B399" s="32"/>
      <c r="C399" s="429" t="s">
        <v>1013</v>
      </c>
      <c r="D399" s="1"/>
      <c r="E399" s="273"/>
      <c r="F399" s="3"/>
      <c r="G399" s="3"/>
      <c r="H399" s="274"/>
      <c r="I399" s="440"/>
      <c r="J399" s="273"/>
      <c r="K399" s="3"/>
      <c r="L399" s="3"/>
      <c r="M399" s="274"/>
      <c r="N399" s="1"/>
      <c r="O399" s="273"/>
      <c r="P399" s="3"/>
      <c r="Q399" s="3"/>
      <c r="R399" s="274"/>
      <c r="S399" s="1"/>
      <c r="T399" s="273"/>
      <c r="U399" s="3"/>
      <c r="V399" s="3"/>
      <c r="W399" s="274"/>
      <c r="X399" s="1"/>
      <c r="Y399" s="273"/>
      <c r="Z399" s="3"/>
      <c r="AA399" s="3"/>
      <c r="AB399" s="274"/>
      <c r="AC399" s="1"/>
      <c r="AD399" s="273"/>
      <c r="AE399" s="3"/>
      <c r="AF399" s="3"/>
      <c r="AG399" s="274"/>
      <c r="AH399" s="1"/>
      <c r="AI399" s="273"/>
      <c r="AJ399" s="3"/>
      <c r="AK399" s="3"/>
      <c r="AL399" s="274"/>
      <c r="AM399" s="1"/>
      <c r="AN399" s="273"/>
      <c r="AO399" s="3"/>
      <c r="AP399" s="3"/>
      <c r="AQ399" s="274"/>
      <c r="AR399" s="1"/>
      <c r="AS399" s="273"/>
      <c r="AT399" s="3"/>
      <c r="AU399" s="3"/>
      <c r="AV399" s="274"/>
      <c r="AW399" s="1"/>
      <c r="AX399" s="273"/>
      <c r="AY399" s="3"/>
      <c r="AZ399" s="3"/>
      <c r="BA399" s="274"/>
      <c r="BB399" s="1"/>
      <c r="BC399" s="273"/>
      <c r="BD399" s="3"/>
      <c r="BE399" s="3"/>
      <c r="BF399" s="274"/>
      <c r="BG399" s="1"/>
      <c r="BH399" s="273"/>
      <c r="BI399" s="3"/>
      <c r="BJ399" s="3"/>
      <c r="BK399" s="274"/>
      <c r="BL399" s="1"/>
      <c r="BM399" s="273"/>
      <c r="BN399" s="3"/>
      <c r="BO399" s="3"/>
      <c r="BP399" s="274"/>
      <c r="BQ399" s="1"/>
      <c r="BR399" s="40"/>
      <c r="BS399" s="40"/>
      <c r="BT399" s="40"/>
      <c r="BU399" s="232"/>
      <c r="BV399" s="40"/>
      <c r="BW399" s="40"/>
      <c r="BX399" s="40"/>
      <c r="BY399" s="40"/>
      <c r="BZ399" s="40"/>
      <c r="CA399" s="40"/>
      <c r="CB399" s="40"/>
      <c r="CC399" s="40"/>
      <c r="CD399" s="40"/>
      <c r="CE399" s="40"/>
      <c r="CF399" s="40"/>
      <c r="CG399" s="40"/>
      <c r="CH399" s="40"/>
      <c r="CI399" s="40"/>
      <c r="CJ399" s="40"/>
      <c r="CK399" s="40"/>
      <c r="CL399" s="40"/>
      <c r="CM399" s="40"/>
      <c r="CN399" s="40"/>
      <c r="CO399" s="40"/>
      <c r="CP399" s="40"/>
      <c r="CQ399" s="40"/>
      <c r="CR399" s="40"/>
      <c r="CS399" s="40"/>
      <c r="CT399" s="823"/>
      <c r="CU399" s="232"/>
      <c r="CV399" s="232"/>
      <c r="CW399" s="232"/>
      <c r="CX399" s="232"/>
      <c r="CY399" s="232"/>
      <c r="CZ399" s="40"/>
      <c r="DA399" s="40"/>
      <c r="DB399" s="40"/>
      <c r="DC399" s="40"/>
      <c r="DD399" s="40"/>
      <c r="DE399" s="40"/>
      <c r="DF399" s="232"/>
      <c r="DG399" s="232"/>
      <c r="DH399" s="232"/>
      <c r="DI399" s="232"/>
      <c r="DJ399" s="232"/>
      <c r="DK399" s="232"/>
      <c r="DL399" s="232"/>
      <c r="DM399" s="232"/>
      <c r="DN399" s="232"/>
    </row>
    <row r="400" spans="1:118">
      <c r="A400" s="40"/>
      <c r="B400" s="32"/>
      <c r="C400" s="28" t="s">
        <v>200</v>
      </c>
      <c r="D400" s="1"/>
      <c r="E400" s="273"/>
      <c r="F400" s="3"/>
      <c r="G400" s="3"/>
      <c r="H400" s="274"/>
      <c r="I400" s="28"/>
      <c r="J400" s="273"/>
      <c r="K400" s="3"/>
      <c r="L400" s="3"/>
      <c r="M400" s="274"/>
      <c r="N400" s="1"/>
      <c r="O400" s="273"/>
      <c r="P400" s="3"/>
      <c r="Q400" s="3"/>
      <c r="R400" s="274"/>
      <c r="S400" s="1"/>
      <c r="T400" s="436"/>
      <c r="U400" s="437"/>
      <c r="V400" s="437"/>
      <c r="W400" s="438"/>
      <c r="X400" s="439"/>
      <c r="Y400" s="436">
        <f>Y$73</f>
        <v>34.838090073412694</v>
      </c>
      <c r="Z400" s="437">
        <f>Z$73</f>
        <v>39.428378864257809</v>
      </c>
      <c r="AA400" s="437">
        <f>AA$73</f>
        <v>41.117048625976572</v>
      </c>
      <c r="AB400" s="438">
        <f>AB$73</f>
        <v>34.355717211914069</v>
      </c>
      <c r="AC400" s="439">
        <f>AVERAGE(Y400:AB400)</f>
        <v>37.43480869389029</v>
      </c>
      <c r="AD400" s="436">
        <f>AD$73</f>
        <v>72.99622284523808</v>
      </c>
      <c r="AE400" s="437">
        <f>AE$73</f>
        <v>37.030601145507802</v>
      </c>
      <c r="AF400" s="437">
        <f>AF$73</f>
        <v>37.030601145507802</v>
      </c>
      <c r="AG400" s="438">
        <f>AG$73</f>
        <v>38.673259170898433</v>
      </c>
      <c r="AH400" s="439">
        <f>AVERAGE(AD400:AG400)</f>
        <v>46.432671076788033</v>
      </c>
      <c r="AI400" s="436">
        <f>AI$73</f>
        <v>39.963556904761916</v>
      </c>
      <c r="AJ400" s="437">
        <f>AJ$73</f>
        <v>30.605513267578122</v>
      </c>
      <c r="AK400" s="437">
        <f>AK$73</f>
        <v>33.950207826923084</v>
      </c>
      <c r="AL400" s="438">
        <f>AL$73</f>
        <v>29.947609584960933</v>
      </c>
      <c r="AM400" s="439">
        <f>AVERAGE(AI400:AL400)</f>
        <v>33.616721896056013</v>
      </c>
      <c r="AN400" s="436">
        <f>AN$73</f>
        <v>26.738570957031257</v>
      </c>
      <c r="AO400" s="437">
        <f>AO$73</f>
        <v>29.587132090820308</v>
      </c>
      <c r="AP400" s="437">
        <f>AP$73</f>
        <v>37.576820068359396</v>
      </c>
      <c r="AQ400" s="438">
        <f>AQ$73</f>
        <v>31.571357599206351</v>
      </c>
      <c r="AR400" s="439">
        <f>AVERAGE(AN400:AQ400)</f>
        <v>31.368470178854327</v>
      </c>
      <c r="AS400" s="436">
        <f>AS$73</f>
        <v>29.354624452148439</v>
      </c>
      <c r="AT400" s="437">
        <f>AT$73</f>
        <v>33.630935440429681</v>
      </c>
      <c r="AU400" s="437">
        <f t="shared" ref="AU400" si="608">AU$73</f>
        <v>34.552619896825412</v>
      </c>
      <c r="AV400" s="438">
        <f>AV$73</f>
        <v>31.943508934570321</v>
      </c>
      <c r="AW400" s="439">
        <f>AVERAGE(AS400:AV400)</f>
        <v>32.370422180993465</v>
      </c>
      <c r="AX400" s="436">
        <f>AX$73</f>
        <v>31.943508934570321</v>
      </c>
      <c r="AY400" s="437">
        <f>AY$73</f>
        <v>30.066666666666663</v>
      </c>
      <c r="AZ400" s="437">
        <f>AZ$73</f>
        <v>34.600000000000009</v>
      </c>
      <c r="BA400" s="438">
        <f>BA$73</f>
        <v>30.166666666666668</v>
      </c>
      <c r="BB400" s="439">
        <f>AVERAGE(AX400:BA400)</f>
        <v>31.694210566975915</v>
      </c>
      <c r="BC400" s="436">
        <f>BC$73</f>
        <v>33.929172095569285</v>
      </c>
      <c r="BD400" s="437">
        <f>BD$73</f>
        <v>28.660363159574629</v>
      </c>
      <c r="BE400" s="437">
        <f>BE$73</f>
        <v>32.36321030654301</v>
      </c>
      <c r="BF400" s="438">
        <f>BF$73</f>
        <v>28.947254438313074</v>
      </c>
      <c r="BG400" s="439">
        <f>AVERAGE(BC400:BF400)</f>
        <v>30.975000000000001</v>
      </c>
      <c r="BH400" s="436">
        <f>BH$73</f>
        <v>33.932622519850185</v>
      </c>
      <c r="BI400" s="437">
        <f>BI$73</f>
        <v>28.663277772777299</v>
      </c>
      <c r="BJ400" s="437">
        <f>BJ$73</f>
        <v>32.366501480472486</v>
      </c>
      <c r="BK400" s="438">
        <f>BK$73</f>
        <v>28.950198226900017</v>
      </c>
      <c r="BL400" s="439">
        <f>AVERAGE(BH400:BK400)</f>
        <v>30.978149999999996</v>
      </c>
      <c r="BM400" s="436">
        <f>BM$73</f>
        <v>36.5</v>
      </c>
      <c r="BN400" s="437">
        <f>BN$73</f>
        <v>36.5</v>
      </c>
      <c r="BO400" s="437">
        <f>BO$73</f>
        <v>36.5</v>
      </c>
      <c r="BP400" s="438">
        <f>BP$73</f>
        <v>36.5</v>
      </c>
      <c r="BQ400" s="439">
        <f>AVERAGE(BM400:BP400)</f>
        <v>36.5</v>
      </c>
      <c r="BR400" s="40"/>
      <c r="BS400" s="40"/>
      <c r="BT400" s="40"/>
      <c r="BU400" s="232"/>
      <c r="BV400" s="40"/>
      <c r="BW400" s="40"/>
      <c r="BX400" s="40"/>
      <c r="BY400" s="40"/>
      <c r="BZ400" s="40"/>
      <c r="CA400" s="40"/>
      <c r="CB400" s="40"/>
      <c r="CC400" s="40"/>
      <c r="CD400" s="40"/>
      <c r="CE400" s="40"/>
      <c r="CF400" s="40"/>
      <c r="CG400" s="40"/>
      <c r="CH400" s="40"/>
      <c r="CI400" s="40"/>
      <c r="CJ400" s="40"/>
      <c r="CK400" s="40"/>
      <c r="CL400" s="40"/>
      <c r="CM400" s="40"/>
      <c r="CN400" s="40"/>
      <c r="CO400" s="40"/>
      <c r="CP400" s="40"/>
      <c r="CQ400" s="40"/>
      <c r="CR400" s="40"/>
      <c r="CS400" s="40"/>
      <c r="CT400" s="823"/>
      <c r="CU400" s="232"/>
      <c r="CV400" s="232"/>
      <c r="CW400" s="232"/>
      <c r="CX400" s="232"/>
      <c r="CY400" s="232"/>
      <c r="CZ400" s="40"/>
      <c r="DA400" s="40"/>
      <c r="DB400" s="40"/>
      <c r="DC400" s="40"/>
      <c r="DD400" s="40"/>
      <c r="DE400" s="40"/>
      <c r="DF400" s="232"/>
      <c r="DG400" s="232"/>
      <c r="DH400" s="232"/>
      <c r="DI400" s="232"/>
      <c r="DJ400" s="232"/>
      <c r="DK400" s="232"/>
      <c r="DL400" s="232"/>
      <c r="DM400" s="232"/>
      <c r="DN400" s="232"/>
    </row>
    <row r="401" spans="1:118">
      <c r="A401" s="40"/>
      <c r="B401" s="32"/>
      <c r="C401" s="28" t="s">
        <v>195</v>
      </c>
      <c r="D401" s="1"/>
      <c r="E401" s="273"/>
      <c r="F401" s="3"/>
      <c r="G401" s="3"/>
      <c r="H401" s="274"/>
      <c r="I401" s="543">
        <v>11500</v>
      </c>
      <c r="J401" s="273"/>
      <c r="K401" s="3"/>
      <c r="L401" s="3"/>
      <c r="M401" s="274"/>
      <c r="N401" s="1"/>
      <c r="O401" s="273"/>
      <c r="P401" s="3"/>
      <c r="Q401" s="3"/>
      <c r="R401" s="274"/>
      <c r="S401" s="1"/>
      <c r="T401" s="436"/>
      <c r="U401" s="437"/>
      <c r="V401" s="437"/>
      <c r="W401" s="438"/>
      <c r="X401" s="439"/>
      <c r="Y401" s="436">
        <f>$I401/1000*(Y$51)</f>
        <v>40.009650000000001</v>
      </c>
      <c r="Z401" s="437">
        <f>$I401/1000*(Z$51)</f>
        <v>46.279773437500012</v>
      </c>
      <c r="AA401" s="437">
        <f>$I401/1000*(AA$51)</f>
        <v>40.915023437500004</v>
      </c>
      <c r="AB401" s="438">
        <f>$I401/1000*(AB$51)</f>
        <v>44.118851562499998</v>
      </c>
      <c r="AC401" s="439">
        <f>AVERAGE(Y401:AB401)</f>
        <v>42.830824609375</v>
      </c>
      <c r="AD401" s="436">
        <f>$I401/1000*(AD$51)</f>
        <v>59.527393442622952</v>
      </c>
      <c r="AE401" s="437">
        <f>$I401/1000*(AE$51)</f>
        <v>45.644218750000007</v>
      </c>
      <c r="AF401" s="437">
        <f>$I401/1000*(AF$51)</f>
        <v>45.644218750000007</v>
      </c>
      <c r="AG401" s="438">
        <f>$I401/1000*(AG$51)</f>
        <v>43.422742187499985</v>
      </c>
      <c r="AH401" s="439">
        <f>AVERAGE(AD401:AG401)</f>
        <v>48.559643282530736</v>
      </c>
      <c r="AI401" s="436">
        <f>$I401/1000*(AI$51)</f>
        <v>33.272467741935486</v>
      </c>
      <c r="AJ401" s="437">
        <f>$I401/1000*(AJ$51)</f>
        <v>31.518396825396813</v>
      </c>
      <c r="AK401" s="437">
        <f>$I401/1000*(AK$51)</f>
        <v>31.790851562499995</v>
      </c>
      <c r="AL401" s="438">
        <f>$I401/1000*(AL$51)</f>
        <v>24.530777777777782</v>
      </c>
      <c r="AM401" s="439">
        <f>AVERAGE(AI401:AL401)</f>
        <v>30.278123476902522</v>
      </c>
      <c r="AN401" s="436">
        <f>$I401/1000*(AN$51)</f>
        <v>22.85841803278689</v>
      </c>
      <c r="AO401" s="437">
        <f>$I401/1000*(AO$51)</f>
        <v>24.563820312499999</v>
      </c>
      <c r="AP401" s="437">
        <f>$I401/1000*(AP$51)</f>
        <v>33.064296874999997</v>
      </c>
      <c r="AQ401" s="438">
        <f>$I401/1000*(AQ$51)</f>
        <v>34.859282258064518</v>
      </c>
      <c r="AR401" s="439">
        <f>AVERAGE(AN401:AQ401)</f>
        <v>28.836454369587848</v>
      </c>
      <c r="AS401" s="436">
        <f>$I401/1000*(AS$51)</f>
        <v>34.613145161290319</v>
      </c>
      <c r="AT401" s="437">
        <f>$I401/1000*(AT$51)</f>
        <v>35.3759765625</v>
      </c>
      <c r="AU401" s="437">
        <f t="shared" ref="AU401" si="609">$I401/1000*(AU$51)</f>
        <v>33.971182539682538</v>
      </c>
      <c r="AV401" s="438">
        <f>$I401/1000*(AV$51)</f>
        <v>35.774237704918036</v>
      </c>
      <c r="AW401" s="439">
        <f>AVERAGE(AS401:AV401)</f>
        <v>34.933635492097721</v>
      </c>
      <c r="AX401" s="436">
        <f>$I401/1000*(AX$51)</f>
        <v>35.774237704918036</v>
      </c>
      <c r="AY401" s="437">
        <f>$I401/1000*(AY$51)</f>
        <v>30.816166666666664</v>
      </c>
      <c r="AZ401" s="437">
        <f>$I401/1000*(AZ$51)</f>
        <v>32.372500000000002</v>
      </c>
      <c r="BA401" s="438">
        <f>$I401/1000*(BA$51)</f>
        <v>33.369166666666672</v>
      </c>
      <c r="BB401" s="439">
        <f>AVERAGE(AX401:BA401)</f>
        <v>33.083017759562843</v>
      </c>
      <c r="BC401" s="436">
        <f>$I401/1000*(BC$51+BC$62)+BC$148</f>
        <v>33.380985189455657</v>
      </c>
      <c r="BD401" s="437">
        <f>$I401/1000*(BD$51+BD$62)+BD$148</f>
        <v>29.258058037692269</v>
      </c>
      <c r="BE401" s="437">
        <f>$I401/1000*(BE$51+BE$62)+BE$148</f>
        <v>29.644582458170092</v>
      </c>
      <c r="BF401" s="438">
        <f>$I401/1000*(BF$51+BF$62)+BF$148</f>
        <v>34.653374314681976</v>
      </c>
      <c r="BG401" s="439">
        <f>AVERAGE(BC401:BF401)</f>
        <v>31.734249999999996</v>
      </c>
      <c r="BH401" s="436">
        <f>$I401/1000*(BH$51+BH$62)+BH$148</f>
        <v>33.879976180238423</v>
      </c>
      <c r="BI401" s="437">
        <f>$I401/1000*(BI$51+BI$62)+BI$148</f>
        <v>29.695418028290131</v>
      </c>
      <c r="BJ401" s="437">
        <f>$I401/1000*(BJ$51+BJ$62)+BJ$148</f>
        <v>30.087720355035287</v>
      </c>
      <c r="BK401" s="438">
        <f>$I401/1000*(BK$51+BK$62)+BK$148</f>
        <v>35.17138543643614</v>
      </c>
      <c r="BL401" s="439">
        <f>AVERAGE(BH401:BK401)</f>
        <v>32.208624999999998</v>
      </c>
      <c r="BM401" s="436">
        <f>$I401/1000*(BM$51+BM$62)+BM$148</f>
        <v>28.93155625</v>
      </c>
      <c r="BN401" s="437">
        <f>$I401/1000*(BN$51+BN$62)+BN$148</f>
        <v>28.93155625</v>
      </c>
      <c r="BO401" s="437">
        <f>$I401/1000*(BO$51+BO$62)+BO$148</f>
        <v>28.93155625</v>
      </c>
      <c r="BP401" s="438">
        <f>$I401/1000*(BP$51+BP$62)+BP$148</f>
        <v>28.93155625</v>
      </c>
      <c r="BQ401" s="439">
        <f>AVERAGE(BM401:BP401)</f>
        <v>28.93155625</v>
      </c>
      <c r="BR401" s="40"/>
      <c r="BS401" s="40"/>
      <c r="BT401" s="40"/>
      <c r="BU401" s="232"/>
      <c r="BV401" s="40"/>
      <c r="BW401" s="40"/>
      <c r="BX401" s="40"/>
      <c r="BY401" s="40"/>
      <c r="BZ401" s="40"/>
      <c r="CA401" s="40"/>
      <c r="CB401" s="40"/>
      <c r="CC401" s="40"/>
      <c r="CD401" s="40"/>
      <c r="CE401" s="40"/>
      <c r="CF401" s="40"/>
      <c r="CG401" s="40"/>
      <c r="CH401" s="40"/>
      <c r="CI401" s="40"/>
      <c r="CJ401" s="40"/>
      <c r="CK401" s="40"/>
      <c r="CL401" s="40"/>
      <c r="CM401" s="40"/>
      <c r="CN401" s="40"/>
      <c r="CO401" s="40"/>
      <c r="CP401" s="40"/>
      <c r="CQ401" s="40"/>
      <c r="CR401" s="40"/>
      <c r="CS401" s="40"/>
      <c r="CT401" s="823"/>
      <c r="CU401" s="232"/>
      <c r="CV401" s="232"/>
      <c r="CW401" s="232"/>
      <c r="CX401" s="232"/>
      <c r="CY401" s="232"/>
      <c r="CZ401" s="40"/>
      <c r="DA401" s="40"/>
      <c r="DB401" s="40"/>
      <c r="DC401" s="40"/>
      <c r="DD401" s="40"/>
      <c r="DE401" s="40"/>
      <c r="DF401" s="232"/>
      <c r="DG401" s="232"/>
      <c r="DH401" s="232"/>
      <c r="DI401" s="232"/>
      <c r="DJ401" s="232"/>
      <c r="DK401" s="232"/>
      <c r="DL401" s="232"/>
      <c r="DM401" s="232"/>
      <c r="DN401" s="232"/>
    </row>
    <row r="402" spans="1:118">
      <c r="A402" s="40"/>
      <c r="B402" s="32"/>
      <c r="C402" s="1"/>
      <c r="D402" s="1"/>
      <c r="E402" s="273"/>
      <c r="F402" s="3"/>
      <c r="G402" s="3"/>
      <c r="H402" s="274"/>
      <c r="I402" s="28"/>
      <c r="J402" s="273"/>
      <c r="K402" s="3"/>
      <c r="L402" s="3"/>
      <c r="M402" s="274"/>
      <c r="N402" s="1"/>
      <c r="O402" s="273"/>
      <c r="P402" s="3"/>
      <c r="Q402" s="3"/>
      <c r="R402" s="274"/>
      <c r="S402" s="1"/>
      <c r="T402" s="273"/>
      <c r="U402" s="3"/>
      <c r="V402" s="3"/>
      <c r="W402" s="274"/>
      <c r="X402" s="1"/>
      <c r="Y402" s="273"/>
      <c r="Z402" s="3"/>
      <c r="AA402" s="3"/>
      <c r="AB402" s="274"/>
      <c r="AC402" s="1"/>
      <c r="AD402" s="273"/>
      <c r="AE402" s="3"/>
      <c r="AF402" s="3"/>
      <c r="AG402" s="274"/>
      <c r="AH402" s="1"/>
      <c r="AI402" s="273"/>
      <c r="AJ402" s="3"/>
      <c r="AK402" s="3"/>
      <c r="AL402" s="274"/>
      <c r="AM402" s="1"/>
      <c r="AN402" s="273"/>
      <c r="AO402" s="3"/>
      <c r="AP402" s="3"/>
      <c r="AQ402" s="274"/>
      <c r="AR402" s="1"/>
      <c r="AS402" s="273"/>
      <c r="AT402" s="3"/>
      <c r="AU402" s="3"/>
      <c r="AV402" s="274"/>
      <c r="AW402" s="1"/>
      <c r="AX402" s="273"/>
      <c r="AY402" s="3"/>
      <c r="AZ402" s="3"/>
      <c r="BA402" s="274"/>
      <c r="BB402" s="1"/>
      <c r="BC402" s="273"/>
      <c r="BD402" s="3"/>
      <c r="BE402" s="3"/>
      <c r="BF402" s="274"/>
      <c r="BG402" s="1"/>
      <c r="BH402" s="273"/>
      <c r="BI402" s="3"/>
      <c r="BJ402" s="3"/>
      <c r="BK402" s="274"/>
      <c r="BL402" s="1"/>
      <c r="BM402" s="273"/>
      <c r="BN402" s="3"/>
      <c r="BO402" s="3"/>
      <c r="BP402" s="274"/>
      <c r="BQ402" s="1"/>
      <c r="BR402" s="40"/>
      <c r="BS402" s="40"/>
      <c r="BT402" s="40"/>
      <c r="BU402" s="232"/>
      <c r="BV402" s="40"/>
      <c r="BW402" s="40"/>
      <c r="BX402" s="40"/>
      <c r="BY402" s="40"/>
      <c r="BZ402" s="40"/>
      <c r="CA402" s="40"/>
      <c r="CB402" s="40"/>
      <c r="CC402" s="40"/>
      <c r="CD402" s="40"/>
      <c r="CE402" s="40"/>
      <c r="CF402" s="40"/>
      <c r="CG402" s="40"/>
      <c r="CH402" s="40"/>
      <c r="CI402" s="40"/>
      <c r="CJ402" s="40"/>
      <c r="CK402" s="40"/>
      <c r="CL402" s="40"/>
      <c r="CM402" s="40"/>
      <c r="CN402" s="40"/>
      <c r="CO402" s="40"/>
      <c r="CP402" s="40"/>
      <c r="CQ402" s="40"/>
      <c r="CR402" s="40"/>
      <c r="CS402" s="40"/>
      <c r="CT402" s="823"/>
      <c r="CU402" s="232"/>
      <c r="CV402" s="232"/>
      <c r="CW402" s="232"/>
      <c r="CX402" s="232"/>
      <c r="CY402" s="232"/>
      <c r="CZ402" s="40"/>
      <c r="DA402" s="40"/>
      <c r="DB402" s="40"/>
      <c r="DC402" s="40"/>
      <c r="DD402" s="40"/>
      <c r="DE402" s="40"/>
      <c r="DF402" s="232"/>
      <c r="DG402" s="232"/>
      <c r="DH402" s="232"/>
      <c r="DI402" s="232"/>
      <c r="DJ402" s="232"/>
      <c r="DK402" s="232"/>
      <c r="DL402" s="232"/>
      <c r="DM402" s="232"/>
      <c r="DN402" s="232"/>
    </row>
    <row r="403" spans="1:118">
      <c r="A403" s="40"/>
      <c r="B403" s="32"/>
      <c r="C403" s="32" t="s">
        <v>196</v>
      </c>
      <c r="D403" s="32"/>
      <c r="E403" s="292"/>
      <c r="F403" s="261"/>
      <c r="G403" s="261"/>
      <c r="H403" s="293"/>
      <c r="I403" s="884">
        <v>296</v>
      </c>
      <c r="J403" s="292"/>
      <c r="K403" s="261"/>
      <c r="L403" s="261"/>
      <c r="M403" s="293"/>
      <c r="N403" s="228"/>
      <c r="O403" s="292"/>
      <c r="P403" s="261"/>
      <c r="Q403" s="261"/>
      <c r="R403" s="293"/>
      <c r="S403" s="228"/>
      <c r="T403" s="292"/>
      <c r="U403" s="261"/>
      <c r="V403" s="261"/>
      <c r="W403" s="293"/>
      <c r="X403" s="228"/>
      <c r="Y403" s="292">
        <f>+Z403</f>
        <v>296</v>
      </c>
      <c r="Z403" s="261">
        <f>+AA403</f>
        <v>296</v>
      </c>
      <c r="AA403" s="261">
        <f>+AB403</f>
        <v>296</v>
      </c>
      <c r="AB403" s="293">
        <f>+AC403</f>
        <v>296</v>
      </c>
      <c r="AC403" s="669">
        <f>+I403</f>
        <v>296</v>
      </c>
      <c r="AD403" s="292">
        <f t="shared" ref="AD403:BL403" si="610">AC403</f>
        <v>296</v>
      </c>
      <c r="AE403" s="261">
        <f>+AD403</f>
        <v>296</v>
      </c>
      <c r="AF403" s="261">
        <f t="shared" si="610"/>
        <v>296</v>
      </c>
      <c r="AG403" s="293">
        <f>AF403</f>
        <v>296</v>
      </c>
      <c r="AH403" s="228">
        <f t="shared" si="610"/>
        <v>296</v>
      </c>
      <c r="AI403" s="292">
        <f t="shared" si="610"/>
        <v>296</v>
      </c>
      <c r="AJ403" s="261">
        <f t="shared" si="610"/>
        <v>296</v>
      </c>
      <c r="AK403" s="261">
        <f t="shared" si="610"/>
        <v>296</v>
      </c>
      <c r="AL403" s="293">
        <f>AK403</f>
        <v>296</v>
      </c>
      <c r="AM403" s="228">
        <f t="shared" si="610"/>
        <v>296</v>
      </c>
      <c r="AN403" s="292">
        <f>AM403</f>
        <v>296</v>
      </c>
      <c r="AO403" s="261">
        <f>AN403</f>
        <v>296</v>
      </c>
      <c r="AP403" s="261">
        <f>AO403</f>
        <v>296</v>
      </c>
      <c r="AQ403" s="293">
        <f t="shared" si="610"/>
        <v>296</v>
      </c>
      <c r="AR403" s="228">
        <f t="shared" si="610"/>
        <v>296</v>
      </c>
      <c r="AS403" s="292">
        <f t="shared" si="610"/>
        <v>296</v>
      </c>
      <c r="AT403" s="261">
        <f t="shared" si="610"/>
        <v>296</v>
      </c>
      <c r="AU403" s="261">
        <f t="shared" ref="AU403" si="611">AT403</f>
        <v>296</v>
      </c>
      <c r="AV403" s="293">
        <f t="shared" si="610"/>
        <v>296</v>
      </c>
      <c r="AW403" s="228">
        <f t="shared" si="610"/>
        <v>296</v>
      </c>
      <c r="AX403" s="292">
        <f t="shared" si="610"/>
        <v>296</v>
      </c>
      <c r="AY403" s="261">
        <f t="shared" si="610"/>
        <v>296</v>
      </c>
      <c r="AZ403" s="261">
        <f t="shared" si="610"/>
        <v>296</v>
      </c>
      <c r="BA403" s="293">
        <f t="shared" si="610"/>
        <v>296</v>
      </c>
      <c r="BB403" s="228">
        <f t="shared" si="610"/>
        <v>296</v>
      </c>
      <c r="BC403" s="292">
        <f t="shared" si="610"/>
        <v>296</v>
      </c>
      <c r="BD403" s="261">
        <f t="shared" si="610"/>
        <v>296</v>
      </c>
      <c r="BE403" s="261">
        <f t="shared" si="610"/>
        <v>296</v>
      </c>
      <c r="BF403" s="293">
        <f t="shared" si="610"/>
        <v>296</v>
      </c>
      <c r="BG403" s="228">
        <f>BF403</f>
        <v>296</v>
      </c>
      <c r="BH403" s="292">
        <f>BG403</f>
        <v>296</v>
      </c>
      <c r="BI403" s="261">
        <f t="shared" si="610"/>
        <v>296</v>
      </c>
      <c r="BJ403" s="261">
        <f t="shared" si="610"/>
        <v>296</v>
      </c>
      <c r="BK403" s="293">
        <f t="shared" si="610"/>
        <v>296</v>
      </c>
      <c r="BL403" s="228">
        <f t="shared" si="610"/>
        <v>296</v>
      </c>
      <c r="BM403" s="292">
        <f t="shared" ref="BM403" si="612">BL403</f>
        <v>296</v>
      </c>
      <c r="BN403" s="261">
        <f t="shared" ref="BN403" si="613">BM403</f>
        <v>296</v>
      </c>
      <c r="BO403" s="261">
        <f t="shared" ref="BO403" si="614">BN403</f>
        <v>296</v>
      </c>
      <c r="BP403" s="293">
        <f t="shared" ref="BP403" si="615">BO403</f>
        <v>296</v>
      </c>
      <c r="BQ403" s="228">
        <f t="shared" ref="BQ403" si="616">BP403</f>
        <v>296</v>
      </c>
      <c r="BR403" s="40"/>
      <c r="BS403" s="40"/>
      <c r="BT403" s="40"/>
      <c r="BU403" s="232"/>
      <c r="BV403" s="40"/>
      <c r="BW403" s="40"/>
      <c r="BX403" s="40"/>
      <c r="BY403" s="40"/>
      <c r="BZ403" s="40"/>
      <c r="CA403" s="40"/>
      <c r="CB403" s="40"/>
      <c r="CC403" s="40"/>
      <c r="CD403" s="40"/>
      <c r="CE403" s="40"/>
      <c r="CF403" s="40"/>
      <c r="CG403" s="40"/>
      <c r="CH403" s="40"/>
      <c r="CI403" s="40"/>
      <c r="CJ403" s="40"/>
      <c r="CK403" s="40"/>
      <c r="CL403" s="40"/>
      <c r="CM403" s="40"/>
      <c r="CN403" s="40"/>
      <c r="CO403" s="40"/>
      <c r="CP403" s="40"/>
      <c r="CQ403" s="40"/>
      <c r="CR403" s="40"/>
      <c r="CS403" s="40"/>
      <c r="CT403" s="823"/>
      <c r="CU403" s="232"/>
      <c r="CV403" s="232"/>
      <c r="CW403" s="232"/>
      <c r="CX403" s="232"/>
      <c r="CY403" s="232"/>
      <c r="CZ403" s="40"/>
      <c r="DA403" s="40"/>
      <c r="DB403" s="40"/>
      <c r="DC403" s="40"/>
      <c r="DD403" s="40"/>
      <c r="DE403" s="40"/>
      <c r="DF403" s="232"/>
      <c r="DG403" s="232"/>
      <c r="DH403" s="232"/>
      <c r="DI403" s="232"/>
      <c r="DJ403" s="232"/>
      <c r="DK403" s="232"/>
      <c r="DL403" s="232"/>
      <c r="DM403" s="232"/>
      <c r="DN403" s="232"/>
    </row>
    <row r="404" spans="1:118">
      <c r="A404" s="40"/>
      <c r="B404" s="32"/>
      <c r="C404" s="1"/>
      <c r="D404" s="1"/>
      <c r="E404" s="273"/>
      <c r="F404" s="3"/>
      <c r="G404" s="3"/>
      <c r="H404" s="274"/>
      <c r="I404" s="28"/>
      <c r="J404" s="273"/>
      <c r="K404" s="3"/>
      <c r="L404" s="3"/>
      <c r="M404" s="274"/>
      <c r="N404" s="1"/>
      <c r="O404" s="273"/>
      <c r="P404" s="3"/>
      <c r="Q404" s="3"/>
      <c r="R404" s="274"/>
      <c r="S404" s="1"/>
      <c r="T404" s="273"/>
      <c r="U404" s="3"/>
      <c r="V404" s="3"/>
      <c r="W404" s="274"/>
      <c r="X404" s="1"/>
      <c r="Y404" s="273"/>
      <c r="Z404" s="3"/>
      <c r="AA404" s="3"/>
      <c r="AB404" s="274"/>
      <c r="AC404" s="1"/>
      <c r="AD404" s="273"/>
      <c r="AE404" s="3"/>
      <c r="AF404" s="3"/>
      <c r="AG404" s="274"/>
      <c r="AH404" s="1"/>
      <c r="AI404" s="273"/>
      <c r="AJ404" s="3"/>
      <c r="AK404" s="3"/>
      <c r="AL404" s="274"/>
      <c r="AM404" s="1"/>
      <c r="AN404" s="273"/>
      <c r="AO404" s="3"/>
      <c r="AP404" s="3"/>
      <c r="AQ404" s="274"/>
      <c r="AR404" s="1"/>
      <c r="AS404" s="273"/>
      <c r="AT404" s="3"/>
      <c r="AU404" s="3"/>
      <c r="AV404" s="274"/>
      <c r="AW404" s="1"/>
      <c r="AX404" s="273"/>
      <c r="AY404" s="3"/>
      <c r="AZ404" s="3"/>
      <c r="BA404" s="274"/>
      <c r="BB404" s="1"/>
      <c r="BC404" s="273"/>
      <c r="BD404" s="3"/>
      <c r="BE404" s="3"/>
      <c r="BF404" s="274"/>
      <c r="BG404" s="1"/>
      <c r="BH404" s="273"/>
      <c r="BI404" s="3"/>
      <c r="BJ404" s="3"/>
      <c r="BK404" s="274"/>
      <c r="BL404" s="1"/>
      <c r="BM404" s="273"/>
      <c r="BN404" s="3"/>
      <c r="BO404" s="3"/>
      <c r="BP404" s="274"/>
      <c r="BQ404" s="1"/>
      <c r="BR404" s="40"/>
      <c r="BS404" s="40"/>
      <c r="BT404" s="40"/>
      <c r="BU404" s="232"/>
      <c r="BV404" s="40"/>
      <c r="BW404" s="40"/>
      <c r="BX404" s="40"/>
      <c r="BY404" s="40"/>
      <c r="BZ404" s="40"/>
      <c r="CA404" s="40"/>
      <c r="CB404" s="40"/>
      <c r="CC404" s="40"/>
      <c r="CD404" s="40"/>
      <c r="CE404" s="40"/>
      <c r="CF404" s="40"/>
      <c r="CG404" s="40"/>
      <c r="CH404" s="40"/>
      <c r="CI404" s="40"/>
      <c r="CJ404" s="40"/>
      <c r="CK404" s="40"/>
      <c r="CL404" s="40"/>
      <c r="CM404" s="40"/>
      <c r="CN404" s="40"/>
      <c r="CO404" s="40"/>
      <c r="CP404" s="40"/>
      <c r="CQ404" s="40"/>
      <c r="CR404" s="40"/>
      <c r="CS404" s="40"/>
      <c r="CT404" s="823"/>
      <c r="CU404" s="232"/>
      <c r="CV404" s="232"/>
      <c r="CW404" s="232"/>
      <c r="CX404" s="232"/>
      <c r="CY404" s="232"/>
      <c r="CZ404" s="40"/>
      <c r="DA404" s="40"/>
      <c r="DB404" s="40"/>
      <c r="DC404" s="40"/>
      <c r="DD404" s="40"/>
      <c r="DE404" s="40"/>
      <c r="DF404" s="232"/>
      <c r="DG404" s="232"/>
      <c r="DH404" s="232"/>
      <c r="DI404" s="232"/>
      <c r="DJ404" s="232"/>
      <c r="DK404" s="232"/>
      <c r="DL404" s="232"/>
      <c r="DM404" s="232"/>
      <c r="DN404" s="232"/>
    </row>
    <row r="405" spans="1:118">
      <c r="A405" s="40"/>
      <c r="B405" s="32"/>
      <c r="C405" s="28" t="s">
        <v>197</v>
      </c>
      <c r="D405" s="1"/>
      <c r="E405" s="273"/>
      <c r="F405" s="3"/>
      <c r="G405" s="3"/>
      <c r="H405" s="274"/>
      <c r="I405" s="544">
        <v>0.25</v>
      </c>
      <c r="J405" s="273"/>
      <c r="K405" s="3"/>
      <c r="L405" s="3"/>
      <c r="M405" s="274"/>
      <c r="N405" s="1"/>
      <c r="O405" s="273"/>
      <c r="P405" s="3"/>
      <c r="Q405" s="3"/>
      <c r="R405" s="274"/>
      <c r="S405" s="1"/>
      <c r="T405" s="277"/>
      <c r="U405" s="253"/>
      <c r="V405" s="253"/>
      <c r="W405" s="278"/>
      <c r="X405" s="224"/>
      <c r="Y405" s="277">
        <f>IF(Y400&gt;Y401,$I405,0%)</f>
        <v>0</v>
      </c>
      <c r="Z405" s="253">
        <f>IF(Z400&gt;Z401,$I405,0%)</f>
        <v>0</v>
      </c>
      <c r="AA405" s="253">
        <f>IF(AA400&gt;AA401,$I405,0%)</f>
        <v>0.25</v>
      </c>
      <c r="AB405" s="278">
        <f>IF(AB400&gt;AB401,$I405,0%)</f>
        <v>0</v>
      </c>
      <c r="AC405" s="224">
        <f>AVERAGE(Y405:AB405)</f>
        <v>6.25E-2</v>
      </c>
      <c r="AD405" s="277">
        <f>IF(AD400&gt;AD401,$I405,0%)</f>
        <v>0.25</v>
      </c>
      <c r="AE405" s="253">
        <f>IF(AE400&gt;AE401,$I405,0%)</f>
        <v>0</v>
      </c>
      <c r="AF405" s="253">
        <f>IF(AF400&gt;AF401,$I405,0%)</f>
        <v>0</v>
      </c>
      <c r="AG405" s="278">
        <f>IF(AG400&gt;AG401,$I405,0%)</f>
        <v>0</v>
      </c>
      <c r="AH405" s="224">
        <f>AVERAGE(AD405:AG405)</f>
        <v>6.25E-2</v>
      </c>
      <c r="AI405" s="277">
        <f>IF(AI400&gt;AI401,$I405,0%)</f>
        <v>0.25</v>
      </c>
      <c r="AJ405" s="253">
        <f>IF(AJ400&gt;AJ401,$I405,0%)</f>
        <v>0</v>
      </c>
      <c r="AK405" s="253">
        <f>IF(AK400&gt;AK401,$I405,0%)</f>
        <v>0.25</v>
      </c>
      <c r="AL405" s="278">
        <f>IF(AL400&gt;AL401,$I405,0%)</f>
        <v>0.25</v>
      </c>
      <c r="AM405" s="224">
        <f>AVERAGE(AI405:AL405)</f>
        <v>0.1875</v>
      </c>
      <c r="AN405" s="277">
        <f>IF(AN400&gt;AN401,$I405,0%)</f>
        <v>0.25</v>
      </c>
      <c r="AO405" s="253">
        <f>IF(AO400&gt;AO401,$I405,0%)</f>
        <v>0.25</v>
      </c>
      <c r="AP405" s="253">
        <f>IF(AP400&gt;AP401,$I405,0%)</f>
        <v>0.25</v>
      </c>
      <c r="AQ405" s="278">
        <f>IF(AQ400&gt;AQ401,$I405,0%)</f>
        <v>0</v>
      </c>
      <c r="AR405" s="224">
        <f>AVERAGE(AN405:AQ405)</f>
        <v>0.1875</v>
      </c>
      <c r="AS405" s="277">
        <f>IF(AS400&gt;AS401,$I405,0%)</f>
        <v>0</v>
      </c>
      <c r="AT405" s="253">
        <f>IF(AT400&gt;AT401,$I405,0%)</f>
        <v>0</v>
      </c>
      <c r="AU405" s="253">
        <f t="shared" ref="AU405" si="617">IF(AU400&gt;AU401,$I405,0%)</f>
        <v>0.25</v>
      </c>
      <c r="AV405" s="278">
        <f>IF(AV400&gt;AV401,$I405,0%)</f>
        <v>0</v>
      </c>
      <c r="AW405" s="224">
        <f>AVERAGE(AS405:AV405)</f>
        <v>6.25E-2</v>
      </c>
      <c r="AX405" s="277">
        <f>IF(AX400&gt;AX401,$I405,0%)</f>
        <v>0</v>
      </c>
      <c r="AY405" s="253">
        <f>IF(AY400&gt;AY401,$I405,0%)</f>
        <v>0</v>
      </c>
      <c r="AZ405" s="253">
        <f>IF(AZ400&gt;AZ401,$I405,0%)</f>
        <v>0.25</v>
      </c>
      <c r="BA405" s="278">
        <f>IF(BA400&gt;BA401,$I405,0%)</f>
        <v>0</v>
      </c>
      <c r="BB405" s="224">
        <f>AVERAGE(AX405:BA405)</f>
        <v>6.25E-2</v>
      </c>
      <c r="BC405" s="277">
        <f>IF(BC400&gt;BC401,$I405,0%)</f>
        <v>0.25</v>
      </c>
      <c r="BD405" s="253">
        <f>IF(BD400&gt;BD401,$I405,0%)</f>
        <v>0</v>
      </c>
      <c r="BE405" s="253">
        <f>IF(BE400&gt;BE401,$I405,0%)</f>
        <v>0.25</v>
      </c>
      <c r="BF405" s="278">
        <f>IF(BF400&gt;BF401,$I405,0%)</f>
        <v>0</v>
      </c>
      <c r="BG405" s="224">
        <f>AVERAGE(BC405:BF405)</f>
        <v>0.125</v>
      </c>
      <c r="BH405" s="277">
        <f>IF(BH400&gt;BH401,$I405,0%)</f>
        <v>0.25</v>
      </c>
      <c r="BI405" s="253">
        <f>IF(BI400&gt;BI401,$I405,0%)</f>
        <v>0</v>
      </c>
      <c r="BJ405" s="253">
        <f>IF(BJ400&gt;BJ401,$I405,0%)</f>
        <v>0.25</v>
      </c>
      <c r="BK405" s="278">
        <f>IF(BK400&gt;BK401,$I405,0%)</f>
        <v>0</v>
      </c>
      <c r="BL405" s="224">
        <f>AVERAGE(BH405:BK405)</f>
        <v>0.125</v>
      </c>
      <c r="BM405" s="277">
        <f>IF(BM400&gt;BM401,$I405,0%)</f>
        <v>0.25</v>
      </c>
      <c r="BN405" s="253">
        <f>IF(BN400&gt;BN401,$I405,0%)</f>
        <v>0.25</v>
      </c>
      <c r="BO405" s="253">
        <f>IF(BO400&gt;BO401,$I405,0%)</f>
        <v>0.25</v>
      </c>
      <c r="BP405" s="278">
        <f>IF(BP400&gt;BP401,$I405,0%)</f>
        <v>0.25</v>
      </c>
      <c r="BQ405" s="224">
        <f>AVERAGE(BM405:BP405)</f>
        <v>0.25</v>
      </c>
      <c r="BR405" s="40"/>
      <c r="BS405" s="40"/>
      <c r="BT405" s="40"/>
      <c r="BU405" s="232"/>
      <c r="BV405" s="40"/>
      <c r="BW405" s="40"/>
      <c r="BX405" s="40"/>
      <c r="BY405" s="40"/>
      <c r="BZ405" s="40"/>
      <c r="CA405" s="40"/>
      <c r="CB405" s="40"/>
      <c r="CC405" s="40"/>
      <c r="CD405" s="40"/>
      <c r="CE405" s="40"/>
      <c r="CF405" s="40"/>
      <c r="CG405" s="40"/>
      <c r="CH405" s="40"/>
      <c r="CI405" s="40"/>
      <c r="CJ405" s="40"/>
      <c r="CK405" s="40"/>
      <c r="CL405" s="40"/>
      <c r="CM405" s="40"/>
      <c r="CN405" s="40"/>
      <c r="CO405" s="40"/>
      <c r="CP405" s="40"/>
      <c r="CQ405" s="40"/>
      <c r="CR405" s="40"/>
      <c r="CS405" s="40"/>
      <c r="CT405" s="823"/>
      <c r="CU405" s="232"/>
      <c r="CV405" s="232"/>
      <c r="CW405" s="232"/>
      <c r="CX405" s="232"/>
      <c r="CY405" s="232"/>
      <c r="CZ405" s="40"/>
      <c r="DA405" s="40"/>
      <c r="DB405" s="40"/>
      <c r="DC405" s="40"/>
      <c r="DD405" s="40"/>
      <c r="DE405" s="40"/>
      <c r="DF405" s="232"/>
      <c r="DG405" s="232"/>
      <c r="DH405" s="232"/>
      <c r="DI405" s="232"/>
      <c r="DJ405" s="232"/>
      <c r="DK405" s="232"/>
      <c r="DL405" s="232"/>
      <c r="DM405" s="232"/>
      <c r="DN405" s="232"/>
    </row>
    <row r="406" spans="1:118">
      <c r="A406" s="40"/>
      <c r="B406" s="32"/>
      <c r="C406" s="32" t="s">
        <v>198</v>
      </c>
      <c r="D406" s="32"/>
      <c r="E406" s="489"/>
      <c r="F406" s="342"/>
      <c r="G406" s="342"/>
      <c r="H406" s="490"/>
      <c r="I406" s="32"/>
      <c r="J406" s="489"/>
      <c r="K406" s="342"/>
      <c r="L406" s="342"/>
      <c r="M406" s="490"/>
      <c r="N406" s="32"/>
      <c r="O406" s="489"/>
      <c r="P406" s="342"/>
      <c r="Q406" s="342"/>
      <c r="R406" s="490"/>
      <c r="S406" s="32"/>
      <c r="T406" s="301"/>
      <c r="U406" s="265"/>
      <c r="V406" s="265"/>
      <c r="W406" s="302"/>
      <c r="X406" s="445"/>
      <c r="Y406" s="301">
        <f>(Y403*Y405*(8760/1000))/4</f>
        <v>0</v>
      </c>
      <c r="Z406" s="265">
        <f>(Z403*Z405*(8760/1000))/4</f>
        <v>0</v>
      </c>
      <c r="AA406" s="265">
        <f>(AA403*AA405*(8760/1000))/4</f>
        <v>162.06</v>
      </c>
      <c r="AB406" s="302">
        <f>(AB403*AB405*(8760/1000))/4</f>
        <v>0</v>
      </c>
      <c r="AC406" s="445">
        <f>SUM(Y406:AB406)</f>
        <v>162.06</v>
      </c>
      <c r="AD406" s="301">
        <f>(AD403*AD405*(8760/1000))/4</f>
        <v>162.06</v>
      </c>
      <c r="AE406" s="265">
        <f>(AE403*AE405*(8760/1000))/4</f>
        <v>0</v>
      </c>
      <c r="AF406" s="265">
        <f>(AF403*AF405*(8760/1000))/4</f>
        <v>0</v>
      </c>
      <c r="AG406" s="302">
        <f>(AG403*AG405*(8760/1000))/4</f>
        <v>0</v>
      </c>
      <c r="AH406" s="445">
        <f>SUM(AD406:AG406)</f>
        <v>162.06</v>
      </c>
      <c r="AI406" s="301">
        <f>(AI403*AI405*(8760/1000))/4</f>
        <v>162.06</v>
      </c>
      <c r="AJ406" s="265">
        <f>(AJ403*AJ405*(8760/1000))/4</f>
        <v>0</v>
      </c>
      <c r="AK406" s="265">
        <f>(AK403*AK405*(8760/1000))/4</f>
        <v>162.06</v>
      </c>
      <c r="AL406" s="302">
        <f>(AL403*AL405*(8760/1000))/4</f>
        <v>162.06</v>
      </c>
      <c r="AM406" s="445">
        <f>SUM(AI406:AL406)</f>
        <v>486.18</v>
      </c>
      <c r="AN406" s="301">
        <f>(AN403*AN405*(8760/1000))/4</f>
        <v>162.06</v>
      </c>
      <c r="AO406" s="265">
        <f>(AO403*AO405*(8760/1000))/4</f>
        <v>162.06</v>
      </c>
      <c r="AP406" s="265">
        <f>(AP403*AP405*(8760/1000))/4</f>
        <v>162.06</v>
      </c>
      <c r="AQ406" s="302">
        <f>(AQ403*AQ405*(8760/1000))/4</f>
        <v>0</v>
      </c>
      <c r="AR406" s="445">
        <f>SUM(AN406:AQ406)</f>
        <v>486.18</v>
      </c>
      <c r="AS406" s="301">
        <f>(AS403*AS405*(8760/1000))/4</f>
        <v>0</v>
      </c>
      <c r="AT406" s="265">
        <f>(AT403*AT405*(8760/1000))/4</f>
        <v>0</v>
      </c>
      <c r="AU406" s="265">
        <f t="shared" ref="AU406" si="618">(AU403*AU405*(8760/1000))/4</f>
        <v>162.06</v>
      </c>
      <c r="AV406" s="302">
        <f>(AV403*AV405*(8760/1000))/4</f>
        <v>0</v>
      </c>
      <c r="AW406" s="445">
        <f>SUM(AS406:AV406)</f>
        <v>162.06</v>
      </c>
      <c r="AX406" s="301">
        <f>(AX403*AX405*(8760/1000))/4</f>
        <v>0</v>
      </c>
      <c r="AY406" s="265">
        <f>(AY403*AY405*(8760/1000))/4</f>
        <v>0</v>
      </c>
      <c r="AZ406" s="265">
        <f>(AZ403*AZ405*(8760/1000))/4</f>
        <v>162.06</v>
      </c>
      <c r="BA406" s="302">
        <f>(BA403*BA405*(8760/1000))/4</f>
        <v>0</v>
      </c>
      <c r="BB406" s="445">
        <f>SUM(AX406:BA406)</f>
        <v>162.06</v>
      </c>
      <c r="BC406" s="301">
        <f>(BC403*BC405*(8760/1000))/4</f>
        <v>162.06</v>
      </c>
      <c r="BD406" s="265">
        <f>(BD403*BD405*(8760/1000))/4</f>
        <v>0</v>
      </c>
      <c r="BE406" s="265">
        <f>(BE403*BE405*(8760/1000))/4</f>
        <v>162.06</v>
      </c>
      <c r="BF406" s="302">
        <f>(BF403*BF405*(8760/1000))/4</f>
        <v>0</v>
      </c>
      <c r="BG406" s="445">
        <f>SUM(BC406:BF406)</f>
        <v>324.12</v>
      </c>
      <c r="BH406" s="301">
        <f>(BH403*BH405*(8760/1000))/4</f>
        <v>162.06</v>
      </c>
      <c r="BI406" s="265">
        <f>(BI403*BI405*(8760/1000))/4</f>
        <v>0</v>
      </c>
      <c r="BJ406" s="265">
        <f>(BJ403*BJ405*(8760/1000))/4</f>
        <v>162.06</v>
      </c>
      <c r="BK406" s="302">
        <f>(BK403*BK405*(8760/1000))/4</f>
        <v>0</v>
      </c>
      <c r="BL406" s="445">
        <f>SUM(BH406:BK406)</f>
        <v>324.12</v>
      </c>
      <c r="BM406" s="301">
        <f>(BM403*BM405*(8760/1000))/4</f>
        <v>162.06</v>
      </c>
      <c r="BN406" s="265">
        <f>(BN403*BN405*(8760/1000))/4</f>
        <v>162.06</v>
      </c>
      <c r="BO406" s="265">
        <f>(BO403*BO405*(8760/1000))/4</f>
        <v>162.06</v>
      </c>
      <c r="BP406" s="302">
        <f>(BP403*BP405*(8760/1000))/4</f>
        <v>162.06</v>
      </c>
      <c r="BQ406" s="445">
        <f>SUM(BM406:BP406)</f>
        <v>648.24</v>
      </c>
      <c r="BR406" s="40"/>
      <c r="BS406" s="40"/>
      <c r="BT406" s="40"/>
      <c r="BU406" s="232"/>
      <c r="BV406" s="40"/>
      <c r="BW406" s="40"/>
      <c r="BX406" s="40"/>
      <c r="BY406" s="40"/>
      <c r="BZ406" s="40"/>
      <c r="CA406" s="40"/>
      <c r="CB406" s="40"/>
      <c r="CC406" s="40"/>
      <c r="CD406" s="40"/>
      <c r="CE406" s="40"/>
      <c r="CF406" s="40"/>
      <c r="CG406" s="40"/>
      <c r="CH406" s="40"/>
      <c r="CI406" s="40"/>
      <c r="CJ406" s="40"/>
      <c r="CK406" s="40"/>
      <c r="CL406" s="40"/>
      <c r="CM406" s="40"/>
      <c r="CN406" s="40"/>
      <c r="CO406" s="40"/>
      <c r="CP406" s="40"/>
      <c r="CQ406" s="40"/>
      <c r="CR406" s="40"/>
      <c r="CS406" s="40"/>
      <c r="CT406" s="823"/>
      <c r="CU406" s="232"/>
      <c r="CV406" s="232"/>
      <c r="CW406" s="232"/>
      <c r="CX406" s="232"/>
      <c r="CY406" s="232"/>
      <c r="CZ406" s="40"/>
      <c r="DA406" s="40"/>
      <c r="DB406" s="40"/>
      <c r="DC406" s="40"/>
      <c r="DD406" s="40"/>
      <c r="DE406" s="40"/>
      <c r="DF406" s="232"/>
      <c r="DG406" s="232"/>
      <c r="DH406" s="232"/>
      <c r="DI406" s="232"/>
      <c r="DJ406" s="232"/>
      <c r="DK406" s="232"/>
      <c r="DL406" s="232"/>
      <c r="DM406" s="232"/>
      <c r="DN406" s="232"/>
    </row>
    <row r="407" spans="1:118">
      <c r="A407" s="40"/>
      <c r="B407" s="32"/>
      <c r="C407" s="1"/>
      <c r="D407" s="1"/>
      <c r="E407" s="273"/>
      <c r="F407" s="3"/>
      <c r="G407" s="3"/>
      <c r="H407" s="274"/>
      <c r="I407" s="28"/>
      <c r="J407" s="273"/>
      <c r="K407" s="3"/>
      <c r="L407" s="3"/>
      <c r="M407" s="274"/>
      <c r="N407" s="1"/>
      <c r="O407" s="273"/>
      <c r="P407" s="3"/>
      <c r="Q407" s="3"/>
      <c r="R407" s="274"/>
      <c r="S407" s="1"/>
      <c r="T407" s="273"/>
      <c r="U407" s="3"/>
      <c r="V407" s="3"/>
      <c r="W407" s="274"/>
      <c r="X407" s="1"/>
      <c r="Y407" s="273"/>
      <c r="Z407" s="3"/>
      <c r="AA407" s="3"/>
      <c r="AB407" s="274"/>
      <c r="AC407" s="1"/>
      <c r="AD407" s="273"/>
      <c r="AE407" s="3"/>
      <c r="AF407" s="3"/>
      <c r="AG407" s="274"/>
      <c r="AH407" s="1"/>
      <c r="AI407" s="273"/>
      <c r="AJ407" s="3"/>
      <c r="AK407" s="3"/>
      <c r="AL407" s="274"/>
      <c r="AM407" s="1"/>
      <c r="AN407" s="273"/>
      <c r="AO407" s="3"/>
      <c r="AP407" s="3"/>
      <c r="AQ407" s="274"/>
      <c r="AR407" s="1"/>
      <c r="AS407" s="273"/>
      <c r="AT407" s="3"/>
      <c r="AU407" s="3"/>
      <c r="AV407" s="274"/>
      <c r="AW407" s="1"/>
      <c r="AX407" s="273"/>
      <c r="AY407" s="3"/>
      <c r="AZ407" s="3"/>
      <c r="BA407" s="274"/>
      <c r="BB407" s="1"/>
      <c r="BC407" s="273"/>
      <c r="BD407" s="3"/>
      <c r="BE407" s="3"/>
      <c r="BF407" s="274"/>
      <c r="BG407" s="1"/>
      <c r="BH407" s="273"/>
      <c r="BI407" s="3"/>
      <c r="BJ407" s="3"/>
      <c r="BK407" s="274"/>
      <c r="BL407" s="1"/>
      <c r="BM407" s="273"/>
      <c r="BN407" s="3"/>
      <c r="BO407" s="3"/>
      <c r="BP407" s="274"/>
      <c r="BQ407" s="1"/>
      <c r="BR407" s="40"/>
      <c r="BS407" s="40"/>
      <c r="BT407" s="40"/>
      <c r="BU407" s="232"/>
      <c r="BV407" s="40"/>
      <c r="BW407" s="40"/>
      <c r="BX407" s="40"/>
      <c r="BY407" s="40"/>
      <c r="BZ407" s="40"/>
      <c r="CA407" s="40"/>
      <c r="CB407" s="40"/>
      <c r="CC407" s="40"/>
      <c r="CD407" s="40"/>
      <c r="CE407" s="40"/>
      <c r="CF407" s="40"/>
      <c r="CG407" s="40"/>
      <c r="CH407" s="40"/>
      <c r="CI407" s="40"/>
      <c r="CJ407" s="40"/>
      <c r="CK407" s="40"/>
      <c r="CL407" s="40"/>
      <c r="CM407" s="40"/>
      <c r="CN407" s="40"/>
      <c r="CO407" s="40"/>
      <c r="CP407" s="40"/>
      <c r="CQ407" s="40"/>
      <c r="CR407" s="40"/>
      <c r="CS407" s="40"/>
      <c r="CT407" s="823"/>
      <c r="CU407" s="232"/>
      <c r="CV407" s="232"/>
      <c r="CW407" s="232"/>
      <c r="CX407" s="232"/>
      <c r="CY407" s="232"/>
      <c r="CZ407" s="40"/>
      <c r="DA407" s="40"/>
      <c r="DB407" s="40"/>
      <c r="DC407" s="40"/>
      <c r="DD407" s="40"/>
      <c r="DE407" s="40"/>
      <c r="DF407" s="232"/>
      <c r="DG407" s="232"/>
      <c r="DH407" s="232"/>
      <c r="DI407" s="232"/>
      <c r="DJ407" s="232"/>
      <c r="DK407" s="232"/>
      <c r="DL407" s="232"/>
      <c r="DM407" s="232"/>
      <c r="DN407" s="232"/>
    </row>
    <row r="408" spans="1:118">
      <c r="A408" s="40"/>
      <c r="B408" s="32"/>
      <c r="C408" s="28" t="s">
        <v>797</v>
      </c>
      <c r="D408" s="1"/>
      <c r="E408" s="273"/>
      <c r="F408" s="3"/>
      <c r="G408" s="3"/>
      <c r="H408" s="274"/>
      <c r="I408" s="28"/>
      <c r="J408" s="273"/>
      <c r="K408" s="3"/>
      <c r="L408" s="3"/>
      <c r="M408" s="274"/>
      <c r="N408" s="1"/>
      <c r="O408" s="273"/>
      <c r="P408" s="3"/>
      <c r="Q408" s="3"/>
      <c r="R408" s="274"/>
      <c r="S408" s="1"/>
      <c r="T408" s="758"/>
      <c r="U408" s="660"/>
      <c r="V408" s="660"/>
      <c r="W408" s="661"/>
      <c r="X408" s="428"/>
      <c r="Y408" s="758">
        <f>(Y400/1000*Y406)</f>
        <v>0</v>
      </c>
      <c r="Z408" s="660">
        <f>(Z400/1000*Z406)</f>
        <v>0</v>
      </c>
      <c r="AA408" s="660">
        <f>(AA400/1000*AA406)</f>
        <v>6.6634289003257638</v>
      </c>
      <c r="AB408" s="661">
        <f>(AB400/1000*AB406)</f>
        <v>0</v>
      </c>
      <c r="AC408" s="428">
        <f>SUM(Y408:AB408)</f>
        <v>6.6634289003257638</v>
      </c>
      <c r="AD408" s="758">
        <f>(AD400/1000*AD406)</f>
        <v>11.829767874299282</v>
      </c>
      <c r="AE408" s="660">
        <f>(AE400/1000*AE406)</f>
        <v>0</v>
      </c>
      <c r="AF408" s="660">
        <f>(AF400/1000*AF406)</f>
        <v>0</v>
      </c>
      <c r="AG408" s="661">
        <f>(AG400/1000*AG406)</f>
        <v>0</v>
      </c>
      <c r="AH408" s="428">
        <f>SUM(AD408:AG408)</f>
        <v>11.829767874299282</v>
      </c>
      <c r="AI408" s="758">
        <f>(AI400/1000*AI406)</f>
        <v>6.476494031985716</v>
      </c>
      <c r="AJ408" s="660">
        <f>(AJ400/1000*AJ406)</f>
        <v>0</v>
      </c>
      <c r="AK408" s="660">
        <f>(AK400/1000*AK406)</f>
        <v>5.501970680431155</v>
      </c>
      <c r="AL408" s="661">
        <f>(AL400/1000*AL406)</f>
        <v>4.8533096093387691</v>
      </c>
      <c r="AM408" s="428">
        <f>SUM(AI408:AL408)</f>
        <v>16.831774321755638</v>
      </c>
      <c r="AN408" s="758">
        <f>(AN400/1000*AN406)</f>
        <v>4.3332528092964857</v>
      </c>
      <c r="AO408" s="660">
        <f>(AO400/1000*AO406)</f>
        <v>4.7948906266383391</v>
      </c>
      <c r="AP408" s="660">
        <f>(AP400/1000*AP406)</f>
        <v>6.0896994602783243</v>
      </c>
      <c r="AQ408" s="661">
        <f>(AQ400/1000*AQ406)</f>
        <v>0</v>
      </c>
      <c r="AR408" s="428">
        <f>SUM(AN408:AQ408)</f>
        <v>15.217842896213149</v>
      </c>
      <c r="AS408" s="758">
        <f>(AS400/1000*AS406)</f>
        <v>0</v>
      </c>
      <c r="AT408" s="660">
        <f>(AT400/1000*AT406)</f>
        <v>0</v>
      </c>
      <c r="AU408" s="660">
        <f t="shared" ref="AU408" si="619">(AU400/1000*AU406)</f>
        <v>5.5995975804795268</v>
      </c>
      <c r="AV408" s="661">
        <f>(AV400/1000*AV406)</f>
        <v>0</v>
      </c>
      <c r="AW408" s="428">
        <f>SUM(AS408:AV408)</f>
        <v>5.5995975804795268</v>
      </c>
      <c r="AX408" s="758">
        <f>(AX400/1000*AX406)</f>
        <v>0</v>
      </c>
      <c r="AY408" s="660">
        <f>(AY400/1000*AY406)</f>
        <v>0</v>
      </c>
      <c r="AZ408" s="660">
        <f>(AZ400/1000*AZ406)</f>
        <v>5.6072760000000006</v>
      </c>
      <c r="BA408" s="661">
        <f>(BA400/1000*BA406)</f>
        <v>0</v>
      </c>
      <c r="BB408" s="428">
        <f>SUM(AX408:BA408)</f>
        <v>5.6072760000000006</v>
      </c>
      <c r="BC408" s="758">
        <f>(BC400/1000*BC406)</f>
        <v>5.4985616298079583</v>
      </c>
      <c r="BD408" s="660">
        <f>(BD400/1000*BD406)</f>
        <v>0</v>
      </c>
      <c r="BE408" s="660">
        <f>(BE400/1000*BE406)</f>
        <v>5.2447818622783604</v>
      </c>
      <c r="BF408" s="661">
        <f>(BF400/1000*BF406)</f>
        <v>0</v>
      </c>
      <c r="BG408" s="428">
        <f>SUM(BC408:BF408)</f>
        <v>10.743343492086318</v>
      </c>
      <c r="BH408" s="758">
        <f>(BH400/1000*BH406)</f>
        <v>5.4991208055669212</v>
      </c>
      <c r="BI408" s="660">
        <f>(BI400/1000*BI406)</f>
        <v>0</v>
      </c>
      <c r="BJ408" s="660">
        <f>(BJ400/1000*BJ406)</f>
        <v>5.2453152299253709</v>
      </c>
      <c r="BK408" s="661">
        <f>(BK400/1000*BK406)</f>
        <v>0</v>
      </c>
      <c r="BL408" s="428">
        <f>SUM(BH408:BK408)</f>
        <v>10.744436035492292</v>
      </c>
      <c r="BM408" s="758">
        <f>(BM400/1000*BM406)</f>
        <v>5.9151899999999999</v>
      </c>
      <c r="BN408" s="660">
        <f>(BN400/1000*BN406)</f>
        <v>5.9151899999999999</v>
      </c>
      <c r="BO408" s="660">
        <f>(BO400/1000*BO406)</f>
        <v>5.9151899999999999</v>
      </c>
      <c r="BP408" s="661">
        <f>(BP400/1000*BP406)</f>
        <v>5.9151899999999999</v>
      </c>
      <c r="BQ408" s="428">
        <f>SUM(BM408:BP408)</f>
        <v>23.66076</v>
      </c>
      <c r="BR408" s="40"/>
      <c r="BS408" s="40"/>
      <c r="BT408" s="40"/>
      <c r="BU408" s="232"/>
      <c r="BV408" s="40"/>
      <c r="BW408" s="40"/>
      <c r="BX408" s="40"/>
      <c r="BY408" s="40"/>
      <c r="BZ408" s="40"/>
      <c r="CA408" s="40"/>
      <c r="CB408" s="40"/>
      <c r="CC408" s="40"/>
      <c r="CD408" s="40"/>
      <c r="CE408" s="40"/>
      <c r="CF408" s="40"/>
      <c r="CG408" s="40"/>
      <c r="CH408" s="40"/>
      <c r="CI408" s="40"/>
      <c r="CJ408" s="40"/>
      <c r="CK408" s="40"/>
      <c r="CL408" s="40"/>
      <c r="CM408" s="40"/>
      <c r="CN408" s="40"/>
      <c r="CO408" s="40"/>
      <c r="CP408" s="40"/>
      <c r="CQ408" s="40"/>
      <c r="CR408" s="40"/>
      <c r="CS408" s="40"/>
      <c r="CT408" s="823"/>
      <c r="CU408" s="232"/>
      <c r="CV408" s="232"/>
      <c r="CW408" s="232"/>
      <c r="CX408" s="232"/>
      <c r="CY408" s="232"/>
      <c r="CZ408" s="40"/>
      <c r="DA408" s="40"/>
      <c r="DB408" s="40"/>
      <c r="DC408" s="40"/>
      <c r="DD408" s="40"/>
      <c r="DE408" s="40"/>
      <c r="DF408" s="232"/>
      <c r="DG408" s="232"/>
      <c r="DH408" s="232"/>
      <c r="DI408" s="232"/>
      <c r="DJ408" s="232"/>
      <c r="DK408" s="232"/>
      <c r="DL408" s="232"/>
      <c r="DM408" s="232"/>
      <c r="DN408" s="232"/>
    </row>
    <row r="409" spans="1:118">
      <c r="A409" s="40"/>
      <c r="B409" s="32"/>
      <c r="C409" s="28" t="s">
        <v>278</v>
      </c>
      <c r="D409" s="1"/>
      <c r="E409" s="273"/>
      <c r="F409" s="3"/>
      <c r="G409" s="3"/>
      <c r="H409" s="274"/>
      <c r="I409" s="28"/>
      <c r="J409" s="273"/>
      <c r="K409" s="3"/>
      <c r="L409" s="3"/>
      <c r="M409" s="274"/>
      <c r="N409" s="1"/>
      <c r="O409" s="273"/>
      <c r="P409" s="3"/>
      <c r="Q409" s="3"/>
      <c r="R409" s="274"/>
      <c r="S409" s="1"/>
      <c r="T409" s="758"/>
      <c r="U409" s="660"/>
      <c r="V409" s="660"/>
      <c r="W409" s="661"/>
      <c r="X409" s="428"/>
      <c r="Y409" s="758">
        <f>Y401/1000*Y406</f>
        <v>0</v>
      </c>
      <c r="Z409" s="660">
        <f>Z401/1000*Z406</f>
        <v>0</v>
      </c>
      <c r="AA409" s="660">
        <f>AA401/1000*AA406</f>
        <v>6.6306886982812507</v>
      </c>
      <c r="AB409" s="661">
        <f>AB401/1000*AB406</f>
        <v>0</v>
      </c>
      <c r="AC409" s="428">
        <f>SUM(Y409:AB409)</f>
        <v>6.6306886982812507</v>
      </c>
      <c r="AD409" s="758">
        <f>AD401/1000*AD406</f>
        <v>9.6470093813114755</v>
      </c>
      <c r="AE409" s="660">
        <f>AE401/1000*AE406</f>
        <v>0</v>
      </c>
      <c r="AF409" s="660">
        <f>AF401/1000*AF406</f>
        <v>0</v>
      </c>
      <c r="AG409" s="661">
        <f>AG401/1000*AG406</f>
        <v>0</v>
      </c>
      <c r="AH409" s="428">
        <f>SUM(AD409:AG409)</f>
        <v>9.6470093813114755</v>
      </c>
      <c r="AI409" s="758">
        <f>AI401/1000*AI406</f>
        <v>5.3921361222580648</v>
      </c>
      <c r="AJ409" s="660">
        <f>AJ401/1000*AJ406</f>
        <v>0</v>
      </c>
      <c r="AK409" s="660">
        <f>AK401/1000*AK406</f>
        <v>5.1520254042187492</v>
      </c>
      <c r="AL409" s="661">
        <f>AL401/1000*AL406</f>
        <v>3.9754578466666675</v>
      </c>
      <c r="AM409" s="428">
        <f>SUM(AI409:AL409)</f>
        <v>14.519619373143481</v>
      </c>
      <c r="AN409" s="758">
        <f>AN401/1000*AN406</f>
        <v>3.7044352263934432</v>
      </c>
      <c r="AO409" s="660">
        <f>AO401/1000*AO406</f>
        <v>3.9808127198437497</v>
      </c>
      <c r="AP409" s="660">
        <f>AP401/1000*AP406</f>
        <v>5.3583999515624994</v>
      </c>
      <c r="AQ409" s="661">
        <f>AQ401/1000*AQ406</f>
        <v>0</v>
      </c>
      <c r="AR409" s="428">
        <f>SUM(AN409:AQ409)</f>
        <v>13.043647897799692</v>
      </c>
      <c r="AS409" s="758">
        <f>AS401/1000*AS406</f>
        <v>0</v>
      </c>
      <c r="AT409" s="660">
        <f>AT401/1000*AT406</f>
        <v>0</v>
      </c>
      <c r="AU409" s="660">
        <f t="shared" ref="AU409" si="620">AU401/1000*AU406</f>
        <v>5.5053698423809525</v>
      </c>
      <c r="AV409" s="661">
        <f>AV401/1000*AV406</f>
        <v>0</v>
      </c>
      <c r="AW409" s="428">
        <f>SUM(AS409:AV409)</f>
        <v>5.5053698423809525</v>
      </c>
      <c r="AX409" s="758">
        <f>AX401/1000*AX406</f>
        <v>0</v>
      </c>
      <c r="AY409" s="660">
        <f>AY401/1000*AY406</f>
        <v>0</v>
      </c>
      <c r="AZ409" s="660">
        <f>AZ401/1000*AZ406</f>
        <v>5.2462873500000011</v>
      </c>
      <c r="BA409" s="661">
        <f>BA401/1000*BA406</f>
        <v>0</v>
      </c>
      <c r="BB409" s="428">
        <f>SUM(AX409:BA409)</f>
        <v>5.2462873500000011</v>
      </c>
      <c r="BC409" s="758">
        <f>BC401/1000*BC406</f>
        <v>5.4097224598031834</v>
      </c>
      <c r="BD409" s="660">
        <f>BD401/1000*BD406</f>
        <v>0</v>
      </c>
      <c r="BE409" s="660">
        <f>BE401/1000*BE406</f>
        <v>4.8042010331710454</v>
      </c>
      <c r="BF409" s="661">
        <f>BF401/1000*BF406</f>
        <v>0</v>
      </c>
      <c r="BG409" s="428">
        <f>SUM(BC409:BF409)</f>
        <v>10.213923492974228</v>
      </c>
      <c r="BH409" s="758">
        <f>BH401/1000*BH406</f>
        <v>5.4905889397694381</v>
      </c>
      <c r="BI409" s="660">
        <f>BI401/1000*BI406</f>
        <v>0</v>
      </c>
      <c r="BJ409" s="660">
        <f>BJ401/1000*BJ406</f>
        <v>4.8760159607370186</v>
      </c>
      <c r="BK409" s="661">
        <f>BK401/1000*BK406</f>
        <v>0</v>
      </c>
      <c r="BL409" s="428">
        <f>SUM(BH409:BK409)</f>
        <v>10.366604900506456</v>
      </c>
      <c r="BM409" s="758">
        <f>BM401/1000*BM406</f>
        <v>4.6886480058749997</v>
      </c>
      <c r="BN409" s="660">
        <f>BN401/1000*BN406</f>
        <v>4.6886480058749997</v>
      </c>
      <c r="BO409" s="660">
        <f>BO401/1000*BO406</f>
        <v>4.6886480058749997</v>
      </c>
      <c r="BP409" s="661">
        <f>BP401/1000*BP406</f>
        <v>4.6886480058749997</v>
      </c>
      <c r="BQ409" s="428">
        <f>SUM(BM409:BP409)</f>
        <v>18.754592023499999</v>
      </c>
      <c r="BR409" s="40"/>
      <c r="BS409" s="40"/>
      <c r="BT409" s="40"/>
      <c r="BU409" s="232"/>
      <c r="BV409" s="40"/>
      <c r="BW409" s="40"/>
      <c r="BX409" s="40"/>
      <c r="BY409" s="40"/>
      <c r="BZ409" s="40"/>
      <c r="CA409" s="40"/>
      <c r="CB409" s="40"/>
      <c r="CC409" s="40"/>
      <c r="CD409" s="40"/>
      <c r="CE409" s="40"/>
      <c r="CF409" s="40"/>
      <c r="CG409" s="40"/>
      <c r="CH409" s="40"/>
      <c r="CI409" s="40"/>
      <c r="CJ409" s="40"/>
      <c r="CK409" s="40"/>
      <c r="CL409" s="40"/>
      <c r="CM409" s="40"/>
      <c r="CN409" s="40"/>
      <c r="CO409" s="40"/>
      <c r="CP409" s="40"/>
      <c r="CQ409" s="40"/>
      <c r="CR409" s="40"/>
      <c r="CS409" s="40"/>
      <c r="CT409" s="823"/>
      <c r="CU409" s="232"/>
      <c r="CV409" s="232"/>
      <c r="CW409" s="232"/>
      <c r="CX409" s="232"/>
      <c r="CY409" s="232"/>
      <c r="CZ409" s="40"/>
      <c r="DA409" s="40"/>
      <c r="DB409" s="40"/>
      <c r="DC409" s="40"/>
      <c r="DD409" s="40"/>
      <c r="DE409" s="40"/>
      <c r="DF409" s="232"/>
      <c r="DG409" s="232"/>
      <c r="DH409" s="232"/>
      <c r="DI409" s="232"/>
      <c r="DJ409" s="232"/>
      <c r="DK409" s="232"/>
      <c r="DL409" s="232"/>
      <c r="DM409" s="232"/>
      <c r="DN409" s="232"/>
    </row>
    <row r="410" spans="1:118">
      <c r="A410" s="40"/>
      <c r="B410" s="32"/>
      <c r="C410" s="32" t="s">
        <v>199</v>
      </c>
      <c r="D410" s="32"/>
      <c r="E410" s="489"/>
      <c r="F410" s="342"/>
      <c r="G410" s="342"/>
      <c r="H410" s="490"/>
      <c r="I410" s="28"/>
      <c r="J410" s="489"/>
      <c r="K410" s="342"/>
      <c r="L410" s="342"/>
      <c r="M410" s="490"/>
      <c r="N410" s="32"/>
      <c r="O410" s="489"/>
      <c r="P410" s="342"/>
      <c r="Q410" s="342"/>
      <c r="R410" s="490"/>
      <c r="S410" s="32"/>
      <c r="T410" s="292"/>
      <c r="U410" s="261"/>
      <c r="V410" s="261"/>
      <c r="W410" s="293"/>
      <c r="X410" s="228"/>
      <c r="Y410" s="292">
        <f>Y408-Y409</f>
        <v>0</v>
      </c>
      <c r="Z410" s="261">
        <f>Z408-Z409</f>
        <v>0</v>
      </c>
      <c r="AA410" s="261">
        <f>AA408-AA409</f>
        <v>3.2740202044513111E-2</v>
      </c>
      <c r="AB410" s="293">
        <f>AB408-AB409</f>
        <v>0</v>
      </c>
      <c r="AC410" s="228">
        <f>AC408-AC409</f>
        <v>3.2740202044513111E-2</v>
      </c>
      <c r="AD410" s="292">
        <f t="shared" ref="AD410:BL410" si="621">AD408-AD409</f>
        <v>2.1827584929878068</v>
      </c>
      <c r="AE410" s="261">
        <f>AE408-AE409</f>
        <v>0</v>
      </c>
      <c r="AF410" s="261">
        <f t="shared" si="621"/>
        <v>0</v>
      </c>
      <c r="AG410" s="293">
        <f t="shared" si="621"/>
        <v>0</v>
      </c>
      <c r="AH410" s="228">
        <f t="shared" si="621"/>
        <v>2.1827584929878068</v>
      </c>
      <c r="AI410" s="292">
        <f t="shared" si="621"/>
        <v>1.0843579097276512</v>
      </c>
      <c r="AJ410" s="261">
        <f t="shared" si="621"/>
        <v>0</v>
      </c>
      <c r="AK410" s="261">
        <f t="shared" si="621"/>
        <v>0.34994527621240579</v>
      </c>
      <c r="AL410" s="293">
        <f t="shared" si="621"/>
        <v>0.87785176267210163</v>
      </c>
      <c r="AM410" s="228">
        <f t="shared" si="621"/>
        <v>2.3121549486121573</v>
      </c>
      <c r="AN410" s="292">
        <f t="shared" si="621"/>
        <v>0.62881758290304246</v>
      </c>
      <c r="AO410" s="261">
        <f t="shared" si="621"/>
        <v>0.81407790679458936</v>
      </c>
      <c r="AP410" s="261">
        <f t="shared" si="621"/>
        <v>0.73129950871582494</v>
      </c>
      <c r="AQ410" s="293">
        <f t="shared" si="621"/>
        <v>0</v>
      </c>
      <c r="AR410" s="228">
        <f t="shared" si="621"/>
        <v>2.1741949984134568</v>
      </c>
      <c r="AS410" s="292">
        <f t="shared" si="621"/>
        <v>0</v>
      </c>
      <c r="AT410" s="261">
        <f t="shared" si="621"/>
        <v>0</v>
      </c>
      <c r="AU410" s="261">
        <f t="shared" ref="AU410" si="622">AU408-AU409</f>
        <v>9.4227738098574321E-2</v>
      </c>
      <c r="AV410" s="293">
        <f t="shared" si="621"/>
        <v>0</v>
      </c>
      <c r="AW410" s="228">
        <f t="shared" si="621"/>
        <v>9.4227738098574321E-2</v>
      </c>
      <c r="AX410" s="292">
        <f t="shared" si="621"/>
        <v>0</v>
      </c>
      <c r="AY410" s="261">
        <f t="shared" si="621"/>
        <v>0</v>
      </c>
      <c r="AZ410" s="261">
        <f t="shared" si="621"/>
        <v>0.36098864999999947</v>
      </c>
      <c r="BA410" s="293">
        <f t="shared" si="621"/>
        <v>0</v>
      </c>
      <c r="BB410" s="228">
        <f t="shared" si="621"/>
        <v>0.36098864999999947</v>
      </c>
      <c r="BC410" s="292">
        <f t="shared" si="621"/>
        <v>8.8839170004774815E-2</v>
      </c>
      <c r="BD410" s="261">
        <f t="shared" si="621"/>
        <v>0</v>
      </c>
      <c r="BE410" s="261">
        <f t="shared" si="621"/>
        <v>0.440580829107315</v>
      </c>
      <c r="BF410" s="293">
        <f t="shared" si="621"/>
        <v>0</v>
      </c>
      <c r="BG410" s="228">
        <f t="shared" si="621"/>
        <v>0.52941999911208981</v>
      </c>
      <c r="BH410" s="292">
        <f t="shared" si="621"/>
        <v>8.5318657974831069E-3</v>
      </c>
      <c r="BI410" s="261">
        <f t="shared" si="621"/>
        <v>0</v>
      </c>
      <c r="BJ410" s="261">
        <f t="shared" si="621"/>
        <v>0.36929926918835232</v>
      </c>
      <c r="BK410" s="293">
        <f t="shared" si="621"/>
        <v>0</v>
      </c>
      <c r="BL410" s="228">
        <f t="shared" si="621"/>
        <v>0.37783113498583631</v>
      </c>
      <c r="BM410" s="292">
        <f t="shared" ref="BM410:BQ410" si="623">BM408-BM409</f>
        <v>1.2265419941250002</v>
      </c>
      <c r="BN410" s="261">
        <f t="shared" si="623"/>
        <v>1.2265419941250002</v>
      </c>
      <c r="BO410" s="261">
        <f t="shared" si="623"/>
        <v>1.2265419941250002</v>
      </c>
      <c r="BP410" s="293">
        <f t="shared" si="623"/>
        <v>1.2265419941250002</v>
      </c>
      <c r="BQ410" s="228">
        <f t="shared" si="623"/>
        <v>4.9061679765000008</v>
      </c>
      <c r="BR410" s="40"/>
      <c r="BS410" s="40"/>
      <c r="BT410" s="40"/>
      <c r="BU410" s="232"/>
      <c r="BV410" s="40"/>
      <c r="BW410" s="40"/>
      <c r="BX410" s="40"/>
      <c r="BY410" s="40"/>
      <c r="BZ410" s="40"/>
      <c r="CA410" s="40"/>
      <c r="CB410" s="40"/>
      <c r="CC410" s="40"/>
      <c r="CD410" s="40"/>
      <c r="CE410" s="40"/>
      <c r="CF410" s="40"/>
      <c r="CG410" s="40"/>
      <c r="CH410" s="40"/>
      <c r="CI410" s="40"/>
      <c r="CJ410" s="40"/>
      <c r="CK410" s="40"/>
      <c r="CL410" s="40"/>
      <c r="CM410" s="40"/>
      <c r="CN410" s="40"/>
      <c r="CO410" s="40"/>
      <c r="CP410" s="40"/>
      <c r="CQ410" s="40"/>
      <c r="CR410" s="40"/>
      <c r="CS410" s="40"/>
      <c r="CT410" s="823"/>
      <c r="CU410" s="232"/>
      <c r="CV410" s="232"/>
      <c r="CW410" s="232"/>
      <c r="CX410" s="232"/>
      <c r="CY410" s="232"/>
      <c r="CZ410" s="40"/>
      <c r="DA410" s="40"/>
      <c r="DB410" s="40"/>
      <c r="DC410" s="40"/>
      <c r="DD410" s="40"/>
      <c r="DE410" s="40"/>
      <c r="DF410" s="232"/>
      <c r="DG410" s="232"/>
      <c r="DH410" s="232"/>
      <c r="DI410" s="232"/>
      <c r="DJ410" s="232"/>
      <c r="DK410" s="232"/>
      <c r="DL410" s="232"/>
      <c r="DM410" s="232"/>
      <c r="DN410" s="232"/>
    </row>
    <row r="411" spans="1:118">
      <c r="A411" s="40"/>
      <c r="B411" s="32"/>
      <c r="C411" s="32"/>
      <c r="D411" s="32"/>
      <c r="E411" s="489"/>
      <c r="F411" s="342"/>
      <c r="G411" s="342"/>
      <c r="H411" s="490"/>
      <c r="I411" s="28"/>
      <c r="J411" s="489"/>
      <c r="K411" s="342"/>
      <c r="L411" s="342"/>
      <c r="M411" s="490"/>
      <c r="N411" s="32"/>
      <c r="O411" s="489"/>
      <c r="P411" s="342"/>
      <c r="Q411" s="342"/>
      <c r="R411" s="490"/>
      <c r="S411" s="32"/>
      <c r="T411" s="292"/>
      <c r="U411" s="261"/>
      <c r="V411" s="261"/>
      <c r="W411" s="293"/>
      <c r="X411" s="228"/>
      <c r="Y411" s="292"/>
      <c r="Z411" s="261"/>
      <c r="AA411" s="261"/>
      <c r="AB411" s="293"/>
      <c r="AC411" s="228"/>
      <c r="AD411" s="292"/>
      <c r="AE411" s="261"/>
      <c r="AF411" s="261"/>
      <c r="AG411" s="293"/>
      <c r="AH411" s="228"/>
      <c r="AI411" s="292"/>
      <c r="AJ411" s="261"/>
      <c r="AK411" s="261"/>
      <c r="AL411" s="293"/>
      <c r="AM411" s="228"/>
      <c r="AN411" s="292"/>
      <c r="AO411" s="261"/>
      <c r="AP411" s="261"/>
      <c r="AQ411" s="293"/>
      <c r="AR411" s="228"/>
      <c r="AS411" s="292"/>
      <c r="AT411" s="261"/>
      <c r="AU411" s="261"/>
      <c r="AV411" s="293"/>
      <c r="AW411" s="228"/>
      <c r="AX411" s="292"/>
      <c r="AY411" s="261"/>
      <c r="AZ411" s="261"/>
      <c r="BA411" s="293"/>
      <c r="BB411" s="228"/>
      <c r="BC411" s="292"/>
      <c r="BD411" s="261"/>
      <c r="BE411" s="261"/>
      <c r="BF411" s="293"/>
      <c r="BG411" s="228"/>
      <c r="BH411" s="292"/>
      <c r="BI411" s="261"/>
      <c r="BJ411" s="261"/>
      <c r="BK411" s="293"/>
      <c r="BL411" s="228"/>
      <c r="BM411" s="292"/>
      <c r="BN411" s="261"/>
      <c r="BO411" s="261"/>
      <c r="BP411" s="293"/>
      <c r="BQ411" s="228"/>
      <c r="BR411" s="40"/>
      <c r="BS411" s="40"/>
      <c r="BT411" s="40"/>
      <c r="BU411" s="232"/>
      <c r="BV411" s="40"/>
      <c r="BW411" s="40"/>
      <c r="BX411" s="40"/>
      <c r="BY411" s="40"/>
      <c r="BZ411" s="40"/>
      <c r="CA411" s="40"/>
      <c r="CB411" s="40"/>
      <c r="CC411" s="40"/>
      <c r="CD411" s="40"/>
      <c r="CE411" s="40"/>
      <c r="CF411" s="40"/>
      <c r="CG411" s="40"/>
      <c r="CH411" s="40"/>
      <c r="CI411" s="40"/>
      <c r="CJ411" s="40"/>
      <c r="CK411" s="40"/>
      <c r="CL411" s="40"/>
      <c r="CM411" s="40"/>
      <c r="CN411" s="40"/>
      <c r="CO411" s="40"/>
      <c r="CP411" s="40"/>
      <c r="CQ411" s="40"/>
      <c r="CR411" s="40"/>
      <c r="CS411" s="40"/>
      <c r="CT411" s="823"/>
      <c r="CU411" s="232"/>
      <c r="CV411" s="232"/>
      <c r="CW411" s="232"/>
      <c r="CX411" s="232"/>
      <c r="CY411" s="232"/>
      <c r="CZ411" s="40"/>
      <c r="DA411" s="40"/>
      <c r="DB411" s="40"/>
      <c r="DC411" s="40"/>
      <c r="DD411" s="40"/>
      <c r="DE411" s="40"/>
      <c r="DF411" s="232"/>
      <c r="DG411" s="232"/>
      <c r="DH411" s="232"/>
      <c r="DI411" s="232"/>
      <c r="DJ411" s="232"/>
      <c r="DK411" s="232"/>
      <c r="DL411" s="232"/>
      <c r="DM411" s="232"/>
      <c r="DN411" s="232"/>
    </row>
    <row r="412" spans="1:118">
      <c r="A412" s="40"/>
      <c r="B412" s="32"/>
      <c r="C412" s="429" t="s">
        <v>832</v>
      </c>
      <c r="D412" s="1"/>
      <c r="E412" s="273"/>
      <c r="F412" s="3"/>
      <c r="G412" s="3"/>
      <c r="H412" s="274"/>
      <c r="I412" s="440"/>
      <c r="J412" s="273"/>
      <c r="K412" s="3"/>
      <c r="L412" s="3"/>
      <c r="M412" s="274"/>
      <c r="N412" s="1"/>
      <c r="O412" s="273"/>
      <c r="P412" s="3"/>
      <c r="Q412" s="3"/>
      <c r="R412" s="274"/>
      <c r="S412" s="1"/>
      <c r="T412" s="273"/>
      <c r="U412" s="3"/>
      <c r="V412" s="3"/>
      <c r="W412" s="274"/>
      <c r="X412" s="1"/>
      <c r="Y412" s="273"/>
      <c r="Z412" s="3"/>
      <c r="AA412" s="3"/>
      <c r="AB412" s="274"/>
      <c r="AC412" s="1"/>
      <c r="AD412" s="273"/>
      <c r="AE412" s="3"/>
      <c r="AF412" s="3"/>
      <c r="AG412" s="274"/>
      <c r="AH412" s="1"/>
      <c r="AI412" s="273"/>
      <c r="AJ412" s="3"/>
      <c r="AK412" s="3"/>
      <c r="AL412" s="274"/>
      <c r="AM412" s="1"/>
      <c r="AN412" s="273"/>
      <c r="AO412" s="3"/>
      <c r="AP412" s="3"/>
      <c r="AQ412" s="274"/>
      <c r="AR412" s="1"/>
      <c r="AS412" s="273"/>
      <c r="AT412" s="3"/>
      <c r="AU412" s="3"/>
      <c r="AV412" s="274"/>
      <c r="AW412" s="1"/>
      <c r="AX412" s="273"/>
      <c r="AY412" s="3"/>
      <c r="AZ412" s="3"/>
      <c r="BA412" s="274"/>
      <c r="BB412" s="1"/>
      <c r="BC412" s="273"/>
      <c r="BD412" s="3"/>
      <c r="BE412" s="3"/>
      <c r="BF412" s="274"/>
      <c r="BG412" s="1"/>
      <c r="BH412" s="273"/>
      <c r="BI412" s="3"/>
      <c r="BJ412" s="3"/>
      <c r="BK412" s="274"/>
      <c r="BL412" s="1"/>
      <c r="BM412" s="273"/>
      <c r="BN412" s="3"/>
      <c r="BO412" s="3"/>
      <c r="BP412" s="274"/>
      <c r="BQ412" s="1"/>
      <c r="BR412" s="40"/>
      <c r="BS412" s="40"/>
      <c r="BT412" s="40"/>
      <c r="BU412" s="232"/>
      <c r="BV412" s="40"/>
      <c r="BW412" s="40"/>
      <c r="BX412" s="40"/>
      <c r="BY412" s="40"/>
      <c r="BZ412" s="40"/>
      <c r="CA412" s="40"/>
      <c r="CB412" s="40"/>
      <c r="CC412" s="40"/>
      <c r="CD412" s="40"/>
      <c r="CE412" s="40"/>
      <c r="CF412" s="40"/>
      <c r="CG412" s="40"/>
      <c r="CH412" s="40"/>
      <c r="CI412" s="40"/>
      <c r="CJ412" s="40"/>
      <c r="CK412" s="40"/>
      <c r="CL412" s="40"/>
      <c r="CM412" s="40"/>
      <c r="CN412" s="40"/>
      <c r="CO412" s="40"/>
      <c r="CP412" s="40"/>
      <c r="CQ412" s="40"/>
      <c r="CR412" s="40"/>
      <c r="CS412" s="40"/>
      <c r="CT412" s="823"/>
      <c r="CU412" s="232"/>
      <c r="CV412" s="232"/>
      <c r="CW412" s="232"/>
      <c r="CX412" s="232"/>
      <c r="CY412" s="232"/>
      <c r="CZ412" s="40"/>
      <c r="DA412" s="40"/>
      <c r="DB412" s="40"/>
      <c r="DC412" s="40"/>
      <c r="DD412" s="40"/>
      <c r="DE412" s="40"/>
      <c r="DF412" s="232"/>
      <c r="DG412" s="232"/>
      <c r="DH412" s="232"/>
      <c r="DI412" s="232"/>
      <c r="DJ412" s="232"/>
      <c r="DK412" s="232"/>
      <c r="DL412" s="232"/>
      <c r="DM412" s="232"/>
      <c r="DN412" s="232"/>
    </row>
    <row r="413" spans="1:118">
      <c r="A413" s="40"/>
      <c r="B413" s="32"/>
      <c r="C413" s="28" t="s">
        <v>200</v>
      </c>
      <c r="D413" s="1"/>
      <c r="E413" s="273"/>
      <c r="F413" s="3"/>
      <c r="G413" s="3"/>
      <c r="H413" s="274"/>
      <c r="I413" s="28"/>
      <c r="J413" s="273"/>
      <c r="K413" s="3"/>
      <c r="L413" s="3"/>
      <c r="M413" s="274"/>
      <c r="N413" s="1"/>
      <c r="O413" s="273"/>
      <c r="P413" s="3"/>
      <c r="Q413" s="3"/>
      <c r="R413" s="274"/>
      <c r="S413" s="1"/>
      <c r="T413" s="436"/>
      <c r="U413" s="437"/>
      <c r="V413" s="437"/>
      <c r="W413" s="438"/>
      <c r="X413" s="439"/>
      <c r="Y413" s="436">
        <f>Y$89</f>
        <v>32.511999999999993</v>
      </c>
      <c r="Z413" s="437">
        <f>Z$89</f>
        <v>38.131384615384611</v>
      </c>
      <c r="AA413" s="437">
        <f>AA$89</f>
        <v>42.04296875</v>
      </c>
      <c r="AB413" s="438">
        <f>AB$89</f>
        <v>37.624062500000001</v>
      </c>
      <c r="AC413" s="439">
        <f>AVERAGE(Y413:AB413)</f>
        <v>37.577603966346153</v>
      </c>
      <c r="AD413" s="436">
        <f>AD$89</f>
        <v>47.590967741935479</v>
      </c>
      <c r="AE413" s="437">
        <f>AE$89</f>
        <v>43.211212121212114</v>
      </c>
      <c r="AF413" s="437">
        <f>AF$89</f>
        <v>43.211212121212114</v>
      </c>
      <c r="AG413" s="438">
        <f>AG$89</f>
        <v>36.127031249999987</v>
      </c>
      <c r="AH413" s="439">
        <f>AVERAGE(AD413:AG413)</f>
        <v>42.535105808589925</v>
      </c>
      <c r="AI413" s="436">
        <f>AI$89</f>
        <v>25.419180327868862</v>
      </c>
      <c r="AJ413" s="437">
        <f>AJ$89</f>
        <v>26.83111111111111</v>
      </c>
      <c r="AK413" s="437">
        <f>AK$89</f>
        <v>33.160312500000018</v>
      </c>
      <c r="AL413" s="438">
        <f>AL$89</f>
        <v>23.980158730158735</v>
      </c>
      <c r="AM413" s="439">
        <f>AVERAGE(AI413:AL413)</f>
        <v>27.347690667284681</v>
      </c>
      <c r="AN413" s="436">
        <f>AN$89</f>
        <v>19.007377049180324</v>
      </c>
      <c r="AO413" s="437">
        <f>AO$89</f>
        <v>22.532187499999996</v>
      </c>
      <c r="AP413" s="437">
        <f>AP$89</f>
        <v>34.896093749999991</v>
      </c>
      <c r="AQ413" s="438">
        <f>AQ$89</f>
        <v>25.215322580645168</v>
      </c>
      <c r="AR413" s="439">
        <f>AVERAGE(AN413:AQ413)</f>
        <v>25.412745219956371</v>
      </c>
      <c r="AS413" s="436">
        <f>AS$89</f>
        <v>23.400322580645167</v>
      </c>
      <c r="AT413" s="437">
        <f>AT$89</f>
        <v>32.938906250000009</v>
      </c>
      <c r="AU413" s="437">
        <f t="shared" ref="AU413" si="624">AU$89</f>
        <v>44.240952380952379</v>
      </c>
      <c r="AV413" s="438">
        <f>AV$89</f>
        <v>26.38622950819672</v>
      </c>
      <c r="AW413" s="439">
        <f>AVERAGE(AS413:AV413)</f>
        <v>31.741602679948571</v>
      </c>
      <c r="AX413" s="436">
        <f>AX$89</f>
        <v>26.38622950819672</v>
      </c>
      <c r="AY413" s="437">
        <f>AY$89</f>
        <v>27.183333333333337</v>
      </c>
      <c r="AZ413" s="437">
        <f>AZ$89</f>
        <v>42.6</v>
      </c>
      <c r="BA413" s="438">
        <f>BA$89</f>
        <v>25.1</v>
      </c>
      <c r="BB413" s="439">
        <f>AVERAGE(AX413:BA413)</f>
        <v>30.317390710382512</v>
      </c>
      <c r="BC413" s="436">
        <f>BC$89</f>
        <v>25.992977359392917</v>
      </c>
      <c r="BD413" s="437">
        <f>BD$89</f>
        <v>25.589202953810119</v>
      </c>
      <c r="BE413" s="437">
        <f>BE$89</f>
        <v>40.377440558280256</v>
      </c>
      <c r="BF413" s="438">
        <f>BF$89</f>
        <v>30.457045794916702</v>
      </c>
      <c r="BG413" s="439">
        <f>AVERAGE(BC413:BF413)</f>
        <v>30.604166666600001</v>
      </c>
      <c r="BH413" s="436">
        <f>BH$89</f>
        <v>28.466645320489615</v>
      </c>
      <c r="BI413" s="437">
        <f>BI$89</f>
        <v>28.024445004831527</v>
      </c>
      <c r="BJ413" s="437">
        <f>BJ$89</f>
        <v>44.220031565809116</v>
      </c>
      <c r="BK413" s="438">
        <f>BK$89</f>
        <v>33.355544775269742</v>
      </c>
      <c r="BL413" s="439">
        <f>AVERAGE(BH413:BK413)</f>
        <v>33.516666666600003</v>
      </c>
      <c r="BM413" s="436">
        <f>BM$89</f>
        <v>26.167085900371887</v>
      </c>
      <c r="BN413" s="437">
        <f>BN$89</f>
        <v>37.280149688427869</v>
      </c>
      <c r="BO413" s="437">
        <f>BO$89</f>
        <v>51.580828765144588</v>
      </c>
      <c r="BP413" s="438">
        <f>BP$89</f>
        <v>28.292752679703028</v>
      </c>
      <c r="BQ413" s="439">
        <f>AVERAGE(BM413:BP413)</f>
        <v>35.83020425841184</v>
      </c>
      <c r="BR413" s="40"/>
      <c r="BS413" s="40"/>
      <c r="BT413" s="40"/>
      <c r="BU413" s="232"/>
      <c r="BV413" s="40"/>
      <c r="BW413" s="40"/>
      <c r="BX413" s="40"/>
      <c r="BY413" s="40"/>
      <c r="BZ413" s="40"/>
      <c r="CA413" s="40"/>
      <c r="CB413" s="40"/>
      <c r="CC413" s="40"/>
      <c r="CD413" s="40"/>
      <c r="CE413" s="40"/>
      <c r="CF413" s="40"/>
      <c r="CG413" s="40"/>
      <c r="CH413" s="40"/>
      <c r="CI413" s="40"/>
      <c r="CJ413" s="40"/>
      <c r="CK413" s="40"/>
      <c r="CL413" s="40"/>
      <c r="CM413" s="40"/>
      <c r="CN413" s="40"/>
      <c r="CO413" s="40"/>
      <c r="CP413" s="40"/>
      <c r="CQ413" s="40"/>
      <c r="CR413" s="40"/>
      <c r="CS413" s="40"/>
      <c r="CT413" s="823"/>
      <c r="CU413" s="232"/>
      <c r="CV413" s="232"/>
      <c r="CW413" s="232"/>
      <c r="CX413" s="232"/>
      <c r="CY413" s="232"/>
      <c r="CZ413" s="40"/>
      <c r="DA413" s="40"/>
      <c r="DB413" s="40"/>
      <c r="DC413" s="40"/>
      <c r="DD413" s="40"/>
      <c r="DE413" s="40"/>
      <c r="DF413" s="232"/>
      <c r="DG413" s="232"/>
      <c r="DH413" s="232"/>
      <c r="DI413" s="232"/>
      <c r="DJ413" s="232"/>
      <c r="DK413" s="232"/>
      <c r="DL413" s="232"/>
      <c r="DM413" s="232"/>
      <c r="DN413" s="232"/>
    </row>
    <row r="414" spans="1:118">
      <c r="A414" s="40"/>
      <c r="B414" s="32"/>
      <c r="C414" s="28" t="s">
        <v>195</v>
      </c>
      <c r="D414" s="1"/>
      <c r="E414" s="273"/>
      <c r="F414" s="3"/>
      <c r="G414" s="3"/>
      <c r="H414" s="274"/>
      <c r="I414" s="543">
        <v>11500</v>
      </c>
      <c r="J414" s="273"/>
      <c r="K414" s="3"/>
      <c r="L414" s="3"/>
      <c r="M414" s="274"/>
      <c r="N414" s="1"/>
      <c r="O414" s="273"/>
      <c r="P414" s="3"/>
      <c r="Q414" s="3"/>
      <c r="R414" s="274"/>
      <c r="S414" s="1"/>
      <c r="T414" s="436"/>
      <c r="U414" s="437"/>
      <c r="V414" s="437"/>
      <c r="W414" s="438"/>
      <c r="X414" s="439"/>
      <c r="Y414" s="436">
        <f>$I414/1000*(Y$51+Y$61)</f>
        <v>43.111583333333336</v>
      </c>
      <c r="Z414" s="437">
        <f>$I414/1000*(Z$51+Z$61)</f>
        <v>48.091562499999988</v>
      </c>
      <c r="AA414" s="437">
        <f>$I414/1000*(AA$51+AA$61)</f>
        <v>43.570085937500004</v>
      </c>
      <c r="AB414" s="438">
        <f>$I414/1000*(AB$51+AB$61)</f>
        <v>47.564179687500015</v>
      </c>
      <c r="AC414" s="439">
        <f>AVERAGE(Y414:AB414)</f>
        <v>45.584352864583337</v>
      </c>
      <c r="AD414" s="436">
        <f>$I414/1000*(AD$51+AD$61)</f>
        <v>63.023959016393455</v>
      </c>
      <c r="AE414" s="437">
        <f>$I414/1000*(AE$51+AE$61)</f>
        <v>51.481007812499989</v>
      </c>
      <c r="AF414" s="437">
        <f>$I414/1000*(AF$51+AF$61)</f>
        <v>51.481007812499989</v>
      </c>
      <c r="AG414" s="438">
        <f>$I414/1000*(AG$51+AG$61)</f>
        <v>46.321281249999998</v>
      </c>
      <c r="AH414" s="439">
        <f>AVERAGE(AD414:AG414)</f>
        <v>53.076813972848356</v>
      </c>
      <c r="AI414" s="436">
        <f>$I414/1000*(AI$51+AI$61)</f>
        <v>32.840661290322572</v>
      </c>
      <c r="AJ414" s="437">
        <f>$I414/1000*(AJ$51+AJ$61)</f>
        <v>32.306238095238101</v>
      </c>
      <c r="AK414" s="437">
        <f>$I414/1000*(AK$51+AK$61)</f>
        <v>34.820382812499986</v>
      </c>
      <c r="AL414" s="438">
        <f>$I414/1000*(AL$51+AL$61)</f>
        <v>28.660190476190472</v>
      </c>
      <c r="AM414" s="439">
        <f>AVERAGE(AI414:AL414)</f>
        <v>32.156868168562781</v>
      </c>
      <c r="AN414" s="436">
        <f>$I414/1000*(AN$51+AN$61)</f>
        <v>24.062336065573771</v>
      </c>
      <c r="AO414" s="437">
        <f>$I414/1000*(AO$51+AO$61)</f>
        <v>25.478789062500002</v>
      </c>
      <c r="AP414" s="437">
        <f>$I414/1000*(AP$51+AP$61)</f>
        <v>33.484226562499998</v>
      </c>
      <c r="AQ414" s="438">
        <f>$I414/1000*(AQ$51+AQ$61)</f>
        <v>35.430758064516127</v>
      </c>
      <c r="AR414" s="439">
        <f>AVERAGE(AN414:AQ414)</f>
        <v>29.614027438772474</v>
      </c>
      <c r="AS414" s="436">
        <f>$I414/1000*(AS$51+AS$61)</f>
        <v>36.415491935483871</v>
      </c>
      <c r="AT414" s="437">
        <f>$I414/1000*(AT$51+AT$61)</f>
        <v>36.624804687500003</v>
      </c>
      <c r="AU414" s="437">
        <f t="shared" ref="AU414" si="625">$I414/1000*(AU$51+AU$61)</f>
        <v>36.947492063492064</v>
      </c>
      <c r="AV414" s="438">
        <f>$I414/1000*(AV$51+AV$61)</f>
        <v>44.747631147540986</v>
      </c>
      <c r="AW414" s="439">
        <f>AVERAGE(AS414:AV414)</f>
        <v>38.683854958504227</v>
      </c>
      <c r="AX414" s="436">
        <f>$I414/1000*(AX$51+AX$61)</f>
        <v>44.747631147540986</v>
      </c>
      <c r="AY414" s="437">
        <f>$I414/1000*(AY$51+AY$61)</f>
        <v>23.168666666666667</v>
      </c>
      <c r="AZ414" s="437">
        <f>$I414/1000*(AZ$51+AZ$61)</f>
        <v>28.0945</v>
      </c>
      <c r="BA414" s="438">
        <f>$I414/1000*(BA$51+BA$61)</f>
        <v>27.676666666666662</v>
      </c>
      <c r="BB414" s="439">
        <f>AVERAGE(AX414:BA414)</f>
        <v>30.921866120218578</v>
      </c>
      <c r="BC414" s="436">
        <f>$I414/1000*(BC$51+BC$61)+BC$148</f>
        <v>29.848942179191493</v>
      </c>
      <c r="BD414" s="437">
        <f>$I414/1000*(BD$51+BD$61)+BD$148</f>
        <v>20.625637830555227</v>
      </c>
      <c r="BE414" s="437">
        <f>$I414/1000*(BE$51+BE$61)+BE$148</f>
        <v>23.522243799108619</v>
      </c>
      <c r="BF414" s="438">
        <f>$I414/1000*(BF$51+BF$61)+BF$148</f>
        <v>32.347509522944669</v>
      </c>
      <c r="BG414" s="439">
        <f>AVERAGE(BC414:BF414)</f>
        <v>26.586083332950004</v>
      </c>
      <c r="BH414" s="436">
        <f>$I414/1000*(BH$51+BH$61)+BH$148</f>
        <v>30.833434360517785</v>
      </c>
      <c r="BI414" s="437">
        <f>$I414/1000*(BI$51+BI$61)+BI$148</f>
        <v>21.305922547418831</v>
      </c>
      <c r="BJ414" s="437">
        <f>$I414/1000*(BJ$51+BJ$61)+BJ$148</f>
        <v>24.298065768559077</v>
      </c>
      <c r="BK414" s="438">
        <f>$I414/1000*(BK$51+BK$61)+BK$148</f>
        <v>33.414410655304309</v>
      </c>
      <c r="BL414" s="439">
        <f>AVERAGE(BH414:BK414)</f>
        <v>27.462958332949999</v>
      </c>
      <c r="BM414" s="436">
        <f>$I414/1000*(BM$51+BM$61)+BM$148</f>
        <v>27.791139582950006</v>
      </c>
      <c r="BN414" s="437">
        <f>$I414/1000*(BN$51+BN$61)+BN$148</f>
        <v>27.791139582950006</v>
      </c>
      <c r="BO414" s="437">
        <f>$I414/1000*(BO$51+BO$61)+BO$148</f>
        <v>27.791139582950006</v>
      </c>
      <c r="BP414" s="438">
        <f>$I414/1000*(BP$51+BP$61)+BP$148</f>
        <v>27.791139582950006</v>
      </c>
      <c r="BQ414" s="439">
        <f>AVERAGE(BM414:BP414)</f>
        <v>27.791139582950006</v>
      </c>
      <c r="BR414" s="40"/>
      <c r="BS414" s="40"/>
      <c r="BT414" s="40"/>
      <c r="BU414" s="232"/>
      <c r="BV414" s="40"/>
      <c r="BW414" s="40"/>
      <c r="BX414" s="40"/>
      <c r="BY414" s="40"/>
      <c r="BZ414" s="40"/>
      <c r="CA414" s="40"/>
      <c r="CB414" s="40"/>
      <c r="CC414" s="40"/>
      <c r="CD414" s="40"/>
      <c r="CE414" s="40"/>
      <c r="CF414" s="40"/>
      <c r="CG414" s="40"/>
      <c r="CH414" s="40"/>
      <c r="CI414" s="40"/>
      <c r="CJ414" s="40"/>
      <c r="CK414" s="40"/>
      <c r="CL414" s="40"/>
      <c r="CM414" s="40"/>
      <c r="CN414" s="40"/>
      <c r="CO414" s="40"/>
      <c r="CP414" s="40"/>
      <c r="CQ414" s="40"/>
      <c r="CR414" s="40"/>
      <c r="CS414" s="40"/>
      <c r="CT414" s="823"/>
      <c r="CU414" s="232"/>
      <c r="CV414" s="232"/>
      <c r="CW414" s="232"/>
      <c r="CX414" s="232"/>
      <c r="CY414" s="232"/>
      <c r="CZ414" s="40"/>
      <c r="DA414" s="40"/>
      <c r="DB414" s="40"/>
      <c r="DC414" s="40"/>
      <c r="DD414" s="40"/>
      <c r="DE414" s="40"/>
      <c r="DF414" s="232"/>
      <c r="DG414" s="232"/>
      <c r="DH414" s="232"/>
      <c r="DI414" s="232"/>
      <c r="DJ414" s="232"/>
      <c r="DK414" s="232"/>
      <c r="DL414" s="232"/>
      <c r="DM414" s="232"/>
      <c r="DN414" s="232"/>
    </row>
    <row r="415" spans="1:118">
      <c r="A415" s="40"/>
      <c r="B415" s="32"/>
      <c r="C415" s="1"/>
      <c r="D415" s="1"/>
      <c r="E415" s="273"/>
      <c r="F415" s="3"/>
      <c r="G415" s="3"/>
      <c r="H415" s="274"/>
      <c r="I415" s="28"/>
      <c r="J415" s="273"/>
      <c r="K415" s="3"/>
      <c r="L415" s="3"/>
      <c r="M415" s="274"/>
      <c r="N415" s="1"/>
      <c r="O415" s="273"/>
      <c r="P415" s="3"/>
      <c r="Q415" s="3"/>
      <c r="R415" s="274"/>
      <c r="S415" s="1"/>
      <c r="T415" s="273"/>
      <c r="U415" s="3"/>
      <c r="V415" s="3"/>
      <c r="W415" s="274"/>
      <c r="X415" s="1"/>
      <c r="Y415" s="273"/>
      <c r="Z415" s="3"/>
      <c r="AA415" s="3"/>
      <c r="AB415" s="274"/>
      <c r="AC415" s="1"/>
      <c r="AD415" s="273"/>
      <c r="AE415" s="3"/>
      <c r="AF415" s="3"/>
      <c r="AG415" s="274"/>
      <c r="AH415" s="1"/>
      <c r="AI415" s="273"/>
      <c r="AJ415" s="3"/>
      <c r="AK415" s="3"/>
      <c r="AL415" s="274"/>
      <c r="AM415" s="1"/>
      <c r="AN415" s="273"/>
      <c r="AO415" s="3"/>
      <c r="AP415" s="3"/>
      <c r="AQ415" s="274"/>
      <c r="AR415" s="1"/>
      <c r="AS415" s="273"/>
      <c r="AT415" s="3"/>
      <c r="AU415" s="3"/>
      <c r="AV415" s="274"/>
      <c r="AW415" s="1"/>
      <c r="AX415" s="273"/>
      <c r="AY415" s="3"/>
      <c r="AZ415" s="3"/>
      <c r="BA415" s="274"/>
      <c r="BB415" s="1"/>
      <c r="BC415" s="273"/>
      <c r="BD415" s="3"/>
      <c r="BE415" s="3"/>
      <c r="BF415" s="274"/>
      <c r="BG415" s="1"/>
      <c r="BH415" s="273"/>
      <c r="BI415" s="3"/>
      <c r="BJ415" s="3"/>
      <c r="BK415" s="274"/>
      <c r="BL415" s="1"/>
      <c r="BM415" s="273"/>
      <c r="BN415" s="3"/>
      <c r="BO415" s="3"/>
      <c r="BP415" s="274"/>
      <c r="BQ415" s="1"/>
      <c r="BR415" s="40"/>
      <c r="BS415" s="40"/>
      <c r="BT415" s="40"/>
      <c r="BU415" s="232"/>
      <c r="BV415" s="40"/>
      <c r="BW415" s="40"/>
      <c r="BX415" s="40"/>
      <c r="BY415" s="40"/>
      <c r="BZ415" s="40"/>
      <c r="CA415" s="40"/>
      <c r="CB415" s="40"/>
      <c r="CC415" s="40"/>
      <c r="CD415" s="40"/>
      <c r="CE415" s="40"/>
      <c r="CF415" s="40"/>
      <c r="CG415" s="40"/>
      <c r="CH415" s="40"/>
      <c r="CI415" s="40"/>
      <c r="CJ415" s="40"/>
      <c r="CK415" s="40"/>
      <c r="CL415" s="40"/>
      <c r="CM415" s="40"/>
      <c r="CN415" s="40"/>
      <c r="CO415" s="40"/>
      <c r="CP415" s="40"/>
      <c r="CQ415" s="40"/>
      <c r="CR415" s="40"/>
      <c r="CS415" s="40"/>
      <c r="CT415" s="823"/>
      <c r="CU415" s="232"/>
      <c r="CV415" s="232"/>
      <c r="CW415" s="232"/>
      <c r="CX415" s="232"/>
      <c r="CY415" s="232"/>
      <c r="CZ415" s="40"/>
      <c r="DA415" s="40"/>
      <c r="DB415" s="40"/>
      <c r="DC415" s="40"/>
      <c r="DD415" s="40"/>
      <c r="DE415" s="40"/>
      <c r="DF415" s="232"/>
      <c r="DG415" s="232"/>
      <c r="DH415" s="232"/>
      <c r="DI415" s="232"/>
      <c r="DJ415" s="232"/>
      <c r="DK415" s="232"/>
      <c r="DL415" s="232"/>
      <c r="DM415" s="232"/>
      <c r="DN415" s="232"/>
    </row>
    <row r="416" spans="1:118">
      <c r="A416" s="40"/>
      <c r="B416" s="32"/>
      <c r="C416" s="32" t="s">
        <v>196</v>
      </c>
      <c r="D416" s="32"/>
      <c r="E416" s="292"/>
      <c r="F416" s="261"/>
      <c r="G416" s="261"/>
      <c r="H416" s="293"/>
      <c r="I416" s="884">
        <v>200</v>
      </c>
      <c r="J416" s="292"/>
      <c r="K416" s="261"/>
      <c r="L416" s="261"/>
      <c r="M416" s="293"/>
      <c r="N416" s="228"/>
      <c r="O416" s="292"/>
      <c r="P416" s="261"/>
      <c r="Q416" s="261"/>
      <c r="R416" s="293"/>
      <c r="S416" s="228"/>
      <c r="T416" s="292"/>
      <c r="U416" s="261"/>
      <c r="V416" s="261"/>
      <c r="W416" s="293"/>
      <c r="X416" s="228"/>
      <c r="Y416" s="292">
        <f>+Z416</f>
        <v>200</v>
      </c>
      <c r="Z416" s="261">
        <f>+AA416</f>
        <v>200</v>
      </c>
      <c r="AA416" s="261">
        <f>+AB416</f>
        <v>200</v>
      </c>
      <c r="AB416" s="293">
        <f>+AC416</f>
        <v>200</v>
      </c>
      <c r="AC416" s="669">
        <f>+I416</f>
        <v>200</v>
      </c>
      <c r="AD416" s="292">
        <f t="shared" ref="AD416:BL416" si="626">AC416</f>
        <v>200</v>
      </c>
      <c r="AE416" s="261">
        <f>+AD416</f>
        <v>200</v>
      </c>
      <c r="AF416" s="261">
        <f t="shared" si="626"/>
        <v>200</v>
      </c>
      <c r="AG416" s="293">
        <f>AF416</f>
        <v>200</v>
      </c>
      <c r="AH416" s="228">
        <f t="shared" si="626"/>
        <v>200</v>
      </c>
      <c r="AI416" s="292">
        <f t="shared" si="626"/>
        <v>200</v>
      </c>
      <c r="AJ416" s="261">
        <f t="shared" si="626"/>
        <v>200</v>
      </c>
      <c r="AK416" s="261">
        <f t="shared" si="626"/>
        <v>200</v>
      </c>
      <c r="AL416" s="293">
        <f>AK416</f>
        <v>200</v>
      </c>
      <c r="AM416" s="228">
        <f t="shared" si="626"/>
        <v>200</v>
      </c>
      <c r="AN416" s="292">
        <f>AM416</f>
        <v>200</v>
      </c>
      <c r="AO416" s="261">
        <f>AN416</f>
        <v>200</v>
      </c>
      <c r="AP416" s="261">
        <f>AO416</f>
        <v>200</v>
      </c>
      <c r="AQ416" s="293">
        <f t="shared" si="626"/>
        <v>200</v>
      </c>
      <c r="AR416" s="228">
        <f t="shared" si="626"/>
        <v>200</v>
      </c>
      <c r="AS416" s="292">
        <f t="shared" si="626"/>
        <v>200</v>
      </c>
      <c r="AT416" s="261">
        <f t="shared" si="626"/>
        <v>200</v>
      </c>
      <c r="AU416" s="261">
        <f t="shared" ref="AU416" si="627">AT416</f>
        <v>200</v>
      </c>
      <c r="AV416" s="293">
        <f t="shared" si="626"/>
        <v>200</v>
      </c>
      <c r="AW416" s="228">
        <f t="shared" si="626"/>
        <v>200</v>
      </c>
      <c r="AX416" s="292">
        <f t="shared" si="626"/>
        <v>200</v>
      </c>
      <c r="AY416" s="261">
        <f t="shared" si="626"/>
        <v>200</v>
      </c>
      <c r="AZ416" s="261">
        <f t="shared" si="626"/>
        <v>200</v>
      </c>
      <c r="BA416" s="293">
        <f t="shared" si="626"/>
        <v>200</v>
      </c>
      <c r="BB416" s="228">
        <f t="shared" si="626"/>
        <v>200</v>
      </c>
      <c r="BC416" s="292">
        <f t="shared" si="626"/>
        <v>200</v>
      </c>
      <c r="BD416" s="261">
        <f t="shared" si="626"/>
        <v>200</v>
      </c>
      <c r="BE416" s="261">
        <f t="shared" si="626"/>
        <v>200</v>
      </c>
      <c r="BF416" s="293">
        <f t="shared" si="626"/>
        <v>200</v>
      </c>
      <c r="BG416" s="228">
        <f>BF416</f>
        <v>200</v>
      </c>
      <c r="BH416" s="292">
        <f>BG416</f>
        <v>200</v>
      </c>
      <c r="BI416" s="261">
        <f t="shared" si="626"/>
        <v>200</v>
      </c>
      <c r="BJ416" s="261">
        <f t="shared" si="626"/>
        <v>200</v>
      </c>
      <c r="BK416" s="293">
        <f t="shared" si="626"/>
        <v>200</v>
      </c>
      <c r="BL416" s="228">
        <f t="shared" si="626"/>
        <v>200</v>
      </c>
      <c r="BM416" s="292">
        <f t="shared" ref="BM416" si="628">BL416</f>
        <v>200</v>
      </c>
      <c r="BN416" s="261">
        <f t="shared" ref="BN416" si="629">BM416</f>
        <v>200</v>
      </c>
      <c r="BO416" s="261">
        <f t="shared" ref="BO416" si="630">BN416</f>
        <v>200</v>
      </c>
      <c r="BP416" s="293">
        <f t="shared" ref="BP416" si="631">BO416</f>
        <v>200</v>
      </c>
      <c r="BQ416" s="228">
        <f t="shared" ref="BQ416" si="632">BP416</f>
        <v>200</v>
      </c>
      <c r="BR416" s="40"/>
      <c r="BS416" s="40"/>
      <c r="BT416" s="40"/>
      <c r="BU416" s="232"/>
      <c r="BV416" s="40"/>
      <c r="BW416" s="40"/>
      <c r="BX416" s="40"/>
      <c r="BY416" s="40"/>
      <c r="BZ416" s="40"/>
      <c r="CA416" s="40"/>
      <c r="CB416" s="40"/>
      <c r="CC416" s="40"/>
      <c r="CD416" s="40"/>
      <c r="CE416" s="40"/>
      <c r="CF416" s="40"/>
      <c r="CG416" s="40"/>
      <c r="CH416" s="40"/>
      <c r="CI416" s="40"/>
      <c r="CJ416" s="40"/>
      <c r="CK416" s="40"/>
      <c r="CL416" s="40"/>
      <c r="CM416" s="40"/>
      <c r="CN416" s="40"/>
      <c r="CO416" s="40"/>
      <c r="CP416" s="40"/>
      <c r="CQ416" s="40"/>
      <c r="CR416" s="40"/>
      <c r="CS416" s="40"/>
      <c r="CT416" s="823"/>
      <c r="CU416" s="232"/>
      <c r="CV416" s="232"/>
      <c r="CW416" s="232"/>
      <c r="CX416" s="232"/>
      <c r="CY416" s="232"/>
      <c r="CZ416" s="40"/>
      <c r="DA416" s="40"/>
      <c r="DB416" s="40"/>
      <c r="DC416" s="40"/>
      <c r="DD416" s="40"/>
      <c r="DE416" s="40"/>
      <c r="DF416" s="232"/>
      <c r="DG416" s="232"/>
      <c r="DH416" s="232"/>
      <c r="DI416" s="232"/>
      <c r="DJ416" s="232"/>
      <c r="DK416" s="232"/>
      <c r="DL416" s="232"/>
      <c r="DM416" s="232"/>
      <c r="DN416" s="232"/>
    </row>
    <row r="417" spans="1:118">
      <c r="A417" s="40"/>
      <c r="B417" s="32"/>
      <c r="C417" s="1"/>
      <c r="D417" s="1"/>
      <c r="E417" s="273"/>
      <c r="F417" s="3"/>
      <c r="G417" s="3"/>
      <c r="H417" s="274"/>
      <c r="I417" s="28"/>
      <c r="J417" s="273"/>
      <c r="K417" s="3"/>
      <c r="L417" s="3"/>
      <c r="M417" s="274"/>
      <c r="N417" s="1"/>
      <c r="O417" s="273"/>
      <c r="P417" s="3"/>
      <c r="Q417" s="3"/>
      <c r="R417" s="274"/>
      <c r="S417" s="1"/>
      <c r="T417" s="273"/>
      <c r="U417" s="3"/>
      <c r="V417" s="3"/>
      <c r="W417" s="274"/>
      <c r="X417" s="1"/>
      <c r="Y417" s="273"/>
      <c r="Z417" s="3"/>
      <c r="AA417" s="3"/>
      <c r="AB417" s="274"/>
      <c r="AC417" s="1"/>
      <c r="AD417" s="273"/>
      <c r="AE417" s="3"/>
      <c r="AF417" s="3"/>
      <c r="AG417" s="274"/>
      <c r="AH417" s="1"/>
      <c r="AI417" s="273"/>
      <c r="AJ417" s="3"/>
      <c r="AK417" s="3"/>
      <c r="AL417" s="274"/>
      <c r="AM417" s="1"/>
      <c r="AN417" s="273"/>
      <c r="AO417" s="3"/>
      <c r="AP417" s="3"/>
      <c r="AQ417" s="274"/>
      <c r="AR417" s="1"/>
      <c r="AS417" s="273"/>
      <c r="AT417" s="3"/>
      <c r="AU417" s="3"/>
      <c r="AV417" s="274"/>
      <c r="AW417" s="1"/>
      <c r="AX417" s="273"/>
      <c r="AY417" s="3"/>
      <c r="AZ417" s="3"/>
      <c r="BA417" s="274"/>
      <c r="BB417" s="1"/>
      <c r="BC417" s="273"/>
      <c r="BD417" s="3"/>
      <c r="BE417" s="3"/>
      <c r="BF417" s="274"/>
      <c r="BG417" s="1"/>
      <c r="BH417" s="273"/>
      <c r="BI417" s="3"/>
      <c r="BJ417" s="3"/>
      <c r="BK417" s="274"/>
      <c r="BL417" s="1"/>
      <c r="BM417" s="273"/>
      <c r="BN417" s="3"/>
      <c r="BO417" s="3"/>
      <c r="BP417" s="274"/>
      <c r="BQ417" s="1"/>
      <c r="BR417" s="40"/>
      <c r="BS417" s="40"/>
      <c r="BT417" s="40"/>
      <c r="BU417" s="232"/>
      <c r="BV417" s="40"/>
      <c r="BW417" s="40"/>
      <c r="BX417" s="40"/>
      <c r="BY417" s="40"/>
      <c r="BZ417" s="40"/>
      <c r="CA417" s="40"/>
      <c r="CB417" s="40"/>
      <c r="CC417" s="40"/>
      <c r="CD417" s="40"/>
      <c r="CE417" s="40"/>
      <c r="CF417" s="40"/>
      <c r="CG417" s="40"/>
      <c r="CH417" s="40"/>
      <c r="CI417" s="40"/>
      <c r="CJ417" s="40"/>
      <c r="CK417" s="40"/>
      <c r="CL417" s="40"/>
      <c r="CM417" s="40"/>
      <c r="CN417" s="40"/>
      <c r="CO417" s="40"/>
      <c r="CP417" s="40"/>
      <c r="CQ417" s="40"/>
      <c r="CR417" s="40"/>
      <c r="CS417" s="40"/>
      <c r="CT417" s="823"/>
      <c r="CU417" s="232"/>
      <c r="CV417" s="232"/>
      <c r="CW417" s="232"/>
      <c r="CX417" s="232"/>
      <c r="CY417" s="232"/>
      <c r="CZ417" s="40"/>
      <c r="DA417" s="40"/>
      <c r="DB417" s="40"/>
      <c r="DC417" s="40"/>
      <c r="DD417" s="40"/>
      <c r="DE417" s="40"/>
      <c r="DF417" s="232"/>
      <c r="DG417" s="232"/>
      <c r="DH417" s="232"/>
      <c r="DI417" s="232"/>
      <c r="DJ417" s="232"/>
      <c r="DK417" s="232"/>
      <c r="DL417" s="232"/>
      <c r="DM417" s="232"/>
      <c r="DN417" s="232"/>
    </row>
    <row r="418" spans="1:118">
      <c r="A418" s="40"/>
      <c r="B418" s="32"/>
      <c r="C418" s="28" t="s">
        <v>197</v>
      </c>
      <c r="D418" s="1"/>
      <c r="E418" s="273"/>
      <c r="F418" s="3"/>
      <c r="G418" s="3"/>
      <c r="H418" s="274"/>
      <c r="I418" s="544">
        <v>0.25</v>
      </c>
      <c r="J418" s="273"/>
      <c r="K418" s="3"/>
      <c r="L418" s="3"/>
      <c r="M418" s="274"/>
      <c r="N418" s="1"/>
      <c r="O418" s="273"/>
      <c r="P418" s="3"/>
      <c r="Q418" s="3"/>
      <c r="R418" s="274"/>
      <c r="S418" s="1"/>
      <c r="T418" s="277"/>
      <c r="U418" s="253"/>
      <c r="V418" s="253"/>
      <c r="W418" s="278"/>
      <c r="X418" s="224"/>
      <c r="Y418" s="277">
        <f>IF(Y413&gt;Y414,$I418,0%)</f>
        <v>0</v>
      </c>
      <c r="Z418" s="253">
        <f>IF(Z413&gt;Z414,$I418,0%)</f>
        <v>0</v>
      </c>
      <c r="AA418" s="253">
        <f>IF(AA413&gt;AA414,$I418,0%)</f>
        <v>0</v>
      </c>
      <c r="AB418" s="278">
        <f>IF(AB413&gt;AB414,$I418,0%)</f>
        <v>0</v>
      </c>
      <c r="AC418" s="224">
        <f>AVERAGE(Y418:AB418)</f>
        <v>0</v>
      </c>
      <c r="AD418" s="277">
        <f>IF(AD413&gt;AD414,$I418,0%)</f>
        <v>0</v>
      </c>
      <c r="AE418" s="253">
        <f>IF(AE413&gt;AE414,$I418,0%)</f>
        <v>0</v>
      </c>
      <c r="AF418" s="253">
        <f>IF(AF413&gt;AF414,$I418,0%)</f>
        <v>0</v>
      </c>
      <c r="AG418" s="278">
        <f>IF(AG413&gt;AG414,$I418,0%)</f>
        <v>0</v>
      </c>
      <c r="AH418" s="224">
        <f>AVERAGE(AD418:AG418)</f>
        <v>0</v>
      </c>
      <c r="AI418" s="277">
        <f>IF(AI413&gt;AI414,$I418,0%)</f>
        <v>0</v>
      </c>
      <c r="AJ418" s="253">
        <f>IF(AJ413&gt;AJ414,$I418,0%)</f>
        <v>0</v>
      </c>
      <c r="AK418" s="253">
        <f>IF(AK413&gt;AK414,$I418,0%)</f>
        <v>0</v>
      </c>
      <c r="AL418" s="278">
        <f>IF(AL413&gt;AL414,$I418,0%)</f>
        <v>0</v>
      </c>
      <c r="AM418" s="224">
        <f>AVERAGE(AI418:AL418)</f>
        <v>0</v>
      </c>
      <c r="AN418" s="277">
        <f>IF(AN413&gt;AN414,$I418,0%)</f>
        <v>0</v>
      </c>
      <c r="AO418" s="253">
        <f>IF(AO413&gt;AO414,$I418,0%)</f>
        <v>0</v>
      </c>
      <c r="AP418" s="253">
        <f>IF(AP413&gt;AP414,$I418,0%)</f>
        <v>0.25</v>
      </c>
      <c r="AQ418" s="278">
        <f>IF(AQ413&gt;AQ414,$I418,0%)</f>
        <v>0</v>
      </c>
      <c r="AR418" s="224">
        <f>AVERAGE(AN418:AQ418)</f>
        <v>6.25E-2</v>
      </c>
      <c r="AS418" s="277">
        <f>IF(AS413&gt;AS414,$I418,0%)</f>
        <v>0</v>
      </c>
      <c r="AT418" s="253">
        <f>IF(AT413&gt;AT414,$I418,0%)</f>
        <v>0</v>
      </c>
      <c r="AU418" s="253">
        <f t="shared" ref="AU418" si="633">IF(AU413&gt;AU414,$I418,0%)</f>
        <v>0.25</v>
      </c>
      <c r="AV418" s="278">
        <f>IF(AV413&gt;AV414,$I418,0%)</f>
        <v>0</v>
      </c>
      <c r="AW418" s="224">
        <f>AVERAGE(AS418:AV418)</f>
        <v>6.25E-2</v>
      </c>
      <c r="AX418" s="277">
        <f>IF(AX413&gt;AX414,$I418,0%)</f>
        <v>0</v>
      </c>
      <c r="AY418" s="253">
        <f>IF(AY413&gt;AY414,$I418,0%)</f>
        <v>0.25</v>
      </c>
      <c r="AZ418" s="253">
        <f>IF(AZ413&gt;AZ414,$I418,0%)</f>
        <v>0.25</v>
      </c>
      <c r="BA418" s="278">
        <f>IF(BA413&gt;BA414,$I418,0%)</f>
        <v>0</v>
      </c>
      <c r="BB418" s="224">
        <f>AVERAGE(AX418:BA418)</f>
        <v>0.125</v>
      </c>
      <c r="BC418" s="277">
        <f>IF(BC413&gt;BC414,$I418,0%)</f>
        <v>0</v>
      </c>
      <c r="BD418" s="253">
        <f>IF(BD413&gt;BD414,$I418,0%)</f>
        <v>0.25</v>
      </c>
      <c r="BE418" s="253">
        <f>IF(BE413&gt;BE414,$I418,0%)</f>
        <v>0.25</v>
      </c>
      <c r="BF418" s="278">
        <f>IF(BF413&gt;BF414,$I418,0%)</f>
        <v>0</v>
      </c>
      <c r="BG418" s="224">
        <f>AVERAGE(BC418:BF418)</f>
        <v>0.125</v>
      </c>
      <c r="BH418" s="277">
        <f>IF(BH413&gt;BH414,$I418,0%)</f>
        <v>0</v>
      </c>
      <c r="BI418" s="253">
        <f>IF(BI413&gt;BI414,$I418,0%)</f>
        <v>0.25</v>
      </c>
      <c r="BJ418" s="253">
        <f>IF(BJ413&gt;BJ414,$I418,0%)</f>
        <v>0.25</v>
      </c>
      <c r="BK418" s="278">
        <f>IF(BK413&gt;BK414,$I418,0%)</f>
        <v>0</v>
      </c>
      <c r="BL418" s="224">
        <f>AVERAGE(BH418:BK418)</f>
        <v>0.125</v>
      </c>
      <c r="BM418" s="277">
        <f>IF(BM413&gt;BM414,$I418,0%)</f>
        <v>0</v>
      </c>
      <c r="BN418" s="253">
        <f>IF(BN413&gt;BN414,$I418,0%)</f>
        <v>0.25</v>
      </c>
      <c r="BO418" s="253">
        <f>IF(BO413&gt;BO414,$I418,0%)</f>
        <v>0.25</v>
      </c>
      <c r="BP418" s="278">
        <f>IF(BP413&gt;BP414,$I418,0%)</f>
        <v>0.25</v>
      </c>
      <c r="BQ418" s="224">
        <f>AVERAGE(BM418:BP418)</f>
        <v>0.1875</v>
      </c>
      <c r="BR418" s="40"/>
      <c r="BS418" s="40"/>
      <c r="BT418" s="40"/>
      <c r="BU418" s="232"/>
      <c r="BV418" s="40"/>
      <c r="BW418" s="40"/>
      <c r="BX418" s="40"/>
      <c r="BY418" s="40"/>
      <c r="BZ418" s="40"/>
      <c r="CA418" s="40"/>
      <c r="CB418" s="40"/>
      <c r="CC418" s="40"/>
      <c r="CD418" s="40"/>
      <c r="CE418" s="40"/>
      <c r="CF418" s="40"/>
      <c r="CG418" s="40"/>
      <c r="CH418" s="40"/>
      <c r="CI418" s="40"/>
      <c r="CJ418" s="40"/>
      <c r="CK418" s="40"/>
      <c r="CL418" s="40"/>
      <c r="CM418" s="40"/>
      <c r="CN418" s="40"/>
      <c r="CO418" s="40"/>
      <c r="CP418" s="40"/>
      <c r="CQ418" s="40"/>
      <c r="CR418" s="40"/>
      <c r="CS418" s="40"/>
      <c r="CT418" s="823"/>
      <c r="CU418" s="232"/>
      <c r="CV418" s="232"/>
      <c r="CW418" s="232"/>
      <c r="CX418" s="232"/>
      <c r="CY418" s="232"/>
      <c r="CZ418" s="40"/>
      <c r="DA418" s="40"/>
      <c r="DB418" s="40"/>
      <c r="DC418" s="40"/>
      <c r="DD418" s="40"/>
      <c r="DE418" s="40"/>
      <c r="DF418" s="232"/>
      <c r="DG418" s="232"/>
      <c r="DH418" s="232"/>
      <c r="DI418" s="232"/>
      <c r="DJ418" s="232"/>
      <c r="DK418" s="232"/>
      <c r="DL418" s="232"/>
      <c r="DM418" s="232"/>
      <c r="DN418" s="232"/>
    </row>
    <row r="419" spans="1:118">
      <c r="A419" s="40"/>
      <c r="B419" s="32"/>
      <c r="C419" s="32" t="s">
        <v>198</v>
      </c>
      <c r="D419" s="32"/>
      <c r="E419" s="489"/>
      <c r="F419" s="342"/>
      <c r="G419" s="342"/>
      <c r="H419" s="490"/>
      <c r="I419" s="32"/>
      <c r="J419" s="489"/>
      <c r="K419" s="342"/>
      <c r="L419" s="342"/>
      <c r="M419" s="490"/>
      <c r="N419" s="32"/>
      <c r="O419" s="489"/>
      <c r="P419" s="342"/>
      <c r="Q419" s="342"/>
      <c r="R419" s="490"/>
      <c r="S419" s="32"/>
      <c r="T419" s="301"/>
      <c r="U419" s="265"/>
      <c r="V419" s="265"/>
      <c r="W419" s="302"/>
      <c r="X419" s="445"/>
      <c r="Y419" s="301">
        <f>(Y416*Y418*(8760/1000))/4</f>
        <v>0</v>
      </c>
      <c r="Z419" s="265">
        <f>(Z416*Z418*(8760/1000))/4</f>
        <v>0</v>
      </c>
      <c r="AA419" s="265">
        <f>(AA416*AA418*(8760/1000))/4</f>
        <v>0</v>
      </c>
      <c r="AB419" s="302">
        <f>(AB416*AB418*(8760/1000))/4</f>
        <v>0</v>
      </c>
      <c r="AC419" s="445">
        <f>SUM(Y419:AB419)</f>
        <v>0</v>
      </c>
      <c r="AD419" s="301">
        <f>(AD416*AD418*(8760/1000))/4</f>
        <v>0</v>
      </c>
      <c r="AE419" s="265">
        <f>(AE416*AE418*(8760/1000))/4</f>
        <v>0</v>
      </c>
      <c r="AF419" s="265">
        <f>(AF416*AF418*(8760/1000))/4</f>
        <v>0</v>
      </c>
      <c r="AG419" s="302">
        <f>(AG416*AG418*(8760/1000))/4</f>
        <v>0</v>
      </c>
      <c r="AH419" s="445">
        <f>SUM(AD419:AG419)</f>
        <v>0</v>
      </c>
      <c r="AI419" s="301">
        <f>(AI416*AI418*(8760/1000))/4</f>
        <v>0</v>
      </c>
      <c r="AJ419" s="265">
        <f>(AJ416*AJ418*(8760/1000))/4</f>
        <v>0</v>
      </c>
      <c r="AK419" s="265">
        <f>(AK416*AK418*(8760/1000))/4</f>
        <v>0</v>
      </c>
      <c r="AL419" s="302">
        <f>(AL416*AL418*(8760/1000))/4</f>
        <v>0</v>
      </c>
      <c r="AM419" s="445">
        <f>SUM(AI419:AL419)</f>
        <v>0</v>
      </c>
      <c r="AN419" s="301">
        <f>(AN416*AN418*(8760/1000))/4</f>
        <v>0</v>
      </c>
      <c r="AO419" s="265">
        <f>(AO416*AO418*(8760/1000))/4</f>
        <v>0</v>
      </c>
      <c r="AP419" s="265">
        <f>(AP416*AP418*(8760/1000))/4</f>
        <v>109.5</v>
      </c>
      <c r="AQ419" s="302">
        <f>(AQ416*AQ418*(8760/1000))/4</f>
        <v>0</v>
      </c>
      <c r="AR419" s="445">
        <f>SUM(AN419:AQ419)</f>
        <v>109.5</v>
      </c>
      <c r="AS419" s="301">
        <f>(AS416*AS418*(8760/1000))/4</f>
        <v>0</v>
      </c>
      <c r="AT419" s="265">
        <f>(AT416*AT418*(8760/1000))/4</f>
        <v>0</v>
      </c>
      <c r="AU419" s="265">
        <f t="shared" ref="AU419" si="634">(AU416*AU418*(8760/1000))/4</f>
        <v>109.5</v>
      </c>
      <c r="AV419" s="302">
        <f>(AV416*AV418*(8760/1000))/4</f>
        <v>0</v>
      </c>
      <c r="AW419" s="445">
        <f>SUM(AS419:AV419)</f>
        <v>109.5</v>
      </c>
      <c r="AX419" s="301">
        <f>(AX416*AX418*(8760/1000))/4</f>
        <v>0</v>
      </c>
      <c r="AY419" s="265">
        <f>(AY416*AY418*(8760/1000))/4</f>
        <v>109.5</v>
      </c>
      <c r="AZ419" s="265">
        <f>(AZ416*AZ418*(8760/1000))/4</f>
        <v>109.5</v>
      </c>
      <c r="BA419" s="302">
        <f>(BA416*BA418*(8760/1000))/4</f>
        <v>0</v>
      </c>
      <c r="BB419" s="445">
        <f>SUM(AX419:BA419)</f>
        <v>219</v>
      </c>
      <c r="BC419" s="301">
        <f>(BC416*BC418*(8760/1000))/4</f>
        <v>0</v>
      </c>
      <c r="BD419" s="265">
        <f>(BD416*BD418*(8760/1000))/4</f>
        <v>109.5</v>
      </c>
      <c r="BE419" s="265">
        <f>(BE416*BE418*(8760/1000))/4</f>
        <v>109.5</v>
      </c>
      <c r="BF419" s="302">
        <f>(BF416*BF418*(8760/1000))/4</f>
        <v>0</v>
      </c>
      <c r="BG419" s="445">
        <f>SUM(BC419:BF419)</f>
        <v>219</v>
      </c>
      <c r="BH419" s="301">
        <f>(BH416*BH418*(8760/1000))/4</f>
        <v>0</v>
      </c>
      <c r="BI419" s="265">
        <f>(BI416*BI418*(8760/1000))/4</f>
        <v>109.5</v>
      </c>
      <c r="BJ419" s="265">
        <f>(BJ416*BJ418*(8760/1000))/4</f>
        <v>109.5</v>
      </c>
      <c r="BK419" s="302">
        <f>(BK416*BK418*(8760/1000))/4</f>
        <v>0</v>
      </c>
      <c r="BL419" s="445">
        <f>SUM(BH419:BK419)</f>
        <v>219</v>
      </c>
      <c r="BM419" s="301">
        <f>(BM416*BM418*(8760/1000))/4</f>
        <v>0</v>
      </c>
      <c r="BN419" s="265">
        <f>(BN416*BN418*(8760/1000))/4</f>
        <v>109.5</v>
      </c>
      <c r="BO419" s="265">
        <f>(BO416*BO418*(8760/1000))/4</f>
        <v>109.5</v>
      </c>
      <c r="BP419" s="302">
        <f>(BP416*BP418*(8760/1000))/4</f>
        <v>109.5</v>
      </c>
      <c r="BQ419" s="445">
        <f>SUM(BM419:BP419)</f>
        <v>328.5</v>
      </c>
      <c r="BR419" s="40"/>
      <c r="BS419" s="40"/>
      <c r="BT419" s="40"/>
      <c r="BU419" s="232"/>
      <c r="BV419" s="40"/>
      <c r="BW419" s="40"/>
      <c r="BX419" s="40"/>
      <c r="BY419" s="40"/>
      <c r="BZ419" s="40"/>
      <c r="CA419" s="40"/>
      <c r="CB419" s="40"/>
      <c r="CC419" s="40"/>
      <c r="CD419" s="40"/>
      <c r="CE419" s="40"/>
      <c r="CF419" s="40"/>
      <c r="CG419" s="40"/>
      <c r="CH419" s="40"/>
      <c r="CI419" s="40"/>
      <c r="CJ419" s="40"/>
      <c r="CK419" s="40"/>
      <c r="CL419" s="40"/>
      <c r="CM419" s="40"/>
      <c r="CN419" s="40"/>
      <c r="CO419" s="40"/>
      <c r="CP419" s="40"/>
      <c r="CQ419" s="40"/>
      <c r="CR419" s="40"/>
      <c r="CS419" s="40"/>
      <c r="CT419" s="823"/>
      <c r="CU419" s="232"/>
      <c r="CV419" s="232"/>
      <c r="CW419" s="232"/>
      <c r="CX419" s="232"/>
      <c r="CY419" s="232"/>
      <c r="CZ419" s="40"/>
      <c r="DA419" s="40"/>
      <c r="DB419" s="40"/>
      <c r="DC419" s="40"/>
      <c r="DD419" s="40"/>
      <c r="DE419" s="40"/>
      <c r="DF419" s="232"/>
      <c r="DG419" s="232"/>
      <c r="DH419" s="232"/>
      <c r="DI419" s="232"/>
      <c r="DJ419" s="232"/>
      <c r="DK419" s="232"/>
      <c r="DL419" s="232"/>
      <c r="DM419" s="232"/>
      <c r="DN419" s="232"/>
    </row>
    <row r="420" spans="1:118">
      <c r="A420" s="40"/>
      <c r="B420" s="32"/>
      <c r="C420" s="1"/>
      <c r="D420" s="1"/>
      <c r="E420" s="273"/>
      <c r="F420" s="3"/>
      <c r="G420" s="3"/>
      <c r="H420" s="274"/>
      <c r="I420" s="28"/>
      <c r="J420" s="273"/>
      <c r="K420" s="3"/>
      <c r="L420" s="3"/>
      <c r="M420" s="274"/>
      <c r="N420" s="1"/>
      <c r="O420" s="273"/>
      <c r="P420" s="3"/>
      <c r="Q420" s="3"/>
      <c r="R420" s="274"/>
      <c r="S420" s="1"/>
      <c r="T420" s="273"/>
      <c r="U420" s="3"/>
      <c r="V420" s="3"/>
      <c r="W420" s="274"/>
      <c r="X420" s="1"/>
      <c r="Y420" s="273"/>
      <c r="Z420" s="3"/>
      <c r="AA420" s="3"/>
      <c r="AB420" s="274"/>
      <c r="AC420" s="1"/>
      <c r="AD420" s="273"/>
      <c r="AE420" s="3"/>
      <c r="AF420" s="3"/>
      <c r="AG420" s="274"/>
      <c r="AH420" s="1"/>
      <c r="AI420" s="273"/>
      <c r="AJ420" s="3"/>
      <c r="AK420" s="3"/>
      <c r="AL420" s="274"/>
      <c r="AM420" s="1"/>
      <c r="AN420" s="273"/>
      <c r="AO420" s="3"/>
      <c r="AP420" s="3"/>
      <c r="AQ420" s="274"/>
      <c r="AR420" s="1"/>
      <c r="AS420" s="273"/>
      <c r="AT420" s="3"/>
      <c r="AU420" s="3"/>
      <c r="AV420" s="274"/>
      <c r="AW420" s="1"/>
      <c r="AX420" s="273"/>
      <c r="AY420" s="3"/>
      <c r="AZ420" s="3"/>
      <c r="BA420" s="274"/>
      <c r="BB420" s="1"/>
      <c r="BC420" s="273"/>
      <c r="BD420" s="3"/>
      <c r="BE420" s="3"/>
      <c r="BF420" s="274"/>
      <c r="BG420" s="1"/>
      <c r="BH420" s="273"/>
      <c r="BI420" s="3"/>
      <c r="BJ420" s="3"/>
      <c r="BK420" s="274"/>
      <c r="BL420" s="1"/>
      <c r="BM420" s="273"/>
      <c r="BN420" s="3"/>
      <c r="BO420" s="3"/>
      <c r="BP420" s="274"/>
      <c r="BQ420" s="1"/>
      <c r="BR420" s="40"/>
      <c r="BS420" s="40"/>
      <c r="BT420" s="40"/>
      <c r="BU420" s="232"/>
      <c r="BV420" s="40"/>
      <c r="BW420" s="40"/>
      <c r="BX420" s="40"/>
      <c r="BY420" s="40"/>
      <c r="BZ420" s="40"/>
      <c r="CA420" s="40"/>
      <c r="CB420" s="40"/>
      <c r="CC420" s="40"/>
      <c r="CD420" s="40"/>
      <c r="CE420" s="40"/>
      <c r="CF420" s="40"/>
      <c r="CG420" s="40"/>
      <c r="CH420" s="40"/>
      <c r="CI420" s="40"/>
      <c r="CJ420" s="40"/>
      <c r="CK420" s="40"/>
      <c r="CL420" s="40"/>
      <c r="CM420" s="40"/>
      <c r="CN420" s="40"/>
      <c r="CO420" s="40"/>
      <c r="CP420" s="40"/>
      <c r="CQ420" s="40"/>
      <c r="CR420" s="40"/>
      <c r="CS420" s="40"/>
      <c r="CT420" s="823"/>
      <c r="CU420" s="232"/>
      <c r="CV420" s="232"/>
      <c r="CW420" s="232"/>
      <c r="CX420" s="232"/>
      <c r="CY420" s="232"/>
      <c r="CZ420" s="40"/>
      <c r="DA420" s="40"/>
      <c r="DB420" s="40"/>
      <c r="DC420" s="40"/>
      <c r="DD420" s="40"/>
      <c r="DE420" s="40"/>
      <c r="DF420" s="232"/>
      <c r="DG420" s="232"/>
      <c r="DH420" s="232"/>
      <c r="DI420" s="232"/>
      <c r="DJ420" s="232"/>
      <c r="DK420" s="232"/>
      <c r="DL420" s="232"/>
      <c r="DM420" s="232"/>
      <c r="DN420" s="232"/>
    </row>
    <row r="421" spans="1:118">
      <c r="A421" s="40"/>
      <c r="B421" s="32"/>
      <c r="C421" s="28" t="s">
        <v>797</v>
      </c>
      <c r="D421" s="1"/>
      <c r="E421" s="273"/>
      <c r="F421" s="3"/>
      <c r="G421" s="3"/>
      <c r="H421" s="274"/>
      <c r="I421" s="28"/>
      <c r="J421" s="273"/>
      <c r="K421" s="3"/>
      <c r="L421" s="3"/>
      <c r="M421" s="274"/>
      <c r="N421" s="1"/>
      <c r="O421" s="273"/>
      <c r="P421" s="3"/>
      <c r="Q421" s="3"/>
      <c r="R421" s="274"/>
      <c r="S421" s="1"/>
      <c r="T421" s="758"/>
      <c r="U421" s="660"/>
      <c r="V421" s="660"/>
      <c r="W421" s="661"/>
      <c r="X421" s="428"/>
      <c r="Y421" s="758">
        <f>(Y413/1000*Y419)</f>
        <v>0</v>
      </c>
      <c r="Z421" s="660">
        <f>(Z413/1000*Z419)</f>
        <v>0</v>
      </c>
      <c r="AA421" s="660">
        <f>(AA413/1000*AA419)</f>
        <v>0</v>
      </c>
      <c r="AB421" s="661">
        <f>(AB413/1000*AB419)</f>
        <v>0</v>
      </c>
      <c r="AC421" s="428">
        <f>SUM(Y421:AB421)</f>
        <v>0</v>
      </c>
      <c r="AD421" s="758">
        <f>(AD413/1000*AD419)</f>
        <v>0</v>
      </c>
      <c r="AE421" s="660">
        <f>(AE413/1000*AE419)</f>
        <v>0</v>
      </c>
      <c r="AF421" s="660">
        <f>(AF413/1000*AF419)</f>
        <v>0</v>
      </c>
      <c r="AG421" s="661">
        <f>(AG413/1000*AG419)</f>
        <v>0</v>
      </c>
      <c r="AH421" s="428">
        <f>SUM(AD421:AG421)</f>
        <v>0</v>
      </c>
      <c r="AI421" s="758">
        <f>(AI413/1000*AI419)</f>
        <v>0</v>
      </c>
      <c r="AJ421" s="660">
        <f>(AJ413/1000*AJ419)</f>
        <v>0</v>
      </c>
      <c r="AK421" s="660">
        <f>(AK413/1000*AK419)</f>
        <v>0</v>
      </c>
      <c r="AL421" s="661">
        <f>(AL413/1000*AL419)</f>
        <v>0</v>
      </c>
      <c r="AM421" s="428">
        <f>SUM(AI421:AL421)</f>
        <v>0</v>
      </c>
      <c r="AN421" s="758">
        <f>(AN413/1000*AN419)</f>
        <v>0</v>
      </c>
      <c r="AO421" s="660">
        <f>(AO413/1000*AO419)</f>
        <v>0</v>
      </c>
      <c r="AP421" s="660">
        <f>(AP413/1000*AP419)</f>
        <v>3.8211222656249988</v>
      </c>
      <c r="AQ421" s="661">
        <f>(AQ413/1000*AQ419)</f>
        <v>0</v>
      </c>
      <c r="AR421" s="428">
        <f>SUM(AN421:AQ421)</f>
        <v>3.8211222656249988</v>
      </c>
      <c r="AS421" s="758">
        <f>(AS413/1000*AS419)</f>
        <v>0</v>
      </c>
      <c r="AT421" s="660">
        <f>(AT413/1000*AT419)</f>
        <v>0</v>
      </c>
      <c r="AU421" s="660">
        <f t="shared" ref="AU421" si="635">(AU413/1000*AU419)</f>
        <v>4.8443842857142858</v>
      </c>
      <c r="AV421" s="661">
        <f>(AV413/1000*AV419)</f>
        <v>0</v>
      </c>
      <c r="AW421" s="428">
        <f>SUM(AS421:AV421)</f>
        <v>4.8443842857142858</v>
      </c>
      <c r="AX421" s="758">
        <f>(AX413/1000*AX419)</f>
        <v>0</v>
      </c>
      <c r="AY421" s="660">
        <f>(AY413/1000*AY419)</f>
        <v>2.9765750000000004</v>
      </c>
      <c r="AZ421" s="660">
        <f>(AZ413/1000*AZ419)</f>
        <v>4.6646999999999998</v>
      </c>
      <c r="BA421" s="661">
        <f>(BA413/1000*BA419)</f>
        <v>0</v>
      </c>
      <c r="BB421" s="428">
        <f>SUM(AX421:BA421)</f>
        <v>7.6412750000000003</v>
      </c>
      <c r="BC421" s="758">
        <f>(BC413/1000*BC419)</f>
        <v>0</v>
      </c>
      <c r="BD421" s="660">
        <f>(BD413/1000*BD419)</f>
        <v>2.8020177234422081</v>
      </c>
      <c r="BE421" s="660">
        <f>(BE413/1000*BE419)</f>
        <v>4.4213297411316876</v>
      </c>
      <c r="BF421" s="661">
        <f>(BF413/1000*BF419)</f>
        <v>0</v>
      </c>
      <c r="BG421" s="428">
        <f>SUM(BC421:BF421)</f>
        <v>7.2233474645738962</v>
      </c>
      <c r="BH421" s="758">
        <f>(BH413/1000*BH419)</f>
        <v>0</v>
      </c>
      <c r="BI421" s="660">
        <f>(BI413/1000*BI419)</f>
        <v>3.0686767280290521</v>
      </c>
      <c r="BJ421" s="660">
        <f>(BJ413/1000*BJ419)</f>
        <v>4.842093456456098</v>
      </c>
      <c r="BK421" s="661">
        <f>(BK413/1000*BK419)</f>
        <v>0</v>
      </c>
      <c r="BL421" s="428">
        <f>SUM(BH421:BK421)</f>
        <v>7.9107701844851501</v>
      </c>
      <c r="BM421" s="758">
        <f>(BM413/1000*BM419)</f>
        <v>0</v>
      </c>
      <c r="BN421" s="660">
        <f>(BN413/1000*BN419)</f>
        <v>4.0821763908828519</v>
      </c>
      <c r="BO421" s="660">
        <f>(BO413/1000*BO419)</f>
        <v>5.6481007497833327</v>
      </c>
      <c r="BP421" s="661">
        <f>(BP413/1000*BP419)</f>
        <v>3.0980564184274817</v>
      </c>
      <c r="BQ421" s="428">
        <f>SUM(BM421:BP421)</f>
        <v>12.828333559093668</v>
      </c>
      <c r="BR421" s="40"/>
      <c r="BS421" s="40"/>
      <c r="BT421" s="40"/>
      <c r="BU421" s="232"/>
      <c r="BV421" s="40"/>
      <c r="BW421" s="40"/>
      <c r="BX421" s="40"/>
      <c r="BY421" s="40"/>
      <c r="BZ421" s="40"/>
      <c r="CA421" s="40"/>
      <c r="CB421" s="40"/>
      <c r="CC421" s="40"/>
      <c r="CD421" s="40"/>
      <c r="CE421" s="40"/>
      <c r="CF421" s="40"/>
      <c r="CG421" s="40"/>
      <c r="CH421" s="40"/>
      <c r="CI421" s="40"/>
      <c r="CJ421" s="40"/>
      <c r="CK421" s="40"/>
      <c r="CL421" s="40"/>
      <c r="CM421" s="40"/>
      <c r="CN421" s="40"/>
      <c r="CO421" s="40"/>
      <c r="CP421" s="40"/>
      <c r="CQ421" s="40"/>
      <c r="CR421" s="40"/>
      <c r="CS421" s="40"/>
      <c r="CT421" s="823"/>
      <c r="CU421" s="232"/>
      <c r="CV421" s="232"/>
      <c r="CW421" s="232"/>
      <c r="CX421" s="232"/>
      <c r="CY421" s="232"/>
      <c r="CZ421" s="40"/>
      <c r="DA421" s="40"/>
      <c r="DB421" s="40"/>
      <c r="DC421" s="40"/>
      <c r="DD421" s="40"/>
      <c r="DE421" s="40"/>
      <c r="DF421" s="232"/>
      <c r="DG421" s="232"/>
      <c r="DH421" s="232"/>
      <c r="DI421" s="232"/>
      <c r="DJ421" s="232"/>
      <c r="DK421" s="232"/>
      <c r="DL421" s="232"/>
      <c r="DM421" s="232"/>
      <c r="DN421" s="232"/>
    </row>
    <row r="422" spans="1:118">
      <c r="A422" s="40"/>
      <c r="B422" s="32"/>
      <c r="C422" s="28" t="s">
        <v>278</v>
      </c>
      <c r="D422" s="1"/>
      <c r="E422" s="273"/>
      <c r="F422" s="3"/>
      <c r="G422" s="3"/>
      <c r="H422" s="274"/>
      <c r="I422" s="28"/>
      <c r="J422" s="273"/>
      <c r="K422" s="3"/>
      <c r="L422" s="3"/>
      <c r="M422" s="274"/>
      <c r="N422" s="1"/>
      <c r="O422" s="273"/>
      <c r="P422" s="3"/>
      <c r="Q422" s="3"/>
      <c r="R422" s="274"/>
      <c r="S422" s="1"/>
      <c r="T422" s="758"/>
      <c r="U422" s="660"/>
      <c r="V422" s="660"/>
      <c r="W422" s="661"/>
      <c r="X422" s="428"/>
      <c r="Y422" s="758">
        <f>Y414/1000*Y419</f>
        <v>0</v>
      </c>
      <c r="Z422" s="660">
        <f>Z414/1000*Z419</f>
        <v>0</v>
      </c>
      <c r="AA422" s="660">
        <f>AA414/1000*AA419</f>
        <v>0</v>
      </c>
      <c r="AB422" s="661">
        <f>AB414/1000*AB419</f>
        <v>0</v>
      </c>
      <c r="AC422" s="428">
        <f>SUM(Y422:AB422)</f>
        <v>0</v>
      </c>
      <c r="AD422" s="758">
        <f>AD414/1000*AD419</f>
        <v>0</v>
      </c>
      <c r="AE422" s="660">
        <f>AE414/1000*AE419</f>
        <v>0</v>
      </c>
      <c r="AF422" s="660">
        <f>AF414/1000*AF419</f>
        <v>0</v>
      </c>
      <c r="AG422" s="661">
        <f>AG414/1000*AG419</f>
        <v>0</v>
      </c>
      <c r="AH422" s="428">
        <f>SUM(AD422:AG422)</f>
        <v>0</v>
      </c>
      <c r="AI422" s="758">
        <f>AI414/1000*AI419</f>
        <v>0</v>
      </c>
      <c r="AJ422" s="660">
        <f>AJ414/1000*AJ419</f>
        <v>0</v>
      </c>
      <c r="AK422" s="660">
        <f>AK414/1000*AK419</f>
        <v>0</v>
      </c>
      <c r="AL422" s="661">
        <f>AL414/1000*AL419</f>
        <v>0</v>
      </c>
      <c r="AM422" s="428">
        <f>SUM(AI422:AL422)</f>
        <v>0</v>
      </c>
      <c r="AN422" s="758">
        <f>AN414/1000*AN419</f>
        <v>0</v>
      </c>
      <c r="AO422" s="660">
        <f>AO414/1000*AO419</f>
        <v>0</v>
      </c>
      <c r="AP422" s="660">
        <f>AP414/1000*AP419</f>
        <v>3.6665228085937498</v>
      </c>
      <c r="AQ422" s="661">
        <f>AQ414/1000*AQ419</f>
        <v>0</v>
      </c>
      <c r="AR422" s="428">
        <f>SUM(AN422:AQ422)</f>
        <v>3.6665228085937498</v>
      </c>
      <c r="AS422" s="758">
        <f>AS414/1000*AS419</f>
        <v>0</v>
      </c>
      <c r="AT422" s="660">
        <f>AT414/1000*AT419</f>
        <v>0</v>
      </c>
      <c r="AU422" s="660">
        <f t="shared" ref="AU422" si="636">AU414/1000*AU419</f>
        <v>4.0457503809523807</v>
      </c>
      <c r="AV422" s="661">
        <f>AV414/1000*AV419</f>
        <v>0</v>
      </c>
      <c r="AW422" s="428">
        <f>SUM(AS422:AV422)</f>
        <v>4.0457503809523807</v>
      </c>
      <c r="AX422" s="758">
        <f>AX414/1000*AX419</f>
        <v>0</v>
      </c>
      <c r="AY422" s="660">
        <f>AY414/1000*AY419</f>
        <v>2.536969</v>
      </c>
      <c r="AZ422" s="660">
        <f>AZ414/1000*AZ419</f>
        <v>3.07634775</v>
      </c>
      <c r="BA422" s="661">
        <f>BA414/1000*BA419</f>
        <v>0</v>
      </c>
      <c r="BB422" s="428">
        <f>SUM(AX422:BA422)</f>
        <v>5.6133167500000001</v>
      </c>
      <c r="BC422" s="758">
        <f>BC414/1000*BC419</f>
        <v>0</v>
      </c>
      <c r="BD422" s="660">
        <f>BD414/1000*BD419</f>
        <v>2.2585073424457973</v>
      </c>
      <c r="BE422" s="660">
        <f>BE414/1000*BE419</f>
        <v>2.5756856960023935</v>
      </c>
      <c r="BF422" s="661">
        <f>BF414/1000*BF419</f>
        <v>0</v>
      </c>
      <c r="BG422" s="428">
        <f>SUM(BC422:BF422)</f>
        <v>4.8341930384481913</v>
      </c>
      <c r="BH422" s="758">
        <f>BH414/1000*BH419</f>
        <v>0</v>
      </c>
      <c r="BI422" s="660">
        <f>BI414/1000*BI419</f>
        <v>2.3329985189423619</v>
      </c>
      <c r="BJ422" s="660">
        <f>BJ414/1000*BJ419</f>
        <v>2.660638201657219</v>
      </c>
      <c r="BK422" s="661">
        <f>BK414/1000*BK419</f>
        <v>0</v>
      </c>
      <c r="BL422" s="428">
        <f>SUM(BH422:BK422)</f>
        <v>4.9936367205995804</v>
      </c>
      <c r="BM422" s="758">
        <f>BM414/1000*BM419</f>
        <v>0</v>
      </c>
      <c r="BN422" s="660">
        <f>BN414/1000*BN419</f>
        <v>3.0431297843330256</v>
      </c>
      <c r="BO422" s="660">
        <f>BO414/1000*BO419</f>
        <v>3.0431297843330256</v>
      </c>
      <c r="BP422" s="661">
        <f>BP414/1000*BP419</f>
        <v>3.0431297843330256</v>
      </c>
      <c r="BQ422" s="428">
        <f>SUM(BM422:BP422)</f>
        <v>9.1293893529990768</v>
      </c>
      <c r="BR422" s="40"/>
      <c r="BS422" s="40"/>
      <c r="BT422" s="40"/>
      <c r="BU422" s="232"/>
      <c r="BV422" s="40"/>
      <c r="BW422" s="40"/>
      <c r="BX422" s="40"/>
      <c r="BY422" s="40"/>
      <c r="BZ422" s="40"/>
      <c r="CA422" s="40"/>
      <c r="CB422" s="40"/>
      <c r="CC422" s="40"/>
      <c r="CD422" s="40"/>
      <c r="CE422" s="40"/>
      <c r="CF422" s="40"/>
      <c r="CG422" s="40"/>
      <c r="CH422" s="40"/>
      <c r="CI422" s="40"/>
      <c r="CJ422" s="40"/>
      <c r="CK422" s="40"/>
      <c r="CL422" s="40"/>
      <c r="CM422" s="40"/>
      <c r="CN422" s="40"/>
      <c r="CO422" s="40"/>
      <c r="CP422" s="40"/>
      <c r="CQ422" s="40"/>
      <c r="CR422" s="40"/>
      <c r="CS422" s="40"/>
      <c r="CT422" s="823"/>
      <c r="CU422" s="232"/>
      <c r="CV422" s="232"/>
      <c r="CW422" s="232"/>
      <c r="CX422" s="232"/>
      <c r="CY422" s="232"/>
      <c r="CZ422" s="40"/>
      <c r="DA422" s="40"/>
      <c r="DB422" s="40"/>
      <c r="DC422" s="40"/>
      <c r="DD422" s="40"/>
      <c r="DE422" s="40"/>
      <c r="DF422" s="232"/>
      <c r="DG422" s="232"/>
      <c r="DH422" s="232"/>
      <c r="DI422" s="232"/>
      <c r="DJ422" s="232"/>
      <c r="DK422" s="232"/>
      <c r="DL422" s="232"/>
      <c r="DM422" s="232"/>
      <c r="DN422" s="232"/>
    </row>
    <row r="423" spans="1:118">
      <c r="A423" s="40"/>
      <c r="B423" s="32"/>
      <c r="C423" s="32" t="s">
        <v>199</v>
      </c>
      <c r="D423" s="32"/>
      <c r="E423" s="489"/>
      <c r="F423" s="342"/>
      <c r="G423" s="342"/>
      <c r="H423" s="490"/>
      <c r="I423" s="28"/>
      <c r="J423" s="489"/>
      <c r="K423" s="342"/>
      <c r="L423" s="342"/>
      <c r="M423" s="490"/>
      <c r="N423" s="32"/>
      <c r="O423" s="489"/>
      <c r="P423" s="342"/>
      <c r="Q423" s="342"/>
      <c r="R423" s="490"/>
      <c r="S423" s="32"/>
      <c r="T423" s="292"/>
      <c r="U423" s="261"/>
      <c r="V423" s="261"/>
      <c r="W423" s="293"/>
      <c r="X423" s="228"/>
      <c r="Y423" s="292">
        <f>Y421-Y422</f>
        <v>0</v>
      </c>
      <c r="Z423" s="261">
        <f>Z421-Z422</f>
        <v>0</v>
      </c>
      <c r="AA423" s="261">
        <f>AA421-AA422</f>
        <v>0</v>
      </c>
      <c r="AB423" s="293">
        <f>AB421-AB422</f>
        <v>0</v>
      </c>
      <c r="AC423" s="228">
        <f>AC421-AC422</f>
        <v>0</v>
      </c>
      <c r="AD423" s="292">
        <f t="shared" ref="AD423:BL423" si="637">AD421-AD422</f>
        <v>0</v>
      </c>
      <c r="AE423" s="261">
        <f>AE421-AE422</f>
        <v>0</v>
      </c>
      <c r="AF423" s="261">
        <f t="shared" si="637"/>
        <v>0</v>
      </c>
      <c r="AG423" s="293">
        <f t="shared" si="637"/>
        <v>0</v>
      </c>
      <c r="AH423" s="228">
        <f t="shared" si="637"/>
        <v>0</v>
      </c>
      <c r="AI423" s="292">
        <f t="shared" si="637"/>
        <v>0</v>
      </c>
      <c r="AJ423" s="261">
        <f t="shared" si="637"/>
        <v>0</v>
      </c>
      <c r="AK423" s="261">
        <f t="shared" si="637"/>
        <v>0</v>
      </c>
      <c r="AL423" s="293">
        <f t="shared" si="637"/>
        <v>0</v>
      </c>
      <c r="AM423" s="228">
        <f t="shared" si="637"/>
        <v>0</v>
      </c>
      <c r="AN423" s="292">
        <f t="shared" si="637"/>
        <v>0</v>
      </c>
      <c r="AO423" s="261">
        <f t="shared" si="637"/>
        <v>0</v>
      </c>
      <c r="AP423" s="261">
        <f t="shared" si="637"/>
        <v>0.154599457031249</v>
      </c>
      <c r="AQ423" s="293">
        <f t="shared" si="637"/>
        <v>0</v>
      </c>
      <c r="AR423" s="228">
        <f t="shared" si="637"/>
        <v>0.154599457031249</v>
      </c>
      <c r="AS423" s="292">
        <f t="shared" si="637"/>
        <v>0</v>
      </c>
      <c r="AT423" s="261">
        <f t="shared" si="637"/>
        <v>0</v>
      </c>
      <c r="AU423" s="261">
        <f t="shared" ref="AU423" si="638">AU421-AU422</f>
        <v>0.7986339047619051</v>
      </c>
      <c r="AV423" s="293">
        <f t="shared" si="637"/>
        <v>0</v>
      </c>
      <c r="AW423" s="228">
        <f t="shared" si="637"/>
        <v>0.7986339047619051</v>
      </c>
      <c r="AX423" s="292">
        <f t="shared" si="637"/>
        <v>0</v>
      </c>
      <c r="AY423" s="261">
        <f t="shared" si="637"/>
        <v>0.43960600000000039</v>
      </c>
      <c r="AZ423" s="261">
        <f t="shared" si="637"/>
        <v>1.5883522499999998</v>
      </c>
      <c r="BA423" s="293">
        <f t="shared" si="637"/>
        <v>0</v>
      </c>
      <c r="BB423" s="228">
        <f t="shared" si="637"/>
        <v>2.0279582500000002</v>
      </c>
      <c r="BC423" s="292">
        <f t="shared" si="637"/>
        <v>0</v>
      </c>
      <c r="BD423" s="261">
        <f t="shared" si="637"/>
        <v>0.5435103809964108</v>
      </c>
      <c r="BE423" s="261">
        <f t="shared" si="637"/>
        <v>1.8456440451292941</v>
      </c>
      <c r="BF423" s="293">
        <f t="shared" si="637"/>
        <v>0</v>
      </c>
      <c r="BG423" s="228">
        <f t="shared" si="637"/>
        <v>2.3891544261257049</v>
      </c>
      <c r="BH423" s="292">
        <f t="shared" si="637"/>
        <v>0</v>
      </c>
      <c r="BI423" s="261">
        <f t="shared" si="637"/>
        <v>0.73567820908669024</v>
      </c>
      <c r="BJ423" s="261">
        <f t="shared" si="637"/>
        <v>2.181455254798879</v>
      </c>
      <c r="BK423" s="293">
        <f t="shared" si="637"/>
        <v>0</v>
      </c>
      <c r="BL423" s="228">
        <f t="shared" si="637"/>
        <v>2.9171334638855697</v>
      </c>
      <c r="BM423" s="292">
        <f t="shared" ref="BM423:BQ423" si="639">BM421-BM422</f>
        <v>0</v>
      </c>
      <c r="BN423" s="261">
        <f t="shared" si="639"/>
        <v>1.0390466065498263</v>
      </c>
      <c r="BO423" s="261">
        <f t="shared" si="639"/>
        <v>2.604970965450307</v>
      </c>
      <c r="BP423" s="293">
        <f t="shared" si="639"/>
        <v>5.4926634094456084E-2</v>
      </c>
      <c r="BQ423" s="228">
        <f t="shared" si="639"/>
        <v>3.6989442060945912</v>
      </c>
      <c r="BR423" s="40"/>
      <c r="BS423" s="40"/>
      <c r="BT423" s="40"/>
      <c r="BU423" s="232"/>
      <c r="BV423" s="40"/>
      <c r="BW423" s="40"/>
      <c r="BX423" s="40"/>
      <c r="BY423" s="40"/>
      <c r="BZ423" s="40"/>
      <c r="CA423" s="40"/>
      <c r="CB423" s="40"/>
      <c r="CC423" s="40"/>
      <c r="CD423" s="40"/>
      <c r="CE423" s="40"/>
      <c r="CF423" s="40"/>
      <c r="CG423" s="40"/>
      <c r="CH423" s="40"/>
      <c r="CI423" s="40"/>
      <c r="CJ423" s="40"/>
      <c r="CK423" s="40"/>
      <c r="CL423" s="40"/>
      <c r="CM423" s="40"/>
      <c r="CN423" s="40"/>
      <c r="CO423" s="40"/>
      <c r="CP423" s="40"/>
      <c r="CQ423" s="40"/>
      <c r="CR423" s="40"/>
      <c r="CS423" s="40"/>
      <c r="CT423" s="823"/>
      <c r="CU423" s="232"/>
      <c r="CV423" s="232"/>
      <c r="CW423" s="232"/>
      <c r="CX423" s="232"/>
      <c r="CY423" s="232"/>
      <c r="CZ423" s="40"/>
      <c r="DA423" s="40"/>
      <c r="DB423" s="40"/>
      <c r="DC423" s="40"/>
      <c r="DD423" s="40"/>
      <c r="DE423" s="40"/>
      <c r="DF423" s="232"/>
      <c r="DG423" s="232"/>
      <c r="DH423" s="232"/>
      <c r="DI423" s="232"/>
      <c r="DJ423" s="232"/>
      <c r="DK423" s="232"/>
      <c r="DL423" s="232"/>
      <c r="DM423" s="232"/>
      <c r="DN423" s="232"/>
    </row>
    <row r="424" spans="1:118">
      <c r="A424" s="40"/>
      <c r="B424" s="32"/>
      <c r="C424" s="32"/>
      <c r="D424" s="32"/>
      <c r="E424" s="489"/>
      <c r="F424" s="342"/>
      <c r="G424" s="342"/>
      <c r="H424" s="490"/>
      <c r="I424" s="28"/>
      <c r="J424" s="489"/>
      <c r="K424" s="342"/>
      <c r="L424" s="342"/>
      <c r="M424" s="490"/>
      <c r="N424" s="32"/>
      <c r="O424" s="489"/>
      <c r="P424" s="342"/>
      <c r="Q424" s="342"/>
      <c r="R424" s="490"/>
      <c r="S424" s="32"/>
      <c r="T424" s="292"/>
      <c r="U424" s="261"/>
      <c r="V424" s="261"/>
      <c r="W424" s="293"/>
      <c r="X424" s="228"/>
      <c r="Y424" s="292"/>
      <c r="Z424" s="261"/>
      <c r="AA424" s="261"/>
      <c r="AB424" s="293"/>
      <c r="AC424" s="228"/>
      <c r="AD424" s="292"/>
      <c r="AE424" s="261"/>
      <c r="AF424" s="261"/>
      <c r="AG424" s="293"/>
      <c r="AH424" s="228"/>
      <c r="AI424" s="292"/>
      <c r="AJ424" s="261"/>
      <c r="AK424" s="261"/>
      <c r="AL424" s="293"/>
      <c r="AM424" s="228"/>
      <c r="AN424" s="292"/>
      <c r="AO424" s="261"/>
      <c r="AP424" s="261"/>
      <c r="AQ424" s="293"/>
      <c r="AR424" s="228"/>
      <c r="AS424" s="292"/>
      <c r="AT424" s="261"/>
      <c r="AU424" s="261"/>
      <c r="AV424" s="293"/>
      <c r="AW424" s="228"/>
      <c r="AX424" s="292"/>
      <c r="AY424" s="261"/>
      <c r="AZ424" s="261"/>
      <c r="BA424" s="293"/>
      <c r="BB424" s="228"/>
      <c r="BC424" s="292"/>
      <c r="BD424" s="261"/>
      <c r="BE424" s="261"/>
      <c r="BF424" s="293"/>
      <c r="BG424" s="228"/>
      <c r="BH424" s="292"/>
      <c r="BI424" s="261"/>
      <c r="BJ424" s="261"/>
      <c r="BK424" s="293"/>
      <c r="BL424" s="228"/>
      <c r="BM424" s="292"/>
      <c r="BN424" s="261"/>
      <c r="BO424" s="261"/>
      <c r="BP424" s="293"/>
      <c r="BQ424" s="228"/>
      <c r="BR424" s="40"/>
      <c r="BS424" s="40"/>
      <c r="BT424" s="40"/>
      <c r="BU424" s="232"/>
      <c r="BV424" s="40"/>
      <c r="BW424" s="40"/>
      <c r="BX424" s="40"/>
      <c r="BY424" s="40"/>
      <c r="BZ424" s="40"/>
      <c r="CA424" s="40"/>
      <c r="CB424" s="40"/>
      <c r="CC424" s="40"/>
      <c r="CD424" s="40"/>
      <c r="CE424" s="40"/>
      <c r="CF424" s="40"/>
      <c r="CG424" s="40"/>
      <c r="CH424" s="40"/>
      <c r="CI424" s="40"/>
      <c r="CJ424" s="40"/>
      <c r="CK424" s="40"/>
      <c r="CL424" s="40"/>
      <c r="CM424" s="40"/>
      <c r="CN424" s="40"/>
      <c r="CO424" s="40"/>
      <c r="CP424" s="40"/>
      <c r="CQ424" s="40"/>
      <c r="CR424" s="40"/>
      <c r="CS424" s="40"/>
      <c r="CT424" s="823"/>
      <c r="CU424" s="232"/>
      <c r="CV424" s="232"/>
      <c r="CW424" s="232"/>
      <c r="CX424" s="232"/>
      <c r="CY424" s="232"/>
      <c r="CZ424" s="40"/>
      <c r="DA424" s="40"/>
      <c r="DB424" s="40"/>
      <c r="DC424" s="40"/>
      <c r="DD424" s="40"/>
      <c r="DE424" s="40"/>
      <c r="DF424" s="232"/>
      <c r="DG424" s="232"/>
      <c r="DH424" s="232"/>
      <c r="DI424" s="232"/>
      <c r="DJ424" s="232"/>
      <c r="DK424" s="232"/>
      <c r="DL424" s="232"/>
      <c r="DM424" s="232"/>
      <c r="DN424" s="232"/>
    </row>
    <row r="425" spans="1:118">
      <c r="A425" s="40"/>
      <c r="B425" s="32"/>
      <c r="C425" s="429" t="s">
        <v>831</v>
      </c>
      <c r="D425" s="1"/>
      <c r="E425" s="273"/>
      <c r="F425" s="3"/>
      <c r="G425" s="3"/>
      <c r="H425" s="274"/>
      <c r="I425" s="440"/>
      <c r="J425" s="273"/>
      <c r="K425" s="3"/>
      <c r="L425" s="3"/>
      <c r="M425" s="274"/>
      <c r="N425" s="1"/>
      <c r="O425" s="273"/>
      <c r="P425" s="3"/>
      <c r="Q425" s="3"/>
      <c r="R425" s="274"/>
      <c r="S425" s="1"/>
      <c r="T425" s="273"/>
      <c r="U425" s="3"/>
      <c r="V425" s="3"/>
      <c r="W425" s="274"/>
      <c r="X425" s="1"/>
      <c r="Y425" s="273"/>
      <c r="Z425" s="3"/>
      <c r="AA425" s="3"/>
      <c r="AB425" s="274"/>
      <c r="AC425" s="1"/>
      <c r="AD425" s="273"/>
      <c r="AE425" s="3"/>
      <c r="AF425" s="3"/>
      <c r="AG425" s="274"/>
      <c r="AH425" s="1"/>
      <c r="AI425" s="273"/>
      <c r="AJ425" s="3"/>
      <c r="AK425" s="3"/>
      <c r="AL425" s="274"/>
      <c r="AM425" s="1"/>
      <c r="AN425" s="273"/>
      <c r="AO425" s="3"/>
      <c r="AP425" s="3"/>
      <c r="AQ425" s="274"/>
      <c r="AR425" s="1"/>
      <c r="AS425" s="273"/>
      <c r="AT425" s="3"/>
      <c r="AU425" s="3"/>
      <c r="AV425" s="274"/>
      <c r="AW425" s="1"/>
      <c r="AX425" s="273"/>
      <c r="AY425" s="3"/>
      <c r="AZ425" s="3"/>
      <c r="BA425" s="274"/>
      <c r="BB425" s="1"/>
      <c r="BC425" s="273"/>
      <c r="BD425" s="3"/>
      <c r="BE425" s="3"/>
      <c r="BF425" s="274"/>
      <c r="BG425" s="1"/>
      <c r="BH425" s="273"/>
      <c r="BI425" s="3"/>
      <c r="BJ425" s="3"/>
      <c r="BK425" s="274"/>
      <c r="BL425" s="1"/>
      <c r="BM425" s="273"/>
      <c r="BN425" s="3"/>
      <c r="BO425" s="3"/>
      <c r="BP425" s="274"/>
      <c r="BQ425" s="1"/>
      <c r="BR425" s="40"/>
      <c r="BS425" s="40"/>
      <c r="BT425" s="40"/>
      <c r="BU425" s="232"/>
      <c r="BV425" s="40"/>
      <c r="BW425" s="40"/>
      <c r="BX425" s="40"/>
      <c r="BY425" s="40"/>
      <c r="BZ425" s="40"/>
      <c r="CA425" s="40"/>
      <c r="CB425" s="40"/>
      <c r="CC425" s="40"/>
      <c r="CD425" s="40"/>
      <c r="CE425" s="40"/>
      <c r="CF425" s="40"/>
      <c r="CG425" s="40"/>
      <c r="CH425" s="40"/>
      <c r="CI425" s="40"/>
      <c r="CJ425" s="40"/>
      <c r="CK425" s="40"/>
      <c r="CL425" s="40"/>
      <c r="CM425" s="40"/>
      <c r="CN425" s="40"/>
      <c r="CO425" s="40"/>
      <c r="CP425" s="40"/>
      <c r="CQ425" s="40"/>
      <c r="CR425" s="40"/>
      <c r="CS425" s="40"/>
      <c r="CT425" s="823"/>
      <c r="CU425" s="232"/>
      <c r="CV425" s="232"/>
      <c r="CW425" s="232"/>
      <c r="CX425" s="232"/>
      <c r="CY425" s="232"/>
      <c r="CZ425" s="40"/>
      <c r="DA425" s="40"/>
      <c r="DB425" s="40"/>
      <c r="DC425" s="40"/>
      <c r="DD425" s="40"/>
      <c r="DE425" s="40"/>
      <c r="DF425" s="232"/>
      <c r="DG425" s="232"/>
      <c r="DH425" s="232"/>
      <c r="DI425" s="232"/>
      <c r="DJ425" s="232"/>
      <c r="DK425" s="232"/>
      <c r="DL425" s="232"/>
      <c r="DM425" s="232"/>
      <c r="DN425" s="232"/>
    </row>
    <row r="426" spans="1:118">
      <c r="A426" s="40"/>
      <c r="B426" s="32"/>
      <c r="C426" s="28" t="s">
        <v>200</v>
      </c>
      <c r="D426" s="1"/>
      <c r="E426" s="273"/>
      <c r="F426" s="3"/>
      <c r="G426" s="3"/>
      <c r="H426" s="274"/>
      <c r="I426" s="28"/>
      <c r="J426" s="273"/>
      <c r="K426" s="3"/>
      <c r="L426" s="3"/>
      <c r="M426" s="274"/>
      <c r="N426" s="1"/>
      <c r="O426" s="273"/>
      <c r="P426" s="3"/>
      <c r="Q426" s="3"/>
      <c r="R426" s="274"/>
      <c r="S426" s="1"/>
      <c r="T426" s="436"/>
      <c r="U426" s="437"/>
      <c r="V426" s="437"/>
      <c r="W426" s="438"/>
      <c r="X426" s="439"/>
      <c r="Y426" s="436">
        <f>+Y94</f>
        <v>23.199066475442827</v>
      </c>
      <c r="Z426" s="437">
        <f>+Z94</f>
        <v>26.300711996337007</v>
      </c>
      <c r="AA426" s="437">
        <f>+AA94</f>
        <v>25.430877490942027</v>
      </c>
      <c r="AB426" s="438">
        <f>+AB94</f>
        <v>26.785470153985496</v>
      </c>
      <c r="AC426" s="439">
        <f>AVERAGE(Y426:AB426)</f>
        <v>25.429031529176839</v>
      </c>
      <c r="AD426" s="436">
        <f>+AD93</f>
        <v>60.188559027777771</v>
      </c>
      <c r="AE426" s="437">
        <f>+AE94</f>
        <v>28.32578691123188</v>
      </c>
      <c r="AF426" s="437">
        <f>+AF93</f>
        <v>37.938735351562507</v>
      </c>
      <c r="AG426" s="438">
        <f>+AG93</f>
        <v>34.462575683593748</v>
      </c>
      <c r="AH426" s="439">
        <f>AVERAGE(AD426:AG426)</f>
        <v>40.228914243541475</v>
      </c>
      <c r="AI426" s="436">
        <f>+AI93</f>
        <v>26.624528769841277</v>
      </c>
      <c r="AJ426" s="437">
        <f>+AJ93</f>
        <v>27.696826171875003</v>
      </c>
      <c r="AK426" s="437">
        <f>+AK93</f>
        <v>35.11308653846153</v>
      </c>
      <c r="AL426" s="438">
        <f>+AL93</f>
        <v>20.858798828125007</v>
      </c>
      <c r="AM426" s="439">
        <f>AVERAGE(AI426:AL426)</f>
        <v>27.573310077075703</v>
      </c>
      <c r="AN426" s="436">
        <f>+AN93</f>
        <v>19.67302978515626</v>
      </c>
      <c r="AO426" s="437">
        <f>+AO93</f>
        <v>22.350983886718744</v>
      </c>
      <c r="AP426" s="437">
        <f>+AP93</f>
        <v>30.610273437499991</v>
      </c>
      <c r="AQ426" s="438">
        <f>+AQ93</f>
        <v>25.72022321428571</v>
      </c>
      <c r="AR426" s="439">
        <f>AVERAGE(AN426:AQ426)</f>
        <v>24.588627580915176</v>
      </c>
      <c r="AS426" s="436">
        <f>+AS93</f>
        <v>22.746433105468753</v>
      </c>
      <c r="AT426" s="437">
        <f>+AT93</f>
        <v>27.890290527343748</v>
      </c>
      <c r="AU426" s="437">
        <f t="shared" ref="AU426" si="640">+AU93</f>
        <v>29.419799107142854</v>
      </c>
      <c r="AV426" s="438">
        <f>+AV93</f>
        <v>31.786008300781265</v>
      </c>
      <c r="AW426" s="439">
        <f>AVERAGE(AS426:AV426)</f>
        <v>27.960632760184154</v>
      </c>
      <c r="AX426" s="436">
        <f>+AX93</f>
        <v>31.786008300781265</v>
      </c>
      <c r="AY426" s="437">
        <f>+AY93</f>
        <v>35.332000000000001</v>
      </c>
      <c r="AZ426" s="437">
        <f>+AZ93</f>
        <v>118.57111666666667</v>
      </c>
      <c r="BA426" s="438">
        <f>+BA93</f>
        <v>26.272433333333336</v>
      </c>
      <c r="BB426" s="439">
        <f>AVERAGE(AX426:BA426)</f>
        <v>52.990389575195316</v>
      </c>
      <c r="BC426" s="436">
        <f>+BC93</f>
        <v>23.582895883834407</v>
      </c>
      <c r="BD426" s="437">
        <f>+BD93</f>
        <v>24.587500242086577</v>
      </c>
      <c r="BE426" s="437">
        <f>+BE93</f>
        <v>70.499208350188795</v>
      </c>
      <c r="BF426" s="438">
        <f>+BF93</f>
        <v>43.541112190290228</v>
      </c>
      <c r="BG426" s="439">
        <f>AVERAGE(BC426:BF426)</f>
        <v>40.552679166600001</v>
      </c>
      <c r="BH426" s="436">
        <f>+BH93</f>
        <v>21.356595924499164</v>
      </c>
      <c r="BI426" s="437">
        <f>+BI93</f>
        <v>22.266362453973152</v>
      </c>
      <c r="BJ426" s="437">
        <f>+BJ93</f>
        <v>63.843860107279397</v>
      </c>
      <c r="BK426" s="438">
        <f>+BK93</f>
        <v>39.430693487848281</v>
      </c>
      <c r="BL426" s="439">
        <f>AVERAGE(BH426:BK426)</f>
        <v>36.724377993399997</v>
      </c>
      <c r="BM426" s="436">
        <f>+BM93</f>
        <v>25.807336032311365</v>
      </c>
      <c r="BN426" s="437">
        <f>+BN93</f>
        <v>29.32454016156213</v>
      </c>
      <c r="BO426" s="437">
        <f>+BO93</f>
        <v>69.721108842409734</v>
      </c>
      <c r="BP426" s="438">
        <f>+BP93</f>
        <v>40.25545698550826</v>
      </c>
      <c r="BQ426" s="439">
        <f>AVERAGE(BM426:BP426)</f>
        <v>41.277110505447872</v>
      </c>
      <c r="BR426" s="40"/>
      <c r="BS426" s="40"/>
      <c r="BT426" s="40"/>
      <c r="BU426" s="232"/>
      <c r="BV426" s="40"/>
      <c r="BW426" s="40"/>
      <c r="BX426" s="40"/>
      <c r="BY426" s="40"/>
      <c r="BZ426" s="40"/>
      <c r="CA426" s="40"/>
      <c r="CB426" s="40"/>
      <c r="CC426" s="40"/>
      <c r="CD426" s="40"/>
      <c r="CE426" s="40"/>
      <c r="CF426" s="40"/>
      <c r="CG426" s="40"/>
      <c r="CH426" s="40"/>
      <c r="CI426" s="40"/>
      <c r="CJ426" s="40"/>
      <c r="CK426" s="40"/>
      <c r="CL426" s="40"/>
      <c r="CM426" s="40"/>
      <c r="CN426" s="40"/>
      <c r="CO426" s="40"/>
      <c r="CP426" s="40"/>
      <c r="CQ426" s="40"/>
      <c r="CR426" s="40"/>
      <c r="CS426" s="40"/>
      <c r="CT426" s="823"/>
      <c r="CU426" s="232"/>
      <c r="CV426" s="232"/>
      <c r="CW426" s="232"/>
      <c r="CX426" s="232"/>
      <c r="CY426" s="232"/>
      <c r="CZ426" s="40"/>
      <c r="DA426" s="40"/>
      <c r="DB426" s="40"/>
      <c r="DC426" s="40"/>
      <c r="DD426" s="40"/>
      <c r="DE426" s="40"/>
      <c r="DF426" s="232"/>
      <c r="DG426" s="232"/>
      <c r="DH426" s="232"/>
      <c r="DI426" s="232"/>
      <c r="DJ426" s="232"/>
      <c r="DK426" s="232"/>
      <c r="DL426" s="232"/>
      <c r="DM426" s="232"/>
      <c r="DN426" s="232"/>
    </row>
    <row r="427" spans="1:118">
      <c r="A427" s="40"/>
      <c r="B427" s="32"/>
      <c r="C427" s="28" t="s">
        <v>195</v>
      </c>
      <c r="D427" s="1"/>
      <c r="E427" s="273"/>
      <c r="F427" s="3"/>
      <c r="G427" s="3"/>
      <c r="H427" s="274"/>
      <c r="I427" s="543">
        <v>11500</v>
      </c>
      <c r="J427" s="273"/>
      <c r="K427" s="3"/>
      <c r="L427" s="3"/>
      <c r="M427" s="274"/>
      <c r="N427" s="1"/>
      <c r="O427" s="273"/>
      <c r="P427" s="3"/>
      <c r="Q427" s="3"/>
      <c r="R427" s="274"/>
      <c r="S427" s="1"/>
      <c r="T427" s="436"/>
      <c r="U427" s="437"/>
      <c r="V427" s="437"/>
      <c r="W427" s="438"/>
      <c r="X427" s="439"/>
      <c r="Y427" s="436">
        <f>$I427/1000*(Y$51)</f>
        <v>40.009650000000001</v>
      </c>
      <c r="Z427" s="437">
        <f>$I427/1000*(Z$51)</f>
        <v>46.279773437500012</v>
      </c>
      <c r="AA427" s="437">
        <f>$I427/1000*(AA$51)</f>
        <v>40.915023437500004</v>
      </c>
      <c r="AB427" s="438">
        <f>$I427/1000*(AB$51)</f>
        <v>44.118851562499998</v>
      </c>
      <c r="AC427" s="439">
        <f>AVERAGE(Y427:AB427)</f>
        <v>42.830824609375</v>
      </c>
      <c r="AD427" s="436">
        <f>$I427/1000*(AD$51)</f>
        <v>59.527393442622952</v>
      </c>
      <c r="AE427" s="437">
        <f>$I427/1000*(AE$51)</f>
        <v>45.644218750000007</v>
      </c>
      <c r="AF427" s="437">
        <f>$I427/1000*(AF$51)</f>
        <v>45.644218750000007</v>
      </c>
      <c r="AG427" s="438">
        <f>$I427/1000*(AG$51)</f>
        <v>43.422742187499985</v>
      </c>
      <c r="AH427" s="439">
        <f>AVERAGE(AD427:AG427)</f>
        <v>48.559643282530736</v>
      </c>
      <c r="AI427" s="436">
        <f>$I427/1000*(AI$51)</f>
        <v>33.272467741935486</v>
      </c>
      <c r="AJ427" s="437">
        <f>$I427/1000*(AJ$51)</f>
        <v>31.518396825396813</v>
      </c>
      <c r="AK427" s="437">
        <f>$I427/1000*(AK$51)</f>
        <v>31.790851562499995</v>
      </c>
      <c r="AL427" s="438">
        <f>$I427/1000*(AL$51)</f>
        <v>24.530777777777782</v>
      </c>
      <c r="AM427" s="439">
        <f>AVERAGE(AI427:AL427)</f>
        <v>30.278123476902522</v>
      </c>
      <c r="AN427" s="436">
        <f>$I427/1000*(AN$51)</f>
        <v>22.85841803278689</v>
      </c>
      <c r="AO427" s="437">
        <f>$I427/1000*(AO$51)</f>
        <v>24.563820312499999</v>
      </c>
      <c r="AP427" s="437">
        <f>$I427/1000*(AP$51)</f>
        <v>33.064296874999997</v>
      </c>
      <c r="AQ427" s="438">
        <f>$I427/1000*(AQ$51)</f>
        <v>34.859282258064518</v>
      </c>
      <c r="AR427" s="439">
        <f>AVERAGE(AN427:AQ427)</f>
        <v>28.836454369587848</v>
      </c>
      <c r="AS427" s="436">
        <f>$I427/1000*(AS$51)</f>
        <v>34.613145161290319</v>
      </c>
      <c r="AT427" s="437">
        <f>$I427/1000*(AT$51)</f>
        <v>35.3759765625</v>
      </c>
      <c r="AU427" s="437">
        <f t="shared" ref="AU427" si="641">$I427/1000*(AU$51)</f>
        <v>33.971182539682538</v>
      </c>
      <c r="AV427" s="438">
        <f>$I427/1000*(AV$51)</f>
        <v>35.774237704918036</v>
      </c>
      <c r="AW427" s="439">
        <f>AVERAGE(AS427:AV427)</f>
        <v>34.933635492097721</v>
      </c>
      <c r="AX427" s="436">
        <f>$I427/1000*(AX$51)</f>
        <v>35.774237704918036</v>
      </c>
      <c r="AY427" s="437">
        <f>$I427/1000*(AY$51)</f>
        <v>30.816166666666664</v>
      </c>
      <c r="AZ427" s="437">
        <f>$I427/1000*(AZ$51)</f>
        <v>32.372500000000002</v>
      </c>
      <c r="BA427" s="438">
        <f>$I427/1000*(BA$51)</f>
        <v>33.369166666666672</v>
      </c>
      <c r="BB427" s="439">
        <f>AVERAGE(AX427:BA427)</f>
        <v>33.083017759562843</v>
      </c>
      <c r="BC427" s="436">
        <f>$I427/1000*(BC$51)+BC$148</f>
        <v>33.380985189455657</v>
      </c>
      <c r="BD427" s="437">
        <f>$I427/1000*(BD$51)+BD$148</f>
        <v>29.258058037692269</v>
      </c>
      <c r="BE427" s="437">
        <f>$I427/1000*(BE$51)+BE$148</f>
        <v>29.644582458170092</v>
      </c>
      <c r="BF427" s="438">
        <f>$I427/1000*(BF$51)+BF$148</f>
        <v>34.653374314681976</v>
      </c>
      <c r="BG427" s="439">
        <f>AVERAGE(BC427:BF427)</f>
        <v>31.734249999999996</v>
      </c>
      <c r="BH427" s="436">
        <f>$I427/1000*(BH$51)+BH$148</f>
        <v>33.879976180238423</v>
      </c>
      <c r="BI427" s="437">
        <f>$I427/1000*(BI$51)+BI$148</f>
        <v>29.695418028290131</v>
      </c>
      <c r="BJ427" s="437">
        <f>$I427/1000*(BJ$51)+BJ$148</f>
        <v>30.087720355035287</v>
      </c>
      <c r="BK427" s="438">
        <f>$I427/1000*(BK$51)+BK$148</f>
        <v>35.17138543643614</v>
      </c>
      <c r="BL427" s="439">
        <f>AVERAGE(BH427:BK427)</f>
        <v>32.208624999999998</v>
      </c>
      <c r="BM427" s="436">
        <f>$I427/1000*(BM$51)+BM$148</f>
        <v>31.80655625</v>
      </c>
      <c r="BN427" s="437">
        <f>$I427/1000*(BN$51)+BN$148</f>
        <v>31.80655625</v>
      </c>
      <c r="BO427" s="437">
        <f>$I427/1000*(BO$51)+BO$148</f>
        <v>31.80655625</v>
      </c>
      <c r="BP427" s="438">
        <f>$I427/1000*(BP$51)+BP$148</f>
        <v>31.80655625</v>
      </c>
      <c r="BQ427" s="439">
        <f>AVERAGE(BM427:BP427)</f>
        <v>31.80655625</v>
      </c>
      <c r="BR427" s="40"/>
      <c r="BS427" s="40"/>
      <c r="BT427" s="40"/>
      <c r="BU427" s="232"/>
      <c r="BV427" s="40"/>
      <c r="BW427" s="40"/>
      <c r="BX427" s="40"/>
      <c r="BY427" s="40"/>
      <c r="BZ427" s="40"/>
      <c r="CA427" s="40"/>
      <c r="CB427" s="40"/>
      <c r="CC427" s="40"/>
      <c r="CD427" s="40"/>
      <c r="CE427" s="40"/>
      <c r="CF427" s="40"/>
      <c r="CG427" s="40"/>
      <c r="CH427" s="40"/>
      <c r="CI427" s="40"/>
      <c r="CJ427" s="40"/>
      <c r="CK427" s="40"/>
      <c r="CL427" s="40"/>
      <c r="CM427" s="40"/>
      <c r="CN427" s="40"/>
      <c r="CO427" s="40"/>
      <c r="CP427" s="40"/>
      <c r="CQ427" s="40"/>
      <c r="CR427" s="40"/>
      <c r="CS427" s="40"/>
      <c r="CT427" s="823"/>
      <c r="CU427" s="232"/>
      <c r="CV427" s="232"/>
      <c r="CW427" s="232"/>
      <c r="CX427" s="232"/>
      <c r="CY427" s="232"/>
      <c r="CZ427" s="40"/>
      <c r="DA427" s="40"/>
      <c r="DB427" s="40"/>
      <c r="DC427" s="40"/>
      <c r="DD427" s="40"/>
      <c r="DE427" s="40"/>
      <c r="DF427" s="232"/>
      <c r="DG427" s="232"/>
      <c r="DH427" s="232"/>
      <c r="DI427" s="232"/>
      <c r="DJ427" s="232"/>
      <c r="DK427" s="232"/>
      <c r="DL427" s="232"/>
      <c r="DM427" s="232"/>
      <c r="DN427" s="232"/>
    </row>
    <row r="428" spans="1:118">
      <c r="A428" s="40"/>
      <c r="B428" s="32"/>
      <c r="C428" s="28"/>
      <c r="D428" s="1"/>
      <c r="E428" s="273"/>
      <c r="F428" s="3"/>
      <c r="G428" s="3"/>
      <c r="H428" s="274"/>
      <c r="I428" s="426"/>
      <c r="J428" s="273"/>
      <c r="K428" s="3"/>
      <c r="L428" s="3"/>
      <c r="M428" s="274"/>
      <c r="N428" s="1"/>
      <c r="O428" s="273"/>
      <c r="P428" s="3"/>
      <c r="Q428" s="3"/>
      <c r="R428" s="274"/>
      <c r="S428" s="1"/>
      <c r="T428" s="436"/>
      <c r="U428" s="437"/>
      <c r="V428" s="437"/>
      <c r="W428" s="438"/>
      <c r="X428" s="439"/>
      <c r="Y428" s="436"/>
      <c r="Z428" s="437"/>
      <c r="AA428" s="437"/>
      <c r="AB428" s="438"/>
      <c r="AC428" s="439"/>
      <c r="AD428" s="436"/>
      <c r="AE428" s="437"/>
      <c r="AF428" s="437"/>
      <c r="AG428" s="438"/>
      <c r="AH428" s="439"/>
      <c r="AI428" s="436"/>
      <c r="AJ428" s="437"/>
      <c r="AK428" s="437"/>
      <c r="AL428" s="438"/>
      <c r="AM428" s="439"/>
      <c r="AN428" s="436"/>
      <c r="AO428" s="437"/>
      <c r="AP428" s="437"/>
      <c r="AQ428" s="438"/>
      <c r="AR428" s="439"/>
      <c r="AS428" s="436"/>
      <c r="AT428" s="437"/>
      <c r="AU428" s="437"/>
      <c r="AV428" s="438"/>
      <c r="AW428" s="439"/>
      <c r="AX428" s="436"/>
      <c r="AY428" s="437"/>
      <c r="AZ428" s="437"/>
      <c r="BA428" s="438"/>
      <c r="BB428" s="439"/>
      <c r="BC428" s="436"/>
      <c r="BD428" s="437"/>
      <c r="BE428" s="437"/>
      <c r="BF428" s="438"/>
      <c r="BG428" s="439"/>
      <c r="BH428" s="436"/>
      <c r="BI428" s="437"/>
      <c r="BJ428" s="437"/>
      <c r="BK428" s="438"/>
      <c r="BL428" s="439"/>
      <c r="BM428" s="436"/>
      <c r="BN428" s="437"/>
      <c r="BO428" s="437"/>
      <c r="BP428" s="438"/>
      <c r="BQ428" s="439"/>
      <c r="BR428" s="40"/>
      <c r="BS428" s="40"/>
      <c r="BT428" s="40"/>
      <c r="BU428" s="232"/>
      <c r="BV428" s="40"/>
      <c r="BW428" s="40"/>
      <c r="BX428" s="40"/>
      <c r="BY428" s="40"/>
      <c r="BZ428" s="40"/>
      <c r="CA428" s="40"/>
      <c r="CB428" s="40"/>
      <c r="CC428" s="40"/>
      <c r="CD428" s="40"/>
      <c r="CE428" s="40"/>
      <c r="CF428" s="40"/>
      <c r="CG428" s="40"/>
      <c r="CH428" s="40"/>
      <c r="CI428" s="40"/>
      <c r="CJ428" s="40"/>
      <c r="CK428" s="40"/>
      <c r="CL428" s="40"/>
      <c r="CM428" s="40"/>
      <c r="CN428" s="40"/>
      <c r="CO428" s="40"/>
      <c r="CP428" s="40"/>
      <c r="CQ428" s="40"/>
      <c r="CR428" s="40"/>
      <c r="CS428" s="40"/>
      <c r="CT428" s="823"/>
      <c r="CU428" s="232"/>
      <c r="CV428" s="232"/>
      <c r="CW428" s="232"/>
      <c r="CX428" s="232"/>
      <c r="CY428" s="232"/>
      <c r="CZ428" s="40"/>
      <c r="DA428" s="40"/>
      <c r="DB428" s="40"/>
      <c r="DC428" s="40"/>
      <c r="DD428" s="40"/>
      <c r="DE428" s="40"/>
      <c r="DF428" s="232"/>
      <c r="DG428" s="232"/>
      <c r="DH428" s="232"/>
      <c r="DI428" s="232"/>
      <c r="DJ428" s="232"/>
      <c r="DK428" s="232"/>
      <c r="DL428" s="232"/>
      <c r="DM428" s="232"/>
      <c r="DN428" s="232"/>
    </row>
    <row r="429" spans="1:118">
      <c r="A429" s="40"/>
      <c r="B429" s="32"/>
      <c r="C429" s="32" t="s">
        <v>196</v>
      </c>
      <c r="D429" s="32"/>
      <c r="E429" s="292"/>
      <c r="F429" s="261"/>
      <c r="G429" s="261"/>
      <c r="H429" s="293"/>
      <c r="I429" s="884">
        <f>488+870+240+152+565+395</f>
        <v>2710</v>
      </c>
      <c r="J429" s="292"/>
      <c r="K429" s="261"/>
      <c r="L429" s="261"/>
      <c r="M429" s="293"/>
      <c r="N429" s="228"/>
      <c r="O429" s="292"/>
      <c r="P429" s="261"/>
      <c r="Q429" s="261"/>
      <c r="R429" s="293"/>
      <c r="S429" s="228"/>
      <c r="T429" s="292"/>
      <c r="U429" s="261"/>
      <c r="V429" s="261"/>
      <c r="W429" s="293"/>
      <c r="X429" s="228"/>
      <c r="Y429" s="292">
        <f>+Z429</f>
        <v>2710</v>
      </c>
      <c r="Z429" s="261">
        <f>+AA429</f>
        <v>2710</v>
      </c>
      <c r="AA429" s="261">
        <f>+AB429</f>
        <v>2710</v>
      </c>
      <c r="AB429" s="293">
        <f>+AC429</f>
        <v>2710</v>
      </c>
      <c r="AC429" s="669">
        <f>+I429</f>
        <v>2710</v>
      </c>
      <c r="AD429" s="292">
        <f t="shared" ref="AD429:BL429" si="642">AC429</f>
        <v>2710</v>
      </c>
      <c r="AE429" s="261">
        <f>+AD429</f>
        <v>2710</v>
      </c>
      <c r="AF429" s="261">
        <f t="shared" si="642"/>
        <v>2710</v>
      </c>
      <c r="AG429" s="293">
        <f>AF429</f>
        <v>2710</v>
      </c>
      <c r="AH429" s="228">
        <f t="shared" si="642"/>
        <v>2710</v>
      </c>
      <c r="AI429" s="1949">
        <f>AH429-488</f>
        <v>2222</v>
      </c>
      <c r="AJ429" s="261">
        <f t="shared" si="642"/>
        <v>2222</v>
      </c>
      <c r="AK429" s="261">
        <f t="shared" si="642"/>
        <v>2222</v>
      </c>
      <c r="AL429" s="293">
        <f>AK429</f>
        <v>2222</v>
      </c>
      <c r="AM429" s="228">
        <f t="shared" si="642"/>
        <v>2222</v>
      </c>
      <c r="AN429" s="292">
        <f>AM429</f>
        <v>2222</v>
      </c>
      <c r="AO429" s="261">
        <f>AN429</f>
        <v>2222</v>
      </c>
      <c r="AP429" s="261">
        <f>AO429</f>
        <v>2222</v>
      </c>
      <c r="AQ429" s="293">
        <f t="shared" si="642"/>
        <v>2222</v>
      </c>
      <c r="AR429" s="228">
        <f t="shared" si="642"/>
        <v>2222</v>
      </c>
      <c r="AS429" s="292">
        <f t="shared" si="642"/>
        <v>2222</v>
      </c>
      <c r="AT429" s="261">
        <f t="shared" si="642"/>
        <v>2222</v>
      </c>
      <c r="AU429" s="261">
        <f t="shared" ref="AU429" si="643">AT429</f>
        <v>2222</v>
      </c>
      <c r="AV429" s="293">
        <f t="shared" si="642"/>
        <v>2222</v>
      </c>
      <c r="AW429" s="228">
        <f t="shared" si="642"/>
        <v>2222</v>
      </c>
      <c r="AX429" s="292">
        <v>0</v>
      </c>
      <c r="AY429" s="261">
        <f t="shared" si="642"/>
        <v>0</v>
      </c>
      <c r="AZ429" s="261">
        <f t="shared" si="642"/>
        <v>0</v>
      </c>
      <c r="BA429" s="293">
        <f t="shared" si="642"/>
        <v>0</v>
      </c>
      <c r="BB429" s="228">
        <f t="shared" si="642"/>
        <v>0</v>
      </c>
      <c r="BC429" s="292">
        <f t="shared" si="642"/>
        <v>0</v>
      </c>
      <c r="BD429" s="261">
        <f t="shared" si="642"/>
        <v>0</v>
      </c>
      <c r="BE429" s="261">
        <f t="shared" si="642"/>
        <v>0</v>
      </c>
      <c r="BF429" s="293">
        <f t="shared" si="642"/>
        <v>0</v>
      </c>
      <c r="BG429" s="228">
        <f>BF429</f>
        <v>0</v>
      </c>
      <c r="BH429" s="292">
        <f>BG429</f>
        <v>0</v>
      </c>
      <c r="BI429" s="261">
        <f t="shared" si="642"/>
        <v>0</v>
      </c>
      <c r="BJ429" s="261">
        <f t="shared" si="642"/>
        <v>0</v>
      </c>
      <c r="BK429" s="293">
        <f t="shared" si="642"/>
        <v>0</v>
      </c>
      <c r="BL429" s="228">
        <f t="shared" si="642"/>
        <v>0</v>
      </c>
      <c r="BM429" s="292">
        <f t="shared" ref="BM429" si="644">BL429</f>
        <v>0</v>
      </c>
      <c r="BN429" s="261">
        <f t="shared" ref="BN429" si="645">BM429</f>
        <v>0</v>
      </c>
      <c r="BO429" s="261">
        <f t="shared" ref="BO429" si="646">BN429</f>
        <v>0</v>
      </c>
      <c r="BP429" s="293">
        <f t="shared" ref="BP429" si="647">BO429</f>
        <v>0</v>
      </c>
      <c r="BQ429" s="228">
        <f t="shared" ref="BQ429" si="648">BP429</f>
        <v>0</v>
      </c>
      <c r="BR429" s="40"/>
      <c r="BS429" s="40"/>
      <c r="BT429" s="40"/>
      <c r="BU429" s="232"/>
      <c r="BV429" s="40"/>
      <c r="BW429" s="40"/>
      <c r="BX429" s="40"/>
      <c r="BY429" s="40"/>
      <c r="BZ429" s="40"/>
      <c r="CA429" s="40"/>
      <c r="CB429" s="40"/>
      <c r="CC429" s="40"/>
      <c r="CD429" s="40"/>
      <c r="CE429" s="40"/>
      <c r="CF429" s="40"/>
      <c r="CG429" s="40"/>
      <c r="CH429" s="40"/>
      <c r="CI429" s="40"/>
      <c r="CJ429" s="40"/>
      <c r="CK429" s="40"/>
      <c r="CL429" s="40"/>
      <c r="CM429" s="40"/>
      <c r="CN429" s="40"/>
      <c r="CO429" s="40"/>
      <c r="CP429" s="40"/>
      <c r="CQ429" s="40"/>
      <c r="CR429" s="40"/>
      <c r="CS429" s="40"/>
      <c r="CT429" s="823"/>
      <c r="CU429" s="232"/>
      <c r="CV429" s="232"/>
      <c r="CW429" s="232"/>
      <c r="CX429" s="232"/>
      <c r="CY429" s="232"/>
      <c r="CZ429" s="40"/>
      <c r="DA429" s="40"/>
      <c r="DB429" s="40"/>
      <c r="DC429" s="40"/>
      <c r="DD429" s="40"/>
      <c r="DE429" s="40"/>
      <c r="DF429" s="232"/>
      <c r="DG429" s="232"/>
      <c r="DH429" s="232"/>
      <c r="DI429" s="232"/>
      <c r="DJ429" s="232"/>
      <c r="DK429" s="232"/>
      <c r="DL429" s="232"/>
      <c r="DM429" s="232"/>
      <c r="DN429" s="232"/>
    </row>
    <row r="430" spans="1:118">
      <c r="A430" s="40"/>
      <c r="B430" s="32"/>
      <c r="C430" s="1"/>
      <c r="D430" s="1"/>
      <c r="E430" s="273"/>
      <c r="F430" s="3"/>
      <c r="G430" s="3"/>
      <c r="H430" s="274"/>
      <c r="I430" s="28"/>
      <c r="J430" s="273"/>
      <c r="K430" s="3"/>
      <c r="L430" s="3"/>
      <c r="M430" s="274"/>
      <c r="N430" s="1"/>
      <c r="O430" s="273"/>
      <c r="P430" s="3"/>
      <c r="Q430" s="3"/>
      <c r="R430" s="274"/>
      <c r="S430" s="1"/>
      <c r="T430" s="273"/>
      <c r="U430" s="3"/>
      <c r="V430" s="3"/>
      <c r="W430" s="274"/>
      <c r="X430" s="1"/>
      <c r="Y430" s="273"/>
      <c r="Z430" s="3"/>
      <c r="AA430" s="3"/>
      <c r="AB430" s="274"/>
      <c r="AC430" s="1"/>
      <c r="AD430" s="273"/>
      <c r="AE430" s="3"/>
      <c r="AF430" s="3"/>
      <c r="AG430" s="274"/>
      <c r="AH430" s="1"/>
      <c r="AI430" s="273"/>
      <c r="AJ430" s="3"/>
      <c r="AK430" s="3"/>
      <c r="AL430" s="274"/>
      <c r="AM430" s="1"/>
      <c r="AN430" s="273"/>
      <c r="AO430" s="3"/>
      <c r="AP430" s="3"/>
      <c r="AQ430" s="274"/>
      <c r="AR430" s="1"/>
      <c r="AS430" s="273"/>
      <c r="AT430" s="3"/>
      <c r="AU430" s="3"/>
      <c r="AV430" s="274"/>
      <c r="AW430" s="1"/>
      <c r="AX430" s="273"/>
      <c r="AY430" s="3"/>
      <c r="AZ430" s="3"/>
      <c r="BA430" s="274"/>
      <c r="BB430" s="1"/>
      <c r="BC430" s="273"/>
      <c r="BD430" s="3"/>
      <c r="BE430" s="3"/>
      <c r="BF430" s="274"/>
      <c r="BG430" s="1"/>
      <c r="BH430" s="273"/>
      <c r="BI430" s="3"/>
      <c r="BJ430" s="3"/>
      <c r="BK430" s="274"/>
      <c r="BL430" s="1"/>
      <c r="BM430" s="273"/>
      <c r="BN430" s="3"/>
      <c r="BO430" s="3"/>
      <c r="BP430" s="274"/>
      <c r="BQ430" s="1"/>
      <c r="BR430" s="40"/>
      <c r="BS430" s="40"/>
      <c r="BT430" s="40"/>
      <c r="BU430" s="232"/>
      <c r="BV430" s="40"/>
      <c r="BW430" s="40"/>
      <c r="BX430" s="40"/>
      <c r="BY430" s="40"/>
      <c r="BZ430" s="40"/>
      <c r="CA430" s="40"/>
      <c r="CB430" s="40"/>
      <c r="CC430" s="40"/>
      <c r="CD430" s="40"/>
      <c r="CE430" s="40"/>
      <c r="CF430" s="40"/>
      <c r="CG430" s="40"/>
      <c r="CH430" s="40"/>
      <c r="CI430" s="40"/>
      <c r="CJ430" s="40"/>
      <c r="CK430" s="40"/>
      <c r="CL430" s="40"/>
      <c r="CM430" s="40"/>
      <c r="CN430" s="40"/>
      <c r="CO430" s="40"/>
      <c r="CP430" s="40"/>
      <c r="CQ430" s="40"/>
      <c r="CR430" s="40"/>
      <c r="CS430" s="40"/>
      <c r="CT430" s="823"/>
      <c r="CU430" s="232"/>
      <c r="CV430" s="232"/>
      <c r="CW430" s="232"/>
      <c r="CX430" s="232"/>
      <c r="CY430" s="232"/>
      <c r="CZ430" s="40"/>
      <c r="DA430" s="40"/>
      <c r="DB430" s="40"/>
      <c r="DC430" s="40"/>
      <c r="DD430" s="40"/>
      <c r="DE430" s="40"/>
      <c r="DF430" s="232"/>
      <c r="DG430" s="232"/>
      <c r="DH430" s="232"/>
      <c r="DI430" s="232"/>
      <c r="DJ430" s="232"/>
      <c r="DK430" s="232"/>
      <c r="DL430" s="232"/>
      <c r="DM430" s="232"/>
      <c r="DN430" s="232"/>
    </row>
    <row r="431" spans="1:118">
      <c r="A431" s="40"/>
      <c r="B431" s="32"/>
      <c r="C431" s="28" t="s">
        <v>170</v>
      </c>
      <c r="D431" s="1"/>
      <c r="E431" s="273"/>
      <c r="F431" s="3"/>
      <c r="G431" s="3"/>
      <c r="H431" s="274"/>
      <c r="I431" s="544">
        <v>0.2</v>
      </c>
      <c r="J431" s="273"/>
      <c r="K431" s="3"/>
      <c r="L431" s="3"/>
      <c r="M431" s="274"/>
      <c r="N431" s="1"/>
      <c r="O431" s="273"/>
      <c r="P431" s="3"/>
      <c r="Q431" s="3"/>
      <c r="R431" s="274"/>
      <c r="S431" s="1"/>
      <c r="T431" s="277"/>
      <c r="U431" s="253"/>
      <c r="V431" s="253"/>
      <c r="W431" s="278"/>
      <c r="X431" s="224"/>
      <c r="Y431" s="277">
        <f>IF(Y426&gt;Y427,$I431,0%)</f>
        <v>0</v>
      </c>
      <c r="Z431" s="253">
        <f>IF(Z426&gt;Z427,$I431,0%)</f>
        <v>0</v>
      </c>
      <c r="AA431" s="253">
        <f>IF(AA426&gt;AA427,$I431,0%)</f>
        <v>0</v>
      </c>
      <c r="AB431" s="278">
        <f>IF(AB426&gt;AB427,$I431,0%)</f>
        <v>0</v>
      </c>
      <c r="AC431" s="224">
        <f>AVERAGE(Y431:AB431)</f>
        <v>0</v>
      </c>
      <c r="AD431" s="277">
        <f>IF(AD426&gt;AD427,$I431,0%)</f>
        <v>0.2</v>
      </c>
      <c r="AE431" s="253">
        <f>IF(AE426&gt;AE427,$I431,0%)</f>
        <v>0</v>
      </c>
      <c r="AF431" s="253">
        <f>IF(AF426&gt;AF427,$I431,0%)</f>
        <v>0</v>
      </c>
      <c r="AG431" s="278">
        <f>IF(AG426&gt;AG427,$I431,0%)</f>
        <v>0</v>
      </c>
      <c r="AH431" s="224">
        <f>AVERAGE(AD431:AG431)</f>
        <v>0.05</v>
      </c>
      <c r="AI431" s="277">
        <f>IF(AI426&gt;AI427,$I431,0%)</f>
        <v>0</v>
      </c>
      <c r="AJ431" s="253">
        <f>IF(AJ426&gt;AJ427,$I431,0%)</f>
        <v>0</v>
      </c>
      <c r="AK431" s="253">
        <f>IF(AK426&gt;AK427,$I431,0%)</f>
        <v>0.2</v>
      </c>
      <c r="AL431" s="278">
        <f>IF(AL426&gt;AL427,$I431,0%)</f>
        <v>0</v>
      </c>
      <c r="AM431" s="224">
        <f>AVERAGE(AI431:AL431)</f>
        <v>0.05</v>
      </c>
      <c r="AN431" s="277">
        <f>IF(AN426&gt;AN427,$I431,0%)</f>
        <v>0</v>
      </c>
      <c r="AO431" s="253">
        <f>IF(AO426&gt;AO427,$I431,0%)</f>
        <v>0</v>
      </c>
      <c r="AP431" s="253">
        <f>IF(AP426&gt;AP427,$I431,0%)</f>
        <v>0</v>
      </c>
      <c r="AQ431" s="278">
        <f>IF(AQ426&gt;AQ427,$I431,0%)</f>
        <v>0</v>
      </c>
      <c r="AR431" s="224">
        <f>AVERAGE(AN431:AQ431)</f>
        <v>0</v>
      </c>
      <c r="AS431" s="277">
        <f>IF(AS426&gt;AS427,$I431,0%)</f>
        <v>0</v>
      </c>
      <c r="AT431" s="253">
        <f>IF(AT426&gt;AT427,$I431,0%)</f>
        <v>0</v>
      </c>
      <c r="AU431" s="253">
        <f t="shared" ref="AU431" si="649">IF(AU426&gt;AU427,$I431,0%)</f>
        <v>0</v>
      </c>
      <c r="AV431" s="278">
        <f>IF(AV426&gt;AV427,$I431,0%)</f>
        <v>0</v>
      </c>
      <c r="AW431" s="224">
        <f>AVERAGE(AS431:AV431)</f>
        <v>0</v>
      </c>
      <c r="AX431" s="277">
        <f>IF(AX426&gt;AX427,$I431,0%)</f>
        <v>0</v>
      </c>
      <c r="AY431" s="253">
        <f>IF(AY426&gt;AY427,$I431,0%)</f>
        <v>0.2</v>
      </c>
      <c r="AZ431" s="253">
        <f>IF(AZ426&gt;AZ427,$I431,0%)</f>
        <v>0.2</v>
      </c>
      <c r="BA431" s="278">
        <f>IF(BA426&gt;BA427,$I431,0%)</f>
        <v>0</v>
      </c>
      <c r="BB431" s="224">
        <f>AVERAGE(AX431:BA431)</f>
        <v>0.1</v>
      </c>
      <c r="BC431" s="277">
        <f>IF(BC426&gt;BC427,$I431,0%)</f>
        <v>0</v>
      </c>
      <c r="BD431" s="253">
        <f>IF(BD426&gt;BD427,$I431,0%)</f>
        <v>0</v>
      </c>
      <c r="BE431" s="253">
        <f>IF(BE426&gt;BE427,$I431,0%)</f>
        <v>0.2</v>
      </c>
      <c r="BF431" s="278">
        <f>IF(BF426&gt;BF427,$I431,0%)</f>
        <v>0.2</v>
      </c>
      <c r="BG431" s="224">
        <f>AVERAGE(BC431:BF431)</f>
        <v>0.1</v>
      </c>
      <c r="BH431" s="277">
        <f>IF(BH426&gt;BH427,$I431,0%)</f>
        <v>0</v>
      </c>
      <c r="BI431" s="253">
        <f>IF(BI426&gt;BI427,$I431,0%)</f>
        <v>0</v>
      </c>
      <c r="BJ431" s="253">
        <f>IF(BJ426&gt;BJ427,$I431,0%)</f>
        <v>0.2</v>
      </c>
      <c r="BK431" s="278">
        <f>IF(BK426&gt;BK427,$I431,0%)</f>
        <v>0.2</v>
      </c>
      <c r="BL431" s="224">
        <f>AVERAGE(BH431:BK431)</f>
        <v>0.1</v>
      </c>
      <c r="BM431" s="277">
        <f>IF(BM426&gt;BM427,$I431,0%)</f>
        <v>0</v>
      </c>
      <c r="BN431" s="253">
        <f>IF(BN426&gt;BN427,$I431,0%)</f>
        <v>0</v>
      </c>
      <c r="BO431" s="253">
        <f>IF(BO426&gt;BO427,$I431,0%)</f>
        <v>0.2</v>
      </c>
      <c r="BP431" s="278">
        <f>IF(BP426&gt;BP427,$I431,0%)</f>
        <v>0.2</v>
      </c>
      <c r="BQ431" s="224">
        <f>AVERAGE(BM431:BP431)</f>
        <v>0.1</v>
      </c>
      <c r="BR431" s="40"/>
      <c r="BS431" s="40"/>
      <c r="BT431" s="40"/>
      <c r="BU431" s="232"/>
      <c r="BV431" s="40"/>
      <c r="BW431" s="40"/>
      <c r="BX431" s="40"/>
      <c r="BY431" s="40"/>
      <c r="BZ431" s="40"/>
      <c r="CA431" s="40"/>
      <c r="CB431" s="40"/>
      <c r="CC431" s="40"/>
      <c r="CD431" s="40"/>
      <c r="CE431" s="40"/>
      <c r="CF431" s="40"/>
      <c r="CG431" s="40"/>
      <c r="CH431" s="40"/>
      <c r="CI431" s="40"/>
      <c r="CJ431" s="40"/>
      <c r="CK431" s="40"/>
      <c r="CL431" s="40"/>
      <c r="CM431" s="40"/>
      <c r="CN431" s="40"/>
      <c r="CO431" s="40"/>
      <c r="CP431" s="40"/>
      <c r="CQ431" s="40"/>
      <c r="CR431" s="40"/>
      <c r="CS431" s="40"/>
      <c r="CT431" s="823"/>
      <c r="CU431" s="232"/>
      <c r="CV431" s="232"/>
      <c r="CW431" s="232"/>
      <c r="CX431" s="232"/>
      <c r="CY431" s="232"/>
      <c r="CZ431" s="40"/>
      <c r="DA431" s="40"/>
      <c r="DB431" s="40"/>
      <c r="DC431" s="40"/>
      <c r="DD431" s="40"/>
      <c r="DE431" s="40"/>
      <c r="DF431" s="232"/>
      <c r="DG431" s="232"/>
      <c r="DH431" s="232"/>
      <c r="DI431" s="232"/>
      <c r="DJ431" s="232"/>
      <c r="DK431" s="232"/>
      <c r="DL431" s="232"/>
      <c r="DM431" s="232"/>
      <c r="DN431" s="232"/>
    </row>
    <row r="432" spans="1:118">
      <c r="A432" s="40"/>
      <c r="B432" s="32"/>
      <c r="C432" s="32" t="s">
        <v>198</v>
      </c>
      <c r="D432" s="32"/>
      <c r="E432" s="489"/>
      <c r="F432" s="342"/>
      <c r="G432" s="342"/>
      <c r="H432" s="490"/>
      <c r="I432" s="32"/>
      <c r="J432" s="489"/>
      <c r="K432" s="342"/>
      <c r="L432" s="342"/>
      <c r="M432" s="490"/>
      <c r="N432" s="32"/>
      <c r="O432" s="489"/>
      <c r="P432" s="342"/>
      <c r="Q432" s="342"/>
      <c r="R432" s="490"/>
      <c r="S432" s="32"/>
      <c r="T432" s="301"/>
      <c r="U432" s="265"/>
      <c r="V432" s="265"/>
      <c r="W432" s="302"/>
      <c r="X432" s="445"/>
      <c r="Y432" s="301">
        <f>(Y429*Y431*(8760/1000))/4</f>
        <v>0</v>
      </c>
      <c r="Z432" s="265">
        <f>(Z429*Z431*(8760/1000))/4</f>
        <v>0</v>
      </c>
      <c r="AA432" s="265">
        <f>(AA429*AA431*(8760/1000))/4</f>
        <v>0</v>
      </c>
      <c r="AB432" s="302">
        <f>(AB429*AB431*(8760/1000))/4</f>
        <v>0</v>
      </c>
      <c r="AC432" s="445">
        <f>SUM(Y432:AB432)</f>
        <v>0</v>
      </c>
      <c r="AD432" s="301">
        <f>(AD429*AD431*(8760/1000))/4</f>
        <v>1186.98</v>
      </c>
      <c r="AE432" s="265">
        <f>(AE429*AE431*(8760/1000))/4</f>
        <v>0</v>
      </c>
      <c r="AF432" s="265">
        <f>(AF429*AF431*(8760/1000))/4</f>
        <v>0</v>
      </c>
      <c r="AG432" s="302">
        <f>(AG429*AG431*(8760/1000))/4</f>
        <v>0</v>
      </c>
      <c r="AH432" s="445">
        <f>SUM(AD432:AG432)</f>
        <v>1186.98</v>
      </c>
      <c r="AI432" s="301">
        <f>(AI429*AI431*(8760/1000))/4</f>
        <v>0</v>
      </c>
      <c r="AJ432" s="265">
        <f>(AJ429*AJ431*(8760/1000))/4</f>
        <v>0</v>
      </c>
      <c r="AK432" s="265">
        <f>(AK429*AK431*(8760/1000))/4</f>
        <v>973.2360000000001</v>
      </c>
      <c r="AL432" s="302">
        <f>(AL429*AL431*(8760/1000))/4</f>
        <v>0</v>
      </c>
      <c r="AM432" s="445">
        <f>SUM(AI432:AL432)</f>
        <v>973.2360000000001</v>
      </c>
      <c r="AN432" s="301">
        <f>(AN429*AN431*(8760/1000))/4</f>
        <v>0</v>
      </c>
      <c r="AO432" s="265">
        <f>(AO429*AO431*(8760/1000))/4</f>
        <v>0</v>
      </c>
      <c r="AP432" s="265">
        <f>(AP429*AP431*(8760/1000))/4</f>
        <v>0</v>
      </c>
      <c r="AQ432" s="302">
        <f>(AQ429*AQ431*(8760/1000))/4</f>
        <v>0</v>
      </c>
      <c r="AR432" s="445">
        <f>SUM(AN432:AQ432)</f>
        <v>0</v>
      </c>
      <c r="AS432" s="301">
        <f>(AS429*AS431*(8760/1000))/4</f>
        <v>0</v>
      </c>
      <c r="AT432" s="265">
        <f>(AT429*AT431*(8760/1000))/4</f>
        <v>0</v>
      </c>
      <c r="AU432" s="265">
        <f t="shared" ref="AU432" si="650">(AU429*AU431*(8760/1000))/4</f>
        <v>0</v>
      </c>
      <c r="AV432" s="302">
        <f>(AV429*AV431*(8760/1000))/4</f>
        <v>0</v>
      </c>
      <c r="AW432" s="445">
        <f>SUM(AS432:AV432)</f>
        <v>0</v>
      </c>
      <c r="AX432" s="301">
        <f>(AX429*AX431*(8760/1000))/4</f>
        <v>0</v>
      </c>
      <c r="AY432" s="265">
        <f>(AY429*AY431*(8760/1000))/4</f>
        <v>0</v>
      </c>
      <c r="AZ432" s="265">
        <f>(AZ429*AZ431*(8760/1000))/4</f>
        <v>0</v>
      </c>
      <c r="BA432" s="302">
        <f>(BA429*BA431*(8760/1000))/4</f>
        <v>0</v>
      </c>
      <c r="BB432" s="445">
        <f>SUM(AX432:BA432)</f>
        <v>0</v>
      </c>
      <c r="BC432" s="301">
        <f>(BC429*BC431*(8760/1000))/4</f>
        <v>0</v>
      </c>
      <c r="BD432" s="265">
        <f>(BD429*BD431*(8760/1000))/4</f>
        <v>0</v>
      </c>
      <c r="BE432" s="265">
        <f>(BE429*BE431*(8760/1000))/4</f>
        <v>0</v>
      </c>
      <c r="BF432" s="302">
        <f>(BF429*BF431*(8760/1000))/4</f>
        <v>0</v>
      </c>
      <c r="BG432" s="445">
        <f>SUM(BC432:BF432)</f>
        <v>0</v>
      </c>
      <c r="BH432" s="301">
        <f>(BH429*BH431*(8760/1000))/4</f>
        <v>0</v>
      </c>
      <c r="BI432" s="265">
        <f>(BI429*BI431*(8760/1000))/4</f>
        <v>0</v>
      </c>
      <c r="BJ432" s="265">
        <f>(BJ429*BJ431*(8760/1000))/4</f>
        <v>0</v>
      </c>
      <c r="BK432" s="302">
        <f>(BK429*BK431*(8760/1000))/4</f>
        <v>0</v>
      </c>
      <c r="BL432" s="445">
        <f>SUM(BH432:BK432)</f>
        <v>0</v>
      </c>
      <c r="BM432" s="301">
        <f>(BM429*BM431*(8760/1000))/4</f>
        <v>0</v>
      </c>
      <c r="BN432" s="265">
        <f>(BN429*BN431*(8760/1000))/4</f>
        <v>0</v>
      </c>
      <c r="BO432" s="265">
        <f>(BO429*BO431*(8760/1000))/4</f>
        <v>0</v>
      </c>
      <c r="BP432" s="302">
        <f>(BP429*BP431*(8760/1000))/4</f>
        <v>0</v>
      </c>
      <c r="BQ432" s="445">
        <f>SUM(BM432:BP432)</f>
        <v>0</v>
      </c>
      <c r="BR432" s="40"/>
      <c r="BS432" s="40"/>
      <c r="BT432" s="40"/>
      <c r="BU432" s="232"/>
      <c r="BV432" s="40"/>
      <c r="BW432" s="40"/>
      <c r="BX432" s="40"/>
      <c r="BY432" s="40"/>
      <c r="BZ432" s="40"/>
      <c r="CA432" s="40"/>
      <c r="CB432" s="40"/>
      <c r="CC432" s="40"/>
      <c r="CD432" s="40"/>
      <c r="CE432" s="40"/>
      <c r="CF432" s="40"/>
      <c r="CG432" s="40"/>
      <c r="CH432" s="40"/>
      <c r="CI432" s="40"/>
      <c r="CJ432" s="40"/>
      <c r="CK432" s="40"/>
      <c r="CL432" s="40"/>
      <c r="CM432" s="40"/>
      <c r="CN432" s="40"/>
      <c r="CO432" s="40"/>
      <c r="CP432" s="40"/>
      <c r="CQ432" s="40"/>
      <c r="CR432" s="40"/>
      <c r="CS432" s="40"/>
      <c r="CT432" s="823"/>
      <c r="CU432" s="232"/>
      <c r="CV432" s="232"/>
      <c r="CW432" s="232"/>
      <c r="CX432" s="232"/>
      <c r="CY432" s="232"/>
      <c r="CZ432" s="40"/>
      <c r="DA432" s="40"/>
      <c r="DB432" s="40"/>
      <c r="DC432" s="40"/>
      <c r="DD432" s="40"/>
      <c r="DE432" s="40"/>
      <c r="DF432" s="232"/>
      <c r="DG432" s="232"/>
      <c r="DH432" s="232"/>
      <c r="DI432" s="232"/>
      <c r="DJ432" s="232"/>
      <c r="DK432" s="232"/>
      <c r="DL432" s="232"/>
      <c r="DM432" s="232"/>
      <c r="DN432" s="232"/>
    </row>
    <row r="433" spans="1:118">
      <c r="A433" s="40"/>
      <c r="B433" s="32"/>
      <c r="C433" s="28"/>
      <c r="D433" s="1"/>
      <c r="E433" s="273"/>
      <c r="F433" s="3"/>
      <c r="G433" s="3"/>
      <c r="H433" s="274"/>
      <c r="I433" s="28"/>
      <c r="J433" s="273"/>
      <c r="K433" s="3"/>
      <c r="L433" s="3"/>
      <c r="M433" s="274"/>
      <c r="N433" s="1"/>
      <c r="O433" s="273"/>
      <c r="P433" s="3"/>
      <c r="Q433" s="3"/>
      <c r="R433" s="274"/>
      <c r="S433" s="1"/>
      <c r="T433" s="273"/>
      <c r="U433" s="3"/>
      <c r="V433" s="3"/>
      <c r="W433" s="274"/>
      <c r="X433" s="1"/>
      <c r="Y433" s="273"/>
      <c r="Z433" s="3"/>
      <c r="AA433" s="3"/>
      <c r="AB433" s="274"/>
      <c r="AC433" s="1"/>
      <c r="AD433" s="273"/>
      <c r="AE433" s="3"/>
      <c r="AF433" s="3"/>
      <c r="AG433" s="274"/>
      <c r="AH433" s="1"/>
      <c r="AI433" s="273"/>
      <c r="AJ433" s="3"/>
      <c r="AK433" s="3"/>
      <c r="AL433" s="274"/>
      <c r="AM433" s="1"/>
      <c r="AN433" s="273"/>
      <c r="AO433" s="3"/>
      <c r="AP433" s="3"/>
      <c r="AQ433" s="274"/>
      <c r="AR433" s="1"/>
      <c r="AS433" s="273"/>
      <c r="AT433" s="3"/>
      <c r="AU433" s="3"/>
      <c r="AV433" s="274"/>
      <c r="AW433" s="1"/>
      <c r="AX433" s="273"/>
      <c r="AY433" s="3"/>
      <c r="AZ433" s="3"/>
      <c r="BA433" s="274"/>
      <c r="BB433" s="1"/>
      <c r="BC433" s="273"/>
      <c r="BD433" s="3"/>
      <c r="BE433" s="3"/>
      <c r="BF433" s="274"/>
      <c r="BG433" s="1"/>
      <c r="BH433" s="273"/>
      <c r="BI433" s="3"/>
      <c r="BJ433" s="3"/>
      <c r="BK433" s="274"/>
      <c r="BL433" s="1"/>
      <c r="BM433" s="273"/>
      <c r="BN433" s="3"/>
      <c r="BO433" s="3"/>
      <c r="BP433" s="274"/>
      <c r="BQ433" s="1"/>
      <c r="BR433" s="40"/>
      <c r="BS433" s="40"/>
      <c r="BT433" s="40"/>
      <c r="BU433" s="232"/>
      <c r="BV433" s="40"/>
      <c r="BW433" s="40"/>
      <c r="BX433" s="40"/>
      <c r="BY433" s="40"/>
      <c r="BZ433" s="40"/>
      <c r="CA433" s="40"/>
      <c r="CB433" s="40"/>
      <c r="CC433" s="40"/>
      <c r="CD433" s="40"/>
      <c r="CE433" s="40"/>
      <c r="CF433" s="40"/>
      <c r="CG433" s="40"/>
      <c r="CH433" s="40"/>
      <c r="CI433" s="40"/>
      <c r="CJ433" s="40"/>
      <c r="CK433" s="40"/>
      <c r="CL433" s="40"/>
      <c r="CM433" s="40"/>
      <c r="CN433" s="40"/>
      <c r="CO433" s="40"/>
      <c r="CP433" s="40"/>
      <c r="CQ433" s="40"/>
      <c r="CR433" s="40"/>
      <c r="CS433" s="40"/>
      <c r="CT433" s="823"/>
      <c r="CU433" s="232"/>
      <c r="CV433" s="232"/>
      <c r="CW433" s="232"/>
      <c r="CX433" s="232"/>
      <c r="CY433" s="232"/>
      <c r="CZ433" s="40"/>
      <c r="DA433" s="40"/>
      <c r="DB433" s="40"/>
      <c r="DC433" s="40"/>
      <c r="DD433" s="40"/>
      <c r="DE433" s="40"/>
      <c r="DF433" s="232"/>
      <c r="DG433" s="232"/>
      <c r="DH433" s="232"/>
      <c r="DI433" s="232"/>
      <c r="DJ433" s="232"/>
      <c r="DK433" s="232"/>
      <c r="DL433" s="232"/>
      <c r="DM433" s="232"/>
      <c r="DN433" s="232"/>
    </row>
    <row r="434" spans="1:118">
      <c r="A434" s="40"/>
      <c r="B434" s="32"/>
      <c r="C434" s="28" t="s">
        <v>797</v>
      </c>
      <c r="D434" s="1"/>
      <c r="E434" s="273"/>
      <c r="F434" s="3"/>
      <c r="G434" s="3"/>
      <c r="H434" s="274"/>
      <c r="I434" s="28"/>
      <c r="J434" s="273"/>
      <c r="K434" s="3"/>
      <c r="L434" s="3"/>
      <c r="M434" s="274"/>
      <c r="N434" s="1"/>
      <c r="O434" s="273"/>
      <c r="P434" s="3"/>
      <c r="Q434" s="3"/>
      <c r="R434" s="274"/>
      <c r="S434" s="1"/>
      <c r="T434" s="758"/>
      <c r="U434" s="660"/>
      <c r="V434" s="660"/>
      <c r="W434" s="661"/>
      <c r="X434" s="428"/>
      <c r="Y434" s="758">
        <f>(Y426/1000*Y432)</f>
        <v>0</v>
      </c>
      <c r="Z434" s="660">
        <f>(Z426/1000*Z432)</f>
        <v>0</v>
      </c>
      <c r="AA434" s="660">
        <f>(AA426/1000*AA432)</f>
        <v>0</v>
      </c>
      <c r="AB434" s="661">
        <f>(AB426/1000*AB432)</f>
        <v>0</v>
      </c>
      <c r="AC434" s="428">
        <f>SUM(Y434:AB434)</f>
        <v>0</v>
      </c>
      <c r="AD434" s="758">
        <f>(AD426/1000*AD432)</f>
        <v>71.442615794791664</v>
      </c>
      <c r="AE434" s="660">
        <f>(AE426/1000*AE432)</f>
        <v>0</v>
      </c>
      <c r="AF434" s="660">
        <f>(AF426/1000*AF432)</f>
        <v>0</v>
      </c>
      <c r="AG434" s="661">
        <f>(AG426/1000*AG432)</f>
        <v>0</v>
      </c>
      <c r="AH434" s="428">
        <f>SUM(AD434:AG434)</f>
        <v>71.442615794791664</v>
      </c>
      <c r="AI434" s="758">
        <f>(AI426/1000*AI432)</f>
        <v>0</v>
      </c>
      <c r="AJ434" s="660">
        <f>(AJ426/1000*AJ432)</f>
        <v>0</v>
      </c>
      <c r="AK434" s="660">
        <f>(AK426/1000*AK432)</f>
        <v>34.17331989034615</v>
      </c>
      <c r="AL434" s="661">
        <f>(AL426/1000*AL432)</f>
        <v>0</v>
      </c>
      <c r="AM434" s="428">
        <f>SUM(AI434:AL434)</f>
        <v>34.17331989034615</v>
      </c>
      <c r="AN434" s="758">
        <f>(AN426/1000*AN432)</f>
        <v>0</v>
      </c>
      <c r="AO434" s="660">
        <f>(AO426/1000*AO432)</f>
        <v>0</v>
      </c>
      <c r="AP434" s="660">
        <f>(AP426/1000*AP432)</f>
        <v>0</v>
      </c>
      <c r="AQ434" s="661">
        <f>(AQ426/1000*AQ432)</f>
        <v>0</v>
      </c>
      <c r="AR434" s="428">
        <f>SUM(AN434:AQ434)</f>
        <v>0</v>
      </c>
      <c r="AS434" s="758">
        <f>(AS426/1000*AS432)</f>
        <v>0</v>
      </c>
      <c r="AT434" s="660">
        <f>(AT426/1000*AT432)</f>
        <v>0</v>
      </c>
      <c r="AU434" s="660">
        <f t="shared" ref="AU434" si="651">(AU426/1000*AU432)</f>
        <v>0</v>
      </c>
      <c r="AV434" s="661">
        <f>(AV426/1000*AV432)</f>
        <v>0</v>
      </c>
      <c r="AW434" s="428">
        <f>SUM(AS434:AV434)</f>
        <v>0</v>
      </c>
      <c r="AX434" s="758">
        <f>(AX426/1000*AX432)</f>
        <v>0</v>
      </c>
      <c r="AY434" s="660">
        <f>(AY426/1000*AY432)</f>
        <v>0</v>
      </c>
      <c r="AZ434" s="660">
        <f>(AZ426/1000*AZ432)</f>
        <v>0</v>
      </c>
      <c r="BA434" s="661">
        <f>(BA426/1000*BA432)</f>
        <v>0</v>
      </c>
      <c r="BB434" s="428">
        <f>SUM(AX434:BA434)</f>
        <v>0</v>
      </c>
      <c r="BC434" s="758">
        <f>(BC426/1000*BC432)</f>
        <v>0</v>
      </c>
      <c r="BD434" s="660">
        <f>(BD426/1000*BD432)</f>
        <v>0</v>
      </c>
      <c r="BE434" s="660">
        <f>(BE426/1000*BE432)</f>
        <v>0</v>
      </c>
      <c r="BF434" s="661">
        <f>(BF426/1000*BF432)</f>
        <v>0</v>
      </c>
      <c r="BG434" s="428">
        <f>SUM(BC434:BF434)</f>
        <v>0</v>
      </c>
      <c r="BH434" s="758">
        <f>(BH426/1000*BH432)</f>
        <v>0</v>
      </c>
      <c r="BI434" s="660">
        <f>(BI426/1000*BI432)</f>
        <v>0</v>
      </c>
      <c r="BJ434" s="660">
        <f>(BJ426/1000*BJ432)</f>
        <v>0</v>
      </c>
      <c r="BK434" s="661">
        <f>(BK426/1000*BK432)</f>
        <v>0</v>
      </c>
      <c r="BL434" s="428">
        <f>SUM(BH434:BK434)</f>
        <v>0</v>
      </c>
      <c r="BM434" s="758">
        <f>(BM426/1000*BM432)</f>
        <v>0</v>
      </c>
      <c r="BN434" s="660">
        <f>(BN426/1000*BN432)</f>
        <v>0</v>
      </c>
      <c r="BO434" s="660">
        <f>(BO426/1000*BO432)</f>
        <v>0</v>
      </c>
      <c r="BP434" s="661">
        <f>(BP426/1000*BP432)</f>
        <v>0</v>
      </c>
      <c r="BQ434" s="428">
        <f>SUM(BM434:BP434)</f>
        <v>0</v>
      </c>
      <c r="BR434" s="40"/>
      <c r="BS434" s="40"/>
      <c r="BT434" s="40"/>
      <c r="BU434" s="232"/>
      <c r="BV434" s="40"/>
      <c r="BW434" s="40"/>
      <c r="BX434" s="40"/>
      <c r="BY434" s="40"/>
      <c r="BZ434" s="40"/>
      <c r="CA434" s="40"/>
      <c r="CB434" s="40"/>
      <c r="CC434" s="40"/>
      <c r="CD434" s="40"/>
      <c r="CE434" s="40"/>
      <c r="CF434" s="40"/>
      <c r="CG434" s="40"/>
      <c r="CH434" s="40"/>
      <c r="CI434" s="40"/>
      <c r="CJ434" s="40"/>
      <c r="CK434" s="40"/>
      <c r="CL434" s="40"/>
      <c r="CM434" s="40"/>
      <c r="CN434" s="40"/>
      <c r="CO434" s="40"/>
      <c r="CP434" s="40"/>
      <c r="CQ434" s="40"/>
      <c r="CR434" s="40"/>
      <c r="CS434" s="40"/>
      <c r="CT434" s="823"/>
      <c r="CU434" s="232"/>
      <c r="CV434" s="232"/>
      <c r="CW434" s="232"/>
      <c r="CX434" s="232"/>
      <c r="CY434" s="232"/>
      <c r="CZ434" s="40"/>
      <c r="DA434" s="40"/>
      <c r="DB434" s="40"/>
      <c r="DC434" s="40"/>
      <c r="DD434" s="40"/>
      <c r="DE434" s="40"/>
      <c r="DF434" s="232"/>
      <c r="DG434" s="232"/>
      <c r="DH434" s="232"/>
      <c r="DI434" s="232"/>
      <c r="DJ434" s="232"/>
      <c r="DK434" s="232"/>
      <c r="DL434" s="232"/>
      <c r="DM434" s="232"/>
      <c r="DN434" s="232"/>
    </row>
    <row r="435" spans="1:118">
      <c r="A435" s="40"/>
      <c r="B435" s="32"/>
      <c r="C435" s="28" t="s">
        <v>278</v>
      </c>
      <c r="D435" s="1"/>
      <c r="E435" s="273"/>
      <c r="F435" s="3"/>
      <c r="G435" s="3"/>
      <c r="H435" s="274"/>
      <c r="I435" s="349"/>
      <c r="J435" s="273"/>
      <c r="K435" s="3"/>
      <c r="L435" s="3"/>
      <c r="M435" s="274"/>
      <c r="N435" s="1"/>
      <c r="O435" s="273"/>
      <c r="P435" s="3"/>
      <c r="Q435" s="3"/>
      <c r="R435" s="274"/>
      <c r="S435" s="1"/>
      <c r="T435" s="758"/>
      <c r="U435" s="660"/>
      <c r="V435" s="660"/>
      <c r="W435" s="661"/>
      <c r="X435" s="428"/>
      <c r="Y435" s="758">
        <f>Y427/1000*Y432</f>
        <v>0</v>
      </c>
      <c r="Z435" s="660">
        <f>Z427/1000*Z432</f>
        <v>0</v>
      </c>
      <c r="AA435" s="660">
        <f>AA427/1000*AA432</f>
        <v>0</v>
      </c>
      <c r="AB435" s="661">
        <f>AB427/1000*AB432</f>
        <v>0</v>
      </c>
      <c r="AC435" s="428">
        <f>SUM(Y435:AB435)</f>
        <v>0</v>
      </c>
      <c r="AD435" s="758">
        <f>AD427/1000*AD432</f>
        <v>70.657825468524592</v>
      </c>
      <c r="AE435" s="660">
        <f>AE427/1000*AE432</f>
        <v>0</v>
      </c>
      <c r="AF435" s="660">
        <f>AF427/1000*AF432</f>
        <v>0</v>
      </c>
      <c r="AG435" s="661">
        <f>AG427/1000*AG432</f>
        <v>0</v>
      </c>
      <c r="AH435" s="428">
        <f>SUM(AD435:AG435)</f>
        <v>70.657825468524592</v>
      </c>
      <c r="AI435" s="758">
        <f>AI427/1000*AI432</f>
        <v>0</v>
      </c>
      <c r="AJ435" s="660">
        <f>AJ427/1000*AJ432</f>
        <v>0</v>
      </c>
      <c r="AK435" s="660">
        <f>AK427/1000*AK432</f>
        <v>30.940001211281245</v>
      </c>
      <c r="AL435" s="661">
        <f>AL427/1000*AL432</f>
        <v>0</v>
      </c>
      <c r="AM435" s="428">
        <f>SUM(AI435:AL435)</f>
        <v>30.940001211281245</v>
      </c>
      <c r="AN435" s="758">
        <f>AN427/1000*AN432</f>
        <v>0</v>
      </c>
      <c r="AO435" s="660">
        <f>AO427/1000*AO432</f>
        <v>0</v>
      </c>
      <c r="AP435" s="660">
        <f>AP427/1000*AP432</f>
        <v>0</v>
      </c>
      <c r="AQ435" s="661">
        <f>AQ427/1000*AQ432</f>
        <v>0</v>
      </c>
      <c r="AR435" s="428">
        <f>SUM(AN435:AQ435)</f>
        <v>0</v>
      </c>
      <c r="AS435" s="758">
        <f>AS427/1000*AS432</f>
        <v>0</v>
      </c>
      <c r="AT435" s="660">
        <f>AT427/1000*AT432</f>
        <v>0</v>
      </c>
      <c r="AU435" s="660">
        <f t="shared" ref="AU435" si="652">AU427/1000*AU432</f>
        <v>0</v>
      </c>
      <c r="AV435" s="661">
        <f>AV427/1000*AV432</f>
        <v>0</v>
      </c>
      <c r="AW435" s="428">
        <f>SUM(AS435:AV435)</f>
        <v>0</v>
      </c>
      <c r="AX435" s="758">
        <f>AX427/1000*AX432</f>
        <v>0</v>
      </c>
      <c r="AY435" s="660">
        <f>AY427/1000*AY432</f>
        <v>0</v>
      </c>
      <c r="AZ435" s="660">
        <f>AZ427/1000*AZ432</f>
        <v>0</v>
      </c>
      <c r="BA435" s="661">
        <f>BA427/1000*BA432</f>
        <v>0</v>
      </c>
      <c r="BB435" s="428">
        <f>SUM(AX435:BA435)</f>
        <v>0</v>
      </c>
      <c r="BC435" s="758">
        <f>BC427/1000*BC432</f>
        <v>0</v>
      </c>
      <c r="BD435" s="660">
        <f>BD427/1000*BD432</f>
        <v>0</v>
      </c>
      <c r="BE435" s="660">
        <f>BE427/1000*BE432</f>
        <v>0</v>
      </c>
      <c r="BF435" s="661">
        <f>BF427/1000*BF432</f>
        <v>0</v>
      </c>
      <c r="BG435" s="428">
        <f>SUM(BC435:BF435)</f>
        <v>0</v>
      </c>
      <c r="BH435" s="758">
        <f>BH427/1000*BH432</f>
        <v>0</v>
      </c>
      <c r="BI435" s="660">
        <f>BI427/1000*BI432</f>
        <v>0</v>
      </c>
      <c r="BJ435" s="660">
        <f>BJ427/1000*BJ432</f>
        <v>0</v>
      </c>
      <c r="BK435" s="661">
        <f>BK427/1000*BK432</f>
        <v>0</v>
      </c>
      <c r="BL435" s="428">
        <f>SUM(BH435:BK435)</f>
        <v>0</v>
      </c>
      <c r="BM435" s="758">
        <f>BM427/1000*BM432</f>
        <v>0</v>
      </c>
      <c r="BN435" s="660">
        <f>BN427/1000*BN432</f>
        <v>0</v>
      </c>
      <c r="BO435" s="660">
        <f>BO427/1000*BO432</f>
        <v>0</v>
      </c>
      <c r="BP435" s="661">
        <f>BP427/1000*BP432</f>
        <v>0</v>
      </c>
      <c r="BQ435" s="428">
        <f>SUM(BM435:BP435)</f>
        <v>0</v>
      </c>
      <c r="BR435" s="40"/>
      <c r="BS435" s="40"/>
      <c r="BT435" s="40"/>
      <c r="BU435" s="232"/>
      <c r="BV435" s="40"/>
      <c r="BW435" s="40"/>
      <c r="BX435" s="40"/>
      <c r="BY435" s="40"/>
      <c r="BZ435" s="40"/>
      <c r="CA435" s="40"/>
      <c r="CB435" s="40"/>
      <c r="CC435" s="40"/>
      <c r="CD435" s="40"/>
      <c r="CE435" s="40"/>
      <c r="CF435" s="40"/>
      <c r="CG435" s="40"/>
      <c r="CH435" s="40"/>
      <c r="CI435" s="40"/>
      <c r="CJ435" s="40"/>
      <c r="CK435" s="40"/>
      <c r="CL435" s="40"/>
      <c r="CM435" s="40"/>
      <c r="CN435" s="40"/>
      <c r="CO435" s="40"/>
      <c r="CP435" s="40"/>
      <c r="CQ435" s="40"/>
      <c r="CR435" s="40"/>
      <c r="CS435" s="40"/>
      <c r="CT435" s="823"/>
      <c r="CU435" s="232"/>
      <c r="CV435" s="232"/>
      <c r="CW435" s="232"/>
      <c r="CX435" s="232"/>
      <c r="CY435" s="232"/>
      <c r="CZ435" s="40"/>
      <c r="DA435" s="40"/>
      <c r="DB435" s="40"/>
      <c r="DC435" s="40"/>
      <c r="DD435" s="40"/>
      <c r="DE435" s="40"/>
      <c r="DF435" s="232"/>
      <c r="DG435" s="232"/>
      <c r="DH435" s="232"/>
      <c r="DI435" s="232"/>
      <c r="DJ435" s="232"/>
      <c r="DK435" s="232"/>
      <c r="DL435" s="232"/>
      <c r="DM435" s="232"/>
      <c r="DN435" s="232"/>
    </row>
    <row r="436" spans="1:118">
      <c r="A436" s="40"/>
      <c r="B436" s="32"/>
      <c r="C436" s="32" t="s">
        <v>199</v>
      </c>
      <c r="D436" s="32"/>
      <c r="E436" s="489"/>
      <c r="F436" s="342"/>
      <c r="G436" s="342"/>
      <c r="H436" s="490"/>
      <c r="I436" s="28"/>
      <c r="J436" s="489"/>
      <c r="K436" s="342"/>
      <c r="L436" s="342"/>
      <c r="M436" s="490"/>
      <c r="N436" s="32"/>
      <c r="O436" s="489"/>
      <c r="P436" s="342"/>
      <c r="Q436" s="342"/>
      <c r="R436" s="490"/>
      <c r="S436" s="32"/>
      <c r="T436" s="292"/>
      <c r="U436" s="261"/>
      <c r="V436" s="261"/>
      <c r="W436" s="293"/>
      <c r="X436" s="228"/>
      <c r="Y436" s="292">
        <f>Y434-Y435</f>
        <v>0</v>
      </c>
      <c r="Z436" s="261">
        <f>Z434-Z435</f>
        <v>0</v>
      </c>
      <c r="AA436" s="261">
        <f>AA434-AA435</f>
        <v>0</v>
      </c>
      <c r="AB436" s="293">
        <f>AB434-AB435</f>
        <v>0</v>
      </c>
      <c r="AC436" s="228">
        <f>AC434-AC435</f>
        <v>0</v>
      </c>
      <c r="AD436" s="292">
        <f t="shared" ref="AD436:BL436" si="653">AD434-AD435</f>
        <v>0.78479032626707124</v>
      </c>
      <c r="AE436" s="261">
        <f>AE434-AE435</f>
        <v>0</v>
      </c>
      <c r="AF436" s="261">
        <f t="shared" si="653"/>
        <v>0</v>
      </c>
      <c r="AG436" s="293">
        <f t="shared" si="653"/>
        <v>0</v>
      </c>
      <c r="AH436" s="228">
        <f t="shared" si="653"/>
        <v>0.78479032626707124</v>
      </c>
      <c r="AI436" s="292">
        <f t="shared" si="653"/>
        <v>0</v>
      </c>
      <c r="AJ436" s="261">
        <f t="shared" si="653"/>
        <v>0</v>
      </c>
      <c r="AK436" s="261">
        <f t="shared" si="653"/>
        <v>3.2333186790649044</v>
      </c>
      <c r="AL436" s="293">
        <f t="shared" si="653"/>
        <v>0</v>
      </c>
      <c r="AM436" s="228">
        <f t="shared" si="653"/>
        <v>3.2333186790649044</v>
      </c>
      <c r="AN436" s="292">
        <f t="shared" si="653"/>
        <v>0</v>
      </c>
      <c r="AO436" s="261">
        <f t="shared" si="653"/>
        <v>0</v>
      </c>
      <c r="AP436" s="261">
        <f t="shared" si="653"/>
        <v>0</v>
      </c>
      <c r="AQ436" s="293">
        <f t="shared" si="653"/>
        <v>0</v>
      </c>
      <c r="AR436" s="228">
        <f t="shared" si="653"/>
        <v>0</v>
      </c>
      <c r="AS436" s="292">
        <f t="shared" si="653"/>
        <v>0</v>
      </c>
      <c r="AT436" s="261">
        <f t="shared" si="653"/>
        <v>0</v>
      </c>
      <c r="AU436" s="261">
        <f t="shared" ref="AU436" si="654">AU434-AU435</f>
        <v>0</v>
      </c>
      <c r="AV436" s="293">
        <f t="shared" si="653"/>
        <v>0</v>
      </c>
      <c r="AW436" s="228">
        <f t="shared" si="653"/>
        <v>0</v>
      </c>
      <c r="AX436" s="292">
        <f t="shared" si="653"/>
        <v>0</v>
      </c>
      <c r="AY436" s="261">
        <f t="shared" si="653"/>
        <v>0</v>
      </c>
      <c r="AZ436" s="261">
        <f t="shared" si="653"/>
        <v>0</v>
      </c>
      <c r="BA436" s="293">
        <f t="shared" si="653"/>
        <v>0</v>
      </c>
      <c r="BB436" s="228">
        <f t="shared" si="653"/>
        <v>0</v>
      </c>
      <c r="BC436" s="292">
        <f t="shared" si="653"/>
        <v>0</v>
      </c>
      <c r="BD436" s="261">
        <f t="shared" si="653"/>
        <v>0</v>
      </c>
      <c r="BE436" s="261">
        <f t="shared" si="653"/>
        <v>0</v>
      </c>
      <c r="BF436" s="293">
        <f t="shared" si="653"/>
        <v>0</v>
      </c>
      <c r="BG436" s="228">
        <f t="shared" si="653"/>
        <v>0</v>
      </c>
      <c r="BH436" s="292">
        <f t="shared" si="653"/>
        <v>0</v>
      </c>
      <c r="BI436" s="261">
        <f t="shared" si="653"/>
        <v>0</v>
      </c>
      <c r="BJ436" s="261">
        <f t="shared" si="653"/>
        <v>0</v>
      </c>
      <c r="BK436" s="293">
        <f t="shared" si="653"/>
        <v>0</v>
      </c>
      <c r="BL436" s="228">
        <f t="shared" si="653"/>
        <v>0</v>
      </c>
      <c r="BM436" s="292">
        <f t="shared" ref="BM436:BQ436" si="655">BM434-BM435</f>
        <v>0</v>
      </c>
      <c r="BN436" s="261">
        <f t="shared" si="655"/>
        <v>0</v>
      </c>
      <c r="BO436" s="261">
        <f t="shared" si="655"/>
        <v>0</v>
      </c>
      <c r="BP436" s="293">
        <f t="shared" si="655"/>
        <v>0</v>
      </c>
      <c r="BQ436" s="228">
        <f t="shared" si="655"/>
        <v>0</v>
      </c>
      <c r="BR436" s="40"/>
      <c r="BS436" s="40"/>
      <c r="BT436" s="40"/>
      <c r="BU436" s="232"/>
      <c r="BV436" s="40"/>
      <c r="BW436" s="40"/>
      <c r="BX436" s="40"/>
      <c r="BY436" s="40"/>
      <c r="BZ436" s="40"/>
      <c r="CA436" s="40"/>
      <c r="CB436" s="40"/>
      <c r="CC436" s="40"/>
      <c r="CD436" s="40"/>
      <c r="CE436" s="40"/>
      <c r="CF436" s="40"/>
      <c r="CG436" s="40"/>
      <c r="CH436" s="40"/>
      <c r="CI436" s="40"/>
      <c r="CJ436" s="40"/>
      <c r="CK436" s="40"/>
      <c r="CL436" s="40"/>
      <c r="CM436" s="40"/>
      <c r="CN436" s="40"/>
      <c r="CO436" s="40"/>
      <c r="CP436" s="40"/>
      <c r="CQ436" s="40"/>
      <c r="CR436" s="40"/>
      <c r="CS436" s="40"/>
      <c r="CT436" s="823"/>
      <c r="CU436" s="232"/>
      <c r="CV436" s="232"/>
      <c r="CW436" s="232"/>
      <c r="CX436" s="232"/>
      <c r="CY436" s="232"/>
      <c r="CZ436" s="40"/>
      <c r="DA436" s="40"/>
      <c r="DB436" s="40"/>
      <c r="DC436" s="40"/>
      <c r="DD436" s="40"/>
      <c r="DE436" s="40"/>
      <c r="DF436" s="232"/>
      <c r="DG436" s="232"/>
      <c r="DH436" s="232"/>
      <c r="DI436" s="232"/>
      <c r="DJ436" s="232"/>
      <c r="DK436" s="232"/>
      <c r="DL436" s="232"/>
      <c r="DM436" s="232"/>
      <c r="DN436" s="232"/>
    </row>
    <row r="437" spans="1:118">
      <c r="A437" s="40"/>
      <c r="B437" s="32"/>
      <c r="C437" s="32"/>
      <c r="D437" s="32"/>
      <c r="E437" s="489"/>
      <c r="F437" s="342"/>
      <c r="G437" s="342"/>
      <c r="H437" s="490"/>
      <c r="I437" s="28"/>
      <c r="J437" s="489"/>
      <c r="K437" s="342"/>
      <c r="L437" s="342"/>
      <c r="M437" s="490"/>
      <c r="N437" s="32"/>
      <c r="O437" s="489"/>
      <c r="P437" s="342"/>
      <c r="Q437" s="342"/>
      <c r="R437" s="490"/>
      <c r="S437" s="32"/>
      <c r="T437" s="292"/>
      <c r="U437" s="261"/>
      <c r="V437" s="261"/>
      <c r="W437" s="293"/>
      <c r="X437" s="228"/>
      <c r="Y437" s="292"/>
      <c r="Z437" s="261"/>
      <c r="AA437" s="261"/>
      <c r="AB437" s="293"/>
      <c r="AC437" s="228"/>
      <c r="AD437" s="292"/>
      <c r="AE437" s="261"/>
      <c r="AF437" s="261"/>
      <c r="AG437" s="293"/>
      <c r="AH437" s="228"/>
      <c r="AI437" s="292"/>
      <c r="AJ437" s="261"/>
      <c r="AK437" s="261"/>
      <c r="AL437" s="293"/>
      <c r="AM437" s="228"/>
      <c r="AN437" s="292"/>
      <c r="AO437" s="261"/>
      <c r="AP437" s="261"/>
      <c r="AQ437" s="293"/>
      <c r="AR437" s="228"/>
      <c r="AS437" s="292"/>
      <c r="AT437" s="261"/>
      <c r="AU437" s="261"/>
      <c r="AV437" s="293"/>
      <c r="AW437" s="228"/>
      <c r="AX437" s="292"/>
      <c r="AY437" s="261"/>
      <c r="AZ437" s="261"/>
      <c r="BA437" s="293"/>
      <c r="BB437" s="228"/>
      <c r="BC437" s="292"/>
      <c r="BD437" s="261"/>
      <c r="BE437" s="261"/>
      <c r="BF437" s="293"/>
      <c r="BG437" s="228"/>
      <c r="BH437" s="292"/>
      <c r="BI437" s="261"/>
      <c r="BJ437" s="261"/>
      <c r="BK437" s="293"/>
      <c r="BL437" s="228"/>
      <c r="BM437" s="292"/>
      <c r="BN437" s="261"/>
      <c r="BO437" s="261"/>
      <c r="BP437" s="293"/>
      <c r="BQ437" s="228"/>
      <c r="BR437" s="40"/>
      <c r="BS437" s="40"/>
      <c r="BT437" s="40"/>
      <c r="BU437" s="232"/>
      <c r="BV437" s="40"/>
      <c r="BW437" s="40"/>
      <c r="BX437" s="40"/>
      <c r="BY437" s="40"/>
      <c r="BZ437" s="40"/>
      <c r="CA437" s="40"/>
      <c r="CB437" s="40"/>
      <c r="CC437" s="40"/>
      <c r="CD437" s="40"/>
      <c r="CE437" s="40"/>
      <c r="CF437" s="40"/>
      <c r="CG437" s="40"/>
      <c r="CH437" s="40"/>
      <c r="CI437" s="40"/>
      <c r="CJ437" s="40"/>
      <c r="CK437" s="40"/>
      <c r="CL437" s="40"/>
      <c r="CM437" s="40"/>
      <c r="CN437" s="40"/>
      <c r="CO437" s="40"/>
      <c r="CP437" s="40"/>
      <c r="CQ437" s="40"/>
      <c r="CR437" s="40"/>
      <c r="CS437" s="40"/>
      <c r="CT437" s="823"/>
      <c r="CU437" s="232"/>
      <c r="CV437" s="232"/>
      <c r="CW437" s="232"/>
      <c r="CX437" s="232"/>
      <c r="CY437" s="232"/>
      <c r="CZ437" s="40"/>
      <c r="DA437" s="40"/>
      <c r="DB437" s="40"/>
      <c r="DC437" s="40"/>
      <c r="DD437" s="40"/>
      <c r="DE437" s="40"/>
      <c r="DF437" s="232"/>
      <c r="DG437" s="232"/>
      <c r="DH437" s="232"/>
      <c r="DI437" s="232"/>
      <c r="DJ437" s="232"/>
      <c r="DK437" s="232"/>
      <c r="DL437" s="232"/>
      <c r="DM437" s="232"/>
      <c r="DN437" s="232"/>
    </row>
    <row r="438" spans="1:118">
      <c r="A438" s="40"/>
      <c r="B438" s="32"/>
      <c r="C438" s="429" t="s">
        <v>800</v>
      </c>
      <c r="D438" s="1"/>
      <c r="E438" s="273"/>
      <c r="F438" s="3"/>
      <c r="G438" s="3"/>
      <c r="H438" s="274"/>
      <c r="I438" s="440"/>
      <c r="J438" s="273"/>
      <c r="K438" s="3"/>
      <c r="L438" s="3"/>
      <c r="M438" s="274"/>
      <c r="N438" s="1"/>
      <c r="O438" s="273"/>
      <c r="P438" s="3"/>
      <c r="Q438" s="3"/>
      <c r="R438" s="274"/>
      <c r="S438" s="1"/>
      <c r="T438" s="273"/>
      <c r="U438" s="3"/>
      <c r="V438" s="3"/>
      <c r="W438" s="274"/>
      <c r="X438" s="1"/>
      <c r="Y438" s="273"/>
      <c r="Z438" s="3"/>
      <c r="AA438" s="3"/>
      <c r="AB438" s="274"/>
      <c r="AC438" s="1"/>
      <c r="AD438" s="273"/>
      <c r="AE438" s="3"/>
      <c r="AF438" s="3"/>
      <c r="AG438" s="274"/>
      <c r="AH438" s="1"/>
      <c r="AI438" s="273"/>
      <c r="AJ438" s="3"/>
      <c r="AK438" s="3"/>
      <c r="AL438" s="274"/>
      <c r="AM438" s="1"/>
      <c r="AN438" s="273"/>
      <c r="AO438" s="3"/>
      <c r="AP438" s="3"/>
      <c r="AQ438" s="274"/>
      <c r="AR438" s="1"/>
      <c r="AS438" s="273"/>
      <c r="AT438" s="3"/>
      <c r="AU438" s="3"/>
      <c r="AV438" s="274"/>
      <c r="AW438" s="1"/>
      <c r="AX438" s="273"/>
      <c r="AY438" s="3"/>
      <c r="AZ438" s="3"/>
      <c r="BA438" s="274"/>
      <c r="BB438" s="1"/>
      <c r="BC438" s="273"/>
      <c r="BD438" s="3"/>
      <c r="BE438" s="3"/>
      <c r="BF438" s="274"/>
      <c r="BG438" s="1"/>
      <c r="BH438" s="273"/>
      <c r="BI438" s="3"/>
      <c r="BJ438" s="3"/>
      <c r="BK438" s="274"/>
      <c r="BL438" s="1"/>
      <c r="BM438" s="273"/>
      <c r="BN438" s="3"/>
      <c r="BO438" s="3"/>
      <c r="BP438" s="274"/>
      <c r="BQ438" s="1"/>
      <c r="BR438" s="40"/>
      <c r="BS438" s="40"/>
      <c r="BT438" s="40"/>
      <c r="BU438" s="232"/>
      <c r="BV438" s="40"/>
      <c r="BW438" s="40"/>
      <c r="BX438" s="40"/>
      <c r="BY438" s="40"/>
      <c r="BZ438" s="40"/>
      <c r="CA438" s="40"/>
      <c r="CB438" s="40"/>
      <c r="CC438" s="40"/>
      <c r="CD438" s="40"/>
      <c r="CE438" s="40"/>
      <c r="CF438" s="40"/>
      <c r="CG438" s="40"/>
      <c r="CH438" s="40"/>
      <c r="CI438" s="40"/>
      <c r="CJ438" s="40"/>
      <c r="CK438" s="40"/>
      <c r="CL438" s="40"/>
      <c r="CM438" s="40"/>
      <c r="CN438" s="40"/>
      <c r="CO438" s="40"/>
      <c r="CP438" s="40"/>
      <c r="CQ438" s="40"/>
      <c r="CR438" s="40"/>
      <c r="CS438" s="40"/>
      <c r="CT438" s="823"/>
      <c r="CU438" s="232"/>
      <c r="CV438" s="232"/>
      <c r="CW438" s="232"/>
      <c r="CX438" s="232"/>
      <c r="CY438" s="232"/>
      <c r="CZ438" s="40"/>
      <c r="DA438" s="40"/>
      <c r="DB438" s="40"/>
      <c r="DC438" s="40"/>
      <c r="DD438" s="40"/>
      <c r="DE438" s="40"/>
      <c r="DF438" s="232"/>
      <c r="DG438" s="232"/>
      <c r="DH438" s="232"/>
      <c r="DI438" s="232"/>
      <c r="DJ438" s="232"/>
      <c r="DK438" s="232"/>
      <c r="DL438" s="232"/>
      <c r="DM438" s="232"/>
      <c r="DN438" s="232"/>
    </row>
    <row r="439" spans="1:118">
      <c r="A439" s="40"/>
      <c r="B439" s="32"/>
      <c r="C439" s="28" t="s">
        <v>200</v>
      </c>
      <c r="D439" s="1"/>
      <c r="E439" s="273"/>
      <c r="F439" s="3"/>
      <c r="G439" s="3"/>
      <c r="H439" s="274"/>
      <c r="I439" s="28"/>
      <c r="J439" s="273"/>
      <c r="K439" s="3"/>
      <c r="L439" s="3"/>
      <c r="M439" s="274"/>
      <c r="N439" s="1"/>
      <c r="O439" s="273"/>
      <c r="P439" s="3"/>
      <c r="Q439" s="3"/>
      <c r="R439" s="274"/>
      <c r="S439" s="1"/>
      <c r="T439" s="436"/>
      <c r="U439" s="437"/>
      <c r="V439" s="437"/>
      <c r="W439" s="438"/>
      <c r="X439" s="439"/>
      <c r="Y439" s="436">
        <f>Y$93</f>
        <v>29.044474206349207</v>
      </c>
      <c r="Z439" s="437">
        <f>Z$93</f>
        <v>35.193894042968758</v>
      </c>
      <c r="AA439" s="437">
        <f>AA$93</f>
        <v>38.431984863281251</v>
      </c>
      <c r="AB439" s="438">
        <f>AB$93</f>
        <v>35.855332031250001</v>
      </c>
      <c r="AC439" s="439">
        <f>AVERAGE(Y439:AB439)</f>
        <v>34.631421285962304</v>
      </c>
      <c r="AD439" s="436">
        <f>AD$93</f>
        <v>60.188559027777771</v>
      </c>
      <c r="AE439" s="437">
        <f>AE$93</f>
        <v>37.938735351562507</v>
      </c>
      <c r="AF439" s="437">
        <f>AF$93</f>
        <v>37.938735351562507</v>
      </c>
      <c r="AG439" s="438">
        <f>AG$93</f>
        <v>34.462575683593748</v>
      </c>
      <c r="AH439" s="439">
        <f>AVERAGE(AD439:AG439)</f>
        <v>42.632151353624131</v>
      </c>
      <c r="AI439" s="436">
        <f>AI$93</f>
        <v>26.624528769841277</v>
      </c>
      <c r="AJ439" s="437">
        <f>AJ$93</f>
        <v>27.696826171875003</v>
      </c>
      <c r="AK439" s="437">
        <f>AK$93</f>
        <v>35.11308653846153</v>
      </c>
      <c r="AL439" s="438">
        <f>AL$93</f>
        <v>20.858798828125007</v>
      </c>
      <c r="AM439" s="439">
        <f>AVERAGE(AI439:AL439)</f>
        <v>27.573310077075703</v>
      </c>
      <c r="AN439" s="436">
        <f>AN$93</f>
        <v>19.67302978515626</v>
      </c>
      <c r="AO439" s="437">
        <f>AO$93</f>
        <v>22.350983886718744</v>
      </c>
      <c r="AP439" s="437">
        <f>AP$93</f>
        <v>30.610273437499991</v>
      </c>
      <c r="AQ439" s="438">
        <f>AQ$93</f>
        <v>25.72022321428571</v>
      </c>
      <c r="AR439" s="439">
        <f>AVERAGE(AN439:AQ439)</f>
        <v>24.588627580915176</v>
      </c>
      <c r="AS439" s="436">
        <f>AS$93</f>
        <v>22.746433105468753</v>
      </c>
      <c r="AT439" s="437">
        <f>AT$93</f>
        <v>27.890290527343748</v>
      </c>
      <c r="AU439" s="437">
        <f t="shared" ref="AU439" si="656">AU$93</f>
        <v>29.419799107142854</v>
      </c>
      <c r="AV439" s="438">
        <f>AV$93</f>
        <v>31.786008300781265</v>
      </c>
      <c r="AW439" s="439">
        <f>AVERAGE(AS439:AV439)</f>
        <v>27.960632760184154</v>
      </c>
      <c r="AX439" s="436">
        <f>AX$93</f>
        <v>31.786008300781265</v>
      </c>
      <c r="AY439" s="437">
        <f>AY$93</f>
        <v>35.332000000000001</v>
      </c>
      <c r="AZ439" s="437">
        <f>AZ$93</f>
        <v>118.57111666666667</v>
      </c>
      <c r="BA439" s="438">
        <f>BA$93</f>
        <v>26.272433333333336</v>
      </c>
      <c r="BB439" s="439">
        <f>AVERAGE(AX439:BA439)</f>
        <v>52.990389575195316</v>
      </c>
      <c r="BC439" s="436">
        <f>BC$93</f>
        <v>23.582895883834407</v>
      </c>
      <c r="BD439" s="437">
        <f>BD$93</f>
        <v>24.587500242086577</v>
      </c>
      <c r="BE439" s="437">
        <f>BE$93</f>
        <v>70.499208350188795</v>
      </c>
      <c r="BF439" s="438">
        <f>BF$93</f>
        <v>43.541112190290228</v>
      </c>
      <c r="BG439" s="439">
        <f>AVERAGE(BC439:BF439)</f>
        <v>40.552679166600001</v>
      </c>
      <c r="BH439" s="436">
        <f>BH$93</f>
        <v>21.356595924499164</v>
      </c>
      <c r="BI439" s="437">
        <f>BI$93</f>
        <v>22.266362453973152</v>
      </c>
      <c r="BJ439" s="437">
        <f>BJ$93</f>
        <v>63.843860107279397</v>
      </c>
      <c r="BK439" s="438">
        <f>BK$93</f>
        <v>39.430693487848281</v>
      </c>
      <c r="BL439" s="439">
        <f>AVERAGE(BH439:BK439)</f>
        <v>36.724377993399997</v>
      </c>
      <c r="BM439" s="436">
        <f>BM$93</f>
        <v>25.807336032311365</v>
      </c>
      <c r="BN439" s="437">
        <f>BN$93</f>
        <v>29.32454016156213</v>
      </c>
      <c r="BO439" s="437">
        <f>BO$93</f>
        <v>69.721108842409734</v>
      </c>
      <c r="BP439" s="438">
        <f>BP$93</f>
        <v>40.25545698550826</v>
      </c>
      <c r="BQ439" s="439">
        <f>AVERAGE(BM439:BP439)</f>
        <v>41.277110505447872</v>
      </c>
      <c r="BR439" s="40"/>
      <c r="BS439" s="40"/>
      <c r="BT439" s="40"/>
      <c r="BU439" s="232"/>
      <c r="BV439" s="40"/>
      <c r="BW439" s="40"/>
      <c r="BX439" s="40"/>
      <c r="BY439" s="40"/>
      <c r="BZ439" s="40"/>
      <c r="CA439" s="40"/>
      <c r="CB439" s="40"/>
      <c r="CC439" s="40"/>
      <c r="CD439" s="40"/>
      <c r="CE439" s="40"/>
      <c r="CF439" s="40"/>
      <c r="CG439" s="40"/>
      <c r="CH439" s="40"/>
      <c r="CI439" s="40"/>
      <c r="CJ439" s="40"/>
      <c r="CK439" s="40"/>
      <c r="CL439" s="40"/>
      <c r="CM439" s="40"/>
      <c r="CN439" s="40"/>
      <c r="CO439" s="40"/>
      <c r="CP439" s="40"/>
      <c r="CQ439" s="40"/>
      <c r="CR439" s="40"/>
      <c r="CS439" s="40"/>
      <c r="CT439" s="823"/>
      <c r="CU439" s="232"/>
      <c r="CV439" s="232"/>
      <c r="CW439" s="232"/>
      <c r="CX439" s="232"/>
      <c r="CY439" s="232"/>
      <c r="CZ439" s="40"/>
      <c r="DA439" s="40"/>
      <c r="DB439" s="40"/>
      <c r="DC439" s="40"/>
      <c r="DD439" s="40"/>
      <c r="DE439" s="40"/>
      <c r="DF439" s="232"/>
      <c r="DG439" s="232"/>
      <c r="DH439" s="232"/>
      <c r="DI439" s="232"/>
      <c r="DJ439" s="232"/>
      <c r="DK439" s="232"/>
      <c r="DL439" s="232"/>
      <c r="DM439" s="232"/>
      <c r="DN439" s="232"/>
    </row>
    <row r="440" spans="1:118">
      <c r="A440" s="40"/>
      <c r="B440" s="32"/>
      <c r="C440" s="28" t="s">
        <v>167</v>
      </c>
      <c r="D440" s="1"/>
      <c r="E440" s="273"/>
      <c r="F440" s="3"/>
      <c r="G440" s="3"/>
      <c r="H440" s="274"/>
      <c r="I440" s="28"/>
      <c r="J440" s="273"/>
      <c r="K440" s="3"/>
      <c r="L440" s="3"/>
      <c r="M440" s="274"/>
      <c r="N440" s="1"/>
      <c r="O440" s="273"/>
      <c r="P440" s="3"/>
      <c r="Q440" s="3"/>
      <c r="R440" s="274"/>
      <c r="S440" s="1"/>
      <c r="T440" s="436"/>
      <c r="U440" s="437"/>
      <c r="V440" s="437"/>
      <c r="W440" s="438"/>
      <c r="X440" s="439"/>
      <c r="Y440" s="436">
        <f>Y$94</f>
        <v>23.199066475442827</v>
      </c>
      <c r="Z440" s="437">
        <f>Z$94</f>
        <v>26.300711996337007</v>
      </c>
      <c r="AA440" s="437">
        <f>AA$94</f>
        <v>25.430877490942027</v>
      </c>
      <c r="AB440" s="438">
        <f>AB$94</f>
        <v>26.785470153985496</v>
      </c>
      <c r="AC440" s="439">
        <f>AVERAGE(Y440:AB440)</f>
        <v>25.429031529176839</v>
      </c>
      <c r="AD440" s="436">
        <f>AD$94</f>
        <v>32.004984551127215</v>
      </c>
      <c r="AE440" s="437">
        <f>AE$94</f>
        <v>28.32578691123188</v>
      </c>
      <c r="AF440" s="437">
        <f>AF$94</f>
        <v>28.32578691123188</v>
      </c>
      <c r="AG440" s="438">
        <f>AG$94</f>
        <v>25.307324320652164</v>
      </c>
      <c r="AH440" s="439">
        <f>AVERAGE(AD440:AG440)</f>
        <v>28.490970673560781</v>
      </c>
      <c r="AI440" s="436">
        <f>AI$94</f>
        <v>22.17571215780999</v>
      </c>
      <c r="AJ440" s="437">
        <f>AJ$94</f>
        <v>19.319275412087919</v>
      </c>
      <c r="AK440" s="437">
        <f>AK$94</f>
        <v>19.897398097826084</v>
      </c>
      <c r="AL440" s="438">
        <f>AL$94</f>
        <v>15.149004076086959</v>
      </c>
      <c r="AM440" s="439">
        <f>AVERAGE(AI440:AL440)</f>
        <v>19.135347435952738</v>
      </c>
      <c r="AN440" s="436">
        <f>AN$94</f>
        <v>13.804743092052874</v>
      </c>
      <c r="AO440" s="437">
        <f>AO$94</f>
        <v>14.6552048992674</v>
      </c>
      <c r="AP440" s="437">
        <f>AP$94</f>
        <v>20.848108016304352</v>
      </c>
      <c r="AQ440" s="438">
        <f>AQ$94</f>
        <v>18.255682925724642</v>
      </c>
      <c r="AR440" s="439">
        <f>AVERAGE(AN440:AQ440)</f>
        <v>16.890934733337318</v>
      </c>
      <c r="AS440" s="436">
        <f>AS$94</f>
        <v>17.694403532608696</v>
      </c>
      <c r="AT440" s="437">
        <f>AT$94</f>
        <v>19.575868818681322</v>
      </c>
      <c r="AU440" s="437">
        <f t="shared" ref="AU440" si="657">AU$94</f>
        <v>21.74405457427536</v>
      </c>
      <c r="AV440" s="438">
        <f>AV$94</f>
        <v>19.286005585748793</v>
      </c>
      <c r="AW440" s="439">
        <f>AVERAGE(AS440:AV440)</f>
        <v>19.575083127828542</v>
      </c>
      <c r="AX440" s="436">
        <f>AX$94</f>
        <v>19.286005585748793</v>
      </c>
      <c r="AY440" s="437">
        <f>AY$94</f>
        <v>20.67720666666667</v>
      </c>
      <c r="AZ440" s="437">
        <f>AZ$94</f>
        <v>28.640856666666668</v>
      </c>
      <c r="BA440" s="438">
        <f>BA$94</f>
        <v>19.388083333333327</v>
      </c>
      <c r="BB440" s="439">
        <f>AVERAGE(AX440:BA440)</f>
        <v>21.998038063103863</v>
      </c>
      <c r="BC440" s="436">
        <f>BC$94</f>
        <v>20.204147210285914</v>
      </c>
      <c r="BD440" s="437">
        <f>BD$94</f>
        <v>17.911730019517361</v>
      </c>
      <c r="BE440" s="437">
        <f>BE$94</f>
        <v>23.181362548745138</v>
      </c>
      <c r="BF440" s="438">
        <f>BF$94</f>
        <v>18.447223554651586</v>
      </c>
      <c r="BG440" s="439">
        <f>AVERAGE(BC440:BF440)</f>
        <v>19.936115833300001</v>
      </c>
      <c r="BH440" s="436">
        <f>BH$94</f>
        <v>20.133012438578383</v>
      </c>
      <c r="BI440" s="437">
        <f>BI$94</f>
        <v>17.848666391413492</v>
      </c>
      <c r="BJ440" s="437">
        <f>BJ$94</f>
        <v>23.099745595769516</v>
      </c>
      <c r="BK440" s="438">
        <f>BK$94</f>
        <v>18.382274560638621</v>
      </c>
      <c r="BL440" s="439">
        <f>AVERAGE(BH440:BK440)</f>
        <v>19.865924746600005</v>
      </c>
      <c r="BM440" s="436">
        <f>BM$94</f>
        <v>18.07773650297338</v>
      </c>
      <c r="BN440" s="437">
        <f>BN$94</f>
        <v>18.284989501961714</v>
      </c>
      <c r="BO440" s="437">
        <f>BO$94</f>
        <v>23.355883448015717</v>
      </c>
      <c r="BP440" s="438">
        <f>BP$94</f>
        <v>15.899671771331317</v>
      </c>
      <c r="BQ440" s="439">
        <f>AVERAGE(BM440:BP440)</f>
        <v>18.904570306070532</v>
      </c>
      <c r="BR440" s="40"/>
      <c r="BS440" s="40"/>
      <c r="BT440" s="40"/>
      <c r="BU440" s="232"/>
      <c r="BV440" s="40"/>
      <c r="BW440" s="40"/>
      <c r="BX440" s="40"/>
      <c r="BY440" s="40"/>
      <c r="BZ440" s="40"/>
      <c r="CA440" s="40"/>
      <c r="CB440" s="40"/>
      <c r="CC440" s="40"/>
      <c r="CD440" s="40"/>
      <c r="CE440" s="40"/>
      <c r="CF440" s="40"/>
      <c r="CG440" s="40"/>
      <c r="CH440" s="40"/>
      <c r="CI440" s="40"/>
      <c r="CJ440" s="40"/>
      <c r="CK440" s="40"/>
      <c r="CL440" s="40"/>
      <c r="CM440" s="40"/>
      <c r="CN440" s="40"/>
      <c r="CO440" s="40"/>
      <c r="CP440" s="40"/>
      <c r="CQ440" s="40"/>
      <c r="CR440" s="40"/>
      <c r="CS440" s="40"/>
      <c r="CT440" s="823"/>
      <c r="CU440" s="232"/>
      <c r="CV440" s="232"/>
      <c r="CW440" s="232"/>
      <c r="CX440" s="232"/>
      <c r="CY440" s="232"/>
      <c r="CZ440" s="40"/>
      <c r="DA440" s="40"/>
      <c r="DB440" s="40"/>
      <c r="DC440" s="40"/>
      <c r="DD440" s="40"/>
      <c r="DE440" s="40"/>
      <c r="DF440" s="232"/>
      <c r="DG440" s="232"/>
      <c r="DH440" s="232"/>
      <c r="DI440" s="232"/>
      <c r="DJ440" s="232"/>
      <c r="DK440" s="232"/>
      <c r="DL440" s="232"/>
      <c r="DM440" s="232"/>
      <c r="DN440" s="232"/>
    </row>
    <row r="441" spans="1:118">
      <c r="A441" s="40"/>
      <c r="B441" s="32"/>
      <c r="C441" s="28" t="s">
        <v>195</v>
      </c>
      <c r="D441" s="1"/>
      <c r="E441" s="273"/>
      <c r="F441" s="3"/>
      <c r="G441" s="3"/>
      <c r="H441" s="274"/>
      <c r="I441" s="543">
        <v>8000</v>
      </c>
      <c r="J441" s="273"/>
      <c r="K441" s="3"/>
      <c r="L441" s="3"/>
      <c r="M441" s="274"/>
      <c r="N441" s="1"/>
      <c r="O441" s="273"/>
      <c r="P441" s="3"/>
      <c r="Q441" s="3"/>
      <c r="R441" s="274"/>
      <c r="S441" s="1"/>
      <c r="T441" s="436"/>
      <c r="U441" s="437"/>
      <c r="V441" s="437"/>
      <c r="W441" s="438"/>
      <c r="X441" s="439"/>
      <c r="Y441" s="436">
        <f>$I441/1000*(Y$51)</f>
        <v>27.832800000000002</v>
      </c>
      <c r="Z441" s="437">
        <f>$I441/1000*(Z$51)</f>
        <v>32.194625000000009</v>
      </c>
      <c r="AA441" s="437">
        <f>$I441/1000*(AA$51)</f>
        <v>28.462625000000003</v>
      </c>
      <c r="AB441" s="438">
        <f>$I441/1000*(AB$51)</f>
        <v>30.691374999999997</v>
      </c>
      <c r="AC441" s="439">
        <f>AVERAGE(Y441:AB441)</f>
        <v>29.795356250000001</v>
      </c>
      <c r="AD441" s="436">
        <f>$I441/1000*(AD$51)</f>
        <v>41.410360655737705</v>
      </c>
      <c r="AE441" s="437">
        <f>$I441/1000*(AE$51)</f>
        <v>31.752500000000005</v>
      </c>
      <c r="AF441" s="437">
        <f>$I441/1000*(AF$51)</f>
        <v>31.752500000000005</v>
      </c>
      <c r="AG441" s="438">
        <f>$I441/1000*(AG$51)</f>
        <v>30.207124999999991</v>
      </c>
      <c r="AH441" s="439">
        <f>AVERAGE(AD441:AG441)</f>
        <v>33.780621413934426</v>
      </c>
      <c r="AI441" s="436">
        <f>$I441/1000*(AI$51)</f>
        <v>23.146064516129034</v>
      </c>
      <c r="AJ441" s="437">
        <f>$I441/1000*(AJ$51)</f>
        <v>21.925841269841261</v>
      </c>
      <c r="AK441" s="437">
        <f>$I441/1000*(AK$51)</f>
        <v>22.115374999999997</v>
      </c>
      <c r="AL441" s="438">
        <f>$I441/1000*(AL$51)</f>
        <v>17.064888888888891</v>
      </c>
      <c r="AM441" s="439">
        <f>AVERAGE(AI441:AL441)</f>
        <v>21.063042418714794</v>
      </c>
      <c r="AN441" s="436">
        <f>$I441/1000*(AN$51)</f>
        <v>15.901508196721315</v>
      </c>
      <c r="AO441" s="437">
        <f>$I441/1000*(AO$51)</f>
        <v>17.087875</v>
      </c>
      <c r="AP441" s="437">
        <f>$I441/1000*(AP$51)</f>
        <v>23.001249999999995</v>
      </c>
      <c r="AQ441" s="438">
        <f>$I441/1000*(AQ$51)</f>
        <v>24.249935483870967</v>
      </c>
      <c r="AR441" s="439">
        <f>AVERAGE(AN441:AQ441)</f>
        <v>20.060142170148069</v>
      </c>
      <c r="AS441" s="436">
        <f>$I441/1000*(AS$51)</f>
        <v>24.078709677419351</v>
      </c>
      <c r="AT441" s="437">
        <f>$I441/1000*(AT$51)</f>
        <v>24.609375</v>
      </c>
      <c r="AU441" s="437">
        <f t="shared" ref="AU441" si="658">$I441/1000*(AU$51)</f>
        <v>23.63212698412698</v>
      </c>
      <c r="AV441" s="438">
        <f>$I441/1000*(AV$51)</f>
        <v>24.886426229508199</v>
      </c>
      <c r="AW441" s="439">
        <f>AVERAGE(AS441:AV441)</f>
        <v>24.301659472763635</v>
      </c>
      <c r="AX441" s="436">
        <f>$I441/1000*(AX$51)</f>
        <v>24.886426229508199</v>
      </c>
      <c r="AY441" s="437">
        <f>$I441/1000*(AY$51)</f>
        <v>21.437333333333331</v>
      </c>
      <c r="AZ441" s="437">
        <f>$I441/1000*(AZ$51)</f>
        <v>22.52</v>
      </c>
      <c r="BA441" s="438">
        <f>$I441/1000*(BA$51)</f>
        <v>23.213333333333335</v>
      </c>
      <c r="BB441" s="439">
        <f>AVERAGE(AX441:BA441)</f>
        <v>23.014273224043716</v>
      </c>
      <c r="BC441" s="436">
        <f>$I441/1000*(BC$51)+BC$149</f>
        <v>23.221554914403935</v>
      </c>
      <c r="BD441" s="437">
        <f>$I441/1000*(BD$51)+BD$149</f>
        <v>20.353431678394621</v>
      </c>
      <c r="BE441" s="437">
        <f>$I441/1000*(BE$51)+BE$149</f>
        <v>20.6223182317705</v>
      </c>
      <c r="BF441" s="438">
        <f>$I441/1000*(BF$51)+BF$149</f>
        <v>24.106695175430939</v>
      </c>
      <c r="BG441" s="439">
        <f>AVERAGE(BC441:BF441)</f>
        <v>22.075999999999997</v>
      </c>
      <c r="BH441" s="436">
        <f>$I441/1000*(BH$51)+BH$149</f>
        <v>23.568679081904989</v>
      </c>
      <c r="BI441" s="437">
        <f>$I441/1000*(BI$51)+BI$149</f>
        <v>20.657682106636614</v>
      </c>
      <c r="BJ441" s="437">
        <f>$I441/1000*(BJ$51)+BJ$149</f>
        <v>20.930588073068026</v>
      </c>
      <c r="BK441" s="438">
        <f>$I441/1000*(BK$51)+BK$149</f>
        <v>24.467050738390359</v>
      </c>
      <c r="BL441" s="439">
        <f>AVERAGE(BH441:BK441)</f>
        <v>22.405999999999995</v>
      </c>
      <c r="BM441" s="436">
        <f>$I441/1000*(BM$51)+BM$149</f>
        <v>22.126300000000001</v>
      </c>
      <c r="BN441" s="437">
        <f>$I441/1000*(BN$51)+BN$149</f>
        <v>22.126300000000001</v>
      </c>
      <c r="BO441" s="437">
        <f>$I441/1000*(BO$51)+BO$149</f>
        <v>22.126300000000001</v>
      </c>
      <c r="BP441" s="438">
        <f>$I441/1000*(BP$51)+BP$149</f>
        <v>22.126300000000001</v>
      </c>
      <c r="BQ441" s="439">
        <f>AVERAGE(BM441:BP441)</f>
        <v>22.126300000000001</v>
      </c>
      <c r="BR441" s="40"/>
      <c r="BS441" s="40"/>
      <c r="BT441" s="40"/>
      <c r="BU441" s="232"/>
      <c r="BV441" s="40"/>
      <c r="BW441" s="40"/>
      <c r="BX441" s="40"/>
      <c r="BY441" s="40"/>
      <c r="BZ441" s="40"/>
      <c r="CA441" s="40"/>
      <c r="CB441" s="40"/>
      <c r="CC441" s="40"/>
      <c r="CD441" s="40"/>
      <c r="CE441" s="40"/>
      <c r="CF441" s="40"/>
      <c r="CG441" s="40"/>
      <c r="CH441" s="40"/>
      <c r="CI441" s="40"/>
      <c r="CJ441" s="40"/>
      <c r="CK441" s="40"/>
      <c r="CL441" s="40"/>
      <c r="CM441" s="40"/>
      <c r="CN441" s="40"/>
      <c r="CO441" s="40"/>
      <c r="CP441" s="40"/>
      <c r="CQ441" s="40"/>
      <c r="CR441" s="40"/>
      <c r="CS441" s="40"/>
      <c r="CT441" s="823"/>
      <c r="CU441" s="232"/>
      <c r="CV441" s="232"/>
      <c r="CW441" s="232"/>
      <c r="CX441" s="232"/>
      <c r="CY441" s="232"/>
      <c r="CZ441" s="40"/>
      <c r="DA441" s="40"/>
      <c r="DB441" s="40"/>
      <c r="DC441" s="40"/>
      <c r="DD441" s="40"/>
      <c r="DE441" s="40"/>
      <c r="DF441" s="232"/>
      <c r="DG441" s="232"/>
      <c r="DH441" s="232"/>
      <c r="DI441" s="232"/>
      <c r="DJ441" s="232"/>
      <c r="DK441" s="232"/>
      <c r="DL441" s="232"/>
      <c r="DM441" s="232"/>
      <c r="DN441" s="232"/>
    </row>
    <row r="442" spans="1:118">
      <c r="A442" s="40"/>
      <c r="B442" s="32"/>
      <c r="C442" s="28"/>
      <c r="D442" s="1"/>
      <c r="E442" s="273"/>
      <c r="F442" s="3"/>
      <c r="G442" s="3"/>
      <c r="H442" s="274"/>
      <c r="I442" s="426"/>
      <c r="J442" s="273"/>
      <c r="K442" s="3"/>
      <c r="L442" s="3"/>
      <c r="M442" s="274"/>
      <c r="N442" s="1"/>
      <c r="O442" s="273"/>
      <c r="P442" s="3"/>
      <c r="Q442" s="3"/>
      <c r="R442" s="274"/>
      <c r="S442" s="1"/>
      <c r="T442" s="436"/>
      <c r="U442" s="437"/>
      <c r="V442" s="437"/>
      <c r="W442" s="438"/>
      <c r="X442" s="439"/>
      <c r="Y442" s="436"/>
      <c r="Z442" s="437"/>
      <c r="AA442" s="437"/>
      <c r="AB442" s="438"/>
      <c r="AC442" s="439"/>
      <c r="AD442" s="436"/>
      <c r="AE442" s="437"/>
      <c r="AF442" s="437"/>
      <c r="AG442" s="438"/>
      <c r="AH442" s="439"/>
      <c r="AI442" s="436"/>
      <c r="AJ442" s="437"/>
      <c r="AK442" s="437"/>
      <c r="AL442" s="438"/>
      <c r="AM442" s="439"/>
      <c r="AN442" s="436"/>
      <c r="AO442" s="437"/>
      <c r="AP442" s="437"/>
      <c r="AQ442" s="438"/>
      <c r="AR442" s="439"/>
      <c r="AS442" s="436"/>
      <c r="AT442" s="437"/>
      <c r="AU442" s="437"/>
      <c r="AV442" s="438"/>
      <c r="AW442" s="439"/>
      <c r="AX442" s="436"/>
      <c r="AY442" s="437"/>
      <c r="AZ442" s="437"/>
      <c r="BA442" s="438"/>
      <c r="BB442" s="439"/>
      <c r="BC442" s="436"/>
      <c r="BD442" s="437"/>
      <c r="BE442" s="437"/>
      <c r="BF442" s="438"/>
      <c r="BG442" s="439"/>
      <c r="BH442" s="436"/>
      <c r="BI442" s="437"/>
      <c r="BJ442" s="437"/>
      <c r="BK442" s="438"/>
      <c r="BL442" s="439"/>
      <c r="BM442" s="436"/>
      <c r="BN442" s="437"/>
      <c r="BO442" s="437"/>
      <c r="BP442" s="438"/>
      <c r="BQ442" s="439"/>
      <c r="BR442" s="40"/>
      <c r="BS442" s="40"/>
      <c r="BT442" s="40"/>
      <c r="BU442" s="232"/>
      <c r="BV442" s="40"/>
      <c r="BW442" s="40"/>
      <c r="BX442" s="40"/>
      <c r="BY442" s="40"/>
      <c r="BZ442" s="40"/>
      <c r="CA442" s="40"/>
      <c r="CB442" s="40"/>
      <c r="CC442" s="40"/>
      <c r="CD442" s="40"/>
      <c r="CE442" s="40"/>
      <c r="CF442" s="40"/>
      <c r="CG442" s="40"/>
      <c r="CH442" s="40"/>
      <c r="CI442" s="40"/>
      <c r="CJ442" s="40"/>
      <c r="CK442" s="40"/>
      <c r="CL442" s="40"/>
      <c r="CM442" s="40"/>
      <c r="CN442" s="40"/>
      <c r="CO442" s="40"/>
      <c r="CP442" s="40"/>
      <c r="CQ442" s="40"/>
      <c r="CR442" s="40"/>
      <c r="CS442" s="40"/>
      <c r="CT442" s="823"/>
      <c r="CU442" s="232"/>
      <c r="CV442" s="232"/>
      <c r="CW442" s="232"/>
      <c r="CX442" s="232"/>
      <c r="CY442" s="232"/>
      <c r="CZ442" s="40"/>
      <c r="DA442" s="40"/>
      <c r="DB442" s="40"/>
      <c r="DC442" s="40"/>
      <c r="DD442" s="40"/>
      <c r="DE442" s="40"/>
      <c r="DF442" s="232"/>
      <c r="DG442" s="232"/>
      <c r="DH442" s="232"/>
      <c r="DI442" s="232"/>
      <c r="DJ442" s="232"/>
      <c r="DK442" s="232"/>
      <c r="DL442" s="232"/>
      <c r="DM442" s="232"/>
      <c r="DN442" s="232"/>
    </row>
    <row r="443" spans="1:118">
      <c r="A443" s="40"/>
      <c r="B443" s="32"/>
      <c r="C443" s="32" t="s">
        <v>196</v>
      </c>
      <c r="D443" s="32"/>
      <c r="E443" s="292"/>
      <c r="F443" s="261"/>
      <c r="G443" s="261"/>
      <c r="H443" s="293"/>
      <c r="I443" s="884">
        <f>561+791</f>
        <v>1352</v>
      </c>
      <c r="J443" s="292"/>
      <c r="K443" s="261"/>
      <c r="L443" s="261"/>
      <c r="M443" s="293"/>
      <c r="N443" s="228"/>
      <c r="O443" s="292"/>
      <c r="P443" s="261"/>
      <c r="Q443" s="261"/>
      <c r="R443" s="293"/>
      <c r="S443" s="228"/>
      <c r="T443" s="292"/>
      <c r="U443" s="261"/>
      <c r="V443" s="261"/>
      <c r="W443" s="293"/>
      <c r="X443" s="228"/>
      <c r="Y443" s="292">
        <f>+Z443</f>
        <v>1352</v>
      </c>
      <c r="Z443" s="261">
        <f>+AA443</f>
        <v>1352</v>
      </c>
      <c r="AA443" s="261">
        <f>+AB443</f>
        <v>1352</v>
      </c>
      <c r="AB443" s="293">
        <f>+AC443</f>
        <v>1352</v>
      </c>
      <c r="AC443" s="669">
        <f>+I443</f>
        <v>1352</v>
      </c>
      <c r="AD443" s="292">
        <f t="shared" ref="AD443:AM443" si="659">AC443</f>
        <v>1352</v>
      </c>
      <c r="AE443" s="261">
        <f>+AD443</f>
        <v>1352</v>
      </c>
      <c r="AF443" s="261">
        <f t="shared" si="659"/>
        <v>1352</v>
      </c>
      <c r="AG443" s="293">
        <f>AF443</f>
        <v>1352</v>
      </c>
      <c r="AH443" s="228">
        <f t="shared" si="659"/>
        <v>1352</v>
      </c>
      <c r="AI443" s="292">
        <f t="shared" si="659"/>
        <v>1352</v>
      </c>
      <c r="AJ443" s="261">
        <f t="shared" si="659"/>
        <v>1352</v>
      </c>
      <c r="AK443" s="261">
        <f t="shared" si="659"/>
        <v>1352</v>
      </c>
      <c r="AL443" s="293">
        <f>AK443</f>
        <v>1352</v>
      </c>
      <c r="AM443" s="228">
        <f t="shared" si="659"/>
        <v>1352</v>
      </c>
      <c r="AN443" s="292">
        <f t="shared" ref="AN443:BL443" si="660">AM443</f>
        <v>1352</v>
      </c>
      <c r="AO443" s="261">
        <f t="shared" si="660"/>
        <v>1352</v>
      </c>
      <c r="AP443" s="261">
        <f t="shared" si="660"/>
        <v>1352</v>
      </c>
      <c r="AQ443" s="293">
        <f t="shared" si="660"/>
        <v>1352</v>
      </c>
      <c r="AR443" s="228">
        <f t="shared" si="660"/>
        <v>1352</v>
      </c>
      <c r="AS443" s="292">
        <f t="shared" si="660"/>
        <v>1352</v>
      </c>
      <c r="AT443" s="261">
        <f t="shared" si="660"/>
        <v>1352</v>
      </c>
      <c r="AU443" s="261">
        <f t="shared" ref="AU443" si="661">AT443</f>
        <v>1352</v>
      </c>
      <c r="AV443" s="293">
        <f t="shared" si="660"/>
        <v>1352</v>
      </c>
      <c r="AW443" s="228">
        <f t="shared" si="660"/>
        <v>1352</v>
      </c>
      <c r="AX443" s="292">
        <v>0</v>
      </c>
      <c r="AY443" s="261">
        <f t="shared" si="660"/>
        <v>0</v>
      </c>
      <c r="AZ443" s="261">
        <f t="shared" si="660"/>
        <v>0</v>
      </c>
      <c r="BA443" s="293">
        <f t="shared" si="660"/>
        <v>0</v>
      </c>
      <c r="BB443" s="228">
        <f t="shared" si="660"/>
        <v>0</v>
      </c>
      <c r="BC443" s="292">
        <f t="shared" si="660"/>
        <v>0</v>
      </c>
      <c r="BD443" s="261">
        <f t="shared" si="660"/>
        <v>0</v>
      </c>
      <c r="BE443" s="261">
        <f t="shared" si="660"/>
        <v>0</v>
      </c>
      <c r="BF443" s="293">
        <f t="shared" si="660"/>
        <v>0</v>
      </c>
      <c r="BG443" s="228">
        <f>BF443</f>
        <v>0</v>
      </c>
      <c r="BH443" s="292">
        <f>BG443</f>
        <v>0</v>
      </c>
      <c r="BI443" s="261">
        <f t="shared" si="660"/>
        <v>0</v>
      </c>
      <c r="BJ443" s="261">
        <f t="shared" si="660"/>
        <v>0</v>
      </c>
      <c r="BK443" s="293">
        <f t="shared" si="660"/>
        <v>0</v>
      </c>
      <c r="BL443" s="228">
        <f t="shared" si="660"/>
        <v>0</v>
      </c>
      <c r="BM443" s="292">
        <f t="shared" ref="BM443" si="662">BL443</f>
        <v>0</v>
      </c>
      <c r="BN443" s="261">
        <f t="shared" ref="BN443" si="663">BM443</f>
        <v>0</v>
      </c>
      <c r="BO443" s="261">
        <f t="shared" ref="BO443" si="664">BN443</f>
        <v>0</v>
      </c>
      <c r="BP443" s="293">
        <f t="shared" ref="BP443" si="665">BO443</f>
        <v>0</v>
      </c>
      <c r="BQ443" s="228">
        <f t="shared" ref="BQ443" si="666">BP443</f>
        <v>0</v>
      </c>
      <c r="BR443" s="40"/>
      <c r="BS443" s="40"/>
      <c r="BT443" s="40"/>
      <c r="BU443" s="232"/>
      <c r="BV443" s="40"/>
      <c r="BW443" s="40"/>
      <c r="BX443" s="40"/>
      <c r="BY443" s="40"/>
      <c r="BZ443" s="40"/>
      <c r="CA443" s="40"/>
      <c r="CB443" s="40"/>
      <c r="CC443" s="40"/>
      <c r="CD443" s="40"/>
      <c r="CE443" s="40"/>
      <c r="CF443" s="40"/>
      <c r="CG443" s="40"/>
      <c r="CH443" s="40"/>
      <c r="CI443" s="40"/>
      <c r="CJ443" s="40"/>
      <c r="CK443" s="40"/>
      <c r="CL443" s="40"/>
      <c r="CM443" s="40"/>
      <c r="CN443" s="40"/>
      <c r="CO443" s="40"/>
      <c r="CP443" s="40"/>
      <c r="CQ443" s="40"/>
      <c r="CR443" s="40"/>
      <c r="CS443" s="40"/>
      <c r="CT443" s="823"/>
      <c r="CU443" s="232"/>
      <c r="CV443" s="232"/>
      <c r="CW443" s="232"/>
      <c r="CX443" s="232"/>
      <c r="CY443" s="232"/>
      <c r="CZ443" s="40"/>
      <c r="DA443" s="40"/>
      <c r="DB443" s="40"/>
      <c r="DC443" s="40"/>
      <c r="DD443" s="40"/>
      <c r="DE443" s="40"/>
      <c r="DF443" s="232"/>
      <c r="DG443" s="232"/>
      <c r="DH443" s="232"/>
      <c r="DI443" s="232"/>
      <c r="DJ443" s="232"/>
      <c r="DK443" s="232"/>
      <c r="DL443" s="232"/>
      <c r="DM443" s="232"/>
      <c r="DN443" s="232"/>
    </row>
    <row r="444" spans="1:118">
      <c r="A444" s="40"/>
      <c r="B444" s="32"/>
      <c r="C444" s="1"/>
      <c r="D444" s="1"/>
      <c r="E444" s="273"/>
      <c r="F444" s="3"/>
      <c r="G444" s="3"/>
      <c r="H444" s="274"/>
      <c r="I444" s="28"/>
      <c r="J444" s="273"/>
      <c r="K444" s="3"/>
      <c r="L444" s="3"/>
      <c r="M444" s="274"/>
      <c r="N444" s="1"/>
      <c r="O444" s="273"/>
      <c r="P444" s="3"/>
      <c r="Q444" s="3"/>
      <c r="R444" s="274"/>
      <c r="S444" s="1"/>
      <c r="T444" s="273"/>
      <c r="U444" s="3"/>
      <c r="V444" s="3"/>
      <c r="W444" s="274"/>
      <c r="X444" s="1"/>
      <c r="Y444" s="273"/>
      <c r="Z444" s="3"/>
      <c r="AA444" s="3"/>
      <c r="AB444" s="274"/>
      <c r="AC444" s="1"/>
      <c r="AD444" s="273"/>
      <c r="AE444" s="3"/>
      <c r="AF444" s="3"/>
      <c r="AG444" s="274"/>
      <c r="AH444" s="1"/>
      <c r="AI444" s="273"/>
      <c r="AJ444" s="3"/>
      <c r="AK444" s="3"/>
      <c r="AL444" s="274"/>
      <c r="AM444" s="1"/>
      <c r="AN444" s="273"/>
      <c r="AO444" s="3"/>
      <c r="AP444" s="3"/>
      <c r="AQ444" s="274"/>
      <c r="AR444" s="1"/>
      <c r="AS444" s="273"/>
      <c r="AT444" s="3"/>
      <c r="AU444" s="3"/>
      <c r="AV444" s="274"/>
      <c r="AW444" s="1"/>
      <c r="AX444" s="273"/>
      <c r="AY444" s="3"/>
      <c r="AZ444" s="3"/>
      <c r="BA444" s="274"/>
      <c r="BB444" s="1"/>
      <c r="BC444" s="273"/>
      <c r="BD444" s="3"/>
      <c r="BE444" s="3"/>
      <c r="BF444" s="274"/>
      <c r="BG444" s="1"/>
      <c r="BH444" s="273"/>
      <c r="BI444" s="3"/>
      <c r="BJ444" s="3"/>
      <c r="BK444" s="274"/>
      <c r="BL444" s="1"/>
      <c r="BM444" s="273"/>
      <c r="BN444" s="3"/>
      <c r="BO444" s="3"/>
      <c r="BP444" s="274"/>
      <c r="BQ444" s="1"/>
      <c r="BR444" s="40"/>
      <c r="BS444" s="40"/>
      <c r="BT444" s="40"/>
      <c r="BU444" s="232"/>
      <c r="BV444" s="40"/>
      <c r="BW444" s="40"/>
      <c r="BX444" s="40"/>
      <c r="BY444" s="40"/>
      <c r="BZ444" s="40"/>
      <c r="CA444" s="40"/>
      <c r="CB444" s="40"/>
      <c r="CC444" s="40"/>
      <c r="CD444" s="40"/>
      <c r="CE444" s="40"/>
      <c r="CF444" s="40"/>
      <c r="CG444" s="40"/>
      <c r="CH444" s="40"/>
      <c r="CI444" s="40"/>
      <c r="CJ444" s="40"/>
      <c r="CK444" s="40"/>
      <c r="CL444" s="40"/>
      <c r="CM444" s="40"/>
      <c r="CN444" s="40"/>
      <c r="CO444" s="40"/>
      <c r="CP444" s="40"/>
      <c r="CQ444" s="40"/>
      <c r="CR444" s="40"/>
      <c r="CS444" s="40"/>
      <c r="CT444" s="823"/>
      <c r="CU444" s="232"/>
      <c r="CV444" s="232"/>
      <c r="CW444" s="232"/>
      <c r="CX444" s="232"/>
      <c r="CY444" s="232"/>
      <c r="CZ444" s="40"/>
      <c r="DA444" s="40"/>
      <c r="DB444" s="40"/>
      <c r="DC444" s="40"/>
      <c r="DD444" s="40"/>
      <c r="DE444" s="40"/>
      <c r="DF444" s="232"/>
      <c r="DG444" s="232"/>
      <c r="DH444" s="232"/>
      <c r="DI444" s="232"/>
      <c r="DJ444" s="232"/>
      <c r="DK444" s="232"/>
      <c r="DL444" s="232"/>
      <c r="DM444" s="232"/>
      <c r="DN444" s="232"/>
    </row>
    <row r="445" spans="1:118">
      <c r="A445" s="40"/>
      <c r="B445" s="32"/>
      <c r="C445" s="28" t="s">
        <v>170</v>
      </c>
      <c r="D445" s="1"/>
      <c r="E445" s="273"/>
      <c r="F445" s="3"/>
      <c r="G445" s="3"/>
      <c r="H445" s="274"/>
      <c r="I445" s="544">
        <v>0.45</v>
      </c>
      <c r="J445" s="273"/>
      <c r="K445" s="3"/>
      <c r="L445" s="3"/>
      <c r="M445" s="274"/>
      <c r="N445" s="1"/>
      <c r="O445" s="273"/>
      <c r="P445" s="3"/>
      <c r="Q445" s="3"/>
      <c r="R445" s="274"/>
      <c r="S445" s="1"/>
      <c r="T445" s="277"/>
      <c r="U445" s="253"/>
      <c r="V445" s="253"/>
      <c r="W445" s="278"/>
      <c r="X445" s="224"/>
      <c r="Y445" s="277">
        <f>+I445</f>
        <v>0.45</v>
      </c>
      <c r="Z445" s="253">
        <f>+Y445</f>
        <v>0.45</v>
      </c>
      <c r="AA445" s="253">
        <f>+Z445</f>
        <v>0.45</v>
      </c>
      <c r="AB445" s="278">
        <f>+AA445</f>
        <v>0.45</v>
      </c>
      <c r="AC445" s="224">
        <f>AVERAGE(Y445:AB445)</f>
        <v>0.45</v>
      </c>
      <c r="AD445" s="277">
        <f>+Y445</f>
        <v>0.45</v>
      </c>
      <c r="AE445" s="253">
        <f>+AD445</f>
        <v>0.45</v>
      </c>
      <c r="AF445" s="253">
        <f>+AA445</f>
        <v>0.45</v>
      </c>
      <c r="AG445" s="278">
        <f>+AB445</f>
        <v>0.45</v>
      </c>
      <c r="AH445" s="224">
        <f>AVERAGE(AD445:AG445)</f>
        <v>0.45</v>
      </c>
      <c r="AI445" s="277">
        <f>+AD445</f>
        <v>0.45</v>
      </c>
      <c r="AJ445" s="253">
        <f>+AE445</f>
        <v>0.45</v>
      </c>
      <c r="AK445" s="253">
        <f>+AF445</f>
        <v>0.45</v>
      </c>
      <c r="AL445" s="278">
        <f>+AG445</f>
        <v>0.45</v>
      </c>
      <c r="AM445" s="224">
        <f>AVERAGE(AI445:AL445)</f>
        <v>0.45</v>
      </c>
      <c r="AN445" s="277">
        <f>+AI445</f>
        <v>0.45</v>
      </c>
      <c r="AO445" s="253">
        <f>+AJ445</f>
        <v>0.45</v>
      </c>
      <c r="AP445" s="253">
        <f>+AK445</f>
        <v>0.45</v>
      </c>
      <c r="AQ445" s="278">
        <f>+AL445</f>
        <v>0.45</v>
      </c>
      <c r="AR445" s="224">
        <f>AVERAGE(AN445:AQ445)</f>
        <v>0.45</v>
      </c>
      <c r="AS445" s="277">
        <f>+AN445</f>
        <v>0.45</v>
      </c>
      <c r="AT445" s="253">
        <f>+AO445</f>
        <v>0.45</v>
      </c>
      <c r="AU445" s="253">
        <f t="shared" ref="AU445" si="667">+AP445</f>
        <v>0.45</v>
      </c>
      <c r="AV445" s="278">
        <f>+AQ445</f>
        <v>0.45</v>
      </c>
      <c r="AW445" s="224">
        <f>AVERAGE(AS445:AV445)</f>
        <v>0.45</v>
      </c>
      <c r="AX445" s="277">
        <f>+AS445</f>
        <v>0.45</v>
      </c>
      <c r="AY445" s="253">
        <f>+AT445</f>
        <v>0.45</v>
      </c>
      <c r="AZ445" s="253">
        <f>+AU445</f>
        <v>0.45</v>
      </c>
      <c r="BA445" s="278">
        <f>+AV445</f>
        <v>0.45</v>
      </c>
      <c r="BB445" s="224">
        <f>AVERAGE(AX445:BA445)</f>
        <v>0.45</v>
      </c>
      <c r="BC445" s="277">
        <f>+AX445</f>
        <v>0.45</v>
      </c>
      <c r="BD445" s="253">
        <f>+AY445</f>
        <v>0.45</v>
      </c>
      <c r="BE445" s="253">
        <f>+AZ445</f>
        <v>0.45</v>
      </c>
      <c r="BF445" s="278">
        <f>+BA445</f>
        <v>0.45</v>
      </c>
      <c r="BG445" s="224">
        <f>AVERAGE(BC445:BF445)</f>
        <v>0.45</v>
      </c>
      <c r="BH445" s="277">
        <f>+BC445</f>
        <v>0.45</v>
      </c>
      <c r="BI445" s="253">
        <f>+BD445</f>
        <v>0.45</v>
      </c>
      <c r="BJ445" s="253">
        <f>+BE445</f>
        <v>0.45</v>
      </c>
      <c r="BK445" s="278">
        <f>+BF445</f>
        <v>0.45</v>
      </c>
      <c r="BL445" s="224">
        <f>AVERAGE(BH445:BK445)</f>
        <v>0.45</v>
      </c>
      <c r="BM445" s="277">
        <f>+BH445</f>
        <v>0.45</v>
      </c>
      <c r="BN445" s="253">
        <f>+BI445</f>
        <v>0.45</v>
      </c>
      <c r="BO445" s="253">
        <f>+BJ445</f>
        <v>0.45</v>
      </c>
      <c r="BP445" s="278">
        <f>+BK445</f>
        <v>0.45</v>
      </c>
      <c r="BQ445" s="224">
        <f>AVERAGE(BM445:BP445)</f>
        <v>0.45</v>
      </c>
      <c r="BR445" s="40"/>
      <c r="BS445" s="40"/>
      <c r="BT445" s="40"/>
      <c r="BU445" s="232"/>
      <c r="BV445" s="40"/>
      <c r="BW445" s="40"/>
      <c r="BX445" s="40"/>
      <c r="BY445" s="40"/>
      <c r="BZ445" s="40"/>
      <c r="CA445" s="40"/>
      <c r="CB445" s="40"/>
      <c r="CC445" s="40"/>
      <c r="CD445" s="40"/>
      <c r="CE445" s="40"/>
      <c r="CF445" s="40"/>
      <c r="CG445" s="40"/>
      <c r="CH445" s="40"/>
      <c r="CI445" s="40"/>
      <c r="CJ445" s="40"/>
      <c r="CK445" s="40"/>
      <c r="CL445" s="40"/>
      <c r="CM445" s="40"/>
      <c r="CN445" s="40"/>
      <c r="CO445" s="40"/>
      <c r="CP445" s="40"/>
      <c r="CQ445" s="40"/>
      <c r="CR445" s="40"/>
      <c r="CS445" s="40"/>
      <c r="CT445" s="823"/>
      <c r="CU445" s="232"/>
      <c r="CV445" s="232"/>
      <c r="CW445" s="232"/>
      <c r="CX445" s="232"/>
      <c r="CY445" s="232"/>
      <c r="CZ445" s="40"/>
      <c r="DA445" s="40"/>
      <c r="DB445" s="40"/>
      <c r="DC445" s="40"/>
      <c r="DD445" s="40"/>
      <c r="DE445" s="40"/>
      <c r="DF445" s="232"/>
      <c r="DG445" s="232"/>
      <c r="DH445" s="232"/>
      <c r="DI445" s="232"/>
      <c r="DJ445" s="232"/>
      <c r="DK445" s="232"/>
      <c r="DL445" s="232"/>
      <c r="DM445" s="232"/>
      <c r="DN445" s="232"/>
    </row>
    <row r="446" spans="1:118">
      <c r="A446" s="40"/>
      <c r="B446" s="32"/>
      <c r="C446" s="28" t="s">
        <v>168</v>
      </c>
      <c r="D446" s="1"/>
      <c r="E446" s="273"/>
      <c r="F446" s="3"/>
      <c r="G446" s="3"/>
      <c r="H446" s="274"/>
      <c r="I446" s="28"/>
      <c r="J446" s="273"/>
      <c r="K446" s="3"/>
      <c r="L446" s="3"/>
      <c r="M446" s="274"/>
      <c r="N446" s="1"/>
      <c r="O446" s="273"/>
      <c r="P446" s="3"/>
      <c r="Q446" s="3"/>
      <c r="R446" s="274"/>
      <c r="S446" s="1"/>
      <c r="T446" s="332"/>
      <c r="U446" s="333"/>
      <c r="V446" s="333"/>
      <c r="W446" s="334"/>
      <c r="X446" s="331"/>
      <c r="Y446" s="332">
        <f>(Y443*Y445*(8760/1000))/4</f>
        <v>1332.396</v>
      </c>
      <c r="Z446" s="333">
        <f>(Z443*Z445*(8760/1000))/4</f>
        <v>1332.396</v>
      </c>
      <c r="AA446" s="333">
        <f>(AA443*AA445*(8760/1000))/4</f>
        <v>1332.396</v>
      </c>
      <c r="AB446" s="334">
        <f>(AB443*AB445*(8760/1000))/4</f>
        <v>1332.396</v>
      </c>
      <c r="AC446" s="331">
        <f>SUM(Y446:AB446)</f>
        <v>5329.5839999999998</v>
      </c>
      <c r="AD446" s="332">
        <f>(AD443*AD445*(8760/1000))/4</f>
        <v>1332.396</v>
      </c>
      <c r="AE446" s="333">
        <f>(AE443*AE445*(8760/1000))/4</f>
        <v>1332.396</v>
      </c>
      <c r="AF446" s="333">
        <f>(AF443*AF445*(8760/1000))/4</f>
        <v>1332.396</v>
      </c>
      <c r="AG446" s="334">
        <f>(AG443*AG445*(8760/1000))/4</f>
        <v>1332.396</v>
      </c>
      <c r="AH446" s="331">
        <f>SUM(AD446:AG446)</f>
        <v>5329.5839999999998</v>
      </c>
      <c r="AI446" s="332">
        <f>(AI443*AI445*(8760/1000))/4</f>
        <v>1332.396</v>
      </c>
      <c r="AJ446" s="333">
        <f>(AJ443*AJ445*(8760/1000))/4</f>
        <v>1332.396</v>
      </c>
      <c r="AK446" s="333">
        <f>(AK443*AK445*(8760/1000))/4</f>
        <v>1332.396</v>
      </c>
      <c r="AL446" s="334">
        <f>(AL443*AL445*(8760/1000))/4</f>
        <v>1332.396</v>
      </c>
      <c r="AM446" s="331">
        <f>SUM(AI446:AL446)</f>
        <v>5329.5839999999998</v>
      </c>
      <c r="AN446" s="332">
        <f>(AN443*AN445*(8760/1000))/4</f>
        <v>1332.396</v>
      </c>
      <c r="AO446" s="333">
        <f>(AO443*AO445*(8760/1000))/4</f>
        <v>1332.396</v>
      </c>
      <c r="AP446" s="333">
        <f>(AP443*AP445*(8760/1000))/4</f>
        <v>1332.396</v>
      </c>
      <c r="AQ446" s="334">
        <f>(AQ443*AQ445*(8760/1000))/4</f>
        <v>1332.396</v>
      </c>
      <c r="AR446" s="331">
        <f>SUM(AN446:AQ446)</f>
        <v>5329.5839999999998</v>
      </c>
      <c r="AS446" s="332">
        <f>(AS443*AS445*(8760/1000))/4</f>
        <v>1332.396</v>
      </c>
      <c r="AT446" s="333">
        <f>(AT443*AT445*(8760/1000))/4</f>
        <v>1332.396</v>
      </c>
      <c r="AU446" s="333">
        <f t="shared" ref="AU446" si="668">(AU443*AU445*(8760/1000))/4</f>
        <v>1332.396</v>
      </c>
      <c r="AV446" s="334">
        <f>(AV443*AV445*(8760/1000))/4</f>
        <v>1332.396</v>
      </c>
      <c r="AW446" s="331">
        <f>SUM(AS446:AV446)</f>
        <v>5329.5839999999998</v>
      </c>
      <c r="AX446" s="332">
        <f>(AX443*AX445*(8760/1000))/4</f>
        <v>0</v>
      </c>
      <c r="AY446" s="333">
        <f>(AY443*AY445*(8760/1000))/4</f>
        <v>0</v>
      </c>
      <c r="AZ446" s="333">
        <f>(AZ443*AZ445*(8760/1000))/4</f>
        <v>0</v>
      </c>
      <c r="BA446" s="334">
        <f>(BA443*BA445*(8760/1000))/4</f>
        <v>0</v>
      </c>
      <c r="BB446" s="331">
        <f>SUM(AX446:BA446)</f>
        <v>0</v>
      </c>
      <c r="BC446" s="332">
        <f>(BC443*BC445*(8760/1000))/4</f>
        <v>0</v>
      </c>
      <c r="BD446" s="333">
        <f>(BD443*BD445*(8760/1000))/4</f>
        <v>0</v>
      </c>
      <c r="BE446" s="333">
        <f>(BE443*BE445*(8760/1000))/4</f>
        <v>0</v>
      </c>
      <c r="BF446" s="334">
        <f>(BF443*BF445*(8760/1000))/4</f>
        <v>0</v>
      </c>
      <c r="BG446" s="331">
        <f>SUM(BC446:BF446)</f>
        <v>0</v>
      </c>
      <c r="BH446" s="332">
        <f>(BH443*BH445*(8760/1000))/4</f>
        <v>0</v>
      </c>
      <c r="BI446" s="333">
        <f>(BI443*BI445*(8760/1000))/4</f>
        <v>0</v>
      </c>
      <c r="BJ446" s="333">
        <f>(BJ443*BJ445*(8760/1000))/4</f>
        <v>0</v>
      </c>
      <c r="BK446" s="334">
        <f>(BK443*BK445*(8760/1000))/4</f>
        <v>0</v>
      </c>
      <c r="BL446" s="331">
        <f>SUM(BH446:BK446)</f>
        <v>0</v>
      </c>
      <c r="BM446" s="332">
        <f>(BM443*BM445*(8760/1000))/4</f>
        <v>0</v>
      </c>
      <c r="BN446" s="333">
        <f>(BN443*BN445*(8760/1000))/4</f>
        <v>0</v>
      </c>
      <c r="BO446" s="333">
        <f>(BO443*BO445*(8760/1000))/4</f>
        <v>0</v>
      </c>
      <c r="BP446" s="334">
        <f>(BP443*BP445*(8760/1000))/4</f>
        <v>0</v>
      </c>
      <c r="BQ446" s="331">
        <f>SUM(BM446:BP446)</f>
        <v>0</v>
      </c>
      <c r="BR446" s="40"/>
      <c r="BS446" s="40"/>
      <c r="BT446" s="40"/>
      <c r="BU446" s="232"/>
      <c r="BV446" s="40"/>
      <c r="BW446" s="40"/>
      <c r="BX446" s="40"/>
      <c r="BY446" s="40"/>
      <c r="BZ446" s="40"/>
      <c r="CA446" s="40"/>
      <c r="CB446" s="40"/>
      <c r="CC446" s="40"/>
      <c r="CD446" s="40"/>
      <c r="CE446" s="40"/>
      <c r="CF446" s="40"/>
      <c r="CG446" s="40"/>
      <c r="CH446" s="40"/>
      <c r="CI446" s="40"/>
      <c r="CJ446" s="40"/>
      <c r="CK446" s="40"/>
      <c r="CL446" s="40"/>
      <c r="CM446" s="40"/>
      <c r="CN446" s="40"/>
      <c r="CO446" s="40"/>
      <c r="CP446" s="40"/>
      <c r="CQ446" s="40"/>
      <c r="CR446" s="40"/>
      <c r="CS446" s="40"/>
      <c r="CT446" s="823"/>
      <c r="CU446" s="232"/>
      <c r="CV446" s="232"/>
      <c r="CW446" s="232"/>
      <c r="CX446" s="232"/>
      <c r="CY446" s="232"/>
      <c r="CZ446" s="40"/>
      <c r="DA446" s="40"/>
      <c r="DB446" s="40"/>
      <c r="DC446" s="40"/>
      <c r="DD446" s="40"/>
      <c r="DE446" s="40"/>
      <c r="DF446" s="232"/>
      <c r="DG446" s="232"/>
      <c r="DH446" s="232"/>
      <c r="DI446" s="232"/>
      <c r="DJ446" s="232"/>
      <c r="DK446" s="232"/>
      <c r="DL446" s="232"/>
      <c r="DM446" s="232"/>
      <c r="DN446" s="232"/>
    </row>
    <row r="447" spans="1:118">
      <c r="A447" s="40"/>
      <c r="B447" s="32"/>
      <c r="C447" s="28"/>
      <c r="D447" s="1"/>
      <c r="E447" s="273"/>
      <c r="F447" s="3"/>
      <c r="G447" s="3"/>
      <c r="H447" s="274"/>
      <c r="I447" s="28"/>
      <c r="J447" s="273"/>
      <c r="K447" s="3"/>
      <c r="L447" s="3"/>
      <c r="M447" s="274"/>
      <c r="N447" s="1"/>
      <c r="O447" s="273"/>
      <c r="P447" s="3"/>
      <c r="Q447" s="3"/>
      <c r="R447" s="274"/>
      <c r="S447" s="1"/>
      <c r="T447" s="273"/>
      <c r="U447" s="3"/>
      <c r="V447" s="3"/>
      <c r="W447" s="274"/>
      <c r="X447" s="1"/>
      <c r="Y447" s="273"/>
      <c r="Z447" s="3"/>
      <c r="AA447" s="3"/>
      <c r="AB447" s="274"/>
      <c r="AC447" s="1"/>
      <c r="AD447" s="273"/>
      <c r="AE447" s="3"/>
      <c r="AF447" s="3"/>
      <c r="AG447" s="274"/>
      <c r="AH447" s="1"/>
      <c r="AI447" s="273"/>
      <c r="AJ447" s="3"/>
      <c r="AK447" s="3"/>
      <c r="AL447" s="274"/>
      <c r="AM447" s="1"/>
      <c r="AN447" s="273"/>
      <c r="AO447" s="3"/>
      <c r="AP447" s="3"/>
      <c r="AQ447" s="274"/>
      <c r="AR447" s="1"/>
      <c r="AS447" s="273"/>
      <c r="AT447" s="3"/>
      <c r="AU447" s="3"/>
      <c r="AV447" s="274"/>
      <c r="AW447" s="1"/>
      <c r="AX447" s="273"/>
      <c r="AY447" s="3"/>
      <c r="AZ447" s="3"/>
      <c r="BA447" s="274"/>
      <c r="BB447" s="1"/>
      <c r="BC447" s="273"/>
      <c r="BD447" s="3"/>
      <c r="BE447" s="3"/>
      <c r="BF447" s="274"/>
      <c r="BG447" s="1"/>
      <c r="BH447" s="273"/>
      <c r="BI447" s="3"/>
      <c r="BJ447" s="3"/>
      <c r="BK447" s="274"/>
      <c r="BL447" s="1"/>
      <c r="BM447" s="273"/>
      <c r="BN447" s="3"/>
      <c r="BO447" s="3"/>
      <c r="BP447" s="274"/>
      <c r="BQ447" s="1"/>
      <c r="BR447" s="40"/>
      <c r="BS447" s="40"/>
      <c r="BT447" s="40"/>
      <c r="BU447" s="232"/>
      <c r="BV447" s="40"/>
      <c r="BW447" s="40"/>
      <c r="BX447" s="40"/>
      <c r="BY447" s="40"/>
      <c r="BZ447" s="40"/>
      <c r="CA447" s="40"/>
      <c r="CB447" s="40"/>
      <c r="CC447" s="40"/>
      <c r="CD447" s="40"/>
      <c r="CE447" s="40"/>
      <c r="CF447" s="40"/>
      <c r="CG447" s="40"/>
      <c r="CH447" s="40"/>
      <c r="CI447" s="40"/>
      <c r="CJ447" s="40"/>
      <c r="CK447" s="40"/>
      <c r="CL447" s="40"/>
      <c r="CM447" s="40"/>
      <c r="CN447" s="40"/>
      <c r="CO447" s="40"/>
      <c r="CP447" s="40"/>
      <c r="CQ447" s="40"/>
      <c r="CR447" s="40"/>
      <c r="CS447" s="40"/>
      <c r="CT447" s="823"/>
      <c r="CU447" s="232"/>
      <c r="CV447" s="232"/>
      <c r="CW447" s="232"/>
      <c r="CX447" s="232"/>
      <c r="CY447" s="232"/>
      <c r="CZ447" s="40"/>
      <c r="DA447" s="40"/>
      <c r="DB447" s="40"/>
      <c r="DC447" s="40"/>
      <c r="DD447" s="40"/>
      <c r="DE447" s="40"/>
      <c r="DF447" s="232"/>
      <c r="DG447" s="232"/>
      <c r="DH447" s="232"/>
      <c r="DI447" s="232"/>
      <c r="DJ447" s="232"/>
      <c r="DK447" s="232"/>
      <c r="DL447" s="232"/>
      <c r="DM447" s="232"/>
      <c r="DN447" s="232"/>
    </row>
    <row r="448" spans="1:118">
      <c r="A448" s="40"/>
      <c r="B448" s="32"/>
      <c r="C448" s="28" t="s">
        <v>171</v>
      </c>
      <c r="D448" s="1"/>
      <c r="E448" s="273"/>
      <c r="F448" s="3"/>
      <c r="G448" s="3"/>
      <c r="H448" s="274"/>
      <c r="I448" s="544">
        <v>0.25</v>
      </c>
      <c r="J448" s="273"/>
      <c r="K448" s="3"/>
      <c r="L448" s="3"/>
      <c r="M448" s="274"/>
      <c r="N448" s="1"/>
      <c r="O448" s="273"/>
      <c r="P448" s="3"/>
      <c r="Q448" s="3"/>
      <c r="R448" s="274"/>
      <c r="S448" s="1"/>
      <c r="T448" s="277"/>
      <c r="U448" s="253"/>
      <c r="V448" s="253"/>
      <c r="W448" s="278"/>
      <c r="X448" s="224"/>
      <c r="Y448" s="277">
        <f>IF(Y440&gt;Y441,$I448,0%)</f>
        <v>0</v>
      </c>
      <c r="Z448" s="253">
        <f>IF(Z440&gt;Z441,$I448,0%)</f>
        <v>0</v>
      </c>
      <c r="AA448" s="253">
        <f>IF(AA440&gt;AA441,$I448,0%)</f>
        <v>0</v>
      </c>
      <c r="AB448" s="278">
        <f>IF(AB440&gt;AB441,$I448,0%)</f>
        <v>0</v>
      </c>
      <c r="AC448" s="224">
        <f>AVERAGE(Y448:AB448)</f>
        <v>0</v>
      </c>
      <c r="AD448" s="277">
        <f>IF(AD440&gt;AD441,$I448,0%)</f>
        <v>0</v>
      </c>
      <c r="AE448" s="253">
        <f>IF(AE440&gt;AE441,$I448,0%)</f>
        <v>0</v>
      </c>
      <c r="AF448" s="253">
        <f>IF(AF440&gt;AF441,$I448,0%)</f>
        <v>0</v>
      </c>
      <c r="AG448" s="278">
        <f>IF(AG440&gt;AG441,$I448,0%)</f>
        <v>0</v>
      </c>
      <c r="AH448" s="224">
        <f>AVERAGE(AD448:AG448)</f>
        <v>0</v>
      </c>
      <c r="AI448" s="277">
        <f>IF(AI440&gt;AI441,$I448,0%)</f>
        <v>0</v>
      </c>
      <c r="AJ448" s="253">
        <f>IF(AJ440&gt;AJ441,$I448,0%)</f>
        <v>0</v>
      </c>
      <c r="AK448" s="253">
        <f>IF(AK440&gt;AK441,$I448,0%)</f>
        <v>0</v>
      </c>
      <c r="AL448" s="278">
        <f>IF(AL440&gt;AL441,$I448,0%)</f>
        <v>0</v>
      </c>
      <c r="AM448" s="224">
        <f>AVERAGE(AI448:AL448)</f>
        <v>0</v>
      </c>
      <c r="AN448" s="277">
        <f>IF(AN440&gt;AN441,$I448,0%)</f>
        <v>0</v>
      </c>
      <c r="AO448" s="253">
        <f>IF(AO440&gt;AO441,$I448,0%)</f>
        <v>0</v>
      </c>
      <c r="AP448" s="253">
        <f>IF(AP440&gt;AP441,$I448,0%)</f>
        <v>0</v>
      </c>
      <c r="AQ448" s="278">
        <f>IF(AQ440&gt;AQ441,$I448,0%)</f>
        <v>0</v>
      </c>
      <c r="AR448" s="224">
        <f>AVERAGE(AN448:AQ448)</f>
        <v>0</v>
      </c>
      <c r="AS448" s="277">
        <f>IF(AS440&gt;AS441,$I448,0%)</f>
        <v>0</v>
      </c>
      <c r="AT448" s="253">
        <f>IF(AT440&gt;AT441,$I448,0%)</f>
        <v>0</v>
      </c>
      <c r="AU448" s="253">
        <f t="shared" ref="AU448" si="669">IF(AU440&gt;AU441,$I448,0%)</f>
        <v>0</v>
      </c>
      <c r="AV448" s="278">
        <f>IF(AV440&gt;AV441,$I448,0%)</f>
        <v>0</v>
      </c>
      <c r="AW448" s="224">
        <f>AVERAGE(AS448:AV448)</f>
        <v>0</v>
      </c>
      <c r="AX448" s="277">
        <f>IF(AX440&gt;AX441,$I448,0%)</f>
        <v>0</v>
      </c>
      <c r="AY448" s="253">
        <f>IF(AY440&gt;AY441,$I448,0%)</f>
        <v>0</v>
      </c>
      <c r="AZ448" s="253">
        <f>IF(AZ440&gt;AZ441,$I448,0%)</f>
        <v>0.25</v>
      </c>
      <c r="BA448" s="278">
        <f>IF(BA440&gt;BA441,$I448,0%)</f>
        <v>0</v>
      </c>
      <c r="BB448" s="224">
        <f>AVERAGE(AX448:BA448)</f>
        <v>6.25E-2</v>
      </c>
      <c r="BC448" s="277">
        <f>IF(BC440&gt;BC441,$I448,0%)</f>
        <v>0</v>
      </c>
      <c r="BD448" s="253">
        <f>IF(BD440&gt;BD441,$I448,0%)</f>
        <v>0</v>
      </c>
      <c r="BE448" s="253">
        <f>IF(BE440&gt;BE441,$I448,0%)</f>
        <v>0.25</v>
      </c>
      <c r="BF448" s="278">
        <f>IF(BF440&gt;BF441,$I448,0%)</f>
        <v>0</v>
      </c>
      <c r="BG448" s="224">
        <f>AVERAGE(BC448:BF448)</f>
        <v>6.25E-2</v>
      </c>
      <c r="BH448" s="277">
        <f>IF(BH440&gt;BH441,$I448,0%)</f>
        <v>0</v>
      </c>
      <c r="BI448" s="253">
        <f>IF(BI440&gt;BI441,$I448,0%)</f>
        <v>0</v>
      </c>
      <c r="BJ448" s="253">
        <f>IF(BJ440&gt;BJ441,$I448,0%)</f>
        <v>0.25</v>
      </c>
      <c r="BK448" s="278">
        <f>IF(BK440&gt;BK441,$I448,0%)</f>
        <v>0</v>
      </c>
      <c r="BL448" s="224">
        <f>AVERAGE(BH448:BK448)</f>
        <v>6.25E-2</v>
      </c>
      <c r="BM448" s="277">
        <f>IF(BM440&gt;BM441,$I448,0%)</f>
        <v>0</v>
      </c>
      <c r="BN448" s="253">
        <f>IF(BN440&gt;BN441,$I448,0%)</f>
        <v>0</v>
      </c>
      <c r="BO448" s="253">
        <f>IF(BO440&gt;BO441,$I448,0%)</f>
        <v>0.25</v>
      </c>
      <c r="BP448" s="278">
        <f>IF(BP440&gt;BP441,$I448,0%)</f>
        <v>0</v>
      </c>
      <c r="BQ448" s="224">
        <f>AVERAGE(BM448:BP448)</f>
        <v>6.25E-2</v>
      </c>
      <c r="BR448" s="40"/>
      <c r="BS448" s="40"/>
      <c r="BT448" s="40"/>
      <c r="BU448" s="232"/>
      <c r="BV448" s="40"/>
      <c r="BW448" s="40"/>
      <c r="BX448" s="40"/>
      <c r="BY448" s="40"/>
      <c r="BZ448" s="40"/>
      <c r="CA448" s="40"/>
      <c r="CB448" s="40"/>
      <c r="CC448" s="40"/>
      <c r="CD448" s="40"/>
      <c r="CE448" s="40"/>
      <c r="CF448" s="40"/>
      <c r="CG448" s="40"/>
      <c r="CH448" s="40"/>
      <c r="CI448" s="40"/>
      <c r="CJ448" s="40"/>
      <c r="CK448" s="40"/>
      <c r="CL448" s="40"/>
      <c r="CM448" s="40"/>
      <c r="CN448" s="40"/>
      <c r="CO448" s="40"/>
      <c r="CP448" s="40"/>
      <c r="CQ448" s="40"/>
      <c r="CR448" s="40"/>
      <c r="CS448" s="40"/>
      <c r="CT448" s="823"/>
      <c r="CU448" s="232"/>
      <c r="CV448" s="232"/>
      <c r="CW448" s="232"/>
      <c r="CX448" s="232"/>
      <c r="CY448" s="232"/>
      <c r="CZ448" s="40"/>
      <c r="DA448" s="40"/>
      <c r="DB448" s="40"/>
      <c r="DC448" s="40"/>
      <c r="DD448" s="40"/>
      <c r="DE448" s="40"/>
      <c r="DF448" s="232"/>
      <c r="DG448" s="232"/>
      <c r="DH448" s="232"/>
      <c r="DI448" s="232"/>
      <c r="DJ448" s="232"/>
      <c r="DK448" s="232"/>
      <c r="DL448" s="232"/>
      <c r="DM448" s="232"/>
      <c r="DN448" s="232"/>
    </row>
    <row r="449" spans="1:118">
      <c r="A449" s="40"/>
      <c r="B449" s="32"/>
      <c r="C449" s="28" t="s">
        <v>169</v>
      </c>
      <c r="D449" s="1"/>
      <c r="E449" s="273"/>
      <c r="F449" s="3"/>
      <c r="G449" s="3"/>
      <c r="H449" s="274"/>
      <c r="I449" s="546"/>
      <c r="J449" s="273"/>
      <c r="K449" s="3"/>
      <c r="L449" s="3"/>
      <c r="M449" s="274"/>
      <c r="N449" s="1"/>
      <c r="O449" s="273"/>
      <c r="P449" s="3"/>
      <c r="Q449" s="3"/>
      <c r="R449" s="274"/>
      <c r="S449" s="1"/>
      <c r="T449" s="332"/>
      <c r="U449" s="333"/>
      <c r="V449" s="333"/>
      <c r="W449" s="334"/>
      <c r="X449" s="331"/>
      <c r="Y449" s="332">
        <f>(Y443*Y448*(8760/1000))/4</f>
        <v>0</v>
      </c>
      <c r="Z449" s="333">
        <f>(Z443*Z448*(8760/1000))/4</f>
        <v>0</v>
      </c>
      <c r="AA449" s="333">
        <f>(AA443*AA448*(8760/1000))/4</f>
        <v>0</v>
      </c>
      <c r="AB449" s="334">
        <f>(AB443*AB448*(8760/1000))/4</f>
        <v>0</v>
      </c>
      <c r="AC449" s="331">
        <f>SUM(Y449:AB449)</f>
        <v>0</v>
      </c>
      <c r="AD449" s="332">
        <f>(AD443*AD448*(8760/1000))/4</f>
        <v>0</v>
      </c>
      <c r="AE449" s="333">
        <f>(AE443*AE448*(8760/1000))/4</f>
        <v>0</v>
      </c>
      <c r="AF449" s="333">
        <f>(AF443*AF448*(8760/1000))/4</f>
        <v>0</v>
      </c>
      <c r="AG449" s="334">
        <f>(AG443*AG448*(8760/1000))/4</f>
        <v>0</v>
      </c>
      <c r="AH449" s="331">
        <f>SUM(AD449:AG449)</f>
        <v>0</v>
      </c>
      <c r="AI449" s="332">
        <f>(AI443*AI448*(8760/1000))/4</f>
        <v>0</v>
      </c>
      <c r="AJ449" s="333">
        <f>(AJ443*AJ448*(8760/1000))/4</f>
        <v>0</v>
      </c>
      <c r="AK449" s="333">
        <f>(AK443*AK448*(8760/1000))/4</f>
        <v>0</v>
      </c>
      <c r="AL449" s="334">
        <f>(AL443*AL448*(8760/1000))/4</f>
        <v>0</v>
      </c>
      <c r="AM449" s="331">
        <f>SUM(AI449:AL449)</f>
        <v>0</v>
      </c>
      <c r="AN449" s="332">
        <f>(AN443*AN448*(8760/1000))/4</f>
        <v>0</v>
      </c>
      <c r="AO449" s="333">
        <f>(AO443*AO448*(8760/1000))/4</f>
        <v>0</v>
      </c>
      <c r="AP449" s="333">
        <f>(AP443*AP448*(8760/1000))/4</f>
        <v>0</v>
      </c>
      <c r="AQ449" s="334">
        <f>(AQ443*AQ448*(8760/1000))/4</f>
        <v>0</v>
      </c>
      <c r="AR449" s="331">
        <f>SUM(AN449:AQ449)</f>
        <v>0</v>
      </c>
      <c r="AS449" s="332">
        <f>(AS443*AS448*(8760/1000))/4</f>
        <v>0</v>
      </c>
      <c r="AT449" s="333">
        <f>(AT443*AT448*(8760/1000))/4</f>
        <v>0</v>
      </c>
      <c r="AU449" s="333">
        <f t="shared" ref="AU449" si="670">(AU443*AU448*(8760/1000))/4</f>
        <v>0</v>
      </c>
      <c r="AV449" s="334">
        <f>(AV443*AV448*(8760/1000))/4</f>
        <v>0</v>
      </c>
      <c r="AW449" s="331">
        <f>SUM(AS449:AV449)</f>
        <v>0</v>
      </c>
      <c r="AX449" s="332">
        <f>(AX443*AX448*(8760/1000))/4</f>
        <v>0</v>
      </c>
      <c r="AY449" s="333">
        <f>(AY443*AY448*(8760/1000))/4</f>
        <v>0</v>
      </c>
      <c r="AZ449" s="333">
        <f>(AZ443*AZ448*(8760/1000))/4</f>
        <v>0</v>
      </c>
      <c r="BA449" s="334">
        <f>(BA443*BA448*(8760/1000))/4</f>
        <v>0</v>
      </c>
      <c r="BB449" s="331">
        <f>SUM(AX449:BA449)</f>
        <v>0</v>
      </c>
      <c r="BC449" s="332">
        <f>(BC443*BC448*(8760/1000))/4</f>
        <v>0</v>
      </c>
      <c r="BD449" s="333">
        <f>(BD443*BD448*(8760/1000))/4</f>
        <v>0</v>
      </c>
      <c r="BE449" s="333">
        <f>(BE443*BE448*(8760/1000))/4</f>
        <v>0</v>
      </c>
      <c r="BF449" s="334">
        <f>(BF443*BF448*(8760/1000))/4</f>
        <v>0</v>
      </c>
      <c r="BG449" s="331">
        <f>SUM(BC449:BF449)</f>
        <v>0</v>
      </c>
      <c r="BH449" s="332">
        <f>(BH443*BH448*(8760/1000))/4</f>
        <v>0</v>
      </c>
      <c r="BI449" s="333">
        <f>(BI443*BI448*(8760/1000))/4</f>
        <v>0</v>
      </c>
      <c r="BJ449" s="333">
        <f>(BJ443*BJ448*(8760/1000))/4</f>
        <v>0</v>
      </c>
      <c r="BK449" s="334">
        <f>(BK443*BK448*(8760/1000))/4</f>
        <v>0</v>
      </c>
      <c r="BL449" s="331">
        <f>SUM(BH449:BK449)</f>
        <v>0</v>
      </c>
      <c r="BM449" s="332">
        <f>(BM443*BM448*(8760/1000))/4</f>
        <v>0</v>
      </c>
      <c r="BN449" s="333">
        <f>(BN443*BN448*(8760/1000))/4</f>
        <v>0</v>
      </c>
      <c r="BO449" s="333">
        <f>(BO443*BO448*(8760/1000))/4</f>
        <v>0</v>
      </c>
      <c r="BP449" s="334">
        <f>(BP443*BP448*(8760/1000))/4</f>
        <v>0</v>
      </c>
      <c r="BQ449" s="331">
        <f>SUM(BM449:BP449)</f>
        <v>0</v>
      </c>
      <c r="BR449" s="40"/>
      <c r="BS449" s="40"/>
      <c r="BT449" s="40"/>
      <c r="BU449" s="232"/>
      <c r="BV449" s="40"/>
      <c r="BW449" s="40"/>
      <c r="BX449" s="40"/>
      <c r="BY449" s="40"/>
      <c r="BZ449" s="40"/>
      <c r="CA449" s="40"/>
      <c r="CB449" s="40"/>
      <c r="CC449" s="40"/>
      <c r="CD449" s="40"/>
      <c r="CE449" s="40"/>
      <c r="CF449" s="40"/>
      <c r="CG449" s="40"/>
      <c r="CH449" s="40"/>
      <c r="CI449" s="40"/>
      <c r="CJ449" s="40"/>
      <c r="CK449" s="40"/>
      <c r="CL449" s="40"/>
      <c r="CM449" s="40"/>
      <c r="CN449" s="40"/>
      <c r="CO449" s="40"/>
      <c r="CP449" s="40"/>
      <c r="CQ449" s="40"/>
      <c r="CR449" s="40"/>
      <c r="CS449" s="40"/>
      <c r="CT449" s="823"/>
      <c r="CU449" s="232"/>
      <c r="CV449" s="232"/>
      <c r="CW449" s="232"/>
      <c r="CX449" s="232"/>
      <c r="CY449" s="232"/>
      <c r="CZ449" s="40"/>
      <c r="DA449" s="40"/>
      <c r="DB449" s="40"/>
      <c r="DC449" s="40"/>
      <c r="DD449" s="40"/>
      <c r="DE449" s="40"/>
      <c r="DF449" s="232"/>
      <c r="DG449" s="232"/>
      <c r="DH449" s="232"/>
      <c r="DI449" s="232"/>
      <c r="DJ449" s="232"/>
      <c r="DK449" s="232"/>
      <c r="DL449" s="232"/>
      <c r="DM449" s="232"/>
      <c r="DN449" s="232"/>
    </row>
    <row r="450" spans="1:118">
      <c r="A450" s="40"/>
      <c r="B450" s="32"/>
      <c r="C450" s="28"/>
      <c r="D450" s="1"/>
      <c r="E450" s="273"/>
      <c r="F450" s="3"/>
      <c r="G450" s="3"/>
      <c r="H450" s="274"/>
      <c r="I450" s="28"/>
      <c r="J450" s="273"/>
      <c r="K450" s="3"/>
      <c r="L450" s="3"/>
      <c r="M450" s="274"/>
      <c r="N450" s="1"/>
      <c r="O450" s="273"/>
      <c r="P450" s="3"/>
      <c r="Q450" s="3"/>
      <c r="R450" s="274"/>
      <c r="S450" s="1"/>
      <c r="T450" s="273"/>
      <c r="U450" s="3"/>
      <c r="V450" s="3"/>
      <c r="W450" s="274"/>
      <c r="X450" s="1"/>
      <c r="Y450" s="273"/>
      <c r="Z450" s="3"/>
      <c r="AA450" s="3"/>
      <c r="AB450" s="274"/>
      <c r="AC450" s="1"/>
      <c r="AD450" s="273"/>
      <c r="AE450" s="3"/>
      <c r="AF450" s="3"/>
      <c r="AG450" s="274"/>
      <c r="AH450" s="1"/>
      <c r="AI450" s="273"/>
      <c r="AJ450" s="3"/>
      <c r="AK450" s="3"/>
      <c r="AL450" s="274"/>
      <c r="AM450" s="1"/>
      <c r="AN450" s="273"/>
      <c r="AO450" s="3"/>
      <c r="AP450" s="3"/>
      <c r="AQ450" s="274"/>
      <c r="AR450" s="1"/>
      <c r="AS450" s="273"/>
      <c r="AT450" s="3"/>
      <c r="AU450" s="3"/>
      <c r="AV450" s="274"/>
      <c r="AW450" s="1"/>
      <c r="AX450" s="273"/>
      <c r="AY450" s="3"/>
      <c r="AZ450" s="3"/>
      <c r="BA450" s="274"/>
      <c r="BB450" s="1"/>
      <c r="BC450" s="273"/>
      <c r="BD450" s="3"/>
      <c r="BE450" s="3"/>
      <c r="BF450" s="274"/>
      <c r="BG450" s="1"/>
      <c r="BH450" s="273"/>
      <c r="BI450" s="3"/>
      <c r="BJ450" s="3"/>
      <c r="BK450" s="274"/>
      <c r="BL450" s="1"/>
      <c r="BM450" s="273"/>
      <c r="BN450" s="3"/>
      <c r="BO450" s="3"/>
      <c r="BP450" s="274"/>
      <c r="BQ450" s="1"/>
      <c r="BR450" s="40"/>
      <c r="BS450" s="40"/>
      <c r="BT450" s="40"/>
      <c r="BU450" s="232"/>
      <c r="BV450" s="40"/>
      <c r="BW450" s="40"/>
      <c r="BX450" s="40"/>
      <c r="BY450" s="40"/>
      <c r="BZ450" s="40"/>
      <c r="CA450" s="40"/>
      <c r="CB450" s="40"/>
      <c r="CC450" s="40"/>
      <c r="CD450" s="40"/>
      <c r="CE450" s="40"/>
      <c r="CF450" s="40"/>
      <c r="CG450" s="40"/>
      <c r="CH450" s="40"/>
      <c r="CI450" s="40"/>
      <c r="CJ450" s="40"/>
      <c r="CK450" s="40"/>
      <c r="CL450" s="40"/>
      <c r="CM450" s="40"/>
      <c r="CN450" s="40"/>
      <c r="CO450" s="40"/>
      <c r="CP450" s="40"/>
      <c r="CQ450" s="40"/>
      <c r="CR450" s="40"/>
      <c r="CS450" s="40"/>
      <c r="CT450" s="823"/>
      <c r="CU450" s="232"/>
      <c r="CV450" s="232"/>
      <c r="CW450" s="232"/>
      <c r="CX450" s="232"/>
      <c r="CY450" s="232"/>
      <c r="CZ450" s="40"/>
      <c r="DA450" s="40"/>
      <c r="DB450" s="40"/>
      <c r="DC450" s="40"/>
      <c r="DD450" s="40"/>
      <c r="DE450" s="40"/>
      <c r="DF450" s="232"/>
      <c r="DG450" s="232"/>
      <c r="DH450" s="232"/>
      <c r="DI450" s="232"/>
      <c r="DJ450" s="232"/>
      <c r="DK450" s="232"/>
      <c r="DL450" s="232"/>
      <c r="DM450" s="232"/>
      <c r="DN450" s="232"/>
    </row>
    <row r="451" spans="1:118">
      <c r="A451" s="40"/>
      <c r="B451" s="32"/>
      <c r="C451" s="28" t="s">
        <v>172</v>
      </c>
      <c r="D451" s="1"/>
      <c r="E451" s="273"/>
      <c r="F451" s="3"/>
      <c r="G451" s="3"/>
      <c r="H451" s="274"/>
      <c r="I451" s="28"/>
      <c r="J451" s="273"/>
      <c r="K451" s="3"/>
      <c r="L451" s="3"/>
      <c r="M451" s="274"/>
      <c r="N451" s="1"/>
      <c r="O451" s="273"/>
      <c r="P451" s="3"/>
      <c r="Q451" s="3"/>
      <c r="R451" s="274"/>
      <c r="S451" s="1"/>
      <c r="T451" s="277"/>
      <c r="U451" s="253"/>
      <c r="V451" s="253"/>
      <c r="W451" s="278"/>
      <c r="X451" s="224"/>
      <c r="Y451" s="277">
        <f>(Y449+Y446)/(8.76*Y443/4)</f>
        <v>0.44999999999999996</v>
      </c>
      <c r="Z451" s="253">
        <f>(Z449+Z446)/(8.76*Z443/4)</f>
        <v>0.44999999999999996</v>
      </c>
      <c r="AA451" s="253">
        <f>(AA449+AA446)/(8.76*AA443/4)</f>
        <v>0.44999999999999996</v>
      </c>
      <c r="AB451" s="278">
        <f>(AB449+AB446)/(8.76*AB443/4)</f>
        <v>0.44999999999999996</v>
      </c>
      <c r="AC451" s="224">
        <f>AVERAGE(Y451:AB451)</f>
        <v>0.44999999999999996</v>
      </c>
      <c r="AD451" s="277">
        <f>(AD449+AD446)/(8.76*AD443/4)</f>
        <v>0.44999999999999996</v>
      </c>
      <c r="AE451" s="253">
        <f>(AE449+AE446)/(8.76*AE443/4)</f>
        <v>0.44999999999999996</v>
      </c>
      <c r="AF451" s="253">
        <f>(AF449+AF446)/(8.76*AF443/4)</f>
        <v>0.44999999999999996</v>
      </c>
      <c r="AG451" s="278">
        <f>(AG449+AG446)/(8.76*AG443/4)</f>
        <v>0.44999999999999996</v>
      </c>
      <c r="AH451" s="224">
        <f>AVERAGE(AD451:AG451)</f>
        <v>0.44999999999999996</v>
      </c>
      <c r="AI451" s="277">
        <f>(AI449+AI446)/(8.76*AI443/4)</f>
        <v>0.44999999999999996</v>
      </c>
      <c r="AJ451" s="253">
        <f>(AJ449+AJ446)/(8.76*AJ443/4)</f>
        <v>0.44999999999999996</v>
      </c>
      <c r="AK451" s="253">
        <f>(AK449+AK446)/(8.76*AK443/4)</f>
        <v>0.44999999999999996</v>
      </c>
      <c r="AL451" s="278">
        <f>(AL449+AL446)/(8.76*AL443/4)</f>
        <v>0.44999999999999996</v>
      </c>
      <c r="AM451" s="224">
        <f>AVERAGE(AI451:AL451)</f>
        <v>0.44999999999999996</v>
      </c>
      <c r="AN451" s="277">
        <f>(AN449+AN446)/(8.76*AN443/4)</f>
        <v>0.44999999999999996</v>
      </c>
      <c r="AO451" s="253">
        <f>(AO449+AO446)/(8.76*AO443/4)</f>
        <v>0.44999999999999996</v>
      </c>
      <c r="AP451" s="253">
        <f>(AP449+AP446)/(8.76*AP443/4)</f>
        <v>0.44999999999999996</v>
      </c>
      <c r="AQ451" s="278">
        <f>(AQ449+AQ446)/(8.76*AQ443/4)</f>
        <v>0.44999999999999996</v>
      </c>
      <c r="AR451" s="224">
        <f>AVERAGE(AN451:AQ451)</f>
        <v>0.44999999999999996</v>
      </c>
      <c r="AS451" s="277">
        <f>(AS449+AS446)/(8.76*AS443/4)</f>
        <v>0.44999999999999996</v>
      </c>
      <c r="AT451" s="253">
        <f>(AT449+AT446)/(8.76*AT443/4)</f>
        <v>0.44999999999999996</v>
      </c>
      <c r="AU451" s="253">
        <f t="shared" ref="AU451" si="671">(AU449+AU446)/(8.76*AU443/4)</f>
        <v>0.44999999999999996</v>
      </c>
      <c r="AV451" s="278">
        <f>(AV449+AV446)/(8.76*AV443/4)</f>
        <v>0.44999999999999996</v>
      </c>
      <c r="AW451" s="224">
        <f>AVERAGE(AS451:AV451)</f>
        <v>0.44999999999999996</v>
      </c>
      <c r="AX451" s="277">
        <f>IFERROR((AX449+AX446)/(8.76*AX443/4),0%)</f>
        <v>0</v>
      </c>
      <c r="AY451" s="253">
        <f t="shared" ref="AY451:BP451" si="672">IFERROR((AY449+AY446)/(8.76*AY443/4),0%)</f>
        <v>0</v>
      </c>
      <c r="AZ451" s="253">
        <f t="shared" si="672"/>
        <v>0</v>
      </c>
      <c r="BA451" s="278">
        <f t="shared" si="672"/>
        <v>0</v>
      </c>
      <c r="BB451" s="224">
        <f>AVERAGE(AX451:BA451)</f>
        <v>0</v>
      </c>
      <c r="BC451" s="277">
        <f t="shared" si="672"/>
        <v>0</v>
      </c>
      <c r="BD451" s="253">
        <f t="shared" si="672"/>
        <v>0</v>
      </c>
      <c r="BE451" s="253">
        <f t="shared" si="672"/>
        <v>0</v>
      </c>
      <c r="BF451" s="278">
        <f t="shared" si="672"/>
        <v>0</v>
      </c>
      <c r="BG451" s="224">
        <f>AVERAGE(BC451:BF451)</f>
        <v>0</v>
      </c>
      <c r="BH451" s="277">
        <f t="shared" si="672"/>
        <v>0</v>
      </c>
      <c r="BI451" s="253">
        <f t="shared" si="672"/>
        <v>0</v>
      </c>
      <c r="BJ451" s="253">
        <f t="shared" si="672"/>
        <v>0</v>
      </c>
      <c r="BK451" s="278">
        <f t="shared" si="672"/>
        <v>0</v>
      </c>
      <c r="BL451" s="224">
        <f>AVERAGE(BH451:BK451)</f>
        <v>0</v>
      </c>
      <c r="BM451" s="277">
        <f t="shared" si="672"/>
        <v>0</v>
      </c>
      <c r="BN451" s="253">
        <f t="shared" si="672"/>
        <v>0</v>
      </c>
      <c r="BO451" s="253">
        <f t="shared" si="672"/>
        <v>0</v>
      </c>
      <c r="BP451" s="278">
        <f t="shared" si="672"/>
        <v>0</v>
      </c>
      <c r="BQ451" s="224">
        <f>AVERAGE(BM451:BP451)</f>
        <v>0</v>
      </c>
      <c r="BR451" s="40"/>
      <c r="BS451" s="40"/>
      <c r="BT451" s="40"/>
      <c r="BU451" s="232"/>
      <c r="BV451" s="40"/>
      <c r="BW451" s="40"/>
      <c r="BX451" s="40"/>
      <c r="BY451" s="40"/>
      <c r="BZ451" s="40"/>
      <c r="CA451" s="40"/>
      <c r="CB451" s="40"/>
      <c r="CC451" s="40"/>
      <c r="CD451" s="40"/>
      <c r="CE451" s="40"/>
      <c r="CF451" s="40"/>
      <c r="CG451" s="40"/>
      <c r="CH451" s="40"/>
      <c r="CI451" s="40"/>
      <c r="CJ451" s="40"/>
      <c r="CK451" s="40"/>
      <c r="CL451" s="40"/>
      <c r="CM451" s="40"/>
      <c r="CN451" s="40"/>
      <c r="CO451" s="40"/>
      <c r="CP451" s="40"/>
      <c r="CQ451" s="40"/>
      <c r="CR451" s="40"/>
      <c r="CS451" s="40"/>
      <c r="CT451" s="823"/>
      <c r="CU451" s="232"/>
      <c r="CV451" s="232"/>
      <c r="CW451" s="232"/>
      <c r="CX451" s="232"/>
      <c r="CY451" s="232"/>
      <c r="CZ451" s="40"/>
      <c r="DA451" s="40"/>
      <c r="DB451" s="40"/>
      <c r="DC451" s="40"/>
      <c r="DD451" s="40"/>
      <c r="DE451" s="40"/>
      <c r="DF451" s="232"/>
      <c r="DG451" s="232"/>
      <c r="DH451" s="232"/>
      <c r="DI451" s="232"/>
      <c r="DJ451" s="232"/>
      <c r="DK451" s="232"/>
      <c r="DL451" s="232"/>
      <c r="DM451" s="232"/>
      <c r="DN451" s="232"/>
    </row>
    <row r="452" spans="1:118">
      <c r="A452" s="40"/>
      <c r="B452" s="32"/>
      <c r="C452" s="32" t="s">
        <v>173</v>
      </c>
      <c r="D452" s="32"/>
      <c r="E452" s="489"/>
      <c r="F452" s="342"/>
      <c r="G452" s="342"/>
      <c r="H452" s="490"/>
      <c r="I452" s="32"/>
      <c r="J452" s="489"/>
      <c r="K452" s="342"/>
      <c r="L452" s="342"/>
      <c r="M452" s="490"/>
      <c r="N452" s="32"/>
      <c r="O452" s="489"/>
      <c r="P452" s="342"/>
      <c r="Q452" s="342"/>
      <c r="R452" s="490"/>
      <c r="S452" s="32"/>
      <c r="T452" s="292"/>
      <c r="U452" s="261"/>
      <c r="V452" s="261"/>
      <c r="W452" s="293"/>
      <c r="X452" s="348"/>
      <c r="Y452" s="292">
        <f>+Y449+Y446</f>
        <v>1332.396</v>
      </c>
      <c r="Z452" s="261">
        <f>+Z449+Z446</f>
        <v>1332.396</v>
      </c>
      <c r="AA452" s="261">
        <f>+AA449+AA446</f>
        <v>1332.396</v>
      </c>
      <c r="AB452" s="293">
        <f>+AB449+AB446</f>
        <v>1332.396</v>
      </c>
      <c r="AC452" s="348">
        <f>SUM(Y452:AB452)</f>
        <v>5329.5839999999998</v>
      </c>
      <c r="AD452" s="292">
        <f>+AD449+AD446</f>
        <v>1332.396</v>
      </c>
      <c r="AE452" s="261">
        <f>+AE449+AE446</f>
        <v>1332.396</v>
      </c>
      <c r="AF452" s="261">
        <f>+AF449+AF446</f>
        <v>1332.396</v>
      </c>
      <c r="AG452" s="293">
        <f>+AG449+AG446</f>
        <v>1332.396</v>
      </c>
      <c r="AH452" s="348">
        <f>SUM(AD452:AG452)</f>
        <v>5329.5839999999998</v>
      </c>
      <c r="AI452" s="292">
        <f>+AI449+AI446</f>
        <v>1332.396</v>
      </c>
      <c r="AJ452" s="261">
        <f>+AJ449+AJ446</f>
        <v>1332.396</v>
      </c>
      <c r="AK452" s="261">
        <f>+AK449+AK446</f>
        <v>1332.396</v>
      </c>
      <c r="AL452" s="293">
        <f>+AL449+AL446</f>
        <v>1332.396</v>
      </c>
      <c r="AM452" s="348">
        <f>SUM(AI452:AL452)</f>
        <v>5329.5839999999998</v>
      </c>
      <c r="AN452" s="292">
        <f>+AN449+AN446</f>
        <v>1332.396</v>
      </c>
      <c r="AO452" s="261">
        <f>+AO449+AO446</f>
        <v>1332.396</v>
      </c>
      <c r="AP452" s="261">
        <f>+AP449+AP446</f>
        <v>1332.396</v>
      </c>
      <c r="AQ452" s="293">
        <f>+AQ449+AQ446</f>
        <v>1332.396</v>
      </c>
      <c r="AR452" s="348">
        <f>SUM(AN452:AQ452)</f>
        <v>5329.5839999999998</v>
      </c>
      <c r="AS452" s="292">
        <f>+AS449+AS446</f>
        <v>1332.396</v>
      </c>
      <c r="AT452" s="261">
        <f>+AT449+AT446</f>
        <v>1332.396</v>
      </c>
      <c r="AU452" s="261">
        <f t="shared" ref="AU452" si="673">+AU449+AU446</f>
        <v>1332.396</v>
      </c>
      <c r="AV452" s="293">
        <f>+AV449+AV446</f>
        <v>1332.396</v>
      </c>
      <c r="AW452" s="348">
        <f>SUM(AS452:AV452)</f>
        <v>5329.5839999999998</v>
      </c>
      <c r="AX452" s="292">
        <f>+AX449+AX446</f>
        <v>0</v>
      </c>
      <c r="AY452" s="261">
        <f>+AY449+AY446</f>
        <v>0</v>
      </c>
      <c r="AZ452" s="261">
        <f>+AZ449+AZ446</f>
        <v>0</v>
      </c>
      <c r="BA452" s="293">
        <f>+BA449+BA446</f>
        <v>0</v>
      </c>
      <c r="BB452" s="348">
        <f>SUM(AX452:BA452)</f>
        <v>0</v>
      </c>
      <c r="BC452" s="292">
        <f>+BC449+BC446</f>
        <v>0</v>
      </c>
      <c r="BD452" s="261">
        <f>+BD449+BD446</f>
        <v>0</v>
      </c>
      <c r="BE452" s="261">
        <f>+BE449+BE446</f>
        <v>0</v>
      </c>
      <c r="BF452" s="293">
        <f>+BF449+BF446</f>
        <v>0</v>
      </c>
      <c r="BG452" s="348">
        <f>SUM(BC452:BF452)</f>
        <v>0</v>
      </c>
      <c r="BH452" s="292">
        <f>+BH449+BH446</f>
        <v>0</v>
      </c>
      <c r="BI452" s="261">
        <f>+BI449+BI446</f>
        <v>0</v>
      </c>
      <c r="BJ452" s="261">
        <f>+BJ449+BJ446</f>
        <v>0</v>
      </c>
      <c r="BK452" s="293">
        <f>+BK449+BK446</f>
        <v>0</v>
      </c>
      <c r="BL452" s="348">
        <f>SUM(BH452:BK452)</f>
        <v>0</v>
      </c>
      <c r="BM452" s="292">
        <f>+BM449+BM446</f>
        <v>0</v>
      </c>
      <c r="BN452" s="261">
        <f>+BN449+BN446</f>
        <v>0</v>
      </c>
      <c r="BO452" s="261">
        <f>+BO449+BO446</f>
        <v>0</v>
      </c>
      <c r="BP452" s="293">
        <f>+BP449+BP446</f>
        <v>0</v>
      </c>
      <c r="BQ452" s="348">
        <f>SUM(BM452:BP452)</f>
        <v>0</v>
      </c>
      <c r="BR452" s="40"/>
      <c r="BS452" s="40"/>
      <c r="BT452" s="40"/>
      <c r="BU452" s="232"/>
      <c r="BV452" s="40"/>
      <c r="BW452" s="40"/>
      <c r="BX452" s="40"/>
      <c r="BY452" s="40"/>
      <c r="BZ452" s="40"/>
      <c r="CA452" s="40"/>
      <c r="CB452" s="40"/>
      <c r="CC452" s="40"/>
      <c r="CD452" s="40"/>
      <c r="CE452" s="40"/>
      <c r="CF452" s="40"/>
      <c r="CG452" s="40"/>
      <c r="CH452" s="40"/>
      <c r="CI452" s="40"/>
      <c r="CJ452" s="40"/>
      <c r="CK452" s="40"/>
      <c r="CL452" s="40"/>
      <c r="CM452" s="40"/>
      <c r="CN452" s="40"/>
      <c r="CO452" s="40"/>
      <c r="CP452" s="40"/>
      <c r="CQ452" s="40"/>
      <c r="CR452" s="40"/>
      <c r="CS452" s="40"/>
      <c r="CT452" s="823"/>
      <c r="CU452" s="232"/>
      <c r="CV452" s="232"/>
      <c r="CW452" s="232"/>
      <c r="CX452" s="232"/>
      <c r="CY452" s="232"/>
      <c r="CZ452" s="40"/>
      <c r="DA452" s="40"/>
      <c r="DB452" s="40"/>
      <c r="DC452" s="40"/>
      <c r="DD452" s="40"/>
      <c r="DE452" s="40"/>
      <c r="DF452" s="232"/>
      <c r="DG452" s="232"/>
      <c r="DH452" s="232"/>
      <c r="DI452" s="232"/>
      <c r="DJ452" s="232"/>
      <c r="DK452" s="232"/>
      <c r="DL452" s="232"/>
      <c r="DM452" s="232"/>
      <c r="DN452" s="232"/>
    </row>
    <row r="453" spans="1:118">
      <c r="A453" s="40"/>
      <c r="B453" s="32"/>
      <c r="C453" s="28"/>
      <c r="D453" s="1"/>
      <c r="E453" s="273"/>
      <c r="F453" s="3"/>
      <c r="G453" s="3"/>
      <c r="H453" s="274"/>
      <c r="I453" s="28"/>
      <c r="J453" s="273"/>
      <c r="K453" s="3"/>
      <c r="L453" s="3"/>
      <c r="M453" s="274"/>
      <c r="N453" s="1"/>
      <c r="O453" s="273"/>
      <c r="P453" s="3"/>
      <c r="Q453" s="3"/>
      <c r="R453" s="274"/>
      <c r="S453" s="1"/>
      <c r="T453" s="273"/>
      <c r="U453" s="3"/>
      <c r="V453" s="3"/>
      <c r="W453" s="274"/>
      <c r="X453" s="1"/>
      <c r="Y453" s="273"/>
      <c r="Z453" s="3"/>
      <c r="AA453" s="3"/>
      <c r="AB453" s="274"/>
      <c r="AC453" s="1"/>
      <c r="AD453" s="273"/>
      <c r="AE453" s="3"/>
      <c r="AF453" s="3"/>
      <c r="AG453" s="274"/>
      <c r="AH453" s="1"/>
      <c r="AI453" s="273"/>
      <c r="AJ453" s="3"/>
      <c r="AK453" s="3"/>
      <c r="AL453" s="274"/>
      <c r="AM453" s="1"/>
      <c r="AN453" s="273"/>
      <c r="AO453" s="3"/>
      <c r="AP453" s="3"/>
      <c r="AQ453" s="274"/>
      <c r="AR453" s="1"/>
      <c r="AS453" s="273"/>
      <c r="AT453" s="3"/>
      <c r="AU453" s="3"/>
      <c r="AV453" s="274"/>
      <c r="AW453" s="1"/>
      <c r="AX453" s="273"/>
      <c r="AY453" s="3"/>
      <c r="AZ453" s="3"/>
      <c r="BA453" s="274"/>
      <c r="BB453" s="1"/>
      <c r="BC453" s="273"/>
      <c r="BD453" s="3"/>
      <c r="BE453" s="3"/>
      <c r="BF453" s="274"/>
      <c r="BG453" s="1"/>
      <c r="BH453" s="273"/>
      <c r="BI453" s="3"/>
      <c r="BJ453" s="3"/>
      <c r="BK453" s="274"/>
      <c r="BL453" s="1"/>
      <c r="BM453" s="273"/>
      <c r="BN453" s="3"/>
      <c r="BO453" s="3"/>
      <c r="BP453" s="274"/>
      <c r="BQ453" s="1"/>
      <c r="BR453" s="40"/>
      <c r="BS453" s="40"/>
      <c r="BT453" s="40"/>
      <c r="BU453" s="232"/>
      <c r="BV453" s="40"/>
      <c r="BW453" s="40"/>
      <c r="BX453" s="40"/>
      <c r="BY453" s="40"/>
      <c r="BZ453" s="40"/>
      <c r="CA453" s="40"/>
      <c r="CB453" s="40"/>
      <c r="CC453" s="40"/>
      <c r="CD453" s="40"/>
      <c r="CE453" s="40"/>
      <c r="CF453" s="40"/>
      <c r="CG453" s="40"/>
      <c r="CH453" s="40"/>
      <c r="CI453" s="40"/>
      <c r="CJ453" s="40"/>
      <c r="CK453" s="40"/>
      <c r="CL453" s="40"/>
      <c r="CM453" s="40"/>
      <c r="CN453" s="40"/>
      <c r="CO453" s="40"/>
      <c r="CP453" s="40"/>
      <c r="CQ453" s="40"/>
      <c r="CR453" s="40"/>
      <c r="CS453" s="40"/>
      <c r="CT453" s="823"/>
      <c r="CU453" s="232"/>
      <c r="CV453" s="232"/>
      <c r="CW453" s="232"/>
      <c r="CX453" s="232"/>
      <c r="CY453" s="232"/>
      <c r="CZ453" s="40"/>
      <c r="DA453" s="40"/>
      <c r="DB453" s="40"/>
      <c r="DC453" s="40"/>
      <c r="DD453" s="40"/>
      <c r="DE453" s="40"/>
      <c r="DF453" s="232"/>
      <c r="DG453" s="232"/>
      <c r="DH453" s="232"/>
      <c r="DI453" s="232"/>
      <c r="DJ453" s="232"/>
      <c r="DK453" s="232"/>
      <c r="DL453" s="232"/>
      <c r="DM453" s="232"/>
      <c r="DN453" s="232"/>
    </row>
    <row r="454" spans="1:118">
      <c r="A454" s="40"/>
      <c r="B454" s="32"/>
      <c r="C454" s="28" t="s">
        <v>797</v>
      </c>
      <c r="D454" s="1"/>
      <c r="E454" s="273"/>
      <c r="F454" s="3"/>
      <c r="G454" s="3"/>
      <c r="H454" s="274"/>
      <c r="I454" s="28"/>
      <c r="J454" s="273"/>
      <c r="K454" s="3"/>
      <c r="L454" s="3"/>
      <c r="M454" s="274"/>
      <c r="N454" s="1"/>
      <c r="O454" s="273"/>
      <c r="P454" s="3"/>
      <c r="Q454" s="3"/>
      <c r="R454" s="274"/>
      <c r="S454" s="1"/>
      <c r="T454" s="758"/>
      <c r="U454" s="660"/>
      <c r="V454" s="660"/>
      <c r="W454" s="661"/>
      <c r="X454" s="428"/>
      <c r="Y454" s="758">
        <f>(Y439/1000*Y446)+(Y440/1000*Y449)</f>
        <v>38.698741254642854</v>
      </c>
      <c r="Z454" s="660">
        <f>(Z439/1000*Z446)+(Z440/1000*Z449)</f>
        <v>46.892203647275402</v>
      </c>
      <c r="AA454" s="660">
        <f>(AA439/1000*AA446)+(AA440/1000*AA449)</f>
        <v>51.206622903896481</v>
      </c>
      <c r="AB454" s="661">
        <f>(AB439/1000*AB446)+(AB440/1000*AB449)</f>
        <v>47.773500977109371</v>
      </c>
      <c r="AC454" s="428">
        <f>SUM(Y454:AB454)</f>
        <v>184.5710687829241</v>
      </c>
      <c r="AD454" s="758">
        <f>(AD439/1000*AD446)+(AD440/1000*AD449)</f>
        <v>80.194995294374991</v>
      </c>
      <c r="AE454" s="660">
        <f>(AE439/1000*AE446)+(AE440/1000*AE449)</f>
        <v>50.549419227480477</v>
      </c>
      <c r="AF454" s="660">
        <f>(AF439/1000*AF446)+(AF440/1000*AF449)</f>
        <v>50.549419227480477</v>
      </c>
      <c r="AG454" s="661">
        <f>(AG439/1000*AG446)+(AG440/1000*AG449)</f>
        <v>45.91779799051757</v>
      </c>
      <c r="AH454" s="428">
        <f>SUM(AD454:AG454)</f>
        <v>227.21163173985354</v>
      </c>
      <c r="AI454" s="758">
        <f>(AI439/1000*AI446)+(AI440/1000*AI449)</f>
        <v>35.474415634821433</v>
      </c>
      <c r="AJ454" s="660">
        <f>(AJ439/1000*AJ446)+(AJ440/1000*AJ449)</f>
        <v>36.903140404101563</v>
      </c>
      <c r="AK454" s="660">
        <f>(AK439/1000*AK446)+(AK440/1000*AK449)</f>
        <v>46.784536051499984</v>
      </c>
      <c r="AL454" s="661">
        <f>(AL439/1000*AL446)+(AL440/1000*AL449)</f>
        <v>27.792180123398445</v>
      </c>
      <c r="AM454" s="428">
        <f>SUM(AI454:AL454)</f>
        <v>146.95427221382141</v>
      </c>
      <c r="AN454" s="758">
        <f>(AN439/1000*AN446)+(AN440/1000*AN449)</f>
        <v>26.212266193623062</v>
      </c>
      <c r="AO454" s="660">
        <f>(AO439/1000*AO446)+(AO440/1000*AO449)</f>
        <v>29.780361526728509</v>
      </c>
      <c r="AP454" s="660">
        <f>(AP439/1000*AP446)+(AP440/1000*AP449)</f>
        <v>40.78500588703124</v>
      </c>
      <c r="AQ454" s="661">
        <f>(AQ439/1000*AQ446)+(AQ440/1000*AQ449)</f>
        <v>34.269522529821423</v>
      </c>
      <c r="AR454" s="428">
        <f>SUM(AN454:AQ454)</f>
        <v>131.04715613720424</v>
      </c>
      <c r="AS454" s="758">
        <f>(AS439/1000*AS446)+(AS440/1000*AS449)</f>
        <v>30.307256483994141</v>
      </c>
      <c r="AT454" s="660">
        <f>(AT439/1000*AT446)+(AT440/1000*AT449)</f>
        <v>37.160911537470696</v>
      </c>
      <c r="AU454" s="660">
        <f t="shared" ref="AU454" si="674">(AU439/1000*AU446)+(AU440/1000*AU449)</f>
        <v>39.198822651160711</v>
      </c>
      <c r="AV454" s="661">
        <f>(AV439/1000*AV446)+(AV440/1000*AV449)</f>
        <v>42.351550315927753</v>
      </c>
      <c r="AW454" s="428">
        <f>SUM(AS454:AV454)</f>
        <v>149.0185409885533</v>
      </c>
      <c r="AX454" s="758">
        <f>(AX439/1000*AX446)+(AX440/1000*AX449)</f>
        <v>0</v>
      </c>
      <c r="AY454" s="660">
        <f>(AY439/1000*AY446)+(AY440/1000*AY449)</f>
        <v>0</v>
      </c>
      <c r="AZ454" s="660">
        <f>(AZ439/1000*AZ446)+(AZ440/1000*AZ449)</f>
        <v>0</v>
      </c>
      <c r="BA454" s="661">
        <f>(BA439/1000*BA446)+(BA440/1000*BA449)</f>
        <v>0</v>
      </c>
      <c r="BB454" s="428">
        <f>SUM(AX454:BA454)</f>
        <v>0</v>
      </c>
      <c r="BC454" s="758">
        <f>(BC439/1000*BC446)+(BC440/1000*BC449)</f>
        <v>0</v>
      </c>
      <c r="BD454" s="660">
        <f>(BD439/1000*BD446)+(BD440/1000*BD449)</f>
        <v>0</v>
      </c>
      <c r="BE454" s="660">
        <f>(BE439/1000*BE446)+(BE440/1000*BE449)</f>
        <v>0</v>
      </c>
      <c r="BF454" s="661">
        <f>(BF439/1000*BF446)+(BF440/1000*BF449)</f>
        <v>0</v>
      </c>
      <c r="BG454" s="428">
        <f>SUM(BC454:BF454)</f>
        <v>0</v>
      </c>
      <c r="BH454" s="758">
        <f>(BH439/1000*BH446)+(BH440/1000*BH449)</f>
        <v>0</v>
      </c>
      <c r="BI454" s="660">
        <f>(BI439/1000*BI446)+(BI440/1000*BI449)</f>
        <v>0</v>
      </c>
      <c r="BJ454" s="660">
        <f>(BJ439/1000*BJ446)+(BJ440/1000*BJ449)</f>
        <v>0</v>
      </c>
      <c r="BK454" s="661">
        <f>(BK439/1000*BK446)+(BK440/1000*BK449)</f>
        <v>0</v>
      </c>
      <c r="BL454" s="428">
        <f>SUM(BH454:BK454)</f>
        <v>0</v>
      </c>
      <c r="BM454" s="758">
        <f>(BM439/1000*BM446)+(BM440/1000*BM449)</f>
        <v>0</v>
      </c>
      <c r="BN454" s="660">
        <f>(BN439/1000*BN446)+(BN440/1000*BN449)</f>
        <v>0</v>
      </c>
      <c r="BO454" s="660">
        <f>(BO439/1000*BO446)+(BO440/1000*BO449)</f>
        <v>0</v>
      </c>
      <c r="BP454" s="661">
        <f>(BP439/1000*BP446)+(BP440/1000*BP449)</f>
        <v>0</v>
      </c>
      <c r="BQ454" s="428">
        <f>SUM(BM454:BP454)</f>
        <v>0</v>
      </c>
      <c r="BR454" s="40"/>
      <c r="BS454" s="40"/>
      <c r="BT454" s="40"/>
      <c r="BU454" s="232"/>
      <c r="BV454" s="40"/>
      <c r="BW454" s="40"/>
      <c r="BX454" s="40"/>
      <c r="BY454" s="40"/>
      <c r="BZ454" s="40"/>
      <c r="CA454" s="40"/>
      <c r="CB454" s="40"/>
      <c r="CC454" s="40"/>
      <c r="CD454" s="40"/>
      <c r="CE454" s="40"/>
      <c r="CF454" s="40"/>
      <c r="CG454" s="40"/>
      <c r="CH454" s="40"/>
      <c r="CI454" s="40"/>
      <c r="CJ454" s="40"/>
      <c r="CK454" s="40"/>
      <c r="CL454" s="40"/>
      <c r="CM454" s="40"/>
      <c r="CN454" s="40"/>
      <c r="CO454" s="40"/>
      <c r="CP454" s="40"/>
      <c r="CQ454" s="40"/>
      <c r="CR454" s="40"/>
      <c r="CS454" s="40"/>
      <c r="CT454" s="823"/>
      <c r="CU454" s="232"/>
      <c r="CV454" s="232"/>
      <c r="CW454" s="232"/>
      <c r="CX454" s="232"/>
      <c r="CY454" s="232"/>
      <c r="CZ454" s="40"/>
      <c r="DA454" s="40"/>
      <c r="DB454" s="40"/>
      <c r="DC454" s="40"/>
      <c r="DD454" s="40"/>
      <c r="DE454" s="40"/>
      <c r="DF454" s="232"/>
      <c r="DG454" s="232"/>
      <c r="DH454" s="232"/>
      <c r="DI454" s="232"/>
      <c r="DJ454" s="232"/>
      <c r="DK454" s="232"/>
      <c r="DL454" s="232"/>
      <c r="DM454" s="232"/>
      <c r="DN454" s="232"/>
    </row>
    <row r="455" spans="1:118">
      <c r="A455" s="40"/>
      <c r="B455" s="32"/>
      <c r="C455" s="28" t="s">
        <v>278</v>
      </c>
      <c r="D455" s="1"/>
      <c r="E455" s="273"/>
      <c r="F455" s="3"/>
      <c r="G455" s="3"/>
      <c r="H455" s="274"/>
      <c r="I455" s="28"/>
      <c r="J455" s="273"/>
      <c r="K455" s="3"/>
      <c r="L455" s="3"/>
      <c r="M455" s="274"/>
      <c r="N455" s="1"/>
      <c r="O455" s="273"/>
      <c r="P455" s="3"/>
      <c r="Q455" s="3"/>
      <c r="R455" s="274"/>
      <c r="S455" s="1"/>
      <c r="T455" s="758"/>
      <c r="U455" s="660"/>
      <c r="V455" s="660"/>
      <c r="W455" s="661"/>
      <c r="X455" s="428"/>
      <c r="Y455" s="758">
        <f>Y441/1000*Y452</f>
        <v>37.084311388800003</v>
      </c>
      <c r="Z455" s="660">
        <f>Z441/1000*Z452</f>
        <v>42.895989571500017</v>
      </c>
      <c r="AA455" s="660">
        <f>AA441/1000*AA452</f>
        <v>37.923487699500001</v>
      </c>
      <c r="AB455" s="661">
        <f>AB441/1000*AB452</f>
        <v>40.893065284499997</v>
      </c>
      <c r="AC455" s="428">
        <f>SUM(Y455:AB455)</f>
        <v>158.79685394430001</v>
      </c>
      <c r="AD455" s="758">
        <f>AD441/1000*AD452</f>
        <v>55.174998896262295</v>
      </c>
      <c r="AE455" s="660">
        <f>AE441/1000*AE452</f>
        <v>42.306903990000002</v>
      </c>
      <c r="AF455" s="660">
        <f>AF441/1000*AF452</f>
        <v>42.306903990000002</v>
      </c>
      <c r="AG455" s="661">
        <f>AG441/1000*AG452</f>
        <v>40.247852521499986</v>
      </c>
      <c r="AH455" s="428">
        <f>SUM(AD455:AG455)</f>
        <v>180.03665939776229</v>
      </c>
      <c r="AI455" s="758">
        <f>AI441/1000*AI452</f>
        <v>30.839723777032258</v>
      </c>
      <c r="AJ455" s="660">
        <f>AJ441/1000*AJ452</f>
        <v>29.213903204571416</v>
      </c>
      <c r="AK455" s="660">
        <f>AK441/1000*AK452</f>
        <v>29.466437188499995</v>
      </c>
      <c r="AL455" s="661">
        <f>AL441/1000*AL452</f>
        <v>22.737189696000002</v>
      </c>
      <c r="AM455" s="428">
        <f>SUM(AI455:AL455)</f>
        <v>112.25725386610367</v>
      </c>
      <c r="AN455" s="758">
        <f>AN441/1000*AN452</f>
        <v>21.187105915278693</v>
      </c>
      <c r="AO455" s="660">
        <f>AO441/1000*AO452</f>
        <v>22.767816298499998</v>
      </c>
      <c r="AP455" s="660">
        <f>AP441/1000*AP452</f>
        <v>30.646773494999991</v>
      </c>
      <c r="AQ455" s="661">
        <f>AQ441/1000*AQ452</f>
        <v>32.310517038967738</v>
      </c>
      <c r="AR455" s="428">
        <f>SUM(AN455:AQ455)</f>
        <v>106.91221274774642</v>
      </c>
      <c r="AS455" s="758">
        <f>AS441/1000*AS452</f>
        <v>32.082376459354833</v>
      </c>
      <c r="AT455" s="660">
        <f>AT441/1000*AT452</f>
        <v>32.789432812499996</v>
      </c>
      <c r="AU455" s="660">
        <f t="shared" ref="AU455" si="675">AU441/1000*AU452</f>
        <v>31.487351465142851</v>
      </c>
      <c r="AV455" s="661">
        <f>AV441/1000*AV452</f>
        <v>33.15857476249181</v>
      </c>
      <c r="AW455" s="428">
        <f>SUM(AS455:AV455)</f>
        <v>129.5177354994895</v>
      </c>
      <c r="AX455" s="758">
        <f>AX441/1000*AX452</f>
        <v>0</v>
      </c>
      <c r="AY455" s="660">
        <f>AY441/1000*AY452</f>
        <v>0</v>
      </c>
      <c r="AZ455" s="660">
        <f>AZ441/1000*AZ452</f>
        <v>0</v>
      </c>
      <c r="BA455" s="661">
        <f>BA441/1000*BA452</f>
        <v>0</v>
      </c>
      <c r="BB455" s="428">
        <f>SUM(AX455:BA455)</f>
        <v>0</v>
      </c>
      <c r="BC455" s="758">
        <f>BC441/1000*BC452</f>
        <v>0</v>
      </c>
      <c r="BD455" s="660">
        <f>BD441/1000*BD452</f>
        <v>0</v>
      </c>
      <c r="BE455" s="660">
        <f>BE441/1000*BE452</f>
        <v>0</v>
      </c>
      <c r="BF455" s="661">
        <f>BF441/1000*BF452</f>
        <v>0</v>
      </c>
      <c r="BG455" s="428">
        <f>SUM(BC455:BF455)</f>
        <v>0</v>
      </c>
      <c r="BH455" s="758">
        <f>BH441/1000*BH452</f>
        <v>0</v>
      </c>
      <c r="BI455" s="660">
        <f>BI441/1000*BI452</f>
        <v>0</v>
      </c>
      <c r="BJ455" s="660">
        <f>BJ441/1000*BJ452</f>
        <v>0</v>
      </c>
      <c r="BK455" s="661">
        <f>BK441/1000*BK452</f>
        <v>0</v>
      </c>
      <c r="BL455" s="428">
        <f>SUM(BH455:BK455)</f>
        <v>0</v>
      </c>
      <c r="BM455" s="758">
        <f>BM441/1000*BM452</f>
        <v>0</v>
      </c>
      <c r="BN455" s="660">
        <f>BN441/1000*BN452</f>
        <v>0</v>
      </c>
      <c r="BO455" s="660">
        <f>BO441/1000*BO452</f>
        <v>0</v>
      </c>
      <c r="BP455" s="661">
        <f>BP441/1000*BP452</f>
        <v>0</v>
      </c>
      <c r="BQ455" s="428">
        <f>SUM(BM455:BP455)</f>
        <v>0</v>
      </c>
      <c r="BR455" s="40"/>
      <c r="BS455" s="40"/>
      <c r="BT455" s="40"/>
      <c r="BU455" s="232"/>
      <c r="BV455" s="40"/>
      <c r="BW455" s="40"/>
      <c r="BX455" s="40"/>
      <c r="BY455" s="40"/>
      <c r="BZ455" s="40"/>
      <c r="CA455" s="40"/>
      <c r="CB455" s="40"/>
      <c r="CC455" s="40"/>
      <c r="CD455" s="40"/>
      <c r="CE455" s="40"/>
      <c r="CF455" s="40"/>
      <c r="CG455" s="40"/>
      <c r="CH455" s="40"/>
      <c r="CI455" s="40"/>
      <c r="CJ455" s="40"/>
      <c r="CK455" s="40"/>
      <c r="CL455" s="40"/>
      <c r="CM455" s="40"/>
      <c r="CN455" s="40"/>
      <c r="CO455" s="40"/>
      <c r="CP455" s="40"/>
      <c r="CQ455" s="40"/>
      <c r="CR455" s="40"/>
      <c r="CS455" s="40"/>
      <c r="CT455" s="823"/>
      <c r="CU455" s="232"/>
      <c r="CV455" s="232"/>
      <c r="CW455" s="232"/>
      <c r="CX455" s="232"/>
      <c r="CY455" s="232"/>
      <c r="CZ455" s="40"/>
      <c r="DA455" s="40"/>
      <c r="DB455" s="40"/>
      <c r="DC455" s="40"/>
      <c r="DD455" s="40"/>
      <c r="DE455" s="40"/>
      <c r="DF455" s="232"/>
      <c r="DG455" s="232"/>
      <c r="DH455" s="232"/>
      <c r="DI455" s="232"/>
      <c r="DJ455" s="232"/>
      <c r="DK455" s="232"/>
      <c r="DL455" s="232"/>
      <c r="DM455" s="232"/>
      <c r="DN455" s="232"/>
    </row>
    <row r="456" spans="1:118">
      <c r="A456" s="40"/>
      <c r="B456" s="32"/>
      <c r="C456" s="32" t="s">
        <v>199</v>
      </c>
      <c r="D456" s="32"/>
      <c r="E456" s="489"/>
      <c r="F456" s="342"/>
      <c r="G456" s="342"/>
      <c r="H456" s="490"/>
      <c r="I456" s="28"/>
      <c r="J456" s="489"/>
      <c r="K456" s="342"/>
      <c r="L456" s="342"/>
      <c r="M456" s="490"/>
      <c r="N456" s="32"/>
      <c r="O456" s="489"/>
      <c r="P456" s="342"/>
      <c r="Q456" s="342"/>
      <c r="R456" s="490"/>
      <c r="S456" s="32"/>
      <c r="T456" s="292"/>
      <c r="U456" s="261"/>
      <c r="V456" s="261"/>
      <c r="W456" s="293"/>
      <c r="X456" s="228"/>
      <c r="Y456" s="292">
        <f>Y454-Y455</f>
        <v>1.6144298658428511</v>
      </c>
      <c r="Z456" s="261">
        <f>Z454-Z455</f>
        <v>3.9962140757753843</v>
      </c>
      <c r="AA456" s="261">
        <f>AA454-AA455</f>
        <v>13.28313520439648</v>
      </c>
      <c r="AB456" s="293">
        <f>AB454-AB455</f>
        <v>6.8804356926093746</v>
      </c>
      <c r="AC456" s="228">
        <f>AC454-AC455</f>
        <v>25.77421483862409</v>
      </c>
      <c r="AD456" s="292">
        <f t="shared" ref="AD456:BL456" si="676">AD454-AD455</f>
        <v>25.019996398112696</v>
      </c>
      <c r="AE456" s="261">
        <f>AE454-AE455</f>
        <v>8.2425152374804753</v>
      </c>
      <c r="AF456" s="261">
        <f t="shared" si="676"/>
        <v>8.2425152374804753</v>
      </c>
      <c r="AG456" s="293">
        <f t="shared" si="676"/>
        <v>5.6699454690175841</v>
      </c>
      <c r="AH456" s="228">
        <f t="shared" si="676"/>
        <v>47.174972342091252</v>
      </c>
      <c r="AI456" s="292">
        <f t="shared" si="676"/>
        <v>4.6346918577891749</v>
      </c>
      <c r="AJ456" s="261">
        <f t="shared" si="676"/>
        <v>7.6892371995301474</v>
      </c>
      <c r="AK456" s="261">
        <f t="shared" si="676"/>
        <v>17.318098862999989</v>
      </c>
      <c r="AL456" s="293">
        <f t="shared" si="676"/>
        <v>5.0549904273984438</v>
      </c>
      <c r="AM456" s="228">
        <f t="shared" si="676"/>
        <v>34.697018347717744</v>
      </c>
      <c r="AN456" s="292">
        <f t="shared" si="676"/>
        <v>5.0251602783443694</v>
      </c>
      <c r="AO456" s="261">
        <f t="shared" si="676"/>
        <v>7.012545228228511</v>
      </c>
      <c r="AP456" s="261">
        <f t="shared" si="676"/>
        <v>10.138232392031249</v>
      </c>
      <c r="AQ456" s="293">
        <f t="shared" si="676"/>
        <v>1.9590054908536843</v>
      </c>
      <c r="AR456" s="228">
        <f t="shared" si="676"/>
        <v>24.134943389457817</v>
      </c>
      <c r="AS456" s="292">
        <f t="shared" si="676"/>
        <v>-1.7751199753606919</v>
      </c>
      <c r="AT456" s="261">
        <f t="shared" si="676"/>
        <v>4.3714787249707001</v>
      </c>
      <c r="AU456" s="261">
        <f t="shared" ref="AU456" si="677">AU454-AU455</f>
        <v>7.7114711860178602</v>
      </c>
      <c r="AV456" s="293">
        <f t="shared" si="676"/>
        <v>9.192975553435943</v>
      </c>
      <c r="AW456" s="228">
        <f t="shared" si="676"/>
        <v>19.500805489063794</v>
      </c>
      <c r="AX456" s="292">
        <f t="shared" si="676"/>
        <v>0</v>
      </c>
      <c r="AY456" s="261">
        <f t="shared" si="676"/>
        <v>0</v>
      </c>
      <c r="AZ456" s="261">
        <f t="shared" si="676"/>
        <v>0</v>
      </c>
      <c r="BA456" s="293">
        <f t="shared" si="676"/>
        <v>0</v>
      </c>
      <c r="BB456" s="228">
        <f t="shared" si="676"/>
        <v>0</v>
      </c>
      <c r="BC456" s="292">
        <f t="shared" si="676"/>
        <v>0</v>
      </c>
      <c r="BD456" s="261">
        <f t="shared" si="676"/>
        <v>0</v>
      </c>
      <c r="BE456" s="261">
        <f t="shared" si="676"/>
        <v>0</v>
      </c>
      <c r="BF456" s="293">
        <f t="shared" si="676"/>
        <v>0</v>
      </c>
      <c r="BG456" s="228">
        <f t="shared" si="676"/>
        <v>0</v>
      </c>
      <c r="BH456" s="292">
        <f t="shared" si="676"/>
        <v>0</v>
      </c>
      <c r="BI456" s="261">
        <f t="shared" si="676"/>
        <v>0</v>
      </c>
      <c r="BJ456" s="261">
        <f t="shared" si="676"/>
        <v>0</v>
      </c>
      <c r="BK456" s="293">
        <f t="shared" si="676"/>
        <v>0</v>
      </c>
      <c r="BL456" s="228">
        <f t="shared" si="676"/>
        <v>0</v>
      </c>
      <c r="BM456" s="292">
        <f t="shared" ref="BM456:BQ456" si="678">BM454-BM455</f>
        <v>0</v>
      </c>
      <c r="BN456" s="261">
        <f t="shared" si="678"/>
        <v>0</v>
      </c>
      <c r="BO456" s="261">
        <f t="shared" si="678"/>
        <v>0</v>
      </c>
      <c r="BP456" s="293">
        <f t="shared" si="678"/>
        <v>0</v>
      </c>
      <c r="BQ456" s="228">
        <f t="shared" si="678"/>
        <v>0</v>
      </c>
      <c r="BR456" s="40"/>
      <c r="BS456" s="40"/>
      <c r="BT456" s="40"/>
      <c r="BU456" s="232"/>
      <c r="BV456" s="40"/>
      <c r="BW456" s="40"/>
      <c r="BX456" s="40"/>
      <c r="BY456" s="40"/>
      <c r="BZ456" s="40"/>
      <c r="CA456" s="40"/>
      <c r="CB456" s="40"/>
      <c r="CC456" s="40"/>
      <c r="CD456" s="40"/>
      <c r="CE456" s="40"/>
      <c r="CF456" s="40"/>
      <c r="CG456" s="40"/>
      <c r="CH456" s="40"/>
      <c r="CI456" s="40"/>
      <c r="CJ456" s="40"/>
      <c r="CK456" s="40"/>
      <c r="CL456" s="40"/>
      <c r="CM456" s="40"/>
      <c r="CN456" s="40"/>
      <c r="CO456" s="40"/>
      <c r="CP456" s="40"/>
      <c r="CQ456" s="40"/>
      <c r="CR456" s="40"/>
      <c r="CS456" s="40"/>
      <c r="CT456" s="823"/>
      <c r="CU456" s="232"/>
      <c r="CV456" s="232"/>
      <c r="CW456" s="232"/>
      <c r="CX456" s="232"/>
      <c r="CY456" s="232"/>
      <c r="CZ456" s="40"/>
      <c r="DA456" s="40"/>
      <c r="DB456" s="40"/>
      <c r="DC456" s="40"/>
      <c r="DD456" s="40"/>
      <c r="DE456" s="40"/>
      <c r="DF456" s="232"/>
      <c r="DG456" s="232"/>
      <c r="DH456" s="232"/>
      <c r="DI456" s="232"/>
      <c r="DJ456" s="232"/>
      <c r="DK456" s="232"/>
      <c r="DL456" s="232"/>
      <c r="DM456" s="232"/>
      <c r="DN456" s="232"/>
    </row>
    <row r="457" spans="1:118">
      <c r="A457" s="40"/>
      <c r="B457" s="32"/>
      <c r="C457" s="32"/>
      <c r="D457" s="32"/>
      <c r="E457" s="489"/>
      <c r="F457" s="342"/>
      <c r="G457" s="342"/>
      <c r="H457" s="490"/>
      <c r="I457" s="28"/>
      <c r="J457" s="489"/>
      <c r="K457" s="342"/>
      <c r="L457" s="342"/>
      <c r="M457" s="490"/>
      <c r="N457" s="32"/>
      <c r="O457" s="489"/>
      <c r="P457" s="342"/>
      <c r="Q457" s="342"/>
      <c r="R457" s="490"/>
      <c r="S457" s="32"/>
      <c r="T457" s="292"/>
      <c r="U457" s="261"/>
      <c r="V457" s="261"/>
      <c r="W457" s="293"/>
      <c r="X457" s="228"/>
      <c r="Y457" s="292"/>
      <c r="Z457" s="261"/>
      <c r="AA457" s="261"/>
      <c r="AB457" s="293"/>
      <c r="AC457" s="228"/>
      <c r="AD457" s="292"/>
      <c r="AE457" s="261"/>
      <c r="AF457" s="261"/>
      <c r="AG457" s="293"/>
      <c r="AH457" s="228"/>
      <c r="AI457" s="292"/>
      <c r="AJ457" s="261"/>
      <c r="AK457" s="261"/>
      <c r="AL457" s="293"/>
      <c r="AM457" s="228"/>
      <c r="AN457" s="292"/>
      <c r="AO457" s="261"/>
      <c r="AP457" s="261"/>
      <c r="AQ457" s="293"/>
      <c r="AR457" s="228"/>
      <c r="AS457" s="292"/>
      <c r="AT457" s="261"/>
      <c r="AU457" s="261"/>
      <c r="AV457" s="293"/>
      <c r="AW457" s="228"/>
      <c r="AX457" s="292"/>
      <c r="AY457" s="261"/>
      <c r="AZ457" s="261"/>
      <c r="BA457" s="293"/>
      <c r="BB457" s="228"/>
      <c r="BC457" s="292"/>
      <c r="BD457" s="261"/>
      <c r="BE457" s="261"/>
      <c r="BF457" s="293"/>
      <c r="BG457" s="228"/>
      <c r="BH457" s="292"/>
      <c r="BI457" s="261"/>
      <c r="BJ457" s="261"/>
      <c r="BK457" s="293"/>
      <c r="BL457" s="228"/>
      <c r="BM457" s="292"/>
      <c r="BN457" s="261"/>
      <c r="BO457" s="261"/>
      <c r="BP457" s="293"/>
      <c r="BQ457" s="228"/>
      <c r="BR457" s="40"/>
      <c r="BS457" s="40"/>
      <c r="BT457" s="40"/>
      <c r="BU457" s="232"/>
      <c r="BV457" s="40"/>
      <c r="BW457" s="40"/>
      <c r="BX457" s="40"/>
      <c r="BY457" s="40"/>
      <c r="BZ457" s="40"/>
      <c r="CA457" s="40"/>
      <c r="CB457" s="40"/>
      <c r="CC457" s="40"/>
      <c r="CD457" s="40"/>
      <c r="CE457" s="40"/>
      <c r="CF457" s="40"/>
      <c r="CG457" s="40"/>
      <c r="CH457" s="40"/>
      <c r="CI457" s="40"/>
      <c r="CJ457" s="40"/>
      <c r="CK457" s="40"/>
      <c r="CL457" s="40"/>
      <c r="CM457" s="40"/>
      <c r="CN457" s="40"/>
      <c r="CO457" s="40"/>
      <c r="CP457" s="40"/>
      <c r="CQ457" s="40"/>
      <c r="CR457" s="40"/>
      <c r="CS457" s="40"/>
      <c r="CT457" s="823"/>
      <c r="CU457" s="232"/>
      <c r="CV457" s="232"/>
      <c r="CW457" s="232"/>
      <c r="CX457" s="232"/>
      <c r="CY457" s="232"/>
      <c r="CZ457" s="40"/>
      <c r="DA457" s="40"/>
      <c r="DB457" s="40"/>
      <c r="DC457" s="40"/>
      <c r="DD457" s="40"/>
      <c r="DE457" s="40"/>
      <c r="DF457" s="232"/>
      <c r="DG457" s="232"/>
      <c r="DH457" s="232"/>
      <c r="DI457" s="232"/>
      <c r="DJ457" s="232"/>
      <c r="DK457" s="232"/>
      <c r="DL457" s="232"/>
      <c r="DM457" s="232"/>
      <c r="DN457" s="232"/>
    </row>
    <row r="458" spans="1:118">
      <c r="A458" s="40"/>
      <c r="B458" s="32"/>
      <c r="C458" s="429" t="s">
        <v>1072</v>
      </c>
      <c r="D458" s="1"/>
      <c r="E458" s="273"/>
      <c r="F458" s="3"/>
      <c r="G458" s="3"/>
      <c r="H458" s="274"/>
      <c r="I458" s="440"/>
      <c r="J458" s="273"/>
      <c r="K458" s="3"/>
      <c r="L458" s="3"/>
      <c r="M458" s="274"/>
      <c r="N458" s="1"/>
      <c r="O458" s="273"/>
      <c r="P458" s="3"/>
      <c r="Q458" s="3"/>
      <c r="R458" s="274"/>
      <c r="S458" s="1"/>
      <c r="T458" s="273"/>
      <c r="U458" s="3"/>
      <c r="V458" s="3"/>
      <c r="W458" s="274"/>
      <c r="X458" s="1"/>
      <c r="Y458" s="273"/>
      <c r="Z458" s="3"/>
      <c r="AA458" s="3"/>
      <c r="AB458" s="274"/>
      <c r="AC458" s="1"/>
      <c r="AD458" s="273"/>
      <c r="AE458" s="3"/>
      <c r="AF458" s="3"/>
      <c r="AG458" s="274"/>
      <c r="AH458" s="1"/>
      <c r="AI458" s="273"/>
      <c r="AJ458" s="3"/>
      <c r="AK458" s="3"/>
      <c r="AL458" s="274"/>
      <c r="AM458" s="1"/>
      <c r="AN458" s="273"/>
      <c r="AO458" s="3"/>
      <c r="AP458" s="3"/>
      <c r="AQ458" s="274"/>
      <c r="AR458" s="1"/>
      <c r="AS458" s="273"/>
      <c r="AT458" s="3"/>
      <c r="AU458" s="3"/>
      <c r="AV458" s="274"/>
      <c r="AW458" s="1"/>
      <c r="AX458" s="273"/>
      <c r="AY458" s="3"/>
      <c r="AZ458" s="3"/>
      <c r="BA458" s="274"/>
      <c r="BB458" s="1"/>
      <c r="BC458" s="273"/>
      <c r="BD458" s="3"/>
      <c r="BE458" s="3"/>
      <c r="BF458" s="274"/>
      <c r="BG458" s="1"/>
      <c r="BH458" s="273"/>
      <c r="BI458" s="3"/>
      <c r="BJ458" s="3"/>
      <c r="BK458" s="274"/>
      <c r="BL458" s="1"/>
      <c r="BM458" s="273"/>
      <c r="BN458" s="3"/>
      <c r="BO458" s="3"/>
      <c r="BP458" s="274"/>
      <c r="BQ458" s="1"/>
      <c r="BR458" s="40"/>
      <c r="BS458" s="40"/>
      <c r="BT458" s="40"/>
      <c r="BU458" s="232"/>
      <c r="BV458" s="40"/>
      <c r="BW458" s="40"/>
      <c r="BX458" s="40"/>
      <c r="BY458" s="40"/>
      <c r="BZ458" s="40"/>
      <c r="CA458" s="40"/>
      <c r="CB458" s="40"/>
      <c r="CC458" s="40"/>
      <c r="CD458" s="40"/>
      <c r="CE458" s="40"/>
      <c r="CF458" s="40"/>
      <c r="CG458" s="40"/>
      <c r="CH458" s="40"/>
      <c r="CI458" s="40"/>
      <c r="CJ458" s="40"/>
      <c r="CK458" s="40"/>
      <c r="CL458" s="40"/>
      <c r="CM458" s="40"/>
      <c r="CN458" s="40"/>
      <c r="CO458" s="40"/>
      <c r="CP458" s="40"/>
      <c r="CQ458" s="40"/>
      <c r="CR458" s="40"/>
      <c r="CS458" s="40"/>
      <c r="CT458" s="823"/>
      <c r="CU458" s="232"/>
      <c r="CV458" s="232"/>
      <c r="CW458" s="232"/>
      <c r="CX458" s="232"/>
      <c r="CY458" s="232"/>
      <c r="CZ458" s="40"/>
      <c r="DA458" s="40"/>
      <c r="DB458" s="40"/>
      <c r="DC458" s="40"/>
      <c r="DD458" s="40"/>
      <c r="DE458" s="40"/>
      <c r="DF458" s="232"/>
      <c r="DG458" s="232"/>
      <c r="DH458" s="232"/>
      <c r="DI458" s="232"/>
      <c r="DJ458" s="232"/>
      <c r="DK458" s="232"/>
      <c r="DL458" s="232"/>
      <c r="DM458" s="232"/>
      <c r="DN458" s="232"/>
    </row>
    <row r="459" spans="1:118">
      <c r="A459" s="40"/>
      <c r="B459" s="32"/>
      <c r="C459" s="28" t="s">
        <v>200</v>
      </c>
      <c r="D459" s="1"/>
      <c r="E459" s="273"/>
      <c r="F459" s="3"/>
      <c r="G459" s="3"/>
      <c r="H459" s="274"/>
      <c r="I459" s="28"/>
      <c r="J459" s="273"/>
      <c r="K459" s="3"/>
      <c r="L459" s="3"/>
      <c r="M459" s="274"/>
      <c r="N459" s="1"/>
      <c r="O459" s="273"/>
      <c r="P459" s="3"/>
      <c r="Q459" s="3"/>
      <c r="R459" s="274"/>
      <c r="S459" s="1"/>
      <c r="T459" s="436"/>
      <c r="U459" s="437"/>
      <c r="V459" s="437"/>
      <c r="W459" s="438"/>
      <c r="X459" s="439"/>
      <c r="Y459" s="436">
        <f>Y$93</f>
        <v>29.044474206349207</v>
      </c>
      <c r="Z459" s="437">
        <f>Z$93</f>
        <v>35.193894042968758</v>
      </c>
      <c r="AA459" s="437">
        <f>AA$93</f>
        <v>38.431984863281251</v>
      </c>
      <c r="AB459" s="438">
        <f>AB$93</f>
        <v>35.855332031250001</v>
      </c>
      <c r="AC459" s="439">
        <f>AVERAGE(Y459:AB459)</f>
        <v>34.631421285962304</v>
      </c>
      <c r="AD459" s="436">
        <f>AD$93</f>
        <v>60.188559027777771</v>
      </c>
      <c r="AE459" s="437">
        <f>AE$93</f>
        <v>37.938735351562507</v>
      </c>
      <c r="AF459" s="437">
        <f>AF$93</f>
        <v>37.938735351562507</v>
      </c>
      <c r="AG459" s="438">
        <f>AG$93</f>
        <v>34.462575683593748</v>
      </c>
      <c r="AH459" s="439">
        <f>AVERAGE(AD459:AG459)</f>
        <v>42.632151353624131</v>
      </c>
      <c r="AI459" s="436">
        <f>AI$93</f>
        <v>26.624528769841277</v>
      </c>
      <c r="AJ459" s="437">
        <f>AJ$93</f>
        <v>27.696826171875003</v>
      </c>
      <c r="AK459" s="437">
        <f>AK$93</f>
        <v>35.11308653846153</v>
      </c>
      <c r="AL459" s="438">
        <f>AL$93</f>
        <v>20.858798828125007</v>
      </c>
      <c r="AM459" s="439">
        <f>AVERAGE(AI459:AL459)</f>
        <v>27.573310077075703</v>
      </c>
      <c r="AN459" s="436">
        <f>AN$93</f>
        <v>19.67302978515626</v>
      </c>
      <c r="AO459" s="437">
        <f>AO$93</f>
        <v>22.350983886718744</v>
      </c>
      <c r="AP459" s="437">
        <f>AP$93</f>
        <v>30.610273437499991</v>
      </c>
      <c r="AQ459" s="438">
        <f>AQ$93</f>
        <v>25.72022321428571</v>
      </c>
      <c r="AR459" s="439">
        <f>AVERAGE(AN459:AQ459)</f>
        <v>24.588627580915176</v>
      </c>
      <c r="AS459" s="436">
        <f>AS$93</f>
        <v>22.746433105468753</v>
      </c>
      <c r="AT459" s="437">
        <f>AT$93</f>
        <v>27.890290527343748</v>
      </c>
      <c r="AU459" s="437">
        <f t="shared" ref="AU459" si="679">AU$93</f>
        <v>29.419799107142854</v>
      </c>
      <c r="AV459" s="438">
        <f>AV$93</f>
        <v>31.786008300781265</v>
      </c>
      <c r="AW459" s="439">
        <f>AVERAGE(AS459:AV459)</f>
        <v>27.960632760184154</v>
      </c>
      <c r="AX459" s="436">
        <f>AX$93</f>
        <v>31.786008300781265</v>
      </c>
      <c r="AY459" s="437">
        <f>AY$93</f>
        <v>35.332000000000001</v>
      </c>
      <c r="AZ459" s="437">
        <f>AZ$93</f>
        <v>118.57111666666667</v>
      </c>
      <c r="BA459" s="438">
        <f>BA$93</f>
        <v>26.272433333333336</v>
      </c>
      <c r="BB459" s="439">
        <f>AVERAGE(AX459:BA459)</f>
        <v>52.990389575195316</v>
      </c>
      <c r="BC459" s="436">
        <f>BC$93</f>
        <v>23.582895883834407</v>
      </c>
      <c r="BD459" s="437">
        <f>BD$93</f>
        <v>24.587500242086577</v>
      </c>
      <c r="BE459" s="437">
        <f>BE$93</f>
        <v>70.499208350188795</v>
      </c>
      <c r="BF459" s="438">
        <f>BF$93</f>
        <v>43.541112190290228</v>
      </c>
      <c r="BG459" s="439">
        <f>AVERAGE(BC459:BF459)</f>
        <v>40.552679166600001</v>
      </c>
      <c r="BH459" s="436">
        <f>BH$93</f>
        <v>21.356595924499164</v>
      </c>
      <c r="BI459" s="437">
        <f>BI$93</f>
        <v>22.266362453973152</v>
      </c>
      <c r="BJ459" s="437">
        <f>BJ$93</f>
        <v>63.843860107279397</v>
      </c>
      <c r="BK459" s="438">
        <f>BK$93</f>
        <v>39.430693487848281</v>
      </c>
      <c r="BL459" s="439">
        <f>AVERAGE(BH459:BK459)</f>
        <v>36.724377993399997</v>
      </c>
      <c r="BM459" s="436">
        <f>BM$93</f>
        <v>25.807336032311365</v>
      </c>
      <c r="BN459" s="437">
        <f>BN$93</f>
        <v>29.32454016156213</v>
      </c>
      <c r="BO459" s="437">
        <f>BO$93</f>
        <v>69.721108842409734</v>
      </c>
      <c r="BP459" s="438">
        <f>BP$93</f>
        <v>40.25545698550826</v>
      </c>
      <c r="BQ459" s="439">
        <f>AVERAGE(BM459:BP459)</f>
        <v>41.277110505447872</v>
      </c>
      <c r="BR459" s="40"/>
      <c r="BS459" s="40"/>
      <c r="BT459" s="40"/>
      <c r="BU459" s="232"/>
      <c r="BV459" s="40"/>
      <c r="BW459" s="40"/>
      <c r="BX459" s="40"/>
      <c r="BY459" s="40"/>
      <c r="BZ459" s="40"/>
      <c r="CA459" s="40"/>
      <c r="CB459" s="40"/>
      <c r="CC459" s="40"/>
      <c r="CD459" s="40"/>
      <c r="CE459" s="40"/>
      <c r="CF459" s="40"/>
      <c r="CG459" s="40"/>
      <c r="CH459" s="40"/>
      <c r="CI459" s="40"/>
      <c r="CJ459" s="40"/>
      <c r="CK459" s="40"/>
      <c r="CL459" s="40"/>
      <c r="CM459" s="40"/>
      <c r="CN459" s="40"/>
      <c r="CO459" s="40"/>
      <c r="CP459" s="40"/>
      <c r="CQ459" s="40"/>
      <c r="CR459" s="40"/>
      <c r="CS459" s="40"/>
      <c r="CT459" s="823"/>
      <c r="CU459" s="232"/>
      <c r="CV459" s="232"/>
      <c r="CW459" s="232"/>
      <c r="CX459" s="232"/>
      <c r="CY459" s="232"/>
      <c r="CZ459" s="40"/>
      <c r="DA459" s="40"/>
      <c r="DB459" s="40"/>
      <c r="DC459" s="40"/>
      <c r="DD459" s="40"/>
      <c r="DE459" s="40"/>
      <c r="DF459" s="232"/>
      <c r="DG459" s="232"/>
      <c r="DH459" s="232"/>
      <c r="DI459" s="232"/>
      <c r="DJ459" s="232"/>
      <c r="DK459" s="232"/>
      <c r="DL459" s="232"/>
      <c r="DM459" s="232"/>
      <c r="DN459" s="232"/>
    </row>
    <row r="460" spans="1:118">
      <c r="A460" s="40"/>
      <c r="B460" s="32"/>
      <c r="C460" s="28" t="s">
        <v>167</v>
      </c>
      <c r="D460" s="1"/>
      <c r="E460" s="273"/>
      <c r="F460" s="3"/>
      <c r="G460" s="3"/>
      <c r="H460" s="274"/>
      <c r="I460" s="28"/>
      <c r="J460" s="273"/>
      <c r="K460" s="3"/>
      <c r="L460" s="3"/>
      <c r="M460" s="274"/>
      <c r="N460" s="1"/>
      <c r="O460" s="273"/>
      <c r="P460" s="3"/>
      <c r="Q460" s="3"/>
      <c r="R460" s="274"/>
      <c r="S460" s="1"/>
      <c r="T460" s="436"/>
      <c r="U460" s="437"/>
      <c r="V460" s="437"/>
      <c r="W460" s="438"/>
      <c r="X460" s="439"/>
      <c r="Y460" s="436">
        <f>Y$94</f>
        <v>23.199066475442827</v>
      </c>
      <c r="Z460" s="437">
        <f>Z$94</f>
        <v>26.300711996337007</v>
      </c>
      <c r="AA460" s="437">
        <f>AA$94</f>
        <v>25.430877490942027</v>
      </c>
      <c r="AB460" s="438">
        <f>AB$94</f>
        <v>26.785470153985496</v>
      </c>
      <c r="AC460" s="439">
        <f>AVERAGE(Y460:AB460)</f>
        <v>25.429031529176839</v>
      </c>
      <c r="AD460" s="436">
        <f>AD$94</f>
        <v>32.004984551127215</v>
      </c>
      <c r="AE460" s="437">
        <f>AE$94</f>
        <v>28.32578691123188</v>
      </c>
      <c r="AF460" s="437">
        <f>AF$94</f>
        <v>28.32578691123188</v>
      </c>
      <c r="AG460" s="438">
        <f>AG$94</f>
        <v>25.307324320652164</v>
      </c>
      <c r="AH460" s="439">
        <f>AVERAGE(AD460:AG460)</f>
        <v>28.490970673560781</v>
      </c>
      <c r="AI460" s="436">
        <f>AI$94</f>
        <v>22.17571215780999</v>
      </c>
      <c r="AJ460" s="437">
        <f>AJ$94</f>
        <v>19.319275412087919</v>
      </c>
      <c r="AK460" s="437">
        <f>AK$94</f>
        <v>19.897398097826084</v>
      </c>
      <c r="AL460" s="438">
        <f>AL$94</f>
        <v>15.149004076086959</v>
      </c>
      <c r="AM460" s="439">
        <f>AVERAGE(AI460:AL460)</f>
        <v>19.135347435952738</v>
      </c>
      <c r="AN460" s="436">
        <f>AN$94</f>
        <v>13.804743092052874</v>
      </c>
      <c r="AO460" s="437">
        <f>AO$94</f>
        <v>14.6552048992674</v>
      </c>
      <c r="AP460" s="437">
        <f>AP$94</f>
        <v>20.848108016304352</v>
      </c>
      <c r="AQ460" s="438">
        <f>AQ$94</f>
        <v>18.255682925724642</v>
      </c>
      <c r="AR460" s="439">
        <f>AVERAGE(AN460:AQ460)</f>
        <v>16.890934733337318</v>
      </c>
      <c r="AS460" s="436">
        <f>AS$94</f>
        <v>17.694403532608696</v>
      </c>
      <c r="AT460" s="437">
        <f>AT$94</f>
        <v>19.575868818681322</v>
      </c>
      <c r="AU460" s="437">
        <f t="shared" ref="AU460" si="680">AU$94</f>
        <v>21.74405457427536</v>
      </c>
      <c r="AV460" s="438">
        <f>AV$94</f>
        <v>19.286005585748793</v>
      </c>
      <c r="AW460" s="439">
        <f>AVERAGE(AS460:AV460)</f>
        <v>19.575083127828542</v>
      </c>
      <c r="AX460" s="436">
        <f>AX$94</f>
        <v>19.286005585748793</v>
      </c>
      <c r="AY460" s="437">
        <f>AY$94</f>
        <v>20.67720666666667</v>
      </c>
      <c r="AZ460" s="437">
        <f>AZ$94</f>
        <v>28.640856666666668</v>
      </c>
      <c r="BA460" s="438">
        <f>BA$94</f>
        <v>19.388083333333327</v>
      </c>
      <c r="BB460" s="439">
        <f>AVERAGE(AX460:BA460)</f>
        <v>21.998038063103863</v>
      </c>
      <c r="BC460" s="436">
        <f>BC$94</f>
        <v>20.204147210285914</v>
      </c>
      <c r="BD460" s="437">
        <f>BD$94</f>
        <v>17.911730019517361</v>
      </c>
      <c r="BE460" s="437">
        <f>BE$94</f>
        <v>23.181362548745138</v>
      </c>
      <c r="BF460" s="438">
        <f>BF$94</f>
        <v>18.447223554651586</v>
      </c>
      <c r="BG460" s="439">
        <f>AVERAGE(BC460:BF460)</f>
        <v>19.936115833300001</v>
      </c>
      <c r="BH460" s="436">
        <f>BH$94</f>
        <v>20.133012438578383</v>
      </c>
      <c r="BI460" s="437">
        <f>BI$94</f>
        <v>17.848666391413492</v>
      </c>
      <c r="BJ460" s="437">
        <f>BJ$94</f>
        <v>23.099745595769516</v>
      </c>
      <c r="BK460" s="438">
        <f>BK$94</f>
        <v>18.382274560638621</v>
      </c>
      <c r="BL460" s="439">
        <f>AVERAGE(BH460:BK460)</f>
        <v>19.865924746600005</v>
      </c>
      <c r="BM460" s="436">
        <f>BM$94</f>
        <v>18.07773650297338</v>
      </c>
      <c r="BN460" s="437">
        <f>BN$94</f>
        <v>18.284989501961714</v>
      </c>
      <c r="BO460" s="437">
        <f>BO$94</f>
        <v>23.355883448015717</v>
      </c>
      <c r="BP460" s="438">
        <f>BP$94</f>
        <v>15.899671771331317</v>
      </c>
      <c r="BQ460" s="439">
        <f>AVERAGE(BM460:BP460)</f>
        <v>18.904570306070532</v>
      </c>
      <c r="BR460" s="40"/>
      <c r="BS460" s="40"/>
      <c r="BT460" s="40"/>
      <c r="BU460" s="232"/>
      <c r="BV460" s="40"/>
      <c r="BW460" s="40"/>
      <c r="BX460" s="40"/>
      <c r="BY460" s="40"/>
      <c r="BZ460" s="40"/>
      <c r="CA460" s="40"/>
      <c r="CB460" s="40"/>
      <c r="CC460" s="40"/>
      <c r="CD460" s="40"/>
      <c r="CE460" s="40"/>
      <c r="CF460" s="40"/>
      <c r="CG460" s="40"/>
      <c r="CH460" s="40"/>
      <c r="CI460" s="40"/>
      <c r="CJ460" s="40"/>
      <c r="CK460" s="40"/>
      <c r="CL460" s="40"/>
      <c r="CM460" s="40"/>
      <c r="CN460" s="40"/>
      <c r="CO460" s="40"/>
      <c r="CP460" s="40"/>
      <c r="CQ460" s="40"/>
      <c r="CR460" s="40"/>
      <c r="CS460" s="40"/>
      <c r="CT460" s="823"/>
      <c r="CU460" s="232"/>
      <c r="CV460" s="232"/>
      <c r="CW460" s="232"/>
      <c r="CX460" s="232"/>
      <c r="CY460" s="232"/>
      <c r="CZ460" s="40"/>
      <c r="DA460" s="40"/>
      <c r="DB460" s="40"/>
      <c r="DC460" s="40"/>
      <c r="DD460" s="40"/>
      <c r="DE460" s="40"/>
      <c r="DF460" s="232"/>
      <c r="DG460" s="232"/>
      <c r="DH460" s="232"/>
      <c r="DI460" s="232"/>
      <c r="DJ460" s="232"/>
      <c r="DK460" s="232"/>
      <c r="DL460" s="232"/>
      <c r="DM460" s="232"/>
      <c r="DN460" s="232"/>
    </row>
    <row r="461" spans="1:118">
      <c r="A461" s="40"/>
      <c r="B461" s="32"/>
      <c r="C461" s="28" t="s">
        <v>195</v>
      </c>
      <c r="D461" s="1"/>
      <c r="E461" s="273"/>
      <c r="F461" s="3"/>
      <c r="G461" s="3"/>
      <c r="H461" s="274"/>
      <c r="I461" s="543">
        <v>6500</v>
      </c>
      <c r="J461" s="273"/>
      <c r="K461" s="3"/>
      <c r="L461" s="3"/>
      <c r="M461" s="274"/>
      <c r="N461" s="1"/>
      <c r="O461" s="273"/>
      <c r="P461" s="3"/>
      <c r="Q461" s="3"/>
      <c r="R461" s="274"/>
      <c r="S461" s="1"/>
      <c r="T461" s="436"/>
      <c r="U461" s="437"/>
      <c r="V461" s="437"/>
      <c r="W461" s="438"/>
      <c r="X461" s="439"/>
      <c r="Y461" s="436">
        <f>$I461/1000*(Y$51)</f>
        <v>22.614150000000002</v>
      </c>
      <c r="Z461" s="437">
        <f>$I461/1000*(Z$51)</f>
        <v>26.158132812500007</v>
      </c>
      <c r="AA461" s="437">
        <f>$I461/1000*(AA$51)</f>
        <v>23.125882812500002</v>
      </c>
      <c r="AB461" s="438">
        <f>$I461/1000*(AB$51)</f>
        <v>24.936742187499998</v>
      </c>
      <c r="AC461" s="439">
        <f>AVERAGE(Y461:AB461)</f>
        <v>24.208726953125005</v>
      </c>
      <c r="AD461" s="436">
        <f>$I461/1000*(AD$51)</f>
        <v>33.645918032786888</v>
      </c>
      <c r="AE461" s="437">
        <f>$I461/1000*(AE$51)</f>
        <v>25.798906250000005</v>
      </c>
      <c r="AF461" s="437">
        <f>$I461/1000*(AF$51)</f>
        <v>25.798906250000005</v>
      </c>
      <c r="AG461" s="438">
        <f>$I461/1000*(AG$51)</f>
        <v>24.543289062499994</v>
      </c>
      <c r="AH461" s="439">
        <f>AVERAGE(AD461:AG461)</f>
        <v>27.446754898821723</v>
      </c>
      <c r="AI461" s="436">
        <f>$I461/1000*(AI$51)</f>
        <v>18.806177419354839</v>
      </c>
      <c r="AJ461" s="437">
        <f>$I461/1000*(AJ$51)</f>
        <v>17.814746031746026</v>
      </c>
      <c r="AK461" s="437">
        <f>$I461/1000*(AK$51)</f>
        <v>17.968742187499998</v>
      </c>
      <c r="AL461" s="438">
        <f>$I461/1000*(AL$51)</f>
        <v>13.865222222222224</v>
      </c>
      <c r="AM461" s="439">
        <f>AVERAGE(AI461:AL461)</f>
        <v>17.113721965205773</v>
      </c>
      <c r="AN461" s="436">
        <f>$I461/1000*(AN$51)</f>
        <v>12.919975409836068</v>
      </c>
      <c r="AO461" s="437">
        <f>$I461/1000*(AO$51)</f>
        <v>13.883898437500001</v>
      </c>
      <c r="AP461" s="437">
        <f>$I461/1000*(AP$51)</f>
        <v>18.688515624999997</v>
      </c>
      <c r="AQ461" s="438">
        <f>$I461/1000*(AQ$51)</f>
        <v>19.703072580645159</v>
      </c>
      <c r="AR461" s="439">
        <f>AVERAGE(AN461:AQ461)</f>
        <v>16.298865513245307</v>
      </c>
      <c r="AS461" s="436">
        <f>$I461/1000*(AS$51)</f>
        <v>19.563951612903221</v>
      </c>
      <c r="AT461" s="437">
        <f>$I461/1000*(AT$51)</f>
        <v>19.9951171875</v>
      </c>
      <c r="AU461" s="437">
        <f t="shared" ref="AU461" si="681">$I461/1000*(AU$51)</f>
        <v>19.201103174603173</v>
      </c>
      <c r="AV461" s="438">
        <f>$I461/1000*(AV$51)</f>
        <v>20.220221311475413</v>
      </c>
      <c r="AW461" s="439">
        <f>AVERAGE(AS461:AV461)</f>
        <v>19.745098321620453</v>
      </c>
      <c r="AX461" s="436">
        <f>$I461/1000*(AX$51)</f>
        <v>20.220221311475413</v>
      </c>
      <c r="AY461" s="437">
        <f>$I461/1000*(AY$51)</f>
        <v>17.417833333333331</v>
      </c>
      <c r="AZ461" s="437">
        <f>$I461/1000*(AZ$51)</f>
        <v>18.297499999999999</v>
      </c>
      <c r="BA461" s="438">
        <f>$I461/1000*(BA$51)</f>
        <v>18.860833333333336</v>
      </c>
      <c r="BB461" s="439">
        <f>AVERAGE(AX461:BA461)</f>
        <v>18.69909699453552</v>
      </c>
      <c r="BC461" s="436">
        <f>$I461/1000*(BC$51)+BC$149</f>
        <v>18.867513367953197</v>
      </c>
      <c r="BD461" s="437">
        <f>$I461/1000*(BD$51)+BD$149</f>
        <v>16.53716323869563</v>
      </c>
      <c r="BE461" s="437">
        <f>$I461/1000*(BE$51)+BE$149</f>
        <v>16.75563356331353</v>
      </c>
      <c r="BF461" s="438">
        <f>$I461/1000*(BF$51)+BF$149</f>
        <v>19.586689830037638</v>
      </c>
      <c r="BG461" s="439">
        <f>AVERAGE(BC461:BF461)</f>
        <v>17.93675</v>
      </c>
      <c r="BH461" s="436">
        <f>$I461/1000*(BH$51)+BH$149</f>
        <v>19.149551754047803</v>
      </c>
      <c r="BI461" s="437">
        <f>$I461/1000*(BI$51)+BI$149</f>
        <v>16.784366711642249</v>
      </c>
      <c r="BJ461" s="437">
        <f>$I461/1000*(BJ$51)+BJ$149</f>
        <v>17.006102809367771</v>
      </c>
      <c r="BK461" s="438">
        <f>$I461/1000*(BK$51)+BK$149</f>
        <v>19.879478724942167</v>
      </c>
      <c r="BL461" s="439">
        <f>AVERAGE(BH461:BK461)</f>
        <v>18.204875000000001</v>
      </c>
      <c r="BM461" s="436">
        <f>$I461/1000*(BM$51)+BM$149</f>
        <v>17.977618750000001</v>
      </c>
      <c r="BN461" s="437">
        <f>$I461/1000*(BN$51)+BN$149</f>
        <v>17.977618750000001</v>
      </c>
      <c r="BO461" s="437">
        <f>$I461/1000*(BO$51)+BO$149</f>
        <v>17.977618750000001</v>
      </c>
      <c r="BP461" s="438">
        <f>$I461/1000*(BP$51)+BP$149</f>
        <v>17.977618750000001</v>
      </c>
      <c r="BQ461" s="439">
        <f>AVERAGE(BM461:BP461)</f>
        <v>17.977618750000001</v>
      </c>
      <c r="BR461" s="40"/>
      <c r="BS461" s="40"/>
      <c r="BT461" s="40"/>
      <c r="BU461" s="232"/>
      <c r="BV461" s="40"/>
      <c r="BW461" s="40"/>
      <c r="BX461" s="40"/>
      <c r="BY461" s="40"/>
      <c r="BZ461" s="40"/>
      <c r="CA461" s="40"/>
      <c r="CB461" s="40"/>
      <c r="CC461" s="40"/>
      <c r="CD461" s="40"/>
      <c r="CE461" s="40"/>
      <c r="CF461" s="40"/>
      <c r="CG461" s="40"/>
      <c r="CH461" s="40"/>
      <c r="CI461" s="40"/>
      <c r="CJ461" s="40"/>
      <c r="CK461" s="40"/>
      <c r="CL461" s="40"/>
      <c r="CM461" s="40"/>
      <c r="CN461" s="40"/>
      <c r="CO461" s="40"/>
      <c r="CP461" s="40"/>
      <c r="CQ461" s="40"/>
      <c r="CR461" s="40"/>
      <c r="CS461" s="40"/>
      <c r="CT461" s="823"/>
      <c r="CU461" s="232"/>
      <c r="CV461" s="232"/>
      <c r="CW461" s="232"/>
      <c r="CX461" s="232"/>
      <c r="CY461" s="232"/>
      <c r="CZ461" s="40"/>
      <c r="DA461" s="40"/>
      <c r="DB461" s="40"/>
      <c r="DC461" s="40"/>
      <c r="DD461" s="40"/>
      <c r="DE461" s="40"/>
      <c r="DF461" s="232"/>
      <c r="DG461" s="232"/>
      <c r="DH461" s="232"/>
      <c r="DI461" s="232"/>
      <c r="DJ461" s="232"/>
      <c r="DK461" s="232"/>
      <c r="DL461" s="232"/>
      <c r="DM461" s="232"/>
      <c r="DN461" s="232"/>
    </row>
    <row r="462" spans="1:118">
      <c r="A462" s="40"/>
      <c r="B462" s="32"/>
      <c r="C462" s="28"/>
      <c r="D462" s="1"/>
      <c r="E462" s="273"/>
      <c r="F462" s="3"/>
      <c r="G462" s="3"/>
      <c r="H462" s="274"/>
      <c r="I462" s="426"/>
      <c r="J462" s="273"/>
      <c r="K462" s="3"/>
      <c r="L462" s="3"/>
      <c r="M462" s="274"/>
      <c r="N462" s="1"/>
      <c r="O462" s="273"/>
      <c r="P462" s="3"/>
      <c r="Q462" s="3"/>
      <c r="R462" s="274"/>
      <c r="S462" s="1"/>
      <c r="T462" s="436"/>
      <c r="U462" s="437"/>
      <c r="V462" s="437"/>
      <c r="W462" s="438"/>
      <c r="X462" s="439"/>
      <c r="Y462" s="436"/>
      <c r="Z462" s="437"/>
      <c r="AA462" s="437"/>
      <c r="AB462" s="438"/>
      <c r="AC462" s="439"/>
      <c r="AD462" s="436"/>
      <c r="AE462" s="437"/>
      <c r="AF462" s="437"/>
      <c r="AG462" s="438"/>
      <c r="AH462" s="439"/>
      <c r="AI462" s="436"/>
      <c r="AJ462" s="437"/>
      <c r="AK462" s="437"/>
      <c r="AL462" s="438"/>
      <c r="AM462" s="439"/>
      <c r="AN462" s="436"/>
      <c r="AO462" s="437"/>
      <c r="AP462" s="437"/>
      <c r="AQ462" s="438"/>
      <c r="AR462" s="439"/>
      <c r="AS462" s="436"/>
      <c r="AT462" s="437"/>
      <c r="AU462" s="437"/>
      <c r="AV462" s="438"/>
      <c r="AW462" s="439"/>
      <c r="AX462" s="436"/>
      <c r="AY462" s="437"/>
      <c r="AZ462" s="437"/>
      <c r="BA462" s="438"/>
      <c r="BB462" s="439"/>
      <c r="BC462" s="436"/>
      <c r="BD462" s="437"/>
      <c r="BE462" s="437"/>
      <c r="BF462" s="438"/>
      <c r="BG462" s="439"/>
      <c r="BH462" s="436"/>
      <c r="BI462" s="437"/>
      <c r="BJ462" s="437"/>
      <c r="BK462" s="438"/>
      <c r="BL462" s="439"/>
      <c r="BM462" s="436"/>
      <c r="BN462" s="437"/>
      <c r="BO462" s="437"/>
      <c r="BP462" s="438"/>
      <c r="BQ462" s="439"/>
      <c r="BR462" s="40"/>
      <c r="BS462" s="40"/>
      <c r="BT462" s="40"/>
      <c r="BU462" s="232"/>
      <c r="BV462" s="40"/>
      <c r="BW462" s="40"/>
      <c r="BX462" s="40"/>
      <c r="BY462" s="40"/>
      <c r="BZ462" s="40"/>
      <c r="CA462" s="40"/>
      <c r="CB462" s="40"/>
      <c r="CC462" s="40"/>
      <c r="CD462" s="40"/>
      <c r="CE462" s="40"/>
      <c r="CF462" s="40"/>
      <c r="CG462" s="40"/>
      <c r="CH462" s="40"/>
      <c r="CI462" s="40"/>
      <c r="CJ462" s="40"/>
      <c r="CK462" s="40"/>
      <c r="CL462" s="40"/>
      <c r="CM462" s="40"/>
      <c r="CN462" s="40"/>
      <c r="CO462" s="40"/>
      <c r="CP462" s="40"/>
      <c r="CQ462" s="40"/>
      <c r="CR462" s="40"/>
      <c r="CS462" s="40"/>
      <c r="CT462" s="823"/>
      <c r="CU462" s="232"/>
      <c r="CV462" s="232"/>
      <c r="CW462" s="232"/>
      <c r="CX462" s="232"/>
      <c r="CY462" s="232"/>
      <c r="CZ462" s="40"/>
      <c r="DA462" s="40"/>
      <c r="DB462" s="40"/>
      <c r="DC462" s="40"/>
      <c r="DD462" s="40"/>
      <c r="DE462" s="40"/>
      <c r="DF462" s="232"/>
      <c r="DG462" s="232"/>
      <c r="DH462" s="232"/>
      <c r="DI462" s="232"/>
      <c r="DJ462" s="232"/>
      <c r="DK462" s="232"/>
      <c r="DL462" s="232"/>
      <c r="DM462" s="232"/>
      <c r="DN462" s="232"/>
    </row>
    <row r="463" spans="1:118">
      <c r="A463" s="40"/>
      <c r="B463" s="32"/>
      <c r="C463" s="32" t="s">
        <v>196</v>
      </c>
      <c r="D463" s="32"/>
      <c r="E463" s="292"/>
      <c r="F463" s="261"/>
      <c r="G463" s="261"/>
      <c r="H463" s="293"/>
      <c r="I463" s="884">
        <v>2000</v>
      </c>
      <c r="J463" s="292"/>
      <c r="K463" s="261"/>
      <c r="L463" s="261"/>
      <c r="M463" s="293"/>
      <c r="N463" s="228"/>
      <c r="O463" s="292"/>
      <c r="P463" s="261"/>
      <c r="Q463" s="261"/>
      <c r="R463" s="293"/>
      <c r="S463" s="228"/>
      <c r="T463" s="292"/>
      <c r="U463" s="261"/>
      <c r="V463" s="261"/>
      <c r="W463" s="293"/>
      <c r="X463" s="228"/>
      <c r="Y463" s="292">
        <f>+Z463</f>
        <v>0</v>
      </c>
      <c r="Z463" s="261">
        <f>+AA463</f>
        <v>0</v>
      </c>
      <c r="AA463" s="261">
        <f>+AB463</f>
        <v>0</v>
      </c>
      <c r="AB463" s="293">
        <f>+AC463</f>
        <v>0</v>
      </c>
      <c r="AC463" s="669">
        <v>0</v>
      </c>
      <c r="AD463" s="292">
        <f>AC463</f>
        <v>0</v>
      </c>
      <c r="AE463" s="261">
        <f>+AD463</f>
        <v>0</v>
      </c>
      <c r="AF463" s="261">
        <f>AE463</f>
        <v>0</v>
      </c>
      <c r="AG463" s="293">
        <f>AF463</f>
        <v>0</v>
      </c>
      <c r="AH463" s="228">
        <v>0</v>
      </c>
      <c r="AI463" s="292">
        <f>AH463</f>
        <v>0</v>
      </c>
      <c r="AJ463" s="261">
        <f>AI463</f>
        <v>0</v>
      </c>
      <c r="AK463" s="261">
        <f>AJ463</f>
        <v>0</v>
      </c>
      <c r="AL463" s="293">
        <f>AK463</f>
        <v>0</v>
      </c>
      <c r="AM463" s="228">
        <v>0</v>
      </c>
      <c r="AN463" s="292">
        <f>AM463</f>
        <v>0</v>
      </c>
      <c r="AO463" s="261">
        <f>AN463</f>
        <v>0</v>
      </c>
      <c r="AP463" s="261">
        <f>AO463</f>
        <v>0</v>
      </c>
      <c r="AQ463" s="293">
        <f>AP463</f>
        <v>0</v>
      </c>
      <c r="AR463" s="228">
        <v>0</v>
      </c>
      <c r="AS463" s="292">
        <f>AR463</f>
        <v>0</v>
      </c>
      <c r="AT463" s="261">
        <f>AS463</f>
        <v>0</v>
      </c>
      <c r="AU463" s="261">
        <f t="shared" ref="AU463" si="682">AT463</f>
        <v>0</v>
      </c>
      <c r="AV463" s="293">
        <f>I463</f>
        <v>2000</v>
      </c>
      <c r="AW463" s="228">
        <f t="shared" ref="AW463:BL463" si="683">AV463</f>
        <v>2000</v>
      </c>
      <c r="AX463" s="292">
        <f t="shared" si="683"/>
        <v>2000</v>
      </c>
      <c r="AY463" s="261">
        <f t="shared" si="683"/>
        <v>2000</v>
      </c>
      <c r="AZ463" s="261">
        <f t="shared" si="683"/>
        <v>2000</v>
      </c>
      <c r="BA463" s="293">
        <f t="shared" si="683"/>
        <v>2000</v>
      </c>
      <c r="BB463" s="228">
        <f t="shared" si="683"/>
        <v>2000</v>
      </c>
      <c r="BC463" s="292">
        <f t="shared" si="683"/>
        <v>2000</v>
      </c>
      <c r="BD463" s="261">
        <f t="shared" si="683"/>
        <v>2000</v>
      </c>
      <c r="BE463" s="261">
        <f t="shared" si="683"/>
        <v>2000</v>
      </c>
      <c r="BF463" s="293">
        <f t="shared" si="683"/>
        <v>2000</v>
      </c>
      <c r="BG463" s="228">
        <f>BF463</f>
        <v>2000</v>
      </c>
      <c r="BH463" s="292">
        <f>BG463</f>
        <v>2000</v>
      </c>
      <c r="BI463" s="261">
        <f t="shared" si="683"/>
        <v>2000</v>
      </c>
      <c r="BJ463" s="261">
        <f t="shared" si="683"/>
        <v>2000</v>
      </c>
      <c r="BK463" s="293">
        <f t="shared" si="683"/>
        <v>2000</v>
      </c>
      <c r="BL463" s="228">
        <f t="shared" si="683"/>
        <v>2000</v>
      </c>
      <c r="BM463" s="292">
        <f t="shared" ref="BM463" si="684">BL463</f>
        <v>2000</v>
      </c>
      <c r="BN463" s="261">
        <f t="shared" ref="BN463" si="685">BM463</f>
        <v>2000</v>
      </c>
      <c r="BO463" s="261">
        <f t="shared" ref="BO463" si="686">BN463</f>
        <v>2000</v>
      </c>
      <c r="BP463" s="293">
        <f t="shared" ref="BP463" si="687">BO463</f>
        <v>2000</v>
      </c>
      <c r="BQ463" s="228">
        <f t="shared" ref="BQ463" si="688">BP463</f>
        <v>2000</v>
      </c>
      <c r="BR463" s="40"/>
      <c r="BS463" s="40"/>
      <c r="BT463" s="40"/>
      <c r="BU463" s="232"/>
      <c r="BV463" s="40"/>
      <c r="BW463" s="40"/>
      <c r="BX463" s="40"/>
      <c r="BY463" s="40"/>
      <c r="BZ463" s="40"/>
      <c r="CA463" s="40"/>
      <c r="CB463" s="40"/>
      <c r="CC463" s="40"/>
      <c r="CD463" s="40"/>
      <c r="CE463" s="40"/>
      <c r="CF463" s="40"/>
      <c r="CG463" s="40"/>
      <c r="CH463" s="40"/>
      <c r="CI463" s="40"/>
      <c r="CJ463" s="40"/>
      <c r="CK463" s="40"/>
      <c r="CL463" s="40"/>
      <c r="CM463" s="40"/>
      <c r="CN463" s="40"/>
      <c r="CO463" s="40"/>
      <c r="CP463" s="40"/>
      <c r="CQ463" s="40"/>
      <c r="CR463" s="40"/>
      <c r="CS463" s="40"/>
      <c r="CT463" s="823"/>
      <c r="CU463" s="232"/>
      <c r="CV463" s="232"/>
      <c r="CW463" s="232"/>
      <c r="CX463" s="232"/>
      <c r="CY463" s="232"/>
      <c r="CZ463" s="40"/>
      <c r="DA463" s="40"/>
      <c r="DB463" s="40"/>
      <c r="DC463" s="40"/>
      <c r="DD463" s="40"/>
      <c r="DE463" s="40"/>
      <c r="DF463" s="232"/>
      <c r="DG463" s="232"/>
      <c r="DH463" s="232"/>
      <c r="DI463" s="232"/>
      <c r="DJ463" s="232"/>
      <c r="DK463" s="232"/>
      <c r="DL463" s="232"/>
      <c r="DM463" s="232"/>
      <c r="DN463" s="232"/>
    </row>
    <row r="464" spans="1:118">
      <c r="A464" s="40"/>
      <c r="B464" s="32"/>
      <c r="C464" s="1"/>
      <c r="D464" s="1"/>
      <c r="E464" s="273"/>
      <c r="F464" s="3"/>
      <c r="G464" s="3"/>
      <c r="H464" s="274"/>
      <c r="I464" s="28"/>
      <c r="J464" s="273"/>
      <c r="K464" s="3"/>
      <c r="L464" s="3"/>
      <c r="M464" s="274"/>
      <c r="N464" s="1"/>
      <c r="O464" s="273"/>
      <c r="P464" s="3"/>
      <c r="Q464" s="3"/>
      <c r="R464" s="274"/>
      <c r="S464" s="1"/>
      <c r="T464" s="273"/>
      <c r="U464" s="3"/>
      <c r="V464" s="3"/>
      <c r="W464" s="274"/>
      <c r="X464" s="1"/>
      <c r="Y464" s="273"/>
      <c r="Z464" s="3"/>
      <c r="AA464" s="3"/>
      <c r="AB464" s="274"/>
      <c r="AC464" s="1"/>
      <c r="AD464" s="273"/>
      <c r="AE464" s="3"/>
      <c r="AF464" s="3"/>
      <c r="AG464" s="274"/>
      <c r="AH464" s="1"/>
      <c r="AI464" s="273"/>
      <c r="AJ464" s="3"/>
      <c r="AK464" s="3"/>
      <c r="AL464" s="274"/>
      <c r="AM464" s="1"/>
      <c r="AN464" s="273"/>
      <c r="AO464" s="3"/>
      <c r="AP464" s="3"/>
      <c r="AQ464" s="274"/>
      <c r="AR464" s="1"/>
      <c r="AS464" s="273"/>
      <c r="AT464" s="3"/>
      <c r="AU464" s="3"/>
      <c r="AV464" s="274"/>
      <c r="AW464" s="1"/>
      <c r="AX464" s="273"/>
      <c r="AY464" s="3"/>
      <c r="AZ464" s="3"/>
      <c r="BA464" s="274"/>
      <c r="BB464" s="1"/>
      <c r="BC464" s="273"/>
      <c r="BD464" s="3"/>
      <c r="BE464" s="3"/>
      <c r="BF464" s="274"/>
      <c r="BG464" s="1"/>
      <c r="BH464" s="273"/>
      <c r="BI464" s="3"/>
      <c r="BJ464" s="3"/>
      <c r="BK464" s="274"/>
      <c r="BL464" s="1"/>
      <c r="BM464" s="273"/>
      <c r="BN464" s="3"/>
      <c r="BO464" s="3"/>
      <c r="BP464" s="274"/>
      <c r="BQ464" s="1"/>
      <c r="BR464" s="40"/>
      <c r="BS464" s="40"/>
      <c r="BT464" s="40"/>
      <c r="BU464" s="232"/>
      <c r="BV464" s="40"/>
      <c r="BW464" s="40"/>
      <c r="BX464" s="40"/>
      <c r="BY464" s="40"/>
      <c r="BZ464" s="40"/>
      <c r="CA464" s="40"/>
      <c r="CB464" s="40"/>
      <c r="CC464" s="40"/>
      <c r="CD464" s="40"/>
      <c r="CE464" s="40"/>
      <c r="CF464" s="40"/>
      <c r="CG464" s="40"/>
      <c r="CH464" s="40"/>
      <c r="CI464" s="40"/>
      <c r="CJ464" s="40"/>
      <c r="CK464" s="40"/>
      <c r="CL464" s="40"/>
      <c r="CM464" s="40"/>
      <c r="CN464" s="40"/>
      <c r="CO464" s="40"/>
      <c r="CP464" s="40"/>
      <c r="CQ464" s="40"/>
      <c r="CR464" s="40"/>
      <c r="CS464" s="40"/>
      <c r="CT464" s="823"/>
      <c r="CU464" s="232"/>
      <c r="CV464" s="232"/>
      <c r="CW464" s="232"/>
      <c r="CX464" s="232"/>
      <c r="CY464" s="232"/>
      <c r="CZ464" s="40"/>
      <c r="DA464" s="40"/>
      <c r="DB464" s="40"/>
      <c r="DC464" s="40"/>
      <c r="DD464" s="40"/>
      <c r="DE464" s="40"/>
      <c r="DF464" s="232"/>
      <c r="DG464" s="232"/>
      <c r="DH464" s="232"/>
      <c r="DI464" s="232"/>
      <c r="DJ464" s="232"/>
      <c r="DK464" s="232"/>
      <c r="DL464" s="232"/>
      <c r="DM464" s="232"/>
      <c r="DN464" s="232"/>
    </row>
    <row r="465" spans="1:118">
      <c r="A465" s="40"/>
      <c r="B465" s="32"/>
      <c r="C465" s="28" t="s">
        <v>170</v>
      </c>
      <c r="D465" s="1"/>
      <c r="E465" s="273"/>
      <c r="F465" s="3"/>
      <c r="G465" s="3"/>
      <c r="H465" s="274"/>
      <c r="I465" s="544">
        <v>0.48</v>
      </c>
      <c r="J465" s="273"/>
      <c r="K465" s="3"/>
      <c r="L465" s="3"/>
      <c r="M465" s="274"/>
      <c r="N465" s="1"/>
      <c r="O465" s="273"/>
      <c r="P465" s="3"/>
      <c r="Q465" s="3"/>
      <c r="R465" s="274"/>
      <c r="S465" s="1"/>
      <c r="T465" s="277"/>
      <c r="U465" s="253"/>
      <c r="V465" s="253"/>
      <c r="W465" s="278"/>
      <c r="X465" s="224"/>
      <c r="Y465" s="277">
        <f>+I465</f>
        <v>0.48</v>
      </c>
      <c r="Z465" s="253">
        <f>+Y465</f>
        <v>0.48</v>
      </c>
      <c r="AA465" s="253">
        <f>+Z465</f>
        <v>0.48</v>
      </c>
      <c r="AB465" s="278">
        <f>+AA465</f>
        <v>0.48</v>
      </c>
      <c r="AC465" s="224">
        <f>AVERAGE(Y465:AB465)</f>
        <v>0.48</v>
      </c>
      <c r="AD465" s="277">
        <f>+Y465</f>
        <v>0.48</v>
      </c>
      <c r="AE465" s="253">
        <f>+AD465</f>
        <v>0.48</v>
      </c>
      <c r="AF465" s="253">
        <f>+AA465</f>
        <v>0.48</v>
      </c>
      <c r="AG465" s="278">
        <f>+AB465</f>
        <v>0.48</v>
      </c>
      <c r="AH465" s="224">
        <f>AVERAGE(AD465:AG465)</f>
        <v>0.48</v>
      </c>
      <c r="AI465" s="277">
        <f>+AD465</f>
        <v>0.48</v>
      </c>
      <c r="AJ465" s="253">
        <f>+AE465</f>
        <v>0.48</v>
      </c>
      <c r="AK465" s="253">
        <f>+AF465</f>
        <v>0.48</v>
      </c>
      <c r="AL465" s="278">
        <f>+AG465</f>
        <v>0.48</v>
      </c>
      <c r="AM465" s="224">
        <f>AVERAGE(AI465:AL465)</f>
        <v>0.48</v>
      </c>
      <c r="AN465" s="277">
        <f>+AI465</f>
        <v>0.48</v>
      </c>
      <c r="AO465" s="253">
        <f>+AJ465</f>
        <v>0.48</v>
      </c>
      <c r="AP465" s="253">
        <f>+AK465</f>
        <v>0.48</v>
      </c>
      <c r="AQ465" s="278">
        <f>+AL465</f>
        <v>0.48</v>
      </c>
      <c r="AR465" s="224">
        <f>AVERAGE(AN465:AQ465)</f>
        <v>0.48</v>
      </c>
      <c r="AS465" s="277">
        <f>+AN465</f>
        <v>0.48</v>
      </c>
      <c r="AT465" s="253">
        <f>+AO465</f>
        <v>0.48</v>
      </c>
      <c r="AU465" s="253">
        <f t="shared" ref="AU465" si="689">+AP465</f>
        <v>0.48</v>
      </c>
      <c r="AV465" s="278">
        <f>+AQ465</f>
        <v>0.48</v>
      </c>
      <c r="AW465" s="224">
        <f>AVERAGE(AS465:AV465)</f>
        <v>0.48</v>
      </c>
      <c r="AX465" s="277">
        <f>+AS465</f>
        <v>0.48</v>
      </c>
      <c r="AY465" s="253">
        <f>+AT465</f>
        <v>0.48</v>
      </c>
      <c r="AZ465" s="253">
        <f>+AU465</f>
        <v>0.48</v>
      </c>
      <c r="BA465" s="278">
        <f>+AV465</f>
        <v>0.48</v>
      </c>
      <c r="BB465" s="224">
        <f>AVERAGE(AX465:BA465)</f>
        <v>0.48</v>
      </c>
      <c r="BC465" s="277">
        <f>+AX465</f>
        <v>0.48</v>
      </c>
      <c r="BD465" s="253">
        <f>+AY465</f>
        <v>0.48</v>
      </c>
      <c r="BE465" s="253">
        <f>+AZ465</f>
        <v>0.48</v>
      </c>
      <c r="BF465" s="278">
        <f>+BA465</f>
        <v>0.48</v>
      </c>
      <c r="BG465" s="224">
        <f>AVERAGE(BC465:BF465)</f>
        <v>0.48</v>
      </c>
      <c r="BH465" s="277">
        <f>+BC465</f>
        <v>0.48</v>
      </c>
      <c r="BI465" s="253">
        <f>+BD465</f>
        <v>0.48</v>
      </c>
      <c r="BJ465" s="253">
        <f>+BE465</f>
        <v>0.48</v>
      </c>
      <c r="BK465" s="278">
        <f>+BF465</f>
        <v>0.48</v>
      </c>
      <c r="BL465" s="224">
        <f>AVERAGE(BH465:BK465)</f>
        <v>0.48</v>
      </c>
      <c r="BM465" s="277">
        <f>+BH465</f>
        <v>0.48</v>
      </c>
      <c r="BN465" s="253">
        <f>+BI465</f>
        <v>0.48</v>
      </c>
      <c r="BO465" s="253">
        <f>+BJ465</f>
        <v>0.48</v>
      </c>
      <c r="BP465" s="278">
        <f>+BK465</f>
        <v>0.48</v>
      </c>
      <c r="BQ465" s="224">
        <f>AVERAGE(BM465:BP465)</f>
        <v>0.48</v>
      </c>
      <c r="BR465" s="40"/>
      <c r="BS465" s="40"/>
      <c r="BT465" s="40"/>
      <c r="BU465" s="232"/>
      <c r="BV465" s="40"/>
      <c r="BW465" s="40"/>
      <c r="BX465" s="40"/>
      <c r="BY465" s="40"/>
      <c r="BZ465" s="40"/>
      <c r="CA465" s="40"/>
      <c r="CB465" s="40"/>
      <c r="CC465" s="40"/>
      <c r="CD465" s="40"/>
      <c r="CE465" s="40"/>
      <c r="CF465" s="40"/>
      <c r="CG465" s="40"/>
      <c r="CH465" s="40"/>
      <c r="CI465" s="40"/>
      <c r="CJ465" s="40"/>
      <c r="CK465" s="40"/>
      <c r="CL465" s="40"/>
      <c r="CM465" s="40"/>
      <c r="CN465" s="40"/>
      <c r="CO465" s="40"/>
      <c r="CP465" s="40"/>
      <c r="CQ465" s="40"/>
      <c r="CR465" s="40"/>
      <c r="CS465" s="40"/>
      <c r="CT465" s="823"/>
      <c r="CU465" s="232"/>
      <c r="CV465" s="232"/>
      <c r="CW465" s="232"/>
      <c r="CX465" s="232"/>
      <c r="CY465" s="232"/>
      <c r="CZ465" s="40"/>
      <c r="DA465" s="40"/>
      <c r="DB465" s="40"/>
      <c r="DC465" s="40"/>
      <c r="DD465" s="40"/>
      <c r="DE465" s="40"/>
      <c r="DF465" s="232"/>
      <c r="DG465" s="232"/>
      <c r="DH465" s="232"/>
      <c r="DI465" s="232"/>
      <c r="DJ465" s="232"/>
      <c r="DK465" s="232"/>
      <c r="DL465" s="232"/>
      <c r="DM465" s="232"/>
      <c r="DN465" s="232"/>
    </row>
    <row r="466" spans="1:118">
      <c r="A466" s="40"/>
      <c r="B466" s="32"/>
      <c r="C466" s="28" t="s">
        <v>168</v>
      </c>
      <c r="D466" s="1"/>
      <c r="E466" s="273"/>
      <c r="F466" s="3"/>
      <c r="G466" s="3"/>
      <c r="H466" s="274"/>
      <c r="I466" s="28"/>
      <c r="J466" s="273"/>
      <c r="K466" s="3"/>
      <c r="L466" s="3"/>
      <c r="M466" s="274"/>
      <c r="N466" s="1"/>
      <c r="O466" s="273"/>
      <c r="P466" s="3"/>
      <c r="Q466" s="3"/>
      <c r="R466" s="274"/>
      <c r="S466" s="1"/>
      <c r="T466" s="332"/>
      <c r="U466" s="333"/>
      <c r="V466" s="333"/>
      <c r="W466" s="334"/>
      <c r="X466" s="331"/>
      <c r="Y466" s="332">
        <f>(Y463*Y465*(8760/1000))/4</f>
        <v>0</v>
      </c>
      <c r="Z466" s="333">
        <f>(Z463*Z465*(8760/1000))/4</f>
        <v>0</v>
      </c>
      <c r="AA466" s="333">
        <f>(AA463*AA465*(8760/1000))/4</f>
        <v>0</v>
      </c>
      <c r="AB466" s="334">
        <f>(AB463*AB465*(8760/1000))/4</f>
        <v>0</v>
      </c>
      <c r="AC466" s="331">
        <f>SUM(Y466:AB466)</f>
        <v>0</v>
      </c>
      <c r="AD466" s="332">
        <f>(AD463*AD465*(8760/1000))/4</f>
        <v>0</v>
      </c>
      <c r="AE466" s="333">
        <f>(AE463*AE465*(8760/1000))/4</f>
        <v>0</v>
      </c>
      <c r="AF466" s="333">
        <f>(AF463*AF465*(8760/1000))/4</f>
        <v>0</v>
      </c>
      <c r="AG466" s="334">
        <f>(AG463*AG465*(8760/1000))/4</f>
        <v>0</v>
      </c>
      <c r="AH466" s="331">
        <f>SUM(AD466:AG466)</f>
        <v>0</v>
      </c>
      <c r="AI466" s="332">
        <f>(AI463*AI465*(8760/1000))/4</f>
        <v>0</v>
      </c>
      <c r="AJ466" s="333">
        <f>(AJ463*AJ465*(8760/1000))/4</f>
        <v>0</v>
      </c>
      <c r="AK466" s="333">
        <f>(AK463*AK465*(8760/1000))/4</f>
        <v>0</v>
      </c>
      <c r="AL466" s="334">
        <f>(AL463*AL465*(8760/1000))/4</f>
        <v>0</v>
      </c>
      <c r="AM466" s="331">
        <f>SUM(AI466:AL466)</f>
        <v>0</v>
      </c>
      <c r="AN466" s="332">
        <f>(AN463*AN465*(8760/1000))/4</f>
        <v>0</v>
      </c>
      <c r="AO466" s="333">
        <f>(AO463*AO465*(8760/1000))/4</f>
        <v>0</v>
      </c>
      <c r="AP466" s="333">
        <f>(AP463*AP465*(8760/1000))/4</f>
        <v>0</v>
      </c>
      <c r="AQ466" s="334">
        <f>(AQ463*AQ465*(8760/1000))/4</f>
        <v>0</v>
      </c>
      <c r="AR466" s="331">
        <f>SUM(AN466:AQ466)</f>
        <v>0</v>
      </c>
      <c r="AS466" s="332">
        <f>(AS463*AS465*(8760/1000))/4</f>
        <v>0</v>
      </c>
      <c r="AT466" s="333">
        <f>(AT463*AT465*(8760/1000))/4</f>
        <v>0</v>
      </c>
      <c r="AU466" s="333">
        <f t="shared" ref="AU466" si="690">(AU463*AU465*(8760/1000))/4</f>
        <v>0</v>
      </c>
      <c r="AV466" s="334">
        <f>(AV463*AV465*(8760/1000))/4</f>
        <v>2102.4</v>
      </c>
      <c r="AW466" s="331">
        <f>SUM(AS466:AV466)</f>
        <v>2102.4</v>
      </c>
      <c r="AX466" s="332">
        <f>(AX463*AX465*(8760/1000))/4</f>
        <v>2102.4</v>
      </c>
      <c r="AY466" s="333">
        <f>(AY463*AY465*(8760/1000))/4</f>
        <v>2102.4</v>
      </c>
      <c r="AZ466" s="333">
        <f>(AZ463*AZ465*(8760/1000))/4</f>
        <v>2102.4</v>
      </c>
      <c r="BA466" s="334">
        <f>(BA463*BA465*(8760/1000))/4</f>
        <v>2102.4</v>
      </c>
      <c r="BB466" s="331">
        <f>SUM(AX466:BA466)</f>
        <v>8409.6</v>
      </c>
      <c r="BC466" s="332">
        <f>(BC463*BC465*(8760/1000))/4</f>
        <v>2102.4</v>
      </c>
      <c r="BD466" s="333">
        <f>(BD463*BD465*(8760/1000))/4</f>
        <v>2102.4</v>
      </c>
      <c r="BE466" s="333">
        <f>(BE463*BE465*(8760/1000))/4</f>
        <v>2102.4</v>
      </c>
      <c r="BF466" s="334">
        <f>(BF463*BF465*(8760/1000))/4</f>
        <v>2102.4</v>
      </c>
      <c r="BG466" s="331">
        <f>SUM(BC466:BF466)</f>
        <v>8409.6</v>
      </c>
      <c r="BH466" s="332">
        <f>(BH463*BH465*(8760/1000))/4</f>
        <v>2102.4</v>
      </c>
      <c r="BI466" s="333">
        <f>(BI463*BI465*(8760/1000))/4</f>
        <v>2102.4</v>
      </c>
      <c r="BJ466" s="333">
        <f>(BJ463*BJ465*(8760/1000))/4</f>
        <v>2102.4</v>
      </c>
      <c r="BK466" s="334">
        <f>(BK463*BK465*(8760/1000))/4</f>
        <v>2102.4</v>
      </c>
      <c r="BL466" s="331">
        <f>SUM(BH466:BK466)</f>
        <v>8409.6</v>
      </c>
      <c r="BM466" s="332">
        <f>(BM463*BM465*(8760/1000))/4</f>
        <v>2102.4</v>
      </c>
      <c r="BN466" s="333">
        <f>(BN463*BN465*(8760/1000))/4</f>
        <v>2102.4</v>
      </c>
      <c r="BO466" s="333">
        <f>(BO463*BO465*(8760/1000))/4</f>
        <v>2102.4</v>
      </c>
      <c r="BP466" s="334">
        <f>(BP463*BP465*(8760/1000))/4</f>
        <v>2102.4</v>
      </c>
      <c r="BQ466" s="331">
        <f>SUM(BM466:BP466)</f>
        <v>8409.6</v>
      </c>
      <c r="BR466" s="40"/>
      <c r="BS466" s="40"/>
      <c r="BT466" s="40"/>
      <c r="BU466" s="232"/>
      <c r="BV466" s="40"/>
      <c r="BW466" s="40"/>
      <c r="BX466" s="40"/>
      <c r="BY466" s="40"/>
      <c r="BZ466" s="40"/>
      <c r="CA466" s="40"/>
      <c r="CB466" s="40"/>
      <c r="CC466" s="40"/>
      <c r="CD466" s="40"/>
      <c r="CE466" s="40"/>
      <c r="CF466" s="40"/>
      <c r="CG466" s="40"/>
      <c r="CH466" s="40"/>
      <c r="CI466" s="40"/>
      <c r="CJ466" s="40"/>
      <c r="CK466" s="40"/>
      <c r="CL466" s="40"/>
      <c r="CM466" s="40"/>
      <c r="CN466" s="40"/>
      <c r="CO466" s="40"/>
      <c r="CP466" s="40"/>
      <c r="CQ466" s="40"/>
      <c r="CR466" s="40"/>
      <c r="CS466" s="40"/>
      <c r="CT466" s="823"/>
      <c r="CU466" s="232"/>
      <c r="CV466" s="232"/>
      <c r="CW466" s="232"/>
      <c r="CX466" s="232"/>
      <c r="CY466" s="232"/>
      <c r="CZ466" s="40"/>
      <c r="DA466" s="40"/>
      <c r="DB466" s="40"/>
      <c r="DC466" s="40"/>
      <c r="DD466" s="40"/>
      <c r="DE466" s="40"/>
      <c r="DF466" s="232"/>
      <c r="DG466" s="232"/>
      <c r="DH466" s="232"/>
      <c r="DI466" s="232"/>
      <c r="DJ466" s="232"/>
      <c r="DK466" s="232"/>
      <c r="DL466" s="232"/>
      <c r="DM466" s="232"/>
      <c r="DN466" s="232"/>
    </row>
    <row r="467" spans="1:118">
      <c r="A467" s="40"/>
      <c r="B467" s="32"/>
      <c r="C467" s="28"/>
      <c r="D467" s="1"/>
      <c r="E467" s="273"/>
      <c r="F467" s="3"/>
      <c r="G467" s="3"/>
      <c r="H467" s="274"/>
      <c r="I467" s="28"/>
      <c r="J467" s="273"/>
      <c r="K467" s="3"/>
      <c r="L467" s="3"/>
      <c r="M467" s="274"/>
      <c r="N467" s="1"/>
      <c r="O467" s="273"/>
      <c r="P467" s="3"/>
      <c r="Q467" s="3"/>
      <c r="R467" s="274"/>
      <c r="S467" s="1"/>
      <c r="T467" s="273"/>
      <c r="U467" s="3"/>
      <c r="V467" s="3"/>
      <c r="W467" s="274"/>
      <c r="X467" s="1"/>
      <c r="Y467" s="273"/>
      <c r="Z467" s="3"/>
      <c r="AA467" s="3"/>
      <c r="AB467" s="274"/>
      <c r="AC467" s="1"/>
      <c r="AD467" s="273"/>
      <c r="AE467" s="3"/>
      <c r="AF467" s="3"/>
      <c r="AG467" s="274"/>
      <c r="AH467" s="1"/>
      <c r="AI467" s="273"/>
      <c r="AJ467" s="3"/>
      <c r="AK467" s="3"/>
      <c r="AL467" s="274"/>
      <c r="AM467" s="1"/>
      <c r="AN467" s="273"/>
      <c r="AO467" s="3"/>
      <c r="AP467" s="3"/>
      <c r="AQ467" s="274"/>
      <c r="AR467" s="1"/>
      <c r="AS467" s="273"/>
      <c r="AT467" s="3"/>
      <c r="AU467" s="3"/>
      <c r="AV467" s="274"/>
      <c r="AW467" s="1"/>
      <c r="AX467" s="273"/>
      <c r="AY467" s="3"/>
      <c r="AZ467" s="3"/>
      <c r="BA467" s="274"/>
      <c r="BB467" s="1"/>
      <c r="BC467" s="273"/>
      <c r="BD467" s="3"/>
      <c r="BE467" s="3"/>
      <c r="BF467" s="274"/>
      <c r="BG467" s="1"/>
      <c r="BH467" s="273"/>
      <c r="BI467" s="3"/>
      <c r="BJ467" s="3"/>
      <c r="BK467" s="274"/>
      <c r="BL467" s="1"/>
      <c r="BM467" s="273"/>
      <c r="BN467" s="3"/>
      <c r="BO467" s="3"/>
      <c r="BP467" s="274"/>
      <c r="BQ467" s="1"/>
      <c r="BR467" s="40"/>
      <c r="BS467" s="40"/>
      <c r="BT467" s="40"/>
      <c r="BU467" s="232"/>
      <c r="BV467" s="40"/>
      <c r="BW467" s="40"/>
      <c r="BX467" s="40"/>
      <c r="BY467" s="40"/>
      <c r="BZ467" s="40"/>
      <c r="CA467" s="40"/>
      <c r="CB467" s="40"/>
      <c r="CC467" s="40"/>
      <c r="CD467" s="40"/>
      <c r="CE467" s="40"/>
      <c r="CF467" s="40"/>
      <c r="CG467" s="40"/>
      <c r="CH467" s="40"/>
      <c r="CI467" s="40"/>
      <c r="CJ467" s="40"/>
      <c r="CK467" s="40"/>
      <c r="CL467" s="40"/>
      <c r="CM467" s="40"/>
      <c r="CN467" s="40"/>
      <c r="CO467" s="40"/>
      <c r="CP467" s="40"/>
      <c r="CQ467" s="40"/>
      <c r="CR467" s="40"/>
      <c r="CS467" s="40"/>
      <c r="CT467" s="823"/>
      <c r="CU467" s="232"/>
      <c r="CV467" s="232"/>
      <c r="CW467" s="232"/>
      <c r="CX467" s="232"/>
      <c r="CY467" s="232"/>
      <c r="CZ467" s="40"/>
      <c r="DA467" s="40"/>
      <c r="DB467" s="40"/>
      <c r="DC467" s="40"/>
      <c r="DD467" s="40"/>
      <c r="DE467" s="40"/>
      <c r="DF467" s="232"/>
      <c r="DG467" s="232"/>
      <c r="DH467" s="232"/>
      <c r="DI467" s="232"/>
      <c r="DJ467" s="232"/>
      <c r="DK467" s="232"/>
      <c r="DL467" s="232"/>
      <c r="DM467" s="232"/>
      <c r="DN467" s="232"/>
    </row>
    <row r="468" spans="1:118">
      <c r="A468" s="40"/>
      <c r="B468" s="32"/>
      <c r="C468" s="28" t="s">
        <v>171</v>
      </c>
      <c r="D468" s="1"/>
      <c r="E468" s="273"/>
      <c r="F468" s="3"/>
      <c r="G468" s="3"/>
      <c r="H468" s="274"/>
      <c r="I468" s="544">
        <v>0.3</v>
      </c>
      <c r="J468" s="273"/>
      <c r="K468" s="3"/>
      <c r="L468" s="3"/>
      <c r="M468" s="274"/>
      <c r="N468" s="1"/>
      <c r="O468" s="273"/>
      <c r="P468" s="3"/>
      <c r="Q468" s="3"/>
      <c r="R468" s="274"/>
      <c r="S468" s="1"/>
      <c r="T468" s="277"/>
      <c r="U468" s="253"/>
      <c r="V468" s="253"/>
      <c r="W468" s="278"/>
      <c r="X468" s="224"/>
      <c r="Y468" s="277">
        <f>IF(Y460&gt;Y461,$I468,0%)</f>
        <v>0.3</v>
      </c>
      <c r="Z468" s="253">
        <f>IF(Z460&gt;Z461,$I468,0%)</f>
        <v>0.3</v>
      </c>
      <c r="AA468" s="253">
        <f>IF(AA460&gt;AA461,$I468,0%)</f>
        <v>0.3</v>
      </c>
      <c r="AB468" s="278">
        <f>IF(AB460&gt;AB461,$I468,0%)</f>
        <v>0.3</v>
      </c>
      <c r="AC468" s="224">
        <f>AVERAGE(Y468:AB468)</f>
        <v>0.3</v>
      </c>
      <c r="AD468" s="277">
        <f>IF(AD460&gt;AD461,$I468,0%)</f>
        <v>0</v>
      </c>
      <c r="AE468" s="253">
        <f>IF(AE460&gt;AE461,$I468,0%)</f>
        <v>0.3</v>
      </c>
      <c r="AF468" s="253">
        <f>IF(AF460&gt;AF461,$I468,0%)</f>
        <v>0.3</v>
      </c>
      <c r="AG468" s="278">
        <f>IF(AG460&gt;AG461,$I468,0%)</f>
        <v>0.3</v>
      </c>
      <c r="AH468" s="224">
        <f>AVERAGE(AD468:AG468)</f>
        <v>0.22499999999999998</v>
      </c>
      <c r="AI468" s="277">
        <f>IF(AI460&gt;AI461,$I468,0%)</f>
        <v>0.3</v>
      </c>
      <c r="AJ468" s="253">
        <f>IF(AJ460&gt;AJ461,$I468,0%)</f>
        <v>0.3</v>
      </c>
      <c r="AK468" s="253">
        <f>IF(AK460&gt;AK461,$I468,0%)</f>
        <v>0.3</v>
      </c>
      <c r="AL468" s="278">
        <f>IF(AL460&gt;AL461,$I468,0%)</f>
        <v>0.3</v>
      </c>
      <c r="AM468" s="224">
        <f>AVERAGE(AI468:AL468)</f>
        <v>0.3</v>
      </c>
      <c r="AN468" s="277">
        <f>IF(AN460&gt;AN461,$I468,0%)</f>
        <v>0.3</v>
      </c>
      <c r="AO468" s="253">
        <f>IF(AO460&gt;AO461,$I468,0%)</f>
        <v>0.3</v>
      </c>
      <c r="AP468" s="253">
        <f>IF(AP460&gt;AP461,$I468,0%)</f>
        <v>0.3</v>
      </c>
      <c r="AQ468" s="278">
        <f>IF(AQ460&gt;AQ461,$I468,0%)</f>
        <v>0</v>
      </c>
      <c r="AR468" s="224">
        <f>AVERAGE(AN468:AQ468)</f>
        <v>0.22499999999999998</v>
      </c>
      <c r="AS468" s="277">
        <f>IF(AS460&gt;AS461,$I468,0%)</f>
        <v>0</v>
      </c>
      <c r="AT468" s="253">
        <f>IF(AT460&gt;AT461,$I468,0%)</f>
        <v>0</v>
      </c>
      <c r="AU468" s="253">
        <f t="shared" ref="AU468" si="691">IF(AU460&gt;AU461,$I468,0%)</f>
        <v>0.3</v>
      </c>
      <c r="AV468" s="278">
        <f>IF(AV460&gt;AV461,$I468,0%)</f>
        <v>0</v>
      </c>
      <c r="AW468" s="224">
        <f>AVERAGE(AS468:AV468)</f>
        <v>7.4999999999999997E-2</v>
      </c>
      <c r="AX468" s="277">
        <f>IF(AX460&gt;AX461,$I468,0%)</f>
        <v>0</v>
      </c>
      <c r="AY468" s="253">
        <f>IF(AY460&gt;AY461,$I468,0%)</f>
        <v>0.3</v>
      </c>
      <c r="AZ468" s="253">
        <f>IF(AZ460&gt;AZ461,$I468,0%)</f>
        <v>0.3</v>
      </c>
      <c r="BA468" s="278">
        <f>IF(BA460&gt;BA461,$I468,0%)</f>
        <v>0.3</v>
      </c>
      <c r="BB468" s="224">
        <f>AVERAGE(AX468:BA468)</f>
        <v>0.22499999999999998</v>
      </c>
      <c r="BC468" s="277">
        <f>IF(BC460&gt;BC461,$I468,0%)</f>
        <v>0.3</v>
      </c>
      <c r="BD468" s="253">
        <f>IF(BD460&gt;BD461,$I468,0%)</f>
        <v>0.3</v>
      </c>
      <c r="BE468" s="253">
        <f>IF(BE460&gt;BE461,$I468,0%)</f>
        <v>0.3</v>
      </c>
      <c r="BF468" s="278">
        <f>IF(BF460&gt;BF461,$I468,0%)</f>
        <v>0</v>
      </c>
      <c r="BG468" s="224">
        <f>AVERAGE(BC468:BF468)</f>
        <v>0.22499999999999998</v>
      </c>
      <c r="BH468" s="277">
        <f>IF(BH460&gt;BH461,$I468,0%)</f>
        <v>0.3</v>
      </c>
      <c r="BI468" s="253">
        <f>IF(BI460&gt;BI461,$I468,0%)</f>
        <v>0.3</v>
      </c>
      <c r="BJ468" s="253">
        <f>IF(BJ460&gt;BJ461,$I468,0%)</f>
        <v>0.3</v>
      </c>
      <c r="BK468" s="278">
        <f>IF(BK460&gt;BK461,$I468,0%)</f>
        <v>0</v>
      </c>
      <c r="BL468" s="224">
        <f>AVERAGE(BH468:BK468)</f>
        <v>0.22499999999999998</v>
      </c>
      <c r="BM468" s="277">
        <f>IF(BM460&gt;BM461,$I468,0%)</f>
        <v>0.3</v>
      </c>
      <c r="BN468" s="253">
        <f>IF(BN460&gt;BN461,$I468,0%)</f>
        <v>0.3</v>
      </c>
      <c r="BO468" s="253">
        <f>IF(BO460&gt;BO461,$I468,0%)</f>
        <v>0.3</v>
      </c>
      <c r="BP468" s="278">
        <f>IF(BP460&gt;BP461,$I468,0%)</f>
        <v>0</v>
      </c>
      <c r="BQ468" s="224">
        <f>AVERAGE(BM468:BP468)</f>
        <v>0.22499999999999998</v>
      </c>
      <c r="BR468" s="40"/>
      <c r="BS468" s="40"/>
      <c r="BT468" s="40"/>
      <c r="BU468" s="232"/>
      <c r="BV468" s="40"/>
      <c r="BW468" s="40"/>
      <c r="BX468" s="40"/>
      <c r="BY468" s="40"/>
      <c r="BZ468" s="40"/>
      <c r="CA468" s="40"/>
      <c r="CB468" s="40"/>
      <c r="CC468" s="40"/>
      <c r="CD468" s="40"/>
      <c r="CE468" s="40"/>
      <c r="CF468" s="40"/>
      <c r="CG468" s="40"/>
      <c r="CH468" s="40"/>
      <c r="CI468" s="40"/>
      <c r="CJ468" s="40"/>
      <c r="CK468" s="40"/>
      <c r="CL468" s="40"/>
      <c r="CM468" s="40"/>
      <c r="CN468" s="40"/>
      <c r="CO468" s="40"/>
      <c r="CP468" s="40"/>
      <c r="CQ468" s="40"/>
      <c r="CR468" s="40"/>
      <c r="CS468" s="40"/>
      <c r="CT468" s="823"/>
      <c r="CU468" s="232"/>
      <c r="CV468" s="232"/>
      <c r="CW468" s="232"/>
      <c r="CX468" s="232"/>
      <c r="CY468" s="232"/>
      <c r="CZ468" s="40"/>
      <c r="DA468" s="40"/>
      <c r="DB468" s="40"/>
      <c r="DC468" s="40"/>
      <c r="DD468" s="40"/>
      <c r="DE468" s="40"/>
      <c r="DF468" s="232"/>
      <c r="DG468" s="232"/>
      <c r="DH468" s="232"/>
      <c r="DI468" s="232"/>
      <c r="DJ468" s="232"/>
      <c r="DK468" s="232"/>
      <c r="DL468" s="232"/>
      <c r="DM468" s="232"/>
      <c r="DN468" s="232"/>
    </row>
    <row r="469" spans="1:118">
      <c r="A469" s="40"/>
      <c r="B469" s="32"/>
      <c r="C469" s="28" t="s">
        <v>169</v>
      </c>
      <c r="D469" s="1"/>
      <c r="E469" s="273"/>
      <c r="F469" s="3"/>
      <c r="G469" s="3"/>
      <c r="H469" s="274"/>
      <c r="I469" s="546"/>
      <c r="J469" s="273"/>
      <c r="K469" s="3"/>
      <c r="L469" s="3"/>
      <c r="M469" s="274"/>
      <c r="N469" s="1"/>
      <c r="O469" s="273"/>
      <c r="P469" s="3"/>
      <c r="Q469" s="3"/>
      <c r="R469" s="274"/>
      <c r="S469" s="1"/>
      <c r="T469" s="332"/>
      <c r="U469" s="333"/>
      <c r="V469" s="333"/>
      <c r="W469" s="334"/>
      <c r="X469" s="331"/>
      <c r="Y469" s="332">
        <f>(Y463*Y468*(8760/1000))/4</f>
        <v>0</v>
      </c>
      <c r="Z469" s="333">
        <f>(Z463*Z468*(8760/1000))/4</f>
        <v>0</v>
      </c>
      <c r="AA469" s="333">
        <f>(AA463*AA468*(8760/1000))/4</f>
        <v>0</v>
      </c>
      <c r="AB469" s="334">
        <f>(AB463*AB468*(8760/1000))/4</f>
        <v>0</v>
      </c>
      <c r="AC469" s="331">
        <f>SUM(Y469:AB469)</f>
        <v>0</v>
      </c>
      <c r="AD469" s="332">
        <f>(AD463*AD468*(8760/1000))/4</f>
        <v>0</v>
      </c>
      <c r="AE469" s="333">
        <f>(AE463*AE468*(8760/1000))/4</f>
        <v>0</v>
      </c>
      <c r="AF469" s="333">
        <f>(AF463*AF468*(8760/1000))/4</f>
        <v>0</v>
      </c>
      <c r="AG469" s="334">
        <f>(AG463*AG468*(8760/1000))/4</f>
        <v>0</v>
      </c>
      <c r="AH469" s="331">
        <f>SUM(AD469:AG469)</f>
        <v>0</v>
      </c>
      <c r="AI469" s="332">
        <f>(AI463*AI468*(8760/1000))/4</f>
        <v>0</v>
      </c>
      <c r="AJ469" s="333">
        <f>(AJ463*AJ468*(8760/1000))/4</f>
        <v>0</v>
      </c>
      <c r="AK469" s="333">
        <f>(AK463*AK468*(8760/1000))/4</f>
        <v>0</v>
      </c>
      <c r="AL469" s="334">
        <f>(AL463*AL468*(8760/1000))/4</f>
        <v>0</v>
      </c>
      <c r="AM469" s="331">
        <f>SUM(AI469:AL469)</f>
        <v>0</v>
      </c>
      <c r="AN469" s="332">
        <f>(AN463*AN468*(8760/1000))/4</f>
        <v>0</v>
      </c>
      <c r="AO469" s="333">
        <f>(AO463*AO468*(8760/1000))/4</f>
        <v>0</v>
      </c>
      <c r="AP469" s="333">
        <f>(AP463*AP468*(8760/1000))/4</f>
        <v>0</v>
      </c>
      <c r="AQ469" s="334">
        <f>(AQ463*AQ468*(8760/1000))/4</f>
        <v>0</v>
      </c>
      <c r="AR469" s="331">
        <f>SUM(AN469:AQ469)</f>
        <v>0</v>
      </c>
      <c r="AS469" s="332">
        <f>(AS463*AS468*(8760/1000))/4</f>
        <v>0</v>
      </c>
      <c r="AT469" s="333">
        <f>(AT463*AT468*(8760/1000))/4</f>
        <v>0</v>
      </c>
      <c r="AU469" s="333">
        <f t="shared" ref="AU469" si="692">(AU463*AU468*(8760/1000))/4</f>
        <v>0</v>
      </c>
      <c r="AV469" s="334">
        <f>(AV463*AV468*(8760/1000))/4</f>
        <v>0</v>
      </c>
      <c r="AW469" s="331">
        <f>SUM(AS469:AV469)</f>
        <v>0</v>
      </c>
      <c r="AX469" s="332">
        <f>(AX463*AX468*(8760/1000))/4</f>
        <v>0</v>
      </c>
      <c r="AY469" s="333">
        <f>(AY463*AY468*(8760/1000))/4</f>
        <v>1314</v>
      </c>
      <c r="AZ469" s="333">
        <f>(AZ463*AZ468*(8760/1000))/4</f>
        <v>1314</v>
      </c>
      <c r="BA469" s="334">
        <f>(BA463*BA468*(8760/1000))/4</f>
        <v>1314</v>
      </c>
      <c r="BB469" s="331">
        <f>SUM(AX469:BA469)</f>
        <v>3942</v>
      </c>
      <c r="BC469" s="332">
        <f>(BC463*BC468*(8760/1000))/4</f>
        <v>1314</v>
      </c>
      <c r="BD469" s="333">
        <f>(BD463*BD468*(8760/1000))/4</f>
        <v>1314</v>
      </c>
      <c r="BE469" s="333">
        <f>(BE463*BE468*(8760/1000))/4</f>
        <v>1314</v>
      </c>
      <c r="BF469" s="334">
        <f>(BF463*BF468*(8760/1000))/4</f>
        <v>0</v>
      </c>
      <c r="BG469" s="331">
        <f>SUM(BC469:BF469)</f>
        <v>3942</v>
      </c>
      <c r="BH469" s="332">
        <f>(BH463*BH468*(8760/1000))/4</f>
        <v>1314</v>
      </c>
      <c r="BI469" s="333">
        <f>(BI463*BI468*(8760/1000))/4</f>
        <v>1314</v>
      </c>
      <c r="BJ469" s="333">
        <f>(BJ463*BJ468*(8760/1000))/4</f>
        <v>1314</v>
      </c>
      <c r="BK469" s="334">
        <f>(BK463*BK468*(8760/1000))/4</f>
        <v>0</v>
      </c>
      <c r="BL469" s="331">
        <f>SUM(BH469:BK469)</f>
        <v>3942</v>
      </c>
      <c r="BM469" s="332">
        <f>(BM463*BM468*(8760/1000))/4</f>
        <v>1314</v>
      </c>
      <c r="BN469" s="333">
        <f>(BN463*BN468*(8760/1000))/4</f>
        <v>1314</v>
      </c>
      <c r="BO469" s="333">
        <f>(BO463*BO468*(8760/1000))/4</f>
        <v>1314</v>
      </c>
      <c r="BP469" s="334">
        <f>(BP463*BP468*(8760/1000))/4</f>
        <v>0</v>
      </c>
      <c r="BQ469" s="331">
        <f>SUM(BM469:BP469)</f>
        <v>3942</v>
      </c>
      <c r="BR469" s="40"/>
      <c r="BS469" s="40"/>
      <c r="BT469" s="40"/>
      <c r="BU469" s="232"/>
      <c r="BV469" s="40"/>
      <c r="BW469" s="40"/>
      <c r="BX469" s="40"/>
      <c r="BY469" s="40"/>
      <c r="BZ469" s="40"/>
      <c r="CA469" s="40"/>
      <c r="CB469" s="40"/>
      <c r="CC469" s="40"/>
      <c r="CD469" s="40"/>
      <c r="CE469" s="40"/>
      <c r="CF469" s="40"/>
      <c r="CG469" s="40"/>
      <c r="CH469" s="40"/>
      <c r="CI469" s="40"/>
      <c r="CJ469" s="40"/>
      <c r="CK469" s="40"/>
      <c r="CL469" s="40"/>
      <c r="CM469" s="40"/>
      <c r="CN469" s="40"/>
      <c r="CO469" s="40"/>
      <c r="CP469" s="40"/>
      <c r="CQ469" s="40"/>
      <c r="CR469" s="40"/>
      <c r="CS469" s="40"/>
      <c r="CT469" s="823"/>
      <c r="CU469" s="232"/>
      <c r="CV469" s="232"/>
      <c r="CW469" s="232"/>
      <c r="CX469" s="232"/>
      <c r="CY469" s="232"/>
      <c r="CZ469" s="40"/>
      <c r="DA469" s="40"/>
      <c r="DB469" s="40"/>
      <c r="DC469" s="40"/>
      <c r="DD469" s="40"/>
      <c r="DE469" s="40"/>
      <c r="DF469" s="232"/>
      <c r="DG469" s="232"/>
      <c r="DH469" s="232"/>
      <c r="DI469" s="232"/>
      <c r="DJ469" s="232"/>
      <c r="DK469" s="232"/>
      <c r="DL469" s="232"/>
      <c r="DM469" s="232"/>
      <c r="DN469" s="232"/>
    </row>
    <row r="470" spans="1:118">
      <c r="A470" s="40"/>
      <c r="B470" s="32"/>
      <c r="C470" s="28"/>
      <c r="D470" s="1"/>
      <c r="E470" s="273"/>
      <c r="F470" s="3"/>
      <c r="G470" s="3"/>
      <c r="H470" s="274"/>
      <c r="I470" s="28"/>
      <c r="J470" s="273"/>
      <c r="K470" s="3"/>
      <c r="L470" s="3"/>
      <c r="M470" s="274"/>
      <c r="N470" s="1"/>
      <c r="O470" s="273"/>
      <c r="P470" s="3"/>
      <c r="Q470" s="3"/>
      <c r="R470" s="274"/>
      <c r="S470" s="1"/>
      <c r="T470" s="273"/>
      <c r="U470" s="3"/>
      <c r="V470" s="3"/>
      <c r="W470" s="274"/>
      <c r="X470" s="1"/>
      <c r="Y470" s="273"/>
      <c r="Z470" s="3"/>
      <c r="AA470" s="3"/>
      <c r="AB470" s="274"/>
      <c r="AC470" s="1"/>
      <c r="AD470" s="273"/>
      <c r="AE470" s="3"/>
      <c r="AF470" s="3"/>
      <c r="AG470" s="274"/>
      <c r="AH470" s="1"/>
      <c r="AI470" s="273"/>
      <c r="AJ470" s="3"/>
      <c r="AK470" s="3"/>
      <c r="AL470" s="274"/>
      <c r="AM470" s="1"/>
      <c r="AN470" s="273"/>
      <c r="AO470" s="3"/>
      <c r="AP470" s="3"/>
      <c r="AQ470" s="274"/>
      <c r="AR470" s="1"/>
      <c r="AS470" s="273"/>
      <c r="AT470" s="3"/>
      <c r="AU470" s="3"/>
      <c r="AV470" s="274"/>
      <c r="AW470" s="1"/>
      <c r="AX470" s="273"/>
      <c r="AY470" s="3"/>
      <c r="AZ470" s="3"/>
      <c r="BA470" s="274"/>
      <c r="BB470" s="1"/>
      <c r="BC470" s="273"/>
      <c r="BD470" s="3"/>
      <c r="BE470" s="3"/>
      <c r="BF470" s="274"/>
      <c r="BG470" s="1"/>
      <c r="BH470" s="273"/>
      <c r="BI470" s="3"/>
      <c r="BJ470" s="3"/>
      <c r="BK470" s="274"/>
      <c r="BL470" s="1"/>
      <c r="BM470" s="273"/>
      <c r="BN470" s="3"/>
      <c r="BO470" s="3"/>
      <c r="BP470" s="274"/>
      <c r="BQ470" s="1"/>
      <c r="BR470" s="40"/>
      <c r="BS470" s="40"/>
      <c r="BT470" s="40"/>
      <c r="BU470" s="232"/>
      <c r="BV470" s="40"/>
      <c r="BW470" s="40"/>
      <c r="BX470" s="40"/>
      <c r="BY470" s="40"/>
      <c r="BZ470" s="40"/>
      <c r="CA470" s="40"/>
      <c r="CB470" s="40"/>
      <c r="CC470" s="40"/>
      <c r="CD470" s="40"/>
      <c r="CE470" s="40"/>
      <c r="CF470" s="40"/>
      <c r="CG470" s="40"/>
      <c r="CH470" s="40"/>
      <c r="CI470" s="40"/>
      <c r="CJ470" s="40"/>
      <c r="CK470" s="40"/>
      <c r="CL470" s="40"/>
      <c r="CM470" s="40"/>
      <c r="CN470" s="40"/>
      <c r="CO470" s="40"/>
      <c r="CP470" s="40"/>
      <c r="CQ470" s="40"/>
      <c r="CR470" s="40"/>
      <c r="CS470" s="40"/>
      <c r="CT470" s="823"/>
      <c r="CU470" s="232"/>
      <c r="CV470" s="232"/>
      <c r="CW470" s="232"/>
      <c r="CX470" s="232"/>
      <c r="CY470" s="232"/>
      <c r="CZ470" s="40"/>
      <c r="DA470" s="40"/>
      <c r="DB470" s="40"/>
      <c r="DC470" s="40"/>
      <c r="DD470" s="40"/>
      <c r="DE470" s="40"/>
      <c r="DF470" s="232"/>
      <c r="DG470" s="232"/>
      <c r="DH470" s="232"/>
      <c r="DI470" s="232"/>
      <c r="DJ470" s="232"/>
      <c r="DK470" s="232"/>
      <c r="DL470" s="232"/>
      <c r="DM470" s="232"/>
      <c r="DN470" s="232"/>
    </row>
    <row r="471" spans="1:118">
      <c r="A471" s="40"/>
      <c r="B471" s="32"/>
      <c r="C471" s="28" t="s">
        <v>172</v>
      </c>
      <c r="D471" s="1"/>
      <c r="E471" s="273"/>
      <c r="F471" s="3"/>
      <c r="G471" s="3"/>
      <c r="H471" s="274"/>
      <c r="I471" s="28"/>
      <c r="J471" s="273"/>
      <c r="K471" s="3"/>
      <c r="L471" s="3"/>
      <c r="M471" s="274"/>
      <c r="N471" s="1"/>
      <c r="O471" s="273"/>
      <c r="P471" s="3"/>
      <c r="Q471" s="3"/>
      <c r="R471" s="274"/>
      <c r="S471" s="1"/>
      <c r="T471" s="277"/>
      <c r="U471" s="253"/>
      <c r="V471" s="253"/>
      <c r="W471" s="278"/>
      <c r="X471" s="224"/>
      <c r="Y471" s="277">
        <f>IF(Y466+Y469=0,0,(Y469+Y466)/(8.76*Y463/4))</f>
        <v>0</v>
      </c>
      <c r="Z471" s="253">
        <f>IF(Z466+Z469=0,0,(Z469+Z466)/(8.76*Z463/4))</f>
        <v>0</v>
      </c>
      <c r="AA471" s="253">
        <f>IF(AA466+AA469=0,0,(AA469+AA466)/(8.76*AA463/4))</f>
        <v>0</v>
      </c>
      <c r="AB471" s="278">
        <f>IF(AB466+AB469=0,0,(AB469+AB466)/(8.76*AB463/4))</f>
        <v>0</v>
      </c>
      <c r="AC471" s="224">
        <f>AVERAGE(Y471:AB471)</f>
        <v>0</v>
      </c>
      <c r="AD471" s="277">
        <f>IF(AD466+AD469=0,0,(AD469+AD466)/(8.76*AD463/4))</f>
        <v>0</v>
      </c>
      <c r="AE471" s="253">
        <f>IF(AE466+AE469=0,0,(AE469+AE466)/(8.76*AE463/4))</f>
        <v>0</v>
      </c>
      <c r="AF471" s="253">
        <f>IF(AF466+AF469=0,0,(AF469+AF466)/(8.76*AF463/4))</f>
        <v>0</v>
      </c>
      <c r="AG471" s="278">
        <f>IF(AG466+AG469=0,0,(AG469+AG466)/(8.76*AG463/4))</f>
        <v>0</v>
      </c>
      <c r="AH471" s="224">
        <f>AVERAGE(AD471:AG471)</f>
        <v>0</v>
      </c>
      <c r="AI471" s="277">
        <f>IF(AI466+AI469=0,0,(AI469+AI466)/(8.76*AI463/4))</f>
        <v>0</v>
      </c>
      <c r="AJ471" s="253">
        <f>IF(AJ466+AJ469=0,0,(AJ469+AJ466)/(8.76*AJ463/4))</f>
        <v>0</v>
      </c>
      <c r="AK471" s="253">
        <f>IF(AK466+AK469=0,0,(AK469+AK466)/(8.76*AK463/4))</f>
        <v>0</v>
      </c>
      <c r="AL471" s="278">
        <f>IF(AL466+AL469=0,0,(AL469+AL466)/(8.76*AL463/4))</f>
        <v>0</v>
      </c>
      <c r="AM471" s="224">
        <f>AVERAGE(AI471:AL471)</f>
        <v>0</v>
      </c>
      <c r="AN471" s="277">
        <f>IF(AN466+AN469=0,0,(AN469+AN466)/(8.76*AN463/4))</f>
        <v>0</v>
      </c>
      <c r="AO471" s="253">
        <f>IF(AO466+AO469=0,0,(AO469+AO466)/(8.76*AO463/4))</f>
        <v>0</v>
      </c>
      <c r="AP471" s="253">
        <f>IF(AP466+AP469=0,0,(AP469+AP466)/(8.76*AP463/4))</f>
        <v>0</v>
      </c>
      <c r="AQ471" s="278">
        <f>IF(AQ466+AQ469=0,0,(AQ469+AQ466)/(8.76*AQ463/4))</f>
        <v>0</v>
      </c>
      <c r="AR471" s="224">
        <f>AVERAGE(AN471:AQ471)</f>
        <v>0</v>
      </c>
      <c r="AS471" s="277">
        <f>IF(AS466+AS469=0,0,(AS469+AS466)/(8.76*AS463/4))</f>
        <v>0</v>
      </c>
      <c r="AT471" s="253">
        <f>IF(AT466+AT469=0,0,(AT469+AT466)/(8.76*AT463/4))</f>
        <v>0</v>
      </c>
      <c r="AU471" s="253">
        <f t="shared" ref="AU471" si="693">IF(AU466+AU469=0,0,(AU469+AU466)/(8.76*AU463/4))</f>
        <v>0</v>
      </c>
      <c r="AV471" s="278">
        <f>(AV469+AV466)/(8.76*AV463/4)</f>
        <v>0.48000000000000004</v>
      </c>
      <c r="AW471" s="224">
        <f>AVERAGE(AS471:AV471)</f>
        <v>0.12000000000000001</v>
      </c>
      <c r="AX471" s="277">
        <f>(AX469+AX466)/(8.76*AX463/4)</f>
        <v>0.48000000000000004</v>
      </c>
      <c r="AY471" s="253">
        <f>(AY469+AY466)/(8.76*AY463/4)</f>
        <v>0.78</v>
      </c>
      <c r="AZ471" s="253">
        <f>(AZ469+AZ466)/(8.76*AZ463/4)</f>
        <v>0.78</v>
      </c>
      <c r="BA471" s="278">
        <f>(BA469+BA466)/(8.76*BA463/4)</f>
        <v>0.78</v>
      </c>
      <c r="BB471" s="224">
        <f>AVERAGE(AX471:BA471)</f>
        <v>0.70500000000000007</v>
      </c>
      <c r="BC471" s="277">
        <f>(BC469+BC466)/(8.76*BC463/4)</f>
        <v>0.78</v>
      </c>
      <c r="BD471" s="253">
        <f>(BD469+BD466)/(8.76*BD463/4)</f>
        <v>0.78</v>
      </c>
      <c r="BE471" s="253">
        <f>(BE469+BE466)/(8.76*BE463/4)</f>
        <v>0.78</v>
      </c>
      <c r="BF471" s="278">
        <f>(BF469+BF466)/(8.76*BF463/4)</f>
        <v>0.48000000000000004</v>
      </c>
      <c r="BG471" s="224">
        <f>AVERAGE(BC471:BF471)</f>
        <v>0.70499999999999996</v>
      </c>
      <c r="BH471" s="277">
        <f>(BH469+BH466)/(8.76*BH463/4)</f>
        <v>0.78</v>
      </c>
      <c r="BI471" s="253">
        <f>(BI469+BI466)/(8.76*BI463/4)</f>
        <v>0.78</v>
      </c>
      <c r="BJ471" s="253">
        <f>(BJ469+BJ466)/(8.76*BJ463/4)</f>
        <v>0.78</v>
      </c>
      <c r="BK471" s="278">
        <f>(BK469+BK466)/(8.76*BK463/4)</f>
        <v>0.48000000000000004</v>
      </c>
      <c r="BL471" s="224">
        <f>AVERAGE(BH471:BK471)</f>
        <v>0.70499999999999996</v>
      </c>
      <c r="BM471" s="277">
        <f>(BM469+BM466)/(8.76*BM463/4)</f>
        <v>0.78</v>
      </c>
      <c r="BN471" s="253">
        <f>(BN469+BN466)/(8.76*BN463/4)</f>
        <v>0.78</v>
      </c>
      <c r="BO471" s="253">
        <f>(BO469+BO466)/(8.76*BO463/4)</f>
        <v>0.78</v>
      </c>
      <c r="BP471" s="278">
        <f>(BP469+BP466)/(8.76*BP463/4)</f>
        <v>0.48000000000000004</v>
      </c>
      <c r="BQ471" s="224">
        <f>AVERAGE(BM471:BP471)</f>
        <v>0.70499999999999996</v>
      </c>
      <c r="BR471" s="40"/>
      <c r="BS471" s="40"/>
      <c r="BT471" s="40"/>
      <c r="BU471" s="232"/>
      <c r="BV471" s="40"/>
      <c r="BW471" s="40"/>
      <c r="BX471" s="40"/>
      <c r="BY471" s="40"/>
      <c r="BZ471" s="40"/>
      <c r="CA471" s="40"/>
      <c r="CB471" s="40"/>
      <c r="CC471" s="40"/>
      <c r="CD471" s="40"/>
      <c r="CE471" s="40"/>
      <c r="CF471" s="40"/>
      <c r="CG471" s="40"/>
      <c r="CH471" s="40"/>
      <c r="CI471" s="40"/>
      <c r="CJ471" s="40"/>
      <c r="CK471" s="40"/>
      <c r="CL471" s="40"/>
      <c r="CM471" s="40"/>
      <c r="CN471" s="40"/>
      <c r="CO471" s="40"/>
      <c r="CP471" s="40"/>
      <c r="CQ471" s="40"/>
      <c r="CR471" s="40"/>
      <c r="CS471" s="40"/>
      <c r="CT471" s="823"/>
      <c r="CU471" s="232"/>
      <c r="CV471" s="232"/>
      <c r="CW471" s="232"/>
      <c r="CX471" s="232"/>
      <c r="CY471" s="232"/>
      <c r="CZ471" s="40"/>
      <c r="DA471" s="40"/>
      <c r="DB471" s="40"/>
      <c r="DC471" s="40"/>
      <c r="DD471" s="40"/>
      <c r="DE471" s="40"/>
      <c r="DF471" s="232"/>
      <c r="DG471" s="232"/>
      <c r="DH471" s="232"/>
      <c r="DI471" s="232"/>
      <c r="DJ471" s="232"/>
      <c r="DK471" s="232"/>
      <c r="DL471" s="232"/>
      <c r="DM471" s="232"/>
      <c r="DN471" s="232"/>
    </row>
    <row r="472" spans="1:118">
      <c r="A472" s="40"/>
      <c r="B472" s="32"/>
      <c r="C472" s="32" t="s">
        <v>173</v>
      </c>
      <c r="D472" s="32"/>
      <c r="E472" s="489"/>
      <c r="F472" s="342"/>
      <c r="G472" s="342"/>
      <c r="H472" s="490"/>
      <c r="I472" s="32"/>
      <c r="J472" s="489"/>
      <c r="K472" s="342"/>
      <c r="L472" s="342"/>
      <c r="M472" s="490"/>
      <c r="N472" s="32"/>
      <c r="O472" s="489"/>
      <c r="P472" s="342"/>
      <c r="Q472" s="342"/>
      <c r="R472" s="490"/>
      <c r="S472" s="32"/>
      <c r="T472" s="292"/>
      <c r="U472" s="261"/>
      <c r="V472" s="261"/>
      <c r="W472" s="293"/>
      <c r="X472" s="348"/>
      <c r="Y472" s="292">
        <f>+Y469+Y466</f>
        <v>0</v>
      </c>
      <c r="Z472" s="261">
        <f>+Z469+Z466</f>
        <v>0</v>
      </c>
      <c r="AA472" s="261">
        <f>+AA469+AA466</f>
        <v>0</v>
      </c>
      <c r="AB472" s="293">
        <f>+AB469+AB466</f>
        <v>0</v>
      </c>
      <c r="AC472" s="348">
        <f>SUM(Y472:AB472)</f>
        <v>0</v>
      </c>
      <c r="AD472" s="292">
        <f>+AD469+AD466</f>
        <v>0</v>
      </c>
      <c r="AE472" s="261">
        <f>+AE469+AE466</f>
        <v>0</v>
      </c>
      <c r="AF472" s="261">
        <f>+AF469+AF466</f>
        <v>0</v>
      </c>
      <c r="AG472" s="293">
        <f>+AG469+AG466</f>
        <v>0</v>
      </c>
      <c r="AH472" s="348">
        <f>SUM(AD472:AG472)</f>
        <v>0</v>
      </c>
      <c r="AI472" s="292">
        <f>+AI469+AI466</f>
        <v>0</v>
      </c>
      <c r="AJ472" s="261">
        <f>+AJ469+AJ466</f>
        <v>0</v>
      </c>
      <c r="AK472" s="261">
        <f>+AK469+AK466</f>
        <v>0</v>
      </c>
      <c r="AL472" s="293">
        <f>+AL469+AL466</f>
        <v>0</v>
      </c>
      <c r="AM472" s="348">
        <f>SUM(AI472:AL472)</f>
        <v>0</v>
      </c>
      <c r="AN472" s="292">
        <f>+AN469+AN466</f>
        <v>0</v>
      </c>
      <c r="AO472" s="261">
        <f>+AO469+AO466</f>
        <v>0</v>
      </c>
      <c r="AP472" s="261">
        <f>+AP469+AP466</f>
        <v>0</v>
      </c>
      <c r="AQ472" s="293">
        <f>+AQ469+AQ466</f>
        <v>0</v>
      </c>
      <c r="AR472" s="348">
        <f>SUM(AN472:AQ472)</f>
        <v>0</v>
      </c>
      <c r="AS472" s="292">
        <f>+AS469+AS466</f>
        <v>0</v>
      </c>
      <c r="AT472" s="261">
        <f>+AT469+AT466</f>
        <v>0</v>
      </c>
      <c r="AU472" s="261">
        <f t="shared" ref="AU472" si="694">+AU469+AU466</f>
        <v>0</v>
      </c>
      <c r="AV472" s="293">
        <f>+AV469+AV466</f>
        <v>2102.4</v>
      </c>
      <c r="AW472" s="348">
        <f>SUM(AS472:AV472)</f>
        <v>2102.4</v>
      </c>
      <c r="AX472" s="292">
        <f>+AX469+AX466</f>
        <v>2102.4</v>
      </c>
      <c r="AY472" s="261">
        <f>+AY469+AY466</f>
        <v>3416.4</v>
      </c>
      <c r="AZ472" s="261">
        <f>+AZ469+AZ466</f>
        <v>3416.4</v>
      </c>
      <c r="BA472" s="293">
        <f>+BA469+BA466</f>
        <v>3416.4</v>
      </c>
      <c r="BB472" s="348">
        <f>SUM(AX472:BA472)</f>
        <v>12351.6</v>
      </c>
      <c r="BC472" s="292">
        <f>+BC469+BC466</f>
        <v>3416.4</v>
      </c>
      <c r="BD472" s="261">
        <f>+BD469+BD466</f>
        <v>3416.4</v>
      </c>
      <c r="BE472" s="261">
        <f>+BE469+BE466</f>
        <v>3416.4</v>
      </c>
      <c r="BF472" s="293">
        <f>+BF469+BF466</f>
        <v>2102.4</v>
      </c>
      <c r="BG472" s="348">
        <f>SUM(BC472:BF472)</f>
        <v>12351.6</v>
      </c>
      <c r="BH472" s="292">
        <f>+BH469+BH466</f>
        <v>3416.4</v>
      </c>
      <c r="BI472" s="261">
        <f>+BI469+BI466</f>
        <v>3416.4</v>
      </c>
      <c r="BJ472" s="261">
        <f>+BJ469+BJ466</f>
        <v>3416.4</v>
      </c>
      <c r="BK472" s="293">
        <f>+BK469+BK466</f>
        <v>2102.4</v>
      </c>
      <c r="BL472" s="348">
        <f>SUM(BH472:BK472)</f>
        <v>12351.6</v>
      </c>
      <c r="BM472" s="292">
        <f>+BM469+BM466</f>
        <v>3416.4</v>
      </c>
      <c r="BN472" s="261">
        <f>+BN469+BN466</f>
        <v>3416.4</v>
      </c>
      <c r="BO472" s="261">
        <f>+BO469+BO466</f>
        <v>3416.4</v>
      </c>
      <c r="BP472" s="293">
        <f>+BP469+BP466</f>
        <v>2102.4</v>
      </c>
      <c r="BQ472" s="348">
        <f>SUM(BM472:BP472)</f>
        <v>12351.6</v>
      </c>
      <c r="BR472" s="40"/>
      <c r="BS472" s="40"/>
      <c r="BT472" s="40"/>
      <c r="BU472" s="232"/>
      <c r="BV472" s="40"/>
      <c r="BW472" s="40"/>
      <c r="BX472" s="40"/>
      <c r="BY472" s="40"/>
      <c r="BZ472" s="40"/>
      <c r="CA472" s="40"/>
      <c r="CB472" s="40"/>
      <c r="CC472" s="40"/>
      <c r="CD472" s="40"/>
      <c r="CE472" s="40"/>
      <c r="CF472" s="40"/>
      <c r="CG472" s="40"/>
      <c r="CH472" s="40"/>
      <c r="CI472" s="40"/>
      <c r="CJ472" s="40"/>
      <c r="CK472" s="40"/>
      <c r="CL472" s="40"/>
      <c r="CM472" s="40"/>
      <c r="CN472" s="40"/>
      <c r="CO472" s="40"/>
      <c r="CP472" s="40"/>
      <c r="CQ472" s="40"/>
      <c r="CR472" s="40"/>
      <c r="CS472" s="40"/>
      <c r="CT472" s="823"/>
      <c r="CU472" s="232"/>
      <c r="CV472" s="232"/>
      <c r="CW472" s="232"/>
      <c r="CX472" s="232"/>
      <c r="CY472" s="232"/>
      <c r="CZ472" s="40"/>
      <c r="DA472" s="40"/>
      <c r="DB472" s="40"/>
      <c r="DC472" s="40"/>
      <c r="DD472" s="40"/>
      <c r="DE472" s="40"/>
      <c r="DF472" s="232"/>
      <c r="DG472" s="232"/>
      <c r="DH472" s="232"/>
      <c r="DI472" s="232"/>
      <c r="DJ472" s="232"/>
      <c r="DK472" s="232"/>
      <c r="DL472" s="232"/>
      <c r="DM472" s="232"/>
      <c r="DN472" s="232"/>
    </row>
    <row r="473" spans="1:118">
      <c r="A473" s="40"/>
      <c r="B473" s="32"/>
      <c r="C473" s="28"/>
      <c r="D473" s="1"/>
      <c r="E473" s="273"/>
      <c r="F473" s="3"/>
      <c r="G473" s="3"/>
      <c r="H473" s="274"/>
      <c r="I473" s="28"/>
      <c r="J473" s="273"/>
      <c r="K473" s="3"/>
      <c r="L473" s="3"/>
      <c r="M473" s="274"/>
      <c r="N473" s="1"/>
      <c r="O473" s="273"/>
      <c r="P473" s="3"/>
      <c r="Q473" s="3"/>
      <c r="R473" s="274"/>
      <c r="S473" s="1"/>
      <c r="T473" s="273"/>
      <c r="U473" s="3"/>
      <c r="V473" s="3"/>
      <c r="W473" s="274"/>
      <c r="X473" s="1"/>
      <c r="Y473" s="273"/>
      <c r="Z473" s="3"/>
      <c r="AA473" s="3"/>
      <c r="AB473" s="274"/>
      <c r="AC473" s="1"/>
      <c r="AD473" s="273"/>
      <c r="AE473" s="3"/>
      <c r="AF473" s="3"/>
      <c r="AG473" s="274"/>
      <c r="AH473" s="1"/>
      <c r="AI473" s="273"/>
      <c r="AJ473" s="3"/>
      <c r="AK473" s="3"/>
      <c r="AL473" s="274"/>
      <c r="AM473" s="1"/>
      <c r="AN473" s="273"/>
      <c r="AO473" s="3"/>
      <c r="AP473" s="3"/>
      <c r="AQ473" s="274"/>
      <c r="AR473" s="1"/>
      <c r="AS473" s="273"/>
      <c r="AT473" s="3"/>
      <c r="AU473" s="3"/>
      <c r="AV473" s="274"/>
      <c r="AW473" s="1"/>
      <c r="AX473" s="273"/>
      <c r="AY473" s="3"/>
      <c r="AZ473" s="3"/>
      <c r="BA473" s="274"/>
      <c r="BB473" s="1"/>
      <c r="BC473" s="273"/>
      <c r="BD473" s="3"/>
      <c r="BE473" s="3"/>
      <c r="BF473" s="274"/>
      <c r="BG473" s="1"/>
      <c r="BH473" s="273"/>
      <c r="BI473" s="3"/>
      <c r="BJ473" s="3"/>
      <c r="BK473" s="274"/>
      <c r="BL473" s="1"/>
      <c r="BM473" s="273"/>
      <c r="BN473" s="3"/>
      <c r="BO473" s="3"/>
      <c r="BP473" s="274"/>
      <c r="BQ473" s="1"/>
      <c r="BR473" s="40"/>
      <c r="BS473" s="40"/>
      <c r="BT473" s="40"/>
      <c r="BU473" s="232"/>
      <c r="BV473" s="40"/>
      <c r="BW473" s="40"/>
      <c r="BX473" s="40"/>
      <c r="BY473" s="40"/>
      <c r="BZ473" s="40"/>
      <c r="CA473" s="40"/>
      <c r="CB473" s="40"/>
      <c r="CC473" s="40"/>
      <c r="CD473" s="40"/>
      <c r="CE473" s="40"/>
      <c r="CF473" s="40"/>
      <c r="CG473" s="40"/>
      <c r="CH473" s="40"/>
      <c r="CI473" s="40"/>
      <c r="CJ473" s="40"/>
      <c r="CK473" s="40"/>
      <c r="CL473" s="40"/>
      <c r="CM473" s="40"/>
      <c r="CN473" s="40"/>
      <c r="CO473" s="40"/>
      <c r="CP473" s="40"/>
      <c r="CQ473" s="40"/>
      <c r="CR473" s="40"/>
      <c r="CS473" s="40"/>
      <c r="CT473" s="823"/>
      <c r="CU473" s="232"/>
      <c r="CV473" s="232"/>
      <c r="CW473" s="232"/>
      <c r="CX473" s="232"/>
      <c r="CY473" s="232"/>
      <c r="CZ473" s="40"/>
      <c r="DA473" s="40"/>
      <c r="DB473" s="40"/>
      <c r="DC473" s="40"/>
      <c r="DD473" s="40"/>
      <c r="DE473" s="40"/>
      <c r="DF473" s="232"/>
      <c r="DG473" s="232"/>
      <c r="DH473" s="232"/>
      <c r="DI473" s="232"/>
      <c r="DJ473" s="232"/>
      <c r="DK473" s="232"/>
      <c r="DL473" s="232"/>
      <c r="DM473" s="232"/>
      <c r="DN473" s="232"/>
    </row>
    <row r="474" spans="1:118">
      <c r="A474" s="40"/>
      <c r="B474" s="32"/>
      <c r="C474" s="28" t="s">
        <v>797</v>
      </c>
      <c r="D474" s="1"/>
      <c r="E474" s="273"/>
      <c r="F474" s="3"/>
      <c r="G474" s="3"/>
      <c r="H474" s="274"/>
      <c r="I474" s="28"/>
      <c r="J474" s="273"/>
      <c r="K474" s="3"/>
      <c r="L474" s="3"/>
      <c r="M474" s="274"/>
      <c r="N474" s="1"/>
      <c r="O474" s="273"/>
      <c r="P474" s="3"/>
      <c r="Q474" s="3"/>
      <c r="R474" s="274"/>
      <c r="S474" s="1"/>
      <c r="T474" s="758"/>
      <c r="U474" s="660"/>
      <c r="V474" s="660"/>
      <c r="W474" s="661"/>
      <c r="X474" s="428"/>
      <c r="Y474" s="758">
        <f>(Y459/1000*Y466)+(Y460/1000*Y469)</f>
        <v>0</v>
      </c>
      <c r="Z474" s="660">
        <f>(Z459/1000*Z466)+(Z460/1000*Z469)</f>
        <v>0</v>
      </c>
      <c r="AA474" s="660">
        <f>(AA459/1000*AA466)+(AA460/1000*AA469)</f>
        <v>0</v>
      </c>
      <c r="AB474" s="661">
        <f>(AB459/1000*AB466)+(AB460/1000*AB469)</f>
        <v>0</v>
      </c>
      <c r="AC474" s="428">
        <f>SUM(Y474:AB474)</f>
        <v>0</v>
      </c>
      <c r="AD474" s="758">
        <f>(AD459/1000*AD466)+(AD460/1000*AD469)</f>
        <v>0</v>
      </c>
      <c r="AE474" s="660">
        <f>(AE459/1000*AE466)+(AE460/1000*AE469)</f>
        <v>0</v>
      </c>
      <c r="AF474" s="660">
        <f>(AF459/1000*AF466)+(AF460/1000*AF469)</f>
        <v>0</v>
      </c>
      <c r="AG474" s="661">
        <f>(AG459/1000*AG466)+(AG460/1000*AG469)</f>
        <v>0</v>
      </c>
      <c r="AH474" s="428">
        <f>SUM(AD474:AG474)</f>
        <v>0</v>
      </c>
      <c r="AI474" s="758">
        <f>(AI459/1000*AI466)+(AI460/1000*AI469)</f>
        <v>0</v>
      </c>
      <c r="AJ474" s="660">
        <f>(AJ459/1000*AJ466)+(AJ460/1000*AJ469)</f>
        <v>0</v>
      </c>
      <c r="AK474" s="660">
        <f>(AK459/1000*AK466)+(AK460/1000*AK469)</f>
        <v>0</v>
      </c>
      <c r="AL474" s="661">
        <f>(AL459/1000*AL466)+(AL460/1000*AL469)</f>
        <v>0</v>
      </c>
      <c r="AM474" s="428">
        <f>SUM(AI474:AL474)</f>
        <v>0</v>
      </c>
      <c r="AN474" s="758">
        <f>(AN459/1000*AN466)+(AN460/1000*AN469)</f>
        <v>0</v>
      </c>
      <c r="AO474" s="660">
        <f>(AO459/1000*AO466)+(AO460/1000*AO469)</f>
        <v>0</v>
      </c>
      <c r="AP474" s="660">
        <f>(AP459/1000*AP466)+(AP460/1000*AP469)</f>
        <v>0</v>
      </c>
      <c r="AQ474" s="661">
        <f>(AQ459/1000*AQ466)+(AQ460/1000*AQ469)</f>
        <v>0</v>
      </c>
      <c r="AR474" s="428">
        <f>SUM(AN474:AQ474)</f>
        <v>0</v>
      </c>
      <c r="AS474" s="758">
        <f>(AS459/1000*AS466)+(AS460/1000*AS469)</f>
        <v>0</v>
      </c>
      <c r="AT474" s="660">
        <f>(AT459/1000*AT466)+(AT460/1000*AT469)</f>
        <v>0</v>
      </c>
      <c r="AU474" s="660">
        <f t="shared" ref="AU474" si="695">(AU459/1000*AU466)+(AU460/1000*AU469)</f>
        <v>0</v>
      </c>
      <c r="AV474" s="661">
        <f>(AV459/1000*AV466)+(AV460/1000*AV469)</f>
        <v>66.826903851562534</v>
      </c>
      <c r="AW474" s="428">
        <f>SUM(AS474:AV474)</f>
        <v>66.826903851562534</v>
      </c>
      <c r="AX474" s="758">
        <f>(AX459/1000*AX466)+(AX460/1000*AX469)</f>
        <v>66.826903851562534</v>
      </c>
      <c r="AY474" s="660">
        <f>(AY459/1000*AY466)+(AY460/1000*AY469)</f>
        <v>101.45184636</v>
      </c>
      <c r="AZ474" s="660">
        <f>(AZ459/1000*AZ466)+(AZ460/1000*AZ469)</f>
        <v>286.91800133999999</v>
      </c>
      <c r="BA474" s="661">
        <f>(BA459/1000*BA466)+(BA460/1000*BA469)</f>
        <v>80.711105339999989</v>
      </c>
      <c r="BB474" s="428">
        <f>SUM(AX474:BA474)</f>
        <v>535.90785689156257</v>
      </c>
      <c r="BC474" s="758">
        <f>(BC459/1000*BC466)+(BC460/1000*BC469)</f>
        <v>76.128929740489156</v>
      </c>
      <c r="BD474" s="660">
        <f>(BD459/1000*BD466)+(BD460/1000*BD469)</f>
        <v>75.228773754608639</v>
      </c>
      <c r="BE474" s="660">
        <f>(BE459/1000*BE466)+(BE460/1000*BE469)</f>
        <v>178.67784602448802</v>
      </c>
      <c r="BF474" s="661">
        <f>(BF459/1000*BF466)+(BF460/1000*BF469)</f>
        <v>91.540834268866178</v>
      </c>
      <c r="BG474" s="428">
        <f>SUM(BC474:BF474)</f>
        <v>421.57638378845195</v>
      </c>
      <c r="BH474" s="758">
        <f>(BH459/1000*BH466)+(BH460/1000*BH469)</f>
        <v>71.354885615959034</v>
      </c>
      <c r="BI474" s="660">
        <f>(BI459/1000*BI466)+(BI460/1000*BI469)</f>
        <v>70.265948061550489</v>
      </c>
      <c r="BJ474" s="660">
        <f>(BJ459/1000*BJ466)+(BJ460/1000*BJ469)</f>
        <v>164.57839720238536</v>
      </c>
      <c r="BK474" s="661">
        <f>(BK459/1000*BK466)+(BK460/1000*BK469)</f>
        <v>82.899089988852225</v>
      </c>
      <c r="BL474" s="428">
        <f>SUM(BH474:BK474)</f>
        <v>389.09832086874712</v>
      </c>
      <c r="BM474" s="758">
        <f>(BM459/1000*BM466)+(BM460/1000*BM469)</f>
        <v>78.011489039238441</v>
      </c>
      <c r="BN474" s="660">
        <f>(BN459/1000*BN466)+(BN460/1000*BN469)</f>
        <v>85.678389441245912</v>
      </c>
      <c r="BO474" s="660">
        <f>(BO459/1000*BO466)+(BO460/1000*BO469)</f>
        <v>177.27129008097486</v>
      </c>
      <c r="BP474" s="661">
        <f>(BP459/1000*BP466)+(BP460/1000*BP469)</f>
        <v>84.633072766332575</v>
      </c>
      <c r="BQ474" s="428">
        <f>SUM(BM474:BP474)</f>
        <v>425.59424132779179</v>
      </c>
      <c r="BR474" s="40"/>
      <c r="BS474" s="40"/>
      <c r="BT474" s="40"/>
      <c r="BU474" s="232"/>
      <c r="BV474" s="40"/>
      <c r="BW474" s="40"/>
      <c r="BX474" s="40"/>
      <c r="BY474" s="40"/>
      <c r="BZ474" s="40"/>
      <c r="CA474" s="40"/>
      <c r="CB474" s="40"/>
      <c r="CC474" s="40"/>
      <c r="CD474" s="40"/>
      <c r="CE474" s="40"/>
      <c r="CF474" s="40"/>
      <c r="CG474" s="40"/>
      <c r="CH474" s="40"/>
      <c r="CI474" s="40"/>
      <c r="CJ474" s="40"/>
      <c r="CK474" s="40"/>
      <c r="CL474" s="40"/>
      <c r="CM474" s="40"/>
      <c r="CN474" s="40"/>
      <c r="CO474" s="40"/>
      <c r="CP474" s="40"/>
      <c r="CQ474" s="40"/>
      <c r="CR474" s="40"/>
      <c r="CS474" s="40"/>
      <c r="CT474" s="823"/>
      <c r="CU474" s="232"/>
      <c r="CV474" s="232"/>
      <c r="CW474" s="232"/>
      <c r="CX474" s="232"/>
      <c r="CY474" s="232"/>
      <c r="CZ474" s="40"/>
      <c r="DA474" s="40"/>
      <c r="DB474" s="40"/>
      <c r="DC474" s="40"/>
      <c r="DD474" s="40"/>
      <c r="DE474" s="40"/>
      <c r="DF474" s="232"/>
      <c r="DG474" s="232"/>
      <c r="DH474" s="232"/>
      <c r="DI474" s="232"/>
      <c r="DJ474" s="232"/>
      <c r="DK474" s="232"/>
      <c r="DL474" s="232"/>
      <c r="DM474" s="232"/>
      <c r="DN474" s="232"/>
    </row>
    <row r="475" spans="1:118">
      <c r="A475" s="40"/>
      <c r="B475" s="32"/>
      <c r="C475" s="28" t="s">
        <v>278</v>
      </c>
      <c r="D475" s="1"/>
      <c r="E475" s="273"/>
      <c r="F475" s="3"/>
      <c r="G475" s="3"/>
      <c r="H475" s="274"/>
      <c r="I475" s="28"/>
      <c r="J475" s="273"/>
      <c r="K475" s="3"/>
      <c r="L475" s="3"/>
      <c r="M475" s="274"/>
      <c r="N475" s="1"/>
      <c r="O475" s="273"/>
      <c r="P475" s="3"/>
      <c r="Q475" s="3"/>
      <c r="R475" s="274"/>
      <c r="S475" s="1"/>
      <c r="T475" s="758"/>
      <c r="U475" s="660"/>
      <c r="V475" s="660"/>
      <c r="W475" s="661"/>
      <c r="X475" s="428"/>
      <c r="Y475" s="758">
        <f>Y461/1000*Y472</f>
        <v>0</v>
      </c>
      <c r="Z475" s="660">
        <f>Z461/1000*Z472</f>
        <v>0</v>
      </c>
      <c r="AA475" s="660">
        <f>AA461/1000*AA472</f>
        <v>0</v>
      </c>
      <c r="AB475" s="661">
        <f>AB461/1000*AB472</f>
        <v>0</v>
      </c>
      <c r="AC475" s="428">
        <f>SUM(Y475:AB475)</f>
        <v>0</v>
      </c>
      <c r="AD475" s="758">
        <f>AD461/1000*AD472</f>
        <v>0</v>
      </c>
      <c r="AE475" s="660">
        <f>AE461/1000*AE472</f>
        <v>0</v>
      </c>
      <c r="AF475" s="660">
        <f>AF461/1000*AF472</f>
        <v>0</v>
      </c>
      <c r="AG475" s="661">
        <f>AG461/1000*AG472</f>
        <v>0</v>
      </c>
      <c r="AH475" s="428">
        <f>SUM(AD475:AG475)</f>
        <v>0</v>
      </c>
      <c r="AI475" s="758">
        <f>AI461/1000*AI472</f>
        <v>0</v>
      </c>
      <c r="AJ475" s="660">
        <f>AJ461/1000*AJ472</f>
        <v>0</v>
      </c>
      <c r="AK475" s="660">
        <f>AK461/1000*AK472</f>
        <v>0</v>
      </c>
      <c r="AL475" s="661">
        <f>AL461/1000*AL472</f>
        <v>0</v>
      </c>
      <c r="AM475" s="428">
        <f>SUM(AI475:AL475)</f>
        <v>0</v>
      </c>
      <c r="AN475" s="758">
        <f>AN461/1000*AN472</f>
        <v>0</v>
      </c>
      <c r="AO475" s="660">
        <f>AO461/1000*AO472</f>
        <v>0</v>
      </c>
      <c r="AP475" s="660">
        <f>AP461/1000*AP472</f>
        <v>0</v>
      </c>
      <c r="AQ475" s="661">
        <f>AQ461/1000*AQ472</f>
        <v>0</v>
      </c>
      <c r="AR475" s="428">
        <f>SUM(AN475:AQ475)</f>
        <v>0</v>
      </c>
      <c r="AS475" s="758">
        <f>AS461/1000*AS472</f>
        <v>0</v>
      </c>
      <c r="AT475" s="660">
        <f>AT461/1000*AT472</f>
        <v>0</v>
      </c>
      <c r="AU475" s="660">
        <f t="shared" ref="AU475" si="696">AU461/1000*AU472</f>
        <v>0</v>
      </c>
      <c r="AV475" s="661">
        <f>AV461/1000*AV472</f>
        <v>42.51099328524591</v>
      </c>
      <c r="AW475" s="428">
        <f>SUM(AS475:AV475)</f>
        <v>42.51099328524591</v>
      </c>
      <c r="AX475" s="758">
        <f>AX461/1000*AX472</f>
        <v>42.51099328524591</v>
      </c>
      <c r="AY475" s="660">
        <f>AY461/1000*AY472</f>
        <v>59.506285799999993</v>
      </c>
      <c r="AZ475" s="660">
        <f>AZ461/1000*AZ472</f>
        <v>62.511578999999998</v>
      </c>
      <c r="BA475" s="661">
        <f>BA461/1000*BA472</f>
        <v>64.43615100000001</v>
      </c>
      <c r="BB475" s="428">
        <f>SUM(AX475:BA475)</f>
        <v>228.96500908524592</v>
      </c>
      <c r="BC475" s="758">
        <f>BC461/1000*BC472</f>
        <v>64.458972670275301</v>
      </c>
      <c r="BD475" s="660">
        <f>BD461/1000*BD472</f>
        <v>56.49756448867975</v>
      </c>
      <c r="BE475" s="660">
        <f>BE461/1000*BE472</f>
        <v>57.243946505704344</v>
      </c>
      <c r="BF475" s="661">
        <f>BF461/1000*BF472</f>
        <v>41.179056698671133</v>
      </c>
      <c r="BG475" s="428">
        <f>SUM(BC475:BF475)</f>
        <v>219.37954036333053</v>
      </c>
      <c r="BH475" s="758">
        <f>BH461/1000*BH472</f>
        <v>65.422528612528922</v>
      </c>
      <c r="BI475" s="660">
        <f>BI461/1000*BI472</f>
        <v>57.342110433654589</v>
      </c>
      <c r="BJ475" s="660">
        <f>BJ461/1000*BJ472</f>
        <v>58.09964963792406</v>
      </c>
      <c r="BK475" s="661">
        <f>BK461/1000*BK472</f>
        <v>41.794616071318416</v>
      </c>
      <c r="BL475" s="428">
        <f>SUM(BH475:BK475)</f>
        <v>222.65890475542599</v>
      </c>
      <c r="BM475" s="758">
        <f>BM461/1000*BM472</f>
        <v>61.418736697500002</v>
      </c>
      <c r="BN475" s="660">
        <f>BN461/1000*BN472</f>
        <v>61.418736697500002</v>
      </c>
      <c r="BO475" s="660">
        <f>BO461/1000*BO472</f>
        <v>61.418736697500002</v>
      </c>
      <c r="BP475" s="661">
        <f>BP461/1000*BP472</f>
        <v>37.796145660000001</v>
      </c>
      <c r="BQ475" s="428">
        <f>SUM(BM475:BP475)</f>
        <v>222.05235575250001</v>
      </c>
      <c r="BR475" s="40"/>
      <c r="BS475" s="40"/>
      <c r="BT475" s="40"/>
      <c r="BU475" s="232"/>
      <c r="BV475" s="40"/>
      <c r="BW475" s="40"/>
      <c r="BX475" s="40"/>
      <c r="BY475" s="40"/>
      <c r="BZ475" s="40"/>
      <c r="CA475" s="40"/>
      <c r="CB475" s="40"/>
      <c r="CC475" s="40"/>
      <c r="CD475" s="40"/>
      <c r="CE475" s="40"/>
      <c r="CF475" s="40"/>
      <c r="CG475" s="40"/>
      <c r="CH475" s="40"/>
      <c r="CI475" s="40"/>
      <c r="CJ475" s="40"/>
      <c r="CK475" s="40"/>
      <c r="CL475" s="40"/>
      <c r="CM475" s="40"/>
      <c r="CN475" s="40"/>
      <c r="CO475" s="40"/>
      <c r="CP475" s="40"/>
      <c r="CQ475" s="40"/>
      <c r="CR475" s="40"/>
      <c r="CS475" s="40"/>
      <c r="CT475" s="823"/>
      <c r="CU475" s="232"/>
      <c r="CV475" s="232"/>
      <c r="CW475" s="232"/>
      <c r="CX475" s="232"/>
      <c r="CY475" s="232"/>
      <c r="CZ475" s="40"/>
      <c r="DA475" s="40"/>
      <c r="DB475" s="40"/>
      <c r="DC475" s="40"/>
      <c r="DD475" s="40"/>
      <c r="DE475" s="40"/>
      <c r="DF475" s="232"/>
      <c r="DG475" s="232"/>
      <c r="DH475" s="232"/>
      <c r="DI475" s="232"/>
      <c r="DJ475" s="232"/>
      <c r="DK475" s="232"/>
      <c r="DL475" s="232"/>
      <c r="DM475" s="232"/>
      <c r="DN475" s="232"/>
    </row>
    <row r="476" spans="1:118">
      <c r="A476" s="40"/>
      <c r="B476" s="32"/>
      <c r="C476" s="32" t="s">
        <v>199</v>
      </c>
      <c r="D476" s="32"/>
      <c r="E476" s="489"/>
      <c r="F476" s="342"/>
      <c r="G476" s="342"/>
      <c r="H476" s="490"/>
      <c r="I476" s="28"/>
      <c r="J476" s="489"/>
      <c r="K476" s="342"/>
      <c r="L476" s="342"/>
      <c r="M476" s="490"/>
      <c r="N476" s="32"/>
      <c r="O476" s="489"/>
      <c r="P476" s="342"/>
      <c r="Q476" s="342"/>
      <c r="R476" s="490"/>
      <c r="S476" s="32"/>
      <c r="T476" s="292"/>
      <c r="U476" s="261"/>
      <c r="V476" s="261"/>
      <c r="W476" s="293"/>
      <c r="X476" s="228"/>
      <c r="Y476" s="292">
        <f t="shared" ref="Y476:AE476" si="697">Y474-Y475</f>
        <v>0</v>
      </c>
      <c r="Z476" s="261">
        <f t="shared" si="697"/>
        <v>0</v>
      </c>
      <c r="AA476" s="261">
        <f t="shared" si="697"/>
        <v>0</v>
      </c>
      <c r="AB476" s="293">
        <f t="shared" si="697"/>
        <v>0</v>
      </c>
      <c r="AC476" s="228">
        <f t="shared" si="697"/>
        <v>0</v>
      </c>
      <c r="AD476" s="292">
        <f t="shared" si="697"/>
        <v>0</v>
      </c>
      <c r="AE476" s="261">
        <f t="shared" si="697"/>
        <v>0</v>
      </c>
      <c r="AF476" s="261">
        <f t="shared" ref="AF476:BL476" si="698">AF474-AF475</f>
        <v>0</v>
      </c>
      <c r="AG476" s="293">
        <f t="shared" si="698"/>
        <v>0</v>
      </c>
      <c r="AH476" s="228">
        <f t="shared" si="698"/>
        <v>0</v>
      </c>
      <c r="AI476" s="292">
        <f t="shared" si="698"/>
        <v>0</v>
      </c>
      <c r="AJ476" s="261">
        <f t="shared" si="698"/>
        <v>0</v>
      </c>
      <c r="AK476" s="261">
        <f t="shared" si="698"/>
        <v>0</v>
      </c>
      <c r="AL476" s="293">
        <f t="shared" si="698"/>
        <v>0</v>
      </c>
      <c r="AM476" s="228">
        <f t="shared" si="698"/>
        <v>0</v>
      </c>
      <c r="AN476" s="292">
        <f t="shared" si="698"/>
        <v>0</v>
      </c>
      <c r="AO476" s="261">
        <f t="shared" si="698"/>
        <v>0</v>
      </c>
      <c r="AP476" s="261">
        <f t="shared" si="698"/>
        <v>0</v>
      </c>
      <c r="AQ476" s="293">
        <f t="shared" si="698"/>
        <v>0</v>
      </c>
      <c r="AR476" s="228">
        <f t="shared" si="698"/>
        <v>0</v>
      </c>
      <c r="AS476" s="292">
        <f t="shared" si="698"/>
        <v>0</v>
      </c>
      <c r="AT476" s="261">
        <f t="shared" si="698"/>
        <v>0</v>
      </c>
      <c r="AU476" s="261">
        <f t="shared" ref="AU476" si="699">AU474-AU475</f>
        <v>0</v>
      </c>
      <c r="AV476" s="293">
        <f t="shared" si="698"/>
        <v>24.315910566316624</v>
      </c>
      <c r="AW476" s="228">
        <f t="shared" si="698"/>
        <v>24.315910566316624</v>
      </c>
      <c r="AX476" s="292">
        <f t="shared" si="698"/>
        <v>24.315910566316624</v>
      </c>
      <c r="AY476" s="261">
        <f t="shared" si="698"/>
        <v>41.945560560000011</v>
      </c>
      <c r="AZ476" s="261">
        <f t="shared" si="698"/>
        <v>224.40642234000001</v>
      </c>
      <c r="BA476" s="293">
        <f t="shared" si="698"/>
        <v>16.274954339999979</v>
      </c>
      <c r="BB476" s="228">
        <f t="shared" si="698"/>
        <v>306.94284780631665</v>
      </c>
      <c r="BC476" s="292">
        <f t="shared" si="698"/>
        <v>11.669957070213854</v>
      </c>
      <c r="BD476" s="261">
        <f t="shared" si="698"/>
        <v>18.731209265928889</v>
      </c>
      <c r="BE476" s="261">
        <f t="shared" si="698"/>
        <v>121.43389951878368</v>
      </c>
      <c r="BF476" s="293">
        <f t="shared" si="698"/>
        <v>50.361777570195045</v>
      </c>
      <c r="BG476" s="228">
        <f t="shared" si="698"/>
        <v>202.19684342512141</v>
      </c>
      <c r="BH476" s="292">
        <f t="shared" si="698"/>
        <v>5.9323570034301127</v>
      </c>
      <c r="BI476" s="261">
        <f t="shared" si="698"/>
        <v>12.9238376278959</v>
      </c>
      <c r="BJ476" s="261">
        <f t="shared" si="698"/>
        <v>106.4787475644613</v>
      </c>
      <c r="BK476" s="293">
        <f t="shared" si="698"/>
        <v>41.104473917533809</v>
      </c>
      <c r="BL476" s="228">
        <f t="shared" si="698"/>
        <v>166.43941611332113</v>
      </c>
      <c r="BM476" s="292">
        <f t="shared" ref="BM476:BQ476" si="700">BM474-BM475</f>
        <v>16.592752341738439</v>
      </c>
      <c r="BN476" s="261">
        <f t="shared" si="700"/>
        <v>24.25965274374591</v>
      </c>
      <c r="BO476" s="261">
        <f t="shared" si="700"/>
        <v>115.85255338347486</v>
      </c>
      <c r="BP476" s="293">
        <f t="shared" si="700"/>
        <v>46.836927106332574</v>
      </c>
      <c r="BQ476" s="228">
        <f t="shared" si="700"/>
        <v>203.54188557529179</v>
      </c>
      <c r="BR476" s="40"/>
      <c r="BS476" s="40"/>
      <c r="BT476" s="40"/>
      <c r="BU476" s="232"/>
      <c r="BV476" s="40"/>
      <c r="BW476" s="40"/>
      <c r="BX476" s="40"/>
      <c r="BY476" s="40"/>
      <c r="BZ476" s="40"/>
      <c r="CA476" s="40"/>
      <c r="CB476" s="40"/>
      <c r="CC476" s="40"/>
      <c r="CD476" s="40"/>
      <c r="CE476" s="40"/>
      <c r="CF476" s="40"/>
      <c r="CG476" s="40"/>
      <c r="CH476" s="40"/>
      <c r="CI476" s="40"/>
      <c r="CJ476" s="40"/>
      <c r="CK476" s="40"/>
      <c r="CL476" s="40"/>
      <c r="CM476" s="40"/>
      <c r="CN476" s="40"/>
      <c r="CO476" s="40"/>
      <c r="CP476" s="40"/>
      <c r="CQ476" s="40"/>
      <c r="CR476" s="40"/>
      <c r="CS476" s="40"/>
      <c r="CT476" s="823"/>
      <c r="CU476" s="232"/>
      <c r="CV476" s="232"/>
      <c r="CW476" s="232"/>
      <c r="CX476" s="232"/>
      <c r="CY476" s="232"/>
      <c r="CZ476" s="40"/>
      <c r="DA476" s="40"/>
      <c r="DB476" s="40"/>
      <c r="DC476" s="40"/>
      <c r="DD476" s="40"/>
      <c r="DE476" s="40"/>
      <c r="DF476" s="232"/>
      <c r="DG476" s="232"/>
      <c r="DH476" s="232"/>
      <c r="DI476" s="232"/>
      <c r="DJ476" s="232"/>
      <c r="DK476" s="232"/>
      <c r="DL476" s="232"/>
      <c r="DM476" s="232"/>
      <c r="DN476" s="232"/>
    </row>
    <row r="477" spans="1:118">
      <c r="A477" s="40"/>
      <c r="B477" s="32"/>
      <c r="C477" s="32"/>
      <c r="D477" s="32"/>
      <c r="E477" s="489"/>
      <c r="F477" s="342"/>
      <c r="G477" s="342"/>
      <c r="H477" s="490"/>
      <c r="I477" s="28"/>
      <c r="J477" s="489"/>
      <c r="K477" s="342"/>
      <c r="L477" s="342"/>
      <c r="M477" s="490"/>
      <c r="N477" s="32"/>
      <c r="O477" s="489"/>
      <c r="P477" s="342"/>
      <c r="Q477" s="342"/>
      <c r="R477" s="490"/>
      <c r="S477" s="32"/>
      <c r="T477" s="292"/>
      <c r="U477" s="261"/>
      <c r="V477" s="261"/>
      <c r="W477" s="293"/>
      <c r="X477" s="228"/>
      <c r="Y477" s="292"/>
      <c r="Z477" s="261"/>
      <c r="AA477" s="261"/>
      <c r="AB477" s="293"/>
      <c r="AC477" s="228"/>
      <c r="AD477" s="292"/>
      <c r="AE477" s="261"/>
      <c r="AF477" s="261"/>
      <c r="AG477" s="293"/>
      <c r="AH477" s="228"/>
      <c r="AI477" s="292"/>
      <c r="AJ477" s="261"/>
      <c r="AK477" s="261"/>
      <c r="AL477" s="293"/>
      <c r="AM477" s="228"/>
      <c r="AN477" s="292"/>
      <c r="AO477" s="261"/>
      <c r="AP477" s="261"/>
      <c r="AQ477" s="293"/>
      <c r="AR477" s="228"/>
      <c r="AS477" s="292"/>
      <c r="AT477" s="261"/>
      <c r="AU477" s="261"/>
      <c r="AV477" s="293"/>
      <c r="AW477" s="228"/>
      <c r="AX477" s="292"/>
      <c r="AY477" s="261"/>
      <c r="AZ477" s="261"/>
      <c r="BA477" s="293"/>
      <c r="BB477" s="228"/>
      <c r="BC477" s="292"/>
      <c r="BD477" s="261"/>
      <c r="BE477" s="261"/>
      <c r="BF477" s="293"/>
      <c r="BG477" s="228"/>
      <c r="BH477" s="292"/>
      <c r="BI477" s="261"/>
      <c r="BJ477" s="261"/>
      <c r="BK477" s="293"/>
      <c r="BL477" s="228"/>
      <c r="BM477" s="292"/>
      <c r="BN477" s="261"/>
      <c r="BO477" s="261"/>
      <c r="BP477" s="293"/>
      <c r="BQ477" s="228"/>
      <c r="BR477" s="40"/>
      <c r="BS477" s="40"/>
      <c r="BT477" s="40"/>
      <c r="BU477" s="232"/>
      <c r="BV477" s="40"/>
      <c r="BW477" s="40"/>
      <c r="BX477" s="40"/>
      <c r="BY477" s="40"/>
      <c r="BZ477" s="40"/>
      <c r="CA477" s="40"/>
      <c r="CB477" s="40"/>
      <c r="CC477" s="40"/>
      <c r="CD477" s="40"/>
      <c r="CE477" s="40"/>
      <c r="CF477" s="40"/>
      <c r="CG477" s="40"/>
      <c r="CH477" s="40"/>
      <c r="CI477" s="40"/>
      <c r="CJ477" s="40"/>
      <c r="CK477" s="40"/>
      <c r="CL477" s="40"/>
      <c r="CM477" s="40"/>
      <c r="CN477" s="40"/>
      <c r="CO477" s="40"/>
      <c r="CP477" s="40"/>
      <c r="CQ477" s="40"/>
      <c r="CR477" s="40"/>
      <c r="CS477" s="40"/>
      <c r="CT477" s="823"/>
      <c r="CU477" s="232"/>
      <c r="CV477" s="232"/>
      <c r="CW477" s="232"/>
      <c r="CX477" s="232"/>
      <c r="CY477" s="232"/>
      <c r="CZ477" s="40"/>
      <c r="DA477" s="40"/>
      <c r="DB477" s="40"/>
      <c r="DC477" s="40"/>
      <c r="DD477" s="40"/>
      <c r="DE477" s="40"/>
      <c r="DF477" s="232"/>
      <c r="DG477" s="232"/>
      <c r="DH477" s="232"/>
      <c r="DI477" s="232"/>
      <c r="DJ477" s="232"/>
      <c r="DK477" s="232"/>
      <c r="DL477" s="232"/>
      <c r="DM477" s="232"/>
      <c r="DN477" s="232"/>
    </row>
    <row r="478" spans="1:118">
      <c r="A478" s="40"/>
      <c r="B478" s="32"/>
      <c r="C478" s="429" t="s">
        <v>799</v>
      </c>
      <c r="D478" s="1"/>
      <c r="E478" s="273"/>
      <c r="F478" s="3"/>
      <c r="G478" s="3"/>
      <c r="H478" s="274"/>
      <c r="I478" s="440"/>
      <c r="J478" s="273"/>
      <c r="K478" s="3"/>
      <c r="L478" s="3"/>
      <c r="M478" s="274"/>
      <c r="N478" s="1"/>
      <c r="O478" s="273"/>
      <c r="P478" s="3"/>
      <c r="Q478" s="3"/>
      <c r="R478" s="274"/>
      <c r="S478" s="1"/>
      <c r="T478" s="273"/>
      <c r="U478" s="3"/>
      <c r="V478" s="3"/>
      <c r="W478" s="274"/>
      <c r="X478" s="1"/>
      <c r="Y478" s="273"/>
      <c r="Z478" s="3"/>
      <c r="AA478" s="3"/>
      <c r="AB478" s="274"/>
      <c r="AC478" s="1"/>
      <c r="AD478" s="273"/>
      <c r="AE478" s="3"/>
      <c r="AF478" s="3"/>
      <c r="AG478" s="274"/>
      <c r="AH478" s="1"/>
      <c r="AI478" s="273"/>
      <c r="AJ478" s="3"/>
      <c r="AK478" s="3"/>
      <c r="AL478" s="274"/>
      <c r="AM478" s="1"/>
      <c r="AN478" s="273"/>
      <c r="AO478" s="3"/>
      <c r="AP478" s="3"/>
      <c r="AQ478" s="274"/>
      <c r="AR478" s="1"/>
      <c r="AS478" s="273"/>
      <c r="AT478" s="3"/>
      <c r="AU478" s="3"/>
      <c r="AV478" s="274"/>
      <c r="AW478" s="1"/>
      <c r="AX478" s="273"/>
      <c r="AY478" s="3"/>
      <c r="AZ478" s="3"/>
      <c r="BA478" s="274"/>
      <c r="BB478" s="1"/>
      <c r="BC478" s="273"/>
      <c r="BD478" s="3"/>
      <c r="BE478" s="3"/>
      <c r="BF478" s="274"/>
      <c r="BG478" s="1"/>
      <c r="BH478" s="273"/>
      <c r="BI478" s="3"/>
      <c r="BJ478" s="3"/>
      <c r="BK478" s="274"/>
      <c r="BL478" s="1"/>
      <c r="BM478" s="273"/>
      <c r="BN478" s="3"/>
      <c r="BO478" s="3"/>
      <c r="BP478" s="274"/>
      <c r="BQ478" s="1"/>
      <c r="BR478" s="40"/>
      <c r="BS478" s="40"/>
      <c r="BT478" s="40"/>
      <c r="BU478" s="232"/>
      <c r="BV478" s="40"/>
      <c r="BW478" s="40"/>
      <c r="BX478" s="40"/>
      <c r="BY478" s="40"/>
      <c r="BZ478" s="40"/>
      <c r="CA478" s="40"/>
      <c r="CB478" s="40"/>
      <c r="CC478" s="40"/>
      <c r="CD478" s="40"/>
      <c r="CE478" s="40"/>
      <c r="CF478" s="40"/>
      <c r="CG478" s="40"/>
      <c r="CH478" s="40"/>
      <c r="CI478" s="40"/>
      <c r="CJ478" s="40"/>
      <c r="CK478" s="40"/>
      <c r="CL478" s="40"/>
      <c r="CM478" s="40"/>
      <c r="CN478" s="40"/>
      <c r="CO478" s="40"/>
      <c r="CP478" s="40"/>
      <c r="CQ478" s="40"/>
      <c r="CR478" s="40"/>
      <c r="CS478" s="40"/>
      <c r="CT478" s="823"/>
      <c r="CU478" s="232"/>
      <c r="CV478" s="232"/>
      <c r="CW478" s="232"/>
      <c r="CX478" s="232"/>
      <c r="CY478" s="232"/>
      <c r="CZ478" s="40"/>
      <c r="DA478" s="40"/>
      <c r="DB478" s="40"/>
      <c r="DC478" s="40"/>
      <c r="DD478" s="40"/>
      <c r="DE478" s="40"/>
      <c r="DF478" s="232"/>
      <c r="DG478" s="232"/>
      <c r="DH478" s="232"/>
      <c r="DI478" s="232"/>
      <c r="DJ478" s="232"/>
      <c r="DK478" s="232"/>
      <c r="DL478" s="232"/>
      <c r="DM478" s="232"/>
      <c r="DN478" s="232"/>
    </row>
    <row r="479" spans="1:118">
      <c r="A479" s="40"/>
      <c r="B479" s="32"/>
      <c r="C479" s="28" t="s">
        <v>200</v>
      </c>
      <c r="D479" s="1"/>
      <c r="E479" s="273"/>
      <c r="F479" s="3"/>
      <c r="G479" s="3"/>
      <c r="H479" s="274"/>
      <c r="I479" s="28"/>
      <c r="J479" s="273"/>
      <c r="K479" s="3"/>
      <c r="L479" s="3"/>
      <c r="M479" s="274"/>
      <c r="N479" s="1"/>
      <c r="O479" s="273"/>
      <c r="P479" s="3"/>
      <c r="Q479" s="3"/>
      <c r="R479" s="274"/>
      <c r="S479" s="1"/>
      <c r="T479" s="436"/>
      <c r="U479" s="437"/>
      <c r="V479" s="437"/>
      <c r="W479" s="438"/>
      <c r="X479" s="439"/>
      <c r="Y479" s="436">
        <f>Y$65</f>
        <v>89.765515873015843</v>
      </c>
      <c r="Z479" s="437">
        <f>Z$65</f>
        <v>45.06300781249999</v>
      </c>
      <c r="AA479" s="437">
        <f>AA$65</f>
        <v>54.984013671875005</v>
      </c>
      <c r="AB479" s="438">
        <f>AB$65</f>
        <v>67.341074218749995</v>
      </c>
      <c r="AC479" s="439">
        <f>AVERAGE(Y479:AB479)</f>
        <v>64.288402894035215</v>
      </c>
      <c r="AD479" s="436">
        <f>AD$65</f>
        <v>167.3350595238096</v>
      </c>
      <c r="AE479" s="437">
        <f>AE$65</f>
        <v>41.33302734374999</v>
      </c>
      <c r="AF479" s="437">
        <f>AF$65</f>
        <v>41.33302734374999</v>
      </c>
      <c r="AG479" s="438">
        <f>AG$65</f>
        <v>48.027636718750003</v>
      </c>
      <c r="AH479" s="439">
        <f>AVERAGE(AD479:AG479)</f>
        <v>74.507187732514893</v>
      </c>
      <c r="AI479" s="436">
        <f>AI$65</f>
        <v>87.659980158730164</v>
      </c>
      <c r="AJ479" s="437">
        <f>AJ$65</f>
        <v>28.370332031249998</v>
      </c>
      <c r="AK479" s="437">
        <f>AK$65</f>
        <v>42.395605769230762</v>
      </c>
      <c r="AL479" s="438">
        <f>AL$65</f>
        <v>33.06513671874999</v>
      </c>
      <c r="AM479" s="439">
        <f>AVERAGE(AI479:AL479)</f>
        <v>47.872763669490226</v>
      </c>
      <c r="AN479" s="436">
        <f>AN$65</f>
        <v>30.31946289062499</v>
      </c>
      <c r="AO479" s="437">
        <f>AO$65</f>
        <v>28.207148437500003</v>
      </c>
      <c r="AP479" s="437">
        <f>AP$65</f>
        <v>42.730703124999998</v>
      </c>
      <c r="AQ479" s="438">
        <f>AQ$65</f>
        <v>38.680972222222231</v>
      </c>
      <c r="AR479" s="439">
        <f>AVERAGE(AN479:AQ479)</f>
        <v>34.984571668836807</v>
      </c>
      <c r="AS479" s="436">
        <f>AS$65</f>
        <v>33.978535156249976</v>
      </c>
      <c r="AT479" s="437">
        <f>AT$65</f>
        <v>33.298916015625025</v>
      </c>
      <c r="AU479" s="437">
        <f t="shared" ref="AU479" si="701">AU$65</f>
        <v>31.712827380952373</v>
      </c>
      <c r="AV479" s="438">
        <f>AV$65</f>
        <v>62.437333984375016</v>
      </c>
      <c r="AW479" s="439">
        <f>AVERAGE(AS479:AV479)</f>
        <v>40.356903134300595</v>
      </c>
      <c r="AX479" s="436">
        <f>AX$65</f>
        <v>62.437333984375016</v>
      </c>
      <c r="AY479" s="437">
        <f>AY$65</f>
        <v>32.65</v>
      </c>
      <c r="AZ479" s="437">
        <f>AZ$65</f>
        <v>35.383333333333326</v>
      </c>
      <c r="BA479" s="438">
        <f>BA$65</f>
        <v>42.35</v>
      </c>
      <c r="BB479" s="439">
        <f>AVERAGE(AX479:BA479)</f>
        <v>43.205166829427085</v>
      </c>
      <c r="BC479" s="436">
        <f>BC$65</f>
        <v>73.199444871908241</v>
      </c>
      <c r="BD479" s="437">
        <f>BD$65</f>
        <v>31.598138616301913</v>
      </c>
      <c r="BE479" s="437">
        <f>BE$65</f>
        <v>36.852856695587477</v>
      </c>
      <c r="BF479" s="438">
        <f>BF$65</f>
        <v>38.566226482602353</v>
      </c>
      <c r="BG479" s="439">
        <f>AVERAGE(BC479:BF479)</f>
        <v>45.054166666599997</v>
      </c>
      <c r="BH479" s="436">
        <f>BH$65</f>
        <v>73.199444871908241</v>
      </c>
      <c r="BI479" s="437">
        <f>BI$65</f>
        <v>31.598138616301917</v>
      </c>
      <c r="BJ479" s="437">
        <f>BJ$65</f>
        <v>36.852856695587484</v>
      </c>
      <c r="BK479" s="438">
        <f>BK$65</f>
        <v>38.566226482602353</v>
      </c>
      <c r="BL479" s="439">
        <f>AVERAGE(BH479:BK479)</f>
        <v>45.054166666600004</v>
      </c>
      <c r="BM479" s="436">
        <f>BM$65</f>
        <v>43.942071644216981</v>
      </c>
      <c r="BN479" s="437">
        <f>BN$65</f>
        <v>43.942071644216981</v>
      </c>
      <c r="BO479" s="437">
        <f>BO$65</f>
        <v>43.942071644216981</v>
      </c>
      <c r="BP479" s="438">
        <f>BP$65</f>
        <v>43.942071644216981</v>
      </c>
      <c r="BQ479" s="439">
        <f>AVERAGE(BM479:BP479)</f>
        <v>43.942071644216981</v>
      </c>
      <c r="BR479" s="40"/>
      <c r="BS479" s="40"/>
      <c r="BT479" s="40"/>
      <c r="BU479" s="232"/>
      <c r="BV479" s="40"/>
      <c r="BW479" s="40"/>
      <c r="BX479" s="40"/>
      <c r="BY479" s="40"/>
      <c r="BZ479" s="40"/>
      <c r="CA479" s="40"/>
      <c r="CB479" s="40"/>
      <c r="CC479" s="40"/>
      <c r="CD479" s="40"/>
      <c r="CE479" s="40"/>
      <c r="CF479" s="40"/>
      <c r="CG479" s="40"/>
      <c r="CH479" s="40"/>
      <c r="CI479" s="40"/>
      <c r="CJ479" s="40"/>
      <c r="CK479" s="40"/>
      <c r="CL479" s="40"/>
      <c r="CM479" s="40"/>
      <c r="CN479" s="40"/>
      <c r="CO479" s="40"/>
      <c r="CP479" s="40"/>
      <c r="CQ479" s="40"/>
      <c r="CR479" s="40"/>
      <c r="CS479" s="40"/>
      <c r="CT479" s="823"/>
      <c r="CU479" s="232"/>
      <c r="CV479" s="232"/>
      <c r="CW479" s="232"/>
      <c r="CX479" s="232"/>
      <c r="CY479" s="232"/>
      <c r="CZ479" s="40"/>
      <c r="DA479" s="40"/>
      <c r="DB479" s="40"/>
      <c r="DC479" s="40"/>
      <c r="DD479" s="40"/>
      <c r="DE479" s="40"/>
      <c r="DF479" s="232"/>
      <c r="DG479" s="232"/>
      <c r="DH479" s="232"/>
      <c r="DI479" s="232"/>
      <c r="DJ479" s="232"/>
      <c r="DK479" s="232"/>
      <c r="DL479" s="232"/>
      <c r="DM479" s="232"/>
      <c r="DN479" s="232"/>
    </row>
    <row r="480" spans="1:118">
      <c r="A480" s="40"/>
      <c r="B480" s="32"/>
      <c r="C480" s="28" t="s">
        <v>167</v>
      </c>
      <c r="D480" s="1"/>
      <c r="E480" s="273"/>
      <c r="F480" s="3"/>
      <c r="G480" s="3"/>
      <c r="H480" s="274"/>
      <c r="I480" s="28"/>
      <c r="J480" s="273"/>
      <c r="K480" s="3"/>
      <c r="L480" s="3"/>
      <c r="M480" s="274"/>
      <c r="N480" s="1"/>
      <c r="O480" s="273"/>
      <c r="P480" s="3"/>
      <c r="Q480" s="3"/>
      <c r="R480" s="274"/>
      <c r="S480" s="1"/>
      <c r="T480" s="436"/>
      <c r="U480" s="437"/>
      <c r="V480" s="437"/>
      <c r="W480" s="438"/>
      <c r="X480" s="439"/>
      <c r="Y480" s="436">
        <f>Y$66</f>
        <v>72.617844806763287</v>
      </c>
      <c r="Z480" s="437">
        <f>Z$66</f>
        <v>34.133154761904763</v>
      </c>
      <c r="AA480" s="437">
        <f>AA$66</f>
        <v>30.454148550724629</v>
      </c>
      <c r="AB480" s="438">
        <f>AB$66</f>
        <v>51.12213387681161</v>
      </c>
      <c r="AC480" s="439">
        <f>AVERAGE(Y480:AB480)</f>
        <v>47.081820499051069</v>
      </c>
      <c r="AD480" s="436">
        <f>AD$66</f>
        <v>125.17613546698867</v>
      </c>
      <c r="AE480" s="437">
        <f>AE$66</f>
        <v>26.776259057971</v>
      </c>
      <c r="AF480" s="437">
        <f>AF$66</f>
        <v>26.776259057971</v>
      </c>
      <c r="AG480" s="438">
        <f>AG$66</f>
        <v>31.050057065217374</v>
      </c>
      <c r="AH480" s="439">
        <f>AVERAGE(AD480:AG480)</f>
        <v>52.444677662037009</v>
      </c>
      <c r="AI480" s="436">
        <f>AI$66</f>
        <v>74.709404790660244</v>
      </c>
      <c r="AJ480" s="437">
        <f>AJ$66</f>
        <v>18.747051282051284</v>
      </c>
      <c r="AK480" s="437">
        <f>AK$66</f>
        <v>22.344044384057977</v>
      </c>
      <c r="AL480" s="438">
        <f>AL$66</f>
        <v>20.198206884057964</v>
      </c>
      <c r="AM480" s="439">
        <f>AVERAGE(AI480:AL480)</f>
        <v>33.99967683520687</v>
      </c>
      <c r="AN480" s="436">
        <f>AN$66</f>
        <v>22.403306059882151</v>
      </c>
      <c r="AO480" s="437">
        <f>AO$66</f>
        <v>18.611707875457874</v>
      </c>
      <c r="AP480" s="437">
        <f>AP$66</f>
        <v>21.732721920289862</v>
      </c>
      <c r="AQ480" s="438">
        <f>AQ$66</f>
        <v>28.745413949275392</v>
      </c>
      <c r="AR480" s="439">
        <f>AVERAGE(AN480:AQ480)</f>
        <v>22.873287451226318</v>
      </c>
      <c r="AS480" s="436">
        <f>AS$66</f>
        <v>30.265937600644126</v>
      </c>
      <c r="AT480" s="437">
        <f>AT$66</f>
        <v>22.968333333333337</v>
      </c>
      <c r="AU480" s="437">
        <f t="shared" ref="AU480" si="702">AU$66</f>
        <v>19.421938405797103</v>
      </c>
      <c r="AV480" s="438">
        <f>AV$66</f>
        <v>55.496529991948492</v>
      </c>
      <c r="AW480" s="439">
        <f>AVERAGE(AS480:AV480)</f>
        <v>32.038184832930767</v>
      </c>
      <c r="AX480" s="436">
        <f>AX$66</f>
        <v>55.496529991948492</v>
      </c>
      <c r="AY480" s="437">
        <f>AY$66</f>
        <v>24.166666666666671</v>
      </c>
      <c r="AZ480" s="437">
        <f>AZ$66</f>
        <v>23.300000000000004</v>
      </c>
      <c r="BA480" s="438">
        <f>BA$66</f>
        <v>33.700000000000003</v>
      </c>
      <c r="BB480" s="439">
        <f>AVERAGE(AX480:BA480)</f>
        <v>34.165799164653791</v>
      </c>
      <c r="BC480" s="436">
        <f>BC$66</f>
        <v>56.863680246618706</v>
      </c>
      <c r="BD480" s="437">
        <f>BD$66</f>
        <v>22.402357917897522</v>
      </c>
      <c r="BE480" s="437">
        <f>BE$66</f>
        <v>23.701528116853666</v>
      </c>
      <c r="BF480" s="438">
        <f>BF$66</f>
        <v>32.932400385030085</v>
      </c>
      <c r="BG480" s="439">
        <f>AVERAGE(BC480:BF480)</f>
        <v>33.974991666599998</v>
      </c>
      <c r="BH480" s="436">
        <f>BH$66</f>
        <v>56.696324969164479</v>
      </c>
      <c r="BI480" s="437">
        <f>BI$66</f>
        <v>22.336425624934453</v>
      </c>
      <c r="BJ480" s="437">
        <f>BJ$66</f>
        <v>23.631772241101654</v>
      </c>
      <c r="BK480" s="438">
        <f>BK$66</f>
        <v>32.8354771647994</v>
      </c>
      <c r="BL480" s="439">
        <f>AVERAGE(BH480:BK480)</f>
        <v>33.875</v>
      </c>
      <c r="BM480" s="436">
        <f>BM$66</f>
        <v>33.160251611814239</v>
      </c>
      <c r="BN480" s="437">
        <f>BN$66</f>
        <v>33.160251611814239</v>
      </c>
      <c r="BO480" s="437">
        <f>BO$66</f>
        <v>33.160251611814239</v>
      </c>
      <c r="BP480" s="438">
        <f>BP$66</f>
        <v>33.160251611814239</v>
      </c>
      <c r="BQ480" s="439">
        <f>AVERAGE(BM480:BP480)</f>
        <v>33.160251611814239</v>
      </c>
      <c r="BR480" s="40"/>
      <c r="BS480" s="40"/>
      <c r="BT480" s="40"/>
      <c r="BU480" s="232"/>
      <c r="BV480" s="40"/>
      <c r="BW480" s="40"/>
      <c r="BX480" s="40"/>
      <c r="BY480" s="40"/>
      <c r="BZ480" s="40"/>
      <c r="CA480" s="40"/>
      <c r="CB480" s="40"/>
      <c r="CC480" s="40"/>
      <c r="CD480" s="40"/>
      <c r="CE480" s="40"/>
      <c r="CF480" s="40"/>
      <c r="CG480" s="40"/>
      <c r="CH480" s="40"/>
      <c r="CI480" s="40"/>
      <c r="CJ480" s="40"/>
      <c r="CK480" s="40"/>
      <c r="CL480" s="40"/>
      <c r="CM480" s="40"/>
      <c r="CN480" s="40"/>
      <c r="CO480" s="40"/>
      <c r="CP480" s="40"/>
      <c r="CQ480" s="40"/>
      <c r="CR480" s="40"/>
      <c r="CS480" s="40"/>
      <c r="CT480" s="823"/>
      <c r="CU480" s="232"/>
      <c r="CV480" s="232"/>
      <c r="CW480" s="232"/>
      <c r="CX480" s="232"/>
      <c r="CY480" s="232"/>
      <c r="CZ480" s="40"/>
      <c r="DA480" s="40"/>
      <c r="DB480" s="40"/>
      <c r="DC480" s="40"/>
      <c r="DD480" s="40"/>
      <c r="DE480" s="40"/>
      <c r="DF480" s="232"/>
      <c r="DG480" s="232"/>
      <c r="DH480" s="232"/>
      <c r="DI480" s="232"/>
      <c r="DJ480" s="232"/>
      <c r="DK480" s="232"/>
      <c r="DL480" s="232"/>
      <c r="DM480" s="232"/>
      <c r="DN480" s="232"/>
    </row>
    <row r="481" spans="1:118">
      <c r="A481" s="40"/>
      <c r="B481" s="32"/>
      <c r="C481" s="28" t="s">
        <v>195</v>
      </c>
      <c r="D481" s="1"/>
      <c r="E481" s="273"/>
      <c r="F481" s="3"/>
      <c r="G481" s="3"/>
      <c r="H481" s="274"/>
      <c r="I481" s="543">
        <v>7500</v>
      </c>
      <c r="J481" s="273"/>
      <c r="K481" s="3"/>
      <c r="L481" s="3"/>
      <c r="M481" s="274"/>
      <c r="N481" s="1"/>
      <c r="O481" s="273"/>
      <c r="P481" s="3"/>
      <c r="Q481" s="3"/>
      <c r="R481" s="274"/>
      <c r="S481" s="1"/>
      <c r="T481" s="436"/>
      <c r="U481" s="437"/>
      <c r="V481" s="437"/>
      <c r="W481" s="438"/>
      <c r="X481" s="439"/>
      <c r="Y481" s="436">
        <f>$I481/1000*(Y$51+Y$60)</f>
        <v>58.670375</v>
      </c>
      <c r="Z481" s="437">
        <f>$I481/1000*(Z$51+Z$60)</f>
        <v>32.490703124999996</v>
      </c>
      <c r="AA481" s="437">
        <f>$I481/1000*(AA$51+AA$60)</f>
        <v>28.252968749999994</v>
      </c>
      <c r="AB481" s="438">
        <f>$I481/1000*(AB$51+AB$60)</f>
        <v>32.376328124999986</v>
      </c>
      <c r="AC481" s="439">
        <f>AVERAGE(Y481:AB481)</f>
        <v>37.947593749999996</v>
      </c>
      <c r="AD481" s="436">
        <f>$I481/1000*(AD$51+AD$60)</f>
        <v>127.81659836065573</v>
      </c>
      <c r="AE481" s="437">
        <f>$I481/1000*(AE$51+AE$60)</f>
        <v>19.468828124999991</v>
      </c>
      <c r="AF481" s="437">
        <f>$I481/1000*(AF$51+AF$60)</f>
        <v>19.468828124999991</v>
      </c>
      <c r="AG481" s="438">
        <f>$I481/1000*(AG$51+AG$60)</f>
        <v>23.971757812500009</v>
      </c>
      <c r="AH481" s="439">
        <f>AVERAGE(AD481:AG481)</f>
        <v>47.681503105788934</v>
      </c>
      <c r="AI481" s="436">
        <f>$I481/1000*(AI$51+AI$60)*1.25</f>
        <v>83.55166330645163</v>
      </c>
      <c r="AJ481" s="437">
        <f>$I481/1000*(AJ$51+AJ$60)*1.25</f>
        <v>23.31607142857143</v>
      </c>
      <c r="AK481" s="437">
        <f>$I481/1000*(AK$51+AK$60)*1.25</f>
        <v>21.293115234375005</v>
      </c>
      <c r="AL481" s="438">
        <f>$I481/1000*(AL$51+AL$60)*1.25</f>
        <v>17.902380952380952</v>
      </c>
      <c r="AM481" s="439">
        <f>AVERAGE(AI481:AL481)</f>
        <v>36.515807730444756</v>
      </c>
      <c r="AN481" s="436">
        <f>$I481/1000*(AN$51+AN$60)*1.25+8*0.4</f>
        <v>26.486577868852461</v>
      </c>
      <c r="AO481" s="2089">
        <f>$I481/1000*(AO$51+AO$60)*1.25+8*0.4+10</f>
        <v>29.109814453125001</v>
      </c>
      <c r="AP481" s="2089">
        <f>$I481/1000*(AP$51+AP$60)*1.25+8*0.4+10</f>
        <v>31.173486328125001</v>
      </c>
      <c r="AQ481" s="2101">
        <f>$I481/1000*(AQ$51+AQ$60)*1.25+8*0.4</f>
        <v>28.322580645161292</v>
      </c>
      <c r="AR481" s="439">
        <f>AVERAGE(AN481:AQ481)</f>
        <v>28.773114823815941</v>
      </c>
      <c r="AS481" s="436">
        <f>$I481/1000*(AS$51+AS$60)+5*0.4</f>
        <v>26.827903225806459</v>
      </c>
      <c r="AT481" s="2145">
        <f t="shared" ref="AT481:AV481" si="703">$I481/1000*(AT$51+AT$60)+5*0.4</f>
        <v>22.157890625000007</v>
      </c>
      <c r="AU481" s="2145">
        <f t="shared" si="703"/>
        <v>20.082738095238103</v>
      </c>
      <c r="AV481" s="2146">
        <f t="shared" si="703"/>
        <v>60.573155737704923</v>
      </c>
      <c r="AW481" s="439">
        <f>AVERAGE(AS481:AV481)</f>
        <v>32.410421920937374</v>
      </c>
      <c r="AX481" s="436">
        <f>$I481/1000*(AX$51+AX$60)+8*0.4</f>
        <v>61.773155737704926</v>
      </c>
      <c r="AY481" s="437">
        <f>$I481/1000*(AY$51+AY$60)+8*0.4</f>
        <v>21.86</v>
      </c>
      <c r="AZ481" s="437">
        <f>$I481/1000*(AZ$51+AZ$60)+8*0.4</f>
        <v>21.987500000000001</v>
      </c>
      <c r="BA481" s="438">
        <f>$I481/1000*(BA$51+BA$60)+8*0.4</f>
        <v>26.887499999999999</v>
      </c>
      <c r="BB481" s="439">
        <f>AVERAGE(AX481:BA481)</f>
        <v>33.127038934426231</v>
      </c>
      <c r="BC481" s="436">
        <f>$I481/1000*(BC$51+BC$60)+8*0.4</f>
        <v>37.253217739080085</v>
      </c>
      <c r="BD481" s="437">
        <f>$I481/1000*(BD$51+BD$60)+8*0.4</f>
        <v>17.055555904203391</v>
      </c>
      <c r="BE481" s="437">
        <f>$I481/1000*(BE$51+BE$60)+8*0.4</f>
        <v>16.343523138425716</v>
      </c>
      <c r="BF481" s="438">
        <f>$I481/1000*(BF$51+BF$60)+8*0.4</f>
        <v>37.384203215290817</v>
      </c>
      <c r="BG481" s="439">
        <f>AVERAGE(BC481:BF481)</f>
        <v>27.009124999250005</v>
      </c>
      <c r="BH481" s="436">
        <f>$I481/1000*(BH$51+BH$60)+8*0.4</f>
        <v>37.814102786092583</v>
      </c>
      <c r="BI481" s="437">
        <f>$I481/1000*(BI$51+BI$60)+8*0.4</f>
        <v>17.283768526700882</v>
      </c>
      <c r="BJ481" s="437">
        <f>$I481/1000*(BJ$51+BJ$60)+8*0.4</f>
        <v>16.56000798428936</v>
      </c>
      <c r="BK481" s="438">
        <f>$I481/1000*(BK$51+BK$60)+8*0.4</f>
        <v>37.947245702917172</v>
      </c>
      <c r="BL481" s="439">
        <f>AVERAGE(BH481:BK481)</f>
        <v>27.40128125</v>
      </c>
      <c r="BM481" s="436">
        <f>$I481/1000*(BM$51+BM$60)+8*0.4</f>
        <v>27.524624999750007</v>
      </c>
      <c r="BN481" s="437">
        <f>$I481/1000*(BN$51+BN$60)+8*0.4</f>
        <v>27.524624999750007</v>
      </c>
      <c r="BO481" s="437">
        <f>$I481/1000*(BO$51+BO$60)+8*0.4</f>
        <v>27.524624999750007</v>
      </c>
      <c r="BP481" s="438">
        <f>$I481/1000*(BP$51+BP$60)+8*0.4</f>
        <v>27.524624999750007</v>
      </c>
      <c r="BQ481" s="439">
        <f>AVERAGE(BM481:BP481)</f>
        <v>27.524624999750007</v>
      </c>
      <c r="BR481" s="40"/>
      <c r="BS481" s="40"/>
      <c r="BT481" s="40"/>
      <c r="BU481" s="232"/>
      <c r="BV481" s="40"/>
      <c r="BW481" s="40"/>
      <c r="BX481" s="40"/>
      <c r="BY481" s="40"/>
      <c r="BZ481" s="40"/>
      <c r="CA481" s="40"/>
      <c r="CB481" s="40"/>
      <c r="CC481" s="40"/>
      <c r="CD481" s="40"/>
      <c r="CE481" s="40"/>
      <c r="CF481" s="40"/>
      <c r="CG481" s="40"/>
      <c r="CH481" s="40"/>
      <c r="CI481" s="40"/>
      <c r="CJ481" s="40"/>
      <c r="CK481" s="40"/>
      <c r="CL481" s="40"/>
      <c r="CM481" s="40"/>
      <c r="CN481" s="40"/>
      <c r="CO481" s="40"/>
      <c r="CP481" s="40"/>
      <c r="CQ481" s="40"/>
      <c r="CR481" s="40"/>
      <c r="CS481" s="40"/>
      <c r="CT481" s="823"/>
      <c r="CU481" s="232"/>
      <c r="CV481" s="232"/>
      <c r="CW481" s="232"/>
      <c r="CX481" s="232"/>
      <c r="CY481" s="232"/>
      <c r="CZ481" s="40"/>
      <c r="DA481" s="40"/>
      <c r="DB481" s="40"/>
      <c r="DC481" s="40"/>
      <c r="DD481" s="40"/>
      <c r="DE481" s="40"/>
      <c r="DF481" s="232"/>
      <c r="DG481" s="232"/>
      <c r="DH481" s="232"/>
      <c r="DI481" s="232"/>
      <c r="DJ481" s="232"/>
      <c r="DK481" s="232"/>
      <c r="DL481" s="232"/>
      <c r="DM481" s="232"/>
      <c r="DN481" s="232"/>
    </row>
    <row r="482" spans="1:118">
      <c r="A482" s="40"/>
      <c r="B482" s="32"/>
      <c r="C482" s="28"/>
      <c r="D482" s="1"/>
      <c r="E482" s="273"/>
      <c r="F482" s="3"/>
      <c r="G482" s="3"/>
      <c r="H482" s="274"/>
      <c r="I482" s="426"/>
      <c r="J482" s="273"/>
      <c r="K482" s="3"/>
      <c r="L482" s="3"/>
      <c r="M482" s="274"/>
      <c r="N482" s="1"/>
      <c r="O482" s="273"/>
      <c r="P482" s="3"/>
      <c r="Q482" s="3"/>
      <c r="R482" s="274"/>
      <c r="S482" s="1"/>
      <c r="T482" s="436"/>
      <c r="U482" s="437"/>
      <c r="V482" s="437"/>
      <c r="W482" s="438"/>
      <c r="X482" s="439"/>
      <c r="Y482" s="436"/>
      <c r="Z482" s="437"/>
      <c r="AA482" s="437"/>
      <c r="AB482" s="438"/>
      <c r="AC482" s="439"/>
      <c r="AD482" s="436"/>
      <c r="AE482" s="437"/>
      <c r="AF482" s="437"/>
      <c r="AG482" s="438"/>
      <c r="AH482" s="439"/>
      <c r="AI482" s="436"/>
      <c r="AJ482" s="437"/>
      <c r="AK482" s="437"/>
      <c r="AL482" s="438"/>
      <c r="AM482" s="439"/>
      <c r="AN482" s="436"/>
      <c r="AO482" s="437"/>
      <c r="AP482" s="437"/>
      <c r="AQ482" s="438"/>
      <c r="AR482" s="439"/>
      <c r="AS482" s="436"/>
      <c r="AT482" s="437"/>
      <c r="AU482" s="437"/>
      <c r="AV482" s="438"/>
      <c r="AW482" s="439"/>
      <c r="AX482" s="436"/>
      <c r="AY482" s="437"/>
      <c r="AZ482" s="437"/>
      <c r="BA482" s="438"/>
      <c r="BB482" s="439"/>
      <c r="BC482" s="436"/>
      <c r="BD482" s="437"/>
      <c r="BE482" s="437"/>
      <c r="BF482" s="438"/>
      <c r="BG482" s="439"/>
      <c r="BH482" s="436"/>
      <c r="BI482" s="437"/>
      <c r="BJ482" s="437"/>
      <c r="BK482" s="438"/>
      <c r="BL482" s="439"/>
      <c r="BM482" s="436"/>
      <c r="BN482" s="437"/>
      <c r="BO482" s="437"/>
      <c r="BP482" s="438"/>
      <c r="BQ482" s="439"/>
      <c r="BR482" s="40"/>
      <c r="BS482" s="40"/>
      <c r="BT482" s="40"/>
      <c r="BU482" s="232"/>
      <c r="BV482" s="40"/>
      <c r="BW482" s="40"/>
      <c r="BX482" s="40"/>
      <c r="BY482" s="40"/>
      <c r="BZ482" s="40"/>
      <c r="CA482" s="40"/>
      <c r="CB482" s="40"/>
      <c r="CC482" s="40"/>
      <c r="CD482" s="40"/>
      <c r="CE482" s="40"/>
      <c r="CF482" s="40"/>
      <c r="CG482" s="40"/>
      <c r="CH482" s="40"/>
      <c r="CI482" s="40"/>
      <c r="CJ482" s="40"/>
      <c r="CK482" s="40"/>
      <c r="CL482" s="40"/>
      <c r="CM482" s="40"/>
      <c r="CN482" s="40"/>
      <c r="CO482" s="40"/>
      <c r="CP482" s="40"/>
      <c r="CQ482" s="40"/>
      <c r="CR482" s="40"/>
      <c r="CS482" s="40"/>
      <c r="CT482" s="823"/>
      <c r="CU482" s="232"/>
      <c r="CV482" s="232"/>
      <c r="CW482" s="232"/>
      <c r="CX482" s="232"/>
      <c r="CY482" s="232"/>
      <c r="CZ482" s="40"/>
      <c r="DA482" s="40"/>
      <c r="DB482" s="40"/>
      <c r="DC482" s="40"/>
      <c r="DD482" s="40"/>
      <c r="DE482" s="40"/>
      <c r="DF482" s="232"/>
      <c r="DG482" s="232"/>
      <c r="DH482" s="232"/>
      <c r="DI482" s="232"/>
      <c r="DJ482" s="232"/>
      <c r="DK482" s="232"/>
      <c r="DL482" s="232"/>
      <c r="DM482" s="232"/>
      <c r="DN482" s="232"/>
    </row>
    <row r="483" spans="1:118" ht="12" customHeight="1">
      <c r="A483" s="40"/>
      <c r="B483" s="32"/>
      <c r="C483" s="32" t="s">
        <v>196</v>
      </c>
      <c r="D483" s="32"/>
      <c r="E483" s="292"/>
      <c r="F483" s="261"/>
      <c r="G483" s="261"/>
      <c r="H483" s="293"/>
      <c r="I483" s="884">
        <v>2655</v>
      </c>
      <c r="J483" s="292"/>
      <c r="K483" s="261"/>
      <c r="L483" s="261"/>
      <c r="M483" s="293"/>
      <c r="N483" s="228"/>
      <c r="O483" s="292"/>
      <c r="P483" s="261"/>
      <c r="Q483" s="261"/>
      <c r="R483" s="293"/>
      <c r="S483" s="228"/>
      <c r="T483" s="292"/>
      <c r="U483" s="261"/>
      <c r="V483" s="261"/>
      <c r="W483" s="293"/>
      <c r="X483" s="228"/>
      <c r="Y483" s="292">
        <f>+Z483</f>
        <v>2655</v>
      </c>
      <c r="Z483" s="261">
        <f>+AA483</f>
        <v>2655</v>
      </c>
      <c r="AA483" s="261">
        <f>+AB483</f>
        <v>2655</v>
      </c>
      <c r="AB483" s="293">
        <f>+AC483</f>
        <v>2655</v>
      </c>
      <c r="AC483" s="669">
        <f>+I483</f>
        <v>2655</v>
      </c>
      <c r="AD483" s="292">
        <f>AC483</f>
        <v>2655</v>
      </c>
      <c r="AE483" s="261">
        <f>+AD483</f>
        <v>2655</v>
      </c>
      <c r="AF483" s="261">
        <f>AE483</f>
        <v>2655</v>
      </c>
      <c r="AG483" s="293">
        <f>AF483</f>
        <v>2655</v>
      </c>
      <c r="AH483" s="228">
        <f>AG483</f>
        <v>2655</v>
      </c>
      <c r="AI483" s="1921">
        <f>AH483-800</f>
        <v>1855</v>
      </c>
      <c r="AJ483" s="261">
        <f t="shared" ref="AJ483:AP483" si="704">AI483</f>
        <v>1855</v>
      </c>
      <c r="AK483" s="261">
        <f t="shared" si="704"/>
        <v>1855</v>
      </c>
      <c r="AL483" s="293">
        <f t="shared" si="704"/>
        <v>1855</v>
      </c>
      <c r="AM483" s="228">
        <f t="shared" si="704"/>
        <v>1855</v>
      </c>
      <c r="AN483" s="292">
        <f t="shared" si="704"/>
        <v>1855</v>
      </c>
      <c r="AO483" s="261">
        <f t="shared" si="704"/>
        <v>1855</v>
      </c>
      <c r="AP483" s="261">
        <f t="shared" si="704"/>
        <v>1855</v>
      </c>
      <c r="AQ483" s="293">
        <f>AP483</f>
        <v>1855</v>
      </c>
      <c r="AR483" s="228">
        <f>AQ483</f>
        <v>1855</v>
      </c>
      <c r="AS483" s="292">
        <f t="shared" ref="AS483:BA483" si="705">AR483</f>
        <v>1855</v>
      </c>
      <c r="AT483" s="261">
        <f t="shared" si="705"/>
        <v>1855</v>
      </c>
      <c r="AU483" s="261">
        <f t="shared" ref="AU483" si="706">AT483</f>
        <v>1855</v>
      </c>
      <c r="AV483" s="293">
        <f t="shared" si="705"/>
        <v>1855</v>
      </c>
      <c r="AW483" s="228">
        <f>AV483</f>
        <v>1855</v>
      </c>
      <c r="AX483" s="292">
        <f t="shared" si="705"/>
        <v>1855</v>
      </c>
      <c r="AY483" s="261">
        <f t="shared" si="705"/>
        <v>1855</v>
      </c>
      <c r="AZ483" s="261">
        <f t="shared" si="705"/>
        <v>1855</v>
      </c>
      <c r="BA483" s="293">
        <f t="shared" si="705"/>
        <v>1855</v>
      </c>
      <c r="BB483" s="228">
        <f>BA483</f>
        <v>1855</v>
      </c>
      <c r="BC483" s="292">
        <f t="shared" ref="BC483:BF483" si="707">BB483</f>
        <v>1855</v>
      </c>
      <c r="BD483" s="261">
        <f t="shared" si="707"/>
        <v>1855</v>
      </c>
      <c r="BE483" s="261">
        <f t="shared" si="707"/>
        <v>1855</v>
      </c>
      <c r="BF483" s="293">
        <f t="shared" si="707"/>
        <v>1855</v>
      </c>
      <c r="BG483" s="228">
        <f>BF483</f>
        <v>1855</v>
      </c>
      <c r="BH483" s="292">
        <f>BG483</f>
        <v>1855</v>
      </c>
      <c r="BI483" s="261">
        <f t="shared" ref="BI483:BK483" si="708">BH483</f>
        <v>1855</v>
      </c>
      <c r="BJ483" s="261">
        <f t="shared" si="708"/>
        <v>1855</v>
      </c>
      <c r="BK483" s="293">
        <f t="shared" si="708"/>
        <v>1855</v>
      </c>
      <c r="BL483" s="228">
        <f>BK483</f>
        <v>1855</v>
      </c>
      <c r="BM483" s="292">
        <f t="shared" ref="BM483" si="709">BL483</f>
        <v>1855</v>
      </c>
      <c r="BN483" s="261">
        <f t="shared" ref="BN483" si="710">BM483</f>
        <v>1855</v>
      </c>
      <c r="BO483" s="261">
        <f t="shared" ref="BO483" si="711">BN483</f>
        <v>1855</v>
      </c>
      <c r="BP483" s="293">
        <f t="shared" ref="BP483" si="712">BO483</f>
        <v>1855</v>
      </c>
      <c r="BQ483" s="228">
        <f>BP483</f>
        <v>1855</v>
      </c>
      <c r="BR483" s="40"/>
      <c r="BS483" s="40"/>
      <c r="BT483" s="40"/>
      <c r="BU483" s="232"/>
      <c r="BV483" s="40"/>
      <c r="BW483" s="40"/>
      <c r="BX483" s="40"/>
      <c r="BY483" s="40"/>
      <c r="BZ483" s="40"/>
      <c r="CA483" s="40"/>
      <c r="CB483" s="40"/>
      <c r="CC483" s="40"/>
      <c r="CD483" s="40"/>
      <c r="CE483" s="40"/>
      <c r="CF483" s="40"/>
      <c r="CG483" s="2172" t="s">
        <v>1321</v>
      </c>
      <c r="CH483" s="40"/>
      <c r="CI483" s="40"/>
      <c r="CJ483" s="40"/>
      <c r="CK483" s="40"/>
      <c r="CL483" s="40"/>
      <c r="CM483" s="40"/>
      <c r="CN483" s="40"/>
      <c r="CO483" s="40"/>
      <c r="CP483" s="40"/>
      <c r="CQ483" s="40"/>
      <c r="CR483" s="40"/>
      <c r="CS483" s="40"/>
      <c r="CT483" s="823"/>
      <c r="CU483" s="232"/>
      <c r="CV483" s="232"/>
      <c r="CW483" s="232"/>
      <c r="CX483" s="232"/>
      <c r="CY483" s="232"/>
      <c r="CZ483" s="40"/>
      <c r="DA483" s="40"/>
      <c r="DB483" s="40"/>
      <c r="DC483" s="40"/>
      <c r="DD483" s="40"/>
      <c r="DE483" s="40"/>
      <c r="DF483" s="232"/>
      <c r="DG483" s="232"/>
      <c r="DH483" s="232"/>
      <c r="DI483" s="232"/>
      <c r="DJ483" s="232"/>
      <c r="DK483" s="232"/>
      <c r="DL483" s="232"/>
      <c r="DM483" s="232"/>
      <c r="DN483" s="232"/>
    </row>
    <row r="484" spans="1:118">
      <c r="A484" s="40"/>
      <c r="B484" s="32"/>
      <c r="C484" s="1"/>
      <c r="D484" s="1"/>
      <c r="E484" s="273"/>
      <c r="F484" s="3"/>
      <c r="G484" s="3"/>
      <c r="H484" s="274"/>
      <c r="I484" s="28"/>
      <c r="J484" s="273"/>
      <c r="K484" s="3"/>
      <c r="L484" s="3"/>
      <c r="M484" s="274"/>
      <c r="N484" s="1"/>
      <c r="O484" s="273"/>
      <c r="P484" s="3"/>
      <c r="Q484" s="3"/>
      <c r="R484" s="274"/>
      <c r="S484" s="1"/>
      <c r="T484" s="273"/>
      <c r="U484" s="3"/>
      <c r="V484" s="3"/>
      <c r="W484" s="274"/>
      <c r="X484" s="1"/>
      <c r="Y484" s="273"/>
      <c r="Z484" s="3"/>
      <c r="AA484" s="3"/>
      <c r="AB484" s="274"/>
      <c r="AC484" s="1"/>
      <c r="AD484" s="273"/>
      <c r="AE484" s="3"/>
      <c r="AF484" s="3"/>
      <c r="AG484" s="274"/>
      <c r="AH484" s="1"/>
      <c r="AI484" s="273"/>
      <c r="AJ484" s="3"/>
      <c r="AK484" s="3"/>
      <c r="AL484" s="274"/>
      <c r="AM484" s="1"/>
      <c r="AN484" s="273"/>
      <c r="AO484" s="3"/>
      <c r="AP484" s="3"/>
      <c r="AQ484" s="274"/>
      <c r="AR484" s="1"/>
      <c r="AS484" s="273"/>
      <c r="AT484" s="3"/>
      <c r="AU484" s="3"/>
      <c r="AV484" s="274"/>
      <c r="AW484" s="1"/>
      <c r="AX484" s="273"/>
      <c r="AY484" s="3"/>
      <c r="AZ484" s="3"/>
      <c r="BA484" s="274"/>
      <c r="BB484" s="1"/>
      <c r="BC484" s="273"/>
      <c r="BD484" s="3"/>
      <c r="BE484" s="3"/>
      <c r="BF484" s="274"/>
      <c r="BG484" s="1"/>
      <c r="BH484" s="273"/>
      <c r="BI484" s="3"/>
      <c r="BJ484" s="3"/>
      <c r="BK484" s="274"/>
      <c r="BL484" s="1"/>
      <c r="BM484" s="273"/>
      <c r="BN484" s="3"/>
      <c r="BO484" s="3"/>
      <c r="BP484" s="274"/>
      <c r="BQ484" s="1"/>
      <c r="BR484" s="40"/>
      <c r="BS484" s="40"/>
      <c r="BT484" s="40"/>
      <c r="BU484" s="232"/>
      <c r="BV484" s="40"/>
      <c r="BW484" s="40"/>
      <c r="BX484" s="40"/>
      <c r="BY484" s="40"/>
      <c r="BZ484" s="40"/>
      <c r="CA484" s="40"/>
      <c r="CB484" s="40"/>
      <c r="CC484" s="40"/>
      <c r="CD484" s="40"/>
      <c r="CE484" s="40"/>
      <c r="CF484" s="40"/>
      <c r="CG484" s="2181">
        <f>CF486*BV486/1000</f>
        <v>1132</v>
      </c>
      <c r="CH484" s="40"/>
      <c r="CI484" s="40"/>
      <c r="CJ484" s="40"/>
      <c r="CK484" s="40"/>
      <c r="CL484" s="40"/>
      <c r="CM484" s="40"/>
      <c r="CN484" s="40"/>
      <c r="CO484" s="40"/>
      <c r="CP484" s="40"/>
      <c r="CQ484" s="40"/>
      <c r="CR484" s="40"/>
      <c r="CS484" s="40"/>
      <c r="CT484" s="823"/>
      <c r="CU484" s="232"/>
      <c r="CV484" s="232"/>
      <c r="CW484" s="232"/>
      <c r="CX484" s="232"/>
      <c r="CY484" s="232"/>
      <c r="CZ484" s="40"/>
      <c r="DA484" s="40"/>
      <c r="DB484" s="40"/>
      <c r="DC484" s="40"/>
      <c r="DD484" s="40"/>
      <c r="DE484" s="40"/>
      <c r="DF484" s="232"/>
      <c r="DG484" s="232"/>
      <c r="DH484" s="232"/>
      <c r="DI484" s="232"/>
      <c r="DJ484" s="232"/>
      <c r="DK484" s="232"/>
      <c r="DL484" s="232"/>
      <c r="DM484" s="232"/>
      <c r="DN484" s="232"/>
    </row>
    <row r="485" spans="1:118" ht="51">
      <c r="A485" s="40"/>
      <c r="B485" s="32"/>
      <c r="C485" s="28" t="s">
        <v>170</v>
      </c>
      <c r="D485" s="1"/>
      <c r="E485" s="273"/>
      <c r="F485" s="3"/>
      <c r="G485" s="3"/>
      <c r="H485" s="274"/>
      <c r="I485" s="544">
        <v>0.4</v>
      </c>
      <c r="J485" s="273"/>
      <c r="K485" s="3"/>
      <c r="L485" s="3"/>
      <c r="M485" s="274"/>
      <c r="N485" s="1"/>
      <c r="O485" s="273"/>
      <c r="P485" s="3"/>
      <c r="Q485" s="3"/>
      <c r="R485" s="274"/>
      <c r="S485" s="1"/>
      <c r="T485" s="277"/>
      <c r="U485" s="253"/>
      <c r="V485" s="253"/>
      <c r="W485" s="278"/>
      <c r="X485" s="224"/>
      <c r="Y485" s="277">
        <f>+I485</f>
        <v>0.4</v>
      </c>
      <c r="Z485" s="253">
        <f>+Y485</f>
        <v>0.4</v>
      </c>
      <c r="AA485" s="253">
        <f>+Z485</f>
        <v>0.4</v>
      </c>
      <c r="AB485" s="278">
        <f>+AA485</f>
        <v>0.4</v>
      </c>
      <c r="AC485" s="224">
        <f>AVERAGE(Y485:AB485)</f>
        <v>0.4</v>
      </c>
      <c r="AD485" s="277">
        <f>+Y485</f>
        <v>0.4</v>
      </c>
      <c r="AE485" s="253">
        <f>+AD485</f>
        <v>0.4</v>
      </c>
      <c r="AF485" s="253">
        <f>+AA485</f>
        <v>0.4</v>
      </c>
      <c r="AG485" s="278">
        <f>+AB485</f>
        <v>0.4</v>
      </c>
      <c r="AH485" s="224">
        <f>AVERAGE(AD485:AG485)</f>
        <v>0.4</v>
      </c>
      <c r="AI485" s="277">
        <f>+AD485</f>
        <v>0.4</v>
      </c>
      <c r="AJ485" s="253">
        <f>+AE485</f>
        <v>0.4</v>
      </c>
      <c r="AK485" s="253">
        <f>+AF485</f>
        <v>0.4</v>
      </c>
      <c r="AL485" s="278">
        <f>+AG485</f>
        <v>0.4</v>
      </c>
      <c r="AM485" s="224">
        <f>AVERAGE(AI485:AL485)</f>
        <v>0.4</v>
      </c>
      <c r="AN485" s="277">
        <f>+AI485</f>
        <v>0.4</v>
      </c>
      <c r="AO485" s="253">
        <f>+AJ485</f>
        <v>0.4</v>
      </c>
      <c r="AP485" s="253">
        <f>+AK485</f>
        <v>0.4</v>
      </c>
      <c r="AQ485" s="278">
        <f>+AL485</f>
        <v>0.4</v>
      </c>
      <c r="AR485" s="224">
        <f>AVERAGE(AN485:AQ485)</f>
        <v>0.4</v>
      </c>
      <c r="AS485" s="277">
        <f>+AN485</f>
        <v>0.4</v>
      </c>
      <c r="AT485" s="253">
        <f>+AO485</f>
        <v>0.4</v>
      </c>
      <c r="AU485" s="253">
        <f t="shared" ref="AU485" si="713">+AP485</f>
        <v>0.4</v>
      </c>
      <c r="AV485" s="278">
        <f>+AQ485</f>
        <v>0.4</v>
      </c>
      <c r="AW485" s="224">
        <f>AVERAGE(AS485:AV485)</f>
        <v>0.4</v>
      </c>
      <c r="AX485" s="277">
        <f>+AS485</f>
        <v>0.4</v>
      </c>
      <c r="AY485" s="253">
        <f>+AT485</f>
        <v>0.4</v>
      </c>
      <c r="AZ485" s="253">
        <f>+AU485</f>
        <v>0.4</v>
      </c>
      <c r="BA485" s="278">
        <f>+AV485</f>
        <v>0.4</v>
      </c>
      <c r="BB485" s="224">
        <f>AVERAGE(AX485:BA485)</f>
        <v>0.4</v>
      </c>
      <c r="BC485" s="277">
        <f>+AX485</f>
        <v>0.4</v>
      </c>
      <c r="BD485" s="253">
        <f>+AY485</f>
        <v>0.4</v>
      </c>
      <c r="BE485" s="253">
        <f>+AZ485</f>
        <v>0.4</v>
      </c>
      <c r="BF485" s="278">
        <f>+BA485</f>
        <v>0.4</v>
      </c>
      <c r="BG485" s="224">
        <f>AVERAGE(BC485:BF485)</f>
        <v>0.4</v>
      </c>
      <c r="BH485" s="277">
        <f>+BC485</f>
        <v>0.4</v>
      </c>
      <c r="BI485" s="253">
        <f>+BD485</f>
        <v>0.4</v>
      </c>
      <c r="BJ485" s="253">
        <f>+BE485</f>
        <v>0.4</v>
      </c>
      <c r="BK485" s="278">
        <f>+BF485</f>
        <v>0.4</v>
      </c>
      <c r="BL485" s="224">
        <f>AVERAGE(BH485:BK485)</f>
        <v>0.4</v>
      </c>
      <c r="BM485" s="277">
        <f>+BH485</f>
        <v>0.4</v>
      </c>
      <c r="BN485" s="253">
        <f>+BI485</f>
        <v>0.4</v>
      </c>
      <c r="BO485" s="253">
        <f>+BJ485</f>
        <v>0.4</v>
      </c>
      <c r="BP485" s="278">
        <f>+BK485</f>
        <v>0.4</v>
      </c>
      <c r="BQ485" s="224">
        <f>AVERAGE(BM485:BP485)</f>
        <v>0.4</v>
      </c>
      <c r="BR485" s="40"/>
      <c r="BS485" s="40"/>
      <c r="BT485" s="40"/>
      <c r="BU485" s="1127"/>
      <c r="BV485" s="2170" t="s">
        <v>1463</v>
      </c>
      <c r="BW485" s="2170" t="s">
        <v>1464</v>
      </c>
      <c r="BX485" s="2170" t="s">
        <v>1465</v>
      </c>
      <c r="BY485" s="2170" t="s">
        <v>1466</v>
      </c>
      <c r="BZ485" s="2170" t="s">
        <v>1467</v>
      </c>
      <c r="CA485" s="2170" t="s">
        <v>1468</v>
      </c>
      <c r="CB485" s="2170"/>
      <c r="CC485" s="2170" t="s">
        <v>1469</v>
      </c>
      <c r="CD485" s="2170" t="s">
        <v>1470</v>
      </c>
      <c r="CE485" s="2171" t="s">
        <v>1471</v>
      </c>
      <c r="CF485" s="2172" t="s">
        <v>1472</v>
      </c>
      <c r="CG485" s="2181">
        <f>CF487*BV487/1000</f>
        <v>115</v>
      </c>
      <c r="CH485" s="40"/>
      <c r="CI485" s="40"/>
      <c r="CJ485" s="40"/>
      <c r="CK485" s="40"/>
      <c r="CL485" s="40"/>
      <c r="CM485" s="40"/>
      <c r="CN485" s="40"/>
      <c r="CO485" s="40"/>
      <c r="CP485" s="40"/>
      <c r="CQ485" s="40"/>
      <c r="CR485" s="40"/>
      <c r="CS485" s="40"/>
      <c r="CT485" s="823"/>
      <c r="CU485" s="232"/>
      <c r="CV485" s="232"/>
      <c r="CW485" s="232"/>
      <c r="CX485" s="232"/>
      <c r="CY485" s="232"/>
      <c r="CZ485" s="40"/>
      <c r="DA485" s="40"/>
      <c r="DB485" s="40"/>
      <c r="DC485" s="40"/>
      <c r="DD485" s="40"/>
      <c r="DE485" s="40"/>
      <c r="DF485" s="232"/>
      <c r="DG485" s="232"/>
      <c r="DH485" s="232"/>
      <c r="DI485" s="232"/>
      <c r="DJ485" s="232"/>
      <c r="DK485" s="232"/>
      <c r="DL485" s="232"/>
      <c r="DM485" s="232"/>
      <c r="DN485" s="232"/>
    </row>
    <row r="486" spans="1:118">
      <c r="A486" s="40"/>
      <c r="B486" s="32"/>
      <c r="C486" s="28" t="s">
        <v>168</v>
      </c>
      <c r="D486" s="1"/>
      <c r="E486" s="273"/>
      <c r="F486" s="3"/>
      <c r="G486" s="3"/>
      <c r="H486" s="274"/>
      <c r="I486" s="28"/>
      <c r="J486" s="273"/>
      <c r="K486" s="3"/>
      <c r="L486" s="3"/>
      <c r="M486" s="274"/>
      <c r="N486" s="1"/>
      <c r="O486" s="273"/>
      <c r="P486" s="3"/>
      <c r="Q486" s="3"/>
      <c r="R486" s="274"/>
      <c r="S486" s="1"/>
      <c r="T486" s="332"/>
      <c r="U486" s="333"/>
      <c r="V486" s="333"/>
      <c r="W486" s="334"/>
      <c r="X486" s="331"/>
      <c r="Y486" s="332">
        <f>(Y483*Y485*(8760/1000))/4</f>
        <v>2325.7799999999997</v>
      </c>
      <c r="Z486" s="333">
        <f>(Z483*Z485*(8760/1000))/4</f>
        <v>2325.7799999999997</v>
      </c>
      <c r="AA486" s="333">
        <f>(AA483*AA485*(8760/1000))/4</f>
        <v>2325.7799999999997</v>
      </c>
      <c r="AB486" s="334">
        <f>(AB483*AB485*(8760/1000))/4</f>
        <v>2325.7799999999997</v>
      </c>
      <c r="AC486" s="331">
        <f>SUM(Y486:AB486)</f>
        <v>9303.119999999999</v>
      </c>
      <c r="AD486" s="332">
        <f>(AD483*AD485*(8760/1000))/4</f>
        <v>2325.7799999999997</v>
      </c>
      <c r="AE486" s="333">
        <f>(AE483*AE485*(8760/1000))/4</f>
        <v>2325.7799999999997</v>
      </c>
      <c r="AF486" s="333">
        <f>(AF483*AF485*(8760/1000))/4</f>
        <v>2325.7799999999997</v>
      </c>
      <c r="AG486" s="334">
        <f>(AG483*AG485*(8760/1000))/4</f>
        <v>2325.7799999999997</v>
      </c>
      <c r="AH486" s="331">
        <f>SUM(AD486:AG486)</f>
        <v>9303.119999999999</v>
      </c>
      <c r="AI486" s="332">
        <f>(AI483*AI485*(8760/1000))/4</f>
        <v>1624.98</v>
      </c>
      <c r="AJ486" s="333">
        <f>(AJ483*AJ485*(8760/1000))/4</f>
        <v>1624.98</v>
      </c>
      <c r="AK486" s="333">
        <f>(AK483*AK485*(8760/1000))/4</f>
        <v>1624.98</v>
      </c>
      <c r="AL486" s="334">
        <f>(AL483*AL485*(8760/1000))/4</f>
        <v>1624.98</v>
      </c>
      <c r="AM486" s="331">
        <f>SUM(AI486:AL486)</f>
        <v>6499.92</v>
      </c>
      <c r="AN486" s="332">
        <f>(AN483*AN485*(8760/1000))/4</f>
        <v>1624.98</v>
      </c>
      <c r="AO486" s="333">
        <f>(AO483*AO485*(8760/1000))/4</f>
        <v>1624.98</v>
      </c>
      <c r="AP486" s="333">
        <f>(AP483*AP485*(8760/1000))/4</f>
        <v>1624.98</v>
      </c>
      <c r="AQ486" s="334">
        <f>(AQ483*AQ485*(8760/1000))/4</f>
        <v>1624.98</v>
      </c>
      <c r="AR486" s="331">
        <f>SUM(AN486:AQ486)</f>
        <v>6499.92</v>
      </c>
      <c r="AS486" s="332">
        <f>(AS483*AS485*(8760/1000))/4</f>
        <v>1624.98</v>
      </c>
      <c r="AT486" s="333">
        <f>(AT483*AT485*(8760/1000))/4</f>
        <v>1624.98</v>
      </c>
      <c r="AU486" s="333">
        <f t="shared" ref="AU486" si="714">(AU483*AU485*(8760/1000))/4</f>
        <v>1624.98</v>
      </c>
      <c r="AV486" s="334">
        <f>(AV483*AV485*(8760/1000))/4</f>
        <v>1624.98</v>
      </c>
      <c r="AW486" s="331">
        <f>SUM(AS486:AV486)</f>
        <v>6499.92</v>
      </c>
      <c r="AX486" s="332">
        <f>(AX483*AX485*(8760/1000))/4</f>
        <v>1624.98</v>
      </c>
      <c r="AY486" s="333">
        <f>(AY483*AY485*(8760/1000))/4</f>
        <v>1624.98</v>
      </c>
      <c r="AZ486" s="333">
        <f>(AZ483*AZ485*(8760/1000))/4</f>
        <v>1624.98</v>
      </c>
      <c r="BA486" s="334">
        <f>(BA483*BA485*(8760/1000))/4</f>
        <v>1624.98</v>
      </c>
      <c r="BB486" s="331">
        <f>SUM(AX486:BA486)</f>
        <v>6499.92</v>
      </c>
      <c r="BC486" s="332">
        <f>(BC483*BC485*(8760/1000))/4</f>
        <v>1624.98</v>
      </c>
      <c r="BD486" s="333">
        <f>(BD483*BD485*(8760/1000))/4</f>
        <v>1624.98</v>
      </c>
      <c r="BE486" s="333">
        <f>(BE483*BE485*(8760/1000))/4</f>
        <v>1624.98</v>
      </c>
      <c r="BF486" s="334">
        <f>(BF483*BF485*(8760/1000))/4</f>
        <v>1624.98</v>
      </c>
      <c r="BG486" s="331">
        <f>SUM(BC486:BF486)</f>
        <v>6499.92</v>
      </c>
      <c r="BH486" s="332">
        <f>(BH483*BH485*(8760/1000))/4</f>
        <v>1624.98</v>
      </c>
      <c r="BI486" s="333">
        <f>(BI483*BI485*(8760/1000))/4</f>
        <v>1624.98</v>
      </c>
      <c r="BJ486" s="333">
        <f>(BJ483*BJ485*(8760/1000))/4</f>
        <v>1624.98</v>
      </c>
      <c r="BK486" s="334">
        <f>(BK483*BK485*(8760/1000))/4</f>
        <v>1624.98</v>
      </c>
      <c r="BL486" s="331">
        <f>SUM(BH486:BK486)</f>
        <v>6499.92</v>
      </c>
      <c r="BM486" s="332">
        <f>(BM483*BM485*(8760/1000))/4</f>
        <v>1624.98</v>
      </c>
      <c r="BN486" s="333">
        <f>(BN483*BN485*(8760/1000))/4</f>
        <v>1624.98</v>
      </c>
      <c r="BO486" s="333">
        <f>(BO483*BO485*(8760/1000))/4</f>
        <v>1624.98</v>
      </c>
      <c r="BP486" s="334">
        <f>(BP483*BP485*(8760/1000))/4</f>
        <v>1624.98</v>
      </c>
      <c r="BQ486" s="331">
        <f>SUM(BM486:BP486)</f>
        <v>6499.92</v>
      </c>
      <c r="BR486" s="40"/>
      <c r="BS486" s="40"/>
      <c r="BT486" s="40"/>
      <c r="BU486" s="2173" t="s">
        <v>1473</v>
      </c>
      <c r="BV486" s="2174">
        <v>1415</v>
      </c>
      <c r="BW486" s="19">
        <v>7500</v>
      </c>
      <c r="BX486" s="2175">
        <v>0.5</v>
      </c>
      <c r="BY486" s="2176">
        <v>8</v>
      </c>
      <c r="BZ486" s="2177">
        <v>7.03</v>
      </c>
      <c r="CA486" s="2178">
        <f>BY486*BX486*BV486*8760/1000000</f>
        <v>49.581600000000002</v>
      </c>
      <c r="CB486" s="2178"/>
      <c r="CC486" s="2179">
        <f>BZ486*BV486*12/1000</f>
        <v>119.36940000000001</v>
      </c>
      <c r="CD486" s="2179">
        <f>BV486*25/1000</f>
        <v>35.375</v>
      </c>
      <c r="CE486" s="2180">
        <f>CA486+CC486-CD486</f>
        <v>133.57600000000002</v>
      </c>
      <c r="CF486" s="2181">
        <v>800</v>
      </c>
      <c r="CG486" s="2181">
        <f>CF488*BV488/1000</f>
        <v>0.4</v>
      </c>
      <c r="CH486" s="40"/>
      <c r="CI486" s="40"/>
      <c r="CJ486" s="40"/>
      <c r="CK486" s="40"/>
      <c r="CL486" s="40"/>
      <c r="CM486" s="40"/>
      <c r="CN486" s="40"/>
      <c r="CO486" s="40"/>
      <c r="CP486" s="40"/>
      <c r="CQ486" s="40"/>
      <c r="CR486" s="40"/>
      <c r="CS486" s="40"/>
      <c r="CT486" s="823"/>
      <c r="CU486" s="232"/>
      <c r="CV486" s="232"/>
      <c r="CW486" s="232"/>
      <c r="CX486" s="232"/>
      <c r="CY486" s="232"/>
      <c r="CZ486" s="40"/>
      <c r="DA486" s="40"/>
      <c r="DB486" s="40"/>
      <c r="DC486" s="40"/>
      <c r="DD486" s="40"/>
      <c r="DE486" s="40"/>
      <c r="DF486" s="232"/>
      <c r="DG486" s="232"/>
      <c r="DH486" s="232"/>
      <c r="DI486" s="232"/>
      <c r="DJ486" s="232"/>
      <c r="DK486" s="232"/>
      <c r="DL486" s="232"/>
      <c r="DM486" s="232"/>
      <c r="DN486" s="232"/>
    </row>
    <row r="487" spans="1:118">
      <c r="A487" s="40"/>
      <c r="B487" s="32"/>
      <c r="C487" s="28"/>
      <c r="D487" s="1"/>
      <c r="E487" s="273"/>
      <c r="F487" s="3"/>
      <c r="G487" s="3"/>
      <c r="H487" s="274"/>
      <c r="I487" s="28"/>
      <c r="J487" s="273"/>
      <c r="K487" s="3"/>
      <c r="L487" s="3"/>
      <c r="M487" s="274"/>
      <c r="N487" s="1"/>
      <c r="O487" s="273"/>
      <c r="P487" s="3"/>
      <c r="Q487" s="3"/>
      <c r="R487" s="274"/>
      <c r="S487" s="1"/>
      <c r="T487" s="273"/>
      <c r="U487" s="3"/>
      <c r="V487" s="3"/>
      <c r="W487" s="274"/>
      <c r="X487" s="1"/>
      <c r="Y487" s="273"/>
      <c r="Z487" s="3"/>
      <c r="AA487" s="3"/>
      <c r="AB487" s="274"/>
      <c r="AC487" s="1"/>
      <c r="AD487" s="273"/>
      <c r="AE487" s="3"/>
      <c r="AF487" s="3"/>
      <c r="AG487" s="274"/>
      <c r="AH487" s="1"/>
      <c r="AI487" s="273"/>
      <c r="AJ487" s="3"/>
      <c r="AK487" s="3"/>
      <c r="AL487" s="274"/>
      <c r="AM487" s="1"/>
      <c r="AN487" s="273"/>
      <c r="AO487" s="3"/>
      <c r="AP487" s="3"/>
      <c r="AQ487" s="274"/>
      <c r="AR487" s="1"/>
      <c r="AS487" s="273"/>
      <c r="AT487" s="3"/>
      <c r="AU487" s="3"/>
      <c r="AV487" s="274"/>
      <c r="AW487" s="1"/>
      <c r="AX487" s="273"/>
      <c r="AY487" s="3"/>
      <c r="AZ487" s="3"/>
      <c r="BA487" s="274"/>
      <c r="BB487" s="1"/>
      <c r="BC487" s="273"/>
      <c r="BD487" s="3"/>
      <c r="BE487" s="3"/>
      <c r="BF487" s="274"/>
      <c r="BG487" s="1"/>
      <c r="BH487" s="273"/>
      <c r="BI487" s="3"/>
      <c r="BJ487" s="3"/>
      <c r="BK487" s="274"/>
      <c r="BL487" s="1"/>
      <c r="BM487" s="273"/>
      <c r="BN487" s="3"/>
      <c r="BO487" s="3"/>
      <c r="BP487" s="274"/>
      <c r="BQ487" s="1"/>
      <c r="BR487" s="40"/>
      <c r="BS487" s="40"/>
      <c r="BT487" s="40"/>
      <c r="BU487" s="2173" t="s">
        <v>1474</v>
      </c>
      <c r="BV487" s="2174">
        <v>575</v>
      </c>
      <c r="BW487" s="19">
        <v>11750</v>
      </c>
      <c r="BX487" s="2182" t="s">
        <v>286</v>
      </c>
      <c r="BY487" s="2182" t="s">
        <v>286</v>
      </c>
      <c r="BZ487" s="2177">
        <v>7.03</v>
      </c>
      <c r="CA487" s="2183">
        <v>0</v>
      </c>
      <c r="CB487" s="2183"/>
      <c r="CC487" s="2179">
        <f>BZ487*BV487*12/1000</f>
        <v>48.506999999999998</v>
      </c>
      <c r="CD487" s="2179">
        <f>BV487*25/1000</f>
        <v>14.375</v>
      </c>
      <c r="CE487" s="2180">
        <f>CA487+CC487-CD487</f>
        <v>34.131999999999998</v>
      </c>
      <c r="CF487" s="2181">
        <v>200</v>
      </c>
      <c r="CG487" s="481"/>
      <c r="CH487" s="40"/>
      <c r="CI487" s="40"/>
      <c r="CJ487" s="40"/>
      <c r="CK487" s="40"/>
      <c r="CL487" s="40"/>
      <c r="CM487" s="40"/>
      <c r="CN487" s="40"/>
      <c r="CO487" s="40"/>
      <c r="CP487" s="40"/>
      <c r="CQ487" s="40"/>
      <c r="CR487" s="40"/>
      <c r="CS487" s="40"/>
      <c r="CT487" s="823"/>
      <c r="CU487" s="232"/>
      <c r="CV487" s="232"/>
      <c r="CW487" s="232"/>
      <c r="CX487" s="232"/>
      <c r="CY487" s="232"/>
      <c r="CZ487" s="40"/>
      <c r="DA487" s="40"/>
      <c r="DB487" s="40"/>
      <c r="DC487" s="40"/>
      <c r="DD487" s="40"/>
      <c r="DE487" s="40"/>
      <c r="DF487" s="232"/>
      <c r="DG487" s="232"/>
      <c r="DH487" s="232"/>
      <c r="DI487" s="232"/>
      <c r="DJ487" s="232"/>
      <c r="DK487" s="232"/>
      <c r="DL487" s="232"/>
      <c r="DM487" s="232"/>
      <c r="DN487" s="232"/>
    </row>
    <row r="488" spans="1:118">
      <c r="A488" s="40"/>
      <c r="B488" s="32"/>
      <c r="C488" s="28" t="s">
        <v>171</v>
      </c>
      <c r="D488" s="1"/>
      <c r="E488" s="273"/>
      <c r="F488" s="3"/>
      <c r="G488" s="3"/>
      <c r="H488" s="274"/>
      <c r="I488" s="544">
        <v>0.2</v>
      </c>
      <c r="J488" s="273"/>
      <c r="K488" s="3"/>
      <c r="L488" s="3"/>
      <c r="M488" s="274"/>
      <c r="N488" s="1"/>
      <c r="O488" s="273"/>
      <c r="P488" s="3"/>
      <c r="Q488" s="3"/>
      <c r="R488" s="274"/>
      <c r="S488" s="1"/>
      <c r="T488" s="277"/>
      <c r="U488" s="253"/>
      <c r="V488" s="253"/>
      <c r="W488" s="278"/>
      <c r="X488" s="224"/>
      <c r="Y488" s="277">
        <f>IF(Y480&gt;Y481,$I488,0%)</f>
        <v>0.2</v>
      </c>
      <c r="Z488" s="253">
        <f>IF(Z480&gt;Z481,$I488,0%)</f>
        <v>0.2</v>
      </c>
      <c r="AA488" s="253">
        <f>IF(AA480&gt;AA481,$I488,0%)</f>
        <v>0.2</v>
      </c>
      <c r="AB488" s="278">
        <f>IF(AB480&gt;AB481,$I488,0%)</f>
        <v>0.2</v>
      </c>
      <c r="AC488" s="224">
        <f>AVERAGE(Y488:AB488)</f>
        <v>0.2</v>
      </c>
      <c r="AD488" s="277">
        <f>IF(AD480&gt;AD481,$I488,0%)</f>
        <v>0</v>
      </c>
      <c r="AE488" s="253">
        <f>IF(AE480&gt;AE481,$I488,0%)</f>
        <v>0.2</v>
      </c>
      <c r="AF488" s="253">
        <f>IF(AF480&gt;AF481,$I488,0%)</f>
        <v>0.2</v>
      </c>
      <c r="AG488" s="278">
        <f>IF(AG480&gt;AG481,$I488,0%)</f>
        <v>0.2</v>
      </c>
      <c r="AH488" s="224">
        <f>AVERAGE(AD488:AG488)</f>
        <v>0.15000000000000002</v>
      </c>
      <c r="AI488" s="277">
        <f>IF(AI480&gt;AI481,$I488,0%)</f>
        <v>0</v>
      </c>
      <c r="AJ488" s="253">
        <f>IF(AJ480&gt;AJ481,$I488,0%)</f>
        <v>0</v>
      </c>
      <c r="AK488" s="253">
        <f>IF(AK480&gt;AK481,$I488,0%)</f>
        <v>0.2</v>
      </c>
      <c r="AL488" s="278">
        <f>IF(AL480&gt;AL481,$I488,0%)</f>
        <v>0.2</v>
      </c>
      <c r="AM488" s="224">
        <f>AVERAGE(AI488:AL488)</f>
        <v>0.1</v>
      </c>
      <c r="AN488" s="277">
        <f>IF(AN480&gt;AN481,$I488,0%)</f>
        <v>0</v>
      </c>
      <c r="AO488" s="253">
        <f>IF(AO480&gt;AO481,$I488,0%)</f>
        <v>0</v>
      </c>
      <c r="AP488" s="253">
        <f>IF(AP480&gt;AP481,$I488,0%)</f>
        <v>0</v>
      </c>
      <c r="AQ488" s="278">
        <f>IF(AQ480&gt;AQ481,$I488,0%)</f>
        <v>0.2</v>
      </c>
      <c r="AR488" s="224">
        <f>AVERAGE(AN488:AQ488)</f>
        <v>0.05</v>
      </c>
      <c r="AS488" s="277">
        <f>IF(AS480&gt;AS481,$I488,0%)</f>
        <v>0.2</v>
      </c>
      <c r="AT488" s="253">
        <f>IF(AT480&gt;AT481,$I488,0%)</f>
        <v>0.2</v>
      </c>
      <c r="AU488" s="253">
        <f t="shared" ref="AU488" si="715">IF(AU480&gt;AU481,$I488,0%)</f>
        <v>0</v>
      </c>
      <c r="AV488" s="278">
        <f>IF(AV480&gt;AV481,$I488,0%)</f>
        <v>0</v>
      </c>
      <c r="AW488" s="224">
        <f>AVERAGE(AS488:AV488)</f>
        <v>0.1</v>
      </c>
      <c r="AX488" s="277">
        <f>IF(AX480&gt;AX481,$I488,0%)</f>
        <v>0</v>
      </c>
      <c r="AY488" s="253">
        <f>IF(AY480&gt;AY481,$I488,0%)</f>
        <v>0.2</v>
      </c>
      <c r="AZ488" s="253">
        <f>IF(AZ480&gt;AZ481,$I488,0%)</f>
        <v>0.2</v>
      </c>
      <c r="BA488" s="278">
        <f>IF(BA480&gt;BA481,$I488,0%)</f>
        <v>0.2</v>
      </c>
      <c r="BB488" s="224">
        <f>AVERAGE(AX488:BA488)</f>
        <v>0.15000000000000002</v>
      </c>
      <c r="BC488" s="277">
        <f>IF(BC480&gt;BC481,$I488,0%)</f>
        <v>0.2</v>
      </c>
      <c r="BD488" s="253">
        <f>IF(BD480&gt;BD481,$I488,0%)</f>
        <v>0.2</v>
      </c>
      <c r="BE488" s="253">
        <f>IF(BE480&gt;BE481,$I488,0%)</f>
        <v>0.2</v>
      </c>
      <c r="BF488" s="278">
        <f>IF(BF480&gt;BF481,$I488,0%)</f>
        <v>0</v>
      </c>
      <c r="BG488" s="224">
        <f>AVERAGE(BC488:BF488)</f>
        <v>0.15000000000000002</v>
      </c>
      <c r="BH488" s="277">
        <f>IF(BH480&gt;BH481,$I488,0%)</f>
        <v>0.2</v>
      </c>
      <c r="BI488" s="253">
        <f>IF(BI480&gt;BI481,$I488,0%)</f>
        <v>0.2</v>
      </c>
      <c r="BJ488" s="253">
        <f>IF(BJ480&gt;BJ481,$I488,0%)</f>
        <v>0.2</v>
      </c>
      <c r="BK488" s="278">
        <f>IF(BK480&gt;BK481,$I488,0%)</f>
        <v>0</v>
      </c>
      <c r="BL488" s="224">
        <f>AVERAGE(BH488:BK488)</f>
        <v>0.15000000000000002</v>
      </c>
      <c r="BM488" s="277">
        <f>IF(BM480&gt;BM481,$I488,0%)</f>
        <v>0.2</v>
      </c>
      <c r="BN488" s="253">
        <f>IF(BN480&gt;BN481,$I488,0%)</f>
        <v>0.2</v>
      </c>
      <c r="BO488" s="253">
        <f>IF(BO480&gt;BO481,$I488,0%)</f>
        <v>0.2</v>
      </c>
      <c r="BP488" s="278">
        <f>IF(BP480&gt;BP481,$I488,0%)</f>
        <v>0.2</v>
      </c>
      <c r="BQ488" s="224">
        <f>AVERAGE(BM488:BP488)</f>
        <v>0.2</v>
      </c>
      <c r="BR488" s="40"/>
      <c r="BS488" s="40"/>
      <c r="BT488" s="40"/>
      <c r="BU488" s="2173" t="s">
        <v>1475</v>
      </c>
      <c r="BV488" s="2174">
        <v>8</v>
      </c>
      <c r="BW488" s="19">
        <v>19500</v>
      </c>
      <c r="BX488" s="2182" t="s">
        <v>286</v>
      </c>
      <c r="BY488" s="2182" t="s">
        <v>286</v>
      </c>
      <c r="BZ488" s="2177">
        <v>7.03</v>
      </c>
      <c r="CA488" s="2183">
        <v>0</v>
      </c>
      <c r="CB488" s="2183"/>
      <c r="CC488" s="2179">
        <f>BZ488*BV488*12/1000</f>
        <v>0.67488000000000004</v>
      </c>
      <c r="CD488" s="2179">
        <f>BV488*10/1000</f>
        <v>0.08</v>
      </c>
      <c r="CE488" s="2180">
        <f>CA488+CC488-CD488</f>
        <v>0.59488000000000008</v>
      </c>
      <c r="CF488" s="2181">
        <v>50</v>
      </c>
      <c r="CG488" s="40"/>
      <c r="CH488" s="40"/>
      <c r="CI488" s="40"/>
      <c r="CJ488" s="40"/>
      <c r="CK488" s="40"/>
      <c r="CL488" s="40"/>
      <c r="CM488" s="40"/>
      <c r="CN488" s="40"/>
      <c r="CO488" s="40"/>
      <c r="CP488" s="40"/>
      <c r="CQ488" s="40"/>
      <c r="CR488" s="40"/>
      <c r="CS488" s="40"/>
      <c r="CT488" s="823"/>
      <c r="CU488" s="232"/>
      <c r="CV488" s="232"/>
      <c r="CW488" s="232"/>
      <c r="CX488" s="232"/>
      <c r="CY488" s="232"/>
      <c r="CZ488" s="40"/>
      <c r="DA488" s="40"/>
      <c r="DB488" s="40"/>
      <c r="DC488" s="40"/>
      <c r="DD488" s="40"/>
      <c r="DE488" s="40"/>
      <c r="DF488" s="232"/>
      <c r="DG488" s="232"/>
      <c r="DH488" s="232"/>
      <c r="DI488" s="232"/>
      <c r="DJ488" s="232"/>
      <c r="DK488" s="232"/>
      <c r="DL488" s="232"/>
      <c r="DM488" s="232"/>
      <c r="DN488" s="232"/>
    </row>
    <row r="489" spans="1:118">
      <c r="A489" s="40"/>
      <c r="B489" s="32"/>
      <c r="C489" s="28" t="s">
        <v>169</v>
      </c>
      <c r="D489" s="1"/>
      <c r="E489" s="273"/>
      <c r="F489" s="3"/>
      <c r="G489" s="3"/>
      <c r="H489" s="274"/>
      <c r="I489" s="546"/>
      <c r="J489" s="273"/>
      <c r="K489" s="3"/>
      <c r="L489" s="3"/>
      <c r="M489" s="274"/>
      <c r="N489" s="1"/>
      <c r="O489" s="273"/>
      <c r="P489" s="3"/>
      <c r="Q489" s="3"/>
      <c r="R489" s="274"/>
      <c r="S489" s="1"/>
      <c r="T489" s="332"/>
      <c r="U489" s="333"/>
      <c r="V489" s="333"/>
      <c r="W489" s="334"/>
      <c r="X489" s="331"/>
      <c r="Y489" s="332">
        <f>(Y483*Y488*(8760/1000))/4</f>
        <v>1162.8899999999999</v>
      </c>
      <c r="Z489" s="333">
        <f>(Z483*Z488*(8760/1000))/4</f>
        <v>1162.8899999999999</v>
      </c>
      <c r="AA489" s="333">
        <f>(AA483*AA488*(8760/1000))/4</f>
        <v>1162.8899999999999</v>
      </c>
      <c r="AB489" s="334">
        <f>(AB483*AB488*(8760/1000))/4</f>
        <v>1162.8899999999999</v>
      </c>
      <c r="AC489" s="331">
        <f>SUM(Y489:AB489)</f>
        <v>4651.5599999999995</v>
      </c>
      <c r="AD489" s="332">
        <f>(AD483*AD488*(8760/1000))/4</f>
        <v>0</v>
      </c>
      <c r="AE489" s="333">
        <f>(AE483*AE488*(8760/1000))/4</f>
        <v>1162.8899999999999</v>
      </c>
      <c r="AF489" s="333">
        <f>(AF483*AF488*(8760/1000))/4</f>
        <v>1162.8899999999999</v>
      </c>
      <c r="AG489" s="334">
        <f>(AG483*AG488*(8760/1000))/4</f>
        <v>1162.8899999999999</v>
      </c>
      <c r="AH489" s="331">
        <f>SUM(AD489:AG489)</f>
        <v>3488.6699999999996</v>
      </c>
      <c r="AI489" s="332">
        <f>(AI483*AI488*(8760/1000))/4</f>
        <v>0</v>
      </c>
      <c r="AJ489" s="333">
        <f>(AJ483*AJ488*(8760/1000))/4</f>
        <v>0</v>
      </c>
      <c r="AK489" s="333">
        <f>(AK483*AK488*(8760/1000))/4</f>
        <v>812.49</v>
      </c>
      <c r="AL489" s="334">
        <f>(AL483*AL488*(8760/1000))/4</f>
        <v>812.49</v>
      </c>
      <c r="AM489" s="331">
        <f>SUM(AI489:AL489)</f>
        <v>1624.98</v>
      </c>
      <c r="AN489" s="332">
        <f>(AN483*AN488*(8760/1000))/4</f>
        <v>0</v>
      </c>
      <c r="AO489" s="333">
        <f>(AO483*AO488*(8760/1000))/4</f>
        <v>0</v>
      </c>
      <c r="AP489" s="333">
        <f>(AP483*AP488*(8760/1000))/4</f>
        <v>0</v>
      </c>
      <c r="AQ489" s="334">
        <f>(AQ483*AQ488*(8760/1000))/4</f>
        <v>812.49</v>
      </c>
      <c r="AR489" s="331">
        <f>SUM(AN489:AQ489)</f>
        <v>812.49</v>
      </c>
      <c r="AS489" s="332">
        <f>(AS483*AS488*(8760/1000))/4</f>
        <v>812.49</v>
      </c>
      <c r="AT489" s="333">
        <f>(AT483*AT488*(8760/1000))/4</f>
        <v>812.49</v>
      </c>
      <c r="AU489" s="333">
        <f t="shared" ref="AU489" si="716">(AU483*AU488*(8760/1000))/4</f>
        <v>0</v>
      </c>
      <c r="AV489" s="334">
        <f>(AV483*AV488*(8760/1000))/4</f>
        <v>0</v>
      </c>
      <c r="AW489" s="331">
        <f>SUM(AS489:AV489)</f>
        <v>1624.98</v>
      </c>
      <c r="AX489" s="332">
        <f>(AX483*AX488*(8760/1000))/4</f>
        <v>0</v>
      </c>
      <c r="AY489" s="333">
        <f>(AY483*AY488*(8760/1000))/4</f>
        <v>812.49</v>
      </c>
      <c r="AZ489" s="333">
        <f>(AZ483*AZ488*(8760/1000))/4</f>
        <v>812.49</v>
      </c>
      <c r="BA489" s="334">
        <f>(BA483*BA488*(8760/1000))/4</f>
        <v>812.49</v>
      </c>
      <c r="BB489" s="331">
        <f>SUM(AX489:BA489)</f>
        <v>2437.4700000000003</v>
      </c>
      <c r="BC489" s="332">
        <f>(BC483*BC488*(8760/1000))/4</f>
        <v>812.49</v>
      </c>
      <c r="BD489" s="333">
        <f>(BD483*BD488*(8760/1000))/4</f>
        <v>812.49</v>
      </c>
      <c r="BE489" s="333">
        <f>(BE483*BE488*(8760/1000))/4</f>
        <v>812.49</v>
      </c>
      <c r="BF489" s="334">
        <f>(BF483*BF488*(8760/1000))/4</f>
        <v>0</v>
      </c>
      <c r="BG489" s="331">
        <f>SUM(BC489:BF489)</f>
        <v>2437.4700000000003</v>
      </c>
      <c r="BH489" s="332">
        <f>(BH483*BH488*(8760/1000))/4</f>
        <v>812.49</v>
      </c>
      <c r="BI489" s="333">
        <f>(BI483*BI488*(8760/1000))/4</f>
        <v>812.49</v>
      </c>
      <c r="BJ489" s="333">
        <f>(BJ483*BJ488*(8760/1000))/4</f>
        <v>812.49</v>
      </c>
      <c r="BK489" s="334">
        <f>(BK483*BK488*(8760/1000))/4</f>
        <v>0</v>
      </c>
      <c r="BL489" s="331">
        <f>SUM(BH489:BK489)</f>
        <v>2437.4700000000003</v>
      </c>
      <c r="BM489" s="332">
        <f>(BM483*BM488*(8760/1000))/4</f>
        <v>812.49</v>
      </c>
      <c r="BN489" s="333">
        <f>(BN483*BN488*(8760/1000))/4</f>
        <v>812.49</v>
      </c>
      <c r="BO489" s="333">
        <f>(BO483*BO488*(8760/1000))/4</f>
        <v>812.49</v>
      </c>
      <c r="BP489" s="334">
        <f>(BP483*BP488*(8760/1000))/4</f>
        <v>812.49</v>
      </c>
      <c r="BQ489" s="331">
        <f>SUM(BM489:BP489)</f>
        <v>3249.96</v>
      </c>
      <c r="BR489" s="40"/>
      <c r="BS489" s="40"/>
      <c r="BT489" s="40"/>
      <c r="BU489" s="1128" t="s">
        <v>399</v>
      </c>
      <c r="BV489" s="2184">
        <f>SUM(BV486:BV488)</f>
        <v>1998</v>
      </c>
      <c r="BW489" s="2185"/>
      <c r="BX489" s="2185"/>
      <c r="BY489" s="2185"/>
      <c r="BZ489" s="2185"/>
      <c r="CA489" s="2186">
        <f>SUM(CA486:CA488)</f>
        <v>49.581600000000002</v>
      </c>
      <c r="CB489" s="2186"/>
      <c r="CC489" s="2186">
        <f>SUM(CC486:CC488)</f>
        <v>168.55128000000002</v>
      </c>
      <c r="CD489" s="2186">
        <f>SUM(CD486:CD488)</f>
        <v>49.83</v>
      </c>
      <c r="CE489" s="2187">
        <f>SUM(CE486:CE488)</f>
        <v>168.30288000000002</v>
      </c>
      <c r="CG489" s="40"/>
      <c r="CH489" s="40"/>
      <c r="CI489" s="40"/>
      <c r="CJ489" s="40"/>
      <c r="CK489" s="40"/>
      <c r="CL489" s="40"/>
      <c r="CM489" s="40"/>
      <c r="CN489" s="40"/>
      <c r="CO489" s="40"/>
      <c r="CP489" s="40"/>
      <c r="CQ489" s="40"/>
      <c r="CR489" s="40"/>
      <c r="CS489" s="40"/>
      <c r="CT489" s="823"/>
      <c r="CU489" s="232"/>
      <c r="CV489" s="232"/>
      <c r="CW489" s="232"/>
      <c r="CX489" s="232"/>
      <c r="CY489" s="232"/>
      <c r="CZ489" s="40"/>
      <c r="DA489" s="40"/>
      <c r="DB489" s="40"/>
      <c r="DC489" s="40"/>
      <c r="DD489" s="40"/>
      <c r="DE489" s="40"/>
      <c r="DF489" s="232"/>
      <c r="DG489" s="232"/>
      <c r="DH489" s="232"/>
      <c r="DI489" s="232"/>
      <c r="DJ489" s="232"/>
      <c r="DK489" s="232"/>
      <c r="DL489" s="232"/>
      <c r="DM489" s="232"/>
      <c r="DN489" s="232"/>
    </row>
    <row r="490" spans="1:118">
      <c r="A490" s="40"/>
      <c r="B490" s="32"/>
      <c r="C490" s="28"/>
      <c r="D490" s="1"/>
      <c r="E490" s="273"/>
      <c r="F490" s="3"/>
      <c r="G490" s="3"/>
      <c r="H490" s="274"/>
      <c r="I490" s="28"/>
      <c r="J490" s="273"/>
      <c r="K490" s="3"/>
      <c r="L490" s="3"/>
      <c r="M490" s="274"/>
      <c r="N490" s="1"/>
      <c r="O490" s="273"/>
      <c r="P490" s="3"/>
      <c r="Q490" s="3"/>
      <c r="R490" s="274"/>
      <c r="S490" s="1"/>
      <c r="T490" s="273"/>
      <c r="U490" s="3"/>
      <c r="V490" s="3"/>
      <c r="W490" s="274"/>
      <c r="X490" s="1"/>
      <c r="Y490" s="273"/>
      <c r="Z490" s="3"/>
      <c r="AA490" s="3"/>
      <c r="AB490" s="274"/>
      <c r="AC490" s="1"/>
      <c r="AD490" s="273"/>
      <c r="AE490" s="3"/>
      <c r="AF490" s="3"/>
      <c r="AG490" s="274"/>
      <c r="AH490" s="1"/>
      <c r="AI490" s="273"/>
      <c r="AJ490" s="3"/>
      <c r="AK490" s="3"/>
      <c r="AL490" s="274"/>
      <c r="AM490" s="1"/>
      <c r="AN490" s="273"/>
      <c r="AO490" s="3"/>
      <c r="AP490" s="3"/>
      <c r="AQ490" s="274"/>
      <c r="AR490" s="1"/>
      <c r="AS490" s="273"/>
      <c r="AT490" s="3"/>
      <c r="AU490" s="3"/>
      <c r="AV490" s="274"/>
      <c r="AW490" s="1"/>
      <c r="AX490" s="273"/>
      <c r="AY490" s="3"/>
      <c r="AZ490" s="3"/>
      <c r="BA490" s="274"/>
      <c r="BB490" s="1"/>
      <c r="BC490" s="273"/>
      <c r="BD490" s="3"/>
      <c r="BE490" s="3"/>
      <c r="BF490" s="274"/>
      <c r="BG490" s="1"/>
      <c r="BH490" s="273"/>
      <c r="BI490" s="3"/>
      <c r="BJ490" s="3"/>
      <c r="BK490" s="274"/>
      <c r="BL490" s="1"/>
      <c r="BM490" s="273"/>
      <c r="BN490" s="3"/>
      <c r="BO490" s="3"/>
      <c r="BP490" s="274"/>
      <c r="BQ490" s="1"/>
      <c r="BR490" s="40"/>
      <c r="BS490" s="40"/>
      <c r="BT490" s="40"/>
      <c r="BU490" s="232"/>
      <c r="BV490" s="40"/>
      <c r="BW490" s="40"/>
      <c r="BX490" s="40"/>
      <c r="BY490" s="40"/>
      <c r="BZ490" s="40"/>
      <c r="CA490" s="40"/>
      <c r="CB490" s="40"/>
      <c r="CC490" s="40"/>
      <c r="CD490" s="40"/>
      <c r="CE490" s="40"/>
      <c r="CF490" s="40"/>
      <c r="CG490" s="40"/>
      <c r="CH490" s="40"/>
      <c r="CI490" s="40"/>
      <c r="CJ490" s="40"/>
      <c r="CK490" s="40"/>
      <c r="CL490" s="40"/>
      <c r="CM490" s="40"/>
      <c r="CN490" s="40"/>
      <c r="CO490" s="40"/>
      <c r="CP490" s="40"/>
      <c r="CQ490" s="40"/>
      <c r="CR490" s="40"/>
      <c r="CS490" s="40"/>
      <c r="CT490" s="823"/>
      <c r="CU490" s="232"/>
      <c r="CV490" s="232"/>
      <c r="CW490" s="232"/>
      <c r="CX490" s="232"/>
      <c r="CY490" s="232"/>
      <c r="CZ490" s="40"/>
      <c r="DA490" s="40"/>
      <c r="DB490" s="40"/>
      <c r="DC490" s="40"/>
      <c r="DD490" s="40"/>
      <c r="DE490" s="40"/>
      <c r="DF490" s="232"/>
      <c r="DG490" s="232"/>
      <c r="DH490" s="232"/>
      <c r="DI490" s="232"/>
      <c r="DJ490" s="232"/>
      <c r="DK490" s="232"/>
      <c r="DL490" s="232"/>
      <c r="DM490" s="232"/>
      <c r="DN490" s="232"/>
    </row>
    <row r="491" spans="1:118">
      <c r="A491" s="40"/>
      <c r="B491" s="32"/>
      <c r="C491" s="28" t="s">
        <v>172</v>
      </c>
      <c r="D491" s="1"/>
      <c r="E491" s="273"/>
      <c r="F491" s="3"/>
      <c r="G491" s="3"/>
      <c r="H491" s="274"/>
      <c r="I491" s="28"/>
      <c r="J491" s="273"/>
      <c r="K491" s="3"/>
      <c r="L491" s="3"/>
      <c r="M491" s="274"/>
      <c r="N491" s="1"/>
      <c r="O491" s="273"/>
      <c r="P491" s="3"/>
      <c r="Q491" s="3"/>
      <c r="R491" s="274"/>
      <c r="S491" s="1"/>
      <c r="T491" s="277"/>
      <c r="U491" s="253"/>
      <c r="V491" s="253"/>
      <c r="W491" s="278"/>
      <c r="X491" s="224"/>
      <c r="Y491" s="277">
        <f>(Y489+Y486)/(8.76*Y483/4)</f>
        <v>0.6</v>
      </c>
      <c r="Z491" s="253">
        <f>(Z489+Z486)/(8.76*Z483/4)</f>
        <v>0.6</v>
      </c>
      <c r="AA491" s="253">
        <f>(AA489+AA486)/(8.76*AA483/4)</f>
        <v>0.6</v>
      </c>
      <c r="AB491" s="278">
        <f>(AB489+AB486)/(8.76*AB483/4)</f>
        <v>0.6</v>
      </c>
      <c r="AC491" s="224">
        <f>AVERAGE(Y491:AB491)</f>
        <v>0.6</v>
      </c>
      <c r="AD491" s="277">
        <f>(AD489+AD486)/(8.76*AD483/4)</f>
        <v>0.39999999999999997</v>
      </c>
      <c r="AE491" s="253">
        <f>(AE489+AE486)/(8.76*AE483/4)</f>
        <v>0.6</v>
      </c>
      <c r="AF491" s="253">
        <f>(AF489+AF486)/(8.76*AF483/4)</f>
        <v>0.6</v>
      </c>
      <c r="AG491" s="278">
        <f>(AG489+AG486)/(8.76*AG483/4)</f>
        <v>0.6</v>
      </c>
      <c r="AH491" s="224">
        <f>AVERAGE(AD491:AG491)</f>
        <v>0.55000000000000004</v>
      </c>
      <c r="AI491" s="277">
        <f>(AI489+AI486)/(8.76*AI483/4)</f>
        <v>0.4</v>
      </c>
      <c r="AJ491" s="253">
        <f>(AJ489+AJ486)/(8.76*AJ483/4)</f>
        <v>0.4</v>
      </c>
      <c r="AK491" s="253">
        <f>(AK489+AK486)/(8.76*AK483/4)</f>
        <v>0.60000000000000009</v>
      </c>
      <c r="AL491" s="278">
        <f>(AL489+AL486)/(8.76*AL483/4)</f>
        <v>0.60000000000000009</v>
      </c>
      <c r="AM491" s="224">
        <f>AVERAGE(AI491:AL491)</f>
        <v>0.5</v>
      </c>
      <c r="AN491" s="277">
        <f>(AN489+AN486)/(8.76*AN483/4)</f>
        <v>0.4</v>
      </c>
      <c r="AO491" s="253">
        <f>(AO489+AO486)/(8.76*AO483/4)</f>
        <v>0.4</v>
      </c>
      <c r="AP491" s="253">
        <f>(AP489+AP486)/(8.76*AP483/4)</f>
        <v>0.4</v>
      </c>
      <c r="AQ491" s="278">
        <f>(AQ489+AQ486)/(8.76*AQ483/4)</f>
        <v>0.60000000000000009</v>
      </c>
      <c r="AR491" s="224">
        <f>AVERAGE(AN491:AQ491)</f>
        <v>0.45000000000000007</v>
      </c>
      <c r="AS491" s="277">
        <f>(AS489+AS486)/(8.76*AS483/4)</f>
        <v>0.60000000000000009</v>
      </c>
      <c r="AT491" s="253">
        <f>(AT489+AT486)/(8.76*AT483/4)</f>
        <v>0.60000000000000009</v>
      </c>
      <c r="AU491" s="253">
        <f t="shared" ref="AU491" si="717">(AU489+AU486)/(8.76*AU483/4)</f>
        <v>0.4</v>
      </c>
      <c r="AV491" s="278">
        <f>(AV489+AV486)/(8.76*AV483/4)</f>
        <v>0.4</v>
      </c>
      <c r="AW491" s="224">
        <f>AVERAGE(AS491:AV491)</f>
        <v>0.5</v>
      </c>
      <c r="AX491" s="277">
        <f>(AX489+AX486)/(8.76*AX483/4)</f>
        <v>0.4</v>
      </c>
      <c r="AY491" s="253">
        <f>(AY489+AY486)/(8.76*AY483/4)</f>
        <v>0.60000000000000009</v>
      </c>
      <c r="AZ491" s="253">
        <f>(AZ489+AZ486)/(8.76*AZ483/4)</f>
        <v>0.60000000000000009</v>
      </c>
      <c r="BA491" s="278">
        <f>(BA489+BA486)/(8.76*BA483/4)</f>
        <v>0.60000000000000009</v>
      </c>
      <c r="BB491" s="224">
        <f>AVERAGE(AX491:BA491)</f>
        <v>0.55000000000000004</v>
      </c>
      <c r="BC491" s="277">
        <f>(BC489+BC486)/(8.76*BC483/4)</f>
        <v>0.60000000000000009</v>
      </c>
      <c r="BD491" s="253">
        <f>(BD489+BD486)/(8.76*BD483/4)</f>
        <v>0.60000000000000009</v>
      </c>
      <c r="BE491" s="253">
        <f>(BE489+BE486)/(8.76*BE483/4)</f>
        <v>0.60000000000000009</v>
      </c>
      <c r="BF491" s="278">
        <f>(BF489+BF486)/(8.76*BF483/4)</f>
        <v>0.4</v>
      </c>
      <c r="BG491" s="224">
        <f>AVERAGE(BC491:BF491)</f>
        <v>0.55000000000000004</v>
      </c>
      <c r="BH491" s="277">
        <f>(BH489+BH486)/(8.76*BH483/4)</f>
        <v>0.60000000000000009</v>
      </c>
      <c r="BI491" s="253">
        <f>(BI489+BI486)/(8.76*BI483/4)</f>
        <v>0.60000000000000009</v>
      </c>
      <c r="BJ491" s="253">
        <f>(BJ489+BJ486)/(8.76*BJ483/4)</f>
        <v>0.60000000000000009</v>
      </c>
      <c r="BK491" s="278">
        <f>(BK489+BK486)/(8.76*BK483/4)</f>
        <v>0.4</v>
      </c>
      <c r="BL491" s="224">
        <f>AVERAGE(BH491:BK491)</f>
        <v>0.55000000000000004</v>
      </c>
      <c r="BM491" s="277">
        <f>(BM489+BM486)/(8.76*BM483/4)</f>
        <v>0.60000000000000009</v>
      </c>
      <c r="BN491" s="253">
        <f>(BN489+BN486)/(8.76*BN483/4)</f>
        <v>0.60000000000000009</v>
      </c>
      <c r="BO491" s="253">
        <f>(BO489+BO486)/(8.76*BO483/4)</f>
        <v>0.60000000000000009</v>
      </c>
      <c r="BP491" s="278">
        <f>(BP489+BP486)/(8.76*BP483/4)</f>
        <v>0.60000000000000009</v>
      </c>
      <c r="BQ491" s="224">
        <f>AVERAGE(BM491:BP491)</f>
        <v>0.60000000000000009</v>
      </c>
      <c r="BR491" s="40"/>
      <c r="BS491" s="40"/>
      <c r="BT491" s="40"/>
      <c r="BU491" s="232"/>
      <c r="BV491" s="40"/>
      <c r="BW491" s="40"/>
      <c r="BX491" s="40"/>
      <c r="BY491" s="40"/>
      <c r="BZ491" s="40"/>
      <c r="CA491" s="40"/>
      <c r="CB491" s="40"/>
      <c r="CC491" s="40"/>
      <c r="CD491" s="40"/>
      <c r="CE491" s="40"/>
      <c r="CF491" s="40"/>
      <c r="CG491" s="40"/>
      <c r="CH491" s="40"/>
      <c r="CI491" s="40"/>
      <c r="CJ491" s="40"/>
      <c r="CK491" s="40"/>
      <c r="CL491" s="40"/>
      <c r="CM491" s="40"/>
      <c r="CN491" s="40"/>
      <c r="CO491" s="40"/>
      <c r="CP491" s="40"/>
      <c r="CQ491" s="40"/>
      <c r="CR491" s="40"/>
      <c r="CS491" s="40"/>
      <c r="CT491" s="823"/>
      <c r="CU491" s="232"/>
      <c r="CV491" s="232"/>
      <c r="CW491" s="232"/>
      <c r="CX491" s="232"/>
      <c r="CY491" s="232"/>
      <c r="CZ491" s="40"/>
      <c r="DA491" s="40"/>
      <c r="DB491" s="40"/>
      <c r="DC491" s="40"/>
      <c r="DD491" s="40"/>
      <c r="DE491" s="40"/>
      <c r="DF491" s="232"/>
      <c r="DG491" s="232"/>
      <c r="DH491" s="232"/>
      <c r="DI491" s="232"/>
      <c r="DJ491" s="232"/>
      <c r="DK491" s="232"/>
      <c r="DL491" s="232"/>
      <c r="DM491" s="232"/>
      <c r="DN491" s="232"/>
    </row>
    <row r="492" spans="1:118">
      <c r="A492" s="40"/>
      <c r="B492" s="32"/>
      <c r="C492" s="32" t="s">
        <v>173</v>
      </c>
      <c r="D492" s="32"/>
      <c r="E492" s="489"/>
      <c r="F492" s="342"/>
      <c r="G492" s="342"/>
      <c r="H492" s="490"/>
      <c r="I492" s="32"/>
      <c r="J492" s="489"/>
      <c r="K492" s="342"/>
      <c r="L492" s="342"/>
      <c r="M492" s="490"/>
      <c r="N492" s="32"/>
      <c r="O492" s="489"/>
      <c r="P492" s="342"/>
      <c r="Q492" s="342"/>
      <c r="R492" s="490"/>
      <c r="S492" s="32"/>
      <c r="T492" s="292"/>
      <c r="U492" s="261"/>
      <c r="V492" s="261"/>
      <c r="W492" s="293"/>
      <c r="X492" s="348"/>
      <c r="Y492" s="292">
        <f>+Y489+Y486</f>
        <v>3488.6699999999996</v>
      </c>
      <c r="Z492" s="261">
        <f>+Z489+Z486</f>
        <v>3488.6699999999996</v>
      </c>
      <c r="AA492" s="261">
        <f>+AA489+AA486</f>
        <v>3488.6699999999996</v>
      </c>
      <c r="AB492" s="293">
        <f>+AB489+AB486</f>
        <v>3488.6699999999996</v>
      </c>
      <c r="AC492" s="348">
        <f>SUM(Y492:AB492)</f>
        <v>13954.679999999998</v>
      </c>
      <c r="AD492" s="292">
        <f>+AD489+AD486</f>
        <v>2325.7799999999997</v>
      </c>
      <c r="AE492" s="261">
        <f>+AE489+AE486</f>
        <v>3488.6699999999996</v>
      </c>
      <c r="AF492" s="261">
        <f>+AF489+AF486</f>
        <v>3488.6699999999996</v>
      </c>
      <c r="AG492" s="293">
        <f>+AG489+AG486</f>
        <v>3488.6699999999996</v>
      </c>
      <c r="AH492" s="348">
        <f>SUM(AD492:AG492)</f>
        <v>12791.789999999999</v>
      </c>
      <c r="AI492" s="292">
        <f>+AI489+AI486</f>
        <v>1624.98</v>
      </c>
      <c r="AJ492" s="261">
        <f>+AJ489+AJ486</f>
        <v>1624.98</v>
      </c>
      <c r="AK492" s="261">
        <f>+AK489+AK486</f>
        <v>2437.4700000000003</v>
      </c>
      <c r="AL492" s="293">
        <f>+AL489+AL486</f>
        <v>2437.4700000000003</v>
      </c>
      <c r="AM492" s="348">
        <f>SUM(AI492:AL492)</f>
        <v>8124.9000000000005</v>
      </c>
      <c r="AN492" s="292">
        <f>+AN489+AN486</f>
        <v>1624.98</v>
      </c>
      <c r="AO492" s="261">
        <f>+AO489+AO486</f>
        <v>1624.98</v>
      </c>
      <c r="AP492" s="261">
        <f>+AP489+AP486</f>
        <v>1624.98</v>
      </c>
      <c r="AQ492" s="293">
        <f>+AQ489+AQ486</f>
        <v>2437.4700000000003</v>
      </c>
      <c r="AR492" s="348">
        <f>SUM(AN492:AQ492)</f>
        <v>7312.4100000000008</v>
      </c>
      <c r="AS492" s="292">
        <f>+AS489+AS486</f>
        <v>2437.4700000000003</v>
      </c>
      <c r="AT492" s="261">
        <f>+AT489+AT486</f>
        <v>2437.4700000000003</v>
      </c>
      <c r="AU492" s="261">
        <f t="shared" ref="AU492" si="718">+AU489+AU486</f>
        <v>1624.98</v>
      </c>
      <c r="AV492" s="293">
        <f>+AV489+AV486</f>
        <v>1624.98</v>
      </c>
      <c r="AW492" s="348">
        <f>SUM(AS492:AV492)</f>
        <v>8124.9</v>
      </c>
      <c r="AX492" s="292">
        <f>+AX489+AX486</f>
        <v>1624.98</v>
      </c>
      <c r="AY492" s="261">
        <f>+AY489+AY486</f>
        <v>2437.4700000000003</v>
      </c>
      <c r="AZ492" s="261">
        <f>+AZ489+AZ486</f>
        <v>2437.4700000000003</v>
      </c>
      <c r="BA492" s="293">
        <f>+BA489+BA486</f>
        <v>2437.4700000000003</v>
      </c>
      <c r="BB492" s="348">
        <f>SUM(AX492:BA492)</f>
        <v>8937.39</v>
      </c>
      <c r="BC492" s="292">
        <f>+BC489+BC486</f>
        <v>2437.4700000000003</v>
      </c>
      <c r="BD492" s="261">
        <f>+BD489+BD486</f>
        <v>2437.4700000000003</v>
      </c>
      <c r="BE492" s="261">
        <f>+BE489+BE486</f>
        <v>2437.4700000000003</v>
      </c>
      <c r="BF492" s="293">
        <f>+BF489+BF486</f>
        <v>1624.98</v>
      </c>
      <c r="BG492" s="348">
        <f>SUM(BC492:BF492)</f>
        <v>8937.3900000000012</v>
      </c>
      <c r="BH492" s="292">
        <f>+BH489+BH486</f>
        <v>2437.4700000000003</v>
      </c>
      <c r="BI492" s="261">
        <f>+BI489+BI486</f>
        <v>2437.4700000000003</v>
      </c>
      <c r="BJ492" s="261">
        <f>+BJ489+BJ486</f>
        <v>2437.4700000000003</v>
      </c>
      <c r="BK492" s="293">
        <f>+BK489+BK486</f>
        <v>1624.98</v>
      </c>
      <c r="BL492" s="348">
        <f>SUM(BH492:BK492)</f>
        <v>8937.3900000000012</v>
      </c>
      <c r="BM492" s="292">
        <f>+BM489+BM486</f>
        <v>2437.4700000000003</v>
      </c>
      <c r="BN492" s="261">
        <f>+BN489+BN486</f>
        <v>2437.4700000000003</v>
      </c>
      <c r="BO492" s="261">
        <f>+BO489+BO486</f>
        <v>2437.4700000000003</v>
      </c>
      <c r="BP492" s="293">
        <f>+BP489+BP486</f>
        <v>2437.4700000000003</v>
      </c>
      <c r="BQ492" s="348">
        <f>SUM(BM492:BP492)</f>
        <v>9749.880000000001</v>
      </c>
      <c r="BR492" s="40"/>
      <c r="BS492" s="40"/>
      <c r="BT492" s="40"/>
      <c r="BU492" s="232"/>
      <c r="BV492" s="40"/>
      <c r="BW492" s="40"/>
      <c r="BX492" s="40"/>
      <c r="BY492" s="40"/>
      <c r="BZ492" s="40"/>
      <c r="CA492" s="40"/>
      <c r="CB492" s="40"/>
      <c r="CC492" s="40"/>
      <c r="CD492" s="40"/>
      <c r="CE492" s="40"/>
      <c r="CF492" s="40"/>
      <c r="CG492" s="40"/>
      <c r="CH492" s="40"/>
      <c r="CI492" s="40"/>
      <c r="CJ492" s="40"/>
      <c r="CK492" s="40"/>
      <c r="CL492" s="40"/>
      <c r="CM492" s="40"/>
      <c r="CN492" s="40"/>
      <c r="CO492" s="40"/>
      <c r="CP492" s="40"/>
      <c r="CQ492" s="40"/>
      <c r="CR492" s="40"/>
      <c r="CS492" s="40"/>
      <c r="CT492" s="823"/>
      <c r="CU492" s="232"/>
      <c r="CV492" s="232"/>
      <c r="CW492" s="232"/>
      <c r="CX492" s="232"/>
      <c r="CY492" s="232"/>
      <c r="CZ492" s="40"/>
      <c r="DA492" s="40"/>
      <c r="DB492" s="40"/>
      <c r="DC492" s="40"/>
      <c r="DD492" s="40"/>
      <c r="DE492" s="40"/>
      <c r="DF492" s="232"/>
      <c r="DG492" s="232"/>
      <c r="DH492" s="232"/>
      <c r="DI492" s="232"/>
      <c r="DJ492" s="232"/>
      <c r="DK492" s="232"/>
      <c r="DL492" s="232"/>
      <c r="DM492" s="232"/>
      <c r="DN492" s="232"/>
    </row>
    <row r="493" spans="1:118">
      <c r="A493" s="40"/>
      <c r="B493" s="32"/>
      <c r="C493" s="28"/>
      <c r="D493" s="1"/>
      <c r="E493" s="273"/>
      <c r="F493" s="3"/>
      <c r="G493" s="3"/>
      <c r="H493" s="274"/>
      <c r="I493" s="28"/>
      <c r="J493" s="273"/>
      <c r="K493" s="3"/>
      <c r="L493" s="3"/>
      <c r="M493" s="274"/>
      <c r="N493" s="1"/>
      <c r="O493" s="273"/>
      <c r="P493" s="3"/>
      <c r="Q493" s="3"/>
      <c r="R493" s="274"/>
      <c r="S493" s="1"/>
      <c r="T493" s="273"/>
      <c r="U493" s="3"/>
      <c r="V493" s="3"/>
      <c r="W493" s="274"/>
      <c r="X493" s="1"/>
      <c r="Y493" s="273"/>
      <c r="Z493" s="3"/>
      <c r="AA493" s="3"/>
      <c r="AB493" s="274"/>
      <c r="AC493" s="1"/>
      <c r="AD493" s="273"/>
      <c r="AE493" s="3"/>
      <c r="AF493" s="3"/>
      <c r="AG493" s="274"/>
      <c r="AH493" s="1"/>
      <c r="AI493" s="273"/>
      <c r="AJ493" s="3"/>
      <c r="AK493" s="3"/>
      <c r="AL493" s="274"/>
      <c r="AM493" s="1"/>
      <c r="AN493" s="273"/>
      <c r="AO493" s="3"/>
      <c r="AP493" s="3"/>
      <c r="AQ493" s="274"/>
      <c r="AR493" s="1"/>
      <c r="AS493" s="273"/>
      <c r="AT493" s="3"/>
      <c r="AU493" s="3"/>
      <c r="AV493" s="274"/>
      <c r="AW493" s="1"/>
      <c r="AX493" s="273"/>
      <c r="AY493" s="3"/>
      <c r="AZ493" s="3"/>
      <c r="BA493" s="274"/>
      <c r="BB493" s="1"/>
      <c r="BC493" s="273"/>
      <c r="BD493" s="3"/>
      <c r="BE493" s="3"/>
      <c r="BF493" s="274"/>
      <c r="BG493" s="1"/>
      <c r="BH493" s="273"/>
      <c r="BI493" s="3"/>
      <c r="BJ493" s="3"/>
      <c r="BK493" s="274"/>
      <c r="BL493" s="1"/>
      <c r="BM493" s="273"/>
      <c r="BN493" s="3"/>
      <c r="BO493" s="3"/>
      <c r="BP493" s="274"/>
      <c r="BQ493" s="1"/>
      <c r="BR493" s="40"/>
      <c r="BS493" s="40"/>
      <c r="BT493" s="40"/>
      <c r="BU493" s="232"/>
      <c r="BV493" s="40"/>
      <c r="BW493" s="40"/>
      <c r="BX493" s="40"/>
      <c r="BY493" s="40"/>
      <c r="BZ493" s="40"/>
      <c r="CA493" s="40"/>
      <c r="CB493" s="40"/>
      <c r="CC493" s="40"/>
      <c r="CD493" s="40"/>
      <c r="CE493" s="40"/>
      <c r="CF493" s="40"/>
      <c r="CG493" s="40"/>
      <c r="CH493" s="40"/>
      <c r="CI493" s="40"/>
      <c r="CJ493" s="40"/>
      <c r="CK493" s="40"/>
      <c r="CL493" s="40"/>
      <c r="CM493" s="40"/>
      <c r="CN493" s="40"/>
      <c r="CO493" s="40"/>
      <c r="CP493" s="40"/>
      <c r="CQ493" s="40"/>
      <c r="CR493" s="40"/>
      <c r="CS493" s="40"/>
      <c r="CT493" s="823"/>
      <c r="CU493" s="232"/>
      <c r="CV493" s="232"/>
      <c r="CW493" s="232"/>
      <c r="CX493" s="232"/>
      <c r="CY493" s="232"/>
      <c r="CZ493" s="40"/>
      <c r="DA493" s="40"/>
      <c r="DB493" s="40"/>
      <c r="DC493" s="40"/>
      <c r="DD493" s="40"/>
      <c r="DE493" s="40"/>
      <c r="DF493" s="232"/>
      <c r="DG493" s="232"/>
      <c r="DH493" s="232"/>
      <c r="DI493" s="232"/>
      <c r="DJ493" s="232"/>
      <c r="DK493" s="232"/>
      <c r="DL493" s="232"/>
      <c r="DM493" s="232"/>
      <c r="DN493" s="232"/>
    </row>
    <row r="494" spans="1:118">
      <c r="A494" s="40"/>
      <c r="B494" s="32"/>
      <c r="C494" s="28" t="s">
        <v>797</v>
      </c>
      <c r="D494" s="1"/>
      <c r="E494" s="273"/>
      <c r="F494" s="3"/>
      <c r="G494" s="3"/>
      <c r="H494" s="274"/>
      <c r="I494" s="28"/>
      <c r="J494" s="273"/>
      <c r="K494" s="3"/>
      <c r="L494" s="3"/>
      <c r="M494" s="274"/>
      <c r="N494" s="1"/>
      <c r="O494" s="273"/>
      <c r="P494" s="3"/>
      <c r="Q494" s="3"/>
      <c r="R494" s="274"/>
      <c r="S494" s="1"/>
      <c r="T494" s="758"/>
      <c r="U494" s="660"/>
      <c r="V494" s="660"/>
      <c r="W494" s="661"/>
      <c r="X494" s="428"/>
      <c r="Y494" s="758">
        <f>(Y479/1000*Y486)+(Y480/1000*Y489)</f>
        <v>293.22140705447976</v>
      </c>
      <c r="Z494" s="660">
        <f>(Z479/1000*Z486)+(Z480/1000*Z489)</f>
        <v>144.49974665122764</v>
      </c>
      <c r="AA494" s="660">
        <f>(AA479/1000*AA486)+(AA480/1000*AA489)</f>
        <v>163.2955441259256</v>
      </c>
      <c r="AB494" s="661">
        <f>(AB479/1000*AB486)+(AB480/1000*AB489)</f>
        <v>216.06994186048979</v>
      </c>
      <c r="AC494" s="428">
        <f>SUM(Y494:AB494)</f>
        <v>817.08663969212284</v>
      </c>
      <c r="AD494" s="758">
        <f>(AD479/1000*AD486)+(AD480/1000*AD489)</f>
        <v>389.18453473928588</v>
      </c>
      <c r="AE494" s="660">
        <f>(AE479/1000*AE486)+(AE480/1000*AE489)</f>
        <v>127.26937223147073</v>
      </c>
      <c r="AF494" s="660">
        <f>(AF479/1000*AF486)+(AF480/1000*AF489)</f>
        <v>127.26937223147073</v>
      </c>
      <c r="AG494" s="661">
        <f>(AG479/1000*AG486)+(AG480/1000*AG489)</f>
        <v>147.80951778830499</v>
      </c>
      <c r="AH494" s="428">
        <f>SUM(AD494:AG494)</f>
        <v>791.53279699053235</v>
      </c>
      <c r="AI494" s="758">
        <f>(AI479/1000*AI486)+(AI480/1000*AI489)</f>
        <v>142.44571455833335</v>
      </c>
      <c r="AJ494" s="660">
        <f>(AJ479/1000*AJ486)+(AJ480/1000*AJ489)</f>
        <v>46.101222144140621</v>
      </c>
      <c r="AK494" s="660">
        <f>(AK479/1000*AK486)+(AK480/1000*AK489)</f>
        <v>87.046324084487878</v>
      </c>
      <c r="AL494" s="661">
        <f>(AL479/1000*AL486)+(AL480/1000*AL489)</f>
        <v>70.141026976462612</v>
      </c>
      <c r="AM494" s="428">
        <f>SUM(AI494:AL494)</f>
        <v>345.7342877634245</v>
      </c>
      <c r="AN494" s="758">
        <f>(AN479/1000*AN486)+(AN480/1000*AN489)</f>
        <v>49.268520808007793</v>
      </c>
      <c r="AO494" s="660">
        <f>(AO479/1000*AO486)+(AO480/1000*AO489)</f>
        <v>45.836052067968758</v>
      </c>
      <c r="AP494" s="660">
        <f>(AP479/1000*AP486)+(AP480/1000*AP489)</f>
        <v>69.436537964062495</v>
      </c>
      <c r="AQ494" s="661">
        <f>(AQ479/1000*AQ486)+(AQ480/1000*AQ489)</f>
        <v>86.211167621313436</v>
      </c>
      <c r="AR494" s="428">
        <f>SUM(AN494:AQ494)</f>
        <v>250.75227846135249</v>
      </c>
      <c r="AS494" s="758">
        <f>(AS479/1000*AS486)+(AS480/1000*AS489)</f>
        <v>79.805211699350437</v>
      </c>
      <c r="AT494" s="660">
        <f>(AT479/1000*AT486)+(AT480/1000*AT489)</f>
        <v>72.771613697070364</v>
      </c>
      <c r="AU494" s="660">
        <f t="shared" ref="AU494" si="719">(AU479/1000*AU486)+(AU480/1000*AU489)</f>
        <v>51.532710237499984</v>
      </c>
      <c r="AV494" s="661">
        <f>(AV479/1000*AV486)+(AV480/1000*AV489)</f>
        <v>101.45941897792972</v>
      </c>
      <c r="AW494" s="428">
        <f>SUM(AS494:AV494)</f>
        <v>305.56895461185053</v>
      </c>
      <c r="AX494" s="758">
        <f>(AX479/1000*AX486)+(AX480/1000*AX489)</f>
        <v>101.45941897792972</v>
      </c>
      <c r="AY494" s="660">
        <f>(AY479/1000*AY486)+(AY480/1000*AY489)</f>
        <v>72.69077200000001</v>
      </c>
      <c r="AZ494" s="660">
        <f>(AZ479/1000*AZ486)+(AZ480/1000*AZ489)</f>
        <v>76.428225999999995</v>
      </c>
      <c r="BA494" s="661">
        <f>(BA479/1000*BA486)+(BA480/1000*BA489)</f>
        <v>96.198815999999994</v>
      </c>
      <c r="BB494" s="428">
        <f>SUM(AX494:BA494)</f>
        <v>346.77723297792971</v>
      </c>
      <c r="BC494" s="758">
        <f>(BC479/1000*BC486)+(BC480/1000*BC489)</f>
        <v>165.14880549152869</v>
      </c>
      <c r="BD494" s="660">
        <f>(BD479/1000*BD486)+(BD480/1000*BD489)</f>
        <v>69.548035073430839</v>
      </c>
      <c r="BE494" s="660">
        <f>(BE479/1000*BE486)+(BE480/1000*BE489)</f>
        <v>79.142409652858177</v>
      </c>
      <c r="BF494" s="661">
        <f>(BF479/1000*BF486)+(BF480/1000*BF489)</f>
        <v>62.669346709699177</v>
      </c>
      <c r="BG494" s="428">
        <f>SUM(BC494:BF494)</f>
        <v>376.50859692751692</v>
      </c>
      <c r="BH494" s="758">
        <f>(BH479/1000*BH486)+(BH480/1000*BH489)</f>
        <v>165.01283100214991</v>
      </c>
      <c r="BI494" s="660">
        <f>(BI479/1000*BI486)+(BI480/1000*BI489)</f>
        <v>69.494465744721282</v>
      </c>
      <c r="BJ494" s="660">
        <f>(BJ479/1000*BJ486)+(BJ480/1000*BJ489)</f>
        <v>79.08573370136844</v>
      </c>
      <c r="BK494" s="661">
        <f>(BK479/1000*BK486)+(BK480/1000*BK489)</f>
        <v>62.669346709699177</v>
      </c>
      <c r="BL494" s="428">
        <f>SUM(BH494:BK494)</f>
        <v>376.26237715793883</v>
      </c>
      <c r="BM494" s="758">
        <f>(BM479/1000*BM486)+(BM480/1000*BM489)</f>
        <v>98.347360412502653</v>
      </c>
      <c r="BN494" s="660">
        <f>(BN479/1000*BN486)+(BN480/1000*BN489)</f>
        <v>98.347360412502653</v>
      </c>
      <c r="BO494" s="660">
        <f>(BO479/1000*BO486)+(BO480/1000*BO489)</f>
        <v>98.347360412502653</v>
      </c>
      <c r="BP494" s="661">
        <f>(BP479/1000*BP486)+(BP480/1000*BP489)</f>
        <v>98.347360412502653</v>
      </c>
      <c r="BQ494" s="428">
        <f>SUM(BM494:BP494)</f>
        <v>393.38944165001061</v>
      </c>
      <c r="BR494" s="40"/>
      <c r="BS494" s="40"/>
      <c r="BT494" s="40"/>
      <c r="BU494" s="232"/>
      <c r="BV494" s="40"/>
      <c r="BW494" s="40"/>
      <c r="BX494" s="40"/>
      <c r="BY494" s="40"/>
      <c r="BZ494" s="40"/>
      <c r="CA494" s="40"/>
      <c r="CB494" s="40"/>
      <c r="CC494" s="40"/>
      <c r="CD494" s="40"/>
      <c r="CE494" s="40"/>
      <c r="CF494" s="40"/>
      <c r="CG494" s="40"/>
      <c r="CH494" s="40"/>
      <c r="CI494" s="40"/>
      <c r="CJ494" s="40"/>
      <c r="CK494" s="40"/>
      <c r="CL494" s="40"/>
      <c r="CM494" s="40"/>
      <c r="CN494" s="40"/>
      <c r="CO494" s="40"/>
      <c r="CP494" s="40"/>
      <c r="CQ494" s="40"/>
      <c r="CR494" s="40"/>
      <c r="CS494" s="40"/>
      <c r="CT494" s="823"/>
      <c r="CU494" s="232"/>
      <c r="CV494" s="232"/>
      <c r="CW494" s="232"/>
      <c r="CX494" s="232"/>
      <c r="CY494" s="232"/>
      <c r="CZ494" s="40"/>
      <c r="DA494" s="40"/>
      <c r="DB494" s="40"/>
      <c r="DC494" s="40"/>
      <c r="DD494" s="40"/>
      <c r="DE494" s="40"/>
      <c r="DF494" s="232"/>
      <c r="DG494" s="232"/>
      <c r="DH494" s="232"/>
      <c r="DI494" s="232"/>
      <c r="DJ494" s="232"/>
      <c r="DK494" s="232"/>
      <c r="DL494" s="232"/>
      <c r="DM494" s="232"/>
      <c r="DN494" s="232"/>
    </row>
    <row r="495" spans="1:118">
      <c r="A495" s="40"/>
      <c r="B495" s="32"/>
      <c r="C495" s="28" t="s">
        <v>278</v>
      </c>
      <c r="D495" s="1"/>
      <c r="E495" s="273"/>
      <c r="F495" s="3"/>
      <c r="G495" s="3"/>
      <c r="H495" s="274"/>
      <c r="I495" s="28"/>
      <c r="J495" s="273"/>
      <c r="K495" s="3"/>
      <c r="L495" s="3"/>
      <c r="M495" s="274"/>
      <c r="N495" s="1"/>
      <c r="O495" s="273"/>
      <c r="P495" s="3"/>
      <c r="Q495" s="3"/>
      <c r="R495" s="274"/>
      <c r="S495" s="1"/>
      <c r="T495" s="758"/>
      <c r="U495" s="660"/>
      <c r="V495" s="660"/>
      <c r="W495" s="661"/>
      <c r="X495" s="428"/>
      <c r="Y495" s="758">
        <f>Y481/1000*Y492</f>
        <v>204.68157715124997</v>
      </c>
      <c r="Z495" s="660">
        <f>Z481/1000*Z492</f>
        <v>113.34934127109373</v>
      </c>
      <c r="AA495" s="660">
        <f>AA481/1000*AA492</f>
        <v>98.565284489062464</v>
      </c>
      <c r="AB495" s="661">
        <f>AB481/1000*AB492</f>
        <v>112.95032463984369</v>
      </c>
      <c r="AC495" s="428">
        <f>SUM(Y495:AB495)</f>
        <v>529.54652755124982</v>
      </c>
      <c r="AD495" s="758">
        <f>AD481/1000*AD492</f>
        <v>297.27328813524588</v>
      </c>
      <c r="AE495" s="660">
        <f>AE481/1000*AE492</f>
        <v>67.920316614843713</v>
      </c>
      <c r="AF495" s="660">
        <f>AF481/1000*AF492</f>
        <v>67.920316614843713</v>
      </c>
      <c r="AG495" s="661">
        <f>AG481/1000*AG492</f>
        <v>83.629552327734388</v>
      </c>
      <c r="AH495" s="428">
        <f>SUM(AD495:AG495)</f>
        <v>516.74347369266775</v>
      </c>
      <c r="AI495" s="758">
        <f>AI481/1000*AI492</f>
        <v>135.76978183971775</v>
      </c>
      <c r="AJ495" s="660">
        <f>AJ481/1000*AJ492</f>
        <v>37.888149750000004</v>
      </c>
      <c r="AK495" s="660">
        <f>AK481/1000*AK492</f>
        <v>51.901329590332047</v>
      </c>
      <c r="AL495" s="661">
        <f>AL481/1000*AL492</f>
        <v>43.636516499999999</v>
      </c>
      <c r="AM495" s="428">
        <f>SUM(AI495:AL495)</f>
        <v>269.19577768004979</v>
      </c>
      <c r="AN495" s="758">
        <f>AN481/1000*AN492</f>
        <v>43.040159305327869</v>
      </c>
      <c r="AO495" s="660">
        <f>AO481/1000*AO492</f>
        <v>47.302866290039063</v>
      </c>
      <c r="AP495" s="660">
        <f>AP481/1000*AP492</f>
        <v>50.656291813476571</v>
      </c>
      <c r="AQ495" s="661">
        <f>AQ481/1000*AQ492</f>
        <v>69.035440645161302</v>
      </c>
      <c r="AR495" s="428">
        <f>SUM(AN495:AQ495)</f>
        <v>210.03475805400478</v>
      </c>
      <c r="AS495" s="758">
        <f>AS481/1000*AS492</f>
        <v>65.392209275806479</v>
      </c>
      <c r="AT495" s="660">
        <f>AT481/1000*AT492</f>
        <v>54.009193661718768</v>
      </c>
      <c r="AU495" s="660">
        <f t="shared" ref="AU495" si="720">AU481/1000*AU492</f>
        <v>32.634047750000008</v>
      </c>
      <c r="AV495" s="661">
        <f>AV481/1000*AV492</f>
        <v>98.430166610655746</v>
      </c>
      <c r="AW495" s="428">
        <f>SUM(AS495:AV495)</f>
        <v>250.46561729818103</v>
      </c>
      <c r="AX495" s="758">
        <f>AX481/1000*AX492</f>
        <v>100.38014261065575</v>
      </c>
      <c r="AY495" s="660">
        <f>AY481/1000*AY492</f>
        <v>53.283094200000008</v>
      </c>
      <c r="AZ495" s="660">
        <f>AZ481/1000*AZ492</f>
        <v>53.593871625000006</v>
      </c>
      <c r="BA495" s="661">
        <f>BA481/1000*BA492</f>
        <v>65.537474625000002</v>
      </c>
      <c r="BB495" s="428">
        <f>SUM(AX495:BA495)</f>
        <v>272.79458306065578</v>
      </c>
      <c r="BC495" s="758">
        <f>BC481/1000*BC492</f>
        <v>90.803600642475544</v>
      </c>
      <c r="BD495" s="660">
        <f>BD481/1000*BD492</f>
        <v>41.572405849818651</v>
      </c>
      <c r="BE495" s="660">
        <f>BE481/1000*BE492</f>
        <v>39.83684734421854</v>
      </c>
      <c r="BF495" s="661">
        <f>BF481/1000*BF492</f>
        <v>60.748582540783275</v>
      </c>
      <c r="BG495" s="428">
        <f>SUM(BC495:BF495)</f>
        <v>232.96143637729602</v>
      </c>
      <c r="BH495" s="758">
        <f>BH481/1000*BH492</f>
        <v>92.170741118017091</v>
      </c>
      <c r="BI495" s="660">
        <f>BI481/1000*BI492</f>
        <v>42.128667270777605</v>
      </c>
      <c r="BJ495" s="660">
        <f>BJ481/1000*BJ492</f>
        <v>40.364522661465791</v>
      </c>
      <c r="BK495" s="661">
        <f>BK481/1000*BK492</f>
        <v>61.663515322326347</v>
      </c>
      <c r="BL495" s="428">
        <f>SUM(BH495:BK495)</f>
        <v>236.32744637258685</v>
      </c>
      <c r="BM495" s="758">
        <f>BM481/1000*BM492</f>
        <v>67.09044769814065</v>
      </c>
      <c r="BN495" s="660">
        <f>BN481/1000*BN492</f>
        <v>67.09044769814065</v>
      </c>
      <c r="BO495" s="660">
        <f>BO481/1000*BO492</f>
        <v>67.09044769814065</v>
      </c>
      <c r="BP495" s="661">
        <f>BP481/1000*BP492</f>
        <v>67.09044769814065</v>
      </c>
      <c r="BQ495" s="428">
        <f>SUM(BM495:BP495)</f>
        <v>268.3617907925626</v>
      </c>
      <c r="BR495" s="40"/>
      <c r="BS495" s="40"/>
      <c r="BT495" s="40"/>
      <c r="BU495" s="232"/>
      <c r="BV495" s="40"/>
      <c r="BW495" s="40"/>
      <c r="BX495" s="40"/>
      <c r="BY495" s="40"/>
      <c r="BZ495" s="40"/>
      <c r="CA495" s="40"/>
      <c r="CB495" s="40"/>
      <c r="CC495" s="40"/>
      <c r="CD495" s="40"/>
      <c r="CE495" s="40"/>
      <c r="CF495" s="40"/>
      <c r="CG495" s="40"/>
      <c r="CH495" s="40"/>
      <c r="CI495" s="40"/>
      <c r="CJ495" s="40"/>
      <c r="CK495" s="40"/>
      <c r="CL495" s="40"/>
      <c r="CM495" s="40"/>
      <c r="CN495" s="40"/>
      <c r="CO495" s="40"/>
      <c r="CP495" s="40"/>
      <c r="CQ495" s="40"/>
      <c r="CR495" s="40"/>
      <c r="CS495" s="40"/>
      <c r="CT495" s="823"/>
      <c r="CU495" s="232"/>
      <c r="CV495" s="232"/>
      <c r="CW495" s="232"/>
      <c r="CX495" s="232"/>
      <c r="CY495" s="232"/>
      <c r="CZ495" s="40"/>
      <c r="DA495" s="40"/>
      <c r="DB495" s="40"/>
      <c r="DC495" s="40"/>
      <c r="DD495" s="40"/>
      <c r="DE495" s="40"/>
      <c r="DF495" s="232"/>
      <c r="DG495" s="232"/>
      <c r="DH495" s="232"/>
      <c r="DI495" s="232"/>
      <c r="DJ495" s="232"/>
      <c r="DK495" s="232"/>
      <c r="DL495" s="232"/>
      <c r="DM495" s="232"/>
      <c r="DN495" s="232"/>
    </row>
    <row r="496" spans="1:118">
      <c r="A496" s="40"/>
      <c r="B496" s="32"/>
      <c r="C496" s="32" t="s">
        <v>199</v>
      </c>
      <c r="D496" s="32"/>
      <c r="E496" s="489"/>
      <c r="F496" s="342"/>
      <c r="G496" s="342"/>
      <c r="H496" s="490"/>
      <c r="I496" s="28"/>
      <c r="J496" s="489"/>
      <c r="K496" s="342"/>
      <c r="L496" s="342"/>
      <c r="M496" s="490"/>
      <c r="N496" s="32"/>
      <c r="O496" s="489"/>
      <c r="P496" s="342"/>
      <c r="Q496" s="342"/>
      <c r="R496" s="490"/>
      <c r="S496" s="32"/>
      <c r="T496" s="292"/>
      <c r="U496" s="261"/>
      <c r="V496" s="261"/>
      <c r="W496" s="293"/>
      <c r="X496" s="228"/>
      <c r="Y496" s="292">
        <f>Y494-Y495</f>
        <v>88.539829903229787</v>
      </c>
      <c r="Z496" s="261">
        <f>Z494-Z495</f>
        <v>31.150405380133904</v>
      </c>
      <c r="AA496" s="261">
        <f>AA494-AA495</f>
        <v>64.730259636863138</v>
      </c>
      <c r="AB496" s="293">
        <f>AB494-AB495</f>
        <v>103.11961722064611</v>
      </c>
      <c r="AC496" s="228">
        <f>AC494-AC495</f>
        <v>287.54011214087302</v>
      </c>
      <c r="AD496" s="292">
        <f t="shared" ref="AD496:BL496" si="721">AD494-AD495</f>
        <v>91.911246604040002</v>
      </c>
      <c r="AE496" s="261">
        <f>AE494-AE495</f>
        <v>59.349055616627012</v>
      </c>
      <c r="AF496" s="261">
        <f t="shared" si="721"/>
        <v>59.349055616627012</v>
      </c>
      <c r="AG496" s="293">
        <f t="shared" si="721"/>
        <v>64.1799654605706</v>
      </c>
      <c r="AH496" s="228">
        <f t="shared" si="721"/>
        <v>274.7893232978646</v>
      </c>
      <c r="AI496" s="292">
        <f t="shared" si="721"/>
        <v>6.6759327186155986</v>
      </c>
      <c r="AJ496" s="261">
        <f t="shared" si="721"/>
        <v>8.2130723941406174</v>
      </c>
      <c r="AK496" s="261">
        <f t="shared" si="721"/>
        <v>35.144994494155831</v>
      </c>
      <c r="AL496" s="293">
        <f t="shared" si="721"/>
        <v>26.504510476462613</v>
      </c>
      <c r="AM496" s="228">
        <f t="shared" si="721"/>
        <v>76.538510083374717</v>
      </c>
      <c r="AN496" s="292">
        <f t="shared" si="721"/>
        <v>6.2283615026799239</v>
      </c>
      <c r="AO496" s="261">
        <f t="shared" si="721"/>
        <v>-1.4668142220703047</v>
      </c>
      <c r="AP496" s="261">
        <f t="shared" si="721"/>
        <v>18.780246150585924</v>
      </c>
      <c r="AQ496" s="293">
        <f t="shared" si="721"/>
        <v>17.175726976152134</v>
      </c>
      <c r="AR496" s="228">
        <f t="shared" si="721"/>
        <v>40.717520407347706</v>
      </c>
      <c r="AS496" s="292">
        <f t="shared" si="721"/>
        <v>14.413002423543958</v>
      </c>
      <c r="AT496" s="261">
        <f t="shared" si="721"/>
        <v>18.762420035351596</v>
      </c>
      <c r="AU496" s="261">
        <f t="shared" ref="AU496" si="722">AU494-AU495</f>
        <v>18.898662487499976</v>
      </c>
      <c r="AV496" s="293">
        <f t="shared" si="721"/>
        <v>3.0292523672739691</v>
      </c>
      <c r="AW496" s="228">
        <f t="shared" si="721"/>
        <v>55.103337313669499</v>
      </c>
      <c r="AX496" s="292">
        <f t="shared" si="721"/>
        <v>1.0792763672739625</v>
      </c>
      <c r="AY496" s="261">
        <f t="shared" si="721"/>
        <v>19.407677800000002</v>
      </c>
      <c r="AZ496" s="261">
        <f t="shared" si="721"/>
        <v>22.83435437499999</v>
      </c>
      <c r="BA496" s="293">
        <f t="shared" si="721"/>
        <v>30.661341374999992</v>
      </c>
      <c r="BB496" s="228">
        <f t="shared" si="721"/>
        <v>73.982649917273932</v>
      </c>
      <c r="BC496" s="292">
        <f t="shared" si="721"/>
        <v>74.345204849053147</v>
      </c>
      <c r="BD496" s="261">
        <f t="shared" si="721"/>
        <v>27.975629223612188</v>
      </c>
      <c r="BE496" s="261">
        <f t="shared" si="721"/>
        <v>39.305562308639637</v>
      </c>
      <c r="BF496" s="293">
        <f t="shared" si="721"/>
        <v>1.9207641689159018</v>
      </c>
      <c r="BG496" s="228">
        <f t="shared" si="721"/>
        <v>143.54716055022089</v>
      </c>
      <c r="BH496" s="292">
        <f t="shared" si="721"/>
        <v>72.842089884132818</v>
      </c>
      <c r="BI496" s="261">
        <f t="shared" si="721"/>
        <v>27.365798473943677</v>
      </c>
      <c r="BJ496" s="261">
        <f t="shared" si="721"/>
        <v>38.721211039902649</v>
      </c>
      <c r="BK496" s="293">
        <f t="shared" si="721"/>
        <v>1.0058313873728295</v>
      </c>
      <c r="BL496" s="228">
        <f t="shared" si="721"/>
        <v>139.93493078535198</v>
      </c>
      <c r="BM496" s="292">
        <f t="shared" ref="BM496:BQ496" si="723">BM494-BM495</f>
        <v>31.256912714362002</v>
      </c>
      <c r="BN496" s="261">
        <f t="shared" si="723"/>
        <v>31.256912714362002</v>
      </c>
      <c r="BO496" s="261">
        <f t="shared" si="723"/>
        <v>31.256912714362002</v>
      </c>
      <c r="BP496" s="293">
        <f t="shared" si="723"/>
        <v>31.256912714362002</v>
      </c>
      <c r="BQ496" s="228">
        <f t="shared" si="723"/>
        <v>125.02765085744801</v>
      </c>
      <c r="BR496" s="40"/>
      <c r="BS496" s="40"/>
      <c r="BT496" s="40"/>
      <c r="BU496" s="232"/>
      <c r="BV496" s="40"/>
      <c r="BW496" s="40"/>
      <c r="BX496" s="40"/>
      <c r="BY496" s="40"/>
      <c r="BZ496" s="40"/>
      <c r="CA496" s="40"/>
      <c r="CB496" s="40"/>
      <c r="CC496" s="40"/>
      <c r="CD496" s="40"/>
      <c r="CE496" s="40"/>
      <c r="CF496" s="40"/>
      <c r="CG496" s="40"/>
      <c r="CH496" s="40"/>
      <c r="CI496" s="40"/>
      <c r="CJ496" s="40"/>
      <c r="CK496" s="40"/>
      <c r="CL496" s="40"/>
      <c r="CM496" s="40"/>
      <c r="CN496" s="40"/>
      <c r="CO496" s="40"/>
      <c r="CP496" s="40"/>
      <c r="CQ496" s="40"/>
      <c r="CR496" s="40"/>
      <c r="CS496" s="40"/>
      <c r="CT496" s="823"/>
      <c r="CU496" s="232"/>
      <c r="CV496" s="232"/>
      <c r="CW496" s="232"/>
      <c r="CX496" s="232"/>
      <c r="CY496" s="232"/>
      <c r="CZ496" s="40"/>
      <c r="DA496" s="40"/>
      <c r="DB496" s="40"/>
      <c r="DC496" s="40"/>
      <c r="DD496" s="40"/>
      <c r="DE496" s="40"/>
      <c r="DF496" s="232"/>
      <c r="DG496" s="232"/>
      <c r="DH496" s="232"/>
      <c r="DI496" s="232"/>
      <c r="DJ496" s="232"/>
      <c r="DK496" s="232"/>
      <c r="DL496" s="232"/>
      <c r="DM496" s="232"/>
      <c r="DN496" s="232"/>
    </row>
    <row r="497" spans="1:118">
      <c r="A497" s="40"/>
      <c r="B497" s="32"/>
      <c r="C497" s="32"/>
      <c r="D497" s="32"/>
      <c r="E497" s="489"/>
      <c r="F497" s="342"/>
      <c r="G497" s="342"/>
      <c r="H497" s="490"/>
      <c r="I497" s="28"/>
      <c r="J497" s="489"/>
      <c r="K497" s="342"/>
      <c r="L497" s="342"/>
      <c r="M497" s="490"/>
      <c r="N497" s="32"/>
      <c r="O497" s="489"/>
      <c r="P497" s="342"/>
      <c r="Q497" s="342"/>
      <c r="R497" s="490"/>
      <c r="S497" s="32"/>
      <c r="T497" s="292"/>
      <c r="U497" s="261"/>
      <c r="V497" s="261"/>
      <c r="W497" s="293"/>
      <c r="X497" s="228"/>
      <c r="Y497" s="292"/>
      <c r="Z497" s="261"/>
      <c r="AA497" s="261"/>
      <c r="AB497" s="293"/>
      <c r="AC497" s="228"/>
      <c r="AD497" s="292"/>
      <c r="AE497" s="261"/>
      <c r="AF497" s="261"/>
      <c r="AG497" s="293"/>
      <c r="AH497" s="228"/>
      <c r="AI497" s="292"/>
      <c r="AJ497" s="261"/>
      <c r="AK497" s="261"/>
      <c r="AL497" s="293"/>
      <c r="AM497" s="228"/>
      <c r="AN497" s="292"/>
      <c r="AO497" s="261"/>
      <c r="AP497" s="261"/>
      <c r="AQ497" s="293"/>
      <c r="AR497" s="228"/>
      <c r="AS497" s="292"/>
      <c r="AT497" s="261"/>
      <c r="AU497" s="261"/>
      <c r="AV497" s="293"/>
      <c r="AW497" s="228"/>
      <c r="AX497" s="292"/>
      <c r="AY497" s="261"/>
      <c r="AZ497" s="261"/>
      <c r="BA497" s="293"/>
      <c r="BB497" s="228"/>
      <c r="BC497" s="292"/>
      <c r="BD497" s="261"/>
      <c r="BE497" s="261"/>
      <c r="BF497" s="293"/>
      <c r="BG497" s="228"/>
      <c r="BH497" s="292"/>
      <c r="BI497" s="261"/>
      <c r="BJ497" s="261"/>
      <c r="BK497" s="293"/>
      <c r="BL497" s="228"/>
      <c r="BM497" s="292"/>
      <c r="BN497" s="261"/>
      <c r="BO497" s="261"/>
      <c r="BP497" s="293"/>
      <c r="BQ497" s="228"/>
      <c r="BR497" s="40"/>
      <c r="BS497" s="40"/>
      <c r="BT497" s="40"/>
      <c r="BU497" s="232"/>
      <c r="BV497" s="40"/>
      <c r="BW497" s="40"/>
      <c r="BX497" s="40"/>
      <c r="BY497" s="40"/>
      <c r="BZ497" s="40"/>
      <c r="CA497" s="40"/>
      <c r="CB497" s="40"/>
      <c r="CC497" s="40"/>
      <c r="CD497" s="40"/>
      <c r="CE497" s="40"/>
      <c r="CF497" s="40"/>
      <c r="CG497" s="40"/>
      <c r="CH497" s="40"/>
      <c r="CI497" s="40"/>
      <c r="CJ497" s="40"/>
      <c r="CK497" s="40"/>
      <c r="CL497" s="40"/>
      <c r="CM497" s="40"/>
      <c r="CN497" s="40"/>
      <c r="CO497" s="40"/>
      <c r="CP497" s="40"/>
      <c r="CQ497" s="40"/>
      <c r="CR497" s="40"/>
      <c r="CS497" s="40"/>
      <c r="CT497" s="823"/>
      <c r="CU497" s="232"/>
      <c r="CV497" s="232"/>
      <c r="CW497" s="232"/>
      <c r="CX497" s="232"/>
      <c r="CY497" s="232"/>
      <c r="CZ497" s="40"/>
      <c r="DA497" s="40"/>
      <c r="DB497" s="40"/>
      <c r="DC497" s="40"/>
      <c r="DD497" s="40"/>
      <c r="DE497" s="40"/>
      <c r="DF497" s="232"/>
      <c r="DG497" s="232"/>
      <c r="DH497" s="232"/>
      <c r="DI497" s="232"/>
      <c r="DJ497" s="232"/>
      <c r="DK497" s="232"/>
      <c r="DL497" s="232"/>
      <c r="DM497" s="232"/>
      <c r="DN497" s="232"/>
    </row>
    <row r="498" spans="1:118">
      <c r="A498" s="40"/>
      <c r="B498" s="32"/>
      <c r="C498" s="429" t="s">
        <v>801</v>
      </c>
      <c r="D498" s="1"/>
      <c r="E498" s="273"/>
      <c r="F498" s="3"/>
      <c r="G498" s="3"/>
      <c r="H498" s="274"/>
      <c r="I498" s="440"/>
      <c r="J498" s="273"/>
      <c r="K498" s="3"/>
      <c r="L498" s="3"/>
      <c r="M498" s="274"/>
      <c r="N498" s="1"/>
      <c r="O498" s="273"/>
      <c r="P498" s="3"/>
      <c r="Q498" s="3"/>
      <c r="R498" s="274"/>
      <c r="S498" s="1"/>
      <c r="T498" s="273"/>
      <c r="U498" s="3"/>
      <c r="V498" s="3"/>
      <c r="W498" s="274"/>
      <c r="X498" s="1"/>
      <c r="Y498" s="273"/>
      <c r="Z498" s="3"/>
      <c r="AA498" s="3"/>
      <c r="AB498" s="274"/>
      <c r="AC498" s="1"/>
      <c r="AD498" s="273"/>
      <c r="AE498" s="3"/>
      <c r="AF498" s="3"/>
      <c r="AG498" s="274"/>
      <c r="AH498" s="1"/>
      <c r="AI498" s="273"/>
      <c r="AJ498" s="3"/>
      <c r="AK498" s="3"/>
      <c r="AL498" s="274"/>
      <c r="AM498" s="1"/>
      <c r="AN498" s="273"/>
      <c r="AO498" s="3"/>
      <c r="AP498" s="3"/>
      <c r="AQ498" s="274"/>
      <c r="AR498" s="1"/>
      <c r="AS498" s="273"/>
      <c r="AT498" s="3"/>
      <c r="AU498" s="3"/>
      <c r="AV498" s="274"/>
      <c r="AW498" s="1"/>
      <c r="AX498" s="273"/>
      <c r="AY498" s="3"/>
      <c r="AZ498" s="3"/>
      <c r="BA498" s="274"/>
      <c r="BB498" s="1"/>
      <c r="BC498" s="273"/>
      <c r="BD498" s="3"/>
      <c r="BE498" s="3"/>
      <c r="BF498" s="274"/>
      <c r="BG498" s="1"/>
      <c r="BH498" s="273"/>
      <c r="BI498" s="3"/>
      <c r="BJ498" s="3"/>
      <c r="BK498" s="274"/>
      <c r="BL498" s="1"/>
      <c r="BM498" s="273"/>
      <c r="BN498" s="3"/>
      <c r="BO498" s="3"/>
      <c r="BP498" s="274"/>
      <c r="BQ498" s="1"/>
      <c r="BR498" s="40"/>
      <c r="BS498" s="40"/>
      <c r="BT498" s="40"/>
      <c r="BU498" s="232"/>
      <c r="BV498" s="40"/>
      <c r="BW498" s="40"/>
      <c r="BX498" s="40"/>
      <c r="BY498" s="40"/>
      <c r="BZ498" s="40"/>
      <c r="CA498" s="40"/>
      <c r="CB498" s="40"/>
      <c r="CC498" s="40"/>
      <c r="CD498" s="40"/>
      <c r="CE498" s="40"/>
      <c r="CF498" s="40"/>
      <c r="CG498" s="40"/>
      <c r="CH498" s="40"/>
      <c r="CI498" s="40"/>
      <c r="CJ498" s="40"/>
      <c r="CK498" s="40"/>
      <c r="CL498" s="40"/>
      <c r="CM498" s="40"/>
      <c r="CN498" s="40"/>
      <c r="CO498" s="40"/>
      <c r="CP498" s="40"/>
      <c r="CQ498" s="40"/>
      <c r="CR498" s="40"/>
      <c r="CS498" s="40"/>
      <c r="CT498" s="823"/>
      <c r="CU498" s="232"/>
      <c r="CV498" s="232"/>
      <c r="CW498" s="232"/>
      <c r="CX498" s="232"/>
      <c r="CY498" s="232"/>
      <c r="CZ498" s="40"/>
      <c r="DA498" s="40"/>
      <c r="DB498" s="40"/>
      <c r="DC498" s="40"/>
      <c r="DD498" s="40"/>
      <c r="DE498" s="40"/>
      <c r="DF498" s="232"/>
      <c r="DG498" s="232"/>
      <c r="DH498" s="232"/>
      <c r="DI498" s="232"/>
      <c r="DJ498" s="232"/>
      <c r="DK498" s="232"/>
      <c r="DL498" s="232"/>
      <c r="DM498" s="232"/>
      <c r="DN498" s="232"/>
    </row>
    <row r="499" spans="1:118">
      <c r="A499" s="40"/>
      <c r="B499" s="32"/>
      <c r="C499" s="28" t="s">
        <v>200</v>
      </c>
      <c r="D499" s="1"/>
      <c r="E499" s="273"/>
      <c r="F499" s="3"/>
      <c r="G499" s="3"/>
      <c r="H499" s="274"/>
      <c r="I499" s="28"/>
      <c r="J499" s="273"/>
      <c r="K499" s="3"/>
      <c r="L499" s="3"/>
      <c r="M499" s="274"/>
      <c r="N499" s="1"/>
      <c r="O499" s="273"/>
      <c r="P499" s="3"/>
      <c r="Q499" s="3"/>
      <c r="R499" s="274"/>
      <c r="S499" s="1"/>
      <c r="T499" s="436"/>
      <c r="U499" s="437"/>
      <c r="V499" s="437"/>
      <c r="W499" s="438"/>
      <c r="X499" s="439"/>
      <c r="Y499" s="436">
        <f t="shared" ref="Y499:AB500" si="724">+Y82</f>
        <v>33.486062323832535</v>
      </c>
      <c r="Z499" s="437">
        <f t="shared" si="724"/>
        <v>29.612168522893782</v>
      </c>
      <c r="AA499" s="437">
        <f t="shared" si="724"/>
        <v>28.466996774909429</v>
      </c>
      <c r="AB499" s="438">
        <f t="shared" si="724"/>
        <v>31.005893446105066</v>
      </c>
      <c r="AC499" s="439">
        <f>AVERAGE(Y499:AB499)</f>
        <v>30.642780266935201</v>
      </c>
      <c r="AD499" s="436">
        <f t="shared" ref="AD499:AG500" si="725">+AD77</f>
        <v>79.291454067460307</v>
      </c>
      <c r="AE499" s="437">
        <f t="shared" si="725"/>
        <v>38.224814638671887</v>
      </c>
      <c r="AF499" s="437">
        <f t="shared" si="725"/>
        <v>38.224814638671887</v>
      </c>
      <c r="AG499" s="438">
        <f t="shared" si="725"/>
        <v>39.049467128906258</v>
      </c>
      <c r="AH499" s="439">
        <f>AVERAGE(AD499:AG499)</f>
        <v>48.697637618427585</v>
      </c>
      <c r="AI499" s="436">
        <f t="shared" ref="AI499:AL500" si="726">+AI77</f>
        <v>42.983203065476182</v>
      </c>
      <c r="AJ499" s="437">
        <f t="shared" si="726"/>
        <v>35.431994833984376</v>
      </c>
      <c r="AK499" s="437">
        <f t="shared" si="726"/>
        <v>35.234762865384596</v>
      </c>
      <c r="AL499" s="438">
        <f t="shared" si="726"/>
        <v>30.793894384765622</v>
      </c>
      <c r="AM499" s="439">
        <f>AVERAGE(AI499:AL499)</f>
        <v>36.110963787402696</v>
      </c>
      <c r="AN499" s="436">
        <f t="shared" ref="AN499:AQ500" si="727">+AN77</f>
        <v>27.255926289062501</v>
      </c>
      <c r="AO499" s="437">
        <f t="shared" si="727"/>
        <v>31.587512695312505</v>
      </c>
      <c r="AP499" s="437">
        <f t="shared" si="727"/>
        <v>38.382545029296871</v>
      </c>
      <c r="AQ499" s="438">
        <f t="shared" si="727"/>
        <v>32.453721736111113</v>
      </c>
      <c r="AR499" s="439">
        <f>AVERAGE(AN499:AQ499)</f>
        <v>32.419926437445746</v>
      </c>
      <c r="AS499" s="436">
        <f t="shared" ref="AS499:AV500" si="728">+AS77</f>
        <v>31.073804345703124</v>
      </c>
      <c r="AT499" s="437">
        <f t="shared" si="728"/>
        <v>33.234170273437506</v>
      </c>
      <c r="AU499" s="437">
        <f t="shared" ref="AU499" si="729">+AU77</f>
        <v>36.864877966269844</v>
      </c>
      <c r="AV499" s="438">
        <f t="shared" si="728"/>
        <v>38.43211967773437</v>
      </c>
      <c r="AW499" s="439">
        <f>AVERAGE(AS499:AV499)</f>
        <v>34.901243065786211</v>
      </c>
      <c r="AX499" s="436">
        <f t="shared" ref="AX499:BA500" si="730">+AX77</f>
        <v>38.43211967773437</v>
      </c>
      <c r="AY499" s="437">
        <f t="shared" si="730"/>
        <v>33.833333333333336</v>
      </c>
      <c r="AZ499" s="437">
        <f t="shared" si="730"/>
        <v>36.31666666666667</v>
      </c>
      <c r="BA499" s="438">
        <f t="shared" si="730"/>
        <v>33.616666666666667</v>
      </c>
      <c r="BB499" s="439">
        <f>AVERAGE(AX499:BA499)</f>
        <v>35.549696586100261</v>
      </c>
      <c r="BC499" s="436">
        <f t="shared" ref="BC499:BF500" si="731">+BC77</f>
        <v>34.505559751881279</v>
      </c>
      <c r="BD499" s="437">
        <f t="shared" si="731"/>
        <v>30.200278902105271</v>
      </c>
      <c r="BE499" s="437">
        <f t="shared" si="731"/>
        <v>33.302613632090932</v>
      </c>
      <c r="BF499" s="438">
        <f t="shared" si="731"/>
        <v>36.708214380322509</v>
      </c>
      <c r="BG499" s="439">
        <f>AVERAGE(BC499:BF499)</f>
        <v>33.679166666599997</v>
      </c>
      <c r="BH499" s="436">
        <f t="shared" ref="BH499:BK500" si="732">+BH77</f>
        <v>34.59186847479863</v>
      </c>
      <c r="BI499" s="437">
        <f t="shared" si="732"/>
        <v>30.275818830236602</v>
      </c>
      <c r="BJ499" s="437">
        <f t="shared" si="732"/>
        <v>33.38591342705336</v>
      </c>
      <c r="BK499" s="438">
        <f t="shared" si="732"/>
        <v>36.800032601111397</v>
      </c>
      <c r="BL499" s="439">
        <f>AVERAGE(BH499:BK499)</f>
        <v>33.763408333299992</v>
      </c>
      <c r="BM499" s="436">
        <f t="shared" ref="BM499:BP499" si="733">+BM77</f>
        <v>41.435625000000002</v>
      </c>
      <c r="BN499" s="437">
        <f t="shared" si="733"/>
        <v>41.435625000000002</v>
      </c>
      <c r="BO499" s="437">
        <f t="shared" si="733"/>
        <v>41.435625000000002</v>
      </c>
      <c r="BP499" s="438">
        <f t="shared" si="733"/>
        <v>41.435625000000002</v>
      </c>
      <c r="BQ499" s="439">
        <f>AVERAGE(BM499:BP499)</f>
        <v>41.435625000000002</v>
      </c>
      <c r="BR499" s="40"/>
      <c r="BS499" s="40"/>
      <c r="BT499" s="40"/>
      <c r="BU499" s="232"/>
      <c r="BV499" s="40"/>
      <c r="BW499" s="40"/>
      <c r="BX499" s="40"/>
      <c r="BY499" s="40"/>
      <c r="BZ499" s="40"/>
      <c r="CA499" s="40"/>
      <c r="CB499" s="40"/>
      <c r="CC499" s="40"/>
      <c r="CD499" s="40"/>
      <c r="CE499" s="40"/>
      <c r="CF499" s="40"/>
      <c r="CG499" s="40"/>
      <c r="CH499" s="40"/>
      <c r="CI499" s="40"/>
      <c r="CJ499" s="40"/>
      <c r="CK499" s="40"/>
      <c r="CL499" s="40"/>
      <c r="CM499" s="40"/>
      <c r="CN499" s="40"/>
      <c r="CO499" s="40"/>
      <c r="CP499" s="40"/>
      <c r="CQ499" s="40"/>
      <c r="CR499" s="40"/>
      <c r="CS499" s="40"/>
      <c r="CT499" s="823"/>
      <c r="CU499" s="232"/>
      <c r="CV499" s="232"/>
      <c r="CW499" s="232"/>
      <c r="CX499" s="232"/>
      <c r="CY499" s="232"/>
      <c r="CZ499" s="40"/>
      <c r="DA499" s="40"/>
      <c r="DB499" s="40"/>
      <c r="DC499" s="40"/>
      <c r="DD499" s="40"/>
      <c r="DE499" s="40"/>
      <c r="DF499" s="232"/>
      <c r="DG499" s="232"/>
      <c r="DH499" s="232"/>
      <c r="DI499" s="232"/>
      <c r="DJ499" s="232"/>
      <c r="DK499" s="232"/>
      <c r="DL499" s="232"/>
      <c r="DM499" s="232"/>
      <c r="DN499" s="232"/>
    </row>
    <row r="500" spans="1:118">
      <c r="A500" s="40"/>
      <c r="B500" s="32"/>
      <c r="C500" s="28" t="s">
        <v>167</v>
      </c>
      <c r="D500" s="1"/>
      <c r="E500" s="273"/>
      <c r="F500" s="3"/>
      <c r="G500" s="3"/>
      <c r="H500" s="274"/>
      <c r="I500" s="28"/>
      <c r="J500" s="273"/>
      <c r="K500" s="3"/>
      <c r="L500" s="3"/>
      <c r="M500" s="274"/>
      <c r="N500" s="1"/>
      <c r="O500" s="273"/>
      <c r="P500" s="3"/>
      <c r="Q500" s="3"/>
      <c r="R500" s="274"/>
      <c r="S500" s="1"/>
      <c r="T500" s="436"/>
      <c r="U500" s="437"/>
      <c r="V500" s="437"/>
      <c r="W500" s="438"/>
      <c r="X500" s="439"/>
      <c r="Y500" s="436">
        <f t="shared" si="724"/>
        <v>37.529145254982318</v>
      </c>
      <c r="Z500" s="437">
        <f t="shared" si="724"/>
        <v>37.173283024812193</v>
      </c>
      <c r="AA500" s="437">
        <f t="shared" si="724"/>
        <v>37.809993801456365</v>
      </c>
      <c r="AB500" s="438">
        <f t="shared" si="724"/>
        <v>35.370000250611412</v>
      </c>
      <c r="AC500" s="439">
        <f>AVERAGE(Y500:AB500)</f>
        <v>36.970605582965568</v>
      </c>
      <c r="AD500" s="436">
        <f t="shared" si="725"/>
        <v>55.245883308574896</v>
      </c>
      <c r="AE500" s="437">
        <f t="shared" si="725"/>
        <v>26.565221706068851</v>
      </c>
      <c r="AF500" s="437">
        <f t="shared" si="725"/>
        <v>26.565221706068851</v>
      </c>
      <c r="AG500" s="438">
        <f t="shared" si="725"/>
        <v>29.935611420199269</v>
      </c>
      <c r="AH500" s="439">
        <f>AVERAGE(AD500:AG500)</f>
        <v>34.577984535227969</v>
      </c>
      <c r="AI500" s="436">
        <f t="shared" si="726"/>
        <v>33.546102769424323</v>
      </c>
      <c r="AJ500" s="437">
        <f t="shared" si="726"/>
        <v>24.350682732600731</v>
      </c>
      <c r="AK500" s="437">
        <f t="shared" si="726"/>
        <v>22.832639235507255</v>
      </c>
      <c r="AL500" s="438">
        <f t="shared" si="726"/>
        <v>21.995092569728254</v>
      </c>
      <c r="AM500" s="439">
        <f>AVERAGE(AI500:AL500)</f>
        <v>25.681129326815142</v>
      </c>
      <c r="AN500" s="436">
        <f t="shared" si="727"/>
        <v>22.062136905279502</v>
      </c>
      <c r="AO500" s="437">
        <f t="shared" si="727"/>
        <v>21.344116594322347</v>
      </c>
      <c r="AP500" s="437">
        <f t="shared" si="727"/>
        <v>22.511571963768123</v>
      </c>
      <c r="AQ500" s="438">
        <f t="shared" si="727"/>
        <v>25.05356571974637</v>
      </c>
      <c r="AR500" s="439">
        <f>AVERAGE(AN500:AQ500)</f>
        <v>22.742847795779085</v>
      </c>
      <c r="AS500" s="436">
        <f t="shared" si="728"/>
        <v>25.637689978663456</v>
      </c>
      <c r="AT500" s="437">
        <f t="shared" si="728"/>
        <v>22.658216380036624</v>
      </c>
      <c r="AU500" s="437">
        <f t="shared" ref="AU500" si="734">+AU78</f>
        <v>22.877026026268119</v>
      </c>
      <c r="AV500" s="438">
        <f t="shared" si="728"/>
        <v>33.49635729142512</v>
      </c>
      <c r="AW500" s="439">
        <f>AVERAGE(AS500:AV500)</f>
        <v>26.167322419098326</v>
      </c>
      <c r="AX500" s="436">
        <f t="shared" si="730"/>
        <v>33.49635729142512</v>
      </c>
      <c r="AY500" s="437">
        <f t="shared" si="730"/>
        <v>24.300000000000004</v>
      </c>
      <c r="AZ500" s="437">
        <f t="shared" si="730"/>
        <v>24.716666666666672</v>
      </c>
      <c r="BA500" s="438">
        <f t="shared" si="730"/>
        <v>24.833333333333332</v>
      </c>
      <c r="BB500" s="439">
        <f>AVERAGE(AX500:BA500)</f>
        <v>26.83658932285628</v>
      </c>
      <c r="BC500" s="436">
        <f t="shared" si="731"/>
        <v>26.535204784504245</v>
      </c>
      <c r="BD500" s="437">
        <f t="shared" si="731"/>
        <v>20.510009202701681</v>
      </c>
      <c r="BE500" s="437">
        <f t="shared" si="731"/>
        <v>20.875172571295771</v>
      </c>
      <c r="BF500" s="438">
        <f t="shared" si="731"/>
        <v>29.770913441498301</v>
      </c>
      <c r="BG500" s="439">
        <f>AVERAGE(BC500:BF500)</f>
        <v>24.422824999999996</v>
      </c>
      <c r="BH500" s="436">
        <f t="shared" si="732"/>
        <v>26.434034268000325</v>
      </c>
      <c r="BI500" s="437">
        <f t="shared" si="732"/>
        <v>20.431810890633283</v>
      </c>
      <c r="BJ500" s="437">
        <f t="shared" si="732"/>
        <v>20.795582004413095</v>
      </c>
      <c r="BK500" s="438">
        <f t="shared" si="732"/>
        <v>29.657406170153294</v>
      </c>
      <c r="BL500" s="439">
        <f>AVERAGE(BH500:BK500)</f>
        <v>24.329708333299997</v>
      </c>
      <c r="BM500" s="436">
        <f t="shared" ref="BM500:BP500" si="735">+BM78</f>
        <v>25.402833297678725</v>
      </c>
      <c r="BN500" s="437">
        <f t="shared" si="735"/>
        <v>25.402833297678725</v>
      </c>
      <c r="BO500" s="437">
        <f t="shared" si="735"/>
        <v>25.402833297678725</v>
      </c>
      <c r="BP500" s="438">
        <f t="shared" si="735"/>
        <v>25.402833297678725</v>
      </c>
      <c r="BQ500" s="439">
        <f>AVERAGE(BM500:BP500)</f>
        <v>25.402833297678725</v>
      </c>
      <c r="BR500" s="40"/>
      <c r="BS500" s="40"/>
      <c r="BT500" s="40"/>
      <c r="BU500" s="232"/>
      <c r="BV500" s="40"/>
      <c r="BW500" s="40"/>
      <c r="BX500" s="40"/>
      <c r="BY500" s="40"/>
      <c r="BZ500" s="40"/>
      <c r="CA500" s="40"/>
      <c r="CB500" s="40"/>
      <c r="CC500" s="40"/>
      <c r="CD500" s="40"/>
      <c r="CE500" s="40"/>
      <c r="CF500" s="40"/>
      <c r="CG500" s="40"/>
      <c r="CH500" s="40"/>
      <c r="CI500" s="40"/>
      <c r="CJ500" s="40"/>
      <c r="CK500" s="40"/>
      <c r="CL500" s="40"/>
      <c r="CM500" s="40"/>
      <c r="CN500" s="40"/>
      <c r="CO500" s="40"/>
      <c r="CP500" s="40"/>
      <c r="CQ500" s="40"/>
      <c r="CR500" s="40"/>
      <c r="CS500" s="40"/>
      <c r="CT500" s="823"/>
      <c r="CU500" s="232"/>
      <c r="CV500" s="232"/>
      <c r="CW500" s="232"/>
      <c r="CX500" s="232"/>
      <c r="CY500" s="232"/>
      <c r="CZ500" s="40"/>
      <c r="DA500" s="40"/>
      <c r="DB500" s="40"/>
      <c r="DC500" s="40"/>
      <c r="DD500" s="40"/>
      <c r="DE500" s="40"/>
      <c r="DF500" s="232"/>
      <c r="DG500" s="232"/>
      <c r="DH500" s="232"/>
      <c r="DI500" s="232"/>
      <c r="DJ500" s="232"/>
      <c r="DK500" s="232"/>
      <c r="DL500" s="232"/>
      <c r="DM500" s="232"/>
      <c r="DN500" s="232"/>
    </row>
    <row r="501" spans="1:118">
      <c r="A501" s="40"/>
      <c r="B501" s="32"/>
      <c r="C501" s="28" t="s">
        <v>195</v>
      </c>
      <c r="D501" s="1"/>
      <c r="E501" s="273"/>
      <c r="F501" s="3"/>
      <c r="G501" s="3"/>
      <c r="H501" s="274"/>
      <c r="I501" s="543">
        <v>7500</v>
      </c>
      <c r="J501" s="273"/>
      <c r="K501" s="3"/>
      <c r="L501" s="3"/>
      <c r="M501" s="274"/>
      <c r="N501" s="1"/>
      <c r="O501" s="273"/>
      <c r="P501" s="3"/>
      <c r="Q501" s="3"/>
      <c r="R501" s="274"/>
      <c r="S501" s="1"/>
      <c r="T501" s="436"/>
      <c r="U501" s="437"/>
      <c r="V501" s="437"/>
      <c r="W501" s="438"/>
      <c r="X501" s="439"/>
      <c r="Y501" s="436">
        <f>$I501/1000*(Y$51)</f>
        <v>26.093250000000001</v>
      </c>
      <c r="Z501" s="437">
        <f>$I501/1000*(Z$51)</f>
        <v>30.182460937500007</v>
      </c>
      <c r="AA501" s="437">
        <f>$I501/1000*(AA$51)</f>
        <v>26.683710937500003</v>
      </c>
      <c r="AB501" s="438">
        <f>$I501/1000*(AB$51)</f>
        <v>28.773164062499998</v>
      </c>
      <c r="AC501" s="439">
        <f>AVERAGE(Y501:AB501)</f>
        <v>27.933146484375001</v>
      </c>
      <c r="AD501" s="436">
        <f>$I501/1000*(AD$51)</f>
        <v>38.822213114754099</v>
      </c>
      <c r="AE501" s="437">
        <f>$I501/1000*(AE$51)</f>
        <v>29.767968750000005</v>
      </c>
      <c r="AF501" s="437">
        <f>$I501/1000*(AF$51)</f>
        <v>29.767968750000005</v>
      </c>
      <c r="AG501" s="438">
        <f>$I501/1000*(AG$51)</f>
        <v>28.319179687499989</v>
      </c>
      <c r="AH501" s="439">
        <f>AVERAGE(AD501:AG501)</f>
        <v>31.669332575563523</v>
      </c>
      <c r="AI501" s="436">
        <f>$I501/1000*(AI$51)</f>
        <v>21.699435483870968</v>
      </c>
      <c r="AJ501" s="437">
        <f>$I501/1000*(AJ$51)</f>
        <v>20.555476190476181</v>
      </c>
      <c r="AK501" s="437">
        <f>$I501/1000*(AK$51)</f>
        <v>20.733164062499998</v>
      </c>
      <c r="AL501" s="438">
        <f>$I501/1000*(AL$51)</f>
        <v>15.998333333333335</v>
      </c>
      <c r="AM501" s="439">
        <f>AVERAGE(AI501:AL501)</f>
        <v>19.746602267545121</v>
      </c>
      <c r="AN501" s="436">
        <f>$I501/1000*(AN$51)</f>
        <v>14.907663934426232</v>
      </c>
      <c r="AO501" s="437">
        <f>$I501/1000*(AO$51)</f>
        <v>16.019882812500001</v>
      </c>
      <c r="AP501" s="437">
        <f>$I501/1000*(AP$51)</f>
        <v>21.563671874999997</v>
      </c>
      <c r="AQ501" s="438">
        <f>$I501/1000*(AQ$51)</f>
        <v>22.734314516129032</v>
      </c>
      <c r="AR501" s="439">
        <f>AVERAGE(AN501:AQ501)</f>
        <v>18.806383284513814</v>
      </c>
      <c r="AS501" s="436">
        <f>$I501/1000*(AS$51)</f>
        <v>22.573790322580642</v>
      </c>
      <c r="AT501" s="437">
        <f>$I501/1000*(AT$51)</f>
        <v>23.0712890625</v>
      </c>
      <c r="AU501" s="437">
        <f t="shared" ref="AU501" si="736">$I501/1000*(AU$51)</f>
        <v>22.155119047619046</v>
      </c>
      <c r="AV501" s="438">
        <f>$I501/1000*(AV$51)</f>
        <v>23.331024590163938</v>
      </c>
      <c r="AW501" s="439">
        <f>AVERAGE(AS501:AV501)</f>
        <v>22.782805755715906</v>
      </c>
      <c r="AX501" s="436">
        <f>$I501/1000*(AX$51)</f>
        <v>23.331024590163938</v>
      </c>
      <c r="AY501" s="437">
        <f>$I501/1000*(AY$51)</f>
        <v>20.097499999999997</v>
      </c>
      <c r="AZ501" s="437">
        <f>$I501/1000*(AZ$51)</f>
        <v>21.112500000000001</v>
      </c>
      <c r="BA501" s="438">
        <f>$I501/1000*(BA$51)</f>
        <v>21.762500000000003</v>
      </c>
      <c r="BB501" s="439">
        <f>AVERAGE(AX501:BA501)</f>
        <v>21.575881147540983</v>
      </c>
      <c r="BC501" s="436">
        <f>$I501/1000*(BC$51)+BC$149</f>
        <v>21.770207732253688</v>
      </c>
      <c r="BD501" s="437">
        <f>$I501/1000*(BD$51)+BD$149</f>
        <v>19.081342198494958</v>
      </c>
      <c r="BE501" s="437">
        <f>$I501/1000*(BE$51)+BE$149</f>
        <v>19.333423342284842</v>
      </c>
      <c r="BF501" s="438">
        <f>$I501/1000*(BF$51)+BF$149</f>
        <v>22.600026726966504</v>
      </c>
      <c r="BG501" s="439">
        <f>AVERAGE(BC501:BF501)</f>
        <v>20.696249999999999</v>
      </c>
      <c r="BH501" s="436">
        <f>$I501/1000*(BH$51)+BH$149</f>
        <v>22.095636639285928</v>
      </c>
      <c r="BI501" s="437">
        <f>$I501/1000*(BI$51)+BI$149</f>
        <v>19.366576974971824</v>
      </c>
      <c r="BJ501" s="437">
        <f>$I501/1000*(BJ$51)+BJ$149</f>
        <v>19.622426318501276</v>
      </c>
      <c r="BK501" s="438">
        <f>$I501/1000*(BK$51)+BK$149</f>
        <v>22.937860067240962</v>
      </c>
      <c r="BL501" s="439">
        <f>AVERAGE(BH501:BK501)</f>
        <v>21.005624999999995</v>
      </c>
      <c r="BM501" s="436">
        <f>$I501/1000*(BM$51)+BM$149</f>
        <v>20.74340625</v>
      </c>
      <c r="BN501" s="437">
        <f>$I501/1000*(BN$51)+BN$149</f>
        <v>20.74340625</v>
      </c>
      <c r="BO501" s="437">
        <f>$I501/1000*(BO$51)+BO$149</f>
        <v>20.74340625</v>
      </c>
      <c r="BP501" s="438">
        <f>$I501/1000*(BP$51)+BP$149</f>
        <v>20.74340625</v>
      </c>
      <c r="BQ501" s="439">
        <f>AVERAGE(BM501:BP501)</f>
        <v>20.74340625</v>
      </c>
      <c r="BR501" s="40"/>
      <c r="BS501" s="40"/>
      <c r="BT501" s="40"/>
      <c r="BU501" s="232"/>
      <c r="BV501" s="40"/>
      <c r="BW501" s="40"/>
      <c r="BX501" s="40"/>
      <c r="BY501" s="40"/>
      <c r="BZ501" s="40"/>
      <c r="CA501" s="40"/>
      <c r="CB501" s="40"/>
      <c r="CC501" s="40"/>
      <c r="CD501" s="40"/>
      <c r="CE501" s="40"/>
      <c r="CF501" s="40"/>
      <c r="CG501" s="40"/>
      <c r="CH501" s="40"/>
      <c r="CI501" s="40"/>
      <c r="CJ501" s="40"/>
      <c r="CK501" s="40"/>
      <c r="CL501" s="40"/>
      <c r="CM501" s="40"/>
      <c r="CN501" s="40"/>
      <c r="CO501" s="40"/>
      <c r="CP501" s="40"/>
      <c r="CQ501" s="40"/>
      <c r="CR501" s="40"/>
      <c r="CS501" s="40"/>
      <c r="CT501" s="823"/>
      <c r="CU501" s="232"/>
      <c r="CV501" s="232"/>
      <c r="CW501" s="232"/>
      <c r="CX501" s="232"/>
      <c r="CY501" s="232"/>
      <c r="CZ501" s="40"/>
      <c r="DA501" s="40"/>
      <c r="DB501" s="40"/>
      <c r="DC501" s="40"/>
      <c r="DD501" s="40"/>
      <c r="DE501" s="40"/>
      <c r="DF501" s="232"/>
      <c r="DG501" s="232"/>
      <c r="DH501" s="232"/>
      <c r="DI501" s="232"/>
      <c r="DJ501" s="232"/>
      <c r="DK501" s="232"/>
      <c r="DL501" s="232"/>
      <c r="DM501" s="232"/>
      <c r="DN501" s="232"/>
    </row>
    <row r="502" spans="1:118">
      <c r="A502" s="40"/>
      <c r="B502" s="32"/>
      <c r="C502" s="28"/>
      <c r="D502" s="1"/>
      <c r="E502" s="273"/>
      <c r="F502" s="3"/>
      <c r="G502" s="3"/>
      <c r="H502" s="274"/>
      <c r="I502" s="426"/>
      <c r="J502" s="273"/>
      <c r="K502" s="3"/>
      <c r="L502" s="3"/>
      <c r="M502" s="274"/>
      <c r="N502" s="1"/>
      <c r="O502" s="273"/>
      <c r="P502" s="3"/>
      <c r="Q502" s="3"/>
      <c r="R502" s="274"/>
      <c r="S502" s="1"/>
      <c r="T502" s="436"/>
      <c r="U502" s="437"/>
      <c r="V502" s="437"/>
      <c r="W502" s="438"/>
      <c r="X502" s="439"/>
      <c r="Y502" s="436"/>
      <c r="Z502" s="437"/>
      <c r="AA502" s="437"/>
      <c r="AB502" s="438"/>
      <c r="AC502" s="439"/>
      <c r="AD502" s="436"/>
      <c r="AE502" s="437"/>
      <c r="AF502" s="437"/>
      <c r="AG502" s="438"/>
      <c r="AH502" s="439"/>
      <c r="AI502" s="436"/>
      <c r="AJ502" s="437"/>
      <c r="AK502" s="437"/>
      <c r="AL502" s="438"/>
      <c r="AM502" s="439"/>
      <c r="AN502" s="436"/>
      <c r="AO502" s="437"/>
      <c r="AP502" s="437"/>
      <c r="AQ502" s="438"/>
      <c r="AR502" s="439"/>
      <c r="AS502" s="436"/>
      <c r="AT502" s="437"/>
      <c r="AU502" s="437"/>
      <c r="AV502" s="438"/>
      <c r="AW502" s="439"/>
      <c r="AX502" s="436"/>
      <c r="AY502" s="437"/>
      <c r="AZ502" s="437"/>
      <c r="BA502" s="438"/>
      <c r="BB502" s="439"/>
      <c r="BC502" s="436"/>
      <c r="BD502" s="437"/>
      <c r="BE502" s="437"/>
      <c r="BF502" s="438"/>
      <c r="BG502" s="439"/>
      <c r="BH502" s="436"/>
      <c r="BI502" s="437"/>
      <c r="BJ502" s="437"/>
      <c r="BK502" s="438"/>
      <c r="BL502" s="439"/>
      <c r="BM502" s="436"/>
      <c r="BN502" s="437"/>
      <c r="BO502" s="437"/>
      <c r="BP502" s="438"/>
      <c r="BQ502" s="439"/>
      <c r="BR502" s="40"/>
      <c r="BS502" s="40"/>
      <c r="BT502" s="40"/>
      <c r="BU502" s="232"/>
      <c r="BV502" s="40"/>
      <c r="BW502" s="40"/>
      <c r="BX502" s="40"/>
      <c r="BY502" s="40"/>
      <c r="BZ502" s="40"/>
      <c r="CA502" s="40"/>
      <c r="CB502" s="40"/>
      <c r="CC502" s="40"/>
      <c r="CD502" s="40"/>
      <c r="CE502" s="40"/>
      <c r="CF502" s="40"/>
      <c r="CG502" s="40"/>
      <c r="CH502" s="40"/>
      <c r="CI502" s="40"/>
      <c r="CJ502" s="40"/>
      <c r="CK502" s="40"/>
      <c r="CL502" s="40"/>
      <c r="CM502" s="40"/>
      <c r="CN502" s="40"/>
      <c r="CO502" s="40"/>
      <c r="CP502" s="40"/>
      <c r="CQ502" s="40"/>
      <c r="CR502" s="40"/>
      <c r="CS502" s="40"/>
      <c r="CT502" s="823"/>
      <c r="CU502" s="232"/>
      <c r="CV502" s="232"/>
      <c r="CW502" s="232"/>
      <c r="CX502" s="232"/>
      <c r="CY502" s="232"/>
      <c r="CZ502" s="40"/>
      <c r="DA502" s="40"/>
      <c r="DB502" s="40"/>
      <c r="DC502" s="40"/>
      <c r="DD502" s="40"/>
      <c r="DE502" s="40"/>
      <c r="DF502" s="232"/>
      <c r="DG502" s="232"/>
      <c r="DH502" s="232"/>
      <c r="DI502" s="232"/>
      <c r="DJ502" s="232"/>
      <c r="DK502" s="232"/>
      <c r="DL502" s="232"/>
      <c r="DM502" s="232"/>
      <c r="DN502" s="232"/>
    </row>
    <row r="503" spans="1:118">
      <c r="A503" s="40"/>
      <c r="B503" s="32"/>
      <c r="C503" s="32" t="s">
        <v>196</v>
      </c>
      <c r="D503" s="32"/>
      <c r="E503" s="292"/>
      <c r="F503" s="261"/>
      <c r="G503" s="261"/>
      <c r="H503" s="293"/>
      <c r="I503" s="884">
        <v>740</v>
      </c>
      <c r="J503" s="292"/>
      <c r="K503" s="261"/>
      <c r="L503" s="261"/>
      <c r="M503" s="293"/>
      <c r="N503" s="228"/>
      <c r="O503" s="292"/>
      <c r="P503" s="261"/>
      <c r="Q503" s="261"/>
      <c r="R503" s="293"/>
      <c r="S503" s="228"/>
      <c r="T503" s="292"/>
      <c r="U503" s="261"/>
      <c r="V503" s="261"/>
      <c r="W503" s="293"/>
      <c r="X503" s="228"/>
      <c r="Y503" s="292">
        <f>+Z503</f>
        <v>740</v>
      </c>
      <c r="Z503" s="261">
        <f>+AA503</f>
        <v>740</v>
      </c>
      <c r="AA503" s="261">
        <f>+AB503</f>
        <v>740</v>
      </c>
      <c r="AB503" s="293">
        <f>+AC503</f>
        <v>740</v>
      </c>
      <c r="AC503" s="669">
        <f>+I503</f>
        <v>740</v>
      </c>
      <c r="AD503" s="292">
        <f t="shared" ref="AD503:BL503" si="737">AC503</f>
        <v>740</v>
      </c>
      <c r="AE503" s="261">
        <f>+AD503</f>
        <v>740</v>
      </c>
      <c r="AF503" s="261">
        <f t="shared" si="737"/>
        <v>740</v>
      </c>
      <c r="AG503" s="293">
        <f>AF503</f>
        <v>740</v>
      </c>
      <c r="AH503" s="228">
        <f t="shared" si="737"/>
        <v>740</v>
      </c>
      <c r="AI503" s="292">
        <f t="shared" si="737"/>
        <v>740</v>
      </c>
      <c r="AJ503" s="261">
        <f t="shared" si="737"/>
        <v>740</v>
      </c>
      <c r="AK503" s="261">
        <f t="shared" si="737"/>
        <v>740</v>
      </c>
      <c r="AL503" s="293">
        <f>AK503</f>
        <v>740</v>
      </c>
      <c r="AM503" s="228">
        <f t="shared" si="737"/>
        <v>740</v>
      </c>
      <c r="AN503" s="292">
        <f>AM503</f>
        <v>740</v>
      </c>
      <c r="AO503" s="261">
        <f>AN503</f>
        <v>740</v>
      </c>
      <c r="AP503" s="261">
        <f>AO503</f>
        <v>740</v>
      </c>
      <c r="AQ503" s="293">
        <f t="shared" si="737"/>
        <v>740</v>
      </c>
      <c r="AR503" s="228">
        <f t="shared" si="737"/>
        <v>740</v>
      </c>
      <c r="AS503" s="292">
        <f t="shared" si="737"/>
        <v>740</v>
      </c>
      <c r="AT503" s="261">
        <f t="shared" si="737"/>
        <v>740</v>
      </c>
      <c r="AU503" s="261">
        <f t="shared" ref="AU503" si="738">AT503</f>
        <v>740</v>
      </c>
      <c r="AV503" s="293">
        <f t="shared" si="737"/>
        <v>740</v>
      </c>
      <c r="AW503" s="228">
        <f t="shared" si="737"/>
        <v>740</v>
      </c>
      <c r="AX503" s="292">
        <f t="shared" si="737"/>
        <v>740</v>
      </c>
      <c r="AY503" s="261">
        <f t="shared" si="737"/>
        <v>740</v>
      </c>
      <c r="AZ503" s="261">
        <f t="shared" si="737"/>
        <v>740</v>
      </c>
      <c r="BA503" s="293">
        <f t="shared" si="737"/>
        <v>740</v>
      </c>
      <c r="BB503" s="228">
        <f t="shared" si="737"/>
        <v>740</v>
      </c>
      <c r="BC503" s="292">
        <f t="shared" si="737"/>
        <v>740</v>
      </c>
      <c r="BD503" s="261">
        <f t="shared" si="737"/>
        <v>740</v>
      </c>
      <c r="BE503" s="261">
        <f t="shared" si="737"/>
        <v>740</v>
      </c>
      <c r="BF503" s="293">
        <f t="shared" si="737"/>
        <v>740</v>
      </c>
      <c r="BG503" s="228">
        <f>BF503</f>
        <v>740</v>
      </c>
      <c r="BH503" s="292">
        <f>BG503</f>
        <v>740</v>
      </c>
      <c r="BI503" s="261">
        <f t="shared" si="737"/>
        <v>740</v>
      </c>
      <c r="BJ503" s="261">
        <f t="shared" si="737"/>
        <v>740</v>
      </c>
      <c r="BK503" s="293">
        <f t="shared" si="737"/>
        <v>740</v>
      </c>
      <c r="BL503" s="228">
        <f t="shared" si="737"/>
        <v>740</v>
      </c>
      <c r="BM503" s="292">
        <f t="shared" ref="BM503" si="739">BL503</f>
        <v>740</v>
      </c>
      <c r="BN503" s="261">
        <f t="shared" ref="BN503" si="740">BM503</f>
        <v>740</v>
      </c>
      <c r="BO503" s="261">
        <f t="shared" ref="BO503" si="741">BN503</f>
        <v>740</v>
      </c>
      <c r="BP503" s="293">
        <f t="shared" ref="BP503" si="742">BO503</f>
        <v>740</v>
      </c>
      <c r="BQ503" s="228">
        <f t="shared" ref="BQ503" si="743">BP503</f>
        <v>740</v>
      </c>
      <c r="BR503" s="40"/>
      <c r="BS503" s="40"/>
      <c r="BT503" s="40"/>
      <c r="BU503" s="232"/>
      <c r="BV503" s="40"/>
      <c r="BW503" s="40"/>
      <c r="BX503" s="40"/>
      <c r="BY503" s="40"/>
      <c r="BZ503" s="40"/>
      <c r="CA503" s="40"/>
      <c r="CB503" s="40"/>
      <c r="CC503" s="40"/>
      <c r="CD503" s="40"/>
      <c r="CE503" s="40"/>
      <c r="CF503" s="40"/>
      <c r="CG503" s="40"/>
      <c r="CH503" s="40"/>
      <c r="CI503" s="40"/>
      <c r="CJ503" s="40"/>
      <c r="CK503" s="40"/>
      <c r="CL503" s="40"/>
      <c r="CM503" s="40"/>
      <c r="CN503" s="40"/>
      <c r="CO503" s="40"/>
      <c r="CP503" s="40"/>
      <c r="CQ503" s="40"/>
      <c r="CR503" s="40"/>
      <c r="CS503" s="40"/>
      <c r="CT503" s="823"/>
      <c r="CU503" s="232"/>
      <c r="CV503" s="232"/>
      <c r="CW503" s="232"/>
      <c r="CX503" s="232"/>
      <c r="CY503" s="232"/>
      <c r="CZ503" s="40"/>
      <c r="DA503" s="40"/>
      <c r="DB503" s="40"/>
      <c r="DC503" s="40"/>
      <c r="DD503" s="40"/>
      <c r="DE503" s="40"/>
      <c r="DF503" s="232"/>
      <c r="DG503" s="232"/>
      <c r="DH503" s="232"/>
      <c r="DI503" s="232"/>
      <c r="DJ503" s="232"/>
      <c r="DK503" s="232"/>
      <c r="DL503" s="232"/>
      <c r="DM503" s="232"/>
      <c r="DN503" s="232"/>
    </row>
    <row r="504" spans="1:118">
      <c r="A504" s="40"/>
      <c r="B504" s="32"/>
      <c r="C504" s="1"/>
      <c r="D504" s="1"/>
      <c r="E504" s="273"/>
      <c r="F504" s="3"/>
      <c r="G504" s="3"/>
      <c r="H504" s="274"/>
      <c r="I504" s="28"/>
      <c r="J504" s="273"/>
      <c r="K504" s="3"/>
      <c r="L504" s="3"/>
      <c r="M504" s="274"/>
      <c r="N504" s="1"/>
      <c r="O504" s="273"/>
      <c r="P504" s="3"/>
      <c r="Q504" s="3"/>
      <c r="R504" s="274"/>
      <c r="S504" s="1"/>
      <c r="T504" s="273"/>
      <c r="U504" s="3"/>
      <c r="V504" s="3"/>
      <c r="W504" s="274"/>
      <c r="X504" s="1"/>
      <c r="Y504" s="273"/>
      <c r="Z504" s="3"/>
      <c r="AA504" s="3"/>
      <c r="AB504" s="274"/>
      <c r="AC504" s="1"/>
      <c r="AD504" s="273"/>
      <c r="AE504" s="3"/>
      <c r="AF504" s="3"/>
      <c r="AG504" s="274"/>
      <c r="AH504" s="1"/>
      <c r="AI504" s="273"/>
      <c r="AJ504" s="3"/>
      <c r="AK504" s="3"/>
      <c r="AL504" s="274"/>
      <c r="AM504" s="1"/>
      <c r="AN504" s="273"/>
      <c r="AO504" s="3"/>
      <c r="AP504" s="3"/>
      <c r="AQ504" s="274"/>
      <c r="AR504" s="1"/>
      <c r="AS504" s="273"/>
      <c r="AT504" s="3"/>
      <c r="AU504" s="3"/>
      <c r="AV504" s="274"/>
      <c r="AW504" s="1"/>
      <c r="AX504" s="273"/>
      <c r="AY504" s="3"/>
      <c r="AZ504" s="3"/>
      <c r="BA504" s="274"/>
      <c r="BB504" s="1"/>
      <c r="BC504" s="273"/>
      <c r="BD504" s="3"/>
      <c r="BE504" s="3"/>
      <c r="BF504" s="274"/>
      <c r="BG504" s="1"/>
      <c r="BH504" s="273"/>
      <c r="BI504" s="3"/>
      <c r="BJ504" s="3"/>
      <c r="BK504" s="274"/>
      <c r="BL504" s="1"/>
      <c r="BM504" s="273"/>
      <c r="BN504" s="3"/>
      <c r="BO504" s="3"/>
      <c r="BP504" s="274"/>
      <c r="BQ504" s="1"/>
      <c r="BR504" s="40"/>
      <c r="BS504" s="40"/>
      <c r="BT504" s="40"/>
      <c r="BU504" s="232"/>
      <c r="BV504" s="40"/>
      <c r="BW504" s="40"/>
      <c r="BX504" s="40"/>
      <c r="BY504" s="40"/>
      <c r="BZ504" s="40"/>
      <c r="CA504" s="40"/>
      <c r="CB504" s="40"/>
      <c r="CC504" s="40"/>
      <c r="CD504" s="40"/>
      <c r="CE504" s="40"/>
      <c r="CF504" s="40"/>
      <c r="CG504" s="40"/>
      <c r="CH504" s="40"/>
      <c r="CI504" s="40"/>
      <c r="CJ504" s="40"/>
      <c r="CK504" s="40"/>
      <c r="CL504" s="40"/>
      <c r="CM504" s="40"/>
      <c r="CN504" s="40"/>
      <c r="CO504" s="40"/>
      <c r="CP504" s="40"/>
      <c r="CQ504" s="40"/>
      <c r="CR504" s="40"/>
      <c r="CS504" s="40"/>
      <c r="CT504" s="823"/>
      <c r="CU504" s="232"/>
      <c r="CV504" s="232"/>
      <c r="CW504" s="232"/>
      <c r="CX504" s="232"/>
      <c r="CY504" s="232"/>
      <c r="CZ504" s="40"/>
      <c r="DA504" s="40"/>
      <c r="DB504" s="40"/>
      <c r="DC504" s="40"/>
      <c r="DD504" s="40"/>
      <c r="DE504" s="40"/>
      <c r="DF504" s="232"/>
      <c r="DG504" s="232"/>
      <c r="DH504" s="232"/>
      <c r="DI504" s="232"/>
      <c r="DJ504" s="232"/>
      <c r="DK504" s="232"/>
      <c r="DL504" s="232"/>
      <c r="DM504" s="232"/>
      <c r="DN504" s="232"/>
    </row>
    <row r="505" spans="1:118">
      <c r="A505" s="40"/>
      <c r="B505" s="32"/>
      <c r="C505" s="28" t="s">
        <v>170</v>
      </c>
      <c r="D505" s="1"/>
      <c r="E505" s="273"/>
      <c r="F505" s="3"/>
      <c r="G505" s="3"/>
      <c r="H505" s="274"/>
      <c r="I505" s="544">
        <v>0.4</v>
      </c>
      <c r="J505" s="273"/>
      <c r="K505" s="3"/>
      <c r="L505" s="3"/>
      <c r="M505" s="274"/>
      <c r="N505" s="1"/>
      <c r="O505" s="273"/>
      <c r="P505" s="3"/>
      <c r="Q505" s="3"/>
      <c r="R505" s="274"/>
      <c r="S505" s="1"/>
      <c r="T505" s="277"/>
      <c r="U505" s="253"/>
      <c r="V505" s="253"/>
      <c r="W505" s="278"/>
      <c r="X505" s="224"/>
      <c r="Y505" s="277">
        <f>+I505</f>
        <v>0.4</v>
      </c>
      <c r="Z505" s="253">
        <f>+Y505</f>
        <v>0.4</v>
      </c>
      <c r="AA505" s="253">
        <f>+Z505</f>
        <v>0.4</v>
      </c>
      <c r="AB505" s="278">
        <f>+AA505</f>
        <v>0.4</v>
      </c>
      <c r="AC505" s="224">
        <f>AVERAGE(Y505:AB505)</f>
        <v>0.4</v>
      </c>
      <c r="AD505" s="277">
        <f>+Y505</f>
        <v>0.4</v>
      </c>
      <c r="AE505" s="253">
        <f>+AD505</f>
        <v>0.4</v>
      </c>
      <c r="AF505" s="253">
        <f>+AA505</f>
        <v>0.4</v>
      </c>
      <c r="AG505" s="278">
        <f>+AB505</f>
        <v>0.4</v>
      </c>
      <c r="AH505" s="224">
        <f>AVERAGE(AD505:AG505)</f>
        <v>0.4</v>
      </c>
      <c r="AI505" s="277">
        <f>+AD505</f>
        <v>0.4</v>
      </c>
      <c r="AJ505" s="253">
        <f>+AE505</f>
        <v>0.4</v>
      </c>
      <c r="AK505" s="253">
        <f>+AF505</f>
        <v>0.4</v>
      </c>
      <c r="AL505" s="278">
        <f>+AG505</f>
        <v>0.4</v>
      </c>
      <c r="AM505" s="224">
        <f>AVERAGE(AI505:AL505)</f>
        <v>0.4</v>
      </c>
      <c r="AN505" s="277">
        <f>+AI505</f>
        <v>0.4</v>
      </c>
      <c r="AO505" s="253">
        <f>+AJ505</f>
        <v>0.4</v>
      </c>
      <c r="AP505" s="253">
        <f>+AK505</f>
        <v>0.4</v>
      </c>
      <c r="AQ505" s="278">
        <f>+AL505</f>
        <v>0.4</v>
      </c>
      <c r="AR505" s="224">
        <f>AVERAGE(AN505:AQ505)</f>
        <v>0.4</v>
      </c>
      <c r="AS505" s="277">
        <f>+AN505</f>
        <v>0.4</v>
      </c>
      <c r="AT505" s="253">
        <f>+AO505</f>
        <v>0.4</v>
      </c>
      <c r="AU505" s="253">
        <f t="shared" ref="AU505" si="744">+AP505</f>
        <v>0.4</v>
      </c>
      <c r="AV505" s="278">
        <f>+AQ505</f>
        <v>0.4</v>
      </c>
      <c r="AW505" s="224">
        <f>AVERAGE(AS505:AV505)</f>
        <v>0.4</v>
      </c>
      <c r="AX505" s="277">
        <f>+AS505</f>
        <v>0.4</v>
      </c>
      <c r="AY505" s="253">
        <f>+AT505</f>
        <v>0.4</v>
      </c>
      <c r="AZ505" s="253">
        <f>+AU505</f>
        <v>0.4</v>
      </c>
      <c r="BA505" s="278">
        <f>+AV505</f>
        <v>0.4</v>
      </c>
      <c r="BB505" s="224">
        <f>AVERAGE(AX505:BA505)</f>
        <v>0.4</v>
      </c>
      <c r="BC505" s="277">
        <f>+AX505</f>
        <v>0.4</v>
      </c>
      <c r="BD505" s="253">
        <f>+AY505</f>
        <v>0.4</v>
      </c>
      <c r="BE505" s="253">
        <f>+AZ505</f>
        <v>0.4</v>
      </c>
      <c r="BF505" s="278">
        <f>+BA505</f>
        <v>0.4</v>
      </c>
      <c r="BG505" s="224">
        <f>AVERAGE(BC505:BF505)</f>
        <v>0.4</v>
      </c>
      <c r="BH505" s="277">
        <f>+BC505</f>
        <v>0.4</v>
      </c>
      <c r="BI505" s="253">
        <f>+BD505</f>
        <v>0.4</v>
      </c>
      <c r="BJ505" s="253">
        <f>+BE505</f>
        <v>0.4</v>
      </c>
      <c r="BK505" s="278">
        <f>+BF505</f>
        <v>0.4</v>
      </c>
      <c r="BL505" s="224">
        <f>AVERAGE(BH505:BK505)</f>
        <v>0.4</v>
      </c>
      <c r="BM505" s="277">
        <f>+BH505</f>
        <v>0.4</v>
      </c>
      <c r="BN505" s="253">
        <f>+BI505</f>
        <v>0.4</v>
      </c>
      <c r="BO505" s="253">
        <f>+BJ505</f>
        <v>0.4</v>
      </c>
      <c r="BP505" s="278">
        <f>+BK505</f>
        <v>0.4</v>
      </c>
      <c r="BQ505" s="224">
        <f>AVERAGE(BM505:BP505)</f>
        <v>0.4</v>
      </c>
      <c r="BR505" s="40"/>
      <c r="BS505" s="40"/>
      <c r="BT505" s="40"/>
      <c r="BU505" s="232"/>
      <c r="BV505" s="40"/>
      <c r="BW505" s="40"/>
      <c r="BX505" s="40"/>
      <c r="BY505" s="40"/>
      <c r="BZ505" s="40"/>
      <c r="CA505" s="40"/>
      <c r="CB505" s="40"/>
      <c r="CC505" s="40"/>
      <c r="CD505" s="40"/>
      <c r="CE505" s="40"/>
      <c r="CF505" s="40"/>
      <c r="CG505" s="40"/>
      <c r="CH505" s="40"/>
      <c r="CI505" s="40"/>
      <c r="CJ505" s="40"/>
      <c r="CK505" s="40"/>
      <c r="CL505" s="40"/>
      <c r="CM505" s="40"/>
      <c r="CN505" s="40"/>
      <c r="CO505" s="40"/>
      <c r="CP505" s="40"/>
      <c r="CQ505" s="40"/>
      <c r="CR505" s="40"/>
      <c r="CS505" s="40"/>
      <c r="CT505" s="823"/>
      <c r="CU505" s="232"/>
      <c r="CV505" s="232"/>
      <c r="CW505" s="232"/>
      <c r="CX505" s="232"/>
      <c r="CY505" s="232"/>
      <c r="CZ505" s="40"/>
      <c r="DA505" s="40"/>
      <c r="DB505" s="40"/>
      <c r="DC505" s="40"/>
      <c r="DD505" s="40"/>
      <c r="DE505" s="40"/>
      <c r="DF505" s="232"/>
      <c r="DG505" s="232"/>
      <c r="DH505" s="232"/>
      <c r="DI505" s="232"/>
      <c r="DJ505" s="232"/>
      <c r="DK505" s="232"/>
      <c r="DL505" s="232"/>
      <c r="DM505" s="232"/>
      <c r="DN505" s="232"/>
    </row>
    <row r="506" spans="1:118">
      <c r="A506" s="40"/>
      <c r="B506" s="32"/>
      <c r="C506" s="28" t="s">
        <v>168</v>
      </c>
      <c r="D506" s="1"/>
      <c r="E506" s="273"/>
      <c r="F506" s="3"/>
      <c r="G506" s="3"/>
      <c r="H506" s="274"/>
      <c r="I506" s="28"/>
      <c r="J506" s="273"/>
      <c r="K506" s="3"/>
      <c r="L506" s="3"/>
      <c r="M506" s="274"/>
      <c r="N506" s="1"/>
      <c r="O506" s="273"/>
      <c r="P506" s="3"/>
      <c r="Q506" s="3"/>
      <c r="R506" s="274"/>
      <c r="S506" s="1"/>
      <c r="T506" s="332"/>
      <c r="U506" s="333"/>
      <c r="V506" s="333"/>
      <c r="W506" s="334"/>
      <c r="X506" s="331"/>
      <c r="Y506" s="332">
        <f>(Y503*Y505*(8760/1000))/4</f>
        <v>648.24</v>
      </c>
      <c r="Z506" s="333">
        <f>(Z503*Z505*(8760/1000))/4</f>
        <v>648.24</v>
      </c>
      <c r="AA506" s="333">
        <f>(AA503*AA505*(8760/1000))/4</f>
        <v>648.24</v>
      </c>
      <c r="AB506" s="334">
        <f>(AB503*AB505*(8760/1000))/4</f>
        <v>648.24</v>
      </c>
      <c r="AC506" s="331">
        <f>SUM(Y506:AB506)</f>
        <v>2592.96</v>
      </c>
      <c r="AD506" s="332">
        <f>(AD503*AD505*(8760/1000))/4</f>
        <v>648.24</v>
      </c>
      <c r="AE506" s="333">
        <f>(AE503*AE505*(8760/1000))/4</f>
        <v>648.24</v>
      </c>
      <c r="AF506" s="333">
        <f>(AF503*AF505*(8760/1000))/4</f>
        <v>648.24</v>
      </c>
      <c r="AG506" s="334">
        <f>(AG503*AG505*(8760/1000))/4</f>
        <v>648.24</v>
      </c>
      <c r="AH506" s="331">
        <f>SUM(AD506:AG506)</f>
        <v>2592.96</v>
      </c>
      <c r="AI506" s="332">
        <f>(AI503*AI505*(8760/1000))/4</f>
        <v>648.24</v>
      </c>
      <c r="AJ506" s="333">
        <f>(AJ503*AJ505*(8760/1000))/4</f>
        <v>648.24</v>
      </c>
      <c r="AK506" s="333">
        <f>(AK503*AK505*(8760/1000))/4</f>
        <v>648.24</v>
      </c>
      <c r="AL506" s="334">
        <f>(AL503*AL505*(8760/1000))/4</f>
        <v>648.24</v>
      </c>
      <c r="AM506" s="331">
        <f>SUM(AI506:AL506)</f>
        <v>2592.96</v>
      </c>
      <c r="AN506" s="332">
        <f>(AN503*AN505*(8760/1000))/4</f>
        <v>648.24</v>
      </c>
      <c r="AO506" s="333">
        <f>(AO503*AO505*(8760/1000))/4</f>
        <v>648.24</v>
      </c>
      <c r="AP506" s="333">
        <f>(AP503*AP505*(8760/1000))/4</f>
        <v>648.24</v>
      </c>
      <c r="AQ506" s="334">
        <f>(AQ503*AQ505*(8760/1000))/4</f>
        <v>648.24</v>
      </c>
      <c r="AR506" s="331">
        <f>SUM(AN506:AQ506)</f>
        <v>2592.96</v>
      </c>
      <c r="AS506" s="332">
        <f>(AS503*AS505*(8760/1000))/4</f>
        <v>648.24</v>
      </c>
      <c r="AT506" s="333">
        <f>(AT503*AT505*(8760/1000))/4</f>
        <v>648.24</v>
      </c>
      <c r="AU506" s="333">
        <f t="shared" ref="AU506" si="745">(AU503*AU505*(8760/1000))/4</f>
        <v>648.24</v>
      </c>
      <c r="AV506" s="334">
        <f>(AV503*AV505*(8760/1000))/4</f>
        <v>648.24</v>
      </c>
      <c r="AW506" s="331">
        <f>SUM(AS506:AV506)</f>
        <v>2592.96</v>
      </c>
      <c r="AX506" s="332">
        <f>(AX503*AX505*(8760/1000))/4</f>
        <v>648.24</v>
      </c>
      <c r="AY506" s="333">
        <f>(AY503*AY505*(8760/1000))/4</f>
        <v>648.24</v>
      </c>
      <c r="AZ506" s="333">
        <f>(AZ503*AZ505*(8760/1000))/4</f>
        <v>648.24</v>
      </c>
      <c r="BA506" s="334">
        <f>(BA503*BA505*(8760/1000))/4</f>
        <v>648.24</v>
      </c>
      <c r="BB506" s="331">
        <f>SUM(AX506:BA506)</f>
        <v>2592.96</v>
      </c>
      <c r="BC506" s="332">
        <f>(BC503*BC505*(8760/1000))/4</f>
        <v>648.24</v>
      </c>
      <c r="BD506" s="333">
        <f>(BD503*BD505*(8760/1000))/4</f>
        <v>648.24</v>
      </c>
      <c r="BE506" s="333">
        <f>(BE503*BE505*(8760/1000))/4</f>
        <v>648.24</v>
      </c>
      <c r="BF506" s="334">
        <f>(BF503*BF505*(8760/1000))/4</f>
        <v>648.24</v>
      </c>
      <c r="BG506" s="331">
        <f>SUM(BC506:BF506)</f>
        <v>2592.96</v>
      </c>
      <c r="BH506" s="332">
        <f>(BH503*BH505*(8760/1000))/4</f>
        <v>648.24</v>
      </c>
      <c r="BI506" s="333">
        <f>(BI503*BI505*(8760/1000))/4</f>
        <v>648.24</v>
      </c>
      <c r="BJ506" s="333">
        <f>(BJ503*BJ505*(8760/1000))/4</f>
        <v>648.24</v>
      </c>
      <c r="BK506" s="334">
        <f>(BK503*BK505*(8760/1000))/4</f>
        <v>648.24</v>
      </c>
      <c r="BL506" s="331">
        <f>SUM(BH506:BK506)</f>
        <v>2592.96</v>
      </c>
      <c r="BM506" s="332">
        <f>(BM503*BM505*(8760/1000))/4</f>
        <v>648.24</v>
      </c>
      <c r="BN506" s="333">
        <f>(BN503*BN505*(8760/1000))/4</f>
        <v>648.24</v>
      </c>
      <c r="BO506" s="333">
        <f>(BO503*BO505*(8760/1000))/4</f>
        <v>648.24</v>
      </c>
      <c r="BP506" s="334">
        <f>(BP503*BP505*(8760/1000))/4</f>
        <v>648.24</v>
      </c>
      <c r="BQ506" s="331">
        <f>SUM(BM506:BP506)</f>
        <v>2592.96</v>
      </c>
      <c r="BR506" s="40"/>
      <c r="BS506" s="40"/>
      <c r="BT506" s="40"/>
      <c r="BU506" s="232"/>
      <c r="BV506" s="40"/>
      <c r="BW506" s="40"/>
      <c r="BX506" s="40"/>
      <c r="BY506" s="40"/>
      <c r="BZ506" s="40"/>
      <c r="CA506" s="40"/>
      <c r="CB506" s="40"/>
      <c r="CC506" s="40"/>
      <c r="CD506" s="40"/>
      <c r="CE506" s="40"/>
      <c r="CF506" s="40"/>
      <c r="CG506" s="40"/>
      <c r="CH506" s="40"/>
      <c r="CI506" s="40"/>
      <c r="CJ506" s="40"/>
      <c r="CK506" s="40"/>
      <c r="CL506" s="40"/>
      <c r="CM506" s="40"/>
      <c r="CN506" s="40"/>
      <c r="CO506" s="40"/>
      <c r="CP506" s="40"/>
      <c r="CQ506" s="40"/>
      <c r="CR506" s="40"/>
      <c r="CS506" s="40"/>
      <c r="CT506" s="823"/>
      <c r="CU506" s="232"/>
      <c r="CV506" s="232"/>
      <c r="CW506" s="232"/>
      <c r="CX506" s="232"/>
      <c r="CY506" s="232"/>
      <c r="CZ506" s="40"/>
      <c r="DA506" s="40"/>
      <c r="DB506" s="40"/>
      <c r="DC506" s="40"/>
      <c r="DD506" s="40"/>
      <c r="DE506" s="40"/>
      <c r="DF506" s="232"/>
      <c r="DG506" s="232"/>
      <c r="DH506" s="232"/>
      <c r="DI506" s="232"/>
      <c r="DJ506" s="232"/>
      <c r="DK506" s="232"/>
      <c r="DL506" s="232"/>
      <c r="DM506" s="232"/>
      <c r="DN506" s="232"/>
    </row>
    <row r="507" spans="1:118">
      <c r="A507" s="40"/>
      <c r="B507" s="32"/>
      <c r="C507" s="28"/>
      <c r="D507" s="1"/>
      <c r="E507" s="273"/>
      <c r="F507" s="3"/>
      <c r="G507" s="3"/>
      <c r="H507" s="274"/>
      <c r="I507" s="28"/>
      <c r="J507" s="273"/>
      <c r="K507" s="3"/>
      <c r="L507" s="3"/>
      <c r="M507" s="274"/>
      <c r="N507" s="1"/>
      <c r="O507" s="273"/>
      <c r="P507" s="3"/>
      <c r="Q507" s="3"/>
      <c r="R507" s="274"/>
      <c r="S507" s="1"/>
      <c r="T507" s="273"/>
      <c r="U507" s="3"/>
      <c r="V507" s="3"/>
      <c r="W507" s="274"/>
      <c r="X507" s="1"/>
      <c r="Y507" s="273"/>
      <c r="Z507" s="3"/>
      <c r="AA507" s="3"/>
      <c r="AB507" s="274"/>
      <c r="AC507" s="1"/>
      <c r="AD507" s="273"/>
      <c r="AE507" s="3"/>
      <c r="AF507" s="3"/>
      <c r="AG507" s="274"/>
      <c r="AH507" s="1"/>
      <c r="AI507" s="273"/>
      <c r="AJ507" s="3"/>
      <c r="AK507" s="3"/>
      <c r="AL507" s="274"/>
      <c r="AM507" s="1"/>
      <c r="AN507" s="273"/>
      <c r="AO507" s="3"/>
      <c r="AP507" s="3"/>
      <c r="AQ507" s="274"/>
      <c r="AR507" s="1"/>
      <c r="AS507" s="273"/>
      <c r="AT507" s="3"/>
      <c r="AU507" s="3"/>
      <c r="AV507" s="274"/>
      <c r="AW507" s="1"/>
      <c r="AX507" s="273"/>
      <c r="AY507" s="3"/>
      <c r="AZ507" s="3"/>
      <c r="BA507" s="274"/>
      <c r="BB507" s="1"/>
      <c r="BC507" s="273"/>
      <c r="BD507" s="3"/>
      <c r="BE507" s="3"/>
      <c r="BF507" s="274"/>
      <c r="BG507" s="1"/>
      <c r="BH507" s="273"/>
      <c r="BI507" s="3"/>
      <c r="BJ507" s="3"/>
      <c r="BK507" s="274"/>
      <c r="BL507" s="1"/>
      <c r="BM507" s="273"/>
      <c r="BN507" s="3"/>
      <c r="BO507" s="3"/>
      <c r="BP507" s="274"/>
      <c r="BQ507" s="1"/>
      <c r="BR507" s="40"/>
      <c r="BS507" s="40"/>
      <c r="BT507" s="40"/>
      <c r="BU507" s="232"/>
      <c r="BV507" s="40"/>
      <c r="BW507" s="40"/>
      <c r="BX507" s="40"/>
      <c r="BY507" s="40"/>
      <c r="BZ507" s="40"/>
      <c r="CA507" s="40"/>
      <c r="CB507" s="40"/>
      <c r="CC507" s="40"/>
      <c r="CD507" s="40"/>
      <c r="CE507" s="40"/>
      <c r="CF507" s="40"/>
      <c r="CG507" s="40"/>
      <c r="CH507" s="40"/>
      <c r="CI507" s="40"/>
      <c r="CJ507" s="40"/>
      <c r="CK507" s="40"/>
      <c r="CL507" s="40"/>
      <c r="CM507" s="40"/>
      <c r="CN507" s="40"/>
      <c r="CO507" s="40"/>
      <c r="CP507" s="40"/>
      <c r="CQ507" s="40"/>
      <c r="CR507" s="40"/>
      <c r="CS507" s="40"/>
      <c r="CT507" s="823"/>
      <c r="CU507" s="232"/>
      <c r="CV507" s="232"/>
      <c r="CW507" s="232"/>
      <c r="CX507" s="232"/>
      <c r="CY507" s="232"/>
      <c r="CZ507" s="40"/>
      <c r="DA507" s="40"/>
      <c r="DB507" s="40"/>
      <c r="DC507" s="40"/>
      <c r="DD507" s="40"/>
      <c r="DE507" s="40"/>
      <c r="DF507" s="232"/>
      <c r="DG507" s="232"/>
      <c r="DH507" s="232"/>
      <c r="DI507" s="232"/>
      <c r="DJ507" s="232"/>
      <c r="DK507" s="232"/>
      <c r="DL507" s="232"/>
      <c r="DM507" s="232"/>
      <c r="DN507" s="232"/>
    </row>
    <row r="508" spans="1:118">
      <c r="A508" s="40"/>
      <c r="B508" s="32"/>
      <c r="C508" s="28" t="s">
        <v>171</v>
      </c>
      <c r="D508" s="1"/>
      <c r="E508" s="273"/>
      <c r="F508" s="3"/>
      <c r="G508" s="3"/>
      <c r="H508" s="274"/>
      <c r="I508" s="544">
        <v>0.1</v>
      </c>
      <c r="J508" s="273"/>
      <c r="K508" s="3"/>
      <c r="L508" s="3"/>
      <c r="M508" s="274"/>
      <c r="N508" s="1"/>
      <c r="O508" s="273"/>
      <c r="P508" s="3"/>
      <c r="Q508" s="3"/>
      <c r="R508" s="274"/>
      <c r="S508" s="1"/>
      <c r="T508" s="277"/>
      <c r="U508" s="253"/>
      <c r="V508" s="253"/>
      <c r="W508" s="278"/>
      <c r="X508" s="224"/>
      <c r="Y508" s="277">
        <f>IF(Y500&gt;Y501,$I508,0%)</f>
        <v>0.1</v>
      </c>
      <c r="Z508" s="253">
        <f>IF(Z500&gt;Z501,$I508,0%)</f>
        <v>0.1</v>
      </c>
      <c r="AA508" s="253">
        <f>IF(AA500&gt;AA501,$I508,0%)</f>
        <v>0.1</v>
      </c>
      <c r="AB508" s="278">
        <f>IF(AB500&gt;AB501,$I508,0%)</f>
        <v>0.1</v>
      </c>
      <c r="AC508" s="224">
        <f>AVERAGE(Y508:AB508)</f>
        <v>0.1</v>
      </c>
      <c r="AD508" s="277">
        <f>IF(AD500&gt;AD501,$I508,0%)</f>
        <v>0.1</v>
      </c>
      <c r="AE508" s="253">
        <f>IF(AE500&gt;AE501,$I508,0%)</f>
        <v>0</v>
      </c>
      <c r="AF508" s="253">
        <f>IF(AF500&gt;AF501,$I508,0%)</f>
        <v>0</v>
      </c>
      <c r="AG508" s="278">
        <f>IF(AG500&gt;AG501,$I508,0%)</f>
        <v>0.1</v>
      </c>
      <c r="AH508" s="224">
        <f>AVERAGE(AD508:AG508)</f>
        <v>0.05</v>
      </c>
      <c r="AI508" s="277">
        <f>IF(AI500&gt;AI501,$I508,0%)</f>
        <v>0.1</v>
      </c>
      <c r="AJ508" s="253">
        <f>IF(AJ500&gt;AJ501,$I508,0%)</f>
        <v>0.1</v>
      </c>
      <c r="AK508" s="253">
        <f>IF(AK500&gt;AK501,$I508,0%)</f>
        <v>0.1</v>
      </c>
      <c r="AL508" s="278">
        <f>IF(AL500&gt;AL501,$I508,0%)</f>
        <v>0.1</v>
      </c>
      <c r="AM508" s="224">
        <f>AVERAGE(AI508:AL508)</f>
        <v>0.1</v>
      </c>
      <c r="AN508" s="277">
        <f>IF(AN500&gt;AN501,$I508,0%)</f>
        <v>0.1</v>
      </c>
      <c r="AO508" s="253">
        <f>IF(AO500&gt;AO501,$I508,0%)</f>
        <v>0.1</v>
      </c>
      <c r="AP508" s="253">
        <f>IF(AP500&gt;AP501,$I508,0%)</f>
        <v>0.1</v>
      </c>
      <c r="AQ508" s="278">
        <f>IF(AQ500&gt;AQ501,$I508,0%)</f>
        <v>0.1</v>
      </c>
      <c r="AR508" s="224">
        <f>AVERAGE(AN508:AQ508)</f>
        <v>0.1</v>
      </c>
      <c r="AS508" s="277">
        <f>IF(AS500&gt;AS501,$I508,0%)</f>
        <v>0.1</v>
      </c>
      <c r="AT508" s="253">
        <f>IF(AT500&gt;AT501,$I508,0%)</f>
        <v>0</v>
      </c>
      <c r="AU508" s="253">
        <f t="shared" ref="AU508" si="746">IF(AU500&gt;AU501,$I508,0%)</f>
        <v>0.1</v>
      </c>
      <c r="AV508" s="278">
        <f>IF(AV500&gt;AV501,$I508,0%)</f>
        <v>0.1</v>
      </c>
      <c r="AW508" s="224">
        <f>AVERAGE(AS508:AV508)</f>
        <v>7.5000000000000011E-2</v>
      </c>
      <c r="AX508" s="277">
        <f>IF(AX500&gt;AX501,$I508,0%)</f>
        <v>0.1</v>
      </c>
      <c r="AY508" s="253">
        <f>IF(AY500&gt;AY501,$I508,0%)</f>
        <v>0.1</v>
      </c>
      <c r="AZ508" s="253">
        <f>IF(AZ500&gt;AZ501,$I508,0%)</f>
        <v>0.1</v>
      </c>
      <c r="BA508" s="278">
        <f>IF(BA500&gt;BA501,$I508,0%)</f>
        <v>0.1</v>
      </c>
      <c r="BB508" s="224">
        <f>AVERAGE(AX508:BA508)</f>
        <v>0.1</v>
      </c>
      <c r="BC508" s="277">
        <f>IF(BC500&gt;BC501,$I508,0%)</f>
        <v>0.1</v>
      </c>
      <c r="BD508" s="253">
        <f>IF(BD500&gt;BD501,$I508,0%)</f>
        <v>0.1</v>
      </c>
      <c r="BE508" s="253">
        <f>IF(BE500&gt;BE501,$I508,0%)</f>
        <v>0.1</v>
      </c>
      <c r="BF508" s="278">
        <f>IF(BF500&gt;BF501,$I508,0%)</f>
        <v>0.1</v>
      </c>
      <c r="BG508" s="224">
        <f>AVERAGE(BC508:BF508)</f>
        <v>0.1</v>
      </c>
      <c r="BH508" s="277">
        <f>IF(BH500&gt;BH501,$I508,0%)</f>
        <v>0.1</v>
      </c>
      <c r="BI508" s="253">
        <f>IF(BI500&gt;BI501,$I508,0%)</f>
        <v>0.1</v>
      </c>
      <c r="BJ508" s="253">
        <f>IF(BJ500&gt;BJ501,$I508,0%)</f>
        <v>0.1</v>
      </c>
      <c r="BK508" s="278">
        <f>IF(BK500&gt;BK501,$I508,0%)</f>
        <v>0.1</v>
      </c>
      <c r="BL508" s="224">
        <f>AVERAGE(BH508:BK508)</f>
        <v>0.1</v>
      </c>
      <c r="BM508" s="277">
        <f>IF(BM500&gt;BM501,$I508,0%)</f>
        <v>0.1</v>
      </c>
      <c r="BN508" s="253">
        <f>IF(BN500&gt;BN501,$I508,0%)</f>
        <v>0.1</v>
      </c>
      <c r="BO508" s="253">
        <f>IF(BO500&gt;BO501,$I508,0%)</f>
        <v>0.1</v>
      </c>
      <c r="BP508" s="278">
        <f>IF(BP500&gt;BP501,$I508,0%)</f>
        <v>0.1</v>
      </c>
      <c r="BQ508" s="224">
        <f>AVERAGE(BM508:BP508)</f>
        <v>0.1</v>
      </c>
      <c r="BR508" s="40"/>
      <c r="BS508" s="40"/>
      <c r="BT508" s="40"/>
      <c r="BU508" s="232"/>
      <c r="BV508" s="40"/>
      <c r="BW508" s="40"/>
      <c r="BX508" s="40"/>
      <c r="BY508" s="40"/>
      <c r="BZ508" s="40"/>
      <c r="CA508" s="40"/>
      <c r="CB508" s="40"/>
      <c r="CC508" s="40"/>
      <c r="CD508" s="40"/>
      <c r="CE508" s="40"/>
      <c r="CF508" s="40"/>
      <c r="CG508" s="40"/>
      <c r="CH508" s="40"/>
      <c r="CI508" s="40"/>
      <c r="CJ508" s="40"/>
      <c r="CK508" s="40"/>
      <c r="CL508" s="40"/>
      <c r="CM508" s="40"/>
      <c r="CN508" s="40"/>
      <c r="CO508" s="40"/>
      <c r="CP508" s="40"/>
      <c r="CQ508" s="40"/>
      <c r="CR508" s="40"/>
      <c r="CS508" s="40"/>
      <c r="CT508" s="823"/>
      <c r="CU508" s="232"/>
      <c r="CV508" s="232"/>
      <c r="CW508" s="232"/>
      <c r="CX508" s="232"/>
      <c r="CY508" s="232"/>
      <c r="CZ508" s="40"/>
      <c r="DA508" s="40"/>
      <c r="DB508" s="40"/>
      <c r="DC508" s="40"/>
      <c r="DD508" s="40"/>
      <c r="DE508" s="40"/>
      <c r="DF508" s="232"/>
      <c r="DG508" s="232"/>
      <c r="DH508" s="232"/>
      <c r="DI508" s="232"/>
      <c r="DJ508" s="232"/>
      <c r="DK508" s="232"/>
      <c r="DL508" s="232"/>
      <c r="DM508" s="232"/>
      <c r="DN508" s="232"/>
    </row>
    <row r="509" spans="1:118" s="232" customFormat="1">
      <c r="A509" s="40"/>
      <c r="B509" s="32"/>
      <c r="C509" s="28" t="s">
        <v>169</v>
      </c>
      <c r="D509" s="1"/>
      <c r="E509" s="273"/>
      <c r="F509" s="3"/>
      <c r="G509" s="3"/>
      <c r="H509" s="274"/>
      <c r="I509" s="546"/>
      <c r="J509" s="273"/>
      <c r="K509" s="3"/>
      <c r="L509" s="3"/>
      <c r="M509" s="274"/>
      <c r="N509" s="1"/>
      <c r="O509" s="273"/>
      <c r="P509" s="3"/>
      <c r="Q509" s="3"/>
      <c r="R509" s="274"/>
      <c r="S509" s="1"/>
      <c r="T509" s="332"/>
      <c r="U509" s="333"/>
      <c r="V509" s="333"/>
      <c r="W509" s="334"/>
      <c r="X509" s="331"/>
      <c r="Y509" s="332">
        <f>(Y503*Y508*(8760/1000))/4</f>
        <v>162.06</v>
      </c>
      <c r="Z509" s="333">
        <f>(Z503*Z508*(8760/1000))/4</f>
        <v>162.06</v>
      </c>
      <c r="AA509" s="333">
        <f>(AA503*AA508*(8760/1000))/4</f>
        <v>162.06</v>
      </c>
      <c r="AB509" s="334">
        <f>(AB503*AB508*(8760/1000))/4</f>
        <v>162.06</v>
      </c>
      <c r="AC509" s="331">
        <f>SUM(Y509:AB509)</f>
        <v>648.24</v>
      </c>
      <c r="AD509" s="332">
        <f>(AD503*AD508*(8760/1000))/4</f>
        <v>162.06</v>
      </c>
      <c r="AE509" s="333">
        <f>(AE503*AE508*(8760/1000))/4</f>
        <v>0</v>
      </c>
      <c r="AF509" s="333">
        <f>(AF503*AF508*(8760/1000))/4</f>
        <v>0</v>
      </c>
      <c r="AG509" s="334">
        <f>(AG503*AG508*(8760/1000))/4</f>
        <v>162.06</v>
      </c>
      <c r="AH509" s="331">
        <f>SUM(AD509:AG509)</f>
        <v>324.12</v>
      </c>
      <c r="AI509" s="332">
        <f>(AI503*AI508*(8760/1000))/4</f>
        <v>162.06</v>
      </c>
      <c r="AJ509" s="333">
        <f>(AJ503*AJ508*(8760/1000))/4</f>
        <v>162.06</v>
      </c>
      <c r="AK509" s="333">
        <f>(AK503*AK508*(8760/1000))/4</f>
        <v>162.06</v>
      </c>
      <c r="AL509" s="334">
        <f>(AL503*AL508*(8760/1000))/4</f>
        <v>162.06</v>
      </c>
      <c r="AM509" s="331">
        <f>SUM(AI509:AL509)</f>
        <v>648.24</v>
      </c>
      <c r="AN509" s="332">
        <f>(AN503*AN508*(8760/1000))/4</f>
        <v>162.06</v>
      </c>
      <c r="AO509" s="333">
        <f>(AO503*AO508*(8760/1000))/4</f>
        <v>162.06</v>
      </c>
      <c r="AP509" s="333">
        <f>(AP503*AP508*(8760/1000))/4</f>
        <v>162.06</v>
      </c>
      <c r="AQ509" s="334">
        <f>(AQ503*AQ508*(8760/1000))/4</f>
        <v>162.06</v>
      </c>
      <c r="AR509" s="331">
        <f>SUM(AN509:AQ509)</f>
        <v>648.24</v>
      </c>
      <c r="AS509" s="332">
        <f>(AS503*AS508*(8760/1000))/4</f>
        <v>162.06</v>
      </c>
      <c r="AT509" s="333">
        <f>(AT503*AT508*(8760/1000))/4</f>
        <v>0</v>
      </c>
      <c r="AU509" s="333">
        <f t="shared" ref="AU509" si="747">(AU503*AU508*(8760/1000))/4</f>
        <v>162.06</v>
      </c>
      <c r="AV509" s="334">
        <f>(AV503*AV508*(8760/1000))/4</f>
        <v>162.06</v>
      </c>
      <c r="AW509" s="331">
        <f>SUM(AS509:AV509)</f>
        <v>486.18</v>
      </c>
      <c r="AX509" s="332">
        <f>(AX503*AX508*(8760/1000))/4</f>
        <v>162.06</v>
      </c>
      <c r="AY509" s="333">
        <f>(AY503*AY508*(8760/1000))/4</f>
        <v>162.06</v>
      </c>
      <c r="AZ509" s="333">
        <f>(AZ503*AZ508*(8760/1000))/4</f>
        <v>162.06</v>
      </c>
      <c r="BA509" s="334">
        <f>(BA503*BA508*(8760/1000))/4</f>
        <v>162.06</v>
      </c>
      <c r="BB509" s="331">
        <f>SUM(AX509:BA509)</f>
        <v>648.24</v>
      </c>
      <c r="BC509" s="332">
        <f>(BC503*BC508*(8760/1000))/4</f>
        <v>162.06</v>
      </c>
      <c r="BD509" s="333">
        <f>(BD503*BD508*(8760/1000))/4</f>
        <v>162.06</v>
      </c>
      <c r="BE509" s="333">
        <f>(BE503*BE508*(8760/1000))/4</f>
        <v>162.06</v>
      </c>
      <c r="BF509" s="334">
        <f>(BF503*BF508*(8760/1000))/4</f>
        <v>162.06</v>
      </c>
      <c r="BG509" s="331">
        <f>SUM(BC509:BF509)</f>
        <v>648.24</v>
      </c>
      <c r="BH509" s="332">
        <f>(BH503*BH508*(8760/1000))/4</f>
        <v>162.06</v>
      </c>
      <c r="BI509" s="333">
        <f>(BI503*BI508*(8760/1000))/4</f>
        <v>162.06</v>
      </c>
      <c r="BJ509" s="333">
        <f>(BJ503*BJ508*(8760/1000))/4</f>
        <v>162.06</v>
      </c>
      <c r="BK509" s="334">
        <f>(BK503*BK508*(8760/1000))/4</f>
        <v>162.06</v>
      </c>
      <c r="BL509" s="331">
        <f>SUM(BH509:BK509)</f>
        <v>648.24</v>
      </c>
      <c r="BM509" s="332">
        <f>(BM503*BM508*(8760/1000))/4</f>
        <v>162.06</v>
      </c>
      <c r="BN509" s="333">
        <f>(BN503*BN508*(8760/1000))/4</f>
        <v>162.06</v>
      </c>
      <c r="BO509" s="333">
        <f>(BO503*BO508*(8760/1000))/4</f>
        <v>162.06</v>
      </c>
      <c r="BP509" s="334">
        <f>(BP503*BP508*(8760/1000))/4</f>
        <v>162.06</v>
      </c>
      <c r="BQ509" s="331">
        <f>SUM(BM509:BP509)</f>
        <v>648.24</v>
      </c>
      <c r="BR509" s="40"/>
      <c r="BS509" s="40"/>
      <c r="BT509" s="40"/>
      <c r="BV509" s="40"/>
      <c r="BW509" s="40"/>
      <c r="BX509" s="40"/>
      <c r="BY509" s="40"/>
      <c r="BZ509" s="40"/>
      <c r="CA509" s="40"/>
      <c r="CB509" s="40"/>
      <c r="CC509" s="40"/>
      <c r="CD509" s="40"/>
      <c r="CE509" s="40"/>
      <c r="CF509" s="40"/>
      <c r="CG509" s="40"/>
      <c r="CH509" s="40"/>
      <c r="CI509" s="40"/>
      <c r="CJ509" s="40"/>
      <c r="CK509" s="40"/>
      <c r="CL509" s="40"/>
      <c r="CM509" s="40"/>
      <c r="CN509" s="40"/>
      <c r="CO509" s="40"/>
      <c r="CP509" s="40"/>
      <c r="CQ509" s="40"/>
      <c r="CR509" s="40"/>
      <c r="CS509" s="40"/>
      <c r="CT509" s="994"/>
      <c r="CZ509" s="40"/>
      <c r="DA509" s="40"/>
      <c r="DB509" s="40"/>
      <c r="DC509" s="40"/>
      <c r="DD509" s="40"/>
      <c r="DE509" s="40"/>
    </row>
    <row r="510" spans="1:118" s="232" customFormat="1">
      <c r="A510" s="40"/>
      <c r="B510" s="32"/>
      <c r="C510" s="28"/>
      <c r="D510" s="1"/>
      <c r="E510" s="273"/>
      <c r="F510" s="3"/>
      <c r="G510" s="3"/>
      <c r="H510" s="274"/>
      <c r="I510" s="28"/>
      <c r="J510" s="273"/>
      <c r="K510" s="3"/>
      <c r="L510" s="3"/>
      <c r="M510" s="274"/>
      <c r="N510" s="1"/>
      <c r="O510" s="273"/>
      <c r="P510" s="3"/>
      <c r="Q510" s="3"/>
      <c r="R510" s="274"/>
      <c r="S510" s="1"/>
      <c r="T510" s="273"/>
      <c r="U510" s="3"/>
      <c r="V510" s="3"/>
      <c r="W510" s="274"/>
      <c r="X510" s="1"/>
      <c r="Y510" s="273"/>
      <c r="Z510" s="3"/>
      <c r="AA510" s="3"/>
      <c r="AB510" s="274"/>
      <c r="AC510" s="1"/>
      <c r="AD510" s="273"/>
      <c r="AE510" s="3"/>
      <c r="AF510" s="3"/>
      <c r="AG510" s="274"/>
      <c r="AH510" s="1"/>
      <c r="AI510" s="273"/>
      <c r="AJ510" s="3"/>
      <c r="AK510" s="3"/>
      <c r="AL510" s="274"/>
      <c r="AM510" s="1"/>
      <c r="AN510" s="273"/>
      <c r="AO510" s="3"/>
      <c r="AP510" s="3"/>
      <c r="AQ510" s="274"/>
      <c r="AR510" s="1"/>
      <c r="AS510" s="273"/>
      <c r="AT510" s="3"/>
      <c r="AU510" s="3"/>
      <c r="AV510" s="274"/>
      <c r="AW510" s="1"/>
      <c r="AX510" s="273"/>
      <c r="AY510" s="3"/>
      <c r="AZ510" s="3"/>
      <c r="BA510" s="274"/>
      <c r="BB510" s="1"/>
      <c r="BC510" s="273"/>
      <c r="BD510" s="3"/>
      <c r="BE510" s="3"/>
      <c r="BF510" s="274"/>
      <c r="BG510" s="1"/>
      <c r="BH510" s="273"/>
      <c r="BI510" s="3"/>
      <c r="BJ510" s="3"/>
      <c r="BK510" s="274"/>
      <c r="BL510" s="1"/>
      <c r="BM510" s="273"/>
      <c r="BN510" s="3"/>
      <c r="BO510" s="3"/>
      <c r="BP510" s="274"/>
      <c r="BQ510" s="1"/>
      <c r="BR510" s="40"/>
      <c r="BS510" s="40"/>
      <c r="BT510" s="40"/>
      <c r="BV510" s="40"/>
      <c r="BW510" s="40"/>
      <c r="BX510" s="40"/>
      <c r="BY510" s="40"/>
      <c r="BZ510" s="40"/>
      <c r="CA510" s="40"/>
      <c r="CB510" s="40"/>
      <c r="CC510" s="40"/>
      <c r="CD510" s="40"/>
      <c r="CE510" s="40"/>
      <c r="CF510" s="40"/>
      <c r="CG510" s="40"/>
      <c r="CH510" s="40"/>
      <c r="CI510" s="40"/>
      <c r="CJ510" s="40"/>
      <c r="CK510" s="40"/>
      <c r="CL510" s="40"/>
      <c r="CM510" s="40"/>
      <c r="CN510" s="40"/>
      <c r="CO510" s="40"/>
      <c r="CP510" s="40"/>
      <c r="CQ510" s="40"/>
      <c r="CR510" s="40"/>
      <c r="CS510" s="40"/>
      <c r="CT510" s="994"/>
      <c r="CZ510" s="40"/>
      <c r="DA510" s="40"/>
      <c r="DB510" s="40"/>
      <c r="DC510" s="40"/>
      <c r="DD510" s="40"/>
      <c r="DE510" s="40"/>
    </row>
    <row r="511" spans="1:118">
      <c r="A511" s="40"/>
      <c r="B511" s="32"/>
      <c r="C511" s="28" t="s">
        <v>172</v>
      </c>
      <c r="D511" s="1"/>
      <c r="E511" s="273"/>
      <c r="F511" s="3"/>
      <c r="G511" s="3"/>
      <c r="H511" s="274"/>
      <c r="I511" s="28"/>
      <c r="J511" s="273"/>
      <c r="K511" s="3"/>
      <c r="L511" s="3"/>
      <c r="M511" s="274"/>
      <c r="N511" s="1"/>
      <c r="O511" s="273"/>
      <c r="P511" s="3"/>
      <c r="Q511" s="3"/>
      <c r="R511" s="274"/>
      <c r="S511" s="1"/>
      <c r="T511" s="277"/>
      <c r="U511" s="253"/>
      <c r="V511" s="253"/>
      <c r="W511" s="278"/>
      <c r="X511" s="224"/>
      <c r="Y511" s="277">
        <f>(Y509+Y506)/(8.76*Y503/4)</f>
        <v>0.5</v>
      </c>
      <c r="Z511" s="253">
        <f>(Z509+Z506)/(8.76*Z503/4)</f>
        <v>0.5</v>
      </c>
      <c r="AA511" s="253">
        <f>(AA509+AA506)/(8.76*AA503/4)</f>
        <v>0.5</v>
      </c>
      <c r="AB511" s="278">
        <f>(AB509+AB506)/(8.76*AB503/4)</f>
        <v>0.5</v>
      </c>
      <c r="AC511" s="224">
        <f>AVERAGE(Y511:AB511)</f>
        <v>0.5</v>
      </c>
      <c r="AD511" s="277">
        <f>(AD509+AD506)/(8.76*AD503/4)</f>
        <v>0.5</v>
      </c>
      <c r="AE511" s="253">
        <f>(AE509+AE506)/(8.76*AE503/4)</f>
        <v>0.4</v>
      </c>
      <c r="AF511" s="253">
        <f>(AF509+AF506)/(8.76*AF503/4)</f>
        <v>0.4</v>
      </c>
      <c r="AG511" s="278">
        <f>(AG509+AG506)/(8.76*AG503/4)</f>
        <v>0.5</v>
      </c>
      <c r="AH511" s="224">
        <f>AVERAGE(AD511:AG511)</f>
        <v>0.45</v>
      </c>
      <c r="AI511" s="277">
        <f>(AI509+AI506)/(8.76*AI503/4)</f>
        <v>0.5</v>
      </c>
      <c r="AJ511" s="253">
        <f>(AJ509+AJ506)/(8.76*AJ503/4)</f>
        <v>0.5</v>
      </c>
      <c r="AK511" s="253">
        <f>(AK509+AK506)/(8.76*AK503/4)</f>
        <v>0.5</v>
      </c>
      <c r="AL511" s="278">
        <f>(AL509+AL506)/(8.76*AL503/4)</f>
        <v>0.5</v>
      </c>
      <c r="AM511" s="224">
        <f>AVERAGE(AI511:AL511)</f>
        <v>0.5</v>
      </c>
      <c r="AN511" s="277">
        <f>(AN509+AN506)/(8.76*AN503/4)</f>
        <v>0.5</v>
      </c>
      <c r="AO511" s="253">
        <f>(AO509+AO506)/(8.76*AO503/4)</f>
        <v>0.5</v>
      </c>
      <c r="AP511" s="253">
        <f>(AP509+AP506)/(8.76*AP503/4)</f>
        <v>0.5</v>
      </c>
      <c r="AQ511" s="278">
        <f>(AQ509+AQ506)/(8.76*AQ503/4)</f>
        <v>0.5</v>
      </c>
      <c r="AR511" s="224">
        <f>AVERAGE(AN511:AQ511)</f>
        <v>0.5</v>
      </c>
      <c r="AS511" s="277">
        <f>(AS509+AS506)/(8.76*AS503/4)</f>
        <v>0.5</v>
      </c>
      <c r="AT511" s="253">
        <f>(AT509+AT506)/(8.76*AT503/4)</f>
        <v>0.4</v>
      </c>
      <c r="AU511" s="253">
        <f t="shared" ref="AU511" si="748">(AU509+AU506)/(8.76*AU503/4)</f>
        <v>0.5</v>
      </c>
      <c r="AV511" s="278">
        <f>(AV509+AV506)/(8.76*AV503/4)</f>
        <v>0.5</v>
      </c>
      <c r="AW511" s="224">
        <f>AVERAGE(AS511:AV511)</f>
        <v>0.47499999999999998</v>
      </c>
      <c r="AX511" s="277">
        <f>(AX509+AX506)/(8.76*AX503/4)</f>
        <v>0.5</v>
      </c>
      <c r="AY511" s="253">
        <f>(AY509+AY506)/(8.76*AY503/4)</f>
        <v>0.5</v>
      </c>
      <c r="AZ511" s="253">
        <f>(AZ509+AZ506)/(8.76*AZ503/4)</f>
        <v>0.5</v>
      </c>
      <c r="BA511" s="278">
        <f>(BA509+BA506)/(8.76*BA503/4)</f>
        <v>0.5</v>
      </c>
      <c r="BB511" s="224">
        <f>AVERAGE(AX511:BA511)</f>
        <v>0.5</v>
      </c>
      <c r="BC511" s="277">
        <f>(BC509+BC506)/(8.76*BC503/4)</f>
        <v>0.5</v>
      </c>
      <c r="BD511" s="253">
        <f>(BD509+BD506)/(8.76*BD503/4)</f>
        <v>0.5</v>
      </c>
      <c r="BE511" s="253">
        <f>(BE509+BE506)/(8.76*BE503/4)</f>
        <v>0.5</v>
      </c>
      <c r="BF511" s="278">
        <f>(BF509+BF506)/(8.76*BF503/4)</f>
        <v>0.5</v>
      </c>
      <c r="BG511" s="224">
        <f>AVERAGE(BC511:BF511)</f>
        <v>0.5</v>
      </c>
      <c r="BH511" s="277">
        <f>(BH509+BH506)/(8.76*BH503/4)</f>
        <v>0.5</v>
      </c>
      <c r="BI511" s="253">
        <f>(BI509+BI506)/(8.76*BI503/4)</f>
        <v>0.5</v>
      </c>
      <c r="BJ511" s="253">
        <f>(BJ509+BJ506)/(8.76*BJ503/4)</f>
        <v>0.5</v>
      </c>
      <c r="BK511" s="278">
        <f>(BK509+BK506)/(8.76*BK503/4)</f>
        <v>0.5</v>
      </c>
      <c r="BL511" s="224">
        <f>AVERAGE(BH511:BK511)</f>
        <v>0.5</v>
      </c>
      <c r="BM511" s="277">
        <f>(BM509+BM506)/(8.76*BM503/4)</f>
        <v>0.5</v>
      </c>
      <c r="BN511" s="253">
        <f>(BN509+BN506)/(8.76*BN503/4)</f>
        <v>0.5</v>
      </c>
      <c r="BO511" s="253">
        <f>(BO509+BO506)/(8.76*BO503/4)</f>
        <v>0.5</v>
      </c>
      <c r="BP511" s="278">
        <f>(BP509+BP506)/(8.76*BP503/4)</f>
        <v>0.5</v>
      </c>
      <c r="BQ511" s="224">
        <f>AVERAGE(BM511:BP511)</f>
        <v>0.5</v>
      </c>
      <c r="BR511" s="40"/>
      <c r="BS511" s="40"/>
      <c r="BT511" s="40"/>
      <c r="BU511" s="232"/>
      <c r="BV511" s="40"/>
      <c r="BW511" s="40"/>
      <c r="BX511" s="40"/>
      <c r="BY511" s="40"/>
      <c r="BZ511" s="40"/>
      <c r="CA511" s="40"/>
      <c r="CB511" s="40"/>
      <c r="CC511" s="40"/>
      <c r="CD511" s="40"/>
      <c r="CE511" s="40"/>
      <c r="CF511" s="40"/>
      <c r="CG511" s="40"/>
      <c r="CH511" s="40"/>
      <c r="CI511" s="40"/>
      <c r="CJ511" s="40"/>
      <c r="CK511" s="40"/>
      <c r="CL511" s="40"/>
      <c r="CM511" s="40"/>
      <c r="CN511" s="40"/>
      <c r="CO511" s="40"/>
      <c r="CP511" s="40"/>
      <c r="CQ511" s="40"/>
      <c r="CR511" s="40"/>
      <c r="CS511" s="40"/>
      <c r="CT511" s="823"/>
      <c r="CU511" s="232"/>
      <c r="CV511" s="232"/>
      <c r="CW511" s="232"/>
      <c r="CX511" s="232"/>
      <c r="CY511" s="232"/>
      <c r="CZ511" s="40"/>
      <c r="DA511" s="40"/>
      <c r="DB511" s="40"/>
      <c r="DC511" s="40"/>
      <c r="DD511" s="40"/>
      <c r="DE511" s="40"/>
      <c r="DF511" s="232"/>
      <c r="DG511" s="232"/>
      <c r="DH511" s="232"/>
      <c r="DI511" s="232"/>
      <c r="DJ511" s="232"/>
      <c r="DK511" s="232"/>
      <c r="DL511" s="232"/>
      <c r="DM511" s="232"/>
      <c r="DN511" s="232"/>
    </row>
    <row r="512" spans="1:118">
      <c r="A512" s="40"/>
      <c r="B512" s="32"/>
      <c r="C512" s="32" t="s">
        <v>173</v>
      </c>
      <c r="D512" s="32"/>
      <c r="E512" s="489"/>
      <c r="F512" s="342"/>
      <c r="G512" s="342"/>
      <c r="H512" s="490"/>
      <c r="I512" s="32"/>
      <c r="J512" s="489"/>
      <c r="K512" s="342"/>
      <c r="L512" s="342"/>
      <c r="M512" s="490"/>
      <c r="N512" s="32"/>
      <c r="O512" s="489"/>
      <c r="P512" s="342"/>
      <c r="Q512" s="342"/>
      <c r="R512" s="490"/>
      <c r="S512" s="32"/>
      <c r="T512" s="292"/>
      <c r="U512" s="261"/>
      <c r="V512" s="261"/>
      <c r="W512" s="293"/>
      <c r="X512" s="348"/>
      <c r="Y512" s="292">
        <f>+Y509+Y506</f>
        <v>810.3</v>
      </c>
      <c r="Z512" s="261">
        <f>+Z509+Z506</f>
        <v>810.3</v>
      </c>
      <c r="AA512" s="261">
        <f>+AA509+AA506</f>
        <v>810.3</v>
      </c>
      <c r="AB512" s="293">
        <f>+AB509+AB506</f>
        <v>810.3</v>
      </c>
      <c r="AC512" s="348">
        <f>SUM(Y512:AB512)</f>
        <v>3241.2</v>
      </c>
      <c r="AD512" s="292">
        <f>+AD509+AD506</f>
        <v>810.3</v>
      </c>
      <c r="AE512" s="261">
        <f>+AE509+AE506</f>
        <v>648.24</v>
      </c>
      <c r="AF512" s="261">
        <f>+AF509+AF506</f>
        <v>648.24</v>
      </c>
      <c r="AG512" s="293">
        <f>+AG509+AG506</f>
        <v>810.3</v>
      </c>
      <c r="AH512" s="348">
        <f>SUM(AD512:AG512)</f>
        <v>2917.08</v>
      </c>
      <c r="AI512" s="292">
        <f>+AI509+AI506</f>
        <v>810.3</v>
      </c>
      <c r="AJ512" s="261">
        <f>+AJ509+AJ506</f>
        <v>810.3</v>
      </c>
      <c r="AK512" s="261">
        <f>+AK509+AK506</f>
        <v>810.3</v>
      </c>
      <c r="AL512" s="293">
        <f>+AL509+AL506</f>
        <v>810.3</v>
      </c>
      <c r="AM512" s="348">
        <f>SUM(AI512:AL512)</f>
        <v>3241.2</v>
      </c>
      <c r="AN512" s="292">
        <f>+AN509+AN506</f>
        <v>810.3</v>
      </c>
      <c r="AO512" s="261">
        <f>+AO509+AO506</f>
        <v>810.3</v>
      </c>
      <c r="AP512" s="261">
        <f>+AP509+AP506</f>
        <v>810.3</v>
      </c>
      <c r="AQ512" s="293">
        <f>+AQ509+AQ506</f>
        <v>810.3</v>
      </c>
      <c r="AR512" s="348">
        <f>SUM(AN512:AQ512)</f>
        <v>3241.2</v>
      </c>
      <c r="AS512" s="292">
        <f>+AS509+AS506</f>
        <v>810.3</v>
      </c>
      <c r="AT512" s="261">
        <f>+AT509+AT506</f>
        <v>648.24</v>
      </c>
      <c r="AU512" s="261">
        <f t="shared" ref="AU512" si="749">+AU509+AU506</f>
        <v>810.3</v>
      </c>
      <c r="AV512" s="293">
        <f>+AV509+AV506</f>
        <v>810.3</v>
      </c>
      <c r="AW512" s="348">
        <f>SUM(AS512:AV512)</f>
        <v>3079.1400000000003</v>
      </c>
      <c r="AX512" s="292">
        <f>+AX509+AX506</f>
        <v>810.3</v>
      </c>
      <c r="AY512" s="261">
        <f>+AY509+AY506</f>
        <v>810.3</v>
      </c>
      <c r="AZ512" s="261">
        <f>+AZ509+AZ506</f>
        <v>810.3</v>
      </c>
      <c r="BA512" s="293">
        <f>+BA509+BA506</f>
        <v>810.3</v>
      </c>
      <c r="BB512" s="348">
        <f>SUM(AX512:BA512)</f>
        <v>3241.2</v>
      </c>
      <c r="BC512" s="292">
        <f>+BC509+BC506</f>
        <v>810.3</v>
      </c>
      <c r="BD512" s="261">
        <f>+BD509+BD506</f>
        <v>810.3</v>
      </c>
      <c r="BE512" s="261">
        <f>+BE509+BE506</f>
        <v>810.3</v>
      </c>
      <c r="BF512" s="293">
        <f>+BF509+BF506</f>
        <v>810.3</v>
      </c>
      <c r="BG512" s="348">
        <f>SUM(BC512:BF512)</f>
        <v>3241.2</v>
      </c>
      <c r="BH512" s="292">
        <f>+BH509+BH506</f>
        <v>810.3</v>
      </c>
      <c r="BI512" s="261">
        <f>+BI509+BI506</f>
        <v>810.3</v>
      </c>
      <c r="BJ512" s="261">
        <f>+BJ509+BJ506</f>
        <v>810.3</v>
      </c>
      <c r="BK512" s="293">
        <f>+BK509+BK506</f>
        <v>810.3</v>
      </c>
      <c r="BL512" s="348">
        <f>SUM(BH512:BK512)</f>
        <v>3241.2</v>
      </c>
      <c r="BM512" s="292">
        <f>+BM509+BM506</f>
        <v>810.3</v>
      </c>
      <c r="BN512" s="261">
        <f>+BN509+BN506</f>
        <v>810.3</v>
      </c>
      <c r="BO512" s="261">
        <f>+BO509+BO506</f>
        <v>810.3</v>
      </c>
      <c r="BP512" s="293">
        <f>+BP509+BP506</f>
        <v>810.3</v>
      </c>
      <c r="BQ512" s="348">
        <f>SUM(BM512:BP512)</f>
        <v>3241.2</v>
      </c>
      <c r="BR512" s="40"/>
      <c r="BS512" s="40"/>
      <c r="BT512" s="40"/>
      <c r="BU512" s="232"/>
      <c r="BV512" s="40"/>
      <c r="BW512" s="40"/>
      <c r="BX512" s="40"/>
      <c r="BY512" s="40"/>
      <c r="BZ512" s="40"/>
      <c r="CA512" s="40"/>
      <c r="CB512" s="40"/>
      <c r="CC512" s="40"/>
      <c r="CD512" s="40"/>
      <c r="CE512" s="40"/>
      <c r="CF512" s="40"/>
      <c r="CG512" s="40"/>
      <c r="CH512" s="40"/>
      <c r="CI512" s="40"/>
      <c r="CJ512" s="40"/>
      <c r="CK512" s="40"/>
      <c r="CL512" s="40"/>
      <c r="CM512" s="40"/>
      <c r="CN512" s="40"/>
      <c r="CO512" s="40"/>
      <c r="CP512" s="40"/>
      <c r="CQ512" s="40"/>
      <c r="CR512" s="40"/>
      <c r="CS512" s="40"/>
      <c r="CT512" s="823"/>
      <c r="CU512" s="232"/>
      <c r="CV512" s="232"/>
      <c r="CW512" s="232"/>
      <c r="CX512" s="232"/>
      <c r="CY512" s="232"/>
      <c r="CZ512" s="40"/>
      <c r="DA512" s="40"/>
      <c r="DB512" s="40"/>
      <c r="DC512" s="40"/>
      <c r="DD512" s="40"/>
      <c r="DE512" s="40"/>
      <c r="DF512" s="232"/>
      <c r="DG512" s="232"/>
      <c r="DH512" s="232"/>
      <c r="DI512" s="232"/>
      <c r="DJ512" s="232"/>
      <c r="DK512" s="232"/>
      <c r="DL512" s="232"/>
      <c r="DM512" s="232"/>
      <c r="DN512" s="232"/>
    </row>
    <row r="513" spans="1:118">
      <c r="A513" s="40"/>
      <c r="B513" s="32"/>
      <c r="C513" s="28"/>
      <c r="D513" s="1"/>
      <c r="E513" s="273"/>
      <c r="F513" s="3"/>
      <c r="G513" s="3"/>
      <c r="H513" s="274"/>
      <c r="I513" s="28"/>
      <c r="J513" s="273"/>
      <c r="K513" s="3"/>
      <c r="L513" s="3"/>
      <c r="M513" s="274"/>
      <c r="N513" s="1"/>
      <c r="O513" s="273"/>
      <c r="P513" s="3"/>
      <c r="Q513" s="3"/>
      <c r="R513" s="274"/>
      <c r="S513" s="1"/>
      <c r="T513" s="273"/>
      <c r="U513" s="3"/>
      <c r="V513" s="3"/>
      <c r="W513" s="274"/>
      <c r="X513" s="1"/>
      <c r="Y513" s="273"/>
      <c r="Z513" s="3"/>
      <c r="AA513" s="3"/>
      <c r="AB513" s="274"/>
      <c r="AC513" s="1"/>
      <c r="AD513" s="273"/>
      <c r="AE513" s="3"/>
      <c r="AF513" s="3"/>
      <c r="AG513" s="274"/>
      <c r="AH513" s="1"/>
      <c r="AI513" s="273"/>
      <c r="AJ513" s="3"/>
      <c r="AK513" s="3"/>
      <c r="AL513" s="274"/>
      <c r="AM513" s="1"/>
      <c r="AN513" s="273"/>
      <c r="AO513" s="3"/>
      <c r="AP513" s="3"/>
      <c r="AQ513" s="274"/>
      <c r="AR513" s="1"/>
      <c r="AS513" s="273"/>
      <c r="AT513" s="3"/>
      <c r="AU513" s="3"/>
      <c r="AV513" s="274"/>
      <c r="AW513" s="1"/>
      <c r="AX513" s="273"/>
      <c r="AY513" s="3"/>
      <c r="AZ513" s="3"/>
      <c r="BA513" s="274"/>
      <c r="BB513" s="1"/>
      <c r="BC513" s="273"/>
      <c r="BD513" s="3"/>
      <c r="BE513" s="3"/>
      <c r="BF513" s="274"/>
      <c r="BG513" s="1"/>
      <c r="BH513" s="273"/>
      <c r="BI513" s="3"/>
      <c r="BJ513" s="3"/>
      <c r="BK513" s="274"/>
      <c r="BL513" s="1"/>
      <c r="BM513" s="273"/>
      <c r="BN513" s="3"/>
      <c r="BO513" s="3"/>
      <c r="BP513" s="274"/>
      <c r="BQ513" s="1"/>
      <c r="BR513" s="40"/>
      <c r="BS513" s="40"/>
      <c r="BT513" s="40"/>
      <c r="BU513" s="232"/>
      <c r="BV513" s="40"/>
      <c r="BW513" s="40"/>
      <c r="BX513" s="40"/>
      <c r="BY513" s="40"/>
      <c r="BZ513" s="40"/>
      <c r="CA513" s="40"/>
      <c r="CB513" s="40"/>
      <c r="CC513" s="40"/>
      <c r="CD513" s="40"/>
      <c r="CE513" s="40"/>
      <c r="CF513" s="40"/>
      <c r="CG513" s="40"/>
      <c r="CH513" s="40"/>
      <c r="CI513" s="40"/>
      <c r="CJ513" s="40"/>
      <c r="CK513" s="40"/>
      <c r="CL513" s="40"/>
      <c r="CM513" s="40"/>
      <c r="CN513" s="40"/>
      <c r="CO513" s="40"/>
      <c r="CP513" s="40"/>
      <c r="CQ513" s="40"/>
      <c r="CR513" s="40"/>
      <c r="CS513" s="40"/>
      <c r="CT513" s="823"/>
      <c r="CU513" s="232"/>
      <c r="CV513" s="232"/>
      <c r="CW513" s="232"/>
      <c r="CX513" s="232"/>
      <c r="CY513" s="232"/>
      <c r="CZ513" s="40"/>
      <c r="DA513" s="40"/>
      <c r="DB513" s="40"/>
      <c r="DC513" s="40"/>
      <c r="DD513" s="40"/>
      <c r="DE513" s="40"/>
      <c r="DF513" s="232"/>
      <c r="DG513" s="232"/>
      <c r="DH513" s="232"/>
      <c r="DI513" s="232"/>
      <c r="DJ513" s="232"/>
      <c r="DK513" s="232"/>
      <c r="DL513" s="232"/>
      <c r="DM513" s="232"/>
      <c r="DN513" s="232"/>
    </row>
    <row r="514" spans="1:118">
      <c r="A514" s="40"/>
      <c r="B514" s="32"/>
      <c r="C514" s="28" t="s">
        <v>797</v>
      </c>
      <c r="D514" s="1"/>
      <c r="E514" s="273"/>
      <c r="F514" s="3"/>
      <c r="G514" s="3"/>
      <c r="H514" s="274"/>
      <c r="I514" s="28"/>
      <c r="J514" s="273"/>
      <c r="K514" s="3"/>
      <c r="L514" s="3"/>
      <c r="M514" s="274"/>
      <c r="N514" s="1"/>
      <c r="O514" s="273"/>
      <c r="P514" s="3"/>
      <c r="Q514" s="3"/>
      <c r="R514" s="274"/>
      <c r="S514" s="1"/>
      <c r="T514" s="758"/>
      <c r="U514" s="660"/>
      <c r="V514" s="660"/>
      <c r="W514" s="661"/>
      <c r="X514" s="428"/>
      <c r="Y514" s="758">
        <f>(Y499/1000*Y506)+(Y500/1000*Y509)</f>
        <v>27.788978320823638</v>
      </c>
      <c r="Z514" s="660">
        <f>(Z499/1000*Z506)+(Z500/1000*Z509)</f>
        <v>25.220094370281728</v>
      </c>
      <c r="AA514" s="660">
        <f>(AA499/1000*AA506)+(AA500/1000*AA509)</f>
        <v>24.580933584831307</v>
      </c>
      <c r="AB514" s="661">
        <f>(AB499/1000*AB506)+(AB500/1000*AB509)</f>
        <v>25.831322608117233</v>
      </c>
      <c r="AC514" s="428">
        <f>SUM(Y514:AB514)</f>
        <v>103.42132888405391</v>
      </c>
      <c r="AD514" s="758">
        <f>(AD499/1000*AD506)+(AD500/1000*AD509)</f>
        <v>60.35304003367812</v>
      </c>
      <c r="AE514" s="660">
        <f>(AE499/1000*AE506)+(AE500/1000*AE509)</f>
        <v>24.778853841372666</v>
      </c>
      <c r="AF514" s="660">
        <f>(AF499/1000*AF506)+(AF500/1000*AF509)</f>
        <v>24.778853841372666</v>
      </c>
      <c r="AG514" s="661">
        <f>(AG499/1000*AG506)+(AG500/1000*AG509)</f>
        <v>30.164791758399687</v>
      </c>
      <c r="AH514" s="428">
        <f>SUM(AD514:AG514)</f>
        <v>140.07553947482313</v>
      </c>
      <c r="AI514" s="758">
        <f>(AI499/1000*AI506)+(AI500/1000*AI509)</f>
        <v>33.299912969977186</v>
      </c>
      <c r="AJ514" s="660">
        <f>(AJ499/1000*AJ506)+(AJ500/1000*AJ509)</f>
        <v>26.914707974827309</v>
      </c>
      <c r="AK514" s="660">
        <f>(AK499/1000*AK506)+(AK500/1000*AK509)</f>
        <v>26.540840194363213</v>
      </c>
      <c r="AL514" s="661">
        <f>(AL499/1000*AL506)+(AL500/1000*AL509)</f>
        <v>23.526358797830628</v>
      </c>
      <c r="AM514" s="428">
        <f>SUM(AI514:AL514)</f>
        <v>110.28181993699833</v>
      </c>
      <c r="AN514" s="758">
        <f>(AN499/1000*AN506)+(AN500/1000*AN509)</f>
        <v>21.243771564491471</v>
      </c>
      <c r="AO514" s="660">
        <f>(AO499/1000*AO506)+(AO500/1000*AO509)</f>
        <v>23.935316764885258</v>
      </c>
      <c r="AP514" s="660">
        <f>(AP499/1000*AP506)+(AP500/1000*AP509)</f>
        <v>28.529326342239667</v>
      </c>
      <c r="AQ514" s="661">
        <f>(AQ499/1000*AQ506)+(AQ500/1000*AQ509)</f>
        <v>25.097981438758765</v>
      </c>
      <c r="AR514" s="428">
        <f>SUM(AN514:AQ514)</f>
        <v>98.806396110375161</v>
      </c>
      <c r="AS514" s="758">
        <f>(AS499/1000*AS506)+(AS500/1000*AS509)</f>
        <v>24.298126967000794</v>
      </c>
      <c r="AT514" s="660">
        <f>(AT499/1000*AT506)+(AT500/1000*AT509)</f>
        <v>21.543718538053131</v>
      </c>
      <c r="AU514" s="660">
        <f t="shared" ref="AU514" si="750">(AU499/1000*AU506)+(AU500/1000*AU509)</f>
        <v>27.604739330671777</v>
      </c>
      <c r="AV514" s="661">
        <f>(AV499/1000*AV506)+(AV500/1000*AV509)</f>
        <v>30.341656922542885</v>
      </c>
      <c r="AW514" s="428">
        <f>SUM(AS514:AV514)</f>
        <v>103.78824175826858</v>
      </c>
      <c r="AX514" s="758">
        <f>(AX499/1000*AX506)+(AX500/1000*AX509)</f>
        <v>30.341656922542885</v>
      </c>
      <c r="AY514" s="660">
        <f>(AY499/1000*AY506)+(AY500/1000*AY509)</f>
        <v>25.870178000000003</v>
      </c>
      <c r="AZ514" s="660">
        <f>(AZ499/1000*AZ506)+(AZ500/1000*AZ509)</f>
        <v>27.547499000000006</v>
      </c>
      <c r="BA514" s="661">
        <f>(BA499/1000*BA506)+(BA500/1000*BA509)</f>
        <v>25.816158000000001</v>
      </c>
      <c r="BB514" s="428">
        <f>SUM(AX514:BA514)</f>
        <v>109.57549192254289</v>
      </c>
      <c r="BC514" s="758">
        <f>(BC499/1000*BC506)+(BC500/1000*BC509)</f>
        <v>26.66817934093628</v>
      </c>
      <c r="BD514" s="660">
        <f>(BD499/1000*BD506)+(BD500/1000*BD509)</f>
        <v>22.900880886890558</v>
      </c>
      <c r="BE514" s="660">
        <f>(BE499/1000*BE506)+(BE500/1000*BE509)</f>
        <v>24.971116727770816</v>
      </c>
      <c r="BF514" s="661">
        <f>(BF499/1000*BF506)+(BF500/1000*BF509)</f>
        <v>28.62040712222948</v>
      </c>
      <c r="BG514" s="428">
        <f>SUM(BC514:BF514)</f>
        <v>103.16058407782714</v>
      </c>
      <c r="BH514" s="758">
        <f>(BH499/1000*BH506)+(BH500/1000*BH509)</f>
        <v>26.707732413575595</v>
      </c>
      <c r="BI514" s="660">
        <f>(BI499/1000*BI506)+(BI500/1000*BI509)</f>
        <v>22.937176071448604</v>
      </c>
      <c r="BJ514" s="660">
        <f>(BJ499/1000*BJ506)+(BJ500/1000*BJ509)</f>
        <v>25.012216539588255</v>
      </c>
      <c r="BK514" s="661">
        <f>(BK499/1000*BK506)+(BK500/1000*BK509)</f>
        <v>28.661532377279499</v>
      </c>
      <c r="BL514" s="428">
        <f>SUM(BH514:BK514)</f>
        <v>103.31865740189195</v>
      </c>
      <c r="BM514" s="758">
        <f>(BM499/1000*BM506)+(BM500/1000*BM509)</f>
        <v>30.977012714221818</v>
      </c>
      <c r="BN514" s="660">
        <f>(BN499/1000*BN506)+(BN500/1000*BN509)</f>
        <v>30.977012714221818</v>
      </c>
      <c r="BO514" s="660">
        <f>(BO499/1000*BO506)+(BO500/1000*BO509)</f>
        <v>30.977012714221818</v>
      </c>
      <c r="BP514" s="661">
        <f>(BP499/1000*BP506)+(BP500/1000*BP509)</f>
        <v>30.977012714221818</v>
      </c>
      <c r="BQ514" s="428">
        <f>SUM(BM514:BP514)</f>
        <v>123.90805085688727</v>
      </c>
      <c r="BR514" s="40"/>
      <c r="BS514" s="40"/>
      <c r="BT514" s="40"/>
      <c r="BU514" s="232"/>
      <c r="BV514" s="40"/>
      <c r="BW514" s="40"/>
      <c r="BX514" s="40"/>
      <c r="BY514" s="40"/>
      <c r="BZ514" s="40"/>
      <c r="CA514" s="40"/>
      <c r="CB514" s="40"/>
      <c r="CC514" s="40"/>
      <c r="CD514" s="40"/>
      <c r="CE514" s="40"/>
      <c r="CF514" s="40"/>
      <c r="CW514" s="232"/>
      <c r="CX514" s="232"/>
      <c r="CY514" s="232"/>
      <c r="CZ514" s="40"/>
      <c r="DA514" s="40"/>
      <c r="DB514" s="40"/>
      <c r="DC514" s="40"/>
      <c r="DD514" s="40"/>
      <c r="DE514" s="40"/>
      <c r="DF514" s="232"/>
      <c r="DG514" s="232"/>
      <c r="DH514" s="232"/>
      <c r="DI514" s="232"/>
      <c r="DJ514" s="232"/>
      <c r="DK514" s="232"/>
      <c r="DL514" s="232"/>
      <c r="DM514" s="232"/>
      <c r="DN514" s="232"/>
    </row>
    <row r="515" spans="1:118" s="34" customFormat="1">
      <c r="A515" s="40"/>
      <c r="B515" s="32"/>
      <c r="C515" s="28" t="s">
        <v>278</v>
      </c>
      <c r="D515" s="1"/>
      <c r="E515" s="273"/>
      <c r="F515" s="3"/>
      <c r="G515" s="3"/>
      <c r="H515" s="274"/>
      <c r="I515" s="28"/>
      <c r="J515" s="273"/>
      <c r="K515" s="3"/>
      <c r="L515" s="3"/>
      <c r="M515" s="274"/>
      <c r="N515" s="1"/>
      <c r="O515" s="273"/>
      <c r="P515" s="3"/>
      <c r="Q515" s="3"/>
      <c r="R515" s="274"/>
      <c r="S515" s="1"/>
      <c r="T515" s="758"/>
      <c r="U515" s="660"/>
      <c r="V515" s="660"/>
      <c r="W515" s="661"/>
      <c r="X515" s="428"/>
      <c r="Y515" s="758">
        <f>Y501/1000*Y512</f>
        <v>21.143360475000001</v>
      </c>
      <c r="Z515" s="660">
        <f>Z501/1000*Z512</f>
        <v>24.456848097656252</v>
      </c>
      <c r="AA515" s="660">
        <f>AA501/1000*AA512</f>
        <v>21.621810972656252</v>
      </c>
      <c r="AB515" s="661">
        <f>AB501/1000*AB512</f>
        <v>23.314894839843749</v>
      </c>
      <c r="AC515" s="428">
        <f>SUM(Y515:AB515)</f>
        <v>90.536914385156251</v>
      </c>
      <c r="AD515" s="758">
        <f>AD501/1000*AD512</f>
        <v>31.457639286885243</v>
      </c>
      <c r="AE515" s="660">
        <f>AE501/1000*AE512</f>
        <v>19.296788062500003</v>
      </c>
      <c r="AF515" s="660">
        <f>AF501/1000*AF512</f>
        <v>19.296788062500003</v>
      </c>
      <c r="AG515" s="661">
        <f>AG501/1000*AG512</f>
        <v>22.947031300781241</v>
      </c>
      <c r="AH515" s="428">
        <f>SUM(AD515:AG515)</f>
        <v>92.998246712666486</v>
      </c>
      <c r="AI515" s="758">
        <f>AI501/1000*AI512</f>
        <v>17.583052572580645</v>
      </c>
      <c r="AJ515" s="660">
        <f>AJ501/1000*AJ512</f>
        <v>16.656102357142846</v>
      </c>
      <c r="AK515" s="660">
        <f>AK501/1000*AK512</f>
        <v>16.80008283984375</v>
      </c>
      <c r="AL515" s="661">
        <f>AL501/1000*AL512</f>
        <v>12.963449499999999</v>
      </c>
      <c r="AM515" s="428">
        <f>SUM(AI515:AL515)</f>
        <v>64.002687269567232</v>
      </c>
      <c r="AN515" s="758">
        <f>AN501/1000*AN512</f>
        <v>12.079680086065576</v>
      </c>
      <c r="AO515" s="660">
        <f>AO501/1000*AO512</f>
        <v>12.980911042968749</v>
      </c>
      <c r="AP515" s="660">
        <f>AP501/1000*AP512</f>
        <v>17.473043320312495</v>
      </c>
      <c r="AQ515" s="661">
        <f>AQ501/1000*AQ512</f>
        <v>18.421615052419355</v>
      </c>
      <c r="AR515" s="428">
        <f>SUM(AN515:AQ515)</f>
        <v>60.955249501766176</v>
      </c>
      <c r="AS515" s="758">
        <f>AS501/1000*AS512</f>
        <v>18.291542298387093</v>
      </c>
      <c r="AT515" s="660">
        <f>AT501/1000*AT512</f>
        <v>14.955732421875</v>
      </c>
      <c r="AU515" s="660">
        <f t="shared" ref="AU515" si="751">AU501/1000*AU512</f>
        <v>17.952292964285711</v>
      </c>
      <c r="AV515" s="661">
        <f>AV501/1000*AV512</f>
        <v>18.905129225409837</v>
      </c>
      <c r="AW515" s="428">
        <f>SUM(AS515:AV515)</f>
        <v>70.104696909957639</v>
      </c>
      <c r="AX515" s="758">
        <f>AX501/1000*AX512</f>
        <v>18.905129225409837</v>
      </c>
      <c r="AY515" s="660">
        <f>AY501/1000*AY512</f>
        <v>16.285004249999997</v>
      </c>
      <c r="AZ515" s="660">
        <f>AZ501/1000*AZ512</f>
        <v>17.107458749999999</v>
      </c>
      <c r="BA515" s="661">
        <f>BA501/1000*BA512</f>
        <v>17.634153750000003</v>
      </c>
      <c r="BB515" s="428">
        <f>SUM(AX515:BA515)</f>
        <v>69.931745975409839</v>
      </c>
      <c r="BC515" s="758">
        <f>BC501/1000*BC512</f>
        <v>17.640399325445163</v>
      </c>
      <c r="BD515" s="660">
        <f>BD501/1000*BD512</f>
        <v>15.461611583440463</v>
      </c>
      <c r="BE515" s="660">
        <f>BE501/1000*BE512</f>
        <v>15.665872934253406</v>
      </c>
      <c r="BF515" s="661">
        <f>BF501/1000*BF512</f>
        <v>18.312801656860955</v>
      </c>
      <c r="BG515" s="428">
        <f>SUM(BC515:BF515)</f>
        <v>67.080685499999987</v>
      </c>
      <c r="BH515" s="758">
        <f>BH501/1000*BH512</f>
        <v>17.904094368813386</v>
      </c>
      <c r="BI515" s="660">
        <f>BI501/1000*BI512</f>
        <v>15.692737322819669</v>
      </c>
      <c r="BJ515" s="660">
        <f>BJ501/1000*BJ512</f>
        <v>15.900052045881583</v>
      </c>
      <c r="BK515" s="661">
        <f>BK501/1000*BK512</f>
        <v>18.586548012485348</v>
      </c>
      <c r="BL515" s="428">
        <f>SUM(BH515:BK515)</f>
        <v>68.083431749999988</v>
      </c>
      <c r="BM515" s="758">
        <f>BM501/1000*BM512</f>
        <v>16.808382084374998</v>
      </c>
      <c r="BN515" s="660">
        <f>BN501/1000*BN512</f>
        <v>16.808382084374998</v>
      </c>
      <c r="BO515" s="660">
        <f>BO501/1000*BO512</f>
        <v>16.808382084374998</v>
      </c>
      <c r="BP515" s="661">
        <f>BP501/1000*BP512</f>
        <v>16.808382084374998</v>
      </c>
      <c r="BQ515" s="428">
        <f>SUM(BM515:BP515)</f>
        <v>67.23352833749999</v>
      </c>
      <c r="BR515" s="40"/>
      <c r="BS515" s="40"/>
      <c r="BT515" s="1026"/>
      <c r="BU515" s="232"/>
      <c r="BV515" s="40"/>
      <c r="BW515" s="40"/>
      <c r="BX515" s="40"/>
      <c r="BY515" s="40"/>
      <c r="BZ515" s="40"/>
      <c r="CA515" s="40"/>
      <c r="CB515" s="40"/>
      <c r="CC515" s="40"/>
      <c r="CD515" s="40"/>
      <c r="CE515" s="40"/>
      <c r="CF515" s="40"/>
      <c r="CZ515" s="156"/>
      <c r="DA515" s="156"/>
      <c r="DB515" s="156"/>
      <c r="DC515" s="156"/>
      <c r="DD515" s="156"/>
      <c r="DE515" s="156"/>
    </row>
    <row r="516" spans="1:118">
      <c r="A516" s="40"/>
      <c r="B516" s="32"/>
      <c r="C516" s="32" t="s">
        <v>199</v>
      </c>
      <c r="D516" s="32"/>
      <c r="E516" s="489"/>
      <c r="F516" s="342"/>
      <c r="G516" s="342"/>
      <c r="H516" s="490"/>
      <c r="I516" s="28"/>
      <c r="J516" s="489"/>
      <c r="K516" s="342"/>
      <c r="L516" s="342"/>
      <c r="M516" s="490"/>
      <c r="N516" s="32"/>
      <c r="O516" s="489"/>
      <c r="P516" s="342"/>
      <c r="Q516" s="342"/>
      <c r="R516" s="490"/>
      <c r="S516" s="32"/>
      <c r="T516" s="292"/>
      <c r="U516" s="261"/>
      <c r="V516" s="261"/>
      <c r="W516" s="293"/>
      <c r="X516" s="228"/>
      <c r="Y516" s="292">
        <f>Y514-Y515</f>
        <v>6.6456178458236366</v>
      </c>
      <c r="Z516" s="261">
        <f>Z514-Z515</f>
        <v>0.76324627262547651</v>
      </c>
      <c r="AA516" s="261">
        <f>AA514-AA515</f>
        <v>2.9591226121750545</v>
      </c>
      <c r="AB516" s="293">
        <f>AB514-AB515</f>
        <v>2.5164277682734841</v>
      </c>
      <c r="AC516" s="228">
        <f>AC514-AC515</f>
        <v>12.884414498897655</v>
      </c>
      <c r="AD516" s="292">
        <f t="shared" ref="AD516:BL516" si="752">AD514-AD515</f>
        <v>28.895400746792877</v>
      </c>
      <c r="AE516" s="261">
        <f>AE514-AE515</f>
        <v>5.4820657788726628</v>
      </c>
      <c r="AF516" s="261">
        <f t="shared" si="752"/>
        <v>5.4820657788726628</v>
      </c>
      <c r="AG516" s="293">
        <f t="shared" si="752"/>
        <v>7.2177604576184464</v>
      </c>
      <c r="AH516" s="228">
        <f t="shared" si="752"/>
        <v>47.077292762156645</v>
      </c>
      <c r="AI516" s="292">
        <f t="shared" si="752"/>
        <v>15.716860397396541</v>
      </c>
      <c r="AJ516" s="261">
        <f t="shared" si="752"/>
        <v>10.258605617684463</v>
      </c>
      <c r="AK516" s="261">
        <f t="shared" si="752"/>
        <v>9.740757354519463</v>
      </c>
      <c r="AL516" s="293">
        <f t="shared" si="752"/>
        <v>10.562909297830629</v>
      </c>
      <c r="AM516" s="228">
        <f t="shared" si="752"/>
        <v>46.279132667431099</v>
      </c>
      <c r="AN516" s="292">
        <f t="shared" si="752"/>
        <v>9.1640914784258953</v>
      </c>
      <c r="AO516" s="261">
        <f t="shared" si="752"/>
        <v>10.954405721916508</v>
      </c>
      <c r="AP516" s="261">
        <f t="shared" si="752"/>
        <v>11.056283021927172</v>
      </c>
      <c r="AQ516" s="293">
        <f t="shared" si="752"/>
        <v>6.67636638633941</v>
      </c>
      <c r="AR516" s="228">
        <f t="shared" si="752"/>
        <v>37.851146608608985</v>
      </c>
      <c r="AS516" s="292">
        <f t="shared" si="752"/>
        <v>6.0065846686137014</v>
      </c>
      <c r="AT516" s="261">
        <f t="shared" si="752"/>
        <v>6.587986116178131</v>
      </c>
      <c r="AU516" s="261">
        <f t="shared" ref="AU516" si="753">AU514-AU515</f>
        <v>9.6524463663860658</v>
      </c>
      <c r="AV516" s="293">
        <f t="shared" si="752"/>
        <v>11.436527697133048</v>
      </c>
      <c r="AW516" s="228">
        <f t="shared" si="752"/>
        <v>33.683544848310945</v>
      </c>
      <c r="AX516" s="292">
        <f t="shared" si="752"/>
        <v>11.436527697133048</v>
      </c>
      <c r="AY516" s="261">
        <f t="shared" si="752"/>
        <v>9.5851737500000063</v>
      </c>
      <c r="AZ516" s="261">
        <f t="shared" si="752"/>
        <v>10.440040250000006</v>
      </c>
      <c r="BA516" s="293">
        <f t="shared" si="752"/>
        <v>8.1820042499999985</v>
      </c>
      <c r="BB516" s="228">
        <f t="shared" si="752"/>
        <v>39.643745947133056</v>
      </c>
      <c r="BC516" s="292">
        <f t="shared" si="752"/>
        <v>9.0277800154911176</v>
      </c>
      <c r="BD516" s="261">
        <f t="shared" si="752"/>
        <v>7.4392693034500947</v>
      </c>
      <c r="BE516" s="261">
        <f t="shared" si="752"/>
        <v>9.3052437935174108</v>
      </c>
      <c r="BF516" s="293">
        <f t="shared" si="752"/>
        <v>10.307605465368525</v>
      </c>
      <c r="BG516" s="228">
        <f t="shared" si="752"/>
        <v>36.079898577827151</v>
      </c>
      <c r="BH516" s="292">
        <f t="shared" si="752"/>
        <v>8.8036380447622093</v>
      </c>
      <c r="BI516" s="261">
        <f t="shared" si="752"/>
        <v>7.2444387486289354</v>
      </c>
      <c r="BJ516" s="261">
        <f t="shared" si="752"/>
        <v>9.1121644937066719</v>
      </c>
      <c r="BK516" s="293">
        <f t="shared" si="752"/>
        <v>10.074984364794151</v>
      </c>
      <c r="BL516" s="228">
        <f t="shared" si="752"/>
        <v>35.235225651891966</v>
      </c>
      <c r="BM516" s="292">
        <f t="shared" ref="BM516:BQ516" si="754">BM514-BM515</f>
        <v>14.16863062984682</v>
      </c>
      <c r="BN516" s="261">
        <f t="shared" si="754"/>
        <v>14.16863062984682</v>
      </c>
      <c r="BO516" s="261">
        <f t="shared" si="754"/>
        <v>14.16863062984682</v>
      </c>
      <c r="BP516" s="293">
        <f t="shared" si="754"/>
        <v>14.16863062984682</v>
      </c>
      <c r="BQ516" s="228">
        <f t="shared" si="754"/>
        <v>56.674522519387281</v>
      </c>
      <c r="BR516" s="40"/>
      <c r="BS516" s="40"/>
      <c r="BT516" s="40"/>
      <c r="CW516" s="232"/>
      <c r="CX516" s="232"/>
      <c r="CY516" s="232"/>
      <c r="CZ516" s="40"/>
      <c r="DA516" s="40"/>
      <c r="DB516" s="40"/>
      <c r="DC516" s="40"/>
      <c r="DD516" s="40"/>
      <c r="DE516" s="40"/>
      <c r="DF516" s="232"/>
      <c r="DG516" s="232"/>
      <c r="DH516" s="232"/>
      <c r="DI516" s="232"/>
      <c r="DJ516" s="232"/>
      <c r="DK516" s="232"/>
      <c r="DL516" s="232"/>
      <c r="DM516" s="232"/>
      <c r="DN516" s="232"/>
    </row>
    <row r="517" spans="1:118">
      <c r="A517" s="40"/>
      <c r="B517" s="32"/>
      <c r="C517" s="32"/>
      <c r="D517" s="32"/>
      <c r="E517" s="489"/>
      <c r="F517" s="342"/>
      <c r="G517" s="342"/>
      <c r="H517" s="490"/>
      <c r="I517" s="28"/>
      <c r="J517" s="489"/>
      <c r="K517" s="342"/>
      <c r="L517" s="342"/>
      <c r="M517" s="490"/>
      <c r="N517" s="32"/>
      <c r="O517" s="489"/>
      <c r="P517" s="342"/>
      <c r="Q517" s="342"/>
      <c r="R517" s="490"/>
      <c r="S517" s="32"/>
      <c r="T517" s="292"/>
      <c r="U517" s="261"/>
      <c r="V517" s="261"/>
      <c r="W517" s="293"/>
      <c r="X517" s="228"/>
      <c r="Y517" s="292"/>
      <c r="Z517" s="261"/>
      <c r="AA517" s="261"/>
      <c r="AB517" s="293"/>
      <c r="AC517" s="228"/>
      <c r="AD517" s="292"/>
      <c r="AE517" s="261"/>
      <c r="AF517" s="261"/>
      <c r="AG517" s="293"/>
      <c r="AH517" s="228"/>
      <c r="AI517" s="292"/>
      <c r="AJ517" s="261"/>
      <c r="AK517" s="261"/>
      <c r="AL517" s="293"/>
      <c r="AM517" s="228"/>
      <c r="AN517" s="292"/>
      <c r="AO517" s="261"/>
      <c r="AP517" s="261"/>
      <c r="AQ517" s="293"/>
      <c r="AR517" s="228"/>
      <c r="AS517" s="292"/>
      <c r="AT517" s="261"/>
      <c r="AU517" s="261"/>
      <c r="AV517" s="293"/>
      <c r="AW517" s="228"/>
      <c r="AX517" s="292"/>
      <c r="AY517" s="261"/>
      <c r="AZ517" s="261"/>
      <c r="BA517" s="293"/>
      <c r="BB517" s="228"/>
      <c r="BC517" s="292"/>
      <c r="BD517" s="261"/>
      <c r="BE517" s="261"/>
      <c r="BF517" s="293"/>
      <c r="BG517" s="228"/>
      <c r="BH517" s="292"/>
      <c r="BI517" s="261"/>
      <c r="BJ517" s="261"/>
      <c r="BK517" s="293"/>
      <c r="BL517" s="228"/>
      <c r="BM517" s="292"/>
      <c r="BN517" s="261"/>
      <c r="BO517" s="261"/>
      <c r="BP517" s="293"/>
      <c r="BQ517" s="228"/>
      <c r="BR517" s="40"/>
      <c r="BS517" s="40"/>
      <c r="BT517" s="40"/>
      <c r="BU517" s="34"/>
      <c r="BV517" s="34"/>
      <c r="BW517" s="34"/>
      <c r="BX517" s="34"/>
      <c r="BY517" s="34"/>
      <c r="BZ517" s="34"/>
      <c r="CA517" s="34"/>
      <c r="CB517" s="34"/>
      <c r="CC517" s="34"/>
      <c r="CD517" s="34"/>
      <c r="CE517" s="34"/>
      <c r="CF517" s="34"/>
      <c r="CW517" s="232"/>
      <c r="CX517" s="232"/>
      <c r="CY517" s="232"/>
      <c r="CZ517" s="40"/>
      <c r="DA517" s="40"/>
      <c r="DB517" s="40"/>
      <c r="DC517" s="40"/>
      <c r="DD517" s="40"/>
      <c r="DE517" s="40"/>
      <c r="DF517" s="232"/>
      <c r="DG517" s="232"/>
      <c r="DH517" s="232"/>
      <c r="DI517" s="232"/>
      <c r="DJ517" s="232"/>
      <c r="DK517" s="232"/>
      <c r="DL517" s="232"/>
      <c r="DM517" s="232"/>
      <c r="DN517" s="232"/>
    </row>
    <row r="518" spans="1:118">
      <c r="A518" s="40"/>
      <c r="B518" s="32"/>
      <c r="C518" s="429" t="s">
        <v>841</v>
      </c>
      <c r="D518" s="1"/>
      <c r="E518" s="273"/>
      <c r="F518" s="3"/>
      <c r="G518" s="3"/>
      <c r="H518" s="274"/>
      <c r="I518" s="440"/>
      <c r="J518" s="273"/>
      <c r="K518" s="3"/>
      <c r="L518" s="3"/>
      <c r="M518" s="274"/>
      <c r="N518" s="1"/>
      <c r="O518" s="273"/>
      <c r="P518" s="3"/>
      <c r="Q518" s="3"/>
      <c r="R518" s="274"/>
      <c r="S518" s="1"/>
      <c r="T518" s="273"/>
      <c r="U518" s="3"/>
      <c r="V518" s="3"/>
      <c r="W518" s="274"/>
      <c r="X518" s="1"/>
      <c r="Y518" s="273"/>
      <c r="Z518" s="3"/>
      <c r="AA518" s="3"/>
      <c r="AB518" s="274"/>
      <c r="AC518" s="1"/>
      <c r="AD518" s="273"/>
      <c r="AE518" s="3"/>
      <c r="AF518" s="3"/>
      <c r="AG518" s="274"/>
      <c r="AH518" s="1"/>
      <c r="AI518" s="273"/>
      <c r="AJ518" s="3"/>
      <c r="AK518" s="3"/>
      <c r="AL518" s="274"/>
      <c r="AM518" s="1"/>
      <c r="AN518" s="273"/>
      <c r="AO518" s="3"/>
      <c r="AP518" s="3"/>
      <c r="AQ518" s="274"/>
      <c r="AR518" s="1"/>
      <c r="AS518" s="273"/>
      <c r="AT518" s="3"/>
      <c r="AU518" s="3"/>
      <c r="AV518" s="274"/>
      <c r="AW518" s="1"/>
      <c r="AX518" s="273"/>
      <c r="AY518" s="3"/>
      <c r="AZ518" s="3"/>
      <c r="BA518" s="274"/>
      <c r="BB518" s="1"/>
      <c r="BC518" s="273"/>
      <c r="BD518" s="3"/>
      <c r="BE518" s="3"/>
      <c r="BF518" s="274"/>
      <c r="BG518" s="1"/>
      <c r="BH518" s="273"/>
      <c r="BI518" s="3"/>
      <c r="BJ518" s="3"/>
      <c r="BK518" s="274"/>
      <c r="BL518" s="1"/>
      <c r="BM518" s="273"/>
      <c r="BN518" s="3"/>
      <c r="BO518" s="3"/>
      <c r="BP518" s="274"/>
      <c r="BQ518" s="1"/>
      <c r="BR518" s="40"/>
      <c r="BS518" s="40"/>
      <c r="BT518" s="925"/>
      <c r="CW518" s="232"/>
      <c r="CX518" s="232"/>
      <c r="CY518" s="232"/>
      <c r="CZ518" s="40"/>
      <c r="DA518" s="40"/>
      <c r="DB518" s="40"/>
      <c r="DC518" s="40"/>
      <c r="DD518" s="40"/>
      <c r="DE518" s="40"/>
      <c r="DF518" s="232"/>
      <c r="DG518" s="232"/>
      <c r="DH518" s="232"/>
      <c r="DI518" s="232"/>
      <c r="DJ518" s="232"/>
      <c r="DK518" s="232"/>
      <c r="DL518" s="232"/>
      <c r="DM518" s="232"/>
      <c r="DN518" s="232"/>
    </row>
    <row r="519" spans="1:118">
      <c r="A519" s="40"/>
      <c r="B519" s="32"/>
      <c r="C519" s="28" t="s">
        <v>200</v>
      </c>
      <c r="D519" s="1"/>
      <c r="E519" s="273"/>
      <c r="F519" s="3"/>
      <c r="G519" s="3"/>
      <c r="H519" s="274"/>
      <c r="I519" s="28"/>
      <c r="J519" s="273"/>
      <c r="K519" s="3"/>
      <c r="L519" s="3"/>
      <c r="M519" s="274"/>
      <c r="N519" s="1"/>
      <c r="O519" s="273"/>
      <c r="P519" s="3"/>
      <c r="Q519" s="3"/>
      <c r="R519" s="274"/>
      <c r="S519" s="1"/>
      <c r="T519" s="436"/>
      <c r="U519" s="437"/>
      <c r="V519" s="437"/>
      <c r="W519" s="438"/>
      <c r="X519" s="439"/>
      <c r="Y519" s="436">
        <f>Y$85</f>
        <v>42.607887670634931</v>
      </c>
      <c r="Z519" s="437">
        <f>Z$85</f>
        <v>47.166300820312507</v>
      </c>
      <c r="AA519" s="437">
        <f>AA$85</f>
        <v>55.200128388671871</v>
      </c>
      <c r="AB519" s="438">
        <f>AB$85</f>
        <v>42.19233237304686</v>
      </c>
      <c r="AC519" s="439">
        <f>AVERAGE(Y519:AB519)</f>
        <v>46.791662313166547</v>
      </c>
      <c r="AD519" s="436">
        <f>AD$85</f>
        <v>132.34547472222226</v>
      </c>
      <c r="AE519" s="437">
        <f>AE$85</f>
        <v>45.337472450195328</v>
      </c>
      <c r="AF519" s="437">
        <f>AF$85</f>
        <v>45.337472450195328</v>
      </c>
      <c r="AG519" s="438">
        <f>AG$85</f>
        <v>49.12051941503907</v>
      </c>
      <c r="AH519" s="439">
        <f>AVERAGE(AD519:AG519)</f>
        <v>68.035234759412987</v>
      </c>
      <c r="AI519" s="436">
        <f>AI$85</f>
        <v>67.284598143849195</v>
      </c>
      <c r="AJ519" s="437">
        <f>AJ$85</f>
        <v>43.70333333333334</v>
      </c>
      <c r="AK519" s="437">
        <f>AK$85</f>
        <v>39.898508561538463</v>
      </c>
      <c r="AL519" s="438">
        <f>AL$85</f>
        <v>30.041686161132823</v>
      </c>
      <c r="AM519" s="439">
        <f>AVERAGE(AI519:AL519)</f>
        <v>45.232031549963452</v>
      </c>
      <c r="AN519" s="436">
        <f>AN$85</f>
        <v>31.26632047949219</v>
      </c>
      <c r="AO519" s="437">
        <f>AO$85</f>
        <v>28.707086242187497</v>
      </c>
      <c r="AP519" s="437">
        <f>AP$85</f>
        <v>40.605906624023433</v>
      </c>
      <c r="AQ519" s="438">
        <f>AQ$85</f>
        <v>28.828253920634918</v>
      </c>
      <c r="AR519" s="439">
        <f>AVERAGE(AN519:AQ519)</f>
        <v>32.351891816584512</v>
      </c>
      <c r="AS519" s="436">
        <f>AS$85</f>
        <v>33.256564817382809</v>
      </c>
      <c r="AT519" s="437">
        <f>AT$85</f>
        <v>32.387231337890618</v>
      </c>
      <c r="AU519" s="437">
        <f t="shared" ref="AU519" si="755">AU$85</f>
        <v>34.354411583333338</v>
      </c>
      <c r="AV519" s="438">
        <f>AV$85</f>
        <v>49.504310380859366</v>
      </c>
      <c r="AW519" s="439">
        <f>AVERAGE(AS519:AV519)</f>
        <v>37.375629529866529</v>
      </c>
      <c r="AX519" s="436">
        <f>AX$85</f>
        <v>49.504310380859366</v>
      </c>
      <c r="AY519" s="437">
        <f>AY$85</f>
        <v>34.371333333333332</v>
      </c>
      <c r="AZ519" s="437">
        <f>AZ$85</f>
        <v>38.062833333333337</v>
      </c>
      <c r="BA519" s="438">
        <f>BA$85</f>
        <v>34.614333333333327</v>
      </c>
      <c r="BB519" s="439">
        <f>AVERAGE(AX519:BA519)</f>
        <v>39.138202595214842</v>
      </c>
      <c r="BC519" s="436">
        <f>BC$85</f>
        <v>46.510944725679025</v>
      </c>
      <c r="BD519" s="437">
        <f>BD$85</f>
        <v>30.296280173373429</v>
      </c>
      <c r="BE519" s="437">
        <f>BE$85</f>
        <v>33.94738406386135</v>
      </c>
      <c r="BF519" s="438">
        <f>BF$85</f>
        <v>36.410057703486217</v>
      </c>
      <c r="BG519" s="439">
        <f>AVERAGE(BC519:BF519)</f>
        <v>36.791166666600006</v>
      </c>
      <c r="BH519" s="436">
        <f>BH$85</f>
        <v>46.479340030218324</v>
      </c>
      <c r="BI519" s="437">
        <f>BI$85</f>
        <v>30.275693519756331</v>
      </c>
      <c r="BJ519" s="437">
        <f>BJ$85</f>
        <v>33.924316445231916</v>
      </c>
      <c r="BK519" s="438">
        <f>BK$85</f>
        <v>36.385316671193436</v>
      </c>
      <c r="BL519" s="439">
        <f>AVERAGE(BH519:BK519)</f>
        <v>36.7661666666</v>
      </c>
      <c r="BM519" s="436">
        <f>BM$85</f>
        <v>36.021428571428572</v>
      </c>
      <c r="BN519" s="437">
        <f>BN$85</f>
        <v>36.021428571428572</v>
      </c>
      <c r="BO519" s="437">
        <f>BO$85</f>
        <v>36.021428571428572</v>
      </c>
      <c r="BP519" s="438">
        <f>BP$85</f>
        <v>36.021428571428572</v>
      </c>
      <c r="BQ519" s="439">
        <f>AVERAGE(BM519:BP519)</f>
        <v>36.021428571428572</v>
      </c>
      <c r="BR519" s="40"/>
      <c r="BS519" s="40"/>
      <c r="BT519" s="40"/>
      <c r="CW519" s="232"/>
      <c r="CX519" s="232"/>
      <c r="CY519" s="232"/>
      <c r="CZ519" s="40"/>
      <c r="DA519" s="40"/>
      <c r="DB519" s="40"/>
      <c r="DC519" s="40"/>
      <c r="DD519" s="40"/>
      <c r="DE519" s="40"/>
      <c r="DF519" s="232"/>
      <c r="DG519" s="232"/>
      <c r="DH519" s="232"/>
      <c r="DI519" s="232"/>
      <c r="DJ519" s="232"/>
      <c r="DK519" s="232"/>
      <c r="DL519" s="232"/>
      <c r="DM519" s="232"/>
      <c r="DN519" s="232"/>
    </row>
    <row r="520" spans="1:118">
      <c r="A520" s="40"/>
      <c r="B520" s="32"/>
      <c r="C520" s="28" t="s">
        <v>195</v>
      </c>
      <c r="D520" s="1"/>
      <c r="E520" s="273"/>
      <c r="F520" s="3"/>
      <c r="G520" s="3"/>
      <c r="H520" s="274"/>
      <c r="I520" s="993">
        <f>(80/6*12)</f>
        <v>160</v>
      </c>
      <c r="J520" s="273"/>
      <c r="K520" s="3"/>
      <c r="L520" s="3"/>
      <c r="M520" s="274"/>
      <c r="N520" s="1"/>
      <c r="O520" s="273"/>
      <c r="P520" s="3"/>
      <c r="Q520" s="3"/>
      <c r="R520" s="274"/>
      <c r="S520" s="1"/>
      <c r="T520" s="436"/>
      <c r="U520" s="437"/>
      <c r="V520" s="437"/>
      <c r="W520" s="438"/>
      <c r="X520" s="439"/>
      <c r="Y520" s="436">
        <f>+$I520</f>
        <v>160</v>
      </c>
      <c r="Z520" s="437">
        <f>+$I520</f>
        <v>160</v>
      </c>
      <c r="AA520" s="437">
        <f>+$I520</f>
        <v>160</v>
      </c>
      <c r="AB520" s="438">
        <f>+$I520</f>
        <v>160</v>
      </c>
      <c r="AC520" s="439">
        <f>AVERAGE(Y520:AB520)</f>
        <v>160</v>
      </c>
      <c r="AD520" s="436">
        <f>+$I520</f>
        <v>160</v>
      </c>
      <c r="AE520" s="437">
        <f>+$I520</f>
        <v>160</v>
      </c>
      <c r="AF520" s="437">
        <f>+$I520</f>
        <v>160</v>
      </c>
      <c r="AG520" s="438">
        <f>+$I520</f>
        <v>160</v>
      </c>
      <c r="AH520" s="439">
        <f>AVERAGE(AD520:AG520)</f>
        <v>160</v>
      </c>
      <c r="AI520" s="436">
        <f>+$I520</f>
        <v>160</v>
      </c>
      <c r="AJ520" s="437">
        <f>+$I520</f>
        <v>160</v>
      </c>
      <c r="AK520" s="437">
        <f>+$I520</f>
        <v>160</v>
      </c>
      <c r="AL520" s="438">
        <f>+$I520</f>
        <v>160</v>
      </c>
      <c r="AM520" s="439">
        <f>AVERAGE(AI520:AL520)</f>
        <v>160</v>
      </c>
      <c r="AN520" s="436">
        <f>+$I520</f>
        <v>160</v>
      </c>
      <c r="AO520" s="437">
        <f>+$I520</f>
        <v>160</v>
      </c>
      <c r="AP520" s="437">
        <f>+$I520</f>
        <v>160</v>
      </c>
      <c r="AQ520" s="438">
        <f>+$I520</f>
        <v>160</v>
      </c>
      <c r="AR520" s="439">
        <f>AVERAGE(AN520:AQ520)</f>
        <v>160</v>
      </c>
      <c r="AS520" s="436">
        <f>+$I520</f>
        <v>160</v>
      </c>
      <c r="AT520" s="437">
        <f>+$I520</f>
        <v>160</v>
      </c>
      <c r="AU520" s="437">
        <f t="shared" ref="AU520" si="756">+$I520</f>
        <v>160</v>
      </c>
      <c r="AV520" s="438">
        <f>+$I520</f>
        <v>160</v>
      </c>
      <c r="AW520" s="439">
        <f>AVERAGE(AS520:AV520)</f>
        <v>160</v>
      </c>
      <c r="AX520" s="436">
        <f>+$I520</f>
        <v>160</v>
      </c>
      <c r="AY520" s="437">
        <f>+$I520</f>
        <v>160</v>
      </c>
      <c r="AZ520" s="437">
        <f>+$I520</f>
        <v>160</v>
      </c>
      <c r="BA520" s="438">
        <f>+$I520</f>
        <v>160</v>
      </c>
      <c r="BB520" s="439">
        <f>AVERAGE(AX520:BA520)</f>
        <v>160</v>
      </c>
      <c r="BC520" s="436">
        <f>+$I520</f>
        <v>160</v>
      </c>
      <c r="BD520" s="437">
        <f>+$I520</f>
        <v>160</v>
      </c>
      <c r="BE520" s="437">
        <f>+$I520</f>
        <v>160</v>
      </c>
      <c r="BF520" s="438">
        <f>+$I520</f>
        <v>160</v>
      </c>
      <c r="BG520" s="439">
        <f>AVERAGE(BC520:BF520)</f>
        <v>160</v>
      </c>
      <c r="BH520" s="436">
        <f>+$I520</f>
        <v>160</v>
      </c>
      <c r="BI520" s="437">
        <f>+$I520</f>
        <v>160</v>
      </c>
      <c r="BJ520" s="437">
        <f>+$I520</f>
        <v>160</v>
      </c>
      <c r="BK520" s="438">
        <f>+$I520</f>
        <v>160</v>
      </c>
      <c r="BL520" s="439">
        <f>AVERAGE(BH520:BK520)</f>
        <v>160</v>
      </c>
      <c r="BM520" s="436">
        <f>+$I520</f>
        <v>160</v>
      </c>
      <c r="BN520" s="437">
        <f>+$I520</f>
        <v>160</v>
      </c>
      <c r="BO520" s="437">
        <f>+$I520</f>
        <v>160</v>
      </c>
      <c r="BP520" s="438">
        <f>+$I520</f>
        <v>160</v>
      </c>
      <c r="BQ520" s="439">
        <f>AVERAGE(BM520:BP520)</f>
        <v>160</v>
      </c>
      <c r="BR520" s="40"/>
      <c r="BS520" s="40"/>
      <c r="BT520" s="40"/>
      <c r="CW520" s="232"/>
      <c r="CX520" s="232"/>
      <c r="CY520" s="232"/>
      <c r="CZ520" s="40"/>
      <c r="DA520" s="40"/>
      <c r="DB520" s="40"/>
      <c r="DC520" s="40"/>
      <c r="DD520" s="40"/>
      <c r="DE520" s="40"/>
      <c r="DF520" s="232"/>
      <c r="DG520" s="232"/>
      <c r="DH520" s="232"/>
      <c r="DI520" s="232"/>
      <c r="DJ520" s="232"/>
      <c r="DK520" s="232"/>
      <c r="DL520" s="232"/>
      <c r="DM520" s="232"/>
      <c r="DN520" s="232"/>
    </row>
    <row r="521" spans="1:118">
      <c r="A521" s="40"/>
      <c r="B521" s="32"/>
      <c r="C521" s="28"/>
      <c r="D521" s="1"/>
      <c r="E521" s="273"/>
      <c r="F521" s="3"/>
      <c r="G521" s="3"/>
      <c r="H521" s="274"/>
      <c r="I521" s="426"/>
      <c r="J521" s="273"/>
      <c r="K521" s="3"/>
      <c r="L521" s="3"/>
      <c r="M521" s="274"/>
      <c r="N521" s="1"/>
      <c r="O521" s="273"/>
      <c r="P521" s="3"/>
      <c r="Q521" s="3"/>
      <c r="R521" s="274"/>
      <c r="S521" s="1"/>
      <c r="T521" s="436"/>
      <c r="U521" s="437"/>
      <c r="V521" s="437"/>
      <c r="W521" s="438"/>
      <c r="X521" s="439"/>
      <c r="Y521" s="436"/>
      <c r="Z521" s="437"/>
      <c r="AA521" s="437"/>
      <c r="AB521" s="438"/>
      <c r="AC521" s="439"/>
      <c r="AD521" s="436"/>
      <c r="AE521" s="437"/>
      <c r="AF521" s="437"/>
      <c r="AG521" s="438"/>
      <c r="AH521" s="439"/>
      <c r="AI521" s="436"/>
      <c r="AJ521" s="437"/>
      <c r="AK521" s="437"/>
      <c r="AL521" s="438"/>
      <c r="AM521" s="439"/>
      <c r="AN521" s="436"/>
      <c r="AO521" s="437"/>
      <c r="AP521" s="437"/>
      <c r="AQ521" s="438"/>
      <c r="AR521" s="439"/>
      <c r="AS521" s="436"/>
      <c r="AT521" s="437"/>
      <c r="AU521" s="437"/>
      <c r="AV521" s="438"/>
      <c r="AW521" s="439"/>
      <c r="AX521" s="436"/>
      <c r="AY521" s="437"/>
      <c r="AZ521" s="437"/>
      <c r="BA521" s="438"/>
      <c r="BB521" s="439"/>
      <c r="BC521" s="436"/>
      <c r="BD521" s="437"/>
      <c r="BE521" s="437"/>
      <c r="BF521" s="438"/>
      <c r="BG521" s="439"/>
      <c r="BH521" s="436"/>
      <c r="BI521" s="437"/>
      <c r="BJ521" s="437"/>
      <c r="BK521" s="438"/>
      <c r="BL521" s="439"/>
      <c r="BM521" s="436"/>
      <c r="BN521" s="437"/>
      <c r="BO521" s="437"/>
      <c r="BP521" s="438"/>
      <c r="BQ521" s="439"/>
      <c r="BR521" s="40"/>
      <c r="BS521" s="40"/>
      <c r="BT521" s="40"/>
      <c r="CW521" s="232"/>
      <c r="CX521" s="232"/>
      <c r="CY521" s="232"/>
      <c r="CZ521" s="40"/>
      <c r="DA521" s="40"/>
      <c r="DB521" s="40"/>
      <c r="DC521" s="40"/>
      <c r="DD521" s="40"/>
      <c r="DE521" s="40"/>
      <c r="DF521" s="232"/>
      <c r="DG521" s="232"/>
      <c r="DH521" s="232"/>
      <c r="DI521" s="232"/>
      <c r="DJ521" s="232"/>
      <c r="DK521" s="232"/>
      <c r="DL521" s="232"/>
      <c r="DM521" s="232"/>
      <c r="DN521" s="232"/>
    </row>
    <row r="522" spans="1:118">
      <c r="A522" s="40"/>
      <c r="B522" s="32"/>
      <c r="C522" s="32" t="s">
        <v>196</v>
      </c>
      <c r="D522" s="32"/>
      <c r="E522" s="292"/>
      <c r="F522" s="261"/>
      <c r="G522" s="261"/>
      <c r="H522" s="293"/>
      <c r="I522" s="884">
        <f>39+2+391+56+60+51+28+2+51+9+12+200+61+98+39+16+199+52+36</f>
        <v>1402</v>
      </c>
      <c r="J522" s="292"/>
      <c r="K522" s="261"/>
      <c r="L522" s="261"/>
      <c r="M522" s="293"/>
      <c r="N522" s="228"/>
      <c r="O522" s="292"/>
      <c r="P522" s="261"/>
      <c r="Q522" s="261"/>
      <c r="R522" s="293"/>
      <c r="S522" s="228"/>
      <c r="T522" s="292"/>
      <c r="U522" s="261"/>
      <c r="V522" s="261"/>
      <c r="W522" s="293"/>
      <c r="X522" s="228"/>
      <c r="Y522" s="292">
        <f>+Z522</f>
        <v>1402</v>
      </c>
      <c r="Z522" s="261">
        <f>+AA522</f>
        <v>1402</v>
      </c>
      <c r="AA522" s="261">
        <f>+AB522</f>
        <v>1402</v>
      </c>
      <c r="AB522" s="293">
        <f>+AC522</f>
        <v>1402</v>
      </c>
      <c r="AC522" s="669">
        <f>+I522</f>
        <v>1402</v>
      </c>
      <c r="AD522" s="292">
        <f t="shared" ref="AD522:BL522" si="757">AC522</f>
        <v>1402</v>
      </c>
      <c r="AE522" s="261">
        <f>+AD522</f>
        <v>1402</v>
      </c>
      <c r="AF522" s="261">
        <f t="shared" si="757"/>
        <v>1402</v>
      </c>
      <c r="AG522" s="293">
        <f>AF522</f>
        <v>1402</v>
      </c>
      <c r="AH522" s="228">
        <f t="shared" si="757"/>
        <v>1402</v>
      </c>
      <c r="AI522" s="292">
        <f t="shared" si="757"/>
        <v>1402</v>
      </c>
      <c r="AJ522" s="261">
        <f t="shared" si="757"/>
        <v>1402</v>
      </c>
      <c r="AK522" s="261">
        <f t="shared" si="757"/>
        <v>1402</v>
      </c>
      <c r="AL522" s="293">
        <f>AK522</f>
        <v>1402</v>
      </c>
      <c r="AM522" s="228">
        <f t="shared" si="757"/>
        <v>1402</v>
      </c>
      <c r="AN522" s="292">
        <f>AM522</f>
        <v>1402</v>
      </c>
      <c r="AO522" s="261">
        <f>AN522</f>
        <v>1402</v>
      </c>
      <c r="AP522" s="261">
        <f>AO522</f>
        <v>1402</v>
      </c>
      <c r="AQ522" s="293">
        <f t="shared" si="757"/>
        <v>1402</v>
      </c>
      <c r="AR522" s="228">
        <f t="shared" si="757"/>
        <v>1402</v>
      </c>
      <c r="AS522" s="292">
        <f t="shared" si="757"/>
        <v>1402</v>
      </c>
      <c r="AT522" s="261">
        <f t="shared" si="757"/>
        <v>1402</v>
      </c>
      <c r="AU522" s="261">
        <f t="shared" ref="AU522" si="758">AT522</f>
        <v>1402</v>
      </c>
      <c r="AV522" s="293">
        <f t="shared" si="757"/>
        <v>1402</v>
      </c>
      <c r="AW522" s="228">
        <f t="shared" si="757"/>
        <v>1402</v>
      </c>
      <c r="AX522" s="292">
        <f t="shared" si="757"/>
        <v>1402</v>
      </c>
      <c r="AY522" s="261">
        <f t="shared" si="757"/>
        <v>1402</v>
      </c>
      <c r="AZ522" s="261">
        <f t="shared" si="757"/>
        <v>1402</v>
      </c>
      <c r="BA522" s="293">
        <f t="shared" si="757"/>
        <v>1402</v>
      </c>
      <c r="BB522" s="228">
        <f t="shared" si="757"/>
        <v>1402</v>
      </c>
      <c r="BC522" s="292">
        <f t="shared" si="757"/>
        <v>1402</v>
      </c>
      <c r="BD522" s="261">
        <f t="shared" si="757"/>
        <v>1402</v>
      </c>
      <c r="BE522" s="261">
        <f t="shared" si="757"/>
        <v>1402</v>
      </c>
      <c r="BF522" s="293">
        <f t="shared" si="757"/>
        <v>1402</v>
      </c>
      <c r="BG522" s="228">
        <f>BF522</f>
        <v>1402</v>
      </c>
      <c r="BH522" s="292">
        <f>BG522</f>
        <v>1402</v>
      </c>
      <c r="BI522" s="261">
        <f t="shared" si="757"/>
        <v>1402</v>
      </c>
      <c r="BJ522" s="261">
        <f t="shared" si="757"/>
        <v>1402</v>
      </c>
      <c r="BK522" s="293">
        <f t="shared" si="757"/>
        <v>1402</v>
      </c>
      <c r="BL522" s="228">
        <f t="shared" si="757"/>
        <v>1402</v>
      </c>
      <c r="BM522" s="292">
        <f t="shared" ref="BM522" si="759">BL522</f>
        <v>1402</v>
      </c>
      <c r="BN522" s="261">
        <f t="shared" ref="BN522" si="760">BM522</f>
        <v>1402</v>
      </c>
      <c r="BO522" s="261">
        <f t="shared" ref="BO522" si="761">BN522</f>
        <v>1402</v>
      </c>
      <c r="BP522" s="293">
        <f t="shared" ref="BP522" si="762">BO522</f>
        <v>1402</v>
      </c>
      <c r="BQ522" s="228">
        <f t="shared" ref="BQ522" si="763">BP522</f>
        <v>1402</v>
      </c>
      <c r="BR522" s="40"/>
      <c r="BS522" s="40"/>
      <c r="BT522" s="40"/>
      <c r="CW522" s="232"/>
      <c r="CX522" s="232"/>
      <c r="CY522" s="232"/>
      <c r="CZ522" s="40"/>
      <c r="DA522" s="40"/>
      <c r="DB522" s="40"/>
      <c r="DC522" s="40"/>
      <c r="DD522" s="40"/>
      <c r="DE522" s="40"/>
      <c r="DF522" s="232"/>
      <c r="DG522" s="232"/>
      <c r="DH522" s="232"/>
      <c r="DI522" s="232"/>
      <c r="DJ522" s="232"/>
      <c r="DK522" s="232"/>
      <c r="DL522" s="232"/>
      <c r="DM522" s="232"/>
      <c r="DN522" s="232"/>
    </row>
    <row r="523" spans="1:118">
      <c r="A523" s="40"/>
      <c r="B523" s="32"/>
      <c r="C523" s="1"/>
      <c r="D523" s="1"/>
      <c r="E523" s="273"/>
      <c r="F523" s="3"/>
      <c r="G523" s="3"/>
      <c r="H523" s="274"/>
      <c r="I523" s="28"/>
      <c r="J523" s="273"/>
      <c r="K523" s="3"/>
      <c r="L523" s="3"/>
      <c r="M523" s="274"/>
      <c r="N523" s="1"/>
      <c r="O523" s="273"/>
      <c r="P523" s="3"/>
      <c r="Q523" s="3"/>
      <c r="R523" s="274"/>
      <c r="S523" s="1"/>
      <c r="T523" s="273"/>
      <c r="U523" s="3"/>
      <c r="V523" s="3"/>
      <c r="W523" s="274"/>
      <c r="X523" s="1"/>
      <c r="Y523" s="273"/>
      <c r="Z523" s="3"/>
      <c r="AA523" s="3"/>
      <c r="AB523" s="274"/>
      <c r="AC523" s="1"/>
      <c r="AD523" s="273"/>
      <c r="AE523" s="3"/>
      <c r="AF523" s="3"/>
      <c r="AG523" s="274"/>
      <c r="AH523" s="1"/>
      <c r="AI523" s="273"/>
      <c r="AJ523" s="3"/>
      <c r="AK523" s="3"/>
      <c r="AL523" s="274"/>
      <c r="AM523" s="1"/>
      <c r="AN523" s="273"/>
      <c r="AO523" s="3"/>
      <c r="AP523" s="3"/>
      <c r="AQ523" s="274"/>
      <c r="AR523" s="1"/>
      <c r="AS523" s="273"/>
      <c r="AT523" s="3"/>
      <c r="AU523" s="3"/>
      <c r="AV523" s="274"/>
      <c r="AW523" s="1"/>
      <c r="AX523" s="273"/>
      <c r="AY523" s="3"/>
      <c r="AZ523" s="3"/>
      <c r="BA523" s="274"/>
      <c r="BB523" s="1"/>
      <c r="BC523" s="273"/>
      <c r="BD523" s="3"/>
      <c r="BE523" s="3"/>
      <c r="BF523" s="274"/>
      <c r="BG523" s="1"/>
      <c r="BH523" s="273"/>
      <c r="BI523" s="3"/>
      <c r="BJ523" s="3"/>
      <c r="BK523" s="274"/>
      <c r="BL523" s="1"/>
      <c r="BM523" s="273"/>
      <c r="BN523" s="3"/>
      <c r="BO523" s="3"/>
      <c r="BP523" s="274"/>
      <c r="BQ523" s="1"/>
      <c r="BR523" s="40"/>
      <c r="BS523" s="40"/>
      <c r="BT523" s="40"/>
      <c r="CW523" s="232"/>
      <c r="CX523" s="232"/>
      <c r="CY523" s="232"/>
      <c r="CZ523" s="40"/>
      <c r="DA523" s="40"/>
      <c r="DB523" s="40"/>
      <c r="DC523" s="40"/>
      <c r="DD523" s="40"/>
      <c r="DE523" s="40"/>
      <c r="DF523" s="232"/>
      <c r="DG523" s="232"/>
      <c r="DH523" s="232"/>
      <c r="DI523" s="232"/>
      <c r="DJ523" s="232"/>
      <c r="DK523" s="232"/>
      <c r="DL523" s="232"/>
      <c r="DM523" s="232"/>
      <c r="DN523" s="232"/>
    </row>
    <row r="524" spans="1:118">
      <c r="A524" s="40"/>
      <c r="B524" s="32"/>
      <c r="C524" s="28" t="s">
        <v>170</v>
      </c>
      <c r="D524" s="1"/>
      <c r="E524" s="273"/>
      <c r="F524" s="3"/>
      <c r="G524" s="3"/>
      <c r="H524" s="274"/>
      <c r="I524" s="544">
        <v>0</v>
      </c>
      <c r="J524" s="273"/>
      <c r="K524" s="3"/>
      <c r="L524" s="3"/>
      <c r="M524" s="274"/>
      <c r="N524" s="1"/>
      <c r="O524" s="273"/>
      <c r="P524" s="3"/>
      <c r="Q524" s="3"/>
      <c r="R524" s="274"/>
      <c r="S524" s="1"/>
      <c r="T524" s="277"/>
      <c r="U524" s="253"/>
      <c r="V524" s="253"/>
      <c r="W524" s="278"/>
      <c r="X524" s="224"/>
      <c r="Y524" s="277">
        <f>+I524</f>
        <v>0</v>
      </c>
      <c r="Z524" s="253">
        <f>+Y524</f>
        <v>0</v>
      </c>
      <c r="AA524" s="253">
        <f>+Z524</f>
        <v>0</v>
      </c>
      <c r="AB524" s="278">
        <f>+AA524</f>
        <v>0</v>
      </c>
      <c r="AC524" s="224">
        <f>AVERAGE(Y524:AB524)</f>
        <v>0</v>
      </c>
      <c r="AD524" s="277">
        <f>+Y524</f>
        <v>0</v>
      </c>
      <c r="AE524" s="253">
        <f>+AD524</f>
        <v>0</v>
      </c>
      <c r="AF524" s="253">
        <f>+AA524</f>
        <v>0</v>
      </c>
      <c r="AG524" s="278">
        <f>+AB524</f>
        <v>0</v>
      </c>
      <c r="AH524" s="224">
        <f>AVERAGE(AD524:AG524)</f>
        <v>0</v>
      </c>
      <c r="AI524" s="277">
        <f>+AD524</f>
        <v>0</v>
      </c>
      <c r="AJ524" s="253">
        <f>+AE524</f>
        <v>0</v>
      </c>
      <c r="AK524" s="253">
        <f>+AF524</f>
        <v>0</v>
      </c>
      <c r="AL524" s="278">
        <f>+AG524</f>
        <v>0</v>
      </c>
      <c r="AM524" s="224">
        <f>AVERAGE(AI524:AL524)</f>
        <v>0</v>
      </c>
      <c r="AN524" s="277">
        <f>+AI524</f>
        <v>0</v>
      </c>
      <c r="AO524" s="253">
        <f>+AJ524</f>
        <v>0</v>
      </c>
      <c r="AP524" s="253">
        <f>+AK524</f>
        <v>0</v>
      </c>
      <c r="AQ524" s="278">
        <f>+AL524</f>
        <v>0</v>
      </c>
      <c r="AR524" s="224">
        <f>AVERAGE(AN524:AQ524)</f>
        <v>0</v>
      </c>
      <c r="AS524" s="277">
        <f>+AN524</f>
        <v>0</v>
      </c>
      <c r="AT524" s="253">
        <f>+AO524</f>
        <v>0</v>
      </c>
      <c r="AU524" s="253">
        <f t="shared" ref="AU524" si="764">+AP524</f>
        <v>0</v>
      </c>
      <c r="AV524" s="278">
        <f>+AQ524</f>
        <v>0</v>
      </c>
      <c r="AW524" s="224">
        <f>AVERAGE(AS524:AV524)</f>
        <v>0</v>
      </c>
      <c r="AX524" s="277">
        <f>+AS524</f>
        <v>0</v>
      </c>
      <c r="AY524" s="253">
        <f>+AT524</f>
        <v>0</v>
      </c>
      <c r="AZ524" s="253">
        <f>+AU524</f>
        <v>0</v>
      </c>
      <c r="BA524" s="278">
        <f>+AV524</f>
        <v>0</v>
      </c>
      <c r="BB524" s="224">
        <f>AVERAGE(AX524:BA524)</f>
        <v>0</v>
      </c>
      <c r="BC524" s="277">
        <f>+AX524</f>
        <v>0</v>
      </c>
      <c r="BD524" s="253">
        <f>+AY524</f>
        <v>0</v>
      </c>
      <c r="BE524" s="253">
        <f>+AZ524</f>
        <v>0</v>
      </c>
      <c r="BF524" s="278">
        <f>+BA524</f>
        <v>0</v>
      </c>
      <c r="BG524" s="224">
        <f>AVERAGE(BC524:BF524)</f>
        <v>0</v>
      </c>
      <c r="BH524" s="277">
        <f>+BC524</f>
        <v>0</v>
      </c>
      <c r="BI524" s="253">
        <f>+BD524</f>
        <v>0</v>
      </c>
      <c r="BJ524" s="253">
        <f>+BE524</f>
        <v>0</v>
      </c>
      <c r="BK524" s="278">
        <f>+BF524</f>
        <v>0</v>
      </c>
      <c r="BL524" s="224">
        <f>AVERAGE(BH524:BK524)</f>
        <v>0</v>
      </c>
      <c r="BM524" s="277">
        <f>+BH524</f>
        <v>0</v>
      </c>
      <c r="BN524" s="253">
        <f>+BI524</f>
        <v>0</v>
      </c>
      <c r="BO524" s="253">
        <f>+BJ524</f>
        <v>0</v>
      </c>
      <c r="BP524" s="278">
        <f>+BK524</f>
        <v>0</v>
      </c>
      <c r="BQ524" s="224">
        <f>AVERAGE(BM524:BP524)</f>
        <v>0</v>
      </c>
      <c r="BR524" s="40"/>
      <c r="BS524" s="40"/>
      <c r="BT524" s="40"/>
      <c r="CN524" s="951"/>
      <c r="CO524" s="951"/>
      <c r="CP524" s="951"/>
      <c r="CQ524" s="951"/>
      <c r="CR524" s="951"/>
      <c r="CS524" s="951"/>
      <c r="CW524" s="232"/>
      <c r="CX524" s="232"/>
      <c r="CY524" s="232"/>
      <c r="CZ524" s="40"/>
      <c r="DA524" s="40"/>
      <c r="DB524" s="40"/>
      <c r="DC524" s="40"/>
      <c r="DD524" s="40"/>
      <c r="DE524" s="40"/>
      <c r="DF524" s="232"/>
      <c r="DG524" s="232"/>
      <c r="DH524" s="232"/>
      <c r="DI524" s="232"/>
      <c r="DJ524" s="232"/>
      <c r="DK524" s="232"/>
      <c r="DL524" s="232"/>
      <c r="DM524" s="232"/>
      <c r="DN524" s="232"/>
    </row>
    <row r="525" spans="1:118">
      <c r="A525" s="40"/>
      <c r="B525" s="32"/>
      <c r="C525" s="32" t="s">
        <v>198</v>
      </c>
      <c r="D525" s="32"/>
      <c r="E525" s="489"/>
      <c r="F525" s="342"/>
      <c r="G525" s="342"/>
      <c r="H525" s="490"/>
      <c r="I525" s="32"/>
      <c r="J525" s="489"/>
      <c r="K525" s="342"/>
      <c r="L525" s="342"/>
      <c r="M525" s="490"/>
      <c r="N525" s="32"/>
      <c r="O525" s="489"/>
      <c r="P525" s="342"/>
      <c r="Q525" s="342"/>
      <c r="R525" s="490"/>
      <c r="S525" s="32"/>
      <c r="T525" s="301"/>
      <c r="U525" s="265"/>
      <c r="V525" s="265"/>
      <c r="W525" s="302"/>
      <c r="X525" s="445"/>
      <c r="Y525" s="301">
        <f>(Y522*Y524*(8760/1000))/4</f>
        <v>0</v>
      </c>
      <c r="Z525" s="265">
        <f>(Z522*Z524*(8760/1000))/4</f>
        <v>0</v>
      </c>
      <c r="AA525" s="265">
        <f>(AA522*AA524*(8760/1000))/4</f>
        <v>0</v>
      </c>
      <c r="AB525" s="302">
        <f>(AB522*AB524*(8760/1000))/4</f>
        <v>0</v>
      </c>
      <c r="AC525" s="445">
        <f>SUM(Y525:AB525)</f>
        <v>0</v>
      </c>
      <c r="AD525" s="301">
        <f>(AD522*AD524*(8760/1000))/4</f>
        <v>0</v>
      </c>
      <c r="AE525" s="265">
        <f>(AE522*AE524*(8760/1000))/4</f>
        <v>0</v>
      </c>
      <c r="AF525" s="265">
        <f>(AF522*AF524*(8760/1000))/4</f>
        <v>0</v>
      </c>
      <c r="AG525" s="302">
        <f>(AG522*AG524*(8760/1000))/4</f>
        <v>0</v>
      </c>
      <c r="AH525" s="445">
        <f>SUM(AD525:AG525)</f>
        <v>0</v>
      </c>
      <c r="AI525" s="301">
        <f>(AI522*AI524*(8760/1000))/4</f>
        <v>0</v>
      </c>
      <c r="AJ525" s="265">
        <f>(AJ522*AJ524*(8760/1000))/4</f>
        <v>0</v>
      </c>
      <c r="AK525" s="265">
        <f>(AK522*AK524*(8760/1000))/4</f>
        <v>0</v>
      </c>
      <c r="AL525" s="302">
        <f>(AL522*AL524*(8760/1000))/4</f>
        <v>0</v>
      </c>
      <c r="AM525" s="445">
        <f>SUM(AI525:AL525)</f>
        <v>0</v>
      </c>
      <c r="AN525" s="301">
        <f>(AN522*AN524*(8760/1000))/4</f>
        <v>0</v>
      </c>
      <c r="AO525" s="265">
        <f>(AO522*AO524*(8760/1000))/4</f>
        <v>0</v>
      </c>
      <c r="AP525" s="265">
        <f>(AP522*AP524*(8760/1000))/4</f>
        <v>0</v>
      </c>
      <c r="AQ525" s="302">
        <f>(AQ522*AQ524*(8760/1000))/4</f>
        <v>0</v>
      </c>
      <c r="AR525" s="445">
        <f>SUM(AN525:AQ525)</f>
        <v>0</v>
      </c>
      <c r="AS525" s="301">
        <f>(AS522*AS524*(8760/1000))/4</f>
        <v>0</v>
      </c>
      <c r="AT525" s="265">
        <f>(AT522*AT524*(8760/1000))/4</f>
        <v>0</v>
      </c>
      <c r="AU525" s="265">
        <f t="shared" ref="AU525" si="765">(AU522*AU524*(8760/1000))/4</f>
        <v>0</v>
      </c>
      <c r="AV525" s="302">
        <f>(AV522*AV524*(8760/1000))/4</f>
        <v>0</v>
      </c>
      <c r="AW525" s="445">
        <f>SUM(AS525:AV525)</f>
        <v>0</v>
      </c>
      <c r="AX525" s="301">
        <f>(AX522*AX524*(8760/1000))/4</f>
        <v>0</v>
      </c>
      <c r="AY525" s="265">
        <f>(AY522*AY524*(8760/1000))/4</f>
        <v>0</v>
      </c>
      <c r="AZ525" s="265">
        <f>(AZ522*AZ524*(8760/1000))/4</f>
        <v>0</v>
      </c>
      <c r="BA525" s="302">
        <f>(BA522*BA524*(8760/1000))/4</f>
        <v>0</v>
      </c>
      <c r="BB525" s="445">
        <f>SUM(AX525:BA525)</f>
        <v>0</v>
      </c>
      <c r="BC525" s="301">
        <f>(BC522*BC524*(8760/1000))/4</f>
        <v>0</v>
      </c>
      <c r="BD525" s="265">
        <f>(BD522*BD524*(8760/1000))/4</f>
        <v>0</v>
      </c>
      <c r="BE525" s="265">
        <f>(BE522*BE524*(8760/1000))/4</f>
        <v>0</v>
      </c>
      <c r="BF525" s="302">
        <f>(BF522*BF524*(8760/1000))/4</f>
        <v>0</v>
      </c>
      <c r="BG525" s="445">
        <f>SUM(BC525:BF525)</f>
        <v>0</v>
      </c>
      <c r="BH525" s="301">
        <f>(BH522*BH524*(8760/1000))/4</f>
        <v>0</v>
      </c>
      <c r="BI525" s="265">
        <f>(BI522*BI524*(8760/1000))/4</f>
        <v>0</v>
      </c>
      <c r="BJ525" s="265">
        <f>(BJ522*BJ524*(8760/1000))/4</f>
        <v>0</v>
      </c>
      <c r="BK525" s="302">
        <f>(BK522*BK524*(8760/1000))/4</f>
        <v>0</v>
      </c>
      <c r="BL525" s="445">
        <f>SUM(BH525:BK525)</f>
        <v>0</v>
      </c>
      <c r="BM525" s="301">
        <f>(BM522*BM524*(8760/1000))/4</f>
        <v>0</v>
      </c>
      <c r="BN525" s="265">
        <f>(BN522*BN524*(8760/1000))/4</f>
        <v>0</v>
      </c>
      <c r="BO525" s="265">
        <f>(BO522*BO524*(8760/1000))/4</f>
        <v>0</v>
      </c>
      <c r="BP525" s="302">
        <f>(BP522*BP524*(8760/1000))/4</f>
        <v>0</v>
      </c>
      <c r="BQ525" s="445">
        <f>SUM(BM525:BP525)</f>
        <v>0</v>
      </c>
      <c r="BR525" s="40"/>
      <c r="BS525" s="40"/>
      <c r="BT525" s="40"/>
      <c r="CN525" s="951"/>
      <c r="CO525" s="951"/>
      <c r="CP525" s="951"/>
      <c r="CQ525" s="951"/>
      <c r="CR525" s="951"/>
      <c r="CS525" s="951"/>
      <c r="CW525" s="232"/>
      <c r="CX525" s="232"/>
      <c r="CY525" s="232"/>
      <c r="CZ525" s="40"/>
      <c r="DA525" s="40"/>
      <c r="DB525" s="40"/>
      <c r="DC525" s="40"/>
      <c r="DD525" s="40"/>
      <c r="DE525" s="40"/>
      <c r="DF525" s="232"/>
      <c r="DG525" s="232"/>
      <c r="DH525" s="232"/>
      <c r="DI525" s="232"/>
      <c r="DJ525" s="232"/>
      <c r="DK525" s="232"/>
      <c r="DL525" s="232"/>
      <c r="DM525" s="232"/>
      <c r="DN525" s="232"/>
    </row>
    <row r="526" spans="1:118">
      <c r="A526" s="40"/>
      <c r="B526" s="32"/>
      <c r="C526" s="28"/>
      <c r="D526" s="1"/>
      <c r="E526" s="273"/>
      <c r="F526" s="3"/>
      <c r="G526" s="3"/>
      <c r="H526" s="274"/>
      <c r="I526" s="28"/>
      <c r="J526" s="273"/>
      <c r="K526" s="3"/>
      <c r="L526" s="3"/>
      <c r="M526" s="274"/>
      <c r="N526" s="1"/>
      <c r="O526" s="273"/>
      <c r="P526" s="3"/>
      <c r="Q526" s="3"/>
      <c r="R526" s="274"/>
      <c r="S526" s="1"/>
      <c r="T526" s="273"/>
      <c r="U526" s="3"/>
      <c r="V526" s="3"/>
      <c r="W526" s="274"/>
      <c r="X526" s="1"/>
      <c r="Y526" s="273"/>
      <c r="Z526" s="3"/>
      <c r="AA526" s="3"/>
      <c r="AB526" s="274"/>
      <c r="AC526" s="1"/>
      <c r="AD526" s="273"/>
      <c r="AE526" s="3"/>
      <c r="AF526" s="3"/>
      <c r="AG526" s="274"/>
      <c r="AH526" s="1"/>
      <c r="AI526" s="273"/>
      <c r="AJ526" s="3"/>
      <c r="AK526" s="3"/>
      <c r="AL526" s="274"/>
      <c r="AM526" s="1"/>
      <c r="AN526" s="273"/>
      <c r="AO526" s="3"/>
      <c r="AP526" s="3"/>
      <c r="AQ526" s="274"/>
      <c r="AR526" s="1"/>
      <c r="AS526" s="273"/>
      <c r="AT526" s="3"/>
      <c r="AU526" s="3"/>
      <c r="AV526" s="274"/>
      <c r="AW526" s="1"/>
      <c r="AX526" s="273"/>
      <c r="AY526" s="3"/>
      <c r="AZ526" s="3"/>
      <c r="BA526" s="274"/>
      <c r="BB526" s="1"/>
      <c r="BC526" s="273"/>
      <c r="BD526" s="3"/>
      <c r="BE526" s="3"/>
      <c r="BF526" s="274"/>
      <c r="BG526" s="1"/>
      <c r="BH526" s="273"/>
      <c r="BI526" s="3"/>
      <c r="BJ526" s="3"/>
      <c r="BK526" s="274"/>
      <c r="BL526" s="1"/>
      <c r="BM526" s="273"/>
      <c r="BN526" s="3"/>
      <c r="BO526" s="3"/>
      <c r="BP526" s="274"/>
      <c r="BQ526" s="1"/>
      <c r="BR526" s="40"/>
      <c r="BS526" s="40"/>
      <c r="BT526" s="40"/>
      <c r="CN526" s="951"/>
      <c r="CO526" s="951"/>
      <c r="CP526" s="951"/>
      <c r="CQ526" s="951"/>
      <c r="CR526" s="951"/>
      <c r="CS526" s="951"/>
      <c r="CW526" s="232"/>
      <c r="CX526" s="232"/>
      <c r="CY526" s="232"/>
      <c r="CZ526" s="40"/>
      <c r="DA526" s="40"/>
      <c r="DB526" s="40"/>
      <c r="DC526" s="40"/>
      <c r="DD526" s="40"/>
      <c r="DE526" s="40"/>
      <c r="DF526" s="232"/>
      <c r="DG526" s="232"/>
      <c r="DH526" s="232"/>
      <c r="DI526" s="232"/>
      <c r="DJ526" s="232"/>
      <c r="DK526" s="232"/>
      <c r="DL526" s="232"/>
      <c r="DM526" s="232"/>
      <c r="DN526" s="232"/>
    </row>
    <row r="527" spans="1:118" s="34" customFormat="1">
      <c r="A527" s="40"/>
      <c r="B527" s="32"/>
      <c r="C527" s="28" t="s">
        <v>798</v>
      </c>
      <c r="D527" s="1"/>
      <c r="E527" s="273"/>
      <c r="F527" s="3"/>
      <c r="G527" s="3"/>
      <c r="H527" s="274"/>
      <c r="I527" s="28"/>
      <c r="J527" s="273"/>
      <c r="K527" s="3"/>
      <c r="L527" s="3"/>
      <c r="M527" s="274"/>
      <c r="N527" s="1"/>
      <c r="O527" s="273"/>
      <c r="P527" s="3"/>
      <c r="Q527" s="3"/>
      <c r="R527" s="274"/>
      <c r="S527" s="1"/>
      <c r="T527" s="758"/>
      <c r="U527" s="660"/>
      <c r="V527" s="660"/>
      <c r="W527" s="661"/>
      <c r="X527" s="428"/>
      <c r="Y527" s="758">
        <f>(Y519/1000*Y525)</f>
        <v>0</v>
      </c>
      <c r="Z527" s="660">
        <f>(Z519/1000*Z525)</f>
        <v>0</v>
      </c>
      <c r="AA527" s="660">
        <f>(AA519/1000*AA525)</f>
        <v>0</v>
      </c>
      <c r="AB527" s="661">
        <f>(AB519/1000*AB525)</f>
        <v>0</v>
      </c>
      <c r="AC527" s="428">
        <f>SUM(Y527:AB527)</f>
        <v>0</v>
      </c>
      <c r="AD527" s="758">
        <f>(AD519/1000*AD525)</f>
        <v>0</v>
      </c>
      <c r="AE527" s="660">
        <f>(AE519/1000*AE525)</f>
        <v>0</v>
      </c>
      <c r="AF527" s="660">
        <f>(AF519/1000*AF525)</f>
        <v>0</v>
      </c>
      <c r="AG527" s="661">
        <f>(AG519/1000*AG525)</f>
        <v>0</v>
      </c>
      <c r="AH527" s="428">
        <f>SUM(AD527:AG527)</f>
        <v>0</v>
      </c>
      <c r="AI527" s="758">
        <f>(AI519/1000*AI525)</f>
        <v>0</v>
      </c>
      <c r="AJ527" s="660">
        <f>(AJ519/1000*AJ525)</f>
        <v>0</v>
      </c>
      <c r="AK527" s="660">
        <f>(AK519/1000*AK525)</f>
        <v>0</v>
      </c>
      <c r="AL527" s="661">
        <f>(AL519/1000*AL525)</f>
        <v>0</v>
      </c>
      <c r="AM527" s="428">
        <f>SUM(AI527:AL527)</f>
        <v>0</v>
      </c>
      <c r="AN527" s="758">
        <f>(AN519/1000*AN525)</f>
        <v>0</v>
      </c>
      <c r="AO527" s="660">
        <f>(AO519/1000*AO525)</f>
        <v>0</v>
      </c>
      <c r="AP527" s="660">
        <f>(AP519/1000*AP525)</f>
        <v>0</v>
      </c>
      <c r="AQ527" s="661">
        <f>(AQ519/1000*AQ525)</f>
        <v>0</v>
      </c>
      <c r="AR527" s="428">
        <f>SUM(AN527:AQ527)</f>
        <v>0</v>
      </c>
      <c r="AS527" s="758">
        <f>(AS519/1000*AS525)</f>
        <v>0</v>
      </c>
      <c r="AT527" s="660">
        <f>(AT519/1000*AT525)</f>
        <v>0</v>
      </c>
      <c r="AU527" s="660">
        <f t="shared" ref="AU527" si="766">(AU519/1000*AU525)</f>
        <v>0</v>
      </c>
      <c r="AV527" s="661">
        <f>(AV519/1000*AV525)</f>
        <v>0</v>
      </c>
      <c r="AW527" s="428">
        <f>SUM(AS527:AV527)</f>
        <v>0</v>
      </c>
      <c r="AX527" s="758">
        <f>(AX519/1000*AX525)</f>
        <v>0</v>
      </c>
      <c r="AY527" s="660">
        <f>(AY519/1000*AY525)</f>
        <v>0</v>
      </c>
      <c r="AZ527" s="660">
        <f>(AZ519/1000*AZ525)</f>
        <v>0</v>
      </c>
      <c r="BA527" s="661">
        <f>(BA519/1000*BA525)</f>
        <v>0</v>
      </c>
      <c r="BB527" s="428">
        <f>SUM(AX527:BA527)</f>
        <v>0</v>
      </c>
      <c r="BC527" s="758">
        <f>(BC519/1000*BC525)</f>
        <v>0</v>
      </c>
      <c r="BD527" s="660">
        <f>(BD519/1000*BD525)</f>
        <v>0</v>
      </c>
      <c r="BE527" s="660">
        <f>(BE519/1000*BE525)</f>
        <v>0</v>
      </c>
      <c r="BF527" s="661">
        <f>(BF519/1000*BF525)</f>
        <v>0</v>
      </c>
      <c r="BG527" s="428">
        <f>SUM(BC527:BF527)</f>
        <v>0</v>
      </c>
      <c r="BH527" s="758">
        <f>(BH519/1000*BH525)</f>
        <v>0</v>
      </c>
      <c r="BI527" s="660">
        <f>(BI519/1000*BI525)</f>
        <v>0</v>
      </c>
      <c r="BJ527" s="660">
        <f>(BJ519/1000*BJ525)</f>
        <v>0</v>
      </c>
      <c r="BK527" s="661">
        <f>(BK519/1000*BK525)</f>
        <v>0</v>
      </c>
      <c r="BL527" s="428">
        <f>SUM(BH527:BK527)</f>
        <v>0</v>
      </c>
      <c r="BM527" s="758">
        <f>(BM519/1000*BM525)</f>
        <v>0</v>
      </c>
      <c r="BN527" s="660">
        <f>(BN519/1000*BN525)</f>
        <v>0</v>
      </c>
      <c r="BO527" s="660">
        <f>(BO519/1000*BO525)</f>
        <v>0</v>
      </c>
      <c r="BP527" s="661">
        <f>(BP519/1000*BP525)</f>
        <v>0</v>
      </c>
      <c r="BQ527" s="428">
        <f>SUM(BM527:BP527)</f>
        <v>0</v>
      </c>
      <c r="BR527" s="40"/>
      <c r="BS527" s="40"/>
      <c r="BT527" s="156"/>
      <c r="BU527"/>
      <c r="BV527"/>
      <c r="BW527"/>
      <c r="BX527"/>
      <c r="BY527"/>
      <c r="BZ527"/>
      <c r="CA527"/>
      <c r="CB527"/>
      <c r="CC527"/>
      <c r="CD527"/>
      <c r="CE527"/>
      <c r="CF527"/>
      <c r="CN527" s="951"/>
      <c r="CO527" s="951"/>
      <c r="CP527" s="951"/>
      <c r="CQ527" s="951"/>
      <c r="CR527" s="951"/>
      <c r="CS527" s="951"/>
      <c r="CZ527" s="156"/>
      <c r="DA527" s="156"/>
      <c r="DB527" s="156"/>
      <c r="DC527" s="156"/>
      <c r="DD527" s="156"/>
      <c r="DE527" s="156"/>
    </row>
    <row r="528" spans="1:118">
      <c r="A528" s="40"/>
      <c r="B528" s="32"/>
      <c r="C528" s="28" t="s">
        <v>278</v>
      </c>
      <c r="D528" s="1"/>
      <c r="E528" s="273"/>
      <c r="F528" s="3"/>
      <c r="G528" s="3"/>
      <c r="H528" s="274"/>
      <c r="I528" s="28"/>
      <c r="J528" s="273"/>
      <c r="K528" s="3"/>
      <c r="L528" s="3"/>
      <c r="M528" s="274"/>
      <c r="N528" s="1"/>
      <c r="O528" s="273"/>
      <c r="P528" s="3"/>
      <c r="Q528" s="3"/>
      <c r="R528" s="274"/>
      <c r="S528" s="1"/>
      <c r="T528" s="758"/>
      <c r="U528" s="660"/>
      <c r="V528" s="660"/>
      <c r="W528" s="661"/>
      <c r="X528" s="428"/>
      <c r="Y528" s="758">
        <f>Y520/1000*Y525</f>
        <v>0</v>
      </c>
      <c r="Z528" s="660">
        <f>Z520/1000*Z525</f>
        <v>0</v>
      </c>
      <c r="AA528" s="660">
        <f>AA520/1000*AA525</f>
        <v>0</v>
      </c>
      <c r="AB528" s="661">
        <f>AB520/1000*AB525</f>
        <v>0</v>
      </c>
      <c r="AC528" s="428">
        <f>SUM(Y528:AB528)</f>
        <v>0</v>
      </c>
      <c r="AD528" s="758">
        <f>AD520/1000*AD525</f>
        <v>0</v>
      </c>
      <c r="AE528" s="660">
        <f>AE520/1000*AE525</f>
        <v>0</v>
      </c>
      <c r="AF528" s="660">
        <f>AF520/1000*AF525</f>
        <v>0</v>
      </c>
      <c r="AG528" s="661">
        <f>AG520/1000*AG525</f>
        <v>0</v>
      </c>
      <c r="AH528" s="428">
        <f>SUM(AD528:AG528)</f>
        <v>0</v>
      </c>
      <c r="AI528" s="758">
        <f>AI520/1000*AI525</f>
        <v>0</v>
      </c>
      <c r="AJ528" s="660">
        <f>AJ520/1000*AJ525</f>
        <v>0</v>
      </c>
      <c r="AK528" s="660">
        <f>AK520/1000*AK525</f>
        <v>0</v>
      </c>
      <c r="AL528" s="661">
        <f>AL520/1000*AL525</f>
        <v>0</v>
      </c>
      <c r="AM528" s="428">
        <f>SUM(AI528:AL528)</f>
        <v>0</v>
      </c>
      <c r="AN528" s="758">
        <f>AN520/1000*AN525</f>
        <v>0</v>
      </c>
      <c r="AO528" s="660">
        <f>AO520/1000*AO525</f>
        <v>0</v>
      </c>
      <c r="AP528" s="660">
        <f>AP520/1000*AP525</f>
        <v>0</v>
      </c>
      <c r="AQ528" s="661">
        <f>AQ520/1000*AQ525</f>
        <v>0</v>
      </c>
      <c r="AR528" s="428">
        <f>SUM(AN528:AQ528)</f>
        <v>0</v>
      </c>
      <c r="AS528" s="758">
        <f>AS520/1000*AS525</f>
        <v>0</v>
      </c>
      <c r="AT528" s="660">
        <f>AT520/1000*AT525</f>
        <v>0</v>
      </c>
      <c r="AU528" s="660">
        <f t="shared" ref="AU528" si="767">AU520/1000*AU525</f>
        <v>0</v>
      </c>
      <c r="AV528" s="661">
        <f>AV520/1000*AV525</f>
        <v>0</v>
      </c>
      <c r="AW528" s="428">
        <f>SUM(AS528:AV528)</f>
        <v>0</v>
      </c>
      <c r="AX528" s="758">
        <f>AX520/1000*AX525</f>
        <v>0</v>
      </c>
      <c r="AY528" s="660">
        <f>AY520/1000*AY525</f>
        <v>0</v>
      </c>
      <c r="AZ528" s="660">
        <f>AZ520/1000*AZ525</f>
        <v>0</v>
      </c>
      <c r="BA528" s="661">
        <f>BA520/1000*BA525</f>
        <v>0</v>
      </c>
      <c r="BB528" s="428">
        <f>SUM(AX528:BA528)</f>
        <v>0</v>
      </c>
      <c r="BC528" s="758">
        <f>BC520/1000*BC525</f>
        <v>0</v>
      </c>
      <c r="BD528" s="660">
        <f>BD520/1000*BD525</f>
        <v>0</v>
      </c>
      <c r="BE528" s="660">
        <f>BE520/1000*BE525</f>
        <v>0</v>
      </c>
      <c r="BF528" s="661">
        <f>BF520/1000*BF525</f>
        <v>0</v>
      </c>
      <c r="BG528" s="428">
        <f>SUM(BC528:BF528)</f>
        <v>0</v>
      </c>
      <c r="BH528" s="758">
        <f>BH520/1000*BH525</f>
        <v>0</v>
      </c>
      <c r="BI528" s="660">
        <f>BI520/1000*BI525</f>
        <v>0</v>
      </c>
      <c r="BJ528" s="660">
        <f>BJ520/1000*BJ525</f>
        <v>0</v>
      </c>
      <c r="BK528" s="661">
        <f>BK520/1000*BK525</f>
        <v>0</v>
      </c>
      <c r="BL528" s="428">
        <f>SUM(BH528:BK528)</f>
        <v>0</v>
      </c>
      <c r="BM528" s="758">
        <f>BM520/1000*BM525</f>
        <v>0</v>
      </c>
      <c r="BN528" s="660">
        <f>BN520/1000*BN525</f>
        <v>0</v>
      </c>
      <c r="BO528" s="660">
        <f>BO520/1000*BO525</f>
        <v>0</v>
      </c>
      <c r="BP528" s="661">
        <f>BP520/1000*BP525</f>
        <v>0</v>
      </c>
      <c r="BQ528" s="428">
        <f>SUM(BM528:BP528)</f>
        <v>0</v>
      </c>
      <c r="BR528" s="40"/>
      <c r="BS528" s="40"/>
      <c r="BT528" s="40"/>
      <c r="CN528" s="951"/>
      <c r="CO528" s="951"/>
      <c r="CP528" s="951"/>
      <c r="CQ528" s="951"/>
      <c r="CR528" s="951"/>
      <c r="CS528" s="951"/>
      <c r="CW528" s="232"/>
      <c r="CX528" s="232"/>
      <c r="CY528" s="232"/>
      <c r="CZ528" s="40"/>
      <c r="DA528" s="40"/>
      <c r="DB528" s="40"/>
      <c r="DC528" s="40"/>
      <c r="DD528" s="40"/>
      <c r="DE528" s="40"/>
      <c r="DF528" s="232"/>
      <c r="DG528" s="232"/>
      <c r="DH528" s="232"/>
      <c r="DI528" s="232"/>
      <c r="DJ528" s="232"/>
      <c r="DK528" s="232"/>
      <c r="DL528" s="232"/>
      <c r="DM528" s="232"/>
      <c r="DN528" s="232"/>
    </row>
    <row r="529" spans="1:118">
      <c r="A529" s="40"/>
      <c r="B529" s="32"/>
      <c r="C529" s="32" t="s">
        <v>199</v>
      </c>
      <c r="D529" s="32"/>
      <c r="E529" s="489"/>
      <c r="F529" s="342"/>
      <c r="G529" s="342"/>
      <c r="H529" s="490"/>
      <c r="I529" s="28"/>
      <c r="J529" s="489"/>
      <c r="K529" s="342"/>
      <c r="L529" s="342"/>
      <c r="M529" s="490"/>
      <c r="N529" s="32"/>
      <c r="O529" s="489"/>
      <c r="P529" s="342"/>
      <c r="Q529" s="342"/>
      <c r="R529" s="490"/>
      <c r="S529" s="32"/>
      <c r="T529" s="292"/>
      <c r="U529" s="261"/>
      <c r="V529" s="261"/>
      <c r="W529" s="293"/>
      <c r="X529" s="228"/>
      <c r="Y529" s="292">
        <f>Y527-Y528</f>
        <v>0</v>
      </c>
      <c r="Z529" s="261">
        <f>Z527-Z528</f>
        <v>0</v>
      </c>
      <c r="AA529" s="261">
        <f>AA527-AA528</f>
        <v>0</v>
      </c>
      <c r="AB529" s="293">
        <f>AB527-AB528</f>
        <v>0</v>
      </c>
      <c r="AC529" s="228">
        <f>AC527-AC528</f>
        <v>0</v>
      </c>
      <c r="AD529" s="292">
        <f t="shared" ref="AD529:BL529" si="768">AD527-AD528</f>
        <v>0</v>
      </c>
      <c r="AE529" s="261">
        <f>AE527-AE528</f>
        <v>0</v>
      </c>
      <c r="AF529" s="261">
        <f t="shared" si="768"/>
        <v>0</v>
      </c>
      <c r="AG529" s="293">
        <f t="shared" si="768"/>
        <v>0</v>
      </c>
      <c r="AH529" s="228">
        <f t="shared" si="768"/>
        <v>0</v>
      </c>
      <c r="AI529" s="292">
        <f t="shared" si="768"/>
        <v>0</v>
      </c>
      <c r="AJ529" s="261">
        <f t="shared" si="768"/>
        <v>0</v>
      </c>
      <c r="AK529" s="261">
        <f t="shared" si="768"/>
        <v>0</v>
      </c>
      <c r="AL529" s="293">
        <f t="shared" si="768"/>
        <v>0</v>
      </c>
      <c r="AM529" s="228">
        <f t="shared" si="768"/>
        <v>0</v>
      </c>
      <c r="AN529" s="292">
        <f t="shared" si="768"/>
        <v>0</v>
      </c>
      <c r="AO529" s="261">
        <f t="shared" si="768"/>
        <v>0</v>
      </c>
      <c r="AP529" s="261">
        <f t="shared" si="768"/>
        <v>0</v>
      </c>
      <c r="AQ529" s="293">
        <f t="shared" si="768"/>
        <v>0</v>
      </c>
      <c r="AR529" s="228">
        <f t="shared" si="768"/>
        <v>0</v>
      </c>
      <c r="AS529" s="292">
        <f t="shared" si="768"/>
        <v>0</v>
      </c>
      <c r="AT529" s="261">
        <f t="shared" si="768"/>
        <v>0</v>
      </c>
      <c r="AU529" s="261">
        <f t="shared" ref="AU529" si="769">AU527-AU528</f>
        <v>0</v>
      </c>
      <c r="AV529" s="293">
        <f t="shared" si="768"/>
        <v>0</v>
      </c>
      <c r="AW529" s="228">
        <f t="shared" si="768"/>
        <v>0</v>
      </c>
      <c r="AX529" s="292">
        <f t="shared" si="768"/>
        <v>0</v>
      </c>
      <c r="AY529" s="261">
        <f t="shared" si="768"/>
        <v>0</v>
      </c>
      <c r="AZ529" s="261">
        <f t="shared" si="768"/>
        <v>0</v>
      </c>
      <c r="BA529" s="293">
        <f t="shared" si="768"/>
        <v>0</v>
      </c>
      <c r="BB529" s="228">
        <f t="shared" si="768"/>
        <v>0</v>
      </c>
      <c r="BC529" s="292">
        <f t="shared" si="768"/>
        <v>0</v>
      </c>
      <c r="BD529" s="261">
        <f t="shared" si="768"/>
        <v>0</v>
      </c>
      <c r="BE529" s="261">
        <f t="shared" si="768"/>
        <v>0</v>
      </c>
      <c r="BF529" s="293">
        <f t="shared" si="768"/>
        <v>0</v>
      </c>
      <c r="BG529" s="228">
        <f t="shared" si="768"/>
        <v>0</v>
      </c>
      <c r="BH529" s="292">
        <f t="shared" si="768"/>
        <v>0</v>
      </c>
      <c r="BI529" s="261">
        <f t="shared" si="768"/>
        <v>0</v>
      </c>
      <c r="BJ529" s="261">
        <f t="shared" si="768"/>
        <v>0</v>
      </c>
      <c r="BK529" s="293">
        <f t="shared" si="768"/>
        <v>0</v>
      </c>
      <c r="BL529" s="228">
        <f t="shared" si="768"/>
        <v>0</v>
      </c>
      <c r="BM529" s="292">
        <f t="shared" ref="BM529:BQ529" si="770">BM527-BM528</f>
        <v>0</v>
      </c>
      <c r="BN529" s="261">
        <f t="shared" si="770"/>
        <v>0</v>
      </c>
      <c r="BO529" s="261">
        <f t="shared" si="770"/>
        <v>0</v>
      </c>
      <c r="BP529" s="293">
        <f t="shared" si="770"/>
        <v>0</v>
      </c>
      <c r="BQ529" s="228">
        <f t="shared" si="770"/>
        <v>0</v>
      </c>
      <c r="BR529" s="40"/>
      <c r="BS529" s="40"/>
      <c r="BT529" s="40"/>
      <c r="BU529" s="34"/>
      <c r="BV529" s="34"/>
      <c r="BW529" s="34"/>
      <c r="BX529" s="34"/>
      <c r="BY529" s="34"/>
      <c r="BZ529" s="34"/>
      <c r="CA529" s="34"/>
      <c r="CB529" s="34"/>
      <c r="CC529" s="34"/>
      <c r="CD529" s="34"/>
      <c r="CE529" s="34"/>
      <c r="CF529" s="34"/>
      <c r="CN529" s="951"/>
      <c r="CO529" s="951"/>
      <c r="CP529" s="951"/>
      <c r="CQ529" s="951"/>
      <c r="CR529" s="951"/>
      <c r="CS529" s="951"/>
      <c r="CW529" s="232"/>
      <c r="CX529" s="232"/>
      <c r="CY529" s="232"/>
      <c r="CZ529" s="40"/>
      <c r="DA529" s="40"/>
      <c r="DB529" s="40"/>
      <c r="DC529" s="40"/>
      <c r="DD529" s="40"/>
      <c r="DE529" s="40"/>
      <c r="DF529" s="232"/>
      <c r="DG529" s="232"/>
      <c r="DH529" s="232"/>
      <c r="DI529" s="232"/>
      <c r="DJ529" s="232"/>
      <c r="DK529" s="232"/>
      <c r="DL529" s="232"/>
      <c r="DM529" s="232"/>
      <c r="DN529" s="232"/>
    </row>
    <row r="530" spans="1:118">
      <c r="A530" s="40"/>
      <c r="B530" s="32"/>
      <c r="C530" s="32"/>
      <c r="D530" s="32"/>
      <c r="E530" s="489"/>
      <c r="F530" s="342"/>
      <c r="G530" s="342"/>
      <c r="H530" s="490"/>
      <c r="I530" s="28"/>
      <c r="J530" s="489"/>
      <c r="K530" s="342"/>
      <c r="L530" s="342"/>
      <c r="M530" s="490"/>
      <c r="N530" s="32"/>
      <c r="O530" s="489"/>
      <c r="P530" s="342"/>
      <c r="Q530" s="342"/>
      <c r="R530" s="490"/>
      <c r="S530" s="32"/>
      <c r="T530" s="292"/>
      <c r="U530" s="261"/>
      <c r="V530" s="261"/>
      <c r="W530" s="293"/>
      <c r="X530" s="228"/>
      <c r="Y530" s="292"/>
      <c r="Z530" s="261"/>
      <c r="AA530" s="261"/>
      <c r="AB530" s="293"/>
      <c r="AC530" s="228"/>
      <c r="AD530" s="292"/>
      <c r="AE530" s="261"/>
      <c r="AF530" s="261"/>
      <c r="AG530" s="293"/>
      <c r="AH530" s="228"/>
      <c r="AI530" s="292"/>
      <c r="AJ530" s="261"/>
      <c r="AK530" s="261"/>
      <c r="AL530" s="293"/>
      <c r="AM530" s="228"/>
      <c r="AN530" s="292"/>
      <c r="AO530" s="261"/>
      <c r="AP530" s="261"/>
      <c r="AQ530" s="293"/>
      <c r="AR530" s="228"/>
      <c r="AS530" s="292"/>
      <c r="AT530" s="261"/>
      <c r="AU530" s="261"/>
      <c r="AV530" s="293"/>
      <c r="AW530" s="228"/>
      <c r="AX530" s="292"/>
      <c r="AY530" s="261"/>
      <c r="AZ530" s="261"/>
      <c r="BA530" s="293"/>
      <c r="BB530" s="228"/>
      <c r="BC530" s="292"/>
      <c r="BD530" s="261"/>
      <c r="BE530" s="261"/>
      <c r="BF530" s="293"/>
      <c r="BG530" s="228"/>
      <c r="BH530" s="292"/>
      <c r="BI530" s="261"/>
      <c r="BJ530" s="261"/>
      <c r="BK530" s="293"/>
      <c r="BL530" s="228"/>
      <c r="BM530" s="292"/>
      <c r="BN530" s="261"/>
      <c r="BO530" s="261"/>
      <c r="BP530" s="293"/>
      <c r="BQ530" s="228"/>
      <c r="BR530" s="40"/>
      <c r="BS530" s="40"/>
      <c r="BT530" s="40"/>
      <c r="CN530" s="951"/>
      <c r="CO530" s="951"/>
      <c r="CP530" s="951"/>
      <c r="CQ530" s="951"/>
      <c r="CR530" s="951"/>
      <c r="CS530" s="951"/>
      <c r="CW530" s="232"/>
      <c r="CX530" s="232"/>
      <c r="CY530" s="232"/>
      <c r="CZ530" s="40"/>
      <c r="DA530" s="40"/>
      <c r="DB530" s="40"/>
      <c r="DC530" s="40"/>
      <c r="DD530" s="40"/>
      <c r="DE530" s="40"/>
      <c r="DF530" s="232"/>
      <c r="DG530" s="232"/>
      <c r="DH530" s="232"/>
      <c r="DI530" s="232"/>
      <c r="DJ530" s="232"/>
      <c r="DK530" s="232"/>
      <c r="DL530" s="232"/>
      <c r="DM530" s="232"/>
      <c r="DN530" s="232"/>
    </row>
    <row r="531" spans="1:118">
      <c r="A531" s="40"/>
      <c r="B531" s="32"/>
      <c r="C531" s="32"/>
      <c r="D531" s="32"/>
      <c r="E531" s="489"/>
      <c r="F531" s="342"/>
      <c r="G531" s="342"/>
      <c r="H531" s="490"/>
      <c r="I531" s="28"/>
      <c r="J531" s="489"/>
      <c r="K531" s="342"/>
      <c r="L531" s="342"/>
      <c r="M531" s="490"/>
      <c r="N531" s="32"/>
      <c r="O531" s="489"/>
      <c r="P531" s="342"/>
      <c r="Q531" s="342"/>
      <c r="R531" s="490"/>
      <c r="S531" s="32"/>
      <c r="T531" s="292"/>
      <c r="U531" s="261"/>
      <c r="V531" s="261"/>
      <c r="W531" s="293"/>
      <c r="X531" s="228"/>
      <c r="Y531" s="292"/>
      <c r="Z531" s="261"/>
      <c r="AA531" s="261"/>
      <c r="AB531" s="293"/>
      <c r="AC531" s="228"/>
      <c r="AD531" s="292"/>
      <c r="AE531" s="261"/>
      <c r="AF531" s="261"/>
      <c r="AG531" s="293"/>
      <c r="AH531" s="228"/>
      <c r="AI531" s="292"/>
      <c r="AJ531" s="261"/>
      <c r="AK531" s="261"/>
      <c r="AL531" s="293"/>
      <c r="AM531" s="228"/>
      <c r="AN531" s="292"/>
      <c r="AO531" s="261"/>
      <c r="AP531" s="261"/>
      <c r="AQ531" s="293"/>
      <c r="AR531" s="228"/>
      <c r="AS531" s="292"/>
      <c r="AT531" s="261"/>
      <c r="AU531" s="261"/>
      <c r="AV531" s="293"/>
      <c r="AW531" s="228"/>
      <c r="AX531" s="292"/>
      <c r="AY531" s="261"/>
      <c r="AZ531" s="261"/>
      <c r="BA531" s="293"/>
      <c r="BB531" s="228"/>
      <c r="BC531" s="292"/>
      <c r="BD531" s="261"/>
      <c r="BE531" s="261"/>
      <c r="BF531" s="293"/>
      <c r="BG531" s="228"/>
      <c r="BH531" s="292"/>
      <c r="BI531" s="261"/>
      <c r="BJ531" s="261"/>
      <c r="BK531" s="293"/>
      <c r="BL531" s="228"/>
      <c r="BM531" s="292"/>
      <c r="BN531" s="261"/>
      <c r="BO531" s="261"/>
      <c r="BP531" s="293"/>
      <c r="BQ531" s="228"/>
      <c r="BR531" s="1026"/>
      <c r="BS531" s="1026"/>
      <c r="BT531" s="40"/>
      <c r="CN531" s="951"/>
      <c r="CO531" s="951"/>
      <c r="CP531" s="951"/>
      <c r="CQ531" s="951"/>
      <c r="CR531" s="951"/>
      <c r="CS531" s="951"/>
      <c r="CW531" s="232"/>
      <c r="CX531" s="232"/>
      <c r="CY531" s="232"/>
      <c r="CZ531" s="40"/>
      <c r="DA531" s="40"/>
      <c r="DB531" s="40"/>
      <c r="DC531" s="40"/>
      <c r="DD531" s="40"/>
      <c r="DE531" s="40"/>
      <c r="DF531" s="232"/>
      <c r="DG531" s="232"/>
      <c r="DH531" s="232"/>
      <c r="DI531" s="232"/>
      <c r="DJ531" s="232"/>
      <c r="DK531" s="232"/>
      <c r="DL531" s="232"/>
      <c r="DM531" s="232"/>
      <c r="DN531" s="232"/>
    </row>
    <row r="532" spans="1:118">
      <c r="A532" s="40"/>
      <c r="B532" s="32"/>
      <c r="C532" s="429" t="s">
        <v>1339</v>
      </c>
      <c r="D532" s="1"/>
      <c r="E532" s="273"/>
      <c r="F532" s="3"/>
      <c r="G532" s="3"/>
      <c r="H532" s="274"/>
      <c r="I532" s="440"/>
      <c r="J532" s="273"/>
      <c r="K532" s="3"/>
      <c r="L532" s="3"/>
      <c r="M532" s="274"/>
      <c r="N532" s="1"/>
      <c r="O532" s="273"/>
      <c r="P532" s="3"/>
      <c r="Q532" s="3"/>
      <c r="R532" s="274"/>
      <c r="S532" s="1"/>
      <c r="T532" s="273"/>
      <c r="U532" s="3"/>
      <c r="V532" s="3"/>
      <c r="W532" s="274"/>
      <c r="X532" s="1"/>
      <c r="Y532" s="273"/>
      <c r="Z532" s="3"/>
      <c r="AA532" s="3"/>
      <c r="AB532" s="274"/>
      <c r="AC532" s="1"/>
      <c r="AD532" s="273"/>
      <c r="AE532" s="3"/>
      <c r="AF532" s="3"/>
      <c r="AG532" s="274"/>
      <c r="AH532" s="1"/>
      <c r="AI532" s="273"/>
      <c r="AJ532" s="3"/>
      <c r="AK532" s="3"/>
      <c r="AL532" s="274"/>
      <c r="AM532" s="1"/>
      <c r="AN532" s="273"/>
      <c r="AO532" s="3"/>
      <c r="AP532" s="3"/>
      <c r="AQ532" s="274"/>
      <c r="AR532" s="1"/>
      <c r="AS532" s="273"/>
      <c r="AT532" s="3"/>
      <c r="AU532" s="3"/>
      <c r="AV532" s="274"/>
      <c r="AW532" s="1"/>
      <c r="AX532" s="273"/>
      <c r="AY532" s="3"/>
      <c r="AZ532" s="3"/>
      <c r="BA532" s="274"/>
      <c r="BB532" s="1"/>
      <c r="BC532" s="273"/>
      <c r="BD532" s="3"/>
      <c r="BE532" s="3"/>
      <c r="BF532" s="274"/>
      <c r="BG532" s="1"/>
      <c r="BH532" s="273"/>
      <c r="BI532" s="3"/>
      <c r="BJ532" s="3"/>
      <c r="BK532" s="274"/>
      <c r="BL532" s="1"/>
      <c r="BM532" s="273"/>
      <c r="BN532" s="3"/>
      <c r="BO532" s="3"/>
      <c r="BP532" s="274"/>
      <c r="BQ532" s="1"/>
      <c r="BR532" s="40"/>
      <c r="BS532" s="40"/>
      <c r="BT532" s="925"/>
      <c r="CW532" s="232"/>
      <c r="CX532" s="232"/>
      <c r="CY532" s="232"/>
      <c r="CZ532" s="40"/>
      <c r="DA532" s="40"/>
      <c r="DB532" s="40"/>
      <c r="DC532" s="40"/>
      <c r="DD532" s="40"/>
      <c r="DE532" s="40"/>
      <c r="DF532" s="232"/>
      <c r="DG532" s="232"/>
      <c r="DH532" s="232"/>
      <c r="DI532" s="232"/>
      <c r="DJ532" s="232"/>
      <c r="DK532" s="232"/>
      <c r="DL532" s="232"/>
      <c r="DM532" s="232"/>
      <c r="DN532" s="232"/>
    </row>
    <row r="533" spans="1:118">
      <c r="A533" s="40"/>
      <c r="B533" s="32"/>
      <c r="C533" s="28" t="s">
        <v>200</v>
      </c>
      <c r="D533" s="1"/>
      <c r="E533" s="273"/>
      <c r="F533" s="3"/>
      <c r="G533" s="3"/>
      <c r="H533" s="274"/>
      <c r="I533" s="28"/>
      <c r="J533" s="273"/>
      <c r="K533" s="3"/>
      <c r="L533" s="3"/>
      <c r="M533" s="274"/>
      <c r="N533" s="1"/>
      <c r="O533" s="273"/>
      <c r="P533" s="3"/>
      <c r="Q533" s="3"/>
      <c r="R533" s="274"/>
      <c r="S533" s="1"/>
      <c r="T533" s="436"/>
      <c r="U533" s="437"/>
      <c r="V533" s="437"/>
      <c r="W533" s="438"/>
      <c r="X533" s="439"/>
      <c r="Y533" s="436">
        <f>Y$65</f>
        <v>89.765515873015843</v>
      </c>
      <c r="Z533" s="437">
        <f>Z$65</f>
        <v>45.06300781249999</v>
      </c>
      <c r="AA533" s="437">
        <f>AA$65</f>
        <v>54.984013671875005</v>
      </c>
      <c r="AB533" s="438">
        <f>AB$65</f>
        <v>67.341074218749995</v>
      </c>
      <c r="AC533" s="439">
        <f>AVERAGE(Y533:AB533)</f>
        <v>64.288402894035215</v>
      </c>
      <c r="AD533" s="436">
        <f>AD$65</f>
        <v>167.3350595238096</v>
      </c>
      <c r="AE533" s="437">
        <f>AE$65</f>
        <v>41.33302734374999</v>
      </c>
      <c r="AF533" s="437">
        <f>AF$65</f>
        <v>41.33302734374999</v>
      </c>
      <c r="AG533" s="438">
        <f>AG$65</f>
        <v>48.027636718750003</v>
      </c>
      <c r="AH533" s="439">
        <f>AVERAGE(AD533:AG533)</f>
        <v>74.507187732514893</v>
      </c>
      <c r="AI533" s="436">
        <f>AI$65</f>
        <v>87.659980158730164</v>
      </c>
      <c r="AJ533" s="437">
        <f>AJ$65</f>
        <v>28.370332031249998</v>
      </c>
      <c r="AK533" s="437">
        <f>AK$65</f>
        <v>42.395605769230762</v>
      </c>
      <c r="AL533" s="438">
        <f>AL$65</f>
        <v>33.06513671874999</v>
      </c>
      <c r="AM533" s="439">
        <f>AVERAGE(AI533:AL533)</f>
        <v>47.872763669490226</v>
      </c>
      <c r="AN533" s="436">
        <f>AN$65</f>
        <v>30.31946289062499</v>
      </c>
      <c r="AO533" s="437">
        <f>AO$65</f>
        <v>28.207148437500003</v>
      </c>
      <c r="AP533" s="437">
        <f>AP$65</f>
        <v>42.730703124999998</v>
      </c>
      <c r="AQ533" s="438">
        <f>AQ$65</f>
        <v>38.680972222222231</v>
      </c>
      <c r="AR533" s="439">
        <f>AVERAGE(AN533:AQ533)</f>
        <v>34.984571668836807</v>
      </c>
      <c r="AS533" s="436">
        <f>AS$65</f>
        <v>33.978535156249976</v>
      </c>
      <c r="AT533" s="437">
        <f>AT$65</f>
        <v>33.298916015625025</v>
      </c>
      <c r="AU533" s="437">
        <f t="shared" ref="AU533" si="771">AU$65</f>
        <v>31.712827380952373</v>
      </c>
      <c r="AV533" s="438">
        <f>AV$65</f>
        <v>62.437333984375016</v>
      </c>
      <c r="AW533" s="439">
        <f>AVERAGE(AS533:AV533)</f>
        <v>40.356903134300595</v>
      </c>
      <c r="AX533" s="436">
        <f>AX$65</f>
        <v>62.437333984375016</v>
      </c>
      <c r="AY533" s="437">
        <f>AY$65</f>
        <v>32.65</v>
      </c>
      <c r="AZ533" s="437">
        <f>AZ$65</f>
        <v>35.383333333333326</v>
      </c>
      <c r="BA533" s="438">
        <f>BA$65</f>
        <v>42.35</v>
      </c>
      <c r="BB533" s="439">
        <f>AVERAGE(AX533:BA533)</f>
        <v>43.205166829427085</v>
      </c>
      <c r="BC533" s="436">
        <f>BC$65</f>
        <v>73.199444871908241</v>
      </c>
      <c r="BD533" s="437">
        <f>BD$65</f>
        <v>31.598138616301913</v>
      </c>
      <c r="BE533" s="437">
        <f>BE$65</f>
        <v>36.852856695587477</v>
      </c>
      <c r="BF533" s="438">
        <f>BF$65</f>
        <v>38.566226482602353</v>
      </c>
      <c r="BG533" s="439">
        <f>AVERAGE(BC533:BF533)</f>
        <v>45.054166666599997</v>
      </c>
      <c r="BH533" s="436">
        <f>BH$65</f>
        <v>73.199444871908241</v>
      </c>
      <c r="BI533" s="437">
        <f>BI$65</f>
        <v>31.598138616301917</v>
      </c>
      <c r="BJ533" s="437">
        <f>BJ$65</f>
        <v>36.852856695587484</v>
      </c>
      <c r="BK533" s="438">
        <f>BK$65</f>
        <v>38.566226482602353</v>
      </c>
      <c r="BL533" s="439">
        <f>AVERAGE(BH533:BK533)</f>
        <v>45.054166666600004</v>
      </c>
      <c r="BM533" s="436">
        <f>BM$65</f>
        <v>43.942071644216981</v>
      </c>
      <c r="BN533" s="437">
        <f>BN$65</f>
        <v>43.942071644216981</v>
      </c>
      <c r="BO533" s="437">
        <f>BO$65</f>
        <v>43.942071644216981</v>
      </c>
      <c r="BP533" s="438">
        <f>BP$65</f>
        <v>43.942071644216981</v>
      </c>
      <c r="BQ533" s="439">
        <f>AVERAGE(BM533:BP533)</f>
        <v>43.942071644216981</v>
      </c>
      <c r="BR533" s="40"/>
      <c r="BS533" s="40"/>
      <c r="BT533" s="40"/>
      <c r="CW533" s="232"/>
      <c r="CX533" s="232"/>
      <c r="CY533" s="232"/>
      <c r="CZ533" s="40"/>
      <c r="DA533" s="40"/>
      <c r="DB533" s="40"/>
      <c r="DC533" s="40"/>
      <c r="DD533" s="40"/>
      <c r="DE533" s="40"/>
      <c r="DF533" s="232"/>
      <c r="DG533" s="232"/>
      <c r="DH533" s="232"/>
      <c r="DI533" s="232"/>
      <c r="DJ533" s="232"/>
      <c r="DK533" s="232"/>
      <c r="DL533" s="232"/>
      <c r="DM533" s="232"/>
      <c r="DN533" s="232"/>
    </row>
    <row r="534" spans="1:118">
      <c r="A534" s="40"/>
      <c r="B534" s="32"/>
      <c r="C534" s="28" t="s">
        <v>195</v>
      </c>
      <c r="D534" s="1"/>
      <c r="E534" s="273"/>
      <c r="F534" s="3"/>
      <c r="G534" s="3"/>
      <c r="H534" s="274"/>
      <c r="I534" s="543">
        <v>10000</v>
      </c>
      <c r="J534" s="273"/>
      <c r="K534" s="3"/>
      <c r="L534" s="3"/>
      <c r="M534" s="274"/>
      <c r="N534" s="1"/>
      <c r="O534" s="273"/>
      <c r="P534" s="3"/>
      <c r="Q534" s="3"/>
      <c r="R534" s="274"/>
      <c r="S534" s="1"/>
      <c r="T534" s="436"/>
      <c r="U534" s="437"/>
      <c r="V534" s="437"/>
      <c r="W534" s="438"/>
      <c r="X534" s="439"/>
      <c r="Y534" s="436">
        <f>$I534/1000*(Y$51+Y$58)</f>
        <v>78.227166666666662</v>
      </c>
      <c r="Z534" s="437">
        <f>$I534/1000*(Z$51+Z$58)</f>
        <v>43.320937499999992</v>
      </c>
      <c r="AA534" s="437">
        <f>$I534/1000*(AA$51+AA$58)</f>
        <v>37.670624999999994</v>
      </c>
      <c r="AB534" s="438">
        <f>$I534/1000*(AB$51+AB$58)</f>
        <v>43.168437499999982</v>
      </c>
      <c r="AC534" s="439">
        <f>AVERAGE(Y534:AB534)</f>
        <v>50.596791666666661</v>
      </c>
      <c r="AD534" s="436">
        <f>$I534/1000*(AD$51+AD$58)</f>
        <v>170.42213114754099</v>
      </c>
      <c r="AE534" s="437">
        <f>$I534/1000*(AE$51+AE$58)</f>
        <v>25.958437499999988</v>
      </c>
      <c r="AF534" s="437">
        <f>$I534/1000*(AF$51+AF$58)</f>
        <v>25.958437499999988</v>
      </c>
      <c r="AG534" s="438">
        <f>$I534/1000*(AG$51+AG$58)</f>
        <v>31.962343750000013</v>
      </c>
      <c r="AH534" s="439">
        <f>AVERAGE(AD534:AG534)</f>
        <v>63.57533747438525</v>
      </c>
      <c r="AI534" s="436">
        <f>$I534/1000*(AI$51+AI$58)</f>
        <v>89.121774193548404</v>
      </c>
      <c r="AJ534" s="437">
        <f>$I534/1000*(AJ$51+AJ$58)</f>
        <v>24.870476190476193</v>
      </c>
      <c r="AK534" s="437">
        <f>$I534/1000*(AK$51+AK$58)</f>
        <v>22.712656250000002</v>
      </c>
      <c r="AL534" s="438">
        <f>$I534/1000*(AL$51+AL$58)</f>
        <v>19.095873015873014</v>
      </c>
      <c r="AM534" s="439">
        <f>AVERAGE(AI534:AL534)</f>
        <v>38.950194912474409</v>
      </c>
      <c r="AN534" s="436">
        <f>$I534/1000*(AN$51+AN$58)</f>
        <v>24.839016393442623</v>
      </c>
      <c r="AO534" s="437">
        <f>$I534/1000*(AO$51+AO$58)</f>
        <v>16.970468750000002</v>
      </c>
      <c r="AP534" s="437">
        <f>$I534/1000*(AP$51+AP$58)</f>
        <v>19.171718750000004</v>
      </c>
      <c r="AQ534" s="438">
        <f>$I534/1000*(AQ$51+AQ$58)</f>
        <v>26.797419354838713</v>
      </c>
      <c r="AR534" s="439">
        <f>AVERAGE(AN534:AQ534)</f>
        <v>21.944655812070337</v>
      </c>
      <c r="AS534" s="436">
        <f>$I534/1000*(AS$51+AS$58)</f>
        <v>33.10387096774194</v>
      </c>
      <c r="AT534" s="437">
        <f>$I534/1000*(AT$51+AT$58)</f>
        <v>26.877187500000012</v>
      </c>
      <c r="AU534" s="437">
        <f t="shared" ref="AU534" si="772">$I534/1000*(AU$51+AU$58)</f>
        <v>24.110317460317468</v>
      </c>
      <c r="AV534" s="438">
        <f>$I534/1000*(AV$51+AV$58)</f>
        <v>78.097540983606564</v>
      </c>
      <c r="AW534" s="439">
        <f>AVERAGE(AS534:AV534)</f>
        <v>40.547229227916496</v>
      </c>
      <c r="AX534" s="436">
        <f>$I534/1000*(AX$51+AX$58)</f>
        <v>78.097540983606564</v>
      </c>
      <c r="AY534" s="437">
        <f>$I534/1000*(AY$51+AY$58)</f>
        <v>24.88</v>
      </c>
      <c r="AZ534" s="437">
        <f>$I534/1000*(AZ$51+AZ$58)</f>
        <v>25.050000000000004</v>
      </c>
      <c r="BA534" s="438">
        <f>$I534/1000*(BA$51+BA$58)</f>
        <v>31.583333333333332</v>
      </c>
      <c r="BB534" s="439">
        <f>AVERAGE(AX534:BA534)</f>
        <v>39.902718579234978</v>
      </c>
      <c r="BC534" s="436">
        <f>$I534/1000*(BC$51+BC$58)</f>
        <v>45.404290318773441</v>
      </c>
      <c r="BD534" s="437">
        <f>$I534/1000*(BD$51+BD$58)</f>
        <v>18.474074538937856</v>
      </c>
      <c r="BE534" s="437">
        <f>$I534/1000*(BE$51+BE$58)</f>
        <v>17.524697517900954</v>
      </c>
      <c r="BF534" s="438">
        <f>$I534/1000*(BF$51+BF$58)</f>
        <v>45.578937620387748</v>
      </c>
      <c r="BG534" s="439">
        <f>AVERAGE(BC534:BF534)</f>
        <v>31.745499999</v>
      </c>
      <c r="BH534" s="436">
        <f>$I534/1000*(BH$51+BH$58)</f>
        <v>46.152137048123443</v>
      </c>
      <c r="BI534" s="437">
        <f>$I534/1000*(BI$51+BI$58)</f>
        <v>18.778358035601176</v>
      </c>
      <c r="BJ534" s="437">
        <f>$I534/1000*(BJ$51+BJ$58)</f>
        <v>17.81334397905248</v>
      </c>
      <c r="BK534" s="438">
        <f>$I534/1000*(BK$51+BK$58)</f>
        <v>46.32966093722289</v>
      </c>
      <c r="BL534" s="439">
        <f>AVERAGE(BH534:BK534)</f>
        <v>32.268374999999999</v>
      </c>
      <c r="BM534" s="436">
        <f>$I534/1000*(BM$51+BM$58)</f>
        <v>32.432833333000005</v>
      </c>
      <c r="BN534" s="437">
        <f>$I534/1000*(BN$51+BN$58)</f>
        <v>32.432833333000005</v>
      </c>
      <c r="BO534" s="437">
        <f>$I534/1000*(BO$51+BO$58)</f>
        <v>32.432833333000005</v>
      </c>
      <c r="BP534" s="438">
        <f>$I534/1000*(BP$51+BP$58)</f>
        <v>32.432833333000005</v>
      </c>
      <c r="BQ534" s="439">
        <f>AVERAGE(BM534:BP534)</f>
        <v>32.432833333000005</v>
      </c>
      <c r="BR534" s="40"/>
      <c r="BS534" s="40"/>
      <c r="BT534" s="40"/>
      <c r="CW534" s="232"/>
      <c r="CX534" s="232"/>
      <c r="CY534" s="232"/>
      <c r="CZ534" s="40"/>
      <c r="DA534" s="40"/>
      <c r="DB534" s="40"/>
      <c r="DC534" s="40"/>
      <c r="DD534" s="40"/>
      <c r="DE534" s="40"/>
      <c r="DF534" s="232"/>
      <c r="DG534" s="232"/>
      <c r="DH534" s="232"/>
      <c r="DI534" s="232"/>
      <c r="DJ534" s="232"/>
      <c r="DK534" s="232"/>
      <c r="DL534" s="232"/>
      <c r="DM534" s="232"/>
      <c r="DN534" s="232"/>
    </row>
    <row r="535" spans="1:118">
      <c r="A535" s="40"/>
      <c r="B535" s="32"/>
      <c r="C535" s="1"/>
      <c r="D535" s="1"/>
      <c r="E535" s="273"/>
      <c r="F535" s="3"/>
      <c r="G535" s="3"/>
      <c r="H535" s="274"/>
      <c r="I535" s="28"/>
      <c r="J535" s="273"/>
      <c r="K535" s="3"/>
      <c r="L535" s="3"/>
      <c r="M535" s="274"/>
      <c r="N535" s="1"/>
      <c r="O535" s="273"/>
      <c r="P535" s="3"/>
      <c r="Q535" s="3"/>
      <c r="R535" s="274"/>
      <c r="S535" s="1"/>
      <c r="T535" s="273"/>
      <c r="U535" s="3"/>
      <c r="V535" s="3"/>
      <c r="W535" s="274"/>
      <c r="X535" s="1"/>
      <c r="Y535" s="273"/>
      <c r="Z535" s="3"/>
      <c r="AA535" s="3"/>
      <c r="AB535" s="274"/>
      <c r="AC535" s="1"/>
      <c r="AD535" s="273"/>
      <c r="AE535" s="3"/>
      <c r="AF535" s="3"/>
      <c r="AG535" s="274"/>
      <c r="AH535" s="1"/>
      <c r="AI535" s="273"/>
      <c r="AJ535" s="3"/>
      <c r="AK535" s="3"/>
      <c r="AL535" s="274"/>
      <c r="AM535" s="1"/>
      <c r="AN535" s="273"/>
      <c r="AO535" s="3"/>
      <c r="AP535" s="3"/>
      <c r="AQ535" s="274"/>
      <c r="AR535" s="1"/>
      <c r="AS535" s="273"/>
      <c r="AT535" s="3"/>
      <c r="AU535" s="3"/>
      <c r="AV535" s="274"/>
      <c r="AW535" s="1"/>
      <c r="AX535" s="273"/>
      <c r="AY535" s="3"/>
      <c r="AZ535" s="3"/>
      <c r="BA535" s="274"/>
      <c r="BB535" s="1"/>
      <c r="BC535" s="273"/>
      <c r="BD535" s="3"/>
      <c r="BE535" s="3"/>
      <c r="BF535" s="274"/>
      <c r="BG535" s="1"/>
      <c r="BH535" s="273"/>
      <c r="BI535" s="3"/>
      <c r="BJ535" s="3"/>
      <c r="BK535" s="274"/>
      <c r="BL535" s="1"/>
      <c r="BM535" s="273"/>
      <c r="BN535" s="3"/>
      <c r="BO535" s="3"/>
      <c r="BP535" s="274"/>
      <c r="BQ535" s="1"/>
      <c r="BR535" s="40"/>
      <c r="BS535" s="40"/>
      <c r="BT535" s="40"/>
      <c r="CW535" s="232"/>
      <c r="CX535" s="232"/>
      <c r="CY535" s="232"/>
      <c r="CZ535" s="40"/>
      <c r="DA535" s="40"/>
      <c r="DB535" s="40"/>
      <c r="DC535" s="40"/>
      <c r="DD535" s="40"/>
      <c r="DE535" s="40"/>
      <c r="DF535" s="232"/>
      <c r="DG535" s="232"/>
      <c r="DH535" s="232"/>
      <c r="DI535" s="232"/>
      <c r="DJ535" s="232"/>
      <c r="DK535" s="232"/>
      <c r="DL535" s="232"/>
      <c r="DM535" s="232"/>
      <c r="DN535" s="232"/>
    </row>
    <row r="536" spans="1:118">
      <c r="A536" s="40"/>
      <c r="B536" s="32"/>
      <c r="C536" s="32" t="s">
        <v>196</v>
      </c>
      <c r="D536" s="32"/>
      <c r="E536" s="292"/>
      <c r="F536" s="261"/>
      <c r="G536" s="261"/>
      <c r="H536" s="293"/>
      <c r="I536" s="884">
        <v>195</v>
      </c>
      <c r="J536" s="292"/>
      <c r="K536" s="261"/>
      <c r="L536" s="261"/>
      <c r="M536" s="293"/>
      <c r="N536" s="228"/>
      <c r="O536" s="292"/>
      <c r="P536" s="261"/>
      <c r="Q536" s="261"/>
      <c r="R536" s="293"/>
      <c r="S536" s="228"/>
      <c r="T536" s="292"/>
      <c r="U536" s="261"/>
      <c r="V536" s="261"/>
      <c r="W536" s="293"/>
      <c r="X536" s="228"/>
      <c r="Y536" s="292">
        <f>+Z536</f>
        <v>0</v>
      </c>
      <c r="Z536" s="261">
        <f>+AA536</f>
        <v>0</v>
      </c>
      <c r="AA536" s="261">
        <f>+AB536</f>
        <v>0</v>
      </c>
      <c r="AB536" s="293">
        <f>+AC536</f>
        <v>0</v>
      </c>
      <c r="AC536" s="669">
        <v>0</v>
      </c>
      <c r="AD536" s="292">
        <f t="shared" ref="AD536" si="773">AC536</f>
        <v>0</v>
      </c>
      <c r="AE536" s="261">
        <f>+AD536</f>
        <v>0</v>
      </c>
      <c r="AF536" s="261">
        <f t="shared" ref="AF536" si="774">AE536</f>
        <v>0</v>
      </c>
      <c r="AG536" s="293">
        <f>AF536</f>
        <v>0</v>
      </c>
      <c r="AH536" s="228">
        <f t="shared" ref="AH536" si="775">AG536</f>
        <v>0</v>
      </c>
      <c r="AI536" s="292">
        <f t="shared" ref="AI536" si="776">AH536</f>
        <v>0</v>
      </c>
      <c r="AJ536" s="261">
        <f t="shared" ref="AJ536" si="777">AI536</f>
        <v>0</v>
      </c>
      <c r="AK536" s="261">
        <f t="shared" ref="AK536" si="778">AJ536</f>
        <v>0</v>
      </c>
      <c r="AL536" s="293">
        <f>AK536</f>
        <v>0</v>
      </c>
      <c r="AM536" s="228">
        <f t="shared" ref="AM536" si="779">AL536</f>
        <v>0</v>
      </c>
      <c r="AN536" s="292">
        <f>AM536</f>
        <v>0</v>
      </c>
      <c r="AO536" s="261">
        <f>AN536</f>
        <v>0</v>
      </c>
      <c r="AP536" s="261">
        <f>AO536</f>
        <v>0</v>
      </c>
      <c r="AQ536" s="293">
        <f t="shared" ref="AQ536" si="780">AP536</f>
        <v>0</v>
      </c>
      <c r="AR536" s="228">
        <f t="shared" ref="AR536:AW536" si="781">AQ536</f>
        <v>0</v>
      </c>
      <c r="AS536" s="292">
        <f t="shared" si="781"/>
        <v>0</v>
      </c>
      <c r="AT536" s="261">
        <f t="shared" si="781"/>
        <v>0</v>
      </c>
      <c r="AU536" s="261">
        <f t="shared" ref="AU536" si="782">AT536</f>
        <v>0</v>
      </c>
      <c r="AV536" s="293">
        <f t="shared" si="781"/>
        <v>0</v>
      </c>
      <c r="AW536" s="228">
        <f t="shared" si="781"/>
        <v>0</v>
      </c>
      <c r="AX536" s="292">
        <f>I536</f>
        <v>195</v>
      </c>
      <c r="AY536" s="261">
        <f t="shared" ref="AY536:BB536" si="783">AX536</f>
        <v>195</v>
      </c>
      <c r="AZ536" s="261">
        <f t="shared" si="783"/>
        <v>195</v>
      </c>
      <c r="BA536" s="293">
        <f t="shared" si="783"/>
        <v>195</v>
      </c>
      <c r="BB536" s="228">
        <f t="shared" si="783"/>
        <v>195</v>
      </c>
      <c r="BC536" s="292">
        <f>I536</f>
        <v>195</v>
      </c>
      <c r="BD536" s="261">
        <f t="shared" ref="BD536:BF536" si="784">BC536</f>
        <v>195</v>
      </c>
      <c r="BE536" s="261">
        <f t="shared" si="784"/>
        <v>195</v>
      </c>
      <c r="BF536" s="293">
        <f t="shared" si="784"/>
        <v>195</v>
      </c>
      <c r="BG536" s="228">
        <f>BF536</f>
        <v>195</v>
      </c>
      <c r="BH536" s="292">
        <f>I536</f>
        <v>195</v>
      </c>
      <c r="BI536" s="261">
        <f t="shared" ref="BI536:BL536" si="785">BH536</f>
        <v>195</v>
      </c>
      <c r="BJ536" s="261">
        <f t="shared" si="785"/>
        <v>195</v>
      </c>
      <c r="BK536" s="293">
        <f t="shared" si="785"/>
        <v>195</v>
      </c>
      <c r="BL536" s="228">
        <f t="shared" si="785"/>
        <v>195</v>
      </c>
      <c r="BM536" s="292">
        <f>I536</f>
        <v>195</v>
      </c>
      <c r="BN536" s="261">
        <f t="shared" ref="BN536" si="786">BM536</f>
        <v>195</v>
      </c>
      <c r="BO536" s="261">
        <f t="shared" ref="BO536" si="787">BN536</f>
        <v>195</v>
      </c>
      <c r="BP536" s="293">
        <f t="shared" ref="BP536" si="788">BO536</f>
        <v>195</v>
      </c>
      <c r="BQ536" s="228">
        <f t="shared" ref="BQ536" si="789">BP536</f>
        <v>195</v>
      </c>
      <c r="BR536" s="40"/>
      <c r="BS536" s="40"/>
      <c r="BT536" s="40"/>
      <c r="CW536" s="232"/>
      <c r="CX536" s="232"/>
      <c r="CY536" s="232"/>
      <c r="CZ536" s="40"/>
      <c r="DA536" s="40"/>
      <c r="DB536" s="40"/>
      <c r="DC536" s="40"/>
      <c r="DD536" s="40"/>
      <c r="DE536" s="40"/>
      <c r="DF536" s="232"/>
      <c r="DG536" s="232"/>
      <c r="DH536" s="232"/>
      <c r="DI536" s="232"/>
      <c r="DJ536" s="232"/>
      <c r="DK536" s="232"/>
      <c r="DL536" s="232"/>
      <c r="DM536" s="232"/>
      <c r="DN536" s="232"/>
    </row>
    <row r="537" spans="1:118">
      <c r="A537" s="40"/>
      <c r="B537" s="32"/>
      <c r="C537" s="1"/>
      <c r="D537" s="1"/>
      <c r="E537" s="273"/>
      <c r="F537" s="3"/>
      <c r="G537" s="3"/>
      <c r="H537" s="274"/>
      <c r="I537" s="28"/>
      <c r="J537" s="273"/>
      <c r="K537" s="3"/>
      <c r="L537" s="3"/>
      <c r="M537" s="274"/>
      <c r="N537" s="1"/>
      <c r="O537" s="273"/>
      <c r="P537" s="3"/>
      <c r="Q537" s="3"/>
      <c r="R537" s="274"/>
      <c r="S537" s="1"/>
      <c r="T537" s="273"/>
      <c r="U537" s="3"/>
      <c r="V537" s="3"/>
      <c r="W537" s="274"/>
      <c r="X537" s="1"/>
      <c r="Y537" s="273"/>
      <c r="Z537" s="3"/>
      <c r="AA537" s="3"/>
      <c r="AB537" s="274"/>
      <c r="AC537" s="1"/>
      <c r="AD537" s="273"/>
      <c r="AE537" s="3"/>
      <c r="AF537" s="3"/>
      <c r="AG537" s="274"/>
      <c r="AH537" s="1"/>
      <c r="AI537" s="273"/>
      <c r="AJ537" s="3"/>
      <c r="AK537" s="3"/>
      <c r="AL537" s="274"/>
      <c r="AM537" s="1"/>
      <c r="AN537" s="273"/>
      <c r="AO537" s="3"/>
      <c r="AP537" s="3"/>
      <c r="AQ537" s="274"/>
      <c r="AR537" s="1"/>
      <c r="AS537" s="273"/>
      <c r="AT537" s="3"/>
      <c r="AU537" s="3"/>
      <c r="AV537" s="274"/>
      <c r="AW537" s="1"/>
      <c r="AX537" s="273"/>
      <c r="AY537" s="3"/>
      <c r="AZ537" s="3"/>
      <c r="BA537" s="274"/>
      <c r="BB537" s="1"/>
      <c r="BC537" s="273"/>
      <c r="BD537" s="3"/>
      <c r="BE537" s="3"/>
      <c r="BF537" s="274"/>
      <c r="BG537" s="1"/>
      <c r="BH537" s="273"/>
      <c r="BI537" s="3"/>
      <c r="BJ537" s="3"/>
      <c r="BK537" s="274"/>
      <c r="BL537" s="1"/>
      <c r="BM537" s="273"/>
      <c r="BN537" s="3"/>
      <c r="BO537" s="3"/>
      <c r="BP537" s="274"/>
      <c r="BQ537" s="1"/>
      <c r="BR537" s="40"/>
      <c r="BS537" s="40"/>
      <c r="BT537" s="40"/>
      <c r="CW537" s="232"/>
      <c r="CX537" s="232"/>
      <c r="CY537" s="232"/>
      <c r="CZ537" s="40"/>
      <c r="DA537" s="40"/>
      <c r="DB537" s="40"/>
      <c r="DC537" s="40"/>
      <c r="DD537" s="40"/>
      <c r="DE537" s="40"/>
      <c r="DF537" s="232"/>
      <c r="DG537" s="232"/>
      <c r="DH537" s="232"/>
      <c r="DI537" s="232"/>
      <c r="DJ537" s="232"/>
      <c r="DK537" s="232"/>
      <c r="DL537" s="232"/>
      <c r="DM537" s="232"/>
      <c r="DN537" s="232"/>
    </row>
    <row r="538" spans="1:118">
      <c r="A538" s="40"/>
      <c r="B538" s="32"/>
      <c r="C538" s="28" t="s">
        <v>197</v>
      </c>
      <c r="D538" s="1"/>
      <c r="E538" s="273"/>
      <c r="F538" s="3"/>
      <c r="G538" s="3"/>
      <c r="H538" s="274"/>
      <c r="I538" s="544">
        <v>0.25</v>
      </c>
      <c r="J538" s="273"/>
      <c r="K538" s="3"/>
      <c r="L538" s="3"/>
      <c r="M538" s="274"/>
      <c r="N538" s="1"/>
      <c r="O538" s="273"/>
      <c r="P538" s="3"/>
      <c r="Q538" s="3"/>
      <c r="R538" s="274"/>
      <c r="S538" s="1"/>
      <c r="T538" s="277"/>
      <c r="U538" s="253"/>
      <c r="V538" s="253"/>
      <c r="W538" s="278"/>
      <c r="X538" s="224"/>
      <c r="Y538" s="277">
        <f>IF(Y533&gt;Y534,$I538,0%)</f>
        <v>0.25</v>
      </c>
      <c r="Z538" s="253">
        <f>IF(Z533&gt;Z534,$I538,0%)</f>
        <v>0.25</v>
      </c>
      <c r="AA538" s="253">
        <f>IF(AA533&gt;AA534,$I538,0%)</f>
        <v>0.25</v>
      </c>
      <c r="AB538" s="278">
        <f>IF(AB533&gt;AB534,$I538,0%)</f>
        <v>0.25</v>
      </c>
      <c r="AC538" s="224">
        <f>AVERAGE(Y538:AB538)</f>
        <v>0.25</v>
      </c>
      <c r="AD538" s="277">
        <f>IF(AD533&gt;AD534,$I538,0%)</f>
        <v>0</v>
      </c>
      <c r="AE538" s="253">
        <f>IF(AE533&gt;AE534,$I538,0%)</f>
        <v>0.25</v>
      </c>
      <c r="AF538" s="253">
        <f>IF(AF533&gt;AF534,$I538,0%)</f>
        <v>0.25</v>
      </c>
      <c r="AG538" s="278">
        <f>IF(AG533&gt;AG534,$I538,0%)</f>
        <v>0.25</v>
      </c>
      <c r="AH538" s="224">
        <f>AVERAGE(AD538:AG538)</f>
        <v>0.1875</v>
      </c>
      <c r="AI538" s="277">
        <f>IF(AI533&gt;AI534,$I538,0%)</f>
        <v>0</v>
      </c>
      <c r="AJ538" s="253">
        <f>IF(AJ533&gt;AJ534,$I538,0%)</f>
        <v>0.25</v>
      </c>
      <c r="AK538" s="253">
        <f>IF(AK533&gt;AK534,$I538,0%)</f>
        <v>0.25</v>
      </c>
      <c r="AL538" s="278">
        <f>IF(AL533&gt;AL534,$I538,0%)</f>
        <v>0.25</v>
      </c>
      <c r="AM538" s="224">
        <f>AVERAGE(AI538:AL538)</f>
        <v>0.1875</v>
      </c>
      <c r="AN538" s="277">
        <f>IF(AN533&gt;AN534,$I538,0%)</f>
        <v>0.25</v>
      </c>
      <c r="AO538" s="253">
        <f>IF(AO533&gt;AO534,$I538,0%)</f>
        <v>0.25</v>
      </c>
      <c r="AP538" s="253">
        <f>IF(AP533&gt;AP534,$I538,0%)</f>
        <v>0.25</v>
      </c>
      <c r="AQ538" s="278">
        <f>IF(AQ533&gt;AQ534,$I538,0%)</f>
        <v>0.25</v>
      </c>
      <c r="AR538" s="224">
        <f>AVERAGE(AN538:AQ538)</f>
        <v>0.25</v>
      </c>
      <c r="AS538" s="277">
        <f>IF(AS533&gt;AS534,$I538,0%)</f>
        <v>0.25</v>
      </c>
      <c r="AT538" s="253">
        <f>IF(AT533&gt;AT534,$I538,0%)</f>
        <v>0.25</v>
      </c>
      <c r="AU538" s="253">
        <f t="shared" ref="AU538" si="790">IF(AU533&gt;AU534,$I538,0%)</f>
        <v>0.25</v>
      </c>
      <c r="AV538" s="278">
        <f>IF(AV533&gt;AV534,$I538,0%)</f>
        <v>0</v>
      </c>
      <c r="AW538" s="224">
        <f>AVERAGE(AS538:AV538)</f>
        <v>0.1875</v>
      </c>
      <c r="AX538" s="277">
        <f>IF(AX533&gt;AX534,$I538,0%)</f>
        <v>0</v>
      </c>
      <c r="AY538" s="253">
        <f>IF(AY533&gt;AY534,$I538,0%)</f>
        <v>0.25</v>
      </c>
      <c r="AZ538" s="253">
        <f>IF(AZ533&gt;AZ534,$I538,0%)</f>
        <v>0.25</v>
      </c>
      <c r="BA538" s="278">
        <f>IF(BA533&gt;BA534,$I538,0%)</f>
        <v>0.25</v>
      </c>
      <c r="BB538" s="224">
        <f>AVERAGE(AX538:BA538)</f>
        <v>0.1875</v>
      </c>
      <c r="BC538" s="277">
        <f>IF(BC533&gt;BC534,$I538,0%)</f>
        <v>0.25</v>
      </c>
      <c r="BD538" s="253">
        <f>IF(BD533&gt;BD534,$I538,0%)</f>
        <v>0.25</v>
      </c>
      <c r="BE538" s="253">
        <f>IF(BE533&gt;BE534,$I538,0%)</f>
        <v>0.25</v>
      </c>
      <c r="BF538" s="278">
        <f>IF(BF533&gt;BF534,$I538,0%)</f>
        <v>0</v>
      </c>
      <c r="BG538" s="224">
        <f>AVERAGE(BC538:BF538)</f>
        <v>0.1875</v>
      </c>
      <c r="BH538" s="277">
        <f>IF(BH533&gt;BH534,$I538,0%)</f>
        <v>0.25</v>
      </c>
      <c r="BI538" s="253">
        <f>IF(BI533&gt;BI534,$I538,0%)</f>
        <v>0.25</v>
      </c>
      <c r="BJ538" s="253">
        <f>IF(BJ533&gt;BJ534,$I538,0%)</f>
        <v>0.25</v>
      </c>
      <c r="BK538" s="278">
        <f>IF(BK533&gt;BK534,$I538,0%)</f>
        <v>0</v>
      </c>
      <c r="BL538" s="224">
        <f>AVERAGE(BH538:BK538)</f>
        <v>0.1875</v>
      </c>
      <c r="BM538" s="277">
        <f>IF(BM533&gt;BM534,$I538,0%)</f>
        <v>0.25</v>
      </c>
      <c r="BN538" s="253">
        <f>IF(BN533&gt;BN534,$I538,0%)</f>
        <v>0.25</v>
      </c>
      <c r="BO538" s="253">
        <f>IF(BO533&gt;BO534,$I538,0%)</f>
        <v>0.25</v>
      </c>
      <c r="BP538" s="278">
        <f>IF(BP533&gt;BP534,$I538,0%)</f>
        <v>0.25</v>
      </c>
      <c r="BQ538" s="224">
        <f>AVERAGE(BM538:BP538)</f>
        <v>0.25</v>
      </c>
      <c r="BR538" s="40"/>
      <c r="BS538" s="40"/>
      <c r="BT538" s="40"/>
      <c r="CN538" s="951"/>
      <c r="CO538" s="951"/>
      <c r="CP538" s="951"/>
      <c r="CQ538" s="951"/>
      <c r="CR538" s="951"/>
      <c r="CS538" s="951"/>
      <c r="CW538" s="232"/>
      <c r="CX538" s="232"/>
      <c r="CY538" s="232"/>
      <c r="CZ538" s="40"/>
      <c r="DA538" s="40"/>
      <c r="DB538" s="40"/>
      <c r="DC538" s="40"/>
      <c r="DD538" s="40"/>
      <c r="DE538" s="40"/>
      <c r="DF538" s="232"/>
      <c r="DG538" s="232"/>
      <c r="DH538" s="232"/>
      <c r="DI538" s="232"/>
      <c r="DJ538" s="232"/>
      <c r="DK538" s="232"/>
      <c r="DL538" s="232"/>
      <c r="DM538" s="232"/>
      <c r="DN538" s="232"/>
    </row>
    <row r="539" spans="1:118">
      <c r="A539" s="40"/>
      <c r="B539" s="32"/>
      <c r="C539" s="32" t="s">
        <v>198</v>
      </c>
      <c r="D539" s="32"/>
      <c r="E539" s="489"/>
      <c r="F539" s="342"/>
      <c r="G539" s="342"/>
      <c r="H539" s="490"/>
      <c r="I539" s="32"/>
      <c r="J539" s="489"/>
      <c r="K539" s="342"/>
      <c r="L539" s="342"/>
      <c r="M539" s="490"/>
      <c r="N539" s="32"/>
      <c r="O539" s="489"/>
      <c r="P539" s="342"/>
      <c r="Q539" s="342"/>
      <c r="R539" s="490"/>
      <c r="S539" s="32"/>
      <c r="T539" s="301"/>
      <c r="U539" s="265"/>
      <c r="V539" s="265"/>
      <c r="W539" s="302"/>
      <c r="X539" s="445"/>
      <c r="Y539" s="301">
        <f>(Y536*Y538*(8760/1000))/4</f>
        <v>0</v>
      </c>
      <c r="Z539" s="265">
        <f>(Z536*Z538*(8760/1000))/4</f>
        <v>0</v>
      </c>
      <c r="AA539" s="265">
        <f>(AA536*AA538*(8760/1000))/4</f>
        <v>0</v>
      </c>
      <c r="AB539" s="302">
        <f>(AB536*AB538*(8760/1000))/4</f>
        <v>0</v>
      </c>
      <c r="AC539" s="445">
        <f>SUM(Y539:AB539)</f>
        <v>0</v>
      </c>
      <c r="AD539" s="301">
        <f>(AD536*AD538*(8760/1000))/4</f>
        <v>0</v>
      </c>
      <c r="AE539" s="265">
        <f>(AE536*AE538*(8760/1000))/4</f>
        <v>0</v>
      </c>
      <c r="AF539" s="265">
        <f>(AF536*AF538*(8760/1000))/4</f>
        <v>0</v>
      </c>
      <c r="AG539" s="302">
        <f>(AG536*AG538*(8760/1000))/4</f>
        <v>0</v>
      </c>
      <c r="AH539" s="445">
        <f>SUM(AD539:AG539)</f>
        <v>0</v>
      </c>
      <c r="AI539" s="301">
        <f>(AI536*AI538*(8760/1000))/4</f>
        <v>0</v>
      </c>
      <c r="AJ539" s="265">
        <f>(AJ536*AJ538*(8760/1000))/4</f>
        <v>0</v>
      </c>
      <c r="AK539" s="265">
        <f>(AK536*AK538*(8760/1000))/4</f>
        <v>0</v>
      </c>
      <c r="AL539" s="302">
        <f>(AL536*AL538*(8760/1000))/4</f>
        <v>0</v>
      </c>
      <c r="AM539" s="445">
        <f>SUM(AI539:AL539)</f>
        <v>0</v>
      </c>
      <c r="AN539" s="301">
        <f>(AN536*AN538*(8760/1000))/4</f>
        <v>0</v>
      </c>
      <c r="AO539" s="265">
        <f>(AO536*AO538*(8760/1000))/4</f>
        <v>0</v>
      </c>
      <c r="AP539" s="265">
        <f>(AP536*AP538*(8760/1000))/4</f>
        <v>0</v>
      </c>
      <c r="AQ539" s="302">
        <f>(AQ536*AQ538*(8760/1000))/4</f>
        <v>0</v>
      </c>
      <c r="AR539" s="445">
        <f>SUM(AN539:AQ539)</f>
        <v>0</v>
      </c>
      <c r="AS539" s="301">
        <f>(AS536*AS538*(8760/1000))/4</f>
        <v>0</v>
      </c>
      <c r="AT539" s="265">
        <f>(AT536*AT538*(8760/1000))/4</f>
        <v>0</v>
      </c>
      <c r="AU539" s="265">
        <f t="shared" ref="AU539" si="791">(AU536*AU538*(8760/1000))/4</f>
        <v>0</v>
      </c>
      <c r="AV539" s="302">
        <f>(AV536*AV538*(8760/1000))/4</f>
        <v>0</v>
      </c>
      <c r="AW539" s="445">
        <f>SUM(AS539:AV539)</f>
        <v>0</v>
      </c>
      <c r="AX539" s="301">
        <f>(AX536*AX538*(8760/1000))/4</f>
        <v>0</v>
      </c>
      <c r="AY539" s="265">
        <f>(AY536*AY538*(8760/1000))/4</f>
        <v>106.7625</v>
      </c>
      <c r="AZ539" s="265">
        <f>(AZ536*AZ538*(8760/1000))/4</f>
        <v>106.7625</v>
      </c>
      <c r="BA539" s="302">
        <f>(BA536*BA538*(8760/1000))/4</f>
        <v>106.7625</v>
      </c>
      <c r="BB539" s="445">
        <f>SUM(AX539:BA539)</f>
        <v>320.28750000000002</v>
      </c>
      <c r="BC539" s="301">
        <f>(BC536*BC538*(8760/1000))/4</f>
        <v>106.7625</v>
      </c>
      <c r="BD539" s="265">
        <f>(BD536*BD538*(8760/1000))/4</f>
        <v>106.7625</v>
      </c>
      <c r="BE539" s="265">
        <f>(BE536*BE538*(8760/1000))/4</f>
        <v>106.7625</v>
      </c>
      <c r="BF539" s="302">
        <f>(BF536*BF538*(8760/1000))/4</f>
        <v>0</v>
      </c>
      <c r="BG539" s="445">
        <f>SUM(BC539:BF539)</f>
        <v>320.28750000000002</v>
      </c>
      <c r="BH539" s="301">
        <f>(BH536*BH538*(8760/1000))/4</f>
        <v>106.7625</v>
      </c>
      <c r="BI539" s="265">
        <f>(BI536*BI538*(8760/1000))/4</f>
        <v>106.7625</v>
      </c>
      <c r="BJ539" s="265">
        <f>(BJ536*BJ538*(8760/1000))/4</f>
        <v>106.7625</v>
      </c>
      <c r="BK539" s="302">
        <f>(BK536*BK538*(8760/1000))/4</f>
        <v>0</v>
      </c>
      <c r="BL539" s="445">
        <f>SUM(BH539:BK539)</f>
        <v>320.28750000000002</v>
      </c>
      <c r="BM539" s="301">
        <f>(BM536*BM538*(8760/1000))/4</f>
        <v>106.7625</v>
      </c>
      <c r="BN539" s="265">
        <f>(BN536*BN538*(8760/1000))/4</f>
        <v>106.7625</v>
      </c>
      <c r="BO539" s="265">
        <f>(BO536*BO538*(8760/1000))/4</f>
        <v>106.7625</v>
      </c>
      <c r="BP539" s="302">
        <f>(BP536*BP538*(8760/1000))/4</f>
        <v>106.7625</v>
      </c>
      <c r="BQ539" s="445">
        <f>SUM(BM539:BP539)</f>
        <v>427.05</v>
      </c>
      <c r="BR539" s="40"/>
      <c r="BS539" s="40"/>
      <c r="BT539" s="40"/>
      <c r="CN539" s="951"/>
      <c r="CO539" s="951"/>
      <c r="CP539" s="951"/>
      <c r="CQ539" s="951"/>
      <c r="CR539" s="951"/>
      <c r="CS539" s="951"/>
      <c r="CW539" s="232"/>
      <c r="CX539" s="232"/>
      <c r="CY539" s="232"/>
      <c r="CZ539" s="40"/>
      <c r="DA539" s="40"/>
      <c r="DB539" s="40"/>
      <c r="DC539" s="40"/>
      <c r="DD539" s="40"/>
      <c r="DE539" s="40"/>
      <c r="DF539" s="232"/>
      <c r="DG539" s="232"/>
      <c r="DH539" s="232"/>
      <c r="DI539" s="232"/>
      <c r="DJ539" s="232"/>
      <c r="DK539" s="232"/>
      <c r="DL539" s="232"/>
      <c r="DM539" s="232"/>
      <c r="DN539" s="232"/>
    </row>
    <row r="540" spans="1:118">
      <c r="A540" s="40"/>
      <c r="B540" s="32"/>
      <c r="C540" s="1"/>
      <c r="D540" s="1"/>
      <c r="E540" s="273"/>
      <c r="F540" s="3"/>
      <c r="G540" s="3"/>
      <c r="H540" s="274"/>
      <c r="I540" s="28"/>
      <c r="J540" s="273"/>
      <c r="K540" s="3"/>
      <c r="L540" s="3"/>
      <c r="M540" s="274"/>
      <c r="N540" s="1"/>
      <c r="O540" s="273"/>
      <c r="P540" s="3"/>
      <c r="Q540" s="3"/>
      <c r="R540" s="274"/>
      <c r="S540" s="1"/>
      <c r="T540" s="273"/>
      <c r="U540" s="3"/>
      <c r="V540" s="3"/>
      <c r="W540" s="274"/>
      <c r="X540" s="1"/>
      <c r="Y540" s="273"/>
      <c r="Z540" s="3"/>
      <c r="AA540" s="3"/>
      <c r="AB540" s="274"/>
      <c r="AC540" s="1"/>
      <c r="AD540" s="273"/>
      <c r="AE540" s="3"/>
      <c r="AF540" s="3"/>
      <c r="AG540" s="274"/>
      <c r="AH540" s="1"/>
      <c r="AI540" s="273"/>
      <c r="AJ540" s="3"/>
      <c r="AK540" s="3"/>
      <c r="AL540" s="274"/>
      <c r="AM540" s="1"/>
      <c r="AN540" s="273"/>
      <c r="AO540" s="3"/>
      <c r="AP540" s="3"/>
      <c r="AQ540" s="274"/>
      <c r="AR540" s="1"/>
      <c r="AS540" s="273"/>
      <c r="AT540" s="3"/>
      <c r="AU540" s="3"/>
      <c r="AV540" s="274"/>
      <c r="AW540" s="1"/>
      <c r="AX540" s="273"/>
      <c r="AY540" s="3"/>
      <c r="AZ540" s="3"/>
      <c r="BA540" s="274"/>
      <c r="BB540" s="1"/>
      <c r="BC540" s="273"/>
      <c r="BD540" s="3"/>
      <c r="BE540" s="3"/>
      <c r="BF540" s="274"/>
      <c r="BG540" s="1"/>
      <c r="BH540" s="273"/>
      <c r="BI540" s="3"/>
      <c r="BJ540" s="3"/>
      <c r="BK540" s="274"/>
      <c r="BL540" s="1"/>
      <c r="BM540" s="273"/>
      <c r="BN540" s="3"/>
      <c r="BO540" s="3"/>
      <c r="BP540" s="274"/>
      <c r="BQ540" s="1"/>
      <c r="BR540" s="40"/>
      <c r="BS540" s="40"/>
      <c r="BT540" s="40"/>
      <c r="CN540" s="951"/>
      <c r="CO540" s="951"/>
      <c r="CP540" s="951"/>
      <c r="CQ540" s="951"/>
      <c r="CR540" s="951"/>
      <c r="CS540" s="951"/>
      <c r="CW540" s="232"/>
      <c r="CX540" s="232"/>
      <c r="CY540" s="232"/>
      <c r="CZ540" s="40"/>
      <c r="DA540" s="40"/>
      <c r="DB540" s="40"/>
      <c r="DC540" s="40"/>
      <c r="DD540" s="40"/>
      <c r="DE540" s="40"/>
      <c r="DF540" s="232"/>
      <c r="DG540" s="232"/>
      <c r="DH540" s="232"/>
      <c r="DI540" s="232"/>
      <c r="DJ540" s="232"/>
      <c r="DK540" s="232"/>
      <c r="DL540" s="232"/>
      <c r="DM540" s="232"/>
      <c r="DN540" s="232"/>
    </row>
    <row r="541" spans="1:118" s="34" customFormat="1">
      <c r="A541" s="40"/>
      <c r="B541" s="32"/>
      <c r="C541" s="28" t="s">
        <v>797</v>
      </c>
      <c r="D541" s="1"/>
      <c r="E541" s="273"/>
      <c r="F541" s="3"/>
      <c r="G541" s="3"/>
      <c r="H541" s="274"/>
      <c r="I541" s="28"/>
      <c r="J541" s="273"/>
      <c r="K541" s="3"/>
      <c r="L541" s="3"/>
      <c r="M541" s="274"/>
      <c r="N541" s="1"/>
      <c r="O541" s="273"/>
      <c r="P541" s="3"/>
      <c r="Q541" s="3"/>
      <c r="R541" s="274"/>
      <c r="S541" s="1"/>
      <c r="T541" s="758"/>
      <c r="U541" s="660"/>
      <c r="V541" s="660"/>
      <c r="W541" s="661"/>
      <c r="X541" s="428"/>
      <c r="Y541" s="758">
        <f>(Y533/1000*Y539)</f>
        <v>0</v>
      </c>
      <c r="Z541" s="660">
        <f>(Z533/1000*Z539)</f>
        <v>0</v>
      </c>
      <c r="AA541" s="660">
        <f>(AA533/1000*AA539)</f>
        <v>0</v>
      </c>
      <c r="AB541" s="661">
        <f>(AB533/1000*AB539)</f>
        <v>0</v>
      </c>
      <c r="AC541" s="428">
        <f>SUM(Y541:AB541)</f>
        <v>0</v>
      </c>
      <c r="AD541" s="758">
        <f>(AD533/1000*AD539)</f>
        <v>0</v>
      </c>
      <c r="AE541" s="660">
        <f>(AE533/1000*AE539)</f>
        <v>0</v>
      </c>
      <c r="AF541" s="660">
        <f>(AF533/1000*AF539)</f>
        <v>0</v>
      </c>
      <c r="AG541" s="661">
        <f>(AG533/1000*AG539)</f>
        <v>0</v>
      </c>
      <c r="AH541" s="428">
        <f>SUM(AD541:AG541)</f>
        <v>0</v>
      </c>
      <c r="AI541" s="758">
        <f>(AI533/1000*AI539)</f>
        <v>0</v>
      </c>
      <c r="AJ541" s="660">
        <f>(AJ533/1000*AJ539)</f>
        <v>0</v>
      </c>
      <c r="AK541" s="660">
        <f>(AK533/1000*AK539)</f>
        <v>0</v>
      </c>
      <c r="AL541" s="661">
        <f>(AL533/1000*AL539)</f>
        <v>0</v>
      </c>
      <c r="AM541" s="428">
        <f>SUM(AI541:AL541)</f>
        <v>0</v>
      </c>
      <c r="AN541" s="758">
        <f>(AN533/1000*AN539)</f>
        <v>0</v>
      </c>
      <c r="AO541" s="660">
        <f>(AO533/1000*AO539)</f>
        <v>0</v>
      </c>
      <c r="AP541" s="660">
        <f>(AP533/1000*AP539)</f>
        <v>0</v>
      </c>
      <c r="AQ541" s="661">
        <f>(AQ533/1000*AQ539)</f>
        <v>0</v>
      </c>
      <c r="AR541" s="428">
        <f>SUM(AN541:AQ541)</f>
        <v>0</v>
      </c>
      <c r="AS541" s="758">
        <f>(AS533/1000*AS539)</f>
        <v>0</v>
      </c>
      <c r="AT541" s="660">
        <f>(AT533/1000*AT539)</f>
        <v>0</v>
      </c>
      <c r="AU541" s="660">
        <f t="shared" ref="AU541" si="792">(AU533/1000*AU539)</f>
        <v>0</v>
      </c>
      <c r="AV541" s="661">
        <f>(AV533/1000*AV539)</f>
        <v>0</v>
      </c>
      <c r="AW541" s="428">
        <f>SUM(AS541:AV541)</f>
        <v>0</v>
      </c>
      <c r="AX541" s="758">
        <f>(AX533/1000*AX539)</f>
        <v>0</v>
      </c>
      <c r="AY541" s="660">
        <f>(AY533/1000*AY539)</f>
        <v>3.4857956249999997</v>
      </c>
      <c r="AZ541" s="660">
        <f>(AZ533/1000*AZ539)</f>
        <v>3.7776131249999998</v>
      </c>
      <c r="BA541" s="661">
        <f>(BA533/1000*BA539)</f>
        <v>4.5213918749999999</v>
      </c>
      <c r="BB541" s="428">
        <f>SUM(AX541:BA541)</f>
        <v>11.784800624999999</v>
      </c>
      <c r="BC541" s="758">
        <f>(BC533/1000*BC539)</f>
        <v>7.8149557331371042</v>
      </c>
      <c r="BD541" s="660">
        <f>(BD533/1000*BD539)</f>
        <v>3.3734962740229326</v>
      </c>
      <c r="BE541" s="660">
        <f>(BE533/1000*BE539)</f>
        <v>3.9345031129626582</v>
      </c>
      <c r="BF541" s="661">
        <f>(BF533/1000*BF539)</f>
        <v>0</v>
      </c>
      <c r="BG541" s="428">
        <f>SUM(BC541:BF541)</f>
        <v>15.122955120122697</v>
      </c>
      <c r="BH541" s="758">
        <f>(BH533/1000*BH539)</f>
        <v>7.8149557331371042</v>
      </c>
      <c r="BI541" s="660">
        <f>(BI533/1000*BI539)</f>
        <v>3.3734962740229335</v>
      </c>
      <c r="BJ541" s="660">
        <f>(BJ533/1000*BJ539)</f>
        <v>3.9345031129626591</v>
      </c>
      <c r="BK541" s="661">
        <f>(BK533/1000*BK539)</f>
        <v>0</v>
      </c>
      <c r="BL541" s="428">
        <f>SUM(BH541:BK541)</f>
        <v>15.122955120122697</v>
      </c>
      <c r="BM541" s="758">
        <f>(BM533/1000*BM539)</f>
        <v>4.6913654239157152</v>
      </c>
      <c r="BN541" s="660">
        <f>(BN533/1000*BN539)</f>
        <v>4.6913654239157152</v>
      </c>
      <c r="BO541" s="660">
        <f>(BO533/1000*BO539)</f>
        <v>4.6913654239157152</v>
      </c>
      <c r="BP541" s="661">
        <f>(BP533/1000*BP539)</f>
        <v>4.6913654239157152</v>
      </c>
      <c r="BQ541" s="428">
        <f>SUM(BM541:BP541)</f>
        <v>18.765461695662861</v>
      </c>
      <c r="BR541" s="40"/>
      <c r="BS541" s="40"/>
      <c r="BT541" s="156"/>
      <c r="BU541"/>
      <c r="BV541"/>
      <c r="BW541"/>
      <c r="BX541"/>
      <c r="BY541"/>
      <c r="BZ541"/>
      <c r="CA541"/>
      <c r="CB541"/>
      <c r="CC541"/>
      <c r="CD541"/>
      <c r="CE541"/>
      <c r="CF541"/>
      <c r="CN541" s="951"/>
      <c r="CO541" s="951"/>
      <c r="CP541" s="951"/>
      <c r="CQ541" s="951"/>
      <c r="CR541" s="951"/>
      <c r="CS541" s="951"/>
      <c r="CZ541" s="156"/>
      <c r="DA541" s="156"/>
      <c r="DB541" s="156"/>
      <c r="DC541" s="156"/>
      <c r="DD541" s="156"/>
      <c r="DE541" s="156"/>
    </row>
    <row r="542" spans="1:118">
      <c r="A542" s="40"/>
      <c r="B542" s="32"/>
      <c r="C542" s="28" t="s">
        <v>278</v>
      </c>
      <c r="D542" s="1"/>
      <c r="E542" s="273"/>
      <c r="F542" s="3"/>
      <c r="G542" s="3"/>
      <c r="H542" s="274"/>
      <c r="I542" s="28"/>
      <c r="J542" s="273"/>
      <c r="K542" s="3"/>
      <c r="L542" s="3"/>
      <c r="M542" s="274"/>
      <c r="N542" s="1"/>
      <c r="O542" s="273"/>
      <c r="P542" s="3"/>
      <c r="Q542" s="3"/>
      <c r="R542" s="274"/>
      <c r="S542" s="1"/>
      <c r="T542" s="758"/>
      <c r="U542" s="660"/>
      <c r="V542" s="660"/>
      <c r="W542" s="661"/>
      <c r="X542" s="428"/>
      <c r="Y542" s="758">
        <f>Y534/1000*Y539</f>
        <v>0</v>
      </c>
      <c r="Z542" s="660">
        <f>Z534/1000*Z539</f>
        <v>0</v>
      </c>
      <c r="AA542" s="660">
        <f>AA534/1000*AA539</f>
        <v>0</v>
      </c>
      <c r="AB542" s="661">
        <f>AB534/1000*AB539</f>
        <v>0</v>
      </c>
      <c r="AC542" s="428">
        <f>SUM(Y542:AB542)</f>
        <v>0</v>
      </c>
      <c r="AD542" s="758">
        <f>AD534/1000*AD539</f>
        <v>0</v>
      </c>
      <c r="AE542" s="660">
        <f>AE534/1000*AE539</f>
        <v>0</v>
      </c>
      <c r="AF542" s="660">
        <f>AF534/1000*AF539</f>
        <v>0</v>
      </c>
      <c r="AG542" s="661">
        <f>AG534/1000*AG539</f>
        <v>0</v>
      </c>
      <c r="AH542" s="428">
        <f>SUM(AD542:AG542)</f>
        <v>0</v>
      </c>
      <c r="AI542" s="758">
        <f>AI534/1000*AI539</f>
        <v>0</v>
      </c>
      <c r="AJ542" s="660">
        <f>AJ534/1000*AJ539</f>
        <v>0</v>
      </c>
      <c r="AK542" s="660">
        <f>AK534/1000*AK539</f>
        <v>0</v>
      </c>
      <c r="AL542" s="661">
        <f>AL534/1000*AL539</f>
        <v>0</v>
      </c>
      <c r="AM542" s="428">
        <f>SUM(AI542:AL542)</f>
        <v>0</v>
      </c>
      <c r="AN542" s="758">
        <f>AN534/1000*AN539</f>
        <v>0</v>
      </c>
      <c r="AO542" s="660">
        <f>AO534/1000*AO539</f>
        <v>0</v>
      </c>
      <c r="AP542" s="660">
        <f>AP534/1000*AP539</f>
        <v>0</v>
      </c>
      <c r="AQ542" s="661">
        <f>AQ534/1000*AQ539</f>
        <v>0</v>
      </c>
      <c r="AR542" s="428">
        <f>SUM(AN542:AQ542)</f>
        <v>0</v>
      </c>
      <c r="AS542" s="758">
        <f>AS534/1000*AS539</f>
        <v>0</v>
      </c>
      <c r="AT542" s="660">
        <f>AT534/1000*AT539</f>
        <v>0</v>
      </c>
      <c r="AU542" s="660">
        <f t="shared" ref="AU542" si="793">AU534/1000*AU539</f>
        <v>0</v>
      </c>
      <c r="AV542" s="661">
        <f>AV534/1000*AV539</f>
        <v>0</v>
      </c>
      <c r="AW542" s="428">
        <f>SUM(AS542:AV542)</f>
        <v>0</v>
      </c>
      <c r="AX542" s="758">
        <f>AX534/1000*AX539</f>
        <v>0</v>
      </c>
      <c r="AY542" s="660">
        <f>AY534/1000*AY539</f>
        <v>2.6562510000000001</v>
      </c>
      <c r="AZ542" s="660">
        <f>AZ534/1000*AZ539</f>
        <v>2.6744006250000005</v>
      </c>
      <c r="BA542" s="661">
        <f>BA534/1000*BA539</f>
        <v>3.3719156249999997</v>
      </c>
      <c r="BB542" s="428">
        <f>SUM(AX542:BA542)</f>
        <v>8.7025672500000013</v>
      </c>
      <c r="BC542" s="758">
        <f>BC534/1000*BC539</f>
        <v>4.8474755451580496</v>
      </c>
      <c r="BD542" s="660">
        <f>BD534/1000*BD539</f>
        <v>1.972338382963353</v>
      </c>
      <c r="BE542" s="660">
        <f>BE534/1000*BE539</f>
        <v>1.8709805187549007</v>
      </c>
      <c r="BF542" s="661">
        <f>BF534/1000*BF539</f>
        <v>0</v>
      </c>
      <c r="BG542" s="428">
        <f>SUM(BC542:BF542)</f>
        <v>8.6907944468763034</v>
      </c>
      <c r="BH542" s="758">
        <f>BH534/1000*BH539</f>
        <v>4.9273175316002797</v>
      </c>
      <c r="BI542" s="660">
        <f>BI534/1000*BI539</f>
        <v>2.0048244497758705</v>
      </c>
      <c r="BJ542" s="660">
        <f>BJ534/1000*BJ539</f>
        <v>1.9017971365635904</v>
      </c>
      <c r="BK542" s="661">
        <f>BK534/1000*BK539</f>
        <v>0</v>
      </c>
      <c r="BL542" s="428">
        <f>SUM(BH542:BK542)</f>
        <v>8.8339391179397406</v>
      </c>
      <c r="BM542" s="758">
        <f>BM534/1000*BM539</f>
        <v>3.462610368714413</v>
      </c>
      <c r="BN542" s="660">
        <f>BN534/1000*BN539</f>
        <v>3.462610368714413</v>
      </c>
      <c r="BO542" s="660">
        <f>BO534/1000*BO539</f>
        <v>3.462610368714413</v>
      </c>
      <c r="BP542" s="661">
        <f>BP534/1000*BP539</f>
        <v>3.462610368714413</v>
      </c>
      <c r="BQ542" s="428">
        <f>SUM(BM542:BP542)</f>
        <v>13.850441474857652</v>
      </c>
      <c r="BR542" s="40"/>
      <c r="BS542" s="40"/>
      <c r="BT542" s="40"/>
      <c r="CN542" s="951"/>
      <c r="CO542" s="951"/>
      <c r="CP542" s="951"/>
      <c r="CQ542" s="951"/>
      <c r="CR542" s="951"/>
      <c r="CS542" s="951"/>
      <c r="CW542" s="232"/>
      <c r="CX542" s="232"/>
      <c r="CY542" s="232"/>
      <c r="CZ542" s="40"/>
      <c r="DA542" s="40"/>
      <c r="DB542" s="40"/>
      <c r="DC542" s="40"/>
      <c r="DD542" s="40"/>
      <c r="DE542" s="40"/>
      <c r="DF542" s="232"/>
      <c r="DG542" s="232"/>
      <c r="DH542" s="232"/>
      <c r="DI542" s="232"/>
      <c r="DJ542" s="232"/>
      <c r="DK542" s="232"/>
      <c r="DL542" s="232"/>
      <c r="DM542" s="232"/>
      <c r="DN542" s="232"/>
    </row>
    <row r="543" spans="1:118">
      <c r="A543" s="40"/>
      <c r="B543" s="32"/>
      <c r="C543" s="32" t="s">
        <v>199</v>
      </c>
      <c r="D543" s="32"/>
      <c r="E543" s="489"/>
      <c r="F543" s="342"/>
      <c r="G543" s="342"/>
      <c r="H543" s="490"/>
      <c r="I543" s="28"/>
      <c r="J543" s="489"/>
      <c r="K543" s="342"/>
      <c r="L543" s="342"/>
      <c r="M543" s="490"/>
      <c r="N543" s="32"/>
      <c r="O543" s="489"/>
      <c r="P543" s="342"/>
      <c r="Q543" s="342"/>
      <c r="R543" s="490"/>
      <c r="S543" s="32"/>
      <c r="T543" s="292"/>
      <c r="U543" s="261"/>
      <c r="V543" s="261"/>
      <c r="W543" s="293"/>
      <c r="X543" s="228"/>
      <c r="Y543" s="292">
        <f>Y541-Y542</f>
        <v>0</v>
      </c>
      <c r="Z543" s="261">
        <f>Z541-Z542</f>
        <v>0</v>
      </c>
      <c r="AA543" s="261">
        <f>AA541-AA542</f>
        <v>0</v>
      </c>
      <c r="AB543" s="293">
        <f>AB541-AB542</f>
        <v>0</v>
      </c>
      <c r="AC543" s="228">
        <f>AC541-AC542</f>
        <v>0</v>
      </c>
      <c r="AD543" s="292">
        <f t="shared" ref="AD543" si="794">AD541-AD542</f>
        <v>0</v>
      </c>
      <c r="AE543" s="261">
        <f>AE541-AE542</f>
        <v>0</v>
      </c>
      <c r="AF543" s="261">
        <f t="shared" ref="AF543:BL543" si="795">AF541-AF542</f>
        <v>0</v>
      </c>
      <c r="AG543" s="293">
        <f t="shared" si="795"/>
        <v>0</v>
      </c>
      <c r="AH543" s="228">
        <f t="shared" si="795"/>
        <v>0</v>
      </c>
      <c r="AI543" s="292">
        <f t="shared" si="795"/>
        <v>0</v>
      </c>
      <c r="AJ543" s="261">
        <f t="shared" si="795"/>
        <v>0</v>
      </c>
      <c r="AK543" s="261">
        <f t="shared" si="795"/>
        <v>0</v>
      </c>
      <c r="AL543" s="293">
        <f t="shared" si="795"/>
        <v>0</v>
      </c>
      <c r="AM543" s="228">
        <f t="shared" si="795"/>
        <v>0</v>
      </c>
      <c r="AN543" s="292">
        <f t="shared" si="795"/>
        <v>0</v>
      </c>
      <c r="AO543" s="261">
        <f t="shared" si="795"/>
        <v>0</v>
      </c>
      <c r="AP543" s="261">
        <f t="shared" si="795"/>
        <v>0</v>
      </c>
      <c r="AQ543" s="293">
        <f t="shared" si="795"/>
        <v>0</v>
      </c>
      <c r="AR543" s="228">
        <f t="shared" si="795"/>
        <v>0</v>
      </c>
      <c r="AS543" s="292">
        <f t="shared" si="795"/>
        <v>0</v>
      </c>
      <c r="AT543" s="261">
        <f t="shared" si="795"/>
        <v>0</v>
      </c>
      <c r="AU543" s="261">
        <f t="shared" ref="AU543" si="796">AU541-AU542</f>
        <v>0</v>
      </c>
      <c r="AV543" s="293">
        <f t="shared" si="795"/>
        <v>0</v>
      </c>
      <c r="AW543" s="228">
        <f t="shared" si="795"/>
        <v>0</v>
      </c>
      <c r="AX543" s="292">
        <f t="shared" si="795"/>
        <v>0</v>
      </c>
      <c r="AY543" s="261">
        <f t="shared" si="795"/>
        <v>0.82954462499999959</v>
      </c>
      <c r="AZ543" s="261">
        <f t="shared" si="795"/>
        <v>1.1032124999999993</v>
      </c>
      <c r="BA543" s="293">
        <f t="shared" si="795"/>
        <v>1.1494762500000002</v>
      </c>
      <c r="BB543" s="228">
        <f t="shared" si="795"/>
        <v>3.0822333749999977</v>
      </c>
      <c r="BC543" s="292">
        <f t="shared" si="795"/>
        <v>2.9674801879790547</v>
      </c>
      <c r="BD543" s="261">
        <f t="shared" si="795"/>
        <v>1.4011578910595797</v>
      </c>
      <c r="BE543" s="261">
        <f t="shared" si="795"/>
        <v>2.0635225942077575</v>
      </c>
      <c r="BF543" s="293">
        <f t="shared" si="795"/>
        <v>0</v>
      </c>
      <c r="BG543" s="228">
        <f t="shared" si="795"/>
        <v>6.4321606732463934</v>
      </c>
      <c r="BH543" s="292">
        <f t="shared" si="795"/>
        <v>2.8876382015368245</v>
      </c>
      <c r="BI543" s="261">
        <f t="shared" si="795"/>
        <v>1.368671824247063</v>
      </c>
      <c r="BJ543" s="261">
        <f t="shared" si="795"/>
        <v>2.0327059763990687</v>
      </c>
      <c r="BK543" s="293">
        <f t="shared" si="795"/>
        <v>0</v>
      </c>
      <c r="BL543" s="228">
        <f t="shared" si="795"/>
        <v>6.2890160021829562</v>
      </c>
      <c r="BM543" s="292">
        <f t="shared" ref="BM543:BQ543" si="797">BM541-BM542</f>
        <v>1.2287550552013022</v>
      </c>
      <c r="BN543" s="261">
        <f t="shared" si="797"/>
        <v>1.2287550552013022</v>
      </c>
      <c r="BO543" s="261">
        <f t="shared" si="797"/>
        <v>1.2287550552013022</v>
      </c>
      <c r="BP543" s="293">
        <f t="shared" si="797"/>
        <v>1.2287550552013022</v>
      </c>
      <c r="BQ543" s="228">
        <f t="shared" si="797"/>
        <v>4.915020220805209</v>
      </c>
      <c r="BR543" s="40"/>
      <c r="BS543" s="40"/>
      <c r="BT543" s="40"/>
      <c r="BU543" s="34"/>
      <c r="BV543" s="34"/>
      <c r="BW543" s="34"/>
      <c r="BX543" s="34"/>
      <c r="BY543" s="34"/>
      <c r="BZ543" s="34"/>
      <c r="CA543" s="34"/>
      <c r="CB543" s="34"/>
      <c r="CC543" s="34"/>
      <c r="CD543" s="34"/>
      <c r="CE543" s="34"/>
      <c r="CF543" s="34"/>
      <c r="CN543" s="951"/>
      <c r="CO543" s="951"/>
      <c r="CP543" s="951"/>
      <c r="CQ543" s="951"/>
      <c r="CR543" s="951"/>
      <c r="CS543" s="951"/>
      <c r="CW543" s="232"/>
      <c r="CX543" s="232"/>
      <c r="CY543" s="232"/>
      <c r="CZ543" s="40"/>
      <c r="DA543" s="40"/>
      <c r="DB543" s="40"/>
      <c r="DC543" s="40"/>
      <c r="DD543" s="40"/>
      <c r="DE543" s="40"/>
      <c r="DF543" s="232"/>
      <c r="DG543" s="232"/>
      <c r="DH543" s="232"/>
      <c r="DI543" s="232"/>
      <c r="DJ543" s="232"/>
      <c r="DK543" s="232"/>
      <c r="DL543" s="232"/>
      <c r="DM543" s="232"/>
      <c r="DN543" s="232"/>
    </row>
    <row r="544" spans="1:118">
      <c r="A544" s="40"/>
      <c r="B544" s="32"/>
      <c r="C544" s="32"/>
      <c r="D544" s="32"/>
      <c r="E544" s="489"/>
      <c r="F544" s="342"/>
      <c r="G544" s="342"/>
      <c r="H544" s="490"/>
      <c r="I544" s="28"/>
      <c r="J544" s="489"/>
      <c r="K544" s="342"/>
      <c r="L544" s="342"/>
      <c r="M544" s="490"/>
      <c r="N544" s="32"/>
      <c r="O544" s="489"/>
      <c r="P544" s="342"/>
      <c r="Q544" s="342"/>
      <c r="R544" s="490"/>
      <c r="S544" s="32"/>
      <c r="T544" s="292"/>
      <c r="U544" s="261"/>
      <c r="V544" s="261"/>
      <c r="W544" s="293"/>
      <c r="X544" s="228"/>
      <c r="Y544" s="292"/>
      <c r="Z544" s="261"/>
      <c r="AA544" s="261"/>
      <c r="AB544" s="293"/>
      <c r="AC544" s="228"/>
      <c r="AD544" s="292"/>
      <c r="AE544" s="261"/>
      <c r="AF544" s="261"/>
      <c r="AG544" s="293"/>
      <c r="AH544" s="228"/>
      <c r="AI544" s="292"/>
      <c r="AJ544" s="261"/>
      <c r="AK544" s="261"/>
      <c r="AL544" s="293"/>
      <c r="AM544" s="228"/>
      <c r="AN544" s="292"/>
      <c r="AO544" s="261"/>
      <c r="AP544" s="261"/>
      <c r="AQ544" s="293"/>
      <c r="AR544" s="228"/>
      <c r="AS544" s="292"/>
      <c r="AT544" s="261"/>
      <c r="AU544" s="261"/>
      <c r="AV544" s="293"/>
      <c r="AW544" s="228"/>
      <c r="AX544" s="292"/>
      <c r="AY544" s="261"/>
      <c r="AZ544" s="261"/>
      <c r="BA544" s="293"/>
      <c r="BB544" s="228"/>
      <c r="BC544" s="292"/>
      <c r="BD544" s="261"/>
      <c r="BE544" s="261"/>
      <c r="BF544" s="293"/>
      <c r="BG544" s="228"/>
      <c r="BH544" s="292"/>
      <c r="BI544" s="261"/>
      <c r="BJ544" s="261"/>
      <c r="BK544" s="293"/>
      <c r="BL544" s="228"/>
      <c r="BM544" s="292"/>
      <c r="BN544" s="261"/>
      <c r="BO544" s="261"/>
      <c r="BP544" s="293"/>
      <c r="BQ544" s="228"/>
      <c r="BR544" s="40"/>
      <c r="BS544" s="40"/>
      <c r="BT544" s="40"/>
      <c r="CN544" s="951"/>
      <c r="CO544" s="951"/>
      <c r="CP544" s="951"/>
      <c r="CQ544" s="951"/>
      <c r="CR544" s="951"/>
      <c r="CS544" s="951"/>
      <c r="CW544" s="232"/>
      <c r="CX544" s="232"/>
      <c r="CY544" s="232"/>
      <c r="CZ544" s="40"/>
      <c r="DA544" s="40"/>
      <c r="DB544" s="40"/>
      <c r="DC544" s="40"/>
      <c r="DD544" s="40"/>
      <c r="DE544" s="40"/>
      <c r="DF544" s="232"/>
      <c r="DG544" s="232"/>
      <c r="DH544" s="232"/>
      <c r="DI544" s="232"/>
      <c r="DJ544" s="232"/>
      <c r="DK544" s="232"/>
      <c r="DL544" s="232"/>
      <c r="DM544" s="232"/>
      <c r="DN544" s="232"/>
    </row>
    <row r="545" spans="1:118">
      <c r="A545" s="40"/>
      <c r="B545" s="32"/>
      <c r="C545" s="32"/>
      <c r="D545" s="32"/>
      <c r="E545" s="489"/>
      <c r="F545" s="342"/>
      <c r="G545" s="342"/>
      <c r="H545" s="490"/>
      <c r="I545" s="28"/>
      <c r="J545" s="489"/>
      <c r="K545" s="342"/>
      <c r="L545" s="342"/>
      <c r="M545" s="490"/>
      <c r="N545" s="32"/>
      <c r="O545" s="489"/>
      <c r="P545" s="342"/>
      <c r="Q545" s="342"/>
      <c r="R545" s="490"/>
      <c r="S545" s="32"/>
      <c r="T545" s="292"/>
      <c r="U545" s="261"/>
      <c r="V545" s="261"/>
      <c r="W545" s="293"/>
      <c r="X545" s="228"/>
      <c r="Y545" s="292"/>
      <c r="Z545" s="261"/>
      <c r="AA545" s="261"/>
      <c r="AB545" s="293"/>
      <c r="AC545" s="228"/>
      <c r="AD545" s="292"/>
      <c r="AE545" s="261"/>
      <c r="AF545" s="261"/>
      <c r="AG545" s="293"/>
      <c r="AH545" s="228"/>
      <c r="AI545" s="292"/>
      <c r="AJ545" s="261"/>
      <c r="AK545" s="261"/>
      <c r="AL545" s="293"/>
      <c r="AM545" s="228"/>
      <c r="AN545" s="292"/>
      <c r="AO545" s="261"/>
      <c r="AP545" s="261"/>
      <c r="AQ545" s="293"/>
      <c r="AR545" s="228"/>
      <c r="AS545" s="292"/>
      <c r="AT545" s="261"/>
      <c r="AU545" s="261"/>
      <c r="AV545" s="293"/>
      <c r="AW545" s="228"/>
      <c r="AX545" s="292"/>
      <c r="AY545" s="261"/>
      <c r="AZ545" s="261"/>
      <c r="BA545" s="293"/>
      <c r="BB545" s="228"/>
      <c r="BC545" s="292"/>
      <c r="BD545" s="261"/>
      <c r="BE545" s="261"/>
      <c r="BF545" s="293"/>
      <c r="BG545" s="228"/>
      <c r="BH545" s="292"/>
      <c r="BI545" s="261"/>
      <c r="BJ545" s="261"/>
      <c r="BK545" s="293"/>
      <c r="BL545" s="228"/>
      <c r="BM545" s="292"/>
      <c r="BN545" s="261"/>
      <c r="BO545" s="261"/>
      <c r="BP545" s="293"/>
      <c r="BQ545" s="228"/>
      <c r="BR545" s="1026"/>
      <c r="BS545" s="1026"/>
      <c r="BT545" s="40"/>
      <c r="CN545" s="951"/>
      <c r="CO545" s="951"/>
      <c r="CP545" s="951"/>
      <c r="CQ545" s="951"/>
      <c r="CR545" s="951"/>
      <c r="CS545" s="951"/>
      <c r="CW545" s="232"/>
      <c r="CX545" s="232"/>
      <c r="CY545" s="232"/>
      <c r="CZ545" s="40"/>
      <c r="DA545" s="40"/>
      <c r="DB545" s="40"/>
      <c r="DC545" s="40"/>
      <c r="DD545" s="40"/>
      <c r="DE545" s="40"/>
      <c r="DF545" s="232"/>
      <c r="DG545" s="232"/>
      <c r="DH545" s="232"/>
      <c r="DI545" s="232"/>
      <c r="DJ545" s="232"/>
      <c r="DK545" s="232"/>
      <c r="DL545" s="232"/>
      <c r="DM545" s="232"/>
      <c r="DN545" s="232"/>
    </row>
    <row r="546" spans="1:118">
      <c r="A546" s="40"/>
      <c r="B546" s="210" t="s">
        <v>844</v>
      </c>
      <c r="C546" s="15"/>
      <c r="D546" s="211"/>
      <c r="E546" s="489"/>
      <c r="F546" s="342"/>
      <c r="G546" s="342"/>
      <c r="H546" s="490"/>
      <c r="I546" s="32"/>
      <c r="J546" s="489"/>
      <c r="K546" s="342"/>
      <c r="L546" s="342"/>
      <c r="M546" s="490"/>
      <c r="N546" s="32"/>
      <c r="O546" s="489"/>
      <c r="P546" s="342"/>
      <c r="Q546" s="342"/>
      <c r="R546" s="490"/>
      <c r="S546" s="32"/>
      <c r="T546" s="292"/>
      <c r="U546" s="261"/>
      <c r="V546" s="261"/>
      <c r="W546" s="293"/>
      <c r="X546" s="348"/>
      <c r="Y546" s="292"/>
      <c r="Z546" s="261"/>
      <c r="AA546" s="261"/>
      <c r="AB546" s="293"/>
      <c r="AC546" s="348"/>
      <c r="AD546" s="292"/>
      <c r="AE546" s="261"/>
      <c r="AF546" s="261"/>
      <c r="AG546" s="293"/>
      <c r="AH546" s="348"/>
      <c r="AI546" s="292"/>
      <c r="AJ546" s="261"/>
      <c r="AK546" s="261"/>
      <c r="AL546" s="293"/>
      <c r="AM546" s="348"/>
      <c r="AN546" s="292"/>
      <c r="AO546" s="261"/>
      <c r="AP546" s="261"/>
      <c r="AQ546" s="293"/>
      <c r="AR546" s="348"/>
      <c r="AS546" s="292"/>
      <c r="AT546" s="261"/>
      <c r="AU546" s="261"/>
      <c r="AV546" s="293"/>
      <c r="AW546" s="348"/>
      <c r="AX546" s="292"/>
      <c r="AY546" s="261"/>
      <c r="AZ546" s="261"/>
      <c r="BA546" s="293"/>
      <c r="BB546" s="348"/>
      <c r="BC546" s="292"/>
      <c r="BD546" s="261"/>
      <c r="BE546" s="261"/>
      <c r="BF546" s="293"/>
      <c r="BG546" s="348"/>
      <c r="BH546" s="292"/>
      <c r="BI546" s="261"/>
      <c r="BJ546" s="261"/>
      <c r="BK546" s="293"/>
      <c r="BL546" s="348"/>
      <c r="BM546" s="292"/>
      <c r="BN546" s="261"/>
      <c r="BO546" s="261"/>
      <c r="BP546" s="293"/>
      <c r="BQ546" s="348"/>
      <c r="BR546" s="40"/>
      <c r="BS546" s="40"/>
      <c r="BT546" s="40"/>
      <c r="CN546" s="951"/>
      <c r="CO546" s="951"/>
      <c r="CP546" s="951"/>
      <c r="CQ546" s="951"/>
      <c r="CR546" s="951"/>
      <c r="CS546" s="951"/>
      <c r="CW546" s="232"/>
      <c r="CX546" s="232"/>
      <c r="CY546" s="232"/>
      <c r="CZ546" s="40"/>
      <c r="DA546" s="40"/>
      <c r="DB546" s="40"/>
      <c r="DC546" s="40"/>
      <c r="DD546" s="40"/>
      <c r="DE546" s="40"/>
      <c r="DF546" s="232"/>
      <c r="DG546" s="232"/>
      <c r="DH546" s="232"/>
      <c r="DI546" s="232"/>
      <c r="DJ546" s="232"/>
      <c r="DK546" s="232"/>
      <c r="DL546" s="232"/>
      <c r="DM546" s="232"/>
      <c r="DN546" s="232"/>
    </row>
    <row r="547" spans="1:118">
      <c r="A547" s="40"/>
      <c r="B547" s="32"/>
      <c r="C547" s="32"/>
      <c r="D547" s="32"/>
      <c r="E547" s="489"/>
      <c r="F547" s="342"/>
      <c r="G547" s="342"/>
      <c r="H547" s="490"/>
      <c r="I547" s="32"/>
      <c r="J547" s="489"/>
      <c r="K547" s="342"/>
      <c r="L547" s="342"/>
      <c r="M547" s="490"/>
      <c r="N547" s="32"/>
      <c r="O547" s="489"/>
      <c r="P547" s="342"/>
      <c r="Q547" s="342"/>
      <c r="R547" s="490"/>
      <c r="S547" s="32"/>
      <c r="T547" s="292"/>
      <c r="U547" s="261"/>
      <c r="V547" s="261"/>
      <c r="W547" s="293"/>
      <c r="X547" s="348"/>
      <c r="Y547" s="292"/>
      <c r="Z547" s="261"/>
      <c r="AA547" s="261"/>
      <c r="AB547" s="293"/>
      <c r="AC547" s="348"/>
      <c r="AD547" s="292"/>
      <c r="AE547" s="261"/>
      <c r="AF547" s="261"/>
      <c r="AG547" s="293"/>
      <c r="AH547" s="348"/>
      <c r="AI547" s="292"/>
      <c r="AJ547" s="261"/>
      <c r="AK547" s="261"/>
      <c r="AL547" s="293"/>
      <c r="AM547" s="348"/>
      <c r="AN547" s="292"/>
      <c r="AO547" s="261"/>
      <c r="AP547" s="261"/>
      <c r="AQ547" s="293"/>
      <c r="AR547" s="348"/>
      <c r="AS547" s="292"/>
      <c r="AT547" s="261"/>
      <c r="AU547" s="261"/>
      <c r="AV547" s="293"/>
      <c r="AW547" s="348"/>
      <c r="AX547" s="292"/>
      <c r="AY547" s="261"/>
      <c r="AZ547" s="261"/>
      <c r="BA547" s="293"/>
      <c r="BB547" s="348"/>
      <c r="BC547" s="292"/>
      <c r="BD547" s="261"/>
      <c r="BE547" s="261"/>
      <c r="BF547" s="293"/>
      <c r="BG547" s="348"/>
      <c r="BH547" s="292"/>
      <c r="BI547" s="261"/>
      <c r="BJ547" s="261"/>
      <c r="BK547" s="293"/>
      <c r="BL547" s="348"/>
      <c r="BM547" s="292"/>
      <c r="BN547" s="261"/>
      <c r="BO547" s="261"/>
      <c r="BP547" s="293"/>
      <c r="BQ547" s="348"/>
      <c r="BR547" s="40"/>
      <c r="BS547" s="40"/>
      <c r="BT547" s="40"/>
      <c r="CN547" s="951"/>
      <c r="CO547" s="951"/>
      <c r="CP547" s="951"/>
      <c r="CQ547" s="951"/>
      <c r="CR547" s="951"/>
      <c r="CS547" s="951"/>
      <c r="CW547" s="232"/>
      <c r="CX547" s="232"/>
      <c r="CY547" s="232"/>
      <c r="CZ547" s="40"/>
      <c r="DA547" s="40"/>
      <c r="DB547" s="40"/>
      <c r="DC547" s="40"/>
      <c r="DD547" s="40"/>
      <c r="DE547" s="40"/>
      <c r="DF547" s="232"/>
      <c r="DG547" s="232"/>
      <c r="DH547" s="232"/>
      <c r="DI547" s="232"/>
      <c r="DJ547" s="232"/>
      <c r="DK547" s="232"/>
      <c r="DL547" s="232"/>
      <c r="DM547" s="232"/>
      <c r="DN547" s="232"/>
    </row>
    <row r="548" spans="1:118">
      <c r="A548" s="40"/>
      <c r="B548" s="1"/>
      <c r="C548" s="996" t="s">
        <v>857</v>
      </c>
      <c r="D548" s="1"/>
      <c r="E548" s="273"/>
      <c r="F548" s="3"/>
      <c r="G548" s="3"/>
      <c r="H548" s="274"/>
      <c r="I548" s="28"/>
      <c r="J548" s="273"/>
      <c r="K548" s="3"/>
      <c r="L548" s="3"/>
      <c r="M548" s="274"/>
      <c r="N548" s="1"/>
      <c r="O548" s="273"/>
      <c r="P548" s="3"/>
      <c r="Q548" s="3"/>
      <c r="R548" s="274"/>
      <c r="S548" s="1"/>
      <c r="T548" s="273"/>
      <c r="U548" s="3"/>
      <c r="V548" s="3"/>
      <c r="W548" s="274"/>
      <c r="X548" s="1"/>
      <c r="Y548" s="273"/>
      <c r="Z548" s="3"/>
      <c r="AA548" s="3"/>
      <c r="AB548" s="274"/>
      <c r="AC548" s="1"/>
      <c r="AD548" s="273"/>
      <c r="AE548" s="3"/>
      <c r="AF548" s="3"/>
      <c r="AG548" s="274"/>
      <c r="AH548" s="1"/>
      <c r="AI548" s="273"/>
      <c r="AJ548" s="3"/>
      <c r="AK548" s="3"/>
      <c r="AL548" s="274"/>
      <c r="AM548" s="1"/>
      <c r="AN548" s="273"/>
      <c r="AO548" s="3"/>
      <c r="AP548" s="3"/>
      <c r="AQ548" s="274"/>
      <c r="AR548" s="1"/>
      <c r="AS548" s="273"/>
      <c r="AT548" s="3"/>
      <c r="AU548" s="3"/>
      <c r="AV548" s="274"/>
      <c r="AW548" s="1"/>
      <c r="AX548" s="273"/>
      <c r="AY548" s="3"/>
      <c r="AZ548" s="3"/>
      <c r="BA548" s="274"/>
      <c r="BB548" s="1"/>
      <c r="BC548" s="273"/>
      <c r="BD548" s="3"/>
      <c r="BE548" s="3"/>
      <c r="BF548" s="274"/>
      <c r="BG548" s="1"/>
      <c r="BH548" s="273"/>
      <c r="BI548" s="3"/>
      <c r="BJ548" s="3"/>
      <c r="BK548" s="274"/>
      <c r="BL548" s="1"/>
      <c r="BM548" s="273"/>
      <c r="BN548" s="3"/>
      <c r="BO548" s="3"/>
      <c r="BP548" s="274"/>
      <c r="BQ548" s="1"/>
      <c r="BR548" s="925"/>
      <c r="BS548" s="925"/>
      <c r="BT548" s="40"/>
      <c r="CN548" s="951"/>
      <c r="CO548" s="951"/>
      <c r="CP548" s="951"/>
      <c r="CQ548" s="951"/>
      <c r="CR548" s="951"/>
      <c r="CS548" s="951"/>
      <c r="CW548" s="232"/>
      <c r="CX548" s="232"/>
      <c r="CY548" s="232"/>
      <c r="CZ548" s="40"/>
      <c r="DA548" s="40"/>
      <c r="DB548" s="40"/>
      <c r="DC548" s="40"/>
      <c r="DD548" s="40"/>
      <c r="DE548" s="40"/>
      <c r="DF548" s="232"/>
      <c r="DG548" s="232"/>
      <c r="DH548" s="232"/>
      <c r="DI548" s="232"/>
      <c r="DJ548" s="232"/>
      <c r="DK548" s="232"/>
      <c r="DL548" s="232"/>
      <c r="DM548" s="232"/>
      <c r="DN548" s="232"/>
    </row>
    <row r="549" spans="1:118">
      <c r="A549" s="40"/>
      <c r="B549" s="1"/>
      <c r="C549" s="28" t="s">
        <v>797</v>
      </c>
      <c r="D549" s="1"/>
      <c r="E549" s="273"/>
      <c r="F549" s="3"/>
      <c r="G549" s="3"/>
      <c r="H549" s="274"/>
      <c r="I549" s="28"/>
      <c r="J549" s="273"/>
      <c r="K549" s="3"/>
      <c r="L549" s="3"/>
      <c r="M549" s="274"/>
      <c r="N549" s="1"/>
      <c r="O549" s="273"/>
      <c r="P549" s="3"/>
      <c r="Q549" s="3"/>
      <c r="R549" s="274"/>
      <c r="S549" s="1"/>
      <c r="T549" s="758"/>
      <c r="U549" s="660"/>
      <c r="V549" s="660"/>
      <c r="W549" s="661"/>
      <c r="X549" s="428"/>
      <c r="Y549" s="758">
        <f t="shared" ref="Y549:AC550" si="798">+Y564+Y576+Y588</f>
        <v>61.986854999999998</v>
      </c>
      <c r="Z549" s="660">
        <f t="shared" si="798"/>
        <v>61.986854999999998</v>
      </c>
      <c r="AA549" s="660">
        <f t="shared" si="798"/>
        <v>61.986854999999998</v>
      </c>
      <c r="AB549" s="661">
        <f t="shared" si="798"/>
        <v>61.986854999999998</v>
      </c>
      <c r="AC549" s="428">
        <f t="shared" si="798"/>
        <v>247.94741999999999</v>
      </c>
      <c r="AD549" s="758">
        <f t="shared" ref="AD549:BL550" si="799">+AD564+AD576+AD588</f>
        <v>63.226592099999998</v>
      </c>
      <c r="AE549" s="660">
        <f t="shared" si="799"/>
        <v>63.226592099999998</v>
      </c>
      <c r="AF549" s="660">
        <f t="shared" si="799"/>
        <v>63.226592099999998</v>
      </c>
      <c r="AG549" s="661">
        <f t="shared" si="799"/>
        <v>63.226592099999998</v>
      </c>
      <c r="AH549" s="428">
        <f t="shared" si="799"/>
        <v>252.90636839999999</v>
      </c>
      <c r="AI549" s="758">
        <f t="shared" si="799"/>
        <v>64.491123942000002</v>
      </c>
      <c r="AJ549" s="660">
        <f t="shared" si="799"/>
        <v>64.491123942000002</v>
      </c>
      <c r="AK549" s="660">
        <f t="shared" si="799"/>
        <v>64.491123942000002</v>
      </c>
      <c r="AL549" s="661">
        <f t="shared" si="799"/>
        <v>64.491123942000002</v>
      </c>
      <c r="AM549" s="428">
        <f t="shared" si="799"/>
        <v>257.96449576800001</v>
      </c>
      <c r="AN549" s="758">
        <f t="shared" si="799"/>
        <v>65.780946420839996</v>
      </c>
      <c r="AO549" s="660">
        <f t="shared" si="799"/>
        <v>65.780946420839996</v>
      </c>
      <c r="AP549" s="660">
        <f t="shared" si="799"/>
        <v>65.780946420839996</v>
      </c>
      <c r="AQ549" s="661">
        <f t="shared" si="799"/>
        <v>75.745291587840001</v>
      </c>
      <c r="AR549" s="428">
        <f t="shared" si="799"/>
        <v>273.08813085036002</v>
      </c>
      <c r="AS549" s="758">
        <f t="shared" si="799"/>
        <v>77.260197419596778</v>
      </c>
      <c r="AT549" s="660">
        <f t="shared" si="799"/>
        <v>77.260197419596778</v>
      </c>
      <c r="AU549" s="660">
        <f t="shared" ref="AU549" si="800">+AU564+AU576+AU588</f>
        <v>79.630723849996784</v>
      </c>
      <c r="AV549" s="661">
        <f t="shared" si="799"/>
        <v>79.630723849996784</v>
      </c>
      <c r="AW549" s="428">
        <f t="shared" si="799"/>
        <v>313.78184253918715</v>
      </c>
      <c r="AX549" s="758">
        <f t="shared" si="799"/>
        <v>81.223338326996725</v>
      </c>
      <c r="AY549" s="660">
        <f t="shared" si="799"/>
        <v>81.223338326996725</v>
      </c>
      <c r="AZ549" s="660">
        <f t="shared" si="799"/>
        <v>81.223338326996725</v>
      </c>
      <c r="BA549" s="661">
        <f t="shared" si="799"/>
        <v>81.223338326996725</v>
      </c>
      <c r="BB549" s="428">
        <f t="shared" si="799"/>
        <v>324.8933533079869</v>
      </c>
      <c r="BC549" s="758">
        <f t="shared" si="799"/>
        <v>82.847805093536664</v>
      </c>
      <c r="BD549" s="660">
        <f t="shared" si="799"/>
        <v>82.847805093536664</v>
      </c>
      <c r="BE549" s="660">
        <f t="shared" si="799"/>
        <v>82.847805093536664</v>
      </c>
      <c r="BF549" s="661">
        <f t="shared" si="799"/>
        <v>82.847805093536664</v>
      </c>
      <c r="BG549" s="428">
        <f t="shared" si="799"/>
        <v>331.39122037414666</v>
      </c>
      <c r="BH549" s="758">
        <f t="shared" si="799"/>
        <v>84.504761195407411</v>
      </c>
      <c r="BI549" s="660">
        <f t="shared" si="799"/>
        <v>84.504761195407411</v>
      </c>
      <c r="BJ549" s="660">
        <f t="shared" si="799"/>
        <v>84.504761195407411</v>
      </c>
      <c r="BK549" s="661">
        <f t="shared" si="799"/>
        <v>84.504761195407411</v>
      </c>
      <c r="BL549" s="428">
        <f t="shared" si="799"/>
        <v>338.01904478162965</v>
      </c>
      <c r="BM549" s="758">
        <f t="shared" ref="BM549:BQ549" si="801">+BM564+BM576+BM588</f>
        <v>86.194856419315542</v>
      </c>
      <c r="BN549" s="660">
        <f t="shared" si="801"/>
        <v>86.194856419315542</v>
      </c>
      <c r="BO549" s="660">
        <f t="shared" si="801"/>
        <v>86.194856419315542</v>
      </c>
      <c r="BP549" s="661">
        <f t="shared" si="801"/>
        <v>86.194856419315542</v>
      </c>
      <c r="BQ549" s="428">
        <f t="shared" si="801"/>
        <v>344.77942567726217</v>
      </c>
      <c r="BR549" s="40"/>
      <c r="BS549" s="40"/>
      <c r="BT549" s="40"/>
      <c r="CN549" s="951"/>
      <c r="CO549" s="951"/>
      <c r="CP549" s="951"/>
      <c r="CQ549" s="951"/>
      <c r="CR549" s="951"/>
      <c r="CS549" s="951"/>
      <c r="CW549" s="232"/>
      <c r="CX549" s="232"/>
      <c r="CY549" s="232"/>
      <c r="CZ549" s="40"/>
      <c r="DA549" s="40"/>
      <c r="DB549" s="40"/>
      <c r="DC549" s="40"/>
      <c r="DD549" s="40"/>
      <c r="DE549" s="40"/>
      <c r="DF549" s="232"/>
      <c r="DG549" s="232"/>
      <c r="DH549" s="232"/>
      <c r="DI549" s="232"/>
      <c r="DJ549" s="232"/>
      <c r="DK549" s="232"/>
      <c r="DL549" s="232"/>
      <c r="DM549" s="232"/>
      <c r="DN549" s="232"/>
    </row>
    <row r="550" spans="1:118">
      <c r="A550" s="40"/>
      <c r="B550" s="1"/>
      <c r="C550" s="28" t="s">
        <v>278</v>
      </c>
      <c r="D550" s="1"/>
      <c r="E550" s="273"/>
      <c r="F550" s="3"/>
      <c r="G550" s="3"/>
      <c r="H550" s="274"/>
      <c r="I550" s="28"/>
      <c r="J550" s="273"/>
      <c r="K550" s="3"/>
      <c r="L550" s="3"/>
      <c r="M550" s="274"/>
      <c r="N550" s="1"/>
      <c r="O550" s="273"/>
      <c r="P550" s="3"/>
      <c r="Q550" s="3"/>
      <c r="R550" s="274"/>
      <c r="S550" s="1"/>
      <c r="T550" s="758"/>
      <c r="U550" s="660"/>
      <c r="V550" s="660"/>
      <c r="W550" s="661"/>
      <c r="X550" s="428"/>
      <c r="Y550" s="758">
        <f t="shared" si="798"/>
        <v>0</v>
      </c>
      <c r="Z550" s="660">
        <f t="shared" si="798"/>
        <v>0</v>
      </c>
      <c r="AA550" s="660">
        <f t="shared" si="798"/>
        <v>0</v>
      </c>
      <c r="AB550" s="661">
        <f t="shared" si="798"/>
        <v>0</v>
      </c>
      <c r="AC550" s="428">
        <f t="shared" si="798"/>
        <v>0</v>
      </c>
      <c r="AD550" s="758">
        <f t="shared" ref="AD550:AR550" si="802">+AD565+AD577+AD589</f>
        <v>0</v>
      </c>
      <c r="AE550" s="660">
        <f t="shared" si="802"/>
        <v>0</v>
      </c>
      <c r="AF550" s="660">
        <f t="shared" si="802"/>
        <v>0</v>
      </c>
      <c r="AG550" s="661">
        <f t="shared" si="802"/>
        <v>0</v>
      </c>
      <c r="AH550" s="428">
        <f t="shared" si="802"/>
        <v>0</v>
      </c>
      <c r="AI550" s="758">
        <f t="shared" si="802"/>
        <v>0</v>
      </c>
      <c r="AJ550" s="660">
        <f t="shared" si="802"/>
        <v>0</v>
      </c>
      <c r="AK550" s="660">
        <f t="shared" si="802"/>
        <v>0</v>
      </c>
      <c r="AL550" s="661">
        <f t="shared" si="802"/>
        <v>0</v>
      </c>
      <c r="AM550" s="428">
        <f t="shared" si="802"/>
        <v>0</v>
      </c>
      <c r="AN550" s="758">
        <f t="shared" si="802"/>
        <v>0</v>
      </c>
      <c r="AO550" s="660">
        <f t="shared" si="802"/>
        <v>0</v>
      </c>
      <c r="AP550" s="660">
        <f t="shared" si="802"/>
        <v>0</v>
      </c>
      <c r="AQ550" s="661">
        <f t="shared" si="802"/>
        <v>0</v>
      </c>
      <c r="AR550" s="428">
        <f t="shared" si="802"/>
        <v>0</v>
      </c>
      <c r="AS550" s="758">
        <f t="shared" si="799"/>
        <v>0</v>
      </c>
      <c r="AT550" s="660">
        <f t="shared" si="799"/>
        <v>0</v>
      </c>
      <c r="AU550" s="660">
        <f t="shared" ref="AU550" si="803">+AU565+AU577+AU589</f>
        <v>0</v>
      </c>
      <c r="AV550" s="661">
        <f t="shared" si="799"/>
        <v>0</v>
      </c>
      <c r="AW550" s="428">
        <f t="shared" si="799"/>
        <v>0</v>
      </c>
      <c r="AX550" s="758">
        <f t="shared" si="799"/>
        <v>0</v>
      </c>
      <c r="AY550" s="660">
        <f t="shared" si="799"/>
        <v>0</v>
      </c>
      <c r="AZ550" s="660">
        <f t="shared" si="799"/>
        <v>0</v>
      </c>
      <c r="BA550" s="661">
        <f t="shared" si="799"/>
        <v>0</v>
      </c>
      <c r="BB550" s="428">
        <f t="shared" si="799"/>
        <v>0</v>
      </c>
      <c r="BC550" s="758">
        <f t="shared" si="799"/>
        <v>0</v>
      </c>
      <c r="BD550" s="660">
        <f t="shared" si="799"/>
        <v>0</v>
      </c>
      <c r="BE550" s="660">
        <f t="shared" si="799"/>
        <v>0</v>
      </c>
      <c r="BF550" s="661">
        <f t="shared" si="799"/>
        <v>0</v>
      </c>
      <c r="BG550" s="428">
        <f t="shared" si="799"/>
        <v>0</v>
      </c>
      <c r="BH550" s="758">
        <f t="shared" si="799"/>
        <v>0</v>
      </c>
      <c r="BI550" s="660">
        <f t="shared" si="799"/>
        <v>0</v>
      </c>
      <c r="BJ550" s="660">
        <f t="shared" si="799"/>
        <v>0</v>
      </c>
      <c r="BK550" s="661">
        <f t="shared" si="799"/>
        <v>0</v>
      </c>
      <c r="BL550" s="428">
        <f t="shared" si="799"/>
        <v>0</v>
      </c>
      <c r="BM550" s="758">
        <f t="shared" ref="BM550:BQ550" si="804">+BM565+BM577+BM589</f>
        <v>0</v>
      </c>
      <c r="BN550" s="660">
        <f t="shared" si="804"/>
        <v>0</v>
      </c>
      <c r="BO550" s="660">
        <f t="shared" si="804"/>
        <v>0</v>
      </c>
      <c r="BP550" s="661">
        <f t="shared" si="804"/>
        <v>0</v>
      </c>
      <c r="BQ550" s="428">
        <f t="shared" si="804"/>
        <v>0</v>
      </c>
      <c r="BR550" s="40"/>
      <c r="BS550" s="40"/>
      <c r="BT550" s="40"/>
      <c r="CN550" s="951"/>
      <c r="CO550" s="951"/>
      <c r="CP550" s="951"/>
      <c r="CQ550" s="951"/>
      <c r="CR550" s="951"/>
      <c r="CS550" s="951"/>
      <c r="CW550" s="232"/>
      <c r="CX550" s="232"/>
      <c r="CY550" s="232"/>
      <c r="CZ550" s="40"/>
      <c r="DA550" s="40"/>
      <c r="DB550" s="40"/>
      <c r="DC550" s="40"/>
      <c r="DD550" s="40"/>
      <c r="DE550" s="40"/>
      <c r="DF550" s="232"/>
      <c r="DG550" s="232"/>
      <c r="DH550" s="232"/>
      <c r="DI550" s="232"/>
      <c r="DJ550" s="232"/>
      <c r="DK550" s="232"/>
      <c r="DL550" s="232"/>
      <c r="DM550" s="232"/>
      <c r="DN550" s="232"/>
    </row>
    <row r="551" spans="1:118">
      <c r="A551" s="40"/>
      <c r="B551" s="1"/>
      <c r="C551" s="32" t="s">
        <v>199</v>
      </c>
      <c r="D551" s="32"/>
      <c r="E551" s="489"/>
      <c r="F551" s="342"/>
      <c r="G551" s="342"/>
      <c r="H551" s="490"/>
      <c r="I551" s="28"/>
      <c r="J551" s="489"/>
      <c r="K551" s="342"/>
      <c r="L551" s="342"/>
      <c r="M551" s="490"/>
      <c r="N551" s="32"/>
      <c r="O551" s="489"/>
      <c r="P551" s="342"/>
      <c r="Q551" s="342"/>
      <c r="R551" s="490"/>
      <c r="S551" s="32"/>
      <c r="T551" s="292"/>
      <c r="U551" s="261"/>
      <c r="V551" s="261"/>
      <c r="W551" s="293"/>
      <c r="X551" s="228"/>
      <c r="Y551" s="292">
        <f>Y549-Y550</f>
        <v>61.986854999999998</v>
      </c>
      <c r="Z551" s="261">
        <f>Z549-Z550</f>
        <v>61.986854999999998</v>
      </c>
      <c r="AA551" s="261">
        <f>AA549-AA550</f>
        <v>61.986854999999998</v>
      </c>
      <c r="AB551" s="293">
        <f>AB549-AB550</f>
        <v>61.986854999999998</v>
      </c>
      <c r="AC551" s="228">
        <f>AC549-AC550</f>
        <v>247.94741999999999</v>
      </c>
      <c r="AD551" s="292">
        <f t="shared" ref="AD551:BL551" si="805">AD549-AD550</f>
        <v>63.226592099999998</v>
      </c>
      <c r="AE551" s="261">
        <f>AE549-AE550</f>
        <v>63.226592099999998</v>
      </c>
      <c r="AF551" s="261">
        <f t="shared" si="805"/>
        <v>63.226592099999998</v>
      </c>
      <c r="AG551" s="293">
        <f t="shared" si="805"/>
        <v>63.226592099999998</v>
      </c>
      <c r="AH551" s="228">
        <f t="shared" si="805"/>
        <v>252.90636839999999</v>
      </c>
      <c r="AI551" s="292">
        <f t="shared" si="805"/>
        <v>64.491123942000002</v>
      </c>
      <c r="AJ551" s="261">
        <f t="shared" si="805"/>
        <v>64.491123942000002</v>
      </c>
      <c r="AK551" s="261">
        <f t="shared" si="805"/>
        <v>64.491123942000002</v>
      </c>
      <c r="AL551" s="293">
        <f t="shared" si="805"/>
        <v>64.491123942000002</v>
      </c>
      <c r="AM551" s="228">
        <f t="shared" si="805"/>
        <v>257.96449576800001</v>
      </c>
      <c r="AN551" s="292">
        <f t="shared" si="805"/>
        <v>65.780946420839996</v>
      </c>
      <c r="AO551" s="261">
        <f t="shared" si="805"/>
        <v>65.780946420839996</v>
      </c>
      <c r="AP551" s="261">
        <f t="shared" si="805"/>
        <v>65.780946420839996</v>
      </c>
      <c r="AQ551" s="293">
        <f t="shared" si="805"/>
        <v>75.745291587840001</v>
      </c>
      <c r="AR551" s="228">
        <f t="shared" si="805"/>
        <v>273.08813085036002</v>
      </c>
      <c r="AS551" s="292">
        <f t="shared" si="805"/>
        <v>77.260197419596778</v>
      </c>
      <c r="AT551" s="261">
        <f t="shared" si="805"/>
        <v>77.260197419596778</v>
      </c>
      <c r="AU551" s="261">
        <f t="shared" ref="AU551" si="806">AU549-AU550</f>
        <v>79.630723849996784</v>
      </c>
      <c r="AV551" s="293">
        <f t="shared" si="805"/>
        <v>79.630723849996784</v>
      </c>
      <c r="AW551" s="228">
        <f t="shared" si="805"/>
        <v>313.78184253918715</v>
      </c>
      <c r="AX551" s="292">
        <f t="shared" si="805"/>
        <v>81.223338326996725</v>
      </c>
      <c r="AY551" s="261">
        <f t="shared" si="805"/>
        <v>81.223338326996725</v>
      </c>
      <c r="AZ551" s="261">
        <f t="shared" si="805"/>
        <v>81.223338326996725</v>
      </c>
      <c r="BA551" s="293">
        <f t="shared" si="805"/>
        <v>81.223338326996725</v>
      </c>
      <c r="BB551" s="228">
        <f t="shared" si="805"/>
        <v>324.8933533079869</v>
      </c>
      <c r="BC551" s="292">
        <f t="shared" si="805"/>
        <v>82.847805093536664</v>
      </c>
      <c r="BD551" s="261">
        <f t="shared" si="805"/>
        <v>82.847805093536664</v>
      </c>
      <c r="BE551" s="261">
        <f t="shared" si="805"/>
        <v>82.847805093536664</v>
      </c>
      <c r="BF551" s="293">
        <f t="shared" si="805"/>
        <v>82.847805093536664</v>
      </c>
      <c r="BG551" s="228">
        <f t="shared" si="805"/>
        <v>331.39122037414666</v>
      </c>
      <c r="BH551" s="292">
        <f t="shared" si="805"/>
        <v>84.504761195407411</v>
      </c>
      <c r="BI551" s="261">
        <f t="shared" si="805"/>
        <v>84.504761195407411</v>
      </c>
      <c r="BJ551" s="261">
        <f t="shared" si="805"/>
        <v>84.504761195407411</v>
      </c>
      <c r="BK551" s="293">
        <f t="shared" si="805"/>
        <v>84.504761195407411</v>
      </c>
      <c r="BL551" s="228">
        <f t="shared" si="805"/>
        <v>338.01904478162965</v>
      </c>
      <c r="BM551" s="292">
        <f t="shared" ref="BM551:BQ551" si="807">BM549-BM550</f>
        <v>86.194856419315542</v>
      </c>
      <c r="BN551" s="261">
        <f t="shared" si="807"/>
        <v>86.194856419315542</v>
      </c>
      <c r="BO551" s="261">
        <f t="shared" si="807"/>
        <v>86.194856419315542</v>
      </c>
      <c r="BP551" s="293">
        <f t="shared" si="807"/>
        <v>86.194856419315542</v>
      </c>
      <c r="BQ551" s="228">
        <f t="shared" si="807"/>
        <v>344.77942567726217</v>
      </c>
      <c r="BR551" s="40"/>
      <c r="BS551" s="40"/>
      <c r="BT551" s="40"/>
      <c r="CN551" s="951"/>
      <c r="CO551" s="951"/>
      <c r="CP551" s="951"/>
      <c r="CQ551" s="951"/>
      <c r="CR551" s="951"/>
      <c r="CS551" s="951"/>
      <c r="CW551" s="232"/>
      <c r="CX551" s="232"/>
      <c r="CY551" s="232"/>
      <c r="CZ551" s="40"/>
      <c r="DA551" s="40"/>
      <c r="DB551" s="40"/>
      <c r="DC551" s="40"/>
      <c r="DD551" s="40"/>
      <c r="DE551" s="40"/>
      <c r="DF551" s="232"/>
      <c r="DG551" s="232"/>
      <c r="DH551" s="232"/>
      <c r="DI551" s="232"/>
      <c r="DJ551" s="232"/>
      <c r="DK551" s="232"/>
      <c r="DL551" s="232"/>
      <c r="DM551" s="232"/>
      <c r="DN551" s="232"/>
    </row>
    <row r="552" spans="1:118">
      <c r="A552" s="40"/>
      <c r="B552" s="1"/>
      <c r="C552" s="1"/>
      <c r="D552" s="1"/>
      <c r="E552" s="273"/>
      <c r="F552" s="3"/>
      <c r="G552" s="3"/>
      <c r="H552" s="274"/>
      <c r="I552" s="28"/>
      <c r="J552" s="273"/>
      <c r="K552" s="3"/>
      <c r="L552" s="3"/>
      <c r="M552" s="274"/>
      <c r="N552" s="1"/>
      <c r="O552" s="273"/>
      <c r="P552" s="3"/>
      <c r="Q552" s="3"/>
      <c r="R552" s="274"/>
      <c r="S552" s="1"/>
      <c r="T552" s="273"/>
      <c r="U552" s="3"/>
      <c r="V552" s="3"/>
      <c r="W552" s="274"/>
      <c r="X552" s="1"/>
      <c r="Y552" s="273"/>
      <c r="Z552" s="3"/>
      <c r="AA552" s="3"/>
      <c r="AB552" s="274"/>
      <c r="AC552" s="1"/>
      <c r="AD552" s="273"/>
      <c r="AE552" s="3"/>
      <c r="AF552" s="3"/>
      <c r="AG552" s="274"/>
      <c r="AH552" s="1"/>
      <c r="AI552" s="273"/>
      <c r="AJ552" s="3"/>
      <c r="AK552" s="3"/>
      <c r="AL552" s="274"/>
      <c r="AM552" s="1"/>
      <c r="AN552" s="273"/>
      <c r="AO552" s="3"/>
      <c r="AP552" s="3"/>
      <c r="AQ552" s="274"/>
      <c r="AR552" s="1"/>
      <c r="AS552" s="273"/>
      <c r="AT552" s="3"/>
      <c r="AU552" s="3"/>
      <c r="AV552" s="274"/>
      <c r="AW552" s="1"/>
      <c r="AX552" s="273"/>
      <c r="AY552" s="3"/>
      <c r="AZ552" s="3"/>
      <c r="BA552" s="274"/>
      <c r="BB552" s="1"/>
      <c r="BC552" s="273"/>
      <c r="BD552" s="3"/>
      <c r="BE552" s="3"/>
      <c r="BF552" s="274"/>
      <c r="BG552" s="1"/>
      <c r="BH552" s="273"/>
      <c r="BI552" s="3"/>
      <c r="BJ552" s="3"/>
      <c r="BK552" s="274"/>
      <c r="BL552" s="1"/>
      <c r="BM552" s="273"/>
      <c r="BN552" s="3"/>
      <c r="BO552" s="3"/>
      <c r="BP552" s="274"/>
      <c r="BQ552" s="1"/>
      <c r="BR552" s="40"/>
      <c r="BS552" s="40"/>
      <c r="BT552" s="40"/>
      <c r="CN552" s="951"/>
      <c r="CO552" s="951"/>
      <c r="CP552" s="951"/>
      <c r="CQ552" s="951"/>
      <c r="CR552" s="951"/>
      <c r="CS552" s="951"/>
      <c r="CW552" s="232"/>
      <c r="CX552" s="232"/>
      <c r="CY552" s="232"/>
      <c r="CZ552" s="40"/>
      <c r="DA552" s="40"/>
      <c r="DB552" s="40"/>
      <c r="DC552" s="40"/>
      <c r="DD552" s="40"/>
      <c r="DE552" s="40"/>
      <c r="DF552" s="232"/>
      <c r="DG552" s="232"/>
      <c r="DH552" s="232"/>
      <c r="DI552" s="232"/>
      <c r="DJ552" s="232"/>
      <c r="DK552" s="232"/>
      <c r="DL552" s="232"/>
      <c r="DM552" s="232"/>
      <c r="DN552" s="232"/>
    </row>
    <row r="553" spans="1:118" s="34" customFormat="1">
      <c r="A553" s="40"/>
      <c r="B553" s="28"/>
      <c r="C553" s="28" t="s">
        <v>853</v>
      </c>
      <c r="D553" s="28"/>
      <c r="E553" s="290"/>
      <c r="F553" s="260"/>
      <c r="G553" s="260"/>
      <c r="H553" s="291"/>
      <c r="I553" s="28"/>
      <c r="J553" s="290"/>
      <c r="K553" s="260"/>
      <c r="L553" s="260"/>
      <c r="M553" s="291"/>
      <c r="N553" s="45"/>
      <c r="O553" s="290"/>
      <c r="P553" s="260"/>
      <c r="Q553" s="260"/>
      <c r="R553" s="291"/>
      <c r="S553" s="45"/>
      <c r="T553" s="758"/>
      <c r="U553" s="260"/>
      <c r="V553" s="260"/>
      <c r="W553" s="291"/>
      <c r="X553" s="45"/>
      <c r="Y553" s="290">
        <f>+Y559+Y571+Y583</f>
        <v>1732</v>
      </c>
      <c r="Z553" s="260">
        <f>+Z559+Z571+Z583</f>
        <v>1732</v>
      </c>
      <c r="AA553" s="260">
        <f>+AA559+AA571+AA583</f>
        <v>1732</v>
      </c>
      <c r="AB553" s="291">
        <f>+AB559+AB571+AB583</f>
        <v>1732</v>
      </c>
      <c r="AC553" s="45">
        <f>+AC559+AC571+AC583</f>
        <v>1732</v>
      </c>
      <c r="AD553" s="290">
        <f t="shared" ref="AD553:BL553" si="808">+AD559+AD571+AD583</f>
        <v>1732</v>
      </c>
      <c r="AE553" s="260">
        <f>+AE559+AE571+AE583</f>
        <v>1732</v>
      </c>
      <c r="AF553" s="260">
        <f t="shared" si="808"/>
        <v>1732</v>
      </c>
      <c r="AG553" s="291">
        <f t="shared" si="808"/>
        <v>1732</v>
      </c>
      <c r="AH553" s="45">
        <f t="shared" si="808"/>
        <v>1732</v>
      </c>
      <c r="AI553" s="290">
        <f t="shared" si="808"/>
        <v>1732</v>
      </c>
      <c r="AJ553" s="260">
        <f t="shared" si="808"/>
        <v>1732</v>
      </c>
      <c r="AK553" s="260">
        <f t="shared" si="808"/>
        <v>1732</v>
      </c>
      <c r="AL553" s="291">
        <f t="shared" si="808"/>
        <v>1732</v>
      </c>
      <c r="AM553" s="45">
        <f t="shared" si="808"/>
        <v>1732</v>
      </c>
      <c r="AN553" s="290">
        <f t="shared" si="808"/>
        <v>1732</v>
      </c>
      <c r="AO553" s="260">
        <f t="shared" si="808"/>
        <v>1732</v>
      </c>
      <c r="AP553" s="260">
        <f t="shared" si="808"/>
        <v>1732</v>
      </c>
      <c r="AQ553" s="291">
        <f t="shared" si="808"/>
        <v>2082</v>
      </c>
      <c r="AR553" s="45">
        <f t="shared" si="808"/>
        <v>2082</v>
      </c>
      <c r="AS553" s="290">
        <f t="shared" si="808"/>
        <v>2082</v>
      </c>
      <c r="AT553" s="260">
        <f t="shared" si="808"/>
        <v>2082</v>
      </c>
      <c r="AU553" s="260">
        <f t="shared" ref="AU553" si="809">+AU559+AU571+AU583</f>
        <v>2132</v>
      </c>
      <c r="AV553" s="291">
        <f t="shared" si="808"/>
        <v>2132</v>
      </c>
      <c r="AW553" s="45">
        <f t="shared" si="808"/>
        <v>2132</v>
      </c>
      <c r="AX553" s="290">
        <f t="shared" si="808"/>
        <v>2132</v>
      </c>
      <c r="AY553" s="260">
        <f t="shared" si="808"/>
        <v>2132</v>
      </c>
      <c r="AZ553" s="260">
        <f t="shared" si="808"/>
        <v>2132</v>
      </c>
      <c r="BA553" s="291">
        <f t="shared" si="808"/>
        <v>2132</v>
      </c>
      <c r="BB553" s="45">
        <f t="shared" si="808"/>
        <v>2132</v>
      </c>
      <c r="BC553" s="290">
        <f t="shared" si="808"/>
        <v>2132</v>
      </c>
      <c r="BD553" s="260">
        <f t="shared" si="808"/>
        <v>2132</v>
      </c>
      <c r="BE553" s="260">
        <f t="shared" si="808"/>
        <v>2132</v>
      </c>
      <c r="BF553" s="291">
        <f t="shared" si="808"/>
        <v>2132</v>
      </c>
      <c r="BG553" s="45">
        <f t="shared" si="808"/>
        <v>2132</v>
      </c>
      <c r="BH553" s="290">
        <f t="shared" si="808"/>
        <v>2132</v>
      </c>
      <c r="BI553" s="260">
        <f t="shared" si="808"/>
        <v>2132</v>
      </c>
      <c r="BJ553" s="260">
        <f t="shared" si="808"/>
        <v>2132</v>
      </c>
      <c r="BK553" s="291">
        <f t="shared" si="808"/>
        <v>2132</v>
      </c>
      <c r="BL553" s="45">
        <f t="shared" si="808"/>
        <v>2132</v>
      </c>
      <c r="BM553" s="290">
        <f t="shared" ref="BM553:BQ553" si="810">+BM559+BM571+BM583</f>
        <v>2132</v>
      </c>
      <c r="BN553" s="260">
        <f t="shared" si="810"/>
        <v>2132</v>
      </c>
      <c r="BO553" s="260">
        <f t="shared" si="810"/>
        <v>2132</v>
      </c>
      <c r="BP553" s="291">
        <f t="shared" si="810"/>
        <v>2132</v>
      </c>
      <c r="BQ553" s="45">
        <f t="shared" si="810"/>
        <v>2132</v>
      </c>
      <c r="BR553" s="40"/>
      <c r="BS553" s="40"/>
      <c r="BT553" s="156"/>
      <c r="BU553"/>
      <c r="BV553"/>
      <c r="BW553"/>
      <c r="BX553"/>
      <c r="BY553"/>
      <c r="BZ553"/>
      <c r="CA553"/>
      <c r="CB553"/>
      <c r="CC553"/>
      <c r="CD553"/>
      <c r="CE553"/>
      <c r="CF553"/>
      <c r="CN553" s="951"/>
      <c r="CO553" s="951"/>
      <c r="CP553" s="951"/>
      <c r="CQ553" s="951"/>
      <c r="CR553" s="951"/>
      <c r="CS553" s="951"/>
      <c r="CZ553" s="156"/>
      <c r="DA553" s="156"/>
      <c r="DB553" s="156"/>
      <c r="DC553" s="156"/>
      <c r="DD553" s="156"/>
      <c r="DE553" s="156"/>
    </row>
    <row r="554" spans="1:118">
      <c r="A554" s="40"/>
      <c r="B554" s="28"/>
      <c r="C554" s="28" t="s">
        <v>198</v>
      </c>
      <c r="D554" s="28"/>
      <c r="E554" s="305"/>
      <c r="F554" s="36"/>
      <c r="G554" s="36"/>
      <c r="H554" s="685"/>
      <c r="I554" s="28"/>
      <c r="J554" s="305"/>
      <c r="K554" s="36"/>
      <c r="L554" s="36"/>
      <c r="M554" s="685"/>
      <c r="N554" s="995"/>
      <c r="O554" s="305"/>
      <c r="P554" s="36"/>
      <c r="Q554" s="36"/>
      <c r="R554" s="685"/>
      <c r="S554" s="28"/>
      <c r="T554" s="308"/>
      <c r="U554" s="244"/>
      <c r="V554" s="244"/>
      <c r="W554" s="309"/>
      <c r="X554" s="24"/>
      <c r="Y554" s="308">
        <f>+Y562+Y574+Y586</f>
        <v>1305.6779999999999</v>
      </c>
      <c r="Z554" s="244">
        <f>+Z562+Z574+Z586</f>
        <v>1305.6779999999999</v>
      </c>
      <c r="AA554" s="244">
        <f>+AA562+AA574+AA586</f>
        <v>1305.6779999999999</v>
      </c>
      <c r="AB554" s="309">
        <f>+AB562+AB574+AB586</f>
        <v>1305.6779999999999</v>
      </c>
      <c r="AC554" s="24">
        <f>+AC562+AC574+AC586</f>
        <v>5222.7119999999995</v>
      </c>
      <c r="AD554" s="308">
        <f t="shared" ref="AD554:BL554" si="811">+AD562+AD574+AD586</f>
        <v>1305.6779999999999</v>
      </c>
      <c r="AE554" s="244">
        <f>+AE562+AE574+AE586</f>
        <v>1305.6779999999999</v>
      </c>
      <c r="AF554" s="244">
        <f t="shared" si="811"/>
        <v>1305.6779999999999</v>
      </c>
      <c r="AG554" s="309">
        <f t="shared" si="811"/>
        <v>1305.6779999999999</v>
      </c>
      <c r="AH554" s="24">
        <f t="shared" si="811"/>
        <v>5222.7119999999995</v>
      </c>
      <c r="AI554" s="308">
        <f t="shared" si="811"/>
        <v>1305.6779999999999</v>
      </c>
      <c r="AJ554" s="244">
        <f t="shared" si="811"/>
        <v>1305.6779999999999</v>
      </c>
      <c r="AK554" s="244">
        <f t="shared" si="811"/>
        <v>1305.6779999999999</v>
      </c>
      <c r="AL554" s="309">
        <f t="shared" si="811"/>
        <v>1305.6779999999999</v>
      </c>
      <c r="AM554" s="24">
        <f t="shared" si="811"/>
        <v>5222.7119999999995</v>
      </c>
      <c r="AN554" s="308">
        <f t="shared" si="811"/>
        <v>1305.6779999999999</v>
      </c>
      <c r="AO554" s="244">
        <f t="shared" si="811"/>
        <v>1305.6779999999999</v>
      </c>
      <c r="AP554" s="244">
        <f t="shared" si="811"/>
        <v>1305.6779999999999</v>
      </c>
      <c r="AQ554" s="309">
        <f t="shared" si="811"/>
        <v>1573.9529999999997</v>
      </c>
      <c r="AR554" s="24">
        <f t="shared" si="811"/>
        <v>5490.9869999999992</v>
      </c>
      <c r="AS554" s="308">
        <f t="shared" si="811"/>
        <v>1573.9529999999995</v>
      </c>
      <c r="AT554" s="244">
        <f t="shared" si="811"/>
        <v>1573.9529999999995</v>
      </c>
      <c r="AU554" s="244">
        <f t="shared" ref="AU554" si="812">+AU562+AU574+AU586</f>
        <v>1628.7029999999995</v>
      </c>
      <c r="AV554" s="309">
        <f t="shared" si="811"/>
        <v>1628.7029999999995</v>
      </c>
      <c r="AW554" s="24">
        <f t="shared" si="811"/>
        <v>6405.3119999999981</v>
      </c>
      <c r="AX554" s="308">
        <f t="shared" si="811"/>
        <v>1628.7029999999995</v>
      </c>
      <c r="AY554" s="244">
        <f t="shared" si="811"/>
        <v>1628.7029999999995</v>
      </c>
      <c r="AZ554" s="244">
        <f t="shared" si="811"/>
        <v>1628.7029999999995</v>
      </c>
      <c r="BA554" s="309">
        <f t="shared" si="811"/>
        <v>1628.7029999999995</v>
      </c>
      <c r="BB554" s="24">
        <f t="shared" si="811"/>
        <v>6514.8119999999981</v>
      </c>
      <c r="BC554" s="308">
        <f t="shared" si="811"/>
        <v>1628.7029999999995</v>
      </c>
      <c r="BD554" s="244">
        <f t="shared" si="811"/>
        <v>1628.7029999999995</v>
      </c>
      <c r="BE554" s="244">
        <f t="shared" si="811"/>
        <v>1628.7029999999995</v>
      </c>
      <c r="BF554" s="309">
        <f t="shared" si="811"/>
        <v>1628.7029999999995</v>
      </c>
      <c r="BG554" s="24">
        <f t="shared" si="811"/>
        <v>6514.8119999999981</v>
      </c>
      <c r="BH554" s="308">
        <f t="shared" si="811"/>
        <v>1628.7029999999995</v>
      </c>
      <c r="BI554" s="244">
        <f t="shared" si="811"/>
        <v>1628.7029999999995</v>
      </c>
      <c r="BJ554" s="244">
        <f t="shared" si="811"/>
        <v>1628.7029999999995</v>
      </c>
      <c r="BK554" s="309">
        <f t="shared" si="811"/>
        <v>1628.7029999999995</v>
      </c>
      <c r="BL554" s="24">
        <f t="shared" si="811"/>
        <v>6514.8119999999981</v>
      </c>
      <c r="BM554" s="308">
        <f t="shared" ref="BM554:BQ554" si="813">+BM562+BM574+BM586</f>
        <v>1628.7029999999995</v>
      </c>
      <c r="BN554" s="244">
        <f t="shared" si="813"/>
        <v>1628.7029999999995</v>
      </c>
      <c r="BO554" s="244">
        <f t="shared" si="813"/>
        <v>1628.7029999999995</v>
      </c>
      <c r="BP554" s="309">
        <f t="shared" si="813"/>
        <v>1628.7029999999995</v>
      </c>
      <c r="BQ554" s="24">
        <f t="shared" si="813"/>
        <v>6514.8119999999981</v>
      </c>
      <c r="BR554" s="40"/>
      <c r="BS554" s="40"/>
      <c r="BT554" s="40"/>
      <c r="CN554" s="951"/>
      <c r="CO554" s="951"/>
      <c r="CP554" s="951"/>
      <c r="CQ554" s="951"/>
      <c r="CR554" s="951"/>
      <c r="CS554" s="951"/>
      <c r="CW554" s="232"/>
      <c r="CX554" s="232"/>
      <c r="CY554" s="232"/>
      <c r="CZ554" s="40"/>
      <c r="DA554" s="40"/>
      <c r="DB554" s="40"/>
      <c r="DC554" s="40"/>
      <c r="DD554" s="40"/>
      <c r="DE554" s="40"/>
      <c r="DF554" s="232"/>
      <c r="DG554" s="232"/>
      <c r="DH554" s="232"/>
      <c r="DI554" s="232"/>
      <c r="DJ554" s="232"/>
      <c r="DK554" s="232"/>
      <c r="DL554" s="232"/>
      <c r="DM554" s="232"/>
      <c r="DN554" s="232"/>
    </row>
    <row r="555" spans="1:118">
      <c r="A555" s="40"/>
      <c r="B555" s="1"/>
      <c r="C555" s="28" t="s">
        <v>854</v>
      </c>
      <c r="D555" s="1"/>
      <c r="E555" s="273"/>
      <c r="F555" s="3"/>
      <c r="G555" s="3"/>
      <c r="H555" s="274"/>
      <c r="I555" s="28"/>
      <c r="J555" s="273"/>
      <c r="K555" s="3"/>
      <c r="L555" s="3"/>
      <c r="M555" s="274"/>
      <c r="N555" s="1"/>
      <c r="O555" s="273"/>
      <c r="P555" s="3"/>
      <c r="Q555" s="3"/>
      <c r="R555" s="274"/>
      <c r="S555" s="1"/>
      <c r="T555" s="277"/>
      <c r="U555" s="253"/>
      <c r="V555" s="253"/>
      <c r="W555" s="278"/>
      <c r="X555" s="765"/>
      <c r="Y555" s="277">
        <f>Y554/(Y553*8.76/4)</f>
        <v>0.3442263279445727</v>
      </c>
      <c r="Z555" s="253">
        <f>Z554/(Z553*8.76/4)</f>
        <v>0.3442263279445727</v>
      </c>
      <c r="AA555" s="253">
        <f>AA554/(AA553*8.76/4)</f>
        <v>0.3442263279445727</v>
      </c>
      <c r="AB555" s="278">
        <f>AB554/(AB553*8.76/4)</f>
        <v>0.3442263279445727</v>
      </c>
      <c r="AC555" s="765">
        <f>AC554/(AC553*8.76)</f>
        <v>0.3442263279445727</v>
      </c>
      <c r="AD555" s="277">
        <f t="shared" ref="AD555:AQ555" si="814">AD554/(AD553*8.76/4)</f>
        <v>0.3442263279445727</v>
      </c>
      <c r="AE555" s="253">
        <f>AE554/(AE553*8.76/4)</f>
        <v>0.3442263279445727</v>
      </c>
      <c r="AF555" s="253">
        <f t="shared" si="814"/>
        <v>0.3442263279445727</v>
      </c>
      <c r="AG555" s="278">
        <f t="shared" si="814"/>
        <v>0.3442263279445727</v>
      </c>
      <c r="AH555" s="765">
        <f>AH554/(AH553*8.76)</f>
        <v>0.3442263279445727</v>
      </c>
      <c r="AI555" s="277">
        <f t="shared" si="814"/>
        <v>0.3442263279445727</v>
      </c>
      <c r="AJ555" s="253">
        <f t="shared" si="814"/>
        <v>0.3442263279445727</v>
      </c>
      <c r="AK555" s="253">
        <f t="shared" si="814"/>
        <v>0.3442263279445727</v>
      </c>
      <c r="AL555" s="278">
        <f t="shared" si="814"/>
        <v>0.3442263279445727</v>
      </c>
      <c r="AM555" s="765">
        <f>AM554/(AM553*8.76)</f>
        <v>0.3442263279445727</v>
      </c>
      <c r="AN555" s="277">
        <f t="shared" si="814"/>
        <v>0.3442263279445727</v>
      </c>
      <c r="AO555" s="253">
        <f t="shared" si="814"/>
        <v>0.3442263279445727</v>
      </c>
      <c r="AP555" s="253">
        <f t="shared" si="814"/>
        <v>0.3442263279445727</v>
      </c>
      <c r="AQ555" s="278">
        <f t="shared" si="814"/>
        <v>0.34519692603266083</v>
      </c>
      <c r="AR555" s="765">
        <f>AR554/(AR553*8.76)</f>
        <v>0.3010686839577329</v>
      </c>
      <c r="AS555" s="277">
        <f>AS554/(AS553*8.76/4)</f>
        <v>0.34519692603266078</v>
      </c>
      <c r="AT555" s="253">
        <f>AT554/(AT553*8.76/4)</f>
        <v>0.34519692603266078</v>
      </c>
      <c r="AU555" s="253">
        <f t="shared" ref="AU555" si="815">AU554/(AU553*8.76/4)</f>
        <v>0.34882739212007496</v>
      </c>
      <c r="AV555" s="278">
        <f>AV554/(AV553*8.76/4)</f>
        <v>0.34882739212007496</v>
      </c>
      <c r="AW555" s="765">
        <f>AW554/(AW553*8.76)</f>
        <v>0.34296435272045017</v>
      </c>
      <c r="AX555" s="277">
        <f>AX554/(AX553*8.76/4)</f>
        <v>0.34882739212007496</v>
      </c>
      <c r="AY555" s="253">
        <f>AY554/(AY553*8.76/4)</f>
        <v>0.34882739212007496</v>
      </c>
      <c r="AZ555" s="253">
        <f>AZ554/(AZ553*8.76/4)</f>
        <v>0.34882739212007496</v>
      </c>
      <c r="BA555" s="278">
        <f>BA554/(BA553*8.76/4)</f>
        <v>0.34882739212007496</v>
      </c>
      <c r="BB555" s="765">
        <f>BB554/(BB553*8.76)</f>
        <v>0.34882739212007496</v>
      </c>
      <c r="BC555" s="277">
        <f>BC554/(BC553*8.76/4)</f>
        <v>0.34882739212007496</v>
      </c>
      <c r="BD555" s="253">
        <f>BD554/(BD553*8.76/4)</f>
        <v>0.34882739212007496</v>
      </c>
      <c r="BE555" s="253">
        <f>BE554/(BE553*8.76/4)</f>
        <v>0.34882739212007496</v>
      </c>
      <c r="BF555" s="278">
        <f>BF554/(BF553*8.76/4)</f>
        <v>0.34882739212007496</v>
      </c>
      <c r="BG555" s="765">
        <f>BG554/(BG553*8.76)</f>
        <v>0.34882739212007496</v>
      </c>
      <c r="BH555" s="277">
        <f>BH554/(BH553*8.76/4)</f>
        <v>0.34882739212007496</v>
      </c>
      <c r="BI555" s="253">
        <f>BI554/(BI553*8.76/4)</f>
        <v>0.34882739212007496</v>
      </c>
      <c r="BJ555" s="253">
        <f>BJ554/(BJ553*8.76/4)</f>
        <v>0.34882739212007496</v>
      </c>
      <c r="BK555" s="278">
        <f>BK554/(BK553*8.76/4)</f>
        <v>0.34882739212007496</v>
      </c>
      <c r="BL555" s="765">
        <f>BL554/(BL553*8.76)</f>
        <v>0.34882739212007496</v>
      </c>
      <c r="BM555" s="277">
        <f>BM554/(BM553*8.76/4)</f>
        <v>0.34882739212007496</v>
      </c>
      <c r="BN555" s="253">
        <f>BN554/(BN553*8.76/4)</f>
        <v>0.34882739212007496</v>
      </c>
      <c r="BO555" s="253">
        <f>BO554/(BO553*8.76/4)</f>
        <v>0.34882739212007496</v>
      </c>
      <c r="BP555" s="278">
        <f>BP554/(BP553*8.76/4)</f>
        <v>0.34882739212007496</v>
      </c>
      <c r="BQ555" s="765">
        <f>BQ554/(BQ553*8.76)</f>
        <v>0.34882739212007496</v>
      </c>
      <c r="BR555" s="40"/>
      <c r="BS555" s="40"/>
      <c r="BT555" s="40"/>
      <c r="BU555" s="34"/>
      <c r="BV555" s="34"/>
      <c r="BW555" s="34"/>
      <c r="BX555" s="34"/>
      <c r="BY555" s="34"/>
      <c r="BZ555" s="34"/>
      <c r="CA555" s="34"/>
      <c r="CB555" s="34"/>
      <c r="CC555" s="34"/>
      <c r="CD555" s="34"/>
      <c r="CE555" s="34"/>
      <c r="CF555" s="34"/>
      <c r="CN555" s="951"/>
      <c r="CO555" s="951"/>
      <c r="CP555" s="951"/>
      <c r="CQ555" s="951"/>
      <c r="CR555" s="951"/>
      <c r="CS555" s="951"/>
      <c r="CW555" s="232"/>
      <c r="CX555" s="232"/>
      <c r="CY555" s="232"/>
      <c r="CZ555" s="40"/>
      <c r="DA555" s="40"/>
      <c r="DB555" s="40"/>
      <c r="DC555" s="40"/>
      <c r="DD555" s="40"/>
      <c r="DE555" s="40"/>
      <c r="DF555" s="232"/>
      <c r="DG555" s="232"/>
      <c r="DH555" s="232"/>
      <c r="DI555" s="232"/>
      <c r="DJ555" s="232"/>
      <c r="DK555" s="232"/>
      <c r="DL555" s="232"/>
      <c r="DM555" s="232"/>
      <c r="DN555" s="232"/>
    </row>
    <row r="556" spans="1:118">
      <c r="A556" s="40"/>
      <c r="B556" s="1"/>
      <c r="C556" s="1"/>
      <c r="D556" s="1"/>
      <c r="E556" s="273"/>
      <c r="F556" s="3"/>
      <c r="G556" s="3"/>
      <c r="H556" s="274"/>
      <c r="I556" s="28"/>
      <c r="J556" s="273"/>
      <c r="K556" s="3"/>
      <c r="L556" s="3"/>
      <c r="M556" s="274"/>
      <c r="N556" s="1"/>
      <c r="O556" s="273"/>
      <c r="P556" s="3"/>
      <c r="Q556" s="3"/>
      <c r="R556" s="274"/>
      <c r="S556" s="1"/>
      <c r="T556" s="273"/>
      <c r="U556" s="3"/>
      <c r="V556" s="3"/>
      <c r="W556" s="274"/>
      <c r="X556" s="1"/>
      <c r="Y556" s="273"/>
      <c r="Z556" s="3"/>
      <c r="AA556" s="3"/>
      <c r="AB556" s="274"/>
      <c r="AC556" s="1"/>
      <c r="AD556" s="273"/>
      <c r="AE556" s="3"/>
      <c r="AF556" s="3"/>
      <c r="AG556" s="274"/>
      <c r="AH556" s="1"/>
      <c r="AI556" s="273"/>
      <c r="AJ556" s="3"/>
      <c r="AK556" s="3"/>
      <c r="AL556" s="274"/>
      <c r="AM556" s="1"/>
      <c r="AN556" s="273"/>
      <c r="AO556" s="3"/>
      <c r="AP556" s="3"/>
      <c r="AQ556" s="274"/>
      <c r="AR556" s="1"/>
      <c r="AS556" s="273"/>
      <c r="AT556" s="3"/>
      <c r="AU556" s="3"/>
      <c r="AV556" s="274"/>
      <c r="AW556" s="1"/>
      <c r="AX556" s="273"/>
      <c r="AY556" s="3"/>
      <c r="AZ556" s="3"/>
      <c r="BA556" s="274"/>
      <c r="BB556" s="1"/>
      <c r="BC556" s="273"/>
      <c r="BD556" s="3"/>
      <c r="BE556" s="3"/>
      <c r="BF556" s="274"/>
      <c r="BG556" s="1"/>
      <c r="BH556" s="273"/>
      <c r="BI556" s="3"/>
      <c r="BJ556" s="3"/>
      <c r="BK556" s="274"/>
      <c r="BL556" s="1"/>
      <c r="BM556" s="273"/>
      <c r="BN556" s="3"/>
      <c r="BO556" s="3"/>
      <c r="BP556" s="274"/>
      <c r="BQ556" s="1"/>
      <c r="BR556" s="40"/>
      <c r="BS556" s="40"/>
      <c r="BT556" s="40"/>
      <c r="CN556" s="951"/>
      <c r="CO556" s="951"/>
      <c r="CP556" s="951"/>
      <c r="CQ556" s="951"/>
      <c r="CR556" s="951"/>
      <c r="CS556" s="951"/>
      <c r="CW556" s="232"/>
      <c r="CX556" s="232"/>
      <c r="CY556" s="232"/>
      <c r="CZ556" s="40"/>
      <c r="DA556" s="40"/>
      <c r="DB556" s="40"/>
      <c r="DC556" s="40"/>
      <c r="DD556" s="40"/>
      <c r="DE556" s="40"/>
      <c r="DF556" s="232"/>
      <c r="DG556" s="232"/>
      <c r="DH556" s="232"/>
      <c r="DI556" s="232"/>
      <c r="DJ556" s="232"/>
      <c r="DK556" s="232"/>
      <c r="DL556" s="232"/>
      <c r="DM556" s="232"/>
      <c r="DN556" s="232"/>
    </row>
    <row r="557" spans="1:118">
      <c r="A557" s="40"/>
      <c r="B557" s="32"/>
      <c r="C557" s="889" t="s">
        <v>794</v>
      </c>
      <c r="D557" s="890"/>
      <c r="E557" s="891"/>
      <c r="F557" s="892"/>
      <c r="G557" s="892"/>
      <c r="H557" s="893"/>
      <c r="I557" s="894"/>
      <c r="J557" s="891"/>
      <c r="K557" s="892"/>
      <c r="L557" s="892"/>
      <c r="M557" s="893"/>
      <c r="N557" s="894"/>
      <c r="O557" s="891"/>
      <c r="P557" s="892"/>
      <c r="Q557" s="892"/>
      <c r="R557" s="893"/>
      <c r="S557" s="894"/>
      <c r="T557" s="891"/>
      <c r="U557" s="892"/>
      <c r="V557" s="892"/>
      <c r="W557" s="893"/>
      <c r="X557" s="894"/>
      <c r="Y557" s="891"/>
      <c r="Z557" s="892"/>
      <c r="AA557" s="892"/>
      <c r="AB557" s="893"/>
      <c r="AC557" s="894"/>
      <c r="AD557" s="891"/>
      <c r="AE557" s="892"/>
      <c r="AF557" s="892"/>
      <c r="AG557" s="893"/>
      <c r="AH557" s="894"/>
      <c r="AI557" s="891"/>
      <c r="AJ557" s="892"/>
      <c r="AK557" s="892"/>
      <c r="AL557" s="893"/>
      <c r="AM557" s="894"/>
      <c r="AN557" s="891"/>
      <c r="AO557" s="892"/>
      <c r="AP557" s="892"/>
      <c r="AQ557" s="893"/>
      <c r="AR557" s="894"/>
      <c r="AS557" s="891"/>
      <c r="AT557" s="892"/>
      <c r="AU557" s="892"/>
      <c r="AV557" s="893"/>
      <c r="AW557" s="894"/>
      <c r="AX557" s="891"/>
      <c r="AY557" s="892"/>
      <c r="AZ557" s="892"/>
      <c r="BA557" s="893"/>
      <c r="BB557" s="894"/>
      <c r="BC557" s="891"/>
      <c r="BD557" s="892"/>
      <c r="BE557" s="892"/>
      <c r="BF557" s="893"/>
      <c r="BG557" s="894"/>
      <c r="BH557" s="891"/>
      <c r="BI557" s="892"/>
      <c r="BJ557" s="892"/>
      <c r="BK557" s="893"/>
      <c r="BL557" s="894"/>
      <c r="BM557" s="891"/>
      <c r="BN557" s="892"/>
      <c r="BO557" s="892"/>
      <c r="BP557" s="893"/>
      <c r="BQ557" s="894"/>
      <c r="BR557" s="156"/>
      <c r="BS557" s="156"/>
      <c r="BT557" s="40"/>
      <c r="CN557" s="951"/>
      <c r="CO557" s="951"/>
      <c r="CP557" s="951"/>
      <c r="CQ557" s="951"/>
      <c r="CR557" s="951"/>
      <c r="CS557" s="951"/>
      <c r="CW557" s="232"/>
      <c r="CX557" s="232"/>
      <c r="CY557" s="232"/>
      <c r="CZ557" s="40"/>
      <c r="DA557" s="40"/>
      <c r="DB557" s="40"/>
      <c r="DC557" s="40"/>
      <c r="DD557" s="40"/>
      <c r="DE557" s="40"/>
      <c r="DF557" s="232"/>
      <c r="DG557" s="232"/>
      <c r="DH557" s="232"/>
      <c r="DI557" s="232"/>
      <c r="DJ557" s="232"/>
      <c r="DK557" s="232"/>
      <c r="DL557" s="232"/>
      <c r="DM557" s="232"/>
      <c r="DN557" s="232"/>
    </row>
    <row r="558" spans="1:118">
      <c r="A558" s="40"/>
      <c r="B558" s="32"/>
      <c r="C558" s="895" t="s">
        <v>842</v>
      </c>
      <c r="D558" s="895"/>
      <c r="E558" s="896"/>
      <c r="F558" s="897"/>
      <c r="G558" s="897"/>
      <c r="H558" s="898"/>
      <c r="I558" s="992">
        <v>35</v>
      </c>
      <c r="J558" s="896"/>
      <c r="K558" s="897"/>
      <c r="L558" s="897"/>
      <c r="M558" s="898"/>
      <c r="N558" s="431"/>
      <c r="O558" s="900"/>
      <c r="P558" s="901"/>
      <c r="Q558" s="901"/>
      <c r="R558" s="902"/>
      <c r="T558" s="900"/>
      <c r="U558" s="901"/>
      <c r="V558" s="901"/>
      <c r="W558" s="902"/>
      <c r="X558" s="903"/>
      <c r="Y558" s="900">
        <f>Z558</f>
        <v>35</v>
      </c>
      <c r="Z558" s="901">
        <f>AA558</f>
        <v>35</v>
      </c>
      <c r="AA558" s="901">
        <f>AB558</f>
        <v>35</v>
      </c>
      <c r="AB558" s="902">
        <f>AC558</f>
        <v>35</v>
      </c>
      <c r="AC558" s="903">
        <f>+I558</f>
        <v>35</v>
      </c>
      <c r="AD558" s="900">
        <f>AE558</f>
        <v>35.700000000000003</v>
      </c>
      <c r="AE558" s="901">
        <f>AF558</f>
        <v>35.700000000000003</v>
      </c>
      <c r="AF558" s="901">
        <f>AG558</f>
        <v>35.700000000000003</v>
      </c>
      <c r="AG558" s="902">
        <f>AH558</f>
        <v>35.700000000000003</v>
      </c>
      <c r="AH558" s="903">
        <f>+AC558*1.02</f>
        <v>35.700000000000003</v>
      </c>
      <c r="AI558" s="900">
        <f>AJ558</f>
        <v>36.414000000000001</v>
      </c>
      <c r="AJ558" s="901">
        <f>AK558</f>
        <v>36.414000000000001</v>
      </c>
      <c r="AK558" s="901">
        <f>AL558</f>
        <v>36.414000000000001</v>
      </c>
      <c r="AL558" s="902">
        <f>AM558</f>
        <v>36.414000000000001</v>
      </c>
      <c r="AM558" s="903">
        <f>+AH558*1.02</f>
        <v>36.414000000000001</v>
      </c>
      <c r="AN558" s="900">
        <f>AO558</f>
        <v>37.14228</v>
      </c>
      <c r="AO558" s="901">
        <f>AP558</f>
        <v>37.14228</v>
      </c>
      <c r="AP558" s="901">
        <f>AQ558</f>
        <v>37.14228</v>
      </c>
      <c r="AQ558" s="902">
        <f>AR558</f>
        <v>37.14228</v>
      </c>
      <c r="AR558" s="903">
        <f>+AM558*1.02</f>
        <v>37.14228</v>
      </c>
      <c r="AS558" s="900">
        <f>AT558</f>
        <v>37.885125600000002</v>
      </c>
      <c r="AT558" s="901">
        <f>AU558</f>
        <v>37.885125600000002</v>
      </c>
      <c r="AU558" s="901">
        <f t="shared" ref="AU558" si="816">AV558</f>
        <v>37.885125600000002</v>
      </c>
      <c r="AV558" s="902">
        <f>AW558</f>
        <v>37.885125600000002</v>
      </c>
      <c r="AW558" s="903">
        <f>+AR558*1.02</f>
        <v>37.885125600000002</v>
      </c>
      <c r="AX558" s="900">
        <f>AY558</f>
        <v>38.642828112000004</v>
      </c>
      <c r="AY558" s="901">
        <f>AZ558</f>
        <v>38.642828112000004</v>
      </c>
      <c r="AZ558" s="901">
        <f>BA558</f>
        <v>38.642828112000004</v>
      </c>
      <c r="BA558" s="902">
        <f>BB558</f>
        <v>38.642828112000004</v>
      </c>
      <c r="BB558" s="903">
        <f>+AW558*1.02</f>
        <v>38.642828112000004</v>
      </c>
      <c r="BC558" s="900">
        <f>BD558</f>
        <v>39.415684674240005</v>
      </c>
      <c r="BD558" s="901">
        <f>BE558</f>
        <v>39.415684674240005</v>
      </c>
      <c r="BE558" s="901">
        <f>BF558</f>
        <v>39.415684674240005</v>
      </c>
      <c r="BF558" s="902">
        <f>BG558</f>
        <v>39.415684674240005</v>
      </c>
      <c r="BG558" s="903">
        <f>+BB558*1.02</f>
        <v>39.415684674240005</v>
      </c>
      <c r="BH558" s="900">
        <f>BI558</f>
        <v>40.203998367724807</v>
      </c>
      <c r="BI558" s="901">
        <f>BJ558</f>
        <v>40.203998367724807</v>
      </c>
      <c r="BJ558" s="901">
        <f>BK558</f>
        <v>40.203998367724807</v>
      </c>
      <c r="BK558" s="902">
        <f>BL558</f>
        <v>40.203998367724807</v>
      </c>
      <c r="BL558" s="903">
        <f>+BG558*1.02</f>
        <v>40.203998367724807</v>
      </c>
      <c r="BM558" s="900">
        <f>BN558</f>
        <v>41.008078335079304</v>
      </c>
      <c r="BN558" s="901">
        <f>BO558</f>
        <v>41.008078335079304</v>
      </c>
      <c r="BO558" s="901">
        <f>BP558</f>
        <v>41.008078335079304</v>
      </c>
      <c r="BP558" s="902">
        <f>BQ558</f>
        <v>41.008078335079304</v>
      </c>
      <c r="BQ558" s="903">
        <f>+BL558*1.02</f>
        <v>41.008078335079304</v>
      </c>
      <c r="BR558" s="40"/>
      <c r="BS558" s="40"/>
      <c r="BT558" s="40"/>
      <c r="CN558" s="951"/>
      <c r="CO558" s="951"/>
      <c r="CP558" s="951"/>
      <c r="CQ558" s="951"/>
      <c r="CR558" s="951"/>
      <c r="CS558" s="951"/>
      <c r="CW558" s="232"/>
      <c r="CX558" s="232"/>
      <c r="CY558" s="232"/>
      <c r="CZ558" s="40"/>
      <c r="DA558" s="40"/>
      <c r="DB558" s="40"/>
      <c r="DC558" s="40"/>
      <c r="DD558" s="40"/>
      <c r="DE558" s="40"/>
      <c r="DF558" s="232"/>
      <c r="DG558" s="232"/>
      <c r="DH558" s="232"/>
      <c r="DI558" s="232"/>
      <c r="DJ558" s="232"/>
      <c r="DK558" s="232"/>
      <c r="DL558" s="232"/>
      <c r="DM558" s="232"/>
      <c r="DN558" s="232"/>
    </row>
    <row r="559" spans="1:118">
      <c r="A559" s="40"/>
      <c r="B559" s="32"/>
      <c r="C559" s="909" t="s">
        <v>802</v>
      </c>
      <c r="D559" s="909"/>
      <c r="E559" s="891"/>
      <c r="F559" s="892"/>
      <c r="G559" s="892"/>
      <c r="H559" s="893"/>
      <c r="I559" s="884">
        <v>1382</v>
      </c>
      <c r="J559" s="891"/>
      <c r="K559" s="892"/>
      <c r="L559" s="892"/>
      <c r="M559" s="893"/>
      <c r="N559" s="669"/>
      <c r="O559" s="292"/>
      <c r="P559" s="261"/>
      <c r="Q559" s="261"/>
      <c r="R559" s="293"/>
      <c r="S559" s="669"/>
      <c r="T559" s="292"/>
      <c r="U559" s="261"/>
      <c r="V559" s="261"/>
      <c r="W559" s="1028"/>
      <c r="X559" s="228"/>
      <c r="Y559" s="292">
        <f>+I559</f>
        <v>1382</v>
      </c>
      <c r="Z559" s="261">
        <f>+Y559</f>
        <v>1382</v>
      </c>
      <c r="AA559" s="261">
        <f>+Z559</f>
        <v>1382</v>
      </c>
      <c r="AB559" s="293">
        <f>+AA559</f>
        <v>1382</v>
      </c>
      <c r="AC559" s="228">
        <f>+AB559</f>
        <v>1382</v>
      </c>
      <c r="AD559" s="292">
        <f t="shared" ref="AD559:BL559" si="817">+AC559</f>
        <v>1382</v>
      </c>
      <c r="AE559" s="261">
        <f>+AD559</f>
        <v>1382</v>
      </c>
      <c r="AF559" s="261">
        <f t="shared" si="817"/>
        <v>1382</v>
      </c>
      <c r="AG559" s="293">
        <f t="shared" si="817"/>
        <v>1382</v>
      </c>
      <c r="AH559" s="228">
        <f t="shared" si="817"/>
        <v>1382</v>
      </c>
      <c r="AI559" s="292">
        <f t="shared" si="817"/>
        <v>1382</v>
      </c>
      <c r="AJ559" s="261">
        <f t="shared" si="817"/>
        <v>1382</v>
      </c>
      <c r="AK559" s="261">
        <f t="shared" si="817"/>
        <v>1382</v>
      </c>
      <c r="AL559" s="293">
        <f t="shared" si="817"/>
        <v>1382</v>
      </c>
      <c r="AM559" s="228">
        <f t="shared" si="817"/>
        <v>1382</v>
      </c>
      <c r="AN559" s="292">
        <f t="shared" si="817"/>
        <v>1382</v>
      </c>
      <c r="AO559" s="261">
        <f t="shared" si="817"/>
        <v>1382</v>
      </c>
      <c r="AP559" s="261">
        <f t="shared" si="817"/>
        <v>1382</v>
      </c>
      <c r="AQ559" s="2136">
        <f>+AP559+350</f>
        <v>1732</v>
      </c>
      <c r="AR559" s="228">
        <f t="shared" si="817"/>
        <v>1732</v>
      </c>
      <c r="AS559" s="292">
        <f t="shared" si="817"/>
        <v>1732</v>
      </c>
      <c r="AT559" s="261">
        <f t="shared" si="817"/>
        <v>1732</v>
      </c>
      <c r="AU559" s="261">
        <f t="shared" ref="AU559" si="818">+AT559</f>
        <v>1732</v>
      </c>
      <c r="AV559" s="293">
        <f t="shared" si="817"/>
        <v>1732</v>
      </c>
      <c r="AW559" s="228">
        <f t="shared" si="817"/>
        <v>1732</v>
      </c>
      <c r="AX559" s="292">
        <f t="shared" si="817"/>
        <v>1732</v>
      </c>
      <c r="AY559" s="261">
        <f t="shared" si="817"/>
        <v>1732</v>
      </c>
      <c r="AZ559" s="261">
        <f t="shared" si="817"/>
        <v>1732</v>
      </c>
      <c r="BA559" s="293">
        <f t="shared" si="817"/>
        <v>1732</v>
      </c>
      <c r="BB559" s="228">
        <f t="shared" si="817"/>
        <v>1732</v>
      </c>
      <c r="BC559" s="292">
        <f t="shared" si="817"/>
        <v>1732</v>
      </c>
      <c r="BD559" s="261">
        <f t="shared" si="817"/>
        <v>1732</v>
      </c>
      <c r="BE559" s="261">
        <f t="shared" si="817"/>
        <v>1732</v>
      </c>
      <c r="BF559" s="293">
        <f t="shared" si="817"/>
        <v>1732</v>
      </c>
      <c r="BG559" s="228">
        <f>+BF559</f>
        <v>1732</v>
      </c>
      <c r="BH559" s="292">
        <f>+BG559</f>
        <v>1732</v>
      </c>
      <c r="BI559" s="261">
        <f t="shared" si="817"/>
        <v>1732</v>
      </c>
      <c r="BJ559" s="261">
        <f t="shared" si="817"/>
        <v>1732</v>
      </c>
      <c r="BK559" s="293">
        <f t="shared" si="817"/>
        <v>1732</v>
      </c>
      <c r="BL559" s="228">
        <f t="shared" si="817"/>
        <v>1732</v>
      </c>
      <c r="BM559" s="292">
        <f t="shared" ref="BM559" si="819">+BL559</f>
        <v>1732</v>
      </c>
      <c r="BN559" s="261">
        <f t="shared" ref="BN559" si="820">+BM559</f>
        <v>1732</v>
      </c>
      <c r="BO559" s="261">
        <f t="shared" ref="BO559" si="821">+BN559</f>
        <v>1732</v>
      </c>
      <c r="BP559" s="293">
        <f t="shared" ref="BP559" si="822">+BO559</f>
        <v>1732</v>
      </c>
      <c r="BQ559" s="228">
        <f t="shared" ref="BQ559" si="823">+BP559</f>
        <v>1732</v>
      </c>
      <c r="BR559" s="40"/>
      <c r="BS559" s="40"/>
      <c r="BT559" s="40"/>
      <c r="CN559" s="951"/>
      <c r="CO559" s="951"/>
      <c r="CP559" s="951"/>
      <c r="CQ559" s="951"/>
      <c r="CR559" s="951"/>
      <c r="CS559" s="951"/>
      <c r="CW559" s="232"/>
      <c r="CX559" s="232"/>
      <c r="CY559" s="232"/>
      <c r="CZ559" s="40"/>
      <c r="DA559" s="40"/>
      <c r="DB559" s="40"/>
      <c r="DC559" s="40"/>
      <c r="DD559" s="40"/>
      <c r="DE559" s="40"/>
      <c r="DF559" s="232"/>
      <c r="DG559" s="232"/>
      <c r="DH559" s="232"/>
      <c r="DI559" s="232"/>
      <c r="DJ559" s="232"/>
      <c r="DK559" s="232"/>
      <c r="DL559" s="232"/>
      <c r="DM559" s="232"/>
      <c r="DN559" s="232"/>
    </row>
    <row r="560" spans="1:118">
      <c r="A560" s="40"/>
      <c r="B560" s="32"/>
      <c r="C560" s="895"/>
      <c r="D560" s="895"/>
      <c r="E560" s="896"/>
      <c r="F560" s="897"/>
      <c r="G560" s="897"/>
      <c r="H560" s="898"/>
      <c r="I560" s="899"/>
      <c r="J560" s="896"/>
      <c r="K560" s="897"/>
      <c r="L560" s="897"/>
      <c r="M560" s="898"/>
      <c r="N560" s="899"/>
      <c r="O560" s="896"/>
      <c r="P560" s="897"/>
      <c r="Q560" s="897"/>
      <c r="R560" s="898"/>
      <c r="S560" s="899"/>
      <c r="T560" s="896"/>
      <c r="U560" s="897"/>
      <c r="V560" s="897"/>
      <c r="W560" s="898"/>
      <c r="X560" s="899"/>
      <c r="Y560" s="896"/>
      <c r="Z560" s="897"/>
      <c r="AA560" s="897"/>
      <c r="AB560" s="898"/>
      <c r="AC560" s="899"/>
      <c r="AD560" s="896"/>
      <c r="AE560" s="897"/>
      <c r="AF560" s="897"/>
      <c r="AG560" s="898"/>
      <c r="AH560" s="899"/>
      <c r="AI560" s="896"/>
      <c r="AJ560" s="897"/>
      <c r="AK560" s="897"/>
      <c r="AL560" s="898"/>
      <c r="AM560" s="899"/>
      <c r="AN560" s="896"/>
      <c r="AO560" s="897"/>
      <c r="AP560" s="897"/>
      <c r="AQ560" s="898"/>
      <c r="AR560" s="899"/>
      <c r="AS560" s="896"/>
      <c r="AT560" s="897"/>
      <c r="AU560" s="897"/>
      <c r="AV560" s="898"/>
      <c r="AW560" s="899"/>
      <c r="AX560" s="896"/>
      <c r="AY560" s="897"/>
      <c r="AZ560" s="897"/>
      <c r="BA560" s="898"/>
      <c r="BB560" s="899"/>
      <c r="BC560" s="896"/>
      <c r="BD560" s="897"/>
      <c r="BE560" s="897"/>
      <c r="BF560" s="898"/>
      <c r="BG560" s="899"/>
      <c r="BH560" s="896"/>
      <c r="BI560" s="897"/>
      <c r="BJ560" s="897"/>
      <c r="BK560" s="898"/>
      <c r="BL560" s="899"/>
      <c r="BM560" s="896"/>
      <c r="BN560" s="897"/>
      <c r="BO560" s="897"/>
      <c r="BP560" s="898"/>
      <c r="BQ560" s="899"/>
      <c r="BR560" s="40"/>
      <c r="BS560" s="40"/>
      <c r="BT560" s="40"/>
      <c r="CN560" s="951"/>
      <c r="CO560" s="951"/>
      <c r="CP560" s="951"/>
      <c r="CQ560" s="951"/>
      <c r="CR560" s="951"/>
      <c r="CS560" s="951"/>
      <c r="CW560" s="232"/>
      <c r="CX560" s="232"/>
      <c r="CY560" s="232"/>
      <c r="CZ560" s="40"/>
      <c r="DA560" s="40"/>
      <c r="DB560" s="40"/>
      <c r="DC560" s="40"/>
      <c r="DD560" s="40"/>
      <c r="DE560" s="40"/>
      <c r="DF560" s="232"/>
      <c r="DG560" s="232"/>
      <c r="DH560" s="232"/>
      <c r="DI560" s="232"/>
      <c r="DJ560" s="232"/>
      <c r="DK560" s="232"/>
      <c r="DL560" s="232"/>
      <c r="DM560" s="232"/>
      <c r="DN560" s="232"/>
    </row>
    <row r="561" spans="1:118">
      <c r="A561" s="40"/>
      <c r="B561" s="32"/>
      <c r="C561" s="895" t="s">
        <v>197</v>
      </c>
      <c r="D561" s="895"/>
      <c r="E561" s="896"/>
      <c r="F561" s="897"/>
      <c r="G561" s="897"/>
      <c r="H561" s="898"/>
      <c r="I561" s="544">
        <v>0.35</v>
      </c>
      <c r="J561" s="896"/>
      <c r="K561" s="897"/>
      <c r="L561" s="897"/>
      <c r="M561" s="898"/>
      <c r="N561" s="904"/>
      <c r="O561" s="905"/>
      <c r="P561" s="906"/>
      <c r="Q561" s="906"/>
      <c r="R561" s="907"/>
      <c r="S561" s="32"/>
      <c r="T561" s="905"/>
      <c r="U561" s="906"/>
      <c r="V561" s="906"/>
      <c r="W561" s="907"/>
      <c r="X561" s="908"/>
      <c r="Y561" s="905">
        <f>+I561</f>
        <v>0.35</v>
      </c>
      <c r="Z561" s="906">
        <f>Y561</f>
        <v>0.35</v>
      </c>
      <c r="AA561" s="906">
        <f>Z561</f>
        <v>0.35</v>
      </c>
      <c r="AB561" s="907">
        <f>AA561</f>
        <v>0.35</v>
      </c>
      <c r="AC561" s="908">
        <f>AC562/(AVERAGE(Y559:AB559)*8.76)</f>
        <v>0.35</v>
      </c>
      <c r="AD561" s="905">
        <f>AC561</f>
        <v>0.35</v>
      </c>
      <c r="AE561" s="906">
        <f>AD561</f>
        <v>0.35</v>
      </c>
      <c r="AF561" s="906">
        <f>AE561</f>
        <v>0.35</v>
      </c>
      <c r="AG561" s="907">
        <f>AF561</f>
        <v>0.35</v>
      </c>
      <c r="AH561" s="908">
        <f>AH562/(AVERAGE(AD559:AG559)*8.76)</f>
        <v>0.35</v>
      </c>
      <c r="AI561" s="905">
        <f>AH561</f>
        <v>0.35</v>
      </c>
      <c r="AJ561" s="906">
        <f>AI561</f>
        <v>0.35</v>
      </c>
      <c r="AK561" s="906">
        <f>AJ561</f>
        <v>0.35</v>
      </c>
      <c r="AL561" s="907">
        <f>AK561</f>
        <v>0.35</v>
      </c>
      <c r="AM561" s="908">
        <f>AM562/(AVERAGE(AI559:AL559)*8.76)</f>
        <v>0.35</v>
      </c>
      <c r="AN561" s="905">
        <f>AM561</f>
        <v>0.35</v>
      </c>
      <c r="AO561" s="906">
        <f>AN561</f>
        <v>0.35</v>
      </c>
      <c r="AP561" s="906">
        <f>AO561</f>
        <v>0.35</v>
      </c>
      <c r="AQ561" s="907">
        <f>AP561</f>
        <v>0.35</v>
      </c>
      <c r="AR561" s="908">
        <f>AR562/(AVERAGE(AN559:AQ559)*8.76)</f>
        <v>0.34999999999999992</v>
      </c>
      <c r="AS561" s="905">
        <f>AR561</f>
        <v>0.34999999999999992</v>
      </c>
      <c r="AT561" s="906">
        <f>AS561</f>
        <v>0.34999999999999992</v>
      </c>
      <c r="AU561" s="906">
        <f t="shared" ref="AU561" si="824">AT561</f>
        <v>0.34999999999999992</v>
      </c>
      <c r="AV561" s="907">
        <f>AU561</f>
        <v>0.34999999999999992</v>
      </c>
      <c r="AW561" s="908">
        <f>AW562/(AVERAGE(AS559:AV559)*8.76)</f>
        <v>0.34999999999999987</v>
      </c>
      <c r="AX561" s="905">
        <f>AW561</f>
        <v>0.34999999999999987</v>
      </c>
      <c r="AY561" s="906">
        <f>AX561</f>
        <v>0.34999999999999987</v>
      </c>
      <c r="AZ561" s="906">
        <f>AY561</f>
        <v>0.34999999999999987</v>
      </c>
      <c r="BA561" s="907">
        <f>AZ561</f>
        <v>0.34999999999999987</v>
      </c>
      <c r="BB561" s="908">
        <f>BB562/(AVERAGE(AX559:BA559)*8.76)</f>
        <v>0.34999999999999987</v>
      </c>
      <c r="BC561" s="905">
        <f>BB561</f>
        <v>0.34999999999999987</v>
      </c>
      <c r="BD561" s="906">
        <f>BC561</f>
        <v>0.34999999999999987</v>
      </c>
      <c r="BE561" s="906">
        <f>BD561</f>
        <v>0.34999999999999987</v>
      </c>
      <c r="BF561" s="907">
        <f>BE561</f>
        <v>0.34999999999999987</v>
      </c>
      <c r="BG561" s="908">
        <f>BG562/(AVERAGE(BC559:BF559)*8.76)</f>
        <v>0.34999999999999987</v>
      </c>
      <c r="BH561" s="905">
        <f>BG561</f>
        <v>0.34999999999999987</v>
      </c>
      <c r="BI561" s="906">
        <f>BH561</f>
        <v>0.34999999999999987</v>
      </c>
      <c r="BJ561" s="906">
        <f>BI561</f>
        <v>0.34999999999999987</v>
      </c>
      <c r="BK561" s="907">
        <f>BJ561</f>
        <v>0.34999999999999987</v>
      </c>
      <c r="BL561" s="908">
        <f>BL562/(AVERAGE(BH559:BK559)*8.76)</f>
        <v>0.34999999999999987</v>
      </c>
      <c r="BM561" s="905">
        <f>BL561</f>
        <v>0.34999999999999987</v>
      </c>
      <c r="BN561" s="906">
        <f>BM561</f>
        <v>0.34999999999999987</v>
      </c>
      <c r="BO561" s="906">
        <f>BN561</f>
        <v>0.34999999999999987</v>
      </c>
      <c r="BP561" s="907">
        <f>BO561</f>
        <v>0.34999999999999987</v>
      </c>
      <c r="BQ561" s="908">
        <f>BQ562/(AVERAGE(BM559:BP559)*8.76)</f>
        <v>0.34999999999999987</v>
      </c>
      <c r="BR561" s="40"/>
      <c r="BS561" s="40"/>
      <c r="BT561" s="40"/>
      <c r="CN561" s="951"/>
      <c r="CO561" s="951"/>
      <c r="CP561" s="951"/>
      <c r="CQ561" s="951"/>
      <c r="CR561" s="951"/>
      <c r="CS561" s="951"/>
      <c r="CW561" s="232"/>
      <c r="CX561" s="232"/>
      <c r="CY561" s="232"/>
      <c r="CZ561" s="40"/>
      <c r="DA561" s="40"/>
      <c r="DB561" s="40"/>
      <c r="DC561" s="40"/>
      <c r="DD561" s="40"/>
      <c r="DE561" s="40"/>
      <c r="DF561" s="232"/>
      <c r="DG561" s="232"/>
      <c r="DH561" s="232"/>
      <c r="DI561" s="232"/>
      <c r="DJ561" s="232"/>
      <c r="DK561" s="232"/>
      <c r="DL561" s="232"/>
      <c r="DM561" s="232"/>
      <c r="DN561" s="232"/>
    </row>
    <row r="562" spans="1:118">
      <c r="A562" s="40"/>
      <c r="B562" s="32"/>
      <c r="C562" s="909" t="s">
        <v>198</v>
      </c>
      <c r="D562" s="909"/>
      <c r="E562" s="891"/>
      <c r="F562" s="892"/>
      <c r="G562" s="892"/>
      <c r="H562" s="893"/>
      <c r="I562" s="894"/>
      <c r="J562" s="891"/>
      <c r="K562" s="892"/>
      <c r="L562" s="892"/>
      <c r="M562" s="893"/>
      <c r="N562" s="228"/>
      <c r="O562" s="292"/>
      <c r="P562" s="261"/>
      <c r="Q562" s="261"/>
      <c r="R562" s="293"/>
      <c r="S562" s="228"/>
      <c r="T562" s="292"/>
      <c r="U562" s="261"/>
      <c r="V562" s="261"/>
      <c r="W562" s="293"/>
      <c r="X562" s="228"/>
      <c r="Y562" s="292">
        <f>+Y559*Y561*8.76/4</f>
        <v>1059.3029999999999</v>
      </c>
      <c r="Z562" s="261">
        <f>+Z559*Z561*8.76/4</f>
        <v>1059.3029999999999</v>
      </c>
      <c r="AA562" s="261">
        <f>+AA559*AA561*8.76/4</f>
        <v>1059.3029999999999</v>
      </c>
      <c r="AB562" s="293">
        <f>+AB559*AB561*8.76/4</f>
        <v>1059.3029999999999</v>
      </c>
      <c r="AC562" s="228">
        <f>SUM(Y562:AB562)</f>
        <v>4237.2119999999995</v>
      </c>
      <c r="AD562" s="292">
        <f>+AD559*AD561*8.76/4</f>
        <v>1059.3029999999999</v>
      </c>
      <c r="AE562" s="261">
        <f>+AE559*AE561*8.76/4</f>
        <v>1059.3029999999999</v>
      </c>
      <c r="AF562" s="261">
        <f>+AF559*AF561*8.76/4</f>
        <v>1059.3029999999999</v>
      </c>
      <c r="AG562" s="293">
        <f>+AG559*AG561*8.76/4</f>
        <v>1059.3029999999999</v>
      </c>
      <c r="AH562" s="228">
        <f>SUM(AD562:AG562)</f>
        <v>4237.2119999999995</v>
      </c>
      <c r="AI562" s="292">
        <f>+AI559*AI561*8.76/4</f>
        <v>1059.3029999999999</v>
      </c>
      <c r="AJ562" s="261">
        <f>+AJ559*AJ561*8.76/4</f>
        <v>1059.3029999999999</v>
      </c>
      <c r="AK562" s="261">
        <f>+AK559*AK561*8.76/4</f>
        <v>1059.3029999999999</v>
      </c>
      <c r="AL562" s="293">
        <f>+AL559*AL561*8.76/4</f>
        <v>1059.3029999999999</v>
      </c>
      <c r="AM562" s="228">
        <f>SUM(AI562:AL562)</f>
        <v>4237.2119999999995</v>
      </c>
      <c r="AN562" s="292">
        <f>+AN559*AN561*8.76/4</f>
        <v>1059.3029999999999</v>
      </c>
      <c r="AO562" s="261">
        <f>+AO559*AO561*8.76/4</f>
        <v>1059.3029999999999</v>
      </c>
      <c r="AP562" s="261">
        <f>+AP559*AP561*8.76/4</f>
        <v>1059.3029999999999</v>
      </c>
      <c r="AQ562" s="293">
        <f>+AQ559*AQ561*8.76/4</f>
        <v>1327.5779999999997</v>
      </c>
      <c r="AR562" s="228">
        <f>SUM(AN562:AQ562)</f>
        <v>4505.4869999999992</v>
      </c>
      <c r="AS562" s="292">
        <f>+AS559*AS561*8.76/4</f>
        <v>1327.5779999999995</v>
      </c>
      <c r="AT562" s="261">
        <f>+AT559*AT561*8.76/4</f>
        <v>1327.5779999999995</v>
      </c>
      <c r="AU562" s="261">
        <f t="shared" ref="AU562" si="825">+AU559*AU561*8.76/4</f>
        <v>1327.5779999999995</v>
      </c>
      <c r="AV562" s="293">
        <f>+AV559*AV561*8.76/4</f>
        <v>1327.5779999999995</v>
      </c>
      <c r="AW562" s="228">
        <f>SUM(AS562:AV562)</f>
        <v>5310.3119999999981</v>
      </c>
      <c r="AX562" s="292">
        <f>+AX559*AX561*8.76/4</f>
        <v>1327.5779999999995</v>
      </c>
      <c r="AY562" s="261">
        <f>+AY559*AY561*8.76/4</f>
        <v>1327.5779999999995</v>
      </c>
      <c r="AZ562" s="261">
        <f>+AZ559*AZ561*8.76/4</f>
        <v>1327.5779999999995</v>
      </c>
      <c r="BA562" s="293">
        <f>+BA559*BA561*8.76/4</f>
        <v>1327.5779999999995</v>
      </c>
      <c r="BB562" s="228">
        <f>SUM(AX562:BA562)</f>
        <v>5310.3119999999981</v>
      </c>
      <c r="BC562" s="292">
        <f>+BC559*BC561*8.76/4</f>
        <v>1327.5779999999995</v>
      </c>
      <c r="BD562" s="261">
        <f>+BD559*BD561*8.76/4</f>
        <v>1327.5779999999995</v>
      </c>
      <c r="BE562" s="261">
        <f>+BE559*BE561*8.76/4</f>
        <v>1327.5779999999995</v>
      </c>
      <c r="BF562" s="293">
        <f>+BF559*BF561*8.76/4</f>
        <v>1327.5779999999995</v>
      </c>
      <c r="BG562" s="228">
        <f>SUM(BC562:BF562)</f>
        <v>5310.3119999999981</v>
      </c>
      <c r="BH562" s="292">
        <f>+BH559*BH561*8.76/4</f>
        <v>1327.5779999999995</v>
      </c>
      <c r="BI562" s="261">
        <f>+BI559*BI561*8.76/4</f>
        <v>1327.5779999999995</v>
      </c>
      <c r="BJ562" s="261">
        <f>+BJ559*BJ561*8.76/4</f>
        <v>1327.5779999999995</v>
      </c>
      <c r="BK562" s="293">
        <f>+BK559*BK561*8.76/4</f>
        <v>1327.5779999999995</v>
      </c>
      <c r="BL562" s="228">
        <f>SUM(BH562:BK562)</f>
        <v>5310.3119999999981</v>
      </c>
      <c r="BM562" s="292">
        <f>+BM559*BM561*8.76/4</f>
        <v>1327.5779999999995</v>
      </c>
      <c r="BN562" s="261">
        <f>+BN559*BN561*8.76/4</f>
        <v>1327.5779999999995</v>
      </c>
      <c r="BO562" s="261">
        <f>+BO559*BO561*8.76/4</f>
        <v>1327.5779999999995</v>
      </c>
      <c r="BP562" s="293">
        <f>+BP559*BP561*8.76/4</f>
        <v>1327.5779999999995</v>
      </c>
      <c r="BQ562" s="228">
        <f>SUM(BM562:BP562)</f>
        <v>5310.3119999999981</v>
      </c>
      <c r="BR562" s="40"/>
      <c r="BS562" s="40"/>
      <c r="BT562" s="40"/>
      <c r="CN562" s="951"/>
      <c r="CO562" s="951"/>
      <c r="CP562" s="951"/>
      <c r="CQ562" s="951"/>
      <c r="CR562" s="951"/>
      <c r="CS562" s="951"/>
      <c r="CW562" s="232"/>
      <c r="CX562" s="232"/>
      <c r="CY562" s="232"/>
      <c r="CZ562" s="40"/>
      <c r="DA562" s="40"/>
      <c r="DB562" s="40"/>
      <c r="DC562" s="40"/>
      <c r="DD562" s="40"/>
      <c r="DE562" s="40"/>
      <c r="DF562" s="232"/>
      <c r="DG562" s="232"/>
      <c r="DH562" s="232"/>
      <c r="DI562" s="232"/>
      <c r="DJ562" s="232"/>
      <c r="DK562" s="232"/>
      <c r="DL562" s="232"/>
      <c r="DM562" s="232"/>
      <c r="DN562" s="232"/>
    </row>
    <row r="563" spans="1:118">
      <c r="A563" s="40"/>
      <c r="B563" s="32"/>
      <c r="C563" s="895"/>
      <c r="D563" s="895"/>
      <c r="E563" s="896"/>
      <c r="F563" s="897"/>
      <c r="G563" s="897"/>
      <c r="H563" s="898"/>
      <c r="I563" s="899"/>
      <c r="J563" s="896"/>
      <c r="K563" s="897"/>
      <c r="L563" s="897"/>
      <c r="M563" s="898"/>
      <c r="N563" s="899"/>
      <c r="O563" s="896"/>
      <c r="P563" s="897"/>
      <c r="Q563" s="897"/>
      <c r="R563" s="898"/>
      <c r="S563" s="899"/>
      <c r="T563" s="896"/>
      <c r="U563" s="897"/>
      <c r="V563" s="897"/>
      <c r="W563" s="898"/>
      <c r="X563" s="899"/>
      <c r="Y563" s="896"/>
      <c r="Z563" s="897"/>
      <c r="AA563" s="897"/>
      <c r="AB563" s="898"/>
      <c r="AC563" s="899"/>
      <c r="AD563" s="896"/>
      <c r="AE563" s="897"/>
      <c r="AF563" s="897"/>
      <c r="AG563" s="898"/>
      <c r="AH563" s="899"/>
      <c r="AI563" s="896"/>
      <c r="AJ563" s="897"/>
      <c r="AK563" s="897"/>
      <c r="AL563" s="898"/>
      <c r="AM563" s="899"/>
      <c r="AN563" s="896"/>
      <c r="AO563" s="897"/>
      <c r="AP563" s="897"/>
      <c r="AQ563" s="898"/>
      <c r="AR563" s="899"/>
      <c r="AS563" s="896"/>
      <c r="AT563" s="897"/>
      <c r="AU563" s="897"/>
      <c r="AV563" s="898"/>
      <c r="AW563" s="899"/>
      <c r="AX563" s="896"/>
      <c r="AY563" s="897"/>
      <c r="AZ563" s="897"/>
      <c r="BA563" s="898"/>
      <c r="BB563" s="899"/>
      <c r="BC563" s="896"/>
      <c r="BD563" s="897"/>
      <c r="BE563" s="897"/>
      <c r="BF563" s="898"/>
      <c r="BG563" s="899"/>
      <c r="BH563" s="896"/>
      <c r="BI563" s="897"/>
      <c r="BJ563" s="897"/>
      <c r="BK563" s="898"/>
      <c r="BL563" s="899"/>
      <c r="BM563" s="896"/>
      <c r="BN563" s="897"/>
      <c r="BO563" s="897"/>
      <c r="BP563" s="898"/>
      <c r="BQ563" s="899"/>
      <c r="BR563" s="40"/>
      <c r="BS563" s="40"/>
      <c r="BT563" s="40"/>
      <c r="CN563" s="951"/>
      <c r="CO563" s="951"/>
      <c r="CP563" s="951"/>
      <c r="CQ563" s="951"/>
      <c r="CR563" s="951"/>
      <c r="CS563" s="951"/>
      <c r="CW563" s="232"/>
      <c r="CX563" s="232"/>
      <c r="CY563" s="232"/>
      <c r="CZ563" s="40"/>
      <c r="DA563" s="40"/>
      <c r="DB563" s="40"/>
      <c r="DC563" s="40"/>
      <c r="DD563" s="40"/>
      <c r="DE563" s="40"/>
      <c r="DF563" s="232"/>
      <c r="DG563" s="232"/>
      <c r="DH563" s="232"/>
      <c r="DI563" s="232"/>
      <c r="DJ563" s="232"/>
      <c r="DK563" s="232"/>
      <c r="DL563" s="232"/>
      <c r="DM563" s="232"/>
      <c r="DN563" s="232"/>
    </row>
    <row r="564" spans="1:118">
      <c r="A564" s="40"/>
      <c r="B564" s="32"/>
      <c r="C564" s="895" t="s">
        <v>798</v>
      </c>
      <c r="D564" s="895"/>
      <c r="E564" s="896"/>
      <c r="F564" s="897"/>
      <c r="G564" s="897"/>
      <c r="H564" s="898"/>
      <c r="I564" s="899"/>
      <c r="J564" s="896"/>
      <c r="K564" s="897"/>
      <c r="L564" s="897"/>
      <c r="M564" s="898"/>
      <c r="N564" s="45"/>
      <c r="O564" s="290"/>
      <c r="P564" s="260"/>
      <c r="Q564" s="260"/>
      <c r="R564" s="291"/>
      <c r="S564" s="45"/>
      <c r="T564" s="290"/>
      <c r="U564" s="260"/>
      <c r="V564" s="260"/>
      <c r="W564" s="291"/>
      <c r="X564" s="45"/>
      <c r="Y564" s="290">
        <f>+Y562*Y558/1000</f>
        <v>37.075604999999996</v>
      </c>
      <c r="Z564" s="260">
        <f>+Z562*Z558/1000</f>
        <v>37.075604999999996</v>
      </c>
      <c r="AA564" s="260">
        <f>+AA562*AA558/1000</f>
        <v>37.075604999999996</v>
      </c>
      <c r="AB564" s="291">
        <f>+AB562*AB558/1000</f>
        <v>37.075604999999996</v>
      </c>
      <c r="AC564" s="45">
        <f>SUM(Y564:AB564)</f>
        <v>148.30241999999998</v>
      </c>
      <c r="AD564" s="290">
        <f>+AD562*AD558/1000</f>
        <v>37.817117099999997</v>
      </c>
      <c r="AE564" s="260">
        <f>+AE562*AE558/1000</f>
        <v>37.817117099999997</v>
      </c>
      <c r="AF564" s="260">
        <f>+AF562*AF558/1000</f>
        <v>37.817117099999997</v>
      </c>
      <c r="AG564" s="291">
        <f>+AG562*AG558/1000</f>
        <v>37.817117099999997</v>
      </c>
      <c r="AH564" s="45">
        <f>SUM(AD564:AG564)</f>
        <v>151.26846839999999</v>
      </c>
      <c r="AI564" s="290">
        <f>+AI562*AI558/1000</f>
        <v>38.573459442000001</v>
      </c>
      <c r="AJ564" s="260">
        <f>+AJ562*AJ558/1000</f>
        <v>38.573459442000001</v>
      </c>
      <c r="AK564" s="260">
        <f>+AK562*AK558/1000</f>
        <v>38.573459442000001</v>
      </c>
      <c r="AL564" s="291">
        <f>+AL562*AL558/1000</f>
        <v>38.573459442000001</v>
      </c>
      <c r="AM564" s="45">
        <f>SUM(AI564:AL564)</f>
        <v>154.293837768</v>
      </c>
      <c r="AN564" s="290">
        <f>+AN562*AN558/1000</f>
        <v>39.344928630839995</v>
      </c>
      <c r="AO564" s="260">
        <f>+AO562*AO558/1000</f>
        <v>39.344928630839995</v>
      </c>
      <c r="AP564" s="260">
        <f>+AP562*AP558/1000</f>
        <v>39.344928630839995</v>
      </c>
      <c r="AQ564" s="291">
        <f>+AQ562*AQ558/1000</f>
        <v>49.309273797839992</v>
      </c>
      <c r="AR564" s="45">
        <f>SUM(AN564:AQ564)</f>
        <v>167.34405969035998</v>
      </c>
      <c r="AS564" s="290">
        <f>+AS562*AS558/1000</f>
        <v>50.29545927379678</v>
      </c>
      <c r="AT564" s="260">
        <f>+AT562*AT558/1000</f>
        <v>50.29545927379678</v>
      </c>
      <c r="AU564" s="260">
        <f t="shared" ref="AU564" si="826">+AU562*AU558/1000</f>
        <v>50.29545927379678</v>
      </c>
      <c r="AV564" s="291">
        <f>+AV562*AV558/1000</f>
        <v>50.29545927379678</v>
      </c>
      <c r="AW564" s="45">
        <f>SUM(AS564:AV564)</f>
        <v>201.18183709518712</v>
      </c>
      <c r="AX564" s="290">
        <f>+AX562*AX558/1000</f>
        <v>51.301368459272723</v>
      </c>
      <c r="AY564" s="260">
        <f>+AY562*AY558/1000</f>
        <v>51.301368459272723</v>
      </c>
      <c r="AZ564" s="260">
        <f>+AZ562*AZ558/1000</f>
        <v>51.301368459272723</v>
      </c>
      <c r="BA564" s="291">
        <f>+BA562*BA558/1000</f>
        <v>51.301368459272723</v>
      </c>
      <c r="BB564" s="45">
        <f>SUM(AX564:BA564)</f>
        <v>205.20547383709089</v>
      </c>
      <c r="BC564" s="290">
        <f>+BC562*BC558/1000</f>
        <v>52.327395828458172</v>
      </c>
      <c r="BD564" s="260">
        <f>+BD562*BD558/1000</f>
        <v>52.327395828458172</v>
      </c>
      <c r="BE564" s="260">
        <f>+BE562*BE558/1000</f>
        <v>52.327395828458172</v>
      </c>
      <c r="BF564" s="291">
        <f>+BF562*BF558/1000</f>
        <v>52.327395828458172</v>
      </c>
      <c r="BG564" s="45">
        <f>SUM(BC564:BF564)</f>
        <v>209.30958331383269</v>
      </c>
      <c r="BH564" s="290">
        <f>+BH562*BH558/1000</f>
        <v>53.373943745027347</v>
      </c>
      <c r="BI564" s="260">
        <f>+BI562*BI558/1000</f>
        <v>53.373943745027347</v>
      </c>
      <c r="BJ564" s="260">
        <f>+BJ562*BJ558/1000</f>
        <v>53.373943745027347</v>
      </c>
      <c r="BK564" s="291">
        <f>+BK562*BK558/1000</f>
        <v>53.373943745027347</v>
      </c>
      <c r="BL564" s="45">
        <f>SUM(BH564:BK564)</f>
        <v>213.49577498010939</v>
      </c>
      <c r="BM564" s="290">
        <f>+BM562*BM558/1000</f>
        <v>54.441422619927891</v>
      </c>
      <c r="BN564" s="260">
        <f>+BN562*BN558/1000</f>
        <v>54.441422619927891</v>
      </c>
      <c r="BO564" s="260">
        <f>+BO562*BO558/1000</f>
        <v>54.441422619927891</v>
      </c>
      <c r="BP564" s="291">
        <f>+BP562*BP558/1000</f>
        <v>54.441422619927891</v>
      </c>
      <c r="BQ564" s="45">
        <f>SUM(BM564:BP564)</f>
        <v>217.76569047971157</v>
      </c>
      <c r="BR564" s="40"/>
      <c r="BS564" s="40"/>
      <c r="BT564" s="40"/>
      <c r="CN564" s="951"/>
      <c r="CO564" s="951"/>
      <c r="CP564" s="951"/>
      <c r="CQ564" s="951"/>
      <c r="CR564" s="951"/>
      <c r="CS564" s="951"/>
      <c r="CW564" s="232"/>
      <c r="CX564" s="232"/>
      <c r="CY564" s="232"/>
      <c r="CZ564" s="40"/>
      <c r="DA564" s="40"/>
      <c r="DB564" s="40"/>
      <c r="DC564" s="40"/>
      <c r="DD564" s="40"/>
      <c r="DE564" s="40"/>
      <c r="DF564" s="232"/>
      <c r="DG564" s="232"/>
      <c r="DH564" s="232"/>
      <c r="DI564" s="232"/>
      <c r="DJ564" s="232"/>
      <c r="DK564" s="232"/>
      <c r="DL564" s="232"/>
      <c r="DM564" s="232"/>
      <c r="DN564" s="232"/>
    </row>
    <row r="565" spans="1:118">
      <c r="A565" s="40"/>
      <c r="B565" s="32"/>
      <c r="C565" s="895" t="s">
        <v>278</v>
      </c>
      <c r="D565" s="895"/>
      <c r="E565" s="896"/>
      <c r="F565" s="897"/>
      <c r="G565" s="897"/>
      <c r="H565" s="898"/>
      <c r="I565" s="899"/>
      <c r="J565" s="896"/>
      <c r="K565" s="897"/>
      <c r="L565" s="897"/>
      <c r="M565" s="898"/>
      <c r="N565" s="426"/>
      <c r="O565" s="306"/>
      <c r="P565" s="266"/>
      <c r="Q565" s="266"/>
      <c r="R565" s="307"/>
      <c r="S565" s="426"/>
      <c r="T565" s="306"/>
      <c r="U565" s="266"/>
      <c r="V565" s="266"/>
      <c r="W565" s="307"/>
      <c r="X565" s="426"/>
      <c r="Y565" s="814">
        <v>0</v>
      </c>
      <c r="Z565" s="262">
        <v>0</v>
      </c>
      <c r="AA565" s="262">
        <v>0</v>
      </c>
      <c r="AB565" s="294">
        <v>0</v>
      </c>
      <c r="AC565" s="1003">
        <v>0</v>
      </c>
      <c r="AD565" s="306">
        <v>0</v>
      </c>
      <c r="AE565" s="262">
        <v>0</v>
      </c>
      <c r="AF565" s="266">
        <v>0</v>
      </c>
      <c r="AG565" s="307">
        <v>0</v>
      </c>
      <c r="AH565" s="426">
        <v>0</v>
      </c>
      <c r="AI565" s="306">
        <v>0</v>
      </c>
      <c r="AJ565" s="266">
        <v>0</v>
      </c>
      <c r="AK565" s="266">
        <v>0</v>
      </c>
      <c r="AL565" s="307">
        <v>0</v>
      </c>
      <c r="AM565" s="426">
        <v>0</v>
      </c>
      <c r="AN565" s="306">
        <v>0</v>
      </c>
      <c r="AO565" s="266">
        <v>0</v>
      </c>
      <c r="AP565" s="266">
        <v>0</v>
      </c>
      <c r="AQ565" s="307">
        <v>0</v>
      </c>
      <c r="AR565" s="426">
        <v>0</v>
      </c>
      <c r="AS565" s="306">
        <v>0</v>
      </c>
      <c r="AT565" s="266">
        <v>0</v>
      </c>
      <c r="AU565" s="266">
        <v>0</v>
      </c>
      <c r="AV565" s="307">
        <v>0</v>
      </c>
      <c r="AW565" s="426">
        <v>0</v>
      </c>
      <c r="AX565" s="306">
        <v>0</v>
      </c>
      <c r="AY565" s="266">
        <v>0</v>
      </c>
      <c r="AZ565" s="266">
        <v>0</v>
      </c>
      <c r="BA565" s="307">
        <v>0</v>
      </c>
      <c r="BB565" s="426">
        <v>0</v>
      </c>
      <c r="BC565" s="306">
        <v>0</v>
      </c>
      <c r="BD565" s="266">
        <v>0</v>
      </c>
      <c r="BE565" s="266">
        <v>0</v>
      </c>
      <c r="BF565" s="307">
        <v>0</v>
      </c>
      <c r="BG565" s="426">
        <v>0</v>
      </c>
      <c r="BH565" s="306">
        <v>0</v>
      </c>
      <c r="BI565" s="266">
        <v>0</v>
      </c>
      <c r="BJ565" s="266">
        <v>0</v>
      </c>
      <c r="BK565" s="307">
        <v>0</v>
      </c>
      <c r="BL565" s="426">
        <v>0</v>
      </c>
      <c r="BM565" s="306">
        <v>0</v>
      </c>
      <c r="BN565" s="266">
        <v>0</v>
      </c>
      <c r="BO565" s="266">
        <v>0</v>
      </c>
      <c r="BP565" s="307">
        <v>0</v>
      </c>
      <c r="BQ565" s="426">
        <v>0</v>
      </c>
      <c r="BR565" s="40"/>
      <c r="BS565" s="40"/>
      <c r="BT565" s="40"/>
      <c r="CN565" s="951"/>
      <c r="CO565" s="951"/>
      <c r="CP565" s="951"/>
      <c r="CQ565" s="951"/>
      <c r="CR565" s="951"/>
      <c r="CS565" s="951"/>
      <c r="CW565" s="232"/>
      <c r="CX565" s="232"/>
      <c r="CY565" s="232"/>
      <c r="CZ565" s="40"/>
      <c r="DA565" s="40"/>
      <c r="DB565" s="40"/>
      <c r="DC565" s="40"/>
      <c r="DD565" s="40"/>
      <c r="DE565" s="40"/>
      <c r="DF565" s="232"/>
      <c r="DG565" s="232"/>
      <c r="DH565" s="232"/>
      <c r="DI565" s="232"/>
      <c r="DJ565" s="232"/>
      <c r="DK565" s="232"/>
      <c r="DL565" s="232"/>
      <c r="DM565" s="232"/>
      <c r="DN565" s="232"/>
    </row>
    <row r="566" spans="1:118">
      <c r="A566" s="40"/>
      <c r="B566" s="32"/>
      <c r="C566" s="909" t="s">
        <v>199</v>
      </c>
      <c r="D566" s="895"/>
      <c r="E566" s="896"/>
      <c r="F566" s="897"/>
      <c r="G566" s="897"/>
      <c r="H566" s="898"/>
      <c r="I566" s="899"/>
      <c r="J566" s="896"/>
      <c r="K566" s="897"/>
      <c r="L566" s="897"/>
      <c r="M566" s="898"/>
      <c r="N566" s="228"/>
      <c r="O566" s="292"/>
      <c r="P566" s="261"/>
      <c r="Q566" s="261"/>
      <c r="R566" s="293"/>
      <c r="S566" s="228"/>
      <c r="T566" s="292"/>
      <c r="U566" s="261"/>
      <c r="V566" s="261"/>
      <c r="W566" s="293"/>
      <c r="X566" s="228"/>
      <c r="Y566" s="292">
        <f>Y564-Y565</f>
        <v>37.075604999999996</v>
      </c>
      <c r="Z566" s="261">
        <f>Z564-Z565</f>
        <v>37.075604999999996</v>
      </c>
      <c r="AA566" s="261">
        <f>AA564-AA565</f>
        <v>37.075604999999996</v>
      </c>
      <c r="AB566" s="293">
        <f>AB564-AB565</f>
        <v>37.075604999999996</v>
      </c>
      <c r="AC566" s="228">
        <f>AC564-AC565</f>
        <v>148.30241999999998</v>
      </c>
      <c r="AD566" s="292">
        <f t="shared" ref="AD566:BL566" si="827">AD564-AD565</f>
        <v>37.817117099999997</v>
      </c>
      <c r="AE566" s="261">
        <f>AE564-AE565</f>
        <v>37.817117099999997</v>
      </c>
      <c r="AF566" s="261">
        <f t="shared" si="827"/>
        <v>37.817117099999997</v>
      </c>
      <c r="AG566" s="293">
        <f t="shared" si="827"/>
        <v>37.817117099999997</v>
      </c>
      <c r="AH566" s="228">
        <f t="shared" si="827"/>
        <v>151.26846839999999</v>
      </c>
      <c r="AI566" s="292">
        <f t="shared" si="827"/>
        <v>38.573459442000001</v>
      </c>
      <c r="AJ566" s="261">
        <f t="shared" si="827"/>
        <v>38.573459442000001</v>
      </c>
      <c r="AK566" s="261">
        <f t="shared" si="827"/>
        <v>38.573459442000001</v>
      </c>
      <c r="AL566" s="293">
        <f t="shared" si="827"/>
        <v>38.573459442000001</v>
      </c>
      <c r="AM566" s="228">
        <f t="shared" si="827"/>
        <v>154.293837768</v>
      </c>
      <c r="AN566" s="292">
        <f t="shared" si="827"/>
        <v>39.344928630839995</v>
      </c>
      <c r="AO566" s="261">
        <f t="shared" si="827"/>
        <v>39.344928630839995</v>
      </c>
      <c r="AP566" s="261">
        <f t="shared" si="827"/>
        <v>39.344928630839995</v>
      </c>
      <c r="AQ566" s="293">
        <f t="shared" si="827"/>
        <v>49.309273797839992</v>
      </c>
      <c r="AR566" s="228">
        <f t="shared" si="827"/>
        <v>167.34405969035998</v>
      </c>
      <c r="AS566" s="292">
        <f t="shared" si="827"/>
        <v>50.29545927379678</v>
      </c>
      <c r="AT566" s="261">
        <f t="shared" si="827"/>
        <v>50.29545927379678</v>
      </c>
      <c r="AU566" s="261">
        <f t="shared" ref="AU566" si="828">AU564-AU565</f>
        <v>50.29545927379678</v>
      </c>
      <c r="AV566" s="293">
        <f t="shared" si="827"/>
        <v>50.29545927379678</v>
      </c>
      <c r="AW566" s="228">
        <f t="shared" si="827"/>
        <v>201.18183709518712</v>
      </c>
      <c r="AX566" s="292">
        <f t="shared" si="827"/>
        <v>51.301368459272723</v>
      </c>
      <c r="AY566" s="261">
        <f t="shared" si="827"/>
        <v>51.301368459272723</v>
      </c>
      <c r="AZ566" s="261">
        <f t="shared" si="827"/>
        <v>51.301368459272723</v>
      </c>
      <c r="BA566" s="293">
        <f t="shared" si="827"/>
        <v>51.301368459272723</v>
      </c>
      <c r="BB566" s="228">
        <f t="shared" si="827"/>
        <v>205.20547383709089</v>
      </c>
      <c r="BC566" s="292">
        <f t="shared" si="827"/>
        <v>52.327395828458172</v>
      </c>
      <c r="BD566" s="261">
        <f t="shared" si="827"/>
        <v>52.327395828458172</v>
      </c>
      <c r="BE566" s="261">
        <f t="shared" si="827"/>
        <v>52.327395828458172</v>
      </c>
      <c r="BF566" s="293">
        <f t="shared" si="827"/>
        <v>52.327395828458172</v>
      </c>
      <c r="BG566" s="228">
        <f t="shared" si="827"/>
        <v>209.30958331383269</v>
      </c>
      <c r="BH566" s="292">
        <f t="shared" si="827"/>
        <v>53.373943745027347</v>
      </c>
      <c r="BI566" s="261">
        <f t="shared" si="827"/>
        <v>53.373943745027347</v>
      </c>
      <c r="BJ566" s="261">
        <f t="shared" si="827"/>
        <v>53.373943745027347</v>
      </c>
      <c r="BK566" s="293">
        <f t="shared" si="827"/>
        <v>53.373943745027347</v>
      </c>
      <c r="BL566" s="228">
        <f t="shared" si="827"/>
        <v>213.49577498010939</v>
      </c>
      <c r="BM566" s="292">
        <f t="shared" ref="BM566:BQ566" si="829">BM564-BM565</f>
        <v>54.441422619927891</v>
      </c>
      <c r="BN566" s="261">
        <f t="shared" si="829"/>
        <v>54.441422619927891</v>
      </c>
      <c r="BO566" s="261">
        <f t="shared" si="829"/>
        <v>54.441422619927891</v>
      </c>
      <c r="BP566" s="293">
        <f t="shared" si="829"/>
        <v>54.441422619927891</v>
      </c>
      <c r="BQ566" s="228">
        <f t="shared" si="829"/>
        <v>217.76569047971157</v>
      </c>
      <c r="BR566" s="40"/>
      <c r="BS566" s="40"/>
      <c r="BT566" s="40"/>
      <c r="CN566" s="951"/>
      <c r="CO566" s="951"/>
      <c r="CP566" s="951"/>
      <c r="CQ566" s="951"/>
      <c r="CR566" s="951"/>
      <c r="CS566" s="951"/>
      <c r="CW566" s="232"/>
      <c r="CX566" s="232"/>
      <c r="CY566" s="232"/>
      <c r="CZ566" s="40"/>
      <c r="DA566" s="40"/>
      <c r="DB566" s="40"/>
      <c r="DC566" s="40"/>
      <c r="DD566" s="40"/>
      <c r="DE566" s="40"/>
      <c r="DF566" s="232"/>
      <c r="DG566" s="232"/>
      <c r="DH566" s="232"/>
      <c r="DI566" s="232"/>
      <c r="DJ566" s="232"/>
      <c r="DK566" s="232"/>
      <c r="DL566" s="232"/>
      <c r="DM566" s="232"/>
      <c r="DN566" s="232"/>
    </row>
    <row r="567" spans="1:118">
      <c r="A567" s="40"/>
      <c r="B567" s="32"/>
      <c r="C567" s="909"/>
      <c r="D567" s="895"/>
      <c r="E567" s="896"/>
      <c r="F567" s="897"/>
      <c r="G567" s="897"/>
      <c r="H567" s="898"/>
      <c r="I567" s="899"/>
      <c r="J567" s="896"/>
      <c r="K567" s="897"/>
      <c r="L567" s="897"/>
      <c r="M567" s="898"/>
      <c r="N567" s="228"/>
      <c r="O567" s="292"/>
      <c r="P567" s="261"/>
      <c r="Q567" s="261"/>
      <c r="R567" s="293"/>
      <c r="S567" s="228"/>
      <c r="T567" s="292"/>
      <c r="U567" s="261"/>
      <c r="V567" s="261"/>
      <c r="W567" s="293"/>
      <c r="X567" s="228"/>
      <c r="Y567" s="292"/>
      <c r="Z567" s="261"/>
      <c r="AA567" s="261"/>
      <c r="AB567" s="293"/>
      <c r="AC567" s="228"/>
      <c r="AD567" s="292"/>
      <c r="AE567" s="261"/>
      <c r="AF567" s="261"/>
      <c r="AG567" s="293"/>
      <c r="AH567" s="228"/>
      <c r="AI567" s="292"/>
      <c r="AJ567" s="261"/>
      <c r="AK567" s="261"/>
      <c r="AL567" s="293"/>
      <c r="AM567" s="228"/>
      <c r="AN567" s="292"/>
      <c r="AO567" s="261"/>
      <c r="AP567" s="261"/>
      <c r="AQ567" s="293"/>
      <c r="AR567" s="228"/>
      <c r="AS567" s="292"/>
      <c r="AT567" s="261"/>
      <c r="AU567" s="261"/>
      <c r="AV567" s="293"/>
      <c r="AW567" s="228"/>
      <c r="AX567" s="292"/>
      <c r="AY567" s="261"/>
      <c r="AZ567" s="261"/>
      <c r="BA567" s="293"/>
      <c r="BB567" s="228"/>
      <c r="BC567" s="292"/>
      <c r="BD567" s="261"/>
      <c r="BE567" s="261"/>
      <c r="BF567" s="293"/>
      <c r="BG567" s="228"/>
      <c r="BH567" s="292"/>
      <c r="BI567" s="261"/>
      <c r="BJ567" s="261"/>
      <c r="BK567" s="293"/>
      <c r="BL567" s="228"/>
      <c r="BM567" s="292"/>
      <c r="BN567" s="261"/>
      <c r="BO567" s="261"/>
      <c r="BP567" s="293"/>
      <c r="BQ567" s="228"/>
      <c r="BR567" s="40"/>
      <c r="BS567" s="40"/>
      <c r="BT567" s="40"/>
      <c r="CN567" s="951"/>
      <c r="CO567" s="951"/>
      <c r="CP567" s="951"/>
      <c r="CQ567" s="951"/>
      <c r="CR567" s="951"/>
      <c r="CS567" s="951"/>
      <c r="CW567" s="232"/>
      <c r="CX567" s="232"/>
      <c r="CY567" s="232"/>
      <c r="CZ567" s="40"/>
      <c r="DA567" s="40"/>
      <c r="DB567" s="40"/>
      <c r="DC567" s="40"/>
      <c r="DD567" s="40"/>
      <c r="DE567" s="40"/>
      <c r="DF567" s="232"/>
      <c r="DG567" s="232"/>
      <c r="DH567" s="232"/>
      <c r="DI567" s="232"/>
      <c r="DJ567" s="232"/>
      <c r="DK567" s="232"/>
      <c r="DL567" s="232"/>
      <c r="DM567" s="232"/>
      <c r="DN567" s="232"/>
    </row>
    <row r="568" spans="1:118">
      <c r="A568" s="40"/>
      <c r="B568" s="32"/>
      <c r="C568" s="909"/>
      <c r="D568" s="895"/>
      <c r="E568" s="896"/>
      <c r="F568" s="897"/>
      <c r="G568" s="897"/>
      <c r="H568" s="898"/>
      <c r="I568" s="899"/>
      <c r="J568" s="896"/>
      <c r="K568" s="897"/>
      <c r="L568" s="897"/>
      <c r="M568" s="898"/>
      <c r="N568" s="228"/>
      <c r="O568" s="292"/>
      <c r="P568" s="261"/>
      <c r="Q568" s="261"/>
      <c r="R568" s="293"/>
      <c r="S568" s="228"/>
      <c r="T568" s="292"/>
      <c r="U568" s="261"/>
      <c r="V568" s="261"/>
      <c r="W568" s="293"/>
      <c r="X568" s="228"/>
      <c r="Y568" s="292"/>
      <c r="Z568" s="261"/>
      <c r="AA568" s="261"/>
      <c r="AB568" s="293"/>
      <c r="AC568" s="228"/>
      <c r="AD568" s="292"/>
      <c r="AE568" s="261"/>
      <c r="AF568" s="261"/>
      <c r="AG568" s="293"/>
      <c r="AH568" s="228"/>
      <c r="AI568" s="292"/>
      <c r="AJ568" s="261"/>
      <c r="AK568" s="261"/>
      <c r="AL568" s="293"/>
      <c r="AM568" s="228"/>
      <c r="AN568" s="292"/>
      <c r="AO568" s="261"/>
      <c r="AP568" s="261"/>
      <c r="AQ568" s="293"/>
      <c r="AR568" s="228"/>
      <c r="AS568" s="292"/>
      <c r="AT568" s="261"/>
      <c r="AU568" s="261"/>
      <c r="AV568" s="293"/>
      <c r="AW568" s="228"/>
      <c r="AX568" s="292"/>
      <c r="AY568" s="261"/>
      <c r="AZ568" s="261"/>
      <c r="BA568" s="293"/>
      <c r="BB568" s="228"/>
      <c r="BC568" s="292"/>
      <c r="BD568" s="261"/>
      <c r="BE568" s="261"/>
      <c r="BF568" s="293"/>
      <c r="BG568" s="228"/>
      <c r="BH568" s="292"/>
      <c r="BI568" s="261"/>
      <c r="BJ568" s="261"/>
      <c r="BK568" s="293"/>
      <c r="BL568" s="228"/>
      <c r="BM568" s="292"/>
      <c r="BN568" s="261"/>
      <c r="BO568" s="261"/>
      <c r="BP568" s="293"/>
      <c r="BQ568" s="228"/>
      <c r="BR568" s="40"/>
      <c r="BS568" s="40"/>
      <c r="BT568" s="40"/>
      <c r="CN568" s="951"/>
      <c r="CO568" s="951"/>
      <c r="CP568" s="951"/>
      <c r="CQ568" s="951"/>
      <c r="CR568" s="951"/>
      <c r="CS568" s="951"/>
      <c r="CW568" s="232"/>
      <c r="CX568" s="232"/>
      <c r="CY568" s="232"/>
      <c r="CZ568" s="40"/>
      <c r="DA568" s="40"/>
      <c r="DB568" s="40"/>
      <c r="DC568" s="40"/>
      <c r="DD568" s="40"/>
      <c r="DE568" s="40"/>
      <c r="DF568" s="232"/>
      <c r="DG568" s="232"/>
      <c r="DH568" s="232"/>
      <c r="DI568" s="232"/>
      <c r="DJ568" s="232"/>
      <c r="DK568" s="232"/>
      <c r="DL568" s="232"/>
      <c r="DM568" s="232"/>
      <c r="DN568" s="232"/>
    </row>
    <row r="569" spans="1:118">
      <c r="A569" s="40"/>
      <c r="B569" s="32"/>
      <c r="C569" s="889" t="s">
        <v>809</v>
      </c>
      <c r="D569" s="895"/>
      <c r="E569" s="896"/>
      <c r="F569" s="897"/>
      <c r="G569" s="897"/>
      <c r="H569" s="898"/>
      <c r="I569" s="899"/>
      <c r="J569" s="896"/>
      <c r="K569" s="897"/>
      <c r="L569" s="897"/>
      <c r="M569" s="898"/>
      <c r="N569" s="228"/>
      <c r="O569" s="292"/>
      <c r="P569" s="261"/>
      <c r="Q569" s="261"/>
      <c r="R569" s="293"/>
      <c r="S569" s="228"/>
      <c r="T569" s="292"/>
      <c r="U569" s="261"/>
      <c r="V569" s="261"/>
      <c r="W569" s="293"/>
      <c r="X569" s="228"/>
      <c r="Y569" s="292"/>
      <c r="Z569" s="261"/>
      <c r="AA569" s="261"/>
      <c r="AB569" s="293"/>
      <c r="AC569" s="228"/>
      <c r="AD569" s="292"/>
      <c r="AE569" s="261"/>
      <c r="AF569" s="261"/>
      <c r="AG569" s="293"/>
      <c r="AH569" s="228"/>
      <c r="AI569" s="292"/>
      <c r="AJ569" s="261"/>
      <c r="AK569" s="261"/>
      <c r="AL569" s="293"/>
      <c r="AM569" s="228"/>
      <c r="AN569" s="292"/>
      <c r="AO569" s="261"/>
      <c r="AP569" s="261"/>
      <c r="AQ569" s="293"/>
      <c r="AR569" s="228"/>
      <c r="AS569" s="292"/>
      <c r="AT569" s="261"/>
      <c r="AU569" s="261"/>
      <c r="AV569" s="293"/>
      <c r="AW569" s="228"/>
      <c r="AX569" s="292"/>
      <c r="AY569" s="261"/>
      <c r="AZ569" s="261"/>
      <c r="BA569" s="293"/>
      <c r="BB569" s="228"/>
      <c r="BC569" s="292"/>
      <c r="BD569" s="261"/>
      <c r="BE569" s="261"/>
      <c r="BF569" s="293"/>
      <c r="BG569" s="228"/>
      <c r="BH569" s="292"/>
      <c r="BI569" s="261"/>
      <c r="BJ569" s="261"/>
      <c r="BK569" s="293"/>
      <c r="BL569" s="228"/>
      <c r="BM569" s="292"/>
      <c r="BN569" s="261"/>
      <c r="BO569" s="261"/>
      <c r="BP569" s="293"/>
      <c r="BQ569" s="228"/>
      <c r="BR569" s="156"/>
      <c r="BS569" s="156"/>
      <c r="BT569" s="40"/>
      <c r="CW569" s="232"/>
      <c r="CX569" s="232"/>
      <c r="CY569" s="232"/>
      <c r="CZ569" s="40"/>
      <c r="DA569" s="40"/>
      <c r="DB569" s="40"/>
      <c r="DC569" s="40"/>
      <c r="DD569" s="40"/>
      <c r="DE569" s="40"/>
      <c r="DF569" s="232"/>
      <c r="DG569" s="232"/>
      <c r="DH569" s="232"/>
      <c r="DI569" s="232"/>
      <c r="DJ569" s="232"/>
      <c r="DK569" s="232"/>
      <c r="DL569" s="232"/>
      <c r="DM569" s="232"/>
      <c r="DN569" s="232"/>
    </row>
    <row r="570" spans="1:118" s="232" customFormat="1">
      <c r="A570" s="40"/>
      <c r="B570" s="32"/>
      <c r="C570" s="895" t="s">
        <v>842</v>
      </c>
      <c r="D570" s="895"/>
      <c r="E570" s="896"/>
      <c r="F570" s="897"/>
      <c r="G570" s="897"/>
      <c r="H570" s="898"/>
      <c r="I570" s="992">
        <v>150</v>
      </c>
      <c r="J570" s="896"/>
      <c r="K570" s="897"/>
      <c r="L570" s="897"/>
      <c r="M570" s="898"/>
      <c r="N570" s="431"/>
      <c r="O570" s="900"/>
      <c r="P570" s="901"/>
      <c r="Q570" s="901"/>
      <c r="R570" s="902"/>
      <c r="S570"/>
      <c r="T570" s="900"/>
      <c r="U570" s="901"/>
      <c r="V570" s="901"/>
      <c r="W570" s="902"/>
      <c r="X570" s="903"/>
      <c r="Y570" s="900">
        <f>Z570</f>
        <v>150</v>
      </c>
      <c r="Z570" s="901">
        <f>AA570</f>
        <v>150</v>
      </c>
      <c r="AA570" s="901">
        <f>AB570</f>
        <v>150</v>
      </c>
      <c r="AB570" s="902">
        <f>AC570</f>
        <v>150</v>
      </c>
      <c r="AC570" s="903">
        <f>+I570</f>
        <v>150</v>
      </c>
      <c r="AD570" s="900">
        <f>AE570</f>
        <v>153</v>
      </c>
      <c r="AE570" s="901">
        <f>AF570</f>
        <v>153</v>
      </c>
      <c r="AF570" s="901">
        <f>AG570</f>
        <v>153</v>
      </c>
      <c r="AG570" s="902">
        <f>AH570</f>
        <v>153</v>
      </c>
      <c r="AH570" s="903">
        <f>+AC570*1.02</f>
        <v>153</v>
      </c>
      <c r="AI570" s="900">
        <f>AJ570</f>
        <v>156.06</v>
      </c>
      <c r="AJ570" s="901">
        <f>AK570</f>
        <v>156.06</v>
      </c>
      <c r="AK570" s="901">
        <f>AL570</f>
        <v>156.06</v>
      </c>
      <c r="AL570" s="902">
        <f>AM570</f>
        <v>156.06</v>
      </c>
      <c r="AM570" s="903">
        <f>+AH570*1.02</f>
        <v>156.06</v>
      </c>
      <c r="AN570" s="900">
        <f>AO570</f>
        <v>159.18120000000002</v>
      </c>
      <c r="AO570" s="901">
        <f>AP570</f>
        <v>159.18120000000002</v>
      </c>
      <c r="AP570" s="901">
        <f>AQ570</f>
        <v>159.18120000000002</v>
      </c>
      <c r="AQ570" s="902">
        <f>AR570</f>
        <v>159.18120000000002</v>
      </c>
      <c r="AR570" s="903">
        <f>+AM570*1.02</f>
        <v>159.18120000000002</v>
      </c>
      <c r="AS570" s="900">
        <f>AT570</f>
        <v>162.36482400000003</v>
      </c>
      <c r="AT570" s="901">
        <f>AU570</f>
        <v>162.36482400000003</v>
      </c>
      <c r="AU570" s="901">
        <f t="shared" ref="AU570" si="830">AV570</f>
        <v>162.36482400000003</v>
      </c>
      <c r="AV570" s="902">
        <f>AW570</f>
        <v>162.36482400000003</v>
      </c>
      <c r="AW570" s="903">
        <f>+AR570*1.02</f>
        <v>162.36482400000003</v>
      </c>
      <c r="AX570" s="900">
        <f>AY570</f>
        <v>165.61212048000004</v>
      </c>
      <c r="AY570" s="901">
        <f>AZ570</f>
        <v>165.61212048000004</v>
      </c>
      <c r="AZ570" s="901">
        <f>BA570</f>
        <v>165.61212048000004</v>
      </c>
      <c r="BA570" s="902">
        <f>BB570</f>
        <v>165.61212048000004</v>
      </c>
      <c r="BB570" s="903">
        <f>+AW570*1.02</f>
        <v>165.61212048000004</v>
      </c>
      <c r="BC570" s="900">
        <f>BD570</f>
        <v>168.92436288960005</v>
      </c>
      <c r="BD570" s="901">
        <f>BE570</f>
        <v>168.92436288960005</v>
      </c>
      <c r="BE570" s="901">
        <f>BF570</f>
        <v>168.92436288960005</v>
      </c>
      <c r="BF570" s="902">
        <f>BG570</f>
        <v>168.92436288960005</v>
      </c>
      <c r="BG570" s="903">
        <f>+BB570*1.02</f>
        <v>168.92436288960005</v>
      </c>
      <c r="BH570" s="900">
        <f>BI570</f>
        <v>172.30285014739206</v>
      </c>
      <c r="BI570" s="901">
        <f>BJ570</f>
        <v>172.30285014739206</v>
      </c>
      <c r="BJ570" s="901">
        <f>BK570</f>
        <v>172.30285014739206</v>
      </c>
      <c r="BK570" s="902">
        <f>BL570</f>
        <v>172.30285014739206</v>
      </c>
      <c r="BL570" s="903">
        <f>+BG570*1.02</f>
        <v>172.30285014739206</v>
      </c>
      <c r="BM570" s="900">
        <f>BN570</f>
        <v>175.7489071503399</v>
      </c>
      <c r="BN570" s="901">
        <f>BO570</f>
        <v>175.7489071503399</v>
      </c>
      <c r="BO570" s="901">
        <f>BP570</f>
        <v>175.7489071503399</v>
      </c>
      <c r="BP570" s="902">
        <f>BQ570</f>
        <v>175.7489071503399</v>
      </c>
      <c r="BQ570" s="903">
        <f>+BL570*1.02</f>
        <v>175.7489071503399</v>
      </c>
      <c r="BR570" s="40"/>
      <c r="BS570" s="40"/>
      <c r="BT570" s="40"/>
      <c r="BU570"/>
      <c r="BV570"/>
      <c r="BW570"/>
      <c r="BX570"/>
      <c r="BY570"/>
      <c r="BZ570"/>
      <c r="CA570"/>
      <c r="CB570"/>
      <c r="CC570"/>
      <c r="CD570"/>
      <c r="CE570"/>
      <c r="CF570"/>
      <c r="CN570"/>
      <c r="CO570"/>
      <c r="CP570"/>
      <c r="CQ570"/>
      <c r="CR570"/>
      <c r="CS570"/>
      <c r="CZ570" s="40"/>
      <c r="DA570" s="40"/>
      <c r="DB570" s="40"/>
      <c r="DC570" s="40"/>
      <c r="DD570" s="40"/>
      <c r="DE570" s="40"/>
    </row>
    <row r="571" spans="1:118" s="232" customFormat="1">
      <c r="A571" s="40"/>
      <c r="B571" s="32"/>
      <c r="C571" s="909" t="s">
        <v>802</v>
      </c>
      <c r="D571" s="909"/>
      <c r="E571" s="891"/>
      <c r="F571" s="892"/>
      <c r="G571" s="892"/>
      <c r="H571" s="893"/>
      <c r="I571" s="884">
        <v>250</v>
      </c>
      <c r="J571" s="891"/>
      <c r="K571" s="892"/>
      <c r="L571" s="892"/>
      <c r="M571" s="893"/>
      <c r="N571" s="669"/>
      <c r="O571" s="292"/>
      <c r="P571" s="261"/>
      <c r="Q571" s="261"/>
      <c r="R571" s="293"/>
      <c r="S571" s="669"/>
      <c r="T571" s="292"/>
      <c r="U571" s="261"/>
      <c r="V571" s="261"/>
      <c r="W571" s="293"/>
      <c r="X571" s="228"/>
      <c r="Y571" s="292">
        <f>+I571</f>
        <v>250</v>
      </c>
      <c r="Z571" s="261">
        <f>+Y571</f>
        <v>250</v>
      </c>
      <c r="AA571" s="261">
        <f>+Z571</f>
        <v>250</v>
      </c>
      <c r="AB571" s="293">
        <f>+AA571</f>
        <v>250</v>
      </c>
      <c r="AC571" s="228">
        <f>+AB571</f>
        <v>250</v>
      </c>
      <c r="AD571" s="292">
        <f t="shared" ref="AD571:BL571" si="831">+AC571</f>
        <v>250</v>
      </c>
      <c r="AE571" s="261">
        <f>+AD571</f>
        <v>250</v>
      </c>
      <c r="AF571" s="261">
        <f t="shared" si="831"/>
        <v>250</v>
      </c>
      <c r="AG571" s="293">
        <f t="shared" si="831"/>
        <v>250</v>
      </c>
      <c r="AH571" s="228">
        <f t="shared" si="831"/>
        <v>250</v>
      </c>
      <c r="AI571" s="292">
        <f t="shared" si="831"/>
        <v>250</v>
      </c>
      <c r="AJ571" s="261">
        <f t="shared" si="831"/>
        <v>250</v>
      </c>
      <c r="AK571" s="261">
        <f t="shared" si="831"/>
        <v>250</v>
      </c>
      <c r="AL571" s="293">
        <f t="shared" si="831"/>
        <v>250</v>
      </c>
      <c r="AM571" s="228">
        <f t="shared" si="831"/>
        <v>250</v>
      </c>
      <c r="AN571" s="292">
        <f t="shared" si="831"/>
        <v>250</v>
      </c>
      <c r="AO571" s="261">
        <f t="shared" si="831"/>
        <v>250</v>
      </c>
      <c r="AP571" s="261">
        <f t="shared" si="831"/>
        <v>250</v>
      </c>
      <c r="AQ571" s="293">
        <f t="shared" si="831"/>
        <v>250</v>
      </c>
      <c r="AR571" s="228">
        <f t="shared" si="831"/>
        <v>250</v>
      </c>
      <c r="AS571" s="292">
        <f t="shared" si="831"/>
        <v>250</v>
      </c>
      <c r="AT571" s="261">
        <f t="shared" si="831"/>
        <v>250</v>
      </c>
      <c r="AU571" s="261">
        <f t="shared" ref="AU571" si="832">+AT571</f>
        <v>250</v>
      </c>
      <c r="AV571" s="293">
        <f t="shared" si="831"/>
        <v>250</v>
      </c>
      <c r="AW571" s="228">
        <f t="shared" si="831"/>
        <v>250</v>
      </c>
      <c r="AX571" s="292">
        <f t="shared" si="831"/>
        <v>250</v>
      </c>
      <c r="AY571" s="261">
        <f t="shared" si="831"/>
        <v>250</v>
      </c>
      <c r="AZ571" s="261">
        <f t="shared" si="831"/>
        <v>250</v>
      </c>
      <c r="BA571" s="293">
        <f t="shared" si="831"/>
        <v>250</v>
      </c>
      <c r="BB571" s="228">
        <f t="shared" si="831"/>
        <v>250</v>
      </c>
      <c r="BC571" s="292">
        <f t="shared" si="831"/>
        <v>250</v>
      </c>
      <c r="BD571" s="261">
        <f t="shared" si="831"/>
        <v>250</v>
      </c>
      <c r="BE571" s="261">
        <f t="shared" si="831"/>
        <v>250</v>
      </c>
      <c r="BF571" s="293">
        <f t="shared" si="831"/>
        <v>250</v>
      </c>
      <c r="BG571" s="228">
        <f>+BF571</f>
        <v>250</v>
      </c>
      <c r="BH571" s="292">
        <f>+BG571</f>
        <v>250</v>
      </c>
      <c r="BI571" s="261">
        <f t="shared" si="831"/>
        <v>250</v>
      </c>
      <c r="BJ571" s="261">
        <f t="shared" si="831"/>
        <v>250</v>
      </c>
      <c r="BK571" s="293">
        <f t="shared" si="831"/>
        <v>250</v>
      </c>
      <c r="BL571" s="228">
        <f t="shared" si="831"/>
        <v>250</v>
      </c>
      <c r="BM571" s="292">
        <f t="shared" ref="BM571" si="833">+BL571</f>
        <v>250</v>
      </c>
      <c r="BN571" s="261">
        <f t="shared" ref="BN571" si="834">+BM571</f>
        <v>250</v>
      </c>
      <c r="BO571" s="261">
        <f t="shared" ref="BO571" si="835">+BN571</f>
        <v>250</v>
      </c>
      <c r="BP571" s="293">
        <f t="shared" ref="BP571" si="836">+BO571</f>
        <v>250</v>
      </c>
      <c r="BQ571" s="228">
        <f t="shared" ref="BQ571" si="837">+BP571</f>
        <v>250</v>
      </c>
      <c r="BR571" s="40"/>
      <c r="BS571" s="40"/>
      <c r="BT571" s="40"/>
      <c r="BU571"/>
      <c r="BV571"/>
      <c r="BW571"/>
      <c r="BX571"/>
      <c r="BY571"/>
      <c r="BZ571"/>
      <c r="CA571"/>
      <c r="CB571"/>
      <c r="CC571"/>
      <c r="CD571"/>
      <c r="CE571"/>
      <c r="CF571"/>
      <c r="CN571"/>
      <c r="CO571"/>
      <c r="CP571"/>
      <c r="CQ571"/>
      <c r="CR571"/>
      <c r="CS571"/>
      <c r="CZ571" s="40"/>
      <c r="DA571" s="40"/>
      <c r="DB571" s="40"/>
      <c r="DC571" s="40"/>
      <c r="DD571" s="40"/>
      <c r="DE571" s="40"/>
    </row>
    <row r="572" spans="1:118">
      <c r="A572" s="40"/>
      <c r="B572" s="32"/>
      <c r="C572" s="895"/>
      <c r="D572" s="895"/>
      <c r="E572" s="896"/>
      <c r="F572" s="897"/>
      <c r="G572" s="897"/>
      <c r="H572" s="898"/>
      <c r="I572" s="899"/>
      <c r="J572" s="896"/>
      <c r="K572" s="897"/>
      <c r="L572" s="897"/>
      <c r="M572" s="898"/>
      <c r="N572" s="899"/>
      <c r="O572" s="896"/>
      <c r="P572" s="897"/>
      <c r="Q572" s="897"/>
      <c r="R572" s="898"/>
      <c r="S572" s="899"/>
      <c r="T572" s="896"/>
      <c r="U572" s="897"/>
      <c r="V572" s="897"/>
      <c r="W572" s="898"/>
      <c r="X572" s="899"/>
      <c r="Y572" s="896"/>
      <c r="Z572" s="897"/>
      <c r="AA572" s="897"/>
      <c r="AB572" s="898"/>
      <c r="AC572" s="899"/>
      <c r="AD572" s="896"/>
      <c r="AE572" s="897"/>
      <c r="AF572" s="897"/>
      <c r="AG572" s="898"/>
      <c r="AH572" s="899"/>
      <c r="AI572" s="896"/>
      <c r="AJ572" s="897"/>
      <c r="AK572" s="897"/>
      <c r="AL572" s="898"/>
      <c r="AM572" s="899"/>
      <c r="AN572" s="896"/>
      <c r="AO572" s="897"/>
      <c r="AP572" s="897"/>
      <c r="AQ572" s="898"/>
      <c r="AR572" s="899"/>
      <c r="AS572" s="896"/>
      <c r="AT572" s="897"/>
      <c r="AU572" s="897"/>
      <c r="AV572" s="898"/>
      <c r="AW572" s="899"/>
      <c r="AX572" s="896"/>
      <c r="AY572" s="897"/>
      <c r="AZ572" s="897"/>
      <c r="BA572" s="898"/>
      <c r="BB572" s="899"/>
      <c r="BC572" s="896"/>
      <c r="BD572" s="897"/>
      <c r="BE572" s="897"/>
      <c r="BF572" s="898"/>
      <c r="BG572" s="899"/>
      <c r="BH572" s="896"/>
      <c r="BI572" s="897"/>
      <c r="BJ572" s="897"/>
      <c r="BK572" s="898"/>
      <c r="BL572" s="899"/>
      <c r="BM572" s="896"/>
      <c r="BN572" s="897"/>
      <c r="BO572" s="897"/>
      <c r="BP572" s="898"/>
      <c r="BQ572" s="899"/>
      <c r="BR572" s="40"/>
      <c r="BS572" s="40"/>
      <c r="BT572" s="40"/>
      <c r="BU572" s="232"/>
      <c r="BV572" s="232"/>
      <c r="BW572" s="232"/>
      <c r="BX572" s="232"/>
      <c r="BY572" s="232"/>
      <c r="BZ572" s="232"/>
      <c r="CA572" s="232"/>
      <c r="CB572" s="232"/>
      <c r="CC572" s="232"/>
      <c r="CD572" s="232"/>
      <c r="CE572" s="232"/>
      <c r="CF572" s="232"/>
      <c r="CN572" s="535"/>
      <c r="CO572" s="535"/>
      <c r="CP572" s="535"/>
      <c r="CQ572" s="535"/>
      <c r="CR572" s="535"/>
      <c r="CS572" s="535"/>
      <c r="CW572" s="232"/>
      <c r="CX572" s="232"/>
      <c r="CY572" s="232"/>
      <c r="CZ572" s="40"/>
      <c r="DA572" s="40"/>
      <c r="DB572" s="40"/>
      <c r="DC572" s="40"/>
      <c r="DD572" s="40"/>
      <c r="DE572" s="40"/>
      <c r="DF572" s="232"/>
      <c r="DG572" s="232"/>
      <c r="DH572" s="232"/>
      <c r="DI572" s="232"/>
      <c r="DJ572" s="232"/>
      <c r="DK572" s="232"/>
      <c r="DL572" s="232"/>
      <c r="DM572" s="232"/>
      <c r="DN572" s="232"/>
    </row>
    <row r="573" spans="1:118">
      <c r="A573" s="40"/>
      <c r="B573" s="32"/>
      <c r="C573" s="895" t="s">
        <v>197</v>
      </c>
      <c r="D573" s="895"/>
      <c r="E573" s="896"/>
      <c r="F573" s="897"/>
      <c r="G573" s="897"/>
      <c r="H573" s="898"/>
      <c r="I573" s="544">
        <v>0.25</v>
      </c>
      <c r="J573" s="896"/>
      <c r="K573" s="897"/>
      <c r="L573" s="897"/>
      <c r="M573" s="898"/>
      <c r="N573" s="904"/>
      <c r="O573" s="905"/>
      <c r="P573" s="906"/>
      <c r="Q573" s="906"/>
      <c r="R573" s="907"/>
      <c r="S573" s="32"/>
      <c r="T573" s="905"/>
      <c r="U573" s="906"/>
      <c r="V573" s="906"/>
      <c r="W573" s="907"/>
      <c r="X573" s="908"/>
      <c r="Y573" s="905">
        <f>+I573</f>
        <v>0.25</v>
      </c>
      <c r="Z573" s="906">
        <f>Y573</f>
        <v>0.25</v>
      </c>
      <c r="AA573" s="906">
        <f>Z573</f>
        <v>0.25</v>
      </c>
      <c r="AB573" s="907">
        <f>AA573</f>
        <v>0.25</v>
      </c>
      <c r="AC573" s="908">
        <f>AC574/(AVERAGE(Y571:AB571)*8.76)</f>
        <v>0.25</v>
      </c>
      <c r="AD573" s="905">
        <f>AC573</f>
        <v>0.25</v>
      </c>
      <c r="AE573" s="906">
        <f>AD573</f>
        <v>0.25</v>
      </c>
      <c r="AF573" s="906">
        <f>AE573</f>
        <v>0.25</v>
      </c>
      <c r="AG573" s="907">
        <f>AF573</f>
        <v>0.25</v>
      </c>
      <c r="AH573" s="908">
        <f>AH574/(AVERAGE(AD571:AG571)*8.76)</f>
        <v>0.25</v>
      </c>
      <c r="AI573" s="905">
        <f>AH573</f>
        <v>0.25</v>
      </c>
      <c r="AJ573" s="906">
        <f>AI573</f>
        <v>0.25</v>
      </c>
      <c r="AK573" s="906">
        <f>AJ573</f>
        <v>0.25</v>
      </c>
      <c r="AL573" s="907">
        <f>AK573</f>
        <v>0.25</v>
      </c>
      <c r="AM573" s="908">
        <f>AM574/(AVERAGE(AI571:AL571)*8.76)</f>
        <v>0.25</v>
      </c>
      <c r="AN573" s="905">
        <f>AM573</f>
        <v>0.25</v>
      </c>
      <c r="AO573" s="906">
        <f>AN573</f>
        <v>0.25</v>
      </c>
      <c r="AP573" s="906">
        <f>AO573</f>
        <v>0.25</v>
      </c>
      <c r="AQ573" s="907">
        <f>AP573</f>
        <v>0.25</v>
      </c>
      <c r="AR573" s="908">
        <f>AR574/(AVERAGE(AN571:AQ571)*8.76)</f>
        <v>0.25</v>
      </c>
      <c r="AS573" s="905">
        <f>AR573</f>
        <v>0.25</v>
      </c>
      <c r="AT573" s="906">
        <f>AS573</f>
        <v>0.25</v>
      </c>
      <c r="AU573" s="906">
        <f t="shared" ref="AU573" si="838">AT573</f>
        <v>0.25</v>
      </c>
      <c r="AV573" s="907">
        <f>AU573</f>
        <v>0.25</v>
      </c>
      <c r="AW573" s="908">
        <f>AW574/(AVERAGE(AS571:AV571)*8.76)</f>
        <v>0.25</v>
      </c>
      <c r="AX573" s="905">
        <f>AW573</f>
        <v>0.25</v>
      </c>
      <c r="AY573" s="906">
        <f>AX573</f>
        <v>0.25</v>
      </c>
      <c r="AZ573" s="906">
        <f>AY573</f>
        <v>0.25</v>
      </c>
      <c r="BA573" s="907">
        <f>AZ573</f>
        <v>0.25</v>
      </c>
      <c r="BB573" s="908">
        <f>BB574/(AVERAGE(AX571:BA571)*8.76)</f>
        <v>0.25</v>
      </c>
      <c r="BC573" s="905">
        <f>BB573</f>
        <v>0.25</v>
      </c>
      <c r="BD573" s="906">
        <f>BC573</f>
        <v>0.25</v>
      </c>
      <c r="BE573" s="906">
        <f>BD573</f>
        <v>0.25</v>
      </c>
      <c r="BF573" s="907">
        <f>BE573</f>
        <v>0.25</v>
      </c>
      <c r="BG573" s="908">
        <f>BG574/(AVERAGE(BC571:BF571)*8.76)</f>
        <v>0.25</v>
      </c>
      <c r="BH573" s="905">
        <f>BG573</f>
        <v>0.25</v>
      </c>
      <c r="BI573" s="906">
        <f>BH573</f>
        <v>0.25</v>
      </c>
      <c r="BJ573" s="906">
        <f>BI573</f>
        <v>0.25</v>
      </c>
      <c r="BK573" s="907">
        <f>BJ573</f>
        <v>0.25</v>
      </c>
      <c r="BL573" s="908">
        <f>BL574/(AVERAGE(BH571:BK571)*8.76)</f>
        <v>0.25</v>
      </c>
      <c r="BM573" s="905">
        <f>BL573</f>
        <v>0.25</v>
      </c>
      <c r="BN573" s="906">
        <f>BM573</f>
        <v>0.25</v>
      </c>
      <c r="BO573" s="906">
        <f>BN573</f>
        <v>0.25</v>
      </c>
      <c r="BP573" s="907">
        <f>BO573</f>
        <v>0.25</v>
      </c>
      <c r="BQ573" s="908">
        <f>BQ574/(AVERAGE(BM571:BP571)*8.76)</f>
        <v>0.25</v>
      </c>
      <c r="BR573" s="40"/>
      <c r="BS573" s="40"/>
      <c r="BT573" s="40"/>
      <c r="BU573" s="232"/>
      <c r="BV573" s="232"/>
      <c r="BW573" s="232"/>
      <c r="BX573" s="232"/>
      <c r="BY573" s="232"/>
      <c r="BZ573" s="232"/>
      <c r="CA573" s="232"/>
      <c r="CB573" s="232"/>
      <c r="CC573" s="232"/>
      <c r="CD573" s="232"/>
      <c r="CE573" s="232"/>
      <c r="CF573" s="232"/>
      <c r="CN573" s="497"/>
      <c r="CO573" s="497"/>
      <c r="CP573" s="497"/>
      <c r="CQ573" s="497"/>
      <c r="CR573" s="497"/>
      <c r="CS573" s="497"/>
      <c r="CW573" s="232"/>
      <c r="CX573" s="232"/>
      <c r="CY573" s="232"/>
      <c r="CZ573" s="40"/>
      <c r="DA573" s="40"/>
      <c r="DB573" s="40"/>
      <c r="DC573" s="40"/>
      <c r="DD573" s="40"/>
      <c r="DE573" s="40"/>
      <c r="DF573" s="232"/>
      <c r="DG573" s="232"/>
      <c r="DH573" s="232"/>
      <c r="DI573" s="232"/>
      <c r="DJ573" s="232"/>
      <c r="DK573" s="232"/>
      <c r="DL573" s="232"/>
      <c r="DM573" s="232"/>
      <c r="DN573" s="232"/>
    </row>
    <row r="574" spans="1:118">
      <c r="A574" s="40"/>
      <c r="B574" s="32"/>
      <c r="C574" s="909" t="s">
        <v>198</v>
      </c>
      <c r="D574" s="909"/>
      <c r="E574" s="891"/>
      <c r="F574" s="892"/>
      <c r="G574" s="892"/>
      <c r="H574" s="893"/>
      <c r="I574" s="894"/>
      <c r="J574" s="891"/>
      <c r="K574" s="892"/>
      <c r="L574" s="892"/>
      <c r="M574" s="893"/>
      <c r="N574" s="228"/>
      <c r="O574" s="292"/>
      <c r="P574" s="261"/>
      <c r="Q574" s="261"/>
      <c r="R574" s="293"/>
      <c r="S574" s="228"/>
      <c r="T574" s="292"/>
      <c r="U574" s="261"/>
      <c r="V574" s="261"/>
      <c r="W574" s="293"/>
      <c r="X574" s="228"/>
      <c r="Y574" s="292">
        <f>+Y571*Y573*8.76/4</f>
        <v>136.875</v>
      </c>
      <c r="Z574" s="261">
        <f>+Z571*Z573*8.76/4</f>
        <v>136.875</v>
      </c>
      <c r="AA574" s="261">
        <f>+AA571*AA573*8.76/4</f>
        <v>136.875</v>
      </c>
      <c r="AB574" s="293">
        <f>+AB571*AB573*8.76/4</f>
        <v>136.875</v>
      </c>
      <c r="AC574" s="228">
        <f>SUM(Y574:AB574)</f>
        <v>547.5</v>
      </c>
      <c r="AD574" s="292">
        <f>+AD571*AD573*8.76/4</f>
        <v>136.875</v>
      </c>
      <c r="AE574" s="261">
        <f>+AE571*AE573*8.76/4</f>
        <v>136.875</v>
      </c>
      <c r="AF574" s="261">
        <f>+AF571*AF573*8.76/4</f>
        <v>136.875</v>
      </c>
      <c r="AG574" s="293">
        <f>+AG571*AG573*8.76/4</f>
        <v>136.875</v>
      </c>
      <c r="AH574" s="228">
        <f>SUM(AD574:AG574)</f>
        <v>547.5</v>
      </c>
      <c r="AI574" s="292">
        <f>+AI571*AI573*8.76/4</f>
        <v>136.875</v>
      </c>
      <c r="AJ574" s="261">
        <f>+AJ571*AJ573*8.76/4</f>
        <v>136.875</v>
      </c>
      <c r="AK574" s="261">
        <f>+AK571*AK573*8.76/4</f>
        <v>136.875</v>
      </c>
      <c r="AL574" s="293">
        <f>+AL571*AL573*8.76/4</f>
        <v>136.875</v>
      </c>
      <c r="AM574" s="228">
        <f>SUM(AI574:AL574)</f>
        <v>547.5</v>
      </c>
      <c r="AN574" s="292">
        <f>+AN571*AN573*8.76/4</f>
        <v>136.875</v>
      </c>
      <c r="AO574" s="261">
        <f>+AO571*AO573*8.76/4</f>
        <v>136.875</v>
      </c>
      <c r="AP574" s="261">
        <f>+AP571*AP573*8.76/4</f>
        <v>136.875</v>
      </c>
      <c r="AQ574" s="293">
        <f>+AQ571*AQ573*8.76/4</f>
        <v>136.875</v>
      </c>
      <c r="AR574" s="228">
        <f>SUM(AN574:AQ574)</f>
        <v>547.5</v>
      </c>
      <c r="AS574" s="292">
        <f>+AS571*AS573*8.76/4</f>
        <v>136.875</v>
      </c>
      <c r="AT574" s="261">
        <f>+AT571*AT573*8.76/4</f>
        <v>136.875</v>
      </c>
      <c r="AU574" s="261">
        <f t="shared" ref="AU574" si="839">+AU571*AU573*8.76/4</f>
        <v>136.875</v>
      </c>
      <c r="AV574" s="293">
        <f>+AV571*AV573*8.76/4</f>
        <v>136.875</v>
      </c>
      <c r="AW574" s="228">
        <f>SUM(AS574:AV574)</f>
        <v>547.5</v>
      </c>
      <c r="AX574" s="292">
        <f>+AX571*AX573*8.76/4</f>
        <v>136.875</v>
      </c>
      <c r="AY574" s="261">
        <f>+AY571*AY573*8.76/4</f>
        <v>136.875</v>
      </c>
      <c r="AZ574" s="261">
        <f>+AZ571*AZ573*8.76/4</f>
        <v>136.875</v>
      </c>
      <c r="BA574" s="293">
        <f>+BA571*BA573*8.76/4</f>
        <v>136.875</v>
      </c>
      <c r="BB574" s="228">
        <f>SUM(AX574:BA574)</f>
        <v>547.5</v>
      </c>
      <c r="BC574" s="292">
        <f>+BC571*BC573*8.76/4</f>
        <v>136.875</v>
      </c>
      <c r="BD574" s="261">
        <f>+BD571*BD573*8.76/4</f>
        <v>136.875</v>
      </c>
      <c r="BE574" s="261">
        <f>+BE571*BE573*8.76/4</f>
        <v>136.875</v>
      </c>
      <c r="BF574" s="293">
        <f>+BF571*BF573*8.76/4</f>
        <v>136.875</v>
      </c>
      <c r="BG574" s="228">
        <f>SUM(BC574:BF574)</f>
        <v>547.5</v>
      </c>
      <c r="BH574" s="292">
        <f>+BH571*BH573*8.76/4</f>
        <v>136.875</v>
      </c>
      <c r="BI574" s="261">
        <f>+BI571*BI573*8.76/4</f>
        <v>136.875</v>
      </c>
      <c r="BJ574" s="261">
        <f>+BJ571*BJ573*8.76/4</f>
        <v>136.875</v>
      </c>
      <c r="BK574" s="293">
        <f>+BK571*BK573*8.76/4</f>
        <v>136.875</v>
      </c>
      <c r="BL574" s="228">
        <f>SUM(BH574:BK574)</f>
        <v>547.5</v>
      </c>
      <c r="BM574" s="292">
        <f>+BM571*BM573*8.76/4</f>
        <v>136.875</v>
      </c>
      <c r="BN574" s="261">
        <f>+BN571*BN573*8.76/4</f>
        <v>136.875</v>
      </c>
      <c r="BO574" s="261">
        <f>+BO571*BO573*8.76/4</f>
        <v>136.875</v>
      </c>
      <c r="BP574" s="293">
        <f>+BP571*BP573*8.76/4</f>
        <v>136.875</v>
      </c>
      <c r="BQ574" s="228">
        <f>SUM(BM574:BP574)</f>
        <v>547.5</v>
      </c>
      <c r="BR574" s="40"/>
      <c r="BS574" s="40"/>
      <c r="BT574" s="40"/>
      <c r="CN574" s="1033"/>
      <c r="CO574" s="1033"/>
      <c r="CP574" s="1033"/>
      <c r="CQ574" s="1033"/>
      <c r="CR574" s="1033"/>
      <c r="CS574" s="1033"/>
      <c r="CW574" s="232"/>
      <c r="CX574" s="232"/>
      <c r="CY574" s="232"/>
      <c r="CZ574" s="40"/>
      <c r="DA574" s="40"/>
      <c r="DB574" s="40"/>
      <c r="DC574" s="40"/>
      <c r="DD574" s="40"/>
      <c r="DE574" s="40"/>
      <c r="DF574" s="232"/>
      <c r="DG574" s="232"/>
      <c r="DH574" s="232"/>
      <c r="DI574" s="232"/>
      <c r="DJ574" s="232"/>
      <c r="DK574" s="232"/>
      <c r="DL574" s="232"/>
      <c r="DM574" s="232"/>
      <c r="DN574" s="232"/>
    </row>
    <row r="575" spans="1:118">
      <c r="A575" s="40"/>
      <c r="B575" s="32"/>
      <c r="C575" s="895"/>
      <c r="D575" s="895"/>
      <c r="E575" s="896"/>
      <c r="F575" s="897"/>
      <c r="G575" s="897"/>
      <c r="H575" s="898"/>
      <c r="I575" s="899"/>
      <c r="J575" s="896"/>
      <c r="K575" s="897"/>
      <c r="L575" s="897"/>
      <c r="M575" s="898"/>
      <c r="N575" s="899"/>
      <c r="O575" s="896"/>
      <c r="P575" s="897"/>
      <c r="Q575" s="897"/>
      <c r="R575" s="898"/>
      <c r="S575" s="899"/>
      <c r="T575" s="896"/>
      <c r="U575" s="897"/>
      <c r="V575" s="897"/>
      <c r="W575" s="898"/>
      <c r="X575" s="899"/>
      <c r="Y575" s="896"/>
      <c r="Z575" s="897"/>
      <c r="AA575" s="897"/>
      <c r="AB575" s="898"/>
      <c r="AC575" s="899"/>
      <c r="AD575" s="896"/>
      <c r="AE575" s="897"/>
      <c r="AF575" s="897"/>
      <c r="AG575" s="898"/>
      <c r="AH575" s="899"/>
      <c r="AI575" s="896"/>
      <c r="AJ575" s="897"/>
      <c r="AK575" s="897"/>
      <c r="AL575" s="898"/>
      <c r="AM575" s="899"/>
      <c r="AN575" s="896"/>
      <c r="AO575" s="897"/>
      <c r="AP575" s="897"/>
      <c r="AQ575" s="898"/>
      <c r="AR575" s="899"/>
      <c r="AS575" s="896"/>
      <c r="AT575" s="897"/>
      <c r="AU575" s="897"/>
      <c r="AV575" s="898"/>
      <c r="AW575" s="899"/>
      <c r="AX575" s="896"/>
      <c r="AY575" s="897"/>
      <c r="AZ575" s="897"/>
      <c r="BA575" s="898"/>
      <c r="BB575" s="899"/>
      <c r="BC575" s="896"/>
      <c r="BD575" s="897"/>
      <c r="BE575" s="897"/>
      <c r="BF575" s="898"/>
      <c r="BG575" s="899"/>
      <c r="BH575" s="896"/>
      <c r="BI575" s="897"/>
      <c r="BJ575" s="897"/>
      <c r="BK575" s="898"/>
      <c r="BL575" s="899"/>
      <c r="BM575" s="896"/>
      <c r="BN575" s="897"/>
      <c r="BO575" s="897"/>
      <c r="BP575" s="898"/>
      <c r="BQ575" s="899"/>
      <c r="BR575" s="40"/>
      <c r="BS575" s="40"/>
      <c r="BT575" s="40"/>
      <c r="CN575" s="989"/>
      <c r="CO575" s="989"/>
      <c r="CP575" s="989"/>
      <c r="CQ575" s="989"/>
      <c r="CR575" s="989"/>
      <c r="CS575" s="989"/>
      <c r="CW575" s="232"/>
      <c r="CX575" s="232"/>
      <c r="CY575" s="232"/>
      <c r="CZ575" s="40"/>
      <c r="DA575" s="40"/>
      <c r="DB575" s="40"/>
      <c r="DC575" s="40"/>
      <c r="DD575" s="40"/>
      <c r="DE575" s="40"/>
      <c r="DF575" s="232"/>
      <c r="DG575" s="232"/>
      <c r="DH575" s="232"/>
      <c r="DI575" s="232"/>
      <c r="DJ575" s="232"/>
      <c r="DK575" s="232"/>
      <c r="DL575" s="232"/>
      <c r="DM575" s="232"/>
      <c r="DN575" s="232"/>
    </row>
    <row r="576" spans="1:118">
      <c r="A576" s="40"/>
      <c r="B576" s="32"/>
      <c r="C576" s="895" t="s">
        <v>798</v>
      </c>
      <c r="D576" s="895"/>
      <c r="E576" s="896"/>
      <c r="F576" s="897"/>
      <c r="G576" s="897"/>
      <c r="H576" s="898"/>
      <c r="I576" s="899"/>
      <c r="J576" s="896"/>
      <c r="K576" s="897"/>
      <c r="L576" s="897"/>
      <c r="M576" s="898"/>
      <c r="N576" s="45"/>
      <c r="O576" s="290"/>
      <c r="P576" s="260"/>
      <c r="Q576" s="260"/>
      <c r="R576" s="291"/>
      <c r="S576" s="45"/>
      <c r="T576" s="290"/>
      <c r="U576" s="260"/>
      <c r="V576" s="260"/>
      <c r="W576" s="291"/>
      <c r="X576" s="45"/>
      <c r="Y576" s="290">
        <f>+Y574*Y570/1000</f>
        <v>20.53125</v>
      </c>
      <c r="Z576" s="260">
        <f>+Z574*Z570/1000</f>
        <v>20.53125</v>
      </c>
      <c r="AA576" s="260">
        <f>+AA574*AA570/1000</f>
        <v>20.53125</v>
      </c>
      <c r="AB576" s="291">
        <f>+AB574*AB570/1000</f>
        <v>20.53125</v>
      </c>
      <c r="AC576" s="45">
        <f>SUM(Y576:AB576)</f>
        <v>82.125</v>
      </c>
      <c r="AD576" s="290">
        <f>+AD574*AD570/1000</f>
        <v>20.941875</v>
      </c>
      <c r="AE576" s="260">
        <f>+AE574*AE570/1000</f>
        <v>20.941875</v>
      </c>
      <c r="AF576" s="260">
        <f>+AF574*AF570/1000</f>
        <v>20.941875</v>
      </c>
      <c r="AG576" s="291">
        <f>+AG574*AG570/1000</f>
        <v>20.941875</v>
      </c>
      <c r="AH576" s="45">
        <f>SUM(AD576:AG576)</f>
        <v>83.767499999999998</v>
      </c>
      <c r="AI576" s="290">
        <f>+AI574*AI570/1000</f>
        <v>21.360712500000002</v>
      </c>
      <c r="AJ576" s="260">
        <f>+AJ574*AJ570/1000</f>
        <v>21.360712500000002</v>
      </c>
      <c r="AK576" s="260">
        <f>+AK574*AK570/1000</f>
        <v>21.360712500000002</v>
      </c>
      <c r="AL576" s="291">
        <f>+AL574*AL570/1000</f>
        <v>21.360712500000002</v>
      </c>
      <c r="AM576" s="45">
        <f>SUM(AI576:AL576)</f>
        <v>85.442850000000007</v>
      </c>
      <c r="AN576" s="290">
        <f>+AN574*AN570/1000</f>
        <v>21.787926750000004</v>
      </c>
      <c r="AO576" s="260">
        <f>+AO574*AO570/1000</f>
        <v>21.787926750000004</v>
      </c>
      <c r="AP576" s="260">
        <f>+AP574*AP570/1000</f>
        <v>21.787926750000004</v>
      </c>
      <c r="AQ576" s="291">
        <f>+AQ574*AQ570/1000</f>
        <v>21.787926750000004</v>
      </c>
      <c r="AR576" s="45">
        <f>SUM(AN576:AQ576)</f>
        <v>87.151707000000016</v>
      </c>
      <c r="AS576" s="290">
        <f>+AS574*AS570/1000</f>
        <v>22.223685285000002</v>
      </c>
      <c r="AT576" s="260">
        <f>+AT574*AT570/1000</f>
        <v>22.223685285000002</v>
      </c>
      <c r="AU576" s="260">
        <f t="shared" ref="AU576" si="840">+AU574*AU570/1000</f>
        <v>22.223685285000002</v>
      </c>
      <c r="AV576" s="291">
        <f>+AV574*AV570/1000</f>
        <v>22.223685285000002</v>
      </c>
      <c r="AW576" s="45">
        <f>SUM(AS576:AV576)</f>
        <v>88.894741140000008</v>
      </c>
      <c r="AX576" s="290">
        <f>+AX574*AX570/1000</f>
        <v>22.668158990700004</v>
      </c>
      <c r="AY576" s="260">
        <f>+AY574*AY570/1000</f>
        <v>22.668158990700004</v>
      </c>
      <c r="AZ576" s="260">
        <f>+AZ574*AZ570/1000</f>
        <v>22.668158990700004</v>
      </c>
      <c r="BA576" s="291">
        <f>+BA574*BA570/1000</f>
        <v>22.668158990700004</v>
      </c>
      <c r="BB576" s="45">
        <f>SUM(AX576:BA576)</f>
        <v>90.672635962800015</v>
      </c>
      <c r="BC576" s="290">
        <f>+BC574*BC570/1000</f>
        <v>23.121522170514005</v>
      </c>
      <c r="BD576" s="260">
        <f>+BD574*BD570/1000</f>
        <v>23.121522170514005</v>
      </c>
      <c r="BE576" s="260">
        <f>+BE574*BE570/1000</f>
        <v>23.121522170514005</v>
      </c>
      <c r="BF576" s="291">
        <f>+BF574*BF570/1000</f>
        <v>23.121522170514005</v>
      </c>
      <c r="BG576" s="45">
        <f>SUM(BC576:BF576)</f>
        <v>92.486088682056021</v>
      </c>
      <c r="BH576" s="290">
        <f>+BH574*BH570/1000</f>
        <v>23.583952613924289</v>
      </c>
      <c r="BI576" s="260">
        <f>+BI574*BI570/1000</f>
        <v>23.583952613924289</v>
      </c>
      <c r="BJ576" s="260">
        <f>+BJ574*BJ570/1000</f>
        <v>23.583952613924289</v>
      </c>
      <c r="BK576" s="291">
        <f>+BK574*BK570/1000</f>
        <v>23.583952613924289</v>
      </c>
      <c r="BL576" s="45">
        <f>SUM(BH576:BK576)</f>
        <v>94.335810455697157</v>
      </c>
      <c r="BM576" s="290">
        <f>+BM574*BM570/1000</f>
        <v>24.055631666202775</v>
      </c>
      <c r="BN576" s="260">
        <f>+BN574*BN570/1000</f>
        <v>24.055631666202775</v>
      </c>
      <c r="BO576" s="260">
        <f>+BO574*BO570/1000</f>
        <v>24.055631666202775</v>
      </c>
      <c r="BP576" s="291">
        <f>+BP574*BP570/1000</f>
        <v>24.055631666202775</v>
      </c>
      <c r="BQ576" s="45">
        <f>SUM(BM576:BP576)</f>
        <v>96.222526664811099</v>
      </c>
      <c r="BR576" s="40"/>
      <c r="BS576" s="40"/>
      <c r="BT576" s="40"/>
      <c r="CG576" s="40"/>
      <c r="CH576" s="40"/>
      <c r="CI576" s="40"/>
      <c r="CJ576" s="40"/>
      <c r="CK576" s="40"/>
      <c r="CL576" s="40"/>
      <c r="CM576" s="40"/>
      <c r="CN576" s="40"/>
      <c r="CO576" s="40"/>
      <c r="CP576" s="40"/>
      <c r="CQ576" s="40"/>
      <c r="CR576" s="40"/>
      <c r="CS576" s="40"/>
      <c r="CT576" s="823"/>
      <c r="CU576" s="232"/>
      <c r="CV576" s="232"/>
      <c r="CW576" s="232"/>
      <c r="CX576" s="232"/>
      <c r="CY576" s="232"/>
      <c r="CZ576" s="40"/>
      <c r="DA576" s="40"/>
      <c r="DB576" s="40"/>
      <c r="DC576" s="40"/>
      <c r="DD576" s="40"/>
      <c r="DE576" s="40"/>
      <c r="DF576" s="232"/>
      <c r="DG576" s="232"/>
      <c r="DH576" s="232"/>
      <c r="DI576" s="232"/>
      <c r="DJ576" s="232"/>
      <c r="DK576" s="232"/>
      <c r="DL576" s="232"/>
      <c r="DM576" s="232"/>
      <c r="DN576" s="232"/>
    </row>
    <row r="577" spans="1:118">
      <c r="A577" s="40"/>
      <c r="B577" s="32"/>
      <c r="C577" s="895" t="s">
        <v>278</v>
      </c>
      <c r="D577" s="895"/>
      <c r="E577" s="896"/>
      <c r="F577" s="897"/>
      <c r="G577" s="897"/>
      <c r="H577" s="898"/>
      <c r="I577" s="899"/>
      <c r="J577" s="896"/>
      <c r="K577" s="897"/>
      <c r="L577" s="897"/>
      <c r="M577" s="898"/>
      <c r="N577" s="426"/>
      <c r="O577" s="306"/>
      <c r="P577" s="266"/>
      <c r="Q577" s="266"/>
      <c r="R577" s="307"/>
      <c r="S577" s="426"/>
      <c r="T577" s="306"/>
      <c r="U577" s="266"/>
      <c r="V577" s="266"/>
      <c r="W577" s="307"/>
      <c r="X577" s="426"/>
      <c r="Y577" s="814">
        <v>0</v>
      </c>
      <c r="Z577" s="262">
        <v>0</v>
      </c>
      <c r="AA577" s="262">
        <v>0</v>
      </c>
      <c r="AB577" s="294">
        <v>0</v>
      </c>
      <c r="AC577" s="1003">
        <v>0</v>
      </c>
      <c r="AD577" s="306">
        <v>0</v>
      </c>
      <c r="AE577" s="262">
        <v>0</v>
      </c>
      <c r="AF577" s="266">
        <v>0</v>
      </c>
      <c r="AG577" s="307">
        <v>0</v>
      </c>
      <c r="AH577" s="426">
        <v>0</v>
      </c>
      <c r="AI577" s="306">
        <v>0</v>
      </c>
      <c r="AJ577" s="266">
        <v>0</v>
      </c>
      <c r="AK577" s="266">
        <v>0</v>
      </c>
      <c r="AL577" s="307">
        <v>0</v>
      </c>
      <c r="AM577" s="426">
        <v>0</v>
      </c>
      <c r="AN577" s="306">
        <v>0</v>
      </c>
      <c r="AO577" s="266">
        <v>0</v>
      </c>
      <c r="AP577" s="266">
        <v>0</v>
      </c>
      <c r="AQ577" s="307">
        <v>0</v>
      </c>
      <c r="AR577" s="426">
        <v>0</v>
      </c>
      <c r="AS577" s="306">
        <v>0</v>
      </c>
      <c r="AT577" s="266">
        <v>0</v>
      </c>
      <c r="AU577" s="266">
        <v>0</v>
      </c>
      <c r="AV577" s="307">
        <v>0</v>
      </c>
      <c r="AW577" s="426">
        <v>0</v>
      </c>
      <c r="AX577" s="306">
        <v>0</v>
      </c>
      <c r="AY577" s="266">
        <v>0</v>
      </c>
      <c r="AZ577" s="266">
        <v>0</v>
      </c>
      <c r="BA577" s="307">
        <v>0</v>
      </c>
      <c r="BB577" s="426">
        <v>0</v>
      </c>
      <c r="BC577" s="306">
        <v>0</v>
      </c>
      <c r="BD577" s="266">
        <v>0</v>
      </c>
      <c r="BE577" s="266">
        <v>0</v>
      </c>
      <c r="BF577" s="307">
        <v>0</v>
      </c>
      <c r="BG577" s="426">
        <v>0</v>
      </c>
      <c r="BH577" s="306">
        <v>0</v>
      </c>
      <c r="BI577" s="266">
        <v>0</v>
      </c>
      <c r="BJ577" s="266">
        <v>0</v>
      </c>
      <c r="BK577" s="307">
        <v>0</v>
      </c>
      <c r="BL577" s="426">
        <v>0</v>
      </c>
      <c r="BM577" s="306">
        <v>0</v>
      </c>
      <c r="BN577" s="266">
        <v>0</v>
      </c>
      <c r="BO577" s="266">
        <v>0</v>
      </c>
      <c r="BP577" s="307">
        <v>0</v>
      </c>
      <c r="BQ577" s="426">
        <v>0</v>
      </c>
      <c r="BR577" s="40"/>
      <c r="BS577" s="40"/>
      <c r="BT577" s="40"/>
      <c r="CG577" s="40"/>
      <c r="CH577" s="40"/>
      <c r="CI577" s="40"/>
      <c r="CJ577" s="40"/>
      <c r="CK577" s="40"/>
      <c r="CL577" s="40"/>
      <c r="CM577" s="40"/>
      <c r="CN577" s="40"/>
      <c r="CO577" s="40"/>
      <c r="CP577" s="40"/>
      <c r="CQ577" s="40"/>
      <c r="CR577" s="40"/>
      <c r="CS577" s="40"/>
      <c r="CT577" s="823"/>
      <c r="CU577" s="232"/>
      <c r="CV577" s="232"/>
      <c r="CW577" s="232"/>
      <c r="CX577" s="232"/>
      <c r="CY577" s="232"/>
      <c r="CZ577" s="40"/>
      <c r="DA577" s="40"/>
      <c r="DB577" s="40"/>
      <c r="DC577" s="40"/>
      <c r="DD577" s="40"/>
      <c r="DE577" s="40"/>
      <c r="DF577" s="232"/>
      <c r="DG577" s="232"/>
      <c r="DH577" s="232"/>
      <c r="DI577" s="232"/>
      <c r="DJ577" s="232"/>
      <c r="DK577" s="232"/>
      <c r="DL577" s="232"/>
      <c r="DM577" s="232"/>
      <c r="DN577" s="232"/>
    </row>
    <row r="578" spans="1:118">
      <c r="A578" s="40"/>
      <c r="B578" s="32"/>
      <c r="C578" s="909" t="s">
        <v>199</v>
      </c>
      <c r="D578" s="895"/>
      <c r="E578" s="896"/>
      <c r="F578" s="897"/>
      <c r="G578" s="897"/>
      <c r="H578" s="898"/>
      <c r="I578" s="899"/>
      <c r="J578" s="896"/>
      <c r="K578" s="897"/>
      <c r="L578" s="897"/>
      <c r="M578" s="898"/>
      <c r="N578" s="228"/>
      <c r="O578" s="292"/>
      <c r="P578" s="261"/>
      <c r="Q578" s="261"/>
      <c r="R578" s="293"/>
      <c r="S578" s="228"/>
      <c r="T578" s="292"/>
      <c r="U578" s="261"/>
      <c r="V578" s="261"/>
      <c r="W578" s="293"/>
      <c r="X578" s="228"/>
      <c r="Y578" s="292">
        <f>Y576-Y577</f>
        <v>20.53125</v>
      </c>
      <c r="Z578" s="261">
        <f>Z576-Z577</f>
        <v>20.53125</v>
      </c>
      <c r="AA578" s="261">
        <f>AA576-AA577</f>
        <v>20.53125</v>
      </c>
      <c r="AB578" s="293">
        <f>AB576-AB577</f>
        <v>20.53125</v>
      </c>
      <c r="AC578" s="228">
        <f>AC576-AC577</f>
        <v>82.125</v>
      </c>
      <c r="AD578" s="292">
        <f t="shared" ref="AD578:BL578" si="841">AD576-AD577</f>
        <v>20.941875</v>
      </c>
      <c r="AE578" s="261">
        <f>AE576-AE577</f>
        <v>20.941875</v>
      </c>
      <c r="AF578" s="261">
        <f t="shared" si="841"/>
        <v>20.941875</v>
      </c>
      <c r="AG578" s="293">
        <f t="shared" si="841"/>
        <v>20.941875</v>
      </c>
      <c r="AH578" s="228">
        <f t="shared" si="841"/>
        <v>83.767499999999998</v>
      </c>
      <c r="AI578" s="292">
        <f t="shared" si="841"/>
        <v>21.360712500000002</v>
      </c>
      <c r="AJ578" s="261">
        <f t="shared" si="841"/>
        <v>21.360712500000002</v>
      </c>
      <c r="AK578" s="261">
        <f t="shared" si="841"/>
        <v>21.360712500000002</v>
      </c>
      <c r="AL578" s="293">
        <f t="shared" si="841"/>
        <v>21.360712500000002</v>
      </c>
      <c r="AM578" s="228">
        <f t="shared" si="841"/>
        <v>85.442850000000007</v>
      </c>
      <c r="AN578" s="292">
        <f t="shared" si="841"/>
        <v>21.787926750000004</v>
      </c>
      <c r="AO578" s="261">
        <f t="shared" si="841"/>
        <v>21.787926750000004</v>
      </c>
      <c r="AP578" s="261">
        <f t="shared" si="841"/>
        <v>21.787926750000004</v>
      </c>
      <c r="AQ578" s="293">
        <f t="shared" si="841"/>
        <v>21.787926750000004</v>
      </c>
      <c r="AR578" s="228">
        <f t="shared" si="841"/>
        <v>87.151707000000016</v>
      </c>
      <c r="AS578" s="292">
        <f t="shared" si="841"/>
        <v>22.223685285000002</v>
      </c>
      <c r="AT578" s="261">
        <f t="shared" si="841"/>
        <v>22.223685285000002</v>
      </c>
      <c r="AU578" s="261">
        <f t="shared" ref="AU578" si="842">AU576-AU577</f>
        <v>22.223685285000002</v>
      </c>
      <c r="AV578" s="293">
        <f t="shared" si="841"/>
        <v>22.223685285000002</v>
      </c>
      <c r="AW578" s="228">
        <f t="shared" si="841"/>
        <v>88.894741140000008</v>
      </c>
      <c r="AX578" s="292">
        <f t="shared" si="841"/>
        <v>22.668158990700004</v>
      </c>
      <c r="AY578" s="261">
        <f t="shared" si="841"/>
        <v>22.668158990700004</v>
      </c>
      <c r="AZ578" s="261">
        <f t="shared" si="841"/>
        <v>22.668158990700004</v>
      </c>
      <c r="BA578" s="293">
        <f t="shared" si="841"/>
        <v>22.668158990700004</v>
      </c>
      <c r="BB578" s="228">
        <f t="shared" si="841"/>
        <v>90.672635962800015</v>
      </c>
      <c r="BC578" s="292">
        <f t="shared" si="841"/>
        <v>23.121522170514005</v>
      </c>
      <c r="BD578" s="261">
        <f t="shared" si="841"/>
        <v>23.121522170514005</v>
      </c>
      <c r="BE578" s="261">
        <f t="shared" si="841"/>
        <v>23.121522170514005</v>
      </c>
      <c r="BF578" s="293">
        <f t="shared" si="841"/>
        <v>23.121522170514005</v>
      </c>
      <c r="BG578" s="228">
        <f t="shared" si="841"/>
        <v>92.486088682056021</v>
      </c>
      <c r="BH578" s="292">
        <f t="shared" si="841"/>
        <v>23.583952613924289</v>
      </c>
      <c r="BI578" s="261">
        <f t="shared" si="841"/>
        <v>23.583952613924289</v>
      </c>
      <c r="BJ578" s="261">
        <f t="shared" si="841"/>
        <v>23.583952613924289</v>
      </c>
      <c r="BK578" s="293">
        <f t="shared" si="841"/>
        <v>23.583952613924289</v>
      </c>
      <c r="BL578" s="228">
        <f t="shared" si="841"/>
        <v>94.335810455697157</v>
      </c>
      <c r="BM578" s="292">
        <f t="shared" ref="BM578:BQ578" si="843">BM576-BM577</f>
        <v>24.055631666202775</v>
      </c>
      <c r="BN578" s="261">
        <f t="shared" si="843"/>
        <v>24.055631666202775</v>
      </c>
      <c r="BO578" s="261">
        <f t="shared" si="843"/>
        <v>24.055631666202775</v>
      </c>
      <c r="BP578" s="293">
        <f t="shared" si="843"/>
        <v>24.055631666202775</v>
      </c>
      <c r="BQ578" s="228">
        <f t="shared" si="843"/>
        <v>96.222526664811099</v>
      </c>
      <c r="BR578" s="40"/>
      <c r="BS578" s="40"/>
      <c r="BT578" s="40"/>
      <c r="BU578" s="232"/>
      <c r="BV578" s="40"/>
      <c r="BW578" s="40"/>
      <c r="BX578" s="40"/>
      <c r="BY578" s="40"/>
      <c r="BZ578" s="40"/>
      <c r="CA578" s="40"/>
      <c r="CB578" s="40"/>
      <c r="CC578" s="40"/>
      <c r="CD578" s="40"/>
      <c r="CE578" s="40"/>
      <c r="CF578" s="40"/>
      <c r="CG578" s="40"/>
      <c r="CH578" s="40"/>
      <c r="CI578" s="40"/>
      <c r="CJ578" s="40"/>
      <c r="CK578" s="40"/>
      <c r="CL578" s="40"/>
      <c r="CM578" s="40"/>
      <c r="CN578" s="40"/>
      <c r="CO578" s="40"/>
      <c r="CP578" s="40"/>
      <c r="CQ578" s="40"/>
      <c r="CR578" s="40"/>
      <c r="CS578" s="40"/>
      <c r="CT578" s="823"/>
      <c r="CU578" s="232"/>
      <c r="CV578" s="232"/>
      <c r="CW578" s="232"/>
      <c r="CX578" s="232"/>
      <c r="CY578" s="232"/>
      <c r="CZ578" s="40"/>
      <c r="DA578" s="40"/>
      <c r="DB578" s="40"/>
      <c r="DC578" s="40"/>
      <c r="DD578" s="40"/>
      <c r="DE578" s="40"/>
      <c r="DF578" s="232"/>
      <c r="DG578" s="232"/>
      <c r="DH578" s="232"/>
      <c r="DI578" s="232"/>
      <c r="DJ578" s="232"/>
      <c r="DK578" s="232"/>
      <c r="DL578" s="232"/>
      <c r="DM578" s="232"/>
      <c r="DN578" s="232"/>
    </row>
    <row r="579" spans="1:118">
      <c r="A579" s="40"/>
      <c r="B579" s="32"/>
      <c r="C579" s="909"/>
      <c r="D579" s="895"/>
      <c r="E579" s="896"/>
      <c r="F579" s="897"/>
      <c r="G579" s="897"/>
      <c r="H579" s="898"/>
      <c r="I579" s="899"/>
      <c r="J579" s="896"/>
      <c r="K579" s="897"/>
      <c r="L579" s="897"/>
      <c r="M579" s="898"/>
      <c r="N579" s="228"/>
      <c r="O579" s="292"/>
      <c r="P579" s="261"/>
      <c r="Q579" s="261"/>
      <c r="R579" s="293"/>
      <c r="S579" s="228"/>
      <c r="T579" s="292"/>
      <c r="U579" s="261"/>
      <c r="V579" s="261"/>
      <c r="W579" s="293"/>
      <c r="X579" s="228"/>
      <c r="Y579" s="292"/>
      <c r="Z579" s="261"/>
      <c r="AA579" s="261"/>
      <c r="AB579" s="293"/>
      <c r="AC579" s="228"/>
      <c r="AD579" s="292"/>
      <c r="AE579" s="261"/>
      <c r="AF579" s="261"/>
      <c r="AG579" s="293"/>
      <c r="AH579" s="228"/>
      <c r="AI579" s="292"/>
      <c r="AJ579" s="261"/>
      <c r="AK579" s="261"/>
      <c r="AL579" s="293"/>
      <c r="AM579" s="228"/>
      <c r="AN579" s="292"/>
      <c r="AO579" s="261"/>
      <c r="AP579" s="261"/>
      <c r="AQ579" s="293"/>
      <c r="AR579" s="228"/>
      <c r="AS579" s="292"/>
      <c r="AT579" s="261"/>
      <c r="AU579" s="261"/>
      <c r="AV579" s="293"/>
      <c r="AW579" s="228"/>
      <c r="AX579" s="292"/>
      <c r="AY579" s="261"/>
      <c r="AZ579" s="261"/>
      <c r="BA579" s="293"/>
      <c r="BB579" s="228"/>
      <c r="BC579" s="292"/>
      <c r="BD579" s="261"/>
      <c r="BE579" s="261"/>
      <c r="BF579" s="293"/>
      <c r="BG579" s="228"/>
      <c r="BH579" s="292"/>
      <c r="BI579" s="261"/>
      <c r="BJ579" s="261"/>
      <c r="BK579" s="293"/>
      <c r="BL579" s="228"/>
      <c r="BM579" s="292"/>
      <c r="BN579" s="261"/>
      <c r="BO579" s="261"/>
      <c r="BP579" s="293"/>
      <c r="BQ579" s="228"/>
      <c r="BR579" s="40"/>
      <c r="BS579" s="40"/>
      <c r="BT579" s="40"/>
      <c r="BU579" s="232"/>
      <c r="BV579" s="40"/>
      <c r="BW579" s="40"/>
      <c r="BX579" s="40"/>
      <c r="BY579" s="40"/>
      <c r="BZ579" s="40"/>
      <c r="CA579" s="40"/>
      <c r="CB579" s="40"/>
      <c r="CC579" s="40"/>
      <c r="CD579" s="40"/>
      <c r="CE579" s="40"/>
      <c r="CF579" s="40"/>
      <c r="CG579" s="40"/>
      <c r="CH579" s="40"/>
      <c r="CI579" s="40"/>
      <c r="CJ579" s="40"/>
      <c r="CK579" s="40"/>
      <c r="CL579" s="40"/>
      <c r="CM579" s="40"/>
      <c r="CN579" s="40"/>
      <c r="CO579" s="40"/>
      <c r="CP579" s="40"/>
      <c r="CQ579" s="40"/>
      <c r="CR579" s="40"/>
      <c r="CS579" s="40"/>
      <c r="CT579" s="823"/>
      <c r="CU579" s="232"/>
      <c r="CV579" s="232"/>
      <c r="CW579" s="232"/>
      <c r="CX579" s="232"/>
      <c r="CY579" s="232"/>
      <c r="CZ579" s="40"/>
      <c r="DA579" s="40"/>
      <c r="DB579" s="40"/>
      <c r="DC579" s="40"/>
      <c r="DD579" s="40"/>
      <c r="DE579" s="40"/>
      <c r="DF579" s="232"/>
      <c r="DG579" s="232"/>
      <c r="DH579" s="232"/>
      <c r="DI579" s="232"/>
      <c r="DJ579" s="232"/>
      <c r="DK579" s="232"/>
      <c r="DL579" s="232"/>
      <c r="DM579" s="232"/>
      <c r="DN579" s="232"/>
    </row>
    <row r="580" spans="1:118">
      <c r="A580" s="40"/>
      <c r="B580" s="32"/>
      <c r="C580" s="909"/>
      <c r="D580" s="895"/>
      <c r="E580" s="896"/>
      <c r="F580" s="897"/>
      <c r="G580" s="897"/>
      <c r="H580" s="898"/>
      <c r="I580" s="899"/>
      <c r="J580" s="896"/>
      <c r="K580" s="897"/>
      <c r="L580" s="897"/>
      <c r="M580" s="898"/>
      <c r="N580" s="228"/>
      <c r="O580" s="292"/>
      <c r="P580" s="261"/>
      <c r="Q580" s="261"/>
      <c r="R580" s="293"/>
      <c r="S580" s="228"/>
      <c r="T580" s="292"/>
      <c r="U580" s="261"/>
      <c r="V580" s="261"/>
      <c r="W580" s="293"/>
      <c r="X580" s="228"/>
      <c r="Y580" s="292"/>
      <c r="Z580" s="261"/>
      <c r="AA580" s="261"/>
      <c r="AB580" s="293"/>
      <c r="AC580" s="228"/>
      <c r="AD580" s="292"/>
      <c r="AE580" s="261"/>
      <c r="AF580" s="261"/>
      <c r="AG580" s="293"/>
      <c r="AH580" s="228"/>
      <c r="AI580" s="292"/>
      <c r="AJ580" s="261"/>
      <c r="AK580" s="261"/>
      <c r="AL580" s="293"/>
      <c r="AM580" s="228"/>
      <c r="AN580" s="292"/>
      <c r="AO580" s="261"/>
      <c r="AP580" s="261"/>
      <c r="AQ580" s="293"/>
      <c r="AR580" s="228"/>
      <c r="AS580" s="292"/>
      <c r="AT580" s="261"/>
      <c r="AU580" s="261"/>
      <c r="AV580" s="293"/>
      <c r="AW580" s="228"/>
      <c r="AX580" s="292"/>
      <c r="AY580" s="261"/>
      <c r="AZ580" s="261"/>
      <c r="BA580" s="293"/>
      <c r="BB580" s="228"/>
      <c r="BC580" s="292"/>
      <c r="BD580" s="261"/>
      <c r="BE580" s="261"/>
      <c r="BF580" s="293"/>
      <c r="BG580" s="228"/>
      <c r="BH580" s="292"/>
      <c r="BI580" s="261"/>
      <c r="BJ580" s="261"/>
      <c r="BK580" s="293"/>
      <c r="BL580" s="228"/>
      <c r="BM580" s="292"/>
      <c r="BN580" s="261"/>
      <c r="BO580" s="261"/>
      <c r="BP580" s="293"/>
      <c r="BQ580" s="228"/>
      <c r="BR580" s="40"/>
      <c r="BS580" s="40"/>
      <c r="BT580" s="40"/>
      <c r="BU580" s="232"/>
      <c r="BV580" s="40"/>
      <c r="BW580" s="40"/>
      <c r="BX580" s="40"/>
      <c r="BY580" s="40"/>
      <c r="BZ580" s="40"/>
      <c r="CA580" s="40"/>
      <c r="CB580" s="40"/>
      <c r="CC580" s="40"/>
      <c r="CD580" s="40"/>
      <c r="CE580" s="40"/>
      <c r="CF580" s="40"/>
      <c r="CG580" s="40"/>
      <c r="CH580" s="40"/>
      <c r="CI580" s="40"/>
      <c r="CJ580" s="40"/>
      <c r="CK580" s="40"/>
      <c r="CL580" s="40"/>
      <c r="CM580" s="40"/>
      <c r="CN580" s="40"/>
      <c r="CO580" s="40"/>
      <c r="CP580" s="40"/>
      <c r="CQ580" s="40"/>
      <c r="CR580" s="40"/>
      <c r="CS580" s="40"/>
      <c r="CT580" s="823"/>
      <c r="CU580" s="232"/>
      <c r="CV580" s="232"/>
      <c r="CW580" s="232"/>
      <c r="CX580" s="232"/>
      <c r="CY580" s="232"/>
      <c r="CZ580" s="40"/>
      <c r="DA580" s="40"/>
      <c r="DB580" s="40"/>
      <c r="DC580" s="40"/>
      <c r="DD580" s="40"/>
      <c r="DE580" s="40"/>
      <c r="DF580" s="232"/>
      <c r="DG580" s="232"/>
      <c r="DH580" s="232"/>
      <c r="DI580" s="232"/>
      <c r="DJ580" s="232"/>
      <c r="DK580" s="232"/>
      <c r="DL580" s="232"/>
      <c r="DM580" s="232"/>
      <c r="DN580" s="232"/>
    </row>
    <row r="581" spans="1:118">
      <c r="A581" s="40"/>
      <c r="B581" s="32"/>
      <c r="C581" s="889" t="s">
        <v>845</v>
      </c>
      <c r="D581" s="895"/>
      <c r="E581" s="896"/>
      <c r="F581" s="897"/>
      <c r="G581" s="897"/>
      <c r="H581" s="898"/>
      <c r="I581" s="899"/>
      <c r="J581" s="896"/>
      <c r="K581" s="897"/>
      <c r="L581" s="897"/>
      <c r="M581" s="898"/>
      <c r="N581" s="228"/>
      <c r="O581" s="292"/>
      <c r="P581" s="261"/>
      <c r="Q581" s="261"/>
      <c r="R581" s="293"/>
      <c r="S581" s="228"/>
      <c r="T581" s="292"/>
      <c r="U581" s="261"/>
      <c r="V581" s="261"/>
      <c r="W581" s="293"/>
      <c r="X581" s="228"/>
      <c r="Y581" s="292"/>
      <c r="Z581" s="261"/>
      <c r="AA581" s="261"/>
      <c r="AB581" s="293"/>
      <c r="AC581" s="228"/>
      <c r="AD581" s="292"/>
      <c r="AE581" s="261"/>
      <c r="AF581" s="261"/>
      <c r="AG581" s="293"/>
      <c r="AH581" s="228"/>
      <c r="AI581" s="292"/>
      <c r="AJ581" s="261"/>
      <c r="AK581" s="261"/>
      <c r="AL581" s="293"/>
      <c r="AM581" s="228"/>
      <c r="AN581" s="292"/>
      <c r="AO581" s="261"/>
      <c r="AP581" s="261"/>
      <c r="AQ581" s="293"/>
      <c r="AR581" s="228"/>
      <c r="AS581" s="292"/>
      <c r="AT581" s="261"/>
      <c r="AU581" s="261"/>
      <c r="AV581" s="293"/>
      <c r="AW581" s="228"/>
      <c r="AX581" s="292"/>
      <c r="AY581" s="261"/>
      <c r="AZ581" s="261"/>
      <c r="BA581" s="293"/>
      <c r="BB581" s="228"/>
      <c r="BC581" s="292"/>
      <c r="BD581" s="261"/>
      <c r="BE581" s="261"/>
      <c r="BF581" s="293"/>
      <c r="BG581" s="228"/>
      <c r="BH581" s="292"/>
      <c r="BI581" s="261"/>
      <c r="BJ581" s="261"/>
      <c r="BK581" s="293"/>
      <c r="BL581" s="228"/>
      <c r="BM581" s="292"/>
      <c r="BN581" s="261"/>
      <c r="BO581" s="261"/>
      <c r="BP581" s="293"/>
      <c r="BQ581" s="228"/>
      <c r="BR581" s="40"/>
      <c r="BS581" s="40"/>
      <c r="BT581" s="40"/>
      <c r="BU581" s="232"/>
      <c r="BV581" s="40"/>
      <c r="BW581" s="40"/>
      <c r="BX581" s="40"/>
      <c r="BY581" s="40"/>
      <c r="BZ581" s="40"/>
      <c r="CA581" s="40"/>
      <c r="CB581" s="40"/>
      <c r="CC581" s="40"/>
      <c r="CD581" s="40"/>
      <c r="CE581" s="40"/>
      <c r="CF581" s="40"/>
      <c r="CG581" s="40"/>
      <c r="CH581" s="40"/>
      <c r="CI581" s="40"/>
      <c r="CJ581" s="40"/>
      <c r="CK581" s="40"/>
      <c r="CL581" s="40"/>
      <c r="CM581" s="40"/>
      <c r="CN581" s="40"/>
      <c r="CO581" s="40"/>
      <c r="CP581" s="40"/>
      <c r="CQ581" s="40"/>
      <c r="CR581" s="40"/>
      <c r="CS581" s="40"/>
      <c r="CT581" s="823"/>
      <c r="CU581" s="232"/>
      <c r="CV581" s="232"/>
      <c r="CW581" s="232"/>
      <c r="CX581" s="232"/>
      <c r="CY581" s="232"/>
      <c r="CZ581" s="40"/>
      <c r="DA581" s="40"/>
      <c r="DB581" s="40"/>
      <c r="DC581" s="40"/>
      <c r="DD581" s="40"/>
      <c r="DE581" s="40"/>
      <c r="DF581" s="232"/>
      <c r="DG581" s="232"/>
      <c r="DH581" s="232"/>
      <c r="DI581" s="232"/>
      <c r="DJ581" s="232"/>
      <c r="DK581" s="232"/>
      <c r="DL581" s="232"/>
      <c r="DM581" s="232"/>
      <c r="DN581" s="232"/>
    </row>
    <row r="582" spans="1:118">
      <c r="A582" s="40"/>
      <c r="B582" s="32"/>
      <c r="C582" s="895" t="s">
        <v>833</v>
      </c>
      <c r="D582" s="895"/>
      <c r="E582" s="896"/>
      <c r="F582" s="897"/>
      <c r="G582" s="897"/>
      <c r="H582" s="898"/>
      <c r="I582" s="992">
        <v>40</v>
      </c>
      <c r="J582" s="896"/>
      <c r="K582" s="897"/>
      <c r="L582" s="897"/>
      <c r="M582" s="898"/>
      <c r="N582" s="431"/>
      <c r="O582" s="900"/>
      <c r="P582" s="901"/>
      <c r="Q582" s="901"/>
      <c r="R582" s="902"/>
      <c r="T582" s="900"/>
      <c r="U582" s="901"/>
      <c r="V582" s="901"/>
      <c r="W582" s="902"/>
      <c r="X582" s="903"/>
      <c r="Y582" s="900">
        <f>Z582</f>
        <v>40</v>
      </c>
      <c r="Z582" s="901">
        <f>AA582</f>
        <v>40</v>
      </c>
      <c r="AA582" s="901">
        <f>AB582</f>
        <v>40</v>
      </c>
      <c r="AB582" s="902">
        <f>AC582</f>
        <v>40</v>
      </c>
      <c r="AC582" s="903">
        <f>+I582</f>
        <v>40</v>
      </c>
      <c r="AD582" s="900">
        <f>AE582</f>
        <v>40.799999999999997</v>
      </c>
      <c r="AE582" s="901">
        <f>AF582</f>
        <v>40.799999999999997</v>
      </c>
      <c r="AF582" s="901">
        <f>AG582</f>
        <v>40.799999999999997</v>
      </c>
      <c r="AG582" s="902">
        <f>AH582</f>
        <v>40.799999999999997</v>
      </c>
      <c r="AH582" s="903">
        <f>+AC582*1.02</f>
        <v>40.799999999999997</v>
      </c>
      <c r="AI582" s="900">
        <f>AJ582</f>
        <v>41.616</v>
      </c>
      <c r="AJ582" s="901">
        <f>AK582</f>
        <v>41.616</v>
      </c>
      <c r="AK582" s="901">
        <f>AL582</f>
        <v>41.616</v>
      </c>
      <c r="AL582" s="902">
        <f>AM582</f>
        <v>41.616</v>
      </c>
      <c r="AM582" s="903">
        <f>+AH582*1.02</f>
        <v>41.616</v>
      </c>
      <c r="AN582" s="900">
        <f>AO582</f>
        <v>42.448320000000002</v>
      </c>
      <c r="AO582" s="901">
        <f>AP582</f>
        <v>42.448320000000002</v>
      </c>
      <c r="AP582" s="901">
        <f>AQ582</f>
        <v>42.448320000000002</v>
      </c>
      <c r="AQ582" s="902">
        <f>AR582</f>
        <v>42.448320000000002</v>
      </c>
      <c r="AR582" s="903">
        <f>+AM582*1.02</f>
        <v>42.448320000000002</v>
      </c>
      <c r="AS582" s="900">
        <f>AT582</f>
        <v>43.297286400000004</v>
      </c>
      <c r="AT582" s="901">
        <f>AU582</f>
        <v>43.297286400000004</v>
      </c>
      <c r="AU582" s="901">
        <f>AV582</f>
        <v>43.297286400000004</v>
      </c>
      <c r="AV582" s="902">
        <f>AW582</f>
        <v>43.297286400000004</v>
      </c>
      <c r="AW582" s="903">
        <f>+AR582*1.02</f>
        <v>43.297286400000004</v>
      </c>
      <c r="AX582" s="900">
        <f>AY582</f>
        <v>44.163232128000004</v>
      </c>
      <c r="AY582" s="901">
        <f>AZ582</f>
        <v>44.163232128000004</v>
      </c>
      <c r="AZ582" s="901">
        <f>BA582</f>
        <v>44.163232128000004</v>
      </c>
      <c r="BA582" s="902">
        <f>BB582</f>
        <v>44.163232128000004</v>
      </c>
      <c r="BB582" s="903">
        <f>+AW582*1.02</f>
        <v>44.163232128000004</v>
      </c>
      <c r="BC582" s="900">
        <f>BD582</f>
        <v>45.046496770560005</v>
      </c>
      <c r="BD582" s="901">
        <f>BE582</f>
        <v>45.046496770560005</v>
      </c>
      <c r="BE582" s="901">
        <f>BF582</f>
        <v>45.046496770560005</v>
      </c>
      <c r="BF582" s="902">
        <f>BG582</f>
        <v>45.046496770560005</v>
      </c>
      <c r="BG582" s="903">
        <f>+BB582*1.02</f>
        <v>45.046496770560005</v>
      </c>
      <c r="BH582" s="900">
        <f>BI582</f>
        <v>45.947426705971203</v>
      </c>
      <c r="BI582" s="901">
        <f>BJ582</f>
        <v>45.947426705971203</v>
      </c>
      <c r="BJ582" s="901">
        <f>BK582</f>
        <v>45.947426705971203</v>
      </c>
      <c r="BK582" s="902">
        <f>BL582</f>
        <v>45.947426705971203</v>
      </c>
      <c r="BL582" s="903">
        <f>+BG582*1.02</f>
        <v>45.947426705971203</v>
      </c>
      <c r="BM582" s="900">
        <f>BN582</f>
        <v>46.866375240090626</v>
      </c>
      <c r="BN582" s="901">
        <f>BO582</f>
        <v>46.866375240090626</v>
      </c>
      <c r="BO582" s="901">
        <f>BP582</f>
        <v>46.866375240090626</v>
      </c>
      <c r="BP582" s="902">
        <f>BQ582</f>
        <v>46.866375240090626</v>
      </c>
      <c r="BQ582" s="903">
        <f>+BL582*1.02</f>
        <v>46.866375240090626</v>
      </c>
      <c r="BR582" s="40"/>
      <c r="BS582" s="40"/>
      <c r="BT582" s="40"/>
      <c r="BU582" s="232"/>
      <c r="BV582" s="40"/>
      <c r="BW582" s="40"/>
      <c r="BX582" s="40"/>
      <c r="BY582" s="40"/>
      <c r="BZ582" s="40"/>
      <c r="CA582" s="40"/>
      <c r="CB582" s="40"/>
      <c r="CC582" s="40"/>
      <c r="CD582" s="40"/>
      <c r="CE582" s="40"/>
      <c r="CF582" s="40"/>
      <c r="CG582" s="40"/>
      <c r="CH582" s="40"/>
      <c r="CI582" s="40"/>
      <c r="CJ582" s="40"/>
      <c r="CK582" s="40"/>
      <c r="CL582" s="40"/>
      <c r="CM582" s="40"/>
      <c r="CN582" s="40"/>
      <c r="CO582" s="40"/>
      <c r="CP582" s="40"/>
      <c r="CQ582" s="40"/>
      <c r="CR582" s="40"/>
      <c r="CS582" s="40"/>
      <c r="CT582" s="823"/>
      <c r="CU582" s="232"/>
      <c r="CV582" s="232"/>
      <c r="CW582" s="232"/>
      <c r="CX582" s="232"/>
      <c r="CY582" s="232"/>
      <c r="CZ582" s="40"/>
      <c r="DA582" s="40"/>
      <c r="DB582" s="40"/>
      <c r="DC582" s="40"/>
      <c r="DD582" s="40"/>
      <c r="DE582" s="40"/>
      <c r="DF582" s="232"/>
      <c r="DG582" s="232"/>
      <c r="DH582" s="232"/>
      <c r="DI582" s="232"/>
      <c r="DJ582" s="232"/>
      <c r="DK582" s="232"/>
      <c r="DL582" s="232"/>
      <c r="DM582" s="232"/>
      <c r="DN582" s="232"/>
    </row>
    <row r="583" spans="1:118">
      <c r="A583" s="40"/>
      <c r="B583" s="32"/>
      <c r="C583" s="909" t="s">
        <v>802</v>
      </c>
      <c r="D583" s="909"/>
      <c r="E583" s="891"/>
      <c r="F583" s="892"/>
      <c r="G583" s="892"/>
      <c r="H583" s="893"/>
      <c r="I583" s="884">
        <f>10+12+12+60+6</f>
        <v>100</v>
      </c>
      <c r="J583" s="891"/>
      <c r="K583" s="892"/>
      <c r="L583" s="892"/>
      <c r="M583" s="893"/>
      <c r="N583" s="228"/>
      <c r="O583" s="292"/>
      <c r="P583" s="261"/>
      <c r="Q583" s="261"/>
      <c r="R583" s="293"/>
      <c r="S583" s="228"/>
      <c r="T583" s="292"/>
      <c r="U583" s="261"/>
      <c r="V583" s="261"/>
      <c r="W583" s="293"/>
      <c r="X583" s="228"/>
      <c r="Y583" s="292">
        <f>+I583</f>
        <v>100</v>
      </c>
      <c r="Z583" s="261">
        <f>+Y583</f>
        <v>100</v>
      </c>
      <c r="AA583" s="261">
        <f>+Z583</f>
        <v>100</v>
      </c>
      <c r="AB583" s="293">
        <f>+AA583</f>
        <v>100</v>
      </c>
      <c r="AC583" s="228">
        <f>+AB583</f>
        <v>100</v>
      </c>
      <c r="AD583" s="292">
        <f t="shared" ref="AD583:BL583" si="844">+AC583</f>
        <v>100</v>
      </c>
      <c r="AE583" s="261">
        <f>+AD583</f>
        <v>100</v>
      </c>
      <c r="AF583" s="261">
        <f t="shared" si="844"/>
        <v>100</v>
      </c>
      <c r="AG583" s="293">
        <f t="shared" si="844"/>
        <v>100</v>
      </c>
      <c r="AH583" s="228">
        <f t="shared" si="844"/>
        <v>100</v>
      </c>
      <c r="AI583" s="292">
        <f t="shared" si="844"/>
        <v>100</v>
      </c>
      <c r="AJ583" s="261">
        <f t="shared" si="844"/>
        <v>100</v>
      </c>
      <c r="AK583" s="261">
        <f t="shared" si="844"/>
        <v>100</v>
      </c>
      <c r="AL583" s="293">
        <f t="shared" si="844"/>
        <v>100</v>
      </c>
      <c r="AM583" s="228">
        <f t="shared" si="844"/>
        <v>100</v>
      </c>
      <c r="AN583" s="292">
        <f t="shared" si="844"/>
        <v>100</v>
      </c>
      <c r="AO583" s="261">
        <f t="shared" si="844"/>
        <v>100</v>
      </c>
      <c r="AP583" s="261">
        <f t="shared" si="844"/>
        <v>100</v>
      </c>
      <c r="AQ583" s="293">
        <f t="shared" si="844"/>
        <v>100</v>
      </c>
      <c r="AR583" s="228">
        <f t="shared" si="844"/>
        <v>100</v>
      </c>
      <c r="AS583" s="292">
        <f t="shared" si="844"/>
        <v>100</v>
      </c>
      <c r="AT583" s="261">
        <f t="shared" si="844"/>
        <v>100</v>
      </c>
      <c r="AU583" s="2147">
        <f>+AT583+50</f>
        <v>150</v>
      </c>
      <c r="AV583" s="293">
        <f t="shared" si="844"/>
        <v>150</v>
      </c>
      <c r="AW583" s="228">
        <f t="shared" si="844"/>
        <v>150</v>
      </c>
      <c r="AX583" s="292">
        <f t="shared" si="844"/>
        <v>150</v>
      </c>
      <c r="AY583" s="261">
        <f t="shared" si="844"/>
        <v>150</v>
      </c>
      <c r="AZ583" s="261">
        <f t="shared" si="844"/>
        <v>150</v>
      </c>
      <c r="BA583" s="293">
        <f t="shared" si="844"/>
        <v>150</v>
      </c>
      <c r="BB583" s="228">
        <f t="shared" si="844"/>
        <v>150</v>
      </c>
      <c r="BC583" s="292">
        <f t="shared" si="844"/>
        <v>150</v>
      </c>
      <c r="BD583" s="261">
        <f t="shared" si="844"/>
        <v>150</v>
      </c>
      <c r="BE583" s="261">
        <f t="shared" si="844"/>
        <v>150</v>
      </c>
      <c r="BF583" s="293">
        <f t="shared" si="844"/>
        <v>150</v>
      </c>
      <c r="BG583" s="228">
        <f>+BF583</f>
        <v>150</v>
      </c>
      <c r="BH583" s="292">
        <f>+BG583</f>
        <v>150</v>
      </c>
      <c r="BI583" s="261">
        <f t="shared" si="844"/>
        <v>150</v>
      </c>
      <c r="BJ583" s="261">
        <f t="shared" si="844"/>
        <v>150</v>
      </c>
      <c r="BK583" s="293">
        <f t="shared" si="844"/>
        <v>150</v>
      </c>
      <c r="BL583" s="228">
        <f t="shared" si="844"/>
        <v>150</v>
      </c>
      <c r="BM583" s="292">
        <f t="shared" ref="BM583" si="845">+BL583</f>
        <v>150</v>
      </c>
      <c r="BN583" s="261">
        <f t="shared" ref="BN583" si="846">+BM583</f>
        <v>150</v>
      </c>
      <c r="BO583" s="261">
        <f t="shared" ref="BO583" si="847">+BN583</f>
        <v>150</v>
      </c>
      <c r="BP583" s="293">
        <f t="shared" ref="BP583" si="848">+BO583</f>
        <v>150</v>
      </c>
      <c r="BQ583" s="228">
        <f t="shared" ref="BQ583" si="849">+BP583</f>
        <v>150</v>
      </c>
      <c r="BR583" s="40"/>
      <c r="BS583" s="40"/>
      <c r="BT583" s="40"/>
      <c r="BU583" s="232"/>
      <c r="BV583" s="40"/>
      <c r="BW583" s="40"/>
      <c r="BX583" s="40"/>
      <c r="BY583" s="40"/>
      <c r="BZ583" s="40"/>
      <c r="CA583" s="40"/>
      <c r="CB583" s="40"/>
      <c r="CC583" s="40"/>
      <c r="CD583" s="40"/>
      <c r="CE583" s="40"/>
      <c r="CF583" s="40"/>
      <c r="CG583" s="40"/>
      <c r="CH583" s="40"/>
      <c r="CI583" s="40"/>
      <c r="CJ583" s="40"/>
      <c r="CK583" s="40"/>
      <c r="CL583" s="40"/>
      <c r="CM583" s="40"/>
      <c r="CN583" s="40"/>
      <c r="CO583" s="40"/>
      <c r="CP583" s="40"/>
      <c r="CQ583" s="40"/>
      <c r="CR583" s="40"/>
      <c r="CS583" s="40"/>
      <c r="CT583" s="823"/>
      <c r="CU583" s="232"/>
      <c r="CV583" s="232"/>
      <c r="CW583" s="232"/>
      <c r="CX583" s="232"/>
      <c r="CY583" s="232"/>
      <c r="CZ583" s="40"/>
      <c r="DA583" s="40"/>
      <c r="DB583" s="40"/>
      <c r="DC583" s="40"/>
      <c r="DD583" s="40"/>
      <c r="DE583" s="40"/>
      <c r="DF583" s="232"/>
      <c r="DG583" s="232"/>
      <c r="DH583" s="232"/>
      <c r="DI583" s="232"/>
      <c r="DJ583" s="232"/>
      <c r="DK583" s="232"/>
      <c r="DL583" s="232"/>
      <c r="DM583" s="232"/>
      <c r="DN583" s="232"/>
    </row>
    <row r="584" spans="1:118">
      <c r="A584" s="40"/>
      <c r="B584" s="32"/>
      <c r="C584" s="895"/>
      <c r="D584" s="895"/>
      <c r="E584" s="896"/>
      <c r="F584" s="897"/>
      <c r="G584" s="897"/>
      <c r="H584" s="898"/>
      <c r="I584" s="899"/>
      <c r="J584" s="896"/>
      <c r="K584" s="897"/>
      <c r="L584" s="897"/>
      <c r="M584" s="898"/>
      <c r="N584" s="228"/>
      <c r="O584" s="292"/>
      <c r="P584" s="261"/>
      <c r="Q584" s="261"/>
      <c r="R584" s="293"/>
      <c r="S584" s="228"/>
      <c r="T584" s="896"/>
      <c r="U584" s="897"/>
      <c r="V584" s="897"/>
      <c r="W584" s="898"/>
      <c r="X584" s="899"/>
      <c r="Y584" s="896"/>
      <c r="Z584" s="897"/>
      <c r="AA584" s="897"/>
      <c r="AB584" s="898"/>
      <c r="AC584" s="899"/>
      <c r="AD584" s="896"/>
      <c r="AE584" s="897"/>
      <c r="AF584" s="897"/>
      <c r="AG584" s="898"/>
      <c r="AH584" s="899"/>
      <c r="AI584" s="896"/>
      <c r="AJ584" s="897"/>
      <c r="AK584" s="897"/>
      <c r="AL584" s="898"/>
      <c r="AM584" s="899"/>
      <c r="AN584" s="896"/>
      <c r="AO584" s="897"/>
      <c r="AP584" s="897"/>
      <c r="AQ584" s="898"/>
      <c r="AR584" s="899"/>
      <c r="AS584" s="896"/>
      <c r="AT584" s="897"/>
      <c r="AU584" s="897"/>
      <c r="AV584" s="898"/>
      <c r="AW584" s="899"/>
      <c r="AX584" s="896"/>
      <c r="AY584" s="897"/>
      <c r="AZ584" s="897"/>
      <c r="BA584" s="898"/>
      <c r="BB584" s="899"/>
      <c r="BC584" s="896"/>
      <c r="BD584" s="897"/>
      <c r="BE584" s="897"/>
      <c r="BF584" s="898"/>
      <c r="BG584" s="899"/>
      <c r="BH584" s="896"/>
      <c r="BI584" s="897"/>
      <c r="BJ584" s="897"/>
      <c r="BK584" s="898"/>
      <c r="BL584" s="899"/>
      <c r="BM584" s="896"/>
      <c r="BN584" s="897"/>
      <c r="BO584" s="897"/>
      <c r="BP584" s="898"/>
      <c r="BQ584" s="899"/>
      <c r="BR584" s="40"/>
      <c r="BS584" s="40"/>
      <c r="BT584" s="40"/>
      <c r="BU584" s="232"/>
      <c r="BV584" s="40"/>
      <c r="BW584" s="40"/>
      <c r="BX584" s="40"/>
      <c r="BY584" s="40"/>
      <c r="BZ584" s="40"/>
      <c r="CA584" s="40"/>
      <c r="CB584" s="40"/>
      <c r="CC584" s="40"/>
      <c r="CD584" s="40"/>
      <c r="CE584" s="40"/>
      <c r="CF584" s="40"/>
      <c r="CG584" s="40"/>
      <c r="CH584" s="40"/>
      <c r="CI584" s="40"/>
      <c r="CJ584" s="40"/>
      <c r="CK584" s="40"/>
      <c r="CL584" s="40"/>
      <c r="CM584" s="40"/>
      <c r="CN584" s="40"/>
      <c r="CO584" s="40"/>
      <c r="CP584" s="40"/>
      <c r="CQ584" s="40"/>
      <c r="CR584" s="40"/>
      <c r="CS584" s="40"/>
      <c r="CT584" s="823"/>
      <c r="CU584" s="232"/>
      <c r="CV584" s="232"/>
      <c r="CW584" s="232"/>
      <c r="CX584" s="232"/>
      <c r="CY584" s="232"/>
      <c r="CZ584" s="40"/>
      <c r="DA584" s="40"/>
      <c r="DB584" s="40"/>
      <c r="DC584" s="40"/>
      <c r="DD584" s="40"/>
      <c r="DE584" s="40"/>
      <c r="DF584" s="232"/>
      <c r="DG584" s="232"/>
      <c r="DH584" s="232"/>
      <c r="DI584" s="232"/>
      <c r="DJ584" s="232"/>
      <c r="DK584" s="232"/>
      <c r="DL584" s="232"/>
      <c r="DM584" s="232"/>
      <c r="DN584" s="232"/>
    </row>
    <row r="585" spans="1:118">
      <c r="A585" s="40"/>
      <c r="B585" s="32"/>
      <c r="C585" s="895" t="s">
        <v>197</v>
      </c>
      <c r="D585" s="895"/>
      <c r="E585" s="896"/>
      <c r="F585" s="897"/>
      <c r="G585" s="897"/>
      <c r="H585" s="898"/>
      <c r="I585" s="544">
        <v>0.5</v>
      </c>
      <c r="J585" s="896"/>
      <c r="K585" s="897"/>
      <c r="L585" s="897"/>
      <c r="M585" s="898"/>
      <c r="N585" s="228"/>
      <c r="O585" s="292"/>
      <c r="P585" s="261"/>
      <c r="Q585" s="261"/>
      <c r="R585" s="293"/>
      <c r="S585" s="228"/>
      <c r="T585" s="905"/>
      <c r="U585" s="906"/>
      <c r="V585" s="906"/>
      <c r="W585" s="907"/>
      <c r="X585" s="908"/>
      <c r="Y585" s="905">
        <f>+I585</f>
        <v>0.5</v>
      </c>
      <c r="Z585" s="906">
        <f>Y585</f>
        <v>0.5</v>
      </c>
      <c r="AA585" s="906">
        <f>Z585</f>
        <v>0.5</v>
      </c>
      <c r="AB585" s="907">
        <f>AA585</f>
        <v>0.5</v>
      </c>
      <c r="AC585" s="908">
        <f>AC586/(AVERAGE(Y583:AB583)*8.76)</f>
        <v>0.5</v>
      </c>
      <c r="AD585" s="905">
        <f>AC585</f>
        <v>0.5</v>
      </c>
      <c r="AE585" s="906">
        <f>AD585</f>
        <v>0.5</v>
      </c>
      <c r="AF585" s="906">
        <f>AE585</f>
        <v>0.5</v>
      </c>
      <c r="AG585" s="907">
        <f>AF585</f>
        <v>0.5</v>
      </c>
      <c r="AH585" s="908">
        <f>AH586/(AVERAGE(AD583:AG583)*8.76)</f>
        <v>0.5</v>
      </c>
      <c r="AI585" s="905">
        <f>AH585</f>
        <v>0.5</v>
      </c>
      <c r="AJ585" s="906">
        <f>AI585</f>
        <v>0.5</v>
      </c>
      <c r="AK585" s="906">
        <f>AJ585</f>
        <v>0.5</v>
      </c>
      <c r="AL585" s="907">
        <f>AK585</f>
        <v>0.5</v>
      </c>
      <c r="AM585" s="908">
        <f>AM586/(AVERAGE(AI583:AL583)*8.76)</f>
        <v>0.5</v>
      </c>
      <c r="AN585" s="905">
        <f>AM585</f>
        <v>0.5</v>
      </c>
      <c r="AO585" s="906">
        <f>AN585</f>
        <v>0.5</v>
      </c>
      <c r="AP585" s="906">
        <f>AO585</f>
        <v>0.5</v>
      </c>
      <c r="AQ585" s="907">
        <f>AP585</f>
        <v>0.5</v>
      </c>
      <c r="AR585" s="908">
        <f>AR586/(AVERAGE(AN583:AQ583)*8.76)</f>
        <v>0.5</v>
      </c>
      <c r="AS585" s="905">
        <f>AR585</f>
        <v>0.5</v>
      </c>
      <c r="AT585" s="906">
        <f>AS585</f>
        <v>0.5</v>
      </c>
      <c r="AU585" s="906">
        <f>AT585</f>
        <v>0.5</v>
      </c>
      <c r="AV585" s="907">
        <f>AU585</f>
        <v>0.5</v>
      </c>
      <c r="AW585" s="908">
        <f>AW586/(AVERAGE(AS583:AV583)*8.76)</f>
        <v>0.5</v>
      </c>
      <c r="AX585" s="905">
        <f>AW585</f>
        <v>0.5</v>
      </c>
      <c r="AY585" s="906">
        <f>AX585</f>
        <v>0.5</v>
      </c>
      <c r="AZ585" s="906">
        <f>AY585</f>
        <v>0.5</v>
      </c>
      <c r="BA585" s="907">
        <f>AZ585</f>
        <v>0.5</v>
      </c>
      <c r="BB585" s="908">
        <f>BB586/(AVERAGE(AX583:BA583)*8.76)</f>
        <v>0.5</v>
      </c>
      <c r="BC585" s="905">
        <f>BB585</f>
        <v>0.5</v>
      </c>
      <c r="BD585" s="906">
        <f>BC585</f>
        <v>0.5</v>
      </c>
      <c r="BE585" s="906">
        <f>BD585</f>
        <v>0.5</v>
      </c>
      <c r="BF585" s="907">
        <f>BE585</f>
        <v>0.5</v>
      </c>
      <c r="BG585" s="908">
        <f>BG586/(AVERAGE(BC583:BF583)*8.76)</f>
        <v>0.5</v>
      </c>
      <c r="BH585" s="905">
        <f>BG585</f>
        <v>0.5</v>
      </c>
      <c r="BI585" s="906">
        <f>BH585</f>
        <v>0.5</v>
      </c>
      <c r="BJ585" s="906">
        <f>BI585</f>
        <v>0.5</v>
      </c>
      <c r="BK585" s="907">
        <f>BJ585</f>
        <v>0.5</v>
      </c>
      <c r="BL585" s="908">
        <f>BL586/(AVERAGE(BH583:BK583)*8.76)</f>
        <v>0.5</v>
      </c>
      <c r="BM585" s="905">
        <f>BL585</f>
        <v>0.5</v>
      </c>
      <c r="BN585" s="906">
        <f>BM585</f>
        <v>0.5</v>
      </c>
      <c r="BO585" s="906">
        <f>BN585</f>
        <v>0.5</v>
      </c>
      <c r="BP585" s="907">
        <f>BO585</f>
        <v>0.5</v>
      </c>
      <c r="BQ585" s="908">
        <f>BQ586/(AVERAGE(BM583:BP583)*8.76)</f>
        <v>0.5</v>
      </c>
      <c r="BR585" s="40"/>
      <c r="BS585" s="40"/>
      <c r="BT585" s="40"/>
      <c r="BU585" s="232"/>
      <c r="BV585" s="40"/>
      <c r="BW585" s="40"/>
      <c r="BX585" s="40"/>
      <c r="BY585" s="40"/>
      <c r="BZ585" s="40"/>
      <c r="CA585" s="40"/>
      <c r="CB585" s="40"/>
      <c r="CC585" s="40"/>
      <c r="CD585" s="40"/>
      <c r="CE585" s="40"/>
      <c r="CF585" s="40"/>
      <c r="CG585" s="40"/>
      <c r="CH585" s="40"/>
      <c r="CI585" s="40"/>
      <c r="CJ585" s="40"/>
      <c r="CK585" s="40"/>
      <c r="CL585" s="40"/>
      <c r="CM585" s="40"/>
      <c r="CN585" s="40"/>
      <c r="CO585" s="40"/>
      <c r="CP585" s="40"/>
      <c r="CQ585" s="40"/>
      <c r="CR585" s="40"/>
      <c r="CS585" s="40"/>
      <c r="CT585" s="823"/>
      <c r="CU585" s="232"/>
      <c r="CV585" s="232"/>
      <c r="CW585" s="232"/>
      <c r="CX585" s="232"/>
      <c r="CY585" s="232"/>
      <c r="CZ585" s="40"/>
      <c r="DA585" s="40"/>
      <c r="DB585" s="40"/>
      <c r="DC585" s="40"/>
      <c r="DD585" s="40"/>
      <c r="DE585" s="40"/>
      <c r="DF585" s="232"/>
      <c r="DG585" s="232"/>
      <c r="DH585" s="232"/>
      <c r="DI585" s="232"/>
      <c r="DJ585" s="232"/>
      <c r="DK585" s="232"/>
      <c r="DL585" s="232"/>
      <c r="DM585" s="232"/>
      <c r="DN585" s="232"/>
    </row>
    <row r="586" spans="1:118">
      <c r="A586" s="40"/>
      <c r="B586" s="32"/>
      <c r="C586" s="909" t="s">
        <v>198</v>
      </c>
      <c r="D586" s="909"/>
      <c r="E586" s="896"/>
      <c r="F586" s="897"/>
      <c r="G586" s="897"/>
      <c r="H586" s="898"/>
      <c r="I586" s="899"/>
      <c r="J586" s="896"/>
      <c r="K586" s="897"/>
      <c r="L586" s="897"/>
      <c r="M586" s="898"/>
      <c r="N586" s="228"/>
      <c r="O586" s="292"/>
      <c r="P586" s="261"/>
      <c r="Q586" s="261"/>
      <c r="R586" s="293"/>
      <c r="S586" s="228"/>
      <c r="T586" s="292"/>
      <c r="U586" s="261"/>
      <c r="V586" s="261"/>
      <c r="W586" s="293"/>
      <c r="X586" s="228"/>
      <c r="Y586" s="292">
        <f>+Y583*Y585*8.76/4</f>
        <v>109.5</v>
      </c>
      <c r="Z586" s="261">
        <f>+Z583*Z585*8.76/4</f>
        <v>109.5</v>
      </c>
      <c r="AA586" s="261">
        <f>+AA583*AA585*8.76/4</f>
        <v>109.5</v>
      </c>
      <c r="AB586" s="293">
        <f>+AB583*AB585*8.76/4</f>
        <v>109.5</v>
      </c>
      <c r="AC586" s="228">
        <f>SUM(Y586:AB586)</f>
        <v>438</v>
      </c>
      <c r="AD586" s="292">
        <f>+AD583*AD585*8.76/4</f>
        <v>109.5</v>
      </c>
      <c r="AE586" s="261">
        <f>+AE583*AE585*8.76/4</f>
        <v>109.5</v>
      </c>
      <c r="AF586" s="261">
        <f>+AF583*AF585*8.76/4</f>
        <v>109.5</v>
      </c>
      <c r="AG586" s="293">
        <f>+AG583*AG585*8.76/4</f>
        <v>109.5</v>
      </c>
      <c r="AH586" s="228">
        <f>SUM(AD586:AG586)</f>
        <v>438</v>
      </c>
      <c r="AI586" s="292">
        <f>+AI583*AI585*8.76/4</f>
        <v>109.5</v>
      </c>
      <c r="AJ586" s="261">
        <f>+AJ583*AJ585*8.76/4</f>
        <v>109.5</v>
      </c>
      <c r="AK586" s="261">
        <f>+AK583*AK585*8.76/4</f>
        <v>109.5</v>
      </c>
      <c r="AL586" s="293">
        <f>+AL583*AL585*8.76/4</f>
        <v>109.5</v>
      </c>
      <c r="AM586" s="228">
        <f>SUM(AI586:AL586)</f>
        <v>438</v>
      </c>
      <c r="AN586" s="292">
        <f>+AN583*AN585*8.76/4</f>
        <v>109.5</v>
      </c>
      <c r="AO586" s="261">
        <f>+AO583*AO585*8.76/4</f>
        <v>109.5</v>
      </c>
      <c r="AP586" s="261">
        <f>+AP583*AP585*8.76/4</f>
        <v>109.5</v>
      </c>
      <c r="AQ586" s="293">
        <f>+AQ583*AQ585*8.76/4</f>
        <v>109.5</v>
      </c>
      <c r="AR586" s="228">
        <f>SUM(AN586:AQ586)</f>
        <v>438</v>
      </c>
      <c r="AS586" s="292">
        <f>+AS583*AS585*8.76/4</f>
        <v>109.5</v>
      </c>
      <c r="AT586" s="261">
        <f>+AT583*AT585*8.76/4</f>
        <v>109.5</v>
      </c>
      <c r="AU586" s="261">
        <f>+AU583*AU585*8.76/4</f>
        <v>164.25</v>
      </c>
      <c r="AV586" s="293">
        <f>+AV583*AV585*8.76/4</f>
        <v>164.25</v>
      </c>
      <c r="AW586" s="228">
        <f>SUM(AS586:AV586)</f>
        <v>547.5</v>
      </c>
      <c r="AX586" s="292">
        <f>+AX583*AX585*8.76/4</f>
        <v>164.25</v>
      </c>
      <c r="AY586" s="261">
        <f>+AY583*AY585*8.76/4</f>
        <v>164.25</v>
      </c>
      <c r="AZ586" s="261">
        <f>+AZ583*AZ585*8.76/4</f>
        <v>164.25</v>
      </c>
      <c r="BA586" s="293">
        <f>+BA583*BA585*8.76/4</f>
        <v>164.25</v>
      </c>
      <c r="BB586" s="228">
        <f>SUM(AX586:BA586)</f>
        <v>657</v>
      </c>
      <c r="BC586" s="292">
        <f>+BC583*BC585*8.76/4</f>
        <v>164.25</v>
      </c>
      <c r="BD586" s="261">
        <f>+BD583*BD585*8.76/4</f>
        <v>164.25</v>
      </c>
      <c r="BE586" s="261">
        <f>+BE583*BE585*8.76/4</f>
        <v>164.25</v>
      </c>
      <c r="BF586" s="293">
        <f>+BF583*BF585*8.76/4</f>
        <v>164.25</v>
      </c>
      <c r="BG586" s="228">
        <f>SUM(BC586:BF586)</f>
        <v>657</v>
      </c>
      <c r="BH586" s="292">
        <f>+BH583*BH585*8.76/4</f>
        <v>164.25</v>
      </c>
      <c r="BI586" s="261">
        <f>+BI583*BI585*8.76/4</f>
        <v>164.25</v>
      </c>
      <c r="BJ586" s="261">
        <f>+BJ583*BJ585*8.76/4</f>
        <v>164.25</v>
      </c>
      <c r="BK586" s="293">
        <f>+BK583*BK585*8.76/4</f>
        <v>164.25</v>
      </c>
      <c r="BL586" s="228">
        <f>SUM(BH586:BK586)</f>
        <v>657</v>
      </c>
      <c r="BM586" s="292">
        <f>+BM583*BM585*8.76/4</f>
        <v>164.25</v>
      </c>
      <c r="BN586" s="261">
        <f>+BN583*BN585*8.76/4</f>
        <v>164.25</v>
      </c>
      <c r="BO586" s="261">
        <f>+BO583*BO585*8.76/4</f>
        <v>164.25</v>
      </c>
      <c r="BP586" s="293">
        <f>+BP583*BP585*8.76/4</f>
        <v>164.25</v>
      </c>
      <c r="BQ586" s="228">
        <f>SUM(BM586:BP586)</f>
        <v>657</v>
      </c>
      <c r="BR586" s="40"/>
      <c r="BS586" s="40"/>
      <c r="BT586" s="40"/>
      <c r="BU586" s="232"/>
      <c r="BV586" s="40"/>
      <c r="BW586" s="40"/>
      <c r="BX586" s="40"/>
      <c r="BY586" s="40"/>
      <c r="BZ586" s="40"/>
      <c r="CA586" s="40"/>
      <c r="CB586" s="40"/>
      <c r="CC586" s="40"/>
      <c r="CD586" s="40"/>
      <c r="CE586" s="40"/>
      <c r="CF586" s="40"/>
      <c r="CG586" s="40"/>
      <c r="CH586" s="40"/>
      <c r="CI586" s="40"/>
      <c r="CJ586" s="40"/>
      <c r="CK586" s="40"/>
      <c r="CL586" s="40"/>
      <c r="CM586" s="40"/>
      <c r="CN586" s="40"/>
      <c r="CO586" s="40"/>
      <c r="CP586" s="40"/>
      <c r="CQ586" s="40"/>
      <c r="CR586" s="40"/>
      <c r="CS586" s="40"/>
      <c r="CT586" s="823"/>
      <c r="CU586" s="232"/>
      <c r="CV586" s="232"/>
      <c r="CW586" s="232"/>
      <c r="CX586" s="232"/>
      <c r="CY586" s="232"/>
      <c r="CZ586" s="40"/>
      <c r="DA586" s="40"/>
      <c r="DB586" s="40"/>
      <c r="DC586" s="40"/>
      <c r="DD586" s="40"/>
      <c r="DE586" s="40"/>
      <c r="DF586" s="232"/>
      <c r="DG586" s="232"/>
      <c r="DH586" s="232"/>
      <c r="DI586" s="232"/>
      <c r="DJ586" s="232"/>
      <c r="DK586" s="232"/>
      <c r="DL586" s="232"/>
      <c r="DM586" s="232"/>
      <c r="DN586" s="232"/>
    </row>
    <row r="587" spans="1:118">
      <c r="A587" s="40"/>
      <c r="B587" s="32"/>
      <c r="C587" s="895"/>
      <c r="D587" s="895"/>
      <c r="E587" s="896"/>
      <c r="F587" s="897"/>
      <c r="G587" s="897"/>
      <c r="H587" s="898"/>
      <c r="I587" s="899"/>
      <c r="J587" s="896"/>
      <c r="K587" s="897"/>
      <c r="L587" s="897"/>
      <c r="M587" s="898"/>
      <c r="N587" s="228"/>
      <c r="O587" s="292"/>
      <c r="P587" s="261"/>
      <c r="Q587" s="261"/>
      <c r="R587" s="293"/>
      <c r="S587" s="228"/>
      <c r="T587" s="896"/>
      <c r="U587" s="897"/>
      <c r="V587" s="897"/>
      <c r="W587" s="898"/>
      <c r="X587" s="899"/>
      <c r="Y587" s="896"/>
      <c r="Z587" s="897"/>
      <c r="AA587" s="897"/>
      <c r="AB587" s="898"/>
      <c r="AC587" s="899"/>
      <c r="AD587" s="896"/>
      <c r="AE587" s="897"/>
      <c r="AF587" s="897"/>
      <c r="AG587" s="898"/>
      <c r="AH587" s="899"/>
      <c r="AI587" s="896"/>
      <c r="AJ587" s="897"/>
      <c r="AK587" s="897"/>
      <c r="AL587" s="898"/>
      <c r="AM587" s="899"/>
      <c r="AN587" s="896"/>
      <c r="AO587" s="897"/>
      <c r="AP587" s="897"/>
      <c r="AQ587" s="898"/>
      <c r="AR587" s="899"/>
      <c r="AS587" s="896"/>
      <c r="AT587" s="897"/>
      <c r="AU587" s="897"/>
      <c r="AV587" s="898"/>
      <c r="AW587" s="899"/>
      <c r="AX587" s="896"/>
      <c r="AY587" s="897"/>
      <c r="AZ587" s="897"/>
      <c r="BA587" s="898"/>
      <c r="BB587" s="899"/>
      <c r="BC587" s="896"/>
      <c r="BD587" s="897"/>
      <c r="BE587" s="897"/>
      <c r="BF587" s="898"/>
      <c r="BG587" s="899"/>
      <c r="BH587" s="896"/>
      <c r="BI587" s="897"/>
      <c r="BJ587" s="897"/>
      <c r="BK587" s="898"/>
      <c r="BL587" s="899"/>
      <c r="BM587" s="896"/>
      <c r="BN587" s="897"/>
      <c r="BO587" s="897"/>
      <c r="BP587" s="898"/>
      <c r="BQ587" s="899"/>
      <c r="BR587" s="40"/>
      <c r="BS587" s="40"/>
      <c r="BT587" s="40"/>
      <c r="BU587" s="232"/>
      <c r="BV587" s="40"/>
      <c r="BW587" s="40"/>
      <c r="BX587" s="40"/>
      <c r="BY587" s="40"/>
      <c r="BZ587" s="40"/>
      <c r="CA587" s="40"/>
      <c r="CB587" s="40"/>
      <c r="CC587" s="40"/>
      <c r="CD587" s="40"/>
      <c r="CE587" s="40"/>
      <c r="CF587" s="40"/>
      <c r="CG587" s="40"/>
      <c r="CH587" s="40"/>
      <c r="CI587" s="40"/>
      <c r="CJ587" s="40"/>
      <c r="CK587" s="40"/>
      <c r="CL587" s="40"/>
      <c r="CM587" s="40"/>
      <c r="CN587" s="40"/>
      <c r="CO587" s="40"/>
      <c r="CP587" s="40"/>
      <c r="CQ587" s="40"/>
      <c r="CR587" s="40"/>
      <c r="CS587" s="40"/>
      <c r="CT587" s="823"/>
      <c r="CU587" s="232"/>
      <c r="CV587" s="232"/>
      <c r="CW587" s="232"/>
      <c r="CX587" s="232"/>
      <c r="CY587" s="232"/>
      <c r="CZ587" s="40"/>
      <c r="DA587" s="40"/>
      <c r="DB587" s="40"/>
      <c r="DC587" s="40"/>
      <c r="DD587" s="40"/>
      <c r="DE587" s="40"/>
      <c r="DF587" s="232"/>
      <c r="DG587" s="232"/>
      <c r="DH587" s="232"/>
      <c r="DI587" s="232"/>
      <c r="DJ587" s="232"/>
      <c r="DK587" s="232"/>
      <c r="DL587" s="232"/>
      <c r="DM587" s="232"/>
      <c r="DN587" s="232"/>
    </row>
    <row r="588" spans="1:118">
      <c r="A588" s="40"/>
      <c r="B588" s="32"/>
      <c r="C588" s="895" t="s">
        <v>798</v>
      </c>
      <c r="D588" s="895"/>
      <c r="E588" s="896"/>
      <c r="F588" s="897"/>
      <c r="G588" s="897"/>
      <c r="H588" s="898"/>
      <c r="I588" s="899"/>
      <c r="J588" s="896"/>
      <c r="K588" s="897"/>
      <c r="L588" s="897"/>
      <c r="M588" s="898"/>
      <c r="N588" s="228"/>
      <c r="O588" s="292"/>
      <c r="P588" s="261"/>
      <c r="Q588" s="261"/>
      <c r="R588" s="293"/>
      <c r="S588" s="228"/>
      <c r="T588" s="290"/>
      <c r="U588" s="260"/>
      <c r="V588" s="260"/>
      <c r="W588" s="291"/>
      <c r="X588" s="45"/>
      <c r="Y588" s="290">
        <f>+Y586*Y582/1000</f>
        <v>4.38</v>
      </c>
      <c r="Z588" s="260">
        <f>+Z586*Z582/1000</f>
        <v>4.38</v>
      </c>
      <c r="AA588" s="260">
        <f>+AA586*AA582/1000</f>
        <v>4.38</v>
      </c>
      <c r="AB588" s="291">
        <f>+AB586*AB582/1000</f>
        <v>4.38</v>
      </c>
      <c r="AC588" s="45">
        <f>SUM(Y588:AB588)</f>
        <v>17.52</v>
      </c>
      <c r="AD588" s="290">
        <f>+AD586*AD582/1000</f>
        <v>4.4675999999999991</v>
      </c>
      <c r="AE588" s="260">
        <f>+AE586*AE582/1000</f>
        <v>4.4675999999999991</v>
      </c>
      <c r="AF588" s="260">
        <f>+AF586*AF582/1000</f>
        <v>4.4675999999999991</v>
      </c>
      <c r="AG588" s="291">
        <f>+AG586*AG582/1000</f>
        <v>4.4675999999999991</v>
      </c>
      <c r="AH588" s="45">
        <f>SUM(AD588:AG588)</f>
        <v>17.870399999999997</v>
      </c>
      <c r="AI588" s="290">
        <f>+AI586*AI582/1000</f>
        <v>4.5569519999999999</v>
      </c>
      <c r="AJ588" s="260">
        <f>+AJ586*AJ582/1000</f>
        <v>4.5569519999999999</v>
      </c>
      <c r="AK588" s="260">
        <f>+AK586*AK582/1000</f>
        <v>4.5569519999999999</v>
      </c>
      <c r="AL588" s="291">
        <f>+AL586*AL582/1000</f>
        <v>4.5569519999999999</v>
      </c>
      <c r="AM588" s="45">
        <f>SUM(AI588:AL588)</f>
        <v>18.227808</v>
      </c>
      <c r="AN588" s="290">
        <f>+AN586*AN582/1000</f>
        <v>4.6480910400000006</v>
      </c>
      <c r="AO588" s="260">
        <f>+AO586*AO582/1000</f>
        <v>4.6480910400000006</v>
      </c>
      <c r="AP588" s="260">
        <f>+AP586*AP582/1000</f>
        <v>4.6480910400000006</v>
      </c>
      <c r="AQ588" s="291">
        <f>+AQ586*AQ582/1000</f>
        <v>4.6480910400000006</v>
      </c>
      <c r="AR588" s="45">
        <f>SUM(AN588:AQ588)</f>
        <v>18.592364160000002</v>
      </c>
      <c r="AS588" s="290">
        <f>+AS586*AS582/1000</f>
        <v>4.7410528608</v>
      </c>
      <c r="AT588" s="260">
        <f>+AT586*AT582/1000</f>
        <v>4.7410528608</v>
      </c>
      <c r="AU588" s="260">
        <f>+AU586*AU582/1000</f>
        <v>7.1115792912000009</v>
      </c>
      <c r="AV588" s="291">
        <f>+AV586*AV582/1000</f>
        <v>7.1115792912000009</v>
      </c>
      <c r="AW588" s="45">
        <f>SUM(AS588:AV588)</f>
        <v>23.705264304000004</v>
      </c>
      <c r="AX588" s="290">
        <f>+AX586*AX582/1000</f>
        <v>7.2538108770240006</v>
      </c>
      <c r="AY588" s="260">
        <f>+AY586*AY582/1000</f>
        <v>7.2538108770240006</v>
      </c>
      <c r="AZ588" s="260">
        <f>+AZ586*AZ582/1000</f>
        <v>7.2538108770240006</v>
      </c>
      <c r="BA588" s="291">
        <f>+BA586*BA582/1000</f>
        <v>7.2538108770240006</v>
      </c>
      <c r="BB588" s="45">
        <f>SUM(AX588:BA588)</f>
        <v>29.015243508096003</v>
      </c>
      <c r="BC588" s="290">
        <f>+BC586*BC582/1000</f>
        <v>7.39888709456448</v>
      </c>
      <c r="BD588" s="260">
        <f>+BD586*BD582/1000</f>
        <v>7.39888709456448</v>
      </c>
      <c r="BE588" s="260">
        <f>+BE586*BE582/1000</f>
        <v>7.39888709456448</v>
      </c>
      <c r="BF588" s="291">
        <f>+BF586*BF582/1000</f>
        <v>7.39888709456448</v>
      </c>
      <c r="BG588" s="45">
        <f>SUM(BC588:BF588)</f>
        <v>29.59554837825792</v>
      </c>
      <c r="BH588" s="290">
        <f>+BH586*BH582/1000</f>
        <v>7.5468648364557707</v>
      </c>
      <c r="BI588" s="260">
        <f>+BI586*BI582/1000</f>
        <v>7.5468648364557707</v>
      </c>
      <c r="BJ588" s="260">
        <f>+BJ586*BJ582/1000</f>
        <v>7.5468648364557707</v>
      </c>
      <c r="BK588" s="291">
        <f>+BK586*BK582/1000</f>
        <v>7.5468648364557707</v>
      </c>
      <c r="BL588" s="45">
        <f>SUM(BH588:BK588)</f>
        <v>30.187459345823083</v>
      </c>
      <c r="BM588" s="290">
        <f>+BM586*BM582/1000</f>
        <v>7.6978021331848847</v>
      </c>
      <c r="BN588" s="260">
        <f>+BN586*BN582/1000</f>
        <v>7.6978021331848847</v>
      </c>
      <c r="BO588" s="260">
        <f>+BO586*BO582/1000</f>
        <v>7.6978021331848847</v>
      </c>
      <c r="BP588" s="291">
        <f>+BP586*BP582/1000</f>
        <v>7.6978021331848847</v>
      </c>
      <c r="BQ588" s="45">
        <f>SUM(BM588:BP588)</f>
        <v>30.791208532739539</v>
      </c>
      <c r="BR588" s="40"/>
      <c r="BS588" s="40"/>
      <c r="BT588" s="40"/>
      <c r="BU588" s="232"/>
      <c r="BV588" s="40"/>
      <c r="BW588" s="40"/>
      <c r="BX588" s="40"/>
      <c r="BY588" s="40"/>
      <c r="BZ588" s="40"/>
      <c r="CA588" s="40"/>
      <c r="CB588" s="40"/>
      <c r="CC588" s="40"/>
      <c r="CD588" s="40"/>
      <c r="CE588" s="40"/>
      <c r="CF588" s="40"/>
      <c r="CG588" s="40"/>
      <c r="CH588" s="40"/>
      <c r="CI588" s="40"/>
      <c r="CJ588" s="40"/>
      <c r="CK588" s="40"/>
      <c r="CL588" s="40"/>
      <c r="CM588" s="40"/>
      <c r="CN588" s="40"/>
      <c r="CO588" s="40"/>
      <c r="CP588" s="40"/>
      <c r="CQ588" s="40"/>
      <c r="CR588" s="40"/>
      <c r="CS588" s="40"/>
      <c r="CT588" s="823"/>
      <c r="CU588" s="232"/>
      <c r="CV588" s="232"/>
      <c r="CW588" s="232"/>
      <c r="CX588" s="232"/>
      <c r="CY588" s="232"/>
      <c r="CZ588" s="40"/>
      <c r="DA588" s="40"/>
      <c r="DB588" s="40"/>
      <c r="DC588" s="40"/>
      <c r="DD588" s="40"/>
      <c r="DE588" s="40"/>
      <c r="DF588" s="232"/>
      <c r="DG588" s="232"/>
      <c r="DH588" s="232"/>
      <c r="DI588" s="232"/>
      <c r="DJ588" s="232"/>
      <c r="DK588" s="232"/>
      <c r="DL588" s="232"/>
      <c r="DM588" s="232"/>
      <c r="DN588" s="232"/>
    </row>
    <row r="589" spans="1:118">
      <c r="A589" s="40"/>
      <c r="B589" s="32"/>
      <c r="C589" s="895" t="s">
        <v>278</v>
      </c>
      <c r="D589" s="895"/>
      <c r="E589" s="896"/>
      <c r="F589" s="897"/>
      <c r="G589" s="897"/>
      <c r="H589" s="898"/>
      <c r="I589" s="899"/>
      <c r="J589" s="896"/>
      <c r="K589" s="897"/>
      <c r="L589" s="897"/>
      <c r="M589" s="898"/>
      <c r="N589" s="228"/>
      <c r="O589" s="292"/>
      <c r="P589" s="261"/>
      <c r="Q589" s="261"/>
      <c r="R589" s="293"/>
      <c r="S589" s="228"/>
      <c r="T589" s="306"/>
      <c r="U589" s="266"/>
      <c r="V589" s="266"/>
      <c r="W589" s="307"/>
      <c r="X589" s="426"/>
      <c r="Y589" s="814">
        <v>0</v>
      </c>
      <c r="Z589" s="262">
        <v>0</v>
      </c>
      <c r="AA589" s="262">
        <v>0</v>
      </c>
      <c r="AB589" s="294">
        <v>0</v>
      </c>
      <c r="AC589" s="1003">
        <v>0</v>
      </c>
      <c r="AD589" s="306">
        <v>0</v>
      </c>
      <c r="AE589" s="262">
        <v>0</v>
      </c>
      <c r="AF589" s="266">
        <v>0</v>
      </c>
      <c r="AG589" s="307">
        <v>0</v>
      </c>
      <c r="AH589" s="426">
        <v>0</v>
      </c>
      <c r="AI589" s="306">
        <v>0</v>
      </c>
      <c r="AJ589" s="266">
        <v>0</v>
      </c>
      <c r="AK589" s="266">
        <v>0</v>
      </c>
      <c r="AL589" s="307">
        <v>0</v>
      </c>
      <c r="AM589" s="426">
        <v>0</v>
      </c>
      <c r="AN589" s="306">
        <v>0</v>
      </c>
      <c r="AO589" s="266">
        <v>0</v>
      </c>
      <c r="AP589" s="266">
        <v>0</v>
      </c>
      <c r="AQ589" s="307">
        <v>0</v>
      </c>
      <c r="AR589" s="426">
        <v>0</v>
      </c>
      <c r="AS589" s="306">
        <v>0</v>
      </c>
      <c r="AT589" s="266">
        <v>0</v>
      </c>
      <c r="AU589" s="266">
        <v>0</v>
      </c>
      <c r="AV589" s="307">
        <v>0</v>
      </c>
      <c r="AW589" s="426">
        <v>0</v>
      </c>
      <c r="AX589" s="306">
        <v>0</v>
      </c>
      <c r="AY589" s="266">
        <v>0</v>
      </c>
      <c r="AZ589" s="266">
        <v>0</v>
      </c>
      <c r="BA589" s="307">
        <v>0</v>
      </c>
      <c r="BB589" s="426">
        <v>0</v>
      </c>
      <c r="BC589" s="306">
        <v>0</v>
      </c>
      <c r="BD589" s="266">
        <v>0</v>
      </c>
      <c r="BE589" s="266">
        <v>0</v>
      </c>
      <c r="BF589" s="307">
        <v>0</v>
      </c>
      <c r="BG589" s="426">
        <v>0</v>
      </c>
      <c r="BH589" s="306">
        <v>0</v>
      </c>
      <c r="BI589" s="266">
        <v>0</v>
      </c>
      <c r="BJ589" s="266">
        <v>0</v>
      </c>
      <c r="BK589" s="307">
        <v>0</v>
      </c>
      <c r="BL589" s="426">
        <v>0</v>
      </c>
      <c r="BM589" s="306">
        <v>0</v>
      </c>
      <c r="BN589" s="266">
        <v>0</v>
      </c>
      <c r="BO589" s="266">
        <v>0</v>
      </c>
      <c r="BP589" s="307">
        <v>0</v>
      </c>
      <c r="BQ589" s="426">
        <v>0</v>
      </c>
      <c r="BR589" s="40"/>
      <c r="BS589" s="40"/>
      <c r="BT589" s="40"/>
      <c r="BU589" s="232"/>
      <c r="BV589" s="40"/>
      <c r="BW589" s="40"/>
      <c r="BX589" s="40"/>
      <c r="BY589" s="40"/>
      <c r="BZ589" s="40"/>
      <c r="CA589" s="40"/>
      <c r="CB589" s="40"/>
      <c r="CC589" s="40"/>
      <c r="CD589" s="40"/>
      <c r="CE589" s="40"/>
      <c r="CF589" s="40"/>
      <c r="CG589" s="40"/>
      <c r="CH589" s="40"/>
      <c r="CI589" s="40"/>
      <c r="CJ589" s="40"/>
      <c r="CK589" s="40"/>
      <c r="CL589" s="40"/>
      <c r="CM589" s="40"/>
      <c r="CN589" s="40"/>
      <c r="CO589" s="40"/>
      <c r="CP589" s="40"/>
      <c r="CQ589" s="40"/>
      <c r="CR589" s="40"/>
      <c r="CS589" s="40"/>
      <c r="CT589" s="823"/>
      <c r="CU589" s="232"/>
      <c r="CV589" s="232"/>
      <c r="CW589" s="232"/>
      <c r="CX589" s="232"/>
      <c r="CY589" s="232"/>
      <c r="CZ589" s="40"/>
      <c r="DA589" s="40"/>
      <c r="DB589" s="40"/>
      <c r="DC589" s="40"/>
      <c r="DD589" s="40"/>
      <c r="DE589" s="40"/>
      <c r="DF589" s="232"/>
      <c r="DG589" s="232"/>
      <c r="DH589" s="232"/>
      <c r="DI589" s="232"/>
      <c r="DJ589" s="232"/>
      <c r="DK589" s="232"/>
      <c r="DL589" s="232"/>
      <c r="DM589" s="232"/>
      <c r="DN589" s="232"/>
    </row>
    <row r="590" spans="1:118">
      <c r="A590" s="40"/>
      <c r="B590" s="32"/>
      <c r="C590" s="909" t="s">
        <v>199</v>
      </c>
      <c r="D590" s="895"/>
      <c r="E590" s="896"/>
      <c r="F590" s="897"/>
      <c r="G590" s="897"/>
      <c r="H590" s="898"/>
      <c r="I590" s="899"/>
      <c r="J590" s="896"/>
      <c r="K590" s="897"/>
      <c r="L590" s="897"/>
      <c r="M590" s="898"/>
      <c r="N590" s="228"/>
      <c r="O590" s="292"/>
      <c r="P590" s="261"/>
      <c r="Q590" s="261"/>
      <c r="R590" s="293"/>
      <c r="S590" s="228"/>
      <c r="T590" s="292"/>
      <c r="U590" s="261"/>
      <c r="V590" s="261"/>
      <c r="W590" s="293"/>
      <c r="X590" s="228"/>
      <c r="Y590" s="292">
        <f>Y588-Y589</f>
        <v>4.38</v>
      </c>
      <c r="Z590" s="261">
        <f>Z588-Z589</f>
        <v>4.38</v>
      </c>
      <c r="AA590" s="261">
        <f>AA588-AA589</f>
        <v>4.38</v>
      </c>
      <c r="AB590" s="293">
        <f>AB588-AB589</f>
        <v>4.38</v>
      </c>
      <c r="AC590" s="228">
        <f>AC588-AC589</f>
        <v>17.52</v>
      </c>
      <c r="AD590" s="292">
        <f t="shared" ref="AD590:BL590" si="850">AD588-AD589</f>
        <v>4.4675999999999991</v>
      </c>
      <c r="AE590" s="261">
        <f>AE588-AE589</f>
        <v>4.4675999999999991</v>
      </c>
      <c r="AF590" s="261">
        <f t="shared" si="850"/>
        <v>4.4675999999999991</v>
      </c>
      <c r="AG590" s="293">
        <f t="shared" si="850"/>
        <v>4.4675999999999991</v>
      </c>
      <c r="AH590" s="228">
        <f t="shared" si="850"/>
        <v>17.870399999999997</v>
      </c>
      <c r="AI590" s="292">
        <f t="shared" si="850"/>
        <v>4.5569519999999999</v>
      </c>
      <c r="AJ590" s="261">
        <f t="shared" si="850"/>
        <v>4.5569519999999999</v>
      </c>
      <c r="AK590" s="261">
        <f t="shared" si="850"/>
        <v>4.5569519999999999</v>
      </c>
      <c r="AL590" s="293">
        <f t="shared" si="850"/>
        <v>4.5569519999999999</v>
      </c>
      <c r="AM590" s="228">
        <f t="shared" si="850"/>
        <v>18.227808</v>
      </c>
      <c r="AN590" s="292">
        <f t="shared" si="850"/>
        <v>4.6480910400000006</v>
      </c>
      <c r="AO590" s="261">
        <f t="shared" si="850"/>
        <v>4.6480910400000006</v>
      </c>
      <c r="AP590" s="261">
        <f t="shared" si="850"/>
        <v>4.6480910400000006</v>
      </c>
      <c r="AQ590" s="293">
        <f t="shared" si="850"/>
        <v>4.6480910400000006</v>
      </c>
      <c r="AR590" s="228">
        <f t="shared" si="850"/>
        <v>18.592364160000002</v>
      </c>
      <c r="AS590" s="292">
        <f t="shared" si="850"/>
        <v>4.7410528608</v>
      </c>
      <c r="AT590" s="261">
        <f t="shared" si="850"/>
        <v>4.7410528608</v>
      </c>
      <c r="AU590" s="261">
        <f t="shared" ref="AU590" si="851">AU588-AU589</f>
        <v>7.1115792912000009</v>
      </c>
      <c r="AV590" s="293">
        <f t="shared" si="850"/>
        <v>7.1115792912000009</v>
      </c>
      <c r="AW590" s="228">
        <f t="shared" si="850"/>
        <v>23.705264304000004</v>
      </c>
      <c r="AX590" s="292">
        <f t="shared" si="850"/>
        <v>7.2538108770240006</v>
      </c>
      <c r="AY590" s="261">
        <f t="shared" si="850"/>
        <v>7.2538108770240006</v>
      </c>
      <c r="AZ590" s="261">
        <f t="shared" si="850"/>
        <v>7.2538108770240006</v>
      </c>
      <c r="BA590" s="293">
        <f t="shared" si="850"/>
        <v>7.2538108770240006</v>
      </c>
      <c r="BB590" s="228">
        <f t="shared" si="850"/>
        <v>29.015243508096003</v>
      </c>
      <c r="BC590" s="292">
        <f t="shared" si="850"/>
        <v>7.39888709456448</v>
      </c>
      <c r="BD590" s="261">
        <f t="shared" si="850"/>
        <v>7.39888709456448</v>
      </c>
      <c r="BE590" s="261">
        <f t="shared" si="850"/>
        <v>7.39888709456448</v>
      </c>
      <c r="BF590" s="293">
        <f t="shared" si="850"/>
        <v>7.39888709456448</v>
      </c>
      <c r="BG590" s="228">
        <f t="shared" si="850"/>
        <v>29.59554837825792</v>
      </c>
      <c r="BH590" s="292">
        <f t="shared" si="850"/>
        <v>7.5468648364557707</v>
      </c>
      <c r="BI590" s="261">
        <f t="shared" si="850"/>
        <v>7.5468648364557707</v>
      </c>
      <c r="BJ590" s="261">
        <f t="shared" si="850"/>
        <v>7.5468648364557707</v>
      </c>
      <c r="BK590" s="293">
        <f t="shared" si="850"/>
        <v>7.5468648364557707</v>
      </c>
      <c r="BL590" s="228">
        <f t="shared" si="850"/>
        <v>30.187459345823083</v>
      </c>
      <c r="BM590" s="292">
        <f t="shared" ref="BM590:BQ590" si="852">BM588-BM589</f>
        <v>7.6978021331848847</v>
      </c>
      <c r="BN590" s="261">
        <f t="shared" si="852"/>
        <v>7.6978021331848847</v>
      </c>
      <c r="BO590" s="261">
        <f t="shared" si="852"/>
        <v>7.6978021331848847</v>
      </c>
      <c r="BP590" s="293">
        <f t="shared" si="852"/>
        <v>7.6978021331848847</v>
      </c>
      <c r="BQ590" s="228">
        <f t="shared" si="852"/>
        <v>30.791208532739539</v>
      </c>
      <c r="BR590" s="40"/>
      <c r="BS590" s="40"/>
      <c r="BT590" s="40"/>
      <c r="BU590" s="232"/>
      <c r="BV590" s="40"/>
      <c r="BW590" s="40"/>
      <c r="BX590" s="40"/>
      <c r="BY590" s="40"/>
      <c r="BZ590" s="40"/>
      <c r="CA590" s="40"/>
      <c r="CB590" s="40"/>
      <c r="CC590" s="40"/>
      <c r="CD590" s="40"/>
      <c r="CE590" s="40"/>
      <c r="CF590" s="40"/>
      <c r="CG590" s="40"/>
      <c r="CH590" s="40"/>
      <c r="CI590" s="40"/>
      <c r="CJ590" s="40"/>
      <c r="CK590" s="40"/>
      <c r="CL590" s="40"/>
      <c r="CM590" s="40"/>
      <c r="CN590" s="40"/>
      <c r="CO590" s="40"/>
      <c r="CP590" s="40"/>
      <c r="CQ590" s="40"/>
      <c r="CR590" s="40"/>
      <c r="CS590" s="40"/>
      <c r="CT590" s="823"/>
      <c r="CU590" s="232"/>
      <c r="CV590" s="232"/>
      <c r="CW590" s="232"/>
      <c r="CX590" s="232"/>
      <c r="CY590" s="232"/>
      <c r="CZ590" s="40"/>
      <c r="DA590" s="40"/>
      <c r="DB590" s="40"/>
      <c r="DC590" s="40"/>
      <c r="DD590" s="40"/>
      <c r="DE590" s="40"/>
      <c r="DF590" s="232"/>
      <c r="DG590" s="232"/>
      <c r="DH590" s="232"/>
      <c r="DI590" s="232"/>
      <c r="DJ590" s="232"/>
      <c r="DK590" s="232"/>
      <c r="DL590" s="232"/>
      <c r="DM590" s="232"/>
      <c r="DN590" s="232"/>
    </row>
    <row r="591" spans="1:118">
      <c r="A591" s="40"/>
      <c r="B591" s="32"/>
      <c r="C591" s="909"/>
      <c r="D591" s="895"/>
      <c r="E591" s="896"/>
      <c r="F591" s="897"/>
      <c r="G591" s="897"/>
      <c r="H591" s="898"/>
      <c r="I591" s="899"/>
      <c r="J591" s="896"/>
      <c r="K591" s="897"/>
      <c r="L591" s="897"/>
      <c r="M591" s="898"/>
      <c r="N591" s="228"/>
      <c r="O591" s="292"/>
      <c r="P591" s="261"/>
      <c r="Q591" s="261"/>
      <c r="R591" s="293"/>
      <c r="S591" s="228"/>
      <c r="T591" s="292"/>
      <c r="U591" s="261"/>
      <c r="V591" s="261"/>
      <c r="W591" s="293"/>
      <c r="X591" s="228"/>
      <c r="Y591" s="292"/>
      <c r="Z591" s="261"/>
      <c r="AA591" s="261"/>
      <c r="AB591" s="293"/>
      <c r="AC591" s="228"/>
      <c r="AD591" s="292"/>
      <c r="AE591" s="261"/>
      <c r="AF591" s="261"/>
      <c r="AG591" s="293"/>
      <c r="AH591" s="228"/>
      <c r="AI591" s="292"/>
      <c r="AJ591" s="261"/>
      <c r="AK591" s="261"/>
      <c r="AL591" s="293"/>
      <c r="AM591" s="228"/>
      <c r="AN591" s="292"/>
      <c r="AO591" s="261"/>
      <c r="AP591" s="261"/>
      <c r="AQ591" s="293"/>
      <c r="AR591" s="228"/>
      <c r="AS591" s="292"/>
      <c r="AT591" s="261"/>
      <c r="AU591" s="261"/>
      <c r="AV591" s="293"/>
      <c r="AW591" s="228"/>
      <c r="AX591" s="292"/>
      <c r="AY591" s="261"/>
      <c r="AZ591" s="261"/>
      <c r="BA591" s="293"/>
      <c r="BB591" s="228"/>
      <c r="BC591" s="292"/>
      <c r="BD591" s="261"/>
      <c r="BE591" s="261"/>
      <c r="BF591" s="293"/>
      <c r="BG591" s="228"/>
      <c r="BH591" s="292"/>
      <c r="BI591" s="261"/>
      <c r="BJ591" s="261"/>
      <c r="BK591" s="293"/>
      <c r="BL591" s="228"/>
      <c r="BM591" s="292"/>
      <c r="BN591" s="261"/>
      <c r="BO591" s="261"/>
      <c r="BP591" s="293"/>
      <c r="BQ591" s="228"/>
      <c r="BR591" s="40"/>
      <c r="BS591" s="40"/>
      <c r="BT591" s="40"/>
      <c r="BU591" s="232"/>
      <c r="BV591" s="40"/>
      <c r="BW591" s="40"/>
      <c r="BX591" s="40"/>
      <c r="BY591" s="40"/>
      <c r="BZ591" s="40"/>
      <c r="CA591" s="40"/>
      <c r="CB591" s="40"/>
      <c r="CC591" s="40"/>
      <c r="CD591" s="40"/>
      <c r="CE591" s="40"/>
      <c r="CF591" s="40"/>
      <c r="CG591" s="40"/>
      <c r="CH591" s="40"/>
      <c r="CI591" s="40"/>
      <c r="CJ591" s="40"/>
      <c r="CK591" s="40"/>
      <c r="CL591" s="40"/>
      <c r="CM591" s="40"/>
      <c r="CN591" s="40"/>
      <c r="CO591" s="40"/>
      <c r="CP591" s="40"/>
      <c r="CQ591" s="40"/>
      <c r="CR591" s="40"/>
      <c r="CS591" s="40"/>
      <c r="CT591" s="823"/>
      <c r="CU591" s="232"/>
      <c r="CV591" s="232"/>
      <c r="CW591" s="232"/>
      <c r="CX591" s="232"/>
      <c r="CY591" s="232"/>
      <c r="CZ591" s="40"/>
      <c r="DA591" s="40"/>
      <c r="DB591" s="40"/>
      <c r="DC591" s="40"/>
      <c r="DD591" s="40"/>
      <c r="DE591" s="40"/>
      <c r="DF591" s="232"/>
      <c r="DG591" s="232"/>
      <c r="DH591" s="232"/>
      <c r="DI591" s="232"/>
      <c r="DJ591" s="232"/>
      <c r="DK591" s="232"/>
      <c r="DL591" s="232"/>
      <c r="DM591" s="232"/>
      <c r="DN591" s="232"/>
    </row>
    <row r="592" spans="1:118">
      <c r="A592" s="40"/>
      <c r="B592" s="32"/>
      <c r="C592" s="909"/>
      <c r="D592" s="895"/>
      <c r="E592" s="896"/>
      <c r="F592" s="897"/>
      <c r="G592" s="897"/>
      <c r="H592" s="898"/>
      <c r="I592" s="899"/>
      <c r="J592" s="896"/>
      <c r="K592" s="897"/>
      <c r="L592" s="897"/>
      <c r="M592" s="898"/>
      <c r="N592" s="228"/>
      <c r="O592" s="292"/>
      <c r="P592" s="261"/>
      <c r="Q592" s="261"/>
      <c r="R592" s="293"/>
      <c r="S592" s="228"/>
      <c r="T592" s="292"/>
      <c r="U592" s="261"/>
      <c r="V592" s="261"/>
      <c r="W592" s="293"/>
      <c r="X592" s="228"/>
      <c r="Y592" s="292"/>
      <c r="Z592" s="261"/>
      <c r="AA592" s="261"/>
      <c r="AB592" s="293"/>
      <c r="AC592" s="228"/>
      <c r="AD592" s="292"/>
      <c r="AE592" s="261"/>
      <c r="AF592" s="261"/>
      <c r="AG592" s="293"/>
      <c r="AH592" s="228"/>
      <c r="AI592" s="292"/>
      <c r="AJ592" s="261"/>
      <c r="AK592" s="261"/>
      <c r="AL592" s="293"/>
      <c r="AM592" s="228"/>
      <c r="AN592" s="292"/>
      <c r="AO592" s="261"/>
      <c r="AP592" s="261"/>
      <c r="AQ592" s="293"/>
      <c r="AR592" s="228"/>
      <c r="AS592" s="292"/>
      <c r="AT592" s="261"/>
      <c r="AU592" s="261"/>
      <c r="AV592" s="293"/>
      <c r="AW592" s="228"/>
      <c r="AX592" s="292"/>
      <c r="AY592" s="261"/>
      <c r="AZ592" s="261"/>
      <c r="BA592" s="293"/>
      <c r="BB592" s="228"/>
      <c r="BC592" s="292"/>
      <c r="BD592" s="261"/>
      <c r="BE592" s="261"/>
      <c r="BF592" s="293"/>
      <c r="BG592" s="228"/>
      <c r="BH592" s="292"/>
      <c r="BI592" s="261"/>
      <c r="BJ592" s="261"/>
      <c r="BK592" s="293"/>
      <c r="BL592" s="228"/>
      <c r="BM592" s="292"/>
      <c r="BN592" s="261"/>
      <c r="BO592" s="261"/>
      <c r="BP592" s="293"/>
      <c r="BQ592" s="228"/>
      <c r="BR592" s="40"/>
      <c r="BS592" s="40"/>
      <c r="BT592" s="40"/>
      <c r="BU592" s="232"/>
      <c r="BV592" s="40"/>
      <c r="BW592" s="40"/>
      <c r="BX592" s="40"/>
      <c r="BY592" s="40"/>
      <c r="BZ592" s="40"/>
      <c r="CA592" s="40"/>
      <c r="CB592" s="40"/>
      <c r="CC592" s="40"/>
      <c r="CD592" s="40"/>
      <c r="CE592" s="40"/>
      <c r="CF592" s="40"/>
      <c r="CG592" s="40"/>
      <c r="CH592" s="40"/>
      <c r="CI592" s="40"/>
      <c r="CJ592" s="40"/>
      <c r="CK592" s="40"/>
      <c r="CL592" s="40"/>
      <c r="CM592" s="40"/>
      <c r="CN592" s="40"/>
      <c r="CO592" s="40"/>
      <c r="CP592" s="40"/>
      <c r="CQ592" s="40"/>
      <c r="CR592" s="40"/>
      <c r="CS592" s="40"/>
      <c r="CT592" s="823"/>
      <c r="CU592" s="232"/>
      <c r="CV592" s="232"/>
      <c r="CW592" s="232"/>
      <c r="CX592" s="232"/>
      <c r="CY592" s="232"/>
      <c r="CZ592" s="40"/>
      <c r="DA592" s="40"/>
      <c r="DB592" s="40"/>
      <c r="DC592" s="40"/>
      <c r="DD592" s="40"/>
      <c r="DE592" s="40"/>
      <c r="DF592" s="232"/>
      <c r="DG592" s="232"/>
      <c r="DH592" s="232"/>
      <c r="DI592" s="232"/>
      <c r="DJ592" s="232"/>
      <c r="DK592" s="232"/>
      <c r="DL592" s="232"/>
      <c r="DM592" s="232"/>
      <c r="DN592" s="232"/>
    </row>
    <row r="593" spans="1:118">
      <c r="A593" s="40"/>
      <c r="B593" s="210" t="s">
        <v>828</v>
      </c>
      <c r="C593" s="15"/>
      <c r="D593" s="211"/>
      <c r="E593" s="489"/>
      <c r="F593" s="342"/>
      <c r="G593" s="342"/>
      <c r="H593" s="490"/>
      <c r="I593" s="28"/>
      <c r="J593" s="489"/>
      <c r="K593" s="342"/>
      <c r="L593" s="342"/>
      <c r="M593" s="490"/>
      <c r="N593" s="32"/>
      <c r="O593" s="489"/>
      <c r="P593" s="342"/>
      <c r="Q593" s="342"/>
      <c r="R593" s="490"/>
      <c r="S593" s="32"/>
      <c r="T593" s="292"/>
      <c r="U593" s="261"/>
      <c r="V593" s="261"/>
      <c r="W593" s="293"/>
      <c r="X593" s="228"/>
      <c r="Y593" s="292"/>
      <c r="Z593" s="261"/>
      <c r="AA593" s="261"/>
      <c r="AB593" s="293"/>
      <c r="AC593" s="228"/>
      <c r="AD593" s="292"/>
      <c r="AE593" s="261"/>
      <c r="AF593" s="261"/>
      <c r="AG593" s="293"/>
      <c r="AH593" s="228"/>
      <c r="AI593" s="292"/>
      <c r="AJ593" s="261"/>
      <c r="AK593" s="261"/>
      <c r="AL593" s="293"/>
      <c r="AM593" s="228"/>
      <c r="AN593" s="292"/>
      <c r="AO593" s="261"/>
      <c r="AP593" s="261"/>
      <c r="AQ593" s="293"/>
      <c r="AR593" s="228"/>
      <c r="AS593" s="292"/>
      <c r="AT593" s="261"/>
      <c r="AU593" s="261"/>
      <c r="AV593" s="293"/>
      <c r="AW593" s="228"/>
      <c r="AX593" s="292"/>
      <c r="AY593" s="261"/>
      <c r="AZ593" s="261"/>
      <c r="BA593" s="293"/>
      <c r="BB593" s="228"/>
      <c r="BC593" s="292"/>
      <c r="BD593" s="261"/>
      <c r="BE593" s="261"/>
      <c r="BF593" s="293"/>
      <c r="BG593" s="228"/>
      <c r="BH593" s="292"/>
      <c r="BI593" s="261"/>
      <c r="BJ593" s="261"/>
      <c r="BK593" s="293"/>
      <c r="BL593" s="228"/>
      <c r="BM593" s="292"/>
      <c r="BN593" s="261"/>
      <c r="BO593" s="261"/>
      <c r="BP593" s="293"/>
      <c r="BQ593" s="228"/>
      <c r="BR593" s="40"/>
      <c r="BS593" s="40"/>
      <c r="BT593" s="40"/>
      <c r="BU593" s="232"/>
      <c r="BV593" s="40"/>
      <c r="BW593" s="40"/>
      <c r="BX593" s="40"/>
      <c r="BY593" s="40"/>
      <c r="BZ593" s="40"/>
      <c r="CA593" s="40"/>
      <c r="CB593" s="40"/>
      <c r="CC593" s="40"/>
      <c r="CD593" s="40"/>
      <c r="CE593" s="40"/>
      <c r="CF593" s="40"/>
      <c r="CG593" s="40"/>
      <c r="CH593" s="40"/>
      <c r="CI593" s="40"/>
      <c r="CJ593" s="40"/>
      <c r="CK593" s="40"/>
      <c r="CL593" s="40"/>
      <c r="CM593" s="40"/>
      <c r="CN593" s="40"/>
      <c r="CO593" s="40"/>
      <c r="CP593" s="40"/>
      <c r="CQ593" s="40"/>
      <c r="CR593" s="40"/>
      <c r="CS593" s="40"/>
      <c r="CT593" s="823"/>
      <c r="CU593" s="232"/>
      <c r="CV593" s="232"/>
      <c r="CW593" s="232"/>
      <c r="CX593" s="232"/>
      <c r="CY593" s="232"/>
      <c r="CZ593" s="40"/>
      <c r="DA593" s="40"/>
      <c r="DB593" s="40"/>
      <c r="DC593" s="40"/>
      <c r="DD593" s="40"/>
      <c r="DE593" s="40"/>
      <c r="DF593" s="232"/>
      <c r="DG593" s="232"/>
      <c r="DH593" s="232"/>
      <c r="DI593" s="232"/>
      <c r="DJ593" s="232"/>
      <c r="DK593" s="232"/>
      <c r="DL593" s="232"/>
      <c r="DM593" s="232"/>
      <c r="DN593" s="232"/>
    </row>
    <row r="594" spans="1:118">
      <c r="A594" s="40"/>
      <c r="B594" s="1"/>
      <c r="C594" s="32"/>
      <c r="D594" s="32"/>
      <c r="E594" s="489"/>
      <c r="F594" s="342"/>
      <c r="G594" s="342"/>
      <c r="H594" s="490"/>
      <c r="I594" s="28"/>
      <c r="J594" s="489"/>
      <c r="K594" s="342"/>
      <c r="L594" s="342"/>
      <c r="M594" s="490"/>
      <c r="N594" s="32"/>
      <c r="O594" s="489"/>
      <c r="P594" s="342"/>
      <c r="Q594" s="342"/>
      <c r="R594" s="490"/>
      <c r="S594" s="32"/>
      <c r="T594" s="292"/>
      <c r="U594" s="261"/>
      <c r="V594" s="261"/>
      <c r="W594" s="293"/>
      <c r="X594" s="228"/>
      <c r="Y594" s="292"/>
      <c r="Z594" s="261"/>
      <c r="AA594" s="261"/>
      <c r="AB594" s="293"/>
      <c r="AC594" s="228"/>
      <c r="AD594" s="292"/>
      <c r="AE594" s="261"/>
      <c r="AF594" s="261"/>
      <c r="AG594" s="293"/>
      <c r="AH594" s="228"/>
      <c r="AI594" s="292"/>
      <c r="AJ594" s="261"/>
      <c r="AK594" s="261"/>
      <c r="AL594" s="293"/>
      <c r="AM594" s="228"/>
      <c r="AN594" s="292"/>
      <c r="AO594" s="261"/>
      <c r="AP594" s="261"/>
      <c r="AQ594" s="293"/>
      <c r="AR594" s="228"/>
      <c r="AS594" s="292"/>
      <c r="AT594" s="261"/>
      <c r="AU594" s="261"/>
      <c r="AV594" s="293"/>
      <c r="AW594" s="228"/>
      <c r="AX594" s="292"/>
      <c r="AY594" s="261"/>
      <c r="AZ594" s="261"/>
      <c r="BA594" s="293"/>
      <c r="BB594" s="228"/>
      <c r="BC594" s="292"/>
      <c r="BD594" s="261"/>
      <c r="BE594" s="261"/>
      <c r="BF594" s="293"/>
      <c r="BG594" s="228"/>
      <c r="BH594" s="292"/>
      <c r="BI594" s="261"/>
      <c r="BJ594" s="261"/>
      <c r="BK594" s="293"/>
      <c r="BL594" s="228"/>
      <c r="BM594" s="292"/>
      <c r="BN594" s="261"/>
      <c r="BO594" s="261"/>
      <c r="BP594" s="293"/>
      <c r="BQ594" s="228"/>
      <c r="BR594" s="40"/>
      <c r="BS594" s="40"/>
      <c r="BT594" s="40"/>
      <c r="BU594" s="232"/>
      <c r="BV594" s="40"/>
      <c r="BW594" s="40"/>
      <c r="BX594" s="40"/>
      <c r="BY594" s="40"/>
      <c r="BZ594" s="40"/>
      <c r="CA594" s="40"/>
      <c r="CB594" s="40"/>
      <c r="CC594" s="40"/>
      <c r="CD594" s="40"/>
      <c r="CE594" s="40"/>
      <c r="CF594" s="40"/>
      <c r="CG594" s="40"/>
      <c r="CH594" s="40"/>
      <c r="CI594" s="40"/>
      <c r="CJ594" s="40"/>
      <c r="CK594" s="40"/>
      <c r="CL594" s="40"/>
      <c r="CM594" s="40"/>
      <c r="CN594" s="40"/>
      <c r="CO594" s="40"/>
      <c r="CP594" s="40"/>
      <c r="CQ594" s="40"/>
      <c r="CR594" s="40"/>
      <c r="CS594" s="40"/>
      <c r="CT594" s="823"/>
      <c r="CU594" s="232"/>
      <c r="CV594" s="232"/>
      <c r="CW594" s="232"/>
      <c r="CX594" s="232"/>
      <c r="CY594" s="232"/>
      <c r="CZ594" s="40"/>
      <c r="DA594" s="40"/>
      <c r="DB594" s="40"/>
      <c r="DC594" s="40"/>
      <c r="DD594" s="40"/>
      <c r="DE594" s="40"/>
      <c r="DF594" s="232"/>
      <c r="DG594" s="232"/>
      <c r="DH594" s="232"/>
      <c r="DI594" s="232"/>
      <c r="DJ594" s="232"/>
      <c r="DK594" s="232"/>
      <c r="DL594" s="232"/>
      <c r="DM594" s="232"/>
      <c r="DN594" s="232"/>
    </row>
    <row r="595" spans="1:118">
      <c r="A595" s="40"/>
      <c r="B595" s="1"/>
      <c r="C595" s="996" t="s">
        <v>856</v>
      </c>
      <c r="D595" s="1"/>
      <c r="E595" s="273"/>
      <c r="F595" s="3"/>
      <c r="G595" s="3"/>
      <c r="H595" s="274"/>
      <c r="I595" s="28"/>
      <c r="J595" s="273"/>
      <c r="K595" s="3"/>
      <c r="L595" s="3"/>
      <c r="M595" s="274"/>
      <c r="N595" s="1"/>
      <c r="O595" s="273"/>
      <c r="P595" s="3"/>
      <c r="Q595" s="3"/>
      <c r="R595" s="274"/>
      <c r="S595" s="1"/>
      <c r="T595" s="273"/>
      <c r="U595" s="3"/>
      <c r="V595" s="3"/>
      <c r="W595" s="274"/>
      <c r="X595" s="1"/>
      <c r="Y595" s="273"/>
      <c r="Z595" s="3"/>
      <c r="AA595" s="3"/>
      <c r="AB595" s="274"/>
      <c r="AC595" s="1"/>
      <c r="AD595" s="273"/>
      <c r="AE595" s="3"/>
      <c r="AF595" s="3"/>
      <c r="AG595" s="274"/>
      <c r="AH595" s="1"/>
      <c r="AI595" s="273"/>
      <c r="AJ595" s="3"/>
      <c r="AK595" s="3"/>
      <c r="AL595" s="274"/>
      <c r="AM595" s="1"/>
      <c r="AN595" s="273"/>
      <c r="AO595" s="3"/>
      <c r="AP595" s="3"/>
      <c r="AQ595" s="274"/>
      <c r="AR595" s="1"/>
      <c r="AS595" s="273"/>
      <c r="AT595" s="3"/>
      <c r="AU595" s="3"/>
      <c r="AV595" s="274"/>
      <c r="AW595" s="1"/>
      <c r="AX595" s="273"/>
      <c r="AY595" s="3"/>
      <c r="AZ595" s="3"/>
      <c r="BA595" s="274"/>
      <c r="BB595" s="1"/>
      <c r="BC595" s="273"/>
      <c r="BD595" s="3"/>
      <c r="BE595" s="3"/>
      <c r="BF595" s="274"/>
      <c r="BG595" s="1"/>
      <c r="BH595" s="273"/>
      <c r="BI595" s="3"/>
      <c r="BJ595" s="3"/>
      <c r="BK595" s="274"/>
      <c r="BL595" s="1"/>
      <c r="BM595" s="273"/>
      <c r="BN595" s="3"/>
      <c r="BO595" s="3"/>
      <c r="BP595" s="274"/>
      <c r="BQ595" s="1"/>
      <c r="BR595" s="40"/>
      <c r="BS595" s="40"/>
      <c r="BT595" s="40"/>
      <c r="BU595" s="232"/>
      <c r="BV595" s="40"/>
      <c r="BW595" s="40"/>
      <c r="BX595" s="40"/>
      <c r="BY595" s="40"/>
      <c r="BZ595" s="40"/>
      <c r="CA595" s="40"/>
      <c r="CB595" s="40"/>
      <c r="CC595" s="40"/>
      <c r="CD595" s="40"/>
      <c r="CE595" s="40"/>
      <c r="CF595" s="40"/>
      <c r="CG595" s="40"/>
      <c r="CH595" s="40"/>
      <c r="CI595" s="40"/>
      <c r="CJ595" s="40"/>
      <c r="CK595" s="40"/>
      <c r="CL595" s="40"/>
      <c r="CM595" s="40"/>
      <c r="CN595" s="40"/>
      <c r="CO595" s="40"/>
      <c r="CP595" s="40"/>
      <c r="CQ595" s="40"/>
      <c r="CR595" s="40"/>
      <c r="CS595" s="40"/>
      <c r="CT595" s="823"/>
      <c r="CU595" s="232"/>
      <c r="CV595" s="232"/>
      <c r="CW595" s="232"/>
      <c r="CX595" s="232"/>
      <c r="CY595" s="232"/>
      <c r="CZ595" s="40"/>
      <c r="DA595" s="40"/>
      <c r="DB595" s="40"/>
      <c r="DC595" s="40"/>
      <c r="DD595" s="40"/>
      <c r="DE595" s="40"/>
      <c r="DF595" s="232"/>
      <c r="DG595" s="232"/>
      <c r="DH595" s="232"/>
      <c r="DI595" s="232"/>
      <c r="DJ595" s="232"/>
      <c r="DK595" s="232"/>
      <c r="DL595" s="232"/>
      <c r="DM595" s="232"/>
      <c r="DN595" s="232"/>
    </row>
    <row r="596" spans="1:118">
      <c r="A596" s="40"/>
      <c r="B596" s="1"/>
      <c r="C596" s="28" t="s">
        <v>797</v>
      </c>
      <c r="D596" s="1"/>
      <c r="E596" s="273"/>
      <c r="F596" s="3"/>
      <c r="G596" s="3"/>
      <c r="H596" s="274"/>
      <c r="I596" s="28"/>
      <c r="J596" s="273"/>
      <c r="K596" s="3"/>
      <c r="L596" s="3"/>
      <c r="M596" s="274"/>
      <c r="N596" s="1"/>
      <c r="O596" s="273"/>
      <c r="P596" s="3"/>
      <c r="Q596" s="3"/>
      <c r="R596" s="274"/>
      <c r="S596" s="1"/>
      <c r="T596" s="758"/>
      <c r="U596" s="660"/>
      <c r="V596" s="660"/>
      <c r="W596" s="661"/>
      <c r="X596" s="428"/>
      <c r="Y596" s="758">
        <f t="shared" ref="Y596:AC597" si="853">+Y613+Y626</f>
        <v>43.720888981261112</v>
      </c>
      <c r="Z596" s="660">
        <f t="shared" si="853"/>
        <v>47.861898424093468</v>
      </c>
      <c r="AA596" s="660">
        <f t="shared" si="853"/>
        <v>53.138743102436493</v>
      </c>
      <c r="AB596" s="661">
        <f t="shared" si="853"/>
        <v>42.515595013308392</v>
      </c>
      <c r="AC596" s="428">
        <f t="shared" si="853"/>
        <v>187.23712552109947</v>
      </c>
      <c r="AD596" s="758">
        <f t="shared" ref="AD596:BL597" si="854">+AD613+AD626</f>
        <v>126.38046957588875</v>
      </c>
      <c r="AE596" s="660">
        <f t="shared" si="854"/>
        <v>44.679667800495665</v>
      </c>
      <c r="AF596" s="660">
        <f t="shared" si="854"/>
        <v>44.679667800495665</v>
      </c>
      <c r="AG596" s="661">
        <f t="shared" si="854"/>
        <v>38.536707471421387</v>
      </c>
      <c r="AH596" s="428">
        <f t="shared" si="854"/>
        <v>254.27651264830149</v>
      </c>
      <c r="AI596" s="758">
        <f t="shared" si="854"/>
        <v>53.375892312405249</v>
      </c>
      <c r="AJ596" s="660">
        <f t="shared" si="854"/>
        <v>35.499975491994732</v>
      </c>
      <c r="AK596" s="660">
        <f t="shared" si="854"/>
        <v>33.809485423107873</v>
      </c>
      <c r="AL596" s="661">
        <f t="shared" si="854"/>
        <v>26.276204414089939</v>
      </c>
      <c r="AM596" s="428">
        <f t="shared" si="854"/>
        <v>148.96155764159778</v>
      </c>
      <c r="AN596" s="758">
        <f t="shared" si="854"/>
        <v>26.185271802314517</v>
      </c>
      <c r="AO596" s="660">
        <f t="shared" si="854"/>
        <v>25.944511928387485</v>
      </c>
      <c r="AP596" s="660">
        <f t="shared" si="854"/>
        <v>33.947528947616561</v>
      </c>
      <c r="AQ596" s="661">
        <f t="shared" si="854"/>
        <v>26.215600336204144</v>
      </c>
      <c r="AR596" s="428">
        <f t="shared" si="854"/>
        <v>112.2929130145227</v>
      </c>
      <c r="AS596" s="758">
        <f t="shared" si="854"/>
        <v>27.898954559556294</v>
      </c>
      <c r="AT596" s="660">
        <f t="shared" si="854"/>
        <v>27.733185591367917</v>
      </c>
      <c r="AU596" s="660">
        <f t="shared" ref="AU596" si="855">+AU613+AU626</f>
        <v>29.678960790541758</v>
      </c>
      <c r="AV596" s="661">
        <f t="shared" si="854"/>
        <v>41.642471134499758</v>
      </c>
      <c r="AW596" s="428">
        <f t="shared" si="854"/>
        <v>126.95357207596572</v>
      </c>
      <c r="AX596" s="758">
        <f t="shared" si="854"/>
        <v>41.642471134499758</v>
      </c>
      <c r="AY596" s="660">
        <f t="shared" si="854"/>
        <v>29.314581383999997</v>
      </c>
      <c r="AZ596" s="660">
        <f t="shared" si="854"/>
        <v>31.972439405999999</v>
      </c>
      <c r="BA596" s="661">
        <f t="shared" si="854"/>
        <v>29.499066107999994</v>
      </c>
      <c r="BB596" s="428">
        <f t="shared" si="854"/>
        <v>132.42855803249975</v>
      </c>
      <c r="BC596" s="758">
        <f t="shared" si="854"/>
        <v>37.344331084741505</v>
      </c>
      <c r="BD596" s="660">
        <f t="shared" si="854"/>
        <v>25.564267751512936</v>
      </c>
      <c r="BE596" s="660">
        <f t="shared" si="854"/>
        <v>28.211219098429048</v>
      </c>
      <c r="BF596" s="661">
        <f t="shared" si="854"/>
        <v>31.976546529139572</v>
      </c>
      <c r="BG596" s="428">
        <f t="shared" si="854"/>
        <v>123.09636446382306</v>
      </c>
      <c r="BH596" s="758">
        <f t="shared" si="854"/>
        <v>37.293387484060979</v>
      </c>
      <c r="BI596" s="660">
        <f t="shared" si="854"/>
        <v>25.528161084708021</v>
      </c>
      <c r="BJ596" s="660">
        <f t="shared" si="854"/>
        <v>28.171784768332905</v>
      </c>
      <c r="BK596" s="661">
        <f t="shared" si="854"/>
        <v>31.930196326771259</v>
      </c>
      <c r="BL596" s="428">
        <f t="shared" si="854"/>
        <v>122.92352966387317</v>
      </c>
      <c r="BM596" s="758">
        <f t="shared" ref="BM596:BQ596" si="856">+BM613+BM626</f>
        <v>30.588024085714284</v>
      </c>
      <c r="BN596" s="660">
        <f t="shared" si="856"/>
        <v>30.588024085714284</v>
      </c>
      <c r="BO596" s="660">
        <f t="shared" si="856"/>
        <v>30.588024085714284</v>
      </c>
      <c r="BP596" s="661">
        <f t="shared" si="856"/>
        <v>30.588024085714284</v>
      </c>
      <c r="BQ596" s="428">
        <f t="shared" si="856"/>
        <v>122.35209634285714</v>
      </c>
      <c r="BR596" s="40"/>
      <c r="BS596" s="40"/>
      <c r="BT596" s="40"/>
      <c r="BU596" s="232"/>
      <c r="BV596" s="40"/>
      <c r="BW596" s="40"/>
      <c r="BX596" s="40"/>
      <c r="BY596" s="40"/>
      <c r="BZ596" s="40"/>
      <c r="CA596" s="40"/>
      <c r="CB596" s="40"/>
      <c r="CC596" s="40"/>
      <c r="CD596" s="40"/>
      <c r="CE596" s="40"/>
      <c r="CF596" s="40"/>
      <c r="CG596" s="40"/>
      <c r="CH596" s="40"/>
      <c r="CI596" s="40"/>
      <c r="CJ596" s="40"/>
      <c r="CK596" s="40"/>
      <c r="CL596" s="40"/>
      <c r="CM596" s="40"/>
      <c r="CN596" s="40"/>
      <c r="CO596" s="40"/>
      <c r="CP596" s="40"/>
      <c r="CQ596" s="40"/>
      <c r="CR596" s="40"/>
      <c r="CS596" s="40"/>
      <c r="CT596" s="823"/>
      <c r="CU596" s="232"/>
      <c r="CV596" s="232"/>
      <c r="CW596" s="232"/>
      <c r="CX596" s="232"/>
      <c r="CY596" s="232"/>
      <c r="CZ596" s="40"/>
      <c r="DA596" s="40"/>
      <c r="DB596" s="40"/>
      <c r="DC596" s="40"/>
      <c r="DD596" s="40"/>
      <c r="DE596" s="40"/>
      <c r="DF596" s="232"/>
      <c r="DG596" s="232"/>
      <c r="DH596" s="232"/>
      <c r="DI596" s="232"/>
      <c r="DJ596" s="232"/>
      <c r="DK596" s="232"/>
      <c r="DL596" s="232"/>
      <c r="DM596" s="232"/>
      <c r="DN596" s="232"/>
    </row>
    <row r="597" spans="1:118">
      <c r="A597" s="40"/>
      <c r="B597" s="1"/>
      <c r="C597" s="28" t="s">
        <v>278</v>
      </c>
      <c r="D597" s="1"/>
      <c r="E597" s="273"/>
      <c r="F597" s="3"/>
      <c r="G597" s="3"/>
      <c r="H597" s="274"/>
      <c r="I597" s="28"/>
      <c r="J597" s="273"/>
      <c r="K597" s="3"/>
      <c r="L597" s="3"/>
      <c r="M597" s="274"/>
      <c r="N597" s="1"/>
      <c r="O597" s="273"/>
      <c r="P597" s="3"/>
      <c r="Q597" s="3"/>
      <c r="R597" s="274"/>
      <c r="S597" s="1"/>
      <c r="T597" s="758"/>
      <c r="U597" s="660"/>
      <c r="V597" s="660"/>
      <c r="W597" s="661"/>
      <c r="X597" s="428"/>
      <c r="Y597" s="758">
        <f t="shared" si="853"/>
        <v>20.548694875777233</v>
      </c>
      <c r="Z597" s="660">
        <f t="shared" si="853"/>
        <v>18.625438501934944</v>
      </c>
      <c r="AA597" s="660">
        <f t="shared" si="853"/>
        <v>17.841905543552883</v>
      </c>
      <c r="AB597" s="661">
        <f t="shared" si="853"/>
        <v>19.143712838330117</v>
      </c>
      <c r="AC597" s="428">
        <f t="shared" si="853"/>
        <v>76.159751759595181</v>
      </c>
      <c r="AD597" s="1545">
        <f t="shared" ref="AD597:AR597" si="857">+AD614+AD627</f>
        <v>53.980414669542462</v>
      </c>
      <c r="AE597" s="660">
        <f t="shared" si="857"/>
        <v>15.76099286758665</v>
      </c>
      <c r="AF597" s="660">
        <f t="shared" si="857"/>
        <v>15.76099286758665</v>
      </c>
      <c r="AG597" s="661">
        <f t="shared" si="857"/>
        <v>22.392491343629978</v>
      </c>
      <c r="AH597" s="428">
        <f t="shared" si="857"/>
        <v>107.89489174834574</v>
      </c>
      <c r="AI597" s="758">
        <f t="shared" si="857"/>
        <v>31.462474095754647</v>
      </c>
      <c r="AJ597" s="660">
        <f t="shared" si="857"/>
        <v>14.95539726403133</v>
      </c>
      <c r="AK597" s="660">
        <f t="shared" si="857"/>
        <v>12.38943564042648</v>
      </c>
      <c r="AL597" s="661">
        <f t="shared" si="857"/>
        <v>15.071535677151184</v>
      </c>
      <c r="AM597" s="428">
        <f t="shared" si="857"/>
        <v>73.87884267736365</v>
      </c>
      <c r="AN597" s="758">
        <f t="shared" si="857"/>
        <v>15.070363373785973</v>
      </c>
      <c r="AO597" s="660">
        <f t="shared" si="857"/>
        <v>11.448288618210965</v>
      </c>
      <c r="AP597" s="660">
        <f t="shared" si="857"/>
        <v>12.529579379860969</v>
      </c>
      <c r="AQ597" s="661">
        <f t="shared" si="857"/>
        <v>12.674530325556114</v>
      </c>
      <c r="AR597" s="428">
        <f t="shared" si="857"/>
        <v>51.722761697414022</v>
      </c>
      <c r="AS597" s="758">
        <f t="shared" si="854"/>
        <v>17.443049381373626</v>
      </c>
      <c r="AT597" s="660">
        <f t="shared" si="854"/>
        <v>12.924032039745207</v>
      </c>
      <c r="AU597" s="660">
        <f t="shared" ref="AU597" si="858">+AU614+AU627</f>
        <v>11.404785646617226</v>
      </c>
      <c r="AV597" s="661">
        <f t="shared" si="854"/>
        <v>27.738031096788859</v>
      </c>
      <c r="AW597" s="428">
        <f t="shared" si="854"/>
        <v>69.509898164524913</v>
      </c>
      <c r="AX597" s="758">
        <f t="shared" si="854"/>
        <v>27.738031096788859</v>
      </c>
      <c r="AY597" s="660">
        <f t="shared" si="854"/>
        <v>14.958965820000001</v>
      </c>
      <c r="AZ597" s="660">
        <f t="shared" si="854"/>
        <v>15.023180999999999</v>
      </c>
      <c r="BA597" s="661">
        <f t="shared" si="854"/>
        <v>15.1618184025</v>
      </c>
      <c r="BB597" s="428">
        <f t="shared" si="854"/>
        <v>72.881996319288859</v>
      </c>
      <c r="BC597" s="758">
        <f t="shared" si="854"/>
        <v>22.206876660074396</v>
      </c>
      <c r="BD597" s="660">
        <f t="shared" si="854"/>
        <v>12.334672157396156</v>
      </c>
      <c r="BE597" s="660">
        <f t="shared" si="854"/>
        <v>12.60187151426236</v>
      </c>
      <c r="BF597" s="661">
        <f t="shared" si="854"/>
        <v>18.426997258767095</v>
      </c>
      <c r="BG597" s="428">
        <f t="shared" si="854"/>
        <v>65.5704175905</v>
      </c>
      <c r="BH597" s="758">
        <f t="shared" si="854"/>
        <v>22.011991353116333</v>
      </c>
      <c r="BI597" s="660">
        <f t="shared" si="854"/>
        <v>12.226424320187107</v>
      </c>
      <c r="BJ597" s="660">
        <f t="shared" si="854"/>
        <v>12.491278762481169</v>
      </c>
      <c r="BK597" s="661">
        <f t="shared" si="854"/>
        <v>18.265283791715387</v>
      </c>
      <c r="BL597" s="428">
        <f t="shared" si="854"/>
        <v>64.994978227499999</v>
      </c>
      <c r="BM597" s="758">
        <f t="shared" ref="BM597:BQ597" si="859">+BM614+BM627</f>
        <v>16.000447839308443</v>
      </c>
      <c r="BN597" s="660">
        <f t="shared" si="859"/>
        <v>16.000447839308443</v>
      </c>
      <c r="BO597" s="660">
        <f t="shared" si="859"/>
        <v>16.000447839308443</v>
      </c>
      <c r="BP597" s="661">
        <f t="shared" si="859"/>
        <v>16.000447839308443</v>
      </c>
      <c r="BQ597" s="428">
        <f t="shared" si="859"/>
        <v>64.00179135723377</v>
      </c>
      <c r="BR597" s="40"/>
      <c r="BS597" s="40"/>
      <c r="BT597" s="40"/>
      <c r="BU597" s="232"/>
      <c r="BV597" s="40"/>
      <c r="BW597" s="40"/>
      <c r="BX597" s="40"/>
      <c r="BY597" s="40"/>
      <c r="BZ597" s="40"/>
      <c r="CA597" s="40"/>
      <c r="CB597" s="40"/>
      <c r="CC597" s="40"/>
      <c r="CD597" s="40"/>
      <c r="CE597" s="40"/>
      <c r="CF597" s="40"/>
      <c r="CG597" s="40"/>
      <c r="CH597" s="40"/>
      <c r="CI597" s="40"/>
      <c r="CJ597" s="40"/>
      <c r="CK597" s="40"/>
      <c r="CL597" s="40"/>
      <c r="CM597" s="40"/>
      <c r="CN597" s="40"/>
      <c r="CO597" s="40"/>
      <c r="CP597" s="40"/>
      <c r="CQ597" s="40"/>
      <c r="CR597" s="40"/>
      <c r="CS597" s="40"/>
      <c r="CT597" s="823"/>
      <c r="CU597" s="232"/>
      <c r="CV597" s="232"/>
      <c r="CW597" s="232"/>
      <c r="CX597" s="232"/>
      <c r="CY597" s="232"/>
      <c r="CZ597" s="40"/>
      <c r="DA597" s="40"/>
      <c r="DB597" s="40"/>
      <c r="DC597" s="40"/>
      <c r="DD597" s="40"/>
      <c r="DE597" s="40"/>
      <c r="DF597" s="232"/>
      <c r="DG597" s="232"/>
      <c r="DH597" s="232"/>
      <c r="DI597" s="232"/>
      <c r="DJ597" s="232"/>
      <c r="DK597" s="232"/>
      <c r="DL597" s="232"/>
      <c r="DM597" s="232"/>
      <c r="DN597" s="232"/>
    </row>
    <row r="598" spans="1:118">
      <c r="A598" s="40"/>
      <c r="B598" s="1"/>
      <c r="C598" s="32" t="s">
        <v>199</v>
      </c>
      <c r="D598" s="32"/>
      <c r="E598" s="489"/>
      <c r="F598" s="342"/>
      <c r="G598" s="342"/>
      <c r="H598" s="490"/>
      <c r="I598" s="28"/>
      <c r="J598" s="489"/>
      <c r="K598" s="342"/>
      <c r="L598" s="342"/>
      <c r="M598" s="490"/>
      <c r="N598" s="32"/>
      <c r="O598" s="489"/>
      <c r="P598" s="342"/>
      <c r="Q598" s="342"/>
      <c r="R598" s="490"/>
      <c r="S598" s="32"/>
      <c r="T598" s="292"/>
      <c r="U598" s="261"/>
      <c r="V598" s="261"/>
      <c r="W598" s="293"/>
      <c r="X598" s="228"/>
      <c r="Y598" s="292">
        <f>Y596-Y597</f>
        <v>23.172194105483879</v>
      </c>
      <c r="Z598" s="261">
        <f>Z596-Z597</f>
        <v>29.236459922158524</v>
      </c>
      <c r="AA598" s="261">
        <f>AA596-AA597</f>
        <v>35.29683755888361</v>
      </c>
      <c r="AB598" s="293">
        <f>AB596-AB597</f>
        <v>23.371882174978275</v>
      </c>
      <c r="AC598" s="228">
        <f>AC596-AC597</f>
        <v>111.07737376150429</v>
      </c>
      <c r="AD598" s="292">
        <f t="shared" ref="AD598:BL598" si="860">AD596-AD597</f>
        <v>72.400054906346298</v>
      </c>
      <c r="AE598" s="261">
        <f>AE596-AE597</f>
        <v>28.918674932909013</v>
      </c>
      <c r="AF598" s="261">
        <f t="shared" si="860"/>
        <v>28.918674932909013</v>
      </c>
      <c r="AG598" s="293">
        <f t="shared" si="860"/>
        <v>16.14421612779141</v>
      </c>
      <c r="AH598" s="228">
        <f t="shared" si="860"/>
        <v>146.38162089995575</v>
      </c>
      <c r="AI598" s="292">
        <f t="shared" si="860"/>
        <v>21.913418216650602</v>
      </c>
      <c r="AJ598" s="261">
        <f t="shared" si="860"/>
        <v>20.544578227963402</v>
      </c>
      <c r="AK598" s="261">
        <f t="shared" si="860"/>
        <v>21.420049782681392</v>
      </c>
      <c r="AL598" s="293">
        <f t="shared" si="860"/>
        <v>11.204668736938755</v>
      </c>
      <c r="AM598" s="228">
        <f t="shared" si="860"/>
        <v>75.082714964234128</v>
      </c>
      <c r="AN598" s="292">
        <f t="shared" si="860"/>
        <v>11.114908428528544</v>
      </c>
      <c r="AO598" s="261">
        <f t="shared" si="860"/>
        <v>14.49622331017652</v>
      </c>
      <c r="AP598" s="261">
        <f t="shared" si="860"/>
        <v>21.417949567755592</v>
      </c>
      <c r="AQ598" s="293">
        <f t="shared" si="860"/>
        <v>13.54107001064803</v>
      </c>
      <c r="AR598" s="228">
        <f t="shared" si="860"/>
        <v>60.570151317108675</v>
      </c>
      <c r="AS598" s="292">
        <f t="shared" si="860"/>
        <v>10.455905178182668</v>
      </c>
      <c r="AT598" s="261">
        <f t="shared" si="860"/>
        <v>14.80915355162271</v>
      </c>
      <c r="AU598" s="261">
        <f t="shared" ref="AU598" si="861">AU596-AU597</f>
        <v>18.274175143924531</v>
      </c>
      <c r="AV598" s="293">
        <f t="shared" si="860"/>
        <v>13.904440037710899</v>
      </c>
      <c r="AW598" s="228">
        <f t="shared" si="860"/>
        <v>57.443673911440811</v>
      </c>
      <c r="AX598" s="292">
        <f t="shared" si="860"/>
        <v>13.904440037710899</v>
      </c>
      <c r="AY598" s="261">
        <f t="shared" si="860"/>
        <v>14.355615563999995</v>
      </c>
      <c r="AZ598" s="261">
        <f t="shared" si="860"/>
        <v>16.949258405999998</v>
      </c>
      <c r="BA598" s="293">
        <f t="shared" si="860"/>
        <v>14.337247705499994</v>
      </c>
      <c r="BB598" s="228">
        <f t="shared" si="860"/>
        <v>59.546561713210892</v>
      </c>
      <c r="BC598" s="292">
        <f t="shared" si="860"/>
        <v>15.137454424667109</v>
      </c>
      <c r="BD598" s="261">
        <f t="shared" si="860"/>
        <v>13.22959559411678</v>
      </c>
      <c r="BE598" s="261">
        <f t="shared" si="860"/>
        <v>15.609347584166688</v>
      </c>
      <c r="BF598" s="293">
        <f t="shared" si="860"/>
        <v>13.549549270372477</v>
      </c>
      <c r="BG598" s="228">
        <f t="shared" si="860"/>
        <v>57.525946873323065</v>
      </c>
      <c r="BH598" s="292">
        <f t="shared" si="860"/>
        <v>15.281396130944646</v>
      </c>
      <c r="BI598" s="261">
        <f t="shared" si="860"/>
        <v>13.301736764520914</v>
      </c>
      <c r="BJ598" s="261">
        <f t="shared" si="860"/>
        <v>15.680506005851736</v>
      </c>
      <c r="BK598" s="293">
        <f t="shared" si="860"/>
        <v>13.664912535055873</v>
      </c>
      <c r="BL598" s="228">
        <f t="shared" si="860"/>
        <v>57.928551436373169</v>
      </c>
      <c r="BM598" s="292">
        <f t="shared" ref="BM598:BQ598" si="862">BM596-BM597</f>
        <v>14.587576246405842</v>
      </c>
      <c r="BN598" s="261">
        <f t="shared" si="862"/>
        <v>14.587576246405842</v>
      </c>
      <c r="BO598" s="261">
        <f t="shared" si="862"/>
        <v>14.587576246405842</v>
      </c>
      <c r="BP598" s="293">
        <f t="shared" si="862"/>
        <v>14.587576246405842</v>
      </c>
      <c r="BQ598" s="228">
        <f t="shared" si="862"/>
        <v>58.350304985623367</v>
      </c>
      <c r="BR598" s="40"/>
      <c r="BS598" s="40"/>
      <c r="BT598" s="40"/>
      <c r="BU598" s="232"/>
      <c r="BV598" s="40"/>
      <c r="BW598" s="40"/>
      <c r="BX598" s="40"/>
      <c r="BY598" s="40"/>
      <c r="BZ598" s="40"/>
      <c r="CA598" s="40"/>
      <c r="CB598" s="40"/>
      <c r="CC598" s="40"/>
      <c r="CD598" s="40"/>
      <c r="CE598" s="40"/>
      <c r="CF598" s="40"/>
      <c r="CG598" s="40"/>
      <c r="CH598" s="40"/>
      <c r="CI598" s="40"/>
      <c r="CJ598" s="40"/>
      <c r="CK598" s="40"/>
      <c r="CL598" s="40"/>
      <c r="CM598" s="40"/>
      <c r="CN598" s="40"/>
      <c r="CO598" s="40"/>
      <c r="CP598" s="40"/>
      <c r="CQ598" s="40"/>
      <c r="CR598" s="40"/>
      <c r="CS598" s="40"/>
      <c r="CT598" s="823"/>
      <c r="CU598" s="232"/>
      <c r="CV598" s="232"/>
      <c r="CW598" s="232"/>
      <c r="CX598" s="232"/>
      <c r="CY598" s="232"/>
      <c r="CZ598" s="40"/>
      <c r="DA598" s="40"/>
      <c r="DB598" s="40"/>
      <c r="DC598" s="40"/>
      <c r="DD598" s="40"/>
      <c r="DE598" s="40"/>
      <c r="DF598" s="232"/>
      <c r="DG598" s="232"/>
      <c r="DH598" s="232"/>
      <c r="DI598" s="232"/>
      <c r="DJ598" s="232"/>
      <c r="DK598" s="232"/>
      <c r="DL598" s="232"/>
      <c r="DM598" s="232"/>
      <c r="DN598" s="232"/>
    </row>
    <row r="599" spans="1:118">
      <c r="A599" s="40"/>
      <c r="B599" s="1"/>
      <c r="C599" s="1"/>
      <c r="D599" s="1"/>
      <c r="E599" s="273"/>
      <c r="F599" s="3"/>
      <c r="G599" s="3"/>
      <c r="H599" s="274"/>
      <c r="I599" s="28"/>
      <c r="J599" s="273"/>
      <c r="K599" s="3"/>
      <c r="L599" s="3"/>
      <c r="M599" s="274"/>
      <c r="N599" s="1"/>
      <c r="O599" s="273"/>
      <c r="P599" s="3"/>
      <c r="Q599" s="3"/>
      <c r="R599" s="274"/>
      <c r="S599" s="1"/>
      <c r="T599" s="273"/>
      <c r="U599" s="3"/>
      <c r="V599" s="3"/>
      <c r="W599" s="274"/>
      <c r="X599" s="1"/>
      <c r="Y599" s="273"/>
      <c r="Z599" s="3"/>
      <c r="AA599" s="3"/>
      <c r="AB599" s="274"/>
      <c r="AC599" s="1"/>
      <c r="AD599" s="273"/>
      <c r="AE599" s="3"/>
      <c r="AF599" s="3"/>
      <c r="AG599" s="274"/>
      <c r="AH599" s="439"/>
      <c r="AI599" s="273"/>
      <c r="AJ599" s="3"/>
      <c r="AK599" s="3"/>
      <c r="AL599" s="274"/>
      <c r="AM599" s="1"/>
      <c r="AN599" s="273"/>
      <c r="AO599" s="3"/>
      <c r="AP599" s="3"/>
      <c r="AQ599" s="274"/>
      <c r="AR599" s="1"/>
      <c r="AS599" s="273"/>
      <c r="AT599" s="3"/>
      <c r="AU599" s="3"/>
      <c r="AV599" s="274"/>
      <c r="AW599" s="1"/>
      <c r="AX599" s="273"/>
      <c r="AY599" s="3"/>
      <c r="AZ599" s="3"/>
      <c r="BA599" s="274"/>
      <c r="BB599" s="1"/>
      <c r="BC599" s="273"/>
      <c r="BD599" s="3"/>
      <c r="BE599" s="3"/>
      <c r="BF599" s="274"/>
      <c r="BG599" s="1"/>
      <c r="BH599" s="273"/>
      <c r="BI599" s="3"/>
      <c r="BJ599" s="3"/>
      <c r="BK599" s="274"/>
      <c r="BL599" s="1"/>
      <c r="BM599" s="273"/>
      <c r="BN599" s="3"/>
      <c r="BO599" s="3"/>
      <c r="BP599" s="274"/>
      <c r="BQ599" s="1"/>
      <c r="BR599" s="40"/>
      <c r="BS599" s="40"/>
      <c r="BT599" s="40"/>
      <c r="BU599" s="232"/>
      <c r="BV599" s="40"/>
      <c r="BW599" s="40"/>
      <c r="BX599" s="40"/>
      <c r="BY599" s="40"/>
      <c r="BZ599" s="40"/>
      <c r="CA599" s="40"/>
      <c r="CB599" s="40"/>
      <c r="CC599" s="40"/>
      <c r="CD599" s="40"/>
      <c r="CE599" s="40"/>
      <c r="CF599" s="40"/>
      <c r="CG599" s="40"/>
      <c r="CH599" s="40"/>
      <c r="CI599" s="40"/>
      <c r="CJ599" s="40"/>
      <c r="CK599" s="40"/>
      <c r="CL599" s="40"/>
      <c r="CM599" s="40"/>
      <c r="CN599" s="40"/>
      <c r="CO599" s="40"/>
      <c r="CP599" s="40"/>
      <c r="CQ599" s="40"/>
      <c r="CR599" s="40"/>
      <c r="CS599" s="40"/>
      <c r="CT599" s="823"/>
      <c r="CU599" s="232"/>
      <c r="CV599" s="232"/>
      <c r="CW599" s="232"/>
      <c r="CX599" s="232"/>
      <c r="CY599" s="232"/>
      <c r="CZ599" s="40"/>
      <c r="DA599" s="40"/>
      <c r="DB599" s="40"/>
      <c r="DC599" s="40"/>
      <c r="DD599" s="40"/>
      <c r="DE599" s="40"/>
      <c r="DF599" s="232"/>
      <c r="DG599" s="232"/>
      <c r="DH599" s="232"/>
      <c r="DI599" s="232"/>
      <c r="DJ599" s="232"/>
      <c r="DK599" s="232"/>
      <c r="DL599" s="232"/>
      <c r="DM599" s="232"/>
      <c r="DN599" s="232"/>
    </row>
    <row r="600" spans="1:118">
      <c r="A600" s="40"/>
      <c r="B600" s="28"/>
      <c r="C600" s="28" t="s">
        <v>853</v>
      </c>
      <c r="D600" s="28"/>
      <c r="E600" s="290"/>
      <c r="F600" s="260"/>
      <c r="G600" s="260"/>
      <c r="H600" s="291"/>
      <c r="I600" s="28"/>
      <c r="J600" s="290"/>
      <c r="K600" s="260"/>
      <c r="L600" s="260"/>
      <c r="M600" s="291"/>
      <c r="N600" s="45"/>
      <c r="O600" s="290"/>
      <c r="P600" s="260"/>
      <c r="Q600" s="260"/>
      <c r="R600" s="291"/>
      <c r="S600" s="45"/>
      <c r="T600" s="758"/>
      <c r="U600" s="260"/>
      <c r="V600" s="260"/>
      <c r="W600" s="291"/>
      <c r="X600" s="45"/>
      <c r="Y600" s="290">
        <f>+Y608+Y621</f>
        <v>1936</v>
      </c>
      <c r="Z600" s="260">
        <f>+Z608+Z621</f>
        <v>1936</v>
      </c>
      <c r="AA600" s="260">
        <f>+AA608+AA621</f>
        <v>1936</v>
      </c>
      <c r="AB600" s="291">
        <f>+AB608+AB621</f>
        <v>1936</v>
      </c>
      <c r="AC600" s="45">
        <f>+AC608+AC621</f>
        <v>1936</v>
      </c>
      <c r="AD600" s="290">
        <f t="shared" ref="AD600:BL600" si="863">+AD608+AD621</f>
        <v>1936</v>
      </c>
      <c r="AE600" s="260">
        <f>+AE608+AE621</f>
        <v>1936</v>
      </c>
      <c r="AF600" s="260">
        <f t="shared" si="863"/>
        <v>1936</v>
      </c>
      <c r="AG600" s="291">
        <f t="shared" si="863"/>
        <v>1658</v>
      </c>
      <c r="AH600" s="45">
        <f t="shared" si="863"/>
        <v>1658</v>
      </c>
      <c r="AI600" s="290">
        <f t="shared" si="863"/>
        <v>1658</v>
      </c>
      <c r="AJ600" s="260">
        <f t="shared" si="863"/>
        <v>1658</v>
      </c>
      <c r="AK600" s="260">
        <f t="shared" si="863"/>
        <v>1658</v>
      </c>
      <c r="AL600" s="291">
        <f t="shared" si="863"/>
        <v>1658</v>
      </c>
      <c r="AM600" s="45">
        <f t="shared" si="863"/>
        <v>1658</v>
      </c>
      <c r="AN600" s="290">
        <f t="shared" si="863"/>
        <v>1658</v>
      </c>
      <c r="AO600" s="260">
        <f t="shared" si="863"/>
        <v>1658</v>
      </c>
      <c r="AP600" s="260">
        <f t="shared" si="863"/>
        <v>1658</v>
      </c>
      <c r="AQ600" s="291">
        <f t="shared" si="863"/>
        <v>1658</v>
      </c>
      <c r="AR600" s="45">
        <f t="shared" si="863"/>
        <v>1658</v>
      </c>
      <c r="AS600" s="290">
        <f t="shared" si="863"/>
        <v>1658</v>
      </c>
      <c r="AT600" s="260">
        <f t="shared" si="863"/>
        <v>1658</v>
      </c>
      <c r="AU600" s="260">
        <f t="shared" ref="AU600" si="864">+AU608+AU621</f>
        <v>1658</v>
      </c>
      <c r="AV600" s="291">
        <f t="shared" si="863"/>
        <v>1658</v>
      </c>
      <c r="AW600" s="45">
        <f t="shared" si="863"/>
        <v>1658</v>
      </c>
      <c r="AX600" s="290">
        <f t="shared" si="863"/>
        <v>1658</v>
      </c>
      <c r="AY600" s="260">
        <f t="shared" si="863"/>
        <v>1658</v>
      </c>
      <c r="AZ600" s="260">
        <f t="shared" si="863"/>
        <v>1658</v>
      </c>
      <c r="BA600" s="291">
        <f t="shared" si="863"/>
        <v>1658</v>
      </c>
      <c r="BB600" s="45">
        <f t="shared" si="863"/>
        <v>1658</v>
      </c>
      <c r="BC600" s="290">
        <f t="shared" si="863"/>
        <v>1658</v>
      </c>
      <c r="BD600" s="260">
        <f t="shared" si="863"/>
        <v>1658</v>
      </c>
      <c r="BE600" s="260">
        <f t="shared" si="863"/>
        <v>1658</v>
      </c>
      <c r="BF600" s="291">
        <f t="shared" si="863"/>
        <v>1658</v>
      </c>
      <c r="BG600" s="45">
        <f t="shared" si="863"/>
        <v>1658</v>
      </c>
      <c r="BH600" s="290">
        <f t="shared" si="863"/>
        <v>1658</v>
      </c>
      <c r="BI600" s="260">
        <f t="shared" si="863"/>
        <v>1658</v>
      </c>
      <c r="BJ600" s="260">
        <f t="shared" si="863"/>
        <v>1658</v>
      </c>
      <c r="BK600" s="291">
        <f t="shared" si="863"/>
        <v>1658</v>
      </c>
      <c r="BL600" s="45">
        <f t="shared" si="863"/>
        <v>1658</v>
      </c>
      <c r="BM600" s="290">
        <f t="shared" ref="BM600:BQ600" si="865">+BM608+BM621</f>
        <v>1658</v>
      </c>
      <c r="BN600" s="260">
        <f t="shared" si="865"/>
        <v>1658</v>
      </c>
      <c r="BO600" s="260">
        <f t="shared" si="865"/>
        <v>1658</v>
      </c>
      <c r="BP600" s="291">
        <f t="shared" si="865"/>
        <v>1658</v>
      </c>
      <c r="BQ600" s="45">
        <f t="shared" si="865"/>
        <v>1658</v>
      </c>
      <c r="BR600" s="40"/>
      <c r="BS600" s="40"/>
      <c r="BT600" s="40"/>
      <c r="BU600" s="232"/>
      <c r="BV600" s="40"/>
      <c r="BW600" s="40"/>
      <c r="BX600" s="40"/>
      <c r="BY600" s="40"/>
      <c r="BZ600" s="40"/>
      <c r="CA600" s="40"/>
      <c r="CB600" s="40"/>
      <c r="CC600" s="40"/>
      <c r="CD600" s="40"/>
      <c r="CE600" s="40"/>
      <c r="CF600" s="40"/>
      <c r="CG600" s="40"/>
      <c r="CH600" s="40"/>
      <c r="CI600" s="40"/>
      <c r="CJ600" s="40"/>
      <c r="CK600" s="40"/>
      <c r="CL600" s="40"/>
      <c r="CM600" s="40"/>
      <c r="CN600" s="40"/>
      <c r="CO600" s="40"/>
      <c r="CP600" s="40"/>
      <c r="CQ600" s="40"/>
      <c r="CR600" s="40"/>
      <c r="CS600" s="40"/>
      <c r="CT600" s="823"/>
      <c r="CU600" s="232"/>
      <c r="CV600" s="232"/>
      <c r="CW600" s="232"/>
      <c r="CX600" s="232"/>
      <c r="CY600" s="232"/>
      <c r="CZ600" s="40"/>
      <c r="DA600" s="40"/>
      <c r="DB600" s="40"/>
      <c r="DC600" s="40"/>
      <c r="DD600" s="40"/>
      <c r="DE600" s="40"/>
      <c r="DF600" s="232"/>
      <c r="DG600" s="232"/>
      <c r="DH600" s="232"/>
      <c r="DI600" s="232"/>
      <c r="DJ600" s="232"/>
      <c r="DK600" s="232"/>
      <c r="DL600" s="232"/>
      <c r="DM600" s="232"/>
      <c r="DN600" s="232"/>
    </row>
    <row r="601" spans="1:118">
      <c r="A601" s="40"/>
      <c r="B601" s="28"/>
      <c r="C601" s="28" t="s">
        <v>198</v>
      </c>
      <c r="D601" s="28"/>
      <c r="E601" s="305"/>
      <c r="F601" s="36"/>
      <c r="G601" s="36"/>
      <c r="H601" s="685"/>
      <c r="I601" s="28"/>
      <c r="J601" s="305"/>
      <c r="K601" s="36"/>
      <c r="L601" s="36"/>
      <c r="M601" s="685"/>
      <c r="N601" s="995"/>
      <c r="O601" s="305"/>
      <c r="P601" s="36"/>
      <c r="Q601" s="36"/>
      <c r="R601" s="685"/>
      <c r="S601" s="28"/>
      <c r="T601" s="308"/>
      <c r="U601" s="244"/>
      <c r="V601" s="244"/>
      <c r="W601" s="309"/>
      <c r="X601" s="24"/>
      <c r="Y601" s="308">
        <f>+Y611+Y624</f>
        <v>1034.1179999999999</v>
      </c>
      <c r="Z601" s="244">
        <f>+Z611+Z624</f>
        <v>1034.1179999999999</v>
      </c>
      <c r="AA601" s="244">
        <f>+AA611+AA624</f>
        <v>1034.1179999999999</v>
      </c>
      <c r="AB601" s="309">
        <f>+AB611+AB624</f>
        <v>1034.1179999999999</v>
      </c>
      <c r="AC601" s="24">
        <f>+AC611+AC624</f>
        <v>4136.4719999999998</v>
      </c>
      <c r="AD601" s="308">
        <f t="shared" ref="AD601:BL601" si="866">+AD611+AD624</f>
        <v>1034.1179999999999</v>
      </c>
      <c r="AE601" s="244">
        <f>+AE611+AE624</f>
        <v>1034.1179999999999</v>
      </c>
      <c r="AF601" s="244">
        <f t="shared" si="866"/>
        <v>1034.1179999999999</v>
      </c>
      <c r="AG601" s="309">
        <f t="shared" si="866"/>
        <v>851.47199999999998</v>
      </c>
      <c r="AH601" s="24">
        <f t="shared" si="866"/>
        <v>3953.826</v>
      </c>
      <c r="AI601" s="308">
        <f t="shared" si="866"/>
        <v>851.47199999999998</v>
      </c>
      <c r="AJ601" s="244">
        <f t="shared" si="866"/>
        <v>851.47199999999998</v>
      </c>
      <c r="AK601" s="244">
        <f t="shared" si="866"/>
        <v>851.47199999999998</v>
      </c>
      <c r="AL601" s="309">
        <f t="shared" si="866"/>
        <v>851.47199999999998</v>
      </c>
      <c r="AM601" s="24">
        <f t="shared" si="866"/>
        <v>3405.8879999999999</v>
      </c>
      <c r="AN601" s="308">
        <f t="shared" si="866"/>
        <v>851.47199999999998</v>
      </c>
      <c r="AO601" s="244">
        <f t="shared" si="866"/>
        <v>851.47199999999998</v>
      </c>
      <c r="AP601" s="244">
        <f t="shared" si="866"/>
        <v>851.47199999999998</v>
      </c>
      <c r="AQ601" s="309">
        <f t="shared" si="866"/>
        <v>851.47199999999998</v>
      </c>
      <c r="AR601" s="24">
        <f t="shared" si="866"/>
        <v>3405.8879999999999</v>
      </c>
      <c r="AS601" s="308">
        <f t="shared" si="866"/>
        <v>851.47199999999998</v>
      </c>
      <c r="AT601" s="244">
        <f t="shared" si="866"/>
        <v>851.47199999999998</v>
      </c>
      <c r="AU601" s="244">
        <f t="shared" ref="AU601" si="867">+AU611+AU624</f>
        <v>851.47199999999998</v>
      </c>
      <c r="AV601" s="309">
        <f t="shared" si="866"/>
        <v>851.47199999999998</v>
      </c>
      <c r="AW601" s="24">
        <f t="shared" si="866"/>
        <v>3405.8879999999999</v>
      </c>
      <c r="AX601" s="308">
        <f t="shared" si="866"/>
        <v>851.47199999999998</v>
      </c>
      <c r="AY601" s="244">
        <f t="shared" si="866"/>
        <v>851.47199999999998</v>
      </c>
      <c r="AZ601" s="244">
        <f t="shared" si="866"/>
        <v>851.47199999999998</v>
      </c>
      <c r="BA601" s="309">
        <f t="shared" si="866"/>
        <v>851.47199999999998</v>
      </c>
      <c r="BB601" s="24">
        <f t="shared" si="866"/>
        <v>3405.8879999999999</v>
      </c>
      <c r="BC601" s="308">
        <f t="shared" si="866"/>
        <v>851.47199999999998</v>
      </c>
      <c r="BD601" s="244">
        <f t="shared" si="866"/>
        <v>851.47199999999998</v>
      </c>
      <c r="BE601" s="244">
        <f t="shared" si="866"/>
        <v>851.47199999999998</v>
      </c>
      <c r="BF601" s="309">
        <f t="shared" si="866"/>
        <v>851.47199999999998</v>
      </c>
      <c r="BG601" s="24">
        <f t="shared" si="866"/>
        <v>3405.8879999999999</v>
      </c>
      <c r="BH601" s="308">
        <f t="shared" si="866"/>
        <v>851.47199999999998</v>
      </c>
      <c r="BI601" s="244">
        <f t="shared" si="866"/>
        <v>851.47199999999998</v>
      </c>
      <c r="BJ601" s="244">
        <f t="shared" si="866"/>
        <v>851.47199999999998</v>
      </c>
      <c r="BK601" s="309">
        <f t="shared" si="866"/>
        <v>851.47199999999998</v>
      </c>
      <c r="BL601" s="24">
        <f t="shared" si="866"/>
        <v>3405.8879999999999</v>
      </c>
      <c r="BM601" s="308">
        <f t="shared" ref="BM601:BQ601" si="868">+BM611+BM624</f>
        <v>851.47199999999998</v>
      </c>
      <c r="BN601" s="244">
        <f t="shared" si="868"/>
        <v>851.47199999999998</v>
      </c>
      <c r="BO601" s="244">
        <f t="shared" si="868"/>
        <v>851.47199999999998</v>
      </c>
      <c r="BP601" s="309">
        <f t="shared" si="868"/>
        <v>851.47199999999998</v>
      </c>
      <c r="BQ601" s="24">
        <f t="shared" si="868"/>
        <v>3405.8879999999999</v>
      </c>
      <c r="BR601" s="40"/>
      <c r="BS601" s="40"/>
      <c r="BT601" s="40"/>
      <c r="BU601" s="232"/>
      <c r="BV601" s="40"/>
      <c r="BW601" s="40"/>
      <c r="BX601" s="40"/>
      <c r="BY601" s="40"/>
      <c r="BZ601" s="40"/>
      <c r="CA601" s="40"/>
      <c r="CB601" s="40"/>
      <c r="CC601" s="40"/>
      <c r="CD601" s="40"/>
      <c r="CE601" s="40"/>
      <c r="CF601" s="40"/>
      <c r="CG601" s="40"/>
      <c r="CH601" s="40"/>
      <c r="CI601" s="40"/>
      <c r="CJ601" s="40"/>
      <c r="CK601" s="40"/>
      <c r="CL601" s="40"/>
      <c r="CM601" s="40"/>
      <c r="CN601" s="40"/>
      <c r="CO601" s="40"/>
      <c r="CP601" s="40"/>
      <c r="CQ601" s="40"/>
      <c r="CR601" s="40"/>
      <c r="CS601" s="40"/>
      <c r="CT601" s="823"/>
      <c r="CU601" s="232"/>
      <c r="CV601" s="232"/>
      <c r="CW601" s="232"/>
      <c r="CX601" s="232"/>
      <c r="CY601" s="232"/>
      <c r="CZ601" s="40"/>
      <c r="DA601" s="40"/>
      <c r="DB601" s="40"/>
      <c r="DC601" s="40"/>
      <c r="DD601" s="40"/>
      <c r="DE601" s="40"/>
      <c r="DF601" s="232"/>
      <c r="DG601" s="232"/>
      <c r="DH601" s="232"/>
      <c r="DI601" s="232"/>
      <c r="DJ601" s="232"/>
      <c r="DK601" s="232"/>
      <c r="DL601" s="232"/>
      <c r="DM601" s="232"/>
      <c r="DN601" s="232"/>
    </row>
    <row r="602" spans="1:118">
      <c r="A602" s="40"/>
      <c r="B602" s="1"/>
      <c r="C602" s="28" t="s">
        <v>854</v>
      </c>
      <c r="D602" s="1"/>
      <c r="E602" s="273"/>
      <c r="F602" s="3"/>
      <c r="G602" s="3"/>
      <c r="H602" s="274"/>
      <c r="I602" s="28"/>
      <c r="J602" s="273"/>
      <c r="K602" s="3"/>
      <c r="L602" s="3"/>
      <c r="M602" s="274"/>
      <c r="N602" s="1"/>
      <c r="O602" s="273"/>
      <c r="P602" s="3"/>
      <c r="Q602" s="3"/>
      <c r="R602" s="274"/>
      <c r="S602" s="1"/>
      <c r="T602" s="277"/>
      <c r="U602" s="253"/>
      <c r="V602" s="253"/>
      <c r="W602" s="278"/>
      <c r="X602" s="765"/>
      <c r="Y602" s="277">
        <f>Y601/(Y600*8.76/4)</f>
        <v>0.24390495867768594</v>
      </c>
      <c r="Z602" s="253">
        <f>Z601/(Z600*8.76/4)</f>
        <v>0.24390495867768594</v>
      </c>
      <c r="AA602" s="253">
        <f>AA601/(AA600*8.76/4)</f>
        <v>0.24390495867768594</v>
      </c>
      <c r="AB602" s="278">
        <f>AB601/(AB600*8.76/4)</f>
        <v>0.24390495867768594</v>
      </c>
      <c r="AC602" s="765">
        <f>AC601/(AC600*8.76)</f>
        <v>0.24390495867768594</v>
      </c>
      <c r="AD602" s="277">
        <f>AD601/(AD600*8.76/4)</f>
        <v>0.24390495867768594</v>
      </c>
      <c r="AE602" s="253">
        <f>AE601/(AE600*8.76/4)</f>
        <v>0.24390495867768594</v>
      </c>
      <c r="AF602" s="253">
        <f>AF601/(AF600*8.76/4)</f>
        <v>0.24390495867768594</v>
      </c>
      <c r="AG602" s="278">
        <f>AG601/(AG600*8.76/4)</f>
        <v>0.2344993968636912</v>
      </c>
      <c r="AH602" s="765">
        <f>AH601/(AH600*8.76)</f>
        <v>0.27222557297949335</v>
      </c>
      <c r="AI602" s="277">
        <f>AI601/(AI600*8.76/4)</f>
        <v>0.2344993968636912</v>
      </c>
      <c r="AJ602" s="253">
        <f>AJ601/(AJ600*8.76/4)</f>
        <v>0.2344993968636912</v>
      </c>
      <c r="AK602" s="253">
        <f>AK601/(AK600*8.76/4)</f>
        <v>0.2344993968636912</v>
      </c>
      <c r="AL602" s="278">
        <f>AL601/(AL600*8.76/4)</f>
        <v>0.2344993968636912</v>
      </c>
      <c r="AM602" s="765">
        <f>AM601/(AM600*8.76)</f>
        <v>0.2344993968636912</v>
      </c>
      <c r="AN602" s="277">
        <f>AN601/(AN600*8.76/4)</f>
        <v>0.2344993968636912</v>
      </c>
      <c r="AO602" s="253">
        <f>AO601/(AO600*8.76/4)</f>
        <v>0.2344993968636912</v>
      </c>
      <c r="AP602" s="253">
        <f>AP601/(AP600*8.76/4)</f>
        <v>0.2344993968636912</v>
      </c>
      <c r="AQ602" s="278">
        <f>AQ601/(AQ600*8.76/4)</f>
        <v>0.2344993968636912</v>
      </c>
      <c r="AR602" s="765">
        <f>AR601/(AR600*8.76)</f>
        <v>0.2344993968636912</v>
      </c>
      <c r="AS602" s="277">
        <f>AS601/(AS600*8.76/4)</f>
        <v>0.2344993968636912</v>
      </c>
      <c r="AT602" s="253">
        <f>AT601/(AT600*8.76/4)</f>
        <v>0.2344993968636912</v>
      </c>
      <c r="AU602" s="253">
        <f t="shared" ref="AU602" si="869">AU601/(AU600*8.76/4)</f>
        <v>0.2344993968636912</v>
      </c>
      <c r="AV602" s="278">
        <f>AV601/(AV600*8.76/4)</f>
        <v>0.2344993968636912</v>
      </c>
      <c r="AW602" s="765">
        <f>AW601/(AW600*8.76)</f>
        <v>0.2344993968636912</v>
      </c>
      <c r="AX602" s="277">
        <f>AX601/(AX600*8.76/4)</f>
        <v>0.2344993968636912</v>
      </c>
      <c r="AY602" s="253">
        <f>AY601/(AY600*8.76/4)</f>
        <v>0.2344993968636912</v>
      </c>
      <c r="AZ602" s="253">
        <f>AZ601/(AZ600*8.76/4)</f>
        <v>0.2344993968636912</v>
      </c>
      <c r="BA602" s="278">
        <f>BA601/(BA600*8.76/4)</f>
        <v>0.2344993968636912</v>
      </c>
      <c r="BB602" s="765">
        <f>BB601/(BB600*8.76)</f>
        <v>0.2344993968636912</v>
      </c>
      <c r="BC602" s="277">
        <f>BC601/(BC600*8.76/4)</f>
        <v>0.2344993968636912</v>
      </c>
      <c r="BD602" s="253">
        <f>BD601/(BD600*8.76/4)</f>
        <v>0.2344993968636912</v>
      </c>
      <c r="BE602" s="253">
        <f>BE601/(BE600*8.76/4)</f>
        <v>0.2344993968636912</v>
      </c>
      <c r="BF602" s="278">
        <f>BF601/(BF600*8.76/4)</f>
        <v>0.2344993968636912</v>
      </c>
      <c r="BG602" s="765">
        <f>BG601/(BG600*8.76)</f>
        <v>0.2344993968636912</v>
      </c>
      <c r="BH602" s="277">
        <f>BH601/(BH600*8.76/4)</f>
        <v>0.2344993968636912</v>
      </c>
      <c r="BI602" s="253">
        <f>BI601/(BI600*8.76/4)</f>
        <v>0.2344993968636912</v>
      </c>
      <c r="BJ602" s="253">
        <f>BJ601/(BJ600*8.76/4)</f>
        <v>0.2344993968636912</v>
      </c>
      <c r="BK602" s="278">
        <f>BK601/(BK600*8.76/4)</f>
        <v>0.2344993968636912</v>
      </c>
      <c r="BL602" s="765">
        <f>BL601/(BL600*8.76)</f>
        <v>0.2344993968636912</v>
      </c>
      <c r="BM602" s="277">
        <f>BM601/(BM600*8.76/4)</f>
        <v>0.2344993968636912</v>
      </c>
      <c r="BN602" s="253">
        <f>BN601/(BN600*8.76/4)</f>
        <v>0.2344993968636912</v>
      </c>
      <c r="BO602" s="253">
        <f>BO601/(BO600*8.76/4)</f>
        <v>0.2344993968636912</v>
      </c>
      <c r="BP602" s="278">
        <f>BP601/(BP600*8.76/4)</f>
        <v>0.2344993968636912</v>
      </c>
      <c r="BQ602" s="765">
        <f>BQ601/(BQ600*8.76)</f>
        <v>0.2344993968636912</v>
      </c>
      <c r="BR602" s="40"/>
      <c r="BS602" s="40"/>
      <c r="BT602" s="40"/>
      <c r="BU602" s="232"/>
      <c r="BV602" s="40"/>
      <c r="BW602" s="40"/>
      <c r="BX602" s="40"/>
      <c r="BY602" s="40"/>
      <c r="BZ602" s="40"/>
      <c r="CA602" s="40"/>
      <c r="CB602" s="40"/>
      <c r="CC602" s="40"/>
      <c r="CD602" s="40"/>
      <c r="CE602" s="40"/>
      <c r="CF602" s="40"/>
      <c r="CG602" s="40"/>
      <c r="CH602" s="40"/>
      <c r="CI602" s="40"/>
      <c r="CJ602" s="40"/>
      <c r="CK602" s="40"/>
      <c r="CL602" s="40"/>
      <c r="CM602" s="40"/>
      <c r="CN602" s="40"/>
      <c r="CO602" s="40"/>
      <c r="CP602" s="40"/>
      <c r="CQ602" s="40"/>
      <c r="CR602" s="40"/>
      <c r="CS602" s="40"/>
      <c r="CT602" s="823"/>
      <c r="CU602" s="232"/>
      <c r="CV602" s="232"/>
      <c r="CW602" s="232"/>
      <c r="CX602" s="232"/>
      <c r="CY602" s="232"/>
      <c r="CZ602" s="40"/>
      <c r="DA602" s="40"/>
      <c r="DB602" s="40"/>
      <c r="DC602" s="40"/>
      <c r="DD602" s="40"/>
      <c r="DE602" s="40"/>
      <c r="DF602" s="232"/>
      <c r="DG602" s="232"/>
      <c r="DH602" s="232"/>
      <c r="DI602" s="232"/>
      <c r="DJ602" s="232"/>
      <c r="DK602" s="232"/>
      <c r="DL602" s="232"/>
      <c r="DM602" s="232"/>
      <c r="DN602" s="232"/>
    </row>
    <row r="603" spans="1:118">
      <c r="A603" s="40"/>
      <c r="B603" s="1"/>
      <c r="C603" s="1"/>
      <c r="D603" s="1"/>
      <c r="E603" s="273"/>
      <c r="F603" s="3"/>
      <c r="G603" s="3"/>
      <c r="H603" s="274"/>
      <c r="I603" s="28"/>
      <c r="J603" s="273"/>
      <c r="K603" s="3"/>
      <c r="L603" s="3"/>
      <c r="M603" s="274"/>
      <c r="N603" s="1"/>
      <c r="O603" s="273"/>
      <c r="P603" s="3"/>
      <c r="Q603" s="3"/>
      <c r="R603" s="274"/>
      <c r="S603" s="1"/>
      <c r="T603" s="273"/>
      <c r="U603" s="3"/>
      <c r="V603" s="3"/>
      <c r="W603" s="274"/>
      <c r="X603" s="1"/>
      <c r="Y603" s="273"/>
      <c r="Z603" s="3"/>
      <c r="AA603" s="3"/>
      <c r="AB603" s="274"/>
      <c r="AC603" s="1"/>
      <c r="AD603" s="273"/>
      <c r="AE603" s="3"/>
      <c r="AF603" s="3"/>
      <c r="AG603" s="274"/>
      <c r="AH603" s="1"/>
      <c r="AI603" s="273"/>
      <c r="AJ603" s="3"/>
      <c r="AK603" s="3"/>
      <c r="AL603" s="274"/>
      <c r="AM603" s="1"/>
      <c r="AN603" s="273"/>
      <c r="AO603" s="3"/>
      <c r="AP603" s="3"/>
      <c r="AQ603" s="274"/>
      <c r="AR603" s="1"/>
      <c r="AS603" s="273"/>
      <c r="AT603" s="3"/>
      <c r="AU603" s="3"/>
      <c r="AV603" s="274"/>
      <c r="AW603" s="1"/>
      <c r="AX603" s="273"/>
      <c r="AY603" s="3"/>
      <c r="AZ603" s="3"/>
      <c r="BA603" s="274"/>
      <c r="BB603" s="1"/>
      <c r="BC603" s="273"/>
      <c r="BD603" s="3"/>
      <c r="BE603" s="3"/>
      <c r="BF603" s="274"/>
      <c r="BG603" s="1"/>
      <c r="BH603" s="273"/>
      <c r="BI603" s="3"/>
      <c r="BJ603" s="3"/>
      <c r="BK603" s="274"/>
      <c r="BL603" s="1"/>
      <c r="BM603" s="273"/>
      <c r="BN603" s="3"/>
      <c r="BO603" s="3"/>
      <c r="BP603" s="274"/>
      <c r="BQ603" s="1"/>
      <c r="BR603" s="40"/>
      <c r="BS603" s="40"/>
      <c r="BT603" s="40"/>
      <c r="BU603" s="232"/>
      <c r="BV603" s="40"/>
      <c r="BW603" s="40"/>
      <c r="BX603" s="40"/>
      <c r="BY603" s="40"/>
      <c r="BZ603" s="40"/>
      <c r="CA603" s="40"/>
      <c r="CB603" s="40"/>
      <c r="CC603" s="40"/>
      <c r="CD603" s="40"/>
      <c r="CE603" s="40"/>
      <c r="CF603" s="40"/>
      <c r="CG603" s="40"/>
      <c r="CH603" s="40"/>
      <c r="CI603" s="40"/>
      <c r="CJ603" s="40"/>
      <c r="CK603" s="40"/>
      <c r="CL603" s="40"/>
      <c r="CM603" s="40"/>
      <c r="CN603" s="40"/>
      <c r="CO603" s="40"/>
      <c r="CP603" s="40"/>
      <c r="CQ603" s="40"/>
      <c r="CR603" s="40"/>
      <c r="CS603" s="40"/>
      <c r="CT603" s="823"/>
      <c r="CU603" s="232"/>
      <c r="CV603" s="232"/>
      <c r="CW603" s="232"/>
      <c r="CX603" s="232"/>
      <c r="CY603" s="232"/>
      <c r="CZ603" s="40"/>
      <c r="DA603" s="40"/>
      <c r="DB603" s="40"/>
      <c r="DC603" s="40"/>
      <c r="DD603" s="40"/>
      <c r="DE603" s="40"/>
      <c r="DF603" s="232"/>
      <c r="DG603" s="232"/>
      <c r="DH603" s="232"/>
      <c r="DI603" s="232"/>
      <c r="DJ603" s="232"/>
      <c r="DK603" s="232"/>
      <c r="DL603" s="232"/>
      <c r="DM603" s="232"/>
      <c r="DN603" s="232"/>
    </row>
    <row r="604" spans="1:118">
      <c r="A604" s="40"/>
      <c r="B604" s="1"/>
      <c r="C604" s="429" t="s">
        <v>1015</v>
      </c>
      <c r="D604" s="1"/>
      <c r="E604" s="273"/>
      <c r="F604" s="3"/>
      <c r="G604" s="3"/>
      <c r="H604" s="274"/>
      <c r="I604" s="28"/>
      <c r="J604" s="273"/>
      <c r="K604" s="3"/>
      <c r="L604" s="3"/>
      <c r="M604" s="274"/>
      <c r="N604" s="1"/>
      <c r="O604" s="273"/>
      <c r="P604" s="3"/>
      <c r="Q604" s="3"/>
      <c r="R604" s="274"/>
      <c r="S604" s="1"/>
      <c r="T604" s="273"/>
      <c r="U604" s="3"/>
      <c r="V604" s="3"/>
      <c r="W604" s="274"/>
      <c r="X604" s="1"/>
      <c r="Y604" s="273"/>
      <c r="Z604" s="3"/>
      <c r="AA604" s="3"/>
      <c r="AB604" s="274"/>
      <c r="AC604" s="1"/>
      <c r="AD604" s="273"/>
      <c r="AE604" s="3"/>
      <c r="AF604" s="3"/>
      <c r="AG604" s="274"/>
      <c r="AH604" s="1"/>
      <c r="AI604" s="273"/>
      <c r="AJ604" s="3"/>
      <c r="AK604" s="3"/>
      <c r="AL604" s="274"/>
      <c r="AM604" s="1"/>
      <c r="AN604" s="273"/>
      <c r="AO604" s="3"/>
      <c r="AP604" s="3"/>
      <c r="AQ604" s="274"/>
      <c r="AR604" s="1"/>
      <c r="AS604" s="273"/>
      <c r="AT604" s="3"/>
      <c r="AU604" s="3"/>
      <c r="AV604" s="274"/>
      <c r="AW604" s="1"/>
      <c r="AX604" s="273"/>
      <c r="AY604" s="3"/>
      <c r="AZ604" s="3"/>
      <c r="BA604" s="274"/>
      <c r="BB604" s="1"/>
      <c r="BC604" s="273"/>
      <c r="BD604" s="3"/>
      <c r="BE604" s="3"/>
      <c r="BF604" s="274"/>
      <c r="BG604" s="1"/>
      <c r="BH604" s="273"/>
      <c r="BI604" s="3"/>
      <c r="BJ604" s="3"/>
      <c r="BK604" s="274"/>
      <c r="BL604" s="1"/>
      <c r="BM604" s="273"/>
      <c r="BN604" s="3"/>
      <c r="BO604" s="3"/>
      <c r="BP604" s="274"/>
      <c r="BQ604" s="1"/>
      <c r="BR604" s="40"/>
      <c r="BS604" s="40"/>
      <c r="BT604" s="40"/>
      <c r="BU604" s="232"/>
      <c r="BV604" s="40"/>
      <c r="BW604" s="40"/>
      <c r="BX604" s="40"/>
      <c r="BY604" s="40"/>
      <c r="BZ604" s="40"/>
      <c r="CA604" s="40"/>
      <c r="CB604" s="40"/>
      <c r="CC604" s="40"/>
      <c r="CD604" s="40"/>
      <c r="CE604" s="40"/>
      <c r="CF604" s="40"/>
      <c r="CG604" s="40"/>
      <c r="CH604" s="40"/>
      <c r="CI604" s="40"/>
      <c r="CJ604" s="40"/>
      <c r="CK604" s="40"/>
      <c r="CL604" s="40"/>
      <c r="CM604" s="40"/>
      <c r="CN604" s="40"/>
      <c r="CO604" s="40"/>
      <c r="CP604" s="40"/>
      <c r="CQ604" s="40"/>
      <c r="CR604" s="40"/>
      <c r="CS604" s="40"/>
      <c r="CT604" s="823"/>
      <c r="CU604" s="232"/>
      <c r="CV604" s="232"/>
      <c r="CW604" s="232"/>
      <c r="CX604" s="232"/>
      <c r="CY604" s="232"/>
      <c r="CZ604" s="40"/>
      <c r="DA604" s="40"/>
      <c r="DB604" s="40"/>
      <c r="DC604" s="40"/>
      <c r="DD604" s="40"/>
      <c r="DE604" s="40"/>
      <c r="DF604" s="232"/>
      <c r="DG604" s="232"/>
      <c r="DH604" s="232"/>
      <c r="DI604" s="232"/>
      <c r="DJ604" s="232"/>
      <c r="DK604" s="232"/>
      <c r="DL604" s="232"/>
      <c r="DM604" s="232"/>
      <c r="DN604" s="232"/>
    </row>
    <row r="605" spans="1:118">
      <c r="A605" s="40"/>
      <c r="B605" s="1"/>
      <c r="C605" s="28" t="s">
        <v>200</v>
      </c>
      <c r="D605" s="1"/>
      <c r="E605" s="273"/>
      <c r="F605" s="3"/>
      <c r="G605" s="3"/>
      <c r="H605" s="274"/>
      <c r="I605" s="28"/>
      <c r="J605" s="273"/>
      <c r="K605" s="3"/>
      <c r="L605" s="3"/>
      <c r="M605" s="274"/>
      <c r="N605" s="1"/>
      <c r="O605" s="273"/>
      <c r="P605" s="3"/>
      <c r="Q605" s="3"/>
      <c r="R605" s="274"/>
      <c r="S605" s="1"/>
      <c r="T605" s="436"/>
      <c r="U605" s="437"/>
      <c r="V605" s="437"/>
      <c r="W605" s="438"/>
      <c r="X605" s="439"/>
      <c r="Y605" s="436">
        <f t="shared" ref="Y605:BQ605" si="870">Y$85</f>
        <v>42.607887670634931</v>
      </c>
      <c r="Z605" s="437">
        <f t="shared" si="870"/>
        <v>47.166300820312507</v>
      </c>
      <c r="AA605" s="437">
        <f t="shared" si="870"/>
        <v>55.200128388671871</v>
      </c>
      <c r="AB605" s="438">
        <f t="shared" si="870"/>
        <v>42.19233237304686</v>
      </c>
      <c r="AC605" s="439">
        <f t="shared" si="870"/>
        <v>46.791662313166547</v>
      </c>
      <c r="AD605" s="436">
        <f t="shared" si="870"/>
        <v>132.34547472222226</v>
      </c>
      <c r="AE605" s="437">
        <f t="shared" si="870"/>
        <v>45.337472450195328</v>
      </c>
      <c r="AF605" s="437">
        <f t="shared" si="870"/>
        <v>45.337472450195328</v>
      </c>
      <c r="AG605" s="438">
        <f t="shared" si="870"/>
        <v>49.12051941503907</v>
      </c>
      <c r="AH605" s="439">
        <f t="shared" si="870"/>
        <v>68.035234759412987</v>
      </c>
      <c r="AI605" s="436">
        <f t="shared" si="870"/>
        <v>67.284598143849195</v>
      </c>
      <c r="AJ605" s="437">
        <f t="shared" si="870"/>
        <v>43.70333333333334</v>
      </c>
      <c r="AK605" s="437">
        <f t="shared" si="870"/>
        <v>39.898508561538463</v>
      </c>
      <c r="AL605" s="438">
        <f t="shared" si="870"/>
        <v>30.041686161132823</v>
      </c>
      <c r="AM605" s="439">
        <f t="shared" si="870"/>
        <v>45.232031549963452</v>
      </c>
      <c r="AN605" s="436">
        <f t="shared" si="870"/>
        <v>31.26632047949219</v>
      </c>
      <c r="AO605" s="437">
        <f t="shared" si="870"/>
        <v>28.707086242187497</v>
      </c>
      <c r="AP605" s="437">
        <f t="shared" si="870"/>
        <v>40.605906624023433</v>
      </c>
      <c r="AQ605" s="438">
        <f t="shared" si="870"/>
        <v>28.828253920634918</v>
      </c>
      <c r="AR605" s="439">
        <f t="shared" si="870"/>
        <v>32.351891816584512</v>
      </c>
      <c r="AS605" s="436">
        <f t="shared" si="870"/>
        <v>33.256564817382809</v>
      </c>
      <c r="AT605" s="437">
        <f t="shared" si="870"/>
        <v>32.387231337890618</v>
      </c>
      <c r="AU605" s="437">
        <f t="shared" si="870"/>
        <v>34.354411583333338</v>
      </c>
      <c r="AV605" s="438">
        <f t="shared" si="870"/>
        <v>49.504310380859366</v>
      </c>
      <c r="AW605" s="439">
        <f t="shared" si="870"/>
        <v>37.375629529866529</v>
      </c>
      <c r="AX605" s="436">
        <f t="shared" si="870"/>
        <v>49.504310380859366</v>
      </c>
      <c r="AY605" s="437">
        <f t="shared" si="870"/>
        <v>34.371333333333332</v>
      </c>
      <c r="AZ605" s="437">
        <f t="shared" si="870"/>
        <v>38.062833333333337</v>
      </c>
      <c r="BA605" s="438">
        <f t="shared" si="870"/>
        <v>34.614333333333327</v>
      </c>
      <c r="BB605" s="439">
        <f t="shared" si="870"/>
        <v>39.138202595214842</v>
      </c>
      <c r="BC605" s="436">
        <f t="shared" si="870"/>
        <v>46.510944725679025</v>
      </c>
      <c r="BD605" s="437">
        <f t="shared" si="870"/>
        <v>30.296280173373429</v>
      </c>
      <c r="BE605" s="437">
        <f t="shared" si="870"/>
        <v>33.94738406386135</v>
      </c>
      <c r="BF605" s="438">
        <f t="shared" si="870"/>
        <v>36.410057703486217</v>
      </c>
      <c r="BG605" s="439">
        <f>BG$85</f>
        <v>36.791166666600006</v>
      </c>
      <c r="BH605" s="436">
        <f t="shared" si="870"/>
        <v>46.479340030218324</v>
      </c>
      <c r="BI605" s="437">
        <f t="shared" si="870"/>
        <v>30.275693519756331</v>
      </c>
      <c r="BJ605" s="437">
        <f t="shared" si="870"/>
        <v>33.924316445231916</v>
      </c>
      <c r="BK605" s="438">
        <f t="shared" si="870"/>
        <v>36.385316671193436</v>
      </c>
      <c r="BL605" s="439">
        <f t="shared" si="870"/>
        <v>36.7661666666</v>
      </c>
      <c r="BM605" s="436">
        <f t="shared" si="870"/>
        <v>36.021428571428572</v>
      </c>
      <c r="BN605" s="437">
        <f t="shared" si="870"/>
        <v>36.021428571428572</v>
      </c>
      <c r="BO605" s="437">
        <f t="shared" si="870"/>
        <v>36.021428571428572</v>
      </c>
      <c r="BP605" s="438">
        <f t="shared" si="870"/>
        <v>36.021428571428572</v>
      </c>
      <c r="BQ605" s="439">
        <f t="shared" si="870"/>
        <v>36.021428571428572</v>
      </c>
      <c r="BR605" s="40"/>
      <c r="BS605" s="40"/>
      <c r="BT605" s="40"/>
      <c r="BU605" s="232"/>
      <c r="BV605" s="40"/>
      <c r="BW605" s="40"/>
      <c r="BX605" s="40"/>
      <c r="BY605" s="40"/>
      <c r="BZ605" s="40"/>
      <c r="CA605" s="40"/>
      <c r="CB605" s="40"/>
      <c r="CC605" s="40"/>
      <c r="CD605" s="40"/>
      <c r="CE605" s="40"/>
      <c r="CF605" s="40"/>
      <c r="CG605" s="40"/>
      <c r="CH605" s="40"/>
      <c r="CI605" s="40"/>
      <c r="CJ605" s="40"/>
      <c r="CK605" s="40"/>
      <c r="CL605" s="40"/>
      <c r="CM605" s="40"/>
      <c r="CN605" s="40"/>
      <c r="CO605" s="40"/>
      <c r="CP605" s="40"/>
      <c r="CQ605" s="40"/>
      <c r="CR605" s="40"/>
      <c r="CS605" s="40"/>
      <c r="CT605" s="823"/>
      <c r="CU605" s="232"/>
      <c r="CV605" s="232"/>
      <c r="CW605" s="232"/>
      <c r="CX605" s="232"/>
      <c r="CY605" s="232"/>
      <c r="CZ605" s="40"/>
      <c r="DA605" s="40"/>
      <c r="DB605" s="40"/>
      <c r="DC605" s="40"/>
      <c r="DD605" s="40"/>
      <c r="DE605" s="40"/>
      <c r="DF605" s="232"/>
      <c r="DG605" s="232"/>
      <c r="DH605" s="232"/>
      <c r="DI605" s="232"/>
      <c r="DJ605" s="232"/>
      <c r="DK605" s="232"/>
      <c r="DL605" s="232"/>
      <c r="DM605" s="232"/>
      <c r="DN605" s="232"/>
    </row>
    <row r="606" spans="1:118">
      <c r="A606" s="40"/>
      <c r="B606" s="1"/>
      <c r="C606" s="28" t="s">
        <v>195</v>
      </c>
      <c r="D606" s="1"/>
      <c r="E606" s="273"/>
      <c r="F606" s="3"/>
      <c r="G606" s="3"/>
      <c r="H606" s="274"/>
      <c r="I606" s="548">
        <v>1.25</v>
      </c>
      <c r="J606" s="273"/>
      <c r="K606" s="3"/>
      <c r="L606" s="3"/>
      <c r="M606" s="274"/>
      <c r="N606" s="1"/>
      <c r="O606" s="273"/>
      <c r="P606" s="3"/>
      <c r="Q606" s="3"/>
      <c r="R606" s="274"/>
      <c r="S606" s="1"/>
      <c r="T606" s="436"/>
      <c r="U606" s="437"/>
      <c r="V606" s="437"/>
      <c r="W606" s="438"/>
      <c r="X606" s="439"/>
      <c r="Y606" s="436">
        <f t="shared" ref="Y606:BQ606" si="871">$I606*Y$86</f>
        <v>43.199657903784221</v>
      </c>
      <c r="Z606" s="437">
        <f t="shared" si="871"/>
        <v>39.156383237751839</v>
      </c>
      <c r="AA606" s="437">
        <f t="shared" si="871"/>
        <v>37.509156688179331</v>
      </c>
      <c r="AB606" s="438">
        <f t="shared" si="871"/>
        <v>40.245954822124077</v>
      </c>
      <c r="AC606" s="439">
        <f t="shared" si="871"/>
        <v>40.027788162959865</v>
      </c>
      <c r="AD606" s="436">
        <f t="shared" si="871"/>
        <v>113.4833847758152</v>
      </c>
      <c r="AE606" s="437">
        <f t="shared" si="871"/>
        <v>33.134440129642208</v>
      </c>
      <c r="AF606" s="437">
        <f t="shared" si="871"/>
        <v>33.134440129642208</v>
      </c>
      <c r="AG606" s="438">
        <f t="shared" si="871"/>
        <v>47.075883480978284</v>
      </c>
      <c r="AH606" s="439">
        <f t="shared" si="871"/>
        <v>56.707037129019476</v>
      </c>
      <c r="AI606" s="436">
        <f t="shared" si="871"/>
        <v>66.143768543931159</v>
      </c>
      <c r="AJ606" s="437">
        <f t="shared" si="871"/>
        <v>31.440831134386443</v>
      </c>
      <c r="AK606" s="437">
        <f t="shared" si="871"/>
        <v>26.046392947237319</v>
      </c>
      <c r="AL606" s="438">
        <f t="shared" si="871"/>
        <v>31.684989692708328</v>
      </c>
      <c r="AM606" s="439">
        <f t="shared" si="871"/>
        <v>38.828995579565813</v>
      </c>
      <c r="AN606" s="436">
        <f t="shared" si="871"/>
        <v>31.68252515154682</v>
      </c>
      <c r="AO606" s="437">
        <f t="shared" si="871"/>
        <v>24.067813302999078</v>
      </c>
      <c r="AP606" s="437">
        <f t="shared" si="871"/>
        <v>26.341018062726459</v>
      </c>
      <c r="AQ606" s="438">
        <f t="shared" si="871"/>
        <v>26.64574939990942</v>
      </c>
      <c r="AR606" s="439">
        <f t="shared" si="871"/>
        <v>27.184276479295445</v>
      </c>
      <c r="AS606" s="436">
        <f t="shared" si="871"/>
        <v>36.670638725694445</v>
      </c>
      <c r="AT606" s="437">
        <f t="shared" si="871"/>
        <v>27.170278513049453</v>
      </c>
      <c r="AU606" s="437">
        <f t="shared" si="871"/>
        <v>23.976356716485505</v>
      </c>
      <c r="AV606" s="438">
        <f t="shared" si="871"/>
        <v>58.313847256466396</v>
      </c>
      <c r="AW606" s="439">
        <f t="shared" si="871"/>
        <v>36.532780302923953</v>
      </c>
      <c r="AX606" s="436">
        <f t="shared" si="871"/>
        <v>58.313847256466396</v>
      </c>
      <c r="AY606" s="437">
        <f t="shared" si="871"/>
        <v>31.448333333333338</v>
      </c>
      <c r="AZ606" s="437">
        <f t="shared" si="871"/>
        <v>31.583333333333332</v>
      </c>
      <c r="BA606" s="438">
        <f t="shared" si="871"/>
        <v>31.874791666666663</v>
      </c>
      <c r="BB606" s="439">
        <f t="shared" si="871"/>
        <v>38.30507639744993</v>
      </c>
      <c r="BC606" s="436">
        <f t="shared" si="871"/>
        <v>46.685664497242605</v>
      </c>
      <c r="BD606" s="437">
        <f t="shared" si="871"/>
        <v>25.931263312638553</v>
      </c>
      <c r="BE606" s="437">
        <f t="shared" si="871"/>
        <v>26.492998297683172</v>
      </c>
      <c r="BF606" s="438">
        <f t="shared" si="871"/>
        <v>38.739198892435674</v>
      </c>
      <c r="BG606" s="439">
        <f>$I606*BG$86</f>
        <v>34.462281250000004</v>
      </c>
      <c r="BH606" s="436">
        <f t="shared" si="871"/>
        <v>46.275955820270298</v>
      </c>
      <c r="BI606" s="437">
        <f t="shared" si="871"/>
        <v>25.70369316453305</v>
      </c>
      <c r="BJ606" s="437">
        <f t="shared" si="871"/>
        <v>26.260498420076964</v>
      </c>
      <c r="BK606" s="438">
        <f t="shared" si="871"/>
        <v>38.399227595119676</v>
      </c>
      <c r="BL606" s="439">
        <f t="shared" si="871"/>
        <v>34.15984375</v>
      </c>
      <c r="BM606" s="436">
        <f t="shared" si="871"/>
        <v>33.637847909273788</v>
      </c>
      <c r="BN606" s="437">
        <f t="shared" si="871"/>
        <v>33.637847909273788</v>
      </c>
      <c r="BO606" s="437">
        <f t="shared" si="871"/>
        <v>33.637847909273788</v>
      </c>
      <c r="BP606" s="438">
        <f t="shared" si="871"/>
        <v>33.637847909273788</v>
      </c>
      <c r="BQ606" s="439">
        <f t="shared" si="871"/>
        <v>33.637847909273788</v>
      </c>
      <c r="BR606" s="40"/>
      <c r="BS606" s="40"/>
      <c r="BT606" s="40"/>
      <c r="BU606" s="232"/>
      <c r="BV606" s="40"/>
      <c r="BW606" s="40"/>
      <c r="BX606" s="40"/>
      <c r="BY606" s="40"/>
      <c r="BZ606" s="40"/>
      <c r="CA606" s="40"/>
      <c r="CB606" s="40"/>
      <c r="CC606" s="40"/>
      <c r="CD606" s="40"/>
      <c r="CE606" s="40"/>
      <c r="CF606" s="40"/>
      <c r="CG606" s="40"/>
      <c r="CH606" s="40"/>
      <c r="CI606" s="40"/>
      <c r="CJ606" s="40"/>
      <c r="CK606" s="40"/>
      <c r="CL606" s="40"/>
      <c r="CM606" s="40"/>
      <c r="CN606" s="40"/>
      <c r="CO606" s="40"/>
      <c r="CP606" s="40"/>
      <c r="CQ606" s="40"/>
      <c r="CR606" s="40"/>
      <c r="CS606" s="40"/>
      <c r="CT606" s="823"/>
      <c r="CU606" s="232"/>
      <c r="CV606" s="232"/>
      <c r="CW606" s="232"/>
      <c r="CX606" s="232"/>
      <c r="CY606" s="232"/>
      <c r="CZ606" s="40"/>
      <c r="DA606" s="40"/>
      <c r="DB606" s="40"/>
      <c r="DC606" s="40"/>
      <c r="DD606" s="40"/>
      <c r="DE606" s="40"/>
      <c r="DF606" s="232"/>
      <c r="DG606" s="232"/>
      <c r="DH606" s="232"/>
      <c r="DI606" s="232"/>
      <c r="DJ606" s="232"/>
      <c r="DK606" s="232"/>
      <c r="DL606" s="232"/>
      <c r="DM606" s="232"/>
      <c r="DN606" s="232"/>
    </row>
    <row r="607" spans="1:118">
      <c r="A607" s="40"/>
      <c r="B607" s="1"/>
      <c r="C607" s="1"/>
      <c r="D607" s="1"/>
      <c r="E607" s="273"/>
      <c r="F607" s="3"/>
      <c r="G607" s="3"/>
      <c r="H607" s="274"/>
      <c r="I607" s="28"/>
      <c r="J607" s="273"/>
      <c r="K607" s="3"/>
      <c r="L607" s="3"/>
      <c r="M607" s="274"/>
      <c r="N607" s="1"/>
      <c r="O607" s="273"/>
      <c r="P607" s="3"/>
      <c r="Q607" s="3"/>
      <c r="R607" s="274"/>
      <c r="S607" s="1"/>
      <c r="T607" s="273"/>
      <c r="U607" s="3"/>
      <c r="V607" s="3"/>
      <c r="W607" s="274"/>
      <c r="X607" s="1"/>
      <c r="Y607" s="273"/>
      <c r="Z607" s="3"/>
      <c r="AA607" s="3"/>
      <c r="AB607" s="274"/>
      <c r="AC607" s="1"/>
      <c r="AD607" s="273"/>
      <c r="AE607" s="3"/>
      <c r="AF607" s="3"/>
      <c r="AG607" s="274"/>
      <c r="AH607" s="1"/>
      <c r="AI607" s="273"/>
      <c r="AJ607" s="3"/>
      <c r="AK607" s="3"/>
      <c r="AL607" s="274"/>
      <c r="AM607" s="1"/>
      <c r="AN607" s="273"/>
      <c r="AO607" s="3"/>
      <c r="AP607" s="3"/>
      <c r="AQ607" s="274"/>
      <c r="AR607" s="1"/>
      <c r="AS607" s="273"/>
      <c r="AT607" s="3"/>
      <c r="AU607" s="3"/>
      <c r="AV607" s="274"/>
      <c r="AW607" s="1"/>
      <c r="AX607" s="273"/>
      <c r="AY607" s="3"/>
      <c r="AZ607" s="3"/>
      <c r="BA607" s="274"/>
      <c r="BB607" s="1"/>
      <c r="BC607" s="273"/>
      <c r="BD607" s="3"/>
      <c r="BE607" s="3"/>
      <c r="BF607" s="274"/>
      <c r="BG607" s="1"/>
      <c r="BH607" s="273"/>
      <c r="BI607" s="3"/>
      <c r="BJ607" s="3"/>
      <c r="BK607" s="274"/>
      <c r="BL607" s="1"/>
      <c r="BM607" s="273"/>
      <c r="BN607" s="3"/>
      <c r="BO607" s="3"/>
      <c r="BP607" s="274"/>
      <c r="BQ607" s="1"/>
      <c r="BR607" s="40"/>
      <c r="BS607" s="40"/>
      <c r="BT607" s="40"/>
      <c r="BU607" s="232"/>
      <c r="BV607" s="40"/>
      <c r="BW607" s="40"/>
      <c r="BX607" s="40"/>
      <c r="BY607" s="40"/>
      <c r="BZ607" s="40"/>
      <c r="CA607" s="40"/>
      <c r="CB607" s="40"/>
      <c r="CC607" s="40"/>
      <c r="CD607" s="40"/>
      <c r="CE607" s="40"/>
      <c r="CF607" s="40"/>
      <c r="CG607" s="40"/>
      <c r="CH607" s="40"/>
      <c r="CI607" s="40"/>
      <c r="CJ607" s="40"/>
      <c r="CK607" s="40"/>
      <c r="CL607" s="40"/>
      <c r="CM607" s="40"/>
      <c r="CN607" s="40"/>
      <c r="CO607" s="40"/>
      <c r="CP607" s="40"/>
      <c r="CQ607" s="40"/>
      <c r="CR607" s="40"/>
      <c r="CS607" s="40"/>
      <c r="CT607" s="823"/>
      <c r="CU607" s="232"/>
      <c r="CV607" s="232"/>
      <c r="CW607" s="232"/>
      <c r="CX607" s="232"/>
      <c r="CY607" s="232"/>
      <c r="CZ607" s="40"/>
      <c r="DA607" s="40"/>
      <c r="DB607" s="40"/>
      <c r="DC607" s="40"/>
      <c r="DD607" s="40"/>
      <c r="DE607" s="40"/>
      <c r="DF607" s="232"/>
      <c r="DG607" s="232"/>
      <c r="DH607" s="232"/>
      <c r="DI607" s="232"/>
      <c r="DJ607" s="232"/>
      <c r="DK607" s="232"/>
      <c r="DL607" s="232"/>
      <c r="DM607" s="232"/>
      <c r="DN607" s="232"/>
    </row>
    <row r="608" spans="1:118" s="232" customFormat="1">
      <c r="A608" s="40"/>
      <c r="B608" s="1"/>
      <c r="C608" s="32" t="s">
        <v>196</v>
      </c>
      <c r="D608" s="32"/>
      <c r="E608" s="292"/>
      <c r="F608" s="261"/>
      <c r="G608" s="261"/>
      <c r="H608" s="293"/>
      <c r="I608" s="884">
        <f>1070+16</f>
        <v>1086</v>
      </c>
      <c r="J608" s="292"/>
      <c r="K608" s="261"/>
      <c r="L608" s="261"/>
      <c r="M608" s="293"/>
      <c r="N608" s="228" t="s">
        <v>407</v>
      </c>
      <c r="O608" s="292"/>
      <c r="P608" s="261"/>
      <c r="Q608" s="261"/>
      <c r="R608" s="293"/>
      <c r="S608" s="228"/>
      <c r="T608" s="292"/>
      <c r="U608" s="261"/>
      <c r="V608" s="261"/>
      <c r="W608" s="293"/>
      <c r="X608" s="228"/>
      <c r="Y608" s="350">
        <f>+I608</f>
        <v>1086</v>
      </c>
      <c r="Z608" s="351">
        <f>Y608</f>
        <v>1086</v>
      </c>
      <c r="AA608" s="351">
        <f>Z608</f>
        <v>1086</v>
      </c>
      <c r="AB608" s="352">
        <f>AA608</f>
        <v>1086</v>
      </c>
      <c r="AC608" s="228">
        <f>AB608</f>
        <v>1086</v>
      </c>
      <c r="AD608" s="292">
        <f t="shared" ref="AD608:BL608" si="872">AC608</f>
        <v>1086</v>
      </c>
      <c r="AE608" s="261">
        <f>AD608</f>
        <v>1086</v>
      </c>
      <c r="AF608" s="261">
        <f t="shared" si="872"/>
        <v>1086</v>
      </c>
      <c r="AG608" s="293">
        <f t="shared" si="872"/>
        <v>1086</v>
      </c>
      <c r="AH608" s="228">
        <f t="shared" si="872"/>
        <v>1086</v>
      </c>
      <c r="AI608" s="292">
        <f t="shared" si="872"/>
        <v>1086</v>
      </c>
      <c r="AJ608" s="261">
        <f t="shared" si="872"/>
        <v>1086</v>
      </c>
      <c r="AK608" s="261">
        <f t="shared" si="872"/>
        <v>1086</v>
      </c>
      <c r="AL608" s="293">
        <f t="shared" si="872"/>
        <v>1086</v>
      </c>
      <c r="AM608" s="228">
        <f t="shared" si="872"/>
        <v>1086</v>
      </c>
      <c r="AN608" s="292">
        <f t="shared" si="872"/>
        <v>1086</v>
      </c>
      <c r="AO608" s="261">
        <f t="shared" si="872"/>
        <v>1086</v>
      </c>
      <c r="AP608" s="261">
        <f t="shared" si="872"/>
        <v>1086</v>
      </c>
      <c r="AQ608" s="293">
        <f t="shared" si="872"/>
        <v>1086</v>
      </c>
      <c r="AR608" s="228">
        <f t="shared" si="872"/>
        <v>1086</v>
      </c>
      <c r="AS608" s="292">
        <f t="shared" si="872"/>
        <v>1086</v>
      </c>
      <c r="AT608" s="261">
        <f t="shared" si="872"/>
        <v>1086</v>
      </c>
      <c r="AU608" s="261">
        <f t="shared" ref="AU608" si="873">AT608</f>
        <v>1086</v>
      </c>
      <c r="AV608" s="293">
        <f t="shared" si="872"/>
        <v>1086</v>
      </c>
      <c r="AW608" s="228">
        <f t="shared" si="872"/>
        <v>1086</v>
      </c>
      <c r="AX608" s="292">
        <f t="shared" si="872"/>
        <v>1086</v>
      </c>
      <c r="AY608" s="261">
        <f t="shared" si="872"/>
        <v>1086</v>
      </c>
      <c r="AZ608" s="261">
        <f t="shared" si="872"/>
        <v>1086</v>
      </c>
      <c r="BA608" s="293">
        <f t="shared" si="872"/>
        <v>1086</v>
      </c>
      <c r="BB608" s="228">
        <f t="shared" si="872"/>
        <v>1086</v>
      </c>
      <c r="BC608" s="292">
        <f t="shared" si="872"/>
        <v>1086</v>
      </c>
      <c r="BD608" s="261">
        <f t="shared" si="872"/>
        <v>1086</v>
      </c>
      <c r="BE608" s="261">
        <f t="shared" si="872"/>
        <v>1086</v>
      </c>
      <c r="BF608" s="293">
        <f t="shared" si="872"/>
        <v>1086</v>
      </c>
      <c r="BG608" s="228">
        <f>BF608</f>
        <v>1086</v>
      </c>
      <c r="BH608" s="292">
        <f>BG608</f>
        <v>1086</v>
      </c>
      <c r="BI608" s="261">
        <f t="shared" si="872"/>
        <v>1086</v>
      </c>
      <c r="BJ608" s="261">
        <f t="shared" si="872"/>
        <v>1086</v>
      </c>
      <c r="BK608" s="293">
        <f t="shared" si="872"/>
        <v>1086</v>
      </c>
      <c r="BL608" s="228">
        <f t="shared" si="872"/>
        <v>1086</v>
      </c>
      <c r="BM608" s="292">
        <f t="shared" ref="BM608" si="874">BL608</f>
        <v>1086</v>
      </c>
      <c r="BN608" s="261">
        <f t="shared" ref="BN608" si="875">BM608</f>
        <v>1086</v>
      </c>
      <c r="BO608" s="261">
        <f t="shared" ref="BO608" si="876">BN608</f>
        <v>1086</v>
      </c>
      <c r="BP608" s="293">
        <f t="shared" ref="BP608" si="877">BO608</f>
        <v>1086</v>
      </c>
      <c r="BQ608" s="228">
        <f t="shared" ref="BQ608" si="878">BP608</f>
        <v>1086</v>
      </c>
      <c r="BR608" s="40"/>
      <c r="BS608" s="40"/>
      <c r="BT608" s="40"/>
      <c r="BV608" s="40"/>
      <c r="BW608" s="40"/>
      <c r="BX608" s="40"/>
      <c r="BY608" s="40"/>
      <c r="BZ608" s="40"/>
      <c r="CA608" s="40"/>
      <c r="CB608" s="40"/>
      <c r="CC608" s="40"/>
      <c r="CD608" s="40"/>
      <c r="CE608" s="40"/>
      <c r="CF608" s="40"/>
      <c r="CG608" s="40"/>
      <c r="CH608" s="40"/>
      <c r="CI608" s="40"/>
      <c r="CJ608" s="40"/>
      <c r="CK608" s="40"/>
      <c r="CL608" s="40"/>
      <c r="CM608" s="40"/>
      <c r="CN608" s="40"/>
      <c r="CO608" s="40"/>
      <c r="CP608" s="40"/>
      <c r="CQ608" s="40"/>
      <c r="CR608" s="40"/>
      <c r="CS608" s="40"/>
      <c r="CT608" s="994"/>
      <c r="CZ608" s="40"/>
      <c r="DA608" s="40"/>
      <c r="DB608" s="40"/>
      <c r="DC608" s="40"/>
      <c r="DD608" s="40"/>
      <c r="DE608" s="40"/>
    </row>
    <row r="609" spans="1:118" s="232" customFormat="1">
      <c r="A609" s="40"/>
      <c r="B609" s="1"/>
      <c r="C609" s="1"/>
      <c r="D609" s="1"/>
      <c r="E609" s="273"/>
      <c r="F609" s="3"/>
      <c r="G609" s="3"/>
      <c r="H609" s="274"/>
      <c r="I609" s="28"/>
      <c r="J609" s="273"/>
      <c r="K609" s="3"/>
      <c r="L609" s="3"/>
      <c r="M609" s="274"/>
      <c r="N609" s="1"/>
      <c r="O609" s="273"/>
      <c r="P609" s="3"/>
      <c r="Q609" s="3"/>
      <c r="R609" s="274"/>
      <c r="S609" s="1"/>
      <c r="T609" s="273"/>
      <c r="U609" s="3"/>
      <c r="V609" s="3"/>
      <c r="W609" s="274"/>
      <c r="X609" s="1"/>
      <c r="Y609" s="273"/>
      <c r="Z609" s="3"/>
      <c r="AA609" s="3"/>
      <c r="AB609" s="274"/>
      <c r="AC609" s="1"/>
      <c r="AD609" s="273"/>
      <c r="AE609" s="3"/>
      <c r="AF609" s="3"/>
      <c r="AG609" s="274"/>
      <c r="AH609" s="1"/>
      <c r="AI609" s="273"/>
      <c r="AJ609" s="3"/>
      <c r="AK609" s="3"/>
      <c r="AL609" s="274"/>
      <c r="AM609" s="1"/>
      <c r="AN609" s="273"/>
      <c r="AO609" s="3"/>
      <c r="AP609" s="3"/>
      <c r="AQ609" s="274"/>
      <c r="AR609" s="1"/>
      <c r="AS609" s="273"/>
      <c r="AT609" s="3"/>
      <c r="AU609" s="3"/>
      <c r="AV609" s="274"/>
      <c r="AW609" s="1"/>
      <c r="AX609" s="273"/>
      <c r="AY609" s="3"/>
      <c r="AZ609" s="3"/>
      <c r="BA609" s="274"/>
      <c r="BB609" s="1"/>
      <c r="BC609" s="273"/>
      <c r="BD609" s="3"/>
      <c r="BE609" s="3"/>
      <c r="BF609" s="274"/>
      <c r="BG609" s="1"/>
      <c r="BH609" s="273"/>
      <c r="BI609" s="3"/>
      <c r="BJ609" s="3"/>
      <c r="BK609" s="274"/>
      <c r="BL609" s="1"/>
      <c r="BM609" s="273"/>
      <c r="BN609" s="3"/>
      <c r="BO609" s="3"/>
      <c r="BP609" s="274"/>
      <c r="BQ609" s="1"/>
      <c r="BR609" s="40"/>
      <c r="BS609" s="40"/>
      <c r="BT609" s="40"/>
      <c r="BV609" s="40"/>
      <c r="BW609" s="40"/>
      <c r="BX609" s="40"/>
      <c r="BY609" s="40"/>
      <c r="BZ609" s="40"/>
      <c r="CA609" s="40"/>
      <c r="CB609" s="40"/>
      <c r="CC609" s="40"/>
      <c r="CD609" s="40"/>
      <c r="CE609" s="40"/>
      <c r="CF609" s="40"/>
      <c r="CG609" s="40"/>
      <c r="CH609" s="40"/>
      <c r="CI609" s="40"/>
      <c r="CJ609" s="40"/>
      <c r="CK609" s="40"/>
      <c r="CL609" s="40"/>
      <c r="CM609" s="40"/>
      <c r="CN609" s="40"/>
      <c r="CO609" s="40"/>
      <c r="CP609" s="40"/>
      <c r="CQ609" s="40"/>
      <c r="CR609" s="40"/>
      <c r="CS609" s="40"/>
      <c r="CT609" s="994"/>
      <c r="CZ609" s="40"/>
      <c r="DA609" s="40"/>
      <c r="DB609" s="40"/>
      <c r="DC609" s="40"/>
      <c r="DD609" s="40"/>
      <c r="DE609" s="40"/>
    </row>
    <row r="610" spans="1:118">
      <c r="A610" s="40"/>
      <c r="B610" s="1"/>
      <c r="C610" s="28" t="s">
        <v>197</v>
      </c>
      <c r="D610" s="1"/>
      <c r="E610" s="273"/>
      <c r="F610" s="3"/>
      <c r="G610" s="3"/>
      <c r="H610" s="274"/>
      <c r="I610" s="544">
        <v>0.2</v>
      </c>
      <c r="J610" s="273"/>
      <c r="K610" s="3"/>
      <c r="L610" s="3"/>
      <c r="M610" s="274"/>
      <c r="N610" s="1"/>
      <c r="O610" s="273"/>
      <c r="P610" s="3"/>
      <c r="Q610" s="3"/>
      <c r="R610" s="274"/>
      <c r="S610" s="1"/>
      <c r="T610" s="277"/>
      <c r="U610" s="253"/>
      <c r="V610" s="253"/>
      <c r="W610" s="278"/>
      <c r="X610" s="765"/>
      <c r="Y610" s="277">
        <f>+I610</f>
        <v>0.2</v>
      </c>
      <c r="Z610" s="253">
        <f>+Y610</f>
        <v>0.2</v>
      </c>
      <c r="AA610" s="253">
        <f>+Z610</f>
        <v>0.2</v>
      </c>
      <c r="AB610" s="278">
        <f>+AA610</f>
        <v>0.2</v>
      </c>
      <c r="AC610" s="765">
        <f>IF(AVERAGE(Y608:AB608)=0,0,AC611/(AVERAGE(Y608:AB608)*8.76))</f>
        <v>0.19999999999999998</v>
      </c>
      <c r="AD610" s="277">
        <f>+AB610</f>
        <v>0.2</v>
      </c>
      <c r="AE610" s="253">
        <f>+AD610</f>
        <v>0.2</v>
      </c>
      <c r="AF610" s="253">
        <f>+AA610</f>
        <v>0.2</v>
      </c>
      <c r="AG610" s="278">
        <f>+AB610</f>
        <v>0.2</v>
      </c>
      <c r="AH610" s="765">
        <f>IF(AVERAGE(AD608:AG608)=0,0,AH611/(AVERAGE(AD608:AG608)*8.76))</f>
        <v>0.19999999999999998</v>
      </c>
      <c r="AI610" s="277">
        <f>+AG610</f>
        <v>0.2</v>
      </c>
      <c r="AJ610" s="253">
        <f>+AE610</f>
        <v>0.2</v>
      </c>
      <c r="AK610" s="253">
        <f>+AF610</f>
        <v>0.2</v>
      </c>
      <c r="AL610" s="278">
        <f>+AG610</f>
        <v>0.2</v>
      </c>
      <c r="AM610" s="765">
        <f>IF(AVERAGE(AI608:AL608)=0,0,AM611/(AVERAGE(AI608:AL608)*8.76))</f>
        <v>0.19999999999999998</v>
      </c>
      <c r="AN610" s="277">
        <f>+AL610</f>
        <v>0.2</v>
      </c>
      <c r="AO610" s="253">
        <f>+AJ610</f>
        <v>0.2</v>
      </c>
      <c r="AP610" s="253">
        <f>+AK610</f>
        <v>0.2</v>
      </c>
      <c r="AQ610" s="278">
        <f>+AL610</f>
        <v>0.2</v>
      </c>
      <c r="AR610" s="765">
        <f>IF(AVERAGE(AN608:AQ608)=0,0,AR611/(AVERAGE(AN608:AQ608)*8.76))</f>
        <v>0.19999999999999998</v>
      </c>
      <c r="AS610" s="277">
        <f>+AQ610</f>
        <v>0.2</v>
      </c>
      <c r="AT610" s="253">
        <f>+AO610</f>
        <v>0.2</v>
      </c>
      <c r="AU610" s="253">
        <f t="shared" ref="AU610" si="879">+AP610</f>
        <v>0.2</v>
      </c>
      <c r="AV610" s="278">
        <f>+AQ610</f>
        <v>0.2</v>
      </c>
      <c r="AW610" s="765">
        <f>IF(AVERAGE(AS608:AV608)=0,0,AW611/(AVERAGE(AS608:AV608)*8.76))</f>
        <v>0.19999999999999998</v>
      </c>
      <c r="AX610" s="277">
        <f>+AV610</f>
        <v>0.2</v>
      </c>
      <c r="AY610" s="253">
        <f>+AT610</f>
        <v>0.2</v>
      </c>
      <c r="AZ610" s="253">
        <f>+AU610</f>
        <v>0.2</v>
      </c>
      <c r="BA610" s="278">
        <f>+AV610</f>
        <v>0.2</v>
      </c>
      <c r="BB610" s="765">
        <f>IF(AVERAGE(AX608:BA608)=0,0,BB611/(AVERAGE(AX608:BA608)*8.76))</f>
        <v>0.19999999999999998</v>
      </c>
      <c r="BC610" s="277">
        <f>+BA610</f>
        <v>0.2</v>
      </c>
      <c r="BD610" s="253">
        <f>+AY610</f>
        <v>0.2</v>
      </c>
      <c r="BE610" s="253">
        <f>+AZ610</f>
        <v>0.2</v>
      </c>
      <c r="BF610" s="278">
        <f>+BA610</f>
        <v>0.2</v>
      </c>
      <c r="BG610" s="765">
        <f>IF(AVERAGE(BC608:BF608)=0,0,BG611/(AVERAGE(BC608:BF608)*8.76))</f>
        <v>0.19999999999999998</v>
      </c>
      <c r="BH610" s="277">
        <f>+BF610</f>
        <v>0.2</v>
      </c>
      <c r="BI610" s="253">
        <f>+BD610</f>
        <v>0.2</v>
      </c>
      <c r="BJ610" s="253">
        <f>+BE610</f>
        <v>0.2</v>
      </c>
      <c r="BK610" s="278">
        <f>+BF610</f>
        <v>0.2</v>
      </c>
      <c r="BL610" s="765">
        <f>IF(AVERAGE(BH608:BK608)=0,0,BL611/(AVERAGE(BH608:BK608)*8.76))</f>
        <v>0.19999999999999998</v>
      </c>
      <c r="BM610" s="277">
        <f>+BK610</f>
        <v>0.2</v>
      </c>
      <c r="BN610" s="253">
        <f>+BI610</f>
        <v>0.2</v>
      </c>
      <c r="BO610" s="253">
        <f>+BJ610</f>
        <v>0.2</v>
      </c>
      <c r="BP610" s="278">
        <f>+BK610</f>
        <v>0.2</v>
      </c>
      <c r="BQ610" s="765">
        <f>IF(AVERAGE(BM608:BP608)=0,0,BQ611/(AVERAGE(BM608:BP608)*8.76))</f>
        <v>0.19999999999999998</v>
      </c>
      <c r="BR610" s="40"/>
      <c r="BS610" s="40"/>
      <c r="BT610" s="40"/>
      <c r="BU610" s="232"/>
      <c r="BV610" s="40"/>
      <c r="BW610" s="40"/>
      <c r="BX610" s="40"/>
      <c r="BY610" s="40"/>
      <c r="BZ610" s="40"/>
      <c r="CA610" s="40"/>
      <c r="CB610" s="40"/>
      <c r="CC610" s="40"/>
      <c r="CD610" s="40"/>
      <c r="CE610" s="40"/>
      <c r="CF610" s="40"/>
      <c r="CG610" s="40"/>
      <c r="CH610" s="40"/>
      <c r="CI610" s="40"/>
      <c r="CJ610" s="40"/>
      <c r="CK610" s="40"/>
      <c r="CL610" s="40"/>
      <c r="CM610" s="40"/>
      <c r="CN610" s="40"/>
      <c r="CO610" s="40"/>
      <c r="CP610" s="40"/>
      <c r="CQ610" s="40"/>
      <c r="CR610" s="40"/>
      <c r="CS610" s="40"/>
      <c r="CT610" s="823"/>
      <c r="CU610" s="232"/>
      <c r="CV610" s="232"/>
      <c r="CW610" s="232"/>
      <c r="CX610" s="232"/>
      <c r="CY610" s="232"/>
      <c r="CZ610" s="40"/>
      <c r="DA610" s="40"/>
      <c r="DB610" s="40"/>
      <c r="DC610" s="40"/>
      <c r="DD610" s="40"/>
      <c r="DE610" s="40"/>
      <c r="DF610" s="232"/>
      <c r="DG610" s="232"/>
      <c r="DH610" s="232"/>
      <c r="DI610" s="232"/>
      <c r="DJ610" s="232"/>
      <c r="DK610" s="232"/>
      <c r="DL610" s="232"/>
      <c r="DM610" s="232"/>
      <c r="DN610" s="232"/>
    </row>
    <row r="611" spans="1:118">
      <c r="A611" s="40"/>
      <c r="B611" s="1"/>
      <c r="C611" s="32" t="s">
        <v>198</v>
      </c>
      <c r="D611" s="32"/>
      <c r="E611" s="489"/>
      <c r="F611" s="342"/>
      <c r="G611" s="342"/>
      <c r="H611" s="490"/>
      <c r="I611" s="32"/>
      <c r="J611" s="489"/>
      <c r="K611" s="342"/>
      <c r="L611" s="342"/>
      <c r="M611" s="490"/>
      <c r="N611" s="32"/>
      <c r="O611" s="489"/>
      <c r="P611" s="342"/>
      <c r="Q611" s="342"/>
      <c r="R611" s="490"/>
      <c r="S611" s="32"/>
      <c r="T611" s="301"/>
      <c r="U611" s="265"/>
      <c r="V611" s="265"/>
      <c r="W611" s="302"/>
      <c r="X611" s="445"/>
      <c r="Y611" s="301">
        <f>(Y608*Y610*(8760/1000))/4</f>
        <v>475.66800000000001</v>
      </c>
      <c r="Z611" s="265">
        <f>(Z608*Z610*(8760/1000))/4</f>
        <v>475.66800000000001</v>
      </c>
      <c r="AA611" s="265">
        <f>(AA608*AA610*(8760/1000))/4</f>
        <v>475.66800000000001</v>
      </c>
      <c r="AB611" s="302">
        <f>(AB608*AB610*(8760/1000))/4</f>
        <v>475.66800000000001</v>
      </c>
      <c r="AC611" s="445">
        <f>SUM(Y611:AB611)</f>
        <v>1902.672</v>
      </c>
      <c r="AD611" s="301">
        <f>(AD608*AD610*(8760/1000))/4</f>
        <v>475.66800000000001</v>
      </c>
      <c r="AE611" s="265">
        <f>(AE608*AE610*(8760/1000))/4</f>
        <v>475.66800000000001</v>
      </c>
      <c r="AF611" s="265">
        <f>(AF608*AF610*(8760/1000))/4</f>
        <v>475.66800000000001</v>
      </c>
      <c r="AG611" s="302">
        <f>(AG608*AG610*(8760/1000))/4</f>
        <v>475.66800000000001</v>
      </c>
      <c r="AH611" s="445">
        <f>SUM(AD611:AG611)</f>
        <v>1902.672</v>
      </c>
      <c r="AI611" s="301">
        <f>(AI608*AI610*(8760/1000))/4</f>
        <v>475.66800000000001</v>
      </c>
      <c r="AJ611" s="265">
        <f>(AJ608*AJ610*(8760/1000))/4</f>
        <v>475.66800000000001</v>
      </c>
      <c r="AK611" s="265">
        <f>(AK608*AK610*(8760/1000))/4</f>
        <v>475.66800000000001</v>
      </c>
      <c r="AL611" s="302">
        <f>(AL608*AL610*(8760/1000))/4</f>
        <v>475.66800000000001</v>
      </c>
      <c r="AM611" s="445">
        <f>SUM(AI611:AL611)</f>
        <v>1902.672</v>
      </c>
      <c r="AN611" s="301">
        <f>(AN608*AN610*(8760/1000))/4</f>
        <v>475.66800000000001</v>
      </c>
      <c r="AO611" s="265">
        <f>(AO608*AO610*(8760/1000))/4</f>
        <v>475.66800000000001</v>
      </c>
      <c r="AP611" s="265">
        <f>(AP608*AP610*(8760/1000))/4</f>
        <v>475.66800000000001</v>
      </c>
      <c r="AQ611" s="302">
        <f>(AQ608*AQ610*(8760/1000))/4</f>
        <v>475.66800000000001</v>
      </c>
      <c r="AR611" s="445">
        <f>SUM(AN611:AQ611)</f>
        <v>1902.672</v>
      </c>
      <c r="AS611" s="301">
        <f>(AS608*AS610*(8760/1000))/4</f>
        <v>475.66800000000001</v>
      </c>
      <c r="AT611" s="265">
        <f>(AT608*AT610*(8760/1000))/4</f>
        <v>475.66800000000001</v>
      </c>
      <c r="AU611" s="265">
        <f t="shared" ref="AU611" si="880">(AU608*AU610*(8760/1000))/4</f>
        <v>475.66800000000001</v>
      </c>
      <c r="AV611" s="302">
        <f>(AV608*AV610*(8760/1000))/4</f>
        <v>475.66800000000001</v>
      </c>
      <c r="AW611" s="445">
        <f>SUM(AS611:AV611)</f>
        <v>1902.672</v>
      </c>
      <c r="AX611" s="301">
        <f>(AX608*AX610*(8760/1000))/4</f>
        <v>475.66800000000001</v>
      </c>
      <c r="AY611" s="265">
        <f>(AY608*AY610*(8760/1000))/4</f>
        <v>475.66800000000001</v>
      </c>
      <c r="AZ611" s="265">
        <f>(AZ608*AZ610*(8760/1000))/4</f>
        <v>475.66800000000001</v>
      </c>
      <c r="BA611" s="302">
        <f>(BA608*BA610*(8760/1000))/4</f>
        <v>475.66800000000001</v>
      </c>
      <c r="BB611" s="445">
        <f>SUM(AX611:BA611)</f>
        <v>1902.672</v>
      </c>
      <c r="BC611" s="301">
        <f>(BC608*BC610*(8760/1000))/4</f>
        <v>475.66800000000001</v>
      </c>
      <c r="BD611" s="265">
        <f>(BD608*BD610*(8760/1000))/4</f>
        <v>475.66800000000001</v>
      </c>
      <c r="BE611" s="265">
        <f>(BE608*BE610*(8760/1000))/4</f>
        <v>475.66800000000001</v>
      </c>
      <c r="BF611" s="302">
        <f>(BF608*BF610*(8760/1000))/4</f>
        <v>475.66800000000001</v>
      </c>
      <c r="BG611" s="445">
        <f>SUM(BC611:BF611)</f>
        <v>1902.672</v>
      </c>
      <c r="BH611" s="301">
        <f>(BH608*BH610*(8760/1000))/4</f>
        <v>475.66800000000001</v>
      </c>
      <c r="BI611" s="265">
        <f>(BI608*BI610*(8760/1000))/4</f>
        <v>475.66800000000001</v>
      </c>
      <c r="BJ611" s="265">
        <f>(BJ608*BJ610*(8760/1000))/4</f>
        <v>475.66800000000001</v>
      </c>
      <c r="BK611" s="302">
        <f>(BK608*BK610*(8760/1000))/4</f>
        <v>475.66800000000001</v>
      </c>
      <c r="BL611" s="445">
        <f>SUM(BH611:BK611)</f>
        <v>1902.672</v>
      </c>
      <c r="BM611" s="301">
        <f>(BM608*BM610*(8760/1000))/4</f>
        <v>475.66800000000001</v>
      </c>
      <c r="BN611" s="265">
        <f>(BN608*BN610*(8760/1000))/4</f>
        <v>475.66800000000001</v>
      </c>
      <c r="BO611" s="265">
        <f>(BO608*BO610*(8760/1000))/4</f>
        <v>475.66800000000001</v>
      </c>
      <c r="BP611" s="302">
        <f>(BP608*BP610*(8760/1000))/4</f>
        <v>475.66800000000001</v>
      </c>
      <c r="BQ611" s="445">
        <f>SUM(BM611:BP611)</f>
        <v>1902.672</v>
      </c>
      <c r="BR611" s="40"/>
      <c r="BS611" s="40"/>
      <c r="BT611" s="40"/>
      <c r="BU611" s="232"/>
      <c r="BV611" s="40"/>
      <c r="BW611" s="40"/>
      <c r="BX611" s="40"/>
      <c r="BY611" s="40"/>
      <c r="BZ611" s="40"/>
      <c r="CA611" s="40"/>
      <c r="CB611" s="40"/>
      <c r="CC611" s="40"/>
      <c r="CD611" s="40"/>
      <c r="CE611" s="40"/>
      <c r="CF611" s="40"/>
      <c r="CG611" s="40"/>
      <c r="CH611" s="40"/>
      <c r="CI611" s="40"/>
      <c r="CJ611" s="40"/>
      <c r="CK611" s="40"/>
      <c r="CL611" s="40"/>
      <c r="CM611" s="40"/>
      <c r="CN611" s="40"/>
      <c r="CO611" s="40"/>
      <c r="CP611" s="40"/>
      <c r="CQ611" s="40"/>
      <c r="CR611" s="40"/>
      <c r="CS611" s="40"/>
      <c r="CT611" s="823"/>
      <c r="CU611" s="232"/>
      <c r="CV611" s="232"/>
      <c r="CW611" s="232"/>
      <c r="CX611" s="232"/>
      <c r="CY611" s="232"/>
      <c r="CZ611" s="40"/>
      <c r="DA611" s="40"/>
      <c r="DB611" s="40"/>
      <c r="DC611" s="40"/>
      <c r="DD611" s="40"/>
      <c r="DE611" s="40"/>
      <c r="DF611" s="232"/>
      <c r="DG611" s="232"/>
      <c r="DH611" s="232"/>
      <c r="DI611" s="232"/>
      <c r="DJ611" s="232"/>
      <c r="DK611" s="232"/>
      <c r="DL611" s="232"/>
      <c r="DM611" s="232"/>
      <c r="DN611" s="232"/>
    </row>
    <row r="612" spans="1:118" s="19" customFormat="1">
      <c r="A612" s="28"/>
      <c r="B612" s="1"/>
      <c r="C612" s="1"/>
      <c r="D612" s="1"/>
      <c r="E612" s="273"/>
      <c r="F612" s="3"/>
      <c r="G612" s="3"/>
      <c r="H612" s="274"/>
      <c r="I612" s="28"/>
      <c r="J612" s="273"/>
      <c r="K612" s="3"/>
      <c r="L612" s="3"/>
      <c r="M612" s="274"/>
      <c r="N612" s="1"/>
      <c r="O612" s="273"/>
      <c r="P612" s="3"/>
      <c r="Q612" s="3"/>
      <c r="R612" s="274"/>
      <c r="S612" s="1"/>
      <c r="T612" s="273"/>
      <c r="U612" s="3"/>
      <c r="V612" s="3"/>
      <c r="W612" s="274"/>
      <c r="X612" s="1"/>
      <c r="Y612" s="273"/>
      <c r="Z612" s="3"/>
      <c r="AA612" s="3"/>
      <c r="AB612" s="274"/>
      <c r="AC612" s="1"/>
      <c r="AD612" s="273"/>
      <c r="AE612" s="3"/>
      <c r="AF612" s="3"/>
      <c r="AG612" s="274"/>
      <c r="AH612" s="1"/>
      <c r="AI612" s="273"/>
      <c r="AJ612" s="3"/>
      <c r="AK612" s="3"/>
      <c r="AL612" s="274"/>
      <c r="AM612" s="1"/>
      <c r="AN612" s="273"/>
      <c r="AO612" s="3"/>
      <c r="AP612" s="3"/>
      <c r="AQ612" s="274"/>
      <c r="AR612" s="1"/>
      <c r="AS612" s="273"/>
      <c r="AT612" s="3"/>
      <c r="AU612" s="3"/>
      <c r="AV612" s="274"/>
      <c r="AW612" s="1"/>
      <c r="AX612" s="273"/>
      <c r="AY612" s="3"/>
      <c r="AZ612" s="3"/>
      <c r="BA612" s="274"/>
      <c r="BB612" s="1"/>
      <c r="BC612" s="273"/>
      <c r="BD612" s="3"/>
      <c r="BE612" s="3"/>
      <c r="BF612" s="274"/>
      <c r="BG612" s="1"/>
      <c r="BH612" s="273"/>
      <c r="BI612" s="3"/>
      <c r="BJ612" s="3"/>
      <c r="BK612" s="274"/>
      <c r="BL612" s="1"/>
      <c r="BM612" s="273"/>
      <c r="BN612" s="3"/>
      <c r="BO612" s="3"/>
      <c r="BP612" s="274"/>
      <c r="BQ612" s="1"/>
      <c r="BR612" s="40"/>
      <c r="BS612" s="40"/>
      <c r="BT612" s="40"/>
      <c r="BU612" s="232"/>
      <c r="BV612" s="40"/>
      <c r="BW612" s="40"/>
      <c r="BX612" s="40"/>
      <c r="BY612" s="40"/>
      <c r="BZ612" s="40"/>
      <c r="CA612" s="40"/>
      <c r="CB612" s="40"/>
      <c r="CC612" s="40"/>
      <c r="CD612" s="40"/>
      <c r="CE612" s="40"/>
      <c r="CF612" s="40"/>
      <c r="CG612" s="28"/>
      <c r="CH612" s="28"/>
      <c r="CI612" s="28"/>
      <c r="CJ612" s="28"/>
      <c r="CK612" s="28"/>
      <c r="CL612" s="28"/>
      <c r="CM612" s="28"/>
      <c r="CN612" s="28"/>
      <c r="CO612" s="28"/>
      <c r="CP612" s="28"/>
      <c r="CQ612" s="28"/>
      <c r="CR612" s="28"/>
      <c r="CS612" s="28"/>
      <c r="CT612" s="959"/>
      <c r="CU612" s="599"/>
      <c r="CV612" s="599"/>
      <c r="CW612" s="599"/>
      <c r="CX612" s="599"/>
      <c r="CY612" s="599"/>
      <c r="CZ612" s="28"/>
      <c r="DA612" s="28"/>
      <c r="DB612" s="28"/>
      <c r="DC612" s="28"/>
      <c r="DD612" s="28"/>
      <c r="DE612" s="28"/>
      <c r="DF612" s="599"/>
      <c r="DG612" s="599"/>
      <c r="DH612" s="599"/>
      <c r="DI612" s="599"/>
      <c r="DJ612" s="599"/>
      <c r="DK612" s="599"/>
      <c r="DL612" s="599"/>
      <c r="DM612" s="599"/>
      <c r="DN612" s="599"/>
    </row>
    <row r="613" spans="1:118">
      <c r="A613" s="40"/>
      <c r="B613" s="1"/>
      <c r="C613" s="28" t="s">
        <v>797</v>
      </c>
      <c r="D613" s="1"/>
      <c r="E613" s="273"/>
      <c r="F613" s="3"/>
      <c r="G613" s="3"/>
      <c r="H613" s="274"/>
      <c r="I613" s="28"/>
      <c r="J613" s="273"/>
      <c r="K613" s="3"/>
      <c r="L613" s="3"/>
      <c r="M613" s="274"/>
      <c r="N613" s="1"/>
      <c r="O613" s="273"/>
      <c r="P613" s="3"/>
      <c r="Q613" s="3"/>
      <c r="R613" s="274"/>
      <c r="S613" s="1"/>
      <c r="T613" s="290"/>
      <c r="U613" s="260"/>
      <c r="V613" s="260"/>
      <c r="W613" s="291"/>
      <c r="X613" s="45"/>
      <c r="Y613" s="290">
        <f>(Y605/1000*Y611)</f>
        <v>20.267208712515579</v>
      </c>
      <c r="Z613" s="260">
        <f>(Z605/1000*Z611)</f>
        <v>22.435499978596411</v>
      </c>
      <c r="AA613" s="260">
        <f>(AA605/1000*AA611)</f>
        <v>26.256934670382773</v>
      </c>
      <c r="AB613" s="291">
        <f>(AB605/1000*AB611)</f>
        <v>20.069542355222453</v>
      </c>
      <c r="AC613" s="45">
        <f>SUM(Y613:AB613)</f>
        <v>89.029185716717222</v>
      </c>
      <c r="AD613" s="290">
        <f>(AD605/1000*AD611)</f>
        <v>62.952507270170024</v>
      </c>
      <c r="AE613" s="260">
        <f>(AE605/1000*AE611)</f>
        <v>21.565584845439513</v>
      </c>
      <c r="AF613" s="260">
        <f>(AF605/1000*AF611)</f>
        <v>21.565584845439513</v>
      </c>
      <c r="AG613" s="291">
        <f>(AG605/1000*AG611)</f>
        <v>23.365059229112802</v>
      </c>
      <c r="AH613" s="45">
        <f>SUM(AD613:AG613)</f>
        <v>129.44873619016187</v>
      </c>
      <c r="AI613" s="290">
        <f>(AI605/1000*AI611)</f>
        <v>32.005130229888458</v>
      </c>
      <c r="AJ613" s="260">
        <f>(AJ605/1000*AJ611)</f>
        <v>20.788277160000003</v>
      </c>
      <c r="AK613" s="260">
        <f>(AK605/1000*AK611)</f>
        <v>18.978443770449879</v>
      </c>
      <c r="AL613" s="291">
        <f>(AL605/1000*AL611)</f>
        <v>14.289868772893728</v>
      </c>
      <c r="AM613" s="45">
        <f>SUM(AI613:AL613)</f>
        <v>86.061719933232069</v>
      </c>
      <c r="AN613" s="290">
        <f>(AN605/1000*AN611)</f>
        <v>14.872388129839091</v>
      </c>
      <c r="AO613" s="260">
        <f>(AO605/1000*AO611)</f>
        <v>13.655042298648842</v>
      </c>
      <c r="AP613" s="260">
        <f>(AP605/1000*AP611)</f>
        <v>19.314930392035979</v>
      </c>
      <c r="AQ613" s="291">
        <f>(AQ605/1000*AQ611)</f>
        <v>13.71267788592057</v>
      </c>
      <c r="AR613" s="45">
        <f>SUM(AN613:AQ613)</f>
        <v>61.555038706444478</v>
      </c>
      <c r="AS613" s="290">
        <f>(AS605/1000*AS611)</f>
        <v>15.819083673554847</v>
      </c>
      <c r="AT613" s="260">
        <f>(AT605/1000*AT611)</f>
        <v>15.405569556031756</v>
      </c>
      <c r="AU613" s="260">
        <f t="shared" ref="AU613" si="881">(AU605/1000*AU611)</f>
        <v>16.341294249021004</v>
      </c>
      <c r="AV613" s="291">
        <f>(AV605/1000*AV611)</f>
        <v>23.547616310242613</v>
      </c>
      <c r="AW613" s="45">
        <f>SUM(AS613:AV613)</f>
        <v>71.113563788850215</v>
      </c>
      <c r="AX613" s="290">
        <f>(AX605/1000*AX611)</f>
        <v>23.547616310242613</v>
      </c>
      <c r="AY613" s="260">
        <f>(AY605/1000*AY611)</f>
        <v>16.349343383999997</v>
      </c>
      <c r="AZ613" s="260">
        <f>(AZ605/1000*AZ611)</f>
        <v>18.105271806000001</v>
      </c>
      <c r="BA613" s="291">
        <f>(BA605/1000*BA611)</f>
        <v>16.464930707999997</v>
      </c>
      <c r="BB613" s="45">
        <f>SUM(AX613:BA613)</f>
        <v>74.467162208242613</v>
      </c>
      <c r="BC613" s="290">
        <f>(BC605/1000*BC611)</f>
        <v>22.123768055774288</v>
      </c>
      <c r="BD613" s="260">
        <f>(BD605/1000*BD611)</f>
        <v>14.410970997508192</v>
      </c>
      <c r="BE613" s="260">
        <f>(BE605/1000*BE611)</f>
        <v>16.1476842828888</v>
      </c>
      <c r="BF613" s="291">
        <f>(BF605/1000*BF611)</f>
        <v>17.319099327701881</v>
      </c>
      <c r="BG613" s="45">
        <f>SUM(BC613:BF613)</f>
        <v>70.00152266387316</v>
      </c>
      <c r="BH613" s="290">
        <f>(BH605/1000*BH611)</f>
        <v>22.108734713493888</v>
      </c>
      <c r="BI613" s="260">
        <f>(BI605/1000*BI611)</f>
        <v>14.401178585155455</v>
      </c>
      <c r="BJ613" s="260">
        <f>(BJ605/1000*BJ611)</f>
        <v>16.136711754870575</v>
      </c>
      <c r="BK613" s="291">
        <f>(BK605/1000*BK611)</f>
        <v>17.307330810353239</v>
      </c>
      <c r="BL613" s="45">
        <f>SUM(BH613:BK613)</f>
        <v>69.953955863873162</v>
      </c>
      <c r="BM613" s="290">
        <f>(BM605/1000*BM611)</f>
        <v>17.134240885714288</v>
      </c>
      <c r="BN613" s="260">
        <f>(BN605/1000*BN611)</f>
        <v>17.134240885714288</v>
      </c>
      <c r="BO613" s="260">
        <f>(BO605/1000*BO611)</f>
        <v>17.134240885714288</v>
      </c>
      <c r="BP613" s="291">
        <f>(BP605/1000*BP611)</f>
        <v>17.134240885714288</v>
      </c>
      <c r="BQ613" s="45">
        <f>SUM(BM613:BP613)</f>
        <v>68.536963542857151</v>
      </c>
      <c r="BR613" s="40"/>
      <c r="BS613" s="40"/>
      <c r="BT613" s="40"/>
      <c r="BU613" s="232"/>
      <c r="BV613" s="40"/>
      <c r="BW613" s="40"/>
      <c r="BX613" s="40"/>
      <c r="BY613" s="40"/>
      <c r="BZ613" s="40"/>
      <c r="CA613" s="40"/>
      <c r="CB613" s="40"/>
      <c r="CC613" s="40"/>
      <c r="CD613" s="40"/>
      <c r="CE613" s="40"/>
      <c r="CF613" s="40"/>
      <c r="CG613" s="40"/>
      <c r="CH613" s="40"/>
      <c r="CI613" s="40"/>
      <c r="CJ613" s="40"/>
      <c r="CK613" s="40"/>
      <c r="CL613" s="40"/>
      <c r="CM613" s="40"/>
      <c r="CN613" s="40"/>
      <c r="CO613" s="40"/>
      <c r="CP613" s="40"/>
      <c r="CQ613" s="40"/>
      <c r="CR613" s="40"/>
      <c r="CS613" s="40"/>
      <c r="CT613" s="823"/>
      <c r="CU613" s="232"/>
      <c r="CV613" s="232"/>
      <c r="CW613" s="232"/>
      <c r="CX613" s="232"/>
      <c r="CY613" s="232"/>
      <c r="CZ613" s="40"/>
      <c r="DA613" s="40"/>
      <c r="DB613" s="40"/>
      <c r="DC613" s="40"/>
      <c r="DD613" s="40"/>
      <c r="DE613" s="40"/>
      <c r="DF613" s="232"/>
      <c r="DG613" s="232"/>
      <c r="DH613" s="232"/>
      <c r="DI613" s="232"/>
      <c r="DJ613" s="232"/>
      <c r="DK613" s="232"/>
      <c r="DL613" s="232"/>
      <c r="DM613" s="232"/>
      <c r="DN613" s="232"/>
    </row>
    <row r="614" spans="1:118">
      <c r="A614" s="40"/>
      <c r="B614" s="1"/>
      <c r="C614" s="28" t="s">
        <v>278</v>
      </c>
      <c r="D614" s="1"/>
      <c r="E614" s="273"/>
      <c r="F614" s="3"/>
      <c r="G614" s="3"/>
      <c r="H614" s="274"/>
      <c r="I614" s="28"/>
      <c r="J614" s="273"/>
      <c r="K614" s="3"/>
      <c r="L614" s="3"/>
      <c r="M614" s="274"/>
      <c r="N614" s="1"/>
      <c r="O614" s="273"/>
      <c r="P614" s="3"/>
      <c r="Q614" s="3"/>
      <c r="R614" s="274"/>
      <c r="S614" s="1"/>
      <c r="T614" s="290"/>
      <c r="U614" s="260"/>
      <c r="V614" s="260"/>
      <c r="W614" s="291"/>
      <c r="X614" s="45"/>
      <c r="Y614" s="290">
        <f>Y606/1000*Y611</f>
        <v>20.548694875777233</v>
      </c>
      <c r="Z614" s="260">
        <f>Z606/1000*Z611</f>
        <v>18.625438501934944</v>
      </c>
      <c r="AA614" s="260">
        <f>AA606/1000*AA611</f>
        <v>17.841905543552883</v>
      </c>
      <c r="AB614" s="291">
        <f>AB606/1000*AB611</f>
        <v>19.143712838330117</v>
      </c>
      <c r="AC614" s="45">
        <f>SUM(Y614:AB614)</f>
        <v>76.159751759595181</v>
      </c>
      <c r="AD614" s="290">
        <f>AD606/1000*AD611</f>
        <v>53.980414669542462</v>
      </c>
      <c r="AE614" s="260">
        <f>AE606/1000*AE611</f>
        <v>15.76099286758665</v>
      </c>
      <c r="AF614" s="260">
        <f>AF606/1000*AF611</f>
        <v>15.76099286758665</v>
      </c>
      <c r="AG614" s="291">
        <f>AG606/1000*AG611</f>
        <v>22.392491343629978</v>
      </c>
      <c r="AH614" s="45">
        <f>SUM(AD614:AG614)</f>
        <v>107.89489174834574</v>
      </c>
      <c r="AI614" s="290">
        <f>AI606/1000*AI611</f>
        <v>31.462474095754647</v>
      </c>
      <c r="AJ614" s="260">
        <f>AJ606/1000*AJ611</f>
        <v>14.95539726403133</v>
      </c>
      <c r="AK614" s="260">
        <f>AK606/1000*AK611</f>
        <v>12.38943564042648</v>
      </c>
      <c r="AL614" s="291">
        <f>AL606/1000*AL611</f>
        <v>15.071535677151184</v>
      </c>
      <c r="AM614" s="45">
        <f>SUM(AI614:AL614)</f>
        <v>73.87884267736365</v>
      </c>
      <c r="AN614" s="290">
        <f>AN606/1000*AN611</f>
        <v>15.070363373785973</v>
      </c>
      <c r="AO614" s="260">
        <f>AO606/1000*AO611</f>
        <v>11.448288618210965</v>
      </c>
      <c r="AP614" s="260">
        <f>AP606/1000*AP611</f>
        <v>12.529579379860969</v>
      </c>
      <c r="AQ614" s="291">
        <f>AQ606/1000*AQ611</f>
        <v>12.674530325556114</v>
      </c>
      <c r="AR614" s="45">
        <f>SUM(AN614:AQ614)</f>
        <v>51.722761697414022</v>
      </c>
      <c r="AS614" s="290">
        <f>AS606/1000*AS611</f>
        <v>17.443049381373626</v>
      </c>
      <c r="AT614" s="260">
        <f>AT606/1000*AT611</f>
        <v>12.924032039745207</v>
      </c>
      <c r="AU614" s="260">
        <f t="shared" ref="AU614" si="882">AU606/1000*AU611</f>
        <v>11.404785646617226</v>
      </c>
      <c r="AV614" s="291">
        <f>AV606/1000*AV611</f>
        <v>27.738031096788859</v>
      </c>
      <c r="AW614" s="45">
        <f>SUM(AS614:AV614)</f>
        <v>69.509898164524913</v>
      </c>
      <c r="AX614" s="290">
        <f>AX606/1000*AX611</f>
        <v>27.738031096788859</v>
      </c>
      <c r="AY614" s="260">
        <f>AY606/1000*AY611</f>
        <v>14.958965820000001</v>
      </c>
      <c r="AZ614" s="260">
        <f>AZ606/1000*AZ611</f>
        <v>15.023180999999999</v>
      </c>
      <c r="BA614" s="291">
        <f>BA606/1000*BA611</f>
        <v>15.1618184025</v>
      </c>
      <c r="BB614" s="45">
        <f>SUM(AX614:BA614)</f>
        <v>72.881996319288859</v>
      </c>
      <c r="BC614" s="290">
        <f>BC606/1000*BC611</f>
        <v>22.206876660074396</v>
      </c>
      <c r="BD614" s="260">
        <f>BD606/1000*BD611</f>
        <v>12.334672157396156</v>
      </c>
      <c r="BE614" s="260">
        <f>BE606/1000*BE611</f>
        <v>12.60187151426236</v>
      </c>
      <c r="BF614" s="291">
        <f>BF606/1000*BF611</f>
        <v>18.426997258767095</v>
      </c>
      <c r="BG614" s="45">
        <f>SUM(BC614:BF614)</f>
        <v>65.5704175905</v>
      </c>
      <c r="BH614" s="290">
        <f>BH606/1000*BH611</f>
        <v>22.011991353116333</v>
      </c>
      <c r="BI614" s="260">
        <f>BI606/1000*BI611</f>
        <v>12.226424320187107</v>
      </c>
      <c r="BJ614" s="260">
        <f>BJ606/1000*BJ611</f>
        <v>12.491278762481169</v>
      </c>
      <c r="BK614" s="291">
        <f>BK606/1000*BK611</f>
        <v>18.265283791715387</v>
      </c>
      <c r="BL614" s="45">
        <f>SUM(BH614:BK614)</f>
        <v>64.994978227499999</v>
      </c>
      <c r="BM614" s="290">
        <f>BM606/1000*BM611</f>
        <v>16.000447839308443</v>
      </c>
      <c r="BN614" s="260">
        <f>BN606/1000*BN611</f>
        <v>16.000447839308443</v>
      </c>
      <c r="BO614" s="260">
        <f>BO606/1000*BO611</f>
        <v>16.000447839308443</v>
      </c>
      <c r="BP614" s="291">
        <f>BP606/1000*BP611</f>
        <v>16.000447839308443</v>
      </c>
      <c r="BQ614" s="45">
        <f>SUM(BM614:BP614)</f>
        <v>64.00179135723377</v>
      </c>
      <c r="BR614" s="40"/>
      <c r="BS614" s="40"/>
      <c r="BT614" s="40"/>
      <c r="BU614" s="232"/>
      <c r="BV614" s="28"/>
      <c r="BW614" s="28"/>
      <c r="BX614" s="28"/>
      <c r="BY614" s="28"/>
      <c r="BZ614" s="28"/>
      <c r="CA614" s="28"/>
      <c r="CB614" s="28"/>
      <c r="CC614" s="28"/>
      <c r="CD614" s="28"/>
      <c r="CE614" s="28"/>
      <c r="CF614" s="28"/>
      <c r="CG614" s="40"/>
      <c r="CH614" s="40"/>
      <c r="CI614" s="40"/>
      <c r="CJ614" s="40"/>
      <c r="CK614" s="40"/>
      <c r="CL614" s="40"/>
      <c r="CM614" s="40"/>
      <c r="CN614" s="40"/>
      <c r="CO614" s="40"/>
      <c r="CP614" s="40"/>
      <c r="CQ614" s="40"/>
      <c r="CR614" s="40"/>
      <c r="CS614" s="40"/>
      <c r="CT614" s="823"/>
      <c r="CU614" s="232"/>
      <c r="CV614" s="232"/>
      <c r="CW614" s="232"/>
      <c r="CX614" s="232"/>
      <c r="CY614" s="232"/>
      <c r="CZ614" s="40"/>
      <c r="DA614" s="40"/>
      <c r="DB614" s="40"/>
      <c r="DC614" s="40"/>
      <c r="DD614" s="40"/>
      <c r="DE614" s="40"/>
      <c r="DF614" s="232"/>
      <c r="DG614" s="232"/>
      <c r="DH614" s="232"/>
      <c r="DI614" s="232"/>
      <c r="DJ614" s="232"/>
      <c r="DK614" s="232"/>
      <c r="DL614" s="232"/>
      <c r="DM614" s="232"/>
      <c r="DN614" s="232"/>
    </row>
    <row r="615" spans="1:118">
      <c r="A615" s="40"/>
      <c r="B615" s="1"/>
      <c r="C615" s="32" t="s">
        <v>199</v>
      </c>
      <c r="D615" s="32"/>
      <c r="E615" s="489"/>
      <c r="F615" s="342"/>
      <c r="G615" s="342"/>
      <c r="H615" s="490"/>
      <c r="I615" s="28"/>
      <c r="J615" s="489"/>
      <c r="K615" s="342"/>
      <c r="L615" s="342"/>
      <c r="M615" s="490"/>
      <c r="N615" s="32"/>
      <c r="O615" s="489"/>
      <c r="P615" s="342"/>
      <c r="Q615" s="342"/>
      <c r="R615" s="490"/>
      <c r="S615" s="32"/>
      <c r="T615" s="292"/>
      <c r="U615" s="261"/>
      <c r="V615" s="261"/>
      <c r="W615" s="293"/>
      <c r="X615" s="228"/>
      <c r="Y615" s="292">
        <f>Y613-Y614</f>
        <v>-0.2814861632616541</v>
      </c>
      <c r="Z615" s="261">
        <f>Z613-Z614</f>
        <v>3.8100614766614669</v>
      </c>
      <c r="AA615" s="261">
        <f>AA613-AA614</f>
        <v>8.4150291268298893</v>
      </c>
      <c r="AB615" s="293">
        <f>AB613-AB614</f>
        <v>0.92582951689233539</v>
      </c>
      <c r="AC615" s="228">
        <f>AC613-AC614</f>
        <v>12.869433957122041</v>
      </c>
      <c r="AD615" s="292">
        <f t="shared" ref="AD615:BL615" si="883">AD613-AD614</f>
        <v>8.9720926006275619</v>
      </c>
      <c r="AE615" s="261">
        <f>AE613-AE614</f>
        <v>5.8045919778528638</v>
      </c>
      <c r="AF615" s="261">
        <f t="shared" si="883"/>
        <v>5.8045919778528638</v>
      </c>
      <c r="AG615" s="293">
        <f t="shared" si="883"/>
        <v>0.97256788548282458</v>
      </c>
      <c r="AH615" s="228">
        <f t="shared" si="883"/>
        <v>21.553844441816125</v>
      </c>
      <c r="AI615" s="292">
        <f t="shared" si="883"/>
        <v>0.54265613413381075</v>
      </c>
      <c r="AJ615" s="261">
        <f t="shared" si="883"/>
        <v>5.8328798959686736</v>
      </c>
      <c r="AK615" s="261">
        <f t="shared" si="883"/>
        <v>6.589008130023398</v>
      </c>
      <c r="AL615" s="293">
        <f t="shared" si="883"/>
        <v>-0.781666904257456</v>
      </c>
      <c r="AM615" s="228">
        <f t="shared" si="883"/>
        <v>12.182877255868419</v>
      </c>
      <c r="AN615" s="292">
        <f t="shared" si="883"/>
        <v>-0.19797524394688182</v>
      </c>
      <c r="AO615" s="261">
        <f t="shared" si="883"/>
        <v>2.2067536804378776</v>
      </c>
      <c r="AP615" s="261">
        <f t="shared" si="883"/>
        <v>6.7853510121750098</v>
      </c>
      <c r="AQ615" s="293">
        <f t="shared" si="883"/>
        <v>1.0381475603644557</v>
      </c>
      <c r="AR615" s="228">
        <f t="shared" si="883"/>
        <v>9.8322770090304559</v>
      </c>
      <c r="AS615" s="292">
        <f t="shared" si="883"/>
        <v>-1.6239657078187797</v>
      </c>
      <c r="AT615" s="261">
        <f t="shared" si="883"/>
        <v>2.481537516286549</v>
      </c>
      <c r="AU615" s="261">
        <f t="shared" ref="AU615" si="884">AU613-AU614</f>
        <v>4.9365086024037783</v>
      </c>
      <c r="AV615" s="293">
        <f t="shared" si="883"/>
        <v>-4.1904147865462456</v>
      </c>
      <c r="AW615" s="228">
        <f t="shared" si="883"/>
        <v>1.603665624325302</v>
      </c>
      <c r="AX615" s="292">
        <f t="shared" si="883"/>
        <v>-4.1904147865462456</v>
      </c>
      <c r="AY615" s="261">
        <f t="shared" si="883"/>
        <v>1.390377563999996</v>
      </c>
      <c r="AZ615" s="261">
        <f t="shared" si="883"/>
        <v>3.0820908060000018</v>
      </c>
      <c r="BA615" s="293">
        <f t="shared" si="883"/>
        <v>1.3031123054999973</v>
      </c>
      <c r="BB615" s="228">
        <f t="shared" si="883"/>
        <v>1.5851658889537532</v>
      </c>
      <c r="BC615" s="292">
        <f t="shared" si="883"/>
        <v>-8.3108604300107913E-2</v>
      </c>
      <c r="BD615" s="261">
        <f t="shared" si="883"/>
        <v>2.0762988401120364</v>
      </c>
      <c r="BE615" s="261">
        <f t="shared" si="883"/>
        <v>3.5458127686264405</v>
      </c>
      <c r="BF615" s="293">
        <f t="shared" si="883"/>
        <v>-1.1078979310652137</v>
      </c>
      <c r="BG615" s="228">
        <f t="shared" si="883"/>
        <v>4.4311050733731605</v>
      </c>
      <c r="BH615" s="292">
        <f t="shared" si="883"/>
        <v>9.6743360377555376E-2</v>
      </c>
      <c r="BI615" s="261">
        <f t="shared" si="883"/>
        <v>2.1747542649683478</v>
      </c>
      <c r="BJ615" s="261">
        <f t="shared" si="883"/>
        <v>3.6454329923894058</v>
      </c>
      <c r="BK615" s="293">
        <f t="shared" si="883"/>
        <v>-0.95795298136214768</v>
      </c>
      <c r="BL615" s="228">
        <f t="shared" si="883"/>
        <v>4.958977636373163</v>
      </c>
      <c r="BM615" s="292">
        <f t="shared" ref="BM615:BQ615" si="885">BM613-BM614</f>
        <v>1.1337930464058452</v>
      </c>
      <c r="BN615" s="261">
        <f t="shared" si="885"/>
        <v>1.1337930464058452</v>
      </c>
      <c r="BO615" s="261">
        <f t="shared" si="885"/>
        <v>1.1337930464058452</v>
      </c>
      <c r="BP615" s="293">
        <f t="shared" si="885"/>
        <v>1.1337930464058452</v>
      </c>
      <c r="BQ615" s="228">
        <f t="shared" si="885"/>
        <v>4.5351721856233809</v>
      </c>
      <c r="BR615" s="40"/>
      <c r="BS615" s="40"/>
      <c r="BT615" s="40"/>
      <c r="BU615" s="232"/>
      <c r="BV615" s="40"/>
      <c r="BW615" s="40"/>
      <c r="BX615" s="40"/>
      <c r="BY615" s="40"/>
      <c r="BZ615" s="40"/>
      <c r="CA615" s="40"/>
      <c r="CB615" s="40"/>
      <c r="CC615" s="40"/>
      <c r="CD615" s="40"/>
      <c r="CE615" s="40"/>
      <c r="CF615" s="40"/>
      <c r="CG615" s="40"/>
      <c r="CH615" s="40"/>
      <c r="CI615" s="40"/>
      <c r="CJ615" s="40"/>
      <c r="CK615" s="40"/>
      <c r="CL615" s="40"/>
      <c r="CM615" s="40"/>
      <c r="CN615" s="40"/>
      <c r="CO615" s="40"/>
      <c r="CP615" s="40"/>
      <c r="CQ615" s="40"/>
      <c r="CR615" s="40"/>
      <c r="CS615" s="40"/>
      <c r="CT615" s="823"/>
      <c r="CU615" s="232"/>
      <c r="CV615" s="232"/>
      <c r="CW615" s="232"/>
      <c r="CX615" s="232"/>
      <c r="CY615" s="232"/>
      <c r="CZ615" s="40"/>
      <c r="DA615" s="40"/>
      <c r="DB615" s="40"/>
      <c r="DC615" s="40"/>
      <c r="DD615" s="40"/>
      <c r="DE615" s="40"/>
      <c r="DF615" s="232"/>
      <c r="DG615" s="232"/>
      <c r="DH615" s="232"/>
      <c r="DI615" s="232"/>
      <c r="DJ615" s="232"/>
      <c r="DK615" s="232"/>
      <c r="DL615" s="232"/>
      <c r="DM615" s="232"/>
      <c r="DN615" s="232"/>
    </row>
    <row r="616" spans="1:118">
      <c r="A616" s="40"/>
      <c r="B616" s="32"/>
      <c r="C616" s="32"/>
      <c r="D616" s="32"/>
      <c r="E616" s="489"/>
      <c r="F616" s="342"/>
      <c r="G616" s="342"/>
      <c r="H616" s="490"/>
      <c r="I616" s="32"/>
      <c r="J616" s="489"/>
      <c r="K616" s="342"/>
      <c r="L616" s="342"/>
      <c r="M616" s="490"/>
      <c r="N616" s="32"/>
      <c r="O616" s="489"/>
      <c r="P616" s="342"/>
      <c r="Q616" s="342"/>
      <c r="R616" s="490"/>
      <c r="S616" s="32"/>
      <c r="T616" s="292"/>
      <c r="U616" s="261"/>
      <c r="V616" s="261"/>
      <c r="W616" s="293"/>
      <c r="X616" s="348"/>
      <c r="Y616" s="292"/>
      <c r="Z616" s="261"/>
      <c r="AA616" s="261"/>
      <c r="AB616" s="293"/>
      <c r="AC616" s="348"/>
      <c r="AD616" s="292"/>
      <c r="AE616" s="261"/>
      <c r="AF616" s="261"/>
      <c r="AG616" s="293"/>
      <c r="AH616" s="348"/>
      <c r="AI616" s="292"/>
      <c r="AJ616" s="261"/>
      <c r="AK616" s="261"/>
      <c r="AL616" s="293"/>
      <c r="AM616" s="348"/>
      <c r="AN616" s="292"/>
      <c r="AO616" s="261"/>
      <c r="AP616" s="261"/>
      <c r="AQ616" s="293"/>
      <c r="AR616" s="348"/>
      <c r="AS616" s="292"/>
      <c r="AT616" s="261"/>
      <c r="AU616" s="261"/>
      <c r="AV616" s="293"/>
      <c r="AW616" s="348"/>
      <c r="AX616" s="292"/>
      <c r="AY616" s="261"/>
      <c r="AZ616" s="261"/>
      <c r="BA616" s="293"/>
      <c r="BB616" s="348"/>
      <c r="BC616" s="292"/>
      <c r="BD616" s="261"/>
      <c r="BE616" s="261"/>
      <c r="BF616" s="293"/>
      <c r="BG616" s="348"/>
      <c r="BH616" s="292"/>
      <c r="BI616" s="261"/>
      <c r="BJ616" s="261"/>
      <c r="BK616" s="293"/>
      <c r="BL616" s="348"/>
      <c r="BM616" s="292"/>
      <c r="BN616" s="261"/>
      <c r="BO616" s="261"/>
      <c r="BP616" s="293"/>
      <c r="BQ616" s="348"/>
      <c r="BR616" s="40"/>
      <c r="BS616" s="40"/>
      <c r="BT616" s="40"/>
      <c r="BU616" s="232"/>
      <c r="BV616" s="40"/>
      <c r="BW616" s="40"/>
      <c r="BX616" s="40"/>
      <c r="BY616" s="40"/>
      <c r="BZ616" s="40"/>
      <c r="CA616" s="40"/>
      <c r="CB616" s="40"/>
      <c r="CC616" s="40"/>
      <c r="CD616" s="40"/>
      <c r="CE616" s="40"/>
      <c r="CF616" s="40"/>
      <c r="CG616" s="40"/>
      <c r="CH616" s="40"/>
      <c r="CI616" s="40"/>
      <c r="CJ616" s="40"/>
      <c r="CK616" s="40"/>
      <c r="CL616" s="40"/>
      <c r="CM616" s="40"/>
      <c r="CN616" s="40"/>
      <c r="CO616" s="40"/>
      <c r="CP616" s="40"/>
      <c r="CQ616" s="40"/>
      <c r="CR616" s="40"/>
      <c r="CS616" s="40"/>
      <c r="CT616" s="823"/>
      <c r="CU616" s="232"/>
      <c r="CV616" s="232"/>
      <c r="CW616" s="232"/>
      <c r="CX616" s="232"/>
      <c r="CY616" s="232"/>
      <c r="CZ616" s="40"/>
      <c r="DA616" s="40"/>
      <c r="DB616" s="40"/>
      <c r="DC616" s="40"/>
      <c r="DD616" s="40"/>
      <c r="DE616" s="40"/>
      <c r="DF616" s="232"/>
      <c r="DG616" s="232"/>
      <c r="DH616" s="232"/>
      <c r="DI616" s="232"/>
      <c r="DJ616" s="232"/>
      <c r="DK616" s="232"/>
      <c r="DL616" s="232"/>
      <c r="DM616" s="232"/>
      <c r="DN616" s="232"/>
    </row>
    <row r="617" spans="1:118">
      <c r="A617" s="40"/>
      <c r="B617" s="1"/>
      <c r="C617" s="429" t="s">
        <v>995</v>
      </c>
      <c r="D617" s="1"/>
      <c r="E617" s="273"/>
      <c r="F617" s="3"/>
      <c r="G617" s="3"/>
      <c r="H617" s="274"/>
      <c r="I617" s="28"/>
      <c r="J617" s="273"/>
      <c r="K617" s="3"/>
      <c r="L617" s="3"/>
      <c r="M617" s="274"/>
      <c r="N617" s="1"/>
      <c r="O617" s="273"/>
      <c r="P617" s="3"/>
      <c r="Q617" s="3"/>
      <c r="R617" s="274"/>
      <c r="S617" s="1"/>
      <c r="T617" s="273"/>
      <c r="U617" s="3"/>
      <c r="V617" s="3"/>
      <c r="W617" s="274"/>
      <c r="X617" s="1"/>
      <c r="Y617" s="273"/>
      <c r="Z617" s="3"/>
      <c r="AA617" s="3"/>
      <c r="AB617" s="274"/>
      <c r="AC617" s="1"/>
      <c r="AD617" s="273"/>
      <c r="AE617" s="3"/>
      <c r="AF617" s="3"/>
      <c r="AG617" s="274"/>
      <c r="AH617" s="1"/>
      <c r="AI617" s="273"/>
      <c r="AJ617" s="3"/>
      <c r="AK617" s="3"/>
      <c r="AL617" s="274"/>
      <c r="AM617" s="1"/>
      <c r="AN617" s="273"/>
      <c r="AO617" s="3"/>
      <c r="AP617" s="3"/>
      <c r="AQ617" s="274"/>
      <c r="AR617" s="1"/>
      <c r="AS617" s="273"/>
      <c r="AT617" s="3"/>
      <c r="AU617" s="3"/>
      <c r="AV617" s="274"/>
      <c r="AW617" s="1"/>
      <c r="AX617" s="273"/>
      <c r="AY617" s="3"/>
      <c r="AZ617" s="3"/>
      <c r="BA617" s="274"/>
      <c r="BB617" s="1"/>
      <c r="BC617" s="273"/>
      <c r="BD617" s="3"/>
      <c r="BE617" s="3"/>
      <c r="BF617" s="274"/>
      <c r="BG617" s="1"/>
      <c r="BH617" s="273"/>
      <c r="BI617" s="3"/>
      <c r="BJ617" s="3"/>
      <c r="BK617" s="274"/>
      <c r="BL617" s="1"/>
      <c r="BM617" s="273"/>
      <c r="BN617" s="3"/>
      <c r="BO617" s="3"/>
      <c r="BP617" s="274"/>
      <c r="BQ617" s="1"/>
      <c r="BR617" s="40"/>
      <c r="BS617" s="40"/>
      <c r="BT617" s="40"/>
      <c r="BU617" s="232"/>
      <c r="BV617" s="40"/>
      <c r="BW617" s="40"/>
      <c r="BX617" s="40"/>
      <c r="BY617" s="40"/>
      <c r="BZ617" s="40"/>
      <c r="CA617" s="40"/>
      <c r="CB617" s="40"/>
      <c r="CC617" s="40"/>
      <c r="CD617" s="40"/>
      <c r="CE617" s="40"/>
      <c r="CF617" s="40"/>
      <c r="CG617" s="40"/>
      <c r="CH617" s="40"/>
      <c r="CI617" s="40"/>
      <c r="CJ617" s="40"/>
      <c r="CK617" s="40"/>
      <c r="CL617" s="40"/>
      <c r="CM617" s="40"/>
      <c r="CN617" s="40"/>
      <c r="CO617" s="40"/>
      <c r="CP617" s="40"/>
      <c r="CQ617" s="40"/>
      <c r="CR617" s="40"/>
      <c r="CS617" s="40"/>
      <c r="CT617" s="823"/>
      <c r="CU617" s="232"/>
      <c r="CV617" s="232"/>
      <c r="CW617" s="232"/>
      <c r="CX617" s="232"/>
      <c r="CY617" s="232"/>
      <c r="CZ617" s="40"/>
      <c r="DA617" s="40"/>
      <c r="DB617" s="40"/>
      <c r="DC617" s="40"/>
      <c r="DD617" s="40"/>
      <c r="DE617" s="40"/>
      <c r="DF617" s="232"/>
      <c r="DG617" s="232"/>
      <c r="DH617" s="232"/>
      <c r="DI617" s="232"/>
      <c r="DJ617" s="232"/>
      <c r="DK617" s="232"/>
      <c r="DL617" s="232"/>
      <c r="DM617" s="232"/>
      <c r="DN617" s="232"/>
    </row>
    <row r="618" spans="1:118">
      <c r="A618" s="40"/>
      <c r="B618" s="1"/>
      <c r="C618" s="28" t="s">
        <v>200</v>
      </c>
      <c r="D618" s="1"/>
      <c r="E618" s="273"/>
      <c r="F618" s="3"/>
      <c r="G618" s="3"/>
      <c r="H618" s="274"/>
      <c r="I618" s="28"/>
      <c r="J618" s="273"/>
      <c r="K618" s="3"/>
      <c r="L618" s="3"/>
      <c r="M618" s="274"/>
      <c r="N618" s="1"/>
      <c r="O618" s="273"/>
      <c r="P618" s="3"/>
      <c r="Q618" s="3"/>
      <c r="R618" s="274"/>
      <c r="S618" s="1"/>
      <c r="T618" s="436"/>
      <c r="U618" s="437"/>
      <c r="V618" s="437"/>
      <c r="W618" s="438"/>
      <c r="X618" s="439"/>
      <c r="Y618" s="436">
        <f t="shared" ref="Y618:BQ618" si="886">Y$81</f>
        <v>41.997815863095234</v>
      </c>
      <c r="Z618" s="437">
        <f t="shared" si="886"/>
        <v>45.53030431640623</v>
      </c>
      <c r="AA618" s="437">
        <f t="shared" si="886"/>
        <v>48.136464199218771</v>
      </c>
      <c r="AB618" s="438">
        <f t="shared" si="886"/>
        <v>40.193486718750009</v>
      </c>
      <c r="AC618" s="439">
        <f t="shared" si="886"/>
        <v>43.964517774367565</v>
      </c>
      <c r="AD618" s="436">
        <f t="shared" si="886"/>
        <v>113.57858770833332</v>
      </c>
      <c r="AE618" s="437">
        <f t="shared" si="886"/>
        <v>41.389708935546885</v>
      </c>
      <c r="AF618" s="437">
        <f t="shared" si="886"/>
        <v>41.389708935546885</v>
      </c>
      <c r="AG618" s="438">
        <f t="shared" si="886"/>
        <v>40.371172851562484</v>
      </c>
      <c r="AH618" s="439">
        <f t="shared" si="886"/>
        <v>59.182294607747387</v>
      </c>
      <c r="AI618" s="436">
        <f t="shared" si="886"/>
        <v>56.866776517857161</v>
      </c>
      <c r="AJ618" s="437">
        <f t="shared" si="886"/>
        <v>39.147263818359377</v>
      </c>
      <c r="AK618" s="437">
        <f t="shared" si="886"/>
        <v>39.464831807692292</v>
      </c>
      <c r="AL618" s="438">
        <f t="shared" si="886"/>
        <v>31.895178447265621</v>
      </c>
      <c r="AM618" s="439">
        <f t="shared" si="886"/>
        <v>41.843512647793617</v>
      </c>
      <c r="AN618" s="436">
        <f t="shared" si="886"/>
        <v>30.103148642578116</v>
      </c>
      <c r="AO618" s="437">
        <f t="shared" si="886"/>
        <v>32.701806339843749</v>
      </c>
      <c r="AP618" s="437">
        <f t="shared" si="886"/>
        <v>38.936782353515625</v>
      </c>
      <c r="AQ618" s="438">
        <f t="shared" si="886"/>
        <v>33.269796091269853</v>
      </c>
      <c r="AR618" s="439">
        <f t="shared" si="886"/>
        <v>33.752883356801831</v>
      </c>
      <c r="AS618" s="436">
        <f t="shared" si="886"/>
        <v>32.144072138671881</v>
      </c>
      <c r="AT618" s="437">
        <f t="shared" si="886"/>
        <v>32.803312458984372</v>
      </c>
      <c r="AU618" s="437">
        <f t="shared" si="886"/>
        <v>35.491018034722231</v>
      </c>
      <c r="AV618" s="438">
        <f t="shared" si="886"/>
        <v>48.149713212890617</v>
      </c>
      <c r="AW618" s="439">
        <f t="shared" si="886"/>
        <v>37.147028961317275</v>
      </c>
      <c r="AX618" s="436">
        <f t="shared" si="886"/>
        <v>48.149713212890617</v>
      </c>
      <c r="AY618" s="437">
        <f t="shared" si="886"/>
        <v>34.5</v>
      </c>
      <c r="AZ618" s="437">
        <f t="shared" si="886"/>
        <v>36.9</v>
      </c>
      <c r="BA618" s="438">
        <f t="shared" si="886"/>
        <v>34.68333333333333</v>
      </c>
      <c r="BB618" s="439">
        <f t="shared" si="886"/>
        <v>38.55826163655599</v>
      </c>
      <c r="BC618" s="436">
        <f t="shared" si="886"/>
        <v>40.501333218824755</v>
      </c>
      <c r="BD618" s="437">
        <f t="shared" si="886"/>
        <v>29.678493986239484</v>
      </c>
      <c r="BE618" s="437">
        <f t="shared" si="886"/>
        <v>32.100602483050345</v>
      </c>
      <c r="BF618" s="438">
        <f t="shared" si="886"/>
        <v>39.002903645085446</v>
      </c>
      <c r="BG618" s="439">
        <f>BG$81</f>
        <v>35.320833333300008</v>
      </c>
      <c r="BH618" s="436">
        <f t="shared" si="886"/>
        <v>40.405777401430242</v>
      </c>
      <c r="BI618" s="437">
        <f t="shared" si="886"/>
        <v>29.608472766528742</v>
      </c>
      <c r="BJ618" s="437">
        <f t="shared" si="886"/>
        <v>32.024866721648337</v>
      </c>
      <c r="BK618" s="438">
        <f t="shared" si="886"/>
        <v>38.910883110392703</v>
      </c>
      <c r="BL618" s="439">
        <f t="shared" si="886"/>
        <v>35.237500000000004</v>
      </c>
      <c r="BM618" s="436">
        <f t="shared" si="886"/>
        <v>35.79999999999999</v>
      </c>
      <c r="BN618" s="437">
        <f t="shared" si="886"/>
        <v>35.79999999999999</v>
      </c>
      <c r="BO618" s="437">
        <f t="shared" si="886"/>
        <v>35.79999999999999</v>
      </c>
      <c r="BP618" s="438">
        <f t="shared" si="886"/>
        <v>35.79999999999999</v>
      </c>
      <c r="BQ618" s="439">
        <f t="shared" si="886"/>
        <v>35.79999999999999</v>
      </c>
      <c r="BR618" s="40"/>
      <c r="BS618" s="40"/>
      <c r="BT618" s="40"/>
      <c r="BU618" s="232"/>
      <c r="BV618" s="40"/>
      <c r="BW618" s="40"/>
      <c r="BX618" s="40"/>
      <c r="BY618" s="40"/>
      <c r="BZ618" s="40"/>
      <c r="CA618" s="40"/>
      <c r="CB618" s="40"/>
      <c r="CC618" s="40"/>
      <c r="CD618" s="40"/>
      <c r="CE618" s="40"/>
      <c r="CF618" s="40"/>
      <c r="CG618" s="40"/>
      <c r="CH618" s="40"/>
      <c r="CI618" s="40"/>
      <c r="CJ618" s="40"/>
      <c r="CK618" s="40"/>
      <c r="CL618" s="40"/>
      <c r="CM618" s="40"/>
      <c r="CN618" s="40"/>
      <c r="CO618" s="40"/>
      <c r="CP618" s="40"/>
      <c r="CQ618" s="40"/>
      <c r="CR618" s="40"/>
      <c r="CS618" s="40"/>
      <c r="CT618" s="823"/>
      <c r="CU618" s="232"/>
      <c r="CV618" s="232"/>
      <c r="CW618" s="232"/>
      <c r="CX618" s="232"/>
      <c r="CY618" s="232"/>
      <c r="CZ618" s="40"/>
      <c r="DA618" s="40"/>
      <c r="DB618" s="40"/>
      <c r="DC618" s="40"/>
      <c r="DD618" s="40"/>
      <c r="DE618" s="40"/>
      <c r="DF618" s="232"/>
      <c r="DG618" s="232"/>
      <c r="DH618" s="232"/>
      <c r="DI618" s="232"/>
      <c r="DJ618" s="232"/>
      <c r="DK618" s="232"/>
      <c r="DL618" s="232"/>
      <c r="DM618" s="232"/>
      <c r="DN618" s="232"/>
    </row>
    <row r="619" spans="1:118">
      <c r="A619" s="40"/>
      <c r="B619" s="1"/>
      <c r="C619" s="28" t="s">
        <v>195</v>
      </c>
      <c r="D619" s="1"/>
      <c r="E619" s="273"/>
      <c r="F619" s="3"/>
      <c r="G619" s="3"/>
      <c r="H619" s="274"/>
      <c r="I619" s="547">
        <v>0</v>
      </c>
      <c r="J619" s="273"/>
      <c r="K619" s="3"/>
      <c r="L619" s="3"/>
      <c r="M619" s="274"/>
      <c r="N619" s="1"/>
      <c r="O619" s="273"/>
      <c r="P619" s="3"/>
      <c r="Q619" s="3"/>
      <c r="R619" s="274"/>
      <c r="S619" s="1"/>
      <c r="T619" s="436"/>
      <c r="U619" s="437"/>
      <c r="V619" s="437"/>
      <c r="W619" s="438"/>
      <c r="X619" s="439"/>
      <c r="Y619" s="436">
        <f t="shared" ref="Y619:BQ619" si="887">+$I619</f>
        <v>0</v>
      </c>
      <c r="Z619" s="437">
        <f t="shared" si="887"/>
        <v>0</v>
      </c>
      <c r="AA619" s="437">
        <f t="shared" si="887"/>
        <v>0</v>
      </c>
      <c r="AB619" s="438">
        <f t="shared" si="887"/>
        <v>0</v>
      </c>
      <c r="AC619" s="439">
        <f t="shared" si="887"/>
        <v>0</v>
      </c>
      <c r="AD619" s="436">
        <f t="shared" si="887"/>
        <v>0</v>
      </c>
      <c r="AE619" s="437">
        <f t="shared" si="887"/>
        <v>0</v>
      </c>
      <c r="AF619" s="437">
        <f t="shared" si="887"/>
        <v>0</v>
      </c>
      <c r="AG619" s="438">
        <f t="shared" si="887"/>
        <v>0</v>
      </c>
      <c r="AH619" s="439">
        <f t="shared" si="887"/>
        <v>0</v>
      </c>
      <c r="AI619" s="436">
        <f t="shared" si="887"/>
        <v>0</v>
      </c>
      <c r="AJ619" s="437">
        <f t="shared" si="887"/>
        <v>0</v>
      </c>
      <c r="AK619" s="437">
        <f t="shared" si="887"/>
        <v>0</v>
      </c>
      <c r="AL619" s="438">
        <f t="shared" si="887"/>
        <v>0</v>
      </c>
      <c r="AM619" s="439">
        <f t="shared" si="887"/>
        <v>0</v>
      </c>
      <c r="AN619" s="436">
        <f t="shared" si="887"/>
        <v>0</v>
      </c>
      <c r="AO619" s="437">
        <f t="shared" si="887"/>
        <v>0</v>
      </c>
      <c r="AP619" s="437">
        <f t="shared" si="887"/>
        <v>0</v>
      </c>
      <c r="AQ619" s="438">
        <f t="shared" si="887"/>
        <v>0</v>
      </c>
      <c r="AR619" s="439">
        <f t="shared" si="887"/>
        <v>0</v>
      </c>
      <c r="AS619" s="436">
        <f t="shared" si="887"/>
        <v>0</v>
      </c>
      <c r="AT619" s="437">
        <f t="shared" si="887"/>
        <v>0</v>
      </c>
      <c r="AU619" s="437">
        <f t="shared" si="887"/>
        <v>0</v>
      </c>
      <c r="AV619" s="438">
        <f t="shared" si="887"/>
        <v>0</v>
      </c>
      <c r="AW619" s="439">
        <f t="shared" si="887"/>
        <v>0</v>
      </c>
      <c r="AX619" s="436">
        <f t="shared" si="887"/>
        <v>0</v>
      </c>
      <c r="AY619" s="437">
        <f t="shared" si="887"/>
        <v>0</v>
      </c>
      <c r="AZ619" s="437">
        <f t="shared" si="887"/>
        <v>0</v>
      </c>
      <c r="BA619" s="438">
        <f t="shared" si="887"/>
        <v>0</v>
      </c>
      <c r="BB619" s="439">
        <f t="shared" si="887"/>
        <v>0</v>
      </c>
      <c r="BC619" s="436">
        <f t="shared" si="887"/>
        <v>0</v>
      </c>
      <c r="BD619" s="437">
        <f t="shared" si="887"/>
        <v>0</v>
      </c>
      <c r="BE619" s="437">
        <f t="shared" si="887"/>
        <v>0</v>
      </c>
      <c r="BF619" s="438">
        <f t="shared" si="887"/>
        <v>0</v>
      </c>
      <c r="BG619" s="439">
        <f>+$I619</f>
        <v>0</v>
      </c>
      <c r="BH619" s="436">
        <f t="shared" si="887"/>
        <v>0</v>
      </c>
      <c r="BI619" s="437">
        <f t="shared" si="887"/>
        <v>0</v>
      </c>
      <c r="BJ619" s="437">
        <f t="shared" si="887"/>
        <v>0</v>
      </c>
      <c r="BK619" s="438">
        <f t="shared" si="887"/>
        <v>0</v>
      </c>
      <c r="BL619" s="439">
        <f t="shared" si="887"/>
        <v>0</v>
      </c>
      <c r="BM619" s="436">
        <f t="shared" si="887"/>
        <v>0</v>
      </c>
      <c r="BN619" s="437">
        <f t="shared" si="887"/>
        <v>0</v>
      </c>
      <c r="BO619" s="437">
        <f t="shared" si="887"/>
        <v>0</v>
      </c>
      <c r="BP619" s="438">
        <f t="shared" si="887"/>
        <v>0</v>
      </c>
      <c r="BQ619" s="439">
        <f t="shared" si="887"/>
        <v>0</v>
      </c>
      <c r="BR619" s="40"/>
      <c r="BS619" s="40"/>
      <c r="BT619" s="40"/>
      <c r="BU619" s="232"/>
      <c r="BV619" s="40"/>
      <c r="BW619" s="40"/>
      <c r="BX619" s="40"/>
      <c r="BY619" s="40"/>
      <c r="BZ619" s="40"/>
      <c r="CA619" s="40"/>
      <c r="CB619" s="40"/>
      <c r="CC619" s="40"/>
      <c r="CD619" s="40"/>
      <c r="CE619" s="40"/>
      <c r="CF619" s="40"/>
      <c r="CG619" s="40"/>
      <c r="CH619" s="40"/>
      <c r="CI619" s="40"/>
      <c r="CJ619" s="40"/>
      <c r="CK619" s="40"/>
      <c r="CL619" s="40"/>
      <c r="CM619" s="40"/>
      <c r="CN619" s="40"/>
      <c r="CO619" s="40"/>
      <c r="CP619" s="40"/>
      <c r="CQ619" s="40"/>
      <c r="CR619" s="40"/>
      <c r="CS619" s="40"/>
      <c r="CT619" s="823"/>
      <c r="CU619" s="232"/>
      <c r="CV619" s="232"/>
      <c r="CW619" s="232"/>
      <c r="CX619" s="232"/>
      <c r="CY619" s="232"/>
      <c r="CZ619" s="40"/>
      <c r="DA619" s="40"/>
      <c r="DB619" s="40"/>
      <c r="DC619" s="40"/>
      <c r="DD619" s="40"/>
      <c r="DE619" s="40"/>
      <c r="DF619" s="232"/>
      <c r="DG619" s="232"/>
      <c r="DH619" s="232"/>
      <c r="DI619" s="232"/>
      <c r="DJ619" s="232"/>
      <c r="DK619" s="232"/>
      <c r="DL619" s="232"/>
      <c r="DM619" s="232"/>
      <c r="DN619" s="232"/>
    </row>
    <row r="620" spans="1:118">
      <c r="A620" s="40"/>
      <c r="B620" s="1"/>
      <c r="C620" s="1"/>
      <c r="D620" s="1"/>
      <c r="E620" s="273"/>
      <c r="F620" s="3"/>
      <c r="G620" s="3"/>
      <c r="H620" s="274"/>
      <c r="I620" s="28"/>
      <c r="J620" s="273"/>
      <c r="K620" s="3"/>
      <c r="L620" s="3"/>
      <c r="M620" s="274"/>
      <c r="N620" s="1"/>
      <c r="O620" s="273"/>
      <c r="P620" s="3"/>
      <c r="Q620" s="3"/>
      <c r="R620" s="274"/>
      <c r="S620" s="1"/>
      <c r="T620" s="273"/>
      <c r="U620" s="3"/>
      <c r="V620" s="3"/>
      <c r="W620" s="274"/>
      <c r="X620" s="1"/>
      <c r="Y620" s="273"/>
      <c r="Z620" s="3"/>
      <c r="AA620" s="3"/>
      <c r="AB620" s="274"/>
      <c r="AC620" s="1"/>
      <c r="AD620" s="273"/>
      <c r="AE620" s="3"/>
      <c r="AF620" s="3"/>
      <c r="AG620" s="274"/>
      <c r="AH620" s="1"/>
      <c r="AI620" s="273"/>
      <c r="AJ620" s="3"/>
      <c r="AK620" s="3"/>
      <c r="AL620" s="274"/>
      <c r="AM620" s="1"/>
      <c r="AN620" s="273"/>
      <c r="AO620" s="3"/>
      <c r="AP620" s="3"/>
      <c r="AQ620" s="274"/>
      <c r="AR620" s="1"/>
      <c r="AS620" s="273"/>
      <c r="AT620" s="3"/>
      <c r="AU620" s="3"/>
      <c r="AV620" s="274"/>
      <c r="AW620" s="1"/>
      <c r="AX620" s="273"/>
      <c r="AY620" s="3"/>
      <c r="AZ620" s="3"/>
      <c r="BA620" s="274"/>
      <c r="BB620" s="1"/>
      <c r="BC620" s="273"/>
      <c r="BD620" s="3"/>
      <c r="BE620" s="3"/>
      <c r="BF620" s="274"/>
      <c r="BG620" s="1"/>
      <c r="BH620" s="273"/>
      <c r="BI620" s="3"/>
      <c r="BJ620" s="3"/>
      <c r="BK620" s="274"/>
      <c r="BL620" s="1"/>
      <c r="BM620" s="273"/>
      <c r="BN620" s="3"/>
      <c r="BO620" s="3"/>
      <c r="BP620" s="274"/>
      <c r="BQ620" s="1"/>
      <c r="BR620" s="40"/>
      <c r="BS620" s="40"/>
      <c r="BT620" s="40"/>
      <c r="BU620" s="232"/>
      <c r="BV620" s="40"/>
      <c r="BW620" s="40"/>
      <c r="BX620" s="40"/>
      <c r="BY620" s="40"/>
      <c r="BZ620" s="40"/>
      <c r="CA620" s="40"/>
      <c r="CB620" s="40"/>
      <c r="CC620" s="40"/>
      <c r="CD620" s="40"/>
      <c r="CE620" s="40"/>
      <c r="CF620" s="40"/>
      <c r="CG620" s="40"/>
      <c r="CH620" s="40"/>
      <c r="CI620" s="40"/>
      <c r="CJ620" s="40"/>
      <c r="CK620" s="40"/>
      <c r="CL620" s="40"/>
      <c r="CM620" s="40"/>
      <c r="CN620" s="40"/>
      <c r="CO620" s="40"/>
      <c r="CP620" s="40"/>
      <c r="CQ620" s="40"/>
      <c r="CR620" s="40"/>
      <c r="CS620" s="40"/>
      <c r="CT620" s="823"/>
      <c r="CU620" s="232"/>
      <c r="CV620" s="232"/>
      <c r="CW620" s="232"/>
      <c r="CX620" s="232"/>
      <c r="CY620" s="232"/>
      <c r="CZ620" s="40"/>
      <c r="DA620" s="40"/>
      <c r="DB620" s="40"/>
      <c r="DC620" s="40"/>
      <c r="DD620" s="40"/>
      <c r="DE620" s="40"/>
      <c r="DF620" s="232"/>
      <c r="DG620" s="232"/>
      <c r="DH620" s="232"/>
      <c r="DI620" s="232"/>
      <c r="DJ620" s="232"/>
      <c r="DK620" s="232"/>
      <c r="DL620" s="232"/>
      <c r="DM620" s="232"/>
      <c r="DN620" s="232"/>
    </row>
    <row r="621" spans="1:118">
      <c r="A621" s="40"/>
      <c r="B621" s="1"/>
      <c r="C621" s="32" t="s">
        <v>196</v>
      </c>
      <c r="D621" s="32"/>
      <c r="E621" s="292"/>
      <c r="F621" s="261"/>
      <c r="G621" s="261"/>
      <c r="H621" s="293"/>
      <c r="I621" s="884">
        <f>572+278</f>
        <v>850</v>
      </c>
      <c r="J621" s="292"/>
      <c r="K621" s="261"/>
      <c r="L621" s="261"/>
      <c r="M621" s="293"/>
      <c r="N621" s="228" t="s">
        <v>407</v>
      </c>
      <c r="O621" s="292"/>
      <c r="P621" s="261"/>
      <c r="Q621" s="261"/>
      <c r="R621" s="293"/>
      <c r="S621" s="228"/>
      <c r="T621" s="292"/>
      <c r="U621" s="261"/>
      <c r="V621" s="261"/>
      <c r="W621" s="293"/>
      <c r="X621" s="228"/>
      <c r="Y621" s="292">
        <f>+I621</f>
        <v>850</v>
      </c>
      <c r="Z621" s="261">
        <f>+Y621</f>
        <v>850</v>
      </c>
      <c r="AA621" s="261">
        <f>+Z621</f>
        <v>850</v>
      </c>
      <c r="AB621" s="293">
        <f>+AA621</f>
        <v>850</v>
      </c>
      <c r="AC621" s="228">
        <f>AB621</f>
        <v>850</v>
      </c>
      <c r="AD621" s="292">
        <f t="shared" ref="AD621:BL621" si="888">AC621</f>
        <v>850</v>
      </c>
      <c r="AE621" s="261">
        <f>+AD621</f>
        <v>850</v>
      </c>
      <c r="AF621" s="261">
        <f t="shared" si="888"/>
        <v>850</v>
      </c>
      <c r="AG621" s="1962">
        <f>AF621-278</f>
        <v>572</v>
      </c>
      <c r="AH621" s="228">
        <f t="shared" si="888"/>
        <v>572</v>
      </c>
      <c r="AI621" s="292">
        <f t="shared" si="888"/>
        <v>572</v>
      </c>
      <c r="AJ621" s="261">
        <f t="shared" si="888"/>
        <v>572</v>
      </c>
      <c r="AK621" s="261">
        <f t="shared" si="888"/>
        <v>572</v>
      </c>
      <c r="AL621" s="293">
        <f t="shared" si="888"/>
        <v>572</v>
      </c>
      <c r="AM621" s="228">
        <f t="shared" si="888"/>
        <v>572</v>
      </c>
      <c r="AN621" s="292">
        <f t="shared" si="888"/>
        <v>572</v>
      </c>
      <c r="AO621" s="261">
        <f t="shared" si="888"/>
        <v>572</v>
      </c>
      <c r="AP621" s="261">
        <f t="shared" si="888"/>
        <v>572</v>
      </c>
      <c r="AQ621" s="293">
        <f t="shared" si="888"/>
        <v>572</v>
      </c>
      <c r="AR621" s="228">
        <f t="shared" si="888"/>
        <v>572</v>
      </c>
      <c r="AS621" s="292">
        <f t="shared" si="888"/>
        <v>572</v>
      </c>
      <c r="AT621" s="261">
        <f t="shared" si="888"/>
        <v>572</v>
      </c>
      <c r="AU621" s="261">
        <f t="shared" ref="AU621" si="889">AT621</f>
        <v>572</v>
      </c>
      <c r="AV621" s="293">
        <f t="shared" si="888"/>
        <v>572</v>
      </c>
      <c r="AW621" s="228">
        <f t="shared" si="888"/>
        <v>572</v>
      </c>
      <c r="AX621" s="292">
        <f t="shared" si="888"/>
        <v>572</v>
      </c>
      <c r="AY621" s="261">
        <f t="shared" si="888"/>
        <v>572</v>
      </c>
      <c r="AZ621" s="261">
        <f t="shared" si="888"/>
        <v>572</v>
      </c>
      <c r="BA621" s="293">
        <f t="shared" si="888"/>
        <v>572</v>
      </c>
      <c r="BB621" s="228">
        <f t="shared" si="888"/>
        <v>572</v>
      </c>
      <c r="BC621" s="292">
        <f t="shared" si="888"/>
        <v>572</v>
      </c>
      <c r="BD621" s="261">
        <f t="shared" si="888"/>
        <v>572</v>
      </c>
      <c r="BE621" s="261">
        <f t="shared" si="888"/>
        <v>572</v>
      </c>
      <c r="BF621" s="293">
        <f t="shared" si="888"/>
        <v>572</v>
      </c>
      <c r="BG621" s="228">
        <f>BF621</f>
        <v>572</v>
      </c>
      <c r="BH621" s="292">
        <f>BG621</f>
        <v>572</v>
      </c>
      <c r="BI621" s="261">
        <f t="shared" si="888"/>
        <v>572</v>
      </c>
      <c r="BJ621" s="261">
        <f t="shared" si="888"/>
        <v>572</v>
      </c>
      <c r="BK621" s="293">
        <f t="shared" si="888"/>
        <v>572</v>
      </c>
      <c r="BL621" s="228">
        <f t="shared" si="888"/>
        <v>572</v>
      </c>
      <c r="BM621" s="292">
        <f t="shared" ref="BM621" si="890">BL621</f>
        <v>572</v>
      </c>
      <c r="BN621" s="261">
        <f t="shared" ref="BN621" si="891">BM621</f>
        <v>572</v>
      </c>
      <c r="BO621" s="261">
        <f t="shared" ref="BO621" si="892">BN621</f>
        <v>572</v>
      </c>
      <c r="BP621" s="293">
        <f t="shared" ref="BP621" si="893">BO621</f>
        <v>572</v>
      </c>
      <c r="BQ621" s="228">
        <f t="shared" ref="BQ621" si="894">BP621</f>
        <v>572</v>
      </c>
      <c r="BR621" s="40"/>
      <c r="BS621" s="40"/>
      <c r="BT621" s="40"/>
      <c r="BU621" s="232"/>
      <c r="BV621" s="40"/>
      <c r="BW621" s="40"/>
      <c r="BX621" s="40"/>
      <c r="BY621" s="40"/>
      <c r="BZ621" s="40"/>
      <c r="CA621" s="40"/>
      <c r="CB621" s="40"/>
      <c r="CC621" s="40"/>
      <c r="CD621" s="40"/>
      <c r="CE621" s="40"/>
      <c r="CF621" s="40"/>
      <c r="CG621" s="40"/>
      <c r="CH621" s="40"/>
      <c r="CI621" s="40"/>
      <c r="CJ621" s="40"/>
      <c r="CK621" s="40"/>
      <c r="CL621" s="40"/>
      <c r="CM621" s="40"/>
      <c r="CN621" s="40"/>
      <c r="CO621" s="40"/>
      <c r="CP621" s="40"/>
      <c r="CQ621" s="40"/>
      <c r="CR621" s="40"/>
      <c r="CS621" s="40"/>
      <c r="CT621" s="823"/>
      <c r="CU621" s="232"/>
      <c r="CV621" s="232"/>
      <c r="CW621" s="232"/>
      <c r="CX621" s="232"/>
      <c r="CY621" s="232"/>
      <c r="CZ621" s="40"/>
      <c r="DA621" s="40"/>
      <c r="DB621" s="40"/>
      <c r="DC621" s="40"/>
      <c r="DD621" s="40"/>
      <c r="DE621" s="40"/>
      <c r="DF621" s="232"/>
      <c r="DG621" s="232"/>
      <c r="DH621" s="232"/>
      <c r="DI621" s="232"/>
      <c r="DJ621" s="232"/>
      <c r="DK621" s="232"/>
      <c r="DL621" s="232"/>
      <c r="DM621" s="232"/>
      <c r="DN621" s="232"/>
    </row>
    <row r="622" spans="1:118">
      <c r="A622" s="40"/>
      <c r="B622" s="1"/>
      <c r="C622" s="1"/>
      <c r="D622" s="1"/>
      <c r="E622" s="273"/>
      <c r="F622" s="3"/>
      <c r="G622" s="3"/>
      <c r="H622" s="274"/>
      <c r="I622" s="28"/>
      <c r="J622" s="273"/>
      <c r="K622" s="3"/>
      <c r="L622" s="3"/>
      <c r="M622" s="274"/>
      <c r="N622" s="1"/>
      <c r="O622" s="273"/>
      <c r="P622" s="3"/>
      <c r="Q622" s="3"/>
      <c r="R622" s="274"/>
      <c r="S622" s="1"/>
      <c r="T622" s="273"/>
      <c r="U622" s="3"/>
      <c r="V622" s="3"/>
      <c r="W622" s="274"/>
      <c r="X622" s="1"/>
      <c r="Y622" s="273"/>
      <c r="Z622" s="3"/>
      <c r="AA622" s="3"/>
      <c r="AB622" s="274"/>
      <c r="AC622" s="1"/>
      <c r="AD622" s="273"/>
      <c r="AE622" s="3"/>
      <c r="AF622" s="3"/>
      <c r="AG622" s="274"/>
      <c r="AH622" s="1"/>
      <c r="AI622" s="273"/>
      <c r="AJ622" s="3"/>
      <c r="AK622" s="3"/>
      <c r="AL622" s="274"/>
      <c r="AM622" s="1"/>
      <c r="AN622" s="273"/>
      <c r="AO622" s="3"/>
      <c r="AP622" s="3"/>
      <c r="AQ622" s="274"/>
      <c r="AR622" s="1"/>
      <c r="AS622" s="273"/>
      <c r="AT622" s="3"/>
      <c r="AU622" s="3"/>
      <c r="AV622" s="274"/>
      <c r="AW622" s="1"/>
      <c r="AX622" s="273"/>
      <c r="AY622" s="3"/>
      <c r="AZ622" s="3"/>
      <c r="BA622" s="274"/>
      <c r="BB622" s="1"/>
      <c r="BC622" s="273"/>
      <c r="BD622" s="3"/>
      <c r="BE622" s="3"/>
      <c r="BF622" s="274"/>
      <c r="BG622" s="1"/>
      <c r="BH622" s="273"/>
      <c r="BI622" s="3"/>
      <c r="BJ622" s="3"/>
      <c r="BK622" s="274"/>
      <c r="BL622" s="1"/>
      <c r="BM622" s="273"/>
      <c r="BN622" s="3"/>
      <c r="BO622" s="3"/>
      <c r="BP622" s="274"/>
      <c r="BQ622" s="1"/>
      <c r="BR622" s="40"/>
      <c r="BS622" s="40"/>
      <c r="BT622" s="40"/>
      <c r="BU622" s="232"/>
      <c r="BV622" s="40"/>
      <c r="BW622" s="40"/>
      <c r="BX622" s="40"/>
      <c r="BY622" s="40"/>
      <c r="BZ622" s="40"/>
      <c r="CA622" s="40"/>
      <c r="CB622" s="40"/>
      <c r="CC622" s="40"/>
      <c r="CD622" s="40"/>
      <c r="CE622" s="40"/>
      <c r="CF622" s="40"/>
      <c r="CG622" s="40"/>
      <c r="CH622" s="40"/>
      <c r="CI622" s="40"/>
      <c r="CJ622" s="40"/>
      <c r="CK622" s="40"/>
      <c r="CL622" s="40"/>
      <c r="CM622" s="40"/>
      <c r="CN622" s="40"/>
      <c r="CO622" s="40"/>
      <c r="CP622" s="40"/>
      <c r="CQ622" s="40"/>
      <c r="CR622" s="40"/>
      <c r="CS622" s="40"/>
      <c r="CT622" s="823"/>
      <c r="CU622" s="232"/>
      <c r="CV622" s="232"/>
      <c r="CW622" s="232"/>
      <c r="CX622" s="232"/>
      <c r="CY622" s="232"/>
      <c r="CZ622" s="40"/>
      <c r="DA622" s="40"/>
      <c r="DB622" s="40"/>
      <c r="DC622" s="40"/>
      <c r="DD622" s="40"/>
      <c r="DE622" s="40"/>
      <c r="DF622" s="232"/>
      <c r="DG622" s="232"/>
      <c r="DH622" s="232"/>
      <c r="DI622" s="232"/>
      <c r="DJ622" s="232"/>
      <c r="DK622" s="232"/>
      <c r="DL622" s="232"/>
      <c r="DM622" s="232"/>
      <c r="DN622" s="232"/>
    </row>
    <row r="623" spans="1:118">
      <c r="A623" s="40"/>
      <c r="B623" s="1"/>
      <c r="C623" s="28" t="s">
        <v>197</v>
      </c>
      <c r="D623" s="1"/>
      <c r="E623" s="273"/>
      <c r="F623" s="3"/>
      <c r="G623" s="3"/>
      <c r="H623" s="274"/>
      <c r="I623" s="544">
        <v>0.3</v>
      </c>
      <c r="J623" s="273"/>
      <c r="K623" s="3"/>
      <c r="L623" s="3"/>
      <c r="M623" s="274"/>
      <c r="N623" s="1"/>
      <c r="O623" s="273"/>
      <c r="P623" s="3"/>
      <c r="Q623" s="3"/>
      <c r="R623" s="274"/>
      <c r="S623" s="1"/>
      <c r="T623" s="277"/>
      <c r="U623" s="253"/>
      <c r="V623" s="253"/>
      <c r="W623" s="278"/>
      <c r="X623" s="765"/>
      <c r="Y623" s="277">
        <f>+I623</f>
        <v>0.3</v>
      </c>
      <c r="Z623" s="253">
        <f>+Y623</f>
        <v>0.3</v>
      </c>
      <c r="AA623" s="253">
        <f>+Z623</f>
        <v>0.3</v>
      </c>
      <c r="AB623" s="278">
        <f>+AA623</f>
        <v>0.3</v>
      </c>
      <c r="AC623" s="765">
        <f>IF(AVERAGE(Y621:AB621)=0,0,AC624/(AVERAGE(Y621:AB621)*8.76))</f>
        <v>0.3</v>
      </c>
      <c r="AD623" s="277">
        <f>+AB623</f>
        <v>0.3</v>
      </c>
      <c r="AE623" s="253">
        <f>+AD623</f>
        <v>0.3</v>
      </c>
      <c r="AF623" s="253">
        <f>+AA623</f>
        <v>0.3</v>
      </c>
      <c r="AG623" s="278">
        <f>+AB623</f>
        <v>0.3</v>
      </c>
      <c r="AH623" s="765">
        <f>IF(AVERAGE(AD621:AG621)=0,0,AH624/(AVERAGE(AD621:AG621)*8.76))</f>
        <v>0.30000000000000004</v>
      </c>
      <c r="AI623" s="277">
        <f>+AG623</f>
        <v>0.3</v>
      </c>
      <c r="AJ623" s="253">
        <f>+AE623</f>
        <v>0.3</v>
      </c>
      <c r="AK623" s="253">
        <f>+AF623</f>
        <v>0.3</v>
      </c>
      <c r="AL623" s="278">
        <f>+AG623</f>
        <v>0.3</v>
      </c>
      <c r="AM623" s="765">
        <f>IF(AVERAGE(AI621:AL621)=0,0,AM624/(AVERAGE(AI621:AL621)*8.76))</f>
        <v>0.3</v>
      </c>
      <c r="AN623" s="277">
        <f>+AL623</f>
        <v>0.3</v>
      </c>
      <c r="AO623" s="253">
        <f>+AJ623</f>
        <v>0.3</v>
      </c>
      <c r="AP623" s="253">
        <f>+AK623</f>
        <v>0.3</v>
      </c>
      <c r="AQ623" s="278">
        <f>+AL623</f>
        <v>0.3</v>
      </c>
      <c r="AR623" s="765">
        <f>IF(AVERAGE(AN621:AQ621)=0,0,AR624/(AVERAGE(AN621:AQ621)*8.76))</f>
        <v>0.3</v>
      </c>
      <c r="AS623" s="277">
        <f>+AQ623</f>
        <v>0.3</v>
      </c>
      <c r="AT623" s="253">
        <f>+AO623</f>
        <v>0.3</v>
      </c>
      <c r="AU623" s="253">
        <f t="shared" ref="AU623" si="895">+AP623</f>
        <v>0.3</v>
      </c>
      <c r="AV623" s="278">
        <f>+AQ623</f>
        <v>0.3</v>
      </c>
      <c r="AW623" s="765">
        <f>IF(AVERAGE(AS621:AV621)=0,0,AW624/(AVERAGE(AS621:AV621)*8.76))</f>
        <v>0.3</v>
      </c>
      <c r="AX623" s="277">
        <f>+AV623</f>
        <v>0.3</v>
      </c>
      <c r="AY623" s="253">
        <f>+AT623</f>
        <v>0.3</v>
      </c>
      <c r="AZ623" s="253">
        <f>+AU623</f>
        <v>0.3</v>
      </c>
      <c r="BA623" s="278">
        <f>+AV623</f>
        <v>0.3</v>
      </c>
      <c r="BB623" s="765">
        <f>IF(AVERAGE(AX621:BA621)=0,0,BB624/(AVERAGE(AX621:BA621)*8.76))</f>
        <v>0.3</v>
      </c>
      <c r="BC623" s="277">
        <f>+BA623</f>
        <v>0.3</v>
      </c>
      <c r="BD623" s="253">
        <f>+AY623</f>
        <v>0.3</v>
      </c>
      <c r="BE623" s="253">
        <f>+AZ623</f>
        <v>0.3</v>
      </c>
      <c r="BF623" s="278">
        <f>+BA623</f>
        <v>0.3</v>
      </c>
      <c r="BG623" s="765">
        <f>IF(AVERAGE(BC621:BF621)=0,0,BG624/(AVERAGE(BC621:BF621)*8.76))</f>
        <v>0.3</v>
      </c>
      <c r="BH623" s="277">
        <f>+BF623</f>
        <v>0.3</v>
      </c>
      <c r="BI623" s="253">
        <f>+BD623</f>
        <v>0.3</v>
      </c>
      <c r="BJ623" s="253">
        <f>+BE623</f>
        <v>0.3</v>
      </c>
      <c r="BK623" s="278">
        <f>+BF623</f>
        <v>0.3</v>
      </c>
      <c r="BL623" s="765">
        <f>IF(AVERAGE(BH621:BK621)=0,0,BL624/(AVERAGE(BH621:BK621)*8.76))</f>
        <v>0.3</v>
      </c>
      <c r="BM623" s="277">
        <f>+BK623</f>
        <v>0.3</v>
      </c>
      <c r="BN623" s="253">
        <f>+BI623</f>
        <v>0.3</v>
      </c>
      <c r="BO623" s="253">
        <f>+BJ623</f>
        <v>0.3</v>
      </c>
      <c r="BP623" s="278">
        <f>+BK623</f>
        <v>0.3</v>
      </c>
      <c r="BQ623" s="765">
        <f>IF(AVERAGE(BM621:BP621)=0,0,BQ624/(AVERAGE(BM621:BP621)*8.76))</f>
        <v>0.3</v>
      </c>
      <c r="BR623" s="40"/>
      <c r="BS623" s="40"/>
      <c r="BT623" s="40"/>
      <c r="BU623" s="232"/>
      <c r="BV623" s="40"/>
      <c r="BW623" s="40"/>
      <c r="BX623" s="40"/>
      <c r="BY623" s="40"/>
      <c r="BZ623" s="40"/>
      <c r="CA623" s="40"/>
      <c r="CB623" s="40"/>
      <c r="CC623" s="40"/>
      <c r="CD623" s="40"/>
      <c r="CE623" s="40"/>
      <c r="CF623" s="40"/>
      <c r="CG623" s="40"/>
      <c r="CH623" s="40"/>
      <c r="CI623" s="40"/>
      <c r="CJ623" s="40"/>
      <c r="CK623" s="40"/>
      <c r="CL623" s="40"/>
      <c r="CM623" s="40"/>
      <c r="CN623" s="40"/>
      <c r="CO623" s="40"/>
      <c r="CP623" s="40"/>
      <c r="CQ623" s="40"/>
      <c r="CR623" s="40"/>
      <c r="CS623" s="40"/>
      <c r="CT623" s="823"/>
      <c r="CU623" s="232"/>
      <c r="CV623" s="232"/>
      <c r="CW623" s="232"/>
      <c r="CX623" s="232"/>
      <c r="CY623" s="232"/>
      <c r="CZ623" s="40"/>
      <c r="DA623" s="40"/>
      <c r="DB623" s="40"/>
      <c r="DC623" s="40"/>
      <c r="DD623" s="40"/>
      <c r="DE623" s="40"/>
      <c r="DF623" s="232"/>
      <c r="DG623" s="232"/>
      <c r="DH623" s="232"/>
      <c r="DI623" s="232"/>
      <c r="DJ623" s="232"/>
      <c r="DK623" s="232"/>
      <c r="DL623" s="232"/>
      <c r="DM623" s="232"/>
      <c r="DN623" s="232"/>
    </row>
    <row r="624" spans="1:118">
      <c r="A624" s="40"/>
      <c r="B624" s="1"/>
      <c r="C624" s="32" t="s">
        <v>198</v>
      </c>
      <c r="D624" s="32"/>
      <c r="E624" s="489"/>
      <c r="F624" s="342"/>
      <c r="G624" s="342"/>
      <c r="H624" s="490"/>
      <c r="I624" s="32"/>
      <c r="J624" s="489"/>
      <c r="K624" s="342"/>
      <c r="L624" s="342"/>
      <c r="M624" s="490"/>
      <c r="N624" s="32"/>
      <c r="O624" s="489"/>
      <c r="P624" s="342"/>
      <c r="Q624" s="342"/>
      <c r="R624" s="490"/>
      <c r="S624" s="32"/>
      <c r="T624" s="301"/>
      <c r="U624" s="265"/>
      <c r="V624" s="265"/>
      <c r="W624" s="302"/>
      <c r="X624" s="445"/>
      <c r="Y624" s="301">
        <f>(Y621*Y623*(8760/1000))/4</f>
        <v>558.44999999999993</v>
      </c>
      <c r="Z624" s="265">
        <f>(Z621*Z623*(8760/1000))/4</f>
        <v>558.44999999999993</v>
      </c>
      <c r="AA624" s="265">
        <f>(AA621*AA623*(8760/1000))/4</f>
        <v>558.44999999999993</v>
      </c>
      <c r="AB624" s="302">
        <f>(AB621*AB623*(8760/1000))/4</f>
        <v>558.44999999999993</v>
      </c>
      <c r="AC624" s="445">
        <f>SUM(Y624:AB624)</f>
        <v>2233.7999999999997</v>
      </c>
      <c r="AD624" s="301">
        <f>(AD621*AD623*(8760/1000))/4</f>
        <v>558.44999999999993</v>
      </c>
      <c r="AE624" s="265">
        <f>(AE621*AE623*(8760/1000))/4</f>
        <v>558.44999999999993</v>
      </c>
      <c r="AF624" s="265">
        <f>(AF621*AF623*(8760/1000))/4</f>
        <v>558.44999999999993</v>
      </c>
      <c r="AG624" s="302">
        <f>(AG621*AG623*(8760/1000))/4</f>
        <v>375.80399999999997</v>
      </c>
      <c r="AH624" s="445">
        <f>SUM(AD624:AG624)</f>
        <v>2051.154</v>
      </c>
      <c r="AI624" s="301">
        <f>(AI621*AI623*(8760/1000))/4</f>
        <v>375.80399999999997</v>
      </c>
      <c r="AJ624" s="265">
        <f>(AJ621*AJ623*(8760/1000))/4</f>
        <v>375.80399999999997</v>
      </c>
      <c r="AK624" s="265">
        <f>(AK621*AK623*(8760/1000))/4</f>
        <v>375.80399999999997</v>
      </c>
      <c r="AL624" s="302">
        <f>(AL621*AL623*(8760/1000))/4</f>
        <v>375.80399999999997</v>
      </c>
      <c r="AM624" s="445">
        <f>SUM(AI624:AL624)</f>
        <v>1503.2159999999999</v>
      </c>
      <c r="AN624" s="301">
        <f>(AN621*AN623*(8760/1000))/4</f>
        <v>375.80399999999997</v>
      </c>
      <c r="AO624" s="265">
        <f>(AO621*AO623*(8760/1000))/4</f>
        <v>375.80399999999997</v>
      </c>
      <c r="AP624" s="265">
        <f>(AP621*AP623*(8760/1000))/4</f>
        <v>375.80399999999997</v>
      </c>
      <c r="AQ624" s="302">
        <f>(AQ621*AQ623*(8760/1000))/4</f>
        <v>375.80399999999997</v>
      </c>
      <c r="AR624" s="445">
        <f>SUM(AN624:AQ624)</f>
        <v>1503.2159999999999</v>
      </c>
      <c r="AS624" s="301">
        <f>(AS621*AS623*(8760/1000))/4</f>
        <v>375.80399999999997</v>
      </c>
      <c r="AT624" s="265">
        <f>(AT621*AT623*(8760/1000))/4</f>
        <v>375.80399999999997</v>
      </c>
      <c r="AU624" s="265">
        <f t="shared" ref="AU624" si="896">(AU621*AU623*(8760/1000))/4</f>
        <v>375.80399999999997</v>
      </c>
      <c r="AV624" s="302">
        <f>(AV621*AV623*(8760/1000))/4</f>
        <v>375.80399999999997</v>
      </c>
      <c r="AW624" s="445">
        <f>SUM(AS624:AV624)</f>
        <v>1503.2159999999999</v>
      </c>
      <c r="AX624" s="301">
        <f>(AX621*AX623*(8760/1000))/4</f>
        <v>375.80399999999997</v>
      </c>
      <c r="AY624" s="265">
        <f>(AY621*AY623*(8760/1000))/4</f>
        <v>375.80399999999997</v>
      </c>
      <c r="AZ624" s="265">
        <f>(AZ621*AZ623*(8760/1000))/4</f>
        <v>375.80399999999997</v>
      </c>
      <c r="BA624" s="302">
        <f>(BA621*BA623*(8760/1000))/4</f>
        <v>375.80399999999997</v>
      </c>
      <c r="BB624" s="445">
        <f>SUM(AX624:BA624)</f>
        <v>1503.2159999999999</v>
      </c>
      <c r="BC624" s="301">
        <f>(BC621*BC623*(8760/1000))/4</f>
        <v>375.80399999999997</v>
      </c>
      <c r="BD624" s="265">
        <f>(BD621*BD623*(8760/1000))/4</f>
        <v>375.80399999999997</v>
      </c>
      <c r="BE624" s="265">
        <f>(BE621*BE623*(8760/1000))/4</f>
        <v>375.80399999999997</v>
      </c>
      <c r="BF624" s="302">
        <f>(BF621*BF623*(8760/1000))/4</f>
        <v>375.80399999999997</v>
      </c>
      <c r="BG624" s="445">
        <f>SUM(BC624:BF624)</f>
        <v>1503.2159999999999</v>
      </c>
      <c r="BH624" s="301">
        <f>(BH621*BH623*(8760/1000))/4</f>
        <v>375.80399999999997</v>
      </c>
      <c r="BI624" s="265">
        <f>(BI621*BI623*(8760/1000))/4</f>
        <v>375.80399999999997</v>
      </c>
      <c r="BJ624" s="265">
        <f>(BJ621*BJ623*(8760/1000))/4</f>
        <v>375.80399999999997</v>
      </c>
      <c r="BK624" s="302">
        <f>(BK621*BK623*(8760/1000))/4</f>
        <v>375.80399999999997</v>
      </c>
      <c r="BL624" s="445">
        <f>SUM(BH624:BK624)</f>
        <v>1503.2159999999999</v>
      </c>
      <c r="BM624" s="301">
        <f>(BM621*BM623*(8760/1000))/4</f>
        <v>375.80399999999997</v>
      </c>
      <c r="BN624" s="265">
        <f>(BN621*BN623*(8760/1000))/4</f>
        <v>375.80399999999997</v>
      </c>
      <c r="BO624" s="265">
        <f>(BO621*BO623*(8760/1000))/4</f>
        <v>375.80399999999997</v>
      </c>
      <c r="BP624" s="302">
        <f>(BP621*BP623*(8760/1000))/4</f>
        <v>375.80399999999997</v>
      </c>
      <c r="BQ624" s="445">
        <f>SUM(BM624:BP624)</f>
        <v>1503.2159999999999</v>
      </c>
      <c r="BR624" s="40"/>
      <c r="BS624" s="40"/>
      <c r="BT624" s="40"/>
      <c r="BU624" s="232"/>
      <c r="BV624" s="40"/>
      <c r="BW624" s="40"/>
      <c r="BX624" s="40"/>
      <c r="BY624" s="40"/>
      <c r="BZ624" s="40"/>
      <c r="CA624" s="40"/>
      <c r="CB624" s="40"/>
      <c r="CC624" s="40"/>
      <c r="CD624" s="40"/>
      <c r="CE624" s="40"/>
      <c r="CF624" s="40"/>
      <c r="CG624" s="40"/>
      <c r="CH624" s="40"/>
      <c r="CI624" s="40"/>
      <c r="CJ624" s="40"/>
      <c r="CK624" s="40"/>
      <c r="CL624" s="40"/>
      <c r="CM624" s="40"/>
      <c r="CN624" s="40"/>
      <c r="CO624" s="40"/>
      <c r="CP624" s="40"/>
      <c r="CQ624" s="40"/>
      <c r="CR624" s="40"/>
      <c r="CS624" s="40"/>
      <c r="CT624" s="823"/>
      <c r="CU624" s="232"/>
      <c r="CV624" s="232"/>
      <c r="CW624" s="232"/>
      <c r="CX624" s="232"/>
      <c r="CY624" s="232"/>
      <c r="CZ624" s="40"/>
      <c r="DA624" s="40"/>
      <c r="DB624" s="40"/>
      <c r="DC624" s="40"/>
      <c r="DD624" s="40"/>
      <c r="DE624" s="40"/>
      <c r="DF624" s="232"/>
      <c r="DG624" s="232"/>
      <c r="DH624" s="232"/>
      <c r="DI624" s="232"/>
      <c r="DJ624" s="232"/>
      <c r="DK624" s="232"/>
      <c r="DL624" s="232"/>
      <c r="DM624" s="232"/>
      <c r="DN624" s="232"/>
    </row>
    <row r="625" spans="1:118">
      <c r="A625" s="40"/>
      <c r="B625" s="1"/>
      <c r="C625" s="1"/>
      <c r="D625" s="1"/>
      <c r="E625" s="273"/>
      <c r="F625" s="3"/>
      <c r="G625" s="3"/>
      <c r="H625" s="274"/>
      <c r="I625" s="28"/>
      <c r="J625" s="273"/>
      <c r="K625" s="3"/>
      <c r="L625" s="3"/>
      <c r="M625" s="274"/>
      <c r="N625" s="1"/>
      <c r="O625" s="273"/>
      <c r="P625" s="3"/>
      <c r="Q625" s="3"/>
      <c r="R625" s="274"/>
      <c r="S625" s="1"/>
      <c r="T625" s="273"/>
      <c r="U625" s="3"/>
      <c r="V625" s="3"/>
      <c r="W625" s="274"/>
      <c r="X625" s="1"/>
      <c r="Y625" s="273"/>
      <c r="Z625" s="3"/>
      <c r="AA625" s="3"/>
      <c r="AB625" s="274"/>
      <c r="AC625" s="1"/>
      <c r="AD625" s="273"/>
      <c r="AE625" s="3"/>
      <c r="AF625" s="3"/>
      <c r="AG625" s="274"/>
      <c r="AH625" s="1"/>
      <c r="AI625" s="273"/>
      <c r="AJ625" s="3"/>
      <c r="AK625" s="3"/>
      <c r="AL625" s="274"/>
      <c r="AM625" s="1"/>
      <c r="AN625" s="273"/>
      <c r="AO625" s="3"/>
      <c r="AP625" s="3"/>
      <c r="AQ625" s="274"/>
      <c r="AR625" s="1"/>
      <c r="AS625" s="273"/>
      <c r="AT625" s="3"/>
      <c r="AU625" s="3"/>
      <c r="AV625" s="274"/>
      <c r="AW625" s="1"/>
      <c r="AX625" s="273"/>
      <c r="AY625" s="3"/>
      <c r="AZ625" s="3"/>
      <c r="BA625" s="274"/>
      <c r="BB625" s="1"/>
      <c r="BC625" s="273"/>
      <c r="BD625" s="3"/>
      <c r="BE625" s="3"/>
      <c r="BF625" s="274"/>
      <c r="BG625" s="1"/>
      <c r="BH625" s="273"/>
      <c r="BI625" s="3"/>
      <c r="BJ625" s="3"/>
      <c r="BK625" s="274"/>
      <c r="BL625" s="1"/>
      <c r="BM625" s="273"/>
      <c r="BN625" s="3"/>
      <c r="BO625" s="3"/>
      <c r="BP625" s="274"/>
      <c r="BQ625" s="1"/>
      <c r="BR625" s="40"/>
      <c r="BS625" s="40"/>
      <c r="BT625" s="40"/>
      <c r="BU625" s="232"/>
      <c r="BV625" s="40"/>
      <c r="BW625" s="40"/>
      <c r="BX625" s="40"/>
      <c r="BY625" s="40"/>
      <c r="BZ625" s="40"/>
      <c r="CA625" s="40"/>
      <c r="CB625" s="40"/>
      <c r="CC625" s="40"/>
      <c r="CD625" s="40"/>
      <c r="CE625" s="40"/>
      <c r="CF625" s="40"/>
      <c r="CG625" s="40"/>
      <c r="CH625" s="40"/>
      <c r="CI625" s="40"/>
      <c r="CJ625" s="40"/>
      <c r="CK625" s="40"/>
      <c r="CL625" s="40"/>
      <c r="CM625" s="40"/>
      <c r="CN625" s="40"/>
      <c r="CO625" s="40"/>
      <c r="CP625" s="40"/>
      <c r="CQ625" s="40"/>
      <c r="CR625" s="40"/>
      <c r="CS625" s="40"/>
      <c r="CT625" s="823"/>
      <c r="CU625" s="232"/>
      <c r="CV625" s="232"/>
      <c r="CW625" s="232"/>
      <c r="CX625" s="232"/>
      <c r="CY625" s="232"/>
      <c r="CZ625" s="40"/>
      <c r="DA625" s="40"/>
      <c r="DB625" s="40"/>
      <c r="DC625" s="40"/>
      <c r="DD625" s="40"/>
      <c r="DE625" s="40"/>
      <c r="DF625" s="232"/>
      <c r="DG625" s="232"/>
      <c r="DH625" s="232"/>
      <c r="DI625" s="232"/>
      <c r="DJ625" s="232"/>
      <c r="DK625" s="232"/>
      <c r="DL625" s="232"/>
      <c r="DM625" s="232"/>
      <c r="DN625" s="232"/>
    </row>
    <row r="626" spans="1:118">
      <c r="A626" s="40"/>
      <c r="B626" s="1"/>
      <c r="C626" s="28" t="s">
        <v>797</v>
      </c>
      <c r="D626" s="1"/>
      <c r="E626" s="273"/>
      <c r="F626" s="3"/>
      <c r="G626" s="3"/>
      <c r="H626" s="274"/>
      <c r="I626" s="28"/>
      <c r="J626" s="273"/>
      <c r="K626" s="3"/>
      <c r="L626" s="3"/>
      <c r="M626" s="274"/>
      <c r="N626" s="1"/>
      <c r="O626" s="273"/>
      <c r="P626" s="3"/>
      <c r="Q626" s="3"/>
      <c r="R626" s="274"/>
      <c r="S626" s="1"/>
      <c r="T626" s="290"/>
      <c r="U626" s="260"/>
      <c r="V626" s="260"/>
      <c r="W626" s="291"/>
      <c r="X626" s="45"/>
      <c r="Y626" s="290">
        <f>(Y618/1000*Y624)</f>
        <v>23.453680268745533</v>
      </c>
      <c r="Z626" s="260">
        <f>(Z618/1000*Z624)</f>
        <v>25.426398445497053</v>
      </c>
      <c r="AA626" s="260">
        <f>(AA618/1000*AA624)</f>
        <v>26.88180843205372</v>
      </c>
      <c r="AB626" s="291">
        <f>(AB618/1000*AB624)</f>
        <v>22.446052658085939</v>
      </c>
      <c r="AC626" s="45">
        <f>SUM(Y626:AB626)</f>
        <v>98.207939804382249</v>
      </c>
      <c r="AD626" s="290">
        <f>(AD618/1000*AD624)</f>
        <v>63.427962305718737</v>
      </c>
      <c r="AE626" s="260">
        <f>(AE618/1000*AE624)</f>
        <v>23.114082955056155</v>
      </c>
      <c r="AF626" s="260">
        <f>(AF618/1000*AF624)</f>
        <v>23.114082955056155</v>
      </c>
      <c r="AG626" s="291">
        <f>(AG618/1000*AG624)</f>
        <v>15.171648242308587</v>
      </c>
      <c r="AH626" s="45">
        <f>SUM(AD626:AG626)</f>
        <v>124.82777645813964</v>
      </c>
      <c r="AI626" s="290">
        <f>(AI618/1000*AI624)</f>
        <v>21.370762082516791</v>
      </c>
      <c r="AJ626" s="260">
        <f>(AJ618/1000*AJ624)</f>
        <v>14.711698331994725</v>
      </c>
      <c r="AK626" s="260">
        <f>(AK618/1000*AK624)</f>
        <v>14.831041652657994</v>
      </c>
      <c r="AL626" s="291">
        <f>(AL618/1000*AL624)</f>
        <v>11.986335641196209</v>
      </c>
      <c r="AM626" s="45">
        <f>SUM(AI626:AL626)</f>
        <v>62.899837708365723</v>
      </c>
      <c r="AN626" s="290">
        <f>(AN618/1000*AN624)</f>
        <v>11.312883672475426</v>
      </c>
      <c r="AO626" s="260">
        <f>(AO618/1000*AO624)</f>
        <v>12.28946962973864</v>
      </c>
      <c r="AP626" s="260">
        <f>(AP618/1000*AP624)</f>
        <v>14.632598555580584</v>
      </c>
      <c r="AQ626" s="291">
        <f>(AQ618/1000*AQ624)</f>
        <v>12.502922450283574</v>
      </c>
      <c r="AR626" s="45">
        <f>SUM(AN626:AQ626)</f>
        <v>50.737874308078219</v>
      </c>
      <c r="AS626" s="290">
        <f>(AS618/1000*AS624)</f>
        <v>12.079870886001448</v>
      </c>
      <c r="AT626" s="260">
        <f>(AT618/1000*AT624)</f>
        <v>12.327616035336161</v>
      </c>
      <c r="AU626" s="260">
        <f t="shared" ref="AU626" si="897">(AU618/1000*AU624)</f>
        <v>13.337666541520752</v>
      </c>
      <c r="AV626" s="291">
        <f>(AV618/1000*AV624)</f>
        <v>18.094854824257144</v>
      </c>
      <c r="AW626" s="45">
        <f>SUM(AS626:AV626)</f>
        <v>55.840008287115509</v>
      </c>
      <c r="AX626" s="290">
        <f>(AX618/1000*AX624)</f>
        <v>18.094854824257144</v>
      </c>
      <c r="AY626" s="260">
        <f>(AY618/1000*AY624)</f>
        <v>12.965237999999999</v>
      </c>
      <c r="AZ626" s="260">
        <f>(AZ618/1000*AZ624)</f>
        <v>13.867167599999997</v>
      </c>
      <c r="BA626" s="291">
        <f>(BA618/1000*BA624)</f>
        <v>13.034135399999998</v>
      </c>
      <c r="BB626" s="45">
        <f>SUM(AX626:BA626)</f>
        <v>57.961395824257139</v>
      </c>
      <c r="BC626" s="290">
        <f>(BC618/1000*BC624)</f>
        <v>15.220563028967218</v>
      </c>
      <c r="BD626" s="260">
        <f>(BD618/1000*BD624)</f>
        <v>11.153296754004742</v>
      </c>
      <c r="BE626" s="260">
        <f>(BE618/1000*BE624)</f>
        <v>12.063534815540249</v>
      </c>
      <c r="BF626" s="291">
        <f>(BF618/1000*BF624)</f>
        <v>14.657447201437691</v>
      </c>
      <c r="BG626" s="45">
        <f>SUM(BC626:BF626)</f>
        <v>53.094841799949904</v>
      </c>
      <c r="BH626" s="290">
        <f>(BH618/1000*BH624)</f>
        <v>15.184652770567089</v>
      </c>
      <c r="BI626" s="260">
        <f>(BI618/1000*BI624)</f>
        <v>11.126982499552566</v>
      </c>
      <c r="BJ626" s="260">
        <f>(BJ618/1000*BJ624)</f>
        <v>12.03507301346233</v>
      </c>
      <c r="BK626" s="291">
        <f>(BK618/1000*BK624)</f>
        <v>14.622865516418019</v>
      </c>
      <c r="BL626" s="45">
        <f>SUM(BH626:BK626)</f>
        <v>52.969573800000006</v>
      </c>
      <c r="BM626" s="290">
        <f>(BM618/1000*BM624)</f>
        <v>13.453783199999997</v>
      </c>
      <c r="BN626" s="260">
        <f>(BN618/1000*BN624)</f>
        <v>13.453783199999997</v>
      </c>
      <c r="BO626" s="260">
        <f>(BO618/1000*BO624)</f>
        <v>13.453783199999997</v>
      </c>
      <c r="BP626" s="291">
        <f>(BP618/1000*BP624)</f>
        <v>13.453783199999997</v>
      </c>
      <c r="BQ626" s="45">
        <f>SUM(BM626:BP626)</f>
        <v>53.815132799999986</v>
      </c>
      <c r="BR626" s="40"/>
      <c r="BS626" s="40"/>
      <c r="BT626" s="40"/>
      <c r="BU626" s="232"/>
      <c r="BV626" s="40"/>
      <c r="BW626" s="40"/>
      <c r="BX626" s="40"/>
      <c r="BY626" s="40"/>
      <c r="BZ626" s="40"/>
      <c r="CA626" s="40"/>
      <c r="CB626" s="40"/>
      <c r="CC626" s="40"/>
      <c r="CD626" s="40"/>
      <c r="CE626" s="40"/>
      <c r="CF626" s="40"/>
      <c r="CG626" s="40"/>
      <c r="CH626" s="40"/>
      <c r="CI626" s="40"/>
      <c r="CJ626" s="40"/>
      <c r="CK626" s="40"/>
      <c r="CL626" s="40"/>
      <c r="CM626" s="40"/>
      <c r="CN626" s="40"/>
      <c r="CO626" s="40"/>
      <c r="CP626" s="40"/>
      <c r="CQ626" s="40"/>
      <c r="CR626" s="40"/>
      <c r="CS626" s="40"/>
      <c r="CT626" s="823"/>
      <c r="CU626" s="232"/>
      <c r="CV626" s="232"/>
      <c r="CW626" s="232"/>
      <c r="CX626" s="232"/>
      <c r="CY626" s="232"/>
      <c r="CZ626" s="40"/>
      <c r="DA626" s="40"/>
      <c r="DB626" s="40"/>
      <c r="DC626" s="40"/>
      <c r="DD626" s="40"/>
      <c r="DE626" s="40"/>
      <c r="DF626" s="232"/>
      <c r="DG626" s="232"/>
      <c r="DH626" s="232"/>
      <c r="DI626" s="232"/>
      <c r="DJ626" s="232"/>
      <c r="DK626" s="232"/>
      <c r="DL626" s="232"/>
      <c r="DM626" s="232"/>
      <c r="DN626" s="232"/>
    </row>
    <row r="627" spans="1:118">
      <c r="A627" s="40"/>
      <c r="B627" s="1"/>
      <c r="C627" s="28" t="s">
        <v>278</v>
      </c>
      <c r="D627" s="1"/>
      <c r="E627" s="273"/>
      <c r="F627" s="3"/>
      <c r="G627" s="3"/>
      <c r="H627" s="274"/>
      <c r="I627" s="28"/>
      <c r="J627" s="273"/>
      <c r="K627" s="3"/>
      <c r="L627" s="3"/>
      <c r="M627" s="274"/>
      <c r="N627" s="1"/>
      <c r="O627" s="273"/>
      <c r="P627" s="3"/>
      <c r="Q627" s="3"/>
      <c r="R627" s="274"/>
      <c r="S627" s="1"/>
      <c r="T627" s="290"/>
      <c r="U627" s="260"/>
      <c r="V627" s="260"/>
      <c r="W627" s="291"/>
      <c r="X627" s="45"/>
      <c r="Y627" s="290">
        <f>Y619/1000*Y624</f>
        <v>0</v>
      </c>
      <c r="Z627" s="260">
        <f>Z619/1000*Z624</f>
        <v>0</v>
      </c>
      <c r="AA627" s="260">
        <f>AA619/1000*AA624</f>
        <v>0</v>
      </c>
      <c r="AB627" s="291">
        <f>AB619/1000*AB624</f>
        <v>0</v>
      </c>
      <c r="AC627" s="45">
        <f>SUM(Y627:AB627)</f>
        <v>0</v>
      </c>
      <c r="AD627" s="290">
        <f>AD619/1000*AD624</f>
        <v>0</v>
      </c>
      <c r="AE627" s="260">
        <f>AE619/1000*AE624</f>
        <v>0</v>
      </c>
      <c r="AF627" s="260">
        <f>AF619/1000*AF624</f>
        <v>0</v>
      </c>
      <c r="AG627" s="291">
        <f>AG619/1000*AG624</f>
        <v>0</v>
      </c>
      <c r="AH627" s="45">
        <f>SUM(AD627:AG627)</f>
        <v>0</v>
      </c>
      <c r="AI627" s="290">
        <f>AI619/1000*AI624</f>
        <v>0</v>
      </c>
      <c r="AJ627" s="260">
        <f>AJ619/1000*AJ624</f>
        <v>0</v>
      </c>
      <c r="AK627" s="260">
        <f>AK619/1000*AK624</f>
        <v>0</v>
      </c>
      <c r="AL627" s="291">
        <f>AL619/1000*AL624</f>
        <v>0</v>
      </c>
      <c r="AM627" s="45">
        <f>SUM(AI627:AL627)</f>
        <v>0</v>
      </c>
      <c r="AN627" s="290">
        <f>AN619/1000*AN624</f>
        <v>0</v>
      </c>
      <c r="AO627" s="260">
        <f>AO619/1000*AO624</f>
        <v>0</v>
      </c>
      <c r="AP627" s="260">
        <f>AP619/1000*AP624</f>
        <v>0</v>
      </c>
      <c r="AQ627" s="291">
        <f>AQ619/1000*AQ624</f>
        <v>0</v>
      </c>
      <c r="AR627" s="45">
        <f>SUM(AN627:AQ627)</f>
        <v>0</v>
      </c>
      <c r="AS627" s="290">
        <f>AS619/1000*AS624</f>
        <v>0</v>
      </c>
      <c r="AT627" s="260">
        <f>AT619/1000*AT624</f>
        <v>0</v>
      </c>
      <c r="AU627" s="260">
        <f t="shared" ref="AU627" si="898">AU619/1000*AU624</f>
        <v>0</v>
      </c>
      <c r="AV627" s="291">
        <f>AV619/1000*AV624</f>
        <v>0</v>
      </c>
      <c r="AW627" s="45">
        <f>SUM(AS627:AV627)</f>
        <v>0</v>
      </c>
      <c r="AX627" s="290">
        <f>AX619/1000*AX624</f>
        <v>0</v>
      </c>
      <c r="AY627" s="260">
        <f>AY619/1000*AY624</f>
        <v>0</v>
      </c>
      <c r="AZ627" s="260">
        <f>AZ619/1000*AZ624</f>
        <v>0</v>
      </c>
      <c r="BA627" s="291">
        <f>BA619/1000*BA624</f>
        <v>0</v>
      </c>
      <c r="BB627" s="45">
        <f>SUM(AX627:BA627)</f>
        <v>0</v>
      </c>
      <c r="BC627" s="290">
        <f>BC619/1000*BC624</f>
        <v>0</v>
      </c>
      <c r="BD627" s="260">
        <f>BD619/1000*BD624</f>
        <v>0</v>
      </c>
      <c r="BE627" s="260">
        <f>BE619/1000*BE624</f>
        <v>0</v>
      </c>
      <c r="BF627" s="291">
        <f>BF619/1000*BF624</f>
        <v>0</v>
      </c>
      <c r="BG627" s="45">
        <f>SUM(BC627:BF627)</f>
        <v>0</v>
      </c>
      <c r="BH627" s="290">
        <f>BH619/1000*BH624</f>
        <v>0</v>
      </c>
      <c r="BI627" s="260">
        <f>BI619/1000*BI624</f>
        <v>0</v>
      </c>
      <c r="BJ627" s="260">
        <f>BJ619/1000*BJ624</f>
        <v>0</v>
      </c>
      <c r="BK627" s="291">
        <f>BK619/1000*BK624</f>
        <v>0</v>
      </c>
      <c r="BL627" s="45">
        <f>SUM(BH627:BK627)</f>
        <v>0</v>
      </c>
      <c r="BM627" s="290">
        <f>BM619/1000*BM624</f>
        <v>0</v>
      </c>
      <c r="BN627" s="260">
        <f>BN619/1000*BN624</f>
        <v>0</v>
      </c>
      <c r="BO627" s="260">
        <f>BO619/1000*BO624</f>
        <v>0</v>
      </c>
      <c r="BP627" s="291">
        <f>BP619/1000*BP624</f>
        <v>0</v>
      </c>
      <c r="BQ627" s="45">
        <f>SUM(BM627:BP627)</f>
        <v>0</v>
      </c>
      <c r="BR627" s="40"/>
      <c r="BS627" s="40"/>
      <c r="BT627" s="40"/>
      <c r="BU627" s="232"/>
      <c r="BV627" s="40"/>
      <c r="BW627" s="40"/>
      <c r="BX627" s="40"/>
      <c r="BY627" s="40"/>
      <c r="BZ627" s="40"/>
      <c r="CA627" s="40"/>
      <c r="CB627" s="40"/>
      <c r="CC627" s="40"/>
      <c r="CD627" s="40"/>
      <c r="CE627" s="40"/>
      <c r="CF627" s="40"/>
      <c r="CG627" s="40"/>
      <c r="CH627" s="40"/>
      <c r="CI627" s="40"/>
      <c r="CJ627" s="40"/>
      <c r="CK627" s="40"/>
      <c r="CL627" s="40"/>
      <c r="CM627" s="40"/>
      <c r="CN627" s="40"/>
      <c r="CO627" s="40"/>
      <c r="CP627" s="40"/>
      <c r="CQ627" s="40"/>
      <c r="CR627" s="40"/>
      <c r="CS627" s="40"/>
      <c r="CT627" s="823"/>
      <c r="CU627" s="232"/>
      <c r="CV627" s="232"/>
      <c r="CW627" s="232"/>
      <c r="CX627" s="232"/>
      <c r="CY627" s="232"/>
      <c r="CZ627" s="40"/>
      <c r="DA627" s="40"/>
      <c r="DB627" s="40"/>
      <c r="DC627" s="40"/>
      <c r="DD627" s="40"/>
      <c r="DE627" s="40"/>
      <c r="DF627" s="232"/>
      <c r="DG627" s="232"/>
      <c r="DH627" s="232"/>
      <c r="DI627" s="232"/>
      <c r="DJ627" s="232"/>
      <c r="DK627" s="232"/>
      <c r="DL627" s="232"/>
      <c r="DM627" s="232"/>
      <c r="DN627" s="232"/>
    </row>
    <row r="628" spans="1:118">
      <c r="A628" s="40"/>
      <c r="B628" s="1"/>
      <c r="C628" s="32" t="s">
        <v>199</v>
      </c>
      <c r="D628" s="32"/>
      <c r="E628" s="489"/>
      <c r="F628" s="342"/>
      <c r="G628" s="342"/>
      <c r="H628" s="490"/>
      <c r="I628" s="28"/>
      <c r="J628" s="489"/>
      <c r="K628" s="342"/>
      <c r="L628" s="342"/>
      <c r="M628" s="490"/>
      <c r="N628" s="32"/>
      <c r="O628" s="489"/>
      <c r="P628" s="342"/>
      <c r="Q628" s="342"/>
      <c r="R628" s="490"/>
      <c r="S628" s="32"/>
      <c r="T628" s="292"/>
      <c r="U628" s="261"/>
      <c r="V628" s="261"/>
      <c r="W628" s="293"/>
      <c r="X628" s="228"/>
      <c r="Y628" s="292">
        <f>Y626-Y627</f>
        <v>23.453680268745533</v>
      </c>
      <c r="Z628" s="261">
        <f>Z626-Z627</f>
        <v>25.426398445497053</v>
      </c>
      <c r="AA628" s="261">
        <f>AA626-AA627</f>
        <v>26.88180843205372</v>
      </c>
      <c r="AB628" s="293">
        <f>AB626-AB627</f>
        <v>22.446052658085939</v>
      </c>
      <c r="AC628" s="228">
        <f>AC626-AC627</f>
        <v>98.207939804382249</v>
      </c>
      <c r="AD628" s="292">
        <f t="shared" ref="AD628:BL628" si="899">AD626-AD627</f>
        <v>63.427962305718737</v>
      </c>
      <c r="AE628" s="261">
        <f>AE626-AE627</f>
        <v>23.114082955056155</v>
      </c>
      <c r="AF628" s="261">
        <f t="shared" si="899"/>
        <v>23.114082955056155</v>
      </c>
      <c r="AG628" s="293">
        <f t="shared" si="899"/>
        <v>15.171648242308587</v>
      </c>
      <c r="AH628" s="228">
        <f t="shared" si="899"/>
        <v>124.82777645813964</v>
      </c>
      <c r="AI628" s="292">
        <f t="shared" si="899"/>
        <v>21.370762082516791</v>
      </c>
      <c r="AJ628" s="261">
        <f t="shared" si="899"/>
        <v>14.711698331994725</v>
      </c>
      <c r="AK628" s="261">
        <f t="shared" si="899"/>
        <v>14.831041652657994</v>
      </c>
      <c r="AL628" s="293">
        <f t="shared" si="899"/>
        <v>11.986335641196209</v>
      </c>
      <c r="AM628" s="228">
        <f t="shared" si="899"/>
        <v>62.899837708365723</v>
      </c>
      <c r="AN628" s="292">
        <f t="shared" si="899"/>
        <v>11.312883672475426</v>
      </c>
      <c r="AO628" s="261">
        <f t="shared" si="899"/>
        <v>12.28946962973864</v>
      </c>
      <c r="AP628" s="261">
        <f t="shared" si="899"/>
        <v>14.632598555580584</v>
      </c>
      <c r="AQ628" s="293">
        <f t="shared" si="899"/>
        <v>12.502922450283574</v>
      </c>
      <c r="AR628" s="228">
        <f t="shared" si="899"/>
        <v>50.737874308078219</v>
      </c>
      <c r="AS628" s="292">
        <f t="shared" si="899"/>
        <v>12.079870886001448</v>
      </c>
      <c r="AT628" s="261">
        <f t="shared" si="899"/>
        <v>12.327616035336161</v>
      </c>
      <c r="AU628" s="261">
        <f t="shared" ref="AU628" si="900">AU626-AU627</f>
        <v>13.337666541520752</v>
      </c>
      <c r="AV628" s="293">
        <f t="shared" si="899"/>
        <v>18.094854824257144</v>
      </c>
      <c r="AW628" s="228">
        <f t="shared" si="899"/>
        <v>55.840008287115509</v>
      </c>
      <c r="AX628" s="292">
        <f t="shared" si="899"/>
        <v>18.094854824257144</v>
      </c>
      <c r="AY628" s="261">
        <f t="shared" si="899"/>
        <v>12.965237999999999</v>
      </c>
      <c r="AZ628" s="261">
        <f t="shared" si="899"/>
        <v>13.867167599999997</v>
      </c>
      <c r="BA628" s="293">
        <f t="shared" si="899"/>
        <v>13.034135399999998</v>
      </c>
      <c r="BB628" s="228">
        <f t="shared" si="899"/>
        <v>57.961395824257139</v>
      </c>
      <c r="BC628" s="292">
        <f t="shared" si="899"/>
        <v>15.220563028967218</v>
      </c>
      <c r="BD628" s="261">
        <f t="shared" si="899"/>
        <v>11.153296754004742</v>
      </c>
      <c r="BE628" s="261">
        <f t="shared" si="899"/>
        <v>12.063534815540249</v>
      </c>
      <c r="BF628" s="293">
        <f t="shared" si="899"/>
        <v>14.657447201437691</v>
      </c>
      <c r="BG628" s="228">
        <f t="shared" si="899"/>
        <v>53.094841799949904</v>
      </c>
      <c r="BH628" s="292">
        <f t="shared" si="899"/>
        <v>15.184652770567089</v>
      </c>
      <c r="BI628" s="261">
        <f t="shared" si="899"/>
        <v>11.126982499552566</v>
      </c>
      <c r="BJ628" s="261">
        <f t="shared" si="899"/>
        <v>12.03507301346233</v>
      </c>
      <c r="BK628" s="293">
        <f t="shared" si="899"/>
        <v>14.622865516418019</v>
      </c>
      <c r="BL628" s="228">
        <f t="shared" si="899"/>
        <v>52.969573800000006</v>
      </c>
      <c r="BM628" s="292">
        <f t="shared" ref="BM628:BQ628" si="901">BM626-BM627</f>
        <v>13.453783199999997</v>
      </c>
      <c r="BN628" s="261">
        <f t="shared" si="901"/>
        <v>13.453783199999997</v>
      </c>
      <c r="BO628" s="261">
        <f t="shared" si="901"/>
        <v>13.453783199999997</v>
      </c>
      <c r="BP628" s="293">
        <f t="shared" si="901"/>
        <v>13.453783199999997</v>
      </c>
      <c r="BQ628" s="228">
        <f t="shared" si="901"/>
        <v>53.815132799999986</v>
      </c>
      <c r="BR628" s="40"/>
      <c r="BS628" s="40"/>
      <c r="BT628" s="40"/>
      <c r="BU628" s="232"/>
      <c r="BV628" s="40"/>
      <c r="BW628" s="40"/>
      <c r="BX628" s="40"/>
      <c r="BY628" s="40"/>
      <c r="BZ628" s="40"/>
      <c r="CA628" s="40"/>
      <c r="CB628" s="40"/>
      <c r="CC628" s="40"/>
      <c r="CD628" s="40"/>
      <c r="CE628" s="40"/>
      <c r="CF628" s="40"/>
      <c r="CG628" s="40"/>
      <c r="CH628" s="40"/>
      <c r="CI628" s="40"/>
      <c r="CJ628" s="40"/>
      <c r="CK628" s="40"/>
      <c r="CL628" s="40"/>
      <c r="CM628" s="40"/>
      <c r="CN628" s="40"/>
      <c r="CO628" s="40"/>
      <c r="CP628" s="40"/>
      <c r="CQ628" s="40"/>
      <c r="CR628" s="40"/>
      <c r="CS628" s="40"/>
      <c r="CT628" s="823"/>
      <c r="CU628" s="232"/>
      <c r="CV628" s="232"/>
      <c r="CW628" s="232"/>
      <c r="CX628" s="232"/>
      <c r="CY628" s="232"/>
      <c r="CZ628" s="40"/>
      <c r="DA628" s="40"/>
      <c r="DB628" s="40"/>
      <c r="DC628" s="40"/>
      <c r="DD628" s="40"/>
      <c r="DE628" s="40"/>
      <c r="DF628" s="232"/>
      <c r="DG628" s="232"/>
      <c r="DH628" s="232"/>
      <c r="DI628" s="232"/>
      <c r="DJ628" s="232"/>
      <c r="DK628" s="232"/>
      <c r="DL628" s="232"/>
      <c r="DM628" s="232"/>
      <c r="DN628" s="232"/>
    </row>
    <row r="629" spans="1:118">
      <c r="A629" s="40"/>
      <c r="B629" s="32"/>
      <c r="C629" s="32"/>
      <c r="D629" s="32"/>
      <c r="E629" s="489"/>
      <c r="F629" s="342"/>
      <c r="G629" s="342"/>
      <c r="H629" s="490"/>
      <c r="I629" s="32"/>
      <c r="J629" s="489"/>
      <c r="K629" s="342"/>
      <c r="L629" s="342"/>
      <c r="M629" s="490"/>
      <c r="N629" s="32"/>
      <c r="O629" s="489"/>
      <c r="P629" s="342"/>
      <c r="Q629" s="342"/>
      <c r="R629" s="490"/>
      <c r="S629" s="32"/>
      <c r="T629" s="292"/>
      <c r="U629" s="261"/>
      <c r="V629" s="261"/>
      <c r="W629" s="293"/>
      <c r="X629" s="348"/>
      <c r="Y629" s="292"/>
      <c r="Z629" s="261"/>
      <c r="AA629" s="261"/>
      <c r="AB629" s="293"/>
      <c r="AC629" s="348"/>
      <c r="AD629" s="292"/>
      <c r="AE629" s="261"/>
      <c r="AF629" s="261"/>
      <c r="AG629" s="293"/>
      <c r="AH629" s="348"/>
      <c r="AI629" s="292"/>
      <c r="AJ629" s="261"/>
      <c r="AK629" s="261"/>
      <c r="AL629" s="293"/>
      <c r="AM629" s="348"/>
      <c r="AN629" s="292"/>
      <c r="AO629" s="261"/>
      <c r="AP629" s="261"/>
      <c r="AQ629" s="293"/>
      <c r="AR629" s="348"/>
      <c r="AS629" s="292"/>
      <c r="AT629" s="261"/>
      <c r="AU629" s="261"/>
      <c r="AV629" s="293"/>
      <c r="AW629" s="348"/>
      <c r="AX629" s="292"/>
      <c r="AY629" s="261"/>
      <c r="AZ629" s="261"/>
      <c r="BA629" s="293"/>
      <c r="BB629" s="348"/>
      <c r="BC629" s="292"/>
      <c r="BD629" s="261"/>
      <c r="BE629" s="261"/>
      <c r="BF629" s="293"/>
      <c r="BG629" s="348"/>
      <c r="BH629" s="292"/>
      <c r="BI629" s="261"/>
      <c r="BJ629" s="261"/>
      <c r="BK629" s="293"/>
      <c r="BL629" s="348"/>
      <c r="BM629" s="292"/>
      <c r="BN629" s="261"/>
      <c r="BO629" s="261"/>
      <c r="BP629" s="293"/>
      <c r="BQ629" s="348"/>
      <c r="BR629" s="40"/>
      <c r="BS629" s="40"/>
      <c r="BT629" s="40"/>
      <c r="BU629" s="232"/>
      <c r="BV629" s="40"/>
      <c r="BW629" s="40"/>
      <c r="BX629" s="40"/>
      <c r="BY629" s="40"/>
      <c r="BZ629" s="40"/>
      <c r="CA629" s="40"/>
      <c r="CB629" s="40"/>
      <c r="CC629" s="40"/>
      <c r="CD629" s="40"/>
      <c r="CE629" s="40"/>
      <c r="CF629" s="40"/>
      <c r="CG629" s="40"/>
      <c r="CH629" s="40"/>
      <c r="CI629" s="40"/>
      <c r="CJ629" s="40"/>
      <c r="CK629" s="40"/>
      <c r="CL629" s="40"/>
      <c r="CM629" s="40"/>
      <c r="CN629" s="40"/>
      <c r="CO629" s="40"/>
      <c r="CP629" s="40"/>
      <c r="CQ629" s="40"/>
      <c r="CR629" s="40"/>
      <c r="CS629" s="40"/>
      <c r="CT629" s="823"/>
      <c r="CU629" s="232"/>
      <c r="CV629" s="232"/>
      <c r="CW629" s="232"/>
      <c r="CX629" s="232"/>
      <c r="CY629" s="232"/>
      <c r="CZ629" s="40"/>
      <c r="DA629" s="40"/>
      <c r="DB629" s="40"/>
      <c r="DC629" s="40"/>
      <c r="DD629" s="40"/>
      <c r="DE629" s="40"/>
      <c r="DF629" s="232"/>
      <c r="DG629" s="232"/>
      <c r="DH629" s="232"/>
      <c r="DI629" s="232"/>
      <c r="DJ629" s="232"/>
      <c r="DK629" s="232"/>
      <c r="DL629" s="232"/>
      <c r="DM629" s="232"/>
      <c r="DN629" s="232"/>
    </row>
    <row r="630" spans="1:118">
      <c r="A630" s="40"/>
      <c r="B630" s="32"/>
      <c r="C630" s="32"/>
      <c r="D630" s="32"/>
      <c r="E630" s="489"/>
      <c r="F630" s="342"/>
      <c r="G630" s="342"/>
      <c r="H630" s="490"/>
      <c r="I630" s="32"/>
      <c r="J630" s="489"/>
      <c r="K630" s="342"/>
      <c r="L630" s="342"/>
      <c r="M630" s="490"/>
      <c r="N630" s="32"/>
      <c r="O630" s="489"/>
      <c r="P630" s="342"/>
      <c r="Q630" s="342"/>
      <c r="R630" s="490"/>
      <c r="S630" s="32"/>
      <c r="T630" s="292"/>
      <c r="U630" s="261"/>
      <c r="V630" s="261"/>
      <c r="W630" s="293"/>
      <c r="X630" s="348"/>
      <c r="Y630" s="292"/>
      <c r="Z630" s="261"/>
      <c r="AA630" s="261"/>
      <c r="AB630" s="293"/>
      <c r="AC630" s="348"/>
      <c r="AD630" s="292"/>
      <c r="AE630" s="261"/>
      <c r="AF630" s="261"/>
      <c r="AG630" s="293"/>
      <c r="AH630" s="348"/>
      <c r="AI630" s="292"/>
      <c r="AJ630" s="261"/>
      <c r="AK630" s="261"/>
      <c r="AL630" s="293"/>
      <c r="AM630" s="348"/>
      <c r="AN630" s="292"/>
      <c r="AO630" s="261"/>
      <c r="AP630" s="261"/>
      <c r="AQ630" s="293"/>
      <c r="AR630" s="348"/>
      <c r="AS630" s="292"/>
      <c r="AT630" s="261"/>
      <c r="AU630" s="261"/>
      <c r="AV630" s="293"/>
      <c r="AW630" s="348"/>
      <c r="AX630" s="292"/>
      <c r="AY630" s="261"/>
      <c r="AZ630" s="261"/>
      <c r="BA630" s="293"/>
      <c r="BB630" s="348"/>
      <c r="BC630" s="292"/>
      <c r="BD630" s="261"/>
      <c r="BE630" s="261"/>
      <c r="BF630" s="293"/>
      <c r="BG630" s="348"/>
      <c r="BH630" s="292"/>
      <c r="BI630" s="261"/>
      <c r="BJ630" s="261"/>
      <c r="BK630" s="293"/>
      <c r="BL630" s="348"/>
      <c r="BM630" s="292"/>
      <c r="BN630" s="261"/>
      <c r="BO630" s="261"/>
      <c r="BP630" s="293"/>
      <c r="BQ630" s="348"/>
      <c r="BR630" s="40"/>
      <c r="BS630" s="40"/>
      <c r="BT630" s="40"/>
      <c r="BU630" s="232"/>
      <c r="BV630" s="40"/>
      <c r="BW630" s="40"/>
      <c r="BX630" s="40"/>
      <c r="BY630" s="40"/>
      <c r="BZ630" s="40"/>
      <c r="CA630" s="40"/>
      <c r="CB630" s="40"/>
      <c r="CC630" s="40"/>
      <c r="CD630" s="40"/>
      <c r="CE630" s="40"/>
      <c r="CF630" s="40"/>
      <c r="CG630" s="40"/>
      <c r="CH630" s="40"/>
      <c r="CI630" s="40"/>
      <c r="CJ630" s="40"/>
      <c r="CK630" s="40"/>
      <c r="CL630" s="40"/>
      <c r="CM630" s="40"/>
      <c r="CN630" s="40"/>
      <c r="CO630" s="40"/>
      <c r="CP630" s="40"/>
      <c r="CQ630" s="40"/>
      <c r="CR630" s="40"/>
      <c r="CS630" s="40"/>
      <c r="CT630" s="823"/>
      <c r="CU630" s="232"/>
      <c r="CV630" s="232"/>
      <c r="CW630" s="232"/>
      <c r="CX630" s="232"/>
      <c r="CY630" s="232"/>
      <c r="CZ630" s="40"/>
      <c r="DA630" s="40"/>
      <c r="DB630" s="40"/>
      <c r="DC630" s="40"/>
      <c r="DD630" s="40"/>
      <c r="DE630" s="40"/>
      <c r="DF630" s="232"/>
      <c r="DG630" s="232"/>
      <c r="DH630" s="232"/>
      <c r="DI630" s="232"/>
      <c r="DJ630" s="232"/>
      <c r="DK630" s="232"/>
      <c r="DL630" s="232"/>
      <c r="DM630" s="232"/>
      <c r="DN630" s="232"/>
    </row>
    <row r="631" spans="1:118">
      <c r="A631" s="40"/>
      <c r="B631" s="210" t="s">
        <v>825</v>
      </c>
      <c r="C631" s="15"/>
      <c r="D631" s="211"/>
      <c r="E631" s="489"/>
      <c r="F631" s="342"/>
      <c r="G631" s="342"/>
      <c r="H631" s="490"/>
      <c r="I631" s="28"/>
      <c r="J631" s="489"/>
      <c r="K631" s="342"/>
      <c r="L631" s="342"/>
      <c r="M631" s="490"/>
      <c r="N631" s="32"/>
      <c r="O631" s="489"/>
      <c r="P631" s="342"/>
      <c r="Q631" s="342"/>
      <c r="R631" s="490"/>
      <c r="S631" s="32"/>
      <c r="T631" s="292"/>
      <c r="U631" s="261"/>
      <c r="V631" s="261"/>
      <c r="W631" s="293"/>
      <c r="X631" s="228"/>
      <c r="Y631" s="292"/>
      <c r="Z631" s="261"/>
      <c r="AA631" s="261"/>
      <c r="AB631" s="293"/>
      <c r="AC631" s="228"/>
      <c r="AD631" s="292"/>
      <c r="AE631" s="261"/>
      <c r="AF631" s="261"/>
      <c r="AG631" s="293"/>
      <c r="AH631" s="228"/>
      <c r="AI631" s="292"/>
      <c r="AJ631" s="261"/>
      <c r="AK631" s="261"/>
      <c r="AL631" s="293"/>
      <c r="AM631" s="228"/>
      <c r="AN631" s="292"/>
      <c r="AO631" s="261"/>
      <c r="AP631" s="261"/>
      <c r="AQ631" s="293"/>
      <c r="AR631" s="228"/>
      <c r="AS631" s="292"/>
      <c r="AT631" s="261"/>
      <c r="AU631" s="261"/>
      <c r="AV631" s="293"/>
      <c r="AW631" s="228"/>
      <c r="AX631" s="292"/>
      <c r="AY631" s="261"/>
      <c r="AZ631" s="261"/>
      <c r="BA631" s="293"/>
      <c r="BB631" s="228"/>
      <c r="BC631" s="292"/>
      <c r="BD631" s="261"/>
      <c r="BE631" s="261"/>
      <c r="BF631" s="293"/>
      <c r="BG631" s="228"/>
      <c r="BH631" s="292"/>
      <c r="BI631" s="261"/>
      <c r="BJ631" s="261"/>
      <c r="BK631" s="293"/>
      <c r="BL631" s="228"/>
      <c r="BM631" s="292"/>
      <c r="BN631" s="261"/>
      <c r="BO631" s="261"/>
      <c r="BP631" s="293"/>
      <c r="BQ631" s="228"/>
      <c r="BR631" s="40"/>
      <c r="BS631" s="40"/>
      <c r="BT631" s="40"/>
      <c r="BU631" s="232"/>
      <c r="BV631" s="40"/>
      <c r="BW631" s="40"/>
      <c r="BX631" s="40"/>
      <c r="BY631" s="40"/>
      <c r="BZ631" s="40"/>
      <c r="CA631" s="40"/>
      <c r="CB631" s="40"/>
      <c r="CC631" s="40"/>
      <c r="CD631" s="40"/>
      <c r="CE631" s="40"/>
      <c r="CF631" s="40"/>
      <c r="CG631" s="40"/>
      <c r="CH631" s="40"/>
      <c r="CI631" s="40"/>
      <c r="CJ631" s="40"/>
      <c r="CK631" s="40"/>
      <c r="CL631" s="40"/>
      <c r="CM631" s="40"/>
      <c r="CN631" s="40"/>
      <c r="CO631" s="40"/>
      <c r="CP631" s="40"/>
      <c r="CQ631" s="40"/>
      <c r="CR631" s="40"/>
      <c r="CS631" s="40"/>
      <c r="CT631" s="823"/>
      <c r="CU631" s="232"/>
      <c r="CV631" s="232"/>
      <c r="CW631" s="232"/>
      <c r="CX631" s="232"/>
      <c r="CY631" s="232"/>
      <c r="CZ631" s="40"/>
      <c r="DA631" s="40"/>
      <c r="DB631" s="40"/>
      <c r="DC631" s="40"/>
      <c r="DD631" s="40"/>
      <c r="DE631" s="40"/>
      <c r="DF631" s="232"/>
      <c r="DG631" s="232"/>
      <c r="DH631" s="232"/>
      <c r="DI631" s="232"/>
      <c r="DJ631" s="232"/>
      <c r="DK631" s="232"/>
      <c r="DL631" s="232"/>
      <c r="DM631" s="232"/>
      <c r="DN631" s="232"/>
    </row>
    <row r="632" spans="1:118">
      <c r="A632" s="40"/>
      <c r="B632" s="32"/>
      <c r="C632" s="32"/>
      <c r="D632" s="32"/>
      <c r="E632" s="489"/>
      <c r="F632" s="342"/>
      <c r="G632" s="342"/>
      <c r="H632" s="490"/>
      <c r="I632" s="28"/>
      <c r="J632" s="489"/>
      <c r="K632" s="342"/>
      <c r="L632" s="342"/>
      <c r="M632" s="490"/>
      <c r="N632" s="32"/>
      <c r="O632" s="489"/>
      <c r="P632" s="342"/>
      <c r="Q632" s="342"/>
      <c r="R632" s="490"/>
      <c r="S632" s="32"/>
      <c r="T632" s="292"/>
      <c r="U632" s="261"/>
      <c r="V632" s="261"/>
      <c r="W632" s="293"/>
      <c r="X632" s="228"/>
      <c r="Y632" s="292"/>
      <c r="Z632" s="261"/>
      <c r="AA632" s="261"/>
      <c r="AB632" s="293"/>
      <c r="AC632" s="228"/>
      <c r="AD632" s="292"/>
      <c r="AE632" s="261"/>
      <c r="AF632" s="261"/>
      <c r="AG632" s="293"/>
      <c r="AH632" s="228"/>
      <c r="AI632" s="292"/>
      <c r="AJ632" s="261"/>
      <c r="AK632" s="261"/>
      <c r="AL632" s="293"/>
      <c r="AM632" s="228"/>
      <c r="AN632" s="292"/>
      <c r="AO632" s="261"/>
      <c r="AP632" s="261"/>
      <c r="AQ632" s="293"/>
      <c r="AR632" s="228"/>
      <c r="AS632" s="292"/>
      <c r="AT632" s="261"/>
      <c r="AU632" s="261"/>
      <c r="AV632" s="293"/>
      <c r="AW632" s="228"/>
      <c r="AX632" s="292"/>
      <c r="AY632" s="261"/>
      <c r="AZ632" s="261"/>
      <c r="BA632" s="293"/>
      <c r="BB632" s="228"/>
      <c r="BC632" s="292"/>
      <c r="BD632" s="261"/>
      <c r="BE632" s="261"/>
      <c r="BF632" s="293"/>
      <c r="BG632" s="228"/>
      <c r="BH632" s="292"/>
      <c r="BI632" s="261"/>
      <c r="BJ632" s="261"/>
      <c r="BK632" s="293"/>
      <c r="BL632" s="228"/>
      <c r="BM632" s="292"/>
      <c r="BN632" s="261"/>
      <c r="BO632" s="261"/>
      <c r="BP632" s="293"/>
      <c r="BQ632" s="228"/>
      <c r="BR632" s="40"/>
      <c r="BS632" s="40"/>
      <c r="BT632" s="40"/>
      <c r="BU632" s="232"/>
      <c r="BV632" s="40"/>
      <c r="BW632" s="40"/>
      <c r="BX632" s="40"/>
      <c r="BY632" s="40"/>
      <c r="BZ632" s="40"/>
      <c r="CA632" s="40"/>
      <c r="CB632" s="40"/>
      <c r="CC632" s="40"/>
      <c r="CD632" s="40"/>
      <c r="CE632" s="40"/>
      <c r="CF632" s="40"/>
      <c r="CG632" s="40"/>
      <c r="CH632" s="40"/>
      <c r="CI632" s="40"/>
      <c r="CJ632" s="40"/>
      <c r="CK632" s="40"/>
      <c r="CL632" s="40"/>
      <c r="CM632" s="40"/>
      <c r="CN632" s="40"/>
      <c r="CO632" s="40"/>
      <c r="CP632" s="40"/>
      <c r="CQ632" s="40"/>
      <c r="CR632" s="40"/>
      <c r="CS632" s="40"/>
      <c r="CT632" s="823"/>
      <c r="CU632" s="232"/>
      <c r="CV632" s="232"/>
      <c r="CW632" s="232"/>
      <c r="CX632" s="232"/>
      <c r="CY632" s="232"/>
      <c r="CZ632" s="40"/>
      <c r="DA632" s="40"/>
      <c r="DB632" s="40"/>
      <c r="DC632" s="40"/>
      <c r="DD632" s="40"/>
      <c r="DE632" s="40"/>
      <c r="DF632" s="232"/>
      <c r="DG632" s="232"/>
      <c r="DH632" s="232"/>
      <c r="DI632" s="232"/>
      <c r="DJ632" s="232"/>
      <c r="DK632" s="232"/>
      <c r="DL632" s="232"/>
      <c r="DM632" s="232"/>
      <c r="DN632" s="232"/>
    </row>
    <row r="633" spans="1:118">
      <c r="A633" s="40"/>
      <c r="B633" s="1"/>
      <c r="C633" s="996" t="s">
        <v>855</v>
      </c>
      <c r="D633" s="1"/>
      <c r="E633" s="273"/>
      <c r="F633" s="3"/>
      <c r="G633" s="3"/>
      <c r="H633" s="274"/>
      <c r="I633" s="28"/>
      <c r="J633" s="273"/>
      <c r="K633" s="3"/>
      <c r="L633" s="3"/>
      <c r="M633" s="274"/>
      <c r="N633" s="1"/>
      <c r="O633" s="273"/>
      <c r="P633" s="3"/>
      <c r="Q633" s="3"/>
      <c r="R633" s="274"/>
      <c r="S633" s="1"/>
      <c r="T633" s="273"/>
      <c r="U633" s="3"/>
      <c r="V633" s="3"/>
      <c r="W633" s="274"/>
      <c r="X633" s="1"/>
      <c r="Y633" s="273"/>
      <c r="Z633" s="3"/>
      <c r="AA633" s="3"/>
      <c r="AB633" s="274"/>
      <c r="AC633" s="1"/>
      <c r="AD633" s="273"/>
      <c r="AE633" s="3"/>
      <c r="AF633" s="3"/>
      <c r="AG633" s="274"/>
      <c r="AH633" s="1"/>
      <c r="AI633" s="273"/>
      <c r="AJ633" s="3"/>
      <c r="AK633" s="3"/>
      <c r="AL633" s="274"/>
      <c r="AM633" s="1"/>
      <c r="AN633" s="273"/>
      <c r="AO633" s="3"/>
      <c r="AP633" s="3"/>
      <c r="AQ633" s="274"/>
      <c r="AR633" s="1"/>
      <c r="AS633" s="273"/>
      <c r="AT633" s="3"/>
      <c r="AU633" s="3"/>
      <c r="AV633" s="274"/>
      <c r="AW633" s="1"/>
      <c r="AX633" s="273"/>
      <c r="AY633" s="3"/>
      <c r="AZ633" s="3"/>
      <c r="BA633" s="274"/>
      <c r="BB633" s="1"/>
      <c r="BC633" s="273"/>
      <c r="BD633" s="3"/>
      <c r="BE633" s="3"/>
      <c r="BF633" s="274"/>
      <c r="BG633" s="1"/>
      <c r="BH633" s="273"/>
      <c r="BI633" s="3"/>
      <c r="BJ633" s="3"/>
      <c r="BK633" s="274"/>
      <c r="BL633" s="1"/>
      <c r="BM633" s="273"/>
      <c r="BN633" s="3"/>
      <c r="BO633" s="3"/>
      <c r="BP633" s="274"/>
      <c r="BQ633" s="1"/>
      <c r="BR633" s="40"/>
      <c r="BS633" s="40"/>
      <c r="BT633" s="40"/>
      <c r="BU633" s="232"/>
      <c r="BV633" s="40"/>
      <c r="BW633" s="40"/>
      <c r="BX633" s="40"/>
      <c r="BY633" s="40"/>
      <c r="BZ633" s="40"/>
      <c r="CA633" s="40"/>
      <c r="CB633" s="40"/>
      <c r="CC633" s="40"/>
      <c r="CD633" s="40"/>
      <c r="CE633" s="40"/>
      <c r="CF633" s="40"/>
      <c r="CG633" s="40"/>
      <c r="CH633" s="40"/>
      <c r="CI633" s="40"/>
      <c r="CJ633" s="40"/>
      <c r="CK633" s="40"/>
      <c r="CL633" s="40"/>
      <c r="CM633" s="40"/>
      <c r="CN633" s="40"/>
      <c r="CO633" s="40"/>
      <c r="CP633" s="40"/>
      <c r="CQ633" s="40"/>
      <c r="CR633" s="40"/>
      <c r="CS633" s="40"/>
      <c r="CT633" s="823"/>
      <c r="CU633" s="232"/>
      <c r="CV633" s="232"/>
      <c r="CW633" s="232"/>
      <c r="CX633" s="232"/>
      <c r="CY633" s="232"/>
      <c r="CZ633" s="40"/>
      <c r="DA633" s="40"/>
      <c r="DB633" s="40"/>
      <c r="DC633" s="40"/>
      <c r="DD633" s="40"/>
      <c r="DE633" s="40"/>
      <c r="DF633" s="232"/>
      <c r="DG633" s="232"/>
      <c r="DH633" s="232"/>
      <c r="DI633" s="232"/>
      <c r="DJ633" s="232"/>
      <c r="DK633" s="232"/>
      <c r="DL633" s="232"/>
      <c r="DM633" s="232"/>
      <c r="DN633" s="232"/>
    </row>
    <row r="634" spans="1:118">
      <c r="A634" s="40"/>
      <c r="B634" s="1"/>
      <c r="C634" s="28" t="s">
        <v>797</v>
      </c>
      <c r="D634" s="1"/>
      <c r="E634" s="273"/>
      <c r="F634" s="3"/>
      <c r="G634" s="3"/>
      <c r="H634" s="274"/>
      <c r="I634" s="28"/>
      <c r="J634" s="273"/>
      <c r="K634" s="3"/>
      <c r="L634" s="3"/>
      <c r="M634" s="274"/>
      <c r="N634" s="1"/>
      <c r="O634" s="273"/>
      <c r="P634" s="3"/>
      <c r="Q634" s="3"/>
      <c r="R634" s="274"/>
      <c r="S634" s="1"/>
      <c r="T634" s="758"/>
      <c r="U634" s="660"/>
      <c r="V634" s="660"/>
      <c r="W634" s="661"/>
      <c r="X634" s="428"/>
      <c r="Y634" s="758">
        <f t="shared" ref="Y634:AC635" si="902">+Y651+Y664</f>
        <v>56.739350268169687</v>
      </c>
      <c r="Z634" s="660">
        <f t="shared" si="902"/>
        <v>58.144095718899777</v>
      </c>
      <c r="AA634" s="660">
        <f t="shared" si="902"/>
        <v>59.907882408454554</v>
      </c>
      <c r="AB634" s="661">
        <f t="shared" si="902"/>
        <v>55.410157602578806</v>
      </c>
      <c r="AC634" s="428">
        <f t="shared" si="902"/>
        <v>230.20148599810281</v>
      </c>
      <c r="AD634" s="758">
        <f t="shared" ref="AD634:BL635" si="903">+AD651+AD664</f>
        <v>105.96805804679488</v>
      </c>
      <c r="AE634" s="660">
        <f t="shared" si="903"/>
        <v>57.832854577175155</v>
      </c>
      <c r="AF634" s="660">
        <f t="shared" si="903"/>
        <v>57.832854577175155</v>
      </c>
      <c r="AG634" s="661">
        <f t="shared" si="903"/>
        <v>59.008419955685049</v>
      </c>
      <c r="AH634" s="428">
        <f t="shared" si="903"/>
        <v>280.64218715683023</v>
      </c>
      <c r="AI634" s="758">
        <f t="shared" si="903"/>
        <v>4.9613675242622968</v>
      </c>
      <c r="AJ634" s="660">
        <f t="shared" si="903"/>
        <v>5.0203614418181823</v>
      </c>
      <c r="AK634" s="660">
        <f t="shared" si="903"/>
        <v>5.9420214753260892</v>
      </c>
      <c r="AL634" s="661">
        <f t="shared" si="903"/>
        <v>4.5808125714285719</v>
      </c>
      <c r="AM634" s="428">
        <f t="shared" si="903"/>
        <v>20.504563012835142</v>
      </c>
      <c r="AN634" s="758">
        <f t="shared" si="903"/>
        <v>3.7553041580029807</v>
      </c>
      <c r="AO634" s="660">
        <f t="shared" si="903"/>
        <v>4.0237127324999999</v>
      </c>
      <c r="AP634" s="660">
        <f t="shared" si="903"/>
        <v>5.9241251166847819</v>
      </c>
      <c r="AQ634" s="661">
        <f t="shared" si="903"/>
        <v>4.9171402498692247</v>
      </c>
      <c r="AR634" s="428">
        <f t="shared" si="903"/>
        <v>18.620282257056985</v>
      </c>
      <c r="AS634" s="758">
        <f t="shared" si="903"/>
        <v>4.6411776424862321</v>
      </c>
      <c r="AT634" s="660">
        <f t="shared" si="903"/>
        <v>5.7060076057500018</v>
      </c>
      <c r="AU634" s="660">
        <f t="shared" ref="AU634" si="904">+AU651+AU664</f>
        <v>7.0342825028571418</v>
      </c>
      <c r="AV634" s="661">
        <f t="shared" si="903"/>
        <v>5.2469444936065575</v>
      </c>
      <c r="AW634" s="428">
        <f t="shared" si="903"/>
        <v>22.628412244699931</v>
      </c>
      <c r="AX634" s="758">
        <f t="shared" si="903"/>
        <v>5.2469444936065575</v>
      </c>
      <c r="AY634" s="660">
        <f t="shared" si="903"/>
        <v>5.1281916000000001</v>
      </c>
      <c r="AZ634" s="660">
        <f t="shared" si="903"/>
        <v>7.0687943999999998</v>
      </c>
      <c r="BA634" s="661">
        <f t="shared" si="903"/>
        <v>4.8851892000000001</v>
      </c>
      <c r="BB634" s="428">
        <f t="shared" si="903"/>
        <v>22.329119693606557</v>
      </c>
      <c r="BC634" s="758">
        <f t="shared" si="903"/>
        <v>5.3371082586179819</v>
      </c>
      <c r="BD634" s="660">
        <f t="shared" si="903"/>
        <v>4.957834110218335</v>
      </c>
      <c r="BE634" s="660">
        <f t="shared" si="903"/>
        <v>6.8390100078752152</v>
      </c>
      <c r="BF634" s="661">
        <f t="shared" si="903"/>
        <v>5.8839988232471221</v>
      </c>
      <c r="BG634" s="428">
        <f t="shared" si="903"/>
        <v>23.017951199958656</v>
      </c>
      <c r="BH634" s="758">
        <f t="shared" si="903"/>
        <v>5.9434525512493686</v>
      </c>
      <c r="BI634" s="660">
        <f t="shared" si="903"/>
        <v>5.5159139376010771</v>
      </c>
      <c r="BJ634" s="660">
        <f t="shared" si="903"/>
        <v>7.5906340825244127</v>
      </c>
      <c r="BK634" s="661">
        <f t="shared" si="903"/>
        <v>6.5460186285543625</v>
      </c>
      <c r="BL634" s="428">
        <f t="shared" si="903"/>
        <v>25.596019199929223</v>
      </c>
      <c r="BM634" s="758">
        <f t="shared" ref="BM634:BQ634" si="905">+BM651+BM664</f>
        <v>5.5126556023789872</v>
      </c>
      <c r="BN634" s="660">
        <f t="shared" si="905"/>
        <v>7.400218681792162</v>
      </c>
      <c r="BO634" s="660">
        <f t="shared" si="905"/>
        <v>8.918238094711155</v>
      </c>
      <c r="BP634" s="661">
        <f t="shared" si="905"/>
        <v>5.5996355750512725</v>
      </c>
      <c r="BQ634" s="428">
        <f t="shared" si="905"/>
        <v>27.430747953933576</v>
      </c>
      <c r="BR634" s="40"/>
      <c r="BS634" s="40"/>
      <c r="BT634" s="40"/>
      <c r="BU634" s="232"/>
      <c r="BV634" s="40"/>
      <c r="BW634" s="40"/>
      <c r="BX634" s="40"/>
      <c r="BY634" s="40"/>
      <c r="BZ634" s="40"/>
      <c r="CA634" s="40"/>
      <c r="CB634" s="40"/>
      <c r="CC634" s="40"/>
      <c r="CD634" s="40"/>
      <c r="CE634" s="40"/>
      <c r="CF634" s="40"/>
      <c r="CG634" s="40"/>
      <c r="CH634" s="40"/>
      <c r="CI634" s="40"/>
      <c r="CJ634" s="40"/>
      <c r="CK634" s="40"/>
      <c r="CL634" s="40"/>
      <c r="CM634" s="40"/>
      <c r="CN634" s="40"/>
      <c r="CO634" s="40"/>
      <c r="CP634" s="40"/>
      <c r="CQ634" s="40"/>
      <c r="CR634" s="40"/>
      <c r="CS634" s="40"/>
      <c r="CT634" s="823"/>
      <c r="CU634" s="232"/>
      <c r="CV634" s="232"/>
      <c r="CW634" s="232"/>
      <c r="CX634" s="232"/>
      <c r="CY634" s="232"/>
      <c r="CZ634" s="40"/>
      <c r="DA634" s="40"/>
      <c r="DB634" s="40"/>
      <c r="DC634" s="40"/>
      <c r="DD634" s="40"/>
      <c r="DE634" s="40"/>
      <c r="DF634" s="232"/>
      <c r="DG634" s="232"/>
      <c r="DH634" s="232"/>
      <c r="DI634" s="232"/>
      <c r="DJ634" s="232"/>
      <c r="DK634" s="232"/>
      <c r="DL634" s="232"/>
      <c r="DM634" s="232"/>
      <c r="DN634" s="232"/>
    </row>
    <row r="635" spans="1:118">
      <c r="A635" s="40"/>
      <c r="B635" s="1"/>
      <c r="C635" s="28" t="s">
        <v>278</v>
      </c>
      <c r="D635" s="1"/>
      <c r="E635" s="273"/>
      <c r="F635" s="3"/>
      <c r="G635" s="3"/>
      <c r="H635" s="274"/>
      <c r="I635" s="28"/>
      <c r="J635" s="273"/>
      <c r="K635" s="3"/>
      <c r="L635" s="3"/>
      <c r="M635" s="274"/>
      <c r="N635" s="1"/>
      <c r="O635" s="273"/>
      <c r="P635" s="3"/>
      <c r="Q635" s="3"/>
      <c r="R635" s="274"/>
      <c r="S635" s="1"/>
      <c r="T635" s="758"/>
      <c r="U635" s="660"/>
      <c r="V635" s="660"/>
      <c r="W635" s="661"/>
      <c r="X635" s="428"/>
      <c r="Y635" s="758">
        <f t="shared" si="902"/>
        <v>7.1292551470588235</v>
      </c>
      <c r="Z635" s="660">
        <f t="shared" si="902"/>
        <v>7.1292551470588235</v>
      </c>
      <c r="AA635" s="660">
        <f t="shared" si="902"/>
        <v>7.1292551470588235</v>
      </c>
      <c r="AB635" s="661">
        <f t="shared" si="902"/>
        <v>7.1292551470588235</v>
      </c>
      <c r="AC635" s="428">
        <f t="shared" si="902"/>
        <v>28.517020588235294</v>
      </c>
      <c r="AD635" s="1545">
        <f t="shared" ref="AD635:AR635" si="906">+AD652+AD665</f>
        <v>52.60062940520362</v>
      </c>
      <c r="AE635" s="660">
        <f t="shared" si="906"/>
        <v>7.1292551470588235</v>
      </c>
      <c r="AF635" s="660">
        <f t="shared" si="906"/>
        <v>48.113539297058836</v>
      </c>
      <c r="AG635" s="661">
        <f t="shared" si="906"/>
        <v>47.207361716402708</v>
      </c>
      <c r="AH635" s="428">
        <f t="shared" si="906"/>
        <v>155.050785565724</v>
      </c>
      <c r="AI635" s="758">
        <f t="shared" si="906"/>
        <v>5.4304706606334845</v>
      </c>
      <c r="AJ635" s="660">
        <f t="shared" si="906"/>
        <v>5.4241920000000006</v>
      </c>
      <c r="AK635" s="660">
        <f t="shared" si="906"/>
        <v>5.4304706606334845</v>
      </c>
      <c r="AL635" s="661">
        <f t="shared" si="906"/>
        <v>5.3933694841628963</v>
      </c>
      <c r="AM635" s="428">
        <f t="shared" si="906"/>
        <v>21.678502805429865</v>
      </c>
      <c r="AN635" s="758">
        <f t="shared" si="906"/>
        <v>5.1616298280542985</v>
      </c>
      <c r="AO635" s="660">
        <f t="shared" si="906"/>
        <v>5.0725870045248875</v>
      </c>
      <c r="AP635" s="660">
        <f t="shared" si="906"/>
        <v>4.9927583193277307</v>
      </c>
      <c r="AQ635" s="661">
        <f t="shared" si="906"/>
        <v>5.097130859728507</v>
      </c>
      <c r="AR635" s="428">
        <f t="shared" si="906"/>
        <v>20.324106011635422</v>
      </c>
      <c r="AS635" s="758">
        <f t="shared" si="903"/>
        <v>5.4127762533936643</v>
      </c>
      <c r="AT635" s="660">
        <f t="shared" si="903"/>
        <v>5.431269762895929</v>
      </c>
      <c r="AU635" s="660">
        <f t="shared" ref="AU635" si="907">+AU652+AU665</f>
        <v>5.4191690714932133</v>
      </c>
      <c r="AV635" s="661">
        <f t="shared" si="903"/>
        <v>5.534924742081448</v>
      </c>
      <c r="AW635" s="428">
        <f t="shared" si="903"/>
        <v>21.798139829864251</v>
      </c>
      <c r="AX635" s="758">
        <f t="shared" si="903"/>
        <v>5.534924742081448</v>
      </c>
      <c r="AY635" s="660">
        <f t="shared" si="903"/>
        <v>5.342569411764706</v>
      </c>
      <c r="AZ635" s="660">
        <f t="shared" si="903"/>
        <v>5.3945110588235297</v>
      </c>
      <c r="BA635" s="661">
        <f t="shared" si="903"/>
        <v>5.4390324705882351</v>
      </c>
      <c r="BB635" s="428">
        <f t="shared" si="903"/>
        <v>21.711037683257917</v>
      </c>
      <c r="BC635" s="758">
        <f t="shared" si="903"/>
        <v>5.4507048634016932</v>
      </c>
      <c r="BD635" s="660">
        <f t="shared" si="903"/>
        <v>5.4507048634016932</v>
      </c>
      <c r="BE635" s="660">
        <f t="shared" si="903"/>
        <v>5.4507048634016932</v>
      </c>
      <c r="BF635" s="661">
        <f t="shared" si="903"/>
        <v>5.4040152921478626</v>
      </c>
      <c r="BG635" s="428">
        <f t="shared" si="903"/>
        <v>21.756129882352944</v>
      </c>
      <c r="BH635" s="758">
        <f t="shared" si="903"/>
        <v>5.4507048634016932</v>
      </c>
      <c r="BI635" s="660">
        <f t="shared" si="903"/>
        <v>5.4507048634016932</v>
      </c>
      <c r="BJ635" s="660">
        <f t="shared" si="903"/>
        <v>5.4507048634016932</v>
      </c>
      <c r="BK635" s="661">
        <f t="shared" si="903"/>
        <v>5.4040152921478626</v>
      </c>
      <c r="BL635" s="428">
        <f t="shared" si="903"/>
        <v>21.756129882352944</v>
      </c>
      <c r="BM635" s="758">
        <f t="shared" ref="BM635:BQ635" si="908">+BM652+BM665</f>
        <v>5.4507048634016932</v>
      </c>
      <c r="BN635" s="660">
        <f t="shared" si="908"/>
        <v>5.4507048634016932</v>
      </c>
      <c r="BO635" s="660">
        <f t="shared" si="908"/>
        <v>5.4507048634016932</v>
      </c>
      <c r="BP635" s="661">
        <f t="shared" si="908"/>
        <v>5.4040152921478626</v>
      </c>
      <c r="BQ635" s="428">
        <f t="shared" si="908"/>
        <v>21.756129882352944</v>
      </c>
      <c r="BR635" s="40"/>
      <c r="BS635" s="40"/>
      <c r="BT635" s="40"/>
      <c r="BU635" s="232"/>
      <c r="BV635" s="40"/>
      <c r="BW635" s="40"/>
      <c r="BX635" s="40"/>
      <c r="BY635" s="40"/>
      <c r="BZ635" s="40"/>
      <c r="CA635" s="40"/>
      <c r="CB635" s="40"/>
      <c r="CC635" s="40"/>
      <c r="CD635" s="40"/>
      <c r="CE635" s="40"/>
      <c r="CF635" s="40"/>
      <c r="CG635" s="40"/>
      <c r="CH635" s="40"/>
      <c r="CI635" s="40"/>
      <c r="CJ635" s="40"/>
      <c r="CK635" s="40"/>
      <c r="CL635" s="40"/>
      <c r="CM635" s="40"/>
      <c r="CN635" s="40"/>
      <c r="CO635" s="40"/>
      <c r="CP635" s="40"/>
      <c r="CQ635" s="40"/>
      <c r="CR635" s="40"/>
      <c r="CS635" s="40"/>
      <c r="CT635" s="823"/>
      <c r="CU635" s="232"/>
      <c r="CV635" s="232"/>
      <c r="CW635" s="232"/>
      <c r="CX635" s="232"/>
      <c r="CY635" s="232"/>
      <c r="CZ635" s="40"/>
      <c r="DA635" s="40"/>
      <c r="DB635" s="40"/>
      <c r="DC635" s="40"/>
      <c r="DD635" s="40"/>
      <c r="DE635" s="40"/>
      <c r="DF635" s="232"/>
      <c r="DG635" s="232"/>
      <c r="DH635" s="232"/>
      <c r="DI635" s="232"/>
      <c r="DJ635" s="232"/>
      <c r="DK635" s="232"/>
      <c r="DL635" s="232"/>
      <c r="DM635" s="232"/>
      <c r="DN635" s="232"/>
    </row>
    <row r="636" spans="1:118">
      <c r="A636" s="40"/>
      <c r="B636" s="1"/>
      <c r="C636" s="32" t="s">
        <v>199</v>
      </c>
      <c r="D636" s="32"/>
      <c r="E636" s="489"/>
      <c r="F636" s="342"/>
      <c r="G636" s="342"/>
      <c r="H636" s="490"/>
      <c r="I636" s="28"/>
      <c r="J636" s="489"/>
      <c r="K636" s="342"/>
      <c r="L636" s="342"/>
      <c r="M636" s="490"/>
      <c r="N636" s="32"/>
      <c r="O636" s="489"/>
      <c r="P636" s="342"/>
      <c r="Q636" s="342"/>
      <c r="R636" s="490"/>
      <c r="S636" s="32"/>
      <c r="T636" s="292"/>
      <c r="U636" s="261"/>
      <c r="V636" s="261"/>
      <c r="W636" s="293"/>
      <c r="X636" s="228"/>
      <c r="Y636" s="292">
        <f>Y634-Y635</f>
        <v>49.610095121110867</v>
      </c>
      <c r="Z636" s="261">
        <f>Z634-Z635</f>
        <v>51.014840571840956</v>
      </c>
      <c r="AA636" s="261">
        <f>AA634-AA635</f>
        <v>52.778627261395734</v>
      </c>
      <c r="AB636" s="293">
        <f>AB634-AB635</f>
        <v>48.280902455519985</v>
      </c>
      <c r="AC636" s="228">
        <f>AC634-AC635</f>
        <v>201.68446540986753</v>
      </c>
      <c r="AD636" s="292">
        <f t="shared" ref="AD636:BL636" si="909">AD634-AD635</f>
        <v>53.36742864159126</v>
      </c>
      <c r="AE636" s="261">
        <f>AE634-AE635</f>
        <v>50.703599430116334</v>
      </c>
      <c r="AF636" s="261">
        <f t="shared" si="909"/>
        <v>9.7193152801163194</v>
      </c>
      <c r="AG636" s="293">
        <f t="shared" si="909"/>
        <v>11.801058239282341</v>
      </c>
      <c r="AH636" s="228">
        <f t="shared" si="909"/>
        <v>125.59140159110623</v>
      </c>
      <c r="AI636" s="292">
        <f t="shared" si="909"/>
        <v>-0.46910313637118772</v>
      </c>
      <c r="AJ636" s="261">
        <f t="shared" si="909"/>
        <v>-0.40383055818181823</v>
      </c>
      <c r="AK636" s="261">
        <f t="shared" si="909"/>
        <v>0.51155081469260466</v>
      </c>
      <c r="AL636" s="293">
        <f t="shared" si="909"/>
        <v>-0.8125569127343244</v>
      </c>
      <c r="AM636" s="228">
        <f t="shared" si="909"/>
        <v>-1.173939792594723</v>
      </c>
      <c r="AN636" s="292">
        <f t="shared" si="909"/>
        <v>-1.4063256700513178</v>
      </c>
      <c r="AO636" s="261">
        <f t="shared" si="909"/>
        <v>-1.0488742720248876</v>
      </c>
      <c r="AP636" s="261">
        <f t="shared" si="909"/>
        <v>0.93136679735705119</v>
      </c>
      <c r="AQ636" s="293">
        <f t="shared" si="909"/>
        <v>-0.17999060985928228</v>
      </c>
      <c r="AR636" s="228">
        <f t="shared" si="909"/>
        <v>-1.7038237545784369</v>
      </c>
      <c r="AS636" s="292">
        <f t="shared" si="909"/>
        <v>-0.7715986109074322</v>
      </c>
      <c r="AT636" s="261">
        <f t="shared" si="909"/>
        <v>0.27473784285407277</v>
      </c>
      <c r="AU636" s="261">
        <f t="shared" ref="AU636" si="910">AU634-AU635</f>
        <v>1.6151134313639286</v>
      </c>
      <c r="AV636" s="293">
        <f t="shared" si="909"/>
        <v>-0.28798024847489057</v>
      </c>
      <c r="AW636" s="228">
        <f t="shared" si="909"/>
        <v>0.83027241483567948</v>
      </c>
      <c r="AX636" s="292">
        <f t="shared" si="909"/>
        <v>-0.28798024847489057</v>
      </c>
      <c r="AY636" s="261">
        <f t="shared" si="909"/>
        <v>-0.21437781176470594</v>
      </c>
      <c r="AZ636" s="261">
        <f t="shared" si="909"/>
        <v>1.6742833411764702</v>
      </c>
      <c r="BA636" s="293">
        <f t="shared" si="909"/>
        <v>-0.55384327058823501</v>
      </c>
      <c r="BB636" s="228">
        <f t="shared" si="909"/>
        <v>0.61808201034864041</v>
      </c>
      <c r="BC636" s="292">
        <f t="shared" si="909"/>
        <v>-0.11359660478371136</v>
      </c>
      <c r="BD636" s="261">
        <f t="shared" si="909"/>
        <v>-0.49287075318335827</v>
      </c>
      <c r="BE636" s="261">
        <f t="shared" si="909"/>
        <v>1.3883051444735219</v>
      </c>
      <c r="BF636" s="293">
        <f t="shared" si="909"/>
        <v>0.47998353109925951</v>
      </c>
      <c r="BG636" s="228">
        <f t="shared" si="909"/>
        <v>1.2618213176057118</v>
      </c>
      <c r="BH636" s="292">
        <f t="shared" si="909"/>
        <v>0.49274768784767531</v>
      </c>
      <c r="BI636" s="261">
        <f t="shared" si="909"/>
        <v>6.5209074199383821E-2</v>
      </c>
      <c r="BJ636" s="261">
        <f t="shared" si="909"/>
        <v>2.1399292191227195</v>
      </c>
      <c r="BK636" s="293">
        <f t="shared" si="909"/>
        <v>1.1420033364064999</v>
      </c>
      <c r="BL636" s="228">
        <f t="shared" si="909"/>
        <v>3.8398893175762794</v>
      </c>
      <c r="BM636" s="292">
        <f t="shared" ref="BM636:BQ636" si="911">BM634-BM635</f>
        <v>6.1950738977293973E-2</v>
      </c>
      <c r="BN636" s="261">
        <f t="shared" si="911"/>
        <v>1.9495138183904688</v>
      </c>
      <c r="BO636" s="261">
        <f t="shared" si="911"/>
        <v>3.4675332313094618</v>
      </c>
      <c r="BP636" s="293">
        <f t="shared" si="911"/>
        <v>0.19562028290340994</v>
      </c>
      <c r="BQ636" s="228">
        <f t="shared" si="911"/>
        <v>5.6746180715806318</v>
      </c>
      <c r="BR636" s="40"/>
      <c r="BS636" s="40"/>
      <c r="BT636" s="40"/>
      <c r="BU636" s="232"/>
      <c r="BV636" s="40"/>
      <c r="BW636" s="40"/>
      <c r="BX636" s="40"/>
      <c r="BY636" s="40"/>
      <c r="BZ636" s="40"/>
      <c r="CA636" s="40"/>
      <c r="CB636" s="40"/>
      <c r="CC636" s="40"/>
      <c r="CD636" s="40"/>
      <c r="CE636" s="40"/>
      <c r="CF636" s="40"/>
      <c r="CG636" s="40"/>
      <c r="CH636" s="40"/>
      <c r="CI636" s="40"/>
      <c r="CJ636" s="40"/>
      <c r="CK636" s="40"/>
      <c r="CL636" s="40"/>
      <c r="CM636" s="40"/>
      <c r="CN636" s="40"/>
      <c r="CO636" s="40"/>
      <c r="CP636" s="40"/>
      <c r="CQ636" s="40"/>
      <c r="CR636" s="40"/>
      <c r="CS636" s="40"/>
      <c r="CT636" s="823"/>
      <c r="CU636" s="232"/>
      <c r="CV636" s="232"/>
      <c r="CW636" s="232"/>
      <c r="CX636" s="232"/>
      <c r="CY636" s="232"/>
      <c r="CZ636" s="40"/>
      <c r="DA636" s="40"/>
      <c r="DB636" s="40"/>
      <c r="DC636" s="40"/>
      <c r="DD636" s="40"/>
      <c r="DE636" s="40"/>
      <c r="DF636" s="232"/>
      <c r="DG636" s="232"/>
      <c r="DH636" s="232"/>
      <c r="DI636" s="232"/>
      <c r="DJ636" s="232"/>
      <c r="DK636" s="232"/>
      <c r="DL636" s="232"/>
      <c r="DM636" s="232"/>
      <c r="DN636" s="232"/>
    </row>
    <row r="637" spans="1:118">
      <c r="A637" s="40"/>
      <c r="B637" s="1"/>
      <c r="C637" s="1"/>
      <c r="D637" s="1"/>
      <c r="E637" s="273"/>
      <c r="F637" s="3"/>
      <c r="G637" s="3"/>
      <c r="H637" s="274"/>
      <c r="I637" s="28"/>
      <c r="J637" s="273"/>
      <c r="K637" s="3"/>
      <c r="L637" s="3"/>
      <c r="M637" s="274"/>
      <c r="N637" s="1"/>
      <c r="O637" s="273"/>
      <c r="P637" s="3"/>
      <c r="Q637" s="3"/>
      <c r="R637" s="274"/>
      <c r="S637" s="1"/>
      <c r="T637" s="273"/>
      <c r="U637" s="3"/>
      <c r="V637" s="3"/>
      <c r="W637" s="274"/>
      <c r="X637" s="1"/>
      <c r="Y637" s="273"/>
      <c r="Z637" s="3"/>
      <c r="AA637" s="3"/>
      <c r="AB637" s="274"/>
      <c r="AC637" s="1"/>
      <c r="AD637" s="273"/>
      <c r="AE637" s="3"/>
      <c r="AF637" s="3"/>
      <c r="AG637" s="274"/>
      <c r="AH637" s="1"/>
      <c r="AI637" s="273"/>
      <c r="AJ637" s="3"/>
      <c r="AK637" s="3"/>
      <c r="AL637" s="274"/>
      <c r="AM637" s="1"/>
      <c r="AN637" s="273"/>
      <c r="AO637" s="3"/>
      <c r="AP637" s="3"/>
      <c r="AQ637" s="274"/>
      <c r="AR637" s="1"/>
      <c r="AS637" s="273"/>
      <c r="AT637" s="3"/>
      <c r="AU637" s="3"/>
      <c r="AV637" s="274"/>
      <c r="AW637" s="1"/>
      <c r="AX637" s="273"/>
      <c r="AY637" s="3"/>
      <c r="AZ637" s="3"/>
      <c r="BA637" s="274"/>
      <c r="BB637" s="1"/>
      <c r="BC637" s="273"/>
      <c r="BD637" s="3"/>
      <c r="BE637" s="3"/>
      <c r="BF637" s="274"/>
      <c r="BG637" s="1"/>
      <c r="BH637" s="273"/>
      <c r="BI637" s="3"/>
      <c r="BJ637" s="3"/>
      <c r="BK637" s="274"/>
      <c r="BL637" s="1"/>
      <c r="BM637" s="273"/>
      <c r="BN637" s="3"/>
      <c r="BO637" s="3"/>
      <c r="BP637" s="274"/>
      <c r="BQ637" s="1"/>
      <c r="BR637" s="40"/>
      <c r="BS637" s="40"/>
      <c r="BT637" s="40"/>
      <c r="BU637" s="232"/>
      <c r="BV637" s="40"/>
      <c r="BW637" s="40"/>
      <c r="BX637" s="40"/>
      <c r="BY637" s="40"/>
      <c r="BZ637" s="40"/>
      <c r="CA637" s="40"/>
      <c r="CB637" s="40"/>
      <c r="CC637" s="40"/>
      <c r="CD637" s="40"/>
      <c r="CE637" s="40"/>
      <c r="CF637" s="40"/>
      <c r="CG637" s="40"/>
      <c r="CH637" s="40"/>
      <c r="CI637" s="40"/>
      <c r="CJ637" s="40"/>
      <c r="CK637" s="40"/>
      <c r="CL637" s="40"/>
      <c r="CM637" s="40"/>
      <c r="CN637" s="40"/>
      <c r="CO637" s="40"/>
      <c r="CP637" s="40"/>
      <c r="CQ637" s="40"/>
      <c r="CR637" s="40"/>
      <c r="CS637" s="40"/>
      <c r="CT637" s="823"/>
      <c r="CU637" s="232"/>
      <c r="CV637" s="232"/>
      <c r="CW637" s="232"/>
      <c r="CX637" s="232"/>
      <c r="CY637" s="232"/>
      <c r="CZ637" s="40"/>
      <c r="DA637" s="40"/>
      <c r="DB637" s="40"/>
      <c r="DC637" s="40"/>
      <c r="DD637" s="40"/>
      <c r="DE637" s="40"/>
      <c r="DF637" s="232"/>
      <c r="DG637" s="232"/>
      <c r="DH637" s="232"/>
      <c r="DI637" s="232"/>
      <c r="DJ637" s="232"/>
      <c r="DK637" s="232"/>
      <c r="DL637" s="232"/>
      <c r="DM637" s="232"/>
      <c r="DN637" s="232"/>
    </row>
    <row r="638" spans="1:118">
      <c r="A638" s="40"/>
      <c r="B638" s="28"/>
      <c r="C638" s="28" t="s">
        <v>853</v>
      </c>
      <c r="D638" s="28"/>
      <c r="E638" s="290"/>
      <c r="F638" s="260"/>
      <c r="G638" s="260"/>
      <c r="H638" s="291"/>
      <c r="I638" s="28"/>
      <c r="J638" s="290"/>
      <c r="K638" s="260"/>
      <c r="L638" s="260"/>
      <c r="M638" s="291"/>
      <c r="N638" s="45"/>
      <c r="O638" s="290"/>
      <c r="P638" s="260"/>
      <c r="Q638" s="260"/>
      <c r="R638" s="291"/>
      <c r="S638" s="45"/>
      <c r="T638" s="758"/>
      <c r="U638" s="260"/>
      <c r="V638" s="260"/>
      <c r="W638" s="291"/>
      <c r="X638" s="45"/>
      <c r="Y638" s="290">
        <f>+Y646+Y659</f>
        <v>1409</v>
      </c>
      <c r="Z638" s="260">
        <f>+Z646+Z659</f>
        <v>1409</v>
      </c>
      <c r="AA638" s="260">
        <f>+AA646+AA659</f>
        <v>1409</v>
      </c>
      <c r="AB638" s="291">
        <f>+AB646+AB659</f>
        <v>1409</v>
      </c>
      <c r="AC638" s="45">
        <f>+AC646+AC659</f>
        <v>1409</v>
      </c>
      <c r="AD638" s="290">
        <f t="shared" ref="AD638:BL638" si="912">+AD646+AD659</f>
        <v>1409</v>
      </c>
      <c r="AE638" s="260">
        <f>+AE646+AE659</f>
        <v>1409</v>
      </c>
      <c r="AF638" s="260">
        <f t="shared" si="912"/>
        <v>1409</v>
      </c>
      <c r="AG638" s="291">
        <f t="shared" si="912"/>
        <v>1409</v>
      </c>
      <c r="AH638" s="45">
        <f t="shared" si="912"/>
        <v>1409</v>
      </c>
      <c r="AI638" s="290">
        <f t="shared" si="912"/>
        <v>160</v>
      </c>
      <c r="AJ638" s="260">
        <f t="shared" si="912"/>
        <v>160</v>
      </c>
      <c r="AK638" s="260">
        <f t="shared" si="912"/>
        <v>160</v>
      </c>
      <c r="AL638" s="291">
        <f t="shared" si="912"/>
        <v>160</v>
      </c>
      <c r="AM638" s="45">
        <f t="shared" si="912"/>
        <v>160</v>
      </c>
      <c r="AN638" s="290">
        <f t="shared" si="912"/>
        <v>160</v>
      </c>
      <c r="AO638" s="260">
        <f t="shared" si="912"/>
        <v>160</v>
      </c>
      <c r="AP638" s="260">
        <f t="shared" si="912"/>
        <v>160</v>
      </c>
      <c r="AQ638" s="291">
        <f t="shared" si="912"/>
        <v>160</v>
      </c>
      <c r="AR638" s="45">
        <f t="shared" si="912"/>
        <v>160</v>
      </c>
      <c r="AS638" s="290">
        <f t="shared" si="912"/>
        <v>160</v>
      </c>
      <c r="AT638" s="260">
        <f t="shared" si="912"/>
        <v>160</v>
      </c>
      <c r="AU638" s="260">
        <f t="shared" ref="AU638" si="913">+AU646+AU659</f>
        <v>160</v>
      </c>
      <c r="AV638" s="291">
        <f t="shared" si="912"/>
        <v>160</v>
      </c>
      <c r="AW638" s="45">
        <f t="shared" si="912"/>
        <v>160</v>
      </c>
      <c r="AX638" s="290">
        <f t="shared" si="912"/>
        <v>160</v>
      </c>
      <c r="AY638" s="260">
        <f t="shared" si="912"/>
        <v>160</v>
      </c>
      <c r="AZ638" s="260">
        <f t="shared" si="912"/>
        <v>160</v>
      </c>
      <c r="BA638" s="291">
        <f t="shared" si="912"/>
        <v>160</v>
      </c>
      <c r="BB638" s="45">
        <f t="shared" si="912"/>
        <v>160</v>
      </c>
      <c r="BC638" s="290">
        <f t="shared" si="912"/>
        <v>160</v>
      </c>
      <c r="BD638" s="260">
        <f t="shared" si="912"/>
        <v>160</v>
      </c>
      <c r="BE638" s="260">
        <f t="shared" si="912"/>
        <v>160</v>
      </c>
      <c r="BF638" s="291">
        <f t="shared" si="912"/>
        <v>160</v>
      </c>
      <c r="BG638" s="45">
        <f t="shared" si="912"/>
        <v>160</v>
      </c>
      <c r="BH638" s="290">
        <f t="shared" si="912"/>
        <v>160</v>
      </c>
      <c r="BI638" s="260">
        <f t="shared" si="912"/>
        <v>160</v>
      </c>
      <c r="BJ638" s="260">
        <f t="shared" si="912"/>
        <v>160</v>
      </c>
      <c r="BK638" s="291">
        <f t="shared" si="912"/>
        <v>160</v>
      </c>
      <c r="BL638" s="45">
        <f t="shared" si="912"/>
        <v>160</v>
      </c>
      <c r="BM638" s="290">
        <f t="shared" ref="BM638:BQ638" si="914">+BM646+BM659</f>
        <v>160</v>
      </c>
      <c r="BN638" s="260">
        <f t="shared" si="914"/>
        <v>160</v>
      </c>
      <c r="BO638" s="260">
        <f t="shared" si="914"/>
        <v>160</v>
      </c>
      <c r="BP638" s="291">
        <f t="shared" si="914"/>
        <v>160</v>
      </c>
      <c r="BQ638" s="45">
        <f t="shared" si="914"/>
        <v>160</v>
      </c>
      <c r="BR638" s="40"/>
      <c r="BS638" s="40"/>
      <c r="BT638" s="40"/>
      <c r="BU638" s="232"/>
      <c r="BV638" s="40"/>
      <c r="BW638" s="40"/>
      <c r="BX638" s="40"/>
      <c r="BY638" s="40"/>
      <c r="BZ638" s="40"/>
      <c r="CA638" s="40"/>
      <c r="CB638" s="40"/>
      <c r="CC638" s="40"/>
      <c r="CD638" s="40"/>
      <c r="CE638" s="40"/>
      <c r="CF638" s="40"/>
      <c r="CG638" s="40"/>
      <c r="CH638" s="40"/>
      <c r="CI638" s="40"/>
      <c r="CJ638" s="40"/>
      <c r="CK638" s="40"/>
      <c r="CL638" s="40"/>
      <c r="CM638" s="40"/>
      <c r="CN638" s="40"/>
      <c r="CO638" s="40"/>
      <c r="CP638" s="40"/>
      <c r="CQ638" s="40"/>
      <c r="CR638" s="40"/>
      <c r="CS638" s="40"/>
      <c r="CT638" s="823"/>
      <c r="CU638" s="232"/>
      <c r="CV638" s="232"/>
      <c r="CW638" s="232"/>
      <c r="CX638" s="232"/>
      <c r="CY638" s="232"/>
      <c r="CZ638" s="40"/>
      <c r="DA638" s="40"/>
      <c r="DB638" s="40"/>
      <c r="DC638" s="40"/>
      <c r="DD638" s="40"/>
      <c r="DE638" s="40"/>
      <c r="DF638" s="232"/>
      <c r="DG638" s="232"/>
      <c r="DH638" s="232"/>
      <c r="DI638" s="232"/>
      <c r="DJ638" s="232"/>
      <c r="DK638" s="232"/>
      <c r="DL638" s="232"/>
      <c r="DM638" s="232"/>
      <c r="DN638" s="232"/>
    </row>
    <row r="639" spans="1:118">
      <c r="A639" s="40"/>
      <c r="B639" s="28"/>
      <c r="C639" s="28" t="s">
        <v>198</v>
      </c>
      <c r="D639" s="28"/>
      <c r="E639" s="305"/>
      <c r="F639" s="36"/>
      <c r="G639" s="36"/>
      <c r="H639" s="685"/>
      <c r="I639" s="28"/>
      <c r="J639" s="305"/>
      <c r="K639" s="36"/>
      <c r="L639" s="36"/>
      <c r="M639" s="685"/>
      <c r="N639" s="995"/>
      <c r="O639" s="305"/>
      <c r="P639" s="36"/>
      <c r="Q639" s="36"/>
      <c r="R639" s="685"/>
      <c r="S639" s="28"/>
      <c r="T639" s="308"/>
      <c r="U639" s="244"/>
      <c r="V639" s="244"/>
      <c r="W639" s="309"/>
      <c r="X639" s="24"/>
      <c r="Y639" s="308">
        <f>+Y649+Y662</f>
        <v>1851.4259999999999</v>
      </c>
      <c r="Z639" s="244">
        <f>+Z649+Z662</f>
        <v>1851.4259999999999</v>
      </c>
      <c r="AA639" s="244">
        <f>+AA649+AA662</f>
        <v>1851.4259999999999</v>
      </c>
      <c r="AB639" s="309">
        <f>+AB649+AB662</f>
        <v>1851.4259999999999</v>
      </c>
      <c r="AC639" s="24">
        <f>+AC649+AC662</f>
        <v>7405.7039999999997</v>
      </c>
      <c r="AD639" s="308">
        <f t="shared" ref="AD639:BL639" si="915">+AD649+AD662</f>
        <v>1851.4259999999999</v>
      </c>
      <c r="AE639" s="244">
        <f>+AE649+AE662</f>
        <v>1851.4259999999999</v>
      </c>
      <c r="AF639" s="244">
        <f t="shared" si="915"/>
        <v>1851.4259999999999</v>
      </c>
      <c r="AG639" s="309">
        <f t="shared" si="915"/>
        <v>1851.4259999999999</v>
      </c>
      <c r="AH639" s="24">
        <f t="shared" si="915"/>
        <v>7405.7039999999997</v>
      </c>
      <c r="AI639" s="308">
        <f t="shared" si="915"/>
        <v>210.24</v>
      </c>
      <c r="AJ639" s="244">
        <f t="shared" si="915"/>
        <v>210.24</v>
      </c>
      <c r="AK639" s="244">
        <f t="shared" si="915"/>
        <v>210.24</v>
      </c>
      <c r="AL639" s="309">
        <f t="shared" si="915"/>
        <v>210.24</v>
      </c>
      <c r="AM639" s="24">
        <f t="shared" si="915"/>
        <v>840.96</v>
      </c>
      <c r="AN639" s="308">
        <f t="shared" si="915"/>
        <v>210.24</v>
      </c>
      <c r="AO639" s="244">
        <f t="shared" si="915"/>
        <v>210.24</v>
      </c>
      <c r="AP639" s="244">
        <f t="shared" si="915"/>
        <v>210.24</v>
      </c>
      <c r="AQ639" s="309">
        <f t="shared" si="915"/>
        <v>210.24</v>
      </c>
      <c r="AR639" s="24">
        <f t="shared" si="915"/>
        <v>840.96</v>
      </c>
      <c r="AS639" s="308">
        <f t="shared" si="915"/>
        <v>210.24</v>
      </c>
      <c r="AT639" s="244">
        <f t="shared" si="915"/>
        <v>210.24</v>
      </c>
      <c r="AU639" s="244">
        <f t="shared" ref="AU639" si="916">+AU649+AU662</f>
        <v>210.24</v>
      </c>
      <c r="AV639" s="309">
        <f t="shared" si="915"/>
        <v>210.24</v>
      </c>
      <c r="AW639" s="24">
        <f t="shared" si="915"/>
        <v>840.96</v>
      </c>
      <c r="AX639" s="308">
        <f t="shared" si="915"/>
        <v>210.24</v>
      </c>
      <c r="AY639" s="244">
        <f t="shared" si="915"/>
        <v>210.24</v>
      </c>
      <c r="AZ639" s="244">
        <f t="shared" si="915"/>
        <v>210.24</v>
      </c>
      <c r="BA639" s="309">
        <f t="shared" si="915"/>
        <v>210.24</v>
      </c>
      <c r="BB639" s="24">
        <f t="shared" si="915"/>
        <v>840.96</v>
      </c>
      <c r="BC639" s="308">
        <f t="shared" si="915"/>
        <v>210.24</v>
      </c>
      <c r="BD639" s="244">
        <f t="shared" si="915"/>
        <v>210.24</v>
      </c>
      <c r="BE639" s="244">
        <f t="shared" si="915"/>
        <v>210.24</v>
      </c>
      <c r="BF639" s="309">
        <f t="shared" si="915"/>
        <v>210.24</v>
      </c>
      <c r="BG639" s="24">
        <f t="shared" si="915"/>
        <v>840.96</v>
      </c>
      <c r="BH639" s="308">
        <f t="shared" si="915"/>
        <v>210.24</v>
      </c>
      <c r="BI639" s="244">
        <f t="shared" si="915"/>
        <v>210.24</v>
      </c>
      <c r="BJ639" s="244">
        <f t="shared" si="915"/>
        <v>210.24</v>
      </c>
      <c r="BK639" s="309">
        <f t="shared" si="915"/>
        <v>210.24</v>
      </c>
      <c r="BL639" s="24">
        <f t="shared" si="915"/>
        <v>840.96</v>
      </c>
      <c r="BM639" s="308">
        <f t="shared" ref="BM639:BQ639" si="917">+BM649+BM662</f>
        <v>210.24</v>
      </c>
      <c r="BN639" s="244">
        <f t="shared" si="917"/>
        <v>210.24</v>
      </c>
      <c r="BO639" s="244">
        <f t="shared" si="917"/>
        <v>210.24</v>
      </c>
      <c r="BP639" s="309">
        <f t="shared" si="917"/>
        <v>210.24</v>
      </c>
      <c r="BQ639" s="24">
        <f t="shared" si="917"/>
        <v>840.96</v>
      </c>
      <c r="BR639" s="40"/>
      <c r="BS639" s="40"/>
      <c r="BT639" s="40"/>
      <c r="BU639" s="232"/>
      <c r="BV639" s="40"/>
      <c r="BW639" s="40"/>
      <c r="BX639" s="40"/>
      <c r="BY639" s="40"/>
      <c r="BZ639" s="40"/>
      <c r="CA639" s="40"/>
      <c r="CB639" s="40"/>
      <c r="CC639" s="40"/>
      <c r="CD639" s="40"/>
      <c r="CE639" s="40"/>
      <c r="CF639" s="40"/>
      <c r="CG639" s="40"/>
      <c r="CH639" s="40"/>
      <c r="CI639" s="40"/>
      <c r="CJ639" s="40"/>
      <c r="CK639" s="40"/>
      <c r="CL639" s="40"/>
      <c r="CM639" s="40"/>
      <c r="CN639" s="40"/>
      <c r="CO639" s="40"/>
      <c r="CP639" s="40"/>
      <c r="CQ639" s="40"/>
      <c r="CR639" s="40"/>
      <c r="CS639" s="40"/>
      <c r="CT639" s="823"/>
      <c r="CU639" s="232"/>
      <c r="CV639" s="232"/>
      <c r="CW639" s="232"/>
      <c r="CX639" s="232"/>
      <c r="CY639" s="232"/>
      <c r="CZ639" s="40"/>
      <c r="DA639" s="40"/>
      <c r="DB639" s="40"/>
      <c r="DC639" s="40"/>
      <c r="DD639" s="40"/>
      <c r="DE639" s="40"/>
      <c r="DF639" s="232"/>
      <c r="DG639" s="232"/>
      <c r="DH639" s="232"/>
      <c r="DI639" s="232"/>
      <c r="DJ639" s="232"/>
      <c r="DK639" s="232"/>
      <c r="DL639" s="232"/>
      <c r="DM639" s="232"/>
      <c r="DN639" s="232"/>
    </row>
    <row r="640" spans="1:118">
      <c r="A640" s="40"/>
      <c r="B640" s="1"/>
      <c r="C640" s="28" t="s">
        <v>854</v>
      </c>
      <c r="D640" s="1"/>
      <c r="E640" s="273"/>
      <c r="F640" s="3"/>
      <c r="G640" s="3"/>
      <c r="H640" s="274"/>
      <c r="I640" s="28"/>
      <c r="J640" s="273"/>
      <c r="K640" s="3"/>
      <c r="L640" s="3"/>
      <c r="M640" s="274"/>
      <c r="N640" s="1"/>
      <c r="O640" s="273"/>
      <c r="P640" s="3"/>
      <c r="Q640" s="3"/>
      <c r="R640" s="274"/>
      <c r="S640" s="1"/>
      <c r="T640" s="277"/>
      <c r="U640" s="253"/>
      <c r="V640" s="253"/>
      <c r="W640" s="278"/>
      <c r="X640" s="765"/>
      <c r="Y640" s="277">
        <f>Y639/(Y638*8.76/4)</f>
        <v>0.6</v>
      </c>
      <c r="Z640" s="253">
        <f>Z639/(Z638*8.76/4)</f>
        <v>0.6</v>
      </c>
      <c r="AA640" s="253">
        <f>AA639/(AA638*8.76/4)</f>
        <v>0.6</v>
      </c>
      <c r="AB640" s="278">
        <f>AB639/(AB638*8.76/4)</f>
        <v>0.6</v>
      </c>
      <c r="AC640" s="765">
        <f>AC639/(AC638*8.76)</f>
        <v>0.6</v>
      </c>
      <c r="AD640" s="277">
        <f t="shared" ref="AD640:AQ640" si="918">AD639/(AD638*8.76/4)</f>
        <v>0.6</v>
      </c>
      <c r="AE640" s="253">
        <f>AE639/(AE638*8.76/4)</f>
        <v>0.6</v>
      </c>
      <c r="AF640" s="253">
        <f t="shared" si="918"/>
        <v>0.6</v>
      </c>
      <c r="AG640" s="278">
        <f t="shared" si="918"/>
        <v>0.6</v>
      </c>
      <c r="AH640" s="765">
        <f>AH639/(AH638*8.76)</f>
        <v>0.6</v>
      </c>
      <c r="AI640" s="277">
        <f t="shared" si="918"/>
        <v>0.60000000000000009</v>
      </c>
      <c r="AJ640" s="253">
        <f t="shared" si="918"/>
        <v>0.60000000000000009</v>
      </c>
      <c r="AK640" s="253">
        <f t="shared" si="918"/>
        <v>0.60000000000000009</v>
      </c>
      <c r="AL640" s="278">
        <f t="shared" si="918"/>
        <v>0.60000000000000009</v>
      </c>
      <c r="AM640" s="765">
        <f>AM639/(AM638*8.76)</f>
        <v>0.60000000000000009</v>
      </c>
      <c r="AN640" s="277">
        <f t="shared" si="918"/>
        <v>0.60000000000000009</v>
      </c>
      <c r="AO640" s="253">
        <f t="shared" si="918"/>
        <v>0.60000000000000009</v>
      </c>
      <c r="AP640" s="253">
        <f t="shared" si="918"/>
        <v>0.60000000000000009</v>
      </c>
      <c r="AQ640" s="278">
        <f t="shared" si="918"/>
        <v>0.60000000000000009</v>
      </c>
      <c r="AR640" s="765">
        <f>AR639/(AR638*8.76)</f>
        <v>0.60000000000000009</v>
      </c>
      <c r="AS640" s="277">
        <f>AS639/(AS638*8.76/4)</f>
        <v>0.60000000000000009</v>
      </c>
      <c r="AT640" s="253">
        <f>AT639/(AT638*8.76/4)</f>
        <v>0.60000000000000009</v>
      </c>
      <c r="AU640" s="253">
        <f t="shared" ref="AU640" si="919">AU639/(AU638*8.76/4)</f>
        <v>0.60000000000000009</v>
      </c>
      <c r="AV640" s="278">
        <f>AV639/(AV638*8.76/4)</f>
        <v>0.60000000000000009</v>
      </c>
      <c r="AW640" s="765">
        <f>AW639/(AW638*8.76)</f>
        <v>0.60000000000000009</v>
      </c>
      <c r="AX640" s="277">
        <f>AX639/(AX638*8.76/4)</f>
        <v>0.60000000000000009</v>
      </c>
      <c r="AY640" s="253">
        <f>AY639/(AY638*8.76/4)</f>
        <v>0.60000000000000009</v>
      </c>
      <c r="AZ640" s="253">
        <f>AZ639/(AZ638*8.76/4)</f>
        <v>0.60000000000000009</v>
      </c>
      <c r="BA640" s="278">
        <f>BA639/(BA638*8.76/4)</f>
        <v>0.60000000000000009</v>
      </c>
      <c r="BB640" s="765">
        <f>BB639/(BB638*8.76)</f>
        <v>0.60000000000000009</v>
      </c>
      <c r="BC640" s="277">
        <f>BC639/(BC638*8.76/4)</f>
        <v>0.60000000000000009</v>
      </c>
      <c r="BD640" s="253">
        <f>BD639/(BD638*8.76/4)</f>
        <v>0.60000000000000009</v>
      </c>
      <c r="BE640" s="253">
        <f>BE639/(BE638*8.76/4)</f>
        <v>0.60000000000000009</v>
      </c>
      <c r="BF640" s="278">
        <f>BF639/(BF638*8.76/4)</f>
        <v>0.60000000000000009</v>
      </c>
      <c r="BG640" s="765">
        <f>BG639/(BG638*8.76)</f>
        <v>0.60000000000000009</v>
      </c>
      <c r="BH640" s="277">
        <f>BH639/(BH638*8.76/4)</f>
        <v>0.60000000000000009</v>
      </c>
      <c r="BI640" s="253">
        <f>BI639/(BI638*8.76/4)</f>
        <v>0.60000000000000009</v>
      </c>
      <c r="BJ640" s="253">
        <f>BJ639/(BJ638*8.76/4)</f>
        <v>0.60000000000000009</v>
      </c>
      <c r="BK640" s="278">
        <f>BK639/(BK638*8.76/4)</f>
        <v>0.60000000000000009</v>
      </c>
      <c r="BL640" s="765">
        <f>BL639/(BL638*8.76)</f>
        <v>0.60000000000000009</v>
      </c>
      <c r="BM640" s="277">
        <f>BM639/(BM638*8.76/4)</f>
        <v>0.60000000000000009</v>
      </c>
      <c r="BN640" s="253">
        <f>BN639/(BN638*8.76/4)</f>
        <v>0.60000000000000009</v>
      </c>
      <c r="BO640" s="253">
        <f>BO639/(BO638*8.76/4)</f>
        <v>0.60000000000000009</v>
      </c>
      <c r="BP640" s="278">
        <f>BP639/(BP638*8.76/4)</f>
        <v>0.60000000000000009</v>
      </c>
      <c r="BQ640" s="765">
        <f>BQ639/(BQ638*8.76)</f>
        <v>0.60000000000000009</v>
      </c>
      <c r="BR640" s="40"/>
      <c r="BS640" s="40"/>
      <c r="BT640" s="40"/>
      <c r="BU640" s="232"/>
      <c r="BV640" s="40"/>
      <c r="BW640" s="40"/>
      <c r="BX640" s="40"/>
      <c r="BY640" s="40"/>
      <c r="BZ640" s="40"/>
      <c r="CA640" s="40"/>
      <c r="CB640" s="40"/>
      <c r="CC640" s="40"/>
      <c r="CD640" s="40"/>
      <c r="CE640" s="40"/>
      <c r="CF640" s="40"/>
      <c r="CG640" s="40"/>
      <c r="CH640" s="40"/>
      <c r="CI640" s="40"/>
      <c r="CJ640" s="40"/>
      <c r="CK640" s="40"/>
      <c r="CL640" s="40"/>
      <c r="CM640" s="40"/>
      <c r="CN640" s="40"/>
      <c r="CO640" s="40"/>
      <c r="CP640" s="40"/>
      <c r="CQ640" s="40"/>
      <c r="CR640" s="40"/>
      <c r="CS640" s="40"/>
      <c r="CT640" s="823"/>
      <c r="CU640" s="232"/>
      <c r="CV640" s="232"/>
      <c r="CW640" s="232"/>
      <c r="CX640" s="232"/>
      <c r="CY640" s="232"/>
      <c r="CZ640" s="40"/>
      <c r="DA640" s="40"/>
      <c r="DB640" s="40"/>
      <c r="DC640" s="40"/>
      <c r="DD640" s="40"/>
      <c r="DE640" s="40"/>
      <c r="DF640" s="232"/>
      <c r="DG640" s="232"/>
      <c r="DH640" s="232"/>
      <c r="DI640" s="232"/>
      <c r="DJ640" s="232"/>
      <c r="DK640" s="232"/>
      <c r="DL640" s="232"/>
      <c r="DM640" s="232"/>
      <c r="DN640" s="232"/>
    </row>
    <row r="641" spans="1:118">
      <c r="A641" s="40"/>
      <c r="B641" s="1"/>
      <c r="C641" s="1"/>
      <c r="D641" s="1"/>
      <c r="E641" s="273"/>
      <c r="F641" s="3"/>
      <c r="G641" s="3"/>
      <c r="H641" s="274"/>
      <c r="I641" s="28"/>
      <c r="J641" s="273"/>
      <c r="K641" s="3"/>
      <c r="L641" s="3"/>
      <c r="M641" s="274"/>
      <c r="N641" s="1"/>
      <c r="O641" s="273"/>
      <c r="P641" s="3"/>
      <c r="Q641" s="3"/>
      <c r="R641" s="274"/>
      <c r="S641" s="1"/>
      <c r="T641" s="273"/>
      <c r="U641" s="3"/>
      <c r="V641" s="3"/>
      <c r="W641" s="274"/>
      <c r="X641" s="1"/>
      <c r="Y641" s="273"/>
      <c r="Z641" s="3"/>
      <c r="AA641" s="3"/>
      <c r="AB641" s="274"/>
      <c r="AC641" s="1"/>
      <c r="AD641" s="273"/>
      <c r="AE641" s="3"/>
      <c r="AF641" s="3"/>
      <c r="AG641" s="274"/>
      <c r="AH641" s="1"/>
      <c r="AI641" s="273"/>
      <c r="AJ641" s="3"/>
      <c r="AK641" s="3"/>
      <c r="AL641" s="274"/>
      <c r="AM641" s="1"/>
      <c r="AN641" s="273"/>
      <c r="AO641" s="3"/>
      <c r="AP641" s="3"/>
      <c r="AQ641" s="274"/>
      <c r="AR641" s="1"/>
      <c r="AS641" s="273"/>
      <c r="AT641" s="3"/>
      <c r="AU641" s="3"/>
      <c r="AV641" s="274"/>
      <c r="AW641" s="1"/>
      <c r="AX641" s="273"/>
      <c r="AY641" s="3"/>
      <c r="AZ641" s="3"/>
      <c r="BA641" s="274"/>
      <c r="BB641" s="1"/>
      <c r="BC641" s="273"/>
      <c r="BD641" s="3"/>
      <c r="BE641" s="3"/>
      <c r="BF641" s="274"/>
      <c r="BG641" s="1"/>
      <c r="BH641" s="273"/>
      <c r="BI641" s="3"/>
      <c r="BJ641" s="3"/>
      <c r="BK641" s="274"/>
      <c r="BL641" s="1"/>
      <c r="BM641" s="273"/>
      <c r="BN641" s="3"/>
      <c r="BO641" s="3"/>
      <c r="BP641" s="274"/>
      <c r="BQ641" s="1"/>
      <c r="BR641" s="40"/>
      <c r="BS641" s="40"/>
      <c r="BT641" s="40"/>
      <c r="BU641" s="232"/>
      <c r="BV641" s="40"/>
      <c r="BW641" s="40"/>
      <c r="BX641" s="40"/>
      <c r="BY641" s="40"/>
      <c r="BZ641" s="40"/>
      <c r="CA641" s="40"/>
      <c r="CB641" s="40"/>
      <c r="CC641" s="40"/>
      <c r="CD641" s="40"/>
      <c r="CE641" s="40"/>
      <c r="CF641" s="40"/>
      <c r="CG641" s="40"/>
      <c r="CH641" s="40"/>
      <c r="CI641" s="40"/>
      <c r="CJ641" s="40"/>
      <c r="CK641" s="40"/>
      <c r="CL641" s="40"/>
      <c r="CM641" s="40"/>
      <c r="CN641" s="40"/>
      <c r="CO641" s="40"/>
      <c r="CP641" s="40"/>
      <c r="CQ641" s="40"/>
      <c r="CR641" s="40"/>
      <c r="CS641" s="40"/>
      <c r="CT641" s="823"/>
      <c r="CU641" s="232"/>
      <c r="CV641" s="232"/>
      <c r="CW641" s="232"/>
      <c r="CX641" s="232"/>
      <c r="CY641" s="232"/>
      <c r="CZ641" s="40"/>
      <c r="DA641" s="40"/>
      <c r="DB641" s="40"/>
      <c r="DC641" s="40"/>
      <c r="DD641" s="40"/>
      <c r="DE641" s="40"/>
      <c r="DF641" s="232"/>
      <c r="DG641" s="232"/>
      <c r="DH641" s="232"/>
      <c r="DI641" s="232"/>
      <c r="DJ641" s="232"/>
      <c r="DK641" s="232"/>
      <c r="DL641" s="232"/>
      <c r="DM641" s="232"/>
      <c r="DN641" s="232"/>
    </row>
    <row r="642" spans="1:118" s="232" customFormat="1">
      <c r="A642" s="40"/>
      <c r="B642" s="1"/>
      <c r="C642" s="429" t="s">
        <v>829</v>
      </c>
      <c r="D642" s="1"/>
      <c r="E642" s="273"/>
      <c r="F642" s="3"/>
      <c r="G642" s="3"/>
      <c r="H642" s="274"/>
      <c r="I642" s="28"/>
      <c r="J642" s="273"/>
      <c r="K642" s="3"/>
      <c r="L642" s="3"/>
      <c r="M642" s="274"/>
      <c r="N642" s="1"/>
      <c r="O642" s="273"/>
      <c r="P642" s="3"/>
      <c r="Q642" s="3"/>
      <c r="R642" s="274"/>
      <c r="S642" s="1"/>
      <c r="T642" s="273"/>
      <c r="U642" s="3"/>
      <c r="V642" s="3"/>
      <c r="W642" s="274"/>
      <c r="X642" s="1"/>
      <c r="Y642" s="273"/>
      <c r="Z642" s="3"/>
      <c r="AA642" s="3"/>
      <c r="AB642" s="274"/>
      <c r="AC642" s="1"/>
      <c r="AD642" s="273"/>
      <c r="AE642" s="3"/>
      <c r="AF642" s="3"/>
      <c r="AG642" s="274"/>
      <c r="AH642" s="1"/>
      <c r="AI642" s="273"/>
      <c r="AJ642" s="3"/>
      <c r="AK642" s="3"/>
      <c r="AL642" s="274"/>
      <c r="AM642" s="1"/>
      <c r="AN642" s="273"/>
      <c r="AO642" s="3"/>
      <c r="AP642" s="3"/>
      <c r="AQ642" s="274"/>
      <c r="AR642" s="1"/>
      <c r="AS642" s="273"/>
      <c r="AT642" s="3"/>
      <c r="AU642" s="3"/>
      <c r="AV642" s="274"/>
      <c r="AW642" s="1"/>
      <c r="AX642" s="273"/>
      <c r="AY642" s="3"/>
      <c r="AZ642" s="3"/>
      <c r="BA642" s="274"/>
      <c r="BB642" s="1"/>
      <c r="BC642" s="273"/>
      <c r="BD642" s="3"/>
      <c r="BE642" s="3"/>
      <c r="BF642" s="274"/>
      <c r="BG642" s="1"/>
      <c r="BH642" s="273"/>
      <c r="BI642" s="3"/>
      <c r="BJ642" s="3"/>
      <c r="BK642" s="274"/>
      <c r="BL642" s="1"/>
      <c r="BM642" s="273"/>
      <c r="BN642" s="3"/>
      <c r="BO642" s="3"/>
      <c r="BP642" s="274"/>
      <c r="BQ642" s="1"/>
      <c r="BR642" s="40"/>
      <c r="BS642" s="40"/>
      <c r="BT642" s="24"/>
      <c r="BV642" s="40"/>
      <c r="BW642" s="40"/>
      <c r="BX642" s="40"/>
      <c r="BY642" s="40"/>
      <c r="BZ642" s="40"/>
      <c r="CA642" s="40"/>
      <c r="CB642" s="40"/>
      <c r="CC642" s="40"/>
      <c r="CD642" s="40"/>
      <c r="CE642" s="40"/>
      <c r="CF642" s="40"/>
      <c r="CG642" s="40"/>
      <c r="CH642" s="40"/>
      <c r="CI642" s="40"/>
      <c r="CJ642" s="40"/>
      <c r="CK642" s="40"/>
      <c r="CL642" s="40"/>
      <c r="CM642" s="40"/>
      <c r="CN642" s="40"/>
      <c r="CO642" s="40"/>
      <c r="CP642" s="40"/>
      <c r="CQ642" s="40"/>
      <c r="CR642" s="40"/>
      <c r="CS642" s="40"/>
      <c r="CT642" s="994"/>
      <c r="CZ642" s="40"/>
      <c r="DA642" s="40"/>
      <c r="DB642" s="40"/>
      <c r="DC642" s="40"/>
      <c r="DD642" s="40"/>
      <c r="DE642" s="40"/>
    </row>
    <row r="643" spans="1:118">
      <c r="A643" s="40"/>
      <c r="B643" s="1"/>
      <c r="C643" s="28" t="s">
        <v>200</v>
      </c>
      <c r="D643" s="1"/>
      <c r="E643" s="273"/>
      <c r="F643" s="3"/>
      <c r="G643" s="3"/>
      <c r="H643" s="274"/>
      <c r="I643" s="28"/>
      <c r="J643" s="273"/>
      <c r="K643" s="3"/>
      <c r="L643" s="3"/>
      <c r="M643" s="274"/>
      <c r="N643" s="1"/>
      <c r="O643" s="273"/>
      <c r="P643" s="3"/>
      <c r="Q643" s="3"/>
      <c r="R643" s="274"/>
      <c r="S643" s="1"/>
      <c r="T643" s="436"/>
      <c r="U643" s="437"/>
      <c r="V643" s="437"/>
      <c r="W643" s="438"/>
      <c r="X643" s="439"/>
      <c r="Y643" s="436">
        <f t="shared" ref="Y643:BQ643" si="920">Y$75</f>
        <v>30.777101571771688</v>
      </c>
      <c r="Z643" s="437">
        <f t="shared" si="920"/>
        <v>31.319813528551308</v>
      </c>
      <c r="AA643" s="437">
        <f t="shared" si="920"/>
        <v>32.307806340783166</v>
      </c>
      <c r="AB643" s="438">
        <f t="shared" si="920"/>
        <v>29.461858256820864</v>
      </c>
      <c r="AC643" s="439">
        <f t="shared" si="920"/>
        <v>31.088831299255638</v>
      </c>
      <c r="AD643" s="436">
        <f t="shared" si="920"/>
        <v>59.169196905043336</v>
      </c>
      <c r="AE643" s="437">
        <f t="shared" si="920"/>
        <v>30.490658713443654</v>
      </c>
      <c r="AF643" s="437">
        <f t="shared" si="920"/>
        <v>30.490658713443654</v>
      </c>
      <c r="AG643" s="438">
        <f t="shared" si="920"/>
        <v>31.950804194491973</v>
      </c>
      <c r="AH643" s="439">
        <f t="shared" si="920"/>
        <v>37.218596615274578</v>
      </c>
      <c r="AI643" s="436">
        <f t="shared" si="920"/>
        <v>34.575734640622422</v>
      </c>
      <c r="AJ643" s="437">
        <f t="shared" si="920"/>
        <v>24.200597109551524</v>
      </c>
      <c r="AK643" s="437">
        <f t="shared" si="920"/>
        <v>27.249315080458302</v>
      </c>
      <c r="AL643" s="438">
        <f t="shared" si="920"/>
        <v>24.556744732232801</v>
      </c>
      <c r="AM643" s="439">
        <f t="shared" si="920"/>
        <v>27.74381319671884</v>
      </c>
      <c r="AN643" s="436">
        <f t="shared" si="920"/>
        <v>22.795601916661337</v>
      </c>
      <c r="AO643" s="437">
        <f t="shared" si="920"/>
        <v>23.664948182562725</v>
      </c>
      <c r="AP643" s="437">
        <f t="shared" si="920"/>
        <v>29.097743358591636</v>
      </c>
      <c r="AQ643" s="438">
        <f t="shared" si="920"/>
        <v>26.786014027578183</v>
      </c>
      <c r="AR643" s="439">
        <f t="shared" si="920"/>
        <v>26.018396146911861</v>
      </c>
      <c r="AS643" s="436">
        <f t="shared" si="920"/>
        <v>26.059295325108675</v>
      </c>
      <c r="AT643" s="437">
        <f t="shared" si="920"/>
        <v>26.241037727954101</v>
      </c>
      <c r="AU643" s="437">
        <f t="shared" si="920"/>
        <v>26.283710634891527</v>
      </c>
      <c r="AV643" s="438">
        <f t="shared" si="920"/>
        <v>28.609379394396445</v>
      </c>
      <c r="AW643" s="439">
        <f t="shared" si="920"/>
        <v>26.794750716076699</v>
      </c>
      <c r="AX643" s="436">
        <f t="shared" si="920"/>
        <v>28.609379394396445</v>
      </c>
      <c r="AY643" s="437">
        <f t="shared" si="920"/>
        <v>24.685416666666665</v>
      </c>
      <c r="AZ643" s="437">
        <f t="shared" si="920"/>
        <v>27.696249999999999</v>
      </c>
      <c r="BA643" s="438">
        <f t="shared" si="920"/>
        <v>25.100416666666668</v>
      </c>
      <c r="BB643" s="439">
        <f t="shared" si="920"/>
        <v>26.536937611011091</v>
      </c>
      <c r="BC643" s="436">
        <f t="shared" si="920"/>
        <v>30.467131065090626</v>
      </c>
      <c r="BD643" s="437">
        <f t="shared" si="920"/>
        <v>23.706237692865152</v>
      </c>
      <c r="BE643" s="437">
        <f t="shared" si="920"/>
        <v>25.839533835094368</v>
      </c>
      <c r="BF643" s="438">
        <f t="shared" si="920"/>
        <v>24.422529906879852</v>
      </c>
      <c r="BG643" s="439">
        <f>BG$75</f>
        <v>26.175728632557242</v>
      </c>
      <c r="BH643" s="436">
        <f t="shared" si="920"/>
        <v>30.688840944837658</v>
      </c>
      <c r="BI643" s="437">
        <f t="shared" si="920"/>
        <v>23.862392890082766</v>
      </c>
      <c r="BJ643" s="437">
        <f t="shared" si="920"/>
        <v>26.001610040594819</v>
      </c>
      <c r="BK643" s="438">
        <f t="shared" si="920"/>
        <v>24.587593624484743</v>
      </c>
      <c r="BL643" s="439">
        <f t="shared" si="920"/>
        <v>26.351929589229222</v>
      </c>
      <c r="BM643" s="436">
        <f t="shared" si="920"/>
        <v>28.414511326035491</v>
      </c>
      <c r="BN643" s="437">
        <f t="shared" si="920"/>
        <v>28.414511326035491</v>
      </c>
      <c r="BO643" s="437">
        <f t="shared" si="920"/>
        <v>28.414511326035491</v>
      </c>
      <c r="BP643" s="438">
        <f t="shared" si="920"/>
        <v>28.414511326035491</v>
      </c>
      <c r="BQ643" s="439">
        <f t="shared" si="920"/>
        <v>28.593948965059404</v>
      </c>
      <c r="BR643" s="40"/>
      <c r="BS643" s="40"/>
      <c r="BT643" s="40"/>
      <c r="BU643" s="232"/>
      <c r="BV643" s="40"/>
      <c r="BW643" s="40"/>
      <c r="BX643" s="40"/>
      <c r="BY643" s="40"/>
      <c r="BZ643" s="40"/>
      <c r="CA643" s="40"/>
      <c r="CB643" s="40"/>
      <c r="CC643" s="40"/>
      <c r="CD643" s="40"/>
      <c r="CE643" s="40"/>
      <c r="CF643" s="40"/>
      <c r="CG643" s="40"/>
      <c r="CH643" s="40"/>
      <c r="CI643" s="40"/>
      <c r="CJ643" s="40"/>
      <c r="CK643" s="40"/>
      <c r="CL643" s="40"/>
      <c r="CM643" s="40"/>
      <c r="CN643" s="40"/>
      <c r="CO643" s="40"/>
      <c r="CP643" s="40"/>
      <c r="CQ643" s="40"/>
      <c r="CR643" s="40"/>
      <c r="CS643" s="40"/>
      <c r="CT643" s="823"/>
      <c r="CU643" s="232"/>
      <c r="CV643" s="232"/>
      <c r="CW643" s="232"/>
      <c r="CX643" s="232"/>
      <c r="CY643" s="232"/>
      <c r="CZ643" s="40"/>
      <c r="DA643" s="40"/>
      <c r="DB643" s="40"/>
      <c r="DC643" s="40"/>
      <c r="DD643" s="40"/>
      <c r="DE643" s="40"/>
      <c r="DF643" s="232"/>
      <c r="DG643" s="232"/>
      <c r="DH643" s="232"/>
      <c r="DI643" s="232"/>
      <c r="DJ643" s="232"/>
      <c r="DK643" s="232"/>
      <c r="DL643" s="232"/>
      <c r="DM643" s="232"/>
      <c r="DN643" s="232"/>
    </row>
    <row r="644" spans="1:118" s="34" customFormat="1">
      <c r="A644" s="156"/>
      <c r="B644" s="1"/>
      <c r="C644" s="28" t="s">
        <v>195</v>
      </c>
      <c r="D644" s="1"/>
      <c r="E644" s="273"/>
      <c r="F644" s="3"/>
      <c r="G644" s="3"/>
      <c r="H644" s="274"/>
      <c r="I644" s="543">
        <v>10000</v>
      </c>
      <c r="J644" s="273"/>
      <c r="K644" s="3"/>
      <c r="L644" s="3"/>
      <c r="M644" s="274"/>
      <c r="N644" s="1"/>
      <c r="O644" s="273"/>
      <c r="P644" s="3"/>
      <c r="Q644" s="3"/>
      <c r="R644" s="274"/>
      <c r="S644" s="1"/>
      <c r="T644" s="436"/>
      <c r="U644" s="437"/>
      <c r="V644" s="437"/>
      <c r="W644" s="438"/>
      <c r="X644" s="439"/>
      <c r="Y644" s="436">
        <f>Y$135/24*$I644/1000</f>
        <v>2.0833333333333335</v>
      </c>
      <c r="Z644" s="437">
        <f>Z$135/24*$I644/1000</f>
        <v>2.0833333333333335</v>
      </c>
      <c r="AA644" s="437">
        <f>AA$135/24*$I644/1000</f>
        <v>2.0833333333333335</v>
      </c>
      <c r="AB644" s="438">
        <f>AB$135/24*$I644/1000</f>
        <v>2.0833333333333335</v>
      </c>
      <c r="AC644" s="439">
        <f>AC$135/24*$I644/1000</f>
        <v>2.0833333333333335</v>
      </c>
      <c r="AD644" s="436">
        <f>AD$136/24*$I644/1000</f>
        <v>28.6724358974359</v>
      </c>
      <c r="AE644" s="437">
        <f>AE$135/24*$I644/1000</f>
        <v>2.0833333333333335</v>
      </c>
      <c r="AF644" s="437">
        <f t="shared" ref="AF644:BQ644" si="921">AF$136/24*$I644/1000</f>
        <v>25.973717948717955</v>
      </c>
      <c r="AG644" s="438">
        <f t="shared" si="921"/>
        <v>25.461217948717948</v>
      </c>
      <c r="AH644" s="439">
        <f t="shared" si="921"/>
        <v>26.520272435897436</v>
      </c>
      <c r="AI644" s="436">
        <f t="shared" si="921"/>
        <v>24.380769230769229</v>
      </c>
      <c r="AJ644" s="437">
        <f t="shared" si="921"/>
        <v>24.107692307692307</v>
      </c>
      <c r="AK644" s="437">
        <f t="shared" si="921"/>
        <v>23.243589743589745</v>
      </c>
      <c r="AL644" s="438">
        <f t="shared" si="921"/>
        <v>21.376602564102566</v>
      </c>
      <c r="AM644" s="439">
        <f t="shared" si="921"/>
        <v>23.277163461538461</v>
      </c>
      <c r="AN644" s="436">
        <f t="shared" si="921"/>
        <v>19.741987179487179</v>
      </c>
      <c r="AO644" s="437">
        <f t="shared" si="921"/>
        <v>19.246794871794872</v>
      </c>
      <c r="AP644" s="437">
        <f t="shared" si="921"/>
        <v>19.136904761904763</v>
      </c>
      <c r="AQ644" s="438">
        <f t="shared" si="921"/>
        <v>20.790064102564102</v>
      </c>
      <c r="AR644" s="439">
        <f t="shared" si="921"/>
        <v>19.72893772893773</v>
      </c>
      <c r="AS644" s="436">
        <f t="shared" si="921"/>
        <v>22.940705128205131</v>
      </c>
      <c r="AT644" s="437">
        <f t="shared" si="921"/>
        <v>23.94230769230769</v>
      </c>
      <c r="AU644" s="437">
        <f t="shared" si="921"/>
        <v>24.161858974358982</v>
      </c>
      <c r="AV644" s="438">
        <f t="shared" si="921"/>
        <v>27.437500000000004</v>
      </c>
      <c r="AW644" s="439">
        <f t="shared" si="921"/>
        <v>24.620592948717949</v>
      </c>
      <c r="AX644" s="436">
        <f t="shared" si="921"/>
        <v>27.437500000000004</v>
      </c>
      <c r="AY644" s="437">
        <f t="shared" si="921"/>
        <v>22.5</v>
      </c>
      <c r="AZ644" s="437">
        <f t="shared" si="921"/>
        <v>22.5</v>
      </c>
      <c r="BA644" s="438">
        <f t="shared" si="921"/>
        <v>22.5</v>
      </c>
      <c r="BB644" s="439">
        <f t="shared" si="921"/>
        <v>23.734375</v>
      </c>
      <c r="BC644" s="436">
        <f t="shared" si="921"/>
        <v>22.147619305588439</v>
      </c>
      <c r="BD644" s="437">
        <f t="shared" si="921"/>
        <v>22.147619305588439</v>
      </c>
      <c r="BE644" s="437">
        <f t="shared" si="921"/>
        <v>22.147619305588439</v>
      </c>
      <c r="BF644" s="438">
        <f t="shared" si="921"/>
        <v>25.223808749901348</v>
      </c>
      <c r="BG644" s="439">
        <f>BG$136/24*$I644/1000</f>
        <v>22.916666666666668</v>
      </c>
      <c r="BH644" s="436">
        <f t="shared" si="921"/>
        <v>22.147619305588439</v>
      </c>
      <c r="BI644" s="437">
        <f t="shared" si="921"/>
        <v>22.147619305588439</v>
      </c>
      <c r="BJ644" s="437">
        <f t="shared" si="921"/>
        <v>22.147619305588439</v>
      </c>
      <c r="BK644" s="438">
        <f t="shared" si="921"/>
        <v>25.223808749901348</v>
      </c>
      <c r="BL644" s="439">
        <f t="shared" si="921"/>
        <v>22.916666666666668</v>
      </c>
      <c r="BM644" s="436">
        <f t="shared" si="921"/>
        <v>22.147619305588439</v>
      </c>
      <c r="BN644" s="437">
        <f t="shared" si="921"/>
        <v>22.147619305588439</v>
      </c>
      <c r="BO644" s="437">
        <f t="shared" si="921"/>
        <v>22.147619305588439</v>
      </c>
      <c r="BP644" s="438">
        <f t="shared" si="921"/>
        <v>25.223808749901348</v>
      </c>
      <c r="BQ644" s="439">
        <f t="shared" si="921"/>
        <v>22.916666666666668</v>
      </c>
      <c r="BR644" s="40"/>
      <c r="BS644" s="40"/>
      <c r="BT644" s="156"/>
      <c r="BU644" s="232"/>
      <c r="BV644" s="40"/>
      <c r="BW644" s="40"/>
      <c r="BX644" s="40"/>
      <c r="BY644" s="40"/>
      <c r="BZ644" s="40"/>
      <c r="CA644" s="40"/>
      <c r="CB644" s="40"/>
      <c r="CC644" s="40"/>
      <c r="CD644" s="40"/>
      <c r="CE644" s="40"/>
      <c r="CF644" s="40"/>
      <c r="CG644" s="156"/>
      <c r="CH644" s="156"/>
      <c r="CI644" s="156"/>
      <c r="CJ644" s="156"/>
      <c r="CK644" s="156"/>
      <c r="CL644" s="156"/>
      <c r="CM644" s="156"/>
      <c r="CN644" s="156"/>
      <c r="CO644" s="156"/>
      <c r="CP644" s="156"/>
      <c r="CQ644" s="156"/>
      <c r="CR644" s="156"/>
      <c r="CS644" s="156"/>
      <c r="CT644" s="954"/>
      <c r="CZ644" s="156"/>
      <c r="DA644" s="156"/>
      <c r="DB644" s="156"/>
      <c r="DC644" s="156"/>
      <c r="DD644" s="156"/>
      <c r="DE644" s="156"/>
    </row>
    <row r="645" spans="1:118">
      <c r="A645" s="40"/>
      <c r="B645" s="1"/>
      <c r="C645" s="1"/>
      <c r="D645" s="1"/>
      <c r="E645" s="273"/>
      <c r="F645" s="3"/>
      <c r="G645" s="3"/>
      <c r="H645" s="274"/>
      <c r="I645" s="28"/>
      <c r="J645" s="273"/>
      <c r="K645" s="3"/>
      <c r="L645" s="3"/>
      <c r="M645" s="274"/>
      <c r="N645" s="1"/>
      <c r="O645" s="273"/>
      <c r="P645" s="3"/>
      <c r="Q645" s="3"/>
      <c r="R645" s="274"/>
      <c r="S645" s="1"/>
      <c r="T645" s="273"/>
      <c r="U645" s="3"/>
      <c r="V645" s="3"/>
      <c r="W645" s="274"/>
      <c r="X645" s="1"/>
      <c r="Y645" s="273"/>
      <c r="Z645" s="3"/>
      <c r="AA645" s="3"/>
      <c r="AB645" s="274"/>
      <c r="AC645" s="1"/>
      <c r="AD645" s="273"/>
      <c r="AE645" s="3"/>
      <c r="AF645" s="3"/>
      <c r="AG645" s="274"/>
      <c r="AH645" s="1"/>
      <c r="AI645" s="273"/>
      <c r="AJ645" s="3"/>
      <c r="AK645" s="3"/>
      <c r="AL645" s="274"/>
      <c r="AM645" s="1"/>
      <c r="AN645" s="273"/>
      <c r="AO645" s="3"/>
      <c r="AP645" s="3"/>
      <c r="AQ645" s="274"/>
      <c r="AR645" s="1"/>
      <c r="AS645" s="273"/>
      <c r="AT645" s="3"/>
      <c r="AU645" s="3"/>
      <c r="AV645" s="274"/>
      <c r="AW645" s="1"/>
      <c r="AX645" s="273"/>
      <c r="AY645" s="3"/>
      <c r="AZ645" s="3"/>
      <c r="BA645" s="274"/>
      <c r="BB645" s="1"/>
      <c r="BC645" s="273"/>
      <c r="BD645" s="3"/>
      <c r="BE645" s="3"/>
      <c r="BF645" s="274"/>
      <c r="BG645" s="1"/>
      <c r="BH645" s="273"/>
      <c r="BI645" s="3"/>
      <c r="BJ645" s="3"/>
      <c r="BK645" s="274"/>
      <c r="BL645" s="1"/>
      <c r="BM645" s="273"/>
      <c r="BN645" s="3"/>
      <c r="BO645" s="3"/>
      <c r="BP645" s="274"/>
      <c r="BQ645" s="1"/>
      <c r="BR645" s="40"/>
      <c r="BS645" s="40"/>
      <c r="BT645" s="40"/>
      <c r="BU645" s="232"/>
      <c r="BV645" s="40"/>
      <c r="BW645" s="40"/>
      <c r="BX645" s="40"/>
      <c r="BY645" s="40"/>
      <c r="BZ645" s="40"/>
      <c r="CA645" s="40"/>
      <c r="CB645" s="40"/>
      <c r="CC645" s="40"/>
      <c r="CD645" s="40"/>
      <c r="CE645" s="40"/>
      <c r="CF645" s="40"/>
      <c r="CG645" s="40"/>
      <c r="CH645" s="40"/>
      <c r="CI645" s="40"/>
      <c r="CJ645" s="40"/>
      <c r="CK645" s="40"/>
      <c r="CL645" s="40"/>
      <c r="CM645" s="40"/>
      <c r="CN645" s="40"/>
      <c r="CO645" s="40"/>
      <c r="CP645" s="40"/>
      <c r="CQ645" s="40"/>
      <c r="CR645" s="40"/>
      <c r="CS645" s="40"/>
      <c r="CT645" s="823"/>
      <c r="CU645" s="232"/>
      <c r="CV645" s="232"/>
      <c r="CW645" s="232"/>
      <c r="CX645" s="232"/>
      <c r="CY645" s="232"/>
      <c r="CZ645" s="40"/>
      <c r="DA645" s="40"/>
      <c r="DB645" s="40"/>
      <c r="DC645" s="40"/>
      <c r="DD645" s="40"/>
      <c r="DE645" s="40"/>
      <c r="DF645" s="232"/>
      <c r="DG645" s="232"/>
      <c r="DH645" s="232"/>
      <c r="DI645" s="232"/>
      <c r="DJ645" s="232"/>
      <c r="DK645" s="232"/>
      <c r="DL645" s="232"/>
      <c r="DM645" s="232"/>
      <c r="DN645" s="232"/>
    </row>
    <row r="646" spans="1:118">
      <c r="A646" s="40"/>
      <c r="B646" s="32"/>
      <c r="C646" s="32" t="s">
        <v>196</v>
      </c>
      <c r="D646" s="32"/>
      <c r="E646" s="489"/>
      <c r="F646" s="342"/>
      <c r="G646" s="342"/>
      <c r="H646" s="490"/>
      <c r="I646" s="884">
        <f>533+716</f>
        <v>1249</v>
      </c>
      <c r="J646" s="489"/>
      <c r="K646" s="342"/>
      <c r="L646" s="342"/>
      <c r="M646" s="490"/>
      <c r="N646" s="32"/>
      <c r="O646" s="292"/>
      <c r="P646" s="261"/>
      <c r="Q646" s="261"/>
      <c r="R646" s="293"/>
      <c r="S646" s="228"/>
      <c r="T646" s="292"/>
      <c r="U646" s="261"/>
      <c r="V646" s="261"/>
      <c r="W646" s="293"/>
      <c r="X646" s="228"/>
      <c r="Y646" s="292">
        <f>+I646</f>
        <v>1249</v>
      </c>
      <c r="Z646" s="261">
        <f>Y646</f>
        <v>1249</v>
      </c>
      <c r="AA646" s="261">
        <f>Z646</f>
        <v>1249</v>
      </c>
      <c r="AB646" s="293">
        <f>AA646</f>
        <v>1249</v>
      </c>
      <c r="AC646" s="228">
        <f>AB646</f>
        <v>1249</v>
      </c>
      <c r="AD646" s="292">
        <f t="shared" ref="AD646:BL646" si="922">AC646</f>
        <v>1249</v>
      </c>
      <c r="AE646" s="261">
        <f>AD646</f>
        <v>1249</v>
      </c>
      <c r="AF646" s="261">
        <f t="shared" si="922"/>
        <v>1249</v>
      </c>
      <c r="AG646" s="293">
        <f t="shared" si="922"/>
        <v>1249</v>
      </c>
      <c r="AH646" s="228">
        <f t="shared" si="922"/>
        <v>1249</v>
      </c>
      <c r="AI646" s="1986">
        <v>0</v>
      </c>
      <c r="AJ646" s="261">
        <f t="shared" si="922"/>
        <v>0</v>
      </c>
      <c r="AK646" s="261">
        <f t="shared" si="922"/>
        <v>0</v>
      </c>
      <c r="AL646" s="293">
        <f t="shared" si="922"/>
        <v>0</v>
      </c>
      <c r="AM646" s="228">
        <f t="shared" si="922"/>
        <v>0</v>
      </c>
      <c r="AN646" s="292">
        <f t="shared" si="922"/>
        <v>0</v>
      </c>
      <c r="AO646" s="261">
        <f t="shared" si="922"/>
        <v>0</v>
      </c>
      <c r="AP646" s="261">
        <f t="shared" si="922"/>
        <v>0</v>
      </c>
      <c r="AQ646" s="293">
        <f t="shared" si="922"/>
        <v>0</v>
      </c>
      <c r="AR646" s="228">
        <f t="shared" si="922"/>
        <v>0</v>
      </c>
      <c r="AS646" s="292">
        <f t="shared" si="922"/>
        <v>0</v>
      </c>
      <c r="AT646" s="261">
        <f t="shared" si="922"/>
        <v>0</v>
      </c>
      <c r="AU646" s="261">
        <f t="shared" ref="AU646" si="923">AT646</f>
        <v>0</v>
      </c>
      <c r="AV646" s="293">
        <f t="shared" si="922"/>
        <v>0</v>
      </c>
      <c r="AW646" s="228">
        <f t="shared" si="922"/>
        <v>0</v>
      </c>
      <c r="AX646" s="292">
        <f t="shared" si="922"/>
        <v>0</v>
      </c>
      <c r="AY646" s="261">
        <f t="shared" si="922"/>
        <v>0</v>
      </c>
      <c r="AZ646" s="261">
        <f t="shared" si="922"/>
        <v>0</v>
      </c>
      <c r="BA646" s="293">
        <f t="shared" si="922"/>
        <v>0</v>
      </c>
      <c r="BB646" s="228">
        <f t="shared" si="922"/>
        <v>0</v>
      </c>
      <c r="BC646" s="292">
        <f t="shared" si="922"/>
        <v>0</v>
      </c>
      <c r="BD646" s="261">
        <f t="shared" si="922"/>
        <v>0</v>
      </c>
      <c r="BE646" s="261">
        <f t="shared" si="922"/>
        <v>0</v>
      </c>
      <c r="BF646" s="293">
        <f t="shared" si="922"/>
        <v>0</v>
      </c>
      <c r="BG646" s="228">
        <f>BF646</f>
        <v>0</v>
      </c>
      <c r="BH646" s="292">
        <f>BG646</f>
        <v>0</v>
      </c>
      <c r="BI646" s="261">
        <f t="shared" si="922"/>
        <v>0</v>
      </c>
      <c r="BJ646" s="261">
        <f t="shared" si="922"/>
        <v>0</v>
      </c>
      <c r="BK646" s="293">
        <f t="shared" si="922"/>
        <v>0</v>
      </c>
      <c r="BL646" s="228">
        <f t="shared" si="922"/>
        <v>0</v>
      </c>
      <c r="BM646" s="292">
        <f t="shared" ref="BM646" si="924">BL646</f>
        <v>0</v>
      </c>
      <c r="BN646" s="261">
        <f t="shared" ref="BN646" si="925">BM646</f>
        <v>0</v>
      </c>
      <c r="BO646" s="261">
        <f t="shared" ref="BO646" si="926">BN646</f>
        <v>0</v>
      </c>
      <c r="BP646" s="293">
        <f t="shared" ref="BP646" si="927">BO646</f>
        <v>0</v>
      </c>
      <c r="BQ646" s="228">
        <f t="shared" ref="BQ646" si="928">BP646</f>
        <v>0</v>
      </c>
      <c r="BR646" s="40"/>
      <c r="BS646" s="40"/>
      <c r="BT646" s="40"/>
      <c r="BU646" s="34"/>
      <c r="BV646" s="156"/>
      <c r="BW646" s="156"/>
      <c r="BX646" s="156"/>
      <c r="BY646" s="156"/>
      <c r="BZ646" s="156"/>
      <c r="CA646" s="156"/>
      <c r="CB646" s="156"/>
      <c r="CC646" s="156"/>
      <c r="CD646" s="156"/>
      <c r="CE646" s="156"/>
      <c r="CF646" s="156"/>
      <c r="CG646" s="40"/>
      <c r="CH646" s="40"/>
      <c r="CI646" s="40"/>
      <c r="CJ646" s="40"/>
      <c r="CK646" s="40"/>
      <c r="CL646" s="40"/>
      <c r="CM646" s="40"/>
      <c r="CN646" s="40"/>
      <c r="CO646" s="40"/>
      <c r="CP646" s="40"/>
      <c r="CQ646" s="40"/>
      <c r="CR646" s="40"/>
      <c r="CS646" s="40"/>
      <c r="CT646" s="823"/>
      <c r="CU646" s="232"/>
      <c r="CV646" s="232"/>
      <c r="CW646" s="232"/>
      <c r="CX646" s="232"/>
      <c r="CY646" s="232"/>
      <c r="CZ646" s="40"/>
      <c r="DA646" s="40"/>
      <c r="DB646" s="40"/>
      <c r="DC646" s="40"/>
      <c r="DD646" s="40"/>
      <c r="DE646" s="40"/>
      <c r="DF646" s="232"/>
      <c r="DG646" s="232"/>
      <c r="DH646" s="232"/>
      <c r="DI646" s="232"/>
      <c r="DJ646" s="232"/>
      <c r="DK646" s="232"/>
      <c r="DL646" s="232"/>
      <c r="DM646" s="232"/>
      <c r="DN646" s="232"/>
    </row>
    <row r="647" spans="1:118" s="232" customFormat="1">
      <c r="A647" s="40"/>
      <c r="B647" s="1"/>
      <c r="C647" s="1"/>
      <c r="D647" s="1"/>
      <c r="E647" s="273"/>
      <c r="F647" s="3"/>
      <c r="G647" s="3"/>
      <c r="H647" s="274"/>
      <c r="I647" s="28"/>
      <c r="J647" s="273"/>
      <c r="K647" s="3"/>
      <c r="L647" s="3"/>
      <c r="M647" s="274"/>
      <c r="N647" s="1"/>
      <c r="O647" s="273"/>
      <c r="P647" s="3"/>
      <c r="Q647" s="3"/>
      <c r="R647" s="274"/>
      <c r="S647" s="1"/>
      <c r="T647" s="273"/>
      <c r="U647" s="3"/>
      <c r="V647" s="3"/>
      <c r="W647" s="274"/>
      <c r="X647" s="1"/>
      <c r="Y647" s="273"/>
      <c r="Z647" s="3"/>
      <c r="AA647" s="3"/>
      <c r="AB647" s="274"/>
      <c r="AC647" s="1"/>
      <c r="AD647" s="273"/>
      <c r="AE647" s="3"/>
      <c r="AF647" s="3"/>
      <c r="AG647" s="274"/>
      <c r="AH647" s="1"/>
      <c r="AI647" s="273"/>
      <c r="AJ647" s="3"/>
      <c r="AK647" s="3"/>
      <c r="AL647" s="274"/>
      <c r="AM647" s="1"/>
      <c r="AN647" s="273"/>
      <c r="AO647" s="3"/>
      <c r="AP647" s="3"/>
      <c r="AQ647" s="274"/>
      <c r="AR647" s="1"/>
      <c r="AS647" s="273"/>
      <c r="AT647" s="3"/>
      <c r="AU647" s="3"/>
      <c r="AV647" s="274"/>
      <c r="AW647" s="1"/>
      <c r="AX647" s="273"/>
      <c r="AY647" s="3"/>
      <c r="AZ647" s="3"/>
      <c r="BA647" s="274"/>
      <c r="BB647" s="1"/>
      <c r="BC647" s="273"/>
      <c r="BD647" s="3"/>
      <c r="BE647" s="3"/>
      <c r="BF647" s="274"/>
      <c r="BG647" s="1"/>
      <c r="BH647" s="273"/>
      <c r="BI647" s="3"/>
      <c r="BJ647" s="3"/>
      <c r="BK647" s="274"/>
      <c r="BL647" s="1"/>
      <c r="BM647" s="273"/>
      <c r="BN647" s="3"/>
      <c r="BO647" s="3"/>
      <c r="BP647" s="274"/>
      <c r="BQ647" s="1"/>
      <c r="BR647" s="40"/>
      <c r="BS647" s="40"/>
      <c r="BT647" s="40"/>
      <c r="BV647" s="40"/>
      <c r="BW647" s="40"/>
      <c r="BX647" s="40"/>
      <c r="BY647" s="40"/>
      <c r="BZ647" s="40"/>
      <c r="CA647" s="40"/>
      <c r="CB647" s="40"/>
      <c r="CC647" s="40"/>
      <c r="CD647" s="40"/>
      <c r="CE647" s="40"/>
      <c r="CF647" s="40"/>
      <c r="CG647" s="40"/>
      <c r="CH647" s="40"/>
      <c r="CI647" s="40"/>
      <c r="CJ647" s="40"/>
      <c r="CK647" s="40"/>
      <c r="CL647" s="40"/>
      <c r="CM647" s="40"/>
      <c r="CN647" s="40"/>
      <c r="CO647" s="40"/>
      <c r="CP647" s="40"/>
      <c r="CQ647" s="40"/>
      <c r="CR647" s="40"/>
      <c r="CS647" s="40"/>
      <c r="CT647" s="994"/>
      <c r="CZ647" s="40"/>
      <c r="DA647" s="40"/>
      <c r="DB647" s="40"/>
      <c r="DC647" s="40"/>
      <c r="DD647" s="40"/>
      <c r="DE647" s="40"/>
    </row>
    <row r="648" spans="1:118">
      <c r="A648" s="40"/>
      <c r="B648" s="1"/>
      <c r="C648" s="28" t="s">
        <v>197</v>
      </c>
      <c r="D648" s="1"/>
      <c r="E648" s="273"/>
      <c r="F648" s="3"/>
      <c r="G648" s="3"/>
      <c r="H648" s="274"/>
      <c r="I648" s="544">
        <v>0.6</v>
      </c>
      <c r="J648" s="273"/>
      <c r="K648" s="3"/>
      <c r="L648" s="3"/>
      <c r="M648" s="274"/>
      <c r="N648" s="1"/>
      <c r="O648" s="273"/>
      <c r="P648" s="3"/>
      <c r="Q648" s="3"/>
      <c r="R648" s="274"/>
      <c r="S648" s="1"/>
      <c r="T648" s="277"/>
      <c r="U648" s="253"/>
      <c r="V648" s="253"/>
      <c r="W648" s="278"/>
      <c r="X648" s="765"/>
      <c r="Y648" s="277">
        <f>+I648</f>
        <v>0.6</v>
      </c>
      <c r="Z648" s="253">
        <f>+Y648</f>
        <v>0.6</v>
      </c>
      <c r="AA648" s="253">
        <f>+Z648</f>
        <v>0.6</v>
      </c>
      <c r="AB648" s="278">
        <f>+AA648</f>
        <v>0.6</v>
      </c>
      <c r="AC648" s="765">
        <f>IF(AVERAGE(Y646:AB646)=0,0,AC649/(AVERAGE(Y646:AB646)*8.76))</f>
        <v>0.6</v>
      </c>
      <c r="AD648" s="277">
        <f>+AB648</f>
        <v>0.6</v>
      </c>
      <c r="AE648" s="253">
        <f>+AD648</f>
        <v>0.6</v>
      </c>
      <c r="AF648" s="253">
        <f>+AA648</f>
        <v>0.6</v>
      </c>
      <c r="AG648" s="278">
        <f>+AB648</f>
        <v>0.6</v>
      </c>
      <c r="AH648" s="765">
        <f>IF(AVERAGE(AD646:AG646)=0,0,AH649/(AVERAGE(AD646:AG646)*8.76))</f>
        <v>0.6</v>
      </c>
      <c r="AI648" s="277">
        <f>+AG648</f>
        <v>0.6</v>
      </c>
      <c r="AJ648" s="253">
        <f>+AE648</f>
        <v>0.6</v>
      </c>
      <c r="AK648" s="253">
        <f>+AF648</f>
        <v>0.6</v>
      </c>
      <c r="AL648" s="278">
        <f>+AG648</f>
        <v>0.6</v>
      </c>
      <c r="AM648" s="765">
        <f>IF(AVERAGE(AI646:AL646)=0,0,AM649/(AVERAGE(AI646:AL646)*8.76))</f>
        <v>0</v>
      </c>
      <c r="AN648" s="277">
        <f>+AL648</f>
        <v>0.6</v>
      </c>
      <c r="AO648" s="253">
        <f>+AJ648</f>
        <v>0.6</v>
      </c>
      <c r="AP648" s="253">
        <f>+AK648</f>
        <v>0.6</v>
      </c>
      <c r="AQ648" s="278">
        <f>+AL648</f>
        <v>0.6</v>
      </c>
      <c r="AR648" s="765">
        <f>IF(AVERAGE(AN646:AQ646)=0,0,AR649/(AVERAGE(AN646:AQ646)*8.76))</f>
        <v>0</v>
      </c>
      <c r="AS648" s="277">
        <f>+AQ648</f>
        <v>0.6</v>
      </c>
      <c r="AT648" s="253">
        <f>+AO648</f>
        <v>0.6</v>
      </c>
      <c r="AU648" s="253">
        <f t="shared" ref="AU648" si="929">+AP648</f>
        <v>0.6</v>
      </c>
      <c r="AV648" s="278">
        <f>+AQ648</f>
        <v>0.6</v>
      </c>
      <c r="AW648" s="765">
        <f>IF(AVERAGE(AS646:AV646)=0,0,AW649/(AVERAGE(AS646:AV646)*8.76))</f>
        <v>0</v>
      </c>
      <c r="AX648" s="277">
        <f>+AV648</f>
        <v>0.6</v>
      </c>
      <c r="AY648" s="253">
        <f>+AT648</f>
        <v>0.6</v>
      </c>
      <c r="AZ648" s="253">
        <f>+AU648</f>
        <v>0.6</v>
      </c>
      <c r="BA648" s="278">
        <f>+AV648</f>
        <v>0.6</v>
      </c>
      <c r="BB648" s="765">
        <f>IF(AVERAGE(AX646:BA646)=0,0,BB649/(AVERAGE(AX646:BA646)*8.76))</f>
        <v>0</v>
      </c>
      <c r="BC648" s="277">
        <f>+BA648</f>
        <v>0.6</v>
      </c>
      <c r="BD648" s="253">
        <f>+AY648</f>
        <v>0.6</v>
      </c>
      <c r="BE648" s="253">
        <f>+AZ648</f>
        <v>0.6</v>
      </c>
      <c r="BF648" s="278">
        <f>+BA648</f>
        <v>0.6</v>
      </c>
      <c r="BG648" s="765">
        <f>IF(AVERAGE(BC646:BF646)=0,0,BG649/(AVERAGE(BC646:BF646)*8.76))</f>
        <v>0</v>
      </c>
      <c r="BH648" s="277">
        <f>+BF648</f>
        <v>0.6</v>
      </c>
      <c r="BI648" s="253">
        <f>+BD648</f>
        <v>0.6</v>
      </c>
      <c r="BJ648" s="253">
        <f>+BE648</f>
        <v>0.6</v>
      </c>
      <c r="BK648" s="278">
        <f>+BF648</f>
        <v>0.6</v>
      </c>
      <c r="BL648" s="765">
        <f>IF(AVERAGE(BH646:BK646)=0,0,BL649/(AVERAGE(BH646:BK646)*8.76))</f>
        <v>0</v>
      </c>
      <c r="BM648" s="277">
        <f>+BK648</f>
        <v>0.6</v>
      </c>
      <c r="BN648" s="253">
        <f>+BI648</f>
        <v>0.6</v>
      </c>
      <c r="BO648" s="253">
        <f>+BJ648</f>
        <v>0.6</v>
      </c>
      <c r="BP648" s="278">
        <f>+BK648</f>
        <v>0.6</v>
      </c>
      <c r="BQ648" s="765">
        <f>IF(AVERAGE(BM646:BP646)=0,0,BQ649/(AVERAGE(BM646:BP646)*8.76))</f>
        <v>0</v>
      </c>
      <c r="BR648" s="40"/>
      <c r="BS648" s="40"/>
      <c r="BT648" s="40"/>
      <c r="BU648" s="232"/>
      <c r="BV648" s="40"/>
      <c r="BW648" s="40"/>
      <c r="BX648" s="40"/>
      <c r="BY648" s="40"/>
      <c r="BZ648" s="40"/>
      <c r="CA648" s="40"/>
      <c r="CB648" s="40"/>
      <c r="CC648" s="40"/>
      <c r="CD648" s="40"/>
      <c r="CE648" s="40"/>
      <c r="CF648" s="40"/>
      <c r="CG648" s="40"/>
      <c r="CH648" s="40"/>
      <c r="CI648" s="40"/>
      <c r="CJ648" s="40"/>
      <c r="CK648" s="40"/>
      <c r="CL648" s="40"/>
      <c r="CM648" s="40"/>
      <c r="CN648" s="40"/>
      <c r="CO648" s="40"/>
      <c r="CP648" s="40"/>
      <c r="CQ648" s="40"/>
      <c r="CR648" s="40"/>
      <c r="CS648" s="40"/>
      <c r="CT648" s="823"/>
      <c r="CU648" s="232"/>
      <c r="CV648" s="232"/>
      <c r="CW648" s="232"/>
      <c r="CX648" s="232"/>
      <c r="CY648" s="232"/>
      <c r="CZ648" s="40"/>
      <c r="DA648" s="40"/>
      <c r="DB648" s="40"/>
      <c r="DC648" s="40"/>
      <c r="DD648" s="40"/>
      <c r="DE648" s="40"/>
      <c r="DF648" s="232"/>
      <c r="DG648" s="232"/>
      <c r="DH648" s="232"/>
      <c r="DI648" s="232"/>
      <c r="DJ648" s="232"/>
      <c r="DK648" s="232"/>
      <c r="DL648" s="232"/>
      <c r="DM648" s="232"/>
      <c r="DN648" s="232"/>
    </row>
    <row r="649" spans="1:118" s="34" customFormat="1">
      <c r="A649" s="156"/>
      <c r="B649" s="32"/>
      <c r="C649" s="32" t="s">
        <v>198</v>
      </c>
      <c r="D649" s="32"/>
      <c r="E649" s="489"/>
      <c r="F649" s="342"/>
      <c r="G649" s="342"/>
      <c r="H649" s="490"/>
      <c r="I649" s="32"/>
      <c r="J649" s="489"/>
      <c r="K649" s="342"/>
      <c r="L649" s="342"/>
      <c r="M649" s="490"/>
      <c r="N649" s="32"/>
      <c r="O649" s="489"/>
      <c r="P649" s="342"/>
      <c r="Q649" s="342"/>
      <c r="R649" s="490"/>
      <c r="S649" s="228"/>
      <c r="T649" s="292"/>
      <c r="U649" s="261"/>
      <c r="V649" s="261"/>
      <c r="W649" s="293"/>
      <c r="X649" s="228"/>
      <c r="Y649" s="292">
        <f>(Y646*Y648*(8760/1000))/4</f>
        <v>1641.1859999999999</v>
      </c>
      <c r="Z649" s="261">
        <f>(Z646*Z648*(8760/1000))/4</f>
        <v>1641.1859999999999</v>
      </c>
      <c r="AA649" s="261">
        <f>(AA646*AA648*(8760/1000))/4</f>
        <v>1641.1859999999999</v>
      </c>
      <c r="AB649" s="293">
        <f>(AB646*AB648*(8760/1000))/4</f>
        <v>1641.1859999999999</v>
      </c>
      <c r="AC649" s="228">
        <f>SUM(Y649:AB649)</f>
        <v>6564.7439999999997</v>
      </c>
      <c r="AD649" s="292">
        <f>(AD646*AD648*(8760/1000))/4</f>
        <v>1641.1859999999999</v>
      </c>
      <c r="AE649" s="261">
        <f>(AE646*AE648*(8760/1000))/4</f>
        <v>1641.1859999999999</v>
      </c>
      <c r="AF649" s="261">
        <f>(AF646*AF648*(8760/1000))/4</f>
        <v>1641.1859999999999</v>
      </c>
      <c r="AG649" s="293">
        <f>(AG646*AG648*(8760/1000))/4</f>
        <v>1641.1859999999999</v>
      </c>
      <c r="AH649" s="228">
        <f>SUM(AD649:AG649)</f>
        <v>6564.7439999999997</v>
      </c>
      <c r="AI649" s="292">
        <f>(AI646*AI648*(8760/1000))/4</f>
        <v>0</v>
      </c>
      <c r="AJ649" s="261">
        <f>(AJ646*AJ648*(8760/1000))/4</f>
        <v>0</v>
      </c>
      <c r="AK649" s="261">
        <f>(AK646*AK648*(8760/1000))/4</f>
        <v>0</v>
      </c>
      <c r="AL649" s="293">
        <f>(AL646*AL648*(8760/1000))/4</f>
        <v>0</v>
      </c>
      <c r="AM649" s="228">
        <f>SUM(AI649:AL649)</f>
        <v>0</v>
      </c>
      <c r="AN649" s="292">
        <f>(AN646*AN648*(8760/1000))/4</f>
        <v>0</v>
      </c>
      <c r="AO649" s="261">
        <f>(AO646*AO648*(8760/1000))/4</f>
        <v>0</v>
      </c>
      <c r="AP649" s="261">
        <f>(AP646*AP648*(8760/1000))/4</f>
        <v>0</v>
      </c>
      <c r="AQ649" s="293">
        <f>(AQ646*AQ648*(8760/1000))/4</f>
        <v>0</v>
      </c>
      <c r="AR649" s="228">
        <f>SUM(AN649:AQ649)</f>
        <v>0</v>
      </c>
      <c r="AS649" s="292">
        <f>(AS646*AS648*(8760/1000))/4</f>
        <v>0</v>
      </c>
      <c r="AT649" s="261">
        <f>(AT646*AT648*(8760/1000))/4</f>
        <v>0</v>
      </c>
      <c r="AU649" s="261">
        <f t="shared" ref="AU649" si="930">(AU646*AU648*(8760/1000))/4</f>
        <v>0</v>
      </c>
      <c r="AV649" s="293">
        <f>(AV646*AV648*(8760/1000))/4</f>
        <v>0</v>
      </c>
      <c r="AW649" s="228">
        <f>SUM(AS649:AV649)</f>
        <v>0</v>
      </c>
      <c r="AX649" s="292">
        <f>(AX646*AX648*(8760/1000))/4</f>
        <v>0</v>
      </c>
      <c r="AY649" s="261">
        <f>(AY646*AY648*(8760/1000))/4</f>
        <v>0</v>
      </c>
      <c r="AZ649" s="261">
        <f>(AZ646*AZ648*(8760/1000))/4</f>
        <v>0</v>
      </c>
      <c r="BA649" s="293">
        <f>(BA646*BA648*(8760/1000))/4</f>
        <v>0</v>
      </c>
      <c r="BB649" s="228">
        <f>SUM(AX649:BA649)</f>
        <v>0</v>
      </c>
      <c r="BC649" s="292">
        <f>(BC646*BC648*(8760/1000))/4</f>
        <v>0</v>
      </c>
      <c r="BD649" s="261">
        <f>(BD646*BD648*(8760/1000))/4</f>
        <v>0</v>
      </c>
      <c r="BE649" s="261">
        <f>(BE646*BE648*(8760/1000))/4</f>
        <v>0</v>
      </c>
      <c r="BF649" s="293">
        <f>(BF646*BF648*(8760/1000))/4</f>
        <v>0</v>
      </c>
      <c r="BG649" s="228">
        <f>SUM(BC649:BF649)</f>
        <v>0</v>
      </c>
      <c r="BH649" s="292">
        <f>(BH646*BH648*(8760/1000))/4</f>
        <v>0</v>
      </c>
      <c r="BI649" s="261">
        <f>(BI646*BI648*(8760/1000))/4</f>
        <v>0</v>
      </c>
      <c r="BJ649" s="261">
        <f>(BJ646*BJ648*(8760/1000))/4</f>
        <v>0</v>
      </c>
      <c r="BK649" s="293">
        <f>(BK646*BK648*(8760/1000))/4</f>
        <v>0</v>
      </c>
      <c r="BL649" s="228">
        <f>SUM(BH649:BK649)</f>
        <v>0</v>
      </c>
      <c r="BM649" s="292">
        <f>(BM646*BM648*(8760/1000))/4</f>
        <v>0</v>
      </c>
      <c r="BN649" s="261">
        <f>(BN646*BN648*(8760/1000))/4</f>
        <v>0</v>
      </c>
      <c r="BO649" s="261">
        <f>(BO646*BO648*(8760/1000))/4</f>
        <v>0</v>
      </c>
      <c r="BP649" s="293">
        <f>(BP646*BP648*(8760/1000))/4</f>
        <v>0</v>
      </c>
      <c r="BQ649" s="228">
        <f>SUM(BM649:BP649)</f>
        <v>0</v>
      </c>
      <c r="BR649" s="40"/>
      <c r="BS649" s="40"/>
      <c r="BT649" s="156"/>
      <c r="BU649" s="232"/>
      <c r="BV649" s="40"/>
      <c r="BW649" s="40"/>
      <c r="BX649" s="40"/>
      <c r="BY649" s="40"/>
      <c r="BZ649" s="40"/>
      <c r="CA649" s="40"/>
      <c r="CB649" s="40"/>
      <c r="CC649" s="40"/>
      <c r="CD649" s="40"/>
      <c r="CE649" s="40"/>
      <c r="CF649" s="40"/>
      <c r="CG649" s="156"/>
      <c r="CH649" s="156"/>
      <c r="CI649" s="156"/>
      <c r="CJ649" s="156"/>
      <c r="CK649" s="156"/>
      <c r="CL649" s="156"/>
      <c r="CM649" s="156"/>
      <c r="CN649" s="156"/>
      <c r="CO649" s="156"/>
      <c r="CP649" s="156"/>
      <c r="CQ649" s="156"/>
      <c r="CR649" s="156"/>
      <c r="CS649" s="156"/>
      <c r="CT649" s="954"/>
      <c r="CZ649" s="156"/>
      <c r="DA649" s="156"/>
      <c r="DB649" s="156"/>
      <c r="DC649" s="156"/>
      <c r="DD649" s="156"/>
      <c r="DE649" s="156"/>
    </row>
    <row r="650" spans="1:118">
      <c r="A650" s="40"/>
      <c r="B650" s="1"/>
      <c r="C650" s="1"/>
      <c r="D650" s="1"/>
      <c r="E650" s="273"/>
      <c r="F650" s="3"/>
      <c r="G650" s="3"/>
      <c r="H650" s="274"/>
      <c r="I650" s="28"/>
      <c r="J650" s="273"/>
      <c r="K650" s="3"/>
      <c r="L650" s="3"/>
      <c r="M650" s="274"/>
      <c r="N650" s="1"/>
      <c r="O650" s="273"/>
      <c r="P650" s="3"/>
      <c r="Q650" s="3"/>
      <c r="R650" s="274"/>
      <c r="S650" s="1"/>
      <c r="T650" s="273"/>
      <c r="U650" s="3"/>
      <c r="V650" s="3"/>
      <c r="W650" s="274"/>
      <c r="X650" s="1"/>
      <c r="Y650" s="273"/>
      <c r="Z650" s="3"/>
      <c r="AA650" s="3"/>
      <c r="AB650" s="274"/>
      <c r="AC650" s="1"/>
      <c r="AD650" s="273"/>
      <c r="AE650" s="3"/>
      <c r="AF650" s="3"/>
      <c r="AG650" s="274"/>
      <c r="AH650" s="1"/>
      <c r="AI650" s="273"/>
      <c r="AJ650" s="3"/>
      <c r="AK650" s="3"/>
      <c r="AL650" s="274"/>
      <c r="AM650" s="1"/>
      <c r="AN650" s="273"/>
      <c r="AO650" s="3"/>
      <c r="AP650" s="3"/>
      <c r="AQ650" s="274"/>
      <c r="AR650" s="1"/>
      <c r="AS650" s="273"/>
      <c r="AT650" s="3"/>
      <c r="AU650" s="3"/>
      <c r="AV650" s="274"/>
      <c r="AW650" s="1"/>
      <c r="AX650" s="273"/>
      <c r="AY650" s="3"/>
      <c r="AZ650" s="3"/>
      <c r="BA650" s="274"/>
      <c r="BB650" s="1"/>
      <c r="BC650" s="273"/>
      <c r="BD650" s="3"/>
      <c r="BE650" s="3"/>
      <c r="BF650" s="274"/>
      <c r="BG650" s="1"/>
      <c r="BH650" s="273"/>
      <c r="BI650" s="3"/>
      <c r="BJ650" s="3"/>
      <c r="BK650" s="274"/>
      <c r="BL650" s="1"/>
      <c r="BM650" s="273"/>
      <c r="BN650" s="3"/>
      <c r="BO650" s="3"/>
      <c r="BP650" s="274"/>
      <c r="BQ650" s="1"/>
      <c r="BR650" s="40"/>
      <c r="BS650" s="40"/>
      <c r="BT650" s="40"/>
      <c r="BU650" s="232"/>
      <c r="BV650" s="40"/>
      <c r="BW650" s="40"/>
      <c r="BX650" s="40"/>
      <c r="BY650" s="40"/>
      <c r="BZ650" s="40"/>
      <c r="CA650" s="40"/>
      <c r="CB650" s="40"/>
      <c r="CC650" s="40"/>
      <c r="CD650" s="40"/>
      <c r="CE650" s="40"/>
      <c r="CF650" s="40"/>
      <c r="CG650" s="40"/>
      <c r="CH650" s="40"/>
      <c r="CI650" s="40"/>
      <c r="CJ650" s="40"/>
      <c r="CK650" s="40"/>
      <c r="CL650" s="40"/>
      <c r="CM650" s="40"/>
      <c r="CN650" s="40"/>
      <c r="CO650" s="40"/>
      <c r="CP650" s="40"/>
      <c r="CQ650" s="40"/>
      <c r="CR650" s="40"/>
      <c r="CS650" s="40"/>
      <c r="CT650" s="823"/>
      <c r="CU650" s="232"/>
      <c r="CV650" s="232"/>
      <c r="CW650" s="232"/>
      <c r="CX650" s="232"/>
      <c r="CY650" s="232"/>
      <c r="CZ650" s="40"/>
      <c r="DA650" s="40"/>
      <c r="DB650" s="40"/>
      <c r="DC650" s="40"/>
      <c r="DD650" s="40"/>
      <c r="DE650" s="40"/>
      <c r="DF650" s="232"/>
      <c r="DG650" s="232"/>
      <c r="DH650" s="232"/>
      <c r="DI650" s="232"/>
      <c r="DJ650" s="232"/>
      <c r="DK650" s="232"/>
      <c r="DL650" s="232"/>
      <c r="DM650" s="232"/>
      <c r="DN650" s="232"/>
    </row>
    <row r="651" spans="1:118">
      <c r="A651" s="40"/>
      <c r="B651" s="1"/>
      <c r="C651" s="28" t="s">
        <v>797</v>
      </c>
      <c r="D651" s="1"/>
      <c r="E651" s="273"/>
      <c r="F651" s="3"/>
      <c r="G651" s="3"/>
      <c r="H651" s="274"/>
      <c r="I651" s="28"/>
      <c r="J651" s="273"/>
      <c r="K651" s="3"/>
      <c r="L651" s="3"/>
      <c r="M651" s="274"/>
      <c r="N651" s="1"/>
      <c r="O651" s="273"/>
      <c r="P651" s="3"/>
      <c r="Q651" s="3"/>
      <c r="R651" s="274"/>
      <c r="S651" s="1"/>
      <c r="T651" s="758"/>
      <c r="U651" s="660"/>
      <c r="V651" s="660"/>
      <c r="W651" s="661"/>
      <c r="X651" s="428"/>
      <c r="Y651" s="758">
        <f>(Y643/1000*Y649)</f>
        <v>50.510948220169688</v>
      </c>
      <c r="Z651" s="660">
        <f>(Z643/1000*Z649)</f>
        <v>51.401639485669008</v>
      </c>
      <c r="AA651" s="660">
        <f>(AA643/1000*AA649)</f>
        <v>53.023119457204558</v>
      </c>
      <c r="AB651" s="661">
        <f>(AB643/1000*AB649)</f>
        <v>48.352389305078802</v>
      </c>
      <c r="AC651" s="428">
        <f>SUM(Y651:AB651)</f>
        <v>203.28809646812203</v>
      </c>
      <c r="AD651" s="758">
        <f>(AD643/1000*AD649)</f>
        <v>97.107657591800447</v>
      </c>
      <c r="AE651" s="660">
        <f>(AE643/1000*AE649)</f>
        <v>50.040842211281735</v>
      </c>
      <c r="AF651" s="660">
        <f>(AF643/1000*AF649)</f>
        <v>50.040842211281735</v>
      </c>
      <c r="AG651" s="661">
        <f>(AG643/1000*AG649)</f>
        <v>52.437212532741498</v>
      </c>
      <c r="AH651" s="428">
        <f>SUM(AD651:AG651)</f>
        <v>249.6265545471054</v>
      </c>
      <c r="AI651" s="758">
        <f>(AI643/1000*AI649)</f>
        <v>0</v>
      </c>
      <c r="AJ651" s="660">
        <f>(AJ643/1000*AJ649)</f>
        <v>0</v>
      </c>
      <c r="AK651" s="660">
        <f>(AK643/1000*AK649)</f>
        <v>0</v>
      </c>
      <c r="AL651" s="661">
        <f>(AL643/1000*AL649)</f>
        <v>0</v>
      </c>
      <c r="AM651" s="428">
        <f>SUM(AI651:AL651)</f>
        <v>0</v>
      </c>
      <c r="AN651" s="758">
        <f>(AN643/1000*AN649)</f>
        <v>0</v>
      </c>
      <c r="AO651" s="660">
        <f>(AO643/1000*AO649)</f>
        <v>0</v>
      </c>
      <c r="AP651" s="660">
        <f>(AP643/1000*AP649)</f>
        <v>0</v>
      </c>
      <c r="AQ651" s="661">
        <f>(AQ643/1000*AQ649)</f>
        <v>0</v>
      </c>
      <c r="AR651" s="428">
        <f>SUM(AN651:AQ651)</f>
        <v>0</v>
      </c>
      <c r="AS651" s="758">
        <f>(AS643/1000*AS649)</f>
        <v>0</v>
      </c>
      <c r="AT651" s="660">
        <f>(AT643/1000*AT649)</f>
        <v>0</v>
      </c>
      <c r="AU651" s="660">
        <f t="shared" ref="AU651" si="931">(AU643/1000*AU649)</f>
        <v>0</v>
      </c>
      <c r="AV651" s="661">
        <f>(AV643/1000*AV649)</f>
        <v>0</v>
      </c>
      <c r="AW651" s="428">
        <f>SUM(AS651:AV651)</f>
        <v>0</v>
      </c>
      <c r="AX651" s="758">
        <f>(AX643/1000*AX649)</f>
        <v>0</v>
      </c>
      <c r="AY651" s="660">
        <f>(AY643/1000*AY649)</f>
        <v>0</v>
      </c>
      <c r="AZ651" s="660">
        <f>(AZ643/1000*AZ649)</f>
        <v>0</v>
      </c>
      <c r="BA651" s="661">
        <f>(BA643/1000*BA649)</f>
        <v>0</v>
      </c>
      <c r="BB651" s="428">
        <f>SUM(AX651:BA651)</f>
        <v>0</v>
      </c>
      <c r="BC651" s="758">
        <f>(BC643/1000*BC649)</f>
        <v>0</v>
      </c>
      <c r="BD651" s="660">
        <f>(BD643/1000*BD649)</f>
        <v>0</v>
      </c>
      <c r="BE651" s="660">
        <f>(BE643/1000*BE649)</f>
        <v>0</v>
      </c>
      <c r="BF651" s="661">
        <f>(BF643/1000*BF649)</f>
        <v>0</v>
      </c>
      <c r="BG651" s="428">
        <f>SUM(BC651:BF651)</f>
        <v>0</v>
      </c>
      <c r="BH651" s="758">
        <f>(BH643/1000*BH649)</f>
        <v>0</v>
      </c>
      <c r="BI651" s="660">
        <f>(BI643/1000*BI649)</f>
        <v>0</v>
      </c>
      <c r="BJ651" s="660">
        <f>(BJ643/1000*BJ649)</f>
        <v>0</v>
      </c>
      <c r="BK651" s="661">
        <f>(BK643/1000*BK649)</f>
        <v>0</v>
      </c>
      <c r="BL651" s="428">
        <f>SUM(BH651:BK651)</f>
        <v>0</v>
      </c>
      <c r="BM651" s="758">
        <f>(BM643/1000*BM649)</f>
        <v>0</v>
      </c>
      <c r="BN651" s="660">
        <f>(BN643/1000*BN649)</f>
        <v>0</v>
      </c>
      <c r="BO651" s="660">
        <f>(BO643/1000*BO649)</f>
        <v>0</v>
      </c>
      <c r="BP651" s="661">
        <f>(BP643/1000*BP649)</f>
        <v>0</v>
      </c>
      <c r="BQ651" s="428">
        <f>SUM(BM651:BP651)</f>
        <v>0</v>
      </c>
      <c r="BR651" s="40"/>
      <c r="BS651" s="40"/>
      <c r="BT651" s="40"/>
      <c r="BU651" s="34"/>
      <c r="BV651" s="156"/>
      <c r="BW651" s="156"/>
      <c r="BX651" s="156"/>
      <c r="BY651" s="156"/>
      <c r="BZ651" s="156"/>
      <c r="CA651" s="156"/>
      <c r="CB651" s="156"/>
      <c r="CC651" s="156"/>
      <c r="CD651" s="156"/>
      <c r="CE651" s="156"/>
      <c r="CF651" s="156"/>
      <c r="CG651" s="40"/>
      <c r="CH651" s="40"/>
      <c r="CI651" s="40"/>
      <c r="CJ651" s="40"/>
      <c r="CK651" s="40"/>
      <c r="CL651" s="40"/>
      <c r="CM651" s="40"/>
      <c r="CN651" s="40"/>
      <c r="CO651" s="40"/>
      <c r="CP651" s="40"/>
      <c r="CQ651" s="40"/>
      <c r="CR651" s="40"/>
      <c r="CS651" s="40"/>
      <c r="CT651" s="823"/>
      <c r="CU651" s="232"/>
      <c r="CV651" s="232"/>
      <c r="CW651" s="232"/>
      <c r="CX651" s="232"/>
      <c r="CY651" s="232"/>
      <c r="CZ651" s="40"/>
      <c r="DA651" s="40"/>
      <c r="DB651" s="40"/>
      <c r="DC651" s="40"/>
      <c r="DD651" s="40"/>
      <c r="DE651" s="40"/>
      <c r="DF651" s="232"/>
      <c r="DG651" s="232"/>
      <c r="DH651" s="232"/>
      <c r="DI651" s="232"/>
      <c r="DJ651" s="232"/>
      <c r="DK651" s="232"/>
      <c r="DL651" s="232"/>
      <c r="DM651" s="232"/>
      <c r="DN651" s="232"/>
    </row>
    <row r="652" spans="1:118" s="232" customFormat="1">
      <c r="A652" s="40"/>
      <c r="B652" s="1"/>
      <c r="C652" s="28" t="s">
        <v>278</v>
      </c>
      <c r="D652" s="1"/>
      <c r="E652" s="273"/>
      <c r="F652" s="3"/>
      <c r="G652" s="3"/>
      <c r="H652" s="274"/>
      <c r="I652" s="28"/>
      <c r="J652" s="273"/>
      <c r="K652" s="3"/>
      <c r="L652" s="3"/>
      <c r="M652" s="274"/>
      <c r="N652" s="1"/>
      <c r="O652" s="273"/>
      <c r="P652" s="3"/>
      <c r="Q652" s="3"/>
      <c r="R652" s="274"/>
      <c r="S652" s="1"/>
      <c r="T652" s="758"/>
      <c r="U652" s="660"/>
      <c r="V652" s="660"/>
      <c r="W652" s="661"/>
      <c r="X652" s="428"/>
      <c r="Y652" s="758">
        <f>Y644/1000*Y649</f>
        <v>3.4191374999999997</v>
      </c>
      <c r="Z652" s="660">
        <f>Z644/1000*Z649</f>
        <v>3.4191374999999997</v>
      </c>
      <c r="AA652" s="660">
        <f>AA644/1000*AA649</f>
        <v>3.4191374999999997</v>
      </c>
      <c r="AB652" s="661">
        <f>AB644/1000*AB649</f>
        <v>3.4191374999999997</v>
      </c>
      <c r="AC652" s="428">
        <f>SUM(Y652:AB652)</f>
        <v>13.676549999999999</v>
      </c>
      <c r="AD652" s="758">
        <f>AD644/1000*AD649</f>
        <v>47.056800380769232</v>
      </c>
      <c r="AE652" s="660">
        <f>AE644/1000*AE649</f>
        <v>3.4191374999999997</v>
      </c>
      <c r="AF652" s="660">
        <f>AF644/1000*AF649</f>
        <v>42.627702265384627</v>
      </c>
      <c r="AG652" s="661">
        <f>AG644/1000*AG649</f>
        <v>41.786594440384611</v>
      </c>
      <c r="AH652" s="428">
        <f>SUM(AD652:AG652)</f>
        <v>134.89023458653847</v>
      </c>
      <c r="AI652" s="758">
        <f>AI644/1000*AI649</f>
        <v>0</v>
      </c>
      <c r="AJ652" s="660">
        <f>AJ644/1000*AJ649</f>
        <v>0</v>
      </c>
      <c r="AK652" s="660">
        <f>AK644/1000*AK649</f>
        <v>0</v>
      </c>
      <c r="AL652" s="661">
        <f>AL644/1000*AL649</f>
        <v>0</v>
      </c>
      <c r="AM652" s="428">
        <f>SUM(AI652:AL652)</f>
        <v>0</v>
      </c>
      <c r="AN652" s="758">
        <f>AN644/1000*AN649</f>
        <v>0</v>
      </c>
      <c r="AO652" s="660">
        <f>AO644/1000*AO649</f>
        <v>0</v>
      </c>
      <c r="AP652" s="660">
        <f>AP644/1000*AP649</f>
        <v>0</v>
      </c>
      <c r="AQ652" s="661">
        <f>AQ644/1000*AQ649</f>
        <v>0</v>
      </c>
      <c r="AR652" s="428">
        <f>SUM(AN652:AQ652)</f>
        <v>0</v>
      </c>
      <c r="AS652" s="758">
        <f>AS644/1000*AS649</f>
        <v>0</v>
      </c>
      <c r="AT652" s="660">
        <f>AT644/1000*AT649</f>
        <v>0</v>
      </c>
      <c r="AU652" s="660">
        <f t="shared" ref="AU652" si="932">AU644/1000*AU649</f>
        <v>0</v>
      </c>
      <c r="AV652" s="661">
        <f>AV644/1000*AV649</f>
        <v>0</v>
      </c>
      <c r="AW652" s="428">
        <f>SUM(AS652:AV652)</f>
        <v>0</v>
      </c>
      <c r="AX652" s="758">
        <f>AX644/1000*AX649</f>
        <v>0</v>
      </c>
      <c r="AY652" s="660">
        <f>AY644/1000*AY649</f>
        <v>0</v>
      </c>
      <c r="AZ652" s="660">
        <f>AZ644/1000*AZ649</f>
        <v>0</v>
      </c>
      <c r="BA652" s="661">
        <f>BA644/1000*BA649</f>
        <v>0</v>
      </c>
      <c r="BB652" s="428">
        <f>SUM(AX652:BA652)</f>
        <v>0</v>
      </c>
      <c r="BC652" s="758">
        <f>BC644/1000*BC649</f>
        <v>0</v>
      </c>
      <c r="BD652" s="660">
        <f>BD644/1000*BD649</f>
        <v>0</v>
      </c>
      <c r="BE652" s="660">
        <f>BE644/1000*BE649</f>
        <v>0</v>
      </c>
      <c r="BF652" s="661">
        <f>BF644/1000*BF649</f>
        <v>0</v>
      </c>
      <c r="BG652" s="428">
        <f>SUM(BC652:BF652)</f>
        <v>0</v>
      </c>
      <c r="BH652" s="758">
        <f>BH644/1000*BH649</f>
        <v>0</v>
      </c>
      <c r="BI652" s="660">
        <f>BI644/1000*BI649</f>
        <v>0</v>
      </c>
      <c r="BJ652" s="660">
        <f>BJ644/1000*BJ649</f>
        <v>0</v>
      </c>
      <c r="BK652" s="661">
        <f>BK644/1000*BK649</f>
        <v>0</v>
      </c>
      <c r="BL652" s="428">
        <f>SUM(BH652:BK652)</f>
        <v>0</v>
      </c>
      <c r="BM652" s="758">
        <f>BM644/1000*BM649</f>
        <v>0</v>
      </c>
      <c r="BN652" s="660">
        <f>BN644/1000*BN649</f>
        <v>0</v>
      </c>
      <c r="BO652" s="660">
        <f>BO644/1000*BO649</f>
        <v>0</v>
      </c>
      <c r="BP652" s="661">
        <f>BP644/1000*BP649</f>
        <v>0</v>
      </c>
      <c r="BQ652" s="428">
        <f>SUM(BM652:BP652)</f>
        <v>0</v>
      </c>
      <c r="BR652" s="40"/>
      <c r="BS652" s="40"/>
      <c r="BT652" s="40"/>
      <c r="BV652" s="40"/>
      <c r="BW652" s="40"/>
      <c r="BX652" s="40"/>
      <c r="BY652" s="40"/>
      <c r="BZ652" s="40"/>
      <c r="CA652" s="40"/>
      <c r="CB652" s="40"/>
      <c r="CC652" s="40"/>
      <c r="CD652" s="40"/>
      <c r="CE652" s="40"/>
      <c r="CF652" s="40"/>
      <c r="CG652" s="40"/>
      <c r="CH652" s="40"/>
      <c r="CI652" s="40"/>
      <c r="CJ652" s="40"/>
      <c r="CK652" s="40"/>
      <c r="CL652" s="40"/>
      <c r="CM652" s="40"/>
      <c r="CN652" s="40"/>
      <c r="CO652" s="40"/>
      <c r="CP652" s="40"/>
      <c r="CQ652" s="40"/>
      <c r="CR652" s="40"/>
      <c r="CS652" s="40"/>
      <c r="CT652" s="994"/>
      <c r="CZ652" s="40"/>
      <c r="DA652" s="40"/>
      <c r="DB652" s="40"/>
      <c r="DC652" s="40"/>
      <c r="DD652" s="40"/>
      <c r="DE652" s="40"/>
    </row>
    <row r="653" spans="1:118">
      <c r="A653" s="40"/>
      <c r="B653" s="32"/>
      <c r="C653" s="32" t="s">
        <v>199</v>
      </c>
      <c r="D653" s="32"/>
      <c r="E653" s="489"/>
      <c r="F653" s="342"/>
      <c r="G653" s="342"/>
      <c r="H653" s="490"/>
      <c r="I653" s="28"/>
      <c r="J653" s="489"/>
      <c r="K653" s="342"/>
      <c r="L653" s="342"/>
      <c r="M653" s="490"/>
      <c r="N653" s="32"/>
      <c r="O653" s="489"/>
      <c r="P653" s="342"/>
      <c r="Q653" s="342"/>
      <c r="R653" s="490"/>
      <c r="S653" s="32"/>
      <c r="T653" s="292"/>
      <c r="U653" s="261"/>
      <c r="V653" s="261"/>
      <c r="W653" s="293"/>
      <c r="X653" s="228"/>
      <c r="Y653" s="292">
        <f>Y651-Y652</f>
        <v>47.09181072016969</v>
      </c>
      <c r="Z653" s="261">
        <f>Z651-Z652</f>
        <v>47.98250198566901</v>
      </c>
      <c r="AA653" s="261">
        <f>AA651-AA652</f>
        <v>49.60398195720456</v>
      </c>
      <c r="AB653" s="293">
        <f>AB651-AB652</f>
        <v>44.933251805078804</v>
      </c>
      <c r="AC653" s="228">
        <f>AC651-AC652</f>
        <v>189.61154646812204</v>
      </c>
      <c r="AD653" s="292">
        <f t="shared" ref="AD653:BL653" si="933">AD651-AD652</f>
        <v>50.050857211031214</v>
      </c>
      <c r="AE653" s="261">
        <f>AE651-AE652</f>
        <v>46.621704711281737</v>
      </c>
      <c r="AF653" s="261">
        <f t="shared" si="933"/>
        <v>7.4131399458971075</v>
      </c>
      <c r="AG653" s="293">
        <f t="shared" si="933"/>
        <v>10.650618092356886</v>
      </c>
      <c r="AH653" s="228">
        <f t="shared" si="933"/>
        <v>114.73631996056693</v>
      </c>
      <c r="AI653" s="292">
        <f t="shared" si="933"/>
        <v>0</v>
      </c>
      <c r="AJ653" s="261">
        <f t="shared" si="933"/>
        <v>0</v>
      </c>
      <c r="AK653" s="261">
        <f t="shared" si="933"/>
        <v>0</v>
      </c>
      <c r="AL653" s="293">
        <f t="shared" si="933"/>
        <v>0</v>
      </c>
      <c r="AM653" s="228">
        <f t="shared" si="933"/>
        <v>0</v>
      </c>
      <c r="AN653" s="292">
        <f t="shared" si="933"/>
        <v>0</v>
      </c>
      <c r="AO653" s="261">
        <f t="shared" si="933"/>
        <v>0</v>
      </c>
      <c r="AP653" s="261">
        <f t="shared" si="933"/>
        <v>0</v>
      </c>
      <c r="AQ653" s="293">
        <f t="shared" si="933"/>
        <v>0</v>
      </c>
      <c r="AR653" s="228">
        <f t="shared" si="933"/>
        <v>0</v>
      </c>
      <c r="AS653" s="292">
        <f t="shared" si="933"/>
        <v>0</v>
      </c>
      <c r="AT653" s="261">
        <f t="shared" si="933"/>
        <v>0</v>
      </c>
      <c r="AU653" s="261">
        <f t="shared" ref="AU653" si="934">AU651-AU652</f>
        <v>0</v>
      </c>
      <c r="AV653" s="293">
        <f t="shared" si="933"/>
        <v>0</v>
      </c>
      <c r="AW653" s="228">
        <f t="shared" si="933"/>
        <v>0</v>
      </c>
      <c r="AX653" s="292">
        <f t="shared" si="933"/>
        <v>0</v>
      </c>
      <c r="AY653" s="261">
        <f t="shared" si="933"/>
        <v>0</v>
      </c>
      <c r="AZ653" s="261">
        <f t="shared" si="933"/>
        <v>0</v>
      </c>
      <c r="BA653" s="293">
        <f t="shared" si="933"/>
        <v>0</v>
      </c>
      <c r="BB653" s="228">
        <f t="shared" si="933"/>
        <v>0</v>
      </c>
      <c r="BC653" s="292">
        <f t="shared" si="933"/>
        <v>0</v>
      </c>
      <c r="BD653" s="261">
        <f t="shared" si="933"/>
        <v>0</v>
      </c>
      <c r="BE653" s="261">
        <f t="shared" si="933"/>
        <v>0</v>
      </c>
      <c r="BF653" s="293">
        <f t="shared" si="933"/>
        <v>0</v>
      </c>
      <c r="BG653" s="228">
        <f t="shared" si="933"/>
        <v>0</v>
      </c>
      <c r="BH653" s="292">
        <f t="shared" si="933"/>
        <v>0</v>
      </c>
      <c r="BI653" s="261">
        <f t="shared" si="933"/>
        <v>0</v>
      </c>
      <c r="BJ653" s="261">
        <f t="shared" si="933"/>
        <v>0</v>
      </c>
      <c r="BK653" s="293">
        <f t="shared" si="933"/>
        <v>0</v>
      </c>
      <c r="BL653" s="228">
        <f t="shared" si="933"/>
        <v>0</v>
      </c>
      <c r="BM653" s="292">
        <f t="shared" ref="BM653:BQ653" si="935">BM651-BM652</f>
        <v>0</v>
      </c>
      <c r="BN653" s="261">
        <f t="shared" si="935"/>
        <v>0</v>
      </c>
      <c r="BO653" s="261">
        <f t="shared" si="935"/>
        <v>0</v>
      </c>
      <c r="BP653" s="293">
        <f t="shared" si="935"/>
        <v>0</v>
      </c>
      <c r="BQ653" s="228">
        <f t="shared" si="935"/>
        <v>0</v>
      </c>
      <c r="BR653" s="40"/>
      <c r="BS653" s="40"/>
      <c r="BT653" s="40"/>
      <c r="BU653" s="232"/>
      <c r="BV653" s="40"/>
      <c r="BW653" s="40"/>
      <c r="BX653" s="40"/>
      <c r="BY653" s="40"/>
      <c r="BZ653" s="40"/>
      <c r="CA653" s="40"/>
      <c r="CB653" s="40"/>
      <c r="CC653" s="40"/>
      <c r="CD653" s="40"/>
      <c r="CE653" s="40"/>
      <c r="CF653" s="40"/>
      <c r="CG653" s="40"/>
      <c r="CH653" s="40"/>
      <c r="CI653" s="40"/>
      <c r="CJ653" s="40"/>
      <c r="CK653" s="40"/>
      <c r="CL653" s="40"/>
      <c r="CM653" s="40"/>
      <c r="CN653" s="40"/>
      <c r="CO653" s="40"/>
      <c r="CP653" s="40"/>
      <c r="CQ653" s="40"/>
      <c r="CR653" s="40"/>
      <c r="CS653" s="40"/>
      <c r="CT653" s="823"/>
      <c r="CU653" s="232"/>
      <c r="CV653" s="232"/>
      <c r="CW653" s="232"/>
      <c r="CX653" s="232"/>
      <c r="CY653" s="232"/>
      <c r="CZ653" s="40"/>
      <c r="DA653" s="40"/>
      <c r="DB653" s="40"/>
      <c r="DC653" s="40"/>
      <c r="DD653" s="40"/>
      <c r="DE653" s="40"/>
      <c r="DF653" s="232"/>
      <c r="DG653" s="232"/>
      <c r="DH653" s="232"/>
      <c r="DI653" s="232"/>
      <c r="DJ653" s="232"/>
      <c r="DK653" s="232"/>
      <c r="DL653" s="232"/>
      <c r="DM653" s="232"/>
      <c r="DN653" s="232"/>
    </row>
    <row r="654" spans="1:118" s="34" customFormat="1">
      <c r="A654" s="156"/>
      <c r="B654" s="32"/>
      <c r="C654" s="32"/>
      <c r="D654" s="32"/>
      <c r="E654" s="489"/>
      <c r="F654" s="342"/>
      <c r="G654" s="342"/>
      <c r="H654" s="490"/>
      <c r="I654" s="28"/>
      <c r="J654" s="489"/>
      <c r="K654" s="342"/>
      <c r="L654" s="342"/>
      <c r="M654" s="490"/>
      <c r="N654" s="32"/>
      <c r="O654" s="489"/>
      <c r="P654" s="342"/>
      <c r="Q654" s="342"/>
      <c r="R654" s="490"/>
      <c r="S654" s="32"/>
      <c r="T654" s="292"/>
      <c r="U654" s="261"/>
      <c r="V654" s="261"/>
      <c r="W654" s="293"/>
      <c r="X654" s="228"/>
      <c r="Y654" s="292"/>
      <c r="Z654" s="261"/>
      <c r="AA654" s="261"/>
      <c r="AB654" s="293"/>
      <c r="AC654" s="228"/>
      <c r="AD654" s="292"/>
      <c r="AE654" s="261"/>
      <c r="AF654" s="261"/>
      <c r="AG654" s="293"/>
      <c r="AH654" s="228"/>
      <c r="AI654" s="292"/>
      <c r="AJ654" s="261"/>
      <c r="AK654" s="261"/>
      <c r="AL654" s="293"/>
      <c r="AM654" s="228"/>
      <c r="AN654" s="292"/>
      <c r="AO654" s="261"/>
      <c r="AP654" s="261"/>
      <c r="AQ654" s="293"/>
      <c r="AR654" s="228"/>
      <c r="AS654" s="292"/>
      <c r="AT654" s="261"/>
      <c r="AU654" s="261"/>
      <c r="AV654" s="293"/>
      <c r="AW654" s="228"/>
      <c r="AX654" s="292"/>
      <c r="AY654" s="261"/>
      <c r="AZ654" s="261"/>
      <c r="BA654" s="293"/>
      <c r="BB654" s="228"/>
      <c r="BC654" s="292"/>
      <c r="BD654" s="261"/>
      <c r="BE654" s="261"/>
      <c r="BF654" s="293"/>
      <c r="BG654" s="228"/>
      <c r="BH654" s="292"/>
      <c r="BI654" s="261"/>
      <c r="BJ654" s="261"/>
      <c r="BK654" s="293"/>
      <c r="BL654" s="228"/>
      <c r="BM654" s="292"/>
      <c r="BN654" s="261"/>
      <c r="BO654" s="261"/>
      <c r="BP654" s="293"/>
      <c r="BQ654" s="228"/>
      <c r="BR654" s="40"/>
      <c r="BS654" s="40"/>
      <c r="BT654" s="156"/>
      <c r="BU654" s="232"/>
      <c r="BV654" s="40"/>
      <c r="BW654" s="40"/>
      <c r="BX654" s="40"/>
      <c r="BY654" s="40"/>
      <c r="BZ654" s="40"/>
      <c r="CA654" s="40"/>
      <c r="CB654" s="40"/>
      <c r="CC654" s="40"/>
      <c r="CD654" s="40"/>
      <c r="CE654" s="40"/>
      <c r="CF654" s="40"/>
      <c r="CG654" s="156"/>
      <c r="CH654" s="156"/>
      <c r="CI654" s="156"/>
      <c r="CJ654" s="156"/>
      <c r="CK654" s="156"/>
      <c r="CL654" s="156"/>
      <c r="CM654" s="156"/>
      <c r="CN654" s="156"/>
      <c r="CO654" s="156"/>
      <c r="CP654" s="156"/>
      <c r="CQ654" s="156"/>
      <c r="CR654" s="156"/>
      <c r="CS654" s="156"/>
      <c r="CT654" s="954"/>
      <c r="CZ654" s="156"/>
      <c r="DA654" s="156"/>
      <c r="DB654" s="156"/>
      <c r="DC654" s="156"/>
      <c r="DD654" s="156"/>
      <c r="DE654" s="156"/>
    </row>
    <row r="655" spans="1:118">
      <c r="A655" s="40"/>
      <c r="B655" s="1"/>
      <c r="C655" s="429" t="s">
        <v>843</v>
      </c>
      <c r="D655" s="1"/>
      <c r="E655" s="273"/>
      <c r="F655" s="3"/>
      <c r="G655" s="3"/>
      <c r="H655" s="274"/>
      <c r="I655" s="440"/>
      <c r="J655" s="273"/>
      <c r="K655" s="3"/>
      <c r="L655" s="3"/>
      <c r="M655" s="274"/>
      <c r="N655" s="1"/>
      <c r="O655" s="273"/>
      <c r="P655" s="3"/>
      <c r="Q655" s="3"/>
      <c r="R655" s="274"/>
      <c r="S655" s="1"/>
      <c r="T655" s="273"/>
      <c r="U655" s="3"/>
      <c r="V655" s="3"/>
      <c r="W655" s="274"/>
      <c r="X655" s="1"/>
      <c r="Y655" s="273"/>
      <c r="Z655" s="3"/>
      <c r="AA655" s="3"/>
      <c r="AB655" s="274"/>
      <c r="AC655" s="1"/>
      <c r="AD655" s="273"/>
      <c r="AE655" s="3"/>
      <c r="AF655" s="3"/>
      <c r="AG655" s="274"/>
      <c r="AH655" s="1"/>
      <c r="AI655" s="273"/>
      <c r="AJ655" s="3"/>
      <c r="AK655" s="3"/>
      <c r="AL655" s="274"/>
      <c r="AM655" s="1"/>
      <c r="AN655" s="273"/>
      <c r="AO655" s="3"/>
      <c r="AP655" s="3"/>
      <c r="AQ655" s="274"/>
      <c r="AR655" s="1"/>
      <c r="AS655" s="273"/>
      <c r="AT655" s="3"/>
      <c r="AU655" s="3"/>
      <c r="AV655" s="274"/>
      <c r="AW655" s="1"/>
      <c r="AX655" s="273"/>
      <c r="AY655" s="3"/>
      <c r="AZ655" s="3"/>
      <c r="BA655" s="274"/>
      <c r="BB655" s="1"/>
      <c r="BC655" s="273"/>
      <c r="BD655" s="3"/>
      <c r="BE655" s="3"/>
      <c r="BF655" s="274"/>
      <c r="BG655" s="1"/>
      <c r="BH655" s="273"/>
      <c r="BI655" s="3"/>
      <c r="BJ655" s="3"/>
      <c r="BK655" s="274"/>
      <c r="BL655" s="1"/>
      <c r="BM655" s="273"/>
      <c r="BN655" s="3"/>
      <c r="BO655" s="3"/>
      <c r="BP655" s="274"/>
      <c r="BQ655" s="1"/>
      <c r="BR655" s="40"/>
      <c r="BS655" s="40"/>
      <c r="BT655" s="40"/>
      <c r="BU655" s="232"/>
      <c r="BV655" s="40"/>
      <c r="BW655" s="40"/>
      <c r="BX655" s="40"/>
      <c r="BY655" s="40"/>
      <c r="BZ655" s="40"/>
      <c r="CA655" s="40"/>
      <c r="CB655" s="40"/>
      <c r="CC655" s="40"/>
      <c r="CD655" s="40"/>
      <c r="CE655" s="40"/>
      <c r="CF655" s="40"/>
      <c r="CG655" s="40"/>
      <c r="CH655" s="40"/>
      <c r="CI655" s="40"/>
      <c r="CJ655" s="40"/>
      <c r="CK655" s="40"/>
      <c r="CL655" s="40"/>
      <c r="CM655" s="40"/>
      <c r="CN655" s="40"/>
      <c r="CO655" s="40"/>
      <c r="CP655" s="40"/>
      <c r="CQ655" s="40"/>
      <c r="CR655" s="40"/>
      <c r="CS655" s="40"/>
      <c r="CT655" s="823"/>
      <c r="CU655" s="232"/>
      <c r="CV655" s="232"/>
      <c r="CW655" s="232"/>
      <c r="CX655" s="232"/>
      <c r="CY655" s="232"/>
      <c r="CZ655" s="40"/>
      <c r="DA655" s="40"/>
      <c r="DB655" s="40"/>
      <c r="DC655" s="40"/>
      <c r="DD655" s="40"/>
      <c r="DE655" s="40"/>
      <c r="DF655" s="232"/>
      <c r="DG655" s="232"/>
      <c r="DH655" s="232"/>
      <c r="DI655" s="232"/>
      <c r="DJ655" s="232"/>
      <c r="DK655" s="232"/>
      <c r="DL655" s="232"/>
      <c r="DM655" s="232"/>
      <c r="DN655" s="232"/>
    </row>
    <row r="656" spans="1:118">
      <c r="A656" s="40"/>
      <c r="B656" s="1"/>
      <c r="C656" s="28" t="s">
        <v>194</v>
      </c>
      <c r="D656" s="1"/>
      <c r="E656" s="273"/>
      <c r="F656" s="3"/>
      <c r="G656" s="3"/>
      <c r="H656" s="274"/>
      <c r="I656" s="28"/>
      <c r="J656" s="273"/>
      <c r="K656" s="3"/>
      <c r="L656" s="3"/>
      <c r="M656" s="274"/>
      <c r="N656" s="1"/>
      <c r="O656" s="273"/>
      <c r="P656" s="3"/>
      <c r="Q656" s="3"/>
      <c r="R656" s="274"/>
      <c r="S656" s="1"/>
      <c r="T656" s="436"/>
      <c r="U656" s="437"/>
      <c r="V656" s="437"/>
      <c r="W656" s="438"/>
      <c r="X656" s="439"/>
      <c r="Y656" s="436">
        <f t="shared" ref="Y656:BQ656" si="936">Y$91</f>
        <v>29.6252</v>
      </c>
      <c r="Z656" s="437">
        <f t="shared" si="936"/>
        <v>32.070282692307693</v>
      </c>
      <c r="AA656" s="437">
        <f t="shared" si="936"/>
        <v>32.747160156249997</v>
      </c>
      <c r="AB656" s="438">
        <f t="shared" si="936"/>
        <v>33.570054687500004</v>
      </c>
      <c r="AC656" s="439">
        <f t="shared" si="936"/>
        <v>32.003174384014422</v>
      </c>
      <c r="AD656" s="436">
        <f t="shared" si="936"/>
        <v>42.14421829810901</v>
      </c>
      <c r="AE656" s="437">
        <f t="shared" si="936"/>
        <v>37.062463688610237</v>
      </c>
      <c r="AF656" s="437">
        <f t="shared" si="936"/>
        <v>37.062463688610237</v>
      </c>
      <c r="AG656" s="438">
        <f t="shared" si="936"/>
        <v>31.255743069556452</v>
      </c>
      <c r="AH656" s="439">
        <f t="shared" si="936"/>
        <v>36.881222186221478</v>
      </c>
      <c r="AI656" s="436">
        <f t="shared" si="936"/>
        <v>23.598589822404378</v>
      </c>
      <c r="AJ656" s="437">
        <f t="shared" si="936"/>
        <v>23.879192550505053</v>
      </c>
      <c r="AK656" s="437">
        <f t="shared" si="936"/>
        <v>28.263039741847834</v>
      </c>
      <c r="AL656" s="438">
        <f t="shared" si="936"/>
        <v>21.788492063492065</v>
      </c>
      <c r="AM656" s="439">
        <f t="shared" si="936"/>
        <v>24.382328544562334</v>
      </c>
      <c r="AN656" s="436">
        <f t="shared" si="936"/>
        <v>17.861987052906109</v>
      </c>
      <c r="AO656" s="437">
        <f t="shared" si="936"/>
        <v>19.138664062499998</v>
      </c>
      <c r="AP656" s="437">
        <f t="shared" si="936"/>
        <v>28.177916270380429</v>
      </c>
      <c r="AQ656" s="438">
        <f t="shared" si="936"/>
        <v>23.388224171752398</v>
      </c>
      <c r="AR656" s="439">
        <f t="shared" si="936"/>
        <v>22.141697889384734</v>
      </c>
      <c r="AS656" s="436">
        <f t="shared" si="936"/>
        <v>22.0756166404406</v>
      </c>
      <c r="AT656" s="437">
        <f t="shared" si="936"/>
        <v>27.140447135416672</v>
      </c>
      <c r="AU656" s="437">
        <f t="shared" si="936"/>
        <v>33.458345238095234</v>
      </c>
      <c r="AV656" s="438">
        <f t="shared" si="936"/>
        <v>24.956927766393441</v>
      </c>
      <c r="AW656" s="439">
        <f t="shared" si="936"/>
        <v>26.907834195086487</v>
      </c>
      <c r="AX656" s="436">
        <f t="shared" si="936"/>
        <v>24.956927766393441</v>
      </c>
      <c r="AY656" s="437">
        <f t="shared" si="936"/>
        <v>24.392083333333332</v>
      </c>
      <c r="AZ656" s="437">
        <f t="shared" si="936"/>
        <v>33.622500000000002</v>
      </c>
      <c r="BA656" s="438">
        <f t="shared" si="936"/>
        <v>23.236249999999998</v>
      </c>
      <c r="BB656" s="439">
        <f t="shared" si="936"/>
        <v>26.551940274931695</v>
      </c>
      <c r="BC656" s="436">
        <f t="shared" si="936"/>
        <v>25.385788901341236</v>
      </c>
      <c r="BD656" s="437">
        <f t="shared" si="936"/>
        <v>23.581783248755396</v>
      </c>
      <c r="BE656" s="437">
        <f t="shared" si="936"/>
        <v>32.529537708691088</v>
      </c>
      <c r="BF656" s="438">
        <f t="shared" si="936"/>
        <v>27.987056807682279</v>
      </c>
      <c r="BG656" s="439">
        <f>BG$91</f>
        <v>27.371041666617501</v>
      </c>
      <c r="BH656" s="436">
        <f t="shared" si="936"/>
        <v>28.269846609823858</v>
      </c>
      <c r="BI656" s="437">
        <f t="shared" si="936"/>
        <v>26.236272534251697</v>
      </c>
      <c r="BJ656" s="437">
        <f t="shared" si="936"/>
        <v>36.104614167258433</v>
      </c>
      <c r="BK656" s="438">
        <f t="shared" si="936"/>
        <v>31.135933354996013</v>
      </c>
      <c r="BL656" s="439">
        <f t="shared" si="936"/>
        <v>30.436666666582504</v>
      </c>
      <c r="BM656" s="436">
        <f t="shared" si="936"/>
        <v>26.220774364435819</v>
      </c>
      <c r="BN656" s="437">
        <f t="shared" si="936"/>
        <v>35.198909255099707</v>
      </c>
      <c r="BO656" s="437">
        <f t="shared" si="936"/>
        <v>42.419321226746362</v>
      </c>
      <c r="BP656" s="438">
        <f t="shared" si="936"/>
        <v>26.634491890464574</v>
      </c>
      <c r="BQ656" s="439">
        <f t="shared" si="936"/>
        <v>32.618374184186614</v>
      </c>
      <c r="BR656" s="40"/>
      <c r="BS656" s="40"/>
      <c r="BT656" s="40"/>
      <c r="BU656" s="34"/>
      <c r="BV656" s="156"/>
      <c r="BW656" s="156"/>
      <c r="BX656" s="156"/>
      <c r="BY656" s="156"/>
      <c r="BZ656" s="156"/>
      <c r="CA656" s="156"/>
      <c r="CB656" s="156"/>
      <c r="CC656" s="156"/>
      <c r="CD656" s="156"/>
      <c r="CE656" s="156"/>
      <c r="CF656" s="156"/>
      <c r="CG656" s="40"/>
      <c r="CH656" s="40"/>
      <c r="CI656" s="40"/>
      <c r="CJ656" s="40"/>
      <c r="CK656" s="40"/>
      <c r="CL656" s="40"/>
      <c r="CM656" s="40"/>
      <c r="CN656" s="40"/>
      <c r="CO656" s="40"/>
      <c r="CP656" s="40"/>
      <c r="CQ656" s="40"/>
      <c r="CR656" s="40"/>
      <c r="CS656" s="40"/>
      <c r="CT656" s="823"/>
      <c r="CU656" s="232"/>
      <c r="CV656" s="232"/>
      <c r="CW656" s="232"/>
      <c r="CX656" s="232"/>
      <c r="CY656" s="232"/>
      <c r="CZ656" s="40"/>
      <c r="DA656" s="40"/>
      <c r="DB656" s="40"/>
      <c r="DC656" s="40"/>
      <c r="DD656" s="40"/>
      <c r="DE656" s="40"/>
      <c r="DF656" s="232"/>
      <c r="DG656" s="232"/>
      <c r="DH656" s="232"/>
      <c r="DI656" s="232"/>
      <c r="DJ656" s="232"/>
      <c r="DK656" s="232"/>
      <c r="DL656" s="232"/>
      <c r="DM656" s="232"/>
      <c r="DN656" s="232"/>
    </row>
    <row r="657" spans="1:118">
      <c r="A657" s="40"/>
      <c r="B657" s="1"/>
      <c r="C657" s="28" t="s">
        <v>195</v>
      </c>
      <c r="D657" s="1"/>
      <c r="E657" s="273"/>
      <c r="F657" s="3"/>
      <c r="G657" s="3"/>
      <c r="H657" s="274"/>
      <c r="I657" s="543">
        <v>12000</v>
      </c>
      <c r="J657" s="273"/>
      <c r="K657" s="3"/>
      <c r="L657" s="3"/>
      <c r="M657" s="274"/>
      <c r="N657" s="1"/>
      <c r="O657" s="273"/>
      <c r="P657" s="3"/>
      <c r="Q657" s="3"/>
      <c r="R657" s="274"/>
      <c r="S657" s="1"/>
      <c r="T657" s="436"/>
      <c r="U657" s="437"/>
      <c r="V657" s="437"/>
      <c r="W657" s="438"/>
      <c r="X657" s="439"/>
      <c r="Y657" s="436">
        <f>Y$139/17*$I657/1000</f>
        <v>17.647058823529413</v>
      </c>
      <c r="Z657" s="437">
        <f>Z$139/17*$I657/1000</f>
        <v>17.647058823529413</v>
      </c>
      <c r="AA657" s="437">
        <f>AA$139/17*$I657/1000</f>
        <v>17.647058823529413</v>
      </c>
      <c r="AB657" s="438">
        <f>AB$139/17*$I657/1000</f>
        <v>17.647058823529413</v>
      </c>
      <c r="AC657" s="439">
        <f>AC$139/17*$I657/1000</f>
        <v>17.647058823529413</v>
      </c>
      <c r="AD657" s="436">
        <f>AD$140/17*$I657/1000</f>
        <v>26.369049773755659</v>
      </c>
      <c r="AE657" s="437">
        <f>AE$139/17*$I657/1000</f>
        <v>17.647058823529413</v>
      </c>
      <c r="AF657" s="437">
        <f t="shared" ref="AF657:BQ657" si="937">AF$140/17*$I657/1000</f>
        <v>26.093212669683258</v>
      </c>
      <c r="AG657" s="438">
        <f t="shared" si="937"/>
        <v>25.783710407239816</v>
      </c>
      <c r="AH657" s="439">
        <f t="shared" si="937"/>
        <v>26.084796380090499</v>
      </c>
      <c r="AI657" s="436">
        <f t="shared" si="937"/>
        <v>25.829864253393666</v>
      </c>
      <c r="AJ657" s="437">
        <f t="shared" si="937"/>
        <v>25.8</v>
      </c>
      <c r="AK657" s="437">
        <f t="shared" si="937"/>
        <v>25.829864253393666</v>
      </c>
      <c r="AL657" s="438">
        <f t="shared" si="937"/>
        <v>25.653393665158372</v>
      </c>
      <c r="AM657" s="439">
        <f t="shared" si="937"/>
        <v>25.778280542986423</v>
      </c>
      <c r="AN657" s="436">
        <f t="shared" si="937"/>
        <v>24.551131221719455</v>
      </c>
      <c r="AO657" s="437">
        <f t="shared" si="937"/>
        <v>24.127601809954751</v>
      </c>
      <c r="AP657" s="437">
        <f t="shared" si="937"/>
        <v>23.747899159663866</v>
      </c>
      <c r="AQ657" s="438">
        <f t="shared" si="937"/>
        <v>24.244343891402714</v>
      </c>
      <c r="AR657" s="439">
        <f t="shared" si="937"/>
        <v>24.167744020685191</v>
      </c>
      <c r="AS657" s="436">
        <f t="shared" si="937"/>
        <v>25.745701357466057</v>
      </c>
      <c r="AT657" s="437">
        <f t="shared" si="937"/>
        <v>25.833665158371044</v>
      </c>
      <c r="AU657" s="437">
        <f t="shared" si="937"/>
        <v>25.77610859728507</v>
      </c>
      <c r="AV657" s="438">
        <f t="shared" si="937"/>
        <v>26.326696832579188</v>
      </c>
      <c r="AW657" s="439">
        <f t="shared" si="937"/>
        <v>25.920542986425346</v>
      </c>
      <c r="AX657" s="436">
        <f t="shared" si="937"/>
        <v>26.326696832579188</v>
      </c>
      <c r="AY657" s="437">
        <f t="shared" si="937"/>
        <v>25.411764705882351</v>
      </c>
      <c r="AZ657" s="437">
        <f t="shared" si="937"/>
        <v>25.658823529411766</v>
      </c>
      <c r="BA657" s="438">
        <f t="shared" si="937"/>
        <v>25.870588235294115</v>
      </c>
      <c r="BB657" s="439">
        <f t="shared" si="937"/>
        <v>25.816968325791855</v>
      </c>
      <c r="BC657" s="436">
        <f t="shared" si="937"/>
        <v>25.92610760750425</v>
      </c>
      <c r="BD657" s="437">
        <f t="shared" si="937"/>
        <v>25.92610760750425</v>
      </c>
      <c r="BE657" s="437">
        <f t="shared" si="937"/>
        <v>25.92610760750425</v>
      </c>
      <c r="BF657" s="438">
        <f t="shared" si="937"/>
        <v>25.704030118663727</v>
      </c>
      <c r="BG657" s="439">
        <f>BG$140/17*$I657/1000</f>
        <v>25.870588235294115</v>
      </c>
      <c r="BH657" s="436">
        <f t="shared" si="937"/>
        <v>25.92610760750425</v>
      </c>
      <c r="BI657" s="437">
        <f t="shared" si="937"/>
        <v>25.92610760750425</v>
      </c>
      <c r="BJ657" s="437">
        <f t="shared" si="937"/>
        <v>25.92610760750425</v>
      </c>
      <c r="BK657" s="438">
        <f t="shared" si="937"/>
        <v>25.704030118663727</v>
      </c>
      <c r="BL657" s="439">
        <f t="shared" si="937"/>
        <v>25.870588235294115</v>
      </c>
      <c r="BM657" s="436">
        <f t="shared" si="937"/>
        <v>25.92610760750425</v>
      </c>
      <c r="BN657" s="437">
        <f t="shared" si="937"/>
        <v>25.92610760750425</v>
      </c>
      <c r="BO657" s="437">
        <f t="shared" si="937"/>
        <v>25.92610760750425</v>
      </c>
      <c r="BP657" s="438">
        <f t="shared" si="937"/>
        <v>25.704030118663727</v>
      </c>
      <c r="BQ657" s="439">
        <f t="shared" si="937"/>
        <v>25.870588235294115</v>
      </c>
      <c r="BR657" s="40"/>
      <c r="BS657" s="40"/>
      <c r="BT657" s="40"/>
      <c r="BU657" s="232"/>
      <c r="BV657" s="40"/>
      <c r="BW657" s="40"/>
      <c r="BX657" s="40"/>
      <c r="BY657" s="40"/>
      <c r="BZ657" s="40"/>
      <c r="CA657" s="40"/>
      <c r="CB657" s="40"/>
      <c r="CC657" s="40"/>
      <c r="CD657" s="40"/>
      <c r="CE657" s="40"/>
      <c r="CF657" s="40"/>
      <c r="CG657" s="40"/>
      <c r="CH657" s="40"/>
      <c r="CI657" s="40"/>
      <c r="CJ657" s="40"/>
      <c r="CK657" s="40"/>
      <c r="CL657" s="40"/>
      <c r="CM657" s="40"/>
      <c r="CN657" s="40"/>
      <c r="CO657" s="40"/>
      <c r="CP657" s="40"/>
      <c r="CQ657" s="40"/>
      <c r="CR657" s="40"/>
      <c r="CS657" s="40"/>
      <c r="CT657" s="823"/>
      <c r="CU657" s="232"/>
      <c r="CV657" s="232"/>
      <c r="CW657" s="232"/>
      <c r="CX657" s="232"/>
      <c r="CY657" s="232"/>
      <c r="CZ657" s="40"/>
      <c r="DA657" s="40"/>
      <c r="DB657" s="40"/>
      <c r="DC657" s="40"/>
      <c r="DD657" s="40"/>
      <c r="DE657" s="40"/>
      <c r="DF657" s="232"/>
      <c r="DG657" s="232"/>
      <c r="DH657" s="232"/>
      <c r="DI657" s="232"/>
      <c r="DJ657" s="232"/>
      <c r="DK657" s="232"/>
      <c r="DL657" s="232"/>
      <c r="DM657" s="232"/>
      <c r="DN657" s="232"/>
    </row>
    <row r="658" spans="1:118">
      <c r="A658" s="40"/>
      <c r="B658" s="1"/>
      <c r="C658" s="1"/>
      <c r="D658" s="1"/>
      <c r="E658" s="273"/>
      <c r="F658" s="3"/>
      <c r="G658" s="3"/>
      <c r="H658" s="274"/>
      <c r="I658" s="28"/>
      <c r="J658" s="273"/>
      <c r="K658" s="3"/>
      <c r="L658" s="3"/>
      <c r="M658" s="274"/>
      <c r="N658" s="1"/>
      <c r="O658" s="273"/>
      <c r="P658" s="3"/>
      <c r="Q658" s="3"/>
      <c r="R658" s="274"/>
      <c r="S658" s="1"/>
      <c r="T658" s="273"/>
      <c r="U658" s="3"/>
      <c r="V658" s="3"/>
      <c r="W658" s="274"/>
      <c r="X658" s="1"/>
      <c r="Y658" s="273"/>
      <c r="Z658" s="3"/>
      <c r="AA658" s="3"/>
      <c r="AB658" s="274"/>
      <c r="AC658" s="1"/>
      <c r="AD658" s="273"/>
      <c r="AE658" s="3"/>
      <c r="AF658" s="3"/>
      <c r="AG658" s="274"/>
      <c r="AH658" s="1"/>
      <c r="AI658" s="273"/>
      <c r="AJ658" s="3"/>
      <c r="AK658" s="3"/>
      <c r="AL658" s="274"/>
      <c r="AM658" s="1"/>
      <c r="AN658" s="273"/>
      <c r="AO658" s="3"/>
      <c r="AP658" s="3"/>
      <c r="AQ658" s="274"/>
      <c r="AR658" s="1"/>
      <c r="AS658" s="273"/>
      <c r="AT658" s="3"/>
      <c r="AU658" s="3"/>
      <c r="AV658" s="274"/>
      <c r="AW658" s="1"/>
      <c r="AX658" s="273"/>
      <c r="AY658" s="3"/>
      <c r="AZ658" s="3"/>
      <c r="BA658" s="274"/>
      <c r="BB658" s="1"/>
      <c r="BC658" s="273"/>
      <c r="BD658" s="3"/>
      <c r="BE658" s="3"/>
      <c r="BF658" s="274"/>
      <c r="BG658" s="1"/>
      <c r="BH658" s="273"/>
      <c r="BI658" s="3"/>
      <c r="BJ658" s="3"/>
      <c r="BK658" s="274"/>
      <c r="BL658" s="1"/>
      <c r="BM658" s="273"/>
      <c r="BN658" s="3"/>
      <c r="BO658" s="3"/>
      <c r="BP658" s="274"/>
      <c r="BQ658" s="1"/>
      <c r="BR658" s="40"/>
      <c r="BS658" s="40"/>
      <c r="BT658" s="40"/>
      <c r="BU658" s="232"/>
      <c r="BV658" s="40"/>
      <c r="BW658" s="40"/>
      <c r="BX658" s="40"/>
      <c r="BY658" s="40"/>
      <c r="BZ658" s="40"/>
      <c r="CA658" s="40"/>
      <c r="CB658" s="40"/>
      <c r="CC658" s="40"/>
      <c r="CD658" s="40"/>
      <c r="CE658" s="40"/>
      <c r="CF658" s="40"/>
      <c r="CG658" s="40"/>
      <c r="CH658" s="40"/>
      <c r="CI658" s="40"/>
      <c r="CJ658" s="40"/>
      <c r="CK658" s="40"/>
      <c r="CL658" s="40"/>
      <c r="CM658" s="40"/>
      <c r="CN658" s="40"/>
      <c r="CO658" s="40"/>
      <c r="CP658" s="40"/>
      <c r="CQ658" s="40"/>
      <c r="CR658" s="40"/>
      <c r="CS658" s="40"/>
      <c r="CT658" s="823"/>
      <c r="CU658" s="232"/>
      <c r="CV658" s="232"/>
      <c r="CW658" s="232"/>
      <c r="CX658" s="232"/>
      <c r="CY658" s="232"/>
      <c r="CZ658" s="40"/>
      <c r="DA658" s="40"/>
      <c r="DB658" s="40"/>
      <c r="DC658" s="40"/>
      <c r="DD658" s="40"/>
      <c r="DE658" s="40"/>
      <c r="DF658" s="232"/>
      <c r="DG658" s="232"/>
      <c r="DH658" s="232"/>
      <c r="DI658" s="232"/>
      <c r="DJ658" s="232"/>
      <c r="DK658" s="232"/>
      <c r="DL658" s="232"/>
      <c r="DM658" s="232"/>
      <c r="DN658" s="232"/>
    </row>
    <row r="659" spans="1:118" s="232" customFormat="1">
      <c r="A659" s="40"/>
      <c r="B659" s="32"/>
      <c r="C659" s="32" t="s">
        <v>196</v>
      </c>
      <c r="D659" s="32"/>
      <c r="E659" s="489"/>
      <c r="F659" s="342"/>
      <c r="G659" s="342"/>
      <c r="H659" s="490"/>
      <c r="I659" s="884">
        <f>26+40+26+32+18+18</f>
        <v>160</v>
      </c>
      <c r="J659" s="489"/>
      <c r="K659" s="342"/>
      <c r="L659" s="342"/>
      <c r="M659" s="490"/>
      <c r="N659" s="32"/>
      <c r="O659" s="292"/>
      <c r="P659" s="261"/>
      <c r="Q659" s="261"/>
      <c r="R659" s="293"/>
      <c r="S659" s="228"/>
      <c r="T659" s="292"/>
      <c r="U659" s="261"/>
      <c r="V659" s="261"/>
      <c r="W659" s="293"/>
      <c r="X659" s="228"/>
      <c r="Y659" s="292">
        <f>+I659</f>
        <v>160</v>
      </c>
      <c r="Z659" s="261">
        <f>+Y659</f>
        <v>160</v>
      </c>
      <c r="AA659" s="261">
        <f>+Z659</f>
        <v>160</v>
      </c>
      <c r="AB659" s="293">
        <f>+AA659</f>
        <v>160</v>
      </c>
      <c r="AC659" s="228">
        <f>AB659</f>
        <v>160</v>
      </c>
      <c r="AD659" s="292">
        <f t="shared" ref="AD659:BL659" si="938">AC659</f>
        <v>160</v>
      </c>
      <c r="AE659" s="261">
        <f>+AD659</f>
        <v>160</v>
      </c>
      <c r="AF659" s="261">
        <f t="shared" si="938"/>
        <v>160</v>
      </c>
      <c r="AG659" s="293">
        <f t="shared" si="938"/>
        <v>160</v>
      </c>
      <c r="AH659" s="228">
        <f t="shared" si="938"/>
        <v>160</v>
      </c>
      <c r="AI659" s="292">
        <f t="shared" si="938"/>
        <v>160</v>
      </c>
      <c r="AJ659" s="261">
        <f t="shared" si="938"/>
        <v>160</v>
      </c>
      <c r="AK659" s="261">
        <f t="shared" si="938"/>
        <v>160</v>
      </c>
      <c r="AL659" s="293">
        <f t="shared" si="938"/>
        <v>160</v>
      </c>
      <c r="AM659" s="228">
        <f t="shared" si="938"/>
        <v>160</v>
      </c>
      <c r="AN659" s="292">
        <f t="shared" si="938"/>
        <v>160</v>
      </c>
      <c r="AO659" s="261">
        <f t="shared" si="938"/>
        <v>160</v>
      </c>
      <c r="AP659" s="261">
        <f t="shared" si="938"/>
        <v>160</v>
      </c>
      <c r="AQ659" s="293">
        <f t="shared" si="938"/>
        <v>160</v>
      </c>
      <c r="AR659" s="228">
        <f t="shared" si="938"/>
        <v>160</v>
      </c>
      <c r="AS659" s="292">
        <f t="shared" si="938"/>
        <v>160</v>
      </c>
      <c r="AT659" s="261">
        <f t="shared" si="938"/>
        <v>160</v>
      </c>
      <c r="AU659" s="261">
        <f t="shared" ref="AU659" si="939">AT659</f>
        <v>160</v>
      </c>
      <c r="AV659" s="293">
        <f t="shared" si="938"/>
        <v>160</v>
      </c>
      <c r="AW659" s="228">
        <f t="shared" si="938"/>
        <v>160</v>
      </c>
      <c r="AX659" s="292">
        <f t="shared" si="938"/>
        <v>160</v>
      </c>
      <c r="AY659" s="261">
        <f t="shared" si="938"/>
        <v>160</v>
      </c>
      <c r="AZ659" s="261">
        <f t="shared" si="938"/>
        <v>160</v>
      </c>
      <c r="BA659" s="293">
        <f t="shared" si="938"/>
        <v>160</v>
      </c>
      <c r="BB659" s="228">
        <f t="shared" si="938"/>
        <v>160</v>
      </c>
      <c r="BC659" s="292">
        <f t="shared" si="938"/>
        <v>160</v>
      </c>
      <c r="BD659" s="261">
        <f t="shared" si="938"/>
        <v>160</v>
      </c>
      <c r="BE659" s="261">
        <f t="shared" si="938"/>
        <v>160</v>
      </c>
      <c r="BF659" s="293">
        <f t="shared" si="938"/>
        <v>160</v>
      </c>
      <c r="BG659" s="228">
        <f>BF659</f>
        <v>160</v>
      </c>
      <c r="BH659" s="292">
        <f>BG659</f>
        <v>160</v>
      </c>
      <c r="BI659" s="261">
        <f t="shared" si="938"/>
        <v>160</v>
      </c>
      <c r="BJ659" s="261">
        <f t="shared" si="938"/>
        <v>160</v>
      </c>
      <c r="BK659" s="293">
        <f t="shared" si="938"/>
        <v>160</v>
      </c>
      <c r="BL659" s="228">
        <f t="shared" si="938"/>
        <v>160</v>
      </c>
      <c r="BM659" s="292">
        <f t="shared" ref="BM659" si="940">BL659</f>
        <v>160</v>
      </c>
      <c r="BN659" s="261">
        <f t="shared" ref="BN659" si="941">BM659</f>
        <v>160</v>
      </c>
      <c r="BO659" s="261">
        <f t="shared" ref="BO659" si="942">BN659</f>
        <v>160</v>
      </c>
      <c r="BP659" s="293">
        <f t="shared" ref="BP659" si="943">BO659</f>
        <v>160</v>
      </c>
      <c r="BQ659" s="228">
        <f t="shared" ref="BQ659" si="944">BP659</f>
        <v>160</v>
      </c>
      <c r="BR659" s="40"/>
      <c r="BS659" s="40"/>
      <c r="BT659" s="40"/>
      <c r="BV659" s="40"/>
      <c r="BW659" s="40"/>
      <c r="BX659" s="40"/>
      <c r="BY659" s="40"/>
      <c r="BZ659" s="40"/>
      <c r="CA659" s="40"/>
      <c r="CB659" s="40"/>
      <c r="CC659" s="40"/>
      <c r="CD659" s="40"/>
      <c r="CE659" s="40"/>
      <c r="CF659" s="40"/>
      <c r="CG659" s="40"/>
      <c r="CH659" s="40"/>
      <c r="CI659" s="40"/>
      <c r="CJ659" s="40"/>
      <c r="CK659" s="40"/>
      <c r="CL659" s="40"/>
      <c r="CM659" s="40"/>
      <c r="CN659" s="40"/>
      <c r="CO659" s="40"/>
      <c r="CP659" s="40"/>
      <c r="CQ659" s="40"/>
      <c r="CR659" s="40"/>
      <c r="CS659" s="40"/>
      <c r="CT659" s="994"/>
      <c r="CZ659" s="40"/>
      <c r="DA659" s="40"/>
      <c r="DB659" s="40"/>
      <c r="DC659" s="40"/>
      <c r="DD659" s="40"/>
      <c r="DE659" s="40"/>
    </row>
    <row r="660" spans="1:118">
      <c r="A660" s="40"/>
      <c r="B660" s="1"/>
      <c r="C660" s="1"/>
      <c r="D660" s="1"/>
      <c r="E660" s="273"/>
      <c r="F660" s="3"/>
      <c r="G660" s="3"/>
      <c r="H660" s="274"/>
      <c r="I660" s="28"/>
      <c r="J660" s="273"/>
      <c r="K660" s="3"/>
      <c r="L660" s="3"/>
      <c r="M660" s="274"/>
      <c r="N660" s="1"/>
      <c r="O660" s="273"/>
      <c r="P660" s="3"/>
      <c r="Q660" s="3"/>
      <c r="R660" s="274"/>
      <c r="S660" s="1"/>
      <c r="T660" s="273"/>
      <c r="U660" s="3"/>
      <c r="V660" s="3"/>
      <c r="W660" s="274"/>
      <c r="X660" s="1"/>
      <c r="Y660" s="273"/>
      <c r="Z660" s="3"/>
      <c r="AA660" s="3"/>
      <c r="AB660" s="274"/>
      <c r="AC660" s="1"/>
      <c r="AD660" s="273"/>
      <c r="AE660" s="3"/>
      <c r="AF660" s="3"/>
      <c r="AG660" s="274"/>
      <c r="AH660" s="1"/>
      <c r="AI660" s="273"/>
      <c r="AJ660" s="3"/>
      <c r="AK660" s="3"/>
      <c r="AL660" s="274"/>
      <c r="AM660" s="1"/>
      <c r="AN660" s="273"/>
      <c r="AO660" s="3"/>
      <c r="AP660" s="3"/>
      <c r="AQ660" s="274"/>
      <c r="AR660" s="1"/>
      <c r="AS660" s="273"/>
      <c r="AT660" s="3"/>
      <c r="AU660" s="3"/>
      <c r="AV660" s="274"/>
      <c r="AW660" s="1"/>
      <c r="AX660" s="273"/>
      <c r="AY660" s="3"/>
      <c r="AZ660" s="3"/>
      <c r="BA660" s="274"/>
      <c r="BB660" s="1"/>
      <c r="BC660" s="273"/>
      <c r="BD660" s="3"/>
      <c r="BE660" s="3"/>
      <c r="BF660" s="274"/>
      <c r="BG660" s="1"/>
      <c r="BH660" s="273"/>
      <c r="BI660" s="3"/>
      <c r="BJ660" s="3"/>
      <c r="BK660" s="274"/>
      <c r="BL660" s="1"/>
      <c r="BM660" s="273"/>
      <c r="BN660" s="3"/>
      <c r="BO660" s="3"/>
      <c r="BP660" s="274"/>
      <c r="BQ660" s="1"/>
      <c r="BR660" s="24"/>
      <c r="BS660" s="24"/>
      <c r="BT660" s="40"/>
      <c r="BU660" s="232"/>
      <c r="BV660" s="40"/>
      <c r="BW660" s="40"/>
      <c r="BX660" s="40"/>
      <c r="BY660" s="40"/>
      <c r="BZ660" s="40"/>
      <c r="CA660" s="40"/>
      <c r="CB660" s="40"/>
      <c r="CC660" s="40"/>
      <c r="CD660" s="40"/>
      <c r="CE660" s="40"/>
      <c r="CF660" s="40"/>
      <c r="CG660" s="40"/>
      <c r="CH660" s="40"/>
      <c r="CI660" s="40"/>
      <c r="CJ660" s="40"/>
      <c r="CK660" s="40"/>
      <c r="CL660" s="40"/>
      <c r="CM660" s="40"/>
      <c r="CN660" s="40"/>
      <c r="CO660" s="40"/>
      <c r="CP660" s="40"/>
      <c r="CQ660" s="40"/>
      <c r="CR660" s="40"/>
      <c r="CS660" s="40"/>
      <c r="CT660" s="823"/>
      <c r="CU660" s="232"/>
      <c r="CV660" s="232"/>
      <c r="CW660" s="232"/>
      <c r="CX660" s="232"/>
      <c r="CY660" s="232"/>
      <c r="CZ660" s="40"/>
      <c r="DA660" s="40"/>
      <c r="DB660" s="40"/>
      <c r="DC660" s="40"/>
      <c r="DD660" s="40"/>
      <c r="DE660" s="40"/>
      <c r="DF660" s="232"/>
      <c r="DG660" s="232"/>
      <c r="DH660" s="232"/>
      <c r="DI660" s="232"/>
      <c r="DJ660" s="232"/>
      <c r="DK660" s="232"/>
      <c r="DL660" s="232"/>
      <c r="DM660" s="232"/>
      <c r="DN660" s="232"/>
    </row>
    <row r="661" spans="1:118" s="34" customFormat="1">
      <c r="A661" s="156"/>
      <c r="B661" s="1"/>
      <c r="C661" s="28" t="s">
        <v>197</v>
      </c>
      <c r="D661" s="1"/>
      <c r="E661" s="273"/>
      <c r="F661" s="3"/>
      <c r="G661" s="3"/>
      <c r="H661" s="274"/>
      <c r="I661" s="544">
        <v>0.6</v>
      </c>
      <c r="J661" s="273"/>
      <c r="K661" s="3"/>
      <c r="L661" s="3"/>
      <c r="M661" s="274"/>
      <c r="N661" s="1"/>
      <c r="O661" s="273"/>
      <c r="P661" s="3"/>
      <c r="Q661" s="3"/>
      <c r="R661" s="274"/>
      <c r="S661" s="1"/>
      <c r="T661" s="277"/>
      <c r="U661" s="253"/>
      <c r="V661" s="253"/>
      <c r="W661" s="278"/>
      <c r="X661" s="765"/>
      <c r="Y661" s="277">
        <f>+I661</f>
        <v>0.6</v>
      </c>
      <c r="Z661" s="253">
        <f>+Y661</f>
        <v>0.6</v>
      </c>
      <c r="AA661" s="253">
        <f>+Z661</f>
        <v>0.6</v>
      </c>
      <c r="AB661" s="278">
        <f>+AA661</f>
        <v>0.6</v>
      </c>
      <c r="AC661" s="765">
        <f>IF(AVERAGE(Y659:AB659)=0,0,AC662/(AVERAGE(Y659:AB659)*8.76))</f>
        <v>0.60000000000000009</v>
      </c>
      <c r="AD661" s="277">
        <f>+AB661</f>
        <v>0.6</v>
      </c>
      <c r="AE661" s="253">
        <f>+AD661</f>
        <v>0.6</v>
      </c>
      <c r="AF661" s="253">
        <f>+AA661</f>
        <v>0.6</v>
      </c>
      <c r="AG661" s="278">
        <f>+AB661</f>
        <v>0.6</v>
      </c>
      <c r="AH661" s="765">
        <f>IF(AVERAGE(AD659:AG659)=0,0,AH662/(AVERAGE(AD659:AG659)*8.76))</f>
        <v>0.60000000000000009</v>
      </c>
      <c r="AI661" s="277">
        <f>+AG661</f>
        <v>0.6</v>
      </c>
      <c r="AJ661" s="253">
        <f>+AE661</f>
        <v>0.6</v>
      </c>
      <c r="AK661" s="253">
        <f>+AF661</f>
        <v>0.6</v>
      </c>
      <c r="AL661" s="278">
        <f>+AG661</f>
        <v>0.6</v>
      </c>
      <c r="AM661" s="765">
        <f>IF(AVERAGE(AI659:AL659)=0,0,AM662/(AVERAGE(AI659:AL659)*8.76))</f>
        <v>0.60000000000000009</v>
      </c>
      <c r="AN661" s="277">
        <f>+AL661</f>
        <v>0.6</v>
      </c>
      <c r="AO661" s="253">
        <f>+AJ661</f>
        <v>0.6</v>
      </c>
      <c r="AP661" s="253">
        <f>+AK661</f>
        <v>0.6</v>
      </c>
      <c r="AQ661" s="278">
        <f>+AL661</f>
        <v>0.6</v>
      </c>
      <c r="AR661" s="765">
        <f>IF(AVERAGE(AN659:AQ659)=0,0,AR662/(AVERAGE(AN659:AQ659)*8.76))</f>
        <v>0.60000000000000009</v>
      </c>
      <c r="AS661" s="277">
        <f>+AQ661</f>
        <v>0.6</v>
      </c>
      <c r="AT661" s="253">
        <f>+AO661</f>
        <v>0.6</v>
      </c>
      <c r="AU661" s="253">
        <f t="shared" ref="AU661" si="945">+AP661</f>
        <v>0.6</v>
      </c>
      <c r="AV661" s="278">
        <f>+AQ661</f>
        <v>0.6</v>
      </c>
      <c r="AW661" s="765">
        <f>IF(AVERAGE(AS659:AV659)=0,0,AW662/(AVERAGE(AS659:AV659)*8.76))</f>
        <v>0.60000000000000009</v>
      </c>
      <c r="AX661" s="277">
        <f>+AV661</f>
        <v>0.6</v>
      </c>
      <c r="AY661" s="253">
        <f>+AT661</f>
        <v>0.6</v>
      </c>
      <c r="AZ661" s="253">
        <f>+AU661</f>
        <v>0.6</v>
      </c>
      <c r="BA661" s="278">
        <f>+AV661</f>
        <v>0.6</v>
      </c>
      <c r="BB661" s="765">
        <f>IF(AVERAGE(AX659:BA659)=0,0,BB662/(AVERAGE(AX659:BA659)*8.76))</f>
        <v>0.60000000000000009</v>
      </c>
      <c r="BC661" s="277">
        <f>+BA661</f>
        <v>0.6</v>
      </c>
      <c r="BD661" s="253">
        <f>+AY661</f>
        <v>0.6</v>
      </c>
      <c r="BE661" s="253">
        <f>+AZ661</f>
        <v>0.6</v>
      </c>
      <c r="BF661" s="278">
        <f>+BA661</f>
        <v>0.6</v>
      </c>
      <c r="BG661" s="765">
        <f>IF(AVERAGE(BC659:BF659)=0,0,BG662/(AVERAGE(BC659:BF659)*8.76))</f>
        <v>0.60000000000000009</v>
      </c>
      <c r="BH661" s="277">
        <f>+BF661</f>
        <v>0.6</v>
      </c>
      <c r="BI661" s="253">
        <f>+BD661</f>
        <v>0.6</v>
      </c>
      <c r="BJ661" s="253">
        <f>+BE661</f>
        <v>0.6</v>
      </c>
      <c r="BK661" s="278">
        <f>+BF661</f>
        <v>0.6</v>
      </c>
      <c r="BL661" s="765">
        <f>IF(AVERAGE(BH659:BK659)=0,0,BL662/(AVERAGE(BH659:BK659)*8.76))</f>
        <v>0.60000000000000009</v>
      </c>
      <c r="BM661" s="277">
        <f>+BK661</f>
        <v>0.6</v>
      </c>
      <c r="BN661" s="253">
        <f>+BI661</f>
        <v>0.6</v>
      </c>
      <c r="BO661" s="253">
        <f>+BJ661</f>
        <v>0.6</v>
      </c>
      <c r="BP661" s="278">
        <f>+BK661</f>
        <v>0.6</v>
      </c>
      <c r="BQ661" s="765">
        <f>IF(AVERAGE(BM659:BP659)=0,0,BQ662/(AVERAGE(BM659:BP659)*8.76))</f>
        <v>0.60000000000000009</v>
      </c>
      <c r="BR661" s="40"/>
      <c r="BS661" s="40"/>
      <c r="BT661" s="156"/>
      <c r="BU661" s="232"/>
      <c r="BV661" s="40"/>
      <c r="BW661" s="40"/>
      <c r="BX661" s="40"/>
      <c r="BY661" s="40"/>
      <c r="BZ661" s="40"/>
      <c r="CA661" s="40"/>
      <c r="CB661" s="40"/>
      <c r="CC661" s="40"/>
      <c r="CD661" s="40"/>
      <c r="CE661" s="40"/>
      <c r="CF661" s="40"/>
      <c r="CG661" s="156"/>
      <c r="CH661" s="156"/>
      <c r="CI661" s="156"/>
      <c r="CJ661" s="156"/>
      <c r="CK661" s="156"/>
      <c r="CL661" s="156"/>
      <c r="CM661" s="156"/>
      <c r="CN661" s="156"/>
      <c r="CO661" s="156"/>
      <c r="CP661" s="156"/>
      <c r="CQ661" s="156"/>
      <c r="CR661" s="156"/>
      <c r="CS661" s="156"/>
      <c r="CT661" s="954"/>
      <c r="CZ661" s="156"/>
      <c r="DA661" s="156"/>
      <c r="DB661" s="156"/>
      <c r="DC661" s="156"/>
      <c r="DD661" s="156"/>
      <c r="DE661" s="156"/>
    </row>
    <row r="662" spans="1:118">
      <c r="A662" s="40"/>
      <c r="B662" s="32"/>
      <c r="C662" s="32" t="s">
        <v>198</v>
      </c>
      <c r="D662" s="32"/>
      <c r="E662" s="489"/>
      <c r="F662" s="342"/>
      <c r="G662" s="342"/>
      <c r="H662" s="490"/>
      <c r="I662" s="32"/>
      <c r="J662" s="489"/>
      <c r="K662" s="342"/>
      <c r="L662" s="342"/>
      <c r="M662" s="490"/>
      <c r="N662" s="32"/>
      <c r="O662" s="489"/>
      <c r="P662" s="342"/>
      <c r="Q662" s="342"/>
      <c r="R662" s="490"/>
      <c r="S662" s="228"/>
      <c r="T662" s="292"/>
      <c r="U662" s="261"/>
      <c r="V662" s="261"/>
      <c r="W662" s="293"/>
      <c r="X662" s="228"/>
      <c r="Y662" s="292">
        <f>(Y659*Y661*(8760/1000))/4</f>
        <v>210.24</v>
      </c>
      <c r="Z662" s="261">
        <f>(Z659*Z661*(8760/1000))/4</f>
        <v>210.24</v>
      </c>
      <c r="AA662" s="261">
        <f>(AA659*AA661*(8760/1000))/4</f>
        <v>210.24</v>
      </c>
      <c r="AB662" s="293">
        <f>(AB659*AB661*(8760/1000))/4</f>
        <v>210.24</v>
      </c>
      <c r="AC662" s="228">
        <f>SUM(Y662:AB662)</f>
        <v>840.96</v>
      </c>
      <c r="AD662" s="292">
        <f>(AD659*AD661*(8760/1000))/4</f>
        <v>210.24</v>
      </c>
      <c r="AE662" s="261">
        <f>(AE659*AE661*(8760/1000))/4</f>
        <v>210.24</v>
      </c>
      <c r="AF662" s="261">
        <f>(AF659*AF661*(8760/1000))/4</f>
        <v>210.24</v>
      </c>
      <c r="AG662" s="293">
        <f>(AG659*AG661*(8760/1000))/4</f>
        <v>210.24</v>
      </c>
      <c r="AH662" s="228">
        <f>SUM(AD662:AG662)</f>
        <v>840.96</v>
      </c>
      <c r="AI662" s="292">
        <f>(AI659*AI661*(8760/1000))/4</f>
        <v>210.24</v>
      </c>
      <c r="AJ662" s="261">
        <f>(AJ659*AJ661*(8760/1000))/4</f>
        <v>210.24</v>
      </c>
      <c r="AK662" s="261">
        <f>(AK659*AK661*(8760/1000))/4</f>
        <v>210.24</v>
      </c>
      <c r="AL662" s="293">
        <f>(AL659*AL661*(8760/1000))/4</f>
        <v>210.24</v>
      </c>
      <c r="AM662" s="228">
        <f>SUM(AI662:AL662)</f>
        <v>840.96</v>
      </c>
      <c r="AN662" s="292">
        <f>(AN659*AN661*(8760/1000))/4</f>
        <v>210.24</v>
      </c>
      <c r="AO662" s="261">
        <f>(AO659*AO661*(8760/1000))/4</f>
        <v>210.24</v>
      </c>
      <c r="AP662" s="261">
        <f>(AP659*AP661*(8760/1000))/4</f>
        <v>210.24</v>
      </c>
      <c r="AQ662" s="293">
        <f>(AQ659*AQ661*(8760/1000))/4</f>
        <v>210.24</v>
      </c>
      <c r="AR662" s="228">
        <f>SUM(AN662:AQ662)</f>
        <v>840.96</v>
      </c>
      <c r="AS662" s="292">
        <f>(AS659*AS661*(8760/1000))/4</f>
        <v>210.24</v>
      </c>
      <c r="AT662" s="261">
        <f>(AT659*AT661*(8760/1000))/4</f>
        <v>210.24</v>
      </c>
      <c r="AU662" s="261">
        <f t="shared" ref="AU662" si="946">(AU659*AU661*(8760/1000))/4</f>
        <v>210.24</v>
      </c>
      <c r="AV662" s="293">
        <f>(AV659*AV661*(8760/1000))/4</f>
        <v>210.24</v>
      </c>
      <c r="AW662" s="228">
        <f>SUM(AS662:AV662)</f>
        <v>840.96</v>
      </c>
      <c r="AX662" s="292">
        <f>(AX659*AX661*(8760/1000))/4</f>
        <v>210.24</v>
      </c>
      <c r="AY662" s="261">
        <f>(AY659*AY661*(8760/1000))/4</f>
        <v>210.24</v>
      </c>
      <c r="AZ662" s="261">
        <f>(AZ659*AZ661*(8760/1000))/4</f>
        <v>210.24</v>
      </c>
      <c r="BA662" s="293">
        <f>(BA659*BA661*(8760/1000))/4</f>
        <v>210.24</v>
      </c>
      <c r="BB662" s="228">
        <f>SUM(AX662:BA662)</f>
        <v>840.96</v>
      </c>
      <c r="BC662" s="292">
        <f>(BC659*BC661*(8760/1000))/4</f>
        <v>210.24</v>
      </c>
      <c r="BD662" s="261">
        <f>(BD659*BD661*(8760/1000))/4</f>
        <v>210.24</v>
      </c>
      <c r="BE662" s="261">
        <f>(BE659*BE661*(8760/1000))/4</f>
        <v>210.24</v>
      </c>
      <c r="BF662" s="293">
        <f>(BF659*BF661*(8760/1000))/4</f>
        <v>210.24</v>
      </c>
      <c r="BG662" s="228">
        <f>SUM(BC662:BF662)</f>
        <v>840.96</v>
      </c>
      <c r="BH662" s="292">
        <f>(BH659*BH661*(8760/1000))/4</f>
        <v>210.24</v>
      </c>
      <c r="BI662" s="261">
        <f>(BI659*BI661*(8760/1000))/4</f>
        <v>210.24</v>
      </c>
      <c r="BJ662" s="261">
        <f>(BJ659*BJ661*(8760/1000))/4</f>
        <v>210.24</v>
      </c>
      <c r="BK662" s="293">
        <f>(BK659*BK661*(8760/1000))/4</f>
        <v>210.24</v>
      </c>
      <c r="BL662" s="228">
        <f>SUM(BH662:BK662)</f>
        <v>840.96</v>
      </c>
      <c r="BM662" s="292">
        <f>(BM659*BM661*(8760/1000))/4</f>
        <v>210.24</v>
      </c>
      <c r="BN662" s="261">
        <f>(BN659*BN661*(8760/1000))/4</f>
        <v>210.24</v>
      </c>
      <c r="BO662" s="261">
        <f>(BO659*BO661*(8760/1000))/4</f>
        <v>210.24</v>
      </c>
      <c r="BP662" s="293">
        <f>(BP659*BP661*(8760/1000))/4</f>
        <v>210.24</v>
      </c>
      <c r="BQ662" s="228">
        <f>SUM(BM662:BP662)</f>
        <v>840.96</v>
      </c>
      <c r="BR662" s="156"/>
      <c r="BS662" s="156"/>
      <c r="BT662" s="40"/>
      <c r="BU662" s="232"/>
      <c r="BV662" s="40"/>
      <c r="BW662" s="40"/>
      <c r="BX662" s="40"/>
      <c r="BY662" s="40"/>
      <c r="BZ662" s="40"/>
      <c r="CA662" s="40"/>
      <c r="CB662" s="40"/>
      <c r="CC662" s="40"/>
      <c r="CD662" s="40"/>
      <c r="CE662" s="40"/>
      <c r="CF662" s="40"/>
      <c r="CG662" s="40"/>
      <c r="CH662" s="40"/>
      <c r="CI662" s="40"/>
      <c r="CJ662" s="40"/>
      <c r="CK662" s="40"/>
      <c r="CL662" s="40"/>
      <c r="CM662" s="40"/>
      <c r="CN662" s="40"/>
      <c r="CO662" s="40"/>
      <c r="CP662" s="40"/>
      <c r="CQ662" s="40"/>
      <c r="CR662" s="40"/>
      <c r="CS662" s="40"/>
      <c r="CT662" s="823"/>
      <c r="CU662" s="232"/>
      <c r="CV662" s="232"/>
      <c r="CW662" s="232"/>
      <c r="CX662" s="232"/>
      <c r="CY662" s="232"/>
      <c r="CZ662" s="40"/>
      <c r="DA662" s="40"/>
      <c r="DB662" s="40"/>
      <c r="DC662" s="40"/>
      <c r="DD662" s="40"/>
      <c r="DE662" s="40"/>
      <c r="DF662" s="232"/>
      <c r="DG662" s="232"/>
      <c r="DH662" s="232"/>
      <c r="DI662" s="232"/>
      <c r="DJ662" s="232"/>
      <c r="DK662" s="232"/>
      <c r="DL662" s="232"/>
      <c r="DM662" s="232"/>
      <c r="DN662" s="232"/>
    </row>
    <row r="663" spans="1:118">
      <c r="A663" s="40"/>
      <c r="B663" s="1"/>
      <c r="C663" s="1"/>
      <c r="D663" s="1"/>
      <c r="E663" s="273"/>
      <c r="F663" s="3"/>
      <c r="G663" s="3"/>
      <c r="H663" s="274"/>
      <c r="I663" s="28"/>
      <c r="J663" s="273"/>
      <c r="K663" s="3"/>
      <c r="L663" s="3"/>
      <c r="M663" s="274"/>
      <c r="N663" s="1"/>
      <c r="O663" s="273"/>
      <c r="P663" s="3"/>
      <c r="Q663" s="3"/>
      <c r="R663" s="274"/>
      <c r="S663" s="1"/>
      <c r="T663" s="273"/>
      <c r="U663" s="3"/>
      <c r="V663" s="3"/>
      <c r="W663" s="274"/>
      <c r="X663" s="1"/>
      <c r="Y663" s="273"/>
      <c r="Z663" s="3"/>
      <c r="AA663" s="3"/>
      <c r="AB663" s="274"/>
      <c r="AC663" s="1"/>
      <c r="AD663" s="273"/>
      <c r="AE663" s="3"/>
      <c r="AF663" s="3"/>
      <c r="AG663" s="274"/>
      <c r="AH663" s="1"/>
      <c r="AI663" s="273"/>
      <c r="AJ663" s="3"/>
      <c r="AK663" s="3"/>
      <c r="AL663" s="274"/>
      <c r="AM663" s="1"/>
      <c r="AN663" s="273"/>
      <c r="AO663" s="3"/>
      <c r="AP663" s="3"/>
      <c r="AQ663" s="274"/>
      <c r="AR663" s="1"/>
      <c r="AS663" s="273"/>
      <c r="AT663" s="3"/>
      <c r="AU663" s="3"/>
      <c r="AV663" s="274"/>
      <c r="AW663" s="1"/>
      <c r="AX663" s="273"/>
      <c r="AY663" s="3"/>
      <c r="AZ663" s="3"/>
      <c r="BA663" s="274"/>
      <c r="BB663" s="1"/>
      <c r="BC663" s="273"/>
      <c r="BD663" s="3"/>
      <c r="BE663" s="3"/>
      <c r="BF663" s="274"/>
      <c r="BG663" s="1"/>
      <c r="BH663" s="273"/>
      <c r="BI663" s="3"/>
      <c r="BJ663" s="3"/>
      <c r="BK663" s="274"/>
      <c r="BL663" s="1"/>
      <c r="BM663" s="273"/>
      <c r="BN663" s="3"/>
      <c r="BO663" s="3"/>
      <c r="BP663" s="274"/>
      <c r="BQ663" s="1"/>
      <c r="BR663" s="40"/>
      <c r="BS663" s="40"/>
      <c r="BT663" s="40"/>
      <c r="BU663" s="34"/>
      <c r="BV663" s="156"/>
      <c r="BW663" s="156"/>
      <c r="BX663" s="156"/>
      <c r="BY663" s="156"/>
      <c r="BZ663" s="156"/>
      <c r="CA663" s="156"/>
      <c r="CB663" s="156"/>
      <c r="CC663" s="156"/>
      <c r="CD663" s="156"/>
      <c r="CE663" s="156"/>
      <c r="CF663" s="156"/>
      <c r="CG663" s="40"/>
      <c r="CH663" s="40"/>
      <c r="CI663" s="40"/>
      <c r="CJ663" s="40"/>
      <c r="CK663" s="40"/>
      <c r="CL663" s="40"/>
      <c r="CM663" s="40"/>
      <c r="CN663" s="40"/>
      <c r="CO663" s="40"/>
      <c r="CP663" s="40"/>
      <c r="CQ663" s="40"/>
      <c r="CR663" s="40"/>
      <c r="CS663" s="40"/>
      <c r="CT663" s="823"/>
      <c r="CU663" s="232"/>
      <c r="CV663" s="232"/>
      <c r="CW663" s="232"/>
      <c r="CX663" s="232"/>
      <c r="CY663" s="232"/>
      <c r="CZ663" s="40"/>
      <c r="DA663" s="40"/>
      <c r="DB663" s="40"/>
      <c r="DC663" s="40"/>
      <c r="DD663" s="40"/>
      <c r="DE663" s="40"/>
      <c r="DF663" s="232"/>
      <c r="DG663" s="232"/>
      <c r="DH663" s="232"/>
      <c r="DI663" s="232"/>
      <c r="DJ663" s="232"/>
      <c r="DK663" s="232"/>
      <c r="DL663" s="232"/>
      <c r="DM663" s="232"/>
      <c r="DN663" s="232"/>
    </row>
    <row r="664" spans="1:118" s="232" customFormat="1">
      <c r="A664" s="40"/>
      <c r="B664" s="1"/>
      <c r="C664" s="28" t="s">
        <v>797</v>
      </c>
      <c r="D664" s="1"/>
      <c r="E664" s="273"/>
      <c r="F664" s="3"/>
      <c r="G664" s="3"/>
      <c r="H664" s="274"/>
      <c r="I664" s="28"/>
      <c r="J664" s="273"/>
      <c r="K664" s="3"/>
      <c r="L664" s="3"/>
      <c r="M664" s="274"/>
      <c r="N664" s="1"/>
      <c r="O664" s="273"/>
      <c r="P664" s="3"/>
      <c r="Q664" s="3"/>
      <c r="R664" s="274"/>
      <c r="S664" s="1"/>
      <c r="T664" s="758"/>
      <c r="U664" s="660"/>
      <c r="V664" s="660"/>
      <c r="W664" s="661"/>
      <c r="X664" s="428"/>
      <c r="Y664" s="758">
        <f>(Y656/1000*Y662)</f>
        <v>6.2284020480000004</v>
      </c>
      <c r="Z664" s="660">
        <f>(Z656/1000*Z662)</f>
        <v>6.7424562332307705</v>
      </c>
      <c r="AA664" s="660">
        <f>(AA656/1000*AA662)</f>
        <v>6.8847629512499999</v>
      </c>
      <c r="AB664" s="661">
        <f>(AB656/1000*AB662)</f>
        <v>7.0577682975000009</v>
      </c>
      <c r="AC664" s="428">
        <f>SUM(Y664:AB664)</f>
        <v>26.913389529980773</v>
      </c>
      <c r="AD664" s="758">
        <f>(AD656/1000*AD662)</f>
        <v>8.8604004549944388</v>
      </c>
      <c r="AE664" s="660">
        <f>(AE656/1000*AE662)</f>
        <v>7.7920123658934166</v>
      </c>
      <c r="AF664" s="660">
        <f>(AF656/1000*AF662)</f>
        <v>7.7920123658934166</v>
      </c>
      <c r="AG664" s="661">
        <f>(AG656/1000*AG662)</f>
        <v>6.5712074229435489</v>
      </c>
      <c r="AH664" s="428">
        <f>SUM(AD664:AG664)</f>
        <v>31.015632609724818</v>
      </c>
      <c r="AI664" s="758">
        <f>(AI656/1000*AI662)</f>
        <v>4.9613675242622968</v>
      </c>
      <c r="AJ664" s="660">
        <f>(AJ656/1000*AJ662)</f>
        <v>5.0203614418181823</v>
      </c>
      <c r="AK664" s="660">
        <f>(AK656/1000*AK662)</f>
        <v>5.9420214753260892</v>
      </c>
      <c r="AL664" s="661">
        <f>(AL656/1000*AL662)</f>
        <v>4.5808125714285719</v>
      </c>
      <c r="AM664" s="428">
        <f>SUM(AI664:AL664)</f>
        <v>20.504563012835142</v>
      </c>
      <c r="AN664" s="758">
        <f>(AN656/1000*AN662)</f>
        <v>3.7553041580029807</v>
      </c>
      <c r="AO664" s="660">
        <f>(AO656/1000*AO662)</f>
        <v>4.0237127324999999</v>
      </c>
      <c r="AP664" s="660">
        <f>(AP656/1000*AP662)</f>
        <v>5.9241251166847819</v>
      </c>
      <c r="AQ664" s="661">
        <f>(AQ656/1000*AQ662)</f>
        <v>4.9171402498692247</v>
      </c>
      <c r="AR664" s="428">
        <f>SUM(AN664:AQ664)</f>
        <v>18.620282257056985</v>
      </c>
      <c r="AS664" s="758">
        <f>(AS656/1000*AS662)</f>
        <v>4.6411776424862321</v>
      </c>
      <c r="AT664" s="660">
        <f>(AT656/1000*AT662)</f>
        <v>5.7060076057500018</v>
      </c>
      <c r="AU664" s="660">
        <f t="shared" ref="AU664" si="947">(AU656/1000*AU662)</f>
        <v>7.0342825028571418</v>
      </c>
      <c r="AV664" s="661">
        <f>(AV656/1000*AV662)</f>
        <v>5.2469444936065575</v>
      </c>
      <c r="AW664" s="428">
        <f>SUM(AS664:AV664)</f>
        <v>22.628412244699931</v>
      </c>
      <c r="AX664" s="758">
        <f>(AX656/1000*AX662)</f>
        <v>5.2469444936065575</v>
      </c>
      <c r="AY664" s="660">
        <f>(AY656/1000*AY662)</f>
        <v>5.1281916000000001</v>
      </c>
      <c r="AZ664" s="660">
        <f>(AZ656/1000*AZ662)</f>
        <v>7.0687943999999998</v>
      </c>
      <c r="BA664" s="661">
        <f>(BA656/1000*BA662)</f>
        <v>4.8851892000000001</v>
      </c>
      <c r="BB664" s="428">
        <f>SUM(AX664:BA664)</f>
        <v>22.329119693606557</v>
      </c>
      <c r="BC664" s="758">
        <f>(BC656/1000*BC662)</f>
        <v>5.3371082586179819</v>
      </c>
      <c r="BD664" s="660">
        <f>(BD656/1000*BD662)</f>
        <v>4.957834110218335</v>
      </c>
      <c r="BE664" s="660">
        <f>(BE656/1000*BE662)</f>
        <v>6.8390100078752152</v>
      </c>
      <c r="BF664" s="661">
        <f>(BF656/1000*BF662)</f>
        <v>5.8839988232471221</v>
      </c>
      <c r="BG664" s="428">
        <f>SUM(BC664:BF664)</f>
        <v>23.017951199958656</v>
      </c>
      <c r="BH664" s="758">
        <f>(BH656/1000*BH662)</f>
        <v>5.9434525512493686</v>
      </c>
      <c r="BI664" s="660">
        <f>(BI656/1000*BI662)</f>
        <v>5.5159139376010771</v>
      </c>
      <c r="BJ664" s="660">
        <f>(BJ656/1000*BJ662)</f>
        <v>7.5906340825244127</v>
      </c>
      <c r="BK664" s="661">
        <f>(BK656/1000*BK662)</f>
        <v>6.5460186285543625</v>
      </c>
      <c r="BL664" s="428">
        <f>SUM(BH664:BK664)</f>
        <v>25.596019199929223</v>
      </c>
      <c r="BM664" s="758">
        <f>(BM656/1000*BM662)</f>
        <v>5.5126556023789872</v>
      </c>
      <c r="BN664" s="660">
        <f>(BN656/1000*BN662)</f>
        <v>7.400218681792162</v>
      </c>
      <c r="BO664" s="660">
        <f>(BO656/1000*BO662)</f>
        <v>8.918238094711155</v>
      </c>
      <c r="BP664" s="661">
        <f>(BP656/1000*BP662)</f>
        <v>5.5996355750512725</v>
      </c>
      <c r="BQ664" s="428">
        <f>SUM(BM664:BP664)</f>
        <v>27.430747953933576</v>
      </c>
      <c r="BR664" s="40"/>
      <c r="BS664" s="40"/>
      <c r="BT664" s="40"/>
      <c r="BV664" s="40"/>
      <c r="BW664" s="40"/>
      <c r="BX664" s="40"/>
      <c r="BY664" s="40"/>
      <c r="BZ664" s="40"/>
      <c r="CA664" s="40"/>
      <c r="CB664" s="40"/>
      <c r="CC664" s="40"/>
      <c r="CD664" s="40"/>
      <c r="CE664" s="40"/>
      <c r="CF664" s="40"/>
      <c r="CG664" s="40"/>
      <c r="CH664" s="40"/>
      <c r="CI664" s="40"/>
      <c r="CJ664" s="40"/>
      <c r="CK664" s="40"/>
      <c r="CL664" s="40"/>
      <c r="CM664" s="40"/>
      <c r="CN664" s="40"/>
      <c r="CO664" s="40"/>
      <c r="CP664" s="40"/>
      <c r="CQ664" s="40"/>
      <c r="CR664" s="40"/>
      <c r="CS664" s="40"/>
      <c r="CT664" s="994"/>
      <c r="CZ664" s="40"/>
      <c r="DA664" s="40"/>
      <c r="DB664" s="40"/>
      <c r="DC664" s="40"/>
      <c r="DD664" s="40"/>
      <c r="DE664" s="40"/>
    </row>
    <row r="665" spans="1:118">
      <c r="A665" s="40"/>
      <c r="B665" s="1"/>
      <c r="C665" s="28" t="s">
        <v>278</v>
      </c>
      <c r="D665" s="1"/>
      <c r="E665" s="273"/>
      <c r="F665" s="3"/>
      <c r="G665" s="3"/>
      <c r="H665" s="274"/>
      <c r="I665" s="28"/>
      <c r="J665" s="273"/>
      <c r="K665" s="3"/>
      <c r="L665" s="3"/>
      <c r="M665" s="274"/>
      <c r="N665" s="1"/>
      <c r="O665" s="273"/>
      <c r="P665" s="3"/>
      <c r="Q665" s="3"/>
      <c r="R665" s="274"/>
      <c r="S665" s="1"/>
      <c r="T665" s="758"/>
      <c r="U665" s="660"/>
      <c r="V665" s="660"/>
      <c r="W665" s="661"/>
      <c r="X665" s="428"/>
      <c r="Y665" s="758">
        <f>Y657/1000*Y662</f>
        <v>3.7101176470588237</v>
      </c>
      <c r="Z665" s="660">
        <f>Z657/1000*Z662</f>
        <v>3.7101176470588237</v>
      </c>
      <c r="AA665" s="660">
        <f>AA657/1000*AA662</f>
        <v>3.7101176470588237</v>
      </c>
      <c r="AB665" s="661">
        <f>AB657/1000*AB662</f>
        <v>3.7101176470588237</v>
      </c>
      <c r="AC665" s="428">
        <f>SUM(Y665:AB665)</f>
        <v>14.840470588235295</v>
      </c>
      <c r="AD665" s="758">
        <f>AD657/1000*AD662</f>
        <v>5.5438290244343902</v>
      </c>
      <c r="AE665" s="660">
        <f>AE657/1000*AE662</f>
        <v>3.7101176470588237</v>
      </c>
      <c r="AF665" s="660">
        <f>AF657/1000*AF662</f>
        <v>5.4858370316742082</v>
      </c>
      <c r="AG665" s="661">
        <f>AG657/1000*AG662</f>
        <v>5.4207672760180996</v>
      </c>
      <c r="AH665" s="428">
        <f>SUM(AD665:AG665)</f>
        <v>20.160550979185523</v>
      </c>
      <c r="AI665" s="758">
        <f>AI657/1000*AI662</f>
        <v>5.4304706606334845</v>
      </c>
      <c r="AJ665" s="660">
        <f>AJ657/1000*AJ662</f>
        <v>5.4241920000000006</v>
      </c>
      <c r="AK665" s="660">
        <f>AK657/1000*AK662</f>
        <v>5.4304706606334845</v>
      </c>
      <c r="AL665" s="661">
        <f>AL657/1000*AL662</f>
        <v>5.3933694841628963</v>
      </c>
      <c r="AM665" s="428">
        <f>SUM(AI665:AL665)</f>
        <v>21.678502805429865</v>
      </c>
      <c r="AN665" s="758">
        <f>AN657/1000*AN662</f>
        <v>5.1616298280542985</v>
      </c>
      <c r="AO665" s="660">
        <f>AO657/1000*AO662</f>
        <v>5.0725870045248875</v>
      </c>
      <c r="AP665" s="660">
        <f>AP657/1000*AP662</f>
        <v>4.9927583193277307</v>
      </c>
      <c r="AQ665" s="661">
        <f>AQ657/1000*AQ662</f>
        <v>5.097130859728507</v>
      </c>
      <c r="AR665" s="428">
        <f>SUM(AN665:AQ665)</f>
        <v>20.324106011635422</v>
      </c>
      <c r="AS665" s="758">
        <f>AS657/1000*AS662</f>
        <v>5.4127762533936643</v>
      </c>
      <c r="AT665" s="660">
        <f>AT657/1000*AT662</f>
        <v>5.431269762895929</v>
      </c>
      <c r="AU665" s="660">
        <f t="shared" ref="AU665" si="948">AU657/1000*AU662</f>
        <v>5.4191690714932133</v>
      </c>
      <c r="AV665" s="661">
        <f>AV657/1000*AV662</f>
        <v>5.534924742081448</v>
      </c>
      <c r="AW665" s="428">
        <f>SUM(AS665:AV665)</f>
        <v>21.798139829864251</v>
      </c>
      <c r="AX665" s="758">
        <f>AX657/1000*AX662</f>
        <v>5.534924742081448</v>
      </c>
      <c r="AY665" s="660">
        <f>AY657/1000*AY662</f>
        <v>5.342569411764706</v>
      </c>
      <c r="AZ665" s="660">
        <f>AZ657/1000*AZ662</f>
        <v>5.3945110588235297</v>
      </c>
      <c r="BA665" s="661">
        <f>BA657/1000*BA662</f>
        <v>5.4390324705882351</v>
      </c>
      <c r="BB665" s="428">
        <f>SUM(AX665:BA665)</f>
        <v>21.711037683257917</v>
      </c>
      <c r="BC665" s="758">
        <f>BC657/1000*BC662</f>
        <v>5.4507048634016932</v>
      </c>
      <c r="BD665" s="660">
        <f>BD657/1000*BD662</f>
        <v>5.4507048634016932</v>
      </c>
      <c r="BE665" s="660">
        <f>BE657/1000*BE662</f>
        <v>5.4507048634016932</v>
      </c>
      <c r="BF665" s="661">
        <f>BF657/1000*BF662</f>
        <v>5.4040152921478626</v>
      </c>
      <c r="BG665" s="428">
        <f>SUM(BC665:BF665)</f>
        <v>21.756129882352944</v>
      </c>
      <c r="BH665" s="758">
        <f>BH657/1000*BH662</f>
        <v>5.4507048634016932</v>
      </c>
      <c r="BI665" s="660">
        <f>BI657/1000*BI662</f>
        <v>5.4507048634016932</v>
      </c>
      <c r="BJ665" s="660">
        <f>BJ657/1000*BJ662</f>
        <v>5.4507048634016932</v>
      </c>
      <c r="BK665" s="661">
        <f>BK657/1000*BK662</f>
        <v>5.4040152921478626</v>
      </c>
      <c r="BL665" s="428">
        <f>SUM(BH665:BK665)</f>
        <v>21.756129882352944</v>
      </c>
      <c r="BM665" s="758">
        <f>BM657/1000*BM662</f>
        <v>5.4507048634016932</v>
      </c>
      <c r="BN665" s="660">
        <f>BN657/1000*BN662</f>
        <v>5.4507048634016932</v>
      </c>
      <c r="BO665" s="660">
        <f>BO657/1000*BO662</f>
        <v>5.4507048634016932</v>
      </c>
      <c r="BP665" s="661">
        <f>BP657/1000*BP662</f>
        <v>5.4040152921478626</v>
      </c>
      <c r="BQ665" s="428">
        <f>SUM(BM665:BP665)</f>
        <v>21.756129882352944</v>
      </c>
      <c r="BR665" s="40"/>
      <c r="BS665" s="40"/>
      <c r="BT665" s="40"/>
      <c r="BU665" s="232"/>
      <c r="BV665" s="40"/>
      <c r="BW665" s="40"/>
      <c r="BX665" s="40"/>
      <c r="BY665" s="40"/>
      <c r="BZ665" s="40"/>
      <c r="CA665" s="40"/>
      <c r="CB665" s="40"/>
      <c r="CC665" s="40"/>
      <c r="CD665" s="40"/>
      <c r="CE665" s="40"/>
      <c r="CF665" s="40"/>
      <c r="CG665" s="40"/>
      <c r="CH665" s="40"/>
      <c r="CI665" s="40"/>
      <c r="CJ665" s="40"/>
      <c r="CK665" s="40"/>
      <c r="CL665" s="40"/>
      <c r="CM665" s="40"/>
      <c r="CN665" s="40"/>
      <c r="CO665" s="40"/>
      <c r="CP665" s="40"/>
      <c r="CQ665" s="40"/>
      <c r="CR665" s="40"/>
      <c r="CS665" s="40"/>
      <c r="CT665" s="823"/>
      <c r="CU665" s="232"/>
      <c r="CV665" s="232"/>
      <c r="CW665" s="232"/>
      <c r="CX665" s="232"/>
      <c r="CY665" s="232"/>
      <c r="CZ665" s="40"/>
      <c r="DA665" s="40"/>
      <c r="DB665" s="40"/>
      <c r="DC665" s="40"/>
      <c r="DD665" s="40"/>
      <c r="DE665" s="40"/>
      <c r="DF665" s="232"/>
      <c r="DG665" s="232"/>
      <c r="DH665" s="232"/>
      <c r="DI665" s="232"/>
      <c r="DJ665" s="232"/>
      <c r="DK665" s="232"/>
      <c r="DL665" s="232"/>
      <c r="DM665" s="232"/>
      <c r="DN665" s="232"/>
    </row>
    <row r="666" spans="1:118" s="34" customFormat="1">
      <c r="A666" s="156"/>
      <c r="B666" s="32"/>
      <c r="C666" s="32" t="s">
        <v>199</v>
      </c>
      <c r="D666" s="32"/>
      <c r="E666" s="489"/>
      <c r="F666" s="342"/>
      <c r="G666" s="342"/>
      <c r="H666" s="490"/>
      <c r="I666" s="28"/>
      <c r="J666" s="489"/>
      <c r="K666" s="342"/>
      <c r="L666" s="342"/>
      <c r="M666" s="490"/>
      <c r="N666" s="32"/>
      <c r="O666" s="489"/>
      <c r="P666" s="342"/>
      <c r="Q666" s="342"/>
      <c r="R666" s="490"/>
      <c r="S666" s="32"/>
      <c r="T666" s="292"/>
      <c r="U666" s="261"/>
      <c r="V666" s="261"/>
      <c r="W666" s="293"/>
      <c r="X666" s="228"/>
      <c r="Y666" s="292">
        <f>Y664-Y665</f>
        <v>2.5182844009411767</v>
      </c>
      <c r="Z666" s="261">
        <f>Z664-Z665</f>
        <v>3.0323385861719467</v>
      </c>
      <c r="AA666" s="261">
        <f>AA664-AA665</f>
        <v>3.1746453041911762</v>
      </c>
      <c r="AB666" s="293">
        <f>AB664-AB665</f>
        <v>3.3476506504411772</v>
      </c>
      <c r="AC666" s="228">
        <f>AC664-AC665</f>
        <v>12.072918941745478</v>
      </c>
      <c r="AD666" s="292">
        <f t="shared" ref="AD666:BL666" si="949">AD664-AD665</f>
        <v>3.3165714305600487</v>
      </c>
      <c r="AE666" s="261">
        <f>AE664-AE665</f>
        <v>4.0818947188345929</v>
      </c>
      <c r="AF666" s="261">
        <f t="shared" si="949"/>
        <v>2.3061753342192084</v>
      </c>
      <c r="AG666" s="293">
        <f t="shared" si="949"/>
        <v>1.1504401469254493</v>
      </c>
      <c r="AH666" s="228">
        <f t="shared" si="949"/>
        <v>10.855081630539296</v>
      </c>
      <c r="AI666" s="292">
        <f t="shared" si="949"/>
        <v>-0.46910313637118772</v>
      </c>
      <c r="AJ666" s="261">
        <f t="shared" si="949"/>
        <v>-0.40383055818181823</v>
      </c>
      <c r="AK666" s="261">
        <f t="shared" si="949"/>
        <v>0.51155081469260466</v>
      </c>
      <c r="AL666" s="293">
        <f t="shared" si="949"/>
        <v>-0.8125569127343244</v>
      </c>
      <c r="AM666" s="228">
        <f t="shared" si="949"/>
        <v>-1.173939792594723</v>
      </c>
      <c r="AN666" s="292">
        <f t="shared" si="949"/>
        <v>-1.4063256700513178</v>
      </c>
      <c r="AO666" s="261">
        <f t="shared" si="949"/>
        <v>-1.0488742720248876</v>
      </c>
      <c r="AP666" s="261">
        <f t="shared" si="949"/>
        <v>0.93136679735705119</v>
      </c>
      <c r="AQ666" s="293">
        <f t="shared" si="949"/>
        <v>-0.17999060985928228</v>
      </c>
      <c r="AR666" s="228">
        <f t="shared" si="949"/>
        <v>-1.7038237545784369</v>
      </c>
      <c r="AS666" s="292">
        <f t="shared" si="949"/>
        <v>-0.7715986109074322</v>
      </c>
      <c r="AT666" s="261">
        <f t="shared" si="949"/>
        <v>0.27473784285407277</v>
      </c>
      <c r="AU666" s="261">
        <f t="shared" ref="AU666" si="950">AU664-AU665</f>
        <v>1.6151134313639286</v>
      </c>
      <c r="AV666" s="293">
        <f t="shared" si="949"/>
        <v>-0.28798024847489057</v>
      </c>
      <c r="AW666" s="228">
        <f t="shared" si="949"/>
        <v>0.83027241483567948</v>
      </c>
      <c r="AX666" s="292">
        <f t="shared" si="949"/>
        <v>-0.28798024847489057</v>
      </c>
      <c r="AY666" s="261">
        <f t="shared" si="949"/>
        <v>-0.21437781176470594</v>
      </c>
      <c r="AZ666" s="261">
        <f t="shared" si="949"/>
        <v>1.6742833411764702</v>
      </c>
      <c r="BA666" s="293">
        <f t="shared" si="949"/>
        <v>-0.55384327058823501</v>
      </c>
      <c r="BB666" s="228">
        <f t="shared" si="949"/>
        <v>0.61808201034864041</v>
      </c>
      <c r="BC666" s="292">
        <f t="shared" si="949"/>
        <v>-0.11359660478371136</v>
      </c>
      <c r="BD666" s="261">
        <f t="shared" si="949"/>
        <v>-0.49287075318335827</v>
      </c>
      <c r="BE666" s="261">
        <f t="shared" si="949"/>
        <v>1.3883051444735219</v>
      </c>
      <c r="BF666" s="293">
        <f t="shared" si="949"/>
        <v>0.47998353109925951</v>
      </c>
      <c r="BG666" s="228">
        <f t="shared" si="949"/>
        <v>1.2618213176057118</v>
      </c>
      <c r="BH666" s="292">
        <f t="shared" si="949"/>
        <v>0.49274768784767531</v>
      </c>
      <c r="BI666" s="261">
        <f t="shared" si="949"/>
        <v>6.5209074199383821E-2</v>
      </c>
      <c r="BJ666" s="261">
        <f t="shared" si="949"/>
        <v>2.1399292191227195</v>
      </c>
      <c r="BK666" s="293">
        <f t="shared" si="949"/>
        <v>1.1420033364064999</v>
      </c>
      <c r="BL666" s="228">
        <f t="shared" si="949"/>
        <v>3.8398893175762794</v>
      </c>
      <c r="BM666" s="292">
        <f t="shared" ref="BM666:BQ666" si="951">BM664-BM665</f>
        <v>6.1950738977293973E-2</v>
      </c>
      <c r="BN666" s="261">
        <f t="shared" si="951"/>
        <v>1.9495138183904688</v>
      </c>
      <c r="BO666" s="261">
        <f t="shared" si="951"/>
        <v>3.4675332313094618</v>
      </c>
      <c r="BP666" s="293">
        <f t="shared" si="951"/>
        <v>0.19562028290340994</v>
      </c>
      <c r="BQ666" s="228">
        <f t="shared" si="951"/>
        <v>5.6746180715806318</v>
      </c>
      <c r="BR666" s="40"/>
      <c r="BS666" s="40"/>
      <c r="BT666" s="156"/>
      <c r="BU666" s="232"/>
      <c r="BV666" s="40"/>
      <c r="BW666" s="40"/>
      <c r="BX666" s="40"/>
      <c r="BY666" s="40"/>
      <c r="BZ666" s="40"/>
      <c r="CA666" s="40"/>
      <c r="CB666" s="40"/>
      <c r="CC666" s="40"/>
      <c r="CD666" s="40"/>
      <c r="CE666" s="40"/>
      <c r="CF666" s="40"/>
      <c r="CG666" s="156"/>
      <c r="CH666" s="156"/>
      <c r="CI666" s="156"/>
      <c r="CJ666" s="156"/>
      <c r="CK666" s="156"/>
      <c r="CL666" s="156"/>
      <c r="CM666" s="156"/>
      <c r="CN666" s="156"/>
      <c r="CO666" s="156"/>
      <c r="CP666" s="156"/>
      <c r="CQ666" s="156"/>
      <c r="CR666" s="156"/>
      <c r="CS666" s="156"/>
      <c r="CT666" s="954"/>
      <c r="CZ666" s="156"/>
      <c r="DA666" s="156"/>
      <c r="DB666" s="156"/>
      <c r="DC666" s="156"/>
      <c r="DD666" s="156"/>
      <c r="DE666" s="156"/>
    </row>
    <row r="667" spans="1:118">
      <c r="A667" s="40"/>
      <c r="B667" s="32"/>
      <c r="C667" s="32"/>
      <c r="D667" s="32"/>
      <c r="E667" s="489"/>
      <c r="F667" s="342"/>
      <c r="G667" s="342"/>
      <c r="H667" s="490"/>
      <c r="I667" s="28"/>
      <c r="J667" s="489"/>
      <c r="K667" s="342"/>
      <c r="L667" s="342"/>
      <c r="M667" s="490"/>
      <c r="N667" s="32"/>
      <c r="O667" s="489"/>
      <c r="P667" s="342"/>
      <c r="Q667" s="342"/>
      <c r="R667" s="490"/>
      <c r="S667" s="32"/>
      <c r="T667" s="292"/>
      <c r="U667" s="261"/>
      <c r="V667" s="261"/>
      <c r="W667" s="293"/>
      <c r="X667" s="228"/>
      <c r="Y667" s="292"/>
      <c r="Z667" s="261"/>
      <c r="AA667" s="261"/>
      <c r="AB667" s="293"/>
      <c r="AC667" s="228"/>
      <c r="AD667" s="292"/>
      <c r="AE667" s="261"/>
      <c r="AF667" s="261"/>
      <c r="AG667" s="293"/>
      <c r="AH667" s="228"/>
      <c r="AI667" s="292"/>
      <c r="AJ667" s="261"/>
      <c r="AK667" s="261"/>
      <c r="AL667" s="293"/>
      <c r="AM667" s="228"/>
      <c r="AN667" s="292"/>
      <c r="AO667" s="261"/>
      <c r="AP667" s="261"/>
      <c r="AQ667" s="293"/>
      <c r="AR667" s="228"/>
      <c r="AS667" s="292"/>
      <c r="AT667" s="261"/>
      <c r="AU667" s="261"/>
      <c r="AV667" s="293"/>
      <c r="AW667" s="228"/>
      <c r="AX667" s="292"/>
      <c r="AY667" s="261"/>
      <c r="AZ667" s="261"/>
      <c r="BA667" s="293"/>
      <c r="BB667" s="228"/>
      <c r="BC667" s="292"/>
      <c r="BD667" s="261"/>
      <c r="BE667" s="261"/>
      <c r="BF667" s="293"/>
      <c r="BG667" s="228"/>
      <c r="BH667" s="292"/>
      <c r="BI667" s="261"/>
      <c r="BJ667" s="261"/>
      <c r="BK667" s="293"/>
      <c r="BL667" s="228"/>
      <c r="BM667" s="292"/>
      <c r="BN667" s="261"/>
      <c r="BO667" s="261"/>
      <c r="BP667" s="293"/>
      <c r="BQ667" s="228"/>
      <c r="BR667" s="156"/>
      <c r="BS667" s="156"/>
      <c r="BT667" s="40"/>
      <c r="BU667" s="232"/>
      <c r="BV667" s="40"/>
      <c r="BW667" s="40"/>
      <c r="BX667" s="40"/>
      <c r="BY667" s="40"/>
      <c r="BZ667" s="40"/>
      <c r="CA667" s="40"/>
      <c r="CB667" s="40"/>
      <c r="CC667" s="40"/>
      <c r="CD667" s="40"/>
      <c r="CE667" s="40"/>
      <c r="CF667" s="40"/>
      <c r="CG667" s="40"/>
      <c r="CH667" s="40"/>
      <c r="CI667" s="40"/>
      <c r="CJ667" s="40"/>
      <c r="CK667" s="40"/>
      <c r="CL667" s="40"/>
      <c r="CM667" s="40"/>
      <c r="CN667" s="40"/>
      <c r="CO667" s="40"/>
      <c r="CP667" s="40"/>
      <c r="CQ667" s="40"/>
      <c r="CR667" s="40"/>
      <c r="CS667" s="40"/>
      <c r="CT667" s="823"/>
      <c r="CU667" s="232"/>
      <c r="CV667" s="232"/>
      <c r="CW667" s="232"/>
      <c r="CX667" s="232"/>
      <c r="CY667" s="232"/>
      <c r="CZ667" s="40"/>
      <c r="DA667" s="40"/>
      <c r="DB667" s="40"/>
      <c r="DC667" s="40"/>
      <c r="DD667" s="40"/>
      <c r="DE667" s="40"/>
      <c r="DF667" s="232"/>
      <c r="DG667" s="232"/>
      <c r="DH667" s="232"/>
      <c r="DI667" s="232"/>
      <c r="DJ667" s="232"/>
      <c r="DK667" s="232"/>
      <c r="DL667" s="232"/>
      <c r="DM667" s="232"/>
      <c r="DN667" s="232"/>
    </row>
    <row r="668" spans="1:118">
      <c r="A668" s="40"/>
      <c r="B668" s="32"/>
      <c r="C668" s="32"/>
      <c r="D668" s="32"/>
      <c r="E668" s="489"/>
      <c r="F668" s="342"/>
      <c r="G668" s="342"/>
      <c r="H668" s="490"/>
      <c r="I668" s="28"/>
      <c r="J668" s="489"/>
      <c r="K668" s="342"/>
      <c r="L668" s="342"/>
      <c r="M668" s="490"/>
      <c r="N668" s="32"/>
      <c r="O668" s="489"/>
      <c r="P668" s="342"/>
      <c r="Q668" s="342"/>
      <c r="R668" s="490"/>
      <c r="S668" s="32"/>
      <c r="T668" s="292"/>
      <c r="U668" s="261"/>
      <c r="V668" s="261"/>
      <c r="W668" s="293"/>
      <c r="X668" s="228"/>
      <c r="Y668" s="292"/>
      <c r="Z668" s="261"/>
      <c r="AA668" s="261"/>
      <c r="AB668" s="293"/>
      <c r="AC668" s="228"/>
      <c r="AD668" s="292"/>
      <c r="AE668" s="261"/>
      <c r="AF668" s="261"/>
      <c r="AG668" s="293"/>
      <c r="AH668" s="228"/>
      <c r="AI668" s="292"/>
      <c r="AJ668" s="261"/>
      <c r="AK668" s="261"/>
      <c r="AL668" s="293"/>
      <c r="AM668" s="228"/>
      <c r="AN668" s="292"/>
      <c r="AO668" s="261"/>
      <c r="AP668" s="261"/>
      <c r="AQ668" s="293"/>
      <c r="AR668" s="228"/>
      <c r="AS668" s="292"/>
      <c r="AT668" s="261"/>
      <c r="AU668" s="261"/>
      <c r="AV668" s="293"/>
      <c r="AW668" s="228"/>
      <c r="AX668" s="292"/>
      <c r="AY668" s="261"/>
      <c r="AZ668" s="261"/>
      <c r="BA668" s="293"/>
      <c r="BB668" s="228"/>
      <c r="BC668" s="292"/>
      <c r="BD668" s="261"/>
      <c r="BE668" s="261"/>
      <c r="BF668" s="293"/>
      <c r="BG668" s="228"/>
      <c r="BH668" s="292"/>
      <c r="BI668" s="261"/>
      <c r="BJ668" s="261"/>
      <c r="BK668" s="293"/>
      <c r="BL668" s="228"/>
      <c r="BM668" s="292"/>
      <c r="BN668" s="261"/>
      <c r="BO668" s="261"/>
      <c r="BP668" s="293"/>
      <c r="BQ668" s="228"/>
      <c r="BR668" s="40"/>
      <c r="BS668" s="40"/>
      <c r="BT668" s="40"/>
      <c r="BU668" s="34"/>
      <c r="BV668" s="156"/>
      <c r="BW668" s="156"/>
      <c r="BX668" s="156"/>
      <c r="BY668" s="156"/>
      <c r="BZ668" s="156"/>
      <c r="CA668" s="156"/>
      <c r="CB668" s="156"/>
      <c r="CC668" s="156"/>
      <c r="CD668" s="156"/>
      <c r="CE668" s="156"/>
      <c r="CF668" s="156"/>
      <c r="CG668" s="40"/>
      <c r="CH668" s="40"/>
      <c r="CI668" s="40"/>
      <c r="CJ668" s="40"/>
      <c r="CK668" s="40"/>
      <c r="CL668" s="40"/>
      <c r="CM668" s="40"/>
      <c r="CN668" s="40"/>
      <c r="CO668" s="40"/>
      <c r="CP668" s="40"/>
      <c r="CQ668" s="40"/>
      <c r="CR668" s="40"/>
      <c r="CS668" s="40"/>
      <c r="CT668" s="823"/>
      <c r="CU668" s="232"/>
      <c r="CV668" s="232"/>
      <c r="CW668" s="232"/>
      <c r="CX668" s="232"/>
      <c r="CY668" s="232"/>
      <c r="CZ668" s="40"/>
      <c r="DA668" s="40"/>
      <c r="DB668" s="40"/>
      <c r="DC668" s="40"/>
      <c r="DD668" s="40"/>
      <c r="DE668" s="40"/>
      <c r="DF668" s="232"/>
      <c r="DG668" s="232"/>
      <c r="DH668" s="232"/>
      <c r="DI668" s="232"/>
      <c r="DJ668" s="232"/>
      <c r="DK668" s="232"/>
      <c r="DL668" s="232"/>
      <c r="DM668" s="232"/>
      <c r="DN668" s="232"/>
    </row>
    <row r="669" spans="1:118" s="232" customFormat="1">
      <c r="A669" s="40"/>
      <c r="B669" s="210" t="s">
        <v>803</v>
      </c>
      <c r="C669" s="211"/>
      <c r="D669" s="211"/>
      <c r="E669" s="896"/>
      <c r="F669" s="897"/>
      <c r="G669" s="897"/>
      <c r="H669" s="898"/>
      <c r="I669" s="899"/>
      <c r="J669" s="896"/>
      <c r="K669" s="897"/>
      <c r="L669" s="897"/>
      <c r="M669" s="898"/>
      <c r="N669" s="228"/>
      <c r="O669" s="292"/>
      <c r="P669" s="261"/>
      <c r="Q669" s="261"/>
      <c r="R669" s="293"/>
      <c r="S669" s="228"/>
      <c r="T669" s="292"/>
      <c r="U669" s="261"/>
      <c r="V669" s="261"/>
      <c r="W669" s="293"/>
      <c r="X669" s="228"/>
      <c r="Y669" s="292"/>
      <c r="Z669" s="261"/>
      <c r="AA669" s="261"/>
      <c r="AB669" s="293"/>
      <c r="AC669" s="228"/>
      <c r="AD669" s="292"/>
      <c r="AE669" s="261"/>
      <c r="AF669" s="261"/>
      <c r="AG669" s="293"/>
      <c r="AH669" s="228"/>
      <c r="AI669" s="292"/>
      <c r="AJ669" s="261"/>
      <c r="AK669" s="261"/>
      <c r="AL669" s="293"/>
      <c r="AM669" s="228"/>
      <c r="AN669" s="292"/>
      <c r="AO669" s="261"/>
      <c r="AP669" s="261"/>
      <c r="AQ669" s="293"/>
      <c r="AR669" s="228"/>
      <c r="AS669" s="292"/>
      <c r="AT669" s="261"/>
      <c r="AU669" s="261"/>
      <c r="AV669" s="293"/>
      <c r="AW669" s="228"/>
      <c r="AX669" s="292"/>
      <c r="AY669" s="261"/>
      <c r="AZ669" s="261"/>
      <c r="BA669" s="293"/>
      <c r="BB669" s="228"/>
      <c r="BC669" s="292"/>
      <c r="BD669" s="261"/>
      <c r="BE669" s="261"/>
      <c r="BF669" s="293"/>
      <c r="BG669" s="228"/>
      <c r="BH669" s="292"/>
      <c r="BI669" s="261"/>
      <c r="BJ669" s="261"/>
      <c r="BK669" s="293"/>
      <c r="BL669" s="228"/>
      <c r="BM669" s="292"/>
      <c r="BN669" s="261"/>
      <c r="BO669" s="261"/>
      <c r="BP669" s="293"/>
      <c r="BQ669" s="228"/>
      <c r="BR669" s="40"/>
      <c r="BS669" s="40"/>
      <c r="BT669" s="40"/>
      <c r="BV669" s="40"/>
      <c r="BW669" s="40"/>
      <c r="BX669" s="40"/>
      <c r="BY669" s="40"/>
      <c r="BZ669" s="40"/>
      <c r="CA669" s="40"/>
      <c r="CB669" s="40"/>
      <c r="CC669" s="40"/>
      <c r="CD669" s="40"/>
      <c r="CE669" s="40"/>
      <c r="CF669" s="40"/>
      <c r="CG669" s="40"/>
      <c r="CH669" s="40"/>
      <c r="CI669" s="40"/>
      <c r="CJ669" s="40"/>
      <c r="CK669" s="40"/>
      <c r="CL669" s="40"/>
      <c r="CM669" s="40"/>
      <c r="CN669" s="40"/>
      <c r="CO669" s="40"/>
      <c r="CP669" s="40"/>
      <c r="CQ669" s="40"/>
      <c r="CR669" s="40"/>
      <c r="CS669" s="40"/>
      <c r="CT669" s="994"/>
      <c r="CZ669" s="40"/>
      <c r="DA669" s="40"/>
      <c r="DB669" s="40"/>
      <c r="DC669" s="40"/>
      <c r="DD669" s="40"/>
      <c r="DE669" s="40"/>
    </row>
    <row r="670" spans="1:118">
      <c r="A670" s="40"/>
      <c r="B670" s="32"/>
      <c r="C670" s="909"/>
      <c r="D670" s="895"/>
      <c r="E670" s="896"/>
      <c r="F670" s="897"/>
      <c r="G670" s="897"/>
      <c r="H670" s="898"/>
      <c r="I670" s="899"/>
      <c r="J670" s="896"/>
      <c r="K670" s="897"/>
      <c r="L670" s="897"/>
      <c r="M670" s="898"/>
      <c r="N670" s="228"/>
      <c r="O670" s="292"/>
      <c r="P670" s="261"/>
      <c r="Q670" s="261"/>
      <c r="R670" s="293"/>
      <c r="S670" s="228"/>
      <c r="T670" s="292"/>
      <c r="U670" s="261"/>
      <c r="V670" s="261"/>
      <c r="W670" s="293"/>
      <c r="X670" s="228"/>
      <c r="Y670" s="292"/>
      <c r="Z670" s="261"/>
      <c r="AA670" s="261"/>
      <c r="AB670" s="293"/>
      <c r="AC670" s="228"/>
      <c r="AD670" s="292"/>
      <c r="AE670" s="261"/>
      <c r="AF670" s="261"/>
      <c r="AG670" s="293"/>
      <c r="AH670" s="228"/>
      <c r="AI670" s="292"/>
      <c r="AJ670" s="261"/>
      <c r="AK670" s="261"/>
      <c r="AL670" s="293"/>
      <c r="AM670" s="228"/>
      <c r="AN670" s="292"/>
      <c r="AO670" s="261"/>
      <c r="AP670" s="261"/>
      <c r="AQ670" s="293"/>
      <c r="AR670" s="228"/>
      <c r="AS670" s="292"/>
      <c r="AT670" s="261"/>
      <c r="AU670" s="261"/>
      <c r="AV670" s="293"/>
      <c r="AW670" s="228"/>
      <c r="AX670" s="292"/>
      <c r="AY670" s="261"/>
      <c r="AZ670" s="261"/>
      <c r="BA670" s="293"/>
      <c r="BB670" s="228"/>
      <c r="BC670" s="292"/>
      <c r="BD670" s="261"/>
      <c r="BE670" s="261"/>
      <c r="BF670" s="293"/>
      <c r="BG670" s="228"/>
      <c r="BH670" s="292"/>
      <c r="BI670" s="261"/>
      <c r="BJ670" s="261"/>
      <c r="BK670" s="293"/>
      <c r="BL670" s="228"/>
      <c r="BM670" s="292"/>
      <c r="BN670" s="261"/>
      <c r="BO670" s="261"/>
      <c r="BP670" s="293"/>
      <c r="BQ670" s="228"/>
      <c r="BR670" s="40"/>
      <c r="BS670" s="40"/>
      <c r="BT670" s="40"/>
      <c r="BU670" s="232"/>
      <c r="BV670" s="40"/>
      <c r="BW670" s="40"/>
      <c r="BX670" s="40"/>
      <c r="BY670" s="40"/>
      <c r="BZ670" s="40"/>
      <c r="CA670" s="40"/>
      <c r="CB670" s="40"/>
      <c r="CC670" s="40"/>
      <c r="CD670" s="40"/>
      <c r="CE670" s="40"/>
      <c r="CF670" s="40"/>
      <c r="CG670" s="40"/>
      <c r="CH670" s="40"/>
      <c r="CI670" s="40"/>
      <c r="CJ670" s="40"/>
      <c r="CK670" s="40"/>
      <c r="CL670" s="40"/>
      <c r="CM670" s="40"/>
      <c r="CN670" s="40"/>
      <c r="CO670" s="40"/>
      <c r="CP670" s="40"/>
      <c r="CQ670" s="40"/>
      <c r="CR670" s="40"/>
      <c r="CS670" s="40"/>
      <c r="CT670" s="823"/>
      <c r="CU670" s="232"/>
      <c r="CV670" s="232"/>
      <c r="CW670" s="232"/>
      <c r="CX670" s="232"/>
      <c r="CY670" s="232"/>
      <c r="CZ670" s="40"/>
      <c r="DA670" s="40"/>
      <c r="DB670" s="40"/>
      <c r="DC670" s="40"/>
      <c r="DD670" s="40"/>
      <c r="DE670" s="40"/>
      <c r="DF670" s="232"/>
      <c r="DG670" s="232"/>
      <c r="DH670" s="232"/>
      <c r="DI670" s="232"/>
      <c r="DJ670" s="232"/>
      <c r="DK670" s="232"/>
      <c r="DL670" s="232"/>
      <c r="DM670" s="232"/>
      <c r="DN670" s="232"/>
    </row>
    <row r="671" spans="1:118" s="34" customFormat="1">
      <c r="A671" s="156"/>
      <c r="B671" s="32"/>
      <c r="C671" s="895" t="s">
        <v>1279</v>
      </c>
      <c r="D671" s="1951" t="s">
        <v>513</v>
      </c>
      <c r="E671" s="896"/>
      <c r="F671" s="897"/>
      <c r="G671" s="897"/>
      <c r="H671" s="898"/>
      <c r="I671" s="1651">
        <v>0.97499999999999998</v>
      </c>
      <c r="J671" s="896"/>
      <c r="K671" s="897"/>
      <c r="L671" s="897"/>
      <c r="M671" s="898"/>
      <c r="N671" s="228"/>
      <c r="O671" s="292"/>
      <c r="P671" s="261"/>
      <c r="Q671" s="261"/>
      <c r="R671" s="293"/>
      <c r="S671" s="228"/>
      <c r="T671" s="292"/>
      <c r="U671" s="261"/>
      <c r="V671" s="261"/>
      <c r="W671" s="293"/>
      <c r="X671" s="228"/>
      <c r="Y671" s="292"/>
      <c r="Z671" s="261"/>
      <c r="AA671" s="261"/>
      <c r="AB671" s="293"/>
      <c r="AC671" s="228"/>
      <c r="AD671" s="292"/>
      <c r="AE671" s="261"/>
      <c r="AF671" s="261"/>
      <c r="AG671" s="293"/>
      <c r="AH671" s="228"/>
      <c r="AI671" s="292"/>
      <c r="AJ671" s="261"/>
      <c r="AK671" s="261"/>
      <c r="AL671" s="293"/>
      <c r="AM671" s="228"/>
      <c r="AN671" s="292"/>
      <c r="AO671" s="261"/>
      <c r="AP671" s="261"/>
      <c r="AQ671" s="293"/>
      <c r="AR671" s="228"/>
      <c r="AS671" s="292"/>
      <c r="AT671" s="261"/>
      <c r="AU671" s="261"/>
      <c r="AV671" s="293"/>
      <c r="AW671" s="228"/>
      <c r="AX671" s="292"/>
      <c r="AY671" s="261"/>
      <c r="AZ671" s="261"/>
      <c r="BA671" s="293"/>
      <c r="BB671" s="228"/>
      <c r="BC671" s="292"/>
      <c r="BD671" s="261"/>
      <c r="BE671" s="261"/>
      <c r="BF671" s="293"/>
      <c r="BG671" s="228"/>
      <c r="BH671" s="292"/>
      <c r="BI671" s="261"/>
      <c r="BJ671" s="261"/>
      <c r="BK671" s="293"/>
      <c r="BL671" s="228"/>
      <c r="BM671" s="292"/>
      <c r="BN671" s="261"/>
      <c r="BO671" s="261"/>
      <c r="BP671" s="293"/>
      <c r="BQ671" s="228"/>
      <c r="BR671" s="40"/>
      <c r="BS671" s="40"/>
      <c r="BT671" s="156"/>
      <c r="BU671" s="232"/>
      <c r="BV671" s="40"/>
      <c r="BW671" s="40"/>
      <c r="BX671" s="40"/>
      <c r="BY671" s="40"/>
      <c r="BZ671" s="40"/>
      <c r="CA671" s="40"/>
      <c r="CB671" s="40"/>
      <c r="CC671" s="40"/>
      <c r="CD671" s="40"/>
      <c r="CE671" s="40"/>
      <c r="CF671" s="40"/>
      <c r="CG671" s="156"/>
      <c r="CH671" s="156"/>
      <c r="CI671" s="156"/>
      <c r="CJ671" s="156"/>
      <c r="CK671" s="156"/>
      <c r="CL671" s="156"/>
      <c r="CM671" s="156"/>
      <c r="CN671" s="156"/>
      <c r="CO671" s="156"/>
      <c r="CP671" s="156"/>
      <c r="CQ671" s="156"/>
      <c r="CR671" s="156"/>
      <c r="CS671" s="156"/>
      <c r="CT671" s="954"/>
      <c r="CZ671" s="156"/>
      <c r="DA671" s="156"/>
      <c r="DB671" s="156"/>
      <c r="DC671" s="156"/>
      <c r="DD671" s="156"/>
      <c r="DE671" s="156"/>
    </row>
    <row r="672" spans="1:118">
      <c r="A672" s="40"/>
      <c r="B672" s="32"/>
      <c r="C672" s="909"/>
      <c r="D672" s="1951" t="s">
        <v>512</v>
      </c>
      <c r="E672" s="896"/>
      <c r="F672" s="897"/>
      <c r="G672" s="897"/>
      <c r="H672" s="898"/>
      <c r="I672" s="1651">
        <v>0.95</v>
      </c>
      <c r="J672" s="896"/>
      <c r="K672" s="897"/>
      <c r="L672" s="897"/>
      <c r="M672" s="898"/>
      <c r="N672" s="228"/>
      <c r="O672" s="292"/>
      <c r="P672" s="261"/>
      <c r="Q672" s="261"/>
      <c r="R672" s="293"/>
      <c r="S672" s="228"/>
      <c r="T672" s="292"/>
      <c r="U672" s="261"/>
      <c r="V672" s="261"/>
      <c r="W672" s="293"/>
      <c r="X672" s="228"/>
      <c r="Y672" s="292"/>
      <c r="Z672" s="261"/>
      <c r="AA672" s="261"/>
      <c r="AB672" s="293"/>
      <c r="AC672" s="228"/>
      <c r="AD672" s="292"/>
      <c r="AE672" s="261"/>
      <c r="AF672" s="261"/>
      <c r="AG672" s="293"/>
      <c r="AH672" s="228"/>
      <c r="AI672" s="292"/>
      <c r="AJ672" s="261"/>
      <c r="AK672" s="261"/>
      <c r="AL672" s="293"/>
      <c r="AM672" s="228"/>
      <c r="AN672" s="292"/>
      <c r="AO672" s="261"/>
      <c r="AP672" s="261"/>
      <c r="AQ672" s="293"/>
      <c r="AR672" s="228"/>
      <c r="AS672" s="292"/>
      <c r="AT672" s="261"/>
      <c r="AU672" s="261"/>
      <c r="AV672" s="293"/>
      <c r="AW672" s="1110"/>
      <c r="AX672" s="292"/>
      <c r="AY672" s="261"/>
      <c r="AZ672" s="261"/>
      <c r="BA672" s="293"/>
      <c r="BB672" s="228"/>
      <c r="BC672" s="292"/>
      <c r="BD672" s="261"/>
      <c r="BE672" s="261"/>
      <c r="BF672" s="293"/>
      <c r="BG672" s="228"/>
      <c r="BH672" s="292"/>
      <c r="BI672" s="261"/>
      <c r="BJ672" s="261"/>
      <c r="BK672" s="293"/>
      <c r="BL672" s="228"/>
      <c r="BM672" s="292"/>
      <c r="BN672" s="261"/>
      <c r="BO672" s="261"/>
      <c r="BP672" s="293"/>
      <c r="BQ672" s="228"/>
      <c r="BR672" s="156"/>
      <c r="BS672" s="156"/>
      <c r="BT672" s="40"/>
      <c r="BU672" s="232"/>
      <c r="BV672" s="40"/>
      <c r="BW672" s="40"/>
      <c r="BX672" s="40"/>
      <c r="BY672" s="40"/>
      <c r="BZ672" s="40"/>
      <c r="CA672" s="40"/>
      <c r="CB672" s="40"/>
      <c r="CC672" s="40"/>
      <c r="CD672" s="40"/>
      <c r="CE672" s="40"/>
      <c r="CF672" s="40"/>
      <c r="CG672" s="40"/>
      <c r="CH672" s="40"/>
      <c r="CI672" s="40"/>
      <c r="CJ672" s="40"/>
      <c r="CK672" s="40"/>
      <c r="CL672" s="40"/>
      <c r="CM672" s="40"/>
      <c r="CN672" s="40"/>
      <c r="CO672" s="40"/>
      <c r="CP672" s="40"/>
      <c r="CQ672" s="40"/>
      <c r="CR672" s="40"/>
      <c r="CS672" s="40"/>
      <c r="CT672" s="823"/>
      <c r="CU672" s="232"/>
      <c r="CV672" s="232"/>
      <c r="CW672" s="232"/>
      <c r="CX672" s="232"/>
      <c r="CY672" s="232"/>
      <c r="CZ672" s="40"/>
      <c r="DA672" s="40"/>
      <c r="DB672" s="40"/>
      <c r="DC672" s="40"/>
      <c r="DD672" s="40"/>
      <c r="DE672" s="40"/>
      <c r="DF672" s="232"/>
      <c r="DG672" s="232"/>
      <c r="DH672" s="232"/>
      <c r="DI672" s="232"/>
      <c r="DJ672" s="232"/>
      <c r="DK672" s="232"/>
      <c r="DL672" s="232"/>
      <c r="DM672" s="232"/>
      <c r="DN672" s="232"/>
    </row>
    <row r="673" spans="1:118">
      <c r="A673" s="40"/>
      <c r="B673" s="32"/>
      <c r="C673" s="889" t="s">
        <v>1383</v>
      </c>
      <c r="D673" s="895"/>
      <c r="E673" s="896"/>
      <c r="F673" s="897"/>
      <c r="G673" s="897"/>
      <c r="H673" s="898"/>
      <c r="I673" s="32"/>
      <c r="J673" s="896"/>
      <c r="K673" s="897"/>
      <c r="L673" s="897"/>
      <c r="M673" s="898"/>
      <c r="N673" s="228"/>
      <c r="O673" s="292"/>
      <c r="P673" s="261"/>
      <c r="Q673" s="261"/>
      <c r="R673" s="293"/>
      <c r="S673" s="228"/>
      <c r="T673" s="292"/>
      <c r="U673" s="261"/>
      <c r="V673" s="261"/>
      <c r="W673" s="293"/>
      <c r="X673" s="228"/>
      <c r="Y673" s="292"/>
      <c r="Z673" s="261"/>
      <c r="AA673" s="261"/>
      <c r="AB673" s="293"/>
      <c r="AC673" s="228"/>
      <c r="AD673" s="292"/>
      <c r="AE673" s="261"/>
      <c r="AF673" s="261"/>
      <c r="AG673" s="293"/>
      <c r="AH673" s="228"/>
      <c r="AI673" s="292"/>
      <c r="AJ673" s="261"/>
      <c r="AK673" s="261"/>
      <c r="AL673" s="293"/>
      <c r="AM673" s="228"/>
      <c r="AN673" s="292"/>
      <c r="AO673" s="261"/>
      <c r="AP673" s="261"/>
      <c r="AQ673" s="293"/>
      <c r="AR673" s="228"/>
      <c r="AS673" s="292"/>
      <c r="AT673" s="261"/>
      <c r="AU673" s="261"/>
      <c r="AV673" s="293"/>
      <c r="AW673" s="228"/>
      <c r="AX673" s="292"/>
      <c r="AY673" s="261"/>
      <c r="AZ673" s="261"/>
      <c r="BA673" s="293"/>
      <c r="BB673" s="228"/>
      <c r="BC673" s="292"/>
      <c r="BD673" s="261"/>
      <c r="BE673" s="261"/>
      <c r="BF673" s="293"/>
      <c r="BG673" s="228"/>
      <c r="BH673" s="292"/>
      <c r="BI673" s="261"/>
      <c r="BJ673" s="261"/>
      <c r="BK673" s="293"/>
      <c r="BL673" s="228"/>
      <c r="BM673" s="292"/>
      <c r="BN673" s="261"/>
      <c r="BO673" s="261"/>
      <c r="BP673" s="293"/>
      <c r="BQ673" s="228"/>
      <c r="BR673" s="40"/>
      <c r="BS673" s="40"/>
      <c r="BT673" s="40"/>
      <c r="BU673" s="34"/>
      <c r="BV673" s="156"/>
      <c r="BW673" s="156"/>
      <c r="BX673" s="156"/>
      <c r="BY673" s="156"/>
      <c r="BZ673" s="156"/>
      <c r="CA673" s="156"/>
      <c r="CB673" s="156"/>
      <c r="CC673" s="156"/>
      <c r="CD673" s="156"/>
      <c r="CE673" s="156"/>
      <c r="CF673" s="156"/>
      <c r="CG673" s="40"/>
      <c r="CH673" s="40"/>
      <c r="CI673" s="40"/>
      <c r="CJ673" s="40"/>
      <c r="CK673" s="40"/>
      <c r="CL673" s="40"/>
      <c r="CM673" s="40"/>
      <c r="CN673" s="40"/>
      <c r="CO673" s="40"/>
      <c r="CP673" s="40"/>
      <c r="CQ673" s="40"/>
      <c r="CR673" s="40"/>
      <c r="CS673" s="40"/>
      <c r="CT673" s="823"/>
      <c r="CU673" s="232"/>
      <c r="CV673" s="232"/>
      <c r="CW673" s="232"/>
      <c r="CX673" s="232"/>
      <c r="CY673" s="232"/>
      <c r="CZ673" s="40"/>
      <c r="DA673" s="40"/>
      <c r="DB673" s="40"/>
      <c r="DC673" s="40"/>
      <c r="DD673" s="40"/>
      <c r="DE673" s="40"/>
      <c r="DF673" s="232"/>
      <c r="DG673" s="232"/>
      <c r="DH673" s="232"/>
      <c r="DI673" s="232"/>
      <c r="DJ673" s="232"/>
      <c r="DK673" s="232"/>
      <c r="DL673" s="232"/>
      <c r="DM673" s="232"/>
      <c r="DN673" s="232"/>
    </row>
    <row r="674" spans="1:118" s="232" customFormat="1">
      <c r="A674" s="40"/>
      <c r="B674" s="28"/>
      <c r="C674" s="895" t="s">
        <v>802</v>
      </c>
      <c r="D674" s="890" t="s">
        <v>510</v>
      </c>
      <c r="E674" s="896"/>
      <c r="F674" s="897"/>
      <c r="G674" s="897"/>
      <c r="H674" s="898"/>
      <c r="I674" s="1082">
        <f>I675*$I$671</f>
        <v>11212.5</v>
      </c>
      <c r="J674" s="896"/>
      <c r="K674" s="897"/>
      <c r="L674" s="897"/>
      <c r="M674" s="898"/>
      <c r="N674" s="45"/>
      <c r="O674" s="290"/>
      <c r="P674" s="260"/>
      <c r="Q674" s="260"/>
      <c r="R674" s="291"/>
      <c r="S674" s="45"/>
      <c r="T674" s="786"/>
      <c r="U674" s="784"/>
      <c r="V674" s="784"/>
      <c r="W674" s="785"/>
      <c r="X674" s="783"/>
      <c r="Y674" s="1427">
        <f>+I674</f>
        <v>11212.5</v>
      </c>
      <c r="Z674" s="244">
        <f t="shared" ref="Z674:AO674" si="952">+Y674+(Z288-Y288)</f>
        <v>11212.5</v>
      </c>
      <c r="AA674" s="244">
        <f t="shared" si="952"/>
        <v>11212.5</v>
      </c>
      <c r="AB674" s="309">
        <f t="shared" si="952"/>
        <v>11212.5</v>
      </c>
      <c r="AC674" s="783">
        <f t="shared" si="952"/>
        <v>11212.5</v>
      </c>
      <c r="AD674" s="308">
        <f t="shared" si="952"/>
        <v>11212.5</v>
      </c>
      <c r="AE674" s="244">
        <f t="shared" si="952"/>
        <v>11212.5</v>
      </c>
      <c r="AF674" s="244">
        <f t="shared" si="952"/>
        <v>11212.5</v>
      </c>
      <c r="AG674" s="309">
        <f t="shared" si="952"/>
        <v>11212.5</v>
      </c>
      <c r="AH674" s="783">
        <f t="shared" si="952"/>
        <v>11212.5</v>
      </c>
      <c r="AI674" s="308">
        <f t="shared" si="952"/>
        <v>11212.5</v>
      </c>
      <c r="AJ674" s="244">
        <f t="shared" si="952"/>
        <v>11212.5</v>
      </c>
      <c r="AK674" s="244">
        <f t="shared" si="952"/>
        <v>11212.5</v>
      </c>
      <c r="AL674" s="309">
        <f t="shared" si="952"/>
        <v>11212.5</v>
      </c>
      <c r="AM674" s="783">
        <f t="shared" si="952"/>
        <v>11212.5</v>
      </c>
      <c r="AN674" s="308">
        <f t="shared" si="952"/>
        <v>11212.5</v>
      </c>
      <c r="AO674" s="244">
        <f t="shared" si="952"/>
        <v>11212.5</v>
      </c>
      <c r="AP674" s="2148">
        <v>9975</v>
      </c>
      <c r="AQ674" s="309">
        <f>AP674</f>
        <v>9975</v>
      </c>
      <c r="AR674" s="783">
        <f>+AQ674+(AR288-AQ288)</f>
        <v>9975</v>
      </c>
      <c r="AS674" s="308">
        <f>AQ674</f>
        <v>9975</v>
      </c>
      <c r="AT674" s="244">
        <f>AS674</f>
        <v>9975</v>
      </c>
      <c r="AU674" s="244">
        <f>AT674</f>
        <v>9975</v>
      </c>
      <c r="AV674" s="309">
        <f>+AU674+(AV288-AU288)</f>
        <v>9975</v>
      </c>
      <c r="AW674" s="783">
        <f>+AV674+(AW288-AV288)</f>
        <v>9975</v>
      </c>
      <c r="AX674" s="2149">
        <f>AV674</f>
        <v>9975</v>
      </c>
      <c r="AY674" s="244">
        <f>+AX674+(AY288-AX288)</f>
        <v>9975</v>
      </c>
      <c r="AZ674" s="2092">
        <v>8625</v>
      </c>
      <c r="BA674" s="309">
        <f>+AZ674+(BA288-AZ288)</f>
        <v>8625</v>
      </c>
      <c r="BB674" s="783">
        <f>+BA674+(BB288-BA288)</f>
        <v>8625</v>
      </c>
      <c r="BC674" s="308">
        <f>+BB674+(BC288-BB288)</f>
        <v>8625</v>
      </c>
      <c r="BD674" s="244">
        <f>+BC674+(BD288-BC288)</f>
        <v>8625</v>
      </c>
      <c r="BE674" s="2092">
        <v>6925</v>
      </c>
      <c r="BF674" s="309">
        <f>+BE674+(BF288-BE288)</f>
        <v>6925</v>
      </c>
      <c r="BG674" s="783">
        <f>+BF674+(BG288-BF288)</f>
        <v>6925</v>
      </c>
      <c r="BH674" s="308">
        <f>+BG674+(BH288-BG288)</f>
        <v>6925</v>
      </c>
      <c r="BI674" s="244">
        <f>+BH674+(BI288-BH288)</f>
        <v>6925</v>
      </c>
      <c r="BJ674" s="2092">
        <v>8075</v>
      </c>
      <c r="BK674" s="309">
        <f t="shared" ref="BK674:BQ674" si="953">+BJ674+(BK288-BJ288)</f>
        <v>8075</v>
      </c>
      <c r="BL674" s="783">
        <f t="shared" si="953"/>
        <v>8075</v>
      </c>
      <c r="BM674" s="308">
        <f t="shared" si="953"/>
        <v>8075</v>
      </c>
      <c r="BN674" s="244">
        <f t="shared" si="953"/>
        <v>8075</v>
      </c>
      <c r="BO674" s="244">
        <f t="shared" si="953"/>
        <v>8075</v>
      </c>
      <c r="BP674" s="309">
        <f t="shared" si="953"/>
        <v>8075</v>
      </c>
      <c r="BQ674" s="783">
        <f t="shared" si="953"/>
        <v>8075</v>
      </c>
      <c r="BR674" s="40"/>
      <c r="BS674" s="40"/>
      <c r="BT674" s="40"/>
      <c r="BV674" s="156"/>
      <c r="BW674" s="156"/>
      <c r="BX674" s="156"/>
      <c r="BY674" s="156"/>
      <c r="BZ674" s="156"/>
      <c r="CA674" s="156"/>
      <c r="CB674" s="156"/>
      <c r="CC674" s="156"/>
      <c r="CD674" s="40"/>
      <c r="CE674" s="40"/>
      <c r="CF674" s="40"/>
      <c r="CG674" s="40"/>
      <c r="CH674" s="40"/>
      <c r="CI674" s="40"/>
      <c r="CJ674" s="40"/>
      <c r="CK674" s="40"/>
      <c r="CL674" s="40"/>
      <c r="CM674" s="40"/>
      <c r="CN674" s="40"/>
      <c r="CO674" s="40"/>
      <c r="CP674" s="40"/>
      <c r="CQ674" s="40"/>
      <c r="CR674" s="40"/>
      <c r="CS674" s="40"/>
      <c r="CT674" s="994"/>
      <c r="CZ674" s="40"/>
      <c r="DA674" s="40"/>
      <c r="DB674" s="40"/>
      <c r="DC674" s="40"/>
      <c r="DD674" s="40"/>
      <c r="DE674" s="40"/>
    </row>
    <row r="675" spans="1:118">
      <c r="A675" s="40"/>
      <c r="B675" s="32"/>
      <c r="C675" s="28" t="s">
        <v>394</v>
      </c>
      <c r="D675" s="890" t="s">
        <v>509</v>
      </c>
      <c r="E675" s="896"/>
      <c r="F675" s="897"/>
      <c r="G675" s="897"/>
      <c r="H675" s="898"/>
      <c r="I675" s="228">
        <v>11500</v>
      </c>
      <c r="J675" s="292"/>
      <c r="K675" s="897"/>
      <c r="L675" s="897"/>
      <c r="M675" s="898"/>
      <c r="N675" s="228"/>
      <c r="O675" s="292"/>
      <c r="P675" s="261"/>
      <c r="Q675" s="261"/>
      <c r="R675" s="293"/>
      <c r="S675" s="228"/>
      <c r="T675" s="910"/>
      <c r="U675" s="911"/>
      <c r="V675" s="911"/>
      <c r="W675" s="912"/>
      <c r="X675" s="913"/>
      <c r="Y675" s="455">
        <f t="shared" ref="Y675:BL675" si="954">Y127</f>
        <v>16.46</v>
      </c>
      <c r="Z675" s="456">
        <f t="shared" si="954"/>
        <v>20.216666666666669</v>
      </c>
      <c r="AA675" s="456">
        <f t="shared" si="954"/>
        <v>27.73</v>
      </c>
      <c r="AB675" s="457">
        <f t="shared" si="954"/>
        <v>27.73</v>
      </c>
      <c r="AC675" s="913">
        <f t="shared" si="954"/>
        <v>23.034166666666668</v>
      </c>
      <c r="AD675" s="455">
        <f t="shared" si="954"/>
        <v>27.73</v>
      </c>
      <c r="AE675" s="456">
        <f t="shared" si="954"/>
        <v>60.483333333333327</v>
      </c>
      <c r="AF675" s="456">
        <f t="shared" si="954"/>
        <v>125.99</v>
      </c>
      <c r="AG675" s="457">
        <f t="shared" si="954"/>
        <v>125.99</v>
      </c>
      <c r="AH675" s="913">
        <f t="shared" si="954"/>
        <v>85.048333333333332</v>
      </c>
      <c r="AI675" s="455">
        <f t="shared" si="954"/>
        <v>125.99</v>
      </c>
      <c r="AJ675" s="456">
        <f t="shared" si="954"/>
        <v>129.32666666666668</v>
      </c>
      <c r="AK675" s="456">
        <f t="shared" si="954"/>
        <v>136</v>
      </c>
      <c r="AL675" s="457">
        <f t="shared" si="954"/>
        <v>136</v>
      </c>
      <c r="AM675" s="913">
        <f t="shared" si="954"/>
        <v>131.82916666666665</v>
      </c>
      <c r="AN675" s="455">
        <f t="shared" si="954"/>
        <v>136</v>
      </c>
      <c r="AO675" s="456">
        <f t="shared" si="954"/>
        <v>110.45666666666666</v>
      </c>
      <c r="AP675" s="456">
        <f t="shared" si="954"/>
        <v>59.37</v>
      </c>
      <c r="AQ675" s="457">
        <f t="shared" si="954"/>
        <v>59.37</v>
      </c>
      <c r="AR675" s="913">
        <f t="shared" si="954"/>
        <v>91.299166666666665</v>
      </c>
      <c r="AS675" s="455">
        <f t="shared" si="954"/>
        <v>59.37</v>
      </c>
      <c r="AT675" s="456">
        <f t="shared" si="954"/>
        <v>79.58</v>
      </c>
      <c r="AU675" s="456">
        <f t="shared" si="954"/>
        <v>120</v>
      </c>
      <c r="AV675" s="457">
        <f t="shared" si="954"/>
        <v>120</v>
      </c>
      <c r="AW675" s="913">
        <f t="shared" si="954"/>
        <v>94.737499999999997</v>
      </c>
      <c r="AX675" s="455">
        <f t="shared" si="954"/>
        <v>120</v>
      </c>
      <c r="AY675" s="456">
        <f t="shared" si="954"/>
        <v>151.66666666666666</v>
      </c>
      <c r="AZ675" s="456">
        <f t="shared" si="954"/>
        <v>215</v>
      </c>
      <c r="BA675" s="457">
        <f t="shared" si="954"/>
        <v>215</v>
      </c>
      <c r="BB675" s="913">
        <f t="shared" si="954"/>
        <v>175.41666666666666</v>
      </c>
      <c r="BC675" s="455">
        <f t="shared" si="954"/>
        <v>215</v>
      </c>
      <c r="BD675" s="456">
        <f t="shared" si="954"/>
        <v>210.92333333333332</v>
      </c>
      <c r="BE675" s="456">
        <f t="shared" si="954"/>
        <v>202.77</v>
      </c>
      <c r="BF675" s="457">
        <f t="shared" si="954"/>
        <v>202.77</v>
      </c>
      <c r="BG675" s="913">
        <f t="shared" si="954"/>
        <v>207.86583333333331</v>
      </c>
      <c r="BH675" s="455">
        <f t="shared" si="954"/>
        <v>202.77</v>
      </c>
      <c r="BI675" s="456">
        <f t="shared" si="954"/>
        <v>202.77</v>
      </c>
      <c r="BJ675" s="456">
        <f t="shared" si="954"/>
        <v>188.12</v>
      </c>
      <c r="BK675" s="457">
        <f t="shared" si="954"/>
        <v>188.12</v>
      </c>
      <c r="BL675" s="913">
        <f t="shared" si="954"/>
        <v>195.44500000000002</v>
      </c>
      <c r="BM675" s="455">
        <f t="shared" ref="BM675:BQ675" si="955">BM127</f>
        <v>160</v>
      </c>
      <c r="BN675" s="456">
        <f t="shared" si="955"/>
        <v>160</v>
      </c>
      <c r="BO675" s="456">
        <f t="shared" si="955"/>
        <v>160</v>
      </c>
      <c r="BP675" s="457">
        <f t="shared" si="955"/>
        <v>160</v>
      </c>
      <c r="BQ675" s="913">
        <f t="shared" si="955"/>
        <v>160</v>
      </c>
      <c r="BR675" s="40"/>
      <c r="BS675" s="40"/>
      <c r="BT675" s="40"/>
      <c r="BU675" s="232"/>
      <c r="BV675" s="40"/>
      <c r="BW675" s="40"/>
      <c r="BX675" s="40"/>
      <c r="BY675" s="40"/>
      <c r="BZ675" s="40"/>
      <c r="CA675" s="40"/>
      <c r="CB675" s="40"/>
      <c r="CC675" s="40"/>
      <c r="CD675" s="40"/>
      <c r="CE675" s="40"/>
      <c r="CF675" s="40"/>
      <c r="CG675" s="40"/>
      <c r="CH675" s="40"/>
      <c r="CI675" s="40"/>
      <c r="CJ675" s="40"/>
      <c r="CK675" s="40"/>
      <c r="CL675" s="40"/>
      <c r="CM675" s="40"/>
      <c r="CN675" s="40"/>
      <c r="CO675" s="40"/>
      <c r="CP675" s="40"/>
      <c r="CQ675" s="40"/>
      <c r="CR675" s="40"/>
      <c r="CS675" s="40"/>
      <c r="CT675" s="823"/>
      <c r="CU675" s="232"/>
      <c r="CV675" s="232"/>
      <c r="CW675" s="232"/>
      <c r="CX675" s="232"/>
      <c r="CY675" s="232"/>
      <c r="CZ675" s="40"/>
      <c r="DA675" s="40"/>
      <c r="DB675" s="40"/>
      <c r="DC675" s="40"/>
      <c r="DD675" s="40"/>
      <c r="DE675" s="40"/>
      <c r="DF675" s="232"/>
      <c r="DG675" s="232"/>
      <c r="DH675" s="232"/>
      <c r="DI675" s="232"/>
      <c r="DJ675" s="232"/>
      <c r="DK675" s="232"/>
      <c r="DL675" s="232"/>
      <c r="DM675" s="232"/>
      <c r="DN675" s="232"/>
    </row>
    <row r="676" spans="1:118" s="34" customFormat="1">
      <c r="A676" s="156"/>
      <c r="B676" s="32"/>
      <c r="C676" s="32" t="s">
        <v>798</v>
      </c>
      <c r="D676" s="909"/>
      <c r="E676" s="891"/>
      <c r="F676" s="892"/>
      <c r="G676" s="892"/>
      <c r="H676" s="893"/>
      <c r="I676" s="228"/>
      <c r="J676" s="292"/>
      <c r="K676" s="892"/>
      <c r="L676" s="892"/>
      <c r="M676" s="893"/>
      <c r="N676" s="228"/>
      <c r="O676" s="292"/>
      <c r="P676" s="261"/>
      <c r="Q676" s="261"/>
      <c r="R676" s="293"/>
      <c r="S676" s="228"/>
      <c r="T676" s="788"/>
      <c r="U676" s="789"/>
      <c r="V676" s="789"/>
      <c r="W676" s="790"/>
      <c r="X676" s="228"/>
      <c r="Y676" s="788">
        <f>Y674*Y675*365/1000000/4</f>
        <v>16.840894687500001</v>
      </c>
      <c r="Z676" s="789">
        <f>Z674*Z675*365/1000000/4</f>
        <v>20.684492968750003</v>
      </c>
      <c r="AA676" s="789">
        <f>AA674*AA675*365/1000000/4</f>
        <v>28.371689531249999</v>
      </c>
      <c r="AB676" s="790">
        <f>AB674*AB675*365/1000000/4</f>
        <v>28.371689531249999</v>
      </c>
      <c r="AC676" s="228">
        <f>SUM(Y676:AB676)</f>
        <v>94.268766718750001</v>
      </c>
      <c r="AD676" s="788">
        <f>AD674*AD675*365/1000000/4</f>
        <v>28.371689531249999</v>
      </c>
      <c r="AE676" s="789">
        <f>AE674*AE675*365/1000000/4</f>
        <v>61.882955468749991</v>
      </c>
      <c r="AF676" s="789">
        <f>AF674*AF675*365/1000000/4</f>
        <v>128.90548734375</v>
      </c>
      <c r="AG676" s="790">
        <f>AG674*AG675*365/1000000/4</f>
        <v>128.90548734375</v>
      </c>
      <c r="AH676" s="228">
        <f>SUM(AD676:AG676)</f>
        <v>348.06561968749998</v>
      </c>
      <c r="AI676" s="788">
        <f>AI674*AI675*365/1000000/4</f>
        <v>128.90548734375</v>
      </c>
      <c r="AJ676" s="789">
        <f>AJ674*AJ675*365/1000000/4</f>
        <v>132.31936656250002</v>
      </c>
      <c r="AK676" s="789">
        <f>AK674*AK675*365/1000000/4</f>
        <v>139.14712499999999</v>
      </c>
      <c r="AL676" s="790">
        <f>AL674*AL675*365/1000000/4</f>
        <v>139.14712499999999</v>
      </c>
      <c r="AM676" s="228">
        <f>SUM(AI676:AL676)</f>
        <v>539.51910390624994</v>
      </c>
      <c r="AN676" s="788">
        <f>AN674*AN675*365/1000000/4</f>
        <v>139.14712499999999</v>
      </c>
      <c r="AO676" s="789">
        <f>AO674*AO675*365/1000000/4</f>
        <v>113.01270296875001</v>
      </c>
      <c r="AP676" s="789">
        <f>AP674*AP675*365/1000000/4</f>
        <v>54.0396871875</v>
      </c>
      <c r="AQ676" s="790">
        <f>AQ674*AQ675*365/1000000/4</f>
        <v>54.0396871875</v>
      </c>
      <c r="AR676" s="228">
        <f>SUM(AN676:AQ676)</f>
        <v>360.23920234375004</v>
      </c>
      <c r="AS676" s="788">
        <f>AS674*AS675*365/1000000/4</f>
        <v>54.0396871875</v>
      </c>
      <c r="AT676" s="789">
        <f>AT674*AT675*365/1000000/4</f>
        <v>72.435208125000003</v>
      </c>
      <c r="AU676" s="789">
        <f>AU674*AU675*365/1000000/4</f>
        <v>109.22624999999999</v>
      </c>
      <c r="AV676" s="790">
        <f>AV674*AV675*365/1000000/4</f>
        <v>109.22624999999999</v>
      </c>
      <c r="AW676" s="228">
        <f>SUM(AS676:AV676)</f>
        <v>344.92739531249998</v>
      </c>
      <c r="AX676" s="788">
        <f>AX674*AX675*365/1000000/4</f>
        <v>109.22624999999999</v>
      </c>
      <c r="AY676" s="789">
        <f>AY674*AY675*365/1000000/4</f>
        <v>138.04984375000001</v>
      </c>
      <c r="AZ676" s="789">
        <f>AZ674*AZ675*365/1000000/4</f>
        <v>169.21171874999999</v>
      </c>
      <c r="BA676" s="790">
        <f>BA674*BA675*365/1000000/4</f>
        <v>169.21171874999999</v>
      </c>
      <c r="BB676" s="228">
        <f>SUM(AX676:BA676)</f>
        <v>585.69953125000006</v>
      </c>
      <c r="BC676" s="788">
        <f>BC674*BC675*365/1000000/4</f>
        <v>169.21171874999999</v>
      </c>
      <c r="BD676" s="789">
        <f>BD674*BD675*365/1000000/4</f>
        <v>166.00325468749998</v>
      </c>
      <c r="BE676" s="789">
        <f>BE674*BE675*365/1000000/4</f>
        <v>128.13163031249999</v>
      </c>
      <c r="BF676" s="790">
        <f>BF674*BF675*365/1000000/4</f>
        <v>128.13163031249999</v>
      </c>
      <c r="BG676" s="228">
        <f>SUM(BC676:BF676)</f>
        <v>591.47823406249995</v>
      </c>
      <c r="BH676" s="788">
        <f>BH674*BH675*365/1000000/4</f>
        <v>128.13163031249999</v>
      </c>
      <c r="BI676" s="789">
        <f>BI674*BI675*365/1000000/4</f>
        <v>128.13163031249999</v>
      </c>
      <c r="BJ676" s="789">
        <f>BJ674*BJ675*365/1000000/4</f>
        <v>138.61504625000001</v>
      </c>
      <c r="BK676" s="790">
        <f>BK674*BK675*365/1000000/4</f>
        <v>138.61504625000001</v>
      </c>
      <c r="BL676" s="228">
        <f>SUM(BH676:BK676)</f>
        <v>533.493353125</v>
      </c>
      <c r="BM676" s="788">
        <f>BM674*BM675*365/1000000/4</f>
        <v>117.895</v>
      </c>
      <c r="BN676" s="789">
        <f>BN674*BN675*365/1000000/4</f>
        <v>117.895</v>
      </c>
      <c r="BO676" s="789">
        <f>BO674*BO675*365/1000000/4</f>
        <v>117.895</v>
      </c>
      <c r="BP676" s="790">
        <f>BP674*BP675*365/1000000/4</f>
        <v>117.895</v>
      </c>
      <c r="BQ676" s="228">
        <f>SUM(BM676:BP676)</f>
        <v>471.58</v>
      </c>
      <c r="BR676" s="40"/>
      <c r="BS676" s="40"/>
      <c r="BT676" s="156"/>
      <c r="BU676" s="232"/>
      <c r="BV676" s="40"/>
      <c r="BW676" s="40"/>
      <c r="BX676" s="40"/>
      <c r="BY676" s="40"/>
      <c r="BZ676" s="40"/>
      <c r="CA676" s="40"/>
      <c r="CB676" s="40"/>
      <c r="CC676" s="40"/>
      <c r="CD676" s="40"/>
      <c r="CE676" s="40"/>
      <c r="CF676" s="40"/>
      <c r="CG676" s="156"/>
      <c r="CH676" s="156"/>
      <c r="CI676" s="156"/>
      <c r="CJ676" s="156"/>
      <c r="CK676" s="156"/>
      <c r="CL676" s="156"/>
      <c r="CM676" s="156"/>
      <c r="CN676" s="156"/>
      <c r="CO676" s="156"/>
      <c r="CP676" s="156"/>
      <c r="CQ676" s="156"/>
      <c r="CR676" s="156"/>
      <c r="CS676" s="156"/>
      <c r="CT676" s="954"/>
      <c r="CZ676" s="156"/>
      <c r="DA676" s="156"/>
      <c r="DB676" s="156"/>
      <c r="DC676" s="156"/>
      <c r="DD676" s="156"/>
      <c r="DE676" s="156"/>
    </row>
    <row r="677" spans="1:118">
      <c r="A677" s="40"/>
      <c r="B677" s="32"/>
      <c r="C677" s="28"/>
      <c r="D677" s="895"/>
      <c r="E677" s="896"/>
      <c r="F677" s="897"/>
      <c r="G677" s="897"/>
      <c r="H677" s="898"/>
      <c r="I677" s="228"/>
      <c r="J677" s="292"/>
      <c r="K677" s="897"/>
      <c r="L677" s="897"/>
      <c r="M677" s="898"/>
      <c r="N677" s="228"/>
      <c r="O677" s="292"/>
      <c r="P677" s="261"/>
      <c r="Q677" s="261"/>
      <c r="R677" s="293"/>
      <c r="S677" s="228"/>
      <c r="T677" s="786"/>
      <c r="U677" s="784"/>
      <c r="V677" s="784"/>
      <c r="W677" s="785"/>
      <c r="X677" s="783"/>
      <c r="Y677" s="308"/>
      <c r="Z677" s="244"/>
      <c r="AA677" s="244"/>
      <c r="AB677" s="309"/>
      <c r="AC677" s="783"/>
      <c r="AD677" s="308"/>
      <c r="AE677" s="244"/>
      <c r="AF677" s="244"/>
      <c r="AG677" s="309"/>
      <c r="AH677" s="783"/>
      <c r="AI677" s="308"/>
      <c r="AJ677" s="244"/>
      <c r="AK677" s="244"/>
      <c r="AL677" s="309"/>
      <c r="AM677" s="783"/>
      <c r="AN677" s="308"/>
      <c r="AO677" s="244"/>
      <c r="AP677" s="244"/>
      <c r="AQ677" s="309"/>
      <c r="AR677" s="783"/>
      <c r="AS677" s="308"/>
      <c r="AT677" s="244"/>
      <c r="AU677" s="244"/>
      <c r="AV677" s="309"/>
      <c r="AW677" s="783"/>
      <c r="AX677" s="308"/>
      <c r="AY677" s="244"/>
      <c r="AZ677" s="244"/>
      <c r="BA677" s="309"/>
      <c r="BB677" s="783"/>
      <c r="BC677" s="308"/>
      <c r="BD677" s="244"/>
      <c r="BE677" s="244"/>
      <c r="BF677" s="309"/>
      <c r="BG677" s="783"/>
      <c r="BH677" s="308"/>
      <c r="BI677" s="244"/>
      <c r="BJ677" s="244"/>
      <c r="BK677" s="309"/>
      <c r="BL677" s="783"/>
      <c r="BM677" s="308"/>
      <c r="BN677" s="244"/>
      <c r="BO677" s="244"/>
      <c r="BP677" s="309"/>
      <c r="BQ677" s="783"/>
      <c r="BR677" s="156"/>
      <c r="BS677" s="156"/>
      <c r="BT677" s="40"/>
      <c r="BU677" s="232"/>
      <c r="BV677" s="40"/>
      <c r="BW677" s="40"/>
      <c r="BX677" s="40"/>
      <c r="BY677" s="40"/>
      <c r="BZ677" s="40"/>
      <c r="CA677" s="40"/>
      <c r="CB677" s="40"/>
      <c r="CC677" s="40"/>
      <c r="CD677" s="40"/>
      <c r="CE677" s="40"/>
      <c r="CF677" s="40"/>
      <c r="CG677" s="40"/>
      <c r="CH677" s="40"/>
      <c r="CI677" s="40"/>
      <c r="CJ677" s="40"/>
      <c r="CK677" s="40"/>
      <c r="CL677" s="40"/>
      <c r="CM677" s="40"/>
      <c r="CN677" s="40"/>
      <c r="CO677" s="40"/>
      <c r="CP677" s="40"/>
      <c r="CQ677" s="40"/>
      <c r="CR677" s="40"/>
      <c r="CS677" s="40"/>
      <c r="CT677" s="823"/>
      <c r="CU677" s="232"/>
      <c r="CV677" s="232"/>
      <c r="CW677" s="232"/>
      <c r="CX677" s="232"/>
      <c r="CY677" s="232"/>
      <c r="CZ677" s="40"/>
      <c r="DA677" s="40"/>
      <c r="DB677" s="40"/>
      <c r="DC677" s="40"/>
      <c r="DD677" s="40"/>
      <c r="DE677" s="40"/>
      <c r="DF677" s="232"/>
      <c r="DG677" s="232"/>
      <c r="DH677" s="232"/>
      <c r="DI677" s="232"/>
      <c r="DJ677" s="232"/>
      <c r="DK677" s="232"/>
      <c r="DL677" s="232"/>
      <c r="DM677" s="232"/>
      <c r="DN677" s="232"/>
    </row>
    <row r="678" spans="1:118">
      <c r="A678" s="40"/>
      <c r="B678" s="32"/>
      <c r="C678" s="889" t="s">
        <v>407</v>
      </c>
      <c r="D678" s="895"/>
      <c r="E678" s="896"/>
      <c r="F678" s="897"/>
      <c r="G678" s="897"/>
      <c r="H678" s="898"/>
      <c r="I678" s="228"/>
      <c r="J678" s="292"/>
      <c r="K678" s="897"/>
      <c r="L678" s="897"/>
      <c r="M678" s="898"/>
      <c r="N678" s="228"/>
      <c r="O678" s="292"/>
      <c r="P678" s="261"/>
      <c r="Q678" s="261"/>
      <c r="R678" s="293"/>
      <c r="S678" s="228"/>
      <c r="T678" s="786"/>
      <c r="U678" s="784"/>
      <c r="V678" s="784"/>
      <c r="W678" s="785"/>
      <c r="X678" s="783"/>
      <c r="Y678" s="308"/>
      <c r="Z678" s="244"/>
      <c r="AA678" s="244"/>
      <c r="AB678" s="309"/>
      <c r="AC678" s="783"/>
      <c r="AD678" s="308"/>
      <c r="AE678" s="244"/>
      <c r="AF678" s="244"/>
      <c r="AG678" s="309"/>
      <c r="AH678" s="783"/>
      <c r="AI678" s="308"/>
      <c r="AJ678" s="244"/>
      <c r="AK678" s="244"/>
      <c r="AL678" s="309"/>
      <c r="AM678" s="783"/>
      <c r="AN678" s="308"/>
      <c r="AO678" s="244"/>
      <c r="AP678" s="244"/>
      <c r="AQ678" s="309"/>
      <c r="AR678" s="783"/>
      <c r="AS678" s="308"/>
      <c r="AT678" s="244"/>
      <c r="AU678" s="244"/>
      <c r="AV678" s="309"/>
      <c r="AW678" s="783"/>
      <c r="AX678" s="308"/>
      <c r="AY678" s="244"/>
      <c r="AZ678" s="244"/>
      <c r="BA678" s="309"/>
      <c r="BB678" s="783"/>
      <c r="BC678" s="308"/>
      <c r="BD678" s="244"/>
      <c r="BE678" s="244"/>
      <c r="BF678" s="309"/>
      <c r="BG678" s="783"/>
      <c r="BH678" s="308"/>
      <c r="BI678" s="244"/>
      <c r="BJ678" s="244"/>
      <c r="BK678" s="309"/>
      <c r="BL678" s="783"/>
      <c r="BM678" s="308"/>
      <c r="BN678" s="244"/>
      <c r="BO678" s="244"/>
      <c r="BP678" s="309"/>
      <c r="BQ678" s="783"/>
      <c r="BR678" s="40"/>
      <c r="BS678" s="40"/>
      <c r="BT678" s="40"/>
      <c r="BU678" s="34"/>
      <c r="BV678" s="156"/>
      <c r="BW678" s="156"/>
      <c r="BX678" s="156"/>
      <c r="BY678" s="156"/>
      <c r="BZ678" s="156"/>
      <c r="CA678" s="156"/>
      <c r="CB678" s="156"/>
      <c r="CC678" s="156"/>
      <c r="CD678" s="156"/>
      <c r="CE678" s="156"/>
      <c r="CF678" s="156"/>
      <c r="CG678" s="40"/>
      <c r="CH678" s="40"/>
      <c r="CI678" s="40"/>
      <c r="CJ678" s="40"/>
      <c r="CK678" s="40"/>
      <c r="CL678" s="40"/>
      <c r="CM678" s="40"/>
      <c r="CN678" s="40"/>
      <c r="CO678" s="40"/>
      <c r="CP678" s="40"/>
      <c r="CQ678" s="40"/>
      <c r="CR678" s="40"/>
      <c r="CS678" s="40"/>
      <c r="CT678" s="823"/>
      <c r="CU678" s="232"/>
      <c r="CV678" s="232"/>
      <c r="CW678" s="232"/>
      <c r="CX678" s="232"/>
      <c r="CY678" s="232"/>
      <c r="CZ678" s="40"/>
      <c r="DA678" s="40"/>
      <c r="DB678" s="40"/>
      <c r="DC678" s="40"/>
      <c r="DD678" s="40"/>
      <c r="DE678" s="40"/>
      <c r="DF678" s="232"/>
      <c r="DG678" s="232"/>
      <c r="DH678" s="232"/>
      <c r="DI678" s="232"/>
      <c r="DJ678" s="232"/>
      <c r="DK678" s="232"/>
      <c r="DL678" s="232"/>
      <c r="DM678" s="232"/>
      <c r="DN678" s="232"/>
    </row>
    <row r="679" spans="1:118">
      <c r="A679" s="40"/>
      <c r="B679" s="28"/>
      <c r="C679" s="895" t="s">
        <v>802</v>
      </c>
      <c r="D679" s="890" t="s">
        <v>510</v>
      </c>
      <c r="E679" s="896"/>
      <c r="F679" s="897"/>
      <c r="G679" s="897"/>
      <c r="H679" s="898"/>
      <c r="I679" s="1082">
        <f>I680*$I$672</f>
        <v>8645</v>
      </c>
      <c r="J679" s="897"/>
      <c r="K679" s="897"/>
      <c r="L679" s="897"/>
      <c r="M679" s="898"/>
      <c r="N679" s="45"/>
      <c r="O679" s="290"/>
      <c r="P679" s="260"/>
      <c r="Q679" s="260"/>
      <c r="R679" s="291"/>
      <c r="S679" s="45"/>
      <c r="T679" s="786"/>
      <c r="U679" s="784"/>
      <c r="V679" s="784"/>
      <c r="W679" s="785"/>
      <c r="X679" s="783"/>
      <c r="Y679" s="1427">
        <f>+I679</f>
        <v>8645</v>
      </c>
      <c r="Z679" s="244">
        <f t="shared" ref="Z679:AT679" si="956">+Y679+(Z275-Y275)</f>
        <v>8645</v>
      </c>
      <c r="AA679" s="244">
        <f t="shared" si="956"/>
        <v>8645</v>
      </c>
      <c r="AB679" s="309">
        <f t="shared" si="956"/>
        <v>8645</v>
      </c>
      <c r="AC679" s="783">
        <f t="shared" si="956"/>
        <v>8645</v>
      </c>
      <c r="AD679" s="308">
        <f t="shared" si="956"/>
        <v>8645</v>
      </c>
      <c r="AE679" s="244">
        <f t="shared" si="956"/>
        <v>8645</v>
      </c>
      <c r="AF679" s="244">
        <f t="shared" si="956"/>
        <v>8645</v>
      </c>
      <c r="AG679" s="309">
        <f t="shared" si="956"/>
        <v>8645</v>
      </c>
      <c r="AH679" s="783">
        <f t="shared" si="956"/>
        <v>8645</v>
      </c>
      <c r="AI679" s="308">
        <f t="shared" si="956"/>
        <v>8710</v>
      </c>
      <c r="AJ679" s="244">
        <f t="shared" si="956"/>
        <v>8710</v>
      </c>
      <c r="AK679" s="244">
        <f t="shared" si="956"/>
        <v>8710</v>
      </c>
      <c r="AL679" s="309">
        <f t="shared" si="956"/>
        <v>8710</v>
      </c>
      <c r="AM679" s="783">
        <f t="shared" si="956"/>
        <v>8710</v>
      </c>
      <c r="AN679" s="308">
        <f t="shared" si="956"/>
        <v>8775</v>
      </c>
      <c r="AO679" s="244">
        <f t="shared" si="956"/>
        <v>8775</v>
      </c>
      <c r="AP679" s="244">
        <f t="shared" si="956"/>
        <v>8775</v>
      </c>
      <c r="AQ679" s="309">
        <f t="shared" si="956"/>
        <v>8775</v>
      </c>
      <c r="AR679" s="783">
        <f t="shared" si="956"/>
        <v>8775</v>
      </c>
      <c r="AS679" s="308">
        <f t="shared" si="956"/>
        <v>8775</v>
      </c>
      <c r="AT679" s="244">
        <f t="shared" si="956"/>
        <v>8775</v>
      </c>
      <c r="AU679" s="2092">
        <f>+AT679+(AU275-AT275)-600</f>
        <v>8175</v>
      </c>
      <c r="AV679" s="309">
        <f>+AU679+(AV275-AU275)</f>
        <v>8175</v>
      </c>
      <c r="AW679" s="783">
        <f>+AV679+(AW275-AV275)</f>
        <v>8175</v>
      </c>
      <c r="AX679" s="308">
        <f>+AW679+(AX275-AW275)</f>
        <v>8175</v>
      </c>
      <c r="AY679" s="244">
        <f>+AX679+(AY275-AX275)</f>
        <v>8175</v>
      </c>
      <c r="AZ679" s="2092">
        <v>6400</v>
      </c>
      <c r="BA679" s="309">
        <f>+AZ679+(BA275-AZ275)</f>
        <v>5775</v>
      </c>
      <c r="BB679" s="783">
        <f>+BA679+(BB275-BA275)</f>
        <v>5775</v>
      </c>
      <c r="BC679" s="308">
        <f>+BB679+(BC275-BB275)</f>
        <v>5775</v>
      </c>
      <c r="BD679" s="244">
        <f>+BC679+(BD275-BC275)</f>
        <v>5775</v>
      </c>
      <c r="BE679" s="2092">
        <v>5900</v>
      </c>
      <c r="BF679" s="309">
        <f>BE679</f>
        <v>5900</v>
      </c>
      <c r="BG679" s="783">
        <f>+BF679+(BG275-BF275)</f>
        <v>5900</v>
      </c>
      <c r="BH679" s="308">
        <f>BG679</f>
        <v>5900</v>
      </c>
      <c r="BI679" s="244">
        <f>BH679</f>
        <v>5900</v>
      </c>
      <c r="BJ679" s="2092">
        <v>6675</v>
      </c>
      <c r="BK679" s="309">
        <f>BJ679</f>
        <v>6675</v>
      </c>
      <c r="BL679" s="783">
        <f>BK679</f>
        <v>6675</v>
      </c>
      <c r="BM679" s="308">
        <f t="shared" ref="BM679:BQ679" si="957">BL679</f>
        <v>6675</v>
      </c>
      <c r="BN679" s="244">
        <f t="shared" si="957"/>
        <v>6675</v>
      </c>
      <c r="BO679" s="244">
        <f t="shared" si="957"/>
        <v>6675</v>
      </c>
      <c r="BP679" s="309">
        <f t="shared" si="957"/>
        <v>6675</v>
      </c>
      <c r="BQ679" s="783">
        <f t="shared" si="957"/>
        <v>6675</v>
      </c>
      <c r="BR679" s="40"/>
      <c r="BS679" s="40"/>
      <c r="BT679" s="40"/>
      <c r="BU679" s="232"/>
      <c r="BV679" s="156"/>
      <c r="BW679" s="156"/>
      <c r="BX679" s="156"/>
      <c r="BY679" s="156"/>
      <c r="BZ679" s="156"/>
      <c r="CA679" s="156"/>
      <c r="CB679" s="156"/>
      <c r="CC679" s="156"/>
      <c r="CD679" s="40"/>
      <c r="CE679" s="40"/>
      <c r="CF679" s="40"/>
      <c r="CG679" s="40"/>
      <c r="CH679" s="40"/>
      <c r="CI679" s="40"/>
      <c r="CJ679" s="40"/>
      <c r="CK679" s="40"/>
      <c r="CL679" s="40"/>
      <c r="CM679" s="40"/>
      <c r="CN679" s="40"/>
      <c r="CO679" s="40"/>
      <c r="CP679" s="40"/>
      <c r="CQ679" s="40"/>
      <c r="CR679" s="40"/>
      <c r="CS679" s="40"/>
      <c r="CT679" s="823"/>
      <c r="CU679" s="232"/>
      <c r="CV679" s="232"/>
      <c r="CW679" s="232"/>
      <c r="CX679" s="232"/>
      <c r="CY679" s="232"/>
      <c r="CZ679" s="40"/>
      <c r="DA679" s="40"/>
      <c r="DB679" s="40"/>
      <c r="DC679" s="40"/>
      <c r="DD679" s="40"/>
      <c r="DE679" s="40"/>
      <c r="DF679" s="232"/>
      <c r="DG679" s="232"/>
      <c r="DH679" s="232"/>
      <c r="DI679" s="232"/>
      <c r="DJ679" s="232"/>
      <c r="DK679" s="232"/>
      <c r="DL679" s="232"/>
      <c r="DM679" s="232"/>
      <c r="DN679" s="232"/>
    </row>
    <row r="680" spans="1:118">
      <c r="A680" s="45"/>
      <c r="B680" s="32"/>
      <c r="C680" s="28" t="s">
        <v>394</v>
      </c>
      <c r="D680" s="890" t="s">
        <v>509</v>
      </c>
      <c r="E680" s="896"/>
      <c r="F680" s="897"/>
      <c r="G680" s="897"/>
      <c r="H680" s="898"/>
      <c r="I680" s="228">
        <v>9100</v>
      </c>
      <c r="J680" s="292"/>
      <c r="K680" s="897"/>
      <c r="L680" s="897"/>
      <c r="M680" s="898"/>
      <c r="N680" s="228"/>
      <c r="O680" s="292"/>
      <c r="P680" s="261"/>
      <c r="Q680" s="261"/>
      <c r="R680" s="293"/>
      <c r="S680" s="228"/>
      <c r="T680" s="910"/>
      <c r="U680" s="911"/>
      <c r="V680" s="911"/>
      <c r="W680" s="912"/>
      <c r="X680" s="913"/>
      <c r="Y680" s="455">
        <f t="shared" ref="Y680:BL680" si="958">Y124</f>
        <v>139.72999999999999</v>
      </c>
      <c r="Z680" s="456">
        <f t="shared" si="958"/>
        <v>174.82</v>
      </c>
      <c r="AA680" s="456">
        <f t="shared" si="958"/>
        <v>245</v>
      </c>
      <c r="AB680" s="457">
        <f t="shared" si="958"/>
        <v>245</v>
      </c>
      <c r="AC680" s="913">
        <f t="shared" si="958"/>
        <v>201.13749999999999</v>
      </c>
      <c r="AD680" s="455">
        <f t="shared" si="958"/>
        <v>245</v>
      </c>
      <c r="AE680" s="456">
        <f t="shared" si="958"/>
        <v>136.5</v>
      </c>
      <c r="AF680" s="456">
        <f t="shared" si="958"/>
        <v>136.5</v>
      </c>
      <c r="AG680" s="457">
        <f t="shared" si="958"/>
        <v>136.5</v>
      </c>
      <c r="AH680" s="913">
        <f t="shared" si="958"/>
        <v>163.625</v>
      </c>
      <c r="AI680" s="455">
        <f t="shared" si="958"/>
        <v>136.5</v>
      </c>
      <c r="AJ680" s="456">
        <f t="shared" si="958"/>
        <v>146.82</v>
      </c>
      <c r="AK680" s="456">
        <f t="shared" si="958"/>
        <v>167.46</v>
      </c>
      <c r="AL680" s="457">
        <f t="shared" si="958"/>
        <v>167.46</v>
      </c>
      <c r="AM680" s="913">
        <f t="shared" si="958"/>
        <v>154.56</v>
      </c>
      <c r="AN680" s="455">
        <f t="shared" si="958"/>
        <v>167.46</v>
      </c>
      <c r="AO680" s="456">
        <f t="shared" si="958"/>
        <v>151.35</v>
      </c>
      <c r="AP680" s="456">
        <f t="shared" si="958"/>
        <v>119.13</v>
      </c>
      <c r="AQ680" s="457">
        <f t="shared" si="958"/>
        <v>119.13</v>
      </c>
      <c r="AR680" s="913">
        <f t="shared" si="958"/>
        <v>139.26749999999998</v>
      </c>
      <c r="AS680" s="455">
        <f t="shared" si="958"/>
        <v>119.13</v>
      </c>
      <c r="AT680" s="456">
        <f t="shared" si="958"/>
        <v>119.41999999999999</v>
      </c>
      <c r="AU680" s="456">
        <f t="shared" ref="AU680" si="959">AU124</f>
        <v>120</v>
      </c>
      <c r="AV680" s="457">
        <f t="shared" si="958"/>
        <v>120</v>
      </c>
      <c r="AW680" s="913">
        <f t="shared" si="958"/>
        <v>119.63749999999999</v>
      </c>
      <c r="AX680" s="455">
        <f t="shared" si="958"/>
        <v>120</v>
      </c>
      <c r="AY680" s="456">
        <f t="shared" si="958"/>
        <v>155.13999999999999</v>
      </c>
      <c r="AZ680" s="456">
        <f t="shared" si="958"/>
        <v>225.42</v>
      </c>
      <c r="BA680" s="457">
        <f t="shared" si="958"/>
        <v>225.42</v>
      </c>
      <c r="BB680" s="913">
        <f t="shared" si="958"/>
        <v>181.49499999999998</v>
      </c>
      <c r="BC680" s="455">
        <f t="shared" si="958"/>
        <v>225.42</v>
      </c>
      <c r="BD680" s="456">
        <f t="shared" si="958"/>
        <v>190.27999999999997</v>
      </c>
      <c r="BE680" s="456">
        <f t="shared" si="958"/>
        <v>120</v>
      </c>
      <c r="BF680" s="457">
        <f t="shared" si="958"/>
        <v>120</v>
      </c>
      <c r="BG680" s="913">
        <f t="shared" si="958"/>
        <v>163.92499999999998</v>
      </c>
      <c r="BH680" s="455">
        <f t="shared" si="958"/>
        <v>120</v>
      </c>
      <c r="BI680" s="456">
        <f t="shared" si="958"/>
        <v>142.62333333333333</v>
      </c>
      <c r="BJ680" s="456">
        <f t="shared" si="958"/>
        <v>187.87</v>
      </c>
      <c r="BK680" s="457">
        <f t="shared" si="958"/>
        <v>187.87</v>
      </c>
      <c r="BL680" s="913">
        <f t="shared" si="958"/>
        <v>159.59083333333334</v>
      </c>
      <c r="BM680" s="455">
        <f t="shared" ref="BM680:BQ680" si="960">BM124</f>
        <v>185</v>
      </c>
      <c r="BN680" s="456">
        <f t="shared" si="960"/>
        <v>185</v>
      </c>
      <c r="BO680" s="456">
        <f t="shared" si="960"/>
        <v>185</v>
      </c>
      <c r="BP680" s="457">
        <f t="shared" si="960"/>
        <v>185</v>
      </c>
      <c r="BQ680" s="913">
        <f t="shared" si="960"/>
        <v>185</v>
      </c>
      <c r="BR680" s="40"/>
      <c r="BS680" s="40"/>
      <c r="BT680" s="45"/>
      <c r="BU680" s="232"/>
      <c r="BV680" s="156"/>
      <c r="BW680" s="156"/>
      <c r="BX680" s="156"/>
      <c r="BY680" s="156"/>
      <c r="BZ680" s="156"/>
      <c r="CA680" s="156"/>
      <c r="CB680" s="156"/>
      <c r="CC680" s="156"/>
      <c r="CD680" s="40"/>
      <c r="CE680" s="40"/>
      <c r="CF680" s="40"/>
      <c r="CG680" s="45"/>
      <c r="CH680" s="45"/>
      <c r="CI680" s="45"/>
      <c r="CJ680" s="45"/>
      <c r="CK680" s="45"/>
      <c r="CL680" s="45"/>
      <c r="CM680" s="45"/>
      <c r="CN680" s="45"/>
      <c r="CO680" s="45"/>
      <c r="CP680" s="45"/>
      <c r="CQ680" s="45"/>
      <c r="CR680" s="45"/>
      <c r="CS680" s="45"/>
      <c r="CT680" s="821"/>
      <c r="CU680" s="45"/>
      <c r="CV680" s="45"/>
      <c r="CW680" s="45"/>
      <c r="CX680" s="45"/>
      <c r="CY680" s="45"/>
      <c r="CZ680" s="45"/>
      <c r="DA680" s="45"/>
      <c r="DB680" s="45"/>
      <c r="DC680" s="45"/>
      <c r="DD680" s="45"/>
      <c r="DE680" s="45"/>
      <c r="DF680" s="45"/>
      <c r="DG680" s="45"/>
      <c r="DH680" s="45"/>
      <c r="DI680" s="45"/>
      <c r="DJ680" s="45"/>
      <c r="DK680" s="45"/>
      <c r="DL680" s="45"/>
      <c r="DM680" s="45"/>
      <c r="DN680" s="45"/>
    </row>
    <row r="681" spans="1:118">
      <c r="A681" s="40"/>
      <c r="B681" s="32"/>
      <c r="C681" s="32" t="s">
        <v>798</v>
      </c>
      <c r="D681" s="909"/>
      <c r="E681" s="891"/>
      <c r="F681" s="892"/>
      <c r="G681" s="892"/>
      <c r="H681" s="893"/>
      <c r="I681" s="228"/>
      <c r="J681" s="292"/>
      <c r="K681" s="892"/>
      <c r="L681" s="892"/>
      <c r="M681" s="893"/>
      <c r="N681" s="228"/>
      <c r="O681" s="292"/>
      <c r="P681" s="261"/>
      <c r="Q681" s="261"/>
      <c r="R681" s="293"/>
      <c r="S681" s="228"/>
      <c r="T681" s="788"/>
      <c r="U681" s="789"/>
      <c r="V681" s="789"/>
      <c r="W681" s="790"/>
      <c r="X681" s="228"/>
      <c r="Y681" s="788">
        <f>Y679*Y680*365/1000000/4</f>
        <v>110.22688381249999</v>
      </c>
      <c r="Z681" s="789">
        <f>Z679*Z680*365/1000000/4</f>
        <v>137.90784962500001</v>
      </c>
      <c r="AA681" s="789">
        <f>AA679*AA680*365/1000000/4</f>
        <v>193.26978124999999</v>
      </c>
      <c r="AB681" s="790">
        <f>AB679*AB680*365/1000000/4</f>
        <v>193.26978124999999</v>
      </c>
      <c r="AC681" s="228">
        <f>SUM(Y681:AB681)</f>
        <v>634.67429593750001</v>
      </c>
      <c r="AD681" s="788">
        <f>AD679*AD680*365/1000000/4</f>
        <v>193.26978124999999</v>
      </c>
      <c r="AE681" s="789">
        <f>AE679*AE680*365/1000000/4</f>
        <v>107.678878125</v>
      </c>
      <c r="AF681" s="789">
        <f>AF679*AF680*365/1000000/4</f>
        <v>107.678878125</v>
      </c>
      <c r="AG681" s="790">
        <f>AG679*AG680*365/1000000/4</f>
        <v>107.678878125</v>
      </c>
      <c r="AH681" s="228">
        <f>SUM(AD681:AG681)</f>
        <v>516.306415625</v>
      </c>
      <c r="AI681" s="788">
        <f>AI679*AI680*365/1000000/4</f>
        <v>108.48849375</v>
      </c>
      <c r="AJ681" s="789">
        <f>AJ679*AJ680*365/1000000/4</f>
        <v>116.69070075</v>
      </c>
      <c r="AK681" s="789">
        <f>AK679*AK680*365/1000000/4</f>
        <v>133.09511475000002</v>
      </c>
      <c r="AL681" s="790">
        <f>AL679*AL680*365/1000000/4</f>
        <v>133.09511475000002</v>
      </c>
      <c r="AM681" s="228">
        <f>SUM(AI681:AL681)</f>
        <v>491.36942399999998</v>
      </c>
      <c r="AN681" s="788">
        <f>AN679*AN680*365/1000000/4</f>
        <v>134.088361875</v>
      </c>
      <c r="AO681" s="789">
        <f>AO679*AO680*365/1000000/4</f>
        <v>121.18878281249999</v>
      </c>
      <c r="AP681" s="789">
        <f>AP679*AP680*365/1000000/4</f>
        <v>95.389624687500003</v>
      </c>
      <c r="AQ681" s="790">
        <f>AQ679*AQ680*365/1000000/4</f>
        <v>95.389624687500003</v>
      </c>
      <c r="AR681" s="228">
        <f>SUM(AN681:AQ681)</f>
        <v>446.05639406249998</v>
      </c>
      <c r="AS681" s="788">
        <f>AS679*AS680*365/1000000/4</f>
        <v>95.389624687500003</v>
      </c>
      <c r="AT681" s="789">
        <f>AT679*AT680*365/1000000/4</f>
        <v>95.621833124999981</v>
      </c>
      <c r="AU681" s="789">
        <f t="shared" ref="AU681" si="961">AU679*AU680*365/1000000/4</f>
        <v>89.516249999999999</v>
      </c>
      <c r="AV681" s="790">
        <f>AV679*AV680*365/1000000/4</f>
        <v>89.516249999999999</v>
      </c>
      <c r="AW681" s="228">
        <f>SUM(AS681:AV681)</f>
        <v>370.04395781250003</v>
      </c>
      <c r="AX681" s="788">
        <f>AX679*AX680*365/1000000/4</f>
        <v>89.516249999999999</v>
      </c>
      <c r="AY681" s="789">
        <f>AY679*AY680*365/1000000/4</f>
        <v>115.729591875</v>
      </c>
      <c r="AZ681" s="789">
        <f>AZ679*AZ680*365/1000000/4</f>
        <v>131.64528000000001</v>
      </c>
      <c r="BA681" s="790">
        <f>BA679*BA680*365/1000000/4</f>
        <v>118.78929562499999</v>
      </c>
      <c r="BB681" s="228">
        <f>SUM(AX681:BA681)</f>
        <v>455.68041749999998</v>
      </c>
      <c r="BC681" s="788">
        <f>BC679*BC680*365/1000000/4</f>
        <v>118.78929562499999</v>
      </c>
      <c r="BD681" s="789">
        <f>BD679*BD680*365/1000000/4</f>
        <v>100.27161374999999</v>
      </c>
      <c r="BE681" s="789">
        <f>BE679*BE680*365/1000000/4</f>
        <v>64.605000000000004</v>
      </c>
      <c r="BF681" s="790">
        <f>BF679*BF680*365/1000000/4</f>
        <v>64.605000000000004</v>
      </c>
      <c r="BG681" s="228">
        <f>SUM(BC681:BF681)</f>
        <v>348.27090937500003</v>
      </c>
      <c r="BH681" s="788">
        <f>BH679*BH680*365/1000000/4</f>
        <v>64.605000000000004</v>
      </c>
      <c r="BI681" s="789">
        <f>BI679*BI680*365/1000000/4</f>
        <v>76.784837083333329</v>
      </c>
      <c r="BJ681" s="789">
        <f>BJ679*BJ680*365/1000000/4</f>
        <v>114.4304428125</v>
      </c>
      <c r="BK681" s="790">
        <f>BK679*BK680*365/1000000/4</f>
        <v>114.4304428125</v>
      </c>
      <c r="BL681" s="228">
        <f>SUM(BH681:BK681)</f>
        <v>370.25072270833334</v>
      </c>
      <c r="BM681" s="788">
        <f>BM679*BM680*365/1000000/4</f>
        <v>112.68234375</v>
      </c>
      <c r="BN681" s="789">
        <f>BN679*BN680*365/1000000/4</f>
        <v>112.68234375</v>
      </c>
      <c r="BO681" s="789">
        <f>BO679*BO680*365/1000000/4</f>
        <v>112.68234375</v>
      </c>
      <c r="BP681" s="790">
        <f>BP679*BP680*365/1000000/4</f>
        <v>112.68234375</v>
      </c>
      <c r="BQ681" s="228">
        <f>SUM(BM681:BP681)</f>
        <v>450.729375</v>
      </c>
      <c r="BR681" s="40"/>
      <c r="BS681" s="40"/>
      <c r="BT681" s="40"/>
      <c r="BU681" s="232"/>
      <c r="BV681" s="156"/>
      <c r="BW681" s="156"/>
      <c r="BX681" s="156"/>
      <c r="BY681" s="156"/>
      <c r="BZ681" s="156"/>
      <c r="CA681" s="156"/>
      <c r="CB681" s="156"/>
      <c r="CC681" s="156"/>
      <c r="CD681" s="40"/>
      <c r="CE681" s="40"/>
      <c r="CF681" s="40"/>
      <c r="CG681" s="40"/>
      <c r="CH681" s="40"/>
      <c r="CI681" s="40"/>
      <c r="CJ681" s="40"/>
      <c r="CK681" s="40"/>
      <c r="CL681" s="40"/>
      <c r="CM681" s="40"/>
      <c r="CN681" s="40"/>
      <c r="CO681" s="40"/>
      <c r="CP681" s="40"/>
      <c r="CQ681" s="40"/>
      <c r="CR681" s="40"/>
      <c r="CS681" s="40"/>
      <c r="CT681" s="823"/>
      <c r="CU681" s="232"/>
      <c r="CV681" s="232"/>
      <c r="CW681" s="232"/>
      <c r="CX681" s="232"/>
      <c r="CY681" s="232"/>
      <c r="CZ681" s="40"/>
      <c r="DA681" s="40"/>
      <c r="DB681" s="40"/>
      <c r="DC681" s="40"/>
      <c r="DD681" s="40"/>
      <c r="DE681" s="40"/>
      <c r="DF681" s="232"/>
      <c r="DG681" s="232"/>
      <c r="DH681" s="232"/>
      <c r="DI681" s="232"/>
      <c r="DJ681" s="232"/>
      <c r="DK681" s="232"/>
      <c r="DL681" s="232"/>
      <c r="DM681" s="232"/>
      <c r="DN681" s="232"/>
    </row>
    <row r="682" spans="1:118">
      <c r="A682" s="40"/>
      <c r="B682" s="32"/>
      <c r="C682" s="32"/>
      <c r="D682" s="895"/>
      <c r="E682" s="896"/>
      <c r="F682" s="897"/>
      <c r="G682" s="897"/>
      <c r="H682" s="898"/>
      <c r="I682" s="228"/>
      <c r="J682" s="292"/>
      <c r="K682" s="897"/>
      <c r="L682" s="897"/>
      <c r="M682" s="898"/>
      <c r="N682" s="228"/>
      <c r="O682" s="292"/>
      <c r="P682" s="261"/>
      <c r="Q682" s="261"/>
      <c r="R682" s="293"/>
      <c r="S682" s="228"/>
      <c r="T682" s="786"/>
      <c r="U682" s="784"/>
      <c r="V682" s="784"/>
      <c r="W682" s="785"/>
      <c r="X682" s="783"/>
      <c r="Y682" s="308"/>
      <c r="Z682" s="244"/>
      <c r="AA682" s="244"/>
      <c r="AB682" s="309"/>
      <c r="AC682" s="783"/>
      <c r="AD682" s="308"/>
      <c r="AE682" s="244"/>
      <c r="AF682" s="244"/>
      <c r="AG682" s="309"/>
      <c r="AH682" s="783"/>
      <c r="AI682" s="308"/>
      <c r="AJ682" s="244"/>
      <c r="AK682" s="244"/>
      <c r="AL682" s="309"/>
      <c r="AM682" s="783"/>
      <c r="AN682" s="308"/>
      <c r="AO682" s="244"/>
      <c r="AP682" s="244"/>
      <c r="AQ682" s="309"/>
      <c r="AR682" s="783"/>
      <c r="AS682" s="308"/>
      <c r="AT682" s="244"/>
      <c r="AU682" s="244"/>
      <c r="AV682" s="309"/>
      <c r="AW682" s="783"/>
      <c r="AX682" s="308"/>
      <c r="AY682" s="244"/>
      <c r="AZ682" s="244"/>
      <c r="BA682" s="309"/>
      <c r="BB682" s="783"/>
      <c r="BC682" s="308"/>
      <c r="BD682" s="244"/>
      <c r="BE682" s="244"/>
      <c r="BF682" s="309"/>
      <c r="BG682" s="783"/>
      <c r="BH682" s="308"/>
      <c r="BI682" s="244"/>
      <c r="BJ682" s="244"/>
      <c r="BK682" s="309"/>
      <c r="BL682" s="783"/>
      <c r="BM682" s="308"/>
      <c r="BN682" s="244"/>
      <c r="BO682" s="244"/>
      <c r="BP682" s="309"/>
      <c r="BQ682" s="783"/>
      <c r="BR682" s="156"/>
      <c r="BS682" s="156"/>
      <c r="BT682" s="40"/>
      <c r="BU682" s="45"/>
      <c r="BV682" s="156"/>
      <c r="BW682" s="156"/>
      <c r="BX682" s="156"/>
      <c r="BY682" s="156"/>
      <c r="BZ682" s="156"/>
      <c r="CA682" s="156"/>
      <c r="CB682" s="156"/>
      <c r="CC682" s="156"/>
      <c r="CD682" s="45"/>
      <c r="CE682" s="45"/>
      <c r="CF682" s="45"/>
      <c r="CG682" s="40"/>
      <c r="CH682" s="40"/>
      <c r="CI682" s="40"/>
      <c r="CJ682" s="40"/>
      <c r="CK682" s="40"/>
      <c r="CL682" s="40"/>
      <c r="CM682" s="40"/>
      <c r="CN682" s="40"/>
      <c r="CO682" s="40"/>
      <c r="CP682" s="40"/>
      <c r="CQ682" s="40"/>
      <c r="CR682" s="40"/>
      <c r="CS682" s="40"/>
      <c r="CT682" s="823"/>
      <c r="CU682" s="232"/>
      <c r="CV682" s="232"/>
      <c r="CW682" s="232"/>
      <c r="CX682" s="232"/>
      <c r="CY682" s="232"/>
      <c r="CZ682" s="40"/>
      <c r="DA682" s="40"/>
      <c r="DB682" s="40"/>
      <c r="DC682" s="40"/>
      <c r="DD682" s="40"/>
      <c r="DE682" s="40"/>
      <c r="DF682" s="232"/>
      <c r="DG682" s="232"/>
      <c r="DH682" s="232"/>
      <c r="DI682" s="232"/>
      <c r="DJ682" s="232"/>
      <c r="DK682" s="232"/>
      <c r="DL682" s="232"/>
      <c r="DM682" s="232"/>
      <c r="DN682" s="232"/>
    </row>
    <row r="683" spans="1:118">
      <c r="A683" s="40"/>
      <c r="B683" s="32"/>
      <c r="C683" s="889" t="s">
        <v>791</v>
      </c>
      <c r="D683" s="895"/>
      <c r="E683" s="896"/>
      <c r="F683" s="897"/>
      <c r="G683" s="897"/>
      <c r="H683" s="898"/>
      <c r="I683" s="228"/>
      <c r="J683" s="292"/>
      <c r="K683" s="897"/>
      <c r="L683" s="897"/>
      <c r="M683" s="898"/>
      <c r="N683" s="32"/>
      <c r="O683" s="292"/>
      <c r="P683" s="261"/>
      <c r="Q683" s="261"/>
      <c r="R683" s="293"/>
      <c r="S683" s="32"/>
      <c r="T683" s="786"/>
      <c r="U683" s="784"/>
      <c r="V683" s="784"/>
      <c r="W683" s="785"/>
      <c r="X683" s="783"/>
      <c r="Y683" s="308"/>
      <c r="Z683" s="244"/>
      <c r="AA683" s="244"/>
      <c r="AB683" s="309"/>
      <c r="AC683" s="783"/>
      <c r="AD683" s="308"/>
      <c r="AE683" s="244"/>
      <c r="AF683" s="244"/>
      <c r="AG683" s="309"/>
      <c r="AH683" s="783"/>
      <c r="AI683" s="308"/>
      <c r="AJ683" s="244"/>
      <c r="AK683" s="244"/>
      <c r="AL683" s="309"/>
      <c r="AM683" s="783"/>
      <c r="AN683" s="308"/>
      <c r="AO683" s="244"/>
      <c r="AP683" s="244"/>
      <c r="AQ683" s="309"/>
      <c r="AR683" s="783"/>
      <c r="AS683" s="308"/>
      <c r="AT683" s="244"/>
      <c r="AU683" s="244"/>
      <c r="AV683" s="309"/>
      <c r="AW683" s="783"/>
      <c r="AX683" s="308"/>
      <c r="AY683" s="244"/>
      <c r="AZ683" s="244"/>
      <c r="BA683" s="309"/>
      <c r="BB683" s="783"/>
      <c r="BC683" s="308"/>
      <c r="BD683" s="244"/>
      <c r="BE683" s="244"/>
      <c r="BF683" s="309"/>
      <c r="BG683" s="783"/>
      <c r="BH683" s="308"/>
      <c r="BI683" s="244"/>
      <c r="BJ683" s="244"/>
      <c r="BK683" s="309"/>
      <c r="BL683" s="783"/>
      <c r="BM683" s="308"/>
      <c r="BN683" s="244"/>
      <c r="BO683" s="244"/>
      <c r="BP683" s="309"/>
      <c r="BQ683" s="783"/>
      <c r="BR683" s="40"/>
      <c r="BS683" s="40"/>
      <c r="BT683" s="40"/>
      <c r="BU683" s="232"/>
      <c r="BV683" s="156"/>
      <c r="BW683" s="156"/>
      <c r="BX683" s="156"/>
      <c r="BY683" s="156"/>
      <c r="BZ683" s="156"/>
      <c r="CA683" s="156"/>
      <c r="CB683" s="156"/>
      <c r="CC683" s="156"/>
      <c r="CD683" s="40"/>
      <c r="CE683" s="40"/>
      <c r="CF683" s="40"/>
      <c r="CG683" s="40"/>
      <c r="CH683" s="40"/>
      <c r="CI683" s="40"/>
      <c r="CJ683" s="40"/>
      <c r="CK683" s="40"/>
      <c r="CL683" s="40"/>
      <c r="CM683" s="40"/>
      <c r="CN683" s="40"/>
      <c r="CO683" s="40"/>
      <c r="CP683" s="40"/>
      <c r="CQ683" s="40"/>
      <c r="CR683" s="40"/>
      <c r="CS683" s="40"/>
      <c r="CT683" s="823"/>
      <c r="CU683" s="232"/>
      <c r="CV683" s="232"/>
      <c r="CW683" s="232"/>
      <c r="CX683" s="232"/>
      <c r="CY683" s="232"/>
      <c r="CZ683" s="40"/>
      <c r="DA683" s="40"/>
      <c r="DB683" s="40"/>
      <c r="DC683" s="40"/>
      <c r="DD683" s="40"/>
      <c r="DE683" s="40"/>
      <c r="DF683" s="232"/>
      <c r="DG683" s="232"/>
      <c r="DH683" s="232"/>
      <c r="DI683" s="232"/>
      <c r="DJ683" s="232"/>
      <c r="DK683" s="232"/>
      <c r="DL683" s="232"/>
      <c r="DM683" s="232"/>
      <c r="DN683" s="232"/>
    </row>
    <row r="684" spans="1:118">
      <c r="A684" s="40"/>
      <c r="B684" s="28"/>
      <c r="C684" s="895" t="s">
        <v>802</v>
      </c>
      <c r="D684" s="890" t="s">
        <v>510</v>
      </c>
      <c r="E684" s="896"/>
      <c r="F684" s="897"/>
      <c r="G684" s="897"/>
      <c r="H684" s="898"/>
      <c r="I684" s="1082">
        <f>I685*$I$672</f>
        <v>1710</v>
      </c>
      <c r="J684" s="897"/>
      <c r="K684" s="897"/>
      <c r="L684" s="897"/>
      <c r="M684" s="898"/>
      <c r="N684" s="45"/>
      <c r="O684" s="290"/>
      <c r="P684" s="260"/>
      <c r="Q684" s="260"/>
      <c r="R684" s="291"/>
      <c r="S684" s="45"/>
      <c r="T684" s="786"/>
      <c r="U684" s="784"/>
      <c r="V684" s="784"/>
      <c r="W684" s="785"/>
      <c r="X684" s="783"/>
      <c r="Y684" s="308">
        <f>+I684</f>
        <v>1710</v>
      </c>
      <c r="Z684" s="244">
        <f>Y684</f>
        <v>1710</v>
      </c>
      <c r="AA684" s="244">
        <f>Z684</f>
        <v>1710</v>
      </c>
      <c r="AB684" s="309">
        <f>AA684</f>
        <v>1710</v>
      </c>
      <c r="AC684" s="783">
        <f>AB684</f>
        <v>1710</v>
      </c>
      <c r="AD684" s="308">
        <f t="shared" ref="AD684:BD684" si="962">AC684</f>
        <v>1710</v>
      </c>
      <c r="AE684" s="244">
        <f>AD684</f>
        <v>1710</v>
      </c>
      <c r="AF684" s="244">
        <f t="shared" si="962"/>
        <v>1710</v>
      </c>
      <c r="AG684" s="309">
        <f t="shared" si="962"/>
        <v>1710</v>
      </c>
      <c r="AH684" s="783">
        <f t="shared" si="962"/>
        <v>1710</v>
      </c>
      <c r="AI684" s="308">
        <f t="shared" si="962"/>
        <v>1710</v>
      </c>
      <c r="AJ684" s="244">
        <f t="shared" si="962"/>
        <v>1710</v>
      </c>
      <c r="AK684" s="244">
        <f t="shared" si="962"/>
        <v>1710</v>
      </c>
      <c r="AL684" s="309">
        <f t="shared" si="962"/>
        <v>1710</v>
      </c>
      <c r="AM684" s="783">
        <f t="shared" si="962"/>
        <v>1710</v>
      </c>
      <c r="AN684" s="308">
        <f t="shared" si="962"/>
        <v>1710</v>
      </c>
      <c r="AO684" s="244">
        <f t="shared" si="962"/>
        <v>1710</v>
      </c>
      <c r="AP684" s="244">
        <f t="shared" si="962"/>
        <v>1710</v>
      </c>
      <c r="AQ684" s="309">
        <f t="shared" si="962"/>
        <v>1710</v>
      </c>
      <c r="AR684" s="783">
        <f t="shared" si="962"/>
        <v>1710</v>
      </c>
      <c r="AS684" s="308">
        <f t="shared" si="962"/>
        <v>1710</v>
      </c>
      <c r="AT684" s="244">
        <f t="shared" si="962"/>
        <v>1710</v>
      </c>
      <c r="AU684" s="244">
        <f t="shared" ref="AU684" si="963">AT684</f>
        <v>1710</v>
      </c>
      <c r="AV684" s="309">
        <f t="shared" si="962"/>
        <v>1710</v>
      </c>
      <c r="AW684" s="783">
        <f t="shared" si="962"/>
        <v>1710</v>
      </c>
      <c r="AX684" s="308">
        <f t="shared" si="962"/>
        <v>1710</v>
      </c>
      <c r="AY684" s="244">
        <f t="shared" si="962"/>
        <v>1710</v>
      </c>
      <c r="AZ684" s="2092">
        <f>850+300</f>
        <v>1150</v>
      </c>
      <c r="BA684" s="309">
        <f t="shared" si="962"/>
        <v>1150</v>
      </c>
      <c r="BB684" s="783">
        <f t="shared" si="962"/>
        <v>1150</v>
      </c>
      <c r="BC684" s="308">
        <f t="shared" si="962"/>
        <v>1150</v>
      </c>
      <c r="BD684" s="244">
        <f t="shared" si="962"/>
        <v>1150</v>
      </c>
      <c r="BE684" s="2092">
        <f>850+375</f>
        <v>1225</v>
      </c>
      <c r="BF684" s="309">
        <f t="shared" ref="BF684:BL684" si="964">BE684</f>
        <v>1225</v>
      </c>
      <c r="BG684" s="783">
        <f>BF684</f>
        <v>1225</v>
      </c>
      <c r="BH684" s="308">
        <f>BG684</f>
        <v>1225</v>
      </c>
      <c r="BI684" s="244">
        <f t="shared" si="964"/>
        <v>1225</v>
      </c>
      <c r="BJ684" s="2092">
        <f>850+375</f>
        <v>1225</v>
      </c>
      <c r="BK684" s="309">
        <f t="shared" si="964"/>
        <v>1225</v>
      </c>
      <c r="BL684" s="783">
        <f t="shared" si="964"/>
        <v>1225</v>
      </c>
      <c r="BM684" s="308">
        <f t="shared" ref="BM684" si="965">BL684</f>
        <v>1225</v>
      </c>
      <c r="BN684" s="244">
        <f t="shared" ref="BN684" si="966">BM684</f>
        <v>1225</v>
      </c>
      <c r="BO684" s="244">
        <f t="shared" ref="BO684" si="967">BN684</f>
        <v>1225</v>
      </c>
      <c r="BP684" s="309">
        <f t="shared" ref="BP684" si="968">BO684</f>
        <v>1225</v>
      </c>
      <c r="BQ684" s="783">
        <f t="shared" ref="BQ684" si="969">BP684</f>
        <v>1225</v>
      </c>
      <c r="BR684" s="40"/>
      <c r="BS684" s="40"/>
      <c r="BT684" s="40"/>
      <c r="BU684" s="232"/>
      <c r="BV684" s="156"/>
      <c r="BW684" s="156"/>
      <c r="BX684" s="156"/>
      <c r="BY684" s="156"/>
      <c r="BZ684" s="156"/>
      <c r="CA684" s="156"/>
      <c r="CB684" s="156"/>
      <c r="CC684" s="156"/>
      <c r="CD684" s="40"/>
      <c r="CE684" s="40"/>
      <c r="CF684" s="40"/>
      <c r="CG684" s="40"/>
      <c r="CH684" s="40"/>
      <c r="CI684" s="40"/>
      <c r="CJ684" s="40"/>
      <c r="CK684" s="40"/>
      <c r="CL684" s="40"/>
      <c r="CM684" s="40"/>
      <c r="CN684" s="40"/>
      <c r="CO684" s="40"/>
      <c r="CP684" s="40"/>
      <c r="CQ684" s="40"/>
      <c r="CR684" s="40"/>
      <c r="CS684" s="40"/>
      <c r="CT684" s="823"/>
      <c r="CU684" s="232"/>
      <c r="CV684" s="232"/>
      <c r="CW684" s="232"/>
      <c r="CX684" s="232"/>
      <c r="CY684" s="232"/>
      <c r="CZ684" s="40"/>
      <c r="DA684" s="40"/>
      <c r="DB684" s="40"/>
      <c r="DC684" s="40"/>
      <c r="DD684" s="40"/>
      <c r="DE684" s="40"/>
      <c r="DF684" s="232"/>
      <c r="DG684" s="232"/>
      <c r="DH684" s="232"/>
      <c r="DI684" s="232"/>
      <c r="DJ684" s="232"/>
      <c r="DK684" s="232"/>
      <c r="DL684" s="232"/>
      <c r="DM684" s="232"/>
      <c r="DN684" s="232"/>
    </row>
    <row r="685" spans="1:118" s="232" customFormat="1">
      <c r="A685" s="40"/>
      <c r="B685" s="32"/>
      <c r="C685" s="28" t="s">
        <v>394</v>
      </c>
      <c r="D685" s="890" t="s">
        <v>509</v>
      </c>
      <c r="E685" s="896"/>
      <c r="F685" s="897"/>
      <c r="G685" s="897"/>
      <c r="H685" s="898"/>
      <c r="I685" s="228">
        <v>1800</v>
      </c>
      <c r="J685" s="292"/>
      <c r="K685" s="897"/>
      <c r="L685" s="897"/>
      <c r="M685" s="898"/>
      <c r="N685" s="228"/>
      <c r="O685" s="292"/>
      <c r="P685" s="261"/>
      <c r="Q685" s="261"/>
      <c r="R685" s="293"/>
      <c r="S685" s="228"/>
      <c r="T685" s="910"/>
      <c r="U685" s="911"/>
      <c r="V685" s="911"/>
      <c r="W685" s="912"/>
      <c r="X685" s="913"/>
      <c r="Y685" s="455">
        <f t="shared" ref="Y685:BL685" si="970">Y125</f>
        <v>133.37</v>
      </c>
      <c r="Z685" s="456">
        <f t="shared" si="970"/>
        <v>164.29666666666665</v>
      </c>
      <c r="AA685" s="456">
        <f t="shared" si="970"/>
        <v>226.15</v>
      </c>
      <c r="AB685" s="457">
        <f t="shared" si="970"/>
        <v>226.15</v>
      </c>
      <c r="AC685" s="913">
        <f t="shared" si="970"/>
        <v>187.49166666666665</v>
      </c>
      <c r="AD685" s="455">
        <f t="shared" si="970"/>
        <v>226.15</v>
      </c>
      <c r="AE685" s="456">
        <f t="shared" si="970"/>
        <v>136.5</v>
      </c>
      <c r="AF685" s="456">
        <f t="shared" si="970"/>
        <v>136.5</v>
      </c>
      <c r="AG685" s="457">
        <f t="shared" si="970"/>
        <v>136.5</v>
      </c>
      <c r="AH685" s="913">
        <f t="shared" si="970"/>
        <v>158.91249999999999</v>
      </c>
      <c r="AI685" s="455">
        <f t="shared" si="970"/>
        <v>136.5</v>
      </c>
      <c r="AJ685" s="456">
        <f t="shared" si="970"/>
        <v>146.82</v>
      </c>
      <c r="AK685" s="456">
        <f t="shared" si="970"/>
        <v>167.46</v>
      </c>
      <c r="AL685" s="457">
        <f t="shared" si="970"/>
        <v>167.46</v>
      </c>
      <c r="AM685" s="913">
        <f t="shared" si="970"/>
        <v>154.56</v>
      </c>
      <c r="AN685" s="455">
        <f t="shared" si="970"/>
        <v>167.46</v>
      </c>
      <c r="AO685" s="456">
        <f t="shared" si="970"/>
        <v>151.35</v>
      </c>
      <c r="AP685" s="456">
        <f t="shared" si="970"/>
        <v>119.13</v>
      </c>
      <c r="AQ685" s="457">
        <f t="shared" si="970"/>
        <v>119.13</v>
      </c>
      <c r="AR685" s="913">
        <f t="shared" si="970"/>
        <v>139.26749999999998</v>
      </c>
      <c r="AS685" s="455">
        <f t="shared" si="970"/>
        <v>119.13</v>
      </c>
      <c r="AT685" s="456">
        <f t="shared" si="970"/>
        <v>119.41999999999999</v>
      </c>
      <c r="AU685" s="456">
        <f t="shared" ref="AU685" si="971">AU125</f>
        <v>120</v>
      </c>
      <c r="AV685" s="457">
        <f t="shared" si="970"/>
        <v>120</v>
      </c>
      <c r="AW685" s="913">
        <f t="shared" si="970"/>
        <v>119.63749999999999</v>
      </c>
      <c r="AX685" s="455">
        <f t="shared" si="970"/>
        <v>120</v>
      </c>
      <c r="AY685" s="456">
        <f t="shared" si="970"/>
        <v>134.92333333333335</v>
      </c>
      <c r="AZ685" s="456">
        <f t="shared" si="970"/>
        <v>164.77</v>
      </c>
      <c r="BA685" s="457">
        <f t="shared" si="970"/>
        <v>164.77</v>
      </c>
      <c r="BB685" s="913">
        <f t="shared" si="970"/>
        <v>146.11583333333334</v>
      </c>
      <c r="BC685" s="455">
        <f t="shared" si="970"/>
        <v>164.77</v>
      </c>
      <c r="BD685" s="456">
        <f t="shared" si="970"/>
        <v>143.18</v>
      </c>
      <c r="BE685" s="456">
        <f t="shared" si="970"/>
        <v>100</v>
      </c>
      <c r="BF685" s="457">
        <f t="shared" si="970"/>
        <v>100</v>
      </c>
      <c r="BG685" s="913">
        <f t="shared" si="970"/>
        <v>126.98750000000001</v>
      </c>
      <c r="BH685" s="455">
        <f t="shared" si="970"/>
        <v>100</v>
      </c>
      <c r="BI685" s="456">
        <f t="shared" si="970"/>
        <v>100</v>
      </c>
      <c r="BJ685" s="456">
        <f t="shared" si="970"/>
        <v>86.04</v>
      </c>
      <c r="BK685" s="457">
        <f t="shared" si="970"/>
        <v>86.04</v>
      </c>
      <c r="BL685" s="913">
        <f t="shared" si="970"/>
        <v>93.02000000000001</v>
      </c>
      <c r="BM685" s="455">
        <f t="shared" ref="BM685:BQ685" si="972">BM125</f>
        <v>175</v>
      </c>
      <c r="BN685" s="456">
        <f t="shared" si="972"/>
        <v>175</v>
      </c>
      <c r="BO685" s="456">
        <f t="shared" si="972"/>
        <v>175</v>
      </c>
      <c r="BP685" s="457">
        <f t="shared" si="972"/>
        <v>175</v>
      </c>
      <c r="BQ685" s="913">
        <f t="shared" si="972"/>
        <v>175</v>
      </c>
      <c r="BR685" s="40"/>
      <c r="BS685" s="40"/>
      <c r="BT685" s="40"/>
      <c r="BV685" s="156"/>
      <c r="BW685" s="156"/>
      <c r="BX685" s="156"/>
      <c r="BY685" s="156"/>
      <c r="BZ685" s="156"/>
      <c r="CA685" s="156"/>
      <c r="CB685" s="156"/>
      <c r="CC685" s="156"/>
      <c r="CD685" s="40"/>
      <c r="CE685" s="40"/>
      <c r="CF685" s="40"/>
      <c r="CG685" s="40"/>
      <c r="CH685" s="40"/>
      <c r="CI685" s="40"/>
      <c r="CJ685" s="40"/>
      <c r="CK685" s="40"/>
      <c r="CL685" s="40"/>
      <c r="CM685" s="40"/>
      <c r="CN685" s="40"/>
      <c r="CO685" s="40"/>
      <c r="CP685" s="40"/>
      <c r="CQ685" s="40"/>
      <c r="CR685" s="40"/>
      <c r="CS685" s="40"/>
      <c r="CT685" s="994"/>
      <c r="CZ685" s="40"/>
      <c r="DA685" s="40"/>
      <c r="DB685" s="40"/>
      <c r="DC685" s="40"/>
      <c r="DD685" s="40"/>
      <c r="DE685" s="40"/>
    </row>
    <row r="686" spans="1:118" s="232" customFormat="1">
      <c r="A686" s="40"/>
      <c r="B686" s="32"/>
      <c r="C686" s="32" t="s">
        <v>798</v>
      </c>
      <c r="D686" s="909"/>
      <c r="E686" s="891"/>
      <c r="F686" s="892"/>
      <c r="G686" s="892"/>
      <c r="H686" s="893"/>
      <c r="I686" s="228"/>
      <c r="J686" s="292"/>
      <c r="K686" s="892"/>
      <c r="L686" s="892"/>
      <c r="M686" s="893"/>
      <c r="N686" s="228"/>
      <c r="O686" s="292"/>
      <c r="P686" s="261"/>
      <c r="Q686" s="261"/>
      <c r="R686" s="293"/>
      <c r="S686" s="228"/>
      <c r="T686" s="788"/>
      <c r="U686" s="789"/>
      <c r="V686" s="789"/>
      <c r="W686" s="790"/>
      <c r="X686" s="228"/>
      <c r="Y686" s="788">
        <f>Y684*Y685*365/1000000/4</f>
        <v>20.810721375</v>
      </c>
      <c r="Z686" s="789">
        <f>Z684*Z685*365/1000000/4</f>
        <v>25.636441125000001</v>
      </c>
      <c r="AA686" s="789">
        <f>AA684*AA685*365/1000000/4</f>
        <v>35.287880625</v>
      </c>
      <c r="AB686" s="790">
        <f>AB684*AB685*365/1000000/4</f>
        <v>35.287880625</v>
      </c>
      <c r="AC686" s="228">
        <f>SUM(Y686:AB686)</f>
        <v>117.02292375</v>
      </c>
      <c r="AD686" s="788">
        <f>AD684*AD685*365/1000000/4</f>
        <v>35.287880625</v>
      </c>
      <c r="AE686" s="789">
        <f>AE684*AE685*365/1000000/4</f>
        <v>21.299118750000002</v>
      </c>
      <c r="AF686" s="789">
        <f>AF684*AF685*365/1000000/4</f>
        <v>21.299118750000002</v>
      </c>
      <c r="AG686" s="790">
        <f>AG684*AG685*365/1000000/4</f>
        <v>21.299118750000002</v>
      </c>
      <c r="AH686" s="228">
        <f>SUM(AD686:AG686)</f>
        <v>99.185236875000015</v>
      </c>
      <c r="AI686" s="788">
        <f>AI684*AI685*365/1000000/4</f>
        <v>21.299118750000002</v>
      </c>
      <c r="AJ686" s="789">
        <f>AJ684*AJ685*365/1000000/4</f>
        <v>22.90942575</v>
      </c>
      <c r="AK686" s="789">
        <f>AK684*AK685*365/1000000/4</f>
        <v>26.130039750000005</v>
      </c>
      <c r="AL686" s="790">
        <f>AL684*AL685*365/1000000/4</f>
        <v>26.130039750000005</v>
      </c>
      <c r="AM686" s="228">
        <f>SUM(AI686:AL686)</f>
        <v>96.46862400000002</v>
      </c>
      <c r="AN686" s="788">
        <f>AN684*AN685*365/1000000/4</f>
        <v>26.130039750000005</v>
      </c>
      <c r="AO686" s="789">
        <f>AO684*AO685*365/1000000/4</f>
        <v>23.616275625</v>
      </c>
      <c r="AP686" s="789">
        <f>AP684*AP685*365/1000000/4</f>
        <v>18.588747375000001</v>
      </c>
      <c r="AQ686" s="790">
        <f>AQ684*AQ685*365/1000000/4</f>
        <v>18.588747375000001</v>
      </c>
      <c r="AR686" s="228">
        <f>SUM(AN686:AQ686)</f>
        <v>86.923810125000003</v>
      </c>
      <c r="AS686" s="788">
        <f>AS684*AS685*365/1000000/4</f>
        <v>18.588747375000001</v>
      </c>
      <c r="AT686" s="789">
        <f>AT684*AT685*365/1000000/4</f>
        <v>18.633998250000001</v>
      </c>
      <c r="AU686" s="789">
        <f t="shared" ref="AU686" si="973">AU684*AU685*365/1000000/4</f>
        <v>18.724499999999999</v>
      </c>
      <c r="AV686" s="790">
        <f>AV684*AV685*365/1000000/4</f>
        <v>18.724499999999999</v>
      </c>
      <c r="AW686" s="228">
        <f>SUM(AS686:AV686)</f>
        <v>74.671745625</v>
      </c>
      <c r="AX686" s="788">
        <f>AX684*AX685*365/1000000/4</f>
        <v>18.724499999999999</v>
      </c>
      <c r="AY686" s="789">
        <f>AY684*AY685*365/1000000/4</f>
        <v>21.053099625000005</v>
      </c>
      <c r="AZ686" s="789">
        <f>AZ684*AZ685*365/1000000/4</f>
        <v>17.290551874999998</v>
      </c>
      <c r="BA686" s="790">
        <f>BA684*BA685*365/1000000/4</f>
        <v>17.290551874999998</v>
      </c>
      <c r="BB686" s="228">
        <f>SUM(AX686:BA686)</f>
        <v>74.358703375000005</v>
      </c>
      <c r="BC686" s="788">
        <f>BC684*BC685*365/1000000/4</f>
        <v>17.290551874999998</v>
      </c>
      <c r="BD686" s="789">
        <f>BD684*BD685*365/1000000/4</f>
        <v>15.024951250000001</v>
      </c>
      <c r="BE686" s="789">
        <f>BE684*BE685*365/1000000/4</f>
        <v>11.178125</v>
      </c>
      <c r="BF686" s="790">
        <f>BF684*BF685*365/1000000/4</f>
        <v>11.178125</v>
      </c>
      <c r="BG686" s="228">
        <f>SUM(BC686:BF686)</f>
        <v>54.671753125000002</v>
      </c>
      <c r="BH686" s="788">
        <f>BH684*BH685*365/1000000/4</f>
        <v>11.178125</v>
      </c>
      <c r="BI686" s="789">
        <f>BI684*BI685*365/1000000/4</f>
        <v>11.178125</v>
      </c>
      <c r="BJ686" s="789">
        <f>BJ684*BJ685*365/1000000/4</f>
        <v>9.6176587500000021</v>
      </c>
      <c r="BK686" s="790">
        <f>BK684*BK685*365/1000000/4</f>
        <v>9.6176587500000021</v>
      </c>
      <c r="BL686" s="228">
        <f>SUM(BH686:BK686)</f>
        <v>41.591567500000004</v>
      </c>
      <c r="BM686" s="788">
        <f>BM684*BM685*365/1000000/4</f>
        <v>19.561718750000001</v>
      </c>
      <c r="BN686" s="789">
        <f>BN684*BN685*365/1000000/4</f>
        <v>19.561718750000001</v>
      </c>
      <c r="BO686" s="789">
        <f>BO684*BO685*365/1000000/4</f>
        <v>19.561718750000001</v>
      </c>
      <c r="BP686" s="790">
        <f>BP684*BP685*365/1000000/4</f>
        <v>19.561718750000001</v>
      </c>
      <c r="BQ686" s="228">
        <f>SUM(BM686:BP686)</f>
        <v>78.246875000000003</v>
      </c>
      <c r="BR686" s="40"/>
      <c r="BS686" s="40"/>
      <c r="BT686" s="40"/>
      <c r="BV686" s="156"/>
      <c r="BW686" s="156"/>
      <c r="BX686" s="156"/>
      <c r="BY686" s="156"/>
      <c r="BZ686" s="156"/>
      <c r="CA686" s="156"/>
      <c r="CB686" s="156"/>
      <c r="CC686" s="156"/>
      <c r="CD686" s="40"/>
      <c r="CE686" s="40"/>
      <c r="CF686" s="40"/>
      <c r="CG686" s="40"/>
      <c r="CH686" s="40"/>
      <c r="CI686" s="40"/>
      <c r="CJ686" s="40"/>
      <c r="CK686" s="40"/>
      <c r="CL686" s="40"/>
      <c r="CM686" s="40"/>
      <c r="CN686" s="40"/>
      <c r="CO686" s="40"/>
      <c r="CP686" s="40"/>
      <c r="CQ686" s="40"/>
      <c r="CR686" s="40"/>
      <c r="CS686" s="40"/>
      <c r="CT686" s="994"/>
      <c r="CZ686" s="40"/>
      <c r="DA686" s="40"/>
      <c r="DB686" s="40"/>
      <c r="DC686" s="40"/>
      <c r="DD686" s="40"/>
      <c r="DE686" s="40"/>
    </row>
    <row r="687" spans="1:118" s="232" customFormat="1">
      <c r="A687" s="40"/>
      <c r="B687" s="32"/>
      <c r="C687" s="32"/>
      <c r="D687" s="32"/>
      <c r="E687" s="896"/>
      <c r="F687" s="897"/>
      <c r="G687" s="897"/>
      <c r="H687" s="898"/>
      <c r="I687" s="228"/>
      <c r="J687" s="292"/>
      <c r="K687" s="897"/>
      <c r="L687" s="897"/>
      <c r="M687" s="898"/>
      <c r="N687" s="228"/>
      <c r="O687" s="292"/>
      <c r="P687" s="261"/>
      <c r="Q687" s="261"/>
      <c r="R687" s="293"/>
      <c r="S687" s="228"/>
      <c r="T687" s="786"/>
      <c r="U687" s="784"/>
      <c r="V687" s="784"/>
      <c r="W687" s="785"/>
      <c r="X687" s="783"/>
      <c r="Y687" s="308"/>
      <c r="Z687" s="244"/>
      <c r="AA687" s="244"/>
      <c r="AB687" s="309"/>
      <c r="AC687" s="783"/>
      <c r="AD687" s="308"/>
      <c r="AE687" s="244"/>
      <c r="AF687" s="244"/>
      <c r="AG687" s="309"/>
      <c r="AH687" s="783"/>
      <c r="AI687" s="308"/>
      <c r="AJ687" s="244"/>
      <c r="AK687" s="244"/>
      <c r="AL687" s="309"/>
      <c r="AM687" s="783"/>
      <c r="AN687" s="308"/>
      <c r="AO687" s="244"/>
      <c r="AP687" s="244"/>
      <c r="AQ687" s="309"/>
      <c r="AR687" s="783"/>
      <c r="AS687" s="308"/>
      <c r="AT687" s="244"/>
      <c r="AU687" s="244"/>
      <c r="AV687" s="309"/>
      <c r="AW687" s="783"/>
      <c r="AX687" s="308"/>
      <c r="AY687" s="244"/>
      <c r="AZ687" s="244"/>
      <c r="BA687" s="309"/>
      <c r="BB687" s="783"/>
      <c r="BC687" s="308"/>
      <c r="BD687" s="244"/>
      <c r="BE687" s="244"/>
      <c r="BF687" s="309"/>
      <c r="BG687" s="783"/>
      <c r="BH687" s="308"/>
      <c r="BI687" s="244"/>
      <c r="BJ687" s="244"/>
      <c r="BK687" s="309"/>
      <c r="BL687" s="783"/>
      <c r="BM687" s="308"/>
      <c r="BN687" s="244"/>
      <c r="BO687" s="244"/>
      <c r="BP687" s="309"/>
      <c r="BQ687" s="783"/>
      <c r="BR687" s="156"/>
      <c r="BS687" s="156"/>
      <c r="BT687" s="40"/>
      <c r="BV687" s="156"/>
      <c r="BW687" s="156"/>
      <c r="BX687" s="156"/>
      <c r="BY687" s="156"/>
      <c r="BZ687" s="156"/>
      <c r="CA687" s="156"/>
      <c r="CB687" s="156"/>
      <c r="CC687" s="156"/>
      <c r="CD687" s="40"/>
      <c r="CE687" s="40"/>
      <c r="CF687" s="40"/>
      <c r="CG687" s="40"/>
      <c r="CH687" s="40"/>
      <c r="CI687" s="40"/>
      <c r="CJ687" s="40"/>
      <c r="CK687" s="40"/>
      <c r="CL687" s="40"/>
      <c r="CM687" s="40"/>
      <c r="CN687" s="40"/>
      <c r="CO687" s="40"/>
      <c r="CP687" s="40"/>
      <c r="CQ687" s="40"/>
      <c r="CR687" s="40"/>
      <c r="CS687" s="40"/>
      <c r="CT687" s="994"/>
      <c r="CZ687" s="40"/>
      <c r="DA687" s="40"/>
      <c r="DB687" s="40"/>
      <c r="DC687" s="40"/>
      <c r="DD687" s="40"/>
      <c r="DE687" s="40"/>
    </row>
    <row r="688" spans="1:118" s="232" customFormat="1">
      <c r="A688" s="40"/>
      <c r="B688" s="32"/>
      <c r="C688" s="889" t="s">
        <v>792</v>
      </c>
      <c r="D688" s="895"/>
      <c r="E688" s="896"/>
      <c r="F688" s="897"/>
      <c r="G688" s="897"/>
      <c r="H688" s="898"/>
      <c r="I688" s="228"/>
      <c r="J688" s="292"/>
      <c r="K688" s="897"/>
      <c r="L688" s="897"/>
      <c r="M688" s="898"/>
      <c r="N688" s="32"/>
      <c r="O688" s="292"/>
      <c r="P688" s="261"/>
      <c r="Q688" s="261"/>
      <c r="R688" s="293"/>
      <c r="S688" s="32"/>
      <c r="T688" s="786"/>
      <c r="U688" s="784"/>
      <c r="V688" s="784"/>
      <c r="W688" s="785"/>
      <c r="X688" s="783"/>
      <c r="Y688" s="308"/>
      <c r="Z688" s="244"/>
      <c r="AA688" s="244"/>
      <c r="AB688" s="309"/>
      <c r="AC688" s="783"/>
      <c r="AD688" s="308"/>
      <c r="AE688" s="244"/>
      <c r="AF688" s="244"/>
      <c r="AG688" s="309"/>
      <c r="AH688" s="783"/>
      <c r="AI688" s="308"/>
      <c r="AJ688" s="244"/>
      <c r="AK688" s="244"/>
      <c r="AL688" s="309"/>
      <c r="AM688" s="783"/>
      <c r="AN688" s="308"/>
      <c r="AO688" s="244"/>
      <c r="AP688" s="244"/>
      <c r="AQ688" s="309"/>
      <c r="AR688" s="783"/>
      <c r="AS688" s="308"/>
      <c r="AT688" s="244"/>
      <c r="AU688" s="244"/>
      <c r="AV688" s="309"/>
      <c r="AW688" s="783"/>
      <c r="AX688" s="308"/>
      <c r="AY688" s="244"/>
      <c r="AZ688" s="244"/>
      <c r="BA688" s="309"/>
      <c r="BB688" s="783"/>
      <c r="BC688" s="308"/>
      <c r="BD688" s="244"/>
      <c r="BE688" s="244"/>
      <c r="BF688" s="309"/>
      <c r="BG688" s="783"/>
      <c r="BH688" s="308"/>
      <c r="BI688" s="244"/>
      <c r="BJ688" s="244"/>
      <c r="BK688" s="309"/>
      <c r="BL688" s="783"/>
      <c r="BM688" s="308"/>
      <c r="BN688" s="244"/>
      <c r="BO688" s="244"/>
      <c r="BP688" s="309"/>
      <c r="BQ688" s="783"/>
      <c r="BR688" s="40"/>
      <c r="BS688" s="40"/>
      <c r="BT688" s="40"/>
      <c r="BV688" s="156"/>
      <c r="BW688" s="156"/>
      <c r="BX688" s="156"/>
      <c r="BY688" s="156"/>
      <c r="BZ688" s="156"/>
      <c r="CA688" s="156"/>
      <c r="CB688" s="156"/>
      <c r="CC688" s="156"/>
      <c r="CD688" s="40"/>
      <c r="CE688" s="40"/>
      <c r="CF688" s="40"/>
      <c r="CG688" s="40"/>
      <c r="CH688" s="40"/>
      <c r="CI688" s="40"/>
      <c r="CJ688" s="40"/>
      <c r="CK688" s="40"/>
      <c r="CL688" s="40"/>
      <c r="CM688" s="40"/>
      <c r="CN688" s="40"/>
      <c r="CO688" s="40"/>
      <c r="CP688" s="40"/>
      <c r="CQ688" s="40"/>
      <c r="CR688" s="40"/>
      <c r="CS688" s="40"/>
      <c r="CT688" s="994"/>
      <c r="CZ688" s="40"/>
      <c r="DA688" s="40"/>
      <c r="DB688" s="40"/>
      <c r="DC688" s="40"/>
      <c r="DD688" s="40"/>
      <c r="DE688" s="40"/>
    </row>
    <row r="689" spans="1:118" s="232" customFormat="1">
      <c r="A689" s="40"/>
      <c r="B689" s="28"/>
      <c r="C689" s="895" t="s">
        <v>802</v>
      </c>
      <c r="D689" s="890" t="s">
        <v>510</v>
      </c>
      <c r="E689" s="896"/>
      <c r="F689" s="897"/>
      <c r="G689" s="897"/>
      <c r="H689" s="898"/>
      <c r="I689" s="1082">
        <f>I690*$I$672</f>
        <v>2470</v>
      </c>
      <c r="J689" s="897"/>
      <c r="K689" s="897"/>
      <c r="L689" s="897"/>
      <c r="M689" s="898"/>
      <c r="N689" s="45"/>
      <c r="O689" s="290"/>
      <c r="P689" s="260"/>
      <c r="Q689" s="260"/>
      <c r="R689" s="291"/>
      <c r="S689" s="45"/>
      <c r="T689" s="786"/>
      <c r="U689" s="784"/>
      <c r="V689" s="784"/>
      <c r="W689" s="785"/>
      <c r="X689" s="783"/>
      <c r="Y689" s="308">
        <f>+I689</f>
        <v>2470</v>
      </c>
      <c r="Z689" s="244">
        <f>Y689</f>
        <v>2470</v>
      </c>
      <c r="AA689" s="244">
        <f>Z689</f>
        <v>2470</v>
      </c>
      <c r="AB689" s="309">
        <f>AA689</f>
        <v>2470</v>
      </c>
      <c r="AC689" s="783">
        <f>AB689</f>
        <v>2470</v>
      </c>
      <c r="AD689" s="308">
        <f t="shared" ref="AD689:BD689" si="974">AC689</f>
        <v>2470</v>
      </c>
      <c r="AE689" s="244">
        <f>AD689</f>
        <v>2470</v>
      </c>
      <c r="AF689" s="244">
        <f t="shared" si="974"/>
        <v>2470</v>
      </c>
      <c r="AG689" s="1954">
        <f>AF689-250</f>
        <v>2220</v>
      </c>
      <c r="AH689" s="783">
        <f t="shared" si="974"/>
        <v>2220</v>
      </c>
      <c r="AI689" s="1987">
        <f>AH689-1249*0.95</f>
        <v>1033.45</v>
      </c>
      <c r="AJ689" s="244">
        <f t="shared" si="974"/>
        <v>1033.45</v>
      </c>
      <c r="AK689" s="244">
        <f t="shared" si="974"/>
        <v>1033.45</v>
      </c>
      <c r="AL689" s="309">
        <f t="shared" si="974"/>
        <v>1033.45</v>
      </c>
      <c r="AM689" s="783">
        <f t="shared" si="974"/>
        <v>1033.45</v>
      </c>
      <c r="AN689" s="308">
        <f t="shared" si="974"/>
        <v>1033.45</v>
      </c>
      <c r="AO689" s="244">
        <f t="shared" si="974"/>
        <v>1033.45</v>
      </c>
      <c r="AP689" s="244">
        <f t="shared" si="974"/>
        <v>1033.45</v>
      </c>
      <c r="AQ689" s="309">
        <f t="shared" si="974"/>
        <v>1033.45</v>
      </c>
      <c r="AR689" s="783">
        <f t="shared" si="974"/>
        <v>1033.45</v>
      </c>
      <c r="AS689" s="308">
        <f t="shared" si="974"/>
        <v>1033.45</v>
      </c>
      <c r="AT689" s="244">
        <f t="shared" si="974"/>
        <v>1033.45</v>
      </c>
      <c r="AU689" s="244">
        <f t="shared" si="974"/>
        <v>1033.45</v>
      </c>
      <c r="AV689" s="309">
        <f t="shared" si="974"/>
        <v>1033.45</v>
      </c>
      <c r="AW689" s="783">
        <f t="shared" si="974"/>
        <v>1033.45</v>
      </c>
      <c r="AX689" s="308">
        <f t="shared" si="974"/>
        <v>1033.45</v>
      </c>
      <c r="AY689" s="244">
        <f t="shared" si="974"/>
        <v>1033.45</v>
      </c>
      <c r="AZ689" s="2092">
        <v>265</v>
      </c>
      <c r="BA689" s="309">
        <f t="shared" si="974"/>
        <v>265</v>
      </c>
      <c r="BB689" s="783">
        <f t="shared" si="974"/>
        <v>265</v>
      </c>
      <c r="BC689" s="308">
        <f t="shared" si="974"/>
        <v>265</v>
      </c>
      <c r="BD689" s="244">
        <f t="shared" si="974"/>
        <v>265</v>
      </c>
      <c r="BE689" s="2092">
        <v>275</v>
      </c>
      <c r="BF689" s="309">
        <f t="shared" ref="BF689:BL689" si="975">BE689</f>
        <v>275</v>
      </c>
      <c r="BG689" s="783">
        <f>BF689</f>
        <v>275</v>
      </c>
      <c r="BH689" s="308">
        <f>BG689</f>
        <v>275</v>
      </c>
      <c r="BI689" s="244">
        <f t="shared" si="975"/>
        <v>275</v>
      </c>
      <c r="BJ689" s="2092">
        <v>225</v>
      </c>
      <c r="BK689" s="309">
        <f t="shared" si="975"/>
        <v>225</v>
      </c>
      <c r="BL689" s="783">
        <f t="shared" si="975"/>
        <v>225</v>
      </c>
      <c r="BM689" s="308">
        <f t="shared" ref="BM689" si="976">BL689</f>
        <v>225</v>
      </c>
      <c r="BN689" s="244">
        <f t="shared" ref="BN689" si="977">BM689</f>
        <v>225</v>
      </c>
      <c r="BO689" s="244">
        <f t="shared" ref="BO689" si="978">BN689</f>
        <v>225</v>
      </c>
      <c r="BP689" s="309">
        <f t="shared" ref="BP689" si="979">BO689</f>
        <v>225</v>
      </c>
      <c r="BQ689" s="783">
        <f t="shared" ref="BQ689" si="980">BP689</f>
        <v>225</v>
      </c>
      <c r="BR689" s="40"/>
      <c r="BS689" s="40"/>
      <c r="BT689" s="40"/>
      <c r="BV689" s="156"/>
      <c r="BW689" s="156"/>
      <c r="BX689" s="156"/>
      <c r="BY689" s="156"/>
      <c r="BZ689" s="156"/>
      <c r="CA689" s="156"/>
      <c r="CB689" s="156"/>
      <c r="CC689" s="156"/>
      <c r="CD689" s="40"/>
      <c r="CE689" s="40"/>
      <c r="CF689" s="40"/>
      <c r="CG689" s="40"/>
      <c r="CH689" s="40"/>
      <c r="CI689" s="40"/>
      <c r="CJ689" s="40"/>
      <c r="CK689" s="40"/>
      <c r="CL689" s="40"/>
      <c r="CM689" s="40"/>
      <c r="CN689" s="40"/>
      <c r="CO689" s="40"/>
      <c r="CP689" s="40"/>
      <c r="CQ689" s="40"/>
      <c r="CR689" s="40"/>
      <c r="CS689" s="40"/>
      <c r="CT689" s="994"/>
      <c r="CZ689" s="40"/>
      <c r="DA689" s="40"/>
      <c r="DB689" s="40"/>
      <c r="DC689" s="40"/>
      <c r="DD689" s="40"/>
      <c r="DE689" s="40"/>
    </row>
    <row r="690" spans="1:118" s="232" customFormat="1">
      <c r="A690" s="40"/>
      <c r="B690" s="32"/>
      <c r="C690" s="28" t="s">
        <v>394</v>
      </c>
      <c r="D690" s="890" t="s">
        <v>509</v>
      </c>
      <c r="E690" s="896"/>
      <c r="F690" s="897"/>
      <c r="G690" s="897"/>
      <c r="H690" s="898"/>
      <c r="I690" s="228">
        <v>2600</v>
      </c>
      <c r="J690" s="292"/>
      <c r="K690" s="897"/>
      <c r="L690" s="897"/>
      <c r="M690" s="898"/>
      <c r="N690" s="228"/>
      <c r="O690" s="292"/>
      <c r="P690" s="261"/>
      <c r="Q690" s="261"/>
      <c r="R690" s="293"/>
      <c r="S690" s="228"/>
      <c r="T690" s="910"/>
      <c r="U690" s="911"/>
      <c r="V690" s="911"/>
      <c r="W690" s="912"/>
      <c r="X690" s="913"/>
      <c r="Y690" s="455">
        <f t="shared" ref="Y690:BL690" si="981">Y126</f>
        <v>133.37</v>
      </c>
      <c r="Z690" s="456">
        <f t="shared" si="981"/>
        <v>164.29666666666665</v>
      </c>
      <c r="AA690" s="456">
        <f t="shared" si="981"/>
        <v>226.15</v>
      </c>
      <c r="AB690" s="457">
        <f t="shared" si="981"/>
        <v>226.15</v>
      </c>
      <c r="AC690" s="913">
        <f t="shared" si="981"/>
        <v>187.49166666666665</v>
      </c>
      <c r="AD690" s="455">
        <f t="shared" si="981"/>
        <v>226.15</v>
      </c>
      <c r="AE690" s="456">
        <f t="shared" si="981"/>
        <v>136.5</v>
      </c>
      <c r="AF690" s="456">
        <f t="shared" si="981"/>
        <v>136.5</v>
      </c>
      <c r="AG690" s="457">
        <f t="shared" si="981"/>
        <v>136.5</v>
      </c>
      <c r="AH690" s="913">
        <f t="shared" si="981"/>
        <v>158.91249999999999</v>
      </c>
      <c r="AI690" s="455">
        <f t="shared" si="981"/>
        <v>136.5</v>
      </c>
      <c r="AJ690" s="456">
        <f t="shared" si="981"/>
        <v>146.82</v>
      </c>
      <c r="AK690" s="456">
        <f t="shared" si="981"/>
        <v>167.46</v>
      </c>
      <c r="AL690" s="457">
        <f t="shared" si="981"/>
        <v>167.46</v>
      </c>
      <c r="AM690" s="913">
        <f t="shared" si="981"/>
        <v>154.56</v>
      </c>
      <c r="AN690" s="455">
        <f t="shared" si="981"/>
        <v>167.46</v>
      </c>
      <c r="AO690" s="456">
        <f t="shared" si="981"/>
        <v>151.35</v>
      </c>
      <c r="AP690" s="456">
        <f t="shared" si="981"/>
        <v>119.13</v>
      </c>
      <c r="AQ690" s="457">
        <f t="shared" si="981"/>
        <v>119.13</v>
      </c>
      <c r="AR690" s="913">
        <f t="shared" si="981"/>
        <v>139.26749999999998</v>
      </c>
      <c r="AS690" s="455">
        <f t="shared" si="981"/>
        <v>119.13</v>
      </c>
      <c r="AT690" s="456">
        <f t="shared" si="981"/>
        <v>119.41999999999999</v>
      </c>
      <c r="AU690" s="456">
        <f t="shared" si="981"/>
        <v>120</v>
      </c>
      <c r="AV690" s="457">
        <f t="shared" si="981"/>
        <v>120</v>
      </c>
      <c r="AW690" s="913">
        <f t="shared" si="981"/>
        <v>119.63749999999999</v>
      </c>
      <c r="AX690" s="455">
        <f t="shared" si="981"/>
        <v>120</v>
      </c>
      <c r="AY690" s="456">
        <f t="shared" si="981"/>
        <v>134.92333333333335</v>
      </c>
      <c r="AZ690" s="456">
        <f t="shared" si="981"/>
        <v>164.77</v>
      </c>
      <c r="BA690" s="457">
        <f t="shared" si="981"/>
        <v>164.77</v>
      </c>
      <c r="BB690" s="913">
        <f t="shared" si="981"/>
        <v>146.11583333333334</v>
      </c>
      <c r="BC690" s="455">
        <f t="shared" si="981"/>
        <v>164.77</v>
      </c>
      <c r="BD690" s="456">
        <f t="shared" si="981"/>
        <v>143.18</v>
      </c>
      <c r="BE690" s="456">
        <f t="shared" si="981"/>
        <v>100</v>
      </c>
      <c r="BF690" s="457">
        <f t="shared" si="981"/>
        <v>100</v>
      </c>
      <c r="BG690" s="913">
        <f t="shared" si="981"/>
        <v>126.98750000000001</v>
      </c>
      <c r="BH690" s="455">
        <f t="shared" si="981"/>
        <v>100</v>
      </c>
      <c r="BI690" s="456">
        <f t="shared" si="981"/>
        <v>100</v>
      </c>
      <c r="BJ690" s="456">
        <f t="shared" si="981"/>
        <v>86.04</v>
      </c>
      <c r="BK690" s="457">
        <f t="shared" si="981"/>
        <v>86.04</v>
      </c>
      <c r="BL690" s="913">
        <f t="shared" si="981"/>
        <v>93.02000000000001</v>
      </c>
      <c r="BM690" s="455">
        <f t="shared" ref="BM690:BQ690" si="982">BM126</f>
        <v>175</v>
      </c>
      <c r="BN690" s="456">
        <f t="shared" si="982"/>
        <v>175</v>
      </c>
      <c r="BO690" s="456">
        <f t="shared" si="982"/>
        <v>175</v>
      </c>
      <c r="BP690" s="457">
        <f t="shared" si="982"/>
        <v>175</v>
      </c>
      <c r="BQ690" s="913">
        <f t="shared" si="982"/>
        <v>175</v>
      </c>
      <c r="BR690" s="40"/>
      <c r="BS690" s="40"/>
      <c r="BT690" s="40"/>
      <c r="BV690" s="156"/>
      <c r="BW690" s="156"/>
      <c r="BX690" s="156"/>
      <c r="BY690" s="156"/>
      <c r="BZ690" s="156"/>
      <c r="CA690" s="156"/>
      <c r="CB690" s="156"/>
      <c r="CC690" s="156"/>
      <c r="CD690" s="40"/>
      <c r="CE690" s="40"/>
      <c r="CF690" s="40"/>
      <c r="CG690" s="40"/>
      <c r="CH690" s="40"/>
      <c r="CI690" s="40"/>
      <c r="CJ690" s="40"/>
      <c r="CK690" s="40"/>
      <c r="CL690" s="40"/>
      <c r="CM690" s="40"/>
      <c r="CN690" s="40"/>
      <c r="CO690" s="40"/>
      <c r="CP690" s="40"/>
      <c r="CQ690" s="40"/>
      <c r="CR690" s="40"/>
      <c r="CS690" s="40"/>
      <c r="CT690" s="994"/>
      <c r="CZ690" s="40"/>
      <c r="DA690" s="40"/>
      <c r="DB690" s="40"/>
      <c r="DC690" s="40"/>
      <c r="DD690" s="40"/>
      <c r="DE690" s="40"/>
    </row>
    <row r="691" spans="1:118" s="232" customFormat="1">
      <c r="A691" s="40"/>
      <c r="B691" s="32"/>
      <c r="C691" s="32" t="s">
        <v>798</v>
      </c>
      <c r="D691" s="909"/>
      <c r="E691" s="891"/>
      <c r="F691" s="892"/>
      <c r="G691" s="892"/>
      <c r="H691" s="893"/>
      <c r="I691" s="228"/>
      <c r="J691" s="292"/>
      <c r="K691" s="892"/>
      <c r="L691" s="892"/>
      <c r="M691" s="893"/>
      <c r="N691" s="228"/>
      <c r="O691" s="292"/>
      <c r="P691" s="261"/>
      <c r="Q691" s="261"/>
      <c r="R691" s="293"/>
      <c r="S691" s="228"/>
      <c r="T691" s="788"/>
      <c r="U691" s="789"/>
      <c r="V691" s="789"/>
      <c r="W691" s="790"/>
      <c r="X691" s="228"/>
      <c r="Y691" s="788">
        <f>Y689*Y690*365/1000000/4</f>
        <v>30.059930875000003</v>
      </c>
      <c r="Z691" s="789">
        <f>Z689*Z690*365/1000000/4</f>
        <v>37.030414958333331</v>
      </c>
      <c r="AA691" s="789">
        <f>AA689*AA690*365/1000000/4</f>
        <v>50.971383125000003</v>
      </c>
      <c r="AB691" s="790">
        <f>AB689*AB690*365/1000000/4</f>
        <v>50.971383125000003</v>
      </c>
      <c r="AC691" s="228">
        <f>SUM(Y691:AB691)</f>
        <v>169.03311208333332</v>
      </c>
      <c r="AD691" s="788">
        <f>AD689*AD690*365/1000000/4</f>
        <v>50.971383125000003</v>
      </c>
      <c r="AE691" s="789">
        <f>AE689*AE690*365/1000000/4</f>
        <v>30.765393750000001</v>
      </c>
      <c r="AF691" s="789">
        <f>AF689*AF690*365/1000000/4</f>
        <v>30.765393750000001</v>
      </c>
      <c r="AG691" s="790">
        <f>AG689*AG690*365/1000000/4</f>
        <v>27.651487500000002</v>
      </c>
      <c r="AH691" s="228">
        <f>SUM(AD691:AG691)</f>
        <v>140.15365812499999</v>
      </c>
      <c r="AI691" s="788">
        <f>AI689*AI690*365/1000000/4</f>
        <v>12.872265656250002</v>
      </c>
      <c r="AJ691" s="789">
        <f>AJ689*AJ690*365/1000000/4</f>
        <v>13.845465521249999</v>
      </c>
      <c r="AK691" s="789">
        <f>AK689*AK690*365/1000000/4</f>
        <v>15.79186525125</v>
      </c>
      <c r="AL691" s="790">
        <f>AL689*AL690*365/1000000/4</f>
        <v>15.79186525125</v>
      </c>
      <c r="AM691" s="228">
        <f>SUM(AI691:AL691)</f>
        <v>58.301461680000003</v>
      </c>
      <c r="AN691" s="788">
        <f>AN689*AN690*365/1000000/4</f>
        <v>15.79186525125</v>
      </c>
      <c r="AO691" s="789">
        <f>AO689*AO690*365/1000000/4</f>
        <v>14.272654996875</v>
      </c>
      <c r="AP691" s="789">
        <f>AP689*AP690*365/1000000/4</f>
        <v>11.234234488125001</v>
      </c>
      <c r="AQ691" s="790">
        <f>AQ689*AQ690*365/1000000/4</f>
        <v>11.234234488125001</v>
      </c>
      <c r="AR691" s="228">
        <f>SUM(AN691:AQ691)</f>
        <v>52.532989224375001</v>
      </c>
      <c r="AS691" s="788">
        <f>AS689*AS690*365/1000000/4</f>
        <v>11.234234488125001</v>
      </c>
      <c r="AT691" s="789">
        <f>AT689*AT690*365/1000000/4</f>
        <v>11.261582158749999</v>
      </c>
      <c r="AU691" s="789">
        <f>AU689*AU690*365/1000000/4</f>
        <v>11.3162775</v>
      </c>
      <c r="AV691" s="790">
        <f>AV689*AV690*365/1000000/4</f>
        <v>11.3162775</v>
      </c>
      <c r="AW691" s="228">
        <f>SUM(AS691:AV691)</f>
        <v>45.128371646874996</v>
      </c>
      <c r="AX691" s="788">
        <f>AX689*AX690*365/1000000/4</f>
        <v>11.3162775</v>
      </c>
      <c r="AY691" s="789">
        <f>AY689*AY690*365/1000000/4</f>
        <v>12.723582343541668</v>
      </c>
      <c r="AZ691" s="789">
        <f>AZ689*AZ690*365/1000000/4</f>
        <v>3.9843445625000005</v>
      </c>
      <c r="BA691" s="790">
        <f>BA689*BA690*365/1000000/4</f>
        <v>3.9843445625000005</v>
      </c>
      <c r="BB691" s="228">
        <f>SUM(AX691:BA691)</f>
        <v>32.008548968541668</v>
      </c>
      <c r="BC691" s="788">
        <f>BC689*BC690*365/1000000/4</f>
        <v>3.9843445625000005</v>
      </c>
      <c r="BD691" s="789">
        <f>BD689*BD690*365/1000000/4</f>
        <v>3.4622713750000003</v>
      </c>
      <c r="BE691" s="789">
        <f>BE689*BE690*365/1000000/4</f>
        <v>2.5093749999999999</v>
      </c>
      <c r="BF691" s="790">
        <f>BF689*BF690*365/1000000/4</f>
        <v>2.5093749999999999</v>
      </c>
      <c r="BG691" s="228">
        <f>SUM(BC691:BF691)</f>
        <v>12.465365937500001</v>
      </c>
      <c r="BH691" s="788">
        <f>BH689*BH690*365/1000000/4</f>
        <v>2.5093749999999999</v>
      </c>
      <c r="BI691" s="789">
        <f>BI689*BI690*365/1000000/4</f>
        <v>2.5093749999999999</v>
      </c>
      <c r="BJ691" s="789">
        <f>BJ689*BJ690*365/1000000/4</f>
        <v>1.7665087500000001</v>
      </c>
      <c r="BK691" s="790">
        <f>BK689*BK690*365/1000000/4</f>
        <v>1.7665087500000001</v>
      </c>
      <c r="BL691" s="228">
        <f>SUM(BH691:BK691)</f>
        <v>8.5517675000000004</v>
      </c>
      <c r="BM691" s="788">
        <f>BM689*BM690*365/1000000/4</f>
        <v>3.5929687499999998</v>
      </c>
      <c r="BN691" s="789">
        <f>BN689*BN690*365/1000000/4</f>
        <v>3.5929687499999998</v>
      </c>
      <c r="BO691" s="789">
        <f>BO689*BO690*365/1000000/4</f>
        <v>3.5929687499999998</v>
      </c>
      <c r="BP691" s="790">
        <f>BP689*BP690*365/1000000/4</f>
        <v>3.5929687499999998</v>
      </c>
      <c r="BQ691" s="228">
        <f>SUM(BM691:BP691)</f>
        <v>14.371874999999999</v>
      </c>
      <c r="BR691" s="40"/>
      <c r="BS691" s="40"/>
      <c r="BT691" s="40"/>
      <c r="BV691" s="156"/>
      <c r="BW691" s="156"/>
      <c r="BX691" s="156"/>
      <c r="BY691" s="156"/>
      <c r="BZ691" s="156"/>
      <c r="CA691" s="156"/>
      <c r="CB691" s="156"/>
      <c r="CC691" s="156"/>
      <c r="CD691" s="40"/>
      <c r="CE691" s="1087"/>
      <c r="CF691" s="40"/>
      <c r="CG691" s="40"/>
      <c r="CH691" s="40"/>
      <c r="CI691" s="40"/>
      <c r="CJ691" s="40"/>
      <c r="CK691" s="40"/>
      <c r="CL691" s="40"/>
      <c r="CM691" s="40"/>
      <c r="CN691" s="40"/>
      <c r="CO691" s="40"/>
      <c r="CP691" s="40"/>
      <c r="CQ691" s="40"/>
      <c r="CR691" s="40"/>
      <c r="CS691" s="40"/>
      <c r="CT691" s="994"/>
      <c r="CZ691" s="40"/>
      <c r="DA691" s="40"/>
      <c r="DB691" s="40"/>
      <c r="DC691" s="40"/>
      <c r="DD691" s="40"/>
      <c r="DE691" s="40"/>
    </row>
    <row r="692" spans="1:118" s="232" customFormat="1">
      <c r="A692" s="40"/>
      <c r="B692" s="32"/>
      <c r="C692" s="32"/>
      <c r="D692" s="895"/>
      <c r="E692" s="896"/>
      <c r="F692" s="897"/>
      <c r="G692" s="897"/>
      <c r="H692" s="898"/>
      <c r="I692" s="228"/>
      <c r="J692" s="292"/>
      <c r="K692" s="897"/>
      <c r="L692" s="897"/>
      <c r="M692" s="898"/>
      <c r="N692" s="228"/>
      <c r="O692" s="292"/>
      <c r="P692" s="261"/>
      <c r="Q692" s="261"/>
      <c r="R692" s="293"/>
      <c r="S692" s="228"/>
      <c r="T692" s="786"/>
      <c r="U692" s="784"/>
      <c r="V692" s="784"/>
      <c r="W692" s="785"/>
      <c r="X692" s="783"/>
      <c r="Y692" s="308"/>
      <c r="Z692" s="244"/>
      <c r="AA692" s="244"/>
      <c r="AB692" s="309"/>
      <c r="AC692" s="783"/>
      <c r="AD692" s="308"/>
      <c r="AE692" s="244"/>
      <c r="AF692" s="244"/>
      <c r="AG692" s="309"/>
      <c r="AH692" s="783"/>
      <c r="AI692" s="308"/>
      <c r="AJ692" s="244"/>
      <c r="AK692" s="244"/>
      <c r="AL692" s="309"/>
      <c r="AM692" s="783"/>
      <c r="AN692" s="308"/>
      <c r="AO692" s="244"/>
      <c r="AP692" s="244"/>
      <c r="AQ692" s="309"/>
      <c r="AR692" s="783"/>
      <c r="AS692" s="308"/>
      <c r="AT692" s="244"/>
      <c r="AU692" s="244"/>
      <c r="AV692" s="309"/>
      <c r="AW692" s="783"/>
      <c r="AX692" s="308"/>
      <c r="AY692" s="244"/>
      <c r="AZ692" s="244"/>
      <c r="BA692" s="309"/>
      <c r="BB692" s="783"/>
      <c r="BC692" s="308"/>
      <c r="BD692" s="244"/>
      <c r="BE692" s="244"/>
      <c r="BF692" s="309"/>
      <c r="BG692" s="783"/>
      <c r="BH692" s="308"/>
      <c r="BI692" s="244"/>
      <c r="BJ692" s="244"/>
      <c r="BK692" s="309"/>
      <c r="BL692" s="783"/>
      <c r="BM692" s="308"/>
      <c r="BN692" s="244"/>
      <c r="BO692" s="244"/>
      <c r="BP692" s="309"/>
      <c r="BQ692" s="783"/>
      <c r="BR692" s="156"/>
      <c r="BS692" s="156"/>
      <c r="BT692" s="40"/>
      <c r="BV692" s="156"/>
      <c r="BW692" s="156"/>
      <c r="BX692" s="156"/>
      <c r="BY692" s="156"/>
      <c r="BZ692" s="156"/>
      <c r="CA692" s="156"/>
      <c r="CB692" s="156"/>
      <c r="CC692" s="156"/>
      <c r="CD692" s="40"/>
      <c r="CE692" s="40"/>
      <c r="CF692" s="40"/>
      <c r="CG692" s="40"/>
      <c r="CH692" s="40"/>
      <c r="CI692" s="40"/>
      <c r="CJ692" s="40"/>
      <c r="CK692" s="40"/>
      <c r="CL692" s="40"/>
      <c r="CM692" s="40"/>
      <c r="CN692" s="40"/>
      <c r="CO692" s="40"/>
      <c r="CP692" s="40"/>
      <c r="CQ692" s="40"/>
      <c r="CR692" s="40"/>
      <c r="CS692" s="40"/>
      <c r="CT692" s="994"/>
      <c r="CZ692" s="40"/>
      <c r="DA692" s="40"/>
      <c r="DB692" s="40"/>
      <c r="DC692" s="40"/>
      <c r="DD692" s="40"/>
      <c r="DE692" s="40"/>
    </row>
    <row r="693" spans="1:118">
      <c r="A693" s="40"/>
      <c r="B693" s="32"/>
      <c r="C693" s="889" t="s">
        <v>303</v>
      </c>
      <c r="D693" s="895"/>
      <c r="E693" s="896"/>
      <c r="F693" s="897"/>
      <c r="G693" s="897"/>
      <c r="H693" s="898"/>
      <c r="I693" s="228"/>
      <c r="J693" s="292"/>
      <c r="K693" s="897"/>
      <c r="L693" s="897"/>
      <c r="M693" s="898"/>
      <c r="N693" s="32"/>
      <c r="O693" s="292"/>
      <c r="P693" s="261"/>
      <c r="Q693" s="261"/>
      <c r="R693" s="293"/>
      <c r="S693" s="32"/>
      <c r="T693" s="786"/>
      <c r="U693" s="784"/>
      <c r="V693" s="784"/>
      <c r="W693" s="785"/>
      <c r="X693" s="783"/>
      <c r="Y693" s="308"/>
      <c r="Z693" s="244"/>
      <c r="AA693" s="244"/>
      <c r="AB693" s="309"/>
      <c r="AC693" s="783"/>
      <c r="AD693" s="308"/>
      <c r="AE693" s="244"/>
      <c r="AF693" s="244"/>
      <c r="AG693" s="309"/>
      <c r="AH693" s="783"/>
      <c r="AI693" s="308"/>
      <c r="AJ693" s="244"/>
      <c r="AK693" s="244"/>
      <c r="AL693" s="309"/>
      <c r="AM693" s="783"/>
      <c r="AN693" s="308"/>
      <c r="AO693" s="244"/>
      <c r="AP693" s="244"/>
      <c r="AQ693" s="309"/>
      <c r="AR693" s="783"/>
      <c r="AS693" s="308"/>
      <c r="AT693" s="244"/>
      <c r="AU693" s="244"/>
      <c r="AV693" s="309"/>
      <c r="AW693" s="783"/>
      <c r="AX693" s="308"/>
      <c r="AY693" s="244"/>
      <c r="AZ693" s="244"/>
      <c r="BA693" s="309"/>
      <c r="BB693" s="783"/>
      <c r="BC693" s="308"/>
      <c r="BD693" s="244"/>
      <c r="BE693" s="244"/>
      <c r="BF693" s="309"/>
      <c r="BG693" s="783"/>
      <c r="BH693" s="308"/>
      <c r="BI693" s="244"/>
      <c r="BJ693" s="244"/>
      <c r="BK693" s="309"/>
      <c r="BL693" s="783"/>
      <c r="BM693" s="308"/>
      <c r="BN693" s="244"/>
      <c r="BO693" s="244"/>
      <c r="BP693" s="309"/>
      <c r="BQ693" s="783"/>
      <c r="BR693" s="40"/>
      <c r="BS693" s="40"/>
      <c r="BT693" s="40"/>
      <c r="BU693" s="232"/>
      <c r="BV693" s="156"/>
      <c r="BW693" s="156"/>
      <c r="BX693" s="156"/>
      <c r="BY693" s="156"/>
      <c r="BZ693" s="156"/>
      <c r="CA693" s="156"/>
      <c r="CB693" s="156"/>
      <c r="CC693" s="156"/>
      <c r="CD693" s="40"/>
      <c r="CE693" s="40"/>
      <c r="CF693" s="40"/>
      <c r="CG693" s="40"/>
      <c r="CH693" s="40"/>
      <c r="CI693" s="40"/>
      <c r="CJ693" s="40"/>
      <c r="CK693" s="40"/>
      <c r="CL693" s="40"/>
      <c r="CM693" s="40"/>
      <c r="CN693" s="40"/>
      <c r="CO693" s="40"/>
      <c r="CP693" s="40"/>
      <c r="CQ693" s="40"/>
      <c r="CR693" s="40"/>
      <c r="CS693" s="40"/>
      <c r="CT693" s="823"/>
      <c r="CU693" s="232"/>
      <c r="CV693" s="232"/>
      <c r="CW693" s="232"/>
      <c r="CX693" s="232"/>
      <c r="CY693" s="232"/>
      <c r="CZ693" s="40"/>
      <c r="DA693" s="40"/>
      <c r="DB693" s="40"/>
      <c r="DC693" s="40"/>
      <c r="DD693" s="40"/>
      <c r="DE693" s="40"/>
      <c r="DF693" s="232"/>
      <c r="DG693" s="232"/>
      <c r="DH693" s="232"/>
      <c r="DI693" s="232"/>
      <c r="DJ693" s="232"/>
      <c r="DK693" s="232"/>
      <c r="DL693" s="232"/>
      <c r="DM693" s="232"/>
      <c r="DN693" s="232"/>
    </row>
    <row r="694" spans="1:118">
      <c r="A694" s="40"/>
      <c r="B694" s="28"/>
      <c r="C694" s="895" t="s">
        <v>802</v>
      </c>
      <c r="D694" s="890" t="s">
        <v>510</v>
      </c>
      <c r="E694" s="896"/>
      <c r="F694" s="897"/>
      <c r="G694" s="897"/>
      <c r="H694" s="898"/>
      <c r="I694" s="1082">
        <f>I695*$I$671</f>
        <v>1072.5</v>
      </c>
      <c r="J694" s="897"/>
      <c r="K694" s="897"/>
      <c r="L694" s="897"/>
      <c r="M694" s="898"/>
      <c r="N694" s="45"/>
      <c r="O694" s="290"/>
      <c r="P694" s="260"/>
      <c r="Q694" s="260"/>
      <c r="R694" s="291"/>
      <c r="S694" s="45"/>
      <c r="T694" s="786"/>
      <c r="U694" s="784"/>
      <c r="V694" s="784"/>
      <c r="W694" s="785"/>
      <c r="X694" s="783"/>
      <c r="Y694" s="308">
        <f>+I694</f>
        <v>1072.5</v>
      </c>
      <c r="Z694" s="244">
        <f>Y694</f>
        <v>1072.5</v>
      </c>
      <c r="AA694" s="244">
        <f>Z694</f>
        <v>1072.5</v>
      </c>
      <c r="AB694" s="309">
        <f>AA694</f>
        <v>1072.5</v>
      </c>
      <c r="AC694" s="783">
        <f>AB694</f>
        <v>1072.5</v>
      </c>
      <c r="AD694" s="308">
        <f t="shared" ref="AD694:BL694" si="983">AC694</f>
        <v>1072.5</v>
      </c>
      <c r="AE694" s="244">
        <f>AD694</f>
        <v>1072.5</v>
      </c>
      <c r="AF694" s="244">
        <f t="shared" si="983"/>
        <v>1072.5</v>
      </c>
      <c r="AG694" s="309">
        <f t="shared" si="983"/>
        <v>1072.5</v>
      </c>
      <c r="AH694" s="783">
        <f t="shared" si="983"/>
        <v>1072.5</v>
      </c>
      <c r="AI694" s="308">
        <f t="shared" si="983"/>
        <v>1072.5</v>
      </c>
      <c r="AJ694" s="244">
        <f t="shared" si="983"/>
        <v>1072.5</v>
      </c>
      <c r="AK694" s="244">
        <f t="shared" si="983"/>
        <v>1072.5</v>
      </c>
      <c r="AL694" s="309">
        <f t="shared" si="983"/>
        <v>1072.5</v>
      </c>
      <c r="AM694" s="783">
        <f t="shared" si="983"/>
        <v>1072.5</v>
      </c>
      <c r="AN694" s="308">
        <f t="shared" si="983"/>
        <v>1072.5</v>
      </c>
      <c r="AO694" s="244">
        <f t="shared" si="983"/>
        <v>1072.5</v>
      </c>
      <c r="AP694" s="244">
        <f t="shared" si="983"/>
        <v>1072.5</v>
      </c>
      <c r="AQ694" s="309">
        <f t="shared" si="983"/>
        <v>1072.5</v>
      </c>
      <c r="AR694" s="783">
        <f t="shared" si="983"/>
        <v>1072.5</v>
      </c>
      <c r="AS694" s="308">
        <f t="shared" si="983"/>
        <v>1072.5</v>
      </c>
      <c r="AT694" s="2092">
        <f>AS694+I366</f>
        <v>1910.5</v>
      </c>
      <c r="AU694" s="1312">
        <f>AT694</f>
        <v>1910.5</v>
      </c>
      <c r="AV694" s="309">
        <f t="shared" si="983"/>
        <v>1910.5</v>
      </c>
      <c r="AW694" s="783">
        <f t="shared" si="983"/>
        <v>1910.5</v>
      </c>
      <c r="AX694" s="308">
        <f t="shared" si="983"/>
        <v>1910.5</v>
      </c>
      <c r="AY694" s="244">
        <f t="shared" si="983"/>
        <v>1910.5</v>
      </c>
      <c r="AZ694" s="244">
        <f t="shared" si="983"/>
        <v>1910.5</v>
      </c>
      <c r="BA694" s="309">
        <f t="shared" si="983"/>
        <v>1910.5</v>
      </c>
      <c r="BB694" s="783">
        <f t="shared" si="983"/>
        <v>1910.5</v>
      </c>
      <c r="BC694" s="308">
        <f t="shared" si="983"/>
        <v>1910.5</v>
      </c>
      <c r="BD694" s="244">
        <f t="shared" si="983"/>
        <v>1910.5</v>
      </c>
      <c r="BE694" s="244">
        <f t="shared" si="983"/>
        <v>1910.5</v>
      </c>
      <c r="BF694" s="309">
        <f t="shared" si="983"/>
        <v>1910.5</v>
      </c>
      <c r="BG694" s="783">
        <f>BF694</f>
        <v>1910.5</v>
      </c>
      <c r="BH694" s="308">
        <f>BG694</f>
        <v>1910.5</v>
      </c>
      <c r="BI694" s="244">
        <f t="shared" si="983"/>
        <v>1910.5</v>
      </c>
      <c r="BJ694" s="244">
        <f t="shared" si="983"/>
        <v>1910.5</v>
      </c>
      <c r="BK694" s="309">
        <f t="shared" si="983"/>
        <v>1910.5</v>
      </c>
      <c r="BL694" s="783">
        <f t="shared" si="983"/>
        <v>1910.5</v>
      </c>
      <c r="BM694" s="308">
        <f t="shared" ref="BM694" si="984">BL694</f>
        <v>1910.5</v>
      </c>
      <c r="BN694" s="244">
        <f t="shared" ref="BN694" si="985">BM694</f>
        <v>1910.5</v>
      </c>
      <c r="BO694" s="244">
        <f t="shared" ref="BO694" si="986">BN694</f>
        <v>1910.5</v>
      </c>
      <c r="BP694" s="309">
        <f t="shared" ref="BP694" si="987">BO694</f>
        <v>1910.5</v>
      </c>
      <c r="BQ694" s="783">
        <f t="shared" ref="BQ694" si="988">BP694</f>
        <v>1910.5</v>
      </c>
      <c r="BR694" s="40"/>
      <c r="BS694" s="40"/>
      <c r="BT694" s="40"/>
      <c r="BU694" s="232"/>
      <c r="BV694" s="156"/>
      <c r="BW694" s="156"/>
      <c r="BX694" s="156"/>
      <c r="BY694" s="156"/>
      <c r="BZ694" s="156"/>
      <c r="CA694" s="156"/>
      <c r="CB694" s="156"/>
      <c r="CC694" s="156"/>
      <c r="CD694" s="40"/>
      <c r="CE694" s="40"/>
      <c r="CF694" s="40"/>
      <c r="CG694" s="40"/>
      <c r="CH694" s="40"/>
      <c r="CI694" s="40"/>
      <c r="CJ694" s="40"/>
      <c r="CK694" s="40"/>
      <c r="CL694" s="40"/>
      <c r="CM694" s="40"/>
      <c r="CN694" s="40"/>
      <c r="CO694" s="40"/>
      <c r="CP694" s="40"/>
      <c r="CQ694" s="40"/>
      <c r="CR694" s="40"/>
      <c r="CS694" s="40"/>
      <c r="CT694" s="823"/>
      <c r="CU694" s="232"/>
      <c r="CV694" s="232"/>
      <c r="CW694" s="232"/>
      <c r="CX694" s="232"/>
      <c r="CY694" s="232"/>
      <c r="CZ694" s="40"/>
      <c r="DA694" s="40"/>
      <c r="DB694" s="40"/>
      <c r="DC694" s="40"/>
      <c r="DD694" s="40"/>
      <c r="DE694" s="40"/>
      <c r="DF694" s="232"/>
      <c r="DG694" s="232"/>
      <c r="DH694" s="232"/>
      <c r="DI694" s="232"/>
      <c r="DJ694" s="232"/>
      <c r="DK694" s="232"/>
      <c r="DL694" s="232"/>
      <c r="DM694" s="232"/>
      <c r="DN694" s="232"/>
    </row>
    <row r="695" spans="1:118" s="232" customFormat="1">
      <c r="A695" s="40"/>
      <c r="B695" s="32"/>
      <c r="C695" s="28" t="s">
        <v>394</v>
      </c>
      <c r="D695" s="890" t="s">
        <v>509</v>
      </c>
      <c r="E695" s="896"/>
      <c r="F695" s="897"/>
      <c r="G695" s="897"/>
      <c r="H695" s="898"/>
      <c r="I695" s="228">
        <v>1100</v>
      </c>
      <c r="J695" s="292"/>
      <c r="K695" s="897"/>
      <c r="L695" s="897"/>
      <c r="M695" s="898"/>
      <c r="N695" s="228"/>
      <c r="O695" s="292"/>
      <c r="P695" s="261"/>
      <c r="Q695" s="261"/>
      <c r="R695" s="293"/>
      <c r="S695" s="228"/>
      <c r="T695" s="910"/>
      <c r="U695" s="911"/>
      <c r="V695" s="911"/>
      <c r="W695" s="912"/>
      <c r="X695" s="913"/>
      <c r="Y695" s="455">
        <f t="shared" ref="Y695:BL695" si="989">Y128</f>
        <v>27</v>
      </c>
      <c r="Z695" s="456">
        <f t="shared" si="989"/>
        <v>101</v>
      </c>
      <c r="AA695" s="456">
        <f t="shared" si="989"/>
        <v>138</v>
      </c>
      <c r="AB695" s="457">
        <f t="shared" si="989"/>
        <v>108.66666666666667</v>
      </c>
      <c r="AC695" s="913">
        <f t="shared" si="989"/>
        <v>93.666666666666671</v>
      </c>
      <c r="AD695" s="455">
        <f t="shared" si="989"/>
        <v>94</v>
      </c>
      <c r="AE695" s="456">
        <f t="shared" si="989"/>
        <v>169</v>
      </c>
      <c r="AF695" s="456">
        <f t="shared" si="989"/>
        <v>169</v>
      </c>
      <c r="AG695" s="457">
        <f t="shared" si="989"/>
        <v>108.38812785388127</v>
      </c>
      <c r="AH695" s="913">
        <f t="shared" si="989"/>
        <v>135.09703196347033</v>
      </c>
      <c r="AI695" s="455">
        <f t="shared" si="989"/>
        <v>78.082191780821915</v>
      </c>
      <c r="AJ695" s="456">
        <f t="shared" si="989"/>
        <v>103.83561643835614</v>
      </c>
      <c r="AK695" s="456">
        <f t="shared" si="989"/>
        <v>116.71232876712327</v>
      </c>
      <c r="AL695" s="457">
        <f t="shared" si="989"/>
        <v>63.452054794520535</v>
      </c>
      <c r="AM695" s="913">
        <f t="shared" si="989"/>
        <v>90.520547945205465</v>
      </c>
      <c r="AN695" s="455">
        <f t="shared" si="989"/>
        <v>36.821917808219183</v>
      </c>
      <c r="AO695" s="456">
        <f t="shared" si="989"/>
        <v>91.61643835616438</v>
      </c>
      <c r="AP695" s="456">
        <f t="shared" si="989"/>
        <v>119.01369863013699</v>
      </c>
      <c r="AQ695" s="457">
        <f t="shared" si="989"/>
        <v>56.109589041095887</v>
      </c>
      <c r="AR695" s="913">
        <f t="shared" si="989"/>
        <v>75.890410958904113</v>
      </c>
      <c r="AS695" s="455">
        <f t="shared" si="989"/>
        <v>24.657534246575342</v>
      </c>
      <c r="AT695" s="456">
        <f t="shared" si="989"/>
        <v>101.36986301369862</v>
      </c>
      <c r="AU695" s="456">
        <f t="shared" si="989"/>
        <v>139.72602739726028</v>
      </c>
      <c r="AV695" s="457">
        <f t="shared" si="989"/>
        <v>42.739726027397268</v>
      </c>
      <c r="AW695" s="913">
        <f t="shared" si="989"/>
        <v>77.123287671232873</v>
      </c>
      <c r="AX695" s="455">
        <f t="shared" si="989"/>
        <v>42.739726027397268</v>
      </c>
      <c r="AY695" s="456">
        <f t="shared" si="989"/>
        <v>123.83561643835615</v>
      </c>
      <c r="AZ695" s="456">
        <f t="shared" si="989"/>
        <v>164.38356164383561</v>
      </c>
      <c r="BA695" s="457">
        <f t="shared" si="989"/>
        <v>83.287671232876704</v>
      </c>
      <c r="BB695" s="913">
        <f t="shared" si="989"/>
        <v>103.56164383561642</v>
      </c>
      <c r="BC695" s="455">
        <f t="shared" si="989"/>
        <v>42.739726027397268</v>
      </c>
      <c r="BD695" s="456">
        <f t="shared" si="989"/>
        <v>123.83561643835615</v>
      </c>
      <c r="BE695" s="456">
        <f t="shared" si="989"/>
        <v>164.38356164383561</v>
      </c>
      <c r="BF695" s="457">
        <f t="shared" si="989"/>
        <v>83.287671232876704</v>
      </c>
      <c r="BG695" s="913">
        <f t="shared" si="989"/>
        <v>103.56164383561642</v>
      </c>
      <c r="BH695" s="455">
        <f t="shared" si="989"/>
        <v>42.739726027397268</v>
      </c>
      <c r="BI695" s="456">
        <f t="shared" si="989"/>
        <v>123.83561643835615</v>
      </c>
      <c r="BJ695" s="456">
        <f t="shared" si="989"/>
        <v>164.38356164383561</v>
      </c>
      <c r="BK695" s="457">
        <f t="shared" si="989"/>
        <v>83.287671232876704</v>
      </c>
      <c r="BL695" s="913">
        <f t="shared" si="989"/>
        <v>103.56164383561642</v>
      </c>
      <c r="BM695" s="455">
        <f t="shared" ref="BM695:BQ695" si="990">BM128</f>
        <v>42.739726027397268</v>
      </c>
      <c r="BN695" s="456">
        <f t="shared" si="990"/>
        <v>123.83561643835615</v>
      </c>
      <c r="BO695" s="456">
        <f t="shared" si="990"/>
        <v>164.38356164383561</v>
      </c>
      <c r="BP695" s="457">
        <f t="shared" si="990"/>
        <v>83.287671232876704</v>
      </c>
      <c r="BQ695" s="913">
        <f t="shared" si="990"/>
        <v>103.56164383561642</v>
      </c>
      <c r="BR695" s="40"/>
      <c r="BS695" s="40"/>
      <c r="BT695" s="40"/>
      <c r="BV695" s="156"/>
      <c r="BW695" s="156"/>
      <c r="BX695" s="156"/>
      <c r="BY695" s="156"/>
      <c r="BZ695" s="156"/>
      <c r="CA695" s="156"/>
      <c r="CB695" s="156"/>
      <c r="CC695" s="156"/>
      <c r="CD695" s="40"/>
      <c r="CE695" s="40"/>
      <c r="CF695" s="40"/>
      <c r="CG695" s="40"/>
      <c r="CH695" s="40"/>
      <c r="CI695" s="40"/>
      <c r="CJ695" s="40"/>
      <c r="CK695" s="40"/>
      <c r="CL695" s="40"/>
      <c r="CM695" s="40"/>
      <c r="CN695" s="40"/>
      <c r="CO695" s="40"/>
      <c r="CP695" s="40"/>
      <c r="CQ695" s="40"/>
      <c r="CR695" s="40"/>
      <c r="CS695" s="40"/>
      <c r="CT695" s="994"/>
      <c r="CZ695" s="40"/>
      <c r="DA695" s="40"/>
      <c r="DB695" s="40"/>
      <c r="DC695" s="40"/>
      <c r="DD695" s="40"/>
      <c r="DE695" s="40"/>
    </row>
    <row r="696" spans="1:118" s="232" customFormat="1">
      <c r="A696" s="40"/>
      <c r="B696" s="32"/>
      <c r="C696" s="32" t="s">
        <v>798</v>
      </c>
      <c r="D696" s="909"/>
      <c r="E696" s="891"/>
      <c r="F696" s="892"/>
      <c r="G696" s="892"/>
      <c r="H696" s="893"/>
      <c r="I696" s="228"/>
      <c r="J696" s="292"/>
      <c r="K696" s="892"/>
      <c r="L696" s="892"/>
      <c r="M696" s="893"/>
      <c r="N696" s="228"/>
      <c r="O696" s="292"/>
      <c r="P696" s="261"/>
      <c r="Q696" s="261"/>
      <c r="R696" s="293"/>
      <c r="S696" s="228"/>
      <c r="T696" s="788"/>
      <c r="U696" s="789"/>
      <c r="V696" s="789"/>
      <c r="W696" s="790"/>
      <c r="X696" s="228"/>
      <c r="Y696" s="788">
        <f>Y694*Y695*365/1000000/4</f>
        <v>2.6423718749999998</v>
      </c>
      <c r="Z696" s="789">
        <f>Z694*Z695*365/1000000/4</f>
        <v>9.8844281249999995</v>
      </c>
      <c r="AA696" s="789">
        <f>AA694*AA695*365/1000000/4</f>
        <v>13.50545625</v>
      </c>
      <c r="AB696" s="790">
        <f>AB694*AB695*365/1000000/4</f>
        <v>10.63473125</v>
      </c>
      <c r="AC696" s="228">
        <f>SUM(Y696:AB696)</f>
        <v>36.666987499999998</v>
      </c>
      <c r="AD696" s="788">
        <f>AD694*AD695*365/1000000/4</f>
        <v>9.1993687499999997</v>
      </c>
      <c r="AE696" s="789">
        <f>AE694*AE695*365/1000000/4</f>
        <v>16.539290625</v>
      </c>
      <c r="AF696" s="789">
        <f>AF694*AF695*365/1000000/4</f>
        <v>16.539290625</v>
      </c>
      <c r="AG696" s="790">
        <f>AG694*AG695*365/1000000/4</f>
        <v>10.607471874999998</v>
      </c>
      <c r="AH696" s="228">
        <f>SUM(AD696:AG696)</f>
        <v>52.885421874999992</v>
      </c>
      <c r="AI696" s="788">
        <f>AI694*AI695*365/1000000/4</f>
        <v>7.6415625</v>
      </c>
      <c r="AJ696" s="789">
        <f>AJ694*AJ695*365/1000000/4</f>
        <v>10.161937499999999</v>
      </c>
      <c r="AK696" s="789">
        <f>AK694*AK695*365/1000000/4</f>
        <v>11.422124999999998</v>
      </c>
      <c r="AL696" s="790">
        <f>AL694*AL695*365/1000000/4</f>
        <v>6.2097749999999978</v>
      </c>
      <c r="AM696" s="228">
        <f>SUM(AI696:AL696)</f>
        <v>35.435399999999994</v>
      </c>
      <c r="AN696" s="788">
        <f>AN694*AN695*365/1000000/4</f>
        <v>3.6036000000000006</v>
      </c>
      <c r="AO696" s="789">
        <f>AO694*AO695*365/1000000/4</f>
        <v>8.9661000000000008</v>
      </c>
      <c r="AP696" s="789">
        <f>AP694*AP695*365/1000000/4</f>
        <v>11.647349999999999</v>
      </c>
      <c r="AQ696" s="790">
        <f>AQ694*AQ695*365/1000000/4</f>
        <v>5.4912000000000001</v>
      </c>
      <c r="AR696" s="228">
        <f>SUM(AN696:AQ696)</f>
        <v>29.70825</v>
      </c>
      <c r="AS696" s="788">
        <f>AS694*AS695*365/1000000/4</f>
        <v>2.413125</v>
      </c>
      <c r="AT696" s="789">
        <f>AT694*AT695*365/1000000/4</f>
        <v>17.672125000000001</v>
      </c>
      <c r="AU696" s="789">
        <f>AU694*AU695*365/1000000/4</f>
        <v>24.358875000000005</v>
      </c>
      <c r="AV696" s="790">
        <f>AV694*AV695*365/1000000/4</f>
        <v>7.4509500000000006</v>
      </c>
      <c r="AW696" s="228">
        <f>SUM(AS696:AV696)</f>
        <v>51.895075000000006</v>
      </c>
      <c r="AX696" s="788">
        <f>AX694*AX695*365/1000000/4</f>
        <v>7.4509500000000006</v>
      </c>
      <c r="AY696" s="789">
        <f>AY694*AY695*365/1000000/4</f>
        <v>21.588649999999998</v>
      </c>
      <c r="AZ696" s="789">
        <f>AZ694*AZ695*365/1000000/4</f>
        <v>28.657499999999995</v>
      </c>
      <c r="BA696" s="790">
        <f>BA694*BA695*365/1000000/4</f>
        <v>14.519799999999998</v>
      </c>
      <c r="BB696" s="228">
        <f>SUM(AX696:BA696)</f>
        <v>72.216899999999995</v>
      </c>
      <c r="BC696" s="788">
        <f>BC694*BC695*365/1000000/4</f>
        <v>7.4509500000000006</v>
      </c>
      <c r="BD696" s="789">
        <f>BD694*BD695*365/1000000/4</f>
        <v>21.588649999999998</v>
      </c>
      <c r="BE696" s="789">
        <f>BE694*BE695*365/1000000/4</f>
        <v>28.657499999999995</v>
      </c>
      <c r="BF696" s="790">
        <f>BF694*BF695*365/1000000/4</f>
        <v>14.519799999999998</v>
      </c>
      <c r="BG696" s="228">
        <f>SUM(BC696:BF696)</f>
        <v>72.216899999999995</v>
      </c>
      <c r="BH696" s="788">
        <f>BH694*BH695*365/1000000/4</f>
        <v>7.4509500000000006</v>
      </c>
      <c r="BI696" s="789">
        <f>BI694*BI695*365/1000000/4</f>
        <v>21.588649999999998</v>
      </c>
      <c r="BJ696" s="789">
        <f>BJ694*BJ695*365/1000000/4</f>
        <v>28.657499999999995</v>
      </c>
      <c r="BK696" s="790">
        <f>BK694*BK695*365/1000000/4</f>
        <v>14.519799999999998</v>
      </c>
      <c r="BL696" s="228">
        <f>SUM(BH696:BK696)</f>
        <v>72.216899999999995</v>
      </c>
      <c r="BM696" s="788">
        <f>BM694*BM695*365/1000000/4</f>
        <v>7.4509500000000006</v>
      </c>
      <c r="BN696" s="789">
        <f>BN694*BN695*365/1000000/4</f>
        <v>21.588649999999998</v>
      </c>
      <c r="BO696" s="789">
        <f>BO694*BO695*365/1000000/4</f>
        <v>28.657499999999995</v>
      </c>
      <c r="BP696" s="790">
        <f>BP694*BP695*365/1000000/4</f>
        <v>14.519799999999998</v>
      </c>
      <c r="BQ696" s="228">
        <f>SUM(BM696:BP696)</f>
        <v>72.216899999999995</v>
      </c>
      <c r="BR696" s="45"/>
      <c r="BS696" s="45"/>
      <c r="BT696" s="40"/>
      <c r="BV696" s="156"/>
      <c r="BW696" s="156"/>
      <c r="BX696" s="156"/>
      <c r="BY696" s="156"/>
      <c r="BZ696" s="156"/>
      <c r="CA696" s="156"/>
      <c r="CB696" s="156"/>
      <c r="CC696" s="156"/>
      <c r="CD696" s="40"/>
      <c r="CE696" s="40"/>
      <c r="CF696" s="40"/>
      <c r="CG696" s="40"/>
      <c r="CH696" s="40"/>
      <c r="CI696" s="40"/>
      <c r="CJ696" s="40"/>
      <c r="CK696" s="40"/>
      <c r="CL696" s="40"/>
      <c r="CM696" s="40"/>
      <c r="CN696" s="40"/>
      <c r="CO696" s="40"/>
      <c r="CP696" s="40"/>
      <c r="CQ696" s="40"/>
      <c r="CR696" s="40"/>
      <c r="CS696" s="40"/>
      <c r="CT696" s="994"/>
      <c r="CZ696" s="40"/>
      <c r="DA696" s="40"/>
      <c r="DB696" s="40"/>
      <c r="DC696" s="40"/>
      <c r="DD696" s="40"/>
      <c r="DE696" s="40"/>
    </row>
    <row r="697" spans="1:118" s="232" customFormat="1">
      <c r="A697" s="40"/>
      <c r="B697" s="32"/>
      <c r="C697" s="32"/>
      <c r="D697" s="895"/>
      <c r="E697" s="896"/>
      <c r="F697" s="897"/>
      <c r="G697" s="897"/>
      <c r="H697" s="898"/>
      <c r="I697" s="228"/>
      <c r="J697" s="292"/>
      <c r="K697" s="897"/>
      <c r="L697" s="897"/>
      <c r="M697" s="898"/>
      <c r="N697" s="228"/>
      <c r="O697" s="292"/>
      <c r="P697" s="261"/>
      <c r="Q697" s="261"/>
      <c r="R697" s="293"/>
      <c r="S697" s="228"/>
      <c r="T697" s="786"/>
      <c r="U697" s="784"/>
      <c r="V697" s="784"/>
      <c r="W697" s="785"/>
      <c r="X697" s="783"/>
      <c r="Y697" s="308"/>
      <c r="Z697" s="244"/>
      <c r="AA697" s="244"/>
      <c r="AB697" s="309"/>
      <c r="AC697" s="783"/>
      <c r="AD697" s="308"/>
      <c r="AE697" s="244"/>
      <c r="AF697" s="244"/>
      <c r="AG697" s="309"/>
      <c r="AH697" s="783"/>
      <c r="AI697" s="308"/>
      <c r="AJ697" s="244"/>
      <c r="AK697" s="244"/>
      <c r="AL697" s="309"/>
      <c r="AM697" s="783"/>
      <c r="AN697" s="308"/>
      <c r="AO697" s="244"/>
      <c r="AP697" s="244"/>
      <c r="AQ697" s="309"/>
      <c r="AR697" s="783"/>
      <c r="AS697" s="308"/>
      <c r="AT697" s="244"/>
      <c r="AU697" s="244"/>
      <c r="AV697" s="309"/>
      <c r="AW697" s="783"/>
      <c r="AX697" s="308"/>
      <c r="AY697" s="244"/>
      <c r="AZ697" s="244"/>
      <c r="BA697" s="309"/>
      <c r="BB697" s="783"/>
      <c r="BC697" s="308"/>
      <c r="BD697" s="244"/>
      <c r="BE697" s="244"/>
      <c r="BF697" s="309"/>
      <c r="BG697" s="783"/>
      <c r="BH697" s="308"/>
      <c r="BI697" s="244"/>
      <c r="BJ697" s="244"/>
      <c r="BK697" s="309"/>
      <c r="BL697" s="783"/>
      <c r="BM697" s="308"/>
      <c r="BN697" s="244"/>
      <c r="BO697" s="244"/>
      <c r="BP697" s="309"/>
      <c r="BQ697" s="783"/>
      <c r="BR697" s="40"/>
      <c r="BS697" s="40"/>
      <c r="BT697" s="40"/>
      <c r="BV697" s="156"/>
      <c r="BW697" s="156"/>
      <c r="BX697" s="156"/>
      <c r="BY697" s="156"/>
      <c r="BZ697" s="156"/>
      <c r="CA697" s="156"/>
      <c r="CB697" s="156"/>
      <c r="CC697" s="156"/>
      <c r="CD697" s="40"/>
      <c r="CE697" s="40"/>
      <c r="CF697" s="40"/>
      <c r="CG697" s="40"/>
      <c r="CH697" s="40"/>
      <c r="CI697" s="40"/>
      <c r="CJ697" s="40"/>
      <c r="CK697" s="40"/>
      <c r="CL697" s="40"/>
      <c r="CM697" s="40"/>
      <c r="CN697" s="40"/>
      <c r="CO697" s="40"/>
      <c r="CP697" s="40"/>
      <c r="CQ697" s="40"/>
      <c r="CR697" s="40"/>
      <c r="CS697" s="40"/>
      <c r="CT697" s="994"/>
      <c r="CZ697" s="40"/>
      <c r="DA697" s="40"/>
      <c r="DB697" s="40"/>
      <c r="DC697" s="40"/>
      <c r="DD697" s="40"/>
      <c r="DE697" s="40"/>
    </row>
    <row r="698" spans="1:118" s="232" customFormat="1">
      <c r="A698" s="40"/>
      <c r="B698" s="32"/>
      <c r="C698" s="889" t="s">
        <v>511</v>
      </c>
      <c r="D698" s="895"/>
      <c r="E698" s="896"/>
      <c r="F698" s="897"/>
      <c r="G698" s="897"/>
      <c r="H698" s="898"/>
      <c r="I698" s="228"/>
      <c r="J698" s="292"/>
      <c r="K698" s="897"/>
      <c r="L698" s="897"/>
      <c r="M698" s="898"/>
      <c r="N698" s="32"/>
      <c r="O698" s="292"/>
      <c r="P698" s="261"/>
      <c r="Q698" s="261"/>
      <c r="R698" s="293"/>
      <c r="S698" s="32"/>
      <c r="T698" s="786"/>
      <c r="U698" s="784"/>
      <c r="V698" s="784"/>
      <c r="W698" s="785"/>
      <c r="X698" s="783"/>
      <c r="Y698" s="308"/>
      <c r="Z698" s="244"/>
      <c r="AA698" s="244"/>
      <c r="AB698" s="309"/>
      <c r="AC698" s="783"/>
      <c r="AD698" s="308"/>
      <c r="AE698" s="244"/>
      <c r="AF698" s="244"/>
      <c r="AG698" s="309"/>
      <c r="AH698" s="783"/>
      <c r="AI698" s="308"/>
      <c r="AJ698" s="244"/>
      <c r="AK698" s="244"/>
      <c r="AL698" s="309"/>
      <c r="AM698" s="783"/>
      <c r="AN698" s="308"/>
      <c r="AO698" s="244"/>
      <c r="AP698" s="244"/>
      <c r="AQ698" s="309"/>
      <c r="AR698" s="783"/>
      <c r="AS698" s="308"/>
      <c r="AT698" s="244"/>
      <c r="AU698" s="244"/>
      <c r="AV698" s="309"/>
      <c r="AW698" s="783"/>
      <c r="AX698" s="308"/>
      <c r="AY698" s="244"/>
      <c r="AZ698" s="244"/>
      <c r="BA698" s="309"/>
      <c r="BB698" s="783"/>
      <c r="BC698" s="308"/>
      <c r="BD698" s="244"/>
      <c r="BE698" s="244"/>
      <c r="BF698" s="309"/>
      <c r="BG698" s="783"/>
      <c r="BH698" s="308"/>
      <c r="BI698" s="244"/>
      <c r="BJ698" s="244"/>
      <c r="BK698" s="309"/>
      <c r="BL698" s="783"/>
      <c r="BM698" s="308"/>
      <c r="BN698" s="244"/>
      <c r="BO698" s="244"/>
      <c r="BP698" s="309"/>
      <c r="BQ698" s="783"/>
      <c r="BR698" s="40"/>
      <c r="BS698" s="40"/>
      <c r="BT698" s="40"/>
      <c r="BV698" s="156"/>
      <c r="BW698" s="156"/>
      <c r="BX698" s="156"/>
      <c r="BY698" s="156"/>
      <c r="BZ698" s="156"/>
      <c r="CA698" s="156"/>
      <c r="CB698" s="156"/>
      <c r="CC698" s="156"/>
      <c r="CD698" s="40"/>
      <c r="CE698" s="40"/>
      <c r="CF698" s="40"/>
      <c r="CG698" s="40"/>
      <c r="CH698" s="40"/>
      <c r="CI698" s="40"/>
      <c r="CJ698" s="40"/>
      <c r="CK698" s="40"/>
      <c r="CL698" s="40"/>
      <c r="CM698" s="40"/>
      <c r="CN698" s="40"/>
      <c r="CO698" s="40"/>
      <c r="CP698" s="40"/>
      <c r="CQ698" s="40"/>
      <c r="CR698" s="40"/>
      <c r="CS698" s="40"/>
      <c r="CT698" s="994"/>
      <c r="CZ698" s="40"/>
      <c r="DA698" s="40"/>
      <c r="DB698" s="40"/>
      <c r="DC698" s="40"/>
      <c r="DD698" s="40"/>
      <c r="DE698" s="40"/>
    </row>
    <row r="699" spans="1:118" s="232" customFormat="1">
      <c r="A699" s="40"/>
      <c r="B699" s="28"/>
      <c r="C699" s="895" t="s">
        <v>802</v>
      </c>
      <c r="D699" s="890" t="s">
        <v>510</v>
      </c>
      <c r="E699" s="896"/>
      <c r="F699" s="897"/>
      <c r="G699" s="897"/>
      <c r="H699" s="898"/>
      <c r="I699" s="1082">
        <f>I700*$I$671</f>
        <v>2764.125</v>
      </c>
      <c r="J699" s="897"/>
      <c r="K699" s="897"/>
      <c r="L699" s="897"/>
      <c r="M699" s="898"/>
      <c r="N699" s="45"/>
      <c r="O699" s="290"/>
      <c r="P699" s="260"/>
      <c r="Q699" s="260"/>
      <c r="R699" s="291"/>
      <c r="S699" s="45"/>
      <c r="T699" s="786"/>
      <c r="U699" s="784"/>
      <c r="V699" s="784"/>
      <c r="W699" s="785"/>
      <c r="X699" s="783"/>
      <c r="Y699" s="308">
        <f>+I699</f>
        <v>2764.125</v>
      </c>
      <c r="Z699" s="244">
        <f>Y699</f>
        <v>2764.125</v>
      </c>
      <c r="AA699" s="244">
        <f>Z699</f>
        <v>2764.125</v>
      </c>
      <c r="AB699" s="309">
        <f>AA699</f>
        <v>2764.125</v>
      </c>
      <c r="AC699" s="783">
        <f>AB699</f>
        <v>2764.125</v>
      </c>
      <c r="AD699" s="308">
        <f t="shared" ref="AD699:BL699" si="991">AC699</f>
        <v>2764.125</v>
      </c>
      <c r="AE699" s="244">
        <f>AD699</f>
        <v>2764.125</v>
      </c>
      <c r="AF699" s="244">
        <f t="shared" si="991"/>
        <v>2764.125</v>
      </c>
      <c r="AG699" s="309">
        <f t="shared" si="991"/>
        <v>2764.125</v>
      </c>
      <c r="AH699" s="783">
        <f t="shared" si="991"/>
        <v>2764.125</v>
      </c>
      <c r="AI699" s="1922">
        <f>AH699-800</f>
        <v>1964.125</v>
      </c>
      <c r="AJ699" s="244">
        <f t="shared" si="991"/>
        <v>1964.125</v>
      </c>
      <c r="AK699" s="244">
        <f>AJ699</f>
        <v>1964.125</v>
      </c>
      <c r="AL699" s="309">
        <f>AK699</f>
        <v>1964.125</v>
      </c>
      <c r="AM699" s="783">
        <f t="shared" si="991"/>
        <v>1964.125</v>
      </c>
      <c r="AN699" s="308">
        <f t="shared" si="991"/>
        <v>1964.125</v>
      </c>
      <c r="AO699" s="244">
        <f t="shared" si="991"/>
        <v>1964.125</v>
      </c>
      <c r="AP699" s="244">
        <f t="shared" si="991"/>
        <v>1964.125</v>
      </c>
      <c r="AQ699" s="309">
        <f t="shared" si="991"/>
        <v>1964.125</v>
      </c>
      <c r="AR699" s="783">
        <f t="shared" si="991"/>
        <v>1964.125</v>
      </c>
      <c r="AS699" s="308">
        <f t="shared" si="991"/>
        <v>1964.125</v>
      </c>
      <c r="AT699" s="244">
        <f t="shared" si="991"/>
        <v>1964.125</v>
      </c>
      <c r="AU699" s="244">
        <f t="shared" si="991"/>
        <v>1964.125</v>
      </c>
      <c r="AV699" s="309">
        <f t="shared" si="991"/>
        <v>1964.125</v>
      </c>
      <c r="AW699" s="783">
        <f t="shared" si="991"/>
        <v>1964.125</v>
      </c>
      <c r="AX699" s="308">
        <f t="shared" si="991"/>
        <v>1964.125</v>
      </c>
      <c r="AY699" s="244">
        <f t="shared" si="991"/>
        <v>1964.125</v>
      </c>
      <c r="AZ699" s="244">
        <f t="shared" si="991"/>
        <v>1964.125</v>
      </c>
      <c r="BA699" s="309">
        <f t="shared" si="991"/>
        <v>1964.125</v>
      </c>
      <c r="BB699" s="783">
        <f t="shared" si="991"/>
        <v>1964.125</v>
      </c>
      <c r="BC699" s="308">
        <f t="shared" si="991"/>
        <v>1964.125</v>
      </c>
      <c r="BD699" s="244">
        <f t="shared" si="991"/>
        <v>1964.125</v>
      </c>
      <c r="BE699" s="244">
        <f t="shared" si="991"/>
        <v>1964.125</v>
      </c>
      <c r="BF699" s="309">
        <f t="shared" si="991"/>
        <v>1964.125</v>
      </c>
      <c r="BG699" s="783">
        <f>BF699</f>
        <v>1964.125</v>
      </c>
      <c r="BH699" s="308">
        <f>BG699</f>
        <v>1964.125</v>
      </c>
      <c r="BI699" s="244">
        <f t="shared" si="991"/>
        <v>1964.125</v>
      </c>
      <c r="BJ699" s="244">
        <f t="shared" si="991"/>
        <v>1964.125</v>
      </c>
      <c r="BK699" s="309">
        <f t="shared" si="991"/>
        <v>1964.125</v>
      </c>
      <c r="BL699" s="783">
        <f t="shared" si="991"/>
        <v>1964.125</v>
      </c>
      <c r="BM699" s="308">
        <f t="shared" ref="BM699" si="992">BL699</f>
        <v>1964.125</v>
      </c>
      <c r="BN699" s="244">
        <f t="shared" ref="BN699" si="993">BM699</f>
        <v>1964.125</v>
      </c>
      <c r="BO699" s="244">
        <f t="shared" ref="BO699" si="994">BN699</f>
        <v>1964.125</v>
      </c>
      <c r="BP699" s="309">
        <f t="shared" ref="BP699" si="995">BO699</f>
        <v>1964.125</v>
      </c>
      <c r="BQ699" s="783">
        <f t="shared" ref="BQ699" si="996">BP699</f>
        <v>1964.125</v>
      </c>
      <c r="BR699" s="40"/>
      <c r="BS699" s="40"/>
      <c r="BT699" s="40"/>
      <c r="BV699" s="156"/>
      <c r="BW699" s="156"/>
      <c r="BX699" s="156"/>
      <c r="BY699" s="156"/>
      <c r="BZ699" s="156"/>
      <c r="CA699" s="156"/>
      <c r="CB699" s="156"/>
      <c r="CC699" s="156"/>
      <c r="CD699" s="40"/>
      <c r="CE699" s="40"/>
      <c r="CF699" s="40"/>
      <c r="CG699" s="40"/>
      <c r="CH699" s="40"/>
      <c r="CI699" s="40"/>
      <c r="CJ699" s="40"/>
      <c r="CK699" s="40"/>
      <c r="CL699" s="40"/>
      <c r="CM699" s="40"/>
      <c r="CN699" s="40"/>
      <c r="CO699" s="40"/>
      <c r="CP699" s="40"/>
      <c r="CQ699" s="40"/>
      <c r="CR699" s="40"/>
      <c r="CS699" s="40"/>
      <c r="CT699" s="994"/>
      <c r="CZ699" s="40"/>
      <c r="DA699" s="40"/>
      <c r="DB699" s="40"/>
      <c r="DC699" s="40"/>
      <c r="DD699" s="40"/>
      <c r="DE699" s="40"/>
    </row>
    <row r="700" spans="1:118" s="232" customFormat="1">
      <c r="A700" s="40"/>
      <c r="B700" s="32"/>
      <c r="C700" s="28" t="s">
        <v>394</v>
      </c>
      <c r="D700" s="890" t="s">
        <v>509</v>
      </c>
      <c r="E700" s="896"/>
      <c r="F700" s="897"/>
      <c r="G700" s="897"/>
      <c r="H700" s="898"/>
      <c r="I700" s="228">
        <v>2835</v>
      </c>
      <c r="J700" s="292"/>
      <c r="K700" s="897"/>
      <c r="L700" s="897"/>
      <c r="M700" s="898"/>
      <c r="N700" s="228"/>
      <c r="O700" s="292"/>
      <c r="P700" s="261"/>
      <c r="Q700" s="261"/>
      <c r="R700" s="293"/>
      <c r="S700" s="228"/>
      <c r="T700" s="910"/>
      <c r="U700" s="911"/>
      <c r="V700" s="911"/>
      <c r="W700" s="912"/>
      <c r="X700" s="913"/>
      <c r="Y700" s="455">
        <f t="shared" ref="Y700:BL700" si="997">Y129</f>
        <v>83.34</v>
      </c>
      <c r="Z700" s="456">
        <f t="shared" si="997"/>
        <v>83.13333333333334</v>
      </c>
      <c r="AA700" s="456">
        <f t="shared" si="997"/>
        <v>82.72</v>
      </c>
      <c r="AB700" s="457">
        <f t="shared" si="997"/>
        <v>82.72</v>
      </c>
      <c r="AC700" s="913">
        <f t="shared" si="997"/>
        <v>82.978333333333339</v>
      </c>
      <c r="AD700" s="455">
        <f t="shared" si="997"/>
        <v>82.72</v>
      </c>
      <c r="AE700" s="456">
        <f t="shared" si="997"/>
        <v>93.86</v>
      </c>
      <c r="AF700" s="456">
        <f t="shared" si="997"/>
        <v>93.86</v>
      </c>
      <c r="AG700" s="457">
        <f t="shared" si="997"/>
        <v>93.86</v>
      </c>
      <c r="AH700" s="913">
        <f t="shared" si="997"/>
        <v>91.075000000000003</v>
      </c>
      <c r="AI700" s="455">
        <f t="shared" si="997"/>
        <v>93.86</v>
      </c>
      <c r="AJ700" s="456">
        <f t="shared" si="997"/>
        <v>96.874703196347028</v>
      </c>
      <c r="AK700" s="456">
        <f t="shared" si="997"/>
        <v>102.9041095890411</v>
      </c>
      <c r="AL700" s="457">
        <f t="shared" si="997"/>
        <v>102.9041095890411</v>
      </c>
      <c r="AM700" s="913">
        <f t="shared" si="997"/>
        <v>99.13573059360732</v>
      </c>
      <c r="AN700" s="455">
        <f t="shared" si="997"/>
        <v>103</v>
      </c>
      <c r="AO700" s="456">
        <f t="shared" si="997"/>
        <v>161</v>
      </c>
      <c r="AP700" s="456">
        <f t="shared" si="997"/>
        <v>219</v>
      </c>
      <c r="AQ700" s="457">
        <f t="shared" si="997"/>
        <v>219</v>
      </c>
      <c r="AR700" s="913">
        <f t="shared" si="997"/>
        <v>175.5</v>
      </c>
      <c r="AS700" s="455">
        <f t="shared" si="997"/>
        <v>219</v>
      </c>
      <c r="AT700" s="456">
        <f t="shared" si="997"/>
        <v>310.38356164383561</v>
      </c>
      <c r="AU700" s="456">
        <f t="shared" si="997"/>
        <v>493.15068493150687</v>
      </c>
      <c r="AV700" s="457">
        <f t="shared" si="997"/>
        <v>493.15068493150687</v>
      </c>
      <c r="AW700" s="913">
        <f t="shared" si="997"/>
        <v>378.92123287671234</v>
      </c>
      <c r="AX700" s="455">
        <f t="shared" si="997"/>
        <v>493.15068493150687</v>
      </c>
      <c r="AY700" s="456">
        <f t="shared" si="997"/>
        <v>433.42465753424653</v>
      </c>
      <c r="AZ700" s="456">
        <f t="shared" si="997"/>
        <v>313.97260273972609</v>
      </c>
      <c r="BA700" s="457">
        <f t="shared" si="997"/>
        <v>313.97260273972609</v>
      </c>
      <c r="BB700" s="913">
        <f t="shared" si="997"/>
        <v>388.63013698630141</v>
      </c>
      <c r="BC700" s="455">
        <f t="shared" si="997"/>
        <v>313.97260273972609</v>
      </c>
      <c r="BD700" s="456">
        <f t="shared" si="997"/>
        <v>286.35616438356169</v>
      </c>
      <c r="BE700" s="456">
        <f t="shared" si="997"/>
        <v>231.12328767123287</v>
      </c>
      <c r="BF700" s="457">
        <f t="shared" si="997"/>
        <v>231.12328767123287</v>
      </c>
      <c r="BG700" s="913">
        <f t="shared" si="997"/>
        <v>265.64383561643837</v>
      </c>
      <c r="BH700" s="455">
        <f t="shared" si="997"/>
        <v>231.12328767123287</v>
      </c>
      <c r="BI700" s="456">
        <f t="shared" si="997"/>
        <v>212.13150684931506</v>
      </c>
      <c r="BJ700" s="456">
        <f t="shared" si="997"/>
        <v>174.14794520547943</v>
      </c>
      <c r="BK700" s="457">
        <f t="shared" si="997"/>
        <v>174.14794520547943</v>
      </c>
      <c r="BL700" s="913">
        <f t="shared" si="997"/>
        <v>197.8876712328767</v>
      </c>
      <c r="BM700" s="455">
        <f t="shared" ref="BM700:BQ700" si="998">BM129</f>
        <v>200</v>
      </c>
      <c r="BN700" s="456">
        <f t="shared" si="998"/>
        <v>200</v>
      </c>
      <c r="BO700" s="456">
        <f t="shared" si="998"/>
        <v>200</v>
      </c>
      <c r="BP700" s="457">
        <f t="shared" si="998"/>
        <v>200</v>
      </c>
      <c r="BQ700" s="913">
        <f t="shared" si="998"/>
        <v>200</v>
      </c>
      <c r="BR700" s="40"/>
      <c r="BS700" s="40"/>
      <c r="BT700" s="40"/>
      <c r="BV700" s="156"/>
      <c r="BW700" s="156"/>
      <c r="BX700" s="156"/>
      <c r="BY700" s="156"/>
      <c r="BZ700" s="156"/>
      <c r="CA700" s="156"/>
      <c r="CB700" s="156"/>
      <c r="CC700" s="156"/>
      <c r="CD700" s="40"/>
      <c r="CE700" s="40"/>
      <c r="CF700" s="40"/>
      <c r="CG700" s="40"/>
      <c r="CH700" s="40"/>
      <c r="CI700" s="40"/>
      <c r="CJ700" s="40"/>
      <c r="CK700" s="40"/>
      <c r="CL700" s="40"/>
      <c r="CM700" s="40"/>
      <c r="CN700" s="40"/>
      <c r="CO700" s="40"/>
      <c r="CP700" s="40"/>
      <c r="CQ700" s="40"/>
      <c r="CR700" s="40"/>
      <c r="CS700" s="40"/>
      <c r="CT700" s="994"/>
      <c r="CZ700" s="40"/>
      <c r="DA700" s="40"/>
      <c r="DB700" s="40"/>
      <c r="DC700" s="40"/>
      <c r="DD700" s="40"/>
      <c r="DE700" s="40"/>
    </row>
    <row r="701" spans="1:118" s="232" customFormat="1">
      <c r="A701" s="40"/>
      <c r="B701" s="32"/>
      <c r="C701" s="32" t="s">
        <v>798</v>
      </c>
      <c r="D701" s="909"/>
      <c r="E701" s="891"/>
      <c r="F701" s="892"/>
      <c r="G701" s="892"/>
      <c r="H701" s="893"/>
      <c r="I701" s="228"/>
      <c r="J701" s="292"/>
      <c r="K701" s="892"/>
      <c r="L701" s="892"/>
      <c r="M701" s="893"/>
      <c r="N701" s="228"/>
      <c r="O701" s="292"/>
      <c r="P701" s="261"/>
      <c r="Q701" s="261"/>
      <c r="R701" s="293"/>
      <c r="S701" s="228"/>
      <c r="T701" s="788"/>
      <c r="U701" s="789"/>
      <c r="V701" s="789"/>
      <c r="W701" s="790"/>
      <c r="X701" s="228"/>
      <c r="Y701" s="788">
        <f>Y699*Y700*365/1000000/4</f>
        <v>21.020548696875004</v>
      </c>
      <c r="Z701" s="789">
        <f>Z699*Z700*365/1000000/4</f>
        <v>20.968421906250001</v>
      </c>
      <c r="AA701" s="789">
        <f>AA699*AA700*365/1000000/4</f>
        <v>20.864168324999998</v>
      </c>
      <c r="AB701" s="790">
        <f>AB699*AB700*365/1000000/4</f>
        <v>20.864168324999998</v>
      </c>
      <c r="AC701" s="228">
        <f>SUM(Y701:AB701)</f>
        <v>83.717307253125</v>
      </c>
      <c r="AD701" s="788">
        <f>AD699*AD700*365/1000000/4</f>
        <v>20.864168324999998</v>
      </c>
      <c r="AE701" s="789">
        <f>AE699*AE700*365/1000000/4</f>
        <v>23.673970490624999</v>
      </c>
      <c r="AF701" s="789">
        <f>AF699*AF700*365/1000000/4</f>
        <v>23.673970490624999</v>
      </c>
      <c r="AG701" s="790">
        <f>AG699*AG700*365/1000000/4</f>
        <v>23.673970490624999</v>
      </c>
      <c r="AH701" s="228">
        <f>SUM(AD701:AG701)</f>
        <v>91.886079796874995</v>
      </c>
      <c r="AI701" s="788">
        <f>AI699*AI700*365/1000000/4</f>
        <v>16.822190490624997</v>
      </c>
      <c r="AJ701" s="789">
        <f>AJ699*AJ700*365/1000000/4</f>
        <v>17.362504910416668</v>
      </c>
      <c r="AK701" s="789">
        <f>AK699*AK700*365/1000000/4</f>
        <v>18.443133750000001</v>
      </c>
      <c r="AL701" s="790">
        <f>AL699*AL700*365/1000000/4</f>
        <v>18.443133750000001</v>
      </c>
      <c r="AM701" s="228">
        <f>SUM(AI701:AL701)</f>
        <v>71.070962901041668</v>
      </c>
      <c r="AN701" s="788">
        <f>AN699*AN700*365/1000000/4</f>
        <v>18.46031984375</v>
      </c>
      <c r="AO701" s="789">
        <f>AO699*AO700*365/1000000/4</f>
        <v>28.855451406250001</v>
      </c>
      <c r="AP701" s="789">
        <f>AP699*AP700*365/1000000/4</f>
        <v>39.250582968750003</v>
      </c>
      <c r="AQ701" s="790">
        <f>AQ699*AQ700*365/1000000/4</f>
        <v>39.250582968750003</v>
      </c>
      <c r="AR701" s="228">
        <f>SUM(AN701:AQ701)</f>
        <v>125.8169371875</v>
      </c>
      <c r="AS701" s="788">
        <f>AS699*AS700*365/1000000/4</f>
        <v>39.250582968750003</v>
      </c>
      <c r="AT701" s="789">
        <f>AT699*AT700*365/1000000/4</f>
        <v>55.628930312500003</v>
      </c>
      <c r="AU701" s="789">
        <f>AU699*AU700*365/1000000/4</f>
        <v>88.385625000000005</v>
      </c>
      <c r="AV701" s="790">
        <f>AV699*AV700*365/1000000/4</f>
        <v>88.385625000000005</v>
      </c>
      <c r="AW701" s="228">
        <f>SUM(AS701:AV701)</f>
        <v>271.65076328125002</v>
      </c>
      <c r="AX701" s="788">
        <f>AX699*AX700*365/1000000/4</f>
        <v>88.385625000000005</v>
      </c>
      <c r="AY701" s="789">
        <f>AY699*AY700*365/1000000/4</f>
        <v>77.68114374999999</v>
      </c>
      <c r="AZ701" s="789">
        <f>AZ699*AZ700*365/1000000/4</f>
        <v>56.27218125000001</v>
      </c>
      <c r="BA701" s="790">
        <f>BA699*BA700*365/1000000/4</f>
        <v>56.27218125000001</v>
      </c>
      <c r="BB701" s="228">
        <f>SUM(AX701:BA701)</f>
        <v>278.61113125000003</v>
      </c>
      <c r="BC701" s="788">
        <f>BC699*BC700*365/1000000/4</f>
        <v>56.27218125000001</v>
      </c>
      <c r="BD701" s="789">
        <f>BD699*BD700*365/1000000/4</f>
        <v>51.322586250000008</v>
      </c>
      <c r="BE701" s="789">
        <f>BE699*BE700*365/1000000/4</f>
        <v>41.423396250000003</v>
      </c>
      <c r="BF701" s="790">
        <f>BF699*BF700*365/1000000/4</f>
        <v>41.423396250000003</v>
      </c>
      <c r="BG701" s="228">
        <f>SUM(BC701:BF701)</f>
        <v>190.44156000000001</v>
      </c>
      <c r="BH701" s="788">
        <f>BH699*BH700*365/1000000/4</f>
        <v>41.423396250000003</v>
      </c>
      <c r="BI701" s="789">
        <f>BI699*BI700*365/1000000/4</f>
        <v>38.019567625000001</v>
      </c>
      <c r="BJ701" s="789">
        <f>BJ699*BJ700*365/1000000/4</f>
        <v>31.211910374999992</v>
      </c>
      <c r="BK701" s="790">
        <f>BK699*BK700*365/1000000/4</f>
        <v>31.211910374999992</v>
      </c>
      <c r="BL701" s="228">
        <f>SUM(BH701:BK701)</f>
        <v>141.86678462499998</v>
      </c>
      <c r="BM701" s="788">
        <f>BM699*BM700*365/1000000/4</f>
        <v>35.845281249999999</v>
      </c>
      <c r="BN701" s="789">
        <f>BN699*BN700*365/1000000/4</f>
        <v>35.845281249999999</v>
      </c>
      <c r="BO701" s="789">
        <f>BO699*BO700*365/1000000/4</f>
        <v>35.845281249999999</v>
      </c>
      <c r="BP701" s="790">
        <f>BP699*BP700*365/1000000/4</f>
        <v>35.845281249999999</v>
      </c>
      <c r="BQ701" s="228">
        <f>SUM(BM701:BP701)</f>
        <v>143.381125</v>
      </c>
      <c r="BR701" s="40"/>
      <c r="BS701" s="40"/>
      <c r="BT701" s="40"/>
      <c r="BV701" s="156"/>
      <c r="BW701" s="156"/>
      <c r="BX701" s="156"/>
      <c r="BY701" s="156"/>
      <c r="BZ701" s="156"/>
      <c r="CA701" s="156"/>
      <c r="CB701" s="156"/>
      <c r="CC701" s="156"/>
      <c r="CD701" s="40"/>
      <c r="CE701" s="40"/>
      <c r="CF701" s="40"/>
      <c r="CG701" s="40"/>
      <c r="CH701" s="40"/>
      <c r="CI701" s="40"/>
      <c r="CJ701" s="40"/>
      <c r="CK701" s="40"/>
      <c r="CL701" s="40"/>
      <c r="CM701" s="40"/>
      <c r="CN701" s="40"/>
      <c r="CO701" s="40"/>
      <c r="CP701" s="40"/>
      <c r="CQ701" s="40"/>
      <c r="CR701" s="40"/>
      <c r="CS701" s="40"/>
      <c r="CT701" s="994"/>
      <c r="CZ701" s="40"/>
      <c r="DA701" s="40"/>
      <c r="DB701" s="40"/>
      <c r="DC701" s="40"/>
      <c r="DD701" s="40"/>
      <c r="DE701" s="40"/>
    </row>
    <row r="702" spans="1:118" s="232" customFormat="1">
      <c r="A702" s="40"/>
      <c r="B702" s="32"/>
      <c r="C702" s="909"/>
      <c r="D702" s="895"/>
      <c r="E702" s="896"/>
      <c r="F702" s="897"/>
      <c r="G702" s="897"/>
      <c r="H702" s="898"/>
      <c r="I702" s="228"/>
      <c r="J702" s="292"/>
      <c r="K702" s="897"/>
      <c r="L702" s="897"/>
      <c r="M702" s="898"/>
      <c r="N702" s="228"/>
      <c r="O702" s="292"/>
      <c r="P702" s="261"/>
      <c r="Q702" s="261"/>
      <c r="R702" s="293"/>
      <c r="S702" s="228"/>
      <c r="T702" s="292"/>
      <c r="U702" s="261"/>
      <c r="V702" s="261"/>
      <c r="W702" s="293"/>
      <c r="X702" s="228"/>
      <c r="Y702" s="292"/>
      <c r="Z702" s="261"/>
      <c r="AA702" s="261"/>
      <c r="AB702" s="293"/>
      <c r="AC702" s="228"/>
      <c r="AD702" s="292"/>
      <c r="AE702" s="261"/>
      <c r="AF702" s="261"/>
      <c r="AG702" s="293"/>
      <c r="AH702" s="228"/>
      <c r="AI702" s="292"/>
      <c r="AJ702" s="261"/>
      <c r="AK702" s="261"/>
      <c r="AL702" s="293"/>
      <c r="AM702" s="228"/>
      <c r="AN702" s="292"/>
      <c r="AO702" s="261"/>
      <c r="AP702" s="261"/>
      <c r="AQ702" s="293"/>
      <c r="AR702" s="228"/>
      <c r="AS702" s="292"/>
      <c r="AT702" s="261"/>
      <c r="AU702" s="261"/>
      <c r="AV702" s="293"/>
      <c r="AW702" s="228"/>
      <c r="AX702" s="292"/>
      <c r="AY702" s="261"/>
      <c r="AZ702" s="261"/>
      <c r="BA702" s="293"/>
      <c r="BB702" s="228"/>
      <c r="BC702" s="292"/>
      <c r="BD702" s="261"/>
      <c r="BE702" s="261"/>
      <c r="BF702" s="293"/>
      <c r="BG702" s="228"/>
      <c r="BH702" s="292"/>
      <c r="BI702" s="261"/>
      <c r="BJ702" s="261"/>
      <c r="BK702" s="293"/>
      <c r="BL702" s="228"/>
      <c r="BM702" s="292"/>
      <c r="BN702" s="261"/>
      <c r="BO702" s="261"/>
      <c r="BP702" s="293"/>
      <c r="BQ702" s="228"/>
      <c r="BR702" s="40"/>
      <c r="BS702" s="40"/>
      <c r="BT702" s="40"/>
      <c r="BV702" s="156"/>
      <c r="BW702" s="156"/>
      <c r="BX702" s="156"/>
      <c r="BY702" s="156"/>
      <c r="BZ702" s="156"/>
      <c r="CA702" s="156"/>
      <c r="CB702" s="156"/>
      <c r="CC702" s="156"/>
      <c r="CD702" s="40"/>
      <c r="CE702" s="40"/>
      <c r="CF702" s="40"/>
      <c r="CG702" s="40"/>
      <c r="CH702" s="40"/>
      <c r="CI702" s="40"/>
      <c r="CJ702" s="40"/>
      <c r="CK702" s="40"/>
      <c r="CL702" s="40"/>
      <c r="CM702" s="40"/>
      <c r="CN702" s="40"/>
      <c r="CO702" s="40"/>
      <c r="CP702" s="40"/>
      <c r="CQ702" s="40"/>
      <c r="CR702" s="40"/>
      <c r="CS702" s="40"/>
      <c r="CT702" s="994"/>
      <c r="CZ702" s="40"/>
      <c r="DA702" s="40"/>
      <c r="DB702" s="40"/>
      <c r="DC702" s="40"/>
      <c r="DD702" s="40"/>
      <c r="DE702" s="40"/>
    </row>
    <row r="703" spans="1:118" s="232" customFormat="1">
      <c r="A703" s="40"/>
      <c r="B703" s="32"/>
      <c r="C703" s="889" t="s">
        <v>1340</v>
      </c>
      <c r="D703" s="895"/>
      <c r="E703" s="896"/>
      <c r="F703" s="897"/>
      <c r="G703" s="897"/>
      <c r="H703" s="898"/>
      <c r="I703" s="228"/>
      <c r="J703" s="292"/>
      <c r="K703" s="897"/>
      <c r="L703" s="897"/>
      <c r="M703" s="898"/>
      <c r="N703" s="32"/>
      <c r="O703" s="292"/>
      <c r="P703" s="261"/>
      <c r="Q703" s="261"/>
      <c r="R703" s="293"/>
      <c r="S703" s="32"/>
      <c r="T703" s="786"/>
      <c r="U703" s="784"/>
      <c r="V703" s="784"/>
      <c r="W703" s="785"/>
      <c r="X703" s="783"/>
      <c r="Y703" s="308"/>
      <c r="Z703" s="244"/>
      <c r="AA703" s="244"/>
      <c r="AB703" s="309"/>
      <c r="AC703" s="783"/>
      <c r="AD703" s="308"/>
      <c r="AE703" s="244"/>
      <c r="AF703" s="244"/>
      <c r="AG703" s="309"/>
      <c r="AH703" s="783"/>
      <c r="AI703" s="308"/>
      <c r="AJ703" s="244"/>
      <c r="AK703" s="244"/>
      <c r="AL703" s="309"/>
      <c r="AM703" s="783"/>
      <c r="AN703" s="308"/>
      <c r="AO703" s="244"/>
      <c r="AP703" s="244"/>
      <c r="AQ703" s="309"/>
      <c r="AR703" s="783"/>
      <c r="AS703" s="308"/>
      <c r="AT703" s="244"/>
      <c r="AU703" s="244"/>
      <c r="AV703" s="309"/>
      <c r="AW703" s="783"/>
      <c r="AX703" s="308"/>
      <c r="AY703" s="244"/>
      <c r="AZ703" s="244"/>
      <c r="BA703" s="309"/>
      <c r="BB703" s="783"/>
      <c r="BC703" s="308"/>
      <c r="BD703" s="244"/>
      <c r="BE703" s="244"/>
      <c r="BF703" s="309"/>
      <c r="BG703" s="783"/>
      <c r="BH703" s="308"/>
      <c r="BI703" s="244"/>
      <c r="BJ703" s="244"/>
      <c r="BK703" s="309"/>
      <c r="BL703" s="783"/>
      <c r="BM703" s="308"/>
      <c r="BN703" s="244"/>
      <c r="BO703" s="244"/>
      <c r="BP703" s="309"/>
      <c r="BQ703" s="783"/>
      <c r="BR703" s="40"/>
      <c r="BS703" s="40"/>
      <c r="BT703" s="40"/>
      <c r="BV703" s="156"/>
      <c r="BW703" s="156"/>
      <c r="BX703" s="156"/>
      <c r="BY703" s="156"/>
      <c r="BZ703" s="156"/>
      <c r="CA703" s="156"/>
      <c r="CB703" s="156"/>
      <c r="CC703" s="156"/>
      <c r="CD703" s="40"/>
      <c r="CE703" s="40"/>
      <c r="CF703" s="40"/>
      <c r="CG703" s="40"/>
      <c r="CH703" s="40"/>
      <c r="CI703" s="40"/>
      <c r="CJ703" s="40"/>
      <c r="CK703" s="40"/>
      <c r="CL703" s="40"/>
      <c r="CM703" s="40"/>
      <c r="CN703" s="40"/>
      <c r="CO703" s="40"/>
      <c r="CP703" s="40"/>
      <c r="CQ703" s="40"/>
      <c r="CR703" s="40"/>
      <c r="CS703" s="40"/>
      <c r="CT703" s="994"/>
      <c r="CZ703" s="40"/>
      <c r="DA703" s="40"/>
      <c r="DB703" s="40"/>
      <c r="DC703" s="40"/>
      <c r="DD703" s="40"/>
      <c r="DE703" s="40"/>
    </row>
    <row r="704" spans="1:118" s="232" customFormat="1">
      <c r="A704" s="40"/>
      <c r="B704" s="28"/>
      <c r="C704" s="895" t="s">
        <v>802</v>
      </c>
      <c r="D704" s="890" t="s">
        <v>510</v>
      </c>
      <c r="E704" s="896"/>
      <c r="F704" s="897"/>
      <c r="G704" s="897"/>
      <c r="H704" s="898"/>
      <c r="I704" s="1082">
        <f>I705*$I$671</f>
        <v>190.125</v>
      </c>
      <c r="J704" s="897"/>
      <c r="K704" s="897"/>
      <c r="L704" s="897"/>
      <c r="M704" s="898"/>
      <c r="N704" s="45"/>
      <c r="O704" s="290"/>
      <c r="P704" s="260"/>
      <c r="Q704" s="260"/>
      <c r="R704" s="291"/>
      <c r="S704" s="45"/>
      <c r="T704" s="786"/>
      <c r="U704" s="784"/>
      <c r="V704" s="784"/>
      <c r="W704" s="785"/>
      <c r="X704" s="783"/>
      <c r="Y704" s="308">
        <v>0</v>
      </c>
      <c r="Z704" s="244">
        <f>Y704</f>
        <v>0</v>
      </c>
      <c r="AA704" s="244">
        <f>Z704</f>
        <v>0</v>
      </c>
      <c r="AB704" s="309">
        <f>AA704</f>
        <v>0</v>
      </c>
      <c r="AC704" s="783">
        <f>AB704</f>
        <v>0</v>
      </c>
      <c r="AD704" s="308">
        <f t="shared" ref="AD704" si="999">AC704</f>
        <v>0</v>
      </c>
      <c r="AE704" s="244">
        <f>AD704</f>
        <v>0</v>
      </c>
      <c r="AF704" s="244">
        <f t="shared" ref="AF704" si="1000">AE704</f>
        <v>0</v>
      </c>
      <c r="AG704" s="309">
        <f t="shared" ref="AG704" si="1001">AF704</f>
        <v>0</v>
      </c>
      <c r="AH704" s="783">
        <f t="shared" ref="AH704:AI704" si="1002">AG704</f>
        <v>0</v>
      </c>
      <c r="AI704" s="308">
        <f t="shared" si="1002"/>
        <v>0</v>
      </c>
      <c r="AJ704" s="244">
        <f t="shared" ref="AJ704" si="1003">AI704</f>
        <v>0</v>
      </c>
      <c r="AK704" s="244">
        <f>AJ704</f>
        <v>0</v>
      </c>
      <c r="AL704" s="309">
        <f>AK704</f>
        <v>0</v>
      </c>
      <c r="AM704" s="783">
        <f t="shared" ref="AM704" si="1004">AL704</f>
        <v>0</v>
      </c>
      <c r="AN704" s="308">
        <f t="shared" ref="AN704" si="1005">AM704</f>
        <v>0</v>
      </c>
      <c r="AO704" s="244">
        <f t="shared" ref="AO704" si="1006">AN704</f>
        <v>0</v>
      </c>
      <c r="AP704" s="244">
        <f t="shared" ref="AP704" si="1007">AO704</f>
        <v>0</v>
      </c>
      <c r="AQ704" s="309">
        <f t="shared" ref="AQ704" si="1008">AP704</f>
        <v>0</v>
      </c>
      <c r="AR704" s="783">
        <f t="shared" ref="AR704:AW704" si="1009">AQ704</f>
        <v>0</v>
      </c>
      <c r="AS704" s="308">
        <f t="shared" si="1009"/>
        <v>0</v>
      </c>
      <c r="AT704" s="244">
        <f t="shared" si="1009"/>
        <v>0</v>
      </c>
      <c r="AU704" s="244">
        <f t="shared" si="1009"/>
        <v>0</v>
      </c>
      <c r="AV704" s="309">
        <f t="shared" si="1009"/>
        <v>0</v>
      </c>
      <c r="AW704" s="783">
        <f t="shared" si="1009"/>
        <v>0</v>
      </c>
      <c r="AX704" s="308">
        <v>0</v>
      </c>
      <c r="AY704" s="244">
        <f t="shared" ref="AY704" si="1010">AX704</f>
        <v>0</v>
      </c>
      <c r="AZ704" s="2092">
        <f>I704</f>
        <v>190.125</v>
      </c>
      <c r="BA704" s="309">
        <f t="shared" ref="BA704:BL705" si="1011">AZ704</f>
        <v>190.125</v>
      </c>
      <c r="BB704" s="783">
        <f t="shared" si="1011"/>
        <v>190.125</v>
      </c>
      <c r="BC704" s="308">
        <f t="shared" si="1011"/>
        <v>190.125</v>
      </c>
      <c r="BD704" s="244">
        <f t="shared" si="1011"/>
        <v>190.125</v>
      </c>
      <c r="BE704" s="244">
        <f t="shared" si="1011"/>
        <v>190.125</v>
      </c>
      <c r="BF704" s="309">
        <f t="shared" si="1011"/>
        <v>190.125</v>
      </c>
      <c r="BG704" s="783">
        <f>BF704</f>
        <v>190.125</v>
      </c>
      <c r="BH704" s="308">
        <f>BG704</f>
        <v>190.125</v>
      </c>
      <c r="BI704" s="244">
        <f t="shared" si="1011"/>
        <v>190.125</v>
      </c>
      <c r="BJ704" s="244">
        <f t="shared" si="1011"/>
        <v>190.125</v>
      </c>
      <c r="BK704" s="309">
        <f t="shared" si="1011"/>
        <v>190.125</v>
      </c>
      <c r="BL704" s="783">
        <f t="shared" si="1011"/>
        <v>190.125</v>
      </c>
      <c r="BM704" s="308">
        <f t="shared" ref="BM704" si="1012">BL704</f>
        <v>190.125</v>
      </c>
      <c r="BN704" s="244">
        <f t="shared" ref="BN704" si="1013">BM704</f>
        <v>190.125</v>
      </c>
      <c r="BO704" s="244">
        <f t="shared" ref="BO704:BO705" si="1014">BN704</f>
        <v>190.125</v>
      </c>
      <c r="BP704" s="309">
        <f t="shared" ref="BP704:BP705" si="1015">BO704</f>
        <v>190.125</v>
      </c>
      <c r="BQ704" s="783">
        <f t="shared" ref="BQ704" si="1016">BP704</f>
        <v>190.125</v>
      </c>
      <c r="BR704" s="40"/>
      <c r="BS704" s="40"/>
      <c r="BT704" s="40"/>
      <c r="BV704" s="156"/>
      <c r="BW704" s="156"/>
      <c r="BX704" s="156"/>
      <c r="BY704" s="156"/>
      <c r="BZ704" s="156"/>
      <c r="CA704" s="156"/>
      <c r="CB704" s="156"/>
      <c r="CC704" s="156"/>
      <c r="CD704" s="40"/>
      <c r="CE704" s="40"/>
      <c r="CF704" s="40"/>
      <c r="CG704" s="40"/>
      <c r="CH704" s="40"/>
      <c r="CI704" s="40"/>
      <c r="CJ704" s="40"/>
      <c r="CK704" s="40"/>
      <c r="CL704" s="40"/>
      <c r="CM704" s="40"/>
      <c r="CN704" s="40"/>
      <c r="CO704" s="40"/>
      <c r="CP704" s="40"/>
      <c r="CQ704" s="40"/>
      <c r="CR704" s="40"/>
      <c r="CS704" s="40"/>
      <c r="CT704" s="994"/>
      <c r="CZ704" s="40"/>
      <c r="DA704" s="40"/>
      <c r="DB704" s="40"/>
      <c r="DC704" s="40"/>
      <c r="DD704" s="40"/>
      <c r="DE704" s="40"/>
    </row>
    <row r="705" spans="1:109" s="232" customFormat="1">
      <c r="A705" s="40"/>
      <c r="B705" s="32"/>
      <c r="C705" s="28" t="s">
        <v>394</v>
      </c>
      <c r="D705" s="890" t="s">
        <v>509</v>
      </c>
      <c r="E705" s="896"/>
      <c r="F705" s="897"/>
      <c r="G705" s="897"/>
      <c r="H705" s="898"/>
      <c r="I705" s="228">
        <v>195</v>
      </c>
      <c r="J705" s="292"/>
      <c r="K705" s="897"/>
      <c r="L705" s="897"/>
      <c r="M705" s="898"/>
      <c r="N705" s="228"/>
      <c r="O705" s="292"/>
      <c r="P705" s="261"/>
      <c r="Q705" s="261"/>
      <c r="R705" s="293"/>
      <c r="S705" s="228"/>
      <c r="T705" s="910"/>
      <c r="U705" s="911"/>
      <c r="V705" s="911"/>
      <c r="W705" s="912"/>
      <c r="X705" s="913"/>
      <c r="Y705" s="455">
        <f t="shared" ref="Y705:AW705" si="1017">Y134</f>
        <v>66.511538461538478</v>
      </c>
      <c r="Z705" s="456">
        <f t="shared" si="1017"/>
        <v>66.914615384615374</v>
      </c>
      <c r="AA705" s="456">
        <f t="shared" si="1017"/>
        <v>64.0053846153846</v>
      </c>
      <c r="AB705" s="457">
        <f t="shared" si="1017"/>
        <v>62.446153846153841</v>
      </c>
      <c r="AC705" s="913">
        <f t="shared" si="1017"/>
        <v>64.969423076923078</v>
      </c>
      <c r="AD705" s="455">
        <f t="shared" si="1017"/>
        <v>63.813846153846164</v>
      </c>
      <c r="AE705" s="456">
        <f t="shared" si="1017"/>
        <v>57.336923076923085</v>
      </c>
      <c r="AF705" s="456">
        <f t="shared" si="1017"/>
        <v>57.336923076923085</v>
      </c>
      <c r="AG705" s="457">
        <f t="shared" si="1017"/>
        <v>56.106923076923081</v>
      </c>
      <c r="AH705" s="913">
        <f t="shared" si="1017"/>
        <v>58.648653846153849</v>
      </c>
      <c r="AI705" s="455">
        <f t="shared" si="1017"/>
        <v>53.513846153846139</v>
      </c>
      <c r="AJ705" s="456">
        <f t="shared" si="1017"/>
        <v>52.858461538461547</v>
      </c>
      <c r="AK705" s="456">
        <f t="shared" si="1017"/>
        <v>50.784615384615385</v>
      </c>
      <c r="AL705" s="457">
        <f t="shared" si="1017"/>
        <v>46.303846153846159</v>
      </c>
      <c r="AM705" s="913">
        <f t="shared" si="1017"/>
        <v>50.865192307692311</v>
      </c>
      <c r="AN705" s="455">
        <f t="shared" si="1017"/>
        <v>42.380769230769232</v>
      </c>
      <c r="AO705" s="456">
        <f t="shared" si="1017"/>
        <v>41.192307692307693</v>
      </c>
      <c r="AP705" s="456">
        <f t="shared" si="1017"/>
        <v>40.928571428571438</v>
      </c>
      <c r="AQ705" s="457">
        <f t="shared" si="1017"/>
        <v>44.896153846153844</v>
      </c>
      <c r="AR705" s="913">
        <f t="shared" si="1017"/>
        <v>42.349450549450552</v>
      </c>
      <c r="AS705" s="455">
        <f t="shared" si="1017"/>
        <v>50.057692307692314</v>
      </c>
      <c r="AT705" s="456">
        <f t="shared" si="1017"/>
        <v>52.46153846153846</v>
      </c>
      <c r="AU705" s="456">
        <f t="shared" si="1017"/>
        <v>52.98846153846155</v>
      </c>
      <c r="AV705" s="457">
        <f t="shared" si="1017"/>
        <v>60.850000000000009</v>
      </c>
      <c r="AW705" s="913">
        <f t="shared" si="1017"/>
        <v>54.089423076923083</v>
      </c>
      <c r="AX705" s="1994">
        <f>17.73*12*1000/365</f>
        <v>582.90410958904113</v>
      </c>
      <c r="AY705" s="456">
        <f>AX705</f>
        <v>582.90410958904113</v>
      </c>
      <c r="AZ705" s="456">
        <f t="shared" ref="AZ705" si="1018">AY705</f>
        <v>582.90410958904113</v>
      </c>
      <c r="BA705" s="457">
        <f t="shared" si="1011"/>
        <v>582.90410958904113</v>
      </c>
      <c r="BB705" s="913">
        <f>BA705</f>
        <v>582.90410958904113</v>
      </c>
      <c r="BC705" s="2093">
        <f>BA705</f>
        <v>582.90410958904113</v>
      </c>
      <c r="BD705" s="456">
        <f>BC705</f>
        <v>582.90410958904113</v>
      </c>
      <c r="BE705" s="456">
        <f t="shared" si="1011"/>
        <v>582.90410958904113</v>
      </c>
      <c r="BF705" s="457">
        <f t="shared" si="1011"/>
        <v>582.90410958904113</v>
      </c>
      <c r="BG705" s="913">
        <f>BF705</f>
        <v>582.90410958904113</v>
      </c>
      <c r="BH705" s="2093">
        <f>BF705</f>
        <v>582.90410958904113</v>
      </c>
      <c r="BI705" s="456">
        <f>BH705</f>
        <v>582.90410958904113</v>
      </c>
      <c r="BJ705" s="456">
        <f t="shared" si="1011"/>
        <v>582.90410958904113</v>
      </c>
      <c r="BK705" s="457">
        <f t="shared" si="1011"/>
        <v>582.90410958904113</v>
      </c>
      <c r="BL705" s="913">
        <f>BK705</f>
        <v>582.90410958904113</v>
      </c>
      <c r="BM705" s="2093">
        <f>BK705</f>
        <v>582.90410958904113</v>
      </c>
      <c r="BN705" s="456">
        <f>BM705</f>
        <v>582.90410958904113</v>
      </c>
      <c r="BO705" s="456">
        <f t="shared" si="1014"/>
        <v>582.90410958904113</v>
      </c>
      <c r="BP705" s="457">
        <f t="shared" si="1015"/>
        <v>582.90410958904113</v>
      </c>
      <c r="BQ705" s="913">
        <f>BP705</f>
        <v>582.90410958904113</v>
      </c>
      <c r="BR705" s="40"/>
      <c r="BS705" s="40"/>
      <c r="BT705" s="40"/>
      <c r="BV705" s="156"/>
      <c r="BW705" s="156"/>
      <c r="BX705" s="156"/>
      <c r="BY705" s="156"/>
      <c r="BZ705" s="156"/>
      <c r="CA705" s="156"/>
      <c r="CB705" s="156"/>
      <c r="CC705" s="156"/>
      <c r="CD705" s="40"/>
      <c r="CE705" s="40"/>
      <c r="CF705" s="40"/>
      <c r="CG705" s="40"/>
      <c r="CH705" s="40"/>
      <c r="CI705" s="40"/>
      <c r="CJ705" s="40"/>
      <c r="CK705" s="40"/>
      <c r="CL705" s="40"/>
      <c r="CM705" s="40"/>
      <c r="CN705" s="40"/>
      <c r="CO705" s="40"/>
      <c r="CP705" s="40"/>
      <c r="CQ705" s="40"/>
      <c r="CR705" s="40"/>
      <c r="CS705" s="40"/>
      <c r="CT705" s="994"/>
      <c r="CZ705" s="40"/>
      <c r="DA705" s="40"/>
      <c r="DB705" s="40"/>
      <c r="DC705" s="40"/>
      <c r="DD705" s="40"/>
      <c r="DE705" s="40"/>
    </row>
    <row r="706" spans="1:109" s="232" customFormat="1">
      <c r="A706" s="40"/>
      <c r="B706" s="32"/>
      <c r="C706" s="32" t="s">
        <v>798</v>
      </c>
      <c r="D706" s="909"/>
      <c r="E706" s="891"/>
      <c r="F706" s="892"/>
      <c r="G706" s="892"/>
      <c r="H706" s="893"/>
      <c r="I706" s="228"/>
      <c r="J706" s="292"/>
      <c r="K706" s="892"/>
      <c r="L706" s="892"/>
      <c r="M706" s="893"/>
      <c r="N706" s="228"/>
      <c r="O706" s="292"/>
      <c r="P706" s="261"/>
      <c r="Q706" s="261"/>
      <c r="R706" s="293"/>
      <c r="S706" s="228"/>
      <c r="T706" s="788"/>
      <c r="U706" s="789"/>
      <c r="V706" s="789"/>
      <c r="W706" s="790"/>
      <c r="X706" s="228"/>
      <c r="Y706" s="788">
        <f>Y704*Y705*365/1000000/4</f>
        <v>0</v>
      </c>
      <c r="Z706" s="789">
        <f>Z704*Z705*365/1000000/4</f>
        <v>0</v>
      </c>
      <c r="AA706" s="789">
        <f>AA704*AA705*365/1000000/4</f>
        <v>0</v>
      </c>
      <c r="AB706" s="790">
        <f>AB704*AB705*365/1000000/4</f>
        <v>0</v>
      </c>
      <c r="AC706" s="228">
        <f>SUM(Y706:AB706)</f>
        <v>0</v>
      </c>
      <c r="AD706" s="788">
        <f>AD704*AD705*365/1000000/4</f>
        <v>0</v>
      </c>
      <c r="AE706" s="789">
        <f>AE704*AE705*365/1000000/4</f>
        <v>0</v>
      </c>
      <c r="AF706" s="789">
        <f>AF704*AF705*365/1000000/4</f>
        <v>0</v>
      </c>
      <c r="AG706" s="790">
        <f>AG704*AG705*365/1000000/4</f>
        <v>0</v>
      </c>
      <c r="AH706" s="228">
        <f>SUM(AD706:AG706)</f>
        <v>0</v>
      </c>
      <c r="AI706" s="788">
        <f>AI704*AI705*365/1000000/4</f>
        <v>0</v>
      </c>
      <c r="AJ706" s="789">
        <f>AJ704*AJ705*365/1000000/4</f>
        <v>0</v>
      </c>
      <c r="AK706" s="789">
        <f>AK704*AK705*365/1000000/4</f>
        <v>0</v>
      </c>
      <c r="AL706" s="790">
        <f>AL704*AL705*365/1000000/4</f>
        <v>0</v>
      </c>
      <c r="AM706" s="228">
        <f>SUM(AI706:AL706)</f>
        <v>0</v>
      </c>
      <c r="AN706" s="788">
        <f>AN704*AN705*365/1000000/4</f>
        <v>0</v>
      </c>
      <c r="AO706" s="789">
        <f>AO704*AO705*365/1000000/4</f>
        <v>0</v>
      </c>
      <c r="AP706" s="789">
        <f>AP704*AP705*365/1000000/4</f>
        <v>0</v>
      </c>
      <c r="AQ706" s="790">
        <f>AQ704*AQ705*365/1000000/4</f>
        <v>0</v>
      </c>
      <c r="AR706" s="228">
        <f>SUM(AN706:AQ706)</f>
        <v>0</v>
      </c>
      <c r="AS706" s="788">
        <f>AS704*AS705*365/1000000/4</f>
        <v>0</v>
      </c>
      <c r="AT706" s="789">
        <f>AT704*AT705*365/1000000/4</f>
        <v>0</v>
      </c>
      <c r="AU706" s="789">
        <f>AU704*AU705*365/1000000/4</f>
        <v>0</v>
      </c>
      <c r="AV706" s="790">
        <f>AV704*AV705*365/1000000/4</f>
        <v>0</v>
      </c>
      <c r="AW706" s="228">
        <f>SUM(AS706:AV706)</f>
        <v>0</v>
      </c>
      <c r="AX706" s="788">
        <f>AX704*AX705*365/1000000/4</f>
        <v>0</v>
      </c>
      <c r="AY706" s="789">
        <f>AY704*AY705*365/1000000/4</f>
        <v>0</v>
      </c>
      <c r="AZ706" s="789">
        <f>AZ704*AZ705*365/1000000/4</f>
        <v>10.11274875</v>
      </c>
      <c r="BA706" s="790">
        <f>BA704*BA705*365/1000000/4</f>
        <v>10.11274875</v>
      </c>
      <c r="BB706" s="228">
        <f>SUM(AX706:BA706)</f>
        <v>20.225497499999999</v>
      </c>
      <c r="BC706" s="788">
        <f>BC704*BC705*365/1000000/4</f>
        <v>10.11274875</v>
      </c>
      <c r="BD706" s="789">
        <f>BD704*BD705*365/1000000/4</f>
        <v>10.11274875</v>
      </c>
      <c r="BE706" s="789">
        <f>BE704*BE705*365/1000000/4</f>
        <v>10.11274875</v>
      </c>
      <c r="BF706" s="790">
        <f>BF704*BF705*365/1000000/4</f>
        <v>10.11274875</v>
      </c>
      <c r="BG706" s="228">
        <f>SUM(BC706:BF706)</f>
        <v>40.450994999999999</v>
      </c>
      <c r="BH706" s="788">
        <f>BH704*BH705*365/1000000/4</f>
        <v>10.11274875</v>
      </c>
      <c r="BI706" s="789">
        <f>BI704*BI705*365/1000000/4</f>
        <v>10.11274875</v>
      </c>
      <c r="BJ706" s="789">
        <f>BJ704*BJ705*365/1000000/4</f>
        <v>10.11274875</v>
      </c>
      <c r="BK706" s="790">
        <f>BK704*BK705*365/1000000/4</f>
        <v>10.11274875</v>
      </c>
      <c r="BL706" s="228">
        <f>SUM(BH706:BK706)</f>
        <v>40.450994999999999</v>
      </c>
      <c r="BM706" s="788">
        <f>BM704*BM705*365/1000000/4</f>
        <v>10.11274875</v>
      </c>
      <c r="BN706" s="789">
        <f>BN704*BN705*365/1000000/4</f>
        <v>10.11274875</v>
      </c>
      <c r="BO706" s="789">
        <f>BO704*BO705*365/1000000/4</f>
        <v>10.11274875</v>
      </c>
      <c r="BP706" s="790">
        <f>BP704*BP705*365/1000000/4</f>
        <v>10.11274875</v>
      </c>
      <c r="BQ706" s="228">
        <f>SUM(BM706:BP706)</f>
        <v>40.450994999999999</v>
      </c>
      <c r="BR706" s="40"/>
      <c r="BS706" s="40"/>
      <c r="BT706" s="40"/>
      <c r="BV706" s="156"/>
      <c r="BW706" s="156"/>
      <c r="BX706" s="156"/>
      <c r="BY706" s="156"/>
      <c r="BZ706" s="156"/>
      <c r="CA706" s="156"/>
      <c r="CB706" s="156"/>
      <c r="CC706" s="156"/>
      <c r="CD706" s="40"/>
      <c r="CE706" s="40"/>
      <c r="CF706" s="40"/>
      <c r="CG706" s="40"/>
      <c r="CH706" s="40"/>
      <c r="CI706" s="40"/>
      <c r="CJ706" s="40"/>
      <c r="CK706" s="40"/>
      <c r="CL706" s="40"/>
      <c r="CM706" s="40"/>
      <c r="CN706" s="40"/>
      <c r="CO706" s="40"/>
      <c r="CP706" s="40"/>
      <c r="CQ706" s="40"/>
      <c r="CR706" s="40"/>
      <c r="CS706" s="40"/>
      <c r="CT706" s="994"/>
      <c r="CZ706" s="40"/>
      <c r="DA706" s="40"/>
      <c r="DB706" s="40"/>
      <c r="DC706" s="40"/>
      <c r="DD706" s="40"/>
      <c r="DE706" s="40"/>
    </row>
    <row r="707" spans="1:109" s="232" customFormat="1">
      <c r="A707" s="40"/>
      <c r="B707" s="32"/>
      <c r="C707" s="909"/>
      <c r="D707" s="895"/>
      <c r="E707" s="896"/>
      <c r="F707" s="897"/>
      <c r="G707" s="897"/>
      <c r="H707" s="898"/>
      <c r="I707" s="228"/>
      <c r="J707" s="292"/>
      <c r="K707" s="897"/>
      <c r="L707" s="897"/>
      <c r="M707" s="898"/>
      <c r="N707" s="228"/>
      <c r="O707" s="292"/>
      <c r="P707" s="261"/>
      <c r="Q707" s="261"/>
      <c r="R707" s="293"/>
      <c r="S707" s="228"/>
      <c r="T707" s="292"/>
      <c r="U707" s="261"/>
      <c r="V707" s="261"/>
      <c r="W707" s="293"/>
      <c r="X707" s="228"/>
      <c r="Y707" s="292"/>
      <c r="Z707" s="261"/>
      <c r="AA707" s="261"/>
      <c r="AB707" s="293"/>
      <c r="AC707" s="228"/>
      <c r="AD707" s="292"/>
      <c r="AE707" s="261"/>
      <c r="AF707" s="261"/>
      <c r="AG707" s="293"/>
      <c r="AH707" s="228"/>
      <c r="AI707" s="292"/>
      <c r="AJ707" s="261"/>
      <c r="AK707" s="261"/>
      <c r="AL707" s="293"/>
      <c r="AM707" s="228"/>
      <c r="AN707" s="292"/>
      <c r="AO707" s="261"/>
      <c r="AP707" s="261"/>
      <c r="AQ707" s="293"/>
      <c r="AR707" s="228"/>
      <c r="AS707" s="292"/>
      <c r="AT707" s="261"/>
      <c r="AU707" s="261"/>
      <c r="AV707" s="293"/>
      <c r="AW707" s="228"/>
      <c r="AX707" s="292"/>
      <c r="AY707" s="261"/>
      <c r="AZ707" s="261"/>
      <c r="BA707" s="293"/>
      <c r="BB707" s="228"/>
      <c r="BC707" s="292"/>
      <c r="BD707" s="261"/>
      <c r="BE707" s="261"/>
      <c r="BF707" s="293"/>
      <c r="BG707" s="228"/>
      <c r="BH707" s="292"/>
      <c r="BI707" s="261"/>
      <c r="BJ707" s="261"/>
      <c r="BK707" s="293"/>
      <c r="BL707" s="228"/>
      <c r="BM707" s="292"/>
      <c r="BN707" s="261"/>
      <c r="BO707" s="261"/>
      <c r="BP707" s="293"/>
      <c r="BQ707" s="228"/>
      <c r="BR707" s="40"/>
      <c r="BS707" s="40"/>
      <c r="BT707" s="40"/>
      <c r="BV707" s="156"/>
      <c r="BW707" s="156"/>
      <c r="BX707" s="156"/>
      <c r="BY707" s="156"/>
      <c r="BZ707" s="156"/>
      <c r="CA707" s="156"/>
      <c r="CB707" s="156"/>
      <c r="CC707" s="156"/>
      <c r="CD707" s="40"/>
      <c r="CE707" s="40"/>
      <c r="CF707" s="40"/>
      <c r="CG707" s="40"/>
      <c r="CH707" s="40"/>
      <c r="CI707" s="40"/>
      <c r="CJ707" s="40"/>
      <c r="CK707" s="40"/>
      <c r="CL707" s="40"/>
      <c r="CM707" s="40"/>
      <c r="CN707" s="40"/>
      <c r="CO707" s="40"/>
      <c r="CP707" s="40"/>
      <c r="CQ707" s="40"/>
      <c r="CR707" s="40"/>
      <c r="CS707" s="40"/>
      <c r="CT707" s="994"/>
      <c r="CZ707" s="40"/>
      <c r="DA707" s="40"/>
      <c r="DB707" s="40"/>
      <c r="DC707" s="40"/>
      <c r="DD707" s="40"/>
      <c r="DE707" s="40"/>
    </row>
    <row r="708" spans="1:109" s="232" customFormat="1">
      <c r="A708" s="40"/>
      <c r="B708" s="32"/>
      <c r="C708" s="889" t="s">
        <v>1118</v>
      </c>
      <c r="D708" s="895"/>
      <c r="E708" s="896"/>
      <c r="F708" s="897"/>
      <c r="G708" s="897"/>
      <c r="H708" s="898"/>
      <c r="I708" s="228"/>
      <c r="J708" s="292"/>
      <c r="K708" s="897"/>
      <c r="L708" s="897"/>
      <c r="M708" s="898"/>
      <c r="N708" s="32"/>
      <c r="O708" s="292"/>
      <c r="P708" s="261"/>
      <c r="Q708" s="261"/>
      <c r="R708" s="293"/>
      <c r="S708" s="32"/>
      <c r="T708" s="786"/>
      <c r="U708" s="784"/>
      <c r="V708" s="784"/>
      <c r="W708" s="785"/>
      <c r="X708" s="783"/>
      <c r="Y708" s="308"/>
      <c r="Z708" s="244"/>
      <c r="AA708" s="244"/>
      <c r="AB708" s="309"/>
      <c r="AC708" s="783"/>
      <c r="AD708" s="308"/>
      <c r="AE708" s="244"/>
      <c r="AF708" s="244"/>
      <c r="AG708" s="309"/>
      <c r="AH708" s="783"/>
      <c r="AI708" s="308"/>
      <c r="AJ708" s="244"/>
      <c r="AK708" s="244"/>
      <c r="AL708" s="309"/>
      <c r="AM708" s="783"/>
      <c r="AN708" s="308"/>
      <c r="AO708" s="244"/>
      <c r="AP708" s="244"/>
      <c r="AQ708" s="309"/>
      <c r="AR708" s="783"/>
      <c r="AS708" s="308"/>
      <c r="AT708" s="244"/>
      <c r="AU708" s="244"/>
      <c r="AV708" s="309"/>
      <c r="AW708" s="783"/>
      <c r="AX708" s="308"/>
      <c r="AY708" s="244"/>
      <c r="AZ708" s="244"/>
      <c r="BA708" s="309"/>
      <c r="BB708" s="783"/>
      <c r="BC708" s="308"/>
      <c r="BD708" s="244"/>
      <c r="BE708" s="244"/>
      <c r="BF708" s="309"/>
      <c r="BG708" s="783"/>
      <c r="BH708" s="308"/>
      <c r="BI708" s="244"/>
      <c r="BJ708" s="244"/>
      <c r="BK708" s="309"/>
      <c r="BL708" s="783"/>
      <c r="BM708" s="308"/>
      <c r="BN708" s="244"/>
      <c r="BO708" s="244"/>
      <c r="BP708" s="309"/>
      <c r="BQ708" s="783"/>
      <c r="BR708" s="40"/>
      <c r="BS708" s="40"/>
      <c r="BT708" s="40"/>
      <c r="BV708" s="156"/>
      <c r="BW708" s="156"/>
      <c r="BX708" s="156"/>
      <c r="BY708" s="156"/>
      <c r="BZ708" s="156"/>
      <c r="CA708" s="156"/>
      <c r="CB708" s="156"/>
      <c r="CC708" s="156"/>
      <c r="CD708" s="40"/>
      <c r="CE708" s="40"/>
      <c r="CF708" s="40"/>
      <c r="CG708" s="40"/>
      <c r="CH708" s="40"/>
      <c r="CI708" s="40"/>
      <c r="CJ708" s="40"/>
      <c r="CK708" s="40"/>
      <c r="CL708" s="40"/>
      <c r="CM708" s="40"/>
      <c r="CN708" s="40"/>
      <c r="CO708" s="40"/>
      <c r="CP708" s="40"/>
      <c r="CQ708" s="40"/>
      <c r="CR708" s="40"/>
      <c r="CS708" s="40"/>
      <c r="CT708" s="994"/>
      <c r="CZ708" s="40"/>
      <c r="DA708" s="40"/>
      <c r="DB708" s="40"/>
      <c r="DC708" s="40"/>
      <c r="DD708" s="40"/>
      <c r="DE708" s="40"/>
    </row>
    <row r="709" spans="1:109" s="232" customFormat="1">
      <c r="A709" s="40"/>
      <c r="B709" s="28"/>
      <c r="C709" s="895" t="s">
        <v>802</v>
      </c>
      <c r="D709" s="890" t="s">
        <v>510</v>
      </c>
      <c r="E709" s="896"/>
      <c r="F709" s="897"/>
      <c r="G709" s="897"/>
      <c r="H709" s="898"/>
      <c r="I709" s="1082">
        <f>I710*$I$671</f>
        <v>1072.5</v>
      </c>
      <c r="J709" s="897"/>
      <c r="K709" s="897"/>
      <c r="L709" s="897"/>
      <c r="M709" s="898"/>
      <c r="N709" s="45"/>
      <c r="O709" s="290"/>
      <c r="P709" s="260"/>
      <c r="Q709" s="260"/>
      <c r="R709" s="291"/>
      <c r="S709" s="45"/>
      <c r="T709" s="786"/>
      <c r="U709" s="784"/>
      <c r="V709" s="784"/>
      <c r="W709" s="785"/>
      <c r="X709" s="783"/>
      <c r="Y709" s="308">
        <f>+I709</f>
        <v>1072.5</v>
      </c>
      <c r="Z709" s="244">
        <f t="shared" ref="Z709:AU710" si="1019">Y709</f>
        <v>1072.5</v>
      </c>
      <c r="AA709" s="244">
        <f t="shared" si="1019"/>
        <v>1072.5</v>
      </c>
      <c r="AB709" s="309">
        <f t="shared" si="1019"/>
        <v>1072.5</v>
      </c>
      <c r="AC709" s="783">
        <f t="shared" si="1019"/>
        <v>1072.5</v>
      </c>
      <c r="AD709" s="308">
        <f t="shared" si="1019"/>
        <v>1072.5</v>
      </c>
      <c r="AE709" s="244">
        <f t="shared" si="1019"/>
        <v>1072.5</v>
      </c>
      <c r="AF709" s="244">
        <f t="shared" si="1019"/>
        <v>1072.5</v>
      </c>
      <c r="AG709" s="309">
        <f t="shared" si="1019"/>
        <v>1072.5</v>
      </c>
      <c r="AH709" s="783">
        <f t="shared" si="1019"/>
        <v>1072.5</v>
      </c>
      <c r="AI709" s="308">
        <f t="shared" si="1019"/>
        <v>1072.5</v>
      </c>
      <c r="AJ709" s="244">
        <f t="shared" si="1019"/>
        <v>1072.5</v>
      </c>
      <c r="AK709" s="244">
        <f t="shared" si="1019"/>
        <v>1072.5</v>
      </c>
      <c r="AL709" s="309">
        <f t="shared" si="1019"/>
        <v>1072.5</v>
      </c>
      <c r="AM709" s="783">
        <f t="shared" si="1019"/>
        <v>1072.5</v>
      </c>
      <c r="AN709" s="308">
        <f t="shared" si="1019"/>
        <v>1072.5</v>
      </c>
      <c r="AO709" s="244">
        <f t="shared" si="1019"/>
        <v>1072.5</v>
      </c>
      <c r="AP709" s="244">
        <f t="shared" si="1019"/>
        <v>1072.5</v>
      </c>
      <c r="AQ709" s="309">
        <f t="shared" si="1019"/>
        <v>1072.5</v>
      </c>
      <c r="AR709" s="783">
        <f t="shared" si="1019"/>
        <v>1072.5</v>
      </c>
      <c r="AS709" s="308">
        <f t="shared" si="1019"/>
        <v>1072.5</v>
      </c>
      <c r="AT709" s="244">
        <f t="shared" si="1019"/>
        <v>1072.5</v>
      </c>
      <c r="AU709" s="2092">
        <v>0</v>
      </c>
      <c r="AV709" s="309">
        <f>AU709</f>
        <v>0</v>
      </c>
      <c r="AW709" s="783">
        <f>AV709</f>
        <v>0</v>
      </c>
      <c r="AX709" s="308">
        <f t="shared" ref="AX709:BA710" si="1020">AW709</f>
        <v>0</v>
      </c>
      <c r="AY709" s="244">
        <f t="shared" si="1020"/>
        <v>0</v>
      </c>
      <c r="AZ709" s="244">
        <f t="shared" si="1020"/>
        <v>0</v>
      </c>
      <c r="BA709" s="309">
        <f t="shared" si="1020"/>
        <v>0</v>
      </c>
      <c r="BB709" s="783">
        <f>BA709</f>
        <v>0</v>
      </c>
      <c r="BC709" s="308">
        <f t="shared" ref="BC709:BF710" si="1021">BB709</f>
        <v>0</v>
      </c>
      <c r="BD709" s="244">
        <f t="shared" si="1021"/>
        <v>0</v>
      </c>
      <c r="BE709" s="244">
        <f t="shared" si="1021"/>
        <v>0</v>
      </c>
      <c r="BF709" s="309">
        <f t="shared" si="1021"/>
        <v>0</v>
      </c>
      <c r="BG709" s="783">
        <f>BF709</f>
        <v>0</v>
      </c>
      <c r="BH709" s="308">
        <f>BG709</f>
        <v>0</v>
      </c>
      <c r="BI709" s="244">
        <f t="shared" ref="BI709:BL710" si="1022">BH709</f>
        <v>0</v>
      </c>
      <c r="BJ709" s="244">
        <f t="shared" si="1022"/>
        <v>0</v>
      </c>
      <c r="BK709" s="309">
        <f t="shared" si="1022"/>
        <v>0</v>
      </c>
      <c r="BL709" s="783">
        <f t="shared" si="1022"/>
        <v>0</v>
      </c>
      <c r="BM709" s="308">
        <f t="shared" ref="BM709:BM710" si="1023">BL709</f>
        <v>0</v>
      </c>
      <c r="BN709" s="244">
        <f t="shared" ref="BN709:BN710" si="1024">BM709</f>
        <v>0</v>
      </c>
      <c r="BO709" s="244">
        <f t="shared" ref="BO709:BO710" si="1025">BN709</f>
        <v>0</v>
      </c>
      <c r="BP709" s="309">
        <f t="shared" ref="BP709:BP710" si="1026">BO709</f>
        <v>0</v>
      </c>
      <c r="BQ709" s="783">
        <f t="shared" ref="BQ709:BQ710" si="1027">BP709</f>
        <v>0</v>
      </c>
      <c r="BR709" s="40"/>
      <c r="BS709" s="40"/>
      <c r="BT709" s="40"/>
      <c r="BV709" s="156"/>
      <c r="BW709" s="156"/>
      <c r="BX709" s="156"/>
      <c r="BY709" s="156"/>
      <c r="BZ709" s="156"/>
      <c r="CA709" s="156"/>
      <c r="CB709" s="156"/>
      <c r="CC709" s="156"/>
      <c r="CD709" s="40"/>
      <c r="CE709" s="40"/>
      <c r="CF709" s="40"/>
      <c r="CG709" s="40"/>
      <c r="CH709" s="40"/>
      <c r="CI709" s="40"/>
      <c r="CJ709" s="40"/>
      <c r="CK709" s="40"/>
      <c r="CL709" s="40"/>
      <c r="CM709" s="40"/>
      <c r="CN709" s="40"/>
      <c r="CO709" s="40"/>
      <c r="CP709" s="40"/>
      <c r="CQ709" s="40"/>
      <c r="CR709" s="40"/>
      <c r="CS709" s="40"/>
      <c r="CT709" s="994"/>
      <c r="CZ709" s="40"/>
      <c r="DA709" s="40"/>
      <c r="DB709" s="40"/>
      <c r="DC709" s="40"/>
      <c r="DD709" s="40"/>
      <c r="DE709" s="40"/>
    </row>
    <row r="710" spans="1:109" s="232" customFormat="1">
      <c r="A710" s="40"/>
      <c r="B710" s="32"/>
      <c r="C710" s="28" t="s">
        <v>394</v>
      </c>
      <c r="D710" s="890" t="s">
        <v>509</v>
      </c>
      <c r="E710" s="896"/>
      <c r="F710" s="897"/>
      <c r="G710" s="897"/>
      <c r="H710" s="898"/>
      <c r="I710" s="228">
        <v>1100</v>
      </c>
      <c r="J710" s="292"/>
      <c r="K710" s="897"/>
      <c r="L710" s="897"/>
      <c r="M710" s="898"/>
      <c r="N710" s="228"/>
      <c r="O710" s="292"/>
      <c r="P710" s="261"/>
      <c r="Q710" s="261"/>
      <c r="R710" s="293"/>
      <c r="S710" s="228"/>
      <c r="T710" s="910"/>
      <c r="U710" s="911"/>
      <c r="V710" s="911"/>
      <c r="W710" s="912"/>
      <c r="X710" s="913"/>
      <c r="Y710" s="455">
        <f t="shared" ref="Y710:AI710" si="1028">Y130</f>
        <v>0.1</v>
      </c>
      <c r="Z710" s="456">
        <f t="shared" si="1028"/>
        <v>0.41666666666666669</v>
      </c>
      <c r="AA710" s="456">
        <f t="shared" si="1028"/>
        <v>1.05</v>
      </c>
      <c r="AB710" s="457">
        <f t="shared" si="1028"/>
        <v>1.05</v>
      </c>
      <c r="AC710" s="913">
        <f t="shared" si="1028"/>
        <v>0.65416666666666679</v>
      </c>
      <c r="AD710" s="455">
        <f t="shared" si="1028"/>
        <v>1.05</v>
      </c>
      <c r="AE710" s="456">
        <f t="shared" si="1028"/>
        <v>16.75</v>
      </c>
      <c r="AF710" s="456">
        <f t="shared" si="1028"/>
        <v>16.75</v>
      </c>
      <c r="AG710" s="457">
        <f t="shared" si="1028"/>
        <v>16.75</v>
      </c>
      <c r="AH710" s="913">
        <f t="shared" si="1028"/>
        <v>12.824999999999999</v>
      </c>
      <c r="AI710" s="455">
        <f t="shared" si="1028"/>
        <v>16.75</v>
      </c>
      <c r="AJ710" s="2088">
        <v>50</v>
      </c>
      <c r="AK710" s="456">
        <f>AJ710</f>
        <v>50</v>
      </c>
      <c r="AL710" s="457">
        <f t="shared" si="1019"/>
        <v>50</v>
      </c>
      <c r="AM710" s="913">
        <f t="shared" si="1019"/>
        <v>50</v>
      </c>
      <c r="AN710" s="455">
        <f t="shared" si="1019"/>
        <v>50</v>
      </c>
      <c r="AO710" s="456">
        <f t="shared" si="1019"/>
        <v>50</v>
      </c>
      <c r="AP710" s="456">
        <f t="shared" si="1019"/>
        <v>50</v>
      </c>
      <c r="AQ710" s="457">
        <f t="shared" si="1019"/>
        <v>50</v>
      </c>
      <c r="AR710" s="913">
        <f t="shared" si="1019"/>
        <v>50</v>
      </c>
      <c r="AS710" s="455">
        <f t="shared" si="1019"/>
        <v>50</v>
      </c>
      <c r="AT710" s="456">
        <f t="shared" si="1019"/>
        <v>50</v>
      </c>
      <c r="AU710" s="456">
        <f t="shared" si="1019"/>
        <v>50</v>
      </c>
      <c r="AV710" s="457">
        <f>AU710</f>
        <v>50</v>
      </c>
      <c r="AW710" s="913">
        <f>AV710</f>
        <v>50</v>
      </c>
      <c r="AX710" s="455">
        <f t="shared" si="1020"/>
        <v>50</v>
      </c>
      <c r="AY710" s="456">
        <f t="shared" si="1020"/>
        <v>50</v>
      </c>
      <c r="AZ710" s="456">
        <f t="shared" si="1020"/>
        <v>50</v>
      </c>
      <c r="BA710" s="457">
        <f t="shared" si="1020"/>
        <v>50</v>
      </c>
      <c r="BB710" s="913">
        <f>BA710</f>
        <v>50</v>
      </c>
      <c r="BC710" s="455">
        <f t="shared" si="1021"/>
        <v>50</v>
      </c>
      <c r="BD710" s="456">
        <f t="shared" si="1021"/>
        <v>50</v>
      </c>
      <c r="BE710" s="456">
        <f t="shared" si="1021"/>
        <v>50</v>
      </c>
      <c r="BF710" s="457">
        <f t="shared" si="1021"/>
        <v>50</v>
      </c>
      <c r="BG710" s="913">
        <f>BF710</f>
        <v>50</v>
      </c>
      <c r="BH710" s="455">
        <f>BG710</f>
        <v>50</v>
      </c>
      <c r="BI710" s="456">
        <f t="shared" si="1022"/>
        <v>50</v>
      </c>
      <c r="BJ710" s="456">
        <f t="shared" si="1022"/>
        <v>50</v>
      </c>
      <c r="BK710" s="457">
        <f t="shared" si="1022"/>
        <v>50</v>
      </c>
      <c r="BL710" s="913">
        <f t="shared" si="1022"/>
        <v>50</v>
      </c>
      <c r="BM710" s="455">
        <f t="shared" si="1023"/>
        <v>50</v>
      </c>
      <c r="BN710" s="456">
        <f t="shared" si="1024"/>
        <v>50</v>
      </c>
      <c r="BO710" s="456">
        <f t="shared" si="1025"/>
        <v>50</v>
      </c>
      <c r="BP710" s="457">
        <f t="shared" si="1026"/>
        <v>50</v>
      </c>
      <c r="BQ710" s="913">
        <f t="shared" si="1027"/>
        <v>50</v>
      </c>
      <c r="BR710" s="40"/>
      <c r="BS710" s="40"/>
      <c r="BT710" s="40"/>
      <c r="BV710" s="156"/>
      <c r="BW710" s="156"/>
      <c r="BX710" s="156"/>
      <c r="BY710" s="156"/>
      <c r="BZ710" s="156"/>
      <c r="CA710" s="156"/>
      <c r="CB710" s="156"/>
      <c r="CC710" s="156"/>
      <c r="CD710" s="40"/>
      <c r="CE710" s="40"/>
      <c r="CF710" s="40"/>
      <c r="CG710" s="40"/>
      <c r="CH710" s="40"/>
      <c r="CI710" s="40"/>
      <c r="CJ710" s="40"/>
      <c r="CK710" s="40"/>
      <c r="CL710" s="40"/>
      <c r="CM710" s="40"/>
      <c r="CN710" s="40"/>
      <c r="CO710" s="40"/>
      <c r="CP710" s="40"/>
      <c r="CQ710" s="40"/>
      <c r="CR710" s="40"/>
      <c r="CS710" s="40"/>
      <c r="CT710" s="994"/>
      <c r="CZ710" s="40"/>
      <c r="DA710" s="40"/>
      <c r="DB710" s="40"/>
      <c r="DC710" s="40"/>
      <c r="DD710" s="40"/>
      <c r="DE710" s="40"/>
    </row>
    <row r="711" spans="1:109" s="34" customFormat="1">
      <c r="A711" s="156"/>
      <c r="B711" s="32"/>
      <c r="C711" s="32" t="s">
        <v>798</v>
      </c>
      <c r="D711" s="909"/>
      <c r="E711" s="891"/>
      <c r="F711" s="892"/>
      <c r="G711" s="892"/>
      <c r="H711" s="893"/>
      <c r="I711" s="228"/>
      <c r="J711" s="292"/>
      <c r="K711" s="892"/>
      <c r="L711" s="892"/>
      <c r="M711" s="893"/>
      <c r="N711" s="228"/>
      <c r="O711" s="292"/>
      <c r="P711" s="261"/>
      <c r="Q711" s="261"/>
      <c r="R711" s="293"/>
      <c r="S711" s="228"/>
      <c r="T711" s="788"/>
      <c r="U711" s="789"/>
      <c r="V711" s="789"/>
      <c r="W711" s="790"/>
      <c r="X711" s="228"/>
      <c r="Y711" s="788">
        <f>Y709*Y710*365/1000000/4</f>
        <v>9.7865625000000001E-3</v>
      </c>
      <c r="Z711" s="789">
        <f>Z709*Z710*365/1000000/4</f>
        <v>4.077734375E-2</v>
      </c>
      <c r="AA711" s="789">
        <f>AA709*AA710*365/1000000/4</f>
        <v>0.10275890625</v>
      </c>
      <c r="AB711" s="790">
        <f>AB709*AB710*365/1000000/4</f>
        <v>0.10275890625</v>
      </c>
      <c r="AC711" s="228">
        <f>SUM(Y711:AB711)</f>
        <v>0.25608171875000002</v>
      </c>
      <c r="AD711" s="788">
        <f>AD709*AD710*365/1000000/4</f>
        <v>0.10275890625</v>
      </c>
      <c r="AE711" s="789">
        <f>AE709*AE710*365/1000000/4</f>
        <v>1.6392492187500001</v>
      </c>
      <c r="AF711" s="789">
        <f>AF709*AF710*365/1000000/4</f>
        <v>1.6392492187500001</v>
      </c>
      <c r="AG711" s="790">
        <f>AG709*AG710*365/1000000/4</f>
        <v>1.6392492187500001</v>
      </c>
      <c r="AH711" s="228">
        <f>SUM(AD711:AG711)</f>
        <v>5.0205065625000005</v>
      </c>
      <c r="AI711" s="788">
        <f>AI709*AI710*365/1000000/4</f>
        <v>1.6392492187500001</v>
      </c>
      <c r="AJ711" s="789">
        <f>AJ709*AJ710*365/1000000/4</f>
        <v>4.8932812500000002</v>
      </c>
      <c r="AK711" s="789">
        <f>AK709*AK710*365/1000000/4</f>
        <v>4.8932812500000002</v>
      </c>
      <c r="AL711" s="790">
        <f>AL709*AL710*365/1000000/4</f>
        <v>4.8932812500000002</v>
      </c>
      <c r="AM711" s="228">
        <f>SUM(AI711:AL711)</f>
        <v>16.319092968750002</v>
      </c>
      <c r="AN711" s="788">
        <f>AN709*AN710*365/1000000/4</f>
        <v>4.8932812500000002</v>
      </c>
      <c r="AO711" s="789">
        <f>AO709*AO710*365/1000000/4</f>
        <v>4.8932812500000002</v>
      </c>
      <c r="AP711" s="789">
        <f>AP709*AP710*365/1000000/4</f>
        <v>4.8932812500000002</v>
      </c>
      <c r="AQ711" s="790">
        <f>AQ709*AQ710*365/1000000/4</f>
        <v>4.8932812500000002</v>
      </c>
      <c r="AR711" s="228">
        <f>SUM(AN711:AQ711)</f>
        <v>19.573125000000001</v>
      </c>
      <c r="AS711" s="788">
        <f>AS709*AS710*365/1000000/4</f>
        <v>4.8932812500000002</v>
      </c>
      <c r="AT711" s="789">
        <f>AT709*AT710*365/1000000/4</f>
        <v>4.8932812500000002</v>
      </c>
      <c r="AU711" s="789">
        <f>AU709*AU710*365/1000000/4</f>
        <v>0</v>
      </c>
      <c r="AV711" s="790">
        <f>AV709*AV710*365/1000000/4</f>
        <v>0</v>
      </c>
      <c r="AW711" s="228">
        <f>SUM(AS711:AV711)</f>
        <v>9.7865625000000005</v>
      </c>
      <c r="AX711" s="788">
        <f>AX709*AX710*365/1000000/4</f>
        <v>0</v>
      </c>
      <c r="AY711" s="789">
        <f>AY709*AY710*365/1000000/4</f>
        <v>0</v>
      </c>
      <c r="AZ711" s="789">
        <f>AZ709*AZ710*365/1000000/4</f>
        <v>0</v>
      </c>
      <c r="BA711" s="790">
        <f>BA709*BA710*365/1000000/4</f>
        <v>0</v>
      </c>
      <c r="BB711" s="228">
        <f>SUM(AX711:BA711)</f>
        <v>0</v>
      </c>
      <c r="BC711" s="788">
        <f>BC709*BC710*365/1000000/4</f>
        <v>0</v>
      </c>
      <c r="BD711" s="789">
        <f>BD709*BD710*365/1000000/4</f>
        <v>0</v>
      </c>
      <c r="BE711" s="789">
        <f>BE709*BE710*365/1000000/4</f>
        <v>0</v>
      </c>
      <c r="BF711" s="790">
        <f>BF709*BF710*365/1000000/4</f>
        <v>0</v>
      </c>
      <c r="BG711" s="228">
        <f>SUM(BC711:BF711)</f>
        <v>0</v>
      </c>
      <c r="BH711" s="788">
        <f>BH709*BH710*365/1000000/4</f>
        <v>0</v>
      </c>
      <c r="BI711" s="789">
        <f>BI709*BI710*365/1000000/4</f>
        <v>0</v>
      </c>
      <c r="BJ711" s="789">
        <f>BJ709*BJ710*365/1000000/4</f>
        <v>0</v>
      </c>
      <c r="BK711" s="790">
        <f>BK709*BK710*365/1000000/4</f>
        <v>0</v>
      </c>
      <c r="BL711" s="228">
        <f>SUM(BH711:BK711)</f>
        <v>0</v>
      </c>
      <c r="BM711" s="788">
        <f>BM709*BM710*365/1000000/4</f>
        <v>0</v>
      </c>
      <c r="BN711" s="789">
        <f>BN709*BN710*365/1000000/4</f>
        <v>0</v>
      </c>
      <c r="BO711" s="789">
        <f>BO709*BO710*365/1000000/4</f>
        <v>0</v>
      </c>
      <c r="BP711" s="790">
        <f>BP709*BP710*365/1000000/4</f>
        <v>0</v>
      </c>
      <c r="BQ711" s="228">
        <f>SUM(BM711:BP711)</f>
        <v>0</v>
      </c>
      <c r="BR711" s="40"/>
      <c r="BS711" s="40"/>
      <c r="BT711" s="156"/>
      <c r="BU711" s="232"/>
      <c r="BV711" s="156"/>
      <c r="BW711" s="156"/>
      <c r="BX711" s="156"/>
      <c r="BY711" s="156"/>
      <c r="BZ711" s="156"/>
      <c r="CA711" s="156"/>
      <c r="CB711" s="156"/>
      <c r="CC711" s="156"/>
      <c r="CD711" s="40"/>
      <c r="CE711" s="40"/>
      <c r="CF711" s="40"/>
      <c r="CG711" s="156"/>
      <c r="CH711" s="156"/>
      <c r="CI711" s="156"/>
      <c r="CJ711" s="156"/>
      <c r="CK711" s="156"/>
      <c r="CL711" s="156"/>
      <c r="CM711" s="156"/>
      <c r="CN711" s="156"/>
      <c r="CO711" s="156"/>
      <c r="CP711" s="156"/>
      <c r="CQ711" s="156"/>
      <c r="CR711" s="156"/>
      <c r="CS711" s="156"/>
      <c r="CT711" s="954"/>
      <c r="CZ711" s="156"/>
      <c r="DA711" s="156"/>
      <c r="DB711" s="156"/>
      <c r="DC711" s="156"/>
      <c r="DD711" s="156"/>
      <c r="DE711" s="156"/>
    </row>
    <row r="712" spans="1:109" s="232" customFormat="1">
      <c r="A712" s="40"/>
      <c r="B712" s="32"/>
      <c r="C712" s="909"/>
      <c r="D712" s="895"/>
      <c r="E712" s="896"/>
      <c r="F712" s="897"/>
      <c r="G712" s="897"/>
      <c r="H712" s="898"/>
      <c r="I712" s="228"/>
      <c r="J712" s="292"/>
      <c r="K712" s="897"/>
      <c r="L712" s="897"/>
      <c r="M712" s="898"/>
      <c r="N712" s="228"/>
      <c r="O712" s="292"/>
      <c r="P712" s="261"/>
      <c r="Q712" s="261"/>
      <c r="R712" s="293"/>
      <c r="S712" s="228"/>
      <c r="T712" s="292"/>
      <c r="U712" s="261"/>
      <c r="V712" s="261"/>
      <c r="W712" s="293"/>
      <c r="X712" s="228"/>
      <c r="Y712" s="292"/>
      <c r="Z712" s="261"/>
      <c r="AA712" s="261"/>
      <c r="AB712" s="293"/>
      <c r="AC712" s="228"/>
      <c r="AD712" s="292"/>
      <c r="AE712" s="261"/>
      <c r="AF712" s="261"/>
      <c r="AG712" s="293"/>
      <c r="AH712" s="228"/>
      <c r="AI712" s="292"/>
      <c r="AJ712" s="261"/>
      <c r="AK712" s="261"/>
      <c r="AL712" s="293"/>
      <c r="AM712" s="228"/>
      <c r="AN712" s="292"/>
      <c r="AO712" s="261"/>
      <c r="AP712" s="261"/>
      <c r="AQ712" s="293"/>
      <c r="AR712" s="228"/>
      <c r="AS712" s="292"/>
      <c r="AT712" s="261"/>
      <c r="AU712" s="261"/>
      <c r="AV712" s="293"/>
      <c r="AW712" s="228"/>
      <c r="AX712" s="292"/>
      <c r="AY712" s="261"/>
      <c r="AZ712" s="261"/>
      <c r="BA712" s="293"/>
      <c r="BB712" s="228"/>
      <c r="BC712" s="292"/>
      <c r="BD712" s="261"/>
      <c r="BE712" s="261"/>
      <c r="BF712" s="293"/>
      <c r="BG712" s="228"/>
      <c r="BH712" s="292"/>
      <c r="BI712" s="261"/>
      <c r="BJ712" s="261"/>
      <c r="BK712" s="293"/>
      <c r="BL712" s="228"/>
      <c r="BM712" s="292"/>
      <c r="BN712" s="261"/>
      <c r="BO712" s="261"/>
      <c r="BP712" s="293"/>
      <c r="BQ712" s="228"/>
      <c r="BR712" s="40"/>
      <c r="BS712" s="40"/>
      <c r="BT712" s="40"/>
      <c r="BV712" s="156"/>
      <c r="BW712" s="156"/>
      <c r="BX712" s="156"/>
      <c r="BY712" s="156"/>
      <c r="BZ712" s="156"/>
      <c r="CA712" s="156"/>
      <c r="CB712" s="156"/>
      <c r="CC712" s="156"/>
      <c r="CD712" s="40"/>
      <c r="CE712" s="40"/>
      <c r="CF712" s="40"/>
      <c r="CG712" s="40"/>
      <c r="CH712" s="40"/>
      <c r="CI712" s="40"/>
      <c r="CJ712" s="40"/>
      <c r="CK712" s="40"/>
      <c r="CL712" s="40"/>
      <c r="CM712" s="40"/>
      <c r="CN712" s="40"/>
      <c r="CO712" s="40"/>
      <c r="CP712" s="40"/>
      <c r="CQ712" s="40"/>
      <c r="CR712" s="40"/>
      <c r="CS712" s="40"/>
      <c r="CT712" s="994"/>
      <c r="CZ712" s="40"/>
      <c r="DA712" s="40"/>
      <c r="DB712" s="40"/>
      <c r="DC712" s="40"/>
      <c r="DD712" s="40"/>
      <c r="DE712" s="40"/>
    </row>
    <row r="713" spans="1:109" s="232" customFormat="1">
      <c r="A713" s="40"/>
      <c r="B713" s="32"/>
      <c r="C713" s="889" t="s">
        <v>641</v>
      </c>
      <c r="D713" s="895"/>
      <c r="E713" s="896"/>
      <c r="F713" s="897"/>
      <c r="G713" s="897"/>
      <c r="H713" s="898"/>
      <c r="I713" s="228"/>
      <c r="J713" s="292"/>
      <c r="K713" s="897"/>
      <c r="L713" s="897"/>
      <c r="M713" s="898"/>
      <c r="N713" s="32"/>
      <c r="O713" s="292"/>
      <c r="P713" s="261"/>
      <c r="Q713" s="261"/>
      <c r="R713" s="293"/>
      <c r="S713" s="32"/>
      <c r="T713" s="786"/>
      <c r="U713" s="784"/>
      <c r="V713" s="784"/>
      <c r="W713" s="785"/>
      <c r="X713" s="783"/>
      <c r="Y713" s="308"/>
      <c r="Z713" s="244"/>
      <c r="AA713" s="244"/>
      <c r="AB713" s="309"/>
      <c r="AC713" s="783"/>
      <c r="AD713" s="308"/>
      <c r="AE713" s="244"/>
      <c r="AF713" s="244"/>
      <c r="AG713" s="309"/>
      <c r="AH713" s="783"/>
      <c r="AI713" s="308"/>
      <c r="AJ713" s="244"/>
      <c r="AK713" s="244"/>
      <c r="AL713" s="309"/>
      <c r="AM713" s="783"/>
      <c r="AN713" s="308"/>
      <c r="AO713" s="244"/>
      <c r="AP713" s="244"/>
      <c r="AQ713" s="309"/>
      <c r="AR713" s="783"/>
      <c r="AS713" s="308"/>
      <c r="AT713" s="244"/>
      <c r="AU713" s="244"/>
      <c r="AV713" s="309"/>
      <c r="AW713" s="783"/>
      <c r="AX713" s="308"/>
      <c r="AY713" s="244"/>
      <c r="AZ713" s="244"/>
      <c r="BA713" s="309"/>
      <c r="BB713" s="783"/>
      <c r="BC713" s="308"/>
      <c r="BD713" s="244"/>
      <c r="BE713" s="244"/>
      <c r="BF713" s="309"/>
      <c r="BG713" s="783"/>
      <c r="BH713" s="308"/>
      <c r="BI713" s="244"/>
      <c r="BJ713" s="244"/>
      <c r="BK713" s="309"/>
      <c r="BL713" s="783"/>
      <c r="BM713" s="308"/>
      <c r="BN713" s="244"/>
      <c r="BO713" s="244"/>
      <c r="BP713" s="309"/>
      <c r="BQ713" s="783"/>
      <c r="BR713" s="40"/>
      <c r="BS713" s="40"/>
      <c r="BT713" s="40"/>
      <c r="BU713" s="34"/>
      <c r="BV713" s="156"/>
      <c r="BW713" s="156"/>
      <c r="BX713" s="156"/>
      <c r="BY713" s="156"/>
      <c r="BZ713" s="156"/>
      <c r="CA713" s="156"/>
      <c r="CB713" s="156"/>
      <c r="CC713" s="156"/>
      <c r="CD713" s="156"/>
      <c r="CE713" s="156"/>
      <c r="CF713" s="156"/>
      <c r="CG713" s="40"/>
      <c r="CH713" s="40"/>
      <c r="CI713" s="40"/>
      <c r="CJ713" s="40"/>
      <c r="CK713" s="40"/>
      <c r="CL713" s="40"/>
      <c r="CM713" s="40"/>
      <c r="CN713" s="40"/>
      <c r="CO713" s="40"/>
      <c r="CP713" s="40"/>
      <c r="CQ713" s="40"/>
      <c r="CR713" s="40"/>
      <c r="CS713" s="40"/>
      <c r="CT713" s="994"/>
      <c r="CZ713" s="40"/>
      <c r="DA713" s="40"/>
      <c r="DB713" s="40"/>
      <c r="DC713" s="40"/>
      <c r="DD713" s="40"/>
      <c r="DE713" s="40"/>
    </row>
    <row r="714" spans="1:109" s="232" customFormat="1">
      <c r="A714" s="40"/>
      <c r="B714" s="28"/>
      <c r="C714" s="895" t="s">
        <v>802</v>
      </c>
      <c r="D714" s="890"/>
      <c r="E714" s="896"/>
      <c r="F714" s="897"/>
      <c r="G714" s="897"/>
      <c r="H714" s="898"/>
      <c r="I714" s="1082">
        <f>(I443+I429)*$I$671</f>
        <v>3960.45</v>
      </c>
      <c r="J714" s="897"/>
      <c r="K714" s="897"/>
      <c r="L714" s="897"/>
      <c r="M714" s="898"/>
      <c r="N714" s="45"/>
      <c r="O714" s="290"/>
      <c r="P714" s="260"/>
      <c r="Q714" s="260"/>
      <c r="R714" s="291"/>
      <c r="S714" s="45"/>
      <c r="T714" s="786"/>
      <c r="U714" s="784"/>
      <c r="V714" s="784"/>
      <c r="W714" s="785"/>
      <c r="X714" s="783"/>
      <c r="Y714" s="308">
        <f>+I714</f>
        <v>3960.45</v>
      </c>
      <c r="Z714" s="244">
        <f>Y714</f>
        <v>3960.45</v>
      </c>
      <c r="AA714" s="244">
        <f>Z714</f>
        <v>3960.45</v>
      </c>
      <c r="AB714" s="309">
        <f>AA714</f>
        <v>3960.45</v>
      </c>
      <c r="AC714" s="783">
        <f>AB714</f>
        <v>3960.45</v>
      </c>
      <c r="AD714" s="308">
        <f t="shared" ref="AD714:BL714" si="1029">AC714</f>
        <v>3960.45</v>
      </c>
      <c r="AE714" s="244">
        <f>AD714</f>
        <v>3960.45</v>
      </c>
      <c r="AF714" s="244">
        <f t="shared" si="1029"/>
        <v>3960.45</v>
      </c>
      <c r="AG714" s="309">
        <f t="shared" si="1029"/>
        <v>3960.45</v>
      </c>
      <c r="AH714" s="783">
        <f t="shared" si="1029"/>
        <v>3960.45</v>
      </c>
      <c r="AI714" s="1950">
        <f>AH714-500</f>
        <v>3460.45</v>
      </c>
      <c r="AJ714" s="244">
        <f t="shared" si="1029"/>
        <v>3460.45</v>
      </c>
      <c r="AK714" s="244">
        <f t="shared" si="1029"/>
        <v>3460.45</v>
      </c>
      <c r="AL714" s="309">
        <f t="shared" si="1029"/>
        <v>3460.45</v>
      </c>
      <c r="AM714" s="783">
        <f t="shared" si="1029"/>
        <v>3460.45</v>
      </c>
      <c r="AN714" s="308">
        <f t="shared" si="1029"/>
        <v>3460.45</v>
      </c>
      <c r="AO714" s="244">
        <f t="shared" si="1029"/>
        <v>3460.45</v>
      </c>
      <c r="AP714" s="244">
        <f t="shared" si="1029"/>
        <v>3460.45</v>
      </c>
      <c r="AQ714" s="309">
        <f>AP714</f>
        <v>3460.45</v>
      </c>
      <c r="AR714" s="783">
        <f t="shared" si="1029"/>
        <v>3460.45</v>
      </c>
      <c r="AS714" s="308">
        <f t="shared" si="1029"/>
        <v>3460.45</v>
      </c>
      <c r="AT714" s="244">
        <f t="shared" si="1029"/>
        <v>3460.45</v>
      </c>
      <c r="AU714" s="244">
        <f t="shared" si="1029"/>
        <v>3460.45</v>
      </c>
      <c r="AV714" s="309">
        <f>AU714</f>
        <v>3460.45</v>
      </c>
      <c r="AW714" s="783">
        <f t="shared" si="1029"/>
        <v>3460.45</v>
      </c>
      <c r="AX714" s="308">
        <f t="shared" si="1029"/>
        <v>3460.45</v>
      </c>
      <c r="AY714" s="244">
        <f t="shared" si="1029"/>
        <v>3460.45</v>
      </c>
      <c r="AZ714" s="244">
        <f t="shared" si="1029"/>
        <v>3460.45</v>
      </c>
      <c r="BA714" s="309">
        <f t="shared" si="1029"/>
        <v>3460.45</v>
      </c>
      <c r="BB714" s="783">
        <f t="shared" si="1029"/>
        <v>3460.45</v>
      </c>
      <c r="BC714" s="308">
        <f t="shared" si="1029"/>
        <v>3460.45</v>
      </c>
      <c r="BD714" s="244">
        <f t="shared" si="1029"/>
        <v>3460.45</v>
      </c>
      <c r="BE714" s="244">
        <f t="shared" si="1029"/>
        <v>3460.45</v>
      </c>
      <c r="BF714" s="309">
        <f t="shared" si="1029"/>
        <v>3460.45</v>
      </c>
      <c r="BG714" s="783">
        <f>BF714</f>
        <v>3460.45</v>
      </c>
      <c r="BH714" s="308">
        <f>BG714</f>
        <v>3460.45</v>
      </c>
      <c r="BI714" s="244">
        <f t="shared" si="1029"/>
        <v>3460.45</v>
      </c>
      <c r="BJ714" s="244">
        <f t="shared" si="1029"/>
        <v>3460.45</v>
      </c>
      <c r="BK714" s="309">
        <f t="shared" si="1029"/>
        <v>3460.45</v>
      </c>
      <c r="BL714" s="783">
        <f t="shared" si="1029"/>
        <v>3460.45</v>
      </c>
      <c r="BM714" s="308">
        <f t="shared" ref="BM714" si="1030">BL714</f>
        <v>3460.45</v>
      </c>
      <c r="BN714" s="244">
        <f t="shared" ref="BN714" si="1031">BM714</f>
        <v>3460.45</v>
      </c>
      <c r="BO714" s="244">
        <f t="shared" ref="BO714" si="1032">BN714</f>
        <v>3460.45</v>
      </c>
      <c r="BP714" s="309">
        <f t="shared" ref="BP714" si="1033">BO714</f>
        <v>3460.45</v>
      </c>
      <c r="BQ714" s="783">
        <f t="shared" ref="BQ714" si="1034">BP714</f>
        <v>3460.45</v>
      </c>
      <c r="BR714" s="40"/>
      <c r="BS714" s="40"/>
      <c r="BT714" s="40"/>
      <c r="BV714" s="156"/>
      <c r="BW714" s="156"/>
      <c r="BX714" s="156"/>
      <c r="BY714" s="156"/>
      <c r="BZ714" s="156"/>
      <c r="CA714" s="156"/>
      <c r="CB714" s="156"/>
      <c r="CC714" s="156"/>
      <c r="CD714" s="40"/>
      <c r="CE714" s="40"/>
      <c r="CF714" s="40"/>
      <c r="CG714" s="40"/>
      <c r="CH714" s="40"/>
      <c r="CI714" s="40"/>
      <c r="CJ714" s="40"/>
      <c r="CK714" s="40"/>
      <c r="CL714" s="40"/>
      <c r="CM714" s="40"/>
      <c r="CN714" s="40"/>
      <c r="CO714" s="40"/>
      <c r="CP714" s="40"/>
      <c r="CQ714" s="40"/>
      <c r="CR714" s="40"/>
      <c r="CS714" s="40"/>
      <c r="CT714" s="994"/>
      <c r="CZ714" s="40"/>
      <c r="DA714" s="40"/>
      <c r="DB714" s="40"/>
      <c r="DC714" s="40"/>
      <c r="DD714" s="40"/>
      <c r="DE714" s="40"/>
    </row>
    <row r="715" spans="1:109" s="232" customFormat="1">
      <c r="A715" s="40"/>
      <c r="B715" s="32"/>
      <c r="C715" s="28" t="s">
        <v>394</v>
      </c>
      <c r="D715" s="890"/>
      <c r="E715" s="896"/>
      <c r="F715" s="897"/>
      <c r="G715" s="897"/>
      <c r="H715" s="898"/>
      <c r="I715" s="228"/>
      <c r="J715" s="292"/>
      <c r="K715" s="897"/>
      <c r="L715" s="897"/>
      <c r="M715" s="898"/>
      <c r="N715" s="228"/>
      <c r="O715" s="292"/>
      <c r="P715" s="261"/>
      <c r="Q715" s="261"/>
      <c r="R715" s="293"/>
      <c r="S715" s="228"/>
      <c r="T715" s="910"/>
      <c r="U715" s="911"/>
      <c r="V715" s="911"/>
      <c r="W715" s="912"/>
      <c r="X715" s="913"/>
      <c r="Y715" s="455">
        <f t="shared" ref="Y715:BL715" si="1035">Y131</f>
        <v>0</v>
      </c>
      <c r="Z715" s="456">
        <f t="shared" si="1035"/>
        <v>0</v>
      </c>
      <c r="AA715" s="456">
        <f t="shared" si="1035"/>
        <v>0</v>
      </c>
      <c r="AB715" s="457">
        <f t="shared" si="1035"/>
        <v>0</v>
      </c>
      <c r="AC715" s="913">
        <f t="shared" si="1035"/>
        <v>0</v>
      </c>
      <c r="AD715" s="455">
        <f t="shared" si="1035"/>
        <v>0</v>
      </c>
      <c r="AE715" s="456">
        <f t="shared" si="1035"/>
        <v>0</v>
      </c>
      <c r="AF715" s="456">
        <f t="shared" si="1035"/>
        <v>0</v>
      </c>
      <c r="AG715" s="457">
        <f t="shared" si="1035"/>
        <v>0</v>
      </c>
      <c r="AH715" s="913">
        <f t="shared" si="1035"/>
        <v>0</v>
      </c>
      <c r="AI715" s="455">
        <f t="shared" si="1035"/>
        <v>0</v>
      </c>
      <c r="AJ715" s="456">
        <f t="shared" si="1035"/>
        <v>0</v>
      </c>
      <c r="AK715" s="456">
        <f t="shared" si="1035"/>
        <v>0</v>
      </c>
      <c r="AL715" s="457">
        <f t="shared" si="1035"/>
        <v>0</v>
      </c>
      <c r="AM715" s="913">
        <f t="shared" si="1035"/>
        <v>0</v>
      </c>
      <c r="AN715" s="455">
        <f t="shared" si="1035"/>
        <v>0</v>
      </c>
      <c r="AO715" s="456">
        <f t="shared" si="1035"/>
        <v>0</v>
      </c>
      <c r="AP715" s="456">
        <f t="shared" si="1035"/>
        <v>0</v>
      </c>
      <c r="AQ715" s="457">
        <f t="shared" si="1035"/>
        <v>0</v>
      </c>
      <c r="AR715" s="913">
        <f t="shared" si="1035"/>
        <v>0</v>
      </c>
      <c r="AS715" s="455">
        <f t="shared" si="1035"/>
        <v>0</v>
      </c>
      <c r="AT715" s="456">
        <f t="shared" si="1035"/>
        <v>0</v>
      </c>
      <c r="AU715" s="456">
        <f t="shared" ref="AU715" si="1036">AU131</f>
        <v>0</v>
      </c>
      <c r="AV715" s="457">
        <f t="shared" si="1035"/>
        <v>0</v>
      </c>
      <c r="AW715" s="913">
        <f t="shared" si="1035"/>
        <v>0</v>
      </c>
      <c r="AX715" s="455">
        <f t="shared" si="1035"/>
        <v>0</v>
      </c>
      <c r="AY715" s="456">
        <f t="shared" si="1035"/>
        <v>0</v>
      </c>
      <c r="AZ715" s="456">
        <f t="shared" si="1035"/>
        <v>0</v>
      </c>
      <c r="BA715" s="457">
        <f t="shared" si="1035"/>
        <v>0</v>
      </c>
      <c r="BB715" s="913">
        <f t="shared" si="1035"/>
        <v>0</v>
      </c>
      <c r="BC715" s="455">
        <f t="shared" si="1035"/>
        <v>0</v>
      </c>
      <c r="BD715" s="456">
        <f t="shared" si="1035"/>
        <v>0</v>
      </c>
      <c r="BE715" s="456">
        <f t="shared" si="1035"/>
        <v>0</v>
      </c>
      <c r="BF715" s="457">
        <f t="shared" si="1035"/>
        <v>0</v>
      </c>
      <c r="BG715" s="913">
        <f t="shared" si="1035"/>
        <v>0</v>
      </c>
      <c r="BH715" s="455">
        <f t="shared" si="1035"/>
        <v>0</v>
      </c>
      <c r="BI715" s="456">
        <f t="shared" si="1035"/>
        <v>0</v>
      </c>
      <c r="BJ715" s="456">
        <f t="shared" si="1035"/>
        <v>0</v>
      </c>
      <c r="BK715" s="457">
        <f t="shared" si="1035"/>
        <v>0</v>
      </c>
      <c r="BL715" s="913">
        <f t="shared" si="1035"/>
        <v>0</v>
      </c>
      <c r="BM715" s="455">
        <f t="shared" ref="BM715:BQ715" si="1037">BM131</f>
        <v>0</v>
      </c>
      <c r="BN715" s="456">
        <f t="shared" si="1037"/>
        <v>0</v>
      </c>
      <c r="BO715" s="456">
        <f t="shared" si="1037"/>
        <v>0</v>
      </c>
      <c r="BP715" s="457">
        <f t="shared" si="1037"/>
        <v>0</v>
      </c>
      <c r="BQ715" s="913">
        <f t="shared" si="1037"/>
        <v>0</v>
      </c>
      <c r="BR715" s="40"/>
      <c r="BS715" s="40"/>
      <c r="BT715" s="40"/>
      <c r="BV715" s="156"/>
      <c r="BW715" s="156"/>
      <c r="BX715" s="156"/>
      <c r="BY715" s="156"/>
      <c r="BZ715" s="156"/>
      <c r="CA715" s="156"/>
      <c r="CB715" s="156"/>
      <c r="CC715" s="156"/>
      <c r="CD715" s="40"/>
      <c r="CE715" s="40"/>
      <c r="CF715" s="40"/>
      <c r="CG715" s="40"/>
      <c r="CH715" s="40"/>
      <c r="CI715" s="40"/>
      <c r="CJ715" s="40"/>
      <c r="CK715" s="40"/>
      <c r="CL715" s="40"/>
      <c r="CM715" s="40"/>
      <c r="CN715" s="40"/>
      <c r="CO715" s="40"/>
      <c r="CP715" s="40"/>
      <c r="CQ715" s="40"/>
      <c r="CR715" s="40"/>
      <c r="CS715" s="40"/>
      <c r="CT715" s="994"/>
      <c r="CZ715" s="40"/>
      <c r="DA715" s="40"/>
      <c r="DB715" s="40"/>
      <c r="DC715" s="40"/>
      <c r="DD715" s="40"/>
      <c r="DE715" s="40"/>
    </row>
    <row r="716" spans="1:109" s="34" customFormat="1">
      <c r="A716" s="156"/>
      <c r="B716" s="32"/>
      <c r="C716" s="32" t="s">
        <v>798</v>
      </c>
      <c r="D716" s="909"/>
      <c r="E716" s="891"/>
      <c r="F716" s="892"/>
      <c r="G716" s="892"/>
      <c r="H716" s="893"/>
      <c r="I716" s="228"/>
      <c r="J716" s="292"/>
      <c r="K716" s="892"/>
      <c r="L716" s="892"/>
      <c r="M716" s="893"/>
      <c r="N716" s="228"/>
      <c r="O716" s="292"/>
      <c r="P716" s="261"/>
      <c r="Q716" s="261"/>
      <c r="R716" s="293"/>
      <c r="S716" s="228"/>
      <c r="T716" s="788"/>
      <c r="U716" s="789"/>
      <c r="V716" s="789"/>
      <c r="W716" s="790"/>
      <c r="X716" s="228"/>
      <c r="Y716" s="788">
        <f>Y714*Y715*365/1000000/4</f>
        <v>0</v>
      </c>
      <c r="Z716" s="789">
        <f>Z714*Z715*365/1000000/4</f>
        <v>0</v>
      </c>
      <c r="AA716" s="789">
        <f>AA714*AA715*365/1000000/4</f>
        <v>0</v>
      </c>
      <c r="AB716" s="790">
        <f>AB714*AB715*365/1000000/4</f>
        <v>0</v>
      </c>
      <c r="AC716" s="228">
        <f>SUM(Y716:AB716)</f>
        <v>0</v>
      </c>
      <c r="AD716" s="788">
        <f>AD714*AD715*365/1000000/4</f>
        <v>0</v>
      </c>
      <c r="AE716" s="789">
        <f>AE714*AE715*365/1000000/4</f>
        <v>0</v>
      </c>
      <c r="AF716" s="789">
        <f>AF714*AF715*365/1000000/4</f>
        <v>0</v>
      </c>
      <c r="AG716" s="790">
        <f>AG714*AG715*365/1000000/4</f>
        <v>0</v>
      </c>
      <c r="AH716" s="228">
        <f>SUM(AD716:AG716)</f>
        <v>0</v>
      </c>
      <c r="AI716" s="788">
        <f>AI714*AI715*365/1000000/4</f>
        <v>0</v>
      </c>
      <c r="AJ716" s="789">
        <f>AJ714*AJ715*365/1000000/4</f>
        <v>0</v>
      </c>
      <c r="AK716" s="789">
        <f>AK714*AK715*365/1000000/4</f>
        <v>0</v>
      </c>
      <c r="AL716" s="790">
        <f>AL714*AL715*365/1000000/4</f>
        <v>0</v>
      </c>
      <c r="AM716" s="228">
        <f>SUM(AI716:AL716)</f>
        <v>0</v>
      </c>
      <c r="AN716" s="788">
        <f>AN714*AN715*365/1000000/4</f>
        <v>0</v>
      </c>
      <c r="AO716" s="789">
        <f>AO714*AO715*365/1000000/4</f>
        <v>0</v>
      </c>
      <c r="AP716" s="789">
        <f>AP714*AP715*365/1000000/4</f>
        <v>0</v>
      </c>
      <c r="AQ716" s="790">
        <f>AQ714*AQ715*365/1000000/4</f>
        <v>0</v>
      </c>
      <c r="AR716" s="228">
        <f>SUM(AN716:AQ716)</f>
        <v>0</v>
      </c>
      <c r="AS716" s="788">
        <f>AS714*AS715*365/1000000/4</f>
        <v>0</v>
      </c>
      <c r="AT716" s="789">
        <f>AT714*AT715*365/1000000/4</f>
        <v>0</v>
      </c>
      <c r="AU716" s="789">
        <f>AU714*AU715*365/1000000/4</f>
        <v>0</v>
      </c>
      <c r="AV716" s="790">
        <f>AV714*AV715*365/1000000/4</f>
        <v>0</v>
      </c>
      <c r="AW716" s="228">
        <f>SUM(AS716:AV716)</f>
        <v>0</v>
      </c>
      <c r="AX716" s="788">
        <f>AX714*AX715*365/1000000/4</f>
        <v>0</v>
      </c>
      <c r="AY716" s="789">
        <f>AY714*AY715*365/1000000/4</f>
        <v>0</v>
      </c>
      <c r="AZ716" s="789">
        <f>AZ714*AZ715*365/1000000/4</f>
        <v>0</v>
      </c>
      <c r="BA716" s="790">
        <f>BA714*BA715*365/1000000/4</f>
        <v>0</v>
      </c>
      <c r="BB716" s="228">
        <f>SUM(AX716:BA716)</f>
        <v>0</v>
      </c>
      <c r="BC716" s="788">
        <f>BC714*BC715*365/1000000/4</f>
        <v>0</v>
      </c>
      <c r="BD716" s="789">
        <f>BD714*BD715*365/1000000/4</f>
        <v>0</v>
      </c>
      <c r="BE716" s="789">
        <f>BE714*BE715*365/1000000/4</f>
        <v>0</v>
      </c>
      <c r="BF716" s="790">
        <f>BF714*BF715*365/1000000/4</f>
        <v>0</v>
      </c>
      <c r="BG716" s="228">
        <f>SUM(BC716:BF716)</f>
        <v>0</v>
      </c>
      <c r="BH716" s="788">
        <f>BH714*BH715*365/1000000/4</f>
        <v>0</v>
      </c>
      <c r="BI716" s="789">
        <f>BI714*BI715*365/1000000/4</f>
        <v>0</v>
      </c>
      <c r="BJ716" s="789">
        <f>BJ714*BJ715*365/1000000/4</f>
        <v>0</v>
      </c>
      <c r="BK716" s="790">
        <f>BK714*BK715*365/1000000/4</f>
        <v>0</v>
      </c>
      <c r="BL716" s="228">
        <f>SUM(BH716:BK716)</f>
        <v>0</v>
      </c>
      <c r="BM716" s="788">
        <f>BM714*BM715*365/1000000/4</f>
        <v>0</v>
      </c>
      <c r="BN716" s="789">
        <f>BN714*BN715*365/1000000/4</f>
        <v>0</v>
      </c>
      <c r="BO716" s="789">
        <f>BO714*BO715*365/1000000/4</f>
        <v>0</v>
      </c>
      <c r="BP716" s="790">
        <f>BP714*BP715*365/1000000/4</f>
        <v>0</v>
      </c>
      <c r="BQ716" s="228">
        <f>SUM(BM716:BP716)</f>
        <v>0</v>
      </c>
      <c r="BR716" s="40"/>
      <c r="BS716" s="40"/>
      <c r="BT716" s="156"/>
      <c r="BU716" s="232"/>
      <c r="BV716" s="156"/>
      <c r="BW716" s="156"/>
      <c r="BX716" s="156"/>
      <c r="BY716" s="156"/>
      <c r="BZ716" s="156"/>
      <c r="CA716" s="156"/>
      <c r="CB716" s="156"/>
      <c r="CC716" s="156"/>
      <c r="CD716" s="40"/>
      <c r="CE716" s="40"/>
      <c r="CF716" s="40"/>
      <c r="CG716" s="156"/>
      <c r="CH716" s="156"/>
      <c r="CI716" s="156"/>
      <c r="CJ716" s="156"/>
      <c r="CK716" s="156"/>
      <c r="CL716" s="156"/>
      <c r="CM716" s="156"/>
      <c r="CN716" s="156"/>
      <c r="CO716" s="156"/>
      <c r="CP716" s="156"/>
      <c r="CQ716" s="156"/>
      <c r="CR716" s="156"/>
      <c r="CS716" s="156"/>
      <c r="CT716" s="954"/>
      <c r="CZ716" s="156"/>
      <c r="DA716" s="156"/>
      <c r="DB716" s="156"/>
      <c r="DC716" s="156"/>
      <c r="DD716" s="156"/>
      <c r="DE716" s="156"/>
    </row>
    <row r="717" spans="1:109" s="34" customFormat="1">
      <c r="A717" s="156"/>
      <c r="B717" s="32"/>
      <c r="C717" s="32"/>
      <c r="D717" s="909"/>
      <c r="E717" s="891"/>
      <c r="F717" s="892"/>
      <c r="G717" s="892"/>
      <c r="H717" s="893"/>
      <c r="I717" s="228"/>
      <c r="J717" s="292"/>
      <c r="K717" s="892"/>
      <c r="L717" s="892"/>
      <c r="M717" s="893"/>
      <c r="N717" s="228"/>
      <c r="O717" s="292"/>
      <c r="P717" s="261"/>
      <c r="Q717" s="261"/>
      <c r="R717" s="293"/>
      <c r="S717" s="228"/>
      <c r="T717" s="788"/>
      <c r="U717" s="789"/>
      <c r="V717" s="789"/>
      <c r="W717" s="790"/>
      <c r="X717" s="228"/>
      <c r="Y717" s="788"/>
      <c r="Z717" s="789"/>
      <c r="AA717" s="789"/>
      <c r="AB717" s="790"/>
      <c r="AC717" s="228"/>
      <c r="AD717" s="788"/>
      <c r="AE717" s="789"/>
      <c r="AF717" s="789"/>
      <c r="AG717" s="790"/>
      <c r="AH717" s="228"/>
      <c r="AI717" s="788"/>
      <c r="AJ717" s="789"/>
      <c r="AK717" s="789"/>
      <c r="AL717" s="790"/>
      <c r="AM717" s="228"/>
      <c r="AN717" s="788"/>
      <c r="AO717" s="789"/>
      <c r="AP717" s="789"/>
      <c r="AQ717" s="790"/>
      <c r="AR717" s="228"/>
      <c r="AS717" s="788"/>
      <c r="AT717" s="789"/>
      <c r="AU717" s="789"/>
      <c r="AV717" s="790"/>
      <c r="AW717" s="228"/>
      <c r="AX717" s="788"/>
      <c r="AY717" s="789"/>
      <c r="AZ717" s="789"/>
      <c r="BA717" s="790"/>
      <c r="BB717" s="228"/>
      <c r="BC717" s="788"/>
      <c r="BD717" s="789"/>
      <c r="BE717" s="789"/>
      <c r="BF717" s="790"/>
      <c r="BG717" s="228"/>
      <c r="BH717" s="788"/>
      <c r="BI717" s="789"/>
      <c r="BJ717" s="789"/>
      <c r="BK717" s="790"/>
      <c r="BL717" s="228"/>
      <c r="BM717" s="788"/>
      <c r="BN717" s="789"/>
      <c r="BO717" s="789"/>
      <c r="BP717" s="790"/>
      <c r="BQ717" s="228"/>
      <c r="BR717" s="40"/>
      <c r="BS717" s="40"/>
      <c r="BT717" s="156"/>
      <c r="BU717" s="232"/>
      <c r="BV717" s="156"/>
      <c r="BW717" s="156"/>
      <c r="BX717" s="156"/>
      <c r="BY717" s="156"/>
      <c r="BZ717" s="156"/>
      <c r="CA717" s="156"/>
      <c r="CB717" s="156"/>
      <c r="CC717" s="156"/>
      <c r="CD717" s="40"/>
      <c r="CE717" s="40"/>
      <c r="CF717" s="40"/>
      <c r="CG717" s="156"/>
      <c r="CH717" s="156"/>
      <c r="CI717" s="156"/>
      <c r="CJ717" s="156"/>
      <c r="CK717" s="156"/>
      <c r="CL717" s="156"/>
      <c r="CM717" s="156"/>
      <c r="CN717" s="156"/>
      <c r="CO717" s="156"/>
      <c r="CP717" s="156"/>
      <c r="CQ717" s="156"/>
      <c r="CR717" s="156"/>
      <c r="CS717" s="156"/>
      <c r="CT717" s="954"/>
      <c r="CZ717" s="156"/>
      <c r="DA717" s="156"/>
      <c r="DB717" s="156"/>
      <c r="DC717" s="156"/>
      <c r="DD717" s="156"/>
      <c r="DE717" s="156"/>
    </row>
    <row r="718" spans="1:109" s="34" customFormat="1">
      <c r="A718" s="156"/>
      <c r="B718" s="32"/>
      <c r="C718" s="889" t="s">
        <v>1401</v>
      </c>
      <c r="D718" s="909"/>
      <c r="E718" s="891"/>
      <c r="F718" s="892"/>
      <c r="G718" s="892"/>
      <c r="H718" s="893"/>
      <c r="I718" s="228"/>
      <c r="J718" s="292"/>
      <c r="K718" s="892"/>
      <c r="L718" s="892"/>
      <c r="M718" s="893"/>
      <c r="N718" s="228"/>
      <c r="O718" s="292"/>
      <c r="P718" s="261"/>
      <c r="Q718" s="261"/>
      <c r="R718" s="293"/>
      <c r="S718" s="228"/>
      <c r="T718" s="788"/>
      <c r="U718" s="789"/>
      <c r="V718" s="789"/>
      <c r="W718" s="790"/>
      <c r="X718" s="228"/>
      <c r="Y718" s="788"/>
      <c r="Z718" s="789"/>
      <c r="AA718" s="789"/>
      <c r="AB718" s="790"/>
      <c r="AC718" s="228"/>
      <c r="AD718" s="788"/>
      <c r="AE718" s="789"/>
      <c r="AF718" s="789"/>
      <c r="AG718" s="790"/>
      <c r="AH718" s="228"/>
      <c r="AI718" s="788"/>
      <c r="AJ718" s="789"/>
      <c r="AK718" s="789"/>
      <c r="AL718" s="790"/>
      <c r="AM718" s="228"/>
      <c r="AN718" s="788"/>
      <c r="AO718" s="789"/>
      <c r="AP718" s="789"/>
      <c r="AQ718" s="790"/>
      <c r="AR718" s="228"/>
      <c r="AS718" s="788"/>
      <c r="AT718" s="789"/>
      <c r="AU718" s="789"/>
      <c r="AV718" s="790"/>
      <c r="AW718" s="228"/>
      <c r="AX718" s="788"/>
      <c r="AY718" s="789"/>
      <c r="AZ718" s="789"/>
      <c r="BA718" s="790"/>
      <c r="BB718" s="228"/>
      <c r="BC718" s="788"/>
      <c r="BD718" s="789"/>
      <c r="BE718" s="789"/>
      <c r="BF718" s="790"/>
      <c r="BG718" s="228"/>
      <c r="BH718" s="788"/>
      <c r="BI718" s="789"/>
      <c r="BJ718" s="789"/>
      <c r="BK718" s="790"/>
      <c r="BL718" s="228"/>
      <c r="BM718" s="788"/>
      <c r="BN718" s="789"/>
      <c r="BO718" s="789"/>
      <c r="BP718" s="790"/>
      <c r="BQ718" s="228"/>
      <c r="BR718" s="40"/>
      <c r="BS718" s="40"/>
      <c r="BT718" s="156"/>
      <c r="BV718" s="156"/>
      <c r="BW718" s="156"/>
      <c r="BX718" s="156"/>
      <c r="BY718" s="156"/>
      <c r="BZ718" s="156"/>
      <c r="CA718" s="156"/>
      <c r="CB718" s="156"/>
      <c r="CC718" s="156"/>
      <c r="CD718" s="156"/>
      <c r="CE718" s="156"/>
      <c r="CF718" s="156"/>
      <c r="CG718" s="156"/>
      <c r="CH718" s="156"/>
      <c r="CI718" s="156"/>
      <c r="CJ718" s="156"/>
      <c r="CK718" s="156"/>
      <c r="CL718" s="156"/>
      <c r="CM718" s="156"/>
      <c r="CN718" s="156"/>
      <c r="CO718" s="156"/>
      <c r="CP718" s="156"/>
      <c r="CQ718" s="156"/>
      <c r="CR718" s="156"/>
      <c r="CS718" s="156"/>
      <c r="CT718" s="954"/>
      <c r="CZ718" s="156"/>
      <c r="DA718" s="156"/>
      <c r="DB718" s="156"/>
      <c r="DC718" s="156"/>
      <c r="DD718" s="156"/>
      <c r="DE718" s="156"/>
    </row>
    <row r="719" spans="1:109" s="34" customFormat="1">
      <c r="A719" s="156"/>
      <c r="B719" s="32"/>
      <c r="C719" s="895" t="s">
        <v>802</v>
      </c>
      <c r="D719" s="909"/>
      <c r="E719" s="891"/>
      <c r="F719" s="892"/>
      <c r="G719" s="892"/>
      <c r="H719" s="893"/>
      <c r="I719" s="228"/>
      <c r="J719" s="292"/>
      <c r="K719" s="892"/>
      <c r="L719" s="892"/>
      <c r="M719" s="893"/>
      <c r="N719" s="228"/>
      <c r="O719" s="292"/>
      <c r="P719" s="261"/>
      <c r="Q719" s="261"/>
      <c r="R719" s="293"/>
      <c r="S719" s="228"/>
      <c r="T719" s="788"/>
      <c r="U719" s="789"/>
      <c r="V719" s="789"/>
      <c r="W719" s="790"/>
      <c r="X719" s="228"/>
      <c r="Y719" s="2037">
        <f>W719</f>
        <v>0</v>
      </c>
      <c r="Z719" s="264">
        <f t="shared" ref="Z719:AB720" si="1038">Y719</f>
        <v>0</v>
      </c>
      <c r="AA719" s="264">
        <f t="shared" si="1038"/>
        <v>0</v>
      </c>
      <c r="AB719" s="299">
        <f t="shared" si="1038"/>
        <v>0</v>
      </c>
      <c r="AC719" s="330">
        <f t="shared" ref="AC719" si="1039">AB719</f>
        <v>0</v>
      </c>
      <c r="AD719" s="2037">
        <f>AB719</f>
        <v>0</v>
      </c>
      <c r="AE719" s="264">
        <f t="shared" ref="AE719:AG720" si="1040">AD719</f>
        <v>0</v>
      </c>
      <c r="AF719" s="264">
        <f t="shared" si="1040"/>
        <v>0</v>
      </c>
      <c r="AG719" s="299">
        <f t="shared" si="1040"/>
        <v>0</v>
      </c>
      <c r="AH719" s="330">
        <f t="shared" ref="AH719" si="1041">AG719</f>
        <v>0</v>
      </c>
      <c r="AI719" s="2037">
        <f>AG719</f>
        <v>0</v>
      </c>
      <c r="AJ719" s="264">
        <f t="shared" ref="AJ719:AL720" si="1042">AI719</f>
        <v>0</v>
      </c>
      <c r="AK719" s="264">
        <f t="shared" si="1042"/>
        <v>0</v>
      </c>
      <c r="AL719" s="299">
        <f t="shared" si="1042"/>
        <v>0</v>
      </c>
      <c r="AM719" s="330">
        <f t="shared" ref="AM719" si="1043">AL719</f>
        <v>0</v>
      </c>
      <c r="AN719" s="2037">
        <f>AL719</f>
        <v>0</v>
      </c>
      <c r="AO719" s="2147">
        <v>15200</v>
      </c>
      <c r="AP719" s="264">
        <f>AO719</f>
        <v>15200</v>
      </c>
      <c r="AQ719" s="299">
        <f>AP719</f>
        <v>15200</v>
      </c>
      <c r="AR719" s="330">
        <f t="shared" ref="AR719" si="1044">AQ719</f>
        <v>15200</v>
      </c>
      <c r="AS719" s="300">
        <f>AR719</f>
        <v>15200</v>
      </c>
      <c r="AT719" s="264">
        <f>2/3*AS719+1/3*AU719</f>
        <v>15983.333333333332</v>
      </c>
      <c r="AU719" s="2092">
        <v>17550</v>
      </c>
      <c r="AV719" s="299">
        <f>AV674+AV679+AV684+AV689-AV608-AV621+600</f>
        <v>19835.45</v>
      </c>
      <c r="AW719" s="330">
        <f t="shared" ref="AW719" si="1045">AV719</f>
        <v>19835.45</v>
      </c>
      <c r="AX719" s="300">
        <f>AX674+AX679+AX684+AX689-AX608-AX621+600</f>
        <v>19835.45</v>
      </c>
      <c r="AY719" s="264">
        <f>AY674+AY679+AY684+AY689-AY608-AY621+600</f>
        <v>19835.45</v>
      </c>
      <c r="AZ719" s="2038">
        <f>1050+425+50+25</f>
        <v>1550</v>
      </c>
      <c r="BA719" s="299">
        <f>AZ719</f>
        <v>1550</v>
      </c>
      <c r="BB719" s="330">
        <f t="shared" ref="BB719" si="1046">BA719</f>
        <v>1550</v>
      </c>
      <c r="BC719" s="308">
        <f>BA719</f>
        <v>1550</v>
      </c>
      <c r="BD719" s="264">
        <f>BC719</f>
        <v>1550</v>
      </c>
      <c r="BE719" s="2038">
        <f>1675+225+75+50</f>
        <v>2025</v>
      </c>
      <c r="BF719" s="299">
        <f t="shared" ref="BF719" si="1047">BE719</f>
        <v>2025</v>
      </c>
      <c r="BG719" s="330">
        <f>BF719</f>
        <v>2025</v>
      </c>
      <c r="BH719" s="2037">
        <f>BF719</f>
        <v>2025</v>
      </c>
      <c r="BI719" s="264">
        <f t="shared" ref="BI719:BL719" si="1048">BH719</f>
        <v>2025</v>
      </c>
      <c r="BJ719" s="264">
        <f t="shared" si="1048"/>
        <v>2025</v>
      </c>
      <c r="BK719" s="299">
        <f t="shared" si="1048"/>
        <v>2025</v>
      </c>
      <c r="BL719" s="330">
        <f t="shared" si="1048"/>
        <v>2025</v>
      </c>
      <c r="BM719" s="2037">
        <f>BK719</f>
        <v>2025</v>
      </c>
      <c r="BN719" s="264">
        <f t="shared" ref="BN719" si="1049">BM719</f>
        <v>2025</v>
      </c>
      <c r="BO719" s="264">
        <f t="shared" ref="BO719" si="1050">BN719</f>
        <v>2025</v>
      </c>
      <c r="BP719" s="299">
        <f t="shared" ref="BP719" si="1051">BO719</f>
        <v>2025</v>
      </c>
      <c r="BQ719" s="330">
        <f t="shared" ref="BQ719" si="1052">BP719</f>
        <v>2025</v>
      </c>
      <c r="BR719" s="40"/>
      <c r="BS719" s="40"/>
      <c r="BT719" s="156"/>
      <c r="BV719" s="156"/>
      <c r="BW719" s="156"/>
      <c r="BX719" s="156"/>
      <c r="BY719" s="156"/>
      <c r="BZ719" s="156"/>
      <c r="CA719" s="156"/>
      <c r="CB719" s="156"/>
      <c r="CC719" s="156"/>
      <c r="CD719" s="156"/>
      <c r="CE719" s="156"/>
      <c r="CF719" s="156"/>
      <c r="CG719" s="156"/>
      <c r="CH719" s="156"/>
      <c r="CI719" s="156"/>
      <c r="CJ719" s="156"/>
      <c r="CK719" s="156"/>
      <c r="CL719" s="156"/>
      <c r="CM719" s="156"/>
      <c r="CN719" s="156"/>
      <c r="CO719" s="156"/>
      <c r="CP719" s="156"/>
      <c r="CQ719" s="156"/>
      <c r="CR719" s="156"/>
      <c r="CS719" s="156"/>
      <c r="CT719" s="954"/>
      <c r="CZ719" s="156"/>
      <c r="DA719" s="156"/>
      <c r="DB719" s="156"/>
      <c r="DC719" s="156"/>
      <c r="DD719" s="156"/>
      <c r="DE719" s="156"/>
    </row>
    <row r="720" spans="1:109" s="34" customFormat="1">
      <c r="A720" s="156"/>
      <c r="B720" s="32"/>
      <c r="C720" s="28" t="s">
        <v>394</v>
      </c>
      <c r="D720" s="909"/>
      <c r="E720" s="891"/>
      <c r="F720" s="892"/>
      <c r="G720" s="892"/>
      <c r="H720" s="893"/>
      <c r="I720" s="228"/>
      <c r="J720" s="292"/>
      <c r="K720" s="892"/>
      <c r="L720" s="892"/>
      <c r="M720" s="893"/>
      <c r="N720" s="228"/>
      <c r="O720" s="292"/>
      <c r="P720" s="261"/>
      <c r="Q720" s="261"/>
      <c r="R720" s="293"/>
      <c r="S720" s="228"/>
      <c r="T720" s="788"/>
      <c r="U720" s="789"/>
      <c r="V720" s="789"/>
      <c r="W720" s="790"/>
      <c r="X720" s="228"/>
      <c r="Y720" s="2096">
        <v>0</v>
      </c>
      <c r="Z720" s="2097">
        <f t="shared" si="1038"/>
        <v>0</v>
      </c>
      <c r="AA720" s="2097">
        <f t="shared" si="1038"/>
        <v>0</v>
      </c>
      <c r="AB720" s="2094">
        <f t="shared" si="1038"/>
        <v>0</v>
      </c>
      <c r="AC720" s="2098">
        <f>AC136</f>
        <v>69.969423076923078</v>
      </c>
      <c r="AD720" s="2096">
        <v>0</v>
      </c>
      <c r="AE720" s="2097">
        <f t="shared" si="1040"/>
        <v>0</v>
      </c>
      <c r="AF720" s="2097">
        <f t="shared" si="1040"/>
        <v>0</v>
      </c>
      <c r="AG720" s="2094">
        <f t="shared" si="1040"/>
        <v>0</v>
      </c>
      <c r="AH720" s="2098">
        <f>AH136</f>
        <v>63.648653846153849</v>
      </c>
      <c r="AI720" s="2096">
        <v>0</v>
      </c>
      <c r="AJ720" s="2097">
        <f t="shared" si="1042"/>
        <v>0</v>
      </c>
      <c r="AK720" s="2097">
        <f t="shared" si="1042"/>
        <v>0</v>
      </c>
      <c r="AL720" s="2094">
        <f t="shared" si="1042"/>
        <v>0</v>
      </c>
      <c r="AM720" s="2098">
        <f>AM136</f>
        <v>55.865192307692311</v>
      </c>
      <c r="AN720" s="2096">
        <v>0</v>
      </c>
      <c r="AO720" s="2097">
        <f>(134-AP680)*(AO679+AO684+AO689-AO608-AO621)/AO719+(134-AP675)*(AO674/AO719)</f>
        <v>64.698274111842096</v>
      </c>
      <c r="AP720" s="2097">
        <f>(134-AP680)*(AP679+AP684+AP689-AP608-AP621)/AP719+(134-AP675)*(AP674/AP719)</f>
        <v>58.62231194078948</v>
      </c>
      <c r="AQ720" s="2094">
        <f>(134-AQ680)*(AQ679+AQ684+AQ689-AQ608-AQ621)/AQ719+(134-AQ675)*(AQ674/AQ719)</f>
        <v>58.62231194078948</v>
      </c>
      <c r="AR720" s="2098">
        <f>AR136</f>
        <v>47.349450549450552</v>
      </c>
      <c r="AS720" s="2099">
        <f>(134-AS680)*(AS679+AS684+AS689-AS608-AS621)/AS719+(134-AS675)*(AS674/AS719)</f>
        <v>58.62231194078948</v>
      </c>
      <c r="AT720" s="2097">
        <f>2/3*AS720+1/3*AU720</f>
        <v>50.949062661381021</v>
      </c>
      <c r="AU720" s="2097">
        <f>((151.5-AU675)*(AU719-600)+151.5*600)/AU719</f>
        <v>35.602564102564102</v>
      </c>
      <c r="AV720" s="2094">
        <f>((151.5-AV675)*(AV719-600)+151.5*600)/AV719</f>
        <v>35.1298647119173</v>
      </c>
      <c r="AW720" s="2098">
        <f>AW136</f>
        <v>59.089423076923083</v>
      </c>
      <c r="AX720" s="2099">
        <f>((151.5-AX675)*(AX719-600)+151.5*600)/AX719</f>
        <v>35.1298647119173</v>
      </c>
      <c r="AY720" s="2097">
        <f>((151.5-AX675)*(AY719-600)+151.5*600)/AY719</f>
        <v>35.1298647119173</v>
      </c>
      <c r="AZ720" s="2133">
        <v>149.97999999999999</v>
      </c>
      <c r="BA720" s="2094">
        <f>AZ720</f>
        <v>149.97999999999999</v>
      </c>
      <c r="BB720" s="2098">
        <f>BA720</f>
        <v>149.97999999999999</v>
      </c>
      <c r="BC720" s="455">
        <f>BA720</f>
        <v>149.97999999999999</v>
      </c>
      <c r="BD720" s="2097">
        <f>BC720</f>
        <v>149.97999999999999</v>
      </c>
      <c r="BE720" s="2133">
        <v>140</v>
      </c>
      <c r="BF720" s="2094">
        <f>BE720</f>
        <v>140</v>
      </c>
      <c r="BG720" s="2098">
        <f>BF720</f>
        <v>140</v>
      </c>
      <c r="BH720" s="2096">
        <f>BF720</f>
        <v>140</v>
      </c>
      <c r="BI720" s="2097">
        <f>BH720</f>
        <v>140</v>
      </c>
      <c r="BJ720" s="2097">
        <v>0</v>
      </c>
      <c r="BK720" s="2094">
        <v>0</v>
      </c>
      <c r="BL720" s="2098">
        <f>BK720</f>
        <v>0</v>
      </c>
      <c r="BM720" s="2096">
        <v>0</v>
      </c>
      <c r="BN720" s="2097">
        <f>BM720</f>
        <v>0</v>
      </c>
      <c r="BO720" s="2097">
        <f>BN720</f>
        <v>0</v>
      </c>
      <c r="BP720" s="2094">
        <f>BO720</f>
        <v>0</v>
      </c>
      <c r="BQ720" s="2098">
        <f>BP720</f>
        <v>0</v>
      </c>
      <c r="BR720" s="40"/>
      <c r="BS720" s="40"/>
      <c r="BT720" s="156"/>
      <c r="BV720" s="156"/>
      <c r="BW720" s="156"/>
      <c r="BX720" s="156"/>
      <c r="BY720" s="156"/>
      <c r="BZ720" s="156"/>
      <c r="CA720" s="156"/>
      <c r="CB720" s="156"/>
      <c r="CC720" s="156"/>
      <c r="CD720" s="156"/>
      <c r="CE720" s="156"/>
      <c r="CF720" s="156"/>
      <c r="CG720" s="156"/>
      <c r="CH720" s="156"/>
      <c r="CI720" s="156"/>
      <c r="CJ720" s="156"/>
      <c r="CK720" s="156"/>
      <c r="CL720" s="156"/>
      <c r="CM720" s="156"/>
      <c r="CN720" s="156"/>
      <c r="CO720" s="156"/>
      <c r="CP720" s="156"/>
      <c r="CQ720" s="156"/>
      <c r="CR720" s="156"/>
      <c r="CS720" s="156"/>
      <c r="CT720" s="954"/>
      <c r="CZ720" s="156"/>
      <c r="DA720" s="156"/>
      <c r="DB720" s="156"/>
      <c r="DC720" s="156"/>
      <c r="DD720" s="156"/>
      <c r="DE720" s="156"/>
    </row>
    <row r="721" spans="1:118" s="34" customFormat="1">
      <c r="A721" s="156"/>
      <c r="B721" s="32"/>
      <c r="C721" s="32" t="s">
        <v>798</v>
      </c>
      <c r="D721" s="909"/>
      <c r="E721" s="891"/>
      <c r="F721" s="892"/>
      <c r="G721" s="892"/>
      <c r="H721" s="893"/>
      <c r="I721" s="228"/>
      <c r="J721" s="292"/>
      <c r="K721" s="892"/>
      <c r="L721" s="892"/>
      <c r="M721" s="893"/>
      <c r="N721" s="228"/>
      <c r="O721" s="292"/>
      <c r="P721" s="261"/>
      <c r="Q721" s="261"/>
      <c r="R721" s="293"/>
      <c r="S721" s="228"/>
      <c r="T721" s="788"/>
      <c r="U721" s="789"/>
      <c r="V721" s="789"/>
      <c r="W721" s="790"/>
      <c r="X721" s="228"/>
      <c r="Y721" s="788">
        <f>Y719*Y720*365/1000000/4</f>
        <v>0</v>
      </c>
      <c r="Z721" s="789">
        <f>Z719*Z720*365/1000000/4</f>
        <v>0</v>
      </c>
      <c r="AA721" s="789">
        <f>AA719*AA720*365/1000000/4</f>
        <v>0</v>
      </c>
      <c r="AB721" s="790">
        <f>AB719*AB720*365/1000000/4</f>
        <v>0</v>
      </c>
      <c r="AC721" s="228">
        <f>SUM(Y721:AB721)</f>
        <v>0</v>
      </c>
      <c r="AD721" s="788">
        <f>AD719*AD720*365/1000000/4</f>
        <v>0</v>
      </c>
      <c r="AE721" s="789">
        <f>AE719*AE720*365/1000000/4</f>
        <v>0</v>
      </c>
      <c r="AF721" s="789">
        <f>AF719*AF720*365/1000000/4</f>
        <v>0</v>
      </c>
      <c r="AG721" s="790">
        <f>AG719*AG720*365/1000000/4</f>
        <v>0</v>
      </c>
      <c r="AH721" s="228">
        <f>SUM(AD721:AG721)</f>
        <v>0</v>
      </c>
      <c r="AI721" s="788">
        <f>AI719*AI720*365/1000000/4</f>
        <v>0</v>
      </c>
      <c r="AJ721" s="789">
        <f>AJ719*AJ720*365/1000000/4</f>
        <v>0</v>
      </c>
      <c r="AK721" s="789">
        <f>AK719*AK720*365/1000000/4</f>
        <v>0</v>
      </c>
      <c r="AL721" s="790">
        <f>AL719*AL720*365/1000000/4</f>
        <v>0</v>
      </c>
      <c r="AM721" s="228">
        <f>SUM(AI721:AL721)</f>
        <v>0</v>
      </c>
      <c r="AN721" s="788">
        <f>AN719*AN720*365/1000000/4</f>
        <v>0</v>
      </c>
      <c r="AO721" s="2095">
        <f>AO719*AO720*365/4/1000000*1/3</f>
        <v>29.912168731041664</v>
      </c>
      <c r="AP721" s="789">
        <f>AP719*AP720*365/4/1000000</f>
        <v>81.309146661875005</v>
      </c>
      <c r="AQ721" s="790">
        <f>AQ719*AQ720*365/4/1000000</f>
        <v>81.309146661875005</v>
      </c>
      <c r="AR721" s="228">
        <f>SUM(AN721:AQ721)</f>
        <v>192.53046205479166</v>
      </c>
      <c r="AS721" s="788">
        <f>AS719*AS720*365/4/1000000</f>
        <v>81.309146661875005</v>
      </c>
      <c r="AT721" s="2095">
        <f>2/3*AS721+1/3*AU721</f>
        <v>73.211191524583342</v>
      </c>
      <c r="AU721" s="789">
        <f>AU719*AU720*365/4/1000000</f>
        <v>57.015281250000001</v>
      </c>
      <c r="AV721" s="790">
        <f>AV719*AV720*365/4/1000000</f>
        <v>63.584521593750004</v>
      </c>
      <c r="AW721" s="228">
        <f>SUM(AS721:AV721)</f>
        <v>275.12014103020834</v>
      </c>
      <c r="AX721" s="788">
        <f>AX719*AX720*365/4/1000000</f>
        <v>63.584521593750004</v>
      </c>
      <c r="AY721" s="2095">
        <f>AY719*AY720*365/4/1000000*2/3</f>
        <v>42.389681062500003</v>
      </c>
      <c r="AZ721" s="789">
        <f>AZ719*AZ720*365/1000000/4</f>
        <v>21.212796249999997</v>
      </c>
      <c r="BA721" s="790">
        <f>BA719*BA720*365/1000000/4</f>
        <v>21.212796249999997</v>
      </c>
      <c r="BB721" s="228">
        <f>SUM(AX721:BA721)</f>
        <v>148.39979515625001</v>
      </c>
      <c r="BC721" s="788">
        <f>BC719*BC720*365/1000000/4</f>
        <v>21.212796249999997</v>
      </c>
      <c r="BD721" s="789">
        <f>BD719*BD720*365/1000000/4</f>
        <v>21.212796249999997</v>
      </c>
      <c r="BE721" s="789">
        <f>BE719*BE720*365/1000000/4</f>
        <v>25.869375000000002</v>
      </c>
      <c r="BF721" s="790">
        <f>BF719*BF720*365/1000000/4</f>
        <v>25.869375000000002</v>
      </c>
      <c r="BG721" s="228">
        <f>SUM(BC721:BF721)</f>
        <v>94.164342500000004</v>
      </c>
      <c r="BH721" s="788">
        <f>BH719*BH720*365/1000000/4</f>
        <v>25.869375000000002</v>
      </c>
      <c r="BI721" s="789">
        <f>BI719*BI720*365/1000000/4</f>
        <v>25.869375000000002</v>
      </c>
      <c r="BJ721" s="789">
        <f>BJ719*BJ720*365/1000000/4</f>
        <v>0</v>
      </c>
      <c r="BK721" s="790">
        <f>BK719*BK720*365/1000000/4</f>
        <v>0</v>
      </c>
      <c r="BL721" s="228">
        <f>SUM(BH721:BK721)</f>
        <v>51.738750000000003</v>
      </c>
      <c r="BM721" s="788">
        <f>BM719*BM720*365/1000000/4</f>
        <v>0</v>
      </c>
      <c r="BN721" s="789">
        <f>BN719*BN720*365/1000000/4</f>
        <v>0</v>
      </c>
      <c r="BO721" s="789">
        <f>BO719*BO720*365/1000000/4</f>
        <v>0</v>
      </c>
      <c r="BP721" s="790">
        <f>BP719*BP720*365/1000000/4</f>
        <v>0</v>
      </c>
      <c r="BQ721" s="228">
        <f>SUM(BM721:BP721)</f>
        <v>0</v>
      </c>
      <c r="BR721" s="40"/>
      <c r="BS721" s="40"/>
      <c r="BT721" s="156"/>
      <c r="BV721" s="156"/>
      <c r="BW721" s="156"/>
      <c r="BX721" s="156"/>
      <c r="BY721" s="156"/>
      <c r="BZ721" s="156"/>
      <c r="CA721" s="156"/>
      <c r="CB721" s="156"/>
      <c r="CC721" s="156"/>
      <c r="CD721" s="156"/>
      <c r="CE721" s="156"/>
      <c r="CF721" s="156"/>
      <c r="CG721" s="156"/>
      <c r="CH721" s="156"/>
      <c r="CI721" s="156"/>
      <c r="CJ721" s="156"/>
      <c r="CK721" s="156"/>
      <c r="CL721" s="156"/>
      <c r="CM721" s="156"/>
      <c r="CN721" s="156"/>
      <c r="CO721" s="156"/>
      <c r="CP721" s="156"/>
      <c r="CQ721" s="156"/>
      <c r="CR721" s="156"/>
      <c r="CS721" s="156"/>
      <c r="CT721" s="954"/>
      <c r="CZ721" s="156"/>
      <c r="DA721" s="156"/>
      <c r="DB721" s="156"/>
      <c r="DC721" s="156"/>
      <c r="DD721" s="156"/>
      <c r="DE721" s="156"/>
    </row>
    <row r="722" spans="1:118">
      <c r="A722" s="40"/>
      <c r="B722" s="32"/>
      <c r="C722" s="909"/>
      <c r="D722" s="895"/>
      <c r="E722" s="896"/>
      <c r="F722" s="897"/>
      <c r="G722" s="897"/>
      <c r="H722" s="898"/>
      <c r="I722" s="228"/>
      <c r="J722" s="292"/>
      <c r="K722" s="897"/>
      <c r="L722" s="897"/>
      <c r="M722" s="898"/>
      <c r="N722" s="228"/>
      <c r="O722" s="292"/>
      <c r="P722" s="261"/>
      <c r="Q722" s="261"/>
      <c r="R722" s="293"/>
      <c r="S722" s="228"/>
      <c r="T722" s="292"/>
      <c r="U722" s="261"/>
      <c r="V722" s="261"/>
      <c r="W722" s="293"/>
      <c r="X722" s="228"/>
      <c r="Y722" s="292"/>
      <c r="Z722" s="261"/>
      <c r="AA722" s="261"/>
      <c r="AB722" s="293"/>
      <c r="AC722" s="228"/>
      <c r="AD722" s="292"/>
      <c r="AE722" s="261"/>
      <c r="AF722" s="261"/>
      <c r="AG722" s="293"/>
      <c r="AH722" s="228"/>
      <c r="AI722" s="292"/>
      <c r="AJ722" s="261"/>
      <c r="AK722" s="261"/>
      <c r="AL722" s="293"/>
      <c r="AM722" s="228"/>
      <c r="AN722" s="292"/>
      <c r="AO722" s="261"/>
      <c r="AP722" s="261"/>
      <c r="AQ722" s="293"/>
      <c r="AR722" s="228"/>
      <c r="AS722" s="292"/>
      <c r="AT722" s="261"/>
      <c r="AU722" s="261"/>
      <c r="AV722" s="293"/>
      <c r="AW722" s="228"/>
      <c r="AX722" s="292"/>
      <c r="AY722" s="261"/>
      <c r="AZ722" s="261"/>
      <c r="BA722" s="293"/>
      <c r="BB722" s="228"/>
      <c r="BC722" s="292"/>
      <c r="BD722" s="261"/>
      <c r="BE722" s="261"/>
      <c r="BF722" s="293"/>
      <c r="BG722" s="228"/>
      <c r="BH722" s="292"/>
      <c r="BI722" s="261"/>
      <c r="BJ722" s="261"/>
      <c r="BK722" s="293"/>
      <c r="BL722" s="228"/>
      <c r="BM722" s="292"/>
      <c r="BN722" s="261"/>
      <c r="BO722" s="261"/>
      <c r="BP722" s="293"/>
      <c r="BQ722" s="228"/>
      <c r="BR722" s="40"/>
      <c r="BS722" s="40"/>
      <c r="BT722" s="40"/>
      <c r="BU722" s="34"/>
      <c r="BV722" s="156"/>
      <c r="BW722" s="156"/>
      <c r="BX722" s="156"/>
      <c r="BY722" s="156"/>
      <c r="BZ722" s="156"/>
      <c r="CA722" s="156"/>
      <c r="CB722" s="156"/>
      <c r="CC722" s="156"/>
      <c r="CD722" s="156"/>
      <c r="CE722" s="156"/>
      <c r="CF722" s="156"/>
      <c r="CG722" s="40"/>
      <c r="CH722" s="40"/>
      <c r="CI722" s="40"/>
      <c r="CJ722" s="40"/>
      <c r="CK722" s="40"/>
      <c r="CL722" s="40"/>
      <c r="CM722" s="40"/>
      <c r="CN722" s="40"/>
      <c r="CO722" s="40"/>
      <c r="CP722" s="40"/>
      <c r="CQ722" s="40"/>
      <c r="CR722" s="40"/>
      <c r="CS722" s="40"/>
      <c r="CT722" s="823"/>
      <c r="CU722" s="232"/>
      <c r="CV722" s="232"/>
      <c r="CW722" s="232"/>
      <c r="CX722" s="232"/>
      <c r="CY722" s="232"/>
      <c r="CZ722" s="40"/>
      <c r="DA722" s="40"/>
      <c r="DB722" s="40"/>
      <c r="DC722" s="40"/>
      <c r="DD722" s="40"/>
      <c r="DE722" s="40"/>
      <c r="DF722" s="232"/>
      <c r="DG722" s="232"/>
      <c r="DH722" s="232"/>
      <c r="DI722" s="232"/>
      <c r="DJ722" s="232"/>
      <c r="DK722" s="232"/>
      <c r="DL722" s="232"/>
      <c r="DM722" s="232"/>
      <c r="DN722" s="232"/>
    </row>
    <row r="723" spans="1:118">
      <c r="A723" s="40"/>
      <c r="B723" s="32"/>
      <c r="C723" s="909" t="s">
        <v>399</v>
      </c>
      <c r="D723" s="32"/>
      <c r="E723" s="489"/>
      <c r="F723" s="342"/>
      <c r="G723" s="342"/>
      <c r="H723" s="490"/>
      <c r="I723" s="228">
        <f>I674+I679+I684+I689+I694+I699</f>
        <v>27874.125</v>
      </c>
      <c r="J723" s="489"/>
      <c r="K723" s="342"/>
      <c r="L723" s="342"/>
      <c r="M723" s="490"/>
      <c r="N723" s="32"/>
      <c r="O723" s="489"/>
      <c r="P723" s="342"/>
      <c r="Q723" s="342"/>
      <c r="R723" s="490"/>
      <c r="S723" s="32"/>
      <c r="T723" s="788"/>
      <c r="U723" s="789"/>
      <c r="V723" s="789"/>
      <c r="W723" s="790"/>
      <c r="X723" s="228"/>
      <c r="Y723" s="788">
        <f t="shared" ref="Y723:AH723" si="1053">Y676+Y681+Y686+Y691+Y696+Y701+Y716+Y711+Y706</f>
        <v>201.61113788437501</v>
      </c>
      <c r="Z723" s="789">
        <f t="shared" si="1053"/>
        <v>252.15282605208333</v>
      </c>
      <c r="AA723" s="789">
        <f t="shared" si="1053"/>
        <v>342.37311801250002</v>
      </c>
      <c r="AB723" s="790">
        <f t="shared" si="1053"/>
        <v>339.50239301250002</v>
      </c>
      <c r="AC723" s="228">
        <f t="shared" si="1053"/>
        <v>1135.6394749614583</v>
      </c>
      <c r="AD723" s="788">
        <f t="shared" si="1053"/>
        <v>338.06703051250003</v>
      </c>
      <c r="AE723" s="789">
        <f t="shared" si="1053"/>
        <v>263.47885642812503</v>
      </c>
      <c r="AF723" s="789">
        <f t="shared" si="1053"/>
        <v>330.50138830312494</v>
      </c>
      <c r="AG723" s="790">
        <f t="shared" si="1053"/>
        <v>321.45566330312494</v>
      </c>
      <c r="AH723" s="228">
        <f t="shared" si="1053"/>
        <v>1253.5029385468749</v>
      </c>
      <c r="AI723" s="788">
        <f>AI676+AI681+AI686+AI691+AI696+AI701+AI716+AI711+AI706</f>
        <v>297.6683677093751</v>
      </c>
      <c r="AJ723" s="789">
        <f>AJ676+AJ681+AJ686+AJ691+AJ696+AJ701+AJ716+AJ711+AJ706</f>
        <v>318.1826822441667</v>
      </c>
      <c r="AK723" s="789">
        <f>AK676+AK681+AK686+AK691+AK696+AK701+AK716+AK711+AK706</f>
        <v>348.92268475124996</v>
      </c>
      <c r="AL723" s="790">
        <f>AL676+AL681+AL686+AL691+AL696+AL701+AL716+AL711+AL706</f>
        <v>343.71033475124995</v>
      </c>
      <c r="AM723" s="228">
        <f>AM676+AM681+AM686+AM691+AM696+AM701+AM716+AM711+AM706</f>
        <v>1308.4840694560419</v>
      </c>
      <c r="AN723" s="788">
        <f>AN676+AN681+AN686+AN691+AN696+AN701+AN716+AN711+AN706+AN721</f>
        <v>342.11459296999999</v>
      </c>
      <c r="AO723" s="789">
        <f t="shared" ref="AO723:BL723" si="1054">AO676+AO681+AO686+AO691+AO696+AO701+AO716+AO711+AO706+AO721</f>
        <v>344.71741779041662</v>
      </c>
      <c r="AP723" s="789">
        <f t="shared" si="1054"/>
        <v>316.35265461874997</v>
      </c>
      <c r="AQ723" s="790">
        <f t="shared" si="1054"/>
        <v>310.19650461875</v>
      </c>
      <c r="AR723" s="228">
        <f t="shared" si="1054"/>
        <v>1313.3811699979169</v>
      </c>
      <c r="AS723" s="788">
        <f t="shared" si="1054"/>
        <v>307.11842961874999</v>
      </c>
      <c r="AT723" s="789">
        <f t="shared" si="1054"/>
        <v>349.35814974583332</v>
      </c>
      <c r="AU723" s="789">
        <f t="shared" si="1054"/>
        <v>398.54305875000006</v>
      </c>
      <c r="AV723" s="790">
        <f t="shared" si="1054"/>
        <v>388.20437409375006</v>
      </c>
      <c r="AW723" s="228">
        <f t="shared" si="1054"/>
        <v>1443.2240122083333</v>
      </c>
      <c r="AX723" s="788">
        <f t="shared" si="1054"/>
        <v>388.20437409375006</v>
      </c>
      <c r="AY723" s="789">
        <f t="shared" si="1054"/>
        <v>429.21559240604171</v>
      </c>
      <c r="AZ723" s="789">
        <f>AZ676+AZ681+AZ686+AZ691+AZ696+AZ701+AZ716+AZ711+AZ706+AZ721</f>
        <v>438.38712143749996</v>
      </c>
      <c r="BA723" s="790">
        <f>BA676+BA681+BA686+BA691+BA696+BA701+BA716+BA711+BA706+BA721</f>
        <v>411.39343706249991</v>
      </c>
      <c r="BB723" s="228">
        <f>BB676+BB681+BB686+BB691+BB696+BB701+BB716+BB711+BB706+BB721</f>
        <v>1667.2005249997917</v>
      </c>
      <c r="BC723" s="788">
        <f>BC676+BC681+BC686+BC691+BC696+BC701+BC716+BC711+BC706+BC721</f>
        <v>404.32458706249992</v>
      </c>
      <c r="BD723" s="789">
        <f t="shared" si="1054"/>
        <v>388.99887231249994</v>
      </c>
      <c r="BE723" s="789">
        <f t="shared" si="1054"/>
        <v>312.48715031249998</v>
      </c>
      <c r="BF723" s="790">
        <f t="shared" si="1054"/>
        <v>298.34945031249998</v>
      </c>
      <c r="BG723" s="228">
        <f t="shared" si="1054"/>
        <v>1404.1600599999997</v>
      </c>
      <c r="BH723" s="788">
        <f t="shared" si="1054"/>
        <v>291.28060031249998</v>
      </c>
      <c r="BI723" s="789">
        <f t="shared" si="1054"/>
        <v>314.19430877083329</v>
      </c>
      <c r="BJ723" s="789">
        <f t="shared" si="1054"/>
        <v>334.41181568749994</v>
      </c>
      <c r="BK723" s="790">
        <f t="shared" si="1054"/>
        <v>320.27411568749994</v>
      </c>
      <c r="BL723" s="228">
        <f t="shared" si="1054"/>
        <v>1260.1608404583333</v>
      </c>
      <c r="BM723" s="788">
        <f t="shared" ref="BM723:BQ723" si="1055">BM676+BM681+BM686+BM691+BM696+BM701+BM716+BM711+BM706+BM721</f>
        <v>307.14101124999996</v>
      </c>
      <c r="BN723" s="789">
        <f t="shared" si="1055"/>
        <v>321.27871124999996</v>
      </c>
      <c r="BO723" s="789">
        <f t="shared" si="1055"/>
        <v>328.34756124999996</v>
      </c>
      <c r="BP723" s="790">
        <f t="shared" si="1055"/>
        <v>314.20986124999996</v>
      </c>
      <c r="BQ723" s="228">
        <f t="shared" si="1055"/>
        <v>1270.9771450000001</v>
      </c>
      <c r="BR723" s="40"/>
      <c r="BS723" s="40"/>
      <c r="BT723" s="40"/>
      <c r="BU723" s="34"/>
      <c r="BV723" s="156"/>
      <c r="BW723" s="156"/>
      <c r="BX723" s="156"/>
      <c r="BY723" s="156"/>
      <c r="BZ723" s="156"/>
      <c r="CA723" s="156"/>
      <c r="CB723" s="156"/>
      <c r="CC723" s="156"/>
      <c r="CD723" s="156"/>
      <c r="CE723" s="156"/>
      <c r="CF723" s="156"/>
      <c r="CG723" s="40"/>
      <c r="CH723" s="40"/>
      <c r="CI723" s="40"/>
      <c r="CJ723" s="40"/>
      <c r="CK723" s="40"/>
      <c r="CL723" s="40"/>
      <c r="CM723" s="40"/>
      <c r="CN723" s="40"/>
      <c r="CO723" s="40"/>
      <c r="CP723" s="40"/>
      <c r="CQ723" s="40"/>
      <c r="CR723" s="40"/>
      <c r="CS723" s="40"/>
      <c r="CT723" s="823"/>
      <c r="CU723" s="232"/>
      <c r="CV723" s="232"/>
      <c r="CW723" s="232"/>
      <c r="CX723" s="232"/>
      <c r="CY723" s="232"/>
      <c r="CZ723" s="40"/>
      <c r="DA723" s="40"/>
      <c r="DB723" s="40"/>
      <c r="DC723" s="40"/>
      <c r="DD723" s="40"/>
      <c r="DE723" s="40"/>
      <c r="DF723" s="232"/>
      <c r="DG723" s="232"/>
      <c r="DH723" s="232"/>
      <c r="DI723" s="232"/>
      <c r="DJ723" s="232"/>
      <c r="DK723" s="232"/>
      <c r="DL723" s="232"/>
      <c r="DM723" s="232"/>
      <c r="DN723" s="232"/>
    </row>
    <row r="724" spans="1:118" collapsed="1">
      <c r="A724" s="1"/>
      <c r="B724" s="40"/>
      <c r="C724" s="223" t="s">
        <v>514</v>
      </c>
      <c r="D724" s="28"/>
      <c r="E724" s="303"/>
      <c r="F724" s="239"/>
      <c r="G724" s="239"/>
      <c r="H724" s="304"/>
      <c r="I724" s="766"/>
      <c r="J724" s="303"/>
      <c r="K724" s="239"/>
      <c r="L724" s="239"/>
      <c r="M724" s="304"/>
      <c r="N724" s="767"/>
      <c r="O724" s="303"/>
      <c r="P724" s="239"/>
      <c r="Q724" s="239"/>
      <c r="R724" s="304"/>
      <c r="S724" s="767"/>
      <c r="T724" s="303"/>
      <c r="U724" s="239"/>
      <c r="V724" s="239"/>
      <c r="W724" s="304"/>
      <c r="X724" s="767"/>
      <c r="Y724" s="303"/>
      <c r="Z724" s="239"/>
      <c r="AA724" s="239"/>
      <c r="AB724" s="304"/>
      <c r="AC724" s="1952">
        <f>AC676+AC681+AC686+AC691+AC721</f>
        <v>1014.9990984895834</v>
      </c>
      <c r="AD724" s="303"/>
      <c r="AE724" s="239"/>
      <c r="AF724" s="239"/>
      <c r="AG724" s="304"/>
      <c r="AH724" s="1952">
        <f>AH676+AH681+AH686+AH691+AH721</f>
        <v>1103.7109303124998</v>
      </c>
      <c r="AI724" s="303"/>
      <c r="AJ724" s="239"/>
      <c r="AK724" s="239"/>
      <c r="AL724" s="304"/>
      <c r="AM724" s="1952">
        <f>AM676+AM681+AM686+AM691+AM721</f>
        <v>1185.6586135862501</v>
      </c>
      <c r="AN724" s="303"/>
      <c r="AO724" s="239"/>
      <c r="AP724" s="239"/>
      <c r="AQ724" s="304"/>
      <c r="AR724" s="1952">
        <f>AR676+AR681+AR686+AR691+AR721</f>
        <v>1138.2828578104168</v>
      </c>
      <c r="AS724" s="303"/>
      <c r="AT724" s="239"/>
      <c r="AU724" s="239"/>
      <c r="AV724" s="304"/>
      <c r="AW724" s="1952">
        <f>AW676+AW681+AW686+AW691+AW721</f>
        <v>1109.8916114270833</v>
      </c>
      <c r="AX724" s="303"/>
      <c r="AY724" s="239"/>
      <c r="AZ724" s="239"/>
      <c r="BA724" s="304"/>
      <c r="BB724" s="1952">
        <f>BB676+BB681+BB686+BB691+BB721</f>
        <v>1296.1469962497918</v>
      </c>
      <c r="BC724" s="303"/>
      <c r="BD724" s="239"/>
      <c r="BE724" s="239"/>
      <c r="BF724" s="304"/>
      <c r="BG724" s="1952">
        <f>BG676+BG681+BG686+BG691+BG721</f>
        <v>1101.0506049999999</v>
      </c>
      <c r="BH724" s="303"/>
      <c r="BI724" s="239"/>
      <c r="BJ724" s="239"/>
      <c r="BK724" s="304"/>
      <c r="BL724" s="1952">
        <f>BL676+BL681+BL686+BL691+BL721</f>
        <v>1005.6261608333333</v>
      </c>
      <c r="BM724" s="303"/>
      <c r="BN724" s="239"/>
      <c r="BO724" s="239"/>
      <c r="BP724" s="304"/>
      <c r="BQ724" s="1952">
        <f>BQ676+BQ681+BQ686+BQ691+BQ721</f>
        <v>1014.9281250000001</v>
      </c>
      <c r="BR724" s="40"/>
      <c r="BS724" s="40"/>
      <c r="BT724" s="1"/>
      <c r="BU724" s="232"/>
      <c r="BV724" s="156"/>
      <c r="BW724" s="156"/>
      <c r="BX724" s="156"/>
      <c r="BY724" s="156"/>
      <c r="BZ724" s="156"/>
      <c r="CA724" s="156"/>
      <c r="CB724" s="156"/>
      <c r="CC724" s="156"/>
      <c r="CD724" s="40"/>
      <c r="CE724" s="40"/>
      <c r="CF724" s="40"/>
      <c r="CG724" s="1"/>
      <c r="CH724" s="1"/>
      <c r="CI724" s="1"/>
      <c r="CJ724" s="1"/>
      <c r="CK724" s="1"/>
      <c r="CL724" s="1"/>
      <c r="CM724" s="1"/>
      <c r="CN724" s="1"/>
      <c r="CO724" s="1"/>
      <c r="CP724" s="1"/>
      <c r="CQ724" s="1"/>
      <c r="CR724" s="1"/>
      <c r="CS724" s="1"/>
      <c r="CT724" s="820"/>
      <c r="CU724" s="1"/>
      <c r="CV724" s="1"/>
      <c r="CW724" s="1"/>
      <c r="CX724" s="1"/>
      <c r="CY724" s="1"/>
      <c r="CZ724" s="1"/>
      <c r="DA724" s="1"/>
      <c r="DB724" s="1"/>
      <c r="DC724" s="1"/>
      <c r="DD724" s="1"/>
      <c r="DE724" s="1"/>
      <c r="DF724" s="1"/>
      <c r="DG724" s="1"/>
      <c r="DH724" s="1"/>
      <c r="DI724" s="1"/>
      <c r="DJ724" s="1"/>
      <c r="DK724" s="1"/>
      <c r="DL724" s="1"/>
      <c r="DM724" s="1"/>
      <c r="DN724" s="1"/>
    </row>
    <row r="725" spans="1:118" s="34" customFormat="1">
      <c r="A725" s="228"/>
      <c r="B725" s="28"/>
      <c r="C725" s="32"/>
      <c r="D725" s="28"/>
      <c r="E725" s="415"/>
      <c r="F725" s="242"/>
      <c r="G725" s="242"/>
      <c r="H725" s="416"/>
      <c r="I725" s="228"/>
      <c r="J725" s="415"/>
      <c r="K725" s="242"/>
      <c r="L725" s="242"/>
      <c r="M725" s="416"/>
      <c r="N725" s="228"/>
      <c r="O725" s="292"/>
      <c r="P725" s="261"/>
      <c r="Q725" s="261"/>
      <c r="R725" s="293"/>
      <c r="S725" s="228"/>
      <c r="T725" s="292"/>
      <c r="U725" s="261"/>
      <c r="V725" s="261"/>
      <c r="W725" s="293"/>
      <c r="X725" s="228"/>
      <c r="Y725" s="292"/>
      <c r="Z725" s="261"/>
      <c r="AA725" s="261"/>
      <c r="AB725" s="293"/>
      <c r="AC725" s="228"/>
      <c r="AD725" s="292"/>
      <c r="AE725" s="261"/>
      <c r="AF725" s="261"/>
      <c r="AG725" s="293"/>
      <c r="AH725" s="228"/>
      <c r="AI725" s="292"/>
      <c r="AJ725" s="261"/>
      <c r="AK725" s="261"/>
      <c r="AL725" s="293"/>
      <c r="AM725" s="228"/>
      <c r="AN725" s="292"/>
      <c r="AO725" s="261"/>
      <c r="AP725" s="261"/>
      <c r="AQ725" s="293"/>
      <c r="AR725" s="228"/>
      <c r="AS725" s="292"/>
      <c r="AT725" s="261"/>
      <c r="AU725" s="261"/>
      <c r="AV725" s="293"/>
      <c r="AW725" s="228"/>
      <c r="AX725" s="292"/>
      <c r="AY725" s="261"/>
      <c r="AZ725" s="261"/>
      <c r="BA725" s="293"/>
      <c r="BB725" s="228"/>
      <c r="BC725" s="292"/>
      <c r="BD725" s="261"/>
      <c r="BE725" s="261"/>
      <c r="BF725" s="293"/>
      <c r="BG725" s="228"/>
      <c r="BH725" s="292"/>
      <c r="BI725" s="261"/>
      <c r="BJ725" s="261"/>
      <c r="BK725" s="293"/>
      <c r="BL725" s="228"/>
      <c r="BM725" s="292"/>
      <c r="BN725" s="261"/>
      <c r="BO725" s="261"/>
      <c r="BP725" s="293"/>
      <c r="BQ725" s="228"/>
      <c r="BR725" s="40"/>
      <c r="BS725" s="40"/>
      <c r="BT725" s="228"/>
      <c r="BU725" s="232"/>
      <c r="BV725" s="156"/>
      <c r="BW725" s="156"/>
      <c r="BX725" s="156"/>
      <c r="BY725" s="156"/>
      <c r="BZ725" s="156"/>
      <c r="CA725" s="156"/>
      <c r="CB725" s="156"/>
      <c r="CC725" s="156"/>
      <c r="CD725" s="40"/>
      <c r="CE725" s="40"/>
      <c r="CF725" s="40"/>
      <c r="CG725" s="228"/>
      <c r="CH725" s="228"/>
      <c r="CI725" s="228"/>
      <c r="CJ725" s="228"/>
      <c r="CK725" s="228"/>
      <c r="CL725" s="228"/>
      <c r="CM725" s="228"/>
      <c r="CN725" s="228"/>
      <c r="CO725" s="228"/>
      <c r="CP725" s="228"/>
      <c r="CQ725" s="228"/>
      <c r="CR725" s="228"/>
      <c r="CS725" s="228"/>
      <c r="CT725" s="929"/>
      <c r="CU725" s="228"/>
      <c r="CV725" s="228"/>
      <c r="CW725" s="228"/>
      <c r="CX725" s="228"/>
      <c r="CY725" s="228"/>
      <c r="CZ725" s="228"/>
      <c r="DA725" s="228"/>
      <c r="DB725" s="228"/>
      <c r="DC725" s="228"/>
      <c r="DD725" s="228"/>
      <c r="DE725" s="228"/>
      <c r="DF725" s="228"/>
      <c r="DG725" s="228"/>
      <c r="DH725" s="228"/>
      <c r="DI725" s="228"/>
      <c r="DJ725" s="228"/>
      <c r="DK725" s="228"/>
      <c r="DL725" s="228"/>
      <c r="DM725" s="228"/>
      <c r="DN725" s="228"/>
    </row>
    <row r="726" spans="1:118">
      <c r="A726" s="45"/>
      <c r="B726" s="210" t="s">
        <v>1024</v>
      </c>
      <c r="C726" s="15"/>
      <c r="D726" s="211"/>
      <c r="E726" s="896"/>
      <c r="F726" s="897"/>
      <c r="G726" s="897"/>
      <c r="H726" s="898"/>
      <c r="I726" s="899"/>
      <c r="J726" s="896"/>
      <c r="K726" s="897"/>
      <c r="L726" s="897"/>
      <c r="M726" s="898"/>
      <c r="N726" s="228"/>
      <c r="O726" s="292"/>
      <c r="P726" s="261"/>
      <c r="Q726" s="261"/>
      <c r="R726" s="293"/>
      <c r="S726" s="228"/>
      <c r="T726" s="292"/>
      <c r="U726" s="261"/>
      <c r="V726" s="261"/>
      <c r="W726" s="293"/>
      <c r="X726" s="228"/>
      <c r="Y726" s="292"/>
      <c r="Z726" s="261"/>
      <c r="AA726" s="261"/>
      <c r="AB726" s="293"/>
      <c r="AC726" s="228"/>
      <c r="AD726" s="292"/>
      <c r="AE726" s="261"/>
      <c r="AF726" s="261"/>
      <c r="AG726" s="293"/>
      <c r="AH726" s="228"/>
      <c r="AI726" s="292"/>
      <c r="AJ726" s="261"/>
      <c r="AK726" s="261"/>
      <c r="AL726" s="293"/>
      <c r="AM726" s="228"/>
      <c r="AN726" s="292"/>
      <c r="AO726" s="261"/>
      <c r="AP726" s="261"/>
      <c r="AQ726" s="293"/>
      <c r="AR726" s="228"/>
      <c r="AS726" s="292"/>
      <c r="AT726" s="261"/>
      <c r="AU726" s="261"/>
      <c r="AV726" s="293"/>
      <c r="AW726" s="228"/>
      <c r="AX726" s="292"/>
      <c r="AY726" s="261"/>
      <c r="AZ726" s="261"/>
      <c r="BA726" s="293"/>
      <c r="BB726" s="228"/>
      <c r="BC726" s="292"/>
      <c r="BD726" s="261"/>
      <c r="BE726" s="261"/>
      <c r="BF726" s="293"/>
      <c r="BG726" s="228"/>
      <c r="BH726" s="292"/>
      <c r="BI726" s="261"/>
      <c r="BJ726" s="261"/>
      <c r="BK726" s="293"/>
      <c r="BL726" s="228"/>
      <c r="BM726" s="292"/>
      <c r="BN726" s="261"/>
      <c r="BO726" s="261"/>
      <c r="BP726" s="293"/>
      <c r="BQ726" s="228"/>
      <c r="BR726" s="40"/>
      <c r="BS726" s="40"/>
      <c r="BT726" s="642"/>
      <c r="BU726" s="1"/>
      <c r="BV726" s="156"/>
      <c r="BW726" s="156"/>
      <c r="BX726" s="156"/>
      <c r="BY726" s="156"/>
      <c r="BZ726" s="156"/>
      <c r="CA726" s="156"/>
      <c r="CB726" s="156"/>
      <c r="CC726" s="156"/>
      <c r="CD726" s="1"/>
      <c r="CE726" s="1"/>
      <c r="CF726" s="1"/>
      <c r="CG726" s="45"/>
      <c r="CH726" s="45"/>
      <c r="CI726" s="45"/>
      <c r="CJ726" s="45"/>
      <c r="CK726" s="45"/>
      <c r="CL726" s="45"/>
      <c r="CM726" s="45"/>
      <c r="CN726" s="45"/>
      <c r="CO726" s="45"/>
      <c r="CP726" s="45"/>
      <c r="CQ726" s="45"/>
      <c r="CR726" s="45"/>
      <c r="CS726" s="45"/>
      <c r="CT726" s="45"/>
      <c r="CU726" s="45"/>
      <c r="CV726" s="45"/>
      <c r="CW726" s="45"/>
      <c r="CX726" s="45"/>
      <c r="CY726" s="45"/>
      <c r="CZ726" s="45"/>
      <c r="DA726" s="45"/>
      <c r="DB726" s="45"/>
      <c r="DC726" s="45"/>
      <c r="DD726" s="45"/>
      <c r="DE726" s="45"/>
      <c r="DF726" s="45"/>
      <c r="DG726" s="45"/>
      <c r="DH726" s="45"/>
      <c r="DI726" s="45"/>
      <c r="DJ726" s="45"/>
      <c r="DK726" s="45"/>
      <c r="DL726" s="45"/>
      <c r="DM726" s="45"/>
    </row>
    <row r="727" spans="1:118">
      <c r="A727" s="45"/>
      <c r="B727" s="40"/>
      <c r="C727" s="40"/>
      <c r="D727" s="40"/>
      <c r="E727" s="896"/>
      <c r="F727" s="897"/>
      <c r="G727" s="897"/>
      <c r="H727" s="898"/>
      <c r="I727" s="899"/>
      <c r="J727" s="896"/>
      <c r="K727" s="897"/>
      <c r="L727" s="897"/>
      <c r="M727" s="898"/>
      <c r="N727" s="228"/>
      <c r="O727" s="292"/>
      <c r="P727" s="261"/>
      <c r="Q727" s="261"/>
      <c r="R727" s="293"/>
      <c r="S727" s="228"/>
      <c r="T727" s="292"/>
      <c r="U727" s="261"/>
      <c r="V727" s="261"/>
      <c r="W727" s="293"/>
      <c r="X727" s="228"/>
      <c r="Y727" s="292"/>
      <c r="Z727" s="261"/>
      <c r="AA727" s="261"/>
      <c r="AB727" s="293"/>
      <c r="AC727" s="228"/>
      <c r="AD727" s="292"/>
      <c r="AE727" s="261"/>
      <c r="AF727" s="261"/>
      <c r="AG727" s="293"/>
      <c r="AH727" s="228"/>
      <c r="AI727" s="292"/>
      <c r="AJ727" s="261"/>
      <c r="AK727" s="261"/>
      <c r="AL727" s="293"/>
      <c r="AM727" s="228"/>
      <c r="AN727" s="292"/>
      <c r="AO727" s="261"/>
      <c r="AP727" s="261"/>
      <c r="AQ727" s="293"/>
      <c r="AR727" s="228"/>
      <c r="AS727" s="292"/>
      <c r="AT727" s="261"/>
      <c r="AU727" s="261"/>
      <c r="AV727" s="293"/>
      <c r="AW727" s="228"/>
      <c r="AX727" s="292"/>
      <c r="AY727" s="261"/>
      <c r="AZ727" s="261"/>
      <c r="BA727" s="293"/>
      <c r="BB727" s="228"/>
      <c r="BC727" s="292"/>
      <c r="BD727" s="261"/>
      <c r="BE727" s="261"/>
      <c r="BF727" s="293"/>
      <c r="BG727" s="228"/>
      <c r="BH727" s="292"/>
      <c r="BI727" s="261"/>
      <c r="BJ727" s="261"/>
      <c r="BK727" s="293"/>
      <c r="BL727" s="228"/>
      <c r="BM727" s="292"/>
      <c r="BN727" s="261"/>
      <c r="BO727" s="261"/>
      <c r="BP727" s="293"/>
      <c r="BQ727" s="228"/>
      <c r="BR727" s="40"/>
      <c r="BS727" s="40"/>
      <c r="BT727" s="669"/>
      <c r="BU727" s="228"/>
      <c r="BV727" s="156"/>
      <c r="BW727" s="156"/>
      <c r="BX727" s="156"/>
      <c r="BY727" s="156"/>
      <c r="BZ727" s="156"/>
      <c r="CA727" s="156"/>
      <c r="CB727" s="156"/>
      <c r="CC727" s="156"/>
      <c r="CD727" s="228"/>
      <c r="CE727" s="228"/>
      <c r="CF727" s="228"/>
      <c r="CG727" s="45"/>
      <c r="CH727" s="45"/>
      <c r="CI727" s="45"/>
      <c r="CJ727" s="45"/>
      <c r="CK727" s="45"/>
      <c r="CL727" s="45"/>
      <c r="CM727" s="45"/>
      <c r="CN727" s="45"/>
      <c r="CO727" s="45"/>
      <c r="CP727" s="45"/>
      <c r="CQ727" s="45"/>
      <c r="CR727" s="45"/>
      <c r="CS727" s="45"/>
      <c r="CT727" s="45"/>
      <c r="CU727" s="45"/>
      <c r="CV727" s="45"/>
      <c r="CW727" s="45"/>
      <c r="CX727" s="45"/>
      <c r="CY727" s="45"/>
      <c r="CZ727" s="45"/>
      <c r="DA727" s="45"/>
      <c r="DB727" s="45"/>
      <c r="DC727" s="45"/>
      <c r="DD727" s="45"/>
      <c r="DE727" s="45"/>
      <c r="DF727" s="45"/>
      <c r="DG727" s="45"/>
      <c r="DH727" s="45"/>
      <c r="DI727" s="45"/>
      <c r="DJ727" s="45"/>
      <c r="DK727" s="45"/>
      <c r="DL727" s="45"/>
      <c r="DM727" s="45"/>
    </row>
    <row r="728" spans="1:118">
      <c r="A728" s="45"/>
      <c r="B728" s="40"/>
      <c r="C728" s="1967" t="s">
        <v>1247</v>
      </c>
      <c r="D728" s="40"/>
      <c r="E728" s="896"/>
      <c r="F728" s="897"/>
      <c r="G728" s="897"/>
      <c r="H728" s="898"/>
      <c r="I728" s="899"/>
      <c r="J728" s="896"/>
      <c r="K728" s="897"/>
      <c r="L728" s="897"/>
      <c r="M728" s="898"/>
      <c r="N728" s="228"/>
      <c r="O728" s="292"/>
      <c r="P728" s="261"/>
      <c r="Q728" s="261"/>
      <c r="R728" s="293"/>
      <c r="S728" s="228"/>
      <c r="T728" s="292"/>
      <c r="U728" s="261"/>
      <c r="V728" s="261"/>
      <c r="W728" s="293"/>
      <c r="X728" s="228"/>
      <c r="Y728" s="292"/>
      <c r="Z728" s="261"/>
      <c r="AA728" s="261"/>
      <c r="AB728" s="293"/>
      <c r="AC728" s="228"/>
      <c r="AD728" s="292"/>
      <c r="AE728" s="261"/>
      <c r="AF728" s="261"/>
      <c r="AG728" s="293"/>
      <c r="AH728" s="228"/>
      <c r="AI728" s="292"/>
      <c r="AJ728" s="261"/>
      <c r="AK728" s="261"/>
      <c r="AL728" s="293"/>
      <c r="AM728" s="228"/>
      <c r="AN728" s="292"/>
      <c r="AO728" s="261"/>
      <c r="AP728" s="261"/>
      <c r="AQ728" s="293"/>
      <c r="AR728" s="228"/>
      <c r="AS728" s="292"/>
      <c r="AT728" s="261"/>
      <c r="AU728" s="261"/>
      <c r="AV728" s="293"/>
      <c r="AW728" s="228"/>
      <c r="AX728" s="292"/>
      <c r="AY728" s="261"/>
      <c r="AZ728" s="261"/>
      <c r="BA728" s="293"/>
      <c r="BB728" s="228"/>
      <c r="BC728" s="292"/>
      <c r="BD728" s="261"/>
      <c r="BE728" s="261"/>
      <c r="BF728" s="293"/>
      <c r="BG728" s="228"/>
      <c r="BH728" s="292"/>
      <c r="BI728" s="261"/>
      <c r="BJ728" s="261"/>
      <c r="BK728" s="293"/>
      <c r="BL728" s="228"/>
      <c r="BM728" s="292"/>
      <c r="BN728" s="261"/>
      <c r="BO728" s="261"/>
      <c r="BP728" s="293"/>
      <c r="BQ728" s="228"/>
      <c r="BR728" s="40"/>
      <c r="BS728" s="40"/>
      <c r="BT728" s="1111"/>
      <c r="BU728" s="1085"/>
      <c r="BV728" s="156"/>
      <c r="BW728" s="156"/>
      <c r="BX728" s="156"/>
      <c r="BY728" s="156"/>
      <c r="BZ728" s="156"/>
      <c r="CA728" s="156"/>
      <c r="CB728" s="156"/>
      <c r="CC728" s="156"/>
      <c r="CD728" s="45"/>
      <c r="CE728" s="45"/>
      <c r="CF728" s="45"/>
      <c r="CG728" s="45"/>
      <c r="CH728" s="45"/>
      <c r="CI728" s="45"/>
      <c r="CJ728" s="45"/>
      <c r="CK728" s="45"/>
      <c r="CL728" s="45"/>
      <c r="CM728" s="45"/>
      <c r="CN728" s="45"/>
      <c r="CO728" s="45"/>
      <c r="CP728" s="45"/>
      <c r="CQ728" s="45"/>
      <c r="CR728" s="45"/>
      <c r="CS728" s="45"/>
      <c r="CT728" s="45"/>
      <c r="CU728" s="45"/>
      <c r="CV728" s="45"/>
      <c r="CW728" s="45"/>
      <c r="CX728" s="45"/>
      <c r="CY728" s="45"/>
      <c r="CZ728" s="45"/>
      <c r="DA728" s="45"/>
      <c r="DB728" s="45"/>
      <c r="DC728" s="45"/>
      <c r="DD728" s="45"/>
      <c r="DE728" s="45"/>
      <c r="DF728" s="45"/>
      <c r="DG728" s="45"/>
      <c r="DH728" s="45"/>
      <c r="DI728" s="45"/>
      <c r="DJ728" s="45"/>
      <c r="DK728" s="45"/>
      <c r="DL728" s="45"/>
      <c r="DM728" s="45"/>
    </row>
    <row r="729" spans="1:118">
      <c r="A729" s="28"/>
      <c r="B729" s="40"/>
      <c r="C729" s="40"/>
      <c r="D729" s="40"/>
      <c r="E729" s="896"/>
      <c r="F729" s="897"/>
      <c r="G729" s="897"/>
      <c r="H729" s="898"/>
      <c r="I729" s="899"/>
      <c r="J729" s="896"/>
      <c r="K729" s="897"/>
      <c r="L729" s="897"/>
      <c r="M729" s="898"/>
      <c r="N729" s="228"/>
      <c r="O729" s="292"/>
      <c r="P729" s="261"/>
      <c r="Q729" s="261"/>
      <c r="R729" s="293"/>
      <c r="S729" s="228"/>
      <c r="T729" s="292"/>
      <c r="U729" s="261"/>
      <c r="V729" s="261"/>
      <c r="W729" s="293"/>
      <c r="X729" s="228"/>
      <c r="Y729" s="292"/>
      <c r="Z729" s="261"/>
      <c r="AA729" s="261"/>
      <c r="AB729" s="293"/>
      <c r="AC729" s="228"/>
      <c r="AD729" s="292"/>
      <c r="AE729" s="261"/>
      <c r="AF729" s="261"/>
      <c r="AG729" s="293"/>
      <c r="AH729" s="228"/>
      <c r="AI729" s="292"/>
      <c r="AJ729" s="261"/>
      <c r="AK729" s="261"/>
      <c r="AL729" s="293"/>
      <c r="AM729" s="228"/>
      <c r="AN729" s="292"/>
      <c r="AO729" s="261"/>
      <c r="AP729" s="261"/>
      <c r="AQ729" s="293"/>
      <c r="AR729" s="228"/>
      <c r="AS729" s="292"/>
      <c r="AT729" s="261"/>
      <c r="AU729" s="261"/>
      <c r="AV729" s="293"/>
      <c r="AW729" s="228"/>
      <c r="AX729" s="292"/>
      <c r="AY729" s="261"/>
      <c r="AZ729" s="261"/>
      <c r="BA729" s="293"/>
      <c r="BB729" s="228"/>
      <c r="BC729" s="292"/>
      <c r="BD729" s="261"/>
      <c r="BE729" s="261"/>
      <c r="BF729" s="293"/>
      <c r="BG729" s="228"/>
      <c r="BH729" s="292"/>
      <c r="BI729" s="261"/>
      <c r="BJ729" s="261"/>
      <c r="BK729" s="293"/>
      <c r="BL729" s="228"/>
      <c r="BM729" s="292"/>
      <c r="BN729" s="261"/>
      <c r="BO729" s="261"/>
      <c r="BP729" s="293"/>
      <c r="BQ729" s="228"/>
      <c r="BR729" s="40"/>
      <c r="BS729" s="40"/>
      <c r="BT729" s="28"/>
      <c r="BU729" s="835"/>
      <c r="BV729" s="156"/>
      <c r="BW729" s="156"/>
      <c r="BX729" s="156"/>
      <c r="BY729" s="156"/>
      <c r="BZ729" s="156"/>
      <c r="CA729" s="156"/>
      <c r="CB729" s="156"/>
      <c r="CC729" s="156"/>
      <c r="CD729" s="45"/>
      <c r="CE729" s="45"/>
      <c r="CF729" s="45"/>
      <c r="CG729" s="28"/>
      <c r="CH729" s="28"/>
      <c r="CI729" s="28"/>
      <c r="CJ729" s="28"/>
      <c r="CK729" s="28"/>
      <c r="CL729" s="28"/>
      <c r="CM729" s="28"/>
      <c r="CN729" s="28"/>
      <c r="CO729" s="28"/>
      <c r="CP729" s="28"/>
      <c r="CQ729" s="28"/>
      <c r="CR729" s="28"/>
      <c r="CS729" s="28"/>
      <c r="CT729" s="831"/>
      <c r="CU729" s="28"/>
      <c r="CV729" s="28"/>
      <c r="CW729" s="28"/>
      <c r="CX729" s="28"/>
      <c r="CY729" s="28"/>
      <c r="CZ729" s="28"/>
      <c r="DA729" s="28"/>
      <c r="DB729" s="28"/>
      <c r="DC729" s="28"/>
      <c r="DD729" s="28"/>
      <c r="DE729" s="28"/>
      <c r="DF729" s="28"/>
      <c r="DG729" s="28"/>
      <c r="DH729" s="28"/>
      <c r="DI729" s="28"/>
      <c r="DJ729" s="28"/>
      <c r="DK729" s="28"/>
      <c r="DL729" s="28"/>
      <c r="DM729" s="28"/>
      <c r="DN729" s="28"/>
    </row>
    <row r="730" spans="1:118" s="502" customFormat="1">
      <c r="A730" s="45"/>
      <c r="B730" s="28"/>
      <c r="C730" s="909" t="s">
        <v>1245</v>
      </c>
      <c r="D730" s="895"/>
      <c r="E730" s="896"/>
      <c r="F730" s="897"/>
      <c r="G730" s="897"/>
      <c r="H730" s="898"/>
      <c r="I730" s="899"/>
      <c r="J730" s="896"/>
      <c r="K730" s="897"/>
      <c r="L730" s="897"/>
      <c r="M730" s="898"/>
      <c r="N730" s="45"/>
      <c r="O730" s="290"/>
      <c r="P730" s="260"/>
      <c r="Q730" s="260"/>
      <c r="R730" s="291"/>
      <c r="S730" s="45"/>
      <c r="T730" s="290"/>
      <c r="U730" s="260"/>
      <c r="V730" s="260"/>
      <c r="W730" s="291"/>
      <c r="X730" s="45"/>
      <c r="Y730" s="290"/>
      <c r="Z730" s="260"/>
      <c r="AA730" s="260"/>
      <c r="AB730" s="291"/>
      <c r="AC730" s="1003"/>
      <c r="AD730" s="290"/>
      <c r="AE730" s="260"/>
      <c r="AF730" s="260"/>
      <c r="AG730" s="291"/>
      <c r="AH730" s="426"/>
      <c r="AI730" s="290"/>
      <c r="AJ730" s="260"/>
      <c r="AK730" s="260"/>
      <c r="AL730" s="291"/>
      <c r="AM730" s="45"/>
      <c r="AN730" s="290"/>
      <c r="AO730" s="260"/>
      <c r="AP730" s="260"/>
      <c r="AQ730" s="291"/>
      <c r="AR730" s="45"/>
      <c r="AS730" s="290"/>
      <c r="AT730" s="260"/>
      <c r="AU730" s="260"/>
      <c r="AV730" s="291"/>
      <c r="AW730" s="45"/>
      <c r="AX730" s="290"/>
      <c r="AY730" s="260"/>
      <c r="AZ730" s="260"/>
      <c r="BA730" s="291"/>
      <c r="BB730" s="45"/>
      <c r="BC730" s="290"/>
      <c r="BD730" s="260"/>
      <c r="BE730" s="260"/>
      <c r="BF730" s="291"/>
      <c r="BG730" s="45"/>
      <c r="BH730" s="290"/>
      <c r="BI730" s="260"/>
      <c r="BJ730" s="260"/>
      <c r="BK730" s="291"/>
      <c r="BL730" s="45"/>
      <c r="BM730" s="290"/>
      <c r="BN730" s="260"/>
      <c r="BO730" s="260"/>
      <c r="BP730" s="291"/>
      <c r="BQ730" s="45"/>
      <c r="BR730" s="40"/>
      <c r="BS730" s="40"/>
      <c r="BT730" s="45"/>
      <c r="BU730" s="836"/>
      <c r="BV730" s="156"/>
      <c r="BW730" s="156"/>
      <c r="BX730" s="156"/>
      <c r="BY730" s="156"/>
      <c r="BZ730" s="156"/>
      <c r="CA730" s="156"/>
      <c r="CB730" s="156"/>
      <c r="CC730" s="156"/>
      <c r="CD730" s="45"/>
      <c r="CE730" s="45"/>
      <c r="CF730" s="45"/>
      <c r="CG730" s="45"/>
      <c r="CH730" s="45"/>
      <c r="CI730" s="45"/>
      <c r="CJ730" s="45"/>
      <c r="CK730" s="45"/>
      <c r="CL730" s="45"/>
      <c r="CM730" s="45"/>
      <c r="CN730" s="45"/>
      <c r="CO730" s="45"/>
      <c r="CP730" s="45"/>
      <c r="CQ730" s="45"/>
      <c r="CR730" s="45"/>
      <c r="CS730" s="45"/>
      <c r="CT730" s="821"/>
      <c r="CU730" s="45"/>
      <c r="CV730" s="45"/>
      <c r="CW730" s="45"/>
      <c r="CX730" s="45"/>
      <c r="CY730" s="45"/>
      <c r="CZ730" s="45"/>
      <c r="DA730" s="45"/>
      <c r="DB730" s="45"/>
      <c r="DC730" s="45"/>
      <c r="DD730" s="45"/>
      <c r="DE730" s="45"/>
      <c r="DF730" s="45"/>
      <c r="DG730" s="45"/>
      <c r="DH730" s="45"/>
      <c r="DI730" s="45"/>
      <c r="DJ730" s="45"/>
      <c r="DK730" s="45"/>
      <c r="DL730" s="45"/>
      <c r="DM730" s="45"/>
      <c r="DN730" s="45"/>
    </row>
    <row r="731" spans="1:118">
      <c r="A731" s="223"/>
      <c r="B731" s="28"/>
      <c r="C731" s="895" t="s">
        <v>1023</v>
      </c>
      <c r="D731" s="895"/>
      <c r="E731" s="896"/>
      <c r="F731" s="897"/>
      <c r="G731" s="897"/>
      <c r="H731" s="898"/>
      <c r="I731" s="899"/>
      <c r="J731" s="896"/>
      <c r="K731" s="897"/>
      <c r="L731" s="897"/>
      <c r="M731" s="898"/>
      <c r="N731" s="45"/>
      <c r="O731" s="290"/>
      <c r="P731" s="260"/>
      <c r="Q731" s="260"/>
      <c r="R731" s="291"/>
      <c r="S731" s="45"/>
      <c r="T731" s="290"/>
      <c r="U731" s="260"/>
      <c r="V731" s="260"/>
      <c r="W731" s="291"/>
      <c r="X731" s="45"/>
      <c r="Y731" s="290">
        <f>AC731/4</f>
        <v>0</v>
      </c>
      <c r="Z731" s="260">
        <f>Y731</f>
        <v>0</v>
      </c>
      <c r="AA731" s="260">
        <f>Z731</f>
        <v>0</v>
      </c>
      <c r="AB731" s="291">
        <f>AA731</f>
        <v>0</v>
      </c>
      <c r="AC731" s="1003"/>
      <c r="AD731" s="290">
        <f>AH731/4</f>
        <v>0</v>
      </c>
      <c r="AE731" s="260">
        <f>AD731</f>
        <v>0</v>
      </c>
      <c r="AF731" s="260">
        <f>AE731</f>
        <v>0</v>
      </c>
      <c r="AG731" s="291">
        <f>AF731</f>
        <v>0</v>
      </c>
      <c r="AH731" s="1963"/>
      <c r="AI731" s="290">
        <f>AM731/4</f>
        <v>38.75</v>
      </c>
      <c r="AJ731" s="260">
        <f>AI731</f>
        <v>38.75</v>
      </c>
      <c r="AK731" s="260">
        <f>AJ731</f>
        <v>38.75</v>
      </c>
      <c r="AL731" s="291">
        <f>AK731</f>
        <v>38.75</v>
      </c>
      <c r="AM731" s="1963">
        <v>155</v>
      </c>
      <c r="AN731" s="290">
        <f>AR731/4</f>
        <v>52.5</v>
      </c>
      <c r="AO731" s="260">
        <f>AN731</f>
        <v>52.5</v>
      </c>
      <c r="AP731" s="260">
        <f>AO731</f>
        <v>52.5</v>
      </c>
      <c r="AQ731" s="291">
        <f>AP731</f>
        <v>52.5</v>
      </c>
      <c r="AR731" s="1963">
        <v>210</v>
      </c>
      <c r="AS731" s="290">
        <f>AW731/4</f>
        <v>52.5</v>
      </c>
      <c r="AT731" s="260">
        <f>AS731</f>
        <v>52.5</v>
      </c>
      <c r="AU731" s="260">
        <f>AT731</f>
        <v>52.5</v>
      </c>
      <c r="AV731" s="291">
        <f>AU731</f>
        <v>52.5</v>
      </c>
      <c r="AW731" s="1963">
        <v>210</v>
      </c>
      <c r="AX731" s="290"/>
      <c r="AY731" s="260"/>
      <c r="AZ731" s="260"/>
      <c r="BA731" s="291"/>
      <c r="BB731" s="1963">
        <v>210</v>
      </c>
      <c r="BC731" s="290"/>
      <c r="BD731" s="260"/>
      <c r="BE731" s="260"/>
      <c r="BF731" s="291"/>
      <c r="BG731" s="1963">
        <v>210</v>
      </c>
      <c r="BH731" s="290"/>
      <c r="BI731" s="260"/>
      <c r="BJ731" s="260"/>
      <c r="BK731" s="291"/>
      <c r="BL731" s="1963">
        <v>210</v>
      </c>
      <c r="BM731" s="290"/>
      <c r="BN731" s="260"/>
      <c r="BO731" s="260"/>
      <c r="BP731" s="291"/>
      <c r="BQ731" s="426"/>
      <c r="BR731" s="40"/>
      <c r="BS731" s="40"/>
      <c r="BT731" s="223"/>
      <c r="BU731" s="28"/>
      <c r="BV731" s="156"/>
      <c r="BW731" s="156"/>
      <c r="BX731" s="156"/>
      <c r="BY731" s="156"/>
      <c r="BZ731" s="156"/>
      <c r="CA731" s="156"/>
      <c r="CB731" s="156"/>
      <c r="CC731" s="156"/>
      <c r="CD731" s="28"/>
      <c r="CE731" s="28"/>
      <c r="CF731" s="28"/>
      <c r="CG731" s="223"/>
      <c r="CH731" s="223"/>
      <c r="CI731" s="223"/>
      <c r="CJ731" s="223"/>
      <c r="CK731" s="223"/>
      <c r="CL731" s="223"/>
      <c r="CM731" s="223"/>
      <c r="CN731" s="223"/>
      <c r="CO731" s="223"/>
      <c r="CP731" s="223"/>
      <c r="CQ731" s="223"/>
      <c r="CR731" s="223"/>
      <c r="CS731" s="223"/>
      <c r="CT731" s="829"/>
      <c r="CU731" s="223"/>
      <c r="CV731" s="223"/>
      <c r="CW731" s="223"/>
      <c r="CX731" s="223"/>
      <c r="CY731" s="223"/>
      <c r="CZ731" s="223"/>
      <c r="DA731" s="223"/>
      <c r="DB731" s="223"/>
      <c r="DC731" s="223"/>
      <c r="DD731" s="223"/>
      <c r="DE731" s="223"/>
      <c r="DF731" s="223"/>
      <c r="DG731" s="223"/>
      <c r="DH731" s="223"/>
      <c r="DI731" s="223"/>
      <c r="DJ731" s="223"/>
      <c r="DK731" s="223"/>
      <c r="DL731" s="223"/>
      <c r="DM731" s="223"/>
      <c r="DN731" s="223"/>
    </row>
    <row r="732" spans="1:118">
      <c r="A732" s="28"/>
      <c r="B732" s="28"/>
      <c r="C732" s="895" t="s">
        <v>1243</v>
      </c>
      <c r="D732" s="895"/>
      <c r="E732" s="896"/>
      <c r="F732" s="897"/>
      <c r="G732" s="897"/>
      <c r="H732" s="898"/>
      <c r="I732" s="899"/>
      <c r="J732" s="896"/>
      <c r="K732" s="897"/>
      <c r="L732" s="897"/>
      <c r="M732" s="898"/>
      <c r="N732" s="45"/>
      <c r="O732" s="290"/>
      <c r="P732" s="260"/>
      <c r="Q732" s="260"/>
      <c r="R732" s="291"/>
      <c r="S732" s="45"/>
      <c r="T732" s="290"/>
      <c r="U732" s="260"/>
      <c r="V732" s="260"/>
      <c r="W732" s="291"/>
      <c r="X732" s="45"/>
      <c r="Y732" s="290"/>
      <c r="Z732" s="260"/>
      <c r="AA732" s="260"/>
      <c r="AB732" s="291"/>
      <c r="AC732" s="1428"/>
      <c r="AD732" s="290"/>
      <c r="AE732" s="260"/>
      <c r="AF732" s="260"/>
      <c r="AG732" s="291"/>
      <c r="AH732" s="1965"/>
      <c r="AI732" s="290"/>
      <c r="AJ732" s="260"/>
      <c r="AK732" s="260"/>
      <c r="AL732" s="291"/>
      <c r="AM732" s="1965">
        <v>0.65</v>
      </c>
      <c r="AN732" s="290"/>
      <c r="AO732" s="260"/>
      <c r="AP732" s="260"/>
      <c r="AQ732" s="291"/>
      <c r="AR732" s="1965">
        <v>0.7</v>
      </c>
      <c r="AS732" s="290"/>
      <c r="AT732" s="260"/>
      <c r="AU732" s="260"/>
      <c r="AV732" s="291"/>
      <c r="AW732" s="1965">
        <v>0.8</v>
      </c>
      <c r="AX732" s="290"/>
      <c r="AY732" s="260"/>
      <c r="AZ732" s="260"/>
      <c r="BA732" s="291"/>
      <c r="BB732" s="1965">
        <v>0.8</v>
      </c>
      <c r="BC732" s="290"/>
      <c r="BD732" s="260"/>
      <c r="BE732" s="260"/>
      <c r="BF732" s="291"/>
      <c r="BG732" s="1965">
        <v>0.8</v>
      </c>
      <c r="BH732" s="290"/>
      <c r="BI732" s="260"/>
      <c r="BJ732" s="260"/>
      <c r="BK732" s="291"/>
      <c r="BL732" s="1965">
        <v>0.8</v>
      </c>
      <c r="BM732" s="290"/>
      <c r="BN732" s="260"/>
      <c r="BO732" s="260"/>
      <c r="BP732" s="291"/>
      <c r="BQ732" s="1004"/>
      <c r="BR732" s="40"/>
      <c r="BS732" s="40"/>
      <c r="BT732" s="28"/>
      <c r="BU732" s="45"/>
      <c r="BV732" s="156"/>
      <c r="BW732" s="156"/>
      <c r="BX732" s="156"/>
      <c r="BY732" s="156"/>
      <c r="BZ732" s="156"/>
      <c r="CA732" s="156"/>
      <c r="CB732" s="156"/>
      <c r="CC732" s="156"/>
      <c r="CD732" s="45"/>
      <c r="CE732" s="45"/>
      <c r="CF732" s="45"/>
      <c r="CG732" s="28"/>
      <c r="CH732" s="28"/>
      <c r="CI732" s="28"/>
      <c r="CJ732" s="28"/>
      <c r="CK732" s="28"/>
      <c r="CL732" s="28"/>
      <c r="CM732" s="28"/>
      <c r="CN732" s="28"/>
      <c r="CO732" s="28"/>
      <c r="CP732" s="28"/>
      <c r="CQ732" s="28"/>
      <c r="CR732" s="28"/>
      <c r="CS732" s="28"/>
      <c r="CT732" s="831"/>
      <c r="CU732" s="28"/>
      <c r="CV732" s="28"/>
      <c r="CW732" s="28"/>
      <c r="CX732" s="28"/>
      <c r="CY732" s="28"/>
      <c r="CZ732" s="28"/>
      <c r="DA732" s="28"/>
      <c r="DB732" s="28"/>
      <c r="DC732" s="28"/>
      <c r="DD732" s="28"/>
      <c r="DE732" s="28"/>
      <c r="DF732" s="28"/>
      <c r="DG732" s="28"/>
      <c r="DH732" s="28"/>
      <c r="DI732" s="28"/>
      <c r="DJ732" s="28"/>
      <c r="DK732" s="28"/>
      <c r="DL732" s="28"/>
      <c r="DM732" s="28"/>
      <c r="DN732" s="28"/>
    </row>
    <row r="733" spans="1:118">
      <c r="A733" s="28"/>
      <c r="B733" s="28"/>
      <c r="C733" s="895"/>
      <c r="D733" s="895"/>
      <c r="E733" s="896"/>
      <c r="F733" s="897"/>
      <c r="G733" s="897"/>
      <c r="H733" s="898"/>
      <c r="I733" s="899"/>
      <c r="J733" s="896"/>
      <c r="K733" s="897"/>
      <c r="L733" s="897"/>
      <c r="M733" s="898"/>
      <c r="N733" s="45"/>
      <c r="O733" s="290"/>
      <c r="P733" s="260"/>
      <c r="Q733" s="260"/>
      <c r="R733" s="291"/>
      <c r="S733" s="45"/>
      <c r="T733" s="290"/>
      <c r="U733" s="260"/>
      <c r="V733" s="260"/>
      <c r="W733" s="291"/>
      <c r="X733" s="45"/>
      <c r="Y733" s="290"/>
      <c r="Z733" s="260"/>
      <c r="AA733" s="260"/>
      <c r="AB733" s="291"/>
      <c r="AC733" s="1428"/>
      <c r="AD733" s="290"/>
      <c r="AE733" s="260"/>
      <c r="AF733" s="260"/>
      <c r="AG733" s="291"/>
      <c r="AH733" s="1965"/>
      <c r="AI733" s="290"/>
      <c r="AJ733" s="260"/>
      <c r="AK733" s="260"/>
      <c r="AL733" s="291"/>
      <c r="AM733" s="1965"/>
      <c r="AN733" s="290"/>
      <c r="AO733" s="260"/>
      <c r="AP733" s="260"/>
      <c r="AQ733" s="291"/>
      <c r="AR733" s="1965"/>
      <c r="AS733" s="290"/>
      <c r="AT733" s="260"/>
      <c r="AU733" s="260"/>
      <c r="AV733" s="291"/>
      <c r="AW733" s="1965"/>
      <c r="AX733" s="290"/>
      <c r="AY733" s="260"/>
      <c r="AZ733" s="260"/>
      <c r="BA733" s="291"/>
      <c r="BB733" s="1965"/>
      <c r="BC733" s="290"/>
      <c r="BD733" s="260"/>
      <c r="BE733" s="260"/>
      <c r="BF733" s="291"/>
      <c r="BG733" s="1965"/>
      <c r="BH733" s="290"/>
      <c r="BI733" s="260"/>
      <c r="BJ733" s="260"/>
      <c r="BK733" s="291"/>
      <c r="BL733" s="1965"/>
      <c r="BM733" s="290"/>
      <c r="BN733" s="260"/>
      <c r="BO733" s="260"/>
      <c r="BP733" s="291"/>
      <c r="BQ733" s="1004"/>
      <c r="BR733" s="40"/>
      <c r="BS733" s="40"/>
      <c r="BT733" s="28"/>
      <c r="BU733" s="223"/>
      <c r="BV733" s="156"/>
      <c r="BW733" s="156"/>
      <c r="BX733" s="156"/>
      <c r="BY733" s="156"/>
      <c r="BZ733" s="156"/>
      <c r="CA733" s="156"/>
      <c r="CB733" s="156"/>
      <c r="CC733" s="156"/>
      <c r="CD733" s="223"/>
      <c r="CE733" s="223"/>
      <c r="CF733" s="223"/>
      <c r="CG733" s="28"/>
      <c r="CH733" s="28"/>
      <c r="CI733" s="28"/>
      <c r="CJ733" s="28"/>
      <c r="CK733" s="28"/>
      <c r="CL733" s="28"/>
      <c r="CM733" s="28"/>
      <c r="CN733" s="28"/>
      <c r="CO733" s="28"/>
      <c r="CP733" s="28"/>
      <c r="CQ733" s="28"/>
      <c r="CR733" s="28"/>
      <c r="CS733" s="28"/>
      <c r="CT733" s="831"/>
      <c r="CU733" s="28"/>
      <c r="CV733" s="28"/>
      <c r="CW733" s="28"/>
      <c r="CX733" s="28"/>
      <c r="CY733" s="28"/>
      <c r="CZ733" s="28"/>
      <c r="DA733" s="28"/>
      <c r="DB733" s="28"/>
      <c r="DC733" s="28"/>
      <c r="DD733" s="28"/>
      <c r="DE733" s="28"/>
      <c r="DF733" s="28"/>
      <c r="DG733" s="28"/>
      <c r="DH733" s="28"/>
      <c r="DI733" s="28"/>
      <c r="DJ733" s="28"/>
      <c r="DK733" s="28"/>
      <c r="DL733" s="28"/>
      <c r="DM733" s="28"/>
      <c r="DN733" s="28"/>
    </row>
    <row r="734" spans="1:118">
      <c r="A734" s="28"/>
      <c r="B734" s="28"/>
      <c r="C734" s="895" t="s">
        <v>1209</v>
      </c>
      <c r="D734" s="895"/>
      <c r="E734" s="896"/>
      <c r="F734" s="897"/>
      <c r="G734" s="897"/>
      <c r="H734" s="898"/>
      <c r="I734" s="899"/>
      <c r="J734" s="896"/>
      <c r="K734" s="897"/>
      <c r="L734" s="897"/>
      <c r="M734" s="898"/>
      <c r="N734" s="45"/>
      <c r="O734" s="290"/>
      <c r="P734" s="260"/>
      <c r="Q734" s="260"/>
      <c r="R734" s="291"/>
      <c r="S734" s="45"/>
      <c r="T734" s="290"/>
      <c r="U734" s="260"/>
      <c r="V734" s="260"/>
      <c r="W734" s="291"/>
      <c r="X734" s="45"/>
      <c r="Y734" s="290"/>
      <c r="Z734" s="260"/>
      <c r="AA734" s="260"/>
      <c r="AB734" s="291"/>
      <c r="AC734" s="1429"/>
      <c r="AD734" s="290"/>
      <c r="AE734" s="260"/>
      <c r="AF734" s="260"/>
      <c r="AG734" s="291"/>
      <c r="AH734" s="1966"/>
      <c r="AI734" s="290"/>
      <c r="AJ734" s="260"/>
      <c r="AK734" s="260"/>
      <c r="AL734" s="291"/>
      <c r="AM734" s="1966">
        <v>3</v>
      </c>
      <c r="AN734" s="290"/>
      <c r="AO734" s="260"/>
      <c r="AP734" s="260"/>
      <c r="AQ734" s="291"/>
      <c r="AR734" s="1966">
        <v>3</v>
      </c>
      <c r="AS734" s="290"/>
      <c r="AT734" s="260"/>
      <c r="AU734" s="260"/>
      <c r="AV734" s="291"/>
      <c r="AW734" s="1966">
        <v>2.75</v>
      </c>
      <c r="AX734" s="290"/>
      <c r="AY734" s="260"/>
      <c r="AZ734" s="260"/>
      <c r="BA734" s="291"/>
      <c r="BB734" s="1966">
        <v>2.25</v>
      </c>
      <c r="BC734" s="290"/>
      <c r="BD734" s="260"/>
      <c r="BE734" s="260"/>
      <c r="BF734" s="291"/>
      <c r="BG734" s="1966">
        <v>2</v>
      </c>
      <c r="BH734" s="290"/>
      <c r="BI734" s="260"/>
      <c r="BJ734" s="260"/>
      <c r="BK734" s="291"/>
      <c r="BL734" s="1966">
        <f>BG734</f>
        <v>2</v>
      </c>
      <c r="BM734" s="290"/>
      <c r="BN734" s="260"/>
      <c r="BO734" s="260"/>
      <c r="BP734" s="291"/>
      <c r="BQ734" s="45"/>
      <c r="BR734" s="40"/>
      <c r="BS734" s="40"/>
      <c r="BT734" s="28"/>
      <c r="BU734" s="28"/>
      <c r="BV734" s="28"/>
      <c r="BW734" s="28"/>
      <c r="BX734" s="28"/>
      <c r="BY734" s="28"/>
      <c r="BZ734" s="28"/>
      <c r="CA734" s="28"/>
      <c r="CB734" s="28"/>
      <c r="CC734" s="28"/>
      <c r="CD734" s="28"/>
      <c r="CE734" s="28"/>
      <c r="CF734" s="28"/>
      <c r="CG734" s="28"/>
      <c r="CH734" s="28"/>
      <c r="CI734" s="28"/>
      <c r="CJ734" s="28"/>
      <c r="CK734" s="28"/>
      <c r="CL734" s="28"/>
      <c r="CM734" s="28"/>
      <c r="CN734" s="28"/>
      <c r="CO734" s="28"/>
      <c r="CP734" s="28"/>
      <c r="CQ734" s="28"/>
      <c r="CR734" s="28"/>
      <c r="CS734" s="28"/>
      <c r="CT734" s="831"/>
      <c r="CU734" s="28"/>
      <c r="CV734" s="28"/>
      <c r="CW734" s="28"/>
      <c r="CX734" s="28"/>
      <c r="CY734" s="28"/>
      <c r="CZ734" s="28"/>
      <c r="DA734" s="28"/>
      <c r="DB734" s="28"/>
      <c r="DC734" s="28"/>
      <c r="DD734" s="28"/>
      <c r="DE734" s="28"/>
      <c r="DF734" s="28"/>
      <c r="DG734" s="28"/>
      <c r="DH734" s="28"/>
      <c r="DI734" s="28"/>
      <c r="DJ734" s="28"/>
      <c r="DK734" s="28"/>
      <c r="DL734" s="28"/>
      <c r="DM734" s="28"/>
      <c r="DN734" s="28"/>
    </row>
    <row r="735" spans="1:118">
      <c r="A735" s="28"/>
      <c r="B735" s="28"/>
      <c r="C735" s="895" t="s">
        <v>1210</v>
      </c>
      <c r="D735" s="895"/>
      <c r="E735" s="896"/>
      <c r="F735" s="897"/>
      <c r="G735" s="897"/>
      <c r="H735" s="898"/>
      <c r="I735" s="899"/>
      <c r="J735" s="896"/>
      <c r="K735" s="897"/>
      <c r="L735" s="897"/>
      <c r="M735" s="898"/>
      <c r="N735" s="45"/>
      <c r="O735" s="290"/>
      <c r="P735" s="260"/>
      <c r="Q735" s="260"/>
      <c r="R735" s="291"/>
      <c r="S735" s="45"/>
      <c r="T735" s="290"/>
      <c r="U735" s="260"/>
      <c r="V735" s="260"/>
      <c r="W735" s="291"/>
      <c r="X735" s="45"/>
      <c r="Y735" s="290"/>
      <c r="Z735" s="260"/>
      <c r="AA735" s="260"/>
      <c r="AB735" s="291"/>
      <c r="AC735" s="1429"/>
      <c r="AD735" s="290"/>
      <c r="AE735" s="260"/>
      <c r="AF735" s="260"/>
      <c r="AG735" s="291"/>
      <c r="AH735" s="1966"/>
      <c r="AI735" s="290"/>
      <c r="AJ735" s="260"/>
      <c r="AK735" s="260"/>
      <c r="AL735" s="291"/>
      <c r="AM735" s="1966">
        <v>1.5</v>
      </c>
      <c r="AN735" s="290"/>
      <c r="AO735" s="260"/>
      <c r="AP735" s="260"/>
      <c r="AQ735" s="291"/>
      <c r="AR735" s="1966">
        <v>1.5</v>
      </c>
      <c r="AS735" s="290"/>
      <c r="AT735" s="260"/>
      <c r="AU735" s="260"/>
      <c r="AV735" s="291"/>
      <c r="AW735" s="1966">
        <v>1.5</v>
      </c>
      <c r="AX735" s="290"/>
      <c r="AY735" s="260"/>
      <c r="AZ735" s="260"/>
      <c r="BA735" s="291"/>
      <c r="BB735" s="1966">
        <v>1.5</v>
      </c>
      <c r="BC735" s="290"/>
      <c r="BD735" s="260"/>
      <c r="BE735" s="260"/>
      <c r="BF735" s="291"/>
      <c r="BG735" s="1966">
        <v>1.5</v>
      </c>
      <c r="BH735" s="290"/>
      <c r="BI735" s="260"/>
      <c r="BJ735" s="260"/>
      <c r="BK735" s="291"/>
      <c r="BL735" s="1966">
        <f>BG735</f>
        <v>1.5</v>
      </c>
      <c r="BM735" s="290"/>
      <c r="BN735" s="260"/>
      <c r="BO735" s="260"/>
      <c r="BP735" s="291"/>
      <c r="BQ735" s="45"/>
      <c r="BR735" s="40"/>
      <c r="BS735" s="40"/>
      <c r="BT735" s="28"/>
      <c r="BU735" s="28"/>
      <c r="BV735" s="28"/>
      <c r="BW735" s="28"/>
      <c r="BX735" s="28"/>
      <c r="BY735" s="28"/>
      <c r="BZ735" s="28"/>
      <c r="CA735" s="28"/>
      <c r="CB735" s="28"/>
      <c r="CC735" s="28"/>
      <c r="CD735" s="28"/>
      <c r="CE735" s="28"/>
      <c r="CF735" s="28"/>
      <c r="CG735" s="28"/>
      <c r="CH735" s="28"/>
      <c r="CI735" s="28"/>
      <c r="CJ735" s="28"/>
      <c r="CK735" s="28"/>
      <c r="CL735" s="28"/>
      <c r="CM735" s="28"/>
      <c r="CN735" s="28"/>
      <c r="CO735" s="28"/>
      <c r="CP735" s="28"/>
      <c r="CQ735" s="28"/>
      <c r="CR735" s="28"/>
      <c r="CS735" s="28"/>
      <c r="CT735" s="831"/>
      <c r="CU735" s="28"/>
      <c r="CV735" s="28"/>
      <c r="CW735" s="28"/>
      <c r="CX735" s="28"/>
      <c r="CY735" s="28"/>
      <c r="CZ735" s="28"/>
      <c r="DA735" s="28"/>
      <c r="DB735" s="28"/>
      <c r="DC735" s="28"/>
      <c r="DD735" s="28"/>
      <c r="DE735" s="28"/>
      <c r="DF735" s="28"/>
      <c r="DG735" s="28"/>
      <c r="DH735" s="28"/>
      <c r="DI735" s="28"/>
      <c r="DJ735" s="28"/>
      <c r="DK735" s="28"/>
      <c r="DL735" s="28"/>
      <c r="DM735" s="28"/>
      <c r="DN735" s="28"/>
    </row>
    <row r="736" spans="1:118">
      <c r="A736" s="28"/>
      <c r="B736" s="28"/>
      <c r="C736" s="909" t="s">
        <v>1246</v>
      </c>
      <c r="D736" s="895"/>
      <c r="E736" s="896"/>
      <c r="F736" s="897"/>
      <c r="G736" s="897"/>
      <c r="H736" s="898"/>
      <c r="I736" s="899"/>
      <c r="J736" s="896"/>
      <c r="K736" s="897"/>
      <c r="L736" s="897"/>
      <c r="M736" s="898"/>
      <c r="N736" s="45"/>
      <c r="O736" s="290"/>
      <c r="P736" s="260"/>
      <c r="Q736" s="260"/>
      <c r="R736" s="291"/>
      <c r="S736" s="45"/>
      <c r="T736" s="290"/>
      <c r="U736" s="260"/>
      <c r="V736" s="260"/>
      <c r="W736" s="291"/>
      <c r="X736" s="45"/>
      <c r="Y736" s="290"/>
      <c r="Z736" s="260"/>
      <c r="AA736" s="260"/>
      <c r="AB736" s="291"/>
      <c r="AC736" s="430"/>
      <c r="AD736" s="290"/>
      <c r="AE736" s="260"/>
      <c r="AF736" s="260"/>
      <c r="AG736" s="291"/>
      <c r="AH736" s="430"/>
      <c r="AI736" s="290"/>
      <c r="AJ736" s="260"/>
      <c r="AK736" s="260"/>
      <c r="AL736" s="291"/>
      <c r="AM736" s="430">
        <f>SUM(AM739:AM740)/AM731</f>
        <v>2.4750000000000001</v>
      </c>
      <c r="AN736" s="290"/>
      <c r="AO736" s="260"/>
      <c r="AP736" s="260"/>
      <c r="AQ736" s="291"/>
      <c r="AR736" s="430">
        <f>SUM(AR739:AR740)/AR731</f>
        <v>2.5499999999999998</v>
      </c>
      <c r="AS736" s="290"/>
      <c r="AT736" s="260"/>
      <c r="AU736" s="260"/>
      <c r="AV736" s="291"/>
      <c r="AW736" s="430">
        <f>SUM(AW739:AW740)/AW731</f>
        <v>2.5</v>
      </c>
      <c r="AX736" s="290"/>
      <c r="AY736" s="260"/>
      <c r="AZ736" s="260"/>
      <c r="BA736" s="291"/>
      <c r="BB736" s="430">
        <f>SUM(BB739:BB740)/BB731</f>
        <v>2.1</v>
      </c>
      <c r="BC736" s="290"/>
      <c r="BD736" s="260"/>
      <c r="BE736" s="260"/>
      <c r="BF736" s="291"/>
      <c r="BG736" s="430">
        <f>SUM(BG739:BG740)/BG731</f>
        <v>1.9</v>
      </c>
      <c r="BH736" s="290"/>
      <c r="BI736" s="260"/>
      <c r="BJ736" s="260"/>
      <c r="BK736" s="291"/>
      <c r="BL736" s="430">
        <f>SUM(BL739:BL740)/BL731</f>
        <v>1.9</v>
      </c>
      <c r="BM736" s="290"/>
      <c r="BN736" s="260"/>
      <c r="BO736" s="260"/>
      <c r="BP736" s="291"/>
      <c r="BQ736" s="1301"/>
      <c r="BR736" s="40"/>
      <c r="BS736" s="40"/>
      <c r="BT736" s="28"/>
      <c r="BU736" s="28"/>
      <c r="BV736" s="28"/>
      <c r="BW736" s="28"/>
      <c r="BX736" s="202"/>
      <c r="BY736" s="202"/>
      <c r="BZ736" s="202"/>
      <c r="CA736" s="28"/>
      <c r="CB736" s="28"/>
      <c r="CC736" s="28"/>
      <c r="CD736" s="28"/>
      <c r="CE736" s="28"/>
      <c r="CF736" s="28"/>
      <c r="CG736" s="28"/>
      <c r="CH736" s="28"/>
      <c r="CI736" s="28"/>
      <c r="CJ736" s="28"/>
      <c r="CK736" s="28"/>
      <c r="CL736" s="28"/>
      <c r="CM736" s="28"/>
      <c r="CN736" s="28"/>
      <c r="CO736" s="28"/>
      <c r="CP736" s="28"/>
      <c r="CQ736" s="28"/>
      <c r="CR736" s="28"/>
      <c r="CS736" s="28"/>
      <c r="CT736" s="831"/>
      <c r="CU736" s="28"/>
      <c r="CV736" s="28"/>
      <c r="CW736" s="28"/>
      <c r="CX736" s="28"/>
      <c r="CY736" s="28"/>
      <c r="CZ736" s="28"/>
      <c r="DA736" s="28"/>
      <c r="DB736" s="28"/>
      <c r="DC736" s="28"/>
      <c r="DD736" s="28"/>
      <c r="DE736" s="28"/>
      <c r="DF736" s="28"/>
      <c r="DG736" s="28"/>
      <c r="DH736" s="28"/>
      <c r="DI736" s="28"/>
      <c r="DJ736" s="28"/>
      <c r="DK736" s="28"/>
      <c r="DL736" s="28"/>
      <c r="DM736" s="28"/>
      <c r="DN736" s="28"/>
    </row>
    <row r="737" spans="1:118">
      <c r="A737" s="45"/>
      <c r="B737" s="28"/>
      <c r="C737" s="895"/>
      <c r="D737" s="895"/>
      <c r="E737" s="896"/>
      <c r="F737" s="897"/>
      <c r="G737" s="897"/>
      <c r="H737" s="898"/>
      <c r="I737" s="899"/>
      <c r="J737" s="896"/>
      <c r="K737" s="897"/>
      <c r="L737" s="897"/>
      <c r="M737" s="898"/>
      <c r="N737" s="45"/>
      <c r="O737" s="290"/>
      <c r="P737" s="260"/>
      <c r="Q737" s="260"/>
      <c r="R737" s="291"/>
      <c r="S737" s="45"/>
      <c r="T737" s="290"/>
      <c r="U737" s="260"/>
      <c r="V737" s="260"/>
      <c r="W737" s="291"/>
      <c r="X737" s="45"/>
      <c r="Y737" s="290"/>
      <c r="Z737" s="260"/>
      <c r="AA737" s="260"/>
      <c r="AB737" s="291"/>
      <c r="AC737" s="1003"/>
      <c r="AD737" s="290"/>
      <c r="AE737" s="260"/>
      <c r="AF737" s="260"/>
      <c r="AG737" s="291"/>
      <c r="AH737" s="426"/>
      <c r="AI737" s="290"/>
      <c r="AJ737" s="260"/>
      <c r="AK737" s="260"/>
      <c r="AL737" s="291"/>
      <c r="AM737" s="426"/>
      <c r="AN737" s="290"/>
      <c r="AO737" s="260"/>
      <c r="AP737" s="260"/>
      <c r="AQ737" s="291"/>
      <c r="AR737" s="426"/>
      <c r="AS737" s="290"/>
      <c r="AT737" s="260"/>
      <c r="AU737" s="260"/>
      <c r="AV737" s="291"/>
      <c r="AW737" s="45"/>
      <c r="AX737" s="290"/>
      <c r="AY737" s="260"/>
      <c r="AZ737" s="260"/>
      <c r="BA737" s="291"/>
      <c r="BB737" s="45"/>
      <c r="BC737" s="290"/>
      <c r="BD737" s="260"/>
      <c r="BE737" s="260"/>
      <c r="BF737" s="291"/>
      <c r="BG737" s="45"/>
      <c r="BH737" s="290"/>
      <c r="BI737" s="260"/>
      <c r="BJ737" s="260"/>
      <c r="BK737" s="291"/>
      <c r="BL737" s="45"/>
      <c r="BM737" s="290"/>
      <c r="BN737" s="260"/>
      <c r="BO737" s="260"/>
      <c r="BP737" s="291"/>
      <c r="BQ737" s="45"/>
      <c r="BR737" s="40"/>
      <c r="BS737" s="40"/>
      <c r="BT737" s="45"/>
      <c r="BU737" s="28"/>
      <c r="BV737" s="28"/>
      <c r="BW737" s="28"/>
      <c r="BX737" s="202"/>
      <c r="BY737" s="202"/>
      <c r="BZ737" s="202"/>
      <c r="CA737" s="28"/>
      <c r="CB737" s="28"/>
      <c r="CC737" s="28"/>
      <c r="CD737" s="28"/>
      <c r="CE737" s="28"/>
      <c r="CF737" s="28"/>
      <c r="CG737" s="45"/>
      <c r="CH737" s="45"/>
      <c r="CI737" s="45"/>
      <c r="CJ737" s="45"/>
      <c r="CK737" s="45"/>
      <c r="CL737" s="45"/>
      <c r="CM737" s="45"/>
      <c r="CN737" s="45"/>
      <c r="CO737" s="45"/>
      <c r="CP737" s="45"/>
      <c r="CQ737" s="45"/>
      <c r="CR737" s="45"/>
      <c r="CS737" s="45"/>
      <c r="CT737" s="830"/>
      <c r="CU737" s="45"/>
      <c r="CV737" s="45"/>
      <c r="CW737" s="45"/>
      <c r="CX737" s="45"/>
      <c r="CY737" s="45"/>
      <c r="CZ737" s="45"/>
      <c r="DA737" s="45"/>
      <c r="DB737" s="45"/>
      <c r="DC737" s="45"/>
      <c r="DD737" s="45"/>
      <c r="DE737" s="45"/>
      <c r="DF737" s="45"/>
      <c r="DG737" s="45"/>
      <c r="DH737" s="45"/>
      <c r="DI737" s="45"/>
    </row>
    <row r="738" spans="1:118">
      <c r="A738" s="45"/>
      <c r="B738" s="32"/>
      <c r="C738" s="909" t="s">
        <v>1022</v>
      </c>
      <c r="D738" s="895"/>
      <c r="E738" s="896"/>
      <c r="F738" s="897"/>
      <c r="G738" s="897"/>
      <c r="H738" s="898"/>
      <c r="I738" s="899"/>
      <c r="J738" s="896"/>
      <c r="K738" s="897"/>
      <c r="L738" s="897"/>
      <c r="M738" s="898"/>
      <c r="N738" s="228"/>
      <c r="O738" s="292"/>
      <c r="P738" s="261"/>
      <c r="Q738" s="261"/>
      <c r="R738" s="293"/>
      <c r="S738" s="228"/>
      <c r="T738" s="292"/>
      <c r="U738" s="261"/>
      <c r="V738" s="261"/>
      <c r="W738" s="293"/>
      <c r="X738" s="228"/>
      <c r="Y738" s="292"/>
      <c r="Z738" s="261"/>
      <c r="AA738" s="261"/>
      <c r="AB738" s="293"/>
      <c r="AC738" s="228"/>
      <c r="AD738" s="292"/>
      <c r="AE738" s="261"/>
      <c r="AF738" s="261"/>
      <c r="AG738" s="293"/>
      <c r="AH738" s="228"/>
      <c r="AI738" s="292"/>
      <c r="AJ738" s="261"/>
      <c r="AK738" s="261"/>
      <c r="AL738" s="293"/>
      <c r="AM738" s="228"/>
      <c r="AN738" s="292"/>
      <c r="AO738" s="261"/>
      <c r="AP738" s="261"/>
      <c r="AQ738" s="293"/>
      <c r="AR738" s="228"/>
      <c r="AS738" s="292"/>
      <c r="AT738" s="261"/>
      <c r="AU738" s="261"/>
      <c r="AV738" s="293"/>
      <c r="AW738" s="228"/>
      <c r="AX738" s="292"/>
      <c r="AY738" s="261"/>
      <c r="AZ738" s="261"/>
      <c r="BA738" s="293"/>
      <c r="BB738" s="228"/>
      <c r="BC738" s="292"/>
      <c r="BD738" s="261"/>
      <c r="BE738" s="261"/>
      <c r="BF738" s="293"/>
      <c r="BG738" s="228"/>
      <c r="BH738" s="292"/>
      <c r="BI738" s="261"/>
      <c r="BJ738" s="261"/>
      <c r="BK738" s="293"/>
      <c r="BL738" s="228"/>
      <c r="BM738" s="292"/>
      <c r="BN738" s="261"/>
      <c r="BO738" s="261"/>
      <c r="BP738" s="293"/>
      <c r="BQ738" s="228"/>
      <c r="BR738" s="156"/>
      <c r="BS738" s="156"/>
      <c r="BT738" s="45"/>
      <c r="BU738" s="28"/>
      <c r="BV738" s="28"/>
      <c r="BW738" s="28"/>
      <c r="BX738" s="28"/>
      <c r="BY738" s="28"/>
      <c r="BZ738" s="28"/>
      <c r="CA738" s="28"/>
      <c r="CB738" s="28"/>
      <c r="CC738" s="28"/>
      <c r="CD738" s="28"/>
      <c r="CE738" s="28"/>
      <c r="CF738" s="28"/>
      <c r="CG738" s="45"/>
      <c r="CH738" s="45"/>
      <c r="CI738" s="45"/>
      <c r="CJ738" s="45"/>
      <c r="CK738" s="45"/>
      <c r="CL738" s="45"/>
      <c r="CM738" s="45"/>
      <c r="CN738" s="45"/>
      <c r="CO738" s="45"/>
      <c r="CP738" s="45"/>
      <c r="CQ738" s="45"/>
      <c r="CR738" s="45"/>
      <c r="CS738" s="45"/>
      <c r="CT738" s="830"/>
      <c r="CU738" s="45"/>
      <c r="CV738" s="45"/>
      <c r="CW738" s="45"/>
      <c r="CX738" s="45"/>
      <c r="CY738" s="45"/>
      <c r="CZ738" s="45"/>
      <c r="DA738" s="45"/>
      <c r="DB738" s="45"/>
      <c r="DC738" s="45"/>
      <c r="DD738" s="45"/>
      <c r="DE738" s="45"/>
      <c r="DF738" s="45"/>
      <c r="DG738" s="45"/>
      <c r="DH738" s="45"/>
      <c r="DI738" s="45"/>
      <c r="DJ738" s="45"/>
      <c r="DK738" s="45"/>
      <c r="DL738" s="45"/>
      <c r="DM738" s="45"/>
      <c r="DN738" s="45"/>
    </row>
    <row r="739" spans="1:118" s="34" customFormat="1">
      <c r="A739" s="228"/>
      <c r="B739" s="32"/>
      <c r="C739" s="895" t="s">
        <v>1020</v>
      </c>
      <c r="D739" s="895"/>
      <c r="E739" s="896"/>
      <c r="F739" s="897"/>
      <c r="G739" s="897"/>
      <c r="H739" s="898"/>
      <c r="I739" s="899"/>
      <c r="J739" s="896"/>
      <c r="K739" s="897"/>
      <c r="L739" s="897"/>
      <c r="M739" s="898"/>
      <c r="N739" s="228"/>
      <c r="O739" s="292"/>
      <c r="P739" s="261"/>
      <c r="Q739" s="261"/>
      <c r="R739" s="293"/>
      <c r="S739" s="228"/>
      <c r="T739" s="292"/>
      <c r="U739" s="261"/>
      <c r="V739" s="261"/>
      <c r="W739" s="293"/>
      <c r="X739" s="228"/>
      <c r="Y739" s="292"/>
      <c r="Z739" s="261"/>
      <c r="AA739" s="261"/>
      <c r="AB739" s="293"/>
      <c r="AC739" s="45"/>
      <c r="AD739" s="292"/>
      <c r="AE739" s="261"/>
      <c r="AF739" s="261"/>
      <c r="AG739" s="293"/>
      <c r="AH739" s="45"/>
      <c r="AI739" s="292"/>
      <c r="AJ739" s="261"/>
      <c r="AK739" s="261"/>
      <c r="AL739" s="293"/>
      <c r="AM739" s="45">
        <f>(AM732*AM734+((1-AM732)*AM735))*AM731-AM740</f>
        <v>383.625</v>
      </c>
      <c r="AN739" s="292"/>
      <c r="AO739" s="261"/>
      <c r="AP739" s="261"/>
      <c r="AQ739" s="293"/>
      <c r="AR739" s="45">
        <f>(AR732*AR734+((1-AR732)*AR735))*AR731-AR740</f>
        <v>285.5</v>
      </c>
      <c r="AS739" s="292"/>
      <c r="AT739" s="261"/>
      <c r="AU739" s="261"/>
      <c r="AV739" s="293"/>
      <c r="AW739" s="45">
        <f>(AW732*AW734+((1-AW732)*AW735))*AW731-AW740</f>
        <v>175</v>
      </c>
      <c r="AX739" s="292"/>
      <c r="AY739" s="261"/>
      <c r="AZ739" s="261"/>
      <c r="BA739" s="293"/>
      <c r="BB739" s="45">
        <f>(BB732*BB734+((1-BB732)*BB735))*BB731-BB740</f>
        <v>316</v>
      </c>
      <c r="BC739" s="292"/>
      <c r="BD739" s="261"/>
      <c r="BE739" s="261"/>
      <c r="BF739" s="293"/>
      <c r="BG739" s="45">
        <f>(BG732*BG734+((1-BG732)*BG735))*BG731-BG740</f>
        <v>74</v>
      </c>
      <c r="BH739" s="292"/>
      <c r="BI739" s="261"/>
      <c r="BJ739" s="261"/>
      <c r="BK739" s="293"/>
      <c r="BL739" s="45">
        <f>(BL732*BL734+((1-BL732)*BL735))*BL731-BL740</f>
        <v>49</v>
      </c>
      <c r="BM739" s="292"/>
      <c r="BN739" s="261"/>
      <c r="BO739" s="261"/>
      <c r="BP739" s="293"/>
      <c r="BQ739" s="228"/>
      <c r="BR739" s="40"/>
      <c r="BS739" s="40"/>
      <c r="BT739" s="228"/>
      <c r="BU739" s="45"/>
      <c r="BV739" s="45"/>
      <c r="BW739" s="45"/>
      <c r="BX739" s="45"/>
      <c r="BY739" s="45"/>
      <c r="BZ739" s="45"/>
      <c r="CA739" s="45"/>
      <c r="CB739" s="45"/>
      <c r="CC739" s="45"/>
      <c r="CD739" s="45"/>
      <c r="CE739" s="45"/>
      <c r="CF739" s="45"/>
      <c r="CG739" s="228"/>
      <c r="CH739" s="228"/>
      <c r="CI739" s="228"/>
      <c r="CJ739" s="228"/>
      <c r="CK739" s="228"/>
      <c r="CL739" s="228"/>
      <c r="CM739" s="228"/>
      <c r="CN739" s="228"/>
      <c r="CO739" s="228"/>
      <c r="CP739" s="228"/>
      <c r="CQ739" s="228"/>
      <c r="CR739" s="228"/>
      <c r="CS739" s="228"/>
      <c r="CT739" s="824"/>
      <c r="CU739" s="228"/>
      <c r="CV739" s="228"/>
      <c r="CW739" s="228"/>
      <c r="CX739" s="228"/>
      <c r="CY739" s="228"/>
      <c r="CZ739" s="228"/>
      <c r="DA739" s="228"/>
      <c r="DB739" s="228"/>
      <c r="DC739" s="228"/>
      <c r="DD739" s="228"/>
      <c r="DE739" s="228"/>
      <c r="DF739" s="228"/>
      <c r="DG739" s="228"/>
      <c r="DH739" s="228"/>
      <c r="DI739" s="228"/>
      <c r="DJ739" s="228"/>
      <c r="DK739" s="228"/>
      <c r="DL739" s="228"/>
      <c r="DM739" s="228"/>
      <c r="DN739" s="228"/>
    </row>
    <row r="740" spans="1:118">
      <c r="A740" s="45"/>
      <c r="B740" s="28"/>
      <c r="C740" s="895" t="s">
        <v>1244</v>
      </c>
      <c r="D740" s="895"/>
      <c r="E740" s="896"/>
      <c r="F740" s="897"/>
      <c r="G740" s="897"/>
      <c r="H740" s="898"/>
      <c r="I740" s="899"/>
      <c r="J740" s="896"/>
      <c r="K740" s="897"/>
      <c r="L740" s="897"/>
      <c r="M740" s="898"/>
      <c r="N740" s="45"/>
      <c r="O740" s="290"/>
      <c r="P740" s="260"/>
      <c r="Q740" s="260"/>
      <c r="R740" s="291"/>
      <c r="S740" s="45"/>
      <c r="T740" s="290"/>
      <c r="U740" s="260"/>
      <c r="V740" s="260"/>
      <c r="W740" s="291"/>
      <c r="X740" s="45"/>
      <c r="Y740" s="290">
        <f>AC740/4</f>
        <v>0</v>
      </c>
      <c r="Z740" s="260">
        <f>Y740</f>
        <v>0</v>
      </c>
      <c r="AA740" s="260">
        <f>Z740</f>
        <v>0</v>
      </c>
      <c r="AB740" s="291">
        <f>AA740</f>
        <v>0</v>
      </c>
      <c r="AC740" s="45"/>
      <c r="AD740" s="290">
        <f>AH740/4</f>
        <v>0</v>
      </c>
      <c r="AE740" s="260">
        <f>AD740</f>
        <v>0</v>
      </c>
      <c r="AF740" s="260">
        <f>AE740</f>
        <v>0</v>
      </c>
      <c r="AG740" s="291">
        <f>AF740</f>
        <v>0</v>
      </c>
      <c r="AH740" s="45"/>
      <c r="AI740" s="290"/>
      <c r="AJ740" s="260"/>
      <c r="AK740" s="260"/>
      <c r="AL740" s="291"/>
      <c r="AM740" s="45">
        <f>BW155-AM741</f>
        <v>0</v>
      </c>
      <c r="AN740" s="290"/>
      <c r="AO740" s="260"/>
      <c r="AP740" s="260"/>
      <c r="AQ740" s="291"/>
      <c r="AR740" s="45">
        <f>BX155-AR741</f>
        <v>250</v>
      </c>
      <c r="AS740" s="290"/>
      <c r="AT740" s="260"/>
      <c r="AU740" s="260"/>
      <c r="AV740" s="291"/>
      <c r="AW740" s="45">
        <f>BY155-AW741</f>
        <v>350</v>
      </c>
      <c r="AX740" s="290"/>
      <c r="AY740" s="260"/>
      <c r="AZ740" s="260"/>
      <c r="BA740" s="291"/>
      <c r="BB740" s="45">
        <f>BZ155-BB741</f>
        <v>125</v>
      </c>
      <c r="BC740" s="290"/>
      <c r="BD740" s="260"/>
      <c r="BE740" s="260"/>
      <c r="BF740" s="291"/>
      <c r="BG740" s="45">
        <f>CA155-BG741</f>
        <v>325</v>
      </c>
      <c r="BH740" s="290"/>
      <c r="BI740" s="260"/>
      <c r="BJ740" s="260"/>
      <c r="BK740" s="291"/>
      <c r="BL740" s="45">
        <f>CB155-BL741</f>
        <v>350</v>
      </c>
      <c r="BM740" s="290"/>
      <c r="BN740" s="260"/>
      <c r="BO740" s="260"/>
      <c r="BP740" s="291"/>
      <c r="BQ740" s="45"/>
      <c r="BR740" s="40"/>
      <c r="BS740" s="40"/>
      <c r="BT740" s="45"/>
      <c r="BU740" s="45"/>
      <c r="BV740" s="45"/>
      <c r="BW740" s="45"/>
      <c r="BX740" s="45"/>
      <c r="BY740" s="432"/>
      <c r="BZ740" s="45"/>
      <c r="CA740" s="45"/>
      <c r="CB740" s="45"/>
      <c r="CC740" s="45"/>
      <c r="CD740" s="45"/>
      <c r="CE740" s="45"/>
      <c r="CF740" s="45"/>
      <c r="CG740" s="45"/>
      <c r="CH740" s="45"/>
      <c r="CI740" s="45"/>
      <c r="CJ740" s="45"/>
      <c r="CK740" s="45"/>
      <c r="CL740" s="45"/>
      <c r="CM740" s="45"/>
      <c r="CN740" s="45"/>
      <c r="CO740" s="45"/>
      <c r="CP740" s="45"/>
      <c r="CQ740" s="45"/>
      <c r="CR740" s="45"/>
      <c r="CS740" s="45"/>
      <c r="CT740" s="821"/>
      <c r="CU740" s="45"/>
      <c r="CV740" s="45"/>
      <c r="CW740" s="45"/>
      <c r="CX740" s="45"/>
      <c r="CY740" s="45"/>
      <c r="CZ740" s="45"/>
      <c r="DA740" s="45"/>
      <c r="DB740" s="45"/>
      <c r="DC740" s="45"/>
      <c r="DD740" s="45"/>
      <c r="DE740" s="45"/>
      <c r="DF740" s="45"/>
      <c r="DG740" s="45"/>
      <c r="DH740" s="45"/>
      <c r="DI740" s="45"/>
      <c r="DJ740" s="45"/>
      <c r="DK740" s="45"/>
      <c r="DL740" s="45"/>
      <c r="DM740" s="45"/>
      <c r="DN740" s="45"/>
    </row>
    <row r="741" spans="1:118" s="232" customFormat="1">
      <c r="A741" s="45"/>
      <c r="B741" s="28"/>
      <c r="C741" s="890" t="s">
        <v>1332</v>
      </c>
      <c r="D741" s="895"/>
      <c r="E741" s="896"/>
      <c r="F741" s="897"/>
      <c r="G741" s="897"/>
      <c r="H741" s="898"/>
      <c r="I741" s="899"/>
      <c r="J741" s="896"/>
      <c r="K741" s="897"/>
      <c r="L741" s="897"/>
      <c r="M741" s="898"/>
      <c r="N741" s="45"/>
      <c r="O741" s="290"/>
      <c r="P741" s="260"/>
      <c r="Q741" s="260"/>
      <c r="R741" s="291"/>
      <c r="S741" s="45"/>
      <c r="T741" s="290"/>
      <c r="U741" s="260"/>
      <c r="V741" s="260"/>
      <c r="W741" s="291"/>
      <c r="X741" s="45"/>
      <c r="Y741" s="290"/>
      <c r="Z741" s="260"/>
      <c r="AA741" s="260"/>
      <c r="AB741" s="291"/>
      <c r="AC741" s="1003"/>
      <c r="AD741" s="290"/>
      <c r="AE741" s="260"/>
      <c r="AF741" s="260"/>
      <c r="AG741" s="291"/>
      <c r="AH741" s="1963"/>
      <c r="AI741" s="290"/>
      <c r="AJ741" s="260"/>
      <c r="AK741" s="260"/>
      <c r="AL741" s="291"/>
      <c r="AM741" s="1963">
        <v>0</v>
      </c>
      <c r="AN741" s="290"/>
      <c r="AO741" s="260"/>
      <c r="AP741" s="260"/>
      <c r="AQ741" s="291"/>
      <c r="AR741" s="1963">
        <v>-200</v>
      </c>
      <c r="AS741" s="290"/>
      <c r="AT741" s="260"/>
      <c r="AU741" s="260"/>
      <c r="AV741" s="291"/>
      <c r="AW741" s="1963">
        <v>-250</v>
      </c>
      <c r="AX741" s="290"/>
      <c r="AY741" s="260"/>
      <c r="AZ741" s="260"/>
      <c r="BA741" s="291"/>
      <c r="BB741" s="1963">
        <v>425</v>
      </c>
      <c r="BC741" s="290"/>
      <c r="BD741" s="260"/>
      <c r="BE741" s="260"/>
      <c r="BF741" s="291"/>
      <c r="BG741" s="1963">
        <v>425</v>
      </c>
      <c r="BH741" s="290"/>
      <c r="BI741" s="260"/>
      <c r="BJ741" s="260"/>
      <c r="BK741" s="291"/>
      <c r="BL741" s="1963">
        <v>550</v>
      </c>
      <c r="BM741" s="290"/>
      <c r="BN741" s="260"/>
      <c r="BO741" s="260"/>
      <c r="BP741" s="291"/>
      <c r="BQ741" s="669"/>
      <c r="BR741" s="1"/>
      <c r="BS741" s="1"/>
      <c r="BT741" s="45"/>
      <c r="BU741" s="228"/>
      <c r="BV741" s="228"/>
      <c r="BW741" s="228"/>
      <c r="BX741" s="228"/>
      <c r="BY741" s="228"/>
      <c r="BZ741" s="228"/>
      <c r="CA741" s="228"/>
      <c r="CB741" s="228"/>
      <c r="CC741" s="228"/>
      <c r="CD741" s="228"/>
      <c r="CE741" s="228"/>
      <c r="CF741" s="228"/>
      <c r="CG741" s="45"/>
      <c r="CH741" s="45"/>
      <c r="CI741" s="45"/>
      <c r="CJ741" s="45"/>
      <c r="CK741" s="45"/>
      <c r="CL741" s="45"/>
      <c r="CM741" s="45"/>
      <c r="CN741" s="45"/>
      <c r="CO741" s="45"/>
      <c r="CP741" s="45"/>
      <c r="CQ741" s="45"/>
      <c r="CR741" s="45"/>
      <c r="CS741" s="45"/>
      <c r="CT741" s="821"/>
      <c r="CU741" s="45"/>
      <c r="CV741" s="45"/>
      <c r="CW741" s="45"/>
      <c r="CX741" s="45"/>
      <c r="CY741" s="45"/>
      <c r="CZ741" s="45"/>
      <c r="DA741" s="45"/>
      <c r="DB741" s="45"/>
      <c r="DC741" s="45"/>
      <c r="DD741" s="45"/>
      <c r="DE741" s="45"/>
      <c r="DF741" s="45"/>
      <c r="DG741" s="45"/>
      <c r="DH741" s="45"/>
      <c r="DI741" s="45"/>
    </row>
    <row r="742" spans="1:118">
      <c r="A742" s="45"/>
      <c r="B742" s="28"/>
      <c r="C742" s="909" t="s">
        <v>399</v>
      </c>
      <c r="D742" s="895"/>
      <c r="E742" s="896"/>
      <c r="F742" s="897"/>
      <c r="G742" s="897"/>
      <c r="H742" s="898"/>
      <c r="I742" s="899"/>
      <c r="J742" s="896"/>
      <c r="K742" s="897"/>
      <c r="L742" s="897"/>
      <c r="M742" s="898"/>
      <c r="N742" s="45"/>
      <c r="O742" s="290"/>
      <c r="P742" s="260"/>
      <c r="Q742" s="260"/>
      <c r="R742" s="291"/>
      <c r="S742" s="45"/>
      <c r="T742" s="295">
        <f>+X742-SUM(U742:W742)</f>
        <v>0</v>
      </c>
      <c r="U742" s="1117">
        <f>X742*0.28</f>
        <v>0</v>
      </c>
      <c r="V742" s="1117">
        <f>X742*0.28</f>
        <v>0</v>
      </c>
      <c r="W742" s="1028">
        <f>X742*0.28</f>
        <v>0</v>
      </c>
      <c r="X742" s="45"/>
      <c r="Y742" s="292">
        <f>AC742/4</f>
        <v>0</v>
      </c>
      <c r="Z742" s="261">
        <f>AC742/4</f>
        <v>0</v>
      </c>
      <c r="AA742" s="261">
        <f>AC742/4</f>
        <v>0</v>
      </c>
      <c r="AB742" s="293">
        <f>AC742/4</f>
        <v>0</v>
      </c>
      <c r="AC742" s="228"/>
      <c r="AD742" s="292">
        <f>AH742/4</f>
        <v>0</v>
      </c>
      <c r="AE742" s="261">
        <f>AH742/4</f>
        <v>0</v>
      </c>
      <c r="AF742" s="261">
        <f>AH742/4</f>
        <v>0</v>
      </c>
      <c r="AG742" s="293">
        <f>AH742/4</f>
        <v>0</v>
      </c>
      <c r="AH742" s="228"/>
      <c r="AI742" s="292">
        <f>AM742/4</f>
        <v>95.90625</v>
      </c>
      <c r="AJ742" s="261">
        <f>AM742/4</f>
        <v>95.90625</v>
      </c>
      <c r="AK742" s="261">
        <f>AM742/4</f>
        <v>95.90625</v>
      </c>
      <c r="AL742" s="293">
        <f>AM742/4</f>
        <v>95.90625</v>
      </c>
      <c r="AM742" s="228">
        <f>SUM(AM739:AM741)</f>
        <v>383.625</v>
      </c>
      <c r="AN742" s="292">
        <f>AR742/4</f>
        <v>83.875</v>
      </c>
      <c r="AO742" s="261">
        <f>AR742/4</f>
        <v>83.875</v>
      </c>
      <c r="AP742" s="261">
        <f>AR742/4</f>
        <v>83.875</v>
      </c>
      <c r="AQ742" s="293">
        <f>AR742/4</f>
        <v>83.875</v>
      </c>
      <c r="AR742" s="228">
        <f>SUM(AR739:AR741)</f>
        <v>335.5</v>
      </c>
      <c r="AS742" s="292">
        <f>AW742/4</f>
        <v>68.75</v>
      </c>
      <c r="AT742" s="261">
        <f>AW742/4</f>
        <v>68.75</v>
      </c>
      <c r="AU742" s="261">
        <f>AW742/4</f>
        <v>68.75</v>
      </c>
      <c r="AV742" s="293">
        <f>AW742/4</f>
        <v>68.75</v>
      </c>
      <c r="AW742" s="228">
        <f>SUM(AW739:AW741)</f>
        <v>275</v>
      </c>
      <c r="AX742" s="292">
        <f>BB742/4</f>
        <v>216.5</v>
      </c>
      <c r="AY742" s="261">
        <f>BB742/4</f>
        <v>216.5</v>
      </c>
      <c r="AZ742" s="261">
        <f>BB742/4</f>
        <v>216.5</v>
      </c>
      <c r="BA742" s="293">
        <f>BB742/4</f>
        <v>216.5</v>
      </c>
      <c r="BB742" s="228">
        <f>SUM(BB739:BB741)</f>
        <v>866</v>
      </c>
      <c r="BC742" s="292">
        <f>BG742/4</f>
        <v>206</v>
      </c>
      <c r="BD742" s="261">
        <f>BG742/4</f>
        <v>206</v>
      </c>
      <c r="BE742" s="261">
        <f>BG742/4</f>
        <v>206</v>
      </c>
      <c r="BF742" s="293">
        <f>BG742/4</f>
        <v>206</v>
      </c>
      <c r="BG742" s="228">
        <f>SUM(BG739:BG741)</f>
        <v>824</v>
      </c>
      <c r="BH742" s="292">
        <f>BL742/4</f>
        <v>237.25</v>
      </c>
      <c r="BI742" s="261">
        <f>BL742/4</f>
        <v>237.25</v>
      </c>
      <c r="BJ742" s="261">
        <f>BL742/4</f>
        <v>237.25</v>
      </c>
      <c r="BK742" s="293">
        <f>BL742/4</f>
        <v>237.25</v>
      </c>
      <c r="BL742" s="228">
        <f>SUM(BL739:BL741)</f>
        <v>949</v>
      </c>
      <c r="BM742" s="292">
        <f>BQ742/4</f>
        <v>237.25</v>
      </c>
      <c r="BN742" s="261">
        <f>BQ742/4</f>
        <v>237.25</v>
      </c>
      <c r="BO742" s="261">
        <f>BQ742/4</f>
        <v>237.25</v>
      </c>
      <c r="BP742" s="293">
        <f>BQ742/4</f>
        <v>237.25</v>
      </c>
      <c r="BQ742" s="228">
        <f>+BL742</f>
        <v>949</v>
      </c>
      <c r="BR742" s="228"/>
      <c r="BS742" s="228"/>
      <c r="BT742" s="45"/>
      <c r="BU742" s="45"/>
      <c r="BV742" s="45"/>
      <c r="BW742" s="45"/>
      <c r="BX742" s="45"/>
      <c r="BY742" s="45"/>
      <c r="BZ742" s="45"/>
      <c r="CA742" s="45"/>
      <c r="CB742" s="45"/>
      <c r="CC742" s="45"/>
      <c r="CD742" s="45"/>
      <c r="CE742" s="45"/>
      <c r="CF742" s="45"/>
      <c r="CG742" s="45"/>
      <c r="CH742" s="45"/>
      <c r="CI742" s="45"/>
      <c r="CJ742" s="45"/>
      <c r="CK742" s="45"/>
      <c r="CL742" s="45"/>
      <c r="CM742" s="45"/>
      <c r="CN742" s="45"/>
      <c r="CO742" s="45"/>
      <c r="CP742" s="45"/>
      <c r="CQ742" s="45"/>
      <c r="CR742" s="45"/>
      <c r="CS742" s="45"/>
      <c r="CT742" s="821"/>
      <c r="CU742" s="45"/>
      <c r="CV742" s="45"/>
      <c r="CW742" s="45"/>
      <c r="CX742" s="45"/>
      <c r="CY742" s="45"/>
      <c r="CZ742" s="45"/>
      <c r="DA742" s="45"/>
      <c r="DB742" s="45"/>
      <c r="DC742" s="45"/>
      <c r="DD742" s="45"/>
      <c r="DE742" s="45"/>
      <c r="DF742" s="45"/>
      <c r="DG742" s="45"/>
      <c r="DH742" s="45"/>
      <c r="DI742" s="45"/>
      <c r="DJ742" s="45"/>
      <c r="DK742" s="45"/>
      <c r="DL742" s="45"/>
      <c r="DM742" s="45"/>
      <c r="DN742" s="45"/>
    </row>
    <row r="743" spans="1:118">
      <c r="A743" s="228"/>
      <c r="B743" s="28"/>
      <c r="C743" s="895"/>
      <c r="D743" s="895"/>
      <c r="E743" s="896"/>
      <c r="F743" s="897"/>
      <c r="G743" s="897"/>
      <c r="H743" s="898"/>
      <c r="I743" s="899"/>
      <c r="J743" s="896"/>
      <c r="K743" s="897"/>
      <c r="L743" s="897"/>
      <c r="M743" s="898"/>
      <c r="N743" s="45"/>
      <c r="O743" s="290"/>
      <c r="P743" s="260"/>
      <c r="Q743" s="260"/>
      <c r="R743" s="291"/>
      <c r="S743" s="45"/>
      <c r="T743" s="306"/>
      <c r="U743" s="266"/>
      <c r="V743" s="266"/>
      <c r="W743" s="307"/>
      <c r="X743" s="45"/>
      <c r="Y743" s="290"/>
      <c r="Z743" s="260"/>
      <c r="AA743" s="260"/>
      <c r="AB743" s="291"/>
      <c r="AC743" s="1003"/>
      <c r="AD743" s="290"/>
      <c r="AE743" s="260"/>
      <c r="AF743" s="260"/>
      <c r="AG743" s="291"/>
      <c r="AH743" s="426"/>
      <c r="AI743" s="290"/>
      <c r="AJ743" s="260"/>
      <c r="AK743" s="260"/>
      <c r="AL743" s="291"/>
      <c r="AM743" s="45"/>
      <c r="AN743" s="290"/>
      <c r="AO743" s="260"/>
      <c r="AP743" s="260"/>
      <c r="AQ743" s="291"/>
      <c r="AR743" s="45"/>
      <c r="AS743" s="290"/>
      <c r="AT743" s="260"/>
      <c r="AU743" s="260"/>
      <c r="AV743" s="291"/>
      <c r="AW743" s="45"/>
      <c r="AX743" s="290"/>
      <c r="AY743" s="260"/>
      <c r="AZ743" s="260"/>
      <c r="BA743" s="291"/>
      <c r="BB743" s="45"/>
      <c r="BC743" s="290"/>
      <c r="BD743" s="260"/>
      <c r="BE743" s="260"/>
      <c r="BF743" s="291"/>
      <c r="BG743" s="45"/>
      <c r="BH743" s="290"/>
      <c r="BI743" s="260"/>
      <c r="BJ743" s="260"/>
      <c r="BK743" s="291"/>
      <c r="BL743" s="45"/>
      <c r="BM743" s="290"/>
      <c r="BN743" s="260"/>
      <c r="BO743" s="260"/>
      <c r="BP743" s="291"/>
      <c r="BQ743" s="45"/>
      <c r="BR743" s="642"/>
      <c r="BS743" s="642"/>
      <c r="BT743" s="228"/>
      <c r="BU743" s="45"/>
      <c r="BV743" s="45"/>
      <c r="BW743" s="45"/>
      <c r="BX743" s="45"/>
      <c r="BY743" s="45"/>
      <c r="BZ743" s="45"/>
      <c r="CA743" s="45"/>
      <c r="CB743" s="45"/>
      <c r="CC743" s="45"/>
      <c r="CD743" s="45"/>
      <c r="CE743" s="45"/>
      <c r="CF743" s="45"/>
      <c r="CG743" s="228"/>
      <c r="CH743" s="228"/>
      <c r="CI743" s="228"/>
      <c r="CJ743" s="228"/>
      <c r="CK743" s="228"/>
      <c r="CL743" s="228"/>
      <c r="CM743" s="228"/>
      <c r="CN743" s="228"/>
      <c r="CO743" s="228"/>
      <c r="CP743" s="228"/>
      <c r="CQ743" s="228"/>
      <c r="CR743" s="228"/>
      <c r="CS743" s="228"/>
      <c r="CT743" s="824"/>
      <c r="CU743" s="228"/>
      <c r="CV743" s="228"/>
      <c r="CW743" s="228"/>
      <c r="CX743" s="228"/>
      <c r="CY743" s="228"/>
      <c r="CZ743" s="228"/>
      <c r="DA743" s="228"/>
      <c r="DB743" s="228"/>
      <c r="DC743" s="228"/>
      <c r="DD743" s="228"/>
      <c r="DE743" s="228"/>
      <c r="DF743" s="228"/>
      <c r="DG743" s="228"/>
      <c r="DH743" s="228"/>
      <c r="DI743" s="228"/>
      <c r="DJ743" s="228"/>
      <c r="DK743" s="228"/>
      <c r="DL743" s="228"/>
      <c r="DM743" s="228"/>
      <c r="DN743" s="228"/>
    </row>
    <row r="744" spans="1:118">
      <c r="A744" s="45"/>
      <c r="B744" s="28"/>
      <c r="C744" s="1967" t="s">
        <v>1248</v>
      </c>
      <c r="D744" s="895"/>
      <c r="E744" s="896"/>
      <c r="F744" s="897"/>
      <c r="G744" s="897"/>
      <c r="H744" s="898"/>
      <c r="I744" s="899"/>
      <c r="J744" s="896"/>
      <c r="K744" s="897"/>
      <c r="L744" s="897"/>
      <c r="M744" s="898"/>
      <c r="N744" s="45"/>
      <c r="O744" s="290"/>
      <c r="P744" s="260"/>
      <c r="Q744" s="260"/>
      <c r="R744" s="291"/>
      <c r="S744" s="45"/>
      <c r="T744" s="306"/>
      <c r="U744" s="266"/>
      <c r="V744" s="266"/>
      <c r="W744" s="307"/>
      <c r="X744" s="45"/>
      <c r="Y744" s="290"/>
      <c r="Z744" s="260"/>
      <c r="AA744" s="260"/>
      <c r="AB744" s="291"/>
      <c r="AC744" s="1003"/>
      <c r="AD744" s="290"/>
      <c r="AE744" s="260"/>
      <c r="AF744" s="260"/>
      <c r="AG744" s="291"/>
      <c r="AH744" s="426"/>
      <c r="AI744" s="290"/>
      <c r="AJ744" s="260"/>
      <c r="AK744" s="260"/>
      <c r="AL744" s="291"/>
      <c r="AM744" s="45"/>
      <c r="AN744" s="290"/>
      <c r="AO744" s="260"/>
      <c r="AP744" s="260"/>
      <c r="AQ744" s="291"/>
      <c r="AR744" s="45"/>
      <c r="AS744" s="290"/>
      <c r="AT744" s="260"/>
      <c r="AU744" s="260"/>
      <c r="AV744" s="291"/>
      <c r="AW744" s="45"/>
      <c r="AX744" s="290"/>
      <c r="AY744" s="260"/>
      <c r="AZ744" s="260"/>
      <c r="BA744" s="291"/>
      <c r="BB744" s="45"/>
      <c r="BC744" s="290"/>
      <c r="BD744" s="260"/>
      <c r="BE744" s="260"/>
      <c r="BF744" s="291"/>
      <c r="BG744" s="45"/>
      <c r="BH744" s="290"/>
      <c r="BI744" s="260"/>
      <c r="BJ744" s="260"/>
      <c r="BK744" s="291"/>
      <c r="BL744" s="45"/>
      <c r="BM744" s="290"/>
      <c r="BN744" s="260"/>
      <c r="BO744" s="260"/>
      <c r="BP744" s="291"/>
      <c r="BQ744" s="45"/>
      <c r="BR744" s="669"/>
      <c r="BS744" s="669"/>
      <c r="BT744" s="45"/>
      <c r="BU744" s="45"/>
      <c r="BV744" s="45"/>
      <c r="BW744" s="45"/>
      <c r="BX744" s="45"/>
      <c r="BY744" s="45"/>
      <c r="BZ744" s="45"/>
      <c r="CA744" s="45"/>
      <c r="CB744" s="45"/>
      <c r="CC744" s="45"/>
      <c r="CD744" s="45"/>
      <c r="CE744" s="45"/>
      <c r="CF744" s="45"/>
      <c r="CG744" s="45"/>
      <c r="CH744" s="45"/>
      <c r="CI744" s="45"/>
      <c r="CJ744" s="45"/>
      <c r="CK744" s="45"/>
      <c r="CL744" s="45"/>
      <c r="CM744" s="45"/>
      <c r="CN744" s="45"/>
      <c r="CO744" s="45"/>
      <c r="CP744" s="45"/>
      <c r="CQ744" s="45"/>
      <c r="CR744" s="45"/>
      <c r="CS744" s="45"/>
      <c r="CT744" s="821"/>
      <c r="CU744" s="45"/>
      <c r="CV744" s="45"/>
      <c r="CW744" s="45"/>
      <c r="CX744" s="45"/>
      <c r="CY744" s="45"/>
      <c r="CZ744" s="45"/>
      <c r="DA744" s="45"/>
      <c r="DB744" s="45"/>
      <c r="DC744" s="45"/>
      <c r="DD744" s="45"/>
      <c r="DE744" s="45"/>
      <c r="DF744" s="45"/>
      <c r="DG744" s="45"/>
      <c r="DH744" s="45"/>
      <c r="DI744" s="45"/>
      <c r="DJ744" s="45"/>
      <c r="DK744" s="45"/>
      <c r="DL744" s="45"/>
      <c r="DM744" s="45"/>
      <c r="DN744" s="45"/>
    </row>
    <row r="745" spans="1:118">
      <c r="A745" s="228"/>
      <c r="B745" s="28"/>
      <c r="C745" s="895"/>
      <c r="D745" s="895"/>
      <c r="E745" s="896"/>
      <c r="F745" s="897"/>
      <c r="G745" s="897"/>
      <c r="H745" s="898"/>
      <c r="I745" s="899"/>
      <c r="J745" s="896"/>
      <c r="K745" s="897"/>
      <c r="L745" s="897"/>
      <c r="M745" s="898"/>
      <c r="N745" s="45"/>
      <c r="O745" s="290"/>
      <c r="P745" s="260"/>
      <c r="Q745" s="260"/>
      <c r="R745" s="291"/>
      <c r="S745" s="45"/>
      <c r="T745" s="306"/>
      <c r="U745" s="266"/>
      <c r="V745" s="266"/>
      <c r="W745" s="307"/>
      <c r="X745" s="45"/>
      <c r="Y745" s="290"/>
      <c r="Z745" s="260"/>
      <c r="AA745" s="260"/>
      <c r="AB745" s="291"/>
      <c r="AC745" s="1003"/>
      <c r="AD745" s="290"/>
      <c r="AE745" s="260"/>
      <c r="AF745" s="260"/>
      <c r="AG745" s="291"/>
      <c r="AH745" s="426"/>
      <c r="AI745" s="290"/>
      <c r="AJ745" s="260"/>
      <c r="AK745" s="260"/>
      <c r="AL745" s="291"/>
      <c r="AM745" s="45"/>
      <c r="AN745" s="290"/>
      <c r="AO745" s="260"/>
      <c r="AP745" s="260"/>
      <c r="AQ745" s="291"/>
      <c r="AR745" s="45"/>
      <c r="AS745" s="290"/>
      <c r="AT745" s="260"/>
      <c r="AU745" s="260"/>
      <c r="AV745" s="291"/>
      <c r="AW745" s="45"/>
      <c r="AX745" s="290"/>
      <c r="AY745" s="260"/>
      <c r="AZ745" s="260"/>
      <c r="BA745" s="291"/>
      <c r="BB745" s="45"/>
      <c r="BC745" s="290"/>
      <c r="BD745" s="260"/>
      <c r="BE745" s="260"/>
      <c r="BF745" s="291"/>
      <c r="BG745" s="45"/>
      <c r="BH745" s="290"/>
      <c r="BI745" s="260"/>
      <c r="BJ745" s="260"/>
      <c r="BK745" s="291"/>
      <c r="BL745" s="1004">
        <f>25/140</f>
        <v>0.17857142857142858</v>
      </c>
      <c r="BM745" s="290"/>
      <c r="BN745" s="260"/>
      <c r="BO745" s="260"/>
      <c r="BP745" s="291"/>
      <c r="BQ745" s="1004">
        <f>18/140</f>
        <v>0.12857142857142856</v>
      </c>
      <c r="BR745" s="1111"/>
      <c r="BS745" s="1111"/>
      <c r="BT745" s="228"/>
      <c r="BU745" s="228"/>
      <c r="BV745" s="228"/>
      <c r="BW745" s="228"/>
      <c r="BX745" s="228"/>
      <c r="BY745" s="228"/>
      <c r="BZ745" s="228"/>
      <c r="CA745" s="228"/>
      <c r="CB745" s="228"/>
      <c r="CC745" s="228"/>
      <c r="CD745" s="228"/>
      <c r="CE745" s="228"/>
      <c r="CF745" s="228"/>
      <c r="CG745" s="228"/>
      <c r="CH745" s="228"/>
      <c r="CI745" s="228"/>
      <c r="CJ745" s="228"/>
      <c r="CK745" s="228"/>
      <c r="CL745" s="228"/>
      <c r="CM745" s="228"/>
      <c r="CN745" s="228"/>
      <c r="CO745" s="228"/>
      <c r="CP745" s="228"/>
      <c r="CQ745" s="228"/>
      <c r="CR745" s="228"/>
      <c r="CS745" s="228"/>
      <c r="CT745" s="824"/>
      <c r="CU745" s="228"/>
      <c r="CV745" s="228"/>
      <c r="CW745" s="228"/>
      <c r="CX745" s="228"/>
      <c r="CY745" s="228"/>
      <c r="CZ745" s="228"/>
      <c r="DA745" s="228"/>
      <c r="DB745" s="228"/>
      <c r="DC745" s="228"/>
      <c r="DD745" s="228"/>
      <c r="DE745" s="228"/>
      <c r="DF745" s="228"/>
      <c r="DG745" s="228"/>
      <c r="DH745" s="228"/>
      <c r="DI745" s="228"/>
      <c r="DJ745" s="228"/>
      <c r="DK745" s="228"/>
      <c r="DL745" s="228"/>
      <c r="DM745" s="228"/>
      <c r="DN745" s="228"/>
    </row>
    <row r="746" spans="1:118" s="232" customFormat="1">
      <c r="A746" s="45"/>
      <c r="B746" s="28"/>
      <c r="C746" s="909" t="s">
        <v>1019</v>
      </c>
      <c r="D746" s="895"/>
      <c r="E746" s="896"/>
      <c r="F746" s="897"/>
      <c r="G746" s="897"/>
      <c r="H746" s="898"/>
      <c r="I746" s="899"/>
      <c r="J746" s="896"/>
      <c r="K746" s="897"/>
      <c r="L746" s="897"/>
      <c r="M746" s="898"/>
      <c r="N746" s="45"/>
      <c r="O746" s="290"/>
      <c r="P746" s="260"/>
      <c r="Q746" s="260"/>
      <c r="R746" s="291"/>
      <c r="S746" s="45"/>
      <c r="T746" s="306"/>
      <c r="U746" s="266"/>
      <c r="V746" s="266"/>
      <c r="W746" s="307"/>
      <c r="X746" s="45"/>
      <c r="Y746" s="290"/>
      <c r="Z746" s="260"/>
      <c r="AA746" s="260"/>
      <c r="AB746" s="291"/>
      <c r="AC746" s="1003"/>
      <c r="AD746" s="290"/>
      <c r="AE746" s="260"/>
      <c r="AF746" s="260"/>
      <c r="AG746" s="291"/>
      <c r="AH746" s="426"/>
      <c r="AI746" s="290"/>
      <c r="AJ746" s="260"/>
      <c r="AK746" s="260"/>
      <c r="AL746" s="291"/>
      <c r="AM746" s="45"/>
      <c r="AN746" s="290"/>
      <c r="AO746" s="260"/>
      <c r="AP746" s="260"/>
      <c r="AQ746" s="291"/>
      <c r="AR746" s="45"/>
      <c r="AS746" s="290"/>
      <c r="AT746" s="260"/>
      <c r="AU746" s="260"/>
      <c r="AV746" s="291"/>
      <c r="AW746" s="45"/>
      <c r="AX746" s="290"/>
      <c r="AY746" s="260"/>
      <c r="AZ746" s="260"/>
      <c r="BA746" s="291"/>
      <c r="BB746" s="45"/>
      <c r="BC746" s="290"/>
      <c r="BD746" s="260"/>
      <c r="BE746" s="260"/>
      <c r="BF746" s="291"/>
      <c r="BG746" s="45"/>
      <c r="BH746" s="290"/>
      <c r="BI746" s="260"/>
      <c r="BJ746" s="260"/>
      <c r="BK746" s="291"/>
      <c r="BL746" s="45"/>
      <c r="BM746" s="290"/>
      <c r="BN746" s="260"/>
      <c r="BO746" s="260"/>
      <c r="BP746" s="291"/>
      <c r="BQ746" s="45"/>
      <c r="BR746" s="28"/>
      <c r="BS746" s="28"/>
      <c r="BT746" s="45"/>
      <c r="BU746" s="45"/>
      <c r="BV746" s="45"/>
      <c r="BW746" s="45"/>
      <c r="BX746" s="45"/>
      <c r="BY746" s="45"/>
      <c r="BZ746" s="45"/>
      <c r="CA746" s="45"/>
      <c r="CB746" s="45"/>
      <c r="CC746" s="45"/>
      <c r="CD746" s="45"/>
      <c r="CE746" s="45"/>
      <c r="CF746" s="45"/>
      <c r="CG746" s="45"/>
      <c r="CH746" s="45"/>
      <c r="CI746" s="45"/>
      <c r="CJ746" s="45"/>
      <c r="CK746" s="45"/>
      <c r="CL746" s="45"/>
      <c r="CM746" s="45"/>
      <c r="CN746" s="45"/>
      <c r="CO746" s="45"/>
      <c r="CP746" s="45"/>
      <c r="CQ746" s="45"/>
      <c r="CR746" s="45"/>
      <c r="CS746" s="45"/>
      <c r="CT746" s="1005"/>
      <c r="CU746" s="45"/>
      <c r="CV746" s="45"/>
      <c r="CW746" s="45"/>
      <c r="CX746" s="45"/>
      <c r="CY746" s="45"/>
      <c r="CZ746" s="45"/>
      <c r="DA746" s="45"/>
      <c r="DB746" s="45"/>
      <c r="DC746" s="45"/>
      <c r="DD746" s="45"/>
      <c r="DE746" s="45"/>
      <c r="DF746" s="45"/>
      <c r="DG746" s="45"/>
      <c r="DH746" s="45"/>
      <c r="DI746" s="45"/>
      <c r="DJ746" s="45"/>
      <c r="DK746" s="45"/>
      <c r="DL746" s="45"/>
      <c r="DM746" s="45"/>
      <c r="DN746" s="45"/>
    </row>
    <row r="747" spans="1:118">
      <c r="A747" s="45"/>
      <c r="B747" s="28"/>
      <c r="C747" s="895" t="s">
        <v>1020</v>
      </c>
      <c r="D747" s="895"/>
      <c r="E747" s="896"/>
      <c r="F747" s="897"/>
      <c r="G747" s="897"/>
      <c r="H747" s="898"/>
      <c r="I747" s="899"/>
      <c r="J747" s="896"/>
      <c r="K747" s="897"/>
      <c r="L747" s="897"/>
      <c r="M747" s="898"/>
      <c r="N747" s="45"/>
      <c r="O747" s="290"/>
      <c r="P747" s="260"/>
      <c r="Q747" s="260"/>
      <c r="R747" s="291"/>
      <c r="S747" s="45"/>
      <c r="T747" s="306"/>
      <c r="U747" s="266"/>
      <c r="V747" s="266"/>
      <c r="W747" s="307"/>
      <c r="X747" s="45"/>
      <c r="Y747" s="290"/>
      <c r="Z747" s="260"/>
      <c r="AA747" s="260"/>
      <c r="AB747" s="291"/>
      <c r="AC747" s="45"/>
      <c r="AD747" s="290"/>
      <c r="AE747" s="260"/>
      <c r="AF747" s="260"/>
      <c r="AG747" s="291"/>
      <c r="AH747" s="45"/>
      <c r="AI747" s="290"/>
      <c r="AJ747" s="260"/>
      <c r="AK747" s="260"/>
      <c r="AL747" s="291"/>
      <c r="AM747" s="45">
        <f>BW156</f>
        <v>0</v>
      </c>
      <c r="AN747" s="290"/>
      <c r="AO747" s="260"/>
      <c r="AP747" s="260"/>
      <c r="AQ747" s="291"/>
      <c r="AR747" s="45">
        <f>BX156</f>
        <v>400</v>
      </c>
      <c r="AS747" s="290"/>
      <c r="AT747" s="260"/>
      <c r="AU747" s="260"/>
      <c r="AV747" s="291"/>
      <c r="AW747" s="45">
        <f>BY156</f>
        <v>350</v>
      </c>
      <c r="AX747" s="290"/>
      <c r="AY747" s="260"/>
      <c r="AZ747" s="260"/>
      <c r="BA747" s="291"/>
      <c r="BB747" s="45">
        <f>BZ156</f>
        <v>200</v>
      </c>
      <c r="BC747" s="290"/>
      <c r="BD747" s="260"/>
      <c r="BE747" s="260"/>
      <c r="BF747" s="291"/>
      <c r="BG747" s="45">
        <f>CA156</f>
        <v>100</v>
      </c>
      <c r="BH747" s="290"/>
      <c r="BI747" s="260"/>
      <c r="BJ747" s="260"/>
      <c r="BK747" s="291"/>
      <c r="BL747" s="45"/>
      <c r="BM747" s="290"/>
      <c r="BN747" s="260"/>
      <c r="BO747" s="260"/>
      <c r="BP747" s="291"/>
      <c r="BQ747" s="45"/>
      <c r="BR747" s="45"/>
      <c r="BS747" s="45"/>
      <c r="BT747" s="45"/>
      <c r="BU747" s="228"/>
      <c r="BV747" s="228"/>
      <c r="BW747" s="228"/>
      <c r="BX747" s="228"/>
      <c r="BY747" s="228"/>
      <c r="BZ747" s="228"/>
      <c r="CA747" s="228"/>
      <c r="CB747" s="228"/>
      <c r="CC747" s="228"/>
      <c r="CD747" s="228"/>
      <c r="CE747" s="228"/>
      <c r="CF747" s="228"/>
      <c r="CG747" s="45"/>
      <c r="CH747" s="45"/>
      <c r="CI747" s="45"/>
      <c r="CJ747" s="45"/>
      <c r="CK747" s="45"/>
      <c r="CL747" s="45"/>
      <c r="CM747" s="45"/>
      <c r="CN747" s="45"/>
      <c r="CO747" s="45"/>
      <c r="CP747" s="45"/>
      <c r="CQ747" s="45"/>
      <c r="CR747" s="45"/>
      <c r="CS747" s="45"/>
      <c r="CT747" s="821"/>
      <c r="CU747" s="45"/>
      <c r="CV747" s="45"/>
      <c r="CW747" s="45"/>
      <c r="CX747" s="45"/>
      <c r="CY747" s="45"/>
      <c r="CZ747" s="45"/>
      <c r="DA747" s="45"/>
      <c r="DB747" s="45"/>
      <c r="DC747" s="45"/>
      <c r="DD747" s="45"/>
      <c r="DE747" s="45"/>
      <c r="DF747" s="45"/>
      <c r="DG747" s="45"/>
      <c r="DH747" s="45"/>
      <c r="DI747" s="45"/>
      <c r="DJ747" s="45"/>
      <c r="DK747" s="45"/>
      <c r="DL747" s="45"/>
      <c r="DM747" s="45"/>
      <c r="DN747" s="45"/>
    </row>
    <row r="748" spans="1:118">
      <c r="A748" s="28"/>
      <c r="B748" s="28"/>
      <c r="C748" s="895" t="s">
        <v>1021</v>
      </c>
      <c r="D748" s="895"/>
      <c r="E748" s="896"/>
      <c r="F748" s="897"/>
      <c r="G748" s="897"/>
      <c r="H748" s="898"/>
      <c r="I748" s="899"/>
      <c r="J748" s="896"/>
      <c r="K748" s="897"/>
      <c r="L748" s="897"/>
      <c r="M748" s="898"/>
      <c r="N748" s="45"/>
      <c r="O748" s="290"/>
      <c r="P748" s="260"/>
      <c r="Q748" s="260"/>
      <c r="R748" s="291"/>
      <c r="S748" s="45"/>
      <c r="T748" s="306"/>
      <c r="U748" s="266"/>
      <c r="V748" s="266"/>
      <c r="W748" s="307"/>
      <c r="X748" s="45"/>
      <c r="Y748" s="290"/>
      <c r="Z748" s="260"/>
      <c r="AA748" s="260"/>
      <c r="AB748" s="291"/>
      <c r="AC748" s="45"/>
      <c r="AD748" s="290"/>
      <c r="AE748" s="260"/>
      <c r="AF748" s="260"/>
      <c r="AG748" s="291"/>
      <c r="AH748" s="45"/>
      <c r="AI748" s="290"/>
      <c r="AJ748" s="260"/>
      <c r="AK748" s="260"/>
      <c r="AL748" s="291"/>
      <c r="AM748" s="45">
        <f>BW157</f>
        <v>0</v>
      </c>
      <c r="AN748" s="290"/>
      <c r="AO748" s="260"/>
      <c r="AP748" s="260"/>
      <c r="AQ748" s="291"/>
      <c r="AR748" s="45">
        <f>BX157</f>
        <v>50</v>
      </c>
      <c r="AS748" s="290"/>
      <c r="AT748" s="260"/>
      <c r="AU748" s="260"/>
      <c r="AV748" s="291"/>
      <c r="AW748" s="45">
        <f>BY157</f>
        <v>100</v>
      </c>
      <c r="AX748" s="290"/>
      <c r="AY748" s="260"/>
      <c r="AZ748" s="260"/>
      <c r="BA748" s="291"/>
      <c r="BB748" s="45">
        <f>BZ157</f>
        <v>300</v>
      </c>
      <c r="BC748" s="290"/>
      <c r="BD748" s="260"/>
      <c r="BE748" s="260"/>
      <c r="BF748" s="291"/>
      <c r="BG748" s="45">
        <f>CA157</f>
        <v>400</v>
      </c>
      <c r="BH748" s="290"/>
      <c r="BI748" s="260"/>
      <c r="BJ748" s="260"/>
      <c r="BK748" s="291"/>
      <c r="BL748" s="45"/>
      <c r="BM748" s="290"/>
      <c r="BN748" s="260"/>
      <c r="BO748" s="260"/>
      <c r="BP748" s="291"/>
      <c r="BQ748" s="45"/>
      <c r="BR748" s="223"/>
      <c r="BS748" s="223"/>
      <c r="BT748" s="28"/>
      <c r="BU748" s="45"/>
      <c r="BV748" s="45"/>
      <c r="BW748" s="45"/>
      <c r="BX748" s="45"/>
      <c r="BY748" s="45"/>
      <c r="BZ748" s="45"/>
      <c r="CA748" s="45"/>
      <c r="CB748" s="45"/>
      <c r="CC748" s="45"/>
      <c r="CD748" s="45"/>
      <c r="CE748" s="45"/>
      <c r="CF748" s="45"/>
      <c r="CG748" s="28"/>
      <c r="CH748" s="28"/>
      <c r="CI748" s="28"/>
      <c r="CJ748" s="28"/>
      <c r="CK748" s="28"/>
      <c r="CL748" s="28"/>
      <c r="CM748" s="28"/>
      <c r="CN748" s="28"/>
      <c r="CO748" s="28"/>
      <c r="CP748" s="28"/>
      <c r="CQ748" s="28"/>
      <c r="CR748" s="28"/>
      <c r="CS748" s="28"/>
      <c r="CT748" s="820"/>
      <c r="CU748" s="28"/>
      <c r="CV748" s="28"/>
      <c r="CW748" s="28"/>
      <c r="CX748" s="28"/>
      <c r="CY748" s="28"/>
      <c r="CZ748" s="28"/>
      <c r="DA748" s="28"/>
      <c r="DB748" s="28"/>
      <c r="DC748" s="28"/>
      <c r="DD748" s="28"/>
      <c r="DE748" s="28"/>
      <c r="DF748" s="28"/>
      <c r="DG748" s="28"/>
      <c r="DH748" s="28"/>
      <c r="DI748" s="28"/>
      <c r="DJ748" s="28"/>
      <c r="DK748" s="28"/>
      <c r="DL748" s="28"/>
      <c r="DM748" s="28"/>
      <c r="DN748" s="28"/>
    </row>
    <row r="749" spans="1:118">
      <c r="A749" s="28"/>
      <c r="B749" s="28"/>
      <c r="C749" s="895" t="s">
        <v>1090</v>
      </c>
      <c r="D749" s="895"/>
      <c r="E749" s="896"/>
      <c r="F749" s="897"/>
      <c r="G749" s="897"/>
      <c r="H749" s="898"/>
      <c r="I749" s="899"/>
      <c r="J749" s="896"/>
      <c r="K749" s="897"/>
      <c r="L749" s="897"/>
      <c r="M749" s="898"/>
      <c r="N749" s="45"/>
      <c r="O749" s="290"/>
      <c r="P749" s="260"/>
      <c r="Q749" s="260"/>
      <c r="R749" s="291"/>
      <c r="S749" s="45"/>
      <c r="T749" s="306"/>
      <c r="U749" s="266"/>
      <c r="V749" s="266"/>
      <c r="W749" s="307"/>
      <c r="X749" s="45"/>
      <c r="Y749" s="290"/>
      <c r="Z749" s="260"/>
      <c r="AA749" s="260"/>
      <c r="AB749" s="291"/>
      <c r="AC749" s="45"/>
      <c r="AD749" s="290"/>
      <c r="AE749" s="260"/>
      <c r="AF749" s="260"/>
      <c r="AG749" s="291"/>
      <c r="AH749" s="45"/>
      <c r="AI749" s="290"/>
      <c r="AJ749" s="260"/>
      <c r="AK749" s="260"/>
      <c r="AL749" s="291"/>
      <c r="AM749" s="1963">
        <v>0</v>
      </c>
      <c r="AN749" s="290"/>
      <c r="AO749" s="260"/>
      <c r="AP749" s="260"/>
      <c r="AQ749" s="291"/>
      <c r="AR749" s="45">
        <f>AM749</f>
        <v>0</v>
      </c>
      <c r="AS749" s="290"/>
      <c r="AT749" s="260"/>
      <c r="AU749" s="260"/>
      <c r="AV749" s="291"/>
      <c r="AW749" s="45">
        <f>AR749</f>
        <v>0</v>
      </c>
      <c r="AX749" s="290"/>
      <c r="AY749" s="260"/>
      <c r="AZ749" s="260"/>
      <c r="BA749" s="291"/>
      <c r="BB749" s="45">
        <f>AW749</f>
        <v>0</v>
      </c>
      <c r="BC749" s="290"/>
      <c r="BD749" s="260"/>
      <c r="BE749" s="260"/>
      <c r="BF749" s="291"/>
      <c r="BG749" s="45">
        <f>BB749</f>
        <v>0</v>
      </c>
      <c r="BH749" s="290"/>
      <c r="BI749" s="260"/>
      <c r="BJ749" s="260"/>
      <c r="BK749" s="291"/>
      <c r="BL749" s="45"/>
      <c r="BM749" s="290"/>
      <c r="BN749" s="260"/>
      <c r="BO749" s="260"/>
      <c r="BP749" s="291"/>
      <c r="BQ749" s="45"/>
      <c r="BR749" s="223"/>
      <c r="BS749" s="223"/>
      <c r="BT749" s="28"/>
      <c r="BU749" s="45"/>
      <c r="BV749" s="45"/>
      <c r="BW749" s="45"/>
      <c r="BX749" s="45"/>
      <c r="BY749" s="45"/>
      <c r="BZ749" s="45"/>
      <c r="CA749" s="45"/>
      <c r="CB749" s="45"/>
      <c r="CC749" s="45"/>
      <c r="CD749" s="45"/>
      <c r="CE749" s="45"/>
      <c r="CF749" s="45"/>
      <c r="CG749" s="28"/>
      <c r="CH749" s="28"/>
      <c r="CI749" s="28"/>
      <c r="CJ749" s="28"/>
      <c r="CK749" s="28"/>
      <c r="CL749" s="28"/>
      <c r="CM749" s="28"/>
      <c r="CN749" s="28"/>
      <c r="CO749" s="28"/>
      <c r="CP749" s="28"/>
      <c r="CQ749" s="28"/>
      <c r="CR749" s="28"/>
      <c r="CS749" s="28"/>
      <c r="CT749" s="820"/>
      <c r="CU749" s="28"/>
      <c r="CV749" s="28"/>
      <c r="CW749" s="28"/>
      <c r="CX749" s="28"/>
      <c r="CY749" s="28"/>
      <c r="CZ749" s="28"/>
      <c r="DA749" s="28"/>
      <c r="DB749" s="28"/>
      <c r="DC749" s="28"/>
      <c r="DD749" s="28"/>
      <c r="DE749" s="28"/>
      <c r="DF749" s="28"/>
      <c r="DG749" s="28"/>
      <c r="DH749" s="28"/>
      <c r="DI749" s="28"/>
      <c r="DJ749" s="28"/>
      <c r="DK749" s="28"/>
      <c r="DL749" s="28"/>
      <c r="DM749" s="28"/>
      <c r="DN749" s="28"/>
    </row>
    <row r="750" spans="1:118">
      <c r="A750" s="651"/>
      <c r="B750" s="28"/>
      <c r="C750" s="890" t="s">
        <v>516</v>
      </c>
      <c r="D750" s="895"/>
      <c r="E750" s="896"/>
      <c r="F750" s="897"/>
      <c r="G750" s="897"/>
      <c r="H750" s="898"/>
      <c r="I750" s="899"/>
      <c r="J750" s="896"/>
      <c r="K750" s="897"/>
      <c r="L750" s="897"/>
      <c r="M750" s="898"/>
      <c r="N750" s="45"/>
      <c r="O750" s="290"/>
      <c r="P750" s="260"/>
      <c r="Q750" s="260"/>
      <c r="R750" s="291"/>
      <c r="S750" s="45"/>
      <c r="T750" s="306"/>
      <c r="U750" s="266"/>
      <c r="V750" s="266"/>
      <c r="W750" s="307"/>
      <c r="X750" s="45"/>
      <c r="Y750" s="290"/>
      <c r="Z750" s="260"/>
      <c r="AA750" s="260"/>
      <c r="AB750" s="291"/>
      <c r="AC750" s="45"/>
      <c r="AD750" s="290"/>
      <c r="AE750" s="260"/>
      <c r="AF750" s="260"/>
      <c r="AG750" s="291"/>
      <c r="AH750" s="45"/>
      <c r="AI750" s="290"/>
      <c r="AJ750" s="260"/>
      <c r="AK750" s="260"/>
      <c r="AL750" s="291"/>
      <c r="AM750" s="1963">
        <v>0</v>
      </c>
      <c r="AN750" s="290"/>
      <c r="AO750" s="260"/>
      <c r="AP750" s="260"/>
      <c r="AQ750" s="291"/>
      <c r="AR750" s="1963">
        <v>0</v>
      </c>
      <c r="AS750" s="290"/>
      <c r="AT750" s="260"/>
      <c r="AU750" s="260"/>
      <c r="AV750" s="291"/>
      <c r="AW750" s="1963">
        <v>0</v>
      </c>
      <c r="AX750" s="290"/>
      <c r="AY750" s="260"/>
      <c r="AZ750" s="260"/>
      <c r="BA750" s="291"/>
      <c r="BB750" s="1963">
        <v>0</v>
      </c>
      <c r="BC750" s="290"/>
      <c r="BD750" s="260"/>
      <c r="BE750" s="260"/>
      <c r="BF750" s="291"/>
      <c r="BG750" s="1963">
        <v>0</v>
      </c>
      <c r="BH750" s="290"/>
      <c r="BI750" s="260"/>
      <c r="BJ750" s="260"/>
      <c r="BK750" s="291"/>
      <c r="BL750" s="1963"/>
      <c r="BM750" s="290"/>
      <c r="BN750" s="260"/>
      <c r="BO750" s="260"/>
      <c r="BP750" s="291"/>
      <c r="BQ750" s="45"/>
      <c r="BR750" s="28"/>
      <c r="BS750" s="28"/>
      <c r="BT750" s="1027"/>
      <c r="BU750" s="28"/>
      <c r="BV750" s="28"/>
      <c r="BW750" s="28"/>
      <c r="BX750" s="28"/>
      <c r="BY750" s="28"/>
      <c r="BZ750" s="28"/>
      <c r="CA750" s="28"/>
      <c r="CB750" s="28"/>
      <c r="CC750" s="28"/>
      <c r="CD750" s="28"/>
      <c r="CE750" s="28"/>
      <c r="CF750" s="28"/>
      <c r="CG750" s="651"/>
      <c r="CH750" s="651"/>
      <c r="CI750" s="651"/>
      <c r="CJ750" s="651"/>
      <c r="CK750" s="651"/>
      <c r="CL750" s="651"/>
      <c r="CM750" s="651"/>
      <c r="CN750" s="651"/>
      <c r="CO750" s="651"/>
      <c r="CP750" s="651"/>
      <c r="CQ750" s="651"/>
      <c r="CR750" s="651"/>
      <c r="CS750" s="651"/>
      <c r="CT750" s="832"/>
      <c r="CU750" s="651"/>
      <c r="CV750" s="651"/>
      <c r="CW750" s="651"/>
      <c r="CX750" s="651"/>
      <c r="CY750" s="651"/>
      <c r="CZ750" s="651"/>
      <c r="DA750" s="651"/>
      <c r="DB750" s="651"/>
      <c r="DC750" s="651"/>
      <c r="DD750" s="651"/>
      <c r="DE750" s="651"/>
      <c r="DF750" s="651"/>
      <c r="DG750" s="651"/>
      <c r="DH750" s="651"/>
      <c r="DI750" s="651"/>
    </row>
    <row r="751" spans="1:118">
      <c r="A751" s="28"/>
      <c r="B751" s="28"/>
      <c r="C751" s="909" t="s">
        <v>399</v>
      </c>
      <c r="D751" s="895"/>
      <c r="E751" s="896"/>
      <c r="F751" s="897"/>
      <c r="G751" s="897"/>
      <c r="H751" s="898"/>
      <c r="I751" s="899"/>
      <c r="J751" s="896"/>
      <c r="K751" s="897"/>
      <c r="L751" s="897"/>
      <c r="M751" s="898"/>
      <c r="N751" s="45"/>
      <c r="O751" s="290"/>
      <c r="P751" s="260"/>
      <c r="Q751" s="260"/>
      <c r="R751" s="291"/>
      <c r="S751" s="45"/>
      <c r="T751" s="295">
        <f>+X751-SUM(U751:W751)</f>
        <v>0</v>
      </c>
      <c r="U751" s="1117">
        <f>X751*0.3</f>
        <v>0</v>
      </c>
      <c r="V751" s="1117">
        <f>X751*0.3</f>
        <v>0</v>
      </c>
      <c r="W751" s="1028">
        <f>X751*0.3</f>
        <v>0</v>
      </c>
      <c r="X751" s="45"/>
      <c r="Y751" s="292">
        <f>AC751/4</f>
        <v>0</v>
      </c>
      <c r="Z751" s="261">
        <f>AC751/4</f>
        <v>0</v>
      </c>
      <c r="AA751" s="261">
        <f>AC751/4</f>
        <v>0</v>
      </c>
      <c r="AB751" s="293">
        <f>AC751/4</f>
        <v>0</v>
      </c>
      <c r="AC751" s="228"/>
      <c r="AD751" s="292">
        <f>AH751/4</f>
        <v>0</v>
      </c>
      <c r="AE751" s="261">
        <f>AH751/4</f>
        <v>0</v>
      </c>
      <c r="AF751" s="261">
        <f>AH751/4</f>
        <v>0</v>
      </c>
      <c r="AG751" s="293">
        <f>AH751/4</f>
        <v>0</v>
      </c>
      <c r="AH751" s="228"/>
      <c r="AI751" s="292">
        <f>AM751/4</f>
        <v>0</v>
      </c>
      <c r="AJ751" s="261">
        <f>AM751/4</f>
        <v>0</v>
      </c>
      <c r="AK751" s="261">
        <f>AM751/4</f>
        <v>0</v>
      </c>
      <c r="AL751" s="293">
        <f>AM751/4</f>
        <v>0</v>
      </c>
      <c r="AM751" s="228">
        <f>+AM748+AM747+AM749+AM750</f>
        <v>0</v>
      </c>
      <c r="AN751" s="292">
        <f>AR751/4</f>
        <v>112.5</v>
      </c>
      <c r="AO751" s="261">
        <f>AR751/4</f>
        <v>112.5</v>
      </c>
      <c r="AP751" s="261">
        <f>AR751/4</f>
        <v>112.5</v>
      </c>
      <c r="AQ751" s="293">
        <f>AR751/4</f>
        <v>112.5</v>
      </c>
      <c r="AR751" s="228">
        <f>+AR748+AR747+AR749+AR750</f>
        <v>450</v>
      </c>
      <c r="AS751" s="292">
        <f>AW751/4</f>
        <v>112.5</v>
      </c>
      <c r="AT751" s="261">
        <f>AW751/4</f>
        <v>112.5</v>
      </c>
      <c r="AU751" s="261">
        <f>AW751/4</f>
        <v>112.5</v>
      </c>
      <c r="AV751" s="293">
        <f>AW751/4</f>
        <v>112.5</v>
      </c>
      <c r="AW751" s="228">
        <f>+AW748+AW747+AW749+AW750</f>
        <v>450</v>
      </c>
      <c r="AX751" s="292">
        <f>BB751/4</f>
        <v>125</v>
      </c>
      <c r="AY751" s="261">
        <f>BB751/4</f>
        <v>125</v>
      </c>
      <c r="AZ751" s="261">
        <f>BB751/4</f>
        <v>125</v>
      </c>
      <c r="BA751" s="293">
        <f>BB751/4</f>
        <v>125</v>
      </c>
      <c r="BB751" s="228">
        <f>+BB748+BB747+BB749+BB750</f>
        <v>500</v>
      </c>
      <c r="BC751" s="292">
        <f>BG751/4</f>
        <v>125</v>
      </c>
      <c r="BD751" s="261">
        <f>BG751/4</f>
        <v>125</v>
      </c>
      <c r="BE751" s="261">
        <f>BG751/4</f>
        <v>125</v>
      </c>
      <c r="BF751" s="293">
        <f>BG751/4</f>
        <v>125</v>
      </c>
      <c r="BG751" s="228">
        <f>+BG748+BG747+BG749+BG750</f>
        <v>500</v>
      </c>
      <c r="BH751" s="292">
        <f>BL751/4</f>
        <v>125</v>
      </c>
      <c r="BI751" s="261">
        <f>BL751/4</f>
        <v>125</v>
      </c>
      <c r="BJ751" s="261">
        <f>BL751/4</f>
        <v>125</v>
      </c>
      <c r="BK751" s="293">
        <f>BL751/4</f>
        <v>125</v>
      </c>
      <c r="BL751" s="228">
        <f>+BG751</f>
        <v>500</v>
      </c>
      <c r="BM751" s="292">
        <f>BQ751/4</f>
        <v>125</v>
      </c>
      <c r="BN751" s="261">
        <f>BQ751/4</f>
        <v>125</v>
      </c>
      <c r="BO751" s="261">
        <f>BQ751/4</f>
        <v>125</v>
      </c>
      <c r="BP751" s="293">
        <f>BQ751/4</f>
        <v>125</v>
      </c>
      <c r="BQ751" s="228">
        <f>+BL751</f>
        <v>500</v>
      </c>
      <c r="BR751" s="28"/>
      <c r="BS751" s="28"/>
      <c r="BT751" s="28"/>
      <c r="BU751" s="28"/>
      <c r="BV751" s="28"/>
      <c r="BW751" s="28"/>
      <c r="BX751" s="28"/>
      <c r="BY751" s="28"/>
      <c r="BZ751" s="28"/>
      <c r="CA751" s="28"/>
      <c r="CB751" s="28"/>
      <c r="CC751" s="28"/>
      <c r="CD751" s="28"/>
      <c r="CE751" s="28"/>
      <c r="CF751" s="28"/>
      <c r="CG751" s="28"/>
      <c r="CH751" s="28"/>
      <c r="CI751" s="28"/>
      <c r="CJ751" s="28"/>
      <c r="CK751" s="28"/>
      <c r="CL751" s="28"/>
      <c r="CM751" s="28"/>
      <c r="CN751" s="28"/>
      <c r="CO751" s="28"/>
      <c r="CP751" s="28"/>
      <c r="CQ751" s="28"/>
      <c r="CR751" s="28"/>
      <c r="CS751" s="28"/>
      <c r="CT751" s="820"/>
      <c r="CU751" s="28"/>
      <c r="CV751" s="28"/>
      <c r="CW751" s="28"/>
      <c r="CX751" s="28"/>
      <c r="CY751" s="28"/>
      <c r="CZ751" s="28"/>
      <c r="DA751" s="28"/>
      <c r="DB751" s="28"/>
      <c r="DC751" s="28"/>
      <c r="DD751" s="28"/>
      <c r="DE751" s="28"/>
      <c r="DF751" s="28"/>
      <c r="DG751" s="28"/>
      <c r="DH751" s="28"/>
      <c r="DI751" s="28"/>
      <c r="DJ751" s="28"/>
      <c r="DK751" s="28"/>
      <c r="DL751" s="28"/>
      <c r="DM751" s="28"/>
      <c r="DN751" s="28"/>
    </row>
    <row r="752" spans="1:118">
      <c r="A752" s="28"/>
      <c r="B752" s="28"/>
      <c r="C752" s="895"/>
      <c r="D752" s="895"/>
      <c r="E752" s="896"/>
      <c r="F752" s="897"/>
      <c r="G752" s="897"/>
      <c r="H752" s="898"/>
      <c r="I752" s="899"/>
      <c r="J752" s="896"/>
      <c r="K752" s="897"/>
      <c r="L752" s="897"/>
      <c r="M752" s="898"/>
      <c r="N752" s="45"/>
      <c r="O752" s="290"/>
      <c r="P752" s="260"/>
      <c r="Q752" s="260"/>
      <c r="R752" s="291"/>
      <c r="S752" s="45"/>
      <c r="T752" s="290"/>
      <c r="U752" s="260"/>
      <c r="V752" s="260"/>
      <c r="W752" s="291"/>
      <c r="X752" s="45"/>
      <c r="Y752" s="290"/>
      <c r="Z752" s="260"/>
      <c r="AA752" s="260"/>
      <c r="AB752" s="291"/>
      <c r="AC752" s="1003"/>
      <c r="AD752" s="290"/>
      <c r="AE752" s="260"/>
      <c r="AF752" s="260"/>
      <c r="AG752" s="291"/>
      <c r="AH752" s="426"/>
      <c r="AI752" s="290"/>
      <c r="AJ752" s="260"/>
      <c r="AK752" s="260"/>
      <c r="AL752" s="291"/>
      <c r="AM752" s="45"/>
      <c r="AN752" s="290"/>
      <c r="AO752" s="260"/>
      <c r="AP752" s="260"/>
      <c r="AQ752" s="291"/>
      <c r="AR752" s="45"/>
      <c r="AS752" s="290"/>
      <c r="AT752" s="260"/>
      <c r="AU752" s="260"/>
      <c r="AV752" s="291"/>
      <c r="AW752" s="45"/>
      <c r="AX752" s="290"/>
      <c r="AY752" s="260"/>
      <c r="AZ752" s="260"/>
      <c r="BA752" s="291"/>
      <c r="BB752" s="45"/>
      <c r="BC752" s="290"/>
      <c r="BD752" s="260"/>
      <c r="BE752" s="260"/>
      <c r="BF752" s="291"/>
      <c r="BG752" s="45"/>
      <c r="BH752" s="290"/>
      <c r="BI752" s="260"/>
      <c r="BJ752" s="260"/>
      <c r="BK752" s="291"/>
      <c r="BL752" s="45"/>
      <c r="BM752" s="290"/>
      <c r="BN752" s="260"/>
      <c r="BO752" s="260"/>
      <c r="BP752" s="291"/>
      <c r="BQ752" s="45"/>
      <c r="BR752" s="28"/>
      <c r="BS752" s="28"/>
      <c r="BT752" s="28"/>
      <c r="BU752" s="651"/>
      <c r="BV752" s="651"/>
      <c r="BW752" s="651"/>
      <c r="BX752" s="651"/>
      <c r="BY752" s="651"/>
      <c r="BZ752" s="651"/>
      <c r="CA752" s="651"/>
      <c r="CB752" s="651"/>
      <c r="CC752" s="651"/>
      <c r="CD752" s="651"/>
      <c r="CE752" s="651"/>
      <c r="CF752" s="651"/>
      <c r="CG752" s="28"/>
      <c r="CH752" s="28"/>
      <c r="CI752" s="28"/>
      <c r="CJ752" s="28"/>
      <c r="CK752" s="28"/>
      <c r="CL752" s="28"/>
      <c r="CM752" s="28"/>
      <c r="CN752" s="28"/>
      <c r="CO752" s="28"/>
      <c r="CP752" s="28"/>
      <c r="CQ752" s="28"/>
      <c r="CR752" s="28"/>
      <c r="CS752" s="28"/>
      <c r="CT752" s="820"/>
      <c r="CU752" s="28"/>
      <c r="CV752" s="28"/>
      <c r="CW752" s="28"/>
      <c r="CX752" s="28"/>
      <c r="CY752" s="28"/>
      <c r="CZ752" s="28"/>
      <c r="DA752" s="28"/>
      <c r="DB752" s="28"/>
      <c r="DC752" s="28"/>
      <c r="DD752" s="28"/>
      <c r="DE752" s="28"/>
      <c r="DF752" s="28"/>
      <c r="DG752" s="28"/>
      <c r="DH752" s="28"/>
      <c r="DI752" s="28"/>
      <c r="DJ752" s="28"/>
      <c r="DK752" s="28"/>
      <c r="DL752" s="28"/>
      <c r="DM752" s="28"/>
      <c r="DN752" s="28"/>
    </row>
    <row r="753" spans="1:118">
      <c r="A753" s="28"/>
      <c r="B753" s="32"/>
      <c r="C753" s="909" t="s">
        <v>399</v>
      </c>
      <c r="D753" s="909"/>
      <c r="E753" s="891"/>
      <c r="F753" s="892"/>
      <c r="G753" s="892"/>
      <c r="H753" s="893"/>
      <c r="I753" s="894"/>
      <c r="J753" s="891"/>
      <c r="K753" s="892"/>
      <c r="L753" s="892"/>
      <c r="M753" s="893"/>
      <c r="N753" s="228"/>
      <c r="O753" s="292"/>
      <c r="P753" s="261"/>
      <c r="Q753" s="261"/>
      <c r="R753" s="293"/>
      <c r="S753" s="228"/>
      <c r="T753" s="292">
        <f>+T751+T742</f>
        <v>0</v>
      </c>
      <c r="U753" s="261">
        <f>+U751+U742</f>
        <v>0</v>
      </c>
      <c r="V753" s="261">
        <f>+V751+V742</f>
        <v>0</v>
      </c>
      <c r="W753" s="293">
        <f>+W751+W742</f>
        <v>0</v>
      </c>
      <c r="X753" s="228"/>
      <c r="Y753" s="292">
        <f>+Y751+Y742</f>
        <v>0</v>
      </c>
      <c r="Z753" s="261">
        <f>+Z751+Z742</f>
        <v>0</v>
      </c>
      <c r="AA753" s="261">
        <f>+AA751+AA742</f>
        <v>0</v>
      </c>
      <c r="AB753" s="293">
        <f>+AB751+AB742</f>
        <v>0</v>
      </c>
      <c r="AC753" s="228"/>
      <c r="AD753" s="292">
        <f t="shared" ref="AD753:AQ753" si="1056">+AD751+AD742</f>
        <v>0</v>
      </c>
      <c r="AE753" s="261">
        <f t="shared" si="1056"/>
        <v>0</v>
      </c>
      <c r="AF753" s="261">
        <f t="shared" si="1056"/>
        <v>0</v>
      </c>
      <c r="AG753" s="293">
        <f t="shared" si="1056"/>
        <v>0</v>
      </c>
      <c r="AH753" s="228"/>
      <c r="AI753" s="292">
        <f t="shared" si="1056"/>
        <v>95.90625</v>
      </c>
      <c r="AJ753" s="261">
        <f t="shared" si="1056"/>
        <v>95.90625</v>
      </c>
      <c r="AK753" s="261">
        <f t="shared" si="1056"/>
        <v>95.90625</v>
      </c>
      <c r="AL753" s="293">
        <f t="shared" si="1056"/>
        <v>95.90625</v>
      </c>
      <c r="AM753" s="228">
        <f>+AM751+AM742</f>
        <v>383.625</v>
      </c>
      <c r="AN753" s="292">
        <f t="shared" si="1056"/>
        <v>196.375</v>
      </c>
      <c r="AO753" s="261">
        <f t="shared" si="1056"/>
        <v>196.375</v>
      </c>
      <c r="AP753" s="261">
        <f t="shared" si="1056"/>
        <v>196.375</v>
      </c>
      <c r="AQ753" s="293">
        <f t="shared" si="1056"/>
        <v>196.375</v>
      </c>
      <c r="AR753" s="228">
        <f>+AR751+AR742</f>
        <v>785.5</v>
      </c>
      <c r="AS753" s="292">
        <f>+AS751+AS742</f>
        <v>181.25</v>
      </c>
      <c r="AT753" s="261">
        <f>+AT751+AT742</f>
        <v>181.25</v>
      </c>
      <c r="AU753" s="261">
        <f>+AU751+AU742</f>
        <v>181.25</v>
      </c>
      <c r="AV753" s="293">
        <f t="shared" ref="AV753:AY753" si="1057">+AV751+AV742</f>
        <v>181.25</v>
      </c>
      <c r="AW753" s="228">
        <f>+AW751+AW742</f>
        <v>725</v>
      </c>
      <c r="AX753" s="292">
        <f t="shared" si="1057"/>
        <v>341.5</v>
      </c>
      <c r="AY753" s="261">
        <f t="shared" si="1057"/>
        <v>341.5</v>
      </c>
      <c r="AZ753" s="261">
        <f>+AZ751+AZ742</f>
        <v>341.5</v>
      </c>
      <c r="BA753" s="293">
        <f>+BA751+BA742</f>
        <v>341.5</v>
      </c>
      <c r="BB753" s="228">
        <f>+BB751+BB742</f>
        <v>1366</v>
      </c>
      <c r="BC753" s="292">
        <f t="shared" ref="BC753:BF753" si="1058">+BC751+BC742</f>
        <v>331</v>
      </c>
      <c r="BD753" s="261">
        <f t="shared" si="1058"/>
        <v>331</v>
      </c>
      <c r="BE753" s="261">
        <f t="shared" si="1058"/>
        <v>331</v>
      </c>
      <c r="BF753" s="293">
        <f t="shared" si="1058"/>
        <v>331</v>
      </c>
      <c r="BG753" s="228">
        <f>+BG751+BG742</f>
        <v>1324</v>
      </c>
      <c r="BH753" s="292">
        <f t="shared" ref="BH753:BK753" si="1059">+BH751+BH742</f>
        <v>362.25</v>
      </c>
      <c r="BI753" s="261">
        <f t="shared" si="1059"/>
        <v>362.25</v>
      </c>
      <c r="BJ753" s="261">
        <f t="shared" si="1059"/>
        <v>362.25</v>
      </c>
      <c r="BK753" s="293">
        <f t="shared" si="1059"/>
        <v>362.25</v>
      </c>
      <c r="BL753" s="228">
        <f>+BL751+BL742</f>
        <v>1449</v>
      </c>
      <c r="BM753" s="292">
        <f t="shared" ref="BM753:BP753" si="1060">+BM751+BM742</f>
        <v>362.25</v>
      </c>
      <c r="BN753" s="261">
        <f t="shared" si="1060"/>
        <v>362.25</v>
      </c>
      <c r="BO753" s="261">
        <f t="shared" si="1060"/>
        <v>362.25</v>
      </c>
      <c r="BP753" s="293">
        <f t="shared" si="1060"/>
        <v>362.25</v>
      </c>
      <c r="BQ753" s="228">
        <f>+BQ751+BQ742</f>
        <v>1449</v>
      </c>
      <c r="BR753" s="28"/>
      <c r="BS753" s="28"/>
      <c r="BT753" s="28"/>
      <c r="BU753" s="28"/>
      <c r="BV753" s="28"/>
      <c r="BW753" s="28"/>
      <c r="BX753" s="28"/>
      <c r="BY753" s="28"/>
      <c r="BZ753" s="28"/>
      <c r="CA753" s="28"/>
      <c r="CB753" s="28"/>
      <c r="CC753" s="28"/>
      <c r="CD753" s="28"/>
      <c r="CE753" s="28"/>
      <c r="CF753" s="28"/>
      <c r="CG753" s="28"/>
      <c r="CH753" s="28"/>
      <c r="CI753" s="28"/>
      <c r="CJ753" s="28"/>
      <c r="CK753" s="28"/>
      <c r="CL753" s="28"/>
      <c r="CM753" s="28"/>
      <c r="CN753" s="28"/>
      <c r="CO753" s="28"/>
      <c r="CP753" s="28"/>
      <c r="CQ753" s="28"/>
      <c r="CR753" s="28"/>
      <c r="CS753" s="28"/>
      <c r="CT753" s="820"/>
      <c r="CU753" s="28"/>
      <c r="CV753" s="28"/>
      <c r="CW753" s="28"/>
      <c r="CX753" s="28"/>
      <c r="CY753" s="28"/>
      <c r="CZ753" s="28"/>
      <c r="DA753" s="28"/>
      <c r="DB753" s="28"/>
      <c r="DC753" s="28"/>
      <c r="DD753" s="28"/>
      <c r="DE753" s="28"/>
      <c r="DF753" s="28"/>
      <c r="DG753" s="28"/>
      <c r="DH753" s="28"/>
      <c r="DI753" s="28"/>
      <c r="DJ753" s="28"/>
      <c r="DK753" s="28"/>
      <c r="DL753" s="28"/>
      <c r="DM753" s="28"/>
      <c r="DN753" s="28"/>
    </row>
    <row r="754" spans="1:118">
      <c r="A754" s="28"/>
      <c r="B754" s="32"/>
      <c r="C754" s="909"/>
      <c r="D754" s="895"/>
      <c r="E754" s="896"/>
      <c r="F754" s="897"/>
      <c r="G754" s="897"/>
      <c r="H754" s="898"/>
      <c r="I754" s="899"/>
      <c r="J754" s="896"/>
      <c r="K754" s="897"/>
      <c r="L754" s="897"/>
      <c r="M754" s="898"/>
      <c r="N754" s="228"/>
      <c r="O754" s="292"/>
      <c r="P754" s="261"/>
      <c r="Q754" s="261"/>
      <c r="R754" s="293"/>
      <c r="S754" s="228"/>
      <c r="T754" s="292"/>
      <c r="U754" s="261"/>
      <c r="V754" s="261"/>
      <c r="W754" s="293"/>
      <c r="X754" s="426"/>
      <c r="Y754" s="292"/>
      <c r="Z754" s="261"/>
      <c r="AA754" s="261"/>
      <c r="AB754" s="293"/>
      <c r="AC754" s="228"/>
      <c r="AD754" s="292"/>
      <c r="AE754" s="261"/>
      <c r="AF754" s="261"/>
      <c r="AG754" s="293"/>
      <c r="AH754" s="228"/>
      <c r="AI754" s="292"/>
      <c r="AJ754" s="261"/>
      <c r="AK754" s="261"/>
      <c r="AL754" s="293"/>
      <c r="AM754" s="228"/>
      <c r="AN754" s="292"/>
      <c r="AO754" s="261"/>
      <c r="AP754" s="261"/>
      <c r="AQ754" s="293"/>
      <c r="AR754" s="228"/>
      <c r="AS754" s="292"/>
      <c r="AT754" s="261"/>
      <c r="AU754" s="261"/>
      <c r="AV754" s="293"/>
      <c r="AW754" s="228"/>
      <c r="AX754" s="292"/>
      <c r="AY754" s="261"/>
      <c r="AZ754" s="261"/>
      <c r="BA754" s="293"/>
      <c r="BB754" s="228"/>
      <c r="BC754" s="292"/>
      <c r="BD754" s="261"/>
      <c r="BE754" s="261"/>
      <c r="BF754" s="293"/>
      <c r="BG754" s="228"/>
      <c r="BH754" s="292"/>
      <c r="BI754" s="261"/>
      <c r="BJ754" s="261"/>
      <c r="BK754" s="293"/>
      <c r="BL754" s="228"/>
      <c r="BM754" s="292"/>
      <c r="BN754" s="261"/>
      <c r="BO754" s="261"/>
      <c r="BP754" s="293"/>
      <c r="BQ754" s="228"/>
      <c r="BR754" s="45"/>
      <c r="BS754" s="45"/>
      <c r="BT754" s="28"/>
      <c r="BU754" s="28"/>
      <c r="BV754" s="28"/>
      <c r="BW754" s="28"/>
      <c r="BX754" s="28"/>
      <c r="BY754" s="28"/>
      <c r="BZ754" s="28"/>
      <c r="CA754" s="28"/>
      <c r="CB754" s="28"/>
      <c r="CC754" s="28"/>
      <c r="CD754" s="28"/>
      <c r="CE754" s="28"/>
      <c r="CF754" s="28"/>
      <c r="CG754" s="28"/>
      <c r="CH754" s="28"/>
      <c r="CI754" s="28"/>
      <c r="CJ754" s="28"/>
      <c r="CK754" s="28"/>
      <c r="CL754" s="28"/>
      <c r="CM754" s="28"/>
      <c r="CN754" s="28"/>
      <c r="CO754" s="28"/>
      <c r="CP754" s="28"/>
      <c r="CQ754" s="28"/>
      <c r="CR754" s="28"/>
      <c r="CS754" s="28"/>
      <c r="CT754" s="820"/>
      <c r="CU754" s="28"/>
      <c r="CV754" s="28"/>
      <c r="CW754" s="28"/>
      <c r="CX754" s="28"/>
      <c r="CY754" s="28"/>
      <c r="CZ754" s="28"/>
      <c r="DA754" s="28"/>
      <c r="DB754" s="28"/>
      <c r="DC754" s="28"/>
      <c r="DD754" s="28"/>
      <c r="DE754" s="28"/>
      <c r="DF754" s="28"/>
      <c r="DG754" s="28"/>
      <c r="DH754" s="28"/>
      <c r="DI754" s="28"/>
      <c r="DJ754" s="28"/>
      <c r="DK754" s="28"/>
      <c r="DL754" s="28"/>
      <c r="DM754" s="28"/>
      <c r="DN754" s="28"/>
    </row>
    <row r="755" spans="1:118">
      <c r="A755" s="28"/>
      <c r="B755" s="32"/>
      <c r="C755" s="909"/>
      <c r="D755" s="895"/>
      <c r="E755" s="896"/>
      <c r="F755" s="897"/>
      <c r="G755" s="897"/>
      <c r="H755" s="898"/>
      <c r="I755" s="899"/>
      <c r="J755" s="896"/>
      <c r="K755" s="897"/>
      <c r="L755" s="897"/>
      <c r="M755" s="898"/>
      <c r="N755" s="228"/>
      <c r="O755" s="292"/>
      <c r="P755" s="261"/>
      <c r="Q755" s="261"/>
      <c r="R755" s="293"/>
      <c r="S755" s="228"/>
      <c r="T755" s="292"/>
      <c r="U755" s="261"/>
      <c r="V755" s="261"/>
      <c r="W755" s="293"/>
      <c r="X755" s="228"/>
      <c r="Y755" s="292"/>
      <c r="Z755" s="261"/>
      <c r="AA755" s="261"/>
      <c r="AB755" s="293"/>
      <c r="AC755" s="228"/>
      <c r="AD755" s="292"/>
      <c r="AE755" s="261"/>
      <c r="AF755" s="261"/>
      <c r="AG755" s="293"/>
      <c r="AH755" s="228"/>
      <c r="AI755" s="292"/>
      <c r="AJ755" s="261"/>
      <c r="AK755" s="261"/>
      <c r="AL755" s="293"/>
      <c r="AM755" s="228"/>
      <c r="AN755" s="292"/>
      <c r="AO755" s="261"/>
      <c r="AP755" s="261"/>
      <c r="AQ755" s="293"/>
      <c r="AR755" s="228"/>
      <c r="AS755" s="292"/>
      <c r="AT755" s="261"/>
      <c r="AU755" s="261"/>
      <c r="AV755" s="293"/>
      <c r="AW755" s="228"/>
      <c r="AX755" s="292"/>
      <c r="AY755" s="261"/>
      <c r="AZ755" s="261"/>
      <c r="BA755" s="293"/>
      <c r="BB755" s="228"/>
      <c r="BC755" s="292"/>
      <c r="BD755" s="261"/>
      <c r="BE755" s="261"/>
      <c r="BF755" s="293"/>
      <c r="BG755" s="228"/>
      <c r="BH755" s="292"/>
      <c r="BI755" s="261"/>
      <c r="BJ755" s="261"/>
      <c r="BK755" s="293"/>
      <c r="BL755" s="228"/>
      <c r="BM755" s="292"/>
      <c r="BN755" s="261"/>
      <c r="BO755" s="261"/>
      <c r="BP755" s="293"/>
      <c r="BQ755" s="228"/>
      <c r="BR755" s="45"/>
      <c r="BS755" s="45"/>
      <c r="BT755" s="28"/>
      <c r="BU755" s="28"/>
      <c r="BV755" s="28"/>
      <c r="BW755" s="28"/>
      <c r="BX755" s="28"/>
      <c r="BY755" s="28"/>
      <c r="BZ755" s="28"/>
      <c r="CA755" s="28"/>
      <c r="CB755" s="28"/>
      <c r="CC755" s="28"/>
      <c r="CD755" s="28"/>
      <c r="CE755" s="28"/>
      <c r="CF755" s="28"/>
      <c r="CG755" s="28"/>
      <c r="CH755" s="28"/>
      <c r="CI755" s="28"/>
      <c r="CJ755" s="28"/>
      <c r="CK755" s="28"/>
      <c r="CL755" s="28"/>
      <c r="CM755" s="28"/>
      <c r="CN755" s="28"/>
      <c r="CO755" s="28"/>
      <c r="CP755" s="28"/>
      <c r="CQ755" s="28"/>
      <c r="CR755" s="28"/>
      <c r="CS755" s="28"/>
      <c r="CT755" s="820"/>
      <c r="CU755" s="28"/>
      <c r="CV755" s="28"/>
      <c r="CW755" s="28"/>
      <c r="CX755" s="28"/>
      <c r="CY755" s="28"/>
      <c r="CZ755" s="28"/>
      <c r="DA755" s="28"/>
      <c r="DB755" s="28"/>
      <c r="DC755" s="28"/>
      <c r="DD755" s="28"/>
      <c r="DE755" s="28"/>
      <c r="DF755" s="28"/>
      <c r="DG755" s="28"/>
      <c r="DH755" s="28"/>
      <c r="DI755" s="28"/>
      <c r="DJ755" s="28"/>
      <c r="DK755" s="28"/>
      <c r="DL755" s="28"/>
      <c r="DM755" s="28"/>
      <c r="DN755" s="28"/>
    </row>
    <row r="756" spans="1:118">
      <c r="A756" s="28"/>
      <c r="B756" s="73" t="s">
        <v>370</v>
      </c>
      <c r="C756" s="246"/>
      <c r="D756" s="15"/>
      <c r="E756" s="600"/>
      <c r="F756" s="251"/>
      <c r="G756" s="251"/>
      <c r="H756" s="601"/>
      <c r="I756" s="26"/>
      <c r="J756" s="600"/>
      <c r="K756" s="251"/>
      <c r="L756" s="251"/>
      <c r="M756" s="601"/>
      <c r="N756" s="26"/>
      <c r="O756" s="600"/>
      <c r="P756" s="251"/>
      <c r="Q756" s="251"/>
      <c r="R756" s="601"/>
      <c r="S756" s="26"/>
      <c r="T756" s="600"/>
      <c r="U756" s="251"/>
      <c r="V756" s="251"/>
      <c r="W756" s="601"/>
      <c r="X756" s="26"/>
      <c r="Y756" s="600"/>
      <c r="Z756" s="251"/>
      <c r="AA756" s="251"/>
      <c r="AB756" s="601"/>
      <c r="AC756" s="26"/>
      <c r="AD756" s="600"/>
      <c r="AE756" s="251"/>
      <c r="AF756" s="251"/>
      <c r="AG756" s="601"/>
      <c r="AH756" s="26"/>
      <c r="AI756" s="600"/>
      <c r="AJ756" s="251"/>
      <c r="AK756" s="251"/>
      <c r="AL756" s="601"/>
      <c r="AM756" s="26"/>
      <c r="AN756" s="600"/>
      <c r="AO756" s="251"/>
      <c r="AP756" s="251"/>
      <c r="AQ756" s="601"/>
      <c r="AR756" s="26"/>
      <c r="AS756" s="600"/>
      <c r="AT756" s="251"/>
      <c r="AU756" s="251"/>
      <c r="AV756" s="601"/>
      <c r="AW756" s="26"/>
      <c r="AX756" s="600"/>
      <c r="AY756" s="251"/>
      <c r="AZ756" s="251"/>
      <c r="BA756" s="601"/>
      <c r="BB756" s="26"/>
      <c r="BC756" s="600"/>
      <c r="BD756" s="251"/>
      <c r="BE756" s="251"/>
      <c r="BF756" s="601"/>
      <c r="BG756" s="26"/>
      <c r="BH756" s="600"/>
      <c r="BI756" s="251"/>
      <c r="BJ756" s="251"/>
      <c r="BK756" s="601"/>
      <c r="BL756" s="26"/>
      <c r="BM756" s="600"/>
      <c r="BN756" s="251"/>
      <c r="BO756" s="251"/>
      <c r="BP756" s="601"/>
      <c r="BQ756" s="26"/>
      <c r="BR756" s="228"/>
      <c r="BS756" s="228"/>
      <c r="BT756" s="28"/>
      <c r="BU756" s="28"/>
      <c r="BV756" s="28"/>
      <c r="BW756" s="28"/>
      <c r="BX756" s="28"/>
      <c r="BY756" s="28"/>
      <c r="BZ756" s="28"/>
      <c r="CA756" s="28"/>
      <c r="CB756" s="28"/>
      <c r="CC756" s="28"/>
      <c r="CD756" s="28"/>
      <c r="CE756" s="28"/>
      <c r="CF756" s="28"/>
      <c r="CG756" s="28"/>
      <c r="CH756" s="28"/>
      <c r="CI756" s="28"/>
      <c r="CJ756" s="28"/>
      <c r="CK756" s="28"/>
      <c r="CL756" s="28"/>
      <c r="CM756" s="28"/>
      <c r="CN756" s="28"/>
      <c r="CO756" s="28"/>
      <c r="CP756" s="28"/>
      <c r="CQ756" s="28"/>
      <c r="CR756" s="28"/>
      <c r="CS756" s="28"/>
      <c r="CT756" s="820"/>
      <c r="CU756" s="28"/>
      <c r="CV756" s="28"/>
      <c r="CW756" s="28"/>
      <c r="CX756" s="28"/>
      <c r="CY756" s="28"/>
      <c r="CZ756" s="28"/>
      <c r="DA756" s="28"/>
      <c r="DB756" s="28"/>
      <c r="DC756" s="28"/>
      <c r="DD756" s="28"/>
      <c r="DE756" s="28"/>
      <c r="DF756" s="28"/>
      <c r="DG756" s="28"/>
      <c r="DH756" s="28"/>
      <c r="DI756" s="28"/>
      <c r="DJ756" s="28"/>
      <c r="DK756" s="28"/>
      <c r="DL756" s="28"/>
      <c r="DM756" s="28"/>
      <c r="DN756" s="28"/>
    </row>
    <row r="757" spans="1:118">
      <c r="A757" s="28"/>
      <c r="B757" s="228"/>
      <c r="C757" s="641" t="s">
        <v>272</v>
      </c>
      <c r="D757" s="228"/>
      <c r="E757" s="292">
        <f t="shared" ref="E757:AB757" si="1061">+E12</f>
        <v>928</v>
      </c>
      <c r="F757" s="261">
        <f t="shared" si="1061"/>
        <v>689</v>
      </c>
      <c r="G757" s="261">
        <f t="shared" si="1061"/>
        <v>592</v>
      </c>
      <c r="H757" s="293">
        <f t="shared" si="1061"/>
        <v>729</v>
      </c>
      <c r="I757" s="228">
        <f t="shared" si="1061"/>
        <v>2938</v>
      </c>
      <c r="J757" s="292">
        <f t="shared" si="1061"/>
        <v>740</v>
      </c>
      <c r="K757" s="261">
        <f t="shared" si="1061"/>
        <v>691</v>
      </c>
      <c r="L757" s="261">
        <f t="shared" si="1061"/>
        <v>649</v>
      </c>
      <c r="M757" s="293">
        <f t="shared" si="1061"/>
        <v>732</v>
      </c>
      <c r="N757" s="228">
        <f t="shared" si="1061"/>
        <v>2812</v>
      </c>
      <c r="O757" s="292">
        <f t="shared" si="1061"/>
        <v>754</v>
      </c>
      <c r="P757" s="261">
        <f t="shared" si="1061"/>
        <v>763</v>
      </c>
      <c r="Q757" s="261">
        <f t="shared" si="1061"/>
        <v>790</v>
      </c>
      <c r="R757" s="293">
        <f t="shared" si="1061"/>
        <v>841</v>
      </c>
      <c r="S757" s="228">
        <f t="shared" si="1061"/>
        <v>3148</v>
      </c>
      <c r="T757" s="292">
        <f t="shared" si="1061"/>
        <v>1175</v>
      </c>
      <c r="U757" s="261">
        <f t="shared" si="1061"/>
        <v>1166</v>
      </c>
      <c r="V757" s="261">
        <f t="shared" si="1061"/>
        <v>1415</v>
      </c>
      <c r="W757" s="293">
        <f t="shared" si="1061"/>
        <v>1272</v>
      </c>
      <c r="X757" s="228">
        <f t="shared" si="1061"/>
        <v>5028</v>
      </c>
      <c r="Y757" s="292">
        <f t="shared" si="1061"/>
        <v>1112</v>
      </c>
      <c r="Z757" s="261">
        <f t="shared" si="1061"/>
        <v>1189</v>
      </c>
      <c r="AA757" s="261">
        <f t="shared" si="1061"/>
        <v>1076</v>
      </c>
      <c r="AB757" s="293">
        <f t="shared" si="1061"/>
        <v>1157</v>
      </c>
      <c r="AC757" s="228">
        <f>SUM(Y757:AB757)</f>
        <v>4534</v>
      </c>
      <c r="AD757" s="292">
        <f>+AD12</f>
        <v>1087</v>
      </c>
      <c r="AE757" s="261">
        <f>+AE12</f>
        <v>1413</v>
      </c>
      <c r="AF757" s="261">
        <f>+AF12</f>
        <v>1266</v>
      </c>
      <c r="AG757" s="293">
        <f>+AG12</f>
        <v>1800</v>
      </c>
      <c r="AH757" s="228">
        <f>SUM(AD757:AG757)</f>
        <v>5566</v>
      </c>
      <c r="AI757" s="292">
        <f>+AI12</f>
        <v>1311</v>
      </c>
      <c r="AJ757" s="261">
        <f>+AJ12</f>
        <v>1308</v>
      </c>
      <c r="AK757" s="261">
        <f>+AK12</f>
        <v>1241</v>
      </c>
      <c r="AL757" s="293">
        <f>+AL12</f>
        <v>1448</v>
      </c>
      <c r="AM757" s="228">
        <f>SUM(AI757:AL757)</f>
        <v>5308</v>
      </c>
      <c r="AN757" s="292">
        <f>+AN12</f>
        <v>1467</v>
      </c>
      <c r="AO757" s="261">
        <f>+AO12</f>
        <v>1530</v>
      </c>
      <c r="AP757" s="261">
        <f>+AP12</f>
        <v>1336</v>
      </c>
      <c r="AQ757" s="293">
        <f>+AQ12</f>
        <v>1308</v>
      </c>
      <c r="AR757" s="228">
        <f>SUM(AN757:AQ757)</f>
        <v>5641</v>
      </c>
      <c r="AS757" s="292">
        <f>+AS12</f>
        <v>1488</v>
      </c>
      <c r="AT757" s="261">
        <f>+AT12</f>
        <v>2010</v>
      </c>
      <c r="AU757" s="261">
        <f>+AU12</f>
        <v>1374</v>
      </c>
      <c r="AV757" s="293">
        <f>+AV12</f>
        <v>1419</v>
      </c>
      <c r="AW757" s="228">
        <f>SUM(AS757:AV757)</f>
        <v>6291</v>
      </c>
      <c r="AX757" s="292">
        <f>+AX758+AX759+AX760</f>
        <v>1031.25045</v>
      </c>
      <c r="AY757" s="261">
        <f>+AY758+AY759+AY760</f>
        <v>1193.20705</v>
      </c>
      <c r="AZ757" s="261">
        <f>+AZ758+AZ759+AZ760</f>
        <v>1031.25045</v>
      </c>
      <c r="BA757" s="293">
        <f>+BA758+BA759+BA760</f>
        <v>1193.20705</v>
      </c>
      <c r="BB757" s="228">
        <f>+SUM(AX757:BA757)</f>
        <v>4448.915</v>
      </c>
      <c r="BC757" s="292">
        <f>+BC758+BC759+BC760</f>
        <v>990.27543019999996</v>
      </c>
      <c r="BD757" s="261">
        <f>+BD758+BD759+BD760</f>
        <v>1145.1059398</v>
      </c>
      <c r="BE757" s="261">
        <f>+BE758+BE759+BE760</f>
        <v>990.27543019999996</v>
      </c>
      <c r="BF757" s="293">
        <f>+BF758+BF759+BF760</f>
        <v>1145.1059398</v>
      </c>
      <c r="BG757" s="228">
        <f>+SUM(BC757:BF757)</f>
        <v>4270.7627400000001</v>
      </c>
      <c r="BH757" s="292">
        <f>+BH758+BH759+BH760</f>
        <v>984.06157417719987</v>
      </c>
      <c r="BI757" s="261">
        <f>+BI758+BI759+BI760</f>
        <v>1136.7244566427999</v>
      </c>
      <c r="BJ757" s="261">
        <f>+BJ758+BJ759+BJ760</f>
        <v>984.06157417719987</v>
      </c>
      <c r="BK757" s="293">
        <f>+BK758+BK759+BK760</f>
        <v>1136.7244566427999</v>
      </c>
      <c r="BL757" s="228">
        <f>+SUM(BH757:BK757)</f>
        <v>4241.5720616399994</v>
      </c>
      <c r="BM757" s="292">
        <f>+BM758+BM759+BM760</f>
        <v>989.32844362226308</v>
      </c>
      <c r="BN757" s="261">
        <f>+BN758+BN759+BN760</f>
        <v>1142.9073033826567</v>
      </c>
      <c r="BO757" s="261">
        <f>+BO758+BO759+BO760</f>
        <v>989.32844362226308</v>
      </c>
      <c r="BP757" s="293">
        <f>+BP758+BP759+BP760</f>
        <v>1142.9073033826567</v>
      </c>
      <c r="BQ757" s="228">
        <f>+SUM(BM757:BP757)</f>
        <v>4264.4714940098393</v>
      </c>
      <c r="BR757" s="45"/>
      <c r="BS757" s="2161"/>
      <c r="BT757" s="28"/>
      <c r="BU757" s="28"/>
      <c r="BV757" s="28"/>
      <c r="BW757" s="28"/>
      <c r="BX757" s="28"/>
      <c r="BY757" s="28"/>
      <c r="BZ757" s="28"/>
      <c r="CA757" s="28"/>
      <c r="CB757" s="28"/>
      <c r="CC757" s="28"/>
      <c r="CD757" s="28"/>
      <c r="CE757" s="28"/>
      <c r="CF757" s="28"/>
      <c r="CG757" s="28"/>
      <c r="CH757" s="28"/>
      <c r="CI757" s="28"/>
      <c r="CJ757" s="28"/>
      <c r="CK757" s="28"/>
      <c r="CL757" s="28"/>
      <c r="CM757" s="28"/>
      <c r="CN757" s="28"/>
      <c r="CO757" s="28"/>
      <c r="CP757" s="28"/>
      <c r="CQ757" s="28"/>
      <c r="CR757" s="28"/>
      <c r="CS757" s="28"/>
      <c r="CT757" s="820"/>
      <c r="CU757" s="28"/>
      <c r="CV757" s="28"/>
      <c r="CW757" s="28"/>
      <c r="CX757" s="28"/>
      <c r="CY757" s="28"/>
      <c r="CZ757" s="28"/>
      <c r="DA757" s="28"/>
      <c r="DB757" s="28"/>
      <c r="DC757" s="28"/>
      <c r="DD757" s="28"/>
      <c r="DE757" s="28"/>
      <c r="DF757" s="28"/>
      <c r="DG757" s="28"/>
      <c r="DH757" s="28"/>
      <c r="DI757" s="28"/>
      <c r="DJ757" s="28"/>
      <c r="DK757" s="28"/>
      <c r="DL757" s="28"/>
      <c r="DM757" s="28"/>
      <c r="DN757" s="28"/>
    </row>
    <row r="758" spans="1:118">
      <c r="A758" s="28"/>
      <c r="B758" s="45"/>
      <c r="C758" s="383" t="s">
        <v>608</v>
      </c>
      <c r="D758" s="45"/>
      <c r="E758" s="306">
        <v>0</v>
      </c>
      <c r="F758" s="266">
        <v>0</v>
      </c>
      <c r="G758" s="266">
        <v>0</v>
      </c>
      <c r="H758" s="307">
        <v>0</v>
      </c>
      <c r="I758" s="45"/>
      <c r="J758" s="306">
        <v>0</v>
      </c>
      <c r="K758" s="266">
        <v>0</v>
      </c>
      <c r="L758" s="663">
        <v>0</v>
      </c>
      <c r="M758" s="307">
        <v>0</v>
      </c>
      <c r="N758" s="45">
        <f>SUM(J758:M758)</f>
        <v>0</v>
      </c>
      <c r="O758" s="306">
        <v>0</v>
      </c>
      <c r="P758" s="266">
        <v>0</v>
      </c>
      <c r="Q758" s="266">
        <v>0</v>
      </c>
      <c r="R758" s="307">
        <v>0</v>
      </c>
      <c r="S758" s="45">
        <f>SUM(O758:R758)</f>
        <v>0</v>
      </c>
      <c r="T758" s="306">
        <f>195+73+35+23</f>
        <v>326</v>
      </c>
      <c r="U758" s="266">
        <f>40+79</f>
        <v>119</v>
      </c>
      <c r="V758" s="266">
        <f>278+20+60</f>
        <v>358</v>
      </c>
      <c r="W758" s="291">
        <f>X758-SUM(T758:V758)</f>
        <v>62</v>
      </c>
      <c r="X758" s="1963">
        <f>278+195+182+175+35</f>
        <v>865</v>
      </c>
      <c r="Y758" s="814">
        <v>40</v>
      </c>
      <c r="Z758" s="262">
        <v>113</v>
      </c>
      <c r="AA758" s="262">
        <v>93</v>
      </c>
      <c r="AB758" s="291">
        <f>+AC758-SUM(Y758:AA758)</f>
        <v>39</v>
      </c>
      <c r="AC758" s="1963">
        <v>285</v>
      </c>
      <c r="AD758" s="814">
        <v>14</v>
      </c>
      <c r="AE758" s="266">
        <f>101+126+61</f>
        <v>288</v>
      </c>
      <c r="AF758" s="266">
        <f>99+152</f>
        <v>251</v>
      </c>
      <c r="AG758" s="291">
        <f>+AH758-SUM(AD758:AF758)</f>
        <v>795</v>
      </c>
      <c r="AH758" s="1963">
        <f>78+361+809+100</f>
        <v>1348</v>
      </c>
      <c r="AI758" s="814">
        <f>AM758/4</f>
        <v>158.25</v>
      </c>
      <c r="AJ758" s="266">
        <f>AM758/4</f>
        <v>158.25</v>
      </c>
      <c r="AK758" s="1444">
        <f>AM758/4</f>
        <v>158.25</v>
      </c>
      <c r="AL758" s="2132">
        <f>+AM758-AI758-AJ758-AK758</f>
        <v>158.25</v>
      </c>
      <c r="AM758" s="2111">
        <f>AM757-4675</f>
        <v>633</v>
      </c>
      <c r="AN758" s="814">
        <f>AR758/4</f>
        <v>0</v>
      </c>
      <c r="AO758" s="266">
        <f>AR758/4</f>
        <v>0</v>
      </c>
      <c r="AP758" s="1444">
        <f>AR758/4</f>
        <v>0</v>
      </c>
      <c r="AQ758" s="307">
        <f>+AR758-AN758-AO758-AP758</f>
        <v>0</v>
      </c>
      <c r="AR758" s="2056">
        <v>0</v>
      </c>
      <c r="AS758" s="814">
        <f>562-516</f>
        <v>46</v>
      </c>
      <c r="AT758" s="266">
        <f>516</f>
        <v>516</v>
      </c>
      <c r="AU758" s="266">
        <v>68</v>
      </c>
      <c r="AV758" s="307">
        <f>100+(450-288)+125</f>
        <v>387</v>
      </c>
      <c r="AW758" s="2309">
        <f>+SUM(AS758:AV758)</f>
        <v>1017</v>
      </c>
      <c r="AX758" s="306">
        <f>BB758/4</f>
        <v>0</v>
      </c>
      <c r="AY758" s="266">
        <f>BB758/4</f>
        <v>0</v>
      </c>
      <c r="AZ758" s="266">
        <f>BB758/4</f>
        <v>0</v>
      </c>
      <c r="BA758" s="307">
        <f>+BB758-AX758-AY758-AZ758</f>
        <v>0</v>
      </c>
      <c r="BB758" s="2032">
        <v>0</v>
      </c>
      <c r="BC758" s="306">
        <f>BG758/4</f>
        <v>0</v>
      </c>
      <c r="BD758" s="266">
        <f>BG758/4</f>
        <v>0</v>
      </c>
      <c r="BE758" s="266">
        <f>BG758/4</f>
        <v>0</v>
      </c>
      <c r="BF758" s="307">
        <f>+BG758-BC758-BD758-BE758</f>
        <v>0</v>
      </c>
      <c r="BG758" s="2032">
        <v>0</v>
      </c>
      <c r="BH758" s="306">
        <f>BL758/4</f>
        <v>0</v>
      </c>
      <c r="BI758" s="266">
        <f>BL758/4</f>
        <v>0</v>
      </c>
      <c r="BJ758" s="266">
        <f>BL758/4</f>
        <v>0</v>
      </c>
      <c r="BK758" s="307">
        <f>+BL758-BH758-BI758-BJ758</f>
        <v>0</v>
      </c>
      <c r="BL758" s="2032">
        <v>0</v>
      </c>
      <c r="BM758" s="306">
        <f>BQ758/4</f>
        <v>0</v>
      </c>
      <c r="BN758" s="266">
        <f>BQ758/4</f>
        <v>0</v>
      </c>
      <c r="BO758" s="266">
        <f>BQ758/4</f>
        <v>0</v>
      </c>
      <c r="BP758" s="307">
        <f>+BQ758-BM758-BN758-BO758</f>
        <v>0</v>
      </c>
      <c r="BQ758" s="2032">
        <v>0</v>
      </c>
      <c r="BR758" s="45"/>
      <c r="BS758" s="1038"/>
      <c r="BT758" s="28"/>
      <c r="BU758" s="28"/>
      <c r="BV758" s="28"/>
      <c r="BW758" s="28"/>
      <c r="BX758" s="28"/>
      <c r="BY758" s="28"/>
      <c r="BZ758" s="28"/>
      <c r="CA758" s="28"/>
      <c r="CB758" s="28"/>
      <c r="CC758" s="28"/>
      <c r="CD758" s="28"/>
      <c r="CE758" s="28"/>
      <c r="CF758" s="28"/>
      <c r="CG758" s="28"/>
      <c r="CH758" s="28"/>
      <c r="CI758" s="28"/>
      <c r="CJ758" s="28"/>
      <c r="CK758" s="28"/>
      <c r="CL758" s="28"/>
      <c r="CM758" s="28"/>
      <c r="CN758" s="28"/>
      <c r="CO758" s="28"/>
      <c r="CP758" s="28"/>
      <c r="CQ758" s="28"/>
      <c r="CR758" s="28"/>
      <c r="CS758" s="28"/>
      <c r="CT758" s="820"/>
      <c r="CU758" s="28"/>
      <c r="CV758" s="28"/>
      <c r="CW758" s="28"/>
      <c r="CX758" s="28"/>
      <c r="CY758" s="28"/>
      <c r="CZ758" s="28"/>
      <c r="DA758" s="28"/>
      <c r="DB758" s="28"/>
      <c r="DC758" s="28"/>
      <c r="DD758" s="28"/>
      <c r="DE758" s="28"/>
      <c r="DF758" s="28"/>
      <c r="DG758" s="28"/>
      <c r="DH758" s="28"/>
      <c r="DI758" s="28"/>
      <c r="DJ758" s="28"/>
      <c r="DK758" s="28"/>
      <c r="DL758" s="28"/>
      <c r="DM758" s="28"/>
      <c r="DN758" s="28"/>
    </row>
    <row r="759" spans="1:118">
      <c r="A759" s="228"/>
      <c r="B759" s="45"/>
      <c r="C759" s="383" t="s">
        <v>1026</v>
      </c>
      <c r="D759" s="45"/>
      <c r="E759" s="306"/>
      <c r="F759" s="266"/>
      <c r="G759" s="266"/>
      <c r="H759" s="307"/>
      <c r="I759" s="45"/>
      <c r="J759" s="306"/>
      <c r="K759" s="266"/>
      <c r="L759" s="663"/>
      <c r="M759" s="307"/>
      <c r="N759" s="45"/>
      <c r="O759" s="306"/>
      <c r="P759" s="266"/>
      <c r="Q759" s="266"/>
      <c r="R759" s="307"/>
      <c r="S759" s="45"/>
      <c r="T759" s="306">
        <v>0</v>
      </c>
      <c r="U759" s="266">
        <v>0</v>
      </c>
      <c r="V759" s="266"/>
      <c r="W759" s="307"/>
      <c r="X759" s="45">
        <f>SUM(T759:W759)</f>
        <v>0</v>
      </c>
      <c r="Y759" s="814">
        <f>425/4</f>
        <v>106.25</v>
      </c>
      <c r="Z759" s="262">
        <f>425/4</f>
        <v>106.25</v>
      </c>
      <c r="AA759" s="262">
        <f>425/4</f>
        <v>106.25</v>
      </c>
      <c r="AB759" s="294">
        <f>425/4</f>
        <v>106.25</v>
      </c>
      <c r="AC759" s="45">
        <f>SUM(Y759:AB759)</f>
        <v>425</v>
      </c>
      <c r="AD759" s="814">
        <f>450/4</f>
        <v>112.5</v>
      </c>
      <c r="AE759" s="266">
        <f>450/4</f>
        <v>112.5</v>
      </c>
      <c r="AF759" s="266">
        <f>450/4</f>
        <v>112.5</v>
      </c>
      <c r="AG759" s="294">
        <f>450/4</f>
        <v>112.5</v>
      </c>
      <c r="AH759" s="45">
        <f>SUM(AD759:AG759)</f>
        <v>450</v>
      </c>
      <c r="AI759" s="814">
        <f>425/4</f>
        <v>106.25</v>
      </c>
      <c r="AJ759" s="266">
        <f t="shared" ref="AJ759:AL759" si="1062">425/4</f>
        <v>106.25</v>
      </c>
      <c r="AK759" s="266">
        <f t="shared" si="1062"/>
        <v>106.25</v>
      </c>
      <c r="AL759" s="294">
        <f t="shared" si="1062"/>
        <v>106.25</v>
      </c>
      <c r="AM759" s="45">
        <f>SUM(AI759:AL759)</f>
        <v>425</v>
      </c>
      <c r="AN759" s="814">
        <f>425/4</f>
        <v>106.25</v>
      </c>
      <c r="AO759" s="266">
        <f t="shared" ref="AO759:AQ759" si="1063">425/4</f>
        <v>106.25</v>
      </c>
      <c r="AP759" s="266">
        <f t="shared" si="1063"/>
        <v>106.25</v>
      </c>
      <c r="AQ759" s="294">
        <f t="shared" si="1063"/>
        <v>106.25</v>
      </c>
      <c r="AR759" s="45">
        <f>SUM(AN759:AQ759)</f>
        <v>425</v>
      </c>
      <c r="AS759" s="814">
        <f>425/4</f>
        <v>106.25</v>
      </c>
      <c r="AT759" s="266">
        <f t="shared" ref="AT759:AV759" si="1064">425/4</f>
        <v>106.25</v>
      </c>
      <c r="AU759" s="266">
        <f t="shared" si="1064"/>
        <v>106.25</v>
      </c>
      <c r="AV759" s="294">
        <f t="shared" si="1064"/>
        <v>106.25</v>
      </c>
      <c r="AW759" s="45">
        <v>425</v>
      </c>
      <c r="AX759" s="814">
        <f>BB759/4</f>
        <v>100</v>
      </c>
      <c r="AY759" s="266">
        <f>BB759/4</f>
        <v>100</v>
      </c>
      <c r="AZ759" s="266">
        <f>BB759/4</f>
        <v>100</v>
      </c>
      <c r="BA759" s="294">
        <f>BB759/4</f>
        <v>100</v>
      </c>
      <c r="BB759" s="2032">
        <v>400</v>
      </c>
      <c r="BC759" s="814">
        <f>BG759/4</f>
        <v>100</v>
      </c>
      <c r="BD759" s="266">
        <f>BG759/4</f>
        <v>100</v>
      </c>
      <c r="BE759" s="266">
        <f>BG759/4</f>
        <v>100</v>
      </c>
      <c r="BF759" s="294">
        <f>BG759/4</f>
        <v>100</v>
      </c>
      <c r="BG759" s="2032">
        <v>400</v>
      </c>
      <c r="BH759" s="814">
        <f>BL759/4</f>
        <v>106.25</v>
      </c>
      <c r="BI759" s="266">
        <f>BL759/4</f>
        <v>106.25</v>
      </c>
      <c r="BJ759" s="266">
        <f>BL759/4</f>
        <v>106.25</v>
      </c>
      <c r="BK759" s="294">
        <f>BL759/4</f>
        <v>106.25</v>
      </c>
      <c r="BL759" s="2032">
        <v>425</v>
      </c>
      <c r="BM759" s="300">
        <f>BQ759/4</f>
        <v>106.25</v>
      </c>
      <c r="BN759" s="264">
        <f>BQ759/4</f>
        <v>106.25</v>
      </c>
      <c r="BO759" s="264">
        <f>BQ759/4</f>
        <v>106.25</v>
      </c>
      <c r="BP759" s="299">
        <f>BQ759/4</f>
        <v>106.25</v>
      </c>
      <c r="BQ759" s="2032">
        <v>425</v>
      </c>
      <c r="BR759" s="45"/>
      <c r="BS759" s="45"/>
      <c r="BT759" s="228"/>
      <c r="BU759" s="28"/>
      <c r="BV759" s="28"/>
      <c r="BW759" s="28"/>
      <c r="BX759" s="28"/>
      <c r="BY759" s="28"/>
      <c r="BZ759" s="28"/>
      <c r="CA759" s="28"/>
      <c r="CB759" s="28"/>
      <c r="CC759" s="28"/>
      <c r="CD759" s="28"/>
      <c r="CE759" s="28"/>
      <c r="CF759" s="28"/>
      <c r="CG759" s="228"/>
      <c r="CH759" s="228"/>
      <c r="CI759" s="228"/>
      <c r="CJ759" s="228"/>
      <c r="CK759" s="228"/>
      <c r="CL759" s="228"/>
      <c r="CM759" s="228"/>
      <c r="CN759" s="228"/>
      <c r="CO759" s="228"/>
      <c r="CP759" s="228"/>
      <c r="CQ759" s="228"/>
      <c r="CR759" s="228"/>
      <c r="CS759" s="228"/>
      <c r="CT759" s="824"/>
      <c r="CU759" s="228"/>
      <c r="CV759" s="228"/>
      <c r="CW759" s="228"/>
      <c r="CX759" s="228"/>
      <c r="CY759" s="228"/>
      <c r="CZ759" s="228"/>
      <c r="DA759" s="228"/>
      <c r="DB759" s="228"/>
      <c r="DC759" s="228"/>
      <c r="DD759" s="228"/>
      <c r="DE759" s="228"/>
      <c r="DF759" s="228"/>
      <c r="DG759" s="228"/>
      <c r="DH759" s="228"/>
      <c r="DI759" s="228"/>
      <c r="DJ759" s="228"/>
      <c r="DK759" s="228"/>
      <c r="DL759" s="228"/>
      <c r="DM759" s="228"/>
      <c r="DN759" s="228"/>
    </row>
    <row r="760" spans="1:118">
      <c r="A760" s="383"/>
      <c r="B760" s="45"/>
      <c r="C760" s="383" t="s">
        <v>609</v>
      </c>
      <c r="D760" s="45"/>
      <c r="E760" s="290">
        <f>+E757-E758</f>
        <v>928</v>
      </c>
      <c r="F760" s="260">
        <f>+F757-F758</f>
        <v>689</v>
      </c>
      <c r="G760" s="260">
        <f>+G757-G758</f>
        <v>592</v>
      </c>
      <c r="H760" s="291">
        <f>+H757-H758</f>
        <v>729</v>
      </c>
      <c r="I760" s="45">
        <f>+SUM(E760:H760)</f>
        <v>2938</v>
      </c>
      <c r="J760" s="290">
        <f>+J757-J758</f>
        <v>740</v>
      </c>
      <c r="K760" s="260">
        <f>+K757-K758</f>
        <v>691</v>
      </c>
      <c r="L760" s="260">
        <f>+L757-L758</f>
        <v>649</v>
      </c>
      <c r="M760" s="291">
        <f>+M757-M758</f>
        <v>732</v>
      </c>
      <c r="N760" s="45">
        <f>+SUM(J760:M760)</f>
        <v>2812</v>
      </c>
      <c r="O760" s="290">
        <f>+O757-O758</f>
        <v>754</v>
      </c>
      <c r="P760" s="260">
        <f>+P757-P758</f>
        <v>763</v>
      </c>
      <c r="Q760" s="260">
        <f>+Q757-Q758</f>
        <v>790</v>
      </c>
      <c r="R760" s="291">
        <f>+R757-R758</f>
        <v>841</v>
      </c>
      <c r="S760" s="45">
        <f>+SUM(O760:R760)</f>
        <v>3148</v>
      </c>
      <c r="T760" s="290">
        <f>+T757-T758</f>
        <v>849</v>
      </c>
      <c r="U760" s="260">
        <f>+U757-U758</f>
        <v>1047</v>
      </c>
      <c r="V760" s="260">
        <f>+V757-V758</f>
        <v>1057</v>
      </c>
      <c r="W760" s="291">
        <f>+W757-W758</f>
        <v>1210</v>
      </c>
      <c r="X760" s="45">
        <f>+SUM(T760:W760)</f>
        <v>4163</v>
      </c>
      <c r="Y760" s="290">
        <f>+Y757-Y758</f>
        <v>1072</v>
      </c>
      <c r="Z760" s="260">
        <f>+Z757-Z758</f>
        <v>1076</v>
      </c>
      <c r="AA760" s="260">
        <f>+AA757-AA758</f>
        <v>983</v>
      </c>
      <c r="AB760" s="291">
        <f>+AB757-AB758</f>
        <v>1118</v>
      </c>
      <c r="AC760" s="45">
        <f>+SUM(Y760:AB760)</f>
        <v>4249</v>
      </c>
      <c r="AD760" s="290">
        <f t="shared" ref="AD760:AG760" si="1065">+AD757-AD758-AD759</f>
        <v>960.5</v>
      </c>
      <c r="AE760" s="260">
        <f t="shared" si="1065"/>
        <v>1012.5</v>
      </c>
      <c r="AF760" s="260">
        <f t="shared" si="1065"/>
        <v>902.5</v>
      </c>
      <c r="AG760" s="291">
        <f t="shared" si="1065"/>
        <v>892.5</v>
      </c>
      <c r="AH760" s="45">
        <f t="shared" ref="AH760:AP760" si="1066">+AH757-AH758-AH759</f>
        <v>3768</v>
      </c>
      <c r="AI760" s="290">
        <f t="shared" si="1066"/>
        <v>1046.5</v>
      </c>
      <c r="AJ760" s="260">
        <f t="shared" si="1066"/>
        <v>1043.5</v>
      </c>
      <c r="AK760" s="260">
        <f t="shared" si="1066"/>
        <v>976.5</v>
      </c>
      <c r="AL760" s="291">
        <f t="shared" si="1066"/>
        <v>1183.5</v>
      </c>
      <c r="AM760" s="45">
        <f t="shared" ref="AM760:AS760" si="1067">+AM757-AM758-AM759</f>
        <v>4250</v>
      </c>
      <c r="AN760" s="290">
        <f t="shared" si="1066"/>
        <v>1360.75</v>
      </c>
      <c r="AO760" s="260">
        <f t="shared" si="1066"/>
        <v>1423.75</v>
      </c>
      <c r="AP760" s="260">
        <f t="shared" si="1066"/>
        <v>1229.75</v>
      </c>
      <c r="AQ760" s="291">
        <f>+AQ757-AQ758-AQ759</f>
        <v>1201.75</v>
      </c>
      <c r="AR760" s="45">
        <f t="shared" si="1067"/>
        <v>5216</v>
      </c>
      <c r="AS760" s="290">
        <f t="shared" si="1067"/>
        <v>1335.75</v>
      </c>
      <c r="AT760" s="260">
        <f t="shared" ref="AT760:AU760" si="1068">+AT757-AT758-AT759</f>
        <v>1387.75</v>
      </c>
      <c r="AU760" s="260">
        <f t="shared" si="1068"/>
        <v>1199.75</v>
      </c>
      <c r="AV760" s="291">
        <f>+AV757-AV758-AV759</f>
        <v>925.75</v>
      </c>
      <c r="AW760" s="45">
        <f t="shared" ref="AW760" si="1069">+AW757-AW758-AW759</f>
        <v>4849</v>
      </c>
      <c r="AX760" s="290">
        <f>+BB760*0.23</f>
        <v>931.25045</v>
      </c>
      <c r="AY760" s="260">
        <f>+BB760*0.27</f>
        <v>1093.20705</v>
      </c>
      <c r="AZ760" s="260">
        <f>+BB760*0.23</f>
        <v>931.25045</v>
      </c>
      <c r="BA760" s="291">
        <f>+BB760*0.27</f>
        <v>1093.20705</v>
      </c>
      <c r="BB760" s="45">
        <f>+AW760*(1+BB761)</f>
        <v>4048.915</v>
      </c>
      <c r="BC760" s="290">
        <f>+BG760*0.23</f>
        <v>890.27543019999996</v>
      </c>
      <c r="BD760" s="260">
        <f>+BG760*0.27</f>
        <v>1045.1059398</v>
      </c>
      <c r="BE760" s="260">
        <f>+BG760*0.23</f>
        <v>890.27543019999996</v>
      </c>
      <c r="BF760" s="291">
        <f>+BG760*0.27</f>
        <v>1045.1059398</v>
      </c>
      <c r="BG760" s="45">
        <f>+BB760*(1+BG761)</f>
        <v>3870.7627399999997</v>
      </c>
      <c r="BH760" s="290">
        <f>+BL760*0.23</f>
        <v>877.81157417719987</v>
      </c>
      <c r="BI760" s="260">
        <f>+BL760*0.27</f>
        <v>1030.4744566427999</v>
      </c>
      <c r="BJ760" s="260">
        <f>+BL760*0.23</f>
        <v>877.81157417719987</v>
      </c>
      <c r="BK760" s="291">
        <f>+BL760*0.27</f>
        <v>1030.4744566427999</v>
      </c>
      <c r="BL760" s="45">
        <f>+BG760*(1+BL761)</f>
        <v>3816.5720616399994</v>
      </c>
      <c r="BM760" s="290">
        <f>+BQ760*0.23</f>
        <v>883.07844362226308</v>
      </c>
      <c r="BN760" s="260">
        <f>+BQ760*0.27</f>
        <v>1036.6573033826567</v>
      </c>
      <c r="BO760" s="260">
        <f>+BQ760*0.23</f>
        <v>883.07844362226308</v>
      </c>
      <c r="BP760" s="291">
        <f>+BQ760*0.27</f>
        <v>1036.6573033826567</v>
      </c>
      <c r="BQ760" s="45">
        <f>+BL760*(1+BQ761)</f>
        <v>3839.4714940098393</v>
      </c>
      <c r="BR760" s="45"/>
      <c r="BS760" s="228"/>
      <c r="BT760" s="383"/>
      <c r="BU760" s="28"/>
      <c r="BV760" s="28"/>
      <c r="BW760" s="28"/>
      <c r="BX760" s="28"/>
      <c r="BY760" s="28"/>
      <c r="BZ760" s="28"/>
      <c r="CA760" s="28"/>
      <c r="CB760" s="28"/>
      <c r="CC760" s="28"/>
      <c r="CD760" s="28"/>
      <c r="CE760" s="28"/>
      <c r="CF760" s="28"/>
      <c r="CG760" s="383"/>
      <c r="CH760" s="383"/>
      <c r="CI760" s="383"/>
      <c r="CJ760" s="383"/>
      <c r="CK760" s="383"/>
      <c r="CL760" s="383"/>
      <c r="CM760" s="383"/>
      <c r="CN760" s="383"/>
      <c r="CO760" s="383"/>
      <c r="CP760" s="383"/>
      <c r="CQ760" s="383"/>
      <c r="CT760" s="833"/>
      <c r="CU760" s="383"/>
      <c r="CV760" s="383"/>
      <c r="CW760" s="383"/>
      <c r="CX760" s="383"/>
      <c r="CY760" s="383"/>
      <c r="CZ760" s="383"/>
      <c r="DA760" s="383"/>
      <c r="DB760" s="383"/>
      <c r="DC760" s="383"/>
      <c r="DD760" s="383"/>
      <c r="DE760" s="383"/>
      <c r="DF760" s="383"/>
      <c r="DG760" s="383"/>
      <c r="DH760" s="383"/>
      <c r="DI760" s="383"/>
      <c r="DJ760" s="383"/>
      <c r="DK760" s="383"/>
      <c r="DL760" s="383"/>
      <c r="DM760" s="383"/>
      <c r="DN760" s="383"/>
    </row>
    <row r="761" spans="1:118">
      <c r="A761" s="383"/>
      <c r="B761" s="28"/>
      <c r="C761" s="384" t="s">
        <v>255</v>
      </c>
      <c r="D761" s="223"/>
      <c r="E761" s="643"/>
      <c r="F761" s="382"/>
      <c r="G761" s="382"/>
      <c r="H761" s="644"/>
      <c r="I761" s="222"/>
      <c r="J761" s="275">
        <f t="shared" ref="J761:R761" si="1070">+J760/E760-1</f>
        <v>-0.20258620689655171</v>
      </c>
      <c r="K761" s="252">
        <f t="shared" si="1070"/>
        <v>2.9027576197386828E-3</v>
      </c>
      <c r="L761" s="252">
        <f t="shared" si="1070"/>
        <v>9.6283783783783772E-2</v>
      </c>
      <c r="M761" s="276">
        <f t="shared" si="1070"/>
        <v>4.115226337448652E-3</v>
      </c>
      <c r="N761" s="375">
        <f t="shared" si="1070"/>
        <v>-4.288631722260039E-2</v>
      </c>
      <c r="O761" s="376">
        <f t="shared" si="1070"/>
        <v>1.8918918918918948E-2</v>
      </c>
      <c r="P761" s="377">
        <f t="shared" si="1070"/>
        <v>0.10419681620839372</v>
      </c>
      <c r="Q761" s="377">
        <f t="shared" si="1070"/>
        <v>0.21725731895223421</v>
      </c>
      <c r="R761" s="378">
        <f t="shared" si="1070"/>
        <v>0.14890710382513661</v>
      </c>
      <c r="S761" s="375">
        <f t="shared" ref="S761:AA761" si="1071">+S760/N760-1</f>
        <v>0.11948790896159323</v>
      </c>
      <c r="T761" s="376">
        <f t="shared" si="1071"/>
        <v>0.12599469496021221</v>
      </c>
      <c r="U761" s="377">
        <f t="shared" si="1071"/>
        <v>0.37221494102228037</v>
      </c>
      <c r="V761" s="377">
        <f t="shared" si="1071"/>
        <v>0.33797468354430382</v>
      </c>
      <c r="W761" s="378">
        <f t="shared" si="1071"/>
        <v>0.43876337693222345</v>
      </c>
      <c r="X761" s="375">
        <f t="shared" si="1071"/>
        <v>0.32242693773824649</v>
      </c>
      <c r="Y761" s="376">
        <f t="shared" si="1071"/>
        <v>0.26266195524146063</v>
      </c>
      <c r="Z761" s="377">
        <f t="shared" si="1071"/>
        <v>2.7698185291308519E-2</v>
      </c>
      <c r="AA761" s="377">
        <f t="shared" si="1071"/>
        <v>-7.0009460737937568E-2</v>
      </c>
      <c r="AB761" s="378">
        <f t="shared" ref="AB761:AF761" si="1072">+AB760/W760-1</f>
        <v>-7.6033057851239705E-2</v>
      </c>
      <c r="AC761" s="375">
        <f t="shared" si="1072"/>
        <v>2.065817919769386E-2</v>
      </c>
      <c r="AD761" s="376">
        <f t="shared" si="1072"/>
        <v>-0.10401119402985071</v>
      </c>
      <c r="AE761" s="377">
        <f t="shared" si="1072"/>
        <v>-5.9014869888475818E-2</v>
      </c>
      <c r="AF761" s="252">
        <f t="shared" si="1072"/>
        <v>-8.1892166836215696E-2</v>
      </c>
      <c r="AG761" s="378">
        <f t="shared" ref="AG761" si="1073">+AG760/AB760-1</f>
        <v>-0.20169946332737032</v>
      </c>
      <c r="AH761" s="375">
        <f t="shared" ref="AH761" si="1074">+AH760/AC760-1</f>
        <v>-0.11320310661332078</v>
      </c>
      <c r="AI761" s="376">
        <f t="shared" ref="AI761" si="1075">+AI760/AD760-1</f>
        <v>8.9536699635606398E-2</v>
      </c>
      <c r="AJ761" s="377">
        <f t="shared" ref="AJ761" si="1076">+AJ760/AE760-1</f>
        <v>3.0617283950617358E-2</v>
      </c>
      <c r="AK761" s="252">
        <f t="shared" ref="AK761" si="1077">+AK760/AF760-1</f>
        <v>8.1994459833794942E-2</v>
      </c>
      <c r="AL761" s="378">
        <f t="shared" ref="AL761" si="1078">+AL760/AG760-1</f>
        <v>0.32605042016806718</v>
      </c>
      <c r="AM761" s="375">
        <f t="shared" ref="AM761:AP761" si="1079">+AM760/AH760-1</f>
        <v>0.12791932059447975</v>
      </c>
      <c r="AN761" s="376">
        <f t="shared" si="1079"/>
        <v>0.30028666985188734</v>
      </c>
      <c r="AO761" s="377">
        <f t="shared" si="1079"/>
        <v>0.36439865836128416</v>
      </c>
      <c r="AP761" s="252">
        <f t="shared" si="1079"/>
        <v>0.25934459805427545</v>
      </c>
      <c r="AQ761" s="378">
        <f t="shared" ref="AQ761" si="1080">+AQ760/AL760-1</f>
        <v>1.5420363329108566E-2</v>
      </c>
      <c r="AR761" s="375">
        <f t="shared" ref="AR761:AS761" si="1081">+AR760/AM760-1</f>
        <v>0.22729411764705887</v>
      </c>
      <c r="AS761" s="376">
        <f t="shared" si="1081"/>
        <v>-1.8372221201543248E-2</v>
      </c>
      <c r="AT761" s="377">
        <f t="shared" ref="AT761:AU761" si="1082">+AT760/AO760-1</f>
        <v>-2.5285338015803349E-2</v>
      </c>
      <c r="AU761" s="377">
        <f t="shared" si="1082"/>
        <v>-2.4395202276885519E-2</v>
      </c>
      <c r="AV761" s="276">
        <f t="shared" ref="AV761" si="1083">+AV760/AQ760-1</f>
        <v>-0.22966507177033491</v>
      </c>
      <c r="AW761" s="375">
        <f t="shared" ref="AW761" si="1084">+AW760/AR760-1</f>
        <v>-7.0360429447852813E-2</v>
      </c>
      <c r="AX761" s="275">
        <f>+AX760/AS760-1</f>
        <v>-0.30282579075425786</v>
      </c>
      <c r="AY761" s="252">
        <f>+AY760/AT760-1</f>
        <v>-0.21224496487119437</v>
      </c>
      <c r="AZ761" s="252">
        <f>+AZ760/AU760-1</f>
        <v>-0.22379624921858721</v>
      </c>
      <c r="BA761" s="276">
        <f>+BA760/AV760-1</f>
        <v>0.18088798271671624</v>
      </c>
      <c r="BB761" s="1964">
        <v>-0.16500000000000001</v>
      </c>
      <c r="BC761" s="275">
        <f>+BC760/AX760-1</f>
        <v>-4.4000000000000039E-2</v>
      </c>
      <c r="BD761" s="252">
        <f>+BD760/AY760-1</f>
        <v>-4.4000000000000039E-2</v>
      </c>
      <c r="BE761" s="252">
        <f>+BE760/AZ760-1</f>
        <v>-4.4000000000000039E-2</v>
      </c>
      <c r="BF761" s="276">
        <f>+BF760/BA760-1</f>
        <v>-4.4000000000000039E-2</v>
      </c>
      <c r="BG761" s="1964">
        <v>-4.3999999999999997E-2</v>
      </c>
      <c r="BH761" s="275">
        <f>+BH760/BC760-1</f>
        <v>-1.4000000000000123E-2</v>
      </c>
      <c r="BI761" s="252">
        <f>+BI760/BD760-1</f>
        <v>-1.4000000000000123E-2</v>
      </c>
      <c r="BJ761" s="252">
        <f>+BJ760/BE760-1</f>
        <v>-1.4000000000000123E-2</v>
      </c>
      <c r="BK761" s="276">
        <f>+BK760/BF760-1</f>
        <v>-1.4000000000000123E-2</v>
      </c>
      <c r="BL761" s="1964">
        <v>-1.4E-2</v>
      </c>
      <c r="BM761" s="275">
        <f>+BM760/BH760-1</f>
        <v>6.0000000000000053E-3</v>
      </c>
      <c r="BN761" s="252">
        <f>+BN760/BI760-1</f>
        <v>6.0000000000000053E-3</v>
      </c>
      <c r="BO761" s="252">
        <f>+BO760/BJ760-1</f>
        <v>6.0000000000000053E-3</v>
      </c>
      <c r="BP761" s="276">
        <f>+BP760/BK760-1</f>
        <v>6.0000000000000053E-3</v>
      </c>
      <c r="BQ761" s="1964">
        <v>6.0000000000000001E-3</v>
      </c>
      <c r="BR761" s="45"/>
      <c r="BS761" s="45"/>
      <c r="BT761" s="383"/>
      <c r="BU761" s="228"/>
      <c r="BV761" s="228"/>
      <c r="BW761" s="228"/>
      <c r="BX761" s="228"/>
      <c r="BY761" s="228"/>
      <c r="BZ761" s="228"/>
      <c r="CA761" s="228"/>
      <c r="CB761" s="228"/>
      <c r="CC761" s="228"/>
      <c r="CD761" s="228"/>
      <c r="CE761" s="228"/>
      <c r="CF761" s="228"/>
      <c r="CG761" s="383"/>
      <c r="CH761" s="383"/>
      <c r="CI761" s="383"/>
      <c r="CJ761" s="383"/>
      <c r="CK761" s="383"/>
      <c r="CL761" s="383"/>
      <c r="CM761" s="383"/>
      <c r="CN761" s="383"/>
      <c r="CO761" s="383"/>
      <c r="CP761" s="383"/>
      <c r="CQ761" s="383"/>
      <c r="CT761" s="833"/>
      <c r="CU761" s="383"/>
      <c r="CV761" s="383"/>
      <c r="CW761" s="383"/>
      <c r="CX761" s="383"/>
      <c r="CY761" s="383"/>
      <c r="CZ761" s="383"/>
      <c r="DA761" s="383"/>
      <c r="DB761" s="383"/>
      <c r="DC761" s="383"/>
      <c r="DD761" s="383"/>
      <c r="DE761" s="383"/>
      <c r="DF761" s="383"/>
      <c r="DG761" s="383"/>
      <c r="DH761" s="383"/>
      <c r="DI761" s="383"/>
      <c r="DJ761" s="383"/>
      <c r="DK761" s="383"/>
      <c r="DL761" s="383"/>
      <c r="DM761" s="383"/>
      <c r="DN761" s="383"/>
    </row>
    <row r="762" spans="1:118">
      <c r="A762" s="28"/>
      <c r="B762" s="45"/>
      <c r="C762" s="45"/>
      <c r="D762" s="45"/>
      <c r="E762" s="290"/>
      <c r="F762" s="260"/>
      <c r="G762" s="260"/>
      <c r="H762" s="291"/>
      <c r="I762" s="45"/>
      <c r="J762" s="290"/>
      <c r="K762" s="260"/>
      <c r="L762" s="260"/>
      <c r="M762" s="291"/>
      <c r="N762" s="45"/>
      <c r="O762" s="290"/>
      <c r="P762" s="260"/>
      <c r="Q762" s="260"/>
      <c r="R762" s="291"/>
      <c r="S762" s="45"/>
      <c r="T762" s="290"/>
      <c r="U762" s="260"/>
      <c r="V762" s="260"/>
      <c r="W762" s="291"/>
      <c r="X762" s="45"/>
      <c r="Y762" s="290"/>
      <c r="Z762" s="260"/>
      <c r="AA762" s="260"/>
      <c r="AB762" s="291"/>
      <c r="AC762" s="45"/>
      <c r="AD762" s="290"/>
      <c r="AE762" s="260"/>
      <c r="AF762" s="260"/>
      <c r="AG762" s="291"/>
      <c r="AH762" s="45"/>
      <c r="AI762" s="290"/>
      <c r="AJ762" s="260"/>
      <c r="AK762" s="260"/>
      <c r="AL762" s="291"/>
      <c r="AM762" s="45"/>
      <c r="AN762" s="290"/>
      <c r="AO762" s="260"/>
      <c r="AP762" s="260"/>
      <c r="AQ762" s="291"/>
      <c r="AS762" s="290"/>
      <c r="AT762" s="260"/>
      <c r="AU762" s="260"/>
      <c r="AV762" s="291"/>
      <c r="AW762" s="45"/>
      <c r="AX762" s="290"/>
      <c r="AY762" s="260"/>
      <c r="AZ762" s="260"/>
      <c r="BA762" s="291"/>
      <c r="BB762" s="45"/>
      <c r="BC762" s="290"/>
      <c r="BD762" s="260"/>
      <c r="BE762" s="260"/>
      <c r="BF762" s="291"/>
      <c r="BG762" s="45"/>
      <c r="BH762" s="290"/>
      <c r="BI762" s="260"/>
      <c r="BJ762" s="260"/>
      <c r="BK762" s="291"/>
      <c r="BL762" s="45"/>
      <c r="BM762" s="290"/>
      <c r="BN762" s="260"/>
      <c r="BO762" s="260"/>
      <c r="BP762" s="291"/>
      <c r="BQ762" s="45"/>
      <c r="BR762" s="45"/>
      <c r="BS762" s="228"/>
      <c r="BT762" s="28"/>
      <c r="BU762" s="383"/>
      <c r="BV762" s="383"/>
      <c r="BW762" s="383"/>
      <c r="BX762" s="383"/>
      <c r="BY762" s="383"/>
      <c r="BZ762" s="383"/>
      <c r="CA762" s="383"/>
      <c r="CB762" s="383"/>
      <c r="CC762" s="383"/>
      <c r="CD762" s="383"/>
      <c r="CE762" s="383"/>
      <c r="CF762" s="383"/>
      <c r="CU762" s="28"/>
      <c r="CV762" s="28"/>
      <c r="CW762" s="28"/>
      <c r="CX762" s="28"/>
      <c r="CY762" s="28"/>
      <c r="CZ762" s="28"/>
      <c r="DA762" s="28"/>
      <c r="DB762" s="28"/>
      <c r="DC762" s="28"/>
      <c r="DD762" s="28"/>
      <c r="DE762" s="28"/>
      <c r="DF762" s="28"/>
      <c r="DG762" s="28"/>
      <c r="DH762" s="28"/>
      <c r="DI762" s="28"/>
      <c r="DJ762" s="28"/>
      <c r="DK762" s="28"/>
      <c r="DL762" s="28"/>
      <c r="DM762" s="28"/>
      <c r="DN762" s="28"/>
    </row>
    <row r="763" spans="1:118">
      <c r="A763" s="1"/>
      <c r="B763" s="223"/>
      <c r="C763" s="383" t="s">
        <v>65</v>
      </c>
      <c r="D763" s="45"/>
      <c r="E763" s="290">
        <f t="shared" ref="E763:AO763" si="1085">E14</f>
        <v>50</v>
      </c>
      <c r="F763" s="260">
        <f t="shared" si="1085"/>
        <v>50</v>
      </c>
      <c r="G763" s="260">
        <f t="shared" si="1085"/>
        <v>51</v>
      </c>
      <c r="H763" s="291">
        <f t="shared" si="1085"/>
        <v>54</v>
      </c>
      <c r="I763" s="45">
        <f t="shared" si="1085"/>
        <v>205</v>
      </c>
      <c r="J763" s="290">
        <f t="shared" si="1085"/>
        <v>57</v>
      </c>
      <c r="K763" s="260">
        <f t="shared" si="1085"/>
        <v>61</v>
      </c>
      <c r="L763" s="260">
        <f t="shared" si="1085"/>
        <v>57</v>
      </c>
      <c r="M763" s="291">
        <f t="shared" si="1085"/>
        <v>55</v>
      </c>
      <c r="N763" s="45">
        <f t="shared" si="1085"/>
        <v>230</v>
      </c>
      <c r="O763" s="290">
        <f t="shared" si="1085"/>
        <v>66</v>
      </c>
      <c r="P763" s="260">
        <f t="shared" si="1085"/>
        <v>66</v>
      </c>
      <c r="Q763" s="260">
        <f t="shared" si="1085"/>
        <v>67</v>
      </c>
      <c r="R763" s="291">
        <f t="shared" si="1085"/>
        <v>65</v>
      </c>
      <c r="S763" s="45">
        <f t="shared" si="1085"/>
        <v>264</v>
      </c>
      <c r="T763" s="290">
        <f t="shared" si="1085"/>
        <v>73</v>
      </c>
      <c r="U763" s="260">
        <f t="shared" si="1085"/>
        <v>90</v>
      </c>
      <c r="V763" s="260">
        <f t="shared" si="1085"/>
        <v>109</v>
      </c>
      <c r="W763" s="291">
        <f t="shared" si="1085"/>
        <v>97</v>
      </c>
      <c r="X763" s="45">
        <f t="shared" si="1085"/>
        <v>369</v>
      </c>
      <c r="Y763" s="290">
        <f t="shared" si="1085"/>
        <v>93</v>
      </c>
      <c r="Z763" s="260">
        <f t="shared" si="1085"/>
        <v>101</v>
      </c>
      <c r="AA763" s="260">
        <f t="shared" si="1085"/>
        <v>98</v>
      </c>
      <c r="AB763" s="291">
        <f t="shared" si="1085"/>
        <v>97</v>
      </c>
      <c r="AC763" s="45">
        <f t="shared" si="1085"/>
        <v>389</v>
      </c>
      <c r="AD763" s="290">
        <f t="shared" si="1085"/>
        <v>105</v>
      </c>
      <c r="AE763" s="260">
        <f t="shared" si="1085"/>
        <v>118</v>
      </c>
      <c r="AF763" s="260">
        <f t="shared" si="1085"/>
        <v>127</v>
      </c>
      <c r="AG763" s="291">
        <f t="shared" si="1085"/>
        <v>115</v>
      </c>
      <c r="AH763" s="45">
        <f t="shared" si="1085"/>
        <v>465</v>
      </c>
      <c r="AI763" s="290">
        <f t="shared" si="1085"/>
        <v>122</v>
      </c>
      <c r="AJ763" s="260">
        <f t="shared" si="1085"/>
        <v>124</v>
      </c>
      <c r="AK763" s="260">
        <f t="shared" si="1085"/>
        <v>123</v>
      </c>
      <c r="AL763" s="291">
        <f t="shared" si="1085"/>
        <v>120</v>
      </c>
      <c r="AM763" s="45">
        <f t="shared" si="1085"/>
        <v>489</v>
      </c>
      <c r="AN763" s="290">
        <f t="shared" si="1085"/>
        <v>126</v>
      </c>
      <c r="AO763" s="260">
        <f t="shared" si="1085"/>
        <v>118</v>
      </c>
      <c r="AP763" s="260">
        <f t="shared" ref="AP763:AS763" si="1086">AP14</f>
        <v>136</v>
      </c>
      <c r="AQ763" s="291">
        <f t="shared" si="1086"/>
        <v>126</v>
      </c>
      <c r="AR763" s="45">
        <f t="shared" si="1086"/>
        <v>506</v>
      </c>
      <c r="AS763" s="290">
        <f t="shared" si="1086"/>
        <v>143</v>
      </c>
      <c r="AT763" s="260">
        <f t="shared" ref="AT763" si="1087">AT14</f>
        <v>140</v>
      </c>
      <c r="AU763" s="260">
        <f t="shared" ref="AU763:AW763" si="1088">AU14</f>
        <v>141</v>
      </c>
      <c r="AV763" s="291">
        <f t="shared" si="1088"/>
        <v>131</v>
      </c>
      <c r="AW763" s="45">
        <f t="shared" si="1088"/>
        <v>555</v>
      </c>
      <c r="AX763" s="290">
        <f>+BB763/4</f>
        <v>131.8125</v>
      </c>
      <c r="AY763" s="260">
        <f>+BB763/4</f>
        <v>131.8125</v>
      </c>
      <c r="AZ763" s="260">
        <f>+BB763/4</f>
        <v>131.8125</v>
      </c>
      <c r="BA763" s="291">
        <f>+BB763/4</f>
        <v>131.8125</v>
      </c>
      <c r="BB763" s="45">
        <f>+AW763*(1+BB764)</f>
        <v>527.25</v>
      </c>
      <c r="BC763" s="290">
        <f>+BG763/4</f>
        <v>131.8125</v>
      </c>
      <c r="BD763" s="260">
        <f>+BG763/4</f>
        <v>131.8125</v>
      </c>
      <c r="BE763" s="260">
        <f>+BG763/4</f>
        <v>131.8125</v>
      </c>
      <c r="BF763" s="291">
        <f>+BG763/4</f>
        <v>131.8125</v>
      </c>
      <c r="BG763" s="45">
        <f>+BB763*(1+BG764)</f>
        <v>527.25</v>
      </c>
      <c r="BH763" s="290">
        <f>+BL763/4</f>
        <v>131.8125</v>
      </c>
      <c r="BI763" s="260">
        <f>+BL763/4</f>
        <v>131.8125</v>
      </c>
      <c r="BJ763" s="260">
        <f>+BL763/4</f>
        <v>131.8125</v>
      </c>
      <c r="BK763" s="291">
        <f>+BL763/4</f>
        <v>131.8125</v>
      </c>
      <c r="BL763" s="45">
        <f>+BG763*(1+BL764)</f>
        <v>527.25</v>
      </c>
      <c r="BM763" s="290">
        <f>+BQ763/4</f>
        <v>131.8125</v>
      </c>
      <c r="BN763" s="260">
        <f>+BQ763/4</f>
        <v>131.8125</v>
      </c>
      <c r="BO763" s="260">
        <f>+BQ763/4</f>
        <v>131.8125</v>
      </c>
      <c r="BP763" s="291">
        <f>+BQ763/4</f>
        <v>131.8125</v>
      </c>
      <c r="BQ763" s="45">
        <f>+BL763*(1+BQ764)</f>
        <v>527.25</v>
      </c>
      <c r="BR763" s="45"/>
      <c r="BS763" s="45"/>
      <c r="BT763" s="1"/>
      <c r="BU763" s="383"/>
      <c r="BV763" s="383"/>
      <c r="BW763" s="383"/>
      <c r="BX763" s="383"/>
      <c r="BY763" s="383"/>
      <c r="BZ763" s="383"/>
      <c r="CA763" s="383"/>
      <c r="CB763" s="383"/>
      <c r="CC763" s="383"/>
      <c r="CD763" s="383"/>
      <c r="CE763" s="383"/>
      <c r="CF763" s="383"/>
      <c r="CL763" s="28"/>
      <c r="CM763" s="28"/>
      <c r="CN763" s="28"/>
      <c r="CO763" s="28"/>
      <c r="CP763" s="28"/>
      <c r="CQ763" s="28"/>
      <c r="CT763" s="820"/>
      <c r="CU763" s="1"/>
      <c r="CV763" s="1"/>
      <c r="CW763" s="1"/>
      <c r="CX763" s="1"/>
      <c r="CY763" s="1"/>
      <c r="CZ763" s="1"/>
      <c r="DA763" s="1"/>
      <c r="DB763" s="1"/>
      <c r="DC763" s="1"/>
      <c r="DD763" s="1"/>
      <c r="DE763" s="1"/>
      <c r="DF763" s="1"/>
      <c r="DG763" s="1"/>
      <c r="DH763" s="1"/>
      <c r="DI763" s="1"/>
      <c r="DJ763" s="1"/>
      <c r="DK763" s="1"/>
      <c r="DL763" s="1"/>
      <c r="DM763" s="1"/>
      <c r="DN763" s="1"/>
    </row>
    <row r="764" spans="1:118">
      <c r="A764" s="1"/>
      <c r="B764" s="28"/>
      <c r="C764" s="384" t="s">
        <v>610</v>
      </c>
      <c r="D764" s="223"/>
      <c r="E764" s="643"/>
      <c r="F764" s="382"/>
      <c r="G764" s="382"/>
      <c r="H764" s="644"/>
      <c r="I764" s="222"/>
      <c r="J764" s="275">
        <f t="shared" ref="J764:S764" si="1089">+J763/E763-1</f>
        <v>0.1399999999999999</v>
      </c>
      <c r="K764" s="252">
        <f t="shared" si="1089"/>
        <v>0.21999999999999997</v>
      </c>
      <c r="L764" s="252">
        <f t="shared" si="1089"/>
        <v>0.11764705882352944</v>
      </c>
      <c r="M764" s="276">
        <f t="shared" si="1089"/>
        <v>1.8518518518518601E-2</v>
      </c>
      <c r="N764" s="222">
        <f t="shared" si="1089"/>
        <v>0.12195121951219523</v>
      </c>
      <c r="O764" s="275">
        <f t="shared" si="1089"/>
        <v>0.15789473684210531</v>
      </c>
      <c r="P764" s="252">
        <f t="shared" si="1089"/>
        <v>8.1967213114754189E-2</v>
      </c>
      <c r="Q764" s="252">
        <f t="shared" si="1089"/>
        <v>0.17543859649122817</v>
      </c>
      <c r="R764" s="276">
        <f t="shared" si="1089"/>
        <v>0.18181818181818188</v>
      </c>
      <c r="S764" s="222">
        <f t="shared" si="1089"/>
        <v>0.14782608695652177</v>
      </c>
      <c r="T764" s="275">
        <f t="shared" ref="T764:AA764" si="1090">+T763/O763-1</f>
        <v>0.10606060606060597</v>
      </c>
      <c r="U764" s="252">
        <f t="shared" si="1090"/>
        <v>0.36363636363636354</v>
      </c>
      <c r="V764" s="252">
        <f t="shared" si="1090"/>
        <v>0.62686567164179108</v>
      </c>
      <c r="W764" s="276">
        <f t="shared" si="1090"/>
        <v>0.49230769230769234</v>
      </c>
      <c r="X764" s="222">
        <f t="shared" si="1090"/>
        <v>0.39772727272727271</v>
      </c>
      <c r="Y764" s="275">
        <f t="shared" si="1090"/>
        <v>0.27397260273972601</v>
      </c>
      <c r="Z764" s="252">
        <f t="shared" si="1090"/>
        <v>0.12222222222222223</v>
      </c>
      <c r="AA764" s="252">
        <f t="shared" si="1090"/>
        <v>-0.1009174311926605</v>
      </c>
      <c r="AB764" s="276">
        <f>+AB763/W763-1</f>
        <v>0</v>
      </c>
      <c r="AC764" s="222">
        <f>+AC763/X763-1</f>
        <v>5.4200542005420127E-2</v>
      </c>
      <c r="AD764" s="275">
        <f>+AD763/Y763-1</f>
        <v>0.12903225806451624</v>
      </c>
      <c r="AE764" s="252">
        <f>+AE763/Z763-1</f>
        <v>0.16831683168316824</v>
      </c>
      <c r="AF764" s="252">
        <f t="shared" ref="AF764" si="1091">+AF763/AA763-1</f>
        <v>0.29591836734693877</v>
      </c>
      <c r="AG764" s="276">
        <f t="shared" ref="AG764:AH764" si="1092">+AG763/AB763-1</f>
        <v>0.18556701030927836</v>
      </c>
      <c r="AH764" s="222">
        <f t="shared" si="1092"/>
        <v>0.19537275064267345</v>
      </c>
      <c r="AI764" s="275">
        <f>+AI763/AD763-1</f>
        <v>0.161904761904762</v>
      </c>
      <c r="AJ764" s="252">
        <f>+AJ763/AE763-1</f>
        <v>5.0847457627118731E-2</v>
      </c>
      <c r="AK764" s="252">
        <f t="shared" ref="AK764" si="1093">+AK763/AF763-1</f>
        <v>-3.1496062992126039E-2</v>
      </c>
      <c r="AL764" s="276">
        <f t="shared" ref="AL764" si="1094">+AL763/AG763-1</f>
        <v>4.3478260869565188E-2</v>
      </c>
      <c r="AM764" s="222">
        <f t="shared" ref="AM764" si="1095">+AM763/AH763-1</f>
        <v>5.1612903225806361E-2</v>
      </c>
      <c r="AN764" s="275">
        <f>+AN763/AI763-1</f>
        <v>3.2786885245901676E-2</v>
      </c>
      <c r="AO764" s="252">
        <f>+AO763/AJ763-1</f>
        <v>-4.8387096774193505E-2</v>
      </c>
      <c r="AP764" s="252">
        <f t="shared" ref="AP764" si="1096">+AP763/AK763-1</f>
        <v>0.10569105691056913</v>
      </c>
      <c r="AQ764" s="276">
        <f t="shared" ref="AQ764" si="1097">+AQ763/AL763-1</f>
        <v>5.0000000000000044E-2</v>
      </c>
      <c r="AR764" s="222">
        <f t="shared" ref="AR764" si="1098">+AR763/AM763-1</f>
        <v>3.4764826175869068E-2</v>
      </c>
      <c r="AS764" s="275">
        <f>+AS763/AN763-1</f>
        <v>0.13492063492063489</v>
      </c>
      <c r="AT764" s="252">
        <f>+AT763/AO763-1</f>
        <v>0.18644067796610164</v>
      </c>
      <c r="AU764" s="252">
        <f>+AU763/AP763-1</f>
        <v>3.6764705882353033E-2</v>
      </c>
      <c r="AV764" s="276">
        <f t="shared" ref="AV764" si="1099">+AV763/AQ763-1</f>
        <v>3.9682539682539764E-2</v>
      </c>
      <c r="AW764" s="222">
        <f t="shared" ref="AW764" si="1100">+AW763/AR763-1</f>
        <v>9.6837944664031728E-2</v>
      </c>
      <c r="AX764" s="275">
        <f>+AX763/AS763-1</f>
        <v>-7.8234265734265729E-2</v>
      </c>
      <c r="AY764" s="252">
        <f>+AY763/AT763-1</f>
        <v>-5.8482142857142816E-2</v>
      </c>
      <c r="AZ764" s="252">
        <f>+AZ763/AU763-1</f>
        <v>-6.5159574468085069E-2</v>
      </c>
      <c r="BA764" s="276">
        <f>+BA763/AV763-1</f>
        <v>6.2022900763358813E-3</v>
      </c>
      <c r="BB764" s="1964">
        <v>-0.05</v>
      </c>
      <c r="BC764" s="275">
        <f>+BC763/AX763-1</f>
        <v>0</v>
      </c>
      <c r="BD764" s="252">
        <f>+BD763/AY763-1</f>
        <v>0</v>
      </c>
      <c r="BE764" s="252">
        <f>+BE763/AZ763-1</f>
        <v>0</v>
      </c>
      <c r="BF764" s="276">
        <f>+BF763/BA763-1</f>
        <v>0</v>
      </c>
      <c r="BG764" s="1964">
        <v>0</v>
      </c>
      <c r="BH764" s="275">
        <f>+BH763/BC763-1</f>
        <v>0</v>
      </c>
      <c r="BI764" s="252">
        <f>+BI763/BD763-1</f>
        <v>0</v>
      </c>
      <c r="BJ764" s="252">
        <f>+BJ763/BE763-1</f>
        <v>0</v>
      </c>
      <c r="BK764" s="276">
        <f>+BK763/BF763-1</f>
        <v>0</v>
      </c>
      <c r="BL764" s="1964">
        <v>0</v>
      </c>
      <c r="BM764" s="275">
        <f>+BM763/BH763-1</f>
        <v>0</v>
      </c>
      <c r="BN764" s="252">
        <f>+BN763/BI763-1</f>
        <v>0</v>
      </c>
      <c r="BO764" s="252">
        <f>+BO763/BJ763-1</f>
        <v>0</v>
      </c>
      <c r="BP764" s="276">
        <f>+BP763/BK763-1</f>
        <v>0</v>
      </c>
      <c r="BQ764" s="222">
        <f>+BL764</f>
        <v>0</v>
      </c>
      <c r="BR764" s="45"/>
      <c r="BS764" s="45"/>
      <c r="BT764" s="1"/>
      <c r="CG764" s="34">
        <v>2019</v>
      </c>
      <c r="CH764" s="34">
        <v>2020</v>
      </c>
      <c r="CI764" s="34">
        <v>2021</v>
      </c>
      <c r="CJ764" s="34">
        <v>2022</v>
      </c>
      <c r="CK764" s="34">
        <v>2023</v>
      </c>
      <c r="CL764" s="34">
        <v>2024</v>
      </c>
      <c r="CM764" s="34">
        <v>2025</v>
      </c>
      <c r="CN764" s="34">
        <v>2026</v>
      </c>
      <c r="CO764" s="1"/>
      <c r="CP764" s="1"/>
      <c r="CQ764" s="1"/>
      <c r="CT764" s="820"/>
      <c r="CU764" s="1"/>
      <c r="CV764" s="1"/>
      <c r="CW764" s="1"/>
      <c r="CX764" s="1"/>
      <c r="CY764" s="1"/>
      <c r="CZ764" s="1"/>
      <c r="DA764" s="1"/>
      <c r="DB764" s="1"/>
      <c r="DC764" s="1"/>
      <c r="DD764" s="1"/>
      <c r="DE764" s="1"/>
      <c r="DF764" s="1"/>
      <c r="DG764" s="1"/>
      <c r="DH764" s="1"/>
      <c r="DI764" s="1"/>
      <c r="DJ764" s="1"/>
      <c r="DK764" s="1"/>
      <c r="DL764" s="1"/>
      <c r="DM764" s="1"/>
      <c r="DN764" s="1"/>
    </row>
    <row r="765" spans="1:118">
      <c r="A765" s="1"/>
      <c r="B765" s="28"/>
      <c r="C765" s="28"/>
      <c r="D765" s="28"/>
      <c r="E765" s="415"/>
      <c r="F765" s="242"/>
      <c r="G765" s="242"/>
      <c r="H765" s="416"/>
      <c r="I765" s="23"/>
      <c r="J765" s="415"/>
      <c r="K765" s="242"/>
      <c r="L765" s="242"/>
      <c r="M765" s="416"/>
      <c r="N765" s="23"/>
      <c r="O765" s="415"/>
      <c r="P765" s="242"/>
      <c r="Q765" s="242"/>
      <c r="R765" s="416"/>
      <c r="S765" s="23"/>
      <c r="T765" s="303"/>
      <c r="U765" s="239"/>
      <c r="V765" s="242"/>
      <c r="W765" s="416"/>
      <c r="X765" s="23"/>
      <c r="Y765" s="415"/>
      <c r="Z765" s="242"/>
      <c r="AA765" s="242"/>
      <c r="AB765" s="416"/>
      <c r="AC765" s="23"/>
      <c r="AD765" s="415"/>
      <c r="AE765" s="242"/>
      <c r="AF765" s="242"/>
      <c r="AG765" s="416"/>
      <c r="AH765" s="23"/>
      <c r="AI765" s="415"/>
      <c r="AJ765" s="242"/>
      <c r="AK765" s="242"/>
      <c r="AL765" s="416"/>
      <c r="AM765" s="23"/>
      <c r="AN765" s="415"/>
      <c r="AO765" s="242"/>
      <c r="AP765" s="242"/>
      <c r="AQ765" s="416"/>
      <c r="AR765" s="23"/>
      <c r="AS765" s="415"/>
      <c r="AT765" s="242"/>
      <c r="AU765" s="242"/>
      <c r="AV765" s="416"/>
      <c r="AW765" s="23"/>
      <c r="AX765" s="415"/>
      <c r="AY765" s="242"/>
      <c r="AZ765" s="242"/>
      <c r="BA765" s="416"/>
      <c r="BB765" s="23"/>
      <c r="BC765" s="415"/>
      <c r="BD765" s="242"/>
      <c r="BE765" s="242"/>
      <c r="BF765" s="416"/>
      <c r="BG765" s="23"/>
      <c r="BH765" s="415"/>
      <c r="BI765" s="242"/>
      <c r="BJ765" s="242"/>
      <c r="BK765" s="416"/>
      <c r="BL765" s="23"/>
      <c r="BM765" s="415"/>
      <c r="BN765" s="242"/>
      <c r="BO765" s="242"/>
      <c r="BP765" s="416"/>
      <c r="BQ765" s="23"/>
      <c r="BR765" s="28"/>
      <c r="BS765" s="28"/>
      <c r="BT765" s="1"/>
      <c r="BU765" s="1029" t="s">
        <v>1136</v>
      </c>
      <c r="CL765" s="1"/>
      <c r="CM765" s="1"/>
      <c r="CN765" s="1"/>
      <c r="CO765" s="1"/>
      <c r="CP765" s="1"/>
      <c r="CQ765" s="1"/>
      <c r="CT765" s="820"/>
      <c r="CU765" s="1"/>
      <c r="CV765" s="1"/>
      <c r="CW765" s="1"/>
      <c r="CX765" s="1"/>
      <c r="CY765" s="1"/>
      <c r="CZ765" s="1"/>
      <c r="DA765" s="1"/>
      <c r="DB765" s="1"/>
      <c r="DC765" s="1"/>
      <c r="DD765" s="1"/>
      <c r="DE765" s="1"/>
      <c r="DF765" s="1"/>
      <c r="DG765" s="1"/>
      <c r="DH765" s="1"/>
      <c r="DI765" s="1"/>
      <c r="DJ765" s="1"/>
      <c r="DK765" s="1"/>
      <c r="DL765" s="1"/>
      <c r="DM765" s="1"/>
      <c r="DN765" s="1"/>
    </row>
    <row r="766" spans="1:118">
      <c r="A766" s="383"/>
      <c r="B766" s="28"/>
      <c r="C766" s="28"/>
      <c r="D766" s="28"/>
      <c r="E766" s="415"/>
      <c r="F766" s="242"/>
      <c r="G766" s="242"/>
      <c r="H766" s="416"/>
      <c r="I766" s="23"/>
      <c r="J766" s="415"/>
      <c r="K766" s="242"/>
      <c r="L766" s="242"/>
      <c r="M766" s="416"/>
      <c r="N766" s="23"/>
      <c r="O766" s="415"/>
      <c r="P766" s="242"/>
      <c r="Q766" s="242"/>
      <c r="R766" s="416"/>
      <c r="S766" s="23"/>
      <c r="T766" s="415"/>
      <c r="U766" s="242"/>
      <c r="V766" s="242"/>
      <c r="W766" s="416"/>
      <c r="X766" s="23"/>
      <c r="Y766" s="415"/>
      <c r="Z766" s="242"/>
      <c r="AA766" s="242"/>
      <c r="AB766" s="416"/>
      <c r="AC766" s="23"/>
      <c r="AD766" s="415"/>
      <c r="AE766" s="242"/>
      <c r="AF766" s="242"/>
      <c r="AG766" s="416"/>
      <c r="AH766" s="23"/>
      <c r="AI766" s="415"/>
      <c r="AJ766" s="242"/>
      <c r="AK766" s="242"/>
      <c r="AL766" s="416"/>
      <c r="AM766" s="23"/>
      <c r="AN766" s="415"/>
      <c r="AO766" s="242"/>
      <c r="AP766" s="242"/>
      <c r="AQ766" s="416"/>
      <c r="AR766" s="23"/>
      <c r="AS766" s="415"/>
      <c r="AT766" s="242"/>
      <c r="AU766" s="242"/>
      <c r="AV766" s="416"/>
      <c r="AW766" s="23"/>
      <c r="AX766" s="415"/>
      <c r="AY766" s="242"/>
      <c r="AZ766" s="242"/>
      <c r="BA766" s="416"/>
      <c r="BB766" s="20"/>
      <c r="BC766" s="415"/>
      <c r="BD766" s="242"/>
      <c r="BE766" s="242"/>
      <c r="BF766" s="416"/>
      <c r="BG766" s="23"/>
      <c r="BH766" s="415"/>
      <c r="BI766" s="242"/>
      <c r="BJ766" s="242"/>
      <c r="BK766" s="416"/>
      <c r="BL766" s="23"/>
      <c r="BM766" s="415"/>
      <c r="BN766" s="242"/>
      <c r="BO766" s="242"/>
      <c r="BP766" s="416"/>
      <c r="BQ766" s="23"/>
      <c r="BR766" s="1027"/>
      <c r="BS766" s="1027"/>
      <c r="BT766" s="383"/>
      <c r="BU766" s="1030" t="s">
        <v>1137</v>
      </c>
      <c r="BV766" s="1031" t="s">
        <v>1208</v>
      </c>
      <c r="BW766" s="743" t="s">
        <v>1138</v>
      </c>
      <c r="BX766" s="1034"/>
      <c r="BY766" s="34" t="s">
        <v>1139</v>
      </c>
      <c r="BZ766" s="34">
        <v>2013</v>
      </c>
      <c r="CA766" s="34">
        <v>2014</v>
      </c>
      <c r="CB766" s="34"/>
      <c r="CC766" s="34">
        <v>2015</v>
      </c>
      <c r="CD766" s="34">
        <v>2016</v>
      </c>
      <c r="CE766" s="34">
        <v>2017</v>
      </c>
      <c r="CF766" s="34">
        <v>2018</v>
      </c>
      <c r="CL766" s="383"/>
      <c r="CM766" s="383"/>
      <c r="CN766" s="383"/>
      <c r="CO766" s="383"/>
      <c r="CP766" s="383"/>
      <c r="CQ766" s="383"/>
      <c r="CT766" s="833"/>
      <c r="CU766" s="383"/>
      <c r="CV766" s="383"/>
      <c r="CW766" s="383"/>
      <c r="CX766" s="383"/>
      <c r="CY766" s="383"/>
      <c r="CZ766" s="383"/>
      <c r="DA766" s="383"/>
      <c r="DB766" s="383"/>
      <c r="DC766" s="383"/>
      <c r="DD766" s="383"/>
      <c r="DE766" s="383"/>
      <c r="DF766" s="383"/>
      <c r="DG766" s="383"/>
      <c r="DH766" s="383"/>
      <c r="DI766" s="383"/>
      <c r="DJ766" s="383"/>
      <c r="DK766" s="383"/>
      <c r="DL766" s="383"/>
      <c r="DM766" s="383"/>
      <c r="DN766" s="383"/>
    </row>
    <row r="767" spans="1:118">
      <c r="A767" s="383"/>
      <c r="B767" s="73" t="s">
        <v>273</v>
      </c>
      <c r="C767" s="246"/>
      <c r="D767" s="15"/>
      <c r="E767" s="415"/>
      <c r="F767" s="242"/>
      <c r="G767" s="242"/>
      <c r="H767" s="416"/>
      <c r="I767" s="23"/>
      <c r="J767" s="415"/>
      <c r="K767" s="242"/>
      <c r="L767" s="242"/>
      <c r="M767" s="416"/>
      <c r="N767" s="23"/>
      <c r="O767" s="415"/>
      <c r="P767" s="242"/>
      <c r="Q767" s="242"/>
      <c r="R767" s="416"/>
      <c r="S767" s="23"/>
      <c r="T767" s="415"/>
      <c r="U767" s="242"/>
      <c r="V767" s="242"/>
      <c r="W767" s="416"/>
      <c r="X767" s="23"/>
      <c r="Y767" s="415"/>
      <c r="Z767" s="242"/>
      <c r="AA767" s="242"/>
      <c r="AB767" s="416"/>
      <c r="AC767" s="23"/>
      <c r="AD767" s="415"/>
      <c r="AE767" s="242"/>
      <c r="AF767" s="242"/>
      <c r="AG767" s="416"/>
      <c r="AH767" s="23"/>
      <c r="AI767" s="415"/>
      <c r="AJ767" s="242"/>
      <c r="AK767" s="242"/>
      <c r="AL767" s="416"/>
      <c r="AM767" s="23"/>
      <c r="AN767" s="415"/>
      <c r="AO767" s="242"/>
      <c r="AP767" s="242"/>
      <c r="AQ767" s="416"/>
      <c r="AR767" s="23"/>
      <c r="AS767" s="415"/>
      <c r="AT767" s="242"/>
      <c r="AU767" s="242"/>
      <c r="AV767" s="416"/>
      <c r="AW767" s="23"/>
      <c r="AX767" s="415"/>
      <c r="AY767" s="242"/>
      <c r="AZ767" s="242"/>
      <c r="BA767" s="416"/>
      <c r="BB767" s="23"/>
      <c r="BC767" s="415"/>
      <c r="BD767" s="242"/>
      <c r="BE767" s="242"/>
      <c r="BF767" s="416"/>
      <c r="BG767" s="23"/>
      <c r="BH767" s="415"/>
      <c r="BI767" s="242"/>
      <c r="BJ767" s="242"/>
      <c r="BK767" s="416"/>
      <c r="BL767" s="23"/>
      <c r="BM767" s="415"/>
      <c r="BN767" s="242"/>
      <c r="BO767" s="242"/>
      <c r="BP767" s="416"/>
      <c r="BQ767" s="23"/>
      <c r="BR767" s="28"/>
      <c r="BS767" s="28"/>
      <c r="BT767" s="383"/>
      <c r="BU767" t="s">
        <v>1140</v>
      </c>
      <c r="BV767" s="35" t="s">
        <v>1141</v>
      </c>
      <c r="BW767" s="1023">
        <v>3</v>
      </c>
      <c r="BY767" t="s">
        <v>1142</v>
      </c>
      <c r="BZ767" s="951">
        <f t="shared" ref="BZ767:CD786" si="1101">$BW767*8.76*BZ$811</f>
        <v>9.1980000000000004</v>
      </c>
      <c r="CA767" s="951">
        <f t="shared" si="1101"/>
        <v>9.1980000000000004</v>
      </c>
      <c r="CB767" s="951"/>
      <c r="CC767" s="951">
        <f t="shared" si="1101"/>
        <v>9.1980000000000004</v>
      </c>
      <c r="CD767" s="951">
        <f t="shared" si="1101"/>
        <v>9.1980000000000004</v>
      </c>
      <c r="CL767" s="383"/>
      <c r="CM767" s="383"/>
      <c r="CN767" s="383"/>
      <c r="CO767" s="383"/>
      <c r="CP767" s="383"/>
      <c r="CQ767" s="383"/>
      <c r="CT767" s="833"/>
      <c r="CU767" s="383"/>
      <c r="CV767" s="383"/>
      <c r="CW767" s="383"/>
      <c r="CX767" s="383"/>
      <c r="CY767" s="383"/>
      <c r="CZ767" s="383"/>
      <c r="DA767" s="383"/>
      <c r="DB767" s="383"/>
      <c r="DC767" s="383"/>
      <c r="DD767" s="383"/>
      <c r="DE767" s="383"/>
      <c r="DF767" s="383"/>
      <c r="DG767" s="383"/>
      <c r="DH767" s="383"/>
      <c r="DI767" s="383"/>
      <c r="DJ767" s="383"/>
      <c r="DK767" s="383"/>
      <c r="DL767" s="383"/>
      <c r="DM767" s="383"/>
      <c r="DN767" s="383"/>
    </row>
    <row r="768" spans="1:118">
      <c r="A768" s="383"/>
      <c r="B768" s="45"/>
      <c r="C768" s="383" t="s">
        <v>184</v>
      </c>
      <c r="D768" s="45"/>
      <c r="E768" s="335">
        <f>8842+E769-E772-E774</f>
        <v>8467</v>
      </c>
      <c r="F768" s="336">
        <f>9074+F769-F772-F774</f>
        <v>8761</v>
      </c>
      <c r="G768" s="336">
        <f>9320+G769-G772-G774</f>
        <v>9171</v>
      </c>
      <c r="H768" s="586">
        <f>I768</f>
        <v>9719</v>
      </c>
      <c r="I768" s="427">
        <f>9809+I769-I772-I774</f>
        <v>9719</v>
      </c>
      <c r="J768" s="335">
        <f>10086+J769-J772-J774</f>
        <v>9795</v>
      </c>
      <c r="K768" s="336">
        <f>10221+K769-K772-K774</f>
        <v>10042</v>
      </c>
      <c r="L768" s="336">
        <f>10542+L769-L772-L774</f>
        <v>10725</v>
      </c>
      <c r="M768" s="586">
        <f>N768</f>
        <v>11968</v>
      </c>
      <c r="N768" s="427">
        <f>11662+N769-N772-N774</f>
        <v>11968</v>
      </c>
      <c r="O768" s="335">
        <f>12106+O769-O772-O774</f>
        <v>12174</v>
      </c>
      <c r="P768" s="336">
        <f>12224+P769-P772-P774</f>
        <v>12252</v>
      </c>
      <c r="Q768" s="336">
        <f>13042+Q769-Q772-Q774</f>
        <v>13384</v>
      </c>
      <c r="R768" s="586">
        <f>S768</f>
        <v>13736</v>
      </c>
      <c r="S768" s="427">
        <f>13475+S769-S772-S774</f>
        <v>13736</v>
      </c>
      <c r="T768" s="335">
        <f>17480+T769-T772-T774</f>
        <v>17466</v>
      </c>
      <c r="U768" s="336">
        <f>17702+U769-U772-U774</f>
        <v>17651</v>
      </c>
      <c r="V768" s="336">
        <f>18708+V769-V772-V774</f>
        <v>18451</v>
      </c>
      <c r="W768" s="586">
        <f>X768</f>
        <v>19378</v>
      </c>
      <c r="X768" s="427">
        <f>19531+X769-X772-X774</f>
        <v>19378</v>
      </c>
      <c r="Y768" s="337">
        <f>19813+Y769-Y772-Y774</f>
        <v>19993</v>
      </c>
      <c r="Z768" s="338">
        <f>19678+Z769-Z772-Z774</f>
        <v>20032</v>
      </c>
      <c r="AA768" s="338">
        <f>19797+AA769-AA772-AA774</f>
        <v>20478</v>
      </c>
      <c r="AB768" s="586">
        <f>AC768</f>
        <v>20820</v>
      </c>
      <c r="AC768" s="339">
        <f>20111+AC769-AC772-AC774</f>
        <v>20820</v>
      </c>
      <c r="AD768" s="337">
        <f>20132+AD769-AD772-AD774</f>
        <v>20026</v>
      </c>
      <c r="AE768" s="338">
        <f>23743+AE769-AE772-AE774</f>
        <v>23789</v>
      </c>
      <c r="AF768" s="338">
        <f>23143+AF769-AF772-AF774</f>
        <v>23660</v>
      </c>
      <c r="AG768" s="586">
        <f>AH768</f>
        <v>23206</v>
      </c>
      <c r="AH768" s="339">
        <f>22945+AH769-AH772-AH774</f>
        <v>23206</v>
      </c>
      <c r="AI768" s="337">
        <f>23414+AI769-AI772-AI774</f>
        <v>22918</v>
      </c>
      <c r="AJ768" s="338">
        <f>23766+AJ769-AJ772-AJ774</f>
        <v>23511</v>
      </c>
      <c r="AK768" s="338">
        <f>24982+AK769-AK772-AK774</f>
        <v>25240</v>
      </c>
      <c r="AL768" s="586">
        <f>AM768</f>
        <v>26081</v>
      </c>
      <c r="AM768" s="2056">
        <f>25615+466</f>
        <v>26081</v>
      </c>
      <c r="AN768" s="337">
        <f>26166+AN769-AN772-AN774</f>
        <v>26238</v>
      </c>
      <c r="AO768" s="338">
        <f>26656+AO769-AO772-AO774</f>
        <v>26957</v>
      </c>
      <c r="AP768" s="338">
        <f>26374+AP769-AP772-AP774</f>
        <v>27500</v>
      </c>
      <c r="AQ768" s="586">
        <f>AR768</f>
        <v>27269</v>
      </c>
      <c r="AR768" s="2056">
        <f>27193+76</f>
        <v>27269</v>
      </c>
      <c r="AS768" s="337">
        <f>25893+AS769-AS772-AS774</f>
        <v>29436</v>
      </c>
      <c r="AT768" s="338">
        <f>25261+AT769-AT772-AT774</f>
        <v>28553</v>
      </c>
      <c r="AU768" s="338">
        <f>24793+AU769-AU772-AU774</f>
        <v>28728</v>
      </c>
      <c r="AV768" s="586">
        <f>AW768</f>
        <v>29076</v>
      </c>
      <c r="AW768" s="2056">
        <f>29019+57</f>
        <v>29076</v>
      </c>
      <c r="AX768" s="290">
        <f>AW768+(AX791-AX789)-(AX774-AW774)</f>
        <v>29401.511338548971</v>
      </c>
      <c r="AY768" s="260">
        <f>AX768+(AY791-AY789)-(AY774-AX774)</f>
        <v>29732.354784310981</v>
      </c>
      <c r="AZ768" s="260">
        <f>AY768+(AZ791-AZ789)-(AZ774-AY774)</f>
        <v>30063.198230072991</v>
      </c>
      <c r="BA768" s="291">
        <f>AZ768+(BA791-BA789)-(BA774-AZ774)</f>
        <v>30394.041675835</v>
      </c>
      <c r="BB768" s="45">
        <f>BA768</f>
        <v>30394.041675835</v>
      </c>
      <c r="BC768" s="290">
        <f>BB768+(BC791-BC789)-(BC774-BB774)</f>
        <v>30788.390346579963</v>
      </c>
      <c r="BD768" s="260">
        <f>BC768+(BD791-BD789)-(BD774-BC774)</f>
        <v>31026.31677199751</v>
      </c>
      <c r="BE768" s="260">
        <f>BD768+(BE791-BE789)-(BE774-BD774)</f>
        <v>31264.243197415057</v>
      </c>
      <c r="BF768" s="291">
        <f>BE768+(BF791-BF789)-(BF774-BE774)</f>
        <v>31502.169622832604</v>
      </c>
      <c r="BG768" s="45">
        <f>BF768</f>
        <v>31502.169622832604</v>
      </c>
      <c r="BH768" s="290">
        <f>BG768+(BH791-BH789)-(BH774-BG774)</f>
        <v>31761.870063301059</v>
      </c>
      <c r="BI768" s="260">
        <f>BH768+(BI791-BI789)-(BI774-BH774)</f>
        <v>32012.296488718606</v>
      </c>
      <c r="BJ768" s="260">
        <f>BI768+(BJ791-BJ789)-(BJ774-BI774)</f>
        <v>32262.722914136153</v>
      </c>
      <c r="BK768" s="291">
        <f>BJ768+(BK791-BK789)-(BK774-BJ774)</f>
        <v>32513.1493395537</v>
      </c>
      <c r="BL768" s="45">
        <f>BK768</f>
        <v>32513.1493395537</v>
      </c>
      <c r="BM768" s="290">
        <f>BL768+(BM791-BM789)-(BM774-BL774)</f>
        <v>32770.03208767216</v>
      </c>
      <c r="BN768" s="260">
        <f>BM768+(BN791-BN789)-(BN774-BM774)</f>
        <v>33026.28208767216</v>
      </c>
      <c r="BO768" s="260">
        <f>BN768+(BO791-BO789)-(BO774-BN774)</f>
        <v>33282.53208767216</v>
      </c>
      <c r="BP768" s="291">
        <f>BO768+(BP791-BP789)-(BP774-BO774)</f>
        <v>33538.78208767216</v>
      </c>
      <c r="BQ768" s="45">
        <f>BP768</f>
        <v>33538.78208767216</v>
      </c>
      <c r="BR768" s="28"/>
      <c r="BS768" s="28"/>
      <c r="BT768" s="383"/>
      <c r="BU768" t="s">
        <v>1143</v>
      </c>
      <c r="BV768" s="35" t="s">
        <v>1144</v>
      </c>
      <c r="BW768" s="1023">
        <v>2</v>
      </c>
      <c r="BY768" t="s">
        <v>1142</v>
      </c>
      <c r="BZ768" s="951">
        <f t="shared" si="1101"/>
        <v>6.1319999999999997</v>
      </c>
      <c r="CA768" s="951">
        <f t="shared" si="1101"/>
        <v>6.1319999999999997</v>
      </c>
      <c r="CB768" s="951"/>
      <c r="CC768" s="951">
        <f t="shared" si="1101"/>
        <v>6.1319999999999997</v>
      </c>
      <c r="CD768" s="951">
        <f t="shared" si="1101"/>
        <v>6.1319999999999997</v>
      </c>
      <c r="CL768" s="383"/>
      <c r="CM768" s="383"/>
      <c r="CN768" s="383"/>
      <c r="CO768" s="383"/>
      <c r="CP768" s="383"/>
      <c r="CQ768" s="383"/>
      <c r="CT768" s="833"/>
      <c r="CU768" s="383"/>
      <c r="CV768" s="383"/>
      <c r="CW768" s="383"/>
      <c r="CX768" s="383"/>
      <c r="CY768" s="383"/>
      <c r="CZ768" s="383"/>
      <c r="DA768" s="383"/>
      <c r="DB768" s="383"/>
      <c r="DC768" s="383"/>
      <c r="DD768" s="383"/>
      <c r="DE768" s="383"/>
      <c r="DF768" s="383"/>
      <c r="DG768" s="383"/>
      <c r="DH768" s="383"/>
      <c r="DI768" s="383"/>
      <c r="DJ768" s="383"/>
      <c r="DK768" s="383"/>
      <c r="DL768" s="383"/>
      <c r="DM768" s="383"/>
      <c r="DN768" s="383"/>
    </row>
    <row r="769" spans="1:119">
      <c r="A769" s="383"/>
      <c r="B769" s="45"/>
      <c r="C769" s="383" t="s">
        <v>396</v>
      </c>
      <c r="D769" s="45"/>
      <c r="E769" s="335">
        <v>3929</v>
      </c>
      <c r="F769" s="336">
        <v>3991</v>
      </c>
      <c r="G769" s="336">
        <v>4155</v>
      </c>
      <c r="H769" s="586">
        <f>I769</f>
        <v>4214</v>
      </c>
      <c r="I769" s="427">
        <v>4214</v>
      </c>
      <c r="J769" s="335">
        <v>4283</v>
      </c>
      <c r="K769" s="336">
        <v>4395</v>
      </c>
      <c r="L769" s="336">
        <v>4757</v>
      </c>
      <c r="M769" s="586">
        <f>N769</f>
        <v>4880</v>
      </c>
      <c r="N769" s="427">
        <v>4880</v>
      </c>
      <c r="O769" s="335">
        <v>5120</v>
      </c>
      <c r="P769" s="336">
        <v>5080</v>
      </c>
      <c r="Q769" s="336">
        <v>5394</v>
      </c>
      <c r="R769" s="586">
        <f>S769</f>
        <v>5313</v>
      </c>
      <c r="S769" s="427">
        <v>5313</v>
      </c>
      <c r="T769" s="335">
        <v>5563</v>
      </c>
      <c r="U769" s="336">
        <v>5526</v>
      </c>
      <c r="V769" s="336">
        <v>5910</v>
      </c>
      <c r="W769" s="586">
        <f>X769</f>
        <v>6014</v>
      </c>
      <c r="X769" s="427">
        <v>6014</v>
      </c>
      <c r="Y769" s="337">
        <v>6347</v>
      </c>
      <c r="Z769" s="338">
        <v>6521</v>
      </c>
      <c r="AA769" s="338">
        <v>6848</v>
      </c>
      <c r="AB769" s="586">
        <f>AC769</f>
        <v>7034</v>
      </c>
      <c r="AC769" s="339">
        <v>7034</v>
      </c>
      <c r="AD769" s="337">
        <v>7245</v>
      </c>
      <c r="AE769" s="338">
        <v>7397</v>
      </c>
      <c r="AF769" s="338">
        <v>7868</v>
      </c>
      <c r="AG769" s="586">
        <f>AH769</f>
        <v>7612</v>
      </c>
      <c r="AH769" s="339">
        <v>7612</v>
      </c>
      <c r="AI769" s="337">
        <v>7905</v>
      </c>
      <c r="AJ769" s="338">
        <v>8146</v>
      </c>
      <c r="AK769" s="338">
        <v>8659</v>
      </c>
      <c r="AL769" s="586">
        <f>AM769</f>
        <v>8639</v>
      </c>
      <c r="AM769" s="2056">
        <v>8639</v>
      </c>
      <c r="AN769" s="337">
        <v>8950</v>
      </c>
      <c r="AO769" s="338">
        <v>9179</v>
      </c>
      <c r="AP769" s="338">
        <v>10004</v>
      </c>
      <c r="AQ769" s="586">
        <f>AR769</f>
        <v>10562</v>
      </c>
      <c r="AR769" s="2056">
        <v>10562</v>
      </c>
      <c r="AS769" s="337">
        <v>10801</v>
      </c>
      <c r="AT769" s="338">
        <v>10550</v>
      </c>
      <c r="AU769" s="338">
        <v>11193</v>
      </c>
      <c r="AV769" s="586">
        <f>AW769</f>
        <v>11428</v>
      </c>
      <c r="AW769" s="2056">
        <v>11428</v>
      </c>
      <c r="AX769" s="290">
        <f>AW769+AX776</f>
        <v>11675.072</v>
      </c>
      <c r="AY769" s="260">
        <f>AX769+AY776</f>
        <v>11923.242150739687</v>
      </c>
      <c r="AZ769" s="260">
        <f>AY769+AZ776</f>
        <v>12172.569727609685</v>
      </c>
      <c r="BA769" s="291">
        <f>AZ769+BA776</f>
        <v>12423.038526644172</v>
      </c>
      <c r="BB769" s="45">
        <f>BA769</f>
        <v>12423.038526644172</v>
      </c>
      <c r="BC769" s="290">
        <f>BB769+BC776</f>
        <v>12681.371696913789</v>
      </c>
      <c r="BD769" s="260">
        <f>BC769+BD776</f>
        <v>12941.660090002741</v>
      </c>
      <c r="BE769" s="260">
        <f>BD769+BE776</f>
        <v>13201.627029806416</v>
      </c>
      <c r="BF769" s="291">
        <f>BE769+BF776</f>
        <v>13461.277137215789</v>
      </c>
      <c r="BG769" s="45">
        <f>BF769</f>
        <v>13461.277137215789</v>
      </c>
      <c r="BH769" s="290">
        <f>BG769+BH776</f>
        <v>13720.614966696532</v>
      </c>
      <c r="BI769" s="260">
        <f>BH769+BI776</f>
        <v>13979.958008710222</v>
      </c>
      <c r="BJ769" s="260">
        <f>BI769+BJ776</f>
        <v>14239.172874360343</v>
      </c>
      <c r="BK769" s="291">
        <f>BJ769+BK776</f>
        <v>14498.26140618212</v>
      </c>
      <c r="BL769" s="45">
        <f>BK769</f>
        <v>14498.26140618212</v>
      </c>
      <c r="BM769" s="290">
        <f>BL769+BM776</f>
        <v>14757.225420224337</v>
      </c>
      <c r="BN769" s="260">
        <f>BM769+BN776</f>
        <v>15016.159516068899</v>
      </c>
      <c r="BO769" s="260">
        <f>BN769+BO776</f>
        <v>15275.055028035697</v>
      </c>
      <c r="BP769" s="291">
        <f>BO769+BP776</f>
        <v>15533.91251076797</v>
      </c>
      <c r="BQ769" s="45">
        <f>BP769</f>
        <v>15533.91251076797</v>
      </c>
      <c r="BR769" s="28"/>
      <c r="BS769" s="28"/>
      <c r="BT769" s="383"/>
      <c r="BU769" t="s">
        <v>1145</v>
      </c>
      <c r="BV769" s="35" t="s">
        <v>1146</v>
      </c>
      <c r="BW769" s="1023">
        <v>10</v>
      </c>
      <c r="BY769" t="s">
        <v>1142</v>
      </c>
      <c r="BZ769" s="951">
        <f t="shared" si="1101"/>
        <v>30.659999999999997</v>
      </c>
      <c r="CA769" s="951">
        <f t="shared" si="1101"/>
        <v>30.659999999999997</v>
      </c>
      <c r="CB769" s="951"/>
      <c r="CC769" s="951">
        <f t="shared" si="1101"/>
        <v>30.659999999999997</v>
      </c>
      <c r="CD769" s="951">
        <f t="shared" si="1101"/>
        <v>30.659999999999997</v>
      </c>
      <c r="CL769" s="383"/>
      <c r="CM769" s="383"/>
      <c r="CN769" s="383"/>
      <c r="CO769" s="383"/>
      <c r="CP769" s="383"/>
      <c r="CQ769" s="383"/>
      <c r="CT769" s="833"/>
      <c r="CU769" s="383"/>
      <c r="CV769" s="383"/>
      <c r="CW769" s="383"/>
      <c r="CX769" s="383"/>
      <c r="CY769" s="383"/>
      <c r="CZ769" s="383"/>
      <c r="DA769" s="383"/>
      <c r="DB769" s="383"/>
      <c r="DC769" s="383"/>
      <c r="DD769" s="383"/>
      <c r="DE769" s="383"/>
      <c r="DF769" s="383"/>
      <c r="DG769" s="383"/>
      <c r="DH769" s="383"/>
      <c r="DI769" s="383"/>
      <c r="DJ769" s="383"/>
      <c r="DK769" s="383"/>
      <c r="DL769" s="383"/>
      <c r="DM769" s="383"/>
      <c r="DN769" s="383"/>
    </row>
    <row r="770" spans="1:119">
      <c r="A770" s="383"/>
      <c r="B770" s="228"/>
      <c r="C770" s="641" t="s">
        <v>142</v>
      </c>
      <c r="D770" s="228"/>
      <c r="E770" s="292">
        <f t="shared" ref="E770:Q770" si="1102">E768-E769</f>
        <v>4538</v>
      </c>
      <c r="F770" s="261">
        <f t="shared" si="1102"/>
        <v>4770</v>
      </c>
      <c r="G770" s="261">
        <f t="shared" si="1102"/>
        <v>5016</v>
      </c>
      <c r="H770" s="293">
        <f t="shared" si="1102"/>
        <v>5505</v>
      </c>
      <c r="I770" s="228">
        <f t="shared" si="1102"/>
        <v>5505</v>
      </c>
      <c r="J770" s="292">
        <f t="shared" si="1102"/>
        <v>5512</v>
      </c>
      <c r="K770" s="261">
        <f t="shared" si="1102"/>
        <v>5647</v>
      </c>
      <c r="L770" s="261">
        <f t="shared" si="1102"/>
        <v>5968</v>
      </c>
      <c r="M770" s="293">
        <f t="shared" si="1102"/>
        <v>7088</v>
      </c>
      <c r="N770" s="228">
        <f t="shared" si="1102"/>
        <v>7088</v>
      </c>
      <c r="O770" s="292">
        <f t="shared" si="1102"/>
        <v>7054</v>
      </c>
      <c r="P770" s="261">
        <f t="shared" si="1102"/>
        <v>7172</v>
      </c>
      <c r="Q770" s="261">
        <f t="shared" si="1102"/>
        <v>7990</v>
      </c>
      <c r="R770" s="293">
        <f t="shared" ref="R770:AA770" si="1103">R768-R769</f>
        <v>8423</v>
      </c>
      <c r="S770" s="228">
        <f t="shared" si="1103"/>
        <v>8423</v>
      </c>
      <c r="T770" s="292">
        <f t="shared" si="1103"/>
        <v>11903</v>
      </c>
      <c r="U770" s="261">
        <f t="shared" si="1103"/>
        <v>12125</v>
      </c>
      <c r="V770" s="261">
        <f t="shared" si="1103"/>
        <v>12541</v>
      </c>
      <c r="W770" s="293">
        <f t="shared" si="1103"/>
        <v>13364</v>
      </c>
      <c r="X770" s="228">
        <f t="shared" si="1103"/>
        <v>13364</v>
      </c>
      <c r="Y770" s="292">
        <f t="shared" si="1103"/>
        <v>13646</v>
      </c>
      <c r="Z770" s="261">
        <f t="shared" si="1103"/>
        <v>13511</v>
      </c>
      <c r="AA770" s="261">
        <f t="shared" si="1103"/>
        <v>13630</v>
      </c>
      <c r="AB770" s="293">
        <f>AB768-AB769</f>
        <v>13786</v>
      </c>
      <c r="AC770" s="228">
        <f>AC768-AC769</f>
        <v>13786</v>
      </c>
      <c r="AD770" s="292">
        <f>AD768-AD769</f>
        <v>12781</v>
      </c>
      <c r="AE770" s="261">
        <f t="shared" ref="AE770:AF770" si="1104">AE768-AE769</f>
        <v>16392</v>
      </c>
      <c r="AF770" s="261">
        <f t="shared" si="1104"/>
        <v>15792</v>
      </c>
      <c r="AG770" s="293">
        <f>AG768-AG769</f>
        <v>15594</v>
      </c>
      <c r="AH770" s="228">
        <f>AH768-AH769</f>
        <v>15594</v>
      </c>
      <c r="AI770" s="292">
        <f>AI768-AI769</f>
        <v>15013</v>
      </c>
      <c r="AJ770" s="261">
        <f t="shared" ref="AJ770:AK770" si="1105">AJ768-AJ769</f>
        <v>15365</v>
      </c>
      <c r="AK770" s="261">
        <f t="shared" si="1105"/>
        <v>16581</v>
      </c>
      <c r="AL770" s="293">
        <f>AL768-AL769</f>
        <v>17442</v>
      </c>
      <c r="AM770" s="228">
        <f>AM768-AM769</f>
        <v>17442</v>
      </c>
      <c r="AN770" s="292">
        <f>AN768-AN769</f>
        <v>17288</v>
      </c>
      <c r="AO770" s="261">
        <f t="shared" ref="AO770:AP770" si="1106">AO768-AO769</f>
        <v>17778</v>
      </c>
      <c r="AP770" s="261">
        <f t="shared" si="1106"/>
        <v>17496</v>
      </c>
      <c r="AQ770" s="293">
        <f>AQ768-AQ769</f>
        <v>16707</v>
      </c>
      <c r="AR770" s="228">
        <f>AR768-AR769</f>
        <v>16707</v>
      </c>
      <c r="AS770" s="292">
        <f t="shared" ref="AS770:BL770" si="1107">AS768-AS769</f>
        <v>18635</v>
      </c>
      <c r="AT770" s="261">
        <f t="shared" si="1107"/>
        <v>18003</v>
      </c>
      <c r="AU770" s="261">
        <f t="shared" si="1107"/>
        <v>17535</v>
      </c>
      <c r="AV770" s="293">
        <f>AV768-AV769</f>
        <v>17648</v>
      </c>
      <c r="AW770" s="228">
        <f>AW768-AW769</f>
        <v>17648</v>
      </c>
      <c r="AX770" s="292">
        <f t="shared" si="1107"/>
        <v>17726.439338548971</v>
      </c>
      <c r="AY770" s="261">
        <f t="shared" si="1107"/>
        <v>17809.112633571294</v>
      </c>
      <c r="AZ770" s="261">
        <f t="shared" si="1107"/>
        <v>17890.628502463303</v>
      </c>
      <c r="BA770" s="293">
        <f t="shared" si="1107"/>
        <v>17971.00314919083</v>
      </c>
      <c r="BB770" s="228">
        <f t="shared" si="1107"/>
        <v>17971.00314919083</v>
      </c>
      <c r="BC770" s="292">
        <f t="shared" si="1107"/>
        <v>18107.018649666174</v>
      </c>
      <c r="BD770" s="261">
        <f t="shared" si="1107"/>
        <v>18084.656681994769</v>
      </c>
      <c r="BE770" s="261">
        <f t="shared" si="1107"/>
        <v>18062.616167608641</v>
      </c>
      <c r="BF770" s="293">
        <f t="shared" si="1107"/>
        <v>18040.892485616816</v>
      </c>
      <c r="BG770" s="228">
        <f t="shared" si="1107"/>
        <v>18040.892485616816</v>
      </c>
      <c r="BH770" s="292">
        <f t="shared" si="1107"/>
        <v>18041.255096604527</v>
      </c>
      <c r="BI770" s="261">
        <f t="shared" si="1107"/>
        <v>18032.338480008384</v>
      </c>
      <c r="BJ770" s="261">
        <f t="shared" si="1107"/>
        <v>18023.550039775808</v>
      </c>
      <c r="BK770" s="293">
        <f t="shared" si="1107"/>
        <v>18014.887933371581</v>
      </c>
      <c r="BL770" s="228">
        <f t="shared" si="1107"/>
        <v>18014.887933371581</v>
      </c>
      <c r="BM770" s="292">
        <f t="shared" ref="BM770:BQ770" si="1108">BM768-BM769</f>
        <v>18012.806667447825</v>
      </c>
      <c r="BN770" s="261">
        <f t="shared" si="1108"/>
        <v>18010.12257160326</v>
      </c>
      <c r="BO770" s="261">
        <f t="shared" si="1108"/>
        <v>18007.477059636461</v>
      </c>
      <c r="BP770" s="293">
        <f t="shared" si="1108"/>
        <v>18004.869576904188</v>
      </c>
      <c r="BQ770" s="228">
        <f t="shared" si="1108"/>
        <v>18004.869576904188</v>
      </c>
      <c r="BR770" s="28"/>
      <c r="BS770" s="28"/>
      <c r="BT770" s="383"/>
      <c r="BU770" t="s">
        <v>1147</v>
      </c>
      <c r="BV770" s="35" t="s">
        <v>1146</v>
      </c>
      <c r="BW770" s="1023">
        <v>10</v>
      </c>
      <c r="BY770" t="s">
        <v>1142</v>
      </c>
      <c r="BZ770" s="951">
        <f t="shared" si="1101"/>
        <v>30.659999999999997</v>
      </c>
      <c r="CA770" s="951">
        <f t="shared" si="1101"/>
        <v>30.659999999999997</v>
      </c>
      <c r="CB770" s="951"/>
      <c r="CC770" s="951">
        <f t="shared" si="1101"/>
        <v>30.659999999999997</v>
      </c>
      <c r="CD770" s="951">
        <f t="shared" si="1101"/>
        <v>30.659999999999997</v>
      </c>
      <c r="CL770" s="383"/>
      <c r="CM770" s="383"/>
      <c r="CN770" s="383"/>
      <c r="CO770" s="383"/>
      <c r="CP770" s="383"/>
      <c r="CQ770" s="383"/>
      <c r="CT770" s="833"/>
      <c r="CU770" s="383"/>
      <c r="CV770" s="383"/>
      <c r="CW770" s="383"/>
      <c r="CX770" s="383"/>
      <c r="CY770" s="383"/>
      <c r="CZ770" s="383"/>
      <c r="DA770" s="383"/>
      <c r="DB770" s="383"/>
      <c r="DC770" s="383"/>
      <c r="DD770" s="383"/>
      <c r="DE770" s="383"/>
      <c r="DF770" s="383"/>
      <c r="DG770" s="383"/>
      <c r="DH770" s="383"/>
      <c r="DI770" s="383"/>
      <c r="DJ770" s="383"/>
      <c r="DK770" s="383"/>
      <c r="DL770" s="383"/>
      <c r="DM770" s="383"/>
      <c r="DN770" s="383"/>
    </row>
    <row r="771" spans="1:119">
      <c r="A771" s="383"/>
      <c r="B771" s="45"/>
      <c r="C771" s="383"/>
      <c r="D771" s="4"/>
      <c r="E771" s="335"/>
      <c r="F771" s="260"/>
      <c r="G771" s="260"/>
      <c r="H771" s="291"/>
      <c r="I771" s="45"/>
      <c r="J771" s="290"/>
      <c r="K771" s="260"/>
      <c r="L771" s="260"/>
      <c r="M771" s="291"/>
      <c r="N771" s="45"/>
      <c r="O771" s="290"/>
      <c r="P771" s="260"/>
      <c r="Q771" s="260"/>
      <c r="R771" s="291"/>
      <c r="S771" s="45"/>
      <c r="T771" s="290"/>
      <c r="U771" s="260"/>
      <c r="V771" s="260"/>
      <c r="W771" s="291"/>
      <c r="X771" s="45"/>
      <c r="Y771" s="290"/>
      <c r="Z771" s="260"/>
      <c r="AA771" s="260"/>
      <c r="AB771" s="291"/>
      <c r="AC771" s="45"/>
      <c r="AD771" s="290"/>
      <c r="AE771" s="260"/>
      <c r="AF771" s="260"/>
      <c r="AG771" s="291"/>
      <c r="AH771" s="45"/>
      <c r="AI771" s="290"/>
      <c r="AJ771" s="260"/>
      <c r="AK771" s="260"/>
      <c r="AL771" s="291"/>
      <c r="AM771" s="45"/>
      <c r="AN771" s="290"/>
      <c r="AO771" s="260"/>
      <c r="AP771" s="260"/>
      <c r="AQ771" s="291"/>
      <c r="AR771" s="45"/>
      <c r="AS771" s="290"/>
      <c r="AT771" s="260"/>
      <c r="AU771" s="260"/>
      <c r="AV771" s="291"/>
      <c r="AW771" s="45"/>
      <c r="AX771" s="290"/>
      <c r="AY771" s="260"/>
      <c r="AZ771" s="260"/>
      <c r="BA771" s="291"/>
      <c r="BB771" s="45"/>
      <c r="BC771" s="290"/>
      <c r="BD771" s="260"/>
      <c r="BE771" s="260"/>
      <c r="BF771" s="291"/>
      <c r="BG771" s="45"/>
      <c r="BH771" s="290"/>
      <c r="BI771" s="260"/>
      <c r="BJ771" s="260"/>
      <c r="BK771" s="291"/>
      <c r="BL771" s="45"/>
      <c r="BM771" s="290"/>
      <c r="BN771" s="260"/>
      <c r="BO771" s="260"/>
      <c r="BP771" s="291"/>
      <c r="BQ771" s="45"/>
      <c r="BR771" s="28"/>
      <c r="BS771" s="28"/>
      <c r="BT771" s="383"/>
      <c r="BU771" t="s">
        <v>1148</v>
      </c>
      <c r="BV771" s="35" t="s">
        <v>1146</v>
      </c>
      <c r="BW771" s="1023">
        <v>10</v>
      </c>
      <c r="BY771" t="s">
        <v>1142</v>
      </c>
      <c r="BZ771" s="951">
        <f t="shared" si="1101"/>
        <v>30.659999999999997</v>
      </c>
      <c r="CA771" s="951">
        <f t="shared" si="1101"/>
        <v>30.659999999999997</v>
      </c>
      <c r="CB771" s="951"/>
      <c r="CC771" s="951">
        <f t="shared" si="1101"/>
        <v>30.659999999999997</v>
      </c>
      <c r="CD771" s="951">
        <f t="shared" si="1101"/>
        <v>30.659999999999997</v>
      </c>
      <c r="CL771" s="383"/>
      <c r="CM771" s="383"/>
      <c r="CN771" s="383"/>
      <c r="CO771" s="383"/>
      <c r="CP771" s="383"/>
      <c r="CQ771" s="383"/>
      <c r="CT771" s="833"/>
      <c r="CU771" s="383"/>
      <c r="CV771" s="383"/>
      <c r="CW771" s="383"/>
      <c r="CX771" s="383"/>
      <c r="CY771" s="383"/>
      <c r="CZ771" s="383"/>
      <c r="DA771" s="383"/>
      <c r="DB771" s="383"/>
      <c r="DC771" s="383"/>
      <c r="DD771" s="383"/>
      <c r="DE771" s="383"/>
      <c r="DF771" s="383"/>
      <c r="DG771" s="383"/>
      <c r="DH771" s="383"/>
      <c r="DI771" s="383"/>
      <c r="DJ771" s="383"/>
      <c r="DK771" s="383"/>
      <c r="DL771" s="383"/>
      <c r="DM771" s="383"/>
      <c r="DN771" s="383"/>
    </row>
    <row r="772" spans="1:119">
      <c r="A772" s="45"/>
      <c r="B772" s="45"/>
      <c r="C772" s="383" t="s">
        <v>624</v>
      </c>
      <c r="D772" s="45"/>
      <c r="E772" s="290">
        <f>F772</f>
        <v>3340</v>
      </c>
      <c r="F772" s="260">
        <f>G772</f>
        <v>3340</v>
      </c>
      <c r="G772" s="260">
        <f>H772</f>
        <v>3340</v>
      </c>
      <c r="H772" s="291">
        <f>I772</f>
        <v>3340</v>
      </c>
      <c r="I772" s="427">
        <v>3340</v>
      </c>
      <c r="J772" s="290">
        <f>K772</f>
        <v>3725</v>
      </c>
      <c r="K772" s="260">
        <f>L772</f>
        <v>3725</v>
      </c>
      <c r="L772" s="260">
        <f>M772</f>
        <v>3725</v>
      </c>
      <c r="M772" s="291">
        <f>N772</f>
        <v>3725</v>
      </c>
      <c r="N772" s="427">
        <v>3725</v>
      </c>
      <c r="O772" s="290">
        <f>P772</f>
        <v>4225</v>
      </c>
      <c r="P772" s="260">
        <f>Q772</f>
        <v>4225</v>
      </c>
      <c r="Q772" s="260">
        <f>R772</f>
        <v>4225</v>
      </c>
      <c r="R772" s="291">
        <f>S772</f>
        <v>4225</v>
      </c>
      <c r="S772" s="427">
        <v>4225</v>
      </c>
      <c r="T772" s="648">
        <f>+S772</f>
        <v>4225</v>
      </c>
      <c r="U772" s="646">
        <f>+T772</f>
        <v>4225</v>
      </c>
      <c r="V772" s="260">
        <f>W772</f>
        <v>4815</v>
      </c>
      <c r="W772" s="291">
        <f>X772</f>
        <v>4815</v>
      </c>
      <c r="X772" s="427">
        <v>4815</v>
      </c>
      <c r="Y772" s="648">
        <f>+X772</f>
        <v>4815</v>
      </c>
      <c r="Z772" s="646">
        <f>+Y772</f>
        <v>4815</v>
      </c>
      <c r="AA772" s="646">
        <f>+Z772</f>
        <v>4815</v>
      </c>
      <c r="AB772" s="291">
        <f>AC772</f>
        <v>5196</v>
      </c>
      <c r="AC772" s="339">
        <v>5196</v>
      </c>
      <c r="AD772" s="648">
        <f>+AH772</f>
        <v>5947</v>
      </c>
      <c r="AE772" s="649">
        <f>+AD772</f>
        <v>5947</v>
      </c>
      <c r="AF772" s="649">
        <f>+AE772</f>
        <v>5947</v>
      </c>
      <c r="AG772" s="291">
        <f>+AF772</f>
        <v>5947</v>
      </c>
      <c r="AH772" s="339">
        <v>5947</v>
      </c>
      <c r="AI772" s="648">
        <f>+AJ772</f>
        <v>6384</v>
      </c>
      <c r="AJ772" s="649">
        <f t="shared" ref="AJ772:AL774" si="1109">+AK772</f>
        <v>6384</v>
      </c>
      <c r="AK772" s="649">
        <f t="shared" si="1109"/>
        <v>6384</v>
      </c>
      <c r="AL772" s="291">
        <f t="shared" si="1109"/>
        <v>6384</v>
      </c>
      <c r="AM772" s="2056">
        <v>6384</v>
      </c>
      <c r="AN772" s="648">
        <f>+AR772</f>
        <v>6546</v>
      </c>
      <c r="AO772" s="649">
        <f>+AN772</f>
        <v>6546</v>
      </c>
      <c r="AP772" s="649">
        <f>+AO772</f>
        <v>6546</v>
      </c>
      <c r="AQ772" s="291">
        <f t="shared" ref="AQ772" si="1110">+AR772</f>
        <v>6546</v>
      </c>
      <c r="AR772" s="2056">
        <v>6546</v>
      </c>
      <c r="AS772" s="648">
        <f>+AW772</f>
        <v>6420</v>
      </c>
      <c r="AT772" s="649">
        <f>+AS772</f>
        <v>6420</v>
      </c>
      <c r="AU772" s="649">
        <f t="shared" ref="AU772" si="1111">+AT772</f>
        <v>6420</v>
      </c>
      <c r="AV772" s="291">
        <f t="shared" ref="AV772" si="1112">+AW772</f>
        <v>6420</v>
      </c>
      <c r="AW772" s="2056">
        <v>6420</v>
      </c>
      <c r="AX772" s="648">
        <f t="shared" ref="AX772:BL772" si="1113">+AW772</f>
        <v>6420</v>
      </c>
      <c r="AY772" s="646">
        <f t="shared" si="1113"/>
        <v>6420</v>
      </c>
      <c r="AZ772" s="646">
        <f t="shared" si="1113"/>
        <v>6420</v>
      </c>
      <c r="BA772" s="586">
        <f t="shared" si="1113"/>
        <v>6420</v>
      </c>
      <c r="BB772" s="647">
        <f t="shared" si="1113"/>
        <v>6420</v>
      </c>
      <c r="BC772" s="648">
        <f t="shared" si="1113"/>
        <v>6420</v>
      </c>
      <c r="BD772" s="646">
        <f t="shared" si="1113"/>
        <v>6420</v>
      </c>
      <c r="BE772" s="646">
        <f t="shared" si="1113"/>
        <v>6420</v>
      </c>
      <c r="BF772" s="586">
        <f t="shared" si="1113"/>
        <v>6420</v>
      </c>
      <c r="BG772" s="647">
        <f>+BF772</f>
        <v>6420</v>
      </c>
      <c r="BH772" s="648">
        <f>+BG772</f>
        <v>6420</v>
      </c>
      <c r="BI772" s="646">
        <f t="shared" si="1113"/>
        <v>6420</v>
      </c>
      <c r="BJ772" s="646">
        <f t="shared" si="1113"/>
        <v>6420</v>
      </c>
      <c r="BK772" s="586">
        <f t="shared" si="1113"/>
        <v>6420</v>
      </c>
      <c r="BL772" s="647">
        <f t="shared" si="1113"/>
        <v>6420</v>
      </c>
      <c r="BM772" s="648">
        <f t="shared" ref="BM772" si="1114">+BL772</f>
        <v>6420</v>
      </c>
      <c r="BN772" s="646">
        <f t="shared" ref="BN772" si="1115">+BM772</f>
        <v>6420</v>
      </c>
      <c r="BO772" s="646">
        <f t="shared" ref="BO772" si="1116">+BN772</f>
        <v>6420</v>
      </c>
      <c r="BP772" s="586">
        <f t="shared" ref="BP772" si="1117">+BO772</f>
        <v>6420</v>
      </c>
      <c r="BQ772" s="647">
        <f t="shared" ref="BQ772" si="1118">+BP772</f>
        <v>6420</v>
      </c>
      <c r="BR772" s="28"/>
      <c r="BS772" s="28"/>
      <c r="BT772" s="45"/>
      <c r="BU772" t="s">
        <v>1149</v>
      </c>
      <c r="BV772" s="35" t="s">
        <v>1150</v>
      </c>
      <c r="BW772" s="1023">
        <v>10</v>
      </c>
      <c r="BY772" t="s">
        <v>1142</v>
      </c>
      <c r="BZ772" s="951">
        <f t="shared" si="1101"/>
        <v>30.659999999999997</v>
      </c>
      <c r="CA772" s="951">
        <f t="shared" si="1101"/>
        <v>30.659999999999997</v>
      </c>
      <c r="CB772" s="951"/>
      <c r="CC772" s="951">
        <f t="shared" si="1101"/>
        <v>30.659999999999997</v>
      </c>
      <c r="CD772" s="951">
        <f t="shared" si="1101"/>
        <v>30.659999999999997</v>
      </c>
      <c r="CL772" s="45"/>
      <c r="CM772" s="45"/>
      <c r="CN772" s="45"/>
      <c r="CO772" s="45"/>
      <c r="CP772" s="45"/>
      <c r="CQ772" s="45"/>
      <c r="CT772" s="821"/>
      <c r="CU772" s="45"/>
      <c r="CV772" s="45"/>
      <c r="CW772" s="45"/>
      <c r="CX772" s="45"/>
      <c r="CY772" s="45"/>
      <c r="CZ772" s="45"/>
      <c r="DA772" s="45"/>
      <c r="DB772" s="45"/>
      <c r="DC772" s="45"/>
      <c r="DD772" s="45"/>
      <c r="DE772" s="45"/>
      <c r="DF772" s="45"/>
      <c r="DG772" s="45"/>
      <c r="DH772" s="45"/>
      <c r="DI772" s="45"/>
      <c r="DJ772" s="45"/>
      <c r="DK772" s="45"/>
      <c r="DL772" s="45"/>
      <c r="DM772" s="45"/>
      <c r="DN772" s="45"/>
    </row>
    <row r="773" spans="1:119">
      <c r="A773" s="45"/>
      <c r="B773" s="45"/>
      <c r="C773" s="383"/>
      <c r="D773" s="44"/>
      <c r="E773" s="290"/>
      <c r="F773" s="260"/>
      <c r="G773" s="260"/>
      <c r="H773" s="291"/>
      <c r="I773" s="45"/>
      <c r="J773" s="290"/>
      <c r="K773" s="260"/>
      <c r="L773" s="260"/>
      <c r="M773" s="291"/>
      <c r="N773" s="45"/>
      <c r="O773" s="290"/>
      <c r="P773" s="260"/>
      <c r="Q773" s="260"/>
      <c r="R773" s="291"/>
      <c r="S773" s="45"/>
      <c r="T773" s="290"/>
      <c r="U773" s="260"/>
      <c r="V773" s="260"/>
      <c r="W773" s="291"/>
      <c r="X773" s="45"/>
      <c r="Y773" s="290"/>
      <c r="Z773" s="260"/>
      <c r="AA773" s="260"/>
      <c r="AB773" s="291"/>
      <c r="AC773" s="45"/>
      <c r="AD773" s="290"/>
      <c r="AE773" s="260"/>
      <c r="AF773" s="260"/>
      <c r="AG773" s="291"/>
      <c r="AH773" s="45"/>
      <c r="AI773" s="290"/>
      <c r="AJ773" s="260"/>
      <c r="AK773" s="260"/>
      <c r="AL773" s="291"/>
      <c r="AM773" s="45"/>
      <c r="AN773" s="290"/>
      <c r="AO773" s="260"/>
      <c r="AP773" s="260"/>
      <c r="AQ773" s="291"/>
      <c r="AR773" s="45"/>
      <c r="AS773" s="290"/>
      <c r="AT773" s="260"/>
      <c r="AU773" s="260"/>
      <c r="AV773" s="291"/>
      <c r="AW773" s="45"/>
      <c r="AX773" s="290"/>
      <c r="AY773" s="260"/>
      <c r="AZ773" s="260"/>
      <c r="BA773" s="291"/>
      <c r="BB773" s="45"/>
      <c r="BC773" s="290"/>
      <c r="BD773" s="260"/>
      <c r="BE773" s="260"/>
      <c r="BF773" s="291"/>
      <c r="BG773" s="45"/>
      <c r="BH773" s="290"/>
      <c r="BI773" s="260"/>
      <c r="BJ773" s="260"/>
      <c r="BK773" s="291"/>
      <c r="BL773" s="45"/>
      <c r="BM773" s="290"/>
      <c r="BN773" s="260"/>
      <c r="BO773" s="260"/>
      <c r="BP773" s="291"/>
      <c r="BQ773" s="45"/>
      <c r="BR773" s="28"/>
      <c r="BS773" s="28"/>
      <c r="BT773" s="45"/>
      <c r="BU773" t="s">
        <v>1151</v>
      </c>
      <c r="BV773" s="35" t="s">
        <v>1152</v>
      </c>
      <c r="BW773" s="1023">
        <v>9</v>
      </c>
      <c r="BY773" t="s">
        <v>1142</v>
      </c>
      <c r="BZ773" s="951">
        <f t="shared" si="1101"/>
        <v>27.594000000000001</v>
      </c>
      <c r="CA773" s="951">
        <f t="shared" si="1101"/>
        <v>27.594000000000001</v>
      </c>
      <c r="CB773" s="951"/>
      <c r="CC773" s="951">
        <f t="shared" si="1101"/>
        <v>27.594000000000001</v>
      </c>
      <c r="CD773" s="951">
        <f t="shared" si="1101"/>
        <v>27.594000000000001</v>
      </c>
      <c r="CL773" s="45"/>
      <c r="CM773" s="45"/>
      <c r="CN773" s="45"/>
      <c r="CO773" s="45"/>
      <c r="CP773" s="45"/>
      <c r="CQ773" s="45"/>
      <c r="CT773" s="821"/>
      <c r="CU773" s="45"/>
      <c r="CV773" s="45"/>
      <c r="CW773" s="45"/>
      <c r="CX773" s="45"/>
      <c r="CY773" s="45"/>
      <c r="CZ773" s="45"/>
      <c r="DA773" s="45"/>
      <c r="DB773" s="45"/>
      <c r="DC773" s="45"/>
      <c r="DD773" s="45"/>
      <c r="DE773" s="45"/>
      <c r="DF773" s="45"/>
      <c r="DG773" s="45"/>
      <c r="DH773" s="45"/>
      <c r="DI773" s="45"/>
      <c r="DJ773" s="45"/>
      <c r="DK773" s="45"/>
      <c r="DL773" s="45"/>
      <c r="DM773" s="45"/>
      <c r="DN773" s="45"/>
    </row>
    <row r="774" spans="1:119">
      <c r="A774" s="45"/>
      <c r="B774" s="228"/>
      <c r="C774" s="383" t="s">
        <v>476</v>
      </c>
      <c r="D774" s="45"/>
      <c r="E774" s="290">
        <f>F774</f>
        <v>964</v>
      </c>
      <c r="F774" s="260">
        <f>G774</f>
        <v>964</v>
      </c>
      <c r="G774" s="260">
        <f>H774</f>
        <v>964</v>
      </c>
      <c r="H774" s="291">
        <f>I774</f>
        <v>964</v>
      </c>
      <c r="I774" s="427">
        <v>964</v>
      </c>
      <c r="J774" s="290">
        <f>K774</f>
        <v>849</v>
      </c>
      <c r="K774" s="260">
        <f>L774</f>
        <v>849</v>
      </c>
      <c r="L774" s="260">
        <f>M774</f>
        <v>849</v>
      </c>
      <c r="M774" s="291">
        <f>N774</f>
        <v>849</v>
      </c>
      <c r="N774" s="427">
        <v>849</v>
      </c>
      <c r="O774" s="290">
        <f>P774</f>
        <v>827</v>
      </c>
      <c r="P774" s="260">
        <f>Q774</f>
        <v>827</v>
      </c>
      <c r="Q774" s="260">
        <f>R774</f>
        <v>827</v>
      </c>
      <c r="R774" s="291">
        <f>S774</f>
        <v>827</v>
      </c>
      <c r="S774" s="427">
        <v>827</v>
      </c>
      <c r="T774" s="648">
        <f>U774</f>
        <v>1352</v>
      </c>
      <c r="U774" s="649">
        <f>V774</f>
        <v>1352</v>
      </c>
      <c r="V774" s="260">
        <f>W774</f>
        <v>1352</v>
      </c>
      <c r="W774" s="291">
        <f>X774</f>
        <v>1352</v>
      </c>
      <c r="X774" s="427">
        <v>1352</v>
      </c>
      <c r="Y774" s="648">
        <f>+X774</f>
        <v>1352</v>
      </c>
      <c r="Z774" s="649">
        <f>+Y774</f>
        <v>1352</v>
      </c>
      <c r="AA774" s="649">
        <f>+Z774</f>
        <v>1352</v>
      </c>
      <c r="AB774" s="291">
        <f>AC774</f>
        <v>1129</v>
      </c>
      <c r="AC774" s="339">
        <v>1129</v>
      </c>
      <c r="AD774" s="648">
        <f>+AH774</f>
        <v>1404</v>
      </c>
      <c r="AE774" s="649">
        <f>+AD774</f>
        <v>1404</v>
      </c>
      <c r="AF774" s="649">
        <f>+AE774</f>
        <v>1404</v>
      </c>
      <c r="AG774" s="291">
        <f>+AF774</f>
        <v>1404</v>
      </c>
      <c r="AH774" s="339">
        <v>1404</v>
      </c>
      <c r="AI774" s="648">
        <f>+AJ774</f>
        <v>2017</v>
      </c>
      <c r="AJ774" s="649">
        <f t="shared" si="1109"/>
        <v>2017</v>
      </c>
      <c r="AK774" s="649">
        <f t="shared" si="1109"/>
        <v>2017</v>
      </c>
      <c r="AL774" s="291">
        <f t="shared" si="1109"/>
        <v>2017</v>
      </c>
      <c r="AM774" s="2056">
        <v>2017</v>
      </c>
      <c r="AN774" s="648">
        <f>+AR774</f>
        <v>2332</v>
      </c>
      <c r="AO774" s="649">
        <f>+AN774</f>
        <v>2332</v>
      </c>
      <c r="AP774" s="649">
        <f>+AO774</f>
        <v>2332</v>
      </c>
      <c r="AQ774" s="291">
        <f t="shared" ref="AQ774" si="1119">+AR774</f>
        <v>2332</v>
      </c>
      <c r="AR774" s="2056">
        <v>2332</v>
      </c>
      <c r="AS774" s="648">
        <f>+AW774</f>
        <v>838</v>
      </c>
      <c r="AT774" s="649">
        <f>+AS774</f>
        <v>838</v>
      </c>
      <c r="AU774" s="649">
        <f t="shared" ref="AU774" si="1120">+AT774</f>
        <v>838</v>
      </c>
      <c r="AV774" s="291">
        <f t="shared" ref="AV774" si="1121">+AW774</f>
        <v>838</v>
      </c>
      <c r="AW774" s="2056">
        <v>838</v>
      </c>
      <c r="AX774" s="648">
        <f>AX780*BB791</f>
        <v>843.33210721303726</v>
      </c>
      <c r="AY774" s="649">
        <f>AY780*BB791</f>
        <v>843.33210721303726</v>
      </c>
      <c r="AZ774" s="649">
        <f>AZ780*BB791</f>
        <v>843.33210721303726</v>
      </c>
      <c r="BA774" s="586">
        <f>+BA780*BB791</f>
        <v>843.33210721303726</v>
      </c>
      <c r="BB774" s="590">
        <f>BA774</f>
        <v>843.33210721303726</v>
      </c>
      <c r="BC774" s="648">
        <f>BC780*BG791</f>
        <v>686.90986188562022</v>
      </c>
      <c r="BD774" s="649">
        <f>BD780*BG791</f>
        <v>686.90986188562022</v>
      </c>
      <c r="BE774" s="649">
        <f>BE780*BG791</f>
        <v>686.90986188562022</v>
      </c>
      <c r="BF774" s="586">
        <f>+BF780*BG791</f>
        <v>686.90986188562022</v>
      </c>
      <c r="BG774" s="590">
        <f>BF774</f>
        <v>686.90986188562022</v>
      </c>
      <c r="BH774" s="648">
        <f>BH780*BL791</f>
        <v>677.63584683471265</v>
      </c>
      <c r="BI774" s="649">
        <f>BI780*BL791</f>
        <v>677.63584683471265</v>
      </c>
      <c r="BJ774" s="649">
        <f>BJ780*BL791</f>
        <v>677.63584683471265</v>
      </c>
      <c r="BK774" s="586">
        <f>+BK780*BL791</f>
        <v>677.63584683471265</v>
      </c>
      <c r="BL774" s="590">
        <f>BK774</f>
        <v>677.63584683471265</v>
      </c>
      <c r="BM774" s="648">
        <f>BM780*BQ791</f>
        <v>677.00309871624609</v>
      </c>
      <c r="BN774" s="649">
        <f>BN780*BQ791</f>
        <v>677.00309871624609</v>
      </c>
      <c r="BO774" s="649">
        <f>BO780*BQ791</f>
        <v>677.00309871624609</v>
      </c>
      <c r="BP774" s="586">
        <f>+BP780*BQ791</f>
        <v>677.00309871624609</v>
      </c>
      <c r="BQ774" s="590">
        <f>BP774</f>
        <v>677.00309871624609</v>
      </c>
      <c r="BR774" s="28"/>
      <c r="BS774" s="28"/>
      <c r="BT774" s="45"/>
      <c r="BU774" t="s">
        <v>1153</v>
      </c>
      <c r="BV774" s="35" t="s">
        <v>1154</v>
      </c>
      <c r="BW774" s="1023">
        <v>6</v>
      </c>
      <c r="BY774" t="s">
        <v>1142</v>
      </c>
      <c r="BZ774" s="951">
        <f t="shared" si="1101"/>
        <v>18.396000000000001</v>
      </c>
      <c r="CA774" s="951">
        <f t="shared" si="1101"/>
        <v>18.396000000000001</v>
      </c>
      <c r="CB774" s="951"/>
      <c r="CC774" s="951">
        <f t="shared" si="1101"/>
        <v>18.396000000000001</v>
      </c>
      <c r="CD774" s="951">
        <f t="shared" si="1101"/>
        <v>18.396000000000001</v>
      </c>
      <c r="CL774" s="383"/>
      <c r="CM774" s="383"/>
      <c r="CN774" s="383"/>
      <c r="CO774" s="383"/>
      <c r="CP774" s="383"/>
      <c r="CQ774" s="45"/>
      <c r="CT774" s="821"/>
      <c r="CU774" s="45"/>
      <c r="CV774" s="45"/>
      <c r="CW774" s="45"/>
      <c r="CX774" s="45"/>
      <c r="CY774" s="45"/>
      <c r="CZ774" s="45"/>
      <c r="DA774" s="45"/>
      <c r="DB774" s="45"/>
      <c r="DC774" s="45"/>
      <c r="DD774" s="45"/>
      <c r="DE774" s="45"/>
      <c r="DF774" s="45"/>
      <c r="DG774" s="45"/>
      <c r="DH774" s="45"/>
      <c r="DI774" s="45"/>
      <c r="DJ774" s="45"/>
      <c r="DK774" s="45"/>
      <c r="DL774" s="45"/>
      <c r="DM774" s="45"/>
      <c r="DN774" s="45"/>
    </row>
    <row r="775" spans="1:119">
      <c r="A775" s="383"/>
      <c r="B775" s="45"/>
      <c r="C775" s="383"/>
      <c r="D775" s="45"/>
      <c r="E775" s="290"/>
      <c r="F775" s="260"/>
      <c r="G775" s="260"/>
      <c r="H775" s="291"/>
      <c r="I775" s="45"/>
      <c r="J775" s="290"/>
      <c r="K775" s="260"/>
      <c r="L775" s="260"/>
      <c r="M775" s="291"/>
      <c r="N775" s="45"/>
      <c r="O775" s="290"/>
      <c r="P775" s="260"/>
      <c r="Q775" s="260"/>
      <c r="R775" s="291"/>
      <c r="S775" s="45"/>
      <c r="T775" s="290"/>
      <c r="U775" s="260"/>
      <c r="V775" s="260"/>
      <c r="W775" s="291"/>
      <c r="X775" s="45"/>
      <c r="Y775" s="290"/>
      <c r="Z775" s="260"/>
      <c r="AA775" s="260"/>
      <c r="AB775" s="291"/>
      <c r="AC775" s="45"/>
      <c r="AD775" s="290"/>
      <c r="AE775" s="260"/>
      <c r="AF775" s="260"/>
      <c r="AG775" s="291"/>
      <c r="AH775" s="45"/>
      <c r="AI775" s="290"/>
      <c r="AJ775" s="260"/>
      <c r="AK775" s="260"/>
      <c r="AL775" s="291"/>
      <c r="AM775" s="45"/>
      <c r="AN775" s="290"/>
      <c r="AO775" s="260"/>
      <c r="AP775" s="260"/>
      <c r="AQ775" s="291"/>
      <c r="AR775" s="45"/>
      <c r="AS775" s="290"/>
      <c r="AT775" s="260"/>
      <c r="AU775" s="260"/>
      <c r="AV775" s="291"/>
      <c r="AW775" s="45"/>
      <c r="AX775" s="290"/>
      <c r="AY775" s="260"/>
      <c r="AZ775" s="260"/>
      <c r="BA775" s="291"/>
      <c r="BB775" s="45"/>
      <c r="BC775" s="290"/>
      <c r="BD775" s="260"/>
      <c r="BE775" s="260"/>
      <c r="BF775" s="291"/>
      <c r="BG775" s="45"/>
      <c r="BH775" s="290"/>
      <c r="BI775" s="260"/>
      <c r="BJ775" s="260"/>
      <c r="BK775" s="291"/>
      <c r="BL775" s="45"/>
      <c r="BM775" s="290"/>
      <c r="BN775" s="260"/>
      <c r="BO775" s="260"/>
      <c r="BP775" s="291"/>
      <c r="BQ775" s="45"/>
      <c r="BR775" s="28"/>
      <c r="BS775" s="28"/>
      <c r="BT775" s="383"/>
      <c r="BU775" t="s">
        <v>1155</v>
      </c>
      <c r="BV775" s="35" t="s">
        <v>1156</v>
      </c>
      <c r="BW775" s="1023">
        <v>8</v>
      </c>
      <c r="BY775" t="s">
        <v>1142</v>
      </c>
      <c r="BZ775" s="951">
        <f t="shared" si="1101"/>
        <v>24.527999999999999</v>
      </c>
      <c r="CA775" s="951">
        <f t="shared" si="1101"/>
        <v>24.527999999999999</v>
      </c>
      <c r="CB775" s="951"/>
      <c r="CC775" s="951">
        <f t="shared" si="1101"/>
        <v>24.527999999999999</v>
      </c>
      <c r="CD775" s="951">
        <f t="shared" si="1101"/>
        <v>24.527999999999999</v>
      </c>
      <c r="CE775" s="951">
        <f t="shared" ref="CE775:CE806" si="1122">$BW775*8.76*CE$811</f>
        <v>24.527999999999999</v>
      </c>
      <c r="CL775" s="383"/>
      <c r="CM775" s="383"/>
      <c r="CN775" s="383"/>
      <c r="CO775" s="383"/>
      <c r="CP775" s="383"/>
      <c r="CQ775" s="383"/>
      <c r="CT775" s="833"/>
      <c r="CU775" s="383"/>
      <c r="CV775" s="383"/>
      <c r="CW775" s="383"/>
      <c r="CX775" s="383"/>
      <c r="CY775" s="383"/>
      <c r="CZ775" s="383"/>
      <c r="DA775" s="383"/>
      <c r="DB775" s="383"/>
      <c r="DC775" s="383"/>
      <c r="DD775" s="383"/>
      <c r="DE775" s="383"/>
      <c r="DF775" s="383"/>
      <c r="DG775" s="383"/>
      <c r="DH775" s="383"/>
      <c r="DI775" s="383"/>
      <c r="DJ775" s="383"/>
      <c r="DK775" s="383"/>
      <c r="DL775" s="383"/>
      <c r="DM775" s="383"/>
      <c r="DN775" s="383"/>
    </row>
    <row r="776" spans="1:119">
      <c r="A776" s="383"/>
      <c r="B776" s="228"/>
      <c r="C776" s="641" t="s">
        <v>587</v>
      </c>
      <c r="D776" s="228"/>
      <c r="E776" s="292">
        <f t="shared" ref="E776:AO776" si="1123">+E13</f>
        <v>76</v>
      </c>
      <c r="F776" s="261">
        <f t="shared" si="1123"/>
        <v>72</v>
      </c>
      <c r="G776" s="261">
        <f t="shared" si="1123"/>
        <v>74</v>
      </c>
      <c r="H776" s="293">
        <f t="shared" si="1123"/>
        <v>111</v>
      </c>
      <c r="I776" s="228">
        <f t="shared" si="1123"/>
        <v>333</v>
      </c>
      <c r="J776" s="292">
        <f t="shared" si="1123"/>
        <v>109</v>
      </c>
      <c r="K776" s="261">
        <f t="shared" si="1123"/>
        <v>115</v>
      </c>
      <c r="L776" s="261">
        <f t="shared" si="1123"/>
        <v>121</v>
      </c>
      <c r="M776" s="293">
        <f t="shared" si="1123"/>
        <v>129</v>
      </c>
      <c r="N776" s="228">
        <f t="shared" si="1123"/>
        <v>474</v>
      </c>
      <c r="O776" s="292">
        <f t="shared" si="1123"/>
        <v>139</v>
      </c>
      <c r="P776" s="261">
        <f t="shared" si="1123"/>
        <v>138</v>
      </c>
      <c r="Q776" s="261">
        <f t="shared" si="1123"/>
        <v>139</v>
      </c>
      <c r="R776" s="293">
        <f t="shared" si="1123"/>
        <v>154</v>
      </c>
      <c r="S776" s="228">
        <f t="shared" si="1123"/>
        <v>570</v>
      </c>
      <c r="T776" s="292">
        <f t="shared" si="1123"/>
        <v>153</v>
      </c>
      <c r="U776" s="261">
        <f t="shared" si="1123"/>
        <v>204</v>
      </c>
      <c r="V776" s="261">
        <f t="shared" si="1123"/>
        <v>207</v>
      </c>
      <c r="W776" s="293">
        <f t="shared" si="1123"/>
        <v>204</v>
      </c>
      <c r="X776" s="228">
        <f t="shared" si="1123"/>
        <v>768</v>
      </c>
      <c r="Y776" s="292">
        <f t="shared" si="1123"/>
        <v>214</v>
      </c>
      <c r="Z776" s="261">
        <f t="shared" si="1123"/>
        <v>210</v>
      </c>
      <c r="AA776" s="261">
        <f t="shared" si="1123"/>
        <v>218</v>
      </c>
      <c r="AB776" s="293">
        <f t="shared" si="1123"/>
        <v>214</v>
      </c>
      <c r="AC776" s="228">
        <f t="shared" si="1123"/>
        <v>856</v>
      </c>
      <c r="AD776" s="292">
        <f t="shared" si="1123"/>
        <v>211</v>
      </c>
      <c r="AE776" s="261">
        <f t="shared" si="1123"/>
        <v>254</v>
      </c>
      <c r="AF776" s="261">
        <f t="shared" si="1123"/>
        <v>253</v>
      </c>
      <c r="AG776" s="293">
        <f t="shared" si="1123"/>
        <v>249</v>
      </c>
      <c r="AH776" s="228">
        <f t="shared" si="1123"/>
        <v>967</v>
      </c>
      <c r="AI776" s="292">
        <f t="shared" si="1123"/>
        <v>254</v>
      </c>
      <c r="AJ776" s="261">
        <f t="shared" si="1123"/>
        <v>255</v>
      </c>
      <c r="AK776" s="261">
        <f t="shared" si="1123"/>
        <v>264</v>
      </c>
      <c r="AL776" s="293">
        <f t="shared" si="1123"/>
        <v>281</v>
      </c>
      <c r="AM776" s="228">
        <f t="shared" si="1123"/>
        <v>1054</v>
      </c>
      <c r="AN776" s="292">
        <f t="shared" si="1123"/>
        <v>289</v>
      </c>
      <c r="AO776" s="261">
        <f t="shared" si="1123"/>
        <v>408</v>
      </c>
      <c r="AP776" s="261">
        <f t="shared" ref="AP776:AU776" si="1124">+AP13</f>
        <v>632</v>
      </c>
      <c r="AQ776" s="293">
        <f t="shared" si="1124"/>
        <v>550</v>
      </c>
      <c r="AR776" s="228">
        <f t="shared" si="1124"/>
        <v>1879</v>
      </c>
      <c r="AS776" s="292">
        <f t="shared" si="1124"/>
        <v>302</v>
      </c>
      <c r="AT776" s="261">
        <f t="shared" si="1124"/>
        <v>334</v>
      </c>
      <c r="AU776" s="261">
        <f t="shared" si="1124"/>
        <v>410</v>
      </c>
      <c r="AV776" s="293">
        <f t="shared" ref="AV776:AW776" si="1125">+AV13</f>
        <v>411</v>
      </c>
      <c r="AW776" s="228">
        <f t="shared" si="1125"/>
        <v>1457</v>
      </c>
      <c r="AX776" s="292">
        <f>+AX779*(AW770)/4</f>
        <v>247.072</v>
      </c>
      <c r="AY776" s="261">
        <f>+AY779*(AX770)/4</f>
        <v>248.1701507396856</v>
      </c>
      <c r="AZ776" s="261">
        <f>+AZ779*(AY770)/4</f>
        <v>249.32757686999813</v>
      </c>
      <c r="BA776" s="293">
        <f>+BA779*(AZ770)/4</f>
        <v>250.46879903448627</v>
      </c>
      <c r="BB776" s="228">
        <f>SUM(AX776:BA776)</f>
        <v>995.03852664416991</v>
      </c>
      <c r="BC776" s="292">
        <f>+BC779*(BB770)/4</f>
        <v>258.33317026961822</v>
      </c>
      <c r="BD776" s="261">
        <f>+BD779*(BC770)/4</f>
        <v>260.28839308895124</v>
      </c>
      <c r="BE776" s="261">
        <f>+BE779*(BD770)/4</f>
        <v>259.96693980367485</v>
      </c>
      <c r="BF776" s="293">
        <f>+BF779*(BE770)/4</f>
        <v>259.65010740937424</v>
      </c>
      <c r="BG776" s="228">
        <f>SUM(BC776:BF776)</f>
        <v>1038.2386105716184</v>
      </c>
      <c r="BH776" s="292">
        <f>+BH779*(BG770)/4</f>
        <v>259.33782948074173</v>
      </c>
      <c r="BI776" s="261">
        <f>+BI779*(BH770)/4</f>
        <v>259.34304201369008</v>
      </c>
      <c r="BJ776" s="261">
        <f>+BJ779*(BI770)/4</f>
        <v>259.21486565012054</v>
      </c>
      <c r="BK776" s="293">
        <f>+BK779*(BJ770)/4</f>
        <v>259.08853182177722</v>
      </c>
      <c r="BL776" s="228">
        <f>SUM(BH776:BK776)</f>
        <v>1036.9842689663296</v>
      </c>
      <c r="BM776" s="292">
        <f>+BM779*(BL770)/4</f>
        <v>258.96401404221649</v>
      </c>
      <c r="BN776" s="261">
        <f>+BN779*(BM770)/4</f>
        <v>258.93409584456248</v>
      </c>
      <c r="BO776" s="261">
        <f>+BO779*(BN770)/4</f>
        <v>258.8955119667969</v>
      </c>
      <c r="BP776" s="293">
        <f>+BP779*(BO770)/4</f>
        <v>258.85748273227415</v>
      </c>
      <c r="BQ776" s="228">
        <f>SUM(BM776:BP776)</f>
        <v>1035.6511045858499</v>
      </c>
      <c r="BR776" s="228"/>
      <c r="BS776" s="228"/>
      <c r="BT776" s="383"/>
      <c r="BU776" t="s">
        <v>1157</v>
      </c>
      <c r="BV776" s="35" t="s">
        <v>1158</v>
      </c>
      <c r="BW776" s="1023">
        <v>56</v>
      </c>
      <c r="BY776" t="s">
        <v>1142</v>
      </c>
      <c r="BZ776" s="951">
        <f t="shared" si="1101"/>
        <v>171.696</v>
      </c>
      <c r="CA776" s="951">
        <f t="shared" si="1101"/>
        <v>171.696</v>
      </c>
      <c r="CB776" s="951"/>
      <c r="CC776" s="951">
        <f t="shared" si="1101"/>
        <v>171.696</v>
      </c>
      <c r="CD776" s="951">
        <f t="shared" si="1101"/>
        <v>171.696</v>
      </c>
      <c r="CE776" s="951">
        <f t="shared" si="1122"/>
        <v>171.696</v>
      </c>
      <c r="CL776" s="45"/>
      <c r="CM776" s="45"/>
      <c r="CN776" s="45"/>
      <c r="CO776" s="45"/>
      <c r="CP776" s="45"/>
      <c r="CQ776" s="383"/>
      <c r="CT776" s="833"/>
      <c r="CU776" s="383"/>
      <c r="CV776" s="383"/>
      <c r="CW776" s="383"/>
      <c r="CX776" s="383"/>
      <c r="CY776" s="383"/>
      <c r="CZ776" s="383"/>
      <c r="DA776" s="383"/>
      <c r="DB776" s="383"/>
      <c r="DC776" s="383"/>
      <c r="DD776" s="383"/>
      <c r="DE776" s="383"/>
      <c r="DF776" s="383"/>
      <c r="DG776" s="383"/>
      <c r="DH776" s="383"/>
      <c r="DI776" s="383"/>
      <c r="DJ776" s="383"/>
      <c r="DK776" s="383"/>
      <c r="DL776" s="383"/>
      <c r="DM776" s="383"/>
      <c r="DN776" s="383"/>
    </row>
    <row r="777" spans="1:119">
      <c r="A777" s="45"/>
      <c r="B777" s="45"/>
      <c r="C777" s="383" t="s">
        <v>1027</v>
      </c>
      <c r="D777" s="45"/>
      <c r="E777" s="290"/>
      <c r="F777" s="260"/>
      <c r="G777" s="260"/>
      <c r="H777" s="291"/>
      <c r="I777" s="45"/>
      <c r="J777" s="290"/>
      <c r="K777" s="260"/>
      <c r="L777" s="260"/>
      <c r="M777" s="291"/>
      <c r="N777" s="45"/>
      <c r="O777" s="290"/>
      <c r="P777" s="260"/>
      <c r="Q777" s="260"/>
      <c r="R777" s="291"/>
      <c r="S777" s="45"/>
      <c r="T777" s="290"/>
      <c r="U777" s="260"/>
      <c r="V777" s="260"/>
      <c r="W777" s="291"/>
      <c r="X777" s="45"/>
      <c r="Y777" s="290"/>
      <c r="Z777" s="260"/>
      <c r="AA777" s="260"/>
      <c r="AB777" s="291"/>
      <c r="AC777" s="45"/>
      <c r="AD777" s="290"/>
      <c r="AE777" s="260"/>
      <c r="AF777" s="260"/>
      <c r="AG777" s="291"/>
      <c r="AH777" s="45"/>
      <c r="AI777" s="290"/>
      <c r="AJ777" s="260"/>
      <c r="AK777" s="260"/>
      <c r="AL777" s="291"/>
      <c r="AM777" s="45"/>
      <c r="AN777" s="290"/>
      <c r="AO777" s="260"/>
      <c r="AP777" s="260"/>
      <c r="AQ777" s="291"/>
      <c r="AR777" s="45"/>
      <c r="AS777" s="306"/>
      <c r="AT777" s="260"/>
      <c r="AU777" s="266"/>
      <c r="AV777" s="291"/>
      <c r="AW777" s="45"/>
      <c r="AX777" s="306">
        <f>125/4</f>
        <v>31.25</v>
      </c>
      <c r="AY777" s="266">
        <f>125/4</f>
        <v>31.25</v>
      </c>
      <c r="AZ777" s="266">
        <f>125/4</f>
        <v>31.25</v>
      </c>
      <c r="BA777" s="307">
        <f>125/4</f>
        <v>31.25</v>
      </c>
      <c r="BB777" s="45">
        <f>SUM(AX777:BA777)</f>
        <v>125</v>
      </c>
      <c r="BC777" s="306">
        <f>125/4</f>
        <v>31.25</v>
      </c>
      <c r="BD777" s="266">
        <f>125/4</f>
        <v>31.25</v>
      </c>
      <c r="BE777" s="266">
        <f>125/4</f>
        <v>31.25</v>
      </c>
      <c r="BF777" s="307">
        <f>125/4</f>
        <v>31.25</v>
      </c>
      <c r="BG777" s="45">
        <f>SUM(BC777:BF777)</f>
        <v>125</v>
      </c>
      <c r="BH777" s="306">
        <f>125/4</f>
        <v>31.25</v>
      </c>
      <c r="BI777" s="266">
        <f>125/4</f>
        <v>31.25</v>
      </c>
      <c r="BJ777" s="266">
        <f>125/4</f>
        <v>31.25</v>
      </c>
      <c r="BK777" s="307">
        <f>125/4</f>
        <v>31.25</v>
      </c>
      <c r="BL777" s="45">
        <f>SUM(BH777:BK777)</f>
        <v>125</v>
      </c>
      <c r="BM777" s="300">
        <f>+BH777</f>
        <v>31.25</v>
      </c>
      <c r="BN777" s="264">
        <f>+BI777</f>
        <v>31.25</v>
      </c>
      <c r="BO777" s="264">
        <f>+BJ777</f>
        <v>31.25</v>
      </c>
      <c r="BP777" s="299">
        <f>+BK777</f>
        <v>31.25</v>
      </c>
      <c r="BQ777" s="45">
        <f>SUM(BM777:BP777)</f>
        <v>125</v>
      </c>
      <c r="BR777" s="383"/>
      <c r="BS777" s="383"/>
      <c r="BT777" s="45"/>
      <c r="BU777" t="s">
        <v>1159</v>
      </c>
      <c r="BV777" s="35" t="s">
        <v>1146</v>
      </c>
      <c r="BW777" s="1023">
        <v>80</v>
      </c>
      <c r="BY777" t="s">
        <v>1142</v>
      </c>
      <c r="BZ777" s="951">
        <f t="shared" si="1101"/>
        <v>245.27999999999997</v>
      </c>
      <c r="CA777" s="951">
        <f t="shared" si="1101"/>
        <v>245.27999999999997</v>
      </c>
      <c r="CB777" s="951"/>
      <c r="CC777" s="951">
        <f t="shared" si="1101"/>
        <v>245.27999999999997</v>
      </c>
      <c r="CD777" s="951">
        <f t="shared" si="1101"/>
        <v>245.27999999999997</v>
      </c>
      <c r="CE777" s="951">
        <f t="shared" si="1122"/>
        <v>245.27999999999997</v>
      </c>
      <c r="CL777" s="45"/>
      <c r="CM777" s="45"/>
      <c r="CN777" s="45"/>
      <c r="CO777" s="45"/>
      <c r="CP777" s="45"/>
      <c r="CQ777" s="45"/>
      <c r="CT777" s="821"/>
      <c r="CU777" s="45"/>
      <c r="CV777" s="45"/>
      <c r="CW777" s="45"/>
      <c r="CX777" s="45"/>
      <c r="CY777" s="45"/>
      <c r="CZ777" s="45"/>
      <c r="DA777" s="45"/>
      <c r="DB777" s="45"/>
      <c r="DC777" s="45"/>
      <c r="DD777" s="45"/>
      <c r="DE777" s="45"/>
      <c r="DF777" s="45"/>
      <c r="DG777" s="45"/>
      <c r="DH777" s="45"/>
      <c r="DI777" s="45"/>
      <c r="DJ777" s="45"/>
      <c r="DK777" s="45"/>
      <c r="DL777" s="45"/>
      <c r="DM777" s="45"/>
      <c r="DN777" s="45"/>
    </row>
    <row r="778" spans="1:119">
      <c r="A778" s="45"/>
      <c r="B778" s="45"/>
      <c r="C778" s="383"/>
      <c r="D778" s="45"/>
      <c r="E778" s="290"/>
      <c r="F778" s="260"/>
      <c r="G778" s="260"/>
      <c r="H778" s="291"/>
      <c r="I778" s="45"/>
      <c r="J778" s="290"/>
      <c r="K778" s="260"/>
      <c r="L778" s="260"/>
      <c r="M778" s="291"/>
      <c r="N778" s="45"/>
      <c r="O778" s="290"/>
      <c r="P778" s="260"/>
      <c r="Q778" s="260"/>
      <c r="R778" s="291"/>
      <c r="S778" s="45"/>
      <c r="T778" s="290"/>
      <c r="U778" s="260"/>
      <c r="V778" s="260"/>
      <c r="W778" s="291"/>
      <c r="X778" s="45"/>
      <c r="Y778" s="290"/>
      <c r="Z778" s="260"/>
      <c r="AA778" s="260"/>
      <c r="AB778" s="291"/>
      <c r="AC778" s="45"/>
      <c r="AD778" s="290"/>
      <c r="AE778" s="260"/>
      <c r="AF778" s="260"/>
      <c r="AG778" s="291"/>
      <c r="AH778" s="45"/>
      <c r="AI778" s="290"/>
      <c r="AJ778" s="260"/>
      <c r="AK778" s="260"/>
      <c r="AL778" s="291"/>
      <c r="AM778" s="45"/>
      <c r="AN778" s="290"/>
      <c r="AO778" s="260"/>
      <c r="AP778" s="260"/>
      <c r="AQ778" s="291"/>
      <c r="AR778" s="45"/>
      <c r="AS778" s="290"/>
      <c r="AT778" s="260"/>
      <c r="AU778" s="260"/>
      <c r="AV778" s="291"/>
      <c r="AW778" s="45"/>
      <c r="AX778" s="290"/>
      <c r="AY778" s="260"/>
      <c r="AZ778" s="260"/>
      <c r="BA778" s="291"/>
      <c r="BB778" s="45"/>
      <c r="BC778" s="290"/>
      <c r="BD778" s="260"/>
      <c r="BE778" s="260"/>
      <c r="BF778" s="291"/>
      <c r="BG778" s="45"/>
      <c r="BH778" s="290"/>
      <c r="BI778" s="260"/>
      <c r="BJ778" s="260"/>
      <c r="BK778" s="291"/>
      <c r="BL778" s="45"/>
      <c r="BM778" s="290"/>
      <c r="BN778" s="260"/>
      <c r="BO778" s="260"/>
      <c r="BP778" s="291"/>
      <c r="BQ778" s="45"/>
      <c r="BR778" s="383"/>
      <c r="BS778" s="383"/>
      <c r="BT778" s="45"/>
      <c r="BU778" t="s">
        <v>1160</v>
      </c>
      <c r="BV778" s="35" t="s">
        <v>1150</v>
      </c>
      <c r="BW778" s="1023">
        <v>10</v>
      </c>
      <c r="BY778" t="s">
        <v>1142</v>
      </c>
      <c r="BZ778" s="951">
        <f t="shared" si="1101"/>
        <v>30.659999999999997</v>
      </c>
      <c r="CA778" s="951">
        <f t="shared" si="1101"/>
        <v>30.659999999999997</v>
      </c>
      <c r="CB778" s="951"/>
      <c r="CC778" s="951">
        <f t="shared" si="1101"/>
        <v>30.659999999999997</v>
      </c>
      <c r="CD778" s="951">
        <f t="shared" si="1101"/>
        <v>30.659999999999997</v>
      </c>
      <c r="CE778" s="951">
        <f t="shared" si="1122"/>
        <v>30.659999999999997</v>
      </c>
      <c r="CL778" s="45"/>
      <c r="CM778" s="45"/>
      <c r="CN778" s="45"/>
      <c r="CO778" s="45"/>
      <c r="CP778" s="45"/>
      <c r="CQ778" s="45"/>
      <c r="CT778" s="821"/>
      <c r="CU778" s="45"/>
      <c r="CV778" s="45"/>
      <c r="CW778" s="45"/>
      <c r="CX778" s="45"/>
      <c r="CY778" s="45"/>
      <c r="CZ778" s="427"/>
      <c r="DA778" s="427"/>
      <c r="DB778" s="427"/>
      <c r="DC778" s="45"/>
      <c r="DD778" s="427"/>
      <c r="DE778" s="427"/>
      <c r="DF778" s="427"/>
      <c r="DG778" s="427"/>
      <c r="DH778" s="45"/>
      <c r="DI778" s="427"/>
      <c r="DJ778" s="427"/>
      <c r="DK778" s="427"/>
      <c r="DL778" s="427"/>
      <c r="DM778" s="45"/>
      <c r="DN778" s="427"/>
      <c r="DO778" s="427"/>
    </row>
    <row r="779" spans="1:119">
      <c r="A779" s="45"/>
      <c r="B779" s="28"/>
      <c r="C779" s="383" t="s">
        <v>145</v>
      </c>
      <c r="D779" s="28"/>
      <c r="E779" s="284">
        <f>E776/AVERAGE(D770:E770)*4</f>
        <v>6.6989863375936542E-2</v>
      </c>
      <c r="F779" s="241">
        <f>F776/AVERAGE(E770:F770)*4</f>
        <v>6.1882251826385903E-2</v>
      </c>
      <c r="G779" s="241">
        <f>G776/AVERAGE(F770:G770)*4</f>
        <v>6.0494584099734315E-2</v>
      </c>
      <c r="H779" s="285">
        <f>H776/AVERAGE(G770:H770)*4</f>
        <v>8.4402623324779019E-2</v>
      </c>
      <c r="I779" s="25">
        <f>I776/AVERAGE(D770,I770)</f>
        <v>6.0490463215258854E-2</v>
      </c>
      <c r="J779" s="284">
        <f>J776/AVERAGE(I770:J770)*4</f>
        <v>7.915040392121267E-2</v>
      </c>
      <c r="K779" s="241">
        <f>K776/AVERAGE(J770:K770)*4</f>
        <v>8.2444663500313653E-2</v>
      </c>
      <c r="L779" s="241">
        <f>L776/AVERAGE(K770:L770)*4</f>
        <v>8.3340507963839863E-2</v>
      </c>
      <c r="M779" s="285">
        <f>M776/AVERAGE(L770:M770)*4</f>
        <v>7.904411764705882E-2</v>
      </c>
      <c r="N779" s="25">
        <f>N776/AVERAGE(I770,N770)</f>
        <v>7.5279917414436598E-2</v>
      </c>
      <c r="O779" s="284">
        <f>O776/AVERAGE(N770:O770)*4</f>
        <v>7.8631028143119786E-2</v>
      </c>
      <c r="P779" s="241">
        <f>P776/AVERAGE(O770:P770)*4</f>
        <v>7.7604386334879802E-2</v>
      </c>
      <c r="Q779" s="241">
        <f>Q776/AVERAGE(P770:Q770)*4</f>
        <v>7.3341247856483313E-2</v>
      </c>
      <c r="R779" s="285">
        <f>R776/AVERAGE(Q770:R770)*4</f>
        <v>7.5062450496557603E-2</v>
      </c>
      <c r="S779" s="25">
        <f>S776/AVERAGE(N770,S770)</f>
        <v>7.3496228483012058E-2</v>
      </c>
      <c r="T779" s="284">
        <f>T776/AVERAGE(S770:T770)*4</f>
        <v>6.0218439437174059E-2</v>
      </c>
      <c r="U779" s="241">
        <f>U776/AVERAGE(T770:U770)*4</f>
        <v>6.7920759114366569E-2</v>
      </c>
      <c r="V779" s="241">
        <f>V776/AVERAGE(U770:V770)*4</f>
        <v>6.7136949647287766E-2</v>
      </c>
      <c r="W779" s="285">
        <f>W776/AVERAGE(V770:W770)*4</f>
        <v>6.2999420961204394E-2</v>
      </c>
      <c r="X779" s="25">
        <f>X776/AVERAGE(S770,X770)</f>
        <v>7.0500757332354155E-2</v>
      </c>
      <c r="Y779" s="284">
        <f>Y776/AVERAGE(X770:Y770)*4</f>
        <v>6.3383931877082564E-2</v>
      </c>
      <c r="Z779" s="241">
        <f>Z776/AVERAGE(Y770:Z770)*4</f>
        <v>6.1862503222005379E-2</v>
      </c>
      <c r="AA779" s="241">
        <f>AA776/AVERAGE(Z770:AA770)*4</f>
        <v>6.4257028112449793E-2</v>
      </c>
      <c r="AB779" s="285">
        <f>AB776/AVERAGE(AA770:AB770)*4</f>
        <v>6.2445287423402392E-2</v>
      </c>
      <c r="AC779" s="25">
        <f>AC776/AVERAGE(X770,AC770)</f>
        <v>6.3057090239410682E-2</v>
      </c>
      <c r="AD779" s="284">
        <f>AD776/AVERAGE(AC770:AD770)*4</f>
        <v>6.3537471298979936E-2</v>
      </c>
      <c r="AE779" s="241">
        <f>AE776/AVERAGE(AD770:AE770)*4</f>
        <v>6.9653446680149458E-2</v>
      </c>
      <c r="AF779" s="241">
        <f>AF776/AVERAGE(AE770:AF770)*4</f>
        <v>6.2888391747452144E-2</v>
      </c>
      <c r="AG779" s="285">
        <f>AG776/AVERAGE(AF770:AG770)*4</f>
        <v>6.3467788185815333E-2</v>
      </c>
      <c r="AH779" s="25">
        <f>AH776/AVERAGE(AC770,AH770)</f>
        <v>6.5827093260721573E-2</v>
      </c>
      <c r="AI779" s="284">
        <f>AI776/AVERAGE(AH770:AI770)*4</f>
        <v>6.6390041493775934E-2</v>
      </c>
      <c r="AJ779" s="241">
        <f>AJ776/AVERAGE(AI770:AJ770)*4</f>
        <v>6.7153861347027458E-2</v>
      </c>
      <c r="AK779" s="241">
        <f>AK776/AVERAGE(AJ770:AK770)*4</f>
        <v>6.6111563263006323E-2</v>
      </c>
      <c r="AL779" s="285">
        <f>AL776/AVERAGE(AK770:AL770)*4</f>
        <v>6.607295065103018E-2</v>
      </c>
      <c r="AM779" s="25">
        <f>AM776/AVERAGE(AH770,AM770)</f>
        <v>6.3809177866569797E-2</v>
      </c>
      <c r="AN779" s="284">
        <f>AN776/AVERAGE(AM770:AN770)*4</f>
        <v>6.657068816585085E-2</v>
      </c>
      <c r="AO779" s="241">
        <f>AO776/AVERAGE(AN770:AO770)*4</f>
        <v>9.3081617521245649E-2</v>
      </c>
      <c r="AP779" s="241">
        <f>AP776/AVERAGE(AO770:AP770)*4</f>
        <v>0.14333503430288597</v>
      </c>
      <c r="AQ779" s="285">
        <f>AQ776/AVERAGE(AP770:AQ770)*4</f>
        <v>0.12864368622635441</v>
      </c>
      <c r="AR779" s="25">
        <f>AR776/AVERAGE(AM770,AR770)</f>
        <v>0.1100471463293215</v>
      </c>
      <c r="AS779" s="284">
        <f>AS776/AVERAGE(AR770:AS770)*4</f>
        <v>6.8360590798483389E-2</v>
      </c>
      <c r="AT779" s="241">
        <f>AT776/AVERAGE(AS770:AT770)*4</f>
        <v>7.2929745073421037E-2</v>
      </c>
      <c r="AU779" s="241">
        <f>AU776/AVERAGE(AT770:AU770)*4</f>
        <v>9.2295570938150717E-2</v>
      </c>
      <c r="AV779" s="285">
        <f>AV776/AVERAGE(AU770:AV770)*4</f>
        <v>9.3454225051871648E-2</v>
      </c>
      <c r="AW779" s="25">
        <f>AW776/AVERAGE(AR770,AW770)</f>
        <v>8.4820259059816619E-2</v>
      </c>
      <c r="AX779" s="671">
        <v>5.6000000000000001E-2</v>
      </c>
      <c r="AY779" s="257">
        <f>AX779</f>
        <v>5.6000000000000001E-2</v>
      </c>
      <c r="AZ779" s="257">
        <f>AY779</f>
        <v>5.6000000000000001E-2</v>
      </c>
      <c r="BA779" s="672">
        <f>AZ779</f>
        <v>5.6000000000000001E-2</v>
      </c>
      <c r="BB779" s="25">
        <f>BB776/AVERAGE(AW770,BB770)</f>
        <v>5.5871216972380351E-2</v>
      </c>
      <c r="BC779" s="671">
        <v>5.7500000000000002E-2</v>
      </c>
      <c r="BD779" s="257">
        <v>5.7500000000000002E-2</v>
      </c>
      <c r="BE779" s="257">
        <v>5.7500000000000002E-2</v>
      </c>
      <c r="BF779" s="672">
        <v>5.7500000000000002E-2</v>
      </c>
      <c r="BG779" s="25">
        <f>BG776/AVERAGE(BB770,BG770)</f>
        <v>5.7660869680411869E-2</v>
      </c>
      <c r="BH779" s="671">
        <v>5.7500000000000002E-2</v>
      </c>
      <c r="BI779" s="257">
        <v>5.7500000000000002E-2</v>
      </c>
      <c r="BJ779" s="257">
        <v>5.7500000000000002E-2</v>
      </c>
      <c r="BK779" s="672">
        <v>5.7500000000000002E-2</v>
      </c>
      <c r="BL779" s="25">
        <f>BL776/AVERAGE(BG770,BL770)</f>
        <v>5.7521110729874134E-2</v>
      </c>
      <c r="BM779" s="1956">
        <f>+BH779</f>
        <v>5.7500000000000002E-2</v>
      </c>
      <c r="BN779" s="1957">
        <f>+BI779</f>
        <v>5.7500000000000002E-2</v>
      </c>
      <c r="BO779" s="1957">
        <f>+BJ779</f>
        <v>5.7500000000000002E-2</v>
      </c>
      <c r="BP779" s="1958">
        <f>+BK779</f>
        <v>5.7500000000000002E-2</v>
      </c>
      <c r="BQ779" s="25">
        <f>BQ776/AVERAGE(BL770,BQ770)</f>
        <v>5.7504612810921778E-2</v>
      </c>
      <c r="BR779" s="28"/>
      <c r="BS779" s="28"/>
      <c r="BT779" s="45"/>
      <c r="BU779" t="s">
        <v>1161</v>
      </c>
      <c r="BV779" s="35" t="s">
        <v>1163</v>
      </c>
      <c r="BW779" s="1023">
        <v>6</v>
      </c>
      <c r="BY779" t="s">
        <v>1142</v>
      </c>
      <c r="BZ779" s="951">
        <f t="shared" si="1101"/>
        <v>18.396000000000001</v>
      </c>
      <c r="CA779" s="951">
        <f t="shared" si="1101"/>
        <v>18.396000000000001</v>
      </c>
      <c r="CB779" s="951"/>
      <c r="CC779" s="951">
        <f t="shared" si="1101"/>
        <v>18.396000000000001</v>
      </c>
      <c r="CD779" s="951">
        <f t="shared" si="1101"/>
        <v>18.396000000000001</v>
      </c>
      <c r="CE779" s="951">
        <f t="shared" si="1122"/>
        <v>18.396000000000001</v>
      </c>
      <c r="CF779" s="951">
        <f t="shared" ref="CF779:CF806" si="1126">$BW779*8.76*CF$811</f>
        <v>18.396000000000001</v>
      </c>
      <c r="CL779" s="228"/>
      <c r="CM779" s="228"/>
      <c r="CN779" s="228"/>
      <c r="CO779" s="228"/>
      <c r="CP779" s="228"/>
      <c r="CQ779" s="45"/>
      <c r="CT779" s="821"/>
      <c r="CU779" s="45"/>
      <c r="CV779" s="45"/>
      <c r="CW779" s="45"/>
      <c r="CX779" s="45"/>
      <c r="CY779" s="45"/>
      <c r="CZ779" s="45"/>
      <c r="DA779" s="45"/>
      <c r="DB779" s="45"/>
      <c r="DC779" s="45"/>
      <c r="DD779" s="45"/>
      <c r="DE779" s="45"/>
      <c r="DF779" s="45"/>
      <c r="DG779" s="45"/>
      <c r="DH779" s="45"/>
      <c r="DI779" s="45"/>
      <c r="DJ779" s="45"/>
      <c r="DK779" s="45"/>
      <c r="DL779" s="45"/>
      <c r="DM779" s="45"/>
      <c r="DN779" s="45"/>
    </row>
    <row r="780" spans="1:119" s="34" customFormat="1">
      <c r="A780" s="228"/>
      <c r="B780" s="651"/>
      <c r="C780" s="651" t="s">
        <v>146</v>
      </c>
      <c r="D780" s="651"/>
      <c r="E780" s="303">
        <f>E774/I791</f>
        <v>0.4876074860900354</v>
      </c>
      <c r="F780" s="652">
        <f>F774/I791</f>
        <v>0.4876074860900354</v>
      </c>
      <c r="G780" s="652">
        <f>G774/I791</f>
        <v>0.4876074860900354</v>
      </c>
      <c r="H780" s="304">
        <f>H774/I791</f>
        <v>0.4876074860900354</v>
      </c>
      <c r="I780" s="500">
        <f>I774/I791</f>
        <v>0.4876074860900354</v>
      </c>
      <c r="J780" s="303">
        <f>J774/N791</f>
        <v>0.45087626128518321</v>
      </c>
      <c r="K780" s="652">
        <f>K774/N791</f>
        <v>0.45087626128518321</v>
      </c>
      <c r="L780" s="652">
        <f>L774/N791</f>
        <v>0.45087626128518321</v>
      </c>
      <c r="M780" s="304">
        <f>M774/N791</f>
        <v>0.45087626128518321</v>
      </c>
      <c r="N780" s="500">
        <f>N774/N791</f>
        <v>0.45087626128518321</v>
      </c>
      <c r="O780" s="303">
        <f>O774/S791</f>
        <v>0.33199518265756722</v>
      </c>
      <c r="P780" s="652">
        <f>P774/S791</f>
        <v>0.33199518265756722</v>
      </c>
      <c r="Q780" s="652">
        <f>Q774/S791</f>
        <v>0.33199518265756722</v>
      </c>
      <c r="R780" s="304">
        <f>R774/S791</f>
        <v>0.33199518265756722</v>
      </c>
      <c r="S780" s="500">
        <f>S774/S791</f>
        <v>0.33199518265756722</v>
      </c>
      <c r="T780" s="303">
        <f>T774/X791</f>
        <v>0.38041643218908272</v>
      </c>
      <c r="U780" s="652">
        <f>U774/X791</f>
        <v>0.38041643218908272</v>
      </c>
      <c r="V780" s="652">
        <f>V774/X791</f>
        <v>0.38041643218908272</v>
      </c>
      <c r="W780" s="304">
        <f>W774/X791</f>
        <v>0.38041643218908272</v>
      </c>
      <c r="X780" s="500">
        <f>X774/X791</f>
        <v>0.38041643218908272</v>
      </c>
      <c r="Y780" s="303">
        <f>Y774/AC791</f>
        <v>0.49127906976744184</v>
      </c>
      <c r="Z780" s="652">
        <f>Z774/AC791</f>
        <v>0.49127906976744184</v>
      </c>
      <c r="AA780" s="652">
        <f>AA774/AC791</f>
        <v>0.49127906976744184</v>
      </c>
      <c r="AB780" s="304">
        <f>AB774/AC791</f>
        <v>0.41024709302325579</v>
      </c>
      <c r="AC780" s="500">
        <f>AC774/AC791</f>
        <v>0.41024709302325579</v>
      </c>
      <c r="AD780" s="303">
        <f>AD774/AH791</f>
        <v>0.46613545816733065</v>
      </c>
      <c r="AE780" s="652">
        <f>AE774/AH791</f>
        <v>0.46613545816733065</v>
      </c>
      <c r="AF780" s="652">
        <f>AF774/AH791</f>
        <v>0.46613545816733065</v>
      </c>
      <c r="AG780" s="304">
        <f>AG774/AH791</f>
        <v>0.46613545816733065</v>
      </c>
      <c r="AH780" s="500">
        <f>AH774/AH791</f>
        <v>0.46613545816733065</v>
      </c>
      <c r="AI780" s="303">
        <f>AI774/AM791</f>
        <v>0.52512366571205416</v>
      </c>
      <c r="AJ780" s="652">
        <f>AJ774/AM791</f>
        <v>0.52512366571205416</v>
      </c>
      <c r="AK780" s="652">
        <f>AK774/AM791</f>
        <v>0.52512366571205416</v>
      </c>
      <c r="AL780" s="304">
        <f>AL774/AM791</f>
        <v>0.52512366571205416</v>
      </c>
      <c r="AM780" s="500">
        <f>AM774/AM791</f>
        <v>0.52512366571205416</v>
      </c>
      <c r="AN780" s="303">
        <f>AN774/AR791</f>
        <v>0.75763482781026636</v>
      </c>
      <c r="AO780" s="652">
        <f>AO774/AR791</f>
        <v>0.75763482781026636</v>
      </c>
      <c r="AP780" s="652">
        <f>AP774/AR791</f>
        <v>0.75763482781026636</v>
      </c>
      <c r="AQ780" s="304">
        <f>AQ774/AR791</f>
        <v>0.75763482781026636</v>
      </c>
      <c r="AR780" s="500">
        <f>AR774/AR791</f>
        <v>0.75763482781026636</v>
      </c>
      <c r="AS780" s="303">
        <f>AS774/AW791</f>
        <v>0.37096060203629927</v>
      </c>
      <c r="AT780" s="652">
        <f>AT774/AW791</f>
        <v>0.37096060203629927</v>
      </c>
      <c r="AU780" s="652">
        <f>AU774/AW791</f>
        <v>0.37096060203629927</v>
      </c>
      <c r="AV780" s="304">
        <f>AV774/AW791</f>
        <v>0.37096060203629927</v>
      </c>
      <c r="AW780" s="500">
        <f>AW774/AW791</f>
        <v>0.37096060203629927</v>
      </c>
      <c r="AX780" s="303">
        <f>+AW780</f>
        <v>0.37096060203629927</v>
      </c>
      <c r="AY780" s="652">
        <f>+AX780</f>
        <v>0.37096060203629927</v>
      </c>
      <c r="AZ780" s="652">
        <f>+AY780</f>
        <v>0.37096060203629927</v>
      </c>
      <c r="BA780" s="304">
        <f>+AZ780</f>
        <v>0.37096060203629927</v>
      </c>
      <c r="BB780" s="500">
        <f>BB774/BB791</f>
        <v>0.37096060203629927</v>
      </c>
      <c r="BC780" s="303">
        <f>+BB780</f>
        <v>0.37096060203629927</v>
      </c>
      <c r="BD780" s="652">
        <f>+BC780</f>
        <v>0.37096060203629927</v>
      </c>
      <c r="BE780" s="652">
        <f>+BD780</f>
        <v>0.37096060203629927</v>
      </c>
      <c r="BF780" s="304">
        <f>+BE780</f>
        <v>0.37096060203629927</v>
      </c>
      <c r="BG780" s="500">
        <f>BG774/BG791</f>
        <v>0.37096060203629921</v>
      </c>
      <c r="BH780" s="303">
        <f>+BG780</f>
        <v>0.37096060203629921</v>
      </c>
      <c r="BI780" s="652">
        <f>+BH780</f>
        <v>0.37096060203629921</v>
      </c>
      <c r="BJ780" s="652">
        <f>+BI780</f>
        <v>0.37096060203629921</v>
      </c>
      <c r="BK780" s="304">
        <f>+BJ780</f>
        <v>0.37096060203629921</v>
      </c>
      <c r="BL780" s="500">
        <f>BL774/BL791</f>
        <v>0.37096060203629921</v>
      </c>
      <c r="BM780" s="303">
        <f>+BL780</f>
        <v>0.37096060203629921</v>
      </c>
      <c r="BN780" s="652">
        <f>+BM780</f>
        <v>0.37096060203629921</v>
      </c>
      <c r="BO780" s="652">
        <f>+BN780</f>
        <v>0.37096060203629921</v>
      </c>
      <c r="BP780" s="304">
        <f>+BO780</f>
        <v>0.37096060203629921</v>
      </c>
      <c r="BQ780" s="500">
        <f>BQ774/BQ791</f>
        <v>0.37096060203629921</v>
      </c>
      <c r="BR780" s="1"/>
      <c r="BS780" s="1"/>
      <c r="BT780" s="228"/>
      <c r="BU780" t="s">
        <v>1164</v>
      </c>
      <c r="BV780" s="35" t="s">
        <v>1163</v>
      </c>
      <c r="BW780" s="1023">
        <v>8</v>
      </c>
      <c r="BX780"/>
      <c r="BY780" t="s">
        <v>1142</v>
      </c>
      <c r="BZ780" s="951">
        <f t="shared" si="1101"/>
        <v>24.527999999999999</v>
      </c>
      <c r="CA780" s="951">
        <f t="shared" si="1101"/>
        <v>24.527999999999999</v>
      </c>
      <c r="CB780" s="951"/>
      <c r="CC780" s="951">
        <f t="shared" si="1101"/>
        <v>24.527999999999999</v>
      </c>
      <c r="CD780" s="951">
        <f t="shared" si="1101"/>
        <v>24.527999999999999</v>
      </c>
      <c r="CE780" s="951">
        <f t="shared" si="1122"/>
        <v>24.527999999999999</v>
      </c>
      <c r="CF780" s="951">
        <f t="shared" si="1126"/>
        <v>24.527999999999999</v>
      </c>
      <c r="CG780"/>
      <c r="CH780"/>
      <c r="CI780"/>
      <c r="CJ780"/>
      <c r="CL780" s="383"/>
      <c r="CM780" s="383"/>
      <c r="CN780" s="383"/>
      <c r="CO780" s="383"/>
      <c r="CP780" s="383"/>
      <c r="CQ780" s="228"/>
      <c r="CT780" s="929"/>
      <c r="CU780" s="228"/>
      <c r="CV780" s="228"/>
      <c r="CW780" s="228"/>
      <c r="CX780" s="228"/>
      <c r="CY780" s="228"/>
      <c r="CZ780" s="228"/>
      <c r="DA780" s="228"/>
      <c r="DB780" s="228"/>
      <c r="DC780" s="228"/>
      <c r="DD780" s="228"/>
      <c r="DE780" s="228"/>
      <c r="DF780" s="228"/>
      <c r="DG780" s="228"/>
      <c r="DH780" s="228"/>
      <c r="DI780" s="228"/>
      <c r="DJ780" s="228"/>
      <c r="DK780" s="228"/>
      <c r="DL780" s="228"/>
      <c r="DM780" s="228"/>
      <c r="DN780" s="228"/>
    </row>
    <row r="781" spans="1:119">
      <c r="A781" s="383"/>
      <c r="B781" s="28"/>
      <c r="C781" s="383"/>
      <c r="D781" s="28"/>
      <c r="E781" s="284"/>
      <c r="F781" s="241"/>
      <c r="G781" s="241"/>
      <c r="H781" s="285"/>
      <c r="I781" s="25"/>
      <c r="J781" s="284"/>
      <c r="K781" s="241"/>
      <c r="L781" s="241"/>
      <c r="M781" s="285"/>
      <c r="N781" s="25"/>
      <c r="O781" s="284"/>
      <c r="P781" s="653"/>
      <c r="Q781" s="653"/>
      <c r="R781" s="654"/>
      <c r="S781" s="25"/>
      <c r="T781" s="284"/>
      <c r="U781" s="241"/>
      <c r="V781" s="653"/>
      <c r="W781" s="654"/>
      <c r="X781" s="45"/>
      <c r="Y781" s="655"/>
      <c r="Z781" s="241"/>
      <c r="AA781" s="653"/>
      <c r="AB781" s="1430"/>
      <c r="AC781" s="25"/>
      <c r="AD781" s="655"/>
      <c r="AE781" s="241"/>
      <c r="AF781" s="653"/>
      <c r="AG781" s="654"/>
      <c r="AH781" s="25"/>
      <c r="AI781" s="655"/>
      <c r="AJ781" s="241"/>
      <c r="AK781" s="653"/>
      <c r="AL781" s="654"/>
      <c r="AM781" s="25"/>
      <c r="AN781" s="655"/>
      <c r="AO781" s="653"/>
      <c r="AP781" s="653"/>
      <c r="AQ781" s="654"/>
      <c r="AR781" s="25"/>
      <c r="AS781" s="655"/>
      <c r="AT781" s="653"/>
      <c r="AU781" s="653"/>
      <c r="AV781" s="654"/>
      <c r="AW781" s="25"/>
      <c r="AX781" s="655"/>
      <c r="AY781" s="653"/>
      <c r="AZ781" s="653"/>
      <c r="BA781" s="654"/>
      <c r="BB781" s="25"/>
      <c r="BC781" s="655"/>
      <c r="BD781" s="653"/>
      <c r="BE781" s="653"/>
      <c r="BF781" s="654"/>
      <c r="BG781" s="25"/>
      <c r="BH781" s="655"/>
      <c r="BI781" s="653"/>
      <c r="BJ781" s="653"/>
      <c r="BK781" s="654"/>
      <c r="BL781" s="25"/>
      <c r="BM781" s="655"/>
      <c r="BN781" s="653"/>
      <c r="BO781" s="653"/>
      <c r="BP781" s="654"/>
      <c r="BQ781" s="25"/>
      <c r="BR781" s="1"/>
      <c r="BS781" s="1"/>
      <c r="BT781" s="383"/>
      <c r="BU781" t="s">
        <v>1165</v>
      </c>
      <c r="BV781" s="35" t="s">
        <v>1166</v>
      </c>
      <c r="BW781" s="1023">
        <v>50</v>
      </c>
      <c r="BY781" t="s">
        <v>1142</v>
      </c>
      <c r="BZ781" s="951">
        <f t="shared" si="1101"/>
        <v>153.29999999999998</v>
      </c>
      <c r="CA781" s="951">
        <f t="shared" si="1101"/>
        <v>153.29999999999998</v>
      </c>
      <c r="CB781" s="951"/>
      <c r="CC781" s="951">
        <f t="shared" si="1101"/>
        <v>153.29999999999998</v>
      </c>
      <c r="CD781" s="951">
        <f t="shared" si="1101"/>
        <v>153.29999999999998</v>
      </c>
      <c r="CE781" s="951">
        <f t="shared" si="1122"/>
        <v>153.29999999999998</v>
      </c>
      <c r="CF781" s="951">
        <f t="shared" si="1126"/>
        <v>153.29999999999998</v>
      </c>
      <c r="CL781" s="383"/>
      <c r="CM781" s="383"/>
      <c r="CN781" s="383"/>
      <c r="CO781" s="383"/>
      <c r="CP781" s="383"/>
      <c r="CQ781" s="383"/>
      <c r="CT781" s="833"/>
      <c r="CU781" s="383"/>
      <c r="CV781" s="383"/>
      <c r="CW781" s="383"/>
      <c r="CX781" s="383"/>
      <c r="CY781" s="383"/>
      <c r="CZ781" s="383"/>
      <c r="DA781" s="383"/>
      <c r="DB781" s="383"/>
      <c r="DC781" s="383"/>
      <c r="DD781" s="383"/>
      <c r="DE781" s="383"/>
      <c r="DF781" s="383"/>
      <c r="DG781" s="383"/>
      <c r="DH781" s="383"/>
      <c r="DI781" s="383"/>
      <c r="DJ781" s="383"/>
      <c r="DK781" s="383"/>
      <c r="DL781" s="383"/>
      <c r="DM781" s="383"/>
      <c r="DN781" s="383"/>
    </row>
    <row r="782" spans="1:119">
      <c r="A782" s="383"/>
      <c r="B782" s="28"/>
      <c r="C782" s="383" t="s">
        <v>633</v>
      </c>
      <c r="D782" s="807"/>
      <c r="E782" s="290"/>
      <c r="F782" s="260"/>
      <c r="G782" s="260"/>
      <c r="H782" s="291"/>
      <c r="I782" s="426"/>
      <c r="J782" s="290"/>
      <c r="K782" s="260"/>
      <c r="L782" s="260"/>
      <c r="M782" s="291"/>
      <c r="N782" s="426"/>
      <c r="O782" s="290"/>
      <c r="P782" s="260"/>
      <c r="Q782" s="260"/>
      <c r="R782" s="291"/>
      <c r="S782" s="426"/>
      <c r="T782" s="290"/>
      <c r="U782" s="260"/>
      <c r="V782" s="260"/>
      <c r="W782" s="291"/>
      <c r="X782" s="426"/>
      <c r="Y782" s="290"/>
      <c r="Z782" s="260"/>
      <c r="AA782" s="260"/>
      <c r="AB782" s="291"/>
      <c r="AC782" s="1003"/>
      <c r="AD782" s="290"/>
      <c r="AE782" s="260"/>
      <c r="AF782" s="260"/>
      <c r="AG782" s="291"/>
      <c r="AH782" s="1003"/>
      <c r="AI782" s="290"/>
      <c r="AJ782" s="260"/>
      <c r="AK782" s="260"/>
      <c r="AL782" s="291"/>
      <c r="AM782" s="2058"/>
      <c r="AN782" s="290"/>
      <c r="AO782" s="260"/>
      <c r="AP782" s="260"/>
      <c r="AQ782" s="291"/>
      <c r="AR782" s="2058"/>
      <c r="AS782" s="290"/>
      <c r="AT782" s="260"/>
      <c r="AU782" s="260"/>
      <c r="AV782" s="291"/>
      <c r="AW782" s="2058"/>
      <c r="AX782" s="290">
        <f t="shared" ref="AX782:AX790" si="1127">+BB782/4</f>
        <v>0</v>
      </c>
      <c r="AY782" s="260">
        <f t="shared" ref="AY782:AY790" si="1128">+BB782/4</f>
        <v>0</v>
      </c>
      <c r="AZ782" s="260">
        <f t="shared" ref="AZ782:AZ790" si="1129">+BB782/4</f>
        <v>0</v>
      </c>
      <c r="BA782" s="291">
        <f t="shared" ref="BA782:BA790" si="1130">+BB782/4</f>
        <v>0</v>
      </c>
      <c r="BB782" s="426">
        <f>500*0</f>
        <v>0</v>
      </c>
      <c r="BC782" s="290">
        <f t="shared" ref="BC782:BC790" si="1131">+BG782/4</f>
        <v>0</v>
      </c>
      <c r="BD782" s="260">
        <f t="shared" ref="BD782:BD790" si="1132">+BG782/4</f>
        <v>0</v>
      </c>
      <c r="BE782" s="260">
        <f t="shared" ref="BE782:BE790" si="1133">+BG782/4</f>
        <v>0</v>
      </c>
      <c r="BF782" s="291">
        <f t="shared" ref="BF782:BF790" si="1134">+BG782/4</f>
        <v>0</v>
      </c>
      <c r="BG782" s="426">
        <f>500*0</f>
        <v>0</v>
      </c>
      <c r="BH782" s="290">
        <f t="shared" ref="BH782:BH786" si="1135">+BL782/4</f>
        <v>0</v>
      </c>
      <c r="BI782" s="260">
        <f t="shared" ref="BI782:BI786" si="1136">+BL782/4</f>
        <v>0</v>
      </c>
      <c r="BJ782" s="260">
        <f t="shared" ref="BJ782:BJ786" si="1137">+BL782/4</f>
        <v>0</v>
      </c>
      <c r="BK782" s="291">
        <f t="shared" ref="BK782:BK786" si="1138">+BL782/4</f>
        <v>0</v>
      </c>
      <c r="BL782" s="426">
        <f>500*0</f>
        <v>0</v>
      </c>
      <c r="BM782" s="290">
        <f t="shared" ref="BM782:BM786" si="1139">+BQ782/4</f>
        <v>0</v>
      </c>
      <c r="BN782" s="260">
        <f t="shared" ref="BN782:BN786" si="1140">+BQ782/4</f>
        <v>0</v>
      </c>
      <c r="BO782" s="260">
        <f t="shared" ref="BO782:BO786" si="1141">+BQ782/4</f>
        <v>0</v>
      </c>
      <c r="BP782" s="291">
        <f t="shared" ref="BP782:BP786" si="1142">+BQ782/4</f>
        <v>0</v>
      </c>
      <c r="BQ782" s="2032">
        <f>500*0</f>
        <v>0</v>
      </c>
      <c r="BR782" s="1"/>
      <c r="BS782" s="1"/>
      <c r="BT782" s="383"/>
      <c r="BU782" t="s">
        <v>1167</v>
      </c>
      <c r="BV782" s="35" t="s">
        <v>1168</v>
      </c>
      <c r="BW782" s="1023">
        <v>50</v>
      </c>
      <c r="BY782" t="s">
        <v>1142</v>
      </c>
      <c r="BZ782" s="951">
        <f t="shared" si="1101"/>
        <v>153.29999999999998</v>
      </c>
      <c r="CA782" s="951">
        <f t="shared" si="1101"/>
        <v>153.29999999999998</v>
      </c>
      <c r="CB782" s="951"/>
      <c r="CC782" s="951">
        <f t="shared" si="1101"/>
        <v>153.29999999999998</v>
      </c>
      <c r="CD782" s="951">
        <f t="shared" si="1101"/>
        <v>153.29999999999998</v>
      </c>
      <c r="CE782" s="951">
        <f t="shared" si="1122"/>
        <v>153.29999999999998</v>
      </c>
      <c r="CF782" s="951">
        <f t="shared" si="1126"/>
        <v>153.29999999999998</v>
      </c>
      <c r="CL782" s="383"/>
      <c r="CM782" s="383"/>
      <c r="CN782" s="383"/>
      <c r="CO782" s="383"/>
      <c r="CP782" s="383"/>
      <c r="CQ782" s="383"/>
      <c r="CT782" s="833"/>
      <c r="CU782" s="383"/>
      <c r="CV782" s="383"/>
      <c r="CW782" s="383"/>
      <c r="CX782" s="383"/>
      <c r="CY782" s="383"/>
      <c r="CZ782" s="383"/>
      <c r="DA782" s="383"/>
      <c r="DB782" s="383"/>
      <c r="DC782" s="383"/>
      <c r="DD782" s="383"/>
      <c r="DE782" s="383"/>
      <c r="DF782" s="383"/>
      <c r="DG782" s="383"/>
      <c r="DH782" s="383"/>
      <c r="DI782" s="383"/>
      <c r="DJ782" s="383"/>
      <c r="DK782" s="383"/>
      <c r="DL782" s="383"/>
      <c r="DM782" s="383"/>
      <c r="DN782" s="383"/>
    </row>
    <row r="783" spans="1:119">
      <c r="A783" s="383"/>
      <c r="B783" s="28"/>
      <c r="C783" s="383" t="s">
        <v>808</v>
      </c>
      <c r="D783" s="807"/>
      <c r="E783" s="290"/>
      <c r="F783" s="260"/>
      <c r="G783" s="260"/>
      <c r="H783" s="291"/>
      <c r="I783" s="426"/>
      <c r="J783" s="290"/>
      <c r="K783" s="260"/>
      <c r="L783" s="260"/>
      <c r="M783" s="291"/>
      <c r="N783" s="426"/>
      <c r="O783" s="290"/>
      <c r="P783" s="260"/>
      <c r="Q783" s="260"/>
      <c r="R783" s="291"/>
      <c r="S783" s="426"/>
      <c r="T783" s="290"/>
      <c r="U783" s="260"/>
      <c r="V783" s="260"/>
      <c r="W783" s="291"/>
      <c r="X783" s="426"/>
      <c r="Y783" s="290"/>
      <c r="Z783" s="260"/>
      <c r="AA783" s="260"/>
      <c r="AB783" s="291"/>
      <c r="AC783" s="1003"/>
      <c r="AD783" s="290"/>
      <c r="AE783" s="260"/>
      <c r="AF783" s="260"/>
      <c r="AG783" s="291"/>
      <c r="AH783" s="1003"/>
      <c r="AI783" s="290"/>
      <c r="AJ783" s="260"/>
      <c r="AK783" s="260"/>
      <c r="AL783" s="291"/>
      <c r="AM783" s="2058"/>
      <c r="AN783" s="290"/>
      <c r="AO783" s="260"/>
      <c r="AP783" s="260"/>
      <c r="AQ783" s="291"/>
      <c r="AR783" s="2058"/>
      <c r="AS783" s="290"/>
      <c r="AT783" s="260"/>
      <c r="AU783" s="260"/>
      <c r="AV783" s="291"/>
      <c r="AW783" s="2058"/>
      <c r="AX783" s="290">
        <f t="shared" si="1127"/>
        <v>0</v>
      </c>
      <c r="AY783" s="260">
        <f t="shared" si="1128"/>
        <v>0</v>
      </c>
      <c r="AZ783" s="260">
        <f t="shared" si="1129"/>
        <v>0</v>
      </c>
      <c r="BA783" s="291">
        <f t="shared" si="1130"/>
        <v>0</v>
      </c>
      <c r="BB783" s="426">
        <v>0</v>
      </c>
      <c r="BC783" s="290">
        <f t="shared" si="1131"/>
        <v>0</v>
      </c>
      <c r="BD783" s="260">
        <f t="shared" si="1132"/>
        <v>0</v>
      </c>
      <c r="BE783" s="260">
        <f t="shared" si="1133"/>
        <v>0</v>
      </c>
      <c r="BF783" s="291">
        <f t="shared" si="1134"/>
        <v>0</v>
      </c>
      <c r="BG783" s="426">
        <v>0</v>
      </c>
      <c r="BH783" s="290">
        <f t="shared" si="1135"/>
        <v>0</v>
      </c>
      <c r="BI783" s="260">
        <f t="shared" si="1136"/>
        <v>0</v>
      </c>
      <c r="BJ783" s="260">
        <f t="shared" si="1137"/>
        <v>0</v>
      </c>
      <c r="BK783" s="291">
        <f t="shared" si="1138"/>
        <v>0</v>
      </c>
      <c r="BL783" s="426">
        <v>0</v>
      </c>
      <c r="BM783" s="290">
        <f t="shared" si="1139"/>
        <v>0</v>
      </c>
      <c r="BN783" s="260">
        <f t="shared" si="1140"/>
        <v>0</v>
      </c>
      <c r="BO783" s="260">
        <f t="shared" si="1141"/>
        <v>0</v>
      </c>
      <c r="BP783" s="291">
        <f t="shared" si="1142"/>
        <v>0</v>
      </c>
      <c r="BQ783" s="2032">
        <v>0</v>
      </c>
      <c r="BR783" s="383"/>
      <c r="BS783" s="383"/>
      <c r="BT783" s="383"/>
      <c r="BU783" t="s">
        <v>1169</v>
      </c>
      <c r="BV783" s="35" t="s">
        <v>1141</v>
      </c>
      <c r="BW783" s="1023">
        <v>4</v>
      </c>
      <c r="BY783" t="s">
        <v>1142</v>
      </c>
      <c r="BZ783" s="951">
        <f t="shared" si="1101"/>
        <v>12.263999999999999</v>
      </c>
      <c r="CA783" s="951">
        <f t="shared" si="1101"/>
        <v>12.263999999999999</v>
      </c>
      <c r="CB783" s="951"/>
      <c r="CC783" s="951">
        <f t="shared" si="1101"/>
        <v>12.263999999999999</v>
      </c>
      <c r="CD783" s="951">
        <f t="shared" si="1101"/>
        <v>12.263999999999999</v>
      </c>
      <c r="CE783" s="951">
        <f t="shared" si="1122"/>
        <v>12.263999999999999</v>
      </c>
      <c r="CF783" s="951">
        <f t="shared" si="1126"/>
        <v>12.263999999999999</v>
      </c>
      <c r="CL783" s="383"/>
      <c r="CM783" s="383"/>
      <c r="CN783" s="383"/>
      <c r="CO783" s="383"/>
      <c r="CP783" s="383"/>
      <c r="CQ783" s="383"/>
      <c r="CT783" s="833"/>
      <c r="CU783" s="383"/>
      <c r="CV783" s="383"/>
      <c r="CW783" s="383"/>
      <c r="CX783" s="383"/>
      <c r="CY783" s="383"/>
      <c r="CZ783" s="383"/>
      <c r="DA783" s="383"/>
      <c r="DB783" s="383"/>
      <c r="DC783" s="383"/>
      <c r="DD783" s="383"/>
      <c r="DE783" s="383"/>
      <c r="DF783" s="383"/>
      <c r="DG783" s="383"/>
      <c r="DH783" s="383"/>
      <c r="DI783" s="383"/>
      <c r="DJ783" s="383"/>
      <c r="DK783" s="383"/>
      <c r="DL783" s="383"/>
      <c r="DM783" s="383"/>
      <c r="DN783" s="383"/>
    </row>
    <row r="784" spans="1:119">
      <c r="A784" s="383"/>
      <c r="B784" s="28"/>
      <c r="C784" s="1926" t="s">
        <v>809</v>
      </c>
      <c r="D784" s="28"/>
      <c r="E784" s="290"/>
      <c r="F784" s="260"/>
      <c r="G784" s="260"/>
      <c r="H784" s="291"/>
      <c r="I784" s="426"/>
      <c r="J784" s="290"/>
      <c r="K784" s="260"/>
      <c r="L784" s="260"/>
      <c r="M784" s="291"/>
      <c r="N784" s="426"/>
      <c r="O784" s="290"/>
      <c r="P784" s="260"/>
      <c r="Q784" s="260"/>
      <c r="R784" s="291"/>
      <c r="S784" s="426"/>
      <c r="T784" s="290"/>
      <c r="U784" s="260"/>
      <c r="V784" s="260"/>
      <c r="W784" s="291"/>
      <c r="X784" s="426"/>
      <c r="Y784" s="290"/>
      <c r="Z784" s="260"/>
      <c r="AA784" s="260"/>
      <c r="AB784" s="291"/>
      <c r="AC784" s="1003"/>
      <c r="AD784" s="290"/>
      <c r="AE784" s="260"/>
      <c r="AF784" s="260"/>
      <c r="AG784" s="291"/>
      <c r="AH784" s="1003"/>
      <c r="AI784" s="290"/>
      <c r="AJ784" s="260"/>
      <c r="AK784" s="260"/>
      <c r="AL784" s="291"/>
      <c r="AM784" s="2058"/>
      <c r="AN784" s="290"/>
      <c r="AO784" s="260"/>
      <c r="AP784" s="260"/>
      <c r="AQ784" s="291"/>
      <c r="AR784" s="2058"/>
      <c r="AS784" s="290"/>
      <c r="AT784" s="260"/>
      <c r="AU784" s="260"/>
      <c r="AV784" s="291"/>
      <c r="AW784" s="2058"/>
      <c r="AX784" s="290">
        <f t="shared" si="1127"/>
        <v>0</v>
      </c>
      <c r="AY784" s="260">
        <f t="shared" si="1128"/>
        <v>0</v>
      </c>
      <c r="AZ784" s="260">
        <f t="shared" si="1129"/>
        <v>0</v>
      </c>
      <c r="BA784" s="291">
        <f t="shared" si="1130"/>
        <v>0</v>
      </c>
      <c r="BB784" s="426">
        <v>0</v>
      </c>
      <c r="BC784" s="290">
        <f t="shared" si="1131"/>
        <v>0</v>
      </c>
      <c r="BD784" s="260">
        <f t="shared" si="1132"/>
        <v>0</v>
      </c>
      <c r="BE784" s="260">
        <f t="shared" si="1133"/>
        <v>0</v>
      </c>
      <c r="BF784" s="291">
        <f t="shared" si="1134"/>
        <v>0</v>
      </c>
      <c r="BG784" s="426">
        <v>0</v>
      </c>
      <c r="BH784" s="290">
        <f t="shared" si="1135"/>
        <v>0</v>
      </c>
      <c r="BI784" s="260">
        <f t="shared" si="1136"/>
        <v>0</v>
      </c>
      <c r="BJ784" s="260">
        <f t="shared" si="1137"/>
        <v>0</v>
      </c>
      <c r="BK784" s="291">
        <f t="shared" si="1138"/>
        <v>0</v>
      </c>
      <c r="BL784" s="426">
        <v>0</v>
      </c>
      <c r="BM784" s="290">
        <f t="shared" si="1139"/>
        <v>0</v>
      </c>
      <c r="BN784" s="260">
        <f t="shared" si="1140"/>
        <v>0</v>
      </c>
      <c r="BO784" s="260">
        <f t="shared" si="1141"/>
        <v>0</v>
      </c>
      <c r="BP784" s="291">
        <f t="shared" si="1142"/>
        <v>0</v>
      </c>
      <c r="BQ784" s="2032">
        <v>0</v>
      </c>
      <c r="BR784" s="383"/>
      <c r="BS784" s="383"/>
      <c r="BT784" s="383"/>
      <c r="BU784" t="s">
        <v>1170</v>
      </c>
      <c r="BV784" s="35" t="s">
        <v>1171</v>
      </c>
      <c r="BW784" s="1023">
        <v>10</v>
      </c>
      <c r="BY784" t="s">
        <v>1142</v>
      </c>
      <c r="BZ784" s="951">
        <f t="shared" si="1101"/>
        <v>30.659999999999997</v>
      </c>
      <c r="CA784" s="951">
        <f t="shared" si="1101"/>
        <v>30.659999999999997</v>
      </c>
      <c r="CB784" s="951"/>
      <c r="CC784" s="951">
        <f t="shared" si="1101"/>
        <v>30.659999999999997</v>
      </c>
      <c r="CD784" s="951">
        <f t="shared" si="1101"/>
        <v>30.659999999999997</v>
      </c>
      <c r="CE784" s="951">
        <f t="shared" si="1122"/>
        <v>30.659999999999997</v>
      </c>
      <c r="CF784" s="951">
        <f t="shared" si="1126"/>
        <v>30.659999999999997</v>
      </c>
      <c r="CL784" s="383"/>
      <c r="CM784" s="383"/>
      <c r="CN784" s="383"/>
      <c r="CO784" s="383"/>
      <c r="CP784" s="383"/>
      <c r="CQ784" s="383"/>
      <c r="CT784" s="833"/>
      <c r="CU784" s="383"/>
      <c r="CV784" s="383"/>
      <c r="CW784" s="383"/>
      <c r="CX784" s="383"/>
      <c r="CY784" s="383"/>
      <c r="CZ784" s="776" t="s">
        <v>627</v>
      </c>
      <c r="DA784" s="28"/>
      <c r="DB784" s="28"/>
      <c r="DC784" s="28"/>
      <c r="DD784" s="28"/>
      <c r="DE784" s="28"/>
      <c r="DF784" s="28"/>
      <c r="DG784" s="28"/>
      <c r="DH784" s="28"/>
      <c r="DI784" s="28"/>
      <c r="DJ784" s="28"/>
      <c r="DK784" s="28"/>
      <c r="DL784" s="28"/>
    </row>
    <row r="785" spans="1:103">
      <c r="A785" s="383"/>
      <c r="B785" s="28"/>
      <c r="C785" s="383" t="s">
        <v>794</v>
      </c>
      <c r="D785" s="28"/>
      <c r="E785" s="290"/>
      <c r="F785" s="260"/>
      <c r="G785" s="260"/>
      <c r="H785" s="291"/>
      <c r="I785" s="426"/>
      <c r="J785" s="290"/>
      <c r="K785" s="260"/>
      <c r="L785" s="260"/>
      <c r="M785" s="291"/>
      <c r="N785" s="426"/>
      <c r="O785" s="290"/>
      <c r="P785" s="260"/>
      <c r="Q785" s="260"/>
      <c r="R785" s="291"/>
      <c r="S785" s="426"/>
      <c r="T785" s="290"/>
      <c r="U785" s="260"/>
      <c r="V785" s="260"/>
      <c r="W785" s="291"/>
      <c r="X785" s="426"/>
      <c r="Y785" s="290"/>
      <c r="Z785" s="260"/>
      <c r="AA785" s="260"/>
      <c r="AB785" s="291"/>
      <c r="AC785" s="1003"/>
      <c r="AD785" s="290"/>
      <c r="AE785" s="260"/>
      <c r="AF785" s="260"/>
      <c r="AG785" s="291"/>
      <c r="AH785" s="1003"/>
      <c r="AI785" s="290"/>
      <c r="AJ785" s="260"/>
      <c r="AK785" s="260"/>
      <c r="AL785" s="291"/>
      <c r="AM785" s="2058"/>
      <c r="AN785" s="290"/>
      <c r="AO785" s="260"/>
      <c r="AP785" s="260"/>
      <c r="AQ785" s="291"/>
      <c r="AR785" s="2058"/>
      <c r="AS785" s="290"/>
      <c r="AT785" s="260"/>
      <c r="AU785" s="260"/>
      <c r="AV785" s="291"/>
      <c r="AW785" s="2058"/>
      <c r="AX785" s="290">
        <f t="shared" si="1127"/>
        <v>0</v>
      </c>
      <c r="AY785" s="260">
        <f t="shared" si="1128"/>
        <v>0</v>
      </c>
      <c r="AZ785" s="260">
        <f t="shared" si="1129"/>
        <v>0</v>
      </c>
      <c r="BA785" s="291">
        <f t="shared" si="1130"/>
        <v>0</v>
      </c>
      <c r="BB785" s="426">
        <v>0</v>
      </c>
      <c r="BC785" s="290">
        <f t="shared" si="1131"/>
        <v>0</v>
      </c>
      <c r="BD785" s="260">
        <f t="shared" si="1132"/>
        <v>0</v>
      </c>
      <c r="BE785" s="260">
        <f t="shared" si="1133"/>
        <v>0</v>
      </c>
      <c r="BF785" s="291">
        <f t="shared" si="1134"/>
        <v>0</v>
      </c>
      <c r="BG785" s="426">
        <v>0</v>
      </c>
      <c r="BH785" s="290">
        <f t="shared" si="1135"/>
        <v>0</v>
      </c>
      <c r="BI785" s="260">
        <f t="shared" si="1136"/>
        <v>0</v>
      </c>
      <c r="BJ785" s="260">
        <f t="shared" si="1137"/>
        <v>0</v>
      </c>
      <c r="BK785" s="291">
        <f t="shared" si="1138"/>
        <v>0</v>
      </c>
      <c r="BL785" s="426">
        <v>0</v>
      </c>
      <c r="BM785" s="290">
        <f t="shared" si="1139"/>
        <v>0</v>
      </c>
      <c r="BN785" s="260">
        <f t="shared" si="1140"/>
        <v>0</v>
      </c>
      <c r="BO785" s="260">
        <f t="shared" si="1141"/>
        <v>0</v>
      </c>
      <c r="BP785" s="291">
        <f t="shared" si="1142"/>
        <v>0</v>
      </c>
      <c r="BQ785" s="2032">
        <v>0</v>
      </c>
      <c r="BR785" s="383"/>
      <c r="BS785" s="383"/>
      <c r="BT785" s="202"/>
      <c r="BU785" t="s">
        <v>1172</v>
      </c>
      <c r="BV785" s="35" t="s">
        <v>1171</v>
      </c>
      <c r="BW785" s="1023">
        <v>10</v>
      </c>
      <c r="BY785" t="s">
        <v>1142</v>
      </c>
      <c r="BZ785" s="951">
        <f t="shared" si="1101"/>
        <v>30.659999999999997</v>
      </c>
      <c r="CA785" s="951">
        <f t="shared" si="1101"/>
        <v>30.659999999999997</v>
      </c>
      <c r="CB785" s="951"/>
      <c r="CC785" s="951">
        <f t="shared" si="1101"/>
        <v>30.659999999999997</v>
      </c>
      <c r="CD785" s="951">
        <f t="shared" si="1101"/>
        <v>30.659999999999997</v>
      </c>
      <c r="CE785" s="951">
        <f t="shared" si="1122"/>
        <v>30.659999999999997</v>
      </c>
      <c r="CF785" s="951">
        <f t="shared" si="1126"/>
        <v>30.659999999999997</v>
      </c>
      <c r="CL785" s="45"/>
      <c r="CM785" s="45"/>
      <c r="CN785" s="45"/>
      <c r="CO785" s="45"/>
      <c r="CP785" s="45"/>
      <c r="CQ785" s="383"/>
      <c r="CT785" s="833"/>
      <c r="CU785" s="383"/>
      <c r="CV785" s="383"/>
      <c r="CW785" s="383"/>
      <c r="CX785" s="383"/>
      <c r="CY785" s="383"/>
    </row>
    <row r="786" spans="1:103">
      <c r="A786" s="45"/>
      <c r="B786" s="28"/>
      <c r="C786" s="383" t="s">
        <v>810</v>
      </c>
      <c r="D786" s="28"/>
      <c r="E786" s="290"/>
      <c r="F786" s="260"/>
      <c r="G786" s="260"/>
      <c r="H786" s="291"/>
      <c r="I786" s="426"/>
      <c r="J786" s="290"/>
      <c r="K786" s="260"/>
      <c r="L786" s="260"/>
      <c r="M786" s="291"/>
      <c r="N786" s="426"/>
      <c r="O786" s="290"/>
      <c r="P786" s="260"/>
      <c r="Q786" s="260"/>
      <c r="R786" s="291"/>
      <c r="S786" s="426"/>
      <c r="T786" s="290"/>
      <c r="U786" s="260"/>
      <c r="V786" s="260"/>
      <c r="W786" s="291"/>
      <c r="X786" s="426"/>
      <c r="Y786" s="290"/>
      <c r="Z786" s="260"/>
      <c r="AA786" s="260"/>
      <c r="AB786" s="291"/>
      <c r="AC786" s="1003"/>
      <c r="AD786" s="290"/>
      <c r="AE786" s="260"/>
      <c r="AF786" s="260"/>
      <c r="AG786" s="291"/>
      <c r="AH786" s="1003"/>
      <c r="AI786" s="290"/>
      <c r="AJ786" s="260"/>
      <c r="AK786" s="260"/>
      <c r="AL786" s="291"/>
      <c r="AM786" s="2058"/>
      <c r="AN786" s="290"/>
      <c r="AO786" s="260"/>
      <c r="AP786" s="260"/>
      <c r="AQ786" s="291"/>
      <c r="AR786" s="2058"/>
      <c r="AS786" s="290"/>
      <c r="AT786" s="260"/>
      <c r="AU786" s="260"/>
      <c r="AV786" s="291"/>
      <c r="AW786" s="2058"/>
      <c r="AX786" s="290">
        <f t="shared" si="1127"/>
        <v>0</v>
      </c>
      <c r="AY786" s="260">
        <f t="shared" si="1128"/>
        <v>0</v>
      </c>
      <c r="AZ786" s="260">
        <f t="shared" si="1129"/>
        <v>0</v>
      </c>
      <c r="BA786" s="291">
        <f t="shared" si="1130"/>
        <v>0</v>
      </c>
      <c r="BB786" s="426">
        <v>0</v>
      </c>
      <c r="BC786" s="290">
        <f t="shared" si="1131"/>
        <v>0</v>
      </c>
      <c r="BD786" s="260">
        <f t="shared" si="1132"/>
        <v>0</v>
      </c>
      <c r="BE786" s="260">
        <f t="shared" si="1133"/>
        <v>0</v>
      </c>
      <c r="BF786" s="291">
        <f t="shared" si="1134"/>
        <v>0</v>
      </c>
      <c r="BG786" s="426">
        <v>0</v>
      </c>
      <c r="BH786" s="290">
        <f t="shared" si="1135"/>
        <v>0</v>
      </c>
      <c r="BI786" s="260">
        <f t="shared" si="1136"/>
        <v>0</v>
      </c>
      <c r="BJ786" s="260">
        <f t="shared" si="1137"/>
        <v>0</v>
      </c>
      <c r="BK786" s="291">
        <f t="shared" si="1138"/>
        <v>0</v>
      </c>
      <c r="BL786" s="426">
        <v>0</v>
      </c>
      <c r="BM786" s="290">
        <f t="shared" si="1139"/>
        <v>0</v>
      </c>
      <c r="BN786" s="260">
        <f t="shared" si="1140"/>
        <v>0</v>
      </c>
      <c r="BO786" s="260">
        <f t="shared" si="1141"/>
        <v>0</v>
      </c>
      <c r="BP786" s="291">
        <f t="shared" si="1142"/>
        <v>0</v>
      </c>
      <c r="BQ786" s="2032">
        <v>0</v>
      </c>
      <c r="BR786" s="383"/>
      <c r="BS786" s="383"/>
      <c r="BT786" s="45"/>
      <c r="BU786" t="s">
        <v>1173</v>
      </c>
      <c r="BV786" s="35" t="s">
        <v>1171</v>
      </c>
      <c r="BW786" s="1023">
        <v>10</v>
      </c>
      <c r="BY786" t="s">
        <v>1142</v>
      </c>
      <c r="BZ786" s="951">
        <f t="shared" si="1101"/>
        <v>30.659999999999997</v>
      </c>
      <c r="CA786" s="951">
        <f t="shared" si="1101"/>
        <v>30.659999999999997</v>
      </c>
      <c r="CB786" s="951"/>
      <c r="CC786" s="951">
        <f t="shared" si="1101"/>
        <v>30.659999999999997</v>
      </c>
      <c r="CD786" s="951">
        <f t="shared" si="1101"/>
        <v>30.659999999999997</v>
      </c>
      <c r="CE786" s="951">
        <f t="shared" si="1122"/>
        <v>30.659999999999997</v>
      </c>
      <c r="CF786" s="951">
        <f t="shared" si="1126"/>
        <v>30.659999999999997</v>
      </c>
      <c r="CL786" s="45"/>
      <c r="CM786" s="45"/>
      <c r="CN786" s="45"/>
      <c r="CO786" s="45"/>
      <c r="CP786" s="45"/>
      <c r="CQ786" s="45"/>
      <c r="CT786" s="821"/>
      <c r="CU786" s="45"/>
      <c r="CV786" s="45"/>
      <c r="CW786" s="45"/>
      <c r="CX786" s="45"/>
      <c r="CY786" s="45"/>
    </row>
    <row r="787" spans="1:103">
      <c r="A787" s="45"/>
      <c r="B787" s="28"/>
      <c r="C787" s="383" t="s">
        <v>1073</v>
      </c>
      <c r="D787" s="28"/>
      <c r="E787" s="290"/>
      <c r="F787" s="260"/>
      <c r="G787" s="260"/>
      <c r="H787" s="291"/>
      <c r="I787" s="426"/>
      <c r="J787" s="290"/>
      <c r="K787" s="260"/>
      <c r="L787" s="260"/>
      <c r="M787" s="291"/>
      <c r="N787" s="426"/>
      <c r="O787" s="290"/>
      <c r="P787" s="260"/>
      <c r="Q787" s="260"/>
      <c r="R787" s="291"/>
      <c r="S787" s="426"/>
      <c r="T787" s="290"/>
      <c r="U787" s="260"/>
      <c r="V787" s="260"/>
      <c r="W787" s="291"/>
      <c r="X787" s="426"/>
      <c r="Y787" s="290"/>
      <c r="Z787" s="260"/>
      <c r="AA787" s="260"/>
      <c r="AB787" s="291"/>
      <c r="AC787" s="1003"/>
      <c r="AD787" s="290"/>
      <c r="AE787" s="260"/>
      <c r="AF787" s="260"/>
      <c r="AG787" s="291"/>
      <c r="AH787" s="1003"/>
      <c r="AI787" s="290"/>
      <c r="AJ787" s="260"/>
      <c r="AK787" s="260"/>
      <c r="AL787" s="291"/>
      <c r="AM787" s="2058"/>
      <c r="AN787" s="290"/>
      <c r="AO787" s="260"/>
      <c r="AP787" s="260"/>
      <c r="AQ787" s="291"/>
      <c r="AR787" s="2058"/>
      <c r="AS787" s="290"/>
      <c r="AT787" s="260"/>
      <c r="AU787" s="260"/>
      <c r="AV787" s="291"/>
      <c r="AW787" s="2058"/>
      <c r="AX787" s="290">
        <f>+BB787/4</f>
        <v>93.75</v>
      </c>
      <c r="AY787" s="260">
        <f>+BB787/4</f>
        <v>93.75</v>
      </c>
      <c r="AZ787" s="260">
        <f>+BB787/4</f>
        <v>93.75</v>
      </c>
      <c r="BA787" s="291">
        <f>+BB787/4</f>
        <v>93.75</v>
      </c>
      <c r="BB787" s="426">
        <v>375</v>
      </c>
      <c r="BC787" s="290">
        <f t="shared" si="1131"/>
        <v>18.75</v>
      </c>
      <c r="BD787" s="260">
        <f t="shared" si="1132"/>
        <v>18.75</v>
      </c>
      <c r="BE787" s="260">
        <f t="shared" si="1133"/>
        <v>18.75</v>
      </c>
      <c r="BF787" s="291">
        <f t="shared" si="1134"/>
        <v>18.75</v>
      </c>
      <c r="BG787" s="426">
        <v>75</v>
      </c>
      <c r="BH787" s="290">
        <f>+BL787/4</f>
        <v>31.25</v>
      </c>
      <c r="BI787" s="260">
        <f>+BL787/4</f>
        <v>31.25</v>
      </c>
      <c r="BJ787" s="260">
        <f>+BL787/4</f>
        <v>31.25</v>
      </c>
      <c r="BK787" s="291">
        <f>+BL787/4</f>
        <v>31.25</v>
      </c>
      <c r="BL787" s="426">
        <v>125</v>
      </c>
      <c r="BM787" s="290">
        <f>+BQ787/4</f>
        <v>43.75</v>
      </c>
      <c r="BN787" s="260">
        <f>+BQ787/4</f>
        <v>43.75</v>
      </c>
      <c r="BO787" s="260">
        <f>+BQ787/4</f>
        <v>43.75</v>
      </c>
      <c r="BP787" s="291">
        <f>+BQ787/4</f>
        <v>43.75</v>
      </c>
      <c r="BQ787" s="2032">
        <v>175</v>
      </c>
      <c r="BR787" s="383"/>
      <c r="BS787" s="383"/>
      <c r="BT787" s="45"/>
      <c r="BU787" t="s">
        <v>1174</v>
      </c>
      <c r="BV787" s="35" t="s">
        <v>1171</v>
      </c>
      <c r="BW787" s="1023">
        <v>10</v>
      </c>
      <c r="BY787" t="s">
        <v>1142</v>
      </c>
      <c r="BZ787" s="951">
        <f t="shared" ref="BZ787:CD805" si="1143">$BW787*8.76*BZ$811</f>
        <v>30.659999999999997</v>
      </c>
      <c r="CA787" s="951">
        <f t="shared" si="1143"/>
        <v>30.659999999999997</v>
      </c>
      <c r="CB787" s="951"/>
      <c r="CC787" s="951">
        <f t="shared" si="1143"/>
        <v>30.659999999999997</v>
      </c>
      <c r="CD787" s="951">
        <f t="shared" si="1143"/>
        <v>30.659999999999997</v>
      </c>
      <c r="CE787" s="951">
        <f t="shared" si="1122"/>
        <v>30.659999999999997</v>
      </c>
      <c r="CF787" s="951">
        <f t="shared" si="1126"/>
        <v>30.659999999999997</v>
      </c>
      <c r="CL787" s="45"/>
      <c r="CM787" s="45"/>
      <c r="CN787" s="45"/>
      <c r="CO787" s="45"/>
      <c r="CP787" s="45"/>
      <c r="CQ787" s="45"/>
      <c r="CT787" s="821"/>
      <c r="CU787" s="45"/>
      <c r="CV787" s="45"/>
      <c r="CW787" s="45"/>
      <c r="CX787" s="45"/>
      <c r="CY787" s="45"/>
    </row>
    <row r="788" spans="1:103">
      <c r="A788" s="45"/>
      <c r="B788" s="28"/>
      <c r="C788" s="1926" t="s">
        <v>1476</v>
      </c>
      <c r="D788" s="28"/>
      <c r="E788" s="290"/>
      <c r="F788" s="260"/>
      <c r="G788" s="260"/>
      <c r="H788" s="291"/>
      <c r="I788" s="426"/>
      <c r="J788" s="290"/>
      <c r="K788" s="260"/>
      <c r="L788" s="260"/>
      <c r="M788" s="291"/>
      <c r="N788" s="426"/>
      <c r="O788" s="290"/>
      <c r="P788" s="260"/>
      <c r="Q788" s="260"/>
      <c r="R788" s="291"/>
      <c r="S788" s="426"/>
      <c r="T788" s="290"/>
      <c r="U788" s="260"/>
      <c r="V788" s="260"/>
      <c r="W788" s="291"/>
      <c r="X788" s="426"/>
      <c r="Y788" s="290"/>
      <c r="Z788" s="260"/>
      <c r="AA788" s="260"/>
      <c r="AB788" s="291"/>
      <c r="AC788" s="1003"/>
      <c r="AD788" s="290"/>
      <c r="AE788" s="260"/>
      <c r="AF788" s="260"/>
      <c r="AG788" s="291"/>
      <c r="AH788" s="1003"/>
      <c r="AI788" s="290"/>
      <c r="AJ788" s="260"/>
      <c r="AK788" s="260"/>
      <c r="AL788" s="291"/>
      <c r="AM788" s="2058"/>
      <c r="AN788" s="290"/>
      <c r="AO788" s="260"/>
      <c r="AP788" s="260"/>
      <c r="AQ788" s="291"/>
      <c r="AR788" s="2058"/>
      <c r="AS788" s="290"/>
      <c r="AT788" s="260"/>
      <c r="AU788" s="260"/>
      <c r="AV788" s="291"/>
      <c r="AW788" s="2058"/>
      <c r="AX788" s="290">
        <f>+BB788/4</f>
        <v>0</v>
      </c>
      <c r="AY788" s="260">
        <f>+BB788/4</f>
        <v>0</v>
      </c>
      <c r="AZ788" s="260">
        <f>+BB788/4</f>
        <v>0</v>
      </c>
      <c r="BA788" s="291">
        <f>+BB788/4</f>
        <v>0</v>
      </c>
      <c r="BB788" s="426">
        <v>0</v>
      </c>
      <c r="BC788" s="290">
        <f t="shared" si="1131"/>
        <v>0</v>
      </c>
      <c r="BD788" s="260">
        <f t="shared" si="1132"/>
        <v>0</v>
      </c>
      <c r="BE788" s="260">
        <f t="shared" si="1133"/>
        <v>0</v>
      </c>
      <c r="BF788" s="291">
        <f t="shared" si="1134"/>
        <v>0</v>
      </c>
      <c r="BG788" s="426">
        <v>0</v>
      </c>
      <c r="BH788" s="290">
        <f>+BL788/4</f>
        <v>0</v>
      </c>
      <c r="BI788" s="260">
        <f>+BL788/4</f>
        <v>0</v>
      </c>
      <c r="BJ788" s="260">
        <f>+BL788/4</f>
        <v>0</v>
      </c>
      <c r="BK788" s="291">
        <f>+BL788/4</f>
        <v>0</v>
      </c>
      <c r="BL788" s="426">
        <v>0</v>
      </c>
      <c r="BM788" s="290">
        <f>+BQ788/4</f>
        <v>0</v>
      </c>
      <c r="BN788" s="260">
        <f>+BQ788/4</f>
        <v>0</v>
      </c>
      <c r="BO788" s="260">
        <f>+BQ788/4</f>
        <v>0</v>
      </c>
      <c r="BP788" s="291">
        <f>+BQ788/4</f>
        <v>0</v>
      </c>
      <c r="BQ788" s="2032">
        <v>0</v>
      </c>
      <c r="BR788" s="383"/>
      <c r="BS788" s="383"/>
      <c r="BT788" s="45"/>
      <c r="BU788" t="s">
        <v>1175</v>
      </c>
      <c r="BV788" s="35" t="s">
        <v>1171</v>
      </c>
      <c r="BW788" s="1023">
        <v>10</v>
      </c>
      <c r="BY788" t="s">
        <v>1142</v>
      </c>
      <c r="BZ788" s="951">
        <f t="shared" si="1143"/>
        <v>30.659999999999997</v>
      </c>
      <c r="CA788" s="951">
        <f t="shared" si="1143"/>
        <v>30.659999999999997</v>
      </c>
      <c r="CB788" s="951"/>
      <c r="CC788" s="951">
        <f t="shared" si="1143"/>
        <v>30.659999999999997</v>
      </c>
      <c r="CD788" s="951">
        <f t="shared" si="1143"/>
        <v>30.659999999999997</v>
      </c>
      <c r="CE788" s="951">
        <f t="shared" si="1122"/>
        <v>30.659999999999997</v>
      </c>
      <c r="CF788" s="951">
        <f t="shared" si="1126"/>
        <v>30.659999999999997</v>
      </c>
      <c r="CL788" s="45"/>
      <c r="CM788" s="45"/>
      <c r="CN788" s="45"/>
      <c r="CO788" s="45"/>
      <c r="CP788" s="45"/>
      <c r="CQ788" s="45"/>
      <c r="CT788" s="821"/>
      <c r="CU788" s="427"/>
      <c r="CV788" s="427"/>
      <c r="CW788" s="427"/>
      <c r="CX788" s="45"/>
      <c r="CY788" s="427"/>
    </row>
    <row r="789" spans="1:103">
      <c r="A789" s="45"/>
      <c r="B789" s="28"/>
      <c r="C789" s="1926" t="s">
        <v>1333</v>
      </c>
      <c r="D789" s="28"/>
      <c r="E789" s="290"/>
      <c r="F789" s="260"/>
      <c r="G789" s="260"/>
      <c r="H789" s="291"/>
      <c r="I789" s="426"/>
      <c r="J789" s="290"/>
      <c r="K789" s="260"/>
      <c r="L789" s="260"/>
      <c r="M789" s="291"/>
      <c r="N789" s="426"/>
      <c r="O789" s="290"/>
      <c r="P789" s="260"/>
      <c r="Q789" s="260"/>
      <c r="R789" s="291"/>
      <c r="S789" s="426"/>
      <c r="T789" s="290"/>
      <c r="U789" s="260"/>
      <c r="V789" s="260"/>
      <c r="W789" s="291"/>
      <c r="X789" s="426"/>
      <c r="Y789" s="290"/>
      <c r="Z789" s="260"/>
      <c r="AA789" s="260"/>
      <c r="AB789" s="291"/>
      <c r="AC789" s="1003"/>
      <c r="AD789" s="290"/>
      <c r="AE789" s="260"/>
      <c r="AF789" s="260"/>
      <c r="AG789" s="291"/>
      <c r="AH789" s="1003"/>
      <c r="AI789" s="290"/>
      <c r="AJ789" s="260"/>
      <c r="AK789" s="260"/>
      <c r="AL789" s="291"/>
      <c r="AM789" s="2058"/>
      <c r="AN789" s="290"/>
      <c r="AO789" s="260"/>
      <c r="AP789" s="260"/>
      <c r="AQ789" s="291"/>
      <c r="AR789" s="2058"/>
      <c r="AS789" s="290"/>
      <c r="AT789" s="260"/>
      <c r="AU789" s="260"/>
      <c r="AV789" s="291"/>
      <c r="AW789" s="2058"/>
      <c r="AX789" s="290">
        <f t="shared" si="1127"/>
        <v>237.5</v>
      </c>
      <c r="AY789" s="260">
        <f t="shared" si="1128"/>
        <v>237.5</v>
      </c>
      <c r="AZ789" s="260">
        <f t="shared" si="1129"/>
        <v>237.5</v>
      </c>
      <c r="BA789" s="291">
        <f t="shared" si="1130"/>
        <v>237.5</v>
      </c>
      <c r="BB789" s="2032">
        <v>950</v>
      </c>
      <c r="BC789" s="2037">
        <f t="shared" si="1131"/>
        <v>225</v>
      </c>
      <c r="BD789" s="2038">
        <f t="shared" si="1132"/>
        <v>225</v>
      </c>
      <c r="BE789" s="2038">
        <f t="shared" si="1133"/>
        <v>225</v>
      </c>
      <c r="BF789" s="2039">
        <f t="shared" si="1134"/>
        <v>225</v>
      </c>
      <c r="BG789" s="2032">
        <v>900</v>
      </c>
      <c r="BH789" s="2037">
        <f t="shared" ref="BH789:BH790" si="1144">+BL789/4</f>
        <v>206.25</v>
      </c>
      <c r="BI789" s="2038">
        <f t="shared" ref="BI789:BI790" si="1145">+BL789/4</f>
        <v>206.25</v>
      </c>
      <c r="BJ789" s="2038">
        <f t="shared" ref="BJ789:BJ790" si="1146">+BL789/4</f>
        <v>206.25</v>
      </c>
      <c r="BK789" s="2039">
        <f t="shared" ref="BK789:BK790" si="1147">+BL789/4</f>
        <v>206.25</v>
      </c>
      <c r="BL789" s="2032">
        <v>825</v>
      </c>
      <c r="BM789" s="300">
        <f t="shared" ref="BM789:BM790" si="1148">+BQ789/4</f>
        <v>200</v>
      </c>
      <c r="BN789" s="264">
        <f t="shared" ref="BN789:BN790" si="1149">+BQ789/4</f>
        <v>200</v>
      </c>
      <c r="BO789" s="264">
        <f t="shared" ref="BO789:BO790" si="1150">+BQ789/4</f>
        <v>200</v>
      </c>
      <c r="BP789" s="299">
        <f t="shared" ref="BP789:BP790" si="1151">+BQ789/4</f>
        <v>200</v>
      </c>
      <c r="BQ789" s="2032">
        <v>800</v>
      </c>
      <c r="BR789" s="45"/>
      <c r="BS789" s="45"/>
      <c r="BT789" s="45"/>
      <c r="BU789" t="s">
        <v>1176</v>
      </c>
      <c r="BV789" s="35" t="s">
        <v>1163</v>
      </c>
      <c r="BW789" s="1023">
        <v>20</v>
      </c>
      <c r="BY789" t="s">
        <v>1142</v>
      </c>
      <c r="BZ789" s="951">
        <f t="shared" si="1143"/>
        <v>61.319999999999993</v>
      </c>
      <c r="CA789" s="951">
        <f t="shared" si="1143"/>
        <v>61.319999999999993</v>
      </c>
      <c r="CB789" s="951"/>
      <c r="CC789" s="951">
        <f t="shared" si="1143"/>
        <v>61.319999999999993</v>
      </c>
      <c r="CD789" s="951">
        <f t="shared" si="1143"/>
        <v>61.319999999999993</v>
      </c>
      <c r="CE789" s="951">
        <f t="shared" si="1122"/>
        <v>61.319999999999993</v>
      </c>
      <c r="CF789" s="951">
        <f t="shared" si="1126"/>
        <v>61.319999999999993</v>
      </c>
      <c r="CL789" s="45"/>
      <c r="CM789" s="45"/>
      <c r="CN789" s="45"/>
      <c r="CO789" s="45"/>
      <c r="CP789" s="45"/>
      <c r="CQ789" s="45"/>
      <c r="CT789" s="821"/>
      <c r="CU789" s="45"/>
      <c r="CV789" s="45"/>
      <c r="CW789" s="45"/>
      <c r="CX789" s="45"/>
      <c r="CY789" s="45"/>
    </row>
    <row r="790" spans="1:103">
      <c r="A790" s="45"/>
      <c r="B790" s="28"/>
      <c r="C790" s="1926" t="s">
        <v>811</v>
      </c>
      <c r="D790" s="28"/>
      <c r="E790" s="290"/>
      <c r="F790" s="260"/>
      <c r="G790" s="260"/>
      <c r="H790" s="291"/>
      <c r="I790" s="426"/>
      <c r="J790" s="290"/>
      <c r="K790" s="260"/>
      <c r="L790" s="260"/>
      <c r="M790" s="291"/>
      <c r="N790" s="426"/>
      <c r="O790" s="290"/>
      <c r="P790" s="260"/>
      <c r="Q790" s="260"/>
      <c r="R790" s="291"/>
      <c r="S790" s="426"/>
      <c r="T790" s="290"/>
      <c r="U790" s="260"/>
      <c r="V790" s="260"/>
      <c r="W790" s="291"/>
      <c r="X790" s="426"/>
      <c r="Y790" s="290"/>
      <c r="Z790" s="260"/>
      <c r="AA790" s="260"/>
      <c r="AB790" s="291"/>
      <c r="AC790" s="1003"/>
      <c r="AD790" s="290"/>
      <c r="AE790" s="260"/>
      <c r="AF790" s="260"/>
      <c r="AG790" s="291"/>
      <c r="AH790" s="1003"/>
      <c r="AI790" s="290"/>
      <c r="AJ790" s="260"/>
      <c r="AK790" s="260"/>
      <c r="AL790" s="291"/>
      <c r="AM790" s="2058"/>
      <c r="AN790" s="290"/>
      <c r="AO790" s="260"/>
      <c r="AP790" s="260"/>
      <c r="AQ790" s="291"/>
      <c r="AR790" s="2058"/>
      <c r="AS790" s="290"/>
      <c r="AT790" s="260"/>
      <c r="AU790" s="260"/>
      <c r="AV790" s="291"/>
      <c r="AW790" s="2058"/>
      <c r="AX790" s="290">
        <f t="shared" si="1127"/>
        <v>237.09344576200803</v>
      </c>
      <c r="AY790" s="260">
        <f t="shared" si="1128"/>
        <v>237.09344576200803</v>
      </c>
      <c r="AZ790" s="260">
        <f t="shared" si="1129"/>
        <v>237.09344576200803</v>
      </c>
      <c r="BA790" s="291">
        <f t="shared" si="1130"/>
        <v>237.09344576200803</v>
      </c>
      <c r="BB790" s="426">
        <f>1045-(BB353*2+BB340*2+BB327*2)/(BB267+BB353+BB340+BB327)*1045*0.5</f>
        <v>948.37378304803212</v>
      </c>
      <c r="BC790" s="2037">
        <f t="shared" si="1131"/>
        <v>219.17642541754657</v>
      </c>
      <c r="BD790" s="2038">
        <f t="shared" si="1132"/>
        <v>219.17642541754657</v>
      </c>
      <c r="BE790" s="2038">
        <f t="shared" si="1133"/>
        <v>219.17642541754657</v>
      </c>
      <c r="BF790" s="2039">
        <f t="shared" si="1134"/>
        <v>219.17642541754657</v>
      </c>
      <c r="BG790" s="426">
        <f>970-(BG353*2+BG340*2+BG327*2)/(BG267+BG353+BG340+BG327)*970*0.5</f>
        <v>876.70570167018627</v>
      </c>
      <c r="BH790" s="2037">
        <f t="shared" si="1144"/>
        <v>219.17642541754657</v>
      </c>
      <c r="BI790" s="2038">
        <f t="shared" si="1145"/>
        <v>219.17642541754657</v>
      </c>
      <c r="BJ790" s="2038">
        <f t="shared" si="1146"/>
        <v>219.17642541754657</v>
      </c>
      <c r="BK790" s="2039">
        <f t="shared" si="1147"/>
        <v>219.17642541754657</v>
      </c>
      <c r="BL790" s="426">
        <f>970-(BL353*2+BL340*2+BL327*2)/(BL267+BL353+BL340+BL327)*970*0.5</f>
        <v>876.70570167018627</v>
      </c>
      <c r="BM790" s="300">
        <f t="shared" si="1148"/>
        <v>212.5</v>
      </c>
      <c r="BN790" s="264">
        <f t="shared" si="1149"/>
        <v>212.5</v>
      </c>
      <c r="BO790" s="264">
        <f t="shared" si="1150"/>
        <v>212.5</v>
      </c>
      <c r="BP790" s="299">
        <f t="shared" si="1151"/>
        <v>212.5</v>
      </c>
      <c r="BQ790" s="2032">
        <v>850</v>
      </c>
      <c r="BR790" s="45"/>
      <c r="BS790" s="45"/>
      <c r="BT790" s="45"/>
      <c r="BU790" t="s">
        <v>1177</v>
      </c>
      <c r="BV790" s="35" t="s">
        <v>1171</v>
      </c>
      <c r="BW790" s="1023">
        <v>10</v>
      </c>
      <c r="BY790" t="s">
        <v>1142</v>
      </c>
      <c r="BZ790" s="951">
        <f t="shared" si="1143"/>
        <v>30.659999999999997</v>
      </c>
      <c r="CA790" s="951">
        <f t="shared" si="1143"/>
        <v>30.659999999999997</v>
      </c>
      <c r="CB790" s="951"/>
      <c r="CC790" s="951">
        <f t="shared" si="1143"/>
        <v>30.659999999999997</v>
      </c>
      <c r="CD790" s="951">
        <f t="shared" si="1143"/>
        <v>30.659999999999997</v>
      </c>
      <c r="CE790" s="951">
        <f t="shared" si="1122"/>
        <v>30.659999999999997</v>
      </c>
      <c r="CF790" s="951">
        <f t="shared" si="1126"/>
        <v>30.659999999999997</v>
      </c>
      <c r="CL790" s="45"/>
      <c r="CM790" s="45"/>
      <c r="CN790" s="45"/>
      <c r="CO790" s="45"/>
      <c r="CP790" s="45"/>
      <c r="CQ790" s="45"/>
      <c r="CT790" s="821"/>
      <c r="CU790" s="45"/>
      <c r="CV790" s="45"/>
      <c r="CW790" s="45"/>
      <c r="CX790" s="45"/>
      <c r="CY790" s="45"/>
    </row>
    <row r="791" spans="1:103">
      <c r="A791" s="45"/>
      <c r="B791" s="228"/>
      <c r="C791" s="641" t="s">
        <v>1044</v>
      </c>
      <c r="D791" s="228"/>
      <c r="E791" s="580">
        <f t="shared" ref="E791:AM791" si="1152">+-E827</f>
        <v>376</v>
      </c>
      <c r="F791" s="581">
        <f t="shared" si="1152"/>
        <v>425</v>
      </c>
      <c r="G791" s="581">
        <f t="shared" si="1152"/>
        <v>529</v>
      </c>
      <c r="H791" s="582">
        <f t="shared" si="1152"/>
        <v>647</v>
      </c>
      <c r="I791" s="583">
        <f t="shared" si="1152"/>
        <v>1977</v>
      </c>
      <c r="J791" s="580">
        <f t="shared" si="1152"/>
        <v>592</v>
      </c>
      <c r="K791" s="581">
        <f t="shared" si="1152"/>
        <v>390</v>
      </c>
      <c r="L791" s="581">
        <f t="shared" si="1152"/>
        <v>423</v>
      </c>
      <c r="M791" s="582">
        <f t="shared" si="1152"/>
        <v>478</v>
      </c>
      <c r="N791" s="583">
        <f t="shared" si="1152"/>
        <v>1883</v>
      </c>
      <c r="O791" s="580">
        <f t="shared" si="1152"/>
        <v>772</v>
      </c>
      <c r="P791" s="581">
        <f t="shared" si="1152"/>
        <v>498</v>
      </c>
      <c r="Q791" s="261">
        <f t="shared" si="1152"/>
        <v>595</v>
      </c>
      <c r="R791" s="293">
        <f t="shared" si="1152"/>
        <v>626</v>
      </c>
      <c r="S791" s="583">
        <f t="shared" si="1152"/>
        <v>2491</v>
      </c>
      <c r="T791" s="580">
        <f t="shared" si="1152"/>
        <v>1055</v>
      </c>
      <c r="U791" s="581">
        <f t="shared" si="1152"/>
        <v>765</v>
      </c>
      <c r="V791" s="261">
        <f t="shared" si="1152"/>
        <v>782</v>
      </c>
      <c r="W791" s="293">
        <f t="shared" si="1152"/>
        <v>952</v>
      </c>
      <c r="X791" s="583">
        <f t="shared" si="1152"/>
        <v>3554</v>
      </c>
      <c r="Y791" s="580">
        <f t="shared" si="1152"/>
        <v>841</v>
      </c>
      <c r="Z791" s="581">
        <f t="shared" si="1152"/>
        <v>436</v>
      </c>
      <c r="AA791" s="261">
        <f t="shared" si="1152"/>
        <v>718</v>
      </c>
      <c r="AB791" s="293">
        <f t="shared" si="1152"/>
        <v>757</v>
      </c>
      <c r="AC791" s="583">
        <f t="shared" si="1152"/>
        <v>2752</v>
      </c>
      <c r="AD791" s="580">
        <f t="shared" si="1152"/>
        <v>535</v>
      </c>
      <c r="AE791" s="581">
        <f t="shared" si="1152"/>
        <v>568</v>
      </c>
      <c r="AF791" s="261">
        <f t="shared" si="1152"/>
        <v>858</v>
      </c>
      <c r="AG791" s="293">
        <f t="shared" si="1152"/>
        <v>1051</v>
      </c>
      <c r="AH791" s="583">
        <f t="shared" si="1152"/>
        <v>3012</v>
      </c>
      <c r="AI791" s="580">
        <f t="shared" si="1152"/>
        <v>937</v>
      </c>
      <c r="AJ791" s="581">
        <f t="shared" si="1152"/>
        <v>827</v>
      </c>
      <c r="AK791" s="261">
        <f t="shared" si="1152"/>
        <v>1010</v>
      </c>
      <c r="AL791" s="293">
        <f t="shared" si="1152"/>
        <v>1067</v>
      </c>
      <c r="AM791" s="583">
        <f t="shared" si="1152"/>
        <v>3841</v>
      </c>
      <c r="AN791" s="580">
        <f t="shared" ref="AN791:AR791" si="1153">+-AN827</f>
        <v>1125</v>
      </c>
      <c r="AO791" s="581">
        <f t="shared" si="1153"/>
        <v>926</v>
      </c>
      <c r="AP791" s="261">
        <f t="shared" si="1153"/>
        <v>600</v>
      </c>
      <c r="AQ791" s="293">
        <f t="shared" si="1153"/>
        <v>427</v>
      </c>
      <c r="AR791" s="583">
        <f t="shared" si="1153"/>
        <v>3078</v>
      </c>
      <c r="AS791" s="580">
        <f t="shared" ref="AS791:AW791" si="1154">+-AS827</f>
        <v>923</v>
      </c>
      <c r="AT791" s="581">
        <f t="shared" si="1154"/>
        <v>266</v>
      </c>
      <c r="AU791" s="261">
        <f t="shared" si="1154"/>
        <v>465</v>
      </c>
      <c r="AV791" s="293">
        <f t="shared" si="1154"/>
        <v>605</v>
      </c>
      <c r="AW791" s="583">
        <f t="shared" si="1154"/>
        <v>2259</v>
      </c>
      <c r="AX791" s="292">
        <f t="shared" ref="AX791:BB791" si="1155">SUM(AX782:AX790)</f>
        <v>568.34344576200806</v>
      </c>
      <c r="AY791" s="261">
        <f t="shared" si="1155"/>
        <v>568.34344576200806</v>
      </c>
      <c r="AZ791" s="261">
        <f t="shared" si="1155"/>
        <v>568.34344576200806</v>
      </c>
      <c r="BA791" s="293">
        <f t="shared" si="1155"/>
        <v>568.34344576200806</v>
      </c>
      <c r="BB791" s="583">
        <f t="shared" si="1155"/>
        <v>2273.3737830480322</v>
      </c>
      <c r="BC791" s="292">
        <f t="shared" ref="BC791:BL791" si="1156">SUM(BC782:BC790)</f>
        <v>462.92642541754657</v>
      </c>
      <c r="BD791" s="261">
        <f t="shared" si="1156"/>
        <v>462.92642541754657</v>
      </c>
      <c r="BE791" s="261">
        <f t="shared" si="1156"/>
        <v>462.92642541754657</v>
      </c>
      <c r="BF791" s="293">
        <f t="shared" si="1156"/>
        <v>462.92642541754657</v>
      </c>
      <c r="BG791" s="583">
        <f t="shared" si="1156"/>
        <v>1851.7057016701863</v>
      </c>
      <c r="BH791" s="292">
        <f t="shared" si="1156"/>
        <v>456.67642541754657</v>
      </c>
      <c r="BI791" s="261">
        <f t="shared" si="1156"/>
        <v>456.67642541754657</v>
      </c>
      <c r="BJ791" s="261">
        <f t="shared" si="1156"/>
        <v>456.67642541754657</v>
      </c>
      <c r="BK791" s="293">
        <f t="shared" si="1156"/>
        <v>456.67642541754657</v>
      </c>
      <c r="BL791" s="583">
        <f t="shared" si="1156"/>
        <v>1826.7057016701863</v>
      </c>
      <c r="BM791" s="292">
        <f t="shared" ref="BM791:BQ791" si="1157">SUM(BM782:BM790)</f>
        <v>456.25</v>
      </c>
      <c r="BN791" s="261">
        <f t="shared" si="1157"/>
        <v>456.25</v>
      </c>
      <c r="BO791" s="261">
        <f t="shared" si="1157"/>
        <v>456.25</v>
      </c>
      <c r="BP791" s="293">
        <f t="shared" si="1157"/>
        <v>456.25</v>
      </c>
      <c r="BQ791" s="583">
        <f t="shared" si="1157"/>
        <v>1825</v>
      </c>
      <c r="BR791" s="45"/>
      <c r="BS791" s="383"/>
      <c r="BT791" s="45"/>
      <c r="BU791" t="s">
        <v>1178</v>
      </c>
      <c r="BV791" s="35" t="s">
        <v>1179</v>
      </c>
      <c r="BW791" s="1023">
        <v>5</v>
      </c>
      <c r="BY791" t="s">
        <v>1142</v>
      </c>
      <c r="BZ791" s="951">
        <f t="shared" si="1143"/>
        <v>15.329999999999998</v>
      </c>
      <c r="CA791" s="951">
        <f t="shared" si="1143"/>
        <v>15.329999999999998</v>
      </c>
      <c r="CB791" s="951"/>
      <c r="CC791" s="951">
        <f t="shared" si="1143"/>
        <v>15.329999999999998</v>
      </c>
      <c r="CD791" s="951">
        <f t="shared" si="1143"/>
        <v>15.329999999999998</v>
      </c>
      <c r="CE791" s="951">
        <f t="shared" si="1122"/>
        <v>15.329999999999998</v>
      </c>
      <c r="CF791" s="951">
        <f t="shared" si="1126"/>
        <v>15.329999999999998</v>
      </c>
      <c r="CL791" s="45"/>
      <c r="CM791" s="45"/>
      <c r="CN791" s="45"/>
      <c r="CO791" s="45"/>
      <c r="CP791" s="45"/>
      <c r="CQ791" s="45"/>
      <c r="CT791" s="821"/>
      <c r="CU791" s="45"/>
      <c r="CV791" s="45"/>
      <c r="CW791" s="45"/>
      <c r="CX791" s="45"/>
      <c r="CY791" s="45"/>
    </row>
    <row r="792" spans="1:103">
      <c r="A792" s="45"/>
      <c r="B792" s="383"/>
      <c r="C792" s="383"/>
      <c r="D792" s="383"/>
      <c r="E792" s="616"/>
      <c r="F792" s="617"/>
      <c r="G792" s="617"/>
      <c r="H792" s="656"/>
      <c r="I792" s="657"/>
      <c r="J792" s="616"/>
      <c r="K792" s="617"/>
      <c r="L792" s="617"/>
      <c r="M792" s="656"/>
      <c r="N792" s="657"/>
      <c r="O792" s="613"/>
      <c r="P792" s="614"/>
      <c r="Q792" s="614"/>
      <c r="R792" s="615"/>
      <c r="S792" s="383"/>
      <c r="T792" s="613"/>
      <c r="U792" s="614"/>
      <c r="V792" s="614"/>
      <c r="W792" s="615"/>
      <c r="X792" s="383"/>
      <c r="Y792" s="613"/>
      <c r="Z792" s="614"/>
      <c r="AA792" s="614"/>
      <c r="AB792" s="615"/>
      <c r="AC792" s="383"/>
      <c r="AD792" s="613"/>
      <c r="AE792" s="614"/>
      <c r="AF792" s="614"/>
      <c r="AG792" s="615"/>
      <c r="AH792" s="383"/>
      <c r="AI792" s="613"/>
      <c r="AJ792" s="614"/>
      <c r="AK792" s="614"/>
      <c r="AL792" s="615"/>
      <c r="AM792" s="383"/>
      <c r="AN792" s="613"/>
      <c r="AO792" s="614"/>
      <c r="AP792" s="614"/>
      <c r="AQ792" s="615"/>
      <c r="AR792" s="383"/>
      <c r="AS792" s="613"/>
      <c r="AT792" s="614"/>
      <c r="AU792" s="614"/>
      <c r="AV792" s="615"/>
      <c r="AW792" s="383"/>
      <c r="AX792" s="613"/>
      <c r="AY792" s="614"/>
      <c r="AZ792" s="614"/>
      <c r="BA792" s="615"/>
      <c r="BB792" s="383"/>
      <c r="BC792" s="613"/>
      <c r="BD792" s="614"/>
      <c r="BE792" s="614"/>
      <c r="BF792" s="615"/>
      <c r="BG792" s="383"/>
      <c r="BH792" s="613"/>
      <c r="BI792" s="614"/>
      <c r="BJ792" s="614"/>
      <c r="BK792" s="615"/>
      <c r="BL792" s="383"/>
      <c r="BM792" s="613"/>
      <c r="BN792" s="614"/>
      <c r="BO792" s="614"/>
      <c r="BP792" s="615"/>
      <c r="BQ792" s="383"/>
      <c r="BR792" s="383"/>
      <c r="BS792" s="383"/>
      <c r="BT792" s="45"/>
      <c r="BU792" t="s">
        <v>1180</v>
      </c>
      <c r="BV792" s="35" t="s">
        <v>1181</v>
      </c>
      <c r="BW792" s="1023">
        <v>19</v>
      </c>
      <c r="BY792" t="s">
        <v>1142</v>
      </c>
      <c r="BZ792" s="951">
        <f t="shared" si="1143"/>
        <v>58.253999999999998</v>
      </c>
      <c r="CA792" s="951">
        <f t="shared" si="1143"/>
        <v>58.253999999999998</v>
      </c>
      <c r="CB792" s="951"/>
      <c r="CC792" s="951">
        <f t="shared" si="1143"/>
        <v>58.253999999999998</v>
      </c>
      <c r="CD792" s="951">
        <f t="shared" si="1143"/>
        <v>58.253999999999998</v>
      </c>
      <c r="CE792" s="951">
        <f t="shared" si="1122"/>
        <v>58.253999999999998</v>
      </c>
      <c r="CF792" s="951">
        <f t="shared" si="1126"/>
        <v>58.253999999999998</v>
      </c>
      <c r="CG792" s="951">
        <f t="shared" ref="CG792:CG804" si="1158">$BW794*8.76*CG$809</f>
        <v>88.913999999999987</v>
      </c>
      <c r="CL792" s="45"/>
      <c r="CM792" s="45"/>
      <c r="CN792" s="45"/>
      <c r="CO792" s="45"/>
      <c r="CP792" s="45"/>
      <c r="CQ792" s="45"/>
      <c r="CT792" s="821"/>
      <c r="CU792" s="45"/>
      <c r="CV792" s="45"/>
      <c r="CW792" s="45"/>
      <c r="CX792" s="45"/>
      <c r="CY792" s="45"/>
    </row>
    <row r="793" spans="1:103">
      <c r="A793" s="45"/>
      <c r="B793" s="383"/>
      <c r="C793" s="383"/>
      <c r="D793" s="383"/>
      <c r="E793" s="613"/>
      <c r="F793" s="614"/>
      <c r="G793" s="614"/>
      <c r="H793" s="615"/>
      <c r="I793" s="383"/>
      <c r="J793" s="613"/>
      <c r="K793" s="614"/>
      <c r="L793" s="614"/>
      <c r="M793" s="615"/>
      <c r="N793" s="383"/>
      <c r="O793" s="613"/>
      <c r="P793" s="614"/>
      <c r="Q793" s="614"/>
      <c r="R793" s="615"/>
      <c r="S793" s="383"/>
      <c r="T793" s="613"/>
      <c r="U793" s="614"/>
      <c r="V793" s="614"/>
      <c r="W793" s="615"/>
      <c r="X793" s="383"/>
      <c r="Y793" s="613"/>
      <c r="Z793" s="614"/>
      <c r="AA793" s="614"/>
      <c r="AB793" s="615"/>
      <c r="AC793" s="383"/>
      <c r="AD793" s="613"/>
      <c r="AE793" s="614"/>
      <c r="AF793" s="614"/>
      <c r="AG793" s="615"/>
      <c r="AH793" s="383"/>
      <c r="AI793" s="613"/>
      <c r="AJ793" s="614"/>
      <c r="AK793" s="614"/>
      <c r="AL793" s="615"/>
      <c r="AM793" s="383"/>
      <c r="AN793" s="613"/>
      <c r="AO793" s="614"/>
      <c r="AP793" s="614"/>
      <c r="AQ793" s="615"/>
      <c r="AR793" s="383"/>
      <c r="AS793" s="613"/>
      <c r="AT793" s="614"/>
      <c r="AU793" s="614"/>
      <c r="AV793" s="615"/>
      <c r="AW793" s="383"/>
      <c r="AX793" s="613"/>
      <c r="AY793" s="614"/>
      <c r="AZ793" s="614"/>
      <c r="BA793" s="615"/>
      <c r="BB793" s="383"/>
      <c r="BC793" s="613"/>
      <c r="BD793" s="614"/>
      <c r="BE793" s="614"/>
      <c r="BF793" s="615"/>
      <c r="BG793" s="383"/>
      <c r="BH793" s="613"/>
      <c r="BI793" s="614"/>
      <c r="BJ793" s="614"/>
      <c r="BK793" s="615"/>
      <c r="BL793" s="383"/>
      <c r="BM793" s="613"/>
      <c r="BN793" s="614"/>
      <c r="BO793" s="614"/>
      <c r="BP793" s="615"/>
      <c r="BQ793" s="383"/>
      <c r="BR793" s="45"/>
      <c r="BS793" s="45"/>
      <c r="BT793" s="45"/>
      <c r="BU793" t="s">
        <v>1182</v>
      </c>
      <c r="BV793" s="35" t="s">
        <v>1183</v>
      </c>
      <c r="BW793" s="1023">
        <v>69</v>
      </c>
      <c r="BY793" t="s">
        <v>1142</v>
      </c>
      <c r="BZ793" s="951">
        <f t="shared" si="1143"/>
        <v>211.55399999999997</v>
      </c>
      <c r="CA793" s="951">
        <f t="shared" si="1143"/>
        <v>211.55399999999997</v>
      </c>
      <c r="CB793" s="951"/>
      <c r="CC793" s="951">
        <f t="shared" si="1143"/>
        <v>211.55399999999997</v>
      </c>
      <c r="CD793" s="951">
        <f t="shared" si="1143"/>
        <v>211.55399999999997</v>
      </c>
      <c r="CE793" s="951">
        <f t="shared" si="1122"/>
        <v>211.55399999999997</v>
      </c>
      <c r="CF793" s="951">
        <f t="shared" si="1126"/>
        <v>211.55399999999997</v>
      </c>
      <c r="CG793" s="951">
        <f t="shared" si="1158"/>
        <v>104.24399999999999</v>
      </c>
      <c r="CL793" s="45"/>
      <c r="CM793" s="45"/>
      <c r="CN793" s="45"/>
      <c r="CO793" s="45"/>
      <c r="CP793" s="45"/>
      <c r="CQ793" s="45"/>
      <c r="CT793" s="821"/>
      <c r="CU793" s="45"/>
      <c r="CV793" s="45"/>
      <c r="CW793" s="45"/>
      <c r="CX793" s="45"/>
      <c r="CY793" s="45"/>
    </row>
    <row r="794" spans="1:103">
      <c r="A794" s="45"/>
      <c r="B794" s="73" t="s">
        <v>274</v>
      </c>
      <c r="C794" s="246"/>
      <c r="D794" s="15"/>
      <c r="E794" s="415"/>
      <c r="F794" s="242"/>
      <c r="G794" s="242"/>
      <c r="H794" s="416"/>
      <c r="I794" s="23"/>
      <c r="J794" s="415"/>
      <c r="K794" s="242"/>
      <c r="L794" s="242"/>
      <c r="M794" s="416"/>
      <c r="N794" s="23"/>
      <c r="O794" s="415"/>
      <c r="P794" s="242"/>
      <c r="Q794" s="242"/>
      <c r="R794" s="416"/>
      <c r="S794" s="23"/>
      <c r="T794" s="415"/>
      <c r="U794" s="242"/>
      <c r="V794" s="242"/>
      <c r="W794" s="416"/>
      <c r="X794" s="23"/>
      <c r="Y794" s="415"/>
      <c r="Z794" s="242"/>
      <c r="AA794" s="242"/>
      <c r="AB794" s="416"/>
      <c r="AC794" s="23"/>
      <c r="AD794" s="415"/>
      <c r="AE794" s="242"/>
      <c r="AF794" s="242"/>
      <c r="AG794" s="416"/>
      <c r="AH794" s="23"/>
      <c r="AI794" s="415"/>
      <c r="AJ794" s="242"/>
      <c r="AK794" s="242"/>
      <c r="AL794" s="416"/>
      <c r="AM794" s="23"/>
      <c r="AN794" s="415"/>
      <c r="AO794" s="242"/>
      <c r="AP794" s="242"/>
      <c r="AQ794" s="416"/>
      <c r="AR794" s="23"/>
      <c r="AS794" s="415"/>
      <c r="AT794" s="242"/>
      <c r="AU794" s="242"/>
      <c r="AV794" s="416"/>
      <c r="AW794" s="23"/>
      <c r="AX794" s="415"/>
      <c r="AY794" s="242"/>
      <c r="AZ794" s="242"/>
      <c r="BA794" s="416"/>
      <c r="BB794" s="23"/>
      <c r="BC794" s="415"/>
      <c r="BD794" s="242"/>
      <c r="BE794" s="242"/>
      <c r="BF794" s="416"/>
      <c r="BG794" s="23"/>
      <c r="BH794" s="415"/>
      <c r="BI794" s="242"/>
      <c r="BJ794" s="242"/>
      <c r="BK794" s="416"/>
      <c r="BL794" s="23"/>
      <c r="BM794" s="415"/>
      <c r="BN794" s="242"/>
      <c r="BO794" s="242"/>
      <c r="BP794" s="416"/>
      <c r="BQ794" s="23"/>
      <c r="BR794" s="45"/>
      <c r="BS794" s="45"/>
      <c r="BT794" s="45"/>
      <c r="BU794" t="s">
        <v>1184</v>
      </c>
      <c r="BV794" s="35" t="s">
        <v>1185</v>
      </c>
      <c r="BW794" s="1023">
        <v>29</v>
      </c>
      <c r="BY794" t="s">
        <v>1142</v>
      </c>
      <c r="BZ794" s="951">
        <f t="shared" si="1143"/>
        <v>88.913999999999987</v>
      </c>
      <c r="CA794" s="951">
        <f t="shared" si="1143"/>
        <v>88.913999999999987</v>
      </c>
      <c r="CB794" s="951"/>
      <c r="CC794" s="951">
        <f t="shared" si="1143"/>
        <v>88.913999999999987</v>
      </c>
      <c r="CD794" s="951">
        <f t="shared" si="1143"/>
        <v>88.913999999999987</v>
      </c>
      <c r="CE794" s="951">
        <f t="shared" si="1122"/>
        <v>88.913999999999987</v>
      </c>
      <c r="CF794" s="951">
        <f t="shared" si="1126"/>
        <v>88.913999999999987</v>
      </c>
      <c r="CG794" s="951">
        <f t="shared" si="1158"/>
        <v>61.319999999999993</v>
      </c>
      <c r="CL794" s="45"/>
      <c r="CM794" s="45"/>
      <c r="CN794" s="45"/>
      <c r="CO794" s="45"/>
      <c r="CP794" s="45"/>
      <c r="CQ794" s="45"/>
      <c r="CT794" s="821"/>
      <c r="CU794" s="45"/>
      <c r="CV794" s="45"/>
      <c r="CW794" s="45"/>
      <c r="CX794" s="45"/>
      <c r="CY794" s="45"/>
    </row>
    <row r="795" spans="1:103">
      <c r="A795" s="45"/>
      <c r="B795" s="1"/>
      <c r="C795" s="383" t="s">
        <v>1103</v>
      </c>
      <c r="E795" s="415"/>
      <c r="F795" s="242"/>
      <c r="G795" s="242"/>
      <c r="H795" s="416"/>
      <c r="I795" s="23"/>
      <c r="J795" s="415"/>
      <c r="K795" s="242"/>
      <c r="L795" s="242"/>
      <c r="M795" s="416"/>
      <c r="N795" s="23"/>
      <c r="O795" s="415"/>
      <c r="P795" s="242"/>
      <c r="Q795" s="242"/>
      <c r="R795" s="416"/>
      <c r="T795" s="415"/>
      <c r="U795" s="242"/>
      <c r="V795" s="242"/>
      <c r="W795" s="416"/>
      <c r="Y795" s="415"/>
      <c r="Z795" s="242"/>
      <c r="AA795" s="242"/>
      <c r="AB795" s="416"/>
      <c r="AD795" s="415"/>
      <c r="AE795" s="242"/>
      <c r="AF795" s="242"/>
      <c r="AG795" s="416"/>
      <c r="AI795" s="415"/>
      <c r="AJ795" s="242"/>
      <c r="AK795" s="242"/>
      <c r="AL795" s="416"/>
      <c r="AN795" s="415"/>
      <c r="AO795" s="241"/>
      <c r="AP795" s="242"/>
      <c r="AQ795" s="416"/>
      <c r="AS795" s="415"/>
      <c r="AT795" s="241"/>
      <c r="AU795" s="242"/>
      <c r="AV795" s="416"/>
      <c r="AX795" s="284">
        <f>AY795</f>
        <v>0.254</v>
      </c>
      <c r="AY795" s="241">
        <f>AZ795</f>
        <v>0.254</v>
      </c>
      <c r="AZ795" s="241">
        <f>BA795</f>
        <v>0.254</v>
      </c>
      <c r="BA795" s="285">
        <f>BB795</f>
        <v>0.254</v>
      </c>
      <c r="BB795" s="612">
        <v>0.254</v>
      </c>
      <c r="BC795" s="284">
        <f>BD795</f>
        <v>0.314</v>
      </c>
      <c r="BD795" s="241">
        <f>BE795</f>
        <v>0.314</v>
      </c>
      <c r="BE795" s="241">
        <f>BF795</f>
        <v>0.314</v>
      </c>
      <c r="BF795" s="285">
        <f>BG795</f>
        <v>0.314</v>
      </c>
      <c r="BG795" s="612">
        <v>0.314</v>
      </c>
      <c r="BH795" s="284">
        <f>BI795</f>
        <v>0.33500000000000002</v>
      </c>
      <c r="BI795" s="241">
        <f>BJ795</f>
        <v>0.33500000000000002</v>
      </c>
      <c r="BJ795" s="241">
        <f>BK795</f>
        <v>0.33500000000000002</v>
      </c>
      <c r="BK795" s="285">
        <f>BL795</f>
        <v>0.33500000000000002</v>
      </c>
      <c r="BL795" s="612">
        <v>0.33500000000000002</v>
      </c>
      <c r="BM795" s="284">
        <f>BN795</f>
        <v>0.30599999999999999</v>
      </c>
      <c r="BN795" s="241">
        <f>BO795</f>
        <v>0.30599999999999999</v>
      </c>
      <c r="BO795" s="241">
        <f>BP795</f>
        <v>0.30599999999999999</v>
      </c>
      <c r="BP795" s="285">
        <f>BQ795</f>
        <v>0.30599999999999999</v>
      </c>
      <c r="BQ795" s="612">
        <v>0.30599999999999999</v>
      </c>
      <c r="BR795" s="228"/>
      <c r="BS795" s="45"/>
      <c r="BT795" s="45"/>
      <c r="BU795" t="s">
        <v>1186</v>
      </c>
      <c r="BV795" s="35" t="s">
        <v>1187</v>
      </c>
      <c r="BW795" s="1023">
        <v>34</v>
      </c>
      <c r="BY795" t="s">
        <v>1142</v>
      </c>
      <c r="BZ795" s="951">
        <f t="shared" si="1143"/>
        <v>104.24399999999999</v>
      </c>
      <c r="CA795" s="951">
        <f t="shared" si="1143"/>
        <v>104.24399999999999</v>
      </c>
      <c r="CB795" s="951"/>
      <c r="CC795" s="951">
        <f t="shared" si="1143"/>
        <v>104.24399999999999</v>
      </c>
      <c r="CD795" s="951">
        <f t="shared" si="1143"/>
        <v>104.24399999999999</v>
      </c>
      <c r="CE795" s="951">
        <f t="shared" si="1122"/>
        <v>104.24399999999999</v>
      </c>
      <c r="CF795" s="951">
        <f t="shared" si="1126"/>
        <v>104.24399999999999</v>
      </c>
      <c r="CG795" s="951">
        <f t="shared" si="1158"/>
        <v>30.659999999999997</v>
      </c>
      <c r="CL795" s="45"/>
      <c r="CM795" s="45"/>
      <c r="CN795" s="45"/>
      <c r="CO795" s="45"/>
      <c r="CP795" s="45"/>
      <c r="CQ795" s="45"/>
      <c r="CT795" s="821"/>
      <c r="CU795" s="427"/>
      <c r="CV795" s="427"/>
      <c r="CW795" s="427"/>
      <c r="CX795" s="45"/>
      <c r="CY795" s="427"/>
    </row>
    <row r="796" spans="1:103">
      <c r="A796" s="45"/>
      <c r="B796" s="1"/>
      <c r="C796" s="383" t="s">
        <v>1104</v>
      </c>
      <c r="D796" s="1"/>
      <c r="E796" s="284">
        <f t="shared" ref="E796:AJ796" si="1159">E30/E28</f>
        <v>0.29599999999999999</v>
      </c>
      <c r="F796" s="241">
        <f t="shared" si="1159"/>
        <v>0.40945790080738176</v>
      </c>
      <c r="G796" s="241">
        <f t="shared" si="1159"/>
        <v>0.45836768342951362</v>
      </c>
      <c r="H796" s="285">
        <f t="shared" si="1159"/>
        <v>0.41379310344827586</v>
      </c>
      <c r="I796" s="25">
        <f t="shared" si="1159"/>
        <v>0.40309423347398032</v>
      </c>
      <c r="J796" s="284">
        <f t="shared" si="1159"/>
        <v>0.41562500000000002</v>
      </c>
      <c r="K796" s="241">
        <f t="shared" si="1159"/>
        <v>8.3932853717026384E-2</v>
      </c>
      <c r="L796" s="241">
        <f t="shared" si="1159"/>
        <v>0.41714836223506746</v>
      </c>
      <c r="M796" s="285">
        <f t="shared" si="1159"/>
        <v>0.42312925170068028</v>
      </c>
      <c r="N796" s="25">
        <f t="shared" si="1159"/>
        <v>0.37396825396825395</v>
      </c>
      <c r="O796" s="284">
        <f t="shared" si="1159"/>
        <v>0.40433212996389889</v>
      </c>
      <c r="P796" s="241">
        <f t="shared" si="1159"/>
        <v>0.34660766961651918</v>
      </c>
      <c r="Q796" s="241">
        <f t="shared" si="1159"/>
        <v>0.30198915009041594</v>
      </c>
      <c r="R796" s="285">
        <f t="shared" si="1159"/>
        <v>0.41568627450980394</v>
      </c>
      <c r="S796" s="25">
        <f t="shared" si="1159"/>
        <v>0.37354085603112841</v>
      </c>
      <c r="T796" s="284">
        <f t="shared" si="1159"/>
        <v>0.58080808080808077</v>
      </c>
      <c r="U796" s="241">
        <f t="shared" si="1159"/>
        <v>0.26008968609865468</v>
      </c>
      <c r="V796" s="241">
        <f t="shared" si="1159"/>
        <v>0.4941860465116279</v>
      </c>
      <c r="W796" s="285">
        <f t="shared" si="1159"/>
        <v>0.47565543071161048</v>
      </c>
      <c r="X796" s="25">
        <f t="shared" si="1159"/>
        <v>0.47258979206049151</v>
      </c>
      <c r="Y796" s="284">
        <f t="shared" si="1159"/>
        <v>5.5555555555555552E-2</v>
      </c>
      <c r="Z796" s="241">
        <f t="shared" si="1159"/>
        <v>0.31236897274633124</v>
      </c>
      <c r="AA796" s="241">
        <f t="shared" si="1159"/>
        <v>0.37257438551099614</v>
      </c>
      <c r="AB796" s="285">
        <f t="shared" si="1159"/>
        <v>0.40406320541760721</v>
      </c>
      <c r="AC796" s="25">
        <f t="shared" si="1159"/>
        <v>0.36716417910447763</v>
      </c>
      <c r="AD796" s="284">
        <f t="shared" si="1159"/>
        <v>0.51822916666666663</v>
      </c>
      <c r="AE796" s="241">
        <f t="shared" si="1159"/>
        <v>0.34851138353765326</v>
      </c>
      <c r="AF796" s="241">
        <f t="shared" si="1159"/>
        <v>0.25526315789473686</v>
      </c>
      <c r="AG796" s="285">
        <f t="shared" si="1159"/>
        <v>0.83168316831683164</v>
      </c>
      <c r="AH796" s="25">
        <f t="shared" si="1159"/>
        <v>0.16884176182707994</v>
      </c>
      <c r="AI796" s="284">
        <f t="shared" si="1159"/>
        <v>0.31786216596343181</v>
      </c>
      <c r="AJ796" s="241">
        <f t="shared" si="1159"/>
        <v>0.31698774080560421</v>
      </c>
      <c r="AK796" s="241">
        <f t="shared" ref="AK796:BL796" si="1160">AK30/AK28</f>
        <v>-0.12162162162162163</v>
      </c>
      <c r="AL796" s="285">
        <f t="shared" si="1160"/>
        <v>0.49621212121212122</v>
      </c>
      <c r="AM796" s="25">
        <f t="shared" si="1160"/>
        <v>0.2725298588490771</v>
      </c>
      <c r="AN796" s="284">
        <f t="shared" si="1160"/>
        <v>0.37009803921568629</v>
      </c>
      <c r="AO796" s="241">
        <f t="shared" si="1160"/>
        <v>10.333333333333334</v>
      </c>
      <c r="AP796" s="241">
        <f t="shared" ref="AP796:AW796" si="1161">AP30/AP28</f>
        <v>0.38963963963963966</v>
      </c>
      <c r="AQ796" s="285">
        <f t="shared" si="1161"/>
        <v>3</v>
      </c>
      <c r="AR796" s="25">
        <f t="shared" si="1161"/>
        <v>0.34198113207547171</v>
      </c>
      <c r="AS796" s="284">
        <f t="shared" si="1161"/>
        <v>0.23694029850746268</v>
      </c>
      <c r="AT796" s="241">
        <f t="shared" si="1161"/>
        <v>0.37264150943396224</v>
      </c>
      <c r="AU796" s="241">
        <f t="shared" ref="AU796" si="1162">AU30/AU28</f>
        <v>0.40816326530612246</v>
      </c>
      <c r="AV796" s="285">
        <f t="shared" si="1161"/>
        <v>-2.2758620689655173</v>
      </c>
      <c r="AW796" s="25">
        <f t="shared" si="1161"/>
        <v>-0.98495702005730656</v>
      </c>
      <c r="AX796" s="284">
        <f t="shared" si="1160"/>
        <v>0.22665302026317266</v>
      </c>
      <c r="AY796" s="241">
        <f t="shared" ca="1" si="1160"/>
        <v>0.21026166993139159</v>
      </c>
      <c r="AZ796" s="241">
        <f t="shared" ca="1" si="1160"/>
        <v>0.22966764925283722</v>
      </c>
      <c r="BA796" s="285">
        <f t="shared" ca="1" si="1160"/>
        <v>0.20206761604999507</v>
      </c>
      <c r="BB796" s="25">
        <f t="shared" ca="1" si="1160"/>
        <v>0.22060647720712931</v>
      </c>
      <c r="BC796" s="284">
        <f t="shared" ca="1" si="1160"/>
        <v>0.26628806860929016</v>
      </c>
      <c r="BD796" s="241">
        <f t="shared" ca="1" si="1160"/>
        <v>0.16658519538018032</v>
      </c>
      <c r="BE796" s="241">
        <f t="shared" ca="1" si="1160"/>
        <v>0.23830128296446407</v>
      </c>
      <c r="BF796" s="285">
        <f t="shared" ca="1" si="1160"/>
        <v>4.6692916733771864E-2</v>
      </c>
      <c r="BG796" s="25">
        <f ca="1">BG30/BG28</f>
        <v>0.22450248108366536</v>
      </c>
      <c r="BH796" s="284">
        <f t="shared" ca="1" si="1160"/>
        <v>0.26705379540393281</v>
      </c>
      <c r="BI796" s="241">
        <f t="shared" ca="1" si="1160"/>
        <v>-0.11272392700140264</v>
      </c>
      <c r="BJ796" s="241">
        <f t="shared" ca="1" si="1160"/>
        <v>0.25278005460055941</v>
      </c>
      <c r="BK796" s="285">
        <f t="shared" ca="1" si="1160"/>
        <v>0.12405199749195148</v>
      </c>
      <c r="BL796" s="25">
        <f t="shared" ca="1" si="1160"/>
        <v>0.21684574113355432</v>
      </c>
      <c r="BM796" s="284">
        <f t="shared" ref="BM796:BQ796" ca="1" si="1163">BM30/BM28</f>
        <v>0.20884681487080328</v>
      </c>
      <c r="BN796" s="241">
        <f t="shared" ca="1" si="1163"/>
        <v>0.12225857152870619</v>
      </c>
      <c r="BO796" s="241">
        <f t="shared" ca="1" si="1163"/>
        <v>0.23313388580382755</v>
      </c>
      <c r="BP796" s="285">
        <f t="shared" ca="1" si="1163"/>
        <v>0.16450003836781774</v>
      </c>
      <c r="BQ796" s="25">
        <f t="shared" ca="1" si="1163"/>
        <v>0.19649014830957132</v>
      </c>
      <c r="BR796" s="228"/>
      <c r="BS796" s="228"/>
      <c r="BT796" s="45"/>
      <c r="BU796" t="s">
        <v>1188</v>
      </c>
      <c r="BV796" s="35" t="s">
        <v>1189</v>
      </c>
      <c r="BW796" s="1023">
        <v>20</v>
      </c>
      <c r="BY796" t="s">
        <v>1142</v>
      </c>
      <c r="BZ796" s="951">
        <f t="shared" si="1143"/>
        <v>61.319999999999993</v>
      </c>
      <c r="CA796" s="951">
        <f t="shared" si="1143"/>
        <v>61.319999999999993</v>
      </c>
      <c r="CB796" s="951"/>
      <c r="CC796" s="951">
        <f t="shared" si="1143"/>
        <v>61.319999999999993</v>
      </c>
      <c r="CD796" s="951">
        <f t="shared" si="1143"/>
        <v>61.319999999999993</v>
      </c>
      <c r="CE796" s="951">
        <f t="shared" si="1122"/>
        <v>61.319999999999993</v>
      </c>
      <c r="CF796" s="951">
        <f t="shared" si="1126"/>
        <v>61.319999999999993</v>
      </c>
      <c r="CG796" s="951">
        <f t="shared" si="1158"/>
        <v>122.63999999999999</v>
      </c>
      <c r="CL796" s="45"/>
      <c r="CM796" s="45"/>
      <c r="CN796" s="45"/>
      <c r="CO796" s="45"/>
      <c r="CP796" s="45"/>
      <c r="CQ796" s="45"/>
      <c r="CT796" s="821"/>
      <c r="CU796" s="45"/>
      <c r="CV796" s="45"/>
      <c r="CW796" s="45"/>
      <c r="CX796" s="45"/>
      <c r="CY796" s="45"/>
    </row>
    <row r="797" spans="1:103">
      <c r="A797" s="45"/>
      <c r="B797" s="1"/>
      <c r="C797" s="383"/>
      <c r="D797" s="1"/>
      <c r="E797" s="284"/>
      <c r="F797" s="241"/>
      <c r="G797" s="241"/>
      <c r="H797" s="285"/>
      <c r="I797" s="25"/>
      <c r="J797" s="284"/>
      <c r="K797" s="241"/>
      <c r="L797" s="241"/>
      <c r="M797" s="285"/>
      <c r="N797" s="25"/>
      <c r="O797" s="284"/>
      <c r="P797" s="241"/>
      <c r="Q797" s="241"/>
      <c r="R797" s="285"/>
      <c r="S797" s="25"/>
      <c r="T797" s="284"/>
      <c r="U797" s="241"/>
      <c r="V797" s="241"/>
      <c r="W797" s="285"/>
      <c r="X797" s="612"/>
      <c r="Y797" s="284"/>
      <c r="Z797" s="241"/>
      <c r="AA797" s="241"/>
      <c r="AB797" s="285"/>
      <c r="AC797" s="883"/>
      <c r="AD797" s="284"/>
      <c r="AE797" s="241"/>
      <c r="AF797" s="241"/>
      <c r="AG797" s="285"/>
      <c r="AH797" s="883"/>
      <c r="AI797" s="284"/>
      <c r="AJ797" s="241"/>
      <c r="AK797" s="241"/>
      <c r="AL797" s="285"/>
      <c r="AM797" s="612"/>
      <c r="AN797" s="284"/>
      <c r="AO797" s="241"/>
      <c r="AP797" s="241"/>
      <c r="AQ797" s="285"/>
      <c r="AR797" s="612"/>
      <c r="AS797" s="284"/>
      <c r="AT797" s="241"/>
      <c r="AU797" s="241"/>
      <c r="AV797" s="285"/>
      <c r="AW797" s="612"/>
      <c r="AX797" s="284"/>
      <c r="AY797" s="241"/>
      <c r="AZ797" s="241"/>
      <c r="BA797" s="285"/>
      <c r="BB797" s="612"/>
      <c r="BC797" s="284"/>
      <c r="BD797" s="241"/>
      <c r="BE797" s="241"/>
      <c r="BF797" s="285"/>
      <c r="BG797" s="612"/>
      <c r="BH797" s="284"/>
      <c r="BI797" s="241"/>
      <c r="BJ797" s="241"/>
      <c r="BK797" s="285"/>
      <c r="BL797" s="612"/>
      <c r="BM797" s="284"/>
      <c r="BN797" s="241"/>
      <c r="BO797" s="241"/>
      <c r="BP797" s="285"/>
      <c r="BQ797" s="612"/>
      <c r="BR797" s="383"/>
      <c r="BS797" s="383"/>
      <c r="BT797" s="45"/>
      <c r="BU797" t="s">
        <v>1190</v>
      </c>
      <c r="BV797" s="35" t="s">
        <v>1189</v>
      </c>
      <c r="BW797" s="1023">
        <v>10</v>
      </c>
      <c r="BY797" t="s">
        <v>1142</v>
      </c>
      <c r="BZ797" s="951">
        <f t="shared" si="1143"/>
        <v>30.659999999999997</v>
      </c>
      <c r="CA797" s="951">
        <f t="shared" si="1143"/>
        <v>30.659999999999997</v>
      </c>
      <c r="CB797" s="951"/>
      <c r="CC797" s="951">
        <f t="shared" si="1143"/>
        <v>30.659999999999997</v>
      </c>
      <c r="CD797" s="951">
        <f t="shared" si="1143"/>
        <v>30.659999999999997</v>
      </c>
      <c r="CE797" s="951">
        <f t="shared" si="1122"/>
        <v>30.659999999999997</v>
      </c>
      <c r="CF797" s="951">
        <f t="shared" si="1126"/>
        <v>30.659999999999997</v>
      </c>
      <c r="CG797" s="951">
        <f t="shared" si="1158"/>
        <v>30.659999999999997</v>
      </c>
      <c r="CL797" s="45"/>
      <c r="CM797" s="45"/>
      <c r="CN797" s="45"/>
      <c r="CO797" s="45"/>
      <c r="CP797" s="45"/>
      <c r="CQ797" s="45"/>
      <c r="CT797" s="821"/>
      <c r="CU797" s="45"/>
      <c r="CV797" s="45"/>
      <c r="CW797" s="45"/>
      <c r="CX797" s="45"/>
      <c r="CY797" s="45"/>
    </row>
    <row r="798" spans="1:103">
      <c r="A798" s="45"/>
      <c r="B798" s="383"/>
      <c r="C798" s="383" t="s">
        <v>1029</v>
      </c>
      <c r="D798" s="383"/>
      <c r="E798" s="613"/>
      <c r="F798" s="614"/>
      <c r="G798" s="614"/>
      <c r="H798" s="615"/>
      <c r="I798" s="383"/>
      <c r="J798" s="613"/>
      <c r="K798" s="614"/>
      <c r="L798" s="614"/>
      <c r="M798" s="615"/>
      <c r="N798" s="383"/>
      <c r="O798" s="613"/>
      <c r="P798" s="614"/>
      <c r="Q798" s="614"/>
      <c r="R798" s="615"/>
      <c r="S798" s="383"/>
      <c r="T798" s="613"/>
      <c r="U798" s="614"/>
      <c r="V798" s="614"/>
      <c r="W798" s="615"/>
      <c r="X798" s="383"/>
      <c r="Y798" s="613"/>
      <c r="Z798" s="614"/>
      <c r="AA798" s="614"/>
      <c r="AB798" s="615"/>
      <c r="AC798" s="383"/>
      <c r="AD798" s="613"/>
      <c r="AE798" s="614"/>
      <c r="AF798" s="614"/>
      <c r="AG798" s="615"/>
      <c r="AH798" s="383"/>
      <c r="AI798" s="613"/>
      <c r="AJ798" s="614"/>
      <c r="AK798" s="614"/>
      <c r="AL798" s="615"/>
      <c r="AM798" s="383"/>
      <c r="AN798" s="613"/>
      <c r="AO798" s="614"/>
      <c r="AP798" s="614"/>
      <c r="AQ798" s="615"/>
      <c r="AR798" s="383"/>
      <c r="AS798" s="613"/>
      <c r="AT798" s="614"/>
      <c r="AU798" s="614"/>
      <c r="AV798" s="615"/>
      <c r="AW798" s="383"/>
      <c r="AX798" s="613">
        <f>+AX799*AX562/1000</f>
        <v>30.992308409999985</v>
      </c>
      <c r="AY798" s="614">
        <f>+AY799*AY562/1000</f>
        <v>30.992308409999985</v>
      </c>
      <c r="AZ798" s="614">
        <f>+AZ799*AZ562/1000</f>
        <v>30.992308409999985</v>
      </c>
      <c r="BA798" s="615">
        <f>+BA799*BA562/1000</f>
        <v>30.992308409999985</v>
      </c>
      <c r="BB798" s="383">
        <f>SUM(AX798:BA798)</f>
        <v>123.96923363999994</v>
      </c>
      <c r="BC798" s="613">
        <f>+BC799*BC562/1000</f>
        <v>31.457193036149985</v>
      </c>
      <c r="BD798" s="614">
        <f>+BD799*BD562/1000</f>
        <v>31.457193036149985</v>
      </c>
      <c r="BE798" s="614">
        <f>+BE799*BE562/1000</f>
        <v>31.457193036149985</v>
      </c>
      <c r="BF798" s="615">
        <f>+BF799*BF562/1000</f>
        <v>31.457193036149985</v>
      </c>
      <c r="BG798" s="383">
        <f>SUM(BC798:BF798)</f>
        <v>125.82877214459994</v>
      </c>
      <c r="BH798" s="613">
        <f>+BH799*BH562/1000</f>
        <v>31.929050931692228</v>
      </c>
      <c r="BI798" s="614">
        <f>+BI799*BI562/1000</f>
        <v>31.929050931692228</v>
      </c>
      <c r="BJ798" s="614">
        <f>+BJ799*BJ562/1000</f>
        <v>31.929050931692228</v>
      </c>
      <c r="BK798" s="615">
        <f>+BK799*BK562/1000</f>
        <v>31.929050931692228</v>
      </c>
      <c r="BL798" s="383">
        <f>SUM(BH798:BK798)</f>
        <v>127.71620372676891</v>
      </c>
      <c r="BM798" s="613">
        <f>+BM799*BM562/1000</f>
        <v>32.40798669566761</v>
      </c>
      <c r="BN798" s="614">
        <f>+BN799*BN562/1000</f>
        <v>32.40798669566761</v>
      </c>
      <c r="BO798" s="614">
        <f>+BO799*BO562/1000</f>
        <v>32.40798669566761</v>
      </c>
      <c r="BP798" s="615">
        <f>+BP799*BP562/1000</f>
        <v>32.40798669566761</v>
      </c>
      <c r="BQ798" s="383">
        <f>SUM(BM798:BP798)</f>
        <v>129.63194678267044</v>
      </c>
      <c r="BR798" s="383"/>
      <c r="BS798" s="383"/>
      <c r="BT798" s="45"/>
      <c r="BU798" t="s">
        <v>1191</v>
      </c>
      <c r="BV798" s="35" t="s">
        <v>1192</v>
      </c>
      <c r="BW798" s="1023">
        <v>40</v>
      </c>
      <c r="BY798" t="s">
        <v>1142</v>
      </c>
      <c r="BZ798" s="951">
        <f t="shared" si="1143"/>
        <v>122.63999999999999</v>
      </c>
      <c r="CA798" s="951">
        <f t="shared" si="1143"/>
        <v>122.63999999999999</v>
      </c>
      <c r="CB798" s="951"/>
      <c r="CC798" s="951">
        <f t="shared" si="1143"/>
        <v>122.63999999999999</v>
      </c>
      <c r="CD798" s="951">
        <f t="shared" si="1143"/>
        <v>122.63999999999999</v>
      </c>
      <c r="CE798" s="951">
        <f t="shared" si="1122"/>
        <v>122.63999999999999</v>
      </c>
      <c r="CF798" s="951">
        <f t="shared" si="1126"/>
        <v>122.63999999999999</v>
      </c>
      <c r="CG798" s="951">
        <f t="shared" si="1158"/>
        <v>39.857999999999997</v>
      </c>
      <c r="CH798" s="951">
        <f t="shared" ref="CH798:CH804" si="1164">$BW800*8.76*CH$809</f>
        <v>39.857999999999997</v>
      </c>
      <c r="CL798" s="45"/>
      <c r="CM798" s="45"/>
      <c r="CN798" s="45"/>
      <c r="CO798" s="45"/>
      <c r="CP798" s="45"/>
      <c r="CQ798" s="45"/>
      <c r="CT798" s="821"/>
      <c r="CU798" s="45"/>
      <c r="CV798" s="45"/>
      <c r="CW798" s="45"/>
      <c r="CX798" s="45"/>
      <c r="CY798" s="45"/>
    </row>
    <row r="799" spans="1:103">
      <c r="A799" s="45"/>
      <c r="B799" s="383"/>
      <c r="C799" s="383" t="s">
        <v>1030</v>
      </c>
      <c r="D799" s="383"/>
      <c r="E799" s="613"/>
      <c r="F799" s="614"/>
      <c r="G799" s="614"/>
      <c r="H799" s="615"/>
      <c r="I799" s="383"/>
      <c r="J799" s="613"/>
      <c r="K799" s="614"/>
      <c r="L799" s="614"/>
      <c r="M799" s="615"/>
      <c r="N799" s="383"/>
      <c r="O799" s="613"/>
      <c r="P799" s="614"/>
      <c r="Q799" s="614"/>
      <c r="R799" s="615"/>
      <c r="S799" s="1006"/>
      <c r="T799" s="1008"/>
      <c r="U799" s="1009"/>
      <c r="V799" s="1009"/>
      <c r="W799" s="1007"/>
      <c r="X799" s="202"/>
      <c r="Y799" s="1008"/>
      <c r="Z799" s="1009"/>
      <c r="AA799" s="1009"/>
      <c r="AB799" s="1007"/>
      <c r="AC799" s="1431">
        <v>23</v>
      </c>
      <c r="AD799" s="1008"/>
      <c r="AE799" s="1009"/>
      <c r="AF799" s="1009"/>
      <c r="AG799" s="1007"/>
      <c r="AH799" s="1431">
        <v>23</v>
      </c>
      <c r="AI799" s="1008"/>
      <c r="AJ799" s="1009"/>
      <c r="AK799" s="1009"/>
      <c r="AL799" s="1007"/>
      <c r="AM799" s="1431">
        <v>23</v>
      </c>
      <c r="AN799" s="1008"/>
      <c r="AO799" s="1009"/>
      <c r="AP799" s="1009"/>
      <c r="AQ799" s="1007"/>
      <c r="AR799" s="1431">
        <v>23</v>
      </c>
      <c r="AS799" s="1008"/>
      <c r="AT799" s="1009"/>
      <c r="AU799" s="1009"/>
      <c r="AV799" s="1007"/>
      <c r="AW799" s="1431">
        <v>23</v>
      </c>
      <c r="AX799" s="1008">
        <f>AY799</f>
        <v>23.344999999999999</v>
      </c>
      <c r="AY799" s="1009">
        <f>AZ799</f>
        <v>23.344999999999999</v>
      </c>
      <c r="AZ799" s="1009">
        <f>BA799</f>
        <v>23.344999999999999</v>
      </c>
      <c r="BA799" s="1007">
        <f>BB799</f>
        <v>23.344999999999999</v>
      </c>
      <c r="BB799" s="202">
        <f>+AW799*1.015</f>
        <v>23.344999999999999</v>
      </c>
      <c r="BC799" s="1008">
        <f>BD799</f>
        <v>23.695174999999995</v>
      </c>
      <c r="BD799" s="1009">
        <f>BE799</f>
        <v>23.695174999999995</v>
      </c>
      <c r="BE799" s="1009">
        <f>BF799</f>
        <v>23.695174999999995</v>
      </c>
      <c r="BF799" s="1007">
        <f>BG799</f>
        <v>23.695174999999995</v>
      </c>
      <c r="BG799" s="202">
        <f>+BB799*1.015</f>
        <v>23.695174999999995</v>
      </c>
      <c r="BH799" s="1008">
        <f>BI799</f>
        <v>24.050602624999993</v>
      </c>
      <c r="BI799" s="1009">
        <f>BJ799</f>
        <v>24.050602624999993</v>
      </c>
      <c r="BJ799" s="1009">
        <f>BK799</f>
        <v>24.050602624999993</v>
      </c>
      <c r="BK799" s="1007">
        <f>BL799</f>
        <v>24.050602624999993</v>
      </c>
      <c r="BL799" s="202">
        <f>+BG799*1.015</f>
        <v>24.050602624999993</v>
      </c>
      <c r="BM799" s="1008">
        <f>BN799</f>
        <v>24.41136166437499</v>
      </c>
      <c r="BN799" s="1009">
        <f>BO799</f>
        <v>24.41136166437499</v>
      </c>
      <c r="BO799" s="1009">
        <f>BP799</f>
        <v>24.41136166437499</v>
      </c>
      <c r="BP799" s="1007">
        <f>BQ799</f>
        <v>24.41136166437499</v>
      </c>
      <c r="BQ799" s="202">
        <f>+BL799*1.015</f>
        <v>24.41136166437499</v>
      </c>
      <c r="BR799" s="383"/>
      <c r="BS799" s="383"/>
      <c r="BT799" s="45"/>
      <c r="BU799" t="s">
        <v>1193</v>
      </c>
      <c r="BV799" s="35" t="s">
        <v>1189</v>
      </c>
      <c r="BW799" s="1023">
        <v>10</v>
      </c>
      <c r="BY799" t="s">
        <v>1142</v>
      </c>
      <c r="BZ799" s="951">
        <f t="shared" si="1143"/>
        <v>30.659999999999997</v>
      </c>
      <c r="CA799" s="951">
        <f t="shared" si="1143"/>
        <v>30.659999999999997</v>
      </c>
      <c r="CB799" s="951"/>
      <c r="CC799" s="951">
        <f t="shared" si="1143"/>
        <v>30.659999999999997</v>
      </c>
      <c r="CD799" s="951">
        <f t="shared" si="1143"/>
        <v>30.659999999999997</v>
      </c>
      <c r="CE799" s="951">
        <f t="shared" si="1122"/>
        <v>30.659999999999997</v>
      </c>
      <c r="CF799" s="951">
        <f t="shared" si="1126"/>
        <v>30.659999999999997</v>
      </c>
      <c r="CG799" s="951">
        <f t="shared" si="1158"/>
        <v>52.121999999999993</v>
      </c>
      <c r="CH799" s="951">
        <f t="shared" si="1164"/>
        <v>52.121999999999993</v>
      </c>
      <c r="CL799" s="45"/>
      <c r="CM799" s="45"/>
      <c r="CN799" s="45"/>
      <c r="CO799" s="45"/>
      <c r="CP799" s="45"/>
      <c r="CQ799" s="45"/>
      <c r="CT799" s="821"/>
      <c r="CU799" s="45"/>
      <c r="CV799" s="45"/>
      <c r="CW799" s="45"/>
      <c r="CX799" s="45"/>
      <c r="CY799" s="45"/>
    </row>
    <row r="800" spans="1:103">
      <c r="A800" s="45"/>
      <c r="B800" s="383"/>
      <c r="C800" s="383"/>
      <c r="D800" s="383"/>
      <c r="E800" s="613"/>
      <c r="F800" s="614"/>
      <c r="G800" s="614"/>
      <c r="H800" s="615"/>
      <c r="I800" s="383"/>
      <c r="J800" s="613"/>
      <c r="K800" s="614"/>
      <c r="L800" s="614"/>
      <c r="M800" s="615"/>
      <c r="N800" s="383"/>
      <c r="O800" s="613"/>
      <c r="P800" s="614"/>
      <c r="Q800" s="614"/>
      <c r="R800" s="615"/>
      <c r="S800" s="383"/>
      <c r="T800" s="613"/>
      <c r="U800" s="614"/>
      <c r="V800" s="614"/>
      <c r="W800" s="615"/>
      <c r="X800" s="383"/>
      <c r="Y800" s="613"/>
      <c r="Z800" s="614"/>
      <c r="AA800" s="614"/>
      <c r="AB800" s="615"/>
      <c r="AC800" s="202"/>
      <c r="AD800" s="613"/>
      <c r="AE800" s="614"/>
      <c r="AF800" s="614"/>
      <c r="AG800" s="615"/>
      <c r="AH800" s="383"/>
      <c r="AI800" s="613"/>
      <c r="AJ800" s="614"/>
      <c r="AK800" s="614"/>
      <c r="AL800" s="615"/>
      <c r="AM800" s="383"/>
      <c r="AN800" s="613"/>
      <c r="AO800" s="614"/>
      <c r="AP800" s="614"/>
      <c r="AQ800" s="615"/>
      <c r="AR800" s="383"/>
      <c r="AS800" s="613"/>
      <c r="AT800" s="614"/>
      <c r="AU800" s="614"/>
      <c r="AV800" s="615"/>
      <c r="AW800" s="383"/>
      <c r="AX800" s="613"/>
      <c r="AY800" s="614"/>
      <c r="AZ800" s="614"/>
      <c r="BA800" s="615"/>
      <c r="BB800" s="383"/>
      <c r="BC800" s="613"/>
      <c r="BD800" s="614"/>
      <c r="BE800" s="614"/>
      <c r="BF800" s="615"/>
      <c r="BG800" s="383"/>
      <c r="BH800" s="613"/>
      <c r="BI800" s="614"/>
      <c r="BJ800" s="614"/>
      <c r="BK800" s="615"/>
      <c r="BL800" s="383"/>
      <c r="BM800" s="613"/>
      <c r="BN800" s="614"/>
      <c r="BO800" s="614"/>
      <c r="BP800" s="615"/>
      <c r="BQ800" s="383"/>
      <c r="BR800" s="383"/>
      <c r="BS800" s="383"/>
      <c r="BT800" s="45"/>
      <c r="BU800" t="s">
        <v>1194</v>
      </c>
      <c r="BV800" s="35" t="s">
        <v>1195</v>
      </c>
      <c r="BW800" s="1023">
        <v>13</v>
      </c>
      <c r="BY800" t="s">
        <v>1142</v>
      </c>
      <c r="BZ800" s="951">
        <f t="shared" si="1143"/>
        <v>39.857999999999997</v>
      </c>
      <c r="CA800" s="951">
        <f t="shared" si="1143"/>
        <v>39.857999999999997</v>
      </c>
      <c r="CB800" s="951"/>
      <c r="CC800" s="951">
        <f t="shared" si="1143"/>
        <v>39.857999999999997</v>
      </c>
      <c r="CD800" s="951">
        <f t="shared" si="1143"/>
        <v>39.857999999999997</v>
      </c>
      <c r="CE800" s="951">
        <f t="shared" si="1122"/>
        <v>39.857999999999997</v>
      </c>
      <c r="CF800" s="951">
        <f t="shared" si="1126"/>
        <v>39.857999999999997</v>
      </c>
      <c r="CG800" s="951">
        <f t="shared" si="1158"/>
        <v>214.61999999999998</v>
      </c>
      <c r="CH800" s="951">
        <f t="shared" si="1164"/>
        <v>214.61999999999998</v>
      </c>
      <c r="CL800" s="45"/>
      <c r="CM800" s="45"/>
      <c r="CN800" s="45"/>
      <c r="CO800" s="45"/>
      <c r="CP800" s="45"/>
      <c r="CQ800" s="45"/>
      <c r="CT800" s="821"/>
      <c r="CU800" s="45"/>
      <c r="CV800" s="45"/>
      <c r="CW800" s="45"/>
      <c r="CX800" s="45"/>
      <c r="CY800" s="45"/>
    </row>
    <row r="801" spans="1:119">
      <c r="A801" s="45"/>
      <c r="B801" s="383"/>
      <c r="C801" s="1926" t="s">
        <v>1431</v>
      </c>
      <c r="D801" s="383"/>
      <c r="E801" s="613"/>
      <c r="F801" s="614"/>
      <c r="G801" s="614"/>
      <c r="H801" s="615"/>
      <c r="I801" s="383"/>
      <c r="J801" s="613"/>
      <c r="K801" s="614"/>
      <c r="L801" s="614"/>
      <c r="M801" s="615"/>
      <c r="N801" s="383"/>
      <c r="O801" s="613"/>
      <c r="P801" s="614"/>
      <c r="Q801" s="614"/>
      <c r="R801" s="615"/>
      <c r="S801" s="383"/>
      <c r="T801" s="613"/>
      <c r="U801" s="614"/>
      <c r="V801" s="614"/>
      <c r="W801" s="615"/>
      <c r="X801" s="383"/>
      <c r="Y801" s="613"/>
      <c r="Z801" s="614"/>
      <c r="AA801" s="614"/>
      <c r="AB801" s="615"/>
      <c r="AC801" s="202"/>
      <c r="AD801" s="613"/>
      <c r="AE801" s="614"/>
      <c r="AF801" s="614"/>
      <c r="AG801" s="615"/>
      <c r="AH801" s="383"/>
      <c r="AI801" s="613"/>
      <c r="AJ801" s="614"/>
      <c r="AK801" s="614"/>
      <c r="AL801" s="615"/>
      <c r="AM801" s="383"/>
      <c r="AN801" s="613"/>
      <c r="AO801" s="614"/>
      <c r="AP801" s="614"/>
      <c r="AQ801" s="615"/>
      <c r="AR801" s="383"/>
      <c r="AS801" s="613"/>
      <c r="AT801" s="614"/>
      <c r="AU801" s="614"/>
      <c r="AV801" s="615"/>
      <c r="AW801" s="383"/>
      <c r="AX801" s="613">
        <f>AX802*AX40</f>
        <v>16.905000000000001</v>
      </c>
      <c r="AY801" s="614">
        <f>AY802*AY40</f>
        <v>16.905000000000001</v>
      </c>
      <c r="AZ801" s="614">
        <f>AZ802*AZ40</f>
        <v>16.905000000000001</v>
      </c>
      <c r="BA801" s="615">
        <f>BA802*BA40</f>
        <v>16.905000000000001</v>
      </c>
      <c r="BB801" s="383">
        <f>SUM(AX801:BA801)</f>
        <v>67.62</v>
      </c>
      <c r="BC801" s="613">
        <f>BC802*BC40</f>
        <v>1.2075</v>
      </c>
      <c r="BD801" s="614">
        <f>BD802*BD40</f>
        <v>1.2075</v>
      </c>
      <c r="BE801" s="614">
        <f>BE802*BE40</f>
        <v>1.2075</v>
      </c>
      <c r="BF801" s="615">
        <f>BF802*BF40</f>
        <v>1.2075</v>
      </c>
      <c r="BG801" s="383">
        <f>SUM(BC801:BF801)</f>
        <v>4.83</v>
      </c>
      <c r="BH801" s="613">
        <f>BH802*BH40</f>
        <v>0</v>
      </c>
      <c r="BI801" s="614">
        <f>BI802*BI40</f>
        <v>0</v>
      </c>
      <c r="BJ801" s="614">
        <f>BJ802*BJ40</f>
        <v>0</v>
      </c>
      <c r="BK801" s="615">
        <f>BK802*BK40</f>
        <v>0</v>
      </c>
      <c r="BL801" s="383">
        <f>SUM(BH801:BK801)</f>
        <v>0</v>
      </c>
      <c r="BM801" s="613">
        <f>BM802*BM40</f>
        <v>0</v>
      </c>
      <c r="BN801" s="614">
        <f>BN802*BN40</f>
        <v>0</v>
      </c>
      <c r="BO801" s="614">
        <f>BO802*BO40</f>
        <v>0</v>
      </c>
      <c r="BP801" s="615">
        <f>BP802*BP40</f>
        <v>0</v>
      </c>
      <c r="BQ801" s="383">
        <f>SUM(BM801:BP801)</f>
        <v>0</v>
      </c>
      <c r="BR801" s="202"/>
      <c r="BS801" s="202"/>
      <c r="BT801" s="45"/>
      <c r="BU801" t="s">
        <v>1196</v>
      </c>
      <c r="BV801" s="35" t="s">
        <v>1197</v>
      </c>
      <c r="BW801" s="1023">
        <v>17</v>
      </c>
      <c r="BY801" t="s">
        <v>1142</v>
      </c>
      <c r="BZ801" s="951">
        <f t="shared" si="1143"/>
        <v>52.121999999999993</v>
      </c>
      <c r="CA801" s="951">
        <f t="shared" si="1143"/>
        <v>52.121999999999993</v>
      </c>
      <c r="CB801" s="951"/>
      <c r="CC801" s="951">
        <f t="shared" si="1143"/>
        <v>52.121999999999993</v>
      </c>
      <c r="CD801" s="951">
        <f t="shared" si="1143"/>
        <v>52.121999999999993</v>
      </c>
      <c r="CE801" s="951">
        <f t="shared" si="1122"/>
        <v>52.121999999999993</v>
      </c>
      <c r="CF801" s="951">
        <f t="shared" si="1126"/>
        <v>52.121999999999993</v>
      </c>
      <c r="CG801" s="951">
        <f t="shared" si="1158"/>
        <v>162.49799999999999</v>
      </c>
      <c r="CH801" s="951">
        <f t="shared" si="1164"/>
        <v>162.49799999999999</v>
      </c>
      <c r="CI801" s="951">
        <f>$BW803*8.76*CI$809</f>
        <v>162.49799999999999</v>
      </c>
      <c r="CJ801" s="951"/>
      <c r="CL801" s="45"/>
      <c r="CM801" s="45"/>
      <c r="CN801" s="45"/>
      <c r="CO801" s="45"/>
      <c r="CP801" s="45"/>
      <c r="CQ801" s="45"/>
      <c r="CT801" s="821"/>
      <c r="CU801" s="45"/>
      <c r="CV801" s="45"/>
      <c r="CW801" s="45"/>
      <c r="CX801" s="45"/>
      <c r="CY801" s="45"/>
    </row>
    <row r="802" spans="1:119">
      <c r="A802" s="45"/>
      <c r="B802" s="383"/>
      <c r="C802" s="1926" t="s">
        <v>1430</v>
      </c>
      <c r="D802" s="383"/>
      <c r="E802" s="613"/>
      <c r="F802" s="614"/>
      <c r="G802" s="614"/>
      <c r="H802" s="615"/>
      <c r="I802" s="383"/>
      <c r="J802" s="613"/>
      <c r="K802" s="614"/>
      <c r="L802" s="614"/>
      <c r="M802" s="615"/>
      <c r="N802" s="383"/>
      <c r="O802" s="613"/>
      <c r="P802" s="614"/>
      <c r="Q802" s="614"/>
      <c r="R802" s="615"/>
      <c r="S802" s="383"/>
      <c r="T802" s="613"/>
      <c r="U802" s="614"/>
      <c r="V802" s="614"/>
      <c r="W802" s="615"/>
      <c r="X802" s="383"/>
      <c r="Y802" s="613"/>
      <c r="Z802" s="614"/>
      <c r="AA802" s="614"/>
      <c r="AB802" s="615"/>
      <c r="AC802" s="202"/>
      <c r="AD802" s="613"/>
      <c r="AE802" s="614"/>
      <c r="AF802" s="614"/>
      <c r="AG802" s="615"/>
      <c r="AH802" s="383"/>
      <c r="AI802" s="613"/>
      <c r="AJ802" s="614"/>
      <c r="AK802" s="614"/>
      <c r="AL802" s="615"/>
      <c r="AM802" s="383"/>
      <c r="AN802" s="613"/>
      <c r="AO802" s="614"/>
      <c r="AP802" s="614"/>
      <c r="AQ802" s="615"/>
      <c r="AR802" s="383"/>
      <c r="AS802" s="613"/>
      <c r="AT802" s="614"/>
      <c r="AU802" s="614"/>
      <c r="AV802" s="615"/>
      <c r="AW802" s="383"/>
      <c r="AX802" s="1008">
        <f>BB802/4</f>
        <v>1.7500000000000002E-2</v>
      </c>
      <c r="AY802" s="1009">
        <f>BB802/4</f>
        <v>1.7500000000000002E-2</v>
      </c>
      <c r="AZ802" s="1009">
        <f>BB802/4</f>
        <v>1.7500000000000002E-2</v>
      </c>
      <c r="BA802" s="1007">
        <f>BB802/4</f>
        <v>1.7500000000000002E-2</v>
      </c>
      <c r="BB802" s="2141">
        <f>0.07</f>
        <v>7.0000000000000007E-2</v>
      </c>
      <c r="BC802" s="1008">
        <f>BG802/4</f>
        <v>1.25E-3</v>
      </c>
      <c r="BD802" s="1009">
        <f>BG802/4</f>
        <v>1.25E-3</v>
      </c>
      <c r="BE802" s="1009">
        <f>BG802/4</f>
        <v>1.25E-3</v>
      </c>
      <c r="BF802" s="1007">
        <f>BG802/4</f>
        <v>1.25E-3</v>
      </c>
      <c r="BG802" s="2141">
        <v>5.0000000000000001E-3</v>
      </c>
      <c r="BH802" s="1008">
        <f>BL802/4</f>
        <v>0</v>
      </c>
      <c r="BI802" s="1009">
        <f>BL802/4</f>
        <v>0</v>
      </c>
      <c r="BJ802" s="1009">
        <f>BL802/4</f>
        <v>0</v>
      </c>
      <c r="BK802" s="1007">
        <f>BL802/4</f>
        <v>0</v>
      </c>
      <c r="BL802" s="2141">
        <v>0</v>
      </c>
      <c r="BM802" s="1008">
        <f>BQ802/4</f>
        <v>0</v>
      </c>
      <c r="BN802" s="1009">
        <f>BQ802/4</f>
        <v>0</v>
      </c>
      <c r="BO802" s="1009">
        <f>BQ802/4</f>
        <v>0</v>
      </c>
      <c r="BP802" s="1007">
        <f>BQ802/4</f>
        <v>0</v>
      </c>
      <c r="BQ802" s="2141">
        <f>+BL802</f>
        <v>0</v>
      </c>
      <c r="BR802" s="45"/>
      <c r="BS802" s="45"/>
      <c r="BT802" s="45"/>
      <c r="BU802" t="s">
        <v>1198</v>
      </c>
      <c r="BV802" s="35" t="s">
        <v>1199</v>
      </c>
      <c r="BW802" s="1023">
        <v>70</v>
      </c>
      <c r="BY802" t="s">
        <v>1142</v>
      </c>
      <c r="BZ802" s="951">
        <f t="shared" si="1143"/>
        <v>214.61999999999998</v>
      </c>
      <c r="CA802" s="951">
        <f t="shared" si="1143"/>
        <v>214.61999999999998</v>
      </c>
      <c r="CB802" s="951"/>
      <c r="CC802" s="951">
        <f t="shared" si="1143"/>
        <v>214.61999999999998</v>
      </c>
      <c r="CD802" s="951">
        <f t="shared" si="1143"/>
        <v>214.61999999999998</v>
      </c>
      <c r="CE802" s="951">
        <f t="shared" si="1122"/>
        <v>214.61999999999998</v>
      </c>
      <c r="CF802" s="951">
        <f t="shared" si="1126"/>
        <v>214.61999999999998</v>
      </c>
      <c r="CG802" s="951">
        <f t="shared" si="1158"/>
        <v>275.94</v>
      </c>
      <c r="CH802" s="951">
        <f t="shared" si="1164"/>
        <v>275.94</v>
      </c>
      <c r="CI802" s="951">
        <f>$BW804*8.76*CI$809</f>
        <v>275.94</v>
      </c>
      <c r="CJ802" s="951"/>
      <c r="CL802" s="45"/>
      <c r="CM802" s="45"/>
      <c r="CN802" s="45"/>
      <c r="CO802" s="45"/>
      <c r="CP802" s="45"/>
      <c r="CQ802" s="45"/>
      <c r="CT802" s="821"/>
      <c r="CU802" s="45"/>
      <c r="CV802" s="45"/>
      <c r="CW802" s="45"/>
      <c r="CX802" s="45"/>
      <c r="CY802" s="45"/>
    </row>
    <row r="803" spans="1:119">
      <c r="A803" s="45"/>
      <c r="B803" s="383"/>
      <c r="C803" s="383"/>
      <c r="D803" s="383"/>
      <c r="E803" s="613"/>
      <c r="F803" s="614"/>
      <c r="G803" s="614"/>
      <c r="H803" s="615"/>
      <c r="I803" s="383"/>
      <c r="J803" s="613"/>
      <c r="K803" s="614"/>
      <c r="L803" s="614"/>
      <c r="M803" s="615"/>
      <c r="N803" s="383"/>
      <c r="O803" s="613"/>
      <c r="P803" s="614"/>
      <c r="Q803" s="614"/>
      <c r="R803" s="615"/>
      <c r="S803" s="383"/>
      <c r="T803" s="613"/>
      <c r="U803" s="614"/>
      <c r="V803" s="614"/>
      <c r="W803" s="615"/>
      <c r="X803" s="383"/>
      <c r="Y803" s="613"/>
      <c r="Z803" s="614"/>
      <c r="AA803" s="614"/>
      <c r="AB803" s="615"/>
      <c r="AC803" s="202"/>
      <c r="AD803" s="613"/>
      <c r="AE803" s="614"/>
      <c r="AF803" s="614"/>
      <c r="AG803" s="615"/>
      <c r="AH803" s="383"/>
      <c r="AI803" s="613"/>
      <c r="AJ803" s="614"/>
      <c r="AK803" s="614"/>
      <c r="AL803" s="615"/>
      <c r="AM803" s="383"/>
      <c r="AN803" s="613"/>
      <c r="AO803" s="614"/>
      <c r="AP803" s="614"/>
      <c r="AQ803" s="615"/>
      <c r="AR803" s="383"/>
      <c r="AS803" s="613"/>
      <c r="AT803" s="614"/>
      <c r="AU803" s="614"/>
      <c r="AV803" s="615"/>
      <c r="AW803" s="383"/>
      <c r="AX803" s="613"/>
      <c r="AY803" s="614"/>
      <c r="AZ803" s="614"/>
      <c r="BA803" s="615"/>
      <c r="BB803" s="383"/>
      <c r="BC803" s="613"/>
      <c r="BD803" s="614"/>
      <c r="BE803" s="614"/>
      <c r="BF803" s="615"/>
      <c r="BG803" s="383"/>
      <c r="BH803" s="613"/>
      <c r="BI803" s="614"/>
      <c r="BJ803" s="614"/>
      <c r="BK803" s="615"/>
      <c r="BL803" s="383"/>
      <c r="BM803" s="613"/>
      <c r="BN803" s="614"/>
      <c r="BO803" s="614"/>
      <c r="BP803" s="615"/>
      <c r="BQ803" s="383"/>
      <c r="BR803" s="45"/>
      <c r="BS803" s="45"/>
      <c r="BT803" s="45"/>
      <c r="BU803" t="s">
        <v>1200</v>
      </c>
      <c r="BV803" s="35" t="s">
        <v>1202</v>
      </c>
      <c r="BW803" s="1023">
        <v>53</v>
      </c>
      <c r="BY803" t="s">
        <v>1142</v>
      </c>
      <c r="BZ803" s="951">
        <f t="shared" si="1143"/>
        <v>162.49799999999999</v>
      </c>
      <c r="CA803" s="951">
        <f t="shared" si="1143"/>
        <v>162.49799999999999</v>
      </c>
      <c r="CB803" s="951"/>
      <c r="CC803" s="951">
        <f t="shared" si="1143"/>
        <v>162.49799999999999</v>
      </c>
      <c r="CD803" s="951">
        <f t="shared" si="1143"/>
        <v>162.49799999999999</v>
      </c>
      <c r="CE803" s="951">
        <f t="shared" si="1122"/>
        <v>162.49799999999999</v>
      </c>
      <c r="CF803" s="951">
        <f t="shared" si="1126"/>
        <v>162.49799999999999</v>
      </c>
      <c r="CG803" s="951">
        <f t="shared" si="1158"/>
        <v>1505.4059999999999</v>
      </c>
      <c r="CH803" s="951">
        <f t="shared" si="1164"/>
        <v>1505.4059999999999</v>
      </c>
      <c r="CI803" s="951">
        <f>$BW805*8.76*CI$809</f>
        <v>1505.4059999999999</v>
      </c>
      <c r="CJ803" s="951">
        <f>$BW805*8.76*CJ$809</f>
        <v>1505.4059999999999</v>
      </c>
      <c r="CL803" s="45"/>
      <c r="CM803" s="45"/>
      <c r="CN803" s="45"/>
      <c r="CO803" s="45"/>
      <c r="CP803" s="45"/>
      <c r="CQ803" s="45"/>
      <c r="CT803" s="821"/>
      <c r="CU803" s="45"/>
      <c r="CV803" s="45"/>
      <c r="CW803" s="45"/>
      <c r="CX803" s="45"/>
      <c r="CY803" s="45"/>
    </row>
    <row r="804" spans="1:119">
      <c r="A804" s="45"/>
      <c r="B804" s="379" t="s">
        <v>275</v>
      </c>
      <c r="C804" s="658"/>
      <c r="D804" s="659"/>
      <c r="E804" s="613"/>
      <c r="F804" s="614"/>
      <c r="G804" s="614"/>
      <c r="H804" s="615"/>
      <c r="I804" s="383"/>
      <c r="J804" s="613"/>
      <c r="K804" s="614"/>
      <c r="L804" s="614"/>
      <c r="M804" s="615"/>
      <c r="N804" s="383"/>
      <c r="O804" s="613"/>
      <c r="P804" s="614"/>
      <c r="Q804" s="614"/>
      <c r="R804" s="615"/>
      <c r="S804" s="383"/>
      <c r="T804" s="613"/>
      <c r="U804" s="614"/>
      <c r="V804" s="614"/>
      <c r="W804" s="615"/>
      <c r="X804" s="383"/>
      <c r="Y804" s="613"/>
      <c r="Z804" s="614"/>
      <c r="AA804" s="614"/>
      <c r="AB804" s="615"/>
      <c r="AC804" s="383"/>
      <c r="AD804" s="613"/>
      <c r="AE804" s="614"/>
      <c r="AF804" s="614"/>
      <c r="AG804" s="615"/>
      <c r="AH804" s="383"/>
      <c r="AI804" s="613"/>
      <c r="AJ804" s="614"/>
      <c r="AK804" s="614"/>
      <c r="AL804" s="615"/>
      <c r="AM804" s="383"/>
      <c r="AN804" s="613"/>
      <c r="AO804" s="614"/>
      <c r="AP804" s="614"/>
      <c r="AQ804" s="615"/>
      <c r="AR804" s="383"/>
      <c r="AS804" s="613"/>
      <c r="AT804" s="614"/>
      <c r="AU804" s="614"/>
      <c r="AV804" s="615"/>
      <c r="AW804" s="383"/>
      <c r="AX804" s="613"/>
      <c r="AY804" s="614"/>
      <c r="AZ804" s="614"/>
      <c r="BA804" s="615"/>
      <c r="BB804" s="383"/>
      <c r="BC804" s="613"/>
      <c r="BD804" s="614"/>
      <c r="BE804" s="614"/>
      <c r="BF804" s="615"/>
      <c r="BG804" s="383"/>
      <c r="BH804" s="613"/>
      <c r="BI804" s="614"/>
      <c r="BJ804" s="614"/>
      <c r="BK804" s="615"/>
      <c r="BL804" s="383"/>
      <c r="BM804" s="613"/>
      <c r="BN804" s="614"/>
      <c r="BO804" s="614"/>
      <c r="BP804" s="615"/>
      <c r="BQ804" s="383"/>
      <c r="BR804" s="45"/>
      <c r="BS804" s="45"/>
      <c r="BT804" s="45"/>
      <c r="BU804" t="s">
        <v>1203</v>
      </c>
      <c r="BV804" s="35" t="s">
        <v>1183</v>
      </c>
      <c r="BW804" s="1023">
        <v>90</v>
      </c>
      <c r="BY804" t="s">
        <v>1142</v>
      </c>
      <c r="BZ804" s="951">
        <f t="shared" si="1143"/>
        <v>275.94</v>
      </c>
      <c r="CA804" s="951">
        <f t="shared" si="1143"/>
        <v>275.94</v>
      </c>
      <c r="CB804" s="951"/>
      <c r="CC804" s="951">
        <f t="shared" si="1143"/>
        <v>275.94</v>
      </c>
      <c r="CD804" s="951">
        <f t="shared" si="1143"/>
        <v>275.94</v>
      </c>
      <c r="CE804" s="951">
        <f t="shared" si="1122"/>
        <v>275.94</v>
      </c>
      <c r="CF804" s="951">
        <f t="shared" si="1126"/>
        <v>275.94</v>
      </c>
      <c r="CG804" s="951">
        <f t="shared" si="1158"/>
        <v>1073.0999999999999</v>
      </c>
      <c r="CH804" s="951">
        <f t="shared" si="1164"/>
        <v>1073.0999999999999</v>
      </c>
      <c r="CI804" s="951">
        <f>$BW806*8.76*CI$809</f>
        <v>1073.0999999999999</v>
      </c>
      <c r="CJ804" s="951">
        <f>$BW806*8.76*CJ$809</f>
        <v>1073.0999999999999</v>
      </c>
      <c r="CK804" s="951">
        <f>$BW806*8.76*CK$809</f>
        <v>1073.0999999999999</v>
      </c>
      <c r="CL804" s="951">
        <f>$BW806*8.76*CL$809</f>
        <v>1073.0999999999999</v>
      </c>
      <c r="CM804" s="951">
        <f>$BW806*8.76*CM$809</f>
        <v>1073.0999999999999</v>
      </c>
      <c r="CN804" s="951">
        <f>$BW806*8.76*CN$809</f>
        <v>1073.0999999999999</v>
      </c>
      <c r="CO804" s="45"/>
      <c r="CP804" s="45"/>
      <c r="CQ804" s="45"/>
      <c r="CT804" s="821"/>
      <c r="CU804" s="45"/>
      <c r="CV804" s="45"/>
      <c r="CW804" s="45"/>
      <c r="CX804" s="45"/>
      <c r="CY804" s="45"/>
    </row>
    <row r="805" spans="1:119">
      <c r="A805" s="45"/>
      <c r="B805" s="383"/>
      <c r="C805" s="389" t="s">
        <v>236</v>
      </c>
      <c r="D805" s="383"/>
      <c r="E805" s="613"/>
      <c r="F805" s="614"/>
      <c r="G805" s="614"/>
      <c r="H805" s="615"/>
      <c r="I805" s="383"/>
      <c r="J805" s="613"/>
      <c r="K805" s="614"/>
      <c r="L805" s="614"/>
      <c r="M805" s="615"/>
      <c r="N805" s="383"/>
      <c r="O805" s="613"/>
      <c r="P805" s="614"/>
      <c r="Q805" s="614"/>
      <c r="R805" s="615"/>
      <c r="S805" s="383"/>
      <c r="T805" s="613"/>
      <c r="U805" s="614"/>
      <c r="V805" s="614"/>
      <c r="W805" s="615"/>
      <c r="X805" s="383"/>
      <c r="Y805" s="613"/>
      <c r="Z805" s="614"/>
      <c r="AA805" s="614"/>
      <c r="AB805" s="615"/>
      <c r="AC805" s="383"/>
      <c r="AD805" s="613"/>
      <c r="AE805" s="614"/>
      <c r="AF805" s="614"/>
      <c r="AG805" s="615"/>
      <c r="AH805" s="383"/>
      <c r="AI805" s="613"/>
      <c r="AJ805" s="614"/>
      <c r="AK805" s="614"/>
      <c r="AL805" s="615"/>
      <c r="AM805" s="383"/>
      <c r="AN805" s="613"/>
      <c r="AO805" s="614"/>
      <c r="AP805" s="614"/>
      <c r="AQ805" s="615"/>
      <c r="AR805" s="383"/>
      <c r="AS805" s="613"/>
      <c r="AT805" s="614"/>
      <c r="AU805" s="614"/>
      <c r="AV805" s="615"/>
      <c r="AW805" s="383"/>
      <c r="AX805" s="613"/>
      <c r="AY805" s="614"/>
      <c r="AZ805" s="614"/>
      <c r="BA805" s="615"/>
      <c r="BB805" s="383"/>
      <c r="BC805" s="613"/>
      <c r="BD805" s="614"/>
      <c r="BE805" s="614"/>
      <c r="BF805" s="615"/>
      <c r="BG805" s="383"/>
      <c r="BH805" s="613"/>
      <c r="BI805" s="614"/>
      <c r="BJ805" s="614"/>
      <c r="BK805" s="615"/>
      <c r="BL805" s="383"/>
      <c r="BM805" s="613"/>
      <c r="BN805" s="614"/>
      <c r="BO805" s="614"/>
      <c r="BP805" s="615"/>
      <c r="BQ805" s="383"/>
      <c r="BR805" s="45"/>
      <c r="BS805" s="45"/>
      <c r="BT805" s="45"/>
      <c r="BU805" t="s">
        <v>1204</v>
      </c>
      <c r="BV805" s="35" t="s">
        <v>1205</v>
      </c>
      <c r="BW805" s="1023">
        <f>+I559-SUM(BW767:BW804)</f>
        <v>491</v>
      </c>
      <c r="BX805" s="1021"/>
      <c r="BY805" s="31" t="s">
        <v>1142</v>
      </c>
      <c r="BZ805" s="951">
        <f t="shared" si="1143"/>
        <v>1505.4059999999999</v>
      </c>
      <c r="CA805" s="951">
        <f t="shared" si="1143"/>
        <v>1505.4059999999999</v>
      </c>
      <c r="CB805" s="951"/>
      <c r="CC805" s="951">
        <f t="shared" si="1143"/>
        <v>1505.4059999999999</v>
      </c>
      <c r="CD805" s="951">
        <f t="shared" si="1143"/>
        <v>1505.4059999999999</v>
      </c>
      <c r="CE805" s="951">
        <f t="shared" si="1122"/>
        <v>1505.4059999999999</v>
      </c>
      <c r="CF805" s="951">
        <f t="shared" si="1126"/>
        <v>1505.4059999999999</v>
      </c>
      <c r="CL805" s="45"/>
      <c r="CM805" s="45"/>
      <c r="CN805" s="45"/>
      <c r="CO805" s="45"/>
      <c r="CP805" s="45"/>
      <c r="CQ805" s="45"/>
      <c r="CT805" s="821"/>
      <c r="CU805" s="45"/>
      <c r="CV805" s="45"/>
      <c r="CW805" s="45"/>
      <c r="CX805" s="45"/>
      <c r="CY805" s="45"/>
    </row>
    <row r="806" spans="1:119" ht="12.75" customHeight="1">
      <c r="A806" s="45"/>
      <c r="B806" s="45"/>
      <c r="C806" s="391" t="s">
        <v>234</v>
      </c>
      <c r="D806" s="45"/>
      <c r="E806" s="290">
        <f t="shared" ref="E806:S806" si="1165">+E832</f>
        <v>0</v>
      </c>
      <c r="F806" s="260">
        <f t="shared" si="1165"/>
        <v>46</v>
      </c>
      <c r="G806" s="260">
        <f t="shared" si="1165"/>
        <v>1500</v>
      </c>
      <c r="H806" s="291">
        <f t="shared" si="1165"/>
        <v>0</v>
      </c>
      <c r="I806" s="45">
        <f t="shared" si="1165"/>
        <v>1546</v>
      </c>
      <c r="J806" s="290">
        <f t="shared" si="1165"/>
        <v>0</v>
      </c>
      <c r="K806" s="260">
        <f t="shared" si="1165"/>
        <v>0</v>
      </c>
      <c r="L806" s="260">
        <f t="shared" si="1165"/>
        <v>898</v>
      </c>
      <c r="M806" s="291">
        <f t="shared" si="1165"/>
        <v>0</v>
      </c>
      <c r="N806" s="45">
        <f t="shared" si="1165"/>
        <v>898</v>
      </c>
      <c r="O806" s="290">
        <f t="shared" si="1165"/>
        <v>0</v>
      </c>
      <c r="P806" s="260">
        <f t="shared" si="1165"/>
        <v>0</v>
      </c>
      <c r="Q806" s="260">
        <f t="shared" si="1165"/>
        <v>0</v>
      </c>
      <c r="R806" s="291">
        <f t="shared" si="1165"/>
        <v>0</v>
      </c>
      <c r="S806" s="45">
        <f t="shared" si="1165"/>
        <v>0</v>
      </c>
      <c r="T806" s="290">
        <f t="shared" ref="T806:AC807" si="1166">+T832</f>
        <v>0</v>
      </c>
      <c r="U806" s="260">
        <f t="shared" si="1166"/>
        <v>850</v>
      </c>
      <c r="V806" s="260">
        <f t="shared" si="1166"/>
        <v>107</v>
      </c>
      <c r="W806" s="291">
        <f t="shared" si="1166"/>
        <v>119</v>
      </c>
      <c r="X806" s="45">
        <f t="shared" si="1166"/>
        <v>1076</v>
      </c>
      <c r="Y806" s="290">
        <f t="shared" si="1166"/>
        <v>149</v>
      </c>
      <c r="Z806" s="260">
        <f t="shared" si="1166"/>
        <v>60</v>
      </c>
      <c r="AA806" s="260">
        <f t="shared" si="1166"/>
        <v>622</v>
      </c>
      <c r="AB806" s="291">
        <f t="shared" si="1166"/>
        <v>23</v>
      </c>
      <c r="AC806" s="45">
        <f t="shared" si="1166"/>
        <v>854</v>
      </c>
      <c r="AD806" s="290">
        <f>+AD832</f>
        <v>300</v>
      </c>
      <c r="AE806" s="260">
        <f>+AE832</f>
        <v>0</v>
      </c>
      <c r="AF806" s="260">
        <f t="shared" ref="AF806:AH806" si="1167">+AF832</f>
        <v>812</v>
      </c>
      <c r="AG806" s="291">
        <f t="shared" si="1167"/>
        <v>0</v>
      </c>
      <c r="AH806" s="45">
        <f t="shared" si="1167"/>
        <v>1112</v>
      </c>
      <c r="AI806" s="290">
        <f>+AI832</f>
        <v>806</v>
      </c>
      <c r="AJ806" s="260">
        <f>+AJ832</f>
        <v>501</v>
      </c>
      <c r="AK806" s="260">
        <f t="shared" ref="AK806:AM806" si="1168">+AK832</f>
        <v>0</v>
      </c>
      <c r="AL806" s="291">
        <f t="shared" si="1168"/>
        <v>2</v>
      </c>
      <c r="AM806" s="45">
        <f t="shared" si="1168"/>
        <v>1309</v>
      </c>
      <c r="AN806" s="290">
        <f>+AN832</f>
        <v>151</v>
      </c>
      <c r="AO806" s="260">
        <f>+AO832</f>
        <v>22</v>
      </c>
      <c r="AP806" s="260">
        <f t="shared" ref="AP806:AR806" si="1169">+AP832</f>
        <v>165</v>
      </c>
      <c r="AQ806" s="291">
        <f t="shared" si="1169"/>
        <v>50</v>
      </c>
      <c r="AR806" s="45">
        <f t="shared" si="1169"/>
        <v>388</v>
      </c>
      <c r="AS806" s="290">
        <f t="shared" ref="AS806:AW807" si="1170">+AS832</f>
        <v>762</v>
      </c>
      <c r="AT806" s="260">
        <f t="shared" si="1170"/>
        <v>17</v>
      </c>
      <c r="AU806" s="260">
        <f t="shared" si="1170"/>
        <v>10</v>
      </c>
      <c r="AV806" s="291">
        <f t="shared" si="1170"/>
        <v>856</v>
      </c>
      <c r="AW806" s="45">
        <f t="shared" si="1170"/>
        <v>1645</v>
      </c>
      <c r="AX806" s="290">
        <f>Debt!AL99</f>
        <v>0</v>
      </c>
      <c r="AY806" s="260">
        <f>Debt!AM99</f>
        <v>0</v>
      </c>
      <c r="AZ806" s="260">
        <f>Debt!AN99</f>
        <v>0</v>
      </c>
      <c r="BA806" s="291">
        <f>Debt!AO99</f>
        <v>0</v>
      </c>
      <c r="BB806" s="426">
        <v>0</v>
      </c>
      <c r="BC806" s="290">
        <f>Debt!AQ99</f>
        <v>0</v>
      </c>
      <c r="BD806" s="260">
        <f>Debt!AR99</f>
        <v>0</v>
      </c>
      <c r="BE806" s="260">
        <f>Debt!AS99</f>
        <v>0</v>
      </c>
      <c r="BF806" s="291">
        <f>Debt!AT99</f>
        <v>0</v>
      </c>
      <c r="BG806" s="426">
        <v>0</v>
      </c>
      <c r="BH806" s="290">
        <f>Debt!AV99</f>
        <v>0</v>
      </c>
      <c r="BI806" s="260">
        <f>Debt!AW99</f>
        <v>0</v>
      </c>
      <c r="BJ806" s="260">
        <f>Debt!AX99</f>
        <v>0</v>
      </c>
      <c r="BK806" s="291">
        <f>Debt!AY99</f>
        <v>0</v>
      </c>
      <c r="BL806" s="426">
        <v>0</v>
      </c>
      <c r="BM806" s="290">
        <f>Debt!BA99</f>
        <v>0</v>
      </c>
      <c r="BN806" s="260">
        <f>Debt!BB99</f>
        <v>0</v>
      </c>
      <c r="BO806" s="260">
        <f>Debt!BC99</f>
        <v>0</v>
      </c>
      <c r="BP806" s="291">
        <f>Debt!BD99</f>
        <v>0</v>
      </c>
      <c r="BQ806" s="2032">
        <f>+BL806</f>
        <v>0</v>
      </c>
      <c r="BR806" s="45"/>
      <c r="BS806" s="45"/>
      <c r="BT806" s="45"/>
      <c r="BU806" s="31" t="s">
        <v>1425</v>
      </c>
      <c r="BV806" s="2138" t="s">
        <v>1205</v>
      </c>
      <c r="BW806" s="1023">
        <v>350</v>
      </c>
      <c r="BX806" s="1021"/>
      <c r="BY806" s="31" t="s">
        <v>1142</v>
      </c>
      <c r="BZ806" s="951">
        <v>0</v>
      </c>
      <c r="CA806" s="951">
        <v>0</v>
      </c>
      <c r="CB806" s="951"/>
      <c r="CC806" s="951">
        <v>0</v>
      </c>
      <c r="CD806" s="951">
        <v>0</v>
      </c>
      <c r="CE806" s="951">
        <f t="shared" si="1122"/>
        <v>1073.0999999999999</v>
      </c>
      <c r="CF806" s="951">
        <f t="shared" si="1126"/>
        <v>1073.0999999999999</v>
      </c>
      <c r="CL806" s="45"/>
      <c r="CM806" s="45"/>
      <c r="CN806" s="45"/>
      <c r="CO806" s="45"/>
      <c r="CP806" s="45"/>
      <c r="CQ806" s="45"/>
      <c r="CT806" s="821"/>
      <c r="CU806" s="45"/>
      <c r="CV806" s="45"/>
      <c r="CW806" s="45"/>
      <c r="CX806" s="45"/>
      <c r="CY806" s="45"/>
    </row>
    <row r="807" spans="1:119" ht="12.75" customHeight="1">
      <c r="A807" s="45"/>
      <c r="B807" s="45"/>
      <c r="C807" s="391" t="s">
        <v>235</v>
      </c>
      <c r="D807" s="45"/>
      <c r="E807" s="290">
        <f t="shared" ref="E807:S807" si="1171">+E833</f>
        <v>-47</v>
      </c>
      <c r="F807" s="260">
        <f t="shared" si="1171"/>
        <v>0</v>
      </c>
      <c r="G807" s="260">
        <f t="shared" si="1171"/>
        <v>-873</v>
      </c>
      <c r="H807" s="291">
        <f t="shared" si="1171"/>
        <v>-145</v>
      </c>
      <c r="I807" s="45">
        <f t="shared" si="1171"/>
        <v>-1065</v>
      </c>
      <c r="J807" s="290">
        <f t="shared" si="1171"/>
        <v>-1</v>
      </c>
      <c r="K807" s="260">
        <f t="shared" si="1171"/>
        <v>-213</v>
      </c>
      <c r="L807" s="260">
        <f t="shared" si="1171"/>
        <v>0</v>
      </c>
      <c r="M807" s="291">
        <f t="shared" si="1171"/>
        <v>-1</v>
      </c>
      <c r="N807" s="45">
        <f t="shared" si="1171"/>
        <v>-215</v>
      </c>
      <c r="O807" s="290">
        <f t="shared" si="1171"/>
        <v>-1</v>
      </c>
      <c r="P807" s="260">
        <f t="shared" si="1171"/>
        <v>0</v>
      </c>
      <c r="Q807" s="260">
        <f t="shared" si="1171"/>
        <v>-1</v>
      </c>
      <c r="R807" s="291">
        <f t="shared" si="1171"/>
        <v>0</v>
      </c>
      <c r="S807" s="45">
        <f t="shared" si="1171"/>
        <v>-2</v>
      </c>
      <c r="T807" s="290">
        <f t="shared" si="1166"/>
        <v>-1</v>
      </c>
      <c r="U807" s="260">
        <f t="shared" si="1166"/>
        <v>-55</v>
      </c>
      <c r="V807" s="260">
        <f t="shared" si="1166"/>
        <v>-82</v>
      </c>
      <c r="W807" s="291">
        <f t="shared" si="1166"/>
        <v>-7</v>
      </c>
      <c r="X807" s="45">
        <f t="shared" si="1166"/>
        <v>-145</v>
      </c>
      <c r="Y807" s="290">
        <f t="shared" si="1166"/>
        <v>-1</v>
      </c>
      <c r="Z807" s="260">
        <f t="shared" si="1166"/>
        <v>-457</v>
      </c>
      <c r="AA807" s="260">
        <f t="shared" si="1166"/>
        <v>-13</v>
      </c>
      <c r="AB807" s="291">
        <f t="shared" si="1166"/>
        <v>-99</v>
      </c>
      <c r="AC807" s="45">
        <f t="shared" si="1166"/>
        <v>-570</v>
      </c>
      <c r="AD807" s="290">
        <f>+AD833</f>
        <v>-532</v>
      </c>
      <c r="AE807" s="260">
        <f>+AE833</f>
        <v>-6</v>
      </c>
      <c r="AF807" s="260">
        <f t="shared" ref="AF807:AH807" si="1172">+AF833</f>
        <v>-14</v>
      </c>
      <c r="AG807" s="291">
        <f t="shared" si="1172"/>
        <v>-34</v>
      </c>
      <c r="AH807" s="45">
        <f t="shared" si="1172"/>
        <v>-586</v>
      </c>
      <c r="AI807" s="290">
        <f>+AI833</f>
        <v>-568</v>
      </c>
      <c r="AJ807" s="260">
        <f>+AJ833</f>
        <v>-21</v>
      </c>
      <c r="AK807" s="260">
        <f t="shared" ref="AK807:AM807" si="1173">+AK833</f>
        <v>-25</v>
      </c>
      <c r="AL807" s="291">
        <f t="shared" si="1173"/>
        <v>-2499</v>
      </c>
      <c r="AM807" s="45">
        <f t="shared" si="1173"/>
        <v>-3113</v>
      </c>
      <c r="AN807" s="290">
        <f>+AN833</f>
        <v>-1277</v>
      </c>
      <c r="AO807" s="260">
        <f>+AO833</f>
        <v>717</v>
      </c>
      <c r="AP807" s="260">
        <f t="shared" ref="AP807:AR807" si="1174">+AP833</f>
        <v>-389</v>
      </c>
      <c r="AQ807" s="291">
        <f t="shared" si="1174"/>
        <v>-444</v>
      </c>
      <c r="AR807" s="45">
        <f t="shared" si="1174"/>
        <v>-1393</v>
      </c>
      <c r="AS807" s="290">
        <f t="shared" si="1170"/>
        <v>-31</v>
      </c>
      <c r="AT807" s="260">
        <f t="shared" si="1170"/>
        <v>-68</v>
      </c>
      <c r="AU807" s="260">
        <f t="shared" si="1170"/>
        <v>-351</v>
      </c>
      <c r="AV807" s="291">
        <f t="shared" si="1170"/>
        <v>-811</v>
      </c>
      <c r="AW807" s="45">
        <f t="shared" si="1170"/>
        <v>-1261</v>
      </c>
      <c r="AX807" s="290">
        <f>Debt!AL90</f>
        <v>-20</v>
      </c>
      <c r="AY807" s="260">
        <f>Debt!AM90</f>
        <v>-116</v>
      </c>
      <c r="AZ807" s="260">
        <f>Debt!AN90</f>
        <v>-5</v>
      </c>
      <c r="BA807" s="291">
        <f>Debt!AO90</f>
        <v>0</v>
      </c>
      <c r="BB807" s="45">
        <f>SUM(AX807:BA807)</f>
        <v>-141</v>
      </c>
      <c r="BC807" s="290">
        <f>Debt!AQ90</f>
        <v>0</v>
      </c>
      <c r="BD807" s="260">
        <f>Debt!AR90</f>
        <v>0</v>
      </c>
      <c r="BE807" s="260">
        <f>Debt!AS90</f>
        <v>-4</v>
      </c>
      <c r="BF807" s="291">
        <f>Debt!AT90</f>
        <v>-600</v>
      </c>
      <c r="BG807" s="45">
        <f>SUM(BC807:BF807)</f>
        <v>-604</v>
      </c>
      <c r="BH807" s="290">
        <f>Debt!AV90</f>
        <v>-1000</v>
      </c>
      <c r="BI807" s="260">
        <f>Debt!AW90</f>
        <v>0</v>
      </c>
      <c r="BJ807" s="260">
        <f>Debt!AX90</f>
        <v>-435.47</v>
      </c>
      <c r="BK807" s="291">
        <f>Debt!AY90</f>
        <v>-550</v>
      </c>
      <c r="BL807" s="45">
        <f>SUM(BH807:BK807)</f>
        <v>-1985.47</v>
      </c>
      <c r="BM807" s="290">
        <f>Debt!BA90</f>
        <v>-861</v>
      </c>
      <c r="BN807" s="260">
        <f>Debt!BB90</f>
        <v>0</v>
      </c>
      <c r="BO807" s="260">
        <f>Debt!BC90</f>
        <v>0</v>
      </c>
      <c r="BP807" s="291">
        <f>Debt!BD90</f>
        <v>0</v>
      </c>
      <c r="BQ807" s="45">
        <f>SUM(BM807:BP807)</f>
        <v>-861</v>
      </c>
      <c r="BR807" s="45"/>
      <c r="BS807" s="45"/>
      <c r="BT807" s="45"/>
      <c r="BW807" s="1035">
        <f>SUM(BW767:BW806)</f>
        <v>1732</v>
      </c>
      <c r="CL807" s="45"/>
      <c r="CM807" s="45"/>
      <c r="CN807" s="45"/>
      <c r="CO807" s="45"/>
      <c r="CP807" s="45"/>
      <c r="CQ807" s="45"/>
      <c r="CT807" s="821"/>
      <c r="CU807" s="45"/>
      <c r="CV807" s="45"/>
      <c r="CW807" s="45"/>
      <c r="CX807" s="45"/>
      <c r="CY807" s="45"/>
    </row>
    <row r="808" spans="1:119">
      <c r="A808" s="45"/>
      <c r="B808" s="383"/>
      <c r="C808" s="391"/>
      <c r="D808" s="383"/>
      <c r="E808" s="613"/>
      <c r="F808" s="614"/>
      <c r="G808" s="614"/>
      <c r="H808" s="615"/>
      <c r="I808" s="383"/>
      <c r="J808" s="613"/>
      <c r="K808" s="614"/>
      <c r="L808" s="614"/>
      <c r="M808" s="615"/>
      <c r="N808" s="383"/>
      <c r="O808" s="613"/>
      <c r="P808" s="614"/>
      <c r="Q808" s="260"/>
      <c r="R808" s="291"/>
      <c r="S808" s="45"/>
      <c r="T808" s="613"/>
      <c r="U808" s="614"/>
      <c r="V808" s="260"/>
      <c r="W808" s="291"/>
      <c r="X808" s="45"/>
      <c r="Y808" s="613"/>
      <c r="Z808" s="614"/>
      <c r="AA808" s="260"/>
      <c r="AB808" s="291"/>
      <c r="AC808" s="45"/>
      <c r="AD808" s="613"/>
      <c r="AE808" s="614"/>
      <c r="AF808" s="260"/>
      <c r="AG808" s="291"/>
      <c r="AH808" s="45"/>
      <c r="AI808" s="613"/>
      <c r="AJ808" s="614"/>
      <c r="AK808" s="260"/>
      <c r="AL808" s="291"/>
      <c r="AM808" s="45"/>
      <c r="AN808" s="613"/>
      <c r="AO808" s="614"/>
      <c r="AP808" s="260"/>
      <c r="AQ808" s="291"/>
      <c r="AR808" s="45"/>
      <c r="AS808" s="290"/>
      <c r="AT808" s="260"/>
      <c r="AU808" s="260"/>
      <c r="AV808" s="291"/>
      <c r="AW808" s="45"/>
      <c r="AX808" s="290"/>
      <c r="AY808" s="260"/>
      <c r="AZ808" s="260"/>
      <c r="BA808" s="291"/>
      <c r="BB808" s="45"/>
      <c r="BC808" s="290"/>
      <c r="BD808" s="260"/>
      <c r="BE808" s="260"/>
      <c r="BF808" s="291"/>
      <c r="BG808" s="45"/>
      <c r="BH808" s="290"/>
      <c r="BI808" s="260"/>
      <c r="BJ808" s="260"/>
      <c r="BK808" s="291"/>
      <c r="BL808" s="45"/>
      <c r="BM808" s="290"/>
      <c r="BN808" s="260"/>
      <c r="BO808" s="260"/>
      <c r="BP808" s="291"/>
      <c r="BQ808" s="45"/>
      <c r="BR808" s="45"/>
      <c r="BS808" s="45"/>
      <c r="BT808" s="45"/>
      <c r="CG808" s="1024">
        <f t="shared" ref="CF808:CN810" si="1175">SUM(CG765:CG804)</f>
        <v>3761.9819999999995</v>
      </c>
      <c r="CH808" s="1024">
        <f t="shared" si="1175"/>
        <v>3323.5439999999999</v>
      </c>
      <c r="CI808" s="1024">
        <f t="shared" si="1175"/>
        <v>3016.944</v>
      </c>
      <c r="CJ808" s="1024">
        <f t="shared" si="1175"/>
        <v>2578.5059999999999</v>
      </c>
      <c r="CK808" s="1024">
        <f t="shared" si="1175"/>
        <v>1073.0999999999999</v>
      </c>
      <c r="CL808" s="1024">
        <f t="shared" si="1175"/>
        <v>1073.0999999999999</v>
      </c>
      <c r="CM808" s="1024">
        <f t="shared" si="1175"/>
        <v>1073.0999999999999</v>
      </c>
      <c r="CN808" s="1024">
        <f t="shared" si="1175"/>
        <v>1073.0999999999999</v>
      </c>
      <c r="CO808" s="45"/>
      <c r="CP808" s="45"/>
      <c r="CQ808" s="45"/>
      <c r="CT808" s="821"/>
      <c r="CU808" s="45"/>
      <c r="CV808" s="45"/>
      <c r="CW808" s="45"/>
      <c r="CX808" s="45"/>
      <c r="CY808" s="45"/>
    </row>
    <row r="809" spans="1:119">
      <c r="A809" s="45"/>
      <c r="B809" s="383"/>
      <c r="C809" s="389" t="s">
        <v>318</v>
      </c>
      <c r="D809" s="383"/>
      <c r="E809" s="613"/>
      <c r="F809" s="614"/>
      <c r="G809" s="614"/>
      <c r="H809" s="615"/>
      <c r="I809" s="383"/>
      <c r="J809" s="613"/>
      <c r="K809" s="614"/>
      <c r="L809" s="614"/>
      <c r="M809" s="615"/>
      <c r="N809" s="383"/>
      <c r="O809" s="613"/>
      <c r="P809" s="614"/>
      <c r="Q809" s="260"/>
      <c r="R809" s="291"/>
      <c r="S809" s="45"/>
      <c r="T809" s="613"/>
      <c r="U809" s="614"/>
      <c r="V809" s="260"/>
      <c r="W809" s="291"/>
      <c r="X809" s="45"/>
      <c r="Y809" s="613"/>
      <c r="Z809" s="614"/>
      <c r="AA809" s="260"/>
      <c r="AB809" s="291"/>
      <c r="AC809" s="45"/>
      <c r="AD809" s="613"/>
      <c r="AE809" s="614"/>
      <c r="AF809" s="260"/>
      <c r="AG809" s="291"/>
      <c r="AH809" s="45"/>
      <c r="AI809" s="613"/>
      <c r="AJ809" s="614"/>
      <c r="AK809" s="260"/>
      <c r="AL809" s="291"/>
      <c r="AM809" s="45"/>
      <c r="AN809" s="613"/>
      <c r="AO809" s="614"/>
      <c r="AP809" s="260"/>
      <c r="AQ809" s="291"/>
      <c r="AR809" s="45"/>
      <c r="AS809" s="290"/>
      <c r="AT809" s="260"/>
      <c r="AU809" s="260"/>
      <c r="AV809" s="291"/>
      <c r="AW809" s="45"/>
      <c r="AX809" s="290"/>
      <c r="AY809" s="260"/>
      <c r="AZ809" s="260"/>
      <c r="BA809" s="291"/>
      <c r="BB809" s="45"/>
      <c r="BC809" s="290"/>
      <c r="BD809" s="260"/>
      <c r="BE809" s="260"/>
      <c r="BF809" s="291"/>
      <c r="BG809" s="45"/>
      <c r="BH809" s="290"/>
      <c r="BI809" s="260"/>
      <c r="BJ809" s="260"/>
      <c r="BK809" s="291"/>
      <c r="BL809" s="45"/>
      <c r="BM809" s="290"/>
      <c r="BN809" s="260"/>
      <c r="BO809" s="260"/>
      <c r="BP809" s="291"/>
      <c r="BQ809" s="45"/>
      <c r="BR809" s="45"/>
      <c r="BS809" s="45"/>
      <c r="BT809" s="45"/>
      <c r="CG809" s="497">
        <f>CF811</f>
        <v>0.35</v>
      </c>
      <c r="CH809" s="497">
        <f t="shared" ref="CD809:CN811" si="1176">CG809</f>
        <v>0.35</v>
      </c>
      <c r="CI809" s="497">
        <f t="shared" si="1176"/>
        <v>0.35</v>
      </c>
      <c r="CJ809" s="497">
        <f t="shared" si="1176"/>
        <v>0.35</v>
      </c>
      <c r="CK809" s="497">
        <f t="shared" si="1176"/>
        <v>0.35</v>
      </c>
      <c r="CL809" s="497">
        <f t="shared" si="1176"/>
        <v>0.35</v>
      </c>
      <c r="CM809" s="497">
        <f t="shared" si="1176"/>
        <v>0.35</v>
      </c>
      <c r="CN809" s="497">
        <f t="shared" si="1176"/>
        <v>0.35</v>
      </c>
      <c r="CO809" s="45"/>
      <c r="CP809" s="45"/>
      <c r="CQ809" s="45"/>
      <c r="CT809" s="821"/>
      <c r="CU809" s="45"/>
      <c r="CV809" s="45"/>
      <c r="CW809" s="45"/>
      <c r="CX809" s="45"/>
      <c r="CY809" s="45"/>
    </row>
    <row r="810" spans="1:119">
      <c r="A810" s="45"/>
      <c r="B810" s="45"/>
      <c r="C810" s="226" t="s">
        <v>421</v>
      </c>
      <c r="D810" s="45"/>
      <c r="E810" s="290"/>
      <c r="F810" s="260"/>
      <c r="G810" s="260"/>
      <c r="H810" s="291"/>
      <c r="I810" s="45"/>
      <c r="J810" s="290"/>
      <c r="K810" s="260"/>
      <c r="L810" s="260"/>
      <c r="M810" s="291"/>
      <c r="N810" s="45"/>
      <c r="O810" s="290"/>
      <c r="P810" s="260"/>
      <c r="Q810" s="260"/>
      <c r="R810" s="291"/>
      <c r="S810" s="45"/>
      <c r="T810" s="290"/>
      <c r="U810" s="260"/>
      <c r="V810" s="260"/>
      <c r="W810" s="291"/>
      <c r="X810" s="45"/>
      <c r="Y810" s="290"/>
      <c r="Z810" s="260"/>
      <c r="AA810" s="260"/>
      <c r="AB810" s="291"/>
      <c r="AC810" s="45"/>
      <c r="AD810" s="290"/>
      <c r="AE810" s="260"/>
      <c r="AF810" s="260"/>
      <c r="AG810" s="291"/>
      <c r="AH810" s="45"/>
      <c r="AI810" s="290"/>
      <c r="AJ810" s="260"/>
      <c r="AK810" s="260"/>
      <c r="AL810" s="291"/>
      <c r="AM810" s="45"/>
      <c r="AN810" s="290"/>
      <c r="AO810" s="260"/>
      <c r="AP810" s="260"/>
      <c r="AQ810" s="291"/>
      <c r="AR810" s="45"/>
      <c r="AS810" s="290"/>
      <c r="AT810" s="260"/>
      <c r="AU810" s="260"/>
      <c r="AV810" s="291"/>
      <c r="AW810" s="45"/>
      <c r="AX810" s="290">
        <f>(((AV848-AS848)*AX815)/4)-((AV846-AS846)*(AX815-1%)/4)</f>
        <v>-3.6150000000000002</v>
      </c>
      <c r="AY810" s="260">
        <f ca="1">(((AX848-AT848)*AY815)/4)-((AX846-AT846)*(AY815-1%)/4)</f>
        <v>-5.6405479378999361</v>
      </c>
      <c r="AZ810" s="260">
        <f ca="1">(((AY848-AU848)*AZ815)/4)-((AY846-AU846)*(AZ815-1%)/4)</f>
        <v>-1.7288018563423242</v>
      </c>
      <c r="BA810" s="291">
        <f ca="1">(((AZ848-AV848)*BA815)/4)-((AZ846-AV846)*(BA815-1%)/4)</f>
        <v>-1.4090162312022336</v>
      </c>
      <c r="BB810" s="45">
        <f ca="1">+SUM(AX810:BA810)</f>
        <v>-12.393366025444495</v>
      </c>
      <c r="BC810" s="290">
        <f ca="1">(((BA848-AX848)*BC815)/4)-((BA846-AX846)*(BC815-1%)/4)</f>
        <v>-0.87269133938874865</v>
      </c>
      <c r="BD810" s="260">
        <f ca="1">(((BC848-AY848)*BD815)/4)-((BC846-AY846)*(BD815-1%)/4)</f>
        <v>-1.9113578839872758</v>
      </c>
      <c r="BE810" s="260">
        <f ca="1">(((BD848-AZ848)*BE815)/4)-((BD846-AZ846)*(BE815-1%)/4)</f>
        <v>-1.4600502574959051</v>
      </c>
      <c r="BF810" s="291">
        <f ca="1">(((BE848-BA848)*BF815)/4)-((BE846-BA846)*(BF815-1%)/4)</f>
        <v>-1.8898352931761628</v>
      </c>
      <c r="BG810" s="45">
        <f ca="1">+SUM(BC810:BF810)</f>
        <v>-6.1339347740480923</v>
      </c>
      <c r="BH810" s="290">
        <f ca="1">(((BF848-BC848)*BH815)/4)-((BF846-BC846)*(BH815-1%)/4)</f>
        <v>0.50011692336539282</v>
      </c>
      <c r="BI810" s="260">
        <f ca="1">(((BH848-BD848)*BI815)/4)-((BH846-BD846)*(BI815-1%)/4)</f>
        <v>2.6232589122918699</v>
      </c>
      <c r="BJ810" s="260">
        <f ca="1">(((BI848-BE848)*BJ815)/4)-((BI846-BE846)*(BJ815-1%)/4)</f>
        <v>3.2316658140699532</v>
      </c>
      <c r="BK810" s="291">
        <f ca="1">(((BJ848-BF848)*BK815)/4)-((BJ846-BF846)*(BK815-1%)/4)</f>
        <v>2.419977751256976</v>
      </c>
      <c r="BL810" s="45">
        <f ca="1">+SUM(BH810:BK810)</f>
        <v>8.775019400984192</v>
      </c>
      <c r="BM810" s="290">
        <f ca="1">(((BK848-BH848)*BM815)/4)-((BK846-BH846)*(BM815-1%)/4)</f>
        <v>2.6445957925087891</v>
      </c>
      <c r="BN810" s="260">
        <f ca="1">(((BM848-BI848)*BN815)/4)-((BM846-BI846)*(BN815-1%)/4)</f>
        <v>5.9185956734621969</v>
      </c>
      <c r="BO810" s="260">
        <f ca="1">(((BN848-BJ848)*BO815)/4)-((BN846-BJ846)*(BO815-1%)/4)</f>
        <v>4.8712771247554034</v>
      </c>
      <c r="BP810" s="291">
        <f ca="1">(((BO848-BK848)*BP815)/4)-((BO846-BK846)*(BP815-1%)/4)</f>
        <v>1.3928545796182865</v>
      </c>
      <c r="BQ810" s="45">
        <f ca="1">+SUM(BM810:BP810)</f>
        <v>14.827323170344677</v>
      </c>
      <c r="BR810" s="45"/>
      <c r="BS810" s="45"/>
      <c r="BT810" s="45"/>
      <c r="BX810" s="806"/>
      <c r="BZ810" s="535">
        <f>+AC562</f>
        <v>4237.2119999999995</v>
      </c>
      <c r="CA810" s="535">
        <f>+AH562</f>
        <v>4237.2119999999995</v>
      </c>
      <c r="CB810" s="535"/>
      <c r="CC810" s="535">
        <f>+AM562</f>
        <v>4237.2119999999995</v>
      </c>
      <c r="CD810" s="535">
        <f>+AR562</f>
        <v>4505.4869999999992</v>
      </c>
      <c r="CE810" s="1024">
        <f>SUM(CE767:CE806)</f>
        <v>5126.351999999999</v>
      </c>
      <c r="CF810" s="1024">
        <f t="shared" si="1175"/>
        <v>4654.1880000000001</v>
      </c>
      <c r="CG810" s="1033">
        <f>+CF812*1.015</f>
        <v>24.050602624999993</v>
      </c>
      <c r="CH810" s="1033">
        <f t="shared" ref="CE810:CN812" si="1177">+CG810*1.015</f>
        <v>24.41136166437499</v>
      </c>
      <c r="CI810" s="1033">
        <f t="shared" si="1177"/>
        <v>24.777532089340614</v>
      </c>
      <c r="CJ810" s="1033">
        <f t="shared" si="1177"/>
        <v>25.149195070680722</v>
      </c>
      <c r="CK810" s="1033">
        <f t="shared" si="1177"/>
        <v>25.52643299674093</v>
      </c>
      <c r="CL810" s="1033">
        <f t="shared" si="1177"/>
        <v>25.909329491692041</v>
      </c>
      <c r="CM810" s="1033">
        <f t="shared" si="1177"/>
        <v>26.297969434067419</v>
      </c>
      <c r="CN810" s="1033">
        <f t="shared" si="1177"/>
        <v>26.692438975578426</v>
      </c>
      <c r="CO810" s="1033"/>
      <c r="CP810" s="383"/>
      <c r="CQ810" s="45"/>
      <c r="CT810" s="821"/>
      <c r="CU810" s="45"/>
      <c r="CV810" s="45"/>
      <c r="CW810" s="45"/>
      <c r="CX810" s="45"/>
      <c r="CY810" s="45"/>
      <c r="CZ810" s="583"/>
      <c r="DA810" s="583"/>
      <c r="DB810" s="583"/>
      <c r="DC810" s="583"/>
      <c r="DD810" s="583"/>
      <c r="DE810" s="583"/>
      <c r="DF810" s="583"/>
      <c r="DG810" s="583"/>
      <c r="DH810" s="583"/>
      <c r="DI810" s="583"/>
      <c r="DJ810" s="583"/>
      <c r="DK810" s="583"/>
      <c r="DL810" s="583"/>
      <c r="DM810" s="583"/>
      <c r="DN810" s="583"/>
      <c r="DO810" s="583"/>
    </row>
    <row r="811" spans="1:119">
      <c r="A811" s="383"/>
      <c r="B811" s="45"/>
      <c r="C811" s="391" t="s">
        <v>224</v>
      </c>
      <c r="D811" s="45"/>
      <c r="E811" s="290"/>
      <c r="F811" s="260"/>
      <c r="G811" s="260"/>
      <c r="H811" s="291"/>
      <c r="I811" s="45"/>
      <c r="J811" s="290"/>
      <c r="K811" s="260"/>
      <c r="L811" s="260"/>
      <c r="M811" s="291"/>
      <c r="N811" s="45"/>
      <c r="O811" s="290"/>
      <c r="P811" s="260"/>
      <c r="Q811" s="260"/>
      <c r="R811" s="291"/>
      <c r="S811" s="45"/>
      <c r="T811" s="290"/>
      <c r="U811" s="260"/>
      <c r="V811" s="260"/>
      <c r="W811" s="291"/>
      <c r="X811" s="45"/>
      <c r="Y811" s="290"/>
      <c r="Z811" s="260"/>
      <c r="AA811" s="260"/>
      <c r="AB811" s="291"/>
      <c r="AC811" s="45"/>
      <c r="AD811" s="290"/>
      <c r="AE811" s="260"/>
      <c r="AF811" s="260"/>
      <c r="AG811" s="291"/>
      <c r="AH811" s="45"/>
      <c r="AI811" s="290"/>
      <c r="AJ811" s="260"/>
      <c r="AK811" s="260"/>
      <c r="AL811" s="291"/>
      <c r="AM811" s="45"/>
      <c r="AN811" s="290"/>
      <c r="AO811" s="260"/>
      <c r="AP811" s="260"/>
      <c r="AQ811" s="291"/>
      <c r="AR811" s="45"/>
      <c r="AS811" s="290"/>
      <c r="AT811" s="260"/>
      <c r="AU811" s="260"/>
      <c r="AV811" s="291"/>
      <c r="AW811" s="45"/>
      <c r="AX811" s="290">
        <f>Debt!CB99</f>
        <v>0</v>
      </c>
      <c r="AY811" s="260">
        <f>Debt!CC99</f>
        <v>0</v>
      </c>
      <c r="AZ811" s="260">
        <f>Debt!CD99</f>
        <v>0</v>
      </c>
      <c r="BA811" s="291">
        <f>Debt!CE99</f>
        <v>2.8333333333333335</v>
      </c>
      <c r="BB811" s="45">
        <f>Debt!CF99</f>
        <v>2.8333333333333335</v>
      </c>
      <c r="BC811" s="290">
        <f>Debt!CG99</f>
        <v>4.25</v>
      </c>
      <c r="BD811" s="260">
        <f>Debt!CH99</f>
        <v>4.25</v>
      </c>
      <c r="BE811" s="260">
        <f>Debt!CI99</f>
        <v>4.25</v>
      </c>
      <c r="BF811" s="291">
        <f>Debt!CJ99</f>
        <v>1.4166666666666667</v>
      </c>
      <c r="BG811" s="45">
        <f>Debt!CK99</f>
        <v>14.166666666666666</v>
      </c>
      <c r="BH811" s="290">
        <f>Debt!CL99</f>
        <v>0</v>
      </c>
      <c r="BI811" s="260">
        <f>Debt!CM99</f>
        <v>0</v>
      </c>
      <c r="BJ811" s="260">
        <f>Debt!CN99</f>
        <v>0</v>
      </c>
      <c r="BK811" s="291">
        <f>Debt!CO99</f>
        <v>0</v>
      </c>
      <c r="BL811" s="45">
        <f>Debt!CP99</f>
        <v>0</v>
      </c>
      <c r="BM811" s="290">
        <f>Debt!CQ99</f>
        <v>0</v>
      </c>
      <c r="BN811" s="260">
        <f>Debt!CR99</f>
        <v>0</v>
      </c>
      <c r="BO811" s="260">
        <f>Debt!CS99</f>
        <v>0</v>
      </c>
      <c r="BP811" s="291">
        <f>Debt!CT99</f>
        <v>0</v>
      </c>
      <c r="BQ811" s="45">
        <f>Debt!CU99</f>
        <v>0</v>
      </c>
      <c r="BR811" s="45"/>
      <c r="BS811" s="45"/>
      <c r="BT811" s="383"/>
      <c r="BX811" s="806"/>
      <c r="BZ811" s="1032">
        <f>I561</f>
        <v>0.35</v>
      </c>
      <c r="CA811" s="497">
        <f t="shared" ref="CA811" si="1178">BZ811</f>
        <v>0.35</v>
      </c>
      <c r="CB811" s="497"/>
      <c r="CC811" s="497">
        <f>CA811</f>
        <v>0.35</v>
      </c>
      <c r="CD811" s="497">
        <f t="shared" si="1176"/>
        <v>0.35</v>
      </c>
      <c r="CE811" s="497">
        <f t="shared" si="1176"/>
        <v>0.35</v>
      </c>
      <c r="CF811" s="497">
        <f>CE811</f>
        <v>0.35</v>
      </c>
      <c r="CG811" s="1036">
        <f t="shared" ref="CE811:CN813" si="1179">+CG810*CG808/1000</f>
        <v>90.477934164402711</v>
      </c>
      <c r="CH811" s="1036">
        <f t="shared" si="1179"/>
        <v>81.132234591463515</v>
      </c>
      <c r="CI811" s="1036">
        <f t="shared" si="1179"/>
        <v>74.752426771743629</v>
      </c>
      <c r="CJ811" s="1036">
        <f t="shared" si="1179"/>
        <v>64.847350384920659</v>
      </c>
      <c r="CK811" s="1036">
        <f t="shared" si="1179"/>
        <v>27.392415248802688</v>
      </c>
      <c r="CL811" s="1036">
        <f t="shared" si="1179"/>
        <v>27.803301477534724</v>
      </c>
      <c r="CM811" s="1036">
        <f t="shared" si="1179"/>
        <v>28.220350999697743</v>
      </c>
      <c r="CN811" s="1036">
        <f t="shared" si="1179"/>
        <v>28.643656264693206</v>
      </c>
      <c r="CO811" s="383"/>
      <c r="CP811" s="383"/>
      <c r="CQ811" s="383"/>
      <c r="CT811" s="833"/>
      <c r="CU811" s="383"/>
      <c r="CV811" s="383"/>
      <c r="CW811" s="383"/>
      <c r="CX811" s="383"/>
      <c r="CY811" s="383"/>
      <c r="CZ811" s="383"/>
      <c r="DA811" s="383"/>
      <c r="DB811" s="383"/>
      <c r="DC811" s="383"/>
      <c r="DD811" s="383"/>
      <c r="DE811" s="383"/>
      <c r="DF811" s="383"/>
      <c r="DG811" s="383"/>
      <c r="DH811" s="383"/>
      <c r="DI811" s="383"/>
      <c r="DJ811" s="383"/>
      <c r="DK811" s="383"/>
      <c r="DL811" s="383"/>
      <c r="DM811" s="383"/>
      <c r="DN811" s="383"/>
    </row>
    <row r="812" spans="1:119">
      <c r="A812" s="383"/>
      <c r="B812" s="45"/>
      <c r="C812" s="391" t="s">
        <v>225</v>
      </c>
      <c r="D812" s="45"/>
      <c r="E812" s="290"/>
      <c r="F812" s="260"/>
      <c r="G812" s="260"/>
      <c r="H812" s="291"/>
      <c r="I812" s="45"/>
      <c r="J812" s="290"/>
      <c r="K812" s="260"/>
      <c r="L812" s="260"/>
      <c r="M812" s="291"/>
      <c r="N812" s="45"/>
      <c r="O812" s="290"/>
      <c r="P812" s="260"/>
      <c r="Q812" s="260"/>
      <c r="R812" s="291"/>
      <c r="S812" s="45"/>
      <c r="T812" s="290"/>
      <c r="U812" s="260"/>
      <c r="V812" s="260"/>
      <c r="W812" s="291"/>
      <c r="X812" s="45"/>
      <c r="Y812" s="290"/>
      <c r="Z812" s="260"/>
      <c r="AA812" s="260"/>
      <c r="AB812" s="291"/>
      <c r="AC812" s="45"/>
      <c r="AD812" s="290"/>
      <c r="AE812" s="260"/>
      <c r="AF812" s="260"/>
      <c r="AG812" s="291"/>
      <c r="AH812" s="45"/>
      <c r="AI812" s="290"/>
      <c r="AJ812" s="260"/>
      <c r="AK812" s="260"/>
      <c r="AL812" s="291"/>
      <c r="AM812" s="45"/>
      <c r="AN812" s="290"/>
      <c r="AO812" s="260"/>
      <c r="AP812" s="260"/>
      <c r="AQ812" s="291"/>
      <c r="AR812" s="45"/>
      <c r="AS812" s="290"/>
      <c r="AT812" s="260"/>
      <c r="AU812" s="260"/>
      <c r="AV812" s="291"/>
      <c r="AW812" s="45"/>
      <c r="AX812" s="290">
        <f>Debt!CB90</f>
        <v>0</v>
      </c>
      <c r="AY812" s="260">
        <f>Debt!CC90</f>
        <v>0</v>
      </c>
      <c r="AZ812" s="260">
        <f>Debt!CD90</f>
        <v>0</v>
      </c>
      <c r="BA812" s="291">
        <f>Debt!CE90</f>
        <v>-10.97</v>
      </c>
      <c r="BB812" s="45">
        <f>Debt!CF90</f>
        <v>-10.97</v>
      </c>
      <c r="BC812" s="290">
        <f>Debt!CG90</f>
        <v>-11.18665</v>
      </c>
      <c r="BD812" s="260">
        <f>Debt!CH90</f>
        <v>-11.599325</v>
      </c>
      <c r="BE812" s="260">
        <f>Debt!CI90</f>
        <v>-12.213200000000001</v>
      </c>
      <c r="BF812" s="291">
        <f>Debt!CJ90</f>
        <v>-1.2431999999999999</v>
      </c>
      <c r="BG812" s="45">
        <f>Debt!CK90</f>
        <v>-36.242375000000003</v>
      </c>
      <c r="BH812" s="290">
        <f>Debt!CL90</f>
        <v>-1.0265500000000001</v>
      </c>
      <c r="BI812" s="260">
        <f>Debt!CM90</f>
        <v>-0.61387500000000006</v>
      </c>
      <c r="BJ812" s="260">
        <f>Debt!CN90</f>
        <v>-1.6666666666666666E-2</v>
      </c>
      <c r="BK812" s="291">
        <f>Debt!CO90</f>
        <v>-7.8500000000000005</v>
      </c>
      <c r="BL812" s="45">
        <f>Debt!CP90</f>
        <v>-9.5070916666666658</v>
      </c>
      <c r="BM812" s="290">
        <f>Debt!CQ90</f>
        <v>-15.225000000000001</v>
      </c>
      <c r="BN812" s="260">
        <f>Debt!CR90</f>
        <v>-15.225000000000001</v>
      </c>
      <c r="BO812" s="260">
        <f>Debt!CS90</f>
        <v>-16.151851666666669</v>
      </c>
      <c r="BP812" s="291">
        <f>Debt!CT90</f>
        <v>-15.705555</v>
      </c>
      <c r="BQ812" s="45">
        <f>Debt!CU90</f>
        <v>-62.307406666666665</v>
      </c>
      <c r="BR812" s="45"/>
      <c r="BS812" s="45"/>
      <c r="BT812" s="383"/>
      <c r="BX812" s="806"/>
      <c r="BZ812" s="1033">
        <f>+AC799</f>
        <v>23</v>
      </c>
      <c r="CA812" s="1033">
        <f>+AH799</f>
        <v>23</v>
      </c>
      <c r="CB812" s="1033"/>
      <c r="CC812" s="1033">
        <f>+AM799</f>
        <v>23</v>
      </c>
      <c r="CD812" s="1033">
        <f>+AR799</f>
        <v>23</v>
      </c>
      <c r="CE812" s="1033">
        <f t="shared" si="1177"/>
        <v>23.344999999999999</v>
      </c>
      <c r="CF812" s="1033">
        <f t="shared" si="1177"/>
        <v>23.695174999999995</v>
      </c>
      <c r="CG812" s="383"/>
      <c r="CH812" s="383"/>
      <c r="CI812" s="383"/>
      <c r="CJ812" s="383"/>
      <c r="CK812" s="383"/>
      <c r="CL812" s="45"/>
      <c r="CM812" s="45"/>
      <c r="CN812" s="45"/>
      <c r="CO812" s="45"/>
      <c r="CP812" s="45"/>
      <c r="CQ812" s="383"/>
      <c r="CR812" s="383"/>
      <c r="CS812" s="383"/>
      <c r="CT812" s="833"/>
      <c r="CU812" s="383"/>
      <c r="CV812" s="383"/>
      <c r="CW812" s="383"/>
      <c r="CX812" s="383"/>
      <c r="CY812" s="383"/>
      <c r="CZ812" s="383"/>
      <c r="DA812" s="383"/>
      <c r="DB812" s="383"/>
      <c r="DC812" s="383"/>
      <c r="DD812" s="383"/>
      <c r="DE812" s="383"/>
      <c r="DF812" s="383"/>
      <c r="DG812" s="383"/>
      <c r="DH812" s="383"/>
      <c r="DI812" s="383"/>
      <c r="DJ812" s="383"/>
      <c r="DK812" s="383"/>
      <c r="DL812" s="383"/>
      <c r="DM812" s="383"/>
      <c r="DN812" s="383"/>
    </row>
    <row r="813" spans="1:119">
      <c r="A813" s="45"/>
      <c r="B813" s="228"/>
      <c r="C813" s="389" t="s">
        <v>232</v>
      </c>
      <c r="D813" s="228"/>
      <c r="E813" s="292"/>
      <c r="F813" s="261"/>
      <c r="G813" s="261"/>
      <c r="H813" s="293"/>
      <c r="I813" s="228"/>
      <c r="J813" s="292"/>
      <c r="K813" s="261"/>
      <c r="L813" s="261"/>
      <c r="M813" s="293"/>
      <c r="N813" s="228"/>
      <c r="O813" s="292"/>
      <c r="P813" s="261"/>
      <c r="Q813" s="261"/>
      <c r="R813" s="293"/>
      <c r="S813" s="228"/>
      <c r="T813" s="292"/>
      <c r="U813" s="261"/>
      <c r="V813" s="261"/>
      <c r="W813" s="293"/>
      <c r="X813" s="228"/>
      <c r="Y813" s="292"/>
      <c r="Z813" s="261"/>
      <c r="AA813" s="261"/>
      <c r="AB813" s="293"/>
      <c r="AC813" s="228"/>
      <c r="AD813" s="292"/>
      <c r="AE813" s="261"/>
      <c r="AF813" s="261"/>
      <c r="AG813" s="293"/>
      <c r="AH813" s="228"/>
      <c r="AI813" s="292"/>
      <c r="AJ813" s="261"/>
      <c r="AK813" s="261"/>
      <c r="AL813" s="293"/>
      <c r="AM813" s="228"/>
      <c r="AN813" s="292"/>
      <c r="AO813" s="261"/>
      <c r="AP813" s="261"/>
      <c r="AQ813" s="293"/>
      <c r="AR813" s="228"/>
      <c r="AS813" s="292"/>
      <c r="AT813" s="261"/>
      <c r="AU813" s="261"/>
      <c r="AV813" s="293"/>
      <c r="AW813" s="228"/>
      <c r="AX813" s="292">
        <f t="shared" ref="AX813:BB813" si="1180">SUM(AX810:AX812)</f>
        <v>-3.6150000000000002</v>
      </c>
      <c r="AY813" s="261">
        <f t="shared" ca="1" si="1180"/>
        <v>-5.6405479378999361</v>
      </c>
      <c r="AZ813" s="261">
        <f t="shared" ca="1" si="1180"/>
        <v>-1.7288018563423242</v>
      </c>
      <c r="BA813" s="293">
        <f t="shared" ca="1" si="1180"/>
        <v>-9.5456828978689003</v>
      </c>
      <c r="BB813" s="228">
        <f t="shared" ca="1" si="1180"/>
        <v>-20.530032692111163</v>
      </c>
      <c r="BC813" s="292">
        <f t="shared" ref="BC813:BL813" ca="1" si="1181">SUM(BC810:BC812)</f>
        <v>-7.809341339388749</v>
      </c>
      <c r="BD813" s="261">
        <f t="shared" ca="1" si="1181"/>
        <v>-9.2606828839872755</v>
      </c>
      <c r="BE813" s="261">
        <f t="shared" ca="1" si="1181"/>
        <v>-9.4232502574959049</v>
      </c>
      <c r="BF813" s="293">
        <f t="shared" ca="1" si="1181"/>
        <v>-1.716368626509496</v>
      </c>
      <c r="BG813" s="228">
        <f t="shared" ca="1" si="1181"/>
        <v>-28.209643107381428</v>
      </c>
      <c r="BH813" s="292">
        <f t="shared" ca="1" si="1181"/>
        <v>-0.52643307663460726</v>
      </c>
      <c r="BI813" s="261">
        <f t="shared" ca="1" si="1181"/>
        <v>2.0093839122918697</v>
      </c>
      <c r="BJ813" s="261">
        <f t="shared" ca="1" si="1181"/>
        <v>3.2149991474032866</v>
      </c>
      <c r="BK813" s="293">
        <f t="shared" ca="1" si="1181"/>
        <v>-5.4300222487430245</v>
      </c>
      <c r="BL813" s="228">
        <f t="shared" ca="1" si="1181"/>
        <v>-0.73207226568247386</v>
      </c>
      <c r="BM813" s="292">
        <f t="shared" ref="BM813:BQ813" ca="1" si="1182">SUM(BM810:BM812)</f>
        <v>-12.580404207491213</v>
      </c>
      <c r="BN813" s="261">
        <f t="shared" ca="1" si="1182"/>
        <v>-9.3064043265378054</v>
      </c>
      <c r="BO813" s="261">
        <f t="shared" ca="1" si="1182"/>
        <v>-11.280574541911266</v>
      </c>
      <c r="BP813" s="293">
        <f t="shared" ca="1" si="1182"/>
        <v>-14.312700420381713</v>
      </c>
      <c r="BQ813" s="228">
        <f t="shared" ca="1" si="1182"/>
        <v>-47.480083496321988</v>
      </c>
      <c r="BR813" s="45"/>
      <c r="BS813" s="45"/>
      <c r="BT813" s="45"/>
      <c r="BX813" s="156"/>
      <c r="BY813" s="34"/>
      <c r="BZ813" s="989">
        <f>+AC798</f>
        <v>0</v>
      </c>
      <c r="CA813" s="989">
        <f>+AH798</f>
        <v>0</v>
      </c>
      <c r="CB813" s="989"/>
      <c r="CC813" s="989">
        <f>+AM798</f>
        <v>0</v>
      </c>
      <c r="CD813" s="989">
        <f>+AR798</f>
        <v>0</v>
      </c>
      <c r="CE813" s="1036">
        <f t="shared" si="1179"/>
        <v>119.67468743999997</v>
      </c>
      <c r="CF813" s="1036">
        <f t="shared" si="1179"/>
        <v>110.28179914289998</v>
      </c>
      <c r="CG813" s="45"/>
      <c r="CH813" s="45"/>
      <c r="CI813" s="45"/>
      <c r="CJ813" s="45"/>
      <c r="CK813" s="45"/>
      <c r="CL813" s="45"/>
      <c r="CM813" s="45"/>
      <c r="CN813" s="45"/>
      <c r="CO813" s="45"/>
      <c r="CP813" s="45"/>
      <c r="CQ813" s="45"/>
      <c r="CR813" s="45"/>
      <c r="CS813" s="45"/>
      <c r="CT813" s="821"/>
      <c r="CU813" s="45"/>
      <c r="CV813" s="45"/>
      <c r="CW813" s="45"/>
      <c r="CX813" s="45"/>
      <c r="CY813" s="45"/>
      <c r="CZ813" s="45"/>
      <c r="DA813" s="45"/>
      <c r="DB813" s="45"/>
      <c r="DC813" s="45"/>
      <c r="DD813" s="45"/>
      <c r="DE813" s="45"/>
      <c r="DF813" s="45"/>
      <c r="DG813" s="45"/>
      <c r="DH813" s="45"/>
      <c r="DI813" s="45"/>
      <c r="DJ813" s="45"/>
      <c r="DK813" s="45"/>
      <c r="DL813" s="45"/>
      <c r="DM813" s="45"/>
      <c r="DN813" s="45"/>
    </row>
    <row r="814" spans="1:119">
      <c r="A814" s="45"/>
      <c r="B814" s="383"/>
      <c r="C814" s="28"/>
      <c r="D814" s="383"/>
      <c r="E814" s="613"/>
      <c r="F814" s="614"/>
      <c r="G814" s="614"/>
      <c r="H814" s="615"/>
      <c r="I814" s="383"/>
      <c r="J814" s="613"/>
      <c r="K814" s="614"/>
      <c r="L814" s="614"/>
      <c r="M814" s="615"/>
      <c r="N814" s="383"/>
      <c r="O814" s="613"/>
      <c r="P814" s="614"/>
      <c r="Q814" s="614"/>
      <c r="R814" s="615"/>
      <c r="S814" s="383"/>
      <c r="T814" s="613"/>
      <c r="U814" s="614"/>
      <c r="V814" s="614"/>
      <c r="W814" s="615"/>
      <c r="X814" s="383"/>
      <c r="Y814" s="613"/>
      <c r="Z814" s="614"/>
      <c r="AA814" s="614"/>
      <c r="AB814" s="615"/>
      <c r="AC814" s="383"/>
      <c r="AD814" s="613"/>
      <c r="AE814" s="614"/>
      <c r="AF814" s="614"/>
      <c r="AG814" s="615"/>
      <c r="AH814" s="383"/>
      <c r="AI814" s="613"/>
      <c r="AJ814" s="614"/>
      <c r="AK814" s="614"/>
      <c r="AL814" s="615"/>
      <c r="AM814" s="383"/>
      <c r="AN814" s="613"/>
      <c r="AO814" s="614"/>
      <c r="AP814" s="614"/>
      <c r="AQ814" s="615"/>
      <c r="AR814" s="383"/>
      <c r="AS814" s="613"/>
      <c r="AT814" s="614"/>
      <c r="AU814" s="614"/>
      <c r="AV814" s="615"/>
      <c r="AW814" s="383"/>
      <c r="AX814" s="613"/>
      <c r="AY814" s="614"/>
      <c r="AZ814" s="614"/>
      <c r="BA814" s="615"/>
      <c r="BB814" s="383"/>
      <c r="BC814" s="613"/>
      <c r="BD814" s="614"/>
      <c r="BE814" s="614"/>
      <c r="BF814" s="615"/>
      <c r="BG814" s="383"/>
      <c r="BH814" s="613"/>
      <c r="BI814" s="614"/>
      <c r="BJ814" s="614"/>
      <c r="BK814" s="615"/>
      <c r="BL814" s="383"/>
      <c r="BM814" s="613"/>
      <c r="BN814" s="614"/>
      <c r="BO814" s="614"/>
      <c r="BP814" s="615"/>
      <c r="BQ814" s="383"/>
      <c r="BR814" s="45"/>
      <c r="BS814" s="45"/>
      <c r="BT814" s="45"/>
      <c r="BU814" s="383"/>
      <c r="BV814" s="383"/>
      <c r="BW814" s="383"/>
      <c r="BX814" s="383"/>
      <c r="BY814" s="383"/>
      <c r="BZ814" s="383"/>
      <c r="CA814" s="383"/>
      <c r="CB814" s="383"/>
      <c r="CC814" s="383"/>
      <c r="CD814" s="383"/>
      <c r="CE814" s="383"/>
      <c r="CF814" s="383"/>
      <c r="CG814" s="45"/>
      <c r="CH814" s="45"/>
      <c r="CI814" s="45"/>
      <c r="CJ814" s="45"/>
      <c r="CK814" s="45"/>
      <c r="CL814" s="1033"/>
      <c r="CM814" s="1033"/>
      <c r="CN814" s="45"/>
      <c r="CO814" s="45"/>
      <c r="CP814" s="45"/>
      <c r="CQ814" s="45"/>
      <c r="CR814" s="45"/>
      <c r="CS814" s="45"/>
      <c r="CT814" s="821"/>
      <c r="CU814" s="45"/>
      <c r="CV814" s="45"/>
      <c r="CW814" s="45"/>
      <c r="CX814" s="45"/>
      <c r="CY814" s="45"/>
      <c r="CZ814" s="45"/>
      <c r="DA814" s="45"/>
      <c r="DB814" s="45"/>
      <c r="DC814" s="45"/>
      <c r="DD814" s="45"/>
      <c r="DE814" s="45"/>
      <c r="DF814" s="45"/>
      <c r="DG814" s="45"/>
      <c r="DH814" s="45"/>
      <c r="DI814" s="45"/>
      <c r="DJ814" s="45"/>
      <c r="DK814" s="45"/>
      <c r="DL814" s="45"/>
      <c r="DM814" s="45"/>
      <c r="DN814" s="45"/>
    </row>
    <row r="815" spans="1:119">
      <c r="A815" s="45"/>
      <c r="B815" s="383"/>
      <c r="C815" s="391" t="s">
        <v>1249</v>
      </c>
      <c r="D815" s="383"/>
      <c r="E815" s="613"/>
      <c r="F815" s="614"/>
      <c r="G815" s="614"/>
      <c r="H815" s="615"/>
      <c r="I815" s="383"/>
      <c r="J815" s="613"/>
      <c r="K815" s="614"/>
      <c r="L815" s="614"/>
      <c r="M815" s="615"/>
      <c r="N815" s="383"/>
      <c r="O815" s="613"/>
      <c r="P815" s="614"/>
      <c r="Q815" s="241"/>
      <c r="R815" s="285"/>
      <c r="S815" s="25"/>
      <c r="T815" s="613"/>
      <c r="U815" s="614"/>
      <c r="V815" s="241"/>
      <c r="W815" s="285"/>
      <c r="X815" s="25"/>
      <c r="Y815" s="613"/>
      <c r="Z815" s="614"/>
      <c r="AA815" s="241"/>
      <c r="AB815" s="285"/>
      <c r="AC815" s="25"/>
      <c r="AD815" s="613"/>
      <c r="AE815" s="614"/>
      <c r="AF815" s="241"/>
      <c r="AG815" s="285"/>
      <c r="AH815" s="25"/>
      <c r="AI815" s="613"/>
      <c r="AJ815" s="614"/>
      <c r="AK815" s="241"/>
      <c r="AL815" s="285"/>
      <c r="AM815" s="25"/>
      <c r="AN815" s="613"/>
      <c r="AO815" s="614"/>
      <c r="AP815" s="241"/>
      <c r="AQ815" s="285"/>
      <c r="AR815" s="25"/>
      <c r="AS815" s="284"/>
      <c r="AT815" s="241"/>
      <c r="AU815" s="241"/>
      <c r="AV815" s="285"/>
      <c r="AW815" s="25"/>
      <c r="AX815" s="284">
        <f>EXC!AX111</f>
        <v>0.02</v>
      </c>
      <c r="AY815" s="241">
        <f>EXC!AY111</f>
        <v>0.02</v>
      </c>
      <c r="AZ815" s="241">
        <f>EXC!AZ111</f>
        <v>0.02</v>
      </c>
      <c r="BA815" s="285">
        <f>EXC!BA111</f>
        <v>0.02</v>
      </c>
      <c r="BB815" s="25">
        <f>EXC!BB111</f>
        <v>0.02</v>
      </c>
      <c r="BC815" s="284">
        <f>EXC!BC111</f>
        <v>0.02</v>
      </c>
      <c r="BD815" s="241">
        <f>EXC!BD111</f>
        <v>0.02</v>
      </c>
      <c r="BE815" s="241">
        <f>EXC!BE111</f>
        <v>0.02</v>
      </c>
      <c r="BF815" s="285">
        <f>EXC!BF111</f>
        <v>0.02</v>
      </c>
      <c r="BG815" s="25">
        <f>EXC!BG111</f>
        <v>0.02</v>
      </c>
      <c r="BH815" s="284">
        <f>EXC!BH111</f>
        <v>0.02</v>
      </c>
      <c r="BI815" s="241">
        <f>EXC!BI111</f>
        <v>0.02</v>
      </c>
      <c r="BJ815" s="241">
        <f>EXC!BJ111</f>
        <v>0.02</v>
      </c>
      <c r="BK815" s="285">
        <f>EXC!BK111</f>
        <v>0.02</v>
      </c>
      <c r="BL815" s="25">
        <f>EXC!BL111</f>
        <v>0.02</v>
      </c>
      <c r="BM815" s="284">
        <f>EXC!BM111</f>
        <v>0.02</v>
      </c>
      <c r="BN815" s="241">
        <f>EXC!BN111</f>
        <v>0.02</v>
      </c>
      <c r="BO815" s="241">
        <f>EXC!BO111</f>
        <v>0.02</v>
      </c>
      <c r="BP815" s="285">
        <f>EXC!BP111</f>
        <v>0.02</v>
      </c>
      <c r="BQ815" s="25">
        <f>EXC!BQ111</f>
        <v>0.02</v>
      </c>
      <c r="BR815" s="45"/>
      <c r="BS815" s="45"/>
      <c r="BT815" s="45"/>
      <c r="BU815" s="45"/>
      <c r="BV815" s="45"/>
      <c r="BW815" s="45"/>
      <c r="BX815" s="383"/>
      <c r="BY815" s="383"/>
      <c r="BZ815" s="1037">
        <f>NPV(Valuation!$CK$46,ExGen!CG811:CN811)</f>
        <v>323.48449852024885</v>
      </c>
      <c r="CE815" s="45"/>
      <c r="CF815" s="45"/>
      <c r="CG815" s="1033"/>
      <c r="CH815" s="1033"/>
      <c r="CI815" s="1033"/>
      <c r="CJ815" s="1033"/>
      <c r="CK815" s="1033"/>
      <c r="CL815" s="45"/>
      <c r="CM815" s="45"/>
      <c r="CN815" s="45"/>
      <c r="CO815" s="45"/>
      <c r="CP815" s="45"/>
      <c r="CQ815" s="45"/>
      <c r="CR815" s="45"/>
      <c r="CS815" s="45"/>
      <c r="CT815" s="821"/>
      <c r="CU815" s="45"/>
      <c r="CV815" s="45"/>
      <c r="CW815" s="45"/>
      <c r="CX815" s="45"/>
      <c r="CY815" s="45"/>
      <c r="CZ815" s="45"/>
      <c r="DA815" s="45"/>
      <c r="DB815" s="45"/>
      <c r="DC815" s="45"/>
      <c r="DD815" s="45"/>
      <c r="DE815" s="45"/>
      <c r="DF815" s="45"/>
      <c r="DG815" s="45"/>
      <c r="DH815" s="45"/>
      <c r="DI815" s="45"/>
      <c r="DJ815" s="45"/>
      <c r="DK815" s="45"/>
      <c r="DL815" s="45"/>
      <c r="DM815" s="45"/>
      <c r="DN815" s="45"/>
    </row>
    <row r="816" spans="1:119">
      <c r="A816" s="45"/>
      <c r="B816" s="383"/>
      <c r="C816" s="391"/>
      <c r="D816" s="383"/>
      <c r="E816" s="613"/>
      <c r="F816" s="614"/>
      <c r="G816" s="614"/>
      <c r="H816" s="615"/>
      <c r="I816" s="383"/>
      <c r="J816" s="613"/>
      <c r="K816" s="614"/>
      <c r="L816" s="614"/>
      <c r="M816" s="615"/>
      <c r="N816" s="383"/>
      <c r="O816" s="613"/>
      <c r="P816" s="614"/>
      <c r="Q816" s="241"/>
      <c r="R816" s="285"/>
      <c r="S816" s="25"/>
      <c r="T816" s="284"/>
      <c r="U816" s="241"/>
      <c r="V816" s="241"/>
      <c r="W816" s="285"/>
      <c r="X816" s="25"/>
      <c r="Y816" s="284"/>
      <c r="Z816" s="241"/>
      <c r="AA816" s="241"/>
      <c r="AB816" s="285"/>
      <c r="AC816" s="25"/>
      <c r="AD816" s="284"/>
      <c r="AE816" s="241"/>
      <c r="AF816" s="241"/>
      <c r="AG816" s="285"/>
      <c r="AH816" s="25"/>
      <c r="AI816" s="284"/>
      <c r="AJ816" s="241"/>
      <c r="AK816" s="241"/>
      <c r="AL816" s="285"/>
      <c r="AM816" s="25"/>
      <c r="AN816" s="284"/>
      <c r="AO816" s="241"/>
      <c r="AP816" s="241"/>
      <c r="AQ816" s="285"/>
      <c r="AR816" s="25"/>
      <c r="AS816" s="284"/>
      <c r="AT816" s="241"/>
      <c r="AU816" s="241"/>
      <c r="AV816" s="285"/>
      <c r="AW816" s="25"/>
      <c r="AX816" s="284"/>
      <c r="AY816" s="241"/>
      <c r="AZ816" s="241"/>
      <c r="BA816" s="285"/>
      <c r="BB816" s="25"/>
      <c r="BC816" s="284"/>
      <c r="BD816" s="241"/>
      <c r="BE816" s="241"/>
      <c r="BF816" s="285"/>
      <c r="BG816" s="25"/>
      <c r="BH816" s="284"/>
      <c r="BI816" s="241"/>
      <c r="BJ816" s="241"/>
      <c r="BK816" s="285"/>
      <c r="BL816" s="25"/>
      <c r="BM816" s="284"/>
      <c r="BN816" s="241"/>
      <c r="BO816" s="241"/>
      <c r="BP816" s="285"/>
      <c r="BQ816" s="25"/>
      <c r="BR816" s="45"/>
      <c r="BS816" s="45"/>
      <c r="BT816" s="45"/>
      <c r="BU816" s="45"/>
      <c r="BV816" s="45"/>
      <c r="BW816" s="45"/>
      <c r="BX816" s="45"/>
      <c r="BY816" s="45"/>
      <c r="BZ816" s="45"/>
      <c r="CA816" s="45"/>
      <c r="CB816" s="45"/>
      <c r="CC816" s="45"/>
      <c r="CD816" s="45"/>
      <c r="CE816" s="45"/>
      <c r="CF816" s="45"/>
      <c r="CG816" s="45"/>
      <c r="CH816" s="45"/>
      <c r="CI816" s="45"/>
      <c r="CJ816" s="45"/>
      <c r="CK816" s="45"/>
      <c r="CL816" s="45"/>
      <c r="CM816" s="45"/>
      <c r="CN816" s="45"/>
      <c r="CO816" s="45"/>
      <c r="CP816" s="45"/>
      <c r="CQ816" s="45"/>
      <c r="CR816" s="45"/>
      <c r="CS816" s="45"/>
      <c r="CT816" s="821"/>
      <c r="CU816" s="45"/>
      <c r="CV816" s="45"/>
      <c r="CW816" s="45"/>
      <c r="CX816" s="45"/>
      <c r="CY816" s="45"/>
    </row>
    <row r="817" spans="1:148">
      <c r="A817" s="45"/>
      <c r="B817" s="383"/>
      <c r="C817" s="383"/>
      <c r="D817" s="383"/>
      <c r="E817" s="613"/>
      <c r="F817" s="614"/>
      <c r="G817" s="614"/>
      <c r="H817" s="615"/>
      <c r="I817" s="383"/>
      <c r="J817" s="613"/>
      <c r="K817" s="614"/>
      <c r="L817" s="614"/>
      <c r="M817" s="615"/>
      <c r="N817" s="383"/>
      <c r="O817" s="613"/>
      <c r="P817" s="614"/>
      <c r="Q817" s="614"/>
      <c r="R817" s="615"/>
      <c r="S817" s="383"/>
      <c r="T817" s="613"/>
      <c r="U817" s="614"/>
      <c r="V817" s="614"/>
      <c r="W817" s="615"/>
      <c r="X817" s="383"/>
      <c r="Y817" s="613"/>
      <c r="Z817" s="614"/>
      <c r="AA817" s="614"/>
      <c r="AB817" s="615"/>
      <c r="AC817" s="383"/>
      <c r="AD817" s="613"/>
      <c r="AE817" s="614"/>
      <c r="AF817" s="614"/>
      <c r="AG817" s="615"/>
      <c r="AH817" s="383"/>
      <c r="AI817" s="613"/>
      <c r="AJ817" s="614"/>
      <c r="AK817" s="614"/>
      <c r="AL817" s="615"/>
      <c r="AM817" s="383"/>
      <c r="AN817" s="613"/>
      <c r="AO817" s="614"/>
      <c r="AP817" s="614"/>
      <c r="AQ817" s="615"/>
      <c r="AR817" s="383"/>
      <c r="AS817" s="613"/>
      <c r="AT817" s="614"/>
      <c r="AU817" s="614"/>
      <c r="AV817" s="615"/>
      <c r="AW817" s="383"/>
      <c r="AX817" s="613"/>
      <c r="AY817" s="614"/>
      <c r="AZ817" s="614"/>
      <c r="BA817" s="615"/>
      <c r="BB817" s="383"/>
      <c r="BC817" s="613"/>
      <c r="BD817" s="614"/>
      <c r="BE817" s="614"/>
      <c r="BF817" s="615"/>
      <c r="BG817" s="383"/>
      <c r="BH817" s="613"/>
      <c r="BI817" s="614"/>
      <c r="BJ817" s="614"/>
      <c r="BK817" s="615"/>
      <c r="BL817" s="383"/>
      <c r="BM817" s="613"/>
      <c r="BN817" s="614"/>
      <c r="BO817" s="614"/>
      <c r="BP817" s="615"/>
      <c r="BQ817" s="383"/>
      <c r="BR817" s="45"/>
      <c r="BS817" s="45"/>
      <c r="BT817" s="45"/>
      <c r="BU817" s="45"/>
      <c r="BV817" s="45"/>
      <c r="BW817" s="45"/>
      <c r="BX817" s="45"/>
      <c r="BY817" s="45"/>
      <c r="BZ817" s="45"/>
      <c r="CA817" s="1033"/>
      <c r="CB817" s="1033"/>
      <c r="CC817" s="1033"/>
      <c r="CD817" s="1033"/>
      <c r="CE817" s="1033"/>
      <c r="CF817" s="1033"/>
      <c r="CG817" s="45"/>
      <c r="CH817" s="45"/>
      <c r="CI817" s="45"/>
      <c r="CJ817" s="45"/>
      <c r="CK817" s="45"/>
      <c r="CL817" s="223"/>
      <c r="CM817" s="223"/>
      <c r="CN817" s="223"/>
      <c r="CO817" s="223"/>
      <c r="CP817" s="223"/>
      <c r="CQ817" s="45"/>
      <c r="CR817" s="45"/>
      <c r="CS817" s="45"/>
      <c r="CT817" s="821"/>
      <c r="CU817" s="45"/>
      <c r="CV817" s="45"/>
      <c r="CW817" s="45"/>
      <c r="CX817" s="45"/>
      <c r="CY817" s="45"/>
    </row>
    <row r="818" spans="1:148">
      <c r="A818" s="223"/>
      <c r="B818" s="379" t="s">
        <v>276</v>
      </c>
      <c r="C818" s="658"/>
      <c r="D818" s="659"/>
      <c r="E818" s="613"/>
      <c r="F818" s="614"/>
      <c r="G818" s="614"/>
      <c r="H818" s="615"/>
      <c r="I818" s="383"/>
      <c r="J818" s="613"/>
      <c r="K818" s="614"/>
      <c r="L818" s="614"/>
      <c r="M818" s="615"/>
      <c r="N818" s="383"/>
      <c r="O818" s="613"/>
      <c r="P818" s="614"/>
      <c r="Q818" s="614"/>
      <c r="R818" s="615"/>
      <c r="S818" s="383"/>
      <c r="T818" s="613"/>
      <c r="U818" s="614"/>
      <c r="V818" s="614"/>
      <c r="W818" s="615"/>
      <c r="X818" s="383"/>
      <c r="Y818" s="613"/>
      <c r="Z818" s="614"/>
      <c r="AA818" s="614"/>
      <c r="AB818" s="615"/>
      <c r="AC818" s="383"/>
      <c r="AD818" s="613"/>
      <c r="AE818" s="614"/>
      <c r="AF818" s="614"/>
      <c r="AG818" s="615"/>
      <c r="AH818" s="383"/>
      <c r="AI818" s="613"/>
      <c r="AJ818" s="614"/>
      <c r="AK818" s="614"/>
      <c r="AL818" s="615"/>
      <c r="AM818" s="383"/>
      <c r="AN818" s="613"/>
      <c r="AO818" s="614"/>
      <c r="AP818" s="614"/>
      <c r="AQ818" s="615"/>
      <c r="AR818" s="383"/>
      <c r="AS818" s="613"/>
      <c r="AT818" s="614"/>
      <c r="AU818" s="614"/>
      <c r="AV818" s="615"/>
      <c r="AW818" s="202"/>
      <c r="AX818" s="613"/>
      <c r="AY818" s="614"/>
      <c r="AZ818" s="614"/>
      <c r="BA818" s="615"/>
      <c r="BB818" s="202"/>
      <c r="BC818" s="613"/>
      <c r="BD818" s="614"/>
      <c r="BE818" s="614"/>
      <c r="BF818" s="615"/>
      <c r="BG818" s="202"/>
      <c r="BH818" s="613"/>
      <c r="BI818" s="614"/>
      <c r="BJ818" s="614"/>
      <c r="BK818" s="615"/>
      <c r="BL818" s="202"/>
      <c r="BM818" s="613"/>
      <c r="BN818" s="614"/>
      <c r="BO818" s="614"/>
      <c r="BP818" s="615"/>
      <c r="BQ818" s="202"/>
      <c r="BR818" s="45"/>
      <c r="BS818" s="45"/>
      <c r="BT818" s="223"/>
      <c r="BU818" s="45"/>
      <c r="BV818" s="45"/>
      <c r="BW818" s="45"/>
      <c r="BX818" s="45"/>
      <c r="BY818" s="45"/>
      <c r="BZ818" s="45"/>
      <c r="CA818" s="45"/>
      <c r="CB818" s="45"/>
      <c r="CC818" s="45"/>
      <c r="CD818" s="45"/>
      <c r="CE818" s="45"/>
      <c r="CF818" s="45"/>
      <c r="CG818" s="223"/>
      <c r="CH818" s="223"/>
      <c r="CI818" s="223"/>
      <c r="CJ818" s="223"/>
      <c r="CK818" s="223"/>
      <c r="CL818" s="383"/>
      <c r="CM818" s="383"/>
      <c r="CN818" s="383"/>
      <c r="CO818" s="383"/>
      <c r="CP818" s="383"/>
      <c r="CQ818" s="223"/>
      <c r="CR818" s="223"/>
      <c r="CS818" s="223"/>
      <c r="CT818" s="829"/>
      <c r="CU818" s="223"/>
      <c r="CV818" s="223"/>
      <c r="CW818" s="223"/>
      <c r="CX818" s="223"/>
      <c r="CY818" s="223"/>
      <c r="CZ818" s="777" t="s">
        <v>358</v>
      </c>
      <c r="DA818" s="777" t="s">
        <v>359</v>
      </c>
      <c r="DB818" s="777" t="s">
        <v>322</v>
      </c>
      <c r="DC818" s="777" t="s">
        <v>323</v>
      </c>
      <c r="DD818" s="777" t="s">
        <v>628</v>
      </c>
      <c r="DE818" s="777" t="s">
        <v>324</v>
      </c>
      <c r="DF818" s="777" t="s">
        <v>325</v>
      </c>
      <c r="DG818" s="777" t="s">
        <v>326</v>
      </c>
      <c r="DH818" s="777" t="s">
        <v>327</v>
      </c>
      <c r="DI818" s="777" t="s">
        <v>629</v>
      </c>
      <c r="DJ818" s="777" t="s">
        <v>268</v>
      </c>
      <c r="DK818" s="777" t="s">
        <v>269</v>
      </c>
      <c r="DL818" s="777" t="s">
        <v>270</v>
      </c>
      <c r="DM818" s="777" t="s">
        <v>271</v>
      </c>
      <c r="DN818" s="777" t="s">
        <v>630</v>
      </c>
      <c r="DO818" s="777" t="s">
        <v>616</v>
      </c>
      <c r="DP818" s="777" t="s">
        <v>1201</v>
      </c>
      <c r="DQ818" s="777" t="s">
        <v>1251</v>
      </c>
      <c r="DR818" s="777" t="s">
        <v>1252</v>
      </c>
      <c r="DS818" s="777" t="s">
        <v>827</v>
      </c>
      <c r="DT818" s="777" t="s">
        <v>674</v>
      </c>
      <c r="DU818" s="777" t="s">
        <v>673</v>
      </c>
      <c r="DV818" s="777" t="s">
        <v>919</v>
      </c>
      <c r="DW818" s="777" t="s">
        <v>920</v>
      </c>
      <c r="DX818" s="777" t="s">
        <v>922</v>
      </c>
      <c r="DY818" s="777" t="s">
        <v>1218</v>
      </c>
      <c r="DZ818" s="777" t="s">
        <v>1211</v>
      </c>
      <c r="EA818" s="777" t="s">
        <v>1344</v>
      </c>
      <c r="EB818" s="777" t="s">
        <v>1345</v>
      </c>
      <c r="EC818" s="777" t="s">
        <v>1346</v>
      </c>
      <c r="ED818" s="777" t="s">
        <v>1409</v>
      </c>
      <c r="EE818" s="777" t="s">
        <v>1405</v>
      </c>
      <c r="EF818" s="777" t="s">
        <v>1406</v>
      </c>
      <c r="EG818" s="777" t="s">
        <v>1407</v>
      </c>
      <c r="EH818" s="777" t="s">
        <v>1408</v>
      </c>
      <c r="EI818" s="777" t="s">
        <v>1436</v>
      </c>
      <c r="EJ818" s="777" t="s">
        <v>1439</v>
      </c>
      <c r="EK818" s="777" t="s">
        <v>1480</v>
      </c>
      <c r="EL818" s="777" t="s">
        <v>1501</v>
      </c>
      <c r="EM818" s="777" t="s">
        <v>1503</v>
      </c>
      <c r="EN818" s="777" t="s">
        <v>1515</v>
      </c>
      <c r="EO818" s="777" t="s">
        <v>1534</v>
      </c>
      <c r="EP818" s="777" t="s">
        <v>1536</v>
      </c>
      <c r="EQ818" s="777" t="s">
        <v>1538</v>
      </c>
      <c r="ER818" s="777" t="s">
        <v>1540</v>
      </c>
    </row>
    <row r="819" spans="1:148">
      <c r="A819" s="383"/>
      <c r="B819" s="45"/>
      <c r="C819" s="391" t="s">
        <v>321</v>
      </c>
      <c r="D819" s="45"/>
      <c r="E819" s="290">
        <f t="shared" ref="E819:E824" si="1183">+CZ819</f>
        <v>528</v>
      </c>
      <c r="F819" s="260">
        <f t="shared" ref="F819:G824" si="1184">+DA819-CZ819</f>
        <v>513</v>
      </c>
      <c r="G819" s="260">
        <f t="shared" si="1184"/>
        <v>656</v>
      </c>
      <c r="H819" s="291">
        <f t="shared" ref="H819:H824" si="1185">+DD819-DB819</f>
        <v>425</v>
      </c>
      <c r="I819" s="647">
        <f t="shared" ref="I819:I825" si="1186">DD819</f>
        <v>2122</v>
      </c>
      <c r="J819" s="290">
        <f t="shared" ref="J819:J824" si="1187">+DE819</f>
        <v>561</v>
      </c>
      <c r="K819" s="260">
        <f t="shared" ref="K819:L824" si="1188">+DF819-DE819</f>
        <v>382</v>
      </c>
      <c r="L819" s="260">
        <f t="shared" si="1188"/>
        <v>605</v>
      </c>
      <c r="M819" s="291">
        <f t="shared" ref="M819:M824" si="1189">+DI819-DG819</f>
        <v>424</v>
      </c>
      <c r="N819" s="647">
        <f t="shared" ref="N819:N825" si="1190">DI819</f>
        <v>1972</v>
      </c>
      <c r="O819" s="290">
        <f t="shared" ref="O819:O824" si="1191">+DJ819</f>
        <v>495</v>
      </c>
      <c r="P819" s="260">
        <f t="shared" ref="P819:Q824" si="1192">+DK819-DJ819</f>
        <v>443</v>
      </c>
      <c r="Q819" s="260">
        <f t="shared" si="1192"/>
        <v>387</v>
      </c>
      <c r="R819" s="291">
        <f t="shared" ref="R819:R824" si="1193">+DN819-DL819</f>
        <v>446</v>
      </c>
      <c r="S819" s="647">
        <f t="shared" ref="S819:S825" si="1194">DN819</f>
        <v>1771</v>
      </c>
      <c r="T819" s="290">
        <f t="shared" ref="T819:T824" si="1195">+DO819</f>
        <v>166</v>
      </c>
      <c r="U819" s="260">
        <f t="shared" ref="U819:V824" si="1196">+DP819-DO819</f>
        <v>166</v>
      </c>
      <c r="V819" s="260">
        <f t="shared" si="1196"/>
        <v>87</v>
      </c>
      <c r="W819" s="291">
        <f t="shared" ref="W819:W824" si="1197">+DS819-DQ819</f>
        <v>139</v>
      </c>
      <c r="X819" s="647">
        <f t="shared" ref="X819:X825" si="1198">DS819</f>
        <v>558</v>
      </c>
      <c r="Y819" s="290">
        <f t="shared" ref="Y819:Y824" si="1199">+DT819</f>
        <v>-17</v>
      </c>
      <c r="Z819" s="260">
        <f t="shared" ref="Z819:AA824" si="1200">+DU819-DT819</f>
        <v>327</v>
      </c>
      <c r="AA819" s="260">
        <f t="shared" si="1200"/>
        <v>485</v>
      </c>
      <c r="AB819" s="291">
        <f t="shared" ref="AB819:AB824" si="1201">+DX819-DV819</f>
        <v>265</v>
      </c>
      <c r="AC819" s="647">
        <f t="shared" ref="AC819:AC825" si="1202">DX819</f>
        <v>1060</v>
      </c>
      <c r="AD819" s="290">
        <f t="shared" ref="AD819:AD824" si="1203">+DY819</f>
        <v>-185</v>
      </c>
      <c r="AE819" s="260">
        <f t="shared" ref="AE819:AF824" si="1204">+DZ819-DY819</f>
        <v>373</v>
      </c>
      <c r="AF819" s="260">
        <f t="shared" si="1204"/>
        <v>849</v>
      </c>
      <c r="AG819" s="291">
        <f t="shared" ref="AG819:AG824" si="1205">+EC819-EA819</f>
        <v>-18</v>
      </c>
      <c r="AH819" s="647">
        <f t="shared" ref="AH819:AH825" si="1206">EC819</f>
        <v>1019</v>
      </c>
      <c r="AI819" s="290">
        <f t="shared" ref="AI819:AI824" si="1207">+ED819</f>
        <v>485</v>
      </c>
      <c r="AJ819" s="260">
        <f t="shared" ref="AJ819:AK824" si="1208">+EE819-ED819</f>
        <v>390</v>
      </c>
      <c r="AK819" s="260">
        <f t="shared" si="1208"/>
        <v>333</v>
      </c>
      <c r="AL819" s="291">
        <f t="shared" ref="AL819:AL824" si="1209">+EH819-EF819</f>
        <v>132</v>
      </c>
      <c r="AM819" s="647">
        <f t="shared" ref="AM819:AM825" si="1210">EH819</f>
        <v>1340</v>
      </c>
      <c r="AN819" s="290">
        <f t="shared" ref="AN819:AN824" si="1211">+EI819</f>
        <v>257</v>
      </c>
      <c r="AO819" s="260">
        <f t="shared" ref="AO819:AP824" si="1212">+EJ819-EI819</f>
        <v>28</v>
      </c>
      <c r="AP819" s="260">
        <f t="shared" si="1212"/>
        <v>271</v>
      </c>
      <c r="AQ819" s="291">
        <f t="shared" ref="AQ819:AQ824" si="1213">+EM819-EK819</f>
        <v>2</v>
      </c>
      <c r="AR819" s="647">
        <f t="shared" ref="AR819:AR825" si="1214">EM819</f>
        <v>558</v>
      </c>
      <c r="AS819" s="290">
        <f t="shared" ref="AS819:AS824" si="1215">+EN819</f>
        <v>409</v>
      </c>
      <c r="AT819" s="260">
        <f t="shared" ref="AT819:AT824" si="1216">+EO819-EN819</f>
        <v>-265</v>
      </c>
      <c r="AU819" s="260">
        <f t="shared" ref="AU819:AU824" si="1217">+EP819-EO819</f>
        <v>347</v>
      </c>
      <c r="AV819" s="291">
        <f t="shared" ref="AV819:AV824" si="1218">+ER819-EP819</f>
        <v>2280</v>
      </c>
      <c r="AW819" s="647">
        <f t="shared" ref="AW819:AW825" si="1219">ER819</f>
        <v>2771</v>
      </c>
      <c r="AX819" s="290">
        <f>AX35</f>
        <v>398.37589073222512</v>
      </c>
      <c r="AY819" s="260">
        <f ca="1">AY35</f>
        <v>254.36013220951997</v>
      </c>
      <c r="AZ819" s="260">
        <f ca="1">AZ35</f>
        <v>445.98688864621602</v>
      </c>
      <c r="BA819" s="291">
        <f ca="1">BA35</f>
        <v>216.44913497234472</v>
      </c>
      <c r="BB819" s="45">
        <f ca="1">SUM(AX819:BA819)</f>
        <v>1315.1720465603057</v>
      </c>
      <c r="BC819" s="290">
        <f ca="1">BC35</f>
        <v>465.17841668952599</v>
      </c>
      <c r="BD819" s="260">
        <f ca="1">BD35</f>
        <v>171.017708001242</v>
      </c>
      <c r="BE819" s="260">
        <f ca="1">BE35</f>
        <v>304.37969464578663</v>
      </c>
      <c r="BF819" s="291">
        <f ca="1">BF35</f>
        <v>107.88059293314731</v>
      </c>
      <c r="BG819" s="45">
        <f ca="1">SUM(BC819:BF819)</f>
        <v>1048.4564122697018</v>
      </c>
      <c r="BH819" s="290">
        <f ca="1">BH35</f>
        <v>344.42360446565539</v>
      </c>
      <c r="BI819" s="260">
        <f ca="1">BI35</f>
        <v>79.352960151332411</v>
      </c>
      <c r="BJ819" s="260">
        <f ca="1">BJ35</f>
        <v>290.17318824438604</v>
      </c>
      <c r="BK819" s="291">
        <f ca="1">BK35</f>
        <v>132.5833288443983</v>
      </c>
      <c r="BL819" s="45">
        <f ca="1">SUM(BH819:BK819)</f>
        <v>846.53308170577202</v>
      </c>
      <c r="BM819" s="290">
        <f ca="1">BM35</f>
        <v>263.90984365366694</v>
      </c>
      <c r="BN819" s="260">
        <f ca="1">BN35</f>
        <v>154.8144736481033</v>
      </c>
      <c r="BO819" s="260">
        <f ca="1">BO35</f>
        <v>341.07193858751612</v>
      </c>
      <c r="BP819" s="291">
        <f ca="1">BP35</f>
        <v>191.35603521356921</v>
      </c>
      <c r="BQ819" s="45">
        <f ca="1">SUM(BM819:BP819)</f>
        <v>951.15229110285554</v>
      </c>
      <c r="BR819" s="45"/>
      <c r="BS819" s="45"/>
      <c r="BT819" s="383"/>
      <c r="BU819" s="45"/>
      <c r="BV819" s="45"/>
      <c r="BW819" s="45"/>
      <c r="BX819" s="45"/>
      <c r="BY819" s="45"/>
      <c r="BZ819" s="45"/>
      <c r="CA819" s="45"/>
      <c r="CB819" s="45"/>
      <c r="CC819" s="45"/>
      <c r="CD819" s="45"/>
      <c r="CE819" s="45"/>
      <c r="CF819" s="45"/>
      <c r="CG819" s="383"/>
      <c r="CH819" s="383"/>
      <c r="CI819" s="383"/>
      <c r="CJ819" s="383"/>
      <c r="CK819" s="383"/>
      <c r="CL819" s="45"/>
      <c r="CM819" s="45"/>
      <c r="CN819" s="45"/>
      <c r="CO819" s="45"/>
      <c r="CP819" s="45"/>
      <c r="CQ819" s="383"/>
      <c r="CR819" s="383"/>
      <c r="CS819" s="383"/>
      <c r="CT819" s="834"/>
      <c r="CU819" s="383"/>
      <c r="CV819" s="383"/>
      <c r="CW819" s="383"/>
      <c r="CX819" s="383"/>
      <c r="CY819" s="383"/>
      <c r="CZ819" s="427">
        <v>528</v>
      </c>
      <c r="DA819" s="427">
        <v>1041</v>
      </c>
      <c r="DB819" s="427">
        <v>1697</v>
      </c>
      <c r="DC819" s="45">
        <f t="shared" ref="DC819:DC824" si="1220">DD819</f>
        <v>2122</v>
      </c>
      <c r="DD819" s="427">
        <v>2122</v>
      </c>
      <c r="DE819" s="427">
        <v>561</v>
      </c>
      <c r="DF819" s="427">
        <v>943</v>
      </c>
      <c r="DG819" s="427">
        <v>1548</v>
      </c>
      <c r="DH819" s="45">
        <f t="shared" ref="DH819:DH824" si="1221">DI819</f>
        <v>1972</v>
      </c>
      <c r="DI819" s="427">
        <v>1972</v>
      </c>
      <c r="DJ819" s="427">
        <v>495</v>
      </c>
      <c r="DK819" s="427">
        <v>938</v>
      </c>
      <c r="DL819" s="427">
        <v>1325</v>
      </c>
      <c r="DM819" s="45">
        <f t="shared" ref="DM819:DM824" si="1222">DN819</f>
        <v>1771</v>
      </c>
      <c r="DN819" s="427">
        <v>1771</v>
      </c>
      <c r="DO819" s="427">
        <v>166</v>
      </c>
      <c r="DP819" s="427">
        <v>332</v>
      </c>
      <c r="DQ819" s="427">
        <v>419</v>
      </c>
      <c r="DR819" s="45">
        <f t="shared" ref="DR819:DR824" si="1223">DS819</f>
        <v>558</v>
      </c>
      <c r="DS819" s="427">
        <v>558</v>
      </c>
      <c r="DT819" s="427">
        <v>-17</v>
      </c>
      <c r="DU819" s="427">
        <v>310</v>
      </c>
      <c r="DV819" s="339">
        <v>795</v>
      </c>
      <c r="DW819" s="45">
        <f t="shared" ref="DW819:DW824" si="1224">DX819</f>
        <v>1060</v>
      </c>
      <c r="DX819" s="339">
        <v>1060</v>
      </c>
      <c r="DY819" s="427">
        <v>-185</v>
      </c>
      <c r="DZ819" s="427">
        <v>188</v>
      </c>
      <c r="EA819" s="339">
        <v>1037</v>
      </c>
      <c r="EB819" s="45">
        <f t="shared" ref="EB819" si="1225">EC819</f>
        <v>1019</v>
      </c>
      <c r="EC819" s="339">
        <v>1019</v>
      </c>
      <c r="ED819" s="427">
        <v>485</v>
      </c>
      <c r="EE819" s="427">
        <v>875</v>
      </c>
      <c r="EF819" s="2056">
        <v>1208</v>
      </c>
      <c r="EG819" s="45">
        <f t="shared" ref="EG819" si="1226">EH819</f>
        <v>1340</v>
      </c>
      <c r="EH819" s="2056">
        <v>1340</v>
      </c>
      <c r="EI819" s="427">
        <v>257</v>
      </c>
      <c r="EJ819" s="427">
        <v>285</v>
      </c>
      <c r="EK819" s="2056">
        <v>556</v>
      </c>
      <c r="EL819" s="45">
        <f t="shared" ref="EL819" si="1227">EM819</f>
        <v>558</v>
      </c>
      <c r="EM819" s="2056">
        <v>558</v>
      </c>
      <c r="EN819" s="427">
        <v>409</v>
      </c>
      <c r="EO819" s="427">
        <v>144</v>
      </c>
      <c r="EP819" s="427">
        <v>491</v>
      </c>
      <c r="EQ819" s="45">
        <f t="shared" ref="EQ819" si="1228">ER819</f>
        <v>2771</v>
      </c>
      <c r="ER819" s="2056">
        <v>2771</v>
      </c>
    </row>
    <row r="820" spans="1:148">
      <c r="A820" s="45"/>
      <c r="B820" s="45"/>
      <c r="C820" s="28" t="s">
        <v>67</v>
      </c>
      <c r="D820" s="45"/>
      <c r="E820" s="290">
        <f t="shared" si="1183"/>
        <v>76</v>
      </c>
      <c r="F820" s="260">
        <f t="shared" si="1184"/>
        <v>72</v>
      </c>
      <c r="G820" s="260">
        <f t="shared" si="1184"/>
        <v>74</v>
      </c>
      <c r="H820" s="291">
        <f t="shared" si="1185"/>
        <v>111</v>
      </c>
      <c r="I820" s="647">
        <f t="shared" si="1186"/>
        <v>333</v>
      </c>
      <c r="J820" s="290">
        <f t="shared" si="1187"/>
        <v>109</v>
      </c>
      <c r="K820" s="260">
        <f t="shared" si="1188"/>
        <v>115</v>
      </c>
      <c r="L820" s="260">
        <f t="shared" si="1188"/>
        <v>121</v>
      </c>
      <c r="M820" s="291">
        <f t="shared" si="1189"/>
        <v>129</v>
      </c>
      <c r="N820" s="647">
        <f t="shared" si="1190"/>
        <v>474</v>
      </c>
      <c r="O820" s="290">
        <f t="shared" si="1191"/>
        <v>139</v>
      </c>
      <c r="P820" s="260">
        <f t="shared" si="1192"/>
        <v>138</v>
      </c>
      <c r="Q820" s="260">
        <f t="shared" si="1192"/>
        <v>139</v>
      </c>
      <c r="R820" s="291">
        <f t="shared" si="1193"/>
        <v>154</v>
      </c>
      <c r="S820" s="647">
        <f t="shared" si="1194"/>
        <v>570</v>
      </c>
      <c r="T820" s="290">
        <f t="shared" si="1195"/>
        <v>153</v>
      </c>
      <c r="U820" s="260">
        <f t="shared" si="1196"/>
        <v>204</v>
      </c>
      <c r="V820" s="260">
        <f t="shared" si="1196"/>
        <v>207</v>
      </c>
      <c r="W820" s="291">
        <f t="shared" si="1197"/>
        <v>204</v>
      </c>
      <c r="X820" s="647">
        <f t="shared" si="1198"/>
        <v>768</v>
      </c>
      <c r="Y820" s="290">
        <f t="shared" si="1199"/>
        <v>214</v>
      </c>
      <c r="Z820" s="260">
        <f t="shared" si="1200"/>
        <v>210</v>
      </c>
      <c r="AA820" s="260">
        <f t="shared" si="1200"/>
        <v>218</v>
      </c>
      <c r="AB820" s="291">
        <f t="shared" si="1201"/>
        <v>214</v>
      </c>
      <c r="AC820" s="647">
        <f t="shared" si="1202"/>
        <v>856</v>
      </c>
      <c r="AD820" s="290">
        <f t="shared" si="1203"/>
        <v>211</v>
      </c>
      <c r="AE820" s="260">
        <f t="shared" si="1204"/>
        <v>254</v>
      </c>
      <c r="AF820" s="260">
        <f t="shared" si="1204"/>
        <v>253</v>
      </c>
      <c r="AG820" s="291">
        <f t="shared" si="1205"/>
        <v>249</v>
      </c>
      <c r="AH820" s="647">
        <f t="shared" si="1206"/>
        <v>967</v>
      </c>
      <c r="AI820" s="290">
        <f t="shared" si="1207"/>
        <v>254</v>
      </c>
      <c r="AJ820" s="260">
        <f t="shared" si="1208"/>
        <v>255</v>
      </c>
      <c r="AK820" s="260">
        <f t="shared" si="1208"/>
        <v>264</v>
      </c>
      <c r="AL820" s="291">
        <f t="shared" si="1209"/>
        <v>281</v>
      </c>
      <c r="AM820" s="647">
        <f t="shared" si="1210"/>
        <v>1054</v>
      </c>
      <c r="AN820" s="290">
        <f t="shared" si="1211"/>
        <v>289</v>
      </c>
      <c r="AO820" s="260">
        <f t="shared" si="1212"/>
        <v>408</v>
      </c>
      <c r="AP820" s="260">
        <f t="shared" si="1212"/>
        <v>632</v>
      </c>
      <c r="AQ820" s="291">
        <f t="shared" si="1213"/>
        <v>550</v>
      </c>
      <c r="AR820" s="647">
        <f t="shared" si="1214"/>
        <v>1879</v>
      </c>
      <c r="AS820" s="290">
        <f t="shared" si="1215"/>
        <v>302</v>
      </c>
      <c r="AT820" s="260">
        <f t="shared" si="1216"/>
        <v>334</v>
      </c>
      <c r="AU820" s="260">
        <f t="shared" si="1217"/>
        <v>410</v>
      </c>
      <c r="AV820" s="291">
        <f t="shared" si="1218"/>
        <v>411</v>
      </c>
      <c r="AW820" s="647">
        <f t="shared" si="1219"/>
        <v>1457</v>
      </c>
      <c r="AX820" s="290">
        <f>AX13</f>
        <v>278.322</v>
      </c>
      <c r="AY820" s="260">
        <f>AY13</f>
        <v>279.4201507396856</v>
      </c>
      <c r="AZ820" s="260">
        <f>AZ13</f>
        <v>280.5775768699981</v>
      </c>
      <c r="BA820" s="291">
        <f>BA13</f>
        <v>281.71879903448627</v>
      </c>
      <c r="BB820" s="45">
        <f>SUM(AX820:BA820)</f>
        <v>1120.0385266441699</v>
      </c>
      <c r="BC820" s="290">
        <f>BC13</f>
        <v>289.58317026961822</v>
      </c>
      <c r="BD820" s="260">
        <f>BD13</f>
        <v>291.53839308895124</v>
      </c>
      <c r="BE820" s="260">
        <f>BE13</f>
        <v>291.21693980367485</v>
      </c>
      <c r="BF820" s="291">
        <f>BF13</f>
        <v>290.90010740937424</v>
      </c>
      <c r="BG820" s="45">
        <f>SUM(BC820:BF820)</f>
        <v>1163.2386105716184</v>
      </c>
      <c r="BH820" s="290">
        <f>BH13</f>
        <v>290.58782948074173</v>
      </c>
      <c r="BI820" s="260">
        <f>BI13</f>
        <v>290.59304201369008</v>
      </c>
      <c r="BJ820" s="260">
        <f>BJ13</f>
        <v>290.46486565012054</v>
      </c>
      <c r="BK820" s="291">
        <f>BK13</f>
        <v>290.33853182177722</v>
      </c>
      <c r="BL820" s="45">
        <f>SUM(BH820:BK820)</f>
        <v>1161.9842689663296</v>
      </c>
      <c r="BM820" s="290">
        <f>BM13</f>
        <v>290.21401404221649</v>
      </c>
      <c r="BN820" s="260">
        <f>BN13</f>
        <v>290.18409584456248</v>
      </c>
      <c r="BO820" s="260">
        <f>BO13</f>
        <v>290.1455119667969</v>
      </c>
      <c r="BP820" s="291">
        <f>BP13</f>
        <v>290.10748273227415</v>
      </c>
      <c r="BQ820" s="45">
        <f>SUM(BM820:BP820)</f>
        <v>1160.6511045858499</v>
      </c>
      <c r="BR820" s="45"/>
      <c r="BS820" s="45"/>
      <c r="BT820" s="45"/>
      <c r="BU820" s="223"/>
      <c r="BV820" s="223"/>
      <c r="BW820" s="223"/>
      <c r="BX820" s="223"/>
      <c r="BY820" s="223"/>
      <c r="BZ820" s="223"/>
      <c r="CA820" s="223"/>
      <c r="CB820" s="223"/>
      <c r="CC820" s="223"/>
      <c r="CD820" s="223"/>
      <c r="CE820" s="223"/>
      <c r="CF820" s="223"/>
      <c r="CG820" s="45"/>
      <c r="CH820" s="45"/>
      <c r="CI820" s="45"/>
      <c r="CJ820" s="45"/>
      <c r="CK820" s="45"/>
      <c r="CL820" s="223"/>
      <c r="CM820" s="223"/>
      <c r="CN820" s="223"/>
      <c r="CO820" s="223"/>
      <c r="CP820" s="223"/>
      <c r="CQ820" s="45"/>
      <c r="CR820" s="45"/>
      <c r="CS820" s="45"/>
      <c r="CT820" s="830"/>
      <c r="CU820" s="45"/>
      <c r="CV820" s="45"/>
      <c r="CW820" s="45"/>
      <c r="CX820" s="45"/>
      <c r="CY820" s="45"/>
      <c r="CZ820" s="45">
        <f>E13</f>
        <v>76</v>
      </c>
      <c r="DA820" s="45">
        <f>E13+F13</f>
        <v>148</v>
      </c>
      <c r="DB820" s="45">
        <f>E13+F13+G13</f>
        <v>222</v>
      </c>
      <c r="DC820" s="45">
        <f t="shared" si="1220"/>
        <v>333</v>
      </c>
      <c r="DD820" s="45">
        <f>I13</f>
        <v>333</v>
      </c>
      <c r="DE820" s="45">
        <f>J13</f>
        <v>109</v>
      </c>
      <c r="DF820" s="45">
        <f>J13+K13</f>
        <v>224</v>
      </c>
      <c r="DG820" s="45">
        <f>J13+K13+L13</f>
        <v>345</v>
      </c>
      <c r="DH820" s="45">
        <f t="shared" si="1221"/>
        <v>474</v>
      </c>
      <c r="DI820" s="45">
        <f>N13</f>
        <v>474</v>
      </c>
      <c r="DJ820" s="45">
        <f>O13</f>
        <v>139</v>
      </c>
      <c r="DK820" s="45">
        <f>+O13+P13</f>
        <v>277</v>
      </c>
      <c r="DL820" s="45">
        <f>O13+P13+Q13</f>
        <v>416</v>
      </c>
      <c r="DM820" s="45">
        <f t="shared" si="1222"/>
        <v>570</v>
      </c>
      <c r="DN820" s="45">
        <f>S13</f>
        <v>570</v>
      </c>
      <c r="DO820" s="45">
        <f>T13</f>
        <v>153</v>
      </c>
      <c r="DP820" s="45">
        <f>+T13+U13</f>
        <v>357</v>
      </c>
      <c r="DQ820" s="45">
        <f>T13+U13+V13</f>
        <v>564</v>
      </c>
      <c r="DR820" s="45">
        <f t="shared" si="1223"/>
        <v>768</v>
      </c>
      <c r="DS820" s="45">
        <f>X13</f>
        <v>768</v>
      </c>
      <c r="DT820" s="45">
        <f>Y13</f>
        <v>214</v>
      </c>
      <c r="DU820" s="45">
        <f>Y13+Z13</f>
        <v>424</v>
      </c>
      <c r="DV820" s="45">
        <f>Y13+Z13+AA13</f>
        <v>642</v>
      </c>
      <c r="DW820" s="45">
        <f>DX820</f>
        <v>856</v>
      </c>
      <c r="DX820" s="45">
        <f>AC13</f>
        <v>856</v>
      </c>
      <c r="DY820" s="45">
        <f>AD13</f>
        <v>211</v>
      </c>
      <c r="DZ820" s="45">
        <f>AD13+AE13</f>
        <v>465</v>
      </c>
      <c r="EA820" s="45">
        <f>AD13+AE13+AF13</f>
        <v>718</v>
      </c>
      <c r="EB820" s="45">
        <f>EC820</f>
        <v>967</v>
      </c>
      <c r="EC820" s="45">
        <f>AH13</f>
        <v>967</v>
      </c>
      <c r="ED820" s="45">
        <f>AI13</f>
        <v>254</v>
      </c>
      <c r="EE820" s="45">
        <f>AI13+AJ13</f>
        <v>509</v>
      </c>
      <c r="EF820" s="45">
        <f>AI13+AJ13+AK13</f>
        <v>773</v>
      </c>
      <c r="EG820" s="45">
        <f>EH820</f>
        <v>1054</v>
      </c>
      <c r="EH820" s="45">
        <f>AM13</f>
        <v>1054</v>
      </c>
      <c r="EI820" s="45">
        <f>AN13</f>
        <v>289</v>
      </c>
      <c r="EJ820" s="45">
        <f>AN13+AO13</f>
        <v>697</v>
      </c>
      <c r="EK820" s="45">
        <f>AN13+AO13+AP13</f>
        <v>1329</v>
      </c>
      <c r="EL820" s="45">
        <f>EM820</f>
        <v>1879</v>
      </c>
      <c r="EM820" s="45">
        <f>AR13</f>
        <v>1879</v>
      </c>
      <c r="EN820" s="45">
        <f>AS13</f>
        <v>302</v>
      </c>
      <c r="EO820" s="45">
        <f>AS13+AT13</f>
        <v>636</v>
      </c>
      <c r="EP820" s="45">
        <f>AS13+AT13+AU13</f>
        <v>1046</v>
      </c>
      <c r="EQ820" s="45">
        <f>ER820</f>
        <v>1457</v>
      </c>
      <c r="ER820" s="45">
        <f>AW13</f>
        <v>1457</v>
      </c>
    </row>
    <row r="821" spans="1:148">
      <c r="A821" s="223"/>
      <c r="B821" s="45"/>
      <c r="C821" s="391" t="s">
        <v>631</v>
      </c>
      <c r="D821" s="45"/>
      <c r="E821" s="290">
        <f t="shared" si="1183"/>
        <v>186</v>
      </c>
      <c r="F821" s="260">
        <f t="shared" si="1184"/>
        <v>192</v>
      </c>
      <c r="G821" s="260">
        <f t="shared" si="1184"/>
        <v>197</v>
      </c>
      <c r="H821" s="291">
        <f t="shared" si="1185"/>
        <v>190</v>
      </c>
      <c r="I821" s="647">
        <f t="shared" si="1186"/>
        <v>765</v>
      </c>
      <c r="J821" s="290">
        <f t="shared" si="1187"/>
        <v>204</v>
      </c>
      <c r="K821" s="260">
        <f t="shared" si="1188"/>
        <v>217</v>
      </c>
      <c r="L821" s="260">
        <f t="shared" si="1188"/>
        <v>221</v>
      </c>
      <c r="M821" s="291">
        <f t="shared" si="1189"/>
        <v>225</v>
      </c>
      <c r="N821" s="647">
        <f t="shared" si="1190"/>
        <v>867</v>
      </c>
      <c r="O821" s="290">
        <f t="shared" si="1191"/>
        <v>225</v>
      </c>
      <c r="P821" s="260">
        <f t="shared" si="1192"/>
        <v>233</v>
      </c>
      <c r="Q821" s="260">
        <f t="shared" si="1192"/>
        <v>257</v>
      </c>
      <c r="R821" s="291">
        <f t="shared" si="1193"/>
        <v>254</v>
      </c>
      <c r="S821" s="647">
        <f t="shared" si="1194"/>
        <v>969</v>
      </c>
      <c r="T821" s="290">
        <f t="shared" si="1195"/>
        <v>394</v>
      </c>
      <c r="U821" s="260">
        <f t="shared" si="1196"/>
        <v>672</v>
      </c>
      <c r="V821" s="260">
        <f t="shared" si="1196"/>
        <v>548</v>
      </c>
      <c r="W821" s="291">
        <f t="shared" si="1197"/>
        <v>584</v>
      </c>
      <c r="X821" s="647">
        <f t="shared" si="1198"/>
        <v>2198</v>
      </c>
      <c r="Y821" s="290">
        <f t="shared" si="1199"/>
        <v>474</v>
      </c>
      <c r="Z821" s="260">
        <f t="shared" si="1200"/>
        <v>460</v>
      </c>
      <c r="AA821" s="260">
        <f t="shared" si="1200"/>
        <v>361</v>
      </c>
      <c r="AB821" s="291">
        <f t="shared" si="1201"/>
        <v>408</v>
      </c>
      <c r="AC821" s="647">
        <f t="shared" si="1202"/>
        <v>1703</v>
      </c>
      <c r="AD821" s="290">
        <f t="shared" si="1203"/>
        <v>346</v>
      </c>
      <c r="AE821" s="260">
        <f t="shared" si="1204"/>
        <v>431</v>
      </c>
      <c r="AF821" s="260">
        <f t="shared" si="1204"/>
        <v>358</v>
      </c>
      <c r="AG821" s="291">
        <f t="shared" si="1205"/>
        <v>417</v>
      </c>
      <c r="AH821" s="647">
        <f t="shared" si="1206"/>
        <v>1552</v>
      </c>
      <c r="AI821" s="290">
        <f t="shared" si="1207"/>
        <v>337</v>
      </c>
      <c r="AJ821" s="260">
        <f t="shared" si="1208"/>
        <v>409</v>
      </c>
      <c r="AK821" s="260">
        <f t="shared" si="1208"/>
        <v>368</v>
      </c>
      <c r="AL821" s="291">
        <f t="shared" si="1209"/>
        <v>421</v>
      </c>
      <c r="AM821" s="647">
        <f t="shared" si="1210"/>
        <v>1535</v>
      </c>
      <c r="AN821" s="290">
        <f t="shared" si="1211"/>
        <v>378</v>
      </c>
      <c r="AO821" s="260">
        <f t="shared" si="1212"/>
        <v>392</v>
      </c>
      <c r="AP821" s="260">
        <f t="shared" si="1212"/>
        <v>417</v>
      </c>
      <c r="AQ821" s="291">
        <f t="shared" si="1213"/>
        <v>453</v>
      </c>
      <c r="AR821" s="647">
        <f t="shared" si="1214"/>
        <v>1640</v>
      </c>
      <c r="AS821" s="290">
        <f t="shared" si="1215"/>
        <v>376</v>
      </c>
      <c r="AT821" s="260">
        <f t="shared" si="1216"/>
        <v>403</v>
      </c>
      <c r="AU821" s="260">
        <f t="shared" si="1217"/>
        <v>406</v>
      </c>
      <c r="AV821" s="291">
        <f t="shared" si="1218"/>
        <v>414</v>
      </c>
      <c r="AW821" s="647">
        <f t="shared" si="1219"/>
        <v>1599</v>
      </c>
      <c r="AX821" s="290">
        <f>+BB821/4</f>
        <v>237.5</v>
      </c>
      <c r="AY821" s="260">
        <f>(BB821-SUM(AX821:AX821))/3</f>
        <v>237.5</v>
      </c>
      <c r="AZ821" s="260">
        <f>(BB821-SUM(AX821:AY821))/2</f>
        <v>237.5</v>
      </c>
      <c r="BA821" s="291">
        <f>(BB821-SUM(AX821:AZ821))/1</f>
        <v>237.5</v>
      </c>
      <c r="BB821" s="45">
        <f>+BB789</f>
        <v>950</v>
      </c>
      <c r="BC821" s="290">
        <f>+BG821/4</f>
        <v>225</v>
      </c>
      <c r="BD821" s="260">
        <f>(BG821-SUM(BC821:BC821))/3</f>
        <v>225</v>
      </c>
      <c r="BE821" s="260">
        <f>(BG821-SUM(BC821:BD821))/2</f>
        <v>225</v>
      </c>
      <c r="BF821" s="291">
        <f>(BG821-SUM(BC821:BE821))/1</f>
        <v>225</v>
      </c>
      <c r="BG821" s="45">
        <f>+BG789</f>
        <v>900</v>
      </c>
      <c r="BH821" s="290">
        <f>+BL821/4</f>
        <v>206.25</v>
      </c>
      <c r="BI821" s="260">
        <f>(BL821-SUM(BH821:BH821))/3</f>
        <v>206.25</v>
      </c>
      <c r="BJ821" s="260">
        <f>(BL821-SUM(BH821:BI821))/2</f>
        <v>206.25</v>
      </c>
      <c r="BK821" s="291">
        <f>(BL821-SUM(BH821:BJ821))/1</f>
        <v>206.25</v>
      </c>
      <c r="BL821" s="45">
        <f>+BL789</f>
        <v>825</v>
      </c>
      <c r="BM821" s="290">
        <f>+BQ821/4</f>
        <v>200</v>
      </c>
      <c r="BN821" s="260">
        <f>(BQ821-SUM(BM821:BM821))/3</f>
        <v>200</v>
      </c>
      <c r="BO821" s="260">
        <f>(BQ821-SUM(BM821:BN821))/2</f>
        <v>200</v>
      </c>
      <c r="BP821" s="291">
        <f>(BQ821-SUM(BM821:BO821))/1</f>
        <v>200</v>
      </c>
      <c r="BQ821" s="45">
        <f>+BQ789</f>
        <v>800</v>
      </c>
      <c r="BR821" s="45"/>
      <c r="BS821" s="45"/>
      <c r="BT821" s="223"/>
      <c r="BU821" s="383"/>
      <c r="BV821" s="383"/>
      <c r="BW821" s="383"/>
      <c r="BX821" s="383"/>
      <c r="BY821" s="383"/>
      <c r="BZ821" s="383"/>
      <c r="CA821" s="383"/>
      <c r="CB821" s="383"/>
      <c r="CC821" s="383"/>
      <c r="CD821" s="383"/>
      <c r="CE821" s="383"/>
      <c r="CF821" s="383"/>
      <c r="CG821" s="223"/>
      <c r="CH821" s="223"/>
      <c r="CI821" s="223"/>
      <c r="CJ821" s="223"/>
      <c r="CK821" s="223"/>
      <c r="CL821" s="28"/>
      <c r="CM821" s="28"/>
      <c r="CN821" s="28"/>
      <c r="CO821" s="28"/>
      <c r="CP821" s="28"/>
      <c r="CQ821" s="223"/>
      <c r="CR821" s="223"/>
      <c r="CS821" s="223"/>
      <c r="CT821" s="829"/>
      <c r="CU821" s="223"/>
      <c r="CV821" s="223"/>
      <c r="CW821" s="223"/>
      <c r="CX821" s="223"/>
      <c r="CY821" s="223"/>
      <c r="CZ821" s="427">
        <f>262-CZ820</f>
        <v>186</v>
      </c>
      <c r="DA821" s="427">
        <f>526-DA820</f>
        <v>378</v>
      </c>
      <c r="DB821" s="427">
        <f>797-DB820</f>
        <v>575</v>
      </c>
      <c r="DC821" s="45">
        <f t="shared" si="1220"/>
        <v>765</v>
      </c>
      <c r="DD821" s="427">
        <f>1098-DD820</f>
        <v>765</v>
      </c>
      <c r="DE821" s="427">
        <f>313-DE820</f>
        <v>204</v>
      </c>
      <c r="DF821" s="427">
        <f>645-DF820</f>
        <v>421</v>
      </c>
      <c r="DG821" s="427">
        <f>987-DG820</f>
        <v>642</v>
      </c>
      <c r="DH821" s="45">
        <f t="shared" si="1221"/>
        <v>867</v>
      </c>
      <c r="DI821" s="427">
        <f>1341-DI820</f>
        <v>867</v>
      </c>
      <c r="DJ821" s="427">
        <f>364-DJ820</f>
        <v>225</v>
      </c>
      <c r="DK821" s="427">
        <f>735-DK820</f>
        <v>458</v>
      </c>
      <c r="DL821" s="427">
        <f>1131-DL820</f>
        <v>715</v>
      </c>
      <c r="DM821" s="45">
        <f t="shared" si="1222"/>
        <v>969</v>
      </c>
      <c r="DN821" s="427">
        <f>1539-DN820</f>
        <v>969</v>
      </c>
      <c r="DO821" s="427">
        <f>547-DO820</f>
        <v>394</v>
      </c>
      <c r="DP821" s="427">
        <f>1423-DP820</f>
        <v>1066</v>
      </c>
      <c r="DQ821" s="427">
        <f>2178-DQ820</f>
        <v>1614</v>
      </c>
      <c r="DR821" s="45">
        <f t="shared" si="1223"/>
        <v>2198</v>
      </c>
      <c r="DS821" s="427">
        <f>2966-DS820</f>
        <v>2198</v>
      </c>
      <c r="DT821" s="427">
        <f>688-DT820</f>
        <v>474</v>
      </c>
      <c r="DU821" s="427">
        <f>1358-DU820</f>
        <v>934</v>
      </c>
      <c r="DV821" s="339">
        <f>1937-DV820</f>
        <v>1295</v>
      </c>
      <c r="DW821" s="45">
        <f t="shared" si="1224"/>
        <v>1703</v>
      </c>
      <c r="DX821" s="339">
        <f>2559-DX820</f>
        <v>1703</v>
      </c>
      <c r="DY821" s="427">
        <f>557-DY820</f>
        <v>346</v>
      </c>
      <c r="DZ821" s="427">
        <f>1242-DZ820</f>
        <v>777</v>
      </c>
      <c r="EA821" s="339">
        <f>1853-EA820</f>
        <v>1135</v>
      </c>
      <c r="EB821" s="45">
        <f t="shared" ref="EB821:EB824" si="1229">EC821</f>
        <v>1552</v>
      </c>
      <c r="EC821" s="339">
        <f>2519-EC820</f>
        <v>1552</v>
      </c>
      <c r="ED821" s="427">
        <f>591-ED820</f>
        <v>337</v>
      </c>
      <c r="EE821" s="427">
        <f>1255-EE820</f>
        <v>746</v>
      </c>
      <c r="EF821" s="2056">
        <f>1887-EF820</f>
        <v>1114</v>
      </c>
      <c r="EG821" s="45">
        <f t="shared" ref="EG821:EG824" si="1230">EH821</f>
        <v>1535</v>
      </c>
      <c r="EH821" s="2056">
        <f>2589-EH820</f>
        <v>1535</v>
      </c>
      <c r="EI821" s="427">
        <f>667-EI820</f>
        <v>378</v>
      </c>
      <c r="EJ821" s="427">
        <f>1467-EJ820</f>
        <v>770</v>
      </c>
      <c r="EK821" s="2056">
        <f>2516-EK820</f>
        <v>1187</v>
      </c>
      <c r="EL821" s="45">
        <f t="shared" ref="EL821:EL824" si="1231">EM821</f>
        <v>1640</v>
      </c>
      <c r="EM821" s="2056">
        <f>3519-EM820</f>
        <v>1640</v>
      </c>
      <c r="EN821" s="427">
        <f>678-EN820</f>
        <v>376</v>
      </c>
      <c r="EO821" s="427">
        <f>1415-EO820</f>
        <v>779</v>
      </c>
      <c r="EP821" s="427">
        <f>2231-EP820</f>
        <v>1185</v>
      </c>
      <c r="EQ821" s="45">
        <f t="shared" ref="EQ821:EQ824" si="1232">ER821</f>
        <v>1599</v>
      </c>
      <c r="ER821" s="2056">
        <f>3056-ER820</f>
        <v>1599</v>
      </c>
    </row>
    <row r="822" spans="1:148">
      <c r="A822" s="28"/>
      <c r="B822" s="45"/>
      <c r="C822" s="391" t="s">
        <v>75</v>
      </c>
      <c r="D822" s="45"/>
      <c r="E822" s="290">
        <f t="shared" si="1183"/>
        <v>-66</v>
      </c>
      <c r="F822" s="260">
        <f t="shared" si="1184"/>
        <v>166</v>
      </c>
      <c r="G822" s="260">
        <f t="shared" si="1184"/>
        <v>574</v>
      </c>
      <c r="H822" s="291">
        <f t="shared" si="1185"/>
        <v>-3</v>
      </c>
      <c r="I822" s="647">
        <f t="shared" si="1186"/>
        <v>671</v>
      </c>
      <c r="J822" s="290">
        <f t="shared" si="1187"/>
        <v>67</v>
      </c>
      <c r="K822" s="260">
        <f t="shared" si="1188"/>
        <v>-101</v>
      </c>
      <c r="L822" s="260">
        <f t="shared" si="1188"/>
        <v>443</v>
      </c>
      <c r="M822" s="291">
        <f t="shared" si="1189"/>
        <v>332</v>
      </c>
      <c r="N822" s="647">
        <f t="shared" si="1190"/>
        <v>741</v>
      </c>
      <c r="O822" s="290">
        <f t="shared" si="1191"/>
        <v>180</v>
      </c>
      <c r="P822" s="260">
        <f t="shared" si="1192"/>
        <v>118</v>
      </c>
      <c r="Q822" s="260">
        <f t="shared" si="1192"/>
        <v>38</v>
      </c>
      <c r="R822" s="291">
        <f t="shared" si="1193"/>
        <v>215</v>
      </c>
      <c r="S822" s="647">
        <f t="shared" si="1194"/>
        <v>551</v>
      </c>
      <c r="T822" s="290">
        <f t="shared" si="1195"/>
        <v>165</v>
      </c>
      <c r="U822" s="260">
        <f t="shared" si="1196"/>
        <v>3</v>
      </c>
      <c r="V822" s="260">
        <f t="shared" si="1196"/>
        <v>-99</v>
      </c>
      <c r="W822" s="291">
        <f t="shared" si="1197"/>
        <v>339</v>
      </c>
      <c r="X822" s="647">
        <f t="shared" si="1198"/>
        <v>408</v>
      </c>
      <c r="Y822" s="290">
        <f t="shared" si="1199"/>
        <v>-81</v>
      </c>
      <c r="Z822" s="260">
        <f t="shared" si="1200"/>
        <v>37</v>
      </c>
      <c r="AA822" s="260">
        <f t="shared" si="1200"/>
        <v>227</v>
      </c>
      <c r="AB822" s="291">
        <f t="shared" si="1201"/>
        <v>132</v>
      </c>
      <c r="AC822" s="647">
        <f t="shared" si="1202"/>
        <v>315</v>
      </c>
      <c r="AD822" s="290">
        <f t="shared" si="1203"/>
        <v>-161</v>
      </c>
      <c r="AE822" s="260">
        <f t="shared" si="1204"/>
        <v>146</v>
      </c>
      <c r="AF822" s="260">
        <f t="shared" si="1204"/>
        <v>169</v>
      </c>
      <c r="AG822" s="291">
        <f t="shared" si="1205"/>
        <v>-352</v>
      </c>
      <c r="AH822" s="647">
        <f t="shared" si="1206"/>
        <v>-198</v>
      </c>
      <c r="AI822" s="290">
        <f t="shared" si="1207"/>
        <v>89</v>
      </c>
      <c r="AJ822" s="260">
        <f t="shared" si="1208"/>
        <v>-24</v>
      </c>
      <c r="AK822" s="260">
        <f t="shared" si="1208"/>
        <v>-44</v>
      </c>
      <c r="AL822" s="291">
        <f t="shared" si="1209"/>
        <v>28</v>
      </c>
      <c r="AM822" s="647">
        <f t="shared" si="1210"/>
        <v>49</v>
      </c>
      <c r="AN822" s="290">
        <f t="shared" si="1211"/>
        <v>68</v>
      </c>
      <c r="AO822" s="260">
        <f t="shared" si="1212"/>
        <v>-127</v>
      </c>
      <c r="AP822" s="260">
        <f t="shared" si="1212"/>
        <v>-74</v>
      </c>
      <c r="AQ822" s="291">
        <f t="shared" si="1213"/>
        <v>-136</v>
      </c>
      <c r="AR822" s="647">
        <f t="shared" si="1214"/>
        <v>-269</v>
      </c>
      <c r="AS822" s="290">
        <f t="shared" si="1215"/>
        <v>112</v>
      </c>
      <c r="AT822" s="260">
        <f t="shared" si="1216"/>
        <v>-285</v>
      </c>
      <c r="AU822" s="260">
        <f t="shared" si="1217"/>
        <v>-11</v>
      </c>
      <c r="AV822" s="291">
        <f t="shared" si="1218"/>
        <v>-1838</v>
      </c>
      <c r="AW822" s="647">
        <f t="shared" si="1219"/>
        <v>-2022</v>
      </c>
      <c r="AX822" s="290">
        <f ca="1">+BB822/4</f>
        <v>76.364730189757594</v>
      </c>
      <c r="AY822" s="260">
        <f ca="1">(BB822-SUM(AX822:AX822))/3</f>
        <v>76.364730189757594</v>
      </c>
      <c r="AZ822" s="260">
        <f ca="1">(BB822-SUM(AX822:AY822))/2</f>
        <v>76.364730189757594</v>
      </c>
      <c r="BA822" s="291">
        <f ca="1">(BB822-SUM(AX822:AZ822))/1</f>
        <v>76.364730189757609</v>
      </c>
      <c r="BB822" s="2058">
        <f ca="1">(BB28/EXC!BB37)*EXC!BB152</f>
        <v>305.45892075903038</v>
      </c>
      <c r="BC822" s="290">
        <f ca="1">+BG822/4</f>
        <v>61.933023674768748</v>
      </c>
      <c r="BD822" s="260">
        <f ca="1">(BG822-SUM(BC822:BC822))/3</f>
        <v>61.933023674768748</v>
      </c>
      <c r="BE822" s="260">
        <f ca="1">(BG822-SUM(BC822:BD822))/2</f>
        <v>61.933023674768748</v>
      </c>
      <c r="BF822" s="291">
        <f ca="1">(BG822-SUM(BC822:BE822))/1</f>
        <v>61.933023674768748</v>
      </c>
      <c r="BG822" s="426">
        <f ca="1">(BG28/EXC!BG37)*EXC!BG152</f>
        <v>247.73209469907499</v>
      </c>
      <c r="BH822" s="290">
        <f ca="1">+BL822/4</f>
        <v>52.720895247974525</v>
      </c>
      <c r="BI822" s="260">
        <f ca="1">(BL822-SUM(BH822:BH822))/3</f>
        <v>52.720895247974532</v>
      </c>
      <c r="BJ822" s="260">
        <f ca="1">(BL822-SUM(BH822:BI822))/2</f>
        <v>52.720895247974525</v>
      </c>
      <c r="BK822" s="291">
        <f ca="1">(BL822-SUM(BH822:BJ822))/1</f>
        <v>52.720895247974511</v>
      </c>
      <c r="BL822" s="426">
        <f ca="1">(BL28/EXC!BL37)*EXC!BL152</f>
        <v>210.8835809918981</v>
      </c>
      <c r="BM822" s="290">
        <f ca="1">+BQ822/4</f>
        <v>56.946402111160126</v>
      </c>
      <c r="BN822" s="260">
        <f ca="1">(BQ822-SUM(BM822:BM822))/3</f>
        <v>56.946402111160126</v>
      </c>
      <c r="BO822" s="260">
        <f ca="1">(BQ822-SUM(BM822:BN822))/2</f>
        <v>56.946402111160126</v>
      </c>
      <c r="BP822" s="291">
        <f ca="1">(BQ822-SUM(BM822:BO822))/1</f>
        <v>56.946402111160126</v>
      </c>
      <c r="BQ822" s="426">
        <f ca="1">(BQ28/EXC!BQ37)*EXC!BQ152</f>
        <v>227.7856084446405</v>
      </c>
      <c r="BR822" s="45"/>
      <c r="BS822" s="45"/>
      <c r="BT822" s="28"/>
      <c r="BU822" s="45"/>
      <c r="BV822" s="45"/>
      <c r="BW822" s="45"/>
      <c r="BX822" s="45"/>
      <c r="BY822" s="45"/>
      <c r="BZ822" s="45"/>
      <c r="CA822" s="45"/>
      <c r="CB822" s="45"/>
      <c r="CC822" s="45"/>
      <c r="CD822" s="45"/>
      <c r="CE822" s="45"/>
      <c r="CF822" s="45"/>
      <c r="CG822" s="28"/>
      <c r="CH822" s="28"/>
      <c r="CI822" s="28"/>
      <c r="CJ822" s="28"/>
      <c r="CK822" s="28"/>
      <c r="CL822" s="45"/>
      <c r="CM822" s="45"/>
      <c r="CN822" s="45"/>
      <c r="CO822" s="45"/>
      <c r="CP822" s="45"/>
      <c r="CQ822" s="28"/>
      <c r="CR822" s="28"/>
      <c r="CS822" s="28"/>
      <c r="CT822" s="831"/>
      <c r="CU822" s="28"/>
      <c r="CV822" s="28"/>
      <c r="CW822" s="28"/>
      <c r="CX822" s="28"/>
      <c r="CY822" s="28"/>
      <c r="CZ822" s="427">
        <v>-66</v>
      </c>
      <c r="DA822" s="427">
        <v>100</v>
      </c>
      <c r="DB822" s="427">
        <v>674</v>
      </c>
      <c r="DC822" s="45">
        <f t="shared" si="1220"/>
        <v>671</v>
      </c>
      <c r="DD822" s="427">
        <v>671</v>
      </c>
      <c r="DE822" s="427">
        <v>67</v>
      </c>
      <c r="DF822" s="427">
        <v>-34</v>
      </c>
      <c r="DG822" s="427">
        <v>409</v>
      </c>
      <c r="DH822" s="45">
        <f t="shared" si="1221"/>
        <v>741</v>
      </c>
      <c r="DI822" s="427">
        <v>741</v>
      </c>
      <c r="DJ822" s="427">
        <v>180</v>
      </c>
      <c r="DK822" s="427">
        <v>298</v>
      </c>
      <c r="DL822" s="427">
        <v>336</v>
      </c>
      <c r="DM822" s="45">
        <f t="shared" si="1222"/>
        <v>551</v>
      </c>
      <c r="DN822" s="427">
        <v>551</v>
      </c>
      <c r="DO822" s="427">
        <v>165</v>
      </c>
      <c r="DP822" s="427">
        <v>168</v>
      </c>
      <c r="DQ822" s="427">
        <v>69</v>
      </c>
      <c r="DR822" s="45">
        <f t="shared" si="1223"/>
        <v>408</v>
      </c>
      <c r="DS822" s="427">
        <v>408</v>
      </c>
      <c r="DT822" s="427">
        <v>-81</v>
      </c>
      <c r="DU822" s="427">
        <v>-44</v>
      </c>
      <c r="DV822" s="339">
        <v>183</v>
      </c>
      <c r="DW822" s="45">
        <f t="shared" si="1224"/>
        <v>315</v>
      </c>
      <c r="DX822" s="339">
        <v>315</v>
      </c>
      <c r="DY822" s="427">
        <v>-161</v>
      </c>
      <c r="DZ822" s="427">
        <v>-15</v>
      </c>
      <c r="EA822" s="339">
        <v>154</v>
      </c>
      <c r="EB822" s="45">
        <f t="shared" si="1229"/>
        <v>-198</v>
      </c>
      <c r="EC822" s="339">
        <v>-198</v>
      </c>
      <c r="ED822" s="427">
        <v>89</v>
      </c>
      <c r="EE822" s="427">
        <v>65</v>
      </c>
      <c r="EF822" s="2056">
        <v>21</v>
      </c>
      <c r="EG822" s="45">
        <f t="shared" si="1230"/>
        <v>49</v>
      </c>
      <c r="EH822" s="2056">
        <v>49</v>
      </c>
      <c r="EI822" s="427">
        <v>68</v>
      </c>
      <c r="EJ822" s="427">
        <v>-59</v>
      </c>
      <c r="EK822" s="2056">
        <v>-133</v>
      </c>
      <c r="EL822" s="45">
        <f t="shared" si="1231"/>
        <v>-269</v>
      </c>
      <c r="EM822" s="2056">
        <v>-269</v>
      </c>
      <c r="EN822" s="427">
        <v>112</v>
      </c>
      <c r="EO822" s="427">
        <v>-173</v>
      </c>
      <c r="EP822" s="427">
        <v>-184</v>
      </c>
      <c r="EQ822" s="45">
        <f t="shared" si="1232"/>
        <v>-2022</v>
      </c>
      <c r="ER822" s="2056">
        <v>-2022</v>
      </c>
    </row>
    <row r="823" spans="1:148">
      <c r="A823" s="45"/>
      <c r="B823" s="45"/>
      <c r="C823" s="391" t="s">
        <v>62</v>
      </c>
      <c r="D823" s="45"/>
      <c r="E823" s="290">
        <f t="shared" si="1183"/>
        <v>240</v>
      </c>
      <c r="F823" s="260">
        <f t="shared" si="1184"/>
        <v>81</v>
      </c>
      <c r="G823" s="260">
        <f t="shared" si="1184"/>
        <v>-326</v>
      </c>
      <c r="H823" s="291">
        <f t="shared" si="1185"/>
        <v>30</v>
      </c>
      <c r="I823" s="647">
        <f t="shared" si="1186"/>
        <v>25</v>
      </c>
      <c r="J823" s="290">
        <f t="shared" si="1187"/>
        <v>-253</v>
      </c>
      <c r="K823" s="260">
        <f t="shared" si="1188"/>
        <v>322</v>
      </c>
      <c r="L823" s="260">
        <f t="shared" si="1188"/>
        <v>-235</v>
      </c>
      <c r="M823" s="291">
        <f t="shared" si="1189"/>
        <v>155</v>
      </c>
      <c r="N823" s="647">
        <f t="shared" si="1190"/>
        <v>-11</v>
      </c>
      <c r="O823" s="290">
        <f t="shared" si="1191"/>
        <v>180</v>
      </c>
      <c r="P823" s="260">
        <f t="shared" si="1192"/>
        <v>201</v>
      </c>
      <c r="Q823" s="260">
        <f t="shared" si="1192"/>
        <v>431</v>
      </c>
      <c r="R823" s="291">
        <f t="shared" si="1193"/>
        <v>-86</v>
      </c>
      <c r="S823" s="647">
        <f t="shared" si="1194"/>
        <v>726</v>
      </c>
      <c r="T823" s="290">
        <f t="shared" si="1195"/>
        <v>-76</v>
      </c>
      <c r="U823" s="260">
        <f t="shared" si="1196"/>
        <v>17</v>
      </c>
      <c r="V823" s="260">
        <f t="shared" si="1196"/>
        <v>272</v>
      </c>
      <c r="W823" s="291">
        <f t="shared" si="1197"/>
        <v>-172</v>
      </c>
      <c r="X823" s="647">
        <f t="shared" si="1198"/>
        <v>41</v>
      </c>
      <c r="Y823" s="290">
        <f t="shared" si="1199"/>
        <v>406</v>
      </c>
      <c r="Z823" s="260">
        <f t="shared" si="1200"/>
        <v>-139</v>
      </c>
      <c r="AA823" s="260">
        <f t="shared" si="1200"/>
        <v>-209</v>
      </c>
      <c r="AB823" s="291">
        <f t="shared" si="1201"/>
        <v>-262</v>
      </c>
      <c r="AC823" s="647">
        <f t="shared" si="1202"/>
        <v>-204</v>
      </c>
      <c r="AD823" s="290">
        <f t="shared" si="1203"/>
        <v>796</v>
      </c>
      <c r="AE823" s="260">
        <f t="shared" si="1204"/>
        <v>-263</v>
      </c>
      <c r="AF823" s="260">
        <f t="shared" si="1204"/>
        <v>-399</v>
      </c>
      <c r="AG823" s="291">
        <f t="shared" si="1205"/>
        <v>567</v>
      </c>
      <c r="AH823" s="647">
        <f t="shared" si="1206"/>
        <v>701</v>
      </c>
      <c r="AI823" s="290">
        <f t="shared" si="1207"/>
        <v>-166</v>
      </c>
      <c r="AJ823" s="260">
        <f t="shared" si="1208"/>
        <v>-105</v>
      </c>
      <c r="AK823" s="260">
        <f t="shared" si="1208"/>
        <v>461</v>
      </c>
      <c r="AL823" s="291">
        <f t="shared" si="1209"/>
        <v>-40</v>
      </c>
      <c r="AM823" s="647">
        <f t="shared" si="1210"/>
        <v>150</v>
      </c>
      <c r="AN823" s="290">
        <f t="shared" si="1211"/>
        <v>9</v>
      </c>
      <c r="AO823" s="260">
        <f t="shared" si="1212"/>
        <v>393</v>
      </c>
      <c r="AP823" s="260">
        <f t="shared" si="1212"/>
        <v>-226</v>
      </c>
      <c r="AQ823" s="291">
        <f t="shared" si="1213"/>
        <v>-48</v>
      </c>
      <c r="AR823" s="647">
        <f t="shared" si="1214"/>
        <v>128</v>
      </c>
      <c r="AS823" s="290">
        <f t="shared" si="1215"/>
        <v>-354</v>
      </c>
      <c r="AT823" s="260">
        <f t="shared" si="1216"/>
        <v>641</v>
      </c>
      <c r="AU823" s="260">
        <f t="shared" si="1217"/>
        <v>-175</v>
      </c>
      <c r="AV823" s="291">
        <f t="shared" si="1218"/>
        <v>-387</v>
      </c>
      <c r="AW823" s="647">
        <f t="shared" si="1219"/>
        <v>-275</v>
      </c>
      <c r="AX823" s="290">
        <f>+BB823/4</f>
        <v>-25</v>
      </c>
      <c r="AY823" s="260">
        <f>(BB823-SUM(AX823:AX823))/3</f>
        <v>-25</v>
      </c>
      <c r="AZ823" s="260">
        <f>(BB823-SUM(AX823:AY823))/2</f>
        <v>-25</v>
      </c>
      <c r="BA823" s="291">
        <f>(BB823-SUM(AX823:AZ823))/1</f>
        <v>-25</v>
      </c>
      <c r="BB823" s="426">
        <v>-100</v>
      </c>
      <c r="BC823" s="290">
        <f>+BG823/4</f>
        <v>-25</v>
      </c>
      <c r="BD823" s="260">
        <f>(BG823-SUM(BC823:BC823))/3</f>
        <v>-25</v>
      </c>
      <c r="BE823" s="260">
        <f>(BG823-SUM(BC823:BD823))/2</f>
        <v>-25</v>
      </c>
      <c r="BF823" s="291">
        <f>(BG823-SUM(BC823:BE823))/1</f>
        <v>-25</v>
      </c>
      <c r="BG823" s="426">
        <v>-100</v>
      </c>
      <c r="BH823" s="290">
        <f>+BL823/4</f>
        <v>-25</v>
      </c>
      <c r="BI823" s="260">
        <f>(BL823-SUM(BH823:BH823))/3</f>
        <v>-25</v>
      </c>
      <c r="BJ823" s="260">
        <f>(BL823-SUM(BH823:BI823))/2</f>
        <v>-25</v>
      </c>
      <c r="BK823" s="291">
        <f>(BL823-SUM(BH823:BJ823))/1</f>
        <v>-25</v>
      </c>
      <c r="BL823" s="426">
        <v>-100</v>
      </c>
      <c r="BM823" s="290">
        <f>+BQ823/4</f>
        <v>0</v>
      </c>
      <c r="BN823" s="260">
        <f>(BQ823-SUM(BM823:BM823))/3</f>
        <v>0</v>
      </c>
      <c r="BO823" s="260">
        <f>(BQ823-SUM(BM823:BN823))/2</f>
        <v>0</v>
      </c>
      <c r="BP823" s="291">
        <f>(BQ823-SUM(BM823:BO823))/1</f>
        <v>0</v>
      </c>
      <c r="BQ823" s="2032">
        <v>0</v>
      </c>
      <c r="BR823" s="45"/>
      <c r="BS823" s="45"/>
      <c r="BT823" s="45"/>
      <c r="BU823" s="223"/>
      <c r="BV823" s="223"/>
      <c r="BW823" s="223"/>
      <c r="BX823" s="223"/>
      <c r="BY823" s="223"/>
      <c r="BZ823" s="223"/>
      <c r="CA823" s="223"/>
      <c r="CB823" s="223"/>
      <c r="CC823" s="223"/>
      <c r="CD823" s="223"/>
      <c r="CE823" s="223"/>
      <c r="CF823" s="223"/>
      <c r="CG823" s="45"/>
      <c r="CH823" s="45"/>
      <c r="CI823" s="45"/>
      <c r="CJ823" s="45"/>
      <c r="CK823" s="45"/>
      <c r="CL823" s="223"/>
      <c r="CM823" s="223"/>
      <c r="CN823" s="223"/>
      <c r="CO823" s="223"/>
      <c r="CP823" s="223"/>
      <c r="CQ823" s="45"/>
      <c r="CR823" s="45"/>
      <c r="CS823" s="45"/>
      <c r="CT823" s="830"/>
      <c r="CU823" s="45"/>
      <c r="CV823" s="45"/>
      <c r="CW823" s="45"/>
      <c r="CX823" s="45"/>
      <c r="CY823" s="45"/>
      <c r="CZ823" s="427">
        <f>223-164+68+113</f>
        <v>240</v>
      </c>
      <c r="DA823" s="427">
        <f>223+28-43+113</f>
        <v>321</v>
      </c>
      <c r="DB823" s="427">
        <f>223-74-183+29</f>
        <v>-5</v>
      </c>
      <c r="DC823" s="45">
        <f t="shared" si="1220"/>
        <v>25</v>
      </c>
      <c r="DD823" s="427">
        <f>223-95-207+104</f>
        <v>25</v>
      </c>
      <c r="DE823" s="427">
        <f>-233-36+16</f>
        <v>-253</v>
      </c>
      <c r="DF823" s="427">
        <f>-123+59+133</f>
        <v>69</v>
      </c>
      <c r="DG823" s="427">
        <f>-281-49+164</f>
        <v>-166</v>
      </c>
      <c r="DH823" s="45">
        <f t="shared" si="1221"/>
        <v>-11</v>
      </c>
      <c r="DI823" s="427">
        <f>-88-105+182</f>
        <v>-11</v>
      </c>
      <c r="DJ823" s="427">
        <f>148-40+72</f>
        <v>180</v>
      </c>
      <c r="DK823" s="427">
        <f>264-51+168</f>
        <v>381</v>
      </c>
      <c r="DL823" s="427">
        <f>360+90+362</f>
        <v>812</v>
      </c>
      <c r="DM823" s="45">
        <f t="shared" si="1222"/>
        <v>726</v>
      </c>
      <c r="DN823" s="427">
        <f>291+14+421</f>
        <v>726</v>
      </c>
      <c r="DO823" s="427">
        <f>-63-103+90</f>
        <v>-76</v>
      </c>
      <c r="DP823" s="427">
        <f>318-307-70</f>
        <v>-59</v>
      </c>
      <c r="DQ823" s="427">
        <f>278-345-142+422</f>
        <v>213</v>
      </c>
      <c r="DR823" s="45">
        <f t="shared" si="1223"/>
        <v>41</v>
      </c>
      <c r="DS823" s="427">
        <f>272-611-157+537</f>
        <v>41</v>
      </c>
      <c r="DT823" s="427">
        <f>406-66+66</f>
        <v>406</v>
      </c>
      <c r="DU823" s="427">
        <f>-21-27+315</f>
        <v>267</v>
      </c>
      <c r="DV823" s="339">
        <f>-222-95+375</f>
        <v>58</v>
      </c>
      <c r="DW823" s="45">
        <f t="shared" si="1224"/>
        <v>-204</v>
      </c>
      <c r="DX823" s="339">
        <f>-448-170+414</f>
        <v>-204</v>
      </c>
      <c r="DY823" s="427">
        <f>737-26+85</f>
        <v>796</v>
      </c>
      <c r="DZ823" s="427">
        <f>760+209-168-268</f>
        <v>533</v>
      </c>
      <c r="EA823" s="339">
        <f>509-141+251-268-355+138</f>
        <v>134</v>
      </c>
      <c r="EB823" s="45">
        <f t="shared" si="1229"/>
        <v>701</v>
      </c>
      <c r="EC823" s="339">
        <f>635-210+346-296-437+663</f>
        <v>701</v>
      </c>
      <c r="ED823" s="427">
        <f>1+-165-47+45</f>
        <v>-166</v>
      </c>
      <c r="EE823" s="427">
        <f>+-1-6-396-2+134</f>
        <v>-271</v>
      </c>
      <c r="EF823" s="2056">
        <f>1-7-252+221+227</f>
        <v>190</v>
      </c>
      <c r="EG823" s="45">
        <f t="shared" si="1230"/>
        <v>150</v>
      </c>
      <c r="EH823" s="2056">
        <f>12-12-249+131+268</f>
        <v>150</v>
      </c>
      <c r="EI823" s="427">
        <f>119+51-106-55</f>
        <v>9</v>
      </c>
      <c r="EJ823" s="427">
        <f>179-31+199-114+169</f>
        <v>402</v>
      </c>
      <c r="EK823" s="2056">
        <f>209-31+112-243+129</f>
        <v>176</v>
      </c>
      <c r="EL823" s="45">
        <f t="shared" si="1231"/>
        <v>128</v>
      </c>
      <c r="EM823" s="2056">
        <f>243+59+40-229+15</f>
        <v>128</v>
      </c>
      <c r="EN823" s="427">
        <f>10-10+51-175-4-226</f>
        <v>-354</v>
      </c>
      <c r="EO823" s="427">
        <f>445-4-226+235-284+121</f>
        <v>287</v>
      </c>
      <c r="EP823" s="427">
        <f>485-3-233+160-429+132</f>
        <v>112</v>
      </c>
      <c r="EQ823" s="45">
        <f t="shared" si="1232"/>
        <v>-275</v>
      </c>
      <c r="ER823" s="2056">
        <f>510-213-2-233+167-616+112</f>
        <v>-275</v>
      </c>
    </row>
    <row r="824" spans="1:148">
      <c r="A824" s="223"/>
      <c r="B824" s="45"/>
      <c r="C824" s="391" t="s">
        <v>233</v>
      </c>
      <c r="D824" s="45"/>
      <c r="E824" s="290">
        <f t="shared" si="1183"/>
        <v>688</v>
      </c>
      <c r="F824" s="260">
        <f t="shared" si="1184"/>
        <v>-662</v>
      </c>
      <c r="G824" s="260">
        <f t="shared" si="1184"/>
        <v>-34</v>
      </c>
      <c r="H824" s="291">
        <f t="shared" si="1185"/>
        <v>22</v>
      </c>
      <c r="I824" s="647">
        <f t="shared" si="1186"/>
        <v>14</v>
      </c>
      <c r="J824" s="290">
        <f t="shared" si="1187"/>
        <v>877</v>
      </c>
      <c r="K824" s="260">
        <f t="shared" si="1188"/>
        <v>-1047</v>
      </c>
      <c r="L824" s="260">
        <f t="shared" si="1188"/>
        <v>-45</v>
      </c>
      <c r="M824" s="291">
        <f t="shared" si="1189"/>
        <v>-796</v>
      </c>
      <c r="N824" s="647">
        <f t="shared" si="1190"/>
        <v>-1011</v>
      </c>
      <c r="O824" s="290">
        <f t="shared" si="1191"/>
        <v>-641</v>
      </c>
      <c r="P824" s="260">
        <f t="shared" si="1192"/>
        <v>-635</v>
      </c>
      <c r="Q824" s="260">
        <f t="shared" si="1192"/>
        <v>-206</v>
      </c>
      <c r="R824" s="291">
        <f t="shared" si="1193"/>
        <v>208</v>
      </c>
      <c r="S824" s="647">
        <f t="shared" si="1194"/>
        <v>-1274</v>
      </c>
      <c r="T824" s="290">
        <f t="shared" si="1195"/>
        <v>-7</v>
      </c>
      <c r="U824" s="260">
        <f t="shared" si="1196"/>
        <v>9</v>
      </c>
      <c r="V824" s="260">
        <f t="shared" si="1196"/>
        <v>132</v>
      </c>
      <c r="W824" s="291">
        <f t="shared" si="1197"/>
        <v>-526</v>
      </c>
      <c r="X824" s="647">
        <f t="shared" si="1198"/>
        <v>-392</v>
      </c>
      <c r="Y824" s="290">
        <f t="shared" si="1199"/>
        <v>-490</v>
      </c>
      <c r="Z824" s="260">
        <f t="shared" si="1200"/>
        <v>-251</v>
      </c>
      <c r="AA824" s="260">
        <f t="shared" si="1200"/>
        <v>425</v>
      </c>
      <c r="AB824" s="291">
        <f t="shared" si="1201"/>
        <v>473</v>
      </c>
      <c r="AC824" s="647">
        <f t="shared" si="1202"/>
        <v>157</v>
      </c>
      <c r="AD824" s="290">
        <f t="shared" si="1203"/>
        <v>-1176</v>
      </c>
      <c r="AE824" s="260">
        <f t="shared" si="1204"/>
        <v>-30</v>
      </c>
      <c r="AF824" s="260">
        <f t="shared" si="1204"/>
        <v>-188</v>
      </c>
      <c r="AG824" s="291">
        <f t="shared" si="1205"/>
        <v>-821</v>
      </c>
      <c r="AH824" s="647">
        <f t="shared" si="1206"/>
        <v>-2215</v>
      </c>
      <c r="AI824" s="290">
        <f t="shared" si="1207"/>
        <v>-162</v>
      </c>
      <c r="AJ824" s="260">
        <f t="shared" si="1208"/>
        <v>661</v>
      </c>
      <c r="AK824" s="260">
        <f t="shared" si="1208"/>
        <v>-599</v>
      </c>
      <c r="AL824" s="291">
        <f t="shared" si="1209"/>
        <v>171</v>
      </c>
      <c r="AM824" s="647">
        <f t="shared" si="1210"/>
        <v>71</v>
      </c>
      <c r="AN824" s="290">
        <f t="shared" si="1211"/>
        <v>-219</v>
      </c>
      <c r="AO824" s="260">
        <f t="shared" si="1212"/>
        <v>511</v>
      </c>
      <c r="AP824" s="260">
        <f t="shared" si="1212"/>
        <v>316</v>
      </c>
      <c r="AQ824" s="291">
        <f t="shared" si="1213"/>
        <v>-100</v>
      </c>
      <c r="AR824" s="647">
        <f t="shared" si="1214"/>
        <v>508</v>
      </c>
      <c r="AS824" s="290">
        <f t="shared" si="1215"/>
        <v>-105</v>
      </c>
      <c r="AT824" s="260">
        <f t="shared" si="1216"/>
        <v>-594</v>
      </c>
      <c r="AU824" s="260">
        <f t="shared" si="1217"/>
        <v>319</v>
      </c>
      <c r="AV824" s="291">
        <f t="shared" si="1218"/>
        <v>149</v>
      </c>
      <c r="AW824" s="647">
        <f t="shared" si="1219"/>
        <v>-231</v>
      </c>
      <c r="AX824" s="290">
        <f>+BB824/4</f>
        <v>0</v>
      </c>
      <c r="AY824" s="260">
        <f>(BB824-SUM(AX824:AX824))/3</f>
        <v>0</v>
      </c>
      <c r="AZ824" s="260">
        <f>(BB824-SUM(AX824:AY824))/2</f>
        <v>0</v>
      </c>
      <c r="BA824" s="291">
        <f>(BB824-SUM(AX824:AZ824))/1</f>
        <v>0</v>
      </c>
      <c r="BB824" s="426">
        <v>0</v>
      </c>
      <c r="BC824" s="290">
        <f>+BG824/4</f>
        <v>0</v>
      </c>
      <c r="BD824" s="260">
        <f>(BG824-SUM(BC824:BC824))/3</f>
        <v>0</v>
      </c>
      <c r="BE824" s="260">
        <f>(BG824-SUM(BC824:BD824))/2</f>
        <v>0</v>
      </c>
      <c r="BF824" s="291">
        <f>(BG824-SUM(BC824:BE824))/1</f>
        <v>0</v>
      </c>
      <c r="BG824" s="426">
        <v>0</v>
      </c>
      <c r="BH824" s="290">
        <f>+BL824/4</f>
        <v>0</v>
      </c>
      <c r="BI824" s="260">
        <f>(BL824-SUM(BH824:BH824))/3</f>
        <v>0</v>
      </c>
      <c r="BJ824" s="260">
        <f>(BL824-SUM(BH824:BI824))/2</f>
        <v>0</v>
      </c>
      <c r="BK824" s="291">
        <f>(BL824-SUM(BH824:BJ824))/1</f>
        <v>0</v>
      </c>
      <c r="BL824" s="426">
        <v>0</v>
      </c>
      <c r="BM824" s="290">
        <f>+BQ824/4</f>
        <v>0</v>
      </c>
      <c r="BN824" s="260">
        <f>(BQ824-SUM(BM824:BM824))/3</f>
        <v>0</v>
      </c>
      <c r="BO824" s="260">
        <f>(BQ824-SUM(BM824:BN824))/2</f>
        <v>0</v>
      </c>
      <c r="BP824" s="291">
        <f>(BQ824-SUM(BM824:BO824))/1</f>
        <v>0</v>
      </c>
      <c r="BQ824" s="426">
        <v>0</v>
      </c>
      <c r="BR824" s="45"/>
      <c r="BS824" s="45"/>
      <c r="BT824" s="223"/>
      <c r="BU824" s="28"/>
      <c r="BV824" s="28"/>
      <c r="BW824" s="28"/>
      <c r="BX824" s="28"/>
      <c r="BY824" s="28"/>
      <c r="BZ824" s="28"/>
      <c r="CA824" s="28"/>
      <c r="CB824" s="28"/>
      <c r="CC824" s="28"/>
      <c r="CD824" s="28"/>
      <c r="CE824" s="28"/>
      <c r="CF824" s="28"/>
      <c r="CG824" s="223"/>
      <c r="CH824" s="223"/>
      <c r="CI824" s="223"/>
      <c r="CJ824" s="223"/>
      <c r="CK824" s="223"/>
      <c r="CL824" s="223"/>
      <c r="CM824" s="223"/>
      <c r="CN824" s="223"/>
      <c r="CO824" s="223"/>
      <c r="CP824" s="223"/>
      <c r="CQ824" s="223"/>
      <c r="CR824" s="223"/>
      <c r="CS824" s="223"/>
      <c r="CT824" s="829"/>
      <c r="CU824" s="223"/>
      <c r="CV824" s="223"/>
      <c r="CW824" s="223"/>
      <c r="CX824" s="223"/>
      <c r="CY824" s="223"/>
      <c r="CZ824" s="427">
        <f>92-24+28-223-68+784+149-16-34</f>
        <v>688</v>
      </c>
      <c r="DA824" s="427">
        <f>174-47+1-186-39+245-68-33-21</f>
        <v>26</v>
      </c>
      <c r="DB824" s="427">
        <f>147-30-8-233-39+379-22-208+6</f>
        <v>-8</v>
      </c>
      <c r="DC824" s="45">
        <f t="shared" si="1220"/>
        <v>14</v>
      </c>
      <c r="DD824" s="427">
        <f>172-54-29-43-40+195+79-265-1</f>
        <v>14</v>
      </c>
      <c r="DE824" s="427">
        <f>79+39+15-74+66+478+358-53-31</f>
        <v>877</v>
      </c>
      <c r="DF824" s="427">
        <f>70-27-203-15-54+158-65-34</f>
        <v>-170</v>
      </c>
      <c r="DG824" s="427">
        <f>-11+76-50-162-101+443-13-345-52</f>
        <v>-215</v>
      </c>
      <c r="DH824" s="45">
        <f t="shared" si="1221"/>
        <v>-1011</v>
      </c>
      <c r="DI824" s="427">
        <f>-5-70-18-124-1-303-445-45</f>
        <v>-1011</v>
      </c>
      <c r="DJ824" s="427">
        <f>-151+238+26+17+19-206+388-952-20</f>
        <v>-641</v>
      </c>
      <c r="DK824" s="427">
        <f>-139+223-5-78+38-525+270-952-108</f>
        <v>-1276</v>
      </c>
      <c r="DL824" s="427">
        <f>-165+210-32-1+59-804+268-952-65</f>
        <v>-1482</v>
      </c>
      <c r="DM824" s="45">
        <f t="shared" si="1222"/>
        <v>-1274</v>
      </c>
      <c r="DN824" s="427">
        <f>-122+208-47+34-3-410+193-1070-57</f>
        <v>-1274</v>
      </c>
      <c r="DO824" s="427">
        <f>321+85+59-782-100+348+162-20-80</f>
        <v>-7</v>
      </c>
      <c r="DP824" s="427">
        <f>1866-SUM(DP819:DP823)</f>
        <v>2</v>
      </c>
      <c r="DQ824" s="427">
        <f>189-58+34-546-122+315+565-48-195</f>
        <v>134</v>
      </c>
      <c r="DR824" s="45">
        <f t="shared" si="1223"/>
        <v>-392</v>
      </c>
      <c r="DS824" s="427">
        <f>248+39+31-499-114+95+114-178-128</f>
        <v>-392</v>
      </c>
      <c r="DT824" s="427">
        <f>65-23+29-261-3-203+180-115-159</f>
        <v>-490</v>
      </c>
      <c r="DU824" s="427">
        <f>88-29-38-426-10-303+265-120-168</f>
        <v>-741</v>
      </c>
      <c r="DV824" s="339">
        <f>57+2-81-162-38-123+315-123-163</f>
        <v>-316</v>
      </c>
      <c r="DW824" s="45">
        <f t="shared" si="1224"/>
        <v>157</v>
      </c>
      <c r="DX824" s="339">
        <f>109+2-88-109-36+162+402-149-136</f>
        <v>157</v>
      </c>
      <c r="DY824" s="427">
        <f>-295+3+1+128+15-699-35-191-103</f>
        <v>-1176</v>
      </c>
      <c r="DZ824" s="427">
        <f>63-20-170-273+21-633+72-210-56</f>
        <v>-1206</v>
      </c>
      <c r="EA824" s="339">
        <f>153+72-286-311+21-634+172-214-367</f>
        <v>-1394</v>
      </c>
      <c r="EB824" s="45">
        <f t="shared" si="1229"/>
        <v>-2215</v>
      </c>
      <c r="EC824" s="339">
        <f>-215+15-359+94+38-1507+265-297-249</f>
        <v>-2215</v>
      </c>
      <c r="ED824" s="427">
        <f>24-10+228+-345+5+62-107-104+85</f>
        <v>-162</v>
      </c>
      <c r="EE824" s="427">
        <f>291-11+134-485+22+440+27-122+203</f>
        <v>499</v>
      </c>
      <c r="EF824" s="2056">
        <f>252+16+69-156+27+376-70-189-425</f>
        <v>-100</v>
      </c>
      <c r="EG824" s="45">
        <f t="shared" si="1230"/>
        <v>71</v>
      </c>
      <c r="EH824" s="2056">
        <f>194+15+16+-149+58+407-18-245-207</f>
        <v>71</v>
      </c>
      <c r="EI824" s="427">
        <f>173+93-17-363+17+198-60-112-148</f>
        <v>-219</v>
      </c>
      <c r="EJ824" s="427">
        <f>123-77+57-228-10+720+41-117-217</f>
        <v>292</v>
      </c>
      <c r="EK824" s="2056">
        <f>26-56+18+9-24+759+202-122-204</f>
        <v>608</v>
      </c>
      <c r="EL824" s="45">
        <f t="shared" si="1231"/>
        <v>508</v>
      </c>
      <c r="EM824" s="2056">
        <f>-152-21-4+29-66+923+182-152-231</f>
        <v>508</v>
      </c>
      <c r="EN824" s="427">
        <f>195+81+23+62-6-102-81-110-167</f>
        <v>-105</v>
      </c>
      <c r="EO824" s="427">
        <f>192+8-5-328-8-163-99-116-180</f>
        <v>-699</v>
      </c>
      <c r="EP824" s="427">
        <f>106+27-43-257+35-77+154-122-203</f>
        <v>-380</v>
      </c>
      <c r="EQ824" s="45">
        <f t="shared" si="1232"/>
        <v>-231</v>
      </c>
      <c r="ER824" s="2056">
        <f>-276-7-29+2+28-129+496-148-168</f>
        <v>-231</v>
      </c>
    </row>
    <row r="825" spans="1:148">
      <c r="A825" s="223"/>
      <c r="B825" s="45"/>
      <c r="C825" s="389" t="s">
        <v>148</v>
      </c>
      <c r="D825" s="45"/>
      <c r="E825" s="292">
        <f>SUM(E819:E824)</f>
        <v>1652</v>
      </c>
      <c r="F825" s="261">
        <f>SUM(F819:F824)</f>
        <v>362</v>
      </c>
      <c r="G825" s="261">
        <f>SUM(G819:G824)</f>
        <v>1141</v>
      </c>
      <c r="H825" s="293">
        <f>SUM(H819:H824)</f>
        <v>775</v>
      </c>
      <c r="I825" s="583">
        <f t="shared" si="1186"/>
        <v>3930</v>
      </c>
      <c r="J825" s="292">
        <f>SUM(J819:J824)</f>
        <v>1565</v>
      </c>
      <c r="K825" s="261">
        <f>SUM(K819:K824)</f>
        <v>-112</v>
      </c>
      <c r="L825" s="261">
        <f>SUM(L819:L824)</f>
        <v>1110</v>
      </c>
      <c r="M825" s="293">
        <f>SUM(M819:M824)</f>
        <v>469</v>
      </c>
      <c r="N825" s="583">
        <f t="shared" si="1190"/>
        <v>3032</v>
      </c>
      <c r="O825" s="292">
        <f>SUM(O819:O824)</f>
        <v>578</v>
      </c>
      <c r="P825" s="261">
        <f>SUM(P819:P824)</f>
        <v>498</v>
      </c>
      <c r="Q825" s="261">
        <f>SUM(Q819:Q824)</f>
        <v>1046</v>
      </c>
      <c r="R825" s="293">
        <f>SUM(R819:R824)</f>
        <v>1191</v>
      </c>
      <c r="S825" s="583">
        <f t="shared" si="1194"/>
        <v>3313</v>
      </c>
      <c r="T825" s="292">
        <f t="shared" ref="T825:AD825" si="1233">SUM(T819:T824)</f>
        <v>795</v>
      </c>
      <c r="U825" s="261">
        <f>SUM(U819:U824)</f>
        <v>1071</v>
      </c>
      <c r="V825" s="261">
        <f>SUM(V819:V824)</f>
        <v>1147</v>
      </c>
      <c r="W825" s="293">
        <f>SUM(W819:W824)</f>
        <v>568</v>
      </c>
      <c r="X825" s="583">
        <f t="shared" si="1198"/>
        <v>3581</v>
      </c>
      <c r="Y825" s="292">
        <f t="shared" si="1233"/>
        <v>506</v>
      </c>
      <c r="Z825" s="261">
        <f>SUM(Z819:Z824)</f>
        <v>644</v>
      </c>
      <c r="AA825" s="261">
        <f>SUM(AA819:AA824)</f>
        <v>1507</v>
      </c>
      <c r="AB825" s="293">
        <f>SUM(AB819:AB824)</f>
        <v>1230</v>
      </c>
      <c r="AC825" s="583">
        <f t="shared" si="1202"/>
        <v>3887</v>
      </c>
      <c r="AD825" s="292">
        <f t="shared" si="1233"/>
        <v>-169</v>
      </c>
      <c r="AE825" s="261">
        <f>SUM(AE819:AE824)</f>
        <v>911</v>
      </c>
      <c r="AF825" s="261">
        <f>SUM(AF819:AF824)</f>
        <v>1042</v>
      </c>
      <c r="AG825" s="293">
        <f>SUM(AG819:AG824)</f>
        <v>42</v>
      </c>
      <c r="AH825" s="583">
        <f t="shared" si="1206"/>
        <v>1826</v>
      </c>
      <c r="AI825" s="292">
        <f t="shared" ref="AI825" si="1234">SUM(AI819:AI824)</f>
        <v>837</v>
      </c>
      <c r="AJ825" s="261">
        <f>SUM(AJ819:AJ824)</f>
        <v>1586</v>
      </c>
      <c r="AK825" s="261">
        <f>SUM(AK819:AK824)</f>
        <v>783</v>
      </c>
      <c r="AL825" s="293">
        <f>SUM(AL819:AL824)</f>
        <v>993</v>
      </c>
      <c r="AM825" s="583">
        <f t="shared" si="1210"/>
        <v>4199</v>
      </c>
      <c r="AN825" s="292">
        <f t="shared" ref="AN825" si="1235">SUM(AN819:AN824)</f>
        <v>782</v>
      </c>
      <c r="AO825" s="261">
        <f>SUM(AO819:AO824)</f>
        <v>1605</v>
      </c>
      <c r="AP825" s="261">
        <f>SUM(AP819:AP824)</f>
        <v>1336</v>
      </c>
      <c r="AQ825" s="293">
        <f>SUM(AQ819:AQ824)</f>
        <v>721</v>
      </c>
      <c r="AR825" s="583">
        <f t="shared" si="1214"/>
        <v>4444</v>
      </c>
      <c r="AS825" s="292">
        <f t="shared" ref="AS825" si="1236">SUM(AS819:AS824)</f>
        <v>740</v>
      </c>
      <c r="AT825" s="261">
        <f>SUM(AT819:AT824)</f>
        <v>234</v>
      </c>
      <c r="AU825" s="261">
        <f t="shared" ref="AU825" si="1237">SUM(AU819:AU824)</f>
        <v>1296</v>
      </c>
      <c r="AV825" s="293">
        <f>SUM(AV819:AV824)</f>
        <v>1029</v>
      </c>
      <c r="AW825" s="583">
        <f t="shared" si="1219"/>
        <v>3299</v>
      </c>
      <c r="AX825" s="292">
        <f t="shared" ref="AX825:BL825" ca="1" si="1238">SUM(AX819:AX824)</f>
        <v>965.56262092198267</v>
      </c>
      <c r="AY825" s="261">
        <f t="shared" ca="1" si="1238"/>
        <v>822.64501313896312</v>
      </c>
      <c r="AZ825" s="261">
        <f t="shared" ca="1" si="1238"/>
        <v>1015.4291957059718</v>
      </c>
      <c r="BA825" s="293">
        <f t="shared" ca="1" si="1238"/>
        <v>787.03266419658871</v>
      </c>
      <c r="BB825" s="228">
        <f t="shared" ca="1" si="1238"/>
        <v>3590.6694939635058</v>
      </c>
      <c r="BC825" s="292">
        <f t="shared" ca="1" si="1238"/>
        <v>1016.694610633913</v>
      </c>
      <c r="BD825" s="261">
        <f t="shared" ca="1" si="1238"/>
        <v>724.48912476496196</v>
      </c>
      <c r="BE825" s="261">
        <f t="shared" ca="1" si="1238"/>
        <v>857.5296581242302</v>
      </c>
      <c r="BF825" s="293">
        <f t="shared" ca="1" si="1238"/>
        <v>660.71372401729025</v>
      </c>
      <c r="BG825" s="228">
        <f t="shared" ca="1" si="1238"/>
        <v>3259.4271175403951</v>
      </c>
      <c r="BH825" s="292">
        <f t="shared" ca="1" si="1238"/>
        <v>868.98232919437169</v>
      </c>
      <c r="BI825" s="261">
        <f t="shared" ca="1" si="1238"/>
        <v>603.91689741299706</v>
      </c>
      <c r="BJ825" s="261">
        <f t="shared" ca="1" si="1238"/>
        <v>814.60894914248115</v>
      </c>
      <c r="BK825" s="293">
        <f t="shared" ca="1" si="1238"/>
        <v>656.89275591415003</v>
      </c>
      <c r="BL825" s="228">
        <f t="shared" ca="1" si="1238"/>
        <v>2944.4009316639999</v>
      </c>
      <c r="BM825" s="292">
        <f t="shared" ref="BM825:BQ825" ca="1" si="1239">SUM(BM819:BM824)</f>
        <v>811.07025980704361</v>
      </c>
      <c r="BN825" s="261">
        <f t="shared" ca="1" si="1239"/>
        <v>701.94497160382593</v>
      </c>
      <c r="BO825" s="261">
        <f t="shared" ca="1" si="1239"/>
        <v>888.16385266547309</v>
      </c>
      <c r="BP825" s="293">
        <f t="shared" ca="1" si="1239"/>
        <v>738.40992005700355</v>
      </c>
      <c r="BQ825" s="228">
        <f t="shared" ca="1" si="1239"/>
        <v>3139.589004133346</v>
      </c>
      <c r="BR825" s="45"/>
      <c r="BS825" s="45"/>
      <c r="BT825" s="223"/>
      <c r="BU825" s="45"/>
      <c r="BV825" s="45"/>
      <c r="BW825" s="45"/>
      <c r="BX825" s="45"/>
      <c r="BY825" s="45"/>
      <c r="BZ825" s="45"/>
      <c r="CA825" s="45"/>
      <c r="CB825" s="45"/>
      <c r="CC825" s="45"/>
      <c r="CD825" s="45"/>
      <c r="CE825" s="45"/>
      <c r="CF825" s="45"/>
      <c r="CG825" s="223"/>
      <c r="CH825" s="223"/>
      <c r="CI825" s="223"/>
      <c r="CJ825" s="223"/>
      <c r="CK825" s="223"/>
      <c r="CL825" s="45"/>
      <c r="CM825" s="45"/>
      <c r="CN825" s="45"/>
      <c r="CO825" s="45"/>
      <c r="CP825" s="45"/>
      <c r="CQ825" s="223"/>
      <c r="CR825" s="223"/>
      <c r="CS825" s="223"/>
      <c r="CT825" s="829"/>
      <c r="CU825" s="223"/>
      <c r="CV825" s="223"/>
      <c r="CW825" s="223"/>
      <c r="CX825" s="223"/>
      <c r="CY825" s="223"/>
      <c r="CZ825" s="228">
        <f t="shared" ref="CZ825:DN825" si="1240">SUM(CZ819:CZ824)</f>
        <v>1652</v>
      </c>
      <c r="DA825" s="228">
        <f t="shared" si="1240"/>
        <v>2014</v>
      </c>
      <c r="DB825" s="228">
        <f t="shared" si="1240"/>
        <v>3155</v>
      </c>
      <c r="DC825" s="228">
        <f t="shared" si="1240"/>
        <v>3930</v>
      </c>
      <c r="DD825" s="228">
        <f t="shared" si="1240"/>
        <v>3930</v>
      </c>
      <c r="DE825" s="228">
        <f t="shared" si="1240"/>
        <v>1565</v>
      </c>
      <c r="DF825" s="228">
        <f t="shared" si="1240"/>
        <v>1453</v>
      </c>
      <c r="DG825" s="228">
        <f t="shared" si="1240"/>
        <v>2563</v>
      </c>
      <c r="DH825" s="228">
        <f t="shared" si="1240"/>
        <v>3032</v>
      </c>
      <c r="DI825" s="228">
        <f t="shared" si="1240"/>
        <v>3032</v>
      </c>
      <c r="DJ825" s="228">
        <f t="shared" si="1240"/>
        <v>578</v>
      </c>
      <c r="DK825" s="228">
        <f t="shared" si="1240"/>
        <v>1076</v>
      </c>
      <c r="DL825" s="228">
        <f t="shared" si="1240"/>
        <v>2122</v>
      </c>
      <c r="DM825" s="228">
        <f t="shared" si="1240"/>
        <v>3313</v>
      </c>
      <c r="DN825" s="228">
        <f t="shared" si="1240"/>
        <v>3313</v>
      </c>
      <c r="DO825" s="228">
        <f t="shared" ref="DO825:DV825" si="1241">SUM(DO819:DO824)</f>
        <v>795</v>
      </c>
      <c r="DP825" s="228">
        <f t="shared" si="1241"/>
        <v>1866</v>
      </c>
      <c r="DQ825" s="228">
        <f t="shared" si="1241"/>
        <v>3013</v>
      </c>
      <c r="DR825" s="228">
        <f t="shared" si="1241"/>
        <v>3581</v>
      </c>
      <c r="DS825" s="228">
        <f t="shared" si="1241"/>
        <v>3581</v>
      </c>
      <c r="DT825" s="228">
        <f t="shared" si="1241"/>
        <v>506</v>
      </c>
      <c r="DU825" s="228">
        <f t="shared" si="1241"/>
        <v>1150</v>
      </c>
      <c r="DV825" s="228">
        <f t="shared" si="1241"/>
        <v>2657</v>
      </c>
      <c r="DW825" s="228">
        <f>SUM(DW819:DW824)</f>
        <v>3887</v>
      </c>
      <c r="DX825" s="228">
        <f>SUM(DX819:DX824)</f>
        <v>3887</v>
      </c>
      <c r="DY825" s="228">
        <f>SUM(DY819:DY824)</f>
        <v>-169</v>
      </c>
      <c r="DZ825" s="228">
        <f>SUM(DZ819:DZ824)</f>
        <v>742</v>
      </c>
      <c r="EA825" s="228">
        <f t="shared" ref="EA825" si="1242">SUM(EA819:EA824)</f>
        <v>1784</v>
      </c>
      <c r="EB825" s="228">
        <f>SUM(EB819:EB824)</f>
        <v>1826</v>
      </c>
      <c r="EC825" s="228">
        <f>SUM(EC819:EC824)</f>
        <v>1826</v>
      </c>
      <c r="ED825" s="228">
        <f>SUM(ED819:ED824)</f>
        <v>837</v>
      </c>
      <c r="EE825" s="228">
        <f>SUM(EE819:EE824)</f>
        <v>2423</v>
      </c>
      <c r="EF825" s="228">
        <f t="shared" ref="EF825" si="1243">SUM(EF819:EF824)</f>
        <v>3206</v>
      </c>
      <c r="EG825" s="228">
        <f>SUM(EG819:EG824)</f>
        <v>4199</v>
      </c>
      <c r="EH825" s="228">
        <f>SUM(EH819:EH824)</f>
        <v>4199</v>
      </c>
      <c r="EI825" s="228">
        <f>SUM(EI819:EI824)</f>
        <v>782</v>
      </c>
      <c r="EJ825" s="228">
        <f>SUM(EJ819:EJ824)</f>
        <v>2387</v>
      </c>
      <c r="EK825" s="228">
        <f t="shared" ref="EK825" si="1244">SUM(EK819:EK824)</f>
        <v>3723</v>
      </c>
      <c r="EL825" s="228">
        <f t="shared" ref="EL825:ER825" si="1245">SUM(EL819:EL824)</f>
        <v>4444</v>
      </c>
      <c r="EM825" s="228">
        <f t="shared" si="1245"/>
        <v>4444</v>
      </c>
      <c r="EN825" s="228">
        <f t="shared" si="1245"/>
        <v>740</v>
      </c>
      <c r="EO825" s="228">
        <f t="shared" si="1245"/>
        <v>974</v>
      </c>
      <c r="EP825" s="228">
        <f t="shared" si="1245"/>
        <v>2270</v>
      </c>
      <c r="EQ825" s="228">
        <f t="shared" si="1245"/>
        <v>3299</v>
      </c>
      <c r="ER825" s="228">
        <f t="shared" si="1245"/>
        <v>3299</v>
      </c>
    </row>
    <row r="826" spans="1:148">
      <c r="A826" s="45"/>
      <c r="B826" s="45"/>
      <c r="C826" s="389"/>
      <c r="D826" s="45"/>
      <c r="E826" s="292"/>
      <c r="F826" s="261"/>
      <c r="G826" s="261"/>
      <c r="H826" s="293"/>
      <c r="I826" s="583"/>
      <c r="J826" s="292"/>
      <c r="K826" s="261"/>
      <c r="L826" s="261"/>
      <c r="M826" s="293"/>
      <c r="N826" s="583"/>
      <c r="O826" s="292"/>
      <c r="P826" s="261"/>
      <c r="Q826" s="261"/>
      <c r="R826" s="293"/>
      <c r="S826" s="583"/>
      <c r="T826" s="292"/>
      <c r="U826" s="261"/>
      <c r="V826" s="261"/>
      <c r="W826" s="293"/>
      <c r="X826" s="583"/>
      <c r="Y826" s="292"/>
      <c r="Z826" s="261"/>
      <c r="AA826" s="261"/>
      <c r="AB826" s="293"/>
      <c r="AC826" s="583"/>
      <c r="AD826" s="292"/>
      <c r="AE826" s="261"/>
      <c r="AF826" s="261"/>
      <c r="AG826" s="293"/>
      <c r="AH826" s="583"/>
      <c r="AI826" s="292"/>
      <c r="AJ826" s="261"/>
      <c r="AK826" s="261"/>
      <c r="AL826" s="293"/>
      <c r="AM826" s="583"/>
      <c r="AN826" s="292"/>
      <c r="AO826" s="261"/>
      <c r="AP826" s="261"/>
      <c r="AQ826" s="293"/>
      <c r="AR826" s="583"/>
      <c r="AS826" s="292"/>
      <c r="AT826" s="261"/>
      <c r="AU826" s="261"/>
      <c r="AV826" s="293"/>
      <c r="AW826" s="583"/>
      <c r="AX826" s="292"/>
      <c r="AY826" s="261"/>
      <c r="AZ826" s="261"/>
      <c r="BA826" s="293"/>
      <c r="BB826" s="228"/>
      <c r="BC826" s="292"/>
      <c r="BD826" s="261"/>
      <c r="BE826" s="261"/>
      <c r="BF826" s="293"/>
      <c r="BG826" s="228"/>
      <c r="BH826" s="292"/>
      <c r="BI826" s="261"/>
      <c r="BJ826" s="261"/>
      <c r="BK826" s="293"/>
      <c r="BL826" s="228"/>
      <c r="BM826" s="292"/>
      <c r="BN826" s="261"/>
      <c r="BO826" s="261"/>
      <c r="BP826" s="293"/>
      <c r="BQ826" s="228"/>
      <c r="BR826" s="45"/>
      <c r="BS826" s="45"/>
      <c r="BT826" s="45"/>
      <c r="BU826" s="223"/>
      <c r="BV826" s="223"/>
      <c r="BW826" s="223"/>
      <c r="BX826" s="223"/>
      <c r="BY826" s="223"/>
      <c r="BZ826" s="223"/>
      <c r="CA826" s="223"/>
      <c r="CB826" s="223"/>
      <c r="CC826" s="223"/>
      <c r="CD826" s="223"/>
      <c r="CE826" s="223"/>
      <c r="CF826" s="223"/>
      <c r="CG826" s="45"/>
      <c r="CH826" s="45"/>
      <c r="CI826" s="45"/>
      <c r="CJ826" s="45"/>
      <c r="CK826" s="45"/>
      <c r="CL826" s="223"/>
      <c r="CM826" s="223"/>
      <c r="CN826" s="223"/>
      <c r="CO826" s="223"/>
      <c r="CP826" s="223"/>
      <c r="CQ826" s="45"/>
      <c r="CR826" s="45"/>
      <c r="CS826" s="45"/>
      <c r="CT826" s="830"/>
      <c r="CU826" s="45"/>
      <c r="CV826" s="45"/>
      <c r="CW826" s="45"/>
      <c r="CX826" s="45"/>
      <c r="CY826" s="45"/>
      <c r="CZ826" s="45"/>
      <c r="DA826" s="45"/>
      <c r="DB826" s="45"/>
      <c r="DC826" s="45"/>
      <c r="DD826" s="45"/>
      <c r="DE826" s="45"/>
      <c r="DF826" s="45"/>
      <c r="DG826" s="45"/>
      <c r="DH826" s="45"/>
      <c r="DI826" s="45"/>
      <c r="DJ826" s="45"/>
      <c r="DK826" s="45"/>
      <c r="DL826" s="427"/>
      <c r="DM826" s="45"/>
      <c r="DN826" s="45"/>
      <c r="DO826" s="45"/>
      <c r="DP826" s="45"/>
      <c r="DQ826" s="427"/>
      <c r="DR826" s="45"/>
      <c r="DS826" s="45"/>
      <c r="DT826" s="45"/>
      <c r="DU826" s="45"/>
      <c r="DV826" s="339"/>
      <c r="DW826" s="45"/>
      <c r="DX826" s="45"/>
      <c r="DY826" s="45"/>
      <c r="DZ826" s="45"/>
      <c r="EA826" s="339"/>
      <c r="EB826" s="45"/>
      <c r="EC826" s="45"/>
      <c r="ED826" s="45"/>
      <c r="EE826" s="45"/>
      <c r="EF826" s="2056"/>
      <c r="EG826" s="45"/>
      <c r="EH826" s="45"/>
      <c r="EI826" s="45"/>
      <c r="EJ826" s="45"/>
      <c r="EK826" s="2056"/>
      <c r="EL826" s="45"/>
      <c r="EM826" s="45"/>
      <c r="EN826" s="45"/>
      <c r="EO826" s="45"/>
      <c r="EP826" s="45"/>
      <c r="EQ826" s="45"/>
      <c r="ER826" s="45"/>
    </row>
    <row r="827" spans="1:148">
      <c r="A827" s="223"/>
      <c r="B827" s="45"/>
      <c r="C827" s="391" t="s">
        <v>283</v>
      </c>
      <c r="D827" s="45"/>
      <c r="E827" s="290">
        <f>+CZ827</f>
        <v>-376</v>
      </c>
      <c r="F827" s="260">
        <f t="shared" ref="F827:G829" si="1246">+DA827-CZ827</f>
        <v>-425</v>
      </c>
      <c r="G827" s="260">
        <f t="shared" si="1246"/>
        <v>-529</v>
      </c>
      <c r="H827" s="291">
        <f>+DD827-DB827</f>
        <v>-647</v>
      </c>
      <c r="I827" s="647">
        <f t="shared" ref="I827:I839" si="1247">DD827</f>
        <v>-1977</v>
      </c>
      <c r="J827" s="290">
        <f>+DE827</f>
        <v>-592</v>
      </c>
      <c r="K827" s="260">
        <f t="shared" ref="K827:L829" si="1248">+DF827-DE827</f>
        <v>-390</v>
      </c>
      <c r="L827" s="260">
        <f t="shared" si="1248"/>
        <v>-423</v>
      </c>
      <c r="M827" s="291">
        <f>+DI827-DG827</f>
        <v>-478</v>
      </c>
      <c r="N827" s="647">
        <f t="shared" ref="N827:N839" si="1249">DI827</f>
        <v>-1883</v>
      </c>
      <c r="O827" s="290">
        <f>+DJ827</f>
        <v>-772</v>
      </c>
      <c r="P827" s="260">
        <f t="shared" ref="P827:Q829" si="1250">+DK827-DJ827</f>
        <v>-498</v>
      </c>
      <c r="Q827" s="260">
        <f t="shared" si="1250"/>
        <v>-595</v>
      </c>
      <c r="R827" s="291">
        <f>+DN827-DL827</f>
        <v>-626</v>
      </c>
      <c r="S827" s="647">
        <f t="shared" ref="S827:S839" si="1251">DN827</f>
        <v>-2491</v>
      </c>
      <c r="T827" s="290">
        <f>+DO827</f>
        <v>-1055</v>
      </c>
      <c r="U827" s="260">
        <f t="shared" ref="U827:V829" si="1252">+DP827-DO827</f>
        <v>-765</v>
      </c>
      <c r="V827" s="260">
        <f t="shared" si="1252"/>
        <v>-782</v>
      </c>
      <c r="W827" s="291">
        <f>+DS827-DQ827</f>
        <v>-952</v>
      </c>
      <c r="X827" s="647">
        <f t="shared" ref="X827:X839" si="1253">DS827</f>
        <v>-3554</v>
      </c>
      <c r="Y827" s="290">
        <f>+DT827</f>
        <v>-841</v>
      </c>
      <c r="Z827" s="260">
        <f t="shared" ref="Z827:AA829" si="1254">+DU827-DT827</f>
        <v>-436</v>
      </c>
      <c r="AA827" s="260">
        <f t="shared" si="1254"/>
        <v>-718</v>
      </c>
      <c r="AB827" s="291">
        <f>+DX827-DV827</f>
        <v>-757</v>
      </c>
      <c r="AC827" s="647">
        <f t="shared" ref="AC827:AC839" si="1255">DX827</f>
        <v>-2752</v>
      </c>
      <c r="AD827" s="290">
        <f>+DY827</f>
        <v>-535</v>
      </c>
      <c r="AE827" s="260">
        <f t="shared" ref="AE827:AF829" si="1256">+DZ827-DY827</f>
        <v>-568</v>
      </c>
      <c r="AF827" s="260">
        <f t="shared" si="1256"/>
        <v>-858</v>
      </c>
      <c r="AG827" s="291">
        <f>+EC827-EA827</f>
        <v>-1051</v>
      </c>
      <c r="AH827" s="647">
        <f t="shared" ref="AH827:AH839" si="1257">EC827</f>
        <v>-3012</v>
      </c>
      <c r="AI827" s="290">
        <f>+ED827</f>
        <v>-937</v>
      </c>
      <c r="AJ827" s="260">
        <f t="shared" ref="AJ827:AK829" si="1258">+EE827-ED827</f>
        <v>-827</v>
      </c>
      <c r="AK827" s="260">
        <f t="shared" si="1258"/>
        <v>-1010</v>
      </c>
      <c r="AL827" s="291">
        <f>+EH827-EF827</f>
        <v>-1067</v>
      </c>
      <c r="AM827" s="647">
        <f t="shared" ref="AM827:AM839" si="1259">EH827</f>
        <v>-3841</v>
      </c>
      <c r="AN827" s="290">
        <f>+EI827</f>
        <v>-1125</v>
      </c>
      <c r="AO827" s="260">
        <f t="shared" ref="AO827:AP829" si="1260">+EJ827-EI827</f>
        <v>-926</v>
      </c>
      <c r="AP827" s="260">
        <f t="shared" si="1260"/>
        <v>-600</v>
      </c>
      <c r="AQ827" s="291">
        <f>+EM827-EK827</f>
        <v>-427</v>
      </c>
      <c r="AR827" s="647">
        <f t="shared" ref="AR827:AR839" si="1261">EM827</f>
        <v>-3078</v>
      </c>
      <c r="AS827" s="290">
        <f>+EN827</f>
        <v>-923</v>
      </c>
      <c r="AT827" s="260">
        <f t="shared" ref="AT827:AT829" si="1262">+EO827-EN827</f>
        <v>-266</v>
      </c>
      <c r="AU827" s="260">
        <f t="shared" ref="AU827:AU829" si="1263">+EP827-EO827</f>
        <v>-465</v>
      </c>
      <c r="AV827" s="291">
        <f>+ER827-EP827</f>
        <v>-605</v>
      </c>
      <c r="AW827" s="647">
        <f t="shared" ref="AW827:AW839" si="1264">ER827</f>
        <v>-2259</v>
      </c>
      <c r="AX827" s="290">
        <f>+-AX791</f>
        <v>-568.34344576200806</v>
      </c>
      <c r="AY827" s="260">
        <f>+-AY791</f>
        <v>-568.34344576200806</v>
      </c>
      <c r="AZ827" s="260">
        <f>+-AZ791</f>
        <v>-568.34344576200806</v>
      </c>
      <c r="BA827" s="291">
        <f>+-BA791</f>
        <v>-568.34344576200806</v>
      </c>
      <c r="BB827" s="45">
        <f>SUM(AX827:BA827)</f>
        <v>-2273.3737830480322</v>
      </c>
      <c r="BC827" s="290">
        <f>+-BC791</f>
        <v>-462.92642541754657</v>
      </c>
      <c r="BD827" s="260">
        <f>+-BD791</f>
        <v>-462.92642541754657</v>
      </c>
      <c r="BE827" s="260">
        <f>+-BE791</f>
        <v>-462.92642541754657</v>
      </c>
      <c r="BF827" s="291">
        <f>+-BF791</f>
        <v>-462.92642541754657</v>
      </c>
      <c r="BG827" s="45">
        <f>SUM(BC827:BF827)</f>
        <v>-1851.7057016701863</v>
      </c>
      <c r="BH827" s="290">
        <f>+-BH791</f>
        <v>-456.67642541754657</v>
      </c>
      <c r="BI827" s="260">
        <f>+-BI791</f>
        <v>-456.67642541754657</v>
      </c>
      <c r="BJ827" s="260">
        <f>+-BJ791</f>
        <v>-456.67642541754657</v>
      </c>
      <c r="BK827" s="291">
        <f>+-BK791</f>
        <v>-456.67642541754657</v>
      </c>
      <c r="BL827" s="45">
        <f>SUM(BH827:BK827)</f>
        <v>-1826.7057016701863</v>
      </c>
      <c r="BM827" s="290">
        <f>+-BM791</f>
        <v>-456.25</v>
      </c>
      <c r="BN827" s="260">
        <f>+-BN791</f>
        <v>-456.25</v>
      </c>
      <c r="BO827" s="260">
        <f>+-BO791</f>
        <v>-456.25</v>
      </c>
      <c r="BP827" s="291">
        <f>+-BP791</f>
        <v>-456.25</v>
      </c>
      <c r="BQ827" s="45">
        <f>SUM(BM827:BP827)</f>
        <v>-1825</v>
      </c>
      <c r="BR827" s="383"/>
      <c r="BS827" s="383"/>
      <c r="BT827" s="223"/>
      <c r="BU827" s="223"/>
      <c r="BV827" s="223"/>
      <c r="BW827" s="223"/>
      <c r="BX827" s="223"/>
      <c r="BY827" s="223"/>
      <c r="BZ827" s="223"/>
      <c r="CA827" s="223"/>
      <c r="CB827" s="223"/>
      <c r="CC827" s="223"/>
      <c r="CD827" s="223"/>
      <c r="CE827" s="223"/>
      <c r="CF827" s="223"/>
      <c r="CG827" s="223"/>
      <c r="CH827" s="223"/>
      <c r="CI827" s="223"/>
      <c r="CJ827" s="223"/>
      <c r="CK827" s="223"/>
      <c r="CL827" s="223"/>
      <c r="CM827" s="223"/>
      <c r="CN827" s="223"/>
      <c r="CO827" s="223"/>
      <c r="CP827" s="223"/>
      <c r="CQ827" s="223"/>
      <c r="CR827" s="223"/>
      <c r="CS827" s="223"/>
      <c r="CT827" s="829"/>
      <c r="CU827" s="223"/>
      <c r="CV827" s="223"/>
      <c r="CW827" s="223"/>
      <c r="CX827" s="223"/>
      <c r="CY827" s="223"/>
      <c r="CZ827" s="427">
        <v>-376</v>
      </c>
      <c r="DA827" s="427">
        <v>-801</v>
      </c>
      <c r="DB827" s="427">
        <v>-1330</v>
      </c>
      <c r="DC827" s="45">
        <f>DD827</f>
        <v>-1977</v>
      </c>
      <c r="DD827" s="427">
        <v>-1977</v>
      </c>
      <c r="DE827" s="427">
        <v>-592</v>
      </c>
      <c r="DF827" s="427">
        <v>-982</v>
      </c>
      <c r="DG827" s="427">
        <v>-1405</v>
      </c>
      <c r="DH827" s="45">
        <f>DI827</f>
        <v>-1883</v>
      </c>
      <c r="DI827" s="427">
        <v>-1883</v>
      </c>
      <c r="DJ827" s="427">
        <v>-772</v>
      </c>
      <c r="DK827" s="427">
        <v>-1270</v>
      </c>
      <c r="DL827" s="427">
        <v>-1865</v>
      </c>
      <c r="DM827" s="45">
        <f>DN827</f>
        <v>-2491</v>
      </c>
      <c r="DN827" s="427">
        <v>-2491</v>
      </c>
      <c r="DO827" s="427">
        <v>-1055</v>
      </c>
      <c r="DP827" s="427">
        <v>-1820</v>
      </c>
      <c r="DQ827" s="427">
        <v>-2602</v>
      </c>
      <c r="DR827" s="45">
        <f>DS827</f>
        <v>-3554</v>
      </c>
      <c r="DS827" s="427">
        <v>-3554</v>
      </c>
      <c r="DT827" s="427">
        <v>-841</v>
      </c>
      <c r="DU827" s="427">
        <v>-1277</v>
      </c>
      <c r="DV827" s="339">
        <v>-1995</v>
      </c>
      <c r="DW827" s="45">
        <f>DX827</f>
        <v>-2752</v>
      </c>
      <c r="DX827" s="339">
        <v>-2752</v>
      </c>
      <c r="DY827" s="427">
        <v>-535</v>
      </c>
      <c r="DZ827" s="427">
        <v>-1103</v>
      </c>
      <c r="EA827" s="339">
        <v>-1961</v>
      </c>
      <c r="EB827" s="45">
        <f>EC827</f>
        <v>-3012</v>
      </c>
      <c r="EC827" s="339">
        <v>-3012</v>
      </c>
      <c r="ED827" s="427">
        <v>-937</v>
      </c>
      <c r="EE827" s="427">
        <v>-1764</v>
      </c>
      <c r="EF827" s="2056">
        <v>-2774</v>
      </c>
      <c r="EG827" s="45">
        <f>EH827</f>
        <v>-3841</v>
      </c>
      <c r="EH827" s="2056">
        <v>-3841</v>
      </c>
      <c r="EI827" s="427">
        <v>-1125</v>
      </c>
      <c r="EJ827" s="427">
        <v>-2051</v>
      </c>
      <c r="EK827" s="2056">
        <v>-2651</v>
      </c>
      <c r="EL827" s="45">
        <f>EM827</f>
        <v>-3078</v>
      </c>
      <c r="EM827" s="2056">
        <v>-3078</v>
      </c>
      <c r="EN827" s="427">
        <v>-923</v>
      </c>
      <c r="EO827" s="427">
        <v>-1189</v>
      </c>
      <c r="EP827" s="427">
        <v>-1654</v>
      </c>
      <c r="EQ827" s="45">
        <f>ER827</f>
        <v>-2259</v>
      </c>
      <c r="ER827" s="2056">
        <v>-2259</v>
      </c>
    </row>
    <row r="828" spans="1:148">
      <c r="A828" s="223"/>
      <c r="B828" s="45"/>
      <c r="C828" s="787" t="s">
        <v>243</v>
      </c>
      <c r="D828" s="45"/>
      <c r="E828" s="290">
        <f>+CZ828</f>
        <v>-59</v>
      </c>
      <c r="F828" s="260">
        <f t="shared" si="1246"/>
        <v>-70</v>
      </c>
      <c r="G828" s="260">
        <f t="shared" si="1246"/>
        <v>-51</v>
      </c>
      <c r="H828" s="291">
        <f>+DD828-DB828</f>
        <v>-59</v>
      </c>
      <c r="I828" s="647">
        <f t="shared" si="1247"/>
        <v>-239</v>
      </c>
      <c r="J828" s="290">
        <f>+DE828</f>
        <v>-57</v>
      </c>
      <c r="K828" s="260">
        <f t="shared" si="1248"/>
        <v>-41</v>
      </c>
      <c r="L828" s="260">
        <f t="shared" si="1248"/>
        <v>-10</v>
      </c>
      <c r="M828" s="291">
        <f>+DI828-DG828</f>
        <v>-928</v>
      </c>
      <c r="N828" s="647">
        <f t="shared" si="1249"/>
        <v>-1036</v>
      </c>
      <c r="O828" s="290">
        <f>+DJ828</f>
        <v>-52</v>
      </c>
      <c r="P828" s="260">
        <f t="shared" si="1250"/>
        <v>-63</v>
      </c>
      <c r="Q828" s="260">
        <f t="shared" si="1250"/>
        <v>-438</v>
      </c>
      <c r="R828" s="291">
        <f>+DN828-DL828</f>
        <v>-27</v>
      </c>
      <c r="S828" s="647">
        <f t="shared" si="1251"/>
        <v>-580</v>
      </c>
      <c r="T828" s="290">
        <f>+DO828</f>
        <v>-46</v>
      </c>
      <c r="U828" s="260">
        <f t="shared" si="1252"/>
        <v>-66</v>
      </c>
      <c r="V828" s="260">
        <f t="shared" si="1252"/>
        <v>-48</v>
      </c>
      <c r="W828" s="291">
        <f>+DS828-DQ828</f>
        <v>1000</v>
      </c>
      <c r="X828" s="647">
        <f t="shared" si="1253"/>
        <v>840</v>
      </c>
      <c r="Y828" s="290">
        <f>+DT828</f>
        <v>-52</v>
      </c>
      <c r="Z828" s="260">
        <f t="shared" si="1254"/>
        <v>-65</v>
      </c>
      <c r="AA828" s="260">
        <f t="shared" si="1254"/>
        <v>-57</v>
      </c>
      <c r="AB828" s="291">
        <f>+DX828-DV828</f>
        <v>-27</v>
      </c>
      <c r="AC828" s="647">
        <f t="shared" si="1255"/>
        <v>-201</v>
      </c>
      <c r="AD828" s="290">
        <f>+DY828</f>
        <v>-53</v>
      </c>
      <c r="AE828" s="260">
        <f t="shared" si="1256"/>
        <v>34</v>
      </c>
      <c r="AF828" s="260">
        <f t="shared" si="1256"/>
        <v>526</v>
      </c>
      <c r="AG828" s="291">
        <f>+EC828-EA828</f>
        <v>671</v>
      </c>
      <c r="AH828" s="647">
        <f t="shared" si="1257"/>
        <v>1178</v>
      </c>
      <c r="AI828" s="290">
        <f>+ED828</f>
        <v>61</v>
      </c>
      <c r="AJ828" s="260">
        <f t="shared" si="1258"/>
        <v>-68</v>
      </c>
      <c r="AK828" s="260">
        <f t="shared" si="1258"/>
        <v>-63</v>
      </c>
      <c r="AL828" s="291">
        <f>+EH828-EF828</f>
        <v>-75</v>
      </c>
      <c r="AM828" s="647">
        <f t="shared" si="1259"/>
        <v>-145</v>
      </c>
      <c r="AN828" s="290">
        <f>+EI828</f>
        <v>-58</v>
      </c>
      <c r="AO828" s="260">
        <f t="shared" si="1260"/>
        <v>-30</v>
      </c>
      <c r="AP828" s="260">
        <f t="shared" si="1260"/>
        <v>-316</v>
      </c>
      <c r="AQ828" s="291">
        <f>+EM828-EK828</f>
        <v>-94</v>
      </c>
      <c r="AR828" s="647">
        <f t="shared" si="1261"/>
        <v>-498</v>
      </c>
      <c r="AS828" s="290">
        <f>+EN828</f>
        <v>-278</v>
      </c>
      <c r="AT828" s="260">
        <f t="shared" si="1262"/>
        <v>150</v>
      </c>
      <c r="AU828" s="260">
        <f t="shared" si="1263"/>
        <v>-58</v>
      </c>
      <c r="AV828" s="291">
        <f>+ER828-EP828</f>
        <v>-72</v>
      </c>
      <c r="AW828" s="647">
        <f t="shared" si="1264"/>
        <v>-258</v>
      </c>
      <c r="AX828" s="290">
        <f>+BB828/4</f>
        <v>0</v>
      </c>
      <c r="AY828" s="260">
        <f>(BB828-SUM(AX828:AX828))/3</f>
        <v>0</v>
      </c>
      <c r="AZ828" s="260">
        <f>(BB828-SUM(AX828:AY828))/2</f>
        <v>0</v>
      </c>
      <c r="BA828" s="291">
        <f>(BB828-SUM(AX828:AZ828))/1</f>
        <v>0</v>
      </c>
      <c r="BB828" s="426">
        <v>0</v>
      </c>
      <c r="BC828" s="290">
        <f>+BG828/4</f>
        <v>0</v>
      </c>
      <c r="BD828" s="260">
        <f>(BG828-SUM(BC828:BC828))/3</f>
        <v>0</v>
      </c>
      <c r="BE828" s="260">
        <f>(BG828-SUM(BC828:BD828))/2</f>
        <v>0</v>
      </c>
      <c r="BF828" s="291">
        <f>(BG828-SUM(BC828:BE828))/1</f>
        <v>0</v>
      </c>
      <c r="BG828" s="426">
        <v>0</v>
      </c>
      <c r="BH828" s="290">
        <f>+BL828/4</f>
        <v>0</v>
      </c>
      <c r="BI828" s="260">
        <f>(BL828-SUM(BH828:BH828))/3</f>
        <v>0</v>
      </c>
      <c r="BJ828" s="260">
        <f>(BL828-SUM(BH828:BI828))/2</f>
        <v>0</v>
      </c>
      <c r="BK828" s="291">
        <f>(BL828-SUM(BH828:BJ828))/1</f>
        <v>0</v>
      </c>
      <c r="BL828" s="426">
        <v>0</v>
      </c>
      <c r="BM828" s="290">
        <f>+BQ828/4</f>
        <v>0</v>
      </c>
      <c r="BN828" s="260">
        <f>(BQ828-SUM(BM828:BM828))/3</f>
        <v>0</v>
      </c>
      <c r="BO828" s="260">
        <f>(BQ828-SUM(BM828:BN828))/2</f>
        <v>0</v>
      </c>
      <c r="BP828" s="291">
        <f>(BQ828-SUM(BM828:BO828))/1</f>
        <v>0</v>
      </c>
      <c r="BQ828" s="426">
        <v>0</v>
      </c>
      <c r="BR828" s="383"/>
      <c r="BS828" s="383"/>
      <c r="BT828" s="223"/>
      <c r="BU828" s="45"/>
      <c r="BV828" s="45"/>
      <c r="BW828" s="45"/>
      <c r="BX828" s="45"/>
      <c r="BY828" s="45"/>
      <c r="BZ828" s="45"/>
      <c r="CA828" s="45"/>
      <c r="CB828" s="45"/>
      <c r="CC828" s="45"/>
      <c r="CD828" s="45"/>
      <c r="CE828" s="45"/>
      <c r="CF828" s="45"/>
      <c r="CG828" s="223"/>
      <c r="CH828" s="223"/>
      <c r="CI828" s="223"/>
      <c r="CJ828" s="223"/>
      <c r="CK828" s="223"/>
      <c r="CL828" s="28"/>
      <c r="CM828" s="28"/>
      <c r="CN828" s="28"/>
      <c r="CO828" s="28"/>
      <c r="CP828" s="28"/>
      <c r="CQ828" s="223"/>
      <c r="CR828" s="223"/>
      <c r="CS828" s="223"/>
      <c r="CT828" s="829"/>
      <c r="CU828" s="223"/>
      <c r="CV828" s="223"/>
      <c r="CW828" s="223"/>
      <c r="CX828" s="223"/>
      <c r="CY828" s="223"/>
      <c r="CZ828" s="427">
        <f>3050-3109</f>
        <v>-59</v>
      </c>
      <c r="DA828" s="427">
        <f>10150-10279</f>
        <v>-129</v>
      </c>
      <c r="DB828" s="427">
        <f>18769-18949</f>
        <v>-180</v>
      </c>
      <c r="DC828" s="45">
        <f>DD828</f>
        <v>-239</v>
      </c>
      <c r="DD828" s="427">
        <f>4292-4531</f>
        <v>-239</v>
      </c>
      <c r="DE828" s="427">
        <f>909-966</f>
        <v>-57</v>
      </c>
      <c r="DF828" s="427">
        <f>1799-1897</f>
        <v>-98</v>
      </c>
      <c r="DG828" s="427">
        <f>2756-2864</f>
        <v>-108</v>
      </c>
      <c r="DH828" s="45">
        <f>DI828</f>
        <v>-1036</v>
      </c>
      <c r="DI828" s="427">
        <f>3764-3907-893</f>
        <v>-1036</v>
      </c>
      <c r="DJ828" s="427">
        <f>1195-1247</f>
        <v>-52</v>
      </c>
      <c r="DK828" s="427">
        <f>1657-1772</f>
        <v>-115</v>
      </c>
      <c r="DL828" s="427">
        <f>3120-3293-380</f>
        <v>-553</v>
      </c>
      <c r="DM828" s="45">
        <f>DN828</f>
        <v>-580</v>
      </c>
      <c r="DN828" s="427">
        <f>6139-6332-387</f>
        <v>-580</v>
      </c>
      <c r="DO828" s="427">
        <f>3680-3726</f>
        <v>-46</v>
      </c>
      <c r="DP828" s="427">
        <f>-5483+5371</f>
        <v>-112</v>
      </c>
      <c r="DQ828" s="427">
        <f>6262-6422</f>
        <v>-160</v>
      </c>
      <c r="DR828" s="45">
        <f>DS828</f>
        <v>840</v>
      </c>
      <c r="DS828" s="427">
        <f>7265-7483+708+371-21</f>
        <v>840</v>
      </c>
      <c r="DT828" s="427">
        <f>677-729</f>
        <v>-52</v>
      </c>
      <c r="DU828" s="427">
        <f>1448-1565</f>
        <v>-117</v>
      </c>
      <c r="DV828" s="339">
        <f>3344-3518</f>
        <v>-174</v>
      </c>
      <c r="DW828" s="45">
        <f>DX828</f>
        <v>-201</v>
      </c>
      <c r="DX828" s="339">
        <f>4217-4450+32</f>
        <v>-201</v>
      </c>
      <c r="DY828" s="427">
        <f>1825-1878</f>
        <v>-53</v>
      </c>
      <c r="DZ828" s="427">
        <f>4219-4238</f>
        <v>-19</v>
      </c>
      <c r="EA828" s="339">
        <f>5464-5550-67+660</f>
        <v>507</v>
      </c>
      <c r="EB828" s="45">
        <f>EC828</f>
        <v>1178</v>
      </c>
      <c r="EC828" s="339">
        <f>7396-7551+1719-386</f>
        <v>1178</v>
      </c>
      <c r="ED828" s="427">
        <f>1681-1747-15+142</f>
        <v>61</v>
      </c>
      <c r="EE828" s="427">
        <f>3314-3437-28+144</f>
        <v>-7</v>
      </c>
      <c r="EF828" s="2056">
        <f>4551-4737-28+144</f>
        <v>-70</v>
      </c>
      <c r="EG828" s="45">
        <f>EH828</f>
        <v>-145</v>
      </c>
      <c r="EH828" s="2056">
        <f>6895-7147+147-40</f>
        <v>-145</v>
      </c>
      <c r="EI828" s="427">
        <f>2240-2297-1</f>
        <v>-58</v>
      </c>
      <c r="EJ828" s="427">
        <f>4977-5094-1+30</f>
        <v>-88</v>
      </c>
      <c r="EK828" s="2056">
        <f>7914-8093-255+30</f>
        <v>-404</v>
      </c>
      <c r="EL828" s="45">
        <f>EM828</f>
        <v>-498</v>
      </c>
      <c r="EM828" s="2056">
        <f>9496-9738+37-293</f>
        <v>-498</v>
      </c>
      <c r="EN828" s="427">
        <f>1767-1833-212</f>
        <v>-278</v>
      </c>
      <c r="EO828" s="427">
        <f>5213-5339-212+210</f>
        <v>-128</v>
      </c>
      <c r="EP828" s="427">
        <f>6848-7044-208+218</f>
        <v>-186</v>
      </c>
      <c r="EQ828" s="45">
        <f>ER828</f>
        <v>-258</v>
      </c>
      <c r="ER828" s="2056">
        <f>7845-8113+218-208</f>
        <v>-258</v>
      </c>
    </row>
    <row r="829" spans="1:148">
      <c r="A829" s="28"/>
      <c r="B829" s="45"/>
      <c r="C829" s="391" t="s">
        <v>62</v>
      </c>
      <c r="D829" s="45"/>
      <c r="E829" s="290">
        <f>+CZ829</f>
        <v>-93</v>
      </c>
      <c r="F829" s="260">
        <f t="shared" si="1246"/>
        <v>97</v>
      </c>
      <c r="G829" s="260">
        <f t="shared" si="1246"/>
        <v>9</v>
      </c>
      <c r="H829" s="291">
        <f>+DD829-DB829</f>
        <v>-17</v>
      </c>
      <c r="I829" s="647">
        <f t="shared" si="1247"/>
        <v>-4</v>
      </c>
      <c r="J829" s="290">
        <f>+DE829</f>
        <v>0</v>
      </c>
      <c r="K829" s="260">
        <f t="shared" si="1248"/>
        <v>5</v>
      </c>
      <c r="L829" s="260">
        <f t="shared" si="1248"/>
        <v>7</v>
      </c>
      <c r="M829" s="291">
        <f>+DI829-DG829</f>
        <v>11</v>
      </c>
      <c r="N829" s="647">
        <f t="shared" si="1249"/>
        <v>23</v>
      </c>
      <c r="O829" s="290">
        <f>+DJ829</f>
        <v>1</v>
      </c>
      <c r="P829" s="260">
        <f t="shared" si="1250"/>
        <v>-4</v>
      </c>
      <c r="Q829" s="260">
        <f t="shared" si="1250"/>
        <v>0</v>
      </c>
      <c r="R829" s="291">
        <f>+DN829-DL829</f>
        <v>-3</v>
      </c>
      <c r="S829" s="647">
        <f t="shared" si="1251"/>
        <v>-6</v>
      </c>
      <c r="T829" s="290">
        <f>+DO829</f>
        <v>630</v>
      </c>
      <c r="U829" s="260">
        <f t="shared" si="1252"/>
        <v>18</v>
      </c>
      <c r="V829" s="260">
        <f t="shared" si="1252"/>
        <v>58</v>
      </c>
      <c r="W829" s="291">
        <f>+DS829-DQ829</f>
        <v>-621</v>
      </c>
      <c r="X829" s="647">
        <f t="shared" si="1253"/>
        <v>85</v>
      </c>
      <c r="Y829" s="290">
        <f>+DT829</f>
        <v>28</v>
      </c>
      <c r="Z829" s="260">
        <f t="shared" si="1254"/>
        <v>-12</v>
      </c>
      <c r="AA829" s="260">
        <f t="shared" si="1254"/>
        <v>4</v>
      </c>
      <c r="AB829" s="291">
        <f>+DX829-DV829</f>
        <v>17</v>
      </c>
      <c r="AC829" s="647">
        <f t="shared" si="1255"/>
        <v>37</v>
      </c>
      <c r="AD829" s="290">
        <f>+DY829</f>
        <v>-6</v>
      </c>
      <c r="AE829" s="260">
        <f t="shared" si="1256"/>
        <v>114</v>
      </c>
      <c r="AF829" s="260">
        <f t="shared" si="1256"/>
        <v>-85</v>
      </c>
      <c r="AG829" s="291">
        <f>+EC829-EA829</f>
        <v>44</v>
      </c>
      <c r="AH829" s="647">
        <f t="shared" si="1257"/>
        <v>67</v>
      </c>
      <c r="AI829" s="290">
        <f>+ED829</f>
        <v>-23</v>
      </c>
      <c r="AJ829" s="260">
        <f t="shared" si="1258"/>
        <v>-56</v>
      </c>
      <c r="AK829" s="260">
        <f t="shared" si="1258"/>
        <v>-97</v>
      </c>
      <c r="AL829" s="291">
        <f>+EH829-EF829</f>
        <v>93</v>
      </c>
      <c r="AM829" s="647">
        <f t="shared" si="1259"/>
        <v>-83</v>
      </c>
      <c r="AN829" s="290">
        <f>+EI829</f>
        <v>-21</v>
      </c>
      <c r="AO829" s="260">
        <f t="shared" si="1260"/>
        <v>-50</v>
      </c>
      <c r="AP829" s="260">
        <f t="shared" si="1260"/>
        <v>-152</v>
      </c>
      <c r="AQ829" s="291">
        <f>+EM829-EK829</f>
        <v>-52</v>
      </c>
      <c r="AR829" s="647">
        <f t="shared" si="1261"/>
        <v>-275</v>
      </c>
      <c r="AS829" s="290">
        <f>+EN829</f>
        <v>-11</v>
      </c>
      <c r="AT829" s="260">
        <f t="shared" si="1262"/>
        <v>-29</v>
      </c>
      <c r="AU829" s="260">
        <f t="shared" si="1263"/>
        <v>-23</v>
      </c>
      <c r="AV829" s="291">
        <f>+ER829-EP829</f>
        <v>-12</v>
      </c>
      <c r="AW829" s="647">
        <f t="shared" si="1264"/>
        <v>-75</v>
      </c>
      <c r="AX829" s="290">
        <f>+BB829/4</f>
        <v>0</v>
      </c>
      <c r="AY829" s="260">
        <f>(BB829-SUM(AX829:AX829))/3</f>
        <v>0</v>
      </c>
      <c r="AZ829" s="260">
        <f>(BB829-SUM(AX829:AY829))/2</f>
        <v>0</v>
      </c>
      <c r="BA829" s="291">
        <f>(BB829-SUM(AX829:AZ829))/1</f>
        <v>0</v>
      </c>
      <c r="BB829" s="426">
        <v>0</v>
      </c>
      <c r="BC829" s="290">
        <f>+BG829/4</f>
        <v>0</v>
      </c>
      <c r="BD829" s="260">
        <f>(BG829-SUM(BC829:BC829))/3</f>
        <v>0</v>
      </c>
      <c r="BE829" s="260">
        <f>(BG829-SUM(BC829:BD829))/2</f>
        <v>0</v>
      </c>
      <c r="BF829" s="291">
        <f>(BG829-SUM(BC829:BE829))/1</f>
        <v>0</v>
      </c>
      <c r="BG829" s="426">
        <v>0</v>
      </c>
      <c r="BH829" s="290">
        <f>+BL829/4</f>
        <v>0</v>
      </c>
      <c r="BI829" s="260">
        <f>(BL829-SUM(BH829:BH829))/3</f>
        <v>0</v>
      </c>
      <c r="BJ829" s="260">
        <f>(BL829-SUM(BH829:BI829))/2</f>
        <v>0</v>
      </c>
      <c r="BK829" s="291">
        <f>(BL829-SUM(BH829:BJ829))/1</f>
        <v>0</v>
      </c>
      <c r="BL829" s="426">
        <v>0</v>
      </c>
      <c r="BM829" s="290">
        <f>+BQ829/4</f>
        <v>0</v>
      </c>
      <c r="BN829" s="260">
        <f>(BQ829-SUM(BM829:BM829))/3</f>
        <v>0</v>
      </c>
      <c r="BO829" s="260">
        <f>(BQ829-SUM(BM829:BN829))/2</f>
        <v>0</v>
      </c>
      <c r="BP829" s="291">
        <f>(BQ829-SUM(BM829:BO829))/1</f>
        <v>0</v>
      </c>
      <c r="BQ829" s="426">
        <v>0</v>
      </c>
      <c r="BR829" s="45"/>
      <c r="BS829" s="45"/>
      <c r="BT829" s="28"/>
      <c r="BU829" s="223"/>
      <c r="BV829" s="223"/>
      <c r="BW829" s="223"/>
      <c r="BX829" s="223"/>
      <c r="BY829" s="223"/>
      <c r="BZ829" s="223"/>
      <c r="CA829" s="223"/>
      <c r="CB829" s="223"/>
      <c r="CC829" s="223"/>
      <c r="CD829" s="223"/>
      <c r="CE829" s="223"/>
      <c r="CF829" s="223"/>
      <c r="CG829" s="28"/>
      <c r="CH829" s="28"/>
      <c r="CI829" s="28"/>
      <c r="CJ829" s="28"/>
      <c r="CK829" s="28"/>
      <c r="CL829" s="28"/>
      <c r="CM829" s="28"/>
      <c r="CN829" s="28"/>
      <c r="CO829" s="28"/>
      <c r="CP829" s="28"/>
      <c r="CQ829" s="28"/>
      <c r="CR829" s="28"/>
      <c r="CS829" s="28"/>
      <c r="CT829" s="831"/>
      <c r="CU829" s="28"/>
      <c r="CV829" s="28"/>
      <c r="CW829" s="28"/>
      <c r="CX829" s="28"/>
      <c r="CY829" s="28"/>
      <c r="CZ829" s="427">
        <f>-96+8-5</f>
        <v>-93</v>
      </c>
      <c r="DA829" s="427">
        <f>11-7</f>
        <v>4</v>
      </c>
      <c r="DB829" s="427">
        <f>14-1</f>
        <v>13</v>
      </c>
      <c r="DC829" s="45">
        <f>DD829</f>
        <v>-4</v>
      </c>
      <c r="DD829" s="427">
        <f>17-21</f>
        <v>-4</v>
      </c>
      <c r="DE829" s="427">
        <f>1-1</f>
        <v>0</v>
      </c>
      <c r="DF829" s="427">
        <f>2+3</f>
        <v>5</v>
      </c>
      <c r="DG829" s="427">
        <f>3+9</f>
        <v>12</v>
      </c>
      <c r="DH829" s="45">
        <f>DI829</f>
        <v>23</v>
      </c>
      <c r="DI829" s="427">
        <f>4+19</f>
        <v>23</v>
      </c>
      <c r="DJ829" s="427">
        <v>1</v>
      </c>
      <c r="DK829" s="427">
        <v>-3</v>
      </c>
      <c r="DL829" s="427">
        <v>-3</v>
      </c>
      <c r="DM829" s="45">
        <f>DN829</f>
        <v>-6</v>
      </c>
      <c r="DN829" s="427">
        <v>-6</v>
      </c>
      <c r="DO829" s="427">
        <f>-1+708-77</f>
        <v>630</v>
      </c>
      <c r="DP829" s="427">
        <f>708-60</f>
        <v>648</v>
      </c>
      <c r="DQ829" s="427">
        <f>708-2</f>
        <v>706</v>
      </c>
      <c r="DR829" s="45">
        <f>DS829</f>
        <v>85</v>
      </c>
      <c r="DS829" s="427">
        <f>4+81</f>
        <v>85</v>
      </c>
      <c r="DT829" s="427">
        <f>3+25</f>
        <v>28</v>
      </c>
      <c r="DU829" s="427">
        <f>-11+27</f>
        <v>16</v>
      </c>
      <c r="DV829" s="339">
        <f>-30+32+18</f>
        <v>20</v>
      </c>
      <c r="DW829" s="45">
        <f>DX829</f>
        <v>37</v>
      </c>
      <c r="DX829" s="339">
        <f>-64-44+115+30</f>
        <v>37</v>
      </c>
      <c r="DY829" s="427">
        <f>18+9+44-77</f>
        <v>-6</v>
      </c>
      <c r="DZ829" s="427">
        <f>-66+32-17+44+129-14</f>
        <v>108</v>
      </c>
      <c r="EA829" s="339">
        <f>-116+44+129-34</f>
        <v>23</v>
      </c>
      <c r="EB829" s="45">
        <f>EC829</f>
        <v>67</v>
      </c>
      <c r="EC829" s="339">
        <f>140-87+44+13-43</f>
        <v>67</v>
      </c>
      <c r="ED829" s="427">
        <f>-21-2</f>
        <v>-23</v>
      </c>
      <c r="EE829" s="427">
        <f>+-16-63</f>
        <v>-79</v>
      </c>
      <c r="EF829" s="2056">
        <f>+-84-92</f>
        <v>-176</v>
      </c>
      <c r="EG829" s="45">
        <f>EH829</f>
        <v>-83</v>
      </c>
      <c r="EH829" s="2056">
        <f>35-118</f>
        <v>-83</v>
      </c>
      <c r="EI829" s="427">
        <f>4-25</f>
        <v>-21</v>
      </c>
      <c r="EJ829" s="427">
        <f>25-96</f>
        <v>-71</v>
      </c>
      <c r="EK829" s="2056">
        <f>-39-184</f>
        <v>-223</v>
      </c>
      <c r="EL829" s="45">
        <f>EM829</f>
        <v>-275</v>
      </c>
      <c r="EM829" s="2056">
        <f>-35-240</f>
        <v>-275</v>
      </c>
      <c r="EN829" s="427">
        <f>18-29</f>
        <v>-11</v>
      </c>
      <c r="EO829" s="427">
        <f>-8-32</f>
        <v>-40</v>
      </c>
      <c r="EP829" s="427">
        <f>-28-35</f>
        <v>-63</v>
      </c>
      <c r="EQ829" s="45">
        <f>ER829</f>
        <v>-75</v>
      </c>
      <c r="ER829" s="2056">
        <f>-17-58</f>
        <v>-75</v>
      </c>
    </row>
    <row r="830" spans="1:148">
      <c r="A830" s="28"/>
      <c r="B830" s="45"/>
      <c r="C830" s="389" t="s">
        <v>150</v>
      </c>
      <c r="D830" s="45"/>
      <c r="E830" s="292">
        <f>SUM(E827:E829)</f>
        <v>-528</v>
      </c>
      <c r="F830" s="261">
        <f>SUM(F827:F829)</f>
        <v>-398</v>
      </c>
      <c r="G830" s="261">
        <f>SUM(G827:G829)</f>
        <v>-571</v>
      </c>
      <c r="H830" s="293">
        <f>SUM(H827:H829)</f>
        <v>-723</v>
      </c>
      <c r="I830" s="583">
        <f t="shared" si="1247"/>
        <v>-2220</v>
      </c>
      <c r="J830" s="292">
        <f>SUM(J827:J829)</f>
        <v>-649</v>
      </c>
      <c r="K830" s="261">
        <f>SUM(K827:K829)</f>
        <v>-426</v>
      </c>
      <c r="L830" s="261">
        <f>SUM(L827:L829)</f>
        <v>-426</v>
      </c>
      <c r="M830" s="293">
        <f>SUM(M827:M829)</f>
        <v>-1395</v>
      </c>
      <c r="N830" s="583">
        <f t="shared" si="1249"/>
        <v>-2896</v>
      </c>
      <c r="O830" s="292">
        <f>SUM(O827:O829)</f>
        <v>-823</v>
      </c>
      <c r="P830" s="261">
        <f>SUM(P827:P829)</f>
        <v>-565</v>
      </c>
      <c r="Q830" s="261">
        <f>SUM(Q827:Q829)</f>
        <v>-1033</v>
      </c>
      <c r="R830" s="293">
        <f>SUM(R827:R829)</f>
        <v>-656</v>
      </c>
      <c r="S830" s="583">
        <f t="shared" si="1251"/>
        <v>-3077</v>
      </c>
      <c r="T830" s="292">
        <f t="shared" ref="T830:AD830" si="1265">SUM(T827:T829)</f>
        <v>-471</v>
      </c>
      <c r="U830" s="261">
        <f>SUM(U827:U829)</f>
        <v>-813</v>
      </c>
      <c r="V830" s="261">
        <f>SUM(V827:V829)</f>
        <v>-772</v>
      </c>
      <c r="W830" s="293">
        <f>SUM(W827:W829)</f>
        <v>-573</v>
      </c>
      <c r="X830" s="583">
        <f t="shared" si="1253"/>
        <v>-2629</v>
      </c>
      <c r="Y830" s="292">
        <f t="shared" si="1265"/>
        <v>-865</v>
      </c>
      <c r="Z830" s="261">
        <f>SUM(Z827:Z829)</f>
        <v>-513</v>
      </c>
      <c r="AA830" s="261">
        <f>SUM(AA827:AA829)</f>
        <v>-771</v>
      </c>
      <c r="AB830" s="293">
        <f>SUM(AB827:AB829)</f>
        <v>-767</v>
      </c>
      <c r="AC830" s="583">
        <f t="shared" si="1255"/>
        <v>-2916</v>
      </c>
      <c r="AD830" s="292">
        <f t="shared" si="1265"/>
        <v>-594</v>
      </c>
      <c r="AE830" s="261">
        <f>SUM(AE827:AE829)</f>
        <v>-420</v>
      </c>
      <c r="AF830" s="261">
        <f>SUM(AF827:AF829)</f>
        <v>-417</v>
      </c>
      <c r="AG830" s="293">
        <f>SUM(AG827:AG829)</f>
        <v>-336</v>
      </c>
      <c r="AH830" s="583">
        <f t="shared" si="1257"/>
        <v>-1767</v>
      </c>
      <c r="AI830" s="292">
        <f t="shared" ref="AI830" si="1266">SUM(AI827:AI829)</f>
        <v>-899</v>
      </c>
      <c r="AJ830" s="261">
        <f>SUM(AJ827:AJ829)</f>
        <v>-951</v>
      </c>
      <c r="AK830" s="261">
        <f>SUM(AK827:AK829)</f>
        <v>-1170</v>
      </c>
      <c r="AL830" s="293">
        <f>SUM(AL827:AL829)</f>
        <v>-1049</v>
      </c>
      <c r="AM830" s="583">
        <f t="shared" si="1259"/>
        <v>-4069</v>
      </c>
      <c r="AN830" s="292">
        <f t="shared" ref="AN830" si="1267">SUM(AN827:AN829)</f>
        <v>-1204</v>
      </c>
      <c r="AO830" s="261">
        <f>SUM(AO827:AO829)</f>
        <v>-1006</v>
      </c>
      <c r="AP830" s="261">
        <f>SUM(AP827:AP829)</f>
        <v>-1068</v>
      </c>
      <c r="AQ830" s="293">
        <f>SUM(AQ827:AQ829)</f>
        <v>-573</v>
      </c>
      <c r="AR830" s="583">
        <f t="shared" si="1261"/>
        <v>-3851</v>
      </c>
      <c r="AS830" s="292">
        <f t="shared" ref="AS830:BL830" si="1268">SUM(AS827:AS829)</f>
        <v>-1212</v>
      </c>
      <c r="AT830" s="261">
        <f>SUM(AT827:AT829)</f>
        <v>-145</v>
      </c>
      <c r="AU830" s="261">
        <f t="shared" ref="AU830" si="1269">SUM(AU827:AU829)</f>
        <v>-546</v>
      </c>
      <c r="AV830" s="293">
        <f>SUM(AV827:AV829)</f>
        <v>-689</v>
      </c>
      <c r="AW830" s="583">
        <f t="shared" si="1264"/>
        <v>-2592</v>
      </c>
      <c r="AX830" s="292">
        <f t="shared" si="1268"/>
        <v>-568.34344576200806</v>
      </c>
      <c r="AY830" s="261">
        <f t="shared" si="1268"/>
        <v>-568.34344576200806</v>
      </c>
      <c r="AZ830" s="261">
        <f t="shared" si="1268"/>
        <v>-568.34344576200806</v>
      </c>
      <c r="BA830" s="293">
        <f t="shared" si="1268"/>
        <v>-568.34344576200806</v>
      </c>
      <c r="BB830" s="228">
        <f t="shared" si="1268"/>
        <v>-2273.3737830480322</v>
      </c>
      <c r="BC830" s="292">
        <f t="shared" si="1268"/>
        <v>-462.92642541754657</v>
      </c>
      <c r="BD830" s="261">
        <f t="shared" si="1268"/>
        <v>-462.92642541754657</v>
      </c>
      <c r="BE830" s="261">
        <f t="shared" si="1268"/>
        <v>-462.92642541754657</v>
      </c>
      <c r="BF830" s="293">
        <f t="shared" si="1268"/>
        <v>-462.92642541754657</v>
      </c>
      <c r="BG830" s="228">
        <f t="shared" si="1268"/>
        <v>-1851.7057016701863</v>
      </c>
      <c r="BH830" s="292">
        <f t="shared" si="1268"/>
        <v>-456.67642541754657</v>
      </c>
      <c r="BI830" s="261">
        <f t="shared" si="1268"/>
        <v>-456.67642541754657</v>
      </c>
      <c r="BJ830" s="261">
        <f t="shared" si="1268"/>
        <v>-456.67642541754657</v>
      </c>
      <c r="BK830" s="293">
        <f t="shared" si="1268"/>
        <v>-456.67642541754657</v>
      </c>
      <c r="BL830" s="228">
        <f t="shared" si="1268"/>
        <v>-1826.7057016701863</v>
      </c>
      <c r="BM830" s="292">
        <f t="shared" ref="BM830:BQ830" si="1270">SUM(BM827:BM829)</f>
        <v>-456.25</v>
      </c>
      <c r="BN830" s="261">
        <f t="shared" si="1270"/>
        <v>-456.25</v>
      </c>
      <c r="BO830" s="261">
        <f t="shared" si="1270"/>
        <v>-456.25</v>
      </c>
      <c r="BP830" s="293">
        <f t="shared" si="1270"/>
        <v>-456.25</v>
      </c>
      <c r="BQ830" s="228">
        <f t="shared" si="1270"/>
        <v>-1825</v>
      </c>
      <c r="BR830" s="45"/>
      <c r="BS830" s="45"/>
      <c r="BT830" s="28"/>
      <c r="BU830" s="223"/>
      <c r="BV830" s="223"/>
      <c r="BW830" s="223"/>
      <c r="BX830" s="223"/>
      <c r="BY830" s="223"/>
      <c r="BZ830" s="223"/>
      <c r="CA830" s="223"/>
      <c r="CB830" s="223"/>
      <c r="CC830" s="223"/>
      <c r="CD830" s="223"/>
      <c r="CE830" s="223"/>
      <c r="CF830" s="223"/>
      <c r="CG830" s="28"/>
      <c r="CH830" s="28"/>
      <c r="CI830" s="28"/>
      <c r="CJ830" s="28"/>
      <c r="CK830" s="28"/>
      <c r="CL830" s="45"/>
      <c r="CM830" s="45"/>
      <c r="CN830" s="45"/>
      <c r="CO830" s="45"/>
      <c r="CP830" s="45"/>
      <c r="CQ830" s="28"/>
      <c r="CR830" s="28"/>
      <c r="CS830" s="28"/>
      <c r="CT830" s="831"/>
      <c r="CU830" s="28"/>
      <c r="CV830" s="28"/>
      <c r="CW830" s="28"/>
      <c r="CX830" s="28"/>
      <c r="CY830" s="28"/>
      <c r="CZ830" s="228">
        <f t="shared" ref="CZ830:DP830" si="1271">SUM(CZ827:CZ829)</f>
        <v>-528</v>
      </c>
      <c r="DA830" s="228">
        <f t="shared" si="1271"/>
        <v>-926</v>
      </c>
      <c r="DB830" s="228">
        <f t="shared" si="1271"/>
        <v>-1497</v>
      </c>
      <c r="DC830" s="228">
        <f t="shared" si="1271"/>
        <v>-2220</v>
      </c>
      <c r="DD830" s="228">
        <f t="shared" si="1271"/>
        <v>-2220</v>
      </c>
      <c r="DE830" s="228">
        <f t="shared" si="1271"/>
        <v>-649</v>
      </c>
      <c r="DF830" s="228">
        <f t="shared" si="1271"/>
        <v>-1075</v>
      </c>
      <c r="DG830" s="228">
        <f t="shared" si="1271"/>
        <v>-1501</v>
      </c>
      <c r="DH830" s="228">
        <f t="shared" si="1271"/>
        <v>-2896</v>
      </c>
      <c r="DI830" s="228">
        <f t="shared" si="1271"/>
        <v>-2896</v>
      </c>
      <c r="DJ830" s="228">
        <f t="shared" si="1271"/>
        <v>-823</v>
      </c>
      <c r="DK830" s="228">
        <f t="shared" si="1271"/>
        <v>-1388</v>
      </c>
      <c r="DL830" s="228">
        <f t="shared" si="1271"/>
        <v>-2421</v>
      </c>
      <c r="DM830" s="228">
        <f t="shared" si="1271"/>
        <v>-3077</v>
      </c>
      <c r="DN830" s="228">
        <f t="shared" si="1271"/>
        <v>-3077</v>
      </c>
      <c r="DO830" s="228">
        <f t="shared" si="1271"/>
        <v>-471</v>
      </c>
      <c r="DP830" s="228">
        <f t="shared" si="1271"/>
        <v>-1284</v>
      </c>
      <c r="DQ830" s="228">
        <f t="shared" ref="DQ830:DZ830" si="1272">SUM(DQ827:DQ829)</f>
        <v>-2056</v>
      </c>
      <c r="DR830" s="228">
        <f t="shared" si="1272"/>
        <v>-2629</v>
      </c>
      <c r="DS830" s="228">
        <f t="shared" si="1272"/>
        <v>-2629</v>
      </c>
      <c r="DT830" s="228">
        <f t="shared" si="1272"/>
        <v>-865</v>
      </c>
      <c r="DU830" s="228">
        <f t="shared" si="1272"/>
        <v>-1378</v>
      </c>
      <c r="DV830" s="228">
        <f t="shared" si="1272"/>
        <v>-2149</v>
      </c>
      <c r="DW830" s="228">
        <f t="shared" si="1272"/>
        <v>-2916</v>
      </c>
      <c r="DX830" s="228">
        <f t="shared" si="1272"/>
        <v>-2916</v>
      </c>
      <c r="DY830" s="228">
        <f t="shared" si="1272"/>
        <v>-594</v>
      </c>
      <c r="DZ830" s="228">
        <f t="shared" si="1272"/>
        <v>-1014</v>
      </c>
      <c r="EA830" s="228">
        <f t="shared" ref="EA830:EE830" si="1273">SUM(EA827:EA829)</f>
        <v>-1431</v>
      </c>
      <c r="EB830" s="228">
        <f t="shared" si="1273"/>
        <v>-1767</v>
      </c>
      <c r="EC830" s="228">
        <f t="shared" si="1273"/>
        <v>-1767</v>
      </c>
      <c r="ED830" s="228">
        <f t="shared" si="1273"/>
        <v>-899</v>
      </c>
      <c r="EE830" s="228">
        <f t="shared" si="1273"/>
        <v>-1850</v>
      </c>
      <c r="EF830" s="228">
        <f t="shared" ref="EF830:EJ830" si="1274">SUM(EF827:EF829)</f>
        <v>-3020</v>
      </c>
      <c r="EG830" s="228">
        <f t="shared" si="1274"/>
        <v>-4069</v>
      </c>
      <c r="EH830" s="228">
        <f t="shared" si="1274"/>
        <v>-4069</v>
      </c>
      <c r="EI830" s="228">
        <f t="shared" si="1274"/>
        <v>-1204</v>
      </c>
      <c r="EJ830" s="228">
        <f t="shared" si="1274"/>
        <v>-2210</v>
      </c>
      <c r="EK830" s="228">
        <f t="shared" ref="EK830:EP830" si="1275">SUM(EK827:EK829)</f>
        <v>-3278</v>
      </c>
      <c r="EL830" s="228">
        <f t="shared" si="1275"/>
        <v>-3851</v>
      </c>
      <c r="EM830" s="228">
        <f t="shared" si="1275"/>
        <v>-3851</v>
      </c>
      <c r="EN830" s="228">
        <f t="shared" si="1275"/>
        <v>-1212</v>
      </c>
      <c r="EO830" s="228">
        <f t="shared" si="1275"/>
        <v>-1357</v>
      </c>
      <c r="EP830" s="228">
        <f t="shared" si="1275"/>
        <v>-1903</v>
      </c>
      <c r="EQ830" s="228">
        <f t="shared" ref="EQ830:ER830" si="1276">SUM(EQ827:EQ829)</f>
        <v>-2592</v>
      </c>
      <c r="ER830" s="228">
        <f t="shared" si="1276"/>
        <v>-2592</v>
      </c>
    </row>
    <row r="831" spans="1:148">
      <c r="A831" s="45"/>
      <c r="B831" s="45"/>
      <c r="C831" s="391"/>
      <c r="D831" s="45"/>
      <c r="E831" s="290"/>
      <c r="F831" s="260"/>
      <c r="G831" s="260"/>
      <c r="H831" s="291"/>
      <c r="I831" s="647">
        <f t="shared" si="1247"/>
        <v>0</v>
      </c>
      <c r="J831" s="290"/>
      <c r="K831" s="260"/>
      <c r="L831" s="260"/>
      <c r="M831" s="291"/>
      <c r="N831" s="647">
        <f t="shared" si="1249"/>
        <v>0</v>
      </c>
      <c r="O831" s="290"/>
      <c r="P831" s="260"/>
      <c r="Q831" s="260"/>
      <c r="R831" s="291"/>
      <c r="S831" s="647">
        <f t="shared" si="1251"/>
        <v>0</v>
      </c>
      <c r="T831" s="290"/>
      <c r="U831" s="260"/>
      <c r="V831" s="260"/>
      <c r="W831" s="291"/>
      <c r="X831" s="647">
        <f t="shared" si="1253"/>
        <v>0</v>
      </c>
      <c r="Y831" s="290"/>
      <c r="Z831" s="260"/>
      <c r="AA831" s="260"/>
      <c r="AB831" s="291"/>
      <c r="AC831" s="647">
        <f t="shared" si="1255"/>
        <v>0</v>
      </c>
      <c r="AD831" s="290"/>
      <c r="AE831" s="260"/>
      <c r="AF831" s="260"/>
      <c r="AG831" s="291"/>
      <c r="AH831" s="647">
        <f t="shared" si="1257"/>
        <v>0</v>
      </c>
      <c r="AI831" s="290"/>
      <c r="AJ831" s="260"/>
      <c r="AK831" s="260"/>
      <c r="AL831" s="291"/>
      <c r="AM831" s="647">
        <f t="shared" si="1259"/>
        <v>0</v>
      </c>
      <c r="AN831" s="290"/>
      <c r="AO831" s="260"/>
      <c r="AP831" s="260"/>
      <c r="AQ831" s="291"/>
      <c r="AR831" s="647">
        <f t="shared" si="1261"/>
        <v>0</v>
      </c>
      <c r="AS831" s="290"/>
      <c r="AT831" s="260"/>
      <c r="AU831" s="260"/>
      <c r="AV831" s="291"/>
      <c r="AW831" s="647">
        <f t="shared" si="1264"/>
        <v>0</v>
      </c>
      <c r="AX831" s="290"/>
      <c r="AY831" s="260"/>
      <c r="AZ831" s="260"/>
      <c r="BA831" s="291"/>
      <c r="BB831" s="45"/>
      <c r="BC831" s="290"/>
      <c r="BD831" s="260"/>
      <c r="BE831" s="260"/>
      <c r="BF831" s="291"/>
      <c r="BG831" s="45"/>
      <c r="BH831" s="290"/>
      <c r="BI831" s="260"/>
      <c r="BJ831" s="260"/>
      <c r="BK831" s="291"/>
      <c r="BL831" s="45"/>
      <c r="BM831" s="290"/>
      <c r="BN831" s="260"/>
      <c r="BO831" s="260"/>
      <c r="BP831" s="291"/>
      <c r="BQ831" s="45"/>
      <c r="BR831" s="45"/>
      <c r="BS831" s="45"/>
      <c r="BT831" s="45"/>
      <c r="BU831" s="28"/>
      <c r="BV831" s="28"/>
      <c r="BW831" s="28"/>
      <c r="BX831" s="28"/>
      <c r="BY831" s="28"/>
      <c r="BZ831" s="28"/>
      <c r="CA831" s="28"/>
      <c r="CB831" s="28"/>
      <c r="CC831" s="28"/>
      <c r="CD831" s="28"/>
      <c r="CE831" s="28"/>
      <c r="CF831" s="28"/>
      <c r="CG831" s="45"/>
      <c r="CH831" s="45"/>
      <c r="CI831" s="45"/>
      <c r="CJ831" s="45"/>
      <c r="CK831" s="45"/>
      <c r="CL831" s="45"/>
      <c r="CM831" s="45"/>
      <c r="CN831" s="45"/>
      <c r="CO831" s="45"/>
      <c r="CP831" s="45"/>
      <c r="CQ831" s="45"/>
      <c r="CR831" s="45"/>
      <c r="CS831" s="45"/>
      <c r="CT831" s="830"/>
      <c r="CU831" s="45"/>
      <c r="CV831" s="45"/>
      <c r="CW831" s="45"/>
      <c r="CX831" s="45"/>
      <c r="CY831" s="45"/>
      <c r="CZ831" s="45"/>
      <c r="DA831" s="45"/>
      <c r="DB831" s="45"/>
      <c r="DC831" s="45"/>
      <c r="DD831" s="45"/>
      <c r="DE831" s="45"/>
      <c r="DF831" s="45"/>
      <c r="DG831" s="45"/>
      <c r="DH831" s="45"/>
      <c r="DI831" s="45"/>
      <c r="DJ831" s="45"/>
      <c r="DK831" s="45"/>
      <c r="DL831" s="427"/>
      <c r="DM831" s="45"/>
      <c r="DN831" s="45"/>
      <c r="DO831" s="45"/>
      <c r="DP831" s="45"/>
      <c r="DQ831" s="427"/>
      <c r="DR831" s="45"/>
      <c r="DS831" s="45"/>
      <c r="DT831" s="45"/>
      <c r="DU831" s="45"/>
      <c r="DV831" s="339"/>
      <c r="DW831" s="45"/>
      <c r="DX831" s="45"/>
      <c r="DY831" s="45"/>
      <c r="DZ831" s="45"/>
      <c r="EA831" s="339"/>
      <c r="EB831" s="45"/>
      <c r="EC831" s="45"/>
      <c r="ED831" s="45"/>
      <c r="EE831" s="45"/>
      <c r="EF831" s="2056"/>
      <c r="EG831" s="45"/>
      <c r="EH831" s="45"/>
      <c r="EI831" s="45"/>
      <c r="EJ831" s="45"/>
      <c r="EK831" s="2056"/>
      <c r="EL831" s="45"/>
      <c r="EM831" s="45"/>
      <c r="EN831" s="45"/>
      <c r="EO831" s="45"/>
      <c r="EP831" s="45"/>
      <c r="EQ831" s="45"/>
      <c r="ER831" s="45"/>
    </row>
    <row r="832" spans="1:148">
      <c r="A832" s="45"/>
      <c r="B832" s="45"/>
      <c r="C832" s="391" t="s">
        <v>240</v>
      </c>
      <c r="D832" s="45"/>
      <c r="E832" s="290">
        <f>+CZ832</f>
        <v>0</v>
      </c>
      <c r="F832" s="260">
        <f t="shared" ref="F832:G836" si="1277">+DA832-CZ832</f>
        <v>46</v>
      </c>
      <c r="G832" s="260">
        <f t="shared" si="1277"/>
        <v>1500</v>
      </c>
      <c r="H832" s="291">
        <f>+DD832-DB832</f>
        <v>0</v>
      </c>
      <c r="I832" s="647">
        <f t="shared" si="1247"/>
        <v>1546</v>
      </c>
      <c r="J832" s="290">
        <f>+DE832</f>
        <v>0</v>
      </c>
      <c r="K832" s="260">
        <f t="shared" ref="K832:L836" si="1278">+DF832-DE832</f>
        <v>0</v>
      </c>
      <c r="L832" s="260">
        <f t="shared" si="1278"/>
        <v>898</v>
      </c>
      <c r="M832" s="291">
        <f>+DI832-DG832</f>
        <v>0</v>
      </c>
      <c r="N832" s="647">
        <f t="shared" si="1249"/>
        <v>898</v>
      </c>
      <c r="O832" s="290">
        <f>+DJ832</f>
        <v>0</v>
      </c>
      <c r="P832" s="260">
        <f t="shared" ref="P832:Q836" si="1279">+DK832-DJ832</f>
        <v>0</v>
      </c>
      <c r="Q832" s="260">
        <f t="shared" si="1279"/>
        <v>0</v>
      </c>
      <c r="R832" s="291">
        <f>+DN832-DL832</f>
        <v>0</v>
      </c>
      <c r="S832" s="647">
        <f t="shared" si="1251"/>
        <v>0</v>
      </c>
      <c r="T832" s="290">
        <f>+DO832</f>
        <v>0</v>
      </c>
      <c r="U832" s="260">
        <f t="shared" ref="U832:V836" si="1280">+DP832-DO832</f>
        <v>850</v>
      </c>
      <c r="V832" s="260">
        <f t="shared" si="1280"/>
        <v>107</v>
      </c>
      <c r="W832" s="291">
        <f>+DS832-DQ832</f>
        <v>119</v>
      </c>
      <c r="X832" s="647">
        <f t="shared" si="1253"/>
        <v>1076</v>
      </c>
      <c r="Y832" s="290">
        <f>+DT832</f>
        <v>149</v>
      </c>
      <c r="Z832" s="260">
        <f t="shared" ref="Z832:AA836" si="1281">+DU832-DT832</f>
        <v>60</v>
      </c>
      <c r="AA832" s="260">
        <f t="shared" si="1281"/>
        <v>622</v>
      </c>
      <c r="AB832" s="291">
        <f>+DX832-DV832</f>
        <v>23</v>
      </c>
      <c r="AC832" s="647">
        <f t="shared" si="1255"/>
        <v>854</v>
      </c>
      <c r="AD832" s="290">
        <f>+DY832</f>
        <v>300</v>
      </c>
      <c r="AE832" s="260">
        <f t="shared" ref="AE832:AF836" si="1282">+DZ832-DY832</f>
        <v>0</v>
      </c>
      <c r="AF832" s="260">
        <f t="shared" si="1282"/>
        <v>812</v>
      </c>
      <c r="AG832" s="291">
        <f>+EC832-EA832</f>
        <v>0</v>
      </c>
      <c r="AH832" s="647">
        <f t="shared" si="1257"/>
        <v>1112</v>
      </c>
      <c r="AI832" s="290">
        <f>+ED832</f>
        <v>806</v>
      </c>
      <c r="AJ832" s="260">
        <f t="shared" ref="AJ832:AK836" si="1283">+EE832-ED832</f>
        <v>501</v>
      </c>
      <c r="AK832" s="260">
        <f t="shared" si="1283"/>
        <v>0</v>
      </c>
      <c r="AL832" s="291">
        <f>+EH832-EF832</f>
        <v>2</v>
      </c>
      <c r="AM832" s="647">
        <f t="shared" si="1259"/>
        <v>1309</v>
      </c>
      <c r="AN832" s="290">
        <f>+EI832</f>
        <v>151</v>
      </c>
      <c r="AO832" s="260">
        <f t="shared" ref="AO832:AP836" si="1284">+EJ832-EI832</f>
        <v>22</v>
      </c>
      <c r="AP832" s="260">
        <f t="shared" si="1284"/>
        <v>165</v>
      </c>
      <c r="AQ832" s="291">
        <f>+EM832-EK832</f>
        <v>50</v>
      </c>
      <c r="AR832" s="647">
        <f t="shared" si="1261"/>
        <v>388</v>
      </c>
      <c r="AS832" s="290">
        <f>+EN832</f>
        <v>762</v>
      </c>
      <c r="AT832" s="260">
        <f t="shared" ref="AT832:AT836" si="1285">+EO832-EN832</f>
        <v>17</v>
      </c>
      <c r="AU832" s="260">
        <f t="shared" ref="AU832:AU836" si="1286">+EP832-EO832</f>
        <v>10</v>
      </c>
      <c r="AV832" s="291">
        <f>+ER832-EP832</f>
        <v>856</v>
      </c>
      <c r="AW832" s="647">
        <f t="shared" si="1264"/>
        <v>1645</v>
      </c>
      <c r="AX832" s="290">
        <f>+AX806</f>
        <v>0</v>
      </c>
      <c r="AY832" s="260">
        <f t="shared" ref="AX832:BA833" si="1287">+AY806</f>
        <v>0</v>
      </c>
      <c r="AZ832" s="260">
        <f t="shared" si="1287"/>
        <v>0</v>
      </c>
      <c r="BA832" s="291">
        <f t="shared" si="1287"/>
        <v>0</v>
      </c>
      <c r="BB832" s="45">
        <f>SUM(AX832:BA832)</f>
        <v>0</v>
      </c>
      <c r="BC832" s="290">
        <f>+BC806</f>
        <v>0</v>
      </c>
      <c r="BD832" s="260">
        <f t="shared" ref="BD832:BF832" si="1288">+BD806</f>
        <v>0</v>
      </c>
      <c r="BE832" s="260">
        <f t="shared" si="1288"/>
        <v>0</v>
      </c>
      <c r="BF832" s="291">
        <f t="shared" si="1288"/>
        <v>0</v>
      </c>
      <c r="BG832" s="45">
        <f>SUM(BC832:BF832)</f>
        <v>0</v>
      </c>
      <c r="BH832" s="290">
        <f>+BH806</f>
        <v>0</v>
      </c>
      <c r="BI832" s="260">
        <f t="shared" ref="BI832:BK832" si="1289">+BI806</f>
        <v>0</v>
      </c>
      <c r="BJ832" s="260">
        <f t="shared" si="1289"/>
        <v>0</v>
      </c>
      <c r="BK832" s="291">
        <f t="shared" si="1289"/>
        <v>0</v>
      </c>
      <c r="BL832" s="45">
        <f>SUM(BH832:BK832)</f>
        <v>0</v>
      </c>
      <c r="BM832" s="290">
        <f>+BM806</f>
        <v>0</v>
      </c>
      <c r="BN832" s="260">
        <f t="shared" ref="BN832:BP832" si="1290">+BN806</f>
        <v>0</v>
      </c>
      <c r="BO832" s="260">
        <f t="shared" si="1290"/>
        <v>0</v>
      </c>
      <c r="BP832" s="291">
        <f t="shared" si="1290"/>
        <v>0</v>
      </c>
      <c r="BQ832" s="45">
        <f>SUM(BM832:BP832)</f>
        <v>0</v>
      </c>
      <c r="BR832" s="45"/>
      <c r="BS832" s="45"/>
      <c r="BT832" s="45"/>
      <c r="BU832" s="28"/>
      <c r="BV832" s="28"/>
      <c r="BW832" s="28"/>
      <c r="BX832" s="28"/>
      <c r="BY832" s="28"/>
      <c r="BZ832" s="28"/>
      <c r="CA832" s="28"/>
      <c r="CB832" s="28"/>
      <c r="CC832" s="28"/>
      <c r="CD832" s="28"/>
      <c r="CE832" s="28"/>
      <c r="CF832" s="28"/>
      <c r="CG832" s="45"/>
      <c r="CH832" s="45"/>
      <c r="CI832" s="45"/>
      <c r="CJ832" s="45"/>
      <c r="CK832" s="45"/>
      <c r="CL832" s="45"/>
      <c r="CM832" s="45"/>
      <c r="CN832" s="45"/>
      <c r="CO832" s="45"/>
      <c r="CP832" s="45"/>
      <c r="CQ832" s="45"/>
      <c r="CR832" s="45"/>
      <c r="CS832" s="45"/>
      <c r="CT832" s="830"/>
      <c r="CU832" s="45"/>
      <c r="CV832" s="45"/>
      <c r="CW832" s="45"/>
      <c r="CX832" s="45"/>
      <c r="CY832" s="45"/>
      <c r="CZ832" s="427">
        <v>0</v>
      </c>
      <c r="DA832" s="427">
        <v>46</v>
      </c>
      <c r="DB832" s="427">
        <v>1546</v>
      </c>
      <c r="DC832" s="45">
        <f>DD832</f>
        <v>1546</v>
      </c>
      <c r="DD832" s="427">
        <v>1546</v>
      </c>
      <c r="DE832" s="427">
        <v>0</v>
      </c>
      <c r="DF832" s="427">
        <v>0</v>
      </c>
      <c r="DG832" s="427">
        <v>898</v>
      </c>
      <c r="DH832" s="45">
        <f>DI832</f>
        <v>898</v>
      </c>
      <c r="DI832" s="427">
        <v>898</v>
      </c>
      <c r="DJ832" s="427">
        <v>0</v>
      </c>
      <c r="DK832" s="427">
        <v>0</v>
      </c>
      <c r="DL832" s="427">
        <v>0</v>
      </c>
      <c r="DM832" s="45">
        <f>DN832</f>
        <v>0</v>
      </c>
      <c r="DN832" s="427">
        <v>0</v>
      </c>
      <c r="DO832" s="427">
        <v>0</v>
      </c>
      <c r="DP832" s="427">
        <v>850</v>
      </c>
      <c r="DQ832" s="427">
        <v>957</v>
      </c>
      <c r="DR832" s="45">
        <f>DS832</f>
        <v>1076</v>
      </c>
      <c r="DS832" s="427">
        <v>1076</v>
      </c>
      <c r="DT832" s="427">
        <v>149</v>
      </c>
      <c r="DU832" s="427">
        <v>209</v>
      </c>
      <c r="DV832" s="339">
        <v>831</v>
      </c>
      <c r="DW832" s="45">
        <f>DX832</f>
        <v>854</v>
      </c>
      <c r="DX832" s="339">
        <v>854</v>
      </c>
      <c r="DY832" s="427">
        <v>300</v>
      </c>
      <c r="DZ832" s="427">
        <v>300</v>
      </c>
      <c r="EA832" s="339">
        <v>1112</v>
      </c>
      <c r="EB832" s="45">
        <f>EC832</f>
        <v>1112</v>
      </c>
      <c r="EC832" s="339">
        <v>1112</v>
      </c>
      <c r="ED832" s="427">
        <v>806</v>
      </c>
      <c r="EE832" s="427">
        <v>1307</v>
      </c>
      <c r="EF832" s="2056">
        <v>1307</v>
      </c>
      <c r="EG832" s="45">
        <f>EH832</f>
        <v>1309</v>
      </c>
      <c r="EH832" s="2056">
        <v>1309</v>
      </c>
      <c r="EI832" s="427">
        <v>151</v>
      </c>
      <c r="EJ832" s="427">
        <v>173</v>
      </c>
      <c r="EK832" s="2056">
        <v>338</v>
      </c>
      <c r="EL832" s="45">
        <f>EM832</f>
        <v>388</v>
      </c>
      <c r="EM832" s="2056">
        <v>388</v>
      </c>
      <c r="EN832" s="427">
        <v>762</v>
      </c>
      <c r="EO832" s="427">
        <v>779</v>
      </c>
      <c r="EP832" s="427">
        <v>789</v>
      </c>
      <c r="EQ832" s="45">
        <f>ER832</f>
        <v>1645</v>
      </c>
      <c r="ER832" s="2056">
        <v>1645</v>
      </c>
    </row>
    <row r="833" spans="1:148">
      <c r="A833" s="45"/>
      <c r="B833" s="45"/>
      <c r="C833" s="391" t="s">
        <v>543</v>
      </c>
      <c r="D833" s="45"/>
      <c r="E833" s="290">
        <f>+CZ833</f>
        <v>-47</v>
      </c>
      <c r="F833" s="260">
        <f t="shared" si="1277"/>
        <v>0</v>
      </c>
      <c r="G833" s="260">
        <f t="shared" si="1277"/>
        <v>-873</v>
      </c>
      <c r="H833" s="291">
        <f>+DD833-DB833</f>
        <v>-145</v>
      </c>
      <c r="I833" s="647">
        <f t="shared" si="1247"/>
        <v>-1065</v>
      </c>
      <c r="J833" s="290">
        <f>+DE833</f>
        <v>-1</v>
      </c>
      <c r="K833" s="260">
        <f t="shared" si="1278"/>
        <v>-213</v>
      </c>
      <c r="L833" s="260">
        <f t="shared" si="1278"/>
        <v>0</v>
      </c>
      <c r="M833" s="291">
        <f>+DI833-DG833</f>
        <v>-1</v>
      </c>
      <c r="N833" s="647">
        <f t="shared" si="1249"/>
        <v>-215</v>
      </c>
      <c r="O833" s="290">
        <f>+DJ833</f>
        <v>-1</v>
      </c>
      <c r="P833" s="260">
        <f t="shared" si="1279"/>
        <v>0</v>
      </c>
      <c r="Q833" s="260">
        <f t="shared" si="1279"/>
        <v>-1</v>
      </c>
      <c r="R833" s="291">
        <f>+DN833-DL833</f>
        <v>0</v>
      </c>
      <c r="S833" s="647">
        <f t="shared" si="1251"/>
        <v>-2</v>
      </c>
      <c r="T833" s="290">
        <f>+DO833</f>
        <v>-1</v>
      </c>
      <c r="U833" s="260">
        <f t="shared" si="1280"/>
        <v>-55</v>
      </c>
      <c r="V833" s="260">
        <f t="shared" si="1280"/>
        <v>-82</v>
      </c>
      <c r="W833" s="291">
        <f>+DS833-DQ833</f>
        <v>-7</v>
      </c>
      <c r="X833" s="647">
        <f t="shared" si="1253"/>
        <v>-145</v>
      </c>
      <c r="Y833" s="290">
        <f>+DT833</f>
        <v>-1</v>
      </c>
      <c r="Z833" s="260">
        <f t="shared" si="1281"/>
        <v>-457</v>
      </c>
      <c r="AA833" s="260">
        <f t="shared" si="1281"/>
        <v>-13</v>
      </c>
      <c r="AB833" s="291">
        <f>+DX833-DV833</f>
        <v>-99</v>
      </c>
      <c r="AC833" s="647">
        <f t="shared" si="1255"/>
        <v>-570</v>
      </c>
      <c r="AD833" s="290">
        <f>+DY833</f>
        <v>-532</v>
      </c>
      <c r="AE833" s="260">
        <f t="shared" si="1282"/>
        <v>-6</v>
      </c>
      <c r="AF833" s="260">
        <f t="shared" si="1282"/>
        <v>-14</v>
      </c>
      <c r="AG833" s="291">
        <f>+EC833-EA833</f>
        <v>-34</v>
      </c>
      <c r="AH833" s="647">
        <f t="shared" si="1257"/>
        <v>-586</v>
      </c>
      <c r="AI833" s="290">
        <f>+ED833</f>
        <v>-568</v>
      </c>
      <c r="AJ833" s="260">
        <f t="shared" si="1283"/>
        <v>-21</v>
      </c>
      <c r="AK833" s="260">
        <f t="shared" si="1283"/>
        <v>-25</v>
      </c>
      <c r="AL833" s="291">
        <f>+EH833-EF833</f>
        <v>-2499</v>
      </c>
      <c r="AM833" s="647">
        <f t="shared" si="1259"/>
        <v>-3113</v>
      </c>
      <c r="AN833" s="290">
        <f>+EI833</f>
        <v>-1277</v>
      </c>
      <c r="AO833" s="260">
        <f t="shared" si="1284"/>
        <v>717</v>
      </c>
      <c r="AP833" s="260">
        <f t="shared" si="1284"/>
        <v>-389</v>
      </c>
      <c r="AQ833" s="291">
        <f>+EM833-EK833</f>
        <v>-444</v>
      </c>
      <c r="AR833" s="647">
        <f t="shared" si="1261"/>
        <v>-1393</v>
      </c>
      <c r="AS833" s="290">
        <f>+EN833</f>
        <v>-31</v>
      </c>
      <c r="AT833" s="260">
        <f t="shared" si="1285"/>
        <v>-68</v>
      </c>
      <c r="AU833" s="260">
        <f t="shared" si="1286"/>
        <v>-351</v>
      </c>
      <c r="AV833" s="291">
        <f>+ER833-EP833</f>
        <v>-811</v>
      </c>
      <c r="AW833" s="647">
        <f t="shared" si="1264"/>
        <v>-1261</v>
      </c>
      <c r="AX833" s="290">
        <f t="shared" si="1287"/>
        <v>-20</v>
      </c>
      <c r="AY833" s="260">
        <f t="shared" si="1287"/>
        <v>-116</v>
      </c>
      <c r="AZ833" s="260">
        <f t="shared" si="1287"/>
        <v>-5</v>
      </c>
      <c r="BA833" s="291">
        <f t="shared" si="1287"/>
        <v>0</v>
      </c>
      <c r="BB833" s="45">
        <f>SUM(AX833:BA833)</f>
        <v>-141</v>
      </c>
      <c r="BC833" s="290">
        <f t="shared" ref="BC833:BF833" si="1291">+BC807</f>
        <v>0</v>
      </c>
      <c r="BD833" s="260">
        <f t="shared" si="1291"/>
        <v>0</v>
      </c>
      <c r="BE833" s="260">
        <f t="shared" si="1291"/>
        <v>-4</v>
      </c>
      <c r="BF833" s="291">
        <f t="shared" si="1291"/>
        <v>-600</v>
      </c>
      <c r="BG833" s="45">
        <f>SUM(BC833:BF833)</f>
        <v>-604</v>
      </c>
      <c r="BH833" s="290">
        <f t="shared" ref="BH833:BK833" si="1292">+BH807</f>
        <v>-1000</v>
      </c>
      <c r="BI833" s="260">
        <f t="shared" si="1292"/>
        <v>0</v>
      </c>
      <c r="BJ833" s="260">
        <f t="shared" si="1292"/>
        <v>-435.47</v>
      </c>
      <c r="BK833" s="291">
        <f t="shared" si="1292"/>
        <v>-550</v>
      </c>
      <c r="BL833" s="45">
        <f>SUM(BH833:BK833)</f>
        <v>-1985.47</v>
      </c>
      <c r="BM833" s="290">
        <f t="shared" ref="BM833:BP833" si="1293">+BM807</f>
        <v>-861</v>
      </c>
      <c r="BN833" s="260">
        <f t="shared" si="1293"/>
        <v>0</v>
      </c>
      <c r="BO833" s="260">
        <f t="shared" si="1293"/>
        <v>0</v>
      </c>
      <c r="BP833" s="291">
        <f t="shared" si="1293"/>
        <v>0</v>
      </c>
      <c r="BQ833" s="45">
        <f>SUM(BM833:BP833)</f>
        <v>-861</v>
      </c>
      <c r="BR833" s="45"/>
      <c r="BS833" s="45"/>
      <c r="BT833" s="45"/>
      <c r="BU833" s="45"/>
      <c r="BV833" s="45"/>
      <c r="BW833" s="45"/>
      <c r="BX833" s="45"/>
      <c r="BY833" s="45"/>
      <c r="BZ833" s="45"/>
      <c r="CA833" s="45"/>
      <c r="CB833" s="45"/>
      <c r="CC833" s="45"/>
      <c r="CD833" s="45"/>
      <c r="CE833" s="45"/>
      <c r="CF833" s="45"/>
      <c r="CG833" s="45"/>
      <c r="CH833" s="45"/>
      <c r="CI833" s="45"/>
      <c r="CJ833" s="45"/>
      <c r="CK833" s="45"/>
      <c r="CL833" s="45"/>
      <c r="CM833" s="45"/>
      <c r="CN833" s="45"/>
      <c r="CO833" s="45"/>
      <c r="CP833" s="45"/>
      <c r="CQ833" s="45"/>
      <c r="CR833" s="45"/>
      <c r="CS833" s="45"/>
      <c r="CT833" s="830"/>
      <c r="CU833" s="45"/>
      <c r="CV833" s="45"/>
      <c r="CW833" s="45"/>
      <c r="CX833" s="45"/>
      <c r="CY833" s="45"/>
      <c r="CZ833" s="427">
        <v>-47</v>
      </c>
      <c r="DA833" s="427">
        <v>-47</v>
      </c>
      <c r="DB833" s="427">
        <v>-920</v>
      </c>
      <c r="DC833" s="45">
        <f>DD833</f>
        <v>-1065</v>
      </c>
      <c r="DD833" s="427">
        <v>-1065</v>
      </c>
      <c r="DE833" s="427">
        <v>-1</v>
      </c>
      <c r="DF833" s="427">
        <v>-214</v>
      </c>
      <c r="DG833" s="427">
        <v>-214</v>
      </c>
      <c r="DH833" s="45">
        <f>DI833</f>
        <v>-215</v>
      </c>
      <c r="DI833" s="427">
        <v>-215</v>
      </c>
      <c r="DJ833" s="427">
        <v>-1</v>
      </c>
      <c r="DK833" s="427">
        <v>-1</v>
      </c>
      <c r="DL833" s="427">
        <v>-2</v>
      </c>
      <c r="DM833" s="45">
        <f>DN833</f>
        <v>-2</v>
      </c>
      <c r="DN833" s="427">
        <v>-2</v>
      </c>
      <c r="DO833" s="427">
        <v>-1</v>
      </c>
      <c r="DP833" s="427">
        <v>-56</v>
      </c>
      <c r="DQ833" s="427">
        <v>-138</v>
      </c>
      <c r="DR833" s="45">
        <f>DS833</f>
        <v>-145</v>
      </c>
      <c r="DS833" s="427">
        <v>-145</v>
      </c>
      <c r="DT833" s="427">
        <v>-1</v>
      </c>
      <c r="DU833" s="427">
        <v>-458</v>
      </c>
      <c r="DV833" s="339">
        <v>-471</v>
      </c>
      <c r="DW833" s="45">
        <f>DX833</f>
        <v>-570</v>
      </c>
      <c r="DX833" s="339">
        <v>-570</v>
      </c>
      <c r="DY833" s="427">
        <v>-532</v>
      </c>
      <c r="DZ833" s="427">
        <v>-538</v>
      </c>
      <c r="EA833" s="339">
        <v>-552</v>
      </c>
      <c r="EB833" s="45">
        <f>EC833</f>
        <v>-586</v>
      </c>
      <c r="EC833" s="339">
        <v>-586</v>
      </c>
      <c r="ED833" s="427">
        <f>-18-550</f>
        <v>-568</v>
      </c>
      <c r="EE833" s="427">
        <f>-39-550</f>
        <v>-589</v>
      </c>
      <c r="EF833" s="2056">
        <f>-64-550</f>
        <v>-614</v>
      </c>
      <c r="EG833" s="45">
        <f>EH833</f>
        <v>-3113</v>
      </c>
      <c r="EH833" s="2056">
        <f>-89-550-2474</f>
        <v>-3113</v>
      </c>
      <c r="EI833" s="427">
        <f>-94-1183</f>
        <v>-1277</v>
      </c>
      <c r="EJ833" s="427">
        <f>-131-429</f>
        <v>-560</v>
      </c>
      <c r="EK833" s="2056">
        <f>-164-785</f>
        <v>-949</v>
      </c>
      <c r="EL833" s="45">
        <f>EM833</f>
        <v>-1393</v>
      </c>
      <c r="EM833" s="2056">
        <f>-202-1191</f>
        <v>-1393</v>
      </c>
      <c r="EN833" s="427">
        <f>-30-1</f>
        <v>-31</v>
      </c>
      <c r="EO833" s="427">
        <f>-295+196</f>
        <v>-99</v>
      </c>
      <c r="EP833" s="427">
        <f>-541+91</f>
        <v>-450</v>
      </c>
      <c r="EQ833" s="45">
        <f>ER833</f>
        <v>-1261</v>
      </c>
      <c r="ER833" s="2056">
        <v>-1261</v>
      </c>
    </row>
    <row r="834" spans="1:148">
      <c r="A834" s="45"/>
      <c r="B834" s="45"/>
      <c r="C834" s="391" t="s">
        <v>151</v>
      </c>
      <c r="D834" s="45"/>
      <c r="E834" s="290">
        <f>+CZ834</f>
        <v>0</v>
      </c>
      <c r="F834" s="260">
        <f t="shared" si="1277"/>
        <v>0</v>
      </c>
      <c r="G834" s="260">
        <f t="shared" si="1277"/>
        <v>0</v>
      </c>
      <c r="H834" s="291">
        <f>+DD834-DB834</f>
        <v>0</v>
      </c>
      <c r="I834" s="647">
        <f t="shared" si="1247"/>
        <v>0</v>
      </c>
      <c r="J834" s="290">
        <f>+DE834</f>
        <v>0</v>
      </c>
      <c r="K834" s="260">
        <f t="shared" si="1278"/>
        <v>0</v>
      </c>
      <c r="L834" s="260">
        <f t="shared" si="1278"/>
        <v>0</v>
      </c>
      <c r="M834" s="291">
        <f>+DI834-DG834</f>
        <v>0</v>
      </c>
      <c r="N834" s="647">
        <f t="shared" si="1249"/>
        <v>0</v>
      </c>
      <c r="O834" s="290">
        <f>+DJ834</f>
        <v>0</v>
      </c>
      <c r="P834" s="260">
        <f t="shared" si="1279"/>
        <v>0</v>
      </c>
      <c r="Q834" s="260">
        <f t="shared" si="1279"/>
        <v>72</v>
      </c>
      <c r="R834" s="291">
        <f>+DN834-DL834</f>
        <v>-72</v>
      </c>
      <c r="S834" s="647">
        <f t="shared" si="1251"/>
        <v>0</v>
      </c>
      <c r="T834" s="290">
        <f>+DO834</f>
        <v>0</v>
      </c>
      <c r="U834" s="260">
        <f t="shared" si="1280"/>
        <v>-42</v>
      </c>
      <c r="V834" s="260">
        <f t="shared" si="1280"/>
        <v>1</v>
      </c>
      <c r="W834" s="291">
        <f>+DS834-DQ834</f>
        <v>-11</v>
      </c>
      <c r="X834" s="647">
        <f t="shared" si="1253"/>
        <v>-52</v>
      </c>
      <c r="Y834" s="290">
        <f>+DT834</f>
        <v>13</v>
      </c>
      <c r="Z834" s="260">
        <f t="shared" si="1281"/>
        <v>275</v>
      </c>
      <c r="AA834" s="260">
        <f t="shared" si="1281"/>
        <v>-276</v>
      </c>
      <c r="AB834" s="291">
        <f>+DX834-DV834</f>
        <v>1</v>
      </c>
      <c r="AC834" s="647">
        <f t="shared" si="1255"/>
        <v>13</v>
      </c>
      <c r="AD834" s="290">
        <f>+DY834</f>
        <v>354</v>
      </c>
      <c r="AE834" s="260">
        <f t="shared" si="1282"/>
        <v>-308</v>
      </c>
      <c r="AF834" s="260">
        <f t="shared" si="1282"/>
        <v>-39</v>
      </c>
      <c r="AG834" s="291">
        <f>+EC834-EA834</f>
        <v>10</v>
      </c>
      <c r="AH834" s="647">
        <f t="shared" si="1257"/>
        <v>17</v>
      </c>
      <c r="AI834" s="290">
        <f>+ED834</f>
        <v>-1</v>
      </c>
      <c r="AJ834" s="260">
        <f t="shared" si="1283"/>
        <v>16</v>
      </c>
      <c r="AK834" s="260">
        <f t="shared" si="1283"/>
        <v>-15</v>
      </c>
      <c r="AL834" s="291">
        <f>+EH834-EF834</f>
        <v>0</v>
      </c>
      <c r="AM834" s="647">
        <f t="shared" si="1259"/>
        <v>0</v>
      </c>
      <c r="AN834" s="290">
        <f>+EI834</f>
        <v>1500</v>
      </c>
      <c r="AO834" s="260">
        <f t="shared" si="1284"/>
        <v>-1321</v>
      </c>
      <c r="AP834" s="260">
        <f t="shared" si="1284"/>
        <v>-136</v>
      </c>
      <c r="AQ834" s="291">
        <f>+EM834-EK834</f>
        <v>655</v>
      </c>
      <c r="AR834" s="647">
        <f t="shared" si="1261"/>
        <v>698</v>
      </c>
      <c r="AS834" s="290">
        <f>+EN834</f>
        <v>18</v>
      </c>
      <c r="AT834" s="260">
        <f t="shared" si="1285"/>
        <v>-3</v>
      </c>
      <c r="AU834" s="260">
        <f t="shared" si="1286"/>
        <v>-624</v>
      </c>
      <c r="AV834" s="291">
        <f>+ER834-EP834</f>
        <v>-90</v>
      </c>
      <c r="AW834" s="647">
        <f t="shared" si="1264"/>
        <v>-699</v>
      </c>
      <c r="AX834" s="306">
        <v>0</v>
      </c>
      <c r="AY834" s="266">
        <v>0</v>
      </c>
      <c r="AZ834" s="266">
        <v>0</v>
      </c>
      <c r="BA834" s="307">
        <v>0</v>
      </c>
      <c r="BB834" s="45">
        <f>SUM(AX834:BA834)</f>
        <v>0</v>
      </c>
      <c r="BC834" s="306">
        <v>0</v>
      </c>
      <c r="BD834" s="266">
        <v>0</v>
      </c>
      <c r="BE834" s="266">
        <v>0</v>
      </c>
      <c r="BF834" s="307">
        <v>0</v>
      </c>
      <c r="BG834" s="45">
        <f>SUM(BC834:BF834)</f>
        <v>0</v>
      </c>
      <c r="BH834" s="306">
        <v>0</v>
      </c>
      <c r="BI834" s="266">
        <v>0</v>
      </c>
      <c r="BJ834" s="266">
        <v>0</v>
      </c>
      <c r="BK834" s="307">
        <v>0</v>
      </c>
      <c r="BL834" s="45">
        <f>SUM(BH834:BK834)</f>
        <v>0</v>
      </c>
      <c r="BM834" s="306">
        <v>0</v>
      </c>
      <c r="BN834" s="266">
        <v>0</v>
      </c>
      <c r="BO834" s="266">
        <v>0</v>
      </c>
      <c r="BP834" s="307">
        <v>0</v>
      </c>
      <c r="BQ834" s="45">
        <f>SUM(BM834:BP834)</f>
        <v>0</v>
      </c>
      <c r="BR834" s="223"/>
      <c r="BS834" s="223"/>
      <c r="BT834" s="45"/>
      <c r="BU834" s="45"/>
      <c r="BV834" s="45"/>
      <c r="BW834" s="45"/>
      <c r="BX834" s="45"/>
      <c r="BY834" s="45"/>
      <c r="BZ834" s="45"/>
      <c r="CA834" s="45"/>
      <c r="CB834" s="45"/>
      <c r="CC834" s="45"/>
      <c r="CD834" s="45"/>
      <c r="CE834" s="45"/>
      <c r="CF834" s="45"/>
      <c r="CG834" s="45"/>
      <c r="CH834" s="45"/>
      <c r="CI834" s="45"/>
      <c r="CJ834" s="45"/>
      <c r="CK834" s="45"/>
      <c r="CL834" s="45"/>
      <c r="CM834" s="45"/>
      <c r="CN834" s="45"/>
      <c r="CO834" s="45"/>
      <c r="CP834" s="45"/>
      <c r="CQ834" s="45"/>
      <c r="CR834" s="45"/>
      <c r="CS834" s="45"/>
      <c r="CT834" s="830"/>
      <c r="CU834" s="45"/>
      <c r="CV834" s="45"/>
      <c r="CW834" s="45"/>
      <c r="CX834" s="45"/>
      <c r="CY834" s="45"/>
      <c r="CZ834" s="818">
        <v>0</v>
      </c>
      <c r="DA834" s="818">
        <v>0</v>
      </c>
      <c r="DB834" s="818">
        <v>0</v>
      </c>
      <c r="DC834" s="45">
        <f>DD834</f>
        <v>0</v>
      </c>
      <c r="DD834" s="818">
        <v>0</v>
      </c>
      <c r="DE834" s="818">
        <v>0</v>
      </c>
      <c r="DF834" s="818">
        <v>0</v>
      </c>
      <c r="DG834" s="818">
        <v>0</v>
      </c>
      <c r="DH834" s="45">
        <f>DI834</f>
        <v>0</v>
      </c>
      <c r="DI834" s="818">
        <v>0</v>
      </c>
      <c r="DJ834" s="818">
        <v>0</v>
      </c>
      <c r="DK834" s="818">
        <v>0</v>
      </c>
      <c r="DL834" s="427">
        <v>72</v>
      </c>
      <c r="DM834" s="45">
        <f>DN834</f>
        <v>0</v>
      </c>
      <c r="DN834" s="818">
        <v>0</v>
      </c>
      <c r="DO834" s="818">
        <v>0</v>
      </c>
      <c r="DP834" s="818">
        <v>-42</v>
      </c>
      <c r="DQ834" s="427">
        <v>-41</v>
      </c>
      <c r="DR834" s="45">
        <f>DS834</f>
        <v>-52</v>
      </c>
      <c r="DS834" s="818">
        <v>-52</v>
      </c>
      <c r="DT834" s="818">
        <v>13</v>
      </c>
      <c r="DU834" s="818">
        <v>288</v>
      </c>
      <c r="DV834" s="339">
        <v>12</v>
      </c>
      <c r="DW834" s="45">
        <f>DX834</f>
        <v>13</v>
      </c>
      <c r="DX834" s="1434">
        <v>13</v>
      </c>
      <c r="DY834" s="818">
        <v>354</v>
      </c>
      <c r="DZ834" s="818">
        <v>46</v>
      </c>
      <c r="EA834" s="339">
        <v>7</v>
      </c>
      <c r="EB834" s="45">
        <f>EC834</f>
        <v>17</v>
      </c>
      <c r="EC834" s="1434">
        <v>17</v>
      </c>
      <c r="ED834" s="818">
        <v>-1</v>
      </c>
      <c r="EE834" s="818">
        <v>15</v>
      </c>
      <c r="EF834" s="2056">
        <v>0</v>
      </c>
      <c r="EG834" s="45">
        <f>EH834</f>
        <v>0</v>
      </c>
      <c r="EH834" s="1434">
        <v>0</v>
      </c>
      <c r="EI834" s="818">
        <f>1377+123</f>
        <v>1500</v>
      </c>
      <c r="EJ834" s="818">
        <f>194-15</f>
        <v>179</v>
      </c>
      <c r="EK834" s="2056">
        <f>195-152</f>
        <v>43</v>
      </c>
      <c r="EL834" s="45">
        <f>EM834</f>
        <v>698</v>
      </c>
      <c r="EM834" s="1434">
        <f>620+240-162</f>
        <v>698</v>
      </c>
      <c r="EN834" s="818">
        <f>-42+60</f>
        <v>18</v>
      </c>
      <c r="EO834" s="818">
        <f>-51+76-10</f>
        <v>15</v>
      </c>
      <c r="EP834" s="818">
        <f>-620+121-110</f>
        <v>-609</v>
      </c>
      <c r="EQ834" s="45">
        <f>ER834</f>
        <v>-699</v>
      </c>
      <c r="ER834" s="1434">
        <f>-620+121-200</f>
        <v>-699</v>
      </c>
    </row>
    <row r="835" spans="1:148">
      <c r="A835" s="45"/>
      <c r="B835" s="45"/>
      <c r="C835" s="391" t="s">
        <v>152</v>
      </c>
      <c r="D835" s="45"/>
      <c r="E835" s="290">
        <f>+CZ835</f>
        <v>-279</v>
      </c>
      <c r="F835" s="260">
        <f t="shared" si="1277"/>
        <v>-396</v>
      </c>
      <c r="G835" s="260">
        <f t="shared" si="1277"/>
        <v>-1067</v>
      </c>
      <c r="H835" s="291">
        <f>+DD835-DB835</f>
        <v>-477</v>
      </c>
      <c r="I835" s="647">
        <f t="shared" si="1247"/>
        <v>-2219</v>
      </c>
      <c r="J835" s="290">
        <f>+DE835</f>
        <v>-261</v>
      </c>
      <c r="K835" s="260">
        <f t="shared" si="1278"/>
        <v>-156</v>
      </c>
      <c r="L835" s="260">
        <f t="shared" si="1278"/>
        <v>-203</v>
      </c>
      <c r="M835" s="291">
        <f>+DI835-DG835</f>
        <v>-826</v>
      </c>
      <c r="N835" s="647">
        <f t="shared" si="1249"/>
        <v>-1446</v>
      </c>
      <c r="O835" s="290">
        <f>+DJ835</f>
        <v>0</v>
      </c>
      <c r="P835" s="260">
        <f t="shared" si="1279"/>
        <v>0</v>
      </c>
      <c r="Q835" s="260">
        <f t="shared" si="1279"/>
        <v>-31</v>
      </c>
      <c r="R835" s="291">
        <f>+DN835-DL835</f>
        <v>-111</v>
      </c>
      <c r="S835" s="647">
        <f t="shared" si="1251"/>
        <v>-142</v>
      </c>
      <c r="T835" s="290">
        <f>+DO835</f>
        <v>-600</v>
      </c>
      <c r="U835" s="260">
        <f t="shared" si="1280"/>
        <v>-291</v>
      </c>
      <c r="V835" s="260">
        <f t="shared" si="1280"/>
        <v>-493</v>
      </c>
      <c r="W835" s="291">
        <f>+DS835-DQ835</f>
        <v>-194</v>
      </c>
      <c r="X835" s="647">
        <f t="shared" si="1253"/>
        <v>-1578</v>
      </c>
      <c r="Y835" s="290">
        <f>+DT835</f>
        <v>-211</v>
      </c>
      <c r="Z835" s="260">
        <f t="shared" si="1281"/>
        <v>-263</v>
      </c>
      <c r="AA835" s="260">
        <f t="shared" si="1281"/>
        <v>-76</v>
      </c>
      <c r="AB835" s="291">
        <f>+DX835-DV835</f>
        <v>-49</v>
      </c>
      <c r="AC835" s="647">
        <f t="shared" si="1255"/>
        <v>-599</v>
      </c>
      <c r="AD835" s="290">
        <f>+DY835</f>
        <v>-30</v>
      </c>
      <c r="AE835" s="260">
        <f t="shared" si="1282"/>
        <v>-205</v>
      </c>
      <c r="AF835" s="260">
        <f t="shared" si="1282"/>
        <v>-205</v>
      </c>
      <c r="AG835" s="291">
        <f>+EC835-EA835</f>
        <v>-152</v>
      </c>
      <c r="AH835" s="647">
        <f t="shared" si="1257"/>
        <v>-592</v>
      </c>
      <c r="AI835" s="290">
        <f>+ED835</f>
        <v>-420</v>
      </c>
      <c r="AJ835" s="260">
        <f t="shared" si="1283"/>
        <v>-1204</v>
      </c>
      <c r="AK835" s="260">
        <f t="shared" si="1283"/>
        <v>516</v>
      </c>
      <c r="AL835" s="291">
        <f>+EH835-EF835</f>
        <v>2360</v>
      </c>
      <c r="AM835" s="647">
        <f t="shared" si="1259"/>
        <v>1252</v>
      </c>
      <c r="AN835" s="290">
        <f>+EI835</f>
        <v>-11</v>
      </c>
      <c r="AO835" s="260">
        <f t="shared" si="1284"/>
        <v>-100</v>
      </c>
      <c r="AP835" s="260">
        <f t="shared" si="1284"/>
        <v>86</v>
      </c>
      <c r="AQ835" s="291">
        <f>+EM835-EK835</f>
        <v>-897</v>
      </c>
      <c r="AR835" s="647">
        <f t="shared" si="1261"/>
        <v>-922</v>
      </c>
      <c r="AS835" s="290">
        <f>+EN835</f>
        <v>-164</v>
      </c>
      <c r="AT835" s="260">
        <f t="shared" si="1285"/>
        <v>-166</v>
      </c>
      <c r="AU835" s="260">
        <f t="shared" si="1286"/>
        <v>-62</v>
      </c>
      <c r="AV835" s="291">
        <f>+ER835-EP835</f>
        <v>-267</v>
      </c>
      <c r="AW835" s="647">
        <f t="shared" si="1264"/>
        <v>-659</v>
      </c>
      <c r="AX835" s="290">
        <f>+BB835/4</f>
        <v>-150</v>
      </c>
      <c r="AY835" s="260">
        <f>(BB835-SUM(AX835:AX835))/3</f>
        <v>-150</v>
      </c>
      <c r="AZ835" s="260">
        <f>(BB835-SUM(AX835:AY835))/2</f>
        <v>-150</v>
      </c>
      <c r="BA835" s="291">
        <f>(BB835-SUM(AX835:AZ835))/1</f>
        <v>-150</v>
      </c>
      <c r="BB835" s="426">
        <v>-600</v>
      </c>
      <c r="BC835" s="290">
        <f>+BG835/4</f>
        <v>-150</v>
      </c>
      <c r="BD835" s="260">
        <f>(BG835-SUM(BC835:BC835))/3</f>
        <v>-150</v>
      </c>
      <c r="BE835" s="260">
        <f>(BG835-SUM(BC835:BD835))/2</f>
        <v>-150</v>
      </c>
      <c r="BF835" s="291">
        <f>(BG835-SUM(BC835:BE835))/1</f>
        <v>-150</v>
      </c>
      <c r="BG835" s="426">
        <v>-600</v>
      </c>
      <c r="BH835" s="290">
        <f>+BL835/4</f>
        <v>-150</v>
      </c>
      <c r="BI835" s="260">
        <f>(BL835-SUM(BH835:BH835))/3</f>
        <v>-150</v>
      </c>
      <c r="BJ835" s="260">
        <f>(BL835-SUM(BH835:BI835))/2</f>
        <v>-150</v>
      </c>
      <c r="BK835" s="291">
        <f>(BL835-SUM(BH835:BJ835))/1</f>
        <v>-150</v>
      </c>
      <c r="BL835" s="426">
        <v>-600</v>
      </c>
      <c r="BM835" s="290">
        <f>+BQ835/4</f>
        <v>-150</v>
      </c>
      <c r="BN835" s="260">
        <f>(BQ835-SUM(BM835:BM835))/3</f>
        <v>-150</v>
      </c>
      <c r="BO835" s="260">
        <f>(BQ835-SUM(BM835:BN835))/2</f>
        <v>-150</v>
      </c>
      <c r="BP835" s="291">
        <f>(BQ835-SUM(BM835:BO835))/1</f>
        <v>-150</v>
      </c>
      <c r="BQ835" s="330">
        <f>+BL835</f>
        <v>-600</v>
      </c>
      <c r="BR835" s="383"/>
      <c r="BS835" s="45"/>
      <c r="BT835" s="45"/>
      <c r="BU835" s="45"/>
      <c r="BV835" s="45"/>
      <c r="BW835" s="45"/>
      <c r="BX835" s="45"/>
      <c r="BY835" s="45"/>
      <c r="BZ835" s="45"/>
      <c r="CA835" s="45"/>
      <c r="CB835" s="45"/>
      <c r="CC835" s="45"/>
      <c r="CD835" s="45"/>
      <c r="CE835" s="45"/>
      <c r="CF835" s="45"/>
      <c r="CG835" s="45"/>
      <c r="CH835" s="45"/>
      <c r="CI835" s="45"/>
      <c r="CJ835" s="45"/>
      <c r="CK835" s="45"/>
      <c r="CL835" s="383"/>
      <c r="CM835" s="383"/>
      <c r="CN835" s="383"/>
      <c r="CO835" s="383"/>
      <c r="CP835" s="383"/>
      <c r="CQ835" s="45"/>
      <c r="CR835" s="45"/>
      <c r="CS835" s="45"/>
      <c r="CT835" s="830"/>
      <c r="CU835" s="45"/>
      <c r="CV835" s="45"/>
      <c r="CW835" s="45"/>
      <c r="CX835" s="45"/>
      <c r="CY835" s="45"/>
      <c r="CZ835" s="818">
        <v>-279</v>
      </c>
      <c r="DA835" s="818">
        <v>-675</v>
      </c>
      <c r="DB835" s="818">
        <f>-1800+58</f>
        <v>-1742</v>
      </c>
      <c r="DC835" s="45">
        <f>DD835</f>
        <v>-2219</v>
      </c>
      <c r="DD835" s="818">
        <f>-2276+57</f>
        <v>-2219</v>
      </c>
      <c r="DE835" s="818">
        <v>-261</v>
      </c>
      <c r="DF835" s="818">
        <v>-417</v>
      </c>
      <c r="DG835" s="818">
        <f>-623+3</f>
        <v>-620</v>
      </c>
      <c r="DH835" s="45">
        <f>DI835</f>
        <v>-1446</v>
      </c>
      <c r="DI835" s="818">
        <f>-1508+62</f>
        <v>-1446</v>
      </c>
      <c r="DJ835" s="818">
        <v>0</v>
      </c>
      <c r="DK835" s="818">
        <v>0</v>
      </c>
      <c r="DL835" s="427">
        <f>-61+30</f>
        <v>-31</v>
      </c>
      <c r="DM835" s="45">
        <f>DN835</f>
        <v>-142</v>
      </c>
      <c r="DN835" s="818">
        <f>-172+30</f>
        <v>-142</v>
      </c>
      <c r="DO835" s="818">
        <v>-600</v>
      </c>
      <c r="DP835" s="818">
        <v>-891</v>
      </c>
      <c r="DQ835" s="427">
        <v>-1384</v>
      </c>
      <c r="DR835" s="45">
        <f>DS835</f>
        <v>-1578</v>
      </c>
      <c r="DS835" s="818">
        <f>-1626+48</f>
        <v>-1578</v>
      </c>
      <c r="DT835" s="818">
        <v>-211</v>
      </c>
      <c r="DU835" s="818">
        <v>-474</v>
      </c>
      <c r="DV835" s="339">
        <v>-550</v>
      </c>
      <c r="DW835" s="45">
        <f>DX835</f>
        <v>-599</v>
      </c>
      <c r="DX835" s="1434">
        <f>-625+26</f>
        <v>-599</v>
      </c>
      <c r="DY835" s="818">
        <v>-30</v>
      </c>
      <c r="DZ835" s="818">
        <v>-235</v>
      </c>
      <c r="EA835" s="339">
        <v>-440</v>
      </c>
      <c r="EB835" s="45">
        <f>EC835</f>
        <v>-592</v>
      </c>
      <c r="EC835" s="1434">
        <f>-645+53</f>
        <v>-592</v>
      </c>
      <c r="ED835" s="818">
        <f>-1356+936</f>
        <v>-420</v>
      </c>
      <c r="EE835" s="818">
        <f>638-2262</f>
        <v>-1624</v>
      </c>
      <c r="EF835" s="2056">
        <f>1205-2368+55</f>
        <v>-1108</v>
      </c>
      <c r="EG835" s="45">
        <f>EH835</f>
        <v>1252</v>
      </c>
      <c r="EH835" s="1434">
        <f>1252</f>
        <v>1252</v>
      </c>
      <c r="EI835" s="818">
        <f>-55+44</f>
        <v>-11</v>
      </c>
      <c r="EJ835" s="818">
        <f>-111</f>
        <v>-111</v>
      </c>
      <c r="EK835" s="2056">
        <f>-167+142</f>
        <v>-25</v>
      </c>
      <c r="EL835" s="45">
        <f>EM835</f>
        <v>-922</v>
      </c>
      <c r="EM835" s="1434">
        <f>-922</f>
        <v>-922</v>
      </c>
      <c r="EN835" s="818">
        <v>-164</v>
      </c>
      <c r="EO835" s="818">
        <v>-330</v>
      </c>
      <c r="EP835" s="818">
        <f>-494+102</f>
        <v>-392</v>
      </c>
      <c r="EQ835" s="45">
        <f>ER835</f>
        <v>-659</v>
      </c>
      <c r="ER835" s="1434">
        <v>-659</v>
      </c>
    </row>
    <row r="836" spans="1:148">
      <c r="A836" s="383"/>
      <c r="B836" s="45"/>
      <c r="C836" s="391" t="s">
        <v>62</v>
      </c>
      <c r="D836" s="45"/>
      <c r="E836" s="290">
        <f>+CZ836</f>
        <v>2</v>
      </c>
      <c r="F836" s="260">
        <f t="shared" si="1277"/>
        <v>0</v>
      </c>
      <c r="G836" s="260">
        <f t="shared" si="1277"/>
        <v>-4</v>
      </c>
      <c r="H836" s="291">
        <f>+DD836-DB836</f>
        <v>-6</v>
      </c>
      <c r="I836" s="647">
        <f t="shared" si="1247"/>
        <v>-8</v>
      </c>
      <c r="J836" s="290">
        <f>+DE836</f>
        <v>0</v>
      </c>
      <c r="K836" s="260">
        <f t="shared" si="1278"/>
        <v>2</v>
      </c>
      <c r="L836" s="260">
        <f t="shared" si="1278"/>
        <v>-18</v>
      </c>
      <c r="M836" s="291">
        <f>+DI836-DG836</f>
        <v>0</v>
      </c>
      <c r="N836" s="647">
        <f t="shared" si="1249"/>
        <v>-16</v>
      </c>
      <c r="O836" s="290">
        <f>+DJ836</f>
        <v>-37</v>
      </c>
      <c r="P836" s="260">
        <f t="shared" si="1279"/>
        <v>3</v>
      </c>
      <c r="Q836" s="260">
        <f t="shared" si="1279"/>
        <v>-19</v>
      </c>
      <c r="R836" s="291">
        <f>+DN836-DL836</f>
        <v>1</v>
      </c>
      <c r="S836" s="647">
        <f t="shared" si="1251"/>
        <v>-52</v>
      </c>
      <c r="T836" s="290">
        <f>+DO836</f>
        <v>0</v>
      </c>
      <c r="U836" s="260">
        <f t="shared" si="1280"/>
        <v>-9</v>
      </c>
      <c r="V836" s="260">
        <f t="shared" si="1280"/>
        <v>-8</v>
      </c>
      <c r="W836" s="291">
        <f>+DS836-DQ836</f>
        <v>-61</v>
      </c>
      <c r="X836" s="647">
        <f t="shared" si="1253"/>
        <v>-78</v>
      </c>
      <c r="Y836" s="290">
        <f>+DT836</f>
        <v>-37</v>
      </c>
      <c r="Z836" s="260">
        <f t="shared" si="1281"/>
        <v>251</v>
      </c>
      <c r="AA836" s="260">
        <f t="shared" si="1281"/>
        <v>-287</v>
      </c>
      <c r="AB836" s="291">
        <f>+DX836-DV836</f>
        <v>-9</v>
      </c>
      <c r="AC836" s="647">
        <f t="shared" si="1255"/>
        <v>-82</v>
      </c>
      <c r="AD836" s="290">
        <f>+DY836</f>
        <v>-21</v>
      </c>
      <c r="AE836" s="260">
        <f t="shared" si="1282"/>
        <v>-233</v>
      </c>
      <c r="AF836" s="260">
        <f t="shared" si="1282"/>
        <v>-173</v>
      </c>
      <c r="AG836" s="291">
        <f>+EC836-EA836</f>
        <v>-61</v>
      </c>
      <c r="AH836" s="647">
        <f t="shared" si="1257"/>
        <v>-488</v>
      </c>
      <c r="AI836" s="290">
        <f>+ED836</f>
        <v>-3</v>
      </c>
      <c r="AJ836" s="260">
        <f t="shared" si="1283"/>
        <v>-3</v>
      </c>
      <c r="AK836" s="260">
        <f t="shared" si="1283"/>
        <v>0</v>
      </c>
      <c r="AL836" s="291">
        <f>+EH836-EF836</f>
        <v>79</v>
      </c>
      <c r="AM836" s="647">
        <f t="shared" si="1259"/>
        <v>73</v>
      </c>
      <c r="AN836" s="290">
        <f>+EI836</f>
        <v>5</v>
      </c>
      <c r="AO836" s="260">
        <f t="shared" si="1284"/>
        <v>79</v>
      </c>
      <c r="AP836" s="260">
        <f t="shared" si="1284"/>
        <v>8</v>
      </c>
      <c r="AQ836" s="291">
        <f>+EM836-EK836</f>
        <v>403</v>
      </c>
      <c r="AR836" s="647">
        <f t="shared" si="1261"/>
        <v>495</v>
      </c>
      <c r="AS836" s="290">
        <f>+EN836</f>
        <v>-3</v>
      </c>
      <c r="AT836" s="260">
        <f t="shared" si="1285"/>
        <v>-4</v>
      </c>
      <c r="AU836" s="260">
        <f t="shared" si="1286"/>
        <v>372</v>
      </c>
      <c r="AV836" s="291">
        <f>+ER836-EP836</f>
        <v>28</v>
      </c>
      <c r="AW836" s="647">
        <f t="shared" si="1264"/>
        <v>393</v>
      </c>
      <c r="AX836" s="290">
        <f>+BB836/4</f>
        <v>0</v>
      </c>
      <c r="AY836" s="260">
        <f>(BB836-SUM(AX836:AX836))/3</f>
        <v>0</v>
      </c>
      <c r="AZ836" s="260">
        <f>(BB836-SUM(AX836:AY836))/2</f>
        <v>0</v>
      </c>
      <c r="BA836" s="291">
        <f>(BB836-SUM(AX836:AZ836))/1</f>
        <v>0</v>
      </c>
      <c r="BB836" s="426">
        <v>0</v>
      </c>
      <c r="BC836" s="290">
        <f>+BG836/4</f>
        <v>0</v>
      </c>
      <c r="BD836" s="260">
        <f>(BG836-SUM(BC836:BC836))/3</f>
        <v>0</v>
      </c>
      <c r="BE836" s="260">
        <f>(BG836-SUM(BC836:BD836))/2</f>
        <v>0</v>
      </c>
      <c r="BF836" s="291">
        <f>(BG836-SUM(BC836:BE836))/1</f>
        <v>0</v>
      </c>
      <c r="BG836" s="426">
        <v>0</v>
      </c>
      <c r="BH836" s="290">
        <f>+BL836/4</f>
        <v>0</v>
      </c>
      <c r="BI836" s="260">
        <f>(BL836-SUM(BH836:BH836))/3</f>
        <v>0</v>
      </c>
      <c r="BJ836" s="260">
        <f>(BL836-SUM(BH836:BI836))/2</f>
        <v>0</v>
      </c>
      <c r="BK836" s="291">
        <f>(BL836-SUM(BH836:BJ836))/1</f>
        <v>0</v>
      </c>
      <c r="BL836" s="426">
        <v>0</v>
      </c>
      <c r="BM836" s="290">
        <f>+BQ836/4</f>
        <v>0</v>
      </c>
      <c r="BN836" s="260">
        <f>(BQ836-SUM(BM836:BM836))/3</f>
        <v>0</v>
      </c>
      <c r="BO836" s="260">
        <f>(BQ836-SUM(BM836:BN836))/2</f>
        <v>0</v>
      </c>
      <c r="BP836" s="291">
        <f>(BQ836-SUM(BM836:BO836))/1</f>
        <v>0</v>
      </c>
      <c r="BQ836" s="426">
        <v>0</v>
      </c>
      <c r="BR836" s="45"/>
      <c r="BS836" s="45"/>
      <c r="BT836" s="383"/>
      <c r="BU836" s="45"/>
      <c r="BV836" s="45"/>
      <c r="BW836" s="45"/>
      <c r="BX836" s="45"/>
      <c r="BY836" s="45"/>
      <c r="BZ836" s="45"/>
      <c r="CA836" s="45"/>
      <c r="CB836" s="45"/>
      <c r="CC836" s="45"/>
      <c r="CD836" s="45"/>
      <c r="CE836" s="45"/>
      <c r="CF836" s="45"/>
      <c r="CG836" s="383"/>
      <c r="CH836" s="383"/>
      <c r="CI836" s="383"/>
      <c r="CJ836" s="383"/>
      <c r="CK836" s="383"/>
      <c r="CL836" s="383"/>
      <c r="CM836" s="383"/>
      <c r="CN836" s="383"/>
      <c r="CO836" s="383"/>
      <c r="CP836" s="383"/>
      <c r="CQ836" s="383"/>
      <c r="CR836" s="383"/>
      <c r="CS836" s="383"/>
      <c r="CT836" s="834"/>
      <c r="CU836" s="383"/>
      <c r="CV836" s="383"/>
      <c r="CW836" s="383"/>
      <c r="CX836" s="383"/>
      <c r="CY836" s="383"/>
      <c r="CZ836" s="427">
        <v>2</v>
      </c>
      <c r="DA836" s="818">
        <v>2</v>
      </c>
      <c r="DB836" s="427">
        <v>-2</v>
      </c>
      <c r="DC836" s="45">
        <f>DD836</f>
        <v>-8</v>
      </c>
      <c r="DD836" s="427">
        <v>-8</v>
      </c>
      <c r="DE836" s="427">
        <v>0</v>
      </c>
      <c r="DF836" s="427">
        <v>2</v>
      </c>
      <c r="DG836" s="427">
        <v>-16</v>
      </c>
      <c r="DH836" s="45">
        <f>DI836</f>
        <v>-16</v>
      </c>
      <c r="DI836" s="427">
        <v>-16</v>
      </c>
      <c r="DJ836" s="427">
        <v>-37</v>
      </c>
      <c r="DK836" s="427">
        <v>-34</v>
      </c>
      <c r="DL836" s="427">
        <v>-53</v>
      </c>
      <c r="DM836" s="45">
        <f>DN836</f>
        <v>-52</v>
      </c>
      <c r="DN836" s="427">
        <v>-52</v>
      </c>
      <c r="DO836" s="427">
        <v>0</v>
      </c>
      <c r="DP836" s="427">
        <v>-9</v>
      </c>
      <c r="DQ836" s="427">
        <v>-17</v>
      </c>
      <c r="DR836" s="45">
        <f>DS836</f>
        <v>-78</v>
      </c>
      <c r="DS836" s="427">
        <v>-78</v>
      </c>
      <c r="DT836" s="427">
        <v>-37</v>
      </c>
      <c r="DU836" s="427">
        <f>263-49</f>
        <v>214</v>
      </c>
      <c r="DV836" s="339">
        <v>-73</v>
      </c>
      <c r="DW836" s="45">
        <f>DX836</f>
        <v>-82</v>
      </c>
      <c r="DX836" s="339">
        <v>-82</v>
      </c>
      <c r="DY836" s="427">
        <v>-21</v>
      </c>
      <c r="DZ836" s="427">
        <f>190-415-29</f>
        <v>-254</v>
      </c>
      <c r="EA836" s="339">
        <f>-415+55-67</f>
        <v>-427</v>
      </c>
      <c r="EB836" s="45">
        <f>EC836</f>
        <v>-488</v>
      </c>
      <c r="EC836" s="339">
        <f>-421-67</f>
        <v>-488</v>
      </c>
      <c r="ED836" s="427">
        <v>-3</v>
      </c>
      <c r="EE836" s="427">
        <v>-6</v>
      </c>
      <c r="EF836" s="2056">
        <v>-6</v>
      </c>
      <c r="EG836" s="45">
        <f>EH836</f>
        <v>73</v>
      </c>
      <c r="EH836" s="2056">
        <f>47+26</f>
        <v>73</v>
      </c>
      <c r="EI836" s="427">
        <v>5</v>
      </c>
      <c r="EJ836" s="427">
        <f>45+39</f>
        <v>84</v>
      </c>
      <c r="EK836" s="2056">
        <v>92</v>
      </c>
      <c r="EL836" s="45">
        <f>EM836</f>
        <v>495</v>
      </c>
      <c r="EM836" s="2056">
        <f>142+372-19</f>
        <v>495</v>
      </c>
      <c r="EN836" s="427">
        <v>-3</v>
      </c>
      <c r="EO836" s="427">
        <v>-7</v>
      </c>
      <c r="EP836" s="427">
        <f>396-31</f>
        <v>365</v>
      </c>
      <c r="EQ836" s="45">
        <f>ER836</f>
        <v>393</v>
      </c>
      <c r="ER836" s="2056">
        <f>102+396-54-50-1</f>
        <v>393</v>
      </c>
    </row>
    <row r="837" spans="1:148">
      <c r="A837" s="383"/>
      <c r="B837" s="45"/>
      <c r="C837" s="389" t="s">
        <v>153</v>
      </c>
      <c r="D837" s="45"/>
      <c r="E837" s="292">
        <f>SUM(E832:E836)</f>
        <v>-324</v>
      </c>
      <c r="F837" s="261">
        <f>SUM(F832:F836)</f>
        <v>-350</v>
      </c>
      <c r="G837" s="261">
        <f>SUM(G832:G836)</f>
        <v>-444</v>
      </c>
      <c r="H837" s="293">
        <f>SUM(H832:H836)</f>
        <v>-628</v>
      </c>
      <c r="I837" s="583">
        <f t="shared" si="1247"/>
        <v>-1746</v>
      </c>
      <c r="J837" s="292">
        <f>SUM(J832:J836)</f>
        <v>-262</v>
      </c>
      <c r="K837" s="261">
        <f>SUM(K832:K836)</f>
        <v>-367</v>
      </c>
      <c r="L837" s="261">
        <f>SUM(L832:L836)</f>
        <v>677</v>
      </c>
      <c r="M837" s="293">
        <f>SUM(M832:M836)</f>
        <v>-827</v>
      </c>
      <c r="N837" s="583">
        <f t="shared" si="1249"/>
        <v>-779</v>
      </c>
      <c r="O837" s="292">
        <f>SUM(O832:O836)</f>
        <v>-38</v>
      </c>
      <c r="P837" s="261">
        <f>SUM(P832:P836)</f>
        <v>3</v>
      </c>
      <c r="Q837" s="261">
        <f>SUM(Q832:Q836)</f>
        <v>21</v>
      </c>
      <c r="R837" s="293">
        <f>SUM(R832:R836)</f>
        <v>-182</v>
      </c>
      <c r="S837" s="583">
        <f t="shared" si="1251"/>
        <v>-196</v>
      </c>
      <c r="T837" s="292">
        <f t="shared" ref="T837:AD837" si="1294">SUM(T832:T836)</f>
        <v>-601</v>
      </c>
      <c r="U837" s="261">
        <f>SUM(U832:U836)</f>
        <v>453</v>
      </c>
      <c r="V837" s="261">
        <f>SUM(V832:V836)</f>
        <v>-475</v>
      </c>
      <c r="W837" s="293">
        <f>SUM(W832:W836)</f>
        <v>-154</v>
      </c>
      <c r="X837" s="583">
        <f t="shared" si="1253"/>
        <v>-777</v>
      </c>
      <c r="Y837" s="292">
        <f t="shared" si="1294"/>
        <v>-87</v>
      </c>
      <c r="Z837" s="261">
        <f>SUM(Z832:Z836)</f>
        <v>-134</v>
      </c>
      <c r="AA837" s="261">
        <f>SUM(AA832:AA836)</f>
        <v>-30</v>
      </c>
      <c r="AB837" s="293">
        <f>SUM(AB832:AB836)</f>
        <v>-133</v>
      </c>
      <c r="AC837" s="583">
        <f t="shared" si="1255"/>
        <v>-384</v>
      </c>
      <c r="AD837" s="292">
        <f t="shared" si="1294"/>
        <v>71</v>
      </c>
      <c r="AE837" s="261">
        <f>SUM(AE832:AE836)</f>
        <v>-752</v>
      </c>
      <c r="AF837" s="261">
        <f>SUM(AF832:AF836)</f>
        <v>381</v>
      </c>
      <c r="AG837" s="293">
        <f>SUM(AG832:AG836)</f>
        <v>-237</v>
      </c>
      <c r="AH837" s="583">
        <f t="shared" si="1257"/>
        <v>-537</v>
      </c>
      <c r="AI837" s="292">
        <f t="shared" ref="AI837" si="1295">SUM(AI832:AI836)</f>
        <v>-186</v>
      </c>
      <c r="AJ837" s="261">
        <f>SUM(AJ832:AJ836)</f>
        <v>-711</v>
      </c>
      <c r="AK837" s="261">
        <f>SUM(AK832:AK836)</f>
        <v>476</v>
      </c>
      <c r="AL837" s="293">
        <f>SUM(AL832:AL836)</f>
        <v>-58</v>
      </c>
      <c r="AM837" s="583">
        <f t="shared" si="1259"/>
        <v>-479</v>
      </c>
      <c r="AN837" s="292">
        <f t="shared" ref="AN837" si="1296">SUM(AN832:AN836)</f>
        <v>368</v>
      </c>
      <c r="AO837" s="261">
        <f>SUM(AO832:AO836)</f>
        <v>-603</v>
      </c>
      <c r="AP837" s="261">
        <f>SUM(AP832:AP836)</f>
        <v>-266</v>
      </c>
      <c r="AQ837" s="293">
        <f>SUM(AQ832:AQ836)</f>
        <v>-233</v>
      </c>
      <c r="AR837" s="583">
        <f t="shared" si="1261"/>
        <v>-734</v>
      </c>
      <c r="AS837" s="292">
        <f t="shared" ref="AS837:BL837" si="1297">SUM(AS832:AS836)</f>
        <v>582</v>
      </c>
      <c r="AT837" s="261">
        <f>SUM(AT832:AT836)</f>
        <v>-224</v>
      </c>
      <c r="AU837" s="261">
        <f t="shared" ref="AU837" si="1298">SUM(AU832:AU836)</f>
        <v>-655</v>
      </c>
      <c r="AV837" s="293">
        <f>SUM(AV832:AV836)</f>
        <v>-284</v>
      </c>
      <c r="AW837" s="583">
        <f t="shared" si="1264"/>
        <v>-581</v>
      </c>
      <c r="AX837" s="292">
        <f t="shared" si="1297"/>
        <v>-170</v>
      </c>
      <c r="AY837" s="261">
        <f t="shared" si="1297"/>
        <v>-266</v>
      </c>
      <c r="AZ837" s="261">
        <f t="shared" si="1297"/>
        <v>-155</v>
      </c>
      <c r="BA837" s="293">
        <f t="shared" si="1297"/>
        <v>-150</v>
      </c>
      <c r="BB837" s="228">
        <f t="shared" si="1297"/>
        <v>-741</v>
      </c>
      <c r="BC837" s="292">
        <f t="shared" si="1297"/>
        <v>-150</v>
      </c>
      <c r="BD837" s="261">
        <f t="shared" si="1297"/>
        <v>-150</v>
      </c>
      <c r="BE837" s="261">
        <f t="shared" si="1297"/>
        <v>-154</v>
      </c>
      <c r="BF837" s="293">
        <f t="shared" si="1297"/>
        <v>-750</v>
      </c>
      <c r="BG837" s="228">
        <f t="shared" si="1297"/>
        <v>-1204</v>
      </c>
      <c r="BH837" s="292">
        <f t="shared" si="1297"/>
        <v>-1150</v>
      </c>
      <c r="BI837" s="261">
        <f t="shared" si="1297"/>
        <v>-150</v>
      </c>
      <c r="BJ837" s="261">
        <f t="shared" si="1297"/>
        <v>-585.47</v>
      </c>
      <c r="BK837" s="293">
        <f t="shared" si="1297"/>
        <v>-700</v>
      </c>
      <c r="BL837" s="228">
        <f t="shared" si="1297"/>
        <v>-2585.4700000000003</v>
      </c>
      <c r="BM837" s="292">
        <f t="shared" ref="BM837:BQ837" si="1299">SUM(BM832:BM836)</f>
        <v>-1011</v>
      </c>
      <c r="BN837" s="261">
        <f t="shared" si="1299"/>
        <v>-150</v>
      </c>
      <c r="BO837" s="261">
        <f t="shared" si="1299"/>
        <v>-150</v>
      </c>
      <c r="BP837" s="293">
        <f t="shared" si="1299"/>
        <v>-150</v>
      </c>
      <c r="BQ837" s="228">
        <f t="shared" si="1299"/>
        <v>-1461</v>
      </c>
      <c r="BR837" s="223"/>
      <c r="BS837" s="223"/>
      <c r="BT837" s="383"/>
      <c r="BU837" s="45"/>
      <c r="BV837" s="45"/>
      <c r="BW837" s="45"/>
      <c r="BX837" s="45"/>
      <c r="BY837" s="45"/>
      <c r="BZ837" s="45"/>
      <c r="CA837" s="45"/>
      <c r="CB837" s="45"/>
      <c r="CC837" s="45"/>
      <c r="CD837" s="45"/>
      <c r="CE837" s="45"/>
      <c r="CF837" s="45"/>
      <c r="CG837" s="383"/>
      <c r="CH837" s="383"/>
      <c r="CI837" s="383"/>
      <c r="CJ837" s="383"/>
      <c r="CK837" s="383"/>
      <c r="CL837" s="28"/>
      <c r="CM837" s="28"/>
      <c r="CN837" s="28"/>
      <c r="CO837" s="28"/>
      <c r="CP837" s="28"/>
      <c r="CQ837" s="383"/>
      <c r="CR837" s="383"/>
      <c r="CS837" s="383"/>
      <c r="CT837" s="834"/>
      <c r="CU837" s="383"/>
      <c r="CV837" s="383"/>
      <c r="CW837" s="383"/>
      <c r="CX837" s="383"/>
      <c r="CY837" s="383"/>
      <c r="CZ837" s="228">
        <f t="shared" ref="CZ837:DP837" si="1300">SUM(CZ832:CZ836)</f>
        <v>-324</v>
      </c>
      <c r="DA837" s="228">
        <f t="shared" si="1300"/>
        <v>-674</v>
      </c>
      <c r="DB837" s="228">
        <f t="shared" si="1300"/>
        <v>-1118</v>
      </c>
      <c r="DC837" s="228">
        <f t="shared" si="1300"/>
        <v>-1746</v>
      </c>
      <c r="DD837" s="228">
        <f t="shared" si="1300"/>
        <v>-1746</v>
      </c>
      <c r="DE837" s="228">
        <f t="shared" si="1300"/>
        <v>-262</v>
      </c>
      <c r="DF837" s="228">
        <f t="shared" si="1300"/>
        <v>-629</v>
      </c>
      <c r="DG837" s="228">
        <f t="shared" si="1300"/>
        <v>48</v>
      </c>
      <c r="DH837" s="228">
        <f t="shared" si="1300"/>
        <v>-779</v>
      </c>
      <c r="DI837" s="228">
        <f t="shared" si="1300"/>
        <v>-779</v>
      </c>
      <c r="DJ837" s="228">
        <f t="shared" si="1300"/>
        <v>-38</v>
      </c>
      <c r="DK837" s="228">
        <f t="shared" si="1300"/>
        <v>-35</v>
      </c>
      <c r="DL837" s="228">
        <f t="shared" si="1300"/>
        <v>-14</v>
      </c>
      <c r="DM837" s="228">
        <f t="shared" si="1300"/>
        <v>-196</v>
      </c>
      <c r="DN837" s="228">
        <f t="shared" si="1300"/>
        <v>-196</v>
      </c>
      <c r="DO837" s="228">
        <f t="shared" si="1300"/>
        <v>-601</v>
      </c>
      <c r="DP837" s="228">
        <f t="shared" si="1300"/>
        <v>-148</v>
      </c>
      <c r="DQ837" s="228">
        <f t="shared" ref="DQ837:DZ837" si="1301">SUM(DQ832:DQ836)</f>
        <v>-623</v>
      </c>
      <c r="DR837" s="228">
        <f t="shared" si="1301"/>
        <v>-777</v>
      </c>
      <c r="DS837" s="228">
        <f t="shared" si="1301"/>
        <v>-777</v>
      </c>
      <c r="DT837" s="228">
        <f t="shared" si="1301"/>
        <v>-87</v>
      </c>
      <c r="DU837" s="228">
        <f t="shared" si="1301"/>
        <v>-221</v>
      </c>
      <c r="DV837" s="228">
        <f t="shared" si="1301"/>
        <v>-251</v>
      </c>
      <c r="DW837" s="228">
        <f t="shared" si="1301"/>
        <v>-384</v>
      </c>
      <c r="DX837" s="228">
        <f t="shared" si="1301"/>
        <v>-384</v>
      </c>
      <c r="DY837" s="228">
        <f t="shared" si="1301"/>
        <v>71</v>
      </c>
      <c r="DZ837" s="228">
        <f t="shared" si="1301"/>
        <v>-681</v>
      </c>
      <c r="EA837" s="228">
        <f t="shared" ref="EA837:EE837" si="1302">SUM(EA832:EA836)</f>
        <v>-300</v>
      </c>
      <c r="EB837" s="228">
        <f t="shared" si="1302"/>
        <v>-537</v>
      </c>
      <c r="EC837" s="228">
        <f t="shared" si="1302"/>
        <v>-537</v>
      </c>
      <c r="ED837" s="228">
        <f t="shared" si="1302"/>
        <v>-186</v>
      </c>
      <c r="EE837" s="228">
        <f t="shared" si="1302"/>
        <v>-897</v>
      </c>
      <c r="EF837" s="228">
        <f t="shared" ref="EF837:EJ837" si="1303">SUM(EF832:EF836)</f>
        <v>-421</v>
      </c>
      <c r="EG837" s="228">
        <f t="shared" si="1303"/>
        <v>-479</v>
      </c>
      <c r="EH837" s="228">
        <f t="shared" si="1303"/>
        <v>-479</v>
      </c>
      <c r="EI837" s="228">
        <f t="shared" si="1303"/>
        <v>368</v>
      </c>
      <c r="EJ837" s="228">
        <f t="shared" si="1303"/>
        <v>-235</v>
      </c>
      <c r="EK837" s="228">
        <f t="shared" ref="EK837:EP837" si="1304">SUM(EK832:EK836)</f>
        <v>-501</v>
      </c>
      <c r="EL837" s="228">
        <f t="shared" si="1304"/>
        <v>-734</v>
      </c>
      <c r="EM837" s="228">
        <f t="shared" si="1304"/>
        <v>-734</v>
      </c>
      <c r="EN837" s="228">
        <f t="shared" si="1304"/>
        <v>582</v>
      </c>
      <c r="EO837" s="228">
        <f t="shared" si="1304"/>
        <v>358</v>
      </c>
      <c r="EP837" s="228">
        <f t="shared" si="1304"/>
        <v>-297</v>
      </c>
      <c r="EQ837" s="228">
        <f t="shared" ref="EQ837:ER837" si="1305">SUM(EQ832:EQ836)</f>
        <v>-581</v>
      </c>
      <c r="ER837" s="228">
        <f t="shared" si="1305"/>
        <v>-581</v>
      </c>
    </row>
    <row r="838" spans="1:148">
      <c r="A838" s="28"/>
      <c r="B838" s="45"/>
      <c r="C838" s="391"/>
      <c r="D838" s="45"/>
      <c r="E838" s="290"/>
      <c r="F838" s="260"/>
      <c r="G838" s="260"/>
      <c r="H838" s="291"/>
      <c r="I838" s="647">
        <f t="shared" si="1247"/>
        <v>0</v>
      </c>
      <c r="J838" s="290"/>
      <c r="K838" s="260"/>
      <c r="L838" s="260"/>
      <c r="M838" s="291"/>
      <c r="N838" s="647">
        <f t="shared" si="1249"/>
        <v>0</v>
      </c>
      <c r="O838" s="290"/>
      <c r="P838" s="260"/>
      <c r="Q838" s="260"/>
      <c r="R838" s="291"/>
      <c r="S838" s="647">
        <f t="shared" si="1251"/>
        <v>0</v>
      </c>
      <c r="T838" s="290"/>
      <c r="U838" s="260"/>
      <c r="V838" s="260"/>
      <c r="W838" s="291"/>
      <c r="X838" s="647">
        <f t="shared" si="1253"/>
        <v>0</v>
      </c>
      <c r="Y838" s="290"/>
      <c r="Z838" s="260"/>
      <c r="AA838" s="260"/>
      <c r="AB838" s="291"/>
      <c r="AC838" s="647">
        <f t="shared" si="1255"/>
        <v>0</v>
      </c>
      <c r="AD838" s="290"/>
      <c r="AE838" s="260"/>
      <c r="AF838" s="260"/>
      <c r="AG838" s="291"/>
      <c r="AH838" s="647">
        <f t="shared" si="1257"/>
        <v>0</v>
      </c>
      <c r="AI838" s="290"/>
      <c r="AJ838" s="260"/>
      <c r="AK838" s="260"/>
      <c r="AL838" s="291"/>
      <c r="AM838" s="647">
        <f t="shared" si="1259"/>
        <v>0</v>
      </c>
      <c r="AN838" s="290"/>
      <c r="AO838" s="260"/>
      <c r="AP838" s="260"/>
      <c r="AQ838" s="291"/>
      <c r="AR838" s="647">
        <f t="shared" si="1261"/>
        <v>0</v>
      </c>
      <c r="AS838" s="290"/>
      <c r="AT838" s="260"/>
      <c r="AU838" s="260"/>
      <c r="AV838" s="291"/>
      <c r="AW838" s="647">
        <f t="shared" si="1264"/>
        <v>0</v>
      </c>
      <c r="AX838" s="290"/>
      <c r="AY838" s="260"/>
      <c r="AZ838" s="260"/>
      <c r="BA838" s="291"/>
      <c r="BB838" s="45"/>
      <c r="BC838" s="290"/>
      <c r="BD838" s="260"/>
      <c r="BE838" s="260"/>
      <c r="BF838" s="291"/>
      <c r="BG838" s="45"/>
      <c r="BH838" s="290"/>
      <c r="BI838" s="260"/>
      <c r="BJ838" s="260"/>
      <c r="BK838" s="291"/>
      <c r="BL838" s="45"/>
      <c r="BM838" s="290"/>
      <c r="BN838" s="260"/>
      <c r="BO838" s="260"/>
      <c r="BP838" s="291"/>
      <c r="BQ838" s="45"/>
      <c r="BR838" s="28"/>
      <c r="BS838" s="28"/>
      <c r="BT838" s="28"/>
      <c r="BU838" s="383"/>
      <c r="BV838" s="383"/>
      <c r="BW838" s="383"/>
      <c r="BX838" s="383"/>
      <c r="BY838" s="383"/>
      <c r="BZ838" s="383"/>
      <c r="CA838" s="383"/>
      <c r="CB838" s="383"/>
      <c r="CC838" s="383"/>
      <c r="CD838" s="383"/>
      <c r="CE838" s="383"/>
      <c r="CF838" s="383"/>
      <c r="CG838" s="28"/>
      <c r="CH838" s="28"/>
      <c r="CI838" s="28"/>
      <c r="CJ838" s="28"/>
      <c r="CK838" s="28"/>
      <c r="CL838" s="28"/>
      <c r="CM838" s="28"/>
      <c r="CN838" s="28"/>
      <c r="CO838" s="28"/>
      <c r="CP838" s="28"/>
      <c r="CQ838" s="28"/>
      <c r="CR838" s="28"/>
      <c r="CS838" s="28"/>
      <c r="CT838" s="831"/>
      <c r="CU838" s="28"/>
      <c r="CV838" s="28"/>
      <c r="CW838" s="28"/>
      <c r="CX838" s="28"/>
      <c r="CY838" s="28"/>
      <c r="CZ838" s="228"/>
      <c r="DA838" s="228"/>
      <c r="DB838" s="228"/>
      <c r="DC838" s="228"/>
      <c r="DD838" s="228"/>
      <c r="DE838" s="228"/>
      <c r="DF838" s="228"/>
      <c r="DG838" s="228"/>
      <c r="DH838" s="228"/>
      <c r="DI838" s="228"/>
      <c r="DJ838" s="228"/>
      <c r="DK838" s="228"/>
      <c r="DL838" s="228"/>
      <c r="DM838" s="228"/>
      <c r="DN838" s="228"/>
      <c r="DO838" s="228"/>
      <c r="DP838" s="228"/>
      <c r="DQ838" s="228"/>
      <c r="DR838" s="228"/>
      <c r="DS838" s="228"/>
      <c r="DT838" s="228"/>
      <c r="DU838" s="228"/>
      <c r="DV838" s="228"/>
      <c r="DW838" s="228"/>
      <c r="DX838" s="228"/>
      <c r="DY838" s="228"/>
      <c r="DZ838" s="228"/>
      <c r="EA838" s="228"/>
      <c r="EB838" s="228"/>
      <c r="EC838" s="228"/>
      <c r="ED838" s="228"/>
      <c r="EE838" s="228"/>
      <c r="EF838" s="228"/>
      <c r="EG838" s="228"/>
      <c r="EH838" s="228"/>
      <c r="EI838" s="228"/>
      <c r="EJ838" s="228"/>
      <c r="EK838" s="228"/>
      <c r="EL838" s="228"/>
      <c r="EM838" s="228"/>
      <c r="EN838" s="228"/>
      <c r="EO838" s="228"/>
      <c r="EP838" s="228"/>
      <c r="EQ838" s="228"/>
      <c r="ER838" s="228"/>
    </row>
    <row r="839" spans="1:148">
      <c r="A839" s="28"/>
      <c r="B839" s="45"/>
      <c r="C839" s="389" t="s">
        <v>154</v>
      </c>
      <c r="D839" s="45"/>
      <c r="E839" s="292">
        <f>+E825+E830+E837</f>
        <v>800</v>
      </c>
      <c r="F839" s="261">
        <f>+F825+F830+F837</f>
        <v>-386</v>
      </c>
      <c r="G839" s="261">
        <f>+G825+G830+G837</f>
        <v>126</v>
      </c>
      <c r="H839" s="293">
        <f>+H825+H830+H837</f>
        <v>-576</v>
      </c>
      <c r="I839" s="583">
        <f t="shared" si="1247"/>
        <v>-36</v>
      </c>
      <c r="J839" s="292">
        <f>+J825+J830+J837</f>
        <v>654</v>
      </c>
      <c r="K839" s="261">
        <f>+K825+K830+K837</f>
        <v>-905</v>
      </c>
      <c r="L839" s="261">
        <f>+L825+L830+L837</f>
        <v>1361</v>
      </c>
      <c r="M839" s="293">
        <f>+M825+M830+M837</f>
        <v>-1753</v>
      </c>
      <c r="N839" s="583">
        <f t="shared" si="1249"/>
        <v>-643</v>
      </c>
      <c r="O839" s="292">
        <f>+O825+O830+O837</f>
        <v>-283</v>
      </c>
      <c r="P839" s="261">
        <f>+P825+P830+P837</f>
        <v>-64</v>
      </c>
      <c r="Q839" s="261">
        <f>+Q825+Q830+Q837</f>
        <v>34</v>
      </c>
      <c r="R839" s="293">
        <f>+R825+R830+R837</f>
        <v>353</v>
      </c>
      <c r="S839" s="583">
        <f t="shared" si="1251"/>
        <v>40</v>
      </c>
      <c r="T839" s="292">
        <f t="shared" ref="T839" si="1306">+T825+T830+T837</f>
        <v>-277</v>
      </c>
      <c r="U839" s="261">
        <f>+U825+U830+U837</f>
        <v>711</v>
      </c>
      <c r="V839" s="261">
        <f>+V825+V830+V837</f>
        <v>-100</v>
      </c>
      <c r="W839" s="293">
        <f>+W825+W830+W837</f>
        <v>-159</v>
      </c>
      <c r="X839" s="583">
        <f t="shared" si="1253"/>
        <v>175</v>
      </c>
      <c r="Y839" s="292">
        <f>+Y825+Y830+Y837</f>
        <v>-446</v>
      </c>
      <c r="Z839" s="261">
        <f>+Z825+Z830+Z837</f>
        <v>-3</v>
      </c>
      <c r="AA839" s="261">
        <f>+AA825+AA830+AA837</f>
        <v>706</v>
      </c>
      <c r="AB839" s="293">
        <f>+AB825+AB830+AB837</f>
        <v>330</v>
      </c>
      <c r="AC839" s="583">
        <f t="shared" si="1255"/>
        <v>587</v>
      </c>
      <c r="AD839" s="292">
        <f>+AD825+AD830+AD837</f>
        <v>-692</v>
      </c>
      <c r="AE839" s="261">
        <f>+AE825+AE830+AE837</f>
        <v>-261</v>
      </c>
      <c r="AF839" s="261">
        <f>+AF825+AF830+AF837</f>
        <v>1006</v>
      </c>
      <c r="AG839" s="293">
        <f>+AG825+AG830+AG837</f>
        <v>-531</v>
      </c>
      <c r="AH839" s="583">
        <f t="shared" si="1257"/>
        <v>-478</v>
      </c>
      <c r="AI839" s="292">
        <f>+AI825+AI830+AI837</f>
        <v>-248</v>
      </c>
      <c r="AJ839" s="261">
        <f>+AJ825+AJ830+AJ837</f>
        <v>-76</v>
      </c>
      <c r="AK839" s="261">
        <f>+AK825+AK830+AK837</f>
        <v>89</v>
      </c>
      <c r="AL839" s="293">
        <f>+AL825+AL830+AL837</f>
        <v>-114</v>
      </c>
      <c r="AM839" s="583">
        <f t="shared" si="1259"/>
        <v>-349</v>
      </c>
      <c r="AN839" s="292">
        <f>+AN825+AN830+AN837</f>
        <v>-54</v>
      </c>
      <c r="AO839" s="261">
        <f>+AO825+AO830+AO837</f>
        <v>-4</v>
      </c>
      <c r="AP839" s="261">
        <f>+AP825+AP830+AP837</f>
        <v>2</v>
      </c>
      <c r="AQ839" s="293">
        <f>+AQ825+AQ830+AQ837</f>
        <v>-85</v>
      </c>
      <c r="AR839" s="583">
        <f t="shared" si="1261"/>
        <v>-141</v>
      </c>
      <c r="AS839" s="292">
        <f>+AS825+AS830+AS837</f>
        <v>110</v>
      </c>
      <c r="AT839" s="261">
        <f>+AT825+AT830+AT837</f>
        <v>-135</v>
      </c>
      <c r="AU839" s="261">
        <f t="shared" ref="AU839" si="1307">+AU825+AU830+AU837</f>
        <v>95</v>
      </c>
      <c r="AV839" s="293">
        <f>+AV825+AV830+AV837</f>
        <v>56</v>
      </c>
      <c r="AW839" s="583">
        <f t="shared" si="1264"/>
        <v>126</v>
      </c>
      <c r="AX839" s="292">
        <f t="shared" ref="AX839:BL839" ca="1" si="1308">+AX825+AX830+AX837</f>
        <v>227.21917515997461</v>
      </c>
      <c r="AY839" s="261">
        <f t="shared" ca="1" si="1308"/>
        <v>-11.698432623044937</v>
      </c>
      <c r="AZ839" s="261">
        <f t="shared" ca="1" si="1308"/>
        <v>292.08574994396372</v>
      </c>
      <c r="BA839" s="293">
        <f t="shared" ca="1" si="1308"/>
        <v>68.689218434580653</v>
      </c>
      <c r="BB839" s="228">
        <f t="shared" ca="1" si="1308"/>
        <v>576.29571091547359</v>
      </c>
      <c r="BC839" s="292">
        <f t="shared" ca="1" si="1308"/>
        <v>403.76818521636642</v>
      </c>
      <c r="BD839" s="261">
        <f t="shared" ca="1" si="1308"/>
        <v>111.56269934741539</v>
      </c>
      <c r="BE839" s="261">
        <f t="shared" ca="1" si="1308"/>
        <v>240.60323270668363</v>
      </c>
      <c r="BF839" s="293">
        <f t="shared" ca="1" si="1308"/>
        <v>-552.21270140025626</v>
      </c>
      <c r="BG839" s="228">
        <f t="shared" ca="1" si="1308"/>
        <v>203.72141587020883</v>
      </c>
      <c r="BH839" s="292">
        <f t="shared" ca="1" si="1308"/>
        <v>-737.69409622317494</v>
      </c>
      <c r="BI839" s="261">
        <f t="shared" ca="1" si="1308"/>
        <v>-2.7595280045495088</v>
      </c>
      <c r="BJ839" s="261">
        <f t="shared" ca="1" si="1308"/>
        <v>-227.53747627506544</v>
      </c>
      <c r="BK839" s="293">
        <f t="shared" ca="1" si="1308"/>
        <v>-499.78366950339654</v>
      </c>
      <c r="BL839" s="228">
        <f t="shared" ca="1" si="1308"/>
        <v>-1467.7747700061866</v>
      </c>
      <c r="BM839" s="292">
        <f t="shared" ref="BM839:BQ839" ca="1" si="1309">+BM825+BM830+BM837</f>
        <v>-656.17974019295639</v>
      </c>
      <c r="BN839" s="261">
        <f t="shared" ca="1" si="1309"/>
        <v>95.694971603825934</v>
      </c>
      <c r="BO839" s="261">
        <f t="shared" ca="1" si="1309"/>
        <v>281.91385266547309</v>
      </c>
      <c r="BP839" s="293">
        <f t="shared" ca="1" si="1309"/>
        <v>132.15992005700355</v>
      </c>
      <c r="BQ839" s="228">
        <f t="shared" ca="1" si="1309"/>
        <v>-146.41099586665405</v>
      </c>
      <c r="BR839" s="45"/>
      <c r="BS839" s="45"/>
      <c r="BT839" s="28"/>
      <c r="BU839" s="383"/>
      <c r="BV839" s="383"/>
      <c r="BW839" s="383"/>
      <c r="BX839" s="383"/>
      <c r="BY839" s="383"/>
      <c r="BZ839" s="383"/>
      <c r="CA839" s="383"/>
      <c r="CB839" s="383"/>
      <c r="CC839" s="383"/>
      <c r="CD839" s="383"/>
      <c r="CE839" s="383"/>
      <c r="CF839" s="383"/>
      <c r="CG839" s="28"/>
      <c r="CH839" s="28"/>
      <c r="CI839" s="28"/>
      <c r="CJ839" s="28"/>
      <c r="CK839" s="28"/>
      <c r="CL839" s="28"/>
      <c r="CM839" s="28"/>
      <c r="CN839" s="28"/>
      <c r="CO839" s="28"/>
      <c r="CP839" s="28"/>
      <c r="CQ839" s="28"/>
      <c r="CR839" s="28"/>
      <c r="CS839" s="28"/>
      <c r="CT839" s="831"/>
      <c r="CU839" s="28"/>
      <c r="CV839" s="28"/>
      <c r="CW839" s="28"/>
      <c r="CX839" s="28"/>
      <c r="CY839" s="28"/>
      <c r="CZ839" s="779">
        <f t="shared" ref="CZ839:DO839" si="1310">CZ825+CZ830+CZ837</f>
        <v>800</v>
      </c>
      <c r="DA839" s="228">
        <f t="shared" si="1310"/>
        <v>414</v>
      </c>
      <c r="DB839" s="228">
        <f t="shared" si="1310"/>
        <v>540</v>
      </c>
      <c r="DC839" s="228">
        <f t="shared" si="1310"/>
        <v>-36</v>
      </c>
      <c r="DD839" s="228">
        <f t="shared" si="1310"/>
        <v>-36</v>
      </c>
      <c r="DE839" s="228">
        <f t="shared" si="1310"/>
        <v>654</v>
      </c>
      <c r="DF839" s="228">
        <f t="shared" si="1310"/>
        <v>-251</v>
      </c>
      <c r="DG839" s="228">
        <f t="shared" si="1310"/>
        <v>1110</v>
      </c>
      <c r="DH839" s="228">
        <f t="shared" si="1310"/>
        <v>-643</v>
      </c>
      <c r="DI839" s="228">
        <f t="shared" si="1310"/>
        <v>-643</v>
      </c>
      <c r="DJ839" s="228">
        <f t="shared" si="1310"/>
        <v>-283</v>
      </c>
      <c r="DK839" s="228">
        <f t="shared" si="1310"/>
        <v>-347</v>
      </c>
      <c r="DL839" s="228">
        <f t="shared" si="1310"/>
        <v>-313</v>
      </c>
      <c r="DM839" s="228">
        <f t="shared" si="1310"/>
        <v>40</v>
      </c>
      <c r="DN839" s="228">
        <f t="shared" si="1310"/>
        <v>40</v>
      </c>
      <c r="DO839" s="228">
        <f t="shared" si="1310"/>
        <v>-277</v>
      </c>
      <c r="DP839" s="228">
        <f t="shared" ref="DP839:DU839" si="1311">DP825+DP830+DP837</f>
        <v>434</v>
      </c>
      <c r="DQ839" s="228">
        <f t="shared" si="1311"/>
        <v>334</v>
      </c>
      <c r="DR839" s="228">
        <f t="shared" si="1311"/>
        <v>175</v>
      </c>
      <c r="DS839" s="228">
        <f t="shared" si="1311"/>
        <v>175</v>
      </c>
      <c r="DT839" s="228">
        <f t="shared" si="1311"/>
        <v>-446</v>
      </c>
      <c r="DU839" s="228">
        <f t="shared" si="1311"/>
        <v>-449</v>
      </c>
      <c r="DV839" s="228">
        <f t="shared" ref="DV839:EC839" si="1312">DV825+DV830+DV837</f>
        <v>257</v>
      </c>
      <c r="DW839" s="228">
        <f t="shared" si="1312"/>
        <v>587</v>
      </c>
      <c r="DX839" s="228">
        <f t="shared" si="1312"/>
        <v>587</v>
      </c>
      <c r="DY839" s="228">
        <f t="shared" si="1312"/>
        <v>-692</v>
      </c>
      <c r="DZ839" s="228">
        <f t="shared" si="1312"/>
        <v>-953</v>
      </c>
      <c r="EA839" s="228">
        <f t="shared" si="1312"/>
        <v>53</v>
      </c>
      <c r="EB839" s="228">
        <f t="shared" si="1312"/>
        <v>-478</v>
      </c>
      <c r="EC839" s="228">
        <f t="shared" si="1312"/>
        <v>-478</v>
      </c>
      <c r="ED839" s="228">
        <f t="shared" ref="ED839:EH839" si="1313">ED825+ED830+ED837</f>
        <v>-248</v>
      </c>
      <c r="EE839" s="228">
        <f t="shared" si="1313"/>
        <v>-324</v>
      </c>
      <c r="EF839" s="228">
        <f t="shared" si="1313"/>
        <v>-235</v>
      </c>
      <c r="EG839" s="228">
        <f t="shared" si="1313"/>
        <v>-349</v>
      </c>
      <c r="EH839" s="228">
        <f t="shared" si="1313"/>
        <v>-349</v>
      </c>
      <c r="EI839" s="228">
        <f t="shared" ref="EI839:EM839" si="1314">EI825+EI830+EI837</f>
        <v>-54</v>
      </c>
      <c r="EJ839" s="228">
        <f t="shared" si="1314"/>
        <v>-58</v>
      </c>
      <c r="EK839" s="228">
        <f t="shared" si="1314"/>
        <v>-56</v>
      </c>
      <c r="EL839" s="228">
        <f t="shared" si="1314"/>
        <v>-141</v>
      </c>
      <c r="EM839" s="228">
        <f t="shared" si="1314"/>
        <v>-141</v>
      </c>
      <c r="EN839" s="228">
        <f t="shared" ref="EN839:EO839" si="1315">EN825+EN830+EN837</f>
        <v>110</v>
      </c>
      <c r="EO839" s="228">
        <f t="shared" si="1315"/>
        <v>-25</v>
      </c>
      <c r="EP839" s="228">
        <f t="shared" ref="EP839:ER839" si="1316">EP825+EP830+EP837</f>
        <v>70</v>
      </c>
      <c r="EQ839" s="228">
        <f t="shared" si="1316"/>
        <v>126</v>
      </c>
      <c r="ER839" s="228">
        <f t="shared" si="1316"/>
        <v>126</v>
      </c>
    </row>
    <row r="840" spans="1:148">
      <c r="A840" s="28"/>
      <c r="B840" s="45"/>
      <c r="C840" s="391" t="s">
        <v>155</v>
      </c>
      <c r="D840" s="45"/>
      <c r="E840" s="648">
        <f>CZ840</f>
        <v>1135</v>
      </c>
      <c r="F840" s="260">
        <f>+E842</f>
        <v>1935</v>
      </c>
      <c r="G840" s="260">
        <f>+F842</f>
        <v>1549</v>
      </c>
      <c r="H840" s="291">
        <f>+G842</f>
        <v>1675</v>
      </c>
      <c r="I840" s="45">
        <f>+E840</f>
        <v>1135</v>
      </c>
      <c r="J840" s="290">
        <f>+I842</f>
        <v>1099</v>
      </c>
      <c r="K840" s="260">
        <f>+J842</f>
        <v>1753</v>
      </c>
      <c r="L840" s="260">
        <f>+K842</f>
        <v>848</v>
      </c>
      <c r="M840" s="291">
        <f>+L842</f>
        <v>2209</v>
      </c>
      <c r="N840" s="45">
        <f>+J840</f>
        <v>1099</v>
      </c>
      <c r="O840" s="290">
        <f>+N842</f>
        <v>456</v>
      </c>
      <c r="P840" s="260">
        <f>+O842</f>
        <v>173</v>
      </c>
      <c r="Q840" s="260">
        <f>+P842</f>
        <v>109</v>
      </c>
      <c r="R840" s="291">
        <f>+Q842</f>
        <v>143</v>
      </c>
      <c r="S840" s="45">
        <f>+O840</f>
        <v>456</v>
      </c>
      <c r="T840" s="290">
        <f>+S842</f>
        <v>496</v>
      </c>
      <c r="U840" s="260">
        <f>+T842</f>
        <v>219</v>
      </c>
      <c r="V840" s="260">
        <f>+U842</f>
        <v>930</v>
      </c>
      <c r="W840" s="291">
        <f>+V842</f>
        <v>830</v>
      </c>
      <c r="X840" s="45">
        <f>+T840</f>
        <v>496</v>
      </c>
      <c r="Y840" s="290">
        <f>+X842</f>
        <v>671</v>
      </c>
      <c r="Z840" s="260">
        <f>+Y842</f>
        <v>225</v>
      </c>
      <c r="AA840" s="260">
        <f>+Z842</f>
        <v>222</v>
      </c>
      <c r="AB840" s="291">
        <f>+AA842</f>
        <v>928</v>
      </c>
      <c r="AC840" s="45">
        <f>+Y840</f>
        <v>671</v>
      </c>
      <c r="AD840" s="290">
        <f>+AC842</f>
        <v>1258</v>
      </c>
      <c r="AE840" s="260">
        <f>+AD842</f>
        <v>566</v>
      </c>
      <c r="AF840" s="260">
        <f>+AE842</f>
        <v>305</v>
      </c>
      <c r="AG840" s="291">
        <f>+AF842</f>
        <v>1311</v>
      </c>
      <c r="AH840" s="45">
        <f>+AD840</f>
        <v>1258</v>
      </c>
      <c r="AI840" s="290">
        <f>+AH842</f>
        <v>780</v>
      </c>
      <c r="AJ840" s="260">
        <f>+AI842</f>
        <v>532</v>
      </c>
      <c r="AK840" s="260">
        <f>+AJ842</f>
        <v>456</v>
      </c>
      <c r="AL840" s="291">
        <f>+AK842</f>
        <v>545</v>
      </c>
      <c r="AM840" s="45">
        <f>+AI840</f>
        <v>780</v>
      </c>
      <c r="AN840" s="290">
        <f>+AM842</f>
        <v>431</v>
      </c>
      <c r="AO840" s="260">
        <f>+AN842</f>
        <v>377</v>
      </c>
      <c r="AP840" s="260">
        <f>+AO842</f>
        <v>373</v>
      </c>
      <c r="AQ840" s="291">
        <f>+AP842</f>
        <v>375</v>
      </c>
      <c r="AR840" s="45">
        <f>+AN840</f>
        <v>431</v>
      </c>
      <c r="AS840" s="290">
        <f>+AR842</f>
        <v>290</v>
      </c>
      <c r="AT840" s="260">
        <f>+AS842</f>
        <v>400</v>
      </c>
      <c r="AU840" s="260">
        <f t="shared" ref="AU840" si="1317">+AT842</f>
        <v>265</v>
      </c>
      <c r="AV840" s="291">
        <f>+AU842</f>
        <v>360</v>
      </c>
      <c r="AW840" s="45">
        <f>+AS840</f>
        <v>290</v>
      </c>
      <c r="AX840" s="290">
        <f>+AW842</f>
        <v>416</v>
      </c>
      <c r="AY840" s="260">
        <f ca="1">+AX842</f>
        <v>587.21917515997461</v>
      </c>
      <c r="AZ840" s="260">
        <f ca="1">+AY842</f>
        <v>575.52074253692967</v>
      </c>
      <c r="BA840" s="291">
        <f ca="1">+AZ842</f>
        <v>867.60649248089339</v>
      </c>
      <c r="BB840" s="45">
        <f>+AW842</f>
        <v>416</v>
      </c>
      <c r="BC840" s="290">
        <f ca="1">+BB842</f>
        <v>936.29571091547359</v>
      </c>
      <c r="BD840" s="260">
        <f ca="1">+BC842</f>
        <v>1340.06389613184</v>
      </c>
      <c r="BE840" s="260">
        <f ca="1">+BD842</f>
        <v>1451.6265954792555</v>
      </c>
      <c r="BF840" s="291">
        <f ca="1">+BE842</f>
        <v>1692.2298281859391</v>
      </c>
      <c r="BG840" s="45">
        <f ca="1">+BB842</f>
        <v>936.29571091547359</v>
      </c>
      <c r="BH840" s="290">
        <f ca="1">+BG842</f>
        <v>1140.0171267856824</v>
      </c>
      <c r="BI840" s="260">
        <f ca="1">+BH842</f>
        <v>402.32303056250748</v>
      </c>
      <c r="BJ840" s="260">
        <f ca="1">+BI842</f>
        <v>399.56350255795797</v>
      </c>
      <c r="BK840" s="291">
        <f ca="1">+BJ842</f>
        <v>172.02602628289253</v>
      </c>
      <c r="BL840" s="45">
        <f ca="1">+BG842</f>
        <v>1140.0171267856824</v>
      </c>
      <c r="BM840" s="290">
        <f ca="1">+BL842</f>
        <v>0</v>
      </c>
      <c r="BN840" s="260">
        <f ca="1">+BM842</f>
        <v>0</v>
      </c>
      <c r="BO840" s="260">
        <f ca="1">+BN842</f>
        <v>0</v>
      </c>
      <c r="BP840" s="291">
        <f ca="1">+BO842</f>
        <v>0</v>
      </c>
      <c r="BQ840" s="45">
        <f ca="1">+BL842</f>
        <v>0</v>
      </c>
      <c r="BR840" s="223"/>
      <c r="BS840" s="223"/>
      <c r="BT840" s="28"/>
      <c r="BU840" s="28"/>
      <c r="BV840" s="28"/>
      <c r="BW840" s="28"/>
      <c r="BX840" s="28"/>
      <c r="BY840" s="28"/>
      <c r="BZ840" s="28"/>
      <c r="CA840" s="28"/>
      <c r="CB840" s="28"/>
      <c r="CC840" s="28"/>
      <c r="CD840" s="28"/>
      <c r="CE840" s="28"/>
      <c r="CF840" s="28"/>
      <c r="CG840" s="28"/>
      <c r="CH840" s="28"/>
      <c r="CI840" s="28"/>
      <c r="CJ840" s="28"/>
      <c r="CK840" s="28"/>
      <c r="CL840" s="28"/>
      <c r="CM840" s="28"/>
      <c r="CN840" s="28"/>
      <c r="CO840" s="28"/>
      <c r="CP840" s="28"/>
      <c r="CQ840" s="28"/>
      <c r="CR840" s="28"/>
      <c r="CS840" s="28"/>
      <c r="CT840" s="831"/>
      <c r="CU840" s="28"/>
      <c r="CV840" s="28"/>
      <c r="CW840" s="28"/>
      <c r="CX840" s="28"/>
      <c r="CY840" s="28"/>
      <c r="CZ840" s="427">
        <v>1135</v>
      </c>
      <c r="DA840" s="45">
        <f>CZ840</f>
        <v>1135</v>
      </c>
      <c r="DB840" s="45">
        <f>DA840</f>
        <v>1135</v>
      </c>
      <c r="DC840" s="826">
        <f>CZ840</f>
        <v>1135</v>
      </c>
      <c r="DD840" s="45">
        <f>+CZ840</f>
        <v>1135</v>
      </c>
      <c r="DE840" s="45">
        <f>DD842</f>
        <v>1099</v>
      </c>
      <c r="DF840" s="45">
        <f>DE840</f>
        <v>1099</v>
      </c>
      <c r="DG840" s="45">
        <f>DE840</f>
        <v>1099</v>
      </c>
      <c r="DH840" s="45">
        <f>DE840</f>
        <v>1099</v>
      </c>
      <c r="DI840" s="45">
        <f>+DE840</f>
        <v>1099</v>
      </c>
      <c r="DJ840" s="45">
        <f>DI842</f>
        <v>456</v>
      </c>
      <c r="DK840" s="45">
        <f>DJ840</f>
        <v>456</v>
      </c>
      <c r="DL840" s="45">
        <f>DK840</f>
        <v>456</v>
      </c>
      <c r="DM840" s="45">
        <f>DJ840</f>
        <v>456</v>
      </c>
      <c r="DN840" s="45">
        <f>+DJ840</f>
        <v>456</v>
      </c>
      <c r="DO840" s="45">
        <f>DN842</f>
        <v>496</v>
      </c>
      <c r="DP840" s="45">
        <f>DO840</f>
        <v>496</v>
      </c>
      <c r="DQ840" s="45">
        <f>DP840</f>
        <v>496</v>
      </c>
      <c r="DR840" s="45">
        <f>DO840</f>
        <v>496</v>
      </c>
      <c r="DS840" s="45">
        <f>+DO840</f>
        <v>496</v>
      </c>
      <c r="DT840" s="45">
        <f>DS842</f>
        <v>671</v>
      </c>
      <c r="DU840" s="45">
        <f>DT840</f>
        <v>671</v>
      </c>
      <c r="DV840" s="45">
        <f>DU840</f>
        <v>671</v>
      </c>
      <c r="DW840" s="45">
        <f>DT840</f>
        <v>671</v>
      </c>
      <c r="DX840" s="45">
        <f>+DT840</f>
        <v>671</v>
      </c>
      <c r="DY840" s="45">
        <f>DX842</f>
        <v>1258</v>
      </c>
      <c r="DZ840" s="45">
        <f>DY840</f>
        <v>1258</v>
      </c>
      <c r="EA840" s="45">
        <f>DZ840</f>
        <v>1258</v>
      </c>
      <c r="EB840" s="45">
        <f>DY840</f>
        <v>1258</v>
      </c>
      <c r="EC840" s="45">
        <f>+DY840</f>
        <v>1258</v>
      </c>
      <c r="ED840" s="45">
        <f>EC842</f>
        <v>780</v>
      </c>
      <c r="EE840" s="45">
        <f>ED840</f>
        <v>780</v>
      </c>
      <c r="EF840" s="45">
        <f>EE840</f>
        <v>780</v>
      </c>
      <c r="EG840" s="45">
        <f>ED840</f>
        <v>780</v>
      </c>
      <c r="EH840" s="45">
        <f>+ED840</f>
        <v>780</v>
      </c>
      <c r="EI840" s="45">
        <f>EH842</f>
        <v>431</v>
      </c>
      <c r="EJ840" s="45">
        <f>EI840</f>
        <v>431</v>
      </c>
      <c r="EK840" s="45">
        <f>EJ840</f>
        <v>431</v>
      </c>
      <c r="EL840" s="45">
        <f>EI840</f>
        <v>431</v>
      </c>
      <c r="EM840" s="45">
        <f>+EI840</f>
        <v>431</v>
      </c>
      <c r="EN840" s="45">
        <f>EM842</f>
        <v>290</v>
      </c>
      <c r="EO840" s="45">
        <f>EN840</f>
        <v>290</v>
      </c>
      <c r="EP840" s="45">
        <f t="shared" ref="EP840" si="1318">EO840</f>
        <v>290</v>
      </c>
      <c r="EQ840" s="45">
        <f>EN840</f>
        <v>290</v>
      </c>
      <c r="ER840" s="45">
        <f>+EN840</f>
        <v>290</v>
      </c>
    </row>
    <row r="841" spans="1:148">
      <c r="A841" s="28"/>
      <c r="B841" s="45"/>
      <c r="C841" s="391" t="s">
        <v>151</v>
      </c>
      <c r="D841" s="45"/>
      <c r="E841" s="306">
        <v>0</v>
      </c>
      <c r="F841" s="266">
        <v>0</v>
      </c>
      <c r="G841" s="266">
        <v>0</v>
      </c>
      <c r="H841" s="307">
        <v>0</v>
      </c>
      <c r="I841" s="647">
        <f>SUM(E841:H841)</f>
        <v>0</v>
      </c>
      <c r="J841" s="306">
        <v>0</v>
      </c>
      <c r="K841" s="266">
        <v>0</v>
      </c>
      <c r="L841" s="266">
        <v>0</v>
      </c>
      <c r="M841" s="307">
        <v>0</v>
      </c>
      <c r="N841" s="647">
        <f>SUM(J841:M841)</f>
        <v>0</v>
      </c>
      <c r="O841" s="306">
        <v>0</v>
      </c>
      <c r="P841" s="266">
        <v>0</v>
      </c>
      <c r="Q841" s="266">
        <v>0</v>
      </c>
      <c r="R841" s="307">
        <v>0</v>
      </c>
      <c r="S841" s="647">
        <f>SUM(O841:R841)</f>
        <v>0</v>
      </c>
      <c r="T841" s="306">
        <v>0</v>
      </c>
      <c r="U841" s="266">
        <v>0</v>
      </c>
      <c r="V841" s="266">
        <v>0</v>
      </c>
      <c r="W841" s="307">
        <v>0</v>
      </c>
      <c r="X841" s="647">
        <f>SUM(T841:W841)</f>
        <v>0</v>
      </c>
      <c r="Y841" s="306">
        <v>0</v>
      </c>
      <c r="Z841" s="266">
        <v>0</v>
      </c>
      <c r="AA841" s="266">
        <v>0</v>
      </c>
      <c r="AB841" s="307">
        <v>0</v>
      </c>
      <c r="AC841" s="647">
        <f>SUM(Y841:AB841)</f>
        <v>0</v>
      </c>
      <c r="AD841" s="306">
        <v>0</v>
      </c>
      <c r="AE841" s="266">
        <v>0</v>
      </c>
      <c r="AF841" s="266">
        <v>0</v>
      </c>
      <c r="AG841" s="307">
        <v>0</v>
      </c>
      <c r="AH841" s="647">
        <f>SUM(AD841:AG841)</f>
        <v>0</v>
      </c>
      <c r="AI841" s="306">
        <v>0</v>
      </c>
      <c r="AJ841" s="266">
        <v>0</v>
      </c>
      <c r="AK841" s="266">
        <v>0</v>
      </c>
      <c r="AL841" s="307">
        <v>0</v>
      </c>
      <c r="AM841" s="647">
        <f>SUM(AI841:AL841)</f>
        <v>0</v>
      </c>
      <c r="AN841" s="306">
        <v>0</v>
      </c>
      <c r="AO841" s="266">
        <v>0</v>
      </c>
      <c r="AP841" s="266">
        <v>0</v>
      </c>
      <c r="AQ841" s="307">
        <v>0</v>
      </c>
      <c r="AR841" s="647">
        <f>SUM(AN841:AQ841)</f>
        <v>0</v>
      </c>
      <c r="AS841" s="306">
        <v>0</v>
      </c>
      <c r="AT841" s="266">
        <v>0</v>
      </c>
      <c r="AU841" s="266">
        <v>0</v>
      </c>
      <c r="AV841" s="307">
        <v>0</v>
      </c>
      <c r="AW841" s="647">
        <f>SUM(AS841:AV841)</f>
        <v>0</v>
      </c>
      <c r="AX841" s="290">
        <f ca="1">IF((AX839+AX840)&gt;=AW848,-AW848,-(AX839+AX840))</f>
        <v>-56</v>
      </c>
      <c r="AY841" s="260">
        <f ca="1">IF((AY839+AY840)&gt;=AX848,-AX848,-(AY839+AY840))</f>
        <v>0</v>
      </c>
      <c r="AZ841" s="260">
        <f ca="1">IF((AZ839+AZ840)&gt;=AY848,-AY848,-(AZ839+AZ840))</f>
        <v>0</v>
      </c>
      <c r="BA841" s="291">
        <f ca="1">IF((BA839+BA840)&gt;=AZ848,-AZ848,-(BA839+BA840))</f>
        <v>0</v>
      </c>
      <c r="BB841" s="45">
        <f ca="1">SUM(AX841:BA841)</f>
        <v>-56</v>
      </c>
      <c r="BC841" s="290">
        <f ca="1">IF((BC839+BC840)&gt;=BB848,-BB848,-(BC839+BC840))</f>
        <v>0</v>
      </c>
      <c r="BD841" s="260">
        <f ca="1">IF((BD839+BD840)&gt;=BC848,-BC848,-(BD839+BD840))</f>
        <v>0</v>
      </c>
      <c r="BE841" s="260">
        <f ca="1">IF((BE839+BE840)&gt;=BD848,-BD848,-(BE839+BE840))</f>
        <v>0</v>
      </c>
      <c r="BF841" s="291">
        <f ca="1">IF((BF839+BF840)&gt;=BE848,-BE848,-(BF839+BF840))</f>
        <v>0</v>
      </c>
      <c r="BG841" s="45">
        <f ca="1">SUM(BC841:BF841)</f>
        <v>0</v>
      </c>
      <c r="BH841" s="290">
        <f ca="1">IF((BH839+BH840)&gt;=BG848,-BG848,-(BH839+BH840))</f>
        <v>0</v>
      </c>
      <c r="BI841" s="260">
        <f ca="1">IF((BI839+BI840)&gt;=BH848,-BH848,-(BI839+BI840))</f>
        <v>0</v>
      </c>
      <c r="BJ841" s="260">
        <f ca="1">IF((BJ839+BJ840)&gt;=BI848,-BI848,-(BJ839+BJ840))</f>
        <v>0</v>
      </c>
      <c r="BK841" s="291">
        <f ca="1">IF((BK839+BK840)&gt;=BJ848,-BJ848,-(BK839+BK840))</f>
        <v>327.75764322050401</v>
      </c>
      <c r="BL841" s="45">
        <f ca="1">SUM(BH841:BK841)</f>
        <v>327.75764322050401</v>
      </c>
      <c r="BM841" s="290">
        <f ca="1">IF((BM839+BM840)&gt;=BL848,-BL848,-(BM839+BM840))</f>
        <v>656.17974019295639</v>
      </c>
      <c r="BN841" s="260">
        <f ca="1">IF((BN839+BN840)&gt;=BM848,-BM848,-(BN839+BN840))</f>
        <v>-95.694971603825934</v>
      </c>
      <c r="BO841" s="260">
        <f ca="1">IF((BO839+BO840)&gt;=BN848,-BN848,-(BO839+BO840))</f>
        <v>-281.91385266547309</v>
      </c>
      <c r="BP841" s="291">
        <f ca="1">IF((BP839+BP840)&gt;=BO848,-BO848,-(BP839+BP840))</f>
        <v>-132.15992005700355</v>
      </c>
      <c r="BQ841" s="45">
        <f ca="1">SUM(BM841:BP841)</f>
        <v>146.41099586665382</v>
      </c>
      <c r="BR841" s="223"/>
      <c r="BS841" s="223"/>
      <c r="BT841" s="440"/>
      <c r="BU841" s="28"/>
      <c r="BV841" s="28"/>
      <c r="BW841" s="28"/>
      <c r="BX841" s="28"/>
      <c r="BY841" s="28"/>
      <c r="BZ841" s="28"/>
      <c r="CA841" s="28"/>
      <c r="CB841" s="28"/>
      <c r="CC841" s="28"/>
      <c r="CD841" s="28"/>
      <c r="CE841" s="28"/>
      <c r="CF841" s="28"/>
      <c r="CG841" s="28"/>
      <c r="CH841" s="28"/>
      <c r="CI841" s="28"/>
      <c r="CJ841" s="28"/>
      <c r="CK841" s="28"/>
      <c r="CL841" s="28"/>
      <c r="CM841" s="28"/>
      <c r="CN841" s="28"/>
      <c r="CO841" s="28"/>
      <c r="CP841" s="28"/>
      <c r="CQ841" s="28"/>
      <c r="CR841" s="28"/>
      <c r="CS841" s="28"/>
      <c r="CT841" s="831"/>
      <c r="CU841" s="28"/>
      <c r="CV841" s="28"/>
      <c r="CW841" s="28"/>
      <c r="CX841" s="28"/>
      <c r="CY841" s="28"/>
      <c r="CZ841" s="45"/>
      <c r="DA841" s="45"/>
      <c r="DB841" s="45"/>
      <c r="DC841" s="45"/>
      <c r="DD841" s="45"/>
      <c r="DE841" s="45"/>
      <c r="DF841" s="45"/>
      <c r="DG841" s="45"/>
      <c r="DH841" s="45"/>
      <c r="DI841" s="45"/>
      <c r="DJ841" s="45"/>
      <c r="DK841" s="45"/>
      <c r="DL841" s="45"/>
      <c r="DM841" s="45"/>
      <c r="DN841" s="45"/>
      <c r="DO841" s="45"/>
      <c r="DP841" s="45"/>
      <c r="DQ841" s="45"/>
      <c r="DR841" s="45"/>
      <c r="DS841" s="45"/>
      <c r="DT841" s="45"/>
      <c r="DU841" s="45"/>
      <c r="DV841" s="45"/>
      <c r="DW841" s="45"/>
      <c r="DX841" s="45"/>
      <c r="DY841" s="45"/>
      <c r="DZ841" s="45"/>
      <c r="EA841" s="45"/>
      <c r="EB841" s="45"/>
      <c r="EC841" s="45"/>
      <c r="ED841" s="45"/>
      <c r="EE841" s="45"/>
      <c r="EF841" s="45"/>
      <c r="EG841" s="45"/>
      <c r="EH841" s="45"/>
      <c r="EI841" s="45"/>
      <c r="EJ841" s="45"/>
      <c r="EK841" s="45"/>
      <c r="EL841" s="45"/>
      <c r="EM841" s="45"/>
      <c r="EN841" s="45"/>
      <c r="EO841" s="45"/>
      <c r="EP841" s="45"/>
      <c r="EQ841" s="45"/>
      <c r="ER841" s="45"/>
    </row>
    <row r="842" spans="1:148">
      <c r="A842" s="28"/>
      <c r="B842" s="45"/>
      <c r="C842" s="389" t="s">
        <v>221</v>
      </c>
      <c r="D842" s="45"/>
      <c r="E842" s="292">
        <f t="shared" ref="E842:AD842" si="1319">E841+E840+E839</f>
        <v>1935</v>
      </c>
      <c r="F842" s="261">
        <f t="shared" si="1319"/>
        <v>1549</v>
      </c>
      <c r="G842" s="261">
        <f t="shared" si="1319"/>
        <v>1675</v>
      </c>
      <c r="H842" s="293">
        <f t="shared" si="1319"/>
        <v>1099</v>
      </c>
      <c r="I842" s="583">
        <f t="shared" si="1319"/>
        <v>1099</v>
      </c>
      <c r="J842" s="292">
        <f t="shared" si="1319"/>
        <v>1753</v>
      </c>
      <c r="K842" s="261">
        <f t="shared" si="1319"/>
        <v>848</v>
      </c>
      <c r="L842" s="261">
        <f t="shared" si="1319"/>
        <v>2209</v>
      </c>
      <c r="M842" s="293">
        <f t="shared" si="1319"/>
        <v>456</v>
      </c>
      <c r="N842" s="583">
        <f t="shared" si="1319"/>
        <v>456</v>
      </c>
      <c r="O842" s="292">
        <f t="shared" si="1319"/>
        <v>173</v>
      </c>
      <c r="P842" s="261">
        <f t="shared" si="1319"/>
        <v>109</v>
      </c>
      <c r="Q842" s="261">
        <f t="shared" si="1319"/>
        <v>143</v>
      </c>
      <c r="R842" s="293">
        <f t="shared" si="1319"/>
        <v>496</v>
      </c>
      <c r="S842" s="583">
        <f t="shared" si="1319"/>
        <v>496</v>
      </c>
      <c r="T842" s="292">
        <f t="shared" si="1319"/>
        <v>219</v>
      </c>
      <c r="U842" s="261">
        <f t="shared" si="1319"/>
        <v>930</v>
      </c>
      <c r="V842" s="261">
        <f>V841+V840+V839</f>
        <v>830</v>
      </c>
      <c r="W842" s="293">
        <f>W841+W840+W839</f>
        <v>671</v>
      </c>
      <c r="X842" s="583">
        <f>X841+X840+X839</f>
        <v>671</v>
      </c>
      <c r="Y842" s="292">
        <f t="shared" si="1319"/>
        <v>225</v>
      </c>
      <c r="Z842" s="261">
        <f>Z841+Z840+Z839</f>
        <v>222</v>
      </c>
      <c r="AA842" s="261">
        <f>AA841+AA840+AA839</f>
        <v>928</v>
      </c>
      <c r="AB842" s="293">
        <f>AB841+AB840+AB839</f>
        <v>1258</v>
      </c>
      <c r="AC842" s="583">
        <f>AC841+AC840+AC839</f>
        <v>1258</v>
      </c>
      <c r="AD842" s="292">
        <f t="shared" si="1319"/>
        <v>566</v>
      </c>
      <c r="AE842" s="261">
        <f>AE841+AE840+AE839</f>
        <v>305</v>
      </c>
      <c r="AF842" s="261">
        <f>AF841+AF840+AF839</f>
        <v>1311</v>
      </c>
      <c r="AG842" s="293">
        <f>AG841+AG840+AG839</f>
        <v>780</v>
      </c>
      <c r="AH842" s="583">
        <f>AH841+AH840+AH839</f>
        <v>780</v>
      </c>
      <c r="AI842" s="292">
        <f t="shared" ref="AI842" si="1320">AI841+AI840+AI839</f>
        <v>532</v>
      </c>
      <c r="AJ842" s="261">
        <f>AJ841+AJ840+AJ839</f>
        <v>456</v>
      </c>
      <c r="AK842" s="261">
        <f>AK841+AK840+AK839</f>
        <v>545</v>
      </c>
      <c r="AL842" s="293">
        <f>AL841+AL840+AL839</f>
        <v>431</v>
      </c>
      <c r="AM842" s="583">
        <f>AM841+AM840+AM839</f>
        <v>431</v>
      </c>
      <c r="AN842" s="292">
        <f t="shared" ref="AN842" si="1321">AN841+AN840+AN839</f>
        <v>377</v>
      </c>
      <c r="AO842" s="261">
        <f>AO841+AO840+AO839</f>
        <v>373</v>
      </c>
      <c r="AP842" s="261">
        <f>AP841+AP840+AP839</f>
        <v>375</v>
      </c>
      <c r="AQ842" s="293">
        <f>AQ841+AQ840+AQ839</f>
        <v>290</v>
      </c>
      <c r="AR842" s="583">
        <f>AR841+AR840+AR839</f>
        <v>290</v>
      </c>
      <c r="AS842" s="292">
        <f t="shared" ref="AS842:BL842" si="1322">AS841+AS840+AS839</f>
        <v>400</v>
      </c>
      <c r="AT842" s="261">
        <f>AT841+AT840+AT839</f>
        <v>265</v>
      </c>
      <c r="AU842" s="261">
        <f t="shared" ref="AU842" si="1323">AU841+AU840+AU839</f>
        <v>360</v>
      </c>
      <c r="AV842" s="293">
        <f>AV841+AV840+AV839</f>
        <v>416</v>
      </c>
      <c r="AW842" s="583">
        <f>AW841+AW840+AW839</f>
        <v>416</v>
      </c>
      <c r="AX842" s="292">
        <f t="shared" ca="1" si="1322"/>
        <v>587.21917515997461</v>
      </c>
      <c r="AY842" s="261">
        <f t="shared" ca="1" si="1322"/>
        <v>575.52074253692967</v>
      </c>
      <c r="AZ842" s="261">
        <f t="shared" ca="1" si="1322"/>
        <v>867.60649248089339</v>
      </c>
      <c r="BA842" s="293">
        <f t="shared" ca="1" si="1322"/>
        <v>936.29571091547405</v>
      </c>
      <c r="BB842" s="228">
        <f t="shared" ca="1" si="1322"/>
        <v>936.29571091547359</v>
      </c>
      <c r="BC842" s="292">
        <f t="shared" ca="1" si="1322"/>
        <v>1340.06389613184</v>
      </c>
      <c r="BD842" s="261">
        <f t="shared" ca="1" si="1322"/>
        <v>1451.6265954792555</v>
      </c>
      <c r="BE842" s="261">
        <f t="shared" ca="1" si="1322"/>
        <v>1692.2298281859391</v>
      </c>
      <c r="BF842" s="293">
        <f t="shared" ca="1" si="1322"/>
        <v>1140.0171267856829</v>
      </c>
      <c r="BG842" s="228">
        <f t="shared" ca="1" si="1322"/>
        <v>1140.0171267856824</v>
      </c>
      <c r="BH842" s="292">
        <f t="shared" ca="1" si="1322"/>
        <v>402.32303056250748</v>
      </c>
      <c r="BI842" s="261">
        <f t="shared" ca="1" si="1322"/>
        <v>399.56350255795797</v>
      </c>
      <c r="BJ842" s="261">
        <f t="shared" ca="1" si="1322"/>
        <v>172.02602628289253</v>
      </c>
      <c r="BK842" s="293">
        <f t="shared" ca="1" si="1322"/>
        <v>0</v>
      </c>
      <c r="BL842" s="228">
        <f t="shared" ca="1" si="1322"/>
        <v>0</v>
      </c>
      <c r="BM842" s="292">
        <f t="shared" ref="BM842:BQ842" ca="1" si="1324">BM841+BM840+BM839</f>
        <v>0</v>
      </c>
      <c r="BN842" s="261">
        <f t="shared" ca="1" si="1324"/>
        <v>0</v>
      </c>
      <c r="BO842" s="261">
        <f t="shared" ca="1" si="1324"/>
        <v>0</v>
      </c>
      <c r="BP842" s="293">
        <f t="shared" ca="1" si="1324"/>
        <v>0</v>
      </c>
      <c r="BQ842" s="228">
        <f t="shared" ca="1" si="1324"/>
        <v>-2.2737367544323206E-13</v>
      </c>
      <c r="BR842" s="45"/>
      <c r="BS842" s="45"/>
      <c r="BT842" s="440"/>
      <c r="BU842" s="28"/>
      <c r="BV842" s="28"/>
      <c r="BW842" s="28"/>
      <c r="BX842" s="28"/>
      <c r="BY842" s="28"/>
      <c r="BZ842" s="28"/>
      <c r="CA842" s="28"/>
      <c r="CB842" s="28"/>
      <c r="CC842" s="28"/>
      <c r="CD842" s="28"/>
      <c r="CE842" s="28"/>
      <c r="CF842" s="28"/>
      <c r="CG842" s="28"/>
      <c r="CH842" s="28"/>
      <c r="CI842" s="28"/>
      <c r="CJ842" s="28"/>
      <c r="CK842" s="28"/>
      <c r="CL842" s="383"/>
      <c r="CM842" s="383"/>
      <c r="CN842" s="383"/>
      <c r="CO842" s="383"/>
      <c r="CP842" s="383"/>
      <c r="CQ842" s="28"/>
      <c r="CR842" s="28"/>
      <c r="CS842" s="28"/>
      <c r="CT842" s="831"/>
      <c r="CU842" s="28"/>
      <c r="CV842" s="28"/>
      <c r="CW842" s="28"/>
      <c r="CX842" s="28"/>
      <c r="CY842" s="28"/>
      <c r="CZ842" s="583">
        <f t="shared" ref="CZ842:DP842" si="1325">CZ839+CZ840+CZ841</f>
        <v>1935</v>
      </c>
      <c r="DA842" s="583">
        <f t="shared" si="1325"/>
        <v>1549</v>
      </c>
      <c r="DB842" s="583">
        <f t="shared" si="1325"/>
        <v>1675</v>
      </c>
      <c r="DC842" s="583">
        <f t="shared" si="1325"/>
        <v>1099</v>
      </c>
      <c r="DD842" s="583">
        <f t="shared" si="1325"/>
        <v>1099</v>
      </c>
      <c r="DE842" s="583">
        <f t="shared" si="1325"/>
        <v>1753</v>
      </c>
      <c r="DF842" s="583">
        <f t="shared" si="1325"/>
        <v>848</v>
      </c>
      <c r="DG842" s="583">
        <f t="shared" si="1325"/>
        <v>2209</v>
      </c>
      <c r="DH842" s="583">
        <f t="shared" si="1325"/>
        <v>456</v>
      </c>
      <c r="DI842" s="583">
        <f t="shared" si="1325"/>
        <v>456</v>
      </c>
      <c r="DJ842" s="583">
        <f t="shared" si="1325"/>
        <v>173</v>
      </c>
      <c r="DK842" s="583">
        <f t="shared" si="1325"/>
        <v>109</v>
      </c>
      <c r="DL842" s="583">
        <f t="shared" si="1325"/>
        <v>143</v>
      </c>
      <c r="DM842" s="583">
        <f t="shared" si="1325"/>
        <v>496</v>
      </c>
      <c r="DN842" s="583">
        <f t="shared" si="1325"/>
        <v>496</v>
      </c>
      <c r="DO842" s="583">
        <f t="shared" si="1325"/>
        <v>219</v>
      </c>
      <c r="DP842" s="583">
        <f t="shared" si="1325"/>
        <v>930</v>
      </c>
      <c r="DQ842" s="583">
        <f t="shared" ref="DQ842:DZ842" si="1326">DQ839+DQ840+DQ841</f>
        <v>830</v>
      </c>
      <c r="DR842" s="583">
        <f t="shared" si="1326"/>
        <v>671</v>
      </c>
      <c r="DS842" s="583">
        <f t="shared" si="1326"/>
        <v>671</v>
      </c>
      <c r="DT842" s="583">
        <f t="shared" si="1326"/>
        <v>225</v>
      </c>
      <c r="DU842" s="583">
        <f t="shared" si="1326"/>
        <v>222</v>
      </c>
      <c r="DV842" s="583">
        <f t="shared" si="1326"/>
        <v>928</v>
      </c>
      <c r="DW842" s="583">
        <f t="shared" si="1326"/>
        <v>1258</v>
      </c>
      <c r="DX842" s="583">
        <f t="shared" si="1326"/>
        <v>1258</v>
      </c>
      <c r="DY842" s="583">
        <f t="shared" si="1326"/>
        <v>566</v>
      </c>
      <c r="DZ842" s="583">
        <f t="shared" si="1326"/>
        <v>305</v>
      </c>
      <c r="EA842" s="583">
        <f t="shared" ref="EA842:EE842" si="1327">EA839+EA840+EA841</f>
        <v>1311</v>
      </c>
      <c r="EB842" s="583">
        <f t="shared" si="1327"/>
        <v>780</v>
      </c>
      <c r="EC842" s="583">
        <f t="shared" si="1327"/>
        <v>780</v>
      </c>
      <c r="ED842" s="583">
        <f t="shared" si="1327"/>
        <v>532</v>
      </c>
      <c r="EE842" s="583">
        <f t="shared" si="1327"/>
        <v>456</v>
      </c>
      <c r="EF842" s="583">
        <f t="shared" ref="EF842:EJ842" si="1328">EF839+EF840+EF841</f>
        <v>545</v>
      </c>
      <c r="EG842" s="583">
        <f t="shared" si="1328"/>
        <v>431</v>
      </c>
      <c r="EH842" s="583">
        <f t="shared" si="1328"/>
        <v>431</v>
      </c>
      <c r="EI842" s="583">
        <f t="shared" si="1328"/>
        <v>377</v>
      </c>
      <c r="EJ842" s="583">
        <f t="shared" si="1328"/>
        <v>373</v>
      </c>
      <c r="EK842" s="583">
        <f t="shared" ref="EK842:EO842" si="1329">EK839+EK840+EK841</f>
        <v>375</v>
      </c>
      <c r="EL842" s="583">
        <f t="shared" si="1329"/>
        <v>290</v>
      </c>
      <c r="EM842" s="583">
        <f t="shared" si="1329"/>
        <v>290</v>
      </c>
      <c r="EN842" s="583">
        <f t="shared" si="1329"/>
        <v>400</v>
      </c>
      <c r="EO842" s="583">
        <f t="shared" si="1329"/>
        <v>265</v>
      </c>
      <c r="EP842" s="583">
        <f t="shared" ref="EP842:ER842" si="1330">EP839+EP840+EP841</f>
        <v>360</v>
      </c>
      <c r="EQ842" s="583">
        <f t="shared" si="1330"/>
        <v>416</v>
      </c>
      <c r="ER842" s="583">
        <f t="shared" si="1330"/>
        <v>416</v>
      </c>
    </row>
    <row r="843" spans="1:148">
      <c r="A843" s="383"/>
      <c r="B843" s="45"/>
      <c r="C843" s="389"/>
      <c r="D843" s="45"/>
      <c r="E843" s="292"/>
      <c r="F843" s="261"/>
      <c r="G843" s="261"/>
      <c r="H843" s="293"/>
      <c r="I843" s="583"/>
      <c r="J843" s="292"/>
      <c r="K843" s="261"/>
      <c r="L843" s="261"/>
      <c r="M843" s="293"/>
      <c r="N843" s="583"/>
      <c r="O843" s="292"/>
      <c r="P843" s="261"/>
      <c r="Q843" s="261"/>
      <c r="R843" s="293"/>
      <c r="S843" s="583"/>
      <c r="T843" s="292"/>
      <c r="U843" s="261"/>
      <c r="V843" s="261"/>
      <c r="W843" s="293"/>
      <c r="X843" s="228"/>
      <c r="Y843" s="292"/>
      <c r="Z843" s="261"/>
      <c r="AA843" s="261"/>
      <c r="AB843" s="293"/>
      <c r="AC843" s="228"/>
      <c r="AD843" s="292"/>
      <c r="AE843" s="261"/>
      <c r="AF843" s="261"/>
      <c r="AG843" s="293"/>
      <c r="AH843" s="228"/>
      <c r="AI843" s="292"/>
      <c r="AJ843" s="261"/>
      <c r="AK843" s="261"/>
      <c r="AL843" s="293"/>
      <c r="AM843" s="228"/>
      <c r="AN843" s="292"/>
      <c r="AO843" s="261"/>
      <c r="AP843" s="261"/>
      <c r="AQ843" s="293"/>
      <c r="AR843" s="228"/>
      <c r="AS843" s="292"/>
      <c r="AT843" s="261"/>
      <c r="AU843" s="261"/>
      <c r="AV843" s="293"/>
      <c r="AW843" s="228"/>
      <c r="AX843" s="292"/>
      <c r="AY843" s="261"/>
      <c r="AZ843" s="261"/>
      <c r="BA843" s="293"/>
      <c r="BB843" s="228"/>
      <c r="BC843" s="292"/>
      <c r="BD843" s="261"/>
      <c r="BE843" s="261"/>
      <c r="BF843" s="293"/>
      <c r="BG843" s="228"/>
      <c r="BH843" s="292"/>
      <c r="BI843" s="261"/>
      <c r="BJ843" s="261"/>
      <c r="BK843" s="293"/>
      <c r="BL843" s="228"/>
      <c r="BM843" s="292"/>
      <c r="BN843" s="261"/>
      <c r="BO843" s="261"/>
      <c r="BP843" s="293"/>
      <c r="BQ843" s="228"/>
      <c r="BR843" s="223"/>
      <c r="BS843" s="223"/>
      <c r="BT843" s="383"/>
      <c r="BU843" s="28"/>
      <c r="BV843" s="28"/>
      <c r="BW843" s="28"/>
      <c r="BX843" s="28"/>
      <c r="BY843" s="28"/>
      <c r="BZ843" s="28"/>
      <c r="CA843" s="28"/>
      <c r="CB843" s="28"/>
      <c r="CC843" s="28"/>
      <c r="CD843" s="28"/>
      <c r="CE843" s="28"/>
      <c r="CF843" s="28"/>
      <c r="CG843" s="383"/>
      <c r="CH843" s="383"/>
      <c r="CI843" s="383"/>
      <c r="CJ843" s="383"/>
      <c r="CK843" s="383"/>
      <c r="CL843" s="383"/>
      <c r="CM843" s="383"/>
      <c r="CN843" s="383"/>
      <c r="CO843" s="383"/>
      <c r="CP843" s="383"/>
      <c r="CQ843" s="383"/>
      <c r="CR843" s="383"/>
      <c r="CS843" s="383"/>
      <c r="CT843" s="834"/>
      <c r="CU843" s="383"/>
      <c r="CV843" s="383"/>
      <c r="CW843" s="383"/>
      <c r="CX843" s="383"/>
      <c r="CY843" s="383"/>
      <c r="CZ843" s="383"/>
      <c r="DA843" s="383"/>
      <c r="DB843" s="383"/>
      <c r="DC843" s="383"/>
      <c r="DD843" s="383"/>
      <c r="DE843" s="383"/>
      <c r="DF843" s="383"/>
      <c r="DG843" s="383"/>
      <c r="DH843" s="383"/>
      <c r="DI843" s="383"/>
      <c r="DJ843" s="383"/>
      <c r="DK843" s="383"/>
      <c r="DL843" s="383"/>
      <c r="DM843" s="383"/>
      <c r="DN843" s="383"/>
    </row>
    <row r="844" spans="1:148">
      <c r="A844" s="383"/>
      <c r="B844" s="383"/>
      <c r="C844" s="383"/>
      <c r="D844" s="383"/>
      <c r="E844" s="595"/>
      <c r="F844" s="460"/>
      <c r="G844" s="460"/>
      <c r="H844" s="596"/>
      <c r="I844" s="461"/>
      <c r="J844" s="595"/>
      <c r="K844" s="460"/>
      <c r="L844" s="460"/>
      <c r="M844" s="596"/>
      <c r="N844" s="461"/>
      <c r="O844" s="595"/>
      <c r="P844" s="460"/>
      <c r="Q844" s="460"/>
      <c r="R844" s="596"/>
      <c r="S844" s="461"/>
      <c r="T844" s="595"/>
      <c r="U844" s="460"/>
      <c r="V844" s="614"/>
      <c r="W844" s="615"/>
      <c r="X844" s="383"/>
      <c r="Y844" s="613"/>
      <c r="Z844" s="614"/>
      <c r="AA844" s="614"/>
      <c r="AB844" s="615"/>
      <c r="AC844" s="383"/>
      <c r="AD844" s="613"/>
      <c r="AE844" s="614"/>
      <c r="AF844" s="614"/>
      <c r="AG844" s="615"/>
      <c r="AH844" s="383"/>
      <c r="AI844" s="613"/>
      <c r="AJ844" s="614"/>
      <c r="AK844" s="614"/>
      <c r="AL844" s="615"/>
      <c r="AM844" s="383"/>
      <c r="AN844" s="613"/>
      <c r="AO844" s="614"/>
      <c r="AP844" s="614"/>
      <c r="AQ844" s="615"/>
      <c r="AR844" s="383"/>
      <c r="AS844" s="613"/>
      <c r="AT844" s="614"/>
      <c r="AU844" s="614"/>
      <c r="AV844" s="615"/>
      <c r="AW844" s="383"/>
      <c r="AX844" s="613"/>
      <c r="AY844" s="614"/>
      <c r="AZ844" s="614"/>
      <c r="BA844" s="615"/>
      <c r="BB844" s="383"/>
      <c r="BC844" s="613"/>
      <c r="BD844" s="614"/>
      <c r="BE844" s="614"/>
      <c r="BF844" s="615"/>
      <c r="BG844" s="383"/>
      <c r="BH844" s="613"/>
      <c r="BI844" s="614"/>
      <c r="BJ844" s="614"/>
      <c r="BK844" s="615"/>
      <c r="BL844" s="383"/>
      <c r="BM844" s="613"/>
      <c r="BN844" s="614"/>
      <c r="BO844" s="614"/>
      <c r="BP844" s="615"/>
      <c r="BQ844" s="383"/>
      <c r="BR844" s="223"/>
      <c r="BS844" s="223"/>
      <c r="BT844" s="383"/>
      <c r="BU844" s="28"/>
      <c r="BV844" s="28"/>
      <c r="BW844" s="28"/>
      <c r="BX844" s="28"/>
      <c r="BY844" s="28"/>
      <c r="BZ844" s="28"/>
      <c r="CA844" s="28"/>
      <c r="CB844" s="28"/>
      <c r="CC844" s="28"/>
      <c r="CD844" s="28"/>
      <c r="CE844" s="28"/>
      <c r="CF844" s="28"/>
      <c r="CG844" s="383"/>
      <c r="CH844" s="383"/>
      <c r="CI844" s="383"/>
      <c r="CJ844" s="383"/>
      <c r="CK844" s="383"/>
      <c r="CL844" s="383"/>
      <c r="CM844" s="383"/>
      <c r="CN844" s="383"/>
      <c r="CO844" s="383"/>
      <c r="CP844" s="383"/>
      <c r="CQ844" s="383"/>
      <c r="CR844" s="383"/>
      <c r="CS844" s="383"/>
      <c r="CT844" s="834"/>
      <c r="CU844" s="383"/>
      <c r="CV844" s="383"/>
      <c r="CW844" s="383"/>
      <c r="CX844" s="383"/>
      <c r="CY844" s="383"/>
      <c r="CZ844" s="383"/>
      <c r="DA844" s="383"/>
      <c r="DB844" s="383"/>
      <c r="DC844" s="383"/>
      <c r="DD844" s="383"/>
      <c r="DE844" s="383"/>
      <c r="DF844" s="383"/>
      <c r="DG844" s="383"/>
      <c r="DH844" s="383"/>
      <c r="DI844" s="383"/>
      <c r="DJ844" s="383"/>
      <c r="DK844" s="383"/>
      <c r="DL844" s="383"/>
      <c r="DM844" s="383"/>
      <c r="DN844" s="383"/>
    </row>
    <row r="845" spans="1:148">
      <c r="A845" s="383"/>
      <c r="B845" s="379" t="s">
        <v>315</v>
      </c>
      <c r="C845" s="658"/>
      <c r="D845" s="659"/>
      <c r="E845" s="613"/>
      <c r="F845" s="614"/>
      <c r="G845" s="614"/>
      <c r="H845" s="615"/>
      <c r="I845" s="383"/>
      <c r="J845" s="613"/>
      <c r="K845" s="614"/>
      <c r="L845" s="614"/>
      <c r="M845" s="615"/>
      <c r="N845" s="383"/>
      <c r="O845" s="613"/>
      <c r="P845" s="614"/>
      <c r="Q845" s="614"/>
      <c r="R845" s="615"/>
      <c r="S845" s="383"/>
      <c r="T845" s="613"/>
      <c r="U845" s="614"/>
      <c r="V845" s="614"/>
      <c r="W845" s="615"/>
      <c r="X845" s="383"/>
      <c r="Y845" s="613"/>
      <c r="Z845" s="614"/>
      <c r="AA845" s="614"/>
      <c r="AB845" s="615"/>
      <c r="AC845" s="383"/>
      <c r="AD845" s="613"/>
      <c r="AE845" s="614"/>
      <c r="AF845" s="614"/>
      <c r="AG845" s="615"/>
      <c r="AH845" s="383"/>
      <c r="AI845" s="613"/>
      <c r="AJ845" s="614"/>
      <c r="AK845" s="614"/>
      <c r="AL845" s="615"/>
      <c r="AM845" s="383"/>
      <c r="AN845" s="613"/>
      <c r="AO845" s="614"/>
      <c r="AP845" s="614"/>
      <c r="AQ845" s="615"/>
      <c r="AR845" s="383"/>
      <c r="AS845" s="613"/>
      <c r="AT845" s="614"/>
      <c r="AU845" s="614"/>
      <c r="AV845" s="615"/>
      <c r="AW845" s="383"/>
      <c r="AX845" s="613"/>
      <c r="AY845" s="614"/>
      <c r="AZ845" s="614"/>
      <c r="BA845" s="615"/>
      <c r="BB845" s="383"/>
      <c r="BC845" s="613"/>
      <c r="BD845" s="614"/>
      <c r="BE845" s="614"/>
      <c r="BF845" s="615"/>
      <c r="BG845" s="383"/>
      <c r="BH845" s="613"/>
      <c r="BI845" s="614"/>
      <c r="BJ845" s="614"/>
      <c r="BK845" s="615"/>
      <c r="BL845" s="383"/>
      <c r="BM845" s="613"/>
      <c r="BN845" s="614"/>
      <c r="BO845" s="614"/>
      <c r="BP845" s="615"/>
      <c r="BQ845" s="383"/>
      <c r="BR845" s="28"/>
      <c r="BS845" s="28"/>
      <c r="BT845" s="383"/>
      <c r="BU845" s="383"/>
      <c r="BV845" s="383"/>
      <c r="BW845" s="383"/>
      <c r="BX845" s="383"/>
      <c r="BY845" s="383"/>
      <c r="BZ845" s="383"/>
      <c r="CA845" s="383"/>
      <c r="CB845" s="383"/>
      <c r="CC845" s="383"/>
      <c r="CD845" s="383"/>
      <c r="CE845" s="383"/>
      <c r="CF845" s="383"/>
      <c r="CG845" s="383"/>
      <c r="CH845" s="383"/>
      <c r="CI845" s="383"/>
      <c r="CJ845" s="383"/>
      <c r="CK845" s="383"/>
      <c r="CL845" s="383"/>
      <c r="CM845" s="383"/>
      <c r="CN845" s="383"/>
      <c r="CO845" s="383"/>
      <c r="CP845" s="383"/>
      <c r="CQ845" s="383"/>
      <c r="CR845" s="383"/>
      <c r="CS845" s="383"/>
      <c r="CT845" s="834"/>
      <c r="CU845" s="383"/>
      <c r="CV845" s="383"/>
      <c r="CW845" s="383"/>
      <c r="CX845" s="383"/>
      <c r="CY845" s="383"/>
      <c r="CZ845" s="383"/>
      <c r="DA845" s="383"/>
      <c r="DB845" s="383"/>
      <c r="DC845" s="383"/>
      <c r="DD845" s="383"/>
      <c r="DE845" s="383"/>
      <c r="DF845" s="383"/>
      <c r="DG845" s="383"/>
      <c r="DH845" s="383"/>
      <c r="DI845" s="383"/>
      <c r="DJ845" s="383"/>
      <c r="DK845" s="383"/>
      <c r="DL845" s="383"/>
      <c r="DM845" s="383"/>
      <c r="DN845" s="383"/>
    </row>
    <row r="846" spans="1:148">
      <c r="A846" s="383"/>
      <c r="B846" s="45"/>
      <c r="C846" s="391" t="s">
        <v>316</v>
      </c>
      <c r="D846" s="45"/>
      <c r="E846" s="335">
        <v>1935</v>
      </c>
      <c r="F846" s="336">
        <v>1549</v>
      </c>
      <c r="G846" s="336">
        <v>1675</v>
      </c>
      <c r="H846" s="299">
        <f>I846</f>
        <v>1099</v>
      </c>
      <c r="I846" s="645">
        <v>1099</v>
      </c>
      <c r="J846" s="335">
        <v>1753</v>
      </c>
      <c r="K846" s="336">
        <v>848</v>
      </c>
      <c r="L846" s="336">
        <v>2209</v>
      </c>
      <c r="M846" s="299">
        <f>N846</f>
        <v>456</v>
      </c>
      <c r="N846" s="645">
        <v>456</v>
      </c>
      <c r="O846" s="335">
        <v>173</v>
      </c>
      <c r="P846" s="336">
        <v>109</v>
      </c>
      <c r="Q846" s="336">
        <v>143</v>
      </c>
      <c r="R846" s="299">
        <f>S846</f>
        <v>496</v>
      </c>
      <c r="S846" s="645">
        <v>496</v>
      </c>
      <c r="T846" s="335">
        <f>219</f>
        <v>219</v>
      </c>
      <c r="U846" s="336">
        <v>930</v>
      </c>
      <c r="V846" s="336">
        <f>732+98</f>
        <v>830</v>
      </c>
      <c r="W846" s="299">
        <f>X846</f>
        <v>671</v>
      </c>
      <c r="X846" s="645">
        <f>596+75</f>
        <v>671</v>
      </c>
      <c r="Y846" s="337">
        <f>132+93</f>
        <v>225</v>
      </c>
      <c r="Z846" s="338">
        <f>187+35</f>
        <v>222</v>
      </c>
      <c r="AA846" s="338">
        <v>928</v>
      </c>
      <c r="AB846" s="1424">
        <f>AC846</f>
        <v>1258</v>
      </c>
      <c r="AC846" s="1432">
        <f>1196+62</f>
        <v>1258</v>
      </c>
      <c r="AD846" s="337">
        <f>443+123</f>
        <v>566</v>
      </c>
      <c r="AE846" s="338">
        <v>305</v>
      </c>
      <c r="AF846" s="338">
        <v>1311</v>
      </c>
      <c r="AG846" s="1424">
        <f>AH846</f>
        <v>780</v>
      </c>
      <c r="AH846" s="1432">
        <v>780</v>
      </c>
      <c r="AI846" s="337">
        <v>532</v>
      </c>
      <c r="AJ846" s="338">
        <v>456</v>
      </c>
      <c r="AK846" s="338">
        <v>545</v>
      </c>
      <c r="AL846" s="1424">
        <f>AM846</f>
        <v>431</v>
      </c>
      <c r="AM846" s="1432">
        <v>431</v>
      </c>
      <c r="AN846" s="337">
        <v>377</v>
      </c>
      <c r="AO846" s="338">
        <v>373</v>
      </c>
      <c r="AP846" s="338">
        <v>375</v>
      </c>
      <c r="AQ846" s="1424">
        <f>AR846</f>
        <v>290</v>
      </c>
      <c r="AR846" s="1432">
        <v>290</v>
      </c>
      <c r="AS846" s="337">
        <v>400</v>
      </c>
      <c r="AT846" s="338">
        <v>265</v>
      </c>
      <c r="AU846" s="338">
        <v>360</v>
      </c>
      <c r="AV846" s="1424">
        <f>AW846</f>
        <v>416</v>
      </c>
      <c r="AW846" s="1432">
        <v>416</v>
      </c>
      <c r="AX846" s="290">
        <f t="shared" ref="AX846:BB846" ca="1" si="1331">+AX842</f>
        <v>587.21917515997461</v>
      </c>
      <c r="AY846" s="260">
        <f t="shared" ca="1" si="1331"/>
        <v>575.52074253692967</v>
      </c>
      <c r="AZ846" s="260">
        <f t="shared" ca="1" si="1331"/>
        <v>867.60649248089339</v>
      </c>
      <c r="BA846" s="291">
        <f t="shared" ca="1" si="1331"/>
        <v>936.29571091547405</v>
      </c>
      <c r="BB846" s="45">
        <f t="shared" ca="1" si="1331"/>
        <v>936.29571091547359</v>
      </c>
      <c r="BC846" s="290">
        <f t="shared" ref="BC846:BL846" ca="1" si="1332">+BC842</f>
        <v>1340.06389613184</v>
      </c>
      <c r="BD846" s="260">
        <f t="shared" ca="1" si="1332"/>
        <v>1451.6265954792555</v>
      </c>
      <c r="BE846" s="260">
        <f t="shared" ca="1" si="1332"/>
        <v>1692.2298281859391</v>
      </c>
      <c r="BF846" s="291">
        <f t="shared" ca="1" si="1332"/>
        <v>1140.0171267856829</v>
      </c>
      <c r="BG846" s="45">
        <f t="shared" ca="1" si="1332"/>
        <v>1140.0171267856824</v>
      </c>
      <c r="BH846" s="290">
        <f t="shared" ca="1" si="1332"/>
        <v>402.32303056250748</v>
      </c>
      <c r="BI846" s="260">
        <f t="shared" ca="1" si="1332"/>
        <v>399.56350255795797</v>
      </c>
      <c r="BJ846" s="260">
        <f t="shared" ca="1" si="1332"/>
        <v>172.02602628289253</v>
      </c>
      <c r="BK846" s="291">
        <f t="shared" ca="1" si="1332"/>
        <v>0</v>
      </c>
      <c r="BL846" s="45">
        <f t="shared" ca="1" si="1332"/>
        <v>0</v>
      </c>
      <c r="BM846" s="290">
        <f t="shared" ref="BM846:BQ846" ca="1" si="1333">+BM842</f>
        <v>0</v>
      </c>
      <c r="BN846" s="260">
        <f t="shared" ca="1" si="1333"/>
        <v>0</v>
      </c>
      <c r="BO846" s="260">
        <f t="shared" ca="1" si="1333"/>
        <v>0</v>
      </c>
      <c r="BP846" s="291">
        <f t="shared" ca="1" si="1333"/>
        <v>0</v>
      </c>
      <c r="BQ846" s="45">
        <f t="shared" ca="1" si="1333"/>
        <v>-2.2737367544323206E-13</v>
      </c>
      <c r="BR846" s="28"/>
      <c r="BS846" s="28"/>
      <c r="BT846" s="1408"/>
      <c r="BU846" s="383"/>
      <c r="BV846" s="383"/>
      <c r="BW846" s="383"/>
      <c r="BX846" s="383"/>
      <c r="BY846" s="383"/>
      <c r="BZ846" s="383"/>
      <c r="CA846" s="383"/>
      <c r="CB846" s="383"/>
      <c r="CC846" s="383"/>
      <c r="CD846" s="383"/>
      <c r="CE846" s="383"/>
      <c r="CF846" s="383"/>
      <c r="CG846" s="383"/>
      <c r="CH846" s="383"/>
      <c r="CI846" s="383"/>
      <c r="CJ846" s="383"/>
      <c r="CK846" s="383"/>
      <c r="CL846" s="383"/>
      <c r="CM846" s="383"/>
      <c r="CN846" s="383"/>
      <c r="CO846" s="383"/>
      <c r="CP846" s="383"/>
      <c r="CQ846" s="383"/>
      <c r="CR846" s="383"/>
      <c r="CS846" s="383"/>
      <c r="CT846" s="834"/>
      <c r="CU846" s="383"/>
      <c r="CV846" s="383"/>
      <c r="CW846" s="383"/>
      <c r="CX846" s="383"/>
      <c r="CY846" s="383"/>
      <c r="CZ846" s="383"/>
      <c r="DA846" s="383"/>
      <c r="DB846" s="383"/>
      <c r="DC846" s="383"/>
      <c r="DD846" s="383"/>
      <c r="DE846" s="383"/>
      <c r="DF846" s="383"/>
      <c r="DG846" s="383"/>
      <c r="DH846" s="383"/>
      <c r="DI846" s="383"/>
      <c r="DJ846" s="383"/>
      <c r="DK846" s="383"/>
      <c r="DL846" s="383"/>
      <c r="DM846" s="383"/>
      <c r="DN846" s="383"/>
    </row>
    <row r="847" spans="1:148">
      <c r="A847" s="383"/>
      <c r="B847" s="45"/>
      <c r="C847" s="391"/>
      <c r="D847" s="45"/>
      <c r="E847" s="662"/>
      <c r="F847" s="663"/>
      <c r="G847" s="663"/>
      <c r="H847" s="664"/>
      <c r="I847" s="665"/>
      <c r="J847" s="662"/>
      <c r="K847" s="663"/>
      <c r="L847" s="663"/>
      <c r="M847" s="664"/>
      <c r="N847" s="665"/>
      <c r="O847" s="662"/>
      <c r="P847" s="663"/>
      <c r="Q847" s="663"/>
      <c r="R847" s="664"/>
      <c r="S847" s="665"/>
      <c r="T847" s="662"/>
      <c r="U847" s="663"/>
      <c r="V847" s="663"/>
      <c r="W847" s="664"/>
      <c r="X847" s="665"/>
      <c r="Y847" s="662"/>
      <c r="Z847" s="663"/>
      <c r="AA847" s="663"/>
      <c r="AB847" s="664"/>
      <c r="AC847" s="665"/>
      <c r="AD847" s="662"/>
      <c r="AE847" s="663"/>
      <c r="AF847" s="663"/>
      <c r="AG847" s="664"/>
      <c r="AH847" s="665"/>
      <c r="AI847" s="662"/>
      <c r="AJ847" s="663"/>
      <c r="AK847" s="663"/>
      <c r="AL847" s="664"/>
      <c r="AM847" s="665"/>
      <c r="AN847" s="662"/>
      <c r="AO847" s="663"/>
      <c r="AP847" s="663"/>
      <c r="AQ847" s="664"/>
      <c r="AR847" s="665"/>
      <c r="AS847" s="290"/>
      <c r="AT847" s="663"/>
      <c r="AU847" s="663"/>
      <c r="AV847" s="664"/>
      <c r="AW847" s="665"/>
      <c r="AX847" s="290"/>
      <c r="AY847" s="260"/>
      <c r="AZ847" s="260"/>
      <c r="BA847" s="291"/>
      <c r="BB847" s="45"/>
      <c r="BC847" s="290"/>
      <c r="BD847" s="260"/>
      <c r="BE847" s="260"/>
      <c r="BF847" s="291"/>
      <c r="BG847" s="45"/>
      <c r="BH847" s="290"/>
      <c r="BI847" s="260"/>
      <c r="BJ847" s="260"/>
      <c r="BK847" s="291"/>
      <c r="BL847" s="45"/>
      <c r="BM847" s="290"/>
      <c r="BN847" s="260"/>
      <c r="BO847" s="260"/>
      <c r="BP847" s="291"/>
      <c r="BQ847" s="45"/>
      <c r="BR847" s="45"/>
      <c r="BS847" s="45"/>
      <c r="BT847" s="383"/>
      <c r="BU847" s="383"/>
      <c r="BV847" s="383"/>
      <c r="BW847" s="383"/>
      <c r="BX847" s="383"/>
      <c r="BY847" s="383"/>
      <c r="BZ847" s="383"/>
      <c r="CA847" s="383"/>
      <c r="CB847" s="383"/>
      <c r="CC847" s="383"/>
      <c r="CD847" s="383"/>
      <c r="CE847" s="383"/>
      <c r="CF847" s="383"/>
      <c r="CG847" s="383"/>
      <c r="CH847" s="383"/>
      <c r="CI847" s="383"/>
      <c r="CJ847" s="383"/>
      <c r="CK847" s="383"/>
      <c r="CQ847" s="383"/>
      <c r="CR847" s="383"/>
      <c r="CS847" s="383"/>
      <c r="CT847" s="834"/>
      <c r="CU847" s="383"/>
      <c r="CV847" s="383"/>
      <c r="CW847" s="383"/>
      <c r="CX847" s="383"/>
      <c r="CY847" s="383"/>
      <c r="CZ847" s="383"/>
      <c r="DA847" s="383"/>
      <c r="DB847" s="383"/>
      <c r="DC847" s="383"/>
      <c r="DD847" s="383"/>
      <c r="DE847" s="383"/>
      <c r="DF847" s="383"/>
      <c r="DG847" s="383"/>
      <c r="DH847" s="383"/>
      <c r="DI847" s="383"/>
      <c r="DJ847" s="383"/>
      <c r="DK847" s="383"/>
      <c r="DL847" s="383"/>
      <c r="DM847" s="383"/>
      <c r="DN847" s="383"/>
    </row>
    <row r="848" spans="1:148">
      <c r="B848" s="45"/>
      <c r="C848" s="391" t="s">
        <v>317</v>
      </c>
      <c r="D848" s="45"/>
      <c r="E848" s="335">
        <v>0</v>
      </c>
      <c r="F848" s="336">
        <v>0</v>
      </c>
      <c r="G848" s="336">
        <v>0</v>
      </c>
      <c r="H848" s="299">
        <f>I848</f>
        <v>0</v>
      </c>
      <c r="I848" s="645">
        <v>0</v>
      </c>
      <c r="J848" s="335">
        <v>0</v>
      </c>
      <c r="K848" s="336">
        <v>0</v>
      </c>
      <c r="L848" s="336">
        <v>0</v>
      </c>
      <c r="M848" s="299">
        <f>N848</f>
        <v>0</v>
      </c>
      <c r="N848" s="645">
        <v>0</v>
      </c>
      <c r="O848" s="335">
        <v>0</v>
      </c>
      <c r="P848" s="336">
        <v>0</v>
      </c>
      <c r="Q848" s="336">
        <v>72</v>
      </c>
      <c r="R848" s="299">
        <f>S848</f>
        <v>2</v>
      </c>
      <c r="S848" s="645">
        <v>2</v>
      </c>
      <c r="T848" s="335">
        <v>114</v>
      </c>
      <c r="U848" s="336">
        <v>10</v>
      </c>
      <c r="V848" s="336">
        <v>11</v>
      </c>
      <c r="W848" s="299">
        <f>X848</f>
        <v>0</v>
      </c>
      <c r="X848" s="645">
        <v>0</v>
      </c>
      <c r="Y848" s="337">
        <v>13</v>
      </c>
      <c r="Z848" s="338">
        <v>288</v>
      </c>
      <c r="AA848" s="338">
        <v>21</v>
      </c>
      <c r="AB848" s="1424">
        <f>AC848</f>
        <v>22</v>
      </c>
      <c r="AC848" s="1432">
        <v>22</v>
      </c>
      <c r="AD848" s="337">
        <v>377</v>
      </c>
      <c r="AE848" s="338">
        <v>53</v>
      </c>
      <c r="AF848" s="338">
        <v>14</v>
      </c>
      <c r="AG848" s="1424">
        <f>AH848</f>
        <v>36</v>
      </c>
      <c r="AH848" s="1432">
        <v>36</v>
      </c>
      <c r="AI848" s="337">
        <f>25+936</f>
        <v>961</v>
      </c>
      <c r="AJ848" s="338">
        <f>40+638</f>
        <v>678</v>
      </c>
      <c r="AK848" s="338">
        <f>21+1205</f>
        <v>1226</v>
      </c>
      <c r="AL848" s="1424">
        <f>AM848</f>
        <v>1281</v>
      </c>
      <c r="AM848" s="1432">
        <f>29+1252</f>
        <v>1281</v>
      </c>
      <c r="AN848" s="337">
        <f>1529+63</f>
        <v>1592</v>
      </c>
      <c r="AO848" s="338">
        <f>208+817</f>
        <v>1025</v>
      </c>
      <c r="AP848" s="338">
        <f>40+461</f>
        <v>501</v>
      </c>
      <c r="AQ848" s="1424">
        <f>AR848</f>
        <v>754</v>
      </c>
      <c r="AR848" s="1432">
        <f>699+55</f>
        <v>754</v>
      </c>
      <c r="AS848" s="337">
        <f>717+54</f>
        <v>771</v>
      </c>
      <c r="AT848" s="338">
        <f>716+251</f>
        <v>967</v>
      </c>
      <c r="AU848" s="338">
        <f>92+146</f>
        <v>238</v>
      </c>
      <c r="AV848" s="1424">
        <f>AW848</f>
        <v>56</v>
      </c>
      <c r="AW848" s="1432">
        <f>54+2</f>
        <v>56</v>
      </c>
      <c r="AX848" s="290">
        <f ca="1">+AW848+AX841+AX834</f>
        <v>0</v>
      </c>
      <c r="AY848" s="260">
        <f ca="1">+AX848+AY841+AY834</f>
        <v>0</v>
      </c>
      <c r="AZ848" s="260">
        <f ca="1">+AY848+AZ841+AZ834</f>
        <v>0</v>
      </c>
      <c r="BA848" s="291">
        <f ca="1">+AZ848+BA841+BA834</f>
        <v>0</v>
      </c>
      <c r="BB848" s="45">
        <f ca="1">+BA848</f>
        <v>0</v>
      </c>
      <c r="BC848" s="290">
        <f ca="1">+BB848+BC841+BC834</f>
        <v>0</v>
      </c>
      <c r="BD848" s="260">
        <f ca="1">+BC848+BD841+BD834</f>
        <v>0</v>
      </c>
      <c r="BE848" s="260">
        <f ca="1">+BD848+BE841+BE834</f>
        <v>0</v>
      </c>
      <c r="BF848" s="291">
        <f ca="1">+BE848+BF841+BF834</f>
        <v>0</v>
      </c>
      <c r="BG848" s="45">
        <f ca="1">+BF848</f>
        <v>0</v>
      </c>
      <c r="BH848" s="290">
        <f ca="1">+BG848+BH841+BH834</f>
        <v>0</v>
      </c>
      <c r="BI848" s="260">
        <f ca="1">+BH848+BI841+BI834</f>
        <v>0</v>
      </c>
      <c r="BJ848" s="260">
        <f ca="1">+BI848+BJ841+BJ834</f>
        <v>0</v>
      </c>
      <c r="BK848" s="291">
        <f ca="1">+BJ848+BK841+BK834</f>
        <v>327.75764322050401</v>
      </c>
      <c r="BL848" s="45">
        <f ca="1">+BK848</f>
        <v>327.75764322050401</v>
      </c>
      <c r="BM848" s="290">
        <f ca="1">+BL848+BM841+BM834</f>
        <v>983.93738341346034</v>
      </c>
      <c r="BN848" s="260">
        <f ca="1">+BM848+BN841+BN834</f>
        <v>888.2424118096344</v>
      </c>
      <c r="BO848" s="260">
        <f ca="1">+BN848+BO841+BO834</f>
        <v>606.32855914416132</v>
      </c>
      <c r="BP848" s="291">
        <f ca="1">+BO848+BP841+BP834</f>
        <v>474.16863908715777</v>
      </c>
      <c r="BQ848" s="45">
        <f ca="1">+BP848</f>
        <v>474.16863908715777</v>
      </c>
      <c r="BR848" s="45"/>
      <c r="BS848" s="45"/>
      <c r="BT848"/>
      <c r="BU848" s="383"/>
      <c r="BV848" s="383"/>
      <c r="BW848" s="383"/>
      <c r="BX848" s="383"/>
      <c r="BY848" s="383"/>
      <c r="BZ848" s="383"/>
      <c r="CA848" s="383"/>
      <c r="CB848" s="383"/>
      <c r="CC848" s="383"/>
      <c r="CD848" s="383"/>
      <c r="CE848" s="383"/>
      <c r="CF848" s="383"/>
    </row>
    <row r="849" spans="2:84">
      <c r="B849" s="45"/>
      <c r="C849" s="391" t="s">
        <v>178</v>
      </c>
      <c r="D849" s="45"/>
      <c r="E849" s="335">
        <f>2455+12</f>
        <v>2467</v>
      </c>
      <c r="F849" s="336">
        <f>2501+12</f>
        <v>2513</v>
      </c>
      <c r="G849" s="336">
        <f>2992+147</f>
        <v>3139</v>
      </c>
      <c r="H849" s="291">
        <f>+I849</f>
        <v>2993</v>
      </c>
      <c r="I849" s="427">
        <f>2967+26</f>
        <v>2993</v>
      </c>
      <c r="J849" s="335">
        <f>2778+214</f>
        <v>2992</v>
      </c>
      <c r="K849" s="336">
        <f>2777+2</f>
        <v>2779</v>
      </c>
      <c r="L849" s="336">
        <f>3125+552</f>
        <v>3677</v>
      </c>
      <c r="M849" s="291">
        <f>N849</f>
        <v>3679</v>
      </c>
      <c r="N849" s="427">
        <f>3676+3</f>
        <v>3679</v>
      </c>
      <c r="O849" s="335">
        <f>3675+3</f>
        <v>3678</v>
      </c>
      <c r="P849" s="336">
        <f>3675+3</f>
        <v>3678</v>
      </c>
      <c r="Q849" s="336">
        <f>3674+3</f>
        <v>3677</v>
      </c>
      <c r="R849" s="291">
        <f>S849</f>
        <v>3677</v>
      </c>
      <c r="S849" s="427">
        <f>3+3674</f>
        <v>3677</v>
      </c>
      <c r="T849" s="335">
        <f>72+6388+186</f>
        <v>6646</v>
      </c>
      <c r="U849" s="336">
        <f>7163+180+23+3</f>
        <v>7369</v>
      </c>
      <c r="V849" s="336">
        <f>7148+208+23+4</f>
        <v>7383</v>
      </c>
      <c r="W849" s="291">
        <f>X849</f>
        <v>7483</v>
      </c>
      <c r="X849" s="427">
        <f>5245+2007+203+24+4</f>
        <v>7483</v>
      </c>
      <c r="Y849" s="337">
        <f>4893+1997+203+523+5</f>
        <v>7621</v>
      </c>
      <c r="Z849" s="338">
        <f>4975+1534+196+500+8</f>
        <v>7213</v>
      </c>
      <c r="AA849" s="338">
        <f>5545+1528+88+544+104</f>
        <v>7809</v>
      </c>
      <c r="AB849" s="291">
        <f>AC849</f>
        <v>7729</v>
      </c>
      <c r="AC849" s="339">
        <f>5559+1523+86+556+5</f>
        <v>7729</v>
      </c>
      <c r="AD849" s="337">
        <f>5840+1517+86+42+5</f>
        <v>7490</v>
      </c>
      <c r="AE849" s="338">
        <f>52+563+5944+948</f>
        <v>7507</v>
      </c>
      <c r="AF849" s="338">
        <f>6741+946+73+560</f>
        <v>8320</v>
      </c>
      <c r="AG849" s="291">
        <f>AH849</f>
        <v>8266</v>
      </c>
      <c r="AH849" s="339">
        <f>6709+943+58+556</f>
        <v>8266</v>
      </c>
      <c r="AI849" s="337">
        <f>75+7477+940</f>
        <v>8492</v>
      </c>
      <c r="AJ849" s="338">
        <f>89+7974+938</f>
        <v>9001</v>
      </c>
      <c r="AK849" s="338">
        <f>97+7964+935</f>
        <v>8996</v>
      </c>
      <c r="AL849" s="291">
        <f>AM849</f>
        <v>8959</v>
      </c>
      <c r="AM849" s="2056">
        <f>90+7936+933</f>
        <v>8959</v>
      </c>
      <c r="AN849" s="337">
        <f>7945+930+177</f>
        <v>9052</v>
      </c>
      <c r="AO849" s="338">
        <f>174+7965+927</f>
        <v>9066</v>
      </c>
      <c r="AP849" s="338">
        <f>254+8077+924</f>
        <v>9255</v>
      </c>
      <c r="AQ849" s="291">
        <f>AR849</f>
        <v>9241</v>
      </c>
      <c r="AR849" s="2056">
        <f>1117+7202+922</f>
        <v>9241</v>
      </c>
      <c r="AS849" s="337">
        <f>1156+7904+919</f>
        <v>9979</v>
      </c>
      <c r="AT849" s="338">
        <f>1828+7010+916</f>
        <v>9754</v>
      </c>
      <c r="AU849" s="338">
        <f>1659+6956+913</f>
        <v>9528</v>
      </c>
      <c r="AV849" s="291">
        <f>AW849</f>
        <v>8990</v>
      </c>
      <c r="AW849" s="2056">
        <f>346+7734+910</f>
        <v>8990</v>
      </c>
      <c r="AX849" s="290">
        <f>+AW849+AX832+AX833</f>
        <v>8970</v>
      </c>
      <c r="AY849" s="260">
        <f>+AX849+AY832+AY833</f>
        <v>8854</v>
      </c>
      <c r="AZ849" s="260">
        <f>+AY849+AZ832+AZ833</f>
        <v>8849</v>
      </c>
      <c r="BA849" s="291">
        <f>+AZ849+BA832+BA833</f>
        <v>8849</v>
      </c>
      <c r="BB849" s="45">
        <f>+BA849</f>
        <v>8849</v>
      </c>
      <c r="BC849" s="290">
        <f>+BB849+BC832+BC833</f>
        <v>8849</v>
      </c>
      <c r="BD849" s="260">
        <f>+BC849+BD832+BD833</f>
        <v>8849</v>
      </c>
      <c r="BE849" s="260">
        <f>+BD849+BE832+BE833</f>
        <v>8845</v>
      </c>
      <c r="BF849" s="291">
        <f>+BE849+BF832+BF833</f>
        <v>8245</v>
      </c>
      <c r="BG849" s="45">
        <f>+BF849</f>
        <v>8245</v>
      </c>
      <c r="BH849" s="290">
        <f>+BG849+BH832+BH833</f>
        <v>7245</v>
      </c>
      <c r="BI849" s="260">
        <f>+BH849+BI832+BI833</f>
        <v>7245</v>
      </c>
      <c r="BJ849" s="260">
        <f>+BI849+BJ832+BJ833</f>
        <v>6809.53</v>
      </c>
      <c r="BK849" s="291">
        <f>+BJ849+BK832+BK833</f>
        <v>6259.53</v>
      </c>
      <c r="BL849" s="45">
        <f>+BK849</f>
        <v>6259.53</v>
      </c>
      <c r="BM849" s="290">
        <f>+BL849+BM832+BM833</f>
        <v>5398.53</v>
      </c>
      <c r="BN849" s="260">
        <f>+BM849+BN832+BN833</f>
        <v>5398.53</v>
      </c>
      <c r="BO849" s="260">
        <f>+BN849+BO832+BO833</f>
        <v>5398.53</v>
      </c>
      <c r="BP849" s="291">
        <f>+BO849+BP832+BP833</f>
        <v>5398.53</v>
      </c>
      <c r="BQ849" s="45">
        <f>+BP849</f>
        <v>5398.53</v>
      </c>
      <c r="BR849" s="45"/>
      <c r="BS849" s="45"/>
      <c r="BT849"/>
      <c r="BU849" s="383"/>
      <c r="BV849" s="383"/>
      <c r="BW849" s="383"/>
      <c r="BX849" s="383"/>
      <c r="BY849" s="383"/>
      <c r="BZ849" s="383"/>
      <c r="CA849" s="383"/>
      <c r="CB849" s="383"/>
      <c r="CC849" s="383"/>
      <c r="CD849" s="383"/>
      <c r="CE849" s="383"/>
      <c r="CF849" s="383"/>
    </row>
    <row r="850" spans="2:84">
      <c r="B850" s="45"/>
      <c r="C850" s="389" t="s">
        <v>373</v>
      </c>
      <c r="D850" s="45"/>
      <c r="E850" s="292">
        <f>SUM(E848:E849)</f>
        <v>2467</v>
      </c>
      <c r="F850" s="261">
        <f>SUM(F848:F849)</f>
        <v>2513</v>
      </c>
      <c r="G850" s="261">
        <f>SUM(G848:G849)</f>
        <v>3139</v>
      </c>
      <c r="H850" s="293">
        <f>+I850</f>
        <v>2993</v>
      </c>
      <c r="I850" s="228">
        <f>SUM(I848:I849)</f>
        <v>2993</v>
      </c>
      <c r="J850" s="292">
        <f>SUM(J848:J849)</f>
        <v>2992</v>
      </c>
      <c r="K850" s="261">
        <f>SUM(K848:K849)</f>
        <v>2779</v>
      </c>
      <c r="L850" s="261">
        <f>SUM(L848:L849)</f>
        <v>3677</v>
      </c>
      <c r="M850" s="293">
        <f>+N850</f>
        <v>3679</v>
      </c>
      <c r="N850" s="228">
        <f>SUM(N848:N849)</f>
        <v>3679</v>
      </c>
      <c r="O850" s="292">
        <f>SUM(O848:O849)</f>
        <v>3678</v>
      </c>
      <c r="P850" s="261">
        <f>SUM(P848:P849)</f>
        <v>3678</v>
      </c>
      <c r="Q850" s="261">
        <f>SUM(Q848:Q849)</f>
        <v>3749</v>
      </c>
      <c r="R850" s="293">
        <f>+S850</f>
        <v>3679</v>
      </c>
      <c r="S850" s="228">
        <f>SUM(S848:S849)</f>
        <v>3679</v>
      </c>
      <c r="T850" s="292">
        <f>SUM(T848:T849)</f>
        <v>6760</v>
      </c>
      <c r="U850" s="261">
        <f>SUM(U848:U849)</f>
        <v>7379</v>
      </c>
      <c r="V850" s="261">
        <f>SUM(V848:V849)</f>
        <v>7394</v>
      </c>
      <c r="W850" s="293">
        <f>+X850</f>
        <v>7483</v>
      </c>
      <c r="X850" s="228">
        <f>SUM(X848:X849)</f>
        <v>7483</v>
      </c>
      <c r="Y850" s="292">
        <f>SUM(Y848:Y849)</f>
        <v>7634</v>
      </c>
      <c r="Z850" s="261">
        <f>SUM(Z848:Z849)</f>
        <v>7501</v>
      </c>
      <c r="AA850" s="261">
        <f>SUM(AA848:AA849)</f>
        <v>7830</v>
      </c>
      <c r="AB850" s="293">
        <f>+AC850</f>
        <v>7751</v>
      </c>
      <c r="AC850" s="228">
        <f>SUM(AC848:AC849)</f>
        <v>7751</v>
      </c>
      <c r="AD850" s="292">
        <f>SUM(AD848:AD849)</f>
        <v>7867</v>
      </c>
      <c r="AE850" s="261">
        <f t="shared" ref="AE850" si="1334">SUM(AE848:AE849)</f>
        <v>7560</v>
      </c>
      <c r="AF850" s="261">
        <f>SUM(AF848:AF849)</f>
        <v>8334</v>
      </c>
      <c r="AG850" s="293">
        <f>+AH850</f>
        <v>8302</v>
      </c>
      <c r="AH850" s="228">
        <f>SUM(AH848:AH849)</f>
        <v>8302</v>
      </c>
      <c r="AI850" s="292">
        <f>SUM(AI848:AI849)</f>
        <v>9453</v>
      </c>
      <c r="AJ850" s="261">
        <f t="shared" ref="AJ850" si="1335">SUM(AJ848:AJ849)</f>
        <v>9679</v>
      </c>
      <c r="AK850" s="261">
        <f>SUM(AK848:AK849)</f>
        <v>10222</v>
      </c>
      <c r="AL850" s="293">
        <f>+AM850</f>
        <v>10240</v>
      </c>
      <c r="AM850" s="228">
        <f>SUM(AM848:AM849)</f>
        <v>10240</v>
      </c>
      <c r="AN850" s="292">
        <f>SUM(AN848:AN849)</f>
        <v>10644</v>
      </c>
      <c r="AO850" s="261">
        <f>SUM(AO848:AO849)</f>
        <v>10091</v>
      </c>
      <c r="AP850" s="261">
        <f>SUM(AP848:AP849)</f>
        <v>9756</v>
      </c>
      <c r="AQ850" s="293">
        <f>+AR850</f>
        <v>9995</v>
      </c>
      <c r="AR850" s="228">
        <f>SUM(AR848:AR849)</f>
        <v>9995</v>
      </c>
      <c r="AS850" s="292">
        <f t="shared" ref="AS850:BB850" si="1336">SUM(AS848:AS849)</f>
        <v>10750</v>
      </c>
      <c r="AT850" s="261">
        <f>SUM(AT848:AT849)</f>
        <v>10721</v>
      </c>
      <c r="AU850" s="261">
        <f>SUM(AU848:AU849)</f>
        <v>9766</v>
      </c>
      <c r="AV850" s="293">
        <f>+AW850</f>
        <v>9046</v>
      </c>
      <c r="AW850" s="228">
        <f>SUM(AW848:AW849)</f>
        <v>9046</v>
      </c>
      <c r="AX850" s="292">
        <f t="shared" ca="1" si="1336"/>
        <v>8970</v>
      </c>
      <c r="AY850" s="261">
        <f t="shared" ca="1" si="1336"/>
        <v>8854</v>
      </c>
      <c r="AZ850" s="261">
        <f t="shared" ca="1" si="1336"/>
        <v>8849</v>
      </c>
      <c r="BA850" s="293">
        <f t="shared" ca="1" si="1336"/>
        <v>8849</v>
      </c>
      <c r="BB850" s="228">
        <f t="shared" ca="1" si="1336"/>
        <v>8849</v>
      </c>
      <c r="BC850" s="292">
        <f t="shared" ref="BC850:BL850" ca="1" si="1337">SUM(BC848:BC849)</f>
        <v>8849</v>
      </c>
      <c r="BD850" s="261">
        <f t="shared" ca="1" si="1337"/>
        <v>8849</v>
      </c>
      <c r="BE850" s="261">
        <f t="shared" ca="1" si="1337"/>
        <v>8845</v>
      </c>
      <c r="BF850" s="293">
        <f t="shared" ca="1" si="1337"/>
        <v>8245</v>
      </c>
      <c r="BG850" s="228">
        <f t="shared" ca="1" si="1337"/>
        <v>8245</v>
      </c>
      <c r="BH850" s="292">
        <f t="shared" ca="1" si="1337"/>
        <v>7245</v>
      </c>
      <c r="BI850" s="261">
        <f t="shared" ca="1" si="1337"/>
        <v>7245</v>
      </c>
      <c r="BJ850" s="261">
        <f t="shared" ca="1" si="1337"/>
        <v>6809.53</v>
      </c>
      <c r="BK850" s="293">
        <f t="shared" ca="1" si="1337"/>
        <v>6587.2876432205039</v>
      </c>
      <c r="BL850" s="228">
        <f t="shared" ca="1" si="1337"/>
        <v>6587.2876432205039</v>
      </c>
      <c r="BM850" s="292">
        <f t="shared" ref="BM850:BQ850" ca="1" si="1338">SUM(BM848:BM849)</f>
        <v>6382.4673834134601</v>
      </c>
      <c r="BN850" s="261">
        <f t="shared" ca="1" si="1338"/>
        <v>6286.7724118096339</v>
      </c>
      <c r="BO850" s="261">
        <f t="shared" ca="1" si="1338"/>
        <v>6004.8585591441606</v>
      </c>
      <c r="BP850" s="293">
        <f t="shared" ca="1" si="1338"/>
        <v>5872.6986390871571</v>
      </c>
      <c r="BQ850" s="228">
        <f t="shared" ca="1" si="1338"/>
        <v>5872.6986390871571</v>
      </c>
      <c r="BR850" s="45"/>
      <c r="BS850" s="45"/>
      <c r="BT850"/>
    </row>
    <row r="851" spans="2:84">
      <c r="B851" s="223"/>
      <c r="C851" s="390" t="s">
        <v>612</v>
      </c>
      <c r="D851" s="223"/>
      <c r="E851" s="275">
        <f t="shared" ref="E851:AA851" si="1339">+E850/E859</f>
        <v>0.24044834307992202</v>
      </c>
      <c r="F851" s="252">
        <f t="shared" si="1339"/>
        <v>0.2482956229621579</v>
      </c>
      <c r="G851" s="252">
        <f t="shared" si="1339"/>
        <v>0.30660285211955463</v>
      </c>
      <c r="H851" s="276">
        <f t="shared" si="1339"/>
        <v>0.30593887355616889</v>
      </c>
      <c r="I851" s="222">
        <f t="shared" si="1339"/>
        <v>0.30593887355616889</v>
      </c>
      <c r="J851" s="275">
        <f t="shared" si="1339"/>
        <v>0.28133521391631405</v>
      </c>
      <c r="K851" s="252">
        <f t="shared" si="1339"/>
        <v>0.27509404078400318</v>
      </c>
      <c r="L851" s="252">
        <f t="shared" si="1339"/>
        <v>0.31446164371846402</v>
      </c>
      <c r="M851" s="276">
        <f t="shared" si="1339"/>
        <v>0.33904709243387704</v>
      </c>
      <c r="N851" s="222">
        <f t="shared" si="1339"/>
        <v>0.33904709243387704</v>
      </c>
      <c r="O851" s="275">
        <f t="shared" si="1339"/>
        <v>0.32620842572062086</v>
      </c>
      <c r="P851" s="252">
        <f t="shared" si="1339"/>
        <v>0.3208024422154383</v>
      </c>
      <c r="Q851" s="252">
        <f t="shared" si="1339"/>
        <v>0.31860287243987423</v>
      </c>
      <c r="R851" s="276">
        <f t="shared" si="1339"/>
        <v>0.29712485866580518</v>
      </c>
      <c r="S851" s="222">
        <f t="shared" si="1339"/>
        <v>0.29712485866580518</v>
      </c>
      <c r="T851" s="275">
        <f t="shared" si="1339"/>
        <v>0.32887375334468499</v>
      </c>
      <c r="U851" s="252">
        <f t="shared" si="1339"/>
        <v>0.35499855672086983</v>
      </c>
      <c r="V851" s="252">
        <f t="shared" si="1339"/>
        <v>0.36544259378243465</v>
      </c>
      <c r="W851" s="276">
        <f t="shared" si="1339"/>
        <v>0.37340319361277446</v>
      </c>
      <c r="X851" s="222">
        <f t="shared" si="1339"/>
        <v>0.37340319361277446</v>
      </c>
      <c r="Y851" s="275">
        <f t="shared" si="1339"/>
        <v>0.38442944908852855</v>
      </c>
      <c r="Z851" s="252">
        <f t="shared" si="1339"/>
        <v>0.38165258980360234</v>
      </c>
      <c r="AA851" s="252">
        <f t="shared" si="1339"/>
        <v>0.38450206246317031</v>
      </c>
      <c r="AB851" s="276">
        <f>+AB850/AB859</f>
        <v>0.37854073061144755</v>
      </c>
      <c r="AC851" s="222">
        <f>+AC850/AC859</f>
        <v>0.37854073061144755</v>
      </c>
      <c r="AD851" s="275">
        <f>+AD850/AD859</f>
        <v>0.38647081941442324</v>
      </c>
      <c r="AE851" s="252">
        <f t="shared" ref="AE851" si="1340">+AE850/AE859</f>
        <v>0.37752808988764047</v>
      </c>
      <c r="AF851" s="252">
        <f>+AF850/AF859</f>
        <v>0.3894938542786372</v>
      </c>
      <c r="AG851" s="276">
        <f>+AG850/AG859</f>
        <v>0.39495718363463367</v>
      </c>
      <c r="AH851" s="222">
        <f>+AH850/AH859</f>
        <v>0.39495718363463367</v>
      </c>
      <c r="AI851" s="275">
        <f>+AI850/AI859</f>
        <v>0.44503554446589144</v>
      </c>
      <c r="AJ851" s="252">
        <f t="shared" ref="AJ851" si="1341">+AJ850/AJ859</f>
        <v>0.46167421893632243</v>
      </c>
      <c r="AK851" s="252">
        <f t="shared" ref="AK851:AP851" si="1342">+AK850/AK859</f>
        <v>0.46844782548920766</v>
      </c>
      <c r="AL851" s="276">
        <f t="shared" si="1342"/>
        <v>0.4681142857142857</v>
      </c>
      <c r="AM851" s="222">
        <f t="shared" si="1342"/>
        <v>0.4681142857142857</v>
      </c>
      <c r="AN851" s="275">
        <f t="shared" si="1342"/>
        <v>0.4688367176144122</v>
      </c>
      <c r="AO851" s="252">
        <f t="shared" si="1342"/>
        <v>0.45689577107670015</v>
      </c>
      <c r="AP851" s="252">
        <f t="shared" si="1342"/>
        <v>0.44270998774787856</v>
      </c>
      <c r="AQ851" s="276">
        <f t="shared" ref="AQ851:AR851" si="1343">+AQ850/AQ859</f>
        <v>0.46538157098291194</v>
      </c>
      <c r="AR851" s="222">
        <f t="shared" si="1343"/>
        <v>0.46538157098291194</v>
      </c>
      <c r="AS851" s="275">
        <f t="shared" ref="AS851:BB851" si="1344">+AS850/AS859</f>
        <v>0.47665499046690019</v>
      </c>
      <c r="AT851" s="252">
        <f t="shared" si="1344"/>
        <v>0.48493757915686631</v>
      </c>
      <c r="AU851" s="252">
        <f t="shared" ref="AU851:AW851" si="1345">+AU850/AU859</f>
        <v>0.45748817164004307</v>
      </c>
      <c r="AV851" s="276">
        <f t="shared" si="1345"/>
        <v>0.39892397248191919</v>
      </c>
      <c r="AW851" s="222">
        <f t="shared" si="1345"/>
        <v>0.39892397248191919</v>
      </c>
      <c r="AX851" s="275">
        <f t="shared" ca="1" si="1344"/>
        <v>0.3925880790344673</v>
      </c>
      <c r="AY851" s="252">
        <f t="shared" ca="1" si="1344"/>
        <v>0.38770864588990678</v>
      </c>
      <c r="AZ851" s="252">
        <f t="shared" ca="1" si="1344"/>
        <v>0.38261440755874326</v>
      </c>
      <c r="BA851" s="276">
        <f t="shared" ca="1" si="1344"/>
        <v>0.3815182530437557</v>
      </c>
      <c r="BB851" s="222">
        <f t="shared" ca="1" si="1344"/>
        <v>0.3815182530437557</v>
      </c>
      <c r="BC851" s="275">
        <f t="shared" ref="BC851:BL851" ca="1" si="1346">+BC850/BC859</f>
        <v>0.3764034235583365</v>
      </c>
      <c r="BD851" s="252">
        <f t="shared" ca="1" si="1346"/>
        <v>0.37606721389134612</v>
      </c>
      <c r="BE851" s="252">
        <f t="shared" ca="1" si="1346"/>
        <v>0.3735101631962337</v>
      </c>
      <c r="BF851" s="276">
        <f t="shared" ca="1" si="1346"/>
        <v>0.35787720674144308</v>
      </c>
      <c r="BG851" s="222">
        <f t="shared" ca="1" si="1346"/>
        <v>0.35787720674144308</v>
      </c>
      <c r="BH851" s="275">
        <f t="shared" ca="1" si="1346"/>
        <v>0.32586619144209639</v>
      </c>
      <c r="BI851" s="252">
        <f t="shared" ca="1" si="1346"/>
        <v>0.32690495423827248</v>
      </c>
      <c r="BJ851" s="252">
        <f t="shared" ca="1" si="1346"/>
        <v>0.31140514484486087</v>
      </c>
      <c r="BK851" s="276">
        <f t="shared" ca="1" si="1346"/>
        <v>0.30457996166131396</v>
      </c>
      <c r="BL851" s="222">
        <f t="shared" ca="1" si="1346"/>
        <v>0.30457996166131396</v>
      </c>
      <c r="BM851" s="275">
        <f t="shared" ref="BM851:BQ851" ca="1" si="1347">+BM850/BM859</f>
        <v>0.29635529888463369</v>
      </c>
      <c r="BN851" s="252">
        <f t="shared" ca="1" si="1347"/>
        <v>0.29314895969910754</v>
      </c>
      <c r="BO851" s="252">
        <f t="shared" ca="1" si="1347"/>
        <v>0.28119457733375097</v>
      </c>
      <c r="BP851" s="276">
        <f t="shared" ca="1" si="1347"/>
        <v>0.27618017282354929</v>
      </c>
      <c r="BQ851" s="222">
        <f t="shared" ca="1" si="1347"/>
        <v>0.27618017282354929</v>
      </c>
      <c r="BR851" s="45"/>
      <c r="BS851" s="45"/>
      <c r="BT851"/>
    </row>
    <row r="852" spans="2:84">
      <c r="B852" s="383"/>
      <c r="C852" s="578"/>
      <c r="D852" s="383"/>
      <c r="E852" s="613"/>
      <c r="F852" s="614"/>
      <c r="G852" s="614"/>
      <c r="H852" s="615"/>
      <c r="I852" s="383"/>
      <c r="J852" s="613"/>
      <c r="K852" s="614"/>
      <c r="L852" s="614"/>
      <c r="M852" s="615"/>
      <c r="N852" s="383"/>
      <c r="O852" s="613"/>
      <c r="P852" s="614"/>
      <c r="Q852" s="614"/>
      <c r="R852" s="615"/>
      <c r="S852" s="383"/>
      <c r="T852" s="613"/>
      <c r="U852" s="614"/>
      <c r="V852" s="614"/>
      <c r="W852" s="615"/>
      <c r="X852" s="383"/>
      <c r="Y852" s="613"/>
      <c r="Z852" s="614"/>
      <c r="AA852" s="614"/>
      <c r="AB852" s="615"/>
      <c r="AC852" s="383"/>
      <c r="AD852" s="613"/>
      <c r="AE852" s="614"/>
      <c r="AF852" s="614"/>
      <c r="AG852" s="615"/>
      <c r="AH852" s="383"/>
      <c r="AI852" s="613"/>
      <c r="AJ852" s="614"/>
      <c r="AK852" s="614"/>
      <c r="AL852" s="615"/>
      <c r="AM852" s="383"/>
      <c r="AN852" s="613"/>
      <c r="AO852" s="614"/>
      <c r="AP852" s="614"/>
      <c r="AQ852" s="615"/>
      <c r="AR852" s="383"/>
      <c r="AS852" s="613"/>
      <c r="AT852" s="614"/>
      <c r="AU852" s="614"/>
      <c r="AV852" s="615"/>
      <c r="AW852" s="383"/>
      <c r="AX852" s="613"/>
      <c r="AY852" s="614"/>
      <c r="AZ852" s="614"/>
      <c r="BA852" s="615"/>
      <c r="BB852" s="383"/>
      <c r="BC852" s="613"/>
      <c r="BD852" s="614"/>
      <c r="BE852" s="614"/>
      <c r="BF852" s="615"/>
      <c r="BG852" s="383"/>
      <c r="BH852" s="613"/>
      <c r="BI852" s="614"/>
      <c r="BJ852" s="614"/>
      <c r="BK852" s="615"/>
      <c r="BL852" s="383"/>
      <c r="BM852" s="613"/>
      <c r="BN852" s="614"/>
      <c r="BO852" s="614"/>
      <c r="BP852" s="615"/>
      <c r="BQ852" s="383"/>
      <c r="BR852" s="383"/>
      <c r="BS852" s="383"/>
      <c r="BT852"/>
    </row>
    <row r="853" spans="2:84">
      <c r="B853" s="45"/>
      <c r="C853" s="389" t="s">
        <v>611</v>
      </c>
      <c r="D853" s="45"/>
      <c r="E853" s="585">
        <v>0</v>
      </c>
      <c r="F853" s="343">
        <v>0</v>
      </c>
      <c r="G853" s="343">
        <v>0</v>
      </c>
      <c r="H853" s="293">
        <f>I853</f>
        <v>0</v>
      </c>
      <c r="I853" s="650">
        <v>0</v>
      </c>
      <c r="J853" s="585">
        <v>0</v>
      </c>
      <c r="K853" s="343">
        <v>0</v>
      </c>
      <c r="L853" s="343">
        <v>0</v>
      </c>
      <c r="M853" s="293">
        <f>N853</f>
        <v>0</v>
      </c>
      <c r="N853" s="344">
        <v>0</v>
      </c>
      <c r="O853" s="585">
        <v>0</v>
      </c>
      <c r="P853" s="343">
        <v>0</v>
      </c>
      <c r="Q853" s="343">
        <v>0</v>
      </c>
      <c r="R853" s="293">
        <f>S853</f>
        <v>0</v>
      </c>
      <c r="S853" s="344">
        <v>0</v>
      </c>
      <c r="T853" s="585">
        <v>0</v>
      </c>
      <c r="U853" s="343">
        <v>0</v>
      </c>
      <c r="V853" s="343">
        <v>0</v>
      </c>
      <c r="W853" s="293">
        <f>X853</f>
        <v>0</v>
      </c>
      <c r="X853" s="344">
        <v>0</v>
      </c>
      <c r="Y853" s="585">
        <v>0</v>
      </c>
      <c r="Z853" s="343">
        <v>0</v>
      </c>
      <c r="AA853" s="343">
        <v>0</v>
      </c>
      <c r="AB853" s="293">
        <f>AC853</f>
        <v>0</v>
      </c>
      <c r="AC853" s="344">
        <v>0</v>
      </c>
      <c r="AD853" s="585">
        <v>0</v>
      </c>
      <c r="AE853" s="343">
        <f t="shared" ref="AE853" si="1348">+AD853</f>
        <v>0</v>
      </c>
      <c r="AF853" s="343">
        <v>0</v>
      </c>
      <c r="AG853" s="293">
        <f>AH853</f>
        <v>0</v>
      </c>
      <c r="AH853" s="344">
        <v>0</v>
      </c>
      <c r="AI853" s="585">
        <v>0</v>
      </c>
      <c r="AJ853" s="343">
        <v>0</v>
      </c>
      <c r="AK853" s="343">
        <v>0</v>
      </c>
      <c r="AL853" s="293">
        <f>AM853</f>
        <v>0</v>
      </c>
      <c r="AM853" s="344">
        <v>0</v>
      </c>
      <c r="AN853" s="585">
        <v>0</v>
      </c>
      <c r="AO853" s="343">
        <v>0</v>
      </c>
      <c r="AP853" s="343">
        <v>0</v>
      </c>
      <c r="AQ853" s="293">
        <f>AR853</f>
        <v>0</v>
      </c>
      <c r="AR853" s="344">
        <v>0</v>
      </c>
      <c r="AS853" s="585">
        <v>0</v>
      </c>
      <c r="AT853" s="343">
        <v>0</v>
      </c>
      <c r="AU853" s="343">
        <v>0</v>
      </c>
      <c r="AV853" s="293">
        <f>AW853</f>
        <v>0</v>
      </c>
      <c r="AW853" s="344">
        <v>0</v>
      </c>
      <c r="AX853" s="292">
        <f t="shared" ref="AX853:BB853" si="1349">+AW853</f>
        <v>0</v>
      </c>
      <c r="AY853" s="261">
        <f t="shared" si="1349"/>
        <v>0</v>
      </c>
      <c r="AZ853" s="261">
        <f t="shared" si="1349"/>
        <v>0</v>
      </c>
      <c r="BA853" s="293">
        <f t="shared" si="1349"/>
        <v>0</v>
      </c>
      <c r="BB853" s="228">
        <f t="shared" si="1349"/>
        <v>0</v>
      </c>
      <c r="BC853" s="292">
        <f t="shared" ref="BC853" si="1350">+BB853</f>
        <v>0</v>
      </c>
      <c r="BD853" s="261">
        <f t="shared" ref="BD853" si="1351">+BC853</f>
        <v>0</v>
      </c>
      <c r="BE853" s="261">
        <f t="shared" ref="BE853" si="1352">+BD853</f>
        <v>0</v>
      </c>
      <c r="BF853" s="293">
        <f t="shared" ref="BF853" si="1353">+BE853</f>
        <v>0</v>
      </c>
      <c r="BG853" s="228">
        <f>+BF853</f>
        <v>0</v>
      </c>
      <c r="BH853" s="292">
        <f>+BG853</f>
        <v>0</v>
      </c>
      <c r="BI853" s="261">
        <f t="shared" ref="BI853" si="1354">+BH853</f>
        <v>0</v>
      </c>
      <c r="BJ853" s="261">
        <f t="shared" ref="BJ853" si="1355">+BI853</f>
        <v>0</v>
      </c>
      <c r="BK853" s="293">
        <f t="shared" ref="BK853" si="1356">+BJ853</f>
        <v>0</v>
      </c>
      <c r="BL853" s="228">
        <f t="shared" ref="BL853" si="1357">+BK853</f>
        <v>0</v>
      </c>
      <c r="BM853" s="292">
        <f t="shared" ref="BM853" si="1358">+BL853</f>
        <v>0</v>
      </c>
      <c r="BN853" s="261">
        <f t="shared" ref="BN853" si="1359">+BM853</f>
        <v>0</v>
      </c>
      <c r="BO853" s="261">
        <f t="shared" ref="BO853" si="1360">+BN853</f>
        <v>0</v>
      </c>
      <c r="BP853" s="293">
        <f t="shared" ref="BP853" si="1361">+BO853</f>
        <v>0</v>
      </c>
      <c r="BQ853" s="228">
        <f t="shared" ref="BQ853" si="1362">+BP853</f>
        <v>0</v>
      </c>
      <c r="BR853" s="383"/>
      <c r="BS853" s="383"/>
      <c r="BT853"/>
    </row>
    <row r="854" spans="2:84">
      <c r="B854" s="223"/>
      <c r="C854" s="390" t="s">
        <v>612</v>
      </c>
      <c r="D854" s="223"/>
      <c r="E854" s="275">
        <f t="shared" ref="E854:AA854" si="1363">+E853/E859</f>
        <v>0</v>
      </c>
      <c r="F854" s="252">
        <f t="shared" si="1363"/>
        <v>0</v>
      </c>
      <c r="G854" s="252">
        <f t="shared" si="1363"/>
        <v>0</v>
      </c>
      <c r="H854" s="276">
        <f t="shared" si="1363"/>
        <v>0</v>
      </c>
      <c r="I854" s="222">
        <f t="shared" si="1363"/>
        <v>0</v>
      </c>
      <c r="J854" s="275">
        <f t="shared" si="1363"/>
        <v>0</v>
      </c>
      <c r="K854" s="252">
        <f t="shared" si="1363"/>
        <v>0</v>
      </c>
      <c r="L854" s="252">
        <f t="shared" si="1363"/>
        <v>0</v>
      </c>
      <c r="M854" s="276">
        <f t="shared" si="1363"/>
        <v>0</v>
      </c>
      <c r="N854" s="222">
        <f t="shared" si="1363"/>
        <v>0</v>
      </c>
      <c r="O854" s="275">
        <f t="shared" si="1363"/>
        <v>0</v>
      </c>
      <c r="P854" s="252">
        <f t="shared" si="1363"/>
        <v>0</v>
      </c>
      <c r="Q854" s="252">
        <f t="shared" si="1363"/>
        <v>0</v>
      </c>
      <c r="R854" s="276">
        <f t="shared" si="1363"/>
        <v>0</v>
      </c>
      <c r="S854" s="222">
        <f t="shared" si="1363"/>
        <v>0</v>
      </c>
      <c r="T854" s="275">
        <f t="shared" si="1363"/>
        <v>0</v>
      </c>
      <c r="U854" s="252">
        <f t="shared" si="1363"/>
        <v>0</v>
      </c>
      <c r="V854" s="252">
        <f t="shared" si="1363"/>
        <v>0</v>
      </c>
      <c r="W854" s="276">
        <f t="shared" si="1363"/>
        <v>0</v>
      </c>
      <c r="X854" s="222">
        <f t="shared" si="1363"/>
        <v>0</v>
      </c>
      <c r="Y854" s="275">
        <f t="shared" si="1363"/>
        <v>0</v>
      </c>
      <c r="Z854" s="252">
        <f t="shared" si="1363"/>
        <v>0</v>
      </c>
      <c r="AA854" s="252">
        <f t="shared" si="1363"/>
        <v>0</v>
      </c>
      <c r="AB854" s="276">
        <f>+AB853/AB859</f>
        <v>0</v>
      </c>
      <c r="AC854" s="222">
        <f>+AC853/AC859</f>
        <v>0</v>
      </c>
      <c r="AD854" s="275">
        <f>+AD853/AD859</f>
        <v>0</v>
      </c>
      <c r="AE854" s="252">
        <f t="shared" ref="AE854" si="1364">+AE853/AE859</f>
        <v>0</v>
      </c>
      <c r="AF854" s="252">
        <f>+AF853/AF859</f>
        <v>0</v>
      </c>
      <c r="AG854" s="276">
        <f>+AG853/AG859</f>
        <v>0</v>
      </c>
      <c r="AH854" s="222">
        <f>+AH853/AH859</f>
        <v>0</v>
      </c>
      <c r="AI854" s="275">
        <f>+AI853/AI859</f>
        <v>0</v>
      </c>
      <c r="AJ854" s="252">
        <f t="shared" ref="AJ854" si="1365">+AJ853/AJ859</f>
        <v>0</v>
      </c>
      <c r="AK854" s="252">
        <f t="shared" ref="AK854:AP854" si="1366">+AK853/AK859</f>
        <v>0</v>
      </c>
      <c r="AL854" s="276">
        <f t="shared" si="1366"/>
        <v>0</v>
      </c>
      <c r="AM854" s="222">
        <f t="shared" si="1366"/>
        <v>0</v>
      </c>
      <c r="AN854" s="275">
        <f t="shared" si="1366"/>
        <v>0</v>
      </c>
      <c r="AO854" s="252">
        <f t="shared" si="1366"/>
        <v>0</v>
      </c>
      <c r="AP854" s="252">
        <f t="shared" si="1366"/>
        <v>0</v>
      </c>
      <c r="AQ854" s="276">
        <f t="shared" ref="AQ854:AR854" si="1367">+AQ853/AQ859</f>
        <v>0</v>
      </c>
      <c r="AR854" s="222">
        <f t="shared" si="1367"/>
        <v>0</v>
      </c>
      <c r="AS854" s="275">
        <f t="shared" ref="AS854:BB854" si="1368">+AS853/AS859</f>
        <v>0</v>
      </c>
      <c r="AT854" s="252">
        <f t="shared" si="1368"/>
        <v>0</v>
      </c>
      <c r="AU854" s="252">
        <f t="shared" ref="AU854:AW854" si="1369">+AU853/AU859</f>
        <v>0</v>
      </c>
      <c r="AV854" s="276">
        <f t="shared" si="1369"/>
        <v>0</v>
      </c>
      <c r="AW854" s="222">
        <f t="shared" si="1369"/>
        <v>0</v>
      </c>
      <c r="AX854" s="275">
        <f t="shared" ca="1" si="1368"/>
        <v>0</v>
      </c>
      <c r="AY854" s="252">
        <f t="shared" ca="1" si="1368"/>
        <v>0</v>
      </c>
      <c r="AZ854" s="252">
        <f t="shared" ca="1" si="1368"/>
        <v>0</v>
      </c>
      <c r="BA854" s="276">
        <f t="shared" ca="1" si="1368"/>
        <v>0</v>
      </c>
      <c r="BB854" s="222">
        <f t="shared" ca="1" si="1368"/>
        <v>0</v>
      </c>
      <c r="BC854" s="275">
        <f t="shared" ref="BC854:BL854" ca="1" si="1370">+BC853/BC859</f>
        <v>0</v>
      </c>
      <c r="BD854" s="252">
        <f t="shared" ca="1" si="1370"/>
        <v>0</v>
      </c>
      <c r="BE854" s="252">
        <f t="shared" ca="1" si="1370"/>
        <v>0</v>
      </c>
      <c r="BF854" s="276">
        <f t="shared" ca="1" si="1370"/>
        <v>0</v>
      </c>
      <c r="BG854" s="222">
        <f t="shared" ca="1" si="1370"/>
        <v>0</v>
      </c>
      <c r="BH854" s="275">
        <f t="shared" ca="1" si="1370"/>
        <v>0</v>
      </c>
      <c r="BI854" s="252">
        <f t="shared" ca="1" si="1370"/>
        <v>0</v>
      </c>
      <c r="BJ854" s="252">
        <f t="shared" ca="1" si="1370"/>
        <v>0</v>
      </c>
      <c r="BK854" s="276">
        <f t="shared" ca="1" si="1370"/>
        <v>0</v>
      </c>
      <c r="BL854" s="222">
        <f t="shared" ca="1" si="1370"/>
        <v>0</v>
      </c>
      <c r="BM854" s="275">
        <f t="shared" ref="BM854:BQ854" ca="1" si="1371">+BM853/BM859</f>
        <v>0</v>
      </c>
      <c r="BN854" s="252">
        <f t="shared" ca="1" si="1371"/>
        <v>0</v>
      </c>
      <c r="BO854" s="252">
        <f t="shared" ca="1" si="1371"/>
        <v>0</v>
      </c>
      <c r="BP854" s="276">
        <f t="shared" ca="1" si="1371"/>
        <v>0</v>
      </c>
      <c r="BQ854" s="222">
        <f t="shared" ca="1" si="1371"/>
        <v>0</v>
      </c>
      <c r="BR854" s="28"/>
      <c r="BS854" s="28"/>
      <c r="BT854"/>
    </row>
    <row r="855" spans="2:84">
      <c r="B855" s="28"/>
      <c r="C855" s="391"/>
      <c r="D855" s="28"/>
      <c r="E855" s="415"/>
      <c r="F855" s="242"/>
      <c r="G855" s="242"/>
      <c r="H855" s="416"/>
      <c r="I855" s="23"/>
      <c r="J855" s="415"/>
      <c r="K855" s="242"/>
      <c r="L855" s="242"/>
      <c r="M855" s="416"/>
      <c r="N855" s="23"/>
      <c r="O855" s="415"/>
      <c r="P855" s="242"/>
      <c r="Q855" s="242"/>
      <c r="R855" s="416"/>
      <c r="S855" s="23"/>
      <c r="T855" s="415"/>
      <c r="U855" s="242"/>
      <c r="V855" s="242"/>
      <c r="W855" s="416"/>
      <c r="X855" s="23"/>
      <c r="Y855" s="415"/>
      <c r="Z855" s="242"/>
      <c r="AA855" s="242"/>
      <c r="AB855" s="416"/>
      <c r="AC855" s="23"/>
      <c r="AD855" s="415"/>
      <c r="AE855" s="242"/>
      <c r="AF855" s="242"/>
      <c r="AG855" s="416"/>
      <c r="AH855" s="23"/>
      <c r="AI855" s="415"/>
      <c r="AJ855" s="242"/>
      <c r="AK855" s="242"/>
      <c r="AL855" s="416"/>
      <c r="AM855" s="23"/>
      <c r="AN855" s="415"/>
      <c r="AO855" s="242"/>
      <c r="AP855" s="242"/>
      <c r="AQ855" s="416"/>
      <c r="AR855" s="23"/>
      <c r="AS855" s="415"/>
      <c r="AT855" s="242"/>
      <c r="AU855" s="242"/>
      <c r="AV855" s="416"/>
      <c r="AW855" s="23"/>
      <c r="AX855" s="415"/>
      <c r="AY855" s="242"/>
      <c r="AZ855" s="242"/>
      <c r="BA855" s="416"/>
      <c r="BB855" s="23"/>
      <c r="BC855" s="415"/>
      <c r="BD855" s="242"/>
      <c r="BE855" s="242"/>
      <c r="BF855" s="416"/>
      <c r="BG855" s="23"/>
      <c r="BH855" s="415"/>
      <c r="BI855" s="242"/>
      <c r="BJ855" s="242"/>
      <c r="BK855" s="416"/>
      <c r="BL855" s="23"/>
      <c r="BM855" s="415"/>
      <c r="BN855" s="242"/>
      <c r="BO855" s="242"/>
      <c r="BP855" s="416"/>
      <c r="BQ855" s="23"/>
      <c r="BR855" s="28"/>
      <c r="BS855" s="28"/>
      <c r="BT855"/>
    </row>
    <row r="856" spans="2:84">
      <c r="B856" s="45"/>
      <c r="C856" s="389" t="s">
        <v>193</v>
      </c>
      <c r="D856" s="427"/>
      <c r="E856" s="585">
        <v>7793</v>
      </c>
      <c r="F856" s="343">
        <v>7608</v>
      </c>
      <c r="G856" s="343">
        <v>7099</v>
      </c>
      <c r="H856" s="293">
        <f>+I856</f>
        <v>6790</v>
      </c>
      <c r="I856" s="344">
        <v>6790</v>
      </c>
      <c r="J856" s="585">
        <v>7643</v>
      </c>
      <c r="K856" s="343">
        <v>7323</v>
      </c>
      <c r="L856" s="343">
        <v>8016</v>
      </c>
      <c r="M856" s="293">
        <f>N856</f>
        <v>7172</v>
      </c>
      <c r="N856" s="344">
        <v>7172</v>
      </c>
      <c r="O856" s="585">
        <v>7597</v>
      </c>
      <c r="P856" s="343">
        <v>7787</v>
      </c>
      <c r="Q856" s="343">
        <v>8018</v>
      </c>
      <c r="R856" s="293">
        <f>S856</f>
        <v>8703</v>
      </c>
      <c r="S856" s="344">
        <v>8703</v>
      </c>
      <c r="T856" s="585">
        <v>13795</v>
      </c>
      <c r="U856" s="343">
        <v>13407</v>
      </c>
      <c r="V856" s="343">
        <v>12839</v>
      </c>
      <c r="W856" s="293">
        <f>X856</f>
        <v>12557</v>
      </c>
      <c r="X856" s="344">
        <v>12557</v>
      </c>
      <c r="Y856" s="585">
        <v>12224</v>
      </c>
      <c r="Z856" s="343">
        <v>12153</v>
      </c>
      <c r="AA856" s="343">
        <v>12534</v>
      </c>
      <c r="AB856" s="293">
        <f>AC856</f>
        <v>12725</v>
      </c>
      <c r="AC856" s="344">
        <v>12725</v>
      </c>
      <c r="AD856" s="585">
        <v>12489</v>
      </c>
      <c r="AE856" s="343">
        <v>12465</v>
      </c>
      <c r="AF856" s="343">
        <v>13063</v>
      </c>
      <c r="AG856" s="293">
        <f>AH856</f>
        <v>12718</v>
      </c>
      <c r="AH856" s="344">
        <v>12718</v>
      </c>
      <c r="AI856" s="585">
        <v>11788</v>
      </c>
      <c r="AJ856" s="343">
        <v>11286</v>
      </c>
      <c r="AK856" s="343">
        <v>11599</v>
      </c>
      <c r="AL856" s="293">
        <f>AM856</f>
        <v>11635</v>
      </c>
      <c r="AM856" s="344">
        <v>11635</v>
      </c>
      <c r="AN856" s="585">
        <v>12059</v>
      </c>
      <c r="AO856" s="343">
        <v>11995</v>
      </c>
      <c r="AP856" s="343">
        <v>12281</v>
      </c>
      <c r="AQ856" s="293">
        <f>AR856</f>
        <v>11482</v>
      </c>
      <c r="AR856" s="344">
        <v>11482</v>
      </c>
      <c r="AS856" s="585">
        <v>11803</v>
      </c>
      <c r="AT856" s="343">
        <v>11387</v>
      </c>
      <c r="AU856" s="343">
        <v>11581</v>
      </c>
      <c r="AV856" s="293">
        <f>AW856</f>
        <v>13630</v>
      </c>
      <c r="AW856" s="344">
        <v>13630</v>
      </c>
      <c r="AX856" s="292">
        <f>+AW856+AX819+AX835</f>
        <v>13878.375890732224</v>
      </c>
      <c r="AY856" s="261">
        <f ca="1">+AX856+AY819+AY835</f>
        <v>13982.736022941745</v>
      </c>
      <c r="AZ856" s="261">
        <f ca="1">+AY856+AZ819+AZ835</f>
        <v>14278.72291158796</v>
      </c>
      <c r="BA856" s="293">
        <f ca="1">+AZ856+BA819+BA835</f>
        <v>14345.172046560305</v>
      </c>
      <c r="BB856" s="228">
        <f ca="1">+BA856</f>
        <v>14345.172046560305</v>
      </c>
      <c r="BC856" s="292">
        <f ca="1">+BB856+BC819+BC835</f>
        <v>14660.350463249832</v>
      </c>
      <c r="BD856" s="261">
        <f ca="1">+BC856+BD819+BD835</f>
        <v>14681.368171251073</v>
      </c>
      <c r="BE856" s="261">
        <f ca="1">+BD856+BE819+BE835</f>
        <v>14835.747865896859</v>
      </c>
      <c r="BF856" s="293">
        <f ca="1">+BE856+BF819+BF835</f>
        <v>14793.628458830006</v>
      </c>
      <c r="BG856" s="228">
        <f ca="1">+BF856</f>
        <v>14793.628458830006</v>
      </c>
      <c r="BH856" s="292">
        <f ca="1">+BG856+BH819+BH835</f>
        <v>14988.052063295661</v>
      </c>
      <c r="BI856" s="261">
        <f ca="1">+BH856+BI819+BI835</f>
        <v>14917.405023446994</v>
      </c>
      <c r="BJ856" s="261">
        <f ca="1">+BI856+BJ819+BJ835</f>
        <v>15057.57821169138</v>
      </c>
      <c r="BK856" s="293">
        <f ca="1">+BJ856+BK819+BK835</f>
        <v>15040.161540535779</v>
      </c>
      <c r="BL856" s="228">
        <f ca="1">+BK856</f>
        <v>15040.161540535779</v>
      </c>
      <c r="BM856" s="292">
        <f ca="1">+BL856+BM819+BM835</f>
        <v>15154.071384189447</v>
      </c>
      <c r="BN856" s="261">
        <f ca="1">+BM856+BN819+BN835</f>
        <v>15158.885857837549</v>
      </c>
      <c r="BO856" s="261">
        <f ca="1">+BN856+BO819+BO835</f>
        <v>15349.957796425066</v>
      </c>
      <c r="BP856" s="293">
        <f ca="1">+BO856+BP819+BP835</f>
        <v>15391.313831638636</v>
      </c>
      <c r="BQ856" s="228">
        <f ca="1">+BP856</f>
        <v>15391.313831638636</v>
      </c>
      <c r="BR856" s="28"/>
      <c r="BS856" s="28"/>
      <c r="BT856"/>
    </row>
    <row r="857" spans="2:84">
      <c r="B857" s="223"/>
      <c r="C857" s="408" t="s">
        <v>612</v>
      </c>
      <c r="D857" s="223"/>
      <c r="E857" s="275">
        <f t="shared" ref="E857:AE857" si="1372">+E856/E859</f>
        <v>0.75955165692007798</v>
      </c>
      <c r="F857" s="252">
        <f t="shared" si="1372"/>
        <v>0.7517043770378421</v>
      </c>
      <c r="G857" s="252">
        <f t="shared" si="1372"/>
        <v>0.69339714788044537</v>
      </c>
      <c r="H857" s="276">
        <f t="shared" si="1372"/>
        <v>0.69406112644383111</v>
      </c>
      <c r="I857" s="222">
        <f t="shared" si="1372"/>
        <v>0.69406112644383111</v>
      </c>
      <c r="J857" s="275">
        <f t="shared" si="1372"/>
        <v>0.71866478608368589</v>
      </c>
      <c r="K857" s="252">
        <f t="shared" si="1372"/>
        <v>0.72490595921599688</v>
      </c>
      <c r="L857" s="252">
        <f t="shared" si="1372"/>
        <v>0.68553835628153592</v>
      </c>
      <c r="M857" s="276">
        <f t="shared" si="1372"/>
        <v>0.6609529075661229</v>
      </c>
      <c r="N857" s="222">
        <f t="shared" si="1372"/>
        <v>0.6609529075661229</v>
      </c>
      <c r="O857" s="275">
        <f t="shared" si="1372"/>
        <v>0.67379157427937919</v>
      </c>
      <c r="P857" s="252">
        <f t="shared" si="1372"/>
        <v>0.6791975577845617</v>
      </c>
      <c r="Q857" s="252">
        <f t="shared" si="1372"/>
        <v>0.68139712756012583</v>
      </c>
      <c r="R857" s="276">
        <f t="shared" si="1372"/>
        <v>0.70287514133419482</v>
      </c>
      <c r="S857" s="222">
        <f t="shared" si="1372"/>
        <v>0.70287514133419482</v>
      </c>
      <c r="T857" s="275">
        <f t="shared" si="1372"/>
        <v>0.67112624665531506</v>
      </c>
      <c r="U857" s="252">
        <f t="shared" si="1372"/>
        <v>0.64500144327913023</v>
      </c>
      <c r="V857" s="252">
        <f t="shared" si="1372"/>
        <v>0.6345574062175654</v>
      </c>
      <c r="W857" s="276">
        <f t="shared" si="1372"/>
        <v>0.62659680638722559</v>
      </c>
      <c r="X857" s="222">
        <f t="shared" si="1372"/>
        <v>0.62659680638722559</v>
      </c>
      <c r="Y857" s="275">
        <f t="shared" si="1372"/>
        <v>0.61557055091147139</v>
      </c>
      <c r="Z857" s="252">
        <f t="shared" si="1372"/>
        <v>0.61834741019639772</v>
      </c>
      <c r="AA857" s="252">
        <f t="shared" si="1372"/>
        <v>0.61549793753682969</v>
      </c>
      <c r="AB857" s="276">
        <f>+AB856/AB859</f>
        <v>0.62145926938855245</v>
      </c>
      <c r="AC857" s="222">
        <f>+AC856/AC859</f>
        <v>0.62145926938855245</v>
      </c>
      <c r="AD857" s="275">
        <f>+AD856/AD859</f>
        <v>0.61352918058557671</v>
      </c>
      <c r="AE857" s="252">
        <f t="shared" si="1372"/>
        <v>0.62247191011235958</v>
      </c>
      <c r="AF857" s="252">
        <f>+AF856/AF859</f>
        <v>0.61050614572136286</v>
      </c>
      <c r="AG857" s="276">
        <f>+AG856/AG859</f>
        <v>0.60504281636536628</v>
      </c>
      <c r="AH857" s="222">
        <f>+AH856/AH859</f>
        <v>0.60504281636536628</v>
      </c>
      <c r="AI857" s="275">
        <f>+AI856/AI859</f>
        <v>0.55496445553410856</v>
      </c>
      <c r="AJ857" s="252">
        <f t="shared" ref="AJ857" si="1373">+AJ856/AJ859</f>
        <v>0.53832578106367757</v>
      </c>
      <c r="AK857" s="252">
        <f t="shared" ref="AK857:AP857" si="1374">+AK856/AK859</f>
        <v>0.5315521745107924</v>
      </c>
      <c r="AL857" s="276">
        <f t="shared" si="1374"/>
        <v>0.5318857142857143</v>
      </c>
      <c r="AM857" s="222">
        <f t="shared" si="1374"/>
        <v>0.5318857142857143</v>
      </c>
      <c r="AN857" s="275">
        <f t="shared" si="1374"/>
        <v>0.53116328238558785</v>
      </c>
      <c r="AO857" s="252">
        <f t="shared" si="1374"/>
        <v>0.54310422892329979</v>
      </c>
      <c r="AP857" s="252">
        <f t="shared" si="1374"/>
        <v>0.55729001225212138</v>
      </c>
      <c r="AQ857" s="276">
        <f t="shared" ref="AQ857:AR857" si="1375">+AQ856/AQ859</f>
        <v>0.534618429017088</v>
      </c>
      <c r="AR857" s="222">
        <f t="shared" si="1375"/>
        <v>0.534618429017088</v>
      </c>
      <c r="AS857" s="275">
        <f t="shared" ref="AS857:BB857" si="1376">+AS856/AS859</f>
        <v>0.52334500953309981</v>
      </c>
      <c r="AT857" s="252">
        <f t="shared" si="1376"/>
        <v>0.51506242084313369</v>
      </c>
      <c r="AU857" s="252">
        <f t="shared" si="1376"/>
        <v>0.54251182835995693</v>
      </c>
      <c r="AV857" s="276">
        <f t="shared" si="1376"/>
        <v>0.60107602751808076</v>
      </c>
      <c r="AW857" s="222">
        <f t="shared" si="1376"/>
        <v>0.60107602751808076</v>
      </c>
      <c r="AX857" s="275">
        <f t="shared" ca="1" si="1376"/>
        <v>0.60741192096553265</v>
      </c>
      <c r="AY857" s="252">
        <f t="shared" ca="1" si="1376"/>
        <v>0.61229135411009317</v>
      </c>
      <c r="AZ857" s="252">
        <f t="shared" ca="1" si="1376"/>
        <v>0.61738559244125679</v>
      </c>
      <c r="BA857" s="276">
        <f t="shared" ca="1" si="1376"/>
        <v>0.61848174695624425</v>
      </c>
      <c r="BB857" s="222">
        <f t="shared" ca="1" si="1376"/>
        <v>0.61848174695624425</v>
      </c>
      <c r="BC857" s="275">
        <f t="shared" ref="BC857:BL857" ca="1" si="1377">+BC856/BC859</f>
        <v>0.62359657644166355</v>
      </c>
      <c r="BD857" s="252">
        <f t="shared" ca="1" si="1377"/>
        <v>0.62393278610865388</v>
      </c>
      <c r="BE857" s="252">
        <f t="shared" ca="1" si="1377"/>
        <v>0.62648983680376624</v>
      </c>
      <c r="BF857" s="276">
        <f t="shared" ca="1" si="1377"/>
        <v>0.64212279325855703</v>
      </c>
      <c r="BG857" s="222">
        <f t="shared" ca="1" si="1377"/>
        <v>0.64212279325855703</v>
      </c>
      <c r="BH857" s="275">
        <f t="shared" ca="1" si="1377"/>
        <v>0.67413380855790361</v>
      </c>
      <c r="BI857" s="252">
        <f t="shared" ca="1" si="1377"/>
        <v>0.67309504576172752</v>
      </c>
      <c r="BJ857" s="252">
        <f t="shared" ca="1" si="1377"/>
        <v>0.68859485515513918</v>
      </c>
      <c r="BK857" s="276">
        <f t="shared" ca="1" si="1377"/>
        <v>0.69542003833868604</v>
      </c>
      <c r="BL857" s="222">
        <f t="shared" ca="1" si="1377"/>
        <v>0.69542003833868604</v>
      </c>
      <c r="BM857" s="275">
        <f t="shared" ref="BM857:BQ857" ca="1" si="1378">+BM856/BM859</f>
        <v>0.70364470111536637</v>
      </c>
      <c r="BN857" s="252">
        <f t="shared" ca="1" si="1378"/>
        <v>0.70685104030089252</v>
      </c>
      <c r="BO857" s="252">
        <f t="shared" ca="1" si="1378"/>
        <v>0.71880542266624903</v>
      </c>
      <c r="BP857" s="276">
        <f t="shared" ca="1" si="1378"/>
        <v>0.72381982717645066</v>
      </c>
      <c r="BQ857" s="222">
        <f t="shared" ca="1" si="1378"/>
        <v>0.72381982717645066</v>
      </c>
      <c r="BR857" s="440"/>
      <c r="BS857" s="440"/>
      <c r="BT857"/>
    </row>
    <row r="858" spans="2:84">
      <c r="B858" s="223"/>
      <c r="C858" s="408"/>
      <c r="D858" s="223"/>
      <c r="E858" s="275"/>
      <c r="F858" s="252"/>
      <c r="G858" s="252"/>
      <c r="H858" s="276"/>
      <c r="I858" s="222"/>
      <c r="J858" s="275"/>
      <c r="K858" s="252"/>
      <c r="L858" s="252"/>
      <c r="M858" s="276"/>
      <c r="N858" s="222"/>
      <c r="O858" s="275"/>
      <c r="P858" s="252"/>
      <c r="Q858" s="252"/>
      <c r="R858" s="276"/>
      <c r="S858" s="222"/>
      <c r="T858" s="275"/>
      <c r="U858" s="252"/>
      <c r="V858" s="252"/>
      <c r="W858" s="276"/>
      <c r="X858" s="222"/>
      <c r="Y858" s="275"/>
      <c r="Z858" s="252"/>
      <c r="AA858" s="252"/>
      <c r="AB858" s="276"/>
      <c r="AC858" s="222"/>
      <c r="AD858" s="275"/>
      <c r="AE858" s="252"/>
      <c r="AF858" s="252"/>
      <c r="AG858" s="276"/>
      <c r="AH858" s="222"/>
      <c r="AI858" s="275"/>
      <c r="AJ858" s="252"/>
      <c r="AK858" s="252"/>
      <c r="AL858" s="276"/>
      <c r="AM858" s="222"/>
      <c r="AN858" s="275"/>
      <c r="AO858" s="252"/>
      <c r="AP858" s="252"/>
      <c r="AQ858" s="276"/>
      <c r="AR858" s="222"/>
      <c r="AS858" s="275"/>
      <c r="AT858" s="252"/>
      <c r="AU858" s="252"/>
      <c r="AV858" s="276"/>
      <c r="AW858" s="222"/>
      <c r="AX858" s="275"/>
      <c r="AY858" s="252"/>
      <c r="AZ858" s="252"/>
      <c r="BA858" s="276"/>
      <c r="BB858" s="222"/>
      <c r="BC858" s="275"/>
      <c r="BD858" s="252"/>
      <c r="BE858" s="252"/>
      <c r="BF858" s="276"/>
      <c r="BG858" s="222"/>
      <c r="BH858" s="275"/>
      <c r="BI858" s="252"/>
      <c r="BJ858" s="252"/>
      <c r="BK858" s="276"/>
      <c r="BL858" s="222"/>
      <c r="BM858" s="275"/>
      <c r="BN858" s="252"/>
      <c r="BO858" s="252"/>
      <c r="BP858" s="276"/>
      <c r="BQ858" s="222"/>
      <c r="BR858" s="440"/>
      <c r="BS858" s="440"/>
      <c r="BT858"/>
    </row>
    <row r="859" spans="2:84">
      <c r="B859" s="45"/>
      <c r="C859" s="389" t="s">
        <v>494</v>
      </c>
      <c r="D859" s="45"/>
      <c r="E859" s="292">
        <f t="shared" ref="E859:AH859" si="1379">+E856+E853+E850</f>
        <v>10260</v>
      </c>
      <c r="F859" s="261">
        <f t="shared" si="1379"/>
        <v>10121</v>
      </c>
      <c r="G859" s="261">
        <f t="shared" si="1379"/>
        <v>10238</v>
      </c>
      <c r="H859" s="293">
        <f t="shared" si="1379"/>
        <v>9783</v>
      </c>
      <c r="I859" s="228">
        <f t="shared" si="1379"/>
        <v>9783</v>
      </c>
      <c r="J859" s="292">
        <f t="shared" si="1379"/>
        <v>10635</v>
      </c>
      <c r="K859" s="261">
        <f t="shared" si="1379"/>
        <v>10102</v>
      </c>
      <c r="L859" s="261">
        <f t="shared" si="1379"/>
        <v>11693</v>
      </c>
      <c r="M859" s="293">
        <f t="shared" si="1379"/>
        <v>10851</v>
      </c>
      <c r="N859" s="228">
        <f t="shared" si="1379"/>
        <v>10851</v>
      </c>
      <c r="O859" s="292">
        <f t="shared" si="1379"/>
        <v>11275</v>
      </c>
      <c r="P859" s="261">
        <f t="shared" si="1379"/>
        <v>11465</v>
      </c>
      <c r="Q859" s="261">
        <f t="shared" si="1379"/>
        <v>11767</v>
      </c>
      <c r="R859" s="293">
        <f t="shared" si="1379"/>
        <v>12382</v>
      </c>
      <c r="S859" s="228">
        <f t="shared" si="1379"/>
        <v>12382</v>
      </c>
      <c r="T859" s="292">
        <f t="shared" si="1379"/>
        <v>20555</v>
      </c>
      <c r="U859" s="261">
        <f t="shared" ref="U859:AC859" si="1380">+U856+U853+U850</f>
        <v>20786</v>
      </c>
      <c r="V859" s="261">
        <f t="shared" si="1380"/>
        <v>20233</v>
      </c>
      <c r="W859" s="293">
        <f t="shared" si="1380"/>
        <v>20040</v>
      </c>
      <c r="X859" s="228">
        <f t="shared" si="1380"/>
        <v>20040</v>
      </c>
      <c r="Y859" s="292">
        <f t="shared" si="1380"/>
        <v>19858</v>
      </c>
      <c r="Z859" s="261">
        <f t="shared" si="1380"/>
        <v>19654</v>
      </c>
      <c r="AA859" s="261">
        <f t="shared" si="1380"/>
        <v>20364</v>
      </c>
      <c r="AB859" s="293">
        <f t="shared" si="1380"/>
        <v>20476</v>
      </c>
      <c r="AC859" s="228">
        <f t="shared" si="1380"/>
        <v>20476</v>
      </c>
      <c r="AD859" s="292">
        <f>+AD856+AD853+AD850</f>
        <v>20356</v>
      </c>
      <c r="AE859" s="261">
        <f t="shared" si="1379"/>
        <v>20025</v>
      </c>
      <c r="AF859" s="261">
        <f t="shared" si="1379"/>
        <v>21397</v>
      </c>
      <c r="AG859" s="293">
        <f t="shared" si="1379"/>
        <v>21020</v>
      </c>
      <c r="AH859" s="228">
        <f t="shared" si="1379"/>
        <v>21020</v>
      </c>
      <c r="AI859" s="292">
        <f>+AI856+AI853+AI850</f>
        <v>21241</v>
      </c>
      <c r="AJ859" s="261">
        <f t="shared" ref="AJ859:AM859" si="1381">+AJ856+AJ853+AJ850</f>
        <v>20965</v>
      </c>
      <c r="AK859" s="261">
        <f t="shared" si="1381"/>
        <v>21821</v>
      </c>
      <c r="AL859" s="293">
        <f t="shared" si="1381"/>
        <v>21875</v>
      </c>
      <c r="AM859" s="228">
        <f t="shared" si="1381"/>
        <v>21875</v>
      </c>
      <c r="AN859" s="292">
        <f>+AN856+AN853+AN850</f>
        <v>22703</v>
      </c>
      <c r="AO859" s="261">
        <f t="shared" ref="AO859:AR859" si="1382">+AO856+AO853+AO850</f>
        <v>22086</v>
      </c>
      <c r="AP859" s="261">
        <f t="shared" si="1382"/>
        <v>22037</v>
      </c>
      <c r="AQ859" s="293">
        <f t="shared" si="1382"/>
        <v>21477</v>
      </c>
      <c r="AR859" s="228">
        <f t="shared" si="1382"/>
        <v>21477</v>
      </c>
      <c r="AS859" s="292">
        <f t="shared" ref="AS859:BB859" si="1383">+AS856+AS853+AS850</f>
        <v>22553</v>
      </c>
      <c r="AT859" s="261">
        <f t="shared" si="1383"/>
        <v>22108</v>
      </c>
      <c r="AU859" s="261">
        <f t="shared" ref="AU859:AW859" si="1384">+AU856+AU853+AU850</f>
        <v>21347</v>
      </c>
      <c r="AV859" s="293">
        <f t="shared" si="1384"/>
        <v>22676</v>
      </c>
      <c r="AW859" s="228">
        <f t="shared" si="1384"/>
        <v>22676</v>
      </c>
      <c r="AX859" s="292">
        <f t="shared" ca="1" si="1383"/>
        <v>22848.375890732226</v>
      </c>
      <c r="AY859" s="261">
        <f t="shared" ca="1" si="1383"/>
        <v>22836.736022941746</v>
      </c>
      <c r="AZ859" s="261">
        <f t="shared" ca="1" si="1383"/>
        <v>23127.72291158796</v>
      </c>
      <c r="BA859" s="293">
        <f t="shared" ca="1" si="1383"/>
        <v>23194.172046560307</v>
      </c>
      <c r="BB859" s="228">
        <f t="shared" ca="1" si="1383"/>
        <v>23194.172046560307</v>
      </c>
      <c r="BC859" s="292">
        <f t="shared" ref="BC859:BL859" ca="1" si="1385">+BC856+BC853+BC850</f>
        <v>23509.35046324983</v>
      </c>
      <c r="BD859" s="261">
        <f t="shared" ca="1" si="1385"/>
        <v>23530.368171251073</v>
      </c>
      <c r="BE859" s="261">
        <f t="shared" ca="1" si="1385"/>
        <v>23680.747865896861</v>
      </c>
      <c r="BF859" s="293">
        <f t="shared" ca="1" si="1385"/>
        <v>23038.628458830004</v>
      </c>
      <c r="BG859" s="228">
        <f t="shared" ca="1" si="1385"/>
        <v>23038.628458830004</v>
      </c>
      <c r="BH859" s="292">
        <f t="shared" ca="1" si="1385"/>
        <v>22233.052063295661</v>
      </c>
      <c r="BI859" s="261">
        <f t="shared" ca="1" si="1385"/>
        <v>22162.405023446994</v>
      </c>
      <c r="BJ859" s="261">
        <f t="shared" ca="1" si="1385"/>
        <v>21867.108211691379</v>
      </c>
      <c r="BK859" s="293">
        <f t="shared" ca="1" si="1385"/>
        <v>21627.449183756282</v>
      </c>
      <c r="BL859" s="228">
        <f t="shared" ca="1" si="1385"/>
        <v>21627.449183756282</v>
      </c>
      <c r="BM859" s="292">
        <f t="shared" ref="BM859:BQ859" ca="1" si="1386">+BM856+BM853+BM850</f>
        <v>21536.538767602906</v>
      </c>
      <c r="BN859" s="261">
        <f t="shared" ca="1" si="1386"/>
        <v>21445.658269647181</v>
      </c>
      <c r="BO859" s="261">
        <f t="shared" ca="1" si="1386"/>
        <v>21354.816355569226</v>
      </c>
      <c r="BP859" s="293">
        <f t="shared" ca="1" si="1386"/>
        <v>21264.012470725793</v>
      </c>
      <c r="BQ859" s="228">
        <f t="shared" ca="1" si="1386"/>
        <v>21264.012470725793</v>
      </c>
      <c r="BR859" s="383"/>
      <c r="BS859" s="383"/>
      <c r="BT859"/>
    </row>
    <row r="860" spans="2:84">
      <c r="B860" s="223"/>
      <c r="C860" s="408" t="s">
        <v>612</v>
      </c>
      <c r="D860" s="223"/>
      <c r="E860" s="275">
        <f t="shared" ref="E860:AI860" si="1387">(E850+E853+E856)/E859</f>
        <v>1</v>
      </c>
      <c r="F860" s="252">
        <f t="shared" si="1387"/>
        <v>1</v>
      </c>
      <c r="G860" s="252">
        <f t="shared" si="1387"/>
        <v>1</v>
      </c>
      <c r="H860" s="276">
        <f t="shared" si="1387"/>
        <v>1</v>
      </c>
      <c r="I860" s="222">
        <f t="shared" si="1387"/>
        <v>1</v>
      </c>
      <c r="J860" s="275">
        <f t="shared" si="1387"/>
        <v>1</v>
      </c>
      <c r="K860" s="252">
        <f t="shared" si="1387"/>
        <v>1</v>
      </c>
      <c r="L860" s="252">
        <f t="shared" si="1387"/>
        <v>1</v>
      </c>
      <c r="M860" s="276">
        <f t="shared" si="1387"/>
        <v>1</v>
      </c>
      <c r="N860" s="222">
        <f t="shared" si="1387"/>
        <v>1</v>
      </c>
      <c r="O860" s="275">
        <f t="shared" si="1387"/>
        <v>1</v>
      </c>
      <c r="P860" s="252">
        <f t="shared" si="1387"/>
        <v>1</v>
      </c>
      <c r="Q860" s="252">
        <f t="shared" si="1387"/>
        <v>1</v>
      </c>
      <c r="R860" s="276">
        <f t="shared" si="1387"/>
        <v>1</v>
      </c>
      <c r="S860" s="222">
        <f t="shared" si="1387"/>
        <v>1</v>
      </c>
      <c r="T860" s="275">
        <f t="shared" si="1387"/>
        <v>1</v>
      </c>
      <c r="U860" s="252">
        <f t="shared" si="1387"/>
        <v>1</v>
      </c>
      <c r="V860" s="252">
        <f t="shared" si="1387"/>
        <v>1</v>
      </c>
      <c r="W860" s="276">
        <f t="shared" si="1387"/>
        <v>1</v>
      </c>
      <c r="X860" s="222">
        <f t="shared" ref="X860:AD860" si="1388">(X850+X853+X856)/X859</f>
        <v>1</v>
      </c>
      <c r="Y860" s="275">
        <f t="shared" si="1388"/>
        <v>1</v>
      </c>
      <c r="Z860" s="252">
        <f t="shared" si="1388"/>
        <v>1</v>
      </c>
      <c r="AA860" s="252">
        <f t="shared" si="1388"/>
        <v>1</v>
      </c>
      <c r="AB860" s="276">
        <f t="shared" si="1388"/>
        <v>1</v>
      </c>
      <c r="AC860" s="222">
        <f t="shared" si="1388"/>
        <v>1</v>
      </c>
      <c r="AD860" s="275">
        <f t="shared" si="1388"/>
        <v>1</v>
      </c>
      <c r="AE860" s="252">
        <f t="shared" si="1387"/>
        <v>1</v>
      </c>
      <c r="AF860" s="252">
        <f t="shared" si="1387"/>
        <v>1</v>
      </c>
      <c r="AG860" s="276">
        <f t="shared" si="1387"/>
        <v>1</v>
      </c>
      <c r="AH860" s="222">
        <f t="shared" si="1387"/>
        <v>1</v>
      </c>
      <c r="AI860" s="275">
        <f t="shared" si="1387"/>
        <v>1</v>
      </c>
      <c r="AJ860" s="252">
        <f t="shared" ref="AJ860:AN860" si="1389">(AJ850+AJ853+AJ856)/AJ859</f>
        <v>1</v>
      </c>
      <c r="AK860" s="252">
        <f t="shared" si="1389"/>
        <v>1</v>
      </c>
      <c r="AL860" s="276">
        <f t="shared" si="1389"/>
        <v>1</v>
      </c>
      <c r="AM860" s="222">
        <f t="shared" si="1389"/>
        <v>1</v>
      </c>
      <c r="AN860" s="275">
        <f t="shared" si="1389"/>
        <v>1</v>
      </c>
      <c r="AO860" s="252">
        <f t="shared" ref="AO860:AR860" si="1390">(AO850+AO853+AO856)/AO859</f>
        <v>1</v>
      </c>
      <c r="AP860" s="252">
        <f t="shared" si="1390"/>
        <v>1</v>
      </c>
      <c r="AQ860" s="276">
        <f t="shared" si="1390"/>
        <v>1</v>
      </c>
      <c r="AR860" s="222">
        <f t="shared" si="1390"/>
        <v>1</v>
      </c>
      <c r="AS860" s="275">
        <f t="shared" ref="AS860:BB860" si="1391">(AS850+AS853+AS856)/AS859</f>
        <v>1</v>
      </c>
      <c r="AT860" s="252">
        <f t="shared" si="1391"/>
        <v>1</v>
      </c>
      <c r="AU860" s="252">
        <f t="shared" ref="AU860:AW860" si="1392">(AU850+AU853+AU856)/AU859</f>
        <v>1</v>
      </c>
      <c r="AV860" s="276">
        <f t="shared" si="1392"/>
        <v>1</v>
      </c>
      <c r="AW860" s="222">
        <f t="shared" si="1392"/>
        <v>1</v>
      </c>
      <c r="AX860" s="275">
        <f t="shared" ca="1" si="1391"/>
        <v>1</v>
      </c>
      <c r="AY860" s="252">
        <f t="shared" ca="1" si="1391"/>
        <v>1</v>
      </c>
      <c r="AZ860" s="252">
        <f t="shared" ca="1" si="1391"/>
        <v>1</v>
      </c>
      <c r="BA860" s="276">
        <f t="shared" ca="1" si="1391"/>
        <v>1</v>
      </c>
      <c r="BB860" s="222">
        <f t="shared" ca="1" si="1391"/>
        <v>1</v>
      </c>
      <c r="BC860" s="275">
        <f t="shared" ref="BC860:BL860" ca="1" si="1393">(BC850+BC853+BC856)/BC859</f>
        <v>1</v>
      </c>
      <c r="BD860" s="252">
        <f t="shared" ca="1" si="1393"/>
        <v>1</v>
      </c>
      <c r="BE860" s="252">
        <f t="shared" ca="1" si="1393"/>
        <v>1</v>
      </c>
      <c r="BF860" s="276">
        <f t="shared" ca="1" si="1393"/>
        <v>1</v>
      </c>
      <c r="BG860" s="222">
        <f t="shared" ca="1" si="1393"/>
        <v>1</v>
      </c>
      <c r="BH860" s="275">
        <f t="shared" ca="1" si="1393"/>
        <v>1</v>
      </c>
      <c r="BI860" s="252">
        <f t="shared" ca="1" si="1393"/>
        <v>1</v>
      </c>
      <c r="BJ860" s="252">
        <f t="shared" ca="1" si="1393"/>
        <v>1</v>
      </c>
      <c r="BK860" s="276">
        <f t="shared" ca="1" si="1393"/>
        <v>1</v>
      </c>
      <c r="BL860" s="222">
        <f t="shared" ca="1" si="1393"/>
        <v>1</v>
      </c>
      <c r="BM860" s="275">
        <f t="shared" ref="BM860:BQ860" ca="1" si="1394">(BM850+BM853+BM856)/BM859</f>
        <v>1</v>
      </c>
      <c r="BN860" s="252">
        <f t="shared" ca="1" si="1394"/>
        <v>1</v>
      </c>
      <c r="BO860" s="252">
        <f t="shared" ca="1" si="1394"/>
        <v>1</v>
      </c>
      <c r="BP860" s="276">
        <f t="shared" ca="1" si="1394"/>
        <v>1</v>
      </c>
      <c r="BQ860" s="222">
        <f t="shared" ca="1" si="1394"/>
        <v>1</v>
      </c>
      <c r="BR860" s="383"/>
      <c r="BS860" s="383"/>
      <c r="BT860"/>
    </row>
    <row r="861" spans="2:84">
      <c r="B861" s="223"/>
      <c r="C861" s="408"/>
      <c r="D861" s="223"/>
      <c r="E861" s="275"/>
      <c r="F861" s="252"/>
      <c r="G861" s="252"/>
      <c r="H861" s="276"/>
      <c r="I861" s="222"/>
      <c r="J861" s="275"/>
      <c r="K861" s="252"/>
      <c r="L861" s="252"/>
      <c r="M861" s="276"/>
      <c r="N861" s="222"/>
      <c r="O861" s="275"/>
      <c r="P861" s="252"/>
      <c r="Q861" s="252"/>
      <c r="R861" s="276"/>
      <c r="S861" s="222"/>
      <c r="T861" s="275"/>
      <c r="U861" s="252"/>
      <c r="V861" s="252"/>
      <c r="W861" s="276"/>
      <c r="X861" s="222"/>
      <c r="Y861" s="275"/>
      <c r="Z861" s="252"/>
      <c r="AA861" s="252"/>
      <c r="AB861" s="276"/>
      <c r="AC861" s="222"/>
      <c r="AD861" s="275"/>
      <c r="AE861" s="252"/>
      <c r="AF861" s="252"/>
      <c r="AG861" s="276"/>
      <c r="AH861" s="222"/>
      <c r="AI861" s="275"/>
      <c r="AJ861" s="252"/>
      <c r="AK861" s="252"/>
      <c r="AL861" s="276"/>
      <c r="AM861" s="222"/>
      <c r="AN861" s="275"/>
      <c r="AO861" s="252"/>
      <c r="AP861" s="252"/>
      <c r="AQ861" s="276"/>
      <c r="AR861" s="222"/>
      <c r="AS861" s="275"/>
      <c r="AT861" s="252"/>
      <c r="AU861" s="252"/>
      <c r="AV861" s="276"/>
      <c r="AW861" s="222"/>
      <c r="AX861" s="275"/>
      <c r="AY861" s="252"/>
      <c r="AZ861" s="252"/>
      <c r="BA861" s="276"/>
      <c r="BB861" s="222"/>
      <c r="BC861" s="275"/>
      <c r="BD861" s="252"/>
      <c r="BE861" s="252"/>
      <c r="BF861" s="276"/>
      <c r="BG861" s="222"/>
      <c r="BH861" s="275"/>
      <c r="BI861" s="252"/>
      <c r="BJ861" s="252"/>
      <c r="BK861" s="276"/>
      <c r="BL861" s="222"/>
      <c r="BM861" s="275"/>
      <c r="BN861" s="252"/>
      <c r="BO861" s="252"/>
      <c r="BP861" s="276"/>
      <c r="BQ861" s="222"/>
      <c r="BR861" s="383"/>
      <c r="BS861" s="383"/>
      <c r="BT861"/>
    </row>
    <row r="862" spans="2:84">
      <c r="B862" s="28"/>
      <c r="C862" s="28"/>
      <c r="D862" s="28"/>
      <c r="E862" s="415"/>
      <c r="F862" s="242"/>
      <c r="G862" s="242"/>
      <c r="H862" s="416"/>
      <c r="I862" s="23"/>
      <c r="J862" s="415"/>
      <c r="K862" s="242"/>
      <c r="L862" s="242"/>
      <c r="M862" s="416"/>
      <c r="N862" s="23"/>
      <c r="O862" s="415"/>
      <c r="P862" s="242"/>
      <c r="Q862" s="242"/>
      <c r="R862" s="416"/>
      <c r="S862" s="23"/>
      <c r="T862" s="415"/>
      <c r="U862" s="242"/>
      <c r="V862" s="242"/>
      <c r="W862" s="416"/>
      <c r="X862" s="23"/>
      <c r="Y862" s="415"/>
      <c r="Z862" s="242"/>
      <c r="AA862" s="242"/>
      <c r="AB862" s="416"/>
      <c r="AC862" s="23"/>
      <c r="AD862" s="415"/>
      <c r="AE862" s="242"/>
      <c r="AF862" s="242"/>
      <c r="AG862" s="416"/>
      <c r="AH862" s="23"/>
      <c r="AI862" s="415"/>
      <c r="AJ862" s="242"/>
      <c r="AK862" s="242"/>
      <c r="AL862" s="416"/>
      <c r="AM862" s="23"/>
      <c r="AN862" s="415"/>
      <c r="AO862" s="242"/>
      <c r="AP862" s="242"/>
      <c r="AQ862" s="416"/>
      <c r="AR862" s="23"/>
      <c r="AS862" s="415"/>
      <c r="AT862" s="242"/>
      <c r="AU862" s="242"/>
      <c r="AV862" s="416"/>
      <c r="AW862" s="23"/>
      <c r="AX862" s="415"/>
      <c r="AY862" s="242"/>
      <c r="AZ862" s="242"/>
      <c r="BA862" s="416"/>
      <c r="BB862" s="23"/>
      <c r="BC862" s="415"/>
      <c r="BD862" s="242"/>
      <c r="BE862" s="242"/>
      <c r="BF862" s="416"/>
      <c r="BG862" s="23"/>
      <c r="BH862" s="415"/>
      <c r="BI862" s="242"/>
      <c r="BJ862" s="242"/>
      <c r="BK862" s="416"/>
      <c r="BL862" s="23"/>
      <c r="BM862" s="415"/>
      <c r="BN862" s="242"/>
      <c r="BO862" s="242"/>
      <c r="BP862" s="416"/>
      <c r="BQ862" s="23"/>
      <c r="BR862" s="1408"/>
      <c r="BS862" s="1408"/>
      <c r="BT862"/>
    </row>
    <row r="863" spans="2:84">
      <c r="B863" s="73" t="s">
        <v>613</v>
      </c>
      <c r="C863" s="246"/>
      <c r="D863" s="15"/>
      <c r="E863" s="415"/>
      <c r="F863" s="242"/>
      <c r="G863" s="242"/>
      <c r="H863" s="416"/>
      <c r="I863" s="23"/>
      <c r="J863" s="415"/>
      <c r="K863" s="242"/>
      <c r="L863" s="242"/>
      <c r="M863" s="416"/>
      <c r="N863" s="23"/>
      <c r="O863" s="415"/>
      <c r="P863" s="242"/>
      <c r="Q863" s="242"/>
      <c r="R863" s="416"/>
      <c r="S863" s="23"/>
      <c r="T863" s="415"/>
      <c r="U863" s="242"/>
      <c r="V863" s="242"/>
      <c r="W863" s="416"/>
      <c r="X863" s="23"/>
      <c r="Y863" s="415"/>
      <c r="Z863" s="242"/>
      <c r="AA863" s="242"/>
      <c r="AB863" s="416"/>
      <c r="AC863" s="23"/>
      <c r="AD863" s="415"/>
      <c r="AE863" s="242"/>
      <c r="AF863" s="242"/>
      <c r="AG863" s="416"/>
      <c r="AH863" s="23"/>
      <c r="AI863" s="415"/>
      <c r="AJ863" s="242"/>
      <c r="AK863" s="242"/>
      <c r="AL863" s="416"/>
      <c r="AM863" s="23"/>
      <c r="AN863" s="415"/>
      <c r="AO863" s="242"/>
      <c r="AP863" s="242"/>
      <c r="AQ863" s="416"/>
      <c r="AR863" s="23"/>
      <c r="AS863" s="415"/>
      <c r="AT863" s="242"/>
      <c r="AU863" s="242"/>
      <c r="AV863" s="416"/>
      <c r="AW863" s="23"/>
      <c r="AX863" s="415"/>
      <c r="AY863" s="242"/>
      <c r="AZ863" s="242"/>
      <c r="BA863" s="416"/>
      <c r="BB863" s="23"/>
      <c r="BC863" s="415"/>
      <c r="BD863" s="242"/>
      <c r="BE863" s="242"/>
      <c r="BF863" s="416"/>
      <c r="BG863" s="23"/>
      <c r="BH863" s="415"/>
      <c r="BI863" s="242"/>
      <c r="BJ863" s="242"/>
      <c r="BK863" s="416"/>
      <c r="BL863" s="23"/>
      <c r="BM863" s="415"/>
      <c r="BN863" s="242"/>
      <c r="BO863" s="242"/>
      <c r="BP863" s="416"/>
      <c r="BQ863" s="23"/>
      <c r="BR863" s="383"/>
      <c r="BS863" s="383"/>
      <c r="BT863"/>
    </row>
    <row r="864" spans="2:84">
      <c r="B864" s="45"/>
      <c r="C864" s="28" t="s">
        <v>340</v>
      </c>
      <c r="D864" s="45"/>
      <c r="E864" s="290"/>
      <c r="F864" s="260"/>
      <c r="G864" s="261"/>
      <c r="H864" s="291">
        <f>SUM(E37:H37)+SUM(E13:H13)+SUM(E821:H821)</f>
        <v>3190</v>
      </c>
      <c r="I864" s="45">
        <f>I37+I13</f>
        <v>2425</v>
      </c>
      <c r="J864" s="290">
        <f>SUM(J37,F37:H37)+SUM(J13,F13:H13)+SUM(J821,F821:H821)</f>
        <v>3070</v>
      </c>
      <c r="K864" s="260">
        <f>SUM(J37:K37,G37:H37)+SUM(J13:K13,G13:H13)+SUM(J821:K821,G821:H821)</f>
        <v>3051</v>
      </c>
      <c r="L864" s="260">
        <f>SUM(J37:L37,H37)+SUM(J13:L13,H13)+SUM(J821:L821,H821)</f>
        <v>3117</v>
      </c>
      <c r="M864" s="291">
        <f>SUM(J37:M37)+SUM(J13:M13)+SUM(J821:M821)</f>
        <v>3269</v>
      </c>
      <c r="N864" s="45">
        <f>N37+N13+N821</f>
        <v>3269</v>
      </c>
      <c r="O864" s="290">
        <f>SUM(O37,K37:M37)+SUM(O13,K13:M13)+SUM(O821,K821:M821)</f>
        <v>3483</v>
      </c>
      <c r="P864" s="260">
        <f>SUM(O37:P37,L37:M37)+SUM(O13:P13,L13:M13)+SUM(O821:P821,L821:M821)</f>
        <v>3589</v>
      </c>
      <c r="Q864" s="260">
        <f>SUM(O37:Q37,M37)+SUM(O13:Q13,M13)+SUM(O821:Q821,M821)</f>
        <v>3666</v>
      </c>
      <c r="R864" s="291">
        <f>SUM(O37:R37)+SUM(O13:R13)+SUM(O821:R821)</f>
        <v>3541</v>
      </c>
      <c r="S864" s="45">
        <f>S37+S13+S821</f>
        <v>3541</v>
      </c>
      <c r="T864" s="290">
        <f>SUM(T37,P37:R37)+SUM(T13,P13:R13)+SUM(T821,P821:R821)</f>
        <v>3456</v>
      </c>
      <c r="U864" s="260">
        <f>SUM(T37:U37,Q37:R37)+SUM(T13:U13,Q13:R13)+SUM(T821:U821,Q821:R821)</f>
        <v>3837</v>
      </c>
      <c r="V864" s="260">
        <f>SUM(T37:V37,R37)+SUM(T13:V13,R13)+SUM(T821:V821,R821)</f>
        <v>4132</v>
      </c>
      <c r="W864" s="291">
        <f>SUM(T37:W37)+SUM(T13:W13)+SUM(T821:W821)</f>
        <v>4514</v>
      </c>
      <c r="X864" s="45">
        <f>X37+X13+X821</f>
        <v>4514</v>
      </c>
      <c r="Y864" s="290">
        <f>SUM(Y37,U37:W37)+SUM(Y13,U13:W13)+SUM(Y821,U821:W821)</f>
        <v>4662</v>
      </c>
      <c r="Z864" s="260">
        <f>SUM(Y37:Z37,V37:W37)+SUM(Y13:Z13,V13:W13)+SUM(Y821:Z821,V821:W821)</f>
        <v>4330</v>
      </c>
      <c r="AA864" s="260">
        <f>SUM(Y37:AA37,W37)+SUM(Y13:AA13,W13)+SUM(Y821:AA821,W821)</f>
        <v>4107</v>
      </c>
      <c r="AB864" s="291">
        <f>SUM(Y37:AB37)+SUM(Y13:AB13)+SUM(Y821:AB821)</f>
        <v>3761</v>
      </c>
      <c r="AC864" s="45">
        <f>AC37+AC13+AC821</f>
        <v>3761</v>
      </c>
      <c r="AD864" s="290">
        <f>SUM(AD37,Z37:AB37)+SUM(AD13,Z13:AB13)+SUM(AD821,Z821:AB821)</f>
        <v>3552</v>
      </c>
      <c r="AE864" s="260">
        <f>SUM(AD37:AE37,AA37:AB37)+SUM(AD13:AE13,AA13:AB13)+SUM(AD821:AE821,AA821:AB821)</f>
        <v>3525</v>
      </c>
      <c r="AF864" s="260">
        <f>SUM(AD37:AF37,AB37)+SUM(AD13:AF13,AB13)+SUM(AD821:AF821,AB821)</f>
        <v>3579</v>
      </c>
      <c r="AG864" s="291">
        <f>SUM(AD37:AG37)+SUM(AD13:AG13)+SUM(AD821:AG821)</f>
        <v>3674</v>
      </c>
      <c r="AH864" s="45">
        <f>AH37+AH13+AH821</f>
        <v>3674</v>
      </c>
      <c r="AI864" s="290">
        <f>SUM(AI37,AE37:AG37)+SUM(AI13,AE13:AG13)+SUM(AI821,AE821:AG821)</f>
        <v>3753</v>
      </c>
      <c r="AJ864" s="260">
        <f>SUM(AI37:AJ37,AF37:AG37)+SUM(AI13:AJ13,AF13:AG13)+SUM(AI821:AJ821,AF821:AG821)</f>
        <v>3810</v>
      </c>
      <c r="AK864" s="260">
        <f>SUM(AI37:AK37,AG37)+SUM(AI13:AK13,AG13)+SUM(AI821:AK821,AG821)</f>
        <v>3897</v>
      </c>
      <c r="AL864" s="291">
        <f>SUM(AI37:AL37)+SUM(AI13:AL13)+SUM(AI821:AL821)</f>
        <v>3842</v>
      </c>
      <c r="AM864" s="45">
        <f>AM37+AM13+AM821</f>
        <v>3842</v>
      </c>
      <c r="AN864" s="290">
        <f>SUM(AN37,AJ37:AL37)+SUM(AN13,AJ13:AL13)+SUM(AN821,AJ821:AL821)</f>
        <v>3930</v>
      </c>
      <c r="AO864" s="260">
        <f>SUM(AN37:AO37,AK37:AL37)+SUM(AN13:AO13,AK13:AL13)+SUM(AN821:AO821,AK821:AL821)</f>
        <v>4085</v>
      </c>
      <c r="AP864" s="260">
        <f>SUM(AN37:AP37,AL37)+SUM(AN13:AP13,AL13)+SUM(AN821:AP821,AL821)</f>
        <v>4379</v>
      </c>
      <c r="AQ864" s="291">
        <f>SUM(AN37:AQ37)+SUM(AN13:AQ13)+SUM(AN821:AQ821)</f>
        <v>4700</v>
      </c>
      <c r="AR864" s="45">
        <f>AR37+AR13+AR821</f>
        <v>4700</v>
      </c>
      <c r="AS864" s="290">
        <f>SUM(AS37,AO37:AQ37)+SUM(AS13,AO13:AQ13)+SUM(AS821,AO821:AQ821)</f>
        <v>4568</v>
      </c>
      <c r="AT864" s="260">
        <f>SUM(AS37:AT37,AP37:AQ37)+SUM(AS13:AT13,AP13:AQ13)+SUM(AS821:AT821,AP821:AQ821)</f>
        <v>4379</v>
      </c>
      <c r="AU864" s="260">
        <f>SUM(AS37:AU37,AQ37)+SUM(AS13:AU13,AQ13)+SUM(AS821:AU821,AQ821)</f>
        <v>4117</v>
      </c>
      <c r="AV864" s="291">
        <f>SUM(AS37:AV37)+SUM(AS13:AV13)+SUM(AS821:AV821)</f>
        <v>4029</v>
      </c>
      <c r="AW864" s="45">
        <f>AW37+AW13+AW821</f>
        <v>4029</v>
      </c>
      <c r="AX864" s="290">
        <f>SUM(AX37,AT37:AV37)+SUM(AX13,AT13:AV13)+SUM(AX821,AT821:AV821)</f>
        <v>4093.1978907322255</v>
      </c>
      <c r="AY864" s="260">
        <f ca="1">SUM(AX37:AY37,AU37:AV37)+SUM(AX13:AY13,AU13:AV13)+SUM(AX821:AY821,AU821:AV821)</f>
        <v>3925.4781736814307</v>
      </c>
      <c r="AZ864" s="260">
        <f ca="1">SUM(AX37:AZ37,AV37)+SUM(AX13:AZ13,AV13)+SUM(AX821:AZ821,AV821)</f>
        <v>3726.5426391976448</v>
      </c>
      <c r="BA864" s="291">
        <f ca="1">SUM(AX37:BA37)+SUM(AX13:BA13)+SUM(AX821:BA821)</f>
        <v>3385.2105732044756</v>
      </c>
      <c r="BB864" s="45">
        <f ca="1">BB37+BB13+BB821</f>
        <v>3385.2105732044752</v>
      </c>
      <c r="BC864" s="290">
        <f ca="1">SUM(BC37,AY37:BA37)+SUM(BC13,AY13:BA13)+SUM(BC821,AY821:BA821)</f>
        <v>3450.7742694313947</v>
      </c>
      <c r="BD864" s="260">
        <f ca="1">SUM(BC37:BD37,AZ37:BA37)+SUM(BC13:BD13,AZ13:BA13)+SUM(BC821:BD821,AZ821:BA821)</f>
        <v>3367.0500875723828</v>
      </c>
      <c r="BE864" s="260">
        <f ca="1">SUM(BC37:BE37,BA37)+SUM(BC13:BE13,BA13)+SUM(BC821:BE821,BA821)</f>
        <v>3223.5822565056296</v>
      </c>
      <c r="BF864" s="291">
        <f ca="1">SUM(BC37:BF37)+SUM(BC13:BF13)+SUM(BC821:BF821)</f>
        <v>3111.6950228413202</v>
      </c>
      <c r="BG864" s="45">
        <f ca="1">BG37+BG13+BG821</f>
        <v>3111.6950228413198</v>
      </c>
      <c r="BH864" s="290">
        <f ca="1">SUM(BH37,BD37:BF37)+SUM(BH13,BD13:BF13)+SUM(BH821,BD821:BF821)</f>
        <v>2973.1948698285737</v>
      </c>
      <c r="BI864" s="260">
        <f ca="1">SUM(BH37:BI37,BE37:BF37)+SUM(BH13:BI13,BE13:BF13)+SUM(BH821:BI821,BE821:BF821)</f>
        <v>2861.8347709034028</v>
      </c>
      <c r="BJ864" s="260">
        <f ca="1">SUM(BH37:BJ37,BF37)+SUM(BH13:BJ13,BF13)+SUM(BH821:BJ821,BF821)</f>
        <v>2828.1261903484478</v>
      </c>
      <c r="BK864" s="291">
        <f ca="1">SUM(BH37:BK37)+SUM(BH13:BK13)+SUM(BH821:BK821)</f>
        <v>2833.5173506721017</v>
      </c>
      <c r="BL864" s="45">
        <f ca="1">BL37+BL13+BL821</f>
        <v>2833.517350672103</v>
      </c>
      <c r="BM864" s="290">
        <f ca="1">SUM(BM37,BI37:BK37)+SUM(BM13,BI13:BK13)+SUM(BM821,BI821:BK821)</f>
        <v>2746.3797744215881</v>
      </c>
      <c r="BN864" s="260">
        <f ca="1">SUM(BM37:BN37,BJ37:BK37)+SUM(BM13:BN13,BJ13:BK13)+SUM(BM821:BN821,BJ821:BK821)</f>
        <v>2815.1823417492315</v>
      </c>
      <c r="BO864" s="260">
        <f ca="1">SUM(BM37:BO37,BK37)+SUM(BM13:BO13,BK13)+SUM(BM821:BO821,BK821)</f>
        <v>2859.5117384090377</v>
      </c>
      <c r="BP864" s="291">
        <f ca="1">SUM(BM37:BP37)+SUM(BM13:BP13)+SUM(BM821:BP821)</f>
        <v>2911.8033956887057</v>
      </c>
      <c r="BQ864" s="45">
        <f ca="1">BQ37+BQ13+BQ821</f>
        <v>2911.8033956887061</v>
      </c>
      <c r="BR864"/>
      <c r="BS864"/>
      <c r="BT864"/>
    </row>
    <row r="865" spans="2:72">
      <c r="B865" s="45"/>
      <c r="C865" s="391" t="s">
        <v>227</v>
      </c>
      <c r="D865" s="45"/>
      <c r="E865" s="290"/>
      <c r="F865" s="260"/>
      <c r="G865" s="261"/>
      <c r="H865" s="291">
        <f>SUM(E23:H23)</f>
        <v>3668</v>
      </c>
      <c r="I865" s="45">
        <f>+I23</f>
        <v>3668</v>
      </c>
      <c r="J865" s="290">
        <f>SUM(J23,F23:H23)</f>
        <v>3884</v>
      </c>
      <c r="K865" s="260">
        <f>SUM(J23:K23,G23:H23)</f>
        <v>3447</v>
      </c>
      <c r="L865" s="260">
        <f>SUM(J23:L23,H23)</f>
        <v>3285</v>
      </c>
      <c r="M865" s="291">
        <f>SUM(J23:M23)</f>
        <v>3303</v>
      </c>
      <c r="N865" s="45">
        <f>+N23</f>
        <v>3303</v>
      </c>
      <c r="O865" s="290">
        <f>SUM(O23,K23:M23)</f>
        <v>3184</v>
      </c>
      <c r="P865" s="260">
        <f>SUM(O23:P23,L23:M23)</f>
        <v>3453</v>
      </c>
      <c r="Q865" s="260">
        <f>SUM(O23:Q23,M23)</f>
        <v>2968</v>
      </c>
      <c r="R865" s="291">
        <f>SUM(O23:R23)</f>
        <v>2997</v>
      </c>
      <c r="S865" s="45">
        <f>+S23</f>
        <v>2997</v>
      </c>
      <c r="T865" s="290">
        <f>SUM(T23,P23:R23)</f>
        <v>2571</v>
      </c>
      <c r="U865" s="260">
        <f>SUM(U23,Q23:S23)</f>
        <v>4703</v>
      </c>
      <c r="V865" s="260">
        <f>SUM(T23:V23,R23)</f>
        <v>1823</v>
      </c>
      <c r="W865" s="291">
        <f>SUM(T23:W23)</f>
        <v>1359</v>
      </c>
      <c r="X865" s="45">
        <f>+X23</f>
        <v>1359</v>
      </c>
      <c r="Y865" s="290">
        <f>SUM(Y23,U23:W23)</f>
        <v>973</v>
      </c>
      <c r="Z865" s="260">
        <f>SUM(Z23,V23:X23)</f>
        <v>2530</v>
      </c>
      <c r="AA865" s="260">
        <f>SUM(Y23:AA23,W23)</f>
        <v>1833</v>
      </c>
      <c r="AB865" s="291">
        <f>SUM(Y23:AB23)</f>
        <v>2032</v>
      </c>
      <c r="AC865" s="45">
        <f>+AC23</f>
        <v>2032</v>
      </c>
      <c r="AD865" s="290">
        <f>SUM(AD23,Z23:AB23)</f>
        <v>1669</v>
      </c>
      <c r="AE865" s="260">
        <f>SUM(AE23,AA23:AC23)</f>
        <v>4087</v>
      </c>
      <c r="AF865" s="260">
        <f>SUM(AD23:AF23,AB23)</f>
        <v>2130</v>
      </c>
      <c r="AG865" s="291">
        <f>SUM(AD23:AG23)</f>
        <v>1582</v>
      </c>
      <c r="AH865" s="45">
        <f>+AH23</f>
        <v>1582</v>
      </c>
      <c r="AI865" s="290">
        <f>SUM(AI23,AE23:AG23)</f>
        <v>2694</v>
      </c>
      <c r="AJ865" s="260">
        <f>SUM(AI23:AJ23,AF23:AG23)</f>
        <v>2707</v>
      </c>
      <c r="AK865" s="260">
        <f>SUM(AI23:AK23,AG23)</f>
        <v>1842</v>
      </c>
      <c r="AL865" s="291">
        <f>SUM(AI23:AL23)</f>
        <v>2207</v>
      </c>
      <c r="AM865" s="45">
        <f>+AM23</f>
        <v>2207</v>
      </c>
      <c r="AN865" s="290">
        <f>SUM(AN23,AJ23:AL23)</f>
        <v>1899</v>
      </c>
      <c r="AO865" s="260">
        <f>SUM(AN23:AO23,AK23:AL23)</f>
        <v>1325</v>
      </c>
      <c r="AP865" s="260">
        <f>SUM(AN23:AP23,AL23)</f>
        <v>1482</v>
      </c>
      <c r="AQ865" s="291">
        <f>SUM(AN23:AQ23)</f>
        <v>1212</v>
      </c>
      <c r="AR865" s="45">
        <f>+AR23</f>
        <v>1212</v>
      </c>
      <c r="AS865" s="290">
        <f>SUM(AS23,AO23:AQ23)</f>
        <v>1343</v>
      </c>
      <c r="AT865" s="260">
        <f>SUM(AS23:AT23,AP23:AQ23)</f>
        <v>952</v>
      </c>
      <c r="AU865" s="260">
        <f>SUM(AS23:AU23,AQ23)</f>
        <v>1132</v>
      </c>
      <c r="AV865" s="291">
        <f>SUM(AS23:AV23)</f>
        <v>1836</v>
      </c>
      <c r="AW865" s="45">
        <f>+AW23</f>
        <v>1836</v>
      </c>
      <c r="AX865" s="290">
        <f>SUM(AX23,AT23:AV23)</f>
        <v>1811.5171478850202</v>
      </c>
      <c r="AY865" s="260">
        <f>SUM(AX23:AY23,AU23:AV23)</f>
        <v>2551.9581331904446</v>
      </c>
      <c r="AZ865" s="260">
        <f>SUM(AX23:AZ23,AV23)</f>
        <v>2541.1831922405581</v>
      </c>
      <c r="BA865" s="291">
        <f>SUM(AX23:BA23)</f>
        <v>2106.9000114369851</v>
      </c>
      <c r="BB865" s="45">
        <f>+BB23</f>
        <v>2106.9000114369846</v>
      </c>
      <c r="BC865" s="290">
        <f>SUM(BC23,AY23:BA23)</f>
        <v>2217.9654080046694</v>
      </c>
      <c r="BD865" s="260">
        <f>SUM(BC23:BD23,AZ23:BA23)</f>
        <v>2091.8243798731187</v>
      </c>
      <c r="BE865" s="260">
        <f>SUM(BC23:BE23,BA23)</f>
        <v>1903.0536850497451</v>
      </c>
      <c r="BF865" s="291">
        <f>SUM(BC23:BF23)</f>
        <v>1743.2393914382653</v>
      </c>
      <c r="BG865" s="45">
        <f>+BG23</f>
        <v>1743.2393914382646</v>
      </c>
      <c r="BH865" s="290">
        <f>SUM(BH23,BD23:BF23)</f>
        <v>1578.6226944251212</v>
      </c>
      <c r="BI865" s="260">
        <f>SUM(BH23:BI23,BE23:BF23)</f>
        <v>1446.7450395441185</v>
      </c>
      <c r="BJ865" s="260">
        <f>SUM(BH23:BJ23,BF23)</f>
        <v>1438.6906709414607</v>
      </c>
      <c r="BK865" s="291">
        <f>SUM(BH23:BK23)</f>
        <v>1471.4558879934764</v>
      </c>
      <c r="BL865" s="45">
        <f>+BL23</f>
        <v>1471.4558879934775</v>
      </c>
      <c r="BM865" s="290">
        <f>SUM(BM23,BI23:BK23)</f>
        <v>1322.5350246940893</v>
      </c>
      <c r="BN865" s="260">
        <f>SUM(BM23:BN23,BJ23:BK23)</f>
        <v>1418.2926944394881</v>
      </c>
      <c r="BO865" s="260">
        <f>SUM(BM23:BO23,BK23)</f>
        <v>1463.4358089033833</v>
      </c>
      <c r="BP865" s="291">
        <f>SUM(BM23:BP23)</f>
        <v>1526.7950622716228</v>
      </c>
      <c r="BQ865" s="45">
        <f>+BQ23</f>
        <v>1526.7950622716235</v>
      </c>
      <c r="BR865"/>
      <c r="BS865"/>
      <c r="BT865"/>
    </row>
    <row r="866" spans="2:72">
      <c r="B866" s="45"/>
      <c r="C866" s="391" t="s">
        <v>228</v>
      </c>
      <c r="D866" s="45"/>
      <c r="E866" s="290"/>
      <c r="F866" s="260"/>
      <c r="G866" s="261"/>
      <c r="H866" s="291">
        <f>SUM(E24:H24)</f>
        <v>4001</v>
      </c>
      <c r="I866" s="45">
        <f>+I24</f>
        <v>4001</v>
      </c>
      <c r="J866" s="290">
        <f>SUM(J24,F24:H24)</f>
        <v>4250</v>
      </c>
      <c r="K866" s="260">
        <f>SUM(J24:K24,G24:H24)</f>
        <v>3856</v>
      </c>
      <c r="L866" s="260">
        <f>SUM(J24:L24,H24)</f>
        <v>3741</v>
      </c>
      <c r="M866" s="291">
        <f>SUM(J24:M24)</f>
        <v>3777</v>
      </c>
      <c r="N866" s="45">
        <f>+N24</f>
        <v>3777</v>
      </c>
      <c r="O866" s="290">
        <f>SUM(O24,K24:M24)</f>
        <v>3688</v>
      </c>
      <c r="P866" s="260">
        <f>SUM(O24:P24,L24:M24)</f>
        <v>3980</v>
      </c>
      <c r="Q866" s="260">
        <f>SUM(O24:Q24,M24)</f>
        <v>3513</v>
      </c>
      <c r="R866" s="291">
        <f>SUM(O24:R24)</f>
        <v>3567</v>
      </c>
      <c r="S866" s="45">
        <f>+S24</f>
        <v>3567</v>
      </c>
      <c r="T866" s="290">
        <f>SUM(T24,P24:R24)</f>
        <v>3155</v>
      </c>
      <c r="U866" s="260">
        <f>SUM(U24,Q24:S24)</f>
        <v>5770</v>
      </c>
      <c r="V866" s="260">
        <f>SUM(T24:V24,R24)</f>
        <v>2541</v>
      </c>
      <c r="W866" s="291">
        <f>SUM(T24:W24)</f>
        <v>2127</v>
      </c>
      <c r="X866" s="45">
        <f>+X24</f>
        <v>2127</v>
      </c>
      <c r="Y866" s="290">
        <f>SUM(Y24,U24:W24)</f>
        <v>1802</v>
      </c>
      <c r="Z866" s="260">
        <f>SUM(Z24,V24:X24)</f>
        <v>3919</v>
      </c>
      <c r="AA866" s="260">
        <f>SUM(Y24:AA24,W24)</f>
        <v>2679</v>
      </c>
      <c r="AB866" s="291">
        <f>SUM(Y24:AB24)</f>
        <v>2888</v>
      </c>
      <c r="AC866" s="45">
        <f>+AC24</f>
        <v>2888</v>
      </c>
      <c r="AD866" s="290">
        <f>SUM(AD24,Z24:AB24)</f>
        <v>2522</v>
      </c>
      <c r="AE866" s="260">
        <f>SUM(AE24,AA24:AC24)</f>
        <v>5629</v>
      </c>
      <c r="AF866" s="260">
        <f>SUM(AD24:AF24,AB24)</f>
        <v>3062</v>
      </c>
      <c r="AG866" s="291">
        <f>SUM(AD24:AG24)</f>
        <v>2549</v>
      </c>
      <c r="AH866" s="45">
        <f>+AH24</f>
        <v>2549</v>
      </c>
      <c r="AI866" s="290">
        <f>SUM(AI24,AE24:AG24)</f>
        <v>3704</v>
      </c>
      <c r="AJ866" s="260">
        <f>SUM(AI24:AJ24,AF24:AG24)</f>
        <v>3718</v>
      </c>
      <c r="AK866" s="260">
        <f>SUM(AI24:AK24,AG24)</f>
        <v>2864</v>
      </c>
      <c r="AL866" s="291">
        <f>SUM(AI24:AL24)</f>
        <v>3261</v>
      </c>
      <c r="AM866" s="45">
        <f>+AM24</f>
        <v>3261</v>
      </c>
      <c r="AN866" s="290">
        <f>SUM(AN24,AJ24:AL24)</f>
        <v>2988</v>
      </c>
      <c r="AO866" s="260">
        <f>SUM(AN24:AO24,AK24:AL24)</f>
        <v>2567</v>
      </c>
      <c r="AP866" s="260">
        <f>SUM(AN24:AP24,AL24)</f>
        <v>3092</v>
      </c>
      <c r="AQ866" s="291">
        <f>SUM(AN24:AQ24)</f>
        <v>3091</v>
      </c>
      <c r="AR866" s="45">
        <f>+AR24</f>
        <v>3091</v>
      </c>
      <c r="AS866" s="290">
        <f>SUM(AS24,AO24:AQ24)</f>
        <v>3235</v>
      </c>
      <c r="AT866" s="260">
        <f>SUM(AS24:AT24,AP24:AQ24)</f>
        <v>2770</v>
      </c>
      <c r="AU866" s="260">
        <f>SUM(AS24:AU24,AQ24)</f>
        <v>2728</v>
      </c>
      <c r="AV866" s="291">
        <f>SUM(AS24:AV24)</f>
        <v>3293</v>
      </c>
      <c r="AW866" s="45">
        <f>+AW24</f>
        <v>3293</v>
      </c>
      <c r="AX866" s="290">
        <f>SUM(AX24,AT24:AV24)</f>
        <v>3244.8391478850203</v>
      </c>
      <c r="AY866" s="260">
        <f>SUM(AX24:AY24,AU24:AV24)</f>
        <v>3930.7002839301304</v>
      </c>
      <c r="AZ866" s="260">
        <f>SUM(AX24:AZ24,AV24)</f>
        <v>3790.5029198502421</v>
      </c>
      <c r="BA866" s="291">
        <f>SUM(AX24:BA24)</f>
        <v>3226.9385380811555</v>
      </c>
      <c r="BB866" s="45">
        <f>+BB24</f>
        <v>3226.9385380811545</v>
      </c>
      <c r="BC866" s="290">
        <f>SUM(BC24,AY24:BA24)</f>
        <v>3349.2651049184578</v>
      </c>
      <c r="BD866" s="260">
        <f>SUM(BC24:BD24,AZ24:BA24)</f>
        <v>3235.2423191361722</v>
      </c>
      <c r="BE866" s="260">
        <f>SUM(BC24:BE24,BA24)</f>
        <v>3057.1109872464758</v>
      </c>
      <c r="BF866" s="291">
        <f>SUM(BC24:BF24)</f>
        <v>2906.4780020098838</v>
      </c>
      <c r="BG866" s="45">
        <f>+BG24</f>
        <v>2906.4780020098833</v>
      </c>
      <c r="BH866" s="290">
        <f>SUM(BH24,BD24:BF24)</f>
        <v>2742.8659642078633</v>
      </c>
      <c r="BI866" s="260">
        <f>SUM(BH24:BI24,BE24:BF24)</f>
        <v>2610.0429582515994</v>
      </c>
      <c r="BJ866" s="260">
        <f>SUM(BH24:BJ24,BF24)</f>
        <v>2601.2365154953873</v>
      </c>
      <c r="BK866" s="291">
        <f>SUM(BH24:BK24)</f>
        <v>2633.4401569598058</v>
      </c>
      <c r="BL866" s="45">
        <f>+BL24</f>
        <v>2633.4401569598072</v>
      </c>
      <c r="BM866" s="290">
        <f>SUM(BM24,BI24:BK24)</f>
        <v>2484.1454782218934</v>
      </c>
      <c r="BN866" s="260">
        <f>SUM(BM24:BN24,BJ24:BK24)</f>
        <v>2579.4942017981648</v>
      </c>
      <c r="BO866" s="260">
        <f>SUM(BM24:BO24,BK24)</f>
        <v>2624.317962578737</v>
      </c>
      <c r="BP866" s="291">
        <f>SUM(BM24:BP24)</f>
        <v>2687.4461668574731</v>
      </c>
      <c r="BQ866" s="45">
        <f>+BQ24</f>
        <v>2687.4461668574731</v>
      </c>
      <c r="BR866"/>
      <c r="BS866"/>
      <c r="BT866"/>
    </row>
    <row r="867" spans="2:72">
      <c r="B867" s="45"/>
      <c r="C867" s="391" t="s">
        <v>226</v>
      </c>
      <c r="D867" s="45"/>
      <c r="E867" s="290"/>
      <c r="F867" s="260"/>
      <c r="G867" s="261"/>
      <c r="H867" s="291">
        <f>SUM(E26:H26)</f>
        <v>113</v>
      </c>
      <c r="I867" s="45">
        <f>+I26</f>
        <v>113</v>
      </c>
      <c r="J867" s="290">
        <f>SUM(J26,F26:H26)</f>
        <v>119</v>
      </c>
      <c r="K867" s="260">
        <f>SUM(J26:K26,G26:H26)</f>
        <v>132</v>
      </c>
      <c r="L867" s="260">
        <f>SUM(J26:L26,H26)</f>
        <v>145</v>
      </c>
      <c r="M867" s="291">
        <f>SUM(J26:M26)</f>
        <v>153</v>
      </c>
      <c r="N867" s="45">
        <f>+N26</f>
        <v>153</v>
      </c>
      <c r="O867" s="290">
        <f>SUM(O26,K26:M26)</f>
        <v>163</v>
      </c>
      <c r="P867" s="260">
        <f>SUM(O26:P26,L26:M26)</f>
        <v>171</v>
      </c>
      <c r="Q867" s="260">
        <f>SUM(O26:Q26,M26)</f>
        <v>171</v>
      </c>
      <c r="R867" s="291">
        <f>SUM(O26:R26)</f>
        <v>170</v>
      </c>
      <c r="S867" s="45">
        <f>+S26</f>
        <v>170</v>
      </c>
      <c r="T867" s="290">
        <f>SUM(T26,P26:R26)</f>
        <v>179</v>
      </c>
      <c r="U867" s="260">
        <f>SUM(U26,Q26:S26)</f>
        <v>335</v>
      </c>
      <c r="V867" s="260">
        <f>SUM(T26:V26,R26)</f>
        <v>267</v>
      </c>
      <c r="W867" s="291">
        <f>SUM(T26:W26)</f>
        <v>301</v>
      </c>
      <c r="X867" s="45">
        <f>+X26</f>
        <v>301</v>
      </c>
      <c r="Y867" s="290">
        <f>SUM(Y26,U26:W26)</f>
        <v>329</v>
      </c>
      <c r="Z867" s="260">
        <f>SUM(Z26,V26:X26)</f>
        <v>556</v>
      </c>
      <c r="AA867" s="260">
        <f>SUM(Y26:AA26,W26)</f>
        <v>334</v>
      </c>
      <c r="AB867" s="291">
        <f>SUM(Y26:AB26)</f>
        <v>357</v>
      </c>
      <c r="AC867" s="45">
        <f>+AC26</f>
        <v>357</v>
      </c>
      <c r="AD867" s="290">
        <f>SUM(AD26,Z26:AB26)</f>
        <v>360</v>
      </c>
      <c r="AE867" s="260">
        <f>SUM(AE26,AA26:AC26)</f>
        <v>625</v>
      </c>
      <c r="AF867" s="260">
        <f>SUM(AD26:AF26,AB26)</f>
        <v>360</v>
      </c>
      <c r="AG867" s="291">
        <f>SUM(AD26:AG26)</f>
        <v>356</v>
      </c>
      <c r="AH867" s="45">
        <f>+AH26</f>
        <v>356</v>
      </c>
      <c r="AI867" s="290">
        <f>SUM(AI26,AE26:AG26)</f>
        <v>373</v>
      </c>
      <c r="AJ867" s="260">
        <f>SUM(AI26:AJ26,AF26:AG26)</f>
        <v>386</v>
      </c>
      <c r="AK867" s="260">
        <f>SUM(AI26:AK26,AG26)</f>
        <v>365</v>
      </c>
      <c r="AL867" s="291">
        <f>SUM(AI26:AL26)</f>
        <v>365</v>
      </c>
      <c r="AM867" s="45">
        <f>+AM26</f>
        <v>365</v>
      </c>
      <c r="AN867" s="290">
        <f>SUM(AN26,AJ26:AL26)</f>
        <v>360</v>
      </c>
      <c r="AO867" s="260">
        <f>SUM(AN26:AO26,AK26:AL26)</f>
        <v>360</v>
      </c>
      <c r="AP867" s="260">
        <f>SUM(AN26:AP26,AL26)</f>
        <v>369</v>
      </c>
      <c r="AQ867" s="291">
        <f>SUM(AN26:AQ26)</f>
        <v>364</v>
      </c>
      <c r="AR867" s="45">
        <f>+AR26</f>
        <v>364</v>
      </c>
      <c r="AS867" s="290">
        <f>SUM(AS26,AO26:AQ26)</f>
        <v>367</v>
      </c>
      <c r="AT867" s="260">
        <f>SUM(AS26:AT26,AP26:AQ26)</f>
        <v>397</v>
      </c>
      <c r="AU867" s="260">
        <f>SUM(AS26:AU26,AQ26)</f>
        <v>433</v>
      </c>
      <c r="AV867" s="291">
        <f>SUM(AS26:AV26)</f>
        <v>440</v>
      </c>
      <c r="AW867" s="45">
        <f>+AW26</f>
        <v>440</v>
      </c>
      <c r="AX867" s="290">
        <f>SUM(AX26,AT26:AV26)</f>
        <v>436.38499999999999</v>
      </c>
      <c r="AY867" s="260">
        <f ca="1">SUM(AX26:AY26,AU26:AV26)</f>
        <v>430.74445206210009</v>
      </c>
      <c r="AZ867" s="260">
        <f ca="1">SUM(AX26:AZ26,AV26)</f>
        <v>429.01565020575777</v>
      </c>
      <c r="BA867" s="291">
        <f ca="1">SUM(AX26:BA26)</f>
        <v>419.46996730788885</v>
      </c>
      <c r="BB867" s="45">
        <f ca="1">+BB26</f>
        <v>419.46996730788885</v>
      </c>
      <c r="BC867" s="290">
        <f ca="1">SUM(BC26,AY26:BA26)</f>
        <v>411.66062596850009</v>
      </c>
      <c r="BD867" s="260">
        <f ca="1">SUM(BC26:BD26,AZ26:BA26)</f>
        <v>402.39994308451281</v>
      </c>
      <c r="BE867" s="260">
        <f ca="1">SUM(BC26:BE26,BA26)</f>
        <v>392.9766928270169</v>
      </c>
      <c r="BF867" s="291">
        <f ca="1">SUM(BC26:BF26)</f>
        <v>391.2603242005074</v>
      </c>
      <c r="BG867" s="45">
        <f ca="1">+BG26</f>
        <v>391.2603242005074</v>
      </c>
      <c r="BH867" s="290">
        <f ca="1">SUM(BH26,BD26:BF26)</f>
        <v>390.73389112387281</v>
      </c>
      <c r="BI867" s="260">
        <f ca="1">SUM(BH26:BI26,BE26:BF26)</f>
        <v>392.74327503616462</v>
      </c>
      <c r="BJ867" s="260">
        <f ca="1">SUM(BH26:BJ26,BF26)</f>
        <v>395.95827418356794</v>
      </c>
      <c r="BK867" s="291">
        <f ca="1">SUM(BH26:BK26)</f>
        <v>390.52825193482494</v>
      </c>
      <c r="BL867" s="45">
        <f ca="1">+BL26</f>
        <v>390.52825193482494</v>
      </c>
      <c r="BM867" s="290">
        <f ca="1">SUM(BM26,BI26:BK26)</f>
        <v>377.94784772733368</v>
      </c>
      <c r="BN867" s="260">
        <f ca="1">SUM(BM26:BN26,BJ26:BK26)</f>
        <v>368.64144340079594</v>
      </c>
      <c r="BO867" s="260">
        <f ca="1">SUM(BM26:BO26,BK26)</f>
        <v>357.36086885888466</v>
      </c>
      <c r="BP867" s="291">
        <f ca="1">SUM(BM26:BP26)</f>
        <v>343.04816843850296</v>
      </c>
      <c r="BQ867" s="45">
        <f ca="1">+BQ26</f>
        <v>343.04816843850296</v>
      </c>
      <c r="BR867"/>
      <c r="BS867"/>
      <c r="BT867"/>
    </row>
    <row r="868" spans="2:72">
      <c r="B868" s="45"/>
      <c r="C868" s="391" t="s">
        <v>231</v>
      </c>
      <c r="D868" s="45"/>
      <c r="E868" s="290"/>
      <c r="F868" s="260"/>
      <c r="G868" s="261"/>
      <c r="H868" s="291">
        <f>SUM(E37:H37)</f>
        <v>2092</v>
      </c>
      <c r="I868" s="45">
        <f>I37</f>
        <v>2092</v>
      </c>
      <c r="J868" s="290">
        <f>SUM(J37,F37:H37)</f>
        <v>1921</v>
      </c>
      <c r="K868" s="260">
        <f>SUM(J37:K37,G37:H37)</f>
        <v>1834</v>
      </c>
      <c r="L868" s="260">
        <f>SUM(J37:L37,H37)</f>
        <v>1829</v>
      </c>
      <c r="M868" s="291">
        <f>SUM(J37:M37)</f>
        <v>1928</v>
      </c>
      <c r="N868" s="45">
        <f>N37</f>
        <v>1928</v>
      </c>
      <c r="O868" s="290">
        <f>SUM(O37,K37:M37)</f>
        <v>2091</v>
      </c>
      <c r="P868" s="260">
        <f>SUM(O37:P37,L37:M37)</f>
        <v>2158</v>
      </c>
      <c r="Q868" s="260">
        <f>SUM(O37:Q37,M37)</f>
        <v>2181</v>
      </c>
      <c r="R868" s="291">
        <f>SUM(O37:R37)</f>
        <v>2002</v>
      </c>
      <c r="S868" s="45">
        <f>S37</f>
        <v>2002</v>
      </c>
      <c r="T868" s="290">
        <f>SUM(T37,P37:R37)</f>
        <v>1734</v>
      </c>
      <c r="U868" s="260">
        <f>SUM(U37,Q37:S37)</f>
        <v>3283</v>
      </c>
      <c r="V868" s="260">
        <f>SUM(T37:V37,R37)</f>
        <v>1546</v>
      </c>
      <c r="W868" s="291">
        <f>SUM(T37:W37)</f>
        <v>1548</v>
      </c>
      <c r="X868" s="45">
        <f>X37</f>
        <v>1548</v>
      </c>
      <c r="Y868" s="290">
        <f>SUM(Y37,U37:W37)</f>
        <v>1555</v>
      </c>
      <c r="Z868" s="260">
        <f>SUM(Z37,V37:X37)</f>
        <v>2641</v>
      </c>
      <c r="AA868" s="260">
        <f>SUM(Y37:AA37,W37)</f>
        <v>1382</v>
      </c>
      <c r="AB868" s="291">
        <f>SUM(Y37:AB37)</f>
        <v>1202</v>
      </c>
      <c r="AC868" s="45">
        <f>AC37</f>
        <v>1202</v>
      </c>
      <c r="AD868" s="290">
        <f>SUM(AD37,Z37:AB37)</f>
        <v>1124</v>
      </c>
      <c r="AE868" s="260">
        <f>SUM(AE37,AA37:AC37)</f>
        <v>2026</v>
      </c>
      <c r="AF868" s="260">
        <f>SUM(AD37:AF37,AB37)</f>
        <v>1104</v>
      </c>
      <c r="AG868" s="291">
        <f>SUM(AD37:AG37)</f>
        <v>1155</v>
      </c>
      <c r="AH868" s="45">
        <f>AH37</f>
        <v>1155</v>
      </c>
      <c r="AI868" s="290">
        <f>SUM(AI37,AE37:AG37)</f>
        <v>1200</v>
      </c>
      <c r="AJ868" s="260">
        <f>SUM(AI37:AJ37,AF37:AG37)</f>
        <v>1278</v>
      </c>
      <c r="AK868" s="260">
        <f>SUM(AI37:AK37,AG37)</f>
        <v>1344</v>
      </c>
      <c r="AL868" s="291">
        <f>SUM(AI37:AL37)</f>
        <v>1253</v>
      </c>
      <c r="AM868" s="45">
        <f>AM37</f>
        <v>1253</v>
      </c>
      <c r="AN868" s="290">
        <f>SUM(AN37,AJ37:AL37)</f>
        <v>1265</v>
      </c>
      <c r="AO868" s="260">
        <f>SUM(AN37:AO37,AK37:AL37)</f>
        <v>1284</v>
      </c>
      <c r="AP868" s="260">
        <f>SUM(AN37:AP37,AL37)</f>
        <v>1161</v>
      </c>
      <c r="AQ868" s="291">
        <f>SUM(AN37:AQ37)</f>
        <v>1181</v>
      </c>
      <c r="AR868" s="45">
        <f>AR37</f>
        <v>1181</v>
      </c>
      <c r="AS868" s="290">
        <f>SUM(AS37,AO37:AQ37)</f>
        <v>1038</v>
      </c>
      <c r="AT868" s="260">
        <f>SUM(AS37:AT37,AP37:AQ37)</f>
        <v>912</v>
      </c>
      <c r="AU868" s="260">
        <f>SUM(AS37:AU37,AQ37)</f>
        <v>883</v>
      </c>
      <c r="AV868" s="291">
        <f>SUM(AS37:AV37)</f>
        <v>973</v>
      </c>
      <c r="AW868" s="45">
        <f>AW37</f>
        <v>973</v>
      </c>
      <c r="AX868" s="290">
        <f>SUM(AX37,AT37:AV37)</f>
        <v>1199.3758907322251</v>
      </c>
      <c r="AY868" s="260">
        <f ca="1">SUM(AX37:AY37,AU37:AV37)</f>
        <v>1251.736022941745</v>
      </c>
      <c r="AZ868" s="260">
        <f ca="1">SUM(AX37:AZ37,AV37)</f>
        <v>1350.7229115879611</v>
      </c>
      <c r="BA868" s="291">
        <f ca="1">SUM(AX37:BA37)</f>
        <v>1315.1720465603057</v>
      </c>
      <c r="BB868" s="45">
        <f ca="1">BB37</f>
        <v>1315.1720465603053</v>
      </c>
      <c r="BC868" s="290">
        <f ca="1">SUM(BC37,AY37:BA37)</f>
        <v>1381.9745725176067</v>
      </c>
      <c r="BD868" s="260">
        <f ca="1">SUM(BC37:BD37,AZ37:BA37)</f>
        <v>1298.6321483093288</v>
      </c>
      <c r="BE868" s="260">
        <f ca="1">SUM(BC37:BE37,BA37)</f>
        <v>1157.0249543088994</v>
      </c>
      <c r="BF868" s="291">
        <f ca="1">SUM(BC37:BF37)</f>
        <v>1048.4564122697018</v>
      </c>
      <c r="BG868" s="45">
        <f ca="1">BG37</f>
        <v>1048.4564122697011</v>
      </c>
      <c r="BH868" s="290">
        <f ca="1">SUM(BH37,BD37:BF37)</f>
        <v>927.70160004583147</v>
      </c>
      <c r="BI868" s="260">
        <f ca="1">SUM(BH37:BI37,BE37:BF37)</f>
        <v>836.03685219592182</v>
      </c>
      <c r="BJ868" s="260">
        <f ca="1">SUM(BH37:BJ37,BF37)</f>
        <v>821.83034579452112</v>
      </c>
      <c r="BK868" s="291">
        <f ca="1">SUM(BH37:BK37)</f>
        <v>846.53308170577202</v>
      </c>
      <c r="BL868" s="45">
        <f ca="1">BL37</f>
        <v>846.53308170577316</v>
      </c>
      <c r="BM868" s="290">
        <f ca="1">SUM(BM37,BI37:BK37)</f>
        <v>766.01932089378374</v>
      </c>
      <c r="BN868" s="260">
        <f ca="1">SUM(BM37:BN37,BJ37:BK37)</f>
        <v>841.48083439055449</v>
      </c>
      <c r="BO868" s="260">
        <f ca="1">SUM(BM37:BO37,BK37)</f>
        <v>892.37958473368462</v>
      </c>
      <c r="BP868" s="291">
        <f ca="1">SUM(BM37:BP37)</f>
        <v>951.15229110285554</v>
      </c>
      <c r="BQ868" s="45">
        <f ca="1">BQ37</f>
        <v>951.15229110285634</v>
      </c>
      <c r="BR868"/>
      <c r="BS868"/>
      <c r="BT868"/>
    </row>
    <row r="869" spans="2:72">
      <c r="B869" s="383"/>
      <c r="C869" s="383"/>
      <c r="D869" s="383"/>
      <c r="E869" s="613"/>
      <c r="F869" s="614"/>
      <c r="G869" s="614"/>
      <c r="H869" s="615"/>
      <c r="I869" s="383"/>
      <c r="J869" s="613"/>
      <c r="K869" s="614"/>
      <c r="L869" s="614"/>
      <c r="M869" s="615"/>
      <c r="N869" s="383"/>
      <c r="O869" s="613"/>
      <c r="P869" s="614"/>
      <c r="Q869" s="614"/>
      <c r="R869" s="615"/>
      <c r="S869" s="383"/>
      <c r="T869" s="613"/>
      <c r="U869" s="614"/>
      <c r="V869" s="614"/>
      <c r="W869" s="615"/>
      <c r="X869" s="383"/>
      <c r="Y869" s="613"/>
      <c r="Z869" s="614"/>
      <c r="AA869" s="614"/>
      <c r="AB869" s="615"/>
      <c r="AC869" s="383"/>
      <c r="AD869" s="613"/>
      <c r="AE869" s="614"/>
      <c r="AF869" s="614"/>
      <c r="AG869" s="615"/>
      <c r="AH869" s="383"/>
      <c r="AI869" s="613"/>
      <c r="AJ869" s="614"/>
      <c r="AK869" s="614"/>
      <c r="AL869" s="615"/>
      <c r="AM869" s="383"/>
      <c r="AN869" s="613"/>
      <c r="AO869" s="614"/>
      <c r="AP869" s="614"/>
      <c r="AQ869" s="615"/>
      <c r="AR869" s="383"/>
      <c r="AS869" s="613"/>
      <c r="AT869" s="614"/>
      <c r="AU869" s="614"/>
      <c r="AV869" s="615"/>
      <c r="AW869" s="383"/>
      <c r="AX869" s="613"/>
      <c r="AY869" s="614"/>
      <c r="AZ869" s="614"/>
      <c r="BA869" s="615"/>
      <c r="BB869" s="383"/>
      <c r="BC869" s="613"/>
      <c r="BD869" s="614"/>
      <c r="BE869" s="614"/>
      <c r="BF869" s="615"/>
      <c r="BG869" s="383"/>
      <c r="BH869" s="613"/>
      <c r="BI869" s="614"/>
      <c r="BJ869" s="614"/>
      <c r="BK869" s="615"/>
      <c r="BL869" s="383"/>
      <c r="BM869" s="613"/>
      <c r="BN869" s="614"/>
      <c r="BO869" s="614"/>
      <c r="BP869" s="615"/>
      <c r="BQ869" s="383"/>
      <c r="BR869"/>
      <c r="BS869"/>
      <c r="BT869"/>
    </row>
    <row r="870" spans="2:72">
      <c r="B870" s="383"/>
      <c r="C870" s="389" t="s">
        <v>374</v>
      </c>
      <c r="D870" s="383"/>
      <c r="E870" s="613"/>
      <c r="F870" s="614"/>
      <c r="G870" s="614"/>
      <c r="H870" s="615"/>
      <c r="I870" s="383"/>
      <c r="J870" s="613"/>
      <c r="K870" s="614"/>
      <c r="L870" s="614"/>
      <c r="M870" s="615"/>
      <c r="N870" s="383"/>
      <c r="O870" s="613"/>
      <c r="P870" s="614"/>
      <c r="Q870" s="614"/>
      <c r="R870" s="615"/>
      <c r="S870" s="383"/>
      <c r="T870" s="613"/>
      <c r="U870" s="614"/>
      <c r="V870" s="614"/>
      <c r="W870" s="615"/>
      <c r="X870" s="383"/>
      <c r="Y870" s="613"/>
      <c r="Z870" s="614"/>
      <c r="AA870" s="614"/>
      <c r="AB870" s="615"/>
      <c r="AC870" s="383"/>
      <c r="AD870" s="613"/>
      <c r="AE870" s="614"/>
      <c r="AF870" s="614"/>
      <c r="AG870" s="615"/>
      <c r="AH870" s="383"/>
      <c r="AI870" s="613"/>
      <c r="AJ870" s="614"/>
      <c r="AK870" s="614"/>
      <c r="AL870" s="615"/>
      <c r="AM870" s="383"/>
      <c r="AN870" s="613"/>
      <c r="AO870" s="614"/>
      <c r="AP870" s="614"/>
      <c r="AQ870" s="615"/>
      <c r="AR870" s="383"/>
      <c r="AS870" s="613"/>
      <c r="AT870" s="614"/>
      <c r="AU870" s="614"/>
      <c r="AV870" s="615"/>
      <c r="AW870" s="383"/>
      <c r="AX870" s="613"/>
      <c r="AY870" s="614"/>
      <c r="AZ870" s="614"/>
      <c r="BA870" s="615"/>
      <c r="BB870" s="383"/>
      <c r="BC870" s="613"/>
      <c r="BD870" s="614"/>
      <c r="BE870" s="614"/>
      <c r="BF870" s="615"/>
      <c r="BG870" s="383"/>
      <c r="BH870" s="613"/>
      <c r="BI870" s="614"/>
      <c r="BJ870" s="614"/>
      <c r="BK870" s="615"/>
      <c r="BL870" s="383"/>
      <c r="BM870" s="613"/>
      <c r="BN870" s="614"/>
      <c r="BO870" s="614"/>
      <c r="BP870" s="615"/>
      <c r="BQ870" s="383"/>
      <c r="BR870"/>
      <c r="BS870"/>
      <c r="BT870"/>
    </row>
    <row r="871" spans="2:72">
      <c r="B871" s="28"/>
      <c r="C871" s="28" t="s">
        <v>615</v>
      </c>
      <c r="D871" s="28"/>
      <c r="E871" s="303">
        <f t="shared" ref="E871:AR871" si="1395">E849/E859</f>
        <v>0.24044834307992202</v>
      </c>
      <c r="F871" s="239">
        <f t="shared" si="1395"/>
        <v>0.2482956229621579</v>
      </c>
      <c r="G871" s="239">
        <f t="shared" si="1395"/>
        <v>0.30660285211955463</v>
      </c>
      <c r="H871" s="304">
        <f t="shared" si="1395"/>
        <v>0.30593887355616889</v>
      </c>
      <c r="I871" s="546">
        <f t="shared" si="1395"/>
        <v>0.30593887355616889</v>
      </c>
      <c r="J871" s="303">
        <f t="shared" si="1395"/>
        <v>0.28133521391631405</v>
      </c>
      <c r="K871" s="239">
        <f t="shared" si="1395"/>
        <v>0.27509404078400318</v>
      </c>
      <c r="L871" s="239">
        <f t="shared" si="1395"/>
        <v>0.31446164371846402</v>
      </c>
      <c r="M871" s="304">
        <f t="shared" si="1395"/>
        <v>0.33904709243387704</v>
      </c>
      <c r="N871" s="546">
        <f t="shared" si="1395"/>
        <v>0.33904709243387704</v>
      </c>
      <c r="O871" s="303">
        <f t="shared" si="1395"/>
        <v>0.32620842572062086</v>
      </c>
      <c r="P871" s="239">
        <f t="shared" si="1395"/>
        <v>0.3208024422154383</v>
      </c>
      <c r="Q871" s="239">
        <f t="shared" si="1395"/>
        <v>0.3124840656072066</v>
      </c>
      <c r="R871" s="304">
        <f t="shared" si="1395"/>
        <v>0.29696333387174934</v>
      </c>
      <c r="S871" s="546">
        <f t="shared" si="1395"/>
        <v>0.29696333387174934</v>
      </c>
      <c r="T871" s="303">
        <f t="shared" si="1395"/>
        <v>0.32332765750425685</v>
      </c>
      <c r="U871" s="239">
        <f>U849/U859</f>
        <v>0.35451746367747522</v>
      </c>
      <c r="V871" s="239">
        <f t="shared" si="1395"/>
        <v>0.36489892749468689</v>
      </c>
      <c r="W871" s="304">
        <f t="shared" si="1395"/>
        <v>0.37340319361277446</v>
      </c>
      <c r="X871" s="546">
        <f t="shared" ref="X871:AC871" si="1396">X849/X859</f>
        <v>0.37340319361277446</v>
      </c>
      <c r="Y871" s="303">
        <f t="shared" si="1396"/>
        <v>0.38377480108772283</v>
      </c>
      <c r="Z871" s="239">
        <f t="shared" si="1396"/>
        <v>0.36699908415589699</v>
      </c>
      <c r="AA871" s="239">
        <f t="shared" si="1396"/>
        <v>0.38347083087802003</v>
      </c>
      <c r="AB871" s="304">
        <f t="shared" si="1396"/>
        <v>0.37746630201211173</v>
      </c>
      <c r="AC871" s="546">
        <f t="shared" si="1396"/>
        <v>0.37746630201211173</v>
      </c>
      <c r="AD871" s="303">
        <f t="shared" si="1395"/>
        <v>0.36795048143053644</v>
      </c>
      <c r="AE871" s="239">
        <f t="shared" si="1395"/>
        <v>0.37488139825218475</v>
      </c>
      <c r="AF871" s="239">
        <f t="shared" si="1395"/>
        <v>0.3888395569472356</v>
      </c>
      <c r="AG871" s="304">
        <f t="shared" si="1395"/>
        <v>0.39324452901998097</v>
      </c>
      <c r="AH871" s="546">
        <f t="shared" si="1395"/>
        <v>0.39324452901998097</v>
      </c>
      <c r="AI871" s="303">
        <f t="shared" si="1395"/>
        <v>0.39979285344381149</v>
      </c>
      <c r="AJ871" s="239">
        <f t="shared" si="1395"/>
        <v>0.42933460529453854</v>
      </c>
      <c r="AK871" s="239">
        <f t="shared" si="1395"/>
        <v>0.41226341597543653</v>
      </c>
      <c r="AL871" s="304">
        <f t="shared" si="1395"/>
        <v>0.4095542857142857</v>
      </c>
      <c r="AM871" s="546">
        <f t="shared" si="1395"/>
        <v>0.4095542857142857</v>
      </c>
      <c r="AN871" s="303">
        <f t="shared" si="1395"/>
        <v>0.3987138263665595</v>
      </c>
      <c r="AO871" s="239">
        <f t="shared" si="1395"/>
        <v>0.41048628090192885</v>
      </c>
      <c r="AP871" s="239">
        <f t="shared" ref="AP871" si="1397">AP849/AP859</f>
        <v>0.41997549575713572</v>
      </c>
      <c r="AQ871" s="304">
        <f t="shared" si="1395"/>
        <v>0.43027424686874333</v>
      </c>
      <c r="AR871" s="546">
        <f t="shared" si="1395"/>
        <v>0.43027424686874333</v>
      </c>
      <c r="AS871" s="303">
        <f t="shared" ref="AS871:BB871" si="1398">AS849/AS859</f>
        <v>0.44246885115062295</v>
      </c>
      <c r="AT871" s="239">
        <f t="shared" si="1398"/>
        <v>0.44119775646824677</v>
      </c>
      <c r="AU871" s="239">
        <f t="shared" ref="AU871:AW871" si="1399">AU849/AU859</f>
        <v>0.44633906403710122</v>
      </c>
      <c r="AV871" s="304">
        <f t="shared" si="1399"/>
        <v>0.39645440112894692</v>
      </c>
      <c r="AW871" s="546">
        <f t="shared" si="1399"/>
        <v>0.39645440112894692</v>
      </c>
      <c r="AX871" s="303">
        <f t="shared" ca="1" si="1398"/>
        <v>0.3925880790344673</v>
      </c>
      <c r="AY871" s="239">
        <f t="shared" ca="1" si="1398"/>
        <v>0.38770864588990678</v>
      </c>
      <c r="AZ871" s="239">
        <f t="shared" ca="1" si="1398"/>
        <v>0.38261440755874326</v>
      </c>
      <c r="BA871" s="304">
        <f t="shared" ca="1" si="1398"/>
        <v>0.3815182530437557</v>
      </c>
      <c r="BB871" s="546">
        <f t="shared" ca="1" si="1398"/>
        <v>0.3815182530437557</v>
      </c>
      <c r="BC871" s="303">
        <f t="shared" ref="BC871:BL871" ca="1" si="1400">BC849/BC859</f>
        <v>0.3764034235583365</v>
      </c>
      <c r="BD871" s="239">
        <f t="shared" ca="1" si="1400"/>
        <v>0.37606721389134612</v>
      </c>
      <c r="BE871" s="239">
        <f t="shared" ca="1" si="1400"/>
        <v>0.3735101631962337</v>
      </c>
      <c r="BF871" s="304">
        <f t="shared" ca="1" si="1400"/>
        <v>0.35787720674144308</v>
      </c>
      <c r="BG871" s="546">
        <f t="shared" ca="1" si="1400"/>
        <v>0.35787720674144308</v>
      </c>
      <c r="BH871" s="303">
        <f t="shared" ca="1" si="1400"/>
        <v>0.32586619144209639</v>
      </c>
      <c r="BI871" s="239">
        <f t="shared" ca="1" si="1400"/>
        <v>0.32690495423827248</v>
      </c>
      <c r="BJ871" s="239">
        <f t="shared" ca="1" si="1400"/>
        <v>0.31140514484486087</v>
      </c>
      <c r="BK871" s="304">
        <f t="shared" ca="1" si="1400"/>
        <v>0.28942525523080836</v>
      </c>
      <c r="BL871" s="546">
        <f t="shared" ca="1" si="1400"/>
        <v>0.28942525523080836</v>
      </c>
      <c r="BM871" s="303">
        <f t="shared" ref="BM871:BQ871" ca="1" si="1401">BM849/BM859</f>
        <v>0.25066841326058059</v>
      </c>
      <c r="BN871" s="239">
        <f t="shared" ca="1" si="1401"/>
        <v>0.2517306735061024</v>
      </c>
      <c r="BO871" s="239">
        <f t="shared" ca="1" si="1401"/>
        <v>0.25280151840744303</v>
      </c>
      <c r="BP871" s="304">
        <f t="shared" ca="1" si="1401"/>
        <v>0.25388105878098816</v>
      </c>
      <c r="BQ871" s="546">
        <f t="shared" ca="1" si="1401"/>
        <v>0.25388105878098816</v>
      </c>
      <c r="BR871"/>
      <c r="BS871"/>
      <c r="BT871"/>
    </row>
    <row r="872" spans="2:72">
      <c r="B872" s="28"/>
      <c r="C872" s="28" t="s">
        <v>1311</v>
      </c>
      <c r="D872" s="28"/>
      <c r="E872" s="303">
        <f t="shared" ref="E872:AR872" si="1402">+E850/E859</f>
        <v>0.24044834307992202</v>
      </c>
      <c r="F872" s="239">
        <f t="shared" si="1402"/>
        <v>0.2482956229621579</v>
      </c>
      <c r="G872" s="239">
        <f t="shared" si="1402"/>
        <v>0.30660285211955463</v>
      </c>
      <c r="H872" s="304">
        <f t="shared" si="1402"/>
        <v>0.30593887355616889</v>
      </c>
      <c r="I872" s="546">
        <f t="shared" si="1402"/>
        <v>0.30593887355616889</v>
      </c>
      <c r="J872" s="303">
        <f t="shared" si="1402"/>
        <v>0.28133521391631405</v>
      </c>
      <c r="K872" s="239">
        <f t="shared" si="1402"/>
        <v>0.27509404078400318</v>
      </c>
      <c r="L872" s="239">
        <f t="shared" si="1402"/>
        <v>0.31446164371846402</v>
      </c>
      <c r="M872" s="304">
        <f t="shared" si="1402"/>
        <v>0.33904709243387704</v>
      </c>
      <c r="N872" s="546">
        <f t="shared" si="1402"/>
        <v>0.33904709243387704</v>
      </c>
      <c r="O872" s="303">
        <f t="shared" si="1402"/>
        <v>0.32620842572062086</v>
      </c>
      <c r="P872" s="239">
        <f t="shared" si="1402"/>
        <v>0.3208024422154383</v>
      </c>
      <c r="Q872" s="239">
        <f t="shared" si="1402"/>
        <v>0.31860287243987423</v>
      </c>
      <c r="R872" s="304">
        <f t="shared" si="1402"/>
        <v>0.29712485866580518</v>
      </c>
      <c r="S872" s="546">
        <f t="shared" si="1402"/>
        <v>0.29712485866580518</v>
      </c>
      <c r="T872" s="303">
        <f t="shared" si="1402"/>
        <v>0.32887375334468499</v>
      </c>
      <c r="U872" s="239">
        <f>+U850/U859</f>
        <v>0.35499855672086983</v>
      </c>
      <c r="V872" s="239">
        <f t="shared" si="1402"/>
        <v>0.36544259378243465</v>
      </c>
      <c r="W872" s="304">
        <f t="shared" si="1402"/>
        <v>0.37340319361277446</v>
      </c>
      <c r="X872" s="546">
        <f t="shared" ref="X872:AC872" si="1403">+X850/X859</f>
        <v>0.37340319361277446</v>
      </c>
      <c r="Y872" s="303">
        <f t="shared" si="1403"/>
        <v>0.38442944908852855</v>
      </c>
      <c r="Z872" s="239">
        <f t="shared" si="1403"/>
        <v>0.38165258980360234</v>
      </c>
      <c r="AA872" s="239">
        <f t="shared" si="1403"/>
        <v>0.38450206246317031</v>
      </c>
      <c r="AB872" s="304">
        <f t="shared" si="1403"/>
        <v>0.37854073061144755</v>
      </c>
      <c r="AC872" s="546">
        <f t="shared" si="1403"/>
        <v>0.37854073061144755</v>
      </c>
      <c r="AD872" s="303">
        <f t="shared" si="1402"/>
        <v>0.38647081941442324</v>
      </c>
      <c r="AE872" s="239">
        <f t="shared" si="1402"/>
        <v>0.37752808988764047</v>
      </c>
      <c r="AF872" s="239">
        <f t="shared" si="1402"/>
        <v>0.3894938542786372</v>
      </c>
      <c r="AG872" s="304">
        <f t="shared" si="1402"/>
        <v>0.39495718363463367</v>
      </c>
      <c r="AH872" s="546">
        <f t="shared" si="1402"/>
        <v>0.39495718363463367</v>
      </c>
      <c r="AI872" s="303">
        <f t="shared" si="1402"/>
        <v>0.44503554446589144</v>
      </c>
      <c r="AJ872" s="239">
        <f t="shared" si="1402"/>
        <v>0.46167421893632243</v>
      </c>
      <c r="AK872" s="239">
        <f t="shared" si="1402"/>
        <v>0.46844782548920766</v>
      </c>
      <c r="AL872" s="304">
        <f t="shared" si="1402"/>
        <v>0.4681142857142857</v>
      </c>
      <c r="AM872" s="546">
        <f t="shared" si="1402"/>
        <v>0.4681142857142857</v>
      </c>
      <c r="AN872" s="303">
        <f t="shared" si="1402"/>
        <v>0.4688367176144122</v>
      </c>
      <c r="AO872" s="239">
        <f t="shared" si="1402"/>
        <v>0.45689577107670015</v>
      </c>
      <c r="AP872" s="239">
        <f t="shared" ref="AP872" si="1404">+AP850/AP859</f>
        <v>0.44270998774787856</v>
      </c>
      <c r="AQ872" s="304">
        <f t="shared" si="1402"/>
        <v>0.46538157098291194</v>
      </c>
      <c r="AR872" s="546">
        <f t="shared" si="1402"/>
        <v>0.46538157098291194</v>
      </c>
      <c r="AS872" s="303">
        <f t="shared" ref="AS872:BB872" si="1405">+AS850/AS859</f>
        <v>0.47665499046690019</v>
      </c>
      <c r="AT872" s="239">
        <f t="shared" si="1405"/>
        <v>0.48493757915686631</v>
      </c>
      <c r="AU872" s="239">
        <f t="shared" ref="AU872:AW872" si="1406">+AU850/AU859</f>
        <v>0.45748817164004307</v>
      </c>
      <c r="AV872" s="304">
        <f t="shared" si="1406"/>
        <v>0.39892397248191919</v>
      </c>
      <c r="AW872" s="546">
        <f t="shared" si="1406"/>
        <v>0.39892397248191919</v>
      </c>
      <c r="AX872" s="303">
        <f t="shared" ca="1" si="1405"/>
        <v>0.3925880790344673</v>
      </c>
      <c r="AY872" s="239">
        <f t="shared" ca="1" si="1405"/>
        <v>0.38770864588990678</v>
      </c>
      <c r="AZ872" s="239">
        <f t="shared" ca="1" si="1405"/>
        <v>0.38261440755874326</v>
      </c>
      <c r="BA872" s="304">
        <f t="shared" ca="1" si="1405"/>
        <v>0.3815182530437557</v>
      </c>
      <c r="BB872" s="546">
        <f t="shared" ca="1" si="1405"/>
        <v>0.3815182530437557</v>
      </c>
      <c r="BC872" s="303">
        <f t="shared" ref="BC872:BL872" ca="1" si="1407">+BC850/BC859</f>
        <v>0.3764034235583365</v>
      </c>
      <c r="BD872" s="239">
        <f t="shared" ca="1" si="1407"/>
        <v>0.37606721389134612</v>
      </c>
      <c r="BE872" s="239">
        <f t="shared" ca="1" si="1407"/>
        <v>0.3735101631962337</v>
      </c>
      <c r="BF872" s="304">
        <f t="shared" ca="1" si="1407"/>
        <v>0.35787720674144308</v>
      </c>
      <c r="BG872" s="546">
        <f t="shared" ca="1" si="1407"/>
        <v>0.35787720674144308</v>
      </c>
      <c r="BH872" s="303">
        <f t="shared" ca="1" si="1407"/>
        <v>0.32586619144209639</v>
      </c>
      <c r="BI872" s="239">
        <f t="shared" ca="1" si="1407"/>
        <v>0.32690495423827248</v>
      </c>
      <c r="BJ872" s="239">
        <f t="shared" ca="1" si="1407"/>
        <v>0.31140514484486087</v>
      </c>
      <c r="BK872" s="304">
        <f t="shared" ca="1" si="1407"/>
        <v>0.30457996166131396</v>
      </c>
      <c r="BL872" s="546">
        <f t="shared" ca="1" si="1407"/>
        <v>0.30457996166131396</v>
      </c>
      <c r="BM872" s="303">
        <f t="shared" ref="BM872:BQ872" ca="1" si="1408">+BM850/BM859</f>
        <v>0.29635529888463369</v>
      </c>
      <c r="BN872" s="239">
        <f t="shared" ca="1" si="1408"/>
        <v>0.29314895969910754</v>
      </c>
      <c r="BO872" s="239">
        <f t="shared" ca="1" si="1408"/>
        <v>0.28119457733375097</v>
      </c>
      <c r="BP872" s="304">
        <f t="shared" ca="1" si="1408"/>
        <v>0.27618017282354929</v>
      </c>
      <c r="BQ872" s="546">
        <f t="shared" ca="1" si="1408"/>
        <v>0.27618017282354929</v>
      </c>
      <c r="BR872"/>
      <c r="BS872"/>
      <c r="BT872"/>
    </row>
    <row r="873" spans="2:72">
      <c r="B873" s="28"/>
      <c r="C873" s="28" t="s">
        <v>614</v>
      </c>
      <c r="D873" s="28"/>
      <c r="E873" s="415"/>
      <c r="F873" s="242"/>
      <c r="G873" s="242"/>
      <c r="H873" s="666">
        <f>(H850-H846)/H866</f>
        <v>0.4733816545863534</v>
      </c>
      <c r="I873" s="229">
        <f>(I850-I846)/I24</f>
        <v>0.4733816545863534</v>
      </c>
      <c r="J873" s="667">
        <f t="shared" ref="J873:AR873" si="1409">(J850-J846)/J866</f>
        <v>0.29152941176470587</v>
      </c>
      <c r="K873" s="240">
        <f t="shared" si="1409"/>
        <v>0.50077800829875518</v>
      </c>
      <c r="L873" s="240">
        <f t="shared" si="1409"/>
        <v>0.39240844693932103</v>
      </c>
      <c r="M873" s="666">
        <f t="shared" si="1409"/>
        <v>0.85332274291765953</v>
      </c>
      <c r="N873" s="229">
        <f t="shared" si="1409"/>
        <v>0.85332274291765953</v>
      </c>
      <c r="O873" s="667">
        <f t="shared" si="1409"/>
        <v>0.95037960954446854</v>
      </c>
      <c r="P873" s="240">
        <f t="shared" si="1409"/>
        <v>0.89673366834170853</v>
      </c>
      <c r="Q873" s="240">
        <f t="shared" si="1409"/>
        <v>1.026473099914603</v>
      </c>
      <c r="R873" s="666">
        <f t="shared" si="1409"/>
        <v>0.89234650967199325</v>
      </c>
      <c r="S873" s="229">
        <f t="shared" si="1409"/>
        <v>0.89234650967199325</v>
      </c>
      <c r="T873" s="667">
        <f t="shared" si="1409"/>
        <v>2.0732171156893817</v>
      </c>
      <c r="U873" s="240">
        <f>(U850-U846)/U866</f>
        <v>1.1176776429809359</v>
      </c>
      <c r="V873" s="240">
        <f t="shared" si="1409"/>
        <v>2.5832349468713107</v>
      </c>
      <c r="W873" s="666">
        <f t="shared" si="1409"/>
        <v>3.2026328161730135</v>
      </c>
      <c r="X873" s="229">
        <f t="shared" ref="X873:AC873" si="1410">(X850-X846)/X866</f>
        <v>3.2026328161730135</v>
      </c>
      <c r="Y873" s="667">
        <f t="shared" si="1410"/>
        <v>4.111542730299667</v>
      </c>
      <c r="Z873" s="240">
        <f t="shared" si="1410"/>
        <v>1.8573615718295484</v>
      </c>
      <c r="AA873" s="240">
        <f t="shared" si="1410"/>
        <v>2.5763344531541619</v>
      </c>
      <c r="AB873" s="666">
        <f t="shared" si="1410"/>
        <v>2.2482686980609419</v>
      </c>
      <c r="AC873" s="229">
        <f t="shared" si="1410"/>
        <v>2.2482686980609419</v>
      </c>
      <c r="AD873" s="667">
        <f t="shared" si="1409"/>
        <v>2.8949246629659</v>
      </c>
      <c r="AE873" s="240">
        <f t="shared" si="1409"/>
        <v>1.2888612542192219</v>
      </c>
      <c r="AF873" s="240">
        <f t="shared" si="1409"/>
        <v>2.2935989549314173</v>
      </c>
      <c r="AG873" s="666">
        <f t="shared" si="1409"/>
        <v>2.950961161239702</v>
      </c>
      <c r="AH873" s="229">
        <f t="shared" si="1409"/>
        <v>2.950961161239702</v>
      </c>
      <c r="AI873" s="667">
        <f t="shared" si="1409"/>
        <v>2.4084773218142548</v>
      </c>
      <c r="AJ873" s="240">
        <f t="shared" si="1409"/>
        <v>2.4806347498655192</v>
      </c>
      <c r="AK873" s="240">
        <f t="shared" si="1409"/>
        <v>3.378840782122905</v>
      </c>
      <c r="AL873" s="666">
        <f t="shared" si="1409"/>
        <v>3.007973014412757</v>
      </c>
      <c r="AM873" s="229">
        <f t="shared" si="1409"/>
        <v>3.007973014412757</v>
      </c>
      <c r="AN873" s="667">
        <f t="shared" si="1409"/>
        <v>3.4360776439089693</v>
      </c>
      <c r="AO873" s="240">
        <f t="shared" si="1409"/>
        <v>3.7857421114141019</v>
      </c>
      <c r="AP873" s="240">
        <f t="shared" ref="AP873" si="1411">(AP850-AP846)/AP866</f>
        <v>3.0339586028460541</v>
      </c>
      <c r="AQ873" s="666">
        <f t="shared" si="1409"/>
        <v>3.1397605952766097</v>
      </c>
      <c r="AR873" s="229">
        <f t="shared" si="1409"/>
        <v>3.1397605952766097</v>
      </c>
      <c r="AS873" s="667">
        <f t="shared" ref="AS873:BB873" si="1412">(AS850-AS846)/AS866</f>
        <v>3.1993817619783615</v>
      </c>
      <c r="AT873" s="240">
        <f t="shared" si="1412"/>
        <v>3.7747292418772562</v>
      </c>
      <c r="AU873" s="240">
        <f t="shared" ref="AU873:AW873" si="1413">(AU850-AU846)/AU866</f>
        <v>3.4479472140762462</v>
      </c>
      <c r="AV873" s="666">
        <f t="shared" si="1413"/>
        <v>2.6207105982386882</v>
      </c>
      <c r="AW873" s="229">
        <f t="shared" si="1413"/>
        <v>2.6207105982386882</v>
      </c>
      <c r="AX873" s="667">
        <f t="shared" ca="1" si="1412"/>
        <v>2.5834195295331988</v>
      </c>
      <c r="AY873" s="240">
        <f t="shared" ca="1" si="1412"/>
        <v>2.1061079857215139</v>
      </c>
      <c r="AZ873" s="240">
        <f t="shared" ca="1" si="1412"/>
        <v>2.1056291674969718</v>
      </c>
      <c r="BA873" s="666">
        <f t="shared" ca="1" si="1412"/>
        <v>2.4520777807530485</v>
      </c>
      <c r="BB873" s="229">
        <f t="shared" ca="1" si="1412"/>
        <v>2.4520777807530489</v>
      </c>
      <c r="BC873" s="667">
        <f t="shared" ref="BC873:BL873" ca="1" si="1414">(BC850-BC846)/BC866</f>
        <v>2.2419652875017713</v>
      </c>
      <c r="BD873" s="240">
        <f t="shared" ca="1" si="1414"/>
        <v>2.2864974783390832</v>
      </c>
      <c r="BE873" s="240">
        <f t="shared" ca="1" si="1414"/>
        <v>2.3397155686050262</v>
      </c>
      <c r="BF873" s="666">
        <f t="shared" ca="1" si="1414"/>
        <v>2.4445335104208903</v>
      </c>
      <c r="BG873" s="229">
        <f t="shared" ca="1" si="1414"/>
        <v>2.4445335104208912</v>
      </c>
      <c r="BH873" s="667">
        <f t="shared" ca="1" si="1414"/>
        <v>2.4947179551348038</v>
      </c>
      <c r="BI873" s="240">
        <f t="shared" ca="1" si="1414"/>
        <v>2.6227294366172518</v>
      </c>
      <c r="BJ873" s="240">
        <f t="shared" ca="1" si="1414"/>
        <v>2.5516726119205049</v>
      </c>
      <c r="BK873" s="666">
        <f t="shared" ca="1" si="1414"/>
        <v>2.501400165031753</v>
      </c>
      <c r="BL873" s="229">
        <f t="shared" ca="1" si="1414"/>
        <v>2.5014001650317517</v>
      </c>
      <c r="BM873" s="667">
        <f t="shared" ref="BM873:BQ873" ca="1" si="1415">(BM850-BM846)/BM866</f>
        <v>2.5692808409843675</v>
      </c>
      <c r="BN873" s="240">
        <f t="shared" ca="1" si="1415"/>
        <v>2.437211298023902</v>
      </c>
      <c r="BO873" s="240">
        <f t="shared" ca="1" si="1415"/>
        <v>2.2881596836854321</v>
      </c>
      <c r="BP873" s="666">
        <f t="shared" ca="1" si="1415"/>
        <v>2.1852339635715619</v>
      </c>
      <c r="BQ873" s="229">
        <f t="shared" ca="1" si="1415"/>
        <v>2.1852339635715619</v>
      </c>
      <c r="BR873"/>
      <c r="BS873"/>
      <c r="BT873"/>
    </row>
    <row r="874" spans="2:72">
      <c r="B874" s="28"/>
      <c r="C874" s="28" t="s">
        <v>393</v>
      </c>
      <c r="D874" s="28"/>
      <c r="E874" s="415"/>
      <c r="F874" s="242"/>
      <c r="G874" s="242"/>
      <c r="H874" s="304">
        <f t="shared" ref="H874:AR874" si="1416">H864/H850</f>
        <v>1.0658202472435683</v>
      </c>
      <c r="I874" s="546">
        <f t="shared" si="1416"/>
        <v>0.8102238556632142</v>
      </c>
      <c r="J874" s="303">
        <f t="shared" si="1416"/>
        <v>1.0260695187165776</v>
      </c>
      <c r="K874" s="239">
        <f t="shared" si="1416"/>
        <v>1.0978769341489745</v>
      </c>
      <c r="L874" s="239">
        <f t="shared" si="1416"/>
        <v>0.84770193092194723</v>
      </c>
      <c r="M874" s="304">
        <f t="shared" si="1416"/>
        <v>0.88855667300896979</v>
      </c>
      <c r="N874" s="546">
        <f t="shared" si="1416"/>
        <v>0.88855667300896979</v>
      </c>
      <c r="O874" s="303">
        <f t="shared" si="1416"/>
        <v>0.94698205546492664</v>
      </c>
      <c r="P874" s="239">
        <f t="shared" si="1416"/>
        <v>0.97580206634040234</v>
      </c>
      <c r="Q874" s="239">
        <f t="shared" si="1416"/>
        <v>0.97786076287009871</v>
      </c>
      <c r="R874" s="304">
        <f t="shared" si="1416"/>
        <v>0.9624898070127752</v>
      </c>
      <c r="S874" s="546">
        <f t="shared" si="1416"/>
        <v>0.9624898070127752</v>
      </c>
      <c r="T874" s="303">
        <f t="shared" si="1416"/>
        <v>0.51124260355029583</v>
      </c>
      <c r="U874" s="239">
        <f>U864/U850</f>
        <v>0.51998915842255045</v>
      </c>
      <c r="V874" s="239">
        <f t="shared" si="1416"/>
        <v>0.55883148498782798</v>
      </c>
      <c r="W874" s="304">
        <f t="shared" si="1416"/>
        <v>0.60323399706000269</v>
      </c>
      <c r="X874" s="546">
        <f t="shared" ref="X874:AC874" si="1417">X864/X850</f>
        <v>0.60323399706000269</v>
      </c>
      <c r="Y874" s="303">
        <f t="shared" si="1417"/>
        <v>0.61068902279276915</v>
      </c>
      <c r="Z874" s="239">
        <f t="shared" si="1417"/>
        <v>0.57725636581789097</v>
      </c>
      <c r="AA874" s="239">
        <f t="shared" si="1417"/>
        <v>0.52452107279693483</v>
      </c>
      <c r="AB874" s="304">
        <f t="shared" si="1417"/>
        <v>0.48522771255321895</v>
      </c>
      <c r="AC874" s="546">
        <f t="shared" si="1417"/>
        <v>0.48522771255321895</v>
      </c>
      <c r="AD874" s="303">
        <f t="shared" si="1416"/>
        <v>0.45150629210626669</v>
      </c>
      <c r="AE874" s="239">
        <f t="shared" si="1416"/>
        <v>0.46626984126984128</v>
      </c>
      <c r="AF874" s="239">
        <f t="shared" si="1416"/>
        <v>0.42944564434845212</v>
      </c>
      <c r="AG874" s="304">
        <f t="shared" si="1416"/>
        <v>0.44254396530956397</v>
      </c>
      <c r="AH874" s="546">
        <f t="shared" si="1416"/>
        <v>0.44254396530956397</v>
      </c>
      <c r="AI874" s="303">
        <f t="shared" si="1416"/>
        <v>0.39701682005712474</v>
      </c>
      <c r="AJ874" s="239">
        <f t="shared" si="1416"/>
        <v>0.39363570616799254</v>
      </c>
      <c r="AK874" s="239">
        <f t="shared" si="1416"/>
        <v>0.38123654862062217</v>
      </c>
      <c r="AL874" s="304">
        <f t="shared" si="1416"/>
        <v>0.37519531249999999</v>
      </c>
      <c r="AM874" s="546">
        <f t="shared" si="1416"/>
        <v>0.37519531249999999</v>
      </c>
      <c r="AN874" s="303">
        <f t="shared" si="1416"/>
        <v>0.36922209695603159</v>
      </c>
      <c r="AO874" s="239">
        <f t="shared" si="1416"/>
        <v>0.40481617282727184</v>
      </c>
      <c r="AP874" s="239">
        <f t="shared" ref="AP874" si="1418">AP864/AP850</f>
        <v>0.44885198851988523</v>
      </c>
      <c r="AQ874" s="304">
        <f t="shared" si="1416"/>
        <v>0.47023511755877939</v>
      </c>
      <c r="AR874" s="546">
        <f t="shared" si="1416"/>
        <v>0.47023511755877939</v>
      </c>
      <c r="AS874" s="303">
        <f t="shared" ref="AS874:BB874" si="1419">AS864/AS850</f>
        <v>0.42493023255813955</v>
      </c>
      <c r="AT874" s="239">
        <f t="shared" si="1419"/>
        <v>0.40845070422535212</v>
      </c>
      <c r="AU874" s="239">
        <f t="shared" ref="AU874:AW874" si="1420">AU864/AU850</f>
        <v>0.42156461191890232</v>
      </c>
      <c r="AV874" s="304">
        <f t="shared" si="1420"/>
        <v>0.44539022772496129</v>
      </c>
      <c r="AW874" s="546">
        <f t="shared" si="1420"/>
        <v>0.44539022772496129</v>
      </c>
      <c r="AX874" s="303">
        <f t="shared" ca="1" si="1419"/>
        <v>0.45632083508720461</v>
      </c>
      <c r="AY874" s="239">
        <f t="shared" ca="1" si="1419"/>
        <v>0.44335646867872497</v>
      </c>
      <c r="AZ874" s="239">
        <f t="shared" ca="1" si="1419"/>
        <v>0.4211258491578308</v>
      </c>
      <c r="BA874" s="304">
        <f t="shared" ca="1" si="1419"/>
        <v>0.38255289560452882</v>
      </c>
      <c r="BB874" s="546">
        <f t="shared" ca="1" si="1419"/>
        <v>0.38255289560452876</v>
      </c>
      <c r="BC874" s="303">
        <f t="shared" ref="BC874:BL874" ca="1" si="1421">BC864/BC850</f>
        <v>0.38996206005553108</v>
      </c>
      <c r="BD874" s="239">
        <f t="shared" ca="1" si="1421"/>
        <v>0.3805006314354597</v>
      </c>
      <c r="BE874" s="239">
        <f t="shared" ca="1" si="1421"/>
        <v>0.36445248801646463</v>
      </c>
      <c r="BF874" s="304">
        <f t="shared" ca="1" si="1421"/>
        <v>0.37740388391040874</v>
      </c>
      <c r="BG874" s="546">
        <f t="shared" ca="1" si="1421"/>
        <v>0.37740388391040869</v>
      </c>
      <c r="BH874" s="303">
        <f t="shared" ca="1" si="1421"/>
        <v>0.41037886402050705</v>
      </c>
      <c r="BI874" s="239">
        <f t="shared" ca="1" si="1421"/>
        <v>0.3950082499521605</v>
      </c>
      <c r="BJ874" s="239">
        <f t="shared" ca="1" si="1421"/>
        <v>0.41531885318787759</v>
      </c>
      <c r="BK874" s="304">
        <f t="shared" ca="1" si="1421"/>
        <v>0.43014932763537317</v>
      </c>
      <c r="BL874" s="546">
        <f t="shared" ca="1" si="1421"/>
        <v>0.43014932763537339</v>
      </c>
      <c r="BM874" s="303">
        <f t="shared" ref="BM874:BQ874" ca="1" si="1422">BM864/BM850</f>
        <v>0.43030063601402596</v>
      </c>
      <c r="BN874" s="239">
        <f t="shared" ca="1" si="1422"/>
        <v>0.44779453706021582</v>
      </c>
      <c r="BO874" s="239">
        <f t="shared" ca="1" si="1422"/>
        <v>0.4761996823479866</v>
      </c>
      <c r="BP874" s="304">
        <f t="shared" ca="1" si="1422"/>
        <v>0.49582033314437396</v>
      </c>
      <c r="BQ874" s="546">
        <f t="shared" ca="1" si="1422"/>
        <v>0.49582033314437401</v>
      </c>
      <c r="BR874"/>
      <c r="BS874"/>
      <c r="BT874"/>
    </row>
    <row r="875" spans="2:72">
      <c r="B875" s="383"/>
      <c r="C875" s="383"/>
      <c r="D875" s="383"/>
      <c r="E875" s="613"/>
      <c r="F875" s="614"/>
      <c r="G875" s="614"/>
      <c r="H875" s="615"/>
      <c r="I875" s="383"/>
      <c r="J875" s="613"/>
      <c r="K875" s="614"/>
      <c r="L875" s="614"/>
      <c r="M875" s="615"/>
      <c r="N875" s="383"/>
      <c r="O875" s="613"/>
      <c r="P875" s="614"/>
      <c r="Q875" s="614"/>
      <c r="R875" s="615"/>
      <c r="S875" s="383"/>
      <c r="T875" s="613"/>
      <c r="U875" s="614"/>
      <c r="V875" s="614"/>
      <c r="W875" s="615"/>
      <c r="X875" s="383"/>
      <c r="Y875" s="613"/>
      <c r="Z875" s="614"/>
      <c r="AA875" s="614"/>
      <c r="AB875" s="615"/>
      <c r="AC875" s="383"/>
      <c r="AD875" s="613"/>
      <c r="AE875" s="614"/>
      <c r="AF875" s="614"/>
      <c r="AG875" s="615"/>
      <c r="AH875" s="383"/>
      <c r="AI875" s="613"/>
      <c r="AJ875" s="614"/>
      <c r="AK875" s="614"/>
      <c r="AL875" s="615"/>
      <c r="AM875" s="383"/>
      <c r="AN875" s="613"/>
      <c r="AO875" s="614"/>
      <c r="AP875" s="614"/>
      <c r="AQ875" s="615"/>
      <c r="AR875" s="383"/>
      <c r="AS875" s="613"/>
      <c r="AT875" s="614"/>
      <c r="AU875" s="614"/>
      <c r="AV875" s="615"/>
      <c r="AW875" s="383"/>
      <c r="AX875" s="613"/>
      <c r="AY875" s="614"/>
      <c r="AZ875" s="614"/>
      <c r="BA875" s="615"/>
      <c r="BB875" s="383"/>
      <c r="BC875" s="613"/>
      <c r="BD875" s="614"/>
      <c r="BE875" s="614"/>
      <c r="BF875" s="615"/>
      <c r="BG875" s="383"/>
      <c r="BH875" s="613"/>
      <c r="BI875" s="614"/>
      <c r="BJ875" s="614"/>
      <c r="BK875" s="615"/>
      <c r="BL875" s="383"/>
      <c r="BM875" s="613"/>
      <c r="BN875" s="614"/>
      <c r="BO875" s="614"/>
      <c r="BP875" s="615"/>
      <c r="BQ875" s="383"/>
      <c r="BR875"/>
      <c r="BS875"/>
      <c r="BT875"/>
    </row>
    <row r="876" spans="2:72">
      <c r="B876" s="383"/>
      <c r="C876" s="389" t="s">
        <v>201</v>
      </c>
      <c r="D876" s="383"/>
      <c r="E876" s="613"/>
      <c r="F876" s="614"/>
      <c r="G876" s="614"/>
      <c r="H876" s="615"/>
      <c r="I876" s="383"/>
      <c r="J876" s="613"/>
      <c r="K876" s="614"/>
      <c r="L876" s="614"/>
      <c r="M876" s="615"/>
      <c r="N876" s="383"/>
      <c r="O876" s="613"/>
      <c r="P876" s="614"/>
      <c r="Q876" s="614"/>
      <c r="R876" s="615"/>
      <c r="S876" s="383"/>
      <c r="T876" s="613"/>
      <c r="U876" s="614"/>
      <c r="V876" s="614"/>
      <c r="W876" s="615"/>
      <c r="X876" s="383"/>
      <c r="Y876" s="613"/>
      <c r="Z876" s="614"/>
      <c r="AA876" s="614"/>
      <c r="AB876" s="615"/>
      <c r="AC876" s="383"/>
      <c r="AD876" s="613"/>
      <c r="AE876" s="614"/>
      <c r="AF876" s="614"/>
      <c r="AG876" s="615"/>
      <c r="AH876" s="383"/>
      <c r="AI876" s="613"/>
      <c r="AJ876" s="614"/>
      <c r="AK876" s="614"/>
      <c r="AL876" s="615"/>
      <c r="AM876" s="383"/>
      <c r="AN876" s="613"/>
      <c r="AO876" s="614"/>
      <c r="AP876" s="614"/>
      <c r="AQ876" s="615"/>
      <c r="AR876" s="383"/>
      <c r="AS876" s="613"/>
      <c r="AT876" s="614"/>
      <c r="AU876" s="614"/>
      <c r="AV876" s="615"/>
      <c r="AW876" s="383"/>
      <c r="AX876" s="613"/>
      <c r="AY876" s="614"/>
      <c r="AZ876" s="614"/>
      <c r="BA876" s="615"/>
      <c r="BB876" s="383"/>
      <c r="BC876" s="613"/>
      <c r="BD876" s="614"/>
      <c r="BE876" s="614"/>
      <c r="BF876" s="615"/>
      <c r="BG876" s="383"/>
      <c r="BH876" s="613"/>
      <c r="BI876" s="614"/>
      <c r="BJ876" s="614"/>
      <c r="BK876" s="615"/>
      <c r="BL876" s="383"/>
      <c r="BM876" s="613"/>
      <c r="BN876" s="614"/>
      <c r="BO876" s="614"/>
      <c r="BP876" s="615"/>
      <c r="BQ876" s="383"/>
      <c r="BR876"/>
      <c r="BS876"/>
      <c r="BT876"/>
    </row>
    <row r="877" spans="2:72">
      <c r="B877" s="383"/>
      <c r="C877" s="383" t="s">
        <v>279</v>
      </c>
      <c r="D877" s="383"/>
      <c r="E877" s="613"/>
      <c r="F877" s="614"/>
      <c r="G877" s="614"/>
      <c r="H877" s="666">
        <f t="shared" ref="H877:AR877" si="1423">(H864+H867)/H867</f>
        <v>29.23008849557522</v>
      </c>
      <c r="I877" s="229">
        <f t="shared" si="1423"/>
        <v>22.460176991150444</v>
      </c>
      <c r="J877" s="667">
        <f t="shared" si="1423"/>
        <v>26.798319327731093</v>
      </c>
      <c r="K877" s="240">
        <f t="shared" si="1423"/>
        <v>24.113636363636363</v>
      </c>
      <c r="L877" s="240">
        <f t="shared" si="1423"/>
        <v>22.49655172413793</v>
      </c>
      <c r="M877" s="666">
        <f t="shared" si="1423"/>
        <v>22.366013071895424</v>
      </c>
      <c r="N877" s="229">
        <f t="shared" si="1423"/>
        <v>22.366013071895424</v>
      </c>
      <c r="O877" s="667">
        <f t="shared" si="1423"/>
        <v>22.368098159509202</v>
      </c>
      <c r="P877" s="240">
        <f t="shared" si="1423"/>
        <v>21.988304093567251</v>
      </c>
      <c r="Q877" s="240">
        <f t="shared" si="1423"/>
        <v>22.438596491228068</v>
      </c>
      <c r="R877" s="666">
        <f t="shared" si="1423"/>
        <v>21.829411764705881</v>
      </c>
      <c r="S877" s="229">
        <f t="shared" si="1423"/>
        <v>21.829411764705881</v>
      </c>
      <c r="T877" s="667">
        <f t="shared" si="1423"/>
        <v>20.307262569832403</v>
      </c>
      <c r="U877" s="240">
        <f>(U864+U867)/U867</f>
        <v>12.453731343283582</v>
      </c>
      <c r="V877" s="240">
        <f t="shared" si="1423"/>
        <v>16.475655430711612</v>
      </c>
      <c r="W877" s="666">
        <f t="shared" si="1423"/>
        <v>15.996677740863788</v>
      </c>
      <c r="X877" s="229">
        <f t="shared" ref="X877:AC877" si="1424">(X864+X867)/X867</f>
        <v>15.996677740863788</v>
      </c>
      <c r="Y877" s="667">
        <f t="shared" si="1424"/>
        <v>15.170212765957446</v>
      </c>
      <c r="Z877" s="240">
        <f t="shared" si="1424"/>
        <v>8.7877697841726619</v>
      </c>
      <c r="AA877" s="240">
        <f t="shared" si="1424"/>
        <v>13.296407185628743</v>
      </c>
      <c r="AB877" s="666">
        <f t="shared" si="1424"/>
        <v>11.535014005602241</v>
      </c>
      <c r="AC877" s="229">
        <f t="shared" si="1424"/>
        <v>11.535014005602241</v>
      </c>
      <c r="AD877" s="667">
        <f t="shared" si="1423"/>
        <v>10.866666666666667</v>
      </c>
      <c r="AE877" s="240">
        <f t="shared" si="1423"/>
        <v>6.64</v>
      </c>
      <c r="AF877" s="240">
        <f t="shared" si="1423"/>
        <v>10.941666666666666</v>
      </c>
      <c r="AG877" s="666">
        <f t="shared" si="1423"/>
        <v>11.320224719101123</v>
      </c>
      <c r="AH877" s="229">
        <f t="shared" si="1423"/>
        <v>11.320224719101123</v>
      </c>
      <c r="AI877" s="667">
        <f t="shared" si="1423"/>
        <v>11.061662198391421</v>
      </c>
      <c r="AJ877" s="240">
        <f t="shared" si="1423"/>
        <v>10.870466321243523</v>
      </c>
      <c r="AK877" s="240">
        <f t="shared" si="1423"/>
        <v>11.676712328767124</v>
      </c>
      <c r="AL877" s="666">
        <f t="shared" si="1423"/>
        <v>11.526027397260274</v>
      </c>
      <c r="AM877" s="229">
        <f t="shared" si="1423"/>
        <v>11.526027397260274</v>
      </c>
      <c r="AN877" s="667">
        <f t="shared" si="1423"/>
        <v>11.916666666666666</v>
      </c>
      <c r="AO877" s="240">
        <f t="shared" si="1423"/>
        <v>12.347222222222221</v>
      </c>
      <c r="AP877" s="240">
        <f t="shared" ref="AP877" si="1425">(AP864+AP867)/AP867</f>
        <v>12.86720867208672</v>
      </c>
      <c r="AQ877" s="666">
        <f t="shared" si="1423"/>
        <v>13.912087912087912</v>
      </c>
      <c r="AR877" s="229">
        <f t="shared" si="1423"/>
        <v>13.912087912087912</v>
      </c>
      <c r="AS877" s="667">
        <f t="shared" ref="AS877:BB877" si="1426">(AS864+AS867)/AS867</f>
        <v>13.446866485013624</v>
      </c>
      <c r="AT877" s="240">
        <f t="shared" si="1426"/>
        <v>12.030226700251889</v>
      </c>
      <c r="AU877" s="240">
        <f t="shared" ref="AU877:AW877" si="1427">(AU864+AU867)/AU867</f>
        <v>10.508083140877599</v>
      </c>
      <c r="AV877" s="666">
        <f t="shared" si="1427"/>
        <v>10.156818181818181</v>
      </c>
      <c r="AW877" s="229">
        <f t="shared" si="1427"/>
        <v>10.156818181818181</v>
      </c>
      <c r="AX877" s="667">
        <f t="shared" si="1426"/>
        <v>10.379785947574334</v>
      </c>
      <c r="AY877" s="240">
        <f t="shared" ca="1" si="1426"/>
        <v>10.113241400763293</v>
      </c>
      <c r="AZ877" s="240">
        <f t="shared" ca="1" si="1426"/>
        <v>9.6862626979001316</v>
      </c>
      <c r="BA877" s="666">
        <f t="shared" ca="1" si="1426"/>
        <v>9.0702096384405699</v>
      </c>
      <c r="BB877" s="229">
        <f t="shared" ca="1" si="1426"/>
        <v>9.0702096384405699</v>
      </c>
      <c r="BC877" s="667">
        <f t="shared" ref="BC877:BL877" ca="1" si="1428">(BC864+BC867)/BC867</f>
        <v>9.3825706218875666</v>
      </c>
      <c r="BD877" s="240">
        <f t="shared" ca="1" si="1428"/>
        <v>9.3674218782511822</v>
      </c>
      <c r="BE877" s="240">
        <f t="shared" ca="1" si="1428"/>
        <v>9.2029858649266192</v>
      </c>
      <c r="BF877" s="666">
        <f t="shared" ca="1" si="1428"/>
        <v>8.9530042541361397</v>
      </c>
      <c r="BG877" s="229">
        <f t="shared" ca="1" si="1428"/>
        <v>8.9530042541361379</v>
      </c>
      <c r="BH877" s="667">
        <f t="shared" ca="1" si="1428"/>
        <v>8.609257700366701</v>
      </c>
      <c r="BI877" s="240">
        <f t="shared" ca="1" si="1428"/>
        <v>8.2867823660121971</v>
      </c>
      <c r="BJ877" s="240">
        <f t="shared" ca="1" si="1428"/>
        <v>8.1424853949063234</v>
      </c>
      <c r="BK877" s="666">
        <f t="shared" ca="1" si="1428"/>
        <v>8.2556014491494096</v>
      </c>
      <c r="BL877" s="229">
        <f t="shared" ca="1" si="1428"/>
        <v>8.2556014491494132</v>
      </c>
      <c r="BM877" s="667">
        <f t="shared" ref="BM877:BQ877" ca="1" si="1429">(BM864+BM867)/BM867</f>
        <v>8.2665575182820827</v>
      </c>
      <c r="BN877" s="240">
        <f t="shared" ca="1" si="1429"/>
        <v>8.636640947850502</v>
      </c>
      <c r="BO877" s="240">
        <f t="shared" ca="1" si="1429"/>
        <v>9.0017483378635035</v>
      </c>
      <c r="BP877" s="666">
        <f t="shared" ca="1" si="1429"/>
        <v>9.4880307303278748</v>
      </c>
      <c r="BQ877" s="229">
        <f t="shared" ca="1" si="1429"/>
        <v>9.4880307303278748</v>
      </c>
      <c r="BR877"/>
      <c r="BS877"/>
      <c r="BT877"/>
    </row>
    <row r="878" spans="2:72">
      <c r="B878" s="383"/>
      <c r="C878" s="383" t="s">
        <v>280</v>
      </c>
      <c r="D878" s="383"/>
      <c r="E878" s="613"/>
      <c r="F878" s="614"/>
      <c r="G878" s="614"/>
      <c r="H878" s="666">
        <f t="shared" ref="H878:AR878" si="1430">H865/H867</f>
        <v>32.460176991150441</v>
      </c>
      <c r="I878" s="229">
        <f t="shared" si="1430"/>
        <v>32.460176991150441</v>
      </c>
      <c r="J878" s="667">
        <f t="shared" si="1430"/>
        <v>32.638655462184872</v>
      </c>
      <c r="K878" s="240">
        <f t="shared" si="1430"/>
        <v>26.113636363636363</v>
      </c>
      <c r="L878" s="240">
        <f t="shared" si="1430"/>
        <v>22.655172413793103</v>
      </c>
      <c r="M878" s="666">
        <f t="shared" si="1430"/>
        <v>21.588235294117649</v>
      </c>
      <c r="N878" s="229">
        <f t="shared" si="1430"/>
        <v>21.588235294117649</v>
      </c>
      <c r="O878" s="667">
        <f t="shared" si="1430"/>
        <v>19.533742331288344</v>
      </c>
      <c r="P878" s="240">
        <f t="shared" si="1430"/>
        <v>20.192982456140349</v>
      </c>
      <c r="Q878" s="240">
        <f t="shared" si="1430"/>
        <v>17.35672514619883</v>
      </c>
      <c r="R878" s="666">
        <f t="shared" si="1430"/>
        <v>17.629411764705882</v>
      </c>
      <c r="S878" s="229">
        <f t="shared" si="1430"/>
        <v>17.629411764705882</v>
      </c>
      <c r="T878" s="667">
        <f t="shared" si="1430"/>
        <v>14.363128491620111</v>
      </c>
      <c r="U878" s="240">
        <f>U865/U867</f>
        <v>14.038805970149253</v>
      </c>
      <c r="V878" s="240">
        <f t="shared" si="1430"/>
        <v>6.8277153558052435</v>
      </c>
      <c r="W878" s="666">
        <f t="shared" si="1430"/>
        <v>4.514950166112957</v>
      </c>
      <c r="X878" s="229">
        <f t="shared" ref="X878:AC878" si="1431">X865/X867</f>
        <v>4.514950166112957</v>
      </c>
      <c r="Y878" s="667">
        <f t="shared" si="1431"/>
        <v>2.9574468085106385</v>
      </c>
      <c r="Z878" s="240">
        <f t="shared" si="1431"/>
        <v>4.5503597122302155</v>
      </c>
      <c r="AA878" s="240">
        <f t="shared" si="1431"/>
        <v>5.4880239520958085</v>
      </c>
      <c r="AB878" s="666">
        <f t="shared" si="1431"/>
        <v>5.6918767507002803</v>
      </c>
      <c r="AC878" s="229">
        <f t="shared" si="1431"/>
        <v>5.6918767507002803</v>
      </c>
      <c r="AD878" s="667">
        <f t="shared" si="1430"/>
        <v>4.6361111111111111</v>
      </c>
      <c r="AE878" s="240">
        <f t="shared" si="1430"/>
        <v>6.5392000000000001</v>
      </c>
      <c r="AF878" s="240">
        <f t="shared" si="1430"/>
        <v>5.916666666666667</v>
      </c>
      <c r="AG878" s="666">
        <f t="shared" si="1430"/>
        <v>4.4438202247191008</v>
      </c>
      <c r="AH878" s="229">
        <f t="shared" si="1430"/>
        <v>4.4438202247191008</v>
      </c>
      <c r="AI878" s="667">
        <f t="shared" si="1430"/>
        <v>7.2225201072386058</v>
      </c>
      <c r="AJ878" s="240">
        <f t="shared" si="1430"/>
        <v>7.0129533678756477</v>
      </c>
      <c r="AK878" s="240">
        <f t="shared" si="1430"/>
        <v>5.0465753424657533</v>
      </c>
      <c r="AL878" s="666">
        <f t="shared" si="1430"/>
        <v>6.0465753424657533</v>
      </c>
      <c r="AM878" s="229">
        <f t="shared" si="1430"/>
        <v>6.0465753424657533</v>
      </c>
      <c r="AN878" s="667">
        <f t="shared" si="1430"/>
        <v>5.2750000000000004</v>
      </c>
      <c r="AO878" s="240">
        <f t="shared" si="1430"/>
        <v>3.6805555555555554</v>
      </c>
      <c r="AP878" s="240">
        <f t="shared" ref="AP878" si="1432">AP865/AP867</f>
        <v>4.0162601626016263</v>
      </c>
      <c r="AQ878" s="666">
        <f t="shared" si="1430"/>
        <v>3.3296703296703298</v>
      </c>
      <c r="AR878" s="229">
        <f t="shared" si="1430"/>
        <v>3.3296703296703298</v>
      </c>
      <c r="AS878" s="667">
        <f t="shared" ref="AS878:BB878" si="1433">AS865/AS867</f>
        <v>3.6594005449591283</v>
      </c>
      <c r="AT878" s="240">
        <f t="shared" si="1433"/>
        <v>2.3979848866498741</v>
      </c>
      <c r="AU878" s="240">
        <f t="shared" ref="AU878:AW878" si="1434">AU865/AU867</f>
        <v>2.6143187066974596</v>
      </c>
      <c r="AV878" s="666">
        <f t="shared" si="1434"/>
        <v>4.1727272727272728</v>
      </c>
      <c r="AW878" s="229">
        <f t="shared" si="1434"/>
        <v>4.1727272727272728</v>
      </c>
      <c r="AX878" s="667">
        <f t="shared" si="1433"/>
        <v>4.1511902285482325</v>
      </c>
      <c r="AY878" s="240">
        <f t="shared" ca="1" si="1433"/>
        <v>5.9245293142453077</v>
      </c>
      <c r="AZ878" s="240">
        <f t="shared" ca="1" si="1433"/>
        <v>5.9232878591300704</v>
      </c>
      <c r="BA878" s="666">
        <f t="shared" ca="1" si="1433"/>
        <v>5.0227672435259976</v>
      </c>
      <c r="BB878" s="229">
        <f t="shared" ca="1" si="1433"/>
        <v>5.0227672435259967</v>
      </c>
      <c r="BC878" s="667">
        <f t="shared" ref="BC878:BL878" ca="1" si="1435">BC865/BC867</f>
        <v>5.3878492818848942</v>
      </c>
      <c r="BD878" s="240">
        <f t="shared" ca="1" si="1435"/>
        <v>5.1983714605888744</v>
      </c>
      <c r="BE878" s="240">
        <f t="shared" ca="1" si="1435"/>
        <v>4.842662986854144</v>
      </c>
      <c r="BF878" s="666">
        <f t="shared" ca="1" si="1435"/>
        <v>4.4554463706494181</v>
      </c>
      <c r="BG878" s="229">
        <f t="shared" ca="1" si="1435"/>
        <v>4.4554463706494163</v>
      </c>
      <c r="BH878" s="667">
        <f t="shared" ca="1" si="1435"/>
        <v>4.0401478609508601</v>
      </c>
      <c r="BI878" s="240">
        <f t="shared" ca="1" si="1435"/>
        <v>3.6836914379015129</v>
      </c>
      <c r="BJ878" s="240">
        <f t="shared" ca="1" si="1435"/>
        <v>3.6334400989799183</v>
      </c>
      <c r="BK878" s="666">
        <f t="shared" ca="1" si="1435"/>
        <v>3.7678602782342283</v>
      </c>
      <c r="BL878" s="229">
        <f t="shared" ca="1" si="1435"/>
        <v>3.7678602782342314</v>
      </c>
      <c r="BM878" s="667">
        <f t="shared" ref="BM878:BQ878" ca="1" si="1436">BM865/BM867</f>
        <v>3.499252694906779</v>
      </c>
      <c r="BN878" s="240">
        <f t="shared" ca="1" si="1436"/>
        <v>3.8473501008335784</v>
      </c>
      <c r="BO878" s="240">
        <f t="shared" ca="1" si="1436"/>
        <v>4.0951204690552387</v>
      </c>
      <c r="BP878" s="666">
        <f t="shared" ca="1" si="1436"/>
        <v>4.450672537391279</v>
      </c>
      <c r="BQ878" s="229">
        <f t="shared" ca="1" si="1436"/>
        <v>4.4506725373912808</v>
      </c>
      <c r="BR878"/>
      <c r="BS878"/>
      <c r="BT878"/>
    </row>
    <row r="879" spans="2:72">
      <c r="B879" s="383"/>
      <c r="C879" s="816"/>
      <c r="D879" s="641"/>
      <c r="E879" s="926"/>
      <c r="F879" s="927"/>
      <c r="G879" s="927"/>
      <c r="H879" s="928"/>
      <c r="I879" s="348"/>
      <c r="J879" s="926"/>
      <c r="K879" s="927"/>
      <c r="L879" s="927"/>
      <c r="M879" s="928"/>
      <c r="N879" s="815"/>
      <c r="O879" s="926"/>
      <c r="P879" s="927"/>
      <c r="Q879" s="927"/>
      <c r="R879" s="928"/>
      <c r="S879" s="815"/>
      <c r="T879" s="926"/>
      <c r="U879" s="927"/>
      <c r="V879" s="927"/>
      <c r="W879" s="928"/>
      <c r="X879" s="815"/>
      <c r="Y879" s="926"/>
      <c r="Z879" s="927"/>
      <c r="AA879" s="927"/>
      <c r="AB879" s="928"/>
      <c r="AC879" s="229"/>
      <c r="AD879" s="926"/>
      <c r="AE879" s="927"/>
      <c r="AF879" s="927"/>
      <c r="AG879" s="928"/>
      <c r="AH879" s="229"/>
      <c r="AI879" s="926"/>
      <c r="AJ879" s="927"/>
      <c r="AK879" s="927"/>
      <c r="AL879" s="928"/>
      <c r="AM879" s="229"/>
      <c r="AN879" s="926"/>
      <c r="AO879" s="927"/>
      <c r="AP879" s="927"/>
      <c r="AQ879" s="928"/>
      <c r="AR879" s="229"/>
      <c r="AS879" s="926"/>
      <c r="AT879" s="927"/>
      <c r="AU879" s="927"/>
      <c r="AV879" s="928"/>
      <c r="AW879" s="229"/>
      <c r="AX879" s="926"/>
      <c r="AY879" s="927"/>
      <c r="AZ879" s="927"/>
      <c r="BA879" s="928"/>
      <c r="BB879" s="229"/>
      <c r="BC879" s="926"/>
      <c r="BD879" s="927"/>
      <c r="BE879" s="927"/>
      <c r="BF879" s="928"/>
      <c r="BG879" s="229"/>
      <c r="BH879" s="926"/>
      <c r="BI879" s="927"/>
      <c r="BJ879" s="927"/>
      <c r="BK879" s="928"/>
      <c r="BL879" s="229"/>
      <c r="BM879" s="926"/>
      <c r="BN879" s="927"/>
      <c r="BO879" s="927"/>
      <c r="BP879" s="928"/>
      <c r="BQ879" s="229"/>
      <c r="BR879"/>
      <c r="BS879"/>
      <c r="BT879"/>
    </row>
  </sheetData>
  <phoneticPr fontId="2" type="noConversion"/>
  <pageMargins left="0.5" right="0.5" top="0.5" bottom="0.5" header="0" footer="0"/>
  <pageSetup scale="55" fitToHeight="4" orientation="landscape" r:id="rId1"/>
  <headerFooter alignWithMargins="0"/>
  <rowBreaks count="2" manualBreakCount="2">
    <brk id="840" max="49" man="1"/>
    <brk id="863" max="49" man="1"/>
  </rowBreaks>
  <cellWatches>
    <cellWatch r="AW37"/>
  </cellWatches>
  <ignoredErrors>
    <ignoredError sqref="M12" formulaRange="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JK258"/>
  <sheetViews>
    <sheetView zoomScale="85" workbookViewId="0">
      <pane xSplit="4" ySplit="5" topLeftCell="I6" activePane="bottomRight" state="frozen"/>
      <selection activeCell="I6" sqref="I6"/>
      <selection pane="topRight" activeCell="I6" sqref="I6"/>
      <selection pane="bottomLeft" activeCell="I6" sqref="I6"/>
      <selection pane="bottomRight" activeCell="I6" sqref="I6"/>
    </sheetView>
  </sheetViews>
  <sheetFormatPr defaultRowHeight="12.75" outlineLevelCol="1"/>
  <cols>
    <col min="1" max="2" width="2.7109375" customWidth="1"/>
    <col min="3" max="3" width="45.7109375" customWidth="1"/>
    <col min="4" max="4" width="6.7109375" customWidth="1"/>
    <col min="5" max="8" width="9.85546875" hidden="1" customWidth="1" outlineLevel="1"/>
    <col min="9" max="9" width="9.85546875" customWidth="1" collapsed="1"/>
    <col min="10" max="13" width="9.85546875" hidden="1" customWidth="1" outlineLevel="1"/>
    <col min="14" max="14" width="9.85546875" customWidth="1" collapsed="1"/>
    <col min="15" max="18" width="9.85546875" hidden="1" customWidth="1" outlineLevel="1"/>
    <col min="19" max="19" width="9.85546875" customWidth="1" collapsed="1"/>
    <col min="20" max="20" width="9.85546875" hidden="1" customWidth="1" outlineLevel="1"/>
    <col min="21" max="21" width="9.85546875" style="19" hidden="1" customWidth="1" outlineLevel="1"/>
    <col min="22" max="23" width="9.85546875" hidden="1" customWidth="1" outlineLevel="1"/>
    <col min="24" max="24" width="9.85546875" bestFit="1" customWidth="1" collapsed="1"/>
    <col min="25" max="28" width="9.85546875" hidden="1" customWidth="1" outlineLevel="1"/>
    <col min="29" max="29" width="9.85546875" customWidth="1" collapsed="1"/>
    <col min="30" max="32" width="9.85546875" hidden="1" customWidth="1" outlineLevel="1"/>
    <col min="33" max="33" width="9.5703125" hidden="1" customWidth="1" outlineLevel="1"/>
    <col min="34" max="34" width="10.28515625" customWidth="1" collapsed="1"/>
    <col min="35" max="38" width="9.85546875" hidden="1" customWidth="1" outlineLevel="1"/>
    <col min="39" max="39" width="10.140625" customWidth="1" collapsed="1"/>
    <col min="40" max="43" width="9.85546875" hidden="1" customWidth="1" outlineLevel="1"/>
    <col min="44" max="44" width="9.85546875" customWidth="1" collapsed="1"/>
    <col min="45" max="48" width="9.85546875" hidden="1" customWidth="1" outlineLevel="1"/>
    <col min="49" max="49" width="9.85546875"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 min="85" max="87" width="11.42578125" customWidth="1"/>
    <col min="88" max="88" width="9.7109375" customWidth="1"/>
    <col min="89" max="92" width="11.42578125" customWidth="1"/>
    <col min="93" max="93" width="10.7109375" customWidth="1"/>
    <col min="94" max="96" width="11.42578125" customWidth="1"/>
    <col min="97" max="99" width="9.7109375" customWidth="1"/>
  </cols>
  <sheetData>
    <row r="1" spans="1:271" ht="15" customHeight="1">
      <c r="A1" s="469"/>
      <c r="B1" s="469"/>
      <c r="C1" s="469"/>
      <c r="D1" s="470"/>
      <c r="E1" s="471"/>
      <c r="F1" s="471"/>
      <c r="G1" s="471"/>
      <c r="H1" s="471"/>
      <c r="I1" s="471"/>
      <c r="J1" s="471"/>
      <c r="K1" s="471"/>
      <c r="L1" s="471"/>
      <c r="M1" s="471"/>
      <c r="N1" s="471"/>
      <c r="O1" s="471"/>
      <c r="P1" s="471"/>
      <c r="Q1" s="471"/>
      <c r="R1" s="471"/>
      <c r="S1" s="471"/>
      <c r="T1" s="471"/>
      <c r="U1" s="1040"/>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row>
    <row r="2" spans="1:271" ht="15" customHeight="1">
      <c r="A2" s="469"/>
      <c r="B2" s="469" t="str">
        <f>Cover!B2</f>
        <v>Exelon Corporation</v>
      </c>
      <c r="C2" s="469"/>
      <c r="D2" s="470"/>
      <c r="E2" s="471"/>
      <c r="F2" s="471"/>
      <c r="G2" s="471"/>
      <c r="H2" s="471"/>
      <c r="I2" s="471"/>
      <c r="J2" s="471"/>
      <c r="K2" s="471"/>
      <c r="L2" s="471"/>
      <c r="M2" s="471"/>
      <c r="N2" s="471"/>
      <c r="O2" s="471"/>
      <c r="P2" s="471"/>
      <c r="Q2" s="471"/>
      <c r="R2" s="471"/>
      <c r="S2" s="471"/>
      <c r="T2" s="471"/>
      <c r="U2" s="1040"/>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row>
    <row r="3" spans="1:271" ht="15" customHeight="1">
      <c r="A3" s="579"/>
      <c r="B3" s="472" t="s">
        <v>636</v>
      </c>
      <c r="C3" s="472"/>
      <c r="D3" s="471"/>
      <c r="E3" s="471"/>
      <c r="F3" s="471"/>
      <c r="G3" s="471"/>
      <c r="H3" s="471"/>
      <c r="I3" s="471"/>
      <c r="J3" s="471"/>
      <c r="K3" s="471"/>
      <c r="L3" s="471"/>
      <c r="M3" s="471"/>
      <c r="N3" s="471"/>
      <c r="O3" s="471"/>
      <c r="P3" s="471"/>
      <c r="Q3" s="471"/>
      <c r="R3" s="471"/>
      <c r="S3" s="471"/>
      <c r="T3" s="471"/>
      <c r="U3" s="1040"/>
      <c r="V3" s="471"/>
      <c r="W3" s="471"/>
      <c r="X3" s="471"/>
      <c r="Y3" s="471"/>
      <c r="Z3" s="471"/>
      <c r="AA3" s="471"/>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5"/>
      <c r="BS3" s="5"/>
      <c r="BT3" s="5"/>
      <c r="BU3" s="5"/>
      <c r="BX3" s="5"/>
      <c r="BY3" s="5"/>
      <c r="BZ3" s="5"/>
      <c r="CA3" s="5"/>
      <c r="CB3" s="5"/>
      <c r="CC3" s="5"/>
      <c r="CD3" s="5"/>
      <c r="CE3" s="5"/>
      <c r="CF3" s="5"/>
      <c r="CG3" s="5"/>
      <c r="CH3" s="5"/>
      <c r="CI3" s="5"/>
      <c r="CJ3" s="5"/>
      <c r="CK3" s="5"/>
      <c r="CL3" s="5"/>
      <c r="CM3" s="5"/>
      <c r="CN3" s="5"/>
      <c r="CO3" s="5"/>
      <c r="CP3" s="5"/>
      <c r="CQ3" s="5"/>
      <c r="CR3" s="5"/>
      <c r="CS3" s="5"/>
      <c r="CT3" s="5"/>
      <c r="CU3" s="5"/>
    </row>
    <row r="4" spans="1:271" ht="15" customHeight="1">
      <c r="A4" s="549"/>
      <c r="B4" s="12" t="s">
        <v>69</v>
      </c>
      <c r="C4" s="12"/>
      <c r="D4" s="550"/>
      <c r="E4" s="473"/>
      <c r="F4" s="473"/>
      <c r="G4" s="473"/>
      <c r="H4" s="473"/>
      <c r="I4" s="473"/>
      <c r="J4" s="473"/>
      <c r="K4" s="473"/>
      <c r="L4" s="473"/>
      <c r="M4" s="473"/>
      <c r="N4" s="473"/>
      <c r="O4" s="473"/>
      <c r="P4" s="473"/>
      <c r="Q4" s="473"/>
      <c r="R4" s="473"/>
      <c r="S4" s="473"/>
      <c r="T4" s="473"/>
      <c r="U4" s="1151"/>
      <c r="V4" s="473"/>
      <c r="W4" s="473"/>
      <c r="X4" s="473"/>
      <c r="Y4" s="473"/>
      <c r="Z4" s="473"/>
      <c r="AA4" s="473"/>
      <c r="AB4" s="473"/>
      <c r="AC4" s="473"/>
      <c r="AD4" s="473"/>
      <c r="AE4" s="473"/>
      <c r="AF4" s="473"/>
      <c r="AG4" s="473"/>
      <c r="AH4" s="473"/>
      <c r="AI4" s="473"/>
      <c r="AJ4" s="473"/>
      <c r="AK4" s="473"/>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3"/>
      <c r="BM4" s="473"/>
      <c r="BN4" s="473"/>
      <c r="BO4" s="473"/>
      <c r="BP4" s="473"/>
      <c r="BQ4" s="473"/>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row>
    <row r="5" spans="1:271" ht="12" customHeight="1">
      <c r="B5" s="552" t="s">
        <v>504</v>
      </c>
      <c r="C5" s="552"/>
      <c r="D5" s="553"/>
      <c r="E5" s="554" t="s">
        <v>358</v>
      </c>
      <c r="F5" s="555" t="s">
        <v>359</v>
      </c>
      <c r="G5" s="555" t="s">
        <v>322</v>
      </c>
      <c r="H5" s="556" t="s">
        <v>323</v>
      </c>
      <c r="I5" s="557">
        <v>2009</v>
      </c>
      <c r="J5" s="554" t="s">
        <v>324</v>
      </c>
      <c r="K5" s="555" t="s">
        <v>325</v>
      </c>
      <c r="L5" s="555" t="s">
        <v>326</v>
      </c>
      <c r="M5" s="556" t="s">
        <v>327</v>
      </c>
      <c r="N5" s="557" t="s">
        <v>112</v>
      </c>
      <c r="O5" s="554" t="s">
        <v>268</v>
      </c>
      <c r="P5" s="555" t="s">
        <v>269</v>
      </c>
      <c r="Q5" s="555" t="s">
        <v>270</v>
      </c>
      <c r="R5" s="556" t="s">
        <v>271</v>
      </c>
      <c r="S5" s="558" t="s">
        <v>619</v>
      </c>
      <c r="T5" s="554" t="s">
        <v>616</v>
      </c>
      <c r="U5" s="555" t="s">
        <v>1201</v>
      </c>
      <c r="V5" s="555" t="s">
        <v>1251</v>
      </c>
      <c r="W5" s="556" t="s">
        <v>1252</v>
      </c>
      <c r="X5" s="558" t="s">
        <v>1253</v>
      </c>
      <c r="Y5" s="554" t="s">
        <v>674</v>
      </c>
      <c r="Z5" s="555" t="s">
        <v>673</v>
      </c>
      <c r="AA5" s="555" t="s">
        <v>919</v>
      </c>
      <c r="AB5" s="556" t="s">
        <v>920</v>
      </c>
      <c r="AC5" s="558" t="s">
        <v>921</v>
      </c>
      <c r="AD5" s="554" t="s">
        <v>1218</v>
      </c>
      <c r="AE5" s="555" t="s">
        <v>1211</v>
      </c>
      <c r="AF5" s="555" t="s">
        <v>1344</v>
      </c>
      <c r="AG5" s="556" t="s">
        <v>1345</v>
      </c>
      <c r="AH5" s="558" t="s">
        <v>1343</v>
      </c>
      <c r="AI5" s="554" t="s">
        <v>1409</v>
      </c>
      <c r="AJ5" s="555" t="s">
        <v>1405</v>
      </c>
      <c r="AK5" s="555" t="s">
        <v>1406</v>
      </c>
      <c r="AL5" s="556" t="s">
        <v>1407</v>
      </c>
      <c r="AM5" s="558" t="s">
        <v>1410</v>
      </c>
      <c r="AN5" s="554" t="s">
        <v>1436</v>
      </c>
      <c r="AO5" s="555" t="s">
        <v>1439</v>
      </c>
      <c r="AP5" s="555" t="s">
        <v>1480</v>
      </c>
      <c r="AQ5" s="556" t="s">
        <v>1501</v>
      </c>
      <c r="AR5" s="558" t="s">
        <v>1502</v>
      </c>
      <c r="AS5" s="554" t="s">
        <v>1515</v>
      </c>
      <c r="AT5" s="555" t="s">
        <v>1534</v>
      </c>
      <c r="AU5" s="555" t="s">
        <v>1536</v>
      </c>
      <c r="AV5" s="556" t="s">
        <v>1538</v>
      </c>
      <c r="AW5" s="558" t="s">
        <v>1539</v>
      </c>
      <c r="AX5" s="554" t="s">
        <v>926</v>
      </c>
      <c r="AY5" s="555" t="s">
        <v>927</v>
      </c>
      <c r="AZ5" s="555" t="s">
        <v>928</v>
      </c>
      <c r="BA5" s="556" t="s">
        <v>929</v>
      </c>
      <c r="BB5" s="558">
        <v>2018</v>
      </c>
      <c r="BC5" s="554" t="s">
        <v>1361</v>
      </c>
      <c r="BD5" s="555" t="s">
        <v>1362</v>
      </c>
      <c r="BE5" s="555" t="s">
        <v>1363</v>
      </c>
      <c r="BF5" s="556" t="s">
        <v>1364</v>
      </c>
      <c r="BG5" s="558">
        <v>2019</v>
      </c>
      <c r="BH5" s="554" t="s">
        <v>1365</v>
      </c>
      <c r="BI5" s="555" t="s">
        <v>1366</v>
      </c>
      <c r="BJ5" s="555" t="s">
        <v>1367</v>
      </c>
      <c r="BK5" s="556" t="s">
        <v>1368</v>
      </c>
      <c r="BL5" s="558">
        <v>2020</v>
      </c>
      <c r="BM5" s="554" t="s">
        <v>1516</v>
      </c>
      <c r="BN5" s="555" t="s">
        <v>1517</v>
      </c>
      <c r="BO5" s="555" t="s">
        <v>1518</v>
      </c>
      <c r="BP5" s="556" t="s">
        <v>1519</v>
      </c>
      <c r="BQ5" s="558">
        <v>2021</v>
      </c>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row>
    <row r="6" spans="1:271" ht="12.75" customHeight="1">
      <c r="A6" s="1"/>
      <c r="B6" s="1"/>
      <c r="C6" s="1"/>
      <c r="D6" s="1"/>
      <c r="E6" s="300"/>
      <c r="F6" s="264"/>
      <c r="G6" s="264"/>
      <c r="H6" s="299"/>
      <c r="I6" s="330"/>
      <c r="J6" s="300"/>
      <c r="K6" s="264"/>
      <c r="L6" s="264"/>
      <c r="M6" s="299"/>
      <c r="N6" s="530"/>
      <c r="O6" s="300"/>
      <c r="P6" s="264"/>
      <c r="Q6" s="264"/>
      <c r="R6" s="299"/>
      <c r="S6" s="530"/>
      <c r="T6" s="300"/>
      <c r="U6" s="264"/>
      <c r="V6" s="264"/>
      <c r="W6" s="299"/>
      <c r="X6" s="530"/>
      <c r="Y6" s="300"/>
      <c r="Z6" s="264"/>
      <c r="AA6" s="264"/>
      <c r="AB6" s="299"/>
      <c r="AC6" s="530"/>
      <c r="AD6" s="300"/>
      <c r="AE6" s="264"/>
      <c r="AF6" s="264"/>
      <c r="AG6" s="299"/>
      <c r="AH6" s="530"/>
      <c r="AI6" s="300"/>
      <c r="AJ6" s="264"/>
      <c r="AK6" s="264"/>
      <c r="AL6" s="299"/>
      <c r="AM6" s="530"/>
      <c r="AN6" s="300"/>
      <c r="AO6" s="264"/>
      <c r="AP6" s="264"/>
      <c r="AQ6" s="299"/>
      <c r="AR6" s="530"/>
      <c r="AS6" s="300"/>
      <c r="AT6" s="264"/>
      <c r="AU6" s="264"/>
      <c r="AV6" s="299"/>
      <c r="AW6" s="530"/>
      <c r="AX6" s="300"/>
      <c r="AY6" s="264"/>
      <c r="AZ6" s="264"/>
      <c r="BA6" s="299"/>
      <c r="BB6" s="530"/>
      <c r="BC6" s="300"/>
      <c r="BD6" s="264"/>
      <c r="BE6" s="264"/>
      <c r="BF6" s="299"/>
      <c r="BG6" s="530"/>
      <c r="BH6" s="300"/>
      <c r="BI6" s="264"/>
      <c r="BJ6" s="264"/>
      <c r="BK6" s="299"/>
      <c r="BL6" s="530"/>
      <c r="BM6" s="300"/>
      <c r="BN6" s="264"/>
      <c r="BO6" s="264"/>
      <c r="BP6" s="299"/>
      <c r="BQ6" s="530"/>
      <c r="BR6" s="19"/>
      <c r="BS6" s="19"/>
      <c r="BT6" s="19"/>
      <c r="BU6" s="19"/>
      <c r="BX6" s="19"/>
      <c r="BY6" s="19"/>
      <c r="BZ6" s="19"/>
      <c r="CA6" s="19"/>
      <c r="CB6" s="19"/>
      <c r="CC6" s="5"/>
      <c r="CD6" s="5"/>
      <c r="CE6" s="19"/>
      <c r="CF6" s="19"/>
      <c r="CG6" s="19"/>
      <c r="CH6" s="19"/>
      <c r="CI6" s="19"/>
      <c r="CJ6" s="19"/>
      <c r="CK6" s="19"/>
      <c r="CL6" s="19"/>
      <c r="CM6" s="19"/>
      <c r="CN6" s="19"/>
      <c r="CO6" s="19"/>
      <c r="CP6" s="19"/>
      <c r="CQ6" s="19"/>
      <c r="CR6" s="19"/>
      <c r="CS6" s="19"/>
      <c r="CT6" s="19"/>
      <c r="CU6" s="19"/>
    </row>
    <row r="7" spans="1:271" ht="12.75" customHeight="1">
      <c r="A7" s="1"/>
      <c r="B7" s="73" t="s">
        <v>277</v>
      </c>
      <c r="C7" s="246"/>
      <c r="D7" s="15"/>
      <c r="E7" s="300"/>
      <c r="F7" s="264"/>
      <c r="G7" s="264"/>
      <c r="H7" s="299"/>
      <c r="I7" s="330"/>
      <c r="J7" s="300"/>
      <c r="K7" s="264"/>
      <c r="L7" s="264"/>
      <c r="M7" s="299"/>
      <c r="N7" s="330"/>
      <c r="O7" s="300"/>
      <c r="P7" s="264"/>
      <c r="Q7" s="264"/>
      <c r="R7" s="299"/>
      <c r="S7" s="530"/>
      <c r="T7" s="300"/>
      <c r="U7" s="264"/>
      <c r="V7" s="264"/>
      <c r="W7" s="299"/>
      <c r="X7" s="530"/>
      <c r="Y7" s="300"/>
      <c r="Z7" s="264"/>
      <c r="AA7" s="264"/>
      <c r="AB7" s="299"/>
      <c r="AC7" s="530"/>
      <c r="AD7" s="300"/>
      <c r="AE7" s="264"/>
      <c r="AF7" s="264"/>
      <c r="AG7" s="299"/>
      <c r="AH7" s="530"/>
      <c r="AI7" s="300"/>
      <c r="AJ7" s="264"/>
      <c r="AK7" s="264"/>
      <c r="AL7" s="299"/>
      <c r="AM7" s="530"/>
      <c r="AN7" s="300"/>
      <c r="AO7" s="264"/>
      <c r="AP7" s="264"/>
      <c r="AQ7" s="299"/>
      <c r="AR7" s="530"/>
      <c r="AS7" s="300"/>
      <c r="AT7" s="264"/>
      <c r="AU7" s="264"/>
      <c r="AV7" s="299"/>
      <c r="AW7" s="530"/>
      <c r="AX7" s="300"/>
      <c r="AY7" s="264"/>
      <c r="AZ7" s="264"/>
      <c r="BA7" s="299"/>
      <c r="BB7" s="530"/>
      <c r="BC7" s="300"/>
      <c r="BD7" s="264"/>
      <c r="BE7" s="264"/>
      <c r="BF7" s="299"/>
      <c r="BG7" s="530"/>
      <c r="BH7" s="300"/>
      <c r="BI7" s="264"/>
      <c r="BJ7" s="264"/>
      <c r="BK7" s="299"/>
      <c r="BL7" s="530"/>
      <c r="BM7" s="300"/>
      <c r="BN7" s="264"/>
      <c r="BO7" s="264"/>
      <c r="BP7" s="299"/>
      <c r="BQ7" s="530"/>
      <c r="BR7" s="19"/>
      <c r="BS7" s="19"/>
      <c r="BT7" s="19"/>
      <c r="BU7" s="19"/>
      <c r="BX7" s="19"/>
      <c r="BY7" s="19"/>
      <c r="BZ7" s="19"/>
      <c r="CA7" s="19"/>
      <c r="CB7" s="19"/>
      <c r="CC7" s="5"/>
      <c r="CD7" s="5"/>
      <c r="CE7" s="19"/>
      <c r="CF7" s="19"/>
      <c r="CG7" s="19"/>
      <c r="CH7" s="19"/>
      <c r="CI7" s="19"/>
      <c r="CJ7" s="19"/>
      <c r="CK7" s="19"/>
      <c r="CL7" s="19"/>
      <c r="CM7" s="19"/>
      <c r="CN7" s="19"/>
      <c r="CO7" s="19"/>
      <c r="CP7" s="19"/>
      <c r="CQ7" s="19"/>
      <c r="CR7" s="19"/>
      <c r="CS7" s="19"/>
      <c r="CT7" s="19"/>
      <c r="CU7" s="19"/>
    </row>
    <row r="8" spans="1:271" s="232" customFormat="1" ht="12.75" customHeight="1">
      <c r="A8" s="45"/>
      <c r="B8" s="45"/>
      <c r="C8" s="28" t="s">
        <v>1286</v>
      </c>
      <c r="D8" s="45"/>
      <c r="E8" s="335">
        <v>1553</v>
      </c>
      <c r="F8" s="336">
        <v>1389</v>
      </c>
      <c r="G8" s="336">
        <v>1475</v>
      </c>
      <c r="H8" s="586">
        <f>I8-SUM(E8:G8)</f>
        <v>1357</v>
      </c>
      <c r="I8" s="427">
        <v>5774</v>
      </c>
      <c r="J8" s="335">
        <v>1415</v>
      </c>
      <c r="K8" s="336">
        <v>1499</v>
      </c>
      <c r="L8" s="336">
        <v>1918</v>
      </c>
      <c r="M8" s="586">
        <f>N8-SUM(J8:L8)</f>
        <v>1372</v>
      </c>
      <c r="N8" s="427">
        <v>6204</v>
      </c>
      <c r="O8" s="335">
        <v>1466</v>
      </c>
      <c r="P8" s="336">
        <v>1444</v>
      </c>
      <c r="Q8" s="336">
        <v>1784</v>
      </c>
      <c r="R8" s="586">
        <f>S8-SUM(O8:Q8)</f>
        <v>1362</v>
      </c>
      <c r="S8" s="427">
        <f>6054+2</f>
        <v>6056</v>
      </c>
      <c r="T8" s="335">
        <v>1388</v>
      </c>
      <c r="U8" s="336">
        <v>1281</v>
      </c>
      <c r="V8" s="336">
        <v>1484</v>
      </c>
      <c r="W8" s="586">
        <f>X8-SUM(T8:V8)</f>
        <v>1290</v>
      </c>
      <c r="X8" s="427">
        <f>5441+2</f>
        <v>5443</v>
      </c>
      <c r="Y8" s="335">
        <v>1160</v>
      </c>
      <c r="Z8" s="336">
        <v>1080</v>
      </c>
      <c r="AA8" s="1435">
        <v>1156</v>
      </c>
      <c r="AB8" s="1436">
        <f>AC8-SUM(Y8:AA8)</f>
        <v>1068</v>
      </c>
      <c r="AC8" s="1437">
        <v>4464</v>
      </c>
      <c r="AD8" s="335">
        <v>1134</v>
      </c>
      <c r="AE8" s="336">
        <v>1128</v>
      </c>
      <c r="AF8" s="1435">
        <v>1222</v>
      </c>
      <c r="AG8" s="1436">
        <f>AH8-SUM(AD8:AF8)</f>
        <v>1080</v>
      </c>
      <c r="AH8" s="1437">
        <v>4564</v>
      </c>
      <c r="AI8" s="335">
        <v>1185</v>
      </c>
      <c r="AJ8" s="336">
        <v>1148</v>
      </c>
      <c r="AK8" s="1435">
        <v>1376</v>
      </c>
      <c r="AL8" s="1436">
        <f>AM8-SUM(AI8:AK8)</f>
        <v>1196</v>
      </c>
      <c r="AM8" s="1437">
        <v>4905</v>
      </c>
      <c r="AN8" s="335">
        <v>1249</v>
      </c>
      <c r="AO8" s="336">
        <v>1286</v>
      </c>
      <c r="AP8" s="1435">
        <v>1497</v>
      </c>
      <c r="AQ8" s="1436">
        <f>AR8-SUM(AN8:AP8)</f>
        <v>1222</v>
      </c>
      <c r="AR8" s="1437">
        <v>5254</v>
      </c>
      <c r="AS8" s="335">
        <v>1298</v>
      </c>
      <c r="AT8" s="336">
        <v>1357</v>
      </c>
      <c r="AU8" s="336">
        <v>1571</v>
      </c>
      <c r="AV8" s="1436">
        <f>AW8-SUM(AS8:AU8)</f>
        <v>1310</v>
      </c>
      <c r="AW8" s="1437">
        <v>5536</v>
      </c>
      <c r="AX8" s="290">
        <f>AX73</f>
        <v>1274.4510163518344</v>
      </c>
      <c r="AY8" s="260">
        <f>AY73</f>
        <v>1348.4847115384612</v>
      </c>
      <c r="AZ8" s="260">
        <f>AZ73</f>
        <v>1523.6290142276425</v>
      </c>
      <c r="BA8" s="291">
        <f>BA73</f>
        <v>1268.8253380643719</v>
      </c>
      <c r="BB8" s="45">
        <f>SUM(AX8:BA8)</f>
        <v>5415.3900801823102</v>
      </c>
      <c r="BC8" s="290">
        <f>BC73</f>
        <v>1297.5447663518344</v>
      </c>
      <c r="BD8" s="260">
        <f>BD73</f>
        <v>1371.5784615384612</v>
      </c>
      <c r="BE8" s="260">
        <f>BE73</f>
        <v>1546.7227642276425</v>
      </c>
      <c r="BF8" s="291">
        <f>BF73</f>
        <v>1291.9190880643719</v>
      </c>
      <c r="BG8" s="45">
        <f>SUM(BC8:BF8)</f>
        <v>5507.7650801823102</v>
      </c>
      <c r="BH8" s="290">
        <f>BH73</f>
        <v>1326.9822663518344</v>
      </c>
      <c r="BI8" s="260">
        <f>BI73</f>
        <v>1401.0159615384614</v>
      </c>
      <c r="BJ8" s="260">
        <f>BJ73</f>
        <v>1576.1602642276423</v>
      </c>
      <c r="BK8" s="291">
        <f>BK73</f>
        <v>1321.3565880643719</v>
      </c>
      <c r="BL8" s="45">
        <f>SUM(BH8:BK8)</f>
        <v>5625.5150801823102</v>
      </c>
      <c r="BM8" s="290">
        <f>BM73</f>
        <v>1357.1385163518344</v>
      </c>
      <c r="BN8" s="260">
        <f>BN73</f>
        <v>1431.1722115384614</v>
      </c>
      <c r="BO8" s="260">
        <f>BO73</f>
        <v>1606.3165142276423</v>
      </c>
      <c r="BP8" s="291">
        <f>BP73</f>
        <v>1351.5128380643721</v>
      </c>
      <c r="BQ8" s="45">
        <f>SUM(BM8:BP8)</f>
        <v>5746.1400801823102</v>
      </c>
      <c r="BR8" s="45"/>
      <c r="BS8" s="45"/>
      <c r="BT8" s="45"/>
      <c r="BU8" s="45"/>
      <c r="BX8" s="45"/>
      <c r="BY8" s="45"/>
      <c r="BZ8" s="45"/>
      <c r="CA8" s="45"/>
      <c r="CB8" s="45"/>
      <c r="CC8" s="5"/>
      <c r="CD8" s="5"/>
      <c r="CE8" s="45"/>
      <c r="CF8" s="45"/>
      <c r="CG8" s="45"/>
      <c r="CH8" s="45"/>
      <c r="CI8" s="45"/>
      <c r="CJ8" s="45"/>
      <c r="CK8" s="45"/>
      <c r="CL8" s="45"/>
      <c r="CM8" s="45"/>
      <c r="CN8" s="45"/>
      <c r="CO8" s="45"/>
      <c r="CP8" s="45"/>
      <c r="CQ8" s="45"/>
      <c r="CR8" s="45"/>
      <c r="CS8" s="45"/>
      <c r="CT8" s="45"/>
      <c r="CU8" s="45"/>
    </row>
    <row r="9" spans="1:271" s="232" customFormat="1" ht="12.75" customHeight="1">
      <c r="A9" s="45"/>
      <c r="B9" s="45"/>
      <c r="C9" s="1" t="s">
        <v>1299</v>
      </c>
      <c r="D9" s="45"/>
      <c r="E9" s="335">
        <v>882</v>
      </c>
      <c r="F9" s="336">
        <v>715</v>
      </c>
      <c r="G9" s="336">
        <v>776</v>
      </c>
      <c r="H9" s="586">
        <f>I9-SUM(E9:G9)</f>
        <v>692</v>
      </c>
      <c r="I9" s="427">
        <v>3065</v>
      </c>
      <c r="J9" s="335">
        <v>753</v>
      </c>
      <c r="K9" s="336">
        <v>771</v>
      </c>
      <c r="L9" s="336">
        <v>1112</v>
      </c>
      <c r="M9" s="586">
        <f>N9-SUM(J9:L9)</f>
        <v>671</v>
      </c>
      <c r="N9" s="427">
        <v>3307</v>
      </c>
      <c r="O9" s="335">
        <v>789</v>
      </c>
      <c r="P9" s="336">
        <v>716</v>
      </c>
      <c r="Q9" s="336">
        <v>932</v>
      </c>
      <c r="R9" s="586">
        <f>S9-SUM(O9:Q9)</f>
        <v>598</v>
      </c>
      <c r="S9" s="427">
        <f>2382+653</f>
        <v>3035</v>
      </c>
      <c r="T9" s="335">
        <v>620</v>
      </c>
      <c r="U9" s="336">
        <v>587</v>
      </c>
      <c r="V9" s="336">
        <f>498+180</f>
        <v>678</v>
      </c>
      <c r="W9" s="586">
        <f>X9-SUM(T9:V9)</f>
        <v>422</v>
      </c>
      <c r="X9" s="427">
        <f>1518+789</f>
        <v>2307</v>
      </c>
      <c r="Y9" s="335">
        <f>237+145</f>
        <v>382</v>
      </c>
      <c r="Z9" s="336">
        <f>127+121</f>
        <v>248</v>
      </c>
      <c r="AA9" s="1435">
        <f>158+143</f>
        <v>301</v>
      </c>
      <c r="AB9" s="1436">
        <f>AC9-SUM(Y9:AA9)</f>
        <v>243</v>
      </c>
      <c r="AC9" s="1437">
        <f>662+512</f>
        <v>1174</v>
      </c>
      <c r="AD9" s="335">
        <f>212+108</f>
        <v>320</v>
      </c>
      <c r="AE9" s="336">
        <f>204+65</f>
        <v>269</v>
      </c>
      <c r="AF9" s="1435">
        <f>325+1</f>
        <v>326</v>
      </c>
      <c r="AG9" s="1436">
        <f>AH9-SUM(AD9:AF9)</f>
        <v>262</v>
      </c>
      <c r="AH9" s="1437">
        <f>1001+176</f>
        <v>1177</v>
      </c>
      <c r="AI9" s="335">
        <f>318+9</f>
        <v>327</v>
      </c>
      <c r="AJ9" s="336">
        <f>269+6</f>
        <v>275</v>
      </c>
      <c r="AK9" s="1435">
        <f>388+2</f>
        <v>390</v>
      </c>
      <c r="AL9" s="1436">
        <f>AM9-SUM(AI9:AK9)</f>
        <v>327</v>
      </c>
      <c r="AM9" s="1437">
        <f>1301+18</f>
        <v>1319</v>
      </c>
      <c r="AN9" s="335">
        <f>343+5</f>
        <v>348</v>
      </c>
      <c r="AO9" s="336">
        <f>326+13</f>
        <v>339</v>
      </c>
      <c r="AP9" s="1435">
        <f>435+19</f>
        <v>454</v>
      </c>
      <c r="AQ9" s="1436">
        <f>AR9-SUM(AN9:AP9)</f>
        <v>317</v>
      </c>
      <c r="AR9" s="1437">
        <v>1458</v>
      </c>
      <c r="AS9" s="335">
        <f>329+5</f>
        <v>334</v>
      </c>
      <c r="AT9" s="336">
        <f>360+18</f>
        <v>378</v>
      </c>
      <c r="AU9" s="336">
        <f>489+40</f>
        <v>529</v>
      </c>
      <c r="AV9" s="1436">
        <f>AW9-SUM(AS9:AU9)</f>
        <v>400</v>
      </c>
      <c r="AW9" s="1437">
        <v>1641</v>
      </c>
      <c r="AX9" s="290">
        <f>+AX93</f>
        <v>339.80119565601899</v>
      </c>
      <c r="AY9" s="260">
        <f>+AY93</f>
        <v>388.46769230769223</v>
      </c>
      <c r="AZ9" s="260">
        <f>+AZ93</f>
        <v>528.56991869918704</v>
      </c>
      <c r="BA9" s="291">
        <f>+BA93</f>
        <v>401.50201162270895</v>
      </c>
      <c r="BB9" s="45">
        <f>SUM(AX9:BA9)</f>
        <v>1658.3408182856072</v>
      </c>
      <c r="BC9" s="290">
        <f>+BC93</f>
        <v>339.80119565601899</v>
      </c>
      <c r="BD9" s="260">
        <f>+BD93</f>
        <v>388.46769230769223</v>
      </c>
      <c r="BE9" s="260">
        <f>+BE93</f>
        <v>528.56991869918704</v>
      </c>
      <c r="BF9" s="291">
        <f>+BF93</f>
        <v>401.50201162270895</v>
      </c>
      <c r="BG9" s="45">
        <f>SUM(BC9:BF9)</f>
        <v>1658.3408182856072</v>
      </c>
      <c r="BH9" s="290">
        <f>+BH93</f>
        <v>339.80119565601899</v>
      </c>
      <c r="BI9" s="260">
        <f>+BI93</f>
        <v>388.46769230769223</v>
      </c>
      <c r="BJ9" s="260">
        <f>+BJ93</f>
        <v>528.56991869918704</v>
      </c>
      <c r="BK9" s="291">
        <f>+BK93</f>
        <v>401.50201162270895</v>
      </c>
      <c r="BL9" s="45">
        <f>SUM(BH9:BK9)</f>
        <v>1658.3408182856072</v>
      </c>
      <c r="BM9" s="290">
        <f>+BM93</f>
        <v>339.80119565601899</v>
      </c>
      <c r="BN9" s="260">
        <f>+BN93</f>
        <v>388.46769230769223</v>
      </c>
      <c r="BO9" s="260">
        <f>+BO93</f>
        <v>528.56991869918704</v>
      </c>
      <c r="BP9" s="291">
        <f>+BP93</f>
        <v>401.50201162270895</v>
      </c>
      <c r="BQ9" s="45">
        <f>SUM(BM9:BP9)</f>
        <v>1658.3408182856072</v>
      </c>
      <c r="BR9" s="45"/>
      <c r="BS9" s="45"/>
      <c r="BT9" s="45"/>
      <c r="BU9" s="45"/>
      <c r="BX9" s="45"/>
      <c r="BY9" s="45"/>
      <c r="BZ9" s="45"/>
      <c r="CA9" s="45"/>
      <c r="CB9" s="45"/>
      <c r="CC9" s="5"/>
      <c r="CD9" s="5"/>
      <c r="CE9" s="45"/>
      <c r="CF9" s="45"/>
      <c r="CG9" s="45"/>
      <c r="CH9" s="45"/>
      <c r="CI9" s="45"/>
      <c r="CJ9" s="45"/>
      <c r="CK9" s="45"/>
      <c r="CL9" s="45"/>
      <c r="CM9" s="45"/>
      <c r="CN9" s="45"/>
      <c r="CO9" s="45"/>
      <c r="CP9" s="45"/>
      <c r="CQ9" s="45"/>
      <c r="CR9" s="45"/>
      <c r="CS9" s="45"/>
      <c r="CT9" s="45"/>
      <c r="CU9" s="45"/>
    </row>
    <row r="10" spans="1:271" ht="12.75" customHeight="1">
      <c r="A10" s="228"/>
      <c r="B10" s="228"/>
      <c r="C10" s="32" t="s">
        <v>63</v>
      </c>
      <c r="D10" s="228"/>
      <c r="E10" s="292">
        <f t="shared" ref="E10:AE10" si="0">E8-E9</f>
        <v>671</v>
      </c>
      <c r="F10" s="261">
        <f t="shared" si="0"/>
        <v>674</v>
      </c>
      <c r="G10" s="261">
        <f t="shared" si="0"/>
        <v>699</v>
      </c>
      <c r="H10" s="293">
        <f t="shared" si="0"/>
        <v>665</v>
      </c>
      <c r="I10" s="228">
        <f t="shared" si="0"/>
        <v>2709</v>
      </c>
      <c r="J10" s="292">
        <f t="shared" si="0"/>
        <v>662</v>
      </c>
      <c r="K10" s="261">
        <f t="shared" si="0"/>
        <v>728</v>
      </c>
      <c r="L10" s="261">
        <f t="shared" si="0"/>
        <v>806</v>
      </c>
      <c r="M10" s="293">
        <f t="shared" si="0"/>
        <v>701</v>
      </c>
      <c r="N10" s="228">
        <f t="shared" si="0"/>
        <v>2897</v>
      </c>
      <c r="O10" s="292">
        <f t="shared" si="0"/>
        <v>677</v>
      </c>
      <c r="P10" s="261">
        <f t="shared" si="0"/>
        <v>728</v>
      </c>
      <c r="Q10" s="261">
        <f t="shared" si="0"/>
        <v>852</v>
      </c>
      <c r="R10" s="293">
        <f t="shared" si="0"/>
        <v>764</v>
      </c>
      <c r="S10" s="228">
        <f t="shared" si="0"/>
        <v>3021</v>
      </c>
      <c r="T10" s="292">
        <f t="shared" si="0"/>
        <v>768</v>
      </c>
      <c r="U10" s="261">
        <f t="shared" si="0"/>
        <v>694</v>
      </c>
      <c r="V10" s="261">
        <f t="shared" si="0"/>
        <v>806</v>
      </c>
      <c r="W10" s="293">
        <f t="shared" si="0"/>
        <v>868</v>
      </c>
      <c r="X10" s="228">
        <f t="shared" si="0"/>
        <v>3136</v>
      </c>
      <c r="Y10" s="292">
        <f t="shared" si="0"/>
        <v>778</v>
      </c>
      <c r="Z10" s="261">
        <f t="shared" si="0"/>
        <v>832</v>
      </c>
      <c r="AA10" s="1438">
        <f t="shared" si="0"/>
        <v>855</v>
      </c>
      <c r="AB10" s="1439">
        <f>AB8-AB9</f>
        <v>825</v>
      </c>
      <c r="AC10" s="1440">
        <f>AC8-AC9</f>
        <v>3290</v>
      </c>
      <c r="AD10" s="292">
        <f t="shared" si="0"/>
        <v>814</v>
      </c>
      <c r="AE10" s="261">
        <f t="shared" si="0"/>
        <v>859</v>
      </c>
      <c r="AF10" s="1438">
        <f t="shared" ref="AF10" si="1">AF8-AF9</f>
        <v>896</v>
      </c>
      <c r="AG10" s="1439">
        <f>AG8-AG9</f>
        <v>818</v>
      </c>
      <c r="AH10" s="1440">
        <f>AH8-AH9</f>
        <v>3387</v>
      </c>
      <c r="AI10" s="292">
        <f t="shared" ref="AI10:AK10" si="2">AI8-AI9</f>
        <v>858</v>
      </c>
      <c r="AJ10" s="261">
        <f t="shared" si="2"/>
        <v>873</v>
      </c>
      <c r="AK10" s="1438">
        <f t="shared" si="2"/>
        <v>986</v>
      </c>
      <c r="AL10" s="1439">
        <f>AL8-AL9</f>
        <v>869</v>
      </c>
      <c r="AM10" s="1440">
        <f>AM8-AM9</f>
        <v>3586</v>
      </c>
      <c r="AN10" s="292">
        <f t="shared" ref="AN10:AP10" si="3">AN8-AN9</f>
        <v>901</v>
      </c>
      <c r="AO10" s="261">
        <f t="shared" si="3"/>
        <v>947</v>
      </c>
      <c r="AP10" s="1438">
        <f t="shared" si="3"/>
        <v>1043</v>
      </c>
      <c r="AQ10" s="1439">
        <f>AQ8-AQ9</f>
        <v>905</v>
      </c>
      <c r="AR10" s="1440">
        <f>AR8-AR9</f>
        <v>3796</v>
      </c>
      <c r="AS10" s="292">
        <f t="shared" ref="AS10:AU10" si="4">AS8-AS9</f>
        <v>964</v>
      </c>
      <c r="AT10" s="261">
        <f t="shared" si="4"/>
        <v>979</v>
      </c>
      <c r="AU10" s="261">
        <f t="shared" si="4"/>
        <v>1042</v>
      </c>
      <c r="AV10" s="1439">
        <f>AV8-AV9</f>
        <v>910</v>
      </c>
      <c r="AW10" s="1440">
        <f>AW8-AW9</f>
        <v>3895</v>
      </c>
      <c r="AX10" s="292">
        <f t="shared" ref="AX10:BB10" si="5">AX8-AX9</f>
        <v>934.64982069581538</v>
      </c>
      <c r="AY10" s="261">
        <f t="shared" si="5"/>
        <v>960.01701923076894</v>
      </c>
      <c r="AZ10" s="261">
        <f t="shared" si="5"/>
        <v>995.05909552845549</v>
      </c>
      <c r="BA10" s="293">
        <f t="shared" si="5"/>
        <v>867.32332644166286</v>
      </c>
      <c r="BB10" s="228">
        <f t="shared" si="5"/>
        <v>3757.0492618967028</v>
      </c>
      <c r="BC10" s="292">
        <f t="shared" ref="BC10:BL10" si="6">BC8-BC9</f>
        <v>957.74357069581538</v>
      </c>
      <c r="BD10" s="261">
        <f t="shared" si="6"/>
        <v>983.11076923076894</v>
      </c>
      <c r="BE10" s="261">
        <f t="shared" si="6"/>
        <v>1018.1528455284555</v>
      </c>
      <c r="BF10" s="293">
        <f t="shared" si="6"/>
        <v>890.41707644166286</v>
      </c>
      <c r="BG10" s="228">
        <f t="shared" si="6"/>
        <v>3849.4242618967028</v>
      </c>
      <c r="BH10" s="292">
        <f t="shared" si="6"/>
        <v>987.18107069581538</v>
      </c>
      <c r="BI10" s="261">
        <f t="shared" si="6"/>
        <v>1012.5482692307692</v>
      </c>
      <c r="BJ10" s="261">
        <f t="shared" si="6"/>
        <v>1047.5903455284551</v>
      </c>
      <c r="BK10" s="293">
        <f t="shared" si="6"/>
        <v>919.85457644166286</v>
      </c>
      <c r="BL10" s="228">
        <f t="shared" si="6"/>
        <v>3967.1742618967028</v>
      </c>
      <c r="BM10" s="292">
        <f t="shared" ref="BM10:BQ10" si="7">BM8-BM9</f>
        <v>1017.3373206958154</v>
      </c>
      <c r="BN10" s="261">
        <f t="shared" si="7"/>
        <v>1042.7045192307692</v>
      </c>
      <c r="BO10" s="261">
        <f t="shared" si="7"/>
        <v>1077.7465955284551</v>
      </c>
      <c r="BP10" s="293">
        <f t="shared" si="7"/>
        <v>950.01082644166308</v>
      </c>
      <c r="BQ10" s="228">
        <f t="shared" si="7"/>
        <v>4087.7992618967028</v>
      </c>
      <c r="BR10" s="228"/>
      <c r="BS10" s="228"/>
      <c r="BT10" s="228"/>
      <c r="BU10" s="228"/>
      <c r="BX10" s="228"/>
      <c r="BY10" s="228"/>
      <c r="BZ10" s="228"/>
      <c r="CA10" s="228"/>
      <c r="CB10" s="228"/>
      <c r="CC10" s="5"/>
      <c r="CD10" s="5"/>
      <c r="CE10" s="228"/>
      <c r="CF10" s="228"/>
      <c r="CG10" s="228"/>
      <c r="CH10" s="228"/>
      <c r="CI10" s="228"/>
      <c r="CJ10" s="228"/>
      <c r="CK10" s="228"/>
      <c r="CL10" s="228"/>
      <c r="CM10" s="228"/>
      <c r="CN10" s="228"/>
      <c r="CO10" s="228"/>
      <c r="CP10" s="228"/>
      <c r="CQ10" s="228"/>
      <c r="CR10" s="228"/>
      <c r="CS10" s="228"/>
      <c r="CT10" s="228"/>
      <c r="CU10" s="228"/>
    </row>
    <row r="11" spans="1:271" ht="12.75" customHeight="1">
      <c r="A11" s="330"/>
      <c r="B11" s="330"/>
      <c r="C11" s="28"/>
      <c r="D11" s="330"/>
      <c r="E11" s="292"/>
      <c r="F11" s="261"/>
      <c r="G11" s="261"/>
      <c r="H11" s="293"/>
      <c r="I11" s="228"/>
      <c r="J11" s="292"/>
      <c r="K11" s="261"/>
      <c r="L11" s="261"/>
      <c r="M11" s="293"/>
      <c r="N11" s="228"/>
      <c r="O11" s="292"/>
      <c r="P11" s="261"/>
      <c r="Q11" s="261"/>
      <c r="R11" s="293"/>
      <c r="S11" s="228"/>
      <c r="T11" s="300"/>
      <c r="U11" s="264"/>
      <c r="V11" s="261"/>
      <c r="W11" s="293"/>
      <c r="X11" s="228"/>
      <c r="Y11" s="300"/>
      <c r="Z11" s="264"/>
      <c r="AA11" s="1438"/>
      <c r="AB11" s="1439"/>
      <c r="AC11" s="1440"/>
      <c r="AD11" s="300"/>
      <c r="AE11" s="264"/>
      <c r="AF11" s="1438"/>
      <c r="AG11" s="1439"/>
      <c r="AH11" s="1440"/>
      <c r="AI11" s="300"/>
      <c r="AJ11" s="264"/>
      <c r="AK11" s="1438"/>
      <c r="AL11" s="1439"/>
      <c r="AM11" s="1440"/>
      <c r="AN11" s="300"/>
      <c r="AO11" s="264"/>
      <c r="AP11" s="1438"/>
      <c r="AQ11" s="1439"/>
      <c r="AR11" s="1440"/>
      <c r="AS11" s="300"/>
      <c r="AT11" s="264"/>
      <c r="AU11" s="264"/>
      <c r="AV11" s="1439"/>
      <c r="AW11" s="1440"/>
      <c r="AX11" s="300"/>
      <c r="AY11" s="264"/>
      <c r="AZ11" s="264"/>
      <c r="BA11" s="299"/>
      <c r="BB11" s="330"/>
      <c r="BC11" s="300"/>
      <c r="BD11" s="264"/>
      <c r="BE11" s="264"/>
      <c r="BF11" s="299"/>
      <c r="BG11" s="330"/>
      <c r="BH11" s="300"/>
      <c r="BI11" s="264"/>
      <c r="BJ11" s="264"/>
      <c r="BK11" s="299"/>
      <c r="BL11" s="330"/>
      <c r="BM11" s="300"/>
      <c r="BN11" s="264"/>
      <c r="BO11" s="264"/>
      <c r="BP11" s="299"/>
      <c r="BQ11" s="330"/>
      <c r="BR11" s="330"/>
      <c r="BS11" s="330"/>
      <c r="BT11" s="330"/>
      <c r="BU11" s="330"/>
      <c r="BX11" s="330"/>
      <c r="BY11" s="330"/>
      <c r="BZ11" s="330"/>
      <c r="CA11" s="330"/>
      <c r="CB11" s="330"/>
      <c r="CC11" s="5"/>
      <c r="CD11" s="5"/>
      <c r="CE11" s="330"/>
      <c r="CF11" s="330"/>
      <c r="CG11" s="330"/>
      <c r="CH11" s="330"/>
      <c r="CI11" s="330"/>
      <c r="CJ11" s="330"/>
      <c r="CK11" s="330"/>
      <c r="CL11" s="330"/>
      <c r="CM11" s="330"/>
      <c r="CN11" s="330"/>
      <c r="CO11" s="330"/>
      <c r="CP11" s="330"/>
      <c r="CQ11" s="330"/>
      <c r="CR11" s="330"/>
      <c r="CS11" s="330"/>
      <c r="CT11" s="330"/>
      <c r="CU11" s="330"/>
    </row>
    <row r="12" spans="1:271" ht="12.75" customHeight="1">
      <c r="A12" s="330"/>
      <c r="B12" s="330"/>
      <c r="C12" s="28" t="s">
        <v>64</v>
      </c>
      <c r="D12" s="330"/>
      <c r="E12" s="335">
        <f>253+11</f>
        <v>264</v>
      </c>
      <c r="F12" s="336">
        <f>270+14</f>
        <v>284</v>
      </c>
      <c r="G12" s="336">
        <f>273+19</f>
        <v>292</v>
      </c>
      <c r="H12" s="586">
        <f>I12-SUM(E12:G12)</f>
        <v>251</v>
      </c>
      <c r="I12" s="427">
        <f>1028+63</f>
        <v>1091</v>
      </c>
      <c r="J12" s="335">
        <f>159+19</f>
        <v>178</v>
      </c>
      <c r="K12" s="336">
        <f>276+21</f>
        <v>297</v>
      </c>
      <c r="L12" s="336">
        <f>298+22</f>
        <v>320</v>
      </c>
      <c r="M12" s="586">
        <f>N12-SUM(J12:L12)</f>
        <v>274</v>
      </c>
      <c r="N12" s="427">
        <f>975+94</f>
        <v>1069</v>
      </c>
      <c r="O12" s="335">
        <v>266</v>
      </c>
      <c r="P12" s="336">
        <f>245+23</f>
        <v>268</v>
      </c>
      <c r="Q12" s="336">
        <f>353+43</f>
        <v>396</v>
      </c>
      <c r="R12" s="586">
        <f>S12-SUM(O12:Q12)</f>
        <v>271</v>
      </c>
      <c r="S12" s="427">
        <f>928+158+115</f>
        <v>1201</v>
      </c>
      <c r="T12" s="335">
        <f>276+42</f>
        <v>318</v>
      </c>
      <c r="U12" s="336">
        <v>331</v>
      </c>
      <c r="V12" s="336">
        <f>313+37</f>
        <v>350</v>
      </c>
      <c r="W12" s="586">
        <f>X12-SUM(T12:V12)</f>
        <v>346</v>
      </c>
      <c r="X12" s="427">
        <f>1182+163</f>
        <v>1345</v>
      </c>
      <c r="Y12" s="335">
        <f>292+36</f>
        <v>328</v>
      </c>
      <c r="Z12" s="336">
        <f>319+40</f>
        <v>359</v>
      </c>
      <c r="AA12" s="1435">
        <f>296+37</f>
        <v>333</v>
      </c>
      <c r="AB12" s="1436">
        <f>AC12-SUM(Y12:AA12)</f>
        <v>348</v>
      </c>
      <c r="AC12" s="1437">
        <f>1211+157</f>
        <v>1368</v>
      </c>
      <c r="AD12" s="335">
        <f>287+39</f>
        <v>326</v>
      </c>
      <c r="AE12" s="336">
        <f>316+39</f>
        <v>355</v>
      </c>
      <c r="AF12" s="1435">
        <f>320+39</f>
        <v>359</v>
      </c>
      <c r="AG12" s="1436">
        <f>AH12-SUM(AD12:AF12)</f>
        <v>389</v>
      </c>
      <c r="AH12" s="1437">
        <f>1263+166</f>
        <v>1429</v>
      </c>
      <c r="AI12" s="335">
        <f>333+45</f>
        <v>378</v>
      </c>
      <c r="AJ12" s="336">
        <f>337+47</f>
        <v>384</v>
      </c>
      <c r="AK12" s="1435">
        <f>353+51</f>
        <v>404</v>
      </c>
      <c r="AL12" s="1436">
        <f>AM12-SUM(AI12:AK12)</f>
        <v>401</v>
      </c>
      <c r="AM12" s="1437">
        <f>1372+195</f>
        <v>1567</v>
      </c>
      <c r="AN12" s="335">
        <f>305+63</f>
        <v>368</v>
      </c>
      <c r="AO12" s="336">
        <f>318+50</f>
        <v>368</v>
      </c>
      <c r="AP12" s="1435">
        <f>327+50</f>
        <v>377</v>
      </c>
      <c r="AQ12" s="1436">
        <f>AR12-SUM(AN12:AP12)</f>
        <v>417</v>
      </c>
      <c r="AR12" s="1437">
        <v>1530</v>
      </c>
      <c r="AS12" s="335">
        <f>307+63</f>
        <v>370</v>
      </c>
      <c r="AT12" s="336">
        <f>312+65</f>
        <v>377</v>
      </c>
      <c r="AU12" s="336">
        <f>277+69</f>
        <v>346</v>
      </c>
      <c r="AV12" s="1436">
        <f>AW12-SUM(AS12:AU12)</f>
        <v>334</v>
      </c>
      <c r="AW12" s="1437">
        <f>1157+270</f>
        <v>1427</v>
      </c>
      <c r="AX12" s="300">
        <f>+AX115</f>
        <v>381.1</v>
      </c>
      <c r="AY12" s="264">
        <f>+AY115</f>
        <v>388.31</v>
      </c>
      <c r="AZ12" s="264">
        <f>+AZ115</f>
        <v>356.38</v>
      </c>
      <c r="BA12" s="299">
        <f>+BA115</f>
        <v>344.02</v>
      </c>
      <c r="BB12" s="330">
        <f>SUM(AX12:BA12)</f>
        <v>1469.81</v>
      </c>
      <c r="BC12" s="300">
        <f>+BC115</f>
        <v>381.1</v>
      </c>
      <c r="BD12" s="264">
        <f>+BD115</f>
        <v>388.31</v>
      </c>
      <c r="BE12" s="264">
        <f>+BE115</f>
        <v>356.38</v>
      </c>
      <c r="BF12" s="299">
        <f>+BF115</f>
        <v>344.02</v>
      </c>
      <c r="BG12" s="330">
        <f>SUM(BC12:BF12)</f>
        <v>1469.81</v>
      </c>
      <c r="BH12" s="300">
        <f>+BH115</f>
        <v>381.1</v>
      </c>
      <c r="BI12" s="264">
        <f>+BI115</f>
        <v>388.31</v>
      </c>
      <c r="BJ12" s="264">
        <f>+BJ115</f>
        <v>356.38</v>
      </c>
      <c r="BK12" s="299">
        <f>+BK115</f>
        <v>344.02</v>
      </c>
      <c r="BL12" s="330">
        <f>SUM(BH12:BK12)</f>
        <v>1469.81</v>
      </c>
      <c r="BM12" s="300">
        <f>+BM115</f>
        <v>381.1</v>
      </c>
      <c r="BN12" s="264">
        <f>+BN115</f>
        <v>388.31</v>
      </c>
      <c r="BO12" s="264">
        <f>+BO115</f>
        <v>356.38</v>
      </c>
      <c r="BP12" s="299">
        <f>+BP115</f>
        <v>344.02</v>
      </c>
      <c r="BQ12" s="330">
        <f>SUM(BM12:BP12)</f>
        <v>1469.81</v>
      </c>
      <c r="BR12" s="330"/>
      <c r="BS12" s="330"/>
      <c r="BT12" s="330"/>
      <c r="BU12" s="330"/>
      <c r="BX12" s="330"/>
      <c r="BY12" s="330"/>
      <c r="BZ12" s="330"/>
      <c r="CA12" s="330"/>
      <c r="CB12" s="330"/>
      <c r="CC12" s="5"/>
      <c r="CD12" s="5"/>
      <c r="CE12" s="330"/>
      <c r="CF12" s="330"/>
      <c r="CG12" s="330"/>
      <c r="CH12" s="330"/>
      <c r="CI12" s="330"/>
      <c r="CJ12" s="330"/>
      <c r="CK12" s="330"/>
      <c r="CL12" s="330"/>
      <c r="CM12" s="330"/>
      <c r="CN12" s="330"/>
      <c r="CO12" s="330"/>
      <c r="CP12" s="330"/>
      <c r="CQ12" s="330"/>
      <c r="CR12" s="330"/>
      <c r="CS12" s="330"/>
      <c r="CT12" s="330"/>
      <c r="CU12" s="330"/>
    </row>
    <row r="13" spans="1:271" ht="12.75" customHeight="1">
      <c r="A13" s="330"/>
      <c r="B13" s="330"/>
      <c r="C13" s="28" t="s">
        <v>67</v>
      </c>
      <c r="D13" s="330"/>
      <c r="E13" s="335">
        <v>123</v>
      </c>
      <c r="F13" s="336">
        <v>124</v>
      </c>
      <c r="G13" s="336">
        <v>125</v>
      </c>
      <c r="H13" s="586">
        <f>I13-SUM(E13:G13)</f>
        <v>122</v>
      </c>
      <c r="I13" s="427">
        <v>494</v>
      </c>
      <c r="J13" s="335">
        <v>130</v>
      </c>
      <c r="K13" s="336">
        <v>131</v>
      </c>
      <c r="L13" s="336">
        <v>126</v>
      </c>
      <c r="M13" s="586">
        <f>N13-SUM(J13:L13)</f>
        <v>129</v>
      </c>
      <c r="N13" s="427">
        <v>516</v>
      </c>
      <c r="O13" s="335">
        <v>134</v>
      </c>
      <c r="P13" s="336">
        <v>136</v>
      </c>
      <c r="Q13" s="336">
        <v>135</v>
      </c>
      <c r="R13" s="586">
        <f>S13-SUM(O13:Q13)</f>
        <v>137</v>
      </c>
      <c r="S13" s="427">
        <v>542</v>
      </c>
      <c r="T13" s="335">
        <v>149</v>
      </c>
      <c r="U13" s="336">
        <v>152</v>
      </c>
      <c r="V13" s="336">
        <v>157</v>
      </c>
      <c r="W13" s="586">
        <f>X13-SUM(T13:V13)</f>
        <v>152</v>
      </c>
      <c r="X13" s="427">
        <v>610</v>
      </c>
      <c r="Y13" s="335">
        <v>167</v>
      </c>
      <c r="Z13" s="336">
        <v>170</v>
      </c>
      <c r="AA13" s="1435">
        <v>164</v>
      </c>
      <c r="AB13" s="1436">
        <f>AC13-SUM(Y13:AA13)</f>
        <v>168</v>
      </c>
      <c r="AC13" s="1437">
        <v>669</v>
      </c>
      <c r="AD13" s="335">
        <v>173</v>
      </c>
      <c r="AE13" s="336">
        <v>174</v>
      </c>
      <c r="AF13" s="1435">
        <v>174</v>
      </c>
      <c r="AG13" s="1436">
        <f>AH13-SUM(AD13:AF13)</f>
        <v>166</v>
      </c>
      <c r="AH13" s="1437">
        <v>687</v>
      </c>
      <c r="AI13" s="335">
        <v>175</v>
      </c>
      <c r="AJ13" s="336">
        <v>177</v>
      </c>
      <c r="AK13" s="1435">
        <v>176</v>
      </c>
      <c r="AL13" s="1436">
        <f>AM13-SUM(AI13:AK13)</f>
        <v>179</v>
      </c>
      <c r="AM13" s="1437">
        <v>707</v>
      </c>
      <c r="AN13" s="335">
        <v>189</v>
      </c>
      <c r="AO13" s="336">
        <v>190</v>
      </c>
      <c r="AP13" s="1435">
        <v>196</v>
      </c>
      <c r="AQ13" s="1436">
        <f>AR13-SUM(AN13:AP13)</f>
        <v>200</v>
      </c>
      <c r="AR13" s="1437">
        <v>775</v>
      </c>
      <c r="AS13" s="335">
        <v>208</v>
      </c>
      <c r="AT13" s="336">
        <v>211</v>
      </c>
      <c r="AU13" s="336">
        <v>212</v>
      </c>
      <c r="AV13" s="1436">
        <f>AW13-SUM(AS13:AU13)</f>
        <v>219</v>
      </c>
      <c r="AW13" s="1437">
        <v>850</v>
      </c>
      <c r="AX13" s="300">
        <f>AX131</f>
        <v>199.82957894211077</v>
      </c>
      <c r="AY13" s="264">
        <f>AY131</f>
        <v>203.39125135455083</v>
      </c>
      <c r="AZ13" s="264">
        <f>AZ131</f>
        <v>206.63364844919141</v>
      </c>
      <c r="BA13" s="299">
        <f>BA131</f>
        <v>209.84397948196002</v>
      </c>
      <c r="BB13" s="330">
        <f>SUM(AX13:BA13)</f>
        <v>819.69845822781292</v>
      </c>
      <c r="BC13" s="300">
        <f>BC131</f>
        <v>213.02256157389206</v>
      </c>
      <c r="BD13" s="264">
        <f>BD131</f>
        <v>216.08971270562222</v>
      </c>
      <c r="BE13" s="264">
        <f>BE131</f>
        <v>218.21756530460766</v>
      </c>
      <c r="BF13" s="299">
        <f>BF131</f>
        <v>220.32437425869023</v>
      </c>
      <c r="BG13" s="330">
        <f>SUM(BC13:BF13)</f>
        <v>867.65421384281217</v>
      </c>
      <c r="BH13" s="300">
        <f>BH131</f>
        <v>222.41034768143533</v>
      </c>
      <c r="BI13" s="264">
        <f>BI131</f>
        <v>224.50069037955609</v>
      </c>
      <c r="BJ13" s="264">
        <f>BJ131</f>
        <v>226.85441213695324</v>
      </c>
      <c r="BK13" s="299">
        <f>BK131</f>
        <v>229.18485649022642</v>
      </c>
      <c r="BL13" s="330">
        <f>SUM(BH13:BK13)</f>
        <v>902.95030668817117</v>
      </c>
      <c r="BM13" s="300">
        <f>BM131</f>
        <v>231.49225364396179</v>
      </c>
      <c r="BN13" s="264">
        <f>BN131</f>
        <v>233.7768315261103</v>
      </c>
      <c r="BO13" s="264">
        <f>BO131</f>
        <v>236.03881581050319</v>
      </c>
      <c r="BP13" s="299">
        <f>BP131</f>
        <v>238.27842993914413</v>
      </c>
      <c r="BQ13" s="330">
        <f>SUM(BM13:BP13)</f>
        <v>939.58633091971956</v>
      </c>
      <c r="BR13" s="330"/>
      <c r="BS13" s="330"/>
      <c r="BT13" s="330"/>
      <c r="BU13" s="330"/>
      <c r="BX13" s="330"/>
      <c r="BY13" s="330"/>
      <c r="BZ13" s="330"/>
      <c r="CA13" s="330"/>
      <c r="CB13" s="330"/>
      <c r="CC13" s="5"/>
      <c r="CD13" s="5"/>
      <c r="CE13" s="330"/>
      <c r="CF13" s="330"/>
      <c r="CG13" s="330"/>
      <c r="CH13" s="330"/>
      <c r="CI13" s="330"/>
      <c r="CJ13" s="330"/>
      <c r="CK13" s="330"/>
      <c r="CL13" s="330"/>
      <c r="CM13" s="330"/>
      <c r="CN13" s="330"/>
      <c r="CO13" s="330"/>
      <c r="CP13" s="330"/>
      <c r="CQ13" s="330"/>
      <c r="CR13" s="330"/>
      <c r="CS13" s="330"/>
      <c r="CT13" s="330"/>
      <c r="CU13" s="330"/>
    </row>
    <row r="14" spans="1:271" ht="12.75" customHeight="1">
      <c r="A14" s="330"/>
      <c r="B14" s="330"/>
      <c r="C14" s="1" t="s">
        <v>65</v>
      </c>
      <c r="D14" s="330"/>
      <c r="E14" s="335">
        <v>78</v>
      </c>
      <c r="F14" s="336">
        <v>57</v>
      </c>
      <c r="G14" s="336">
        <v>79</v>
      </c>
      <c r="H14" s="586">
        <f>I14-SUM(E14:G14)</f>
        <v>67</v>
      </c>
      <c r="I14" s="427">
        <v>281</v>
      </c>
      <c r="J14" s="335">
        <v>63</v>
      </c>
      <c r="K14" s="336">
        <v>44</v>
      </c>
      <c r="L14" s="336">
        <v>81</v>
      </c>
      <c r="M14" s="586">
        <f>N14-SUM(J14:L14)</f>
        <v>68</v>
      </c>
      <c r="N14" s="427">
        <v>256</v>
      </c>
      <c r="O14" s="335">
        <v>77</v>
      </c>
      <c r="P14" s="336">
        <v>70</v>
      </c>
      <c r="Q14" s="336">
        <v>78</v>
      </c>
      <c r="R14" s="586">
        <f>S14-SUM(O14:Q14)</f>
        <v>71</v>
      </c>
      <c r="S14" s="427">
        <v>296</v>
      </c>
      <c r="T14" s="335">
        <v>75</v>
      </c>
      <c r="U14" s="336">
        <v>69</v>
      </c>
      <c r="V14" s="336">
        <v>81</v>
      </c>
      <c r="W14" s="586">
        <f>X14-SUM(T14:V14)</f>
        <v>70</v>
      </c>
      <c r="X14" s="427">
        <v>295</v>
      </c>
      <c r="Y14" s="335">
        <v>74</v>
      </c>
      <c r="Z14" s="336">
        <v>71</v>
      </c>
      <c r="AA14" s="1435">
        <v>80</v>
      </c>
      <c r="AB14" s="1436">
        <f>AC14-SUM(Y14:AA14)</f>
        <v>74</v>
      </c>
      <c r="AC14" s="1437">
        <v>299</v>
      </c>
      <c r="AD14" s="335">
        <v>77</v>
      </c>
      <c r="AE14" s="336">
        <v>72</v>
      </c>
      <c r="AF14" s="1435">
        <v>76</v>
      </c>
      <c r="AG14" s="1436">
        <f>AH14-SUM(AD14:AF14)</f>
        <v>68</v>
      </c>
      <c r="AH14" s="1437">
        <v>293</v>
      </c>
      <c r="AI14" s="335">
        <v>75</v>
      </c>
      <c r="AJ14" s="336">
        <v>69</v>
      </c>
      <c r="AK14" s="1435">
        <v>79</v>
      </c>
      <c r="AL14" s="1436">
        <f>AM14-SUM(AI14:AK14)</f>
        <v>73</v>
      </c>
      <c r="AM14" s="1437">
        <v>296</v>
      </c>
      <c r="AN14" s="335">
        <v>75</v>
      </c>
      <c r="AO14" s="336">
        <v>65</v>
      </c>
      <c r="AP14" s="1435">
        <v>82</v>
      </c>
      <c r="AQ14" s="1436">
        <f>AR14-SUM(AN14:AP14)</f>
        <v>71</v>
      </c>
      <c r="AR14" s="1437">
        <v>293</v>
      </c>
      <c r="AS14" s="335">
        <v>72</v>
      </c>
      <c r="AT14" s="336">
        <v>72</v>
      </c>
      <c r="AU14" s="336">
        <v>80</v>
      </c>
      <c r="AV14" s="1436">
        <f>AW14-SUM(AS14:AU14)</f>
        <v>72</v>
      </c>
      <c r="AW14" s="1437">
        <v>296</v>
      </c>
      <c r="AX14" s="300">
        <f>AX120</f>
        <v>73.44</v>
      </c>
      <c r="AY14" s="264">
        <f>AY120</f>
        <v>73.44</v>
      </c>
      <c r="AZ14" s="264">
        <f>AZ120</f>
        <v>81.599999999999994</v>
      </c>
      <c r="BA14" s="299">
        <f>BA120</f>
        <v>73.44</v>
      </c>
      <c r="BB14" s="330">
        <f>SUM(AX14:BA14)</f>
        <v>301.91999999999996</v>
      </c>
      <c r="BC14" s="300">
        <f>BC120</f>
        <v>74.908799999999999</v>
      </c>
      <c r="BD14" s="264">
        <f>BD120</f>
        <v>74.908799999999999</v>
      </c>
      <c r="BE14" s="264">
        <f>BE120</f>
        <v>83.231999999999999</v>
      </c>
      <c r="BF14" s="299">
        <f>BF120</f>
        <v>74.908799999999999</v>
      </c>
      <c r="BG14" s="330">
        <f>SUM(BC14:BF14)</f>
        <v>307.95839999999998</v>
      </c>
      <c r="BH14" s="300">
        <f>BH120</f>
        <v>76.406976</v>
      </c>
      <c r="BI14" s="264">
        <f>BI120</f>
        <v>76.406976</v>
      </c>
      <c r="BJ14" s="264">
        <f>BJ120</f>
        <v>84.896640000000005</v>
      </c>
      <c r="BK14" s="299">
        <f>BK120</f>
        <v>76.406976</v>
      </c>
      <c r="BL14" s="330">
        <f>SUM(BH14:BK14)</f>
        <v>314.11756800000001</v>
      </c>
      <c r="BM14" s="300">
        <f>BM120</f>
        <v>77.935115519999997</v>
      </c>
      <c r="BN14" s="264">
        <f>BN120</f>
        <v>77.935115519999997</v>
      </c>
      <c r="BO14" s="264">
        <f>BO120</f>
        <v>86.594572800000009</v>
      </c>
      <c r="BP14" s="299">
        <f>BP120</f>
        <v>77.935115519999997</v>
      </c>
      <c r="BQ14" s="330">
        <f>SUM(BM14:BP14)</f>
        <v>320.39991936000001</v>
      </c>
      <c r="BR14" s="330"/>
      <c r="BS14" s="330"/>
      <c r="BT14" s="330"/>
      <c r="BU14" s="330"/>
      <c r="BX14" s="330"/>
      <c r="BY14" s="330"/>
      <c r="BZ14" s="330"/>
      <c r="CA14" s="330"/>
      <c r="CB14" s="330"/>
      <c r="CC14" s="5"/>
      <c r="CD14" s="5"/>
      <c r="CE14" s="330"/>
      <c r="CF14" s="330"/>
      <c r="CG14" s="330"/>
      <c r="CH14" s="330"/>
      <c r="CI14" s="330"/>
      <c r="CJ14" s="330"/>
      <c r="CK14" s="330"/>
      <c r="CL14" s="330"/>
      <c r="CM14" s="330"/>
      <c r="CN14" s="330"/>
      <c r="CO14" s="330"/>
      <c r="CP14" s="330"/>
      <c r="CQ14" s="330"/>
      <c r="CR14" s="330"/>
      <c r="CS14" s="330"/>
      <c r="CT14" s="330"/>
      <c r="CU14" s="330"/>
    </row>
    <row r="15" spans="1:271" ht="12.75" customHeight="1">
      <c r="A15" s="330"/>
      <c r="B15" s="330"/>
      <c r="C15" s="32" t="s">
        <v>79</v>
      </c>
      <c r="D15" s="330"/>
      <c r="E15" s="292">
        <f t="shared" ref="E15:AE15" si="8">SUM(E12:E14,E9:E9)</f>
        <v>1347</v>
      </c>
      <c r="F15" s="261">
        <f t="shared" si="8"/>
        <v>1180</v>
      </c>
      <c r="G15" s="261">
        <f t="shared" si="8"/>
        <v>1272</v>
      </c>
      <c r="H15" s="293">
        <f t="shared" si="8"/>
        <v>1132</v>
      </c>
      <c r="I15" s="228">
        <f t="shared" si="8"/>
        <v>4931</v>
      </c>
      <c r="J15" s="292">
        <f t="shared" si="8"/>
        <v>1124</v>
      </c>
      <c r="K15" s="261">
        <f t="shared" si="8"/>
        <v>1243</v>
      </c>
      <c r="L15" s="261">
        <f t="shared" si="8"/>
        <v>1639</v>
      </c>
      <c r="M15" s="293">
        <f t="shared" si="8"/>
        <v>1142</v>
      </c>
      <c r="N15" s="228">
        <f t="shared" si="8"/>
        <v>5148</v>
      </c>
      <c r="O15" s="292">
        <f t="shared" si="8"/>
        <v>1266</v>
      </c>
      <c r="P15" s="261">
        <f t="shared" si="8"/>
        <v>1190</v>
      </c>
      <c r="Q15" s="261">
        <f t="shared" si="8"/>
        <v>1541</v>
      </c>
      <c r="R15" s="293">
        <f t="shared" si="8"/>
        <v>1077</v>
      </c>
      <c r="S15" s="228">
        <f t="shared" si="8"/>
        <v>5074</v>
      </c>
      <c r="T15" s="292">
        <f t="shared" si="8"/>
        <v>1162</v>
      </c>
      <c r="U15" s="261">
        <f t="shared" si="8"/>
        <v>1139</v>
      </c>
      <c r="V15" s="261">
        <f t="shared" si="8"/>
        <v>1266</v>
      </c>
      <c r="W15" s="293">
        <f t="shared" si="8"/>
        <v>990</v>
      </c>
      <c r="X15" s="228">
        <f t="shared" si="8"/>
        <v>4557</v>
      </c>
      <c r="Y15" s="292">
        <f t="shared" si="8"/>
        <v>951</v>
      </c>
      <c r="Z15" s="261">
        <f t="shared" si="8"/>
        <v>848</v>
      </c>
      <c r="AA15" s="1438">
        <f t="shared" si="8"/>
        <v>878</v>
      </c>
      <c r="AB15" s="1439">
        <f>SUM(AB12:AB14,AB9:AB9)</f>
        <v>833</v>
      </c>
      <c r="AC15" s="1440">
        <f>SUM(AC12:AC14,AC9:AC9)</f>
        <v>3510</v>
      </c>
      <c r="AD15" s="292">
        <f t="shared" si="8"/>
        <v>896</v>
      </c>
      <c r="AE15" s="261">
        <f t="shared" si="8"/>
        <v>870</v>
      </c>
      <c r="AF15" s="1438">
        <f t="shared" ref="AF15" si="9">SUM(AF12:AF14,AF9:AF9)</f>
        <v>935</v>
      </c>
      <c r="AG15" s="1439">
        <f>SUM(AG12:AG14,AG9:AG9)</f>
        <v>885</v>
      </c>
      <c r="AH15" s="1440">
        <f>SUM(AH12:AH14,AH9:AH9)</f>
        <v>3586</v>
      </c>
      <c r="AI15" s="292">
        <f t="shared" ref="AI15:AK15" si="10">SUM(AI12:AI14,AI9:AI9)</f>
        <v>955</v>
      </c>
      <c r="AJ15" s="261">
        <f t="shared" si="10"/>
        <v>905</v>
      </c>
      <c r="AK15" s="1438">
        <f t="shared" si="10"/>
        <v>1049</v>
      </c>
      <c r="AL15" s="1439">
        <f>SUM(AL12:AL14,AL9:AL9)</f>
        <v>980</v>
      </c>
      <c r="AM15" s="1440">
        <f>SUM(AM12:AM14,AM9:AM9)</f>
        <v>3889</v>
      </c>
      <c r="AN15" s="292">
        <f t="shared" ref="AN15:AP15" si="11">SUM(AN12:AN14,AN9:AN9)</f>
        <v>980</v>
      </c>
      <c r="AO15" s="261">
        <f t="shared" si="11"/>
        <v>962</v>
      </c>
      <c r="AP15" s="1438">
        <f t="shared" si="11"/>
        <v>1109</v>
      </c>
      <c r="AQ15" s="1439">
        <f>SUM(AQ12:AQ14,AQ9:AQ9)</f>
        <v>1005</v>
      </c>
      <c r="AR15" s="1440">
        <f>SUM(AR12:AR14,AR9:AR9)</f>
        <v>4056</v>
      </c>
      <c r="AS15" s="292">
        <f t="shared" ref="AS15:AT15" si="12">SUM(AS12:AS14,AS9:AS9)</f>
        <v>984</v>
      </c>
      <c r="AT15" s="261">
        <f t="shared" si="12"/>
        <v>1038</v>
      </c>
      <c r="AU15" s="261">
        <f t="shared" ref="AU15:BB15" si="13">SUM(AU12:AU14,AU9:AU9)</f>
        <v>1167</v>
      </c>
      <c r="AV15" s="1439">
        <f>SUM(AV12:AV14,AV9:AV9)</f>
        <v>1025</v>
      </c>
      <c r="AW15" s="1440">
        <f>SUM(AW12:AW14,AW9:AW9)</f>
        <v>4214</v>
      </c>
      <c r="AX15" s="292">
        <f t="shared" si="13"/>
        <v>994.17077459812981</v>
      </c>
      <c r="AY15" s="261">
        <f t="shared" si="13"/>
        <v>1053.6089436622431</v>
      </c>
      <c r="AZ15" s="261">
        <f t="shared" si="13"/>
        <v>1173.1835671483784</v>
      </c>
      <c r="BA15" s="293">
        <f t="shared" si="13"/>
        <v>1028.8059911046689</v>
      </c>
      <c r="BB15" s="228">
        <f t="shared" si="13"/>
        <v>4249.7692765134198</v>
      </c>
      <c r="BC15" s="292">
        <f t="shared" ref="BC15:BL15" si="14">SUM(BC12:BC14,BC9:BC9)</f>
        <v>1008.8325572299111</v>
      </c>
      <c r="BD15" s="261">
        <f t="shared" si="14"/>
        <v>1067.7762050133147</v>
      </c>
      <c r="BE15" s="261">
        <f t="shared" si="14"/>
        <v>1186.3994840037947</v>
      </c>
      <c r="BF15" s="293">
        <f t="shared" si="14"/>
        <v>1040.7551858813993</v>
      </c>
      <c r="BG15" s="228">
        <f t="shared" si="14"/>
        <v>4303.7634321284195</v>
      </c>
      <c r="BH15" s="292">
        <f t="shared" si="14"/>
        <v>1019.7185193374544</v>
      </c>
      <c r="BI15" s="261">
        <f t="shared" si="14"/>
        <v>1077.6853586872483</v>
      </c>
      <c r="BJ15" s="261">
        <f t="shared" si="14"/>
        <v>1196.7009708361402</v>
      </c>
      <c r="BK15" s="293">
        <f t="shared" si="14"/>
        <v>1051.1138441129353</v>
      </c>
      <c r="BL15" s="228">
        <f t="shared" si="14"/>
        <v>4345.2186929737782</v>
      </c>
      <c r="BM15" s="292">
        <f t="shared" ref="BM15:BQ15" si="15">SUM(BM12:BM14,BM9:BM9)</f>
        <v>1030.3285648199808</v>
      </c>
      <c r="BN15" s="261">
        <f t="shared" si="15"/>
        <v>1088.4896393538024</v>
      </c>
      <c r="BO15" s="261">
        <f t="shared" si="15"/>
        <v>1207.5833073096903</v>
      </c>
      <c r="BP15" s="293">
        <f t="shared" si="15"/>
        <v>1061.7355570818531</v>
      </c>
      <c r="BQ15" s="228">
        <f t="shared" si="15"/>
        <v>4388.1370685653274</v>
      </c>
      <c r="BR15" s="330"/>
      <c r="BS15" s="330"/>
      <c r="BT15" s="330"/>
      <c r="BU15" s="330"/>
      <c r="BX15" s="330"/>
      <c r="BY15" s="330"/>
      <c r="BZ15" s="330"/>
      <c r="CA15" s="330"/>
      <c r="CB15" s="330"/>
      <c r="CC15" s="5"/>
      <c r="CD15" s="5"/>
      <c r="CE15" s="330"/>
      <c r="CF15" s="330"/>
      <c r="CG15" s="330"/>
      <c r="CH15" s="330"/>
      <c r="CI15" s="330"/>
      <c r="CJ15" s="330"/>
      <c r="CK15" s="330"/>
      <c r="CL15" s="330"/>
      <c r="CM15" s="330"/>
      <c r="CN15" s="330"/>
      <c r="CO15" s="330"/>
      <c r="CP15" s="330"/>
      <c r="CQ15" s="330"/>
      <c r="CR15" s="330"/>
      <c r="CS15" s="330"/>
      <c r="CT15" s="330"/>
      <c r="CU15" s="330"/>
    </row>
    <row r="16" spans="1:271" ht="12.75" customHeight="1">
      <c r="A16" s="330"/>
      <c r="B16" s="330"/>
      <c r="C16" s="32"/>
      <c r="D16" s="330"/>
      <c r="E16" s="292"/>
      <c r="F16" s="261"/>
      <c r="G16" s="261"/>
      <c r="H16" s="293"/>
      <c r="I16" s="228"/>
      <c r="J16" s="292"/>
      <c r="K16" s="261"/>
      <c r="L16" s="261"/>
      <c r="M16" s="293"/>
      <c r="N16" s="228"/>
      <c r="O16" s="292"/>
      <c r="P16" s="261"/>
      <c r="Q16" s="261"/>
      <c r="R16" s="293"/>
      <c r="S16" s="228"/>
      <c r="T16" s="292"/>
      <c r="U16" s="261"/>
      <c r="V16" s="261"/>
      <c r="W16" s="293"/>
      <c r="X16" s="228"/>
      <c r="Y16" s="292"/>
      <c r="Z16" s="261"/>
      <c r="AA16" s="1438"/>
      <c r="AB16" s="1439"/>
      <c r="AC16" s="1440"/>
      <c r="AD16" s="292"/>
      <c r="AE16" s="261"/>
      <c r="AF16" s="1438"/>
      <c r="AG16" s="1439"/>
      <c r="AH16" s="1440"/>
      <c r="AI16" s="292"/>
      <c r="AJ16" s="261"/>
      <c r="AK16" s="1438"/>
      <c r="AL16" s="1439"/>
      <c r="AM16" s="1440"/>
      <c r="AN16" s="292"/>
      <c r="AO16" s="261"/>
      <c r="AP16" s="1438"/>
      <c r="AQ16" s="1439"/>
      <c r="AR16" s="1440"/>
      <c r="AS16" s="292"/>
      <c r="AT16" s="261"/>
      <c r="AU16" s="261"/>
      <c r="AV16" s="1439"/>
      <c r="AW16" s="1440"/>
      <c r="AX16" s="292"/>
      <c r="AY16" s="261"/>
      <c r="AZ16" s="261"/>
      <c r="BA16" s="293"/>
      <c r="BB16" s="228"/>
      <c r="BC16" s="292"/>
      <c r="BD16" s="261"/>
      <c r="BE16" s="261"/>
      <c r="BF16" s="293"/>
      <c r="BG16" s="228"/>
      <c r="BH16" s="292"/>
      <c r="BI16" s="261"/>
      <c r="BJ16" s="261"/>
      <c r="BK16" s="293"/>
      <c r="BL16" s="228"/>
      <c r="BM16" s="292"/>
      <c r="BN16" s="261"/>
      <c r="BO16" s="261"/>
      <c r="BP16" s="293"/>
      <c r="BQ16" s="228"/>
      <c r="BR16" s="330"/>
      <c r="BS16" s="330"/>
      <c r="BT16" s="330"/>
      <c r="BU16" s="330"/>
      <c r="BX16" s="330"/>
      <c r="BY16" s="330"/>
      <c r="BZ16" s="330"/>
      <c r="CA16" s="330"/>
      <c r="CB16" s="330"/>
      <c r="CC16" s="5"/>
      <c r="CD16" s="5"/>
      <c r="CE16" s="330"/>
      <c r="CF16" s="330"/>
      <c r="CG16" s="330"/>
      <c r="CH16" s="330"/>
      <c r="CI16" s="330"/>
      <c r="CJ16" s="330"/>
      <c r="CK16" s="330"/>
      <c r="CL16" s="330"/>
      <c r="CM16" s="330"/>
      <c r="CN16" s="330"/>
      <c r="CO16" s="330"/>
      <c r="CP16" s="330"/>
      <c r="CQ16" s="330"/>
      <c r="CR16" s="330"/>
      <c r="CS16" s="330"/>
      <c r="CT16" s="330"/>
      <c r="CU16" s="330"/>
    </row>
    <row r="17" spans="1:104" ht="12.75" customHeight="1">
      <c r="A17" s="330"/>
      <c r="B17" s="330"/>
      <c r="C17" s="32" t="s">
        <v>70</v>
      </c>
      <c r="D17" s="330"/>
      <c r="E17" s="292">
        <f>+E8-E15</f>
        <v>206</v>
      </c>
      <c r="F17" s="261">
        <f>+F8-F15</f>
        <v>209</v>
      </c>
      <c r="G17" s="261">
        <f>+G8-G15</f>
        <v>203</v>
      </c>
      <c r="H17" s="293">
        <f>+H8-H15</f>
        <v>225</v>
      </c>
      <c r="I17" s="228">
        <f>+I8-I15</f>
        <v>843</v>
      </c>
      <c r="J17" s="292">
        <f t="shared" ref="J17:AE17" si="16">+J8-J15</f>
        <v>291</v>
      </c>
      <c r="K17" s="261">
        <f t="shared" si="16"/>
        <v>256</v>
      </c>
      <c r="L17" s="261">
        <f t="shared" si="16"/>
        <v>279</v>
      </c>
      <c r="M17" s="293">
        <f t="shared" si="16"/>
        <v>230</v>
      </c>
      <c r="N17" s="228">
        <f t="shared" si="16"/>
        <v>1056</v>
      </c>
      <c r="O17" s="292">
        <f t="shared" si="16"/>
        <v>200</v>
      </c>
      <c r="P17" s="261">
        <f t="shared" si="16"/>
        <v>254</v>
      </c>
      <c r="Q17" s="261">
        <f t="shared" si="16"/>
        <v>243</v>
      </c>
      <c r="R17" s="293">
        <f t="shared" si="16"/>
        <v>285</v>
      </c>
      <c r="S17" s="228">
        <f t="shared" si="16"/>
        <v>982</v>
      </c>
      <c r="T17" s="292">
        <f t="shared" si="16"/>
        <v>226</v>
      </c>
      <c r="U17" s="261">
        <f>+U8-U15</f>
        <v>142</v>
      </c>
      <c r="V17" s="261">
        <f>+V8-V15</f>
        <v>218</v>
      </c>
      <c r="W17" s="293">
        <f>+W8-W15</f>
        <v>300</v>
      </c>
      <c r="X17" s="228">
        <f>+X8-X15</f>
        <v>886</v>
      </c>
      <c r="Y17" s="292">
        <f>+Y8-Y15</f>
        <v>209</v>
      </c>
      <c r="Z17" s="261">
        <f t="shared" si="16"/>
        <v>232</v>
      </c>
      <c r="AA17" s="1438">
        <f>+AA8-AA15</f>
        <v>278</v>
      </c>
      <c r="AB17" s="1439">
        <f>+AB8-AB15</f>
        <v>235</v>
      </c>
      <c r="AC17" s="1440">
        <f>+AC8-AC15</f>
        <v>954</v>
      </c>
      <c r="AD17" s="292">
        <f>+AD8-AD15</f>
        <v>238</v>
      </c>
      <c r="AE17" s="261">
        <f t="shared" si="16"/>
        <v>258</v>
      </c>
      <c r="AF17" s="1438">
        <f>+AF8-AF15</f>
        <v>287</v>
      </c>
      <c r="AG17" s="1439">
        <f>+AG8-AG15</f>
        <v>195</v>
      </c>
      <c r="AH17" s="1440">
        <f>+AH8-AH15</f>
        <v>978</v>
      </c>
      <c r="AI17" s="292">
        <f>+AI8-AI15</f>
        <v>230</v>
      </c>
      <c r="AJ17" s="261">
        <f t="shared" ref="AJ17" si="17">+AJ8-AJ15</f>
        <v>243</v>
      </c>
      <c r="AK17" s="1438">
        <f>+AK8-AK15</f>
        <v>327</v>
      </c>
      <c r="AL17" s="1439">
        <f>+AL8-AL15</f>
        <v>216</v>
      </c>
      <c r="AM17" s="1440">
        <f>+AM8-AM15</f>
        <v>1016</v>
      </c>
      <c r="AN17" s="292">
        <f>+AN8-AN15</f>
        <v>269</v>
      </c>
      <c r="AO17" s="261">
        <f t="shared" ref="AO17" si="18">+AO8-AO15</f>
        <v>324</v>
      </c>
      <c r="AP17" s="1438">
        <f>+AP8-AP15</f>
        <v>388</v>
      </c>
      <c r="AQ17" s="1439">
        <f>+AQ8-AQ15</f>
        <v>217</v>
      </c>
      <c r="AR17" s="1440">
        <f>+AR8-AR15</f>
        <v>1198</v>
      </c>
      <c r="AS17" s="292">
        <f>+AS8-AS15</f>
        <v>314</v>
      </c>
      <c r="AT17" s="261">
        <f t="shared" ref="AT17" si="19">+AT8-AT15</f>
        <v>319</v>
      </c>
      <c r="AU17" s="261">
        <f t="shared" ref="AU17:BB17" si="20">+AU8-AU15</f>
        <v>404</v>
      </c>
      <c r="AV17" s="1439">
        <f>+AV8-AV15</f>
        <v>285</v>
      </c>
      <c r="AW17" s="1440">
        <f>+AW8-AW15</f>
        <v>1322</v>
      </c>
      <c r="AX17" s="292">
        <f t="shared" si="20"/>
        <v>280.28024175370456</v>
      </c>
      <c r="AY17" s="261">
        <f t="shared" si="20"/>
        <v>294.87576787621811</v>
      </c>
      <c r="AZ17" s="261">
        <f t="shared" si="20"/>
        <v>350.44544707926411</v>
      </c>
      <c r="BA17" s="293">
        <f t="shared" si="20"/>
        <v>240.01934695970294</v>
      </c>
      <c r="BB17" s="228">
        <f t="shared" si="20"/>
        <v>1165.6208036688904</v>
      </c>
      <c r="BC17" s="292">
        <f t="shared" ref="BC17:BL17" si="21">+BC8-BC15</f>
        <v>288.71220912192325</v>
      </c>
      <c r="BD17" s="261">
        <f t="shared" si="21"/>
        <v>303.8022565251465</v>
      </c>
      <c r="BE17" s="261">
        <f t="shared" si="21"/>
        <v>360.32328022384786</v>
      </c>
      <c r="BF17" s="293">
        <f t="shared" si="21"/>
        <v>251.16390218297261</v>
      </c>
      <c r="BG17" s="228">
        <f t="shared" si="21"/>
        <v>1204.0016480538907</v>
      </c>
      <c r="BH17" s="292">
        <f t="shared" si="21"/>
        <v>307.26374701437999</v>
      </c>
      <c r="BI17" s="261">
        <f t="shared" si="21"/>
        <v>323.33060285121314</v>
      </c>
      <c r="BJ17" s="261">
        <f t="shared" si="21"/>
        <v>379.45929339150211</v>
      </c>
      <c r="BK17" s="293">
        <f t="shared" si="21"/>
        <v>270.24274395143652</v>
      </c>
      <c r="BL17" s="228">
        <f t="shared" si="21"/>
        <v>1280.296387208532</v>
      </c>
      <c r="BM17" s="292">
        <f t="shared" ref="BM17:BQ17" si="22">+BM8-BM15</f>
        <v>326.80995153185359</v>
      </c>
      <c r="BN17" s="261">
        <f t="shared" si="22"/>
        <v>342.68257218465897</v>
      </c>
      <c r="BO17" s="261">
        <f t="shared" si="22"/>
        <v>398.73320691795197</v>
      </c>
      <c r="BP17" s="293">
        <f t="shared" si="22"/>
        <v>289.77728098251896</v>
      </c>
      <c r="BQ17" s="228">
        <f t="shared" si="22"/>
        <v>1358.0030116169828</v>
      </c>
      <c r="BR17" s="330"/>
      <c r="BS17" s="330"/>
      <c r="BT17" s="330"/>
      <c r="BU17" s="330"/>
      <c r="BX17" s="330"/>
      <c r="BY17" s="330"/>
      <c r="BZ17" s="330"/>
      <c r="CA17" s="330"/>
      <c r="CB17" s="330"/>
      <c r="CC17" s="5"/>
      <c r="CD17" s="5"/>
      <c r="CE17" s="330"/>
      <c r="CF17" s="330"/>
      <c r="CG17" s="330"/>
      <c r="CH17" s="330"/>
      <c r="CI17" s="330"/>
      <c r="CJ17" s="330"/>
      <c r="CK17" s="330"/>
      <c r="CL17" s="330"/>
      <c r="CM17" s="330"/>
      <c r="CN17" s="330"/>
      <c r="CO17" s="330"/>
      <c r="CP17" s="330"/>
      <c r="CQ17" s="330"/>
      <c r="CR17" s="330"/>
      <c r="CS17" s="330"/>
      <c r="CT17" s="330"/>
      <c r="CU17" s="330"/>
    </row>
    <row r="18" spans="1:104" ht="12.75" customHeight="1">
      <c r="A18" s="330"/>
      <c r="B18" s="330"/>
      <c r="C18" s="28"/>
      <c r="D18" s="330"/>
      <c r="E18" s="300"/>
      <c r="F18" s="264"/>
      <c r="G18" s="264"/>
      <c r="H18" s="299"/>
      <c r="I18" s="330"/>
      <c r="J18" s="300"/>
      <c r="K18" s="264"/>
      <c r="L18" s="264"/>
      <c r="M18" s="299"/>
      <c r="N18" s="330"/>
      <c r="O18" s="300"/>
      <c r="P18" s="264"/>
      <c r="Q18" s="264"/>
      <c r="R18" s="299"/>
      <c r="S18" s="330"/>
      <c r="T18" s="300"/>
      <c r="U18" s="264"/>
      <c r="V18" s="264"/>
      <c r="W18" s="299"/>
      <c r="X18" s="330"/>
      <c r="Y18" s="300"/>
      <c r="Z18" s="264"/>
      <c r="AA18" s="1441"/>
      <c r="AB18" s="1442"/>
      <c r="AC18" s="1443"/>
      <c r="AD18" s="300"/>
      <c r="AE18" s="264"/>
      <c r="AF18" s="1441"/>
      <c r="AG18" s="1442"/>
      <c r="AH18" s="1443"/>
      <c r="AI18" s="300"/>
      <c r="AJ18" s="264"/>
      <c r="AK18" s="1441"/>
      <c r="AL18" s="1442"/>
      <c r="AM18" s="1443"/>
      <c r="AN18" s="300"/>
      <c r="AO18" s="264"/>
      <c r="AP18" s="1441"/>
      <c r="AQ18" s="1442"/>
      <c r="AR18" s="1443"/>
      <c r="AS18" s="300"/>
      <c r="AT18" s="264"/>
      <c r="AU18" s="264"/>
      <c r="AV18" s="1442"/>
      <c r="AW18" s="1443"/>
      <c r="AX18" s="300"/>
      <c r="AY18" s="264"/>
      <c r="AZ18" s="264"/>
      <c r="BA18" s="299"/>
      <c r="BB18" s="330"/>
      <c r="BC18" s="300"/>
      <c r="BD18" s="264"/>
      <c r="BE18" s="264"/>
      <c r="BF18" s="299"/>
      <c r="BG18" s="330"/>
      <c r="BH18" s="300"/>
      <c r="BI18" s="264"/>
      <c r="BJ18" s="264"/>
      <c r="BK18" s="299"/>
      <c r="BL18" s="330"/>
      <c r="BM18" s="300"/>
      <c r="BN18" s="264"/>
      <c r="BO18" s="264"/>
      <c r="BP18" s="299"/>
      <c r="BQ18" s="330"/>
      <c r="BR18" s="330"/>
      <c r="BS18" s="330"/>
      <c r="BT18" s="330"/>
      <c r="BU18" s="330"/>
      <c r="BX18" s="330"/>
      <c r="BY18" s="330"/>
      <c r="BZ18" s="330"/>
      <c r="CA18" s="330"/>
      <c r="CB18" s="330"/>
      <c r="CC18" s="5"/>
      <c r="CD18" s="5"/>
      <c r="CE18" s="330"/>
      <c r="CF18" s="330"/>
      <c r="CG18" s="330"/>
      <c r="CH18" s="330"/>
      <c r="CI18" s="330"/>
      <c r="CJ18" s="330"/>
      <c r="CK18" s="330"/>
      <c r="CL18" s="330"/>
      <c r="CM18" s="330"/>
      <c r="CN18" s="330"/>
      <c r="CO18" s="330"/>
      <c r="CP18" s="330"/>
      <c r="CQ18" s="330"/>
      <c r="CR18" s="330"/>
      <c r="CS18" s="330"/>
      <c r="CT18" s="330"/>
      <c r="CU18" s="330"/>
    </row>
    <row r="19" spans="1:104" ht="12.75" customHeight="1">
      <c r="A19" s="330"/>
      <c r="B19" s="330"/>
      <c r="C19" s="28" t="s">
        <v>620</v>
      </c>
      <c r="D19" s="330"/>
      <c r="E19" s="306">
        <f>+I19/4</f>
        <v>1.25</v>
      </c>
      <c r="F19" s="266">
        <f>E19</f>
        <v>1.25</v>
      </c>
      <c r="G19" s="266">
        <f>F19</f>
        <v>1.25</v>
      </c>
      <c r="H19" s="307">
        <f>I19-SUM(E19:G19)</f>
        <v>1.25</v>
      </c>
      <c r="I19" s="427">
        <v>5</v>
      </c>
      <c r="J19" s="335">
        <f>1/2</f>
        <v>0.5</v>
      </c>
      <c r="K19" s="336">
        <f>1/2</f>
        <v>0.5</v>
      </c>
      <c r="L19" s="336">
        <v>0</v>
      </c>
      <c r="M19" s="586">
        <f>N19-SUM(J19:L19)</f>
        <v>3</v>
      </c>
      <c r="N19" s="427">
        <v>4</v>
      </c>
      <c r="O19" s="335">
        <v>1</v>
      </c>
      <c r="P19" s="336">
        <v>2</v>
      </c>
      <c r="Q19" s="336">
        <v>2</v>
      </c>
      <c r="R19" s="586">
        <f>S19-SUM(O19:Q19)</f>
        <v>3</v>
      </c>
      <c r="S19" s="427">
        <v>8</v>
      </c>
      <c r="T19" s="335">
        <v>1</v>
      </c>
      <c r="U19" s="336">
        <v>0</v>
      </c>
      <c r="V19" s="336">
        <v>1</v>
      </c>
      <c r="W19" s="586">
        <f>X19-SUM(T19:V19)</f>
        <v>4</v>
      </c>
      <c r="X19" s="427">
        <v>6</v>
      </c>
      <c r="Y19" s="335">
        <v>3</v>
      </c>
      <c r="Z19" s="336">
        <v>3</v>
      </c>
      <c r="AA19" s="1435">
        <v>2</v>
      </c>
      <c r="AB19" s="1436">
        <f>AC19-SUM(Y19:AA19)</f>
        <v>3</v>
      </c>
      <c r="AC19" s="1437">
        <v>11</v>
      </c>
      <c r="AD19" s="335">
        <v>3</v>
      </c>
      <c r="AE19" s="336">
        <v>0</v>
      </c>
      <c r="AF19" s="1435">
        <v>0</v>
      </c>
      <c r="AG19" s="1436">
        <f>AH19-SUM(AD19:AF19)</f>
        <v>0</v>
      </c>
      <c r="AH19" s="1437">
        <v>3</v>
      </c>
      <c r="AI19" s="335">
        <v>0</v>
      </c>
      <c r="AJ19" s="336">
        <v>1</v>
      </c>
      <c r="AK19" s="1435">
        <v>1</v>
      </c>
      <c r="AL19" s="1436">
        <f>AM19-SUM(AI19:AK19)</f>
        <v>3</v>
      </c>
      <c r="AM19" s="1437">
        <v>5</v>
      </c>
      <c r="AN19" s="335">
        <v>2</v>
      </c>
      <c r="AO19" s="336">
        <v>1</v>
      </c>
      <c r="AP19" s="1435">
        <v>5</v>
      </c>
      <c r="AQ19" s="1436">
        <f>AR19-SUM(AN19:AP19)</f>
        <v>6</v>
      </c>
      <c r="AR19" s="1437">
        <v>14</v>
      </c>
      <c r="AS19" s="335">
        <v>2</v>
      </c>
      <c r="AT19" s="336">
        <v>2</v>
      </c>
      <c r="AU19" s="336">
        <v>2</v>
      </c>
      <c r="AV19" s="1436">
        <f>AW19-SUM(AS19:AU19)</f>
        <v>6</v>
      </c>
      <c r="AW19" s="1437">
        <v>12</v>
      </c>
      <c r="AX19" s="300">
        <f>AX145</f>
        <v>5.666666666666667</v>
      </c>
      <c r="AY19" s="264">
        <f>AY145</f>
        <v>5.666666666666667</v>
      </c>
      <c r="AZ19" s="264">
        <f>AZ145</f>
        <v>5.666666666666667</v>
      </c>
      <c r="BA19" s="299">
        <f>BA145</f>
        <v>5.666666666666667</v>
      </c>
      <c r="BB19" s="330">
        <f>SUM(AX19:BA19)</f>
        <v>22.666666666666668</v>
      </c>
      <c r="BC19" s="300">
        <f>BC145</f>
        <v>4.6000000000000005</v>
      </c>
      <c r="BD19" s="264">
        <f>BD145</f>
        <v>4.6000000000000005</v>
      </c>
      <c r="BE19" s="264">
        <f>BE145</f>
        <v>4.6000000000000005</v>
      </c>
      <c r="BF19" s="299">
        <f>BF145</f>
        <v>4.6000000000000005</v>
      </c>
      <c r="BG19" s="330">
        <f>SUM(BC19:BF19)</f>
        <v>18.400000000000002</v>
      </c>
      <c r="BH19" s="300">
        <f>BH145</f>
        <v>4.9333333333333336</v>
      </c>
      <c r="BI19" s="264">
        <f>BI145</f>
        <v>4.9333333333333336</v>
      </c>
      <c r="BJ19" s="264">
        <f>BJ145</f>
        <v>4.9333333333333336</v>
      </c>
      <c r="BK19" s="299">
        <f>BK145</f>
        <v>4.9333333333333336</v>
      </c>
      <c r="BL19" s="330">
        <f>SUM(BH19:BK19)</f>
        <v>19.733333333333334</v>
      </c>
      <c r="BM19" s="300">
        <f>BM145</f>
        <v>4.9333333333333336</v>
      </c>
      <c r="BN19" s="264">
        <f>BN145</f>
        <v>4.9333333333333336</v>
      </c>
      <c r="BO19" s="264">
        <f>BO145</f>
        <v>4.9333333333333336</v>
      </c>
      <c r="BP19" s="299">
        <f>BP145</f>
        <v>4.9333333333333336</v>
      </c>
      <c r="BQ19" s="330">
        <f>SUM(BM19:BP19)</f>
        <v>19.733333333333334</v>
      </c>
      <c r="BR19" s="330"/>
      <c r="BS19" s="330"/>
      <c r="BT19" s="330"/>
      <c r="BU19" s="330"/>
      <c r="BX19" s="330"/>
      <c r="BY19" s="330"/>
      <c r="BZ19" s="330"/>
      <c r="CA19" s="330"/>
      <c r="CB19" s="330"/>
      <c r="CC19" s="5"/>
      <c r="CD19" s="5"/>
      <c r="CE19" s="330"/>
      <c r="CF19" s="330"/>
      <c r="CG19" s="330"/>
      <c r="CH19" s="330"/>
      <c r="CI19" s="330"/>
      <c r="CJ19" s="330"/>
      <c r="CK19" s="330"/>
      <c r="CL19" s="330"/>
      <c r="CM19" s="330"/>
      <c r="CN19" s="330"/>
      <c r="CO19" s="330"/>
      <c r="CP19" s="330"/>
      <c r="CQ19" s="330"/>
      <c r="CR19" s="330"/>
      <c r="CS19" s="330"/>
      <c r="CT19" s="330"/>
      <c r="CU19" s="330"/>
    </row>
    <row r="20" spans="1:104" ht="12.75" customHeight="1">
      <c r="A20" s="330"/>
      <c r="B20" s="330"/>
      <c r="C20" s="28" t="s">
        <v>123</v>
      </c>
      <c r="D20" s="330"/>
      <c r="E20" s="335">
        <f>32-E19</f>
        <v>30.75</v>
      </c>
      <c r="F20" s="336">
        <f>55-F19</f>
        <v>53.75</v>
      </c>
      <c r="G20" s="336">
        <f>-19-G19</f>
        <v>-20.25</v>
      </c>
      <c r="H20" s="586">
        <f>I20-SUM(E20:G20)</f>
        <v>9.75</v>
      </c>
      <c r="I20" s="427">
        <f>79-I19</f>
        <v>74</v>
      </c>
      <c r="J20" s="335">
        <f>3-J19</f>
        <v>2.5</v>
      </c>
      <c r="K20" s="336">
        <f>8-K19</f>
        <v>7.5</v>
      </c>
      <c r="L20" s="336">
        <f>3-L19</f>
        <v>3</v>
      </c>
      <c r="M20" s="586">
        <f>N20-SUM(J20:L20)</f>
        <v>7</v>
      </c>
      <c r="N20" s="427">
        <f>24-N19</f>
        <v>20</v>
      </c>
      <c r="O20" s="335">
        <f>4-O19</f>
        <v>3</v>
      </c>
      <c r="P20" s="336">
        <f>4-P19</f>
        <v>2</v>
      </c>
      <c r="Q20" s="336">
        <f>16-Q19</f>
        <v>14</v>
      </c>
      <c r="R20" s="586">
        <f>S20-SUM(O20:Q20)</f>
        <v>2</v>
      </c>
      <c r="S20" s="427">
        <f>29-S19</f>
        <v>21</v>
      </c>
      <c r="T20" s="335">
        <f>4-T19</f>
        <v>3</v>
      </c>
      <c r="U20" s="336">
        <f>3-U19</f>
        <v>3</v>
      </c>
      <c r="V20" s="336">
        <f>5-V19</f>
        <v>4</v>
      </c>
      <c r="W20" s="586">
        <f>X20-SUM(T20:V20)</f>
        <v>23</v>
      </c>
      <c r="X20" s="427">
        <f>39-X19</f>
        <v>33</v>
      </c>
      <c r="Y20" s="335">
        <f>5-Y19</f>
        <v>2</v>
      </c>
      <c r="Z20" s="336">
        <f>6-Z19</f>
        <v>3</v>
      </c>
      <c r="AA20" s="1435">
        <f>7-AA19</f>
        <v>5</v>
      </c>
      <c r="AB20" s="1436">
        <f>AC20-SUM(Y20:AA20)</f>
        <v>5</v>
      </c>
      <c r="AC20" s="1437">
        <f>26-AC19</f>
        <v>15</v>
      </c>
      <c r="AD20" s="335">
        <f>5-AD19</f>
        <v>2</v>
      </c>
      <c r="AE20" s="336">
        <v>5</v>
      </c>
      <c r="AF20" s="1435">
        <f>4-AF19</f>
        <v>4</v>
      </c>
      <c r="AG20" s="1436">
        <f>AH20-SUM(AD20:AF20)</f>
        <v>5</v>
      </c>
      <c r="AH20" s="1437">
        <f>17+2-AH19</f>
        <v>16</v>
      </c>
      <c r="AI20" s="335">
        <f>3-AI19</f>
        <v>3</v>
      </c>
      <c r="AJ20" s="336">
        <f>5-AJ19</f>
        <v>4</v>
      </c>
      <c r="AK20" s="1435">
        <f>4-AK19</f>
        <v>3</v>
      </c>
      <c r="AL20" s="1436">
        <f>AM20-SUM(AI20:AK20)</f>
        <v>7</v>
      </c>
      <c r="AM20" s="1437">
        <f>1+21-AM19</f>
        <v>17</v>
      </c>
      <c r="AN20" s="335">
        <f>5+4-AN19</f>
        <v>7</v>
      </c>
      <c r="AO20" s="336">
        <f>3-AO19</f>
        <v>2</v>
      </c>
      <c r="AP20" s="1435">
        <f>-80+1-AP19</f>
        <v>-84</v>
      </c>
      <c r="AQ20" s="1436">
        <f>AR20-SUM(AN20:AP20)</f>
        <v>3</v>
      </c>
      <c r="AR20" s="1437">
        <f>7-65-AR19</f>
        <v>-72</v>
      </c>
      <c r="AS20" s="335">
        <f>4-AS19</f>
        <v>2</v>
      </c>
      <c r="AT20" s="336">
        <f>4-AT19</f>
        <v>2</v>
      </c>
      <c r="AU20" s="336">
        <f>5-AU19</f>
        <v>3</v>
      </c>
      <c r="AV20" s="1436">
        <f>AW20-SUM(AS20:AU20)</f>
        <v>4</v>
      </c>
      <c r="AW20" s="1437">
        <f>22+1-AW19</f>
        <v>11</v>
      </c>
      <c r="AX20" s="300">
        <f>+AS20</f>
        <v>2</v>
      </c>
      <c r="AY20" s="264">
        <f>+AT20</f>
        <v>2</v>
      </c>
      <c r="AZ20" s="264">
        <f>+AU20</f>
        <v>3</v>
      </c>
      <c r="BA20" s="299">
        <f>+AV20</f>
        <v>4</v>
      </c>
      <c r="BB20" s="330">
        <f>SUM(AX20:BA20)</f>
        <v>11</v>
      </c>
      <c r="BC20" s="300">
        <f>+AX20</f>
        <v>2</v>
      </c>
      <c r="BD20" s="264">
        <f>+AY20</f>
        <v>2</v>
      </c>
      <c r="BE20" s="264">
        <f>+AZ20</f>
        <v>3</v>
      </c>
      <c r="BF20" s="299">
        <f>+BA20</f>
        <v>4</v>
      </c>
      <c r="BG20" s="330">
        <f>SUM(BC20:BF20)</f>
        <v>11</v>
      </c>
      <c r="BH20" s="300">
        <f>+BC20</f>
        <v>2</v>
      </c>
      <c r="BI20" s="264">
        <f>+BD20</f>
        <v>2</v>
      </c>
      <c r="BJ20" s="264">
        <f>+BE20</f>
        <v>3</v>
      </c>
      <c r="BK20" s="299">
        <f>+BF20</f>
        <v>4</v>
      </c>
      <c r="BL20" s="330">
        <f>SUM(BH20:BK20)</f>
        <v>11</v>
      </c>
      <c r="BM20" s="300">
        <f>+BH20</f>
        <v>2</v>
      </c>
      <c r="BN20" s="264">
        <f>+BI20</f>
        <v>2</v>
      </c>
      <c r="BO20" s="264">
        <f>+BJ20</f>
        <v>3</v>
      </c>
      <c r="BP20" s="299">
        <f>+BK20</f>
        <v>4</v>
      </c>
      <c r="BQ20" s="330">
        <f>SUM(BM20:BP20)</f>
        <v>11</v>
      </c>
      <c r="BR20" s="330"/>
      <c r="BS20" s="330"/>
      <c r="BT20" s="330"/>
      <c r="BU20" s="330"/>
      <c r="BX20" s="330"/>
      <c r="BY20" s="330"/>
      <c r="BZ20" s="330"/>
      <c r="CA20" s="330"/>
      <c r="CB20" s="330"/>
      <c r="CC20" s="5"/>
      <c r="CD20" s="5"/>
      <c r="CE20" s="330"/>
      <c r="CF20" s="330"/>
      <c r="CG20" s="330"/>
      <c r="CH20" s="330"/>
      <c r="CI20" s="330"/>
      <c r="CJ20" s="330"/>
      <c r="CK20" s="330"/>
      <c r="CL20" s="330"/>
      <c r="CM20" s="330"/>
      <c r="CN20" s="330"/>
      <c r="CO20" s="330"/>
      <c r="CP20" s="330"/>
      <c r="CQ20" s="330"/>
      <c r="CR20" s="330"/>
      <c r="CS20" s="330"/>
      <c r="CT20" s="330"/>
      <c r="CU20" s="330"/>
    </row>
    <row r="21" spans="1:104" s="34" customFormat="1" ht="12.75" customHeight="1">
      <c r="A21" s="228"/>
      <c r="B21" s="228"/>
      <c r="C21" s="32" t="s">
        <v>86</v>
      </c>
      <c r="D21" s="228"/>
      <c r="E21" s="292">
        <f>SUM(E19:E20)</f>
        <v>32</v>
      </c>
      <c r="F21" s="261">
        <f t="shared" ref="F21:Y21" si="23">SUM(F19:F20)</f>
        <v>55</v>
      </c>
      <c r="G21" s="261">
        <f t="shared" si="23"/>
        <v>-19</v>
      </c>
      <c r="H21" s="293">
        <f t="shared" si="23"/>
        <v>11</v>
      </c>
      <c r="I21" s="228">
        <f t="shared" si="23"/>
        <v>79</v>
      </c>
      <c r="J21" s="292">
        <f t="shared" si="23"/>
        <v>3</v>
      </c>
      <c r="K21" s="261">
        <f t="shared" si="23"/>
        <v>8</v>
      </c>
      <c r="L21" s="261">
        <f t="shared" si="23"/>
        <v>3</v>
      </c>
      <c r="M21" s="293">
        <f t="shared" si="23"/>
        <v>10</v>
      </c>
      <c r="N21" s="228">
        <f t="shared" si="23"/>
        <v>24</v>
      </c>
      <c r="O21" s="292">
        <f t="shared" si="23"/>
        <v>4</v>
      </c>
      <c r="P21" s="261">
        <f t="shared" si="23"/>
        <v>4</v>
      </c>
      <c r="Q21" s="261">
        <f t="shared" si="23"/>
        <v>16</v>
      </c>
      <c r="R21" s="293">
        <f t="shared" si="23"/>
        <v>5</v>
      </c>
      <c r="S21" s="228">
        <f t="shared" si="23"/>
        <v>29</v>
      </c>
      <c r="T21" s="292">
        <f t="shared" si="23"/>
        <v>4</v>
      </c>
      <c r="U21" s="261">
        <f t="shared" si="23"/>
        <v>3</v>
      </c>
      <c r="V21" s="261">
        <f t="shared" si="23"/>
        <v>5</v>
      </c>
      <c r="W21" s="293">
        <f t="shared" si="23"/>
        <v>27</v>
      </c>
      <c r="X21" s="228">
        <f t="shared" si="23"/>
        <v>39</v>
      </c>
      <c r="Y21" s="292">
        <f t="shared" si="23"/>
        <v>5</v>
      </c>
      <c r="Z21" s="261">
        <f t="shared" ref="Z21:AE21" si="24">SUM(Z19:Z20)</f>
        <v>6</v>
      </c>
      <c r="AA21" s="1438">
        <f t="shared" si="24"/>
        <v>7</v>
      </c>
      <c r="AB21" s="1439">
        <f>SUM(AB19:AB20)</f>
        <v>8</v>
      </c>
      <c r="AC21" s="1440">
        <f>SUM(AC19:AC20)</f>
        <v>26</v>
      </c>
      <c r="AD21" s="292">
        <f>SUM(AD19:AD20)</f>
        <v>5</v>
      </c>
      <c r="AE21" s="261">
        <f t="shared" si="24"/>
        <v>5</v>
      </c>
      <c r="AF21" s="1438">
        <f t="shared" ref="AF21" si="25">SUM(AF19:AF20)</f>
        <v>4</v>
      </c>
      <c r="AG21" s="1439">
        <f>SUM(AG19:AG20)</f>
        <v>5</v>
      </c>
      <c r="AH21" s="1440">
        <f>SUM(AH19:AH20)</f>
        <v>19</v>
      </c>
      <c r="AI21" s="292">
        <f>SUM(AI19:AI20)</f>
        <v>3</v>
      </c>
      <c r="AJ21" s="261">
        <f t="shared" ref="AJ21:AK21" si="26">SUM(AJ19:AJ20)</f>
        <v>5</v>
      </c>
      <c r="AK21" s="1438">
        <f t="shared" si="26"/>
        <v>4</v>
      </c>
      <c r="AL21" s="1439">
        <f>SUM(AL19:AL20)</f>
        <v>10</v>
      </c>
      <c r="AM21" s="1440">
        <f>SUM(AM19:AM20)</f>
        <v>22</v>
      </c>
      <c r="AN21" s="292">
        <f>SUM(AN19:AN20)</f>
        <v>9</v>
      </c>
      <c r="AO21" s="261">
        <f t="shared" ref="AO21:AP21" si="27">SUM(AO19:AO20)</f>
        <v>3</v>
      </c>
      <c r="AP21" s="1438">
        <f t="shared" si="27"/>
        <v>-79</v>
      </c>
      <c r="AQ21" s="1439">
        <f>SUM(AQ19:AQ20)</f>
        <v>9</v>
      </c>
      <c r="AR21" s="1440">
        <f>SUM(AR19:AR20)</f>
        <v>-58</v>
      </c>
      <c r="AS21" s="292">
        <f>SUM(AS19:AS20)</f>
        <v>4</v>
      </c>
      <c r="AT21" s="261">
        <f t="shared" ref="AT21" si="28">SUM(AT19:AT20)</f>
        <v>4</v>
      </c>
      <c r="AU21" s="261">
        <f t="shared" ref="AU21:BB21" si="29">SUM(AU19:AU20)</f>
        <v>5</v>
      </c>
      <c r="AV21" s="1439">
        <f>SUM(AV19:AV20)</f>
        <v>10</v>
      </c>
      <c r="AW21" s="1440">
        <f>SUM(AW19:AW20)</f>
        <v>23</v>
      </c>
      <c r="AX21" s="292">
        <f t="shared" si="29"/>
        <v>7.666666666666667</v>
      </c>
      <c r="AY21" s="261">
        <f t="shared" si="29"/>
        <v>7.666666666666667</v>
      </c>
      <c r="AZ21" s="261">
        <f t="shared" si="29"/>
        <v>8.6666666666666679</v>
      </c>
      <c r="BA21" s="293">
        <f t="shared" si="29"/>
        <v>9.6666666666666679</v>
      </c>
      <c r="BB21" s="228">
        <f t="shared" si="29"/>
        <v>33.666666666666671</v>
      </c>
      <c r="BC21" s="292">
        <f t="shared" ref="BC21:BL21" si="30">SUM(BC19:BC20)</f>
        <v>6.6000000000000005</v>
      </c>
      <c r="BD21" s="261">
        <f t="shared" si="30"/>
        <v>6.6000000000000005</v>
      </c>
      <c r="BE21" s="261">
        <f t="shared" si="30"/>
        <v>7.6000000000000005</v>
      </c>
      <c r="BF21" s="293">
        <f t="shared" si="30"/>
        <v>8.6000000000000014</v>
      </c>
      <c r="BG21" s="228">
        <f t="shared" si="30"/>
        <v>29.400000000000002</v>
      </c>
      <c r="BH21" s="292">
        <f t="shared" si="30"/>
        <v>6.9333333333333336</v>
      </c>
      <c r="BI21" s="261">
        <f t="shared" si="30"/>
        <v>6.9333333333333336</v>
      </c>
      <c r="BJ21" s="261">
        <f t="shared" si="30"/>
        <v>7.9333333333333336</v>
      </c>
      <c r="BK21" s="293">
        <f t="shared" si="30"/>
        <v>8.9333333333333336</v>
      </c>
      <c r="BL21" s="228">
        <f t="shared" si="30"/>
        <v>30.733333333333334</v>
      </c>
      <c r="BM21" s="292">
        <f t="shared" ref="BM21:BQ21" si="31">SUM(BM19:BM20)</f>
        <v>6.9333333333333336</v>
      </c>
      <c r="BN21" s="261">
        <f t="shared" si="31"/>
        <v>6.9333333333333336</v>
      </c>
      <c r="BO21" s="261">
        <f t="shared" si="31"/>
        <v>7.9333333333333336</v>
      </c>
      <c r="BP21" s="293">
        <f t="shared" si="31"/>
        <v>8.9333333333333336</v>
      </c>
      <c r="BQ21" s="228">
        <f t="shared" si="31"/>
        <v>30.733333333333334</v>
      </c>
      <c r="BR21" s="228"/>
      <c r="BS21" s="228"/>
      <c r="BT21" s="228"/>
      <c r="BU21" s="228"/>
      <c r="BX21" s="228"/>
      <c r="BY21" s="228"/>
      <c r="BZ21" s="228"/>
      <c r="CA21" s="228"/>
      <c r="CB21" s="228"/>
      <c r="CC21" s="5"/>
      <c r="CD21" s="5"/>
      <c r="CE21" s="228"/>
      <c r="CF21" s="228"/>
      <c r="CG21" s="228"/>
      <c r="CH21" s="228"/>
      <c r="CI21" s="228"/>
      <c r="CJ21" s="228"/>
      <c r="CK21" s="228"/>
      <c r="CL21" s="228"/>
      <c r="CM21" s="228"/>
      <c r="CN21" s="228"/>
      <c r="CO21" s="228"/>
      <c r="CP21" s="228"/>
      <c r="CQ21" s="228"/>
      <c r="CR21" s="228"/>
      <c r="CS21" s="228"/>
      <c r="CT21" s="228"/>
      <c r="CU21" s="228"/>
    </row>
    <row r="22" spans="1:104" ht="12.75" customHeight="1">
      <c r="A22" s="330"/>
      <c r="B22" s="330"/>
      <c r="C22" s="28"/>
      <c r="D22" s="330"/>
      <c r="E22" s="306"/>
      <c r="F22" s="264"/>
      <c r="G22" s="266"/>
      <c r="H22" s="307"/>
      <c r="I22" s="426"/>
      <c r="J22" s="306"/>
      <c r="K22" s="264"/>
      <c r="L22" s="266"/>
      <c r="M22" s="307"/>
      <c r="N22" s="426"/>
      <c r="O22" s="306"/>
      <c r="P22" s="264"/>
      <c r="Q22" s="266"/>
      <c r="R22" s="307"/>
      <c r="S22" s="426"/>
      <c r="T22" s="306"/>
      <c r="U22" s="266"/>
      <c r="V22" s="266"/>
      <c r="W22" s="307"/>
      <c r="X22" s="426"/>
      <c r="Y22" s="306"/>
      <c r="Z22" s="266"/>
      <c r="AA22" s="1444"/>
      <c r="AB22" s="1445"/>
      <c r="AC22" s="1446"/>
      <c r="AD22" s="306"/>
      <c r="AE22" s="266"/>
      <c r="AF22" s="1444"/>
      <c r="AG22" s="1445"/>
      <c r="AH22" s="1446"/>
      <c r="AI22" s="306"/>
      <c r="AJ22" s="266"/>
      <c r="AK22" s="1444"/>
      <c r="AL22" s="1445"/>
      <c r="AM22" s="1446"/>
      <c r="AN22" s="306"/>
      <c r="AO22" s="266"/>
      <c r="AP22" s="1444"/>
      <c r="AQ22" s="1445"/>
      <c r="AR22" s="1446"/>
      <c r="AS22" s="306"/>
      <c r="AT22" s="266"/>
      <c r="AU22" s="264"/>
      <c r="AV22" s="1445"/>
      <c r="AW22" s="1446"/>
      <c r="AX22" s="300"/>
      <c r="AY22" s="264"/>
      <c r="AZ22" s="264"/>
      <c r="BA22" s="299"/>
      <c r="BB22" s="330"/>
      <c r="BC22" s="300"/>
      <c r="BD22" s="264"/>
      <c r="BE22" s="264"/>
      <c r="BF22" s="299"/>
      <c r="BG22" s="330"/>
      <c r="BH22" s="300"/>
      <c r="BI22" s="264"/>
      <c r="BJ22" s="264"/>
      <c r="BK22" s="299"/>
      <c r="BL22" s="330"/>
      <c r="BM22" s="300"/>
      <c r="BN22" s="264"/>
      <c r="BO22" s="264"/>
      <c r="BP22" s="299"/>
      <c r="BQ22" s="330"/>
      <c r="BR22" s="330"/>
      <c r="BS22" s="330"/>
      <c r="BT22" s="330"/>
      <c r="BU22" s="330"/>
      <c r="BX22" s="330"/>
      <c r="BY22" s="330"/>
      <c r="BZ22" s="330"/>
      <c r="CA22" s="330"/>
      <c r="CB22" s="330"/>
      <c r="CC22" s="5"/>
      <c r="CD22" s="5"/>
      <c r="CE22" s="330"/>
      <c r="CF22" s="330"/>
      <c r="CG22" s="330"/>
      <c r="CH22" s="330"/>
      <c r="CI22" s="330"/>
      <c r="CJ22" s="330"/>
      <c r="CK22" s="330"/>
      <c r="CL22" s="330"/>
      <c r="CM22" s="330"/>
      <c r="CN22" s="330"/>
      <c r="CO22" s="330"/>
      <c r="CP22" s="330"/>
      <c r="CQ22" s="330"/>
      <c r="CR22" s="330"/>
      <c r="CS22" s="330"/>
      <c r="CT22" s="330"/>
      <c r="CU22" s="330"/>
    </row>
    <row r="23" spans="1:104" ht="12.75" customHeight="1">
      <c r="A23" s="330"/>
      <c r="B23" s="330"/>
      <c r="C23" s="32" t="s">
        <v>475</v>
      </c>
      <c r="D23" s="330"/>
      <c r="E23" s="292">
        <f t="shared" ref="E23:S23" si="32">E17+E21</f>
        <v>238</v>
      </c>
      <c r="F23" s="261">
        <f t="shared" si="32"/>
        <v>264</v>
      </c>
      <c r="G23" s="261">
        <f t="shared" si="32"/>
        <v>184</v>
      </c>
      <c r="H23" s="293">
        <f t="shared" si="32"/>
        <v>236</v>
      </c>
      <c r="I23" s="228">
        <f t="shared" si="32"/>
        <v>922</v>
      </c>
      <c r="J23" s="292">
        <f t="shared" si="32"/>
        <v>294</v>
      </c>
      <c r="K23" s="261">
        <f t="shared" si="32"/>
        <v>264</v>
      </c>
      <c r="L23" s="261">
        <f t="shared" si="32"/>
        <v>282</v>
      </c>
      <c r="M23" s="293">
        <f t="shared" si="32"/>
        <v>240</v>
      </c>
      <c r="N23" s="228">
        <f t="shared" si="32"/>
        <v>1080</v>
      </c>
      <c r="O23" s="292">
        <f t="shared" si="32"/>
        <v>204</v>
      </c>
      <c r="P23" s="261">
        <f t="shared" si="32"/>
        <v>258</v>
      </c>
      <c r="Q23" s="261">
        <f t="shared" si="32"/>
        <v>259</v>
      </c>
      <c r="R23" s="293">
        <f t="shared" si="32"/>
        <v>290</v>
      </c>
      <c r="S23" s="228">
        <f t="shared" si="32"/>
        <v>1011</v>
      </c>
      <c r="T23" s="292">
        <f t="shared" ref="T23:Z23" si="33">T17+T21</f>
        <v>230</v>
      </c>
      <c r="U23" s="261">
        <f t="shared" si="33"/>
        <v>145</v>
      </c>
      <c r="V23" s="261">
        <f t="shared" si="33"/>
        <v>223</v>
      </c>
      <c r="W23" s="293">
        <f t="shared" si="33"/>
        <v>327</v>
      </c>
      <c r="X23" s="228">
        <f t="shared" si="33"/>
        <v>925</v>
      </c>
      <c r="Y23" s="292">
        <f>Y17+Y21</f>
        <v>214</v>
      </c>
      <c r="Z23" s="261">
        <f t="shared" si="33"/>
        <v>238</v>
      </c>
      <c r="AA23" s="1438">
        <f>AA17+AA21</f>
        <v>285</v>
      </c>
      <c r="AB23" s="1439">
        <f>AB17+AB21</f>
        <v>243</v>
      </c>
      <c r="AC23" s="1440">
        <f>AC17+AC21</f>
        <v>980</v>
      </c>
      <c r="AD23" s="292">
        <f>AD17+AD21</f>
        <v>243</v>
      </c>
      <c r="AE23" s="261">
        <f t="shared" ref="AE23" si="34">AE17+AE21</f>
        <v>263</v>
      </c>
      <c r="AF23" s="1438">
        <f>AF17+AF21</f>
        <v>291</v>
      </c>
      <c r="AG23" s="1439">
        <f>AG17+AG21</f>
        <v>200</v>
      </c>
      <c r="AH23" s="1440">
        <f>AH17+AH21</f>
        <v>997</v>
      </c>
      <c r="AI23" s="292">
        <f>AI17+AI21</f>
        <v>233</v>
      </c>
      <c r="AJ23" s="261">
        <f t="shared" ref="AJ23" si="35">AJ17+AJ21</f>
        <v>248</v>
      </c>
      <c r="AK23" s="1438">
        <f>AK17+AK21</f>
        <v>331</v>
      </c>
      <c r="AL23" s="1439">
        <f>AL17+AL21</f>
        <v>226</v>
      </c>
      <c r="AM23" s="1440">
        <f>AM17+AM21</f>
        <v>1038</v>
      </c>
      <c r="AN23" s="292">
        <f>AN17+AN21</f>
        <v>278</v>
      </c>
      <c r="AO23" s="261">
        <f t="shared" ref="AO23" si="36">AO17+AO21</f>
        <v>327</v>
      </c>
      <c r="AP23" s="1438">
        <f>AP17+AP21</f>
        <v>309</v>
      </c>
      <c r="AQ23" s="1439">
        <f>AQ17+AQ21</f>
        <v>226</v>
      </c>
      <c r="AR23" s="1440">
        <f>AR17+AR21</f>
        <v>1140</v>
      </c>
      <c r="AS23" s="292">
        <f>AS17+AS21</f>
        <v>318</v>
      </c>
      <c r="AT23" s="261">
        <f t="shared" ref="AT23:AU23" si="37">AT17+AT21</f>
        <v>323</v>
      </c>
      <c r="AU23" s="261">
        <f t="shared" si="37"/>
        <v>409</v>
      </c>
      <c r="AV23" s="1439">
        <f>AV17+AV21</f>
        <v>295</v>
      </c>
      <c r="AW23" s="1440">
        <f>AW17+AW21</f>
        <v>1345</v>
      </c>
      <c r="AX23" s="292">
        <f t="shared" ref="AX23:BB23" si="38">AX17+AX21</f>
        <v>287.94690842037124</v>
      </c>
      <c r="AY23" s="261">
        <f t="shared" si="38"/>
        <v>302.54243454288479</v>
      </c>
      <c r="AZ23" s="261">
        <f t="shared" si="38"/>
        <v>359.1121137459308</v>
      </c>
      <c r="BA23" s="293">
        <f t="shared" si="38"/>
        <v>249.6860136263696</v>
      </c>
      <c r="BB23" s="228">
        <f t="shared" si="38"/>
        <v>1199.2874703355571</v>
      </c>
      <c r="BC23" s="292">
        <f t="shared" ref="BC23:BL23" si="39">BC17+BC21</f>
        <v>295.31220912192327</v>
      </c>
      <c r="BD23" s="261">
        <f t="shared" si="39"/>
        <v>310.40225652514653</v>
      </c>
      <c r="BE23" s="261">
        <f t="shared" si="39"/>
        <v>367.92328022384788</v>
      </c>
      <c r="BF23" s="293">
        <f t="shared" si="39"/>
        <v>259.76390218297263</v>
      </c>
      <c r="BG23" s="228">
        <f t="shared" si="39"/>
        <v>1233.4016480538908</v>
      </c>
      <c r="BH23" s="292">
        <f t="shared" si="39"/>
        <v>314.19708034771332</v>
      </c>
      <c r="BI23" s="261">
        <f t="shared" si="39"/>
        <v>330.26393618454648</v>
      </c>
      <c r="BJ23" s="261">
        <f t="shared" si="39"/>
        <v>387.39262672483545</v>
      </c>
      <c r="BK23" s="293">
        <f t="shared" si="39"/>
        <v>279.17607728476986</v>
      </c>
      <c r="BL23" s="228">
        <f t="shared" si="39"/>
        <v>1311.0297205418653</v>
      </c>
      <c r="BM23" s="292">
        <f t="shared" ref="BM23:BQ23" si="40">BM17+BM21</f>
        <v>333.74328486518692</v>
      </c>
      <c r="BN23" s="261">
        <f t="shared" si="40"/>
        <v>349.6159055179923</v>
      </c>
      <c r="BO23" s="261">
        <f t="shared" si="40"/>
        <v>406.66654025128531</v>
      </c>
      <c r="BP23" s="293">
        <f t="shared" si="40"/>
        <v>298.7106143158523</v>
      </c>
      <c r="BQ23" s="228">
        <f t="shared" si="40"/>
        <v>1388.7363449503162</v>
      </c>
      <c r="BR23" s="330"/>
      <c r="BS23" s="330"/>
      <c r="BT23" s="330"/>
      <c r="BU23" s="330"/>
      <c r="BX23" s="330"/>
      <c r="BY23" s="330"/>
      <c r="BZ23" s="330"/>
      <c r="CA23" s="330"/>
      <c r="CB23" s="330"/>
      <c r="CC23" s="5"/>
      <c r="CD23" s="5"/>
      <c r="CE23" s="330"/>
      <c r="CF23" s="330"/>
      <c r="CG23" s="330"/>
      <c r="CH23" s="330"/>
      <c r="CI23" s="330"/>
      <c r="CJ23" s="330"/>
      <c r="CK23" s="330"/>
      <c r="CL23" s="330"/>
      <c r="CM23" s="330"/>
      <c r="CN23" s="330"/>
      <c r="CO23" s="330"/>
      <c r="CP23" s="330"/>
      <c r="CQ23" s="330"/>
      <c r="CR23" s="330"/>
      <c r="CS23" s="330"/>
      <c r="CT23" s="330"/>
      <c r="CU23" s="330"/>
    </row>
    <row r="24" spans="1:104" ht="12.75" customHeight="1">
      <c r="A24" s="330"/>
      <c r="B24" s="330"/>
      <c r="C24" s="32" t="s">
        <v>66</v>
      </c>
      <c r="D24" s="330"/>
      <c r="E24" s="292">
        <f t="shared" ref="E24:AE24" si="41">+E23+E13</f>
        <v>361</v>
      </c>
      <c r="F24" s="261">
        <f t="shared" si="41"/>
        <v>388</v>
      </c>
      <c r="G24" s="261">
        <f t="shared" si="41"/>
        <v>309</v>
      </c>
      <c r="H24" s="293">
        <f t="shared" si="41"/>
        <v>358</v>
      </c>
      <c r="I24" s="228">
        <f t="shared" si="41"/>
        <v>1416</v>
      </c>
      <c r="J24" s="292">
        <f t="shared" si="41"/>
        <v>424</v>
      </c>
      <c r="K24" s="261">
        <f t="shared" si="41"/>
        <v>395</v>
      </c>
      <c r="L24" s="261">
        <f t="shared" si="41"/>
        <v>408</v>
      </c>
      <c r="M24" s="293">
        <f t="shared" si="41"/>
        <v>369</v>
      </c>
      <c r="N24" s="228">
        <f t="shared" si="41"/>
        <v>1596</v>
      </c>
      <c r="O24" s="292">
        <f t="shared" si="41"/>
        <v>338</v>
      </c>
      <c r="P24" s="261">
        <f t="shared" si="41"/>
        <v>394</v>
      </c>
      <c r="Q24" s="261">
        <f t="shared" si="41"/>
        <v>394</v>
      </c>
      <c r="R24" s="293">
        <f t="shared" si="41"/>
        <v>427</v>
      </c>
      <c r="S24" s="228">
        <f t="shared" si="41"/>
        <v>1553</v>
      </c>
      <c r="T24" s="292">
        <f t="shared" si="41"/>
        <v>379</v>
      </c>
      <c r="U24" s="261">
        <f t="shared" si="41"/>
        <v>297</v>
      </c>
      <c r="V24" s="261">
        <f t="shared" si="41"/>
        <v>380</v>
      </c>
      <c r="W24" s="293">
        <f t="shared" si="41"/>
        <v>479</v>
      </c>
      <c r="X24" s="228">
        <f t="shared" si="41"/>
        <v>1535</v>
      </c>
      <c r="Y24" s="292">
        <f t="shared" si="41"/>
        <v>381</v>
      </c>
      <c r="Z24" s="261">
        <f t="shared" si="41"/>
        <v>408</v>
      </c>
      <c r="AA24" s="1438">
        <f t="shared" si="41"/>
        <v>449</v>
      </c>
      <c r="AB24" s="1439">
        <f>+AB23+AB13</f>
        <v>411</v>
      </c>
      <c r="AC24" s="1440">
        <f>+AC23+AC13</f>
        <v>1649</v>
      </c>
      <c r="AD24" s="292">
        <f t="shared" si="41"/>
        <v>416</v>
      </c>
      <c r="AE24" s="261">
        <f t="shared" si="41"/>
        <v>437</v>
      </c>
      <c r="AF24" s="1438">
        <f t="shared" ref="AF24" si="42">+AF23+AF13</f>
        <v>465</v>
      </c>
      <c r="AG24" s="1439">
        <f>+AG23+AG13</f>
        <v>366</v>
      </c>
      <c r="AH24" s="1440">
        <f>+AH23+AH13</f>
        <v>1684</v>
      </c>
      <c r="AI24" s="292">
        <f t="shared" ref="AI24:AK24" si="43">+AI23+AI13</f>
        <v>408</v>
      </c>
      <c r="AJ24" s="261">
        <f t="shared" si="43"/>
        <v>425</v>
      </c>
      <c r="AK24" s="1438">
        <f t="shared" si="43"/>
        <v>507</v>
      </c>
      <c r="AL24" s="1439">
        <f>+AL23+AL13</f>
        <v>405</v>
      </c>
      <c r="AM24" s="1440">
        <f>+AM23+AM13</f>
        <v>1745</v>
      </c>
      <c r="AN24" s="292">
        <f t="shared" ref="AN24:AP24" si="44">+AN23+AN13</f>
        <v>467</v>
      </c>
      <c r="AO24" s="261">
        <f t="shared" si="44"/>
        <v>517</v>
      </c>
      <c r="AP24" s="1438">
        <f t="shared" si="44"/>
        <v>505</v>
      </c>
      <c r="AQ24" s="1439">
        <f>+AQ23+AQ13</f>
        <v>426</v>
      </c>
      <c r="AR24" s="1440">
        <f>+AR23+AR13</f>
        <v>1915</v>
      </c>
      <c r="AS24" s="292">
        <f t="shared" ref="AS24:AT24" si="45">+AS23+AS13</f>
        <v>526</v>
      </c>
      <c r="AT24" s="261">
        <f t="shared" si="45"/>
        <v>534</v>
      </c>
      <c r="AU24" s="261">
        <f t="shared" ref="AU24" si="46">+AU23+AU13</f>
        <v>621</v>
      </c>
      <c r="AV24" s="1439">
        <f>+AV23+AV13</f>
        <v>514</v>
      </c>
      <c r="AW24" s="1440">
        <f>+AW23+AW13</f>
        <v>2195</v>
      </c>
      <c r="AX24" s="292">
        <f t="shared" ref="AX24:BB24" si="47">+AX23+AX13</f>
        <v>487.77648736248204</v>
      </c>
      <c r="AY24" s="261">
        <f t="shared" si="47"/>
        <v>505.93368589743562</v>
      </c>
      <c r="AZ24" s="261">
        <f t="shared" si="47"/>
        <v>565.74576219512221</v>
      </c>
      <c r="BA24" s="293">
        <f t="shared" si="47"/>
        <v>459.52999310832962</v>
      </c>
      <c r="BB24" s="228">
        <f t="shared" si="47"/>
        <v>2018.9859285633702</v>
      </c>
      <c r="BC24" s="292">
        <f t="shared" ref="BC24:BL24" si="48">+BC23+BC13</f>
        <v>508.33477069581534</v>
      </c>
      <c r="BD24" s="261">
        <f t="shared" si="48"/>
        <v>526.49196923076875</v>
      </c>
      <c r="BE24" s="261">
        <f t="shared" si="48"/>
        <v>586.14084552845554</v>
      </c>
      <c r="BF24" s="293">
        <f t="shared" si="48"/>
        <v>480.08827644166286</v>
      </c>
      <c r="BG24" s="228">
        <f t="shared" si="48"/>
        <v>2101.0558618967029</v>
      </c>
      <c r="BH24" s="292">
        <f t="shared" si="48"/>
        <v>536.60742802914865</v>
      </c>
      <c r="BI24" s="261">
        <f t="shared" si="48"/>
        <v>554.76462656410263</v>
      </c>
      <c r="BJ24" s="261">
        <f t="shared" si="48"/>
        <v>614.24703886178872</v>
      </c>
      <c r="BK24" s="293">
        <f t="shared" si="48"/>
        <v>508.36093377499628</v>
      </c>
      <c r="BL24" s="228">
        <f t="shared" si="48"/>
        <v>2213.9800272300363</v>
      </c>
      <c r="BM24" s="292">
        <f t="shared" ref="BM24:BQ24" si="49">+BM23+BM13</f>
        <v>565.23553850914868</v>
      </c>
      <c r="BN24" s="261">
        <f t="shared" si="49"/>
        <v>583.39273704410266</v>
      </c>
      <c r="BO24" s="261">
        <f t="shared" si="49"/>
        <v>642.70535606178851</v>
      </c>
      <c r="BP24" s="293">
        <f t="shared" si="49"/>
        <v>536.98904425499643</v>
      </c>
      <c r="BQ24" s="228">
        <f t="shared" si="49"/>
        <v>2328.3226758700357</v>
      </c>
      <c r="BR24" s="330"/>
      <c r="BS24" s="330"/>
      <c r="BT24" s="330"/>
      <c r="BU24" s="330"/>
      <c r="BX24" s="330"/>
      <c r="BY24" s="330"/>
      <c r="BZ24" s="330"/>
      <c r="CA24" s="330"/>
      <c r="CB24" s="330"/>
      <c r="CC24" s="5"/>
      <c r="CD24" s="5"/>
      <c r="CE24" s="330"/>
      <c r="CF24" s="330"/>
      <c r="CG24" s="330"/>
      <c r="CH24" s="330"/>
      <c r="CI24" s="330"/>
      <c r="CJ24" s="330"/>
      <c r="CK24" s="330"/>
      <c r="CL24" s="330"/>
      <c r="CM24" s="330"/>
      <c r="CN24" s="330"/>
      <c r="CO24" s="330"/>
      <c r="CP24" s="330"/>
      <c r="CQ24" s="330"/>
      <c r="CR24" s="330"/>
      <c r="CS24" s="330"/>
      <c r="CT24" s="330"/>
      <c r="CU24" s="330"/>
    </row>
    <row r="25" spans="1:104" ht="12.75" customHeight="1">
      <c r="A25" s="330"/>
      <c r="B25" s="330"/>
      <c r="C25" s="28"/>
      <c r="D25" s="330"/>
      <c r="E25" s="306"/>
      <c r="F25" s="264"/>
      <c r="G25" s="266"/>
      <c r="H25" s="307"/>
      <c r="I25" s="426"/>
      <c r="J25" s="306"/>
      <c r="K25" s="264"/>
      <c r="L25" s="266"/>
      <c r="M25" s="307"/>
      <c r="N25" s="426"/>
      <c r="O25" s="306"/>
      <c r="P25" s="264"/>
      <c r="Q25" s="266"/>
      <c r="R25" s="307"/>
      <c r="S25" s="426"/>
      <c r="T25" s="292"/>
      <c r="U25" s="261"/>
      <c r="V25" s="266"/>
      <c r="W25" s="307"/>
      <c r="X25" s="426"/>
      <c r="Y25" s="292"/>
      <c r="Z25" s="261"/>
      <c r="AA25" s="1444"/>
      <c r="AB25" s="1445"/>
      <c r="AC25" s="1446"/>
      <c r="AD25" s="292"/>
      <c r="AE25" s="261"/>
      <c r="AF25" s="1444"/>
      <c r="AG25" s="1445"/>
      <c r="AH25" s="1446"/>
      <c r="AI25" s="292"/>
      <c r="AJ25" s="261"/>
      <c r="AK25" s="1444"/>
      <c r="AL25" s="1445"/>
      <c r="AM25" s="1446"/>
      <c r="AN25" s="292"/>
      <c r="AO25" s="261"/>
      <c r="AP25" s="1444"/>
      <c r="AQ25" s="1445"/>
      <c r="AR25" s="1446"/>
      <c r="AS25" s="292"/>
      <c r="AT25" s="261"/>
      <c r="AU25" s="261"/>
      <c r="AV25" s="1445"/>
      <c r="AW25" s="1446"/>
      <c r="AX25" s="292"/>
      <c r="AY25" s="261"/>
      <c r="AZ25" s="261"/>
      <c r="BA25" s="293"/>
      <c r="BB25" s="228"/>
      <c r="BC25" s="292"/>
      <c r="BD25" s="261"/>
      <c r="BE25" s="261"/>
      <c r="BF25" s="293"/>
      <c r="BG25" s="228"/>
      <c r="BH25" s="292"/>
      <c r="BI25" s="261"/>
      <c r="BJ25" s="261"/>
      <c r="BK25" s="293"/>
      <c r="BL25" s="228"/>
      <c r="BM25" s="292"/>
      <c r="BN25" s="261"/>
      <c r="BO25" s="261"/>
      <c r="BP25" s="293"/>
      <c r="BQ25" s="228"/>
      <c r="BR25" s="330"/>
      <c r="BS25" s="330"/>
      <c r="BT25" s="330"/>
      <c r="BU25" s="330"/>
      <c r="BX25" s="330"/>
      <c r="BY25" s="330"/>
      <c r="BZ25" s="330"/>
      <c r="CA25" s="330"/>
      <c r="CB25" s="330"/>
      <c r="CC25" s="5"/>
      <c r="CD25" s="5"/>
      <c r="CE25" s="330"/>
      <c r="CF25" s="330"/>
      <c r="CG25" s="330"/>
      <c r="CH25" s="330"/>
      <c r="CI25" s="330"/>
      <c r="CJ25" s="330"/>
      <c r="CK25" s="330"/>
      <c r="CL25" s="330"/>
      <c r="CM25" s="330"/>
      <c r="CN25" s="330"/>
      <c r="CO25" s="330"/>
      <c r="CP25" s="330"/>
      <c r="CQ25" s="330"/>
      <c r="CR25" s="330"/>
      <c r="CS25" s="330"/>
      <c r="CT25" s="330"/>
      <c r="CU25" s="330"/>
    </row>
    <row r="26" spans="1:104" s="232" customFormat="1" ht="12.75" customHeight="1">
      <c r="A26" s="45"/>
      <c r="B26" s="45"/>
      <c r="C26" s="28" t="s">
        <v>80</v>
      </c>
      <c r="D26" s="45"/>
      <c r="E26" s="335">
        <v>83</v>
      </c>
      <c r="F26" s="336">
        <v>75</v>
      </c>
      <c r="G26" s="336">
        <v>82</v>
      </c>
      <c r="H26" s="586">
        <f>I26-SUM(E26:G26)</f>
        <v>79</v>
      </c>
      <c r="I26" s="427">
        <v>319</v>
      </c>
      <c r="J26" s="335">
        <v>84</v>
      </c>
      <c r="K26" s="336">
        <v>134</v>
      </c>
      <c r="L26" s="336">
        <v>82</v>
      </c>
      <c r="M26" s="586">
        <f>N26-SUM(J26:L26)</f>
        <v>86</v>
      </c>
      <c r="N26" s="427">
        <v>386</v>
      </c>
      <c r="O26" s="335">
        <v>85</v>
      </c>
      <c r="P26" s="336">
        <v>86</v>
      </c>
      <c r="Q26" s="336">
        <v>86</v>
      </c>
      <c r="R26" s="586">
        <f>S26-SUM(O26:Q26)</f>
        <v>88</v>
      </c>
      <c r="S26" s="427">
        <v>345</v>
      </c>
      <c r="T26" s="335">
        <v>82</v>
      </c>
      <c r="U26" s="336">
        <v>74</v>
      </c>
      <c r="V26" s="336">
        <f>71+3</f>
        <v>74</v>
      </c>
      <c r="W26" s="586">
        <f>X26-SUM(T26:V26)</f>
        <v>77</v>
      </c>
      <c r="X26" s="427">
        <f>294+13</f>
        <v>307</v>
      </c>
      <c r="Y26" s="335">
        <f>350+3</f>
        <v>353</v>
      </c>
      <c r="Z26" s="336">
        <f>72+4</f>
        <v>76</v>
      </c>
      <c r="AA26" s="1435">
        <f>71+3</f>
        <v>74</v>
      </c>
      <c r="AB26" s="1436">
        <f>AC26-SUM(Y26:AA26)</f>
        <v>76</v>
      </c>
      <c r="AC26" s="1437">
        <f>566+13</f>
        <v>579</v>
      </c>
      <c r="AD26" s="335">
        <f>77+3</f>
        <v>80</v>
      </c>
      <c r="AE26" s="336">
        <v>80</v>
      </c>
      <c r="AF26" s="1435">
        <f>78+3</f>
        <v>81</v>
      </c>
      <c r="AG26" s="1436">
        <f>AH26-SUM(AD26:AF26)</f>
        <v>80</v>
      </c>
      <c r="AH26" s="1437">
        <f>308+13</f>
        <v>321</v>
      </c>
      <c r="AI26" s="335">
        <f>81+3</f>
        <v>84</v>
      </c>
      <c r="AJ26" s="336">
        <f>78+3</f>
        <v>81</v>
      </c>
      <c r="AK26" s="1435">
        <f>80+3</f>
        <v>83</v>
      </c>
      <c r="AL26" s="1436">
        <f>AM26-SUM(AI26:AK26)</f>
        <v>84</v>
      </c>
      <c r="AM26" s="1437">
        <f>319+13</f>
        <v>332</v>
      </c>
      <c r="AN26" s="335">
        <f>83+3</f>
        <v>86</v>
      </c>
      <c r="AO26" s="336">
        <f>88+3</f>
        <v>91</v>
      </c>
      <c r="AP26" s="1435">
        <f>194+3</f>
        <v>197</v>
      </c>
      <c r="AQ26" s="1436">
        <f>AR26-SUM(AN26:AP26)</f>
        <v>87</v>
      </c>
      <c r="AR26" s="1437">
        <v>461</v>
      </c>
      <c r="AS26" s="335">
        <f>82+3</f>
        <v>85</v>
      </c>
      <c r="AT26" s="336">
        <f>98+3</f>
        <v>101</v>
      </c>
      <c r="AU26" s="336">
        <f>86+3</f>
        <v>89</v>
      </c>
      <c r="AV26" s="1436">
        <f>AW26-SUM(AS26:AU26)</f>
        <v>86</v>
      </c>
      <c r="AW26" s="1437">
        <f>348+13</f>
        <v>361</v>
      </c>
      <c r="AX26" s="290">
        <f>+AS26+SUM(AX155:AX157)</f>
        <v>81.819791666666674</v>
      </c>
      <c r="AY26" s="260">
        <f ca="1">+AT26+SUM(AY155:AY157)</f>
        <v>95.191076362053195</v>
      </c>
      <c r="AZ26" s="260">
        <f t="shared" ref="AZ26" ca="1" si="50">+AU26+SUM(AZ155:AZ157)</f>
        <v>102.1018002750737</v>
      </c>
      <c r="BA26" s="291">
        <f t="shared" ref="BA26" ca="1" si="51">+AV26+SUM(BA155:BA157)</f>
        <v>92.28060049794604</v>
      </c>
      <c r="BB26" s="45">
        <f ca="1">SUM(AX26:BA26)</f>
        <v>371.39326880173962</v>
      </c>
      <c r="BC26" s="290">
        <f ca="1">+AX26+SUM(BC155:BC157)</f>
        <v>87.780939180229751</v>
      </c>
      <c r="BD26" s="260">
        <f t="shared" ref="BD26" ca="1" si="52">+AY26+SUM(BD155:BD157)</f>
        <v>107.38330533691772</v>
      </c>
      <c r="BE26" s="260">
        <f t="shared" ref="BE26" ca="1" si="53">+AZ26+SUM(BE155:BE157)</f>
        <v>108.85813176252245</v>
      </c>
      <c r="BF26" s="291">
        <f t="shared" ref="BF26" ca="1" si="54">+BA26+SUM(BF155:BF157)</f>
        <v>97.221762278310266</v>
      </c>
      <c r="BG26" s="45">
        <f ca="1">SUM(BC26:BF26)</f>
        <v>401.24413855798019</v>
      </c>
      <c r="BH26" s="290">
        <f ca="1">+BC26+SUM(BH155:BH157)</f>
        <v>92.691206169069332</v>
      </c>
      <c r="BI26" s="260">
        <f t="shared" ref="BI26" ca="1" si="55">+BD26+SUM(BI155:BI157)</f>
        <v>112.21646111884368</v>
      </c>
      <c r="BJ26" s="260">
        <f t="shared" ref="BJ26" ca="1" si="56">+BE26+SUM(BJ155:BJ157)</f>
        <v>119.48974645996665</v>
      </c>
      <c r="BK26" s="291">
        <f t="shared" ref="BK26" ca="1" si="57">+BF26+SUM(BK155:BK157)</f>
        <v>104.36224044630161</v>
      </c>
      <c r="BL26" s="45">
        <f ca="1">SUM(BH26:BK26)</f>
        <v>428.75965419418128</v>
      </c>
      <c r="BM26" s="290">
        <f ca="1">+BH26+SUM(BM155:BM157)</f>
        <v>99.775670955125165</v>
      </c>
      <c r="BN26" s="260">
        <f t="shared" ref="BN26" ca="1" si="58">+BI26+SUM(BN155:BN157)</f>
        <v>118.97858556434799</v>
      </c>
      <c r="BO26" s="260">
        <f t="shared" ref="BO26" ca="1" si="59">+BJ26+SUM(BO155:BO157)</f>
        <v>127.45080664935283</v>
      </c>
      <c r="BP26" s="291">
        <f t="shared" ref="BP26" ca="1" si="60">+BK26+SUM(BP155:BP157)</f>
        <v>110.40471692861615</v>
      </c>
      <c r="BQ26" s="45">
        <f ca="1">SUM(BM26:BP26)</f>
        <v>456.60978009744213</v>
      </c>
      <c r="BR26" s="45"/>
      <c r="BS26" s="45"/>
      <c r="BT26" s="45"/>
      <c r="BU26" s="45"/>
      <c r="BX26" s="45"/>
      <c r="BY26" s="45"/>
      <c r="BZ26" s="45"/>
      <c r="CA26" s="45"/>
      <c r="CB26" s="45"/>
      <c r="CC26" s="5"/>
      <c r="CD26" s="5"/>
      <c r="CE26" s="45"/>
      <c r="CF26" s="45"/>
      <c r="CG26" s="45"/>
      <c r="CH26" s="45"/>
      <c r="CI26" s="45"/>
      <c r="CJ26" s="45"/>
      <c r="CK26" s="45"/>
      <c r="CL26" s="45"/>
      <c r="CM26" s="45"/>
      <c r="CN26" s="45"/>
      <c r="CO26" s="45"/>
      <c r="CP26" s="45"/>
      <c r="CQ26" s="45"/>
      <c r="CR26" s="45"/>
      <c r="CS26" s="45"/>
      <c r="CT26" s="45"/>
      <c r="CU26" s="45"/>
      <c r="CV26" s="45"/>
      <c r="CW26" s="45"/>
      <c r="CX26" s="45"/>
      <c r="CY26" s="45"/>
      <c r="CZ26" s="45"/>
    </row>
    <row r="27" spans="1:104" ht="12.75" customHeight="1">
      <c r="A27" s="330"/>
      <c r="B27" s="330"/>
      <c r="C27" s="28"/>
      <c r="D27" s="330"/>
      <c r="E27" s="306"/>
      <c r="F27" s="264"/>
      <c r="G27" s="266"/>
      <c r="H27" s="307"/>
      <c r="I27" s="426"/>
      <c r="J27" s="306"/>
      <c r="K27" s="264"/>
      <c r="L27" s="266"/>
      <c r="M27" s="307"/>
      <c r="N27" s="426"/>
      <c r="O27" s="306"/>
      <c r="P27" s="264"/>
      <c r="Q27" s="266"/>
      <c r="R27" s="307"/>
      <c r="S27" s="426"/>
      <c r="T27" s="306"/>
      <c r="U27" s="266"/>
      <c r="V27" s="266"/>
      <c r="W27" s="307"/>
      <c r="X27" s="426"/>
      <c r="Y27" s="306"/>
      <c r="Z27" s="266"/>
      <c r="AA27" s="1444"/>
      <c r="AB27" s="1445"/>
      <c r="AC27" s="1446"/>
      <c r="AD27" s="306"/>
      <c r="AE27" s="266"/>
      <c r="AF27" s="1444"/>
      <c r="AG27" s="1445"/>
      <c r="AH27" s="1446"/>
      <c r="AI27" s="306"/>
      <c r="AJ27" s="266"/>
      <c r="AK27" s="1444"/>
      <c r="AL27" s="1445"/>
      <c r="AM27" s="1446"/>
      <c r="AN27" s="306"/>
      <c r="AO27" s="266"/>
      <c r="AP27" s="1444"/>
      <c r="AQ27" s="1445"/>
      <c r="AR27" s="1446"/>
      <c r="AS27" s="306"/>
      <c r="AT27" s="266"/>
      <c r="AU27" s="264"/>
      <c r="AV27" s="1445"/>
      <c r="AW27" s="1446"/>
      <c r="AX27" s="300"/>
      <c r="AY27" s="264"/>
      <c r="AZ27" s="264"/>
      <c r="BA27" s="299"/>
      <c r="BB27" s="330"/>
      <c r="BC27" s="300"/>
      <c r="BD27" s="264"/>
      <c r="BE27" s="264"/>
      <c r="BF27" s="299"/>
      <c r="BG27" s="330"/>
      <c r="BH27" s="300"/>
      <c r="BI27" s="264"/>
      <c r="BJ27" s="264"/>
      <c r="BK27" s="299"/>
      <c r="BL27" s="330"/>
      <c r="BM27" s="300"/>
      <c r="BN27" s="264"/>
      <c r="BO27" s="264"/>
      <c r="BP27" s="299"/>
      <c r="BQ27" s="330"/>
      <c r="BR27" s="330"/>
      <c r="BS27" s="330"/>
      <c r="BT27" s="330"/>
      <c r="BU27" s="330"/>
      <c r="BX27" s="330"/>
      <c r="BY27" s="330"/>
      <c r="BZ27" s="330"/>
      <c r="CA27" s="330"/>
      <c r="CB27" s="330"/>
      <c r="CC27" s="5"/>
      <c r="CD27" s="5"/>
      <c r="CE27" s="330"/>
      <c r="CF27" s="330"/>
      <c r="CG27" s="330"/>
      <c r="CH27" s="330"/>
      <c r="CI27" s="330"/>
      <c r="CJ27" s="330"/>
      <c r="CK27" s="330"/>
      <c r="CL27" s="330"/>
      <c r="CM27" s="330"/>
      <c r="CN27" s="330"/>
      <c r="CO27" s="330"/>
      <c r="CP27" s="330"/>
      <c r="CQ27" s="330"/>
      <c r="CR27" s="330"/>
      <c r="CS27" s="330"/>
      <c r="CT27" s="330"/>
      <c r="CU27" s="330"/>
    </row>
    <row r="28" spans="1:104" ht="12.75" customHeight="1">
      <c r="A28" s="330"/>
      <c r="B28" s="330"/>
      <c r="C28" s="32" t="s">
        <v>576</v>
      </c>
      <c r="D28" s="45"/>
      <c r="E28" s="292">
        <f t="shared" ref="E28:AE28" si="61">+E23-E26</f>
        <v>155</v>
      </c>
      <c r="F28" s="261">
        <f t="shared" si="61"/>
        <v>189</v>
      </c>
      <c r="G28" s="261">
        <f t="shared" si="61"/>
        <v>102</v>
      </c>
      <c r="H28" s="293">
        <f t="shared" si="61"/>
        <v>157</v>
      </c>
      <c r="I28" s="228">
        <f t="shared" si="61"/>
        <v>603</v>
      </c>
      <c r="J28" s="292">
        <f t="shared" si="61"/>
        <v>210</v>
      </c>
      <c r="K28" s="261">
        <f t="shared" si="61"/>
        <v>130</v>
      </c>
      <c r="L28" s="261">
        <f t="shared" si="61"/>
        <v>200</v>
      </c>
      <c r="M28" s="293">
        <f t="shared" si="61"/>
        <v>154</v>
      </c>
      <c r="N28" s="228">
        <f t="shared" si="61"/>
        <v>694</v>
      </c>
      <c r="O28" s="292">
        <f t="shared" si="61"/>
        <v>119</v>
      </c>
      <c r="P28" s="261">
        <f t="shared" si="61"/>
        <v>172</v>
      </c>
      <c r="Q28" s="261">
        <f t="shared" si="61"/>
        <v>173</v>
      </c>
      <c r="R28" s="293">
        <f t="shared" si="61"/>
        <v>202</v>
      </c>
      <c r="S28" s="228">
        <f t="shared" si="61"/>
        <v>666</v>
      </c>
      <c r="T28" s="292">
        <f t="shared" si="61"/>
        <v>148</v>
      </c>
      <c r="U28" s="261">
        <f>+U23-U26</f>
        <v>71</v>
      </c>
      <c r="V28" s="261">
        <f>+V23-V26</f>
        <v>149</v>
      </c>
      <c r="W28" s="293">
        <f>+W23-W26</f>
        <v>250</v>
      </c>
      <c r="X28" s="228">
        <f>+X23-X26</f>
        <v>618</v>
      </c>
      <c r="Y28" s="292">
        <f>+Y23-Y26</f>
        <v>-139</v>
      </c>
      <c r="Z28" s="261">
        <f t="shared" si="61"/>
        <v>162</v>
      </c>
      <c r="AA28" s="1438">
        <f>+AA23-AA26</f>
        <v>211</v>
      </c>
      <c r="AB28" s="1439">
        <f>+AB23-AB26</f>
        <v>167</v>
      </c>
      <c r="AC28" s="1440">
        <f>+AC23-AC26</f>
        <v>401</v>
      </c>
      <c r="AD28" s="292">
        <f>+AD23-AD26</f>
        <v>163</v>
      </c>
      <c r="AE28" s="261">
        <f t="shared" si="61"/>
        <v>183</v>
      </c>
      <c r="AF28" s="1438">
        <f>+AF23-AF26</f>
        <v>210</v>
      </c>
      <c r="AG28" s="1439">
        <f>+AG23-AG26</f>
        <v>120</v>
      </c>
      <c r="AH28" s="1440">
        <f>+AH23-AH26</f>
        <v>676</v>
      </c>
      <c r="AI28" s="292">
        <f>+AI23-AI26</f>
        <v>149</v>
      </c>
      <c r="AJ28" s="261">
        <f t="shared" ref="AJ28" si="62">+AJ23-AJ26</f>
        <v>167</v>
      </c>
      <c r="AK28" s="1438">
        <f>+AK23-AK26</f>
        <v>248</v>
      </c>
      <c r="AL28" s="1439">
        <f>+AL23-AL26</f>
        <v>142</v>
      </c>
      <c r="AM28" s="1440">
        <f>+AM23-AM26</f>
        <v>706</v>
      </c>
      <c r="AN28" s="292">
        <f>+AN23-AN26</f>
        <v>192</v>
      </c>
      <c r="AO28" s="261">
        <f t="shared" ref="AO28" si="63">+AO23-AO26</f>
        <v>236</v>
      </c>
      <c r="AP28" s="1438">
        <f>+AP23-AP26</f>
        <v>112</v>
      </c>
      <c r="AQ28" s="1439">
        <f>+AQ23-AQ26</f>
        <v>139</v>
      </c>
      <c r="AR28" s="1440">
        <f>+AR23-AR26</f>
        <v>679</v>
      </c>
      <c r="AS28" s="292">
        <f>+AS23-AS26</f>
        <v>233</v>
      </c>
      <c r="AT28" s="261">
        <f t="shared" ref="AT28:AU28" si="64">+AT23-AT26</f>
        <v>222</v>
      </c>
      <c r="AU28" s="261">
        <f t="shared" si="64"/>
        <v>320</v>
      </c>
      <c r="AV28" s="1439">
        <f>+AV23-AV26</f>
        <v>209</v>
      </c>
      <c r="AW28" s="1440">
        <f>+AW23-AW26</f>
        <v>984</v>
      </c>
      <c r="AX28" s="292">
        <f t="shared" ref="AX28:BB28" si="65">+AX23-AX26</f>
        <v>206.12711675370457</v>
      </c>
      <c r="AY28" s="261">
        <f t="shared" ca="1" si="65"/>
        <v>207.3513581808316</v>
      </c>
      <c r="AZ28" s="261">
        <f t="shared" ca="1" si="65"/>
        <v>257.01031347085711</v>
      </c>
      <c r="BA28" s="293">
        <f t="shared" ca="1" si="65"/>
        <v>157.40541312842356</v>
      </c>
      <c r="BB28" s="228">
        <f t="shared" ca="1" si="65"/>
        <v>827.89420153381752</v>
      </c>
      <c r="BC28" s="292">
        <f t="shared" ref="BC28:BL28" ca="1" si="66">+BC23-BC26</f>
        <v>207.53126994169352</v>
      </c>
      <c r="BD28" s="261">
        <f t="shared" ca="1" si="66"/>
        <v>203.01895118822881</v>
      </c>
      <c r="BE28" s="261">
        <f t="shared" ca="1" si="66"/>
        <v>259.06514846132541</v>
      </c>
      <c r="BF28" s="293">
        <f t="shared" ca="1" si="66"/>
        <v>162.54213990466235</v>
      </c>
      <c r="BG28" s="228">
        <f t="shared" ca="1" si="66"/>
        <v>832.15750949591052</v>
      </c>
      <c r="BH28" s="292">
        <f t="shared" ca="1" si="66"/>
        <v>221.50587417864398</v>
      </c>
      <c r="BI28" s="261">
        <f t="shared" ca="1" si="66"/>
        <v>218.0474750657028</v>
      </c>
      <c r="BJ28" s="261">
        <f t="shared" ca="1" si="66"/>
        <v>267.90288026486883</v>
      </c>
      <c r="BK28" s="293">
        <f t="shared" ca="1" si="66"/>
        <v>174.81383683846826</v>
      </c>
      <c r="BL28" s="228">
        <f t="shared" ca="1" si="66"/>
        <v>882.27006634768406</v>
      </c>
      <c r="BM28" s="292">
        <f t="shared" ref="BM28:BQ28" ca="1" si="67">+BM23-BM26</f>
        <v>233.96761391006174</v>
      </c>
      <c r="BN28" s="261">
        <f t="shared" ca="1" si="67"/>
        <v>230.63731995364429</v>
      </c>
      <c r="BO28" s="261">
        <f t="shared" ca="1" si="67"/>
        <v>279.21573360193247</v>
      </c>
      <c r="BP28" s="293">
        <f t="shared" ca="1" si="67"/>
        <v>188.30589738723614</v>
      </c>
      <c r="BQ28" s="228">
        <f t="shared" ca="1" si="67"/>
        <v>932.12656485287403</v>
      </c>
      <c r="BR28" s="330"/>
      <c r="BS28" s="330"/>
      <c r="BT28" s="330"/>
      <c r="BU28" s="330"/>
      <c r="BX28" s="330"/>
      <c r="BY28" s="330"/>
      <c r="BZ28" s="330"/>
      <c r="CA28" s="330"/>
      <c r="CB28" s="330"/>
      <c r="CC28" s="5"/>
      <c r="CD28" s="5"/>
      <c r="CE28" s="330"/>
      <c r="CF28" s="330"/>
      <c r="CG28" s="330"/>
      <c r="CH28" s="330"/>
      <c r="CI28" s="330"/>
      <c r="CJ28" s="330"/>
      <c r="CK28" s="330"/>
      <c r="CL28" s="330"/>
      <c r="CM28" s="330"/>
      <c r="CN28" s="330"/>
      <c r="CO28" s="330"/>
      <c r="CP28" s="330"/>
      <c r="CQ28" s="330"/>
      <c r="CR28" s="330"/>
      <c r="CS28" s="330"/>
      <c r="CT28" s="330"/>
      <c r="CU28" s="330"/>
    </row>
    <row r="29" spans="1:104" ht="12.75" customHeight="1">
      <c r="A29" s="330"/>
      <c r="B29" s="330"/>
      <c r="C29" s="28"/>
      <c r="D29" s="330"/>
      <c r="E29" s="300"/>
      <c r="F29" s="264"/>
      <c r="G29" s="264"/>
      <c r="H29" s="299"/>
      <c r="I29" s="330"/>
      <c r="J29" s="300"/>
      <c r="K29" s="264"/>
      <c r="L29" s="264"/>
      <c r="M29" s="299"/>
      <c r="N29" s="330"/>
      <c r="O29" s="300"/>
      <c r="P29" s="264"/>
      <c r="Q29" s="264"/>
      <c r="R29" s="299"/>
      <c r="S29" s="330"/>
      <c r="T29" s="300"/>
      <c r="U29" s="264"/>
      <c r="V29" s="264"/>
      <c r="W29" s="299"/>
      <c r="X29" s="330"/>
      <c r="Y29" s="300"/>
      <c r="Z29" s="264"/>
      <c r="AA29" s="1441"/>
      <c r="AB29" s="1442"/>
      <c r="AC29" s="1443"/>
      <c r="AD29" s="300"/>
      <c r="AE29" s="264"/>
      <c r="AF29" s="1441"/>
      <c r="AG29" s="1442"/>
      <c r="AH29" s="1443"/>
      <c r="AI29" s="300"/>
      <c r="AJ29" s="264"/>
      <c r="AK29" s="1441"/>
      <c r="AL29" s="1442"/>
      <c r="AM29" s="1443"/>
      <c r="AN29" s="300"/>
      <c r="AO29" s="264"/>
      <c r="AP29" s="1441"/>
      <c r="AQ29" s="1442"/>
      <c r="AR29" s="1443"/>
      <c r="AS29" s="300"/>
      <c r="AT29" s="264"/>
      <c r="AU29" s="264"/>
      <c r="AV29" s="1442"/>
      <c r="AW29" s="1443"/>
      <c r="AX29" s="300"/>
      <c r="AY29" s="264"/>
      <c r="AZ29" s="264"/>
      <c r="BA29" s="299"/>
      <c r="BB29" s="330"/>
      <c r="BC29" s="300"/>
      <c r="BD29" s="264"/>
      <c r="BE29" s="264"/>
      <c r="BF29" s="299"/>
      <c r="BG29" s="330"/>
      <c r="BH29" s="300"/>
      <c r="BI29" s="264"/>
      <c r="BJ29" s="264"/>
      <c r="BK29" s="299"/>
      <c r="BL29" s="330"/>
      <c r="BM29" s="300"/>
      <c r="BN29" s="264"/>
      <c r="BO29" s="264"/>
      <c r="BP29" s="299"/>
      <c r="BQ29" s="330"/>
      <c r="BR29" s="330"/>
      <c r="BS29" s="330"/>
      <c r="BT29" s="330"/>
      <c r="BU29" s="330"/>
      <c r="BX29" s="330"/>
      <c r="BY29" s="330"/>
      <c r="BZ29" s="330"/>
      <c r="CA29" s="330"/>
      <c r="CB29" s="330"/>
      <c r="CC29" s="5"/>
      <c r="CD29" s="5"/>
      <c r="CE29" s="330"/>
      <c r="CF29" s="330"/>
      <c r="CG29" s="330"/>
      <c r="CH29" s="330"/>
      <c r="CI29" s="330"/>
      <c r="CJ29" s="330"/>
      <c r="CK29" s="330"/>
      <c r="CL29" s="330"/>
      <c r="CM29" s="330"/>
      <c r="CN29" s="330"/>
      <c r="CO29" s="330"/>
      <c r="CP29" s="330"/>
      <c r="CQ29" s="330"/>
      <c r="CR29" s="330"/>
      <c r="CS29" s="330"/>
      <c r="CT29" s="330"/>
      <c r="CU29" s="330"/>
    </row>
    <row r="30" spans="1:104" ht="12.75" customHeight="1">
      <c r="A30" s="330"/>
      <c r="B30" s="330"/>
      <c r="C30" s="28" t="s">
        <v>320</v>
      </c>
      <c r="D30" s="330"/>
      <c r="E30" s="335">
        <v>41</v>
      </c>
      <c r="F30" s="336">
        <v>73</v>
      </c>
      <c r="G30" s="336">
        <v>56</v>
      </c>
      <c r="H30" s="586">
        <f>I30-SUM(E30:G30)</f>
        <v>59</v>
      </c>
      <c r="I30" s="427">
        <v>229</v>
      </c>
      <c r="J30" s="335">
        <v>94</v>
      </c>
      <c r="K30" s="336">
        <v>121</v>
      </c>
      <c r="L30" s="336">
        <v>79</v>
      </c>
      <c r="M30" s="586">
        <f>N30-SUM(J30:L30)</f>
        <v>63</v>
      </c>
      <c r="N30" s="427">
        <v>357</v>
      </c>
      <c r="O30" s="335">
        <v>50</v>
      </c>
      <c r="P30" s="336">
        <v>58</v>
      </c>
      <c r="Q30" s="336">
        <v>61</v>
      </c>
      <c r="R30" s="586">
        <f>S30-SUM(O30:Q30)</f>
        <v>81</v>
      </c>
      <c r="S30" s="427">
        <v>250</v>
      </c>
      <c r="T30" s="335">
        <v>61</v>
      </c>
      <c r="U30" s="336">
        <v>29</v>
      </c>
      <c r="V30" s="336">
        <v>59</v>
      </c>
      <c r="W30" s="586">
        <f>X30-SUM(T30:V30)</f>
        <v>90</v>
      </c>
      <c r="X30" s="427">
        <v>239</v>
      </c>
      <c r="Y30" s="335">
        <v>-58</v>
      </c>
      <c r="Z30" s="336">
        <v>66</v>
      </c>
      <c r="AA30" s="1435">
        <v>85</v>
      </c>
      <c r="AB30" s="1436">
        <f>AC30-SUM(Y30:AA30)</f>
        <v>59</v>
      </c>
      <c r="AC30" s="1437">
        <v>152</v>
      </c>
      <c r="AD30" s="335">
        <v>65</v>
      </c>
      <c r="AE30" s="336">
        <v>72</v>
      </c>
      <c r="AF30" s="1435">
        <v>84</v>
      </c>
      <c r="AG30" s="1436">
        <f>AH30-SUM(AD30:AF30)</f>
        <v>47</v>
      </c>
      <c r="AH30" s="1437">
        <v>268</v>
      </c>
      <c r="AI30" s="335">
        <v>59</v>
      </c>
      <c r="AJ30" s="336">
        <v>68</v>
      </c>
      <c r="AK30" s="1435">
        <v>99</v>
      </c>
      <c r="AL30" s="1436">
        <f>AM30-SUM(AI30:AK30)</f>
        <v>54</v>
      </c>
      <c r="AM30" s="1437">
        <v>280</v>
      </c>
      <c r="AN30" s="335">
        <v>77</v>
      </c>
      <c r="AO30" s="336">
        <v>91</v>
      </c>
      <c r="AP30" s="1435">
        <v>75</v>
      </c>
      <c r="AQ30" s="1436">
        <f>AR30-SUM(AN30:AP30)</f>
        <v>58</v>
      </c>
      <c r="AR30" s="1437">
        <v>301</v>
      </c>
      <c r="AS30" s="335">
        <v>92</v>
      </c>
      <c r="AT30" s="336">
        <v>104</v>
      </c>
      <c r="AU30" s="336">
        <v>131</v>
      </c>
      <c r="AV30" s="1436">
        <f>AW30-SUM(AS30:AU30)</f>
        <v>90</v>
      </c>
      <c r="AW30" s="1437">
        <v>417</v>
      </c>
      <c r="AX30" s="300">
        <f>AX59*(AX28-AX19)</f>
        <v>42.096694518277957</v>
      </c>
      <c r="AY30" s="264">
        <f ca="1">AY59*(AY28-AY19)</f>
        <v>42.353785217974632</v>
      </c>
      <c r="AZ30" s="264">
        <f ca="1">AZ59*(AZ28-AZ19)</f>
        <v>52.782165828879997</v>
      </c>
      <c r="BA30" s="299">
        <f ca="1">BA59*(BA28-BA19)</f>
        <v>31.865136756968948</v>
      </c>
      <c r="BB30" s="45">
        <f ca="1">SUM(AX30:BA30)</f>
        <v>169.09778232210155</v>
      </c>
      <c r="BC30" s="300">
        <f ca="1">BC59*(BC28-BC19)</f>
        <v>42.615566687755638</v>
      </c>
      <c r="BD30" s="264">
        <f ca="1">BD59*(BD28-BD19)</f>
        <v>41.667979749528051</v>
      </c>
      <c r="BE30" s="264">
        <f ca="1">BE59*(BE28-BE19)</f>
        <v>53.437681176878336</v>
      </c>
      <c r="BF30" s="299">
        <f ca="1">BF59*(BF28-BF19)</f>
        <v>33.167849379979096</v>
      </c>
      <c r="BG30" s="45">
        <f ca="1">SUM(BC30:BF30)</f>
        <v>170.88907699414111</v>
      </c>
      <c r="BH30" s="300">
        <f ca="1">BH59*(BH28-BH19)</f>
        <v>45.480233577515236</v>
      </c>
      <c r="BI30" s="264">
        <f ca="1">BI59*(BI28-BI19)</f>
        <v>44.753969763797585</v>
      </c>
      <c r="BJ30" s="264">
        <f ca="1">BJ59*(BJ28-BJ19)</f>
        <v>55.223604855622447</v>
      </c>
      <c r="BK30" s="299">
        <f ca="1">BK59*(BK28-BK19)</f>
        <v>35.67490573607833</v>
      </c>
      <c r="BL30" s="45">
        <f ca="1">SUM(BH30:BK30)</f>
        <v>181.1327139330136</v>
      </c>
      <c r="BM30" s="300">
        <f ca="1">BM59*(BM28-BM19)</f>
        <v>48.097198921112962</v>
      </c>
      <c r="BN30" s="264">
        <f ca="1">BN59*(BN28-BN19)</f>
        <v>47.3978371902653</v>
      </c>
      <c r="BO30" s="264">
        <f ca="1">BO59*(BO28-BO19)</f>
        <v>57.599304056405813</v>
      </c>
      <c r="BP30" s="299">
        <f ca="1">BP59*(BP28-BP19)</f>
        <v>38.508238451319585</v>
      </c>
      <c r="BQ30" s="45">
        <f ca="1">SUM(BM30:BP30)</f>
        <v>191.60257861910367</v>
      </c>
      <c r="BR30" s="330"/>
      <c r="BS30" s="330"/>
      <c r="BT30" s="330"/>
      <c r="BU30" s="330"/>
      <c r="BX30" s="330"/>
      <c r="BY30" s="330"/>
      <c r="BZ30" s="330"/>
      <c r="CA30" s="330"/>
      <c r="CB30" s="330"/>
      <c r="CC30" s="5"/>
      <c r="CD30" s="5"/>
      <c r="CE30" s="330"/>
      <c r="CF30" s="330"/>
      <c r="CG30" s="330"/>
      <c r="CH30" s="330"/>
      <c r="CI30" s="330"/>
      <c r="CJ30" s="330"/>
      <c r="CK30" s="330"/>
      <c r="CL30" s="330"/>
      <c r="CM30" s="330"/>
      <c r="CN30" s="330"/>
      <c r="CO30" s="330"/>
      <c r="CP30" s="330"/>
      <c r="CQ30" s="330"/>
      <c r="CR30" s="330"/>
      <c r="CS30" s="330"/>
      <c r="CT30" s="330"/>
      <c r="CU30" s="330"/>
    </row>
    <row r="31" spans="1:104" ht="12.75" customHeight="1">
      <c r="A31" s="330"/>
      <c r="B31" s="330"/>
      <c r="C31" s="28"/>
      <c r="D31" s="330"/>
      <c r="E31" s="335"/>
      <c r="F31" s="336"/>
      <c r="G31" s="336"/>
      <c r="H31" s="586"/>
      <c r="I31" s="427"/>
      <c r="J31" s="335"/>
      <c r="K31" s="336"/>
      <c r="L31" s="336"/>
      <c r="M31" s="586"/>
      <c r="N31" s="427"/>
      <c r="O31" s="335"/>
      <c r="P31" s="336"/>
      <c r="Q31" s="336"/>
      <c r="R31" s="586"/>
      <c r="S31" s="427"/>
      <c r="T31" s="335"/>
      <c r="U31" s="336"/>
      <c r="V31" s="336"/>
      <c r="W31" s="586"/>
      <c r="X31" s="427"/>
      <c r="Y31" s="335"/>
      <c r="Z31" s="336"/>
      <c r="AA31" s="1435"/>
      <c r="AB31" s="1436"/>
      <c r="AC31" s="1437"/>
      <c r="AD31" s="335"/>
      <c r="AE31" s="336"/>
      <c r="AF31" s="1435"/>
      <c r="AG31" s="1436"/>
      <c r="AH31" s="1437"/>
      <c r="AI31" s="335"/>
      <c r="AJ31" s="336"/>
      <c r="AK31" s="1435"/>
      <c r="AL31" s="1436"/>
      <c r="AM31" s="1437"/>
      <c r="AN31" s="335"/>
      <c r="AO31" s="336"/>
      <c r="AP31" s="1435"/>
      <c r="AQ31" s="1436"/>
      <c r="AR31" s="1437"/>
      <c r="AS31" s="335"/>
      <c r="AT31" s="336"/>
      <c r="AU31" s="264"/>
      <c r="AV31" s="1436"/>
      <c r="AW31" s="1437"/>
      <c r="AX31" s="300"/>
      <c r="AY31" s="264"/>
      <c r="AZ31" s="264"/>
      <c r="BA31" s="299"/>
      <c r="BB31" s="330"/>
      <c r="BC31" s="300"/>
      <c r="BD31" s="264"/>
      <c r="BE31" s="264"/>
      <c r="BF31" s="299"/>
      <c r="BG31" s="330"/>
      <c r="BH31" s="300"/>
      <c r="BI31" s="264"/>
      <c r="BJ31" s="264"/>
      <c r="BK31" s="299"/>
      <c r="BL31" s="330"/>
      <c r="BM31" s="300"/>
      <c r="BN31" s="264"/>
      <c r="BO31" s="264"/>
      <c r="BP31" s="299"/>
      <c r="BQ31" s="330"/>
      <c r="BR31" s="330"/>
      <c r="BS31" s="330"/>
      <c r="BT31" s="330"/>
      <c r="BU31" s="330"/>
      <c r="BV31" s="330"/>
      <c r="BW31" s="330"/>
      <c r="BX31" s="330"/>
      <c r="BY31" s="330"/>
      <c r="BZ31" s="330"/>
      <c r="CA31" s="330"/>
      <c r="CB31" s="330"/>
      <c r="CC31" s="5"/>
      <c r="CD31" s="5"/>
      <c r="CE31" s="330"/>
      <c r="CF31" s="330"/>
      <c r="CG31" s="330"/>
      <c r="CH31" s="330"/>
      <c r="CI31" s="330"/>
      <c r="CJ31" s="330"/>
      <c r="CK31" s="330"/>
      <c r="CL31" s="330"/>
      <c r="CM31" s="330"/>
      <c r="CN31" s="330"/>
      <c r="CO31" s="330"/>
      <c r="CP31" s="330"/>
      <c r="CQ31" s="330"/>
      <c r="CR31" s="330"/>
      <c r="CS31" s="330"/>
      <c r="CT31" s="330"/>
      <c r="CU31" s="330"/>
    </row>
    <row r="32" spans="1:104" s="1" customFormat="1" ht="12.75" customHeight="1">
      <c r="C32" s="808" t="s">
        <v>321</v>
      </c>
      <c r="E32" s="292">
        <f>E28-E30</f>
        <v>114</v>
      </c>
      <c r="F32" s="261">
        <f t="shared" ref="F32:Z32" si="68">F28-F30</f>
        <v>116</v>
      </c>
      <c r="G32" s="261">
        <f t="shared" si="68"/>
        <v>46</v>
      </c>
      <c r="H32" s="293">
        <f t="shared" si="68"/>
        <v>98</v>
      </c>
      <c r="I32" s="228">
        <f t="shared" si="68"/>
        <v>374</v>
      </c>
      <c r="J32" s="292">
        <f t="shared" si="68"/>
        <v>116</v>
      </c>
      <c r="K32" s="261">
        <f t="shared" si="68"/>
        <v>9</v>
      </c>
      <c r="L32" s="261">
        <f t="shared" si="68"/>
        <v>121</v>
      </c>
      <c r="M32" s="293">
        <f t="shared" si="68"/>
        <v>91</v>
      </c>
      <c r="N32" s="228">
        <f t="shared" si="68"/>
        <v>337</v>
      </c>
      <c r="O32" s="292">
        <f t="shared" si="68"/>
        <v>69</v>
      </c>
      <c r="P32" s="261">
        <f t="shared" si="68"/>
        <v>114</v>
      </c>
      <c r="Q32" s="261">
        <f t="shared" si="68"/>
        <v>112</v>
      </c>
      <c r="R32" s="293">
        <f t="shared" si="68"/>
        <v>121</v>
      </c>
      <c r="S32" s="228">
        <f t="shared" si="68"/>
        <v>416</v>
      </c>
      <c r="T32" s="292">
        <f t="shared" si="68"/>
        <v>87</v>
      </c>
      <c r="U32" s="261">
        <f>U28-U30</f>
        <v>42</v>
      </c>
      <c r="V32" s="261">
        <f>V28-V30</f>
        <v>90</v>
      </c>
      <c r="W32" s="293">
        <f>W28-W30</f>
        <v>160</v>
      </c>
      <c r="X32" s="228">
        <f>X28-X30</f>
        <v>379</v>
      </c>
      <c r="Y32" s="292">
        <f>Y28-Y30</f>
        <v>-81</v>
      </c>
      <c r="Z32" s="261">
        <f t="shared" si="68"/>
        <v>96</v>
      </c>
      <c r="AA32" s="1438">
        <f>AA28-AA30</f>
        <v>126</v>
      </c>
      <c r="AB32" s="1439">
        <f>AB28-AB30</f>
        <v>108</v>
      </c>
      <c r="AC32" s="1440">
        <f>AC28-AC30</f>
        <v>249</v>
      </c>
      <c r="AD32" s="292">
        <f>AD28-AD30</f>
        <v>98</v>
      </c>
      <c r="AE32" s="261">
        <f t="shared" ref="AE32" si="69">AE28-AE30</f>
        <v>111</v>
      </c>
      <c r="AF32" s="1438">
        <f>AF28-AF30</f>
        <v>126</v>
      </c>
      <c r="AG32" s="1439">
        <f>AG28-AG30</f>
        <v>73</v>
      </c>
      <c r="AH32" s="1440">
        <f>AH28-AH30</f>
        <v>408</v>
      </c>
      <c r="AI32" s="292">
        <f>AI28-AI30</f>
        <v>90</v>
      </c>
      <c r="AJ32" s="261">
        <f t="shared" ref="AJ32" si="70">AJ28-AJ30</f>
        <v>99</v>
      </c>
      <c r="AK32" s="1438">
        <f>AK28-AK30</f>
        <v>149</v>
      </c>
      <c r="AL32" s="1439">
        <f>AL28-AL30</f>
        <v>88</v>
      </c>
      <c r="AM32" s="1440">
        <f>AM28-AM30</f>
        <v>426</v>
      </c>
      <c r="AN32" s="292">
        <f>AN28-AN30</f>
        <v>115</v>
      </c>
      <c r="AO32" s="261">
        <f t="shared" ref="AO32" si="71">AO28-AO30</f>
        <v>145</v>
      </c>
      <c r="AP32" s="1438">
        <f>AP28-AP30</f>
        <v>37</v>
      </c>
      <c r="AQ32" s="1439">
        <f>AQ28-AQ30</f>
        <v>81</v>
      </c>
      <c r="AR32" s="1440">
        <f>AR28-AR30</f>
        <v>378</v>
      </c>
      <c r="AS32" s="292">
        <f>AS28-AS30</f>
        <v>141</v>
      </c>
      <c r="AT32" s="261">
        <f t="shared" ref="AT32" si="72">AT28-AT30</f>
        <v>118</v>
      </c>
      <c r="AU32" s="261">
        <f t="shared" ref="AU32:BB32" si="73">AU28-AU30</f>
        <v>189</v>
      </c>
      <c r="AV32" s="1439">
        <f>AV28-AV30</f>
        <v>119</v>
      </c>
      <c r="AW32" s="1440">
        <f>AW28-AW30</f>
        <v>567</v>
      </c>
      <c r="AX32" s="292">
        <f t="shared" si="73"/>
        <v>164.03042223542661</v>
      </c>
      <c r="AY32" s="261">
        <f t="shared" ca="1" si="73"/>
        <v>164.99757296285696</v>
      </c>
      <c r="AZ32" s="261">
        <f t="shared" ca="1" si="73"/>
        <v>204.2281476419771</v>
      </c>
      <c r="BA32" s="293">
        <f t="shared" ca="1" si="73"/>
        <v>125.54027637145461</v>
      </c>
      <c r="BB32" s="228">
        <f t="shared" ca="1" si="73"/>
        <v>658.79641921171594</v>
      </c>
      <c r="BC32" s="292">
        <f t="shared" ref="BC32:BL32" ca="1" si="74">BC28-BC30</f>
        <v>164.91570325393789</v>
      </c>
      <c r="BD32" s="261">
        <f t="shared" ca="1" si="74"/>
        <v>161.35097143870075</v>
      </c>
      <c r="BE32" s="261">
        <f t="shared" ca="1" si="74"/>
        <v>205.62746728444708</v>
      </c>
      <c r="BF32" s="293">
        <f t="shared" ca="1" si="74"/>
        <v>129.37429052468326</v>
      </c>
      <c r="BG32" s="228">
        <f t="shared" ca="1" si="74"/>
        <v>661.26843250176944</v>
      </c>
      <c r="BH32" s="292">
        <f t="shared" ca="1" si="74"/>
        <v>176.02564060112874</v>
      </c>
      <c r="BI32" s="261">
        <f t="shared" ca="1" si="74"/>
        <v>173.29350530190521</v>
      </c>
      <c r="BJ32" s="261">
        <f t="shared" ca="1" si="74"/>
        <v>212.67927540924637</v>
      </c>
      <c r="BK32" s="293">
        <f t="shared" ca="1" si="74"/>
        <v>139.13893110238993</v>
      </c>
      <c r="BL32" s="228">
        <f t="shared" ca="1" si="74"/>
        <v>701.13735241467043</v>
      </c>
      <c r="BM32" s="292">
        <f t="shared" ref="BM32:BQ32" ca="1" si="75">BM28-BM30</f>
        <v>185.87041498894877</v>
      </c>
      <c r="BN32" s="261">
        <f t="shared" ca="1" si="75"/>
        <v>183.23948276337899</v>
      </c>
      <c r="BO32" s="261">
        <f t="shared" ca="1" si="75"/>
        <v>221.61642954552667</v>
      </c>
      <c r="BP32" s="293">
        <f t="shared" ca="1" si="75"/>
        <v>149.79765893591656</v>
      </c>
      <c r="BQ32" s="228">
        <f t="shared" ca="1" si="75"/>
        <v>740.5239862337703</v>
      </c>
      <c r="CC32" s="5"/>
      <c r="CD32" s="5"/>
      <c r="CH32" s="238"/>
      <c r="CI32" s="238"/>
      <c r="CJ32" s="238"/>
      <c r="CK32" s="238"/>
      <c r="CL32" s="329"/>
      <c r="CM32" s="329"/>
    </row>
    <row r="33" spans="1:99" s="1" customFormat="1" ht="12.75" customHeight="1">
      <c r="C33" s="28" t="s">
        <v>1294</v>
      </c>
      <c r="E33" s="337">
        <v>0</v>
      </c>
      <c r="F33" s="338">
        <v>0</v>
      </c>
      <c r="G33" s="338">
        <v>0</v>
      </c>
      <c r="H33" s="586">
        <f>I33-SUM(E33:G33)</f>
        <v>0</v>
      </c>
      <c r="I33" s="339">
        <v>0</v>
      </c>
      <c r="J33" s="337">
        <v>0</v>
      </c>
      <c r="K33" s="338">
        <v>0</v>
      </c>
      <c r="L33" s="338">
        <v>0</v>
      </c>
      <c r="M33" s="586">
        <f>N33-SUM(J33:L33)</f>
        <v>0</v>
      </c>
      <c r="N33" s="339">
        <v>0</v>
      </c>
      <c r="O33" s="337">
        <v>0</v>
      </c>
      <c r="P33" s="338">
        <v>0</v>
      </c>
      <c r="Q33" s="338">
        <v>0</v>
      </c>
      <c r="R33" s="586">
        <f>S33-SUM(O33:Q33)</f>
        <v>0</v>
      </c>
      <c r="S33" s="330">
        <v>0</v>
      </c>
      <c r="T33" s="337">
        <v>0</v>
      </c>
      <c r="U33" s="338">
        <v>0</v>
      </c>
      <c r="V33" s="338">
        <v>0</v>
      </c>
      <c r="W33" s="586">
        <f>X33-SUM(T33:V33)</f>
        <v>0</v>
      </c>
      <c r="X33" s="339">
        <v>0</v>
      </c>
      <c r="Y33" s="337">
        <v>0</v>
      </c>
      <c r="Z33" s="338">
        <v>0</v>
      </c>
      <c r="AA33" s="1435">
        <v>0</v>
      </c>
      <c r="AB33" s="1436">
        <f>AC33-SUM(Y33:AA33)</f>
        <v>0</v>
      </c>
      <c r="AC33" s="1437">
        <v>0</v>
      </c>
      <c r="AD33" s="337">
        <v>0</v>
      </c>
      <c r="AE33" s="338">
        <v>0</v>
      </c>
      <c r="AF33" s="1435">
        <v>0</v>
      </c>
      <c r="AG33" s="1436">
        <f>AH33-SUM(AD33:AF33)</f>
        <v>0</v>
      </c>
      <c r="AH33" s="1437">
        <v>0</v>
      </c>
      <c r="AI33" s="337">
        <v>0</v>
      </c>
      <c r="AJ33" s="338">
        <v>0</v>
      </c>
      <c r="AK33" s="1435">
        <v>0</v>
      </c>
      <c r="AL33" s="1436">
        <f>AM33-SUM(AI33:AK33)</f>
        <v>0</v>
      </c>
      <c r="AM33" s="1437">
        <v>0</v>
      </c>
      <c r="AN33" s="337">
        <v>0</v>
      </c>
      <c r="AO33" s="338">
        <v>0</v>
      </c>
      <c r="AP33" s="1435">
        <v>0</v>
      </c>
      <c r="AQ33" s="1436">
        <f>AR33-SUM(AN33:AP33)</f>
        <v>0</v>
      </c>
      <c r="AR33" s="1437">
        <v>0</v>
      </c>
      <c r="AS33" s="337">
        <v>0</v>
      </c>
      <c r="AT33" s="338">
        <v>0</v>
      </c>
      <c r="AU33" s="262">
        <v>0</v>
      </c>
      <c r="AV33" s="1436">
        <f>AW33-SUM(AS33:AU33)</f>
        <v>0</v>
      </c>
      <c r="AW33" s="1437">
        <v>0</v>
      </c>
      <c r="AX33" s="814">
        <v>0</v>
      </c>
      <c r="AY33" s="262">
        <v>0</v>
      </c>
      <c r="AZ33" s="262">
        <v>0</v>
      </c>
      <c r="BA33" s="294">
        <v>0</v>
      </c>
      <c r="BB33" s="330">
        <f>SUM(AX33:BA33)</f>
        <v>0</v>
      </c>
      <c r="BC33" s="814">
        <v>0</v>
      </c>
      <c r="BD33" s="262">
        <v>0</v>
      </c>
      <c r="BE33" s="262">
        <v>0</v>
      </c>
      <c r="BF33" s="294">
        <v>0</v>
      </c>
      <c r="BG33" s="330">
        <f>SUM(BC33:BF33)</f>
        <v>0</v>
      </c>
      <c r="BH33" s="814">
        <v>0</v>
      </c>
      <c r="BI33" s="262">
        <v>0</v>
      </c>
      <c r="BJ33" s="262">
        <v>0</v>
      </c>
      <c r="BK33" s="294">
        <v>0</v>
      </c>
      <c r="BL33" s="330">
        <f>SUM(BH33:BK33)</f>
        <v>0</v>
      </c>
      <c r="BM33" s="814">
        <v>0</v>
      </c>
      <c r="BN33" s="262">
        <v>0</v>
      </c>
      <c r="BO33" s="262">
        <v>0</v>
      </c>
      <c r="BP33" s="294">
        <v>0</v>
      </c>
      <c r="BQ33" s="330">
        <f>SUM(BM33:BP33)</f>
        <v>0</v>
      </c>
      <c r="CC33" s="5"/>
      <c r="CD33" s="5"/>
      <c r="CH33" s="238"/>
      <c r="CI33" s="238"/>
      <c r="CJ33" s="238"/>
      <c r="CK33" s="238"/>
      <c r="CL33" s="329"/>
      <c r="CM33" s="329"/>
    </row>
    <row r="34" spans="1:99" s="1" customFormat="1" ht="12.75" customHeight="1">
      <c r="C34" s="28"/>
      <c r="E34" s="337"/>
      <c r="F34" s="338"/>
      <c r="G34" s="338"/>
      <c r="H34" s="299"/>
      <c r="I34" s="339"/>
      <c r="J34" s="337"/>
      <c r="K34" s="338"/>
      <c r="L34" s="338"/>
      <c r="M34" s="299"/>
      <c r="N34" s="339"/>
      <c r="O34" s="337"/>
      <c r="P34" s="338"/>
      <c r="Q34" s="338"/>
      <c r="R34" s="299"/>
      <c r="S34" s="330"/>
      <c r="T34" s="337"/>
      <c r="U34" s="338"/>
      <c r="V34" s="338"/>
      <c r="W34" s="299"/>
      <c r="X34" s="330"/>
      <c r="Y34" s="337"/>
      <c r="Z34" s="338"/>
      <c r="AA34" s="1435"/>
      <c r="AB34" s="1442"/>
      <c r="AC34" s="1443"/>
      <c r="AD34" s="337"/>
      <c r="AE34" s="338"/>
      <c r="AF34" s="1435"/>
      <c r="AG34" s="1442"/>
      <c r="AH34" s="1443"/>
      <c r="AI34" s="337"/>
      <c r="AJ34" s="338"/>
      <c r="AK34" s="1435"/>
      <c r="AL34" s="1442"/>
      <c r="AM34" s="1443"/>
      <c r="AN34" s="337"/>
      <c r="AO34" s="338"/>
      <c r="AP34" s="1435"/>
      <c r="AQ34" s="1442"/>
      <c r="AR34" s="1443"/>
      <c r="AS34" s="337"/>
      <c r="AT34" s="338"/>
      <c r="AU34" s="353"/>
      <c r="AV34" s="1442"/>
      <c r="AW34" s="1443"/>
      <c r="AX34" s="369"/>
      <c r="AY34" s="353"/>
      <c r="AZ34" s="353"/>
      <c r="BA34" s="354"/>
      <c r="BB34" s="340"/>
      <c r="BC34" s="369"/>
      <c r="BD34" s="353"/>
      <c r="BE34" s="353"/>
      <c r="BF34" s="354"/>
      <c r="BG34" s="340"/>
      <c r="BH34" s="369"/>
      <c r="BI34" s="353"/>
      <c r="BJ34" s="353"/>
      <c r="BK34" s="354"/>
      <c r="BL34" s="340"/>
      <c r="BM34" s="369"/>
      <c r="BN34" s="353"/>
      <c r="BO34" s="353"/>
      <c r="BP34" s="354"/>
      <c r="BQ34" s="340"/>
      <c r="CC34" s="5"/>
      <c r="CD34" s="5"/>
      <c r="CH34" s="238"/>
      <c r="CI34" s="238"/>
      <c r="CJ34" s="238"/>
      <c r="CK34" s="238"/>
      <c r="CL34" s="329"/>
      <c r="CM34" s="329"/>
    </row>
    <row r="35" spans="1:99" ht="12.75" customHeight="1">
      <c r="A35" s="228"/>
      <c r="B35" s="228"/>
      <c r="C35" s="32" t="s">
        <v>82</v>
      </c>
      <c r="D35" s="228"/>
      <c r="E35" s="292">
        <f>E32-E33</f>
        <v>114</v>
      </c>
      <c r="F35" s="261">
        <f t="shared" ref="F35:AE35" si="76">F32-F33</f>
        <v>116</v>
      </c>
      <c r="G35" s="261">
        <f t="shared" si="76"/>
        <v>46</v>
      </c>
      <c r="H35" s="293">
        <f t="shared" si="76"/>
        <v>98</v>
      </c>
      <c r="I35" s="228">
        <f t="shared" si="76"/>
        <v>374</v>
      </c>
      <c r="J35" s="292">
        <f t="shared" si="76"/>
        <v>116</v>
      </c>
      <c r="K35" s="261">
        <f t="shared" si="76"/>
        <v>9</v>
      </c>
      <c r="L35" s="261">
        <f t="shared" si="76"/>
        <v>121</v>
      </c>
      <c r="M35" s="293">
        <f t="shared" si="76"/>
        <v>91</v>
      </c>
      <c r="N35" s="228">
        <f t="shared" si="76"/>
        <v>337</v>
      </c>
      <c r="O35" s="292">
        <f t="shared" si="76"/>
        <v>69</v>
      </c>
      <c r="P35" s="261">
        <f t="shared" si="76"/>
        <v>114</v>
      </c>
      <c r="Q35" s="261">
        <f t="shared" si="76"/>
        <v>112</v>
      </c>
      <c r="R35" s="293">
        <f t="shared" si="76"/>
        <v>121</v>
      </c>
      <c r="S35" s="228">
        <f t="shared" si="76"/>
        <v>416</v>
      </c>
      <c r="T35" s="292">
        <f t="shared" si="76"/>
        <v>87</v>
      </c>
      <c r="U35" s="261">
        <f>U32-U33</f>
        <v>42</v>
      </c>
      <c r="V35" s="261">
        <f>V32-V33</f>
        <v>90</v>
      </c>
      <c r="W35" s="293">
        <f>W32-W33</f>
        <v>160</v>
      </c>
      <c r="X35" s="228">
        <f>X32-X33</f>
        <v>379</v>
      </c>
      <c r="Y35" s="292">
        <f>Y32-Y33</f>
        <v>-81</v>
      </c>
      <c r="Z35" s="261">
        <f t="shared" si="76"/>
        <v>96</v>
      </c>
      <c r="AA35" s="1438">
        <f>AA32-AA33</f>
        <v>126</v>
      </c>
      <c r="AB35" s="1439">
        <f>AB32-AB33</f>
        <v>108</v>
      </c>
      <c r="AC35" s="1440">
        <f>AC32-AC33</f>
        <v>249</v>
      </c>
      <c r="AD35" s="292">
        <f>AD32-AD33</f>
        <v>98</v>
      </c>
      <c r="AE35" s="261">
        <f t="shared" si="76"/>
        <v>111</v>
      </c>
      <c r="AF35" s="1438">
        <f>AF32-AF33</f>
        <v>126</v>
      </c>
      <c r="AG35" s="1439">
        <f>AG32-AG33</f>
        <v>73</v>
      </c>
      <c r="AH35" s="1440">
        <f>AH32-AH33</f>
        <v>408</v>
      </c>
      <c r="AI35" s="292">
        <f>AI32-AI33</f>
        <v>90</v>
      </c>
      <c r="AJ35" s="261">
        <f t="shared" ref="AJ35" si="77">AJ32-AJ33</f>
        <v>99</v>
      </c>
      <c r="AK35" s="1438">
        <f>AK32-AK33</f>
        <v>149</v>
      </c>
      <c r="AL35" s="1439">
        <f>AL32-AL33</f>
        <v>88</v>
      </c>
      <c r="AM35" s="1440">
        <f>AM32-AM33</f>
        <v>426</v>
      </c>
      <c r="AN35" s="292">
        <f>AN32-AN33</f>
        <v>115</v>
      </c>
      <c r="AO35" s="261">
        <f t="shared" ref="AO35" si="78">AO32-AO33</f>
        <v>145</v>
      </c>
      <c r="AP35" s="1438">
        <f>AP32-AP33</f>
        <v>37</v>
      </c>
      <c r="AQ35" s="1439">
        <f>AQ32-AQ33</f>
        <v>81</v>
      </c>
      <c r="AR35" s="1440">
        <f>AR32-AR33</f>
        <v>378</v>
      </c>
      <c r="AS35" s="292">
        <f>AS32-AS33</f>
        <v>141</v>
      </c>
      <c r="AT35" s="261">
        <f t="shared" ref="AT35" si="79">AT32-AT33</f>
        <v>118</v>
      </c>
      <c r="AU35" s="261">
        <f t="shared" ref="AU35:BB35" si="80">AU32-AU33</f>
        <v>189</v>
      </c>
      <c r="AV35" s="1439">
        <f>AV32-AV33</f>
        <v>119</v>
      </c>
      <c r="AW35" s="1440">
        <f>AW32-AW33</f>
        <v>567</v>
      </c>
      <c r="AX35" s="292">
        <f t="shared" si="80"/>
        <v>164.03042223542661</v>
      </c>
      <c r="AY35" s="261">
        <f t="shared" ca="1" si="80"/>
        <v>164.99757296285696</v>
      </c>
      <c r="AZ35" s="261">
        <f t="shared" ca="1" si="80"/>
        <v>204.2281476419771</v>
      </c>
      <c r="BA35" s="293">
        <f t="shared" ca="1" si="80"/>
        <v>125.54027637145461</v>
      </c>
      <c r="BB35" s="228">
        <f t="shared" ca="1" si="80"/>
        <v>658.79641921171594</v>
      </c>
      <c r="BC35" s="292">
        <f t="shared" ref="BC35:BL35" ca="1" si="81">BC32-BC33</f>
        <v>164.91570325393789</v>
      </c>
      <c r="BD35" s="261">
        <f t="shared" ca="1" si="81"/>
        <v>161.35097143870075</v>
      </c>
      <c r="BE35" s="261">
        <f t="shared" ca="1" si="81"/>
        <v>205.62746728444708</v>
      </c>
      <c r="BF35" s="293">
        <f t="shared" ca="1" si="81"/>
        <v>129.37429052468326</v>
      </c>
      <c r="BG35" s="228">
        <f t="shared" ca="1" si="81"/>
        <v>661.26843250176944</v>
      </c>
      <c r="BH35" s="292">
        <f t="shared" ca="1" si="81"/>
        <v>176.02564060112874</v>
      </c>
      <c r="BI35" s="261">
        <f t="shared" ca="1" si="81"/>
        <v>173.29350530190521</v>
      </c>
      <c r="BJ35" s="261">
        <f t="shared" ca="1" si="81"/>
        <v>212.67927540924637</v>
      </c>
      <c r="BK35" s="293">
        <f t="shared" ca="1" si="81"/>
        <v>139.13893110238993</v>
      </c>
      <c r="BL35" s="228">
        <f t="shared" ca="1" si="81"/>
        <v>701.13735241467043</v>
      </c>
      <c r="BM35" s="292">
        <f t="shared" ref="BM35:BQ35" ca="1" si="82">BM32-BM33</f>
        <v>185.87041498894877</v>
      </c>
      <c r="BN35" s="261">
        <f t="shared" ca="1" si="82"/>
        <v>183.23948276337899</v>
      </c>
      <c r="BO35" s="261">
        <f t="shared" ca="1" si="82"/>
        <v>221.61642954552667</v>
      </c>
      <c r="BP35" s="293">
        <f t="shared" ca="1" si="82"/>
        <v>149.79765893591656</v>
      </c>
      <c r="BQ35" s="228">
        <f t="shared" ca="1" si="82"/>
        <v>740.5239862337703</v>
      </c>
      <c r="BR35" s="228"/>
      <c r="BS35" s="228"/>
      <c r="BT35" s="228"/>
      <c r="BU35" s="228"/>
      <c r="BV35" s="228"/>
      <c r="BW35" s="228"/>
      <c r="BX35" s="228"/>
      <c r="BY35" s="228"/>
      <c r="BZ35" s="228"/>
      <c r="CA35" s="228"/>
      <c r="CB35" s="228"/>
      <c r="CC35" s="5"/>
      <c r="CD35" s="5"/>
      <c r="CE35" s="228"/>
      <c r="CF35" s="228"/>
      <c r="CG35" s="228"/>
      <c r="CH35" s="228"/>
      <c r="CI35" s="228"/>
      <c r="CJ35" s="228"/>
      <c r="CK35" s="228"/>
      <c r="CL35" s="228"/>
      <c r="CM35" s="228"/>
      <c r="CN35" s="228"/>
      <c r="CO35" s="228"/>
      <c r="CP35" s="228"/>
      <c r="CQ35" s="228"/>
      <c r="CR35" s="228"/>
      <c r="CS35" s="228"/>
      <c r="CT35" s="228"/>
      <c r="CU35" s="228"/>
    </row>
    <row r="36" spans="1:99" ht="12.75" customHeight="1">
      <c r="C36" s="232" t="s">
        <v>83</v>
      </c>
      <c r="E36" s="335">
        <v>0</v>
      </c>
      <c r="F36" s="336">
        <f>2+11-40</f>
        <v>-27</v>
      </c>
      <c r="G36" s="336">
        <v>2</v>
      </c>
      <c r="H36" s="586">
        <f>+I36-SUM(E36:G36)</f>
        <v>7</v>
      </c>
      <c r="I36" s="427">
        <f>4+5+13-40</f>
        <v>-18</v>
      </c>
      <c r="J36" s="335">
        <f>1+12</f>
        <v>13</v>
      </c>
      <c r="K36" s="336">
        <f>2+106</f>
        <v>108</v>
      </c>
      <c r="L36" s="336">
        <v>0</v>
      </c>
      <c r="M36" s="586">
        <f>+N36-SUM(J36:L36)</f>
        <v>-6</v>
      </c>
      <c r="N36" s="427">
        <f>-6+12+106+1+2</f>
        <v>115</v>
      </c>
      <c r="O36" s="335">
        <v>4</v>
      </c>
      <c r="P36" s="336">
        <v>-17</v>
      </c>
      <c r="Q36" s="336">
        <v>1</v>
      </c>
      <c r="R36" s="586">
        <f>+S36-SUM(O36:Q36)</f>
        <v>-1</v>
      </c>
      <c r="S36" s="427">
        <f>-17+4</f>
        <v>-13</v>
      </c>
      <c r="T36" s="335">
        <v>1</v>
      </c>
      <c r="U36" s="336">
        <v>0</v>
      </c>
      <c r="V36" s="336">
        <v>0</v>
      </c>
      <c r="W36" s="586">
        <f>+X36-SUM(T36:V36)</f>
        <v>1</v>
      </c>
      <c r="X36" s="427">
        <v>2</v>
      </c>
      <c r="Y36" s="335">
        <v>170</v>
      </c>
      <c r="Z36" s="336">
        <v>0</v>
      </c>
      <c r="AA36" s="1435">
        <v>1</v>
      </c>
      <c r="AB36" s="1436">
        <f>+AC36-SUM(Y36:AA36)</f>
        <v>1</v>
      </c>
      <c r="AC36" s="1437">
        <f>2+170</f>
        <v>172</v>
      </c>
      <c r="AD36" s="337">
        <v>0</v>
      </c>
      <c r="AE36" s="336">
        <v>0</v>
      </c>
      <c r="AF36" s="1435">
        <v>0</v>
      </c>
      <c r="AG36" s="1436">
        <f>+AH36-SUM(AD36:AF36)</f>
        <v>2</v>
      </c>
      <c r="AH36" s="1437">
        <v>2</v>
      </c>
      <c r="AI36" s="337">
        <v>2</v>
      </c>
      <c r="AJ36" s="336">
        <v>2</v>
      </c>
      <c r="AK36" s="1435">
        <v>2</v>
      </c>
      <c r="AL36" s="1436">
        <f>+AM36-SUM(AI36:AK36)</f>
        <v>0</v>
      </c>
      <c r="AM36" s="1437">
        <v>6</v>
      </c>
      <c r="AN36" s="337">
        <v>-5</v>
      </c>
      <c r="AO36" s="338">
        <v>1</v>
      </c>
      <c r="AP36" s="1435">
        <v>149</v>
      </c>
      <c r="AQ36" s="1436">
        <f>+AR36-SUM(AN36:AP36)</f>
        <v>1</v>
      </c>
      <c r="AR36" s="1437">
        <f>-3+149</f>
        <v>146</v>
      </c>
      <c r="AS36" s="337">
        <v>0</v>
      </c>
      <c r="AT36" s="338">
        <v>23</v>
      </c>
      <c r="AU36" s="338">
        <v>-3</v>
      </c>
      <c r="AV36" s="1436">
        <f>+AW36-SUM(AS36:AU36)</f>
        <v>5</v>
      </c>
      <c r="AW36" s="1437">
        <f>1+1+23</f>
        <v>25</v>
      </c>
      <c r="AX36" s="814">
        <v>0</v>
      </c>
      <c r="AY36" s="262">
        <v>0</v>
      </c>
      <c r="AZ36" s="262">
        <v>0</v>
      </c>
      <c r="BA36" s="294">
        <v>0</v>
      </c>
      <c r="BB36" s="330">
        <f>SUM(AX36:BA36)</f>
        <v>0</v>
      </c>
      <c r="BC36" s="814">
        <v>0</v>
      </c>
      <c r="BD36" s="262">
        <v>0</v>
      </c>
      <c r="BE36" s="262">
        <v>0</v>
      </c>
      <c r="BF36" s="294">
        <v>0</v>
      </c>
      <c r="BG36" s="330">
        <f>SUM(BC36:BF36)</f>
        <v>0</v>
      </c>
      <c r="BH36" s="814">
        <v>0</v>
      </c>
      <c r="BI36" s="262">
        <v>0</v>
      </c>
      <c r="BJ36" s="262">
        <v>0</v>
      </c>
      <c r="BK36" s="294">
        <v>0</v>
      </c>
      <c r="BL36" s="330">
        <f>SUM(BH36:BK36)</f>
        <v>0</v>
      </c>
      <c r="BM36" s="814">
        <v>0</v>
      </c>
      <c r="BN36" s="262">
        <v>0</v>
      </c>
      <c r="BO36" s="262">
        <v>0</v>
      </c>
      <c r="BP36" s="294">
        <v>0</v>
      </c>
      <c r="BQ36" s="330">
        <f>SUM(BM36:BP36)</f>
        <v>0</v>
      </c>
      <c r="CC36" s="5"/>
      <c r="CD36" s="5"/>
    </row>
    <row r="37" spans="1:99" ht="12.75" customHeight="1">
      <c r="A37" s="330"/>
      <c r="B37" s="330"/>
      <c r="C37" s="32" t="s">
        <v>360</v>
      </c>
      <c r="D37" s="330"/>
      <c r="E37" s="292">
        <f t="shared" ref="E37:S37" si="83">SUM(E35:E36)</f>
        <v>114</v>
      </c>
      <c r="F37" s="261">
        <f t="shared" si="83"/>
        <v>89</v>
      </c>
      <c r="G37" s="261">
        <f t="shared" si="83"/>
        <v>48</v>
      </c>
      <c r="H37" s="293">
        <f t="shared" si="83"/>
        <v>105</v>
      </c>
      <c r="I37" s="228">
        <f t="shared" si="83"/>
        <v>356</v>
      </c>
      <c r="J37" s="292">
        <f t="shared" si="83"/>
        <v>129</v>
      </c>
      <c r="K37" s="261">
        <f t="shared" si="83"/>
        <v>117</v>
      </c>
      <c r="L37" s="261">
        <f t="shared" si="83"/>
        <v>121</v>
      </c>
      <c r="M37" s="293">
        <f t="shared" si="83"/>
        <v>85</v>
      </c>
      <c r="N37" s="228">
        <f t="shared" si="83"/>
        <v>452</v>
      </c>
      <c r="O37" s="292">
        <f t="shared" si="83"/>
        <v>73</v>
      </c>
      <c r="P37" s="261">
        <f t="shared" si="83"/>
        <v>97</v>
      </c>
      <c r="Q37" s="261">
        <f t="shared" si="83"/>
        <v>113</v>
      </c>
      <c r="R37" s="293">
        <f t="shared" si="83"/>
        <v>120</v>
      </c>
      <c r="S37" s="228">
        <f t="shared" si="83"/>
        <v>403</v>
      </c>
      <c r="T37" s="292">
        <f t="shared" ref="T37:AA37" si="84">SUM(T35:T36)</f>
        <v>88</v>
      </c>
      <c r="U37" s="261">
        <f t="shared" si="84"/>
        <v>42</v>
      </c>
      <c r="V37" s="261">
        <f t="shared" si="84"/>
        <v>90</v>
      </c>
      <c r="W37" s="293">
        <f t="shared" si="84"/>
        <v>161</v>
      </c>
      <c r="X37" s="228">
        <f t="shared" si="84"/>
        <v>381</v>
      </c>
      <c r="Y37" s="292">
        <f t="shared" si="84"/>
        <v>89</v>
      </c>
      <c r="Z37" s="261">
        <f t="shared" si="84"/>
        <v>96</v>
      </c>
      <c r="AA37" s="1438">
        <f t="shared" si="84"/>
        <v>127</v>
      </c>
      <c r="AB37" s="1439">
        <f>SUM(AB35:AB36)</f>
        <v>109</v>
      </c>
      <c r="AC37" s="1440">
        <f>SUM(AC35:AC36)</f>
        <v>421</v>
      </c>
      <c r="AD37" s="292">
        <f>SUM(AD35:AD36)</f>
        <v>98</v>
      </c>
      <c r="AE37" s="261">
        <f t="shared" ref="AE37:AF37" si="85">SUM(AE35:AE36)</f>
        <v>111</v>
      </c>
      <c r="AF37" s="1438">
        <f t="shared" si="85"/>
        <v>126</v>
      </c>
      <c r="AG37" s="1439">
        <f>SUM(AG35:AG36)</f>
        <v>75</v>
      </c>
      <c r="AH37" s="1440">
        <f>SUM(AH35:AH36)</f>
        <v>410</v>
      </c>
      <c r="AI37" s="292">
        <f>SUM(AI35:AI36)</f>
        <v>92</v>
      </c>
      <c r="AJ37" s="261">
        <f t="shared" ref="AJ37:AK37" si="86">SUM(AJ35:AJ36)</f>
        <v>101</v>
      </c>
      <c r="AK37" s="1438">
        <f t="shared" si="86"/>
        <v>151</v>
      </c>
      <c r="AL37" s="1439">
        <f>SUM(AL35:AL36)</f>
        <v>88</v>
      </c>
      <c r="AM37" s="1440">
        <f>SUM(AM35:AM36)</f>
        <v>432</v>
      </c>
      <c r="AN37" s="292">
        <f>SUM(AN35:AN36)</f>
        <v>110</v>
      </c>
      <c r="AO37" s="261">
        <f t="shared" ref="AO37:AP37" si="87">SUM(AO35:AO36)</f>
        <v>146</v>
      </c>
      <c r="AP37" s="1438">
        <f t="shared" si="87"/>
        <v>186</v>
      </c>
      <c r="AQ37" s="1439">
        <f>SUM(AQ35:AQ36)</f>
        <v>82</v>
      </c>
      <c r="AR37" s="1440">
        <f>SUM(AR35:AR36)</f>
        <v>524</v>
      </c>
      <c r="AS37" s="292">
        <f t="shared" ref="AS37:BB37" si="88">SUM(AS35:AS36)</f>
        <v>141</v>
      </c>
      <c r="AT37" s="261">
        <f t="shared" si="88"/>
        <v>141</v>
      </c>
      <c r="AU37" s="261">
        <f t="shared" si="88"/>
        <v>186</v>
      </c>
      <c r="AV37" s="1439">
        <f>SUM(AV35:AV36)</f>
        <v>124</v>
      </c>
      <c r="AW37" s="1440">
        <f>SUM(AW35:AW36)</f>
        <v>592</v>
      </c>
      <c r="AX37" s="292">
        <f t="shared" si="88"/>
        <v>164.03042223542661</v>
      </c>
      <c r="AY37" s="261">
        <f t="shared" ca="1" si="88"/>
        <v>164.99757296285696</v>
      </c>
      <c r="AZ37" s="261">
        <f t="shared" ca="1" si="88"/>
        <v>204.2281476419771</v>
      </c>
      <c r="BA37" s="293">
        <f t="shared" ca="1" si="88"/>
        <v>125.54027637145461</v>
      </c>
      <c r="BB37" s="228">
        <f t="shared" ca="1" si="88"/>
        <v>658.79641921171594</v>
      </c>
      <c r="BC37" s="292">
        <f t="shared" ref="BC37:BL37" ca="1" si="89">SUM(BC35:BC36)</f>
        <v>164.91570325393789</v>
      </c>
      <c r="BD37" s="261">
        <f t="shared" ca="1" si="89"/>
        <v>161.35097143870075</v>
      </c>
      <c r="BE37" s="261">
        <f t="shared" ca="1" si="89"/>
        <v>205.62746728444708</v>
      </c>
      <c r="BF37" s="293">
        <f t="shared" ca="1" si="89"/>
        <v>129.37429052468326</v>
      </c>
      <c r="BG37" s="228">
        <f t="shared" ca="1" si="89"/>
        <v>661.26843250176944</v>
      </c>
      <c r="BH37" s="292">
        <f t="shared" ca="1" si="89"/>
        <v>176.02564060112874</v>
      </c>
      <c r="BI37" s="261">
        <f t="shared" ca="1" si="89"/>
        <v>173.29350530190521</v>
      </c>
      <c r="BJ37" s="261">
        <f t="shared" ca="1" si="89"/>
        <v>212.67927540924637</v>
      </c>
      <c r="BK37" s="293">
        <f t="shared" ca="1" si="89"/>
        <v>139.13893110238993</v>
      </c>
      <c r="BL37" s="228">
        <f t="shared" ca="1" si="89"/>
        <v>701.13735241467043</v>
      </c>
      <c r="BM37" s="292">
        <f t="shared" ref="BM37:BQ37" ca="1" si="90">SUM(BM35:BM36)</f>
        <v>185.87041498894877</v>
      </c>
      <c r="BN37" s="261">
        <f t="shared" ca="1" si="90"/>
        <v>183.23948276337899</v>
      </c>
      <c r="BO37" s="261">
        <f t="shared" ca="1" si="90"/>
        <v>221.61642954552667</v>
      </c>
      <c r="BP37" s="293">
        <f t="shared" ca="1" si="90"/>
        <v>149.79765893591656</v>
      </c>
      <c r="BQ37" s="228">
        <f t="shared" ca="1" si="90"/>
        <v>740.5239862337703</v>
      </c>
      <c r="BR37" s="330"/>
      <c r="BS37" s="330"/>
      <c r="BT37" s="330"/>
      <c r="BU37" s="330"/>
      <c r="BV37" s="330"/>
      <c r="BW37" s="330"/>
      <c r="BX37" s="330"/>
      <c r="BY37" s="330"/>
      <c r="BZ37" s="330"/>
      <c r="CA37" s="330"/>
      <c r="CB37" s="330"/>
      <c r="CC37" s="5"/>
      <c r="CD37" s="5"/>
      <c r="CE37" s="330"/>
      <c r="CF37" s="330"/>
      <c r="CG37" s="330"/>
      <c r="CH37" s="330"/>
      <c r="CI37" s="330"/>
      <c r="CJ37" s="330"/>
      <c r="CK37" s="330"/>
      <c r="CL37" s="330"/>
      <c r="CM37" s="330"/>
      <c r="CN37" s="330"/>
      <c r="CO37" s="330"/>
      <c r="CP37" s="330"/>
      <c r="CQ37" s="330"/>
      <c r="CR37" s="330"/>
      <c r="CS37" s="330"/>
      <c r="CT37" s="330"/>
      <c r="CU37" s="330"/>
    </row>
    <row r="38" spans="1:99" ht="12.75" customHeight="1">
      <c r="A38" s="330"/>
      <c r="B38" s="330"/>
      <c r="C38" s="28"/>
      <c r="D38" s="330"/>
      <c r="E38" s="300"/>
      <c r="F38" s="264"/>
      <c r="G38" s="264"/>
      <c r="H38" s="299"/>
      <c r="I38" s="330"/>
      <c r="J38" s="300"/>
      <c r="K38" s="264"/>
      <c r="L38" s="264"/>
      <c r="M38" s="299"/>
      <c r="N38" s="330"/>
      <c r="O38" s="300"/>
      <c r="P38" s="264"/>
      <c r="Q38" s="264"/>
      <c r="R38" s="299"/>
      <c r="S38" s="330"/>
      <c r="T38" s="300"/>
      <c r="U38" s="264"/>
      <c r="V38" s="264"/>
      <c r="W38" s="299"/>
      <c r="X38" s="330"/>
      <c r="Y38" s="300"/>
      <c r="Z38" s="264"/>
      <c r="AA38" s="1441"/>
      <c r="AB38" s="1442"/>
      <c r="AC38" s="1443"/>
      <c r="AD38" s="300"/>
      <c r="AE38" s="264"/>
      <c r="AF38" s="1441"/>
      <c r="AG38" s="1442"/>
      <c r="AH38" s="1443"/>
      <c r="AI38" s="300"/>
      <c r="AJ38" s="264"/>
      <c r="AK38" s="264"/>
      <c r="AL38" s="299"/>
      <c r="AM38" s="330"/>
      <c r="AN38" s="300"/>
      <c r="AO38" s="264"/>
      <c r="AP38" s="264"/>
      <c r="AQ38" s="299"/>
      <c r="AR38" s="330"/>
      <c r="AS38" s="300"/>
      <c r="AT38" s="264"/>
      <c r="AU38" s="264"/>
      <c r="AV38" s="299"/>
      <c r="AW38" s="330"/>
      <c r="AX38" s="300"/>
      <c r="AY38" s="264"/>
      <c r="AZ38" s="264"/>
      <c r="BA38" s="299"/>
      <c r="BB38" s="330"/>
      <c r="BC38" s="300"/>
      <c r="BD38" s="264"/>
      <c r="BE38" s="264"/>
      <c r="BF38" s="299"/>
      <c r="BG38" s="330"/>
      <c r="BH38" s="300"/>
      <c r="BI38" s="264"/>
      <c r="BJ38" s="264"/>
      <c r="BK38" s="299"/>
      <c r="BL38" s="330"/>
      <c r="BM38" s="300"/>
      <c r="BN38" s="264"/>
      <c r="BO38" s="264"/>
      <c r="BP38" s="299"/>
      <c r="BQ38" s="330"/>
      <c r="BR38" s="330"/>
      <c r="BS38" s="330"/>
      <c r="BT38" s="330"/>
      <c r="BU38" s="330"/>
      <c r="BV38" s="330"/>
      <c r="BW38" s="330"/>
      <c r="BX38" s="330"/>
      <c r="BY38" s="330"/>
      <c r="BZ38" s="330"/>
      <c r="CA38" s="330"/>
      <c r="CB38" s="330"/>
      <c r="CC38" s="5"/>
      <c r="CD38" s="5"/>
      <c r="CE38" s="330"/>
      <c r="CF38" s="330"/>
      <c r="CG38" s="330"/>
      <c r="CH38" s="330"/>
      <c r="CI38" s="330"/>
      <c r="CJ38" s="330"/>
      <c r="CK38" s="330"/>
      <c r="CL38" s="330"/>
      <c r="CM38" s="330"/>
      <c r="CN38" s="330"/>
      <c r="CO38" s="330"/>
      <c r="CP38" s="330"/>
      <c r="CQ38" s="330"/>
      <c r="CR38" s="330"/>
      <c r="CS38" s="330"/>
      <c r="CT38" s="330"/>
      <c r="CU38" s="330"/>
    </row>
    <row r="39" spans="1:99" ht="12.75" customHeight="1">
      <c r="A39" s="330"/>
      <c r="B39" s="330"/>
      <c r="C39" s="28" t="s">
        <v>95</v>
      </c>
      <c r="D39" s="330"/>
      <c r="E39" s="290">
        <f>EXC!E49</f>
        <v>659</v>
      </c>
      <c r="F39" s="260">
        <f>EXC!F49</f>
        <v>659</v>
      </c>
      <c r="G39" s="260">
        <f>EXC!G49</f>
        <v>660</v>
      </c>
      <c r="H39" s="291">
        <f>EXC!H49</f>
        <v>660</v>
      </c>
      <c r="I39" s="45">
        <f>EXC!I49</f>
        <v>659</v>
      </c>
      <c r="J39" s="290">
        <f>EXC!J49</f>
        <v>661</v>
      </c>
      <c r="K39" s="260">
        <f>EXC!K49</f>
        <v>661</v>
      </c>
      <c r="L39" s="260">
        <f>EXC!L49</f>
        <v>662</v>
      </c>
      <c r="M39" s="291">
        <f>EXC!M49</f>
        <v>662</v>
      </c>
      <c r="N39" s="45">
        <f>EXC!N49</f>
        <v>661</v>
      </c>
      <c r="O39" s="290">
        <f>EXC!O49</f>
        <v>662</v>
      </c>
      <c r="P39" s="260">
        <f>EXC!P49</f>
        <v>663</v>
      </c>
      <c r="Q39" s="260">
        <f>EXC!Q49</f>
        <v>663</v>
      </c>
      <c r="R39" s="291">
        <f>EXC!R49</f>
        <v>664</v>
      </c>
      <c r="S39" s="45">
        <f>EXC!S49</f>
        <v>663</v>
      </c>
      <c r="T39" s="290">
        <f>EXC!T49</f>
        <v>705</v>
      </c>
      <c r="U39" s="260">
        <f>EXC!U49</f>
        <v>853</v>
      </c>
      <c r="V39" s="260">
        <f>EXC!V49</f>
        <v>854</v>
      </c>
      <c r="W39" s="291">
        <f>EXC!W49</f>
        <v>816</v>
      </c>
      <c r="X39" s="45">
        <f>EXC!X49</f>
        <v>816</v>
      </c>
      <c r="Y39" s="290">
        <f>EXC!Y49</f>
        <v>855</v>
      </c>
      <c r="Z39" s="260">
        <f>EXC!Z49</f>
        <v>856</v>
      </c>
      <c r="AA39" s="1441">
        <f>EXC!AA49</f>
        <v>857</v>
      </c>
      <c r="AB39" s="1442">
        <f>EXC!AB49</f>
        <v>857</v>
      </c>
      <c r="AC39" s="1443">
        <f>EXC!AC49</f>
        <v>856</v>
      </c>
      <c r="AD39" s="290">
        <f>EXC!AD49</f>
        <v>858</v>
      </c>
      <c r="AE39" s="260">
        <f>EXC!AE49</f>
        <v>860</v>
      </c>
      <c r="AF39" s="1441">
        <f>EXC!AF49</f>
        <v>861</v>
      </c>
      <c r="AG39" s="1442">
        <f>EXC!AG49</f>
        <v>861</v>
      </c>
      <c r="AH39" s="1443">
        <f>EXC!AH49</f>
        <v>860</v>
      </c>
      <c r="AI39" s="290">
        <f>EXC!AI49</f>
        <v>862</v>
      </c>
      <c r="AJ39" s="260">
        <f>EXC!AJ49</f>
        <v>863</v>
      </c>
      <c r="AK39" s="260">
        <f>EXC!AK49</f>
        <v>913</v>
      </c>
      <c r="AL39" s="291">
        <f>EXC!AL49</f>
        <v>921</v>
      </c>
      <c r="AM39" s="45">
        <f>EXC!AM49</f>
        <v>890</v>
      </c>
      <c r="AN39" s="290">
        <f>EXC!AN49</f>
        <v>923</v>
      </c>
      <c r="AO39" s="260">
        <f>EXC!AO49</f>
        <v>924</v>
      </c>
      <c r="AP39" s="260">
        <f>EXC!AP49</f>
        <v>925</v>
      </c>
      <c r="AQ39" s="291">
        <f>EXC!AQ49</f>
        <v>925</v>
      </c>
      <c r="AR39" s="45">
        <f>EXC!AR49</f>
        <v>924</v>
      </c>
      <c r="AS39" s="290">
        <f>EXC!AS49</f>
        <v>928</v>
      </c>
      <c r="AT39" s="260">
        <f>EXC!AT49</f>
        <v>934</v>
      </c>
      <c r="AU39" s="260">
        <f>EXC!AU49</f>
        <v>962</v>
      </c>
      <c r="AV39" s="291">
        <f>EXC!AV49</f>
        <v>964</v>
      </c>
      <c r="AW39" s="45">
        <f>EXC!AW49</f>
        <v>947</v>
      </c>
      <c r="AX39" s="290">
        <f>EXC!AX49</f>
        <v>963</v>
      </c>
      <c r="AY39" s="260">
        <f>EXC!AY49</f>
        <v>963</v>
      </c>
      <c r="AZ39" s="260">
        <f>EXC!AZ49</f>
        <v>963</v>
      </c>
      <c r="BA39" s="291">
        <f>EXC!BA49</f>
        <v>963</v>
      </c>
      <c r="BB39" s="45">
        <f>EXC!BB49</f>
        <v>963</v>
      </c>
      <c r="BC39" s="290">
        <f>EXC!BC49</f>
        <v>963</v>
      </c>
      <c r="BD39" s="260">
        <f>EXC!BD49</f>
        <v>963</v>
      </c>
      <c r="BE39" s="260">
        <f>EXC!BE49</f>
        <v>963</v>
      </c>
      <c r="BF39" s="291">
        <f>EXC!BF49</f>
        <v>963</v>
      </c>
      <c r="BG39" s="45">
        <f>EXC!BG49</f>
        <v>963</v>
      </c>
      <c r="BH39" s="290">
        <f>EXC!BH49</f>
        <v>963</v>
      </c>
      <c r="BI39" s="260">
        <f>EXC!BI49</f>
        <v>963</v>
      </c>
      <c r="BJ39" s="260">
        <f>EXC!BJ49</f>
        <v>963</v>
      </c>
      <c r="BK39" s="291">
        <f>EXC!BK49</f>
        <v>963</v>
      </c>
      <c r="BL39" s="45">
        <f>EXC!BL49</f>
        <v>963</v>
      </c>
      <c r="BM39" s="290">
        <f>EXC!BM49</f>
        <v>963</v>
      </c>
      <c r="BN39" s="260">
        <f>EXC!BN49</f>
        <v>963</v>
      </c>
      <c r="BO39" s="260">
        <f>EXC!BO49</f>
        <v>963</v>
      </c>
      <c r="BP39" s="291">
        <f>EXC!BP49</f>
        <v>963</v>
      </c>
      <c r="BQ39" s="45">
        <f>EXC!BQ49</f>
        <v>963</v>
      </c>
      <c r="BR39" s="330"/>
      <c r="BS39" s="330"/>
      <c r="BT39" s="330"/>
      <c r="BU39" s="330"/>
      <c r="BV39" s="330"/>
      <c r="BW39" s="330"/>
      <c r="BX39" s="330"/>
      <c r="BY39" s="330"/>
      <c r="BZ39" s="330"/>
      <c r="CA39" s="330"/>
      <c r="CB39" s="330"/>
      <c r="CC39" s="5"/>
      <c r="CD39" s="5"/>
      <c r="CE39" s="330"/>
      <c r="CF39" s="330"/>
      <c r="CG39" s="330"/>
      <c r="CH39" s="330"/>
      <c r="CI39" s="330"/>
      <c r="CJ39" s="330"/>
      <c r="CK39" s="330"/>
      <c r="CL39" s="330"/>
      <c r="CM39" s="330"/>
      <c r="CN39" s="330"/>
      <c r="CO39" s="330"/>
      <c r="CP39" s="330"/>
      <c r="CQ39" s="330"/>
      <c r="CR39" s="330"/>
      <c r="CS39" s="330"/>
      <c r="CT39" s="330"/>
      <c r="CU39" s="330"/>
    </row>
    <row r="40" spans="1:99" ht="12.75" customHeight="1">
      <c r="A40" s="330"/>
      <c r="B40" s="330"/>
      <c r="C40" s="28" t="s">
        <v>109</v>
      </c>
      <c r="D40" s="330"/>
      <c r="E40" s="290">
        <f>EXC!E50</f>
        <v>661</v>
      </c>
      <c r="F40" s="260">
        <f>EXC!F50</f>
        <v>661</v>
      </c>
      <c r="G40" s="260">
        <f>EXC!G50</f>
        <v>662</v>
      </c>
      <c r="H40" s="291">
        <f>EXC!H50</f>
        <v>662</v>
      </c>
      <c r="I40" s="45">
        <f>EXC!I50</f>
        <v>662</v>
      </c>
      <c r="J40" s="290">
        <f>EXC!J50</f>
        <v>662</v>
      </c>
      <c r="K40" s="260">
        <f>EXC!K50</f>
        <v>662</v>
      </c>
      <c r="L40" s="260">
        <f>EXC!L50</f>
        <v>663</v>
      </c>
      <c r="M40" s="291">
        <f>EXC!M50</f>
        <v>663</v>
      </c>
      <c r="N40" s="45">
        <f>EXC!N50</f>
        <v>663</v>
      </c>
      <c r="O40" s="290">
        <f>EXC!O50</f>
        <v>664</v>
      </c>
      <c r="P40" s="260">
        <f>EXC!P50</f>
        <v>664</v>
      </c>
      <c r="Q40" s="260">
        <f>EXC!Q50</f>
        <v>665</v>
      </c>
      <c r="R40" s="291">
        <f>EXC!R50</f>
        <v>666</v>
      </c>
      <c r="S40" s="45">
        <f>EXC!S50</f>
        <v>665</v>
      </c>
      <c r="T40" s="290">
        <f>EXC!T50</f>
        <v>707</v>
      </c>
      <c r="U40" s="260">
        <f>EXC!U50</f>
        <v>856</v>
      </c>
      <c r="V40" s="260">
        <f>EXC!V50</f>
        <v>857</v>
      </c>
      <c r="W40" s="291">
        <f>EXC!W50</f>
        <v>819</v>
      </c>
      <c r="X40" s="45">
        <f>EXC!X50</f>
        <v>819</v>
      </c>
      <c r="Y40" s="290">
        <f>EXC!Y50</f>
        <v>855</v>
      </c>
      <c r="Z40" s="260">
        <f>EXC!Z50</f>
        <v>860</v>
      </c>
      <c r="AA40" s="1441">
        <f>EXC!AA50</f>
        <v>860</v>
      </c>
      <c r="AB40" s="1442">
        <f>EXC!AB50</f>
        <v>861</v>
      </c>
      <c r="AC40" s="1443">
        <f>EXC!AC50</f>
        <v>860</v>
      </c>
      <c r="AD40" s="290">
        <f>EXC!AD50</f>
        <v>861</v>
      </c>
      <c r="AE40" s="260">
        <f>EXC!AE50</f>
        <v>864</v>
      </c>
      <c r="AF40" s="1441">
        <f>EXC!AF50</f>
        <v>863</v>
      </c>
      <c r="AG40" s="1442">
        <f>EXC!AG50</f>
        <v>868</v>
      </c>
      <c r="AH40" s="1443">
        <f>EXC!AH50</f>
        <v>864</v>
      </c>
      <c r="AI40" s="290">
        <f>EXC!AI50</f>
        <v>867</v>
      </c>
      <c r="AJ40" s="260">
        <f>EXC!AJ50</f>
        <v>864</v>
      </c>
      <c r="AK40" s="260">
        <f>EXC!AK50</f>
        <v>915</v>
      </c>
      <c r="AL40" s="291">
        <f>EXC!AL50</f>
        <v>924</v>
      </c>
      <c r="AM40" s="45">
        <f>EXC!AM50</f>
        <v>893</v>
      </c>
      <c r="AN40" s="290">
        <f>EXC!AN50</f>
        <v>925</v>
      </c>
      <c r="AO40" s="260">
        <f>EXC!AO50</f>
        <v>926</v>
      </c>
      <c r="AP40" s="260">
        <f>EXC!AP50</f>
        <v>927</v>
      </c>
      <c r="AQ40" s="291">
        <f>EXC!AQ50</f>
        <v>928</v>
      </c>
      <c r="AR40" s="45">
        <f>EXC!AR50</f>
        <v>927</v>
      </c>
      <c r="AS40" s="290">
        <f>EXC!AS50</f>
        <v>930</v>
      </c>
      <c r="AT40" s="260">
        <f>EXC!AT50</f>
        <v>936</v>
      </c>
      <c r="AU40" s="260">
        <f>EXC!AU50</f>
        <v>965</v>
      </c>
      <c r="AV40" s="291">
        <f>EXC!AV50</f>
        <v>967</v>
      </c>
      <c r="AW40" s="45">
        <f>EXC!AW50</f>
        <v>949</v>
      </c>
      <c r="AX40" s="290">
        <f>EXC!AX50</f>
        <v>966</v>
      </c>
      <c r="AY40" s="260">
        <f>EXC!AY50</f>
        <v>966</v>
      </c>
      <c r="AZ40" s="260">
        <f>EXC!AZ50</f>
        <v>966</v>
      </c>
      <c r="BA40" s="291">
        <f>EXC!BA50</f>
        <v>966</v>
      </c>
      <c r="BB40" s="45">
        <f>EXC!BB50</f>
        <v>966</v>
      </c>
      <c r="BC40" s="290">
        <f>EXC!BC50</f>
        <v>966</v>
      </c>
      <c r="BD40" s="260">
        <f>EXC!BD50</f>
        <v>966</v>
      </c>
      <c r="BE40" s="260">
        <f>EXC!BE50</f>
        <v>966</v>
      </c>
      <c r="BF40" s="291">
        <f>EXC!BF50</f>
        <v>966</v>
      </c>
      <c r="BG40" s="45">
        <f>EXC!BG50</f>
        <v>966</v>
      </c>
      <c r="BH40" s="290">
        <f>EXC!BH50</f>
        <v>966</v>
      </c>
      <c r="BI40" s="260">
        <f>EXC!BI50</f>
        <v>966</v>
      </c>
      <c r="BJ40" s="260">
        <f>EXC!BJ50</f>
        <v>966</v>
      </c>
      <c r="BK40" s="291">
        <f>EXC!BK50</f>
        <v>966</v>
      </c>
      <c r="BL40" s="45">
        <f>EXC!BL50</f>
        <v>966</v>
      </c>
      <c r="BM40" s="290">
        <f>EXC!BM50</f>
        <v>966</v>
      </c>
      <c r="BN40" s="260">
        <f>EXC!BN50</f>
        <v>966</v>
      </c>
      <c r="BO40" s="260">
        <f>EXC!BO50</f>
        <v>966</v>
      </c>
      <c r="BP40" s="291">
        <f>EXC!BP50</f>
        <v>966</v>
      </c>
      <c r="BQ40" s="45">
        <f>EXC!BQ50</f>
        <v>966</v>
      </c>
      <c r="BR40" s="330"/>
      <c r="BS40" s="330"/>
      <c r="BT40" s="330"/>
      <c r="BU40" s="330"/>
      <c r="BV40" s="330"/>
      <c r="BW40" s="330"/>
      <c r="BX40" s="330"/>
      <c r="BY40" s="330"/>
      <c r="BZ40" s="330"/>
      <c r="CA40" s="330"/>
      <c r="CB40" s="330"/>
      <c r="CC40" s="5"/>
      <c r="CD40" s="5"/>
      <c r="CE40" s="330"/>
      <c r="CF40" s="330"/>
      <c r="CG40" s="330"/>
      <c r="CH40" s="330"/>
      <c r="CI40" s="330"/>
      <c r="CJ40" s="330"/>
      <c r="CK40" s="330"/>
      <c r="CL40" s="330"/>
      <c r="CM40" s="330"/>
      <c r="CN40" s="330"/>
      <c r="CO40" s="330"/>
      <c r="CP40" s="330"/>
      <c r="CQ40" s="330"/>
      <c r="CR40" s="330"/>
      <c r="CS40" s="330"/>
      <c r="CT40" s="330"/>
      <c r="CU40" s="330"/>
    </row>
    <row r="41" spans="1:99" ht="12.75" customHeight="1">
      <c r="A41" s="330"/>
      <c r="B41" s="330"/>
      <c r="C41" s="228"/>
      <c r="D41" s="330"/>
      <c r="E41" s="300"/>
      <c r="F41" s="264"/>
      <c r="G41" s="264"/>
      <c r="H41" s="299"/>
      <c r="I41" s="330"/>
      <c r="J41" s="300"/>
      <c r="K41" s="264"/>
      <c r="L41" s="264"/>
      <c r="M41" s="299"/>
      <c r="N41" s="330"/>
      <c r="O41" s="300"/>
      <c r="P41" s="264"/>
      <c r="Q41" s="264"/>
      <c r="R41" s="299"/>
      <c r="S41" s="330"/>
      <c r="T41" s="300"/>
      <c r="U41" s="264"/>
      <c r="V41" s="264"/>
      <c r="W41" s="299"/>
      <c r="X41" s="330"/>
      <c r="Y41" s="300"/>
      <c r="Z41" s="264"/>
      <c r="AA41" s="1441"/>
      <c r="AB41" s="1442"/>
      <c r="AC41" s="1443"/>
      <c r="AD41" s="300"/>
      <c r="AE41" s="264"/>
      <c r="AF41" s="1441"/>
      <c r="AG41" s="1442"/>
      <c r="AH41" s="1443"/>
      <c r="AI41" s="300"/>
      <c r="AJ41" s="264"/>
      <c r="AK41" s="264"/>
      <c r="AL41" s="299"/>
      <c r="AM41" s="330"/>
      <c r="AN41" s="300"/>
      <c r="AO41" s="264"/>
      <c r="AP41" s="264"/>
      <c r="AQ41" s="299"/>
      <c r="AR41" s="330"/>
      <c r="AS41" s="300"/>
      <c r="AT41" s="264"/>
      <c r="AU41" s="264"/>
      <c r="AV41" s="299"/>
      <c r="AW41" s="330"/>
      <c r="AX41" s="300"/>
      <c r="AY41" s="264"/>
      <c r="AZ41" s="264"/>
      <c r="BA41" s="299"/>
      <c r="BB41" s="330"/>
      <c r="BC41" s="300"/>
      <c r="BD41" s="264"/>
      <c r="BE41" s="264"/>
      <c r="BF41" s="299"/>
      <c r="BG41" s="330"/>
      <c r="BH41" s="300"/>
      <c r="BI41" s="264"/>
      <c r="BJ41" s="264"/>
      <c r="BK41" s="299"/>
      <c r="BL41" s="330"/>
      <c r="BM41" s="300"/>
      <c r="BN41" s="264"/>
      <c r="BO41" s="264"/>
      <c r="BP41" s="299"/>
      <c r="BQ41" s="330"/>
      <c r="BR41" s="330"/>
      <c r="BS41" s="330"/>
      <c r="BT41" s="330"/>
      <c r="BU41" s="330"/>
      <c r="BV41" s="330"/>
      <c r="BW41" s="330"/>
      <c r="BX41" s="330"/>
      <c r="BY41" s="330"/>
      <c r="BZ41" s="330"/>
      <c r="CA41" s="330"/>
      <c r="CB41" s="330"/>
      <c r="CC41" s="5"/>
      <c r="CD41" s="5"/>
      <c r="CE41" s="330"/>
      <c r="CF41" s="330"/>
      <c r="CG41" s="330"/>
      <c r="CH41" s="330"/>
      <c r="CI41" s="330"/>
      <c r="CJ41" s="330"/>
      <c r="CK41" s="330"/>
      <c r="CL41" s="330"/>
      <c r="CM41" s="330"/>
      <c r="CN41" s="330"/>
      <c r="CO41" s="330"/>
      <c r="CP41" s="330"/>
      <c r="CQ41" s="330"/>
      <c r="CR41" s="330"/>
      <c r="CS41" s="330"/>
      <c r="CT41" s="330"/>
      <c r="CU41" s="330"/>
    </row>
    <row r="42" spans="1:99" ht="12.75" customHeight="1">
      <c r="A42" s="28"/>
      <c r="B42" s="28"/>
      <c r="C42" s="28" t="s">
        <v>447</v>
      </c>
      <c r="D42" s="28"/>
      <c r="E42" s="363">
        <f t="shared" ref="E42:Z42" si="91">+E35/E40</f>
        <v>0.17246596066565809</v>
      </c>
      <c r="F42" s="364">
        <f t="shared" si="91"/>
        <v>0.17549167927382753</v>
      </c>
      <c r="G42" s="364">
        <f t="shared" si="91"/>
        <v>6.9486404833836862E-2</v>
      </c>
      <c r="H42" s="365">
        <f t="shared" si="91"/>
        <v>0.14803625377643503</v>
      </c>
      <c r="I42" s="366">
        <f t="shared" si="91"/>
        <v>0.56495468277945615</v>
      </c>
      <c r="J42" s="363">
        <f t="shared" si="91"/>
        <v>0.17522658610271905</v>
      </c>
      <c r="K42" s="364">
        <f t="shared" si="91"/>
        <v>1.3595166163141994E-2</v>
      </c>
      <c r="L42" s="364">
        <f t="shared" si="91"/>
        <v>0.18250377073906485</v>
      </c>
      <c r="M42" s="365">
        <f t="shared" si="91"/>
        <v>0.13725490196078433</v>
      </c>
      <c r="N42" s="366">
        <f t="shared" si="91"/>
        <v>0.50829562594268474</v>
      </c>
      <c r="O42" s="363">
        <f t="shared" si="91"/>
        <v>0.10391566265060241</v>
      </c>
      <c r="P42" s="364">
        <f t="shared" si="91"/>
        <v>0.1716867469879518</v>
      </c>
      <c r="Q42" s="364">
        <f t="shared" si="91"/>
        <v>0.16842105263157894</v>
      </c>
      <c r="R42" s="365">
        <f t="shared" si="91"/>
        <v>0.18168168168168169</v>
      </c>
      <c r="S42" s="366">
        <f t="shared" si="91"/>
        <v>0.6255639097744361</v>
      </c>
      <c r="T42" s="363">
        <f t="shared" si="91"/>
        <v>0.12305516265912306</v>
      </c>
      <c r="U42" s="364">
        <f>+U35/U40</f>
        <v>4.9065420560747662E-2</v>
      </c>
      <c r="V42" s="364">
        <f t="shared" si="91"/>
        <v>0.10501750291715285</v>
      </c>
      <c r="W42" s="365">
        <f t="shared" si="91"/>
        <v>0.19536019536019536</v>
      </c>
      <c r="X42" s="366">
        <f t="shared" si="91"/>
        <v>0.46275946275946278</v>
      </c>
      <c r="Y42" s="363">
        <f>+Y35/Y40</f>
        <v>-9.4736842105263161E-2</v>
      </c>
      <c r="Z42" s="364">
        <f t="shared" si="91"/>
        <v>0.11162790697674418</v>
      </c>
      <c r="AA42" s="364">
        <f t="shared" ref="AA42:AH42" si="92">+AA35/AA40</f>
        <v>0.14651162790697675</v>
      </c>
      <c r="AB42" s="365">
        <f t="shared" si="92"/>
        <v>0.12543554006968641</v>
      </c>
      <c r="AC42" s="366">
        <f t="shared" si="92"/>
        <v>0.28953488372093023</v>
      </c>
      <c r="AD42" s="363">
        <f t="shared" si="92"/>
        <v>0.11382113821138211</v>
      </c>
      <c r="AE42" s="364">
        <f t="shared" si="92"/>
        <v>0.12847222222222221</v>
      </c>
      <c r="AF42" s="364">
        <f t="shared" si="92"/>
        <v>0.14600231749710313</v>
      </c>
      <c r="AG42" s="365">
        <f t="shared" si="92"/>
        <v>8.4101382488479259E-2</v>
      </c>
      <c r="AH42" s="366">
        <f t="shared" si="92"/>
        <v>0.47222222222222221</v>
      </c>
      <c r="AI42" s="363">
        <f t="shared" ref="AI42:AM42" si="93">+AI35/AI40</f>
        <v>0.10380622837370242</v>
      </c>
      <c r="AJ42" s="364">
        <f t="shared" si="93"/>
        <v>0.11458333333333333</v>
      </c>
      <c r="AK42" s="364">
        <f t="shared" si="93"/>
        <v>0.1628415300546448</v>
      </c>
      <c r="AL42" s="365">
        <f t="shared" si="93"/>
        <v>9.5238095238095233E-2</v>
      </c>
      <c r="AM42" s="366">
        <f t="shared" si="93"/>
        <v>0.47704367301231804</v>
      </c>
      <c r="AN42" s="363">
        <f t="shared" ref="AN42:AR42" si="94">+AN35/AN40</f>
        <v>0.12432432432432433</v>
      </c>
      <c r="AO42" s="364">
        <f t="shared" si="94"/>
        <v>0.15658747300215983</v>
      </c>
      <c r="AP42" s="364">
        <f t="shared" si="94"/>
        <v>3.9913700107874865E-2</v>
      </c>
      <c r="AQ42" s="365">
        <f t="shared" si="94"/>
        <v>8.7284482758620691E-2</v>
      </c>
      <c r="AR42" s="366">
        <f t="shared" si="94"/>
        <v>0.40776699029126212</v>
      </c>
      <c r="AS42" s="363">
        <f t="shared" ref="AS42:BB42" si="95">+AS35/AS40</f>
        <v>0.15161290322580645</v>
      </c>
      <c r="AT42" s="364">
        <f t="shared" si="95"/>
        <v>0.12606837606837606</v>
      </c>
      <c r="AU42" s="364">
        <f t="shared" ref="AU42:AW42" si="96">+AU35/AU40</f>
        <v>0.19585492227979276</v>
      </c>
      <c r="AV42" s="365">
        <f t="shared" si="96"/>
        <v>0.12306101344364012</v>
      </c>
      <c r="AW42" s="366">
        <f t="shared" si="96"/>
        <v>0.59747102212855641</v>
      </c>
      <c r="AX42" s="363">
        <f t="shared" si="95"/>
        <v>0.16980374972611451</v>
      </c>
      <c r="AY42" s="364">
        <f t="shared" ca="1" si="95"/>
        <v>0.17080494095533846</v>
      </c>
      <c r="AZ42" s="364">
        <f t="shared" ca="1" si="95"/>
        <v>0.2114163019068086</v>
      </c>
      <c r="BA42" s="365">
        <f t="shared" ca="1" si="95"/>
        <v>0.12995887823131946</v>
      </c>
      <c r="BB42" s="366">
        <f t="shared" ca="1" si="95"/>
        <v>0.68198387081958167</v>
      </c>
      <c r="BC42" s="363">
        <f t="shared" ref="BC42:BL42" ca="1" si="97">+BC35/BC40</f>
        <v>0.17072018970386946</v>
      </c>
      <c r="BD42" s="364">
        <f t="shared" ca="1" si="97"/>
        <v>0.16702999113737138</v>
      </c>
      <c r="BE42" s="364">
        <f t="shared" ca="1" si="97"/>
        <v>0.21286487296526613</v>
      </c>
      <c r="BF42" s="365">
        <f t="shared" ca="1" si="97"/>
        <v>0.13392783698207378</v>
      </c>
      <c r="BG42" s="366">
        <f t="shared" ca="1" si="97"/>
        <v>0.68454289078858122</v>
      </c>
      <c r="BH42" s="363">
        <f t="shared" ca="1" si="97"/>
        <v>0.18222116004257632</v>
      </c>
      <c r="BI42" s="364">
        <f t="shared" ca="1" si="97"/>
        <v>0.17939286263137186</v>
      </c>
      <c r="BJ42" s="364">
        <f t="shared" ca="1" si="97"/>
        <v>0.22016488137603143</v>
      </c>
      <c r="BK42" s="365">
        <f t="shared" ca="1" si="97"/>
        <v>0.14403616056148025</v>
      </c>
      <c r="BL42" s="366">
        <f t="shared" ca="1" si="97"/>
        <v>0.72581506461146006</v>
      </c>
      <c r="BM42" s="363">
        <f t="shared" ref="BM42:BQ42" ca="1" si="98">+BM35/BM40</f>
        <v>0.19241243787675855</v>
      </c>
      <c r="BN42" s="364">
        <f t="shared" ca="1" si="98"/>
        <v>0.18968890555215215</v>
      </c>
      <c r="BO42" s="364">
        <f t="shared" ca="1" si="98"/>
        <v>0.22941659373242926</v>
      </c>
      <c r="BP42" s="365">
        <f t="shared" ca="1" si="98"/>
        <v>0.15507004030633184</v>
      </c>
      <c r="BQ42" s="366">
        <f t="shared" ca="1" si="98"/>
        <v>0.76658797746767116</v>
      </c>
      <c r="BR42" s="28"/>
      <c r="BS42" s="28"/>
      <c r="BT42" s="28"/>
      <c r="BU42" s="28"/>
      <c r="BV42" s="28"/>
      <c r="BW42" s="28"/>
      <c r="BX42" s="28"/>
      <c r="BY42" s="28"/>
      <c r="BZ42" s="28"/>
      <c r="CA42" s="28"/>
      <c r="CB42" s="28"/>
      <c r="CC42" s="5"/>
      <c r="CD42" s="5"/>
      <c r="CE42" s="28"/>
      <c r="CF42" s="28"/>
      <c r="CG42" s="28"/>
      <c r="CH42" s="28"/>
      <c r="CI42" s="28"/>
      <c r="CJ42" s="28"/>
      <c r="CK42" s="28"/>
      <c r="CL42" s="28"/>
      <c r="CM42" s="28"/>
      <c r="CN42" s="28"/>
      <c r="CO42" s="28"/>
      <c r="CP42" s="28"/>
      <c r="CQ42" s="28"/>
      <c r="CR42" s="28"/>
      <c r="CS42" s="28"/>
      <c r="CT42" s="28"/>
      <c r="CU42" s="28"/>
    </row>
    <row r="43" spans="1:99" ht="12.75" customHeight="1">
      <c r="A43" s="28"/>
      <c r="B43" s="13"/>
      <c r="C43" s="367" t="s">
        <v>445</v>
      </c>
      <c r="D43" s="368"/>
      <c r="E43" s="591">
        <f t="shared" ref="E43:Z43" si="99">+E37/E40</f>
        <v>0.17246596066565809</v>
      </c>
      <c r="F43" s="592">
        <f t="shared" si="99"/>
        <v>0.1346444780635401</v>
      </c>
      <c r="G43" s="592">
        <f t="shared" si="99"/>
        <v>7.2507552870090641E-2</v>
      </c>
      <c r="H43" s="593">
        <f t="shared" si="99"/>
        <v>0.15861027190332327</v>
      </c>
      <c r="I43" s="594">
        <f t="shared" si="99"/>
        <v>0.53776435045317217</v>
      </c>
      <c r="J43" s="591">
        <f t="shared" si="99"/>
        <v>0.19486404833836857</v>
      </c>
      <c r="K43" s="592">
        <f t="shared" si="99"/>
        <v>0.17673716012084592</v>
      </c>
      <c r="L43" s="592">
        <f t="shared" si="99"/>
        <v>0.18250377073906485</v>
      </c>
      <c r="M43" s="593">
        <f t="shared" si="99"/>
        <v>0.12820512820512819</v>
      </c>
      <c r="N43" s="594">
        <f t="shared" si="99"/>
        <v>0.68174962292609353</v>
      </c>
      <c r="O43" s="591">
        <f t="shared" si="99"/>
        <v>0.10993975903614457</v>
      </c>
      <c r="P43" s="592">
        <f t="shared" si="99"/>
        <v>0.1460843373493976</v>
      </c>
      <c r="Q43" s="592">
        <f t="shared" si="99"/>
        <v>0.1699248120300752</v>
      </c>
      <c r="R43" s="593">
        <f t="shared" si="99"/>
        <v>0.18018018018018017</v>
      </c>
      <c r="S43" s="594">
        <f t="shared" si="99"/>
        <v>0.60601503759398501</v>
      </c>
      <c r="T43" s="591">
        <f t="shared" si="99"/>
        <v>0.12446958981612447</v>
      </c>
      <c r="U43" s="592">
        <f>+U37/U40</f>
        <v>4.9065420560747662E-2</v>
      </c>
      <c r="V43" s="592">
        <f t="shared" si="99"/>
        <v>0.10501750291715285</v>
      </c>
      <c r="W43" s="593">
        <f t="shared" si="99"/>
        <v>0.19658119658119658</v>
      </c>
      <c r="X43" s="594">
        <f t="shared" si="99"/>
        <v>0.46520146520146521</v>
      </c>
      <c r="Y43" s="591">
        <f>+Y37/Y40</f>
        <v>0.10409356725146199</v>
      </c>
      <c r="Z43" s="592">
        <f t="shared" si="99"/>
        <v>0.11162790697674418</v>
      </c>
      <c r="AA43" s="592">
        <f t="shared" ref="AA43:AH43" si="100">+AA37/AA40</f>
        <v>0.14767441860465116</v>
      </c>
      <c r="AB43" s="593">
        <f t="shared" si="100"/>
        <v>0.12659698025551683</v>
      </c>
      <c r="AC43" s="594">
        <f t="shared" si="100"/>
        <v>0.48953488372093024</v>
      </c>
      <c r="AD43" s="591">
        <f t="shared" si="100"/>
        <v>0.11382113821138211</v>
      </c>
      <c r="AE43" s="592">
        <f t="shared" si="100"/>
        <v>0.12847222222222221</v>
      </c>
      <c r="AF43" s="592">
        <f t="shared" si="100"/>
        <v>0.14600231749710313</v>
      </c>
      <c r="AG43" s="593">
        <f t="shared" si="100"/>
        <v>8.6405529953917051E-2</v>
      </c>
      <c r="AH43" s="594">
        <f t="shared" si="100"/>
        <v>0.47453703703703703</v>
      </c>
      <c r="AI43" s="591">
        <f t="shared" ref="AI43:AM43" si="101">+AI37/AI40</f>
        <v>0.10611303344867359</v>
      </c>
      <c r="AJ43" s="592">
        <f t="shared" si="101"/>
        <v>0.11689814814814815</v>
      </c>
      <c r="AK43" s="592">
        <f t="shared" si="101"/>
        <v>0.1650273224043716</v>
      </c>
      <c r="AL43" s="593">
        <f t="shared" si="101"/>
        <v>9.5238095238095233E-2</v>
      </c>
      <c r="AM43" s="594">
        <f t="shared" si="101"/>
        <v>0.48376259798432253</v>
      </c>
      <c r="AN43" s="591">
        <f t="shared" ref="AN43:AR43" si="102">+AN37/AN40</f>
        <v>0.11891891891891893</v>
      </c>
      <c r="AO43" s="592">
        <f t="shared" si="102"/>
        <v>0.15766738660907129</v>
      </c>
      <c r="AP43" s="592">
        <f t="shared" si="102"/>
        <v>0.20064724919093851</v>
      </c>
      <c r="AQ43" s="593">
        <f t="shared" si="102"/>
        <v>8.8362068965517238E-2</v>
      </c>
      <c r="AR43" s="594">
        <f t="shared" si="102"/>
        <v>0.56526429341963325</v>
      </c>
      <c r="AS43" s="591">
        <f t="shared" ref="AS43:BB43" si="103">+AS37/AS40</f>
        <v>0.15161290322580645</v>
      </c>
      <c r="AT43" s="592">
        <f t="shared" si="103"/>
        <v>0.15064102564102563</v>
      </c>
      <c r="AU43" s="592">
        <f t="shared" ref="AU43:AW43" si="104">+AU37/AU40</f>
        <v>0.19274611398963731</v>
      </c>
      <c r="AV43" s="593">
        <f t="shared" si="104"/>
        <v>0.1282316442605998</v>
      </c>
      <c r="AW43" s="594">
        <f t="shared" si="104"/>
        <v>0.62381454162276084</v>
      </c>
      <c r="AX43" s="591">
        <f t="shared" si="103"/>
        <v>0.16980374972611451</v>
      </c>
      <c r="AY43" s="592">
        <f t="shared" ca="1" si="103"/>
        <v>0.17080494095533846</v>
      </c>
      <c r="AZ43" s="592">
        <f t="shared" ca="1" si="103"/>
        <v>0.2114163019068086</v>
      </c>
      <c r="BA43" s="593">
        <f t="shared" ca="1" si="103"/>
        <v>0.12995887823131946</v>
      </c>
      <c r="BB43" s="594">
        <f t="shared" ca="1" si="103"/>
        <v>0.68198387081958167</v>
      </c>
      <c r="BC43" s="592">
        <f t="shared" ref="BC43:BL43" ca="1" si="105">+BC37/BC40</f>
        <v>0.17072018970386946</v>
      </c>
      <c r="BD43" s="592">
        <f t="shared" ca="1" si="105"/>
        <v>0.16702999113737138</v>
      </c>
      <c r="BE43" s="592">
        <f t="shared" ca="1" si="105"/>
        <v>0.21286487296526613</v>
      </c>
      <c r="BF43" s="593">
        <f t="shared" ca="1" si="105"/>
        <v>0.13392783698207378</v>
      </c>
      <c r="BG43" s="594">
        <f t="shared" ca="1" si="105"/>
        <v>0.68454289078858122</v>
      </c>
      <c r="BH43" s="592">
        <f t="shared" ca="1" si="105"/>
        <v>0.18222116004257632</v>
      </c>
      <c r="BI43" s="592">
        <f t="shared" ca="1" si="105"/>
        <v>0.17939286263137186</v>
      </c>
      <c r="BJ43" s="592">
        <f t="shared" ca="1" si="105"/>
        <v>0.22016488137603143</v>
      </c>
      <c r="BK43" s="593">
        <f t="shared" ca="1" si="105"/>
        <v>0.14403616056148025</v>
      </c>
      <c r="BL43" s="594">
        <f t="shared" ca="1" si="105"/>
        <v>0.72581506461146006</v>
      </c>
      <c r="BM43" s="592">
        <f t="shared" ref="BM43:BQ43" ca="1" si="106">+BM37/BM40</f>
        <v>0.19241243787675855</v>
      </c>
      <c r="BN43" s="592">
        <f t="shared" ca="1" si="106"/>
        <v>0.18968890555215215</v>
      </c>
      <c r="BO43" s="592">
        <f t="shared" ca="1" si="106"/>
        <v>0.22941659373242926</v>
      </c>
      <c r="BP43" s="593">
        <f t="shared" ca="1" si="106"/>
        <v>0.15507004030633184</v>
      </c>
      <c r="BQ43" s="1650">
        <f t="shared" ca="1" si="106"/>
        <v>0.76658797746767116</v>
      </c>
      <c r="BR43" s="28"/>
      <c r="BS43" s="28"/>
      <c r="BT43" s="28"/>
      <c r="BU43" s="28"/>
      <c r="BV43" s="28"/>
      <c r="BW43" s="28"/>
      <c r="BX43" s="28"/>
      <c r="BY43" s="28"/>
      <c r="BZ43" s="28"/>
      <c r="CA43" s="28"/>
      <c r="CB43" s="28"/>
      <c r="CC43" s="5"/>
      <c r="CD43" s="5"/>
      <c r="CE43" s="28"/>
      <c r="CF43" s="28"/>
      <c r="CG43" s="28"/>
      <c r="CH43" s="28"/>
      <c r="CI43" s="28"/>
      <c r="CJ43" s="28"/>
      <c r="CK43" s="28"/>
      <c r="CL43" s="28"/>
      <c r="CM43" s="28"/>
      <c r="CN43" s="28"/>
      <c r="CO43" s="28"/>
      <c r="CP43" s="28"/>
      <c r="CQ43" s="28"/>
      <c r="CR43" s="28"/>
      <c r="CS43" s="28"/>
      <c r="CT43" s="28"/>
      <c r="CU43" s="28"/>
    </row>
    <row r="44" spans="1:99" ht="12.75" customHeight="1">
      <c r="A44" s="40"/>
      <c r="B44" s="40"/>
      <c r="C44" s="223" t="s">
        <v>309</v>
      </c>
      <c r="D44" s="28"/>
      <c r="E44" s="303"/>
      <c r="F44" s="239"/>
      <c r="G44" s="239"/>
      <c r="H44" s="304"/>
      <c r="I44" s="766"/>
      <c r="J44" s="376">
        <f t="shared" ref="J44:AP44" si="107">J43/E43-1</f>
        <v>0.12986961361106686</v>
      </c>
      <c r="K44" s="377">
        <f t="shared" si="107"/>
        <v>0.31262093078515885</v>
      </c>
      <c r="L44" s="377">
        <f t="shared" si="107"/>
        <v>1.5170311714429356</v>
      </c>
      <c r="M44" s="378">
        <f t="shared" si="107"/>
        <v>-0.19169719169719179</v>
      </c>
      <c r="N44" s="869">
        <f t="shared" si="107"/>
        <v>0.26774789431762347</v>
      </c>
      <c r="O44" s="376">
        <f t="shared" si="107"/>
        <v>-0.43581301951994023</v>
      </c>
      <c r="P44" s="377">
        <f t="shared" si="107"/>
        <v>-0.1734373390999896</v>
      </c>
      <c r="Q44" s="377">
        <f t="shared" si="107"/>
        <v>-6.8924377058348196E-2</v>
      </c>
      <c r="R44" s="378">
        <f t="shared" si="107"/>
        <v>0.40540540540540548</v>
      </c>
      <c r="S44" s="869">
        <f t="shared" si="107"/>
        <v>-0.11108856211324769</v>
      </c>
      <c r="T44" s="376">
        <f t="shared" si="107"/>
        <v>0.13216174846447459</v>
      </c>
      <c r="U44" s="377">
        <f t="shared" si="107"/>
        <v>-0.66412949224395423</v>
      </c>
      <c r="V44" s="377">
        <f t="shared" si="107"/>
        <v>-0.38197664212471993</v>
      </c>
      <c r="W44" s="378">
        <f t="shared" si="107"/>
        <v>9.1025641025641146E-2</v>
      </c>
      <c r="X44" s="869">
        <f t="shared" si="107"/>
        <v>-0.23235986511420759</v>
      </c>
      <c r="Y44" s="376">
        <f t="shared" si="107"/>
        <v>-0.16370281765018602</v>
      </c>
      <c r="Z44" s="377">
        <f t="shared" si="107"/>
        <v>1.2750830564784055</v>
      </c>
      <c r="AA44" s="377">
        <f t="shared" si="107"/>
        <v>0.4061886304909561</v>
      </c>
      <c r="AB44" s="378">
        <f>AB43/W43-1</f>
        <v>-0.35600666565671868</v>
      </c>
      <c r="AC44" s="869">
        <f>AC43/X43-1</f>
        <v>5.2307269730818451E-2</v>
      </c>
      <c r="AD44" s="376">
        <f t="shared" si="107"/>
        <v>9.3450260345300018E-2</v>
      </c>
      <c r="AE44" s="377">
        <f t="shared" si="107"/>
        <v>0.1508969907407407</v>
      </c>
      <c r="AF44" s="377">
        <f t="shared" si="107"/>
        <v>-1.132288938969539E-2</v>
      </c>
      <c r="AG44" s="378">
        <f>AG43/AB43-1</f>
        <v>-0.31747558449245328</v>
      </c>
      <c r="AH44" s="869">
        <f>AH43/AC43-1</f>
        <v>-3.0636931468285389E-2</v>
      </c>
      <c r="AI44" s="376">
        <f t="shared" si="107"/>
        <v>-6.7721206129510492E-2</v>
      </c>
      <c r="AJ44" s="377">
        <f t="shared" si="107"/>
        <v>-9.0090090090089947E-2</v>
      </c>
      <c r="AK44" s="377">
        <f t="shared" si="107"/>
        <v>0.13030618440454522</v>
      </c>
      <c r="AL44" s="378">
        <f t="shared" si="107"/>
        <v>0.10222222222222221</v>
      </c>
      <c r="AM44" s="869">
        <f t="shared" si="107"/>
        <v>1.9441182093791864E-2</v>
      </c>
      <c r="AN44" s="376">
        <f t="shared" si="107"/>
        <v>0.12068155111633372</v>
      </c>
      <c r="AO44" s="377">
        <f t="shared" si="107"/>
        <v>0.34875863396274842</v>
      </c>
      <c r="AP44" s="377">
        <f t="shared" si="107"/>
        <v>0.21584260271330291</v>
      </c>
      <c r="AQ44" s="378">
        <f t="shared" ref="AQ44" si="108">AQ43/AL43-1</f>
        <v>-7.219827586206895E-2</v>
      </c>
      <c r="AR44" s="869">
        <f t="shared" ref="AR44" si="109">AR43/AM43-1</f>
        <v>0.16847456949938078</v>
      </c>
      <c r="AS44" s="376">
        <f t="shared" ref="AS44:BB44" si="110">AS43/AN43-1</f>
        <v>0.27492668621700878</v>
      </c>
      <c r="AT44" s="377">
        <f t="shared" si="110"/>
        <v>-4.4564453811029248E-2</v>
      </c>
      <c r="AU44" s="377">
        <f t="shared" ref="AU44" si="111">AU43/AP43-1</f>
        <v>-3.9378238341968852E-2</v>
      </c>
      <c r="AV44" s="378">
        <f t="shared" ref="AV44" si="112">AV43/AQ43-1</f>
        <v>0.45120690090044646</v>
      </c>
      <c r="AW44" s="869">
        <f t="shared" ref="AW44" si="113">AW43/AR43-1</f>
        <v>0.10358030550438801</v>
      </c>
      <c r="AX44" s="376">
        <f t="shared" si="110"/>
        <v>0.11998217904458497</v>
      </c>
      <c r="AY44" s="377">
        <f t="shared" ca="1" si="110"/>
        <v>0.13385407612905542</v>
      </c>
      <c r="AZ44" s="377">
        <f t="shared" ca="1" si="110"/>
        <v>9.6864146989625199E-2</v>
      </c>
      <c r="BA44" s="378">
        <f t="shared" ca="1" si="110"/>
        <v>1.3469639110370357E-2</v>
      </c>
      <c r="BB44" s="869">
        <f t="shared" ca="1" si="110"/>
        <v>9.324779291855223E-2</v>
      </c>
      <c r="BC44" s="376">
        <f t="shared" ref="BC44" ca="1" si="114">BC43/AX43-1</f>
        <v>5.3970538296894688E-3</v>
      </c>
      <c r="BD44" s="377">
        <f t="shared" ref="BD44" ca="1" si="115">BD43/AY43-1</f>
        <v>-2.2100940387632884E-2</v>
      </c>
      <c r="BE44" s="377">
        <f t="shared" ref="BE44" ca="1" si="116">BE43/AZ43-1</f>
        <v>6.8517472181310879E-3</v>
      </c>
      <c r="BF44" s="378">
        <f t="shared" ref="BF44" ca="1" si="117">BF43/BA43-1</f>
        <v>3.054011241686605E-2</v>
      </c>
      <c r="BG44" s="869">
        <f t="shared" ref="BG44" ca="1" si="118">BG43/BB43-1</f>
        <v>3.7523174351972166E-3</v>
      </c>
      <c r="BH44" s="376">
        <f t="shared" ref="BH44" ca="1" si="119">BH43/BC43-1</f>
        <v>6.7367370893017364E-2</v>
      </c>
      <c r="BI44" s="377">
        <f t="shared" ref="BI44" ca="1" si="120">BI43/BD43-1</f>
        <v>7.4015878285192516E-2</v>
      </c>
      <c r="BJ44" s="377">
        <f t="shared" ref="BJ44" ca="1" si="121">BJ43/BE43-1</f>
        <v>3.4294096104604765E-2</v>
      </c>
      <c r="BK44" s="378">
        <f t="shared" ref="BK44" ca="1" si="122">BK43/BF43-1</f>
        <v>7.5475896626027605E-2</v>
      </c>
      <c r="BL44" s="869">
        <f t="shared" ref="BL44" ca="1" si="123">BL43/BG43-1</f>
        <v>6.0291581985949749E-2</v>
      </c>
      <c r="BM44" s="376">
        <f t="shared" ref="BM44" ca="1" si="124">BM43/BH43-1</f>
        <v>5.592807021863444E-2</v>
      </c>
      <c r="BN44" s="377">
        <f t="shared" ref="BN44" ca="1" si="125">BN43/BI43-1</f>
        <v>5.7393826988185515E-2</v>
      </c>
      <c r="BO44" s="377">
        <f t="shared" ref="BO44" ca="1" si="126">BO43/BJ43-1</f>
        <v>4.2021744333494926E-2</v>
      </c>
      <c r="BP44" s="378">
        <f t="shared" ref="BP44" ca="1" si="127">BP43/BK43-1</f>
        <v>7.6604928247458348E-2</v>
      </c>
      <c r="BQ44" s="869">
        <f t="shared" ref="BQ44" ca="1" si="128">BQ43/BL43-1</f>
        <v>5.6175346647065583E-2</v>
      </c>
      <c r="BR44" s="40"/>
      <c r="BS44" s="40"/>
      <c r="BT44" s="40"/>
      <c r="BU44" s="40"/>
      <c r="BV44" s="40"/>
      <c r="BW44" s="40"/>
      <c r="BX44" s="40"/>
      <c r="BY44" s="40"/>
      <c r="BZ44" s="40"/>
      <c r="CA44" s="232"/>
      <c r="CB44" s="232"/>
      <c r="CC44" s="5"/>
      <c r="CD44" s="5"/>
      <c r="CE44" s="232"/>
      <c r="CF44" s="232"/>
      <c r="CG44" s="232"/>
      <c r="CH44" s="232"/>
      <c r="CI44" s="232"/>
      <c r="CJ44" s="232"/>
      <c r="CK44" s="232"/>
      <c r="CL44" s="232"/>
      <c r="CM44" s="232"/>
      <c r="CN44" s="232"/>
      <c r="CO44" s="232"/>
      <c r="CP44" s="232"/>
      <c r="CQ44" s="232"/>
      <c r="CR44" s="232"/>
      <c r="CS44" s="232"/>
      <c r="CT44" s="232"/>
      <c r="CU44" s="232"/>
    </row>
    <row r="45" spans="1:99" ht="12.75" customHeight="1">
      <c r="A45" s="40"/>
      <c r="B45" s="40"/>
      <c r="C45" s="223"/>
      <c r="D45" s="28"/>
      <c r="E45" s="303"/>
      <c r="F45" s="239"/>
      <c r="G45" s="239"/>
      <c r="H45" s="304"/>
      <c r="I45" s="766"/>
      <c r="J45" s="376"/>
      <c r="K45" s="377"/>
      <c r="L45" s="377"/>
      <c r="M45" s="378"/>
      <c r="N45" s="869"/>
      <c r="O45" s="376"/>
      <c r="P45" s="377"/>
      <c r="Q45" s="377"/>
      <c r="R45" s="378"/>
      <c r="S45" s="869"/>
      <c r="T45" s="376"/>
      <c r="U45" s="377"/>
      <c r="V45" s="377"/>
      <c r="W45" s="378"/>
      <c r="X45" s="869"/>
      <c r="Y45" s="376"/>
      <c r="Z45" s="377"/>
      <c r="AA45" s="377"/>
      <c r="AB45" s="378"/>
      <c r="AC45" s="869"/>
      <c r="AD45" s="376"/>
      <c r="AE45" s="377"/>
      <c r="AF45" s="377"/>
      <c r="AG45" s="378"/>
      <c r="AH45" s="869"/>
      <c r="AI45" s="376"/>
      <c r="AJ45" s="377"/>
      <c r="AK45" s="377"/>
      <c r="AL45" s="378"/>
      <c r="AM45" s="869"/>
      <c r="AN45" s="376"/>
      <c r="AO45" s="377"/>
      <c r="AP45" s="377"/>
      <c r="AQ45" s="378"/>
      <c r="AR45" s="869"/>
      <c r="AS45" s="376"/>
      <c r="AT45" s="377"/>
      <c r="AU45" s="377"/>
      <c r="AV45" s="378"/>
      <c r="AW45" s="869"/>
      <c r="AX45" s="376"/>
      <c r="AY45" s="377"/>
      <c r="AZ45" s="377"/>
      <c r="BA45" s="378"/>
      <c r="BB45" s="869"/>
      <c r="BC45" s="376"/>
      <c r="BD45" s="377"/>
      <c r="BE45" s="377"/>
      <c r="BF45" s="378"/>
      <c r="BG45" s="869"/>
      <c r="BH45" s="376"/>
      <c r="BI45" s="377"/>
      <c r="BJ45" s="377"/>
      <c r="BK45" s="378"/>
      <c r="BL45" s="869"/>
      <c r="BM45" s="376"/>
      <c r="BN45" s="377"/>
      <c r="BO45" s="377"/>
      <c r="BP45" s="378"/>
      <c r="BQ45" s="869"/>
      <c r="BR45" s="40"/>
      <c r="BS45" s="40"/>
      <c r="BT45" s="40"/>
      <c r="BU45" s="40"/>
      <c r="BV45" s="40"/>
      <c r="BW45" s="40"/>
      <c r="BX45" s="40"/>
      <c r="BY45" s="40"/>
      <c r="BZ45" s="40"/>
      <c r="CA45" s="232"/>
      <c r="CB45" s="232"/>
      <c r="CC45" s="5"/>
      <c r="CD45" s="5"/>
      <c r="CE45" s="232"/>
      <c r="CF45" s="232"/>
      <c r="CG45" s="232"/>
      <c r="CH45" s="232"/>
      <c r="CI45" s="232"/>
      <c r="CJ45" s="232"/>
      <c r="CK45" s="232"/>
      <c r="CL45" s="232"/>
      <c r="CM45" s="232"/>
      <c r="CN45" s="232"/>
      <c r="CO45" s="232"/>
      <c r="CP45" s="232"/>
      <c r="CQ45" s="232"/>
      <c r="CR45" s="232"/>
      <c r="CS45" s="232"/>
      <c r="CT45" s="232"/>
      <c r="CU45" s="232"/>
    </row>
    <row r="46" spans="1:99" ht="12.75" customHeight="1">
      <c r="A46" s="40"/>
      <c r="B46" s="40"/>
      <c r="C46" s="223" t="s">
        <v>1404</v>
      </c>
      <c r="D46" s="28"/>
      <c r="E46" s="303"/>
      <c r="F46" s="239"/>
      <c r="G46" s="239"/>
      <c r="H46" s="304"/>
      <c r="I46" s="766"/>
      <c r="J46" s="376"/>
      <c r="K46" s="377"/>
      <c r="L46" s="377"/>
      <c r="M46" s="378"/>
      <c r="N46" s="869"/>
      <c r="O46" s="376"/>
      <c r="P46" s="377"/>
      <c r="Q46" s="377"/>
      <c r="R46" s="378"/>
      <c r="S46" s="869"/>
      <c r="T46" s="376"/>
      <c r="U46" s="377"/>
      <c r="V46" s="377"/>
      <c r="W46" s="378"/>
      <c r="X46" s="869"/>
      <c r="Y46" s="376"/>
      <c r="Z46" s="377"/>
      <c r="AA46" s="377"/>
      <c r="AB46" s="378"/>
      <c r="AC46" s="869"/>
      <c r="AD46" s="376"/>
      <c r="AE46" s="377"/>
      <c r="AF46" s="377"/>
      <c r="AG46" s="378"/>
      <c r="AH46" s="869"/>
      <c r="AI46" s="376"/>
      <c r="AJ46" s="377"/>
      <c r="AK46" s="377"/>
      <c r="AL46" s="378"/>
      <c r="AM46" s="869"/>
      <c r="AN46" s="376"/>
      <c r="AO46" s="377"/>
      <c r="AP46" s="377"/>
      <c r="AQ46" s="378"/>
      <c r="AR46" s="869"/>
      <c r="AS46" s="376"/>
      <c r="AT46" s="377"/>
      <c r="AU46" s="377"/>
      <c r="AV46" s="378"/>
      <c r="AW46" s="869"/>
      <c r="AX46" s="376"/>
      <c r="AY46" s="377"/>
      <c r="AZ46" s="377"/>
      <c r="BA46" s="378"/>
      <c r="BB46" s="2103">
        <f ca="1">BB37+PECO!BB40+BGE!BB38</f>
        <v>1413.627906027195</v>
      </c>
      <c r="BC46" s="376"/>
      <c r="BD46" s="377"/>
      <c r="BE46" s="377"/>
      <c r="BF46" s="378"/>
      <c r="BG46" s="869"/>
      <c r="BH46" s="376"/>
      <c r="BI46" s="377"/>
      <c r="BJ46" s="377"/>
      <c r="BK46" s="378"/>
      <c r="BL46" s="869"/>
      <c r="BM46" s="376"/>
      <c r="BN46" s="377"/>
      <c r="BO46" s="377"/>
      <c r="BP46" s="378"/>
      <c r="BQ46" s="869"/>
      <c r="BR46" s="40"/>
      <c r="BS46" s="40"/>
      <c r="BT46" s="40"/>
      <c r="BU46" s="40"/>
      <c r="BV46" s="40"/>
      <c r="BW46" s="40"/>
      <c r="BX46" s="40"/>
      <c r="BY46" s="40"/>
      <c r="BZ46" s="40"/>
      <c r="CA46" s="232"/>
      <c r="CB46" s="232"/>
      <c r="CC46" s="5"/>
      <c r="CD46" s="5"/>
      <c r="CE46" s="232"/>
      <c r="CF46" s="232"/>
      <c r="CG46" s="232"/>
      <c r="CH46" s="232"/>
      <c r="CI46" s="232"/>
      <c r="CJ46" s="232"/>
      <c r="CK46" s="232"/>
      <c r="CL46" s="232"/>
      <c r="CM46" s="232"/>
      <c r="CN46" s="232"/>
      <c r="CO46" s="232"/>
      <c r="CP46" s="232"/>
      <c r="CQ46" s="232"/>
      <c r="CR46" s="232"/>
      <c r="CS46" s="232"/>
      <c r="CT46" s="232"/>
      <c r="CU46" s="232"/>
    </row>
    <row r="47" spans="1:99" ht="12.75" customHeight="1">
      <c r="A47" s="40"/>
      <c r="B47" s="40"/>
      <c r="C47" s="223"/>
      <c r="D47" s="28"/>
      <c r="E47" s="303"/>
      <c r="F47" s="239"/>
      <c r="G47" s="239"/>
      <c r="H47" s="304"/>
      <c r="I47" s="766"/>
      <c r="J47" s="376"/>
      <c r="K47" s="377"/>
      <c r="L47" s="377"/>
      <c r="M47" s="378"/>
      <c r="N47" s="869"/>
      <c r="O47" s="376"/>
      <c r="P47" s="377"/>
      <c r="Q47" s="377"/>
      <c r="R47" s="378"/>
      <c r="S47" s="869"/>
      <c r="T47" s="376"/>
      <c r="U47" s="377"/>
      <c r="V47" s="377"/>
      <c r="W47" s="378"/>
      <c r="X47" s="869"/>
      <c r="Y47" s="376"/>
      <c r="Z47" s="377"/>
      <c r="AA47" s="377"/>
      <c r="AB47" s="378"/>
      <c r="AC47" s="869"/>
      <c r="AD47" s="376"/>
      <c r="AE47" s="377"/>
      <c r="AF47" s="377"/>
      <c r="AG47" s="378"/>
      <c r="AH47" s="869"/>
      <c r="AI47" s="376"/>
      <c r="AJ47" s="377"/>
      <c r="AK47" s="377"/>
      <c r="AL47" s="378"/>
      <c r="AM47" s="869"/>
      <c r="AN47" s="376"/>
      <c r="AO47" s="377"/>
      <c r="AP47" s="377"/>
      <c r="AQ47" s="378"/>
      <c r="AR47" s="869"/>
      <c r="AS47" s="376"/>
      <c r="AT47" s="377"/>
      <c r="AU47" s="377"/>
      <c r="AV47" s="378"/>
      <c r="AW47" s="2140"/>
      <c r="AX47" s="376"/>
      <c r="AY47" s="377"/>
      <c r="AZ47" s="377"/>
      <c r="BA47" s="378"/>
      <c r="BB47" s="2140"/>
      <c r="BC47" s="376"/>
      <c r="BD47" s="377"/>
      <c r="BE47" s="377"/>
      <c r="BF47" s="378"/>
      <c r="BG47" s="869"/>
      <c r="BH47" s="376"/>
      <c r="BI47" s="377"/>
      <c r="BJ47" s="377"/>
      <c r="BK47" s="378"/>
      <c r="BL47" s="869"/>
      <c r="BM47" s="376"/>
      <c r="BN47" s="377"/>
      <c r="BO47" s="377"/>
      <c r="BP47" s="378"/>
      <c r="BQ47" s="2327"/>
      <c r="BR47" s="40"/>
      <c r="BS47" s="40"/>
      <c r="BT47" s="40"/>
      <c r="BU47" s="40"/>
      <c r="BV47" s="40"/>
      <c r="BW47" s="40"/>
      <c r="BX47" s="40"/>
      <c r="BY47" s="40"/>
      <c r="BZ47" s="40"/>
      <c r="CA47" s="232"/>
      <c r="CB47" s="232"/>
      <c r="CC47" s="5"/>
      <c r="CD47" s="5"/>
      <c r="CE47" s="232"/>
      <c r="CF47" s="232"/>
      <c r="CG47" s="232"/>
      <c r="CH47" s="232"/>
      <c r="CI47" s="232"/>
      <c r="CJ47" s="232"/>
      <c r="CK47" s="232"/>
      <c r="CL47" s="232"/>
      <c r="CM47" s="232"/>
      <c r="CN47" s="232"/>
      <c r="CO47" s="232"/>
      <c r="CP47" s="232"/>
      <c r="CQ47" s="232"/>
      <c r="CR47" s="232"/>
      <c r="CS47" s="232"/>
      <c r="CT47" s="232"/>
      <c r="CU47" s="232"/>
    </row>
    <row r="48" spans="1:99" ht="12.75" customHeight="1">
      <c r="A48" s="40"/>
      <c r="B48" s="40"/>
      <c r="C48" s="223"/>
      <c r="D48" s="28"/>
      <c r="E48" s="840"/>
      <c r="F48" s="841"/>
      <c r="G48" s="841"/>
      <c r="H48" s="842"/>
      <c r="I48" s="843"/>
      <c r="J48" s="840"/>
      <c r="K48" s="841"/>
      <c r="L48" s="841"/>
      <c r="M48" s="842"/>
      <c r="N48" s="844"/>
      <c r="O48" s="840"/>
      <c r="P48" s="841"/>
      <c r="Q48" s="841"/>
      <c r="R48" s="842"/>
      <c r="S48" s="844"/>
      <c r="T48" s="840"/>
      <c r="U48" s="841"/>
      <c r="V48" s="239"/>
      <c r="W48" s="304"/>
      <c r="X48" s="767"/>
      <c r="Y48" s="303"/>
      <c r="Z48" s="239"/>
      <c r="AA48" s="239"/>
      <c r="AB48" s="304"/>
      <c r="AC48" s="767"/>
      <c r="AD48" s="303"/>
      <c r="AE48" s="239"/>
      <c r="AF48" s="239"/>
      <c r="AG48" s="304"/>
      <c r="AH48" s="767"/>
      <c r="AI48" s="303"/>
      <c r="AJ48" s="239"/>
      <c r="AK48" s="239"/>
      <c r="AL48" s="304"/>
      <c r="AM48" s="767"/>
      <c r="AN48" s="303"/>
      <c r="AO48" s="239"/>
      <c r="AP48" s="239"/>
      <c r="AQ48" s="304"/>
      <c r="AR48" s="767"/>
      <c r="AS48" s="303"/>
      <c r="AT48" s="239"/>
      <c r="AU48" s="239"/>
      <c r="AV48" s="304"/>
      <c r="AW48" s="767"/>
      <c r="AX48" s="303"/>
      <c r="AY48" s="239"/>
      <c r="AZ48" s="239"/>
      <c r="BA48" s="304"/>
      <c r="BB48" s="767"/>
      <c r="BC48" s="303"/>
      <c r="BD48" s="239"/>
      <c r="BE48" s="239"/>
      <c r="BF48" s="304"/>
      <c r="BG48" s="767"/>
      <c r="BH48" s="303"/>
      <c r="BI48" s="239"/>
      <c r="BJ48" s="239"/>
      <c r="BK48" s="304"/>
      <c r="BL48" s="767"/>
      <c r="BM48" s="303"/>
      <c r="BN48" s="239"/>
      <c r="BO48" s="239"/>
      <c r="BP48" s="304"/>
      <c r="BQ48" s="767"/>
      <c r="BR48" s="40"/>
      <c r="BS48" s="40"/>
      <c r="BT48" s="40"/>
      <c r="BU48" s="40"/>
      <c r="BV48" s="40"/>
      <c r="BW48" s="40"/>
      <c r="BX48" s="40"/>
      <c r="BY48" s="40"/>
      <c r="BZ48" s="40"/>
      <c r="CA48" s="232"/>
      <c r="CB48" s="232"/>
      <c r="CC48" s="5"/>
      <c r="CD48" s="5"/>
      <c r="CE48" s="232"/>
      <c r="CF48" s="232"/>
      <c r="CG48" s="232"/>
      <c r="CH48" s="232"/>
      <c r="CI48" s="232"/>
      <c r="CJ48" s="232"/>
      <c r="CK48" s="232"/>
      <c r="CL48" s="232"/>
      <c r="CM48" s="232"/>
      <c r="CN48" s="232"/>
      <c r="CO48" s="232"/>
      <c r="CP48" s="232"/>
      <c r="CQ48" s="232"/>
      <c r="CR48" s="232"/>
      <c r="CS48" s="232"/>
      <c r="CT48" s="232"/>
      <c r="CU48" s="232"/>
    </row>
    <row r="49" spans="1:99" ht="12.75" customHeight="1">
      <c r="A49" s="1"/>
      <c r="B49" s="73" t="s">
        <v>369</v>
      </c>
      <c r="C49" s="246"/>
      <c r="D49" s="15"/>
      <c r="E49" s="600"/>
      <c r="F49" s="251"/>
      <c r="G49" s="251"/>
      <c r="H49" s="601"/>
      <c r="I49" s="26"/>
      <c r="J49" s="600"/>
      <c r="K49" s="251"/>
      <c r="L49" s="251"/>
      <c r="M49" s="601"/>
      <c r="N49" s="26"/>
      <c r="O49" s="600"/>
      <c r="P49" s="251"/>
      <c r="Q49" s="251"/>
      <c r="R49" s="601"/>
      <c r="S49" s="26"/>
      <c r="T49" s="600"/>
      <c r="U49" s="251"/>
      <c r="V49" s="251"/>
      <c r="W49" s="601"/>
      <c r="X49" s="26"/>
      <c r="Y49" s="600"/>
      <c r="Z49" s="251"/>
      <c r="AA49" s="251"/>
      <c r="AB49" s="601"/>
      <c r="AC49" s="26"/>
      <c r="AD49" s="600"/>
      <c r="AE49" s="251"/>
      <c r="AF49" s="251"/>
      <c r="AG49" s="601"/>
      <c r="AH49" s="26"/>
      <c r="AI49" s="600"/>
      <c r="AJ49" s="251"/>
      <c r="AK49" s="251"/>
      <c r="AL49" s="601"/>
      <c r="AM49" s="26"/>
      <c r="AN49" s="600"/>
      <c r="AO49" s="251"/>
      <c r="AP49" s="251"/>
      <c r="AQ49" s="601"/>
      <c r="AR49" s="26"/>
      <c r="AS49" s="600"/>
      <c r="AT49" s="251"/>
      <c r="AU49" s="251"/>
      <c r="AV49" s="601"/>
      <c r="AW49" s="26"/>
      <c r="AX49" s="600"/>
      <c r="AY49" s="251"/>
      <c r="AZ49" s="251"/>
      <c r="BA49" s="601"/>
      <c r="BB49" s="26"/>
      <c r="BC49" s="600"/>
      <c r="BD49" s="251"/>
      <c r="BE49" s="251"/>
      <c r="BF49" s="601"/>
      <c r="BG49" s="26"/>
      <c r="BH49" s="600"/>
      <c r="BI49" s="251"/>
      <c r="BJ49" s="251"/>
      <c r="BK49" s="601"/>
      <c r="BL49" s="26"/>
      <c r="BM49" s="600"/>
      <c r="BN49" s="251"/>
      <c r="BO49" s="251"/>
      <c r="BP49" s="601"/>
      <c r="BQ49" s="26"/>
      <c r="BR49" s="1"/>
      <c r="BS49" s="1"/>
      <c r="BT49" s="1"/>
      <c r="BU49" s="1"/>
      <c r="BV49" s="1"/>
      <c r="BW49" s="1"/>
      <c r="BX49" s="1"/>
      <c r="BY49" s="1"/>
      <c r="BZ49" s="1"/>
      <c r="CA49" s="1"/>
      <c r="CB49" s="1"/>
      <c r="CC49" s="5"/>
      <c r="CD49" s="5"/>
      <c r="CE49" s="1"/>
      <c r="CF49" s="1"/>
      <c r="CG49" s="1"/>
      <c r="CH49" s="1"/>
      <c r="CI49" s="1"/>
      <c r="CJ49" s="1"/>
      <c r="CK49" s="1"/>
      <c r="CL49" s="1"/>
      <c r="CM49" s="1"/>
      <c r="CN49" s="1"/>
      <c r="CO49" s="1"/>
      <c r="CP49" s="1"/>
      <c r="CQ49" s="1"/>
      <c r="CR49" s="1"/>
      <c r="CS49" s="1"/>
      <c r="CT49" s="1"/>
      <c r="CU49" s="1"/>
    </row>
    <row r="50" spans="1:99" ht="12.75" customHeight="1">
      <c r="A50" s="1"/>
      <c r="B50" s="1"/>
      <c r="C50" s="559" t="s">
        <v>124</v>
      </c>
      <c r="D50" s="380"/>
      <c r="E50" s="603"/>
      <c r="F50" s="604"/>
      <c r="G50" s="604"/>
      <c r="H50" s="605"/>
      <c r="I50" s="606"/>
      <c r="J50" s="607">
        <f t="shared" ref="J50:S50" si="129">+J81</f>
        <v>-1.9254018716697296E-2</v>
      </c>
      <c r="K50" s="608">
        <f t="shared" si="129"/>
        <v>4.8600955445061933E-2</v>
      </c>
      <c r="L50" s="608">
        <f t="shared" si="129"/>
        <v>0.15971026014751999</v>
      </c>
      <c r="M50" s="609">
        <f t="shared" si="129"/>
        <v>5.7352388115832209E-3</v>
      </c>
      <c r="N50" s="610">
        <f t="shared" si="129"/>
        <v>4.9619640387275288E-2</v>
      </c>
      <c r="O50" s="607">
        <f t="shared" si="129"/>
        <v>1.2464046021092967E-2</v>
      </c>
      <c r="P50" s="608">
        <f t="shared" si="129"/>
        <v>-2.2639579749895389E-2</v>
      </c>
      <c r="Q50" s="608">
        <f t="shared" si="129"/>
        <v>-2.9401683360627651E-2</v>
      </c>
      <c r="R50" s="609">
        <f t="shared" si="129"/>
        <v>-2.6082079087594634E-2</v>
      </c>
      <c r="S50" s="610">
        <f t="shared" si="129"/>
        <v>-1.695492230824136E-2</v>
      </c>
      <c r="T50" s="607">
        <f t="shared" ref="T50:Z50" si="130">+T81</f>
        <v>-3.7247474747474696E-2</v>
      </c>
      <c r="U50" s="608">
        <f t="shared" si="130"/>
        <v>3.1868340943683515E-2</v>
      </c>
      <c r="V50" s="608">
        <f t="shared" si="130"/>
        <v>9.3780655287423187E-3</v>
      </c>
      <c r="W50" s="609">
        <f t="shared" si="130"/>
        <v>1.7901708581301579E-2</v>
      </c>
      <c r="X50" s="610">
        <f t="shared" si="130"/>
        <v>5.0937768791681215E-3</v>
      </c>
      <c r="Y50" s="607">
        <f t="shared" si="130"/>
        <v>2.8665105386416867E-2</v>
      </c>
      <c r="Z50" s="608">
        <f t="shared" si="130"/>
        <v>-3.5355397805844957E-2</v>
      </c>
      <c r="AA50" s="608">
        <f t="shared" ref="AA50:AH50" si="131">+AA81</f>
        <v>-4.4549836728347114E-2</v>
      </c>
      <c r="AB50" s="609">
        <f t="shared" si="131"/>
        <v>2.2066104012447463E-2</v>
      </c>
      <c r="AC50" s="610">
        <f t="shared" si="131"/>
        <v>-9.2579214688197631E-3</v>
      </c>
      <c r="AD50" s="607">
        <f t="shared" si="131"/>
        <v>5.7918222384117923E-2</v>
      </c>
      <c r="AE50" s="608">
        <f t="shared" si="131"/>
        <v>3.9183829502555945E-3</v>
      </c>
      <c r="AF50" s="608">
        <f t="shared" si="131"/>
        <v>-5.4276181951338542E-2</v>
      </c>
      <c r="AG50" s="609">
        <f t="shared" si="131"/>
        <v>-2.6894865525672329E-2</v>
      </c>
      <c r="AH50" s="610">
        <f t="shared" si="131"/>
        <v>-6.3156241586646011E-3</v>
      </c>
      <c r="AI50" s="607">
        <f t="shared" ref="AI50:AM50" si="132">+AI81</f>
        <v>-3.5293104932426655E-2</v>
      </c>
      <c r="AJ50" s="608">
        <f t="shared" si="132"/>
        <v>-3.7507734780332203E-2</v>
      </c>
      <c r="AK50" s="608">
        <f t="shared" si="132"/>
        <v>3.4374462226811175E-2</v>
      </c>
      <c r="AL50" s="609">
        <f t="shared" si="132"/>
        <v>-4.9303119370437076E-2</v>
      </c>
      <c r="AM50" s="610">
        <f t="shared" si="132"/>
        <v>-2.0873550761449922E-2</v>
      </c>
      <c r="AN50" s="607">
        <f t="shared" ref="AN50:AU50" si="133">+AN81</f>
        <v>-4.6488801641831001E-2</v>
      </c>
      <c r="AO50" s="608">
        <f t="shared" si="133"/>
        <v>4.3321299638989119E-2</v>
      </c>
      <c r="AP50" s="608">
        <f t="shared" si="133"/>
        <v>6.9750031194110607E-2</v>
      </c>
      <c r="AQ50" s="609">
        <f t="shared" si="133"/>
        <v>3.3010870649247126E-2</v>
      </c>
      <c r="AR50" s="610">
        <f t="shared" si="133"/>
        <v>2.5054189918369163E-2</v>
      </c>
      <c r="AS50" s="607">
        <f t="shared" ref="AS50" si="134">+AS81</f>
        <v>-1.848212614635969E-2</v>
      </c>
      <c r="AT50" s="608">
        <f t="shared" si="133"/>
        <v>-3.1331468929231665E-2</v>
      </c>
      <c r="AU50" s="608">
        <f t="shared" si="133"/>
        <v>-6.5863141524105773E-2</v>
      </c>
      <c r="AV50" s="609">
        <f t="shared" ref="AV50:AW50" si="135">+AV81</f>
        <v>1.0716354508592429E-2</v>
      </c>
      <c r="AW50" s="610">
        <f t="shared" si="135"/>
        <v>-2.843484618412917E-2</v>
      </c>
      <c r="AX50" s="607">
        <f>+BB50-AS110</f>
        <v>1.7368849269517848E-2</v>
      </c>
      <c r="AY50" s="608">
        <f>+BB50-AT110</f>
        <v>2.7692307692307683E-2</v>
      </c>
      <c r="AZ50" s="608">
        <f>+BB50-AU110</f>
        <v>-8.1300813008131632E-4</v>
      </c>
      <c r="BA50" s="609">
        <f>+BB50-AV110</f>
        <v>3.7550290567724522E-3</v>
      </c>
      <c r="BB50" s="611">
        <v>0</v>
      </c>
      <c r="BC50" s="607">
        <f>+BG50-AX110</f>
        <v>0</v>
      </c>
      <c r="BD50" s="608">
        <f>+BG50-AY110</f>
        <v>0</v>
      </c>
      <c r="BE50" s="608">
        <f>+BG50-AZ110</f>
        <v>0</v>
      </c>
      <c r="BF50" s="609">
        <f>+BG50-BA110</f>
        <v>0</v>
      </c>
      <c r="BG50" s="611">
        <v>0</v>
      </c>
      <c r="BH50" s="607">
        <f>+BL50-BC110</f>
        <v>0</v>
      </c>
      <c r="BI50" s="608">
        <f>+BL50-BD110</f>
        <v>0</v>
      </c>
      <c r="BJ50" s="608">
        <f>+BL50-BE110</f>
        <v>0</v>
      </c>
      <c r="BK50" s="609">
        <f>+BL50-BF110</f>
        <v>0</v>
      </c>
      <c r="BL50" s="611">
        <v>0</v>
      </c>
      <c r="BM50" s="607">
        <f>+BQ50-BH110</f>
        <v>0</v>
      </c>
      <c r="BN50" s="608">
        <f>+BQ50-BI110</f>
        <v>0</v>
      </c>
      <c r="BO50" s="608">
        <f>+BQ50-BJ110</f>
        <v>0</v>
      </c>
      <c r="BP50" s="609">
        <f>+BQ50-BK110</f>
        <v>0</v>
      </c>
      <c r="BQ50" s="2276">
        <f>+BL50</f>
        <v>0</v>
      </c>
      <c r="BR50" s="567"/>
      <c r="BS50" s="1"/>
      <c r="BT50" s="1"/>
      <c r="BU50" s="1"/>
      <c r="BV50" s="1"/>
      <c r="BW50" s="1"/>
      <c r="BX50" s="1"/>
      <c r="BY50" s="1"/>
      <c r="BZ50" s="1"/>
      <c r="CA50" s="1"/>
      <c r="CB50" s="1"/>
      <c r="CC50" s="5"/>
      <c r="CD50" s="5"/>
      <c r="CE50" s="1"/>
      <c r="CF50" s="1"/>
      <c r="CG50" s="1"/>
      <c r="CH50" s="1"/>
      <c r="CI50" s="1"/>
      <c r="CJ50" s="1"/>
      <c r="CK50" s="1"/>
      <c r="CL50" s="1"/>
      <c r="CM50" s="1"/>
      <c r="CN50" s="1"/>
      <c r="CO50" s="1"/>
      <c r="CP50" s="1"/>
      <c r="CQ50" s="1"/>
      <c r="CR50" s="1"/>
      <c r="CS50" s="1"/>
      <c r="CT50" s="1"/>
      <c r="CU50" s="1"/>
    </row>
    <row r="51" spans="1:99" ht="12.75" customHeight="1">
      <c r="A51" s="1"/>
      <c r="B51" s="1"/>
      <c r="C51" s="564"/>
      <c r="D51" s="1"/>
      <c r="E51" s="600"/>
      <c r="F51" s="251"/>
      <c r="G51" s="251"/>
      <c r="H51" s="601"/>
      <c r="I51" s="26"/>
      <c r="J51" s="284"/>
      <c r="K51" s="241"/>
      <c r="L51" s="241"/>
      <c r="M51" s="285"/>
      <c r="N51" s="25"/>
      <c r="O51" s="284"/>
      <c r="P51" s="241"/>
      <c r="Q51" s="241"/>
      <c r="R51" s="285"/>
      <c r="S51" s="612"/>
      <c r="T51" s="284"/>
      <c r="U51" s="241"/>
      <c r="V51" s="241"/>
      <c r="W51" s="285"/>
      <c r="X51" s="612"/>
      <c r="Y51" s="284"/>
      <c r="Z51" s="241"/>
      <c r="AA51" s="241"/>
      <c r="AB51" s="285"/>
      <c r="AC51" s="883"/>
      <c r="AD51" s="284"/>
      <c r="AE51" s="241"/>
      <c r="AF51" s="241"/>
      <c r="AG51" s="285"/>
      <c r="AH51" s="883"/>
      <c r="AI51" s="284"/>
      <c r="AJ51" s="241"/>
      <c r="AK51" s="241"/>
      <c r="AL51" s="285"/>
      <c r="AM51" s="883"/>
      <c r="AN51" s="284"/>
      <c r="AO51" s="241"/>
      <c r="AP51" s="241"/>
      <c r="AQ51" s="285"/>
      <c r="AR51" s="883"/>
      <c r="AS51" s="284"/>
      <c r="AT51" s="241"/>
      <c r="AU51" s="241"/>
      <c r="AV51" s="285"/>
      <c r="AW51" s="883"/>
      <c r="AX51" s="284"/>
      <c r="AY51" s="241"/>
      <c r="AZ51" s="241"/>
      <c r="BA51" s="285"/>
      <c r="BB51" s="612"/>
      <c r="BC51" s="284"/>
      <c r="BD51" s="241"/>
      <c r="BE51" s="241"/>
      <c r="BF51" s="285"/>
      <c r="BG51" s="612"/>
      <c r="BH51" s="284"/>
      <c r="BI51" s="241"/>
      <c r="BJ51" s="241"/>
      <c r="BK51" s="285"/>
      <c r="BL51" s="612"/>
      <c r="BM51" s="284"/>
      <c r="BN51" s="241"/>
      <c r="BO51" s="241"/>
      <c r="BP51" s="285"/>
      <c r="BQ51" s="2027"/>
      <c r="BR51" s="567"/>
      <c r="BS51" s="1"/>
      <c r="BT51" s="1"/>
      <c r="BU51" s="1"/>
      <c r="BV51" s="1"/>
      <c r="BW51" s="1"/>
      <c r="BX51" s="1"/>
      <c r="BY51" s="1"/>
      <c r="BZ51" s="1"/>
      <c r="CA51" s="1"/>
      <c r="CB51" s="1"/>
      <c r="CC51" s="5"/>
      <c r="CD51" s="5"/>
      <c r="CE51" s="1"/>
      <c r="CF51" s="1"/>
      <c r="CG51" s="1"/>
      <c r="CH51" s="1"/>
      <c r="CI51" s="1"/>
      <c r="CJ51" s="1"/>
      <c r="CK51" s="1"/>
      <c r="CL51" s="1"/>
      <c r="CM51" s="1"/>
      <c r="CN51" s="1"/>
      <c r="CO51" s="1"/>
      <c r="CP51" s="1"/>
      <c r="CQ51" s="1"/>
      <c r="CR51" s="1"/>
      <c r="CS51" s="1"/>
      <c r="CT51" s="1"/>
      <c r="CU51" s="1"/>
    </row>
    <row r="52" spans="1:99" ht="12.75" customHeight="1">
      <c r="A52" s="383"/>
      <c r="B52" s="383"/>
      <c r="C52" s="679" t="s">
        <v>159</v>
      </c>
      <c r="D52" s="383"/>
      <c r="E52" s="613"/>
      <c r="F52" s="614"/>
      <c r="G52" s="614"/>
      <c r="H52" s="615"/>
      <c r="I52" s="383"/>
      <c r="J52" s="613"/>
      <c r="K52" s="614"/>
      <c r="L52" s="614"/>
      <c r="M52" s="615"/>
      <c r="N52" s="383"/>
      <c r="O52" s="768"/>
      <c r="P52" s="769"/>
      <c r="Q52" s="769"/>
      <c r="R52" s="770"/>
      <c r="S52" s="657"/>
      <c r="T52" s="768"/>
      <c r="U52" s="769"/>
      <c r="V52" s="769"/>
      <c r="W52" s="770"/>
      <c r="X52" s="657"/>
      <c r="Y52" s="768"/>
      <c r="Z52" s="769"/>
      <c r="AA52" s="1447"/>
      <c r="AB52" s="1448"/>
      <c r="AC52" s="1449"/>
      <c r="AD52" s="768"/>
      <c r="AE52" s="769"/>
      <c r="AF52" s="1447"/>
      <c r="AG52" s="1448"/>
      <c r="AH52" s="1449"/>
      <c r="AI52" s="768"/>
      <c r="AJ52" s="769"/>
      <c r="AK52" s="1447"/>
      <c r="AL52" s="1448"/>
      <c r="AM52" s="1449"/>
      <c r="AN52" s="768"/>
      <c r="AO52" s="769"/>
      <c r="AP52" s="1447"/>
      <c r="AQ52" s="1448"/>
      <c r="AR52" s="1449"/>
      <c r="AS52" s="768"/>
      <c r="AT52" s="617"/>
      <c r="AU52" s="617"/>
      <c r="AV52" s="1448"/>
      <c r="AW52" s="1449"/>
      <c r="AX52" s="616">
        <f>BB52/4</f>
        <v>10.78125</v>
      </c>
      <c r="AY52" s="617">
        <f>BB52/4</f>
        <v>10.78125</v>
      </c>
      <c r="AZ52" s="617">
        <f>BB52/4</f>
        <v>10.78125</v>
      </c>
      <c r="BA52" s="656">
        <f>BB52/4</f>
        <v>10.78125</v>
      </c>
      <c r="BB52" s="757">
        <f>11.5%*BB138</f>
        <v>43.125</v>
      </c>
      <c r="BC52" s="616">
        <f>BG52/4</f>
        <v>9.34375</v>
      </c>
      <c r="BD52" s="617">
        <f>BG52/4</f>
        <v>9.34375</v>
      </c>
      <c r="BE52" s="617">
        <f>BG52/4</f>
        <v>9.34375</v>
      </c>
      <c r="BF52" s="656">
        <f>BG52/4</f>
        <v>9.34375</v>
      </c>
      <c r="BG52" s="2031">
        <f>11.5%*BG138</f>
        <v>37.375</v>
      </c>
      <c r="BH52" s="2017">
        <f>BL52/4</f>
        <v>10.0625</v>
      </c>
      <c r="BI52" s="2018">
        <f>BL52/4</f>
        <v>10.0625</v>
      </c>
      <c r="BJ52" s="2018">
        <f>BL52/4</f>
        <v>10.0625</v>
      </c>
      <c r="BK52" s="2019">
        <f>BL52/4</f>
        <v>10.0625</v>
      </c>
      <c r="BL52" s="2031">
        <f>11.5%*BL138</f>
        <v>40.25</v>
      </c>
      <c r="BM52" s="2017">
        <f>BQ52/4</f>
        <v>10.78125</v>
      </c>
      <c r="BN52" s="2018">
        <f>BQ52/4</f>
        <v>10.78125</v>
      </c>
      <c r="BO52" s="2018">
        <f>BQ52/4</f>
        <v>10.78125</v>
      </c>
      <c r="BP52" s="2019">
        <f>BQ52/4</f>
        <v>10.78125</v>
      </c>
      <c r="BQ52" s="2031">
        <f>11.5%*BQ138</f>
        <v>43.125</v>
      </c>
      <c r="BR52" s="567"/>
      <c r="BS52" s="1"/>
      <c r="BT52" s="383"/>
      <c r="BU52" s="383"/>
      <c r="BV52" s="383"/>
      <c r="BW52" s="383"/>
      <c r="BX52" s="383"/>
      <c r="BY52" s="383"/>
      <c r="BZ52" s="383"/>
      <c r="CA52" s="383"/>
      <c r="CB52" s="383"/>
      <c r="CC52" s="5"/>
      <c r="CD52" s="5"/>
      <c r="CE52" s="383"/>
      <c r="CF52" s="383"/>
      <c r="CG52" s="383"/>
      <c r="CH52" s="383"/>
      <c r="CI52" s="383"/>
      <c r="CJ52" s="383"/>
      <c r="CK52" s="383"/>
      <c r="CL52" s="383"/>
      <c r="CM52" s="383"/>
      <c r="CN52" s="383"/>
      <c r="CO52" s="383"/>
      <c r="CP52" s="383"/>
      <c r="CQ52" s="383"/>
      <c r="CR52" s="383"/>
      <c r="CS52" s="383"/>
      <c r="CT52" s="383"/>
      <c r="CU52" s="383"/>
    </row>
    <row r="53" spans="1:99" ht="12.75" customHeight="1">
      <c r="A53" s="383"/>
      <c r="B53" s="383"/>
      <c r="C53" s="679" t="s">
        <v>702</v>
      </c>
      <c r="D53" s="383"/>
      <c r="E53" s="613"/>
      <c r="F53" s="614"/>
      <c r="G53" s="614"/>
      <c r="H53" s="615"/>
      <c r="I53" s="383"/>
      <c r="J53" s="613"/>
      <c r="K53" s="614"/>
      <c r="L53" s="614"/>
      <c r="M53" s="615"/>
      <c r="N53" s="383"/>
      <c r="O53" s="616"/>
      <c r="P53" s="617"/>
      <c r="Q53" s="617"/>
      <c r="R53" s="656"/>
      <c r="S53" s="657"/>
      <c r="T53" s="616"/>
      <c r="U53" s="617"/>
      <c r="V53" s="617"/>
      <c r="W53" s="656"/>
      <c r="X53" s="657"/>
      <c r="Y53" s="616"/>
      <c r="Z53" s="617"/>
      <c r="AA53" s="1450"/>
      <c r="AB53" s="1451"/>
      <c r="AC53" s="1449"/>
      <c r="AD53" s="616"/>
      <c r="AE53" s="617"/>
      <c r="AF53" s="1450"/>
      <c r="AG53" s="1451"/>
      <c r="AH53" s="1449"/>
      <c r="AI53" s="616"/>
      <c r="AJ53" s="617"/>
      <c r="AK53" s="1450"/>
      <c r="AL53" s="1451"/>
      <c r="AM53" s="1449"/>
      <c r="AN53" s="616"/>
      <c r="AO53" s="617"/>
      <c r="AP53" s="1450"/>
      <c r="AQ53" s="1451"/>
      <c r="AR53" s="1449"/>
      <c r="AS53" s="616"/>
      <c r="AT53" s="617"/>
      <c r="AU53" s="617"/>
      <c r="AV53" s="1451"/>
      <c r="AW53" s="1449"/>
      <c r="AX53" s="616">
        <f>BB53/4</f>
        <v>5.625</v>
      </c>
      <c r="AY53" s="617">
        <f>BB53/4</f>
        <v>5.625</v>
      </c>
      <c r="AZ53" s="617">
        <f>BB53/4</f>
        <v>5.625</v>
      </c>
      <c r="BA53" s="656">
        <f>BB53/4</f>
        <v>5.625</v>
      </c>
      <c r="BB53" s="757">
        <f>10%*BB139</f>
        <v>22.5</v>
      </c>
      <c r="BC53" s="616">
        <f>BG53/4</f>
        <v>2.5</v>
      </c>
      <c r="BD53" s="617">
        <f>BG53/4</f>
        <v>2.5</v>
      </c>
      <c r="BE53" s="617">
        <f>BG53/4</f>
        <v>2.5</v>
      </c>
      <c r="BF53" s="656">
        <f>BG53/4</f>
        <v>2.5</v>
      </c>
      <c r="BG53" s="2031">
        <f t="shared" ref="BG53" si="136">10%*BG139</f>
        <v>10</v>
      </c>
      <c r="BH53" s="2017">
        <f>BL53/4</f>
        <v>0.625</v>
      </c>
      <c r="BI53" s="2018">
        <f>BL53/4</f>
        <v>0.625</v>
      </c>
      <c r="BJ53" s="2018">
        <f>BL53/4</f>
        <v>0.625</v>
      </c>
      <c r="BK53" s="2019">
        <f>BL53/4</f>
        <v>0.625</v>
      </c>
      <c r="BL53" s="2031">
        <f>10%*BL139</f>
        <v>2.5</v>
      </c>
      <c r="BM53" s="2017">
        <f>BQ53/4</f>
        <v>0.625</v>
      </c>
      <c r="BN53" s="2018">
        <f>BQ53/4</f>
        <v>0.625</v>
      </c>
      <c r="BO53" s="2018">
        <f>BQ53/4</f>
        <v>0.625</v>
      </c>
      <c r="BP53" s="2019">
        <f>BQ53/4</f>
        <v>0.625</v>
      </c>
      <c r="BQ53" s="2031">
        <f>10%*BQ139</f>
        <v>2.5</v>
      </c>
      <c r="BR53" s="567"/>
      <c r="BS53" s="1"/>
      <c r="BT53" s="383"/>
      <c r="BU53" s="383"/>
      <c r="BV53" s="383"/>
      <c r="BW53" s="383"/>
      <c r="BX53" s="383"/>
      <c r="BY53" s="383"/>
      <c r="BZ53" s="383"/>
      <c r="CA53" s="383"/>
      <c r="CB53" s="383"/>
      <c r="CC53" s="5"/>
      <c r="CD53" s="5"/>
      <c r="CE53" s="383"/>
      <c r="CF53" s="383"/>
      <c r="CG53" s="383"/>
      <c r="CH53" s="383"/>
      <c r="CI53" s="383"/>
      <c r="CJ53" s="383"/>
      <c r="CK53" s="383"/>
      <c r="CL53" s="383"/>
      <c r="CM53" s="383"/>
      <c r="CN53" s="383"/>
      <c r="CO53" s="383"/>
      <c r="CP53" s="383"/>
      <c r="CQ53" s="383"/>
      <c r="CR53" s="383"/>
      <c r="CS53" s="383"/>
      <c r="CT53" s="383"/>
      <c r="CU53" s="383"/>
    </row>
    <row r="54" spans="1:99" ht="12.75" customHeight="1">
      <c r="A54" s="383"/>
      <c r="B54" s="383"/>
      <c r="C54" s="679" t="s">
        <v>1326</v>
      </c>
      <c r="D54" s="383"/>
      <c r="E54" s="613"/>
      <c r="F54" s="614"/>
      <c r="G54" s="614"/>
      <c r="H54" s="615"/>
      <c r="I54" s="383"/>
      <c r="J54" s="613"/>
      <c r="K54" s="614"/>
      <c r="L54" s="614"/>
      <c r="M54" s="615"/>
      <c r="N54" s="383"/>
      <c r="O54" s="768"/>
      <c r="P54" s="769"/>
      <c r="Q54" s="769"/>
      <c r="R54" s="770"/>
      <c r="S54" s="657"/>
      <c r="T54" s="768"/>
      <c r="U54" s="769"/>
      <c r="V54" s="769"/>
      <c r="W54" s="770"/>
      <c r="X54" s="657"/>
      <c r="Y54" s="768"/>
      <c r="Z54" s="769"/>
      <c r="AA54" s="1447"/>
      <c r="AB54" s="1448"/>
      <c r="AC54" s="1449"/>
      <c r="AD54" s="768"/>
      <c r="AE54" s="769"/>
      <c r="AF54" s="1447"/>
      <c r="AG54" s="1448"/>
      <c r="AH54" s="1449"/>
      <c r="AI54" s="768"/>
      <c r="AJ54" s="769"/>
      <c r="AK54" s="1447"/>
      <c r="AL54" s="1448"/>
      <c r="AM54" s="1449"/>
      <c r="AN54" s="768"/>
      <c r="AO54" s="769"/>
      <c r="AP54" s="1447"/>
      <c r="AQ54" s="1448"/>
      <c r="AR54" s="1449"/>
      <c r="AS54" s="768"/>
      <c r="AT54" s="617"/>
      <c r="AU54" s="617"/>
      <c r="AV54" s="1448"/>
      <c r="AW54" s="1449"/>
      <c r="AX54" s="616">
        <f>BB54/4</f>
        <v>-62.5</v>
      </c>
      <c r="AY54" s="617">
        <f>BB54/4</f>
        <v>-62.5</v>
      </c>
      <c r="AZ54" s="617">
        <f>BB54/4</f>
        <v>-62.5</v>
      </c>
      <c r="BA54" s="656">
        <f>BB54/4</f>
        <v>-62.5</v>
      </c>
      <c r="BB54" s="757">
        <v>-250</v>
      </c>
      <c r="BC54" s="616">
        <f>BG54/4</f>
        <v>11.25</v>
      </c>
      <c r="BD54" s="617">
        <f>BG54/4</f>
        <v>11.25</v>
      </c>
      <c r="BE54" s="617">
        <f>BG54/4</f>
        <v>11.25</v>
      </c>
      <c r="BF54" s="656">
        <f>BG54/4</f>
        <v>11.25</v>
      </c>
      <c r="BG54" s="2031">
        <v>45</v>
      </c>
      <c r="BH54" s="616">
        <f>BL54/4</f>
        <v>18.75</v>
      </c>
      <c r="BI54" s="617">
        <f>BL54/4</f>
        <v>18.75</v>
      </c>
      <c r="BJ54" s="617">
        <f>BL54/4</f>
        <v>18.75</v>
      </c>
      <c r="BK54" s="656">
        <f>BL54/4</f>
        <v>18.75</v>
      </c>
      <c r="BL54" s="2031">
        <v>75</v>
      </c>
      <c r="BM54" s="616">
        <f>BQ54/4</f>
        <v>18.75</v>
      </c>
      <c r="BN54" s="617">
        <f>BQ54/4</f>
        <v>18.75</v>
      </c>
      <c r="BO54" s="617">
        <f>BQ54/4</f>
        <v>18.75</v>
      </c>
      <c r="BP54" s="656">
        <f>BQ54/4</f>
        <v>18.75</v>
      </c>
      <c r="BQ54" s="2031">
        <v>75</v>
      </c>
      <c r="BR54" s="567"/>
      <c r="BS54" s="1"/>
      <c r="BT54" s="383"/>
      <c r="BU54" s="383"/>
      <c r="BV54" s="383"/>
      <c r="BW54" s="383"/>
      <c r="BX54" s="383"/>
      <c r="BY54" s="383"/>
      <c r="BZ54" s="383"/>
      <c r="CA54" s="383"/>
      <c r="CB54" s="383"/>
      <c r="CC54" s="5"/>
      <c r="CD54" s="5"/>
      <c r="CE54" s="383"/>
      <c r="CF54" s="383"/>
      <c r="CG54" s="383"/>
      <c r="CH54" s="383"/>
      <c r="CI54" s="383"/>
      <c r="CJ54" s="383"/>
      <c r="CK54" s="383"/>
      <c r="CL54" s="383"/>
      <c r="CM54" s="383"/>
      <c r="CN54" s="383"/>
      <c r="CO54" s="383"/>
      <c r="CP54" s="383"/>
      <c r="CQ54" s="383"/>
      <c r="CR54" s="383"/>
      <c r="CS54" s="383"/>
      <c r="CT54" s="383"/>
      <c r="CU54" s="383"/>
    </row>
    <row r="55" spans="1:99" ht="12.75" customHeight="1">
      <c r="A55" s="1"/>
      <c r="B55" s="1"/>
      <c r="C55" s="618"/>
      <c r="D55" s="1"/>
      <c r="E55" s="600"/>
      <c r="F55" s="251"/>
      <c r="G55" s="251"/>
      <c r="H55" s="601"/>
      <c r="I55" s="26"/>
      <c r="J55" s="600"/>
      <c r="K55" s="251"/>
      <c r="L55" s="251"/>
      <c r="M55" s="601"/>
      <c r="N55" s="26"/>
      <c r="O55" s="600"/>
      <c r="P55" s="251"/>
      <c r="Q55" s="251"/>
      <c r="R55" s="601"/>
      <c r="S55" s="26"/>
      <c r="T55" s="600"/>
      <c r="U55" s="251"/>
      <c r="V55" s="251"/>
      <c r="W55" s="601"/>
      <c r="X55" s="26"/>
      <c r="Y55" s="600"/>
      <c r="Z55" s="251"/>
      <c r="AA55" s="251"/>
      <c r="AB55" s="601"/>
      <c r="AC55" s="26"/>
      <c r="AD55" s="600"/>
      <c r="AE55" s="251"/>
      <c r="AF55" s="251"/>
      <c r="AG55" s="601"/>
      <c r="AH55" s="26"/>
      <c r="AI55" s="600"/>
      <c r="AJ55" s="251"/>
      <c r="AK55" s="251"/>
      <c r="AL55" s="601"/>
      <c r="AM55" s="26"/>
      <c r="AN55" s="600"/>
      <c r="AO55" s="251"/>
      <c r="AP55" s="251"/>
      <c r="AQ55" s="601"/>
      <c r="AR55" s="26"/>
      <c r="AS55" s="600"/>
      <c r="AT55" s="251"/>
      <c r="AU55" s="251"/>
      <c r="AV55" s="601"/>
      <c r="AW55" s="26"/>
      <c r="AX55" s="600"/>
      <c r="AY55" s="251"/>
      <c r="AZ55" s="251"/>
      <c r="BA55" s="601"/>
      <c r="BB55" s="26"/>
      <c r="BC55" s="600"/>
      <c r="BD55" s="251"/>
      <c r="BE55" s="251"/>
      <c r="BF55" s="601"/>
      <c r="BG55" s="26"/>
      <c r="BH55" s="600"/>
      <c r="BI55" s="251"/>
      <c r="BJ55" s="251"/>
      <c r="BK55" s="601"/>
      <c r="BL55" s="26"/>
      <c r="BM55" s="600"/>
      <c r="BN55" s="251"/>
      <c r="BO55" s="251"/>
      <c r="BP55" s="601"/>
      <c r="BQ55" s="2277"/>
      <c r="BR55" s="567"/>
      <c r="BS55" s="1"/>
      <c r="BT55" s="1"/>
      <c r="BU55" s="1"/>
      <c r="BV55" s="1"/>
      <c r="BW55" s="1"/>
      <c r="BX55" s="1"/>
      <c r="BY55" s="1"/>
      <c r="BZ55" s="1"/>
      <c r="CA55" s="1"/>
      <c r="CB55" s="1"/>
      <c r="CC55" s="5"/>
      <c r="CD55" s="5"/>
      <c r="CE55" s="1"/>
      <c r="CF55" s="1"/>
      <c r="CG55" s="1"/>
      <c r="CH55" s="1"/>
      <c r="CI55" s="1"/>
      <c r="CJ55" s="1"/>
      <c r="CK55" s="1"/>
      <c r="CL55" s="1"/>
      <c r="CM55" s="1"/>
      <c r="CN55" s="1"/>
      <c r="CO55" s="1"/>
      <c r="CP55" s="1"/>
      <c r="CQ55" s="1"/>
      <c r="CR55" s="1"/>
      <c r="CS55" s="1"/>
      <c r="CT55" s="1"/>
      <c r="CU55" s="1"/>
    </row>
    <row r="56" spans="1:99" ht="12.75" customHeight="1">
      <c r="A56" s="1"/>
      <c r="B56" s="1"/>
      <c r="C56" s="565" t="s">
        <v>125</v>
      </c>
      <c r="D56" s="1"/>
      <c r="E56" s="600"/>
      <c r="F56" s="251"/>
      <c r="G56" s="251"/>
      <c r="H56" s="601"/>
      <c r="I56" s="25"/>
      <c r="J56" s="284">
        <f t="shared" ref="J56:S56" si="137">+J118</f>
        <v>-0.3257575757575758</v>
      </c>
      <c r="K56" s="241">
        <f t="shared" si="137"/>
        <v>4.5774647887323994E-2</v>
      </c>
      <c r="L56" s="241">
        <f t="shared" si="137"/>
        <v>9.5890410958904049E-2</v>
      </c>
      <c r="M56" s="285">
        <f t="shared" si="137"/>
        <v>9.1633466135458086E-2</v>
      </c>
      <c r="N56" s="25">
        <f t="shared" si="137"/>
        <v>-2.0164986251145711E-2</v>
      </c>
      <c r="O56" s="284">
        <f t="shared" si="137"/>
        <v>0.49438202247191021</v>
      </c>
      <c r="P56" s="241">
        <f t="shared" si="137"/>
        <v>-9.7643097643097643E-2</v>
      </c>
      <c r="Q56" s="241">
        <f t="shared" si="137"/>
        <v>2.8124999999999956E-2</v>
      </c>
      <c r="R56" s="285">
        <f t="shared" si="137"/>
        <v>-1.0948905109489093E-2</v>
      </c>
      <c r="S56" s="25">
        <f t="shared" si="137"/>
        <v>6.0804490177736259E-2</v>
      </c>
      <c r="T56" s="284">
        <f t="shared" ref="T56:Z56" si="138">+T118</f>
        <v>0.19548872180451138</v>
      </c>
      <c r="U56" s="241">
        <f t="shared" si="138"/>
        <v>0.2350746268656716</v>
      </c>
      <c r="V56" s="241">
        <f t="shared" si="138"/>
        <v>6.3829787234042534E-2</v>
      </c>
      <c r="W56" s="285">
        <f t="shared" si="138"/>
        <v>0.2767527675276753</v>
      </c>
      <c r="X56" s="25">
        <f t="shared" si="138"/>
        <v>0.18606701940035264</v>
      </c>
      <c r="Y56" s="284">
        <f t="shared" si="138"/>
        <v>3.1446540880503138E-2</v>
      </c>
      <c r="Z56" s="241">
        <f t="shared" si="138"/>
        <v>8.4592145015105702E-2</v>
      </c>
      <c r="AA56" s="241">
        <f t="shared" ref="AA56:AH56" si="139">+AA118</f>
        <v>-4.8571428571428599E-2</v>
      </c>
      <c r="AB56" s="285">
        <f t="shared" si="139"/>
        <v>5.7803468208093012E-3</v>
      </c>
      <c r="AC56" s="25">
        <f t="shared" si="139"/>
        <v>1.7100371747211796E-2</v>
      </c>
      <c r="AD56" s="284">
        <f t="shared" si="139"/>
        <v>-6.0975609756097615E-3</v>
      </c>
      <c r="AE56" s="241">
        <f t="shared" si="139"/>
        <v>-1.1142061281337101E-2</v>
      </c>
      <c r="AF56" s="241">
        <f t="shared" si="139"/>
        <v>7.8078078078078095E-2</v>
      </c>
      <c r="AG56" s="285">
        <f t="shared" si="139"/>
        <v>0.11781609195402298</v>
      </c>
      <c r="AH56" s="25">
        <f t="shared" si="139"/>
        <v>4.4590643274853736E-2</v>
      </c>
      <c r="AI56" s="284">
        <f t="shared" ref="AI56:AM56" si="140">+AI118</f>
        <v>0.1595092024539877</v>
      </c>
      <c r="AJ56" s="241">
        <f t="shared" si="140"/>
        <v>8.1690140845070314E-2</v>
      </c>
      <c r="AK56" s="241">
        <f t="shared" si="140"/>
        <v>0.12534818941504189</v>
      </c>
      <c r="AL56" s="285">
        <f t="shared" si="140"/>
        <v>3.084832904884327E-2</v>
      </c>
      <c r="AM56" s="25">
        <f t="shared" si="140"/>
        <v>9.6571028691392558E-2</v>
      </c>
      <c r="AN56" s="284">
        <f t="shared" ref="AN56:AR56" si="141">+AN118</f>
        <v>-2.6455026455026509E-2</v>
      </c>
      <c r="AO56" s="241">
        <f t="shared" si="141"/>
        <v>-4.166666666666663E-2</v>
      </c>
      <c r="AP56" s="241">
        <f t="shared" si="141"/>
        <v>-6.683168316831678E-2</v>
      </c>
      <c r="AQ56" s="285">
        <f t="shared" si="141"/>
        <v>3.9900249376558561E-2</v>
      </c>
      <c r="AR56" s="25">
        <f t="shared" si="141"/>
        <v>-2.3611997447351651E-2</v>
      </c>
      <c r="AS56" s="284">
        <f t="shared" ref="AS56:AT56" si="142">+AS118</f>
        <v>5.4347826086955653E-3</v>
      </c>
      <c r="AT56" s="241">
        <f t="shared" si="142"/>
        <v>2.4456521739130377E-2</v>
      </c>
      <c r="AU56" s="241">
        <f t="shared" ref="AU56:AW56" si="143">+AU118</f>
        <v>-8.2228116710875376E-2</v>
      </c>
      <c r="AV56" s="285">
        <f t="shared" si="143"/>
        <v>-0.19904076738609111</v>
      </c>
      <c r="AW56" s="25">
        <f t="shared" si="143"/>
        <v>-6.732026143790848E-2</v>
      </c>
      <c r="AX56" s="284">
        <f t="shared" ref="AX56:BA57" si="144">+AY56</f>
        <v>0.03</v>
      </c>
      <c r="AY56" s="241">
        <f t="shared" si="144"/>
        <v>0.03</v>
      </c>
      <c r="AZ56" s="241">
        <f t="shared" si="144"/>
        <v>0.03</v>
      </c>
      <c r="BA56" s="285">
        <f t="shared" si="144"/>
        <v>0.03</v>
      </c>
      <c r="BB56" s="612">
        <v>0.03</v>
      </c>
      <c r="BC56" s="284">
        <f t="shared" ref="BC56:BC57" si="145">+BD56</f>
        <v>0</v>
      </c>
      <c r="BD56" s="241">
        <f t="shared" ref="BD56:BD57" si="146">+BE56</f>
        <v>0</v>
      </c>
      <c r="BE56" s="241">
        <f t="shared" ref="BE56:BE57" si="147">+BF56</f>
        <v>0</v>
      </c>
      <c r="BF56" s="285">
        <f t="shared" ref="BF56:BF57" si="148">+BG56</f>
        <v>0</v>
      </c>
      <c r="BG56" s="612">
        <v>0</v>
      </c>
      <c r="BH56" s="284">
        <f t="shared" ref="BH56:BH57" si="149">+BI56</f>
        <v>0</v>
      </c>
      <c r="BI56" s="241">
        <f t="shared" ref="BI56:BI57" si="150">+BJ56</f>
        <v>0</v>
      </c>
      <c r="BJ56" s="241">
        <f t="shared" ref="BJ56:BJ57" si="151">+BK56</f>
        <v>0</v>
      </c>
      <c r="BK56" s="285">
        <f t="shared" ref="BK56:BK57" si="152">+BL56</f>
        <v>0</v>
      </c>
      <c r="BL56" s="612">
        <v>0</v>
      </c>
      <c r="BM56" s="284">
        <f t="shared" ref="BM56:BM57" si="153">+BN56</f>
        <v>0</v>
      </c>
      <c r="BN56" s="241">
        <f t="shared" ref="BN56:BN57" si="154">+BO56</f>
        <v>0</v>
      </c>
      <c r="BO56" s="241">
        <f t="shared" ref="BO56:BO57" si="155">+BP56</f>
        <v>0</v>
      </c>
      <c r="BP56" s="285">
        <f t="shared" ref="BP56:BP57" si="156">+BQ56</f>
        <v>0</v>
      </c>
      <c r="BQ56" s="2027">
        <f>+BL56</f>
        <v>0</v>
      </c>
      <c r="BR56" s="567"/>
      <c r="BS56" s="1"/>
      <c r="BT56" s="1"/>
      <c r="BU56" s="1"/>
      <c r="BV56" s="1"/>
      <c r="BW56" s="1"/>
      <c r="BX56" s="1"/>
      <c r="BY56" s="1"/>
      <c r="BZ56" s="1"/>
      <c r="CA56" s="1"/>
      <c r="CB56" s="1"/>
      <c r="CC56" s="5"/>
      <c r="CD56" s="5"/>
      <c r="CE56" s="1"/>
      <c r="CF56" s="1"/>
      <c r="CG56" s="1"/>
      <c r="CH56" s="1"/>
      <c r="CI56" s="1"/>
      <c r="CJ56" s="1"/>
      <c r="CK56" s="1"/>
      <c r="CL56" s="1"/>
      <c r="CM56" s="1"/>
      <c r="CN56" s="1"/>
      <c r="CO56" s="1"/>
      <c r="CP56" s="1"/>
      <c r="CQ56" s="1"/>
      <c r="CR56" s="1"/>
      <c r="CS56" s="1"/>
      <c r="CT56" s="1"/>
      <c r="CU56" s="1"/>
    </row>
    <row r="57" spans="1:99" ht="12.75" customHeight="1">
      <c r="A57" s="1"/>
      <c r="B57" s="1"/>
      <c r="C57" s="565" t="s">
        <v>126</v>
      </c>
      <c r="D57" s="1"/>
      <c r="E57" s="600"/>
      <c r="F57" s="251"/>
      <c r="G57" s="251"/>
      <c r="H57" s="601"/>
      <c r="I57" s="25"/>
      <c r="J57" s="284">
        <f t="shared" ref="J57:S57" si="157">+J121</f>
        <v>-0.19230769230769229</v>
      </c>
      <c r="K57" s="241">
        <f t="shared" si="157"/>
        <v>-0.22807017543859653</v>
      </c>
      <c r="L57" s="241">
        <f t="shared" si="157"/>
        <v>2.5316455696202445E-2</v>
      </c>
      <c r="M57" s="285">
        <f t="shared" si="157"/>
        <v>1.4925373134328401E-2</v>
      </c>
      <c r="N57" s="25">
        <f t="shared" si="157"/>
        <v>-8.8967971530249157E-2</v>
      </c>
      <c r="O57" s="284">
        <f t="shared" si="157"/>
        <v>0.22222222222222232</v>
      </c>
      <c r="P57" s="241">
        <f t="shared" si="157"/>
        <v>0.59090909090909083</v>
      </c>
      <c r="Q57" s="241">
        <f t="shared" si="157"/>
        <v>-3.703703703703709E-2</v>
      </c>
      <c r="R57" s="285">
        <f t="shared" si="157"/>
        <v>4.4117647058823595E-2</v>
      </c>
      <c r="S57" s="25">
        <f t="shared" si="157"/>
        <v>0.15625</v>
      </c>
      <c r="T57" s="284">
        <f t="shared" ref="T57:Z57" si="158">+T121</f>
        <v>-2.5974025974025983E-2</v>
      </c>
      <c r="U57" s="241">
        <f t="shared" si="158"/>
        <v>-1.4285714285714235E-2</v>
      </c>
      <c r="V57" s="241">
        <f t="shared" si="158"/>
        <v>3.8461538461538547E-2</v>
      </c>
      <c r="W57" s="285">
        <f t="shared" si="158"/>
        <v>-1.4084507042253502E-2</v>
      </c>
      <c r="X57" s="25">
        <f t="shared" si="158"/>
        <v>-3.3783783783783994E-3</v>
      </c>
      <c r="Y57" s="284">
        <f t="shared" si="158"/>
        <v>-1.3333333333333308E-2</v>
      </c>
      <c r="Z57" s="241">
        <f t="shared" si="158"/>
        <v>2.8985507246376718E-2</v>
      </c>
      <c r="AA57" s="241">
        <f t="shared" ref="AA57:AH57" si="159">+AA121</f>
        <v>-1.2345679012345734E-2</v>
      </c>
      <c r="AB57" s="285">
        <f t="shared" si="159"/>
        <v>5.7142857142857162E-2</v>
      </c>
      <c r="AC57" s="25">
        <f t="shared" si="159"/>
        <v>1.3559322033898313E-2</v>
      </c>
      <c r="AD57" s="284">
        <f t="shared" si="159"/>
        <v>4.0540540540540571E-2</v>
      </c>
      <c r="AE57" s="241">
        <f t="shared" si="159"/>
        <v>1.4084507042253502E-2</v>
      </c>
      <c r="AF57" s="241">
        <f t="shared" si="159"/>
        <v>-5.0000000000000044E-2</v>
      </c>
      <c r="AG57" s="285">
        <f t="shared" si="159"/>
        <v>-8.108108108108103E-2</v>
      </c>
      <c r="AH57" s="25">
        <f t="shared" si="159"/>
        <v>-2.006688963210701E-2</v>
      </c>
      <c r="AI57" s="284">
        <f t="shared" ref="AI57:AM57" si="160">+AI121</f>
        <v>-2.5974025974025983E-2</v>
      </c>
      <c r="AJ57" s="241">
        <f t="shared" si="160"/>
        <v>-4.166666666666663E-2</v>
      </c>
      <c r="AK57" s="241">
        <f t="shared" si="160"/>
        <v>3.9473684210526327E-2</v>
      </c>
      <c r="AL57" s="285">
        <f t="shared" si="160"/>
        <v>7.3529411764705843E-2</v>
      </c>
      <c r="AM57" s="25">
        <f t="shared" si="160"/>
        <v>1.0238907849829282E-2</v>
      </c>
      <c r="AN57" s="284">
        <f t="shared" ref="AN57:AR57" si="161">+AN121</f>
        <v>0</v>
      </c>
      <c r="AO57" s="241">
        <f t="shared" si="161"/>
        <v>-5.7971014492753659E-2</v>
      </c>
      <c r="AP57" s="241">
        <f t="shared" si="161"/>
        <v>3.7974683544303778E-2</v>
      </c>
      <c r="AQ57" s="285">
        <f t="shared" si="161"/>
        <v>-2.7397260273972601E-2</v>
      </c>
      <c r="AR57" s="25">
        <f t="shared" si="161"/>
        <v>-1.0135135135135087E-2</v>
      </c>
      <c r="AS57" s="284">
        <f t="shared" ref="AS57:AT57" si="162">+AS121</f>
        <v>-4.0000000000000036E-2</v>
      </c>
      <c r="AT57" s="241">
        <f t="shared" si="162"/>
        <v>0.10769230769230775</v>
      </c>
      <c r="AU57" s="241">
        <f t="shared" ref="AU57:AW57" si="163">+AU121</f>
        <v>-2.4390243902439046E-2</v>
      </c>
      <c r="AV57" s="285">
        <f t="shared" si="163"/>
        <v>1.4084507042253502E-2</v>
      </c>
      <c r="AW57" s="25">
        <f t="shared" si="163"/>
        <v>1.0238907849829282E-2</v>
      </c>
      <c r="AX57" s="284">
        <f t="shared" si="144"/>
        <v>0.02</v>
      </c>
      <c r="AY57" s="241">
        <f t="shared" si="144"/>
        <v>0.02</v>
      </c>
      <c r="AZ57" s="241">
        <f t="shared" si="144"/>
        <v>0.02</v>
      </c>
      <c r="BA57" s="285">
        <f t="shared" si="144"/>
        <v>0.02</v>
      </c>
      <c r="BB57" s="612">
        <v>0.02</v>
      </c>
      <c r="BC57" s="284">
        <f t="shared" si="145"/>
        <v>0.02</v>
      </c>
      <c r="BD57" s="241">
        <f t="shared" si="146"/>
        <v>0.02</v>
      </c>
      <c r="BE57" s="241">
        <f t="shared" si="147"/>
        <v>0.02</v>
      </c>
      <c r="BF57" s="285">
        <f t="shared" si="148"/>
        <v>0.02</v>
      </c>
      <c r="BG57" s="612">
        <f>+BB57</f>
        <v>0.02</v>
      </c>
      <c r="BH57" s="284">
        <f t="shared" si="149"/>
        <v>0.02</v>
      </c>
      <c r="BI57" s="241">
        <f t="shared" si="150"/>
        <v>0.02</v>
      </c>
      <c r="BJ57" s="241">
        <f t="shared" si="151"/>
        <v>0.02</v>
      </c>
      <c r="BK57" s="285">
        <f t="shared" si="152"/>
        <v>0.02</v>
      </c>
      <c r="BL57" s="612">
        <f>+BG57</f>
        <v>0.02</v>
      </c>
      <c r="BM57" s="284">
        <f t="shared" si="153"/>
        <v>0.02</v>
      </c>
      <c r="BN57" s="241">
        <f t="shared" si="154"/>
        <v>0.02</v>
      </c>
      <c r="BO57" s="241">
        <f t="shared" si="155"/>
        <v>0.02</v>
      </c>
      <c r="BP57" s="285">
        <f t="shared" si="156"/>
        <v>0.02</v>
      </c>
      <c r="BQ57" s="2027">
        <f>+BL57</f>
        <v>0.02</v>
      </c>
      <c r="BR57" s="567"/>
      <c r="BS57" s="1"/>
      <c r="BT57" s="1"/>
      <c r="BU57" s="1"/>
      <c r="BV57" s="1"/>
      <c r="BW57" s="1"/>
      <c r="BX57" s="1"/>
      <c r="BY57" s="1"/>
      <c r="BZ57" s="1"/>
      <c r="CA57" s="1"/>
      <c r="CB57" s="1"/>
      <c r="CC57" s="5"/>
      <c r="CD57" s="5"/>
      <c r="CE57" s="1"/>
      <c r="CF57" s="1"/>
      <c r="CG57" s="1"/>
      <c r="CH57" s="1"/>
      <c r="CI57" s="1"/>
      <c r="CJ57" s="1"/>
      <c r="CK57" s="1"/>
      <c r="CL57" s="1"/>
      <c r="CM57" s="1"/>
      <c r="CN57" s="1"/>
      <c r="CO57" s="1"/>
      <c r="CP57" s="1"/>
      <c r="CQ57" s="1"/>
      <c r="CR57" s="1"/>
      <c r="CS57" s="1"/>
      <c r="CT57" s="1"/>
      <c r="CU57" s="1"/>
    </row>
    <row r="58" spans="1:99" ht="12.75" customHeight="1">
      <c r="A58" s="1"/>
      <c r="B58" s="1"/>
      <c r="C58" s="618"/>
      <c r="D58" s="1"/>
      <c r="E58" s="600"/>
      <c r="F58" s="251"/>
      <c r="G58" s="251"/>
      <c r="H58" s="601"/>
      <c r="I58" s="26"/>
      <c r="J58" s="600"/>
      <c r="K58" s="251"/>
      <c r="L58" s="251"/>
      <c r="M58" s="601"/>
      <c r="N58" s="26"/>
      <c r="O58" s="600"/>
      <c r="P58" s="251"/>
      <c r="Q58" s="251"/>
      <c r="R58" s="601"/>
      <c r="S58" s="26"/>
      <c r="T58" s="600"/>
      <c r="U58" s="251"/>
      <c r="V58" s="251"/>
      <c r="W58" s="601"/>
      <c r="X58" s="26"/>
      <c r="Y58" s="600"/>
      <c r="Z58" s="251"/>
      <c r="AA58" s="251"/>
      <c r="AB58" s="601"/>
      <c r="AC58" s="26"/>
      <c r="AD58" s="600"/>
      <c r="AE58" s="251"/>
      <c r="AF58" s="251"/>
      <c r="AG58" s="601"/>
      <c r="AH58" s="26"/>
      <c r="AI58" s="600"/>
      <c r="AJ58" s="251"/>
      <c r="AK58" s="251"/>
      <c r="AL58" s="601"/>
      <c r="AM58" s="26"/>
      <c r="AN58" s="600"/>
      <c r="AO58" s="251"/>
      <c r="AP58" s="251"/>
      <c r="AQ58" s="601"/>
      <c r="AR58" s="26"/>
      <c r="AS58" s="600"/>
      <c r="AT58" s="251"/>
      <c r="AU58" s="251"/>
      <c r="AV58" s="601"/>
      <c r="AW58" s="26"/>
      <c r="AX58" s="600"/>
      <c r="AY58" s="251"/>
      <c r="AZ58" s="251"/>
      <c r="BA58" s="601"/>
      <c r="BB58" s="26"/>
      <c r="BC58" s="600"/>
      <c r="BD58" s="251"/>
      <c r="BE58" s="251"/>
      <c r="BF58" s="601"/>
      <c r="BG58" s="26"/>
      <c r="BH58" s="600"/>
      <c r="BI58" s="251"/>
      <c r="BJ58" s="251"/>
      <c r="BK58" s="601"/>
      <c r="BL58" s="26"/>
      <c r="BM58" s="600"/>
      <c r="BN58" s="251"/>
      <c r="BO58" s="251"/>
      <c r="BP58" s="601"/>
      <c r="BQ58" s="2277"/>
      <c r="BR58" s="567"/>
      <c r="BS58" s="1"/>
      <c r="BT58" s="1"/>
      <c r="BU58" s="1"/>
      <c r="BV58" s="1"/>
      <c r="BW58" s="1"/>
      <c r="BX58" s="1"/>
      <c r="BY58" s="1"/>
      <c r="BZ58" s="1"/>
      <c r="CA58" s="1"/>
      <c r="CB58" s="1"/>
      <c r="CC58" s="5"/>
      <c r="CD58" s="5"/>
      <c r="CE58" s="1"/>
      <c r="CF58" s="1"/>
      <c r="CG58" s="1"/>
      <c r="CH58" s="1"/>
      <c r="CI58" s="1"/>
      <c r="CJ58" s="1"/>
      <c r="CK58" s="1"/>
      <c r="CL58" s="1"/>
      <c r="CM58" s="1"/>
      <c r="CN58" s="1"/>
      <c r="CO58" s="1"/>
      <c r="CP58" s="1"/>
      <c r="CQ58" s="1"/>
      <c r="CR58" s="1"/>
      <c r="CS58" s="1"/>
      <c r="CT58" s="1"/>
      <c r="CU58" s="1"/>
    </row>
    <row r="59" spans="1:99" ht="12.75" customHeight="1">
      <c r="A59" s="1"/>
      <c r="B59" s="1"/>
      <c r="C59" s="565" t="s">
        <v>229</v>
      </c>
      <c r="D59" s="1"/>
      <c r="E59" s="284">
        <f t="shared" ref="E59:S59" si="164">E30/(E28-E19)</f>
        <v>0.26666666666666666</v>
      </c>
      <c r="F59" s="241">
        <f t="shared" si="164"/>
        <v>0.38881491344873503</v>
      </c>
      <c r="G59" s="241">
        <f t="shared" si="164"/>
        <v>0.55583126550868489</v>
      </c>
      <c r="H59" s="285">
        <f t="shared" si="164"/>
        <v>0.37881219903691815</v>
      </c>
      <c r="I59" s="25">
        <f t="shared" si="164"/>
        <v>0.38294314381270905</v>
      </c>
      <c r="J59" s="284">
        <f t="shared" si="164"/>
        <v>0.44868735083532219</v>
      </c>
      <c r="K59" s="241">
        <f t="shared" si="164"/>
        <v>0.93436293436293438</v>
      </c>
      <c r="L59" s="241">
        <f t="shared" si="164"/>
        <v>0.39500000000000002</v>
      </c>
      <c r="M59" s="285">
        <f t="shared" si="164"/>
        <v>0.41721854304635764</v>
      </c>
      <c r="N59" s="25">
        <f t="shared" si="164"/>
        <v>0.5173913043478261</v>
      </c>
      <c r="O59" s="284">
        <f t="shared" si="164"/>
        <v>0.42372881355932202</v>
      </c>
      <c r="P59" s="241">
        <f t="shared" si="164"/>
        <v>0.3411764705882353</v>
      </c>
      <c r="Q59" s="241">
        <f t="shared" si="164"/>
        <v>0.35672514619883039</v>
      </c>
      <c r="R59" s="285">
        <f t="shared" si="164"/>
        <v>0.40703517587939697</v>
      </c>
      <c r="S59" s="25">
        <f t="shared" si="164"/>
        <v>0.37993920972644379</v>
      </c>
      <c r="T59" s="284">
        <f t="shared" ref="T59:Z59" si="165">T30/(T28-T19)</f>
        <v>0.41496598639455784</v>
      </c>
      <c r="U59" s="241">
        <f t="shared" si="165"/>
        <v>0.40845070422535212</v>
      </c>
      <c r="V59" s="241">
        <f t="shared" si="165"/>
        <v>0.39864864864864863</v>
      </c>
      <c r="W59" s="285">
        <f t="shared" si="165"/>
        <v>0.36585365853658536</v>
      </c>
      <c r="X59" s="25">
        <f t="shared" si="165"/>
        <v>0.39052287581699346</v>
      </c>
      <c r="Y59" s="284">
        <f t="shared" si="165"/>
        <v>0.40845070422535212</v>
      </c>
      <c r="Z59" s="241">
        <f t="shared" si="165"/>
        <v>0.41509433962264153</v>
      </c>
      <c r="AA59" s="241">
        <f t="shared" ref="AA59:AH59" si="166">AA30/(AA28-AA19)</f>
        <v>0.40669856459330145</v>
      </c>
      <c r="AB59" s="285">
        <f t="shared" si="166"/>
        <v>0.3597560975609756</v>
      </c>
      <c r="AC59" s="25">
        <f t="shared" si="166"/>
        <v>0.38974358974358975</v>
      </c>
      <c r="AD59" s="284">
        <f t="shared" si="166"/>
        <v>0.40625</v>
      </c>
      <c r="AE59" s="241">
        <f t="shared" si="166"/>
        <v>0.39344262295081966</v>
      </c>
      <c r="AF59" s="241">
        <f t="shared" si="166"/>
        <v>0.4</v>
      </c>
      <c r="AG59" s="285">
        <f t="shared" si="166"/>
        <v>0.39166666666666666</v>
      </c>
      <c r="AH59" s="25">
        <f t="shared" si="166"/>
        <v>0.39821693907875183</v>
      </c>
      <c r="AI59" s="284">
        <f t="shared" ref="AI59:AM59" si="167">AI30/(AI28-AI19)</f>
        <v>0.39597315436241609</v>
      </c>
      <c r="AJ59" s="241">
        <f t="shared" si="167"/>
        <v>0.40963855421686746</v>
      </c>
      <c r="AK59" s="241">
        <f t="shared" si="167"/>
        <v>0.40080971659919029</v>
      </c>
      <c r="AL59" s="285">
        <f t="shared" si="167"/>
        <v>0.38848920863309355</v>
      </c>
      <c r="AM59" s="25">
        <f t="shared" si="167"/>
        <v>0.39942938659058486</v>
      </c>
      <c r="AN59" s="284">
        <f t="shared" ref="AN59:AR59" si="168">AN30/(AN28-AN19)</f>
        <v>0.40526315789473683</v>
      </c>
      <c r="AO59" s="241">
        <f t="shared" si="168"/>
        <v>0.38723404255319149</v>
      </c>
      <c r="AP59" s="241">
        <f t="shared" si="168"/>
        <v>0.7009345794392523</v>
      </c>
      <c r="AQ59" s="285">
        <f t="shared" si="168"/>
        <v>0.43609022556390975</v>
      </c>
      <c r="AR59" s="25">
        <f t="shared" si="168"/>
        <v>0.45263157894736844</v>
      </c>
      <c r="AS59" s="284">
        <f t="shared" ref="AS59:AT59" si="169">AS30/(AS28-AS19)</f>
        <v>0.39826839826839827</v>
      </c>
      <c r="AT59" s="241">
        <f t="shared" si="169"/>
        <v>0.47272727272727272</v>
      </c>
      <c r="AU59" s="241">
        <f t="shared" ref="AU59:AW59" si="170">AU30/(AU28-AU19)</f>
        <v>0.41194968553459121</v>
      </c>
      <c r="AV59" s="285">
        <f t="shared" si="170"/>
        <v>0.44334975369458129</v>
      </c>
      <c r="AW59" s="25">
        <f t="shared" si="170"/>
        <v>0.42901234567901236</v>
      </c>
      <c r="AX59" s="284">
        <f>+AY59</f>
        <v>0.21</v>
      </c>
      <c r="AY59" s="241">
        <f>+AZ59</f>
        <v>0.21</v>
      </c>
      <c r="AZ59" s="241">
        <f>+BA59</f>
        <v>0.21</v>
      </c>
      <c r="BA59" s="285">
        <f>+BB59</f>
        <v>0.21</v>
      </c>
      <c r="BB59" s="612">
        <v>0.21</v>
      </c>
      <c r="BC59" s="284">
        <f>+BD59</f>
        <v>0.21</v>
      </c>
      <c r="BD59" s="241">
        <f>+BE59</f>
        <v>0.21</v>
      </c>
      <c r="BE59" s="241">
        <f>+BF59</f>
        <v>0.21</v>
      </c>
      <c r="BF59" s="285">
        <f>+BG59</f>
        <v>0.21</v>
      </c>
      <c r="BG59" s="2027">
        <v>0.21</v>
      </c>
      <c r="BH59" s="2028">
        <f>+BI59</f>
        <v>0.21</v>
      </c>
      <c r="BI59" s="2029">
        <f>+BJ59</f>
        <v>0.21</v>
      </c>
      <c r="BJ59" s="2029">
        <f>+BK59</f>
        <v>0.21</v>
      </c>
      <c r="BK59" s="2030">
        <f>+BL59</f>
        <v>0.21</v>
      </c>
      <c r="BL59" s="2027">
        <v>0.21</v>
      </c>
      <c r="BM59" s="2028">
        <f>+BN59</f>
        <v>0.21</v>
      </c>
      <c r="BN59" s="2029">
        <f>+BO59</f>
        <v>0.21</v>
      </c>
      <c r="BO59" s="2029">
        <f>+BP59</f>
        <v>0.21</v>
      </c>
      <c r="BP59" s="2030">
        <f>+BQ59</f>
        <v>0.21</v>
      </c>
      <c r="BQ59" s="2027">
        <v>0.21</v>
      </c>
      <c r="BR59" s="567"/>
      <c r="BS59" s="1"/>
      <c r="BT59" s="1"/>
      <c r="BU59" s="1"/>
      <c r="BV59" s="1"/>
      <c r="BW59" s="1"/>
      <c r="BX59" s="1"/>
      <c r="BY59" s="1"/>
      <c r="BZ59" s="1"/>
      <c r="CA59" s="1"/>
      <c r="CB59" s="1"/>
      <c r="CC59" s="5"/>
      <c r="CD59" s="5"/>
      <c r="CE59" s="1"/>
      <c r="CF59" s="1"/>
      <c r="CG59" s="1"/>
      <c r="CH59" s="1"/>
      <c r="CI59" s="1"/>
      <c r="CJ59" s="1"/>
      <c r="CK59" s="1"/>
      <c r="CL59" s="1"/>
      <c r="CM59" s="1"/>
      <c r="CN59" s="1"/>
      <c r="CO59" s="1"/>
      <c r="CP59" s="1"/>
      <c r="CQ59" s="1"/>
      <c r="CR59" s="1"/>
      <c r="CS59" s="1"/>
      <c r="CT59" s="1"/>
      <c r="CU59" s="1"/>
    </row>
    <row r="60" spans="1:99" ht="12.75" customHeight="1">
      <c r="A60" s="1"/>
      <c r="B60" s="1"/>
      <c r="C60" s="565" t="s">
        <v>230</v>
      </c>
      <c r="D60" s="1"/>
      <c r="E60" s="284">
        <f t="shared" ref="E60:S60" si="171">E30/E28</f>
        <v>0.26451612903225807</v>
      </c>
      <c r="F60" s="241">
        <f t="shared" si="171"/>
        <v>0.38624338624338622</v>
      </c>
      <c r="G60" s="241">
        <f t="shared" si="171"/>
        <v>0.5490196078431373</v>
      </c>
      <c r="H60" s="285">
        <f t="shared" si="171"/>
        <v>0.37579617834394907</v>
      </c>
      <c r="I60" s="25">
        <f t="shared" si="171"/>
        <v>0.37976782752902155</v>
      </c>
      <c r="J60" s="284">
        <f t="shared" si="171"/>
        <v>0.44761904761904764</v>
      </c>
      <c r="K60" s="241">
        <f t="shared" si="171"/>
        <v>0.93076923076923079</v>
      </c>
      <c r="L60" s="241">
        <f t="shared" si="171"/>
        <v>0.39500000000000002</v>
      </c>
      <c r="M60" s="285">
        <f t="shared" si="171"/>
        <v>0.40909090909090912</v>
      </c>
      <c r="N60" s="25">
        <f t="shared" si="171"/>
        <v>0.51440922190201732</v>
      </c>
      <c r="O60" s="284">
        <f t="shared" si="171"/>
        <v>0.42016806722689076</v>
      </c>
      <c r="P60" s="241">
        <f t="shared" si="171"/>
        <v>0.33720930232558138</v>
      </c>
      <c r="Q60" s="241">
        <f t="shared" si="171"/>
        <v>0.35260115606936415</v>
      </c>
      <c r="R60" s="285">
        <f t="shared" si="171"/>
        <v>0.40099009900990101</v>
      </c>
      <c r="S60" s="25">
        <f t="shared" si="171"/>
        <v>0.37537537537537535</v>
      </c>
      <c r="T60" s="284">
        <f t="shared" ref="T60:Z60" si="172">T30/T28</f>
        <v>0.41216216216216217</v>
      </c>
      <c r="U60" s="241">
        <f t="shared" si="172"/>
        <v>0.40845070422535212</v>
      </c>
      <c r="V60" s="241">
        <f t="shared" si="172"/>
        <v>0.39597315436241609</v>
      </c>
      <c r="W60" s="285">
        <f t="shared" si="172"/>
        <v>0.36</v>
      </c>
      <c r="X60" s="25">
        <f t="shared" si="172"/>
        <v>0.38673139158576053</v>
      </c>
      <c r="Y60" s="284">
        <f t="shared" si="172"/>
        <v>0.41726618705035973</v>
      </c>
      <c r="Z60" s="241">
        <f t="shared" si="172"/>
        <v>0.40740740740740738</v>
      </c>
      <c r="AA60" s="241">
        <f t="shared" ref="AA60:AH60" si="173">AA30/AA28</f>
        <v>0.40284360189573459</v>
      </c>
      <c r="AB60" s="285">
        <f t="shared" si="173"/>
        <v>0.3532934131736527</v>
      </c>
      <c r="AC60" s="25">
        <f t="shared" si="173"/>
        <v>0.37905236907730672</v>
      </c>
      <c r="AD60" s="284">
        <f t="shared" si="173"/>
        <v>0.3987730061349693</v>
      </c>
      <c r="AE60" s="241">
        <f t="shared" si="173"/>
        <v>0.39344262295081966</v>
      </c>
      <c r="AF60" s="241">
        <f t="shared" si="173"/>
        <v>0.4</v>
      </c>
      <c r="AG60" s="285">
        <f t="shared" si="173"/>
        <v>0.39166666666666666</v>
      </c>
      <c r="AH60" s="25">
        <f t="shared" si="173"/>
        <v>0.39644970414201186</v>
      </c>
      <c r="AI60" s="284">
        <f t="shared" ref="AI60:AM60" si="174">AI30/AI28</f>
        <v>0.39597315436241609</v>
      </c>
      <c r="AJ60" s="241">
        <f t="shared" si="174"/>
        <v>0.40718562874251496</v>
      </c>
      <c r="AK60" s="241">
        <f t="shared" si="174"/>
        <v>0.39919354838709675</v>
      </c>
      <c r="AL60" s="285">
        <f t="shared" si="174"/>
        <v>0.38028169014084506</v>
      </c>
      <c r="AM60" s="25">
        <f t="shared" si="174"/>
        <v>0.39660056657223797</v>
      </c>
      <c r="AN60" s="284">
        <f t="shared" ref="AN60:AR60" si="175">AN30/AN28</f>
        <v>0.40104166666666669</v>
      </c>
      <c r="AO60" s="241">
        <f t="shared" si="175"/>
        <v>0.38559322033898308</v>
      </c>
      <c r="AP60" s="241">
        <f t="shared" si="175"/>
        <v>0.6696428571428571</v>
      </c>
      <c r="AQ60" s="285">
        <f t="shared" si="175"/>
        <v>0.41726618705035973</v>
      </c>
      <c r="AR60" s="25">
        <f t="shared" si="175"/>
        <v>0.44329896907216493</v>
      </c>
      <c r="AS60" s="284">
        <f t="shared" ref="AS60:AT60" si="176">AS30/AS28</f>
        <v>0.39484978540772531</v>
      </c>
      <c r="AT60" s="241">
        <f t="shared" si="176"/>
        <v>0.46846846846846846</v>
      </c>
      <c r="AU60" s="241">
        <f t="shared" ref="AU60:AW60" si="177">AU30/AU28</f>
        <v>0.40937499999999999</v>
      </c>
      <c r="AV60" s="285">
        <f t="shared" si="177"/>
        <v>0.43062200956937802</v>
      </c>
      <c r="AW60" s="25">
        <f t="shared" si="177"/>
        <v>0.42378048780487804</v>
      </c>
      <c r="AX60" s="284">
        <f t="shared" ref="AX60:BB60" si="178">AX30/AX28</f>
        <v>0.20422686340962165</v>
      </c>
      <c r="AY60" s="241">
        <f t="shared" ca="1" si="178"/>
        <v>0.20426094909413517</v>
      </c>
      <c r="AZ60" s="241">
        <f t="shared" ca="1" si="178"/>
        <v>0.20536983561504066</v>
      </c>
      <c r="BA60" s="285">
        <f t="shared" ca="1" si="178"/>
        <v>0.20243990421708619</v>
      </c>
      <c r="BB60" s="25">
        <f t="shared" ca="1" si="178"/>
        <v>0.20425047307834576</v>
      </c>
      <c r="BC60" s="284">
        <f t="shared" ref="BC60:BL60" ca="1" si="179">BC30/BC28</f>
        <v>0.20534527977267522</v>
      </c>
      <c r="BD60" s="241">
        <f t="shared" ca="1" si="179"/>
        <v>0.20524182351279918</v>
      </c>
      <c r="BE60" s="241">
        <f t="shared" ca="1" si="179"/>
        <v>0.20627120820481876</v>
      </c>
      <c r="BF60" s="285">
        <f t="shared" ca="1" si="179"/>
        <v>0.20405692578818885</v>
      </c>
      <c r="BG60" s="25">
        <f t="shared" ca="1" si="179"/>
        <v>0.2053566482836395</v>
      </c>
      <c r="BH60" s="284">
        <f t="shared" ca="1" si="179"/>
        <v>0.20532292313311534</v>
      </c>
      <c r="BI60" s="241">
        <f t="shared" ca="1" si="179"/>
        <v>0.20524874112994049</v>
      </c>
      <c r="BJ60" s="241">
        <f t="shared" ca="1" si="179"/>
        <v>0.20613292698094274</v>
      </c>
      <c r="BK60" s="285">
        <f t="shared" ca="1" si="179"/>
        <v>0.20407369565970174</v>
      </c>
      <c r="BL60" s="25">
        <f t="shared" ca="1" si="179"/>
        <v>0.2053030255042485</v>
      </c>
      <c r="BM60" s="284">
        <f t="shared" ref="BM60:BQ60" ca="1" si="180">BM30/BM28</f>
        <v>0.20557203673326238</v>
      </c>
      <c r="BN60" s="241">
        <f t="shared" ca="1" si="180"/>
        <v>0.20550809903528089</v>
      </c>
      <c r="BO60" s="241">
        <f t="shared" ca="1" si="180"/>
        <v>0.2062896073704894</v>
      </c>
      <c r="BP60" s="285">
        <f t="shared" ca="1" si="180"/>
        <v>0.20449831357182854</v>
      </c>
      <c r="BQ60" s="25">
        <f t="shared" ca="1" si="180"/>
        <v>0.20555425179771164</v>
      </c>
      <c r="BR60" s="567"/>
      <c r="BS60" s="1"/>
      <c r="BT60" s="1"/>
      <c r="BU60" s="1"/>
      <c r="BV60" s="1"/>
      <c r="BW60" s="1"/>
      <c r="BX60" s="1"/>
      <c r="BY60" s="1"/>
      <c r="BZ60" s="1"/>
      <c r="CA60" s="1"/>
      <c r="CB60" s="1"/>
      <c r="CC60" s="5"/>
      <c r="CD60" s="5"/>
      <c r="CE60" s="1"/>
      <c r="CF60" s="1"/>
      <c r="CG60" s="1"/>
      <c r="CH60" s="1"/>
      <c r="CI60" s="1"/>
      <c r="CJ60" s="1"/>
      <c r="CK60" s="1"/>
      <c r="CL60" s="1"/>
      <c r="CM60" s="1"/>
      <c r="CN60" s="1"/>
      <c r="CO60" s="1"/>
      <c r="CP60" s="1"/>
      <c r="CQ60" s="1"/>
      <c r="CR60" s="1"/>
      <c r="CS60" s="1"/>
      <c r="CT60" s="1"/>
      <c r="CU60" s="1"/>
    </row>
    <row r="61" spans="1:99" ht="12.75" customHeight="1">
      <c r="A61" s="1"/>
      <c r="B61" s="1"/>
      <c r="C61" s="618"/>
      <c r="D61" s="1"/>
      <c r="E61" s="600"/>
      <c r="F61" s="251"/>
      <c r="G61" s="251"/>
      <c r="H61" s="601"/>
      <c r="I61" s="26"/>
      <c r="J61" s="600"/>
      <c r="K61" s="251"/>
      <c r="L61" s="251"/>
      <c r="M61" s="601"/>
      <c r="N61" s="26"/>
      <c r="O61" s="600"/>
      <c r="P61" s="251"/>
      <c r="Q61" s="251"/>
      <c r="R61" s="601"/>
      <c r="S61" s="26"/>
      <c r="T61" s="600"/>
      <c r="U61" s="251"/>
      <c r="V61" s="251"/>
      <c r="W61" s="601"/>
      <c r="X61" s="26"/>
      <c r="Y61" s="600"/>
      <c r="Z61" s="251"/>
      <c r="AA61" s="251"/>
      <c r="AB61" s="601"/>
      <c r="AC61" s="26"/>
      <c r="AD61" s="600"/>
      <c r="AE61" s="251"/>
      <c r="AF61" s="251"/>
      <c r="AG61" s="601"/>
      <c r="AH61" s="26"/>
      <c r="AI61" s="600"/>
      <c r="AJ61" s="251"/>
      <c r="AK61" s="251"/>
      <c r="AL61" s="601"/>
      <c r="AM61" s="26"/>
      <c r="AN61" s="600"/>
      <c r="AO61" s="251"/>
      <c r="AP61" s="251"/>
      <c r="AQ61" s="601"/>
      <c r="AR61" s="26"/>
      <c r="AS61" s="600"/>
      <c r="AT61" s="251"/>
      <c r="AU61" s="251"/>
      <c r="AV61" s="601"/>
      <c r="AW61" s="26"/>
      <c r="AX61" s="600"/>
      <c r="AY61" s="251"/>
      <c r="AZ61" s="251"/>
      <c r="BA61" s="601"/>
      <c r="BB61" s="26"/>
      <c r="BC61" s="600"/>
      <c r="BD61" s="251"/>
      <c r="BE61" s="251"/>
      <c r="BF61" s="601"/>
      <c r="BG61" s="26"/>
      <c r="BH61" s="600"/>
      <c r="BI61" s="251"/>
      <c r="BJ61" s="251"/>
      <c r="BK61" s="601"/>
      <c r="BL61" s="26"/>
      <c r="BM61" s="600"/>
      <c r="BN61" s="251"/>
      <c r="BO61" s="251"/>
      <c r="BP61" s="601"/>
      <c r="BQ61" s="26"/>
      <c r="BR61" s="567"/>
      <c r="BS61" s="1"/>
      <c r="BT61" s="1"/>
      <c r="BU61" s="1"/>
      <c r="BV61" s="1"/>
      <c r="BW61" s="1"/>
      <c r="BX61" s="1"/>
      <c r="BY61" s="1"/>
      <c r="BZ61" s="1"/>
      <c r="CA61" s="1"/>
      <c r="CB61" s="1"/>
      <c r="CC61" s="5"/>
      <c r="CD61" s="5"/>
      <c r="CE61" s="1"/>
      <c r="CF61" s="1"/>
      <c r="CG61" s="1"/>
      <c r="CH61" s="1"/>
      <c r="CI61" s="1"/>
      <c r="CJ61" s="1"/>
      <c r="CK61" s="1"/>
      <c r="CL61" s="1"/>
      <c r="CM61" s="1"/>
      <c r="CN61" s="1"/>
      <c r="CO61" s="1"/>
      <c r="CP61" s="1"/>
      <c r="CQ61" s="1"/>
      <c r="CR61" s="1"/>
      <c r="CS61" s="1"/>
      <c r="CT61" s="1"/>
      <c r="CU61" s="1"/>
    </row>
    <row r="62" spans="1:99" ht="12.75" customHeight="1">
      <c r="A62" s="1"/>
      <c r="B62" s="1"/>
      <c r="C62" s="618" t="s">
        <v>621</v>
      </c>
      <c r="D62" s="1"/>
      <c r="E62" s="600"/>
      <c r="F62" s="251"/>
      <c r="G62" s="251"/>
      <c r="H62" s="601"/>
      <c r="I62" s="25">
        <f t="shared" ref="I62:S62" si="181">+I243</f>
        <v>0.1075</v>
      </c>
      <c r="J62" s="284">
        <f t="shared" si="181"/>
        <v>0</v>
      </c>
      <c r="K62" s="241">
        <f t="shared" si="181"/>
        <v>0</v>
      </c>
      <c r="L62" s="241">
        <f t="shared" si="181"/>
        <v>0</v>
      </c>
      <c r="M62" s="285">
        <f t="shared" si="181"/>
        <v>0</v>
      </c>
      <c r="N62" s="25">
        <f t="shared" si="181"/>
        <v>0.1075</v>
      </c>
      <c r="O62" s="284">
        <f t="shared" si="181"/>
        <v>0.104125</v>
      </c>
      <c r="P62" s="241">
        <f t="shared" si="181"/>
        <v>0.104125</v>
      </c>
      <c r="Q62" s="241">
        <f t="shared" si="181"/>
        <v>0.104125</v>
      </c>
      <c r="R62" s="285">
        <f t="shared" si="181"/>
        <v>0.104125</v>
      </c>
      <c r="S62" s="25">
        <f t="shared" si="181"/>
        <v>0.104125</v>
      </c>
      <c r="T62" s="284">
        <f t="shared" ref="T62:Z62" si="182">+T243</f>
        <v>9.6250000000000002E-2</v>
      </c>
      <c r="U62" s="241">
        <f t="shared" si="182"/>
        <v>9.6250000000000002E-2</v>
      </c>
      <c r="V62" s="241">
        <f t="shared" si="182"/>
        <v>9.6250000000000002E-2</v>
      </c>
      <c r="W62" s="285">
        <f t="shared" si="182"/>
        <v>9.6250000000000002E-2</v>
      </c>
      <c r="X62" s="25">
        <f t="shared" si="182"/>
        <v>9.6250000000000002E-2</v>
      </c>
      <c r="Y62" s="284">
        <f t="shared" si="182"/>
        <v>9.6250000000000002E-2</v>
      </c>
      <c r="Z62" s="241">
        <f t="shared" si="182"/>
        <v>9.6250000000000002E-2</v>
      </c>
      <c r="AA62" s="241">
        <f t="shared" ref="AA62:AH62" si="183">+AA243</f>
        <v>9.6250000000000002E-2</v>
      </c>
      <c r="AB62" s="285">
        <f t="shared" si="183"/>
        <v>9.6250000000000002E-2</v>
      </c>
      <c r="AC62" s="25">
        <f t="shared" si="183"/>
        <v>9.6250000000000002E-2</v>
      </c>
      <c r="AD62" s="284">
        <f t="shared" si="183"/>
        <v>9.6250000000000002E-2</v>
      </c>
      <c r="AE62" s="241">
        <f t="shared" si="183"/>
        <v>9.6250000000000002E-2</v>
      </c>
      <c r="AF62" s="241">
        <f t="shared" si="183"/>
        <v>9.6250000000000002E-2</v>
      </c>
      <c r="AG62" s="285">
        <f t="shared" si="183"/>
        <v>9.6250000000000002E-2</v>
      </c>
      <c r="AH62" s="25">
        <f t="shared" si="183"/>
        <v>9.6250000000000002E-2</v>
      </c>
      <c r="AI62" s="284">
        <f t="shared" ref="AI62:AM62" si="184">+AI243</f>
        <v>9.7299999999999998E-2</v>
      </c>
      <c r="AJ62" s="241">
        <f t="shared" si="184"/>
        <v>9.7299999999999998E-2</v>
      </c>
      <c r="AK62" s="241">
        <f t="shared" si="184"/>
        <v>9.7299999999999998E-2</v>
      </c>
      <c r="AL62" s="285">
        <f t="shared" si="184"/>
        <v>9.7299999999999998E-2</v>
      </c>
      <c r="AM62" s="25">
        <f t="shared" si="184"/>
        <v>9.7299999999999998E-2</v>
      </c>
      <c r="AN62" s="284">
        <f t="shared" ref="AN62:AR62" si="185">+AN243</f>
        <v>9.3549999999999994E-2</v>
      </c>
      <c r="AO62" s="241">
        <f t="shared" si="185"/>
        <v>9.3549999999999994E-2</v>
      </c>
      <c r="AP62" s="241">
        <f t="shared" si="185"/>
        <v>9.3549999999999994E-2</v>
      </c>
      <c r="AQ62" s="285">
        <f t="shared" si="185"/>
        <v>9.3549999999999994E-2</v>
      </c>
      <c r="AR62" s="25">
        <f t="shared" si="185"/>
        <v>9.3549999999999994E-2</v>
      </c>
      <c r="AS62" s="284">
        <f t="shared" ref="AS62:AT62" si="186">+AS243</f>
        <v>9.2851428607755249E-2</v>
      </c>
      <c r="AT62" s="241">
        <f t="shared" si="186"/>
        <v>9.2851428607755249E-2</v>
      </c>
      <c r="AU62" s="241">
        <f t="shared" ref="AU62:AW62" si="187">+AU243</f>
        <v>9.2851428607755249E-2</v>
      </c>
      <c r="AV62" s="285">
        <f t="shared" si="187"/>
        <v>9.2851428607755249E-2</v>
      </c>
      <c r="AW62" s="25">
        <f t="shared" si="187"/>
        <v>9.2851428607755249E-2</v>
      </c>
      <c r="AX62" s="284">
        <f t="shared" ref="AX62:BB62" si="188">+AX243</f>
        <v>9.4719718643304612E-2</v>
      </c>
      <c r="AY62" s="241">
        <f t="shared" si="188"/>
        <v>9.4719718643304612E-2</v>
      </c>
      <c r="AZ62" s="241">
        <f t="shared" si="188"/>
        <v>9.4719718643304612E-2</v>
      </c>
      <c r="BA62" s="285">
        <f t="shared" si="188"/>
        <v>9.4719718643304612E-2</v>
      </c>
      <c r="BB62" s="25">
        <f t="shared" si="188"/>
        <v>9.4719718643304612E-2</v>
      </c>
      <c r="BC62" s="284">
        <f t="shared" ref="BC62:BL62" si="189">+BC243</f>
        <v>9.5076999999999995E-2</v>
      </c>
      <c r="BD62" s="241">
        <f t="shared" si="189"/>
        <v>9.5076999999999995E-2</v>
      </c>
      <c r="BE62" s="241">
        <f t="shared" si="189"/>
        <v>9.5076999999999995E-2</v>
      </c>
      <c r="BF62" s="285">
        <f t="shared" si="189"/>
        <v>9.5076999999999995E-2</v>
      </c>
      <c r="BG62" s="25">
        <f t="shared" si="189"/>
        <v>9.5076999999999995E-2</v>
      </c>
      <c r="BH62" s="284">
        <f t="shared" si="189"/>
        <v>9.5285499999999995E-2</v>
      </c>
      <c r="BI62" s="241">
        <f t="shared" si="189"/>
        <v>9.5285499999999995E-2</v>
      </c>
      <c r="BJ62" s="241">
        <f t="shared" si="189"/>
        <v>9.5285499999999995E-2</v>
      </c>
      <c r="BK62" s="285">
        <f t="shared" si="189"/>
        <v>9.5285499999999995E-2</v>
      </c>
      <c r="BL62" s="25">
        <f t="shared" si="189"/>
        <v>9.5285499999999995E-2</v>
      </c>
      <c r="BM62" s="284">
        <f t="shared" ref="BM62:BQ62" si="190">+BM243</f>
        <v>9.5439999999999997E-2</v>
      </c>
      <c r="BN62" s="241">
        <f t="shared" si="190"/>
        <v>9.5439999999999997E-2</v>
      </c>
      <c r="BO62" s="241">
        <f t="shared" si="190"/>
        <v>9.5439999999999997E-2</v>
      </c>
      <c r="BP62" s="285">
        <f t="shared" si="190"/>
        <v>9.5439999999999997E-2</v>
      </c>
      <c r="BQ62" s="25">
        <f t="shared" si="190"/>
        <v>9.5439999999999997E-2</v>
      </c>
      <c r="BR62" s="567"/>
      <c r="BS62" s="1"/>
      <c r="BT62" s="1"/>
      <c r="BU62" s="1"/>
      <c r="BV62" s="1"/>
      <c r="BW62" s="1"/>
      <c r="BX62" s="1"/>
      <c r="BY62" s="1"/>
      <c r="BZ62" s="1"/>
      <c r="CA62" s="1"/>
      <c r="CB62" s="1"/>
      <c r="CC62" s="5"/>
      <c r="CD62" s="5"/>
      <c r="CE62" s="1"/>
      <c r="CF62" s="1"/>
      <c r="CG62" s="1"/>
      <c r="CH62" s="1"/>
      <c r="CI62" s="1"/>
      <c r="CJ62" s="1"/>
      <c r="CK62" s="1"/>
      <c r="CL62" s="1"/>
      <c r="CM62" s="1"/>
      <c r="CN62" s="1"/>
      <c r="CO62" s="1"/>
      <c r="CP62" s="1"/>
      <c r="CQ62" s="1"/>
      <c r="CR62" s="1"/>
      <c r="CS62" s="1"/>
      <c r="CT62" s="1"/>
      <c r="CU62" s="1"/>
    </row>
    <row r="63" spans="1:99" ht="12.75" customHeight="1">
      <c r="A63" s="1"/>
      <c r="B63" s="1"/>
      <c r="C63" s="618" t="s">
        <v>127</v>
      </c>
      <c r="D63" s="1"/>
      <c r="E63" s="600"/>
      <c r="F63" s="251"/>
      <c r="G63" s="251"/>
      <c r="H63" s="601"/>
      <c r="I63" s="25">
        <f>+I244</f>
        <v>0.10165546554254834</v>
      </c>
      <c r="J63" s="284"/>
      <c r="K63" s="241"/>
      <c r="L63" s="241"/>
      <c r="M63" s="285"/>
      <c r="N63" s="25">
        <f>+N244</f>
        <v>0.13304849858206719</v>
      </c>
      <c r="O63" s="284"/>
      <c r="P63" s="241"/>
      <c r="Q63" s="241"/>
      <c r="R63" s="285"/>
      <c r="S63" s="25">
        <f>+S244</f>
        <v>0.12779152096015198</v>
      </c>
      <c r="T63" s="284"/>
      <c r="U63" s="241"/>
      <c r="V63" s="241"/>
      <c r="W63" s="285"/>
      <c r="X63" s="25">
        <f>+X244</f>
        <v>0.11435237209775877</v>
      </c>
      <c r="Y63" s="284"/>
      <c r="Z63" s="241"/>
      <c r="AA63" s="241"/>
      <c r="AB63" s="285"/>
      <c r="AC63" s="25">
        <f>+AC244</f>
        <v>0.11546564610377542</v>
      </c>
      <c r="AD63" s="284"/>
      <c r="AE63" s="241"/>
      <c r="AF63" s="241"/>
      <c r="AG63" s="285"/>
      <c r="AH63" s="25">
        <f>+AH244</f>
        <v>0.10195222944763249</v>
      </c>
      <c r="AI63" s="284"/>
      <c r="AJ63" s="241"/>
      <c r="AK63" s="241"/>
      <c r="AL63" s="285"/>
      <c r="AM63" s="25">
        <f>+AM244</f>
        <v>9.6767965599192263E-2</v>
      </c>
      <c r="AN63" s="284"/>
      <c r="AO63" s="241"/>
      <c r="AP63" s="241"/>
      <c r="AQ63" s="285"/>
      <c r="AR63" s="25">
        <f>+AR244</f>
        <v>0.10183593152375525</v>
      </c>
      <c r="AS63" s="284"/>
      <c r="AT63" s="241"/>
      <c r="AU63" s="241"/>
      <c r="AV63" s="285"/>
      <c r="AW63" s="25">
        <f>+AW244</f>
        <v>0.1025005471512537</v>
      </c>
      <c r="AX63" s="284"/>
      <c r="AY63" s="241"/>
      <c r="AZ63" s="241"/>
      <c r="BA63" s="285"/>
      <c r="BB63" s="25">
        <f ca="1">+BB244</f>
        <v>0.10408434133689416</v>
      </c>
      <c r="BC63" s="284"/>
      <c r="BD63" s="241"/>
      <c r="BE63" s="241"/>
      <c r="BF63" s="285"/>
      <c r="BG63" s="25">
        <f ca="1">+BG244</f>
        <v>9.5326667571640211E-2</v>
      </c>
      <c r="BH63" s="284"/>
      <c r="BI63" s="241"/>
      <c r="BJ63" s="241"/>
      <c r="BK63" s="285"/>
      <c r="BL63" s="25">
        <f ca="1">+BL244</f>
        <v>9.4824351171831148E-2</v>
      </c>
      <c r="BM63" s="284"/>
      <c r="BN63" s="241"/>
      <c r="BO63" s="241"/>
      <c r="BP63" s="285"/>
      <c r="BQ63" s="25">
        <f ca="1">+BQ244</f>
        <v>9.4716410517604266E-2</v>
      </c>
      <c r="BR63" s="567"/>
      <c r="BS63" s="1"/>
      <c r="BT63" s="1"/>
      <c r="BU63" s="1"/>
      <c r="BV63" s="1"/>
      <c r="BW63" s="1"/>
      <c r="BX63" s="1"/>
      <c r="BY63" s="1"/>
      <c r="BZ63" s="1"/>
      <c r="CA63" s="1"/>
      <c r="CB63" s="1"/>
      <c r="CC63" s="5"/>
      <c r="CD63" s="5"/>
      <c r="CE63" s="1"/>
      <c r="CF63" s="1"/>
      <c r="CG63" s="1"/>
      <c r="CH63" s="1"/>
      <c r="CI63" s="1"/>
      <c r="CJ63" s="1"/>
      <c r="CK63" s="1"/>
      <c r="CL63" s="1"/>
      <c r="CM63" s="1"/>
      <c r="CN63" s="1"/>
      <c r="CO63" s="1"/>
      <c r="CP63" s="1"/>
      <c r="CQ63" s="1"/>
      <c r="CR63" s="1"/>
      <c r="CS63" s="1"/>
      <c r="CT63" s="1"/>
      <c r="CU63" s="1"/>
    </row>
    <row r="64" spans="1:99" ht="12.75" customHeight="1">
      <c r="A64" s="1"/>
      <c r="B64" s="1"/>
      <c r="C64" s="619" t="s">
        <v>622</v>
      </c>
      <c r="D64" s="381"/>
      <c r="E64" s="620"/>
      <c r="F64" s="680"/>
      <c r="G64" s="680"/>
      <c r="H64" s="621"/>
      <c r="I64" s="771">
        <f>+I245</f>
        <v>0.10022772023998447</v>
      </c>
      <c r="J64" s="622"/>
      <c r="K64" s="772"/>
      <c r="L64" s="772"/>
      <c r="M64" s="623"/>
      <c r="N64" s="771">
        <f>+N245</f>
        <v>0.13187107824063296</v>
      </c>
      <c r="O64" s="622"/>
      <c r="P64" s="772"/>
      <c r="Q64" s="772"/>
      <c r="R64" s="623"/>
      <c r="S64" s="771">
        <f>+S245</f>
        <v>0.12525471657384624</v>
      </c>
      <c r="T64" s="622"/>
      <c r="U64" s="772"/>
      <c r="V64" s="772"/>
      <c r="W64" s="623"/>
      <c r="X64" s="771">
        <f>+X245</f>
        <v>0.11255154734031374</v>
      </c>
      <c r="Y64" s="622"/>
      <c r="Z64" s="772"/>
      <c r="AA64" s="772"/>
      <c r="AB64" s="623"/>
      <c r="AC64" s="771">
        <f>+AC245</f>
        <v>0.1124487289846744</v>
      </c>
      <c r="AD64" s="622"/>
      <c r="AE64" s="772"/>
      <c r="AF64" s="772"/>
      <c r="AG64" s="623"/>
      <c r="AH64" s="771">
        <f>+AH245</f>
        <v>0.10120623752484494</v>
      </c>
      <c r="AI64" s="622"/>
      <c r="AJ64" s="772"/>
      <c r="AK64" s="772"/>
      <c r="AL64" s="623"/>
      <c r="AM64" s="771">
        <f>+AM245</f>
        <v>9.564796599734976E-2</v>
      </c>
      <c r="AN64" s="622"/>
      <c r="AO64" s="772"/>
      <c r="AP64" s="772"/>
      <c r="AQ64" s="623"/>
      <c r="AR64" s="771">
        <f>+AR245</f>
        <v>9.854196535187211E-2</v>
      </c>
      <c r="AS64" s="622"/>
      <c r="AT64" s="772"/>
      <c r="AU64" s="772"/>
      <c r="AV64" s="623"/>
      <c r="AW64" s="771">
        <f>+AW245</f>
        <v>0.10140498353043198</v>
      </c>
      <c r="AX64" s="622">
        <f>+AX245</f>
        <v>0</v>
      </c>
      <c r="AY64" s="772">
        <f>+AY245</f>
        <v>0</v>
      </c>
      <c r="AZ64" s="772">
        <f>+AZ245</f>
        <v>0</v>
      </c>
      <c r="BA64" s="623">
        <f>+BA245</f>
        <v>0</v>
      </c>
      <c r="BB64" s="771">
        <f ca="1">+BB245</f>
        <v>0.10069310931970163</v>
      </c>
      <c r="BC64" s="622">
        <f>+BC245</f>
        <v>0</v>
      </c>
      <c r="BD64" s="772">
        <f>+BD245</f>
        <v>0</v>
      </c>
      <c r="BE64" s="772">
        <f>+BE245</f>
        <v>0</v>
      </c>
      <c r="BF64" s="623">
        <f>+BF245</f>
        <v>0</v>
      </c>
      <c r="BG64" s="771">
        <f ca="1">+BG245</f>
        <v>9.2835945647251769E-2</v>
      </c>
      <c r="BH64" s="622">
        <f>+BH245</f>
        <v>0</v>
      </c>
      <c r="BI64" s="772">
        <f>+BI245</f>
        <v>0</v>
      </c>
      <c r="BJ64" s="772">
        <f>+BJ245</f>
        <v>0</v>
      </c>
      <c r="BK64" s="623">
        <f>+BK245</f>
        <v>0</v>
      </c>
      <c r="BL64" s="771">
        <f ca="1">+BL245</f>
        <v>9.1999814669703223E-2</v>
      </c>
      <c r="BM64" s="622">
        <f>+BM245</f>
        <v>0</v>
      </c>
      <c r="BN64" s="772">
        <f>+BN245</f>
        <v>0</v>
      </c>
      <c r="BO64" s="772">
        <f>+BO245</f>
        <v>0</v>
      </c>
      <c r="BP64" s="623">
        <f>+BP245</f>
        <v>0</v>
      </c>
      <c r="BQ64" s="771">
        <f ca="1">+BQ245</f>
        <v>9.2190360787464509E-2</v>
      </c>
      <c r="BR64" s="567"/>
      <c r="BS64" s="1"/>
      <c r="BT64" s="1"/>
      <c r="BU64" s="1"/>
      <c r="BV64" s="1"/>
      <c r="BW64" s="1"/>
      <c r="BX64" s="1"/>
      <c r="BY64" s="1"/>
      <c r="BZ64" s="1"/>
      <c r="CA64" s="1"/>
      <c r="CB64" s="1"/>
      <c r="CC64" s="5"/>
      <c r="CD64" s="5"/>
      <c r="CE64" s="1"/>
      <c r="CF64" s="1"/>
      <c r="CG64" s="1"/>
      <c r="CH64" s="1"/>
      <c r="CI64" s="1"/>
      <c r="CJ64" s="1"/>
      <c r="CK64" s="1"/>
      <c r="CL64" s="1"/>
      <c r="CM64" s="1"/>
      <c r="CN64" s="1"/>
      <c r="CO64" s="1"/>
      <c r="CP64" s="1"/>
      <c r="CQ64" s="1"/>
      <c r="CR64" s="1"/>
      <c r="CS64" s="1"/>
      <c r="CT64" s="1"/>
      <c r="CU64" s="1"/>
    </row>
    <row r="65" spans="1:99" ht="12.75" customHeight="1">
      <c r="A65" s="1"/>
      <c r="B65" s="1"/>
      <c r="C65" s="32"/>
      <c r="D65" s="1"/>
      <c r="E65" s="600"/>
      <c r="F65" s="251"/>
      <c r="G65" s="251"/>
      <c r="H65" s="601"/>
      <c r="I65" s="26"/>
      <c r="J65" s="600"/>
      <c r="K65" s="251"/>
      <c r="L65" s="251"/>
      <c r="M65" s="601"/>
      <c r="N65" s="26"/>
      <c r="O65" s="600"/>
      <c r="P65" s="251"/>
      <c r="Q65" s="251"/>
      <c r="R65" s="601"/>
      <c r="S65" s="26"/>
      <c r="T65" s="600"/>
      <c r="U65" s="251"/>
      <c r="V65" s="251"/>
      <c r="W65" s="601"/>
      <c r="X65" s="1132"/>
      <c r="Y65" s="600"/>
      <c r="Z65" s="251"/>
      <c r="AA65" s="251"/>
      <c r="AB65" s="601"/>
      <c r="AC65" s="26"/>
      <c r="AD65" s="600"/>
      <c r="AE65" s="251"/>
      <c r="AF65" s="251"/>
      <c r="AG65" s="601"/>
      <c r="AH65" s="26"/>
      <c r="AI65" s="600"/>
      <c r="AJ65" s="251"/>
      <c r="AK65" s="251"/>
      <c r="AL65" s="601"/>
      <c r="AM65" s="26"/>
      <c r="AN65" s="600"/>
      <c r="AO65" s="251"/>
      <c r="AP65" s="251"/>
      <c r="AQ65" s="601"/>
      <c r="AR65" s="26"/>
      <c r="AS65" s="600"/>
      <c r="AT65" s="251"/>
      <c r="AU65" s="251"/>
      <c r="AV65" s="601"/>
      <c r="AW65" s="26"/>
      <c r="AX65" s="955"/>
      <c r="AY65" s="956"/>
      <c r="AZ65" s="956"/>
      <c r="BA65" s="957"/>
      <c r="BB65" s="26"/>
      <c r="BC65" s="955"/>
      <c r="BD65" s="956"/>
      <c r="BE65" s="956"/>
      <c r="BF65" s="957"/>
      <c r="BG65" s="26"/>
      <c r="BH65" s="955"/>
      <c r="BI65" s="956"/>
      <c r="BJ65" s="956"/>
      <c r="BK65" s="957"/>
      <c r="BL65" s="26"/>
      <c r="BM65" s="955"/>
      <c r="BN65" s="956"/>
      <c r="BO65" s="956"/>
      <c r="BP65" s="957"/>
      <c r="BQ65" s="26"/>
      <c r="BR65" s="1"/>
      <c r="BS65" s="1"/>
      <c r="BT65" s="1"/>
      <c r="BU65" s="1"/>
      <c r="BV65" s="1"/>
      <c r="BW65" s="1"/>
      <c r="BX65" s="1"/>
      <c r="BY65" s="1"/>
      <c r="BZ65" s="1"/>
      <c r="CA65" s="1"/>
      <c r="CB65" s="1"/>
      <c r="CC65" s="5"/>
      <c r="CD65" s="5"/>
      <c r="CE65" s="1"/>
      <c r="CF65" s="1"/>
      <c r="CG65" s="1"/>
      <c r="CH65" s="1"/>
      <c r="CI65" s="1"/>
      <c r="CJ65" s="1"/>
      <c r="CK65" s="1"/>
      <c r="CL65" s="1"/>
      <c r="CM65" s="1"/>
      <c r="CN65" s="1"/>
      <c r="CO65" s="1"/>
      <c r="CP65" s="1"/>
      <c r="CQ65" s="1"/>
      <c r="CR65" s="1"/>
      <c r="CS65" s="1"/>
      <c r="CT65" s="1"/>
      <c r="CU65" s="1"/>
    </row>
    <row r="66" spans="1:99" ht="12.75" customHeight="1">
      <c r="A66" s="1"/>
      <c r="B66" s="1"/>
      <c r="C66" s="32"/>
      <c r="D66" s="1"/>
      <c r="E66" s="600"/>
      <c r="F66" s="251"/>
      <c r="G66" s="251"/>
      <c r="H66" s="601"/>
      <c r="I66" s="26"/>
      <c r="J66" s="600"/>
      <c r="K66" s="251"/>
      <c r="L66" s="251"/>
      <c r="M66" s="601"/>
      <c r="N66" s="26"/>
      <c r="O66" s="600"/>
      <c r="P66" s="251"/>
      <c r="Q66" s="251"/>
      <c r="R66" s="601"/>
      <c r="S66" s="26"/>
      <c r="T66" s="600"/>
      <c r="U66" s="251"/>
      <c r="V66" s="251"/>
      <c r="W66" s="601"/>
      <c r="X66" s="26"/>
      <c r="Y66" s="600"/>
      <c r="Z66" s="251"/>
      <c r="AA66" s="251"/>
      <c r="AB66" s="601"/>
      <c r="AC66" s="26"/>
      <c r="AD66" s="600"/>
      <c r="AE66" s="251"/>
      <c r="AF66" s="251"/>
      <c r="AG66" s="601"/>
      <c r="AH66" s="26"/>
      <c r="AI66" s="600"/>
      <c r="AJ66" s="251"/>
      <c r="AK66" s="251"/>
      <c r="AL66" s="601"/>
      <c r="AM66" s="26"/>
      <c r="AN66" s="600"/>
      <c r="AO66" s="251"/>
      <c r="AP66" s="251"/>
      <c r="AQ66" s="601"/>
      <c r="AR66" s="26"/>
      <c r="AS66" s="600"/>
      <c r="AT66" s="251"/>
      <c r="AU66" s="251"/>
      <c r="AV66" s="601"/>
      <c r="AW66" s="26"/>
      <c r="AX66" s="955"/>
      <c r="AY66" s="956"/>
      <c r="AZ66" s="956"/>
      <c r="BA66" s="957"/>
      <c r="BB66" s="26"/>
      <c r="BC66" s="955"/>
      <c r="BD66" s="956"/>
      <c r="BE66" s="956"/>
      <c r="BF66" s="957"/>
      <c r="BG66" s="26"/>
      <c r="BH66" s="955"/>
      <c r="BI66" s="956"/>
      <c r="BJ66" s="956"/>
      <c r="BK66" s="957"/>
      <c r="BL66" s="26"/>
      <c r="BM66" s="955"/>
      <c r="BN66" s="956"/>
      <c r="BO66" s="956"/>
      <c r="BP66" s="957"/>
      <c r="BQ66" s="26"/>
      <c r="BR66" s="1"/>
      <c r="BS66" s="1"/>
      <c r="BT66" s="1"/>
      <c r="BU66" s="1"/>
      <c r="BV66" s="1"/>
      <c r="BW66" s="1"/>
      <c r="BX66" s="1"/>
      <c r="BY66" s="1"/>
      <c r="BZ66" s="1"/>
      <c r="CA66" s="1"/>
      <c r="CB66" s="1"/>
      <c r="CC66" s="5"/>
      <c r="CD66" s="5"/>
      <c r="CE66" s="1"/>
      <c r="CF66" s="1"/>
      <c r="CG66" s="1"/>
      <c r="CH66" s="1"/>
      <c r="CI66" s="1"/>
      <c r="CJ66" s="1"/>
      <c r="CK66" s="1"/>
      <c r="CL66" s="1"/>
      <c r="CM66" s="1"/>
      <c r="CN66" s="1"/>
      <c r="CO66" s="1"/>
      <c r="CP66" s="1"/>
      <c r="CQ66" s="1"/>
      <c r="CR66" s="1"/>
      <c r="CS66" s="1"/>
      <c r="CT66" s="1"/>
      <c r="CU66" s="1"/>
    </row>
    <row r="67" spans="1:99" ht="12.75" customHeight="1">
      <c r="A67" s="1"/>
      <c r="B67" s="73" t="s">
        <v>128</v>
      </c>
      <c r="C67" s="246"/>
      <c r="D67" s="15"/>
      <c r="E67" s="600"/>
      <c r="F67" s="251"/>
      <c r="G67" s="251"/>
      <c r="H67" s="601"/>
      <c r="I67" s="26"/>
      <c r="J67" s="600"/>
      <c r="K67" s="251"/>
      <c r="L67" s="251"/>
      <c r="M67" s="601"/>
      <c r="N67" s="26"/>
      <c r="O67" s="600"/>
      <c r="P67" s="251"/>
      <c r="Q67" s="251"/>
      <c r="R67" s="601"/>
      <c r="S67" s="26"/>
      <c r="T67" s="600"/>
      <c r="U67" s="251"/>
      <c r="V67" s="251"/>
      <c r="W67" s="601"/>
      <c r="X67" s="26"/>
      <c r="Y67" s="600"/>
      <c r="Z67" s="251"/>
      <c r="AA67" s="251"/>
      <c r="AB67" s="601"/>
      <c r="AC67" s="26"/>
      <c r="AD67" s="600"/>
      <c r="AE67" s="251"/>
      <c r="AF67" s="251"/>
      <c r="AG67" s="601"/>
      <c r="AH67" s="26"/>
      <c r="AI67" s="600"/>
      <c r="AJ67" s="251"/>
      <c r="AK67" s="251"/>
      <c r="AL67" s="601"/>
      <c r="AM67" s="26"/>
      <c r="AN67" s="600"/>
      <c r="AO67" s="251"/>
      <c r="AP67" s="251"/>
      <c r="AQ67" s="601"/>
      <c r="AR67" s="26"/>
      <c r="AS67" s="600"/>
      <c r="AT67" s="251"/>
      <c r="AU67" s="251"/>
      <c r="AV67" s="601"/>
      <c r="AW67" s="26"/>
      <c r="AX67" s="600"/>
      <c r="AY67" s="251"/>
      <c r="AZ67" s="251"/>
      <c r="BA67" s="601"/>
      <c r="BB67" s="26"/>
      <c r="BC67" s="600"/>
      <c r="BD67" s="251"/>
      <c r="BE67" s="251"/>
      <c r="BF67" s="601"/>
      <c r="BG67" s="26"/>
      <c r="BH67" s="600"/>
      <c r="BI67" s="251"/>
      <c r="BJ67" s="251"/>
      <c r="BK67" s="601"/>
      <c r="BL67" s="26"/>
      <c r="BM67" s="600"/>
      <c r="BN67" s="251"/>
      <c r="BO67" s="251"/>
      <c r="BP67" s="601"/>
      <c r="BQ67" s="26"/>
      <c r="BR67" s="1"/>
      <c r="BS67" s="1"/>
      <c r="BT67" s="1"/>
      <c r="BU67" s="1"/>
      <c r="BV67" s="1"/>
      <c r="BW67" s="1"/>
      <c r="BX67" s="1"/>
      <c r="BY67" s="1"/>
      <c r="BZ67" s="1"/>
      <c r="CA67" s="1"/>
      <c r="CB67" s="1"/>
      <c r="CC67" s="5"/>
      <c r="CD67" s="5"/>
      <c r="CE67" s="1"/>
      <c r="CF67" s="1"/>
      <c r="CG67" s="1"/>
      <c r="CH67" s="1"/>
      <c r="CI67" s="1"/>
      <c r="CJ67" s="1"/>
      <c r="CK67" s="1"/>
      <c r="CL67" s="1"/>
      <c r="CM67" s="1"/>
      <c r="CN67" s="1"/>
      <c r="CO67" s="1"/>
      <c r="CP67" s="1"/>
      <c r="CQ67" s="1"/>
      <c r="CR67" s="1"/>
      <c r="CS67" s="1"/>
      <c r="CT67" s="1"/>
      <c r="CU67" s="1"/>
    </row>
    <row r="68" spans="1:99" ht="12.75" customHeight="1">
      <c r="A68" s="330"/>
      <c r="B68" s="330"/>
      <c r="C68" s="576" t="s">
        <v>406</v>
      </c>
      <c r="D68" s="330"/>
      <c r="E68" s="625">
        <v>846</v>
      </c>
      <c r="F68" s="625">
        <v>731</v>
      </c>
      <c r="G68" s="625">
        <v>797</v>
      </c>
      <c r="H68" s="347">
        <f>I68-SUM(E68:G68)</f>
        <v>741</v>
      </c>
      <c r="I68" s="427">
        <v>3115</v>
      </c>
      <c r="J68" s="624">
        <v>778</v>
      </c>
      <c r="K68" s="625">
        <v>829</v>
      </c>
      <c r="L68" s="625">
        <v>1181</v>
      </c>
      <c r="M68" s="347">
        <f>N68-SUM(J68:L68)</f>
        <v>761</v>
      </c>
      <c r="N68" s="427">
        <v>3549</v>
      </c>
      <c r="O68" s="624">
        <v>834</v>
      </c>
      <c r="P68" s="625">
        <v>800</v>
      </c>
      <c r="Q68" s="625">
        <v>1112</v>
      </c>
      <c r="R68" s="347">
        <f>S68-SUM(O68:Q68)</f>
        <v>764</v>
      </c>
      <c r="S68" s="427">
        <v>3510</v>
      </c>
      <c r="T68" s="624">
        <v>775</v>
      </c>
      <c r="U68" s="625">
        <v>720</v>
      </c>
      <c r="V68" s="625">
        <v>876</v>
      </c>
      <c r="W68" s="347">
        <f>X68-SUM(T68:V68)</f>
        <v>666</v>
      </c>
      <c r="X68" s="427">
        <v>3037</v>
      </c>
      <c r="Y68" s="624">
        <v>584</v>
      </c>
      <c r="Z68" s="625">
        <v>476</v>
      </c>
      <c r="AA68" s="1452">
        <v>529</v>
      </c>
      <c r="AB68" s="347">
        <f>AC68-SUM(Y68:AA68)</f>
        <v>484</v>
      </c>
      <c r="AC68" s="1437">
        <v>2073</v>
      </c>
      <c r="AD68" s="624">
        <v>508</v>
      </c>
      <c r="AE68" s="625">
        <v>499</v>
      </c>
      <c r="AF68" s="1452">
        <v>566</v>
      </c>
      <c r="AG68" s="347">
        <f>AH68-SUM(AD68:AF68)</f>
        <v>501</v>
      </c>
      <c r="AH68" s="1437">
        <v>2074</v>
      </c>
      <c r="AI68" s="624">
        <v>568</v>
      </c>
      <c r="AJ68" s="625">
        <v>527</v>
      </c>
      <c r="AK68" s="1452">
        <v>690</v>
      </c>
      <c r="AL68" s="347">
        <f>AM68-SUM(AI68:AK68)</f>
        <v>575</v>
      </c>
      <c r="AM68" s="1437">
        <v>2360</v>
      </c>
      <c r="AN68" s="624">
        <v>609</v>
      </c>
      <c r="AO68" s="625">
        <v>625</v>
      </c>
      <c r="AP68" s="1452">
        <v>786</v>
      </c>
      <c r="AQ68" s="347">
        <f>AR68-SUM(AN68:AP68)</f>
        <v>577</v>
      </c>
      <c r="AR68" s="1437">
        <v>2597</v>
      </c>
      <c r="AS68" s="624">
        <v>627</v>
      </c>
      <c r="AT68" s="625">
        <v>656</v>
      </c>
      <c r="AU68" s="625">
        <v>825</v>
      </c>
      <c r="AV68" s="347">
        <f>AW68-SUM(AS68:AU68)</f>
        <v>638</v>
      </c>
      <c r="AW68" s="1437">
        <v>2746</v>
      </c>
      <c r="AX68" s="292"/>
      <c r="AY68" s="261"/>
      <c r="AZ68" s="261"/>
      <c r="BA68" s="293"/>
      <c r="BB68" s="228"/>
      <c r="BC68" s="292"/>
      <c r="BD68" s="261"/>
      <c r="BE68" s="261"/>
      <c r="BF68" s="293"/>
      <c r="BG68" s="228"/>
      <c r="BH68" s="292"/>
      <c r="BI68" s="261"/>
      <c r="BJ68" s="261"/>
      <c r="BK68" s="293"/>
      <c r="BL68" s="228"/>
      <c r="BM68" s="292"/>
      <c r="BN68" s="261"/>
      <c r="BO68" s="261"/>
      <c r="BP68" s="293"/>
      <c r="BQ68" s="228"/>
      <c r="BR68" s="330"/>
      <c r="BS68" s="330"/>
      <c r="BT68" s="330"/>
      <c r="BU68" s="330"/>
      <c r="BV68" s="330"/>
      <c r="BW68" s="330"/>
      <c r="BX68" s="330"/>
      <c r="BY68" s="330"/>
      <c r="BZ68" s="330"/>
      <c r="CA68" s="330"/>
      <c r="CB68" s="330"/>
      <c r="CC68" s="5"/>
      <c r="CD68" s="5"/>
      <c r="CE68" s="330"/>
      <c r="CF68" s="330"/>
      <c r="CG68" s="330"/>
      <c r="CH68" s="330"/>
      <c r="CI68" s="330"/>
      <c r="CJ68" s="330"/>
      <c r="CK68" s="330"/>
      <c r="CL68" s="330"/>
      <c r="CM68" s="330"/>
      <c r="CN68" s="330"/>
      <c r="CO68" s="330"/>
      <c r="CP68" s="330"/>
      <c r="CQ68" s="330"/>
      <c r="CR68" s="330"/>
      <c r="CS68" s="330"/>
      <c r="CT68" s="330"/>
      <c r="CU68" s="330"/>
    </row>
    <row r="69" spans="1:99" ht="12.75" customHeight="1">
      <c r="A69" s="330"/>
      <c r="B69" s="330"/>
      <c r="C69" s="576" t="s">
        <v>716</v>
      </c>
      <c r="D69" s="330"/>
      <c r="E69" s="625">
        <v>449</v>
      </c>
      <c r="F69" s="625">
        <v>411</v>
      </c>
      <c r="G69" s="625">
        <v>421</v>
      </c>
      <c r="H69" s="347">
        <f>I69-SUM(E69:G69)</f>
        <v>379</v>
      </c>
      <c r="I69" s="427">
        <v>1660</v>
      </c>
      <c r="J69" s="624">
        <v>387</v>
      </c>
      <c r="K69" s="625">
        <v>415</v>
      </c>
      <c r="L69" s="625">
        <v>471</v>
      </c>
      <c r="M69" s="347">
        <f>N69-SUM(J69:L69)</f>
        <v>366</v>
      </c>
      <c r="N69" s="427">
        <v>1639</v>
      </c>
      <c r="O69" s="624">
        <v>382</v>
      </c>
      <c r="P69" s="625">
        <v>386</v>
      </c>
      <c r="Q69" s="625">
        <v>410</v>
      </c>
      <c r="R69" s="347">
        <f>S69-SUM(O69:Q69)</f>
        <v>339</v>
      </c>
      <c r="S69" s="427">
        <v>1517</v>
      </c>
      <c r="T69" s="624">
        <v>348</v>
      </c>
      <c r="U69" s="625">
        <v>306</v>
      </c>
      <c r="V69" s="625">
        <v>344</v>
      </c>
      <c r="W69" s="347">
        <f>X69-SUM(T69:V69)</f>
        <v>341</v>
      </c>
      <c r="X69" s="427">
        <v>1339</v>
      </c>
      <c r="Y69" s="624">
        <v>308</v>
      </c>
      <c r="Z69" s="625">
        <v>315</v>
      </c>
      <c r="AA69" s="1452">
        <v>322</v>
      </c>
      <c r="AB69" s="347">
        <f>AC69-SUM(Y69:AA69)</f>
        <v>305</v>
      </c>
      <c r="AC69" s="1437">
        <v>1250</v>
      </c>
      <c r="AD69" s="624">
        <v>344</v>
      </c>
      <c r="AE69" s="625">
        <v>340</v>
      </c>
      <c r="AF69" s="1452">
        <v>349</v>
      </c>
      <c r="AG69" s="347">
        <f>AH69-SUM(AD69:AF69)</f>
        <v>302</v>
      </c>
      <c r="AH69" s="1437">
        <v>1335</v>
      </c>
      <c r="AI69" s="624">
        <v>338</v>
      </c>
      <c r="AJ69" s="625">
        <v>330</v>
      </c>
      <c r="AK69" s="1452">
        <v>361</v>
      </c>
      <c r="AL69" s="347">
        <f>AM69-SUM(AI69:AK69)</f>
        <v>308</v>
      </c>
      <c r="AM69" s="1437">
        <v>1337</v>
      </c>
      <c r="AN69" s="624">
        <v>321</v>
      </c>
      <c r="AO69" s="625">
        <v>329</v>
      </c>
      <c r="AP69" s="1452">
        <v>356</v>
      </c>
      <c r="AQ69" s="347">
        <f>AR69-SUM(AN69:AP69)</f>
        <v>310</v>
      </c>
      <c r="AR69" s="1437">
        <v>1316</v>
      </c>
      <c r="AS69" s="624">
        <v>335</v>
      </c>
      <c r="AT69" s="625">
        <v>347</v>
      </c>
      <c r="AU69" s="625">
        <v>369</v>
      </c>
      <c r="AV69" s="347">
        <f>AW69-SUM(AS69:AU69)</f>
        <v>325</v>
      </c>
      <c r="AW69" s="1437">
        <v>1376</v>
      </c>
      <c r="AX69" s="292"/>
      <c r="AY69" s="261"/>
      <c r="AZ69" s="261"/>
      <c r="BA69" s="293"/>
      <c r="BB69" s="228"/>
      <c r="BC69" s="292"/>
      <c r="BD69" s="261"/>
      <c r="BE69" s="261"/>
      <c r="BF69" s="293"/>
      <c r="BG69" s="228"/>
      <c r="BH69" s="292"/>
      <c r="BI69" s="261"/>
      <c r="BJ69" s="261"/>
      <c r="BK69" s="293"/>
      <c r="BL69" s="228"/>
      <c r="BM69" s="292"/>
      <c r="BN69" s="261"/>
      <c r="BO69" s="261"/>
      <c r="BP69" s="293"/>
      <c r="BQ69" s="228"/>
      <c r="BR69" s="330"/>
      <c r="BS69" s="330"/>
      <c r="BT69" s="330"/>
      <c r="BU69" s="330"/>
      <c r="BV69" s="330"/>
      <c r="BW69" s="330"/>
      <c r="BX69" s="330"/>
      <c r="BY69" s="330"/>
      <c r="BZ69" s="330"/>
      <c r="CA69" s="330"/>
      <c r="CB69" s="330"/>
      <c r="CC69" s="5"/>
      <c r="CD69" s="5"/>
      <c r="CE69" s="330"/>
      <c r="CF69" s="330"/>
      <c r="CG69" s="330"/>
      <c r="CH69" s="330"/>
      <c r="CI69" s="330"/>
      <c r="CJ69" s="330"/>
      <c r="CK69" s="330"/>
      <c r="CL69" s="330"/>
      <c r="CM69" s="330"/>
      <c r="CN69" s="330"/>
      <c r="CO69" s="330"/>
      <c r="CP69" s="330"/>
      <c r="CQ69" s="330"/>
      <c r="CR69" s="330"/>
      <c r="CS69" s="330"/>
      <c r="CT69" s="330"/>
      <c r="CU69" s="330"/>
    </row>
    <row r="70" spans="1:99" ht="12.75" customHeight="1">
      <c r="A70" s="330"/>
      <c r="B70" s="330"/>
      <c r="C70" s="576" t="s">
        <v>717</v>
      </c>
      <c r="D70" s="330"/>
      <c r="E70" s="625">
        <v>100</v>
      </c>
      <c r="F70" s="625">
        <v>93</v>
      </c>
      <c r="G70" s="625">
        <v>102</v>
      </c>
      <c r="H70" s="347">
        <f>I70-SUM(E70:G70)</f>
        <v>92</v>
      </c>
      <c r="I70" s="427">
        <v>387</v>
      </c>
      <c r="J70" s="624">
        <v>97</v>
      </c>
      <c r="K70" s="625">
        <v>100</v>
      </c>
      <c r="L70" s="625">
        <v>109</v>
      </c>
      <c r="M70" s="347">
        <f>N70-SUM(J70:L70)</f>
        <v>91</v>
      </c>
      <c r="N70" s="427">
        <v>397</v>
      </c>
      <c r="O70" s="624">
        <v>90</v>
      </c>
      <c r="P70" s="625">
        <v>95</v>
      </c>
      <c r="Q70" s="625">
        <v>102</v>
      </c>
      <c r="R70" s="347">
        <f>S70-SUM(O70:Q70)</f>
        <v>96</v>
      </c>
      <c r="S70" s="427">
        <v>383</v>
      </c>
      <c r="T70" s="624">
        <v>100</v>
      </c>
      <c r="U70" s="625">
        <v>94</v>
      </c>
      <c r="V70" s="625">
        <v>102</v>
      </c>
      <c r="W70" s="347">
        <f>X70-SUM(T70:V70)</f>
        <v>99</v>
      </c>
      <c r="X70" s="427">
        <v>395</v>
      </c>
      <c r="Y70" s="624">
        <v>102</v>
      </c>
      <c r="Z70" s="625">
        <v>113</v>
      </c>
      <c r="AA70" s="1452">
        <v>112</v>
      </c>
      <c r="AB70" s="347">
        <f>AC70-SUM(Y70:AA70)</f>
        <v>100</v>
      </c>
      <c r="AC70" s="1437">
        <v>427</v>
      </c>
      <c r="AD70" s="624">
        <v>115</v>
      </c>
      <c r="AE70" s="625">
        <v>113</v>
      </c>
      <c r="AF70" s="1452">
        <v>115</v>
      </c>
      <c r="AG70" s="347">
        <f>AH70-SUM(AD70:AF70)</f>
        <v>91</v>
      </c>
      <c r="AH70" s="1437">
        <v>434</v>
      </c>
      <c r="AI70" s="624">
        <v>109</v>
      </c>
      <c r="AJ70" s="625">
        <v>109</v>
      </c>
      <c r="AK70" s="1452">
        <v>121</v>
      </c>
      <c r="AL70" s="347">
        <f>AM70-SUM(AI70:AK70)</f>
        <v>104</v>
      </c>
      <c r="AM70" s="1437">
        <v>443</v>
      </c>
      <c r="AN70" s="624">
        <v>107</v>
      </c>
      <c r="AO70" s="625">
        <v>116</v>
      </c>
      <c r="AP70" s="1452">
        <v>126</v>
      </c>
      <c r="AQ70" s="347">
        <f>AR70-SUM(AN70:AP70)</f>
        <v>113</v>
      </c>
      <c r="AR70" s="1437">
        <v>462</v>
      </c>
      <c r="AS70" s="624">
        <v>108</v>
      </c>
      <c r="AT70" s="625">
        <v>123</v>
      </c>
      <c r="AU70" s="625">
        <v>121</v>
      </c>
      <c r="AV70" s="347">
        <f>AW70-SUM(AS70:AU70)</f>
        <v>109</v>
      </c>
      <c r="AW70" s="1437">
        <v>461</v>
      </c>
      <c r="AX70" s="292"/>
      <c r="AY70" s="261"/>
      <c r="AZ70" s="261"/>
      <c r="BA70" s="293"/>
      <c r="BB70" s="228"/>
      <c r="BC70" s="292"/>
      <c r="BD70" s="261"/>
      <c r="BE70" s="261"/>
      <c r="BF70" s="293"/>
      <c r="BG70" s="228"/>
      <c r="BH70" s="292"/>
      <c r="BI70" s="261"/>
      <c r="BJ70" s="261"/>
      <c r="BK70" s="293"/>
      <c r="BL70" s="228"/>
      <c r="BM70" s="292"/>
      <c r="BN70" s="261"/>
      <c r="BO70" s="261"/>
      <c r="BP70" s="293"/>
      <c r="BQ70" s="228"/>
      <c r="BR70" s="330"/>
      <c r="BS70" s="330"/>
      <c r="BT70" s="330"/>
      <c r="BU70" s="330"/>
      <c r="BV70" s="330"/>
      <c r="BW70" s="330"/>
      <c r="BX70" s="330"/>
      <c r="BY70" s="330"/>
      <c r="BZ70" s="330"/>
      <c r="CA70" s="330"/>
      <c r="CB70" s="330"/>
      <c r="CC70" s="5"/>
      <c r="CD70" s="5"/>
      <c r="CE70" s="330"/>
      <c r="CF70" s="330"/>
      <c r="CG70" s="330"/>
      <c r="CH70" s="330"/>
      <c r="CI70" s="330"/>
      <c r="CJ70" s="330"/>
      <c r="CK70" s="330"/>
      <c r="CL70" s="330"/>
      <c r="CM70" s="330"/>
      <c r="CN70" s="330"/>
      <c r="CO70" s="330"/>
      <c r="CP70" s="330"/>
      <c r="CQ70" s="330"/>
      <c r="CR70" s="330"/>
      <c r="CS70" s="330"/>
      <c r="CT70" s="330"/>
      <c r="CU70" s="330"/>
    </row>
    <row r="71" spans="1:99" ht="12.75" customHeight="1">
      <c r="A71" s="330"/>
      <c r="B71" s="330"/>
      <c r="C71" s="576" t="s">
        <v>718</v>
      </c>
      <c r="D71" s="330"/>
      <c r="E71" s="625">
        <v>15</v>
      </c>
      <c r="F71" s="625">
        <v>14</v>
      </c>
      <c r="G71" s="625">
        <v>13</v>
      </c>
      <c r="H71" s="347">
        <f>I71-SUM(E71:G71)</f>
        <v>15</v>
      </c>
      <c r="I71" s="427">
        <v>57</v>
      </c>
      <c r="J71" s="624">
        <v>18</v>
      </c>
      <c r="K71" s="625">
        <v>16</v>
      </c>
      <c r="L71" s="625">
        <v>14</v>
      </c>
      <c r="M71" s="347">
        <f>N71-SUM(J71:L71)</f>
        <v>14</v>
      </c>
      <c r="N71" s="427">
        <v>62</v>
      </c>
      <c r="O71" s="624">
        <v>14</v>
      </c>
      <c r="P71" s="625">
        <v>12</v>
      </c>
      <c r="Q71" s="625">
        <v>12</v>
      </c>
      <c r="R71" s="347">
        <f>S71-SUM(O71:Q71)</f>
        <v>12</v>
      </c>
      <c r="S71" s="427">
        <v>50</v>
      </c>
      <c r="T71" s="624">
        <v>12</v>
      </c>
      <c r="U71" s="625">
        <v>9</v>
      </c>
      <c r="V71" s="625">
        <v>11</v>
      </c>
      <c r="W71" s="347">
        <f>X71-SUM(T71:V71)</f>
        <v>12</v>
      </c>
      <c r="X71" s="427">
        <v>44</v>
      </c>
      <c r="Y71" s="624">
        <v>12</v>
      </c>
      <c r="Z71" s="625">
        <v>12</v>
      </c>
      <c r="AA71" s="1452">
        <v>12</v>
      </c>
      <c r="AB71" s="347">
        <f>AC71-SUM(Y71:AA71)</f>
        <v>12</v>
      </c>
      <c r="AC71" s="1437">
        <v>48</v>
      </c>
      <c r="AD71" s="624">
        <v>13</v>
      </c>
      <c r="AE71" s="625">
        <v>12</v>
      </c>
      <c r="AF71" s="1452">
        <v>10</v>
      </c>
      <c r="AG71" s="347">
        <f>AH71-SUM(AD71:AF71)</f>
        <v>11</v>
      </c>
      <c r="AH71" s="1437">
        <v>46</v>
      </c>
      <c r="AI71" s="624">
        <v>12</v>
      </c>
      <c r="AJ71" s="625">
        <v>11</v>
      </c>
      <c r="AK71" s="1452">
        <v>10</v>
      </c>
      <c r="AL71" s="347">
        <f>AM71-SUM(AI71:AK71)</f>
        <v>9</v>
      </c>
      <c r="AM71" s="1437">
        <v>42</v>
      </c>
      <c r="AN71" s="624">
        <v>12</v>
      </c>
      <c r="AO71" s="625">
        <v>11</v>
      </c>
      <c r="AP71" s="1452">
        <v>10</v>
      </c>
      <c r="AQ71" s="347">
        <f>AR71-SUM(AN71:AP71)</f>
        <v>12</v>
      </c>
      <c r="AR71" s="1437">
        <v>45</v>
      </c>
      <c r="AS71" s="624">
        <v>12</v>
      </c>
      <c r="AT71" s="625">
        <v>11</v>
      </c>
      <c r="AU71" s="625">
        <v>11</v>
      </c>
      <c r="AV71" s="347">
        <f>AW71-SUM(AS71:AU71)</f>
        <v>10</v>
      </c>
      <c r="AW71" s="1437">
        <v>44</v>
      </c>
      <c r="AX71" s="292"/>
      <c r="AY71" s="261"/>
      <c r="AZ71" s="261"/>
      <c r="BA71" s="293"/>
      <c r="BB71" s="228"/>
      <c r="BC71" s="292"/>
      <c r="BD71" s="261"/>
      <c r="BE71" s="261"/>
      <c r="BF71" s="293"/>
      <c r="BG71" s="228"/>
      <c r="BH71" s="292"/>
      <c r="BI71" s="261"/>
      <c r="BJ71" s="261"/>
      <c r="BK71" s="293"/>
      <c r="BL71" s="228"/>
      <c r="BM71" s="292"/>
      <c r="BN71" s="261"/>
      <c r="BO71" s="261"/>
      <c r="BP71" s="293"/>
      <c r="BQ71" s="228"/>
      <c r="BR71" s="330"/>
      <c r="BS71" s="330"/>
      <c r="BT71" s="330"/>
      <c r="BU71" s="330"/>
      <c r="BV71" s="330"/>
      <c r="BW71" s="330"/>
      <c r="BX71" s="330"/>
      <c r="BY71" s="330"/>
      <c r="BZ71" s="330"/>
      <c r="CA71" s="330"/>
      <c r="CB71" s="330"/>
      <c r="CC71" s="5"/>
      <c r="CD71" s="5"/>
      <c r="CE71" s="330"/>
      <c r="CF71" s="330"/>
      <c r="CG71" s="330"/>
      <c r="CH71" s="330"/>
      <c r="CI71" s="330"/>
      <c r="CJ71" s="330"/>
      <c r="CK71" s="330"/>
      <c r="CL71" s="330"/>
      <c r="CM71" s="330"/>
      <c r="CN71" s="330"/>
      <c r="CO71" s="330"/>
      <c r="CP71" s="330"/>
      <c r="CQ71" s="330"/>
      <c r="CR71" s="330"/>
      <c r="CS71" s="330"/>
      <c r="CT71" s="330"/>
      <c r="CU71" s="330"/>
    </row>
    <row r="72" spans="1:99" ht="12.75" customHeight="1">
      <c r="A72" s="330"/>
      <c r="B72" s="330"/>
      <c r="C72" s="28" t="s">
        <v>62</v>
      </c>
      <c r="D72" s="330"/>
      <c r="E72" s="625">
        <v>143</v>
      </c>
      <c r="F72" s="625">
        <v>140</v>
      </c>
      <c r="G72" s="625">
        <v>142</v>
      </c>
      <c r="H72" s="347">
        <f>I72-SUM(E72:G72)</f>
        <v>130</v>
      </c>
      <c r="I72" s="645">
        <v>555</v>
      </c>
      <c r="J72" s="624">
        <v>135</v>
      </c>
      <c r="K72" s="625">
        <v>139</v>
      </c>
      <c r="L72" s="625">
        <v>143</v>
      </c>
      <c r="M72" s="347">
        <f>N72-SUM(J72:L72)</f>
        <v>140</v>
      </c>
      <c r="N72" s="645">
        <v>557</v>
      </c>
      <c r="O72" s="624">
        <v>146</v>
      </c>
      <c r="P72" s="625">
        <v>151</v>
      </c>
      <c r="Q72" s="625">
        <v>148</v>
      </c>
      <c r="R72" s="347">
        <f>S72-SUM(O72:Q72)</f>
        <v>151</v>
      </c>
      <c r="S72" s="645">
        <v>596</v>
      </c>
      <c r="T72" s="624">
        <v>153</v>
      </c>
      <c r="U72" s="625">
        <v>152</v>
      </c>
      <c r="V72" s="625">
        <v>151</v>
      </c>
      <c r="W72" s="347">
        <f>X72-SUM(T72:V72)</f>
        <v>172</v>
      </c>
      <c r="X72" s="645">
        <v>628</v>
      </c>
      <c r="Y72" s="624">
        <v>154</v>
      </c>
      <c r="Z72" s="625">
        <v>164</v>
      </c>
      <c r="AA72" s="1452">
        <v>181</v>
      </c>
      <c r="AB72" s="347">
        <f>AC72-SUM(Y72:AA72)</f>
        <v>167</v>
      </c>
      <c r="AC72" s="1453">
        <v>666</v>
      </c>
      <c r="AD72" s="624">
        <v>154</v>
      </c>
      <c r="AE72" s="625">
        <v>164</v>
      </c>
      <c r="AF72" s="1452">
        <v>182</v>
      </c>
      <c r="AG72" s="347">
        <f>AH72-SUM(AD72:AF72)</f>
        <v>175</v>
      </c>
      <c r="AH72" s="1453">
        <v>675</v>
      </c>
      <c r="AI72" s="624">
        <v>158</v>
      </c>
      <c r="AJ72" s="625">
        <v>171</v>
      </c>
      <c r="AK72" s="1452">
        <v>194</v>
      </c>
      <c r="AL72" s="347">
        <f>AM72-SUM(AI72:AK72)</f>
        <v>200</v>
      </c>
      <c r="AM72" s="1453">
        <v>723</v>
      </c>
      <c r="AN72" s="624">
        <v>200</v>
      </c>
      <c r="AO72" s="625">
        <v>205</v>
      </c>
      <c r="AP72" s="1452">
        <v>219</v>
      </c>
      <c r="AQ72" s="347">
        <f>AR72-SUM(AN72:AP72)</f>
        <v>210</v>
      </c>
      <c r="AR72" s="1453">
        <v>834</v>
      </c>
      <c r="AS72" s="624">
        <v>216</v>
      </c>
      <c r="AT72" s="625">
        <v>220</v>
      </c>
      <c r="AU72" s="625">
        <v>245</v>
      </c>
      <c r="AV72" s="347">
        <f>AW72-SUM(AS72:AU72)</f>
        <v>228</v>
      </c>
      <c r="AW72" s="1453">
        <v>909</v>
      </c>
      <c r="AX72" s="292"/>
      <c r="AY72" s="261"/>
      <c r="AZ72" s="261"/>
      <c r="BA72" s="293"/>
      <c r="BB72" s="228"/>
      <c r="BC72" s="292"/>
      <c r="BD72" s="261"/>
      <c r="BE72" s="261"/>
      <c r="BF72" s="293"/>
      <c r="BG72" s="228"/>
      <c r="BH72" s="292"/>
      <c r="BI72" s="261"/>
      <c r="BJ72" s="261"/>
      <c r="BK72" s="293"/>
      <c r="BL72" s="228"/>
      <c r="BM72" s="292"/>
      <c r="BN72" s="261"/>
      <c r="BO72" s="261"/>
      <c r="BP72" s="293"/>
      <c r="BQ72" s="228"/>
      <c r="BR72" s="330"/>
      <c r="BS72" s="330"/>
      <c r="BT72" s="330"/>
      <c r="BU72" s="330"/>
      <c r="BV72" s="330"/>
      <c r="BW72" s="330"/>
      <c r="BX72" s="330"/>
      <c r="BY72" s="330"/>
      <c r="BZ72" s="330"/>
      <c r="CA72" s="330"/>
      <c r="CB72" s="330"/>
      <c r="CC72" s="5"/>
      <c r="CD72" s="5"/>
      <c r="CE72" s="330"/>
      <c r="CF72" s="330"/>
      <c r="CG72" s="330"/>
      <c r="CH72" s="330"/>
      <c r="CI72" s="330"/>
      <c r="CJ72" s="330"/>
      <c r="CK72" s="330"/>
      <c r="CL72" s="330"/>
      <c r="CM72" s="330"/>
      <c r="CN72" s="330"/>
      <c r="CO72" s="330"/>
      <c r="CP72" s="330"/>
      <c r="CQ72" s="330"/>
      <c r="CR72" s="330"/>
      <c r="CS72" s="330"/>
      <c r="CT72" s="330"/>
      <c r="CU72" s="330"/>
    </row>
    <row r="73" spans="1:99" ht="12.75" customHeight="1">
      <c r="A73" s="330"/>
      <c r="B73" s="330"/>
      <c r="C73" s="32" t="s">
        <v>129</v>
      </c>
      <c r="D73" s="330"/>
      <c r="E73" s="261">
        <f t="shared" ref="E73:R73" si="191">SUM(E68:E72)</f>
        <v>1553</v>
      </c>
      <c r="F73" s="261">
        <f t="shared" si="191"/>
        <v>1389</v>
      </c>
      <c r="G73" s="261">
        <f t="shared" si="191"/>
        <v>1475</v>
      </c>
      <c r="H73" s="293">
        <f t="shared" si="191"/>
        <v>1357</v>
      </c>
      <c r="I73" s="228">
        <f t="shared" si="191"/>
        <v>5774</v>
      </c>
      <c r="J73" s="292">
        <f t="shared" si="191"/>
        <v>1415</v>
      </c>
      <c r="K73" s="261">
        <f t="shared" si="191"/>
        <v>1499</v>
      </c>
      <c r="L73" s="261">
        <f t="shared" si="191"/>
        <v>1918</v>
      </c>
      <c r="M73" s="293">
        <f t="shared" si="191"/>
        <v>1372</v>
      </c>
      <c r="N73" s="228">
        <f t="shared" si="191"/>
        <v>6204</v>
      </c>
      <c r="O73" s="292">
        <f t="shared" si="191"/>
        <v>1466</v>
      </c>
      <c r="P73" s="261">
        <f t="shared" si="191"/>
        <v>1444</v>
      </c>
      <c r="Q73" s="261">
        <f t="shared" si="191"/>
        <v>1784</v>
      </c>
      <c r="R73" s="293">
        <f t="shared" si="191"/>
        <v>1362</v>
      </c>
      <c r="S73" s="228">
        <f t="shared" ref="S73:AA73" si="192">SUM(S68:S72)</f>
        <v>6056</v>
      </c>
      <c r="T73" s="292">
        <f t="shared" si="192"/>
        <v>1388</v>
      </c>
      <c r="U73" s="261">
        <f t="shared" si="192"/>
        <v>1281</v>
      </c>
      <c r="V73" s="261">
        <f t="shared" si="192"/>
        <v>1484</v>
      </c>
      <c r="W73" s="293">
        <f t="shared" si="192"/>
        <v>1290</v>
      </c>
      <c r="X73" s="228">
        <f t="shared" si="192"/>
        <v>5443</v>
      </c>
      <c r="Y73" s="292">
        <f t="shared" si="192"/>
        <v>1160</v>
      </c>
      <c r="Z73" s="261">
        <f t="shared" si="192"/>
        <v>1080</v>
      </c>
      <c r="AA73" s="1438">
        <f t="shared" si="192"/>
        <v>1156</v>
      </c>
      <c r="AB73" s="1439">
        <f>SUM(AB68:AB72)</f>
        <v>1068</v>
      </c>
      <c r="AC73" s="1440">
        <f>SUM(AC68:AC72)</f>
        <v>4464</v>
      </c>
      <c r="AD73" s="292">
        <f>SUM(AD68:AD72)</f>
        <v>1134</v>
      </c>
      <c r="AE73" s="261">
        <f>SUM(AE68:AE72)</f>
        <v>1128</v>
      </c>
      <c r="AF73" s="1438">
        <f t="shared" ref="AF73" si="193">SUM(AF68:AF72)</f>
        <v>1222</v>
      </c>
      <c r="AG73" s="1439">
        <f>SUM(AG68:AG72)</f>
        <v>1080</v>
      </c>
      <c r="AH73" s="1440">
        <f>SUM(AH68:AH72)</f>
        <v>4564</v>
      </c>
      <c r="AI73" s="292">
        <f>SUM(AI68:AI72)</f>
        <v>1185</v>
      </c>
      <c r="AJ73" s="261">
        <f>SUM(AJ68:AJ72)</f>
        <v>1148</v>
      </c>
      <c r="AK73" s="1438">
        <f t="shared" ref="AK73" si="194">SUM(AK68:AK72)</f>
        <v>1376</v>
      </c>
      <c r="AL73" s="1439">
        <f>SUM(AL68:AL72)</f>
        <v>1196</v>
      </c>
      <c r="AM73" s="1440">
        <f>SUM(AM68:AM72)</f>
        <v>4905</v>
      </c>
      <c r="AN73" s="292">
        <f>SUM(AN68:AN72)</f>
        <v>1249</v>
      </c>
      <c r="AO73" s="261">
        <f>SUM(AO68:AO72)</f>
        <v>1286</v>
      </c>
      <c r="AP73" s="1438">
        <f t="shared" ref="AP73" si="195">SUM(AP68:AP72)</f>
        <v>1497</v>
      </c>
      <c r="AQ73" s="1439">
        <f>SUM(AQ68:AQ72)</f>
        <v>1222</v>
      </c>
      <c r="AR73" s="1440">
        <f>SUM(AR68:AR72)</f>
        <v>5254</v>
      </c>
      <c r="AS73" s="292">
        <f t="shared" ref="AS73" si="196">SUM(AS68:AS72)</f>
        <v>1298</v>
      </c>
      <c r="AT73" s="261">
        <f>SUM(AT68:AT72)</f>
        <v>1357</v>
      </c>
      <c r="AU73" s="261">
        <f>SUM(AU68:AU72)</f>
        <v>1571</v>
      </c>
      <c r="AV73" s="1439">
        <f>SUM(AV68:AV72)</f>
        <v>1310</v>
      </c>
      <c r="AW73" s="1440">
        <f>SUM(AW68:AW72)</f>
        <v>5536</v>
      </c>
      <c r="AX73" s="292">
        <f>AX80*AX83/1000</f>
        <v>1274.4510163518344</v>
      </c>
      <c r="AY73" s="261">
        <f>AY80*AY83/1000</f>
        <v>1348.4847115384612</v>
      </c>
      <c r="AZ73" s="261">
        <f>AZ80*AZ83/1000</f>
        <v>1523.6290142276425</v>
      </c>
      <c r="BA73" s="293">
        <f>BA80*BA83/1000</f>
        <v>1268.8253380643719</v>
      </c>
      <c r="BB73" s="228">
        <f>SUM(AX73:BA73)</f>
        <v>5415.3900801823102</v>
      </c>
      <c r="BC73" s="292">
        <f>BC80*BC83/1000</f>
        <v>1297.5447663518344</v>
      </c>
      <c r="BD73" s="261">
        <f>BD80*BD83/1000</f>
        <v>1371.5784615384612</v>
      </c>
      <c r="BE73" s="261">
        <f>BE80*BE83/1000</f>
        <v>1546.7227642276425</v>
      </c>
      <c r="BF73" s="293">
        <f>BF80*BF83/1000</f>
        <v>1291.9190880643719</v>
      </c>
      <c r="BG73" s="228">
        <f>SUM(BC73:BF73)</f>
        <v>5507.7650801823102</v>
      </c>
      <c r="BH73" s="292">
        <f>BH80*BH83/1000</f>
        <v>1326.9822663518344</v>
      </c>
      <c r="BI73" s="261">
        <f>BI80*BI83/1000</f>
        <v>1401.0159615384614</v>
      </c>
      <c r="BJ73" s="261">
        <f>BJ80*BJ83/1000</f>
        <v>1576.1602642276423</v>
      </c>
      <c r="BK73" s="293">
        <f>BK80*BK83/1000</f>
        <v>1321.3565880643719</v>
      </c>
      <c r="BL73" s="228">
        <f>SUM(BH73:BK73)</f>
        <v>5625.5150801823102</v>
      </c>
      <c r="BM73" s="292">
        <f>BM80*BM83/1000</f>
        <v>1357.1385163518344</v>
      </c>
      <c r="BN73" s="261">
        <f>BN80*BN83/1000</f>
        <v>1431.1722115384614</v>
      </c>
      <c r="BO73" s="261">
        <f>BO80*BO83/1000</f>
        <v>1606.3165142276423</v>
      </c>
      <c r="BP73" s="293">
        <f>BP80*BP83/1000</f>
        <v>1351.5128380643721</v>
      </c>
      <c r="BQ73" s="228">
        <f>SUM(BM73:BP73)</f>
        <v>5746.1400801823102</v>
      </c>
      <c r="BR73" s="330"/>
      <c r="BS73" s="330"/>
      <c r="BT73" s="330"/>
      <c r="BU73" s="330"/>
      <c r="BV73" s="330"/>
      <c r="BW73" s="330"/>
      <c r="BX73" s="330"/>
      <c r="BY73" s="330"/>
      <c r="BZ73" s="330"/>
      <c r="CA73" s="330"/>
      <c r="CB73" s="330"/>
      <c r="CC73" s="5"/>
      <c r="CD73" s="5"/>
      <c r="CE73" s="330"/>
      <c r="CF73" s="330"/>
      <c r="CG73" s="330"/>
      <c r="CH73" s="330"/>
      <c r="CI73" s="330"/>
      <c r="CJ73" s="330"/>
      <c r="CK73" s="330"/>
      <c r="CL73" s="330"/>
      <c r="CM73" s="330"/>
      <c r="CN73" s="330"/>
      <c r="CO73" s="330"/>
      <c r="CP73" s="330"/>
      <c r="CQ73" s="330"/>
      <c r="CR73" s="330"/>
      <c r="CS73" s="330"/>
      <c r="CT73" s="330"/>
      <c r="CU73" s="330"/>
    </row>
    <row r="74" spans="1:99" ht="12.75" customHeight="1">
      <c r="A74" s="330"/>
      <c r="B74" s="330"/>
      <c r="C74" s="228"/>
      <c r="D74" s="330"/>
      <c r="E74" s="292"/>
      <c r="F74" s="261"/>
      <c r="G74" s="261"/>
      <c r="H74" s="293"/>
      <c r="I74" s="228"/>
      <c r="J74" s="292"/>
      <c r="K74" s="261"/>
      <c r="L74" s="261"/>
      <c r="M74" s="293"/>
      <c r="N74" s="228"/>
      <c r="O74" s="292"/>
      <c r="P74" s="261"/>
      <c r="Q74" s="261"/>
      <c r="R74" s="293"/>
      <c r="S74" s="228"/>
      <c r="T74" s="292"/>
      <c r="U74" s="261"/>
      <c r="V74" s="261"/>
      <c r="W74" s="293"/>
      <c r="X74" s="228"/>
      <c r="Y74" s="292"/>
      <c r="Z74" s="261"/>
      <c r="AA74" s="1438"/>
      <c r="AB74" s="1439"/>
      <c r="AC74" s="1440"/>
      <c r="AD74" s="292"/>
      <c r="AE74" s="261"/>
      <c r="AF74" s="261"/>
      <c r="AG74" s="1439"/>
      <c r="AH74" s="1440"/>
      <c r="AI74" s="292"/>
      <c r="AJ74" s="261"/>
      <c r="AK74" s="2224"/>
      <c r="AL74" s="1439"/>
      <c r="AM74" s="1440"/>
      <c r="AN74" s="292"/>
      <c r="AO74" s="261"/>
      <c r="AP74" s="2224"/>
      <c r="AQ74" s="293"/>
      <c r="AR74" s="228"/>
      <c r="AS74" s="292"/>
      <c r="AT74" s="261"/>
      <c r="AU74" s="2224"/>
      <c r="AV74" s="293"/>
      <c r="AW74" s="228"/>
      <c r="AX74" s="292"/>
      <c r="AY74" s="261"/>
      <c r="AZ74" s="261"/>
      <c r="BA74" s="293"/>
      <c r="BB74" s="228"/>
      <c r="BC74" s="292"/>
      <c r="BD74" s="261"/>
      <c r="BE74" s="261"/>
      <c r="BF74" s="293"/>
      <c r="BG74" s="228"/>
      <c r="BH74" s="292"/>
      <c r="BI74" s="261"/>
      <c r="BJ74" s="261"/>
      <c r="BK74" s="293"/>
      <c r="BL74" s="228"/>
      <c r="BM74" s="292"/>
      <c r="BN74" s="261"/>
      <c r="BO74" s="261"/>
      <c r="BP74" s="293"/>
      <c r="BQ74" s="228"/>
      <c r="BR74" s="330"/>
      <c r="BS74" s="330"/>
      <c r="BT74" s="330"/>
      <c r="BU74" s="330"/>
      <c r="BV74" s="330"/>
      <c r="BW74" s="330"/>
      <c r="BX74" s="330"/>
      <c r="BY74" s="330"/>
      <c r="BZ74" s="330"/>
      <c r="CA74" s="330"/>
      <c r="CB74" s="330"/>
      <c r="CC74" s="5"/>
      <c r="CD74" s="5"/>
      <c r="CE74" s="330"/>
      <c r="CF74" s="330"/>
      <c r="CG74" s="330"/>
      <c r="CH74" s="330"/>
      <c r="CI74" s="330"/>
      <c r="CJ74" s="330"/>
      <c r="CK74" s="330"/>
      <c r="CL74" s="330"/>
      <c r="CM74" s="330"/>
      <c r="CN74" s="330"/>
      <c r="CO74" s="330"/>
      <c r="CP74" s="330"/>
      <c r="CQ74" s="330"/>
      <c r="CR74" s="330"/>
      <c r="CS74" s="330"/>
      <c r="CT74" s="330"/>
      <c r="CU74" s="330"/>
    </row>
    <row r="75" spans="1:99" ht="12.75" customHeight="1">
      <c r="A75" s="330"/>
      <c r="B75" s="330"/>
      <c r="C75" s="32" t="s">
        <v>130</v>
      </c>
      <c r="D75" s="330"/>
      <c r="E75" s="292"/>
      <c r="F75" s="261"/>
      <c r="G75" s="261"/>
      <c r="H75" s="293"/>
      <c r="I75" s="228"/>
      <c r="J75" s="292"/>
      <c r="K75" s="261"/>
      <c r="L75" s="261"/>
      <c r="M75" s="293"/>
      <c r="N75" s="228"/>
      <c r="O75" s="292"/>
      <c r="P75" s="261"/>
      <c r="Q75" s="261"/>
      <c r="R75" s="293"/>
      <c r="S75" s="228"/>
      <c r="T75" s="292"/>
      <c r="U75" s="261"/>
      <c r="V75" s="261"/>
      <c r="W75" s="293"/>
      <c r="X75" s="228"/>
      <c r="Y75" s="292"/>
      <c r="Z75" s="261"/>
      <c r="AA75" s="1438"/>
      <c r="AB75" s="1439"/>
      <c r="AC75" s="1440"/>
      <c r="AD75" s="292"/>
      <c r="AE75" s="261"/>
      <c r="AF75" s="261"/>
      <c r="AG75" s="1439"/>
      <c r="AH75" s="1440"/>
      <c r="AI75" s="292"/>
      <c r="AJ75" s="261"/>
      <c r="AK75" s="261"/>
      <c r="AL75" s="1439"/>
      <c r="AM75" s="1440"/>
      <c r="AN75" s="292"/>
      <c r="AO75" s="261"/>
      <c r="AP75" s="261"/>
      <c r="AQ75" s="293"/>
      <c r="AR75" s="228"/>
      <c r="AS75" s="292"/>
      <c r="AT75" s="261"/>
      <c r="AU75" s="261"/>
      <c r="AV75" s="293"/>
      <c r="AW75" s="228"/>
      <c r="AX75" s="292"/>
      <c r="AY75" s="261"/>
      <c r="AZ75" s="261"/>
      <c r="BA75" s="293"/>
      <c r="BB75" s="228"/>
      <c r="BC75" s="292"/>
      <c r="BD75" s="261"/>
      <c r="BE75" s="261"/>
      <c r="BF75" s="293"/>
      <c r="BG75" s="228"/>
      <c r="BH75" s="292"/>
      <c r="BI75" s="261"/>
      <c r="BJ75" s="261"/>
      <c r="BK75" s="293"/>
      <c r="BL75" s="228"/>
      <c r="BM75" s="292"/>
      <c r="BN75" s="261"/>
      <c r="BO75" s="261"/>
      <c r="BP75" s="293"/>
      <c r="BQ75" s="228"/>
      <c r="BR75" s="330"/>
      <c r="BS75" s="330"/>
      <c r="BT75" s="330"/>
      <c r="BU75" s="330"/>
      <c r="BV75" s="330"/>
      <c r="BW75" s="330"/>
      <c r="BX75" s="330"/>
      <c r="BY75" s="330"/>
      <c r="BZ75" s="330"/>
      <c r="CA75" s="330"/>
      <c r="CB75" s="330"/>
      <c r="CC75" s="5"/>
      <c r="CD75" s="5"/>
      <c r="CE75" s="330"/>
      <c r="CF75" s="330"/>
      <c r="CG75" s="330"/>
      <c r="CH75" s="330"/>
      <c r="CI75" s="330"/>
      <c r="CJ75" s="330"/>
      <c r="CK75" s="330"/>
      <c r="CL75" s="330"/>
      <c r="CM75" s="330"/>
      <c r="CN75" s="330"/>
      <c r="CO75" s="330"/>
      <c r="CP75" s="330"/>
      <c r="CQ75" s="330"/>
      <c r="CR75" s="330"/>
      <c r="CS75" s="330"/>
      <c r="CT75" s="330"/>
      <c r="CU75" s="330"/>
    </row>
    <row r="76" spans="1:99" ht="12.75" customHeight="1">
      <c r="A76" s="330"/>
      <c r="B76" s="330"/>
      <c r="C76" s="576" t="s">
        <v>406</v>
      </c>
      <c r="D76" s="330"/>
      <c r="E76" s="624">
        <v>7063</v>
      </c>
      <c r="F76" s="625">
        <v>6032</v>
      </c>
      <c r="G76" s="625">
        <v>6984</v>
      </c>
      <c r="H76" s="347">
        <f>I76-SUM(E76:G76)</f>
        <v>6542</v>
      </c>
      <c r="I76" s="626">
        <v>26621</v>
      </c>
      <c r="J76" s="624">
        <v>6943</v>
      </c>
      <c r="K76" s="625">
        <v>6474</v>
      </c>
      <c r="L76" s="625">
        <v>9361</v>
      </c>
      <c r="M76" s="347">
        <f>N76-SUM(J76:L76)</f>
        <v>6393</v>
      </c>
      <c r="N76" s="626">
        <v>29171</v>
      </c>
      <c r="O76" s="624">
        <v>6953</v>
      </c>
      <c r="P76" s="625">
        <v>6277</v>
      </c>
      <c r="Q76" s="625">
        <v>8877</v>
      </c>
      <c r="R76" s="347">
        <f>S76-SUM(O76:Q76)</f>
        <v>6166</v>
      </c>
      <c r="S76" s="626">
        <v>28273</v>
      </c>
      <c r="T76" s="624">
        <v>6406</v>
      </c>
      <c r="U76" s="625">
        <v>6674</v>
      </c>
      <c r="V76" s="625">
        <v>9265</v>
      </c>
      <c r="W76" s="347">
        <f>X76-SUM(T76:V76)</f>
        <v>6183</v>
      </c>
      <c r="X76" s="626">
        <v>28528</v>
      </c>
      <c r="Y76" s="624">
        <v>6876</v>
      </c>
      <c r="Z76" s="625">
        <v>6090</v>
      </c>
      <c r="AA76" s="1452">
        <v>8188</v>
      </c>
      <c r="AB76" s="347">
        <f>AC76-SUM(Y76:AA76)</f>
        <v>6646</v>
      </c>
      <c r="AC76" s="1454">
        <v>27800</v>
      </c>
      <c r="AD76" s="624">
        <v>7411</v>
      </c>
      <c r="AE76" s="625">
        <v>6177</v>
      </c>
      <c r="AF76" s="1452">
        <v>7332</v>
      </c>
      <c r="AG76" s="347">
        <f>AH76-SUM(AD76:AF76)</f>
        <v>6310</v>
      </c>
      <c r="AH76" s="1454">
        <v>27230</v>
      </c>
      <c r="AI76" s="624">
        <v>6997</v>
      </c>
      <c r="AJ76" s="625">
        <v>5685</v>
      </c>
      <c r="AK76" s="1452">
        <v>7919</v>
      </c>
      <c r="AL76" s="347">
        <f>AM76-SUM(AI76:AK76)</f>
        <v>5895</v>
      </c>
      <c r="AM76" s="1454">
        <v>26496</v>
      </c>
      <c r="AN76" s="624">
        <v>6376</v>
      </c>
      <c r="AO76" s="625">
        <v>6349</v>
      </c>
      <c r="AP76" s="1452">
        <v>9014</v>
      </c>
      <c r="AQ76" s="347">
        <f>AR76-SUM(AN76:AP76)</f>
        <v>6051</v>
      </c>
      <c r="AR76" s="1454">
        <v>27790</v>
      </c>
      <c r="AS76" s="624">
        <v>6241</v>
      </c>
      <c r="AT76" s="625">
        <v>5919</v>
      </c>
      <c r="AU76" s="625">
        <v>8004</v>
      </c>
      <c r="AV76" s="347">
        <f>AW76-SUM(AS76:AU76)</f>
        <v>6128</v>
      </c>
      <c r="AW76" s="1454">
        <v>26292</v>
      </c>
      <c r="AX76" s="292"/>
      <c r="AY76" s="261"/>
      <c r="AZ76" s="261"/>
      <c r="BA76" s="293"/>
      <c r="BB76" s="228"/>
      <c r="BC76" s="292"/>
      <c r="BD76" s="261"/>
      <c r="BE76" s="261"/>
      <c r="BF76" s="293"/>
      <c r="BG76" s="228"/>
      <c r="BH76" s="292"/>
      <c r="BI76" s="261"/>
      <c r="BJ76" s="261"/>
      <c r="BK76" s="293"/>
      <c r="BL76" s="228"/>
      <c r="BM76" s="292"/>
      <c r="BN76" s="261"/>
      <c r="BO76" s="261"/>
      <c r="BP76" s="293"/>
      <c r="BQ76" s="228"/>
      <c r="BR76" s="330"/>
      <c r="BS76" s="330"/>
      <c r="BT76" s="330"/>
      <c r="BU76" s="330"/>
      <c r="BV76" s="330"/>
      <c r="BW76" s="330"/>
      <c r="BX76" s="330"/>
      <c r="BY76" s="330"/>
      <c r="BZ76" s="330"/>
      <c r="CA76" s="330"/>
      <c r="CB76" s="330"/>
      <c r="CC76" s="5"/>
      <c r="CD76" s="5"/>
      <c r="CE76" s="330"/>
      <c r="CF76" s="330"/>
      <c r="CG76" s="330"/>
      <c r="CH76" s="330"/>
      <c r="CI76" s="330"/>
      <c r="CJ76" s="330"/>
      <c r="CK76" s="330"/>
      <c r="CL76" s="330"/>
      <c r="CM76" s="330"/>
      <c r="CN76" s="330"/>
      <c r="CO76" s="330"/>
      <c r="CP76" s="330"/>
      <c r="CQ76" s="330"/>
      <c r="CR76" s="330"/>
      <c r="CS76" s="330"/>
      <c r="CT76" s="330"/>
      <c r="CU76" s="330"/>
    </row>
    <row r="77" spans="1:99" ht="12.75" customHeight="1">
      <c r="A77" s="330"/>
      <c r="B77" s="330"/>
      <c r="C77" s="576" t="s">
        <v>716</v>
      </c>
      <c r="D77" s="330"/>
      <c r="E77" s="624">
        <v>8149</v>
      </c>
      <c r="F77" s="625">
        <v>7739</v>
      </c>
      <c r="G77" s="625">
        <v>8448</v>
      </c>
      <c r="H77" s="347">
        <f>I77-SUM(E77:G77)</f>
        <v>7898</v>
      </c>
      <c r="I77" s="626">
        <v>32234</v>
      </c>
      <c r="J77" s="624">
        <v>7930</v>
      </c>
      <c r="K77" s="625">
        <v>7935</v>
      </c>
      <c r="L77" s="625">
        <v>9110</v>
      </c>
      <c r="M77" s="347">
        <f>N77-SUM(J77:L77)</f>
        <v>7929</v>
      </c>
      <c r="N77" s="626">
        <v>32904</v>
      </c>
      <c r="O77" s="624">
        <v>8074</v>
      </c>
      <c r="P77" s="625">
        <v>7763</v>
      </c>
      <c r="Q77" s="625">
        <v>8811</v>
      </c>
      <c r="R77" s="347">
        <f>S77-SUM(O77:Q77)</f>
        <v>7633</v>
      </c>
      <c r="S77" s="626">
        <v>32281</v>
      </c>
      <c r="T77" s="624">
        <v>7916</v>
      </c>
      <c r="U77" s="625">
        <v>7888</v>
      </c>
      <c r="V77" s="625">
        <v>8639</v>
      </c>
      <c r="W77" s="347">
        <f>X77-SUM(T77:V77)</f>
        <v>8091</v>
      </c>
      <c r="X77" s="626">
        <v>32534</v>
      </c>
      <c r="Y77" s="624">
        <v>7873</v>
      </c>
      <c r="Z77" s="625">
        <v>7832</v>
      </c>
      <c r="AA77" s="1452">
        <v>8680</v>
      </c>
      <c r="AB77" s="347">
        <f>AC77-SUM(Y77:AA77)</f>
        <v>7920</v>
      </c>
      <c r="AC77" s="1454">
        <v>32305</v>
      </c>
      <c r="AD77" s="624">
        <v>8331</v>
      </c>
      <c r="AE77" s="625">
        <v>7759</v>
      </c>
      <c r="AF77" s="1452">
        <v>8366</v>
      </c>
      <c r="AG77" s="347">
        <f>AH77-SUM(AD77:AF77)</f>
        <v>7690</v>
      </c>
      <c r="AH77" s="1454">
        <v>32146</v>
      </c>
      <c r="AI77" s="624">
        <v>8161</v>
      </c>
      <c r="AJ77" s="625">
        <v>7566</v>
      </c>
      <c r="AK77" s="1452">
        <v>8579</v>
      </c>
      <c r="AL77" s="347">
        <f>AM77-SUM(AI77:AK77)</f>
        <v>7411</v>
      </c>
      <c r="AM77" s="1454">
        <v>31717</v>
      </c>
      <c r="AN77" s="624">
        <v>7879</v>
      </c>
      <c r="AO77" s="625">
        <v>7735</v>
      </c>
      <c r="AP77" s="1452">
        <v>8833</v>
      </c>
      <c r="AQ77" s="347">
        <f>AR77-SUM(AN77:AP77)</f>
        <v>7528</v>
      </c>
      <c r="AR77" s="1454">
        <v>31975</v>
      </c>
      <c r="AS77" s="624">
        <v>7709</v>
      </c>
      <c r="AT77" s="625">
        <v>7437</v>
      </c>
      <c r="AU77" s="625">
        <v>8488</v>
      </c>
      <c r="AV77" s="347">
        <f>AW77-SUM(AS77:AU77)</f>
        <v>7698</v>
      </c>
      <c r="AW77" s="1454">
        <v>31332</v>
      </c>
      <c r="AX77" s="292"/>
      <c r="AY77" s="261"/>
      <c r="AZ77" s="261"/>
      <c r="BA77" s="293"/>
      <c r="BB77" s="228"/>
      <c r="BC77" s="292"/>
      <c r="BD77" s="261"/>
      <c r="BE77" s="261"/>
      <c r="BF77" s="293"/>
      <c r="BG77" s="228"/>
      <c r="BH77" s="292"/>
      <c r="BI77" s="261"/>
      <c r="BJ77" s="261"/>
      <c r="BK77" s="293"/>
      <c r="BL77" s="228"/>
      <c r="BM77" s="292"/>
      <c r="BN77" s="261"/>
      <c r="BO77" s="261"/>
      <c r="BP77" s="293"/>
      <c r="BQ77" s="228"/>
      <c r="BR77" s="330"/>
      <c r="BS77" s="330"/>
      <c r="BT77" s="330"/>
      <c r="BU77" s="330"/>
      <c r="BV77" s="330"/>
      <c r="BW77" s="330"/>
      <c r="BX77" s="330"/>
      <c r="BY77" s="330"/>
      <c r="BZ77" s="330"/>
      <c r="CA77" s="330"/>
      <c r="CB77" s="330"/>
      <c r="CC77" s="5"/>
      <c r="CD77" s="5"/>
      <c r="CE77" s="330"/>
      <c r="CF77" s="330"/>
      <c r="CG77" s="330"/>
      <c r="CH77" s="330"/>
      <c r="CI77" s="330"/>
      <c r="CJ77" s="330"/>
      <c r="CK77" s="330"/>
      <c r="CL77" s="330"/>
      <c r="CM77" s="330"/>
      <c r="CN77" s="330"/>
      <c r="CO77" s="330"/>
      <c r="CP77" s="330"/>
      <c r="CQ77" s="330"/>
      <c r="CR77" s="330"/>
      <c r="CS77" s="330"/>
      <c r="CT77" s="330"/>
      <c r="CU77" s="330"/>
    </row>
    <row r="78" spans="1:99" ht="12.75" customHeight="1">
      <c r="A78" s="330"/>
      <c r="B78" s="330"/>
      <c r="C78" s="576" t="s">
        <v>717</v>
      </c>
      <c r="D78" s="330"/>
      <c r="E78" s="624">
        <v>6775</v>
      </c>
      <c r="F78" s="625">
        <v>6468</v>
      </c>
      <c r="G78" s="625">
        <v>6922</v>
      </c>
      <c r="H78" s="347">
        <f>I78-SUM(E78:G78)</f>
        <v>6503</v>
      </c>
      <c r="I78" s="626">
        <v>26668</v>
      </c>
      <c r="J78" s="624">
        <v>6663</v>
      </c>
      <c r="K78" s="625">
        <v>6825</v>
      </c>
      <c r="L78" s="625">
        <v>7503</v>
      </c>
      <c r="M78" s="347">
        <f>N78-SUM(J78:L78)</f>
        <v>6726</v>
      </c>
      <c r="N78" s="626">
        <v>27717</v>
      </c>
      <c r="O78" s="624">
        <v>6819</v>
      </c>
      <c r="P78" s="625">
        <v>6698</v>
      </c>
      <c r="Q78" s="625">
        <v>7494</v>
      </c>
      <c r="R78" s="347">
        <f>S78-SUM(O78:Q78)</f>
        <v>6721</v>
      </c>
      <c r="S78" s="626">
        <v>27732</v>
      </c>
      <c r="T78" s="624">
        <v>6703</v>
      </c>
      <c r="U78" s="625">
        <v>6839</v>
      </c>
      <c r="V78" s="625">
        <v>7506</v>
      </c>
      <c r="W78" s="347">
        <f>X78-SUM(T78:V78)</f>
        <v>6595</v>
      </c>
      <c r="X78" s="626">
        <v>27643</v>
      </c>
      <c r="Y78" s="624">
        <v>6840</v>
      </c>
      <c r="Z78" s="625">
        <v>6711</v>
      </c>
      <c r="AA78" s="1452">
        <v>7381</v>
      </c>
      <c r="AB78" s="347">
        <f>AC78-SUM(Y78:AA78)</f>
        <v>6752</v>
      </c>
      <c r="AC78" s="1454">
        <v>27684</v>
      </c>
      <c r="AD78" s="624">
        <v>7095</v>
      </c>
      <c r="AE78" s="625">
        <v>6769</v>
      </c>
      <c r="AF78" s="1452">
        <v>7245</v>
      </c>
      <c r="AG78" s="347">
        <f>AH78-SUM(AD78:AF78)</f>
        <v>6738</v>
      </c>
      <c r="AH78" s="1454">
        <v>27847</v>
      </c>
      <c r="AI78" s="624">
        <v>6877</v>
      </c>
      <c r="AJ78" s="625">
        <v>6680</v>
      </c>
      <c r="AK78" s="1452">
        <v>7250</v>
      </c>
      <c r="AL78" s="347">
        <f>AM78-SUM(AI78:AK78)</f>
        <v>6403</v>
      </c>
      <c r="AM78" s="1454">
        <v>27210</v>
      </c>
      <c r="AN78" s="624">
        <v>6756</v>
      </c>
      <c r="AO78" s="625">
        <v>6736</v>
      </c>
      <c r="AP78" s="1452">
        <v>7565</v>
      </c>
      <c r="AQ78" s="347">
        <f>AR78-SUM(AN78:AP78)</f>
        <v>6785</v>
      </c>
      <c r="AR78" s="1454">
        <v>27842</v>
      </c>
      <c r="AS78" s="624">
        <v>6683</v>
      </c>
      <c r="AT78" s="625">
        <v>6798</v>
      </c>
      <c r="AU78" s="625">
        <v>7232</v>
      </c>
      <c r="AV78" s="347">
        <f>AW78-SUM(AS78:AU78)</f>
        <v>6754</v>
      </c>
      <c r="AW78" s="1454">
        <v>27467</v>
      </c>
      <c r="AX78" s="292"/>
      <c r="AY78" s="261"/>
      <c r="AZ78" s="261"/>
      <c r="BA78" s="293"/>
      <c r="BB78" s="228"/>
      <c r="BC78" s="292"/>
      <c r="BD78" s="261"/>
      <c r="BE78" s="261"/>
      <c r="BF78" s="293"/>
      <c r="BG78" s="228"/>
      <c r="BH78" s="292"/>
      <c r="BI78" s="261"/>
      <c r="BJ78" s="261"/>
      <c r="BK78" s="293"/>
      <c r="BL78" s="228"/>
      <c r="BM78" s="292"/>
      <c r="BN78" s="261"/>
      <c r="BO78" s="261"/>
      <c r="BP78" s="293"/>
      <c r="BQ78" s="228"/>
      <c r="BR78" s="330"/>
      <c r="BS78" s="330"/>
      <c r="BT78" s="330"/>
      <c r="BU78" s="330"/>
      <c r="BV78" s="330"/>
      <c r="BW78" s="330"/>
      <c r="BX78" s="330"/>
      <c r="BY78" s="330"/>
      <c r="BZ78" s="330"/>
      <c r="CA78" s="330"/>
      <c r="CB78" s="330"/>
      <c r="CC78" s="5"/>
      <c r="CD78" s="5"/>
      <c r="CE78" s="330"/>
      <c r="CF78" s="330"/>
      <c r="CG78" s="330"/>
      <c r="CH78" s="330"/>
      <c r="CI78" s="330"/>
      <c r="CJ78" s="330"/>
      <c r="CK78" s="330"/>
      <c r="CL78" s="330"/>
      <c r="CM78" s="330"/>
      <c r="CN78" s="330"/>
      <c r="CO78" s="330"/>
      <c r="CP78" s="330"/>
      <c r="CQ78" s="330"/>
      <c r="CR78" s="330"/>
      <c r="CS78" s="330"/>
      <c r="CT78" s="330"/>
      <c r="CU78" s="330"/>
    </row>
    <row r="79" spans="1:99" ht="12.75" customHeight="1">
      <c r="A79" s="330"/>
      <c r="B79" s="330"/>
      <c r="C79" s="576" t="s">
        <v>718</v>
      </c>
      <c r="D79" s="330"/>
      <c r="E79" s="624">
        <v>346</v>
      </c>
      <c r="F79" s="625">
        <v>275</v>
      </c>
      <c r="G79" s="625">
        <v>287</v>
      </c>
      <c r="H79" s="347">
        <f>I79-SUM(E79:G79)</f>
        <v>329</v>
      </c>
      <c r="I79" s="626">
        <v>1237</v>
      </c>
      <c r="J79" s="624">
        <v>367</v>
      </c>
      <c r="K79" s="625">
        <v>277</v>
      </c>
      <c r="L79" s="625">
        <v>283</v>
      </c>
      <c r="M79" s="347">
        <f>N79-SUM(J79:L79)</f>
        <v>346</v>
      </c>
      <c r="N79" s="626">
        <v>1273</v>
      </c>
      <c r="O79" s="624">
        <v>330</v>
      </c>
      <c r="P79" s="625">
        <v>286</v>
      </c>
      <c r="Q79" s="625">
        <v>303</v>
      </c>
      <c r="R79" s="347">
        <f>S79-SUM(O79:Q79)</f>
        <v>316</v>
      </c>
      <c r="S79" s="626">
        <v>1235</v>
      </c>
      <c r="T79" s="624">
        <v>325</v>
      </c>
      <c r="U79" s="625">
        <v>293</v>
      </c>
      <c r="V79" s="625">
        <v>314</v>
      </c>
      <c r="W79" s="347">
        <f>X79-SUM(T79:V79)</f>
        <v>340</v>
      </c>
      <c r="X79" s="626">
        <v>1272</v>
      </c>
      <c r="Y79" s="624">
        <v>373</v>
      </c>
      <c r="Z79" s="625">
        <v>294</v>
      </c>
      <c r="AA79" s="1452">
        <v>329</v>
      </c>
      <c r="AB79" s="347">
        <f>AC79-SUM(Y79:AA79)</f>
        <v>359</v>
      </c>
      <c r="AC79" s="1454">
        <v>1355</v>
      </c>
      <c r="AD79" s="624">
        <v>397</v>
      </c>
      <c r="AE79" s="625">
        <v>304</v>
      </c>
      <c r="AF79" s="1452">
        <v>301</v>
      </c>
      <c r="AG79" s="347">
        <f>AH79-SUM(AD79:AF79)</f>
        <v>356</v>
      </c>
      <c r="AH79" s="1454">
        <v>1358</v>
      </c>
      <c r="AI79" s="624">
        <v>379</v>
      </c>
      <c r="AJ79" s="625">
        <v>290</v>
      </c>
      <c r="AK79" s="1452">
        <v>295</v>
      </c>
      <c r="AL79" s="347">
        <f>AM79-SUM(AI79:AK79)</f>
        <v>345</v>
      </c>
      <c r="AM79" s="1454">
        <v>1309</v>
      </c>
      <c r="AN79" s="624">
        <v>361</v>
      </c>
      <c r="AO79" s="625">
        <v>277</v>
      </c>
      <c r="AP79" s="1452">
        <v>308</v>
      </c>
      <c r="AQ79" s="347">
        <f>AR79-SUM(AN79:AP79)</f>
        <v>352</v>
      </c>
      <c r="AR79" s="1454">
        <v>1298</v>
      </c>
      <c r="AS79" s="624">
        <v>344</v>
      </c>
      <c r="AT79" s="625">
        <v>282</v>
      </c>
      <c r="AU79" s="625">
        <v>302</v>
      </c>
      <c r="AV79" s="347">
        <f>AW79-SUM(AS79:AU79)</f>
        <v>358</v>
      </c>
      <c r="AW79" s="1454">
        <v>1286</v>
      </c>
      <c r="AX79" s="292"/>
      <c r="AY79" s="261"/>
      <c r="AZ79" s="261"/>
      <c r="BA79" s="293"/>
      <c r="BB79" s="228"/>
      <c r="BC79" s="292"/>
      <c r="BD79" s="261"/>
      <c r="BE79" s="261"/>
      <c r="BF79" s="293"/>
      <c r="BG79" s="228"/>
      <c r="BH79" s="292"/>
      <c r="BI79" s="261"/>
      <c r="BJ79" s="261"/>
      <c r="BK79" s="293"/>
      <c r="BL79" s="228"/>
      <c r="BM79" s="292"/>
      <c r="BN79" s="261"/>
      <c r="BO79" s="261"/>
      <c r="BP79" s="293"/>
      <c r="BQ79" s="228"/>
      <c r="BR79" s="330"/>
      <c r="BS79" s="330"/>
      <c r="BT79" s="330"/>
      <c r="BU79" s="330"/>
      <c r="BV79" s="330"/>
      <c r="BW79" s="330"/>
      <c r="BX79" s="330"/>
      <c r="BY79" s="330"/>
      <c r="BZ79" s="330"/>
      <c r="CA79" s="330"/>
      <c r="CB79" s="330"/>
      <c r="CC79" s="5"/>
      <c r="CD79" s="5"/>
      <c r="CE79" s="330"/>
      <c r="CF79" s="330"/>
      <c r="CG79" s="330"/>
      <c r="CH79" s="330"/>
      <c r="CI79" s="330"/>
      <c r="CJ79" s="330"/>
      <c r="CK79" s="330"/>
      <c r="CL79" s="330"/>
      <c r="CM79" s="330"/>
      <c r="CN79" s="330"/>
      <c r="CO79" s="330"/>
      <c r="CP79" s="330"/>
      <c r="CQ79" s="330"/>
      <c r="CR79" s="330"/>
      <c r="CS79" s="330"/>
      <c r="CT79" s="330"/>
      <c r="CU79" s="330"/>
    </row>
    <row r="80" spans="1:99" s="34" customFormat="1" ht="12.75" customHeight="1">
      <c r="A80" s="228"/>
      <c r="B80" s="228"/>
      <c r="C80" s="32" t="s">
        <v>131</v>
      </c>
      <c r="D80" s="228"/>
      <c r="E80" s="292">
        <f t="shared" ref="E80:S80" si="197">SUM(E76:E79)</f>
        <v>22333</v>
      </c>
      <c r="F80" s="261">
        <f t="shared" si="197"/>
        <v>20514</v>
      </c>
      <c r="G80" s="261">
        <f t="shared" si="197"/>
        <v>22641</v>
      </c>
      <c r="H80" s="293">
        <f t="shared" si="197"/>
        <v>21272</v>
      </c>
      <c r="I80" s="228">
        <f t="shared" si="197"/>
        <v>86760</v>
      </c>
      <c r="J80" s="292">
        <f t="shared" si="197"/>
        <v>21903</v>
      </c>
      <c r="K80" s="261">
        <f t="shared" si="197"/>
        <v>21511</v>
      </c>
      <c r="L80" s="261">
        <f t="shared" si="197"/>
        <v>26257</v>
      </c>
      <c r="M80" s="293">
        <f t="shared" si="197"/>
        <v>21394</v>
      </c>
      <c r="N80" s="228">
        <f t="shared" si="197"/>
        <v>91065</v>
      </c>
      <c r="O80" s="292">
        <f t="shared" si="197"/>
        <v>22176</v>
      </c>
      <c r="P80" s="261">
        <f t="shared" si="197"/>
        <v>21024</v>
      </c>
      <c r="Q80" s="261">
        <f t="shared" si="197"/>
        <v>25485</v>
      </c>
      <c r="R80" s="293">
        <f t="shared" si="197"/>
        <v>20836</v>
      </c>
      <c r="S80" s="228">
        <f t="shared" si="197"/>
        <v>89521</v>
      </c>
      <c r="T80" s="292">
        <f t="shared" ref="T80:AA80" si="198">SUM(T76:T79)</f>
        <v>21350</v>
      </c>
      <c r="U80" s="261">
        <f t="shared" si="198"/>
        <v>21694</v>
      </c>
      <c r="V80" s="261">
        <f t="shared" si="198"/>
        <v>25724</v>
      </c>
      <c r="W80" s="293">
        <f t="shared" si="198"/>
        <v>21209</v>
      </c>
      <c r="X80" s="228">
        <f t="shared" si="198"/>
        <v>89977</v>
      </c>
      <c r="Y80" s="292">
        <f t="shared" si="198"/>
        <v>21962</v>
      </c>
      <c r="Z80" s="261">
        <f t="shared" si="198"/>
        <v>20927</v>
      </c>
      <c r="AA80" s="1438">
        <f t="shared" si="198"/>
        <v>24578</v>
      </c>
      <c r="AB80" s="1439">
        <f>SUM(AB76:AB79)</f>
        <v>21677</v>
      </c>
      <c r="AC80" s="1440">
        <f>SUM(AC76:AC79)</f>
        <v>89144</v>
      </c>
      <c r="AD80" s="292">
        <f>SUM(AD76:AD79)</f>
        <v>23234</v>
      </c>
      <c r="AE80" s="261">
        <f>SUM(AE76:AE79)</f>
        <v>21009</v>
      </c>
      <c r="AF80" s="1438">
        <f t="shared" ref="AF80" si="199">SUM(AF76:AF79)</f>
        <v>23244</v>
      </c>
      <c r="AG80" s="1439">
        <f>SUM(AG76:AG79)</f>
        <v>21094</v>
      </c>
      <c r="AH80" s="1440">
        <f>SUM(AH76:AH79)</f>
        <v>88581</v>
      </c>
      <c r="AI80" s="292">
        <f>SUM(AI76:AI79)</f>
        <v>22414</v>
      </c>
      <c r="AJ80" s="261">
        <f>SUM(AJ76:AJ79)</f>
        <v>20221</v>
      </c>
      <c r="AK80" s="1438">
        <f t="shared" ref="AK80" si="200">SUM(AK76:AK79)</f>
        <v>24043</v>
      </c>
      <c r="AL80" s="1439">
        <f>SUM(AL76:AL79)</f>
        <v>20054</v>
      </c>
      <c r="AM80" s="1440">
        <f>SUM(AM76:AM79)</f>
        <v>86732</v>
      </c>
      <c r="AN80" s="292">
        <f>SUM(AN76:AN79)</f>
        <v>21372</v>
      </c>
      <c r="AO80" s="261">
        <f>SUM(AO76:AO79)</f>
        <v>21097</v>
      </c>
      <c r="AP80" s="1438">
        <f t="shared" ref="AP80" si="201">SUM(AP76:AP79)</f>
        <v>25720</v>
      </c>
      <c r="AQ80" s="1439">
        <f t="shared" ref="AQ80:AW80" si="202">SUM(AQ76:AQ79)</f>
        <v>20716</v>
      </c>
      <c r="AR80" s="1440">
        <f t="shared" si="202"/>
        <v>88905</v>
      </c>
      <c r="AS80" s="292">
        <f t="shared" si="202"/>
        <v>20977</v>
      </c>
      <c r="AT80" s="261">
        <f t="shared" si="202"/>
        <v>20436</v>
      </c>
      <c r="AU80" s="261">
        <f t="shared" si="202"/>
        <v>24026</v>
      </c>
      <c r="AV80" s="1439">
        <f t="shared" si="202"/>
        <v>20938</v>
      </c>
      <c r="AW80" s="1440">
        <f t="shared" si="202"/>
        <v>86377</v>
      </c>
      <c r="AX80" s="292">
        <f>+AS80*(1+AX50)</f>
        <v>21341.346351126678</v>
      </c>
      <c r="AY80" s="261">
        <f>+AT80*(1+AY50)</f>
        <v>21001.919999999998</v>
      </c>
      <c r="AZ80" s="261">
        <f>+AU80*(1+AZ50)</f>
        <v>24006.466666666667</v>
      </c>
      <c r="BA80" s="293">
        <f>+AV80*(1+BA50)</f>
        <v>21016.622798390701</v>
      </c>
      <c r="BB80" s="228">
        <f>SUM(AX80:BA80)</f>
        <v>87366.355816184034</v>
      </c>
      <c r="BC80" s="292">
        <f>+AX80*(1+BC50)</f>
        <v>21341.346351126678</v>
      </c>
      <c r="BD80" s="261">
        <f>+AY80*(1+BD50)</f>
        <v>21001.919999999998</v>
      </c>
      <c r="BE80" s="261">
        <f>+AZ80*(1+BE50)</f>
        <v>24006.466666666667</v>
      </c>
      <c r="BF80" s="293">
        <f>+BA80*(1+BF50)</f>
        <v>21016.622798390701</v>
      </c>
      <c r="BG80" s="228">
        <f>SUM(BC80:BF80)</f>
        <v>87366.355816184034</v>
      </c>
      <c r="BH80" s="292">
        <f>+BC80*(1+BH50)</f>
        <v>21341.346351126678</v>
      </c>
      <c r="BI80" s="261">
        <f>+BD80*(1+BI50)</f>
        <v>21001.919999999998</v>
      </c>
      <c r="BJ80" s="261">
        <f>+BE80*(1+BJ50)</f>
        <v>24006.466666666667</v>
      </c>
      <c r="BK80" s="293">
        <f>+BF80*(1+BK50)</f>
        <v>21016.622798390701</v>
      </c>
      <c r="BL80" s="228">
        <f>SUM(BH80:BK80)</f>
        <v>87366.355816184034</v>
      </c>
      <c r="BM80" s="292">
        <f>+BH80*(1+BM50)</f>
        <v>21341.346351126678</v>
      </c>
      <c r="BN80" s="261">
        <f>+BI80*(1+BN50)</f>
        <v>21001.919999999998</v>
      </c>
      <c r="BO80" s="261">
        <f>+BJ80*(1+BO50)</f>
        <v>24006.466666666667</v>
      </c>
      <c r="BP80" s="293">
        <f>+BK80*(1+BP50)</f>
        <v>21016.622798390701</v>
      </c>
      <c r="BQ80" s="228">
        <f>SUM(BM80:BP80)</f>
        <v>87366.355816184034</v>
      </c>
      <c r="BR80" s="228"/>
      <c r="BS80" s="228"/>
      <c r="BT80" s="228"/>
      <c r="BU80" s="228"/>
      <c r="BV80" s="228"/>
      <c r="BW80" s="228"/>
      <c r="BX80" s="228"/>
      <c r="BY80" s="228"/>
      <c r="BZ80" s="228"/>
      <c r="CA80" s="228"/>
      <c r="CB80" s="228"/>
      <c r="CC80" s="5"/>
      <c r="CD80" s="5"/>
      <c r="CE80" s="228"/>
      <c r="CF80" s="228"/>
      <c r="CG80" s="228"/>
      <c r="CH80" s="228"/>
      <c r="CI80" s="228"/>
      <c r="CJ80" s="228"/>
      <c r="CK80" s="228"/>
      <c r="CL80" s="228"/>
      <c r="CM80" s="228"/>
      <c r="CN80" s="228"/>
      <c r="CO80" s="228"/>
      <c r="CP80" s="228"/>
      <c r="CQ80" s="228"/>
      <c r="CR80" s="228"/>
      <c r="CS80" s="228"/>
      <c r="CT80" s="228"/>
      <c r="CU80" s="228"/>
    </row>
    <row r="81" spans="1:99" ht="12.75" customHeight="1">
      <c r="A81" s="28"/>
      <c r="B81" s="28"/>
      <c r="C81" s="28" t="s">
        <v>132</v>
      </c>
      <c r="D81" s="28"/>
      <c r="E81" s="415"/>
      <c r="F81" s="242"/>
      <c r="G81" s="242"/>
      <c r="H81" s="416"/>
      <c r="I81" s="23"/>
      <c r="J81" s="284">
        <f t="shared" ref="J81:AF81" si="203">+J80/E80-1</f>
        <v>-1.9254018716697296E-2</v>
      </c>
      <c r="K81" s="241">
        <f t="shared" si="203"/>
        <v>4.8600955445061933E-2</v>
      </c>
      <c r="L81" s="241">
        <f t="shared" si="203"/>
        <v>0.15971026014751999</v>
      </c>
      <c r="M81" s="285">
        <f t="shared" si="203"/>
        <v>5.7352388115832209E-3</v>
      </c>
      <c r="N81" s="25">
        <f t="shared" si="203"/>
        <v>4.9619640387275288E-2</v>
      </c>
      <c r="O81" s="284">
        <f t="shared" si="203"/>
        <v>1.2464046021092967E-2</v>
      </c>
      <c r="P81" s="241">
        <f t="shared" si="203"/>
        <v>-2.2639579749895389E-2</v>
      </c>
      <c r="Q81" s="241">
        <f t="shared" si="203"/>
        <v>-2.9401683360627651E-2</v>
      </c>
      <c r="R81" s="285">
        <f t="shared" si="203"/>
        <v>-2.6082079087594634E-2</v>
      </c>
      <c r="S81" s="25">
        <f t="shared" si="203"/>
        <v>-1.695492230824136E-2</v>
      </c>
      <c r="T81" s="284">
        <f t="shared" si="203"/>
        <v>-3.7247474747474696E-2</v>
      </c>
      <c r="U81" s="241">
        <f t="shared" si="203"/>
        <v>3.1868340943683515E-2</v>
      </c>
      <c r="V81" s="241">
        <f t="shared" si="203"/>
        <v>9.3780655287423187E-3</v>
      </c>
      <c r="W81" s="285">
        <f t="shared" si="203"/>
        <v>1.7901708581301579E-2</v>
      </c>
      <c r="X81" s="25">
        <f t="shared" si="203"/>
        <v>5.0937768791681215E-3</v>
      </c>
      <c r="Y81" s="284">
        <f t="shared" si="203"/>
        <v>2.8665105386416867E-2</v>
      </c>
      <c r="Z81" s="241">
        <f t="shared" si="203"/>
        <v>-3.5355397805844957E-2</v>
      </c>
      <c r="AA81" s="241">
        <f t="shared" si="203"/>
        <v>-4.4549836728347114E-2</v>
      </c>
      <c r="AB81" s="285">
        <f>+AB80/W80-1</f>
        <v>2.2066104012447463E-2</v>
      </c>
      <c r="AC81" s="25">
        <f>+AC80/X80-1</f>
        <v>-9.2579214688197631E-3</v>
      </c>
      <c r="AD81" s="284">
        <f t="shared" si="203"/>
        <v>5.7918222384117923E-2</v>
      </c>
      <c r="AE81" s="241">
        <f t="shared" si="203"/>
        <v>3.9183829502555945E-3</v>
      </c>
      <c r="AF81" s="241">
        <f t="shared" si="203"/>
        <v>-5.4276181951338542E-2</v>
      </c>
      <c r="AG81" s="285">
        <f>+AG80/AB80-1</f>
        <v>-2.6894865525672329E-2</v>
      </c>
      <c r="AH81" s="25">
        <f>+AH80/AC80-1</f>
        <v>-6.3156241586646011E-3</v>
      </c>
      <c r="AI81" s="284">
        <f t="shared" ref="AI81" si="204">+AI80/AD80-1</f>
        <v>-3.5293104932426655E-2</v>
      </c>
      <c r="AJ81" s="241">
        <f t="shared" ref="AJ81" si="205">+AJ80/AE80-1</f>
        <v>-3.7507734780332203E-2</v>
      </c>
      <c r="AK81" s="241">
        <f t="shared" ref="AK81" si="206">+AK80/AF80-1</f>
        <v>3.4374462226811175E-2</v>
      </c>
      <c r="AL81" s="285">
        <f>+AL80/AG80-1</f>
        <v>-4.9303119370437076E-2</v>
      </c>
      <c r="AM81" s="25">
        <f>+AM80/AH80-1</f>
        <v>-2.0873550761449922E-2</v>
      </c>
      <c r="AN81" s="284">
        <f t="shared" ref="AN81:AP81" si="207">+AN80/AI80-1</f>
        <v>-4.6488801641831001E-2</v>
      </c>
      <c r="AO81" s="241">
        <f t="shared" si="207"/>
        <v>4.3321299638989119E-2</v>
      </c>
      <c r="AP81" s="241">
        <f t="shared" si="207"/>
        <v>6.9750031194110607E-2</v>
      </c>
      <c r="AQ81" s="285">
        <f>+AQ80/AL80-1</f>
        <v>3.3010870649247126E-2</v>
      </c>
      <c r="AR81" s="25">
        <f>+AR80/AM80-1</f>
        <v>2.5054189918369163E-2</v>
      </c>
      <c r="AS81" s="284">
        <f t="shared" ref="AS81:AU81" si="208">+AS80/AN80-1</f>
        <v>-1.848212614635969E-2</v>
      </c>
      <c r="AT81" s="241">
        <f t="shared" si="208"/>
        <v>-3.1331468929231665E-2</v>
      </c>
      <c r="AU81" s="241">
        <f t="shared" si="208"/>
        <v>-6.5863141524105773E-2</v>
      </c>
      <c r="AV81" s="285">
        <f>+AV80/AQ80-1</f>
        <v>1.0716354508592429E-2</v>
      </c>
      <c r="AW81" s="25">
        <f>+AW80/AR80-1</f>
        <v>-2.843484618412917E-2</v>
      </c>
      <c r="AX81" s="284">
        <f t="shared" ref="AX81:BB81" si="209">+AX80/AS80-1</f>
        <v>1.7368849269517872E-2</v>
      </c>
      <c r="AY81" s="241">
        <f t="shared" si="209"/>
        <v>2.7692307692307683E-2</v>
      </c>
      <c r="AZ81" s="241">
        <f t="shared" si="209"/>
        <v>-8.1300813008122752E-4</v>
      </c>
      <c r="BA81" s="285">
        <f t="shared" si="209"/>
        <v>3.7550290567724964E-3</v>
      </c>
      <c r="BB81" s="25">
        <f t="shared" si="209"/>
        <v>1.1453926579807483E-2</v>
      </c>
      <c r="BC81" s="284">
        <f t="shared" ref="BC81" si="210">+BC80/AX80-1</f>
        <v>0</v>
      </c>
      <c r="BD81" s="241">
        <f t="shared" ref="BD81" si="211">+BD80/AY80-1</f>
        <v>0</v>
      </c>
      <c r="BE81" s="241">
        <f t="shared" ref="BE81" si="212">+BE80/AZ80-1</f>
        <v>0</v>
      </c>
      <c r="BF81" s="285">
        <f t="shared" ref="BF81" si="213">+BF80/BA80-1</f>
        <v>0</v>
      </c>
      <c r="BG81" s="25">
        <f t="shared" ref="BG81" si="214">+BG80/BB80-1</f>
        <v>0</v>
      </c>
      <c r="BH81" s="284">
        <f t="shared" ref="BH81" si="215">+BH80/BC80-1</f>
        <v>0</v>
      </c>
      <c r="BI81" s="241">
        <f t="shared" ref="BI81" si="216">+BI80/BD80-1</f>
        <v>0</v>
      </c>
      <c r="BJ81" s="241">
        <f t="shared" ref="BJ81" si="217">+BJ80/BE80-1</f>
        <v>0</v>
      </c>
      <c r="BK81" s="285">
        <f t="shared" ref="BK81" si="218">+BK80/BF80-1</f>
        <v>0</v>
      </c>
      <c r="BL81" s="25">
        <f t="shared" ref="BL81" si="219">+BL80/BG80-1</f>
        <v>0</v>
      </c>
      <c r="BM81" s="284">
        <f t="shared" ref="BM81" si="220">+BM80/BH80-1</f>
        <v>0</v>
      </c>
      <c r="BN81" s="241">
        <f t="shared" ref="BN81" si="221">+BN80/BI80-1</f>
        <v>0</v>
      </c>
      <c r="BO81" s="241">
        <f t="shared" ref="BO81" si="222">+BO80/BJ80-1</f>
        <v>0</v>
      </c>
      <c r="BP81" s="285">
        <f t="shared" ref="BP81" si="223">+BP80/BK80-1</f>
        <v>0</v>
      </c>
      <c r="BQ81" s="25">
        <f t="shared" ref="BQ81" si="224">+BQ80/BL80-1</f>
        <v>0</v>
      </c>
      <c r="BR81" s="28"/>
      <c r="BS81" s="28"/>
      <c r="BT81" s="28"/>
      <c r="BU81" s="28"/>
      <c r="BV81" s="28"/>
      <c r="BW81" s="28"/>
      <c r="BX81" s="28"/>
      <c r="BY81" s="28"/>
      <c r="BZ81" s="28"/>
      <c r="CA81" s="28"/>
      <c r="CB81" s="28"/>
      <c r="CC81" s="5"/>
      <c r="CD81" s="5"/>
      <c r="CE81" s="28"/>
      <c r="CF81" s="28"/>
      <c r="CG81" s="28"/>
      <c r="CH81" s="28"/>
      <c r="CI81" s="28"/>
      <c r="CJ81" s="28"/>
      <c r="CK81" s="28"/>
      <c r="CL81" s="28"/>
      <c r="CM81" s="28"/>
      <c r="CN81" s="28"/>
      <c r="CO81" s="28"/>
      <c r="CP81" s="28"/>
      <c r="CQ81" s="28"/>
      <c r="CR81" s="28"/>
      <c r="CS81" s="28"/>
      <c r="CT81" s="28"/>
      <c r="CU81" s="28"/>
    </row>
    <row r="82" spans="1:99" ht="12.75" customHeight="1">
      <c r="A82" s="28"/>
      <c r="B82" s="28"/>
      <c r="C82" s="28"/>
      <c r="D82" s="28"/>
      <c r="E82" s="415"/>
      <c r="F82" s="242"/>
      <c r="G82" s="242"/>
      <c r="H82" s="416"/>
      <c r="I82" s="23"/>
      <c r="J82" s="284"/>
      <c r="K82" s="241"/>
      <c r="L82" s="241"/>
      <c r="M82" s="285"/>
      <c r="N82" s="25"/>
      <c r="O82" s="284"/>
      <c r="P82" s="241"/>
      <c r="Q82" s="241"/>
      <c r="R82" s="285"/>
      <c r="S82" s="25"/>
      <c r="T82" s="284"/>
      <c r="U82" s="241"/>
      <c r="V82" s="241"/>
      <c r="W82" s="285"/>
      <c r="X82" s="25"/>
      <c r="Y82" s="284"/>
      <c r="Z82" s="241"/>
      <c r="AA82" s="241"/>
      <c r="AB82" s="285"/>
      <c r="AC82" s="25"/>
      <c r="AD82" s="284"/>
      <c r="AE82" s="241"/>
      <c r="AF82" s="241"/>
      <c r="AG82" s="285"/>
      <c r="AH82" s="25"/>
      <c r="AI82" s="284"/>
      <c r="AJ82" s="241"/>
      <c r="AK82" s="241"/>
      <c r="AL82" s="285"/>
      <c r="AM82" s="25"/>
      <c r="AN82" s="284"/>
      <c r="AO82" s="241"/>
      <c r="AP82" s="241"/>
      <c r="AQ82" s="285"/>
      <c r="AR82" s="25"/>
      <c r="AS82" s="284"/>
      <c r="AT82" s="241"/>
      <c r="AU82" s="241"/>
      <c r="AV82" s="285"/>
      <c r="AW82" s="25"/>
      <c r="AX82" s="284"/>
      <c r="AY82" s="241"/>
      <c r="AZ82" s="241"/>
      <c r="BA82" s="285"/>
      <c r="BB82" s="25"/>
      <c r="BC82" s="284"/>
      <c r="BD82" s="241"/>
      <c r="BE82" s="241"/>
      <c r="BF82" s="285"/>
      <c r="BG82" s="25"/>
      <c r="BH82" s="284"/>
      <c r="BI82" s="241"/>
      <c r="BJ82" s="241"/>
      <c r="BK82" s="285"/>
      <c r="BL82" s="25"/>
      <c r="BM82" s="284"/>
      <c r="BN82" s="241"/>
      <c r="BO82" s="241"/>
      <c r="BP82" s="285"/>
      <c r="BQ82" s="25"/>
      <c r="BR82" s="28"/>
      <c r="BS82" s="28"/>
      <c r="BT82" s="28"/>
      <c r="BU82" s="28"/>
      <c r="BV82" s="28"/>
      <c r="BW82" s="28"/>
      <c r="BX82" s="28"/>
      <c r="BY82" s="28"/>
      <c r="BZ82" s="28"/>
      <c r="CA82" s="28"/>
      <c r="CB82" s="28"/>
      <c r="CC82" s="5"/>
      <c r="CD82" s="5"/>
      <c r="CE82" s="28"/>
      <c r="CF82" s="28"/>
      <c r="CG82" s="28"/>
      <c r="CH82" s="28"/>
      <c r="CI82" s="28"/>
      <c r="CJ82" s="28"/>
      <c r="CK82" s="28"/>
      <c r="CL82" s="28"/>
      <c r="CM82" s="28"/>
      <c r="CN82" s="28"/>
      <c r="CO82" s="28"/>
      <c r="CP82" s="28"/>
      <c r="CQ82" s="28"/>
      <c r="CR82" s="28"/>
      <c r="CS82" s="28"/>
      <c r="CT82" s="28"/>
      <c r="CU82" s="28"/>
    </row>
    <row r="83" spans="1:99" ht="12.75" customHeight="1">
      <c r="A83" s="1"/>
      <c r="B83" s="1"/>
      <c r="C83" s="32" t="s">
        <v>133</v>
      </c>
      <c r="D83" s="1"/>
      <c r="E83" s="627">
        <f t="shared" ref="E83:S83" si="225">E73/E80*1000</f>
        <v>69.538351318676405</v>
      </c>
      <c r="F83" s="628">
        <f t="shared" si="225"/>
        <v>67.709856683240716</v>
      </c>
      <c r="G83" s="628">
        <f t="shared" si="225"/>
        <v>65.147299147564141</v>
      </c>
      <c r="H83" s="629">
        <f t="shared" si="225"/>
        <v>63.792779240315916</v>
      </c>
      <c r="I83" s="630">
        <f t="shared" si="225"/>
        <v>66.551406177962193</v>
      </c>
      <c r="J83" s="631">
        <f t="shared" si="225"/>
        <v>64.603022417020497</v>
      </c>
      <c r="K83" s="632">
        <f t="shared" si="225"/>
        <v>69.685277299986055</v>
      </c>
      <c r="L83" s="632">
        <f t="shared" si="225"/>
        <v>73.047187416688871</v>
      </c>
      <c r="M83" s="629">
        <f t="shared" si="225"/>
        <v>64.130129942974662</v>
      </c>
      <c r="N83" s="630">
        <f t="shared" si="225"/>
        <v>68.12716191731181</v>
      </c>
      <c r="O83" s="631">
        <f t="shared" si="225"/>
        <v>66.107503607503602</v>
      </c>
      <c r="P83" s="632">
        <f t="shared" si="225"/>
        <v>68.683409436834097</v>
      </c>
      <c r="Q83" s="632">
        <f t="shared" si="225"/>
        <v>70.001961938395141</v>
      </c>
      <c r="R83" s="629">
        <f t="shared" si="225"/>
        <v>65.367632942983292</v>
      </c>
      <c r="S83" s="630">
        <f t="shared" si="225"/>
        <v>67.648931535617336</v>
      </c>
      <c r="T83" s="631">
        <f t="shared" ref="T83:Z83" si="226">T73/T80*1000</f>
        <v>65.011709601873534</v>
      </c>
      <c r="U83" s="632">
        <f t="shared" si="226"/>
        <v>59.048584862173875</v>
      </c>
      <c r="V83" s="632">
        <f t="shared" si="226"/>
        <v>57.689317368993933</v>
      </c>
      <c r="W83" s="629">
        <f t="shared" si="226"/>
        <v>60.823235418925925</v>
      </c>
      <c r="X83" s="630">
        <f t="shared" si="226"/>
        <v>60.493237160607713</v>
      </c>
      <c r="Y83" s="631">
        <f t="shared" si="226"/>
        <v>52.818504689918953</v>
      </c>
      <c r="Z83" s="632">
        <f t="shared" si="226"/>
        <v>51.607970564342715</v>
      </c>
      <c r="AA83" s="632">
        <f t="shared" ref="AA83:AH83" si="227">AA73/AA80*1000</f>
        <v>47.033932785417853</v>
      </c>
      <c r="AB83" s="629">
        <f t="shared" si="227"/>
        <v>49.268810259722287</v>
      </c>
      <c r="AC83" s="630">
        <f t="shared" si="227"/>
        <v>50.076281073319571</v>
      </c>
      <c r="AD83" s="631">
        <f t="shared" si="227"/>
        <v>48.807781699233878</v>
      </c>
      <c r="AE83" s="632">
        <f t="shared" si="227"/>
        <v>53.691275167785236</v>
      </c>
      <c r="AF83" s="632">
        <f t="shared" si="227"/>
        <v>52.572706935123044</v>
      </c>
      <c r="AG83" s="629">
        <f t="shared" si="227"/>
        <v>51.199393192376981</v>
      </c>
      <c r="AH83" s="630">
        <f t="shared" si="227"/>
        <v>51.523464399814863</v>
      </c>
      <c r="AI83" s="631">
        <f t="shared" ref="AI83:AM83" si="228">AI73/AI80*1000</f>
        <v>52.868742750066922</v>
      </c>
      <c r="AJ83" s="632">
        <f t="shared" si="228"/>
        <v>56.772662083972108</v>
      </c>
      <c r="AK83" s="632">
        <f t="shared" si="228"/>
        <v>57.230794825936862</v>
      </c>
      <c r="AL83" s="629">
        <f t="shared" si="228"/>
        <v>59.638974768126062</v>
      </c>
      <c r="AM83" s="630">
        <f t="shared" si="228"/>
        <v>56.55352119171701</v>
      </c>
      <c r="AN83" s="631">
        <f t="shared" ref="AN83:AR83" si="229">AN73/AN80*1000</f>
        <v>58.440950776717202</v>
      </c>
      <c r="AO83" s="632">
        <f t="shared" si="229"/>
        <v>60.956534104375031</v>
      </c>
      <c r="AP83" s="632">
        <f t="shared" si="229"/>
        <v>58.20373250388802</v>
      </c>
      <c r="AQ83" s="629">
        <f t="shared" si="229"/>
        <v>58.988221664413985</v>
      </c>
      <c r="AR83" s="630">
        <f t="shared" si="229"/>
        <v>59.096788707046848</v>
      </c>
      <c r="AS83" s="631">
        <f t="shared" ref="AS83:AT83" si="230">AS73/AS80*1000</f>
        <v>61.87729417933928</v>
      </c>
      <c r="AT83" s="632">
        <f t="shared" si="230"/>
        <v>66.402427089449986</v>
      </c>
      <c r="AU83" s="632">
        <f t="shared" ref="AU83:AW83" si="231">AU73/AU80*1000</f>
        <v>65.387496878381754</v>
      </c>
      <c r="AV83" s="629">
        <f t="shared" si="231"/>
        <v>62.565670073550486</v>
      </c>
      <c r="AW83" s="630">
        <f t="shared" si="231"/>
        <v>64.091135371684587</v>
      </c>
      <c r="AX83" s="627">
        <f>AS83+(AX84/AX80*1000)</f>
        <v>59.717460903517555</v>
      </c>
      <c r="AY83" s="628">
        <f>AT83+(AY84/AY80*1000)</f>
        <v>64.207687275185378</v>
      </c>
      <c r="AZ83" s="628">
        <f>AU83+(AZ84/AZ80*1000)</f>
        <v>63.467441310021009</v>
      </c>
      <c r="BA83" s="629">
        <f>AV83+(BA84/BA80*1000)</f>
        <v>60.372465654259599</v>
      </c>
      <c r="BB83" s="630">
        <f>BB73/BB80*1000</f>
        <v>61.984845649006061</v>
      </c>
      <c r="BC83" s="627">
        <f>AX83+(BC84/BC80*1000)</f>
        <v>60.799573982047896</v>
      </c>
      <c r="BD83" s="628">
        <f>AY83+(BD84/BD80*1000)</f>
        <v>65.30728912111185</v>
      </c>
      <c r="BE83" s="628">
        <f>AZ83+(BE84/BE80*1000)</f>
        <v>64.429421693084464</v>
      </c>
      <c r="BF83" s="629">
        <f>BA83+(BF84/BF80*1000)</f>
        <v>61.471298241280593</v>
      </c>
      <c r="BG83" s="630">
        <f>BG73/BG80*1000</f>
        <v>63.042174859284152</v>
      </c>
      <c r="BH83" s="627">
        <f>BC83+(BH84/BH80*1000)</f>
        <v>62.178938691081164</v>
      </c>
      <c r="BI83" s="628">
        <f>BD83+(BI84/BI80*1000)</f>
        <v>66.708946683848978</v>
      </c>
      <c r="BJ83" s="628">
        <f>BE83+(BJ84/BJ80*1000)</f>
        <v>65.655653791657898</v>
      </c>
      <c r="BK83" s="629">
        <f>BF83+(BK84/BK80*1000)</f>
        <v>62.871975233126022</v>
      </c>
      <c r="BL83" s="630">
        <f>BL73/BL80*1000</f>
        <v>64.389947682128465</v>
      </c>
      <c r="BM83" s="627">
        <f>BH83+(BM84/BM80*1000)</f>
        <v>63.591982156279784</v>
      </c>
      <c r="BN83" s="628">
        <f>BI83+(BN84/BN80*1000)</f>
        <v>68.144827308096666</v>
      </c>
      <c r="BO83" s="628">
        <f>BJ83+(BO84/BO80*1000)</f>
        <v>66.911825739771871</v>
      </c>
      <c r="BP83" s="629">
        <f>BK83+(BP84/BP80*1000)</f>
        <v>64.306851344729893</v>
      </c>
      <c r="BQ83" s="630">
        <f>BQ73/BQ80*1000</f>
        <v>65.770627909352214</v>
      </c>
      <c r="BR83" s="1"/>
      <c r="BS83" s="1"/>
      <c r="BT83" s="1"/>
      <c r="BU83" s="1"/>
      <c r="BV83" s="1"/>
      <c r="BW83" s="1"/>
      <c r="BX83" s="1"/>
      <c r="BY83" s="1"/>
      <c r="BZ83" s="1"/>
      <c r="CA83" s="1"/>
      <c r="CB83" s="1"/>
      <c r="CC83" s="5"/>
      <c r="CD83" s="5"/>
      <c r="CE83" s="1"/>
      <c r="CF83" s="1"/>
      <c r="CG83" s="1"/>
      <c r="CH83" s="1"/>
      <c r="CI83" s="1"/>
      <c r="CJ83" s="1"/>
      <c r="CK83" s="1"/>
      <c r="CL83" s="1"/>
      <c r="CM83" s="1"/>
      <c r="CN83" s="1"/>
      <c r="CO83" s="1"/>
      <c r="CP83" s="1"/>
      <c r="CQ83" s="1"/>
      <c r="CR83" s="1"/>
      <c r="CS83" s="1"/>
      <c r="CT83" s="1"/>
      <c r="CU83" s="1"/>
    </row>
    <row r="84" spans="1:99" ht="12.75" customHeight="1">
      <c r="A84" s="1"/>
      <c r="B84" s="1"/>
      <c r="C84" s="28" t="s">
        <v>134</v>
      </c>
      <c r="D84" s="1"/>
      <c r="E84" s="600"/>
      <c r="F84" s="251"/>
      <c r="G84" s="251"/>
      <c r="H84" s="601"/>
      <c r="I84" s="633"/>
      <c r="J84" s="600"/>
      <c r="K84" s="251"/>
      <c r="L84" s="251"/>
      <c r="M84" s="601"/>
      <c r="N84" s="45"/>
      <c r="O84" s="290"/>
      <c r="P84" s="260"/>
      <c r="Q84" s="260"/>
      <c r="R84" s="291"/>
      <c r="S84" s="45"/>
      <c r="T84" s="290">
        <f>SUM(T52:T54)</f>
        <v>0</v>
      </c>
      <c r="U84" s="260">
        <f>SUM(U52:U54)</f>
        <v>0</v>
      </c>
      <c r="V84" s="260">
        <f>SUM(V52:V54)</f>
        <v>0</v>
      </c>
      <c r="W84" s="291"/>
      <c r="X84" s="45"/>
      <c r="Y84" s="290"/>
      <c r="Z84" s="260"/>
      <c r="AA84" s="1441"/>
      <c r="AB84" s="1442"/>
      <c r="AC84" s="1443"/>
      <c r="AD84" s="290"/>
      <c r="AE84" s="260"/>
      <c r="AF84" s="1441"/>
      <c r="AG84" s="1442"/>
      <c r="AH84" s="1443"/>
      <c r="AI84" s="290"/>
      <c r="AJ84" s="260"/>
      <c r="AK84" s="1441"/>
      <c r="AL84" s="1442"/>
      <c r="AM84" s="1443"/>
      <c r="AN84" s="290"/>
      <c r="AO84" s="260"/>
      <c r="AP84" s="1441"/>
      <c r="AQ84" s="1442"/>
      <c r="AR84" s="1443"/>
      <c r="AS84" s="290"/>
      <c r="AT84" s="260"/>
      <c r="AU84" s="260"/>
      <c r="AV84" s="291"/>
      <c r="AW84" s="45"/>
      <c r="AX84" s="290">
        <f>SUM(AX52:AX54)</f>
        <v>-46.09375</v>
      </c>
      <c r="AY84" s="260">
        <f>SUM(AY52:AY54)</f>
        <v>-46.09375</v>
      </c>
      <c r="AZ84" s="260">
        <f>SUM(AZ52:AZ54)</f>
        <v>-46.09375</v>
      </c>
      <c r="BA84" s="291">
        <f>SUM(BA52:BA54)</f>
        <v>-46.09375</v>
      </c>
      <c r="BB84" s="45">
        <f>SUM(AX84:BA84)</f>
        <v>-184.375</v>
      </c>
      <c r="BC84" s="290">
        <f>SUM(BC52:BC54)</f>
        <v>23.09375</v>
      </c>
      <c r="BD84" s="260">
        <f>SUM(BD52:BD54)</f>
        <v>23.09375</v>
      </c>
      <c r="BE84" s="260">
        <f>SUM(BE52:BE54)</f>
        <v>23.09375</v>
      </c>
      <c r="BF84" s="291">
        <f>SUM(BF52:BF54)</f>
        <v>23.09375</v>
      </c>
      <c r="BG84" s="45">
        <f>SUM(BC84:BF84)</f>
        <v>92.375</v>
      </c>
      <c r="BH84" s="290">
        <f>SUM(BH52:BH54)</f>
        <v>29.4375</v>
      </c>
      <c r="BI84" s="260">
        <f>SUM(BI52:BI54)</f>
        <v>29.4375</v>
      </c>
      <c r="BJ84" s="260">
        <f>SUM(BJ52:BJ54)</f>
        <v>29.4375</v>
      </c>
      <c r="BK84" s="291">
        <f>SUM(BK52:BK54)</f>
        <v>29.4375</v>
      </c>
      <c r="BL84" s="45">
        <f>SUM(BH84:BK84)</f>
        <v>117.75</v>
      </c>
      <c r="BM84" s="290">
        <f>SUM(BM52:BM54)</f>
        <v>30.15625</v>
      </c>
      <c r="BN84" s="260">
        <f>SUM(BN52:BN54)</f>
        <v>30.15625</v>
      </c>
      <c r="BO84" s="260">
        <f>SUM(BO52:BO54)</f>
        <v>30.15625</v>
      </c>
      <c r="BP84" s="291">
        <f>SUM(BP52:BP54)</f>
        <v>30.15625</v>
      </c>
      <c r="BQ84" s="45">
        <f>SUM(BM84:BP84)</f>
        <v>120.625</v>
      </c>
      <c r="BR84" s="1"/>
      <c r="BS84" s="1"/>
      <c r="BT84" s="1"/>
      <c r="BU84" s="1"/>
      <c r="BV84" s="1"/>
      <c r="BW84" s="1"/>
      <c r="BX84" s="1"/>
      <c r="BY84" s="1"/>
      <c r="BZ84" s="1"/>
      <c r="CA84" s="1"/>
      <c r="CB84" s="1"/>
      <c r="CC84" s="5"/>
      <c r="CD84" s="5"/>
      <c r="CE84" s="1"/>
      <c r="CF84" s="1"/>
      <c r="CG84" s="1"/>
      <c r="CH84" s="1"/>
      <c r="CI84" s="1"/>
      <c r="CJ84" s="1"/>
      <c r="CK84" s="1"/>
      <c r="CL84" s="1"/>
      <c r="CM84" s="1"/>
      <c r="CN84" s="1"/>
      <c r="CO84" s="1"/>
      <c r="CP84" s="1"/>
      <c r="CQ84" s="1"/>
      <c r="CR84" s="1"/>
      <c r="CS84" s="1"/>
      <c r="CT84" s="1"/>
      <c r="CU84" s="1"/>
    </row>
    <row r="85" spans="1:99" ht="12.75" customHeight="1">
      <c r="A85" s="1"/>
      <c r="B85" s="1"/>
      <c r="C85" s="28"/>
      <c r="D85" s="1"/>
      <c r="E85" s="600"/>
      <c r="F85" s="251"/>
      <c r="G85" s="251"/>
      <c r="H85" s="601"/>
      <c r="I85" s="633"/>
      <c r="J85" s="600"/>
      <c r="K85" s="251"/>
      <c r="L85" s="251"/>
      <c r="M85" s="601"/>
      <c r="N85" s="633"/>
      <c r="O85" s="600"/>
      <c r="P85" s="251"/>
      <c r="Q85" s="251"/>
      <c r="R85" s="601"/>
      <c r="S85" s="26"/>
      <c r="T85" s="600"/>
      <c r="U85" s="251"/>
      <c r="V85" s="251"/>
      <c r="W85" s="601"/>
      <c r="X85" s="26"/>
      <c r="Y85" s="600"/>
      <c r="Z85" s="251"/>
      <c r="AA85" s="251"/>
      <c r="AB85" s="601"/>
      <c r="AC85" s="26"/>
      <c r="AD85" s="600"/>
      <c r="AE85" s="251"/>
      <c r="AF85" s="251"/>
      <c r="AG85" s="601"/>
      <c r="AH85" s="26"/>
      <c r="AI85" s="600"/>
      <c r="AJ85" s="251"/>
      <c r="AK85" s="251"/>
      <c r="AL85" s="601"/>
      <c r="AM85" s="26"/>
      <c r="AN85" s="600"/>
      <c r="AO85" s="251"/>
      <c r="AP85" s="251"/>
      <c r="AQ85" s="601"/>
      <c r="AR85" s="26"/>
      <c r="AS85" s="600"/>
      <c r="AT85" s="251"/>
      <c r="AU85" s="251"/>
      <c r="AV85" s="601"/>
      <c r="AW85" s="26"/>
      <c r="AX85" s="600"/>
      <c r="AY85" s="251"/>
      <c r="AZ85" s="251"/>
      <c r="BA85" s="601"/>
      <c r="BB85" s="26"/>
      <c r="BC85" s="600"/>
      <c r="BD85" s="251"/>
      <c r="BE85" s="251"/>
      <c r="BF85" s="601"/>
      <c r="BG85" s="26"/>
      <c r="BH85" s="600"/>
      <c r="BI85" s="251"/>
      <c r="BJ85" s="251"/>
      <c r="BK85" s="601"/>
      <c r="BL85" s="26"/>
      <c r="BM85" s="600"/>
      <c r="BN85" s="251"/>
      <c r="BO85" s="251"/>
      <c r="BP85" s="601"/>
      <c r="BQ85" s="26"/>
      <c r="BR85" s="1"/>
      <c r="BS85" s="1"/>
      <c r="BT85" s="1"/>
      <c r="BU85" s="1"/>
      <c r="BV85" s="1"/>
      <c r="BW85" s="1"/>
      <c r="BX85" s="1"/>
      <c r="BY85" s="1"/>
      <c r="BZ85" s="1"/>
      <c r="CA85" s="1"/>
      <c r="CB85" s="1"/>
      <c r="CC85" s="5"/>
      <c r="CD85" s="5"/>
      <c r="CE85" s="1"/>
      <c r="CF85" s="1"/>
      <c r="CG85" s="1"/>
      <c r="CH85" s="1"/>
      <c r="CI85" s="1"/>
      <c r="CJ85" s="1"/>
      <c r="CK85" s="1"/>
      <c r="CL85" s="1"/>
      <c r="CM85" s="1"/>
      <c r="CN85" s="1"/>
      <c r="CO85" s="1"/>
      <c r="CP85" s="1"/>
      <c r="CQ85" s="1"/>
      <c r="CR85" s="1"/>
      <c r="CS85" s="1"/>
      <c r="CT85" s="1"/>
      <c r="CU85" s="1"/>
    </row>
    <row r="86" spans="1:99" ht="12.75" customHeight="1">
      <c r="A86" s="1"/>
      <c r="B86" s="1"/>
      <c r="C86" s="32" t="s">
        <v>1295</v>
      </c>
      <c r="D86" s="1"/>
      <c r="E86" s="600"/>
      <c r="F86" s="251"/>
      <c r="G86" s="251"/>
      <c r="H86" s="601"/>
      <c r="I86" s="633"/>
      <c r="J86" s="600"/>
      <c r="K86" s="251"/>
      <c r="L86" s="251"/>
      <c r="M86" s="601"/>
      <c r="N86" s="633"/>
      <c r="O86" s="600"/>
      <c r="P86" s="251"/>
      <c r="Q86" s="251"/>
      <c r="R86" s="601"/>
      <c r="S86" s="26"/>
      <c r="T86" s="600"/>
      <c r="U86" s="251"/>
      <c r="V86" s="251"/>
      <c r="W86" s="601"/>
      <c r="X86" s="26"/>
      <c r="Y86" s="600"/>
      <c r="Z86" s="251"/>
      <c r="AA86" s="251"/>
      <c r="AB86" s="601"/>
      <c r="AC86" s="26"/>
      <c r="AD86" s="600"/>
      <c r="AE86" s="251"/>
      <c r="AF86" s="251"/>
      <c r="AG86" s="601"/>
      <c r="AH86" s="26"/>
      <c r="AI86" s="600"/>
      <c r="AJ86" s="251"/>
      <c r="AK86" s="251"/>
      <c r="AL86" s="601"/>
      <c r="AM86" s="26"/>
      <c r="AN86" s="600"/>
      <c r="AO86" s="251"/>
      <c r="AP86" s="251"/>
      <c r="AQ86" s="601"/>
      <c r="AR86" s="26"/>
      <c r="AS86" s="600"/>
      <c r="AT86" s="251"/>
      <c r="AU86" s="251"/>
      <c r="AV86" s="601"/>
      <c r="AW86" s="26"/>
      <c r="AX86" s="600"/>
      <c r="AY86" s="251"/>
      <c r="AZ86" s="251"/>
      <c r="BA86" s="601"/>
      <c r="BB86" s="26"/>
      <c r="BC86" s="600"/>
      <c r="BD86" s="251"/>
      <c r="BE86" s="251"/>
      <c r="BF86" s="601"/>
      <c r="BG86" s="26"/>
      <c r="BH86" s="600"/>
      <c r="BI86" s="251"/>
      <c r="BJ86" s="251"/>
      <c r="BK86" s="601"/>
      <c r="BL86" s="26"/>
      <c r="BM86" s="600"/>
      <c r="BN86" s="251"/>
      <c r="BO86" s="251"/>
      <c r="BP86" s="601"/>
      <c r="BQ86" s="26"/>
      <c r="BR86" s="1"/>
      <c r="BS86" s="1"/>
      <c r="BT86" s="1"/>
      <c r="BU86" s="1"/>
      <c r="BV86" s="1"/>
      <c r="BW86" s="1"/>
      <c r="BX86" s="1"/>
      <c r="BY86" s="1"/>
      <c r="BZ86" s="1"/>
      <c r="CA86" s="1"/>
      <c r="CB86" s="1"/>
      <c r="CC86" s="5"/>
      <c r="CD86" s="5"/>
      <c r="CE86" s="1"/>
      <c r="CF86" s="1"/>
      <c r="CG86" s="1"/>
      <c r="CH86" s="1"/>
      <c r="CI86" s="1"/>
      <c r="CJ86" s="1"/>
      <c r="CK86" s="1"/>
      <c r="CL86" s="1"/>
      <c r="CM86" s="1"/>
      <c r="CN86" s="1"/>
      <c r="CO86" s="1"/>
      <c r="CP86" s="1"/>
      <c r="CQ86" s="1"/>
      <c r="CR86" s="1"/>
      <c r="CS86" s="1"/>
      <c r="CT86" s="1"/>
      <c r="CU86" s="1"/>
    </row>
    <row r="87" spans="1:99" s="801" customFormat="1" ht="12.75" customHeight="1">
      <c r="A87" s="24"/>
      <c r="B87" s="24"/>
      <c r="C87" s="800" t="s">
        <v>406</v>
      </c>
      <c r="D87" s="24"/>
      <c r="E87" s="802">
        <v>3438554</v>
      </c>
      <c r="F87" s="805">
        <v>3423387</v>
      </c>
      <c r="G87" s="805">
        <v>3411007</v>
      </c>
      <c r="H87" s="309">
        <f>I87</f>
        <v>3425570</v>
      </c>
      <c r="I87" s="791">
        <v>3425570</v>
      </c>
      <c r="J87" s="802">
        <v>3441055</v>
      </c>
      <c r="K87" s="805">
        <v>3432466</v>
      </c>
      <c r="L87" s="805">
        <v>3422824</v>
      </c>
      <c r="M87" s="309">
        <f>N87</f>
        <v>3438677</v>
      </c>
      <c r="N87" s="791">
        <v>3438677</v>
      </c>
      <c r="O87" s="802">
        <v>3454410</v>
      </c>
      <c r="P87" s="805">
        <v>3447194</v>
      </c>
      <c r="Q87" s="805">
        <v>3439704</v>
      </c>
      <c r="R87" s="309">
        <f>S87</f>
        <v>3448481</v>
      </c>
      <c r="S87" s="791">
        <v>3448481</v>
      </c>
      <c r="T87" s="802">
        <v>3465669</v>
      </c>
      <c r="U87" s="805">
        <v>3456312</v>
      </c>
      <c r="V87" s="805">
        <v>3450364</v>
      </c>
      <c r="W87" s="309">
        <f>X87</f>
        <v>3455546</v>
      </c>
      <c r="X87" s="791">
        <v>3455546</v>
      </c>
      <c r="Y87" s="802">
        <v>3470659</v>
      </c>
      <c r="Z87" s="805">
        <v>3465712</v>
      </c>
      <c r="AA87" s="1455">
        <v>3465635</v>
      </c>
      <c r="AB87" s="309">
        <f>AC87</f>
        <v>3480398</v>
      </c>
      <c r="AC87" s="1456">
        <v>3480398</v>
      </c>
      <c r="AD87" s="802">
        <v>3488204</v>
      </c>
      <c r="AE87" s="805">
        <v>3487337</v>
      </c>
      <c r="AF87" s="1455">
        <v>3486438</v>
      </c>
      <c r="AG87" s="309">
        <f>AH87</f>
        <v>3502386</v>
      </c>
      <c r="AH87" s="1456">
        <v>3502386</v>
      </c>
      <c r="AI87" s="802">
        <v>3511271</v>
      </c>
      <c r="AJ87" s="805">
        <v>3511058</v>
      </c>
      <c r="AK87" s="1455">
        <v>3524253</v>
      </c>
      <c r="AL87" s="309">
        <f>AM87</f>
        <v>3550239</v>
      </c>
      <c r="AM87" s="1456">
        <v>3550239</v>
      </c>
      <c r="AN87" s="802">
        <v>3566896</v>
      </c>
      <c r="AO87" s="805">
        <v>3570528</v>
      </c>
      <c r="AP87" s="1455">
        <v>3578846</v>
      </c>
      <c r="AQ87" s="309">
        <f>AR87</f>
        <v>3595376</v>
      </c>
      <c r="AR87" s="1456">
        <v>3595376</v>
      </c>
      <c r="AS87" s="802">
        <v>3605498</v>
      </c>
      <c r="AT87" s="805">
        <v>3605731</v>
      </c>
      <c r="AU87" s="805">
        <v>3610091</v>
      </c>
      <c r="AV87" s="309">
        <f>AW87</f>
        <v>3624372</v>
      </c>
      <c r="AW87" s="1456">
        <v>3624372</v>
      </c>
      <c r="AX87" s="308"/>
      <c r="AY87" s="244"/>
      <c r="AZ87" s="244"/>
      <c r="BA87" s="309"/>
      <c r="BB87" s="24"/>
      <c r="BC87" s="308"/>
      <c r="BD87" s="244"/>
      <c r="BE87" s="244"/>
      <c r="BF87" s="309"/>
      <c r="BG87" s="24"/>
      <c r="BH87" s="308"/>
      <c r="BI87" s="244"/>
      <c r="BJ87" s="244"/>
      <c r="BK87" s="309"/>
      <c r="BL87" s="24"/>
      <c r="BM87" s="308"/>
      <c r="BN87" s="244"/>
      <c r="BO87" s="244"/>
      <c r="BP87" s="309"/>
      <c r="BQ87" s="24"/>
      <c r="BR87" s="24"/>
      <c r="BS87" s="24"/>
      <c r="BT87" s="24"/>
      <c r="BU87" s="24"/>
      <c r="BV87" s="24"/>
      <c r="BW87" s="24"/>
      <c r="BX87" s="24"/>
      <c r="BY87" s="24"/>
      <c r="BZ87" s="24"/>
      <c r="CA87" s="24"/>
      <c r="CB87" s="24"/>
      <c r="CC87" s="5"/>
      <c r="CD87" s="5"/>
      <c r="CE87" s="24"/>
      <c r="CF87" s="24"/>
      <c r="CG87" s="24"/>
      <c r="CH87" s="24"/>
      <c r="CI87" s="24"/>
      <c r="CJ87" s="24"/>
      <c r="CK87" s="24"/>
      <c r="CL87" s="24"/>
      <c r="CM87" s="24"/>
      <c r="CN87" s="24"/>
      <c r="CO87" s="24"/>
      <c r="CP87" s="24"/>
      <c r="CQ87" s="24"/>
      <c r="CR87" s="24"/>
      <c r="CS87" s="24"/>
      <c r="CT87" s="24"/>
      <c r="CU87" s="24"/>
    </row>
    <row r="88" spans="1:99" s="801" customFormat="1" ht="12.75" customHeight="1">
      <c r="A88" s="24"/>
      <c r="B88" s="24"/>
      <c r="C88" s="800" t="s">
        <v>716</v>
      </c>
      <c r="D88" s="24"/>
      <c r="E88" s="802">
        <v>359523</v>
      </c>
      <c r="F88" s="805">
        <v>358897</v>
      </c>
      <c r="G88" s="805">
        <v>359077</v>
      </c>
      <c r="H88" s="309">
        <f>I88</f>
        <v>360779</v>
      </c>
      <c r="I88" s="791">
        <v>360779</v>
      </c>
      <c r="J88" s="802">
        <v>361370</v>
      </c>
      <c r="K88" s="805">
        <v>361326</v>
      </c>
      <c r="L88" s="805">
        <v>361424</v>
      </c>
      <c r="M88" s="309">
        <f>N88</f>
        <v>363393</v>
      </c>
      <c r="N88" s="791">
        <v>363393</v>
      </c>
      <c r="O88" s="802">
        <v>364585</v>
      </c>
      <c r="P88" s="805">
        <v>364902</v>
      </c>
      <c r="Q88" s="805">
        <v>364917</v>
      </c>
      <c r="R88" s="309">
        <f>S88</f>
        <v>365824</v>
      </c>
      <c r="S88" s="791">
        <v>365824</v>
      </c>
      <c r="T88" s="802">
        <v>365525</v>
      </c>
      <c r="U88" s="805">
        <v>365474</v>
      </c>
      <c r="V88" s="805">
        <v>365245</v>
      </c>
      <c r="W88" s="309">
        <f>X88</f>
        <v>365357</v>
      </c>
      <c r="X88" s="791">
        <v>365357</v>
      </c>
      <c r="Y88" s="802">
        <v>366284</v>
      </c>
      <c r="Z88" s="805">
        <v>366153</v>
      </c>
      <c r="AA88" s="1455">
        <v>366216</v>
      </c>
      <c r="AB88" s="309">
        <f>AC88</f>
        <v>367569</v>
      </c>
      <c r="AC88" s="1456">
        <v>367569</v>
      </c>
      <c r="AD88" s="802">
        <v>367282</v>
      </c>
      <c r="AE88" s="805">
        <v>367354</v>
      </c>
      <c r="AF88" s="1455">
        <v>367446</v>
      </c>
      <c r="AG88" s="309">
        <f>AH88</f>
        <v>369053</v>
      </c>
      <c r="AH88" s="1456">
        <v>369053</v>
      </c>
      <c r="AI88" s="802">
        <v>369424</v>
      </c>
      <c r="AJ88" s="805">
        <v>369255</v>
      </c>
      <c r="AK88" s="1455">
        <v>369151</v>
      </c>
      <c r="AL88" s="309">
        <f>AM88</f>
        <v>370932</v>
      </c>
      <c r="AM88" s="1456">
        <v>370932</v>
      </c>
      <c r="AN88" s="802">
        <v>372254</v>
      </c>
      <c r="AO88" s="805">
        <v>372354</v>
      </c>
      <c r="AP88" s="1455">
        <v>372603</v>
      </c>
      <c r="AQ88" s="309">
        <f>AR88</f>
        <v>374644</v>
      </c>
      <c r="AR88" s="1456">
        <v>374644</v>
      </c>
      <c r="AS88" s="802">
        <v>375617</v>
      </c>
      <c r="AT88" s="805">
        <v>375976</v>
      </c>
      <c r="AU88" s="805">
        <v>376309</v>
      </c>
      <c r="AV88" s="309">
        <f>AW88</f>
        <v>378345</v>
      </c>
      <c r="AW88" s="1456">
        <v>378345</v>
      </c>
      <c r="AX88" s="308"/>
      <c r="AY88" s="244"/>
      <c r="AZ88" s="244"/>
      <c r="BA88" s="309"/>
      <c r="BB88" s="24"/>
      <c r="BC88" s="308"/>
      <c r="BD88" s="244"/>
      <c r="BE88" s="244"/>
      <c r="BF88" s="309"/>
      <c r="BG88" s="24"/>
      <c r="BH88" s="308"/>
      <c r="BI88" s="244"/>
      <c r="BJ88" s="244"/>
      <c r="BK88" s="309"/>
      <c r="BL88" s="24"/>
      <c r="BM88" s="308"/>
      <c r="BN88" s="244"/>
      <c r="BO88" s="244"/>
      <c r="BP88" s="309"/>
      <c r="BQ88" s="24"/>
      <c r="BR88" s="24"/>
      <c r="BS88" s="24"/>
      <c r="BT88" s="24"/>
      <c r="BU88" s="24"/>
      <c r="BV88" s="24"/>
      <c r="BW88" s="24"/>
      <c r="BX88" s="24"/>
      <c r="BY88" s="24"/>
      <c r="BZ88" s="24"/>
      <c r="CA88" s="24"/>
      <c r="CB88" s="24"/>
      <c r="CC88" s="5"/>
      <c r="CD88" s="5"/>
      <c r="CE88" s="24"/>
      <c r="CF88" s="24"/>
      <c r="CG88" s="24"/>
      <c r="CH88" s="24"/>
      <c r="CI88" s="24"/>
      <c r="CJ88" s="24"/>
      <c r="CK88" s="24"/>
      <c r="CL88" s="24"/>
      <c r="CM88" s="24"/>
      <c r="CN88" s="24"/>
      <c r="CO88" s="24"/>
      <c r="CP88" s="24"/>
      <c r="CQ88" s="24"/>
      <c r="CR88" s="24"/>
      <c r="CS88" s="24"/>
      <c r="CT88" s="24"/>
      <c r="CU88" s="24"/>
    </row>
    <row r="89" spans="1:99" s="801" customFormat="1" ht="12.75" customHeight="1">
      <c r="A89" s="24"/>
      <c r="B89" s="24"/>
      <c r="C89" s="800" t="s">
        <v>717</v>
      </c>
      <c r="D89" s="24"/>
      <c r="E89" s="802">
        <v>2059</v>
      </c>
      <c r="F89" s="805">
        <v>2033</v>
      </c>
      <c r="G89" s="805">
        <v>2015</v>
      </c>
      <c r="H89" s="309">
        <f>I89</f>
        <v>1985</v>
      </c>
      <c r="I89" s="791">
        <v>1985</v>
      </c>
      <c r="J89" s="802">
        <v>1967</v>
      </c>
      <c r="K89" s="805">
        <v>1982</v>
      </c>
      <c r="L89" s="805">
        <v>2014</v>
      </c>
      <c r="M89" s="309">
        <f>N89</f>
        <v>2005</v>
      </c>
      <c r="N89" s="791">
        <v>2005</v>
      </c>
      <c r="O89" s="802">
        <v>1994</v>
      </c>
      <c r="P89" s="805">
        <v>2007</v>
      </c>
      <c r="Q89" s="805">
        <v>2041</v>
      </c>
      <c r="R89" s="309">
        <f>S89</f>
        <v>2032</v>
      </c>
      <c r="S89" s="791">
        <v>2032</v>
      </c>
      <c r="T89" s="802">
        <v>2013</v>
      </c>
      <c r="U89" s="805">
        <v>1990</v>
      </c>
      <c r="V89" s="805">
        <v>1986</v>
      </c>
      <c r="W89" s="309">
        <f>X89</f>
        <v>1980</v>
      </c>
      <c r="X89" s="791">
        <v>1980</v>
      </c>
      <c r="Y89" s="802">
        <v>2001</v>
      </c>
      <c r="Z89" s="805">
        <v>2006</v>
      </c>
      <c r="AA89" s="1455">
        <v>1978</v>
      </c>
      <c r="AB89" s="309">
        <f>AC89</f>
        <v>1984</v>
      </c>
      <c r="AC89" s="1456">
        <v>1984</v>
      </c>
      <c r="AD89" s="802">
        <v>2028</v>
      </c>
      <c r="AE89" s="805">
        <v>2025</v>
      </c>
      <c r="AF89" s="1455">
        <v>1992</v>
      </c>
      <c r="AG89" s="309">
        <f>AH89</f>
        <v>1998</v>
      </c>
      <c r="AH89" s="1456">
        <v>1998</v>
      </c>
      <c r="AI89" s="802">
        <v>1966</v>
      </c>
      <c r="AJ89" s="805">
        <v>1976</v>
      </c>
      <c r="AK89" s="1455">
        <v>1996</v>
      </c>
      <c r="AL89" s="309">
        <f>AM89</f>
        <v>1976</v>
      </c>
      <c r="AM89" s="1456">
        <v>1976</v>
      </c>
      <c r="AN89" s="802">
        <v>1955</v>
      </c>
      <c r="AO89" s="805">
        <v>1972</v>
      </c>
      <c r="AP89" s="1455">
        <v>2010</v>
      </c>
      <c r="AQ89" s="309">
        <f>AR89</f>
        <v>2007</v>
      </c>
      <c r="AR89" s="1456">
        <v>2007</v>
      </c>
      <c r="AS89" s="802">
        <v>2000</v>
      </c>
      <c r="AT89" s="805">
        <v>2009</v>
      </c>
      <c r="AU89" s="805">
        <v>1954</v>
      </c>
      <c r="AV89" s="309">
        <f>AW89</f>
        <v>1959</v>
      </c>
      <c r="AW89" s="1456">
        <v>1959</v>
      </c>
      <c r="AX89" s="308"/>
      <c r="AY89" s="244"/>
      <c r="AZ89" s="244"/>
      <c r="BA89" s="309"/>
      <c r="BB89" s="24"/>
      <c r="BC89" s="308"/>
      <c r="BD89" s="244"/>
      <c r="BE89" s="244"/>
      <c r="BF89" s="309"/>
      <c r="BG89" s="24"/>
      <c r="BH89" s="308"/>
      <c r="BI89" s="244"/>
      <c r="BJ89" s="244"/>
      <c r="BK89" s="309"/>
      <c r="BL89" s="24"/>
      <c r="BM89" s="308"/>
      <c r="BN89" s="244"/>
      <c r="BO89" s="244"/>
      <c r="BP89" s="309"/>
      <c r="BQ89" s="24"/>
      <c r="BR89" s="24"/>
      <c r="BS89" s="24"/>
      <c r="BT89" s="24"/>
      <c r="BU89" s="24"/>
      <c r="BV89" s="24"/>
      <c r="BW89" s="24"/>
      <c r="BX89" s="24"/>
      <c r="BY89" s="24"/>
      <c r="BZ89" s="24"/>
      <c r="CA89" s="24"/>
      <c r="CB89" s="24"/>
      <c r="CC89" s="5"/>
      <c r="CD89" s="5"/>
      <c r="CE89" s="24"/>
      <c r="CF89" s="24"/>
      <c r="CG89" s="24"/>
      <c r="CH89" s="24"/>
      <c r="CI89" s="24"/>
      <c r="CJ89" s="24"/>
      <c r="CK89" s="24"/>
      <c r="CL89" s="24"/>
      <c r="CM89" s="24"/>
      <c r="CN89" s="24"/>
      <c r="CO89" s="24"/>
      <c r="CP89" s="24"/>
      <c r="CQ89" s="24"/>
      <c r="CR89" s="24"/>
      <c r="CS89" s="24"/>
      <c r="CT89" s="24"/>
      <c r="CU89" s="24"/>
    </row>
    <row r="90" spans="1:99" s="801" customFormat="1" ht="12.75" customHeight="1">
      <c r="A90" s="24"/>
      <c r="B90" s="24"/>
      <c r="C90" s="800" t="s">
        <v>718</v>
      </c>
      <c r="D90" s="24"/>
      <c r="E90" s="802">
        <v>5045</v>
      </c>
      <c r="F90" s="805">
        <v>5034</v>
      </c>
      <c r="G90" s="805">
        <v>5030</v>
      </c>
      <c r="H90" s="309">
        <f>I90</f>
        <v>5008</v>
      </c>
      <c r="I90" s="791">
        <v>5008</v>
      </c>
      <c r="J90" s="802">
        <v>4986</v>
      </c>
      <c r="K90" s="805">
        <v>5072</v>
      </c>
      <c r="L90" s="805">
        <v>5090</v>
      </c>
      <c r="M90" s="309">
        <f>N90</f>
        <v>5078</v>
      </c>
      <c r="N90" s="791">
        <v>5078</v>
      </c>
      <c r="O90" s="802">
        <v>5004</v>
      </c>
      <c r="P90" s="805">
        <v>4914</v>
      </c>
      <c r="Q90" s="805">
        <v>4801</v>
      </c>
      <c r="R90" s="309">
        <f>S90</f>
        <v>4797</v>
      </c>
      <c r="S90" s="791">
        <v>4797</v>
      </c>
      <c r="T90" s="802">
        <v>4790</v>
      </c>
      <c r="U90" s="805">
        <v>4793</v>
      </c>
      <c r="V90" s="805">
        <v>4795</v>
      </c>
      <c r="W90" s="309">
        <f>X90</f>
        <v>4812</v>
      </c>
      <c r="X90" s="791">
        <v>4812</v>
      </c>
      <c r="Y90" s="802">
        <v>4802</v>
      </c>
      <c r="Z90" s="805">
        <v>4852</v>
      </c>
      <c r="AA90" s="1455">
        <v>4860</v>
      </c>
      <c r="AB90" s="309">
        <f>AC90</f>
        <v>4853</v>
      </c>
      <c r="AC90" s="1456">
        <v>4853</v>
      </c>
      <c r="AD90" s="802">
        <v>4852</v>
      </c>
      <c r="AE90" s="805">
        <v>4827</v>
      </c>
      <c r="AF90" s="1455">
        <v>4821</v>
      </c>
      <c r="AG90" s="309">
        <f>AH90</f>
        <v>4815</v>
      </c>
      <c r="AH90" s="1456">
        <v>4815</v>
      </c>
      <c r="AI90" s="802">
        <v>4843</v>
      </c>
      <c r="AJ90" s="805">
        <v>4833</v>
      </c>
      <c r="AK90" s="1455">
        <v>4826</v>
      </c>
      <c r="AL90" s="309">
        <f>AM90</f>
        <v>4820</v>
      </c>
      <c r="AM90" s="1456">
        <v>4820</v>
      </c>
      <c r="AN90" s="802">
        <v>4821</v>
      </c>
      <c r="AO90" s="805">
        <v>4749</v>
      </c>
      <c r="AP90" s="1455">
        <v>4738</v>
      </c>
      <c r="AQ90" s="309">
        <f>AR90</f>
        <v>4750</v>
      </c>
      <c r="AR90" s="1456">
        <v>4750</v>
      </c>
      <c r="AS90" s="802">
        <v>4818</v>
      </c>
      <c r="AT90" s="805">
        <v>4785</v>
      </c>
      <c r="AU90" s="805">
        <v>4763</v>
      </c>
      <c r="AV90" s="309">
        <f>AW90</f>
        <v>4775</v>
      </c>
      <c r="AW90" s="1456">
        <v>4775</v>
      </c>
      <c r="AX90" s="308"/>
      <c r="AY90" s="244"/>
      <c r="AZ90" s="244"/>
      <c r="BA90" s="309"/>
      <c r="BB90" s="24"/>
      <c r="BC90" s="308"/>
      <c r="BD90" s="244"/>
      <c r="BE90" s="244"/>
      <c r="BF90" s="309"/>
      <c r="BG90" s="24"/>
      <c r="BH90" s="308"/>
      <c r="BI90" s="244"/>
      <c r="BJ90" s="244"/>
      <c r="BK90" s="309"/>
      <c r="BL90" s="24"/>
      <c r="BM90" s="308"/>
      <c r="BN90" s="244"/>
      <c r="BO90" s="244"/>
      <c r="BP90" s="309"/>
      <c r="BQ90" s="24"/>
      <c r="BR90" s="24"/>
      <c r="BS90" s="24"/>
      <c r="BT90" s="24"/>
      <c r="BU90" s="24"/>
      <c r="BV90" s="24"/>
      <c r="BW90" s="24"/>
      <c r="BX90" s="24"/>
      <c r="BY90" s="24"/>
      <c r="BZ90" s="24"/>
      <c r="CA90" s="24"/>
      <c r="CB90" s="24"/>
      <c r="CC90" s="5"/>
      <c r="CD90" s="5"/>
      <c r="CE90" s="24"/>
      <c r="CF90" s="24"/>
      <c r="CG90" s="24"/>
      <c r="CH90" s="24"/>
      <c r="CI90" s="24"/>
      <c r="CJ90" s="24"/>
      <c r="CK90" s="24"/>
      <c r="CL90" s="24"/>
      <c r="CM90" s="24"/>
      <c r="CN90" s="24"/>
      <c r="CO90" s="24"/>
      <c r="CP90" s="24"/>
      <c r="CQ90" s="24"/>
      <c r="CR90" s="24"/>
      <c r="CS90" s="24"/>
      <c r="CT90" s="24"/>
      <c r="CU90" s="24"/>
    </row>
    <row r="91" spans="1:99" s="527" customFormat="1" ht="12.75" customHeight="1">
      <c r="A91" s="331"/>
      <c r="B91" s="331"/>
      <c r="C91" s="445" t="s">
        <v>399</v>
      </c>
      <c r="D91" s="331"/>
      <c r="E91" s="301">
        <f t="shared" ref="E91:S91" si="232">SUM(E87:E90)</f>
        <v>3805181</v>
      </c>
      <c r="F91" s="265">
        <f t="shared" si="232"/>
        <v>3789351</v>
      </c>
      <c r="G91" s="265">
        <f t="shared" si="232"/>
        <v>3777129</v>
      </c>
      <c r="H91" s="302">
        <f t="shared" si="232"/>
        <v>3793342</v>
      </c>
      <c r="I91" s="445">
        <f t="shared" si="232"/>
        <v>3793342</v>
      </c>
      <c r="J91" s="301">
        <f t="shared" si="232"/>
        <v>3809378</v>
      </c>
      <c r="K91" s="265">
        <f t="shared" si="232"/>
        <v>3800846</v>
      </c>
      <c r="L91" s="265">
        <f t="shared" si="232"/>
        <v>3791352</v>
      </c>
      <c r="M91" s="302">
        <f t="shared" si="232"/>
        <v>3809153</v>
      </c>
      <c r="N91" s="445">
        <f t="shared" si="232"/>
        <v>3809153</v>
      </c>
      <c r="O91" s="301">
        <f t="shared" si="232"/>
        <v>3825993</v>
      </c>
      <c r="P91" s="265">
        <f t="shared" si="232"/>
        <v>3819017</v>
      </c>
      <c r="Q91" s="265">
        <f t="shared" si="232"/>
        <v>3811463</v>
      </c>
      <c r="R91" s="302">
        <f t="shared" si="232"/>
        <v>3821134</v>
      </c>
      <c r="S91" s="445">
        <f t="shared" si="232"/>
        <v>3821134</v>
      </c>
      <c r="T91" s="301">
        <f t="shared" ref="T91:AA91" si="233">SUM(T87:T90)</f>
        <v>3837997</v>
      </c>
      <c r="U91" s="265">
        <f t="shared" si="233"/>
        <v>3828569</v>
      </c>
      <c r="V91" s="265">
        <f t="shared" si="233"/>
        <v>3822390</v>
      </c>
      <c r="W91" s="302">
        <f t="shared" si="233"/>
        <v>3827695</v>
      </c>
      <c r="X91" s="445">
        <f t="shared" si="233"/>
        <v>3827695</v>
      </c>
      <c r="Y91" s="301">
        <f t="shared" si="233"/>
        <v>3843746</v>
      </c>
      <c r="Z91" s="265">
        <f t="shared" si="233"/>
        <v>3838723</v>
      </c>
      <c r="AA91" s="265">
        <f t="shared" si="233"/>
        <v>3838689</v>
      </c>
      <c r="AB91" s="302">
        <f>SUM(AB87:AB90)</f>
        <v>3854804</v>
      </c>
      <c r="AC91" s="445">
        <f>SUM(AC87:AC90)</f>
        <v>3854804</v>
      </c>
      <c r="AD91" s="301">
        <f>SUM(AD87:AD90)</f>
        <v>3862366</v>
      </c>
      <c r="AE91" s="265">
        <f>SUM(AE87:AE90)</f>
        <v>3861543</v>
      </c>
      <c r="AF91" s="265">
        <f t="shared" ref="AF91" si="234">SUM(AF87:AF90)</f>
        <v>3860697</v>
      </c>
      <c r="AG91" s="302">
        <f>SUM(AG87:AG90)</f>
        <v>3878252</v>
      </c>
      <c r="AH91" s="445">
        <f>SUM(AH87:AH90)</f>
        <v>3878252</v>
      </c>
      <c r="AI91" s="301">
        <f>SUM(AI87:AI90)</f>
        <v>3887504</v>
      </c>
      <c r="AJ91" s="265">
        <f>SUM(AJ87:AJ90)</f>
        <v>3887122</v>
      </c>
      <c r="AK91" s="265">
        <f t="shared" ref="AK91" si="235">SUM(AK87:AK90)</f>
        <v>3900226</v>
      </c>
      <c r="AL91" s="302">
        <f>SUM(AL87:AL90)</f>
        <v>3927967</v>
      </c>
      <c r="AM91" s="445">
        <f>SUM(AM87:AM90)</f>
        <v>3927967</v>
      </c>
      <c r="AN91" s="301">
        <f>SUM(AN87:AN90)</f>
        <v>3945926</v>
      </c>
      <c r="AO91" s="265">
        <f>SUM(AO87:AO90)</f>
        <v>3949603</v>
      </c>
      <c r="AP91" s="265">
        <f t="shared" ref="AP91" si="236">SUM(AP87:AP90)</f>
        <v>3958197</v>
      </c>
      <c r="AQ91" s="302">
        <f t="shared" ref="AQ91:AW91" si="237">SUM(AQ87:AQ90)</f>
        <v>3976777</v>
      </c>
      <c r="AR91" s="445">
        <f t="shared" si="237"/>
        <v>3976777</v>
      </c>
      <c r="AS91" s="301">
        <f t="shared" si="237"/>
        <v>3987933</v>
      </c>
      <c r="AT91" s="265">
        <f t="shared" si="237"/>
        <v>3988501</v>
      </c>
      <c r="AU91" s="265">
        <f t="shared" si="237"/>
        <v>3993117</v>
      </c>
      <c r="AV91" s="302">
        <f t="shared" si="237"/>
        <v>4009451</v>
      </c>
      <c r="AW91" s="445">
        <f t="shared" si="237"/>
        <v>4009451</v>
      </c>
      <c r="AX91" s="301"/>
      <c r="AY91" s="265"/>
      <c r="AZ91" s="265"/>
      <c r="BA91" s="302"/>
      <c r="BB91" s="445"/>
      <c r="BC91" s="301"/>
      <c r="BD91" s="265"/>
      <c r="BE91" s="265"/>
      <c r="BF91" s="302"/>
      <c r="BG91" s="445"/>
      <c r="BH91" s="301"/>
      <c r="BI91" s="265"/>
      <c r="BJ91" s="265"/>
      <c r="BK91" s="302"/>
      <c r="BL91" s="445"/>
      <c r="BM91" s="301"/>
      <c r="BN91" s="265"/>
      <c r="BO91" s="265"/>
      <c r="BP91" s="302"/>
      <c r="BQ91" s="445"/>
      <c r="BR91" s="331"/>
      <c r="BS91" s="331"/>
      <c r="BT91" s="331"/>
      <c r="BU91" s="331"/>
      <c r="BV91" s="331"/>
      <c r="BW91" s="331"/>
      <c r="BX91" s="331"/>
      <c r="BY91" s="331"/>
      <c r="BZ91" s="331"/>
      <c r="CA91" s="331"/>
      <c r="CB91" s="331"/>
      <c r="CC91" s="5"/>
      <c r="CD91" s="5"/>
      <c r="CE91" s="331"/>
      <c r="CF91" s="331"/>
      <c r="CG91" s="331"/>
      <c r="CH91" s="331"/>
      <c r="CI91" s="331"/>
      <c r="CJ91" s="331"/>
      <c r="CK91" s="331"/>
      <c r="CL91" s="331"/>
      <c r="CM91" s="331"/>
      <c r="CN91" s="331"/>
      <c r="CO91" s="331"/>
      <c r="CP91" s="331"/>
      <c r="CQ91" s="331"/>
      <c r="CR91" s="331"/>
      <c r="CS91" s="331"/>
      <c r="CT91" s="331"/>
      <c r="CU91" s="331"/>
    </row>
    <row r="92" spans="1:99" s="527" customFormat="1" ht="12.75" customHeight="1">
      <c r="A92" s="331"/>
      <c r="B92" s="331"/>
      <c r="C92" s="445"/>
      <c r="D92" s="331"/>
      <c r="E92" s="301"/>
      <c r="F92" s="265"/>
      <c r="G92" s="265"/>
      <c r="H92" s="302"/>
      <c r="I92" s="445"/>
      <c r="J92" s="301"/>
      <c r="K92" s="265"/>
      <c r="L92" s="265"/>
      <c r="M92" s="302"/>
      <c r="N92" s="445"/>
      <c r="O92" s="301"/>
      <c r="P92" s="265"/>
      <c r="Q92" s="265"/>
      <c r="R92" s="302"/>
      <c r="S92" s="445"/>
      <c r="T92" s="301"/>
      <c r="U92" s="265"/>
      <c r="V92" s="265"/>
      <c r="W92" s="302"/>
      <c r="X92" s="445"/>
      <c r="Y92" s="301"/>
      <c r="Z92" s="265"/>
      <c r="AA92" s="265"/>
      <c r="AB92" s="302"/>
      <c r="AC92" s="445"/>
      <c r="AD92" s="301"/>
      <c r="AE92" s="265"/>
      <c r="AF92" s="265"/>
      <c r="AG92" s="302"/>
      <c r="AH92" s="445"/>
      <c r="AI92" s="301"/>
      <c r="AJ92" s="265"/>
      <c r="AK92" s="265"/>
      <c r="AL92" s="302"/>
      <c r="AM92" s="445"/>
      <c r="AN92" s="301"/>
      <c r="AO92" s="265"/>
      <c r="AP92" s="265"/>
      <c r="AQ92" s="302"/>
      <c r="AR92" s="445"/>
      <c r="AS92" s="301"/>
      <c r="AT92" s="265"/>
      <c r="AU92" s="265"/>
      <c r="AV92" s="302"/>
      <c r="AW92" s="445"/>
      <c r="AX92" s="301"/>
      <c r="AY92" s="265"/>
      <c r="AZ92" s="265"/>
      <c r="BA92" s="302"/>
      <c r="BB92" s="445"/>
      <c r="BC92" s="301"/>
      <c r="BD92" s="265"/>
      <c r="BE92" s="265"/>
      <c r="BF92" s="302"/>
      <c r="BG92" s="445"/>
      <c r="BH92" s="301"/>
      <c r="BI92" s="265"/>
      <c r="BJ92" s="265"/>
      <c r="BK92" s="302"/>
      <c r="BL92" s="445"/>
      <c r="BM92" s="301"/>
      <c r="BN92" s="265"/>
      <c r="BO92" s="265"/>
      <c r="BP92" s="302"/>
      <c r="BQ92" s="445"/>
      <c r="BR92" s="331"/>
      <c r="BS92" s="331"/>
      <c r="BT92" s="331"/>
      <c r="BU92" s="331"/>
      <c r="BV92" s="331"/>
      <c r="BW92" s="331"/>
      <c r="BX92" s="331"/>
      <c r="BY92" s="331"/>
      <c r="BZ92" s="331"/>
      <c r="CA92" s="331"/>
      <c r="CB92" s="331"/>
      <c r="CC92" s="5"/>
      <c r="CD92" s="5"/>
      <c r="CE92" s="331"/>
      <c r="CF92" s="331"/>
      <c r="CG92" s="331"/>
      <c r="CH92" s="331"/>
      <c r="CI92" s="331"/>
      <c r="CJ92" s="331"/>
      <c r="CK92" s="331"/>
      <c r="CL92" s="331"/>
      <c r="CM92" s="331"/>
      <c r="CN92" s="331"/>
      <c r="CO92" s="331"/>
      <c r="CP92" s="331"/>
      <c r="CQ92" s="331"/>
      <c r="CR92" s="331"/>
      <c r="CS92" s="331"/>
      <c r="CT92" s="331"/>
      <c r="CU92" s="331"/>
    </row>
    <row r="93" spans="1:99" ht="12.75" customHeight="1">
      <c r="A93" s="330"/>
      <c r="B93" s="330"/>
      <c r="C93" s="32" t="s">
        <v>135</v>
      </c>
      <c r="D93" s="330"/>
      <c r="E93" s="300">
        <f t="shared" ref="E93:N93" si="238">+E9</f>
        <v>882</v>
      </c>
      <c r="F93" s="264">
        <f t="shared" si="238"/>
        <v>715</v>
      </c>
      <c r="G93" s="264">
        <f t="shared" si="238"/>
        <v>776</v>
      </c>
      <c r="H93" s="291">
        <f t="shared" si="238"/>
        <v>692</v>
      </c>
      <c r="I93" s="330">
        <f t="shared" si="238"/>
        <v>3065</v>
      </c>
      <c r="J93" s="300">
        <f t="shared" si="238"/>
        <v>753</v>
      </c>
      <c r="K93" s="264">
        <f t="shared" si="238"/>
        <v>771</v>
      </c>
      <c r="L93" s="264">
        <f t="shared" si="238"/>
        <v>1112</v>
      </c>
      <c r="M93" s="291">
        <f t="shared" si="238"/>
        <v>671</v>
      </c>
      <c r="N93" s="330">
        <f t="shared" si="238"/>
        <v>3307</v>
      </c>
      <c r="O93" s="300">
        <f t="shared" ref="O93:X93" si="239">+O9</f>
        <v>789</v>
      </c>
      <c r="P93" s="264">
        <f t="shared" si="239"/>
        <v>716</v>
      </c>
      <c r="Q93" s="264">
        <f t="shared" si="239"/>
        <v>932</v>
      </c>
      <c r="R93" s="291">
        <f t="shared" si="239"/>
        <v>598</v>
      </c>
      <c r="S93" s="330">
        <f t="shared" si="239"/>
        <v>3035</v>
      </c>
      <c r="T93" s="300">
        <f t="shared" si="239"/>
        <v>620</v>
      </c>
      <c r="U93" s="264">
        <f t="shared" si="239"/>
        <v>587</v>
      </c>
      <c r="V93" s="264">
        <f t="shared" si="239"/>
        <v>678</v>
      </c>
      <c r="W93" s="291">
        <f t="shared" si="239"/>
        <v>422</v>
      </c>
      <c r="X93" s="330">
        <f t="shared" si="239"/>
        <v>2307</v>
      </c>
      <c r="Y93" s="300">
        <f t="shared" ref="Y93:AD93" si="240">+Y9</f>
        <v>382</v>
      </c>
      <c r="Z93" s="264">
        <f t="shared" si="240"/>
        <v>248</v>
      </c>
      <c r="AA93" s="1441">
        <f t="shared" si="240"/>
        <v>301</v>
      </c>
      <c r="AB93" s="1442">
        <f t="shared" si="240"/>
        <v>243</v>
      </c>
      <c r="AC93" s="1443">
        <f t="shared" si="240"/>
        <v>1174</v>
      </c>
      <c r="AD93" s="300">
        <f t="shared" si="240"/>
        <v>320</v>
      </c>
      <c r="AE93" s="264">
        <f>+AE9</f>
        <v>269</v>
      </c>
      <c r="AF93" s="1441">
        <f t="shared" ref="AF93:AI93" si="241">+AF9</f>
        <v>326</v>
      </c>
      <c r="AG93" s="1442">
        <f t="shared" si="241"/>
        <v>262</v>
      </c>
      <c r="AH93" s="1443">
        <f t="shared" si="241"/>
        <v>1177</v>
      </c>
      <c r="AI93" s="300">
        <f t="shared" si="241"/>
        <v>327</v>
      </c>
      <c r="AJ93" s="264">
        <f>+AJ9</f>
        <v>275</v>
      </c>
      <c r="AK93" s="1441">
        <f t="shared" ref="AK93:AN93" si="242">+AK9</f>
        <v>390</v>
      </c>
      <c r="AL93" s="1442">
        <f t="shared" si="242"/>
        <v>327</v>
      </c>
      <c r="AM93" s="1443">
        <f>+AM9</f>
        <v>1319</v>
      </c>
      <c r="AN93" s="300">
        <f t="shared" si="242"/>
        <v>348</v>
      </c>
      <c r="AO93" s="264">
        <f>+AO9</f>
        <v>339</v>
      </c>
      <c r="AP93" s="1441">
        <f t="shared" ref="AP93:AQ93" si="243">+AP9</f>
        <v>454</v>
      </c>
      <c r="AQ93" s="1442">
        <f t="shared" si="243"/>
        <v>317</v>
      </c>
      <c r="AR93" s="1443">
        <f>+AR9</f>
        <v>1458</v>
      </c>
      <c r="AS93" s="300">
        <f t="shared" ref="AS93" si="244">+AS9</f>
        <v>334</v>
      </c>
      <c r="AT93" s="264">
        <f>+AT9</f>
        <v>378</v>
      </c>
      <c r="AU93" s="260">
        <f t="shared" ref="AU93:AV93" si="245">+AU9</f>
        <v>529</v>
      </c>
      <c r="AV93" s="1442">
        <f t="shared" si="245"/>
        <v>400</v>
      </c>
      <c r="AW93" s="1443">
        <f>+AW9</f>
        <v>1641</v>
      </c>
      <c r="AX93" s="290">
        <f>+AX94*AX80/1000</f>
        <v>339.80119565601899</v>
      </c>
      <c r="AY93" s="260">
        <f>+AY94*AY80/1000</f>
        <v>388.46769230769223</v>
      </c>
      <c r="AZ93" s="260">
        <f>+AZ94*AZ80/1000</f>
        <v>528.56991869918704</v>
      </c>
      <c r="BA93" s="291">
        <f>+BA94*BA80/1000</f>
        <v>401.50201162270895</v>
      </c>
      <c r="BB93" s="228">
        <f>SUM(AX93:BA93)</f>
        <v>1658.3408182856072</v>
      </c>
      <c r="BC93" s="290">
        <f>+BC94*BC80/1000</f>
        <v>339.80119565601899</v>
      </c>
      <c r="BD93" s="260">
        <f>+BD94*BD80/1000</f>
        <v>388.46769230769223</v>
      </c>
      <c r="BE93" s="260">
        <f>+BE94*BE80/1000</f>
        <v>528.56991869918704</v>
      </c>
      <c r="BF93" s="291">
        <f>+BF94*BF80/1000</f>
        <v>401.50201162270895</v>
      </c>
      <c r="BG93" s="228">
        <f>SUM(BC93:BF93)</f>
        <v>1658.3408182856072</v>
      </c>
      <c r="BH93" s="290">
        <f>+BH94*BH80/1000</f>
        <v>339.80119565601899</v>
      </c>
      <c r="BI93" s="260">
        <f>+BI94*BI80/1000</f>
        <v>388.46769230769223</v>
      </c>
      <c r="BJ93" s="260">
        <f>+BJ94*BJ80/1000</f>
        <v>528.56991869918704</v>
      </c>
      <c r="BK93" s="291">
        <f>+BK94*BK80/1000</f>
        <v>401.50201162270895</v>
      </c>
      <c r="BL93" s="228">
        <f>SUM(BH93:BK93)</f>
        <v>1658.3408182856072</v>
      </c>
      <c r="BM93" s="290">
        <f>+BM94*BM80/1000</f>
        <v>339.80119565601899</v>
      </c>
      <c r="BN93" s="260">
        <f>+BN94*BN80/1000</f>
        <v>388.46769230769223</v>
      </c>
      <c r="BO93" s="260">
        <f>+BO94*BO80/1000</f>
        <v>528.56991869918704</v>
      </c>
      <c r="BP93" s="291">
        <f>+BP94*BP80/1000</f>
        <v>401.50201162270895</v>
      </c>
      <c r="BQ93" s="228">
        <f>SUM(BM93:BP93)</f>
        <v>1658.3408182856072</v>
      </c>
      <c r="BR93" s="330"/>
      <c r="BS93" s="330"/>
      <c r="BT93" s="330"/>
      <c r="BU93" s="330"/>
      <c r="BV93" s="330"/>
      <c r="BW93" s="330"/>
      <c r="BX93" s="330"/>
      <c r="BY93" s="330"/>
      <c r="BZ93" s="330"/>
      <c r="CA93" s="330"/>
      <c r="CB93" s="330"/>
      <c r="CC93" s="5"/>
      <c r="CD93" s="5"/>
      <c r="CE93" s="330"/>
      <c r="CF93" s="330"/>
      <c r="CG93" s="330"/>
      <c r="CH93" s="330"/>
      <c r="CI93" s="330"/>
      <c r="CJ93" s="330"/>
      <c r="CK93" s="330"/>
      <c r="CL93" s="330"/>
      <c r="CM93" s="330"/>
      <c r="CN93" s="330"/>
      <c r="CO93" s="330"/>
      <c r="CP93" s="330"/>
      <c r="CQ93" s="330"/>
      <c r="CR93" s="330"/>
      <c r="CS93" s="330"/>
      <c r="CT93" s="330"/>
      <c r="CU93" s="330"/>
    </row>
    <row r="94" spans="1:99" ht="12.75" customHeight="1">
      <c r="A94" s="1"/>
      <c r="B94" s="1"/>
      <c r="C94" s="28" t="s">
        <v>136</v>
      </c>
      <c r="D94" s="1"/>
      <c r="E94" s="634">
        <f t="shared" ref="E94:S94" si="246">+E93/E80*1000</f>
        <v>39.493126763086018</v>
      </c>
      <c r="F94" s="635">
        <f t="shared" si="246"/>
        <v>34.854245880861846</v>
      </c>
      <c r="G94" s="635">
        <f t="shared" si="246"/>
        <v>34.274104500684601</v>
      </c>
      <c r="H94" s="636">
        <f t="shared" si="246"/>
        <v>32.53102670176758</v>
      </c>
      <c r="I94" s="637">
        <f t="shared" si="246"/>
        <v>35.3273397879207</v>
      </c>
      <c r="J94" s="634">
        <f t="shared" si="246"/>
        <v>34.378852212025755</v>
      </c>
      <c r="K94" s="635">
        <f t="shared" si="246"/>
        <v>35.842127283715307</v>
      </c>
      <c r="L94" s="635">
        <f t="shared" si="246"/>
        <v>42.350611265567281</v>
      </c>
      <c r="M94" s="636">
        <f t="shared" si="246"/>
        <v>31.363933813218662</v>
      </c>
      <c r="N94" s="637">
        <f t="shared" si="246"/>
        <v>36.314720254763081</v>
      </c>
      <c r="O94" s="634">
        <f t="shared" si="246"/>
        <v>35.579004329004327</v>
      </c>
      <c r="P94" s="635">
        <f t="shared" si="246"/>
        <v>34.056316590563164</v>
      </c>
      <c r="Q94" s="635">
        <f t="shared" si="246"/>
        <v>36.570531685305077</v>
      </c>
      <c r="R94" s="636">
        <f t="shared" si="246"/>
        <v>28.70032635822615</v>
      </c>
      <c r="S94" s="637">
        <f t="shared" si="246"/>
        <v>33.902659711129232</v>
      </c>
      <c r="T94" s="634">
        <f t="shared" ref="T94:Z94" si="247">+T93/T80*1000</f>
        <v>29.039812646370024</v>
      </c>
      <c r="U94" s="635">
        <f t="shared" si="247"/>
        <v>27.058172766663592</v>
      </c>
      <c r="V94" s="635">
        <f t="shared" si="247"/>
        <v>26.356709687451406</v>
      </c>
      <c r="W94" s="636">
        <f t="shared" si="247"/>
        <v>19.897213447121505</v>
      </c>
      <c r="X94" s="637">
        <f t="shared" si="247"/>
        <v>25.639885748580191</v>
      </c>
      <c r="Y94" s="634">
        <f t="shared" si="247"/>
        <v>17.393679992714691</v>
      </c>
      <c r="Z94" s="635">
        <f t="shared" si="247"/>
        <v>11.850719166626845</v>
      </c>
      <c r="AA94" s="635">
        <f t="shared" ref="AA94:AH94" si="248">+AA93/AA80*1000</f>
        <v>12.246724713158109</v>
      </c>
      <c r="AB94" s="636">
        <f t="shared" si="248"/>
        <v>11.210038289431195</v>
      </c>
      <c r="AC94" s="637">
        <f t="shared" si="248"/>
        <v>13.169702952526249</v>
      </c>
      <c r="AD94" s="634">
        <f t="shared" si="248"/>
        <v>13.772918998020142</v>
      </c>
      <c r="AE94" s="635">
        <f t="shared" si="248"/>
        <v>12.804036365367224</v>
      </c>
      <c r="AF94" s="635">
        <f t="shared" si="248"/>
        <v>14.025124763379797</v>
      </c>
      <c r="AG94" s="636">
        <f t="shared" si="248"/>
        <v>12.420593533706267</v>
      </c>
      <c r="AH94" s="637">
        <f t="shared" si="248"/>
        <v>13.287273794606067</v>
      </c>
      <c r="AI94" s="634">
        <f t="shared" ref="AI94:AM94" si="249">+AI93/AI80*1000</f>
        <v>14.589096100651378</v>
      </c>
      <c r="AJ94" s="635">
        <f t="shared" si="249"/>
        <v>13.599723060184957</v>
      </c>
      <c r="AK94" s="635">
        <f t="shared" si="249"/>
        <v>16.220937487002452</v>
      </c>
      <c r="AL94" s="636">
        <f t="shared" si="249"/>
        <v>16.305973870549515</v>
      </c>
      <c r="AM94" s="637">
        <f t="shared" si="249"/>
        <v>15.207766452981598</v>
      </c>
      <c r="AN94" s="634">
        <f t="shared" ref="AN94:AR94" si="250">+AN93/AN80*1000</f>
        <v>16.282987085906793</v>
      </c>
      <c r="AO94" s="635">
        <f t="shared" si="250"/>
        <v>16.068635350997774</v>
      </c>
      <c r="AP94" s="635">
        <f t="shared" si="250"/>
        <v>17.651632970451011</v>
      </c>
      <c r="AQ94" s="636">
        <f t="shared" si="250"/>
        <v>15.302181888395443</v>
      </c>
      <c r="AR94" s="637">
        <f t="shared" si="250"/>
        <v>16.399527585625105</v>
      </c>
      <c r="AS94" s="634">
        <f t="shared" ref="AS94:AT94" si="251">+AS93/AS80*1000</f>
        <v>15.922200505315345</v>
      </c>
      <c r="AT94" s="635">
        <f t="shared" si="251"/>
        <v>18.49677040516735</v>
      </c>
      <c r="AU94" s="635">
        <f t="shared" ref="AU94:AW94" si="252">+AU93/AU80*1000</f>
        <v>22.017814034795638</v>
      </c>
      <c r="AV94" s="636">
        <f t="shared" si="252"/>
        <v>19.104021396503963</v>
      </c>
      <c r="AW94" s="637">
        <f t="shared" si="252"/>
        <v>18.998112923579193</v>
      </c>
      <c r="AX94" s="634">
        <f>+AS94</f>
        <v>15.922200505315345</v>
      </c>
      <c r="AY94" s="635">
        <f>+AT94</f>
        <v>18.49677040516735</v>
      </c>
      <c r="AZ94" s="635">
        <f>+AU94</f>
        <v>22.017814034795638</v>
      </c>
      <c r="BA94" s="636">
        <f>+AV94</f>
        <v>19.104021396503963</v>
      </c>
      <c r="BB94" s="637">
        <f>+BB93/BB80*1000</f>
        <v>18.981458054341907</v>
      </c>
      <c r="BC94" s="634">
        <f>+AX94</f>
        <v>15.922200505315345</v>
      </c>
      <c r="BD94" s="635">
        <f>+AY94</f>
        <v>18.49677040516735</v>
      </c>
      <c r="BE94" s="635">
        <f>+AZ94</f>
        <v>22.017814034795638</v>
      </c>
      <c r="BF94" s="636">
        <f>+BA94</f>
        <v>19.104021396503963</v>
      </c>
      <c r="BG94" s="637">
        <f>+BG93/BG80*1000</f>
        <v>18.981458054341907</v>
      </c>
      <c r="BH94" s="634">
        <f>+BC94</f>
        <v>15.922200505315345</v>
      </c>
      <c r="BI94" s="635">
        <f>+BD94</f>
        <v>18.49677040516735</v>
      </c>
      <c r="BJ94" s="635">
        <f>+BE94</f>
        <v>22.017814034795638</v>
      </c>
      <c r="BK94" s="636">
        <f>+BF94</f>
        <v>19.104021396503963</v>
      </c>
      <c r="BL94" s="637">
        <f>+BL93/BL80*1000</f>
        <v>18.981458054341907</v>
      </c>
      <c r="BM94" s="634">
        <f>+BH94</f>
        <v>15.922200505315345</v>
      </c>
      <c r="BN94" s="635">
        <f>+BI94</f>
        <v>18.49677040516735</v>
      </c>
      <c r="BO94" s="635">
        <f>+BJ94</f>
        <v>22.017814034795638</v>
      </c>
      <c r="BP94" s="636">
        <f>+BK94</f>
        <v>19.104021396503963</v>
      </c>
      <c r="BQ94" s="637">
        <f>+BQ93/BQ80*1000</f>
        <v>18.981458054341907</v>
      </c>
      <c r="BR94" s="1"/>
      <c r="BS94" s="1"/>
      <c r="BT94" s="1"/>
      <c r="BU94" s="1"/>
      <c r="BV94" s="1"/>
      <c r="BW94" s="1"/>
      <c r="BX94" s="1"/>
      <c r="BY94" s="1"/>
      <c r="BZ94" s="1"/>
      <c r="CA94" s="1"/>
      <c r="CB94" s="1"/>
      <c r="CC94" s="5"/>
      <c r="CD94" s="5"/>
      <c r="CE94" s="1"/>
      <c r="CF94" s="1"/>
      <c r="CG94" s="1"/>
      <c r="CH94" s="1"/>
      <c r="CI94" s="1"/>
      <c r="CJ94" s="1"/>
      <c r="CK94" s="1"/>
      <c r="CL94" s="1"/>
      <c r="CM94" s="1"/>
      <c r="CN94" s="1"/>
      <c r="CO94" s="1"/>
      <c r="CP94" s="1"/>
      <c r="CQ94" s="1"/>
      <c r="CR94" s="1"/>
      <c r="CS94" s="1"/>
      <c r="CT94" s="1"/>
      <c r="CU94" s="1"/>
    </row>
    <row r="95" spans="1:99" ht="12.75" customHeight="1">
      <c r="A95" s="1"/>
      <c r="B95" s="1"/>
      <c r="C95" s="28" t="s">
        <v>137</v>
      </c>
      <c r="D95" s="1"/>
      <c r="E95" s="600"/>
      <c r="F95" s="251"/>
      <c r="G95" s="251"/>
      <c r="H95" s="601"/>
      <c r="I95" s="26"/>
      <c r="J95" s="600"/>
      <c r="K95" s="251"/>
      <c r="L95" s="251"/>
      <c r="M95" s="601"/>
      <c r="N95" s="26"/>
      <c r="O95" s="600"/>
      <c r="P95" s="251"/>
      <c r="Q95" s="251"/>
      <c r="R95" s="601"/>
      <c r="S95" s="26"/>
      <c r="T95" s="600"/>
      <c r="U95" s="251"/>
      <c r="V95" s="251"/>
      <c r="W95" s="601"/>
      <c r="X95" s="26"/>
      <c r="Y95" s="600"/>
      <c r="Z95" s="251"/>
      <c r="AA95" s="251"/>
      <c r="AB95" s="601"/>
      <c r="AC95" s="26"/>
      <c r="AD95" s="600"/>
      <c r="AE95" s="251"/>
      <c r="AF95" s="251"/>
      <c r="AG95" s="601"/>
      <c r="AH95" s="26"/>
      <c r="AI95" s="600"/>
      <c r="AJ95" s="251"/>
      <c r="AK95" s="251"/>
      <c r="AL95" s="601"/>
      <c r="AM95" s="26"/>
      <c r="AN95" s="600"/>
      <c r="AO95" s="251"/>
      <c r="AP95" s="251"/>
      <c r="AQ95" s="601"/>
      <c r="AR95" s="26"/>
      <c r="AS95" s="600"/>
      <c r="AT95" s="251"/>
      <c r="AU95" s="251"/>
      <c r="AV95" s="601"/>
      <c r="AW95" s="26"/>
      <c r="AX95" s="600"/>
      <c r="AY95" s="251"/>
      <c r="AZ95" s="251"/>
      <c r="BA95" s="601"/>
      <c r="BB95" s="26"/>
      <c r="BC95" s="600"/>
      <c r="BD95" s="251"/>
      <c r="BE95" s="251"/>
      <c r="BF95" s="601"/>
      <c r="BG95" s="26"/>
      <c r="BH95" s="600"/>
      <c r="BI95" s="251"/>
      <c r="BJ95" s="251"/>
      <c r="BK95" s="601"/>
      <c r="BL95" s="26"/>
      <c r="BM95" s="600"/>
      <c r="BN95" s="251"/>
      <c r="BO95" s="251"/>
      <c r="BP95" s="601"/>
      <c r="BQ95" s="26"/>
      <c r="BR95" s="1"/>
      <c r="BS95" s="1"/>
      <c r="BT95" s="1"/>
      <c r="BU95" s="1"/>
      <c r="BV95" s="1"/>
      <c r="BW95" s="1"/>
      <c r="BX95" s="1"/>
      <c r="BY95" s="1"/>
      <c r="BZ95" s="1"/>
      <c r="CA95" s="1"/>
      <c r="CB95" s="1"/>
      <c r="CC95" s="5"/>
      <c r="CD95" s="5"/>
      <c r="CE95" s="1"/>
      <c r="CF95" s="1"/>
      <c r="CG95" s="1"/>
      <c r="CH95" s="1"/>
      <c r="CI95" s="1"/>
      <c r="CJ95" s="1"/>
      <c r="CK95" s="1"/>
      <c r="CL95" s="1"/>
      <c r="CM95" s="1"/>
      <c r="CN95" s="1"/>
      <c r="CO95" s="1"/>
      <c r="CP95" s="1"/>
      <c r="CQ95" s="1"/>
      <c r="CR95" s="1"/>
      <c r="CS95" s="1"/>
      <c r="CT95" s="1"/>
      <c r="CU95" s="1"/>
    </row>
    <row r="96" spans="1:99" ht="12.75" customHeight="1">
      <c r="A96" s="1"/>
      <c r="B96" s="1"/>
      <c r="C96" s="32"/>
      <c r="D96" s="1"/>
      <c r="E96" s="600"/>
      <c r="F96" s="251"/>
      <c r="G96" s="251"/>
      <c r="H96" s="601"/>
      <c r="I96" s="26"/>
      <c r="J96" s="600"/>
      <c r="K96" s="251"/>
      <c r="L96" s="251"/>
      <c r="M96" s="601"/>
      <c r="N96" s="26"/>
      <c r="O96" s="600"/>
      <c r="P96" s="251"/>
      <c r="Q96" s="251"/>
      <c r="R96" s="601"/>
      <c r="S96" s="26"/>
      <c r="T96" s="600"/>
      <c r="U96" s="251"/>
      <c r="V96" s="251"/>
      <c r="W96" s="601"/>
      <c r="X96" s="26"/>
      <c r="Y96" s="600"/>
      <c r="Z96" s="251"/>
      <c r="AA96" s="251"/>
      <c r="AB96" s="601"/>
      <c r="AC96" s="26"/>
      <c r="AD96" s="600"/>
      <c r="AE96" s="251"/>
      <c r="AF96" s="251"/>
      <c r="AG96" s="601"/>
      <c r="AH96" s="26"/>
      <c r="AI96" s="600"/>
      <c r="AJ96" s="251"/>
      <c r="AK96" s="251"/>
      <c r="AL96" s="601"/>
      <c r="AM96" s="26"/>
      <c r="AN96" s="600"/>
      <c r="AO96" s="251"/>
      <c r="AP96" s="251"/>
      <c r="AQ96" s="601"/>
      <c r="AR96" s="26"/>
      <c r="AS96" s="600"/>
      <c r="AT96" s="251"/>
      <c r="AU96" s="251"/>
      <c r="AV96" s="601"/>
      <c r="AW96" s="26"/>
      <c r="AX96" s="600"/>
      <c r="AY96" s="251"/>
      <c r="AZ96" s="251"/>
      <c r="BA96" s="601"/>
      <c r="BB96" s="26"/>
      <c r="BC96" s="600"/>
      <c r="BD96" s="251"/>
      <c r="BE96" s="251"/>
      <c r="BF96" s="601"/>
      <c r="BG96" s="26"/>
      <c r="BH96" s="600"/>
      <c r="BI96" s="251"/>
      <c r="BJ96" s="251"/>
      <c r="BK96" s="601"/>
      <c r="BL96" s="26"/>
      <c r="BM96" s="600"/>
      <c r="BN96" s="251"/>
      <c r="BO96" s="251"/>
      <c r="BP96" s="601"/>
      <c r="BQ96" s="26"/>
      <c r="BR96" s="1"/>
      <c r="BS96" s="1"/>
      <c r="BT96" s="1"/>
      <c r="BU96" s="1"/>
      <c r="BV96" s="1"/>
      <c r="BW96" s="1"/>
      <c r="BX96" s="1"/>
      <c r="BY96" s="1"/>
      <c r="BZ96" s="1"/>
      <c r="CA96" s="1"/>
      <c r="CB96" s="1"/>
      <c r="CC96" s="5"/>
      <c r="CD96" s="5"/>
      <c r="CE96" s="1"/>
      <c r="CF96" s="1"/>
      <c r="CG96" s="1"/>
      <c r="CH96" s="1"/>
      <c r="CI96" s="1"/>
      <c r="CJ96" s="1"/>
      <c r="CK96" s="1"/>
      <c r="CL96" s="1"/>
      <c r="CM96" s="1"/>
      <c r="CN96" s="1"/>
      <c r="CO96" s="1"/>
      <c r="CP96" s="1"/>
      <c r="CQ96" s="1"/>
      <c r="CR96" s="1"/>
      <c r="CS96" s="1"/>
      <c r="CT96" s="1"/>
      <c r="CU96" s="1"/>
    </row>
    <row r="97" spans="1:99" ht="12.75" customHeight="1">
      <c r="A97" s="223"/>
      <c r="B97" s="223"/>
      <c r="C97" s="32" t="s">
        <v>138</v>
      </c>
      <c r="D97" s="223"/>
      <c r="E97" s="292">
        <f t="shared" ref="E97:S97" si="253">+E73-E93</f>
        <v>671</v>
      </c>
      <c r="F97" s="261">
        <f t="shared" si="253"/>
        <v>674</v>
      </c>
      <c r="G97" s="261">
        <f t="shared" si="253"/>
        <v>699</v>
      </c>
      <c r="H97" s="293">
        <f t="shared" si="253"/>
        <v>665</v>
      </c>
      <c r="I97" s="228">
        <f t="shared" si="253"/>
        <v>2709</v>
      </c>
      <c r="J97" s="292">
        <f t="shared" si="253"/>
        <v>662</v>
      </c>
      <c r="K97" s="261">
        <f t="shared" si="253"/>
        <v>728</v>
      </c>
      <c r="L97" s="261">
        <f t="shared" si="253"/>
        <v>806</v>
      </c>
      <c r="M97" s="293">
        <f t="shared" si="253"/>
        <v>701</v>
      </c>
      <c r="N97" s="228">
        <f t="shared" si="253"/>
        <v>2897</v>
      </c>
      <c r="O97" s="350">
        <f t="shared" si="253"/>
        <v>677</v>
      </c>
      <c r="P97" s="351">
        <f t="shared" si="253"/>
        <v>728</v>
      </c>
      <c r="Q97" s="261">
        <f t="shared" si="253"/>
        <v>852</v>
      </c>
      <c r="R97" s="293">
        <f t="shared" si="253"/>
        <v>764</v>
      </c>
      <c r="S97" s="228">
        <f t="shared" si="253"/>
        <v>3021</v>
      </c>
      <c r="T97" s="350">
        <f t="shared" ref="T97:Z97" si="254">+T73-T93</f>
        <v>768</v>
      </c>
      <c r="U97" s="351">
        <f t="shared" si="254"/>
        <v>694</v>
      </c>
      <c r="V97" s="261">
        <f t="shared" si="254"/>
        <v>806</v>
      </c>
      <c r="W97" s="293">
        <f t="shared" si="254"/>
        <v>868</v>
      </c>
      <c r="X97" s="228">
        <f t="shared" si="254"/>
        <v>3136</v>
      </c>
      <c r="Y97" s="350">
        <f t="shared" si="254"/>
        <v>778</v>
      </c>
      <c r="Z97" s="351">
        <f t="shared" si="254"/>
        <v>832</v>
      </c>
      <c r="AA97" s="1438">
        <f t="shared" ref="AA97:AH97" si="255">+AA73-AA93</f>
        <v>855</v>
      </c>
      <c r="AB97" s="1439">
        <f t="shared" si="255"/>
        <v>825</v>
      </c>
      <c r="AC97" s="1440">
        <f t="shared" si="255"/>
        <v>3290</v>
      </c>
      <c r="AD97" s="350">
        <f t="shared" si="255"/>
        <v>814</v>
      </c>
      <c r="AE97" s="351">
        <f t="shared" si="255"/>
        <v>859</v>
      </c>
      <c r="AF97" s="1438">
        <f t="shared" si="255"/>
        <v>896</v>
      </c>
      <c r="AG97" s="1439">
        <f t="shared" si="255"/>
        <v>818</v>
      </c>
      <c r="AH97" s="1440">
        <f t="shared" si="255"/>
        <v>3387</v>
      </c>
      <c r="AI97" s="350">
        <f>+AI73-AI93</f>
        <v>858</v>
      </c>
      <c r="AJ97" s="351">
        <f t="shared" ref="AJ97:AM97" si="256">+AJ73-AJ93</f>
        <v>873</v>
      </c>
      <c r="AK97" s="1438">
        <f t="shared" si="256"/>
        <v>986</v>
      </c>
      <c r="AL97" s="1439">
        <f t="shared" si="256"/>
        <v>869</v>
      </c>
      <c r="AM97" s="1440">
        <f t="shared" si="256"/>
        <v>3586</v>
      </c>
      <c r="AN97" s="350">
        <f>+AN73-AN93</f>
        <v>901</v>
      </c>
      <c r="AO97" s="351">
        <f t="shared" ref="AO97:AR97" si="257">+AO73-AO93</f>
        <v>947</v>
      </c>
      <c r="AP97" s="1438">
        <f t="shared" si="257"/>
        <v>1043</v>
      </c>
      <c r="AQ97" s="1439">
        <f t="shared" si="257"/>
        <v>905</v>
      </c>
      <c r="AR97" s="1440">
        <f t="shared" si="257"/>
        <v>3796</v>
      </c>
      <c r="AS97" s="350">
        <f t="shared" ref="AS97:BB97" si="258">+AS73-AS93</f>
        <v>964</v>
      </c>
      <c r="AT97" s="351">
        <f t="shared" si="258"/>
        <v>979</v>
      </c>
      <c r="AU97" s="351">
        <f t="shared" ref="AU97:AW97" si="259">+AU73-AU93</f>
        <v>1042</v>
      </c>
      <c r="AV97" s="1439">
        <f t="shared" si="259"/>
        <v>910</v>
      </c>
      <c r="AW97" s="1440">
        <f t="shared" si="259"/>
        <v>3895</v>
      </c>
      <c r="AX97" s="350">
        <f t="shared" si="258"/>
        <v>934.64982069581538</v>
      </c>
      <c r="AY97" s="351">
        <f t="shared" si="258"/>
        <v>960.01701923076894</v>
      </c>
      <c r="AZ97" s="351">
        <f t="shared" si="258"/>
        <v>995.05909552845549</v>
      </c>
      <c r="BA97" s="352">
        <f t="shared" si="258"/>
        <v>867.32332644166286</v>
      </c>
      <c r="BB97" s="348">
        <f t="shared" si="258"/>
        <v>3757.0492618967028</v>
      </c>
      <c r="BC97" s="350">
        <f t="shared" ref="BC97:BL97" si="260">+BC73-BC93</f>
        <v>957.74357069581538</v>
      </c>
      <c r="BD97" s="351">
        <f t="shared" si="260"/>
        <v>983.11076923076894</v>
      </c>
      <c r="BE97" s="351">
        <f t="shared" si="260"/>
        <v>1018.1528455284555</v>
      </c>
      <c r="BF97" s="352">
        <f t="shared" si="260"/>
        <v>890.41707644166286</v>
      </c>
      <c r="BG97" s="348">
        <f t="shared" si="260"/>
        <v>3849.4242618967028</v>
      </c>
      <c r="BH97" s="350">
        <f t="shared" si="260"/>
        <v>987.18107069581538</v>
      </c>
      <c r="BI97" s="351">
        <f t="shared" si="260"/>
        <v>1012.5482692307692</v>
      </c>
      <c r="BJ97" s="351">
        <f t="shared" si="260"/>
        <v>1047.5903455284551</v>
      </c>
      <c r="BK97" s="352">
        <f t="shared" si="260"/>
        <v>919.85457644166286</v>
      </c>
      <c r="BL97" s="348">
        <f t="shared" si="260"/>
        <v>3967.1742618967028</v>
      </c>
      <c r="BM97" s="350">
        <f t="shared" ref="BM97:BQ97" si="261">+BM73-BM93</f>
        <v>1017.3373206958154</v>
      </c>
      <c r="BN97" s="351">
        <f t="shared" si="261"/>
        <v>1042.7045192307692</v>
      </c>
      <c r="BO97" s="351">
        <f t="shared" si="261"/>
        <v>1077.7465955284551</v>
      </c>
      <c r="BP97" s="352">
        <f t="shared" si="261"/>
        <v>950.01082644166308</v>
      </c>
      <c r="BQ97" s="348">
        <f t="shared" si="261"/>
        <v>4087.7992618967028</v>
      </c>
      <c r="BR97" s="223"/>
      <c r="BS97" s="223"/>
      <c r="BT97" s="223"/>
      <c r="BU97" s="223"/>
      <c r="BV97" s="223"/>
      <c r="BW97" s="223"/>
      <c r="BX97" s="223"/>
      <c r="BY97" s="223"/>
      <c r="BZ97" s="223"/>
      <c r="CA97" s="223"/>
      <c r="CB97" s="223"/>
      <c r="CC97" s="5"/>
      <c r="CD97" s="5"/>
      <c r="CE97" s="223"/>
      <c r="CF97" s="223"/>
      <c r="CG97" s="223"/>
      <c r="CH97" s="223"/>
      <c r="CI97" s="223"/>
      <c r="CJ97" s="223"/>
      <c r="CK97" s="223"/>
      <c r="CL97" s="223"/>
      <c r="CM97" s="223"/>
      <c r="CN97" s="223"/>
      <c r="CO97" s="223"/>
      <c r="CP97" s="223"/>
      <c r="CQ97" s="223"/>
      <c r="CR97" s="223"/>
      <c r="CS97" s="223"/>
      <c r="CT97" s="223"/>
      <c r="CU97" s="223"/>
    </row>
    <row r="98" spans="1:99" ht="12.75" customHeight="1">
      <c r="A98" s="223"/>
      <c r="B98" s="223"/>
      <c r="C98" s="223" t="s">
        <v>623</v>
      </c>
      <c r="D98" s="223"/>
      <c r="E98" s="638"/>
      <c r="F98" s="639"/>
      <c r="G98" s="639"/>
      <c r="H98" s="640"/>
      <c r="I98" s="392"/>
      <c r="J98" s="376">
        <f t="shared" ref="J98:S98" si="262">+J97/E97-1</f>
        <v>-1.3412816691505181E-2</v>
      </c>
      <c r="K98" s="377">
        <f t="shared" si="262"/>
        <v>8.0118694362017795E-2</v>
      </c>
      <c r="L98" s="377">
        <f t="shared" si="262"/>
        <v>0.15307582260371966</v>
      </c>
      <c r="M98" s="378">
        <f t="shared" si="262"/>
        <v>5.4135338345864703E-2</v>
      </c>
      <c r="N98" s="375">
        <f t="shared" si="262"/>
        <v>6.9398301956441477E-2</v>
      </c>
      <c r="O98" s="376">
        <f t="shared" si="262"/>
        <v>2.2658610271903301E-2</v>
      </c>
      <c r="P98" s="377">
        <f t="shared" si="262"/>
        <v>0</v>
      </c>
      <c r="Q98" s="377">
        <f t="shared" si="262"/>
        <v>5.7071960297766733E-2</v>
      </c>
      <c r="R98" s="378">
        <f t="shared" si="262"/>
        <v>8.9871611982881516E-2</v>
      </c>
      <c r="S98" s="375">
        <f t="shared" si="262"/>
        <v>4.2802899551259932E-2</v>
      </c>
      <c r="T98" s="376">
        <f t="shared" ref="T98:Z98" si="263">+T97/O97-1</f>
        <v>0.13441654357459387</v>
      </c>
      <c r="U98" s="377">
        <f t="shared" si="263"/>
        <v>-4.6703296703296648E-2</v>
      </c>
      <c r="V98" s="377">
        <f t="shared" si="263"/>
        <v>-5.39906103286385E-2</v>
      </c>
      <c r="W98" s="378">
        <f t="shared" si="263"/>
        <v>0.13612565445026181</v>
      </c>
      <c r="X98" s="375">
        <f t="shared" si="263"/>
        <v>3.8066865276398465E-2</v>
      </c>
      <c r="Y98" s="376">
        <f t="shared" si="263"/>
        <v>1.3020833333333259E-2</v>
      </c>
      <c r="Z98" s="377">
        <f t="shared" si="263"/>
        <v>0.19884726224783855</v>
      </c>
      <c r="AA98" s="377">
        <f t="shared" ref="AA98:AH98" si="264">+AA97/V97-1</f>
        <v>6.079404466501237E-2</v>
      </c>
      <c r="AB98" s="378">
        <f t="shared" si="264"/>
        <v>-4.9539170506912478E-2</v>
      </c>
      <c r="AC98" s="375">
        <f t="shared" si="264"/>
        <v>4.9107142857142794E-2</v>
      </c>
      <c r="AD98" s="376">
        <f t="shared" si="264"/>
        <v>4.6272493573264795E-2</v>
      </c>
      <c r="AE98" s="377">
        <f t="shared" si="264"/>
        <v>3.2451923076923128E-2</v>
      </c>
      <c r="AF98" s="377">
        <f t="shared" si="264"/>
        <v>4.7953216374269081E-2</v>
      </c>
      <c r="AG98" s="378">
        <f t="shared" si="264"/>
        <v>-8.4848484848485395E-3</v>
      </c>
      <c r="AH98" s="375">
        <f t="shared" si="264"/>
        <v>2.948328267477196E-2</v>
      </c>
      <c r="AI98" s="376">
        <f t="shared" ref="AI98" si="265">+AI97/AD97-1</f>
        <v>5.4054054054053946E-2</v>
      </c>
      <c r="AJ98" s="377">
        <f t="shared" ref="AJ98" si="266">+AJ97/AE97-1</f>
        <v>1.6298020954598424E-2</v>
      </c>
      <c r="AK98" s="377">
        <f t="shared" ref="AK98" si="267">+AK97/AF97-1</f>
        <v>0.1004464285714286</v>
      </c>
      <c r="AL98" s="378">
        <f t="shared" ref="AL98" si="268">+AL97/AG97-1</f>
        <v>6.2347188264058717E-2</v>
      </c>
      <c r="AM98" s="375">
        <f t="shared" ref="AM98:AP98" si="269">+AM97/AH97-1</f>
        <v>5.8754059639799294E-2</v>
      </c>
      <c r="AN98" s="376">
        <f t="shared" si="269"/>
        <v>5.011655011655014E-2</v>
      </c>
      <c r="AO98" s="377">
        <f t="shared" si="269"/>
        <v>8.4765177548682624E-2</v>
      </c>
      <c r="AP98" s="377">
        <f t="shared" si="269"/>
        <v>5.7809330628803224E-2</v>
      </c>
      <c r="AQ98" s="378">
        <f t="shared" ref="AQ98" si="270">+AQ97/AL97-1</f>
        <v>4.1426927502876909E-2</v>
      </c>
      <c r="AR98" s="375">
        <f t="shared" ref="AR98" si="271">+AR97/AM97-1</f>
        <v>5.8561070831009587E-2</v>
      </c>
      <c r="AS98" s="376">
        <f t="shared" ref="AS98:BB98" si="272">+AS97/AN97-1</f>
        <v>6.9922308546059853E-2</v>
      </c>
      <c r="AT98" s="377">
        <f t="shared" si="272"/>
        <v>3.3790918690601801E-2</v>
      </c>
      <c r="AU98" s="377">
        <f t="shared" ref="AU98" si="273">+AU97/AP97-1</f>
        <v>-9.5877277085332224E-4</v>
      </c>
      <c r="AV98" s="378">
        <f t="shared" ref="AV98" si="274">+AV97/AQ97-1</f>
        <v>5.5248618784531356E-3</v>
      </c>
      <c r="AW98" s="375">
        <f t="shared" ref="AW98" si="275">+AW97/AR97-1</f>
        <v>2.6080084299262341E-2</v>
      </c>
      <c r="AX98" s="376">
        <f t="shared" si="272"/>
        <v>-3.0446244091477781E-2</v>
      </c>
      <c r="AY98" s="377">
        <f t="shared" si="272"/>
        <v>-1.9390174432309615E-2</v>
      </c>
      <c r="AZ98" s="377">
        <f t="shared" si="272"/>
        <v>-4.5048852659831606E-2</v>
      </c>
      <c r="BA98" s="378">
        <f t="shared" si="272"/>
        <v>-4.6897443470700129E-2</v>
      </c>
      <c r="BB98" s="375">
        <f t="shared" si="272"/>
        <v>-3.5417391040641122E-2</v>
      </c>
      <c r="BC98" s="376">
        <f t="shared" ref="BC98" si="276">+BC97/AX97-1</f>
        <v>2.4708451752344596E-2</v>
      </c>
      <c r="BD98" s="377">
        <f t="shared" ref="BD98" si="277">+BD97/AY97-1</f>
        <v>2.4055563117520773E-2</v>
      </c>
      <c r="BE98" s="377">
        <f t="shared" ref="BE98" si="278">+BE97/AZ97-1</f>
        <v>2.3208420589065915E-2</v>
      </c>
      <c r="BF98" s="378">
        <f t="shared" ref="BF98" si="279">+BF97/BA97-1</f>
        <v>2.6626460163069687E-2</v>
      </c>
      <c r="BG98" s="375">
        <f t="shared" ref="BG98" si="280">+BG97/BB97-1</f>
        <v>2.4587114397687015E-2</v>
      </c>
      <c r="BH98" s="376">
        <f t="shared" ref="BH98" si="281">+BH97/BC97-1</f>
        <v>3.0736306565454896E-2</v>
      </c>
      <c r="BI98" s="377">
        <f t="shared" ref="BI98" si="282">+BI97/BD97-1</f>
        <v>2.9943217917380194E-2</v>
      </c>
      <c r="BJ98" s="377">
        <f t="shared" ref="BJ98" si="283">+BJ97/BE97-1</f>
        <v>2.8912653074912864E-2</v>
      </c>
      <c r="BK98" s="378">
        <f t="shared" ref="BK98" si="284">+BK97/BF97-1</f>
        <v>3.306034978309258E-2</v>
      </c>
      <c r="BL98" s="375">
        <f t="shared" ref="BL98" si="285">+BL97/BG97-1</f>
        <v>3.0588989934297706E-2</v>
      </c>
      <c r="BM98" s="376">
        <f t="shared" ref="BM98" si="286">+BM97/BH97-1</f>
        <v>3.0547840609164378E-2</v>
      </c>
      <c r="BN98" s="377">
        <f t="shared" ref="BN98" si="287">+BN97/BI97-1</f>
        <v>2.9782530785331884E-2</v>
      </c>
      <c r="BO98" s="377">
        <f t="shared" ref="BO98" si="288">+BO97/BJ97-1</f>
        <v>2.8786300034855383E-2</v>
      </c>
      <c r="BP98" s="378">
        <f t="shared" ref="BP98" si="289">+BP97/BK97-1</f>
        <v>3.2783714700486355E-2</v>
      </c>
      <c r="BQ98" s="375">
        <f t="shared" ref="BQ98" si="290">+BQ97/BL97-1</f>
        <v>3.04057729852103E-2</v>
      </c>
      <c r="BR98" s="223"/>
      <c r="BS98" s="223"/>
      <c r="BT98" s="223"/>
      <c r="BU98" s="223"/>
      <c r="BV98" s="223"/>
      <c r="BW98" s="223"/>
      <c r="BX98" s="223"/>
      <c r="BY98" s="223"/>
      <c r="BZ98" s="223"/>
      <c r="CA98" s="223"/>
      <c r="CB98" s="223"/>
      <c r="CC98" s="5"/>
      <c r="CD98" s="5"/>
      <c r="CE98" s="223"/>
      <c r="CF98" s="223"/>
      <c r="CG98" s="223"/>
      <c r="CH98" s="223"/>
      <c r="CI98" s="223"/>
      <c r="CJ98" s="223"/>
      <c r="CK98" s="223"/>
      <c r="CL98" s="223"/>
      <c r="CM98" s="223"/>
      <c r="CN98" s="223"/>
      <c r="CO98" s="223"/>
      <c r="CP98" s="223"/>
      <c r="CQ98" s="223"/>
      <c r="CR98" s="223"/>
      <c r="CS98" s="223"/>
      <c r="CT98" s="223"/>
      <c r="CU98" s="223"/>
    </row>
    <row r="99" spans="1:99" ht="12.75" customHeight="1">
      <c r="A99" s="223"/>
      <c r="B99" s="223"/>
      <c r="C99" s="223"/>
      <c r="D99" s="223"/>
      <c r="E99" s="638"/>
      <c r="F99" s="639"/>
      <c r="G99" s="639"/>
      <c r="H99" s="640"/>
      <c r="I99" s="392"/>
      <c r="J99" s="376"/>
      <c r="K99" s="377"/>
      <c r="L99" s="377"/>
      <c r="M99" s="378"/>
      <c r="N99" s="375"/>
      <c r="O99" s="376"/>
      <c r="P99" s="377"/>
      <c r="Q99" s="377"/>
      <c r="R99" s="378"/>
      <c r="S99" s="375"/>
      <c r="T99" s="376"/>
      <c r="U99" s="377"/>
      <c r="V99" s="377"/>
      <c r="W99" s="378"/>
      <c r="X99" s="375"/>
      <c r="Y99" s="376"/>
      <c r="Z99" s="377"/>
      <c r="AA99" s="377"/>
      <c r="AB99" s="378"/>
      <c r="AC99" s="375"/>
      <c r="AD99" s="376"/>
      <c r="AE99" s="377"/>
      <c r="AF99" s="377"/>
      <c r="AG99" s="378"/>
      <c r="AH99" s="375"/>
      <c r="AI99" s="376"/>
      <c r="AJ99" s="377"/>
      <c r="AK99" s="377"/>
      <c r="AL99" s="378"/>
      <c r="AM99" s="375"/>
      <c r="AN99" s="376"/>
      <c r="AO99" s="377"/>
      <c r="AP99" s="377"/>
      <c r="AQ99" s="378"/>
      <c r="AR99" s="375"/>
      <c r="AS99" s="376"/>
      <c r="AT99" s="377"/>
      <c r="AU99" s="377"/>
      <c r="AV99" s="378"/>
      <c r="AW99" s="375"/>
      <c r="AX99" s="376"/>
      <c r="AY99" s="377"/>
      <c r="AZ99" s="377"/>
      <c r="BA99" s="378"/>
      <c r="BB99" s="375"/>
      <c r="BC99" s="376"/>
      <c r="BD99" s="377"/>
      <c r="BE99" s="377"/>
      <c r="BF99" s="378"/>
      <c r="BG99" s="375"/>
      <c r="BH99" s="376"/>
      <c r="BI99" s="377"/>
      <c r="BJ99" s="377"/>
      <c r="BK99" s="378"/>
      <c r="BL99" s="375"/>
      <c r="BM99" s="376"/>
      <c r="BN99" s="377"/>
      <c r="BO99" s="377"/>
      <c r="BP99" s="378"/>
      <c r="BQ99" s="375"/>
      <c r="BR99" s="223"/>
      <c r="BS99" s="223"/>
      <c r="BT99" s="223"/>
      <c r="BU99" s="223"/>
      <c r="BV99" s="223"/>
      <c r="BW99" s="223"/>
      <c r="BX99" s="223"/>
      <c r="BY99" s="223"/>
      <c r="BZ99" s="223"/>
      <c r="CA99" s="223"/>
      <c r="CB99" s="223"/>
      <c r="CC99" s="5"/>
      <c r="CD99" s="5"/>
      <c r="CE99" s="223"/>
      <c r="CF99" s="223"/>
      <c r="CG99" s="223"/>
      <c r="CH99" s="223"/>
      <c r="CI99" s="223"/>
      <c r="CJ99" s="223"/>
      <c r="CK99" s="223"/>
      <c r="CL99" s="223"/>
      <c r="CM99" s="223"/>
      <c r="CN99" s="223"/>
      <c r="CO99" s="223"/>
      <c r="CP99" s="223"/>
      <c r="CQ99" s="223"/>
      <c r="CR99" s="223"/>
      <c r="CS99" s="223"/>
      <c r="CT99" s="223"/>
      <c r="CU99" s="223"/>
    </row>
    <row r="100" spans="1:99" ht="12.75" customHeight="1">
      <c r="A100" s="223"/>
      <c r="B100" s="223"/>
      <c r="C100" s="32" t="s">
        <v>1254</v>
      </c>
      <c r="D100" s="223"/>
      <c r="E100" s="638"/>
      <c r="F100" s="639"/>
      <c r="G100" s="639"/>
      <c r="H100" s="640"/>
      <c r="I100" s="392"/>
      <c r="J100" s="376"/>
      <c r="K100" s="377"/>
      <c r="L100" s="377"/>
      <c r="M100" s="378"/>
      <c r="N100" s="375"/>
      <c r="O100" s="376"/>
      <c r="P100" s="377"/>
      <c r="Q100" s="377"/>
      <c r="R100" s="378"/>
      <c r="S100" s="375"/>
      <c r="T100" s="376"/>
      <c r="U100" s="377"/>
      <c r="V100" s="377"/>
      <c r="W100" s="378"/>
      <c r="X100" s="375"/>
      <c r="Y100" s="376"/>
      <c r="Z100" s="377"/>
      <c r="AA100" s="377"/>
      <c r="AB100" s="378"/>
      <c r="AC100" s="375"/>
      <c r="AD100" s="376"/>
      <c r="AE100" s="377"/>
      <c r="AF100" s="377"/>
      <c r="AG100" s="378"/>
      <c r="AH100" s="375"/>
      <c r="AI100" s="376"/>
      <c r="AJ100" s="377"/>
      <c r="AK100" s="377"/>
      <c r="AL100" s="378"/>
      <c r="AM100" s="375"/>
      <c r="AN100" s="376"/>
      <c r="AO100" s="377"/>
      <c r="AP100" s="377"/>
      <c r="AQ100" s="378"/>
      <c r="AR100" s="375"/>
      <c r="AS100" s="376"/>
      <c r="AT100" s="377"/>
      <c r="AU100" s="377"/>
      <c r="AV100" s="378"/>
      <c r="AW100" s="375"/>
      <c r="AX100" s="376"/>
      <c r="AY100" s="377"/>
      <c r="AZ100" s="377"/>
      <c r="BA100" s="378"/>
      <c r="BB100" s="375"/>
      <c r="BC100" s="376"/>
      <c r="BD100" s="377"/>
      <c r="BE100" s="377"/>
      <c r="BF100" s="378"/>
      <c r="BG100" s="375"/>
      <c r="BH100" s="376"/>
      <c r="BI100" s="377"/>
      <c r="BJ100" s="377"/>
      <c r="BK100" s="378"/>
      <c r="BL100" s="375"/>
      <c r="BM100" s="376"/>
      <c r="BN100" s="377"/>
      <c r="BO100" s="377"/>
      <c r="BP100" s="378"/>
      <c r="BQ100" s="375"/>
      <c r="BR100" s="223"/>
      <c r="BS100" s="223"/>
      <c r="BT100" s="223"/>
      <c r="BU100" s="223"/>
      <c r="BV100" s="223"/>
      <c r="BW100" s="223"/>
      <c r="BX100" s="223"/>
      <c r="BY100" s="223"/>
      <c r="BZ100" s="223"/>
      <c r="CA100" s="223"/>
      <c r="CB100" s="223"/>
      <c r="CC100" s="5"/>
      <c r="CD100" s="5"/>
      <c r="CE100" s="223"/>
      <c r="CF100" s="223"/>
      <c r="CG100" s="223"/>
      <c r="CH100" s="223"/>
      <c r="CI100" s="223"/>
      <c r="CJ100" s="223"/>
      <c r="CK100" s="223"/>
      <c r="CL100" s="223"/>
      <c r="CM100" s="223"/>
      <c r="CN100" s="223"/>
      <c r="CO100" s="223"/>
      <c r="CP100" s="223"/>
      <c r="CQ100" s="223"/>
      <c r="CR100" s="223"/>
      <c r="CS100" s="223"/>
      <c r="CT100" s="223"/>
      <c r="CU100" s="223"/>
    </row>
    <row r="101" spans="1:99" ht="12.75" customHeight="1">
      <c r="A101" s="223"/>
      <c r="B101" s="223"/>
      <c r="C101" s="28" t="s">
        <v>1255</v>
      </c>
      <c r="D101" s="223"/>
      <c r="E101" s="638"/>
      <c r="F101" s="639"/>
      <c r="G101" s="639"/>
      <c r="H101" s="640"/>
      <c r="I101" s="392"/>
      <c r="J101" s="376"/>
      <c r="K101" s="377"/>
      <c r="L101" s="377"/>
      <c r="M101" s="378"/>
      <c r="N101" s="375"/>
      <c r="O101" s="376"/>
      <c r="P101" s="377"/>
      <c r="Q101" s="377"/>
      <c r="R101" s="378"/>
      <c r="S101" s="375"/>
      <c r="T101" s="376"/>
      <c r="U101" s="377"/>
      <c r="V101" s="377"/>
      <c r="W101" s="378"/>
      <c r="X101" s="375"/>
      <c r="Y101" s="376"/>
      <c r="Z101" s="377"/>
      <c r="AA101" s="377"/>
      <c r="AB101" s="378"/>
      <c r="AC101" s="375"/>
      <c r="AD101" s="376"/>
      <c r="AE101" s="377"/>
      <c r="AF101" s="377"/>
      <c r="AG101" s="378"/>
      <c r="AH101" s="375"/>
      <c r="AI101" s="376"/>
      <c r="AJ101" s="377"/>
      <c r="AK101" s="377"/>
      <c r="AL101" s="378"/>
      <c r="AM101" s="375"/>
      <c r="AN101" s="376"/>
      <c r="AO101" s="377"/>
      <c r="AP101" s="377"/>
      <c r="AQ101" s="378"/>
      <c r="AR101" s="375"/>
      <c r="AS101" s="376"/>
      <c r="AT101" s="377"/>
      <c r="AU101" s="377"/>
      <c r="AV101" s="378"/>
      <c r="AW101" s="375"/>
      <c r="AX101" s="376"/>
      <c r="AY101" s="377"/>
      <c r="AZ101" s="377"/>
      <c r="BA101" s="378"/>
      <c r="BB101" s="375"/>
      <c r="BC101" s="376"/>
      <c r="BD101" s="377"/>
      <c r="BE101" s="377"/>
      <c r="BF101" s="378"/>
      <c r="BG101" s="375"/>
      <c r="BH101" s="376"/>
      <c r="BI101" s="377"/>
      <c r="BJ101" s="377"/>
      <c r="BK101" s="378"/>
      <c r="BL101" s="375"/>
      <c r="BM101" s="376"/>
      <c r="BN101" s="377"/>
      <c r="BO101" s="377"/>
      <c r="BP101" s="378"/>
      <c r="BQ101" s="375"/>
      <c r="BR101" s="223"/>
      <c r="BS101" s="223"/>
      <c r="BT101" s="223"/>
      <c r="BU101" s="223"/>
      <c r="BV101" s="223"/>
      <c r="BW101" s="223"/>
      <c r="BX101" s="223"/>
      <c r="BY101" s="223"/>
      <c r="BZ101" s="223"/>
      <c r="CA101" s="223"/>
      <c r="CB101" s="223"/>
      <c r="CC101" s="5"/>
      <c r="CD101" s="5"/>
      <c r="CE101" s="223"/>
      <c r="CF101" s="223"/>
      <c r="CG101" s="223"/>
      <c r="CH101" s="223"/>
      <c r="CI101" s="223"/>
      <c r="CJ101" s="223"/>
      <c r="CK101" s="223"/>
      <c r="CL101" s="223"/>
      <c r="CM101" s="223"/>
      <c r="CN101" s="223"/>
      <c r="CO101" s="223"/>
      <c r="CP101" s="223"/>
      <c r="CQ101" s="223"/>
      <c r="CR101" s="223"/>
      <c r="CS101" s="223"/>
      <c r="CT101" s="223"/>
      <c r="CU101" s="223"/>
    </row>
    <row r="102" spans="1:99" s="801" customFormat="1" ht="12.75" customHeight="1">
      <c r="A102" s="24"/>
      <c r="B102" s="24"/>
      <c r="C102" s="1319" t="s">
        <v>1256</v>
      </c>
      <c r="D102" s="24"/>
      <c r="E102" s="308"/>
      <c r="F102" s="244"/>
      <c r="G102" s="244"/>
      <c r="H102" s="309"/>
      <c r="I102" s="24"/>
      <c r="J102" s="308"/>
      <c r="K102" s="244"/>
      <c r="L102" s="244"/>
      <c r="M102" s="309"/>
      <c r="N102" s="24"/>
      <c r="O102" s="802">
        <v>3332</v>
      </c>
      <c r="P102" s="336">
        <v>823</v>
      </c>
      <c r="Q102" s="336">
        <v>147</v>
      </c>
      <c r="R102" s="588">
        <v>1832</v>
      </c>
      <c r="S102" s="24">
        <f>SUM(O102:R102)</f>
        <v>6134</v>
      </c>
      <c r="T102" s="802">
        <v>2384</v>
      </c>
      <c r="U102" s="336">
        <v>544</v>
      </c>
      <c r="V102" s="336">
        <v>107</v>
      </c>
      <c r="W102" s="588">
        <v>2030</v>
      </c>
      <c r="X102" s="24">
        <f>SUM(T102:W102)</f>
        <v>5065</v>
      </c>
      <c r="Y102" s="802">
        <v>3259</v>
      </c>
      <c r="Z102" s="336">
        <v>778</v>
      </c>
      <c r="AA102" s="1435">
        <v>79</v>
      </c>
      <c r="AB102" s="1457">
        <v>2487</v>
      </c>
      <c r="AC102" s="24">
        <f>SUM(Y102:AB102)</f>
        <v>6603</v>
      </c>
      <c r="AD102" s="802">
        <v>3874</v>
      </c>
      <c r="AE102" s="336">
        <v>695</v>
      </c>
      <c r="AF102" s="1435">
        <v>111</v>
      </c>
      <c r="AG102" s="1457">
        <v>2347</v>
      </c>
      <c r="AH102" s="24">
        <f>SUM(AD102:AG102)</f>
        <v>7027</v>
      </c>
      <c r="AI102" s="802">
        <v>3632</v>
      </c>
      <c r="AJ102" s="336">
        <v>686</v>
      </c>
      <c r="AK102" s="1435">
        <v>55</v>
      </c>
      <c r="AL102" s="1457">
        <f>6091-AI102-AJ102-AK102</f>
        <v>1718</v>
      </c>
      <c r="AM102" s="24">
        <f>SUM(AI102:AL102)</f>
        <v>6091</v>
      </c>
      <c r="AN102" s="802">
        <v>2900</v>
      </c>
      <c r="AO102" s="336">
        <v>755</v>
      </c>
      <c r="AP102" s="1435">
        <v>23</v>
      </c>
      <c r="AQ102" s="1457">
        <f>5715-AN102-AO102-AP102</f>
        <v>2037</v>
      </c>
      <c r="AR102" s="24">
        <f>SUM(AN102:AQ102)</f>
        <v>5715</v>
      </c>
      <c r="AS102" s="802">
        <v>2650</v>
      </c>
      <c r="AT102" s="336">
        <v>577</v>
      </c>
      <c r="AU102" s="336">
        <v>42</v>
      </c>
      <c r="AV102" s="1457">
        <f>5435-AS102-AT102-AU102</f>
        <v>2166</v>
      </c>
      <c r="AW102" s="24">
        <f>SUM(AS102:AV102)</f>
        <v>5435</v>
      </c>
      <c r="AX102" s="308"/>
      <c r="AY102" s="244"/>
      <c r="AZ102" s="244"/>
      <c r="BA102" s="309"/>
      <c r="BB102" s="24"/>
      <c r="BC102" s="308"/>
      <c r="BD102" s="244"/>
      <c r="BE102" s="244"/>
      <c r="BF102" s="309"/>
      <c r="BG102" s="24"/>
      <c r="BH102" s="308"/>
      <c r="BI102" s="244"/>
      <c r="BJ102" s="244"/>
      <c r="BK102" s="309"/>
      <c r="BL102" s="24"/>
      <c r="BM102" s="308"/>
      <c r="BN102" s="244"/>
      <c r="BO102" s="244"/>
      <c r="BP102" s="309"/>
      <c r="BQ102" s="24"/>
      <c r="BR102" s="24"/>
      <c r="BS102" s="24"/>
      <c r="BT102" s="24"/>
      <c r="BU102" s="24"/>
      <c r="BV102" s="24"/>
      <c r="BW102" s="24"/>
      <c r="BX102" s="24"/>
      <c r="BY102" s="24"/>
      <c r="BZ102" s="24"/>
      <c r="CA102" s="24"/>
      <c r="CB102" s="24"/>
      <c r="CC102" s="5"/>
      <c r="CD102" s="5"/>
      <c r="CE102" s="24"/>
      <c r="CF102" s="24"/>
      <c r="CG102" s="24"/>
      <c r="CH102" s="24"/>
      <c r="CI102" s="24"/>
      <c r="CJ102" s="24"/>
      <c r="CK102" s="24"/>
      <c r="CL102" s="24"/>
      <c r="CM102" s="24"/>
      <c r="CN102" s="24"/>
      <c r="CO102" s="24"/>
      <c r="CP102" s="24"/>
      <c r="CQ102" s="24"/>
      <c r="CR102" s="24"/>
      <c r="CS102" s="24"/>
      <c r="CT102" s="24"/>
      <c r="CU102" s="24"/>
    </row>
    <row r="103" spans="1:99" s="801" customFormat="1" ht="12.75" customHeight="1">
      <c r="A103" s="24"/>
      <c r="B103" s="24"/>
      <c r="C103" s="1319" t="s">
        <v>1257</v>
      </c>
      <c r="D103" s="24"/>
      <c r="E103" s="308"/>
      <c r="F103" s="244"/>
      <c r="G103" s="244"/>
      <c r="H103" s="309"/>
      <c r="I103" s="24"/>
      <c r="J103" s="308"/>
      <c r="K103" s="244"/>
      <c r="L103" s="244"/>
      <c r="M103" s="309"/>
      <c r="N103" s="24"/>
      <c r="O103" s="802">
        <v>0</v>
      </c>
      <c r="P103" s="336">
        <v>237</v>
      </c>
      <c r="Q103" s="336">
        <v>785</v>
      </c>
      <c r="R103" s="588">
        <v>14</v>
      </c>
      <c r="S103" s="24">
        <f>SUM(O103:R103)</f>
        <v>1036</v>
      </c>
      <c r="T103" s="802">
        <v>39</v>
      </c>
      <c r="U103" s="336">
        <v>423</v>
      </c>
      <c r="V103" s="336">
        <v>859</v>
      </c>
      <c r="W103" s="588">
        <v>3</v>
      </c>
      <c r="X103" s="24">
        <f>SUM(T103:W103)</f>
        <v>1324</v>
      </c>
      <c r="Y103" s="802">
        <v>0</v>
      </c>
      <c r="Z103" s="336">
        <v>240</v>
      </c>
      <c r="AA103" s="1435">
        <v>668</v>
      </c>
      <c r="AB103" s="1457">
        <v>25</v>
      </c>
      <c r="AC103" s="24">
        <f>SUM(Y103:AB103)</f>
        <v>933</v>
      </c>
      <c r="AD103" s="802">
        <v>0</v>
      </c>
      <c r="AE103" s="336">
        <v>259</v>
      </c>
      <c r="AF103" s="1435">
        <v>537</v>
      </c>
      <c r="AG103" s="1457">
        <v>3</v>
      </c>
      <c r="AH103" s="24">
        <f>SUM(AD103:AG103)</f>
        <v>799</v>
      </c>
      <c r="AI103" s="802">
        <v>0</v>
      </c>
      <c r="AJ103" s="336">
        <v>171</v>
      </c>
      <c r="AK103" s="1435">
        <v>634</v>
      </c>
      <c r="AL103" s="1457">
        <f>806-AI103-AJ103-AK103</f>
        <v>1</v>
      </c>
      <c r="AM103" s="24">
        <f>SUM(AI103:AL103)</f>
        <v>806</v>
      </c>
      <c r="AN103" s="802">
        <v>0</v>
      </c>
      <c r="AO103" s="336">
        <v>290</v>
      </c>
      <c r="AP103" s="1435">
        <v>840</v>
      </c>
      <c r="AQ103" s="1457">
        <f>1157-AN103-AO103-AP103</f>
        <v>27</v>
      </c>
      <c r="AR103" s="24">
        <f>SUM(AN103:AQ103)</f>
        <v>1157</v>
      </c>
      <c r="AS103" s="802">
        <v>0</v>
      </c>
      <c r="AT103" s="336">
        <v>263</v>
      </c>
      <c r="AU103" s="336">
        <v>699</v>
      </c>
      <c r="AV103" s="1457">
        <f>991-AS103-AT103-AU103</f>
        <v>29</v>
      </c>
      <c r="AW103" s="24">
        <f>SUM(AS103:AV103)</f>
        <v>991</v>
      </c>
      <c r="AX103" s="308"/>
      <c r="AY103" s="244"/>
      <c r="AZ103" s="244"/>
      <c r="BA103" s="309"/>
      <c r="BB103" s="24"/>
      <c r="BC103" s="308"/>
      <c r="BD103" s="244"/>
      <c r="BE103" s="244"/>
      <c r="BF103" s="309"/>
      <c r="BG103" s="24"/>
      <c r="BH103" s="308"/>
      <c r="BI103" s="244"/>
      <c r="BJ103" s="244"/>
      <c r="BK103" s="309"/>
      <c r="BL103" s="24"/>
      <c r="BM103" s="308"/>
      <c r="BN103" s="244"/>
      <c r="BO103" s="244"/>
      <c r="BP103" s="309"/>
      <c r="BQ103" s="24"/>
      <c r="BR103" s="24"/>
      <c r="BS103" s="24"/>
      <c r="BT103" s="24"/>
      <c r="BU103" s="24"/>
      <c r="BV103" s="24"/>
      <c r="BW103" s="24"/>
      <c r="BX103" s="24"/>
      <c r="BY103" s="24"/>
      <c r="BZ103" s="24"/>
      <c r="CA103" s="24"/>
      <c r="CB103" s="24"/>
      <c r="CC103" s="5"/>
      <c r="CD103" s="5"/>
      <c r="CE103" s="24"/>
      <c r="CF103" s="24"/>
      <c r="CG103" s="24"/>
      <c r="CH103" s="24"/>
      <c r="CI103" s="24"/>
      <c r="CJ103" s="24"/>
      <c r="CK103" s="24"/>
      <c r="CL103" s="24"/>
      <c r="CM103" s="24"/>
      <c r="CN103" s="24"/>
      <c r="CO103" s="24"/>
      <c r="CP103" s="24"/>
      <c r="CQ103" s="24"/>
      <c r="CR103" s="24"/>
      <c r="CS103" s="24"/>
      <c r="CT103" s="24"/>
      <c r="CU103" s="24"/>
    </row>
    <row r="104" spans="1:99" s="801" customFormat="1" ht="12.75" customHeight="1">
      <c r="A104" s="24"/>
      <c r="B104" s="24"/>
      <c r="C104" s="1319"/>
      <c r="D104" s="24"/>
      <c r="E104" s="308"/>
      <c r="F104" s="244"/>
      <c r="G104" s="244"/>
      <c r="H104" s="309"/>
      <c r="I104" s="24"/>
      <c r="J104" s="308"/>
      <c r="K104" s="244"/>
      <c r="L104" s="244"/>
      <c r="M104" s="309"/>
      <c r="N104" s="24"/>
      <c r="O104" s="802"/>
      <c r="P104" s="336"/>
      <c r="Q104" s="336"/>
      <c r="R104" s="588"/>
      <c r="S104" s="791"/>
      <c r="T104" s="802"/>
      <c r="U104" s="336"/>
      <c r="V104" s="336"/>
      <c r="W104" s="588"/>
      <c r="X104" s="24"/>
      <c r="Y104" s="802"/>
      <c r="Z104" s="336"/>
      <c r="AA104" s="1435"/>
      <c r="AB104" s="1457"/>
      <c r="AC104" s="24"/>
      <c r="AD104" s="802"/>
      <c r="AE104" s="336"/>
      <c r="AF104" s="1435"/>
      <c r="AG104" s="1457"/>
      <c r="AH104" s="24"/>
      <c r="AI104" s="802"/>
      <c r="AJ104" s="336"/>
      <c r="AK104" s="1435"/>
      <c r="AL104" s="1457"/>
      <c r="AM104" s="24"/>
      <c r="AN104" s="802"/>
      <c r="AO104" s="336"/>
      <c r="AP104" s="1435"/>
      <c r="AQ104" s="1457"/>
      <c r="AR104" s="24"/>
      <c r="AS104" s="308"/>
      <c r="AT104" s="244"/>
      <c r="AU104" s="244"/>
      <c r="AV104" s="1457"/>
      <c r="AW104" s="24"/>
      <c r="AX104" s="308"/>
      <c r="AY104" s="244"/>
      <c r="AZ104" s="244"/>
      <c r="BA104" s="309"/>
      <c r="BB104" s="24"/>
      <c r="BC104" s="308"/>
      <c r="BD104" s="244"/>
      <c r="BE104" s="244"/>
      <c r="BF104" s="309"/>
      <c r="BG104" s="24"/>
      <c r="BH104" s="308"/>
      <c r="BI104" s="244"/>
      <c r="BJ104" s="244"/>
      <c r="BK104" s="309"/>
      <c r="BL104" s="24"/>
      <c r="BM104" s="308"/>
      <c r="BN104" s="244"/>
      <c r="BO104" s="244"/>
      <c r="BP104" s="309"/>
      <c r="BQ104" s="24"/>
      <c r="BR104" s="24"/>
      <c r="BS104" s="24"/>
      <c r="BT104" s="24"/>
      <c r="BU104" s="24"/>
      <c r="BV104" s="24"/>
      <c r="BW104" s="24"/>
      <c r="BX104" s="24"/>
      <c r="BY104" s="24"/>
      <c r="BZ104" s="24"/>
      <c r="CA104" s="24"/>
      <c r="CB104" s="24"/>
      <c r="CC104" s="5"/>
      <c r="CD104" s="5"/>
      <c r="CE104" s="24"/>
      <c r="CF104" s="24"/>
      <c r="CG104" s="24"/>
      <c r="CH104" s="24"/>
      <c r="CI104" s="24"/>
      <c r="CJ104" s="24"/>
      <c r="CK104" s="24"/>
      <c r="CL104" s="24"/>
      <c r="CM104" s="24"/>
      <c r="CN104" s="24"/>
      <c r="CO104" s="24"/>
      <c r="CP104" s="24"/>
      <c r="CQ104" s="24"/>
      <c r="CR104" s="24"/>
      <c r="CS104" s="24"/>
      <c r="CT104" s="24"/>
      <c r="CU104" s="24"/>
    </row>
    <row r="105" spans="1:99" s="801" customFormat="1" ht="12.75" customHeight="1">
      <c r="A105" s="24"/>
      <c r="B105" s="24"/>
      <c r="C105" s="24" t="s">
        <v>1258</v>
      </c>
      <c r="D105" s="24"/>
      <c r="E105" s="308"/>
      <c r="F105" s="244"/>
      <c r="G105" s="244"/>
      <c r="H105" s="309"/>
      <c r="I105" s="24"/>
      <c r="J105" s="308"/>
      <c r="K105" s="244"/>
      <c r="L105" s="244"/>
      <c r="M105" s="309"/>
      <c r="N105" s="24"/>
      <c r="O105" s="335"/>
      <c r="P105" s="336"/>
      <c r="Q105" s="336"/>
      <c r="R105" s="588"/>
      <c r="S105" s="791"/>
      <c r="T105" s="802"/>
      <c r="U105" s="336"/>
      <c r="V105" s="336"/>
      <c r="W105" s="588"/>
      <c r="X105" s="24"/>
      <c r="Y105" s="802"/>
      <c r="Z105" s="336"/>
      <c r="AA105" s="1435"/>
      <c r="AB105" s="1457"/>
      <c r="AC105" s="24"/>
      <c r="AD105" s="802"/>
      <c r="AE105" s="336"/>
      <c r="AF105" s="1435"/>
      <c r="AG105" s="1457"/>
      <c r="AH105" s="24"/>
      <c r="AI105" s="802"/>
      <c r="AJ105" s="336"/>
      <c r="AK105" s="1435"/>
      <c r="AL105" s="1457"/>
      <c r="AM105" s="24"/>
      <c r="AN105" s="802"/>
      <c r="AO105" s="336"/>
      <c r="AP105" s="1435"/>
      <c r="AQ105" s="309"/>
      <c r="AR105" s="24"/>
      <c r="AS105" s="308"/>
      <c r="AT105" s="244"/>
      <c r="AU105" s="244"/>
      <c r="AV105" s="309"/>
      <c r="AW105" s="24"/>
      <c r="AX105" s="308"/>
      <c r="AY105" s="244"/>
      <c r="AZ105" s="244"/>
      <c r="BA105" s="309"/>
      <c r="BB105" s="24"/>
      <c r="BC105" s="308"/>
      <c r="BD105" s="244"/>
      <c r="BE105" s="244"/>
      <c r="BF105" s="309"/>
      <c r="BG105" s="24"/>
      <c r="BH105" s="308"/>
      <c r="BI105" s="244"/>
      <c r="BJ105" s="244"/>
      <c r="BK105" s="309"/>
      <c r="BL105" s="24"/>
      <c r="BM105" s="308"/>
      <c r="BN105" s="244"/>
      <c r="BO105" s="244"/>
      <c r="BP105" s="309"/>
      <c r="BQ105" s="24"/>
      <c r="BR105" s="24"/>
      <c r="BS105" s="24"/>
      <c r="BT105" s="24"/>
      <c r="BU105" s="24"/>
      <c r="BV105" s="24"/>
      <c r="BW105" s="24"/>
      <c r="BX105" s="24"/>
      <c r="BY105" s="24"/>
      <c r="BZ105" s="24"/>
      <c r="CA105" s="24"/>
      <c r="CB105" s="24"/>
      <c r="CC105" s="5"/>
      <c r="CD105" s="5"/>
      <c r="CE105" s="24"/>
      <c r="CF105" s="24"/>
      <c r="CG105" s="24"/>
      <c r="CH105" s="24"/>
      <c r="CI105" s="24"/>
      <c r="CJ105" s="24"/>
      <c r="CK105" s="24"/>
      <c r="CL105" s="24"/>
      <c r="CM105" s="24"/>
      <c r="CN105" s="24"/>
      <c r="CO105" s="24"/>
      <c r="CP105" s="24"/>
      <c r="CQ105" s="24"/>
      <c r="CR105" s="24"/>
      <c r="CS105" s="24"/>
      <c r="CT105" s="24"/>
      <c r="CU105" s="24"/>
    </row>
    <row r="106" spans="1:99" s="801" customFormat="1" ht="12.75" customHeight="1">
      <c r="A106" s="24"/>
      <c r="B106" s="24"/>
      <c r="C106" s="1319" t="s">
        <v>1256</v>
      </c>
      <c r="D106" s="24"/>
      <c r="E106" s="308"/>
      <c r="F106" s="244"/>
      <c r="G106" s="244"/>
      <c r="H106" s="309"/>
      <c r="I106" s="24"/>
      <c r="J106" s="308"/>
      <c r="K106" s="244"/>
      <c r="L106" s="244"/>
      <c r="M106" s="309"/>
      <c r="N106" s="24"/>
      <c r="O106" s="335"/>
      <c r="P106" s="336"/>
      <c r="Q106" s="336"/>
      <c r="R106" s="588"/>
      <c r="S106" s="791"/>
      <c r="T106" s="802">
        <v>3164</v>
      </c>
      <c r="U106" s="336">
        <v>765</v>
      </c>
      <c r="V106" s="336">
        <v>119</v>
      </c>
      <c r="W106" s="588">
        <v>2293</v>
      </c>
      <c r="X106" s="24">
        <f>SUM(T106:W106)</f>
        <v>6341</v>
      </c>
      <c r="Y106" s="802">
        <v>3164</v>
      </c>
      <c r="Z106" s="336">
        <v>765</v>
      </c>
      <c r="AA106" s="1435">
        <v>119</v>
      </c>
      <c r="AB106" s="1457">
        <v>2293</v>
      </c>
      <c r="AC106" s="24">
        <f>SUM(Y106:AB106)</f>
        <v>6341</v>
      </c>
      <c r="AD106" s="802">
        <v>3164</v>
      </c>
      <c r="AE106" s="336">
        <v>765</v>
      </c>
      <c r="AF106" s="1435">
        <v>119</v>
      </c>
      <c r="AG106" s="1457">
        <v>2293</v>
      </c>
      <c r="AH106" s="24">
        <f>SUM(AD106:AG106)</f>
        <v>6341</v>
      </c>
      <c r="AI106" s="802">
        <v>3164</v>
      </c>
      <c r="AJ106" s="336">
        <v>765</v>
      </c>
      <c r="AK106" s="1435">
        <v>119</v>
      </c>
      <c r="AL106" s="1457">
        <f>6341-AI106-AJ106-AK106</f>
        <v>2293</v>
      </c>
      <c r="AM106" s="24">
        <f>SUM(AI106:AL106)</f>
        <v>6341</v>
      </c>
      <c r="AN106" s="802">
        <v>3164</v>
      </c>
      <c r="AO106" s="336">
        <v>765</v>
      </c>
      <c r="AP106" s="1435">
        <v>119</v>
      </c>
      <c r="AQ106" s="1457">
        <f>6341-AN106-AO106-AP106</f>
        <v>2293</v>
      </c>
      <c r="AR106" s="24">
        <f>SUM(AN106:AQ106)</f>
        <v>6341</v>
      </c>
      <c r="AS106" s="802">
        <v>3141</v>
      </c>
      <c r="AT106" s="336">
        <v>734</v>
      </c>
      <c r="AU106" s="336">
        <v>97</v>
      </c>
      <c r="AV106" s="1457">
        <f>6198-AS106-AT106-AU106</f>
        <v>2226</v>
      </c>
      <c r="AW106" s="24">
        <f>SUM(AS106:AV106)</f>
        <v>6198</v>
      </c>
      <c r="AX106" s="308"/>
      <c r="AY106" s="244"/>
      <c r="AZ106" s="244"/>
      <c r="BA106" s="309"/>
      <c r="BB106" s="24"/>
      <c r="BC106" s="308"/>
      <c r="BD106" s="244"/>
      <c r="BE106" s="244"/>
      <c r="BF106" s="309"/>
      <c r="BG106" s="24"/>
      <c r="BH106" s="308"/>
      <c r="BI106" s="244"/>
      <c r="BJ106" s="244"/>
      <c r="BK106" s="309"/>
      <c r="BL106" s="24"/>
      <c r="BM106" s="308"/>
      <c r="BN106" s="244"/>
      <c r="BO106" s="244"/>
      <c r="BP106" s="309"/>
      <c r="BQ106" s="24"/>
      <c r="BR106" s="24"/>
      <c r="BS106" s="24"/>
      <c r="BT106" s="24"/>
      <c r="BU106" s="24"/>
      <c r="BV106" s="24"/>
      <c r="BW106" s="24"/>
      <c r="BX106" s="24"/>
      <c r="BY106" s="24"/>
      <c r="BZ106" s="24"/>
      <c r="CA106" s="24"/>
      <c r="CB106" s="24"/>
      <c r="CC106" s="5"/>
      <c r="CD106" s="5"/>
      <c r="CE106" s="24"/>
      <c r="CF106" s="24"/>
      <c r="CG106" s="24"/>
      <c r="CH106" s="24"/>
      <c r="CI106" s="24"/>
      <c r="CJ106" s="24"/>
      <c r="CK106" s="24"/>
      <c r="CL106" s="24"/>
      <c r="CM106" s="24"/>
      <c r="CN106" s="24"/>
      <c r="CO106" s="24"/>
      <c r="CP106" s="24"/>
      <c r="CQ106" s="24"/>
      <c r="CR106" s="24"/>
      <c r="CS106" s="24"/>
      <c r="CT106" s="24"/>
      <c r="CU106" s="24"/>
    </row>
    <row r="107" spans="1:99" s="801" customFormat="1" ht="12.75" customHeight="1">
      <c r="A107" s="24"/>
      <c r="B107" s="24"/>
      <c r="C107" s="1319" t="s">
        <v>1257</v>
      </c>
      <c r="D107" s="24"/>
      <c r="E107" s="308"/>
      <c r="F107" s="244"/>
      <c r="G107" s="244"/>
      <c r="H107" s="309"/>
      <c r="I107" s="24"/>
      <c r="J107" s="308"/>
      <c r="K107" s="244"/>
      <c r="L107" s="244"/>
      <c r="M107" s="309"/>
      <c r="N107" s="24"/>
      <c r="O107" s="335"/>
      <c r="P107" s="336"/>
      <c r="Q107" s="336"/>
      <c r="R107" s="588"/>
      <c r="S107" s="791"/>
      <c r="T107" s="802">
        <v>0</v>
      </c>
      <c r="U107" s="336">
        <v>218</v>
      </c>
      <c r="V107" s="336">
        <v>613</v>
      </c>
      <c r="W107" s="588">
        <v>11</v>
      </c>
      <c r="X107" s="24">
        <f>SUM(T107:W107)</f>
        <v>842</v>
      </c>
      <c r="Y107" s="802">
        <v>0</v>
      </c>
      <c r="Z107" s="336">
        <v>218</v>
      </c>
      <c r="AA107" s="1435">
        <v>613</v>
      </c>
      <c r="AB107" s="1457">
        <v>11</v>
      </c>
      <c r="AC107" s="24">
        <f>SUM(Y107:AB107)</f>
        <v>842</v>
      </c>
      <c r="AD107" s="802">
        <v>0</v>
      </c>
      <c r="AE107" s="336">
        <v>218</v>
      </c>
      <c r="AF107" s="1435">
        <v>613</v>
      </c>
      <c r="AG107" s="1457">
        <v>11</v>
      </c>
      <c r="AH107" s="24">
        <f>SUM(AD107:AG107)</f>
        <v>842</v>
      </c>
      <c r="AI107" s="802">
        <v>0</v>
      </c>
      <c r="AJ107" s="336">
        <v>218</v>
      </c>
      <c r="AK107" s="1435">
        <v>613</v>
      </c>
      <c r="AL107" s="1457">
        <f>842-AI107-AJ107-AK107</f>
        <v>11</v>
      </c>
      <c r="AM107" s="24">
        <f>SUM(AI107:AL107)</f>
        <v>842</v>
      </c>
      <c r="AN107" s="802">
        <v>0</v>
      </c>
      <c r="AO107" s="336">
        <v>218</v>
      </c>
      <c r="AP107" s="1435">
        <v>613</v>
      </c>
      <c r="AQ107" s="1457">
        <f>842-AN107-AO107-AP107</f>
        <v>11</v>
      </c>
      <c r="AR107" s="24">
        <f>SUM(AN107:AQ107)</f>
        <v>842</v>
      </c>
      <c r="AS107" s="802">
        <v>0</v>
      </c>
      <c r="AT107" s="336">
        <v>241</v>
      </c>
      <c r="AU107" s="336">
        <v>641</v>
      </c>
      <c r="AV107" s="1457">
        <f>893-AS107-AT107-AU107</f>
        <v>11</v>
      </c>
      <c r="AW107" s="24">
        <f>SUM(AS107:AV107)</f>
        <v>893</v>
      </c>
      <c r="AX107" s="308"/>
      <c r="AY107" s="244"/>
      <c r="AZ107" s="244"/>
      <c r="BA107" s="309"/>
      <c r="BB107" s="24"/>
      <c r="BC107" s="308"/>
      <c r="BD107" s="244"/>
      <c r="BE107" s="244"/>
      <c r="BF107" s="309"/>
      <c r="BG107" s="24"/>
      <c r="BH107" s="308"/>
      <c r="BI107" s="244"/>
      <c r="BJ107" s="244"/>
      <c r="BK107" s="309"/>
      <c r="BL107" s="24"/>
      <c r="BM107" s="308"/>
      <c r="BN107" s="244"/>
      <c r="BO107" s="244"/>
      <c r="BP107" s="309"/>
      <c r="BQ107" s="24"/>
      <c r="BR107" s="24"/>
      <c r="BS107" s="24"/>
      <c r="BT107" s="24"/>
      <c r="BU107" s="24"/>
      <c r="BV107" s="24"/>
      <c r="BW107" s="24"/>
      <c r="BX107" s="24"/>
      <c r="BY107" s="24"/>
      <c r="BZ107" s="24"/>
      <c r="CA107" s="24"/>
      <c r="CB107" s="24"/>
      <c r="CC107" s="5"/>
      <c r="CD107" s="5"/>
      <c r="CE107" s="24"/>
      <c r="CF107" s="24"/>
      <c r="CG107" s="24"/>
      <c r="CH107" s="24"/>
      <c r="CI107" s="24"/>
      <c r="CJ107" s="24"/>
      <c r="CK107" s="24"/>
      <c r="CL107" s="24"/>
      <c r="CM107" s="24"/>
      <c r="CN107" s="24"/>
      <c r="CO107" s="24"/>
      <c r="CP107" s="24"/>
      <c r="CQ107" s="24"/>
      <c r="CR107" s="24"/>
      <c r="CS107" s="24"/>
      <c r="CT107" s="24"/>
      <c r="CU107" s="24"/>
    </row>
    <row r="108" spans="1:99" ht="12.75" customHeight="1">
      <c r="A108" s="1"/>
      <c r="B108" s="1"/>
      <c r="C108" s="1317"/>
      <c r="D108" s="1"/>
      <c r="E108" s="600"/>
      <c r="F108" s="251"/>
      <c r="G108" s="251"/>
      <c r="H108" s="601"/>
      <c r="I108" s="26"/>
      <c r="J108" s="600"/>
      <c r="K108" s="251"/>
      <c r="L108" s="251"/>
      <c r="M108" s="601"/>
      <c r="N108" s="26"/>
      <c r="O108" s="600"/>
      <c r="P108" s="251"/>
      <c r="Q108" s="251"/>
      <c r="R108" s="601"/>
      <c r="S108" s="26"/>
      <c r="T108" s="600"/>
      <c r="U108" s="251"/>
      <c r="V108" s="251"/>
      <c r="W108" s="601"/>
      <c r="X108" s="26"/>
      <c r="Y108" s="600"/>
      <c r="Z108" s="251"/>
      <c r="AA108" s="251"/>
      <c r="AB108" s="601"/>
      <c r="AC108" s="26"/>
      <c r="AD108" s="600"/>
      <c r="AE108" s="251"/>
      <c r="AF108" s="251"/>
      <c r="AG108" s="601"/>
      <c r="AH108" s="26"/>
      <c r="AI108" s="600"/>
      <c r="AJ108" s="251"/>
      <c r="AK108" s="251"/>
      <c r="AL108" s="601"/>
      <c r="AM108" s="26"/>
      <c r="AN108" s="600"/>
      <c r="AO108" s="251"/>
      <c r="AP108" s="251"/>
      <c r="AQ108" s="601"/>
      <c r="AR108" s="26"/>
      <c r="AS108" s="600"/>
      <c r="AT108" s="251"/>
      <c r="AU108" s="251"/>
      <c r="AV108" s="601"/>
      <c r="AW108" s="26"/>
      <c r="AX108" s="600"/>
      <c r="AY108" s="251"/>
      <c r="AZ108" s="251"/>
      <c r="BA108" s="601"/>
      <c r="BB108" s="26"/>
      <c r="BC108" s="600"/>
      <c r="BD108" s="251"/>
      <c r="BE108" s="251"/>
      <c r="BF108" s="601"/>
      <c r="BG108" s="26"/>
      <c r="BH108" s="600"/>
      <c r="BI108" s="251"/>
      <c r="BJ108" s="251"/>
      <c r="BK108" s="601"/>
      <c r="BL108" s="26"/>
      <c r="BM108" s="600"/>
      <c r="BN108" s="251"/>
      <c r="BO108" s="251"/>
      <c r="BP108" s="601"/>
      <c r="BQ108" s="26"/>
      <c r="BR108" s="1"/>
      <c r="BS108" s="1"/>
      <c r="BT108" s="1"/>
      <c r="BU108" s="1"/>
      <c r="BV108" s="1"/>
      <c r="BW108" s="1"/>
      <c r="BX108" s="1"/>
      <c r="BY108" s="1"/>
      <c r="BZ108" s="1"/>
      <c r="CA108" s="1"/>
      <c r="CB108" s="1"/>
      <c r="CC108" s="5"/>
      <c r="CD108" s="5"/>
      <c r="CE108" s="1"/>
      <c r="CF108" s="1"/>
      <c r="CG108" s="1"/>
      <c r="CH108" s="1"/>
      <c r="CI108" s="1"/>
      <c r="CJ108" s="1"/>
      <c r="CK108" s="1"/>
      <c r="CL108" s="1"/>
      <c r="CM108" s="1"/>
      <c r="CN108" s="1"/>
      <c r="CO108" s="1"/>
      <c r="CP108" s="1"/>
      <c r="CQ108" s="1"/>
      <c r="CR108" s="1"/>
      <c r="CS108" s="1"/>
      <c r="CT108" s="1"/>
      <c r="CU108" s="1"/>
    </row>
    <row r="109" spans="1:99" ht="12.75" customHeight="1">
      <c r="A109" s="1"/>
      <c r="B109" s="1"/>
      <c r="C109" s="1336" t="s">
        <v>951</v>
      </c>
      <c r="D109" s="1"/>
      <c r="E109" s="600"/>
      <c r="F109" s="251"/>
      <c r="G109" s="251"/>
      <c r="H109" s="601"/>
      <c r="I109" s="26"/>
      <c r="J109" s="600"/>
      <c r="K109" s="251"/>
      <c r="L109" s="251"/>
      <c r="M109" s="601"/>
      <c r="N109" s="26"/>
      <c r="O109" s="600"/>
      <c r="P109" s="251"/>
      <c r="Q109" s="251"/>
      <c r="R109" s="601"/>
      <c r="S109" s="26"/>
      <c r="T109" s="310">
        <f>SUM(T102:T103)/SUM(T106:T107)-1</f>
        <v>-0.23419721871049304</v>
      </c>
      <c r="U109" s="1337">
        <f>SUM(U102:U103)/SUM(U106:U107)-1</f>
        <v>-1.6276703967446626E-2</v>
      </c>
      <c r="V109" s="1337">
        <f>SUM(V102:V103)/SUM(V106:V107)-1</f>
        <v>0.31967213114754101</v>
      </c>
      <c r="W109" s="320">
        <f>SUM(W102:W103)/SUM(W106:W107)-1</f>
        <v>-0.11762152777777779</v>
      </c>
      <c r="X109" s="359"/>
      <c r="Y109" s="310">
        <f>SUM(Y102:Y103)/SUM(Y106:Y107)-1</f>
        <v>3.002528445006325E-2</v>
      </c>
      <c r="Z109" s="1337">
        <f>SUM(Z102:Z103)/SUM(Z106:Z107)-1</f>
        <v>3.560528992878953E-2</v>
      </c>
      <c r="AA109" s="1337">
        <f>SUM(AA102:AA103)/SUM(AA106:AA107)-1</f>
        <v>2.0491803278688492E-2</v>
      </c>
      <c r="AB109" s="1458">
        <f>SUM(AB102:AB103)/SUM(AB106:AB107)-1</f>
        <v>9.0277777777777679E-2</v>
      </c>
      <c r="AC109" s="1459"/>
      <c r="AD109" s="310">
        <f>SUM(AD102:AD103)/SUM(AD106:AD107)-1</f>
        <v>0.22439949431099881</v>
      </c>
      <c r="AE109" s="1337">
        <f>SUM(AE102:AE103)/SUM(AE106:AE107)-1</f>
        <v>-2.9501525940996975E-2</v>
      </c>
      <c r="AF109" s="1337">
        <f>SUM(AF102:AF103)/SUM(AF106:AF107)-1</f>
        <v>-0.11475409836065575</v>
      </c>
      <c r="AG109" s="1458">
        <f>SUM(AG102:AG103)/SUM(AG106:AG107)-1</f>
        <v>1.9965277777777679E-2</v>
      </c>
      <c r="AH109" s="1459"/>
      <c r="AI109" s="310">
        <f>SUM(AI102:AI103)/SUM(AI106:AI107)-1</f>
        <v>0.14791403286978499</v>
      </c>
      <c r="AJ109" s="1337">
        <f>SUM(AJ102:AJ103)/SUM(AJ106:AJ107)-1</f>
        <v>-0.12817904374364186</v>
      </c>
      <c r="AK109" s="1337">
        <f>SUM(AK102:AK103)/SUM(AK106:AK107)-1</f>
        <v>-5.8743169398907114E-2</v>
      </c>
      <c r="AL109" s="1458">
        <f>SUM(AL102:AL103)/SUM(AL106:AL107)-1</f>
        <v>-0.25390625</v>
      </c>
      <c r="AM109" s="1459"/>
      <c r="AN109" s="310">
        <f>SUM(AN102:AN103)/SUM(AN106:AN107)-1</f>
        <v>-8.3438685208596763E-2</v>
      </c>
      <c r="AO109" s="1337">
        <f>SUM(AO102:AO103)/SUM(AO106:AO107)-1</f>
        <v>6.307222787385558E-2</v>
      </c>
      <c r="AP109" s="1337">
        <f>SUM(AP102:AP103)/SUM(AP106:AP107)-1</f>
        <v>0.1789617486338797</v>
      </c>
      <c r="AQ109" s="1458">
        <f>SUM(AQ102:AQ103)/SUM(AQ106:AQ107)-1</f>
        <v>-0.10416666666666663</v>
      </c>
      <c r="AR109" s="1459"/>
      <c r="AS109" s="310">
        <f>SUM(AS102:AS103)/SUM(AS106:AS107)-1</f>
        <v>-0.15631964342566063</v>
      </c>
      <c r="AT109" s="1337">
        <f>SUM(AT102:AT103)/SUM(AT106:AT107)-1</f>
        <v>-0.13846153846153841</v>
      </c>
      <c r="AU109" s="1337">
        <f t="shared" ref="AU109" si="291">SUM(AU102:AU103)/SUM(AU106:AU107)-1</f>
        <v>4.0650406504065817E-3</v>
      </c>
      <c r="AV109" s="1458">
        <f>SUM(AV102:AV103)/SUM(AV106:AV107)-1</f>
        <v>-1.877514528386226E-2</v>
      </c>
      <c r="AW109" s="1459"/>
      <c r="AX109" s="600"/>
      <c r="AY109" s="251"/>
      <c r="AZ109" s="251"/>
      <c r="BA109" s="601"/>
      <c r="BB109" s="26"/>
      <c r="BC109" s="600"/>
      <c r="BD109" s="251"/>
      <c r="BE109" s="251"/>
      <c r="BF109" s="601"/>
      <c r="BG109" s="26"/>
      <c r="BH109" s="600"/>
      <c r="BI109" s="251"/>
      <c r="BJ109" s="251"/>
      <c r="BK109" s="601"/>
      <c r="BL109" s="26"/>
      <c r="BM109" s="600"/>
      <c r="BN109" s="251"/>
      <c r="BO109" s="251"/>
      <c r="BP109" s="601"/>
      <c r="BQ109" s="26"/>
      <c r="BR109" s="1"/>
      <c r="BS109" s="1"/>
      <c r="BT109" s="1"/>
      <c r="BU109" s="1"/>
      <c r="BV109" s="1"/>
      <c r="BW109" s="1"/>
      <c r="BX109" s="1"/>
      <c r="BY109" s="1"/>
      <c r="BZ109" s="1"/>
      <c r="CA109" s="1"/>
      <c r="CB109" s="1"/>
      <c r="CC109" s="5"/>
      <c r="CD109" s="5"/>
      <c r="CE109" s="1"/>
      <c r="CF109" s="1"/>
      <c r="CG109" s="1"/>
      <c r="CH109" s="1"/>
      <c r="CI109" s="1"/>
      <c r="CJ109" s="1"/>
      <c r="CK109" s="1"/>
      <c r="CL109" s="1"/>
      <c r="CM109" s="1"/>
      <c r="CN109" s="1"/>
      <c r="CO109" s="1"/>
      <c r="CP109" s="1"/>
      <c r="CQ109" s="1"/>
      <c r="CR109" s="1"/>
      <c r="CS109" s="1"/>
      <c r="CT109" s="1"/>
      <c r="CU109" s="1"/>
    </row>
    <row r="110" spans="1:99" ht="12.75" customHeight="1">
      <c r="A110" s="1"/>
      <c r="B110" s="1"/>
      <c r="C110" s="359" t="s">
        <v>952</v>
      </c>
      <c r="D110" s="1"/>
      <c r="E110" s="600"/>
      <c r="F110" s="251"/>
      <c r="G110" s="251"/>
      <c r="H110" s="601"/>
      <c r="I110" s="26"/>
      <c r="J110" s="600"/>
      <c r="K110" s="251"/>
      <c r="L110" s="251"/>
      <c r="M110" s="601"/>
      <c r="N110" s="26"/>
      <c r="O110" s="600"/>
      <c r="P110" s="251"/>
      <c r="Q110" s="251"/>
      <c r="R110" s="601"/>
      <c r="S110" s="26"/>
      <c r="T110" s="310">
        <f>T109/9</f>
        <v>-2.6021913190054782E-2</v>
      </c>
      <c r="U110" s="1338">
        <f>U109/4</f>
        <v>-4.0691759918616566E-3</v>
      </c>
      <c r="V110" s="1338">
        <f>V109/10</f>
        <v>3.1967213114754103E-2</v>
      </c>
      <c r="W110" s="320">
        <f>W109/9</f>
        <v>-1.3069058641975309E-2</v>
      </c>
      <c r="X110" s="359"/>
      <c r="Y110" s="310">
        <f>Y109/9</f>
        <v>3.3361427166736946E-3</v>
      </c>
      <c r="Z110" s="1338">
        <f>Z109/9</f>
        <v>3.9561433254210587E-3</v>
      </c>
      <c r="AA110" s="1460">
        <f>AA109/10</f>
        <v>2.0491803278688491E-3</v>
      </c>
      <c r="AB110" s="1458">
        <f>AB109/9</f>
        <v>1.0030864197530853E-2</v>
      </c>
      <c r="AC110" s="1459"/>
      <c r="AD110" s="310">
        <f>AD109/9</f>
        <v>2.4933277145666535E-2</v>
      </c>
      <c r="AE110" s="1338">
        <f>AE109/9</f>
        <v>-3.2779473267774417E-3</v>
      </c>
      <c r="AF110" s="1460">
        <f>AF109/10</f>
        <v>-1.1475409836065575E-2</v>
      </c>
      <c r="AG110" s="1458">
        <f>AG109/9</f>
        <v>2.2183641975308532E-3</v>
      </c>
      <c r="AH110" s="1459"/>
      <c r="AI110" s="310">
        <f t="shared" ref="AI110" si="292">AI109/9</f>
        <v>1.6434892541087223E-2</v>
      </c>
      <c r="AJ110" s="1338">
        <f>AJ109/9</f>
        <v>-1.4242115971515763E-2</v>
      </c>
      <c r="AK110" s="1460">
        <f t="shared" ref="AK110:AL110" si="293">AK109/9</f>
        <v>-6.5270188221007901E-3</v>
      </c>
      <c r="AL110" s="1458">
        <f t="shared" si="293"/>
        <v>-2.8211805555555556E-2</v>
      </c>
      <c r="AM110" s="1459"/>
      <c r="AN110" s="310">
        <f t="shared" ref="AN110" si="294">AN109/9</f>
        <v>-9.2709650231774174E-3</v>
      </c>
      <c r="AO110" s="1338">
        <f>AO109/5</f>
        <v>1.2614445574771116E-2</v>
      </c>
      <c r="AP110" s="1460">
        <f>AP109/8</f>
        <v>2.2370218579234963E-2</v>
      </c>
      <c r="AQ110" s="1458">
        <f t="shared" ref="AQ110" si="295">AQ109/9</f>
        <v>-1.157407407407407E-2</v>
      </c>
      <c r="AR110" s="1459"/>
      <c r="AS110" s="310">
        <f t="shared" ref="AS110" si="296">AS109/9</f>
        <v>-1.7368849269517848E-2</v>
      </c>
      <c r="AT110" s="1338">
        <f>AT109/5</f>
        <v>-2.7692307692307683E-2</v>
      </c>
      <c r="AU110" s="1338">
        <f t="shared" ref="AU110" si="297">AU109/5</f>
        <v>8.1300813008131632E-4</v>
      </c>
      <c r="AV110" s="1458">
        <f>AV109/5</f>
        <v>-3.7550290567724522E-3</v>
      </c>
      <c r="AW110" s="1459"/>
      <c r="AX110" s="600"/>
      <c r="AY110" s="251"/>
      <c r="AZ110" s="251"/>
      <c r="BA110" s="601"/>
      <c r="BB110" s="26"/>
      <c r="BC110" s="600"/>
      <c r="BD110" s="251"/>
      <c r="BE110" s="251"/>
      <c r="BF110" s="601"/>
      <c r="BG110" s="26"/>
      <c r="BH110" s="600"/>
      <c r="BI110" s="251"/>
      <c r="BJ110" s="251"/>
      <c r="BK110" s="601"/>
      <c r="BL110" s="26"/>
      <c r="BM110" s="600"/>
      <c r="BN110" s="251"/>
      <c r="BO110" s="251"/>
      <c r="BP110" s="601"/>
      <c r="BQ110" s="26"/>
      <c r="BR110" s="1"/>
      <c r="BS110" s="1"/>
      <c r="BT110" s="1"/>
      <c r="BU110" s="1"/>
      <c r="BV110" s="1"/>
      <c r="BW110" s="1"/>
      <c r="BX110" s="1"/>
      <c r="BY110" s="1"/>
      <c r="BZ110" s="1"/>
      <c r="CA110" s="1"/>
      <c r="CB110" s="1"/>
      <c r="CC110" s="5"/>
      <c r="CD110" s="5"/>
      <c r="CE110" s="1"/>
      <c r="CF110" s="1"/>
      <c r="CG110" s="1"/>
      <c r="CH110" s="1"/>
      <c r="CI110" s="1"/>
      <c r="CJ110" s="1"/>
      <c r="CK110" s="1"/>
      <c r="CL110" s="1"/>
      <c r="CM110" s="1"/>
      <c r="CN110" s="1"/>
      <c r="CO110" s="1"/>
      <c r="CP110" s="1"/>
      <c r="CQ110" s="1"/>
      <c r="CR110" s="1"/>
      <c r="CS110" s="1"/>
      <c r="CT110" s="1"/>
      <c r="CU110" s="1"/>
    </row>
    <row r="111" spans="1:99" ht="12.75" customHeight="1">
      <c r="A111" s="1"/>
      <c r="B111" s="1"/>
      <c r="C111" s="359"/>
      <c r="D111" s="1"/>
      <c r="E111" s="600"/>
      <c r="F111" s="251"/>
      <c r="G111" s="251"/>
      <c r="H111" s="601"/>
      <c r="I111" s="26"/>
      <c r="J111" s="600"/>
      <c r="K111" s="251"/>
      <c r="L111" s="251"/>
      <c r="M111" s="601"/>
      <c r="N111" s="26"/>
      <c r="O111" s="600"/>
      <c r="P111" s="251"/>
      <c r="Q111" s="251"/>
      <c r="R111" s="601"/>
      <c r="S111" s="26"/>
      <c r="T111" s="600"/>
      <c r="U111" s="251"/>
      <c r="V111" s="251"/>
      <c r="W111" s="601"/>
      <c r="X111" s="26"/>
      <c r="Y111" s="600"/>
      <c r="Z111" s="251"/>
      <c r="AA111" s="251"/>
      <c r="AB111" s="601"/>
      <c r="AC111" s="26"/>
      <c r="AD111" s="600"/>
      <c r="AE111" s="251"/>
      <c r="AF111" s="251"/>
      <c r="AG111" s="601"/>
      <c r="AH111" s="26"/>
      <c r="AI111" s="600"/>
      <c r="AJ111" s="251"/>
      <c r="AK111" s="251"/>
      <c r="AL111" s="601"/>
      <c r="AM111" s="26"/>
      <c r="AN111" s="600"/>
      <c r="AO111" s="251"/>
      <c r="AP111" s="251"/>
      <c r="AQ111" s="601"/>
      <c r="AR111" s="26"/>
      <c r="AS111" s="600"/>
      <c r="AT111" s="251"/>
      <c r="AU111" s="251"/>
      <c r="AV111" s="601"/>
      <c r="AW111" s="26"/>
      <c r="AX111" s="600"/>
      <c r="AY111" s="251"/>
      <c r="AZ111" s="251"/>
      <c r="BA111" s="601"/>
      <c r="BB111" s="26"/>
      <c r="BC111" s="600"/>
      <c r="BD111" s="251"/>
      <c r="BE111" s="251"/>
      <c r="BF111" s="601"/>
      <c r="BG111" s="26"/>
      <c r="BH111" s="600"/>
      <c r="BI111" s="251"/>
      <c r="BJ111" s="251"/>
      <c r="BK111" s="601"/>
      <c r="BL111" s="26"/>
      <c r="BM111" s="600"/>
      <c r="BN111" s="251"/>
      <c r="BO111" s="251"/>
      <c r="BP111" s="601"/>
      <c r="BQ111" s="26"/>
      <c r="BR111" s="1"/>
      <c r="BS111" s="1"/>
      <c r="BT111" s="1"/>
      <c r="BU111" s="1"/>
      <c r="BV111" s="1"/>
      <c r="BW111" s="1"/>
      <c r="BX111" s="1"/>
      <c r="BY111" s="1"/>
      <c r="BZ111" s="1"/>
      <c r="CA111" s="1"/>
      <c r="CB111" s="1"/>
      <c r="CC111" s="5"/>
      <c r="CD111" s="5"/>
      <c r="CE111" s="1"/>
      <c r="CF111" s="1"/>
      <c r="CG111" s="1"/>
      <c r="CH111" s="1"/>
      <c r="CI111" s="1"/>
      <c r="CJ111" s="1"/>
      <c r="CK111" s="1"/>
      <c r="CL111" s="1"/>
      <c r="CM111" s="1"/>
      <c r="CN111" s="1"/>
      <c r="CO111" s="1"/>
      <c r="CP111" s="1"/>
      <c r="CQ111" s="1"/>
      <c r="CR111" s="1"/>
      <c r="CS111" s="1"/>
      <c r="CT111" s="1"/>
      <c r="CU111" s="1"/>
    </row>
    <row r="112" spans="1:99" ht="12.75" customHeight="1">
      <c r="A112" s="1"/>
      <c r="B112" s="1"/>
      <c r="C112" s="895" t="s">
        <v>953</v>
      </c>
      <c r="D112" s="1"/>
      <c r="E112" s="600"/>
      <c r="F112" s="251"/>
      <c r="G112" s="251"/>
      <c r="H112" s="601"/>
      <c r="I112" s="26"/>
      <c r="J112" s="600"/>
      <c r="K112" s="251"/>
      <c r="L112" s="251"/>
      <c r="M112" s="601"/>
      <c r="N112" s="26"/>
      <c r="O112" s="600"/>
      <c r="P112" s="251"/>
      <c r="Q112" s="251"/>
      <c r="R112" s="601"/>
      <c r="S112" s="26"/>
      <c r="T112" s="360">
        <f>+((T110*T97)*0.65)/T40</f>
        <v>-1.8373605466018877E-2</v>
      </c>
      <c r="U112" s="400">
        <f>+((U110*U97)*0.65)/U40</f>
        <v>-2.1443987031878426E-3</v>
      </c>
      <c r="V112" s="400">
        <f>+((V110*V97)*0.65)/V40</f>
        <v>1.9542150467700903E-2</v>
      </c>
      <c r="W112" s="362">
        <f>+((W110*W97)*0.65)/W40</f>
        <v>-9.0031292866941011E-3</v>
      </c>
      <c r="X112" s="26"/>
      <c r="Y112" s="360">
        <f>+((Y110*Y97)*0.65)/Y40</f>
        <v>1.9732016044700434E-3</v>
      </c>
      <c r="Z112" s="400">
        <f>+((Z110*Z97)*0.65)/Z40</f>
        <v>2.4877701283578008E-3</v>
      </c>
      <c r="AA112" s="1461">
        <f>+((AA110*AA97)*0.65)/AA40</f>
        <v>1.324223217689666E-3</v>
      </c>
      <c r="AB112" s="362">
        <f>+((AB110*AB97)*0.65)/AB40</f>
        <v>6.2474459069987468E-3</v>
      </c>
      <c r="AC112" s="26"/>
      <c r="AD112" s="360">
        <f>+((AD110*AD97)*0.65)/AD40</f>
        <v>1.5321947662917728E-2</v>
      </c>
      <c r="AE112" s="400">
        <f>+((AE110*AE97)*0.65)/AE40</f>
        <v>-2.1183355207247505E-3</v>
      </c>
      <c r="AF112" s="1461">
        <f>+((AF110*AF97)*0.65)/AF40</f>
        <v>-7.7442395000284952E-3</v>
      </c>
      <c r="AG112" s="362">
        <f>+((AG110*AG97)*0.65)/AG40</f>
        <v>1.3588758569437268E-3</v>
      </c>
      <c r="AH112" s="26"/>
      <c r="AI112" s="360">
        <f>+((AI110*AI97)*0.65)/AI40</f>
        <v>1.0571787278159567E-2</v>
      </c>
      <c r="AJ112" s="400">
        <f>+((AJ110*AJ97)*0.65)/AJ40</f>
        <v>-9.3538063750423853E-3</v>
      </c>
      <c r="AK112" s="1461">
        <f>+((AK110*AK97)*0.65)/AK40</f>
        <v>-4.5717665170321269E-3</v>
      </c>
      <c r="AL112" s="362">
        <f>+((AL110*AL97)*0.65)/AL40</f>
        <v>-1.7246145419973546E-2</v>
      </c>
      <c r="AM112" s="26"/>
      <c r="AN112" s="360">
        <f>+((AN110*AN97)*0.65)/AN40</f>
        <v>-5.8697736927825449E-3</v>
      </c>
      <c r="AO112" s="400">
        <f>+((AO110*AO97)*0.65)/AO40</f>
        <v>8.3853369044820311E-3</v>
      </c>
      <c r="AP112" s="1461">
        <f>+((AP110*AP97)*0.65)/AP40</f>
        <v>1.6360183048319678E-2</v>
      </c>
      <c r="AQ112" s="362">
        <f>+((AQ110*AQ97)*0.65)/AQ40</f>
        <v>-7.3366908125798184E-3</v>
      </c>
      <c r="AR112" s="26"/>
      <c r="AS112" s="360">
        <f>+((AS110*AS97)*0.65)/AS40</f>
        <v>-1.1702495647612778E-2</v>
      </c>
      <c r="AT112" s="400">
        <f>+((AT110*AT97)*0.65)/AT40</f>
        <v>-1.8826923076923074E-2</v>
      </c>
      <c r="AU112" s="400">
        <f t="shared" ref="AU112" si="298">+((AU110*AU97)*0.65)/AU40</f>
        <v>5.7062218290577767E-4</v>
      </c>
      <c r="AV112" s="362">
        <f>+((AV110*AV97)*0.65)/AV40</f>
        <v>-2.2968972979120019E-3</v>
      </c>
      <c r="AW112" s="26"/>
      <c r="AX112" s="600"/>
      <c r="AY112" s="251"/>
      <c r="AZ112" s="251"/>
      <c r="BA112" s="601"/>
      <c r="BB112" s="26"/>
      <c r="BC112" s="600"/>
      <c r="BD112" s="251"/>
      <c r="BE112" s="251"/>
      <c r="BF112" s="601"/>
      <c r="BG112" s="26"/>
      <c r="BH112" s="600"/>
      <c r="BI112" s="251"/>
      <c r="BJ112" s="251"/>
      <c r="BK112" s="601"/>
      <c r="BL112" s="26"/>
      <c r="BM112" s="600"/>
      <c r="BN112" s="251"/>
      <c r="BO112" s="251"/>
      <c r="BP112" s="601"/>
      <c r="BQ112" s="26"/>
      <c r="BR112" s="1"/>
      <c r="BS112" s="1"/>
      <c r="BT112" s="1"/>
      <c r="BU112" s="1"/>
      <c r="BV112" s="1"/>
      <c r="BW112" s="1"/>
      <c r="BX112" s="1"/>
      <c r="BY112" s="1"/>
      <c r="BZ112" s="1"/>
      <c r="CA112" s="1"/>
      <c r="CB112" s="1"/>
      <c r="CC112" s="5"/>
      <c r="CD112" s="5"/>
      <c r="CE112" s="1"/>
      <c r="CF112" s="1"/>
      <c r="CG112" s="1"/>
      <c r="CH112" s="1"/>
      <c r="CI112" s="1"/>
      <c r="CJ112" s="1"/>
      <c r="CK112" s="1"/>
      <c r="CL112" s="1"/>
      <c r="CM112" s="1"/>
      <c r="CN112" s="1"/>
      <c r="CO112" s="1"/>
      <c r="CP112" s="1"/>
      <c r="CQ112" s="1"/>
      <c r="CR112" s="1"/>
      <c r="CS112" s="1"/>
      <c r="CT112" s="1"/>
      <c r="CU112" s="1"/>
    </row>
    <row r="113" spans="1:99" ht="12.75" customHeight="1">
      <c r="A113" s="1"/>
      <c r="B113" s="1"/>
      <c r="C113" s="1317"/>
      <c r="D113" s="1"/>
      <c r="E113" s="600"/>
      <c r="F113" s="251"/>
      <c r="G113" s="251"/>
      <c r="H113" s="601"/>
      <c r="I113" s="26"/>
      <c r="J113" s="600"/>
      <c r="K113" s="251"/>
      <c r="L113" s="251"/>
      <c r="M113" s="601"/>
      <c r="N113" s="26"/>
      <c r="O113" s="600"/>
      <c r="P113" s="251"/>
      <c r="Q113" s="251"/>
      <c r="R113" s="601"/>
      <c r="S113" s="26"/>
      <c r="T113" s="600"/>
      <c r="U113" s="251"/>
      <c r="V113" s="251"/>
      <c r="W113" s="601"/>
      <c r="X113" s="26"/>
      <c r="Y113" s="600"/>
      <c r="Z113" s="251"/>
      <c r="AA113" s="251"/>
      <c r="AB113" s="601"/>
      <c r="AC113" s="26"/>
      <c r="AD113" s="600"/>
      <c r="AE113" s="251"/>
      <c r="AF113" s="251"/>
      <c r="AG113" s="601"/>
      <c r="AH113" s="26"/>
      <c r="AI113" s="600"/>
      <c r="AJ113" s="251"/>
      <c r="AK113" s="251"/>
      <c r="AL113" s="601"/>
      <c r="AM113" s="26"/>
      <c r="AN113" s="600"/>
      <c r="AO113" s="251"/>
      <c r="AP113" s="251"/>
      <c r="AQ113" s="601"/>
      <c r="AR113" s="26"/>
      <c r="AS113" s="600"/>
      <c r="AT113" s="251"/>
      <c r="AU113" s="251"/>
      <c r="AV113" s="601"/>
      <c r="AW113" s="26"/>
      <c r="AX113" s="600"/>
      <c r="AY113" s="251"/>
      <c r="AZ113" s="251"/>
      <c r="BA113" s="601"/>
      <c r="BB113" s="26"/>
      <c r="BC113" s="600"/>
      <c r="BD113" s="251"/>
      <c r="BE113" s="251"/>
      <c r="BF113" s="601"/>
      <c r="BG113" s="26"/>
      <c r="BH113" s="600"/>
      <c r="BI113" s="251"/>
      <c r="BJ113" s="251"/>
      <c r="BK113" s="601"/>
      <c r="BL113" s="26"/>
      <c r="BM113" s="600"/>
      <c r="BN113" s="251"/>
      <c r="BO113" s="251"/>
      <c r="BP113" s="601"/>
      <c r="BQ113" s="26"/>
      <c r="BR113" s="1"/>
      <c r="BS113" s="1"/>
      <c r="BT113" s="1"/>
      <c r="BU113" s="1"/>
      <c r="BV113" s="1"/>
      <c r="BW113" s="1"/>
      <c r="BX113" s="1"/>
      <c r="BY113" s="1"/>
      <c r="BZ113" s="1"/>
      <c r="CA113" s="1"/>
      <c r="CB113" s="1"/>
      <c r="CC113" s="5"/>
      <c r="CD113" s="5"/>
      <c r="CE113" s="1"/>
      <c r="CF113" s="1"/>
      <c r="CG113" s="1"/>
      <c r="CH113" s="1"/>
      <c r="CI113" s="1"/>
      <c r="CJ113" s="1"/>
      <c r="CK113" s="1"/>
      <c r="CL113" s="1"/>
      <c r="CM113" s="1"/>
      <c r="CN113" s="1"/>
      <c r="CO113" s="1"/>
      <c r="CP113" s="1"/>
      <c r="CQ113" s="1"/>
      <c r="CR113" s="1"/>
      <c r="CS113" s="1"/>
      <c r="CT113" s="1"/>
      <c r="CU113" s="1"/>
    </row>
    <row r="114" spans="1:99" ht="12.75" customHeight="1">
      <c r="A114" s="1"/>
      <c r="B114" s="73" t="s">
        <v>477</v>
      </c>
      <c r="C114" s="246"/>
      <c r="D114" s="15"/>
      <c r="E114" s="600"/>
      <c r="F114" s="251"/>
      <c r="G114" s="251"/>
      <c r="H114" s="601"/>
      <c r="I114" s="26"/>
      <c r="J114" s="600"/>
      <c r="K114" s="251"/>
      <c r="L114" s="251"/>
      <c r="M114" s="601"/>
      <c r="N114" s="26"/>
      <c r="O114" s="600"/>
      <c r="P114" s="251"/>
      <c r="Q114" s="251"/>
      <c r="R114" s="601"/>
      <c r="S114" s="26"/>
      <c r="T114" s="600"/>
      <c r="U114" s="251"/>
      <c r="V114" s="251"/>
      <c r="W114" s="601"/>
      <c r="X114" s="26"/>
      <c r="Y114" s="600"/>
      <c r="Z114" s="251"/>
      <c r="AA114" s="251"/>
      <c r="AB114" s="601"/>
      <c r="AC114" s="26"/>
      <c r="AD114" s="600"/>
      <c r="AE114" s="251"/>
      <c r="AF114" s="251"/>
      <c r="AG114" s="601"/>
      <c r="AH114" s="26"/>
      <c r="AI114" s="600"/>
      <c r="AJ114" s="251"/>
      <c r="AK114" s="251"/>
      <c r="AL114" s="601"/>
      <c r="AM114" s="26"/>
      <c r="AN114" s="600"/>
      <c r="AO114" s="251"/>
      <c r="AP114" s="251"/>
      <c r="AQ114" s="601"/>
      <c r="AR114" s="26"/>
      <c r="AS114" s="600"/>
      <c r="AT114" s="251"/>
      <c r="AU114" s="251"/>
      <c r="AV114" s="601"/>
      <c r="AW114" s="26"/>
      <c r="AX114" s="600"/>
      <c r="AY114" s="251"/>
      <c r="AZ114" s="251"/>
      <c r="BA114" s="601"/>
      <c r="BB114" s="26"/>
      <c r="BC114" s="600"/>
      <c r="BD114" s="251"/>
      <c r="BE114" s="251"/>
      <c r="BF114" s="601"/>
      <c r="BG114" s="26"/>
      <c r="BH114" s="600"/>
      <c r="BI114" s="251"/>
      <c r="BJ114" s="251"/>
      <c r="BK114" s="601"/>
      <c r="BL114" s="26"/>
      <c r="BM114" s="600"/>
      <c r="BN114" s="251"/>
      <c r="BO114" s="251"/>
      <c r="BP114" s="601"/>
      <c r="BQ114" s="26"/>
      <c r="BR114" s="1"/>
      <c r="BS114" s="1"/>
      <c r="BT114" s="1"/>
      <c r="BU114" s="1"/>
      <c r="BV114" s="1"/>
      <c r="BW114" s="1"/>
      <c r="BX114" s="1"/>
      <c r="BY114" s="1"/>
      <c r="BZ114" s="1"/>
      <c r="CA114" s="1"/>
      <c r="CB114" s="1"/>
      <c r="CC114" s="5"/>
      <c r="CD114" s="5"/>
      <c r="CE114" s="1"/>
      <c r="CF114" s="1"/>
      <c r="CG114" s="1"/>
      <c r="CH114" s="1"/>
      <c r="CI114" s="1"/>
      <c r="CJ114" s="1"/>
      <c r="CK114" s="1"/>
      <c r="CL114" s="1"/>
      <c r="CM114" s="1"/>
      <c r="CN114" s="1"/>
      <c r="CO114" s="1"/>
      <c r="CP114" s="1"/>
      <c r="CQ114" s="1"/>
      <c r="CR114" s="1"/>
      <c r="CS114" s="1"/>
      <c r="CT114" s="1"/>
      <c r="CU114" s="1"/>
    </row>
    <row r="115" spans="1:99" ht="12.75" customHeight="1">
      <c r="A115" s="228"/>
      <c r="B115" s="228"/>
      <c r="C115" s="641" t="s">
        <v>272</v>
      </c>
      <c r="D115" s="228"/>
      <c r="E115" s="292">
        <f t="shared" ref="E115:X115" si="299">+E12</f>
        <v>264</v>
      </c>
      <c r="F115" s="261">
        <f t="shared" si="299"/>
        <v>284</v>
      </c>
      <c r="G115" s="261">
        <f t="shared" si="299"/>
        <v>292</v>
      </c>
      <c r="H115" s="293">
        <f t="shared" si="299"/>
        <v>251</v>
      </c>
      <c r="I115" s="228">
        <f t="shared" si="299"/>
        <v>1091</v>
      </c>
      <c r="J115" s="292">
        <f t="shared" si="299"/>
        <v>178</v>
      </c>
      <c r="K115" s="261">
        <f t="shared" si="299"/>
        <v>297</v>
      </c>
      <c r="L115" s="261">
        <f t="shared" si="299"/>
        <v>320</v>
      </c>
      <c r="M115" s="293">
        <f t="shared" si="299"/>
        <v>274</v>
      </c>
      <c r="N115" s="228">
        <f t="shared" si="299"/>
        <v>1069</v>
      </c>
      <c r="O115" s="292">
        <f t="shared" si="299"/>
        <v>266</v>
      </c>
      <c r="P115" s="261">
        <f t="shared" si="299"/>
        <v>268</v>
      </c>
      <c r="Q115" s="261">
        <f t="shared" si="299"/>
        <v>396</v>
      </c>
      <c r="R115" s="293">
        <f t="shared" si="299"/>
        <v>271</v>
      </c>
      <c r="S115" s="228">
        <f t="shared" si="299"/>
        <v>1201</v>
      </c>
      <c r="T115" s="292">
        <f t="shared" si="299"/>
        <v>318</v>
      </c>
      <c r="U115" s="261">
        <f t="shared" si="299"/>
        <v>331</v>
      </c>
      <c r="V115" s="261">
        <f t="shared" si="299"/>
        <v>350</v>
      </c>
      <c r="W115" s="293">
        <f t="shared" si="299"/>
        <v>346</v>
      </c>
      <c r="X115" s="228">
        <f t="shared" si="299"/>
        <v>1345</v>
      </c>
      <c r="Y115" s="292">
        <f t="shared" ref="Y115:AD115" si="300">+Y12</f>
        <v>328</v>
      </c>
      <c r="Z115" s="261">
        <f t="shared" si="300"/>
        <v>359</v>
      </c>
      <c r="AA115" s="1438">
        <f t="shared" si="300"/>
        <v>333</v>
      </c>
      <c r="AB115" s="1439">
        <f t="shared" si="300"/>
        <v>348</v>
      </c>
      <c r="AC115" s="1440">
        <f t="shared" si="300"/>
        <v>1368</v>
      </c>
      <c r="AD115" s="292">
        <f t="shared" si="300"/>
        <v>326</v>
      </c>
      <c r="AE115" s="261">
        <f>+AE12</f>
        <v>355</v>
      </c>
      <c r="AF115" s="1438">
        <f t="shared" ref="AF115:AI115" si="301">+AF12</f>
        <v>359</v>
      </c>
      <c r="AG115" s="1439">
        <f t="shared" si="301"/>
        <v>389</v>
      </c>
      <c r="AH115" s="1440">
        <f t="shared" si="301"/>
        <v>1429</v>
      </c>
      <c r="AI115" s="292">
        <f t="shared" si="301"/>
        <v>378</v>
      </c>
      <c r="AJ115" s="261">
        <f>+AJ12</f>
        <v>384</v>
      </c>
      <c r="AK115" s="1438">
        <f t="shared" ref="AK115:AN115" si="302">+AK12</f>
        <v>404</v>
      </c>
      <c r="AL115" s="1439">
        <f t="shared" si="302"/>
        <v>401</v>
      </c>
      <c r="AM115" s="1440">
        <f t="shared" si="302"/>
        <v>1567</v>
      </c>
      <c r="AN115" s="292">
        <f t="shared" si="302"/>
        <v>368</v>
      </c>
      <c r="AO115" s="261">
        <f>+AO12</f>
        <v>368</v>
      </c>
      <c r="AP115" s="1438">
        <f t="shared" ref="AP115:AS115" si="303">+AP12</f>
        <v>377</v>
      </c>
      <c r="AQ115" s="1439">
        <f t="shared" si="303"/>
        <v>417</v>
      </c>
      <c r="AR115" s="1440">
        <f t="shared" si="303"/>
        <v>1530</v>
      </c>
      <c r="AS115" s="292">
        <f t="shared" si="303"/>
        <v>370</v>
      </c>
      <c r="AT115" s="261">
        <f>+AT12</f>
        <v>377</v>
      </c>
      <c r="AU115" s="261">
        <f t="shared" ref="AU115:AW115" si="304">+AU12</f>
        <v>346</v>
      </c>
      <c r="AV115" s="1439">
        <f t="shared" si="304"/>
        <v>334</v>
      </c>
      <c r="AW115" s="1440">
        <f t="shared" si="304"/>
        <v>1427</v>
      </c>
      <c r="AX115" s="292">
        <f>AX117+AX116</f>
        <v>381.1</v>
      </c>
      <c r="AY115" s="261">
        <f>AY117+AY116</f>
        <v>388.31</v>
      </c>
      <c r="AZ115" s="261">
        <f>AZ117+AZ116</f>
        <v>356.38</v>
      </c>
      <c r="BA115" s="293">
        <f>BA117+BA116</f>
        <v>344.02</v>
      </c>
      <c r="BB115" s="228">
        <f>+SUM(AX115:BA115)</f>
        <v>1469.81</v>
      </c>
      <c r="BC115" s="292">
        <f>BC117+BC116</f>
        <v>381.1</v>
      </c>
      <c r="BD115" s="261">
        <f>BD117+BD116</f>
        <v>388.31</v>
      </c>
      <c r="BE115" s="261">
        <f>BE117+BE116</f>
        <v>356.38</v>
      </c>
      <c r="BF115" s="293">
        <f>BF117+BF116</f>
        <v>344.02</v>
      </c>
      <c r="BG115" s="228">
        <f>+SUM(BC115:BF115)</f>
        <v>1469.81</v>
      </c>
      <c r="BH115" s="292">
        <f>BH117+BH116</f>
        <v>381.1</v>
      </c>
      <c r="BI115" s="261">
        <f>BI117+BI116</f>
        <v>388.31</v>
      </c>
      <c r="BJ115" s="261">
        <f>BJ117+BJ116</f>
        <v>356.38</v>
      </c>
      <c r="BK115" s="293">
        <f>BK117+BK116</f>
        <v>344.02</v>
      </c>
      <c r="BL115" s="228">
        <f>+SUM(BH115:BK115)</f>
        <v>1469.81</v>
      </c>
      <c r="BM115" s="292">
        <f>BM117+BM116</f>
        <v>381.1</v>
      </c>
      <c r="BN115" s="261">
        <f>BN117+BN116</f>
        <v>388.31</v>
      </c>
      <c r="BO115" s="261">
        <f>BO117+BO116</f>
        <v>356.38</v>
      </c>
      <c r="BP115" s="293">
        <f>BP117+BP116</f>
        <v>344.02</v>
      </c>
      <c r="BQ115" s="228">
        <f>+SUM(BM115:BP115)</f>
        <v>1469.81</v>
      </c>
      <c r="BR115" s="228"/>
      <c r="BS115" s="228"/>
      <c r="BT115" s="228"/>
      <c r="BU115" s="228"/>
      <c r="BV115" s="228"/>
      <c r="BW115" s="228"/>
      <c r="BX115" s="228"/>
      <c r="BY115" s="228"/>
      <c r="BZ115" s="228"/>
      <c r="CA115" s="228"/>
      <c r="CB115" s="228"/>
      <c r="CC115" s="5"/>
      <c r="CD115" s="5"/>
      <c r="CE115" s="228"/>
      <c r="CF115" s="228"/>
      <c r="CG115" s="228"/>
      <c r="CH115" s="228"/>
      <c r="CI115" s="228"/>
      <c r="CJ115" s="228"/>
      <c r="CK115" s="228"/>
      <c r="CL115" s="228"/>
      <c r="CM115" s="228"/>
      <c r="CN115" s="228"/>
      <c r="CO115" s="228"/>
      <c r="CP115" s="228"/>
      <c r="CQ115" s="228"/>
      <c r="CR115" s="228"/>
      <c r="CS115" s="228"/>
      <c r="CT115" s="228"/>
      <c r="CU115" s="228"/>
    </row>
    <row r="116" spans="1:99" ht="12.75" customHeight="1">
      <c r="A116" s="45"/>
      <c r="B116" s="45"/>
      <c r="C116" s="383" t="s">
        <v>608</v>
      </c>
      <c r="D116" s="45"/>
      <c r="E116" s="306">
        <v>0</v>
      </c>
      <c r="F116" s="266">
        <v>0</v>
      </c>
      <c r="G116" s="266">
        <v>0</v>
      </c>
      <c r="H116" s="307">
        <v>0</v>
      </c>
      <c r="I116" s="45"/>
      <c r="J116" s="306">
        <v>0</v>
      </c>
      <c r="K116" s="266">
        <v>0</v>
      </c>
      <c r="L116" s="663">
        <v>0</v>
      </c>
      <c r="M116" s="307">
        <v>0</v>
      </c>
      <c r="N116" s="45">
        <f>SUM(J116:M116)</f>
        <v>0</v>
      </c>
      <c r="O116" s="306">
        <v>0</v>
      </c>
      <c r="P116" s="266">
        <v>0</v>
      </c>
      <c r="Q116" s="336">
        <v>67</v>
      </c>
      <c r="R116" s="307">
        <v>0</v>
      </c>
      <c r="S116" s="45">
        <f>SUM(O116:R116)</f>
        <v>67</v>
      </c>
      <c r="T116" s="306">
        <v>0</v>
      </c>
      <c r="U116" s="266">
        <v>0</v>
      </c>
      <c r="V116" s="266">
        <v>0</v>
      </c>
      <c r="W116" s="307">
        <v>0</v>
      </c>
      <c r="X116" s="45">
        <f>SUM(T116:W116)</f>
        <v>0</v>
      </c>
      <c r="Y116" s="306">
        <v>0</v>
      </c>
      <c r="Z116" s="266">
        <v>0</v>
      </c>
      <c r="AA116" s="1444">
        <v>0</v>
      </c>
      <c r="AB116" s="1445">
        <v>0</v>
      </c>
      <c r="AC116" s="1443">
        <f>SUM(Y116:AB116)</f>
        <v>0</v>
      </c>
      <c r="AD116" s="306">
        <v>0</v>
      </c>
      <c r="AE116" s="266">
        <v>0</v>
      </c>
      <c r="AF116" s="1444">
        <v>0</v>
      </c>
      <c r="AG116" s="1445">
        <v>0</v>
      </c>
      <c r="AH116" s="1443">
        <f>SUM(AD116:AG116)</f>
        <v>0</v>
      </c>
      <c r="AI116" s="306">
        <v>0</v>
      </c>
      <c r="AJ116" s="266">
        <v>0</v>
      </c>
      <c r="AK116" s="1444">
        <v>0</v>
      </c>
      <c r="AL116" s="1445">
        <v>0</v>
      </c>
      <c r="AM116" s="1443">
        <f>SUM(AI116:AL116)</f>
        <v>0</v>
      </c>
      <c r="AN116" s="306">
        <v>0</v>
      </c>
      <c r="AO116" s="266">
        <v>0</v>
      </c>
      <c r="AP116" s="1444">
        <v>0</v>
      </c>
      <c r="AQ116" s="1445">
        <v>0</v>
      </c>
      <c r="AR116" s="1443">
        <f>SUM(AN116:AQ116)</f>
        <v>0</v>
      </c>
      <c r="AS116" s="306">
        <v>0</v>
      </c>
      <c r="AT116" s="266">
        <v>0</v>
      </c>
      <c r="AU116" s="266">
        <v>0</v>
      </c>
      <c r="AV116" s="1445">
        <v>0</v>
      </c>
      <c r="AW116" s="1443">
        <f>SUM(AS116:AV116)</f>
        <v>0</v>
      </c>
      <c r="AX116" s="306">
        <v>0</v>
      </c>
      <c r="AY116" s="266">
        <v>0</v>
      </c>
      <c r="AZ116" s="266">
        <v>0</v>
      </c>
      <c r="BA116" s="307">
        <v>0</v>
      </c>
      <c r="BB116" s="45">
        <f>SUM(AX116:BA116)</f>
        <v>0</v>
      </c>
      <c r="BC116" s="306">
        <v>0</v>
      </c>
      <c r="BD116" s="266">
        <v>0</v>
      </c>
      <c r="BE116" s="266">
        <v>0</v>
      </c>
      <c r="BF116" s="307">
        <v>0</v>
      </c>
      <c r="BG116" s="45">
        <f>SUM(BC116:BF116)</f>
        <v>0</v>
      </c>
      <c r="BH116" s="306">
        <v>0</v>
      </c>
      <c r="BI116" s="266">
        <v>0</v>
      </c>
      <c r="BJ116" s="266">
        <v>0</v>
      </c>
      <c r="BK116" s="307">
        <v>0</v>
      </c>
      <c r="BL116" s="45">
        <f>SUM(BH116:BK116)</f>
        <v>0</v>
      </c>
      <c r="BM116" s="306">
        <v>0</v>
      </c>
      <c r="BN116" s="266">
        <v>0</v>
      </c>
      <c r="BO116" s="266">
        <v>0</v>
      </c>
      <c r="BP116" s="307">
        <v>0</v>
      </c>
      <c r="BQ116" s="45">
        <f>SUM(BM116:BP116)</f>
        <v>0</v>
      </c>
      <c r="BR116" s="45"/>
      <c r="BS116" s="45"/>
      <c r="BT116" s="45"/>
      <c r="BU116" s="45"/>
      <c r="BV116" s="45"/>
      <c r="BW116" s="45"/>
      <c r="BX116" s="45"/>
      <c r="BY116" s="45"/>
      <c r="BZ116" s="45"/>
      <c r="CA116" s="45"/>
      <c r="CB116" s="45"/>
      <c r="CC116" s="5"/>
      <c r="CD116" s="5"/>
      <c r="CE116" s="45"/>
      <c r="CF116" s="45"/>
      <c r="CG116" s="45"/>
      <c r="CH116" s="45"/>
      <c r="CI116" s="45"/>
      <c r="CJ116" s="45"/>
      <c r="CK116" s="45"/>
      <c r="CL116" s="45"/>
      <c r="CM116" s="45"/>
      <c r="CN116" s="45"/>
      <c r="CO116" s="45"/>
      <c r="CP116" s="45"/>
      <c r="CQ116" s="45"/>
      <c r="CR116" s="45"/>
      <c r="CS116" s="45"/>
      <c r="CT116" s="45"/>
      <c r="CU116" s="45"/>
    </row>
    <row r="117" spans="1:99" ht="12.75" customHeight="1">
      <c r="A117" s="45"/>
      <c r="B117" s="45"/>
      <c r="C117" s="383" t="s">
        <v>609</v>
      </c>
      <c r="D117" s="45"/>
      <c r="E117" s="290">
        <f>+E115-E116</f>
        <v>264</v>
      </c>
      <c r="F117" s="260">
        <f>+F115-F116</f>
        <v>284</v>
      </c>
      <c r="G117" s="260">
        <f>+G115-G116</f>
        <v>292</v>
      </c>
      <c r="H117" s="291">
        <f>+H115-H116</f>
        <v>251</v>
      </c>
      <c r="I117" s="45">
        <f>+SUM(E117:H117)</f>
        <v>1091</v>
      </c>
      <c r="J117" s="290">
        <f>+J115-J116</f>
        <v>178</v>
      </c>
      <c r="K117" s="260">
        <f>+K115-K116</f>
        <v>297</v>
      </c>
      <c r="L117" s="260">
        <f>+L115-L116</f>
        <v>320</v>
      </c>
      <c r="M117" s="291">
        <f>+M115-M116</f>
        <v>274</v>
      </c>
      <c r="N117" s="45">
        <f>+SUM(J117:M117)</f>
        <v>1069</v>
      </c>
      <c r="O117" s="290">
        <f>+O115-O116</f>
        <v>266</v>
      </c>
      <c r="P117" s="260">
        <f>+P115-P116</f>
        <v>268</v>
      </c>
      <c r="Q117" s="260">
        <f>+Q115-Q116</f>
        <v>329</v>
      </c>
      <c r="R117" s="291">
        <f>+R115-R116</f>
        <v>271</v>
      </c>
      <c r="S117" s="45">
        <f>+SUM(O117:R117)</f>
        <v>1134</v>
      </c>
      <c r="T117" s="290">
        <f>+T115-T116</f>
        <v>318</v>
      </c>
      <c r="U117" s="260">
        <f>+U115-U116</f>
        <v>331</v>
      </c>
      <c r="V117" s="260">
        <f>+V115-V116</f>
        <v>350</v>
      </c>
      <c r="W117" s="291">
        <f>+W115-W116</f>
        <v>346</v>
      </c>
      <c r="X117" s="45">
        <f>+SUM(T117:W117)</f>
        <v>1345</v>
      </c>
      <c r="Y117" s="290">
        <f>+Y115-Y116</f>
        <v>328</v>
      </c>
      <c r="Z117" s="260">
        <f>+Z115-Z116</f>
        <v>359</v>
      </c>
      <c r="AA117" s="1441">
        <f>+AA115-AA116</f>
        <v>333</v>
      </c>
      <c r="AB117" s="1442">
        <f>+AB115-AB116</f>
        <v>348</v>
      </c>
      <c r="AC117" s="1443">
        <f>+SUM(Y117:AB117)</f>
        <v>1368</v>
      </c>
      <c r="AD117" s="290">
        <f>+AD115-AD116</f>
        <v>326</v>
      </c>
      <c r="AE117" s="260">
        <f>+AE115-AE116</f>
        <v>355</v>
      </c>
      <c r="AF117" s="1441">
        <f>+AF115-AF116</f>
        <v>359</v>
      </c>
      <c r="AG117" s="1442">
        <f>+AG115-AG116</f>
        <v>389</v>
      </c>
      <c r="AH117" s="1443">
        <f>+SUM(AD117:AG117)</f>
        <v>1429</v>
      </c>
      <c r="AI117" s="290">
        <f>+AI115-AI116</f>
        <v>378</v>
      </c>
      <c r="AJ117" s="260">
        <f>+AJ115-AJ116</f>
        <v>384</v>
      </c>
      <c r="AK117" s="1441">
        <f>+AK115-AK116</f>
        <v>404</v>
      </c>
      <c r="AL117" s="1442">
        <f>+AL115-AL116</f>
        <v>401</v>
      </c>
      <c r="AM117" s="1443">
        <f>+SUM(AI117:AL117)</f>
        <v>1567</v>
      </c>
      <c r="AN117" s="290">
        <f>+AN115-AN116</f>
        <v>368</v>
      </c>
      <c r="AO117" s="260">
        <f>+AO115-AO116</f>
        <v>368</v>
      </c>
      <c r="AP117" s="1441">
        <f>+AP115-AP116</f>
        <v>377</v>
      </c>
      <c r="AQ117" s="1442">
        <f>+AQ115-AQ116</f>
        <v>417</v>
      </c>
      <c r="AR117" s="1443">
        <f>+SUM(AN117:AQ117)</f>
        <v>1530</v>
      </c>
      <c r="AS117" s="290">
        <f>+AS115-AS116</f>
        <v>370</v>
      </c>
      <c r="AT117" s="260">
        <f>+AT115-AT116</f>
        <v>377</v>
      </c>
      <c r="AU117" s="260">
        <f t="shared" ref="AU117" si="305">+AU115-AU116</f>
        <v>346</v>
      </c>
      <c r="AV117" s="1442">
        <f>+AV115-AV116</f>
        <v>334</v>
      </c>
      <c r="AW117" s="1443">
        <f>+SUM(AS117:AV117)</f>
        <v>1427</v>
      </c>
      <c r="AX117" s="290">
        <f>AS117*(1+AX118)</f>
        <v>381.1</v>
      </c>
      <c r="AY117" s="260">
        <f>AT117*(1+AY118)</f>
        <v>388.31</v>
      </c>
      <c r="AZ117" s="260">
        <f>AU117*(1+AZ118)</f>
        <v>356.38</v>
      </c>
      <c r="BA117" s="291">
        <f>AV117*(1+BA118)</f>
        <v>344.02</v>
      </c>
      <c r="BB117" s="45">
        <f>+SUM(AX117:BA117)</f>
        <v>1469.81</v>
      </c>
      <c r="BC117" s="290">
        <f>AX117*(1+BC118)</f>
        <v>381.1</v>
      </c>
      <c r="BD117" s="260">
        <f>AY117*(1+BD118)</f>
        <v>388.31</v>
      </c>
      <c r="BE117" s="260">
        <f>AZ117*(1+BE118)</f>
        <v>356.38</v>
      </c>
      <c r="BF117" s="291">
        <f>BA117*(1+BF118)</f>
        <v>344.02</v>
      </c>
      <c r="BG117" s="45">
        <f>+SUM(BC117:BF117)</f>
        <v>1469.81</v>
      </c>
      <c r="BH117" s="290">
        <f>BC117*(1+BH118)</f>
        <v>381.1</v>
      </c>
      <c r="BI117" s="260">
        <f>BD117*(1+BI118)</f>
        <v>388.31</v>
      </c>
      <c r="BJ117" s="260">
        <f>BE117*(1+BJ118)</f>
        <v>356.38</v>
      </c>
      <c r="BK117" s="291">
        <f>BF117*(1+BK118)</f>
        <v>344.02</v>
      </c>
      <c r="BL117" s="45">
        <f>+SUM(BH117:BK117)</f>
        <v>1469.81</v>
      </c>
      <c r="BM117" s="290">
        <f>BH117*(1+BM118)</f>
        <v>381.1</v>
      </c>
      <c r="BN117" s="260">
        <f>BI117*(1+BN118)</f>
        <v>388.31</v>
      </c>
      <c r="BO117" s="260">
        <f>BJ117*(1+BO118)</f>
        <v>356.38</v>
      </c>
      <c r="BP117" s="291">
        <f>BK117*(1+BP118)</f>
        <v>344.02</v>
      </c>
      <c r="BQ117" s="45">
        <f>+SUM(BM117:BP117)</f>
        <v>1469.81</v>
      </c>
      <c r="BR117" s="45"/>
      <c r="BS117" s="45"/>
      <c r="BT117" s="45"/>
      <c r="BU117" s="45"/>
      <c r="BV117" s="45"/>
      <c r="BW117" s="45"/>
      <c r="BX117" s="45"/>
      <c r="BY117" s="45"/>
      <c r="BZ117" s="45"/>
      <c r="CA117" s="45"/>
      <c r="CB117" s="45"/>
      <c r="CC117" s="5"/>
      <c r="CD117" s="5"/>
      <c r="CE117" s="45"/>
      <c r="CF117" s="45"/>
      <c r="CG117" s="45"/>
      <c r="CH117" s="45"/>
      <c r="CI117" s="45"/>
      <c r="CJ117" s="45"/>
      <c r="CK117" s="45"/>
      <c r="CL117" s="45"/>
      <c r="CM117" s="45"/>
      <c r="CN117" s="45"/>
      <c r="CO117" s="45"/>
      <c r="CP117" s="45"/>
      <c r="CQ117" s="45"/>
      <c r="CR117" s="45"/>
      <c r="CS117" s="45"/>
      <c r="CT117" s="45"/>
      <c r="CU117" s="45"/>
    </row>
    <row r="118" spans="1:99" ht="12.75" customHeight="1">
      <c r="A118" s="223"/>
      <c r="B118" s="223"/>
      <c r="C118" s="384" t="s">
        <v>610</v>
      </c>
      <c r="D118" s="223"/>
      <c r="E118" s="643"/>
      <c r="F118" s="382"/>
      <c r="G118" s="382"/>
      <c r="H118" s="644"/>
      <c r="I118" s="222"/>
      <c r="J118" s="275">
        <f t="shared" ref="J118:S118" si="306">+J117/E117-1</f>
        <v>-0.3257575757575758</v>
      </c>
      <c r="K118" s="252">
        <f t="shared" si="306"/>
        <v>4.5774647887323994E-2</v>
      </c>
      <c r="L118" s="252">
        <f t="shared" si="306"/>
        <v>9.5890410958904049E-2</v>
      </c>
      <c r="M118" s="276">
        <f t="shared" si="306"/>
        <v>9.1633466135458086E-2</v>
      </c>
      <c r="N118" s="222">
        <f t="shared" si="306"/>
        <v>-2.0164986251145711E-2</v>
      </c>
      <c r="O118" s="275">
        <f t="shared" si="306"/>
        <v>0.49438202247191021</v>
      </c>
      <c r="P118" s="252">
        <f t="shared" si="306"/>
        <v>-9.7643097643097643E-2</v>
      </c>
      <c r="Q118" s="252">
        <f t="shared" si="306"/>
        <v>2.8124999999999956E-2</v>
      </c>
      <c r="R118" s="276">
        <f t="shared" si="306"/>
        <v>-1.0948905109489093E-2</v>
      </c>
      <c r="S118" s="222">
        <f t="shared" si="306"/>
        <v>6.0804490177736259E-2</v>
      </c>
      <c r="T118" s="275">
        <f t="shared" ref="T118:Z118" si="307">+T117/O117-1</f>
        <v>0.19548872180451138</v>
      </c>
      <c r="U118" s="252">
        <f t="shared" si="307"/>
        <v>0.2350746268656716</v>
      </c>
      <c r="V118" s="252">
        <f t="shared" si="307"/>
        <v>6.3829787234042534E-2</v>
      </c>
      <c r="W118" s="276">
        <f t="shared" si="307"/>
        <v>0.2767527675276753</v>
      </c>
      <c r="X118" s="222">
        <f t="shared" si="307"/>
        <v>0.18606701940035264</v>
      </c>
      <c r="Y118" s="275">
        <f t="shared" si="307"/>
        <v>3.1446540880503138E-2</v>
      </c>
      <c r="Z118" s="252">
        <f t="shared" si="307"/>
        <v>8.4592145015105702E-2</v>
      </c>
      <c r="AA118" s="252">
        <f t="shared" ref="AA118:AH118" si="308">+AA117/V117-1</f>
        <v>-4.8571428571428599E-2</v>
      </c>
      <c r="AB118" s="276">
        <f t="shared" si="308"/>
        <v>5.7803468208093012E-3</v>
      </c>
      <c r="AC118" s="222">
        <f t="shared" si="308"/>
        <v>1.7100371747211796E-2</v>
      </c>
      <c r="AD118" s="275">
        <f t="shared" si="308"/>
        <v>-6.0975609756097615E-3</v>
      </c>
      <c r="AE118" s="252">
        <f t="shared" si="308"/>
        <v>-1.1142061281337101E-2</v>
      </c>
      <c r="AF118" s="252">
        <f t="shared" si="308"/>
        <v>7.8078078078078095E-2</v>
      </c>
      <c r="AG118" s="276">
        <f t="shared" si="308"/>
        <v>0.11781609195402298</v>
      </c>
      <c r="AH118" s="222">
        <f t="shared" si="308"/>
        <v>4.4590643274853736E-2</v>
      </c>
      <c r="AI118" s="275">
        <f t="shared" ref="AI118" si="309">+AI117/AD117-1</f>
        <v>0.1595092024539877</v>
      </c>
      <c r="AJ118" s="252">
        <f t="shared" ref="AJ118" si="310">+AJ117/AE117-1</f>
        <v>8.1690140845070314E-2</v>
      </c>
      <c r="AK118" s="252">
        <f t="shared" ref="AK118" si="311">+AK117/AF117-1</f>
        <v>0.12534818941504189</v>
      </c>
      <c r="AL118" s="276">
        <f t="shared" ref="AL118" si="312">+AL117/AG117-1</f>
        <v>3.084832904884327E-2</v>
      </c>
      <c r="AM118" s="222">
        <f t="shared" ref="AM118:AP118" si="313">+AM117/AH117-1</f>
        <v>9.6571028691392558E-2</v>
      </c>
      <c r="AN118" s="275">
        <f t="shared" si="313"/>
        <v>-2.6455026455026509E-2</v>
      </c>
      <c r="AO118" s="252">
        <f t="shared" si="313"/>
        <v>-4.166666666666663E-2</v>
      </c>
      <c r="AP118" s="252">
        <f t="shared" si="313"/>
        <v>-6.683168316831678E-2</v>
      </c>
      <c r="AQ118" s="276">
        <f t="shared" ref="AQ118" si="314">+AQ117/AL117-1</f>
        <v>3.9900249376558561E-2</v>
      </c>
      <c r="AR118" s="222">
        <f t="shared" ref="AR118:AT118" si="315">+AR117/AM117-1</f>
        <v>-2.3611997447351651E-2</v>
      </c>
      <c r="AS118" s="275">
        <f t="shared" si="315"/>
        <v>5.4347826086955653E-3</v>
      </c>
      <c r="AT118" s="252">
        <f t="shared" si="315"/>
        <v>2.4456521739130377E-2</v>
      </c>
      <c r="AU118" s="252">
        <f t="shared" ref="AU118" si="316">+AU117/AP117-1</f>
        <v>-8.2228116710875376E-2</v>
      </c>
      <c r="AV118" s="276">
        <f t="shared" ref="AV118" si="317">+AV117/AQ117-1</f>
        <v>-0.19904076738609111</v>
      </c>
      <c r="AW118" s="222">
        <f t="shared" ref="AW118" si="318">+AW117/AR117-1</f>
        <v>-6.732026143790848E-2</v>
      </c>
      <c r="AX118" s="275">
        <f>+AX56</f>
        <v>0.03</v>
      </c>
      <c r="AY118" s="252">
        <f>+AY56</f>
        <v>0.03</v>
      </c>
      <c r="AZ118" s="252">
        <f>+AZ56</f>
        <v>0.03</v>
      </c>
      <c r="BA118" s="276">
        <f>+BA56</f>
        <v>0.03</v>
      </c>
      <c r="BB118" s="222">
        <f>+BB117/AW117-1</f>
        <v>3.0000000000000027E-2</v>
      </c>
      <c r="BC118" s="275">
        <f>+BC56</f>
        <v>0</v>
      </c>
      <c r="BD118" s="252">
        <f>+BD56</f>
        <v>0</v>
      </c>
      <c r="BE118" s="252">
        <f>+BE56</f>
        <v>0</v>
      </c>
      <c r="BF118" s="276">
        <f>+BF56</f>
        <v>0</v>
      </c>
      <c r="BG118" s="222">
        <f>+BG117/BB117-1</f>
        <v>0</v>
      </c>
      <c r="BH118" s="275">
        <f>+BH56</f>
        <v>0</v>
      </c>
      <c r="BI118" s="252">
        <f>+BI56</f>
        <v>0</v>
      </c>
      <c r="BJ118" s="252">
        <f>+BJ56</f>
        <v>0</v>
      </c>
      <c r="BK118" s="276">
        <f>+BK56</f>
        <v>0</v>
      </c>
      <c r="BL118" s="222">
        <f>+BL117/BG117-1</f>
        <v>0</v>
      </c>
      <c r="BM118" s="275">
        <f>+BM56</f>
        <v>0</v>
      </c>
      <c r="BN118" s="252">
        <f>+BN56</f>
        <v>0</v>
      </c>
      <c r="BO118" s="252">
        <f>+BO56</f>
        <v>0</v>
      </c>
      <c r="BP118" s="276">
        <f>+BP56</f>
        <v>0</v>
      </c>
      <c r="BQ118" s="222">
        <f>+BQ117/BL117-1</f>
        <v>0</v>
      </c>
      <c r="BR118" s="223"/>
      <c r="BS118" s="223"/>
      <c r="BT118" s="223"/>
      <c r="BU118" s="223"/>
      <c r="BV118" s="223"/>
      <c r="BW118" s="223"/>
      <c r="BX118" s="223"/>
      <c r="BY118" s="223"/>
      <c r="BZ118" s="223"/>
      <c r="CA118" s="223"/>
      <c r="CB118" s="223"/>
      <c r="CC118" s="5"/>
      <c r="CD118" s="5"/>
      <c r="CE118" s="223"/>
      <c r="CF118" s="223"/>
      <c r="CG118" s="223"/>
      <c r="CH118" s="223"/>
      <c r="CI118" s="223"/>
      <c r="CJ118" s="223"/>
      <c r="CK118" s="223"/>
      <c r="CL118" s="223"/>
      <c r="CM118" s="223"/>
      <c r="CN118" s="223"/>
      <c r="CO118" s="223"/>
      <c r="CP118" s="223"/>
      <c r="CQ118" s="223"/>
      <c r="CR118" s="223"/>
      <c r="CS118" s="223"/>
      <c r="CT118" s="223"/>
      <c r="CU118" s="223"/>
    </row>
    <row r="119" spans="1:99" ht="12.75" customHeight="1">
      <c r="A119" s="28"/>
      <c r="B119" s="28"/>
      <c r="C119" s="383"/>
      <c r="D119" s="28"/>
      <c r="E119" s="415"/>
      <c r="F119" s="242"/>
      <c r="G119" s="242"/>
      <c r="H119" s="416"/>
      <c r="I119" s="23"/>
      <c r="J119" s="415"/>
      <c r="K119" s="242"/>
      <c r="L119" s="242"/>
      <c r="M119" s="416"/>
      <c r="N119" s="23"/>
      <c r="O119" s="415"/>
      <c r="P119" s="242"/>
      <c r="Q119" s="242"/>
      <c r="R119" s="416"/>
      <c r="S119" s="23"/>
      <c r="T119" s="415"/>
      <c r="U119" s="242"/>
      <c r="V119" s="242"/>
      <c r="W119" s="416"/>
      <c r="X119" s="23"/>
      <c r="Y119" s="415"/>
      <c r="Z119" s="242"/>
      <c r="AA119" s="242"/>
      <c r="AB119" s="416"/>
      <c r="AC119" s="23"/>
      <c r="AD119" s="415"/>
      <c r="AE119" s="242"/>
      <c r="AF119" s="242"/>
      <c r="AG119" s="416"/>
      <c r="AH119" s="23"/>
      <c r="AI119" s="415"/>
      <c r="AJ119" s="242"/>
      <c r="AK119" s="242"/>
      <c r="AL119" s="416"/>
      <c r="AM119" s="23"/>
      <c r="AN119" s="415"/>
      <c r="AO119" s="242"/>
      <c r="AP119" s="242"/>
      <c r="AQ119" s="416"/>
      <c r="AR119" s="23"/>
      <c r="AS119" s="415"/>
      <c r="AT119" s="242"/>
      <c r="AU119" s="242"/>
      <c r="AV119" s="416"/>
      <c r="AW119" s="23"/>
      <c r="AX119" s="415"/>
      <c r="AY119" s="242"/>
      <c r="AZ119" s="242"/>
      <c r="BA119" s="416"/>
      <c r="BB119" s="23"/>
      <c r="BC119" s="415"/>
      <c r="BD119" s="242"/>
      <c r="BE119" s="242"/>
      <c r="BF119" s="416"/>
      <c r="BG119" s="23"/>
      <c r="BH119" s="415"/>
      <c r="BI119" s="242"/>
      <c r="BJ119" s="242"/>
      <c r="BK119" s="416"/>
      <c r="BL119" s="23"/>
      <c r="BM119" s="415"/>
      <c r="BN119" s="242"/>
      <c r="BO119" s="242"/>
      <c r="BP119" s="416"/>
      <c r="BQ119" s="23"/>
      <c r="BR119" s="28"/>
      <c r="BS119" s="28"/>
      <c r="BT119" s="28"/>
      <c r="BU119" s="28"/>
      <c r="BV119" s="28"/>
      <c r="BW119" s="28"/>
      <c r="BX119" s="28"/>
      <c r="BY119" s="28"/>
      <c r="BZ119" s="28"/>
      <c r="CA119" s="28"/>
      <c r="CB119" s="28"/>
      <c r="CC119" s="5"/>
      <c r="CD119" s="5"/>
      <c r="CE119" s="28"/>
      <c r="CF119" s="28"/>
      <c r="CG119" s="28"/>
      <c r="CH119" s="28"/>
      <c r="CI119" s="28"/>
      <c r="CJ119" s="28"/>
      <c r="CK119" s="28"/>
      <c r="CL119" s="28"/>
      <c r="CM119" s="28"/>
      <c r="CN119" s="28"/>
      <c r="CO119" s="28"/>
      <c r="CP119" s="28"/>
      <c r="CQ119" s="28"/>
      <c r="CR119" s="28"/>
      <c r="CS119" s="28"/>
      <c r="CT119" s="28"/>
      <c r="CU119" s="28"/>
    </row>
    <row r="120" spans="1:99" ht="12.75" customHeight="1">
      <c r="A120" s="45"/>
      <c r="B120" s="45"/>
      <c r="C120" s="383" t="s">
        <v>65</v>
      </c>
      <c r="D120" s="45"/>
      <c r="E120" s="290">
        <f t="shared" ref="E120:S120" si="319">+E14</f>
        <v>78</v>
      </c>
      <c r="F120" s="260">
        <f t="shared" si="319"/>
        <v>57</v>
      </c>
      <c r="G120" s="260">
        <f t="shared" si="319"/>
        <v>79</v>
      </c>
      <c r="H120" s="291">
        <f t="shared" si="319"/>
        <v>67</v>
      </c>
      <c r="I120" s="45">
        <f t="shared" si="319"/>
        <v>281</v>
      </c>
      <c r="J120" s="290">
        <f t="shared" si="319"/>
        <v>63</v>
      </c>
      <c r="K120" s="260">
        <f t="shared" si="319"/>
        <v>44</v>
      </c>
      <c r="L120" s="260">
        <f t="shared" si="319"/>
        <v>81</v>
      </c>
      <c r="M120" s="291">
        <f t="shared" si="319"/>
        <v>68</v>
      </c>
      <c r="N120" s="45">
        <f t="shared" si="319"/>
        <v>256</v>
      </c>
      <c r="O120" s="290">
        <f t="shared" si="319"/>
        <v>77</v>
      </c>
      <c r="P120" s="260">
        <f t="shared" si="319"/>
        <v>70</v>
      </c>
      <c r="Q120" s="260">
        <f t="shared" si="319"/>
        <v>78</v>
      </c>
      <c r="R120" s="291">
        <f t="shared" si="319"/>
        <v>71</v>
      </c>
      <c r="S120" s="45">
        <f t="shared" si="319"/>
        <v>296</v>
      </c>
      <c r="T120" s="290">
        <f t="shared" ref="T120:Z120" si="320">+T14</f>
        <v>75</v>
      </c>
      <c r="U120" s="260">
        <f t="shared" si="320"/>
        <v>69</v>
      </c>
      <c r="V120" s="260">
        <f t="shared" si="320"/>
        <v>81</v>
      </c>
      <c r="W120" s="291">
        <f t="shared" si="320"/>
        <v>70</v>
      </c>
      <c r="X120" s="45">
        <f t="shared" si="320"/>
        <v>295</v>
      </c>
      <c r="Y120" s="290">
        <f t="shared" si="320"/>
        <v>74</v>
      </c>
      <c r="Z120" s="260">
        <f t="shared" si="320"/>
        <v>71</v>
      </c>
      <c r="AA120" s="1441">
        <f t="shared" ref="AA120:AH120" si="321">+AA14</f>
        <v>80</v>
      </c>
      <c r="AB120" s="1442">
        <f t="shared" si="321"/>
        <v>74</v>
      </c>
      <c r="AC120" s="1443">
        <f t="shared" si="321"/>
        <v>299</v>
      </c>
      <c r="AD120" s="290">
        <f t="shared" si="321"/>
        <v>77</v>
      </c>
      <c r="AE120" s="260">
        <f t="shared" si="321"/>
        <v>72</v>
      </c>
      <c r="AF120" s="1441">
        <f t="shared" si="321"/>
        <v>76</v>
      </c>
      <c r="AG120" s="1442">
        <f t="shared" si="321"/>
        <v>68</v>
      </c>
      <c r="AH120" s="1443">
        <f t="shared" si="321"/>
        <v>293</v>
      </c>
      <c r="AI120" s="290">
        <f t="shared" ref="AI120:AM120" si="322">+AI14</f>
        <v>75</v>
      </c>
      <c r="AJ120" s="260">
        <f t="shared" si="322"/>
        <v>69</v>
      </c>
      <c r="AK120" s="1441">
        <f t="shared" si="322"/>
        <v>79</v>
      </c>
      <c r="AL120" s="1442">
        <f t="shared" si="322"/>
        <v>73</v>
      </c>
      <c r="AM120" s="1443">
        <f t="shared" si="322"/>
        <v>296</v>
      </c>
      <c r="AN120" s="290">
        <f t="shared" ref="AN120:AR120" si="323">+AN14</f>
        <v>75</v>
      </c>
      <c r="AO120" s="260">
        <f t="shared" si="323"/>
        <v>65</v>
      </c>
      <c r="AP120" s="1441">
        <f t="shared" si="323"/>
        <v>82</v>
      </c>
      <c r="AQ120" s="1442">
        <f t="shared" si="323"/>
        <v>71</v>
      </c>
      <c r="AR120" s="1443">
        <f t="shared" si="323"/>
        <v>293</v>
      </c>
      <c r="AS120" s="290">
        <f t="shared" ref="AS120:AT120" si="324">+AS14</f>
        <v>72</v>
      </c>
      <c r="AT120" s="260">
        <f t="shared" si="324"/>
        <v>72</v>
      </c>
      <c r="AU120" s="260">
        <f t="shared" ref="AU120:AW120" si="325">+AU14</f>
        <v>80</v>
      </c>
      <c r="AV120" s="1442">
        <f t="shared" si="325"/>
        <v>72</v>
      </c>
      <c r="AW120" s="1443">
        <f t="shared" si="325"/>
        <v>296</v>
      </c>
      <c r="AX120" s="290">
        <f>AS120*(1+AX121)</f>
        <v>73.44</v>
      </c>
      <c r="AY120" s="260">
        <f>AT120*(1+AY121)</f>
        <v>73.44</v>
      </c>
      <c r="AZ120" s="260">
        <f>AU120*(1+AZ121)</f>
        <v>81.599999999999994</v>
      </c>
      <c r="BA120" s="291">
        <f>AV120*(1+BA121)</f>
        <v>73.44</v>
      </c>
      <c r="BB120" s="45">
        <f>+SUM(AX120:BA120)</f>
        <v>301.91999999999996</v>
      </c>
      <c r="BC120" s="290">
        <f>AX120*(1+BC121)</f>
        <v>74.908799999999999</v>
      </c>
      <c r="BD120" s="260">
        <f>AY120*(1+BD121)</f>
        <v>74.908799999999999</v>
      </c>
      <c r="BE120" s="260">
        <f>AZ120*(1+BE121)</f>
        <v>83.231999999999999</v>
      </c>
      <c r="BF120" s="291">
        <f>BA120*(1+BF121)</f>
        <v>74.908799999999999</v>
      </c>
      <c r="BG120" s="45">
        <f>+SUM(BC120:BF120)</f>
        <v>307.95839999999998</v>
      </c>
      <c r="BH120" s="290">
        <f>BC120*(1+BH121)</f>
        <v>76.406976</v>
      </c>
      <c r="BI120" s="260">
        <f>BD120*(1+BI121)</f>
        <v>76.406976</v>
      </c>
      <c r="BJ120" s="260">
        <f>BE120*(1+BJ121)</f>
        <v>84.896640000000005</v>
      </c>
      <c r="BK120" s="291">
        <f>BF120*(1+BK121)</f>
        <v>76.406976</v>
      </c>
      <c r="BL120" s="45">
        <f>+SUM(BH120:BK120)</f>
        <v>314.11756800000001</v>
      </c>
      <c r="BM120" s="290">
        <f>BH120*(1+BM121)</f>
        <v>77.935115519999997</v>
      </c>
      <c r="BN120" s="260">
        <f>BI120*(1+BN121)</f>
        <v>77.935115519999997</v>
      </c>
      <c r="BO120" s="260">
        <f>BJ120*(1+BO121)</f>
        <v>86.594572800000009</v>
      </c>
      <c r="BP120" s="291">
        <f>BK120*(1+BP121)</f>
        <v>77.935115519999997</v>
      </c>
      <c r="BQ120" s="45">
        <f>+SUM(BM120:BP120)</f>
        <v>320.39991936000001</v>
      </c>
      <c r="BR120" s="45"/>
      <c r="BS120" s="45"/>
      <c r="BT120" s="45"/>
      <c r="BU120" s="45"/>
      <c r="BV120" s="45"/>
      <c r="BW120" s="45"/>
      <c r="BX120" s="45"/>
      <c r="BY120" s="45"/>
      <c r="BZ120" s="45"/>
      <c r="CA120" s="45"/>
      <c r="CB120" s="45"/>
      <c r="CC120" s="5"/>
      <c r="CD120" s="5"/>
      <c r="CE120" s="45"/>
      <c r="CF120" s="45"/>
      <c r="CG120" s="45"/>
      <c r="CH120" s="45"/>
      <c r="CI120" s="45"/>
      <c r="CJ120" s="45"/>
      <c r="CK120" s="45"/>
      <c r="CL120" s="45"/>
      <c r="CM120" s="45"/>
      <c r="CN120" s="45"/>
      <c r="CO120" s="45"/>
      <c r="CP120" s="45"/>
      <c r="CQ120" s="45"/>
      <c r="CR120" s="45"/>
      <c r="CS120" s="45"/>
      <c r="CT120" s="45"/>
      <c r="CU120" s="45"/>
    </row>
    <row r="121" spans="1:99" ht="12.75" customHeight="1">
      <c r="A121" s="223"/>
      <c r="B121" s="223"/>
      <c r="C121" s="384" t="s">
        <v>610</v>
      </c>
      <c r="D121" s="223"/>
      <c r="E121" s="643"/>
      <c r="F121" s="382"/>
      <c r="G121" s="382"/>
      <c r="H121" s="644"/>
      <c r="I121" s="222"/>
      <c r="J121" s="275">
        <f t="shared" ref="J121:S121" si="326">+J120/E120-1</f>
        <v>-0.19230769230769229</v>
      </c>
      <c r="K121" s="252">
        <f t="shared" si="326"/>
        <v>-0.22807017543859653</v>
      </c>
      <c r="L121" s="252">
        <f t="shared" si="326"/>
        <v>2.5316455696202445E-2</v>
      </c>
      <c r="M121" s="276">
        <f t="shared" si="326"/>
        <v>1.4925373134328401E-2</v>
      </c>
      <c r="N121" s="222">
        <f t="shared" si="326"/>
        <v>-8.8967971530249157E-2</v>
      </c>
      <c r="O121" s="275">
        <f t="shared" si="326"/>
        <v>0.22222222222222232</v>
      </c>
      <c r="P121" s="252">
        <f t="shared" si="326"/>
        <v>0.59090909090909083</v>
      </c>
      <c r="Q121" s="252">
        <f t="shared" si="326"/>
        <v>-3.703703703703709E-2</v>
      </c>
      <c r="R121" s="276">
        <f t="shared" si="326"/>
        <v>4.4117647058823595E-2</v>
      </c>
      <c r="S121" s="222">
        <f t="shared" si="326"/>
        <v>0.15625</v>
      </c>
      <c r="T121" s="275">
        <f t="shared" ref="T121:Z121" si="327">+T120/O120-1</f>
        <v>-2.5974025974025983E-2</v>
      </c>
      <c r="U121" s="252">
        <f t="shared" si="327"/>
        <v>-1.4285714285714235E-2</v>
      </c>
      <c r="V121" s="252">
        <f t="shared" si="327"/>
        <v>3.8461538461538547E-2</v>
      </c>
      <c r="W121" s="276">
        <f t="shared" si="327"/>
        <v>-1.4084507042253502E-2</v>
      </c>
      <c r="X121" s="222">
        <f t="shared" si="327"/>
        <v>-3.3783783783783994E-3</v>
      </c>
      <c r="Y121" s="275">
        <f t="shared" si="327"/>
        <v>-1.3333333333333308E-2</v>
      </c>
      <c r="Z121" s="252">
        <f t="shared" si="327"/>
        <v>2.8985507246376718E-2</v>
      </c>
      <c r="AA121" s="252">
        <f t="shared" ref="AA121:AH121" si="328">+AA120/V120-1</f>
        <v>-1.2345679012345734E-2</v>
      </c>
      <c r="AB121" s="276">
        <f t="shared" si="328"/>
        <v>5.7142857142857162E-2</v>
      </c>
      <c r="AC121" s="222">
        <f t="shared" si="328"/>
        <v>1.3559322033898313E-2</v>
      </c>
      <c r="AD121" s="275">
        <f t="shared" si="328"/>
        <v>4.0540540540540571E-2</v>
      </c>
      <c r="AE121" s="252">
        <f t="shared" si="328"/>
        <v>1.4084507042253502E-2</v>
      </c>
      <c r="AF121" s="252">
        <f t="shared" si="328"/>
        <v>-5.0000000000000044E-2</v>
      </c>
      <c r="AG121" s="276">
        <f t="shared" si="328"/>
        <v>-8.108108108108103E-2</v>
      </c>
      <c r="AH121" s="222">
        <f t="shared" si="328"/>
        <v>-2.006688963210701E-2</v>
      </c>
      <c r="AI121" s="275">
        <f t="shared" ref="AI121" si="329">+AI120/AD120-1</f>
        <v>-2.5974025974025983E-2</v>
      </c>
      <c r="AJ121" s="252">
        <f t="shared" ref="AJ121" si="330">+AJ120/AE120-1</f>
        <v>-4.166666666666663E-2</v>
      </c>
      <c r="AK121" s="252">
        <f t="shared" ref="AK121" si="331">+AK120/AF120-1</f>
        <v>3.9473684210526327E-2</v>
      </c>
      <c r="AL121" s="276">
        <f t="shared" ref="AL121" si="332">+AL120/AG120-1</f>
        <v>7.3529411764705843E-2</v>
      </c>
      <c r="AM121" s="222">
        <f t="shared" ref="AM121:AP121" si="333">+AM120/AH120-1</f>
        <v>1.0238907849829282E-2</v>
      </c>
      <c r="AN121" s="275">
        <f t="shared" si="333"/>
        <v>0</v>
      </c>
      <c r="AO121" s="252">
        <f t="shared" si="333"/>
        <v>-5.7971014492753659E-2</v>
      </c>
      <c r="AP121" s="252">
        <f t="shared" si="333"/>
        <v>3.7974683544303778E-2</v>
      </c>
      <c r="AQ121" s="276">
        <f t="shared" ref="AQ121" si="334">+AQ120/AL120-1</f>
        <v>-2.7397260273972601E-2</v>
      </c>
      <c r="AR121" s="222">
        <f t="shared" ref="AR121:AT121" si="335">+AR120/AM120-1</f>
        <v>-1.0135135135135087E-2</v>
      </c>
      <c r="AS121" s="275">
        <f t="shared" si="335"/>
        <v>-4.0000000000000036E-2</v>
      </c>
      <c r="AT121" s="252">
        <f t="shared" si="335"/>
        <v>0.10769230769230775</v>
      </c>
      <c r="AU121" s="252">
        <f t="shared" ref="AU121" si="336">+AU120/AP120-1</f>
        <v>-2.4390243902439046E-2</v>
      </c>
      <c r="AV121" s="276">
        <f t="shared" ref="AV121" si="337">+AV120/AQ120-1</f>
        <v>1.4084507042253502E-2</v>
      </c>
      <c r="AW121" s="222">
        <f t="shared" ref="AW121" si="338">+AW120/AR120-1</f>
        <v>1.0238907849829282E-2</v>
      </c>
      <c r="AX121" s="275">
        <f>+AX57</f>
        <v>0.02</v>
      </c>
      <c r="AY121" s="252">
        <f>+AY57</f>
        <v>0.02</v>
      </c>
      <c r="AZ121" s="252">
        <f>+AZ57</f>
        <v>0.02</v>
      </c>
      <c r="BA121" s="276">
        <f>+BA57</f>
        <v>0.02</v>
      </c>
      <c r="BB121" s="222">
        <f>+BB120/AW120-1</f>
        <v>1.9999999999999796E-2</v>
      </c>
      <c r="BC121" s="275">
        <f>+BC57</f>
        <v>0.02</v>
      </c>
      <c r="BD121" s="252">
        <f>+BD57</f>
        <v>0.02</v>
      </c>
      <c r="BE121" s="252">
        <f>+BE57</f>
        <v>0.02</v>
      </c>
      <c r="BF121" s="276">
        <f>+BF57</f>
        <v>0.02</v>
      </c>
      <c r="BG121" s="222">
        <f>+BG120/BB120-1</f>
        <v>2.0000000000000018E-2</v>
      </c>
      <c r="BH121" s="275">
        <f>+BH57</f>
        <v>0.02</v>
      </c>
      <c r="BI121" s="252">
        <f>+BI57</f>
        <v>0.02</v>
      </c>
      <c r="BJ121" s="252">
        <f>+BJ57</f>
        <v>0.02</v>
      </c>
      <c r="BK121" s="276">
        <f>+BK57</f>
        <v>0.02</v>
      </c>
      <c r="BL121" s="222">
        <f>+BL120/BG120-1</f>
        <v>2.0000000000000018E-2</v>
      </c>
      <c r="BM121" s="275">
        <f>+BM57</f>
        <v>0.02</v>
      </c>
      <c r="BN121" s="252">
        <f>+BN57</f>
        <v>0.02</v>
      </c>
      <c r="BO121" s="252">
        <f>+BO57</f>
        <v>0.02</v>
      </c>
      <c r="BP121" s="276">
        <f>+BP57</f>
        <v>0.02</v>
      </c>
      <c r="BQ121" s="222">
        <f>+BQ120/BL120-1</f>
        <v>2.0000000000000018E-2</v>
      </c>
      <c r="BR121" s="223"/>
      <c r="BS121" s="223"/>
      <c r="BT121" s="223"/>
      <c r="BU121" s="223"/>
      <c r="BV121" s="223"/>
      <c r="BW121" s="223"/>
      <c r="BX121" s="223"/>
      <c r="BY121" s="223"/>
      <c r="BZ121" s="223"/>
      <c r="CA121" s="223"/>
      <c r="CB121" s="223"/>
      <c r="CC121" s="5"/>
      <c r="CD121" s="5"/>
      <c r="CE121" s="223"/>
      <c r="CF121" s="223"/>
      <c r="CG121" s="223"/>
      <c r="CH121" s="223"/>
      <c r="CI121" s="223"/>
      <c r="CJ121" s="223"/>
      <c r="CK121" s="223"/>
      <c r="CL121" s="223"/>
      <c r="CM121" s="223"/>
      <c r="CN121" s="223"/>
      <c r="CO121" s="223"/>
      <c r="CP121" s="223"/>
      <c r="CQ121" s="223"/>
      <c r="CR121" s="223"/>
      <c r="CS121" s="223"/>
      <c r="CT121" s="223"/>
      <c r="CU121" s="223"/>
    </row>
    <row r="122" spans="1:99" ht="12.75" customHeight="1">
      <c r="A122" s="28"/>
      <c r="B122" s="28"/>
      <c r="C122" s="28"/>
      <c r="D122" s="28"/>
      <c r="E122" s="415"/>
      <c r="F122" s="242"/>
      <c r="G122" s="242"/>
      <c r="H122" s="416"/>
      <c r="I122" s="23"/>
      <c r="J122" s="415"/>
      <c r="K122" s="242"/>
      <c r="L122" s="242"/>
      <c r="M122" s="416"/>
      <c r="N122" s="23"/>
      <c r="O122" s="415"/>
      <c r="P122" s="242"/>
      <c r="Q122" s="242"/>
      <c r="R122" s="416"/>
      <c r="S122" s="23"/>
      <c r="T122" s="415"/>
      <c r="U122" s="242"/>
      <c r="V122" s="242"/>
      <c r="W122" s="416"/>
      <c r="X122" s="23"/>
      <c r="Y122" s="415"/>
      <c r="Z122" s="242"/>
      <c r="AA122" s="242"/>
      <c r="AB122" s="416"/>
      <c r="AC122" s="23"/>
      <c r="AD122" s="415"/>
      <c r="AE122" s="242"/>
      <c r="AF122" s="242"/>
      <c r="AG122" s="416"/>
      <c r="AH122" s="23"/>
      <c r="AI122" s="415"/>
      <c r="AJ122" s="242"/>
      <c r="AK122" s="242"/>
      <c r="AL122" s="416"/>
      <c r="AM122" s="23"/>
      <c r="AN122" s="415"/>
      <c r="AO122" s="242"/>
      <c r="AP122" s="242"/>
      <c r="AQ122" s="416"/>
      <c r="AR122" s="23"/>
      <c r="AS122" s="415"/>
      <c r="AT122" s="242"/>
      <c r="AU122" s="242"/>
      <c r="AV122" s="416"/>
      <c r="AW122" s="23"/>
      <c r="AX122" s="415"/>
      <c r="AY122" s="242"/>
      <c r="AZ122" s="242"/>
      <c r="BA122" s="416"/>
      <c r="BB122" s="23"/>
      <c r="BC122" s="415"/>
      <c r="BD122" s="242"/>
      <c r="BE122" s="242"/>
      <c r="BF122" s="416"/>
      <c r="BG122" s="23"/>
      <c r="BH122" s="415"/>
      <c r="BI122" s="242"/>
      <c r="BJ122" s="242"/>
      <c r="BK122" s="416"/>
      <c r="BL122" s="23"/>
      <c r="BM122" s="415"/>
      <c r="BN122" s="242"/>
      <c r="BO122" s="242"/>
      <c r="BP122" s="416"/>
      <c r="BQ122" s="23"/>
      <c r="BR122" s="28"/>
      <c r="BS122" s="28"/>
      <c r="BT122" s="28"/>
      <c r="BU122" s="28"/>
      <c r="BV122" s="28"/>
      <c r="BW122" s="28"/>
      <c r="BX122" s="28"/>
      <c r="BY122" s="28"/>
      <c r="BZ122" s="28"/>
      <c r="CA122" s="28"/>
      <c r="CB122" s="28"/>
      <c r="CC122" s="5"/>
      <c r="CD122" s="5"/>
      <c r="CE122" s="28"/>
      <c r="CF122" s="28"/>
      <c r="CG122" s="28"/>
      <c r="CH122" s="28"/>
      <c r="CI122" s="28"/>
      <c r="CJ122" s="28"/>
      <c r="CK122" s="28"/>
      <c r="CL122" s="28"/>
      <c r="CM122" s="28"/>
      <c r="CN122" s="28"/>
      <c r="CO122" s="28"/>
      <c r="CP122" s="28"/>
      <c r="CQ122" s="28"/>
      <c r="CR122" s="28"/>
      <c r="CS122" s="28"/>
      <c r="CT122" s="28"/>
      <c r="CU122" s="28"/>
    </row>
    <row r="123" spans="1:99" ht="12.75" customHeight="1">
      <c r="A123" s="28"/>
      <c r="B123" s="28"/>
      <c r="C123" s="28"/>
      <c r="D123" s="28"/>
      <c r="E123" s="415"/>
      <c r="F123" s="242"/>
      <c r="G123" s="242"/>
      <c r="H123" s="416"/>
      <c r="I123" s="23"/>
      <c r="J123" s="415"/>
      <c r="K123" s="242"/>
      <c r="L123" s="242"/>
      <c r="M123" s="416"/>
      <c r="N123" s="23"/>
      <c r="O123" s="415"/>
      <c r="P123" s="242"/>
      <c r="Q123" s="242"/>
      <c r="R123" s="416"/>
      <c r="S123" s="23"/>
      <c r="T123" s="415"/>
      <c r="U123" s="242"/>
      <c r="V123" s="242"/>
      <c r="W123" s="416"/>
      <c r="X123" s="23"/>
      <c r="Y123" s="415"/>
      <c r="Z123" s="242"/>
      <c r="AA123" s="242"/>
      <c r="AB123" s="416"/>
      <c r="AC123" s="23"/>
      <c r="AD123" s="415"/>
      <c r="AE123" s="242"/>
      <c r="AF123" s="242"/>
      <c r="AG123" s="416"/>
      <c r="AH123" s="23"/>
      <c r="AI123" s="415"/>
      <c r="AJ123" s="242"/>
      <c r="AK123" s="242"/>
      <c r="AL123" s="416"/>
      <c r="AM123" s="23"/>
      <c r="AN123" s="415"/>
      <c r="AO123" s="242"/>
      <c r="AP123" s="242"/>
      <c r="AQ123" s="416"/>
      <c r="AR123" s="23"/>
      <c r="AS123" s="415"/>
      <c r="AT123" s="242"/>
      <c r="AU123" s="242"/>
      <c r="AV123" s="416"/>
      <c r="AW123" s="23"/>
      <c r="AX123" s="415"/>
      <c r="AY123" s="242"/>
      <c r="AZ123" s="242"/>
      <c r="BA123" s="416"/>
      <c r="BB123" s="23"/>
      <c r="BC123" s="415"/>
      <c r="BD123" s="242"/>
      <c r="BE123" s="242"/>
      <c r="BF123" s="416"/>
      <c r="BG123" s="23"/>
      <c r="BH123" s="415"/>
      <c r="BI123" s="242"/>
      <c r="BJ123" s="242"/>
      <c r="BK123" s="416"/>
      <c r="BL123" s="23"/>
      <c r="BM123" s="415"/>
      <c r="BN123" s="242"/>
      <c r="BO123" s="242"/>
      <c r="BP123" s="416"/>
      <c r="BQ123" s="23"/>
      <c r="BR123" s="28"/>
      <c r="BS123" s="28"/>
      <c r="BT123" s="28"/>
      <c r="BU123" s="28"/>
      <c r="BV123" s="28"/>
      <c r="BW123" s="28"/>
      <c r="BX123" s="28"/>
      <c r="BY123" s="28"/>
      <c r="BZ123" s="28"/>
      <c r="CA123" s="28"/>
      <c r="CB123" s="28"/>
      <c r="CC123" s="5"/>
      <c r="CD123" s="5"/>
      <c r="CE123" s="28"/>
      <c r="CF123" s="28"/>
      <c r="CG123" s="28"/>
      <c r="CH123" s="28"/>
      <c r="CI123" s="28"/>
      <c r="CJ123" s="28"/>
      <c r="CK123" s="28"/>
      <c r="CL123" s="28"/>
      <c r="CM123" s="28"/>
      <c r="CN123" s="28"/>
      <c r="CO123" s="28"/>
      <c r="CP123" s="28"/>
      <c r="CQ123" s="28"/>
      <c r="CR123" s="28"/>
      <c r="CS123" s="28"/>
      <c r="CT123" s="28"/>
      <c r="CU123" s="28"/>
    </row>
    <row r="124" spans="1:99" ht="12.75" customHeight="1">
      <c r="A124" s="28"/>
      <c r="B124" s="73" t="s">
        <v>273</v>
      </c>
      <c r="C124" s="246"/>
      <c r="D124" s="15"/>
      <c r="E124" s="415"/>
      <c r="F124" s="242"/>
      <c r="G124" s="242"/>
      <c r="H124" s="416"/>
      <c r="I124" s="23"/>
      <c r="J124" s="415"/>
      <c r="K124" s="242"/>
      <c r="L124" s="242"/>
      <c r="M124" s="416"/>
      <c r="N124" s="23"/>
      <c r="O124" s="415"/>
      <c r="P124" s="242"/>
      <c r="Q124" s="242"/>
      <c r="R124" s="416"/>
      <c r="S124" s="23"/>
      <c r="T124" s="415"/>
      <c r="U124" s="242"/>
      <c r="V124" s="242"/>
      <c r="W124" s="416"/>
      <c r="X124" s="23"/>
      <c r="Y124" s="415"/>
      <c r="Z124" s="242"/>
      <c r="AA124" s="242"/>
      <c r="AB124" s="416"/>
      <c r="AC124" s="23"/>
      <c r="AD124" s="415"/>
      <c r="AE124" s="242"/>
      <c r="AF124" s="242"/>
      <c r="AG124" s="416"/>
      <c r="AH124" s="23"/>
      <c r="AI124" s="415"/>
      <c r="AJ124" s="242"/>
      <c r="AK124" s="242"/>
      <c r="AL124" s="416"/>
      <c r="AM124" s="23"/>
      <c r="AN124" s="415"/>
      <c r="AO124" s="242"/>
      <c r="AP124" s="242"/>
      <c r="AQ124" s="416"/>
      <c r="AR124" s="23"/>
      <c r="AS124" s="415"/>
      <c r="AT124" s="242"/>
      <c r="AU124" s="242"/>
      <c r="AV124" s="416"/>
      <c r="AW124" s="23"/>
      <c r="AX124" s="415"/>
      <c r="AY124" s="242"/>
      <c r="AZ124" s="242"/>
      <c r="BA124" s="416"/>
      <c r="BB124" s="23"/>
      <c r="BC124" s="415"/>
      <c r="BD124" s="242"/>
      <c r="BE124" s="242"/>
      <c r="BF124" s="416"/>
      <c r="BG124" s="23"/>
      <c r="BH124" s="415"/>
      <c r="BI124" s="242"/>
      <c r="BJ124" s="242"/>
      <c r="BK124" s="416"/>
      <c r="BL124" s="23"/>
      <c r="BM124" s="415"/>
      <c r="BN124" s="242"/>
      <c r="BO124" s="242"/>
      <c r="BP124" s="416"/>
      <c r="BQ124" s="23"/>
      <c r="BR124" s="28"/>
      <c r="BS124" s="28"/>
      <c r="BT124" s="28"/>
      <c r="BU124" s="28"/>
      <c r="BV124" s="28"/>
      <c r="BW124" s="28"/>
      <c r="BX124" s="28"/>
      <c r="BY124" s="28"/>
      <c r="BZ124" s="28"/>
      <c r="CA124" s="28"/>
      <c r="CB124" s="28"/>
      <c r="CC124" s="5"/>
      <c r="CD124" s="5"/>
      <c r="CE124" s="28"/>
      <c r="CF124" s="28"/>
      <c r="CG124" s="28"/>
      <c r="CH124" s="28"/>
      <c r="CI124" s="28"/>
      <c r="CJ124" s="28"/>
      <c r="CK124" s="28"/>
      <c r="CL124" s="28"/>
      <c r="CM124" s="28"/>
      <c r="CN124" s="28"/>
      <c r="CO124" s="28"/>
      <c r="CP124" s="28"/>
      <c r="CQ124" s="28"/>
      <c r="CR124" s="28"/>
      <c r="CS124" s="28"/>
      <c r="CT124" s="28"/>
      <c r="CU124" s="28"/>
    </row>
    <row r="125" spans="1:99" ht="12.75" customHeight="1">
      <c r="A125" s="45"/>
      <c r="B125" s="45"/>
      <c r="C125" s="383" t="s">
        <v>184</v>
      </c>
      <c r="D125" s="45"/>
      <c r="E125" s="335">
        <f>11784+E126-E129</f>
        <v>13505</v>
      </c>
      <c r="F125" s="336">
        <f>11879+F126-F129</f>
        <v>13679</v>
      </c>
      <c r="G125" s="336">
        <f>11947+G126-G129</f>
        <v>13798</v>
      </c>
      <c r="H125" s="291">
        <f>I125</f>
        <v>14076</v>
      </c>
      <c r="I125" s="427">
        <f>14254-I129</f>
        <v>14076</v>
      </c>
      <c r="J125" s="335">
        <f>12211+J126-J129</f>
        <v>14163</v>
      </c>
      <c r="K125" s="336">
        <f>12307+K126-K129</f>
        <v>14340</v>
      </c>
      <c r="L125" s="336">
        <f>12429+L126-L129</f>
        <v>14540</v>
      </c>
      <c r="M125" s="586">
        <f>N125</f>
        <v>14799</v>
      </c>
      <c r="N125" s="427">
        <f>15006-N129</f>
        <v>14799</v>
      </c>
      <c r="O125" s="335">
        <f>12690+O126-O129</f>
        <v>15012</v>
      </c>
      <c r="P125" s="336">
        <f>12824+P126-P129</f>
        <v>15229</v>
      </c>
      <c r="Q125" s="336">
        <f>12955+Q126-Q129</f>
        <v>15440</v>
      </c>
      <c r="R125" s="586">
        <f>S125</f>
        <v>15684</v>
      </c>
      <c r="S125" s="427">
        <f>15871-S129</f>
        <v>15684</v>
      </c>
      <c r="T125" s="335">
        <f>13267+T126-T129</f>
        <v>15742</v>
      </c>
      <c r="U125" s="336">
        <f>13428+U126-U129</f>
        <v>15978</v>
      </c>
      <c r="V125" s="336">
        <f>13611+V126-V129</f>
        <v>16223</v>
      </c>
      <c r="W125" s="586">
        <f>X125</f>
        <v>16530</v>
      </c>
      <c r="X125" s="427">
        <f>13826+X126-X129</f>
        <v>16530</v>
      </c>
      <c r="Y125" s="335">
        <f>14020+Y126-Y129</f>
        <v>16695</v>
      </c>
      <c r="Z125" s="336">
        <f>14233+Z126-Z129</f>
        <v>16974</v>
      </c>
      <c r="AA125" s="1435">
        <f>14444+AA126-AA129</f>
        <v>17257</v>
      </c>
      <c r="AB125" s="1436">
        <f>AC125</f>
        <v>17394</v>
      </c>
      <c r="AC125" s="1437">
        <f>14666+AC126-AC129</f>
        <v>17394</v>
      </c>
      <c r="AD125" s="335">
        <f>14890+AD126-AD129</f>
        <v>17861</v>
      </c>
      <c r="AE125" s="336">
        <f>15121-AE126</f>
        <v>11796</v>
      </c>
      <c r="AF125" s="1435">
        <f>15389+AF126-AF129</f>
        <v>18483</v>
      </c>
      <c r="AG125" s="1436">
        <f>AH125</f>
        <v>18949</v>
      </c>
      <c r="AH125" s="1437">
        <f>15793+AH126-AH129</f>
        <v>18949</v>
      </c>
      <c r="AI125" s="335">
        <f>16099+AI126-AI129</f>
        <v>18774</v>
      </c>
      <c r="AJ125" s="336">
        <f>16493+AJ126-AJ129</f>
        <v>19492</v>
      </c>
      <c r="AK125" s="1435">
        <f>17001+AK126-AK129</f>
        <v>20043</v>
      </c>
      <c r="AL125" s="1436">
        <f>AM125</f>
        <v>20640</v>
      </c>
      <c r="AM125" s="1437">
        <f>17502+AM126-AM129</f>
        <v>20640</v>
      </c>
      <c r="AN125" s="335">
        <f>17971+AN126-AN129</f>
        <v>21118</v>
      </c>
      <c r="AO125" s="336">
        <f>18416+AO126-AO129</f>
        <v>21632</v>
      </c>
      <c r="AP125" s="1435">
        <f>18811+AP126-AP129</f>
        <v>22083</v>
      </c>
      <c r="AQ125" s="1436">
        <f>AR125</f>
        <v>22703</v>
      </c>
      <c r="AR125" s="1437">
        <f>19335+AR126-AR129</f>
        <v>22703</v>
      </c>
      <c r="AS125" s="335">
        <f>19692+AS126-AS129</f>
        <v>23215</v>
      </c>
      <c r="AT125" s="336">
        <f>20019+AT126-AT129</f>
        <v>23624</v>
      </c>
      <c r="AU125" s="336">
        <f>20353+AU126-AU129</f>
        <v>24027</v>
      </c>
      <c r="AV125" s="1436">
        <f>AW125</f>
        <v>24475</v>
      </c>
      <c r="AW125" s="1437">
        <f>20723+AW126-AW129</f>
        <v>24475</v>
      </c>
      <c r="AX125" s="290">
        <f>AW125+AX141-(AX129-AW129)</f>
        <v>25034.972222222223</v>
      </c>
      <c r="AY125" s="260">
        <f>AX125+AY141-(AY129-AX129)</f>
        <v>25566.222222222223</v>
      </c>
      <c r="AZ125" s="260">
        <f>AY125+AZ141-(AZ129-AY129)</f>
        <v>26097.472222222223</v>
      </c>
      <c r="BA125" s="291">
        <f>AZ125+BA141-(BA129-AZ129)</f>
        <v>26628.722222222223</v>
      </c>
      <c r="BB125" s="45">
        <f>BA125</f>
        <v>26628.722222222223</v>
      </c>
      <c r="BC125" s="290">
        <f>BB125+BC141-(BC129-BB129)</f>
        <v>27151.883333333335</v>
      </c>
      <c r="BD125" s="260">
        <f>BC125+BD141-(BD129-BC129)</f>
        <v>27583.133333333335</v>
      </c>
      <c r="BE125" s="260">
        <f>BD125+BE141-(BE129-BD129)</f>
        <v>28014.383333333335</v>
      </c>
      <c r="BF125" s="291">
        <f>BE125+BF141-(BF129-BE129)</f>
        <v>28445.633333333335</v>
      </c>
      <c r="BG125" s="45">
        <f>BF125</f>
        <v>28445.633333333335</v>
      </c>
      <c r="BH125" s="290">
        <f>BG125+BH141-(BH129-BG129)</f>
        <v>28879.411111111112</v>
      </c>
      <c r="BI125" s="260">
        <f>BH125+BI141-(BI129-BH129)</f>
        <v>29341.911111111112</v>
      </c>
      <c r="BJ125" s="260">
        <f>BI125+BJ141-(BJ129-BI129)</f>
        <v>29804.411111111112</v>
      </c>
      <c r="BK125" s="291">
        <f>BJ125+BK141-(BK129-BJ129)</f>
        <v>30266.911111111112</v>
      </c>
      <c r="BL125" s="45">
        <f>BK125</f>
        <v>30266.911111111112</v>
      </c>
      <c r="BM125" s="290">
        <f>BL125+BM141-(BM129-BL129)</f>
        <v>30729.411111111112</v>
      </c>
      <c r="BN125" s="260">
        <f>BM125+BN141-(BN129-BM129)</f>
        <v>31191.911111111112</v>
      </c>
      <c r="BO125" s="260">
        <f>BN125+BO141-(BO129-BN129)</f>
        <v>31654.411111111112</v>
      </c>
      <c r="BP125" s="291">
        <f>BO125+BP141-(BP129-BO129)</f>
        <v>32116.911111111112</v>
      </c>
      <c r="BQ125" s="45">
        <f>BP125</f>
        <v>32116.911111111112</v>
      </c>
      <c r="BR125" s="45"/>
      <c r="BS125" s="45"/>
      <c r="BT125" s="45"/>
      <c r="BU125" s="45"/>
      <c r="BV125" s="45"/>
      <c r="BW125" s="45"/>
      <c r="BX125" s="45"/>
      <c r="BY125" s="45"/>
      <c r="BZ125" s="45"/>
      <c r="CA125" s="45"/>
      <c r="CB125" s="45"/>
      <c r="CC125" s="5"/>
      <c r="CD125" s="5"/>
      <c r="CE125" s="45"/>
      <c r="CF125" s="45"/>
      <c r="CG125" s="45"/>
      <c r="CH125" s="45"/>
      <c r="CI125" s="45"/>
      <c r="CJ125" s="45"/>
      <c r="CK125" s="45"/>
      <c r="CL125" s="45"/>
      <c r="CM125" s="45"/>
      <c r="CN125" s="45"/>
      <c r="CO125" s="45"/>
      <c r="CP125" s="45"/>
      <c r="CQ125" s="45"/>
      <c r="CR125" s="45"/>
      <c r="CS125" s="45"/>
      <c r="CT125" s="45"/>
      <c r="CU125" s="45"/>
    </row>
    <row r="126" spans="1:99" ht="12.75" customHeight="1">
      <c r="A126" s="45"/>
      <c r="B126" s="45"/>
      <c r="C126" s="383" t="s">
        <v>396</v>
      </c>
      <c r="D126" s="45"/>
      <c r="E126" s="335">
        <v>1899</v>
      </c>
      <c r="F126" s="336">
        <v>1978</v>
      </c>
      <c r="G126" s="336">
        <v>2029</v>
      </c>
      <c r="H126" s="291">
        <f>I126</f>
        <v>2129</v>
      </c>
      <c r="I126" s="645">
        <v>2129</v>
      </c>
      <c r="J126" s="335">
        <v>2159</v>
      </c>
      <c r="K126" s="336">
        <v>2240</v>
      </c>
      <c r="L126" s="336">
        <v>2318</v>
      </c>
      <c r="M126" s="299">
        <f>N126</f>
        <v>2428</v>
      </c>
      <c r="N126" s="645">
        <v>2428</v>
      </c>
      <c r="O126" s="335">
        <v>2509</v>
      </c>
      <c r="P126" s="336">
        <v>2592</v>
      </c>
      <c r="Q126" s="336">
        <v>2672</v>
      </c>
      <c r="R126" s="299">
        <f>S126</f>
        <v>2750</v>
      </c>
      <c r="S126" s="645">
        <v>2750</v>
      </c>
      <c r="T126" s="335">
        <v>2769</v>
      </c>
      <c r="U126" s="336">
        <v>2844</v>
      </c>
      <c r="V126" s="336">
        <v>2906</v>
      </c>
      <c r="W126" s="299">
        <f>X126</f>
        <v>2998</v>
      </c>
      <c r="X126" s="645">
        <v>2998</v>
      </c>
      <c r="Y126" s="335">
        <v>2969</v>
      </c>
      <c r="Z126" s="336">
        <v>3035</v>
      </c>
      <c r="AA126" s="1435">
        <v>3107</v>
      </c>
      <c r="AB126" s="1442">
        <f>AC126</f>
        <v>3184</v>
      </c>
      <c r="AC126" s="1453">
        <v>3184</v>
      </c>
      <c r="AD126" s="335">
        <v>3247</v>
      </c>
      <c r="AE126" s="336">
        <v>3325</v>
      </c>
      <c r="AF126" s="1435">
        <v>3370</v>
      </c>
      <c r="AG126" s="1442">
        <f>AH126</f>
        <v>3432</v>
      </c>
      <c r="AH126" s="1453">
        <v>3432</v>
      </c>
      <c r="AI126" s="335">
        <v>3247</v>
      </c>
      <c r="AJ126" s="336">
        <v>3571</v>
      </c>
      <c r="AK126" s="1435">
        <v>3614</v>
      </c>
      <c r="AL126" s="1442">
        <f>AM126</f>
        <v>3710</v>
      </c>
      <c r="AM126" s="1453">
        <v>3710</v>
      </c>
      <c r="AN126" s="335">
        <v>3716</v>
      </c>
      <c r="AO126" s="336">
        <v>3785</v>
      </c>
      <c r="AP126" s="1435">
        <v>3841</v>
      </c>
      <c r="AQ126" s="1442">
        <f>AR126</f>
        <v>3937</v>
      </c>
      <c r="AR126" s="1453">
        <v>3937</v>
      </c>
      <c r="AS126" s="335">
        <v>4040</v>
      </c>
      <c r="AT126" s="336">
        <v>4122</v>
      </c>
      <c r="AU126" s="336">
        <v>4191</v>
      </c>
      <c r="AV126" s="1442">
        <f>AW126</f>
        <v>4269</v>
      </c>
      <c r="AW126" s="1453">
        <v>4269</v>
      </c>
      <c r="AX126" s="290">
        <f>AW126+AX133</f>
        <v>4468.8295789421109</v>
      </c>
      <c r="AY126" s="260">
        <f>AX126+AY133</f>
        <v>4672.2208302966619</v>
      </c>
      <c r="AZ126" s="260">
        <f>AY126+AZ133</f>
        <v>4878.8544787458532</v>
      </c>
      <c r="BA126" s="291">
        <f>AZ126+BA133</f>
        <v>5088.6984582278128</v>
      </c>
      <c r="BB126" s="45">
        <f>BA126</f>
        <v>5088.6984582278128</v>
      </c>
      <c r="BC126" s="290">
        <f>BB126+BC133</f>
        <v>5301.7210198017046</v>
      </c>
      <c r="BD126" s="260">
        <f>BC126+BD133</f>
        <v>5517.810732507327</v>
      </c>
      <c r="BE126" s="260">
        <f>BD126+BE133</f>
        <v>5736.0282978119349</v>
      </c>
      <c r="BF126" s="291">
        <f>BE126+BF133</f>
        <v>5956.352672070625</v>
      </c>
      <c r="BG126" s="45">
        <f>BF126</f>
        <v>5956.352672070625</v>
      </c>
      <c r="BH126" s="290">
        <f>BG126+BH133</f>
        <v>6178.7630197520602</v>
      </c>
      <c r="BI126" s="260">
        <f>BH126+BI133</f>
        <v>6403.2637101316159</v>
      </c>
      <c r="BJ126" s="260">
        <f>BI126+BJ133</f>
        <v>6630.1181222685691</v>
      </c>
      <c r="BK126" s="291">
        <f>BJ126+BK133</f>
        <v>6859.3029787587957</v>
      </c>
      <c r="BL126" s="45">
        <f>BK126</f>
        <v>6859.3029787587957</v>
      </c>
      <c r="BM126" s="290">
        <f>BL126+BM133</f>
        <v>7090.7952324027574</v>
      </c>
      <c r="BN126" s="260">
        <f>BM126+BN133</f>
        <v>7324.5720639288675</v>
      </c>
      <c r="BO126" s="260">
        <f>BN126+BO133</f>
        <v>7560.6108797393708</v>
      </c>
      <c r="BP126" s="291">
        <f>BO126+BP133</f>
        <v>7798.889309678515</v>
      </c>
      <c r="BQ126" s="45">
        <f>BP126</f>
        <v>7798.889309678515</v>
      </c>
      <c r="BR126" s="45"/>
      <c r="BS126" s="45"/>
      <c r="BT126" s="45"/>
      <c r="BU126" s="45"/>
      <c r="BV126" s="45"/>
      <c r="BW126" s="45"/>
      <c r="BX126" s="45"/>
      <c r="BY126" s="45"/>
      <c r="BZ126" s="45"/>
      <c r="CA126" s="45"/>
      <c r="CB126" s="45"/>
      <c r="CC126" s="5"/>
      <c r="CD126" s="5"/>
      <c r="CE126" s="45"/>
      <c r="CF126" s="45"/>
      <c r="CG126" s="45"/>
      <c r="CH126" s="45"/>
      <c r="CI126" s="45"/>
      <c r="CJ126" s="45"/>
      <c r="CK126" s="45"/>
      <c r="CL126" s="45"/>
      <c r="CM126" s="45"/>
      <c r="CN126" s="45"/>
      <c r="CO126" s="45"/>
      <c r="CP126" s="45"/>
      <c r="CQ126" s="45"/>
      <c r="CR126" s="45"/>
      <c r="CS126" s="45"/>
      <c r="CT126" s="45"/>
      <c r="CU126" s="45"/>
    </row>
    <row r="127" spans="1:99" ht="12.75" customHeight="1">
      <c r="A127" s="45"/>
      <c r="B127" s="45"/>
      <c r="C127" s="641" t="s">
        <v>142</v>
      </c>
      <c r="D127" s="45"/>
      <c r="E127" s="292">
        <f t="shared" ref="E127:AA127" si="339">E125-E126</f>
        <v>11606</v>
      </c>
      <c r="F127" s="261">
        <f t="shared" si="339"/>
        <v>11701</v>
      </c>
      <c r="G127" s="261">
        <f t="shared" si="339"/>
        <v>11769</v>
      </c>
      <c r="H127" s="293">
        <f t="shared" si="339"/>
        <v>11947</v>
      </c>
      <c r="I127" s="228">
        <f t="shared" si="339"/>
        <v>11947</v>
      </c>
      <c r="J127" s="292">
        <f t="shared" si="339"/>
        <v>12004</v>
      </c>
      <c r="K127" s="261">
        <f t="shared" si="339"/>
        <v>12100</v>
      </c>
      <c r="L127" s="261">
        <f t="shared" si="339"/>
        <v>12222</v>
      </c>
      <c r="M127" s="293">
        <f t="shared" si="339"/>
        <v>12371</v>
      </c>
      <c r="N127" s="228">
        <f t="shared" si="339"/>
        <v>12371</v>
      </c>
      <c r="O127" s="292">
        <f t="shared" si="339"/>
        <v>12503</v>
      </c>
      <c r="P127" s="261">
        <f t="shared" si="339"/>
        <v>12637</v>
      </c>
      <c r="Q127" s="261">
        <f t="shared" si="339"/>
        <v>12768</v>
      </c>
      <c r="R127" s="293">
        <f t="shared" si="339"/>
        <v>12934</v>
      </c>
      <c r="S127" s="228">
        <f>R127</f>
        <v>12934</v>
      </c>
      <c r="T127" s="292">
        <f t="shared" si="339"/>
        <v>12973</v>
      </c>
      <c r="U127" s="261">
        <f t="shared" si="339"/>
        <v>13134</v>
      </c>
      <c r="V127" s="261">
        <f t="shared" si="339"/>
        <v>13317</v>
      </c>
      <c r="W127" s="293">
        <f t="shared" si="339"/>
        <v>13532</v>
      </c>
      <c r="X127" s="228">
        <f t="shared" si="339"/>
        <v>13532</v>
      </c>
      <c r="Y127" s="292">
        <f t="shared" si="339"/>
        <v>13726</v>
      </c>
      <c r="Z127" s="261">
        <f t="shared" si="339"/>
        <v>13939</v>
      </c>
      <c r="AA127" s="1438">
        <f t="shared" si="339"/>
        <v>14150</v>
      </c>
      <c r="AB127" s="1439">
        <f>AB125-AB126</f>
        <v>14210</v>
      </c>
      <c r="AC127" s="1440">
        <f>AC125-AC126</f>
        <v>14210</v>
      </c>
      <c r="AD127" s="292">
        <f>AD125-AD126</f>
        <v>14614</v>
      </c>
      <c r="AE127" s="261">
        <f t="shared" ref="AE127:AF127" si="340">AE125-AE126</f>
        <v>8471</v>
      </c>
      <c r="AF127" s="1438">
        <f t="shared" si="340"/>
        <v>15113</v>
      </c>
      <c r="AG127" s="1439">
        <f>AG125-AG126</f>
        <v>15517</v>
      </c>
      <c r="AH127" s="1440">
        <f>AH125-AH126</f>
        <v>15517</v>
      </c>
      <c r="AI127" s="292">
        <f>AI125-AI126</f>
        <v>15527</v>
      </c>
      <c r="AJ127" s="261">
        <f t="shared" ref="AJ127:AK127" si="341">AJ125-AJ126</f>
        <v>15921</v>
      </c>
      <c r="AK127" s="1438">
        <f t="shared" si="341"/>
        <v>16429</v>
      </c>
      <c r="AL127" s="1439">
        <f>AL125-AL126</f>
        <v>16930</v>
      </c>
      <c r="AM127" s="1440">
        <f>AM125-AM126</f>
        <v>16930</v>
      </c>
      <c r="AN127" s="292">
        <f>AN125-AN126</f>
        <v>17402</v>
      </c>
      <c r="AO127" s="261">
        <f t="shared" ref="AO127:AP127" si="342">AO125-AO126</f>
        <v>17847</v>
      </c>
      <c r="AP127" s="1438">
        <f t="shared" si="342"/>
        <v>18242</v>
      </c>
      <c r="AQ127" s="1439">
        <f>AQ125-AQ126</f>
        <v>18766</v>
      </c>
      <c r="AR127" s="1440">
        <f>AR125-AR126</f>
        <v>18766</v>
      </c>
      <c r="AS127" s="292">
        <f>AS125-AS126</f>
        <v>19175</v>
      </c>
      <c r="AT127" s="261">
        <f t="shared" ref="AT127:AU127" si="343">AT125-AT126</f>
        <v>19502</v>
      </c>
      <c r="AU127" s="261">
        <f t="shared" si="343"/>
        <v>19836</v>
      </c>
      <c r="AV127" s="1439">
        <f>AV125-AV126</f>
        <v>20206</v>
      </c>
      <c r="AW127" s="1440">
        <f>AW125-AW126</f>
        <v>20206</v>
      </c>
      <c r="AX127" s="292">
        <f t="shared" ref="AX127:BB127" si="344">AX125-AX126</f>
        <v>20566.142643280113</v>
      </c>
      <c r="AY127" s="261">
        <f t="shared" si="344"/>
        <v>20894.001391925562</v>
      </c>
      <c r="AZ127" s="261">
        <f t="shared" si="344"/>
        <v>21218.61774347637</v>
      </c>
      <c r="BA127" s="293">
        <f t="shared" si="344"/>
        <v>21540.02376399441</v>
      </c>
      <c r="BB127" s="228">
        <f t="shared" si="344"/>
        <v>21540.02376399441</v>
      </c>
      <c r="BC127" s="292">
        <f t="shared" ref="BC127:BL127" si="345">BC125-BC126</f>
        <v>21850.162313531629</v>
      </c>
      <c r="BD127" s="261">
        <f t="shared" si="345"/>
        <v>22065.32260082601</v>
      </c>
      <c r="BE127" s="261">
        <f t="shared" si="345"/>
        <v>22278.355035521399</v>
      </c>
      <c r="BF127" s="293">
        <f t="shared" si="345"/>
        <v>22489.28066126271</v>
      </c>
      <c r="BG127" s="228">
        <f t="shared" si="345"/>
        <v>22489.28066126271</v>
      </c>
      <c r="BH127" s="292">
        <f t="shared" si="345"/>
        <v>22700.648091359053</v>
      </c>
      <c r="BI127" s="261">
        <f t="shared" si="345"/>
        <v>22938.647400979498</v>
      </c>
      <c r="BJ127" s="261">
        <f t="shared" si="345"/>
        <v>23174.292988842542</v>
      </c>
      <c r="BK127" s="293">
        <f t="shared" si="345"/>
        <v>23407.608132352318</v>
      </c>
      <c r="BL127" s="228">
        <f t="shared" si="345"/>
        <v>23407.608132352318</v>
      </c>
      <c r="BM127" s="292">
        <f t="shared" ref="BM127:BQ127" si="346">BM125-BM126</f>
        <v>23638.615878708355</v>
      </c>
      <c r="BN127" s="261">
        <f t="shared" si="346"/>
        <v>23867.339047182246</v>
      </c>
      <c r="BO127" s="261">
        <f t="shared" si="346"/>
        <v>24093.800231371741</v>
      </c>
      <c r="BP127" s="293">
        <f t="shared" si="346"/>
        <v>24318.021801432598</v>
      </c>
      <c r="BQ127" s="228">
        <f t="shared" si="346"/>
        <v>24318.021801432598</v>
      </c>
      <c r="BR127" s="45"/>
      <c r="BS127" s="45"/>
      <c r="BT127" s="45"/>
      <c r="BU127" s="45"/>
      <c r="BV127" s="45"/>
      <c r="BW127" s="45"/>
      <c r="BX127" s="45"/>
      <c r="BY127" s="45"/>
      <c r="BZ127" s="45"/>
      <c r="CA127" s="45"/>
      <c r="CB127" s="45"/>
      <c r="CC127" s="5"/>
      <c r="CD127" s="5"/>
      <c r="CE127" s="45"/>
      <c r="CF127" s="45"/>
      <c r="CG127" s="45"/>
      <c r="CH127" s="45"/>
      <c r="CI127" s="45"/>
      <c r="CJ127" s="45"/>
      <c r="CK127" s="45"/>
      <c r="CL127" s="45"/>
      <c r="CM127" s="45"/>
      <c r="CN127" s="45"/>
      <c r="CO127" s="45"/>
      <c r="CP127" s="45"/>
      <c r="CQ127" s="45"/>
      <c r="CR127" s="45"/>
      <c r="CS127" s="45"/>
      <c r="CT127" s="45"/>
      <c r="CU127" s="45"/>
    </row>
    <row r="128" spans="1:99" ht="12.75" customHeight="1">
      <c r="A128" s="45"/>
      <c r="B128" s="45"/>
      <c r="C128" s="383"/>
      <c r="D128" s="45"/>
      <c r="E128" s="335"/>
      <c r="F128" s="336"/>
      <c r="G128" s="336"/>
      <c r="H128" s="299"/>
      <c r="I128" s="645"/>
      <c r="J128" s="335"/>
      <c r="K128" s="336"/>
      <c r="L128" s="336"/>
      <c r="M128" s="299"/>
      <c r="N128" s="645"/>
      <c r="O128" s="335"/>
      <c r="P128" s="336"/>
      <c r="Q128" s="646"/>
      <c r="R128" s="299"/>
      <c r="S128" s="645"/>
      <c r="T128" s="335"/>
      <c r="U128" s="336"/>
      <c r="V128" s="646"/>
      <c r="W128" s="299"/>
      <c r="X128" s="645"/>
      <c r="Y128" s="648"/>
      <c r="Z128" s="336"/>
      <c r="AA128" s="1435"/>
      <c r="AB128" s="1442"/>
      <c r="AC128" s="1453"/>
      <c r="AD128" s="648"/>
      <c r="AE128" s="336"/>
      <c r="AF128" s="1435"/>
      <c r="AG128" s="1442"/>
      <c r="AH128" s="1453"/>
      <c r="AI128" s="648"/>
      <c r="AJ128" s="336"/>
      <c r="AK128" s="1435"/>
      <c r="AL128" s="1442"/>
      <c r="AM128" s="1453"/>
      <c r="AN128" s="648"/>
      <c r="AO128" s="336"/>
      <c r="AP128" s="1435"/>
      <c r="AQ128" s="1442"/>
      <c r="AR128" s="1453"/>
      <c r="AS128" s="648"/>
      <c r="AT128" s="646"/>
      <c r="AU128" s="646"/>
      <c r="AV128" s="1442"/>
      <c r="AW128" s="1453"/>
      <c r="AX128" s="648"/>
      <c r="AY128" s="646"/>
      <c r="AZ128" s="646"/>
      <c r="BA128" s="586"/>
      <c r="BB128" s="647"/>
      <c r="BC128" s="648"/>
      <c r="BD128" s="646"/>
      <c r="BE128" s="646"/>
      <c r="BF128" s="586"/>
      <c r="BG128" s="647"/>
      <c r="BH128" s="648"/>
      <c r="BI128" s="646"/>
      <c r="BJ128" s="646"/>
      <c r="BK128" s="586"/>
      <c r="BL128" s="647"/>
      <c r="BM128" s="648"/>
      <c r="BN128" s="646"/>
      <c r="BO128" s="646"/>
      <c r="BP128" s="586"/>
      <c r="BQ128" s="647"/>
      <c r="BR128" s="45"/>
      <c r="BS128" s="45"/>
      <c r="BT128" s="45"/>
      <c r="BU128" s="45"/>
      <c r="BV128" s="45"/>
      <c r="BW128" s="45"/>
      <c r="BX128" s="45"/>
      <c r="BY128" s="45"/>
      <c r="BZ128" s="45"/>
      <c r="CA128" s="45"/>
      <c r="CB128" s="45"/>
      <c r="CC128" s="5"/>
      <c r="CD128" s="5"/>
      <c r="CE128" s="45"/>
      <c r="CF128" s="45"/>
      <c r="CG128" s="45"/>
      <c r="CH128" s="45"/>
      <c r="CI128" s="45"/>
      <c r="CJ128" s="45"/>
      <c r="CK128" s="45"/>
      <c r="CL128" s="45"/>
      <c r="CM128" s="45"/>
      <c r="CN128" s="45"/>
      <c r="CO128" s="45"/>
      <c r="CP128" s="45"/>
      <c r="CQ128" s="45"/>
      <c r="CR128" s="45"/>
      <c r="CS128" s="45"/>
      <c r="CT128" s="45"/>
      <c r="CU128" s="45"/>
    </row>
    <row r="129" spans="1:99" s="232" customFormat="1" ht="12.75" customHeight="1">
      <c r="A129" s="45"/>
      <c r="B129" s="45"/>
      <c r="C129" s="383" t="s">
        <v>476</v>
      </c>
      <c r="D129" s="427"/>
      <c r="E129" s="290">
        <f>+F129</f>
        <v>178</v>
      </c>
      <c r="F129" s="260">
        <f>+G129</f>
        <v>178</v>
      </c>
      <c r="G129" s="260">
        <f>+H129</f>
        <v>178</v>
      </c>
      <c r="H129" s="291">
        <f>I129</f>
        <v>178</v>
      </c>
      <c r="I129" s="645">
        <v>178</v>
      </c>
      <c r="J129" s="290">
        <f>+K129</f>
        <v>207</v>
      </c>
      <c r="K129" s="260">
        <f>+L129</f>
        <v>207</v>
      </c>
      <c r="L129" s="260">
        <f>+M129</f>
        <v>207</v>
      </c>
      <c r="M129" s="291">
        <f>N129</f>
        <v>207</v>
      </c>
      <c r="N129" s="645">
        <v>207</v>
      </c>
      <c r="O129" s="290">
        <f>+P129</f>
        <v>187</v>
      </c>
      <c r="P129" s="260">
        <f>+Q129</f>
        <v>187</v>
      </c>
      <c r="Q129" s="260">
        <f>+R129</f>
        <v>187</v>
      </c>
      <c r="R129" s="291">
        <f>S129</f>
        <v>187</v>
      </c>
      <c r="S129" s="645">
        <v>187</v>
      </c>
      <c r="T129" s="290">
        <f>U129</f>
        <v>294</v>
      </c>
      <c r="U129" s="260">
        <f>V129</f>
        <v>294</v>
      </c>
      <c r="V129" s="260">
        <f>W129</f>
        <v>294</v>
      </c>
      <c r="W129" s="291">
        <f>X129</f>
        <v>294</v>
      </c>
      <c r="X129" s="645">
        <v>294</v>
      </c>
      <c r="Y129" s="648">
        <f>+X129</f>
        <v>294</v>
      </c>
      <c r="Z129" s="260">
        <f>+Y129</f>
        <v>294</v>
      </c>
      <c r="AA129" s="1441">
        <f>+Z129</f>
        <v>294</v>
      </c>
      <c r="AB129" s="1442">
        <f>AC129</f>
        <v>456</v>
      </c>
      <c r="AC129" s="1453">
        <v>456</v>
      </c>
      <c r="AD129" s="648">
        <f>+AH129</f>
        <v>276</v>
      </c>
      <c r="AE129" s="260">
        <f>+AD129</f>
        <v>276</v>
      </c>
      <c r="AF129" s="1441">
        <f>+AE129</f>
        <v>276</v>
      </c>
      <c r="AG129" s="1442">
        <f>AH129</f>
        <v>276</v>
      </c>
      <c r="AH129" s="1453">
        <v>276</v>
      </c>
      <c r="AI129" s="648">
        <f>+AM129</f>
        <v>572</v>
      </c>
      <c r="AJ129" s="260">
        <f>+AI129</f>
        <v>572</v>
      </c>
      <c r="AK129" s="1441">
        <f>+AJ129</f>
        <v>572</v>
      </c>
      <c r="AL129" s="1442">
        <f>+AK129</f>
        <v>572</v>
      </c>
      <c r="AM129" s="1453">
        <v>572</v>
      </c>
      <c r="AN129" s="648">
        <f>AR129</f>
        <v>569</v>
      </c>
      <c r="AO129" s="260">
        <f>+AN129</f>
        <v>569</v>
      </c>
      <c r="AP129" s="1441">
        <f>+AO129</f>
        <v>569</v>
      </c>
      <c r="AQ129" s="1442">
        <f>+AP129</f>
        <v>569</v>
      </c>
      <c r="AR129" s="1453">
        <v>569</v>
      </c>
      <c r="AS129" s="648">
        <f>+AW129</f>
        <v>517</v>
      </c>
      <c r="AT129" s="260">
        <f>+AS129</f>
        <v>517</v>
      </c>
      <c r="AU129" s="260">
        <f>+AT129</f>
        <v>517</v>
      </c>
      <c r="AV129" s="1442">
        <f>+AU129</f>
        <v>517</v>
      </c>
      <c r="AW129" s="1453">
        <v>517</v>
      </c>
      <c r="AX129" s="648">
        <f>AX136*BB141</f>
        <v>488.27777777777777</v>
      </c>
      <c r="AY129" s="649">
        <f>AY136*BB141</f>
        <v>488.27777777777777</v>
      </c>
      <c r="AZ129" s="649">
        <f>AZ136*BB141</f>
        <v>488.27777777777777</v>
      </c>
      <c r="BA129" s="586">
        <f>+BA136*BB141</f>
        <v>488.27777777777777</v>
      </c>
      <c r="BB129" s="590">
        <f>BA129</f>
        <v>488.27777777777777</v>
      </c>
      <c r="BC129" s="648">
        <f>BC136*BG141</f>
        <v>396.36666666666667</v>
      </c>
      <c r="BD129" s="649">
        <f>BD136*BG141</f>
        <v>396.36666666666667</v>
      </c>
      <c r="BE129" s="649">
        <f>BE136*BG141</f>
        <v>396.36666666666667</v>
      </c>
      <c r="BF129" s="586">
        <f>+BF136*BG141</f>
        <v>396.36666666666667</v>
      </c>
      <c r="BG129" s="590">
        <f>BF129</f>
        <v>396.36666666666667</v>
      </c>
      <c r="BH129" s="648">
        <f>BH136*BL141</f>
        <v>425.0888888888889</v>
      </c>
      <c r="BI129" s="649">
        <f>BI136*BL141</f>
        <v>425.0888888888889</v>
      </c>
      <c r="BJ129" s="649">
        <f>BJ136*BL141</f>
        <v>425.0888888888889</v>
      </c>
      <c r="BK129" s="586">
        <f>+BK136*BL141</f>
        <v>425.0888888888889</v>
      </c>
      <c r="BL129" s="590">
        <f>BK129</f>
        <v>425.0888888888889</v>
      </c>
      <c r="BM129" s="648">
        <f>BM136*BQ141</f>
        <v>425.0888888888889</v>
      </c>
      <c r="BN129" s="649">
        <f>BN136*BQ141</f>
        <v>425.0888888888889</v>
      </c>
      <c r="BO129" s="649">
        <f>BO136*BQ141</f>
        <v>425.0888888888889</v>
      </c>
      <c r="BP129" s="586">
        <f>+BP136*BQ141</f>
        <v>425.0888888888889</v>
      </c>
      <c r="BQ129" s="590">
        <f>BP129</f>
        <v>425.0888888888889</v>
      </c>
      <c r="BR129" s="45"/>
      <c r="BS129" s="45"/>
      <c r="BT129" s="45"/>
      <c r="BU129" s="45"/>
      <c r="BV129" s="45"/>
      <c r="BW129" s="45"/>
      <c r="BX129" s="45"/>
      <c r="BY129" s="45"/>
      <c r="BZ129" s="45"/>
      <c r="CA129" s="45"/>
      <c r="CB129" s="45"/>
      <c r="CC129" s="5"/>
      <c r="CD129" s="5"/>
      <c r="CE129" s="45"/>
      <c r="CF129" s="45"/>
      <c r="CG129" s="45"/>
      <c r="CH129" s="45"/>
      <c r="CI129" s="45"/>
      <c r="CJ129" s="45"/>
      <c r="CK129" s="45"/>
      <c r="CL129" s="45"/>
      <c r="CM129" s="45"/>
      <c r="CN129" s="45"/>
      <c r="CO129" s="45"/>
      <c r="CP129" s="45"/>
      <c r="CQ129" s="45"/>
      <c r="CR129" s="45"/>
      <c r="CS129" s="45"/>
      <c r="CT129" s="45"/>
      <c r="CU129" s="45"/>
    </row>
    <row r="130" spans="1:99" ht="12.75" customHeight="1">
      <c r="A130" s="228"/>
      <c r="B130" s="228"/>
      <c r="C130" s="641"/>
      <c r="D130" s="228"/>
      <c r="E130" s="585"/>
      <c r="F130" s="343"/>
      <c r="G130" s="343"/>
      <c r="H130" s="293"/>
      <c r="I130" s="650"/>
      <c r="J130" s="585"/>
      <c r="K130" s="343"/>
      <c r="L130" s="343"/>
      <c r="M130" s="293"/>
      <c r="N130" s="650"/>
      <c r="O130" s="585"/>
      <c r="P130" s="343"/>
      <c r="Q130" s="581"/>
      <c r="R130" s="582"/>
      <c r="S130" s="583"/>
      <c r="T130" s="585"/>
      <c r="U130" s="343"/>
      <c r="V130" s="581"/>
      <c r="W130" s="582"/>
      <c r="X130" s="583"/>
      <c r="Y130" s="580"/>
      <c r="Z130" s="343"/>
      <c r="AA130" s="1462"/>
      <c r="AB130" s="1463"/>
      <c r="AC130" s="1464"/>
      <c r="AD130" s="580"/>
      <c r="AE130" s="343"/>
      <c r="AF130" s="1462"/>
      <c r="AG130" s="1463"/>
      <c r="AH130" s="1464"/>
      <c r="AI130" s="580"/>
      <c r="AJ130" s="343"/>
      <c r="AK130" s="1462"/>
      <c r="AL130" s="1463"/>
      <c r="AM130" s="1464"/>
      <c r="AN130" s="580"/>
      <c r="AO130" s="343"/>
      <c r="AP130" s="1462"/>
      <c r="AQ130" s="1463"/>
      <c r="AR130" s="1464"/>
      <c r="AS130" s="580"/>
      <c r="AT130" s="343"/>
      <c r="AU130" s="581"/>
      <c r="AV130" s="1463"/>
      <c r="AW130" s="1464"/>
      <c r="AX130" s="580"/>
      <c r="AY130" s="581"/>
      <c r="AZ130" s="581"/>
      <c r="BA130" s="582"/>
      <c r="BB130" s="583"/>
      <c r="BC130" s="580"/>
      <c r="BD130" s="581"/>
      <c r="BE130" s="581"/>
      <c r="BF130" s="582"/>
      <c r="BG130" s="583"/>
      <c r="BH130" s="580"/>
      <c r="BI130" s="581"/>
      <c r="BJ130" s="581"/>
      <c r="BK130" s="582"/>
      <c r="BL130" s="583"/>
      <c r="BM130" s="580"/>
      <c r="BN130" s="581"/>
      <c r="BO130" s="581"/>
      <c r="BP130" s="582"/>
      <c r="BQ130" s="583"/>
      <c r="BR130" s="228"/>
      <c r="BS130" s="228"/>
      <c r="BT130" s="228"/>
      <c r="BU130" s="228"/>
      <c r="BV130" s="228"/>
      <c r="BW130" s="228"/>
      <c r="BX130" s="228"/>
      <c r="BY130" s="228"/>
      <c r="BZ130" s="228"/>
      <c r="CA130" s="228"/>
      <c r="CB130" s="228"/>
      <c r="CC130" s="5"/>
      <c r="CD130" s="5"/>
      <c r="CE130" s="228"/>
      <c r="CF130" s="228"/>
      <c r="CG130" s="228"/>
      <c r="CH130" s="228"/>
      <c r="CI130" s="228"/>
      <c r="CJ130" s="228"/>
      <c r="CK130" s="228"/>
      <c r="CL130" s="228"/>
      <c r="CM130" s="228"/>
      <c r="CN130" s="228"/>
      <c r="CO130" s="228"/>
      <c r="CP130" s="228"/>
      <c r="CQ130" s="228"/>
      <c r="CR130" s="228"/>
      <c r="CS130" s="228"/>
      <c r="CT130" s="228"/>
      <c r="CU130" s="228"/>
    </row>
    <row r="131" spans="1:99" ht="12.75" customHeight="1">
      <c r="A131" s="228"/>
      <c r="B131" s="228"/>
      <c r="C131" s="641" t="s">
        <v>143</v>
      </c>
      <c r="D131" s="228"/>
      <c r="E131" s="292">
        <f t="shared" ref="E131:Q131" si="347">E164</f>
        <v>123</v>
      </c>
      <c r="F131" s="261">
        <f t="shared" si="347"/>
        <v>123</v>
      </c>
      <c r="G131" s="261">
        <f t="shared" si="347"/>
        <v>126</v>
      </c>
      <c r="H131" s="293">
        <f t="shared" si="347"/>
        <v>123</v>
      </c>
      <c r="I131" s="520">
        <f t="shared" si="347"/>
        <v>495</v>
      </c>
      <c r="J131" s="292">
        <f t="shared" si="347"/>
        <v>130</v>
      </c>
      <c r="K131" s="261">
        <f t="shared" si="347"/>
        <v>131</v>
      </c>
      <c r="L131" s="261">
        <f t="shared" si="347"/>
        <v>126</v>
      </c>
      <c r="M131" s="293">
        <f t="shared" si="347"/>
        <v>130</v>
      </c>
      <c r="N131" s="520">
        <f t="shared" si="347"/>
        <v>517</v>
      </c>
      <c r="O131" s="292">
        <f t="shared" si="347"/>
        <v>134</v>
      </c>
      <c r="P131" s="261">
        <f t="shared" si="347"/>
        <v>136</v>
      </c>
      <c r="Q131" s="581">
        <f t="shared" si="347"/>
        <v>135</v>
      </c>
      <c r="R131" s="293">
        <f t="shared" ref="R131:X131" si="348">R164</f>
        <v>137</v>
      </c>
      <c r="S131" s="520">
        <f t="shared" si="348"/>
        <v>542</v>
      </c>
      <c r="T131" s="292">
        <f t="shared" si="348"/>
        <v>149</v>
      </c>
      <c r="U131" s="261">
        <f t="shared" si="348"/>
        <v>151</v>
      </c>
      <c r="V131" s="581">
        <f t="shared" si="348"/>
        <v>158</v>
      </c>
      <c r="W131" s="293">
        <f t="shared" si="348"/>
        <v>152</v>
      </c>
      <c r="X131" s="520">
        <f t="shared" si="348"/>
        <v>610</v>
      </c>
      <c r="Y131" s="292">
        <f t="shared" ref="Y131:AD131" si="349">Y164</f>
        <v>167</v>
      </c>
      <c r="Z131" s="261">
        <f t="shared" si="349"/>
        <v>170</v>
      </c>
      <c r="AA131" s="1438">
        <f t="shared" si="349"/>
        <v>164</v>
      </c>
      <c r="AB131" s="1439">
        <f t="shared" si="349"/>
        <v>168</v>
      </c>
      <c r="AC131" s="1465">
        <f t="shared" si="349"/>
        <v>669</v>
      </c>
      <c r="AD131" s="292">
        <f t="shared" si="349"/>
        <v>173</v>
      </c>
      <c r="AE131" s="261">
        <f>AE164</f>
        <v>174</v>
      </c>
      <c r="AF131" s="1438">
        <f t="shared" ref="AF131:AI131" si="350">AF164</f>
        <v>174</v>
      </c>
      <c r="AG131" s="1439">
        <f t="shared" si="350"/>
        <v>166</v>
      </c>
      <c r="AH131" s="1465">
        <f t="shared" si="350"/>
        <v>687</v>
      </c>
      <c r="AI131" s="292">
        <f t="shared" si="350"/>
        <v>175</v>
      </c>
      <c r="AJ131" s="261">
        <f>AJ164</f>
        <v>177</v>
      </c>
      <c r="AK131" s="1438">
        <f t="shared" ref="AK131:AN131" si="351">AK164</f>
        <v>176</v>
      </c>
      <c r="AL131" s="1439">
        <f t="shared" si="351"/>
        <v>179</v>
      </c>
      <c r="AM131" s="1465">
        <f t="shared" si="351"/>
        <v>707</v>
      </c>
      <c r="AN131" s="292">
        <f t="shared" si="351"/>
        <v>189</v>
      </c>
      <c r="AO131" s="261">
        <f>AO164</f>
        <v>190</v>
      </c>
      <c r="AP131" s="1438">
        <f t="shared" ref="AP131:AS131" si="352">AP164</f>
        <v>195</v>
      </c>
      <c r="AQ131" s="1439">
        <f t="shared" si="352"/>
        <v>201</v>
      </c>
      <c r="AR131" s="1465">
        <f t="shared" si="352"/>
        <v>775</v>
      </c>
      <c r="AS131" s="292">
        <f t="shared" si="352"/>
        <v>208</v>
      </c>
      <c r="AT131" s="261">
        <f>AT164</f>
        <v>211</v>
      </c>
      <c r="AU131" s="261">
        <f>AU164</f>
        <v>212</v>
      </c>
      <c r="AV131" s="1439">
        <f t="shared" ref="AV131:AW131" si="353">AV164</f>
        <v>219</v>
      </c>
      <c r="AW131" s="1465">
        <f t="shared" si="353"/>
        <v>850</v>
      </c>
      <c r="AX131" s="580">
        <f t="shared" ref="AX131:BB131" si="354">+AX133+AX132</f>
        <v>199.82957894211077</v>
      </c>
      <c r="AY131" s="581">
        <f t="shared" si="354"/>
        <v>203.39125135455083</v>
      </c>
      <c r="AZ131" s="581">
        <f t="shared" si="354"/>
        <v>206.63364844919141</v>
      </c>
      <c r="BA131" s="582">
        <f t="shared" si="354"/>
        <v>209.84397948196002</v>
      </c>
      <c r="BB131" s="583">
        <f t="shared" si="354"/>
        <v>819.69845822781292</v>
      </c>
      <c r="BC131" s="580">
        <f t="shared" ref="BC131:BL131" si="355">+BC133+BC132</f>
        <v>213.02256157389206</v>
      </c>
      <c r="BD131" s="581">
        <f t="shared" si="355"/>
        <v>216.08971270562222</v>
      </c>
      <c r="BE131" s="581">
        <f t="shared" si="355"/>
        <v>218.21756530460766</v>
      </c>
      <c r="BF131" s="582">
        <f t="shared" si="355"/>
        <v>220.32437425869023</v>
      </c>
      <c r="BG131" s="583">
        <f t="shared" si="355"/>
        <v>867.65421384281217</v>
      </c>
      <c r="BH131" s="580">
        <f t="shared" si="355"/>
        <v>222.41034768143533</v>
      </c>
      <c r="BI131" s="581">
        <f t="shared" si="355"/>
        <v>224.50069037955609</v>
      </c>
      <c r="BJ131" s="581">
        <f t="shared" si="355"/>
        <v>226.85441213695324</v>
      </c>
      <c r="BK131" s="582">
        <f t="shared" si="355"/>
        <v>229.18485649022642</v>
      </c>
      <c r="BL131" s="583">
        <f t="shared" si="355"/>
        <v>902.95030668817117</v>
      </c>
      <c r="BM131" s="580">
        <f t="shared" ref="BM131:BQ131" si="356">+BM133+BM132</f>
        <v>231.49225364396179</v>
      </c>
      <c r="BN131" s="581">
        <f t="shared" si="356"/>
        <v>233.7768315261103</v>
      </c>
      <c r="BO131" s="581">
        <f t="shared" si="356"/>
        <v>236.03881581050319</v>
      </c>
      <c r="BP131" s="582">
        <f t="shared" si="356"/>
        <v>238.27842993914413</v>
      </c>
      <c r="BQ131" s="583">
        <f t="shared" si="356"/>
        <v>939.58633091971956</v>
      </c>
      <c r="BR131" s="228"/>
      <c r="BS131" s="228"/>
      <c r="BT131" s="228"/>
      <c r="BU131" s="228"/>
      <c r="BV131" s="228"/>
      <c r="BW131" s="228"/>
      <c r="BX131" s="228"/>
      <c r="BY131" s="228"/>
      <c r="BZ131" s="228"/>
      <c r="CA131" s="228"/>
      <c r="CB131" s="228"/>
      <c r="CC131" s="5"/>
      <c r="CD131" s="5"/>
      <c r="CE131" s="228"/>
      <c r="CF131" s="228"/>
      <c r="CG131" s="228"/>
      <c r="CH131" s="228"/>
      <c r="CI131" s="228"/>
      <c r="CJ131" s="228"/>
      <c r="CK131" s="228"/>
      <c r="CL131" s="228"/>
      <c r="CM131" s="228"/>
      <c r="CN131" s="228"/>
      <c r="CO131" s="228"/>
      <c r="CP131" s="228"/>
      <c r="CQ131" s="228"/>
      <c r="CR131" s="228"/>
      <c r="CS131" s="228"/>
      <c r="CT131" s="228"/>
      <c r="CU131" s="228"/>
    </row>
    <row r="132" spans="1:99" s="232" customFormat="1" ht="12.75" customHeight="1">
      <c r="A132" s="45"/>
      <c r="B132" s="45"/>
      <c r="C132" s="383" t="s">
        <v>711</v>
      </c>
      <c r="D132" s="647"/>
      <c r="E132" s="306">
        <v>0</v>
      </c>
      <c r="F132" s="266">
        <v>0</v>
      </c>
      <c r="G132" s="266">
        <v>0</v>
      </c>
      <c r="H132" s="307">
        <v>0</v>
      </c>
      <c r="I132" s="647">
        <f>SUM(E132:H132)</f>
        <v>0</v>
      </c>
      <c r="J132" s="306">
        <v>0</v>
      </c>
      <c r="K132" s="266">
        <v>0</v>
      </c>
      <c r="L132" s="266">
        <v>0</v>
      </c>
      <c r="M132" s="307">
        <v>0</v>
      </c>
      <c r="N132" s="647">
        <f>SUM(J132:M132)</f>
        <v>0</v>
      </c>
      <c r="O132" s="306">
        <v>0</v>
      </c>
      <c r="P132" s="266">
        <v>0</v>
      </c>
      <c r="Q132" s="266">
        <v>0</v>
      </c>
      <c r="R132" s="307">
        <v>0</v>
      </c>
      <c r="S132" s="647">
        <f>SUM(O132:R132)</f>
        <v>0</v>
      </c>
      <c r="T132" s="306">
        <v>0</v>
      </c>
      <c r="U132" s="266">
        <v>0</v>
      </c>
      <c r="V132" s="266">
        <v>0</v>
      </c>
      <c r="W132" s="307">
        <v>0</v>
      </c>
      <c r="X132" s="647">
        <f>SUM(T132:W132)</f>
        <v>0</v>
      </c>
      <c r="Y132" s="306">
        <v>0</v>
      </c>
      <c r="Z132" s="266">
        <v>0</v>
      </c>
      <c r="AA132" s="1444">
        <v>0</v>
      </c>
      <c r="AB132" s="1445">
        <v>0</v>
      </c>
      <c r="AC132" s="1466">
        <f>SUM(Y132:AB132)</f>
        <v>0</v>
      </c>
      <c r="AD132" s="306">
        <v>0</v>
      </c>
      <c r="AE132" s="266">
        <v>0</v>
      </c>
      <c r="AF132" s="1444">
        <v>0</v>
      </c>
      <c r="AG132" s="1445">
        <v>0</v>
      </c>
      <c r="AH132" s="1466">
        <f>SUM(AD132:AG132)</f>
        <v>0</v>
      </c>
      <c r="AI132" s="306">
        <v>21</v>
      </c>
      <c r="AJ132" s="266">
        <f>40-AI132</f>
        <v>19</v>
      </c>
      <c r="AK132" s="1444">
        <f>57-AI132-AJ132</f>
        <v>17</v>
      </c>
      <c r="AL132" s="2113">
        <f>+AM132-AI132-AJ132-AK132</f>
        <v>15</v>
      </c>
      <c r="AM132" s="2111">
        <v>72</v>
      </c>
      <c r="AN132" s="306">
        <v>19</v>
      </c>
      <c r="AO132" s="266">
        <f>34-AN132</f>
        <v>15</v>
      </c>
      <c r="AP132" s="1444">
        <f>49-AN132-AO132</f>
        <v>15</v>
      </c>
      <c r="AQ132" s="2113">
        <f>+AR132-AN132-AO132-AP132</f>
        <v>18</v>
      </c>
      <c r="AR132" s="2111">
        <v>67</v>
      </c>
      <c r="AS132" s="306">
        <v>18</v>
      </c>
      <c r="AT132" s="266">
        <f>35-AS132</f>
        <v>17</v>
      </c>
      <c r="AU132" s="266">
        <f>52-AT132-AS132</f>
        <v>17</v>
      </c>
      <c r="AV132" s="2113">
        <f>+AW132-AS132-AT132-AU132</f>
        <v>21</v>
      </c>
      <c r="AW132" s="2111">
        <v>73</v>
      </c>
      <c r="AX132" s="306">
        <v>0</v>
      </c>
      <c r="AY132" s="266">
        <v>0</v>
      </c>
      <c r="AZ132" s="266">
        <v>0</v>
      </c>
      <c r="BA132" s="307">
        <v>0</v>
      </c>
      <c r="BB132" s="647">
        <f>SUM(AX132:BA132)</f>
        <v>0</v>
      </c>
      <c r="BC132" s="306">
        <v>0</v>
      </c>
      <c r="BD132" s="266">
        <v>0</v>
      </c>
      <c r="BE132" s="266">
        <v>0</v>
      </c>
      <c r="BF132" s="307">
        <v>0</v>
      </c>
      <c r="BG132" s="647">
        <f>SUM(BC132:BF132)</f>
        <v>0</v>
      </c>
      <c r="BH132" s="306">
        <v>0</v>
      </c>
      <c r="BI132" s="266">
        <v>0</v>
      </c>
      <c r="BJ132" s="266">
        <v>0</v>
      </c>
      <c r="BK132" s="307">
        <v>0</v>
      </c>
      <c r="BL132" s="647">
        <f>SUM(BH132:BK132)</f>
        <v>0</v>
      </c>
      <c r="BM132" s="306">
        <v>0</v>
      </c>
      <c r="BN132" s="266">
        <v>0</v>
      </c>
      <c r="BO132" s="266">
        <v>0</v>
      </c>
      <c r="BP132" s="307">
        <v>0</v>
      </c>
      <c r="BQ132" s="647">
        <f>SUM(BM132:BP132)</f>
        <v>0</v>
      </c>
      <c r="BR132" s="228"/>
      <c r="BS132" s="45"/>
      <c r="BT132" s="45"/>
      <c r="BU132" s="45"/>
      <c r="BV132" s="45"/>
      <c r="BW132" s="45"/>
      <c r="BX132" s="45"/>
      <c r="BY132" s="45"/>
      <c r="BZ132" s="45"/>
      <c r="CA132" s="45"/>
      <c r="CB132" s="45"/>
      <c r="CC132" s="5"/>
      <c r="CD132" s="5"/>
      <c r="CE132" s="45"/>
      <c r="CF132" s="45"/>
      <c r="CG132" s="45"/>
      <c r="CH132" s="45"/>
      <c r="CI132" s="45"/>
      <c r="CJ132" s="45"/>
      <c r="CK132" s="45"/>
      <c r="CL132" s="45"/>
      <c r="CM132" s="45"/>
      <c r="CN132" s="45"/>
      <c r="CO132" s="45"/>
      <c r="CP132" s="45"/>
      <c r="CQ132" s="45"/>
      <c r="CR132" s="45"/>
      <c r="CS132" s="45"/>
      <c r="CT132" s="45"/>
      <c r="CU132" s="45"/>
    </row>
    <row r="133" spans="1:99" ht="12.75" customHeight="1">
      <c r="A133" s="228"/>
      <c r="B133" s="228"/>
      <c r="C133" s="32" t="s">
        <v>144</v>
      </c>
      <c r="D133" s="228"/>
      <c r="E133" s="292">
        <f>+E131-E132</f>
        <v>123</v>
      </c>
      <c r="F133" s="261">
        <f t="shared" ref="F133:S133" si="357">+F131-F132</f>
        <v>123</v>
      </c>
      <c r="G133" s="261">
        <f t="shared" si="357"/>
        <v>126</v>
      </c>
      <c r="H133" s="293">
        <f t="shared" si="357"/>
        <v>123</v>
      </c>
      <c r="I133" s="228">
        <f t="shared" si="357"/>
        <v>495</v>
      </c>
      <c r="J133" s="292">
        <f t="shared" si="357"/>
        <v>130</v>
      </c>
      <c r="K133" s="261">
        <f t="shared" si="357"/>
        <v>131</v>
      </c>
      <c r="L133" s="261">
        <f t="shared" si="357"/>
        <v>126</v>
      </c>
      <c r="M133" s="293">
        <f t="shared" si="357"/>
        <v>130</v>
      </c>
      <c r="N133" s="228">
        <f t="shared" si="357"/>
        <v>517</v>
      </c>
      <c r="O133" s="292">
        <f t="shared" si="357"/>
        <v>134</v>
      </c>
      <c r="P133" s="261">
        <f t="shared" si="357"/>
        <v>136</v>
      </c>
      <c r="Q133" s="261">
        <f t="shared" si="357"/>
        <v>135</v>
      </c>
      <c r="R133" s="293">
        <f t="shared" si="357"/>
        <v>137</v>
      </c>
      <c r="S133" s="228">
        <f t="shared" si="357"/>
        <v>542</v>
      </c>
      <c r="T133" s="292">
        <f t="shared" ref="T133:AA133" si="358">+T131-T132</f>
        <v>149</v>
      </c>
      <c r="U133" s="261">
        <f t="shared" si="358"/>
        <v>151</v>
      </c>
      <c r="V133" s="261">
        <f t="shared" si="358"/>
        <v>158</v>
      </c>
      <c r="W133" s="293">
        <f t="shared" si="358"/>
        <v>152</v>
      </c>
      <c r="X133" s="228">
        <f t="shared" si="358"/>
        <v>610</v>
      </c>
      <c r="Y133" s="292">
        <f t="shared" si="358"/>
        <v>167</v>
      </c>
      <c r="Z133" s="261">
        <f t="shared" si="358"/>
        <v>170</v>
      </c>
      <c r="AA133" s="1438">
        <f t="shared" si="358"/>
        <v>164</v>
      </c>
      <c r="AB133" s="1439">
        <f>+AB131-AB132</f>
        <v>168</v>
      </c>
      <c r="AC133" s="1440">
        <f>+AC131-AC132</f>
        <v>669</v>
      </c>
      <c r="AD133" s="292">
        <f>+AD131-AD132</f>
        <v>173</v>
      </c>
      <c r="AE133" s="261">
        <f>+AE131-AE132</f>
        <v>174</v>
      </c>
      <c r="AF133" s="1438">
        <f t="shared" ref="AF133" si="359">+AF131-AF132</f>
        <v>174</v>
      </c>
      <c r="AG133" s="1439">
        <f>+AG131-AG132</f>
        <v>166</v>
      </c>
      <c r="AH133" s="1440">
        <f>+AH131-AH132</f>
        <v>687</v>
      </c>
      <c r="AI133" s="292">
        <f>+AI131-AI132</f>
        <v>154</v>
      </c>
      <c r="AJ133" s="261">
        <f>+AJ131-AJ132</f>
        <v>158</v>
      </c>
      <c r="AK133" s="1438">
        <f t="shared" ref="AK133" si="360">+AK131-AK132</f>
        <v>159</v>
      </c>
      <c r="AL133" s="1439">
        <f>+AL131-AL132</f>
        <v>164</v>
      </c>
      <c r="AM133" s="1440">
        <f>+AM131-AM132</f>
        <v>635</v>
      </c>
      <c r="AN133" s="292">
        <f>+AN131-AN132</f>
        <v>170</v>
      </c>
      <c r="AO133" s="261">
        <f>+AO131-AO132</f>
        <v>175</v>
      </c>
      <c r="AP133" s="1438">
        <f t="shared" ref="AP133" si="361">+AP131-AP132</f>
        <v>180</v>
      </c>
      <c r="AQ133" s="1439">
        <f t="shared" ref="AQ133:AW133" si="362">+AQ131-AQ132</f>
        <v>183</v>
      </c>
      <c r="AR133" s="1440">
        <f t="shared" si="362"/>
        <v>708</v>
      </c>
      <c r="AS133" s="292">
        <f t="shared" si="362"/>
        <v>190</v>
      </c>
      <c r="AT133" s="261">
        <f t="shared" si="362"/>
        <v>194</v>
      </c>
      <c r="AU133" s="261">
        <f t="shared" si="362"/>
        <v>195</v>
      </c>
      <c r="AV133" s="1439">
        <f t="shared" si="362"/>
        <v>198</v>
      </c>
      <c r="AW133" s="1440">
        <f t="shared" si="362"/>
        <v>777</v>
      </c>
      <c r="AX133" s="292">
        <f>(AX135*AW127)/4</f>
        <v>199.82957894211077</v>
      </c>
      <c r="AY133" s="261">
        <f>(AY135*AX127)/4</f>
        <v>203.39125135455083</v>
      </c>
      <c r="AZ133" s="261">
        <f>(AZ135*AY127)/4</f>
        <v>206.63364844919141</v>
      </c>
      <c r="BA133" s="293">
        <f>(BA135*AZ127)/4</f>
        <v>209.84397948196002</v>
      </c>
      <c r="BB133" s="228">
        <f>SUM(AX133:BA133)</f>
        <v>819.69845822781292</v>
      </c>
      <c r="BC133" s="292">
        <f>(BC135*BB127)/4</f>
        <v>213.02256157389206</v>
      </c>
      <c r="BD133" s="261">
        <f>(BD135*BC127)/4</f>
        <v>216.08971270562222</v>
      </c>
      <c r="BE133" s="261">
        <f>(BE135*BD127)/4</f>
        <v>218.21756530460766</v>
      </c>
      <c r="BF133" s="293">
        <f>(BF135*BE127)/4</f>
        <v>220.32437425869023</v>
      </c>
      <c r="BG133" s="228">
        <f>SUM(BC133:BF133)</f>
        <v>867.65421384281217</v>
      </c>
      <c r="BH133" s="292">
        <f>(BH135*BG127)/4</f>
        <v>222.41034768143533</v>
      </c>
      <c r="BI133" s="261">
        <f>(BI135*BH127)/4</f>
        <v>224.50069037955609</v>
      </c>
      <c r="BJ133" s="261">
        <f>(BJ135*BI127)/4</f>
        <v>226.85441213695324</v>
      </c>
      <c r="BK133" s="293">
        <f>(BK135*BJ127)/4</f>
        <v>229.18485649022642</v>
      </c>
      <c r="BL133" s="228">
        <f>SUM(BH133:BK133)</f>
        <v>902.95030668817117</v>
      </c>
      <c r="BM133" s="292">
        <f>(BM135*BL127)/4</f>
        <v>231.49225364396179</v>
      </c>
      <c r="BN133" s="261">
        <f>(BN135*BM127)/4</f>
        <v>233.7768315261103</v>
      </c>
      <c r="BO133" s="261">
        <f>(BO135*BN127)/4</f>
        <v>236.03881581050319</v>
      </c>
      <c r="BP133" s="293">
        <f>(BP135*BO127)/4</f>
        <v>238.27842993914413</v>
      </c>
      <c r="BQ133" s="228">
        <f>SUM(BM133:BP133)</f>
        <v>939.58633091971956</v>
      </c>
      <c r="BR133" s="228"/>
      <c r="BS133" s="228"/>
      <c r="BT133" s="228"/>
      <c r="BU133" s="228"/>
      <c r="BV133" s="228"/>
      <c r="BW133" s="228"/>
      <c r="BX133" s="228"/>
      <c r="BY133" s="228"/>
      <c r="BZ133" s="228"/>
      <c r="CA133" s="228"/>
      <c r="CB133" s="228"/>
      <c r="CC133" s="5"/>
      <c r="CD133" s="5"/>
      <c r="CE133" s="228"/>
      <c r="CF133" s="228"/>
      <c r="CG133" s="228"/>
      <c r="CH133" s="228"/>
      <c r="CI133" s="228"/>
      <c r="CJ133" s="228"/>
      <c r="CK133" s="228"/>
      <c r="CL133" s="228"/>
      <c r="CM133" s="228"/>
      <c r="CN133" s="228"/>
      <c r="CO133" s="228"/>
      <c r="CP133" s="228"/>
      <c r="CQ133" s="228"/>
      <c r="CR133" s="228"/>
      <c r="CS133" s="228"/>
      <c r="CT133" s="228"/>
      <c r="CU133" s="228"/>
    </row>
    <row r="134" spans="1:99" ht="12.75" customHeight="1">
      <c r="A134" s="45"/>
      <c r="B134" s="45"/>
      <c r="C134" s="383"/>
      <c r="D134" s="45"/>
      <c r="E134" s="290"/>
      <c r="F134" s="260"/>
      <c r="G134" s="260"/>
      <c r="H134" s="291"/>
      <c r="I134" s="45"/>
      <c r="J134" s="290"/>
      <c r="K134" s="260"/>
      <c r="L134" s="260"/>
      <c r="M134" s="291"/>
      <c r="N134" s="45"/>
      <c r="O134" s="290"/>
      <c r="P134" s="260"/>
      <c r="Q134" s="260"/>
      <c r="R134" s="291"/>
      <c r="S134" s="45"/>
      <c r="T134" s="290"/>
      <c r="U134" s="260"/>
      <c r="V134" s="260"/>
      <c r="W134" s="291"/>
      <c r="X134" s="45"/>
      <c r="Y134" s="290"/>
      <c r="Z134" s="260"/>
      <c r="AA134" s="1441"/>
      <c r="AB134" s="1442"/>
      <c r="AC134" s="1443"/>
      <c r="AD134" s="290"/>
      <c r="AE134" s="260"/>
      <c r="AF134" s="1441"/>
      <c r="AG134" s="1442"/>
      <c r="AH134" s="1443"/>
      <c r="AI134" s="290"/>
      <c r="AJ134" s="260"/>
      <c r="AK134" s="1441"/>
      <c r="AL134" s="1442"/>
      <c r="AM134" s="1443"/>
      <c r="AN134" s="290"/>
      <c r="AO134" s="260"/>
      <c r="AP134" s="1441"/>
      <c r="AQ134" s="1442"/>
      <c r="AR134" s="1443"/>
      <c r="AS134" s="290"/>
      <c r="AT134" s="260"/>
      <c r="AU134" s="260"/>
      <c r="AV134" s="1442"/>
      <c r="AW134" s="1443"/>
      <c r="AX134" s="290"/>
      <c r="AY134" s="260"/>
      <c r="AZ134" s="260"/>
      <c r="BA134" s="291"/>
      <c r="BB134" s="45"/>
      <c r="BC134" s="290"/>
      <c r="BD134" s="260"/>
      <c r="BE134" s="260"/>
      <c r="BF134" s="291"/>
      <c r="BG134" s="45"/>
      <c r="BH134" s="290"/>
      <c r="BI134" s="260"/>
      <c r="BJ134" s="260"/>
      <c r="BK134" s="291"/>
      <c r="BL134" s="45"/>
      <c r="BM134" s="290"/>
      <c r="BN134" s="260"/>
      <c r="BO134" s="260"/>
      <c r="BP134" s="291"/>
      <c r="BQ134" s="45"/>
      <c r="BR134" s="45"/>
      <c r="BS134" s="45"/>
      <c r="BT134" s="45"/>
      <c r="BU134" s="45"/>
      <c r="BV134" s="45"/>
      <c r="BW134" s="45"/>
      <c r="BX134" s="45"/>
      <c r="BY134" s="45"/>
      <c r="BZ134" s="45"/>
      <c r="CA134" s="45"/>
      <c r="CB134" s="45"/>
      <c r="CC134" s="5"/>
      <c r="CD134" s="5"/>
      <c r="CE134" s="45"/>
      <c r="CF134" s="45"/>
      <c r="CG134" s="45"/>
      <c r="CH134" s="45"/>
      <c r="CI134" s="45"/>
      <c r="CJ134" s="45"/>
      <c r="CK134" s="45"/>
      <c r="CL134" s="45"/>
      <c r="CM134" s="45"/>
      <c r="CN134" s="45"/>
      <c r="CO134" s="45"/>
      <c r="CP134" s="45"/>
      <c r="CQ134" s="45"/>
      <c r="CR134" s="45"/>
      <c r="CS134" s="45"/>
      <c r="CT134" s="45"/>
      <c r="CU134" s="45"/>
    </row>
    <row r="135" spans="1:99" ht="12.75" customHeight="1">
      <c r="A135" s="28"/>
      <c r="B135" s="28"/>
      <c r="C135" s="383" t="s">
        <v>145</v>
      </c>
      <c r="D135" s="28"/>
      <c r="E135" s="284">
        <f>E133/AVERAGE(D127:E127)*4</f>
        <v>4.2391866276064102E-2</v>
      </c>
      <c r="F135" s="241">
        <f>F133/AVERAGE(E127:F127)*4</f>
        <v>4.2219075814133096E-2</v>
      </c>
      <c r="G135" s="241">
        <f>G133/AVERAGE(F127:G127)*4</f>
        <v>4.2948444823178528E-2</v>
      </c>
      <c r="H135" s="285">
        <f>H133/AVERAGE(G127:H127)*4</f>
        <v>4.1490976555911621E-2</v>
      </c>
      <c r="I135" s="25">
        <f>I133/AVERAGE(D127,I127)</f>
        <v>4.1432995731145894E-2</v>
      </c>
      <c r="J135" s="284">
        <f>J133/AVERAGE(I127:J127)*4</f>
        <v>4.3421986555884931E-2</v>
      </c>
      <c r="K135" s="241">
        <f>K133/AVERAGE(J127:K127)*4</f>
        <v>4.3478260869565216E-2</v>
      </c>
      <c r="L135" s="241">
        <f>L133/AVERAGE(K127:L127)*4</f>
        <v>4.1443960200641394E-2</v>
      </c>
      <c r="M135" s="285">
        <f>M133/AVERAGE(L127:M127)*4</f>
        <v>4.2288456064733866E-2</v>
      </c>
      <c r="N135" s="25">
        <f>N133/AVERAGE(I127,N127)</f>
        <v>4.2519944074348219E-2</v>
      </c>
      <c r="O135" s="284">
        <f>O133/AVERAGE(N127:O127)*4</f>
        <v>4.3097209938087966E-2</v>
      </c>
      <c r="P135" s="241">
        <f>P133/AVERAGE(O127:P127)*4</f>
        <v>4.3277645186953061E-2</v>
      </c>
      <c r="Q135" s="241">
        <f>Q133/AVERAGE(P127:Q127)*4</f>
        <v>4.2511316669946862E-2</v>
      </c>
      <c r="R135" s="285">
        <f>R133/AVERAGE(Q127:R127)*4</f>
        <v>4.2642595906933312E-2</v>
      </c>
      <c r="S135" s="25">
        <f>S133/AVERAGE(N127,S127)</f>
        <v>4.2837383916222091E-2</v>
      </c>
      <c r="T135" s="284">
        <f>T133/AVERAGE(S127:T127)*4</f>
        <v>4.601073069054696E-2</v>
      </c>
      <c r="U135" s="241">
        <f>U133/AVERAGE(T127:U127)*4</f>
        <v>4.6271115026621214E-2</v>
      </c>
      <c r="V135" s="241">
        <f>V133/AVERAGE(U127:V127)*4</f>
        <v>4.7786473101206005E-2</v>
      </c>
      <c r="W135" s="285">
        <f>W133/AVERAGE(V127:W127)*4</f>
        <v>4.5290327386494841E-2</v>
      </c>
      <c r="X135" s="25">
        <f>X133/AVERAGE(S127,X127)</f>
        <v>4.609687901458475E-2</v>
      </c>
      <c r="Y135" s="284">
        <f>Y133/AVERAGE(X127:Y127)*4</f>
        <v>4.9013133758896474E-2</v>
      </c>
      <c r="Z135" s="241">
        <f>Z133/AVERAGE(Y127:Z127)*4</f>
        <v>4.915958792698355E-2</v>
      </c>
      <c r="AA135" s="241">
        <f>AA133/AVERAGE(Z127:AA127)*4</f>
        <v>4.6708675994161418E-2</v>
      </c>
      <c r="AB135" s="285">
        <f>AB133/AVERAGE(AA127:AB127)*4</f>
        <v>4.7390691114245417E-2</v>
      </c>
      <c r="AC135" s="25">
        <f>AC133/AVERAGE(X127,AC127)</f>
        <v>4.8230120395068847E-2</v>
      </c>
      <c r="AD135" s="284">
        <f>AD133/AVERAGE(AC127:AD127)*4</f>
        <v>4.8015542603386065E-2</v>
      </c>
      <c r="AE135" s="241">
        <f>AE133/AVERAGE(AD127:AE127)*4</f>
        <v>6.0298895386614683E-2</v>
      </c>
      <c r="AF135" s="241">
        <f>AF133/AVERAGE(AE127:AF127)*4</f>
        <v>5.9023066485753055E-2</v>
      </c>
      <c r="AG135" s="285">
        <f>AG133/AVERAGE(AF127:AG127)*4</f>
        <v>4.3356186745021223E-2</v>
      </c>
      <c r="AH135" s="25">
        <f>AH133/AVERAGE(AC127,AH127)</f>
        <v>4.6220607528509434E-2</v>
      </c>
      <c r="AI135" s="284">
        <f>AI133/AVERAGE(AH127:AI127)*4</f>
        <v>3.9685607524803504E-2</v>
      </c>
      <c r="AJ135" s="241">
        <f>AJ133/AVERAGE(AI127:AJ127)*4</f>
        <v>4.0193335029254644E-2</v>
      </c>
      <c r="AK135" s="241">
        <f>AK133/AVERAGE(AJ127:AK127)*4</f>
        <v>3.9319938176197833E-2</v>
      </c>
      <c r="AL135" s="285">
        <f>AL133/AVERAGE(AK127:AL127)*4</f>
        <v>3.9329716118588688E-2</v>
      </c>
      <c r="AM135" s="25">
        <f>AM133/AVERAGE(AH127,AM127)</f>
        <v>3.9140752611951796E-2</v>
      </c>
      <c r="AN135" s="284">
        <f>AN133/AVERAGE(AM127:AN127)*4</f>
        <v>3.9613188861703369E-2</v>
      </c>
      <c r="AO135" s="241">
        <f>AO133/AVERAGE(AN127:AO127)*4</f>
        <v>3.9717438792589863E-2</v>
      </c>
      <c r="AP135" s="241">
        <f>AP133/AVERAGE(AO127:AP127)*4</f>
        <v>3.9901354983512979E-2</v>
      </c>
      <c r="AQ135" s="285">
        <f>AQ133/AVERAGE(AP127:AQ127)*4</f>
        <v>3.9559014267185472E-2</v>
      </c>
      <c r="AR135" s="25">
        <f>AR133/AVERAGE(AM127,AR127)</f>
        <v>3.9668310174809505E-2</v>
      </c>
      <c r="AS135" s="284">
        <f>AS133/AVERAGE(AR127:AS127)*4</f>
        <v>4.0062201839698476E-2</v>
      </c>
      <c r="AT135" s="241">
        <f>AT133/AVERAGE(AS127:AT127)*4</f>
        <v>4.0127207384233525E-2</v>
      </c>
      <c r="AU135" s="241">
        <f>AU133/AVERAGE(AT127:AU127)*4</f>
        <v>3.9656311962987439E-2</v>
      </c>
      <c r="AV135" s="285">
        <f>AV133/AVERAGE(AU127:AV127)*4</f>
        <v>3.9558463613206134E-2</v>
      </c>
      <c r="AW135" s="25">
        <f>AW133/AVERAGE(AR127,AW127)</f>
        <v>3.9874781894693623E-2</v>
      </c>
      <c r="AX135" s="284">
        <f>+AV135</f>
        <v>3.9558463613206134E-2</v>
      </c>
      <c r="AY135" s="241">
        <f t="shared" ref="AY135:BA136" si="363">+AX135</f>
        <v>3.9558463613206134E-2</v>
      </c>
      <c r="AZ135" s="241">
        <f t="shared" si="363"/>
        <v>3.9558463613206134E-2</v>
      </c>
      <c r="BA135" s="285">
        <f t="shared" si="363"/>
        <v>3.9558463613206134E-2</v>
      </c>
      <c r="BB135" s="25">
        <f>BB133/AVERAGE(AW127,BB127)</f>
        <v>3.9270732123464935E-2</v>
      </c>
      <c r="BC135" s="284">
        <f>+BA135</f>
        <v>3.9558463613206134E-2</v>
      </c>
      <c r="BD135" s="241">
        <f t="shared" ref="BD135:BD136" si="364">+BC135</f>
        <v>3.9558463613206134E-2</v>
      </c>
      <c r="BE135" s="241">
        <f t="shared" ref="BE135:BE136" si="365">+BD135</f>
        <v>3.9558463613206134E-2</v>
      </c>
      <c r="BF135" s="285">
        <f t="shared" ref="BF135:BF136" si="366">+BE135</f>
        <v>3.9558463613206134E-2</v>
      </c>
      <c r="BG135" s="25">
        <f>BG133/AVERAGE(BB127,BG127)</f>
        <v>3.9412578743582789E-2</v>
      </c>
      <c r="BH135" s="284">
        <f>+BF135</f>
        <v>3.9558463613206134E-2</v>
      </c>
      <c r="BI135" s="241">
        <f t="shared" ref="BI135:BI136" si="367">+BH135</f>
        <v>3.9558463613206134E-2</v>
      </c>
      <c r="BJ135" s="241">
        <f t="shared" ref="BJ135:BJ136" si="368">+BI135</f>
        <v>3.9558463613206134E-2</v>
      </c>
      <c r="BK135" s="285">
        <f t="shared" ref="BK135:BK136" si="369">+BJ135</f>
        <v>3.9558463613206134E-2</v>
      </c>
      <c r="BL135" s="25">
        <f>BL133/AVERAGE(BG127,BL127)</f>
        <v>3.934690696567588E-2</v>
      </c>
      <c r="BM135" s="284">
        <f>+BK135</f>
        <v>3.9558463613206134E-2</v>
      </c>
      <c r="BN135" s="241">
        <f t="shared" ref="BN135:BN136" si="370">+BM135</f>
        <v>3.9558463613206134E-2</v>
      </c>
      <c r="BO135" s="241">
        <f t="shared" ref="BO135:BO136" si="371">+BN135</f>
        <v>3.9558463613206134E-2</v>
      </c>
      <c r="BP135" s="285">
        <f t="shared" ref="BP135:BP136" si="372">+BO135</f>
        <v>3.9558463613206134E-2</v>
      </c>
      <c r="BQ135" s="25">
        <f>BQ133/AVERAGE(BL127,BQ127)</f>
        <v>3.9374496773465842E-2</v>
      </c>
      <c r="BR135" s="28"/>
      <c r="BS135" s="28"/>
      <c r="BT135" s="28"/>
      <c r="BU135" s="28"/>
      <c r="BV135" s="28"/>
      <c r="BW135" s="28"/>
      <c r="BX135" s="28"/>
      <c r="BY135" s="28"/>
      <c r="BZ135" s="28"/>
      <c r="CA135" s="28"/>
      <c r="CB135" s="28"/>
      <c r="CC135" s="5"/>
      <c r="CD135" s="5"/>
      <c r="CE135" s="28"/>
      <c r="CF135" s="28"/>
      <c r="CG135" s="28"/>
      <c r="CH135" s="28"/>
      <c r="CI135" s="28"/>
      <c r="CJ135" s="28"/>
      <c r="CK135" s="28"/>
      <c r="CL135" s="28"/>
      <c r="CM135" s="28"/>
      <c r="CN135" s="28"/>
      <c r="CO135" s="28"/>
      <c r="CP135" s="28"/>
      <c r="CQ135" s="28"/>
      <c r="CR135" s="28"/>
      <c r="CS135" s="28"/>
      <c r="CT135" s="28"/>
      <c r="CU135" s="28"/>
    </row>
    <row r="136" spans="1:99" ht="12.75" customHeight="1">
      <c r="A136" s="651"/>
      <c r="B136" s="651"/>
      <c r="C136" s="651" t="s">
        <v>146</v>
      </c>
      <c r="D136" s="651"/>
      <c r="E136" s="303">
        <f>E129/I141</f>
        <v>0.20843091334894615</v>
      </c>
      <c r="F136" s="652">
        <f>F129/I141</f>
        <v>0.20843091334894615</v>
      </c>
      <c r="G136" s="652">
        <f>G129/I141</f>
        <v>0.20843091334894615</v>
      </c>
      <c r="H136" s="304">
        <f>H129/I141</f>
        <v>0.20843091334894615</v>
      </c>
      <c r="I136" s="500">
        <f>I129/I141</f>
        <v>0.20843091334894615</v>
      </c>
      <c r="J136" s="303">
        <f>J129/N141</f>
        <v>0.21517671517671519</v>
      </c>
      <c r="K136" s="652">
        <f>K129/N141</f>
        <v>0.21517671517671519</v>
      </c>
      <c r="L136" s="652">
        <f>L129/N141</f>
        <v>0.21517671517671519</v>
      </c>
      <c r="M136" s="304">
        <f>M129/N141</f>
        <v>0.21517671517671519</v>
      </c>
      <c r="N136" s="500">
        <f>N129/N141</f>
        <v>0.21517671517671519</v>
      </c>
      <c r="O136" s="303">
        <f>O129/S141</f>
        <v>0.18190661478599221</v>
      </c>
      <c r="P136" s="652">
        <f>P129/S141</f>
        <v>0.18190661478599221</v>
      </c>
      <c r="Q136" s="652">
        <f>Q129/S141</f>
        <v>0.18190661478599221</v>
      </c>
      <c r="R136" s="304">
        <f>R129/S141</f>
        <v>0.18190661478599221</v>
      </c>
      <c r="S136" s="500">
        <f>S129/S141</f>
        <v>0.18190661478599221</v>
      </c>
      <c r="T136" s="303">
        <f>T129/X141</f>
        <v>0.23595505617977527</v>
      </c>
      <c r="U136" s="652">
        <f>U129/X141</f>
        <v>0.23595505617977527</v>
      </c>
      <c r="V136" s="652">
        <f>V129/X141</f>
        <v>0.23595505617977527</v>
      </c>
      <c r="W136" s="304">
        <f>W129/X141</f>
        <v>0.23595505617977527</v>
      </c>
      <c r="X136" s="500">
        <f>X129/X141</f>
        <v>0.23595505617977527</v>
      </c>
      <c r="Y136" s="303">
        <f>Y129/AC141</f>
        <v>0.20516399162595952</v>
      </c>
      <c r="Z136" s="652">
        <f>Z129/AC141</f>
        <v>0.20516399162595952</v>
      </c>
      <c r="AA136" s="652">
        <f>AA129/AC141</f>
        <v>0.20516399162595952</v>
      </c>
      <c r="AB136" s="304">
        <f>AB129/AC141</f>
        <v>0.31821353803210051</v>
      </c>
      <c r="AC136" s="500">
        <f>AC129/AC141</f>
        <v>0.31821353803210051</v>
      </c>
      <c r="AD136" s="303">
        <f>AD129/AH141</f>
        <v>0.16341030195381884</v>
      </c>
      <c r="AE136" s="652">
        <f>AE129/AH141</f>
        <v>0.16341030195381884</v>
      </c>
      <c r="AF136" s="652">
        <f>AF129/AH141</f>
        <v>0.16341030195381884</v>
      </c>
      <c r="AG136" s="304">
        <f>AG129/AH141</f>
        <v>0.16341030195381884</v>
      </c>
      <c r="AH136" s="500">
        <f>AH129/AH141</f>
        <v>0.16341030195381884</v>
      </c>
      <c r="AI136" s="303">
        <f>AI129/AM141</f>
        <v>0.23853211009174313</v>
      </c>
      <c r="AJ136" s="652">
        <f>AJ129/AM141</f>
        <v>0.23853211009174313</v>
      </c>
      <c r="AK136" s="652">
        <f>AK129/AM141</f>
        <v>0.23853211009174313</v>
      </c>
      <c r="AL136" s="304">
        <f>AL129/AM141</f>
        <v>0.23853211009174313</v>
      </c>
      <c r="AM136" s="500">
        <f>AM129/AM141</f>
        <v>0.23853211009174313</v>
      </c>
      <c r="AN136" s="303">
        <f>AN129/AR141</f>
        <v>0.2081199707388442</v>
      </c>
      <c r="AO136" s="652">
        <f>AO129/AR141</f>
        <v>0.2081199707388442</v>
      </c>
      <c r="AP136" s="652">
        <f>AP129/AR141</f>
        <v>0.2081199707388442</v>
      </c>
      <c r="AQ136" s="304">
        <f>AQ129/AR141</f>
        <v>0.2081199707388442</v>
      </c>
      <c r="AR136" s="500">
        <f>AR129/AR141</f>
        <v>0.2081199707388442</v>
      </c>
      <c r="AS136" s="303">
        <f>AS129/AW141</f>
        <v>0.22977777777777778</v>
      </c>
      <c r="AT136" s="652">
        <f>AT129/AW141</f>
        <v>0.22977777777777778</v>
      </c>
      <c r="AU136" s="652">
        <f>AU129/AW141</f>
        <v>0.22977777777777778</v>
      </c>
      <c r="AV136" s="304">
        <f>AV129/AW141</f>
        <v>0.22977777777777778</v>
      </c>
      <c r="AW136" s="500">
        <f>AW129/AW141</f>
        <v>0.22977777777777778</v>
      </c>
      <c r="AX136" s="303">
        <f>+AW136</f>
        <v>0.22977777777777778</v>
      </c>
      <c r="AY136" s="652">
        <f t="shared" si="363"/>
        <v>0.22977777777777778</v>
      </c>
      <c r="AZ136" s="652">
        <f t="shared" si="363"/>
        <v>0.22977777777777778</v>
      </c>
      <c r="BA136" s="304">
        <f t="shared" si="363"/>
        <v>0.22977777777777778</v>
      </c>
      <c r="BB136" s="500">
        <f>BB129/BB141</f>
        <v>0.22977777777777778</v>
      </c>
      <c r="BC136" s="303">
        <f>+BB136</f>
        <v>0.22977777777777778</v>
      </c>
      <c r="BD136" s="652">
        <f t="shared" si="364"/>
        <v>0.22977777777777778</v>
      </c>
      <c r="BE136" s="652">
        <f t="shared" si="365"/>
        <v>0.22977777777777778</v>
      </c>
      <c r="BF136" s="304">
        <f t="shared" si="366"/>
        <v>0.22977777777777778</v>
      </c>
      <c r="BG136" s="500">
        <f>BG129/BG141</f>
        <v>0.22977777777777778</v>
      </c>
      <c r="BH136" s="303">
        <f>+BG136</f>
        <v>0.22977777777777778</v>
      </c>
      <c r="BI136" s="652">
        <f t="shared" si="367"/>
        <v>0.22977777777777778</v>
      </c>
      <c r="BJ136" s="652">
        <f t="shared" si="368"/>
        <v>0.22977777777777778</v>
      </c>
      <c r="BK136" s="304">
        <f t="shared" si="369"/>
        <v>0.22977777777777778</v>
      </c>
      <c r="BL136" s="500">
        <f>BL129/BL141</f>
        <v>0.22977777777777778</v>
      </c>
      <c r="BM136" s="303">
        <f>+BL136</f>
        <v>0.22977777777777778</v>
      </c>
      <c r="BN136" s="652">
        <f t="shared" si="370"/>
        <v>0.22977777777777778</v>
      </c>
      <c r="BO136" s="652">
        <f t="shared" si="371"/>
        <v>0.22977777777777778</v>
      </c>
      <c r="BP136" s="304">
        <f t="shared" si="372"/>
        <v>0.22977777777777778</v>
      </c>
      <c r="BQ136" s="500">
        <f>BQ129/BQ141</f>
        <v>0.22977777777777778</v>
      </c>
      <c r="BR136" s="651"/>
      <c r="BS136" s="651"/>
      <c r="BT136" s="651"/>
      <c r="BU136" s="651"/>
      <c r="BV136" s="651"/>
      <c r="BW136" s="651"/>
      <c r="BX136" s="651"/>
      <c r="BY136" s="651"/>
      <c r="BZ136" s="651"/>
      <c r="CA136" s="651"/>
      <c r="CB136" s="651"/>
      <c r="CC136" s="5"/>
      <c r="CD136" s="5"/>
      <c r="CE136" s="651"/>
      <c r="CF136" s="651"/>
      <c r="CG136" s="651"/>
      <c r="CH136" s="651"/>
      <c r="CI136" s="651"/>
      <c r="CJ136" s="651"/>
      <c r="CK136" s="651"/>
      <c r="CL136" s="651"/>
      <c r="CM136" s="651"/>
      <c r="CN136" s="651"/>
      <c r="CO136" s="651"/>
      <c r="CP136" s="651"/>
      <c r="CQ136" s="651"/>
      <c r="CR136" s="651"/>
      <c r="CS136" s="651"/>
      <c r="CT136" s="651"/>
      <c r="CU136" s="651"/>
    </row>
    <row r="137" spans="1:99" ht="12.75" customHeight="1">
      <c r="A137" s="28"/>
      <c r="B137" s="28"/>
      <c r="C137" s="383"/>
      <c r="D137" s="28"/>
      <c r="E137" s="284"/>
      <c r="F137" s="241"/>
      <c r="G137" s="241"/>
      <c r="H137" s="285"/>
      <c r="I137" s="25"/>
      <c r="J137" s="284"/>
      <c r="K137" s="241"/>
      <c r="L137" s="241"/>
      <c r="M137" s="285"/>
      <c r="N137" s="25"/>
      <c r="O137" s="284"/>
      <c r="P137" s="241"/>
      <c r="Q137" s="653"/>
      <c r="R137" s="654"/>
      <c r="S137" s="25"/>
      <c r="T137" s="655"/>
      <c r="U137" s="653"/>
      <c r="V137" s="653"/>
      <c r="W137" s="654"/>
      <c r="X137" s="25"/>
      <c r="Y137" s="655"/>
      <c r="Z137" s="653"/>
      <c r="AA137" s="653"/>
      <c r="AB137" s="654"/>
      <c r="AC137" s="25"/>
      <c r="AD137" s="655"/>
      <c r="AE137" s="653"/>
      <c r="AF137" s="653"/>
      <c r="AG137" s="654"/>
      <c r="AH137" s="25"/>
      <c r="AI137" s="655"/>
      <c r="AJ137" s="653"/>
      <c r="AK137" s="653"/>
      <c r="AL137" s="654"/>
      <c r="AM137" s="25"/>
      <c r="AN137" s="284"/>
      <c r="AO137" s="241"/>
      <c r="AP137" s="653"/>
      <c r="AQ137" s="654"/>
      <c r="AR137" s="25"/>
      <c r="AS137" s="284"/>
      <c r="AT137" s="241"/>
      <c r="AU137" s="653"/>
      <c r="AV137" s="654"/>
      <c r="AW137" s="25"/>
      <c r="AX137" s="284"/>
      <c r="AY137" s="241"/>
      <c r="AZ137" s="653"/>
      <c r="BA137" s="654"/>
      <c r="BB137" s="25"/>
      <c r="BC137" s="284"/>
      <c r="BD137" s="241"/>
      <c r="BE137" s="653"/>
      <c r="BF137" s="654"/>
      <c r="BG137" s="25"/>
      <c r="BH137" s="284"/>
      <c r="BI137" s="241"/>
      <c r="BJ137" s="653"/>
      <c r="BK137" s="654"/>
      <c r="BL137" s="25"/>
      <c r="BM137" s="284"/>
      <c r="BN137" s="241"/>
      <c r="BO137" s="653"/>
      <c r="BP137" s="654"/>
      <c r="BQ137" s="25"/>
      <c r="BR137" s="28"/>
      <c r="BS137" s="28"/>
      <c r="BT137" s="28"/>
      <c r="BU137" s="28"/>
      <c r="BV137" s="28"/>
      <c r="BW137" s="28"/>
      <c r="BX137" s="28"/>
      <c r="BY137" s="28"/>
      <c r="BZ137" s="28"/>
      <c r="CA137" s="28"/>
      <c r="CB137" s="28"/>
      <c r="CC137" s="5"/>
      <c r="CD137" s="5"/>
      <c r="CE137" s="28"/>
      <c r="CF137" s="28"/>
      <c r="CG137" s="28"/>
      <c r="CH137" s="28"/>
      <c r="CI137" s="28"/>
      <c r="CJ137" s="28"/>
      <c r="CK137" s="28"/>
      <c r="CL137" s="28"/>
      <c r="CM137" s="28"/>
      <c r="CN137" s="28"/>
      <c r="CO137" s="28"/>
      <c r="CP137" s="28"/>
      <c r="CQ137" s="28"/>
      <c r="CR137" s="28"/>
      <c r="CS137" s="28"/>
      <c r="CT137" s="28"/>
      <c r="CU137" s="28"/>
    </row>
    <row r="138" spans="1:99" ht="12.75" customHeight="1">
      <c r="A138" s="28"/>
      <c r="B138" s="28"/>
      <c r="C138" s="383" t="s">
        <v>654</v>
      </c>
      <c r="D138" s="28"/>
      <c r="E138" s="284"/>
      <c r="F138" s="241"/>
      <c r="G138" s="241"/>
      <c r="H138" s="285"/>
      <c r="I138" s="427"/>
      <c r="J138" s="284"/>
      <c r="K138" s="241"/>
      <c r="L138" s="241"/>
      <c r="M138" s="285"/>
      <c r="N138" s="427"/>
      <c r="O138" s="284"/>
      <c r="P138" s="241"/>
      <c r="Q138" s="646"/>
      <c r="R138" s="586"/>
      <c r="S138" s="427"/>
      <c r="T138" s="290"/>
      <c r="U138" s="260"/>
      <c r="V138" s="646"/>
      <c r="W138" s="586"/>
      <c r="X138" s="427"/>
      <c r="Y138" s="290"/>
      <c r="Z138" s="260"/>
      <c r="AA138" s="1467"/>
      <c r="AB138" s="1436"/>
      <c r="AC138" s="1437"/>
      <c r="AD138" s="290"/>
      <c r="AE138" s="260"/>
      <c r="AF138" s="1467"/>
      <c r="AG138" s="1436"/>
      <c r="AH138" s="1437"/>
      <c r="AI138" s="290"/>
      <c r="AJ138" s="260"/>
      <c r="AK138" s="1467"/>
      <c r="AL138" s="1436"/>
      <c r="AM138" s="1437"/>
      <c r="AN138" s="290"/>
      <c r="AO138" s="260"/>
      <c r="AP138" s="1467"/>
      <c r="AQ138" s="1436"/>
      <c r="AR138" s="1437"/>
      <c r="AS138" s="300"/>
      <c r="AT138" s="646"/>
      <c r="AU138" s="646"/>
      <c r="AV138" s="1436"/>
      <c r="AW138" s="1437"/>
      <c r="AX138" s="290">
        <f>+BB138/4</f>
        <v>93.75</v>
      </c>
      <c r="AY138" s="260">
        <f>+BB138/4</f>
        <v>93.75</v>
      </c>
      <c r="AZ138" s="646">
        <f>+BB138/4</f>
        <v>93.75</v>
      </c>
      <c r="BA138" s="586">
        <f>+BB138/4</f>
        <v>93.75</v>
      </c>
      <c r="BB138" s="426">
        <v>375</v>
      </c>
      <c r="BC138" s="290">
        <f>+BG138/4</f>
        <v>81.25</v>
      </c>
      <c r="BD138" s="260">
        <f>+BG138/4</f>
        <v>81.25</v>
      </c>
      <c r="BE138" s="646">
        <f>+BG138/4</f>
        <v>81.25</v>
      </c>
      <c r="BF138" s="586">
        <f>+BG138/4</f>
        <v>81.25</v>
      </c>
      <c r="BG138" s="426">
        <v>325</v>
      </c>
      <c r="BH138" s="290">
        <f>+BL138/4</f>
        <v>87.5</v>
      </c>
      <c r="BI138" s="260">
        <f>+BL138/4</f>
        <v>87.5</v>
      </c>
      <c r="BJ138" s="646">
        <f>+BL138/4</f>
        <v>87.5</v>
      </c>
      <c r="BK138" s="586">
        <f>+BL138/4</f>
        <v>87.5</v>
      </c>
      <c r="BL138" s="426">
        <v>350</v>
      </c>
      <c r="BM138" s="290">
        <f>+BQ138/4</f>
        <v>93.75</v>
      </c>
      <c r="BN138" s="260">
        <f>+BQ138/4</f>
        <v>93.75</v>
      </c>
      <c r="BO138" s="646">
        <f>+BQ138/4</f>
        <v>93.75</v>
      </c>
      <c r="BP138" s="586">
        <f>+BQ138/4</f>
        <v>93.75</v>
      </c>
      <c r="BQ138" s="426">
        <v>375</v>
      </c>
      <c r="BR138" s="28"/>
      <c r="BS138" s="28"/>
      <c r="BT138" s="28"/>
      <c r="BU138" s="28"/>
      <c r="BV138" s="28"/>
      <c r="BW138" s="28"/>
      <c r="BX138" s="28"/>
      <c r="BY138" s="28"/>
      <c r="BZ138" s="28"/>
      <c r="CA138" s="28"/>
      <c r="CB138" s="28"/>
      <c r="CC138" s="5"/>
      <c r="CD138" s="5"/>
      <c r="CE138" s="28"/>
      <c r="CF138" s="28"/>
      <c r="CG138" s="28"/>
      <c r="CH138" s="28"/>
      <c r="CI138" s="28"/>
      <c r="CJ138" s="28"/>
      <c r="CK138" s="28"/>
      <c r="CL138" s="28"/>
      <c r="CM138" s="28"/>
      <c r="CN138" s="28"/>
      <c r="CO138" s="28"/>
      <c r="CP138" s="28"/>
      <c r="CQ138" s="28"/>
      <c r="CR138" s="28"/>
      <c r="CS138" s="28"/>
      <c r="CT138" s="28"/>
      <c r="CU138" s="28"/>
    </row>
    <row r="139" spans="1:99" ht="12.75" customHeight="1">
      <c r="A139" s="28"/>
      <c r="B139" s="28"/>
      <c r="C139" s="383" t="s">
        <v>655</v>
      </c>
      <c r="D139" s="28"/>
      <c r="E139" s="284"/>
      <c r="F139" s="241"/>
      <c r="G139" s="241"/>
      <c r="H139" s="285"/>
      <c r="I139" s="645"/>
      <c r="J139" s="284"/>
      <c r="K139" s="241"/>
      <c r="L139" s="241"/>
      <c r="M139" s="285"/>
      <c r="N139" s="645"/>
      <c r="O139" s="284"/>
      <c r="P139" s="241"/>
      <c r="Q139" s="646"/>
      <c r="R139" s="586"/>
      <c r="S139" s="645"/>
      <c r="T139" s="290"/>
      <c r="U139" s="260"/>
      <c r="V139" s="646"/>
      <c r="W139" s="586"/>
      <c r="X139" s="645"/>
      <c r="Y139" s="290"/>
      <c r="Z139" s="260"/>
      <c r="AA139" s="1467"/>
      <c r="AB139" s="1436"/>
      <c r="AC139" s="1453"/>
      <c r="AD139" s="290"/>
      <c r="AE139" s="260"/>
      <c r="AF139" s="1467"/>
      <c r="AG139" s="1436"/>
      <c r="AH139" s="1453"/>
      <c r="AI139" s="290"/>
      <c r="AJ139" s="260"/>
      <c r="AK139" s="1467"/>
      <c r="AL139" s="1436"/>
      <c r="AM139" s="1453"/>
      <c r="AN139" s="290"/>
      <c r="AO139" s="260"/>
      <c r="AP139" s="1467"/>
      <c r="AQ139" s="1436"/>
      <c r="AR139" s="1453"/>
      <c r="AS139" s="300"/>
      <c r="AT139" s="646"/>
      <c r="AU139" s="646"/>
      <c r="AV139" s="1436"/>
      <c r="AW139" s="1453"/>
      <c r="AX139" s="290">
        <f>+BB139/4</f>
        <v>56.25</v>
      </c>
      <c r="AY139" s="260">
        <f>+BB139/4</f>
        <v>56.25</v>
      </c>
      <c r="AZ139" s="646">
        <f>+BB139/4</f>
        <v>56.25</v>
      </c>
      <c r="BA139" s="586">
        <f>+BB139/4</f>
        <v>56.25</v>
      </c>
      <c r="BB139" s="775">
        <v>225</v>
      </c>
      <c r="BC139" s="290">
        <f>+BG139/4</f>
        <v>25</v>
      </c>
      <c r="BD139" s="260">
        <f>+BG139/4</f>
        <v>25</v>
      </c>
      <c r="BE139" s="646">
        <f>+BG139/4</f>
        <v>25</v>
      </c>
      <c r="BF139" s="586">
        <f>+BG139/4</f>
        <v>25</v>
      </c>
      <c r="BG139" s="775">
        <v>100</v>
      </c>
      <c r="BH139" s="290">
        <f>+BL139/4</f>
        <v>6.25</v>
      </c>
      <c r="BI139" s="260">
        <f>+BL139/4</f>
        <v>6.25</v>
      </c>
      <c r="BJ139" s="646">
        <f>+BL139/4</f>
        <v>6.25</v>
      </c>
      <c r="BK139" s="586">
        <f>+BL139/4</f>
        <v>6.25</v>
      </c>
      <c r="BL139" s="775">
        <v>25</v>
      </c>
      <c r="BM139" s="290">
        <f>+BQ139/4</f>
        <v>6.25</v>
      </c>
      <c r="BN139" s="260">
        <f>+BQ139/4</f>
        <v>6.25</v>
      </c>
      <c r="BO139" s="646">
        <f>+BQ139/4</f>
        <v>6.25</v>
      </c>
      <c r="BP139" s="586">
        <f>+BQ139/4</f>
        <v>6.25</v>
      </c>
      <c r="BQ139" s="775">
        <f t="shared" ref="BQ139" si="373">+BL139</f>
        <v>25</v>
      </c>
      <c r="BR139" s="28"/>
      <c r="BS139" s="28"/>
      <c r="BT139" s="28"/>
      <c r="BU139" s="28"/>
      <c r="BV139" s="28"/>
      <c r="BW139" s="28"/>
      <c r="BX139" s="28"/>
      <c r="BY139" s="28"/>
      <c r="BZ139" s="28"/>
      <c r="CA139" s="28"/>
      <c r="CB139" s="28"/>
      <c r="CC139" s="5"/>
      <c r="CD139" s="5"/>
      <c r="CE139" s="28"/>
      <c r="CF139" s="28"/>
      <c r="CG139" s="28"/>
      <c r="CH139" s="28"/>
      <c r="CI139" s="28"/>
      <c r="CJ139" s="28"/>
      <c r="CK139" s="28"/>
      <c r="CL139" s="28"/>
      <c r="CM139" s="28"/>
      <c r="CN139" s="28"/>
      <c r="CO139" s="28"/>
      <c r="CP139" s="28"/>
      <c r="CQ139" s="28"/>
      <c r="CR139" s="28"/>
      <c r="CS139" s="28"/>
      <c r="CT139" s="28"/>
      <c r="CU139" s="28"/>
    </row>
    <row r="140" spans="1:99" ht="12.75" customHeight="1">
      <c r="A140" s="28"/>
      <c r="B140" s="28"/>
      <c r="C140" s="383" t="s">
        <v>656</v>
      </c>
      <c r="D140" s="28"/>
      <c r="E140" s="284"/>
      <c r="F140" s="241"/>
      <c r="G140" s="241"/>
      <c r="H140" s="285"/>
      <c r="I140" s="427"/>
      <c r="J140" s="284"/>
      <c r="K140" s="241"/>
      <c r="L140" s="241"/>
      <c r="M140" s="285"/>
      <c r="N140" s="427"/>
      <c r="O140" s="284"/>
      <c r="P140" s="241"/>
      <c r="Q140" s="646"/>
      <c r="R140" s="586"/>
      <c r="S140" s="427"/>
      <c r="T140" s="290"/>
      <c r="U140" s="260"/>
      <c r="V140" s="646"/>
      <c r="W140" s="586"/>
      <c r="X140" s="427"/>
      <c r="Y140" s="290"/>
      <c r="Z140" s="260"/>
      <c r="AA140" s="1467"/>
      <c r="AB140" s="1436"/>
      <c r="AC140" s="1437"/>
      <c r="AD140" s="290"/>
      <c r="AE140" s="260"/>
      <c r="AF140" s="1467"/>
      <c r="AG140" s="1436"/>
      <c r="AH140" s="1437"/>
      <c r="AI140" s="290"/>
      <c r="AJ140" s="260"/>
      <c r="AK140" s="1467"/>
      <c r="AL140" s="1436"/>
      <c r="AM140" s="1437"/>
      <c r="AN140" s="290"/>
      <c r="AO140" s="260"/>
      <c r="AP140" s="1467"/>
      <c r="AQ140" s="1436"/>
      <c r="AR140" s="1437"/>
      <c r="AS140" s="300"/>
      <c r="AT140" s="264"/>
      <c r="AU140" s="260"/>
      <c r="AV140" s="1436"/>
      <c r="AW140" s="1437"/>
      <c r="AX140" s="290">
        <f>+BB140/4</f>
        <v>381.25</v>
      </c>
      <c r="AY140" s="260">
        <f>+BB140/4</f>
        <v>381.25</v>
      </c>
      <c r="AZ140" s="646">
        <f>+BB140/4</f>
        <v>381.25</v>
      </c>
      <c r="BA140" s="586">
        <f>+BB140/4</f>
        <v>381.25</v>
      </c>
      <c r="BB140" s="426">
        <f>1750-BB139</f>
        <v>1525</v>
      </c>
      <c r="BC140" s="290">
        <f>+BG140/4</f>
        <v>325</v>
      </c>
      <c r="BD140" s="260">
        <f>+BG140/4</f>
        <v>325</v>
      </c>
      <c r="BE140" s="646">
        <f>+BG140/4</f>
        <v>325</v>
      </c>
      <c r="BF140" s="586">
        <f>+BG140/4</f>
        <v>325</v>
      </c>
      <c r="BG140" s="426">
        <f>1400-BG139</f>
        <v>1300</v>
      </c>
      <c r="BH140" s="290">
        <f>+BL140/4</f>
        <v>368.75</v>
      </c>
      <c r="BI140" s="260">
        <f>+BL140/4</f>
        <v>368.75</v>
      </c>
      <c r="BJ140" s="646">
        <f>+BL140/4</f>
        <v>368.75</v>
      </c>
      <c r="BK140" s="586">
        <f>+BL140/4</f>
        <v>368.75</v>
      </c>
      <c r="BL140" s="426">
        <f>1500-BL139</f>
        <v>1475</v>
      </c>
      <c r="BM140" s="290">
        <f>+BQ140/4</f>
        <v>362.5</v>
      </c>
      <c r="BN140" s="260">
        <f>+BQ140/4</f>
        <v>362.5</v>
      </c>
      <c r="BO140" s="646">
        <f>+BQ140/4</f>
        <v>362.5</v>
      </c>
      <c r="BP140" s="586">
        <f>+BQ140/4</f>
        <v>362.5</v>
      </c>
      <c r="BQ140" s="426">
        <f>1475-BQ139</f>
        <v>1450</v>
      </c>
      <c r="BR140" s="28"/>
      <c r="BS140" s="28"/>
      <c r="BT140" s="28"/>
      <c r="BU140" s="28"/>
      <c r="BV140" s="28"/>
      <c r="BW140" s="28"/>
      <c r="BX140" s="28"/>
      <c r="BY140" s="28"/>
      <c r="BZ140" s="28"/>
      <c r="CA140" s="28"/>
      <c r="CB140" s="28"/>
      <c r="CC140" s="5"/>
      <c r="CD140" s="5"/>
      <c r="CE140" s="28"/>
      <c r="CF140" s="28"/>
      <c r="CG140" s="28"/>
      <c r="CH140" s="28"/>
      <c r="CI140" s="28"/>
      <c r="CJ140" s="28"/>
      <c r="CK140" s="28"/>
      <c r="CL140" s="28"/>
      <c r="CM140" s="28"/>
      <c r="CN140" s="28"/>
      <c r="CO140" s="28"/>
      <c r="CP140" s="28"/>
      <c r="CQ140" s="28"/>
      <c r="CR140" s="28"/>
      <c r="CS140" s="28"/>
      <c r="CT140" s="28"/>
      <c r="CU140" s="28"/>
    </row>
    <row r="141" spans="1:99" ht="12.75" customHeight="1">
      <c r="A141" s="228"/>
      <c r="B141" s="228"/>
      <c r="C141" s="641" t="s">
        <v>147</v>
      </c>
      <c r="D141" s="228"/>
      <c r="E141" s="580">
        <f>-E171</f>
        <v>225</v>
      </c>
      <c r="F141" s="581">
        <f t="shared" ref="F141:W141" si="374">-F171</f>
        <v>198</v>
      </c>
      <c r="G141" s="581">
        <f t="shared" si="374"/>
        <v>182</v>
      </c>
      <c r="H141" s="582">
        <f t="shared" si="374"/>
        <v>249</v>
      </c>
      <c r="I141" s="583">
        <f t="shared" si="374"/>
        <v>854</v>
      </c>
      <c r="J141" s="580">
        <f t="shared" si="374"/>
        <v>244</v>
      </c>
      <c r="K141" s="581">
        <f t="shared" si="374"/>
        <v>209</v>
      </c>
      <c r="L141" s="581">
        <f t="shared" si="374"/>
        <v>233</v>
      </c>
      <c r="M141" s="582">
        <f t="shared" si="374"/>
        <v>276</v>
      </c>
      <c r="N141" s="583">
        <f t="shared" si="374"/>
        <v>962</v>
      </c>
      <c r="O141" s="580">
        <f t="shared" si="374"/>
        <v>251</v>
      </c>
      <c r="P141" s="581">
        <f t="shared" si="374"/>
        <v>244</v>
      </c>
      <c r="Q141" s="581">
        <f t="shared" si="374"/>
        <v>263</v>
      </c>
      <c r="R141" s="582">
        <f t="shared" si="374"/>
        <v>270</v>
      </c>
      <c r="S141" s="583">
        <f t="shared" si="374"/>
        <v>1028</v>
      </c>
      <c r="T141" s="580">
        <f t="shared" si="374"/>
        <v>291</v>
      </c>
      <c r="U141" s="581">
        <f t="shared" si="374"/>
        <v>294</v>
      </c>
      <c r="V141" s="581">
        <f t="shared" si="374"/>
        <v>311</v>
      </c>
      <c r="W141" s="582">
        <f t="shared" si="374"/>
        <v>350</v>
      </c>
      <c r="X141" s="583">
        <f t="shared" ref="X141:AC141" si="375">-X171</f>
        <v>1246</v>
      </c>
      <c r="Y141" s="580">
        <f t="shared" si="375"/>
        <v>346</v>
      </c>
      <c r="Z141" s="261">
        <f t="shared" si="375"/>
        <v>365</v>
      </c>
      <c r="AA141" s="1468">
        <f t="shared" si="375"/>
        <v>363</v>
      </c>
      <c r="AB141" s="1463">
        <f t="shared" si="375"/>
        <v>359</v>
      </c>
      <c r="AC141" s="1464">
        <f t="shared" si="375"/>
        <v>1433</v>
      </c>
      <c r="AD141" s="580">
        <f t="shared" ref="AD141:AH141" si="376">-AD171</f>
        <v>341</v>
      </c>
      <c r="AE141" s="261">
        <f t="shared" si="376"/>
        <v>406</v>
      </c>
      <c r="AF141" s="1468">
        <f t="shared" si="376"/>
        <v>426</v>
      </c>
      <c r="AG141" s="1463">
        <f t="shared" si="376"/>
        <v>516</v>
      </c>
      <c r="AH141" s="1464">
        <f t="shared" si="376"/>
        <v>1689</v>
      </c>
      <c r="AI141" s="580">
        <f t="shared" ref="AI141:AM141" si="377">-AI171</f>
        <v>530</v>
      </c>
      <c r="AJ141" s="261">
        <f t="shared" si="377"/>
        <v>531</v>
      </c>
      <c r="AK141" s="1468">
        <f t="shared" si="377"/>
        <v>609</v>
      </c>
      <c r="AL141" s="1463">
        <f t="shared" si="377"/>
        <v>728</v>
      </c>
      <c r="AM141" s="1464">
        <f t="shared" si="377"/>
        <v>2398</v>
      </c>
      <c r="AN141" s="580">
        <f t="shared" ref="AN141:AT141" si="378">-AN171</f>
        <v>639</v>
      </c>
      <c r="AO141" s="261">
        <f t="shared" si="378"/>
        <v>695</v>
      </c>
      <c r="AP141" s="1468">
        <f t="shared" si="378"/>
        <v>616</v>
      </c>
      <c r="AQ141" s="1463">
        <f t="shared" si="378"/>
        <v>784</v>
      </c>
      <c r="AR141" s="1464">
        <f t="shared" si="378"/>
        <v>2734</v>
      </c>
      <c r="AS141" s="580">
        <f t="shared" si="378"/>
        <v>535</v>
      </c>
      <c r="AT141" s="261">
        <f t="shared" si="378"/>
        <v>633</v>
      </c>
      <c r="AU141" s="261">
        <f t="shared" ref="AU141:AW141" si="379">-AU171</f>
        <v>530</v>
      </c>
      <c r="AV141" s="1463">
        <f t="shared" si="379"/>
        <v>552</v>
      </c>
      <c r="AW141" s="1464">
        <f t="shared" si="379"/>
        <v>2250</v>
      </c>
      <c r="AX141" s="292">
        <f t="shared" ref="AX141:BA141" si="380">SUM(AX138:AX140)</f>
        <v>531.25</v>
      </c>
      <c r="AY141" s="261">
        <f t="shared" si="380"/>
        <v>531.25</v>
      </c>
      <c r="AZ141" s="261">
        <f t="shared" si="380"/>
        <v>531.25</v>
      </c>
      <c r="BA141" s="293">
        <f t="shared" si="380"/>
        <v>531.25</v>
      </c>
      <c r="BB141" s="583">
        <f>SUM(BB138:BB140)</f>
        <v>2125</v>
      </c>
      <c r="BC141" s="292">
        <f t="shared" ref="BC141:BK141" si="381">SUM(BC138:BC140)</f>
        <v>431.25</v>
      </c>
      <c r="BD141" s="261">
        <f t="shared" si="381"/>
        <v>431.25</v>
      </c>
      <c r="BE141" s="261">
        <f t="shared" si="381"/>
        <v>431.25</v>
      </c>
      <c r="BF141" s="293">
        <f t="shared" si="381"/>
        <v>431.25</v>
      </c>
      <c r="BG141" s="583">
        <f>SUM(BG138:BG140)</f>
        <v>1725</v>
      </c>
      <c r="BH141" s="292">
        <f t="shared" si="381"/>
        <v>462.5</v>
      </c>
      <c r="BI141" s="261">
        <f t="shared" si="381"/>
        <v>462.5</v>
      </c>
      <c r="BJ141" s="261">
        <f t="shared" si="381"/>
        <v>462.5</v>
      </c>
      <c r="BK141" s="293">
        <f t="shared" si="381"/>
        <v>462.5</v>
      </c>
      <c r="BL141" s="583">
        <f>SUM(BL138:BL140)</f>
        <v>1850</v>
      </c>
      <c r="BM141" s="292">
        <f t="shared" ref="BM141:BP141" si="382">SUM(BM138:BM140)</f>
        <v>462.5</v>
      </c>
      <c r="BN141" s="261">
        <f t="shared" si="382"/>
        <v>462.5</v>
      </c>
      <c r="BO141" s="261">
        <f t="shared" si="382"/>
        <v>462.5</v>
      </c>
      <c r="BP141" s="293">
        <f t="shared" si="382"/>
        <v>462.5</v>
      </c>
      <c r="BQ141" s="583">
        <f>SUM(BQ138:BQ140)</f>
        <v>1850</v>
      </c>
      <c r="BR141" s="28"/>
      <c r="BS141" s="228"/>
      <c r="BT141" s="228"/>
      <c r="BU141" s="228"/>
      <c r="BV141" s="228"/>
      <c r="BW141" s="228"/>
      <c r="BX141" s="228"/>
      <c r="BY141" s="228"/>
      <c r="BZ141" s="228"/>
      <c r="CA141" s="228"/>
      <c r="CB141" s="228"/>
      <c r="CC141" s="5"/>
      <c r="CD141" s="5"/>
      <c r="CE141" s="228"/>
      <c r="CF141" s="228"/>
      <c r="CG141" s="228"/>
      <c r="CH141" s="228"/>
      <c r="CI141" s="228"/>
      <c r="CJ141" s="228"/>
      <c r="CK141" s="228"/>
      <c r="CL141" s="228"/>
      <c r="CM141" s="228"/>
      <c r="CN141" s="228"/>
      <c r="CO141" s="228"/>
      <c r="CP141" s="228"/>
      <c r="CQ141" s="228"/>
      <c r="CR141" s="228"/>
      <c r="CS141" s="228"/>
      <c r="CT141" s="228"/>
      <c r="CU141" s="228"/>
    </row>
    <row r="142" spans="1:99" ht="12.75" customHeight="1">
      <c r="A142" s="383"/>
      <c r="B142" s="383"/>
      <c r="C142" s="383"/>
      <c r="D142" s="383"/>
      <c r="E142" s="616"/>
      <c r="F142" s="617"/>
      <c r="G142" s="617"/>
      <c r="H142" s="656"/>
      <c r="I142" s="657"/>
      <c r="J142" s="616"/>
      <c r="K142" s="617"/>
      <c r="L142" s="617"/>
      <c r="M142" s="656"/>
      <c r="N142" s="657"/>
      <c r="O142" s="613"/>
      <c r="P142" s="614"/>
      <c r="Q142" s="614"/>
      <c r="R142" s="615"/>
      <c r="S142" s="383"/>
      <c r="T142" s="613"/>
      <c r="U142" s="614"/>
      <c r="V142" s="614"/>
      <c r="W142" s="615"/>
      <c r="X142" s="383"/>
      <c r="Y142" s="613"/>
      <c r="Z142" s="614"/>
      <c r="AA142" s="614"/>
      <c r="AB142" s="615"/>
      <c r="AC142" s="383"/>
      <c r="AD142" s="613"/>
      <c r="AE142" s="614"/>
      <c r="AF142" s="614"/>
      <c r="AG142" s="615"/>
      <c r="AH142" s="383"/>
      <c r="AI142" s="613"/>
      <c r="AJ142" s="614"/>
      <c r="AK142" s="614"/>
      <c r="AL142" s="615"/>
      <c r="AM142" s="383"/>
      <c r="AN142" s="613"/>
      <c r="AO142" s="614"/>
      <c r="AP142" s="614"/>
      <c r="AQ142" s="615"/>
      <c r="AR142" s="383"/>
      <c r="AS142" s="613"/>
      <c r="AT142" s="614"/>
      <c r="AU142" s="614"/>
      <c r="AV142" s="615"/>
      <c r="AW142" s="383"/>
      <c r="AX142" s="613"/>
      <c r="AY142" s="614"/>
      <c r="AZ142" s="614"/>
      <c r="BA142" s="615"/>
      <c r="BB142" s="383"/>
      <c r="BC142" s="613"/>
      <c r="BD142" s="614"/>
      <c r="BE142" s="614"/>
      <c r="BF142" s="615"/>
      <c r="BG142" s="383"/>
      <c r="BH142" s="613"/>
      <c r="BI142" s="614"/>
      <c r="BJ142" s="614"/>
      <c r="BK142" s="615"/>
      <c r="BL142" s="383"/>
      <c r="BM142" s="613"/>
      <c r="BN142" s="614"/>
      <c r="BO142" s="614"/>
      <c r="BP142" s="615"/>
      <c r="BQ142" s="383"/>
      <c r="BR142" s="383"/>
      <c r="BS142" s="383"/>
      <c r="BT142" s="383"/>
      <c r="BU142" s="383"/>
      <c r="BV142" s="383"/>
      <c r="BW142" s="383"/>
      <c r="BX142" s="383"/>
      <c r="BY142" s="383"/>
      <c r="BZ142" s="383"/>
      <c r="CA142" s="383"/>
      <c r="CB142" s="383"/>
      <c r="CC142" s="5"/>
      <c r="CD142" s="5"/>
      <c r="CE142" s="383"/>
      <c r="CF142" s="383"/>
      <c r="CG142" s="383"/>
      <c r="CH142" s="383"/>
      <c r="CI142" s="383"/>
      <c r="CJ142" s="383"/>
      <c r="CK142" s="383"/>
      <c r="CL142" s="383"/>
      <c r="CM142" s="383"/>
      <c r="CN142" s="383"/>
      <c r="CO142" s="383"/>
      <c r="CP142" s="383"/>
      <c r="CQ142" s="383"/>
      <c r="CR142" s="383"/>
      <c r="CS142" s="383"/>
      <c r="CT142" s="383"/>
      <c r="CU142" s="383"/>
    </row>
    <row r="143" spans="1:99" ht="12.75" customHeight="1">
      <c r="A143" s="383"/>
      <c r="B143" s="383"/>
      <c r="C143" s="383"/>
      <c r="D143" s="383"/>
      <c r="E143" s="613"/>
      <c r="F143" s="614"/>
      <c r="G143" s="614"/>
      <c r="H143" s="615"/>
      <c r="I143" s="383"/>
      <c r="J143" s="613"/>
      <c r="K143" s="614"/>
      <c r="L143" s="614"/>
      <c r="M143" s="615"/>
      <c r="N143" s="383"/>
      <c r="O143" s="613"/>
      <c r="P143" s="614"/>
      <c r="Q143" s="614"/>
      <c r="R143" s="615"/>
      <c r="S143" s="383"/>
      <c r="T143" s="613"/>
      <c r="U143" s="614"/>
      <c r="V143" s="614"/>
      <c r="W143" s="615"/>
      <c r="X143" s="383"/>
      <c r="Y143" s="613"/>
      <c r="Z143" s="614"/>
      <c r="AA143" s="614"/>
      <c r="AB143" s="615"/>
      <c r="AC143" s="383"/>
      <c r="AD143" s="613"/>
      <c r="AE143" s="614"/>
      <c r="AF143" s="614"/>
      <c r="AG143" s="615"/>
      <c r="AH143" s="383"/>
      <c r="AI143" s="613"/>
      <c r="AJ143" s="614"/>
      <c r="AK143" s="614"/>
      <c r="AL143" s="615"/>
      <c r="AM143" s="383"/>
      <c r="AN143" s="613"/>
      <c r="AO143" s="614"/>
      <c r="AP143" s="614"/>
      <c r="AQ143" s="615"/>
      <c r="AR143" s="383"/>
      <c r="AS143" s="613"/>
      <c r="AT143" s="614"/>
      <c r="AU143" s="614"/>
      <c r="AV143" s="615"/>
      <c r="AW143" s="383"/>
      <c r="AX143" s="613"/>
      <c r="AY143" s="614"/>
      <c r="AZ143" s="614"/>
      <c r="BA143" s="615"/>
      <c r="BB143" s="383"/>
      <c r="BC143" s="613"/>
      <c r="BD143" s="614"/>
      <c r="BE143" s="614"/>
      <c r="BF143" s="615"/>
      <c r="BG143" s="383"/>
      <c r="BH143" s="613"/>
      <c r="BI143" s="614"/>
      <c r="BJ143" s="614"/>
      <c r="BK143" s="615"/>
      <c r="BL143" s="383"/>
      <c r="BM143" s="613"/>
      <c r="BN143" s="614"/>
      <c r="BO143" s="614"/>
      <c r="BP143" s="615"/>
      <c r="BQ143" s="383"/>
      <c r="BR143" s="383"/>
      <c r="BS143" s="383"/>
      <c r="BT143" s="383"/>
      <c r="BU143" s="383"/>
      <c r="BV143" s="383"/>
      <c r="BW143" s="383"/>
      <c r="BX143" s="383"/>
      <c r="BY143" s="383"/>
      <c r="BZ143" s="383"/>
      <c r="CA143" s="383"/>
      <c r="CB143" s="383"/>
      <c r="CC143" s="5"/>
      <c r="CD143" s="5"/>
      <c r="CE143" s="383"/>
      <c r="CF143" s="383"/>
      <c r="CG143" s="383"/>
      <c r="CH143" s="383"/>
      <c r="CI143" s="383"/>
      <c r="CJ143" s="383"/>
      <c r="CK143" s="383"/>
      <c r="CL143" s="383"/>
      <c r="CM143" s="383"/>
      <c r="CN143" s="383"/>
      <c r="CO143" s="383"/>
      <c r="CP143" s="383"/>
      <c r="CQ143" s="383"/>
      <c r="CR143" s="383"/>
      <c r="CS143" s="383"/>
      <c r="CT143" s="383"/>
      <c r="CU143" s="383"/>
    </row>
    <row r="144" spans="1:99" ht="12.75" customHeight="1">
      <c r="A144" s="383"/>
      <c r="B144" s="379" t="s">
        <v>625</v>
      </c>
      <c r="C144" s="658"/>
      <c r="D144" s="659"/>
      <c r="E144" s="613"/>
      <c r="F144" s="614"/>
      <c r="G144" s="614"/>
      <c r="H144" s="615"/>
      <c r="I144" s="383"/>
      <c r="J144" s="613"/>
      <c r="K144" s="614"/>
      <c r="L144" s="614"/>
      <c r="M144" s="615"/>
      <c r="N144" s="383"/>
      <c r="O144" s="613"/>
      <c r="P144" s="614"/>
      <c r="Q144" s="614"/>
      <c r="R144" s="615"/>
      <c r="S144" s="383"/>
      <c r="T144" s="613"/>
      <c r="U144" s="614"/>
      <c r="V144" s="614"/>
      <c r="W144" s="615"/>
      <c r="X144" s="383"/>
      <c r="Y144" s="613"/>
      <c r="Z144" s="614"/>
      <c r="AA144" s="614"/>
      <c r="AB144" s="615"/>
      <c r="AC144" s="383"/>
      <c r="AD144" s="613"/>
      <c r="AE144" s="614"/>
      <c r="AF144" s="614"/>
      <c r="AG144" s="615"/>
      <c r="AH144" s="383"/>
      <c r="AI144" s="613"/>
      <c r="AJ144" s="614"/>
      <c r="AK144" s="614"/>
      <c r="AL144" s="615"/>
      <c r="AM144" s="383"/>
      <c r="AN144" s="613"/>
      <c r="AO144" s="614"/>
      <c r="AP144" s="614"/>
      <c r="AQ144" s="615"/>
      <c r="AR144" s="383"/>
      <c r="AS144" s="613"/>
      <c r="AT144" s="614"/>
      <c r="AU144" s="614"/>
      <c r="AV144" s="615"/>
      <c r="AW144" s="383"/>
      <c r="AX144" s="613"/>
      <c r="AY144" s="614"/>
      <c r="AZ144" s="614"/>
      <c r="BA144" s="615"/>
      <c r="BB144" s="383"/>
      <c r="BC144" s="613"/>
      <c r="BD144" s="614"/>
      <c r="BE144" s="614"/>
      <c r="BF144" s="615"/>
      <c r="BG144" s="383"/>
      <c r="BH144" s="613"/>
      <c r="BI144" s="614"/>
      <c r="BJ144" s="614"/>
      <c r="BK144" s="615"/>
      <c r="BL144" s="383"/>
      <c r="BM144" s="613"/>
      <c r="BN144" s="614"/>
      <c r="BO144" s="614"/>
      <c r="BP144" s="615"/>
      <c r="BQ144" s="383"/>
      <c r="BR144" s="383"/>
      <c r="BS144" s="383"/>
      <c r="BT144" s="383"/>
      <c r="BU144" s="383"/>
      <c r="BV144" s="383"/>
      <c r="BW144" s="383"/>
      <c r="BX144" s="383"/>
      <c r="BY144" s="383"/>
      <c r="BZ144" s="383"/>
      <c r="CA144" s="383"/>
      <c r="CB144" s="383"/>
      <c r="CC144" s="5"/>
      <c r="CD144" s="5"/>
      <c r="CE144" s="383"/>
      <c r="CF144" s="383"/>
      <c r="CG144" s="383"/>
      <c r="CH144" s="383"/>
      <c r="CI144" s="383"/>
      <c r="CJ144" s="383"/>
      <c r="CK144" s="383"/>
      <c r="CL144" s="383"/>
      <c r="CM144" s="383"/>
      <c r="CN144" s="383"/>
      <c r="CO144" s="383"/>
      <c r="CP144" s="383"/>
      <c r="CQ144" s="383"/>
      <c r="CR144" s="383"/>
      <c r="CS144" s="383"/>
      <c r="CT144" s="383"/>
      <c r="CU144" s="383"/>
    </row>
    <row r="145" spans="1:99" ht="12.75" customHeight="1">
      <c r="A145" s="45"/>
      <c r="B145" s="45"/>
      <c r="C145" s="28" t="s">
        <v>620</v>
      </c>
      <c r="D145" s="45"/>
      <c r="E145" s="290">
        <f>E19</f>
        <v>1.25</v>
      </c>
      <c r="F145" s="260">
        <f t="shared" ref="F145:R145" si="383">F19</f>
        <v>1.25</v>
      </c>
      <c r="G145" s="260">
        <f t="shared" si="383"/>
        <v>1.25</v>
      </c>
      <c r="H145" s="291">
        <f t="shared" si="383"/>
        <v>1.25</v>
      </c>
      <c r="I145" s="45">
        <f>SUM(E145:H145)</f>
        <v>5</v>
      </c>
      <c r="J145" s="290">
        <f t="shared" si="383"/>
        <v>0.5</v>
      </c>
      <c r="K145" s="260">
        <f t="shared" si="383"/>
        <v>0.5</v>
      </c>
      <c r="L145" s="260">
        <f t="shared" si="383"/>
        <v>0</v>
      </c>
      <c r="M145" s="291">
        <f t="shared" si="383"/>
        <v>3</v>
      </c>
      <c r="N145" s="45">
        <f>SUM(J145:M145)</f>
        <v>4</v>
      </c>
      <c r="O145" s="290">
        <f t="shared" si="383"/>
        <v>1</v>
      </c>
      <c r="P145" s="260">
        <f t="shared" si="383"/>
        <v>2</v>
      </c>
      <c r="Q145" s="260">
        <f t="shared" si="383"/>
        <v>2</v>
      </c>
      <c r="R145" s="291">
        <f t="shared" si="383"/>
        <v>3</v>
      </c>
      <c r="S145" s="45">
        <f>SUM(O145:R145)</f>
        <v>8</v>
      </c>
      <c r="T145" s="290">
        <f>T19</f>
        <v>1</v>
      </c>
      <c r="U145" s="260">
        <f>U19</f>
        <v>0</v>
      </c>
      <c r="V145" s="260">
        <f>V19</f>
        <v>1</v>
      </c>
      <c r="W145" s="291">
        <f>W19</f>
        <v>4</v>
      </c>
      <c r="X145" s="45">
        <f>SUM(T145:W145)</f>
        <v>6</v>
      </c>
      <c r="Y145" s="290">
        <f>Y19</f>
        <v>3</v>
      </c>
      <c r="Z145" s="260">
        <f>Z19</f>
        <v>3</v>
      </c>
      <c r="AA145" s="1441">
        <f>AA19</f>
        <v>2</v>
      </c>
      <c r="AB145" s="1442">
        <f>AB19</f>
        <v>3</v>
      </c>
      <c r="AC145" s="1443">
        <f>SUM(Y145:AB145)</f>
        <v>11</v>
      </c>
      <c r="AD145" s="290">
        <f>AD19</f>
        <v>3</v>
      </c>
      <c r="AE145" s="260">
        <f>AE19</f>
        <v>0</v>
      </c>
      <c r="AF145" s="1441">
        <f>AF19</f>
        <v>0</v>
      </c>
      <c r="AG145" s="1442">
        <f>AG19</f>
        <v>0</v>
      </c>
      <c r="AH145" s="1443">
        <f>SUM(AD145:AG145)</f>
        <v>3</v>
      </c>
      <c r="AI145" s="290">
        <f>AI19</f>
        <v>0</v>
      </c>
      <c r="AJ145" s="260">
        <f>AJ19</f>
        <v>1</v>
      </c>
      <c r="AK145" s="1441">
        <f>AK19</f>
        <v>1</v>
      </c>
      <c r="AL145" s="1442">
        <f>AL19</f>
        <v>3</v>
      </c>
      <c r="AM145" s="1443">
        <f>SUM(AI145:AL145)</f>
        <v>5</v>
      </c>
      <c r="AN145" s="290">
        <f>AN19</f>
        <v>2</v>
      </c>
      <c r="AO145" s="260">
        <f>AO19</f>
        <v>1</v>
      </c>
      <c r="AP145" s="1441">
        <f>AP19</f>
        <v>5</v>
      </c>
      <c r="AQ145" s="1442">
        <f>AQ19</f>
        <v>6</v>
      </c>
      <c r="AR145" s="1443">
        <f>SUM(AN145:AQ145)</f>
        <v>14</v>
      </c>
      <c r="AS145" s="290">
        <f>AS19</f>
        <v>2</v>
      </c>
      <c r="AT145" s="260">
        <f>AT19</f>
        <v>2</v>
      </c>
      <c r="AU145" s="1441">
        <f>AU19</f>
        <v>2</v>
      </c>
      <c r="AV145" s="1442">
        <f>AV19</f>
        <v>6</v>
      </c>
      <c r="AW145" s="1443">
        <f>SUM(AS145:AV145)</f>
        <v>12</v>
      </c>
      <c r="AX145" s="290">
        <f>+AX129*AX146/4</f>
        <v>5.666666666666667</v>
      </c>
      <c r="AY145" s="260">
        <f>+AY129*AY146/4</f>
        <v>5.666666666666667</v>
      </c>
      <c r="AZ145" s="260">
        <f>+AZ129*AZ146/4</f>
        <v>5.666666666666667</v>
      </c>
      <c r="BA145" s="291">
        <f>+BA129*BA146/4</f>
        <v>5.666666666666667</v>
      </c>
      <c r="BB145" s="45">
        <f>SUM(AX145:BA145)</f>
        <v>22.666666666666668</v>
      </c>
      <c r="BC145" s="290">
        <f>+BC129*BC146/4</f>
        <v>4.6000000000000005</v>
      </c>
      <c r="BD145" s="260">
        <f>+BD129*BD146/4</f>
        <v>4.6000000000000005</v>
      </c>
      <c r="BE145" s="260">
        <f>+BE129*BE146/4</f>
        <v>4.6000000000000005</v>
      </c>
      <c r="BF145" s="291">
        <f>+BF129*BF146/4</f>
        <v>4.6000000000000005</v>
      </c>
      <c r="BG145" s="45">
        <f>SUM(BC145:BF145)</f>
        <v>18.400000000000002</v>
      </c>
      <c r="BH145" s="290">
        <f>+BH129*BH146/4</f>
        <v>4.9333333333333336</v>
      </c>
      <c r="BI145" s="260">
        <f>+BI129*BI146/4</f>
        <v>4.9333333333333336</v>
      </c>
      <c r="BJ145" s="260">
        <f>+BJ129*BJ146/4</f>
        <v>4.9333333333333336</v>
      </c>
      <c r="BK145" s="291">
        <f>+BK129*BK146/4</f>
        <v>4.9333333333333336</v>
      </c>
      <c r="BL145" s="45">
        <f>SUM(BH145:BK145)</f>
        <v>19.733333333333334</v>
      </c>
      <c r="BM145" s="290">
        <f>+BM129*BM146/4</f>
        <v>4.9333333333333336</v>
      </c>
      <c r="BN145" s="260">
        <f>+BN129*BN146/4</f>
        <v>4.9333333333333336</v>
      </c>
      <c r="BO145" s="260">
        <f>+BO129*BO146/4</f>
        <v>4.9333333333333336</v>
      </c>
      <c r="BP145" s="291">
        <f>+BP129*BP146/4</f>
        <v>4.9333333333333336</v>
      </c>
      <c r="BQ145" s="45">
        <f>SUM(BM145:BP145)</f>
        <v>19.733333333333334</v>
      </c>
      <c r="BR145" s="45"/>
      <c r="BS145" s="45"/>
      <c r="BT145" s="45"/>
      <c r="BU145" s="45"/>
      <c r="BV145" s="45"/>
      <c r="BW145" s="45"/>
      <c r="BX145" s="45"/>
      <c r="BY145" s="45"/>
      <c r="BZ145" s="45"/>
      <c r="CA145" s="45"/>
      <c r="CB145" s="45"/>
      <c r="CC145" s="5"/>
      <c r="CD145" s="5"/>
      <c r="CE145" s="45"/>
      <c r="CF145" s="45"/>
      <c r="CG145" s="45"/>
      <c r="CH145" s="45"/>
      <c r="CI145" s="45"/>
      <c r="CJ145" s="45"/>
      <c r="CK145" s="45"/>
      <c r="CL145" s="45"/>
      <c r="CM145" s="45"/>
      <c r="CN145" s="45"/>
      <c r="CO145" s="45"/>
      <c r="CP145" s="45"/>
      <c r="CQ145" s="45"/>
      <c r="CR145" s="45"/>
      <c r="CS145" s="45"/>
      <c r="CT145" s="45"/>
      <c r="CU145" s="45"/>
    </row>
    <row r="146" spans="1:99" ht="12.75" customHeight="1">
      <c r="A146" s="28"/>
      <c r="B146" s="28"/>
      <c r="C146" s="28" t="s">
        <v>626</v>
      </c>
      <c r="D146" s="28"/>
      <c r="E146" s="284">
        <f>+E145/E129*4</f>
        <v>2.8089887640449437E-2</v>
      </c>
      <c r="F146" s="241">
        <f>+F145/F129*4</f>
        <v>2.8089887640449437E-2</v>
      </c>
      <c r="G146" s="241">
        <f>+G145/G129*4</f>
        <v>2.8089887640449437E-2</v>
      </c>
      <c r="H146" s="285">
        <f>+H145/H129*4</f>
        <v>2.8089887640449437E-2</v>
      </c>
      <c r="I146" s="25">
        <f>+I145/AVERAGE(I129,D129)</f>
        <v>2.8089887640449437E-2</v>
      </c>
      <c r="J146" s="284">
        <f>+J145/J129*4</f>
        <v>9.6618357487922701E-3</v>
      </c>
      <c r="K146" s="241">
        <f>+K145/K129*4</f>
        <v>9.6618357487922701E-3</v>
      </c>
      <c r="L146" s="241">
        <f>+L145/L129*4</f>
        <v>0</v>
      </c>
      <c r="M146" s="285">
        <f>+M145/M129*4</f>
        <v>5.7971014492753624E-2</v>
      </c>
      <c r="N146" s="25">
        <f>+N145/AVERAGE(N129,I129)</f>
        <v>2.0779220779220779E-2</v>
      </c>
      <c r="O146" s="284">
        <f>+O145/O129*4</f>
        <v>2.1390374331550801E-2</v>
      </c>
      <c r="P146" s="241">
        <f>+P145/P129*4</f>
        <v>4.2780748663101602E-2</v>
      </c>
      <c r="Q146" s="241">
        <f>+Q145/Q129*4</f>
        <v>4.2780748663101602E-2</v>
      </c>
      <c r="R146" s="285">
        <f>+R145/R129*4</f>
        <v>6.4171122994652413E-2</v>
      </c>
      <c r="S146" s="25">
        <f>+S145/AVERAGE(S129,N129)</f>
        <v>4.060913705583756E-2</v>
      </c>
      <c r="T146" s="284">
        <f>+T145/T129*4</f>
        <v>1.3605442176870748E-2</v>
      </c>
      <c r="U146" s="241">
        <f>+U145/U129*4</f>
        <v>0</v>
      </c>
      <c r="V146" s="241">
        <f>+V145/V129*4</f>
        <v>1.3605442176870748E-2</v>
      </c>
      <c r="W146" s="285">
        <f>+W145/W129*4</f>
        <v>5.4421768707482991E-2</v>
      </c>
      <c r="X146" s="25">
        <f>+X145/X129</f>
        <v>2.0408163265306121E-2</v>
      </c>
      <c r="Y146" s="284">
        <f>+Y145/Y129*4</f>
        <v>4.0816326530612242E-2</v>
      </c>
      <c r="Z146" s="241">
        <f>+Z145/Z129*4</f>
        <v>4.0816326530612242E-2</v>
      </c>
      <c r="AA146" s="241">
        <f>+AA145/AA129*4</f>
        <v>2.7210884353741496E-2</v>
      </c>
      <c r="AB146" s="285">
        <f>+AB145/AB129*4</f>
        <v>2.6315789473684209E-2</v>
      </c>
      <c r="AC146" s="25">
        <f>+AC145/AC129</f>
        <v>2.4122807017543858E-2</v>
      </c>
      <c r="AD146" s="284">
        <f>+AD145/AD129*4</f>
        <v>4.3478260869565216E-2</v>
      </c>
      <c r="AE146" s="241">
        <f>+AE145/AE129*4</f>
        <v>0</v>
      </c>
      <c r="AF146" s="241">
        <f>+AF145/AF129*4</f>
        <v>0</v>
      </c>
      <c r="AG146" s="285">
        <f>+AG145/AG129*4</f>
        <v>0</v>
      </c>
      <c r="AH146" s="25">
        <f>+AH145/AH129</f>
        <v>1.0869565217391304E-2</v>
      </c>
      <c r="AI146" s="284">
        <f>+AI145/AI129*4</f>
        <v>0</v>
      </c>
      <c r="AJ146" s="241">
        <f>+AJ145/AJ129*4</f>
        <v>6.993006993006993E-3</v>
      </c>
      <c r="AK146" s="241">
        <f>+AK145/AK129*4</f>
        <v>6.993006993006993E-3</v>
      </c>
      <c r="AL146" s="285">
        <f>+AL145/AL129*4</f>
        <v>2.097902097902098E-2</v>
      </c>
      <c r="AM146" s="25">
        <f>+AM145/AM129</f>
        <v>8.7412587412587419E-3</v>
      </c>
      <c r="AN146" s="284">
        <f>+AN145/AN129*4</f>
        <v>1.4059753954305799E-2</v>
      </c>
      <c r="AO146" s="241">
        <f>+AO145/AO129*4</f>
        <v>7.0298769771528994E-3</v>
      </c>
      <c r="AP146" s="241">
        <f>+AP145/AP129*4</f>
        <v>3.5149384885764502E-2</v>
      </c>
      <c r="AQ146" s="285">
        <f>+AQ145/AQ129*4</f>
        <v>4.21792618629174E-2</v>
      </c>
      <c r="AR146" s="25">
        <f>+AR145/AR129</f>
        <v>2.4604569420035149E-2</v>
      </c>
      <c r="AS146" s="284">
        <f>+AS145/AS129*4</f>
        <v>1.5473887814313346E-2</v>
      </c>
      <c r="AT146" s="241">
        <f>+AT145/AT129*4</f>
        <v>1.5473887814313346E-2</v>
      </c>
      <c r="AU146" s="241">
        <f>+AU145/AU129*4</f>
        <v>1.5473887814313346E-2</v>
      </c>
      <c r="AV146" s="285">
        <f>+AV145/AV129*4</f>
        <v>4.6421663442940041E-2</v>
      </c>
      <c r="AW146" s="25">
        <f>+AW145/AW129</f>
        <v>2.321083172147002E-2</v>
      </c>
      <c r="AX146" s="284">
        <f>+AV146</f>
        <v>4.6421663442940041E-2</v>
      </c>
      <c r="AY146" s="241">
        <f>+AX146</f>
        <v>4.6421663442940041E-2</v>
      </c>
      <c r="AZ146" s="241">
        <f>+AY146</f>
        <v>4.6421663442940041E-2</v>
      </c>
      <c r="BA146" s="285">
        <f>+AZ146</f>
        <v>4.6421663442940041E-2</v>
      </c>
      <c r="BB146" s="25">
        <f>+BB145/BB129</f>
        <v>4.6421663442940041E-2</v>
      </c>
      <c r="BC146" s="284">
        <f>+BA146</f>
        <v>4.6421663442940041E-2</v>
      </c>
      <c r="BD146" s="241">
        <f>+BC146</f>
        <v>4.6421663442940041E-2</v>
      </c>
      <c r="BE146" s="241">
        <f>+BD146</f>
        <v>4.6421663442940041E-2</v>
      </c>
      <c r="BF146" s="285">
        <f>+BE146</f>
        <v>4.6421663442940041E-2</v>
      </c>
      <c r="BG146" s="25">
        <f>+BG145/BG129</f>
        <v>4.6421663442940041E-2</v>
      </c>
      <c r="BH146" s="284">
        <f>+BF146</f>
        <v>4.6421663442940041E-2</v>
      </c>
      <c r="BI146" s="241">
        <f>+BH146</f>
        <v>4.6421663442940041E-2</v>
      </c>
      <c r="BJ146" s="241">
        <f>+BI146</f>
        <v>4.6421663442940041E-2</v>
      </c>
      <c r="BK146" s="285">
        <f>+BJ146</f>
        <v>4.6421663442940041E-2</v>
      </c>
      <c r="BL146" s="25">
        <f>+BL145/BL129</f>
        <v>4.6421663442940041E-2</v>
      </c>
      <c r="BM146" s="284">
        <f>+BK146</f>
        <v>4.6421663442940041E-2</v>
      </c>
      <c r="BN146" s="241">
        <f>+BM146</f>
        <v>4.6421663442940041E-2</v>
      </c>
      <c r="BO146" s="241">
        <f>+BN146</f>
        <v>4.6421663442940041E-2</v>
      </c>
      <c r="BP146" s="285">
        <f>+BO146</f>
        <v>4.6421663442940041E-2</v>
      </c>
      <c r="BQ146" s="25">
        <f>+BQ145/BQ129</f>
        <v>4.6421663442940041E-2</v>
      </c>
      <c r="BR146" s="28"/>
      <c r="BS146" s="28"/>
      <c r="BT146" s="28"/>
      <c r="BU146" s="28"/>
      <c r="BV146" s="28"/>
      <c r="BW146" s="28"/>
      <c r="BX146" s="28"/>
      <c r="BY146" s="28"/>
      <c r="BZ146" s="28"/>
      <c r="CA146" s="28"/>
      <c r="CB146" s="28"/>
      <c r="CC146" s="5"/>
      <c r="CD146" s="5"/>
      <c r="CE146" s="28"/>
      <c r="CF146" s="28"/>
      <c r="CG146" s="28"/>
      <c r="CH146" s="28"/>
      <c r="CI146" s="28"/>
      <c r="CJ146" s="28"/>
      <c r="CK146" s="28"/>
      <c r="CL146" s="28"/>
      <c r="CM146" s="28"/>
      <c r="CN146" s="28"/>
      <c r="CO146" s="28"/>
      <c r="CP146" s="28"/>
      <c r="CQ146" s="28"/>
      <c r="CR146" s="28"/>
      <c r="CS146" s="28"/>
      <c r="CT146" s="28"/>
      <c r="CU146" s="28"/>
    </row>
    <row r="147" spans="1:99" ht="12.75" customHeight="1">
      <c r="A147" s="28"/>
      <c r="B147" s="28"/>
      <c r="C147" s="28"/>
      <c r="D147" s="28"/>
      <c r="E147" s="415"/>
      <c r="F147" s="242"/>
      <c r="G147" s="242"/>
      <c r="H147" s="416"/>
      <c r="I147" s="45"/>
      <c r="J147" s="415"/>
      <c r="K147" s="242"/>
      <c r="L147" s="242"/>
      <c r="M147" s="416"/>
      <c r="N147" s="45"/>
      <c r="O147" s="415"/>
      <c r="P147" s="242"/>
      <c r="Q147" s="242"/>
      <c r="R147" s="416"/>
      <c r="S147" s="45"/>
      <c r="T147" s="415"/>
      <c r="U147" s="242"/>
      <c r="V147" s="241"/>
      <c r="W147" s="285"/>
      <c r="X147" s="25"/>
      <c r="Y147" s="415"/>
      <c r="Z147" s="242"/>
      <c r="AA147" s="241"/>
      <c r="AB147" s="285"/>
      <c r="AC147" s="25"/>
      <c r="AD147" s="415"/>
      <c r="AE147" s="242"/>
      <c r="AF147" s="241"/>
      <c r="AG147" s="285"/>
      <c r="AH147" s="25"/>
      <c r="AI147" s="415"/>
      <c r="AJ147" s="242"/>
      <c r="AK147" s="241"/>
      <c r="AL147" s="285"/>
      <c r="AM147" s="25"/>
      <c r="AN147" s="415"/>
      <c r="AO147" s="242"/>
      <c r="AP147" s="241"/>
      <c r="AQ147" s="285"/>
      <c r="AR147" s="25"/>
      <c r="AS147" s="415"/>
      <c r="AT147" s="241"/>
      <c r="AU147" s="241"/>
      <c r="AV147" s="285"/>
      <c r="AW147" s="25"/>
      <c r="AX147" s="284"/>
      <c r="AY147" s="241"/>
      <c r="AZ147" s="241"/>
      <c r="BA147" s="285"/>
      <c r="BB147" s="25"/>
      <c r="BC147" s="284"/>
      <c r="BD147" s="241"/>
      <c r="BE147" s="241"/>
      <c r="BF147" s="285"/>
      <c r="BG147" s="25"/>
      <c r="BH147" s="284"/>
      <c r="BI147" s="241"/>
      <c r="BJ147" s="241"/>
      <c r="BK147" s="285"/>
      <c r="BL147" s="25"/>
      <c r="BM147" s="284"/>
      <c r="BN147" s="241"/>
      <c r="BO147" s="241"/>
      <c r="BP147" s="285"/>
      <c r="BQ147" s="25"/>
      <c r="BR147" s="28"/>
      <c r="BS147" s="28"/>
      <c r="BT147" s="28"/>
      <c r="BU147" s="28"/>
      <c r="BV147" s="28"/>
      <c r="BW147" s="28"/>
      <c r="BX147" s="28"/>
      <c r="BY147" s="28"/>
      <c r="BZ147" s="28"/>
      <c r="CA147" s="28"/>
      <c r="CB147" s="28"/>
      <c r="CC147" s="5"/>
      <c r="CD147" s="5"/>
      <c r="CE147" s="28"/>
      <c r="CF147" s="28"/>
      <c r="CG147" s="28"/>
      <c r="CH147" s="28"/>
      <c r="CI147" s="28"/>
      <c r="CJ147" s="28"/>
      <c r="CK147" s="28"/>
      <c r="CL147" s="28"/>
      <c r="CM147" s="28"/>
      <c r="CN147" s="28"/>
      <c r="CO147" s="28"/>
      <c r="CP147" s="28"/>
      <c r="CQ147" s="28"/>
      <c r="CR147" s="28"/>
      <c r="CS147" s="28"/>
      <c r="CT147" s="28"/>
      <c r="CU147" s="28"/>
    </row>
    <row r="148" spans="1:99" ht="12.75" customHeight="1">
      <c r="A148" s="383"/>
      <c r="B148" s="383"/>
      <c r="C148" s="383"/>
      <c r="D148" s="383"/>
      <c r="E148" s="613"/>
      <c r="F148" s="614"/>
      <c r="G148" s="614"/>
      <c r="H148" s="615"/>
      <c r="I148" s="383"/>
      <c r="J148" s="613"/>
      <c r="K148" s="614"/>
      <c r="L148" s="614"/>
      <c r="M148" s="615"/>
      <c r="N148" s="383"/>
      <c r="O148" s="613"/>
      <c r="P148" s="614"/>
      <c r="Q148" s="614"/>
      <c r="R148" s="615"/>
      <c r="S148" s="383"/>
      <c r="T148" s="613"/>
      <c r="U148" s="614"/>
      <c r="V148" s="614"/>
      <c r="W148" s="615"/>
      <c r="X148" s="383"/>
      <c r="Y148" s="613"/>
      <c r="Z148" s="614"/>
      <c r="AA148" s="614"/>
      <c r="AB148" s="615"/>
      <c r="AC148" s="383"/>
      <c r="AD148" s="613"/>
      <c r="AE148" s="614"/>
      <c r="AF148" s="614"/>
      <c r="AG148" s="615"/>
      <c r="AH148" s="383"/>
      <c r="AI148" s="613"/>
      <c r="AJ148" s="614"/>
      <c r="AK148" s="614"/>
      <c r="AL148" s="615"/>
      <c r="AM148" s="383"/>
      <c r="AN148" s="613"/>
      <c r="AO148" s="614"/>
      <c r="AP148" s="614"/>
      <c r="AQ148" s="615"/>
      <c r="AR148" s="383"/>
      <c r="AS148" s="613"/>
      <c r="AT148" s="614"/>
      <c r="AU148" s="614"/>
      <c r="AV148" s="615"/>
      <c r="AW148" s="383"/>
      <c r="AX148" s="613"/>
      <c r="AY148" s="614"/>
      <c r="AZ148" s="614"/>
      <c r="BA148" s="615"/>
      <c r="BB148" s="383"/>
      <c r="BC148" s="613"/>
      <c r="BD148" s="614"/>
      <c r="BE148" s="614"/>
      <c r="BF148" s="615"/>
      <c r="BG148" s="383"/>
      <c r="BH148" s="613"/>
      <c r="BI148" s="614"/>
      <c r="BJ148" s="614"/>
      <c r="BK148" s="615"/>
      <c r="BL148" s="383"/>
      <c r="BM148" s="613"/>
      <c r="BN148" s="614"/>
      <c r="BO148" s="614"/>
      <c r="BP148" s="615"/>
      <c r="BQ148" s="383"/>
      <c r="BR148" s="383"/>
      <c r="BS148" s="383"/>
      <c r="BT148" s="383"/>
      <c r="BU148" s="383"/>
      <c r="BV148" s="383"/>
      <c r="BW148" s="383"/>
      <c r="BX148" s="383"/>
      <c r="BY148" s="383"/>
      <c r="BZ148" s="383"/>
      <c r="CA148" s="383"/>
      <c r="CB148" s="383"/>
      <c r="CC148" s="5"/>
      <c r="CD148" s="5"/>
      <c r="CE148" s="383"/>
      <c r="CF148" s="383"/>
      <c r="CG148" s="383"/>
      <c r="CH148" s="383"/>
      <c r="CI148" s="383"/>
      <c r="CJ148" s="383"/>
      <c r="CK148" s="383"/>
      <c r="CL148" s="383"/>
      <c r="CM148" s="383"/>
      <c r="CN148" s="383"/>
      <c r="CO148" s="383"/>
      <c r="CP148" s="383"/>
      <c r="CQ148" s="383"/>
      <c r="CR148" s="383"/>
      <c r="CS148" s="383"/>
      <c r="CT148" s="383"/>
      <c r="CU148" s="383"/>
    </row>
    <row r="149" spans="1:99" ht="12.75" customHeight="1">
      <c r="A149" s="383"/>
      <c r="B149" s="379" t="s">
        <v>275</v>
      </c>
      <c r="C149" s="658"/>
      <c r="D149" s="659"/>
      <c r="E149" s="613"/>
      <c r="F149" s="614"/>
      <c r="G149" s="614"/>
      <c r="H149" s="615"/>
      <c r="I149" s="383"/>
      <c r="J149" s="613"/>
      <c r="K149" s="614"/>
      <c r="L149" s="614"/>
      <c r="M149" s="615"/>
      <c r="N149" s="383"/>
      <c r="O149" s="613"/>
      <c r="P149" s="614"/>
      <c r="Q149" s="614"/>
      <c r="R149" s="615"/>
      <c r="S149" s="383"/>
      <c r="T149" s="613"/>
      <c r="U149" s="614"/>
      <c r="V149" s="614"/>
      <c r="W149" s="615"/>
      <c r="X149" s="383"/>
      <c r="Y149" s="613"/>
      <c r="Z149" s="614"/>
      <c r="AA149" s="614"/>
      <c r="AB149" s="615"/>
      <c r="AC149" s="383"/>
      <c r="AD149" s="613"/>
      <c r="AE149" s="614"/>
      <c r="AF149" s="614"/>
      <c r="AG149" s="615"/>
      <c r="AH149" s="383"/>
      <c r="AI149" s="613"/>
      <c r="AJ149" s="614"/>
      <c r="AK149" s="614"/>
      <c r="AL149" s="615"/>
      <c r="AM149" s="383"/>
      <c r="AN149" s="613"/>
      <c r="AO149" s="614"/>
      <c r="AP149" s="614"/>
      <c r="AQ149" s="615"/>
      <c r="AR149" s="383"/>
      <c r="AS149" s="613"/>
      <c r="AT149" s="614"/>
      <c r="AU149" s="614"/>
      <c r="AV149" s="615"/>
      <c r="AW149" s="383"/>
      <c r="AX149" s="613"/>
      <c r="AY149" s="614"/>
      <c r="AZ149" s="614"/>
      <c r="BA149" s="615"/>
      <c r="BB149" s="383"/>
      <c r="BC149" s="613"/>
      <c r="BD149" s="614"/>
      <c r="BE149" s="614"/>
      <c r="BF149" s="615"/>
      <c r="BG149" s="383"/>
      <c r="BH149" s="613"/>
      <c r="BI149" s="614"/>
      <c r="BJ149" s="614"/>
      <c r="BK149" s="615"/>
      <c r="BL149" s="383"/>
      <c r="BM149" s="613"/>
      <c r="BN149" s="614"/>
      <c r="BO149" s="614"/>
      <c r="BP149" s="615"/>
      <c r="BQ149" s="383"/>
      <c r="BR149" s="383"/>
      <c r="BS149" s="383"/>
      <c r="BT149" s="383"/>
      <c r="BU149" s="383"/>
      <c r="BV149" s="383"/>
      <c r="BW149" s="383"/>
      <c r="BX149" s="383"/>
      <c r="BY149" s="383"/>
      <c r="BZ149" s="383"/>
      <c r="CA149" s="383"/>
      <c r="CB149" s="383"/>
      <c r="CC149" s="5"/>
      <c r="CD149" s="5"/>
      <c r="CE149" s="383"/>
      <c r="CF149" s="383"/>
      <c r="CG149" s="383"/>
      <c r="CH149" s="383"/>
      <c r="CI149" s="383"/>
      <c r="CJ149" s="383"/>
      <c r="CK149" s="383"/>
      <c r="CL149" s="383"/>
      <c r="CM149" s="383"/>
      <c r="CN149" s="383"/>
      <c r="CO149" s="383"/>
      <c r="CP149" s="383"/>
      <c r="CQ149" s="383"/>
      <c r="CR149" s="383"/>
      <c r="CS149" s="383"/>
      <c r="CT149" s="383"/>
      <c r="CU149" s="383"/>
    </row>
    <row r="150" spans="1:99" ht="12.75" customHeight="1">
      <c r="A150" s="383"/>
      <c r="B150" s="383"/>
      <c r="C150" s="389" t="s">
        <v>236</v>
      </c>
      <c r="D150" s="383"/>
      <c r="E150" s="613"/>
      <c r="F150" s="614"/>
      <c r="G150" s="614"/>
      <c r="H150" s="615"/>
      <c r="I150" s="383"/>
      <c r="J150" s="613"/>
      <c r="K150" s="614"/>
      <c r="L150" s="614"/>
      <c r="M150" s="615"/>
      <c r="N150" s="383"/>
      <c r="O150" s="613"/>
      <c r="P150" s="614"/>
      <c r="Q150" s="614"/>
      <c r="R150" s="615"/>
      <c r="S150" s="383"/>
      <c r="T150" s="613"/>
      <c r="U150" s="614"/>
      <c r="V150" s="614"/>
      <c r="W150" s="615"/>
      <c r="X150" s="383"/>
      <c r="Y150" s="613"/>
      <c r="Z150" s="614"/>
      <c r="AA150" s="614"/>
      <c r="AB150" s="615"/>
      <c r="AC150" s="383"/>
      <c r="AD150" s="613"/>
      <c r="AE150" s="614"/>
      <c r="AF150" s="614"/>
      <c r="AG150" s="615"/>
      <c r="AH150" s="383"/>
      <c r="AI150" s="613"/>
      <c r="AJ150" s="614"/>
      <c r="AK150" s="614"/>
      <c r="AL150" s="615"/>
      <c r="AM150" s="383"/>
      <c r="AN150" s="613"/>
      <c r="AO150" s="614"/>
      <c r="AP150" s="614"/>
      <c r="AQ150" s="615"/>
      <c r="AR150" s="383"/>
      <c r="AS150" s="613"/>
      <c r="AT150" s="614"/>
      <c r="AU150" s="614"/>
      <c r="AV150" s="615"/>
      <c r="AW150" s="383"/>
      <c r="AX150" s="613"/>
      <c r="AY150" s="614"/>
      <c r="AZ150" s="614"/>
      <c r="BA150" s="615"/>
      <c r="BB150" s="383"/>
      <c r="BC150" s="613"/>
      <c r="BD150" s="614"/>
      <c r="BE150" s="614"/>
      <c r="BF150" s="615"/>
      <c r="BG150" s="383"/>
      <c r="BH150" s="613"/>
      <c r="BI150" s="614"/>
      <c r="BJ150" s="614"/>
      <c r="BK150" s="615"/>
      <c r="BL150" s="383"/>
      <c r="BM150" s="613"/>
      <c r="BN150" s="614"/>
      <c r="BO150" s="614"/>
      <c r="BP150" s="615"/>
      <c r="BQ150" s="383"/>
      <c r="BR150" s="383"/>
      <c r="BS150" s="383"/>
      <c r="BT150" s="383"/>
      <c r="BU150" s="383"/>
      <c r="BV150" s="383"/>
      <c r="BW150" s="383"/>
      <c r="BX150" s="383"/>
      <c r="BY150" s="383"/>
      <c r="BZ150" s="383"/>
      <c r="CA150" s="383"/>
      <c r="CB150" s="383"/>
      <c r="CC150" s="5"/>
      <c r="CD150" s="5"/>
      <c r="CE150" s="383"/>
      <c r="CF150" s="383"/>
      <c r="CG150" s="383"/>
      <c r="CH150" s="383"/>
      <c r="CI150" s="383"/>
      <c r="CJ150" s="383"/>
      <c r="CK150" s="383"/>
      <c r="CL150" s="383"/>
      <c r="CM150" s="383"/>
      <c r="CN150" s="383"/>
      <c r="CO150" s="383"/>
      <c r="CP150" s="383"/>
      <c r="CQ150" s="383"/>
      <c r="CR150" s="383"/>
      <c r="CS150" s="383"/>
      <c r="CT150" s="383"/>
      <c r="CU150" s="383"/>
    </row>
    <row r="151" spans="1:99" ht="12.75" customHeight="1">
      <c r="A151" s="45"/>
      <c r="B151" s="45"/>
      <c r="C151" s="391" t="s">
        <v>234</v>
      </c>
      <c r="D151" s="45"/>
      <c r="E151" s="290">
        <f t="shared" ref="E151:S151" si="384">+E176</f>
        <v>0</v>
      </c>
      <c r="F151" s="260">
        <f t="shared" si="384"/>
        <v>191</v>
      </c>
      <c r="G151" s="260">
        <f t="shared" si="384"/>
        <v>0</v>
      </c>
      <c r="H151" s="291">
        <f t="shared" si="384"/>
        <v>0</v>
      </c>
      <c r="I151" s="45">
        <f t="shared" si="384"/>
        <v>191</v>
      </c>
      <c r="J151" s="290">
        <f t="shared" si="384"/>
        <v>0</v>
      </c>
      <c r="K151" s="260">
        <f t="shared" si="384"/>
        <v>0</v>
      </c>
      <c r="L151" s="260">
        <f t="shared" si="384"/>
        <v>500</v>
      </c>
      <c r="M151" s="291">
        <f t="shared" si="384"/>
        <v>0</v>
      </c>
      <c r="N151" s="45">
        <f t="shared" si="384"/>
        <v>500</v>
      </c>
      <c r="O151" s="290">
        <f t="shared" si="384"/>
        <v>599</v>
      </c>
      <c r="P151" s="260">
        <f t="shared" si="384"/>
        <v>0</v>
      </c>
      <c r="Q151" s="260">
        <f t="shared" si="384"/>
        <v>600</v>
      </c>
      <c r="R151" s="291">
        <f t="shared" si="384"/>
        <v>0</v>
      </c>
      <c r="S151" s="45">
        <f t="shared" si="384"/>
        <v>1199</v>
      </c>
      <c r="T151" s="290">
        <f t="shared" ref="T151:X152" si="385">+T176</f>
        <v>0</v>
      </c>
      <c r="U151" s="260">
        <f t="shared" si="385"/>
        <v>0</v>
      </c>
      <c r="V151" s="260">
        <f t="shared" si="385"/>
        <v>0</v>
      </c>
      <c r="W151" s="291">
        <f t="shared" si="385"/>
        <v>350</v>
      </c>
      <c r="X151" s="45">
        <f t="shared" si="385"/>
        <v>350</v>
      </c>
      <c r="Y151" s="290">
        <f>+Y176</f>
        <v>0</v>
      </c>
      <c r="Z151" s="260">
        <f>+Z176</f>
        <v>0</v>
      </c>
      <c r="AA151" s="1441">
        <f t="shared" ref="AA151:AC152" si="386">+AA176</f>
        <v>350</v>
      </c>
      <c r="AB151" s="1442">
        <f t="shared" si="386"/>
        <v>0</v>
      </c>
      <c r="AC151" s="1443">
        <f t="shared" si="386"/>
        <v>350</v>
      </c>
      <c r="AD151" s="290">
        <f>+AD176</f>
        <v>650</v>
      </c>
      <c r="AE151" s="260">
        <f>+AE176</f>
        <v>0</v>
      </c>
      <c r="AF151" s="1441">
        <f t="shared" ref="AF151:AH151" si="387">+AF176</f>
        <v>0</v>
      </c>
      <c r="AG151" s="1442">
        <f t="shared" si="387"/>
        <v>250</v>
      </c>
      <c r="AH151" s="1443">
        <f t="shared" si="387"/>
        <v>900</v>
      </c>
      <c r="AI151" s="290">
        <f>+AI176</f>
        <v>400</v>
      </c>
      <c r="AJ151" s="260">
        <f>+AJ176</f>
        <v>0</v>
      </c>
      <c r="AK151" s="1441">
        <f t="shared" ref="AK151:AM151" si="388">+AK176</f>
        <v>0</v>
      </c>
      <c r="AL151" s="1442">
        <f t="shared" si="388"/>
        <v>450</v>
      </c>
      <c r="AM151" s="1443">
        <f t="shared" si="388"/>
        <v>850</v>
      </c>
      <c r="AN151" s="290">
        <f>+AN176</f>
        <v>0</v>
      </c>
      <c r="AO151" s="260">
        <f>+AO176</f>
        <v>1200</v>
      </c>
      <c r="AP151" s="1441">
        <f t="shared" ref="AP151:AR151" si="389">+AP176</f>
        <v>0</v>
      </c>
      <c r="AQ151" s="1442">
        <f t="shared" si="389"/>
        <v>0</v>
      </c>
      <c r="AR151" s="1443">
        <f t="shared" si="389"/>
        <v>1200</v>
      </c>
      <c r="AS151" s="290">
        <f t="shared" ref="AS151:AW152" si="390">+AS176</f>
        <v>0</v>
      </c>
      <c r="AT151" s="260">
        <f t="shared" si="390"/>
        <v>0</v>
      </c>
      <c r="AU151" s="260">
        <f t="shared" si="390"/>
        <v>1000</v>
      </c>
      <c r="AV151" s="1442">
        <f t="shared" si="390"/>
        <v>0</v>
      </c>
      <c r="AW151" s="1443">
        <f t="shared" si="390"/>
        <v>1000</v>
      </c>
      <c r="AX151" s="290">
        <f>Debt!AL174</f>
        <v>0</v>
      </c>
      <c r="AY151" s="260">
        <f>Debt!AM174</f>
        <v>0</v>
      </c>
      <c r="AZ151" s="260">
        <f>Debt!AN174</f>
        <v>1550</v>
      </c>
      <c r="BA151" s="291">
        <f>Debt!AO174</f>
        <v>0</v>
      </c>
      <c r="BB151" s="426">
        <v>1550</v>
      </c>
      <c r="BC151" s="290">
        <f>Debt!AQ174</f>
        <v>0</v>
      </c>
      <c r="BD151" s="260">
        <f>Debt!AR174</f>
        <v>0</v>
      </c>
      <c r="BE151" s="260">
        <f>Debt!AS174</f>
        <v>425</v>
      </c>
      <c r="BF151" s="291">
        <f>Debt!AT174</f>
        <v>0</v>
      </c>
      <c r="BG151" s="2032">
        <v>425</v>
      </c>
      <c r="BH151" s="290">
        <f>Debt!AV174</f>
        <v>0</v>
      </c>
      <c r="BI151" s="260">
        <f>Debt!AW174</f>
        <v>0</v>
      </c>
      <c r="BJ151" s="260">
        <f>Debt!AX174</f>
        <v>1000</v>
      </c>
      <c r="BK151" s="291">
        <f>Debt!AY174</f>
        <v>0</v>
      </c>
      <c r="BL151" s="2032">
        <v>1000</v>
      </c>
      <c r="BM151" s="290">
        <f>Debt!BA174</f>
        <v>0</v>
      </c>
      <c r="BN151" s="260">
        <f>Debt!BB174</f>
        <v>0</v>
      </c>
      <c r="BO151" s="260">
        <f>Debt!BC174</f>
        <v>750</v>
      </c>
      <c r="BP151" s="291">
        <f>Debt!BD174</f>
        <v>0</v>
      </c>
      <c r="BQ151" s="2032">
        <v>750</v>
      </c>
      <c r="BR151" s="383"/>
      <c r="BS151" s="45"/>
      <c r="BT151" s="45"/>
      <c r="BU151" s="45"/>
      <c r="BV151" s="45"/>
      <c r="BW151" s="45"/>
      <c r="BX151" s="45"/>
      <c r="BY151" s="45"/>
      <c r="BZ151" s="45"/>
      <c r="CA151" s="45"/>
      <c r="CB151" s="45"/>
      <c r="CC151" s="5"/>
      <c r="CD151" s="5"/>
      <c r="CE151" s="45"/>
      <c r="CF151" s="45"/>
      <c r="CG151" s="45"/>
      <c r="CH151" s="45"/>
      <c r="CI151" s="45"/>
      <c r="CJ151" s="45"/>
      <c r="CK151" s="45"/>
      <c r="CL151" s="45"/>
      <c r="CM151" s="45"/>
      <c r="CN151" s="45"/>
      <c r="CO151" s="45"/>
      <c r="CP151" s="45"/>
      <c r="CQ151" s="45"/>
      <c r="CR151" s="45"/>
      <c r="CS151" s="45"/>
      <c r="CT151" s="45"/>
      <c r="CU151" s="45"/>
    </row>
    <row r="152" spans="1:99" ht="12.75" customHeight="1">
      <c r="A152" s="45"/>
      <c r="B152" s="45"/>
      <c r="C152" s="391" t="s">
        <v>235</v>
      </c>
      <c r="D152" s="45"/>
      <c r="E152" s="290">
        <f t="shared" ref="E152:S152" si="391">+E177</f>
        <v>-17</v>
      </c>
      <c r="F152" s="260">
        <f t="shared" si="391"/>
        <v>-191</v>
      </c>
      <c r="G152" s="260">
        <f t="shared" si="391"/>
        <v>0</v>
      </c>
      <c r="H152" s="291">
        <f t="shared" si="391"/>
        <v>0</v>
      </c>
      <c r="I152" s="45">
        <f t="shared" si="391"/>
        <v>-208</v>
      </c>
      <c r="J152" s="290">
        <f t="shared" si="391"/>
        <v>0</v>
      </c>
      <c r="K152" s="260">
        <f t="shared" si="391"/>
        <v>-1</v>
      </c>
      <c r="L152" s="260">
        <f t="shared" si="391"/>
        <v>-212</v>
      </c>
      <c r="M152" s="291">
        <f t="shared" si="391"/>
        <v>0</v>
      </c>
      <c r="N152" s="45">
        <f t="shared" si="391"/>
        <v>-213</v>
      </c>
      <c r="O152" s="290">
        <f t="shared" si="391"/>
        <v>0</v>
      </c>
      <c r="P152" s="260">
        <f t="shared" si="391"/>
        <v>-1</v>
      </c>
      <c r="Q152" s="260">
        <f t="shared" si="391"/>
        <v>0</v>
      </c>
      <c r="R152" s="291">
        <f t="shared" si="391"/>
        <v>-536</v>
      </c>
      <c r="S152" s="45">
        <f t="shared" si="391"/>
        <v>-537</v>
      </c>
      <c r="T152" s="290">
        <f t="shared" si="385"/>
        <v>-450</v>
      </c>
      <c r="U152" s="260">
        <f t="shared" si="385"/>
        <v>0</v>
      </c>
      <c r="V152" s="260">
        <f t="shared" si="385"/>
        <v>0</v>
      </c>
      <c r="W152" s="291">
        <f t="shared" si="385"/>
        <v>0</v>
      </c>
      <c r="X152" s="45">
        <f t="shared" si="385"/>
        <v>-450</v>
      </c>
      <c r="Y152" s="290">
        <f>+Y177</f>
        <v>0</v>
      </c>
      <c r="Z152" s="260">
        <f>+Z177</f>
        <v>-125</v>
      </c>
      <c r="AA152" s="1441">
        <f t="shared" si="386"/>
        <v>-127</v>
      </c>
      <c r="AB152" s="1442">
        <f t="shared" si="386"/>
        <v>0</v>
      </c>
      <c r="AC152" s="1443">
        <f t="shared" si="386"/>
        <v>-252</v>
      </c>
      <c r="AD152" s="290">
        <f>+AD177</f>
        <v>-617</v>
      </c>
      <c r="AE152" s="260">
        <f>+AE177</f>
        <v>0</v>
      </c>
      <c r="AF152" s="1441">
        <f t="shared" ref="AF152:AH152" si="392">+AF177</f>
        <v>0</v>
      </c>
      <c r="AG152" s="1442">
        <f t="shared" si="392"/>
        <v>0</v>
      </c>
      <c r="AH152" s="1443">
        <f t="shared" si="392"/>
        <v>-617</v>
      </c>
      <c r="AI152" s="290">
        <f>+AI177</f>
        <v>0</v>
      </c>
      <c r="AJ152" s="260">
        <f>+AJ177</f>
        <v>-260</v>
      </c>
      <c r="AK152" s="1441">
        <f t="shared" ref="AK152:AM152" si="393">+AK177</f>
        <v>0</v>
      </c>
      <c r="AL152" s="1442">
        <f t="shared" si="393"/>
        <v>0</v>
      </c>
      <c r="AM152" s="1443">
        <f t="shared" si="393"/>
        <v>-260</v>
      </c>
      <c r="AN152" s="290">
        <f>+AN177</f>
        <v>0</v>
      </c>
      <c r="AO152" s="260">
        <f>+AO177</f>
        <v>0</v>
      </c>
      <c r="AP152" s="1441">
        <f t="shared" ref="AP152:AR152" si="394">+AP177</f>
        <v>-665</v>
      </c>
      <c r="AQ152" s="1442">
        <f t="shared" si="394"/>
        <v>0</v>
      </c>
      <c r="AR152" s="1443">
        <f t="shared" si="394"/>
        <v>-665</v>
      </c>
      <c r="AS152" s="290">
        <f t="shared" si="390"/>
        <v>0</v>
      </c>
      <c r="AT152" s="260">
        <f>+AT177</f>
        <v>0</v>
      </c>
      <c r="AU152" s="260">
        <f t="shared" si="390"/>
        <v>-425</v>
      </c>
      <c r="AV152" s="1442">
        <f t="shared" si="390"/>
        <v>0</v>
      </c>
      <c r="AW152" s="1443">
        <f t="shared" si="390"/>
        <v>-425</v>
      </c>
      <c r="AX152" s="290">
        <f>Debt!AL163</f>
        <v>-700</v>
      </c>
      <c r="AY152" s="260">
        <f>Debt!AM163</f>
        <v>0</v>
      </c>
      <c r="AZ152" s="260">
        <f>Debt!AN163</f>
        <v>-140</v>
      </c>
      <c r="BA152" s="291">
        <f>Debt!AO163</f>
        <v>0</v>
      </c>
      <c r="BB152" s="45">
        <f>SUM(AX152:BA152)</f>
        <v>-840</v>
      </c>
      <c r="BC152" s="290">
        <f>Debt!AQ163</f>
        <v>0</v>
      </c>
      <c r="BD152" s="260">
        <f>Debt!AR163</f>
        <v>0</v>
      </c>
      <c r="BE152" s="260">
        <f>Debt!AS163</f>
        <v>0</v>
      </c>
      <c r="BF152" s="291">
        <f>Debt!AT163</f>
        <v>0</v>
      </c>
      <c r="BG152" s="45">
        <f>SUM(BC152:BF152)</f>
        <v>0</v>
      </c>
      <c r="BH152" s="290">
        <f>Debt!AV163</f>
        <v>0</v>
      </c>
      <c r="BI152" s="260">
        <f>Debt!AW163</f>
        <v>0</v>
      </c>
      <c r="BJ152" s="260">
        <f>Debt!AX163</f>
        <v>-500</v>
      </c>
      <c r="BK152" s="291">
        <f>Debt!AY163</f>
        <v>0</v>
      </c>
      <c r="BL152" s="45">
        <f>SUM(BH152:BK152)</f>
        <v>-500</v>
      </c>
      <c r="BM152" s="290">
        <f>Debt!BA163</f>
        <v>0</v>
      </c>
      <c r="BN152" s="260">
        <f>Debt!BB163</f>
        <v>0</v>
      </c>
      <c r="BO152" s="260">
        <f>Debt!BC163</f>
        <v>-350</v>
      </c>
      <c r="BP152" s="291">
        <f>Debt!BD163</f>
        <v>0</v>
      </c>
      <c r="BQ152" s="45">
        <f>SUM(BM152:BP152)</f>
        <v>-350</v>
      </c>
      <c r="BR152" s="45"/>
      <c r="BS152" s="45"/>
      <c r="BT152" s="45"/>
      <c r="BU152" s="45"/>
      <c r="BV152" s="45"/>
      <c r="BW152" s="45"/>
      <c r="BX152" s="45"/>
      <c r="BY152" s="45"/>
      <c r="BZ152" s="45"/>
      <c r="CA152" s="45"/>
      <c r="CB152" s="45"/>
      <c r="CC152" s="5"/>
      <c r="CD152" s="5"/>
      <c r="CE152" s="45"/>
      <c r="CF152" s="45"/>
      <c r="CG152" s="45"/>
      <c r="CH152" s="45"/>
      <c r="CI152" s="45"/>
      <c r="CJ152" s="45"/>
      <c r="CK152" s="45"/>
      <c r="CL152" s="45"/>
      <c r="CM152" s="45"/>
      <c r="CN152" s="45"/>
      <c r="CO152" s="45"/>
      <c r="CP152" s="45"/>
      <c r="CQ152" s="45"/>
      <c r="CR152" s="45"/>
      <c r="CS152" s="45"/>
      <c r="CT152" s="45"/>
      <c r="CU152" s="45"/>
    </row>
    <row r="153" spans="1:99" ht="12.75" customHeight="1">
      <c r="A153" s="383"/>
      <c r="B153" s="383"/>
      <c r="C153" s="391"/>
      <c r="D153" s="383"/>
      <c r="E153" s="613"/>
      <c r="F153" s="614"/>
      <c r="G153" s="614"/>
      <c r="H153" s="615"/>
      <c r="I153" s="383"/>
      <c r="J153" s="613"/>
      <c r="K153" s="614"/>
      <c r="L153" s="614"/>
      <c r="M153" s="615"/>
      <c r="N153" s="383"/>
      <c r="O153" s="613"/>
      <c r="P153" s="614"/>
      <c r="Q153" s="260"/>
      <c r="R153" s="291"/>
      <c r="S153" s="45"/>
      <c r="T153" s="613"/>
      <c r="U153" s="614"/>
      <c r="V153" s="260"/>
      <c r="W153" s="291"/>
      <c r="X153" s="45"/>
      <c r="Y153" s="613"/>
      <c r="Z153" s="614"/>
      <c r="AA153" s="1441"/>
      <c r="AB153" s="1442"/>
      <c r="AC153" s="1443"/>
      <c r="AD153" s="613"/>
      <c r="AE153" s="614"/>
      <c r="AF153" s="1441"/>
      <c r="AG153" s="291"/>
      <c r="AH153" s="45"/>
      <c r="AI153" s="613"/>
      <c r="AJ153" s="614"/>
      <c r="AK153" s="1441"/>
      <c r="AL153" s="291"/>
      <c r="AM153" s="45"/>
      <c r="AN153" s="290"/>
      <c r="AO153" s="614"/>
      <c r="AP153" s="1441"/>
      <c r="AQ153" s="291"/>
      <c r="AR153" s="45"/>
      <c r="AS153" s="290"/>
      <c r="AT153" s="260"/>
      <c r="AU153" s="260"/>
      <c r="AV153" s="291"/>
      <c r="AW153" s="45"/>
      <c r="AX153" s="290"/>
      <c r="AY153" s="260"/>
      <c r="AZ153" s="260"/>
      <c r="BA153" s="291"/>
      <c r="BB153" s="45"/>
      <c r="BC153" s="290"/>
      <c r="BD153" s="260"/>
      <c r="BE153" s="260"/>
      <c r="BF153" s="291"/>
      <c r="BG153" s="45"/>
      <c r="BH153" s="290"/>
      <c r="BI153" s="260"/>
      <c r="BJ153" s="260"/>
      <c r="BK153" s="291"/>
      <c r="BL153" s="45"/>
      <c r="BM153" s="290"/>
      <c r="BN153" s="260"/>
      <c r="BO153" s="260"/>
      <c r="BP153" s="291"/>
      <c r="BQ153" s="45"/>
      <c r="BR153" s="383"/>
      <c r="BS153" s="383"/>
      <c r="BT153" s="383"/>
      <c r="BU153" s="383"/>
      <c r="BV153" s="383"/>
      <c r="BW153" s="383"/>
      <c r="BX153" s="383"/>
      <c r="BY153" s="383"/>
      <c r="BZ153" s="383"/>
      <c r="CA153" s="383"/>
      <c r="CB153" s="383"/>
      <c r="CC153" s="5"/>
      <c r="CD153" s="5"/>
      <c r="CE153" s="383"/>
      <c r="CF153" s="383"/>
      <c r="CG153" s="383"/>
      <c r="CH153" s="383"/>
      <c r="CI153" s="383"/>
      <c r="CJ153" s="383"/>
      <c r="CK153" s="383"/>
      <c r="CL153" s="383"/>
      <c r="CM153" s="383"/>
      <c r="CN153" s="383"/>
      <c r="CO153" s="383"/>
      <c r="CP153" s="383"/>
      <c r="CQ153" s="383"/>
      <c r="CR153" s="383"/>
      <c r="CS153" s="383"/>
      <c r="CT153" s="383"/>
      <c r="CU153" s="383"/>
    </row>
    <row r="154" spans="1:99" ht="12.75" customHeight="1">
      <c r="A154" s="383"/>
      <c r="B154" s="383"/>
      <c r="C154" s="389" t="s">
        <v>318</v>
      </c>
      <c r="D154" s="383"/>
      <c r="E154" s="613"/>
      <c r="F154" s="614"/>
      <c r="G154" s="614"/>
      <c r="H154" s="615"/>
      <c r="I154" s="383"/>
      <c r="J154" s="613"/>
      <c r="K154" s="614"/>
      <c r="L154" s="614"/>
      <c r="M154" s="615"/>
      <c r="N154" s="383"/>
      <c r="O154" s="613"/>
      <c r="P154" s="614"/>
      <c r="Q154" s="260"/>
      <c r="R154" s="291"/>
      <c r="S154" s="45"/>
      <c r="T154" s="613"/>
      <c r="U154" s="614"/>
      <c r="V154" s="260"/>
      <c r="W154" s="291"/>
      <c r="X154" s="45"/>
      <c r="Y154" s="613"/>
      <c r="Z154" s="614"/>
      <c r="AA154" s="1441"/>
      <c r="AB154" s="1442"/>
      <c r="AC154" s="1443"/>
      <c r="AD154" s="613"/>
      <c r="AE154" s="614"/>
      <c r="AF154" s="1441"/>
      <c r="AG154" s="291"/>
      <c r="AH154" s="45"/>
      <c r="AI154" s="613"/>
      <c r="AJ154" s="614"/>
      <c r="AK154" s="1441"/>
      <c r="AL154" s="291"/>
      <c r="AM154" s="45"/>
      <c r="AN154" s="290"/>
      <c r="AO154" s="614"/>
      <c r="AP154" s="1441"/>
      <c r="AQ154" s="291"/>
      <c r="AR154" s="45"/>
      <c r="AS154" s="290"/>
      <c r="AT154" s="260"/>
      <c r="AU154" s="260"/>
      <c r="AV154" s="291"/>
      <c r="AW154" s="45"/>
      <c r="AX154" s="290"/>
      <c r="AY154" s="260"/>
      <c r="AZ154" s="260"/>
      <c r="BA154" s="291"/>
      <c r="BB154" s="45"/>
      <c r="BC154" s="290"/>
      <c r="BD154" s="260"/>
      <c r="BE154" s="260"/>
      <c r="BF154" s="291"/>
      <c r="BG154" s="45"/>
      <c r="BH154" s="290"/>
      <c r="BI154" s="260"/>
      <c r="BJ154" s="260"/>
      <c r="BK154" s="291"/>
      <c r="BL154" s="45"/>
      <c r="BM154" s="290"/>
      <c r="BN154" s="260"/>
      <c r="BO154" s="260"/>
      <c r="BP154" s="291"/>
      <c r="BQ154" s="45"/>
      <c r="BR154" s="383"/>
      <c r="BS154" s="383"/>
      <c r="BT154" s="383"/>
      <c r="BU154" s="383"/>
      <c r="BV154" s="383"/>
      <c r="BW154" s="383"/>
      <c r="BX154" s="383"/>
      <c r="BY154" s="383"/>
      <c r="BZ154" s="383"/>
      <c r="CA154" s="383"/>
      <c r="CB154" s="383"/>
      <c r="CC154" s="5"/>
      <c r="CD154" s="5"/>
      <c r="CE154" s="383"/>
      <c r="CF154" s="383"/>
      <c r="CG154" s="383"/>
      <c r="CH154" s="383"/>
      <c r="CI154" s="383"/>
      <c r="CJ154" s="383"/>
      <c r="CK154" s="383"/>
      <c r="CL154" s="383"/>
      <c r="CM154" s="383"/>
      <c r="CN154" s="383"/>
      <c r="CO154" s="383"/>
      <c r="CP154" s="383"/>
      <c r="CQ154" s="383"/>
      <c r="CR154" s="383"/>
      <c r="CS154" s="383"/>
      <c r="CT154" s="383"/>
      <c r="CU154" s="383"/>
    </row>
    <row r="155" spans="1:99" ht="12.75" customHeight="1">
      <c r="A155" s="45"/>
      <c r="B155" s="45"/>
      <c r="C155" s="226" t="s">
        <v>421</v>
      </c>
      <c r="D155" s="45"/>
      <c r="E155" s="290"/>
      <c r="F155" s="260"/>
      <c r="G155" s="260"/>
      <c r="H155" s="291"/>
      <c r="I155" s="45"/>
      <c r="J155" s="290"/>
      <c r="K155" s="260"/>
      <c r="L155" s="260"/>
      <c r="M155" s="291"/>
      <c r="N155" s="45"/>
      <c r="O155" s="290"/>
      <c r="P155" s="260"/>
      <c r="Q155" s="260"/>
      <c r="R155" s="291"/>
      <c r="S155" s="45"/>
      <c r="T155" s="290"/>
      <c r="U155" s="260"/>
      <c r="V155" s="260"/>
      <c r="W155" s="291"/>
      <c r="X155" s="45"/>
      <c r="Y155" s="290"/>
      <c r="Z155" s="260"/>
      <c r="AA155" s="1441"/>
      <c r="AB155" s="1442"/>
      <c r="AC155" s="1443"/>
      <c r="AD155" s="290"/>
      <c r="AE155" s="260"/>
      <c r="AF155" s="1441"/>
      <c r="AG155" s="291"/>
      <c r="AH155" s="45"/>
      <c r="AI155" s="290"/>
      <c r="AJ155" s="260"/>
      <c r="AK155" s="1441"/>
      <c r="AL155" s="291"/>
      <c r="AM155" s="45"/>
      <c r="AN155" s="290"/>
      <c r="AO155" s="260"/>
      <c r="AP155" s="1441"/>
      <c r="AQ155" s="291"/>
      <c r="AR155" s="45"/>
      <c r="AS155" s="290"/>
      <c r="AT155" s="260"/>
      <c r="AU155" s="260"/>
      <c r="AV155" s="291"/>
      <c r="AW155" s="45"/>
      <c r="AX155" s="290">
        <f>(((AV192-AS192)*AX159)/4)-((AV190-AS190)*(AX159-1%)/4)</f>
        <v>-1.9375</v>
      </c>
      <c r="AY155" s="260">
        <f ca="1">(((AX192-AT192)*AY159)/4)-((AX190-AT190)*(AY159-1%)/4)</f>
        <v>2.2004513620531956</v>
      </c>
      <c r="AZ155" s="260">
        <f ca="1">(((AY192-AU192)*AZ159)/4)-((AY190-AU190)*(AZ159-1%)/4)</f>
        <v>5.5957586084070385</v>
      </c>
      <c r="BA155" s="291">
        <f ca="1">(((AZ192-AV192)*BA159)/4)-((AZ190-AV190)*(BA159-1%)/4)</f>
        <v>-0.51189950205396084</v>
      </c>
      <c r="BB155" s="45">
        <f ca="1">+SUM(AX155:BA155)</f>
        <v>5.3468104684062734</v>
      </c>
      <c r="BC155" s="290">
        <f ca="1">(((BA192-AX192)*BC159)/4)-((BA190-AX190)*(BC159-1%)/4)</f>
        <v>-4.2146858197702519</v>
      </c>
      <c r="BD155" s="260">
        <f ca="1">(((BC192-AY192)*BD159)/4)-((BC190-AY190)*(BD159-1%)/4)</f>
        <v>-4.7502710251354721</v>
      </c>
      <c r="BE155" s="260">
        <f ca="1">(((BD192-AZ192)*BE159)/4)-((BD190-AZ190)*(BE159-1%)/4)</f>
        <v>1.4438314874487412</v>
      </c>
      <c r="BF155" s="291">
        <f ca="1">(((BE192-BA192)*BF159)/4)-((BE190-BA190)*(BF159-1%)/4)</f>
        <v>-0.37133821963577601</v>
      </c>
      <c r="BG155" s="45">
        <f ca="1">+SUM(BC155:BF155)</f>
        <v>-7.8924635770927596</v>
      </c>
      <c r="BH155" s="290">
        <f ca="1">(((BF192-BC192)*BH159)/4)-((BF190-BC190)*(BH159-1%)/4)</f>
        <v>-0.40223301116041799</v>
      </c>
      <c r="BI155" s="260">
        <f ca="1">(((BH192-BD192)*BI159)/4)-((BH190-BD190)*(BI159-1%)/4)</f>
        <v>-0.47934421807403371</v>
      </c>
      <c r="BJ155" s="260">
        <f ca="1">(((BI192-BE192)*BJ159)/4)-((BI190-BE190)*(BJ159-1%)/4)</f>
        <v>1.4649480307775427</v>
      </c>
      <c r="BK155" s="291">
        <f ca="1">(((BJ192-BF192)*BK159)/4)-((BJ190-BF190)*(BK159-1%)/4)</f>
        <v>-0.35952183200865734</v>
      </c>
      <c r="BL155" s="45">
        <f ca="1">+SUM(BH155:BK155)</f>
        <v>0.22384896953443362</v>
      </c>
      <c r="BM155" s="290">
        <f ca="1">(((BK192-BH192)*BM159)/4)-((BK190-BH190)*(BM159-1%)/4)</f>
        <v>-0.41553521394416137</v>
      </c>
      <c r="BN155" s="260">
        <f ca="1">(((BM192-BI192)*BN159)/4)-((BM190-BI190)*(BN159-1%)/4)</f>
        <v>-0.73787555449568176</v>
      </c>
      <c r="BO155" s="260">
        <f ca="1">(((BN192-BJ192)*BO159)/4)-((BN190-BJ190)*(BO159-1%)/4)</f>
        <v>1.244393522719502</v>
      </c>
      <c r="BP155" s="291">
        <f ca="1">(((BO192-BK192)*BP159)/4)-((BO190-BK190)*(BP159-1%)/4)</f>
        <v>-0.35752351768545809</v>
      </c>
      <c r="BQ155" s="45">
        <f ca="1">+SUM(BM155:BP155)</f>
        <v>-0.26654076340579924</v>
      </c>
      <c r="BR155" s="45"/>
      <c r="BS155" s="45"/>
      <c r="BT155" s="45"/>
      <c r="BU155" s="45"/>
      <c r="BV155" s="45"/>
      <c r="BW155" s="45"/>
      <c r="BX155" s="45"/>
      <c r="BY155" s="45"/>
      <c r="BZ155" s="45"/>
      <c r="CA155" s="45"/>
      <c r="CB155" s="45"/>
      <c r="CC155" s="5"/>
      <c r="CD155" s="5"/>
      <c r="CE155" s="45"/>
      <c r="CF155" s="45"/>
      <c r="CG155" s="45"/>
      <c r="CH155" s="45"/>
      <c r="CI155" s="45"/>
      <c r="CJ155" s="45"/>
      <c r="CK155" s="45"/>
      <c r="CL155" s="45"/>
      <c r="CM155" s="45"/>
      <c r="CN155" s="45"/>
      <c r="CO155" s="45"/>
      <c r="CP155" s="45"/>
      <c r="CQ155" s="45"/>
      <c r="CR155" s="45"/>
      <c r="CS155" s="45"/>
      <c r="CT155" s="45"/>
      <c r="CU155" s="45"/>
    </row>
    <row r="156" spans="1:99" ht="12.75" customHeight="1">
      <c r="A156" s="45"/>
      <c r="B156" s="45"/>
      <c r="C156" s="391" t="s">
        <v>224</v>
      </c>
      <c r="D156" s="45"/>
      <c r="E156" s="290"/>
      <c r="F156" s="260"/>
      <c r="G156" s="260"/>
      <c r="H156" s="291"/>
      <c r="I156" s="45"/>
      <c r="J156" s="290"/>
      <c r="K156" s="260"/>
      <c r="L156" s="260"/>
      <c r="M156" s="291"/>
      <c r="N156" s="45"/>
      <c r="O156" s="290"/>
      <c r="P156" s="260"/>
      <c r="Q156" s="260"/>
      <c r="R156" s="291"/>
      <c r="S156" s="45"/>
      <c r="T156" s="290"/>
      <c r="U156" s="260"/>
      <c r="V156" s="260"/>
      <c r="W156" s="291"/>
      <c r="X156" s="45"/>
      <c r="Y156" s="290"/>
      <c r="Z156" s="260"/>
      <c r="AA156" s="1441"/>
      <c r="AB156" s="1442"/>
      <c r="AC156" s="1443"/>
      <c r="AD156" s="290"/>
      <c r="AE156" s="260"/>
      <c r="AF156" s="1441"/>
      <c r="AG156" s="291"/>
      <c r="AH156" s="45"/>
      <c r="AI156" s="290"/>
      <c r="AJ156" s="260"/>
      <c r="AK156" s="1441"/>
      <c r="AL156" s="291"/>
      <c r="AM156" s="45"/>
      <c r="AN156" s="290"/>
      <c r="AO156" s="260"/>
      <c r="AP156" s="1441"/>
      <c r="AQ156" s="291"/>
      <c r="AR156" s="45"/>
      <c r="AS156" s="290"/>
      <c r="AT156" s="260"/>
      <c r="AU156" s="260"/>
      <c r="AV156" s="291"/>
      <c r="AW156" s="45"/>
      <c r="AX156" s="290">
        <f>Debt!CG174</f>
        <v>8.6750000000000007</v>
      </c>
      <c r="AY156" s="260">
        <f>Debt!CH174</f>
        <v>8.6750000000000007</v>
      </c>
      <c r="AZ156" s="260">
        <f>Debt!CI174</f>
        <v>22.266666666666666</v>
      </c>
      <c r="BA156" s="291">
        <f>Debt!CJ174</f>
        <v>19.375</v>
      </c>
      <c r="BB156" s="45">
        <f>Debt!CK174</f>
        <v>58.991666666666667</v>
      </c>
      <c r="BC156" s="290">
        <f>Debt!CL174</f>
        <v>19.375</v>
      </c>
      <c r="BD156" s="260">
        <f>Debt!CM174</f>
        <v>19.375</v>
      </c>
      <c r="BE156" s="260">
        <f>Debt!CN174</f>
        <v>5.3125</v>
      </c>
      <c r="BF156" s="291">
        <f>Debt!CO174</f>
        <v>5.3125</v>
      </c>
      <c r="BG156" s="45">
        <f>Debt!CP174</f>
        <v>49.375</v>
      </c>
      <c r="BH156" s="290">
        <f>Debt!CQ174</f>
        <v>5.3125</v>
      </c>
      <c r="BI156" s="260">
        <f>Debt!CR174</f>
        <v>5.3125</v>
      </c>
      <c r="BJ156" s="260">
        <f>Debt!CS174</f>
        <v>12.5</v>
      </c>
      <c r="BK156" s="291">
        <f>Debt!CT174</f>
        <v>12.5</v>
      </c>
      <c r="BL156" s="45">
        <f>Debt!CU174</f>
        <v>35.625</v>
      </c>
      <c r="BM156" s="290">
        <f>Debt!CV174</f>
        <v>12.5</v>
      </c>
      <c r="BN156" s="260">
        <f>Debt!CW174</f>
        <v>12.5</v>
      </c>
      <c r="BO156" s="260">
        <f>Debt!CX174</f>
        <v>9.375</v>
      </c>
      <c r="BP156" s="291">
        <f>Debt!CY174</f>
        <v>9.375</v>
      </c>
      <c r="BQ156" s="45">
        <f>Debt!CZ174</f>
        <v>43.75</v>
      </c>
      <c r="BR156" s="45"/>
      <c r="BS156" s="45"/>
      <c r="BT156" s="45"/>
      <c r="BU156" s="45"/>
      <c r="BV156" s="45"/>
      <c r="BW156" s="45"/>
      <c r="BX156" s="45"/>
      <c r="BY156" s="45"/>
      <c r="BZ156" s="45"/>
      <c r="CA156" s="45"/>
      <c r="CB156" s="45"/>
      <c r="CC156" s="5"/>
      <c r="CD156" s="5"/>
      <c r="CE156" s="45"/>
      <c r="CF156" s="45"/>
      <c r="CG156" s="45"/>
      <c r="CH156" s="45"/>
      <c r="CI156" s="45"/>
      <c r="CJ156" s="45"/>
      <c r="CK156" s="45"/>
      <c r="CL156" s="45"/>
      <c r="CM156" s="45"/>
      <c r="CN156" s="45"/>
      <c r="CO156" s="45"/>
      <c r="CP156" s="45"/>
      <c r="CQ156" s="45"/>
      <c r="CR156" s="45"/>
      <c r="CS156" s="45"/>
      <c r="CT156" s="45"/>
      <c r="CU156" s="45"/>
    </row>
    <row r="157" spans="1:99" ht="12.75" customHeight="1">
      <c r="A157" s="45"/>
      <c r="B157" s="45"/>
      <c r="C157" s="391" t="s">
        <v>225</v>
      </c>
      <c r="D157" s="45"/>
      <c r="E157" s="290"/>
      <c r="F157" s="260"/>
      <c r="G157" s="260"/>
      <c r="H157" s="291"/>
      <c r="I157" s="45"/>
      <c r="J157" s="290"/>
      <c r="K157" s="260"/>
      <c r="L157" s="260"/>
      <c r="M157" s="291"/>
      <c r="N157" s="45"/>
      <c r="O157" s="290"/>
      <c r="P157" s="260"/>
      <c r="Q157" s="260"/>
      <c r="R157" s="291"/>
      <c r="S157" s="45"/>
      <c r="T157" s="290"/>
      <c r="U157" s="260"/>
      <c r="V157" s="260"/>
      <c r="W157" s="291"/>
      <c r="X157" s="45"/>
      <c r="Y157" s="290"/>
      <c r="Z157" s="260"/>
      <c r="AA157" s="1441"/>
      <c r="AB157" s="1442"/>
      <c r="AC157" s="1443"/>
      <c r="AD157" s="290"/>
      <c r="AE157" s="260"/>
      <c r="AF157" s="1441"/>
      <c r="AG157" s="291"/>
      <c r="AH157" s="45"/>
      <c r="AI157" s="290"/>
      <c r="AJ157" s="260"/>
      <c r="AK157" s="1441"/>
      <c r="AL157" s="291"/>
      <c r="AM157" s="45"/>
      <c r="AN157" s="290"/>
      <c r="AO157" s="260"/>
      <c r="AP157" s="1441"/>
      <c r="AQ157" s="291"/>
      <c r="AR157" s="45"/>
      <c r="AS157" s="290"/>
      <c r="AT157" s="260"/>
      <c r="AU157" s="260"/>
      <c r="AV157" s="291"/>
      <c r="AW157" s="45"/>
      <c r="AX157" s="290">
        <f>Debt!CG163</f>
        <v>-9.9177083333333336</v>
      </c>
      <c r="AY157" s="260">
        <f>Debt!CH163</f>
        <v>-16.684375000000003</v>
      </c>
      <c r="AZ157" s="260">
        <f>Debt!CI163</f>
        <v>-14.760625000000001</v>
      </c>
      <c r="BA157" s="291">
        <f>Debt!CJ163</f>
        <v>-12.5825</v>
      </c>
      <c r="BB157" s="45">
        <f>Debt!CK163</f>
        <v>-53.945208333333333</v>
      </c>
      <c r="BC157" s="290">
        <f>Debt!CL163</f>
        <v>-9.1991666666666667</v>
      </c>
      <c r="BD157" s="260">
        <f>Debt!CM163</f>
        <v>-2.4325000000000001</v>
      </c>
      <c r="BE157" s="260">
        <f>Debt!CN163</f>
        <v>0</v>
      </c>
      <c r="BF157" s="291">
        <f>Debt!CO163</f>
        <v>0</v>
      </c>
      <c r="BG157" s="45">
        <f>Debt!CP163</f>
        <v>-11.631666666666666</v>
      </c>
      <c r="BH157" s="290">
        <f>Debt!CQ163</f>
        <v>0</v>
      </c>
      <c r="BI157" s="260">
        <f>Debt!CR163</f>
        <v>0</v>
      </c>
      <c r="BJ157" s="260">
        <f>Debt!CS163</f>
        <v>-3.3333333333333335</v>
      </c>
      <c r="BK157" s="291">
        <f>Debt!CT163</f>
        <v>-5</v>
      </c>
      <c r="BL157" s="45">
        <f>Debt!CU163</f>
        <v>-8.3333333333333339</v>
      </c>
      <c r="BM157" s="290">
        <f>Debt!CV163</f>
        <v>-5</v>
      </c>
      <c r="BN157" s="260">
        <f>Debt!CW163</f>
        <v>-5</v>
      </c>
      <c r="BO157" s="260">
        <f>Debt!CX163</f>
        <v>-2.6583333333333332</v>
      </c>
      <c r="BP157" s="291">
        <f>Debt!CY163</f>
        <v>-2.9750000000000001</v>
      </c>
      <c r="BQ157" s="45">
        <f>Debt!CZ163</f>
        <v>-15.633333333333333</v>
      </c>
      <c r="BR157" s="45"/>
      <c r="BS157" s="45"/>
      <c r="BT157" s="45"/>
      <c r="BU157" s="45"/>
      <c r="BV157" s="45"/>
      <c r="BW157" s="45"/>
      <c r="BX157" s="45"/>
      <c r="BY157" s="45"/>
      <c r="BZ157" s="45"/>
      <c r="CA157" s="45"/>
      <c r="CB157" s="45"/>
      <c r="CC157" s="5"/>
      <c r="CD157" s="5"/>
      <c r="CE157" s="45"/>
      <c r="CF157" s="45"/>
      <c r="CG157" s="45"/>
      <c r="CH157" s="45"/>
      <c r="CI157" s="45"/>
      <c r="CJ157" s="45"/>
      <c r="CK157" s="45"/>
      <c r="CL157" s="45"/>
      <c r="CM157" s="45"/>
      <c r="CN157" s="45"/>
      <c r="CO157" s="45"/>
      <c r="CP157" s="45"/>
      <c r="CQ157" s="45"/>
      <c r="CR157" s="45"/>
      <c r="CS157" s="45"/>
      <c r="CT157" s="45"/>
      <c r="CU157" s="45"/>
    </row>
    <row r="158" spans="1:99" ht="12.75" customHeight="1">
      <c r="A158" s="383"/>
      <c r="B158" s="383"/>
      <c r="C158" s="28"/>
      <c r="D158" s="383"/>
      <c r="E158" s="613"/>
      <c r="F158" s="614"/>
      <c r="G158" s="614"/>
      <c r="H158" s="615"/>
      <c r="I158" s="383"/>
      <c r="J158" s="613"/>
      <c r="K158" s="614"/>
      <c r="L158" s="614"/>
      <c r="M158" s="615"/>
      <c r="N158" s="383"/>
      <c r="O158" s="613"/>
      <c r="P158" s="614"/>
      <c r="Q158" s="614"/>
      <c r="R158" s="615"/>
      <c r="S158" s="383"/>
      <c r="T158" s="613"/>
      <c r="U158" s="614"/>
      <c r="V158" s="614"/>
      <c r="W158" s="615"/>
      <c r="X158" s="383"/>
      <c r="Y158" s="613"/>
      <c r="Z158" s="614"/>
      <c r="AA158" s="614"/>
      <c r="AB158" s="615"/>
      <c r="AC158" s="383"/>
      <c r="AD158" s="613"/>
      <c r="AE158" s="614"/>
      <c r="AF158" s="614"/>
      <c r="AG158" s="615"/>
      <c r="AH158" s="383"/>
      <c r="AI158" s="613"/>
      <c r="AJ158" s="614"/>
      <c r="AK158" s="614"/>
      <c r="AL158" s="615"/>
      <c r="AM158" s="383"/>
      <c r="AN158" s="613"/>
      <c r="AO158" s="614"/>
      <c r="AP158" s="614"/>
      <c r="AQ158" s="615"/>
      <c r="AR158" s="383"/>
      <c r="AS158" s="613"/>
      <c r="AT158" s="614"/>
      <c r="AU158" s="614"/>
      <c r="AV158" s="615"/>
      <c r="AW158" s="383"/>
      <c r="AX158" s="613"/>
      <c r="AY158" s="614"/>
      <c r="AZ158" s="614"/>
      <c r="BA158" s="615"/>
      <c r="BB158" s="383"/>
      <c r="BC158" s="613"/>
      <c r="BD158" s="614"/>
      <c r="BE158" s="614"/>
      <c r="BF158" s="615"/>
      <c r="BG158" s="383"/>
      <c r="BH158" s="613"/>
      <c r="BI158" s="614"/>
      <c r="BJ158" s="614"/>
      <c r="BK158" s="615"/>
      <c r="BL158" s="383"/>
      <c r="BM158" s="613"/>
      <c r="BN158" s="614"/>
      <c r="BO158" s="614"/>
      <c r="BP158" s="615"/>
      <c r="BQ158" s="383"/>
      <c r="BR158" s="383"/>
      <c r="BS158" s="383"/>
      <c r="BT158" s="383"/>
      <c r="BU158" s="383"/>
      <c r="BV158" s="383"/>
      <c r="BW158" s="383"/>
      <c r="BX158" s="383"/>
      <c r="BY158" s="383"/>
      <c r="BZ158" s="383"/>
      <c r="CA158" s="383"/>
      <c r="CB158" s="383"/>
      <c r="CC158" s="5"/>
      <c r="CD158" s="5"/>
      <c r="CE158" s="383"/>
      <c r="CF158" s="383"/>
      <c r="CG158" s="383"/>
      <c r="CH158" s="383"/>
      <c r="CI158" s="383"/>
      <c r="CJ158" s="383"/>
      <c r="CK158" s="383"/>
      <c r="CL158" s="383"/>
      <c r="CM158" s="383"/>
      <c r="CN158" s="383"/>
      <c r="CO158" s="383"/>
      <c r="CP158" s="383"/>
      <c r="CQ158" s="383"/>
      <c r="CR158" s="383"/>
      <c r="CS158" s="383"/>
      <c r="CT158" s="383"/>
      <c r="CU158" s="383"/>
    </row>
    <row r="159" spans="1:99" ht="12.75" customHeight="1">
      <c r="A159" s="383"/>
      <c r="B159" s="383"/>
      <c r="C159" s="391" t="s">
        <v>1249</v>
      </c>
      <c r="D159" s="383"/>
      <c r="E159" s="613"/>
      <c r="F159" s="614"/>
      <c r="G159" s="614"/>
      <c r="H159" s="615"/>
      <c r="I159" s="383"/>
      <c r="J159" s="613"/>
      <c r="K159" s="614"/>
      <c r="L159" s="614"/>
      <c r="M159" s="615"/>
      <c r="N159" s="383"/>
      <c r="O159" s="613"/>
      <c r="P159" s="614"/>
      <c r="Q159" s="241"/>
      <c r="R159" s="285"/>
      <c r="S159" s="25"/>
      <c r="T159" s="613"/>
      <c r="U159" s="614"/>
      <c r="V159" s="241"/>
      <c r="W159" s="285"/>
      <c r="X159" s="25"/>
      <c r="Y159" s="303"/>
      <c r="Z159" s="239"/>
      <c r="AA159" s="241"/>
      <c r="AB159" s="285"/>
      <c r="AC159" s="25"/>
      <c r="AD159" s="303"/>
      <c r="AE159" s="239"/>
      <c r="AF159" s="241"/>
      <c r="AG159" s="285"/>
      <c r="AH159" s="25"/>
      <c r="AI159" s="303"/>
      <c r="AJ159" s="239"/>
      <c r="AK159" s="241"/>
      <c r="AL159" s="285"/>
      <c r="AM159" s="25"/>
      <c r="AN159" s="284"/>
      <c r="AO159" s="239"/>
      <c r="AP159" s="241"/>
      <c r="AQ159" s="285"/>
      <c r="AR159" s="25"/>
      <c r="AS159" s="284"/>
      <c r="AT159" s="241"/>
      <c r="AU159" s="241"/>
      <c r="AV159" s="285"/>
      <c r="AW159" s="25"/>
      <c r="AX159" s="284">
        <f>+EXC!AX111</f>
        <v>0.02</v>
      </c>
      <c r="AY159" s="241">
        <f>+EXC!AY111</f>
        <v>0.02</v>
      </c>
      <c r="AZ159" s="241">
        <f>+EXC!AZ111</f>
        <v>0.02</v>
      </c>
      <c r="BA159" s="285">
        <f>+EXC!BA111</f>
        <v>0.02</v>
      </c>
      <c r="BB159" s="25">
        <f>+EXC!BB111</f>
        <v>0.02</v>
      </c>
      <c r="BC159" s="284">
        <f>+EXC!BC111</f>
        <v>0.02</v>
      </c>
      <c r="BD159" s="241">
        <f>+EXC!BD111</f>
        <v>0.02</v>
      </c>
      <c r="BE159" s="241">
        <f>+EXC!BE111</f>
        <v>0.02</v>
      </c>
      <c r="BF159" s="285">
        <f>+EXC!BF111</f>
        <v>0.02</v>
      </c>
      <c r="BG159" s="25">
        <f>+EXC!BG111</f>
        <v>0.02</v>
      </c>
      <c r="BH159" s="284">
        <f>+EXC!BH111</f>
        <v>0.02</v>
      </c>
      <c r="BI159" s="241">
        <f>+EXC!BI111</f>
        <v>0.02</v>
      </c>
      <c r="BJ159" s="241">
        <f>+EXC!BJ111</f>
        <v>0.02</v>
      </c>
      <c r="BK159" s="285">
        <f>+EXC!BK111</f>
        <v>0.02</v>
      </c>
      <c r="BL159" s="25">
        <f>+EXC!BL111</f>
        <v>0.02</v>
      </c>
      <c r="BM159" s="284">
        <f>+EXC!BM111</f>
        <v>0.02</v>
      </c>
      <c r="BN159" s="241">
        <f>+EXC!BN111</f>
        <v>0.02</v>
      </c>
      <c r="BO159" s="241">
        <f>+EXC!BO111</f>
        <v>0.02</v>
      </c>
      <c r="BP159" s="285">
        <f>+EXC!BP111</f>
        <v>0.02</v>
      </c>
      <c r="BQ159" s="25">
        <f>+EXC!BQ111</f>
        <v>0.02</v>
      </c>
      <c r="BR159" s="383"/>
      <c r="BS159" s="383"/>
      <c r="BT159" s="383"/>
      <c r="BU159" s="383"/>
      <c r="BV159" s="383"/>
      <c r="BW159" s="383"/>
      <c r="BX159" s="383"/>
      <c r="BY159" s="383"/>
      <c r="BZ159" s="383"/>
      <c r="CA159" s="383"/>
      <c r="CB159" s="383"/>
      <c r="CC159" s="5"/>
      <c r="CD159" s="5"/>
      <c r="CE159" s="383"/>
      <c r="CF159" s="383"/>
      <c r="CG159" s="383"/>
      <c r="CH159" s="383"/>
      <c r="CI159" s="383"/>
      <c r="CJ159" s="383"/>
      <c r="CK159" s="383"/>
      <c r="CL159" s="383"/>
      <c r="CM159" s="383"/>
      <c r="CN159" s="383"/>
      <c r="CO159" s="383"/>
      <c r="CP159" s="383"/>
      <c r="CQ159" s="383"/>
      <c r="CR159" s="383"/>
      <c r="CS159" s="383"/>
      <c r="CT159" s="383"/>
      <c r="CU159" s="383"/>
    </row>
    <row r="160" spans="1:99" ht="12.75" customHeight="1">
      <c r="A160" s="383"/>
      <c r="B160" s="383"/>
      <c r="C160" s="391"/>
      <c r="D160" s="383"/>
      <c r="E160" s="613"/>
      <c r="F160" s="614"/>
      <c r="G160" s="614"/>
      <c r="H160" s="615"/>
      <c r="I160" s="383"/>
      <c r="J160" s="613"/>
      <c r="K160" s="614"/>
      <c r="L160" s="614"/>
      <c r="M160" s="615"/>
      <c r="N160" s="383"/>
      <c r="O160" s="613"/>
      <c r="P160" s="614"/>
      <c r="Q160" s="241"/>
      <c r="R160" s="285"/>
      <c r="S160" s="25"/>
      <c r="T160" s="613"/>
      <c r="U160" s="614"/>
      <c r="V160" s="241"/>
      <c r="W160" s="285"/>
      <c r="X160" s="25"/>
      <c r="Y160" s="613"/>
      <c r="Z160" s="614"/>
      <c r="AA160" s="1433"/>
      <c r="AB160" s="1430"/>
      <c r="AC160" s="25"/>
      <c r="AD160" s="613"/>
      <c r="AE160" s="614"/>
      <c r="AF160" s="1433"/>
      <c r="AG160" s="672"/>
      <c r="AH160" s="25"/>
      <c r="AI160" s="613"/>
      <c r="AJ160" s="614"/>
      <c r="AK160" s="1433"/>
      <c r="AL160" s="672"/>
      <c r="AM160" s="25"/>
      <c r="AN160" s="671"/>
      <c r="AO160" s="614"/>
      <c r="AP160" s="1433"/>
      <c r="AQ160" s="672"/>
      <c r="AR160" s="25"/>
      <c r="AS160" s="671"/>
      <c r="AT160" s="257"/>
      <c r="AU160" s="257"/>
      <c r="AV160" s="672"/>
      <c r="AW160" s="25"/>
      <c r="AX160" s="671"/>
      <c r="AY160" s="257"/>
      <c r="AZ160" s="257"/>
      <c r="BA160" s="672"/>
      <c r="BB160" s="25"/>
      <c r="BC160" s="671"/>
      <c r="BD160" s="257"/>
      <c r="BE160" s="257"/>
      <c r="BF160" s="672"/>
      <c r="BG160" s="25"/>
      <c r="BH160" s="671"/>
      <c r="BI160" s="257"/>
      <c r="BJ160" s="257"/>
      <c r="BK160" s="672"/>
      <c r="BL160" s="25"/>
      <c r="BM160" s="671"/>
      <c r="BN160" s="257"/>
      <c r="BO160" s="257"/>
      <c r="BP160" s="672"/>
      <c r="BQ160" s="25"/>
      <c r="BR160" s="383"/>
      <c r="BS160" s="383"/>
      <c r="BT160" s="383"/>
      <c r="BU160" s="383"/>
      <c r="BV160" s="383"/>
      <c r="BW160" s="383"/>
      <c r="BX160" s="383"/>
      <c r="BY160" s="383"/>
      <c r="BZ160" s="383"/>
      <c r="CA160" s="383"/>
      <c r="CB160" s="383"/>
      <c r="CC160" s="5"/>
      <c r="CD160" s="5"/>
      <c r="CE160" s="383"/>
      <c r="CF160" s="383"/>
      <c r="CG160" s="383"/>
      <c r="CH160" s="383"/>
      <c r="CI160" s="383"/>
      <c r="CJ160" s="383"/>
      <c r="CK160" s="383"/>
      <c r="CL160" s="383"/>
      <c r="CM160" s="383"/>
      <c r="CN160" s="383"/>
      <c r="CO160" s="383"/>
      <c r="CP160" s="383"/>
      <c r="CQ160" s="383"/>
      <c r="CR160" s="383"/>
      <c r="CS160" s="383"/>
      <c r="CT160" s="383"/>
      <c r="CU160" s="383"/>
    </row>
    <row r="161" spans="1:129" ht="12.75" customHeight="1">
      <c r="A161" s="383"/>
      <c r="B161" s="383"/>
      <c r="C161" s="383"/>
      <c r="D161" s="383"/>
      <c r="E161" s="613"/>
      <c r="F161" s="614"/>
      <c r="G161" s="614"/>
      <c r="H161" s="615"/>
      <c r="I161" s="383"/>
      <c r="J161" s="613"/>
      <c r="K161" s="614"/>
      <c r="L161" s="614"/>
      <c r="M161" s="615"/>
      <c r="N161" s="383"/>
      <c r="O161" s="613"/>
      <c r="P161" s="614"/>
      <c r="Q161" s="614"/>
      <c r="R161" s="615"/>
      <c r="S161" s="383"/>
      <c r="T161" s="613"/>
      <c r="U161" s="614"/>
      <c r="V161" s="614"/>
      <c r="W161" s="615"/>
      <c r="X161" s="383"/>
      <c r="Y161" s="613"/>
      <c r="Z161" s="614"/>
      <c r="AA161" s="614"/>
      <c r="AB161" s="615"/>
      <c r="AC161" s="383"/>
      <c r="AD161" s="613"/>
      <c r="AE161" s="614"/>
      <c r="AF161" s="614"/>
      <c r="AG161" s="615"/>
      <c r="AH161" s="383"/>
      <c r="AI161" s="613"/>
      <c r="AJ161" s="614"/>
      <c r="AK161" s="614"/>
      <c r="AL161" s="615"/>
      <c r="AM161" s="383"/>
      <c r="AN161" s="613"/>
      <c r="AO161" s="614"/>
      <c r="AP161" s="614"/>
      <c r="AQ161" s="615"/>
      <c r="AR161" s="383"/>
      <c r="AS161" s="613"/>
      <c r="AT161" s="614"/>
      <c r="AU161" s="614"/>
      <c r="AV161" s="615"/>
      <c r="AW161" s="383"/>
      <c r="AX161" s="613"/>
      <c r="AY161" s="614"/>
      <c r="AZ161" s="614"/>
      <c r="BA161" s="615"/>
      <c r="BB161" s="383"/>
      <c r="BC161" s="613"/>
      <c r="BD161" s="614"/>
      <c r="BE161" s="614"/>
      <c r="BF161" s="615"/>
      <c r="BG161" s="383"/>
      <c r="BH161" s="613"/>
      <c r="BI161" s="614"/>
      <c r="BJ161" s="614"/>
      <c r="BK161" s="615"/>
      <c r="BL161" s="383"/>
      <c r="BM161" s="613"/>
      <c r="BN161" s="614"/>
      <c r="BO161" s="614"/>
      <c r="BP161" s="615"/>
      <c r="BQ161" s="383"/>
      <c r="BR161" s="383"/>
      <c r="BS161" s="383"/>
      <c r="BT161" s="383"/>
      <c r="BU161" s="383"/>
      <c r="BV161" s="383"/>
      <c r="BW161" s="383"/>
      <c r="BX161" s="383"/>
      <c r="BY161" s="383"/>
      <c r="BZ161" s="383"/>
      <c r="CA161" s="383"/>
      <c r="CB161" s="383"/>
      <c r="CC161" s="5"/>
      <c r="CD161" s="5"/>
      <c r="CE161" s="383"/>
      <c r="CF161" s="383"/>
      <c r="CG161" s="776" t="s">
        <v>627</v>
      </c>
      <c r="CH161" s="28"/>
      <c r="CI161" s="28"/>
      <c r="CJ161" s="28"/>
      <c r="CK161" s="28"/>
      <c r="CL161" s="28"/>
      <c r="CM161" s="28"/>
      <c r="CN161" s="28"/>
      <c r="CO161" s="28"/>
      <c r="CP161" s="28"/>
      <c r="CQ161" s="28"/>
      <c r="CR161" s="28"/>
      <c r="CS161" s="28"/>
    </row>
    <row r="162" spans="1:129" ht="12.75" customHeight="1">
      <c r="A162" s="383"/>
      <c r="B162" s="379" t="s">
        <v>276</v>
      </c>
      <c r="C162" s="658"/>
      <c r="D162" s="659"/>
      <c r="E162" s="613"/>
      <c r="F162" s="614"/>
      <c r="G162" s="614"/>
      <c r="H162" s="615"/>
      <c r="I162" s="383"/>
      <c r="J162" s="613"/>
      <c r="K162" s="614"/>
      <c r="L162" s="614"/>
      <c r="M162" s="615"/>
      <c r="N162" s="383"/>
      <c r="O162" s="613"/>
      <c r="P162" s="614"/>
      <c r="Q162" s="614"/>
      <c r="R162" s="615"/>
      <c r="S162" s="383"/>
      <c r="T162" s="613"/>
      <c r="U162" s="614"/>
      <c r="V162" s="614"/>
      <c r="W162" s="615"/>
      <c r="X162" s="383"/>
      <c r="Y162" s="613"/>
      <c r="Z162" s="614"/>
      <c r="AA162" s="614"/>
      <c r="AB162" s="615"/>
      <c r="AC162" s="383"/>
      <c r="AD162" s="613"/>
      <c r="AE162" s="614"/>
      <c r="AF162" s="614"/>
      <c r="AG162" s="615"/>
      <c r="AH162" s="383"/>
      <c r="AI162" s="613"/>
      <c r="AJ162" s="614"/>
      <c r="AK162" s="614"/>
      <c r="AL162" s="615"/>
      <c r="AM162" s="383"/>
      <c r="AN162" s="613"/>
      <c r="AO162" s="614"/>
      <c r="AP162" s="614"/>
      <c r="AQ162" s="615"/>
      <c r="AR162" s="383"/>
      <c r="AS162" s="613"/>
      <c r="AT162" s="614"/>
      <c r="AU162" s="614"/>
      <c r="AV162" s="615"/>
      <c r="AW162" s="383"/>
      <c r="AX162" s="613"/>
      <c r="AY162" s="614"/>
      <c r="AZ162" s="614"/>
      <c r="BA162" s="615"/>
      <c r="BB162" s="383"/>
      <c r="BC162" s="613"/>
      <c r="BD162" s="614"/>
      <c r="BE162" s="614"/>
      <c r="BF162" s="615"/>
      <c r="BG162" s="383"/>
      <c r="BH162" s="613"/>
      <c r="BI162" s="614"/>
      <c r="BJ162" s="614"/>
      <c r="BK162" s="615"/>
      <c r="BL162" s="383"/>
      <c r="BM162" s="613"/>
      <c r="BN162" s="614"/>
      <c r="BO162" s="614"/>
      <c r="BP162" s="615"/>
      <c r="BQ162" s="383"/>
      <c r="BR162" s="383"/>
      <c r="BS162" s="383"/>
      <c r="BT162" s="383"/>
      <c r="BU162" s="383"/>
      <c r="BV162" s="383"/>
      <c r="BW162" s="383"/>
      <c r="BX162" s="383"/>
      <c r="BY162" s="383"/>
      <c r="BZ162" s="383"/>
      <c r="CA162" s="383"/>
      <c r="CB162" s="383"/>
      <c r="CC162" s="45"/>
      <c r="CD162" s="5"/>
      <c r="CE162" s="383"/>
      <c r="CF162" s="383"/>
      <c r="CG162" s="777" t="s">
        <v>358</v>
      </c>
      <c r="CH162" s="777" t="s">
        <v>359</v>
      </c>
      <c r="CI162" s="777" t="s">
        <v>322</v>
      </c>
      <c r="CJ162" s="777" t="s">
        <v>323</v>
      </c>
      <c r="CK162" s="777" t="s">
        <v>628</v>
      </c>
      <c r="CL162" s="777" t="s">
        <v>324</v>
      </c>
      <c r="CM162" s="777" t="s">
        <v>325</v>
      </c>
      <c r="CN162" s="777" t="s">
        <v>326</v>
      </c>
      <c r="CO162" s="777" t="s">
        <v>327</v>
      </c>
      <c r="CP162" s="777" t="s">
        <v>629</v>
      </c>
      <c r="CQ162" s="777" t="s">
        <v>268</v>
      </c>
      <c r="CR162" s="777" t="s">
        <v>269</v>
      </c>
      <c r="CS162" s="777" t="s">
        <v>270</v>
      </c>
      <c r="CT162" s="777" t="s">
        <v>271</v>
      </c>
      <c r="CU162" s="777" t="s">
        <v>630</v>
      </c>
      <c r="CV162" s="777" t="s">
        <v>616</v>
      </c>
      <c r="CW162" s="777" t="s">
        <v>1201</v>
      </c>
      <c r="CX162" s="777" t="s">
        <v>1251</v>
      </c>
      <c r="CY162" s="777" t="s">
        <v>1252</v>
      </c>
      <c r="CZ162" s="777" t="s">
        <v>827</v>
      </c>
      <c r="DA162" s="777" t="s">
        <v>674</v>
      </c>
      <c r="DB162" s="777" t="s">
        <v>673</v>
      </c>
      <c r="DC162" s="777" t="s">
        <v>919</v>
      </c>
      <c r="DD162" s="777" t="s">
        <v>920</v>
      </c>
      <c r="DE162" s="777" t="s">
        <v>922</v>
      </c>
      <c r="DF162" s="777" t="s">
        <v>1218</v>
      </c>
      <c r="DG162" s="777" t="s">
        <v>1211</v>
      </c>
      <c r="DH162" s="777" t="s">
        <v>1344</v>
      </c>
      <c r="DI162" s="777" t="s">
        <v>1345</v>
      </c>
      <c r="DJ162" s="777" t="s">
        <v>1346</v>
      </c>
      <c r="DK162" s="777" t="s">
        <v>1409</v>
      </c>
      <c r="DL162" s="777" t="s">
        <v>1405</v>
      </c>
      <c r="DM162" s="777" t="s">
        <v>1406</v>
      </c>
      <c r="DN162" s="777" t="s">
        <v>1407</v>
      </c>
      <c r="DO162" s="777" t="s">
        <v>1408</v>
      </c>
      <c r="DP162" s="777" t="s">
        <v>1436</v>
      </c>
      <c r="DQ162" s="777" t="s">
        <v>1439</v>
      </c>
      <c r="DR162" s="777" t="s">
        <v>1480</v>
      </c>
      <c r="DS162" s="777" t="s">
        <v>1501</v>
      </c>
      <c r="DT162" s="777" t="s">
        <v>1503</v>
      </c>
      <c r="DU162" s="777" t="s">
        <v>1515</v>
      </c>
      <c r="DV162" s="777" t="s">
        <v>1534</v>
      </c>
      <c r="DW162" s="777" t="s">
        <v>1536</v>
      </c>
      <c r="DX162" s="777" t="s">
        <v>1538</v>
      </c>
      <c r="DY162" s="777" t="s">
        <v>1540</v>
      </c>
    </row>
    <row r="163" spans="1:129" ht="12.75" customHeight="1">
      <c r="A163" s="45"/>
      <c r="B163" s="45"/>
      <c r="C163" s="391" t="s">
        <v>321</v>
      </c>
      <c r="D163" s="45"/>
      <c r="E163" s="290">
        <f t="shared" ref="E163:E168" si="395">+CG163</f>
        <v>114</v>
      </c>
      <c r="F163" s="260">
        <f t="shared" ref="F163:G168" si="396">+CH163-CG163</f>
        <v>116</v>
      </c>
      <c r="G163" s="260">
        <f t="shared" si="396"/>
        <v>45</v>
      </c>
      <c r="H163" s="291">
        <f t="shared" ref="H163:H168" si="397">+CK163-CI163</f>
        <v>99</v>
      </c>
      <c r="I163" s="647">
        <f t="shared" ref="I163:I169" si="398">CK163</f>
        <v>374</v>
      </c>
      <c r="J163" s="290">
        <f t="shared" ref="J163:J168" si="399">+CL163</f>
        <v>116</v>
      </c>
      <c r="K163" s="260">
        <f t="shared" ref="K163:L168" si="400">+CM163-CL163</f>
        <v>9</v>
      </c>
      <c r="L163" s="260">
        <f t="shared" si="400"/>
        <v>121</v>
      </c>
      <c r="M163" s="291">
        <f t="shared" ref="M163:M168" si="401">+CP163-CN163</f>
        <v>91</v>
      </c>
      <c r="N163" s="647">
        <f t="shared" ref="N163:N169" si="402">CP163</f>
        <v>337</v>
      </c>
      <c r="O163" s="290">
        <f t="shared" ref="O163:O168" si="403">+CQ163</f>
        <v>69</v>
      </c>
      <c r="P163" s="260">
        <f t="shared" ref="P163:Q168" si="404">+CR163-CQ163</f>
        <v>114</v>
      </c>
      <c r="Q163" s="260">
        <f t="shared" si="404"/>
        <v>112</v>
      </c>
      <c r="R163" s="291">
        <f t="shared" ref="R163:R168" si="405">+CU163-CS163</f>
        <v>121</v>
      </c>
      <c r="S163" s="647">
        <f t="shared" ref="S163:S169" si="406">CU163</f>
        <v>416</v>
      </c>
      <c r="T163" s="290">
        <f t="shared" ref="T163:T168" si="407">+CV163</f>
        <v>87</v>
      </c>
      <c r="U163" s="260">
        <f t="shared" ref="U163:U168" si="408">+CW163-CV163</f>
        <v>42</v>
      </c>
      <c r="V163" s="260">
        <f t="shared" ref="V163:V168" si="409">+CX163-CW163</f>
        <v>90</v>
      </c>
      <c r="W163" s="291">
        <f t="shared" ref="W163:W168" si="410">+CZ163-CX163</f>
        <v>160</v>
      </c>
      <c r="X163" s="647">
        <f t="shared" ref="X163:X169" si="411">CZ163</f>
        <v>379</v>
      </c>
      <c r="Y163" s="290">
        <f t="shared" ref="Y163:Y168" si="412">+DA163</f>
        <v>-81</v>
      </c>
      <c r="Z163" s="260">
        <f t="shared" ref="Z163:AA168" si="413">+DB163-DA163</f>
        <v>95</v>
      </c>
      <c r="AA163" s="1441">
        <f t="shared" si="413"/>
        <v>126</v>
      </c>
      <c r="AB163" s="1442">
        <f t="shared" ref="AB163:AB168" si="414">+DE163-DC163</f>
        <v>109</v>
      </c>
      <c r="AC163" s="1466">
        <f t="shared" ref="AC163:AC169" si="415">DE163</f>
        <v>249</v>
      </c>
      <c r="AD163" s="290">
        <f t="shared" ref="AD163:AD168" si="416">+DF163</f>
        <v>98</v>
      </c>
      <c r="AE163" s="260">
        <f t="shared" ref="AE163:AF168" si="417">+DG163-DF163</f>
        <v>111</v>
      </c>
      <c r="AF163" s="1441">
        <f t="shared" si="417"/>
        <v>126</v>
      </c>
      <c r="AG163" s="1442">
        <f t="shared" ref="AG163:AG168" si="418">+DJ163-DH163</f>
        <v>73</v>
      </c>
      <c r="AH163" s="1466">
        <f t="shared" ref="AH163:AH169" si="419">DJ163</f>
        <v>408</v>
      </c>
      <c r="AI163" s="290">
        <f t="shared" ref="AI163:AI168" si="420">+DK163</f>
        <v>90</v>
      </c>
      <c r="AJ163" s="260">
        <f t="shared" ref="AJ163:AJ168" si="421">+DL163-DK163</f>
        <v>99</v>
      </c>
      <c r="AK163" s="1441">
        <f t="shared" ref="AK163:AK168" si="422">+DM163-DL163</f>
        <v>150</v>
      </c>
      <c r="AL163" s="1442">
        <f t="shared" ref="AL163:AL168" si="423">+DO163-DM163</f>
        <v>87</v>
      </c>
      <c r="AM163" s="1466">
        <f t="shared" ref="AM163:AM169" si="424">DO163</f>
        <v>426</v>
      </c>
      <c r="AN163" s="290">
        <f t="shared" ref="AN163:AN168" si="425">+DP163</f>
        <v>115</v>
      </c>
      <c r="AO163" s="260">
        <f t="shared" ref="AO163:AP168" si="426">+DQ163-DP163</f>
        <v>145</v>
      </c>
      <c r="AP163" s="1441">
        <f t="shared" si="426"/>
        <v>37</v>
      </c>
      <c r="AQ163" s="1442">
        <f t="shared" ref="AQ163:AQ168" si="427">+DT163-DR163</f>
        <v>81</v>
      </c>
      <c r="AR163" s="1466">
        <f t="shared" ref="AR163:AR169" si="428">DT163</f>
        <v>378</v>
      </c>
      <c r="AS163" s="290">
        <f t="shared" ref="AS163:AS168" si="429">+DU163</f>
        <v>141</v>
      </c>
      <c r="AT163" s="260">
        <f t="shared" ref="AT163:AT168" si="430">+DV163-DU163</f>
        <v>118</v>
      </c>
      <c r="AU163" s="260">
        <f t="shared" ref="AU163:AU168" si="431">+DW163-DV163</f>
        <v>188</v>
      </c>
      <c r="AV163" s="291">
        <f>AV35</f>
        <v>119</v>
      </c>
      <c r="AW163" s="45">
        <f>SUM(AS163:AV163)</f>
        <v>566</v>
      </c>
      <c r="AX163" s="290">
        <f>AX35</f>
        <v>164.03042223542661</v>
      </c>
      <c r="AY163" s="260">
        <f ca="1">AY35</f>
        <v>164.99757296285696</v>
      </c>
      <c r="AZ163" s="260">
        <f ca="1">AZ35</f>
        <v>204.2281476419771</v>
      </c>
      <c r="BA163" s="291">
        <f ca="1">BA35</f>
        <v>125.54027637145461</v>
      </c>
      <c r="BB163" s="45">
        <f ca="1">SUM(AX163:BA163)</f>
        <v>658.79641921171537</v>
      </c>
      <c r="BC163" s="290">
        <f ca="1">BC35</f>
        <v>164.91570325393789</v>
      </c>
      <c r="BD163" s="260">
        <f ca="1">BD35</f>
        <v>161.35097143870075</v>
      </c>
      <c r="BE163" s="260">
        <f ca="1">BE35</f>
        <v>205.62746728444708</v>
      </c>
      <c r="BF163" s="291">
        <f ca="1">BF35</f>
        <v>129.37429052468326</v>
      </c>
      <c r="BG163" s="45">
        <f ca="1">SUM(BC163:BF163)</f>
        <v>661.26843250176898</v>
      </c>
      <c r="BH163" s="290">
        <f ca="1">BH35</f>
        <v>176.02564060112874</v>
      </c>
      <c r="BI163" s="260">
        <f ca="1">BI35</f>
        <v>173.29350530190521</v>
      </c>
      <c r="BJ163" s="260">
        <f ca="1">BJ35</f>
        <v>212.67927540924637</v>
      </c>
      <c r="BK163" s="291">
        <f ca="1">BK35</f>
        <v>139.13893110238993</v>
      </c>
      <c r="BL163" s="45">
        <f ca="1">SUM(BH163:BK163)</f>
        <v>701.1373524146702</v>
      </c>
      <c r="BM163" s="290">
        <f ca="1">BM35</f>
        <v>185.87041498894877</v>
      </c>
      <c r="BN163" s="260">
        <f ca="1">BN35</f>
        <v>183.23948276337899</v>
      </c>
      <c r="BO163" s="260">
        <f ca="1">BO35</f>
        <v>221.61642954552667</v>
      </c>
      <c r="BP163" s="291">
        <f ca="1">BP35</f>
        <v>149.79765893591656</v>
      </c>
      <c r="BQ163" s="45">
        <f ca="1">SUM(BM163:BP163)</f>
        <v>740.52398623377098</v>
      </c>
      <c r="BR163" s="383"/>
      <c r="BS163" s="383"/>
      <c r="BT163" s="383"/>
      <c r="BU163" s="383"/>
      <c r="BV163" s="383"/>
      <c r="BW163" s="383"/>
      <c r="BX163" s="383"/>
      <c r="BY163" s="383"/>
      <c r="BZ163" s="383"/>
      <c r="CA163" s="383"/>
      <c r="CB163" s="383"/>
      <c r="CC163" s="383"/>
      <c r="CD163" s="383"/>
      <c r="CE163" s="383"/>
      <c r="CF163" s="383"/>
      <c r="CG163" s="427">
        <v>114</v>
      </c>
      <c r="CH163" s="427">
        <v>230</v>
      </c>
      <c r="CI163" s="427">
        <v>275</v>
      </c>
      <c r="CJ163" s="45">
        <f>CK163</f>
        <v>374</v>
      </c>
      <c r="CK163" s="427">
        <v>374</v>
      </c>
      <c r="CL163" s="427">
        <v>116</v>
      </c>
      <c r="CM163" s="427">
        <v>125</v>
      </c>
      <c r="CN163" s="427">
        <v>246</v>
      </c>
      <c r="CO163" s="45">
        <f>CP163</f>
        <v>337</v>
      </c>
      <c r="CP163" s="427">
        <v>337</v>
      </c>
      <c r="CQ163" s="427">
        <v>69</v>
      </c>
      <c r="CR163" s="427">
        <v>183</v>
      </c>
      <c r="CS163" s="427">
        <v>295</v>
      </c>
      <c r="CT163" s="45">
        <f>CU163</f>
        <v>416</v>
      </c>
      <c r="CU163" s="427">
        <v>416</v>
      </c>
      <c r="CV163" s="427">
        <v>87</v>
      </c>
      <c r="CW163" s="427">
        <f>129</f>
        <v>129</v>
      </c>
      <c r="CX163" s="427">
        <v>219</v>
      </c>
      <c r="CY163" s="45">
        <f>CZ163</f>
        <v>379</v>
      </c>
      <c r="CZ163" s="427">
        <v>379</v>
      </c>
      <c r="DA163" s="427">
        <v>-81</v>
      </c>
      <c r="DB163" s="427">
        <v>14</v>
      </c>
      <c r="DC163" s="1437">
        <v>140</v>
      </c>
      <c r="DD163" s="1443">
        <f>DE163</f>
        <v>249</v>
      </c>
      <c r="DE163" s="1437">
        <v>249</v>
      </c>
      <c r="DF163" s="427">
        <v>98</v>
      </c>
      <c r="DG163" s="427">
        <v>209</v>
      </c>
      <c r="DH163" s="1437">
        <v>335</v>
      </c>
      <c r="DI163" s="1443">
        <f>DJ163</f>
        <v>408</v>
      </c>
      <c r="DJ163" s="1437">
        <v>408</v>
      </c>
      <c r="DK163" s="427">
        <v>90</v>
      </c>
      <c r="DL163" s="427">
        <v>189</v>
      </c>
      <c r="DM163" s="1437">
        <v>339</v>
      </c>
      <c r="DN163" s="1443">
        <f>DO163</f>
        <v>426</v>
      </c>
      <c r="DO163" s="1437">
        <v>426</v>
      </c>
      <c r="DP163" s="427">
        <v>115</v>
      </c>
      <c r="DQ163" s="427">
        <v>260</v>
      </c>
      <c r="DR163" s="1437">
        <v>297</v>
      </c>
      <c r="DS163" s="1443">
        <f>DT163</f>
        <v>378</v>
      </c>
      <c r="DT163" s="1437">
        <v>378</v>
      </c>
      <c r="DU163" s="427">
        <v>141</v>
      </c>
      <c r="DV163" s="427">
        <v>259</v>
      </c>
      <c r="DW163" s="427">
        <v>447</v>
      </c>
      <c r="DX163" s="1443">
        <f>DY163</f>
        <v>567</v>
      </c>
      <c r="DY163" s="1437">
        <v>567</v>
      </c>
    </row>
    <row r="164" spans="1:129" ht="12.75" customHeight="1">
      <c r="A164" s="45"/>
      <c r="B164" s="45"/>
      <c r="C164" s="28" t="s">
        <v>67</v>
      </c>
      <c r="D164" s="45"/>
      <c r="E164" s="290">
        <f t="shared" si="395"/>
        <v>123</v>
      </c>
      <c r="F164" s="260">
        <f t="shared" si="396"/>
        <v>123</v>
      </c>
      <c r="G164" s="260">
        <f t="shared" si="396"/>
        <v>126</v>
      </c>
      <c r="H164" s="291">
        <f t="shared" si="397"/>
        <v>123</v>
      </c>
      <c r="I164" s="647">
        <f t="shared" si="398"/>
        <v>495</v>
      </c>
      <c r="J164" s="290">
        <f t="shared" si="399"/>
        <v>130</v>
      </c>
      <c r="K164" s="260">
        <f t="shared" si="400"/>
        <v>131</v>
      </c>
      <c r="L164" s="260">
        <f t="shared" si="400"/>
        <v>126</v>
      </c>
      <c r="M164" s="291">
        <f t="shared" si="401"/>
        <v>130</v>
      </c>
      <c r="N164" s="647">
        <f t="shared" si="402"/>
        <v>517</v>
      </c>
      <c r="O164" s="290">
        <f t="shared" si="403"/>
        <v>134</v>
      </c>
      <c r="P164" s="260">
        <f t="shared" si="404"/>
        <v>136</v>
      </c>
      <c r="Q164" s="260">
        <f t="shared" si="404"/>
        <v>135</v>
      </c>
      <c r="R164" s="291">
        <f t="shared" si="405"/>
        <v>137</v>
      </c>
      <c r="S164" s="647">
        <f t="shared" si="406"/>
        <v>542</v>
      </c>
      <c r="T164" s="290">
        <f t="shared" si="407"/>
        <v>149</v>
      </c>
      <c r="U164" s="260">
        <f t="shared" si="408"/>
        <v>151</v>
      </c>
      <c r="V164" s="260">
        <f t="shared" si="409"/>
        <v>158</v>
      </c>
      <c r="W164" s="291">
        <f t="shared" si="410"/>
        <v>152</v>
      </c>
      <c r="X164" s="647">
        <f t="shared" si="411"/>
        <v>610</v>
      </c>
      <c r="Y164" s="290">
        <f t="shared" si="412"/>
        <v>167</v>
      </c>
      <c r="Z164" s="260">
        <f t="shared" si="413"/>
        <v>170</v>
      </c>
      <c r="AA164" s="1441">
        <f t="shared" si="413"/>
        <v>164</v>
      </c>
      <c r="AB164" s="1442">
        <f t="shared" si="414"/>
        <v>168</v>
      </c>
      <c r="AC164" s="1466">
        <f t="shared" si="415"/>
        <v>669</v>
      </c>
      <c r="AD164" s="290">
        <f t="shared" si="416"/>
        <v>173</v>
      </c>
      <c r="AE164" s="260">
        <f t="shared" si="417"/>
        <v>174</v>
      </c>
      <c r="AF164" s="1441">
        <f t="shared" si="417"/>
        <v>174</v>
      </c>
      <c r="AG164" s="1442">
        <f t="shared" si="418"/>
        <v>166</v>
      </c>
      <c r="AH164" s="1466">
        <f t="shared" si="419"/>
        <v>687</v>
      </c>
      <c r="AI164" s="290">
        <f t="shared" si="420"/>
        <v>175</v>
      </c>
      <c r="AJ164" s="260">
        <f t="shared" si="421"/>
        <v>177</v>
      </c>
      <c r="AK164" s="1441">
        <f t="shared" si="422"/>
        <v>176</v>
      </c>
      <c r="AL164" s="1442">
        <f t="shared" si="423"/>
        <v>179</v>
      </c>
      <c r="AM164" s="1466">
        <f t="shared" si="424"/>
        <v>707</v>
      </c>
      <c r="AN164" s="290">
        <f t="shared" si="425"/>
        <v>189</v>
      </c>
      <c r="AO164" s="260">
        <f t="shared" si="426"/>
        <v>190</v>
      </c>
      <c r="AP164" s="1441">
        <f t="shared" si="426"/>
        <v>195</v>
      </c>
      <c r="AQ164" s="1442">
        <f t="shared" si="427"/>
        <v>201</v>
      </c>
      <c r="AR164" s="1466">
        <f t="shared" si="428"/>
        <v>775</v>
      </c>
      <c r="AS164" s="290">
        <f t="shared" si="429"/>
        <v>208</v>
      </c>
      <c r="AT164" s="260">
        <f t="shared" si="430"/>
        <v>211</v>
      </c>
      <c r="AU164" s="260">
        <f t="shared" si="431"/>
        <v>212</v>
      </c>
      <c r="AV164" s="1442">
        <f t="shared" ref="AV164:AV168" si="432">+DY164-DW164</f>
        <v>219</v>
      </c>
      <c r="AW164" s="1466">
        <f t="shared" ref="AW164:AW169" si="433">DY164</f>
        <v>850</v>
      </c>
      <c r="AX164" s="290">
        <f>AX13</f>
        <v>199.82957894211077</v>
      </c>
      <c r="AY164" s="260">
        <f>AY13</f>
        <v>203.39125135455083</v>
      </c>
      <c r="AZ164" s="260">
        <f>AZ13</f>
        <v>206.63364844919141</v>
      </c>
      <c r="BA164" s="291">
        <f>BA13</f>
        <v>209.84397948196002</v>
      </c>
      <c r="BB164" s="45">
        <f>SUM(AX164:BA164)</f>
        <v>819.69845822781292</v>
      </c>
      <c r="BC164" s="290">
        <f>BC13</f>
        <v>213.02256157389206</v>
      </c>
      <c r="BD164" s="260">
        <f>BD13</f>
        <v>216.08971270562222</v>
      </c>
      <c r="BE164" s="260">
        <f>BE13</f>
        <v>218.21756530460766</v>
      </c>
      <c r="BF164" s="291">
        <f>BF13</f>
        <v>220.32437425869023</v>
      </c>
      <c r="BG164" s="45">
        <f>SUM(BC164:BF164)</f>
        <v>867.65421384281217</v>
      </c>
      <c r="BH164" s="290">
        <f>BH13</f>
        <v>222.41034768143533</v>
      </c>
      <c r="BI164" s="260">
        <f>BI13</f>
        <v>224.50069037955609</v>
      </c>
      <c r="BJ164" s="260">
        <f>BJ13</f>
        <v>226.85441213695324</v>
      </c>
      <c r="BK164" s="291">
        <f>BK13</f>
        <v>229.18485649022642</v>
      </c>
      <c r="BL164" s="45">
        <f>SUM(BH164:BK164)</f>
        <v>902.95030668817117</v>
      </c>
      <c r="BM164" s="290">
        <f>BM13</f>
        <v>231.49225364396179</v>
      </c>
      <c r="BN164" s="260">
        <f>BN13</f>
        <v>233.7768315261103</v>
      </c>
      <c r="BO164" s="260">
        <f>BO13</f>
        <v>236.03881581050319</v>
      </c>
      <c r="BP164" s="291">
        <f>BP13</f>
        <v>238.27842993914413</v>
      </c>
      <c r="BQ164" s="45">
        <f>SUM(BM164:BP164)</f>
        <v>939.58633091971956</v>
      </c>
      <c r="BR164" s="383"/>
      <c r="BS164" s="383"/>
      <c r="BT164" s="383"/>
      <c r="BU164" s="383"/>
      <c r="BV164" s="383"/>
      <c r="BW164" s="383"/>
      <c r="BX164" s="383"/>
      <c r="BY164" s="383"/>
      <c r="BZ164" s="383"/>
      <c r="CA164" s="383"/>
      <c r="CB164" s="383"/>
      <c r="CC164" s="383"/>
      <c r="CD164" s="383"/>
      <c r="CE164" s="383"/>
      <c r="CF164" s="383"/>
      <c r="CG164" s="427">
        <v>123</v>
      </c>
      <c r="CH164" s="427">
        <v>246</v>
      </c>
      <c r="CI164" s="427">
        <v>372</v>
      </c>
      <c r="CJ164" s="45">
        <f>CK164</f>
        <v>495</v>
      </c>
      <c r="CK164" s="427">
        <v>495</v>
      </c>
      <c r="CL164" s="427">
        <v>130</v>
      </c>
      <c r="CM164" s="427">
        <v>261</v>
      </c>
      <c r="CN164" s="427">
        <v>387</v>
      </c>
      <c r="CO164" s="45">
        <f>CP164</f>
        <v>517</v>
      </c>
      <c r="CP164" s="427">
        <v>517</v>
      </c>
      <c r="CQ164" s="427">
        <v>134</v>
      </c>
      <c r="CR164" s="427">
        <v>270</v>
      </c>
      <c r="CS164" s="427">
        <v>405</v>
      </c>
      <c r="CT164" s="45">
        <f>CU164</f>
        <v>542</v>
      </c>
      <c r="CU164" s="427">
        <v>542</v>
      </c>
      <c r="CV164" s="427">
        <v>149</v>
      </c>
      <c r="CW164" s="427">
        <f>300</f>
        <v>300</v>
      </c>
      <c r="CX164" s="427">
        <v>458</v>
      </c>
      <c r="CY164" s="45">
        <f>CZ164</f>
        <v>610</v>
      </c>
      <c r="CZ164" s="427">
        <v>610</v>
      </c>
      <c r="DA164" s="427">
        <v>167</v>
      </c>
      <c r="DB164" s="427">
        <v>337</v>
      </c>
      <c r="DC164" s="1437">
        <v>501</v>
      </c>
      <c r="DD164" s="1443">
        <f>DE164</f>
        <v>669</v>
      </c>
      <c r="DE164" s="1437">
        <v>669</v>
      </c>
      <c r="DF164" s="427">
        <v>173</v>
      </c>
      <c r="DG164" s="427">
        <v>347</v>
      </c>
      <c r="DH164" s="1437">
        <v>521</v>
      </c>
      <c r="DI164" s="1443">
        <f>DJ164</f>
        <v>687</v>
      </c>
      <c r="DJ164" s="1437">
        <v>687</v>
      </c>
      <c r="DK164" s="427">
        <v>175</v>
      </c>
      <c r="DL164" s="427">
        <v>352</v>
      </c>
      <c r="DM164" s="1437">
        <v>528</v>
      </c>
      <c r="DN164" s="1443">
        <f>DO164</f>
        <v>707</v>
      </c>
      <c r="DO164" s="1437">
        <v>707</v>
      </c>
      <c r="DP164" s="427">
        <v>189</v>
      </c>
      <c r="DQ164" s="427">
        <v>379</v>
      </c>
      <c r="DR164" s="1437">
        <v>574</v>
      </c>
      <c r="DS164" s="1443">
        <f>DT164</f>
        <v>775</v>
      </c>
      <c r="DT164" s="1437">
        <v>775</v>
      </c>
      <c r="DU164" s="427">
        <v>208</v>
      </c>
      <c r="DV164" s="427">
        <v>419</v>
      </c>
      <c r="DW164" s="427">
        <v>631</v>
      </c>
      <c r="DX164" s="1443">
        <f>DY164</f>
        <v>850</v>
      </c>
      <c r="DY164" s="1437">
        <v>850</v>
      </c>
    </row>
    <row r="165" spans="1:129" ht="12.75" customHeight="1">
      <c r="A165" s="45"/>
      <c r="B165" s="45"/>
      <c r="C165" s="391" t="s">
        <v>75</v>
      </c>
      <c r="D165" s="45"/>
      <c r="E165" s="290">
        <f t="shared" si="395"/>
        <v>57</v>
      </c>
      <c r="F165" s="260">
        <f t="shared" si="396"/>
        <v>85</v>
      </c>
      <c r="G165" s="260">
        <f t="shared" si="396"/>
        <v>63</v>
      </c>
      <c r="H165" s="291">
        <f t="shared" si="397"/>
        <v>60</v>
      </c>
      <c r="I165" s="647">
        <f t="shared" si="398"/>
        <v>265</v>
      </c>
      <c r="J165" s="290">
        <f t="shared" si="399"/>
        <v>7</v>
      </c>
      <c r="K165" s="260">
        <f t="shared" si="400"/>
        <v>4</v>
      </c>
      <c r="L165" s="260">
        <f t="shared" si="400"/>
        <v>188</v>
      </c>
      <c r="M165" s="291">
        <f t="shared" si="401"/>
        <v>383</v>
      </c>
      <c r="N165" s="647">
        <f t="shared" si="402"/>
        <v>582</v>
      </c>
      <c r="O165" s="290">
        <f t="shared" si="403"/>
        <v>81</v>
      </c>
      <c r="P165" s="260">
        <f t="shared" si="404"/>
        <v>103</v>
      </c>
      <c r="Q165" s="260">
        <f t="shared" si="404"/>
        <v>343</v>
      </c>
      <c r="R165" s="291">
        <f t="shared" si="405"/>
        <v>173</v>
      </c>
      <c r="S165" s="647">
        <f t="shared" si="406"/>
        <v>700</v>
      </c>
      <c r="T165" s="290">
        <f t="shared" si="407"/>
        <v>57</v>
      </c>
      <c r="U165" s="260">
        <f t="shared" si="408"/>
        <v>59</v>
      </c>
      <c r="V165" s="260">
        <f t="shared" si="409"/>
        <v>82</v>
      </c>
      <c r="W165" s="291">
        <f t="shared" si="410"/>
        <v>72</v>
      </c>
      <c r="X165" s="647">
        <f t="shared" si="411"/>
        <v>270</v>
      </c>
      <c r="Y165" s="290">
        <f t="shared" si="412"/>
        <v>-295</v>
      </c>
      <c r="Z165" s="260">
        <f t="shared" si="413"/>
        <v>69</v>
      </c>
      <c r="AA165" s="1441">
        <f t="shared" si="413"/>
        <v>74</v>
      </c>
      <c r="AB165" s="1442">
        <f t="shared" si="414"/>
        <v>95</v>
      </c>
      <c r="AC165" s="1466">
        <f t="shared" si="415"/>
        <v>-57</v>
      </c>
      <c r="AD165" s="290">
        <f t="shared" si="416"/>
        <v>35</v>
      </c>
      <c r="AE165" s="260">
        <f t="shared" si="417"/>
        <v>28</v>
      </c>
      <c r="AF165" s="1441">
        <f t="shared" si="417"/>
        <v>91</v>
      </c>
      <c r="AG165" s="1442">
        <f t="shared" si="418"/>
        <v>279</v>
      </c>
      <c r="AH165" s="1466">
        <f t="shared" si="419"/>
        <v>433</v>
      </c>
      <c r="AI165" s="290">
        <f t="shared" si="420"/>
        <v>35</v>
      </c>
      <c r="AJ165" s="260">
        <f t="shared" si="421"/>
        <v>1</v>
      </c>
      <c r="AK165" s="1441">
        <f t="shared" si="422"/>
        <v>71</v>
      </c>
      <c r="AL165" s="1442">
        <f t="shared" si="423"/>
        <v>246</v>
      </c>
      <c r="AM165" s="1466">
        <f t="shared" si="424"/>
        <v>353</v>
      </c>
      <c r="AN165" s="290">
        <f t="shared" si="425"/>
        <v>70</v>
      </c>
      <c r="AO165" s="260">
        <f t="shared" si="426"/>
        <v>152</v>
      </c>
      <c r="AP165" s="1441">
        <f t="shared" si="426"/>
        <v>176</v>
      </c>
      <c r="AQ165" s="1442">
        <f t="shared" si="427"/>
        <v>41</v>
      </c>
      <c r="AR165" s="1466">
        <f t="shared" si="428"/>
        <v>439</v>
      </c>
      <c r="AS165" s="290">
        <f t="shared" si="429"/>
        <v>137</v>
      </c>
      <c r="AT165" s="260">
        <f t="shared" si="430"/>
        <v>98</v>
      </c>
      <c r="AU165" s="260">
        <f t="shared" si="431"/>
        <v>220</v>
      </c>
      <c r="AV165" s="1442">
        <f t="shared" si="432"/>
        <v>204</v>
      </c>
      <c r="AW165" s="1466">
        <f t="shared" si="433"/>
        <v>659</v>
      </c>
      <c r="AX165" s="290">
        <f ca="1">+BB165/4</f>
        <v>37.466393078490206</v>
      </c>
      <c r="AY165" s="260">
        <f ca="1">(BB165-SUM(AX165:AX165))/3</f>
        <v>37.466393078490206</v>
      </c>
      <c r="AZ165" s="260">
        <f ca="1">(BB165-SUM(AX165:AY165))/2</f>
        <v>37.466393078490206</v>
      </c>
      <c r="BA165" s="291">
        <f ca="1">(BB165-SUM(AX165:AZ165))/1</f>
        <v>37.466393078490199</v>
      </c>
      <c r="BB165" s="426">
        <f ca="1">(BB28/EXC!BB37)*EXC!BB152</f>
        <v>149.86557231396083</v>
      </c>
      <c r="BC165" s="290">
        <f ca="1">+BG165/4</f>
        <v>38.120435431034245</v>
      </c>
      <c r="BD165" s="260">
        <f ca="1">(BG165-SUM(BC165:BC165))/3</f>
        <v>38.120435431034245</v>
      </c>
      <c r="BE165" s="260">
        <f ca="1">(BG165-SUM(BC165:BD165))/2</f>
        <v>38.120435431034245</v>
      </c>
      <c r="BF165" s="291">
        <f ca="1">(BG165-SUM(BC165:BE165))/1</f>
        <v>38.120435431034252</v>
      </c>
      <c r="BG165" s="426">
        <f ca="1">(BG28/EXC!BG37)*EXC!BG152</f>
        <v>152.48174172413698</v>
      </c>
      <c r="BH165" s="290">
        <f ca="1">+BL165/4</f>
        <v>43.031620431079325</v>
      </c>
      <c r="BI165" s="260">
        <f ca="1">(BL165-SUM(BH165:BH165))/3</f>
        <v>43.031620431079325</v>
      </c>
      <c r="BJ165" s="260">
        <f ca="1">(BL165-SUM(BH165:BI165))/2</f>
        <v>43.031620431079325</v>
      </c>
      <c r="BK165" s="291">
        <f ca="1">(BL165-SUM(BH165:BJ165))/1</f>
        <v>43.031620431079318</v>
      </c>
      <c r="BL165" s="426">
        <f ca="1">(BL28/EXC!BL37)*EXC!BL152</f>
        <v>172.1264817243173</v>
      </c>
      <c r="BM165" s="290">
        <f ca="1">+BQ165/4</f>
        <v>44.841726265251182</v>
      </c>
      <c r="BN165" s="260">
        <f ca="1">(BQ165-SUM(BM165:BM165))/3</f>
        <v>44.841726265251189</v>
      </c>
      <c r="BO165" s="260">
        <f ca="1">(BQ165-SUM(BM165:BN165))/2</f>
        <v>44.841726265251182</v>
      </c>
      <c r="BP165" s="291">
        <f ca="1">(BQ165-SUM(BM165:BO165))/1</f>
        <v>44.841726265251168</v>
      </c>
      <c r="BQ165" s="426">
        <f ca="1">(BQ28/EXC!BQ37)*EXC!BQ152</f>
        <v>179.36690506100473</v>
      </c>
      <c r="BR165" s="383"/>
      <c r="BS165" s="383"/>
      <c r="BT165" s="383"/>
      <c r="BU165" s="383"/>
      <c r="BV165" s="383"/>
      <c r="BW165" s="383"/>
      <c r="BX165" s="383"/>
      <c r="BY165" s="383"/>
      <c r="BZ165" s="383"/>
      <c r="CA165" s="383"/>
      <c r="CB165" s="383"/>
      <c r="CC165" s="383"/>
      <c r="CD165" s="383"/>
      <c r="CE165" s="383"/>
      <c r="CF165" s="383"/>
      <c r="CG165" s="427">
        <v>57</v>
      </c>
      <c r="CH165" s="427">
        <v>142</v>
      </c>
      <c r="CI165" s="427">
        <v>205</v>
      </c>
      <c r="CJ165" s="45">
        <f>CK165</f>
        <v>265</v>
      </c>
      <c r="CK165" s="427">
        <v>265</v>
      </c>
      <c r="CL165" s="427">
        <v>7</v>
      </c>
      <c r="CM165" s="427">
        <v>11</v>
      </c>
      <c r="CN165" s="427">
        <v>199</v>
      </c>
      <c r="CO165" s="45">
        <f>CP165</f>
        <v>582</v>
      </c>
      <c r="CP165" s="427">
        <v>582</v>
      </c>
      <c r="CQ165" s="427">
        <v>81</v>
      </c>
      <c r="CR165" s="427">
        <v>184</v>
      </c>
      <c r="CS165" s="427">
        <v>527</v>
      </c>
      <c r="CT165" s="45">
        <f>CU165</f>
        <v>700</v>
      </c>
      <c r="CU165" s="427">
        <v>700</v>
      </c>
      <c r="CV165" s="427">
        <v>57</v>
      </c>
      <c r="CW165" s="427">
        <f>116</f>
        <v>116</v>
      </c>
      <c r="CX165" s="427">
        <v>198</v>
      </c>
      <c r="CY165" s="45">
        <f>CZ165</f>
        <v>270</v>
      </c>
      <c r="CZ165" s="427">
        <v>270</v>
      </c>
      <c r="DA165" s="427">
        <v>-295</v>
      </c>
      <c r="DB165" s="427">
        <v>-226</v>
      </c>
      <c r="DC165" s="1437">
        <v>-152</v>
      </c>
      <c r="DD165" s="1443">
        <f>DE165</f>
        <v>-57</v>
      </c>
      <c r="DE165" s="1437">
        <v>-57</v>
      </c>
      <c r="DF165" s="427">
        <v>35</v>
      </c>
      <c r="DG165" s="427">
        <v>63</v>
      </c>
      <c r="DH165" s="1437">
        <v>154</v>
      </c>
      <c r="DI165" s="1443">
        <f>DJ165</f>
        <v>433</v>
      </c>
      <c r="DJ165" s="1437">
        <v>433</v>
      </c>
      <c r="DK165" s="427">
        <v>35</v>
      </c>
      <c r="DL165" s="427">
        <v>36</v>
      </c>
      <c r="DM165" s="1437">
        <v>107</v>
      </c>
      <c r="DN165" s="1443">
        <f>DO165</f>
        <v>353</v>
      </c>
      <c r="DO165" s="1437">
        <v>353</v>
      </c>
      <c r="DP165" s="427">
        <v>70</v>
      </c>
      <c r="DQ165" s="427">
        <v>222</v>
      </c>
      <c r="DR165" s="1437">
        <v>398</v>
      </c>
      <c r="DS165" s="1443">
        <f>DT165</f>
        <v>439</v>
      </c>
      <c r="DT165" s="1437">
        <v>439</v>
      </c>
      <c r="DU165" s="427">
        <v>137</v>
      </c>
      <c r="DV165" s="427">
        <v>235</v>
      </c>
      <c r="DW165" s="427">
        <v>455</v>
      </c>
      <c r="DX165" s="1443">
        <f>DY165</f>
        <v>659</v>
      </c>
      <c r="DY165" s="1437">
        <v>659</v>
      </c>
    </row>
    <row r="166" spans="1:129" ht="12.75" customHeight="1">
      <c r="A166" s="45"/>
      <c r="B166" s="45"/>
      <c r="C166" s="391" t="s">
        <v>632</v>
      </c>
      <c r="D166" s="45"/>
      <c r="E166" s="290">
        <f t="shared" si="395"/>
        <v>0</v>
      </c>
      <c r="F166" s="260">
        <f t="shared" si="396"/>
        <v>0</v>
      </c>
      <c r="G166" s="260">
        <f t="shared" si="396"/>
        <v>0</v>
      </c>
      <c r="H166" s="291">
        <f t="shared" si="397"/>
        <v>0</v>
      </c>
      <c r="I166" s="647">
        <f t="shared" si="398"/>
        <v>0</v>
      </c>
      <c r="J166" s="290">
        <f t="shared" si="399"/>
        <v>0</v>
      </c>
      <c r="K166" s="260">
        <f t="shared" si="400"/>
        <v>0</v>
      </c>
      <c r="L166" s="260">
        <f t="shared" si="400"/>
        <v>0</v>
      </c>
      <c r="M166" s="291">
        <f t="shared" si="401"/>
        <v>0</v>
      </c>
      <c r="N166" s="647">
        <f t="shared" si="402"/>
        <v>0</v>
      </c>
      <c r="O166" s="290">
        <f t="shared" si="403"/>
        <v>0</v>
      </c>
      <c r="P166" s="260">
        <f t="shared" si="404"/>
        <v>0</v>
      </c>
      <c r="Q166" s="260">
        <f t="shared" si="404"/>
        <v>0</v>
      </c>
      <c r="R166" s="291">
        <f t="shared" si="405"/>
        <v>0</v>
      </c>
      <c r="S166" s="647">
        <f t="shared" si="406"/>
        <v>0</v>
      </c>
      <c r="T166" s="290">
        <f t="shared" si="407"/>
        <v>0</v>
      </c>
      <c r="U166" s="260">
        <f t="shared" si="408"/>
        <v>0</v>
      </c>
      <c r="V166" s="260">
        <f t="shared" si="409"/>
        <v>0</v>
      </c>
      <c r="W166" s="291">
        <f t="shared" si="410"/>
        <v>0</v>
      </c>
      <c r="X166" s="647">
        <f t="shared" si="411"/>
        <v>0</v>
      </c>
      <c r="Y166" s="290">
        <f t="shared" si="412"/>
        <v>0</v>
      </c>
      <c r="Z166" s="260">
        <f t="shared" si="413"/>
        <v>0</v>
      </c>
      <c r="AA166" s="1441">
        <f t="shared" si="413"/>
        <v>0</v>
      </c>
      <c r="AB166" s="1442">
        <f t="shared" si="414"/>
        <v>0</v>
      </c>
      <c r="AC166" s="1466">
        <f t="shared" si="415"/>
        <v>0</v>
      </c>
      <c r="AD166" s="290">
        <f t="shared" si="416"/>
        <v>0</v>
      </c>
      <c r="AE166" s="260">
        <f t="shared" si="417"/>
        <v>0</v>
      </c>
      <c r="AF166" s="1441">
        <f t="shared" si="417"/>
        <v>0</v>
      </c>
      <c r="AG166" s="1442">
        <f t="shared" si="418"/>
        <v>0</v>
      </c>
      <c r="AH166" s="1466">
        <f t="shared" si="419"/>
        <v>0</v>
      </c>
      <c r="AI166" s="290">
        <f t="shared" si="420"/>
        <v>0</v>
      </c>
      <c r="AJ166" s="260">
        <f t="shared" si="421"/>
        <v>0</v>
      </c>
      <c r="AK166" s="1441">
        <f t="shared" si="422"/>
        <v>0</v>
      </c>
      <c r="AL166" s="1442">
        <f t="shared" si="423"/>
        <v>0</v>
      </c>
      <c r="AM166" s="1466">
        <f t="shared" si="424"/>
        <v>0</v>
      </c>
      <c r="AN166" s="290">
        <f t="shared" si="425"/>
        <v>0</v>
      </c>
      <c r="AO166" s="260">
        <f t="shared" si="426"/>
        <v>0</v>
      </c>
      <c r="AP166" s="1441">
        <f t="shared" si="426"/>
        <v>0</v>
      </c>
      <c r="AQ166" s="1442">
        <f t="shared" si="427"/>
        <v>0</v>
      </c>
      <c r="AR166" s="1466">
        <f t="shared" si="428"/>
        <v>0</v>
      </c>
      <c r="AS166" s="290">
        <f t="shared" si="429"/>
        <v>0</v>
      </c>
      <c r="AT166" s="260">
        <f t="shared" si="430"/>
        <v>0</v>
      </c>
      <c r="AU166" s="260">
        <f t="shared" si="431"/>
        <v>0</v>
      </c>
      <c r="AV166" s="1442">
        <f t="shared" si="432"/>
        <v>0</v>
      </c>
      <c r="AW166" s="1466">
        <f t="shared" si="433"/>
        <v>0</v>
      </c>
      <c r="AX166" s="290">
        <f>-AX19</f>
        <v>-5.666666666666667</v>
      </c>
      <c r="AY166" s="260">
        <f>-AY19</f>
        <v>-5.666666666666667</v>
      </c>
      <c r="AZ166" s="260">
        <f>-AZ19</f>
        <v>-5.666666666666667</v>
      </c>
      <c r="BA166" s="291">
        <f>-BA19</f>
        <v>-5.666666666666667</v>
      </c>
      <c r="BB166" s="45">
        <f>SUM(AX166:BA166)</f>
        <v>-22.666666666666668</v>
      </c>
      <c r="BC166" s="290">
        <f>-BC19</f>
        <v>-4.6000000000000005</v>
      </c>
      <c r="BD166" s="260">
        <f>-BD19</f>
        <v>-4.6000000000000005</v>
      </c>
      <c r="BE166" s="260">
        <f>-BE19</f>
        <v>-4.6000000000000005</v>
      </c>
      <c r="BF166" s="291">
        <f>-BF19</f>
        <v>-4.6000000000000005</v>
      </c>
      <c r="BG166" s="45">
        <f>SUM(BC166:BF166)</f>
        <v>-18.400000000000002</v>
      </c>
      <c r="BH166" s="290">
        <f>-BH19</f>
        <v>-4.9333333333333336</v>
      </c>
      <c r="BI166" s="260">
        <f>-BI19</f>
        <v>-4.9333333333333336</v>
      </c>
      <c r="BJ166" s="260">
        <f>-BJ19</f>
        <v>-4.9333333333333336</v>
      </c>
      <c r="BK166" s="291">
        <f>-BK19</f>
        <v>-4.9333333333333336</v>
      </c>
      <c r="BL166" s="45">
        <f>SUM(BH166:BK166)</f>
        <v>-19.733333333333334</v>
      </c>
      <c r="BM166" s="290">
        <f>-BM19</f>
        <v>-4.9333333333333336</v>
      </c>
      <c r="BN166" s="260">
        <f>-BN19</f>
        <v>-4.9333333333333336</v>
      </c>
      <c r="BO166" s="260">
        <f>-BO19</f>
        <v>-4.9333333333333336</v>
      </c>
      <c r="BP166" s="291">
        <f>-BP19</f>
        <v>-4.9333333333333336</v>
      </c>
      <c r="BQ166" s="45">
        <f>SUM(BM166:BP166)</f>
        <v>-19.733333333333334</v>
      </c>
      <c r="BR166" s="383"/>
      <c r="BS166" s="383"/>
      <c r="BT166" s="383"/>
      <c r="BU166" s="383"/>
      <c r="BV166" s="383"/>
      <c r="BW166" s="383"/>
      <c r="BX166" s="383"/>
      <c r="BY166" s="383"/>
      <c r="BZ166" s="383"/>
      <c r="CA166" s="383"/>
      <c r="CB166" s="383"/>
      <c r="CC166" s="383"/>
      <c r="CD166" s="383"/>
      <c r="CE166" s="383"/>
      <c r="CF166" s="383"/>
      <c r="CG166" s="427"/>
      <c r="CH166" s="427"/>
      <c r="CI166" s="427"/>
      <c r="CJ166" s="45"/>
      <c r="CK166" s="427"/>
      <c r="CL166" s="427"/>
      <c r="CM166" s="427"/>
      <c r="CN166" s="427"/>
      <c r="CO166" s="45"/>
      <c r="CP166" s="427"/>
      <c r="CQ166" s="427"/>
      <c r="CR166" s="427"/>
      <c r="CS166" s="427"/>
      <c r="CT166" s="45"/>
      <c r="CU166" s="427"/>
      <c r="CV166" s="427"/>
      <c r="CW166" s="427"/>
      <c r="CX166" s="427"/>
      <c r="CY166" s="45"/>
      <c r="CZ166" s="427"/>
      <c r="DA166" s="427"/>
      <c r="DB166" s="427"/>
      <c r="DC166" s="1437"/>
      <c r="DD166" s="1443"/>
      <c r="DE166" s="1437"/>
      <c r="DF166" s="427"/>
      <c r="DG166" s="427"/>
      <c r="DH166" s="1437"/>
      <c r="DI166" s="1443"/>
      <c r="DJ166" s="1437"/>
      <c r="DK166" s="427"/>
      <c r="DL166" s="427"/>
      <c r="DM166" s="1437"/>
      <c r="DN166" s="1443"/>
      <c r="DO166" s="1437"/>
      <c r="DP166" s="427"/>
      <c r="DQ166" s="427"/>
      <c r="DR166" s="1437"/>
      <c r="DS166" s="1443"/>
      <c r="DT166" s="1437"/>
      <c r="DU166" s="427"/>
      <c r="DV166" s="427"/>
      <c r="DW166" s="427"/>
      <c r="DX166" s="1443"/>
      <c r="DY166" s="1437"/>
    </row>
    <row r="167" spans="1:129" ht="12.75" customHeight="1">
      <c r="A167" s="45"/>
      <c r="B167" s="45"/>
      <c r="C167" s="391" t="s">
        <v>62</v>
      </c>
      <c r="D167" s="45"/>
      <c r="E167" s="290">
        <f t="shared" si="395"/>
        <v>72</v>
      </c>
      <c r="F167" s="260">
        <f t="shared" si="396"/>
        <v>87</v>
      </c>
      <c r="G167" s="260">
        <f t="shared" si="396"/>
        <v>76</v>
      </c>
      <c r="H167" s="291">
        <f t="shared" si="397"/>
        <v>74</v>
      </c>
      <c r="I167" s="647">
        <f t="shared" si="398"/>
        <v>309</v>
      </c>
      <c r="J167" s="290">
        <f t="shared" si="399"/>
        <v>-2</v>
      </c>
      <c r="K167" s="260">
        <f t="shared" si="400"/>
        <v>62</v>
      </c>
      <c r="L167" s="260">
        <f t="shared" si="400"/>
        <v>102</v>
      </c>
      <c r="M167" s="291">
        <f t="shared" si="401"/>
        <v>76</v>
      </c>
      <c r="N167" s="647">
        <f t="shared" si="402"/>
        <v>238</v>
      </c>
      <c r="O167" s="290">
        <f t="shared" si="403"/>
        <v>82</v>
      </c>
      <c r="P167" s="260">
        <f t="shared" si="404"/>
        <v>33</v>
      </c>
      <c r="Q167" s="260">
        <f t="shared" si="404"/>
        <v>95</v>
      </c>
      <c r="R167" s="291">
        <f t="shared" si="405"/>
        <v>-14</v>
      </c>
      <c r="S167" s="647">
        <f t="shared" si="406"/>
        <v>196</v>
      </c>
      <c r="T167" s="290">
        <f t="shared" si="407"/>
        <v>60</v>
      </c>
      <c r="U167" s="260">
        <f t="shared" si="408"/>
        <v>181</v>
      </c>
      <c r="V167" s="260">
        <f t="shared" si="409"/>
        <v>69</v>
      </c>
      <c r="W167" s="291">
        <f t="shared" si="410"/>
        <v>-58</v>
      </c>
      <c r="X167" s="647">
        <f t="shared" si="411"/>
        <v>252</v>
      </c>
      <c r="Y167" s="290">
        <f t="shared" si="412"/>
        <v>42</v>
      </c>
      <c r="Z167" s="260">
        <f t="shared" si="413"/>
        <v>-3</v>
      </c>
      <c r="AA167" s="1441">
        <f t="shared" si="413"/>
        <v>-13</v>
      </c>
      <c r="AB167" s="1442">
        <f t="shared" si="414"/>
        <v>2</v>
      </c>
      <c r="AC167" s="1466">
        <f t="shared" si="415"/>
        <v>28</v>
      </c>
      <c r="AD167" s="290">
        <f t="shared" si="416"/>
        <v>36</v>
      </c>
      <c r="AE167" s="260">
        <f t="shared" si="417"/>
        <v>63</v>
      </c>
      <c r="AF167" s="1441">
        <f t="shared" si="417"/>
        <v>17</v>
      </c>
      <c r="AG167" s="1442">
        <f t="shared" si="418"/>
        <v>139</v>
      </c>
      <c r="AH167" s="1466">
        <f t="shared" si="419"/>
        <v>255</v>
      </c>
      <c r="AI167" s="290">
        <f t="shared" si="420"/>
        <v>126</v>
      </c>
      <c r="AJ167" s="260">
        <f t="shared" si="421"/>
        <v>96</v>
      </c>
      <c r="AK167" s="1441">
        <f t="shared" si="422"/>
        <v>90</v>
      </c>
      <c r="AL167" s="1442">
        <f t="shared" si="423"/>
        <v>104</v>
      </c>
      <c r="AM167" s="1466">
        <f t="shared" si="424"/>
        <v>416</v>
      </c>
      <c r="AN167" s="290">
        <f t="shared" si="425"/>
        <v>32</v>
      </c>
      <c r="AO167" s="260">
        <f t="shared" si="426"/>
        <v>51</v>
      </c>
      <c r="AP167" s="1441">
        <f t="shared" si="426"/>
        <v>39</v>
      </c>
      <c r="AQ167" s="1442">
        <f t="shared" si="427"/>
        <v>93</v>
      </c>
      <c r="AR167" s="1466">
        <f t="shared" si="428"/>
        <v>215</v>
      </c>
      <c r="AS167" s="290">
        <f t="shared" si="429"/>
        <v>31</v>
      </c>
      <c r="AT167" s="260">
        <f t="shared" si="430"/>
        <v>27</v>
      </c>
      <c r="AU167" s="260">
        <f t="shared" si="431"/>
        <v>54</v>
      </c>
      <c r="AV167" s="1442">
        <f t="shared" si="432"/>
        <v>52</v>
      </c>
      <c r="AW167" s="1466">
        <f t="shared" si="433"/>
        <v>164</v>
      </c>
      <c r="AX167" s="290">
        <f>+BB167/4</f>
        <v>-12.5</v>
      </c>
      <c r="AY167" s="260">
        <f>(BB167-SUM(AX167:AX167))/3</f>
        <v>-12.5</v>
      </c>
      <c r="AZ167" s="260">
        <f>(BB167-SUM(AX167:AY167))/2</f>
        <v>-12.5</v>
      </c>
      <c r="BA167" s="291">
        <f>(BB167-SUM(AX167:AZ167))/1</f>
        <v>-12.5</v>
      </c>
      <c r="BB167" s="426">
        <v>-50</v>
      </c>
      <c r="BC167" s="290">
        <f>+BG167/4</f>
        <v>-12.5</v>
      </c>
      <c r="BD167" s="260">
        <f>(BG167-SUM(BC167:BC167))/3</f>
        <v>-12.5</v>
      </c>
      <c r="BE167" s="260">
        <f>(BG167-SUM(BC167:BD167))/2</f>
        <v>-12.5</v>
      </c>
      <c r="BF167" s="291">
        <f>(BG167-SUM(BC167:BE167))/1</f>
        <v>-12.5</v>
      </c>
      <c r="BG167" s="426">
        <v>-50</v>
      </c>
      <c r="BH167" s="290">
        <f>+BL167/4</f>
        <v>-25</v>
      </c>
      <c r="BI167" s="260">
        <f>(BL167-SUM(BH167:BH167))/3</f>
        <v>-25</v>
      </c>
      <c r="BJ167" s="260">
        <f>(BL167-SUM(BH167:BI167))/2</f>
        <v>-25</v>
      </c>
      <c r="BK167" s="291">
        <f>(BL167-SUM(BH167:BJ167))/1</f>
        <v>-25</v>
      </c>
      <c r="BL167" s="426">
        <v>-100</v>
      </c>
      <c r="BM167" s="290">
        <f>+BQ167/4</f>
        <v>0</v>
      </c>
      <c r="BN167" s="260">
        <f>(BQ167-SUM(BM167:BM167))/3</f>
        <v>0</v>
      </c>
      <c r="BO167" s="260">
        <f>(BQ167-SUM(BM167:BN167))/2</f>
        <v>0</v>
      </c>
      <c r="BP167" s="291">
        <f>(BQ167-SUM(BM167:BO167))/1</f>
        <v>0</v>
      </c>
      <c r="BQ167" s="2288">
        <v>0</v>
      </c>
      <c r="BR167" s="383"/>
      <c r="BS167" s="383"/>
      <c r="BT167" s="383"/>
      <c r="BU167" s="383"/>
      <c r="BV167" s="383"/>
      <c r="BW167" s="383"/>
      <c r="BX167" s="383"/>
      <c r="BY167" s="383"/>
      <c r="BZ167" s="383"/>
      <c r="CA167" s="383"/>
      <c r="CB167" s="383"/>
      <c r="CC167" s="383"/>
      <c r="CD167" s="383"/>
      <c r="CE167" s="383"/>
      <c r="CF167" s="383"/>
      <c r="CG167" s="2056">
        <v>72</v>
      </c>
      <c r="CH167" s="2056">
        <v>159</v>
      </c>
      <c r="CI167" s="2056">
        <v>235</v>
      </c>
      <c r="CJ167" s="45">
        <f>CK167</f>
        <v>309</v>
      </c>
      <c r="CK167" s="2056">
        <v>309</v>
      </c>
      <c r="CL167" s="427">
        <v>-2</v>
      </c>
      <c r="CM167" s="427">
        <v>60</v>
      </c>
      <c r="CN167" s="427">
        <v>162</v>
      </c>
      <c r="CO167" s="45">
        <f>CP167</f>
        <v>238</v>
      </c>
      <c r="CP167" s="427">
        <v>238</v>
      </c>
      <c r="CQ167" s="427">
        <v>82</v>
      </c>
      <c r="CR167" s="427">
        <v>115</v>
      </c>
      <c r="CS167" s="427">
        <v>210</v>
      </c>
      <c r="CT167" s="45">
        <f>CU167</f>
        <v>196</v>
      </c>
      <c r="CU167" s="427">
        <v>196</v>
      </c>
      <c r="CV167" s="427">
        <v>60</v>
      </c>
      <c r="CW167" s="427">
        <f>241</f>
        <v>241</v>
      </c>
      <c r="CX167" s="427">
        <v>310</v>
      </c>
      <c r="CY167" s="45">
        <f>CZ167</f>
        <v>252</v>
      </c>
      <c r="CZ167" s="427">
        <v>252</v>
      </c>
      <c r="DA167" s="427">
        <v>42</v>
      </c>
      <c r="DB167" s="427">
        <v>39</v>
      </c>
      <c r="DC167" s="1437">
        <v>26</v>
      </c>
      <c r="DD167" s="1443">
        <f>DE167</f>
        <v>28</v>
      </c>
      <c r="DE167" s="1437">
        <v>28</v>
      </c>
      <c r="DF167" s="427">
        <v>36</v>
      </c>
      <c r="DG167" s="427">
        <v>99</v>
      </c>
      <c r="DH167" s="1437">
        <v>116</v>
      </c>
      <c r="DI167" s="1443">
        <f>DJ167</f>
        <v>255</v>
      </c>
      <c r="DJ167" s="1437">
        <v>255</v>
      </c>
      <c r="DK167" s="427">
        <v>126</v>
      </c>
      <c r="DL167" s="427">
        <v>222</v>
      </c>
      <c r="DM167" s="1437">
        <v>312</v>
      </c>
      <c r="DN167" s="1443">
        <f>DO167</f>
        <v>416</v>
      </c>
      <c r="DO167" s="1437">
        <v>416</v>
      </c>
      <c r="DP167" s="427">
        <v>32</v>
      </c>
      <c r="DQ167" s="427">
        <v>83</v>
      </c>
      <c r="DR167" s="1437">
        <v>122</v>
      </c>
      <c r="DS167" s="1443">
        <f>DT167</f>
        <v>215</v>
      </c>
      <c r="DT167" s="1437">
        <v>215</v>
      </c>
      <c r="DU167" s="427">
        <v>31</v>
      </c>
      <c r="DV167" s="427">
        <v>58</v>
      </c>
      <c r="DW167" s="427">
        <v>112</v>
      </c>
      <c r="DX167" s="1443">
        <f>DY167</f>
        <v>164</v>
      </c>
      <c r="DY167" s="1437">
        <v>164</v>
      </c>
    </row>
    <row r="168" spans="1:129" ht="12.75" customHeight="1">
      <c r="A168" s="45"/>
      <c r="B168" s="45"/>
      <c r="C168" s="391" t="s">
        <v>233</v>
      </c>
      <c r="D168" s="45"/>
      <c r="E168" s="290">
        <f t="shared" si="395"/>
        <v>-183</v>
      </c>
      <c r="F168" s="260">
        <f t="shared" si="396"/>
        <v>-13</v>
      </c>
      <c r="G168" s="260">
        <f t="shared" si="396"/>
        <v>-180</v>
      </c>
      <c r="H168" s="291">
        <f t="shared" si="397"/>
        <v>-47</v>
      </c>
      <c r="I168" s="647">
        <f t="shared" si="398"/>
        <v>-423</v>
      </c>
      <c r="J168" s="290">
        <f t="shared" si="399"/>
        <v>-94</v>
      </c>
      <c r="K168" s="260">
        <f t="shared" si="400"/>
        <v>41</v>
      </c>
      <c r="L168" s="260">
        <f t="shared" si="400"/>
        <v>-299</v>
      </c>
      <c r="M168" s="291">
        <f t="shared" si="401"/>
        <v>-245</v>
      </c>
      <c r="N168" s="647">
        <f t="shared" si="402"/>
        <v>-597</v>
      </c>
      <c r="O168" s="290">
        <f t="shared" si="403"/>
        <v>-720</v>
      </c>
      <c r="P168" s="260">
        <f t="shared" si="404"/>
        <v>39</v>
      </c>
      <c r="Q168" s="260">
        <f t="shared" si="404"/>
        <v>-141</v>
      </c>
      <c r="R168" s="291">
        <f t="shared" si="405"/>
        <v>-196</v>
      </c>
      <c r="S168" s="647">
        <f t="shared" si="406"/>
        <v>-1018</v>
      </c>
      <c r="T168" s="290">
        <f t="shared" si="407"/>
        <v>-62</v>
      </c>
      <c r="U168" s="260">
        <f t="shared" si="408"/>
        <v>-2</v>
      </c>
      <c r="V168" s="260">
        <f t="shared" si="409"/>
        <v>60</v>
      </c>
      <c r="W168" s="291">
        <f t="shared" si="410"/>
        <v>-173</v>
      </c>
      <c r="X168" s="647">
        <f t="shared" si="411"/>
        <v>-177</v>
      </c>
      <c r="Y168" s="290">
        <f t="shared" si="412"/>
        <v>225</v>
      </c>
      <c r="Z168" s="260">
        <f t="shared" si="413"/>
        <v>114</v>
      </c>
      <c r="AA168" s="1441">
        <f t="shared" si="413"/>
        <v>-4</v>
      </c>
      <c r="AB168" s="1442">
        <f t="shared" si="414"/>
        <v>-6</v>
      </c>
      <c r="AC168" s="1466">
        <f t="shared" si="415"/>
        <v>329</v>
      </c>
      <c r="AD168" s="290">
        <f t="shared" si="416"/>
        <v>-351</v>
      </c>
      <c r="AE168" s="260">
        <f t="shared" si="417"/>
        <v>62</v>
      </c>
      <c r="AF168" s="1441">
        <f t="shared" si="417"/>
        <v>12</v>
      </c>
      <c r="AG168" s="1442">
        <f t="shared" si="418"/>
        <v>-180</v>
      </c>
      <c r="AH168" s="1466">
        <f t="shared" si="419"/>
        <v>-457</v>
      </c>
      <c r="AI168" s="290">
        <f t="shared" si="420"/>
        <v>-175</v>
      </c>
      <c r="AJ168" s="260">
        <f t="shared" si="421"/>
        <v>176</v>
      </c>
      <c r="AK168" s="1441">
        <f t="shared" si="422"/>
        <v>59</v>
      </c>
      <c r="AL168" s="1442">
        <f t="shared" si="423"/>
        <v>-66</v>
      </c>
      <c r="AM168" s="1466">
        <f t="shared" si="424"/>
        <v>-6</v>
      </c>
      <c r="AN168" s="290">
        <f t="shared" si="425"/>
        <v>-122</v>
      </c>
      <c r="AO168" s="260">
        <f t="shared" si="426"/>
        <v>306</v>
      </c>
      <c r="AP168" s="1441">
        <f t="shared" si="426"/>
        <v>174</v>
      </c>
      <c r="AQ168" s="1442">
        <f t="shared" si="427"/>
        <v>340</v>
      </c>
      <c r="AR168" s="1466">
        <f t="shared" si="428"/>
        <v>698</v>
      </c>
      <c r="AS168" s="290">
        <f t="shared" si="429"/>
        <v>-372</v>
      </c>
      <c r="AT168" s="260">
        <f t="shared" si="430"/>
        <v>189</v>
      </c>
      <c r="AU168" s="260">
        <f t="shared" si="431"/>
        <v>-342</v>
      </c>
      <c r="AV168" s="1442">
        <f t="shared" si="432"/>
        <v>-188</v>
      </c>
      <c r="AW168" s="1466">
        <f t="shared" si="433"/>
        <v>-713</v>
      </c>
      <c r="AX168" s="290">
        <f>+BB168/4</f>
        <v>0</v>
      </c>
      <c r="AY168" s="260">
        <f>(BB168-SUM(AX168:AX168))/3</f>
        <v>0</v>
      </c>
      <c r="AZ168" s="260">
        <f>(BB168-SUM(AX168:AY168))/2</f>
        <v>0</v>
      </c>
      <c r="BA168" s="291">
        <f>(BB168-SUM(AX168:AZ168))/1</f>
        <v>0</v>
      </c>
      <c r="BB168" s="426">
        <v>0</v>
      </c>
      <c r="BC168" s="290">
        <f>+BG168/4</f>
        <v>0</v>
      </c>
      <c r="BD168" s="260">
        <f>(BG168-SUM(BC168:BC168))/3</f>
        <v>0</v>
      </c>
      <c r="BE168" s="260">
        <f>(BG168-SUM(BC168:BD168))/2</f>
        <v>0</v>
      </c>
      <c r="BF168" s="291">
        <f>(BG168-SUM(BC168:BE168))/1</f>
        <v>0</v>
      </c>
      <c r="BG168" s="426">
        <v>0</v>
      </c>
      <c r="BH168" s="290">
        <f>+BL168/4</f>
        <v>0</v>
      </c>
      <c r="BI168" s="260">
        <f>(BL168-SUM(BH168:BH168))/3</f>
        <v>0</v>
      </c>
      <c r="BJ168" s="260">
        <f>(BL168-SUM(BH168:BI168))/2</f>
        <v>0</v>
      </c>
      <c r="BK168" s="291">
        <f>(BL168-SUM(BH168:BJ168))/1</f>
        <v>0</v>
      </c>
      <c r="BL168" s="426">
        <v>0</v>
      </c>
      <c r="BM168" s="290">
        <f>+BQ168/4</f>
        <v>0</v>
      </c>
      <c r="BN168" s="260">
        <f>(BQ168-SUM(BM168:BM168))/3</f>
        <v>0</v>
      </c>
      <c r="BO168" s="260">
        <f>(BQ168-SUM(BM168:BN168))/2</f>
        <v>0</v>
      </c>
      <c r="BP168" s="291">
        <f>(BQ168-SUM(BM168:BO168))/1</f>
        <v>0</v>
      </c>
      <c r="BQ168" s="426">
        <v>0</v>
      </c>
      <c r="BR168" s="383"/>
      <c r="BS168" s="383"/>
      <c r="BT168" s="383"/>
      <c r="BU168" s="383"/>
      <c r="BV168" s="383"/>
      <c r="BW168" s="383"/>
      <c r="BX168" s="383"/>
      <c r="BY168" s="383"/>
      <c r="BZ168" s="383"/>
      <c r="CA168" s="383"/>
      <c r="CB168" s="383"/>
      <c r="CC168" s="383"/>
      <c r="CD168" s="383"/>
      <c r="CE168" s="383"/>
      <c r="CF168" s="383"/>
      <c r="CG168" s="427">
        <f>11-35-6-163-11-2+23</f>
        <v>-183</v>
      </c>
      <c r="CH168" s="427">
        <f>42-31-5-90+1-73-6-34</f>
        <v>-196</v>
      </c>
      <c r="CI168" s="427">
        <f>102-43+3-172+1-84-161-22</f>
        <v>-376</v>
      </c>
      <c r="CJ168" s="45">
        <f>CK168</f>
        <v>-423</v>
      </c>
      <c r="CK168" s="427">
        <f>29-27+4-48+1-105-214-63</f>
        <v>-423</v>
      </c>
      <c r="CL168" s="427">
        <f>-5-11-1-165-1+85-14+18</f>
        <v>-94</v>
      </c>
      <c r="CM168" s="427">
        <f>-156-81-2+43-118+182-16+95</f>
        <v>-53</v>
      </c>
      <c r="CN168" s="427">
        <f>-72-69-2+224-154+61-254-86</f>
        <v>-352</v>
      </c>
      <c r="CO168" s="45">
        <f>CP168</f>
        <v>-597</v>
      </c>
      <c r="CP168" s="427">
        <f>-46-55-1+342-154-233-317-133</f>
        <v>-597</v>
      </c>
      <c r="CQ168" s="427">
        <f>21-22-4-153+56+288-871-35</f>
        <v>-720</v>
      </c>
      <c r="CR168" s="427">
        <f>-62-23-7-108+31+321-871+38</f>
        <v>-681</v>
      </c>
      <c r="CS168" s="427">
        <f>-4-13-11-160-3+211-871+29</f>
        <v>-822</v>
      </c>
      <c r="CT168" s="45">
        <f>CU168</f>
        <v>-1018</v>
      </c>
      <c r="CU168" s="427">
        <f>5-287-9-84+66+223-977+45</f>
        <v>-1018</v>
      </c>
      <c r="CV168" s="427">
        <f>58+15-3-159-8+116-9-72</f>
        <v>-62</v>
      </c>
      <c r="CW168" s="427">
        <f>-26-18-7-54+8+149-12-104</f>
        <v>-64</v>
      </c>
      <c r="CX168" s="427">
        <f>22-32-11-49+93+116-19-124</f>
        <v>-4</v>
      </c>
      <c r="CY168" s="45">
        <f>CZ168</f>
        <v>-177</v>
      </c>
      <c r="CZ168" s="427">
        <f>24-18-11+59+40+9-138-142</f>
        <v>-177</v>
      </c>
      <c r="DA168" s="427">
        <f>1-32-9-73+17+208-118+231</f>
        <v>225</v>
      </c>
      <c r="DB168" s="427">
        <f>18-26-11+20+45+240-119+172</f>
        <v>339</v>
      </c>
      <c r="DC168" s="1437">
        <f>-21-32-12+48+50+262-120+160</f>
        <v>335</v>
      </c>
      <c r="DD168" s="1443">
        <f>DE168</f>
        <v>329</v>
      </c>
      <c r="DE168" s="1437">
        <f>-12-12-18+74+53+178-122+188</f>
        <v>329</v>
      </c>
      <c r="DF168" s="427">
        <f>-64-19+2-57+44-233-24</f>
        <v>-351</v>
      </c>
      <c r="DG168" s="427">
        <f>48-83-46-4+27+5-236</f>
        <v>-289</v>
      </c>
      <c r="DH168" s="1437">
        <f>-109-55-12+59+15-237+62</f>
        <v>-277</v>
      </c>
      <c r="DI168" s="1443">
        <f>DJ168</f>
        <v>-457</v>
      </c>
      <c r="DJ168" s="1437">
        <f>-121-11-16+53-159-248+45</f>
        <v>-457</v>
      </c>
      <c r="DK168" s="427">
        <f>-38-2-10-126+131-121-9</f>
        <v>-175</v>
      </c>
      <c r="DL168" s="427">
        <f>+-57-10-19-52+239-125+25</f>
        <v>1</v>
      </c>
      <c r="DM168" s="1437">
        <f>+-114-23-23-20+389-142-7</f>
        <v>60</v>
      </c>
      <c r="DN168" s="1443">
        <f>DO168</f>
        <v>-6</v>
      </c>
      <c r="DO168" s="1437">
        <f>-93-19-40+68-33+192-150+69</f>
        <v>-6</v>
      </c>
      <c r="DP168" s="427">
        <f>69+7-207+7+20-32+14</f>
        <v>-122</v>
      </c>
      <c r="DQ168" s="427">
        <f>-36+1+7-42-10+261-35+38</f>
        <v>184</v>
      </c>
      <c r="DR168" s="1437">
        <f>-55-9+4+145-2+206-35+104</f>
        <v>358</v>
      </c>
      <c r="DS168" s="1443">
        <f>DT168</f>
        <v>698</v>
      </c>
      <c r="DT168" s="1437">
        <f>-25+3+1+339+7+306-38+105</f>
        <v>698</v>
      </c>
      <c r="DU168" s="427">
        <f>92-16+4-327-7-34-35-49</f>
        <v>-372</v>
      </c>
      <c r="DV168" s="427">
        <f>12-4-2-182-8+4-37+34</f>
        <v>-183</v>
      </c>
      <c r="DW168" s="427">
        <f>31+346+6-706-22-205-38+63</f>
        <v>-525</v>
      </c>
      <c r="DX168" s="1443">
        <f>DY168</f>
        <v>-713</v>
      </c>
      <c r="DY168" s="1437">
        <f>-59+8+4-297-26-308-41+6</f>
        <v>-713</v>
      </c>
    </row>
    <row r="169" spans="1:129" ht="12.75" customHeight="1">
      <c r="A169" s="45"/>
      <c r="B169" s="45"/>
      <c r="C169" s="389" t="s">
        <v>148</v>
      </c>
      <c r="D169" s="45"/>
      <c r="E169" s="292">
        <f>SUM(E163:E168)</f>
        <v>183</v>
      </c>
      <c r="F169" s="261">
        <f>SUM(F163:F168)</f>
        <v>398</v>
      </c>
      <c r="G169" s="261">
        <f>SUM(G163:G168)</f>
        <v>130</v>
      </c>
      <c r="H169" s="293">
        <f>SUM(H163:H168)</f>
        <v>309</v>
      </c>
      <c r="I169" s="583">
        <f t="shared" si="398"/>
        <v>1020</v>
      </c>
      <c r="J169" s="292">
        <f>SUM(J163:J168)</f>
        <v>157</v>
      </c>
      <c r="K169" s="261">
        <f>SUM(K163:K168)</f>
        <v>247</v>
      </c>
      <c r="L169" s="261">
        <f>SUM(L163:L168)</f>
        <v>238</v>
      </c>
      <c r="M169" s="293">
        <f>SUM(M163:M168)</f>
        <v>435</v>
      </c>
      <c r="N169" s="583">
        <f t="shared" si="402"/>
        <v>1077</v>
      </c>
      <c r="O169" s="292">
        <f>SUM(O163:O168)</f>
        <v>-354</v>
      </c>
      <c r="P169" s="261">
        <f>SUM(P163:P168)</f>
        <v>425</v>
      </c>
      <c r="Q169" s="261">
        <f>SUM(Q163:Q168)</f>
        <v>544</v>
      </c>
      <c r="R169" s="293">
        <f>SUM(R163:R168)</f>
        <v>221</v>
      </c>
      <c r="S169" s="583">
        <f t="shared" si="406"/>
        <v>836</v>
      </c>
      <c r="T169" s="292">
        <f>SUM(T163:T168)</f>
        <v>291</v>
      </c>
      <c r="U169" s="261">
        <f>SUM(U163:U168)</f>
        <v>431</v>
      </c>
      <c r="V169" s="261">
        <f>SUM(V163:V168)</f>
        <v>459</v>
      </c>
      <c r="W169" s="293">
        <f>SUM(W163:W168)</f>
        <v>153</v>
      </c>
      <c r="X169" s="583">
        <f t="shared" si="411"/>
        <v>1334</v>
      </c>
      <c r="Y169" s="292">
        <f>SUM(Y163:Y168)</f>
        <v>58</v>
      </c>
      <c r="Z169" s="261">
        <f>SUM(Z163:Z168)</f>
        <v>445</v>
      </c>
      <c r="AA169" s="1438">
        <f>SUM(AA163:AA168)</f>
        <v>347</v>
      </c>
      <c r="AB169" s="1439">
        <f>SUM(AB163:AB168)</f>
        <v>368</v>
      </c>
      <c r="AC169" s="1464">
        <f t="shared" si="415"/>
        <v>1218</v>
      </c>
      <c r="AD169" s="292">
        <f>SUM(AD163:AD168)</f>
        <v>-9</v>
      </c>
      <c r="AE169" s="261">
        <f>SUM(AE163:AE168)</f>
        <v>438</v>
      </c>
      <c r="AF169" s="1438">
        <f>SUM(AF163:AF168)</f>
        <v>420</v>
      </c>
      <c r="AG169" s="1439">
        <f>SUM(AG163:AG168)</f>
        <v>477</v>
      </c>
      <c r="AH169" s="1464">
        <f t="shared" si="419"/>
        <v>1326</v>
      </c>
      <c r="AI169" s="292">
        <f>SUM(AI163:AI168)</f>
        <v>251</v>
      </c>
      <c r="AJ169" s="261">
        <f>SUM(AJ163:AJ168)</f>
        <v>549</v>
      </c>
      <c r="AK169" s="1438">
        <f>SUM(AK163:AK168)</f>
        <v>546</v>
      </c>
      <c r="AL169" s="1439">
        <f>SUM(AL163:AL168)</f>
        <v>550</v>
      </c>
      <c r="AM169" s="1464">
        <f t="shared" si="424"/>
        <v>1896</v>
      </c>
      <c r="AN169" s="292">
        <f>SUM(AN163:AN168)</f>
        <v>284</v>
      </c>
      <c r="AO169" s="261">
        <f>SUM(AO163:AO168)</f>
        <v>844</v>
      </c>
      <c r="AP169" s="1438">
        <f>SUM(AP163:AP168)</f>
        <v>621</v>
      </c>
      <c r="AQ169" s="1439">
        <f>SUM(AQ163:AQ168)</f>
        <v>756</v>
      </c>
      <c r="AR169" s="1464">
        <f t="shared" si="428"/>
        <v>2505</v>
      </c>
      <c r="AS169" s="292">
        <f>SUM(AS163:AS168)</f>
        <v>145</v>
      </c>
      <c r="AT169" s="261">
        <f>SUM(AT163:AT168)</f>
        <v>643</v>
      </c>
      <c r="AU169" s="261">
        <f t="shared" ref="AU169" si="434">SUM(AU163:AU168)</f>
        <v>332</v>
      </c>
      <c r="AV169" s="1439">
        <f>SUM(AV163:AV168)</f>
        <v>406</v>
      </c>
      <c r="AW169" s="1464">
        <f t="shared" si="433"/>
        <v>1527</v>
      </c>
      <c r="AX169" s="292">
        <f t="shared" ref="AX169:BB169" ca="1" si="435">SUM(AX163:AX168)</f>
        <v>383.1597275893609</v>
      </c>
      <c r="AY169" s="261">
        <f t="shared" ca="1" si="435"/>
        <v>387.68855072923134</v>
      </c>
      <c r="AZ169" s="261">
        <f t="shared" ca="1" si="435"/>
        <v>430.16152250299206</v>
      </c>
      <c r="BA169" s="293">
        <f t="shared" ca="1" si="435"/>
        <v>354.68398226523817</v>
      </c>
      <c r="BB169" s="228">
        <f t="shared" ca="1" si="435"/>
        <v>1555.6937830868226</v>
      </c>
      <c r="BC169" s="292">
        <f t="shared" ref="BC169:BL169" ca="1" si="436">SUM(BC163:BC168)</f>
        <v>398.95870025886416</v>
      </c>
      <c r="BD169" s="261">
        <f t="shared" ca="1" si="436"/>
        <v>398.4611195753572</v>
      </c>
      <c r="BE169" s="261">
        <f t="shared" ca="1" si="436"/>
        <v>444.865468020089</v>
      </c>
      <c r="BF169" s="293">
        <f t="shared" ca="1" si="436"/>
        <v>370.71910021440772</v>
      </c>
      <c r="BG169" s="228">
        <f t="shared" ca="1" si="436"/>
        <v>1613.0043880687181</v>
      </c>
      <c r="BH169" s="292">
        <f t="shared" ca="1" si="436"/>
        <v>411.53427538031002</v>
      </c>
      <c r="BI169" s="261">
        <f t="shared" ca="1" si="436"/>
        <v>410.89248277920728</v>
      </c>
      <c r="BJ169" s="261">
        <f t="shared" ca="1" si="436"/>
        <v>452.63197464394563</v>
      </c>
      <c r="BK169" s="293">
        <f t="shared" ca="1" si="436"/>
        <v>381.42207469036231</v>
      </c>
      <c r="BL169" s="228">
        <f t="shared" ca="1" si="436"/>
        <v>1656.4808074938253</v>
      </c>
      <c r="BM169" s="292">
        <f t="shared" ref="BM169:BQ169" ca="1" si="437">SUM(BM163:BM168)</f>
        <v>457.27106156482836</v>
      </c>
      <c r="BN169" s="261">
        <f t="shared" ca="1" si="437"/>
        <v>456.92470722140712</v>
      </c>
      <c r="BO169" s="261">
        <f t="shared" ca="1" si="437"/>
        <v>497.5636382879477</v>
      </c>
      <c r="BP169" s="293">
        <f t="shared" ca="1" si="437"/>
        <v>427.98448180697852</v>
      </c>
      <c r="BQ169" s="228">
        <f t="shared" ca="1" si="437"/>
        <v>1839.7438888811619</v>
      </c>
      <c r="BR169" s="383"/>
      <c r="BS169" s="383"/>
      <c r="BT169" s="383"/>
      <c r="BU169" s="383"/>
      <c r="BV169" s="383"/>
      <c r="BW169" s="383"/>
      <c r="BX169" s="383"/>
      <c r="BY169" s="383"/>
      <c r="BZ169" s="383"/>
      <c r="CA169" s="383"/>
      <c r="CB169" s="383"/>
      <c r="CC169" s="383"/>
      <c r="CD169" s="383"/>
      <c r="CE169" s="383"/>
      <c r="CF169" s="383"/>
      <c r="CG169" s="228">
        <f t="shared" ref="CG169:CW169" si="438">SUM(CG163:CG168)</f>
        <v>183</v>
      </c>
      <c r="CH169" s="228">
        <f t="shared" si="438"/>
        <v>581</v>
      </c>
      <c r="CI169" s="228">
        <f t="shared" si="438"/>
        <v>711</v>
      </c>
      <c r="CJ169" s="228">
        <f t="shared" si="438"/>
        <v>1020</v>
      </c>
      <c r="CK169" s="228">
        <f t="shared" si="438"/>
        <v>1020</v>
      </c>
      <c r="CL169" s="228">
        <f t="shared" si="438"/>
        <v>157</v>
      </c>
      <c r="CM169" s="228">
        <f t="shared" si="438"/>
        <v>404</v>
      </c>
      <c r="CN169" s="228">
        <f t="shared" si="438"/>
        <v>642</v>
      </c>
      <c r="CO169" s="228">
        <f t="shared" si="438"/>
        <v>1077</v>
      </c>
      <c r="CP169" s="228">
        <f t="shared" si="438"/>
        <v>1077</v>
      </c>
      <c r="CQ169" s="228">
        <f t="shared" si="438"/>
        <v>-354</v>
      </c>
      <c r="CR169" s="228">
        <f t="shared" si="438"/>
        <v>71</v>
      </c>
      <c r="CS169" s="228">
        <f t="shared" si="438"/>
        <v>615</v>
      </c>
      <c r="CT169" s="228">
        <f t="shared" si="438"/>
        <v>836</v>
      </c>
      <c r="CU169" s="228">
        <f t="shared" si="438"/>
        <v>836</v>
      </c>
      <c r="CV169" s="228">
        <f t="shared" si="438"/>
        <v>291</v>
      </c>
      <c r="CW169" s="228">
        <f t="shared" si="438"/>
        <v>722</v>
      </c>
      <c r="CX169" s="228">
        <f t="shared" ref="CX169:DG169" si="439">SUM(CX163:CX168)</f>
        <v>1181</v>
      </c>
      <c r="CY169" s="228">
        <f t="shared" si="439"/>
        <v>1334</v>
      </c>
      <c r="CZ169" s="228">
        <f t="shared" si="439"/>
        <v>1334</v>
      </c>
      <c r="DA169" s="228">
        <f t="shared" si="439"/>
        <v>58</v>
      </c>
      <c r="DB169" s="228">
        <f t="shared" si="439"/>
        <v>503</v>
      </c>
      <c r="DC169" s="1440">
        <f t="shared" si="439"/>
        <v>850</v>
      </c>
      <c r="DD169" s="1440">
        <f t="shared" si="439"/>
        <v>1218</v>
      </c>
      <c r="DE169" s="1440">
        <f t="shared" si="439"/>
        <v>1218</v>
      </c>
      <c r="DF169" s="228">
        <f t="shared" si="439"/>
        <v>-9</v>
      </c>
      <c r="DG169" s="228">
        <f t="shared" si="439"/>
        <v>429</v>
      </c>
      <c r="DH169" s="1440">
        <f t="shared" ref="DH169:DL169" si="440">SUM(DH163:DH168)</f>
        <v>849</v>
      </c>
      <c r="DI169" s="1440">
        <f t="shared" si="440"/>
        <v>1326</v>
      </c>
      <c r="DJ169" s="1440">
        <f t="shared" si="440"/>
        <v>1326</v>
      </c>
      <c r="DK169" s="228">
        <f t="shared" si="440"/>
        <v>251</v>
      </c>
      <c r="DL169" s="228">
        <f t="shared" si="440"/>
        <v>800</v>
      </c>
      <c r="DM169" s="1440">
        <f t="shared" ref="DM169:DQ169" si="441">SUM(DM163:DM168)</f>
        <v>1346</v>
      </c>
      <c r="DN169" s="1440">
        <f t="shared" si="441"/>
        <v>1896</v>
      </c>
      <c r="DO169" s="1440">
        <f t="shared" si="441"/>
        <v>1896</v>
      </c>
      <c r="DP169" s="228">
        <f t="shared" si="441"/>
        <v>284</v>
      </c>
      <c r="DQ169" s="228">
        <f t="shared" si="441"/>
        <v>1128</v>
      </c>
      <c r="DR169" s="1440">
        <f t="shared" ref="DR169:DW169" si="442">SUM(DR163:DR168)</f>
        <v>1749</v>
      </c>
      <c r="DS169" s="1440">
        <f t="shared" si="442"/>
        <v>2505</v>
      </c>
      <c r="DT169" s="1440">
        <f t="shared" si="442"/>
        <v>2505</v>
      </c>
      <c r="DU169" s="228">
        <f t="shared" si="442"/>
        <v>145</v>
      </c>
      <c r="DV169" s="228">
        <f t="shared" si="442"/>
        <v>788</v>
      </c>
      <c r="DW169" s="228">
        <f t="shared" si="442"/>
        <v>1120</v>
      </c>
      <c r="DX169" s="1440">
        <f t="shared" ref="DX169:DY169" si="443">SUM(DX163:DX168)</f>
        <v>1527</v>
      </c>
      <c r="DY169" s="1440">
        <f t="shared" si="443"/>
        <v>1527</v>
      </c>
    </row>
    <row r="170" spans="1:129" ht="12.75" customHeight="1">
      <c r="A170" s="45"/>
      <c r="B170" s="45"/>
      <c r="C170" s="391"/>
      <c r="D170" s="45"/>
      <c r="E170" s="290"/>
      <c r="F170" s="260"/>
      <c r="G170" s="260"/>
      <c r="H170" s="291"/>
      <c r="I170" s="647"/>
      <c r="J170" s="290"/>
      <c r="K170" s="260"/>
      <c r="L170" s="260"/>
      <c r="M170" s="291"/>
      <c r="N170" s="647"/>
      <c r="O170" s="290"/>
      <c r="P170" s="260"/>
      <c r="Q170" s="260"/>
      <c r="R170" s="291"/>
      <c r="S170" s="647"/>
      <c r="T170" s="290"/>
      <c r="U170" s="260"/>
      <c r="V170" s="260"/>
      <c r="W170" s="291"/>
      <c r="X170" s="647"/>
      <c r="Y170" s="290"/>
      <c r="Z170" s="260"/>
      <c r="AA170" s="1441"/>
      <c r="AB170" s="1442"/>
      <c r="AC170" s="1466"/>
      <c r="AD170" s="290"/>
      <c r="AE170" s="260"/>
      <c r="AF170" s="1441"/>
      <c r="AG170" s="1442"/>
      <c r="AH170" s="1466"/>
      <c r="AI170" s="290"/>
      <c r="AJ170" s="260"/>
      <c r="AK170" s="1441"/>
      <c r="AL170" s="1442"/>
      <c r="AM170" s="1466"/>
      <c r="AN170" s="290"/>
      <c r="AO170" s="260"/>
      <c r="AP170" s="1441"/>
      <c r="AQ170" s="1442"/>
      <c r="AR170" s="1466"/>
      <c r="AS170" s="290"/>
      <c r="AT170" s="260"/>
      <c r="AU170" s="260"/>
      <c r="AV170" s="1442"/>
      <c r="AW170" s="1466"/>
      <c r="AX170" s="290"/>
      <c r="AY170" s="260"/>
      <c r="AZ170" s="260"/>
      <c r="BA170" s="291"/>
      <c r="BB170" s="45"/>
      <c r="BC170" s="290"/>
      <c r="BD170" s="260"/>
      <c r="BE170" s="260"/>
      <c r="BF170" s="291"/>
      <c r="BG170" s="45"/>
      <c r="BH170" s="290"/>
      <c r="BI170" s="260"/>
      <c r="BJ170" s="260"/>
      <c r="BK170" s="291"/>
      <c r="BL170" s="45"/>
      <c r="BM170" s="290"/>
      <c r="BN170" s="260"/>
      <c r="BO170" s="260"/>
      <c r="BP170" s="291"/>
      <c r="BQ170" s="45"/>
      <c r="BR170" s="383"/>
      <c r="BS170" s="383"/>
      <c r="BT170" s="383"/>
      <c r="BU170" s="383"/>
      <c r="BV170" s="383"/>
      <c r="BW170" s="383"/>
      <c r="BX170" s="383"/>
      <c r="BY170" s="383"/>
      <c r="BZ170" s="383"/>
      <c r="CA170" s="383"/>
      <c r="CB170" s="383"/>
      <c r="CC170" s="383"/>
      <c r="CD170" s="383"/>
      <c r="CE170" s="383"/>
      <c r="CF170" s="383"/>
      <c r="CG170" s="45"/>
      <c r="CH170" s="45"/>
      <c r="CI170" s="45"/>
      <c r="CJ170" s="45"/>
      <c r="CK170" s="45"/>
      <c r="CL170" s="45"/>
      <c r="CM170" s="45"/>
      <c r="CN170" s="45"/>
      <c r="CO170" s="45"/>
      <c r="CP170" s="45"/>
      <c r="CQ170" s="45"/>
      <c r="CR170" s="45"/>
      <c r="CS170" s="427"/>
      <c r="CT170" s="45"/>
      <c r="CU170" s="45"/>
      <c r="CV170" s="45"/>
      <c r="CW170" s="45"/>
      <c r="CX170" s="427"/>
      <c r="CY170" s="45"/>
      <c r="CZ170" s="45"/>
      <c r="DA170" s="45"/>
      <c r="DB170" s="45"/>
      <c r="DC170" s="1437"/>
      <c r="DD170" s="1443"/>
      <c r="DE170" s="1443"/>
      <c r="DF170" s="45"/>
      <c r="DG170" s="45"/>
      <c r="DH170" s="1437"/>
      <c r="DI170" s="1443"/>
      <c r="DJ170" s="1443"/>
      <c r="DK170" s="45"/>
      <c r="DL170" s="45"/>
      <c r="DM170" s="1437"/>
      <c r="DN170" s="1443"/>
      <c r="DO170" s="1443"/>
      <c r="DP170" s="45"/>
      <c r="DQ170" s="45"/>
      <c r="DR170" s="1437"/>
      <c r="DS170" s="1443"/>
      <c r="DT170" s="1443"/>
      <c r="DU170" s="45"/>
      <c r="DV170" s="45"/>
      <c r="DW170" s="45"/>
      <c r="DX170" s="1443"/>
      <c r="DY170" s="1443"/>
    </row>
    <row r="171" spans="1:129" ht="12.75" customHeight="1">
      <c r="A171" s="45"/>
      <c r="B171" s="45"/>
      <c r="C171" s="391" t="s">
        <v>283</v>
      </c>
      <c r="D171" s="45"/>
      <c r="E171" s="290">
        <f>+CG171</f>
        <v>-225</v>
      </c>
      <c r="F171" s="260">
        <f t="shared" ref="F171:G173" si="444">+CH171-CG171</f>
        <v>-198</v>
      </c>
      <c r="G171" s="260">
        <f t="shared" si="444"/>
        <v>-182</v>
      </c>
      <c r="H171" s="291">
        <f>+CK171-CI171</f>
        <v>-249</v>
      </c>
      <c r="I171" s="647">
        <f t="shared" ref="I171:I183" si="445">CK171</f>
        <v>-854</v>
      </c>
      <c r="J171" s="290">
        <f>+CL171</f>
        <v>-244</v>
      </c>
      <c r="K171" s="260">
        <f t="shared" ref="K171:L173" si="446">+CM171-CL171</f>
        <v>-209</v>
      </c>
      <c r="L171" s="260">
        <f t="shared" si="446"/>
        <v>-233</v>
      </c>
      <c r="M171" s="291">
        <f>+CP171-CN171</f>
        <v>-276</v>
      </c>
      <c r="N171" s="647">
        <f t="shared" ref="N171:N183" si="447">CP171</f>
        <v>-962</v>
      </c>
      <c r="O171" s="290">
        <f>+CQ171</f>
        <v>-251</v>
      </c>
      <c r="P171" s="260">
        <f t="shared" ref="P171:Q173" si="448">+CR171-CQ171</f>
        <v>-244</v>
      </c>
      <c r="Q171" s="260">
        <f t="shared" si="448"/>
        <v>-263</v>
      </c>
      <c r="R171" s="291">
        <f>+CU171-CS171</f>
        <v>-270</v>
      </c>
      <c r="S171" s="647">
        <f t="shared" ref="S171:S183" si="449">CU171</f>
        <v>-1028</v>
      </c>
      <c r="T171" s="290">
        <f>+CV171</f>
        <v>-291</v>
      </c>
      <c r="U171" s="260">
        <f t="shared" ref="U171:V173" si="450">+CW171-CV171</f>
        <v>-294</v>
      </c>
      <c r="V171" s="260">
        <f t="shared" si="450"/>
        <v>-311</v>
      </c>
      <c r="W171" s="291">
        <f>+CZ171-CX171</f>
        <v>-350</v>
      </c>
      <c r="X171" s="647">
        <f>CZ171</f>
        <v>-1246</v>
      </c>
      <c r="Y171" s="290">
        <f>+DA171</f>
        <v>-346</v>
      </c>
      <c r="Z171" s="260">
        <f t="shared" ref="Z171:AA173" si="451">+DB171-DA171</f>
        <v>-365</v>
      </c>
      <c r="AA171" s="1441">
        <f t="shared" si="451"/>
        <v>-363</v>
      </c>
      <c r="AB171" s="1442">
        <f>+DE171-DC171</f>
        <v>-359</v>
      </c>
      <c r="AC171" s="1466">
        <f>DE171</f>
        <v>-1433</v>
      </c>
      <c r="AD171" s="290">
        <f>+DF171</f>
        <v>-341</v>
      </c>
      <c r="AE171" s="260">
        <f>+DG171-DF171</f>
        <v>-406</v>
      </c>
      <c r="AF171" s="1441">
        <f t="shared" ref="AF171:AF173" si="452">+DH171-DG171</f>
        <v>-426</v>
      </c>
      <c r="AG171" s="1442">
        <f>+DJ171-DH171</f>
        <v>-516</v>
      </c>
      <c r="AH171" s="1466">
        <f>DJ171</f>
        <v>-1689</v>
      </c>
      <c r="AI171" s="290">
        <f>+DK171</f>
        <v>-530</v>
      </c>
      <c r="AJ171" s="260">
        <f>+DL171-DK171</f>
        <v>-531</v>
      </c>
      <c r="AK171" s="1441">
        <f t="shared" ref="AK171:AK173" si="453">+DM171-DL171</f>
        <v>-609</v>
      </c>
      <c r="AL171" s="1442">
        <f>+DO171-DM171</f>
        <v>-728</v>
      </c>
      <c r="AM171" s="1466">
        <f>DO171</f>
        <v>-2398</v>
      </c>
      <c r="AN171" s="290">
        <f>+DP171</f>
        <v>-639</v>
      </c>
      <c r="AO171" s="260">
        <f>+DQ171-DP171</f>
        <v>-695</v>
      </c>
      <c r="AP171" s="1441">
        <f t="shared" ref="AP171:AP173" si="454">+DR171-DQ171</f>
        <v>-616</v>
      </c>
      <c r="AQ171" s="1442">
        <f>+DT171-DR171</f>
        <v>-784</v>
      </c>
      <c r="AR171" s="1466">
        <f>DT171</f>
        <v>-2734</v>
      </c>
      <c r="AS171" s="290">
        <f>+DU171</f>
        <v>-535</v>
      </c>
      <c r="AT171" s="260">
        <f>+DV171-DU171</f>
        <v>-633</v>
      </c>
      <c r="AU171" s="260">
        <f t="shared" ref="AU171:AU173" si="455">+DW171-DV171</f>
        <v>-530</v>
      </c>
      <c r="AV171" s="1442">
        <f>+DY171-DW171</f>
        <v>-552</v>
      </c>
      <c r="AW171" s="1466">
        <f>DY171</f>
        <v>-2250</v>
      </c>
      <c r="AX171" s="290">
        <f>+-AX141</f>
        <v>-531.25</v>
      </c>
      <c r="AY171" s="260">
        <f>+-AY141</f>
        <v>-531.25</v>
      </c>
      <c r="AZ171" s="260">
        <f>+-AZ141</f>
        <v>-531.25</v>
      </c>
      <c r="BA171" s="291">
        <f>+-BA141</f>
        <v>-531.25</v>
      </c>
      <c r="BB171" s="45">
        <f>SUM(AX171:BA171)</f>
        <v>-2125</v>
      </c>
      <c r="BC171" s="290">
        <f>+-BC141</f>
        <v>-431.25</v>
      </c>
      <c r="BD171" s="260">
        <f>+-BD141</f>
        <v>-431.25</v>
      </c>
      <c r="BE171" s="260">
        <f>+-BE141</f>
        <v>-431.25</v>
      </c>
      <c r="BF171" s="291">
        <f>+-BF141</f>
        <v>-431.25</v>
      </c>
      <c r="BG171" s="45">
        <f>SUM(BC171:BF171)</f>
        <v>-1725</v>
      </c>
      <c r="BH171" s="290">
        <f>+-BH141</f>
        <v>-462.5</v>
      </c>
      <c r="BI171" s="260">
        <f>+-BI141</f>
        <v>-462.5</v>
      </c>
      <c r="BJ171" s="260">
        <f>+-BJ141</f>
        <v>-462.5</v>
      </c>
      <c r="BK171" s="291">
        <f>+-BK141</f>
        <v>-462.5</v>
      </c>
      <c r="BL171" s="45">
        <f>SUM(BH171:BK171)</f>
        <v>-1850</v>
      </c>
      <c r="BM171" s="290">
        <f>+-BM141</f>
        <v>-462.5</v>
      </c>
      <c r="BN171" s="260">
        <f>+-BN141</f>
        <v>-462.5</v>
      </c>
      <c r="BO171" s="260">
        <f>+-BO141</f>
        <v>-462.5</v>
      </c>
      <c r="BP171" s="291">
        <f>+-BP141</f>
        <v>-462.5</v>
      </c>
      <c r="BQ171" s="45">
        <f>SUM(BM171:BP171)</f>
        <v>-1850</v>
      </c>
      <c r="BR171" s="383"/>
      <c r="BS171" s="383"/>
      <c r="BT171" s="383"/>
      <c r="BU171" s="383"/>
      <c r="BV171" s="383"/>
      <c r="BW171" s="383"/>
      <c r="BX171" s="383"/>
      <c r="BY171" s="383"/>
      <c r="BZ171" s="383"/>
      <c r="CA171" s="383"/>
      <c r="CB171" s="383"/>
      <c r="CC171" s="383"/>
      <c r="CD171" s="383"/>
      <c r="CE171" s="383"/>
      <c r="CF171" s="383"/>
      <c r="CG171" s="427">
        <v>-225</v>
      </c>
      <c r="CH171" s="427">
        <v>-423</v>
      </c>
      <c r="CI171" s="427">
        <v>-605</v>
      </c>
      <c r="CJ171" s="45">
        <f>CK171</f>
        <v>-854</v>
      </c>
      <c r="CK171" s="427">
        <v>-854</v>
      </c>
      <c r="CL171" s="427">
        <v>-244</v>
      </c>
      <c r="CM171" s="427">
        <v>-453</v>
      </c>
      <c r="CN171" s="427">
        <v>-686</v>
      </c>
      <c r="CO171" s="45">
        <f>CP171</f>
        <v>-962</v>
      </c>
      <c r="CP171" s="427">
        <v>-962</v>
      </c>
      <c r="CQ171" s="427">
        <v>-251</v>
      </c>
      <c r="CR171" s="427">
        <v>-495</v>
      </c>
      <c r="CS171" s="427">
        <v>-758</v>
      </c>
      <c r="CT171" s="45">
        <f>CU171</f>
        <v>-1028</v>
      </c>
      <c r="CU171" s="427">
        <v>-1028</v>
      </c>
      <c r="CV171" s="427">
        <v>-291</v>
      </c>
      <c r="CW171" s="427">
        <f>-585</f>
        <v>-585</v>
      </c>
      <c r="CX171" s="427">
        <v>-896</v>
      </c>
      <c r="CY171" s="45">
        <f>CZ171</f>
        <v>-1246</v>
      </c>
      <c r="CZ171" s="427">
        <v>-1246</v>
      </c>
      <c r="DA171" s="427">
        <v>-346</v>
      </c>
      <c r="DB171" s="427">
        <v>-711</v>
      </c>
      <c r="DC171" s="1437">
        <v>-1074</v>
      </c>
      <c r="DD171" s="1443">
        <f>DE171</f>
        <v>-1433</v>
      </c>
      <c r="DE171" s="1437">
        <v>-1433</v>
      </c>
      <c r="DF171" s="427">
        <v>-341</v>
      </c>
      <c r="DG171" s="427">
        <v>-747</v>
      </c>
      <c r="DH171" s="1437">
        <v>-1173</v>
      </c>
      <c r="DI171" s="1443">
        <f>DJ171</f>
        <v>-1689</v>
      </c>
      <c r="DJ171" s="1437">
        <v>-1689</v>
      </c>
      <c r="DK171" s="427">
        <v>-530</v>
      </c>
      <c r="DL171" s="427">
        <v>-1061</v>
      </c>
      <c r="DM171" s="1437">
        <v>-1670</v>
      </c>
      <c r="DN171" s="1443">
        <f>DO171</f>
        <v>-2398</v>
      </c>
      <c r="DO171" s="1437">
        <v>-2398</v>
      </c>
      <c r="DP171" s="427">
        <v>-639</v>
      </c>
      <c r="DQ171" s="427">
        <v>-1334</v>
      </c>
      <c r="DR171" s="1437">
        <v>-1950</v>
      </c>
      <c r="DS171" s="1443">
        <f>DT171</f>
        <v>-2734</v>
      </c>
      <c r="DT171" s="1437">
        <v>-2734</v>
      </c>
      <c r="DU171" s="427">
        <v>-535</v>
      </c>
      <c r="DV171" s="427">
        <v>-1168</v>
      </c>
      <c r="DW171" s="427">
        <v>-1698</v>
      </c>
      <c r="DX171" s="1443">
        <f>DY171</f>
        <v>-2250</v>
      </c>
      <c r="DY171" s="1437">
        <v>-2250</v>
      </c>
    </row>
    <row r="172" spans="1:129" ht="12.75" customHeight="1">
      <c r="A172" s="45"/>
      <c r="B172" s="45"/>
      <c r="C172" s="787" t="s">
        <v>243</v>
      </c>
      <c r="D172" s="45"/>
      <c r="E172" s="290">
        <f>+CG172</f>
        <v>0</v>
      </c>
      <c r="F172" s="260">
        <f t="shared" si="444"/>
        <v>0</v>
      </c>
      <c r="G172" s="260">
        <f t="shared" si="444"/>
        <v>0</v>
      </c>
      <c r="H172" s="291">
        <f>+CK172-CI172</f>
        <v>13</v>
      </c>
      <c r="I172" s="647">
        <f t="shared" si="445"/>
        <v>13</v>
      </c>
      <c r="J172" s="290">
        <f>+CL172</f>
        <v>0</v>
      </c>
      <c r="K172" s="260">
        <f t="shared" si="446"/>
        <v>0</v>
      </c>
      <c r="L172" s="260">
        <f t="shared" si="446"/>
        <v>0</v>
      </c>
      <c r="M172" s="291">
        <f>+CP172-CN172</f>
        <v>6</v>
      </c>
      <c r="N172" s="647">
        <f t="shared" si="447"/>
        <v>6</v>
      </c>
      <c r="O172" s="290">
        <f>+CQ172</f>
        <v>0</v>
      </c>
      <c r="P172" s="260">
        <f t="shared" si="448"/>
        <v>0</v>
      </c>
      <c r="Q172" s="260">
        <f t="shared" si="448"/>
        <v>0</v>
      </c>
      <c r="R172" s="291">
        <f>+CU172-CS172</f>
        <v>2</v>
      </c>
      <c r="S172" s="647">
        <f t="shared" si="449"/>
        <v>2</v>
      </c>
      <c r="T172" s="290">
        <f>+CV172</f>
        <v>5</v>
      </c>
      <c r="U172" s="260">
        <f t="shared" si="450"/>
        <v>2</v>
      </c>
      <c r="V172" s="260">
        <f t="shared" si="450"/>
        <v>6</v>
      </c>
      <c r="W172" s="291">
        <f>+CZ172-CX172</f>
        <v>2</v>
      </c>
      <c r="X172" s="647">
        <f>CZ172</f>
        <v>15</v>
      </c>
      <c r="Y172" s="290">
        <f>+DA172</f>
        <v>1</v>
      </c>
      <c r="Z172" s="260">
        <f t="shared" si="451"/>
        <v>0</v>
      </c>
      <c r="AA172" s="1441">
        <f t="shared" si="451"/>
        <v>1</v>
      </c>
      <c r="AB172" s="1442">
        <f>+DE172-DC172</f>
        <v>1</v>
      </c>
      <c r="AC172" s="1466">
        <f>DE172</f>
        <v>3</v>
      </c>
      <c r="AD172" s="290">
        <f>+DF172</f>
        <v>3</v>
      </c>
      <c r="AE172" s="260">
        <f>+DG172-DF172</f>
        <v>1</v>
      </c>
      <c r="AF172" s="1441">
        <f t="shared" si="452"/>
        <v>0</v>
      </c>
      <c r="AG172" s="1442">
        <f>+DJ172-DH172</f>
        <v>0</v>
      </c>
      <c r="AH172" s="1466">
        <f>DJ172</f>
        <v>4</v>
      </c>
      <c r="AI172" s="290">
        <f>+DK172</f>
        <v>0</v>
      </c>
      <c r="AJ172" s="260">
        <f>+DL172-DK172</f>
        <v>0</v>
      </c>
      <c r="AK172" s="1441">
        <f t="shared" si="453"/>
        <v>0</v>
      </c>
      <c r="AL172" s="1442">
        <f>+DO172-DM172</f>
        <v>0</v>
      </c>
      <c r="AM172" s="1466">
        <f>DO172</f>
        <v>0</v>
      </c>
      <c r="AN172" s="290">
        <f>+DP172</f>
        <v>0</v>
      </c>
      <c r="AO172" s="260">
        <f>+DQ172-DP172</f>
        <v>0</v>
      </c>
      <c r="AP172" s="1441">
        <f t="shared" si="454"/>
        <v>0</v>
      </c>
      <c r="AQ172" s="1442">
        <f>+DT172-DR172</f>
        <v>0</v>
      </c>
      <c r="AR172" s="1466">
        <f>DT172</f>
        <v>0</v>
      </c>
      <c r="AS172" s="290">
        <f>+DU172</f>
        <v>0</v>
      </c>
      <c r="AT172" s="260">
        <f>+DV172-DU172</f>
        <v>0</v>
      </c>
      <c r="AU172" s="260">
        <f t="shared" si="455"/>
        <v>0</v>
      </c>
      <c r="AV172" s="1442">
        <f>+DY172-DW172</f>
        <v>0</v>
      </c>
      <c r="AW172" s="1466">
        <f>DY172</f>
        <v>0</v>
      </c>
      <c r="AX172" s="290">
        <f>+BB172/4</f>
        <v>0</v>
      </c>
      <c r="AY172" s="260">
        <f>(BB172-SUM(AX172:AX172))/3</f>
        <v>0</v>
      </c>
      <c r="AZ172" s="260">
        <f>(BB172-SUM(AX172:AY172))/2</f>
        <v>0</v>
      </c>
      <c r="BA172" s="291">
        <f>(BB172-SUM(AX172:AZ172))/1</f>
        <v>0</v>
      </c>
      <c r="BB172" s="426">
        <v>0</v>
      </c>
      <c r="BC172" s="290">
        <f>+BG172/4</f>
        <v>0</v>
      </c>
      <c r="BD172" s="260">
        <f>(BG172-SUM(BC172:BC172))/3</f>
        <v>0</v>
      </c>
      <c r="BE172" s="260">
        <f>(BG172-SUM(BC172:BD172))/2</f>
        <v>0</v>
      </c>
      <c r="BF172" s="291">
        <f>(BG172-SUM(BC172:BE172))/1</f>
        <v>0</v>
      </c>
      <c r="BG172" s="426">
        <v>0</v>
      </c>
      <c r="BH172" s="290">
        <f>+BL172/4</f>
        <v>0</v>
      </c>
      <c r="BI172" s="260">
        <f>(BL172-SUM(BH172:BH172))/3</f>
        <v>0</v>
      </c>
      <c r="BJ172" s="260">
        <f>(BL172-SUM(BH172:BI172))/2</f>
        <v>0</v>
      </c>
      <c r="BK172" s="291">
        <f>(BL172-SUM(BH172:BJ172))/1</f>
        <v>0</v>
      </c>
      <c r="BL172" s="426">
        <v>0</v>
      </c>
      <c r="BM172" s="290">
        <f>+BQ172/4</f>
        <v>0</v>
      </c>
      <c r="BN172" s="260">
        <f>(BQ172-SUM(BM172:BM172))/3</f>
        <v>0</v>
      </c>
      <c r="BO172" s="260">
        <f>(BQ172-SUM(BM172:BN172))/2</f>
        <v>0</v>
      </c>
      <c r="BP172" s="291">
        <f>(BQ172-SUM(BM172:BO172))/1</f>
        <v>0</v>
      </c>
      <c r="BQ172" s="426">
        <v>0</v>
      </c>
      <c r="BR172" s="383"/>
      <c r="BS172" s="383"/>
      <c r="BT172" s="383"/>
      <c r="BU172" s="383"/>
      <c r="BV172" s="383"/>
      <c r="BW172" s="383"/>
      <c r="BX172" s="383"/>
      <c r="BY172" s="383"/>
      <c r="BZ172" s="383"/>
      <c r="CA172" s="383"/>
      <c r="CB172" s="383"/>
      <c r="CC172" s="383"/>
      <c r="CD172" s="383"/>
      <c r="CE172" s="383"/>
      <c r="CF172" s="383"/>
      <c r="CG172" s="427">
        <v>0</v>
      </c>
      <c r="CH172" s="427">
        <v>0</v>
      </c>
      <c r="CI172" s="427">
        <v>0</v>
      </c>
      <c r="CJ172" s="45">
        <f>CK172</f>
        <v>13</v>
      </c>
      <c r="CK172" s="427">
        <f>41-28</f>
        <v>13</v>
      </c>
      <c r="CL172" s="427">
        <v>0</v>
      </c>
      <c r="CM172" s="427">
        <v>0</v>
      </c>
      <c r="CN172" s="427">
        <v>0</v>
      </c>
      <c r="CO172" s="45">
        <f>CP172</f>
        <v>6</v>
      </c>
      <c r="CP172" s="427">
        <f>28-22</f>
        <v>6</v>
      </c>
      <c r="CQ172" s="427">
        <f>1-1</f>
        <v>0</v>
      </c>
      <c r="CR172" s="427">
        <v>0</v>
      </c>
      <c r="CS172" s="427">
        <v>0</v>
      </c>
      <c r="CT172" s="45">
        <f>CU172</f>
        <v>2</v>
      </c>
      <c r="CU172" s="427">
        <f>6-4</f>
        <v>2</v>
      </c>
      <c r="CV172" s="427">
        <f>10-5</f>
        <v>5</v>
      </c>
      <c r="CW172" s="427">
        <f>12-5</f>
        <v>7</v>
      </c>
      <c r="CX172" s="427">
        <f>26-13</f>
        <v>13</v>
      </c>
      <c r="CY172" s="45">
        <f>CZ172</f>
        <v>15</v>
      </c>
      <c r="CZ172" s="427">
        <f>28-13</f>
        <v>15</v>
      </c>
      <c r="DA172" s="427">
        <f>2-1</f>
        <v>1</v>
      </c>
      <c r="DB172" s="427">
        <f>4-3</f>
        <v>1</v>
      </c>
      <c r="DC172" s="1437">
        <f>5-3</f>
        <v>2</v>
      </c>
      <c r="DD172" s="1443">
        <f>DE172</f>
        <v>3</v>
      </c>
      <c r="DE172" s="1437">
        <f>7-4</f>
        <v>3</v>
      </c>
      <c r="DF172" s="427">
        <v>3</v>
      </c>
      <c r="DG172" s="427">
        <f>7-3</f>
        <v>4</v>
      </c>
      <c r="DH172" s="1437">
        <f>7-3</f>
        <v>4</v>
      </c>
      <c r="DI172" s="1443">
        <f>DJ172</f>
        <v>4</v>
      </c>
      <c r="DJ172" s="1437">
        <f>7-3</f>
        <v>4</v>
      </c>
      <c r="DK172" s="427">
        <v>0</v>
      </c>
      <c r="DL172" s="427">
        <v>0</v>
      </c>
      <c r="DM172" s="1437">
        <v>0</v>
      </c>
      <c r="DN172" s="1443">
        <f>DO172</f>
        <v>0</v>
      </c>
      <c r="DO172" s="1437">
        <v>0</v>
      </c>
      <c r="DP172" s="427">
        <v>0</v>
      </c>
      <c r="DQ172" s="427">
        <v>0</v>
      </c>
      <c r="DR172" s="1437">
        <v>0</v>
      </c>
      <c r="DS172" s="1443">
        <f>DT172</f>
        <v>0</v>
      </c>
      <c r="DT172" s="1437">
        <v>0</v>
      </c>
      <c r="DU172" s="427">
        <v>0</v>
      </c>
      <c r="DV172" s="427">
        <v>0</v>
      </c>
      <c r="DW172" s="427"/>
      <c r="DX172" s="1443">
        <f>DY172</f>
        <v>0</v>
      </c>
      <c r="DY172" s="1437">
        <v>0</v>
      </c>
    </row>
    <row r="173" spans="1:129" ht="12.75" customHeight="1">
      <c r="A173" s="45"/>
      <c r="B173" s="45"/>
      <c r="C173" s="391" t="s">
        <v>149</v>
      </c>
      <c r="D173" s="45"/>
      <c r="E173" s="290">
        <f>+CG173</f>
        <v>0</v>
      </c>
      <c r="F173" s="260">
        <f t="shared" si="444"/>
        <v>2</v>
      </c>
      <c r="G173" s="260">
        <f t="shared" si="444"/>
        <v>12</v>
      </c>
      <c r="H173" s="291">
        <f>+CK173-CI173</f>
        <v>6</v>
      </c>
      <c r="I173" s="647">
        <f t="shared" si="445"/>
        <v>20</v>
      </c>
      <c r="J173" s="290">
        <f>+CL173</f>
        <v>10</v>
      </c>
      <c r="K173" s="260">
        <f t="shared" si="446"/>
        <v>6</v>
      </c>
      <c r="L173" s="260">
        <f t="shared" si="446"/>
        <v>0</v>
      </c>
      <c r="M173" s="291">
        <f>+CP173-CN173</f>
        <v>1</v>
      </c>
      <c r="N173" s="647">
        <f t="shared" si="447"/>
        <v>17</v>
      </c>
      <c r="O173" s="290">
        <f>+CQ173</f>
        <v>10</v>
      </c>
      <c r="P173" s="260">
        <f t="shared" si="448"/>
        <v>12</v>
      </c>
      <c r="Q173" s="260">
        <f t="shared" si="448"/>
        <v>-540</v>
      </c>
      <c r="R173" s="291">
        <f>+CU173-CS173</f>
        <v>537</v>
      </c>
      <c r="S173" s="647">
        <f t="shared" si="449"/>
        <v>19</v>
      </c>
      <c r="T173" s="290">
        <f>+CV173</f>
        <v>6</v>
      </c>
      <c r="U173" s="260">
        <f t="shared" si="450"/>
        <v>5</v>
      </c>
      <c r="V173" s="260">
        <f t="shared" si="450"/>
        <v>1</v>
      </c>
      <c r="W173" s="291">
        <f>+CZ173-CX173</f>
        <v>7</v>
      </c>
      <c r="X173" s="647">
        <f>CZ173</f>
        <v>19</v>
      </c>
      <c r="Y173" s="290">
        <f>+DA173</f>
        <v>9</v>
      </c>
      <c r="Z173" s="260">
        <f t="shared" si="451"/>
        <v>8</v>
      </c>
      <c r="AA173" s="1441">
        <f t="shared" si="451"/>
        <v>13</v>
      </c>
      <c r="AB173" s="1442">
        <f>+DE173-DC173</f>
        <v>13</v>
      </c>
      <c r="AC173" s="1466">
        <f>DE173</f>
        <v>43</v>
      </c>
      <c r="AD173" s="290">
        <f>+DF173</f>
        <v>8</v>
      </c>
      <c r="AE173" s="260">
        <f>+DG173-DF173</f>
        <v>4</v>
      </c>
      <c r="AF173" s="1441">
        <f t="shared" si="452"/>
        <v>9</v>
      </c>
      <c r="AG173" s="1442">
        <f>+DJ173-DH173</f>
        <v>9</v>
      </c>
      <c r="AH173" s="1466">
        <f>DJ173</f>
        <v>30</v>
      </c>
      <c r="AI173" s="290">
        <f>+DK173</f>
        <v>7</v>
      </c>
      <c r="AJ173" s="260">
        <f>+DL173-DK173</f>
        <v>10</v>
      </c>
      <c r="AK173" s="1441">
        <f t="shared" si="453"/>
        <v>7</v>
      </c>
      <c r="AL173" s="1442">
        <f>+DO173-DM173</f>
        <v>12</v>
      </c>
      <c r="AM173" s="1466">
        <f>DO173</f>
        <v>36</v>
      </c>
      <c r="AN173" s="290">
        <f>+DP173</f>
        <v>13</v>
      </c>
      <c r="AO173" s="260">
        <f>+DQ173-DP173</f>
        <v>8</v>
      </c>
      <c r="AP173" s="1441">
        <f t="shared" si="454"/>
        <v>10</v>
      </c>
      <c r="AQ173" s="1442">
        <f>+DT173-DR173</f>
        <v>18</v>
      </c>
      <c r="AR173" s="1466">
        <f>DT173</f>
        <v>49</v>
      </c>
      <c r="AS173" s="290">
        <f>+DU173</f>
        <v>6</v>
      </c>
      <c r="AT173" s="260">
        <f>+DV173-DU173</f>
        <v>-4</v>
      </c>
      <c r="AU173" s="260">
        <f t="shared" si="455"/>
        <v>-35</v>
      </c>
      <c r="AV173" s="1442">
        <f>+DY173-DW173</f>
        <v>-13</v>
      </c>
      <c r="AW173" s="1466">
        <f>DY173</f>
        <v>-46</v>
      </c>
      <c r="AX173" s="290">
        <f>+BB173/4</f>
        <v>0</v>
      </c>
      <c r="AY173" s="260">
        <f>(BB173-SUM(AX173:AX173))/3</f>
        <v>0</v>
      </c>
      <c r="AZ173" s="260">
        <f>(BB173-SUM(AX173:AY173))/2</f>
        <v>0</v>
      </c>
      <c r="BA173" s="291">
        <f>(BB173-SUM(AX173:AZ173))/1</f>
        <v>0</v>
      </c>
      <c r="BB173" s="426">
        <v>0</v>
      </c>
      <c r="BC173" s="290">
        <f>+BG173/4</f>
        <v>0</v>
      </c>
      <c r="BD173" s="260">
        <f>(BG173-SUM(BC173:BC173))/3</f>
        <v>0</v>
      </c>
      <c r="BE173" s="260">
        <f>(BG173-SUM(BC173:BD173))/2</f>
        <v>0</v>
      </c>
      <c r="BF173" s="291">
        <f>(BG173-SUM(BC173:BE173))/1</f>
        <v>0</v>
      </c>
      <c r="BG173" s="426">
        <v>0</v>
      </c>
      <c r="BH173" s="290">
        <f>+BL173/4</f>
        <v>0</v>
      </c>
      <c r="BI173" s="260">
        <f>(BL173-SUM(BH173:BH173))/3</f>
        <v>0</v>
      </c>
      <c r="BJ173" s="260">
        <f>(BL173-SUM(BH173:BI173))/2</f>
        <v>0</v>
      </c>
      <c r="BK173" s="291">
        <f>(BL173-SUM(BH173:BJ173))/1</f>
        <v>0</v>
      </c>
      <c r="BL173" s="426">
        <v>0</v>
      </c>
      <c r="BM173" s="290">
        <f>+BQ173/4</f>
        <v>0</v>
      </c>
      <c r="BN173" s="260">
        <f>(BQ173-SUM(BM173:BM173))/3</f>
        <v>0</v>
      </c>
      <c r="BO173" s="260">
        <f>(BQ173-SUM(BM173:BN173))/2</f>
        <v>0</v>
      </c>
      <c r="BP173" s="291">
        <f>(BQ173-SUM(BM173:BO173))/1</f>
        <v>0</v>
      </c>
      <c r="BQ173" s="426">
        <v>0</v>
      </c>
      <c r="BR173" s="45"/>
      <c r="BS173" s="45"/>
      <c r="BT173" s="45"/>
      <c r="BU173" s="45"/>
      <c r="BV173" s="45"/>
      <c r="BW173" s="45"/>
      <c r="BX173" s="45"/>
      <c r="BY173" s="45"/>
      <c r="BZ173" s="45"/>
      <c r="CA173" s="45"/>
      <c r="CB173" s="45"/>
      <c r="CC173" s="5"/>
      <c r="CD173" s="5"/>
      <c r="CE173" s="45"/>
      <c r="CF173" s="45"/>
      <c r="CG173" s="427">
        <f>-1+1</f>
        <v>0</v>
      </c>
      <c r="CH173" s="427">
        <v>2</v>
      </c>
      <c r="CI173" s="427">
        <v>14</v>
      </c>
      <c r="CJ173" s="45">
        <f>CK173</f>
        <v>20</v>
      </c>
      <c r="CK173" s="427">
        <v>20</v>
      </c>
      <c r="CL173" s="427">
        <v>10</v>
      </c>
      <c r="CM173" s="427">
        <v>16</v>
      </c>
      <c r="CN173" s="427">
        <v>16</v>
      </c>
      <c r="CO173" s="45">
        <f>CP173</f>
        <v>17</v>
      </c>
      <c r="CP173" s="427">
        <v>17</v>
      </c>
      <c r="CQ173" s="427">
        <v>10</v>
      </c>
      <c r="CR173" s="427">
        <v>22</v>
      </c>
      <c r="CS173" s="427">
        <f>-536+18</f>
        <v>-518</v>
      </c>
      <c r="CT173" s="45">
        <f>CU173</f>
        <v>19</v>
      </c>
      <c r="CU173" s="427">
        <v>19</v>
      </c>
      <c r="CV173" s="427">
        <v>6</v>
      </c>
      <c r="CW173" s="427">
        <f>11</f>
        <v>11</v>
      </c>
      <c r="CX173" s="427">
        <v>12</v>
      </c>
      <c r="CY173" s="45">
        <f>CZ173</f>
        <v>19</v>
      </c>
      <c r="CZ173" s="427">
        <v>19</v>
      </c>
      <c r="DA173" s="427">
        <v>9</v>
      </c>
      <c r="DB173" s="427">
        <f>-3+20</f>
        <v>17</v>
      </c>
      <c r="DC173" s="1437">
        <f>-3+33</f>
        <v>30</v>
      </c>
      <c r="DD173" s="1443">
        <f>DE173</f>
        <v>43</v>
      </c>
      <c r="DE173" s="1437">
        <f>-2+45</f>
        <v>43</v>
      </c>
      <c r="DF173" s="427">
        <v>8</v>
      </c>
      <c r="DG173" s="427">
        <f>14-2</f>
        <v>12</v>
      </c>
      <c r="DH173" s="1437">
        <f>-2+23</f>
        <v>21</v>
      </c>
      <c r="DI173" s="1443">
        <f>DJ173</f>
        <v>30</v>
      </c>
      <c r="DJ173" s="1437">
        <f>-2+32</f>
        <v>30</v>
      </c>
      <c r="DK173" s="427">
        <v>7</v>
      </c>
      <c r="DL173" s="427">
        <v>17</v>
      </c>
      <c r="DM173" s="1437">
        <f>2+22</f>
        <v>24</v>
      </c>
      <c r="DN173" s="1443">
        <f>DO173</f>
        <v>36</v>
      </c>
      <c r="DO173" s="1437">
        <f>2+34</f>
        <v>36</v>
      </c>
      <c r="DP173" s="427">
        <v>13</v>
      </c>
      <c r="DQ173" s="427">
        <v>21</v>
      </c>
      <c r="DR173" s="1437">
        <v>31</v>
      </c>
      <c r="DS173" s="1443">
        <f>DT173</f>
        <v>49</v>
      </c>
      <c r="DT173" s="1437">
        <v>49</v>
      </c>
      <c r="DU173" s="427">
        <f>-1+7</f>
        <v>6</v>
      </c>
      <c r="DV173" s="427">
        <f>-10+12</f>
        <v>2</v>
      </c>
      <c r="DW173" s="427">
        <f>-50+17</f>
        <v>-33</v>
      </c>
      <c r="DX173" s="1443">
        <f>DY173</f>
        <v>-46</v>
      </c>
      <c r="DY173" s="1437">
        <f>-66+20</f>
        <v>-46</v>
      </c>
    </row>
    <row r="174" spans="1:129" ht="12.75" customHeight="1">
      <c r="A174" s="45"/>
      <c r="B174" s="45"/>
      <c r="C174" s="389" t="s">
        <v>150</v>
      </c>
      <c r="D174" s="45"/>
      <c r="E174" s="292">
        <f>SUM(E171:E173)</f>
        <v>-225</v>
      </c>
      <c r="F174" s="261">
        <f>SUM(F171:F173)</f>
        <v>-196</v>
      </c>
      <c r="G174" s="261">
        <f>SUM(G171:G173)</f>
        <v>-170</v>
      </c>
      <c r="H174" s="293">
        <f>SUM(H171:H173)</f>
        <v>-230</v>
      </c>
      <c r="I174" s="583">
        <f t="shared" si="445"/>
        <v>-821</v>
      </c>
      <c r="J174" s="292">
        <f>SUM(J171:J173)</f>
        <v>-234</v>
      </c>
      <c r="K174" s="261">
        <f>SUM(K171:K173)</f>
        <v>-203</v>
      </c>
      <c r="L174" s="261">
        <f>SUM(L171:L173)</f>
        <v>-233</v>
      </c>
      <c r="M174" s="293">
        <f>SUM(M171:M173)</f>
        <v>-269</v>
      </c>
      <c r="N174" s="583">
        <f t="shared" si="447"/>
        <v>-939</v>
      </c>
      <c r="O174" s="292">
        <f>SUM(O171:O173)</f>
        <v>-241</v>
      </c>
      <c r="P174" s="261">
        <f>SUM(P171:P173)</f>
        <v>-232</v>
      </c>
      <c r="Q174" s="261">
        <f>SUM(Q171:Q173)</f>
        <v>-803</v>
      </c>
      <c r="R174" s="293">
        <f>SUM(R171:R173)</f>
        <v>269</v>
      </c>
      <c r="S174" s="583">
        <f t="shared" si="449"/>
        <v>-1007</v>
      </c>
      <c r="T174" s="292">
        <f>SUM(T171:T173)</f>
        <v>-280</v>
      </c>
      <c r="U174" s="261">
        <f>SUM(U171:U173)</f>
        <v>-287</v>
      </c>
      <c r="V174" s="261">
        <f>SUM(V171:V173)</f>
        <v>-304</v>
      </c>
      <c r="W174" s="293">
        <f>SUM(W171:W173)</f>
        <v>-341</v>
      </c>
      <c r="X174" s="583">
        <f>CZ174</f>
        <v>-1212</v>
      </c>
      <c r="Y174" s="292">
        <f>SUM(Y171:Y173)</f>
        <v>-336</v>
      </c>
      <c r="Z174" s="261">
        <f>SUM(Z171:Z173)</f>
        <v>-357</v>
      </c>
      <c r="AA174" s="1438">
        <f>SUM(AA171:AA173)</f>
        <v>-349</v>
      </c>
      <c r="AB174" s="1439">
        <f>SUM(AB171:AB173)</f>
        <v>-345</v>
      </c>
      <c r="AC174" s="1464">
        <f>DE174</f>
        <v>-1387</v>
      </c>
      <c r="AD174" s="292">
        <f>SUM(AD171:AD173)</f>
        <v>-330</v>
      </c>
      <c r="AE174" s="261">
        <f>SUM(AE171:AE173)</f>
        <v>-401</v>
      </c>
      <c r="AF174" s="1438">
        <f>SUM(AF171:AF173)</f>
        <v>-417</v>
      </c>
      <c r="AG174" s="1439">
        <f>SUM(AG171:AG173)</f>
        <v>-507</v>
      </c>
      <c r="AH174" s="1464">
        <f>DJ174</f>
        <v>-1655</v>
      </c>
      <c r="AI174" s="292">
        <f>SUM(AI171:AI173)</f>
        <v>-523</v>
      </c>
      <c r="AJ174" s="261">
        <f>SUM(AJ171:AJ173)</f>
        <v>-521</v>
      </c>
      <c r="AK174" s="1438">
        <f>SUM(AK171:AK173)</f>
        <v>-602</v>
      </c>
      <c r="AL174" s="1439">
        <f>SUM(AL171:AL173)</f>
        <v>-716</v>
      </c>
      <c r="AM174" s="1464">
        <f>DO174</f>
        <v>-2362</v>
      </c>
      <c r="AN174" s="292">
        <f>SUM(AN171:AN173)</f>
        <v>-626</v>
      </c>
      <c r="AO174" s="261">
        <f>SUM(AO171:AO173)</f>
        <v>-687</v>
      </c>
      <c r="AP174" s="1438">
        <f>SUM(AP171:AP173)</f>
        <v>-606</v>
      </c>
      <c r="AQ174" s="1439">
        <f>SUM(AQ171:AQ173)</f>
        <v>-766</v>
      </c>
      <c r="AR174" s="1464">
        <f>DT174</f>
        <v>-2685</v>
      </c>
      <c r="AS174" s="292">
        <f>SUM(AS171:AS173)</f>
        <v>-529</v>
      </c>
      <c r="AT174" s="261">
        <f>SUM(AT171:AT173)</f>
        <v>-637</v>
      </c>
      <c r="AU174" s="261">
        <f t="shared" ref="AU174" si="456">SUM(AU171:AU173)</f>
        <v>-565</v>
      </c>
      <c r="AV174" s="1439">
        <f>SUM(AV171:AV173)</f>
        <v>-565</v>
      </c>
      <c r="AW174" s="1464">
        <f>DY174</f>
        <v>-2296</v>
      </c>
      <c r="AX174" s="292">
        <f t="shared" ref="AX174:BB174" si="457">SUM(AX171:AX173)</f>
        <v>-531.25</v>
      </c>
      <c r="AY174" s="261">
        <f t="shared" si="457"/>
        <v>-531.25</v>
      </c>
      <c r="AZ174" s="261">
        <f t="shared" si="457"/>
        <v>-531.25</v>
      </c>
      <c r="BA174" s="293">
        <f t="shared" si="457"/>
        <v>-531.25</v>
      </c>
      <c r="BB174" s="228">
        <f t="shared" si="457"/>
        <v>-2125</v>
      </c>
      <c r="BC174" s="292">
        <f t="shared" ref="BC174:BL174" si="458">SUM(BC171:BC173)</f>
        <v>-431.25</v>
      </c>
      <c r="BD174" s="261">
        <f t="shared" si="458"/>
        <v>-431.25</v>
      </c>
      <c r="BE174" s="261">
        <f t="shared" si="458"/>
        <v>-431.25</v>
      </c>
      <c r="BF174" s="293">
        <f t="shared" si="458"/>
        <v>-431.25</v>
      </c>
      <c r="BG174" s="228">
        <f t="shared" si="458"/>
        <v>-1725</v>
      </c>
      <c r="BH174" s="292">
        <f t="shared" si="458"/>
        <v>-462.5</v>
      </c>
      <c r="BI174" s="261">
        <f t="shared" si="458"/>
        <v>-462.5</v>
      </c>
      <c r="BJ174" s="261">
        <f t="shared" si="458"/>
        <v>-462.5</v>
      </c>
      <c r="BK174" s="293">
        <f t="shared" si="458"/>
        <v>-462.5</v>
      </c>
      <c r="BL174" s="228">
        <f t="shared" si="458"/>
        <v>-1850</v>
      </c>
      <c r="BM174" s="292">
        <f t="shared" ref="BM174:BQ174" si="459">SUM(BM171:BM173)</f>
        <v>-462.5</v>
      </c>
      <c r="BN174" s="261">
        <f t="shared" si="459"/>
        <v>-462.5</v>
      </c>
      <c r="BO174" s="261">
        <f t="shared" si="459"/>
        <v>-462.5</v>
      </c>
      <c r="BP174" s="293">
        <f t="shared" si="459"/>
        <v>-462.5</v>
      </c>
      <c r="BQ174" s="228">
        <f t="shared" si="459"/>
        <v>-1850</v>
      </c>
      <c r="BR174" s="45"/>
      <c r="BS174" s="45"/>
      <c r="BT174" s="45"/>
      <c r="BU174" s="45"/>
      <c r="BV174" s="45"/>
      <c r="BW174" s="45"/>
      <c r="BX174" s="45"/>
      <c r="BY174" s="45"/>
      <c r="BZ174" s="45"/>
      <c r="CA174" s="45"/>
      <c r="CB174" s="45"/>
      <c r="CC174" s="5"/>
      <c r="CD174" s="5"/>
      <c r="CE174" s="45"/>
      <c r="CF174" s="45"/>
      <c r="CG174" s="228">
        <f t="shared" ref="CG174:CW174" si="460">SUM(CG171:CG173)</f>
        <v>-225</v>
      </c>
      <c r="CH174" s="228">
        <f t="shared" si="460"/>
        <v>-421</v>
      </c>
      <c r="CI174" s="228">
        <f t="shared" si="460"/>
        <v>-591</v>
      </c>
      <c r="CJ174" s="228">
        <f t="shared" si="460"/>
        <v>-821</v>
      </c>
      <c r="CK174" s="228">
        <f t="shared" si="460"/>
        <v>-821</v>
      </c>
      <c r="CL174" s="228">
        <f t="shared" si="460"/>
        <v>-234</v>
      </c>
      <c r="CM174" s="228">
        <f t="shared" si="460"/>
        <v>-437</v>
      </c>
      <c r="CN174" s="228">
        <f t="shared" si="460"/>
        <v>-670</v>
      </c>
      <c r="CO174" s="228">
        <f t="shared" si="460"/>
        <v>-939</v>
      </c>
      <c r="CP174" s="228">
        <f t="shared" si="460"/>
        <v>-939</v>
      </c>
      <c r="CQ174" s="228">
        <f t="shared" si="460"/>
        <v>-241</v>
      </c>
      <c r="CR174" s="228">
        <f t="shared" si="460"/>
        <v>-473</v>
      </c>
      <c r="CS174" s="228">
        <f t="shared" si="460"/>
        <v>-1276</v>
      </c>
      <c r="CT174" s="228">
        <f t="shared" si="460"/>
        <v>-1007</v>
      </c>
      <c r="CU174" s="228">
        <f t="shared" si="460"/>
        <v>-1007</v>
      </c>
      <c r="CV174" s="228">
        <f t="shared" si="460"/>
        <v>-280</v>
      </c>
      <c r="CW174" s="228">
        <f t="shared" si="460"/>
        <v>-567</v>
      </c>
      <c r="CX174" s="228">
        <f t="shared" ref="CX174:DG174" si="461">SUM(CX171:CX173)</f>
        <v>-871</v>
      </c>
      <c r="CY174" s="228">
        <f t="shared" si="461"/>
        <v>-1212</v>
      </c>
      <c r="CZ174" s="228">
        <f t="shared" si="461"/>
        <v>-1212</v>
      </c>
      <c r="DA174" s="228">
        <f t="shared" si="461"/>
        <v>-336</v>
      </c>
      <c r="DB174" s="228">
        <f t="shared" si="461"/>
        <v>-693</v>
      </c>
      <c r="DC174" s="1440">
        <f t="shared" si="461"/>
        <v>-1042</v>
      </c>
      <c r="DD174" s="1440">
        <f t="shared" si="461"/>
        <v>-1387</v>
      </c>
      <c r="DE174" s="1440">
        <f t="shared" si="461"/>
        <v>-1387</v>
      </c>
      <c r="DF174" s="228">
        <f t="shared" si="461"/>
        <v>-330</v>
      </c>
      <c r="DG174" s="228">
        <f t="shared" si="461"/>
        <v>-731</v>
      </c>
      <c r="DH174" s="1440">
        <f t="shared" ref="DH174:DL174" si="462">SUM(DH171:DH173)</f>
        <v>-1148</v>
      </c>
      <c r="DI174" s="1440">
        <f t="shared" si="462"/>
        <v>-1655</v>
      </c>
      <c r="DJ174" s="1440">
        <f t="shared" si="462"/>
        <v>-1655</v>
      </c>
      <c r="DK174" s="228">
        <f t="shared" si="462"/>
        <v>-523</v>
      </c>
      <c r="DL174" s="228">
        <f t="shared" si="462"/>
        <v>-1044</v>
      </c>
      <c r="DM174" s="1440">
        <f t="shared" ref="DM174:DQ174" si="463">SUM(DM171:DM173)</f>
        <v>-1646</v>
      </c>
      <c r="DN174" s="1440">
        <f t="shared" si="463"/>
        <v>-2362</v>
      </c>
      <c r="DO174" s="1440">
        <f t="shared" si="463"/>
        <v>-2362</v>
      </c>
      <c r="DP174" s="228">
        <f t="shared" si="463"/>
        <v>-626</v>
      </c>
      <c r="DQ174" s="228">
        <f t="shared" si="463"/>
        <v>-1313</v>
      </c>
      <c r="DR174" s="1440">
        <f t="shared" ref="DR174:DW174" si="464">SUM(DR171:DR173)</f>
        <v>-1919</v>
      </c>
      <c r="DS174" s="1440">
        <f t="shared" si="464"/>
        <v>-2685</v>
      </c>
      <c r="DT174" s="1440">
        <f t="shared" si="464"/>
        <v>-2685</v>
      </c>
      <c r="DU174" s="228">
        <f t="shared" si="464"/>
        <v>-529</v>
      </c>
      <c r="DV174" s="228">
        <f t="shared" si="464"/>
        <v>-1166</v>
      </c>
      <c r="DW174" s="228">
        <f t="shared" si="464"/>
        <v>-1731</v>
      </c>
      <c r="DX174" s="1440">
        <f t="shared" ref="DX174:DY174" si="465">SUM(DX171:DX173)</f>
        <v>-2296</v>
      </c>
      <c r="DY174" s="1440">
        <f t="shared" si="465"/>
        <v>-2296</v>
      </c>
    </row>
    <row r="175" spans="1:129" ht="12.75" customHeight="1">
      <c r="A175" s="45"/>
      <c r="B175" s="45"/>
      <c r="C175" s="391"/>
      <c r="D175" s="45"/>
      <c r="E175" s="290"/>
      <c r="F175" s="260"/>
      <c r="G175" s="260"/>
      <c r="H175" s="291"/>
      <c r="I175" s="647"/>
      <c r="J175" s="290"/>
      <c r="K175" s="260"/>
      <c r="L175" s="260"/>
      <c r="M175" s="291"/>
      <c r="N175" s="647"/>
      <c r="O175" s="290"/>
      <c r="P175" s="260"/>
      <c r="Q175" s="260"/>
      <c r="R175" s="291"/>
      <c r="S175" s="647"/>
      <c r="T175" s="290"/>
      <c r="U175" s="260"/>
      <c r="V175" s="260"/>
      <c r="W175" s="291"/>
      <c r="X175" s="647"/>
      <c r="Y175" s="290"/>
      <c r="Z175" s="260"/>
      <c r="AA175" s="1441"/>
      <c r="AB175" s="1442"/>
      <c r="AC175" s="1466"/>
      <c r="AD175" s="290"/>
      <c r="AE175" s="260"/>
      <c r="AF175" s="1441"/>
      <c r="AG175" s="1442"/>
      <c r="AH175" s="1466"/>
      <c r="AI175" s="290"/>
      <c r="AJ175" s="260"/>
      <c r="AK175" s="1441"/>
      <c r="AL175" s="1442"/>
      <c r="AM175" s="1466"/>
      <c r="AN175" s="290"/>
      <c r="AO175" s="260"/>
      <c r="AP175" s="1441"/>
      <c r="AQ175" s="1442"/>
      <c r="AR175" s="1466"/>
      <c r="AS175" s="290"/>
      <c r="AT175" s="260"/>
      <c r="AU175" s="260"/>
      <c r="AV175" s="1442"/>
      <c r="AW175" s="1466"/>
      <c r="AX175" s="290"/>
      <c r="AY175" s="260"/>
      <c r="AZ175" s="260"/>
      <c r="BA175" s="291"/>
      <c r="BB175" s="45"/>
      <c r="BC175" s="290"/>
      <c r="BD175" s="260"/>
      <c r="BE175" s="260"/>
      <c r="BF175" s="291"/>
      <c r="BG175" s="45"/>
      <c r="BH175" s="290"/>
      <c r="BI175" s="260"/>
      <c r="BJ175" s="260"/>
      <c r="BK175" s="291"/>
      <c r="BL175" s="45"/>
      <c r="BM175" s="290"/>
      <c r="BN175" s="260"/>
      <c r="BO175" s="260"/>
      <c r="BP175" s="291"/>
      <c r="BQ175" s="45"/>
      <c r="BR175" s="45"/>
      <c r="BS175" s="45"/>
      <c r="BT175" s="45"/>
      <c r="BU175" s="45"/>
      <c r="BV175" s="45"/>
      <c r="BW175" s="45"/>
      <c r="BX175" s="45"/>
      <c r="BY175" s="45"/>
      <c r="BZ175" s="45"/>
      <c r="CA175" s="45"/>
      <c r="CB175" s="45"/>
      <c r="CC175" s="5"/>
      <c r="CD175" s="5"/>
      <c r="CE175" s="45"/>
      <c r="CF175" s="45"/>
      <c r="CG175" s="45"/>
      <c r="CH175" s="45"/>
      <c r="CI175" s="45"/>
      <c r="CJ175" s="45"/>
      <c r="CK175" s="45"/>
      <c r="CL175" s="45"/>
      <c r="CM175" s="45"/>
      <c r="CN175" s="45"/>
      <c r="CO175" s="45"/>
      <c r="CP175" s="45"/>
      <c r="CQ175" s="45"/>
      <c r="CR175" s="45"/>
      <c r="CS175" s="427"/>
      <c r="CT175" s="45"/>
      <c r="CU175" s="45"/>
      <c r="CV175" s="45"/>
      <c r="CW175" s="45"/>
      <c r="CX175" s="427"/>
      <c r="CY175" s="45"/>
      <c r="CZ175" s="45"/>
      <c r="DA175" s="45"/>
      <c r="DB175" s="45"/>
      <c r="DC175" s="1437"/>
      <c r="DD175" s="1443"/>
      <c r="DE175" s="1443"/>
      <c r="DF175" s="45"/>
      <c r="DG175" s="45"/>
      <c r="DH175" s="1437"/>
      <c r="DI175" s="1443"/>
      <c r="DJ175" s="1443"/>
      <c r="DK175" s="45"/>
      <c r="DL175" s="45"/>
      <c r="DM175" s="1437"/>
      <c r="DN175" s="1443"/>
      <c r="DO175" s="1443"/>
      <c r="DP175" s="45"/>
      <c r="DQ175" s="45"/>
      <c r="DR175" s="1437"/>
      <c r="DS175" s="1443"/>
      <c r="DT175" s="1443"/>
      <c r="DU175" s="45"/>
      <c r="DV175" s="45"/>
      <c r="DW175" s="45"/>
      <c r="DX175" s="1443"/>
      <c r="DY175" s="1443"/>
    </row>
    <row r="176" spans="1:129" ht="12.75" customHeight="1">
      <c r="A176" s="45"/>
      <c r="B176" s="45"/>
      <c r="C176" s="391" t="s">
        <v>240</v>
      </c>
      <c r="D176" s="45"/>
      <c r="E176" s="290">
        <f>+CG176</f>
        <v>0</v>
      </c>
      <c r="F176" s="260">
        <f t="shared" ref="F176:G180" si="466">+CH176-CG176</f>
        <v>191</v>
      </c>
      <c r="G176" s="260">
        <f t="shared" si="466"/>
        <v>0</v>
      </c>
      <c r="H176" s="291">
        <f>+CK176-CI176</f>
        <v>0</v>
      </c>
      <c r="I176" s="647">
        <f t="shared" si="445"/>
        <v>191</v>
      </c>
      <c r="J176" s="290">
        <f>+CL176</f>
        <v>0</v>
      </c>
      <c r="K176" s="260">
        <f t="shared" ref="K176:L180" si="467">+CM176-CL176</f>
        <v>0</v>
      </c>
      <c r="L176" s="260">
        <f t="shared" si="467"/>
        <v>500</v>
      </c>
      <c r="M176" s="291">
        <f>+CP176-CN176</f>
        <v>0</v>
      </c>
      <c r="N176" s="647">
        <f t="shared" si="447"/>
        <v>500</v>
      </c>
      <c r="O176" s="290">
        <f>+CQ176</f>
        <v>599</v>
      </c>
      <c r="P176" s="260">
        <f t="shared" ref="P176:Q180" si="468">+CR176-CQ176</f>
        <v>0</v>
      </c>
      <c r="Q176" s="260">
        <f t="shared" si="468"/>
        <v>600</v>
      </c>
      <c r="R176" s="291">
        <f>+CU176-CS176</f>
        <v>0</v>
      </c>
      <c r="S176" s="647">
        <f t="shared" si="449"/>
        <v>1199</v>
      </c>
      <c r="T176" s="290">
        <f>+CV176</f>
        <v>0</v>
      </c>
      <c r="U176" s="260">
        <f t="shared" ref="U176:V180" si="469">+CW176-CV176</f>
        <v>0</v>
      </c>
      <c r="V176" s="260">
        <f t="shared" si="469"/>
        <v>0</v>
      </c>
      <c r="W176" s="291">
        <f>+CZ176-CX176</f>
        <v>350</v>
      </c>
      <c r="X176" s="647">
        <f t="shared" ref="X176:X183" si="470">CZ176</f>
        <v>350</v>
      </c>
      <c r="Y176" s="290">
        <f>+DA176</f>
        <v>0</v>
      </c>
      <c r="Z176" s="260">
        <f t="shared" ref="Z176:AA180" si="471">+DB176-DA176</f>
        <v>0</v>
      </c>
      <c r="AA176" s="1441">
        <f t="shared" si="471"/>
        <v>350</v>
      </c>
      <c r="AB176" s="1442">
        <f>+DE176-DC176</f>
        <v>0</v>
      </c>
      <c r="AC176" s="1466">
        <f t="shared" ref="AC176:AC183" si="472">DE176</f>
        <v>350</v>
      </c>
      <c r="AD176" s="290">
        <f>+DF176</f>
        <v>650</v>
      </c>
      <c r="AE176" s="260">
        <f>+DG176-DF176</f>
        <v>0</v>
      </c>
      <c r="AF176" s="1441">
        <f t="shared" ref="AF176:AF180" si="473">+DH176-DG176</f>
        <v>0</v>
      </c>
      <c r="AG176" s="1442">
        <f>+DJ176-DH176</f>
        <v>250</v>
      </c>
      <c r="AH176" s="1466">
        <f t="shared" ref="AH176:AH183" si="474">DJ176</f>
        <v>900</v>
      </c>
      <c r="AI176" s="290">
        <f>+DK176</f>
        <v>400</v>
      </c>
      <c r="AJ176" s="260">
        <f>+DL176-DK176</f>
        <v>0</v>
      </c>
      <c r="AK176" s="1441">
        <f t="shared" ref="AK176:AK180" si="475">+DM176-DL176</f>
        <v>0</v>
      </c>
      <c r="AL176" s="1442">
        <f>+DO176-DM176</f>
        <v>450</v>
      </c>
      <c r="AM176" s="1466">
        <f t="shared" ref="AM176:AM183" si="476">DO176</f>
        <v>850</v>
      </c>
      <c r="AN176" s="290">
        <f>+DP176</f>
        <v>0</v>
      </c>
      <c r="AO176" s="260">
        <f>+DQ176-DP176</f>
        <v>1200</v>
      </c>
      <c r="AP176" s="1441">
        <f t="shared" ref="AP176:AP180" si="477">+DR176-DQ176</f>
        <v>0</v>
      </c>
      <c r="AQ176" s="1442">
        <f>+DT176-DR176</f>
        <v>0</v>
      </c>
      <c r="AR176" s="1466">
        <f t="shared" ref="AR176:AR183" si="478">DT176</f>
        <v>1200</v>
      </c>
      <c r="AS176" s="290">
        <f>+DU176</f>
        <v>0</v>
      </c>
      <c r="AT176" s="260">
        <f>+DV176-DU176</f>
        <v>0</v>
      </c>
      <c r="AU176" s="260">
        <f t="shared" ref="AU176:AU180" si="479">+DW176-DV176</f>
        <v>1000</v>
      </c>
      <c r="AV176" s="1442">
        <f>+DY176-DW176</f>
        <v>0</v>
      </c>
      <c r="AW176" s="1466">
        <f t="shared" ref="AW176:AW183" si="480">DY176</f>
        <v>1000</v>
      </c>
      <c r="AX176" s="290">
        <f t="shared" ref="AX176:AX177" si="481">+AX151</f>
        <v>0</v>
      </c>
      <c r="AY176" s="260">
        <f t="shared" ref="AY176:BA177" si="482">+AY151</f>
        <v>0</v>
      </c>
      <c r="AZ176" s="260">
        <f t="shared" si="482"/>
        <v>1550</v>
      </c>
      <c r="BA176" s="291">
        <f t="shared" si="482"/>
        <v>0</v>
      </c>
      <c r="BB176" s="45">
        <f>SUM(AX176:BA176)</f>
        <v>1550</v>
      </c>
      <c r="BC176" s="290">
        <f t="shared" ref="BC176:BF176" si="483">+BC151</f>
        <v>0</v>
      </c>
      <c r="BD176" s="260">
        <f t="shared" si="483"/>
        <v>0</v>
      </c>
      <c r="BE176" s="260">
        <f t="shared" si="483"/>
        <v>425</v>
      </c>
      <c r="BF176" s="291">
        <f t="shared" si="483"/>
        <v>0</v>
      </c>
      <c r="BG176" s="45">
        <f>SUM(BC176:BF176)</f>
        <v>425</v>
      </c>
      <c r="BH176" s="290">
        <f t="shared" ref="BH176:BK176" si="484">+BH151</f>
        <v>0</v>
      </c>
      <c r="BI176" s="260">
        <f t="shared" si="484"/>
        <v>0</v>
      </c>
      <c r="BJ176" s="260">
        <f t="shared" si="484"/>
        <v>1000</v>
      </c>
      <c r="BK176" s="291">
        <f t="shared" si="484"/>
        <v>0</v>
      </c>
      <c r="BL176" s="45">
        <f>SUM(BH176:BK176)</f>
        <v>1000</v>
      </c>
      <c r="BM176" s="290">
        <f t="shared" ref="BM176:BP176" si="485">+BM151</f>
        <v>0</v>
      </c>
      <c r="BN176" s="260">
        <f t="shared" si="485"/>
        <v>0</v>
      </c>
      <c r="BO176" s="260">
        <f t="shared" si="485"/>
        <v>750</v>
      </c>
      <c r="BP176" s="291">
        <f t="shared" si="485"/>
        <v>0</v>
      </c>
      <c r="BQ176" s="45">
        <f>SUM(BM176:BP176)</f>
        <v>750</v>
      </c>
      <c r="BR176" s="45"/>
      <c r="BS176" s="45"/>
      <c r="BT176" s="45"/>
      <c r="BU176" s="45"/>
      <c r="BV176" s="45"/>
      <c r="BW176" s="45"/>
      <c r="BX176" s="45"/>
      <c r="BY176" s="45"/>
      <c r="BZ176" s="45"/>
      <c r="CA176" s="45"/>
      <c r="CB176" s="45"/>
      <c r="CC176" s="5"/>
      <c r="CD176" s="5"/>
      <c r="CE176" s="45"/>
      <c r="CF176" s="45"/>
      <c r="CG176" s="427">
        <v>0</v>
      </c>
      <c r="CH176" s="427">
        <v>191</v>
      </c>
      <c r="CI176" s="427">
        <v>191</v>
      </c>
      <c r="CJ176" s="45">
        <f>CK176</f>
        <v>191</v>
      </c>
      <c r="CK176" s="427">
        <v>191</v>
      </c>
      <c r="CL176" s="427">
        <v>0</v>
      </c>
      <c r="CM176" s="427">
        <v>0</v>
      </c>
      <c r="CN176" s="427">
        <v>500</v>
      </c>
      <c r="CO176" s="45">
        <f>CP176</f>
        <v>500</v>
      </c>
      <c r="CP176" s="427">
        <v>500</v>
      </c>
      <c r="CQ176" s="427">
        <v>599</v>
      </c>
      <c r="CR176" s="427">
        <v>599</v>
      </c>
      <c r="CS176" s="427">
        <v>1199</v>
      </c>
      <c r="CT176" s="45">
        <f>CU176</f>
        <v>1199</v>
      </c>
      <c r="CU176" s="427">
        <v>1199</v>
      </c>
      <c r="CV176" s="427">
        <v>0</v>
      </c>
      <c r="CW176" s="427">
        <f>0</f>
        <v>0</v>
      </c>
      <c r="CX176" s="427">
        <v>0</v>
      </c>
      <c r="CY176" s="45">
        <f>CZ176</f>
        <v>350</v>
      </c>
      <c r="CZ176" s="427">
        <v>350</v>
      </c>
      <c r="DA176" s="427">
        <v>0</v>
      </c>
      <c r="DB176" s="427">
        <v>0</v>
      </c>
      <c r="DC176" s="1437">
        <v>350</v>
      </c>
      <c r="DD176" s="1443">
        <f>DE176</f>
        <v>350</v>
      </c>
      <c r="DE176" s="1437">
        <v>350</v>
      </c>
      <c r="DF176" s="427">
        <v>650</v>
      </c>
      <c r="DG176" s="427">
        <v>650</v>
      </c>
      <c r="DH176" s="1437">
        <v>650</v>
      </c>
      <c r="DI176" s="1443">
        <f>DJ176</f>
        <v>900</v>
      </c>
      <c r="DJ176" s="1437">
        <v>900</v>
      </c>
      <c r="DK176" s="427">
        <v>400</v>
      </c>
      <c r="DL176" s="427">
        <v>400</v>
      </c>
      <c r="DM176" s="1437">
        <v>400</v>
      </c>
      <c r="DN176" s="1443">
        <f>DO176</f>
        <v>850</v>
      </c>
      <c r="DO176" s="1437">
        <v>850</v>
      </c>
      <c r="DP176" s="427">
        <v>0</v>
      </c>
      <c r="DQ176" s="427">
        <v>1200</v>
      </c>
      <c r="DR176" s="1437">
        <v>1200</v>
      </c>
      <c r="DS176" s="1443">
        <f>DT176</f>
        <v>1200</v>
      </c>
      <c r="DT176" s="1437">
        <v>1200</v>
      </c>
      <c r="DU176" s="427">
        <v>0</v>
      </c>
      <c r="DV176" s="427">
        <v>0</v>
      </c>
      <c r="DW176" s="427">
        <v>1000</v>
      </c>
      <c r="DX176" s="1443">
        <f>DY176</f>
        <v>1000</v>
      </c>
      <c r="DY176" s="1437">
        <v>1000</v>
      </c>
    </row>
    <row r="177" spans="1:129" ht="12.75" customHeight="1">
      <c r="A177" s="45"/>
      <c r="B177" s="45"/>
      <c r="C177" s="391" t="s">
        <v>543</v>
      </c>
      <c r="D177" s="45"/>
      <c r="E177" s="290">
        <f>+CG177</f>
        <v>-17</v>
      </c>
      <c r="F177" s="260">
        <f t="shared" si="466"/>
        <v>-191</v>
      </c>
      <c r="G177" s="260">
        <f t="shared" si="466"/>
        <v>0</v>
      </c>
      <c r="H177" s="291">
        <f>+CK177-CI177</f>
        <v>0</v>
      </c>
      <c r="I177" s="647">
        <f t="shared" si="445"/>
        <v>-208</v>
      </c>
      <c r="J177" s="290">
        <f>+CL177</f>
        <v>0</v>
      </c>
      <c r="K177" s="260">
        <f t="shared" si="467"/>
        <v>-1</v>
      </c>
      <c r="L177" s="260">
        <f t="shared" si="467"/>
        <v>-212</v>
      </c>
      <c r="M177" s="291">
        <f>+CP177-CN177</f>
        <v>0</v>
      </c>
      <c r="N177" s="647">
        <f t="shared" si="447"/>
        <v>-213</v>
      </c>
      <c r="O177" s="290">
        <f>+CQ177</f>
        <v>0</v>
      </c>
      <c r="P177" s="260">
        <f t="shared" si="468"/>
        <v>-1</v>
      </c>
      <c r="Q177" s="260">
        <f t="shared" si="468"/>
        <v>0</v>
      </c>
      <c r="R177" s="291">
        <f>+CU177-CS177</f>
        <v>-536</v>
      </c>
      <c r="S177" s="647">
        <f t="shared" si="449"/>
        <v>-537</v>
      </c>
      <c r="T177" s="290">
        <f>+CV177</f>
        <v>-450</v>
      </c>
      <c r="U177" s="260">
        <f t="shared" si="469"/>
        <v>0</v>
      </c>
      <c r="V177" s="260">
        <f t="shared" si="469"/>
        <v>0</v>
      </c>
      <c r="W177" s="291">
        <f>+CZ177-CX177</f>
        <v>0</v>
      </c>
      <c r="X177" s="647">
        <f t="shared" si="470"/>
        <v>-450</v>
      </c>
      <c r="Y177" s="290">
        <f>+DA177</f>
        <v>0</v>
      </c>
      <c r="Z177" s="260">
        <f t="shared" si="471"/>
        <v>-125</v>
      </c>
      <c r="AA177" s="1441">
        <f t="shared" si="471"/>
        <v>-127</v>
      </c>
      <c r="AB177" s="1442">
        <f>+DE177-DC177</f>
        <v>0</v>
      </c>
      <c r="AC177" s="1466">
        <f t="shared" si="472"/>
        <v>-252</v>
      </c>
      <c r="AD177" s="290">
        <f>+DF177</f>
        <v>-617</v>
      </c>
      <c r="AE177" s="260">
        <f>+DG177-DF177</f>
        <v>0</v>
      </c>
      <c r="AF177" s="1441">
        <f t="shared" si="473"/>
        <v>0</v>
      </c>
      <c r="AG177" s="1442">
        <f>+DJ177-DH177</f>
        <v>0</v>
      </c>
      <c r="AH177" s="1466">
        <f t="shared" si="474"/>
        <v>-617</v>
      </c>
      <c r="AI177" s="290">
        <f>+DK177</f>
        <v>0</v>
      </c>
      <c r="AJ177" s="260">
        <f>+DL177-DK177</f>
        <v>-260</v>
      </c>
      <c r="AK177" s="1441">
        <f t="shared" si="475"/>
        <v>0</v>
      </c>
      <c r="AL177" s="1442">
        <f>+DO177-DM177</f>
        <v>0</v>
      </c>
      <c r="AM177" s="1466">
        <f t="shared" si="476"/>
        <v>-260</v>
      </c>
      <c r="AN177" s="290">
        <f>+DP177</f>
        <v>0</v>
      </c>
      <c r="AO177" s="260">
        <f>+DQ177-DP177</f>
        <v>0</v>
      </c>
      <c r="AP177" s="1441">
        <f t="shared" si="477"/>
        <v>-665</v>
      </c>
      <c r="AQ177" s="1442">
        <f>+DT177-DR177</f>
        <v>0</v>
      </c>
      <c r="AR177" s="1466">
        <f t="shared" si="478"/>
        <v>-665</v>
      </c>
      <c r="AS177" s="290">
        <f>+DU177</f>
        <v>0</v>
      </c>
      <c r="AT177" s="260">
        <f>+DV177-DU177</f>
        <v>0</v>
      </c>
      <c r="AU177" s="260">
        <f t="shared" si="479"/>
        <v>-425</v>
      </c>
      <c r="AV177" s="1442">
        <f>+DY177-DW177</f>
        <v>0</v>
      </c>
      <c r="AW177" s="1466">
        <f t="shared" si="480"/>
        <v>-425</v>
      </c>
      <c r="AX177" s="290">
        <f t="shared" si="481"/>
        <v>-700</v>
      </c>
      <c r="AY177" s="260">
        <f t="shared" si="482"/>
        <v>0</v>
      </c>
      <c r="AZ177" s="260">
        <f t="shared" si="482"/>
        <v>-140</v>
      </c>
      <c r="BA177" s="291">
        <f t="shared" si="482"/>
        <v>0</v>
      </c>
      <c r="BB177" s="45">
        <f>SUM(AX177:BA177)</f>
        <v>-840</v>
      </c>
      <c r="BC177" s="290">
        <f t="shared" ref="BC177:BF177" si="486">+BC152</f>
        <v>0</v>
      </c>
      <c r="BD177" s="260">
        <f t="shared" si="486"/>
        <v>0</v>
      </c>
      <c r="BE177" s="260">
        <f t="shared" si="486"/>
        <v>0</v>
      </c>
      <c r="BF177" s="291">
        <f t="shared" si="486"/>
        <v>0</v>
      </c>
      <c r="BG177" s="45">
        <f>SUM(BC177:BF177)</f>
        <v>0</v>
      </c>
      <c r="BH177" s="290">
        <f t="shared" ref="BH177:BK177" si="487">+BH152</f>
        <v>0</v>
      </c>
      <c r="BI177" s="260">
        <f t="shared" si="487"/>
        <v>0</v>
      </c>
      <c r="BJ177" s="260">
        <f t="shared" si="487"/>
        <v>-500</v>
      </c>
      <c r="BK177" s="291">
        <f t="shared" si="487"/>
        <v>0</v>
      </c>
      <c r="BL177" s="45">
        <f>SUM(BH177:BK177)</f>
        <v>-500</v>
      </c>
      <c r="BM177" s="290">
        <f t="shared" ref="BM177:BP177" si="488">+BM152</f>
        <v>0</v>
      </c>
      <c r="BN177" s="260">
        <f t="shared" si="488"/>
        <v>0</v>
      </c>
      <c r="BO177" s="260">
        <f t="shared" si="488"/>
        <v>-350</v>
      </c>
      <c r="BP177" s="291">
        <f t="shared" si="488"/>
        <v>0</v>
      </c>
      <c r="BQ177" s="45">
        <f>SUM(BM177:BP177)</f>
        <v>-350</v>
      </c>
      <c r="BR177" s="45"/>
      <c r="BS177" s="45"/>
      <c r="BT177" s="45"/>
      <c r="BU177" s="45"/>
      <c r="BV177" s="45"/>
      <c r="BW177" s="45"/>
      <c r="BX177" s="45"/>
      <c r="BY177" s="45"/>
      <c r="BZ177" s="45"/>
      <c r="CA177" s="45"/>
      <c r="CB177" s="45"/>
      <c r="CC177" s="5"/>
      <c r="CD177" s="5"/>
      <c r="CE177" s="45"/>
      <c r="CF177" s="45"/>
      <c r="CG177" s="427">
        <v>-17</v>
      </c>
      <c r="CH177" s="427">
        <v>-208</v>
      </c>
      <c r="CI177" s="427">
        <v>-208</v>
      </c>
      <c r="CJ177" s="45">
        <f>CK177</f>
        <v>-208</v>
      </c>
      <c r="CK177" s="427">
        <f>-208+0</f>
        <v>-208</v>
      </c>
      <c r="CL177" s="427">
        <v>0</v>
      </c>
      <c r="CM177" s="427">
        <v>-1</v>
      </c>
      <c r="CN177" s="427">
        <v>-213</v>
      </c>
      <c r="CO177" s="45">
        <f>CP177</f>
        <v>-213</v>
      </c>
      <c r="CP177" s="427">
        <v>-213</v>
      </c>
      <c r="CQ177" s="427">
        <v>0</v>
      </c>
      <c r="CR177" s="427">
        <v>-1</v>
      </c>
      <c r="CS177" s="427">
        <v>-1</v>
      </c>
      <c r="CT177" s="45">
        <f>CU177</f>
        <v>-537</v>
      </c>
      <c r="CU177" s="427">
        <v>-537</v>
      </c>
      <c r="CV177" s="427">
        <v>-450</v>
      </c>
      <c r="CW177" s="427">
        <f>-450</f>
        <v>-450</v>
      </c>
      <c r="CX177" s="427">
        <v>-450</v>
      </c>
      <c r="CY177" s="45">
        <f>CZ177</f>
        <v>-450</v>
      </c>
      <c r="CZ177" s="427">
        <v>-450</v>
      </c>
      <c r="DA177" s="427">
        <v>0</v>
      </c>
      <c r="DB177" s="427">
        <v>-125</v>
      </c>
      <c r="DC177" s="1437">
        <v>-252</v>
      </c>
      <c r="DD177" s="1443">
        <f>DE177</f>
        <v>-252</v>
      </c>
      <c r="DE177" s="1437">
        <v>-252</v>
      </c>
      <c r="DF177" s="427">
        <v>-617</v>
      </c>
      <c r="DG177" s="427">
        <v>-617</v>
      </c>
      <c r="DH177" s="1437">
        <v>-617</v>
      </c>
      <c r="DI177" s="1443">
        <f>DJ177</f>
        <v>-617</v>
      </c>
      <c r="DJ177" s="1437">
        <v>-617</v>
      </c>
      <c r="DK177" s="427">
        <v>0</v>
      </c>
      <c r="DL177" s="427">
        <v>-260</v>
      </c>
      <c r="DM177" s="427">
        <v>-260</v>
      </c>
      <c r="DN177" s="1443">
        <f>DO177</f>
        <v>-260</v>
      </c>
      <c r="DO177" s="1437">
        <v>-260</v>
      </c>
      <c r="DP177" s="427">
        <v>0</v>
      </c>
      <c r="DQ177" s="427">
        <v>0</v>
      </c>
      <c r="DR177" s="427">
        <v>-665</v>
      </c>
      <c r="DS177" s="1443">
        <f>DT177</f>
        <v>-665</v>
      </c>
      <c r="DT177" s="1437">
        <v>-665</v>
      </c>
      <c r="DU177" s="427">
        <v>0</v>
      </c>
      <c r="DV177" s="427">
        <v>0</v>
      </c>
      <c r="DW177" s="427">
        <v>-425</v>
      </c>
      <c r="DX177" s="1443">
        <f>DY177</f>
        <v>-425</v>
      </c>
      <c r="DY177" s="1437">
        <v>-425</v>
      </c>
    </row>
    <row r="178" spans="1:129" ht="12.75" customHeight="1">
      <c r="A178" s="45"/>
      <c r="B178" s="45"/>
      <c r="C178" s="391" t="s">
        <v>151</v>
      </c>
      <c r="D178" s="45"/>
      <c r="E178" s="290">
        <f>+CG178</f>
        <v>115</v>
      </c>
      <c r="F178" s="260">
        <f t="shared" si="466"/>
        <v>-130</v>
      </c>
      <c r="G178" s="260">
        <f t="shared" si="466"/>
        <v>95</v>
      </c>
      <c r="H178" s="291">
        <f>+CK178-CI178</f>
        <v>15</v>
      </c>
      <c r="I178" s="647">
        <f t="shared" si="445"/>
        <v>95</v>
      </c>
      <c r="J178" s="290">
        <f>+CL178</f>
        <v>101</v>
      </c>
      <c r="K178" s="260">
        <f t="shared" si="467"/>
        <v>33</v>
      </c>
      <c r="L178" s="260">
        <f t="shared" si="467"/>
        <v>-224</v>
      </c>
      <c r="M178" s="291">
        <f>+CP178-CN178</f>
        <v>-65</v>
      </c>
      <c r="N178" s="647">
        <f t="shared" si="447"/>
        <v>-155</v>
      </c>
      <c r="O178" s="290">
        <f>+CQ178</f>
        <v>50</v>
      </c>
      <c r="P178" s="260">
        <f t="shared" si="468"/>
        <v>-50</v>
      </c>
      <c r="Q178" s="260">
        <f t="shared" si="468"/>
        <v>0</v>
      </c>
      <c r="R178" s="291">
        <f>+CU178-CS178</f>
        <v>0</v>
      </c>
      <c r="S178" s="647">
        <f t="shared" si="449"/>
        <v>0</v>
      </c>
      <c r="T178" s="290">
        <f>+CV178</f>
        <v>302</v>
      </c>
      <c r="U178" s="260">
        <f t="shared" si="469"/>
        <v>-124</v>
      </c>
      <c r="V178" s="260">
        <f t="shared" si="469"/>
        <v>-143</v>
      </c>
      <c r="W178" s="291">
        <f>+CZ178-CX178</f>
        <v>-35</v>
      </c>
      <c r="X178" s="647">
        <f t="shared" si="470"/>
        <v>0</v>
      </c>
      <c r="Y178" s="290">
        <f>+DA178</f>
        <v>220</v>
      </c>
      <c r="Z178" s="260">
        <f t="shared" si="471"/>
        <v>154</v>
      </c>
      <c r="AA178" s="1441">
        <f t="shared" si="471"/>
        <v>-221</v>
      </c>
      <c r="AB178" s="1442">
        <f>+DE178-DC178</f>
        <v>31</v>
      </c>
      <c r="AC178" s="1466">
        <f t="shared" si="472"/>
        <v>184</v>
      </c>
      <c r="AD178" s="290">
        <f>+DF178</f>
        <v>350</v>
      </c>
      <c r="AE178" s="260">
        <f>+DG178-DF178</f>
        <v>-36</v>
      </c>
      <c r="AF178" s="1441">
        <f t="shared" si="473"/>
        <v>30</v>
      </c>
      <c r="AG178" s="1442">
        <f>+DJ178-DH178</f>
        <v>-224</v>
      </c>
      <c r="AH178" s="1466">
        <f t="shared" si="474"/>
        <v>120</v>
      </c>
      <c r="AI178" s="290">
        <f>+DK178</f>
        <v>-21</v>
      </c>
      <c r="AJ178" s="260">
        <f>+DL178-DK178</f>
        <v>220</v>
      </c>
      <c r="AK178" s="1441">
        <f t="shared" si="475"/>
        <v>101</v>
      </c>
      <c r="AL178" s="1442">
        <f>+DO178-DM178</f>
        <v>-310</v>
      </c>
      <c r="AM178" s="1466">
        <f t="shared" si="476"/>
        <v>-10</v>
      </c>
      <c r="AN178" s="290">
        <f>+DP178</f>
        <v>349</v>
      </c>
      <c r="AO178" s="260">
        <f>+DQ178-DP178</f>
        <v>-608</v>
      </c>
      <c r="AP178" s="1441">
        <f t="shared" si="477"/>
        <v>-25</v>
      </c>
      <c r="AQ178" s="1442">
        <f>+DT178-DR178</f>
        <v>-10</v>
      </c>
      <c r="AR178" s="1466">
        <f t="shared" si="478"/>
        <v>-294</v>
      </c>
      <c r="AS178" s="290">
        <f>+DU178</f>
        <v>365</v>
      </c>
      <c r="AT178" s="260">
        <f>+DV178-DU178</f>
        <v>24</v>
      </c>
      <c r="AU178" s="260">
        <f t="shared" si="479"/>
        <v>-389</v>
      </c>
      <c r="AV178" s="1442">
        <f>+DY178-DW178</f>
        <v>0</v>
      </c>
      <c r="AW178" s="1466">
        <f t="shared" si="480"/>
        <v>0</v>
      </c>
      <c r="AX178" s="306">
        <v>0</v>
      </c>
      <c r="AY178" s="266">
        <v>0</v>
      </c>
      <c r="AZ178" s="266">
        <v>0</v>
      </c>
      <c r="BA178" s="307">
        <v>0</v>
      </c>
      <c r="BB178" s="45">
        <f>SUM(AX178:BA178)</f>
        <v>0</v>
      </c>
      <c r="BC178" s="306">
        <v>0</v>
      </c>
      <c r="BD178" s="266">
        <v>0</v>
      </c>
      <c r="BE178" s="266">
        <v>0</v>
      </c>
      <c r="BF178" s="307">
        <v>0</v>
      </c>
      <c r="BG178" s="45">
        <f>SUM(BC178:BF178)</f>
        <v>0</v>
      </c>
      <c r="BH178" s="306">
        <v>0</v>
      </c>
      <c r="BI178" s="266">
        <v>0</v>
      </c>
      <c r="BJ178" s="266">
        <v>0</v>
      </c>
      <c r="BK178" s="307">
        <v>0</v>
      </c>
      <c r="BL178" s="45">
        <f>SUM(BH178:BK178)</f>
        <v>0</v>
      </c>
      <c r="BM178" s="306">
        <v>0</v>
      </c>
      <c r="BN178" s="266">
        <v>0</v>
      </c>
      <c r="BO178" s="266">
        <v>0</v>
      </c>
      <c r="BP178" s="307">
        <v>0</v>
      </c>
      <c r="BQ178" s="45">
        <f>SUM(BM178:BP178)</f>
        <v>0</v>
      </c>
      <c r="BR178" s="45"/>
      <c r="BS178" s="45"/>
      <c r="BT178" s="45"/>
      <c r="BU178" s="45"/>
      <c r="BV178" s="45"/>
      <c r="BW178" s="45"/>
      <c r="BX178" s="45"/>
      <c r="BY178" s="45"/>
      <c r="BZ178" s="45"/>
      <c r="CA178" s="45"/>
      <c r="CB178" s="45"/>
      <c r="CC178" s="5"/>
      <c r="CD178" s="5"/>
      <c r="CE178" s="45"/>
      <c r="CF178" s="45"/>
      <c r="CG178" s="778">
        <v>115</v>
      </c>
      <c r="CH178" s="778">
        <v>-15</v>
      </c>
      <c r="CI178" s="778">
        <v>80</v>
      </c>
      <c r="CJ178" s="45">
        <f>CK178</f>
        <v>95</v>
      </c>
      <c r="CK178" s="778">
        <v>95</v>
      </c>
      <c r="CL178" s="778">
        <v>101</v>
      </c>
      <c r="CM178" s="778">
        <v>134</v>
      </c>
      <c r="CN178" s="778">
        <v>-90</v>
      </c>
      <c r="CO178" s="45">
        <f>CP178</f>
        <v>-155</v>
      </c>
      <c r="CP178" s="778">
        <v>-155</v>
      </c>
      <c r="CQ178" s="778">
        <v>50</v>
      </c>
      <c r="CR178" s="778">
        <v>0</v>
      </c>
      <c r="CS178" s="427">
        <v>0</v>
      </c>
      <c r="CT178" s="45">
        <f>CU178</f>
        <v>0</v>
      </c>
      <c r="CU178" s="778">
        <v>0</v>
      </c>
      <c r="CV178" s="778">
        <v>302</v>
      </c>
      <c r="CW178" s="778">
        <f>178</f>
        <v>178</v>
      </c>
      <c r="CX178" s="427">
        <v>35</v>
      </c>
      <c r="CY178" s="45">
        <f>CZ178</f>
        <v>0</v>
      </c>
      <c r="CZ178" s="778">
        <v>0</v>
      </c>
      <c r="DA178" s="778">
        <v>220</v>
      </c>
      <c r="DB178" s="778">
        <v>374</v>
      </c>
      <c r="DC178" s="1437">
        <v>153</v>
      </c>
      <c r="DD178" s="1443">
        <f>DE178</f>
        <v>184</v>
      </c>
      <c r="DE178" s="1509">
        <v>184</v>
      </c>
      <c r="DF178" s="778">
        <v>350</v>
      </c>
      <c r="DG178" s="778">
        <v>314</v>
      </c>
      <c r="DH178" s="1437">
        <v>344</v>
      </c>
      <c r="DI178" s="1443">
        <f>DJ178</f>
        <v>120</v>
      </c>
      <c r="DJ178" s="1509">
        <v>120</v>
      </c>
      <c r="DK178" s="778">
        <v>-21</v>
      </c>
      <c r="DL178" s="778">
        <v>199</v>
      </c>
      <c r="DM178" s="1437">
        <v>300</v>
      </c>
      <c r="DN178" s="1443">
        <f>DO178</f>
        <v>-10</v>
      </c>
      <c r="DO178" s="1509">
        <v>-10</v>
      </c>
      <c r="DP178" s="778">
        <v>349</v>
      </c>
      <c r="DQ178" s="778">
        <v>-259</v>
      </c>
      <c r="DR178" s="1437">
        <v>-284</v>
      </c>
      <c r="DS178" s="1443">
        <f>DT178</f>
        <v>-294</v>
      </c>
      <c r="DT178" s="1509">
        <v>-294</v>
      </c>
      <c r="DU178" s="778">
        <v>365</v>
      </c>
      <c r="DV178" s="778">
        <v>389</v>
      </c>
      <c r="DW178" s="778">
        <v>0</v>
      </c>
      <c r="DX178" s="1443">
        <f>DY178</f>
        <v>0</v>
      </c>
      <c r="DY178" s="1509">
        <v>0</v>
      </c>
    </row>
    <row r="179" spans="1:129" ht="12.75" customHeight="1">
      <c r="A179" s="45"/>
      <c r="B179" s="45"/>
      <c r="C179" s="391" t="s">
        <v>152</v>
      </c>
      <c r="D179" s="45"/>
      <c r="E179" s="290">
        <f>+CG179</f>
        <v>-60</v>
      </c>
      <c r="F179" s="260">
        <f t="shared" si="466"/>
        <v>-60</v>
      </c>
      <c r="G179" s="260">
        <f t="shared" si="466"/>
        <v>-60</v>
      </c>
      <c r="H179" s="291">
        <f>+CK179-CI179</f>
        <v>-52</v>
      </c>
      <c r="I179" s="647">
        <f t="shared" si="445"/>
        <v>-232</v>
      </c>
      <c r="J179" s="290">
        <f>+CL179</f>
        <v>-75</v>
      </c>
      <c r="K179" s="260">
        <f t="shared" si="467"/>
        <v>-75</v>
      </c>
      <c r="L179" s="260">
        <f t="shared" si="467"/>
        <v>-73</v>
      </c>
      <c r="M179" s="291">
        <f>+CP179-CN179</f>
        <v>-85</v>
      </c>
      <c r="N179" s="647">
        <f t="shared" si="447"/>
        <v>-308</v>
      </c>
      <c r="O179" s="290">
        <f>+CQ179</f>
        <v>-75</v>
      </c>
      <c r="P179" s="260">
        <f t="shared" si="468"/>
        <v>-75</v>
      </c>
      <c r="Q179" s="260">
        <f t="shared" si="468"/>
        <v>-75</v>
      </c>
      <c r="R179" s="291">
        <f>+CU179-CS179</f>
        <v>-75</v>
      </c>
      <c r="S179" s="647">
        <f t="shared" si="449"/>
        <v>-300</v>
      </c>
      <c r="T179" s="290">
        <f>+CV179</f>
        <v>-75</v>
      </c>
      <c r="U179" s="260">
        <f t="shared" si="469"/>
        <v>-10</v>
      </c>
      <c r="V179" s="260">
        <f t="shared" si="469"/>
        <v>-10</v>
      </c>
      <c r="W179" s="291">
        <f>+CZ179-CX179</f>
        <v>-10</v>
      </c>
      <c r="X179" s="647">
        <f t="shared" si="470"/>
        <v>-105</v>
      </c>
      <c r="Y179" s="290">
        <f>+DA179</f>
        <v>-55</v>
      </c>
      <c r="Z179" s="260">
        <f t="shared" si="471"/>
        <v>-55</v>
      </c>
      <c r="AA179" s="1441">
        <f t="shared" si="471"/>
        <v>-55</v>
      </c>
      <c r="AB179" s="1442">
        <f>+DE179-DC179</f>
        <v>-55</v>
      </c>
      <c r="AC179" s="1466">
        <f t="shared" si="472"/>
        <v>-220</v>
      </c>
      <c r="AD179" s="290">
        <f>+DF179</f>
        <v>-38</v>
      </c>
      <c r="AE179" s="260">
        <f>+DG179-DF179</f>
        <v>-115</v>
      </c>
      <c r="AF179" s="1441">
        <f t="shared" si="473"/>
        <v>91</v>
      </c>
      <c r="AG179" s="1442">
        <f>+DJ179-DH179</f>
        <v>28</v>
      </c>
      <c r="AH179" s="1466">
        <f t="shared" si="474"/>
        <v>-34</v>
      </c>
      <c r="AI179" s="290">
        <f>+DK179</f>
        <v>-61</v>
      </c>
      <c r="AJ179" s="260">
        <f>+DL179-DK179</f>
        <v>-44</v>
      </c>
      <c r="AK179" s="1441">
        <f t="shared" si="475"/>
        <v>-46</v>
      </c>
      <c r="AL179" s="1442">
        <f>+DO179-DM179</f>
        <v>54</v>
      </c>
      <c r="AM179" s="1466">
        <f t="shared" si="476"/>
        <v>-97</v>
      </c>
      <c r="AN179" s="290">
        <f>+DP179</f>
        <v>-52</v>
      </c>
      <c r="AO179" s="260">
        <f>+DQ179-DP179</f>
        <v>-18</v>
      </c>
      <c r="AP179" s="1441">
        <f t="shared" si="477"/>
        <v>-17</v>
      </c>
      <c r="AQ179" s="1442">
        <f>+DT179-DR179</f>
        <v>33</v>
      </c>
      <c r="AR179" s="1466">
        <f t="shared" si="478"/>
        <v>-54</v>
      </c>
      <c r="AS179" s="290">
        <f>+DU179</f>
        <v>-5</v>
      </c>
      <c r="AT179" s="260">
        <f>+DV179-DU179</f>
        <v>-22</v>
      </c>
      <c r="AU179" s="260">
        <f t="shared" si="479"/>
        <v>278</v>
      </c>
      <c r="AV179" s="1442">
        <f>+DY179-DW179</f>
        <v>-22</v>
      </c>
      <c r="AW179" s="1466">
        <f t="shared" si="480"/>
        <v>229</v>
      </c>
      <c r="AX179" s="290">
        <f>+BB179/4</f>
        <v>-37.5</v>
      </c>
      <c r="AY179" s="260">
        <f>(BB179-SUM(AX179:AX179))/3</f>
        <v>-37.5</v>
      </c>
      <c r="AZ179" s="260">
        <f>(BB179-SUM(AX179:AY179))/2</f>
        <v>-37.5</v>
      </c>
      <c r="BA179" s="291">
        <f>(BB179-SUM(AX179:AZ179))/1</f>
        <v>-37.5</v>
      </c>
      <c r="BB179" s="426">
        <v>-150</v>
      </c>
      <c r="BC179" s="290">
        <f>+BG179/4</f>
        <v>-75</v>
      </c>
      <c r="BD179" s="260">
        <f>(BG179-SUM(BC179:BC179))/3</f>
        <v>-75</v>
      </c>
      <c r="BE179" s="260">
        <f>(BG179-SUM(BC179:BD179))/2</f>
        <v>-75</v>
      </c>
      <c r="BF179" s="291">
        <f>(BG179-SUM(BC179:BE179))/1</f>
        <v>-75</v>
      </c>
      <c r="BG179" s="2032">
        <v>-300</v>
      </c>
      <c r="BH179" s="290">
        <f>+BL179/4</f>
        <v>-81.25</v>
      </c>
      <c r="BI179" s="260">
        <f>(BL179-SUM(BH179:BH179))/3</f>
        <v>-81.25</v>
      </c>
      <c r="BJ179" s="260">
        <f>(BL179-SUM(BH179:BI179))/2</f>
        <v>-81.25</v>
      </c>
      <c r="BK179" s="291">
        <f>(BL179-SUM(BH179:BJ179))/1</f>
        <v>-81.25</v>
      </c>
      <c r="BL179" s="2032">
        <v>-325</v>
      </c>
      <c r="BM179" s="290">
        <f>+BQ179/4</f>
        <v>-93.75</v>
      </c>
      <c r="BN179" s="260">
        <f>(BQ179-SUM(BM179:BM179))/3</f>
        <v>-93.75</v>
      </c>
      <c r="BO179" s="260">
        <f>(BQ179-SUM(BM179:BN179))/2</f>
        <v>-93.75</v>
      </c>
      <c r="BP179" s="291">
        <f>(BQ179-SUM(BM179:BO179))/1</f>
        <v>-93.75</v>
      </c>
      <c r="BQ179" s="2031">
        <v>-375</v>
      </c>
      <c r="BR179" s="45"/>
      <c r="BS179" s="45"/>
      <c r="BT179" s="45"/>
      <c r="BU179" s="45"/>
      <c r="BV179" s="45"/>
      <c r="BW179" s="45"/>
      <c r="BX179" s="45"/>
      <c r="BY179" s="45"/>
      <c r="BZ179" s="45"/>
      <c r="CA179" s="45"/>
      <c r="CB179" s="45"/>
      <c r="CC179" s="5"/>
      <c r="CD179" s="5"/>
      <c r="CE179" s="45"/>
      <c r="CF179" s="45"/>
      <c r="CG179" s="778">
        <v>-60</v>
      </c>
      <c r="CH179" s="778">
        <v>-120</v>
      </c>
      <c r="CI179" s="778">
        <v>-180</v>
      </c>
      <c r="CJ179" s="45">
        <f>CK179</f>
        <v>-232</v>
      </c>
      <c r="CK179" s="778">
        <f>-240+8</f>
        <v>-232</v>
      </c>
      <c r="CL179" s="778">
        <v>-75</v>
      </c>
      <c r="CM179" s="778">
        <v>-150</v>
      </c>
      <c r="CN179" s="778">
        <f>-225+2</f>
        <v>-223</v>
      </c>
      <c r="CO179" s="45">
        <f>CP179</f>
        <v>-308</v>
      </c>
      <c r="CP179" s="778">
        <f>-310+2</f>
        <v>-308</v>
      </c>
      <c r="CQ179" s="778">
        <v>-75</v>
      </c>
      <c r="CR179" s="778">
        <v>-150</v>
      </c>
      <c r="CS179" s="427">
        <v>-225</v>
      </c>
      <c r="CT179" s="45">
        <f>CU179</f>
        <v>-300</v>
      </c>
      <c r="CU179" s="778">
        <v>-300</v>
      </c>
      <c r="CV179" s="778">
        <v>-75</v>
      </c>
      <c r="CW179" s="778">
        <f>-85</f>
        <v>-85</v>
      </c>
      <c r="CX179" s="427">
        <v>-95</v>
      </c>
      <c r="CY179" s="45">
        <f>CZ179</f>
        <v>-105</v>
      </c>
      <c r="CZ179" s="778">
        <v>-105</v>
      </c>
      <c r="DA179" s="778">
        <v>-55</v>
      </c>
      <c r="DB179" s="778">
        <v>-110</v>
      </c>
      <c r="DC179" s="1437">
        <v>-165</v>
      </c>
      <c r="DD179" s="1443">
        <f>DE179</f>
        <v>-220</v>
      </c>
      <c r="DE179" s="1509">
        <v>-220</v>
      </c>
      <c r="DF179" s="778">
        <f>38-76</f>
        <v>-38</v>
      </c>
      <c r="DG179" s="778">
        <v>-153</v>
      </c>
      <c r="DH179" s="1437">
        <f>-230+168</f>
        <v>-62</v>
      </c>
      <c r="DI179" s="1443">
        <f>DJ179</f>
        <v>-34</v>
      </c>
      <c r="DJ179" s="1509">
        <f>-307+273</f>
        <v>-34</v>
      </c>
      <c r="DK179" s="778">
        <f>14-75</f>
        <v>-61</v>
      </c>
      <c r="DL179" s="778">
        <f>45-150</f>
        <v>-105</v>
      </c>
      <c r="DM179" s="1437">
        <f>75-226</f>
        <v>-151</v>
      </c>
      <c r="DN179" s="1443">
        <f>DO179</f>
        <v>-97</v>
      </c>
      <c r="DO179" s="1509">
        <f>202-299</f>
        <v>-97</v>
      </c>
      <c r="DP179" s="778">
        <f>39-91</f>
        <v>-52</v>
      </c>
      <c r="DQ179" s="778">
        <f>113-183</f>
        <v>-70</v>
      </c>
      <c r="DR179" s="1437">
        <f>188-275</f>
        <v>-87</v>
      </c>
      <c r="DS179" s="1443">
        <f>DT179</f>
        <v>-54</v>
      </c>
      <c r="DT179" s="1509">
        <f>315-369</f>
        <v>-54</v>
      </c>
      <c r="DU179" s="778">
        <f>100-105</f>
        <v>-5</v>
      </c>
      <c r="DV179" s="778">
        <f>184-211</f>
        <v>-27</v>
      </c>
      <c r="DW179" s="778">
        <f>567-316</f>
        <v>251</v>
      </c>
      <c r="DX179" s="1443">
        <f>DY179</f>
        <v>229</v>
      </c>
      <c r="DY179" s="1509">
        <f>651-422</f>
        <v>229</v>
      </c>
    </row>
    <row r="180" spans="1:129" ht="12.75" customHeight="1">
      <c r="A180" s="45"/>
      <c r="B180" s="45"/>
      <c r="C180" s="391" t="s">
        <v>62</v>
      </c>
      <c r="D180" s="45"/>
      <c r="E180" s="290">
        <f>+CG180</f>
        <v>0</v>
      </c>
      <c r="F180" s="260">
        <f t="shared" si="466"/>
        <v>0</v>
      </c>
      <c r="G180" s="260">
        <f t="shared" si="466"/>
        <v>8</v>
      </c>
      <c r="H180" s="291">
        <f>+CK180-CI180</f>
        <v>-9</v>
      </c>
      <c r="I180" s="647">
        <f t="shared" si="445"/>
        <v>-1</v>
      </c>
      <c r="J180" s="290">
        <f>+CL180</f>
        <v>0</v>
      </c>
      <c r="K180" s="260">
        <f t="shared" si="467"/>
        <v>0</v>
      </c>
      <c r="L180" s="260">
        <f t="shared" si="467"/>
        <v>-3</v>
      </c>
      <c r="M180" s="291">
        <f>+CP180-CN180</f>
        <v>0</v>
      </c>
      <c r="N180" s="647">
        <f t="shared" si="447"/>
        <v>-3</v>
      </c>
      <c r="O180" s="290">
        <f>+CQ180</f>
        <v>-2</v>
      </c>
      <c r="P180" s="260">
        <f t="shared" si="468"/>
        <v>0</v>
      </c>
      <c r="Q180" s="260">
        <f t="shared" si="468"/>
        <v>-4</v>
      </c>
      <c r="R180" s="291">
        <f>+CU180-CS180</f>
        <v>-1</v>
      </c>
      <c r="S180" s="647">
        <f t="shared" si="449"/>
        <v>-7</v>
      </c>
      <c r="T180" s="290">
        <f>+CV180</f>
        <v>-3</v>
      </c>
      <c r="U180" s="260">
        <f t="shared" si="469"/>
        <v>0</v>
      </c>
      <c r="V180" s="260">
        <f t="shared" si="469"/>
        <v>0</v>
      </c>
      <c r="W180" s="291">
        <f>+CZ180-CX180</f>
        <v>-4</v>
      </c>
      <c r="X180" s="647">
        <f t="shared" si="470"/>
        <v>-7</v>
      </c>
      <c r="Y180" s="290">
        <f>+DA180</f>
        <v>-1</v>
      </c>
      <c r="Z180" s="260">
        <f t="shared" si="471"/>
        <v>1</v>
      </c>
      <c r="AA180" s="1441">
        <f t="shared" si="471"/>
        <v>-4</v>
      </c>
      <c r="AB180" s="1442">
        <f>+DE180-DC180</f>
        <v>3</v>
      </c>
      <c r="AC180" s="1466">
        <f t="shared" si="472"/>
        <v>-1</v>
      </c>
      <c r="AD180" s="290">
        <f>+DF180</f>
        <v>-1</v>
      </c>
      <c r="AE180" s="260">
        <f>+DG180-DF180</f>
        <v>111</v>
      </c>
      <c r="AF180" s="1441">
        <f t="shared" si="473"/>
        <v>-118</v>
      </c>
      <c r="AG180" s="1442">
        <f>+DJ180-DH180</f>
        <v>-2</v>
      </c>
      <c r="AH180" s="1466">
        <f t="shared" si="474"/>
        <v>-10</v>
      </c>
      <c r="AI180" s="290">
        <f>+DK180</f>
        <v>-4</v>
      </c>
      <c r="AJ180" s="260">
        <f>+DL180-DK180</f>
        <v>-1</v>
      </c>
      <c r="AK180" s="1441">
        <f t="shared" si="475"/>
        <v>1</v>
      </c>
      <c r="AL180" s="1442">
        <f>+DO180-DM180</f>
        <v>-12</v>
      </c>
      <c r="AM180" s="1466">
        <f t="shared" si="476"/>
        <v>-16</v>
      </c>
      <c r="AN180" s="290">
        <f>+DP180</f>
        <v>-1</v>
      </c>
      <c r="AO180" s="260">
        <f>+DQ180-DP180</f>
        <v>-16</v>
      </c>
      <c r="AP180" s="1441">
        <f t="shared" si="477"/>
        <v>0</v>
      </c>
      <c r="AQ180" s="1442">
        <f>+DT180-DR180</f>
        <v>-1</v>
      </c>
      <c r="AR180" s="1466">
        <f t="shared" si="478"/>
        <v>-18</v>
      </c>
      <c r="AS180" s="290">
        <f>+DU180</f>
        <v>-1</v>
      </c>
      <c r="AT180" s="260">
        <f>+DV180-DU180</f>
        <v>0</v>
      </c>
      <c r="AU180" s="260">
        <f t="shared" si="479"/>
        <v>-13</v>
      </c>
      <c r="AV180" s="1442">
        <f>+DY180-DW180</f>
        <v>-1</v>
      </c>
      <c r="AW180" s="1466">
        <f t="shared" si="480"/>
        <v>-15</v>
      </c>
      <c r="AX180" s="290">
        <f>+BB180/4</f>
        <v>0</v>
      </c>
      <c r="AY180" s="260">
        <f>(BB180-SUM(AX180:AX180))/3</f>
        <v>0</v>
      </c>
      <c r="AZ180" s="260">
        <f>(BB180-SUM(AX180:AY180))/2</f>
        <v>0</v>
      </c>
      <c r="BA180" s="291">
        <f>(BB180-SUM(AX180:AZ180))/1</f>
        <v>0</v>
      </c>
      <c r="BB180" s="426">
        <v>0</v>
      </c>
      <c r="BC180" s="290">
        <f>+BG180/4</f>
        <v>0</v>
      </c>
      <c r="BD180" s="260">
        <f>(BG180-SUM(BC180:BC180))/3</f>
        <v>0</v>
      </c>
      <c r="BE180" s="260">
        <f>(BG180-SUM(BC180:BD180))/2</f>
        <v>0</v>
      </c>
      <c r="BF180" s="291">
        <f>(BG180-SUM(BC180:BE180))/1</f>
        <v>0</v>
      </c>
      <c r="BG180" s="426">
        <v>0</v>
      </c>
      <c r="BH180" s="290">
        <f>+BL180/4</f>
        <v>0</v>
      </c>
      <c r="BI180" s="260">
        <f>(BL180-SUM(BH180:BH180))/3</f>
        <v>0</v>
      </c>
      <c r="BJ180" s="260">
        <f>(BL180-SUM(BH180:BI180))/2</f>
        <v>0</v>
      </c>
      <c r="BK180" s="291">
        <f>(BL180-SUM(BH180:BJ180))/1</f>
        <v>0</v>
      </c>
      <c r="BL180" s="426">
        <v>0</v>
      </c>
      <c r="BM180" s="290">
        <f>+BQ180/4</f>
        <v>0</v>
      </c>
      <c r="BN180" s="260">
        <f>(BQ180-SUM(BM180:BM180))/3</f>
        <v>0</v>
      </c>
      <c r="BO180" s="260">
        <f>(BQ180-SUM(BM180:BN180))/2</f>
        <v>0</v>
      </c>
      <c r="BP180" s="291">
        <f>(BQ180-SUM(BM180:BO180))/1</f>
        <v>0</v>
      </c>
      <c r="BQ180" s="426">
        <v>0</v>
      </c>
      <c r="BR180" s="45"/>
      <c r="BS180" s="45"/>
      <c r="BT180" s="45"/>
      <c r="BU180" s="45"/>
      <c r="BV180" s="45"/>
      <c r="BW180" s="45"/>
      <c r="BX180" s="45"/>
      <c r="BY180" s="45"/>
      <c r="BZ180" s="45"/>
      <c r="CA180" s="45"/>
      <c r="CB180" s="45"/>
      <c r="CC180" s="5"/>
      <c r="CD180" s="5"/>
      <c r="CE180" s="45"/>
      <c r="CF180" s="45"/>
      <c r="CG180" s="427">
        <v>0</v>
      </c>
      <c r="CH180" s="778">
        <v>0</v>
      </c>
      <c r="CI180" s="427">
        <v>8</v>
      </c>
      <c r="CJ180" s="45">
        <f>CK180</f>
        <v>-1</v>
      </c>
      <c r="CK180" s="427">
        <v>-1</v>
      </c>
      <c r="CL180" s="427">
        <v>0</v>
      </c>
      <c r="CM180" s="427">
        <v>0</v>
      </c>
      <c r="CN180" s="427">
        <v>-3</v>
      </c>
      <c r="CO180" s="45">
        <f>CP180</f>
        <v>-3</v>
      </c>
      <c r="CP180" s="427">
        <v>-3</v>
      </c>
      <c r="CQ180" s="427">
        <v>-2</v>
      </c>
      <c r="CR180" s="427">
        <v>-2</v>
      </c>
      <c r="CS180" s="427">
        <v>-6</v>
      </c>
      <c r="CT180" s="45">
        <f>CU180</f>
        <v>-7</v>
      </c>
      <c r="CU180" s="427">
        <f>-7</f>
        <v>-7</v>
      </c>
      <c r="CV180" s="427">
        <v>-3</v>
      </c>
      <c r="CW180" s="427">
        <f>-3</f>
        <v>-3</v>
      </c>
      <c r="CX180" s="427">
        <v>-3</v>
      </c>
      <c r="CY180" s="45">
        <f>CZ180</f>
        <v>-7</v>
      </c>
      <c r="CZ180" s="427">
        <v>-7</v>
      </c>
      <c r="DA180" s="427">
        <v>-1</v>
      </c>
      <c r="DB180" s="427">
        <v>0</v>
      </c>
      <c r="DC180" s="1437">
        <v>-4</v>
      </c>
      <c r="DD180" s="1443">
        <f>DE180</f>
        <v>-1</v>
      </c>
      <c r="DE180" s="1437">
        <v>-1</v>
      </c>
      <c r="DF180" s="427">
        <v>-1</v>
      </c>
      <c r="DG180" s="427">
        <f>112-2</f>
        <v>110</v>
      </c>
      <c r="DH180" s="1437">
        <v>-8</v>
      </c>
      <c r="DI180" s="1443">
        <f>DJ180</f>
        <v>-10</v>
      </c>
      <c r="DJ180" s="1437">
        <v>-10</v>
      </c>
      <c r="DK180" s="427">
        <v>-4</v>
      </c>
      <c r="DL180" s="427">
        <v>-5</v>
      </c>
      <c r="DM180" s="1437">
        <v>-4</v>
      </c>
      <c r="DN180" s="1443">
        <f>DO180</f>
        <v>-16</v>
      </c>
      <c r="DO180" s="1437">
        <v>-16</v>
      </c>
      <c r="DP180" s="427">
        <v>-1</v>
      </c>
      <c r="DQ180" s="427">
        <v>-17</v>
      </c>
      <c r="DR180" s="1437">
        <v>-17</v>
      </c>
      <c r="DS180" s="1443">
        <f>DT180</f>
        <v>-18</v>
      </c>
      <c r="DT180" s="1437">
        <v>-18</v>
      </c>
      <c r="DU180" s="427">
        <v>-1</v>
      </c>
      <c r="DV180" s="427">
        <v>-1</v>
      </c>
      <c r="DW180" s="427">
        <v>-14</v>
      </c>
      <c r="DX180" s="1443">
        <f>DY180</f>
        <v>-15</v>
      </c>
      <c r="DY180" s="1437">
        <v>-15</v>
      </c>
    </row>
    <row r="181" spans="1:129" ht="12.75" customHeight="1">
      <c r="A181" s="45"/>
      <c r="B181" s="45"/>
      <c r="C181" s="389" t="s">
        <v>153</v>
      </c>
      <c r="D181" s="45"/>
      <c r="E181" s="292">
        <f>SUM(E176:E180)</f>
        <v>38</v>
      </c>
      <c r="F181" s="261">
        <f>SUM(F176:F180)</f>
        <v>-190</v>
      </c>
      <c r="G181" s="261">
        <f>SUM(G176:G180)</f>
        <v>43</v>
      </c>
      <c r="H181" s="293">
        <f>SUM(H176:H180)</f>
        <v>-46</v>
      </c>
      <c r="I181" s="583">
        <f t="shared" si="445"/>
        <v>-155</v>
      </c>
      <c r="J181" s="292">
        <f>SUM(J176:J180)</f>
        <v>26</v>
      </c>
      <c r="K181" s="261">
        <f>SUM(K176:K180)</f>
        <v>-43</v>
      </c>
      <c r="L181" s="261">
        <f>SUM(L176:L180)</f>
        <v>-12</v>
      </c>
      <c r="M181" s="293">
        <f>SUM(M176:M180)</f>
        <v>-150</v>
      </c>
      <c r="N181" s="583">
        <f t="shared" si="447"/>
        <v>-179</v>
      </c>
      <c r="O181" s="292">
        <f>SUM(O176:O180)</f>
        <v>572</v>
      </c>
      <c r="P181" s="261">
        <f>SUM(P176:P180)</f>
        <v>-126</v>
      </c>
      <c r="Q181" s="261">
        <f>SUM(Q176:Q180)</f>
        <v>521</v>
      </c>
      <c r="R181" s="293">
        <f>SUM(R176:R180)</f>
        <v>-612</v>
      </c>
      <c r="S181" s="583">
        <f t="shared" si="449"/>
        <v>355</v>
      </c>
      <c r="T181" s="292">
        <f>SUM(T176:T180)</f>
        <v>-226</v>
      </c>
      <c r="U181" s="261">
        <f>SUM(U176:U180)</f>
        <v>-134</v>
      </c>
      <c r="V181" s="261">
        <f>SUM(V176:V180)</f>
        <v>-153</v>
      </c>
      <c r="W181" s="293">
        <f>SUM(W176:W180)</f>
        <v>301</v>
      </c>
      <c r="X181" s="583">
        <f t="shared" si="470"/>
        <v>-212</v>
      </c>
      <c r="Y181" s="292">
        <f>SUM(Y176:Y180)</f>
        <v>164</v>
      </c>
      <c r="Z181" s="261">
        <f>SUM(Z176:Z180)</f>
        <v>-25</v>
      </c>
      <c r="AA181" s="1438">
        <f>SUM(AA176:AA180)</f>
        <v>-57</v>
      </c>
      <c r="AB181" s="1439">
        <f>SUM(AB176:AB180)</f>
        <v>-21</v>
      </c>
      <c r="AC181" s="1464">
        <f t="shared" si="472"/>
        <v>61</v>
      </c>
      <c r="AD181" s="292">
        <f>SUM(AD176:AD180)</f>
        <v>344</v>
      </c>
      <c r="AE181" s="261">
        <f>SUM(AE176:AE180)</f>
        <v>-40</v>
      </c>
      <c r="AF181" s="1438">
        <f>SUM(AF176:AF180)</f>
        <v>3</v>
      </c>
      <c r="AG181" s="1439">
        <f>SUM(AG176:AG180)</f>
        <v>52</v>
      </c>
      <c r="AH181" s="1464">
        <f t="shared" si="474"/>
        <v>359</v>
      </c>
      <c r="AI181" s="292">
        <f>SUM(AI176:AI180)</f>
        <v>314</v>
      </c>
      <c r="AJ181" s="261">
        <f>SUM(AJ176:AJ180)</f>
        <v>-85</v>
      </c>
      <c r="AK181" s="1438">
        <f>SUM(AK176:AK180)</f>
        <v>56</v>
      </c>
      <c r="AL181" s="1439">
        <f>SUM(AL176:AL180)</f>
        <v>182</v>
      </c>
      <c r="AM181" s="1464">
        <f t="shared" si="476"/>
        <v>467</v>
      </c>
      <c r="AN181" s="292">
        <f>SUM(AN176:AN180)</f>
        <v>296</v>
      </c>
      <c r="AO181" s="261">
        <f>SUM(AO176:AO180)</f>
        <v>558</v>
      </c>
      <c r="AP181" s="1438">
        <f>SUM(AP176:AP180)</f>
        <v>-707</v>
      </c>
      <c r="AQ181" s="1439">
        <f>SUM(AQ176:AQ180)</f>
        <v>22</v>
      </c>
      <c r="AR181" s="1464">
        <f t="shared" si="478"/>
        <v>169</v>
      </c>
      <c r="AS181" s="292">
        <f>SUM(AS176:AS180)</f>
        <v>359</v>
      </c>
      <c r="AT181" s="261">
        <f>SUM(AT176:AT180)</f>
        <v>2</v>
      </c>
      <c r="AU181" s="261">
        <f t="shared" ref="AU181" si="489">SUM(AU176:AU180)</f>
        <v>451</v>
      </c>
      <c r="AV181" s="1439">
        <f>SUM(AV176:AV180)</f>
        <v>-23</v>
      </c>
      <c r="AW181" s="1464">
        <f t="shared" si="480"/>
        <v>789</v>
      </c>
      <c r="AX181" s="292">
        <f t="shared" ref="AX181:BB181" si="490">SUM(AX176:AX180)</f>
        <v>-737.5</v>
      </c>
      <c r="AY181" s="261">
        <f t="shared" si="490"/>
        <v>-37.5</v>
      </c>
      <c r="AZ181" s="261">
        <f t="shared" si="490"/>
        <v>1372.5</v>
      </c>
      <c r="BA181" s="293">
        <f t="shared" si="490"/>
        <v>-37.5</v>
      </c>
      <c r="BB181" s="228">
        <f t="shared" si="490"/>
        <v>560</v>
      </c>
      <c r="BC181" s="292">
        <f t="shared" ref="BC181:BL181" si="491">SUM(BC176:BC180)</f>
        <v>-75</v>
      </c>
      <c r="BD181" s="261">
        <f t="shared" si="491"/>
        <v>-75</v>
      </c>
      <c r="BE181" s="261">
        <f t="shared" si="491"/>
        <v>350</v>
      </c>
      <c r="BF181" s="293">
        <f t="shared" si="491"/>
        <v>-75</v>
      </c>
      <c r="BG181" s="228">
        <f t="shared" si="491"/>
        <v>125</v>
      </c>
      <c r="BH181" s="292">
        <f t="shared" si="491"/>
        <v>-81.25</v>
      </c>
      <c r="BI181" s="261">
        <f t="shared" si="491"/>
        <v>-81.25</v>
      </c>
      <c r="BJ181" s="261">
        <f t="shared" si="491"/>
        <v>418.75</v>
      </c>
      <c r="BK181" s="293">
        <f t="shared" si="491"/>
        <v>-81.25</v>
      </c>
      <c r="BL181" s="228">
        <f t="shared" si="491"/>
        <v>175</v>
      </c>
      <c r="BM181" s="292">
        <f t="shared" ref="BM181:BQ181" si="492">SUM(BM176:BM180)</f>
        <v>-93.75</v>
      </c>
      <c r="BN181" s="261">
        <f t="shared" si="492"/>
        <v>-93.75</v>
      </c>
      <c r="BO181" s="261">
        <f t="shared" si="492"/>
        <v>306.25</v>
      </c>
      <c r="BP181" s="293">
        <f t="shared" si="492"/>
        <v>-93.75</v>
      </c>
      <c r="BQ181" s="228">
        <f t="shared" si="492"/>
        <v>25</v>
      </c>
      <c r="BR181" s="45"/>
      <c r="BS181" s="45"/>
      <c r="BT181" s="45"/>
      <c r="BU181" s="45"/>
      <c r="BV181" s="45"/>
      <c r="BW181" s="45"/>
      <c r="BX181" s="45"/>
      <c r="BY181" s="45"/>
      <c r="BZ181" s="45"/>
      <c r="CA181" s="45"/>
      <c r="CB181" s="45"/>
      <c r="CC181" s="5"/>
      <c r="CD181" s="5"/>
      <c r="CE181" s="45"/>
      <c r="CF181" s="45"/>
      <c r="CG181" s="228">
        <f t="shared" ref="CG181:CW181" si="493">SUM(CG176:CG180)</f>
        <v>38</v>
      </c>
      <c r="CH181" s="228">
        <f t="shared" si="493"/>
        <v>-152</v>
      </c>
      <c r="CI181" s="228">
        <f t="shared" si="493"/>
        <v>-109</v>
      </c>
      <c r="CJ181" s="228">
        <f t="shared" si="493"/>
        <v>-155</v>
      </c>
      <c r="CK181" s="228">
        <f t="shared" si="493"/>
        <v>-155</v>
      </c>
      <c r="CL181" s="228">
        <f t="shared" si="493"/>
        <v>26</v>
      </c>
      <c r="CM181" s="228">
        <f t="shared" si="493"/>
        <v>-17</v>
      </c>
      <c r="CN181" s="228">
        <f t="shared" si="493"/>
        <v>-29</v>
      </c>
      <c r="CO181" s="228">
        <f t="shared" si="493"/>
        <v>-179</v>
      </c>
      <c r="CP181" s="228">
        <f t="shared" si="493"/>
        <v>-179</v>
      </c>
      <c r="CQ181" s="228">
        <f t="shared" si="493"/>
        <v>572</v>
      </c>
      <c r="CR181" s="228">
        <f t="shared" si="493"/>
        <v>446</v>
      </c>
      <c r="CS181" s="228">
        <f t="shared" si="493"/>
        <v>967</v>
      </c>
      <c r="CT181" s="228">
        <f t="shared" si="493"/>
        <v>355</v>
      </c>
      <c r="CU181" s="228">
        <f t="shared" si="493"/>
        <v>355</v>
      </c>
      <c r="CV181" s="228">
        <f t="shared" si="493"/>
        <v>-226</v>
      </c>
      <c r="CW181" s="228">
        <f t="shared" si="493"/>
        <v>-360</v>
      </c>
      <c r="CX181" s="228">
        <f t="shared" ref="CX181:DG181" si="494">SUM(CX176:CX180)</f>
        <v>-513</v>
      </c>
      <c r="CY181" s="228">
        <f t="shared" si="494"/>
        <v>-212</v>
      </c>
      <c r="CZ181" s="228">
        <f t="shared" si="494"/>
        <v>-212</v>
      </c>
      <c r="DA181" s="228">
        <f t="shared" si="494"/>
        <v>164</v>
      </c>
      <c r="DB181" s="228">
        <f t="shared" si="494"/>
        <v>139</v>
      </c>
      <c r="DC181" s="1440">
        <f t="shared" si="494"/>
        <v>82</v>
      </c>
      <c r="DD181" s="1440">
        <f t="shared" si="494"/>
        <v>61</v>
      </c>
      <c r="DE181" s="1440">
        <f t="shared" si="494"/>
        <v>61</v>
      </c>
      <c r="DF181" s="228">
        <f t="shared" si="494"/>
        <v>344</v>
      </c>
      <c r="DG181" s="228">
        <f t="shared" si="494"/>
        <v>304</v>
      </c>
      <c r="DH181" s="1440">
        <f t="shared" ref="DH181:DL181" si="495">SUM(DH176:DH180)</f>
        <v>307</v>
      </c>
      <c r="DI181" s="1440">
        <f t="shared" si="495"/>
        <v>359</v>
      </c>
      <c r="DJ181" s="1440">
        <f t="shared" si="495"/>
        <v>359</v>
      </c>
      <c r="DK181" s="228">
        <f t="shared" si="495"/>
        <v>314</v>
      </c>
      <c r="DL181" s="228">
        <f t="shared" si="495"/>
        <v>229</v>
      </c>
      <c r="DM181" s="1440">
        <f t="shared" ref="DM181:DQ181" si="496">SUM(DM176:DM180)</f>
        <v>285</v>
      </c>
      <c r="DN181" s="1440">
        <f t="shared" si="496"/>
        <v>467</v>
      </c>
      <c r="DO181" s="1440">
        <f t="shared" si="496"/>
        <v>467</v>
      </c>
      <c r="DP181" s="228">
        <f t="shared" si="496"/>
        <v>296</v>
      </c>
      <c r="DQ181" s="228">
        <f t="shared" si="496"/>
        <v>854</v>
      </c>
      <c r="DR181" s="1440">
        <f t="shared" ref="DR181:DW181" si="497">SUM(DR176:DR180)</f>
        <v>147</v>
      </c>
      <c r="DS181" s="1440">
        <f t="shared" si="497"/>
        <v>169</v>
      </c>
      <c r="DT181" s="1440">
        <f t="shared" si="497"/>
        <v>169</v>
      </c>
      <c r="DU181" s="228">
        <f t="shared" si="497"/>
        <v>359</v>
      </c>
      <c r="DV181" s="228">
        <f t="shared" si="497"/>
        <v>361</v>
      </c>
      <c r="DW181" s="228">
        <f t="shared" si="497"/>
        <v>812</v>
      </c>
      <c r="DX181" s="1440">
        <f t="shared" ref="DX181:DY181" si="498">SUM(DX176:DX180)</f>
        <v>789</v>
      </c>
      <c r="DY181" s="1440">
        <f t="shared" si="498"/>
        <v>789</v>
      </c>
    </row>
    <row r="182" spans="1:129" ht="12.75" customHeight="1">
      <c r="A182" s="45"/>
      <c r="B182" s="45"/>
      <c r="C182" s="391"/>
      <c r="D182" s="45"/>
      <c r="E182" s="290"/>
      <c r="F182" s="260"/>
      <c r="G182" s="260"/>
      <c r="H182" s="291"/>
      <c r="I182" s="647">
        <f t="shared" si="445"/>
        <v>0</v>
      </c>
      <c r="J182" s="290"/>
      <c r="K182" s="260"/>
      <c r="L182" s="260"/>
      <c r="M182" s="291"/>
      <c r="N182" s="647">
        <f t="shared" si="447"/>
        <v>0</v>
      </c>
      <c r="O182" s="290"/>
      <c r="P182" s="260"/>
      <c r="Q182" s="260"/>
      <c r="R182" s="291"/>
      <c r="S182" s="647">
        <f t="shared" si="449"/>
        <v>0</v>
      </c>
      <c r="T182" s="290"/>
      <c r="U182" s="260"/>
      <c r="V182" s="260"/>
      <c r="W182" s="291"/>
      <c r="X182" s="647">
        <f t="shared" si="470"/>
        <v>0</v>
      </c>
      <c r="Y182" s="290"/>
      <c r="Z182" s="260"/>
      <c r="AA182" s="1441"/>
      <c r="AB182" s="1442"/>
      <c r="AC182" s="1466">
        <f t="shared" si="472"/>
        <v>0</v>
      </c>
      <c r="AD182" s="290"/>
      <c r="AE182" s="260"/>
      <c r="AF182" s="1441"/>
      <c r="AG182" s="1442"/>
      <c r="AH182" s="1466">
        <f t="shared" si="474"/>
        <v>0</v>
      </c>
      <c r="AI182" s="290"/>
      <c r="AJ182" s="260"/>
      <c r="AK182" s="1441"/>
      <c r="AL182" s="1442"/>
      <c r="AM182" s="1466">
        <f t="shared" si="476"/>
        <v>0</v>
      </c>
      <c r="AN182" s="290"/>
      <c r="AO182" s="260"/>
      <c r="AP182" s="1441"/>
      <c r="AQ182" s="1442"/>
      <c r="AR182" s="1466">
        <f t="shared" si="478"/>
        <v>0</v>
      </c>
      <c r="AS182" s="290"/>
      <c r="AT182" s="260"/>
      <c r="AU182" s="260"/>
      <c r="AV182" s="1442"/>
      <c r="AW182" s="1466">
        <f t="shared" si="480"/>
        <v>0</v>
      </c>
      <c r="AX182" s="290"/>
      <c r="AY182" s="260"/>
      <c r="AZ182" s="260"/>
      <c r="BA182" s="291"/>
      <c r="BB182" s="45"/>
      <c r="BC182" s="290"/>
      <c r="BD182" s="260"/>
      <c r="BE182" s="260"/>
      <c r="BF182" s="291"/>
      <c r="BG182" s="45"/>
      <c r="BH182" s="290"/>
      <c r="BI182" s="260"/>
      <c r="BJ182" s="260"/>
      <c r="BK182" s="291"/>
      <c r="BL182" s="45"/>
      <c r="BM182" s="290"/>
      <c r="BN182" s="260"/>
      <c r="BO182" s="260"/>
      <c r="BP182" s="291"/>
      <c r="BQ182" s="45"/>
      <c r="BR182" s="45"/>
      <c r="BS182" s="45"/>
      <c r="BT182" s="45"/>
      <c r="BU182" s="45"/>
      <c r="BV182" s="45"/>
      <c r="BW182" s="45"/>
      <c r="BX182" s="45"/>
      <c r="BY182" s="45"/>
      <c r="BZ182" s="45"/>
      <c r="CA182" s="45"/>
      <c r="CB182" s="45"/>
      <c r="CC182" s="5"/>
      <c r="CD182" s="5"/>
      <c r="CE182" s="45"/>
      <c r="CF182" s="45"/>
      <c r="CG182" s="228"/>
      <c r="CH182" s="228"/>
      <c r="CI182" s="228"/>
      <c r="CJ182" s="228"/>
      <c r="CK182" s="228"/>
      <c r="CL182" s="228"/>
      <c r="CM182" s="228"/>
      <c r="CN182" s="228"/>
      <c r="CO182" s="228"/>
      <c r="CP182" s="228"/>
      <c r="CQ182" s="228"/>
      <c r="CR182" s="228"/>
      <c r="CS182" s="228"/>
      <c r="CT182" s="228"/>
      <c r="CU182" s="228"/>
      <c r="CV182" s="228"/>
      <c r="CW182" s="228"/>
      <c r="CX182" s="228"/>
      <c r="CY182" s="228"/>
      <c r="CZ182" s="228"/>
      <c r="DA182" s="228"/>
      <c r="DB182" s="228"/>
      <c r="DC182" s="1440"/>
      <c r="DD182" s="1440"/>
      <c r="DE182" s="1440"/>
      <c r="DF182" s="228"/>
      <c r="DG182" s="228"/>
      <c r="DH182" s="1440"/>
      <c r="DI182" s="1440"/>
      <c r="DJ182" s="1440"/>
      <c r="DK182" s="228"/>
      <c r="DL182" s="228"/>
      <c r="DM182" s="1440"/>
      <c r="DN182" s="1440"/>
      <c r="DO182" s="1440"/>
      <c r="DP182" s="228"/>
      <c r="DQ182" s="228"/>
      <c r="DR182" s="1440"/>
      <c r="DS182" s="1440"/>
      <c r="DT182" s="1440"/>
      <c r="DU182" s="228"/>
      <c r="DV182" s="228"/>
      <c r="DW182" s="228"/>
      <c r="DX182" s="1440"/>
      <c r="DY182" s="1440"/>
    </row>
    <row r="183" spans="1:129" ht="12.75" customHeight="1">
      <c r="A183" s="45"/>
      <c r="B183" s="45"/>
      <c r="C183" s="389" t="s">
        <v>154</v>
      </c>
      <c r="D183" s="45"/>
      <c r="E183" s="292">
        <f>+E169+E174+E181</f>
        <v>-4</v>
      </c>
      <c r="F183" s="261">
        <f>+F169+F174+F181</f>
        <v>12</v>
      </c>
      <c r="G183" s="261">
        <f>+G169+G174+G181</f>
        <v>3</v>
      </c>
      <c r="H183" s="293">
        <f>+H169+H174+H181</f>
        <v>33</v>
      </c>
      <c r="I183" s="583">
        <f t="shared" si="445"/>
        <v>44</v>
      </c>
      <c r="J183" s="292">
        <f>+J169+J174+J181</f>
        <v>-51</v>
      </c>
      <c r="K183" s="261">
        <f>+K169+K174+K181</f>
        <v>1</v>
      </c>
      <c r="L183" s="261">
        <f>+L169+L174+L181</f>
        <v>-7</v>
      </c>
      <c r="M183" s="293">
        <f>+M169+M174+M181</f>
        <v>16</v>
      </c>
      <c r="N183" s="583">
        <f t="shared" si="447"/>
        <v>-41</v>
      </c>
      <c r="O183" s="292">
        <f>+O169+O174+O181</f>
        <v>-23</v>
      </c>
      <c r="P183" s="261">
        <f>+P169+P174+P181</f>
        <v>67</v>
      </c>
      <c r="Q183" s="261">
        <f>+Q169+Q174+Q181</f>
        <v>262</v>
      </c>
      <c r="R183" s="293">
        <f>+R169+R174+R181</f>
        <v>-122</v>
      </c>
      <c r="S183" s="583">
        <f t="shared" si="449"/>
        <v>184</v>
      </c>
      <c r="T183" s="292">
        <f>+T169+T174+T181</f>
        <v>-215</v>
      </c>
      <c r="U183" s="261">
        <f>+U169+U174+U181</f>
        <v>10</v>
      </c>
      <c r="V183" s="261">
        <f>+V169+V174+V181</f>
        <v>2</v>
      </c>
      <c r="W183" s="293">
        <f>+W169+W174+W181</f>
        <v>113</v>
      </c>
      <c r="X183" s="583">
        <f t="shared" si="470"/>
        <v>-90</v>
      </c>
      <c r="Y183" s="292">
        <f>+Y169+Y174+Y181</f>
        <v>-114</v>
      </c>
      <c r="Z183" s="261">
        <f>+Z169+Z174+Z181</f>
        <v>63</v>
      </c>
      <c r="AA183" s="1438">
        <f>+AA169+AA174+AA181</f>
        <v>-59</v>
      </c>
      <c r="AB183" s="1439">
        <f>+AB169+AB174+AB181</f>
        <v>2</v>
      </c>
      <c r="AC183" s="1464">
        <f t="shared" si="472"/>
        <v>-108</v>
      </c>
      <c r="AD183" s="292">
        <f>+AD169+AD174+AD181</f>
        <v>5</v>
      </c>
      <c r="AE183" s="261">
        <f>+AE169+AE174+AE181</f>
        <v>-3</v>
      </c>
      <c r="AF183" s="1438">
        <f>+AF169+AF174+AF181</f>
        <v>6</v>
      </c>
      <c r="AG183" s="1439">
        <f>+AG169+AG174+AG181</f>
        <v>22</v>
      </c>
      <c r="AH183" s="1464">
        <f t="shared" si="474"/>
        <v>30</v>
      </c>
      <c r="AI183" s="292">
        <f>+AI169+AI174+AI181</f>
        <v>42</v>
      </c>
      <c r="AJ183" s="261">
        <f>+AJ169+AJ174+AJ181</f>
        <v>-57</v>
      </c>
      <c r="AK183" s="1438">
        <f>+AK169+AK174+AK181</f>
        <v>0</v>
      </c>
      <c r="AL183" s="1439">
        <f>+AL169+AL174+AL181</f>
        <v>16</v>
      </c>
      <c r="AM183" s="1464">
        <f t="shared" si="476"/>
        <v>1</v>
      </c>
      <c r="AN183" s="292">
        <f>+AN169+AN174+AN181</f>
        <v>-46</v>
      </c>
      <c r="AO183" s="261">
        <f>+AO169+AO174+AO181</f>
        <v>715</v>
      </c>
      <c r="AP183" s="1438">
        <f>+AP169+AP174+AP181</f>
        <v>-692</v>
      </c>
      <c r="AQ183" s="1439">
        <f>+AQ169+AQ174+AQ181</f>
        <v>12</v>
      </c>
      <c r="AR183" s="1464">
        <f t="shared" si="478"/>
        <v>-11</v>
      </c>
      <c r="AS183" s="292">
        <f>+AS169+AS174+AS181</f>
        <v>-25</v>
      </c>
      <c r="AT183" s="261">
        <f>+AT169+AT174+AT181</f>
        <v>8</v>
      </c>
      <c r="AU183" s="261">
        <f t="shared" ref="AU183" si="499">+AU169+AU174+AU181</f>
        <v>218</v>
      </c>
      <c r="AV183" s="1439">
        <f>+AV169+AV174+AV181</f>
        <v>-182</v>
      </c>
      <c r="AW183" s="1464">
        <f t="shared" si="480"/>
        <v>20</v>
      </c>
      <c r="AX183" s="292">
        <f t="shared" ref="AX183:BB183" ca="1" si="500">+AX169+AX174+AX181</f>
        <v>-885.59027241063905</v>
      </c>
      <c r="AY183" s="261">
        <f t="shared" ca="1" si="500"/>
        <v>-181.06144927076866</v>
      </c>
      <c r="AZ183" s="261">
        <f t="shared" ca="1" si="500"/>
        <v>1271.4115225029921</v>
      </c>
      <c r="BA183" s="293">
        <f t="shared" ca="1" si="500"/>
        <v>-214.06601773476183</v>
      </c>
      <c r="BB183" s="228">
        <f t="shared" ca="1" si="500"/>
        <v>-9.3062169131774226</v>
      </c>
      <c r="BC183" s="292">
        <f t="shared" ref="BC183:BL183" ca="1" si="501">+BC169+BC174+BC181</f>
        <v>-107.29129974113584</v>
      </c>
      <c r="BD183" s="261">
        <f t="shared" ca="1" si="501"/>
        <v>-107.7888804246428</v>
      </c>
      <c r="BE183" s="261">
        <f t="shared" ca="1" si="501"/>
        <v>363.615468020089</v>
      </c>
      <c r="BF183" s="293">
        <f t="shared" ca="1" si="501"/>
        <v>-135.53089978559228</v>
      </c>
      <c r="BG183" s="228">
        <f t="shared" ca="1" si="501"/>
        <v>13.004388068718072</v>
      </c>
      <c r="BH183" s="292">
        <f t="shared" ca="1" si="501"/>
        <v>-132.21572461968998</v>
      </c>
      <c r="BI183" s="261">
        <f t="shared" ca="1" si="501"/>
        <v>-132.85751722079272</v>
      </c>
      <c r="BJ183" s="261">
        <f t="shared" ca="1" si="501"/>
        <v>408.88197464394563</v>
      </c>
      <c r="BK183" s="293">
        <f t="shared" ca="1" si="501"/>
        <v>-162.32792530963769</v>
      </c>
      <c r="BL183" s="228">
        <f t="shared" ca="1" si="501"/>
        <v>-18.519192506174704</v>
      </c>
      <c r="BM183" s="292">
        <f t="shared" ref="BM183:BQ183" ca="1" si="502">+BM169+BM174+BM181</f>
        <v>-98.978938435171642</v>
      </c>
      <c r="BN183" s="261">
        <f t="shared" ca="1" si="502"/>
        <v>-99.325292778592882</v>
      </c>
      <c r="BO183" s="261">
        <f t="shared" ca="1" si="502"/>
        <v>341.3136382879477</v>
      </c>
      <c r="BP183" s="293">
        <f t="shared" ca="1" si="502"/>
        <v>-128.26551819302148</v>
      </c>
      <c r="BQ183" s="228">
        <f t="shared" ca="1" si="502"/>
        <v>14.743888881161865</v>
      </c>
      <c r="BR183" s="45"/>
      <c r="BS183" s="45"/>
      <c r="BT183" s="45"/>
      <c r="BU183" s="45"/>
      <c r="BV183" s="45"/>
      <c r="BW183" s="45"/>
      <c r="BX183" s="45"/>
      <c r="BY183" s="45"/>
      <c r="BZ183" s="45"/>
      <c r="CA183" s="45"/>
      <c r="CB183" s="45"/>
      <c r="CC183" s="5"/>
      <c r="CD183" s="5"/>
      <c r="CE183" s="45"/>
      <c r="CF183" s="45"/>
      <c r="CG183" s="779">
        <f t="shared" ref="CG183:CV183" si="503">CG169+CG174+CG181</f>
        <v>-4</v>
      </c>
      <c r="CH183" s="228">
        <f t="shared" si="503"/>
        <v>8</v>
      </c>
      <c r="CI183" s="228">
        <f t="shared" si="503"/>
        <v>11</v>
      </c>
      <c r="CJ183" s="228">
        <f t="shared" si="503"/>
        <v>44</v>
      </c>
      <c r="CK183" s="228">
        <f t="shared" si="503"/>
        <v>44</v>
      </c>
      <c r="CL183" s="228">
        <f t="shared" si="503"/>
        <v>-51</v>
      </c>
      <c r="CM183" s="228">
        <f t="shared" si="503"/>
        <v>-50</v>
      </c>
      <c r="CN183" s="228">
        <f t="shared" si="503"/>
        <v>-57</v>
      </c>
      <c r="CO183" s="228">
        <f t="shared" si="503"/>
        <v>-41</v>
      </c>
      <c r="CP183" s="228">
        <f t="shared" si="503"/>
        <v>-41</v>
      </c>
      <c r="CQ183" s="228">
        <f t="shared" si="503"/>
        <v>-23</v>
      </c>
      <c r="CR183" s="228">
        <f t="shared" si="503"/>
        <v>44</v>
      </c>
      <c r="CS183" s="228">
        <f t="shared" si="503"/>
        <v>306</v>
      </c>
      <c r="CT183" s="228">
        <f t="shared" si="503"/>
        <v>184</v>
      </c>
      <c r="CU183" s="228">
        <f t="shared" si="503"/>
        <v>184</v>
      </c>
      <c r="CV183" s="228">
        <f t="shared" si="503"/>
        <v>-215</v>
      </c>
      <c r="CW183" s="228">
        <f t="shared" ref="CW183:DB183" si="504">CW169+CW174+CW181</f>
        <v>-205</v>
      </c>
      <c r="CX183" s="228">
        <f t="shared" si="504"/>
        <v>-203</v>
      </c>
      <c r="CY183" s="228">
        <f t="shared" si="504"/>
        <v>-90</v>
      </c>
      <c r="CZ183" s="228">
        <f t="shared" si="504"/>
        <v>-90</v>
      </c>
      <c r="DA183" s="228">
        <f t="shared" si="504"/>
        <v>-114</v>
      </c>
      <c r="DB183" s="228">
        <f t="shared" si="504"/>
        <v>-51</v>
      </c>
      <c r="DC183" s="1440">
        <f t="shared" ref="DC183:DJ183" si="505">DC169+DC174+DC181</f>
        <v>-110</v>
      </c>
      <c r="DD183" s="1440">
        <f t="shared" si="505"/>
        <v>-108</v>
      </c>
      <c r="DE183" s="1440">
        <f t="shared" si="505"/>
        <v>-108</v>
      </c>
      <c r="DF183" s="228">
        <f t="shared" si="505"/>
        <v>5</v>
      </c>
      <c r="DG183" s="228">
        <f t="shared" si="505"/>
        <v>2</v>
      </c>
      <c r="DH183" s="1440">
        <f t="shared" si="505"/>
        <v>8</v>
      </c>
      <c r="DI183" s="1440">
        <f t="shared" si="505"/>
        <v>30</v>
      </c>
      <c r="DJ183" s="1440">
        <f t="shared" si="505"/>
        <v>30</v>
      </c>
      <c r="DK183" s="228">
        <f t="shared" ref="DK183:DO183" si="506">DK169+DK174+DK181</f>
        <v>42</v>
      </c>
      <c r="DL183" s="228">
        <f t="shared" si="506"/>
        <v>-15</v>
      </c>
      <c r="DM183" s="1440">
        <f t="shared" si="506"/>
        <v>-15</v>
      </c>
      <c r="DN183" s="1440">
        <f t="shared" si="506"/>
        <v>1</v>
      </c>
      <c r="DO183" s="1440">
        <f t="shared" si="506"/>
        <v>1</v>
      </c>
      <c r="DP183" s="228">
        <f t="shared" ref="DP183:DT183" si="507">DP169+DP174+DP181</f>
        <v>-46</v>
      </c>
      <c r="DQ183" s="228">
        <f t="shared" si="507"/>
        <v>669</v>
      </c>
      <c r="DR183" s="1440">
        <f t="shared" si="507"/>
        <v>-23</v>
      </c>
      <c r="DS183" s="1440">
        <f t="shared" si="507"/>
        <v>-11</v>
      </c>
      <c r="DT183" s="1440">
        <f t="shared" si="507"/>
        <v>-11</v>
      </c>
      <c r="DU183" s="228">
        <f t="shared" ref="DU183:DV183" si="508">DU169+DU174+DU181</f>
        <v>-25</v>
      </c>
      <c r="DV183" s="228">
        <f t="shared" si="508"/>
        <v>-17</v>
      </c>
      <c r="DW183" s="228">
        <f t="shared" ref="DW183:DY183" si="509">DW169+DW174+DW181</f>
        <v>201</v>
      </c>
      <c r="DX183" s="1440">
        <f t="shared" si="509"/>
        <v>20</v>
      </c>
      <c r="DY183" s="1440">
        <f t="shared" si="509"/>
        <v>20</v>
      </c>
    </row>
    <row r="184" spans="1:129" ht="12.75" customHeight="1">
      <c r="A184" s="45"/>
      <c r="B184" s="45"/>
      <c r="C184" s="391" t="s">
        <v>155</v>
      </c>
      <c r="D184" s="45"/>
      <c r="E184" s="335">
        <f>+CG184</f>
        <v>47</v>
      </c>
      <c r="F184" s="260">
        <f>+E186</f>
        <v>43</v>
      </c>
      <c r="G184" s="260">
        <f>+F186</f>
        <v>55</v>
      </c>
      <c r="H184" s="291">
        <f>+G186</f>
        <v>58</v>
      </c>
      <c r="I184" s="45">
        <f>+E184</f>
        <v>47</v>
      </c>
      <c r="J184" s="290">
        <f>+I186</f>
        <v>91</v>
      </c>
      <c r="K184" s="260">
        <f>+J186</f>
        <v>40</v>
      </c>
      <c r="L184" s="260">
        <f>+K186</f>
        <v>41</v>
      </c>
      <c r="M184" s="291">
        <f>+L186</f>
        <v>34</v>
      </c>
      <c r="N184" s="45">
        <f>+J184</f>
        <v>91</v>
      </c>
      <c r="O184" s="290">
        <f>+N186</f>
        <v>50</v>
      </c>
      <c r="P184" s="260">
        <f>+O186</f>
        <v>27</v>
      </c>
      <c r="Q184" s="260">
        <f>+P186</f>
        <v>94</v>
      </c>
      <c r="R184" s="291">
        <f>+Q186</f>
        <v>356</v>
      </c>
      <c r="S184" s="45">
        <f>+O184</f>
        <v>50</v>
      </c>
      <c r="T184" s="290">
        <f>+S186</f>
        <v>234</v>
      </c>
      <c r="U184" s="260">
        <f>+T186</f>
        <v>19</v>
      </c>
      <c r="V184" s="260">
        <f>+U186</f>
        <v>29</v>
      </c>
      <c r="W184" s="291">
        <f>+V186</f>
        <v>31</v>
      </c>
      <c r="X184" s="45">
        <f>+T184</f>
        <v>234</v>
      </c>
      <c r="Y184" s="290">
        <f>+X186</f>
        <v>144</v>
      </c>
      <c r="Z184" s="260">
        <f>+Y186</f>
        <v>30</v>
      </c>
      <c r="AA184" s="1441">
        <f>+Z186</f>
        <v>93</v>
      </c>
      <c r="AB184" s="1442">
        <f>+AA186</f>
        <v>34</v>
      </c>
      <c r="AC184" s="1443">
        <f>+Y184</f>
        <v>144</v>
      </c>
      <c r="AD184" s="290">
        <f>+AC186</f>
        <v>36</v>
      </c>
      <c r="AE184" s="260">
        <f>+AD186</f>
        <v>41</v>
      </c>
      <c r="AF184" s="1441">
        <f>+AE186</f>
        <v>38</v>
      </c>
      <c r="AG184" s="1442">
        <f>+AF186</f>
        <v>44</v>
      </c>
      <c r="AH184" s="1443">
        <f>+AD184</f>
        <v>36</v>
      </c>
      <c r="AI184" s="290">
        <f>+AH186</f>
        <v>66</v>
      </c>
      <c r="AJ184" s="260">
        <f>+AI186</f>
        <v>108</v>
      </c>
      <c r="AK184" s="1441">
        <f>+AJ186</f>
        <v>51</v>
      </c>
      <c r="AL184" s="1442">
        <f>+AK186</f>
        <v>51</v>
      </c>
      <c r="AM184" s="1443">
        <f>+AI184</f>
        <v>66</v>
      </c>
      <c r="AN184" s="290">
        <f>+AM186</f>
        <v>67</v>
      </c>
      <c r="AO184" s="260">
        <f>+AN186</f>
        <v>21</v>
      </c>
      <c r="AP184" s="1441">
        <f>+AO186</f>
        <v>736</v>
      </c>
      <c r="AQ184" s="1442">
        <f>+AP186</f>
        <v>44</v>
      </c>
      <c r="AR184" s="1443">
        <f>+AN184</f>
        <v>67</v>
      </c>
      <c r="AS184" s="290">
        <f>+AR186</f>
        <v>56</v>
      </c>
      <c r="AT184" s="260">
        <f>+AS186</f>
        <v>31</v>
      </c>
      <c r="AU184" s="260">
        <f t="shared" ref="AU184" si="510">+AT186</f>
        <v>39</v>
      </c>
      <c r="AV184" s="1442">
        <f>+AU186</f>
        <v>257</v>
      </c>
      <c r="AW184" s="1443">
        <f>+AS184</f>
        <v>56</v>
      </c>
      <c r="AX184" s="290">
        <f>+AW186</f>
        <v>76</v>
      </c>
      <c r="AY184" s="260">
        <f ca="1">+AX186</f>
        <v>0</v>
      </c>
      <c r="AZ184" s="260">
        <f ca="1">+AY186</f>
        <v>0</v>
      </c>
      <c r="BA184" s="291">
        <f ca="1">+AZ186</f>
        <v>280.75980082158435</v>
      </c>
      <c r="BB184" s="45">
        <f>+AW186</f>
        <v>76</v>
      </c>
      <c r="BC184" s="290">
        <f ca="1">+BB186</f>
        <v>66.693783086822577</v>
      </c>
      <c r="BD184" s="260">
        <f ca="1">+BC186</f>
        <v>0</v>
      </c>
      <c r="BE184" s="260">
        <f ca="1">+BD186</f>
        <v>0</v>
      </c>
      <c r="BF184" s="291">
        <f ca="1">+BE186</f>
        <v>215.22907094113293</v>
      </c>
      <c r="BG184" s="45">
        <f ca="1">+BB186</f>
        <v>66.693783086822577</v>
      </c>
      <c r="BH184" s="290">
        <f ca="1">+BG186</f>
        <v>79.698171155540649</v>
      </c>
      <c r="BI184" s="260">
        <f ca="1">+BH186</f>
        <v>0</v>
      </c>
      <c r="BJ184" s="260">
        <f ca="1">+BI186</f>
        <v>0</v>
      </c>
      <c r="BK184" s="291">
        <f ca="1">+BJ186</f>
        <v>223.50690395900358</v>
      </c>
      <c r="BL184" s="45">
        <f ca="1">+BG186</f>
        <v>79.698171155540649</v>
      </c>
      <c r="BM184" s="290">
        <f ca="1">+BL186</f>
        <v>61.178978649365945</v>
      </c>
      <c r="BN184" s="260">
        <f ca="1">+BM186</f>
        <v>0</v>
      </c>
      <c r="BO184" s="260">
        <f ca="1">+BN186</f>
        <v>0</v>
      </c>
      <c r="BP184" s="291">
        <f ca="1">+BO186</f>
        <v>204.18838572354912</v>
      </c>
      <c r="BQ184" s="45">
        <f ca="1">+BL186</f>
        <v>61.178978649365945</v>
      </c>
      <c r="BR184" s="45"/>
      <c r="BS184" s="45"/>
      <c r="BT184" s="45"/>
      <c r="BU184" s="45"/>
      <c r="BV184" s="45"/>
      <c r="BW184" s="45"/>
      <c r="BX184" s="45"/>
      <c r="BY184" s="45"/>
      <c r="BZ184" s="45"/>
      <c r="CA184" s="45"/>
      <c r="CB184" s="45"/>
      <c r="CC184" s="5"/>
      <c r="CD184" s="5"/>
      <c r="CE184" s="45"/>
      <c r="CF184" s="45"/>
      <c r="CG184" s="427">
        <v>47</v>
      </c>
      <c r="CH184" s="45">
        <f>+CG184</f>
        <v>47</v>
      </c>
      <c r="CI184" s="45">
        <f>+CH184</f>
        <v>47</v>
      </c>
      <c r="CJ184" s="45">
        <f>CI184</f>
        <v>47</v>
      </c>
      <c r="CK184" s="45">
        <f>+CG184</f>
        <v>47</v>
      </c>
      <c r="CL184" s="45">
        <f>+CK186</f>
        <v>91</v>
      </c>
      <c r="CM184" s="45">
        <f>+CL184</f>
        <v>91</v>
      </c>
      <c r="CN184" s="45">
        <f>+CM184</f>
        <v>91</v>
      </c>
      <c r="CO184" s="45">
        <f>CN184</f>
        <v>91</v>
      </c>
      <c r="CP184" s="45">
        <f>+CL184</f>
        <v>91</v>
      </c>
      <c r="CQ184" s="45">
        <f>+CP186</f>
        <v>50</v>
      </c>
      <c r="CR184" s="45">
        <f>+CQ184</f>
        <v>50</v>
      </c>
      <c r="CS184" s="45">
        <f>+CR184</f>
        <v>50</v>
      </c>
      <c r="CT184" s="45">
        <f>CS184</f>
        <v>50</v>
      </c>
      <c r="CU184" s="45">
        <f>+CQ184</f>
        <v>50</v>
      </c>
      <c r="CV184" s="45">
        <f>+CU186</f>
        <v>234</v>
      </c>
      <c r="CW184" s="45">
        <f>+CV184</f>
        <v>234</v>
      </c>
      <c r="CX184" s="45">
        <f>CW184</f>
        <v>234</v>
      </c>
      <c r="CY184" s="45">
        <f>CX184</f>
        <v>234</v>
      </c>
      <c r="CZ184" s="45">
        <f>+CV184</f>
        <v>234</v>
      </c>
      <c r="DA184" s="45">
        <f>+CZ186</f>
        <v>144</v>
      </c>
      <c r="DB184" s="45">
        <f>+DA184</f>
        <v>144</v>
      </c>
      <c r="DC184" s="1443">
        <f>DB184</f>
        <v>144</v>
      </c>
      <c r="DD184" s="1443">
        <f>DC184</f>
        <v>144</v>
      </c>
      <c r="DE184" s="1443">
        <f>+DA184</f>
        <v>144</v>
      </c>
      <c r="DF184" s="45">
        <f>+DE186</f>
        <v>36</v>
      </c>
      <c r="DG184" s="45">
        <f>+DF184</f>
        <v>36</v>
      </c>
      <c r="DH184" s="1443">
        <f>DG184</f>
        <v>36</v>
      </c>
      <c r="DI184" s="1443">
        <f>DH184</f>
        <v>36</v>
      </c>
      <c r="DJ184" s="1443">
        <f>+DF184</f>
        <v>36</v>
      </c>
      <c r="DK184" s="45">
        <f>+DJ186</f>
        <v>66</v>
      </c>
      <c r="DL184" s="45">
        <f>+DK184</f>
        <v>66</v>
      </c>
      <c r="DM184" s="1443">
        <f>DL184</f>
        <v>66</v>
      </c>
      <c r="DN184" s="1443">
        <f>DM184</f>
        <v>66</v>
      </c>
      <c r="DO184" s="1443">
        <f>+DK184</f>
        <v>66</v>
      </c>
      <c r="DP184" s="45">
        <f>+DO186</f>
        <v>67</v>
      </c>
      <c r="DQ184" s="45">
        <f>+DP184</f>
        <v>67</v>
      </c>
      <c r="DR184" s="1443">
        <f>DQ184</f>
        <v>67</v>
      </c>
      <c r="DS184" s="1443">
        <f>DR184</f>
        <v>67</v>
      </c>
      <c r="DT184" s="1443">
        <f>+DP184</f>
        <v>67</v>
      </c>
      <c r="DU184" s="45">
        <f>+DT186</f>
        <v>56</v>
      </c>
      <c r="DV184" s="45">
        <f>+DU184</f>
        <v>56</v>
      </c>
      <c r="DW184" s="45">
        <f t="shared" ref="DW184" si="511">+DV184</f>
        <v>56</v>
      </c>
      <c r="DX184" s="1443">
        <f>DW184</f>
        <v>56</v>
      </c>
      <c r="DY184" s="1443">
        <f>+DU184</f>
        <v>56</v>
      </c>
    </row>
    <row r="185" spans="1:129" ht="12.75" customHeight="1">
      <c r="A185" s="45"/>
      <c r="B185" s="45"/>
      <c r="C185" s="391" t="s">
        <v>151</v>
      </c>
      <c r="D185" s="45"/>
      <c r="E185" s="335"/>
      <c r="F185" s="336"/>
      <c r="G185" s="336"/>
      <c r="H185" s="588"/>
      <c r="I185" s="647"/>
      <c r="J185" s="335"/>
      <c r="K185" s="336"/>
      <c r="L185" s="336"/>
      <c r="M185" s="588"/>
      <c r="N185" s="647"/>
      <c r="O185" s="335"/>
      <c r="P185" s="336"/>
      <c r="Q185" s="336"/>
      <c r="R185" s="588"/>
      <c r="S185" s="647"/>
      <c r="T185" s="335"/>
      <c r="U185" s="336"/>
      <c r="V185" s="336"/>
      <c r="W185" s="588"/>
      <c r="X185" s="647"/>
      <c r="Y185" s="335"/>
      <c r="Z185" s="336"/>
      <c r="AA185" s="1435"/>
      <c r="AB185" s="1457"/>
      <c r="AC185" s="1466"/>
      <c r="AD185" s="335"/>
      <c r="AE185" s="336"/>
      <c r="AF185" s="1435"/>
      <c r="AG185" s="1457"/>
      <c r="AH185" s="1466"/>
      <c r="AI185" s="335"/>
      <c r="AJ185" s="336"/>
      <c r="AK185" s="1435"/>
      <c r="AL185" s="1457"/>
      <c r="AM185" s="1466"/>
      <c r="AN185" s="335"/>
      <c r="AO185" s="336"/>
      <c r="AP185" s="1435"/>
      <c r="AQ185" s="1457"/>
      <c r="AR185" s="1466"/>
      <c r="AS185" s="335"/>
      <c r="AT185" s="336"/>
      <c r="AU185" s="336"/>
      <c r="AV185" s="1457"/>
      <c r="AW185" s="1466"/>
      <c r="AX185" s="290">
        <f ca="1">IF((AX183+AX184)&gt;=AW192,-AW192,-(AX183+AX184))</f>
        <v>809.59027241063905</v>
      </c>
      <c r="AY185" s="260">
        <f ca="1">IF((AY183+AY184)&gt;=AX192,-AX192,-(AY183+AY184))</f>
        <v>181.06144927076866</v>
      </c>
      <c r="AZ185" s="260">
        <f ca="1">IF((AZ183+AZ184)&gt;=AY192,-AY192,-(AZ183+AZ184))</f>
        <v>-990.65172168140771</v>
      </c>
      <c r="BA185" s="291">
        <f ca="1">IF((BA183+BA184)&gt;=AZ192,-AZ192,-(BA183+BA184))</f>
        <v>0</v>
      </c>
      <c r="BB185" s="45">
        <f ca="1">SUM(AX185:BA185)</f>
        <v>0</v>
      </c>
      <c r="BC185" s="290">
        <f ca="1">IF((BC183+BC184)&gt;=BB192,-BB192,-(BC183+BC184))</f>
        <v>40.597516654313267</v>
      </c>
      <c r="BD185" s="260">
        <f ca="1">IF((BD183+BD184)&gt;=BC192,-BC192,-(BD183+BD184))</f>
        <v>107.7888804246428</v>
      </c>
      <c r="BE185" s="260">
        <f ca="1">IF((BE183+BE184)&gt;=BD192,-BD192,-(BE183+BE184))</f>
        <v>-148.38639707895607</v>
      </c>
      <c r="BF185" s="291">
        <f ca="1">IF((BF183+BF184)&gt;=BE192,-BE192,-(BF183+BF184))</f>
        <v>0</v>
      </c>
      <c r="BG185" s="45">
        <f ca="1">SUM(BC185:BF185)</f>
        <v>0</v>
      </c>
      <c r="BH185" s="290">
        <f ca="1">IF((BH183+BH184)&gt;=BG192,-BG192,-(BH183+BH184))</f>
        <v>52.51755346414933</v>
      </c>
      <c r="BI185" s="260">
        <f ca="1">IF((BI183+BI184)&gt;=BH192,-BH192,-(BI183+BI184))</f>
        <v>132.85751722079272</v>
      </c>
      <c r="BJ185" s="260">
        <f ca="1">IF((BJ183+BJ184)&gt;=BI192,-BI192,-(BJ183+BJ184))</f>
        <v>-185.37507068494205</v>
      </c>
      <c r="BK185" s="291">
        <f ca="1">IF((BK183+BK184)&gt;=BJ192,-BJ192,-(BK183+BK184))</f>
        <v>0</v>
      </c>
      <c r="BL185" s="45">
        <f ca="1">SUM(BH185:BK185)</f>
        <v>0</v>
      </c>
      <c r="BM185" s="290">
        <f ca="1">IF((BM183+BM184)&gt;=BL192,-BL192,-(BM183+BM184))</f>
        <v>37.799959785805697</v>
      </c>
      <c r="BN185" s="260">
        <f ca="1">IF((BN183+BN184)&gt;=BM192,-BM192,-(BN183+BN184))</f>
        <v>99.325292778592882</v>
      </c>
      <c r="BO185" s="260">
        <f ca="1">IF((BO183+BO184)&gt;=BN192,-BN192,-(BO183+BO184))</f>
        <v>-137.12525256439858</v>
      </c>
      <c r="BP185" s="291">
        <f ca="1">IF((BP183+BP184)&gt;=BO192,-BO192,-(BP183+BP184))</f>
        <v>0</v>
      </c>
      <c r="BQ185" s="45">
        <f ca="1">SUM(BM185:BP185)</f>
        <v>0</v>
      </c>
      <c r="BR185" s="45"/>
      <c r="BS185" s="45"/>
      <c r="BT185" s="45"/>
      <c r="BU185" s="45"/>
      <c r="BV185" s="45"/>
      <c r="BW185" s="45"/>
      <c r="BX185" s="45"/>
      <c r="BY185" s="45"/>
      <c r="BZ185" s="45"/>
      <c r="CA185" s="45"/>
      <c r="CB185" s="45"/>
      <c r="CC185" s="5"/>
      <c r="CD185" s="5"/>
      <c r="CE185" s="45"/>
      <c r="CF185" s="45"/>
      <c r="CG185" s="45"/>
      <c r="CH185" s="45"/>
      <c r="CI185" s="45"/>
      <c r="CJ185" s="45"/>
      <c r="CK185" s="45"/>
      <c r="CL185" s="45"/>
      <c r="CM185" s="45"/>
      <c r="CN185" s="45"/>
      <c r="CO185" s="45"/>
      <c r="CP185" s="45"/>
      <c r="CQ185" s="45"/>
      <c r="CR185" s="45"/>
      <c r="CS185" s="45"/>
      <c r="CT185" s="45"/>
      <c r="CU185" s="45"/>
      <c r="CV185" s="45"/>
      <c r="CW185" s="45"/>
      <c r="CX185" s="45"/>
      <c r="CY185" s="45"/>
      <c r="CZ185" s="45"/>
      <c r="DA185" s="45"/>
      <c r="DB185" s="45"/>
      <c r="DC185" s="1443"/>
      <c r="DD185" s="1443"/>
      <c r="DE185" s="1443"/>
      <c r="DF185" s="45"/>
      <c r="DG185" s="45"/>
      <c r="DH185" s="1443"/>
      <c r="DI185" s="1443"/>
      <c r="DJ185" s="1443"/>
      <c r="DK185" s="45"/>
      <c r="DL185" s="45"/>
      <c r="DM185" s="1443"/>
      <c r="DN185" s="1443"/>
      <c r="DO185" s="1443"/>
      <c r="DP185" s="45"/>
      <c r="DQ185" s="45"/>
      <c r="DR185" s="1443"/>
      <c r="DS185" s="1443"/>
      <c r="DT185" s="1443"/>
      <c r="DU185" s="45"/>
      <c r="DV185" s="45"/>
      <c r="DW185" s="45"/>
      <c r="DX185" s="1443"/>
      <c r="DY185" s="1443"/>
    </row>
    <row r="186" spans="1:129" ht="12.75" customHeight="1">
      <c r="A186" s="45"/>
      <c r="B186" s="45"/>
      <c r="C186" s="389" t="s">
        <v>221</v>
      </c>
      <c r="D186" s="45"/>
      <c r="E186" s="292">
        <f t="shared" ref="E186:V186" si="512">E185+E184+E183</f>
        <v>43</v>
      </c>
      <c r="F186" s="261">
        <f t="shared" si="512"/>
        <v>55</v>
      </c>
      <c r="G186" s="261">
        <f t="shared" si="512"/>
        <v>58</v>
      </c>
      <c r="H186" s="293">
        <f t="shared" si="512"/>
        <v>91</v>
      </c>
      <c r="I186" s="583">
        <f t="shared" si="512"/>
        <v>91</v>
      </c>
      <c r="J186" s="292">
        <f t="shared" si="512"/>
        <v>40</v>
      </c>
      <c r="K186" s="261">
        <f t="shared" si="512"/>
        <v>41</v>
      </c>
      <c r="L186" s="261">
        <f t="shared" si="512"/>
        <v>34</v>
      </c>
      <c r="M186" s="293">
        <f t="shared" si="512"/>
        <v>50</v>
      </c>
      <c r="N186" s="583">
        <f t="shared" si="512"/>
        <v>50</v>
      </c>
      <c r="O186" s="292">
        <f t="shared" si="512"/>
        <v>27</v>
      </c>
      <c r="P186" s="261">
        <f t="shared" si="512"/>
        <v>94</v>
      </c>
      <c r="Q186" s="261">
        <f t="shared" si="512"/>
        <v>356</v>
      </c>
      <c r="R186" s="293">
        <f t="shared" si="512"/>
        <v>234</v>
      </c>
      <c r="S186" s="583">
        <f t="shared" si="512"/>
        <v>234</v>
      </c>
      <c r="T186" s="292">
        <f>T185+T184+T183</f>
        <v>19</v>
      </c>
      <c r="U186" s="261">
        <f>U185+U184+U183</f>
        <v>29</v>
      </c>
      <c r="V186" s="261">
        <f t="shared" si="512"/>
        <v>31</v>
      </c>
      <c r="W186" s="293">
        <f t="shared" ref="W186:AE186" si="513">W185+W184+W183</f>
        <v>144</v>
      </c>
      <c r="X186" s="583">
        <f t="shared" si="513"/>
        <v>144</v>
      </c>
      <c r="Y186" s="292">
        <f t="shared" si="513"/>
        <v>30</v>
      </c>
      <c r="Z186" s="261">
        <f t="shared" si="513"/>
        <v>93</v>
      </c>
      <c r="AA186" s="1438">
        <f t="shared" si="513"/>
        <v>34</v>
      </c>
      <c r="AB186" s="1439">
        <f t="shared" si="513"/>
        <v>36</v>
      </c>
      <c r="AC186" s="1464">
        <f t="shared" si="513"/>
        <v>36</v>
      </c>
      <c r="AD186" s="292">
        <f t="shared" si="513"/>
        <v>41</v>
      </c>
      <c r="AE186" s="261">
        <f t="shared" si="513"/>
        <v>38</v>
      </c>
      <c r="AF186" s="1438">
        <f t="shared" ref="AF186:AJ186" si="514">AF185+AF184+AF183</f>
        <v>44</v>
      </c>
      <c r="AG186" s="1439">
        <f t="shared" si="514"/>
        <v>66</v>
      </c>
      <c r="AH186" s="1464">
        <f t="shared" si="514"/>
        <v>66</v>
      </c>
      <c r="AI186" s="292">
        <f t="shared" si="514"/>
        <v>108</v>
      </c>
      <c r="AJ186" s="261">
        <f t="shared" si="514"/>
        <v>51</v>
      </c>
      <c r="AK186" s="1438">
        <f t="shared" ref="AK186:AO186" si="515">AK185+AK184+AK183</f>
        <v>51</v>
      </c>
      <c r="AL186" s="1439">
        <f t="shared" si="515"/>
        <v>67</v>
      </c>
      <c r="AM186" s="1464">
        <f t="shared" si="515"/>
        <v>67</v>
      </c>
      <c r="AN186" s="292">
        <f t="shared" si="515"/>
        <v>21</v>
      </c>
      <c r="AO186" s="261">
        <f t="shared" si="515"/>
        <v>736</v>
      </c>
      <c r="AP186" s="1438">
        <f t="shared" ref="AP186:AT186" si="516">AP185+AP184+AP183</f>
        <v>44</v>
      </c>
      <c r="AQ186" s="1439">
        <f t="shared" si="516"/>
        <v>56</v>
      </c>
      <c r="AR186" s="1464">
        <f t="shared" si="516"/>
        <v>56</v>
      </c>
      <c r="AS186" s="292">
        <f t="shared" si="516"/>
        <v>31</v>
      </c>
      <c r="AT186" s="261">
        <f t="shared" si="516"/>
        <v>39</v>
      </c>
      <c r="AU186" s="261">
        <f t="shared" ref="AU186:AW186" si="517">AU185+AU184+AU183</f>
        <v>257</v>
      </c>
      <c r="AV186" s="1439">
        <f t="shared" si="517"/>
        <v>75</v>
      </c>
      <c r="AW186" s="1464">
        <f t="shared" si="517"/>
        <v>76</v>
      </c>
      <c r="AX186" s="292">
        <f ca="1">AX185+AX184+AX183</f>
        <v>0</v>
      </c>
      <c r="AY186" s="261">
        <f t="shared" ref="AY186:BB186" ca="1" si="518">AY185+AY184+AY183</f>
        <v>0</v>
      </c>
      <c r="AZ186" s="261">
        <f t="shared" ca="1" si="518"/>
        <v>280.75980082158435</v>
      </c>
      <c r="BA186" s="293">
        <f t="shared" ca="1" si="518"/>
        <v>66.693783086822521</v>
      </c>
      <c r="BB186" s="228">
        <f t="shared" ca="1" si="518"/>
        <v>66.693783086822577</v>
      </c>
      <c r="BC186" s="292">
        <f t="shared" ref="BC186:BL186" ca="1" si="519">BC185+BC184+BC183</f>
        <v>0</v>
      </c>
      <c r="BD186" s="261">
        <f t="shared" ca="1" si="519"/>
        <v>0</v>
      </c>
      <c r="BE186" s="261">
        <f t="shared" ca="1" si="519"/>
        <v>215.22907094113293</v>
      </c>
      <c r="BF186" s="293">
        <f t="shared" ca="1" si="519"/>
        <v>79.698171155540649</v>
      </c>
      <c r="BG186" s="228">
        <f t="shared" ca="1" si="519"/>
        <v>79.698171155540649</v>
      </c>
      <c r="BH186" s="292">
        <f t="shared" ca="1" si="519"/>
        <v>0</v>
      </c>
      <c r="BI186" s="261">
        <f t="shared" ca="1" si="519"/>
        <v>0</v>
      </c>
      <c r="BJ186" s="261">
        <f t="shared" ca="1" si="519"/>
        <v>223.50690395900358</v>
      </c>
      <c r="BK186" s="293">
        <f t="shared" ca="1" si="519"/>
        <v>61.178978649365888</v>
      </c>
      <c r="BL186" s="228">
        <f t="shared" ca="1" si="519"/>
        <v>61.178978649365945</v>
      </c>
      <c r="BM186" s="292">
        <f t="shared" ref="BM186:BQ186" ca="1" si="520">BM185+BM184+BM183</f>
        <v>0</v>
      </c>
      <c r="BN186" s="261">
        <f t="shared" ca="1" si="520"/>
        <v>0</v>
      </c>
      <c r="BO186" s="261">
        <f t="shared" ca="1" si="520"/>
        <v>204.18838572354912</v>
      </c>
      <c r="BP186" s="293">
        <f t="shared" ca="1" si="520"/>
        <v>75.92286753052764</v>
      </c>
      <c r="BQ186" s="228">
        <f t="shared" ca="1" si="520"/>
        <v>75.92286753052781</v>
      </c>
      <c r="BR186" s="45"/>
      <c r="BS186" s="45"/>
      <c r="BT186" s="45"/>
      <c r="BU186" s="45"/>
      <c r="BV186" s="45"/>
      <c r="BW186" s="45"/>
      <c r="BX186" s="45"/>
      <c r="BY186" s="45"/>
      <c r="BZ186" s="45"/>
      <c r="CA186" s="45"/>
      <c r="CB186" s="45"/>
      <c r="CC186" s="5"/>
      <c r="CD186" s="5"/>
      <c r="CE186" s="45"/>
      <c r="CF186" s="45"/>
      <c r="CG186" s="583">
        <f t="shared" ref="CG186:CV186" si="521">CG183+CG184</f>
        <v>43</v>
      </c>
      <c r="CH186" s="583">
        <f t="shared" si="521"/>
        <v>55</v>
      </c>
      <c r="CI186" s="583">
        <f t="shared" si="521"/>
        <v>58</v>
      </c>
      <c r="CJ186" s="583">
        <f t="shared" si="521"/>
        <v>91</v>
      </c>
      <c r="CK186" s="583">
        <f t="shared" si="521"/>
        <v>91</v>
      </c>
      <c r="CL186" s="583">
        <f t="shared" si="521"/>
        <v>40</v>
      </c>
      <c r="CM186" s="583">
        <f t="shared" si="521"/>
        <v>41</v>
      </c>
      <c r="CN186" s="583">
        <f t="shared" si="521"/>
        <v>34</v>
      </c>
      <c r="CO186" s="583">
        <f t="shared" si="521"/>
        <v>50</v>
      </c>
      <c r="CP186" s="583">
        <f t="shared" si="521"/>
        <v>50</v>
      </c>
      <c r="CQ186" s="583">
        <f t="shared" si="521"/>
        <v>27</v>
      </c>
      <c r="CR186" s="583">
        <f t="shared" si="521"/>
        <v>94</v>
      </c>
      <c r="CS186" s="583">
        <f t="shared" si="521"/>
        <v>356</v>
      </c>
      <c r="CT186" s="583">
        <f t="shared" si="521"/>
        <v>234</v>
      </c>
      <c r="CU186" s="583">
        <f t="shared" si="521"/>
        <v>234</v>
      </c>
      <c r="CV186" s="583">
        <f t="shared" si="521"/>
        <v>19</v>
      </c>
      <c r="CW186" s="583">
        <f t="shared" ref="CW186:DB186" si="522">CW183+CW184</f>
        <v>29</v>
      </c>
      <c r="CX186" s="583">
        <f t="shared" si="522"/>
        <v>31</v>
      </c>
      <c r="CY186" s="583">
        <f t="shared" si="522"/>
        <v>144</v>
      </c>
      <c r="CZ186" s="583">
        <f t="shared" si="522"/>
        <v>144</v>
      </c>
      <c r="DA186" s="583">
        <f t="shared" si="522"/>
        <v>30</v>
      </c>
      <c r="DB186" s="583">
        <f t="shared" si="522"/>
        <v>93</v>
      </c>
      <c r="DC186" s="1464">
        <f t="shared" ref="DC186:DJ186" si="523">DC183+DC184</f>
        <v>34</v>
      </c>
      <c r="DD186" s="1464">
        <f t="shared" si="523"/>
        <v>36</v>
      </c>
      <c r="DE186" s="1464">
        <f t="shared" si="523"/>
        <v>36</v>
      </c>
      <c r="DF186" s="583">
        <f t="shared" si="523"/>
        <v>41</v>
      </c>
      <c r="DG186" s="583">
        <f t="shared" si="523"/>
        <v>38</v>
      </c>
      <c r="DH186" s="1464">
        <f t="shared" si="523"/>
        <v>44</v>
      </c>
      <c r="DI186" s="1464">
        <f t="shared" si="523"/>
        <v>66</v>
      </c>
      <c r="DJ186" s="1464">
        <f t="shared" si="523"/>
        <v>66</v>
      </c>
      <c r="DK186" s="583">
        <f t="shared" ref="DK186:DO186" si="524">DK183+DK184</f>
        <v>108</v>
      </c>
      <c r="DL186" s="583">
        <f t="shared" si="524"/>
        <v>51</v>
      </c>
      <c r="DM186" s="1464">
        <f t="shared" si="524"/>
        <v>51</v>
      </c>
      <c r="DN186" s="1464">
        <f t="shared" si="524"/>
        <v>67</v>
      </c>
      <c r="DO186" s="1464">
        <f t="shared" si="524"/>
        <v>67</v>
      </c>
      <c r="DP186" s="583">
        <f t="shared" ref="DP186:DT186" si="525">DP183+DP184</f>
        <v>21</v>
      </c>
      <c r="DQ186" s="583">
        <f t="shared" si="525"/>
        <v>736</v>
      </c>
      <c r="DR186" s="1464">
        <f t="shared" si="525"/>
        <v>44</v>
      </c>
      <c r="DS186" s="1464">
        <f t="shared" si="525"/>
        <v>56</v>
      </c>
      <c r="DT186" s="1464">
        <f t="shared" si="525"/>
        <v>56</v>
      </c>
      <c r="DU186" s="583">
        <f t="shared" ref="DU186:DV186" si="526">DU183+DU184</f>
        <v>31</v>
      </c>
      <c r="DV186" s="583">
        <f t="shared" si="526"/>
        <v>39</v>
      </c>
      <c r="DW186" s="583">
        <f t="shared" ref="DW186:DY186" si="527">DW183+DW184</f>
        <v>257</v>
      </c>
      <c r="DX186" s="1464">
        <f t="shared" si="527"/>
        <v>76</v>
      </c>
      <c r="DY186" s="1464">
        <f t="shared" si="527"/>
        <v>76</v>
      </c>
    </row>
    <row r="187" spans="1:129" ht="12.75" customHeight="1">
      <c r="A187" s="383"/>
      <c r="B187" s="383"/>
      <c r="C187" s="383"/>
      <c r="D187" s="383"/>
      <c r="E187" s="595"/>
      <c r="F187" s="460"/>
      <c r="G187" s="460"/>
      <c r="H187" s="596"/>
      <c r="I187" s="461"/>
      <c r="J187" s="595"/>
      <c r="K187" s="460"/>
      <c r="L187" s="460"/>
      <c r="M187" s="596"/>
      <c r="N187" s="461"/>
      <c r="O187" s="595"/>
      <c r="P187" s="460"/>
      <c r="Q187" s="614"/>
      <c r="R187" s="615"/>
      <c r="S187" s="383"/>
      <c r="T187" s="613"/>
      <c r="U187" s="614"/>
      <c r="V187" s="614"/>
      <c r="W187" s="615"/>
      <c r="X187" s="383"/>
      <c r="Y187" s="613"/>
      <c r="Z187" s="614"/>
      <c r="AA187" s="614"/>
      <c r="AB187" s="615"/>
      <c r="AC187" s="383"/>
      <c r="AD187" s="613"/>
      <c r="AE187" s="614"/>
      <c r="AF187" s="614"/>
      <c r="AG187" s="615"/>
      <c r="AH187" s="383"/>
      <c r="AI187" s="613"/>
      <c r="AJ187" s="614"/>
      <c r="AK187" s="614"/>
      <c r="AL187" s="615"/>
      <c r="AM187" s="383"/>
      <c r="AN187" s="613"/>
      <c r="AO187" s="614"/>
      <c r="AP187" s="614"/>
      <c r="AQ187" s="615"/>
      <c r="AR187" s="383"/>
      <c r="AS187" s="613"/>
      <c r="AT187" s="614"/>
      <c r="AU187" s="614"/>
      <c r="AV187" s="615"/>
      <c r="AW187" s="383"/>
      <c r="AX187" s="613"/>
      <c r="AY187" s="614"/>
      <c r="AZ187" s="614"/>
      <c r="BA187" s="615"/>
      <c r="BB187" s="383"/>
      <c r="BC187" s="613"/>
      <c r="BD187" s="614"/>
      <c r="BE187" s="614"/>
      <c r="BF187" s="615"/>
      <c r="BG187" s="383"/>
      <c r="BH187" s="613"/>
      <c r="BI187" s="614"/>
      <c r="BJ187" s="614"/>
      <c r="BK187" s="615"/>
      <c r="BL187" s="383"/>
      <c r="BM187" s="613"/>
      <c r="BN187" s="614"/>
      <c r="BO187" s="614"/>
      <c r="BP187" s="615"/>
      <c r="BQ187" s="383"/>
      <c r="BR187" s="383"/>
      <c r="BS187" s="383"/>
      <c r="BT187" s="383"/>
      <c r="BU187" s="383"/>
      <c r="BV187" s="383"/>
      <c r="BW187" s="383"/>
      <c r="BX187" s="383"/>
      <c r="BY187" s="383"/>
      <c r="BZ187" s="383"/>
      <c r="CA187" s="383"/>
      <c r="CB187" s="383"/>
      <c r="CC187" s="5"/>
      <c r="CD187" s="5"/>
      <c r="CE187" s="383"/>
      <c r="CF187" s="383"/>
      <c r="CG187" s="383"/>
      <c r="CH187" s="383"/>
      <c r="CI187" s="383"/>
      <c r="CJ187" s="383"/>
      <c r="CK187" s="383"/>
      <c r="CL187" s="383"/>
      <c r="CM187" s="383"/>
      <c r="CN187" s="383"/>
      <c r="CO187" s="383"/>
      <c r="CP187" s="383"/>
      <c r="CQ187" s="383"/>
      <c r="CR187" s="383"/>
      <c r="CS187" s="383"/>
      <c r="CT187" s="383"/>
      <c r="CU187" s="383"/>
    </row>
    <row r="188" spans="1:129" ht="12.75" customHeight="1">
      <c r="A188" s="383"/>
      <c r="B188" s="383"/>
      <c r="C188" s="383"/>
      <c r="D188" s="383"/>
      <c r="E188" s="613"/>
      <c r="F188" s="614"/>
      <c r="G188" s="614"/>
      <c r="H188" s="615"/>
      <c r="I188" s="383"/>
      <c r="J188" s="613"/>
      <c r="K188" s="614"/>
      <c r="L188" s="614"/>
      <c r="M188" s="615"/>
      <c r="N188" s="383"/>
      <c r="O188" s="613"/>
      <c r="P188" s="614"/>
      <c r="Q188" s="614"/>
      <c r="R188" s="615"/>
      <c r="S188" s="383"/>
      <c r="T188" s="613"/>
      <c r="U188" s="614"/>
      <c r="V188" s="614"/>
      <c r="W188" s="615"/>
      <c r="X188" s="383"/>
      <c r="Y188" s="613"/>
      <c r="Z188" s="614"/>
      <c r="AA188" s="614"/>
      <c r="AB188" s="615"/>
      <c r="AC188" s="383"/>
      <c r="AD188" s="613"/>
      <c r="AE188" s="614"/>
      <c r="AF188" s="614"/>
      <c r="AG188" s="615"/>
      <c r="AH188" s="383"/>
      <c r="AI188" s="613"/>
      <c r="AJ188" s="614"/>
      <c r="AK188" s="614"/>
      <c r="AL188" s="615"/>
      <c r="AM188" s="383"/>
      <c r="AN188" s="613"/>
      <c r="AO188" s="614"/>
      <c r="AP188" s="614"/>
      <c r="AQ188" s="615"/>
      <c r="AR188" s="383"/>
      <c r="AS188" s="613"/>
      <c r="AT188" s="614"/>
      <c r="AU188" s="614"/>
      <c r="AV188" s="615"/>
      <c r="AW188" s="383"/>
      <c r="AX188" s="613"/>
      <c r="AY188" s="614"/>
      <c r="AZ188" s="614"/>
      <c r="BA188" s="615"/>
      <c r="BB188" s="383"/>
      <c r="BC188" s="613"/>
      <c r="BD188" s="614"/>
      <c r="BE188" s="614"/>
      <c r="BF188" s="615"/>
      <c r="BG188" s="383"/>
      <c r="BH188" s="613"/>
      <c r="BI188" s="614"/>
      <c r="BJ188" s="614"/>
      <c r="BK188" s="615"/>
      <c r="BL188" s="383"/>
      <c r="BM188" s="613"/>
      <c r="BN188" s="614"/>
      <c r="BO188" s="614"/>
      <c r="BP188" s="615"/>
      <c r="BQ188" s="383"/>
      <c r="BR188" s="383"/>
      <c r="BS188" s="383"/>
      <c r="BT188" s="383"/>
      <c r="BU188" s="383"/>
      <c r="BV188" s="383"/>
      <c r="BW188" s="383"/>
      <c r="BX188" s="383"/>
      <c r="BY188" s="383"/>
      <c r="BZ188" s="383"/>
      <c r="CA188" s="383"/>
      <c r="CB188" s="383"/>
      <c r="CC188" s="5"/>
      <c r="CD188" s="5"/>
      <c r="CE188" s="383"/>
      <c r="CF188" s="383"/>
      <c r="CG188" s="383"/>
      <c r="CH188" s="383"/>
      <c r="CI188" s="383"/>
      <c r="CJ188" s="383"/>
      <c r="CK188" s="383"/>
      <c r="CL188" s="383"/>
      <c r="CM188" s="383"/>
      <c r="CN188" s="383"/>
      <c r="CO188" s="383"/>
      <c r="CP188" s="383"/>
      <c r="CQ188" s="383"/>
      <c r="CR188" s="383"/>
      <c r="CS188" s="383"/>
      <c r="CT188" s="383"/>
      <c r="CU188" s="383"/>
    </row>
    <row r="189" spans="1:129" ht="12.75" customHeight="1">
      <c r="A189" s="383"/>
      <c r="B189" s="379" t="s">
        <v>315</v>
      </c>
      <c r="C189" s="658"/>
      <c r="D189" s="659"/>
      <c r="E189" s="613"/>
      <c r="F189" s="614"/>
      <c r="G189" s="614"/>
      <c r="H189" s="615"/>
      <c r="I189" s="383"/>
      <c r="J189" s="613"/>
      <c r="K189" s="614"/>
      <c r="L189" s="614"/>
      <c r="M189" s="615"/>
      <c r="N189" s="383"/>
      <c r="O189" s="613"/>
      <c r="P189" s="614"/>
      <c r="Q189" s="614"/>
      <c r="R189" s="615"/>
      <c r="S189" s="383"/>
      <c r="T189" s="613"/>
      <c r="U189" s="614"/>
      <c r="V189" s="614"/>
      <c r="W189" s="615"/>
      <c r="X189" s="383"/>
      <c r="Y189" s="613"/>
      <c r="Z189" s="614"/>
      <c r="AA189" s="614"/>
      <c r="AB189" s="615"/>
      <c r="AC189" s="383"/>
      <c r="AD189" s="613"/>
      <c r="AE189" s="614"/>
      <c r="AF189" s="614"/>
      <c r="AG189" s="615"/>
      <c r="AH189" s="383"/>
      <c r="AI189" s="613"/>
      <c r="AJ189" s="614"/>
      <c r="AK189" s="614"/>
      <c r="AL189" s="615"/>
      <c r="AM189" s="383"/>
      <c r="AN189" s="613"/>
      <c r="AO189" s="614"/>
      <c r="AP189" s="614"/>
      <c r="AQ189" s="615"/>
      <c r="AR189" s="383"/>
      <c r="AS189" s="613"/>
      <c r="AT189" s="614"/>
      <c r="AU189" s="614"/>
      <c r="AV189" s="615"/>
      <c r="AW189" s="383"/>
      <c r="AX189" s="613"/>
      <c r="AY189" s="614"/>
      <c r="AZ189" s="614"/>
      <c r="BA189" s="615"/>
      <c r="BB189" s="383"/>
      <c r="BC189" s="613"/>
      <c r="BD189" s="614"/>
      <c r="BE189" s="614"/>
      <c r="BF189" s="615"/>
      <c r="BG189" s="383"/>
      <c r="BH189" s="613"/>
      <c r="BI189" s="614"/>
      <c r="BJ189" s="614"/>
      <c r="BK189" s="615"/>
      <c r="BL189" s="383"/>
      <c r="BM189" s="613"/>
      <c r="BN189" s="614"/>
      <c r="BO189" s="614"/>
      <c r="BP189" s="615"/>
      <c r="BQ189" s="383"/>
      <c r="BR189" s="383"/>
      <c r="BS189" s="383"/>
      <c r="BT189" s="383"/>
      <c r="BU189" s="383"/>
      <c r="BV189" s="383"/>
      <c r="BW189" s="383"/>
      <c r="BX189" s="383"/>
      <c r="BY189" s="383"/>
      <c r="BZ189" s="383"/>
      <c r="CA189" s="383"/>
      <c r="CB189" s="383"/>
      <c r="CC189" s="5"/>
      <c r="CD189" s="5"/>
      <c r="CE189" s="383"/>
      <c r="CF189" s="383"/>
      <c r="CG189" s="383"/>
      <c r="CH189" s="383"/>
      <c r="CI189" s="383"/>
      <c r="CJ189" s="383"/>
      <c r="CK189" s="383"/>
      <c r="CL189" s="383"/>
      <c r="CM189" s="383"/>
      <c r="CN189" s="383"/>
      <c r="CO189" s="383"/>
      <c r="CP189" s="383"/>
      <c r="CQ189" s="383"/>
      <c r="CR189" s="383"/>
      <c r="CS189" s="383"/>
      <c r="CT189" s="383"/>
      <c r="CU189" s="383"/>
    </row>
    <row r="190" spans="1:129" ht="12.75" customHeight="1">
      <c r="A190" s="45"/>
      <c r="B190" s="45"/>
      <c r="C190" s="391" t="s">
        <v>316</v>
      </c>
      <c r="D190" s="45"/>
      <c r="E190" s="335">
        <v>43</v>
      </c>
      <c r="F190" s="336">
        <v>55</v>
      </c>
      <c r="G190" s="336">
        <v>58</v>
      </c>
      <c r="H190" s="299">
        <f>I190</f>
        <v>91</v>
      </c>
      <c r="I190" s="645">
        <v>91</v>
      </c>
      <c r="J190" s="335">
        <v>40</v>
      </c>
      <c r="K190" s="336">
        <v>41</v>
      </c>
      <c r="L190" s="336">
        <v>34</v>
      </c>
      <c r="M190" s="299">
        <f>N190</f>
        <v>50</v>
      </c>
      <c r="N190" s="645">
        <v>50</v>
      </c>
      <c r="O190" s="335">
        <v>27</v>
      </c>
      <c r="P190" s="336">
        <v>94</v>
      </c>
      <c r="Q190" s="336">
        <v>356</v>
      </c>
      <c r="R190" s="299">
        <f>S190</f>
        <v>234</v>
      </c>
      <c r="S190" s="645">
        <v>234</v>
      </c>
      <c r="T190" s="335">
        <v>19</v>
      </c>
      <c r="U190" s="336">
        <v>29</v>
      </c>
      <c r="V190" s="336">
        <v>31</v>
      </c>
      <c r="W190" s="299">
        <f>X190</f>
        <v>144</v>
      </c>
      <c r="X190" s="427">
        <v>144</v>
      </c>
      <c r="Y190" s="335">
        <v>30</v>
      </c>
      <c r="Z190" s="336">
        <v>93</v>
      </c>
      <c r="AA190" s="1435">
        <v>34</v>
      </c>
      <c r="AB190" s="1442">
        <f>AC190</f>
        <v>36</v>
      </c>
      <c r="AC190" s="1437">
        <v>36</v>
      </c>
      <c r="AD190" s="335">
        <v>41</v>
      </c>
      <c r="AE190" s="336">
        <v>38</v>
      </c>
      <c r="AF190" s="1435">
        <v>44</v>
      </c>
      <c r="AG190" s="1442">
        <f>AH190</f>
        <v>66</v>
      </c>
      <c r="AH190" s="1437">
        <v>66</v>
      </c>
      <c r="AI190" s="335">
        <v>108</v>
      </c>
      <c r="AJ190" s="336">
        <v>51</v>
      </c>
      <c r="AK190" s="1435">
        <v>51</v>
      </c>
      <c r="AL190" s="1442">
        <f>AM190</f>
        <v>67</v>
      </c>
      <c r="AM190" s="1437">
        <v>67</v>
      </c>
      <c r="AN190" s="335">
        <v>21</v>
      </c>
      <c r="AO190" s="336">
        <v>736</v>
      </c>
      <c r="AP190" s="1435">
        <v>44</v>
      </c>
      <c r="AQ190" s="1442">
        <f>AR190</f>
        <v>56</v>
      </c>
      <c r="AR190" s="1437">
        <v>56</v>
      </c>
      <c r="AS190" s="335">
        <v>31</v>
      </c>
      <c r="AT190" s="336">
        <v>39</v>
      </c>
      <c r="AU190" s="336">
        <v>257</v>
      </c>
      <c r="AV190" s="1442">
        <f>AW190</f>
        <v>76</v>
      </c>
      <c r="AW190" s="1437">
        <v>76</v>
      </c>
      <c r="AX190" s="290">
        <f ca="1">+AX186</f>
        <v>0</v>
      </c>
      <c r="AY190" s="260">
        <f t="shared" ref="AY190:BB190" ca="1" si="528">+AY186</f>
        <v>0</v>
      </c>
      <c r="AZ190" s="260">
        <f t="shared" ca="1" si="528"/>
        <v>280.75980082158435</v>
      </c>
      <c r="BA190" s="291">
        <f t="shared" ca="1" si="528"/>
        <v>66.693783086822521</v>
      </c>
      <c r="BB190" s="45">
        <f t="shared" ca="1" si="528"/>
        <v>66.693783086822577</v>
      </c>
      <c r="BC190" s="290">
        <f t="shared" ref="BC190:BL190" ca="1" si="529">+BC186</f>
        <v>0</v>
      </c>
      <c r="BD190" s="260">
        <f t="shared" ca="1" si="529"/>
        <v>0</v>
      </c>
      <c r="BE190" s="260">
        <f t="shared" ca="1" si="529"/>
        <v>215.22907094113293</v>
      </c>
      <c r="BF190" s="291">
        <f t="shared" ca="1" si="529"/>
        <v>79.698171155540649</v>
      </c>
      <c r="BG190" s="45">
        <f t="shared" ca="1" si="529"/>
        <v>79.698171155540649</v>
      </c>
      <c r="BH190" s="290">
        <f t="shared" ca="1" si="529"/>
        <v>0</v>
      </c>
      <c r="BI190" s="260">
        <f t="shared" ca="1" si="529"/>
        <v>0</v>
      </c>
      <c r="BJ190" s="260">
        <f t="shared" ca="1" si="529"/>
        <v>223.50690395900358</v>
      </c>
      <c r="BK190" s="291">
        <f t="shared" ca="1" si="529"/>
        <v>61.178978649365888</v>
      </c>
      <c r="BL190" s="45">
        <f t="shared" ca="1" si="529"/>
        <v>61.178978649365945</v>
      </c>
      <c r="BM190" s="290">
        <f t="shared" ref="BM190:BQ190" ca="1" si="530">+BM186</f>
        <v>0</v>
      </c>
      <c r="BN190" s="260">
        <f t="shared" ca="1" si="530"/>
        <v>0</v>
      </c>
      <c r="BO190" s="260">
        <f t="shared" ca="1" si="530"/>
        <v>204.18838572354912</v>
      </c>
      <c r="BP190" s="291">
        <f t="shared" ca="1" si="530"/>
        <v>75.92286753052764</v>
      </c>
      <c r="BQ190" s="45">
        <f t="shared" ca="1" si="530"/>
        <v>75.92286753052781</v>
      </c>
      <c r="BR190" s="45"/>
      <c r="BS190" s="45"/>
      <c r="BT190" s="45"/>
      <c r="BU190" s="45"/>
      <c r="BV190" s="45"/>
      <c r="BW190" s="45"/>
      <c r="BX190" s="45"/>
      <c r="BY190" s="45"/>
      <c r="BZ190" s="45"/>
      <c r="CA190" s="45"/>
      <c r="CB190" s="45"/>
      <c r="CC190" s="5"/>
      <c r="CD190" s="5"/>
      <c r="CE190" s="45"/>
      <c r="CF190" s="45"/>
      <c r="CG190" s="45"/>
      <c r="CH190" s="45"/>
      <c r="CI190" s="45"/>
      <c r="CJ190" s="45"/>
      <c r="CK190" s="45"/>
      <c r="CL190" s="45"/>
      <c r="CM190" s="45"/>
      <c r="CN190" s="45"/>
      <c r="CO190" s="45"/>
      <c r="CP190" s="45"/>
      <c r="CQ190" s="45"/>
      <c r="CR190" s="45"/>
      <c r="CS190" s="45"/>
      <c r="CT190" s="45"/>
      <c r="CU190" s="45"/>
    </row>
    <row r="191" spans="1:129" ht="12.75" customHeight="1">
      <c r="A191" s="45"/>
      <c r="B191" s="45"/>
      <c r="C191" s="391"/>
      <c r="D191" s="45"/>
      <c r="E191" s="662"/>
      <c r="F191" s="663"/>
      <c r="G191" s="663"/>
      <c r="H191" s="664"/>
      <c r="I191" s="665"/>
      <c r="J191" s="662"/>
      <c r="K191" s="663"/>
      <c r="L191" s="663"/>
      <c r="M191" s="664"/>
      <c r="N191" s="665"/>
      <c r="O191" s="662"/>
      <c r="P191" s="663"/>
      <c r="Q191" s="663"/>
      <c r="R191" s="664"/>
      <c r="S191" s="665"/>
      <c r="T191" s="662"/>
      <c r="U191" s="663"/>
      <c r="V191" s="663"/>
      <c r="W191" s="664"/>
      <c r="X191" s="665"/>
      <c r="Y191" s="662"/>
      <c r="Z191" s="663"/>
      <c r="AA191" s="1469"/>
      <c r="AB191" s="1470"/>
      <c r="AC191" s="1471"/>
      <c r="AD191" s="662"/>
      <c r="AE191" s="663"/>
      <c r="AF191" s="1469"/>
      <c r="AG191" s="1470"/>
      <c r="AH191" s="1471"/>
      <c r="AI191" s="662"/>
      <c r="AJ191" s="663"/>
      <c r="AK191" s="1469"/>
      <c r="AL191" s="1470"/>
      <c r="AM191" s="1471"/>
      <c r="AN191" s="662"/>
      <c r="AO191" s="663"/>
      <c r="AP191" s="1469"/>
      <c r="AQ191" s="1470"/>
      <c r="AR191" s="1471"/>
      <c r="AS191" s="662"/>
      <c r="AT191" s="663"/>
      <c r="AU191" s="663"/>
      <c r="AV191" s="1470"/>
      <c r="AW191" s="1471"/>
      <c r="AX191" s="290"/>
      <c r="AY191" s="260"/>
      <c r="AZ191" s="260"/>
      <c r="BA191" s="291"/>
      <c r="BB191" s="45"/>
      <c r="BC191" s="290"/>
      <c r="BD191" s="260"/>
      <c r="BE191" s="260"/>
      <c r="BF191" s="291"/>
      <c r="BG191" s="45"/>
      <c r="BH191" s="290"/>
      <c r="BI191" s="260"/>
      <c r="BJ191" s="260"/>
      <c r="BK191" s="291"/>
      <c r="BL191" s="45"/>
      <c r="BM191" s="290"/>
      <c r="BN191" s="260"/>
      <c r="BO191" s="260"/>
      <c r="BP191" s="291"/>
      <c r="BQ191" s="45"/>
      <c r="BR191" s="45"/>
      <c r="BS191" s="45"/>
      <c r="BT191" s="45"/>
      <c r="BU191" s="45"/>
      <c r="BV191" s="45"/>
      <c r="BW191" s="45"/>
      <c r="BX191" s="45"/>
      <c r="BY191" s="45"/>
      <c r="BZ191" s="45"/>
      <c r="CA191" s="45"/>
      <c r="CB191" s="45"/>
      <c r="CC191" s="5"/>
      <c r="CD191" s="5"/>
      <c r="CE191" s="45"/>
      <c r="CF191" s="45"/>
      <c r="CG191" s="45"/>
      <c r="CH191" s="45"/>
      <c r="CI191" s="45"/>
      <c r="CJ191" s="45"/>
      <c r="CK191" s="45"/>
      <c r="CL191" s="45"/>
      <c r="CM191" s="45"/>
      <c r="CN191" s="45"/>
      <c r="CO191" s="45"/>
      <c r="CP191" s="45"/>
      <c r="CQ191" s="45"/>
      <c r="CR191" s="45"/>
      <c r="CS191" s="45"/>
      <c r="CT191" s="45"/>
      <c r="CU191" s="45"/>
    </row>
    <row r="192" spans="1:129" ht="12.75" customHeight="1">
      <c r="A192" s="45"/>
      <c r="B192" s="45"/>
      <c r="C192" s="391" t="s">
        <v>317</v>
      </c>
      <c r="D192" s="45"/>
      <c r="E192" s="335">
        <v>175</v>
      </c>
      <c r="F192" s="336">
        <v>45</v>
      </c>
      <c r="G192" s="336">
        <v>140</v>
      </c>
      <c r="H192" s="299">
        <f>I192</f>
        <v>155</v>
      </c>
      <c r="I192" s="645">
        <v>155</v>
      </c>
      <c r="J192" s="335">
        <v>256</v>
      </c>
      <c r="K192" s="336">
        <v>289</v>
      </c>
      <c r="L192" s="336">
        <v>65</v>
      </c>
      <c r="M192" s="299">
        <f>N192</f>
        <v>0</v>
      </c>
      <c r="N192" s="645">
        <v>0</v>
      </c>
      <c r="O192" s="335">
        <v>50</v>
      </c>
      <c r="P192" s="336">
        <v>0</v>
      </c>
      <c r="Q192" s="336">
        <v>0</v>
      </c>
      <c r="R192" s="299">
        <f>S192</f>
        <v>0</v>
      </c>
      <c r="S192" s="645">
        <v>0</v>
      </c>
      <c r="T192" s="335">
        <f>302</f>
        <v>302</v>
      </c>
      <c r="U192" s="336">
        <v>178</v>
      </c>
      <c r="V192" s="336">
        <v>35</v>
      </c>
      <c r="W192" s="299">
        <f>X192</f>
        <v>0</v>
      </c>
      <c r="X192" s="427">
        <v>0</v>
      </c>
      <c r="Y192" s="335">
        <v>220</v>
      </c>
      <c r="Z192" s="336">
        <v>374</v>
      </c>
      <c r="AA192" s="1435">
        <v>153</v>
      </c>
      <c r="AB192" s="1442">
        <f>AC192</f>
        <v>184</v>
      </c>
      <c r="AC192" s="1437">
        <v>184</v>
      </c>
      <c r="AD192" s="335">
        <v>534</v>
      </c>
      <c r="AE192" s="336">
        <v>498</v>
      </c>
      <c r="AF192" s="1435">
        <v>528</v>
      </c>
      <c r="AG192" s="1442">
        <f>AH192</f>
        <v>304</v>
      </c>
      <c r="AH192" s="1437">
        <v>304</v>
      </c>
      <c r="AI192" s="335">
        <v>283</v>
      </c>
      <c r="AJ192" s="336">
        <v>503</v>
      </c>
      <c r="AK192" s="1435">
        <v>604</v>
      </c>
      <c r="AL192" s="1442">
        <f>AM192</f>
        <v>294</v>
      </c>
      <c r="AM192" s="1437">
        <v>294</v>
      </c>
      <c r="AN192" s="335">
        <v>643</v>
      </c>
      <c r="AO192" s="336">
        <v>35</v>
      </c>
      <c r="AP192" s="1435">
        <v>10</v>
      </c>
      <c r="AQ192" s="1442">
        <f>AR192</f>
        <v>0</v>
      </c>
      <c r="AR192" s="1437">
        <v>0</v>
      </c>
      <c r="AS192" s="335">
        <v>365</v>
      </c>
      <c r="AT192" s="336">
        <v>389</v>
      </c>
      <c r="AU192" s="336">
        <v>0</v>
      </c>
      <c r="AV192" s="1442">
        <f>AW192</f>
        <v>0</v>
      </c>
      <c r="AW192" s="1437">
        <v>0</v>
      </c>
      <c r="AX192" s="290">
        <f ca="1">+AW192+AX185+AX178</f>
        <v>809.59027241063905</v>
      </c>
      <c r="AY192" s="260">
        <f ca="1">+AX192+AY185+AY178</f>
        <v>990.65172168140771</v>
      </c>
      <c r="AZ192" s="260">
        <f ca="1">+AY192+AZ185+AZ178</f>
        <v>0</v>
      </c>
      <c r="BA192" s="291">
        <f ca="1">+AZ192+BA185+BA178</f>
        <v>0</v>
      </c>
      <c r="BB192" s="45">
        <f ca="1">+BA192</f>
        <v>0</v>
      </c>
      <c r="BC192" s="290">
        <f ca="1">+BB192+BC185+BC178</f>
        <v>40.597516654313267</v>
      </c>
      <c r="BD192" s="260">
        <f ca="1">+BC192+BD185+BD178</f>
        <v>148.38639707895607</v>
      </c>
      <c r="BE192" s="260">
        <f ca="1">+BD192+BE185+BE178</f>
        <v>0</v>
      </c>
      <c r="BF192" s="291">
        <f ca="1">+BE192+BF185+BF178</f>
        <v>0</v>
      </c>
      <c r="BG192" s="45">
        <f ca="1">+BF192</f>
        <v>0</v>
      </c>
      <c r="BH192" s="290">
        <f ca="1">+BG192+BH185+BH178</f>
        <v>52.51755346414933</v>
      </c>
      <c r="BI192" s="260">
        <f ca="1">+BH192+BI185+BI178</f>
        <v>185.37507068494205</v>
      </c>
      <c r="BJ192" s="260">
        <f ca="1">+BI192+BJ185+BJ178</f>
        <v>0</v>
      </c>
      <c r="BK192" s="291">
        <f ca="1">+BJ192+BK185+BK178</f>
        <v>0</v>
      </c>
      <c r="BL192" s="45">
        <f ca="1">+BK192</f>
        <v>0</v>
      </c>
      <c r="BM192" s="290">
        <f ca="1">+BL192+BM185+BM178</f>
        <v>37.799959785805697</v>
      </c>
      <c r="BN192" s="260">
        <f ca="1">+BM192+BN185+BN178</f>
        <v>137.12525256439858</v>
      </c>
      <c r="BO192" s="260">
        <f ca="1">+BN192+BO185+BO178</f>
        <v>0</v>
      </c>
      <c r="BP192" s="291">
        <f ca="1">+BO192+BP185+BP178</f>
        <v>0</v>
      </c>
      <c r="BQ192" s="45">
        <f ca="1">+BP192</f>
        <v>0</v>
      </c>
      <c r="BR192" s="45"/>
      <c r="BS192" s="45"/>
      <c r="BT192" s="45"/>
      <c r="BU192" s="45"/>
      <c r="BV192" s="45"/>
      <c r="BW192" s="45"/>
      <c r="BX192" s="45"/>
      <c r="BY192" s="45"/>
      <c r="BZ192" s="45"/>
      <c r="CA192" s="45"/>
      <c r="CB192" s="45"/>
      <c r="CC192" s="5"/>
      <c r="CD192" s="5"/>
      <c r="CE192" s="45"/>
      <c r="CF192" s="45"/>
      <c r="CG192" s="45"/>
      <c r="CH192" s="45"/>
      <c r="CI192" s="45"/>
      <c r="CJ192" s="45"/>
      <c r="CK192" s="45"/>
      <c r="CL192" s="45"/>
      <c r="CM192" s="45"/>
      <c r="CN192" s="45"/>
      <c r="CO192" s="45"/>
      <c r="CP192" s="45"/>
      <c r="CQ192" s="45"/>
      <c r="CR192" s="45"/>
      <c r="CS192" s="45"/>
      <c r="CT192" s="45"/>
      <c r="CU192" s="45"/>
    </row>
    <row r="193" spans="1:99" ht="12.75" customHeight="1">
      <c r="A193" s="45"/>
      <c r="B193" s="45"/>
      <c r="C193" s="391" t="s">
        <v>178</v>
      </c>
      <c r="D193" s="45"/>
      <c r="E193" s="335">
        <f>4709+206+1</f>
        <v>4916</v>
      </c>
      <c r="F193" s="336">
        <f>4708+206+1</f>
        <v>4915</v>
      </c>
      <c r="G193" s="336">
        <f>4497+206+213</f>
        <v>4916</v>
      </c>
      <c r="H193" s="291">
        <f>I193</f>
        <v>4917</v>
      </c>
      <c r="I193" s="427">
        <f>4498+206+213</f>
        <v>4917</v>
      </c>
      <c r="J193" s="335">
        <f>4499+206+213</f>
        <v>4918</v>
      </c>
      <c r="K193" s="336">
        <f>4499+206+213</f>
        <v>4918</v>
      </c>
      <c r="L193" s="336">
        <f>5000+206+1</f>
        <v>5207</v>
      </c>
      <c r="M193" s="291">
        <f>N193</f>
        <v>5207</v>
      </c>
      <c r="N193" s="427">
        <f>4654+206+347</f>
        <v>5207</v>
      </c>
      <c r="O193" s="335">
        <f>4804+206+797</f>
        <v>5807</v>
      </c>
      <c r="P193" s="336">
        <f>4805+206+796</f>
        <v>5807</v>
      </c>
      <c r="Q193" s="336">
        <f>5215+206+987</f>
        <v>6408</v>
      </c>
      <c r="R193" s="291">
        <f>S193</f>
        <v>5871</v>
      </c>
      <c r="S193" s="427">
        <f>5215+206+450</f>
        <v>5871</v>
      </c>
      <c r="T193" s="335">
        <f>5215+206+0</f>
        <v>5421</v>
      </c>
      <c r="U193" s="336">
        <f>5091+206</f>
        <v>5297</v>
      </c>
      <c r="V193" s="336">
        <f>4965+206+252</f>
        <v>5423</v>
      </c>
      <c r="W193" s="291">
        <f>X193</f>
        <v>5773</v>
      </c>
      <c r="X193" s="427">
        <f>5315+206+252</f>
        <v>5773</v>
      </c>
      <c r="Y193" s="335">
        <f>4699+206+869</f>
        <v>5774</v>
      </c>
      <c r="Z193" s="336">
        <f>4707+206+744</f>
        <v>5657</v>
      </c>
      <c r="AA193" s="1435">
        <f>5057+206+617</f>
        <v>5880</v>
      </c>
      <c r="AB193" s="1442">
        <f>AC193</f>
        <v>5881</v>
      </c>
      <c r="AC193" s="1437">
        <f>5058+206+617</f>
        <v>5881</v>
      </c>
      <c r="AD193" s="335">
        <f>5707+206</f>
        <v>5913</v>
      </c>
      <c r="AE193" s="336">
        <f>260+5448+206</f>
        <v>5914</v>
      </c>
      <c r="AF193" s="1435">
        <f>5448+206+260</f>
        <v>5914</v>
      </c>
      <c r="AG193" s="1442">
        <f>AH193</f>
        <v>6164</v>
      </c>
      <c r="AH193" s="1437">
        <f>5698+206+260</f>
        <v>6164</v>
      </c>
      <c r="AI193" s="335">
        <f>260+6099+206</f>
        <v>6565</v>
      </c>
      <c r="AJ193" s="336">
        <f>6099+206</f>
        <v>6305</v>
      </c>
      <c r="AK193" s="1435">
        <f>665+206+5435</f>
        <v>6306</v>
      </c>
      <c r="AL193" s="1442">
        <f>AM193</f>
        <v>6714</v>
      </c>
      <c r="AM193" s="1437">
        <f>665+205+5844</f>
        <v>6714</v>
      </c>
      <c r="AN193" s="335">
        <f>665+5845+205</f>
        <v>6715</v>
      </c>
      <c r="AO193" s="336">
        <f>665+7030+205</f>
        <v>7900</v>
      </c>
      <c r="AP193" s="1435">
        <f>425+6606+205</f>
        <v>7236</v>
      </c>
      <c r="AQ193" s="1442">
        <f>AR193</f>
        <v>7238</v>
      </c>
      <c r="AR193" s="1437">
        <f>425+6608+205</f>
        <v>7238</v>
      </c>
      <c r="AS193" s="335">
        <f>1125+5910+205</f>
        <v>7240</v>
      </c>
      <c r="AT193" s="336">
        <f>1125+5911+205</f>
        <v>7241</v>
      </c>
      <c r="AU193" s="336">
        <f>840+6760+205</f>
        <v>7805</v>
      </c>
      <c r="AV193" s="1442">
        <f>AW193</f>
        <v>7806</v>
      </c>
      <c r="AW193" s="1437">
        <f>840+6761+205</f>
        <v>7806</v>
      </c>
      <c r="AX193" s="290">
        <f>+AW193+AX176+AX177</f>
        <v>7106</v>
      </c>
      <c r="AY193" s="260">
        <f>+AX193+AY176+AY177</f>
        <v>7106</v>
      </c>
      <c r="AZ193" s="260">
        <f>+AY193+AZ176+AZ177</f>
        <v>8516</v>
      </c>
      <c r="BA193" s="291">
        <f>+AZ193+BA176+BA177</f>
        <v>8516</v>
      </c>
      <c r="BB193" s="45">
        <f>+BA193</f>
        <v>8516</v>
      </c>
      <c r="BC193" s="290">
        <f>+BB193+BC176+BC177</f>
        <v>8516</v>
      </c>
      <c r="BD193" s="260">
        <f>+BC193+BD176+BD177</f>
        <v>8516</v>
      </c>
      <c r="BE193" s="260">
        <f>+BD193+BE176+BE177</f>
        <v>8941</v>
      </c>
      <c r="BF193" s="291">
        <f>+BE193+BF176+BF177</f>
        <v>8941</v>
      </c>
      <c r="BG193" s="45">
        <f>+BF193</f>
        <v>8941</v>
      </c>
      <c r="BH193" s="290">
        <f>+BG193+BH176+BH177</f>
        <v>8941</v>
      </c>
      <c r="BI193" s="260">
        <f>+BH193+BI176+BI177</f>
        <v>8941</v>
      </c>
      <c r="BJ193" s="260">
        <f>+BI193+BJ176+BJ177</f>
        <v>9441</v>
      </c>
      <c r="BK193" s="291">
        <f>+BJ193+BK176+BK177</f>
        <v>9441</v>
      </c>
      <c r="BL193" s="45">
        <f>+BK193</f>
        <v>9441</v>
      </c>
      <c r="BM193" s="290">
        <f>+BL193+BM176+BM177</f>
        <v>9441</v>
      </c>
      <c r="BN193" s="260">
        <f>+BM193+BN176+BN177</f>
        <v>9441</v>
      </c>
      <c r="BO193" s="260">
        <f>+BN193+BO176+BO177</f>
        <v>9841</v>
      </c>
      <c r="BP193" s="291">
        <f>+BO193+BP176+BP177</f>
        <v>9841</v>
      </c>
      <c r="BQ193" s="45">
        <f>+BP193</f>
        <v>9841</v>
      </c>
      <c r="BR193" s="45"/>
      <c r="BS193" s="45"/>
      <c r="BT193" s="45"/>
      <c r="BU193" s="45"/>
      <c r="BV193" s="45"/>
      <c r="BW193" s="45"/>
      <c r="BX193" s="45"/>
      <c r="BY193" s="45"/>
      <c r="BZ193" s="45"/>
      <c r="CA193" s="45"/>
      <c r="CB193" s="45"/>
      <c r="CC193" s="5"/>
      <c r="CD193" s="5"/>
      <c r="CE193" s="45"/>
      <c r="CF193" s="45"/>
      <c r="CG193" s="45"/>
      <c r="CH193" s="45"/>
      <c r="CI193" s="45"/>
      <c r="CJ193" s="45"/>
      <c r="CK193" s="45"/>
      <c r="CL193" s="45"/>
      <c r="CM193" s="45"/>
      <c r="CN193" s="45"/>
      <c r="CO193" s="45"/>
      <c r="CP193" s="45"/>
      <c r="CQ193" s="45"/>
      <c r="CR193" s="45"/>
      <c r="CS193" s="45"/>
      <c r="CT193" s="45"/>
      <c r="CU193" s="45"/>
    </row>
    <row r="194" spans="1:99" ht="12.75" customHeight="1">
      <c r="A194" s="45"/>
      <c r="B194" s="45"/>
      <c r="C194" s="389" t="s">
        <v>373</v>
      </c>
      <c r="D194" s="45"/>
      <c r="E194" s="292">
        <f>SUM(E192:E193)</f>
        <v>5091</v>
      </c>
      <c r="F194" s="261">
        <f>SUM(F192:F193)</f>
        <v>4960</v>
      </c>
      <c r="G194" s="261">
        <f>SUM(G192:G193)</f>
        <v>5056</v>
      </c>
      <c r="H194" s="293">
        <f>+I194</f>
        <v>5072</v>
      </c>
      <c r="I194" s="228">
        <f>SUM(I192:I193)</f>
        <v>5072</v>
      </c>
      <c r="J194" s="292">
        <f>SUM(J192:J193)</f>
        <v>5174</v>
      </c>
      <c r="K194" s="261">
        <f>SUM(K192:K193)</f>
        <v>5207</v>
      </c>
      <c r="L194" s="261">
        <f>SUM(L192:L193)</f>
        <v>5272</v>
      </c>
      <c r="M194" s="293">
        <f>+N194</f>
        <v>5207</v>
      </c>
      <c r="N194" s="228">
        <f>SUM(N192:N193)</f>
        <v>5207</v>
      </c>
      <c r="O194" s="292">
        <f>SUM(O192:O193)</f>
        <v>5857</v>
      </c>
      <c r="P194" s="261">
        <f>SUM(P192:P193)</f>
        <v>5807</v>
      </c>
      <c r="Q194" s="261">
        <f>SUM(Q192:Q193)</f>
        <v>6408</v>
      </c>
      <c r="R194" s="293">
        <f>+S194</f>
        <v>5871</v>
      </c>
      <c r="S194" s="228">
        <f t="shared" ref="S194:AE194" si="531">SUM(S192:S193)</f>
        <v>5871</v>
      </c>
      <c r="T194" s="292">
        <f t="shared" si="531"/>
        <v>5723</v>
      </c>
      <c r="U194" s="261">
        <f t="shared" si="531"/>
        <v>5475</v>
      </c>
      <c r="V194" s="261">
        <f t="shared" si="531"/>
        <v>5458</v>
      </c>
      <c r="W194" s="293">
        <f>+X194</f>
        <v>5773</v>
      </c>
      <c r="X194" s="228">
        <f>SUM(X192:X193)</f>
        <v>5773</v>
      </c>
      <c r="Y194" s="292">
        <f>SUM(Y192:Y193)</f>
        <v>5994</v>
      </c>
      <c r="Z194" s="261">
        <f t="shared" si="531"/>
        <v>6031</v>
      </c>
      <c r="AA194" s="1438">
        <f t="shared" si="531"/>
        <v>6033</v>
      </c>
      <c r="AB194" s="1439">
        <f>+AC194</f>
        <v>6065</v>
      </c>
      <c r="AC194" s="1440">
        <f>SUM(AC192:AC193)</f>
        <v>6065</v>
      </c>
      <c r="AD194" s="292">
        <f>SUM(AD192:AD193)</f>
        <v>6447</v>
      </c>
      <c r="AE194" s="261">
        <f t="shared" si="531"/>
        <v>6412</v>
      </c>
      <c r="AF194" s="1438">
        <f>SUM(AF192:AF193)</f>
        <v>6442</v>
      </c>
      <c r="AG194" s="1439">
        <f>+AH194</f>
        <v>6468</v>
      </c>
      <c r="AH194" s="1440">
        <f>SUM(AH192:AH193)</f>
        <v>6468</v>
      </c>
      <c r="AI194" s="292">
        <f>SUM(AI192:AI193)</f>
        <v>6848</v>
      </c>
      <c r="AJ194" s="261">
        <f t="shared" ref="AJ194" si="532">SUM(AJ192:AJ193)</f>
        <v>6808</v>
      </c>
      <c r="AK194" s="1438">
        <f>SUM(AK192:AK193)</f>
        <v>6910</v>
      </c>
      <c r="AL194" s="1439">
        <f>+AM194</f>
        <v>7008</v>
      </c>
      <c r="AM194" s="1440">
        <f>SUM(AM192:AM193)</f>
        <v>7008</v>
      </c>
      <c r="AN194" s="292">
        <f>SUM(AN192:AN193)</f>
        <v>7358</v>
      </c>
      <c r="AO194" s="261">
        <f>SUM(AO192:AO193)</f>
        <v>7935</v>
      </c>
      <c r="AP194" s="1438">
        <f>SUM(AP192:AP193)</f>
        <v>7246</v>
      </c>
      <c r="AQ194" s="1439">
        <f>+AR194</f>
        <v>7238</v>
      </c>
      <c r="AR194" s="1440">
        <f>SUM(AR192:AR193)</f>
        <v>7238</v>
      </c>
      <c r="AS194" s="292">
        <f>SUM(AS192:AS193)</f>
        <v>7605</v>
      </c>
      <c r="AT194" s="261">
        <f>SUM(AT192:AT193)</f>
        <v>7630</v>
      </c>
      <c r="AU194" s="261">
        <f t="shared" ref="AU194" si="533">SUM(AU192:AU193)</f>
        <v>7805</v>
      </c>
      <c r="AV194" s="1439">
        <f>+AW194</f>
        <v>7806</v>
      </c>
      <c r="AW194" s="1440">
        <f>SUM(AW192:AW193)</f>
        <v>7806</v>
      </c>
      <c r="AX194" s="292">
        <f t="shared" ref="AX194:BB194" ca="1" si="534">SUM(AX192:AX193)</f>
        <v>7915.590272410639</v>
      </c>
      <c r="AY194" s="261">
        <f t="shared" ca="1" si="534"/>
        <v>8096.6517216814082</v>
      </c>
      <c r="AZ194" s="261">
        <f t="shared" ca="1" si="534"/>
        <v>8516</v>
      </c>
      <c r="BA194" s="293">
        <f t="shared" ca="1" si="534"/>
        <v>8516</v>
      </c>
      <c r="BB194" s="228">
        <f t="shared" ca="1" si="534"/>
        <v>8516</v>
      </c>
      <c r="BC194" s="292">
        <f t="shared" ref="BC194:BL194" ca="1" si="535">SUM(BC192:BC193)</f>
        <v>8556.5975166543139</v>
      </c>
      <c r="BD194" s="261">
        <f t="shared" ca="1" si="535"/>
        <v>8664.3863970789553</v>
      </c>
      <c r="BE194" s="261">
        <f t="shared" ca="1" si="535"/>
        <v>8941</v>
      </c>
      <c r="BF194" s="293">
        <f t="shared" ca="1" si="535"/>
        <v>8941</v>
      </c>
      <c r="BG194" s="228">
        <f t="shared" ca="1" si="535"/>
        <v>8941</v>
      </c>
      <c r="BH194" s="292">
        <f t="shared" ca="1" si="535"/>
        <v>8993.5175534641494</v>
      </c>
      <c r="BI194" s="261">
        <f t="shared" ca="1" si="535"/>
        <v>9126.3750706849423</v>
      </c>
      <c r="BJ194" s="261">
        <f t="shared" ca="1" si="535"/>
        <v>9441</v>
      </c>
      <c r="BK194" s="293">
        <f t="shared" ca="1" si="535"/>
        <v>9441</v>
      </c>
      <c r="BL194" s="228">
        <f t="shared" ca="1" si="535"/>
        <v>9441</v>
      </c>
      <c r="BM194" s="292">
        <f t="shared" ref="BM194:BQ194" ca="1" si="536">SUM(BM192:BM193)</f>
        <v>9478.7999597858052</v>
      </c>
      <c r="BN194" s="261">
        <f t="shared" ca="1" si="536"/>
        <v>9578.1252525643977</v>
      </c>
      <c r="BO194" s="261">
        <f t="shared" ca="1" si="536"/>
        <v>9841</v>
      </c>
      <c r="BP194" s="293">
        <f t="shared" ca="1" si="536"/>
        <v>9841</v>
      </c>
      <c r="BQ194" s="228">
        <f t="shared" ca="1" si="536"/>
        <v>9841</v>
      </c>
      <c r="BR194" s="45"/>
      <c r="BS194" s="45"/>
      <c r="BT194" s="45"/>
      <c r="BU194" s="45"/>
      <c r="BV194" s="45"/>
      <c r="BW194" s="45"/>
      <c r="BX194" s="45"/>
      <c r="BY194" s="45"/>
      <c r="BZ194" s="45"/>
      <c r="CA194" s="45"/>
      <c r="CB194" s="45"/>
      <c r="CC194" s="5"/>
      <c r="CD194" s="5"/>
      <c r="CE194" s="45"/>
      <c r="CF194" s="45"/>
      <c r="CG194" s="45"/>
      <c r="CH194" s="45"/>
      <c r="CI194" s="45"/>
      <c r="CJ194" s="45"/>
      <c r="CK194" s="45"/>
      <c r="CL194" s="45"/>
      <c r="CM194" s="45"/>
      <c r="CN194" s="45"/>
      <c r="CO194" s="45"/>
      <c r="CP194" s="45"/>
      <c r="CQ194" s="45"/>
      <c r="CR194" s="45"/>
      <c r="CS194" s="45"/>
      <c r="CT194" s="45"/>
      <c r="CU194" s="45"/>
    </row>
    <row r="195" spans="1:99" ht="12.75" customHeight="1">
      <c r="A195" s="223"/>
      <c r="B195" s="223"/>
      <c r="C195" s="390" t="s">
        <v>612</v>
      </c>
      <c r="D195" s="223"/>
      <c r="E195" s="275">
        <f t="shared" ref="E195:AE195" si="537">+E194/E203</f>
        <v>0.55019993515616561</v>
      </c>
      <c r="F195" s="252">
        <f t="shared" si="537"/>
        <v>0.54001088731627656</v>
      </c>
      <c r="G195" s="252">
        <f t="shared" si="537"/>
        <v>0.54506252695127211</v>
      </c>
      <c r="H195" s="276">
        <f t="shared" si="537"/>
        <v>0.54368099474756137</v>
      </c>
      <c r="I195" s="222">
        <f t="shared" si="537"/>
        <v>0.54368099474756137</v>
      </c>
      <c r="J195" s="275">
        <f t="shared" si="537"/>
        <v>0.54624155405405406</v>
      </c>
      <c r="K195" s="252">
        <f t="shared" si="537"/>
        <v>0.55188129305776368</v>
      </c>
      <c r="L195" s="252">
        <f t="shared" si="537"/>
        <v>0.55192629815745398</v>
      </c>
      <c r="M195" s="276">
        <f t="shared" si="537"/>
        <v>0.54856721449641799</v>
      </c>
      <c r="N195" s="222">
        <f t="shared" si="537"/>
        <v>0.54856721449641799</v>
      </c>
      <c r="O195" s="275">
        <f t="shared" si="537"/>
        <v>0.57784135753749011</v>
      </c>
      <c r="P195" s="252">
        <f t="shared" si="537"/>
        <v>0.57353086419753085</v>
      </c>
      <c r="Q195" s="252">
        <f t="shared" si="537"/>
        <v>0.59537303725727031</v>
      </c>
      <c r="R195" s="276">
        <f t="shared" si="537"/>
        <v>0.57094233200427891</v>
      </c>
      <c r="S195" s="222">
        <f t="shared" si="537"/>
        <v>0.57094233200427891</v>
      </c>
      <c r="T195" s="275">
        <f t="shared" si="537"/>
        <v>0.5634537757211775</v>
      </c>
      <c r="U195" s="252">
        <f t="shared" si="537"/>
        <v>0.55052790346907998</v>
      </c>
      <c r="V195" s="252">
        <f t="shared" si="537"/>
        <v>0.54536370903277376</v>
      </c>
      <c r="W195" s="276">
        <f t="shared" si="537"/>
        <v>0.55133225097889405</v>
      </c>
      <c r="X195" s="222">
        <f t="shared" si="537"/>
        <v>0.55133225097889405</v>
      </c>
      <c r="Y195" s="275">
        <f t="shared" si="537"/>
        <v>0.5587248322147651</v>
      </c>
      <c r="Z195" s="252">
        <f t="shared" si="537"/>
        <v>0.55806421763671699</v>
      </c>
      <c r="AA195" s="252">
        <f t="shared" si="537"/>
        <v>0.55445271574303834</v>
      </c>
      <c r="AB195" s="276">
        <f>+AB194/AB203</f>
        <v>0.55297228300510581</v>
      </c>
      <c r="AC195" s="222">
        <f>+AC194/AC203</f>
        <v>0.55297228300510581</v>
      </c>
      <c r="AD195" s="275">
        <f>+AD194/AD203</f>
        <v>0.56493165089379604</v>
      </c>
      <c r="AE195" s="252">
        <f t="shared" si="537"/>
        <v>0.55829342620809752</v>
      </c>
      <c r="AF195" s="252">
        <f>+AF194/AF203</f>
        <v>0.55429358113921867</v>
      </c>
      <c r="AG195" s="276">
        <f>+AG194/AG203</f>
        <v>0.55046808510638301</v>
      </c>
      <c r="AH195" s="222">
        <f>+AH194/AH203</f>
        <v>0.55046808510638301</v>
      </c>
      <c r="AI195" s="275">
        <f>+AI194/AI203</f>
        <v>0.56311158621823865</v>
      </c>
      <c r="AJ195" s="252">
        <f t="shared" ref="AJ195" si="538">+AJ194/AJ203</f>
        <v>0.55908680298924196</v>
      </c>
      <c r="AK195" s="252">
        <f t="shared" ref="AK195:AP195" si="539">+AK194/AK203</f>
        <v>0.55793298344771902</v>
      </c>
      <c r="AL195" s="276">
        <f t="shared" si="539"/>
        <v>0.55504514493901469</v>
      </c>
      <c r="AM195" s="222">
        <f t="shared" si="539"/>
        <v>0.55504514493901469</v>
      </c>
      <c r="AN195" s="275">
        <f t="shared" si="539"/>
        <v>0.56426380368098161</v>
      </c>
      <c r="AO195" s="252">
        <f t="shared" si="539"/>
        <v>0.57717486179807975</v>
      </c>
      <c r="AP195" s="252">
        <f t="shared" si="539"/>
        <v>0.54765323860630333</v>
      </c>
      <c r="AQ195" s="276">
        <f t="shared" ref="AQ195:AT195" si="540">+AQ194/AQ203</f>
        <v>0.5426600689758585</v>
      </c>
      <c r="AR195" s="222">
        <f t="shared" si="540"/>
        <v>0.5426600689758585</v>
      </c>
      <c r="AS195" s="275">
        <f t="shared" si="540"/>
        <v>0.54945451918214006</v>
      </c>
      <c r="AT195" s="252">
        <f t="shared" si="540"/>
        <v>0.54558455488022883</v>
      </c>
      <c r="AU195" s="252">
        <f t="shared" ref="AU195:AW195" si="541">+AU194/AU203</f>
        <v>0.53371170678336977</v>
      </c>
      <c r="AV195" s="276">
        <f t="shared" si="541"/>
        <v>0.53550113192014814</v>
      </c>
      <c r="AW195" s="222">
        <f t="shared" si="541"/>
        <v>0.53550113192014814</v>
      </c>
      <c r="AX195" s="275">
        <f t="shared" ref="AX195:BB195" ca="1" si="542">+AX194/AX203</f>
        <v>0.53436344951078307</v>
      </c>
      <c r="AY195" s="252">
        <f t="shared" ca="1" si="542"/>
        <v>0.53543335616634302</v>
      </c>
      <c r="AZ195" s="252">
        <f t="shared" ca="1" si="542"/>
        <v>0.54215254696843962</v>
      </c>
      <c r="BA195" s="276">
        <f t="shared" ca="1" si="542"/>
        <v>0.53913077720110225</v>
      </c>
      <c r="BB195" s="222">
        <f t="shared" ca="1" si="542"/>
        <v>0.53913077720110225</v>
      </c>
      <c r="BC195" s="275">
        <f t="shared" ref="BC195:BL195" ca="1" si="543">+BC194/BC203</f>
        <v>0.53726178320912776</v>
      </c>
      <c r="BD195" s="252">
        <f t="shared" ca="1" si="543"/>
        <v>0.53747796560668037</v>
      </c>
      <c r="BE195" s="252">
        <f t="shared" ca="1" si="543"/>
        <v>0.54097092191426499</v>
      </c>
      <c r="BF195" s="276">
        <f t="shared" ca="1" si="543"/>
        <v>0.53919702280479831</v>
      </c>
      <c r="BG195" s="222">
        <f t="shared" ca="1" si="543"/>
        <v>0.53919702280479831</v>
      </c>
      <c r="BH195" s="275">
        <f t="shared" ca="1" si="543"/>
        <v>0.53758892175384099</v>
      </c>
      <c r="BI195" s="252">
        <f t="shared" ca="1" si="543"/>
        <v>0.53829394926187457</v>
      </c>
      <c r="BJ195" s="252">
        <f t="shared" ca="1" si="543"/>
        <v>0.54257643824353352</v>
      </c>
      <c r="BK195" s="276">
        <f t="shared" ca="1" si="543"/>
        <v>0.54077733145785123</v>
      </c>
      <c r="BL195" s="222">
        <f t="shared" ca="1" si="543"/>
        <v>0.54077733145785123</v>
      </c>
      <c r="BM195" s="275">
        <f t="shared" ref="BM195:BQ195" ca="1" si="544">+BM194/BM203</f>
        <v>0.53893187958308297</v>
      </c>
      <c r="BN195" s="252">
        <f t="shared" ca="1" si="544"/>
        <v>0.53879501635131299</v>
      </c>
      <c r="BO195" s="252">
        <f t="shared" ca="1" si="544"/>
        <v>0.54167625120497787</v>
      </c>
      <c r="BP195" s="276">
        <f t="shared" ca="1" si="544"/>
        <v>0.54001030838603459</v>
      </c>
      <c r="BQ195" s="222">
        <f t="shared" ca="1" si="544"/>
        <v>0.54001030838603459</v>
      </c>
      <c r="BR195" s="223"/>
      <c r="BS195" s="223"/>
      <c r="BT195" s="223"/>
      <c r="BU195" s="223"/>
      <c r="BV195" s="223"/>
      <c r="BW195" s="223"/>
      <c r="BX195" s="223"/>
      <c r="BY195" s="223"/>
      <c r="BZ195" s="223"/>
      <c r="CA195" s="223"/>
      <c r="CB195" s="223"/>
      <c r="CC195" s="5"/>
      <c r="CD195" s="5"/>
      <c r="CE195" s="223"/>
      <c r="CF195" s="223"/>
      <c r="CG195" s="223"/>
      <c r="CH195" s="223"/>
      <c r="CI195" s="223"/>
      <c r="CJ195" s="223"/>
      <c r="CK195" s="223"/>
      <c r="CL195" s="223"/>
      <c r="CM195" s="223"/>
      <c r="CN195" s="223"/>
      <c r="CO195" s="223"/>
      <c r="CP195" s="223"/>
      <c r="CQ195" s="223"/>
      <c r="CR195" s="223"/>
      <c r="CS195" s="223"/>
      <c r="CT195" s="223"/>
      <c r="CU195" s="223"/>
    </row>
    <row r="196" spans="1:99" ht="12.75" customHeight="1">
      <c r="A196" s="383"/>
      <c r="B196" s="383"/>
      <c r="C196" s="578"/>
      <c r="D196" s="383"/>
      <c r="E196" s="613"/>
      <c r="F196" s="614"/>
      <c r="G196" s="614"/>
      <c r="H196" s="615"/>
      <c r="I196" s="383"/>
      <c r="J196" s="613"/>
      <c r="K196" s="614"/>
      <c r="L196" s="614"/>
      <c r="M196" s="615"/>
      <c r="N196" s="383"/>
      <c r="O196" s="613"/>
      <c r="P196" s="614"/>
      <c r="Q196" s="614"/>
      <c r="R196" s="615"/>
      <c r="S196" s="383"/>
      <c r="T196" s="613"/>
      <c r="U196" s="614"/>
      <c r="V196" s="614"/>
      <c r="W196" s="615"/>
      <c r="X196" s="383"/>
      <c r="Y196" s="613"/>
      <c r="Z196" s="614"/>
      <c r="AA196" s="614"/>
      <c r="AB196" s="615"/>
      <c r="AC196" s="383"/>
      <c r="AD196" s="613"/>
      <c r="AE196" s="614"/>
      <c r="AF196" s="614"/>
      <c r="AG196" s="615"/>
      <c r="AH196" s="383"/>
      <c r="AI196" s="613"/>
      <c r="AJ196" s="614"/>
      <c r="AK196" s="614"/>
      <c r="AL196" s="615"/>
      <c r="AM196" s="383"/>
      <c r="AN196" s="613"/>
      <c r="AO196" s="614"/>
      <c r="AP196" s="614"/>
      <c r="AQ196" s="615"/>
      <c r="AR196" s="383"/>
      <c r="AS196" s="613"/>
      <c r="AT196" s="614"/>
      <c r="AU196" s="614"/>
      <c r="AV196" s="615"/>
      <c r="AW196" s="383"/>
      <c r="AX196" s="613"/>
      <c r="AY196" s="614"/>
      <c r="AZ196" s="614"/>
      <c r="BA196" s="615"/>
      <c r="BB196" s="383"/>
      <c r="BC196" s="613"/>
      <c r="BD196" s="614"/>
      <c r="BE196" s="614"/>
      <c r="BF196" s="615"/>
      <c r="BG196" s="383"/>
      <c r="BH196" s="613"/>
      <c r="BI196" s="614"/>
      <c r="BJ196" s="614"/>
      <c r="BK196" s="615"/>
      <c r="BL196" s="383"/>
      <c r="BM196" s="613"/>
      <c r="BN196" s="614"/>
      <c r="BO196" s="614"/>
      <c r="BP196" s="615"/>
      <c r="BQ196" s="383"/>
      <c r="BR196" s="383"/>
      <c r="BS196" s="383"/>
      <c r="BT196" s="383"/>
      <c r="BU196" s="383"/>
      <c r="BV196" s="383"/>
      <c r="BW196" s="383"/>
      <c r="BX196" s="383"/>
      <c r="BY196" s="383"/>
      <c r="BZ196" s="383"/>
      <c r="CA196" s="383"/>
      <c r="CB196" s="383"/>
      <c r="CC196" s="5"/>
      <c r="CD196" s="5"/>
      <c r="CE196" s="383"/>
      <c r="CF196" s="383"/>
      <c r="CG196" s="383"/>
      <c r="CH196" s="383"/>
      <c r="CI196" s="383"/>
      <c r="CJ196" s="383"/>
      <c r="CK196" s="383"/>
      <c r="CL196" s="383"/>
      <c r="CM196" s="383"/>
      <c r="CN196" s="383"/>
      <c r="CO196" s="383"/>
      <c r="CP196" s="383"/>
      <c r="CQ196" s="383"/>
      <c r="CR196" s="383"/>
      <c r="CS196" s="383"/>
      <c r="CT196" s="383"/>
      <c r="CU196" s="383"/>
    </row>
    <row r="197" spans="1:99" s="34" customFormat="1" ht="12.75" customHeight="1">
      <c r="A197" s="228"/>
      <c r="B197" s="228"/>
      <c r="C197" s="389" t="s">
        <v>611</v>
      </c>
      <c r="D197" s="228"/>
      <c r="E197" s="585">
        <v>0</v>
      </c>
      <c r="F197" s="343">
        <v>0</v>
      </c>
      <c r="G197" s="343">
        <v>0</v>
      </c>
      <c r="H197" s="293">
        <f>I197</f>
        <v>0</v>
      </c>
      <c r="I197" s="650">
        <v>0</v>
      </c>
      <c r="J197" s="585">
        <v>0</v>
      </c>
      <c r="K197" s="343">
        <v>0</v>
      </c>
      <c r="L197" s="343">
        <v>0</v>
      </c>
      <c r="M197" s="293">
        <f>N197</f>
        <v>0</v>
      </c>
      <c r="N197" s="650">
        <v>0</v>
      </c>
      <c r="O197" s="585">
        <v>0</v>
      </c>
      <c r="P197" s="343">
        <v>0</v>
      </c>
      <c r="Q197" s="343">
        <v>0</v>
      </c>
      <c r="R197" s="293">
        <f>S197</f>
        <v>0</v>
      </c>
      <c r="S197" s="650">
        <v>0</v>
      </c>
      <c r="T197" s="585">
        <v>0</v>
      </c>
      <c r="U197" s="343">
        <v>0</v>
      </c>
      <c r="V197" s="343">
        <f>+U197</f>
        <v>0</v>
      </c>
      <c r="W197" s="293">
        <f>X197</f>
        <v>0</v>
      </c>
      <c r="X197" s="344">
        <v>0</v>
      </c>
      <c r="Y197" s="585">
        <v>0</v>
      </c>
      <c r="Z197" s="343">
        <v>0</v>
      </c>
      <c r="AA197" s="1462">
        <v>0</v>
      </c>
      <c r="AB197" s="1439">
        <f>AC197</f>
        <v>0</v>
      </c>
      <c r="AC197" s="1472">
        <v>0</v>
      </c>
      <c r="AD197" s="585">
        <v>0</v>
      </c>
      <c r="AE197" s="343">
        <f t="shared" ref="AE197" si="545">+AD197</f>
        <v>0</v>
      </c>
      <c r="AF197" s="1462">
        <v>0</v>
      </c>
      <c r="AG197" s="1439">
        <f>AH197</f>
        <v>0</v>
      </c>
      <c r="AH197" s="1472">
        <v>0</v>
      </c>
      <c r="AI197" s="585">
        <v>0</v>
      </c>
      <c r="AJ197" s="343">
        <f t="shared" ref="AJ197" si="546">+AI197</f>
        <v>0</v>
      </c>
      <c r="AK197" s="1462">
        <v>0</v>
      </c>
      <c r="AL197" s="1439">
        <f>AM197</f>
        <v>0</v>
      </c>
      <c r="AM197" s="1472">
        <v>0</v>
      </c>
      <c r="AN197" s="585">
        <v>0</v>
      </c>
      <c r="AO197" s="343">
        <v>0</v>
      </c>
      <c r="AP197" s="1462">
        <v>0</v>
      </c>
      <c r="AQ197" s="1439">
        <f>AR197</f>
        <v>0</v>
      </c>
      <c r="AR197" s="1472">
        <v>0</v>
      </c>
      <c r="AS197" s="585">
        <v>0</v>
      </c>
      <c r="AT197" s="343">
        <v>0</v>
      </c>
      <c r="AU197" s="343">
        <v>0</v>
      </c>
      <c r="AV197" s="1439">
        <f>AW197</f>
        <v>0</v>
      </c>
      <c r="AW197" s="1472">
        <v>0</v>
      </c>
      <c r="AX197" s="292">
        <f t="shared" ref="AX197:BB197" si="547">+AW197</f>
        <v>0</v>
      </c>
      <c r="AY197" s="261">
        <f t="shared" si="547"/>
        <v>0</v>
      </c>
      <c r="AZ197" s="261">
        <f t="shared" si="547"/>
        <v>0</v>
      </c>
      <c r="BA197" s="293">
        <f t="shared" si="547"/>
        <v>0</v>
      </c>
      <c r="BB197" s="228">
        <f t="shared" si="547"/>
        <v>0</v>
      </c>
      <c r="BC197" s="292">
        <f t="shared" ref="BC197" si="548">+BB197</f>
        <v>0</v>
      </c>
      <c r="BD197" s="261">
        <f t="shared" ref="BD197" si="549">+BC197</f>
        <v>0</v>
      </c>
      <c r="BE197" s="261">
        <f t="shared" ref="BE197" si="550">+BD197</f>
        <v>0</v>
      </c>
      <c r="BF197" s="293">
        <f t="shared" ref="BF197" si="551">+BE197</f>
        <v>0</v>
      </c>
      <c r="BG197" s="228">
        <f t="shared" ref="BG197" si="552">+BF197</f>
        <v>0</v>
      </c>
      <c r="BH197" s="292">
        <f t="shared" ref="BH197" si="553">+BG197</f>
        <v>0</v>
      </c>
      <c r="BI197" s="261">
        <f t="shared" ref="BI197" si="554">+BH197</f>
        <v>0</v>
      </c>
      <c r="BJ197" s="261">
        <f t="shared" ref="BJ197" si="555">+BI197</f>
        <v>0</v>
      </c>
      <c r="BK197" s="293">
        <f t="shared" ref="BK197" si="556">+BJ197</f>
        <v>0</v>
      </c>
      <c r="BL197" s="228">
        <f t="shared" ref="BL197" si="557">+BK197</f>
        <v>0</v>
      </c>
      <c r="BM197" s="292">
        <f t="shared" ref="BM197" si="558">+BL197</f>
        <v>0</v>
      </c>
      <c r="BN197" s="261">
        <f t="shared" ref="BN197" si="559">+BM197</f>
        <v>0</v>
      </c>
      <c r="BO197" s="261">
        <f t="shared" ref="BO197" si="560">+BN197</f>
        <v>0</v>
      </c>
      <c r="BP197" s="293">
        <f t="shared" ref="BP197" si="561">+BO197</f>
        <v>0</v>
      </c>
      <c r="BQ197" s="228">
        <f t="shared" ref="BQ197" si="562">+BP197</f>
        <v>0</v>
      </c>
      <c r="BR197" s="228"/>
      <c r="BS197" s="228"/>
      <c r="BT197" s="228"/>
      <c r="BU197" s="228"/>
      <c r="BV197" s="228"/>
      <c r="BW197" s="228"/>
      <c r="BX197" s="228"/>
      <c r="BY197" s="228"/>
      <c r="BZ197" s="228"/>
      <c r="CA197" s="228"/>
      <c r="CB197" s="228"/>
      <c r="CC197" s="5"/>
      <c r="CD197" s="5"/>
      <c r="CE197" s="228"/>
      <c r="CF197" s="228"/>
      <c r="CG197" s="228"/>
      <c r="CH197" s="228"/>
      <c r="CI197" s="228"/>
      <c r="CJ197" s="228"/>
      <c r="CK197" s="228"/>
      <c r="CL197" s="228"/>
      <c r="CM197" s="228"/>
      <c r="CN197" s="228"/>
      <c r="CO197" s="228"/>
      <c r="CP197" s="228"/>
      <c r="CQ197" s="228"/>
      <c r="CR197" s="228"/>
      <c r="CS197" s="228"/>
      <c r="CT197" s="228"/>
      <c r="CU197" s="228"/>
    </row>
    <row r="198" spans="1:99" ht="12.75" customHeight="1">
      <c r="A198" s="223"/>
      <c r="B198" s="223"/>
      <c r="C198" s="390" t="s">
        <v>612</v>
      </c>
      <c r="D198" s="223"/>
      <c r="E198" s="275">
        <f t="shared" ref="E198:AE198" si="563">+E197/E203</f>
        <v>0</v>
      </c>
      <c r="F198" s="252">
        <f t="shared" si="563"/>
        <v>0</v>
      </c>
      <c r="G198" s="252">
        <f t="shared" si="563"/>
        <v>0</v>
      </c>
      <c r="H198" s="276">
        <f t="shared" si="563"/>
        <v>0</v>
      </c>
      <c r="I198" s="222">
        <f t="shared" si="563"/>
        <v>0</v>
      </c>
      <c r="J198" s="275">
        <f t="shared" si="563"/>
        <v>0</v>
      </c>
      <c r="K198" s="252">
        <f t="shared" si="563"/>
        <v>0</v>
      </c>
      <c r="L198" s="252">
        <f t="shared" si="563"/>
        <v>0</v>
      </c>
      <c r="M198" s="276">
        <f t="shared" si="563"/>
        <v>0</v>
      </c>
      <c r="N198" s="222">
        <f t="shared" si="563"/>
        <v>0</v>
      </c>
      <c r="O198" s="275">
        <f t="shared" si="563"/>
        <v>0</v>
      </c>
      <c r="P198" s="252">
        <f t="shared" si="563"/>
        <v>0</v>
      </c>
      <c r="Q198" s="252">
        <f t="shared" si="563"/>
        <v>0</v>
      </c>
      <c r="R198" s="276">
        <f t="shared" si="563"/>
        <v>0</v>
      </c>
      <c r="S198" s="222">
        <f t="shared" si="563"/>
        <v>0</v>
      </c>
      <c r="T198" s="275">
        <f t="shared" si="563"/>
        <v>0</v>
      </c>
      <c r="U198" s="252">
        <f t="shared" si="563"/>
        <v>0</v>
      </c>
      <c r="V198" s="252">
        <f t="shared" si="563"/>
        <v>0</v>
      </c>
      <c r="W198" s="276">
        <f t="shared" si="563"/>
        <v>0</v>
      </c>
      <c r="X198" s="222">
        <f t="shared" si="563"/>
        <v>0</v>
      </c>
      <c r="Y198" s="275">
        <f t="shared" si="563"/>
        <v>0</v>
      </c>
      <c r="Z198" s="252">
        <f t="shared" si="563"/>
        <v>0</v>
      </c>
      <c r="AA198" s="252">
        <f t="shared" si="563"/>
        <v>0</v>
      </c>
      <c r="AB198" s="276">
        <f>+AB197/AB203</f>
        <v>0</v>
      </c>
      <c r="AC198" s="222">
        <f>+AC197/AC203</f>
        <v>0</v>
      </c>
      <c r="AD198" s="275">
        <f>+AD197/AD203</f>
        <v>0</v>
      </c>
      <c r="AE198" s="252">
        <f t="shared" si="563"/>
        <v>0</v>
      </c>
      <c r="AF198" s="252">
        <f>+AF197/AF203</f>
        <v>0</v>
      </c>
      <c r="AG198" s="276">
        <f>+AG197/AG203</f>
        <v>0</v>
      </c>
      <c r="AH198" s="222">
        <f>+AH197/AH203</f>
        <v>0</v>
      </c>
      <c r="AI198" s="275">
        <f>+AI197/AI203</f>
        <v>0</v>
      </c>
      <c r="AJ198" s="252">
        <f t="shared" ref="AJ198" si="564">+AJ197/AJ203</f>
        <v>0</v>
      </c>
      <c r="AK198" s="252">
        <f t="shared" ref="AK198:AP198" si="565">+AK197/AK203</f>
        <v>0</v>
      </c>
      <c r="AL198" s="276">
        <f t="shared" si="565"/>
        <v>0</v>
      </c>
      <c r="AM198" s="222">
        <f t="shared" si="565"/>
        <v>0</v>
      </c>
      <c r="AN198" s="275">
        <f t="shared" si="565"/>
        <v>0</v>
      </c>
      <c r="AO198" s="252">
        <f t="shared" si="565"/>
        <v>0</v>
      </c>
      <c r="AP198" s="252">
        <f t="shared" si="565"/>
        <v>0</v>
      </c>
      <c r="AQ198" s="276">
        <f t="shared" ref="AQ198:AT198" si="566">+AQ197/AQ203</f>
        <v>0</v>
      </c>
      <c r="AR198" s="222">
        <f t="shared" si="566"/>
        <v>0</v>
      </c>
      <c r="AS198" s="275">
        <f t="shared" si="566"/>
        <v>0</v>
      </c>
      <c r="AT198" s="252">
        <f t="shared" si="566"/>
        <v>0</v>
      </c>
      <c r="AU198" s="252">
        <f t="shared" ref="AU198:AW198" si="567">+AU197/AU203</f>
        <v>0</v>
      </c>
      <c r="AV198" s="276">
        <f t="shared" si="567"/>
        <v>0</v>
      </c>
      <c r="AW198" s="222">
        <f t="shared" si="567"/>
        <v>0</v>
      </c>
      <c r="AX198" s="275">
        <f t="shared" ref="AX198:BB198" ca="1" si="568">+AX197/AX203</f>
        <v>0</v>
      </c>
      <c r="AY198" s="252">
        <f t="shared" ca="1" si="568"/>
        <v>0</v>
      </c>
      <c r="AZ198" s="252">
        <f t="shared" ca="1" si="568"/>
        <v>0</v>
      </c>
      <c r="BA198" s="276">
        <f t="shared" ca="1" si="568"/>
        <v>0</v>
      </c>
      <c r="BB198" s="222">
        <f t="shared" ca="1" si="568"/>
        <v>0</v>
      </c>
      <c r="BC198" s="275">
        <f t="shared" ref="BC198:BL198" ca="1" si="569">+BC197/BC203</f>
        <v>0</v>
      </c>
      <c r="BD198" s="252">
        <f t="shared" ca="1" si="569"/>
        <v>0</v>
      </c>
      <c r="BE198" s="252">
        <f t="shared" ca="1" si="569"/>
        <v>0</v>
      </c>
      <c r="BF198" s="276">
        <f t="shared" ca="1" si="569"/>
        <v>0</v>
      </c>
      <c r="BG198" s="222">
        <f t="shared" ca="1" si="569"/>
        <v>0</v>
      </c>
      <c r="BH198" s="275">
        <f t="shared" ca="1" si="569"/>
        <v>0</v>
      </c>
      <c r="BI198" s="252">
        <f t="shared" ca="1" si="569"/>
        <v>0</v>
      </c>
      <c r="BJ198" s="252">
        <f t="shared" ca="1" si="569"/>
        <v>0</v>
      </c>
      <c r="BK198" s="276">
        <f t="shared" ca="1" si="569"/>
        <v>0</v>
      </c>
      <c r="BL198" s="222">
        <f t="shared" ca="1" si="569"/>
        <v>0</v>
      </c>
      <c r="BM198" s="275">
        <f t="shared" ref="BM198:BQ198" ca="1" si="570">+BM197/BM203</f>
        <v>0</v>
      </c>
      <c r="BN198" s="252">
        <f t="shared" ca="1" si="570"/>
        <v>0</v>
      </c>
      <c r="BO198" s="252">
        <f t="shared" ca="1" si="570"/>
        <v>0</v>
      </c>
      <c r="BP198" s="276">
        <f t="shared" ca="1" si="570"/>
        <v>0</v>
      </c>
      <c r="BQ198" s="222">
        <f t="shared" ca="1" si="570"/>
        <v>0</v>
      </c>
      <c r="BR198" s="223"/>
      <c r="BS198" s="223"/>
      <c r="BT198" s="223"/>
      <c r="BU198" s="223"/>
      <c r="BV198" s="223"/>
      <c r="BW198" s="223"/>
      <c r="BX198" s="223"/>
      <c r="BY198" s="223"/>
      <c r="BZ198" s="223"/>
      <c r="CA198" s="223"/>
      <c r="CB198" s="223"/>
      <c r="CC198" s="5"/>
      <c r="CD198" s="5"/>
      <c r="CE198" s="223"/>
      <c r="CF198" s="223"/>
      <c r="CG198" s="223"/>
      <c r="CH198" s="223"/>
      <c r="CI198" s="223"/>
      <c r="CJ198" s="223"/>
      <c r="CK198" s="223"/>
      <c r="CL198" s="223"/>
      <c r="CM198" s="223"/>
      <c r="CN198" s="223"/>
      <c r="CO198" s="223"/>
      <c r="CP198" s="223"/>
      <c r="CQ198" s="223"/>
      <c r="CR198" s="223"/>
      <c r="CS198" s="223"/>
      <c r="CT198" s="223"/>
      <c r="CU198" s="223"/>
    </row>
    <row r="199" spans="1:99" ht="12.75" customHeight="1">
      <c r="A199" s="28"/>
      <c r="B199" s="28"/>
      <c r="C199" s="391"/>
      <c r="D199" s="28"/>
      <c r="E199" s="415"/>
      <c r="F199" s="242"/>
      <c r="G199" s="242"/>
      <c r="H199" s="416"/>
      <c r="I199" s="23"/>
      <c r="J199" s="415"/>
      <c r="K199" s="242"/>
      <c r="L199" s="242"/>
      <c r="M199" s="416"/>
      <c r="N199" s="23"/>
      <c r="O199" s="415"/>
      <c r="P199" s="242"/>
      <c r="Q199" s="242"/>
      <c r="R199" s="416"/>
      <c r="S199" s="23"/>
      <c r="T199" s="415"/>
      <c r="U199" s="242"/>
      <c r="V199" s="242"/>
      <c r="W199" s="416"/>
      <c r="X199" s="23"/>
      <c r="Y199" s="415"/>
      <c r="Z199" s="242"/>
      <c r="AA199" s="242"/>
      <c r="AB199" s="416"/>
      <c r="AC199" s="23"/>
      <c r="AD199" s="415"/>
      <c r="AE199" s="242"/>
      <c r="AF199" s="242"/>
      <c r="AG199" s="416"/>
      <c r="AH199" s="23"/>
      <c r="AI199" s="415"/>
      <c r="AJ199" s="242"/>
      <c r="AK199" s="242"/>
      <c r="AL199" s="416"/>
      <c r="AM199" s="23"/>
      <c r="AN199" s="415"/>
      <c r="AO199" s="242"/>
      <c r="AP199" s="242"/>
      <c r="AQ199" s="416"/>
      <c r="AR199" s="23"/>
      <c r="AS199" s="415"/>
      <c r="AT199" s="242"/>
      <c r="AU199" s="242"/>
      <c r="AV199" s="416"/>
      <c r="AW199" s="23"/>
      <c r="AX199" s="415"/>
      <c r="AY199" s="242"/>
      <c r="AZ199" s="242"/>
      <c r="BA199" s="416"/>
      <c r="BB199" s="23"/>
      <c r="BC199" s="415"/>
      <c r="BD199" s="242"/>
      <c r="BE199" s="242"/>
      <c r="BF199" s="416"/>
      <c r="BG199" s="23"/>
      <c r="BH199" s="415"/>
      <c r="BI199" s="242"/>
      <c r="BJ199" s="242"/>
      <c r="BK199" s="416"/>
      <c r="BL199" s="23"/>
      <c r="BM199" s="415"/>
      <c r="BN199" s="242"/>
      <c r="BO199" s="242"/>
      <c r="BP199" s="416"/>
      <c r="BQ199" s="23"/>
      <c r="BR199" s="28"/>
      <c r="BS199" s="28"/>
      <c r="BT199" s="28"/>
      <c r="BU199" s="28"/>
      <c r="BV199" s="28"/>
      <c r="BW199" s="28"/>
      <c r="BX199" s="28"/>
      <c r="BY199" s="28"/>
      <c r="BZ199" s="28"/>
      <c r="CA199" s="28"/>
      <c r="CB199" s="28"/>
      <c r="CC199" s="5"/>
      <c r="CD199" s="5"/>
      <c r="CE199" s="28"/>
      <c r="CF199" s="28"/>
      <c r="CG199" s="28"/>
      <c r="CH199" s="28"/>
      <c r="CI199" s="28"/>
      <c r="CJ199" s="28"/>
      <c r="CK199" s="28"/>
      <c r="CL199" s="28"/>
      <c r="CM199" s="28"/>
      <c r="CN199" s="28"/>
      <c r="CO199" s="28"/>
      <c r="CP199" s="28"/>
      <c r="CQ199" s="28"/>
      <c r="CR199" s="28"/>
      <c r="CS199" s="28"/>
      <c r="CT199" s="28"/>
      <c r="CU199" s="28"/>
    </row>
    <row r="200" spans="1:99" ht="12.75" customHeight="1">
      <c r="A200" s="45"/>
      <c r="B200" s="45"/>
      <c r="C200" s="389" t="s">
        <v>786</v>
      </c>
      <c r="D200" s="427"/>
      <c r="E200" s="585">
        <f>6787-2625</f>
        <v>4162</v>
      </c>
      <c r="F200" s="343">
        <f>6850-2625</f>
        <v>4225</v>
      </c>
      <c r="G200" s="343">
        <f>6845-2625</f>
        <v>4220</v>
      </c>
      <c r="H200" s="293">
        <f>I200</f>
        <v>4257</v>
      </c>
      <c r="I200" s="344">
        <f>6882-2625</f>
        <v>4257</v>
      </c>
      <c r="J200" s="585">
        <f>6923-2625</f>
        <v>4298</v>
      </c>
      <c r="K200" s="343">
        <f>6853-2625</f>
        <v>4228</v>
      </c>
      <c r="L200" s="343">
        <f>6905-2625</f>
        <v>4280</v>
      </c>
      <c r="M200" s="293">
        <f>N200</f>
        <v>4285</v>
      </c>
      <c r="N200" s="344">
        <f>6910-2625</f>
        <v>4285</v>
      </c>
      <c r="O200" s="585">
        <f>6904-2625</f>
        <v>4279</v>
      </c>
      <c r="P200" s="343">
        <f>6943-2625</f>
        <v>4318</v>
      </c>
      <c r="Q200" s="343">
        <f>6980-2625</f>
        <v>4355</v>
      </c>
      <c r="R200" s="293">
        <f>S200</f>
        <v>4412</v>
      </c>
      <c r="S200" s="344">
        <f>7037-2625</f>
        <v>4412</v>
      </c>
      <c r="T200" s="585">
        <f>7059-2625</f>
        <v>4434</v>
      </c>
      <c r="U200" s="343">
        <f>7095-2625</f>
        <v>4470</v>
      </c>
      <c r="V200" s="343">
        <f>7175-2625</f>
        <v>4550</v>
      </c>
      <c r="W200" s="293">
        <f>X200</f>
        <v>4698</v>
      </c>
      <c r="X200" s="344">
        <f>7323-2625</f>
        <v>4698</v>
      </c>
      <c r="Y200" s="585">
        <f>7359-2625</f>
        <v>4734</v>
      </c>
      <c r="Z200" s="343">
        <f>7401-2625</f>
        <v>4776</v>
      </c>
      <c r="AA200" s="1462">
        <f>7473-2625</f>
        <v>4848</v>
      </c>
      <c r="AB200" s="1439">
        <f>AC200</f>
        <v>4903</v>
      </c>
      <c r="AC200" s="1472">
        <f>7528-2625</f>
        <v>4903</v>
      </c>
      <c r="AD200" s="585">
        <f>7590-2625</f>
        <v>4965</v>
      </c>
      <c r="AE200" s="343">
        <f>7698-2625</f>
        <v>5073</v>
      </c>
      <c r="AF200" s="1462">
        <f>7805-2625</f>
        <v>5180</v>
      </c>
      <c r="AG200" s="1439">
        <f>AH200</f>
        <v>5282</v>
      </c>
      <c r="AH200" s="1472">
        <f>7907-2625</f>
        <v>5282</v>
      </c>
      <c r="AI200" s="585">
        <f>7938-2625</f>
        <v>5313</v>
      </c>
      <c r="AJ200" s="343">
        <f>7994-2625</f>
        <v>5369</v>
      </c>
      <c r="AK200" s="1462">
        <f>8100-2625</f>
        <v>5475</v>
      </c>
      <c r="AL200" s="1439">
        <f>AM200</f>
        <v>5618</v>
      </c>
      <c r="AM200" s="1472">
        <f>8243-2625</f>
        <v>5618</v>
      </c>
      <c r="AN200" s="585">
        <f>8307-2625</f>
        <v>5682</v>
      </c>
      <c r="AO200" s="343">
        <f>8438-2625</f>
        <v>5813</v>
      </c>
      <c r="AP200" s="1462">
        <f>8610-2625</f>
        <v>5985</v>
      </c>
      <c r="AQ200" s="1439">
        <f>AR200</f>
        <v>6100</v>
      </c>
      <c r="AR200" s="1472">
        <f>8725-2625</f>
        <v>6100</v>
      </c>
      <c r="AS200" s="585">
        <f>8861-2625</f>
        <v>6236</v>
      </c>
      <c r="AT200" s="343">
        <f>8980-2625</f>
        <v>6355</v>
      </c>
      <c r="AU200" s="343">
        <f>9444-2625</f>
        <v>6819</v>
      </c>
      <c r="AV200" s="1439">
        <f>AW200</f>
        <v>6771</v>
      </c>
      <c r="AW200" s="1472">
        <f>9542-2771</f>
        <v>6771</v>
      </c>
      <c r="AX200" s="292">
        <f>+AW200+AX163+AX179</f>
        <v>6897.5304222354262</v>
      </c>
      <c r="AY200" s="261">
        <f ca="1">+AX200+AY163+AY179</f>
        <v>7025.027995198283</v>
      </c>
      <c r="AZ200" s="261">
        <f ca="1">+AY200+AZ163+AZ179</f>
        <v>7191.7561428402605</v>
      </c>
      <c r="BA200" s="293">
        <f ca="1">+AZ200+BA163+BA179</f>
        <v>7279.7964192117151</v>
      </c>
      <c r="BB200" s="228">
        <f ca="1">+BA200</f>
        <v>7279.7964192117151</v>
      </c>
      <c r="BC200" s="292">
        <f ca="1">+BB200+BC163+BC179</f>
        <v>7369.712122465653</v>
      </c>
      <c r="BD200" s="261">
        <f ca="1">+BC200+BD163+BD179</f>
        <v>7456.063093904354</v>
      </c>
      <c r="BE200" s="261">
        <f ca="1">+BD200+BE163+BE179</f>
        <v>7586.6905611888014</v>
      </c>
      <c r="BF200" s="293">
        <f ca="1">+BE200+BF163+BF179</f>
        <v>7641.064851713485</v>
      </c>
      <c r="BG200" s="228">
        <f ca="1">+BF200</f>
        <v>7641.064851713485</v>
      </c>
      <c r="BH200" s="292">
        <f ca="1">+BG200+BH163+BH179</f>
        <v>7735.8404923146136</v>
      </c>
      <c r="BI200" s="261">
        <f ca="1">+BH200+BI163+BI179</f>
        <v>7827.8839976165191</v>
      </c>
      <c r="BJ200" s="261">
        <f ca="1">+BI200+BJ163+BJ179</f>
        <v>7959.3132730257657</v>
      </c>
      <c r="BK200" s="293">
        <f ca="1">+BJ200+BK163+BK179</f>
        <v>8017.2022041281552</v>
      </c>
      <c r="BL200" s="228">
        <f ca="1">+BK200</f>
        <v>8017.2022041281552</v>
      </c>
      <c r="BM200" s="292">
        <f ca="1">+BL200+BM163+BM179</f>
        <v>8109.3226191171034</v>
      </c>
      <c r="BN200" s="261">
        <f ca="1">+BM200+BN163+BN179</f>
        <v>8198.8121018804832</v>
      </c>
      <c r="BO200" s="261">
        <f ca="1">+BN200+BO163+BO179</f>
        <v>8326.6785314260105</v>
      </c>
      <c r="BP200" s="293">
        <f ca="1">+BO200+BP163+BP179</f>
        <v>8382.7261903619274</v>
      </c>
      <c r="BQ200" s="228">
        <f ca="1">+BP200</f>
        <v>8382.7261903619274</v>
      </c>
      <c r="BR200" s="45"/>
      <c r="BS200" s="45"/>
      <c r="BT200" s="45"/>
      <c r="BU200" s="45"/>
      <c r="BV200" s="45"/>
      <c r="BW200" s="45"/>
      <c r="BX200" s="45"/>
      <c r="BY200" s="45"/>
      <c r="BZ200" s="45"/>
      <c r="CA200" s="45"/>
      <c r="CB200" s="45"/>
      <c r="CC200" s="5"/>
      <c r="CD200" s="5"/>
      <c r="CE200" s="45"/>
      <c r="CF200" s="45"/>
      <c r="CG200" s="45"/>
      <c r="CH200" s="45"/>
      <c r="CI200" s="45"/>
      <c r="CJ200" s="45"/>
      <c r="CK200" s="45"/>
      <c r="CL200" s="45"/>
      <c r="CM200" s="45"/>
      <c r="CN200" s="45"/>
      <c r="CO200" s="45"/>
      <c r="CP200" s="45"/>
      <c r="CQ200" s="45"/>
      <c r="CR200" s="45"/>
      <c r="CS200" s="45"/>
      <c r="CT200" s="45"/>
      <c r="CU200" s="45"/>
    </row>
    <row r="201" spans="1:99" ht="12.75" customHeight="1">
      <c r="A201" s="223"/>
      <c r="B201" s="223"/>
      <c r="C201" s="408" t="s">
        <v>612</v>
      </c>
      <c r="D201" s="223"/>
      <c r="E201" s="275">
        <f t="shared" ref="E201:AE201" si="571">+E200/E203</f>
        <v>0.44980006484383445</v>
      </c>
      <c r="F201" s="252">
        <f t="shared" si="571"/>
        <v>0.45998911268372344</v>
      </c>
      <c r="G201" s="252">
        <f t="shared" si="571"/>
        <v>0.45493747304872789</v>
      </c>
      <c r="H201" s="276">
        <f t="shared" si="571"/>
        <v>0.45631900525243863</v>
      </c>
      <c r="I201" s="222">
        <f t="shared" si="571"/>
        <v>0.45631900525243863</v>
      </c>
      <c r="J201" s="275">
        <f t="shared" si="571"/>
        <v>0.45375844594594594</v>
      </c>
      <c r="K201" s="252">
        <f t="shared" si="571"/>
        <v>0.44811870694223638</v>
      </c>
      <c r="L201" s="252">
        <f t="shared" si="571"/>
        <v>0.44807370184254608</v>
      </c>
      <c r="M201" s="276">
        <f t="shared" si="571"/>
        <v>0.45143278550358196</v>
      </c>
      <c r="N201" s="222">
        <f t="shared" si="571"/>
        <v>0.45143278550358196</v>
      </c>
      <c r="O201" s="275">
        <f t="shared" si="571"/>
        <v>0.42215864246250989</v>
      </c>
      <c r="P201" s="252">
        <f t="shared" si="571"/>
        <v>0.42646913580246915</v>
      </c>
      <c r="Q201" s="252">
        <f t="shared" si="571"/>
        <v>0.40462696274272975</v>
      </c>
      <c r="R201" s="276">
        <f t="shared" si="571"/>
        <v>0.42905766799572109</v>
      </c>
      <c r="S201" s="222">
        <f t="shared" si="571"/>
        <v>0.42905766799572109</v>
      </c>
      <c r="T201" s="275">
        <f t="shared" si="571"/>
        <v>0.4365462242788225</v>
      </c>
      <c r="U201" s="252">
        <f t="shared" si="571"/>
        <v>0.44947209653092007</v>
      </c>
      <c r="V201" s="252">
        <f t="shared" si="571"/>
        <v>0.45463629096722624</v>
      </c>
      <c r="W201" s="276">
        <f t="shared" si="571"/>
        <v>0.4486677490211059</v>
      </c>
      <c r="X201" s="222">
        <f t="shared" si="571"/>
        <v>0.4486677490211059</v>
      </c>
      <c r="Y201" s="275">
        <f t="shared" si="571"/>
        <v>0.4412751677852349</v>
      </c>
      <c r="Z201" s="252">
        <f t="shared" si="571"/>
        <v>0.44193578236328307</v>
      </c>
      <c r="AA201" s="252">
        <f t="shared" si="571"/>
        <v>0.44554728425696166</v>
      </c>
      <c r="AB201" s="276">
        <f>+AB200/AB203</f>
        <v>0.44702771699489424</v>
      </c>
      <c r="AC201" s="222">
        <f>+AC200/AC203</f>
        <v>0.44702771699489424</v>
      </c>
      <c r="AD201" s="275">
        <f>+AD200/AD203</f>
        <v>0.43506834910620401</v>
      </c>
      <c r="AE201" s="252">
        <f t="shared" si="571"/>
        <v>0.44170657379190248</v>
      </c>
      <c r="AF201" s="252">
        <f>+AF200/AF203</f>
        <v>0.44570641886078127</v>
      </c>
      <c r="AG201" s="276">
        <f>+AG200/AG203</f>
        <v>0.44953191489361705</v>
      </c>
      <c r="AH201" s="222">
        <f>+AH200/AH203</f>
        <v>0.44953191489361705</v>
      </c>
      <c r="AI201" s="275">
        <f>+AI200/AI203</f>
        <v>0.43688841378176135</v>
      </c>
      <c r="AJ201" s="252">
        <f t="shared" ref="AJ201" si="572">+AJ200/AJ203</f>
        <v>0.44091319701075798</v>
      </c>
      <c r="AK201" s="252">
        <f t="shared" ref="AK201:AP201" si="573">+AK200/AK203</f>
        <v>0.44206701655228098</v>
      </c>
      <c r="AL201" s="276">
        <f t="shared" si="573"/>
        <v>0.44495485506098525</v>
      </c>
      <c r="AM201" s="222">
        <f t="shared" si="573"/>
        <v>0.44495485506098525</v>
      </c>
      <c r="AN201" s="275">
        <f t="shared" si="573"/>
        <v>0.43573619631901839</v>
      </c>
      <c r="AO201" s="252">
        <f t="shared" si="573"/>
        <v>0.4228251382019203</v>
      </c>
      <c r="AP201" s="252">
        <f t="shared" si="573"/>
        <v>0.45234676139369662</v>
      </c>
      <c r="AQ201" s="276">
        <f t="shared" ref="AQ201:AT201" si="574">+AQ200/AQ203</f>
        <v>0.45733993102414155</v>
      </c>
      <c r="AR201" s="222">
        <f t="shared" si="574"/>
        <v>0.45733993102414155</v>
      </c>
      <c r="AS201" s="275">
        <f t="shared" si="574"/>
        <v>0.45054548081786</v>
      </c>
      <c r="AT201" s="252">
        <f t="shared" si="574"/>
        <v>0.45441544511977117</v>
      </c>
      <c r="AU201" s="252">
        <f t="shared" ref="AU201:BB201" si="575">+AU200/AU203</f>
        <v>0.46628829321663018</v>
      </c>
      <c r="AV201" s="276">
        <f t="shared" si="575"/>
        <v>0.4644988680798518</v>
      </c>
      <c r="AW201" s="222">
        <f t="shared" si="575"/>
        <v>0.4644988680798518</v>
      </c>
      <c r="AX201" s="275">
        <f t="shared" ca="1" si="575"/>
        <v>0.46563655048921687</v>
      </c>
      <c r="AY201" s="252">
        <f t="shared" ca="1" si="575"/>
        <v>0.46456664383365703</v>
      </c>
      <c r="AZ201" s="252">
        <f t="shared" ca="1" si="575"/>
        <v>0.45784745303156038</v>
      </c>
      <c r="BA201" s="276">
        <f t="shared" ca="1" si="575"/>
        <v>0.46086922279889775</v>
      </c>
      <c r="BB201" s="222">
        <f t="shared" ca="1" si="575"/>
        <v>0.46086922279889775</v>
      </c>
      <c r="BC201" s="275">
        <f t="shared" ref="BC201:BL201" ca="1" si="576">+BC200/BC203</f>
        <v>0.46273821679087224</v>
      </c>
      <c r="BD201" s="252">
        <f t="shared" ca="1" si="576"/>
        <v>0.46252203439331963</v>
      </c>
      <c r="BE201" s="252">
        <f t="shared" ca="1" si="576"/>
        <v>0.45902907808573518</v>
      </c>
      <c r="BF201" s="276">
        <f t="shared" ca="1" si="576"/>
        <v>0.46080297719520175</v>
      </c>
      <c r="BG201" s="222">
        <f t="shared" ca="1" si="576"/>
        <v>0.46080297719520175</v>
      </c>
      <c r="BH201" s="275">
        <f t="shared" ca="1" si="576"/>
        <v>0.46241107824615907</v>
      </c>
      <c r="BI201" s="252">
        <f t="shared" ca="1" si="576"/>
        <v>0.46170605073812554</v>
      </c>
      <c r="BJ201" s="252">
        <f t="shared" ca="1" si="576"/>
        <v>0.45742356175646659</v>
      </c>
      <c r="BK201" s="276">
        <f t="shared" ca="1" si="576"/>
        <v>0.45922266854214877</v>
      </c>
      <c r="BL201" s="222">
        <f t="shared" ca="1" si="576"/>
        <v>0.45922266854214877</v>
      </c>
      <c r="BM201" s="275">
        <f t="shared" ref="BM201:BQ201" ca="1" si="577">+BM200/BM203</f>
        <v>0.46106812041691703</v>
      </c>
      <c r="BN201" s="252">
        <f t="shared" ca="1" si="577"/>
        <v>0.46120498364868689</v>
      </c>
      <c r="BO201" s="252">
        <f t="shared" ca="1" si="577"/>
        <v>0.45832374879502202</v>
      </c>
      <c r="BP201" s="276">
        <f t="shared" ca="1" si="577"/>
        <v>0.45998969161396536</v>
      </c>
      <c r="BQ201" s="222">
        <f t="shared" ca="1" si="577"/>
        <v>0.45998969161396536</v>
      </c>
      <c r="BR201" s="223"/>
      <c r="BS201" s="223"/>
      <c r="BT201" s="223"/>
      <c r="BU201" s="223"/>
      <c r="BV201" s="223"/>
      <c r="BW201" s="223"/>
      <c r="BX201" s="223"/>
      <c r="BY201" s="223"/>
      <c r="BZ201" s="223"/>
      <c r="CA201" s="223"/>
      <c r="CB201" s="223"/>
      <c r="CC201" s="5"/>
      <c r="CD201" s="5"/>
      <c r="CE201" s="223"/>
      <c r="CF201" s="223"/>
      <c r="CG201" s="223"/>
      <c r="CH201" s="223"/>
      <c r="CI201" s="223"/>
      <c r="CJ201" s="223"/>
      <c r="CK201" s="223"/>
      <c r="CL201" s="223"/>
      <c r="CM201" s="223"/>
      <c r="CN201" s="223"/>
      <c r="CO201" s="223"/>
      <c r="CP201" s="223"/>
      <c r="CQ201" s="223"/>
      <c r="CR201" s="223"/>
      <c r="CS201" s="223"/>
      <c r="CT201" s="223"/>
      <c r="CU201" s="223"/>
    </row>
    <row r="202" spans="1:99" ht="12.75" customHeight="1">
      <c r="A202" s="28"/>
      <c r="B202" s="28"/>
      <c r="C202" s="409"/>
      <c r="D202" s="28"/>
      <c r="E202" s="415"/>
      <c r="F202" s="242"/>
      <c r="G202" s="242"/>
      <c r="H202" s="416"/>
      <c r="I202" s="23"/>
      <c r="J202" s="415"/>
      <c r="K202" s="242"/>
      <c r="L202" s="242"/>
      <c r="M202" s="416"/>
      <c r="N202" s="23"/>
      <c r="O202" s="415"/>
      <c r="P202" s="242"/>
      <c r="Q202" s="242"/>
      <c r="R202" s="416"/>
      <c r="S202" s="23"/>
      <c r="T202" s="415"/>
      <c r="U202" s="242"/>
      <c r="V202" s="242"/>
      <c r="W202" s="416"/>
      <c r="X202" s="23"/>
      <c r="Y202" s="415"/>
      <c r="Z202" s="242"/>
      <c r="AA202" s="242"/>
      <c r="AB202" s="416"/>
      <c r="AC202" s="23"/>
      <c r="AD202" s="415"/>
      <c r="AE202" s="242"/>
      <c r="AF202" s="242"/>
      <c r="AG202" s="416"/>
      <c r="AH202" s="23"/>
      <c r="AI202" s="415"/>
      <c r="AJ202" s="242"/>
      <c r="AK202" s="242"/>
      <c r="AL202" s="416"/>
      <c r="AM202" s="23"/>
      <c r="AN202" s="415"/>
      <c r="AO202" s="242"/>
      <c r="AP202" s="242"/>
      <c r="AQ202" s="416"/>
      <c r="AR202" s="23"/>
      <c r="AS202" s="415"/>
      <c r="AT202" s="242"/>
      <c r="AU202" s="242"/>
      <c r="AV202" s="416"/>
      <c r="AW202" s="23"/>
      <c r="AX202" s="415"/>
      <c r="AY202" s="242"/>
      <c r="AZ202" s="242"/>
      <c r="BA202" s="416"/>
      <c r="BB202" s="23"/>
      <c r="BC202" s="415"/>
      <c r="BD202" s="242"/>
      <c r="BE202" s="242"/>
      <c r="BF202" s="416"/>
      <c r="BG202" s="23"/>
      <c r="BH202" s="415"/>
      <c r="BI202" s="242"/>
      <c r="BJ202" s="242"/>
      <c r="BK202" s="416"/>
      <c r="BL202" s="23"/>
      <c r="BM202" s="415"/>
      <c r="BN202" s="242"/>
      <c r="BO202" s="242"/>
      <c r="BP202" s="416"/>
      <c r="BQ202" s="23"/>
      <c r="BR202" s="28"/>
      <c r="BS202" s="28"/>
      <c r="BT202" s="28"/>
      <c r="BU202" s="28"/>
      <c r="BV202" s="28"/>
      <c r="BW202" s="28"/>
      <c r="BX202" s="28"/>
      <c r="BY202" s="28"/>
      <c r="BZ202" s="28"/>
      <c r="CA202" s="28"/>
      <c r="CB202" s="28"/>
      <c r="CC202" s="5"/>
      <c r="CD202" s="5"/>
      <c r="CE202" s="28"/>
      <c r="CF202" s="28"/>
      <c r="CG202" s="28"/>
      <c r="CH202" s="28"/>
      <c r="CI202" s="28"/>
      <c r="CJ202" s="28"/>
      <c r="CK202" s="28"/>
      <c r="CL202" s="28"/>
      <c r="CM202" s="28"/>
      <c r="CN202" s="28"/>
      <c r="CO202" s="28"/>
      <c r="CP202" s="28"/>
      <c r="CQ202" s="28"/>
      <c r="CR202" s="28"/>
      <c r="CS202" s="28"/>
      <c r="CT202" s="28"/>
      <c r="CU202" s="28"/>
    </row>
    <row r="203" spans="1:99" ht="12.75" customHeight="1">
      <c r="A203" s="45"/>
      <c r="B203" s="45"/>
      <c r="C203" s="389" t="s">
        <v>494</v>
      </c>
      <c r="D203" s="45"/>
      <c r="E203" s="292">
        <f>+E200+E197+E194</f>
        <v>9253</v>
      </c>
      <c r="F203" s="261">
        <f>+F200+F197+F194</f>
        <v>9185</v>
      </c>
      <c r="G203" s="261">
        <f>+G200+G197+G194</f>
        <v>9276</v>
      </c>
      <c r="H203" s="293">
        <f>+I203</f>
        <v>9329</v>
      </c>
      <c r="I203" s="228">
        <f>+I200+I197+I194</f>
        <v>9329</v>
      </c>
      <c r="J203" s="292">
        <f>+J200+J197+J194</f>
        <v>9472</v>
      </c>
      <c r="K203" s="261">
        <f>+K200+K197+K194</f>
        <v>9435</v>
      </c>
      <c r="L203" s="261">
        <f>+L200+L197+L194</f>
        <v>9552</v>
      </c>
      <c r="M203" s="293">
        <f>+N203</f>
        <v>9492</v>
      </c>
      <c r="N203" s="228">
        <f>+N200+N197+N194</f>
        <v>9492</v>
      </c>
      <c r="O203" s="292">
        <f>+O200+O197+O194</f>
        <v>10136</v>
      </c>
      <c r="P203" s="261">
        <f>+P200+P197+P194</f>
        <v>10125</v>
      </c>
      <c r="Q203" s="261">
        <f>+Q200+Q197+Q194</f>
        <v>10763</v>
      </c>
      <c r="R203" s="293">
        <f>+S203</f>
        <v>10283</v>
      </c>
      <c r="S203" s="228">
        <f>+S200+S197+S194</f>
        <v>10283</v>
      </c>
      <c r="T203" s="292">
        <f>+T200+T197+T194</f>
        <v>10157</v>
      </c>
      <c r="U203" s="261">
        <f>+U200+U197+U194</f>
        <v>9945</v>
      </c>
      <c r="V203" s="261">
        <f>+V200+V197+V194</f>
        <v>10008</v>
      </c>
      <c r="W203" s="293">
        <f>+X203</f>
        <v>10471</v>
      </c>
      <c r="X203" s="228">
        <f>+X200+X197+X194</f>
        <v>10471</v>
      </c>
      <c r="Y203" s="292">
        <f>+Y200+Y197+Y194</f>
        <v>10728</v>
      </c>
      <c r="Z203" s="261">
        <f>+Z200+Z197+Z194</f>
        <v>10807</v>
      </c>
      <c r="AA203" s="1438">
        <f>+AA200+AA197+AA194</f>
        <v>10881</v>
      </c>
      <c r="AB203" s="1439">
        <f>+AC203</f>
        <v>10968</v>
      </c>
      <c r="AC203" s="1440">
        <f>+AC200+AC197+AC194</f>
        <v>10968</v>
      </c>
      <c r="AD203" s="292">
        <f>+AD200+AD197+AD194</f>
        <v>11412</v>
      </c>
      <c r="AE203" s="261">
        <f>+AE200+AE197+AE194</f>
        <v>11485</v>
      </c>
      <c r="AF203" s="1438">
        <f>+AF200+AF197+AF194</f>
        <v>11622</v>
      </c>
      <c r="AG203" s="1439">
        <f>+AH203</f>
        <v>11750</v>
      </c>
      <c r="AH203" s="1440">
        <f>+AH200+AH197+AH194</f>
        <v>11750</v>
      </c>
      <c r="AI203" s="292">
        <f>+AI200+AI197+AI194</f>
        <v>12161</v>
      </c>
      <c r="AJ203" s="261">
        <f>+AJ200+AJ197+AJ194</f>
        <v>12177</v>
      </c>
      <c r="AK203" s="1438">
        <f>+AK200+AK197+AK194</f>
        <v>12385</v>
      </c>
      <c r="AL203" s="1439">
        <f>+AM203</f>
        <v>12626</v>
      </c>
      <c r="AM203" s="1440">
        <f>+AM200+AM197+AM194</f>
        <v>12626</v>
      </c>
      <c r="AN203" s="292">
        <f>+AN200+AN197+AN194</f>
        <v>13040</v>
      </c>
      <c r="AO203" s="261">
        <f>+AO200+AO197+AO194</f>
        <v>13748</v>
      </c>
      <c r="AP203" s="1438">
        <f>+AP200+AP197+AP194</f>
        <v>13231</v>
      </c>
      <c r="AQ203" s="1439">
        <f>+AR203</f>
        <v>13338</v>
      </c>
      <c r="AR203" s="1440">
        <f>+AR200+AR197+AR194</f>
        <v>13338</v>
      </c>
      <c r="AS203" s="292">
        <f>+AS200+AS197+AS194</f>
        <v>13841</v>
      </c>
      <c r="AT203" s="261">
        <f>+AT200+AT197+AT194</f>
        <v>13985</v>
      </c>
      <c r="AU203" s="261">
        <f t="shared" ref="AU203" si="578">+AU200+AU197+AU194</f>
        <v>14624</v>
      </c>
      <c r="AV203" s="1439">
        <f>+AW203</f>
        <v>14577</v>
      </c>
      <c r="AW203" s="1440">
        <f>+AW200+AW197+AW194</f>
        <v>14577</v>
      </c>
      <c r="AX203" s="292">
        <f ca="1">+AX200+AX197+AX194</f>
        <v>14813.120694646066</v>
      </c>
      <c r="AY203" s="261">
        <f ca="1">+AY200+AY197+AY194</f>
        <v>15121.679716879691</v>
      </c>
      <c r="AZ203" s="261">
        <f ca="1">+AZ200+AZ197+AZ194</f>
        <v>15707.756142840261</v>
      </c>
      <c r="BA203" s="293">
        <f ca="1">+BB203</f>
        <v>15795.796419211714</v>
      </c>
      <c r="BB203" s="228">
        <f ca="1">+BB200+BB197+BB194</f>
        <v>15795.796419211714</v>
      </c>
      <c r="BC203" s="292">
        <f ca="1">+BC200+BC197+BC194</f>
        <v>15926.309639119967</v>
      </c>
      <c r="BD203" s="261">
        <f ca="1">+BD200+BD197+BD194</f>
        <v>16120.449490983308</v>
      </c>
      <c r="BE203" s="261">
        <f ca="1">+BE200+BE197+BE194</f>
        <v>16527.6905611888</v>
      </c>
      <c r="BF203" s="293">
        <f ca="1">+BG203</f>
        <v>16582.064851713483</v>
      </c>
      <c r="BG203" s="228">
        <f ca="1">+BG200+BG197+BG194</f>
        <v>16582.064851713483</v>
      </c>
      <c r="BH203" s="292">
        <f ca="1">+BH200+BH197+BH194</f>
        <v>16729.358045778761</v>
      </c>
      <c r="BI203" s="261">
        <f ca="1">+BI200+BI197+BI194</f>
        <v>16954.259068301461</v>
      </c>
      <c r="BJ203" s="261">
        <f ca="1">+BJ200+BJ197+BJ194</f>
        <v>17400.313273025764</v>
      </c>
      <c r="BK203" s="293">
        <f ca="1">+BL203</f>
        <v>17458.202204128156</v>
      </c>
      <c r="BL203" s="228">
        <f ca="1">+BL200+BL197+BL194</f>
        <v>17458.202204128156</v>
      </c>
      <c r="BM203" s="292">
        <f ca="1">+BM200+BM197+BM194</f>
        <v>17588.122578902909</v>
      </c>
      <c r="BN203" s="261">
        <f ca="1">+BN200+BN197+BN194</f>
        <v>17776.937354444883</v>
      </c>
      <c r="BO203" s="261">
        <f ca="1">+BO200+BO197+BO194</f>
        <v>18167.678531426012</v>
      </c>
      <c r="BP203" s="293">
        <f ca="1">+BQ203</f>
        <v>18223.726190361929</v>
      </c>
      <c r="BQ203" s="228">
        <f ca="1">+BQ200+BQ197+BQ194</f>
        <v>18223.726190361929</v>
      </c>
      <c r="BR203" s="45"/>
      <c r="BS203" s="45"/>
      <c r="BT203" s="45"/>
      <c r="BU203" s="45"/>
      <c r="BV203" s="45"/>
      <c r="BW203" s="45"/>
      <c r="BX203" s="45"/>
      <c r="BY203" s="45"/>
      <c r="BZ203" s="45"/>
      <c r="CA203" s="45"/>
      <c r="CB203" s="45"/>
      <c r="CC203" s="5"/>
      <c r="CD203" s="5"/>
      <c r="CE203" s="45"/>
      <c r="CF203" s="45"/>
      <c r="CG203" s="45"/>
      <c r="CH203" s="45"/>
      <c r="CI203" s="45"/>
      <c r="CJ203" s="45"/>
      <c r="CK203" s="45"/>
      <c r="CL203" s="45"/>
      <c r="CM203" s="45"/>
      <c r="CN203" s="45"/>
      <c r="CO203" s="45"/>
      <c r="CP203" s="45"/>
      <c r="CQ203" s="45"/>
      <c r="CR203" s="45"/>
      <c r="CS203" s="45"/>
      <c r="CT203" s="45"/>
      <c r="CU203" s="45"/>
    </row>
    <row r="204" spans="1:99" ht="12.75" customHeight="1">
      <c r="A204" s="223"/>
      <c r="B204" s="223"/>
      <c r="C204" s="408" t="s">
        <v>612</v>
      </c>
      <c r="D204" s="223"/>
      <c r="E204" s="275">
        <f t="shared" ref="E204:AE204" si="579">(E194+E197+E200)/E203</f>
        <v>1</v>
      </c>
      <c r="F204" s="252">
        <f t="shared" si="579"/>
        <v>1</v>
      </c>
      <c r="G204" s="252">
        <f t="shared" si="579"/>
        <v>1</v>
      </c>
      <c r="H204" s="276">
        <f t="shared" si="579"/>
        <v>1</v>
      </c>
      <c r="I204" s="222">
        <f t="shared" si="579"/>
        <v>1</v>
      </c>
      <c r="J204" s="275">
        <f t="shared" si="579"/>
        <v>1</v>
      </c>
      <c r="K204" s="252">
        <f t="shared" si="579"/>
        <v>1</v>
      </c>
      <c r="L204" s="252">
        <f t="shared" si="579"/>
        <v>1</v>
      </c>
      <c r="M204" s="276">
        <f t="shared" si="579"/>
        <v>1</v>
      </c>
      <c r="N204" s="222">
        <f t="shared" si="579"/>
        <v>1</v>
      </c>
      <c r="O204" s="275">
        <f t="shared" si="579"/>
        <v>1</v>
      </c>
      <c r="P204" s="252">
        <f t="shared" si="579"/>
        <v>1</v>
      </c>
      <c r="Q204" s="252">
        <f t="shared" si="579"/>
        <v>1</v>
      </c>
      <c r="R204" s="276">
        <f t="shared" si="579"/>
        <v>1</v>
      </c>
      <c r="S204" s="222">
        <f t="shared" si="579"/>
        <v>1</v>
      </c>
      <c r="T204" s="275">
        <f t="shared" si="579"/>
        <v>1</v>
      </c>
      <c r="U204" s="252">
        <f t="shared" si="579"/>
        <v>1</v>
      </c>
      <c r="V204" s="252">
        <f t="shared" si="579"/>
        <v>1</v>
      </c>
      <c r="W204" s="276">
        <f t="shared" si="579"/>
        <v>1</v>
      </c>
      <c r="X204" s="222">
        <f t="shared" si="579"/>
        <v>1</v>
      </c>
      <c r="Y204" s="275">
        <f t="shared" si="579"/>
        <v>1</v>
      </c>
      <c r="Z204" s="252">
        <f t="shared" si="579"/>
        <v>1</v>
      </c>
      <c r="AA204" s="252">
        <f t="shared" si="579"/>
        <v>1</v>
      </c>
      <c r="AB204" s="276">
        <f>(AB194+AB197+AB200)/AB203</f>
        <v>1</v>
      </c>
      <c r="AC204" s="222">
        <f>(AC194+AC197+AC200)/AC203</f>
        <v>1</v>
      </c>
      <c r="AD204" s="275">
        <f>(AD194+AD197+AD200)/AD203</f>
        <v>1</v>
      </c>
      <c r="AE204" s="252">
        <f t="shared" si="579"/>
        <v>1</v>
      </c>
      <c r="AF204" s="252">
        <f>(AF194+AF197+AF200)/AF203</f>
        <v>1</v>
      </c>
      <c r="AG204" s="276">
        <f>(AG194+AG197+AG200)/AG203</f>
        <v>1</v>
      </c>
      <c r="AH204" s="222">
        <f>(AH194+AH197+AH200)/AH203</f>
        <v>1</v>
      </c>
      <c r="AI204" s="275">
        <f>(AI194+AI197+AI200)/AI203</f>
        <v>1</v>
      </c>
      <c r="AJ204" s="252">
        <f t="shared" ref="AJ204" si="580">(AJ194+AJ197+AJ200)/AJ203</f>
        <v>1</v>
      </c>
      <c r="AK204" s="252">
        <f t="shared" ref="AK204:AP204" si="581">(AK194+AK197+AK200)/AK203</f>
        <v>1</v>
      </c>
      <c r="AL204" s="276">
        <f t="shared" si="581"/>
        <v>1</v>
      </c>
      <c r="AM204" s="222">
        <f t="shared" si="581"/>
        <v>1</v>
      </c>
      <c r="AN204" s="275">
        <f t="shared" si="581"/>
        <v>1</v>
      </c>
      <c r="AO204" s="252">
        <f t="shared" si="581"/>
        <v>1</v>
      </c>
      <c r="AP204" s="252">
        <f t="shared" si="581"/>
        <v>1</v>
      </c>
      <c r="AQ204" s="276">
        <f t="shared" ref="AQ204:AT204" si="582">(AQ194+AQ197+AQ200)/AQ203</f>
        <v>1</v>
      </c>
      <c r="AR204" s="222">
        <f t="shared" si="582"/>
        <v>1</v>
      </c>
      <c r="AS204" s="275">
        <f t="shared" si="582"/>
        <v>1</v>
      </c>
      <c r="AT204" s="252">
        <f t="shared" si="582"/>
        <v>1</v>
      </c>
      <c r="AU204" s="252">
        <f t="shared" ref="AU204:AW204" si="583">(AU194+AU197+AU200)/AU203</f>
        <v>1</v>
      </c>
      <c r="AV204" s="276">
        <f t="shared" si="583"/>
        <v>1</v>
      </c>
      <c r="AW204" s="222">
        <f t="shared" si="583"/>
        <v>1</v>
      </c>
      <c r="AX204" s="275">
        <f t="shared" ref="AX204:BB204" ca="1" si="584">(AX194+AX197+AX200)/AX203</f>
        <v>1</v>
      </c>
      <c r="AY204" s="252">
        <f t="shared" ca="1" si="584"/>
        <v>1</v>
      </c>
      <c r="AZ204" s="252">
        <f t="shared" ca="1" si="584"/>
        <v>1</v>
      </c>
      <c r="BA204" s="276">
        <f t="shared" ca="1" si="584"/>
        <v>1</v>
      </c>
      <c r="BB204" s="222">
        <f t="shared" ca="1" si="584"/>
        <v>1</v>
      </c>
      <c r="BC204" s="275">
        <f t="shared" ref="BC204:BL204" ca="1" si="585">(BC194+BC197+BC200)/BC203</f>
        <v>1</v>
      </c>
      <c r="BD204" s="252">
        <f t="shared" ca="1" si="585"/>
        <v>1</v>
      </c>
      <c r="BE204" s="252">
        <f t="shared" ca="1" si="585"/>
        <v>1</v>
      </c>
      <c r="BF204" s="276">
        <f t="shared" ca="1" si="585"/>
        <v>1</v>
      </c>
      <c r="BG204" s="222">
        <f t="shared" ca="1" si="585"/>
        <v>1</v>
      </c>
      <c r="BH204" s="275">
        <f t="shared" ca="1" si="585"/>
        <v>1</v>
      </c>
      <c r="BI204" s="252">
        <f t="shared" ca="1" si="585"/>
        <v>1</v>
      </c>
      <c r="BJ204" s="252">
        <f t="shared" ca="1" si="585"/>
        <v>1</v>
      </c>
      <c r="BK204" s="276">
        <f t="shared" ca="1" si="585"/>
        <v>1</v>
      </c>
      <c r="BL204" s="222">
        <f t="shared" ca="1" si="585"/>
        <v>1</v>
      </c>
      <c r="BM204" s="275">
        <f t="shared" ref="BM204:BQ204" ca="1" si="586">(BM194+BM197+BM200)/BM203</f>
        <v>1</v>
      </c>
      <c r="BN204" s="252">
        <f t="shared" ca="1" si="586"/>
        <v>1</v>
      </c>
      <c r="BO204" s="252">
        <f t="shared" ca="1" si="586"/>
        <v>1</v>
      </c>
      <c r="BP204" s="276">
        <f t="shared" ca="1" si="586"/>
        <v>1</v>
      </c>
      <c r="BQ204" s="222">
        <f t="shared" ca="1" si="586"/>
        <v>1</v>
      </c>
      <c r="BR204" s="223"/>
      <c r="BS204" s="223"/>
      <c r="BT204" s="223"/>
      <c r="BU204" s="223"/>
      <c r="BV204" s="223"/>
      <c r="BW204" s="223"/>
      <c r="BX204" s="223"/>
      <c r="BY204" s="223"/>
      <c r="BZ204" s="223"/>
      <c r="CA204" s="223"/>
      <c r="CB204" s="223"/>
      <c r="CC204" s="5"/>
      <c r="CD204" s="5"/>
      <c r="CE204" s="223"/>
      <c r="CF204" s="223"/>
      <c r="CG204" s="223"/>
      <c r="CH204" s="223"/>
      <c r="CI204" s="223"/>
      <c r="CJ204" s="223"/>
      <c r="CK204" s="223"/>
      <c r="CL204" s="223"/>
      <c r="CM204" s="223"/>
      <c r="CN204" s="223"/>
      <c r="CO204" s="223"/>
      <c r="CP204" s="223"/>
      <c r="CQ204" s="223"/>
      <c r="CR204" s="223"/>
      <c r="CS204" s="223"/>
      <c r="CT204" s="223"/>
      <c r="CU204" s="223"/>
    </row>
    <row r="205" spans="1:99" ht="12.75" customHeight="1">
      <c r="A205" s="28"/>
      <c r="B205" s="28"/>
      <c r="C205" s="28"/>
      <c r="D205" s="28"/>
      <c r="E205" s="415"/>
      <c r="F205" s="242"/>
      <c r="G205" s="242"/>
      <c r="H205" s="416"/>
      <c r="I205" s="23"/>
      <c r="J205" s="415"/>
      <c r="K205" s="242"/>
      <c r="L205" s="242"/>
      <c r="M205" s="416"/>
      <c r="N205" s="23"/>
      <c r="O205" s="415"/>
      <c r="P205" s="242"/>
      <c r="Q205" s="242"/>
      <c r="R205" s="416"/>
      <c r="S205" s="23"/>
      <c r="T205" s="415"/>
      <c r="U205" s="242"/>
      <c r="V205" s="242"/>
      <c r="W205" s="416"/>
      <c r="X205" s="23"/>
      <c r="Y205" s="415"/>
      <c r="Z205" s="242"/>
      <c r="AA205" s="242"/>
      <c r="AB205" s="416"/>
      <c r="AC205" s="23"/>
      <c r="AD205" s="415"/>
      <c r="AE205" s="242"/>
      <c r="AF205" s="242"/>
      <c r="AG205" s="416"/>
      <c r="AH205" s="23"/>
      <c r="AI205" s="415"/>
      <c r="AJ205" s="242"/>
      <c r="AK205" s="242"/>
      <c r="AL205" s="416"/>
      <c r="AM205" s="23"/>
      <c r="AN205" s="415"/>
      <c r="AO205" s="242"/>
      <c r="AP205" s="242"/>
      <c r="AQ205" s="416"/>
      <c r="AR205" s="23"/>
      <c r="AS205" s="415"/>
      <c r="AT205" s="242"/>
      <c r="AU205" s="242"/>
      <c r="AV205" s="416"/>
      <c r="AW205" s="23"/>
      <c r="AX205" s="415"/>
      <c r="AY205" s="242"/>
      <c r="AZ205" s="242"/>
      <c r="BA205" s="416"/>
      <c r="BB205" s="23"/>
      <c r="BC205" s="415"/>
      <c r="BD205" s="242"/>
      <c r="BE205" s="242"/>
      <c r="BF205" s="416"/>
      <c r="BG205" s="23"/>
      <c r="BH205" s="415"/>
      <c r="BI205" s="242"/>
      <c r="BJ205" s="242"/>
      <c r="BK205" s="416"/>
      <c r="BL205" s="23"/>
      <c r="BM205" s="415"/>
      <c r="BN205" s="242"/>
      <c r="BO205" s="242"/>
      <c r="BP205" s="416"/>
      <c r="BQ205" s="23"/>
      <c r="BR205" s="28"/>
      <c r="BS205" s="28"/>
      <c r="BT205" s="28"/>
      <c r="BU205" s="28"/>
      <c r="BV205" s="28"/>
      <c r="BW205" s="28"/>
      <c r="BX205" s="28"/>
      <c r="BY205" s="28"/>
      <c r="BZ205" s="28"/>
      <c r="CA205" s="28"/>
      <c r="CB205" s="28"/>
      <c r="CC205" s="5"/>
      <c r="CD205" s="5"/>
      <c r="CE205" s="28"/>
      <c r="CF205" s="28"/>
      <c r="CG205" s="28"/>
      <c r="CH205" s="28"/>
      <c r="CI205" s="28"/>
      <c r="CJ205" s="28"/>
      <c r="CK205" s="28"/>
      <c r="CL205" s="28"/>
      <c r="CM205" s="28"/>
      <c r="CN205" s="28"/>
      <c r="CO205" s="28"/>
      <c r="CP205" s="28"/>
      <c r="CQ205" s="28"/>
      <c r="CR205" s="28"/>
      <c r="CS205" s="28"/>
      <c r="CT205" s="28"/>
      <c r="CU205" s="28"/>
    </row>
    <row r="206" spans="1:99" ht="12.75" customHeight="1">
      <c r="A206" s="28"/>
      <c r="B206" s="28"/>
      <c r="C206" s="28"/>
      <c r="D206" s="28"/>
      <c r="E206" s="415"/>
      <c r="F206" s="242"/>
      <c r="G206" s="242"/>
      <c r="H206" s="416"/>
      <c r="I206" s="23"/>
      <c r="J206" s="415"/>
      <c r="K206" s="242"/>
      <c r="L206" s="242"/>
      <c r="M206" s="416"/>
      <c r="N206" s="23"/>
      <c r="O206" s="415"/>
      <c r="P206" s="242"/>
      <c r="Q206" s="242"/>
      <c r="R206" s="416"/>
      <c r="S206" s="23"/>
      <c r="T206" s="415"/>
      <c r="U206" s="242"/>
      <c r="V206" s="242"/>
      <c r="W206" s="416"/>
      <c r="X206" s="23"/>
      <c r="Y206" s="415"/>
      <c r="Z206" s="242"/>
      <c r="AA206" s="242"/>
      <c r="AB206" s="416"/>
      <c r="AC206" s="23"/>
      <c r="AD206" s="415"/>
      <c r="AE206" s="242"/>
      <c r="AF206" s="242"/>
      <c r="AG206" s="416"/>
      <c r="AH206" s="23"/>
      <c r="AI206" s="415"/>
      <c r="AJ206" s="242"/>
      <c r="AK206" s="242"/>
      <c r="AL206" s="416"/>
      <c r="AM206" s="23"/>
      <c r="AN206" s="415"/>
      <c r="AO206" s="242"/>
      <c r="AP206" s="242"/>
      <c r="AQ206" s="416"/>
      <c r="AR206" s="23"/>
      <c r="AS206" s="415"/>
      <c r="AT206" s="242"/>
      <c r="AU206" s="242"/>
      <c r="AV206" s="416"/>
      <c r="AW206" s="23"/>
      <c r="AX206" s="415"/>
      <c r="AY206" s="242"/>
      <c r="AZ206" s="242"/>
      <c r="BA206" s="416"/>
      <c r="BB206" s="23"/>
      <c r="BC206" s="415"/>
      <c r="BD206" s="242"/>
      <c r="BE206" s="242"/>
      <c r="BF206" s="416"/>
      <c r="BG206" s="23"/>
      <c r="BH206" s="415"/>
      <c r="BI206" s="242"/>
      <c r="BJ206" s="242"/>
      <c r="BK206" s="416"/>
      <c r="BL206" s="23"/>
      <c r="BM206" s="415"/>
      <c r="BN206" s="242"/>
      <c r="BO206" s="242"/>
      <c r="BP206" s="416"/>
      <c r="BQ206" s="23"/>
      <c r="BR206" s="28"/>
      <c r="BS206" s="28"/>
      <c r="BT206" s="28"/>
      <c r="BU206" s="28"/>
      <c r="BV206" s="28"/>
      <c r="BW206" s="28"/>
      <c r="BX206" s="28"/>
      <c r="BY206" s="28"/>
      <c r="BZ206" s="28"/>
      <c r="CA206" s="28"/>
      <c r="CB206" s="28"/>
      <c r="CC206" s="5"/>
      <c r="CD206" s="5"/>
      <c r="CE206" s="28"/>
      <c r="CF206" s="28"/>
      <c r="CG206" s="28"/>
      <c r="CH206" s="28"/>
      <c r="CI206" s="28"/>
      <c r="CJ206" s="28"/>
      <c r="CK206" s="28"/>
      <c r="CL206" s="28"/>
      <c r="CM206" s="28"/>
      <c r="CN206" s="28"/>
      <c r="CO206" s="28"/>
      <c r="CP206" s="28"/>
      <c r="CQ206" s="28"/>
      <c r="CR206" s="28"/>
      <c r="CS206" s="28"/>
      <c r="CT206" s="28"/>
      <c r="CU206" s="28"/>
    </row>
    <row r="207" spans="1:99" ht="12.75" customHeight="1">
      <c r="A207" s="28"/>
      <c r="B207" s="73" t="s">
        <v>613</v>
      </c>
      <c r="C207" s="246"/>
      <c r="D207" s="15"/>
      <c r="E207" s="415"/>
      <c r="F207" s="242"/>
      <c r="G207" s="242"/>
      <c r="H207" s="416"/>
      <c r="I207" s="23"/>
      <c r="J207" s="415"/>
      <c r="K207" s="242"/>
      <c r="L207" s="242"/>
      <c r="M207" s="416"/>
      <c r="N207" s="23"/>
      <c r="O207" s="415"/>
      <c r="P207" s="242"/>
      <c r="Q207" s="242"/>
      <c r="R207" s="416"/>
      <c r="S207" s="23"/>
      <c r="T207" s="415"/>
      <c r="U207" s="242"/>
      <c r="V207" s="242"/>
      <c r="W207" s="416"/>
      <c r="X207" s="23"/>
      <c r="Y207" s="415"/>
      <c r="Z207" s="242"/>
      <c r="AA207" s="242"/>
      <c r="AB207" s="416"/>
      <c r="AC207" s="23"/>
      <c r="AD207" s="415"/>
      <c r="AE207" s="242"/>
      <c r="AF207" s="242"/>
      <c r="AG207" s="416"/>
      <c r="AH207" s="23"/>
      <c r="AI207" s="415"/>
      <c r="AJ207" s="242"/>
      <c r="AK207" s="242"/>
      <c r="AL207" s="416"/>
      <c r="AM207" s="23"/>
      <c r="AN207" s="415"/>
      <c r="AO207" s="242"/>
      <c r="AP207" s="242"/>
      <c r="AQ207" s="416"/>
      <c r="AR207" s="23"/>
      <c r="AS207" s="415"/>
      <c r="AT207" s="242"/>
      <c r="AU207" s="242"/>
      <c r="AV207" s="416"/>
      <c r="AW207" s="23"/>
      <c r="AX207" s="415"/>
      <c r="AY207" s="242"/>
      <c r="AZ207" s="242"/>
      <c r="BA207" s="416"/>
      <c r="BB207" s="23"/>
      <c r="BC207" s="415"/>
      <c r="BD207" s="242"/>
      <c r="BE207" s="242"/>
      <c r="BF207" s="416"/>
      <c r="BG207" s="23"/>
      <c r="BH207" s="415"/>
      <c r="BI207" s="242"/>
      <c r="BJ207" s="242"/>
      <c r="BK207" s="416"/>
      <c r="BL207" s="23"/>
      <c r="BM207" s="415"/>
      <c r="BN207" s="242"/>
      <c r="BO207" s="242"/>
      <c r="BP207" s="416"/>
      <c r="BQ207" s="23"/>
      <c r="BR207" s="28"/>
      <c r="BS207" s="28"/>
      <c r="BT207" s="28"/>
      <c r="BU207" s="28"/>
      <c r="BV207" s="28"/>
      <c r="BW207" s="28"/>
      <c r="BX207" s="28"/>
      <c r="BY207" s="28"/>
      <c r="BZ207" s="28"/>
      <c r="CA207" s="28"/>
      <c r="CB207" s="28"/>
      <c r="CC207" s="5"/>
      <c r="CD207" s="5"/>
      <c r="CE207" s="28"/>
      <c r="CF207" s="28"/>
      <c r="CG207" s="28"/>
      <c r="CH207" s="28"/>
      <c r="CI207" s="28"/>
      <c r="CJ207" s="28"/>
      <c r="CK207" s="28"/>
      <c r="CL207" s="28"/>
      <c r="CM207" s="28"/>
      <c r="CN207" s="28"/>
      <c r="CO207" s="28"/>
      <c r="CP207" s="28"/>
      <c r="CQ207" s="28"/>
      <c r="CR207" s="28"/>
      <c r="CS207" s="28"/>
      <c r="CT207" s="28"/>
      <c r="CU207" s="28"/>
    </row>
    <row r="208" spans="1:99" ht="12.75" customHeight="1">
      <c r="A208" s="45"/>
      <c r="B208" s="45"/>
      <c r="C208" s="391" t="s">
        <v>222</v>
      </c>
      <c r="D208" s="45"/>
      <c r="E208" s="290"/>
      <c r="F208" s="260"/>
      <c r="G208" s="261"/>
      <c r="H208" s="291">
        <f>SUM(E37:H37)+SUM(E13:H13)</f>
        <v>850</v>
      </c>
      <c r="I208" s="45">
        <f>I37+I13</f>
        <v>850</v>
      </c>
      <c r="J208" s="290">
        <f>SUM(J37,F37:H37)+SUM(J13,F13:H13)</f>
        <v>872</v>
      </c>
      <c r="K208" s="260">
        <f>SUM(J37:K37,G37:H37)+SUM(J13:K13,G13:H13)</f>
        <v>907</v>
      </c>
      <c r="L208" s="260">
        <f>SUM(J37:L37,H37)+SUM(J13:L13,H13)</f>
        <v>981</v>
      </c>
      <c r="M208" s="291">
        <f>SUM(J37:M37)+SUM(J13:M13)</f>
        <v>968</v>
      </c>
      <c r="N208" s="45">
        <f>N37+N13</f>
        <v>968</v>
      </c>
      <c r="O208" s="290">
        <f>SUM(O37,K37:M37)+SUM(O13,K13:M13)</f>
        <v>916</v>
      </c>
      <c r="P208" s="260">
        <f>SUM(O37:P37,L37:M37)+SUM(O13:P13,L13:M13)</f>
        <v>901</v>
      </c>
      <c r="Q208" s="260">
        <f>SUM(O37:Q37,M37)+SUM(O13:Q13,M13)</f>
        <v>902</v>
      </c>
      <c r="R208" s="291">
        <f>SUM(O37:R37)+SUM(O13:R13)</f>
        <v>945</v>
      </c>
      <c r="S208" s="45">
        <f>S37+S13</f>
        <v>945</v>
      </c>
      <c r="T208" s="290">
        <f>SUM(T37,P37:R37)+SUM(T13,P13:R13)</f>
        <v>975</v>
      </c>
      <c r="U208" s="260">
        <f>SUM(U37,Q37:S37)+SUM(U13,Q13:S13)</f>
        <v>1644</v>
      </c>
      <c r="V208" s="260">
        <f>SUM(T37:V37,R37)+SUM(T13:V13,R13)</f>
        <v>935</v>
      </c>
      <c r="W208" s="291">
        <f>SUM(T37:W37)+SUM(T13:W13)</f>
        <v>991</v>
      </c>
      <c r="X208" s="45">
        <f>X37+X13</f>
        <v>991</v>
      </c>
      <c r="Y208" s="290">
        <f>SUM(Y37,U37:W37)+SUM(Y13,U13:W13)</f>
        <v>1010</v>
      </c>
      <c r="Z208" s="260">
        <f>SUM(Y37:Z37,V37:W37)+SUM(Y13:Z13,V13:W13)</f>
        <v>1082</v>
      </c>
      <c r="AA208" s="1441">
        <f>SUM(Y37:AA37,W37)+SUM(Y13:AA13,W13)</f>
        <v>1126</v>
      </c>
      <c r="AB208" s="1442">
        <f>SUM(Y37:AB37)+SUM(Y13:AB13)</f>
        <v>1090</v>
      </c>
      <c r="AC208" s="1443">
        <f>AC37+AC13</f>
        <v>1090</v>
      </c>
      <c r="AD208" s="290">
        <f>SUM(AD37,Z37:AB37)+SUM(AD13,Z13:AB13)</f>
        <v>1105</v>
      </c>
      <c r="AE208" s="260">
        <f>SUM(AD37:AE37,AA37:AB37)+SUM(AD13:AE13,AA13:AB13)</f>
        <v>1124</v>
      </c>
      <c r="AF208" s="260">
        <f>SUM(AD37:AF37,AB37)+SUM(AD13:AF13,AB13)</f>
        <v>1133</v>
      </c>
      <c r="AG208" s="291">
        <f>SUM(AD37:AG37)+SUM(AD13:AG13)</f>
        <v>1097</v>
      </c>
      <c r="AH208" s="45">
        <f>AH37+AH13</f>
        <v>1097</v>
      </c>
      <c r="AI208" s="290">
        <f>SUM(AI37,AE37:AG37)+SUM(AI13,AE13:AG13)</f>
        <v>1093</v>
      </c>
      <c r="AJ208" s="260">
        <f>SUM(AI37:AJ37,AF37:AG37)+SUM(AI13:AJ13,AF13:AG13)</f>
        <v>1086</v>
      </c>
      <c r="AK208" s="260">
        <f>SUM(AI37:AK37,AG37)+SUM(AI13:AK13,AG13)</f>
        <v>1113</v>
      </c>
      <c r="AL208" s="291">
        <f>SUM(AI37:AL37)+SUM(AI13:AL13)</f>
        <v>1139</v>
      </c>
      <c r="AM208" s="45">
        <f>AM37+AM13</f>
        <v>1139</v>
      </c>
      <c r="AN208" s="290">
        <f>SUM(AN37,AJ37:AL37)+SUM(AN13,AJ13:AL13)</f>
        <v>1171</v>
      </c>
      <c r="AO208" s="260">
        <f>SUM(AN37:AO37,AK37:AL37)+SUM(AN13:AO13,AK13:AL13)</f>
        <v>1229</v>
      </c>
      <c r="AP208" s="260">
        <f>SUM(AN37:AP37,AL37)+SUM(AN13:AP13,AL13)</f>
        <v>1284</v>
      </c>
      <c r="AQ208" s="291">
        <f>SUM(AN37:AQ37)+SUM(AN13:AQ13)</f>
        <v>1299</v>
      </c>
      <c r="AR208" s="45">
        <f>AR37+AR13</f>
        <v>1299</v>
      </c>
      <c r="AS208" s="290">
        <f>SUM(AS37,AO37:AQ37)+SUM(AS13,AO13:AQ13)</f>
        <v>1349</v>
      </c>
      <c r="AT208" s="260">
        <f>SUM(AS37:AT37,AP37:AQ37)+SUM(AS13:AT13,AP13:AQ13)</f>
        <v>1365</v>
      </c>
      <c r="AU208" s="260">
        <f>SUM(AS37:AU37,AQ37)+SUM(AS13:AU13,AQ13)</f>
        <v>1381</v>
      </c>
      <c r="AV208" s="291">
        <f>SUM(AS37:AV37)+SUM(AS13:AV13)</f>
        <v>1442</v>
      </c>
      <c r="AW208" s="45">
        <f>AW37+AW13</f>
        <v>1442</v>
      </c>
      <c r="AX208" s="290">
        <f>SUM(AX37,AT37:AV37)+SUM(AX13,AT13:AV13)</f>
        <v>1456.8600011775375</v>
      </c>
      <c r="AY208" s="260">
        <f ca="1">SUM(AX37:AY37,AU37:AV37)+SUM(AX13:AY13,AU13:AV13)</f>
        <v>1473.2488254949453</v>
      </c>
      <c r="AZ208" s="260">
        <f ca="1">SUM(AX37:AZ37,AV37)+SUM(AX13:AZ13,AV13)</f>
        <v>1486.1106215861137</v>
      </c>
      <c r="BA208" s="291">
        <f ca="1">SUM(AX37:BA37)+SUM(AX13:BA13)</f>
        <v>1478.4948774395284</v>
      </c>
      <c r="BB208" s="45">
        <f ca="1">BB37+BB13</f>
        <v>1478.4948774395289</v>
      </c>
      <c r="BC208" s="290">
        <f ca="1">SUM(BC37,AY37:BA37)+SUM(BC13,AY13:BA13)</f>
        <v>1492.5731410898211</v>
      </c>
      <c r="BD208" s="260">
        <f ca="1">SUM(BC37:BD37,AZ37:BA37)+SUM(BC13:BD13,AZ13:BA13)</f>
        <v>1501.6250009167361</v>
      </c>
      <c r="BE208" s="260">
        <f ca="1">SUM(BC37:BE37,BA37)+SUM(BC13:BE13,BA13)</f>
        <v>1514.6082374146222</v>
      </c>
      <c r="BF208" s="291">
        <f ca="1">SUM(BC37:BF37)+SUM(BC13:BF13)</f>
        <v>1528.9226463445812</v>
      </c>
      <c r="BG208" s="45">
        <f ca="1">BG37+BG13</f>
        <v>1528.9226463445816</v>
      </c>
      <c r="BH208" s="290">
        <f ca="1">SUM(BH37,BD37:BF37)+SUM(BH13,BD13:BF13)</f>
        <v>1549.4203697993153</v>
      </c>
      <c r="BI208" s="260">
        <f ca="1">SUM(BH37:BI37,BE37:BF37)+SUM(BH13:BI13,BE13:BF13)</f>
        <v>1569.7738813364535</v>
      </c>
      <c r="BJ208" s="260">
        <f ca="1">SUM(BH37:BJ37,BF37)+SUM(BH13:BJ13,BF13)</f>
        <v>1585.4625362935985</v>
      </c>
      <c r="BK208" s="291">
        <f ca="1">SUM(BH37:BK37)+SUM(BH13:BK13)</f>
        <v>1604.0876591028414</v>
      </c>
      <c r="BL208" s="45">
        <f ca="1">BL37+BL13</f>
        <v>1604.0876591028416</v>
      </c>
      <c r="BM208" s="290">
        <f ca="1">SUM(BM37,BI37:BK37)+SUM(BM13,BI13:BK13)</f>
        <v>1623.0143394531879</v>
      </c>
      <c r="BN208" s="260">
        <f ca="1">SUM(BM37:BN37,BJ37:BK37)+SUM(BM13:BN13,BJ13:BK13)</f>
        <v>1642.2364580612159</v>
      </c>
      <c r="BO208" s="260">
        <f ca="1">SUM(BM37:BO37,BK37)+SUM(BM13:BO13,BK13)</f>
        <v>1660.3580158710461</v>
      </c>
      <c r="BP208" s="291">
        <f ca="1">SUM(BM37:BP37)+SUM(BM13:BP13)</f>
        <v>1680.1103171534905</v>
      </c>
      <c r="BQ208" s="45">
        <f ca="1">BQ37+BQ13</f>
        <v>1680.1103171534899</v>
      </c>
      <c r="BR208" s="45"/>
      <c r="BS208" s="45"/>
      <c r="BT208" s="45"/>
      <c r="BU208" s="45"/>
      <c r="BV208" s="45"/>
      <c r="BW208" s="45"/>
      <c r="BX208" s="45"/>
      <c r="BY208" s="45"/>
      <c r="BZ208" s="45"/>
      <c r="CA208" s="45"/>
      <c r="CB208" s="45"/>
      <c r="CC208" s="5"/>
      <c r="CD208" s="5"/>
      <c r="CE208" s="45"/>
      <c r="CF208" s="45"/>
      <c r="CG208" s="45"/>
      <c r="CH208" s="45"/>
      <c r="CI208" s="45"/>
      <c r="CJ208" s="45"/>
      <c r="CK208" s="45"/>
      <c r="CL208" s="45"/>
      <c r="CM208" s="45"/>
      <c r="CN208" s="45"/>
      <c r="CO208" s="45"/>
      <c r="CP208" s="45"/>
      <c r="CQ208" s="45"/>
      <c r="CR208" s="45"/>
      <c r="CS208" s="45"/>
      <c r="CT208" s="45"/>
      <c r="CU208" s="45"/>
    </row>
    <row r="209" spans="1:99" ht="12.75" customHeight="1">
      <c r="A209" s="45"/>
      <c r="B209" s="45"/>
      <c r="C209" s="391" t="s">
        <v>227</v>
      </c>
      <c r="D209" s="45"/>
      <c r="E209" s="290"/>
      <c r="F209" s="260"/>
      <c r="G209" s="261"/>
      <c r="H209" s="291">
        <f>SUM(E23:H23)</f>
        <v>922</v>
      </c>
      <c r="I209" s="45">
        <f>+I23</f>
        <v>922</v>
      </c>
      <c r="J209" s="290">
        <f>SUM(J23,F23:H23)</f>
        <v>978</v>
      </c>
      <c r="K209" s="260">
        <f>SUM(J23:K23,G23:H23)</f>
        <v>978</v>
      </c>
      <c r="L209" s="260">
        <f>SUM(J23:L23,H23)</f>
        <v>1076</v>
      </c>
      <c r="M209" s="291">
        <f>SUM(J23:M23)</f>
        <v>1080</v>
      </c>
      <c r="N209" s="45">
        <f>+N23</f>
        <v>1080</v>
      </c>
      <c r="O209" s="290">
        <f>SUM(O23,K23:M23)</f>
        <v>990</v>
      </c>
      <c r="P209" s="260">
        <f>SUM(O23:P23,L23:M23)</f>
        <v>984</v>
      </c>
      <c r="Q209" s="260">
        <f>SUM(O23:Q23,M23)</f>
        <v>961</v>
      </c>
      <c r="R209" s="291">
        <f>SUM(O23:R23)</f>
        <v>1011</v>
      </c>
      <c r="S209" s="45">
        <f>+S23</f>
        <v>1011</v>
      </c>
      <c r="T209" s="290">
        <f>SUM(T23,P23:R23)</f>
        <v>1037</v>
      </c>
      <c r="U209" s="260">
        <f>SUM(U23,Q23:S23)</f>
        <v>1705</v>
      </c>
      <c r="V209" s="260">
        <f>SUM(T23:V23,R23)</f>
        <v>888</v>
      </c>
      <c r="W209" s="291">
        <f>SUM(T23:W23)</f>
        <v>925</v>
      </c>
      <c r="X209" s="45">
        <f>+X23</f>
        <v>925</v>
      </c>
      <c r="Y209" s="290">
        <f>SUM(Y23,U23:W23)</f>
        <v>909</v>
      </c>
      <c r="Z209" s="260">
        <f>SUM(Y23:Z23,V23:W23)</f>
        <v>1002</v>
      </c>
      <c r="AA209" s="1441">
        <f>SUM(Y23:AA23,W23)</f>
        <v>1064</v>
      </c>
      <c r="AB209" s="1442">
        <f>SUM(Y23:AB23)</f>
        <v>980</v>
      </c>
      <c r="AC209" s="1443">
        <f>+AC23</f>
        <v>980</v>
      </c>
      <c r="AD209" s="290">
        <f>SUM(AD23,Z23:AB23)</f>
        <v>1009</v>
      </c>
      <c r="AE209" s="260">
        <f>SUM(AD23:AE23,AA23:AB23)</f>
        <v>1034</v>
      </c>
      <c r="AF209" s="260">
        <f>SUM(AD23:AF23,AB23)</f>
        <v>1040</v>
      </c>
      <c r="AG209" s="291">
        <f>SUM(AD23:AG23)</f>
        <v>997</v>
      </c>
      <c r="AH209" s="45">
        <f>+AH23</f>
        <v>997</v>
      </c>
      <c r="AI209" s="290">
        <f>SUM(AI23,AE23:AG23)</f>
        <v>987</v>
      </c>
      <c r="AJ209" s="260">
        <f>SUM(AI23:AJ23,AF23:AG23)</f>
        <v>972</v>
      </c>
      <c r="AK209" s="260">
        <f>SUM(AI23:AK23,AG23)</f>
        <v>1012</v>
      </c>
      <c r="AL209" s="291">
        <f>SUM(AI23:AL23)</f>
        <v>1038</v>
      </c>
      <c r="AM209" s="45">
        <f>+AM23</f>
        <v>1038</v>
      </c>
      <c r="AN209" s="290">
        <f>SUM(AN23,AJ23:AL23)</f>
        <v>1083</v>
      </c>
      <c r="AO209" s="260">
        <f>SUM(AN23:AO23,AK23:AL23)</f>
        <v>1162</v>
      </c>
      <c r="AP209" s="260">
        <f>SUM(AN23:AP23,AL23)</f>
        <v>1140</v>
      </c>
      <c r="AQ209" s="291">
        <f>SUM(AN23:AQ23)</f>
        <v>1140</v>
      </c>
      <c r="AR209" s="45">
        <f>+AR23</f>
        <v>1140</v>
      </c>
      <c r="AS209" s="290">
        <f>SUM(AS23,AO23:AQ23)</f>
        <v>1180</v>
      </c>
      <c r="AT209" s="260">
        <f>SUM(AS23:AT23,AP23:AQ23)</f>
        <v>1176</v>
      </c>
      <c r="AU209" s="260">
        <f>SUM(AS23:AU23,AQ23)</f>
        <v>1276</v>
      </c>
      <c r="AV209" s="291">
        <f>SUM(AS23:AV23)</f>
        <v>1345</v>
      </c>
      <c r="AW209" s="45">
        <f>+AW23</f>
        <v>1345</v>
      </c>
      <c r="AX209" s="290">
        <f>SUM(AX23,AT23:AV23)</f>
        <v>1314.9469084203713</v>
      </c>
      <c r="AY209" s="260">
        <f>SUM(AX23:AY23,AU23:AV23)</f>
        <v>1294.4893429632561</v>
      </c>
      <c r="AZ209" s="260">
        <f>SUM(AX23:AZ23,AV23)</f>
        <v>1244.6014567091868</v>
      </c>
      <c r="BA209" s="291">
        <f>SUM(AX23:BA23)</f>
        <v>1199.2874703355565</v>
      </c>
      <c r="BB209" s="45">
        <f>+BB23</f>
        <v>1199.2874703355571</v>
      </c>
      <c r="BC209" s="290">
        <f>SUM(BC23,AY23:BA23)</f>
        <v>1206.6527710371086</v>
      </c>
      <c r="BD209" s="260">
        <f>SUM(BC23:BD23,AZ23:BA23)</f>
        <v>1214.5125930193703</v>
      </c>
      <c r="BE209" s="260">
        <f>SUM(BC23:BE23,BA23)</f>
        <v>1223.3237594972873</v>
      </c>
      <c r="BF209" s="291">
        <f>SUM(BC23:BF23)</f>
        <v>1233.4016480538903</v>
      </c>
      <c r="BG209" s="45">
        <f>+BG23</f>
        <v>1233.4016480538908</v>
      </c>
      <c r="BH209" s="290">
        <f>SUM(BH23,BD23:BF23)</f>
        <v>1252.2865192796803</v>
      </c>
      <c r="BI209" s="260">
        <f>SUM(BH23:BI23,BE23:BF23)</f>
        <v>1272.1481989390804</v>
      </c>
      <c r="BJ209" s="260">
        <f>SUM(BH23:BJ23,BF23)</f>
        <v>1291.6175454400677</v>
      </c>
      <c r="BK209" s="291">
        <f>SUM(BH23:BK23)</f>
        <v>1311.0297205418651</v>
      </c>
      <c r="BL209" s="45">
        <f>+BL23</f>
        <v>1311.0297205418653</v>
      </c>
      <c r="BM209" s="290">
        <f>SUM(BM23,BI23:BK23)</f>
        <v>1330.5759250593387</v>
      </c>
      <c r="BN209" s="260">
        <f>SUM(BM23:BN23,BJ23:BK23)</f>
        <v>1349.9278943927845</v>
      </c>
      <c r="BO209" s="260">
        <f>SUM(BM23:BO23,BK23)</f>
        <v>1369.2018079192344</v>
      </c>
      <c r="BP209" s="291">
        <f>SUM(BM23:BP23)</f>
        <v>1388.7363449503168</v>
      </c>
      <c r="BQ209" s="45">
        <f>+BQ23</f>
        <v>1388.7363449503162</v>
      </c>
      <c r="BR209" s="45"/>
      <c r="BS209" s="45"/>
      <c r="BT209" s="45"/>
      <c r="BU209" s="45"/>
      <c r="BV209" s="45"/>
      <c r="BW209" s="45"/>
      <c r="BX209" s="45"/>
      <c r="BY209" s="45"/>
      <c r="BZ209" s="45"/>
      <c r="CA209" s="45"/>
      <c r="CB209" s="45"/>
      <c r="CC209" s="5"/>
      <c r="CD209" s="5"/>
      <c r="CE209" s="45"/>
      <c r="CF209" s="45"/>
      <c r="CG209" s="45"/>
      <c r="CH209" s="45"/>
      <c r="CI209" s="45"/>
      <c r="CJ209" s="45"/>
      <c r="CK209" s="45"/>
      <c r="CL209" s="45"/>
      <c r="CM209" s="45"/>
      <c r="CN209" s="45"/>
      <c r="CO209" s="45"/>
      <c r="CP209" s="45"/>
      <c r="CQ209" s="45"/>
      <c r="CR209" s="45"/>
      <c r="CS209" s="45"/>
      <c r="CT209" s="45"/>
      <c r="CU209" s="45"/>
    </row>
    <row r="210" spans="1:99" ht="12.75" customHeight="1">
      <c r="A210" s="45"/>
      <c r="B210" s="45"/>
      <c r="C210" s="391" t="s">
        <v>228</v>
      </c>
      <c r="D210" s="45"/>
      <c r="E210" s="290"/>
      <c r="F210" s="260"/>
      <c r="G210" s="261"/>
      <c r="H210" s="291">
        <f>SUM(E24:H24)</f>
        <v>1416</v>
      </c>
      <c r="I210" s="45">
        <f>+I24</f>
        <v>1416</v>
      </c>
      <c r="J210" s="290">
        <f>SUM(J24,F24:H24)</f>
        <v>1479</v>
      </c>
      <c r="K210" s="260">
        <f>SUM(J24:K24,G24:H24)</f>
        <v>1486</v>
      </c>
      <c r="L210" s="260">
        <f>SUM(J24:L24,H24)</f>
        <v>1585</v>
      </c>
      <c r="M210" s="291">
        <f>SUM(J24:M24)</f>
        <v>1596</v>
      </c>
      <c r="N210" s="45">
        <f>+N24</f>
        <v>1596</v>
      </c>
      <c r="O210" s="290">
        <f>SUM(O24,K24:M24)</f>
        <v>1510</v>
      </c>
      <c r="P210" s="260">
        <f>SUM(O24:P24,L24:M24)</f>
        <v>1509</v>
      </c>
      <c r="Q210" s="260">
        <f>SUM(O24:Q24,M24)</f>
        <v>1495</v>
      </c>
      <c r="R210" s="291">
        <f>SUM(O24:R24)</f>
        <v>1553</v>
      </c>
      <c r="S210" s="45">
        <f>+S24</f>
        <v>1553</v>
      </c>
      <c r="T210" s="290">
        <f>SUM(T24,P24:R24)</f>
        <v>1594</v>
      </c>
      <c r="U210" s="260">
        <f>SUM(U24,Q24:S24)</f>
        <v>2671</v>
      </c>
      <c r="V210" s="260">
        <f>SUM(T24:V24,R24)</f>
        <v>1483</v>
      </c>
      <c r="W210" s="291">
        <f>SUM(T24:W24)</f>
        <v>1535</v>
      </c>
      <c r="X210" s="45">
        <f>+X24</f>
        <v>1535</v>
      </c>
      <c r="Y210" s="290">
        <f>SUM(Y24,U24:W24)</f>
        <v>1537</v>
      </c>
      <c r="Z210" s="260">
        <f>SUM(Y24:Z24,V24:W24)</f>
        <v>1648</v>
      </c>
      <c r="AA210" s="1441">
        <f>SUM(Y24:AA24,W24)</f>
        <v>1717</v>
      </c>
      <c r="AB210" s="1442">
        <f>SUM(Y24:AB24)</f>
        <v>1649</v>
      </c>
      <c r="AC210" s="1443">
        <f>+AC24</f>
        <v>1649</v>
      </c>
      <c r="AD210" s="290">
        <f>SUM(AD24,Z24:AB24)</f>
        <v>1684</v>
      </c>
      <c r="AE210" s="260">
        <f>SUM(AD24:AE24,AA24:AB24)</f>
        <v>1713</v>
      </c>
      <c r="AF210" s="260">
        <f>SUM(AD24:AF24,AB24)</f>
        <v>1729</v>
      </c>
      <c r="AG210" s="291">
        <f>SUM(AD24:AG24)</f>
        <v>1684</v>
      </c>
      <c r="AH210" s="45">
        <f>+AH24</f>
        <v>1684</v>
      </c>
      <c r="AI210" s="290">
        <f>SUM(AI24,AE24:AG24)</f>
        <v>1676</v>
      </c>
      <c r="AJ210" s="260">
        <f>SUM(AI24:AJ24,AF24:AG24)</f>
        <v>1664</v>
      </c>
      <c r="AK210" s="260">
        <f>SUM(AI24:AK24,AG24)</f>
        <v>1706</v>
      </c>
      <c r="AL210" s="291">
        <f>SUM(AI24:AL24)</f>
        <v>1745</v>
      </c>
      <c r="AM210" s="45">
        <f>+AM24</f>
        <v>1745</v>
      </c>
      <c r="AN210" s="290">
        <f>SUM(AN24,AJ24:AL24)</f>
        <v>1804</v>
      </c>
      <c r="AO210" s="260">
        <f>SUM(AN24:AO24,AK24:AL24)</f>
        <v>1896</v>
      </c>
      <c r="AP210" s="260">
        <f>SUM(AN24:AP24,AL24)</f>
        <v>1894</v>
      </c>
      <c r="AQ210" s="291">
        <f>SUM(AN24:AQ24)</f>
        <v>1915</v>
      </c>
      <c r="AR210" s="45">
        <f>+AR24</f>
        <v>1915</v>
      </c>
      <c r="AS210" s="290">
        <f>SUM(AS24,AO24:AQ24)</f>
        <v>1974</v>
      </c>
      <c r="AT210" s="260">
        <f>SUM(AS24:AT24,AP24:AQ24)</f>
        <v>1991</v>
      </c>
      <c r="AU210" s="260">
        <f>SUM(AS24:AU24,AQ24)</f>
        <v>2107</v>
      </c>
      <c r="AV210" s="291">
        <f>SUM(AS24:AV24)</f>
        <v>2195</v>
      </c>
      <c r="AW210" s="45">
        <f>+AW24</f>
        <v>2195</v>
      </c>
      <c r="AX210" s="290">
        <f>SUM(AX24,AT24:AV24)</f>
        <v>2156.7764873624819</v>
      </c>
      <c r="AY210" s="260">
        <f>SUM(AX24:AY24,AU24:AV24)</f>
        <v>2128.7101732599176</v>
      </c>
      <c r="AZ210" s="260">
        <f>SUM(AX24:AZ24,AV24)</f>
        <v>2073.4559354550397</v>
      </c>
      <c r="BA210" s="291">
        <f>SUM(AX24:BA24)</f>
        <v>2018.9859285633693</v>
      </c>
      <c r="BB210" s="45">
        <f>+BB24</f>
        <v>2018.9859285633702</v>
      </c>
      <c r="BC210" s="290">
        <f>SUM(BC24,AY24:BA24)</f>
        <v>2039.5442118967026</v>
      </c>
      <c r="BD210" s="260">
        <f>SUM(BC24:BD24,AZ24:BA24)</f>
        <v>2060.1024952300359</v>
      </c>
      <c r="BE210" s="260">
        <f>SUM(BC24:BE24,BA24)</f>
        <v>2080.4975785633692</v>
      </c>
      <c r="BF210" s="291">
        <f>SUM(BC24:BF24)</f>
        <v>2101.0558618967025</v>
      </c>
      <c r="BG210" s="45">
        <f>+BG24</f>
        <v>2101.0558618967029</v>
      </c>
      <c r="BH210" s="290">
        <f>SUM(BH24,BD24:BF24)</f>
        <v>2129.3285192300359</v>
      </c>
      <c r="BI210" s="260">
        <f>SUM(BH24:BI24,BE24:BF24)</f>
        <v>2157.6011765633698</v>
      </c>
      <c r="BJ210" s="260">
        <f>SUM(BH24:BJ24,BF24)</f>
        <v>2185.7073698967029</v>
      </c>
      <c r="BK210" s="291">
        <f>SUM(BH24:BK24)</f>
        <v>2213.9800272300363</v>
      </c>
      <c r="BL210" s="45">
        <f>+BL24</f>
        <v>2213.9800272300363</v>
      </c>
      <c r="BM210" s="290">
        <f>SUM(BM24,BI24:BK24)</f>
        <v>2242.6081377100363</v>
      </c>
      <c r="BN210" s="260">
        <f>SUM(BM24:BN24,BJ24:BK24)</f>
        <v>2271.2362481900363</v>
      </c>
      <c r="BO210" s="260">
        <f>SUM(BM24:BO24,BK24)</f>
        <v>2299.6945653900361</v>
      </c>
      <c r="BP210" s="291">
        <f>SUM(BM24:BP24)</f>
        <v>2328.3226758700362</v>
      </c>
      <c r="BQ210" s="45">
        <f>+BQ24</f>
        <v>2328.3226758700357</v>
      </c>
      <c r="BR210" s="45"/>
      <c r="BS210" s="45"/>
      <c r="BT210" s="45"/>
      <c r="BU210" s="45"/>
      <c r="BV210" s="45"/>
      <c r="BW210" s="45"/>
      <c r="BX210" s="45"/>
      <c r="BY210" s="45"/>
      <c r="BZ210" s="45"/>
      <c r="CA210" s="45"/>
      <c r="CB210" s="45"/>
      <c r="CC210" s="5"/>
      <c r="CD210" s="5"/>
      <c r="CE210" s="45"/>
      <c r="CF210" s="45"/>
      <c r="CG210" s="45"/>
      <c r="CH210" s="45"/>
      <c r="CI210" s="45"/>
      <c r="CJ210" s="45"/>
      <c r="CK210" s="45"/>
      <c r="CL210" s="45"/>
      <c r="CM210" s="45"/>
      <c r="CN210" s="45"/>
      <c r="CO210" s="45"/>
      <c r="CP210" s="45"/>
      <c r="CQ210" s="45"/>
      <c r="CR210" s="45"/>
      <c r="CS210" s="45"/>
      <c r="CT210" s="45"/>
      <c r="CU210" s="45"/>
    </row>
    <row r="211" spans="1:99" ht="12.75" customHeight="1">
      <c r="A211" s="45"/>
      <c r="B211" s="45"/>
      <c r="C211" s="391" t="s">
        <v>226</v>
      </c>
      <c r="D211" s="45"/>
      <c r="E211" s="290"/>
      <c r="F211" s="260"/>
      <c r="G211" s="261"/>
      <c r="H211" s="291">
        <f>SUM(E26:H26)</f>
        <v>319</v>
      </c>
      <c r="I211" s="45">
        <f>+I26</f>
        <v>319</v>
      </c>
      <c r="J211" s="290">
        <f>SUM(J26,F26:H26)</f>
        <v>320</v>
      </c>
      <c r="K211" s="260">
        <f>SUM(J26:K26,G26:H26)</f>
        <v>379</v>
      </c>
      <c r="L211" s="260">
        <f>SUM(J26:L26,H26)</f>
        <v>379</v>
      </c>
      <c r="M211" s="291">
        <f>SUM(J26:M26)</f>
        <v>386</v>
      </c>
      <c r="N211" s="45">
        <f>+N26</f>
        <v>386</v>
      </c>
      <c r="O211" s="290">
        <f>SUM(O26,K26:M26)</f>
        <v>387</v>
      </c>
      <c r="P211" s="260">
        <f>SUM(O26:P26,L26:M26)</f>
        <v>339</v>
      </c>
      <c r="Q211" s="260">
        <f>SUM(O26:Q26,M26)</f>
        <v>343</v>
      </c>
      <c r="R211" s="291">
        <f>SUM(O26:R26)</f>
        <v>345</v>
      </c>
      <c r="S211" s="45">
        <f>+S26</f>
        <v>345</v>
      </c>
      <c r="T211" s="290">
        <f>SUM(T26,P26:R26)</f>
        <v>342</v>
      </c>
      <c r="U211" s="260">
        <f>SUM(U26,Q26:S26)</f>
        <v>593</v>
      </c>
      <c r="V211" s="260">
        <f>SUM(T26:V26,R26)</f>
        <v>318</v>
      </c>
      <c r="W211" s="291">
        <f>SUM(T26:W26)</f>
        <v>307</v>
      </c>
      <c r="X211" s="45">
        <f>+X26</f>
        <v>307</v>
      </c>
      <c r="Y211" s="290">
        <f>SUM(Y26,U26:W26)</f>
        <v>578</v>
      </c>
      <c r="Z211" s="260">
        <f>SUM(Y26:Z26,V26:W26)</f>
        <v>580</v>
      </c>
      <c r="AA211" s="1441">
        <f>SUM(Y26:AA26,W26)</f>
        <v>580</v>
      </c>
      <c r="AB211" s="1442">
        <f>SUM(Y26:AB26)</f>
        <v>579</v>
      </c>
      <c r="AC211" s="1443">
        <f>+AC26</f>
        <v>579</v>
      </c>
      <c r="AD211" s="290">
        <f>SUM(AD26,Z26:AB26)</f>
        <v>306</v>
      </c>
      <c r="AE211" s="260">
        <f>SUM(AD26:AE26,AA26:AB26)</f>
        <v>310</v>
      </c>
      <c r="AF211" s="260">
        <f>SUM(AD26:AF26,AB26)</f>
        <v>317</v>
      </c>
      <c r="AG211" s="291">
        <f>SUM(AD26:AG26)</f>
        <v>321</v>
      </c>
      <c r="AH211" s="45">
        <f>+AH26</f>
        <v>321</v>
      </c>
      <c r="AI211" s="290">
        <f>SUM(AI26,AE26:AG26)</f>
        <v>325</v>
      </c>
      <c r="AJ211" s="260">
        <f>SUM(AI26:AJ26,AF26:AG26)</f>
        <v>326</v>
      </c>
      <c r="AK211" s="260">
        <f>SUM(AI26:AK26,AG26)</f>
        <v>328</v>
      </c>
      <c r="AL211" s="291">
        <f>SUM(AI26:AL26)</f>
        <v>332</v>
      </c>
      <c r="AM211" s="45">
        <f>+AM26</f>
        <v>332</v>
      </c>
      <c r="AN211" s="290">
        <f>SUM(AN26,AJ26:AL26)</f>
        <v>334</v>
      </c>
      <c r="AO211" s="260">
        <f>SUM(AN26:AO26,AK26:AL26)</f>
        <v>344</v>
      </c>
      <c r="AP211" s="260">
        <f>SUM(AN26:AP26,AL26)</f>
        <v>458</v>
      </c>
      <c r="AQ211" s="291">
        <f>SUM(AN26:AQ26)</f>
        <v>461</v>
      </c>
      <c r="AR211" s="45">
        <f>+AR26</f>
        <v>461</v>
      </c>
      <c r="AS211" s="290">
        <f>SUM(AS26,AO26:AQ26)</f>
        <v>460</v>
      </c>
      <c r="AT211" s="260">
        <f>SUM(AS26:AT26,AP26:AQ26)</f>
        <v>470</v>
      </c>
      <c r="AU211" s="260">
        <f>SUM(AS26:AU26,AQ26)</f>
        <v>362</v>
      </c>
      <c r="AV211" s="291">
        <f>SUM(AS26:AV26)</f>
        <v>361</v>
      </c>
      <c r="AW211" s="45">
        <f>+AW26</f>
        <v>361</v>
      </c>
      <c r="AX211" s="290">
        <f>SUM(AX26,AT26:AV26)</f>
        <v>357.81979166666667</v>
      </c>
      <c r="AY211" s="260">
        <f ca="1">SUM(AX26:AY26,AU26:AV26)</f>
        <v>352.01086802871987</v>
      </c>
      <c r="AZ211" s="260">
        <f ca="1">SUM(AX26:AZ26,AV26)</f>
        <v>365.11266830379355</v>
      </c>
      <c r="BA211" s="291">
        <f ca="1">SUM(AX26:BA26)</f>
        <v>371.39326880173962</v>
      </c>
      <c r="BB211" s="45">
        <f ca="1">+BB26</f>
        <v>371.39326880173962</v>
      </c>
      <c r="BC211" s="290">
        <f ca="1">SUM(BC26,AY26:BA26)</f>
        <v>377.35441631530273</v>
      </c>
      <c r="BD211" s="260">
        <f ca="1">SUM(BC26:BD26,AZ26:BA26)</f>
        <v>389.54664529016725</v>
      </c>
      <c r="BE211" s="260">
        <f ca="1">SUM(BC26:BE26,BA26)</f>
        <v>396.30297677761598</v>
      </c>
      <c r="BF211" s="291">
        <f ca="1">SUM(BC26:BF26)</f>
        <v>401.24413855798019</v>
      </c>
      <c r="BG211" s="45">
        <f ca="1">+BG26</f>
        <v>401.24413855798019</v>
      </c>
      <c r="BH211" s="290">
        <f ca="1">SUM(BH26,BD26:BF26)</f>
        <v>406.15440554681982</v>
      </c>
      <c r="BI211" s="260">
        <f ca="1">SUM(BH26:BI26,BE26:BF26)</f>
        <v>410.98756132874576</v>
      </c>
      <c r="BJ211" s="260">
        <f ca="1">SUM(BH26:BJ26,BF26)</f>
        <v>421.61917602618996</v>
      </c>
      <c r="BK211" s="291">
        <f ca="1">SUM(BH26:BK26)</f>
        <v>428.75965419418128</v>
      </c>
      <c r="BL211" s="45">
        <f ca="1">+BL26</f>
        <v>428.75965419418128</v>
      </c>
      <c r="BM211" s="290">
        <f ca="1">SUM(BM26,BI26:BK26)</f>
        <v>435.84411898023711</v>
      </c>
      <c r="BN211" s="260">
        <f ca="1">SUM(BM26:BN26,BJ26:BK26)</f>
        <v>442.60624342574141</v>
      </c>
      <c r="BO211" s="260">
        <f ca="1">SUM(BM26:BO26,BK26)</f>
        <v>450.56730361512757</v>
      </c>
      <c r="BP211" s="291">
        <f ca="1">SUM(BM26:BP26)</f>
        <v>456.60978009744213</v>
      </c>
      <c r="BQ211" s="45">
        <f ca="1">+BQ26</f>
        <v>456.60978009744213</v>
      </c>
      <c r="BR211" s="45"/>
      <c r="BS211" s="45"/>
      <c r="BT211" s="45"/>
      <c r="BU211" s="45"/>
      <c r="BV211" s="45"/>
      <c r="BW211" s="45"/>
      <c r="BX211" s="45"/>
      <c r="BY211" s="45"/>
      <c r="BZ211" s="45"/>
      <c r="CA211" s="45"/>
      <c r="CB211" s="45"/>
      <c r="CC211" s="5"/>
      <c r="CD211" s="5"/>
      <c r="CE211" s="45"/>
      <c r="CF211" s="45"/>
      <c r="CG211" s="45"/>
      <c r="CH211" s="45"/>
      <c r="CI211" s="45"/>
      <c r="CJ211" s="45"/>
      <c r="CK211" s="45"/>
      <c r="CL211" s="45"/>
      <c r="CM211" s="45"/>
      <c r="CN211" s="45"/>
      <c r="CO211" s="45"/>
      <c r="CP211" s="45"/>
      <c r="CQ211" s="45"/>
      <c r="CR211" s="45"/>
      <c r="CS211" s="45"/>
      <c r="CT211" s="45"/>
      <c r="CU211" s="45"/>
    </row>
    <row r="212" spans="1:99" ht="12.75" customHeight="1">
      <c r="A212" s="45"/>
      <c r="B212" s="45"/>
      <c r="C212" s="391" t="s">
        <v>231</v>
      </c>
      <c r="D212" s="45"/>
      <c r="E212" s="290"/>
      <c r="F212" s="260"/>
      <c r="G212" s="261"/>
      <c r="H212" s="291">
        <f>SUM(E37:H37)</f>
        <v>356</v>
      </c>
      <c r="I212" s="45">
        <f>I37</f>
        <v>356</v>
      </c>
      <c r="J212" s="290">
        <f>SUM(J37,F37:H37)</f>
        <v>371</v>
      </c>
      <c r="K212" s="260">
        <f>SUM(J37:K37,G37:H37)</f>
        <v>399</v>
      </c>
      <c r="L212" s="260">
        <f>SUM(J37:L37,H37)</f>
        <v>472</v>
      </c>
      <c r="M212" s="291">
        <f>SUM(J37:M37)</f>
        <v>452</v>
      </c>
      <c r="N212" s="45">
        <f>N37</f>
        <v>452</v>
      </c>
      <c r="O212" s="290">
        <f>SUM(O37,K37:M37)</f>
        <v>396</v>
      </c>
      <c r="P212" s="260">
        <f>SUM(O37:P37,L37:M37)</f>
        <v>376</v>
      </c>
      <c r="Q212" s="260">
        <f>SUM(O37:Q37,M37)</f>
        <v>368</v>
      </c>
      <c r="R212" s="291">
        <f>SUM(O37:R37)</f>
        <v>403</v>
      </c>
      <c r="S212" s="45">
        <f>S37</f>
        <v>403</v>
      </c>
      <c r="T212" s="290">
        <f>SUM(T37,P37:R37)</f>
        <v>418</v>
      </c>
      <c r="U212" s="260">
        <f>SUM(U37,Q37:S37)</f>
        <v>678</v>
      </c>
      <c r="V212" s="260">
        <f>SUM(T37:V37,R37)</f>
        <v>340</v>
      </c>
      <c r="W212" s="291">
        <f>SUM(T37:W37)</f>
        <v>381</v>
      </c>
      <c r="X212" s="45">
        <f>X37</f>
        <v>381</v>
      </c>
      <c r="Y212" s="290">
        <f>SUM(Y37,U37:W37)</f>
        <v>382</v>
      </c>
      <c r="Z212" s="260">
        <f>SUM(Y37:Z37,V37:W37)</f>
        <v>436</v>
      </c>
      <c r="AA212" s="1441">
        <f>SUM(Y37:AA37,W37)</f>
        <v>473</v>
      </c>
      <c r="AB212" s="1442">
        <f>SUM(Y37:AB37)</f>
        <v>421</v>
      </c>
      <c r="AC212" s="1443">
        <f>AC37</f>
        <v>421</v>
      </c>
      <c r="AD212" s="290">
        <f>SUM(AD37,Z37:AB37)</f>
        <v>430</v>
      </c>
      <c r="AE212" s="260">
        <f>SUM(AD37:AE37,AA37:AB37)</f>
        <v>445</v>
      </c>
      <c r="AF212" s="260">
        <f>SUM(AD37:AF37,AB37)</f>
        <v>444</v>
      </c>
      <c r="AG212" s="291">
        <f>SUM(AD37:AG37)</f>
        <v>410</v>
      </c>
      <c r="AH212" s="45">
        <f>AH37</f>
        <v>410</v>
      </c>
      <c r="AI212" s="290">
        <f>SUM(AI37,AE37:AG37)</f>
        <v>404</v>
      </c>
      <c r="AJ212" s="260">
        <f>SUM(AI37:AJ37,AF37:AG37)</f>
        <v>394</v>
      </c>
      <c r="AK212" s="260">
        <f>SUM(AI37:AK37,AG37)</f>
        <v>419</v>
      </c>
      <c r="AL212" s="291">
        <f>SUM(AI37:AL37)</f>
        <v>432</v>
      </c>
      <c r="AM212" s="45">
        <f>AM37</f>
        <v>432</v>
      </c>
      <c r="AN212" s="290">
        <f>SUM(AN37,AJ37:AL37)</f>
        <v>450</v>
      </c>
      <c r="AO212" s="260">
        <f>SUM(AN37:AO37,AK37:AL37)</f>
        <v>495</v>
      </c>
      <c r="AP212" s="260">
        <f>SUM(AN37:AP37,AL37)</f>
        <v>530</v>
      </c>
      <c r="AQ212" s="291">
        <f>SUM(AN37:AQ37)</f>
        <v>524</v>
      </c>
      <c r="AR212" s="45">
        <f>AR37</f>
        <v>524</v>
      </c>
      <c r="AS212" s="290">
        <f>SUM(AS37,AO37:AQ37)</f>
        <v>555</v>
      </c>
      <c r="AT212" s="260">
        <f>SUM(AS37:AT37,AP37:AQ37)</f>
        <v>550</v>
      </c>
      <c r="AU212" s="260">
        <f>SUM(AS37:AU37,AQ37)</f>
        <v>550</v>
      </c>
      <c r="AV212" s="291">
        <f>SUM(AS37:AV37)</f>
        <v>592</v>
      </c>
      <c r="AW212" s="45">
        <f>AW37</f>
        <v>592</v>
      </c>
      <c r="AX212" s="290">
        <f>SUM(AX37,AT37:AV37)</f>
        <v>615.03042223542661</v>
      </c>
      <c r="AY212" s="260">
        <f ca="1">SUM(AX37:AY37,AU37:AV37)</f>
        <v>639.02799519828363</v>
      </c>
      <c r="AZ212" s="260">
        <f ca="1">SUM(AX37:AZ37,AV37)</f>
        <v>657.25614284026074</v>
      </c>
      <c r="BA212" s="291">
        <f ca="1">SUM(AX37:BA37)</f>
        <v>658.79641921171537</v>
      </c>
      <c r="BB212" s="45">
        <f ca="1">BB37</f>
        <v>658.79641921171594</v>
      </c>
      <c r="BC212" s="290">
        <f ca="1">SUM(BC37,AY37:BA37)</f>
        <v>659.68170023022662</v>
      </c>
      <c r="BD212" s="260">
        <f ca="1">SUM(BC37:BD37,AZ37:BA37)</f>
        <v>656.03509870607036</v>
      </c>
      <c r="BE212" s="260">
        <f ca="1">SUM(BC37:BE37,BA37)</f>
        <v>657.43441834854036</v>
      </c>
      <c r="BF212" s="291">
        <f ca="1">SUM(BC37:BF37)</f>
        <v>661.26843250176898</v>
      </c>
      <c r="BG212" s="45">
        <f ca="1">BG37</f>
        <v>661.26843250176944</v>
      </c>
      <c r="BH212" s="290">
        <f ca="1">SUM(BH37,BD37:BF37)</f>
        <v>672.37836984895989</v>
      </c>
      <c r="BI212" s="260">
        <f ca="1">SUM(BH37:BI37,BE37:BF37)</f>
        <v>684.3209037121643</v>
      </c>
      <c r="BJ212" s="260">
        <f ca="1">SUM(BH37:BJ37,BF37)</f>
        <v>691.3727118369635</v>
      </c>
      <c r="BK212" s="291">
        <f ca="1">SUM(BH37:BK37)</f>
        <v>701.1373524146702</v>
      </c>
      <c r="BL212" s="45">
        <f ca="1">BL37</f>
        <v>701.13735241467043</v>
      </c>
      <c r="BM212" s="290">
        <f ca="1">SUM(BM37,BI37:BK37)</f>
        <v>710.98212680249026</v>
      </c>
      <c r="BN212" s="260">
        <f ca="1">SUM(BM37:BN37,BJ37:BK37)</f>
        <v>720.92810426396409</v>
      </c>
      <c r="BO212" s="260">
        <f ca="1">SUM(BM37:BO37,BK37)</f>
        <v>729.86525840024433</v>
      </c>
      <c r="BP212" s="291">
        <f ca="1">SUM(BM37:BP37)</f>
        <v>740.52398623377098</v>
      </c>
      <c r="BQ212" s="45">
        <f ca="1">BQ37</f>
        <v>740.5239862337703</v>
      </c>
      <c r="BR212" s="45"/>
      <c r="BS212" s="45"/>
      <c r="BT212" s="45"/>
      <c r="BU212" s="45"/>
      <c r="BV212" s="45"/>
      <c r="BW212" s="45"/>
      <c r="BX212" s="45"/>
      <c r="BY212" s="45"/>
      <c r="BZ212" s="45"/>
      <c r="CA212" s="45"/>
      <c r="CB212" s="45"/>
      <c r="CC212" s="5"/>
      <c r="CD212" s="5"/>
      <c r="CE212" s="45"/>
      <c r="CF212" s="45"/>
      <c r="CG212" s="45"/>
      <c r="CH212" s="45"/>
      <c r="CI212" s="45"/>
      <c r="CJ212" s="45"/>
      <c r="CK212" s="45"/>
      <c r="CL212" s="45"/>
      <c r="CM212" s="45"/>
      <c r="CN212" s="45"/>
      <c r="CO212" s="45"/>
      <c r="CP212" s="45"/>
      <c r="CQ212" s="45"/>
      <c r="CR212" s="45"/>
      <c r="CS212" s="45"/>
      <c r="CT212" s="45"/>
      <c r="CU212" s="45"/>
    </row>
    <row r="213" spans="1:99" ht="12.75" customHeight="1">
      <c r="A213" s="383"/>
      <c r="B213" s="383"/>
      <c r="C213" s="383"/>
      <c r="D213" s="383"/>
      <c r="E213" s="613"/>
      <c r="F213" s="614"/>
      <c r="G213" s="614"/>
      <c r="H213" s="615"/>
      <c r="I213" s="383"/>
      <c r="J213" s="613"/>
      <c r="K213" s="614"/>
      <c r="L213" s="614"/>
      <c r="M213" s="615"/>
      <c r="N213" s="383"/>
      <c r="O213" s="613"/>
      <c r="P213" s="614"/>
      <c r="Q213" s="614"/>
      <c r="R213" s="615"/>
      <c r="S213" s="383"/>
      <c r="T213" s="613"/>
      <c r="U213" s="614"/>
      <c r="V213" s="614"/>
      <c r="W213" s="615"/>
      <c r="X213" s="383"/>
      <c r="Y213" s="613"/>
      <c r="Z213" s="614"/>
      <c r="AA213" s="614"/>
      <c r="AB213" s="615"/>
      <c r="AC213" s="383"/>
      <c r="AD213" s="613"/>
      <c r="AE213" s="614"/>
      <c r="AF213" s="614"/>
      <c r="AG213" s="615"/>
      <c r="AH213" s="383"/>
      <c r="AI213" s="613"/>
      <c r="AJ213" s="614"/>
      <c r="AK213" s="614"/>
      <c r="AL213" s="615"/>
      <c r="AM213" s="383"/>
      <c r="AN213" s="613"/>
      <c r="AO213" s="614"/>
      <c r="AP213" s="614"/>
      <c r="AQ213" s="615"/>
      <c r="AR213" s="383"/>
      <c r="AS213" s="613"/>
      <c r="AT213" s="614"/>
      <c r="AU213" s="614"/>
      <c r="AV213" s="615"/>
      <c r="AW213" s="383"/>
      <c r="AX213" s="613"/>
      <c r="AY213" s="614"/>
      <c r="AZ213" s="614"/>
      <c r="BA213" s="615"/>
      <c r="BB213" s="383"/>
      <c r="BC213" s="613"/>
      <c r="BD213" s="614"/>
      <c r="BE213" s="614"/>
      <c r="BF213" s="615"/>
      <c r="BG213" s="383"/>
      <c r="BH213" s="613"/>
      <c r="BI213" s="614"/>
      <c r="BJ213" s="614"/>
      <c r="BK213" s="615"/>
      <c r="BL213" s="383"/>
      <c r="BM213" s="613"/>
      <c r="BN213" s="614"/>
      <c r="BO213" s="614"/>
      <c r="BP213" s="615"/>
      <c r="BQ213" s="383"/>
      <c r="BR213" s="383"/>
      <c r="BS213" s="383"/>
      <c r="BT213" s="383"/>
      <c r="BU213" s="383"/>
      <c r="BV213" s="383"/>
      <c r="BW213" s="383"/>
      <c r="BX213" s="383"/>
      <c r="BY213" s="383"/>
      <c r="BZ213" s="383"/>
      <c r="CA213" s="383"/>
      <c r="CB213" s="383"/>
      <c r="CC213" s="5"/>
      <c r="CD213" s="5"/>
      <c r="CE213" s="383"/>
      <c r="CF213" s="383"/>
      <c r="CG213" s="383"/>
      <c r="CH213" s="383"/>
      <c r="CI213" s="383"/>
      <c r="CJ213" s="383"/>
      <c r="CK213" s="383"/>
      <c r="CL213" s="383"/>
      <c r="CM213" s="383"/>
      <c r="CN213" s="383"/>
      <c r="CO213" s="383"/>
      <c r="CP213" s="383"/>
      <c r="CQ213" s="383"/>
      <c r="CR213" s="383"/>
      <c r="CS213" s="383"/>
      <c r="CT213" s="383"/>
      <c r="CU213" s="383"/>
    </row>
    <row r="214" spans="1:99" ht="12.75" customHeight="1">
      <c r="A214" s="383"/>
      <c r="B214" s="383"/>
      <c r="C214" s="389" t="s">
        <v>374</v>
      </c>
      <c r="D214" s="383"/>
      <c r="E214" s="613"/>
      <c r="F214" s="614"/>
      <c r="G214" s="614"/>
      <c r="H214" s="615"/>
      <c r="I214" s="383"/>
      <c r="J214" s="613"/>
      <c r="K214" s="614"/>
      <c r="L214" s="614"/>
      <c r="M214" s="615"/>
      <c r="N214" s="383"/>
      <c r="O214" s="613"/>
      <c r="P214" s="614"/>
      <c r="Q214" s="614"/>
      <c r="R214" s="615"/>
      <c r="S214" s="383"/>
      <c r="T214" s="613"/>
      <c r="U214" s="614"/>
      <c r="V214" s="614"/>
      <c r="W214" s="615"/>
      <c r="X214" s="383"/>
      <c r="Y214" s="613"/>
      <c r="Z214" s="614"/>
      <c r="AA214" s="614"/>
      <c r="AB214" s="615"/>
      <c r="AC214" s="383"/>
      <c r="AD214" s="613"/>
      <c r="AE214" s="614"/>
      <c r="AF214" s="614"/>
      <c r="AG214" s="615"/>
      <c r="AH214" s="383"/>
      <c r="AI214" s="613"/>
      <c r="AJ214" s="614"/>
      <c r="AK214" s="614"/>
      <c r="AL214" s="615"/>
      <c r="AM214" s="383"/>
      <c r="AN214" s="613"/>
      <c r="AO214" s="614"/>
      <c r="AP214" s="614"/>
      <c r="AQ214" s="615"/>
      <c r="AR214" s="383"/>
      <c r="AS214" s="613"/>
      <c r="AT214" s="614"/>
      <c r="AU214" s="614"/>
      <c r="AV214" s="615"/>
      <c r="AW214" s="383"/>
      <c r="AX214" s="613"/>
      <c r="AY214" s="614"/>
      <c r="AZ214" s="614"/>
      <c r="BA214" s="615"/>
      <c r="BB214" s="383"/>
      <c r="BC214" s="613"/>
      <c r="BD214" s="614"/>
      <c r="BE214" s="614"/>
      <c r="BF214" s="615"/>
      <c r="BG214" s="383"/>
      <c r="BH214" s="613"/>
      <c r="BI214" s="614"/>
      <c r="BJ214" s="614"/>
      <c r="BK214" s="615"/>
      <c r="BL214" s="383"/>
      <c r="BM214" s="613"/>
      <c r="BN214" s="614"/>
      <c r="BO214" s="614"/>
      <c r="BP214" s="615"/>
      <c r="BQ214" s="383"/>
      <c r="BR214" s="383"/>
      <c r="BS214" s="383"/>
      <c r="BT214" s="383"/>
      <c r="BU214" s="383"/>
      <c r="BV214" s="383"/>
      <c r="BW214" s="383"/>
      <c r="BX214" s="383"/>
      <c r="BY214" s="383"/>
      <c r="BZ214" s="383"/>
      <c r="CA214" s="383"/>
      <c r="CB214" s="383"/>
      <c r="CC214" s="5"/>
      <c r="CD214" s="5"/>
      <c r="CE214" s="383"/>
      <c r="CF214" s="383"/>
      <c r="CG214" s="383"/>
      <c r="CH214" s="383"/>
      <c r="CI214" s="383"/>
      <c r="CJ214" s="383"/>
      <c r="CK214" s="383"/>
      <c r="CL214" s="383"/>
      <c r="CM214" s="383"/>
      <c r="CN214" s="383"/>
      <c r="CO214" s="383"/>
      <c r="CP214" s="383"/>
      <c r="CQ214" s="383"/>
      <c r="CR214" s="383"/>
      <c r="CS214" s="383"/>
      <c r="CT214" s="383"/>
      <c r="CU214" s="383"/>
    </row>
    <row r="215" spans="1:99" ht="12.75" customHeight="1">
      <c r="A215" s="28"/>
      <c r="B215" s="28"/>
      <c r="C215" s="28" t="s">
        <v>615</v>
      </c>
      <c r="D215" s="28"/>
      <c r="E215" s="303">
        <f t="shared" ref="E215:AR215" si="587">E193/E203</f>
        <v>0.53128715011347671</v>
      </c>
      <c r="F215" s="239">
        <f t="shared" si="587"/>
        <v>0.53511159499183447</v>
      </c>
      <c r="G215" s="239">
        <f t="shared" si="587"/>
        <v>0.52996981457524794</v>
      </c>
      <c r="H215" s="304">
        <f t="shared" si="587"/>
        <v>0.5270661378497159</v>
      </c>
      <c r="I215" s="546">
        <f t="shared" si="587"/>
        <v>0.5270661378497159</v>
      </c>
      <c r="J215" s="303">
        <f t="shared" si="587"/>
        <v>0.51921452702702697</v>
      </c>
      <c r="K215" s="239">
        <f t="shared" si="587"/>
        <v>0.52125066242713303</v>
      </c>
      <c r="L215" s="239">
        <f t="shared" si="587"/>
        <v>0.54512144053601341</v>
      </c>
      <c r="M215" s="304">
        <f t="shared" si="587"/>
        <v>0.54856721449641799</v>
      </c>
      <c r="N215" s="546">
        <f t="shared" si="587"/>
        <v>0.54856721449641799</v>
      </c>
      <c r="O215" s="303">
        <f t="shared" si="587"/>
        <v>0.57290844514601424</v>
      </c>
      <c r="P215" s="239">
        <f t="shared" si="587"/>
        <v>0.57353086419753085</v>
      </c>
      <c r="Q215" s="239">
        <f t="shared" si="587"/>
        <v>0.59537303725727031</v>
      </c>
      <c r="R215" s="304">
        <f t="shared" si="587"/>
        <v>0.57094233200427891</v>
      </c>
      <c r="S215" s="546">
        <f t="shared" si="587"/>
        <v>0.57094233200427891</v>
      </c>
      <c r="T215" s="303">
        <f t="shared" si="587"/>
        <v>0.53372058678743728</v>
      </c>
      <c r="U215" s="239">
        <f>U193/U203</f>
        <v>0.53262946204122674</v>
      </c>
      <c r="V215" s="239">
        <f t="shared" si="587"/>
        <v>0.54186650679456438</v>
      </c>
      <c r="W215" s="304">
        <f t="shared" si="587"/>
        <v>0.55133225097889405</v>
      </c>
      <c r="X215" s="546">
        <f t="shared" si="587"/>
        <v>0.55133225097889405</v>
      </c>
      <c r="Y215" s="303">
        <f t="shared" si="587"/>
        <v>0.53821774794929156</v>
      </c>
      <c r="Z215" s="239">
        <f t="shared" si="587"/>
        <v>0.52345701859905613</v>
      </c>
      <c r="AA215" s="239">
        <f t="shared" si="587"/>
        <v>0.54039150813344361</v>
      </c>
      <c r="AB215" s="304">
        <f t="shared" si="587"/>
        <v>0.53619620714806715</v>
      </c>
      <c r="AC215" s="546">
        <f t="shared" si="587"/>
        <v>0.53619620714806715</v>
      </c>
      <c r="AD215" s="303">
        <f t="shared" si="587"/>
        <v>0.51813880126182965</v>
      </c>
      <c r="AE215" s="239">
        <f>AE193/AE203</f>
        <v>0.51493252067914674</v>
      </c>
      <c r="AF215" s="239">
        <f t="shared" si="587"/>
        <v>0.50886250215109274</v>
      </c>
      <c r="AG215" s="304">
        <f t="shared" si="587"/>
        <v>0.52459574468085102</v>
      </c>
      <c r="AH215" s="546">
        <f t="shared" si="587"/>
        <v>0.52459574468085102</v>
      </c>
      <c r="AI215" s="303">
        <f t="shared" si="587"/>
        <v>0.53984047364525944</v>
      </c>
      <c r="AJ215" s="239">
        <f t="shared" si="587"/>
        <v>0.51777942021844459</v>
      </c>
      <c r="AK215" s="239">
        <f t="shared" si="587"/>
        <v>0.50916431166733955</v>
      </c>
      <c r="AL215" s="304">
        <f t="shared" si="587"/>
        <v>0.53175986060510061</v>
      </c>
      <c r="AM215" s="546">
        <f t="shared" si="587"/>
        <v>0.53175986060510061</v>
      </c>
      <c r="AN215" s="303">
        <f t="shared" si="587"/>
        <v>0.5149539877300614</v>
      </c>
      <c r="AO215" s="239">
        <f t="shared" si="587"/>
        <v>0.57462903695082923</v>
      </c>
      <c r="AP215" s="239">
        <f t="shared" ref="AP215" si="588">AP193/AP203</f>
        <v>0.54689743783538658</v>
      </c>
      <c r="AQ215" s="304">
        <f t="shared" si="587"/>
        <v>0.5426600689758585</v>
      </c>
      <c r="AR215" s="546">
        <f t="shared" si="587"/>
        <v>0.5426600689758585</v>
      </c>
      <c r="AS215" s="303">
        <f t="shared" ref="AS215:BB215" si="589">AS193/AS203</f>
        <v>0.52308359222599521</v>
      </c>
      <c r="AT215" s="239">
        <f t="shared" si="589"/>
        <v>0.51776903825527354</v>
      </c>
      <c r="AU215" s="239">
        <f t="shared" ref="AU215" si="590">AU193/AU203</f>
        <v>0.53371170678336977</v>
      </c>
      <c r="AV215" s="304">
        <f t="shared" si="589"/>
        <v>0.53550113192014814</v>
      </c>
      <c r="AW215" s="546">
        <f t="shared" si="589"/>
        <v>0.53550113192014814</v>
      </c>
      <c r="AX215" s="303">
        <f t="shared" ca="1" si="589"/>
        <v>0.47970985631463431</v>
      </c>
      <c r="AY215" s="239">
        <f t="shared" ca="1" si="589"/>
        <v>0.46992134029051502</v>
      </c>
      <c r="AZ215" s="239">
        <f t="shared" ca="1" si="589"/>
        <v>0.54215254696843962</v>
      </c>
      <c r="BA215" s="304">
        <f t="shared" ca="1" si="589"/>
        <v>0.53913077720110225</v>
      </c>
      <c r="BB215" s="546">
        <f t="shared" ca="1" si="589"/>
        <v>0.53913077720110225</v>
      </c>
      <c r="BC215" s="303">
        <f t="shared" ref="BC215:BL215" ca="1" si="591">BC193/BC203</f>
        <v>0.53471269823123724</v>
      </c>
      <c r="BD215" s="239">
        <f t="shared" ca="1" si="591"/>
        <v>0.52827311079404304</v>
      </c>
      <c r="BE215" s="239">
        <f t="shared" ca="1" si="591"/>
        <v>0.54097092191426499</v>
      </c>
      <c r="BF215" s="304">
        <f t="shared" ca="1" si="591"/>
        <v>0.53919702280479831</v>
      </c>
      <c r="BG215" s="546">
        <f t="shared" ca="1" si="591"/>
        <v>0.53919702280479831</v>
      </c>
      <c r="BH215" s="303">
        <f t="shared" ca="1" si="591"/>
        <v>0.53444967676186717</v>
      </c>
      <c r="BI215" s="239">
        <f t="shared" ca="1" si="591"/>
        <v>0.52736011429225738</v>
      </c>
      <c r="BJ215" s="239">
        <f t="shared" ca="1" si="591"/>
        <v>0.54257643824353352</v>
      </c>
      <c r="BK215" s="304">
        <f t="shared" ca="1" si="591"/>
        <v>0.54077733145785123</v>
      </c>
      <c r="BL215" s="546">
        <f t="shared" ca="1" si="591"/>
        <v>0.54077733145785123</v>
      </c>
      <c r="BM215" s="303">
        <f t="shared" ref="BM215:BQ215" ca="1" si="592">BM193/BM203</f>
        <v>0.53678270421679652</v>
      </c>
      <c r="BN215" s="239">
        <f t="shared" ca="1" si="592"/>
        <v>0.53108135624044406</v>
      </c>
      <c r="BO215" s="239">
        <f t="shared" ca="1" si="592"/>
        <v>0.54167625120497787</v>
      </c>
      <c r="BP215" s="304">
        <f t="shared" ca="1" si="592"/>
        <v>0.54001030838603459</v>
      </c>
      <c r="BQ215" s="546">
        <f t="shared" ca="1" si="592"/>
        <v>0.54001030838603459</v>
      </c>
      <c r="BR215" s="28"/>
      <c r="BS215" s="28"/>
      <c r="BT215" s="28"/>
      <c r="BU215" s="28"/>
      <c r="BV215" s="28"/>
      <c r="BW215" s="28"/>
      <c r="BX215" s="28"/>
      <c r="BY215" s="28"/>
      <c r="BZ215" s="28"/>
      <c r="CA215" s="28"/>
      <c r="CB215" s="28"/>
      <c r="CC215" s="5"/>
      <c r="CD215" s="5"/>
      <c r="CE215" s="28"/>
      <c r="CF215" s="28"/>
      <c r="CG215" s="28"/>
      <c r="CH215" s="28"/>
      <c r="CI215" s="28"/>
      <c r="CJ215" s="28"/>
      <c r="CK215" s="28"/>
      <c r="CL215" s="28"/>
      <c r="CM215" s="28"/>
      <c r="CN215" s="28"/>
      <c r="CO215" s="28"/>
      <c r="CP215" s="28"/>
      <c r="CQ215" s="28"/>
      <c r="CR215" s="28"/>
      <c r="CS215" s="28"/>
      <c r="CT215" s="28"/>
      <c r="CU215" s="28"/>
    </row>
    <row r="216" spans="1:99" ht="12.75" customHeight="1">
      <c r="A216" s="28"/>
      <c r="B216" s="28"/>
      <c r="C216" s="28" t="s">
        <v>1311</v>
      </c>
      <c r="D216" s="28"/>
      <c r="E216" s="303">
        <f t="shared" ref="E216:AR216" si="593">+E194/E203</f>
        <v>0.55019993515616561</v>
      </c>
      <c r="F216" s="239">
        <f t="shared" si="593"/>
        <v>0.54001088731627656</v>
      </c>
      <c r="G216" s="239">
        <f t="shared" si="593"/>
        <v>0.54506252695127211</v>
      </c>
      <c r="H216" s="304">
        <f t="shared" si="593"/>
        <v>0.54368099474756137</v>
      </c>
      <c r="I216" s="546">
        <f t="shared" si="593"/>
        <v>0.54368099474756137</v>
      </c>
      <c r="J216" s="303">
        <f t="shared" si="593"/>
        <v>0.54624155405405406</v>
      </c>
      <c r="K216" s="239">
        <f>+K194/K203</f>
        <v>0.55188129305776368</v>
      </c>
      <c r="L216" s="239">
        <f t="shared" si="593"/>
        <v>0.55192629815745398</v>
      </c>
      <c r="M216" s="304">
        <f t="shared" si="593"/>
        <v>0.54856721449641799</v>
      </c>
      <c r="N216" s="546">
        <f t="shared" si="593"/>
        <v>0.54856721449641799</v>
      </c>
      <c r="O216" s="303">
        <f t="shared" si="593"/>
        <v>0.57784135753749011</v>
      </c>
      <c r="P216" s="239">
        <f t="shared" si="593"/>
        <v>0.57353086419753085</v>
      </c>
      <c r="Q216" s="239">
        <f t="shared" si="593"/>
        <v>0.59537303725727031</v>
      </c>
      <c r="R216" s="304">
        <f t="shared" si="593"/>
        <v>0.57094233200427891</v>
      </c>
      <c r="S216" s="546">
        <f t="shared" si="593"/>
        <v>0.57094233200427891</v>
      </c>
      <c r="T216" s="303">
        <f t="shared" si="593"/>
        <v>0.5634537757211775</v>
      </c>
      <c r="U216" s="239">
        <f>+U194/U203</f>
        <v>0.55052790346907998</v>
      </c>
      <c r="V216" s="239">
        <f t="shared" si="593"/>
        <v>0.54536370903277376</v>
      </c>
      <c r="W216" s="304">
        <f t="shared" si="593"/>
        <v>0.55133225097889405</v>
      </c>
      <c r="X216" s="546">
        <f t="shared" si="593"/>
        <v>0.55133225097889405</v>
      </c>
      <c r="Y216" s="303">
        <f t="shared" si="593"/>
        <v>0.5587248322147651</v>
      </c>
      <c r="Z216" s="239">
        <f t="shared" si="593"/>
        <v>0.55806421763671699</v>
      </c>
      <c r="AA216" s="239">
        <f t="shared" si="593"/>
        <v>0.55445271574303834</v>
      </c>
      <c r="AB216" s="304">
        <f t="shared" si="593"/>
        <v>0.55297228300510581</v>
      </c>
      <c r="AC216" s="546">
        <f t="shared" si="593"/>
        <v>0.55297228300510581</v>
      </c>
      <c r="AD216" s="303">
        <f t="shared" si="593"/>
        <v>0.56493165089379604</v>
      </c>
      <c r="AE216" s="239">
        <f>+AE194/AE203</f>
        <v>0.55829342620809752</v>
      </c>
      <c r="AF216" s="239">
        <f t="shared" si="593"/>
        <v>0.55429358113921867</v>
      </c>
      <c r="AG216" s="304">
        <f t="shared" si="593"/>
        <v>0.55046808510638301</v>
      </c>
      <c r="AH216" s="546">
        <f t="shared" si="593"/>
        <v>0.55046808510638301</v>
      </c>
      <c r="AI216" s="303">
        <f t="shared" si="593"/>
        <v>0.56311158621823865</v>
      </c>
      <c r="AJ216" s="239">
        <f t="shared" si="593"/>
        <v>0.55908680298924196</v>
      </c>
      <c r="AK216" s="239">
        <f t="shared" si="593"/>
        <v>0.55793298344771902</v>
      </c>
      <c r="AL216" s="304">
        <f t="shared" si="593"/>
        <v>0.55504514493901469</v>
      </c>
      <c r="AM216" s="546">
        <f t="shared" si="593"/>
        <v>0.55504514493901469</v>
      </c>
      <c r="AN216" s="303">
        <f t="shared" si="593"/>
        <v>0.56426380368098161</v>
      </c>
      <c r="AO216" s="239">
        <f t="shared" si="593"/>
        <v>0.57717486179807975</v>
      </c>
      <c r="AP216" s="239">
        <f t="shared" ref="AP216" si="594">+AP194/AP203</f>
        <v>0.54765323860630333</v>
      </c>
      <c r="AQ216" s="304">
        <f t="shared" si="593"/>
        <v>0.5426600689758585</v>
      </c>
      <c r="AR216" s="546">
        <f t="shared" si="593"/>
        <v>0.5426600689758585</v>
      </c>
      <c r="AS216" s="303">
        <f t="shared" ref="AS216:BB216" si="595">+AS194/AS203</f>
        <v>0.54945451918214006</v>
      </c>
      <c r="AT216" s="239">
        <f t="shared" si="595"/>
        <v>0.54558455488022883</v>
      </c>
      <c r="AU216" s="239">
        <f t="shared" ref="AU216" si="596">+AU194/AU203</f>
        <v>0.53371170678336977</v>
      </c>
      <c r="AV216" s="304">
        <f t="shared" si="595"/>
        <v>0.53550113192014814</v>
      </c>
      <c r="AW216" s="546">
        <f t="shared" si="595"/>
        <v>0.53550113192014814</v>
      </c>
      <c r="AX216" s="303">
        <f t="shared" ca="1" si="595"/>
        <v>0.53436344951078307</v>
      </c>
      <c r="AY216" s="239">
        <f t="shared" ca="1" si="595"/>
        <v>0.53543335616634302</v>
      </c>
      <c r="AZ216" s="239">
        <f t="shared" ca="1" si="595"/>
        <v>0.54215254696843962</v>
      </c>
      <c r="BA216" s="304">
        <f t="shared" ca="1" si="595"/>
        <v>0.53913077720110225</v>
      </c>
      <c r="BB216" s="546">
        <f t="shared" ca="1" si="595"/>
        <v>0.53913077720110225</v>
      </c>
      <c r="BC216" s="303">
        <f t="shared" ref="BC216:BL216" ca="1" si="597">+BC194/BC203</f>
        <v>0.53726178320912776</v>
      </c>
      <c r="BD216" s="239">
        <f t="shared" ca="1" si="597"/>
        <v>0.53747796560668037</v>
      </c>
      <c r="BE216" s="239">
        <f t="shared" ca="1" si="597"/>
        <v>0.54097092191426499</v>
      </c>
      <c r="BF216" s="304">
        <f t="shared" ca="1" si="597"/>
        <v>0.53919702280479831</v>
      </c>
      <c r="BG216" s="546">
        <f t="shared" ca="1" si="597"/>
        <v>0.53919702280479831</v>
      </c>
      <c r="BH216" s="303">
        <f t="shared" ca="1" si="597"/>
        <v>0.53758892175384099</v>
      </c>
      <c r="BI216" s="239">
        <f t="shared" ca="1" si="597"/>
        <v>0.53829394926187457</v>
      </c>
      <c r="BJ216" s="239">
        <f t="shared" ca="1" si="597"/>
        <v>0.54257643824353352</v>
      </c>
      <c r="BK216" s="304">
        <f t="shared" ca="1" si="597"/>
        <v>0.54077733145785123</v>
      </c>
      <c r="BL216" s="546">
        <f t="shared" ca="1" si="597"/>
        <v>0.54077733145785123</v>
      </c>
      <c r="BM216" s="303">
        <f t="shared" ref="BM216:BQ216" ca="1" si="598">+BM194/BM203</f>
        <v>0.53893187958308297</v>
      </c>
      <c r="BN216" s="239">
        <f t="shared" ca="1" si="598"/>
        <v>0.53879501635131299</v>
      </c>
      <c r="BO216" s="239">
        <f t="shared" ca="1" si="598"/>
        <v>0.54167625120497787</v>
      </c>
      <c r="BP216" s="304">
        <f t="shared" ca="1" si="598"/>
        <v>0.54001030838603459</v>
      </c>
      <c r="BQ216" s="546">
        <f t="shared" ca="1" si="598"/>
        <v>0.54001030838603459</v>
      </c>
      <c r="BR216" s="28"/>
      <c r="BS216" s="28"/>
      <c r="BT216" s="28"/>
      <c r="BU216" s="28"/>
      <c r="BV216" s="28"/>
      <c r="BW216" s="28"/>
      <c r="BX216" s="28"/>
      <c r="BY216" s="28"/>
      <c r="BZ216" s="28"/>
      <c r="CA216" s="28"/>
      <c r="CB216" s="28"/>
      <c r="CC216" s="5"/>
      <c r="CD216" s="5"/>
      <c r="CE216" s="28"/>
      <c r="CF216" s="28"/>
      <c r="CG216" s="28"/>
      <c r="CH216" s="28"/>
      <c r="CI216" s="28"/>
      <c r="CJ216" s="28"/>
      <c r="CK216" s="28"/>
      <c r="CL216" s="28"/>
      <c r="CM216" s="28"/>
      <c r="CN216" s="28"/>
      <c r="CO216" s="28"/>
      <c r="CP216" s="28"/>
      <c r="CQ216" s="28"/>
      <c r="CR216" s="28"/>
      <c r="CS216" s="28"/>
      <c r="CT216" s="28"/>
      <c r="CU216" s="28"/>
    </row>
    <row r="217" spans="1:99" ht="12.75" customHeight="1">
      <c r="A217" s="28"/>
      <c r="B217" s="28"/>
      <c r="C217" s="28" t="s">
        <v>614</v>
      </c>
      <c r="D217" s="28"/>
      <c r="E217" s="415"/>
      <c r="F217" s="242"/>
      <c r="G217" s="242"/>
      <c r="H217" s="666">
        <f>(H194-H190)/H210</f>
        <v>3.5176553672316384</v>
      </c>
      <c r="I217" s="229">
        <f>(I194-I190)/I24</f>
        <v>3.5176553672316384</v>
      </c>
      <c r="J217" s="667">
        <f t="shared" ref="J217:AR217" si="599">(J194-J190)/J210</f>
        <v>3.4712643678160919</v>
      </c>
      <c r="K217" s="240">
        <f t="shared" si="599"/>
        <v>3.4764468371467028</v>
      </c>
      <c r="L217" s="240">
        <f t="shared" si="599"/>
        <v>3.304731861198738</v>
      </c>
      <c r="M217" s="666">
        <f t="shared" si="599"/>
        <v>3.231203007518797</v>
      </c>
      <c r="N217" s="229">
        <f t="shared" si="599"/>
        <v>3.231203007518797</v>
      </c>
      <c r="O217" s="667">
        <f t="shared" si="599"/>
        <v>3.8609271523178808</v>
      </c>
      <c r="P217" s="240">
        <f t="shared" si="599"/>
        <v>3.7859509609012592</v>
      </c>
      <c r="Q217" s="240">
        <f t="shared" si="599"/>
        <v>4.0481605351170566</v>
      </c>
      <c r="R217" s="666">
        <f t="shared" si="599"/>
        <v>3.6297488731487442</v>
      </c>
      <c r="S217" s="229">
        <f t="shared" si="599"/>
        <v>3.6297488731487442</v>
      </c>
      <c r="T217" s="667">
        <f t="shared" si="599"/>
        <v>3.5784190715181934</v>
      </c>
      <c r="U217" s="240">
        <f>(U194-U190)/U210</f>
        <v>2.0389367278172967</v>
      </c>
      <c r="V217" s="240">
        <f t="shared" si="599"/>
        <v>3.6594740391099125</v>
      </c>
      <c r="W217" s="666">
        <f t="shared" si="599"/>
        <v>3.6671009771986971</v>
      </c>
      <c r="X217" s="229">
        <f t="shared" si="599"/>
        <v>3.6671009771986971</v>
      </c>
      <c r="Y217" s="667">
        <f t="shared" si="599"/>
        <v>3.8802862719583606</v>
      </c>
      <c r="Z217" s="240">
        <f t="shared" si="599"/>
        <v>3.6031553398058254</v>
      </c>
      <c r="AA217" s="240">
        <f t="shared" si="599"/>
        <v>3.4938846825859056</v>
      </c>
      <c r="AB217" s="666">
        <f t="shared" si="599"/>
        <v>3.6561552456033959</v>
      </c>
      <c r="AC217" s="229">
        <f t="shared" si="599"/>
        <v>3.6561552456033959</v>
      </c>
      <c r="AD217" s="667">
        <f t="shared" si="599"/>
        <v>3.8040380047505939</v>
      </c>
      <c r="AE217" s="240">
        <f>(AE194-AE190)/AE210</f>
        <v>3.7209573847051955</v>
      </c>
      <c r="AF217" s="240">
        <f t="shared" si="599"/>
        <v>3.7004048582995952</v>
      </c>
      <c r="AG217" s="666">
        <f t="shared" si="599"/>
        <v>3.8016627078384797</v>
      </c>
      <c r="AH217" s="229">
        <f t="shared" si="599"/>
        <v>3.8016627078384797</v>
      </c>
      <c r="AI217" s="667">
        <f t="shared" si="599"/>
        <v>4.021479713603819</v>
      </c>
      <c r="AJ217" s="240">
        <f t="shared" si="599"/>
        <v>4.060697115384615</v>
      </c>
      <c r="AK217" s="240">
        <f t="shared" si="599"/>
        <v>4.0205158264947247</v>
      </c>
      <c r="AL217" s="666">
        <f t="shared" si="599"/>
        <v>3.9776504297994268</v>
      </c>
      <c r="AM217" s="229">
        <f t="shared" si="599"/>
        <v>3.9776504297994268</v>
      </c>
      <c r="AN217" s="667">
        <f t="shared" si="599"/>
        <v>4.0670731707317076</v>
      </c>
      <c r="AO217" s="240">
        <f t="shared" si="599"/>
        <v>3.7969409282700424</v>
      </c>
      <c r="AP217" s="240">
        <f t="shared" ref="AP217" si="600">(AP194-AP190)/AP210</f>
        <v>3.8025343189017953</v>
      </c>
      <c r="AQ217" s="666">
        <f t="shared" si="599"/>
        <v>3.7503916449086163</v>
      </c>
      <c r="AR217" s="229">
        <f t="shared" si="599"/>
        <v>3.7503916449086163</v>
      </c>
      <c r="AS217" s="667">
        <f t="shared" ref="AS217:BB217" si="601">(AS194-AS190)/AS210</f>
        <v>3.8368794326241136</v>
      </c>
      <c r="AT217" s="240">
        <f t="shared" si="601"/>
        <v>3.812656956303365</v>
      </c>
      <c r="AU217" s="240">
        <f t="shared" ref="AU217" si="602">(AU194-AU190)/AU210</f>
        <v>3.58234456573327</v>
      </c>
      <c r="AV217" s="666">
        <f t="shared" si="601"/>
        <v>3.5216400911161729</v>
      </c>
      <c r="AW217" s="229">
        <f t="shared" si="601"/>
        <v>3.5216400911161729</v>
      </c>
      <c r="AX217" s="667">
        <f t="shared" ca="1" si="601"/>
        <v>3.6701022654835227</v>
      </c>
      <c r="AY217" s="240">
        <f t="shared" ca="1" si="601"/>
        <v>3.8035481877188357</v>
      </c>
      <c r="AZ217" s="240">
        <f t="shared" ca="1" si="601"/>
        <v>3.9717459427808448</v>
      </c>
      <c r="BA217" s="666">
        <f t="shared" ca="1" si="601"/>
        <v>4.1849257577170782</v>
      </c>
      <c r="BB217" s="229">
        <f t="shared" ca="1" si="601"/>
        <v>4.1849257577170764</v>
      </c>
      <c r="BC217" s="667">
        <f t="shared" ref="BC217:BL217" ca="1" si="603">(BC194-BC190)/BC210</f>
        <v>4.1953478952520413</v>
      </c>
      <c r="BD217" s="240">
        <f t="shared" ca="1" si="603"/>
        <v>4.2058035545029862</v>
      </c>
      <c r="BE217" s="240">
        <f t="shared" ca="1" si="603"/>
        <v>4.194078867942836</v>
      </c>
      <c r="BF217" s="666">
        <f t="shared" ca="1" si="603"/>
        <v>4.2175469912756283</v>
      </c>
      <c r="BG217" s="229">
        <f t="shared" ca="1" si="603"/>
        <v>4.2175469912756274</v>
      </c>
      <c r="BH217" s="667">
        <f t="shared" ca="1" si="603"/>
        <v>4.2236402096921148</v>
      </c>
      <c r="BI217" s="240">
        <f t="shared" ca="1" si="603"/>
        <v>4.229871196687724</v>
      </c>
      <c r="BJ217" s="240">
        <f t="shared" ca="1" si="603"/>
        <v>4.2171670476073917</v>
      </c>
      <c r="BK217" s="666">
        <f t="shared" ca="1" si="603"/>
        <v>4.2366330797870626</v>
      </c>
      <c r="BL217" s="229">
        <f t="shared" ca="1" si="603"/>
        <v>4.2366330797870626</v>
      </c>
      <c r="BM217" s="667">
        <f t="shared" ref="BM217:BQ217" ca="1" si="604">(BM194-BM190)/BM210</f>
        <v>4.2266857951673904</v>
      </c>
      <c r="BN217" s="240">
        <f t="shared" ca="1" si="604"/>
        <v>4.2171417703452345</v>
      </c>
      <c r="BO217" s="240">
        <f t="shared" ca="1" si="604"/>
        <v>4.1904745783673292</v>
      </c>
      <c r="BP217" s="666">
        <f t="shared" ca="1" si="604"/>
        <v>4.1940394403539907</v>
      </c>
      <c r="BQ217" s="229">
        <f t="shared" ca="1" si="604"/>
        <v>4.1940394403539916</v>
      </c>
      <c r="BR217" s="28"/>
      <c r="BS217" s="28"/>
      <c r="BT217" s="28"/>
      <c r="BU217" s="28"/>
      <c r="BV217" s="28"/>
      <c r="BW217" s="28"/>
      <c r="BX217" s="28"/>
      <c r="BY217" s="28"/>
      <c r="BZ217" s="28"/>
      <c r="CA217" s="28"/>
      <c r="CB217" s="28"/>
      <c r="CC217" s="5"/>
      <c r="CD217" s="5"/>
      <c r="CE217" s="28"/>
      <c r="CF217" s="28"/>
      <c r="CG217" s="28"/>
      <c r="CH217" s="28"/>
      <c r="CI217" s="28"/>
      <c r="CJ217" s="28"/>
      <c r="CK217" s="28"/>
      <c r="CL217" s="28"/>
      <c r="CM217" s="28"/>
      <c r="CN217" s="28"/>
      <c r="CO217" s="28"/>
      <c r="CP217" s="28"/>
      <c r="CQ217" s="28"/>
      <c r="CR217" s="28"/>
      <c r="CS217" s="28"/>
      <c r="CT217" s="28"/>
      <c r="CU217" s="28"/>
    </row>
    <row r="218" spans="1:99" ht="12.75" customHeight="1">
      <c r="A218" s="28"/>
      <c r="B218" s="28"/>
      <c r="C218" s="28" t="s">
        <v>393</v>
      </c>
      <c r="D218" s="28"/>
      <c r="E218" s="415"/>
      <c r="F218" s="242"/>
      <c r="G218" s="242"/>
      <c r="H218" s="304">
        <f t="shared" ref="H218:AR218" si="605">H208/H194</f>
        <v>0.16758675078864355</v>
      </c>
      <c r="I218" s="546">
        <f t="shared" si="605"/>
        <v>0.16758675078864355</v>
      </c>
      <c r="J218" s="303">
        <f t="shared" si="605"/>
        <v>0.16853498260533437</v>
      </c>
      <c r="K218" s="239">
        <f t="shared" si="605"/>
        <v>0.17418859227962358</v>
      </c>
      <c r="L218" s="239">
        <f t="shared" si="605"/>
        <v>0.18607738998482548</v>
      </c>
      <c r="M218" s="304">
        <f t="shared" si="605"/>
        <v>0.18590359131937775</v>
      </c>
      <c r="N218" s="546">
        <f t="shared" si="605"/>
        <v>0.18590359131937775</v>
      </c>
      <c r="O218" s="303">
        <f t="shared" si="605"/>
        <v>0.15639405839166809</v>
      </c>
      <c r="P218" s="239">
        <f t="shared" si="605"/>
        <v>0.15515756845186843</v>
      </c>
      <c r="Q218" s="239">
        <f t="shared" si="605"/>
        <v>0.14076154806491886</v>
      </c>
      <c r="R218" s="304">
        <f t="shared" si="605"/>
        <v>0.16096065406234031</v>
      </c>
      <c r="S218" s="546">
        <f t="shared" si="605"/>
        <v>0.16096065406234031</v>
      </c>
      <c r="T218" s="303">
        <f t="shared" si="605"/>
        <v>0.17036519308055215</v>
      </c>
      <c r="U218" s="239">
        <f>U208/U194</f>
        <v>0.30027397260273975</v>
      </c>
      <c r="V218" s="239">
        <f t="shared" si="605"/>
        <v>0.1713081714913888</v>
      </c>
      <c r="W218" s="304">
        <f t="shared" si="605"/>
        <v>0.17166118136151048</v>
      </c>
      <c r="X218" s="546">
        <f t="shared" si="605"/>
        <v>0.17166118136151048</v>
      </c>
      <c r="Y218" s="303">
        <f t="shared" si="605"/>
        <v>0.16850183516850184</v>
      </c>
      <c r="Z218" s="239">
        <f t="shared" si="605"/>
        <v>0.17940640026529597</v>
      </c>
      <c r="AA218" s="239">
        <f t="shared" si="605"/>
        <v>0.18664014586441241</v>
      </c>
      <c r="AB218" s="304">
        <f t="shared" si="605"/>
        <v>0.179719703215169</v>
      </c>
      <c r="AC218" s="546">
        <f t="shared" si="605"/>
        <v>0.179719703215169</v>
      </c>
      <c r="AD218" s="303">
        <f t="shared" si="605"/>
        <v>0.17139754924771211</v>
      </c>
      <c r="AE218" s="239">
        <f>AE208/AE194</f>
        <v>0.17529631940112289</v>
      </c>
      <c r="AF218" s="239">
        <f t="shared" si="605"/>
        <v>0.17587705681465382</v>
      </c>
      <c r="AG218" s="304">
        <f t="shared" si="605"/>
        <v>0.16960420531849102</v>
      </c>
      <c r="AH218" s="546">
        <f t="shared" si="605"/>
        <v>0.16960420531849102</v>
      </c>
      <c r="AI218" s="303">
        <f t="shared" si="605"/>
        <v>0.15960864485981308</v>
      </c>
      <c r="AJ218" s="239">
        <f t="shared" si="605"/>
        <v>0.15951821386603995</v>
      </c>
      <c r="AK218" s="239">
        <f t="shared" si="605"/>
        <v>0.16107091172214183</v>
      </c>
      <c r="AL218" s="304">
        <f t="shared" si="605"/>
        <v>0.16252853881278539</v>
      </c>
      <c r="AM218" s="546">
        <f t="shared" si="605"/>
        <v>0.16252853881278539</v>
      </c>
      <c r="AN218" s="303">
        <f t="shared" si="605"/>
        <v>0.1591465072030443</v>
      </c>
      <c r="AO218" s="239">
        <f t="shared" si="605"/>
        <v>0.15488342785129175</v>
      </c>
      <c r="AP218" s="239">
        <f t="shared" ref="AP218" si="606">AP208/AP194</f>
        <v>0.1772012144631521</v>
      </c>
      <c r="AQ218" s="304">
        <f t="shared" si="605"/>
        <v>0.17946946670350925</v>
      </c>
      <c r="AR218" s="546">
        <f t="shared" si="605"/>
        <v>0.17946946670350925</v>
      </c>
      <c r="AS218" s="303">
        <f t="shared" ref="AS218:BB218" si="607">AS208/AS194</f>
        <v>0.17738330046022355</v>
      </c>
      <c r="AT218" s="239">
        <f t="shared" si="607"/>
        <v>0.17889908256880735</v>
      </c>
      <c r="AU218" s="239">
        <f t="shared" ref="AU218" si="608">AU208/AU194</f>
        <v>0.17693786034593209</v>
      </c>
      <c r="AV218" s="304">
        <f t="shared" si="607"/>
        <v>0.18472969510632847</v>
      </c>
      <c r="AW218" s="546">
        <f t="shared" si="607"/>
        <v>0.18472969510632847</v>
      </c>
      <c r="AX218" s="303">
        <f t="shared" ca="1" si="607"/>
        <v>0.18404944559287562</v>
      </c>
      <c r="AY218" s="239">
        <f t="shared" ca="1" si="607"/>
        <v>0.18195778651931444</v>
      </c>
      <c r="AZ218" s="239">
        <f t="shared" ca="1" si="607"/>
        <v>0.17450805795985364</v>
      </c>
      <c r="BA218" s="304">
        <f t="shared" ca="1" si="607"/>
        <v>0.17361377142314802</v>
      </c>
      <c r="BB218" s="546">
        <f t="shared" ca="1" si="607"/>
        <v>0.17361377142314804</v>
      </c>
      <c r="BC218" s="303">
        <f t="shared" ref="BC218:BL218" ca="1" si="609">BC208/BC194</f>
        <v>0.17443535683251665</v>
      </c>
      <c r="BD218" s="239">
        <f t="shared" ca="1" si="609"/>
        <v>0.17331002244117164</v>
      </c>
      <c r="BE218" s="239">
        <f t="shared" ca="1" si="609"/>
        <v>0.16940031734868832</v>
      </c>
      <c r="BF218" s="304">
        <f t="shared" ca="1" si="609"/>
        <v>0.17100130257740534</v>
      </c>
      <c r="BG218" s="546">
        <f t="shared" ca="1" si="609"/>
        <v>0.1710013025774054</v>
      </c>
      <c r="BH218" s="303">
        <f t="shared" ca="1" si="609"/>
        <v>0.17228190867348728</v>
      </c>
      <c r="BI218" s="239">
        <f t="shared" ca="1" si="609"/>
        <v>0.17200409463542249</v>
      </c>
      <c r="BJ218" s="239">
        <f t="shared" ca="1" si="609"/>
        <v>0.16793375026942045</v>
      </c>
      <c r="BK218" s="304">
        <f t="shared" ca="1" si="609"/>
        <v>0.16990654158487886</v>
      </c>
      <c r="BL218" s="546">
        <f t="shared" ca="1" si="609"/>
        <v>0.16990654158487889</v>
      </c>
      <c r="BM218" s="303">
        <f t="shared" ref="BM218:BQ218" ca="1" si="610">BM208/BM194</f>
        <v>0.17122571911411702</v>
      </c>
      <c r="BN218" s="239">
        <f t="shared" ca="1" si="610"/>
        <v>0.17145698294366446</v>
      </c>
      <c r="BO218" s="239">
        <f t="shared" ca="1" si="610"/>
        <v>0.16871842453724684</v>
      </c>
      <c r="BP218" s="304">
        <f t="shared" ca="1" si="610"/>
        <v>0.17072556825053253</v>
      </c>
      <c r="BQ218" s="546">
        <f t="shared" ca="1" si="610"/>
        <v>0.17072556825053245</v>
      </c>
      <c r="BR218" s="28"/>
      <c r="BS218" s="28"/>
      <c r="BT218" s="28"/>
      <c r="BU218" s="28"/>
      <c r="BV218" s="28"/>
      <c r="BW218" s="28"/>
      <c r="BX218" s="28"/>
      <c r="BY218" s="28"/>
      <c r="BZ218" s="28"/>
      <c r="CA218" s="28"/>
      <c r="CB218" s="28"/>
      <c r="CC218" s="5"/>
      <c r="CD218" s="5"/>
      <c r="CE218" s="28"/>
      <c r="CF218" s="28"/>
      <c r="CG218" s="28"/>
      <c r="CH218" s="28"/>
      <c r="CI218" s="28"/>
      <c r="CJ218" s="28"/>
      <c r="CK218" s="28"/>
      <c r="CL218" s="28"/>
      <c r="CM218" s="28"/>
      <c r="CN218" s="28"/>
      <c r="CO218" s="28"/>
      <c r="CP218" s="28"/>
      <c r="CQ218" s="28"/>
      <c r="CR218" s="28"/>
      <c r="CS218" s="28"/>
      <c r="CT218" s="28"/>
      <c r="CU218" s="28"/>
    </row>
    <row r="219" spans="1:99" ht="12.75" customHeight="1">
      <c r="A219" s="383"/>
      <c r="B219" s="383"/>
      <c r="C219" s="383"/>
      <c r="D219" s="383"/>
      <c r="E219" s="613"/>
      <c r="F219" s="614"/>
      <c r="G219" s="614"/>
      <c r="H219" s="615"/>
      <c r="I219" s="383"/>
      <c r="J219" s="613"/>
      <c r="K219" s="614"/>
      <c r="L219" s="614"/>
      <c r="M219" s="615"/>
      <c r="N219" s="383"/>
      <c r="O219" s="613"/>
      <c r="P219" s="614"/>
      <c r="Q219" s="614"/>
      <c r="R219" s="615"/>
      <c r="S219" s="383"/>
      <c r="T219" s="613"/>
      <c r="U219" s="614"/>
      <c r="V219" s="614"/>
      <c r="W219" s="615"/>
      <c r="X219" s="383"/>
      <c r="Y219" s="613"/>
      <c r="Z219" s="614"/>
      <c r="AA219" s="614"/>
      <c r="AB219" s="615"/>
      <c r="AC219" s="383"/>
      <c r="AD219" s="613"/>
      <c r="AE219" s="614"/>
      <c r="AF219" s="614"/>
      <c r="AG219" s="615"/>
      <c r="AH219" s="383"/>
      <c r="AI219" s="613"/>
      <c r="AJ219" s="614"/>
      <c r="AK219" s="614"/>
      <c r="AL219" s="615"/>
      <c r="AM219" s="383"/>
      <c r="AN219" s="613"/>
      <c r="AO219" s="614"/>
      <c r="AP219" s="614"/>
      <c r="AQ219" s="615"/>
      <c r="AR219" s="383"/>
      <c r="AS219" s="613"/>
      <c r="AT219" s="614"/>
      <c r="AU219" s="614"/>
      <c r="AV219" s="615"/>
      <c r="AW219" s="383"/>
      <c r="AX219" s="613"/>
      <c r="AY219" s="614"/>
      <c r="AZ219" s="614"/>
      <c r="BA219" s="615"/>
      <c r="BB219" s="383"/>
      <c r="BC219" s="613"/>
      <c r="BD219" s="614"/>
      <c r="BE219" s="614"/>
      <c r="BF219" s="615"/>
      <c r="BG219" s="383"/>
      <c r="BH219" s="613"/>
      <c r="BI219" s="614"/>
      <c r="BJ219" s="614"/>
      <c r="BK219" s="615"/>
      <c r="BL219" s="383"/>
      <c r="BM219" s="613"/>
      <c r="BN219" s="614"/>
      <c r="BO219" s="614"/>
      <c r="BP219" s="615"/>
      <c r="BQ219" s="383"/>
      <c r="BR219" s="383"/>
      <c r="BS219" s="383"/>
      <c r="BT219" s="383"/>
      <c r="BU219" s="383"/>
      <c r="BV219" s="383"/>
      <c r="BW219" s="383"/>
      <c r="BX219" s="383"/>
      <c r="BY219" s="383"/>
      <c r="BZ219" s="383"/>
      <c r="CA219" s="383"/>
      <c r="CB219" s="383"/>
      <c r="CC219" s="5"/>
      <c r="CD219" s="5"/>
      <c r="CE219" s="383"/>
      <c r="CF219" s="383"/>
      <c r="CG219" s="383"/>
      <c r="CH219" s="383"/>
      <c r="CI219" s="383"/>
      <c r="CJ219" s="383"/>
      <c r="CK219" s="383"/>
      <c r="CL219" s="383"/>
      <c r="CM219" s="383"/>
      <c r="CN219" s="383"/>
      <c r="CO219" s="383"/>
      <c r="CP219" s="383"/>
      <c r="CQ219" s="383"/>
      <c r="CR219" s="383"/>
      <c r="CS219" s="383"/>
      <c r="CT219" s="383"/>
      <c r="CU219" s="383"/>
    </row>
    <row r="220" spans="1:99" ht="12.75" customHeight="1">
      <c r="A220" s="383"/>
      <c r="B220" s="383"/>
      <c r="C220" s="389" t="s">
        <v>201</v>
      </c>
      <c r="D220" s="383"/>
      <c r="E220" s="613"/>
      <c r="F220" s="614"/>
      <c r="G220" s="614"/>
      <c r="H220" s="615"/>
      <c r="I220" s="383"/>
      <c r="J220" s="613"/>
      <c r="K220" s="614"/>
      <c r="L220" s="614"/>
      <c r="M220" s="615"/>
      <c r="N220" s="383"/>
      <c r="O220" s="613"/>
      <c r="P220" s="614"/>
      <c r="Q220" s="614"/>
      <c r="R220" s="615"/>
      <c r="S220" s="383"/>
      <c r="T220" s="613"/>
      <c r="U220" s="614"/>
      <c r="V220" s="614"/>
      <c r="W220" s="615"/>
      <c r="X220" s="383"/>
      <c r="Y220" s="613"/>
      <c r="Z220" s="614"/>
      <c r="AA220" s="614"/>
      <c r="AB220" s="615"/>
      <c r="AC220" s="383"/>
      <c r="AD220" s="613"/>
      <c r="AE220" s="614"/>
      <c r="AF220" s="614"/>
      <c r="AG220" s="615"/>
      <c r="AH220" s="383"/>
      <c r="AI220" s="613"/>
      <c r="AJ220" s="614"/>
      <c r="AK220" s="614"/>
      <c r="AL220" s="615"/>
      <c r="AM220" s="383"/>
      <c r="AN220" s="613"/>
      <c r="AO220" s="614"/>
      <c r="AP220" s="614"/>
      <c r="AQ220" s="615"/>
      <c r="AR220" s="383"/>
      <c r="AS220" s="613"/>
      <c r="AT220" s="614"/>
      <c r="AU220" s="614"/>
      <c r="AV220" s="615"/>
      <c r="AW220" s="383"/>
      <c r="AX220" s="613"/>
      <c r="AY220" s="614"/>
      <c r="AZ220" s="614"/>
      <c r="BA220" s="615"/>
      <c r="BB220" s="383"/>
      <c r="BC220" s="613"/>
      <c r="BD220" s="614"/>
      <c r="BE220" s="614"/>
      <c r="BF220" s="615"/>
      <c r="BG220" s="383"/>
      <c r="BH220" s="613"/>
      <c r="BI220" s="614"/>
      <c r="BJ220" s="614"/>
      <c r="BK220" s="615"/>
      <c r="BL220" s="383"/>
      <c r="BM220" s="613"/>
      <c r="BN220" s="614"/>
      <c r="BO220" s="614"/>
      <c r="BP220" s="615"/>
      <c r="BQ220" s="383"/>
      <c r="BR220" s="383"/>
      <c r="BS220" s="383"/>
      <c r="BT220" s="383"/>
      <c r="BU220" s="383"/>
      <c r="BV220" s="383"/>
      <c r="BW220" s="383"/>
      <c r="BX220" s="383"/>
      <c r="BY220" s="383"/>
      <c r="BZ220" s="383"/>
      <c r="CA220" s="383"/>
      <c r="CB220" s="383"/>
      <c r="CC220" s="5"/>
      <c r="CD220" s="5"/>
      <c r="CE220" s="383"/>
      <c r="CF220" s="383"/>
      <c r="CG220" s="383"/>
      <c r="CH220" s="383"/>
      <c r="CI220" s="383"/>
      <c r="CJ220" s="383"/>
      <c r="CK220" s="383"/>
      <c r="CL220" s="383"/>
      <c r="CM220" s="383"/>
      <c r="CN220" s="383"/>
      <c r="CO220" s="383"/>
      <c r="CP220" s="383"/>
      <c r="CQ220" s="383"/>
      <c r="CR220" s="383"/>
      <c r="CS220" s="383"/>
      <c r="CT220" s="383"/>
      <c r="CU220" s="383"/>
    </row>
    <row r="221" spans="1:99" ht="12.75" customHeight="1">
      <c r="A221" s="383"/>
      <c r="B221" s="383"/>
      <c r="C221" s="383" t="s">
        <v>279</v>
      </c>
      <c r="D221" s="383"/>
      <c r="E221" s="613"/>
      <c r="F221" s="614"/>
      <c r="G221" s="614"/>
      <c r="H221" s="666">
        <f t="shared" ref="H221:AR221" si="611">(H208+H211)/H211</f>
        <v>3.6645768025078369</v>
      </c>
      <c r="I221" s="229">
        <f t="shared" si="611"/>
        <v>3.6645768025078369</v>
      </c>
      <c r="J221" s="667">
        <f t="shared" si="611"/>
        <v>3.7250000000000001</v>
      </c>
      <c r="K221" s="240">
        <f t="shared" si="611"/>
        <v>3.3931398416886545</v>
      </c>
      <c r="L221" s="240">
        <f t="shared" si="611"/>
        <v>3.5883905013192612</v>
      </c>
      <c r="M221" s="666">
        <f t="shared" si="611"/>
        <v>3.5077720207253886</v>
      </c>
      <c r="N221" s="229">
        <f t="shared" si="611"/>
        <v>3.5077720207253886</v>
      </c>
      <c r="O221" s="667">
        <f t="shared" si="611"/>
        <v>3.3669250645994833</v>
      </c>
      <c r="P221" s="240">
        <f t="shared" si="611"/>
        <v>3.6578171091445428</v>
      </c>
      <c r="Q221" s="240">
        <f t="shared" si="611"/>
        <v>3.629737609329446</v>
      </c>
      <c r="R221" s="666">
        <f t="shared" si="611"/>
        <v>3.7391304347826089</v>
      </c>
      <c r="S221" s="229">
        <f t="shared" si="611"/>
        <v>3.7391304347826089</v>
      </c>
      <c r="T221" s="667">
        <f t="shared" si="611"/>
        <v>3.8508771929824563</v>
      </c>
      <c r="U221" s="240">
        <f>(U208+U211)/U211</f>
        <v>3.7723440134907253</v>
      </c>
      <c r="V221" s="240">
        <f t="shared" si="611"/>
        <v>3.9402515723270439</v>
      </c>
      <c r="W221" s="666">
        <f t="shared" si="611"/>
        <v>4.228013029315961</v>
      </c>
      <c r="X221" s="229">
        <f t="shared" si="611"/>
        <v>4.228013029315961</v>
      </c>
      <c r="Y221" s="667">
        <f t="shared" si="611"/>
        <v>2.7474048442906573</v>
      </c>
      <c r="Z221" s="240">
        <f t="shared" si="611"/>
        <v>2.8655172413793104</v>
      </c>
      <c r="AA221" s="240">
        <f t="shared" si="611"/>
        <v>2.9413793103448276</v>
      </c>
      <c r="AB221" s="666">
        <f t="shared" si="611"/>
        <v>2.8825561312607944</v>
      </c>
      <c r="AC221" s="229">
        <f t="shared" si="611"/>
        <v>2.8825561312607944</v>
      </c>
      <c r="AD221" s="667">
        <f t="shared" si="611"/>
        <v>4.6111111111111107</v>
      </c>
      <c r="AE221" s="240">
        <f>(AE208+AE211)/AE211</f>
        <v>4.6258064516129034</v>
      </c>
      <c r="AF221" s="240">
        <f t="shared" si="611"/>
        <v>4.5741324921135647</v>
      </c>
      <c r="AG221" s="666">
        <f t="shared" si="611"/>
        <v>4.4174454828660439</v>
      </c>
      <c r="AH221" s="229">
        <f t="shared" si="611"/>
        <v>4.4174454828660439</v>
      </c>
      <c r="AI221" s="667">
        <f t="shared" si="611"/>
        <v>4.3630769230769229</v>
      </c>
      <c r="AJ221" s="240">
        <f t="shared" si="611"/>
        <v>4.3312883435582821</v>
      </c>
      <c r="AK221" s="240">
        <f t="shared" si="611"/>
        <v>4.3932926829268295</v>
      </c>
      <c r="AL221" s="666">
        <f t="shared" si="611"/>
        <v>4.4307228915662646</v>
      </c>
      <c r="AM221" s="229">
        <f t="shared" si="611"/>
        <v>4.4307228915662646</v>
      </c>
      <c r="AN221" s="667">
        <f t="shared" si="611"/>
        <v>4.5059880239520957</v>
      </c>
      <c r="AO221" s="240">
        <f t="shared" si="611"/>
        <v>4.5726744186046515</v>
      </c>
      <c r="AP221" s="240">
        <f t="shared" ref="AP221" si="612">(AP208+AP211)/AP211</f>
        <v>3.8034934497816595</v>
      </c>
      <c r="AQ221" s="666">
        <f t="shared" si="611"/>
        <v>3.8177874186550977</v>
      </c>
      <c r="AR221" s="229">
        <f t="shared" si="611"/>
        <v>3.8177874186550977</v>
      </c>
      <c r="AS221" s="667">
        <f t="shared" ref="AS221:BB221" si="613">(AS208+AS211)/AS211</f>
        <v>3.9326086956521737</v>
      </c>
      <c r="AT221" s="240">
        <f t="shared" si="613"/>
        <v>3.9042553191489362</v>
      </c>
      <c r="AU221" s="240">
        <f t="shared" ref="AU221" si="614">(AU208+AU211)/AU211</f>
        <v>4.8149171270718236</v>
      </c>
      <c r="AV221" s="666">
        <f t="shared" si="613"/>
        <v>4.9944598337950135</v>
      </c>
      <c r="AW221" s="229">
        <f t="shared" si="613"/>
        <v>4.9944598337950135</v>
      </c>
      <c r="AX221" s="667">
        <f t="shared" si="613"/>
        <v>5.0714908317164893</v>
      </c>
      <c r="AY221" s="240">
        <f t="shared" ca="1" si="613"/>
        <v>5.1852367619932291</v>
      </c>
      <c r="AZ221" s="240">
        <f t="shared" ca="1" si="613"/>
        <v>5.0702795345068363</v>
      </c>
      <c r="BA221" s="666">
        <f t="shared" ca="1" si="613"/>
        <v>4.9809415022779842</v>
      </c>
      <c r="BB221" s="229">
        <f t="shared" ca="1" si="613"/>
        <v>4.980941502277985</v>
      </c>
      <c r="BC221" s="667">
        <f t="shared" ref="BC221:BL221" ca="1" si="615">(BC208+BC211)/BC211</f>
        <v>4.9553615289947608</v>
      </c>
      <c r="BD221" s="240">
        <f t="shared" ca="1" si="615"/>
        <v>4.854801521389561</v>
      </c>
      <c r="BE221" s="240">
        <f t="shared" ca="1" si="615"/>
        <v>4.8218442105332437</v>
      </c>
      <c r="BF221" s="666">
        <f t="shared" ca="1" si="615"/>
        <v>4.8104547815684793</v>
      </c>
      <c r="BG221" s="229">
        <f t="shared" ca="1" si="615"/>
        <v>4.8104547815684811</v>
      </c>
      <c r="BH221" s="667">
        <f t="shared" ca="1" si="615"/>
        <v>4.8148555048006356</v>
      </c>
      <c r="BI221" s="240">
        <f t="shared" ca="1" si="615"/>
        <v>4.8195167665446785</v>
      </c>
      <c r="BJ221" s="240">
        <f t="shared" ca="1" si="615"/>
        <v>4.7604137250984842</v>
      </c>
      <c r="BK221" s="666">
        <f t="shared" ca="1" si="615"/>
        <v>4.7412280829398297</v>
      </c>
      <c r="BL221" s="229">
        <f t="shared" ca="1" si="615"/>
        <v>4.7412280829398314</v>
      </c>
      <c r="BM221" s="667">
        <f t="shared" ref="BM221:BQ221" ca="1" si="616">(BM208+BM211)/BM211</f>
        <v>4.7238413202651968</v>
      </c>
      <c r="BN221" s="240">
        <f t="shared" ca="1" si="616"/>
        <v>4.7103779769359333</v>
      </c>
      <c r="BO221" s="240">
        <f t="shared" ca="1" si="616"/>
        <v>4.685038844472647</v>
      </c>
      <c r="BP221" s="666">
        <f t="shared" ca="1" si="616"/>
        <v>4.6795320433017205</v>
      </c>
      <c r="BQ221" s="229">
        <f t="shared" ca="1" si="616"/>
        <v>4.6795320433017187</v>
      </c>
      <c r="BR221" s="383"/>
      <c r="BS221" s="383"/>
      <c r="BT221" s="383"/>
      <c r="BU221" s="383"/>
      <c r="BV221" s="383"/>
      <c r="BW221" s="383"/>
      <c r="BX221" s="383"/>
      <c r="BY221" s="383"/>
      <c r="BZ221" s="383"/>
      <c r="CA221" s="383"/>
      <c r="CB221" s="383"/>
      <c r="CC221" s="5"/>
      <c r="CD221" s="5"/>
      <c r="CE221" s="383"/>
      <c r="CF221" s="383"/>
      <c r="CG221" s="383"/>
      <c r="CH221" s="383"/>
      <c r="CI221" s="383"/>
      <c r="CJ221" s="383"/>
      <c r="CK221" s="383"/>
      <c r="CL221" s="383"/>
      <c r="CM221" s="383"/>
      <c r="CN221" s="383"/>
      <c r="CO221" s="383"/>
      <c r="CP221" s="383"/>
      <c r="CQ221" s="383"/>
      <c r="CR221" s="383"/>
      <c r="CS221" s="383"/>
      <c r="CT221" s="383"/>
      <c r="CU221" s="383"/>
    </row>
    <row r="222" spans="1:99" ht="12.75" customHeight="1">
      <c r="A222" s="383"/>
      <c r="B222" s="383"/>
      <c r="C222" s="383" t="s">
        <v>280</v>
      </c>
      <c r="D222" s="383"/>
      <c r="E222" s="613"/>
      <c r="F222" s="614"/>
      <c r="G222" s="614"/>
      <c r="H222" s="666">
        <f t="shared" ref="H222:AR222" si="617">H209/H211</f>
        <v>2.8902821316614422</v>
      </c>
      <c r="I222" s="229">
        <f t="shared" si="617"/>
        <v>2.8902821316614422</v>
      </c>
      <c r="J222" s="667">
        <f t="shared" si="617"/>
        <v>3.0562499999999999</v>
      </c>
      <c r="K222" s="240">
        <f t="shared" si="617"/>
        <v>2.5804749340369395</v>
      </c>
      <c r="L222" s="240">
        <f t="shared" si="617"/>
        <v>2.8390501319261214</v>
      </c>
      <c r="M222" s="666">
        <f t="shared" si="617"/>
        <v>2.7979274611398965</v>
      </c>
      <c r="N222" s="229">
        <f t="shared" si="617"/>
        <v>2.7979274611398965</v>
      </c>
      <c r="O222" s="667">
        <f t="shared" si="617"/>
        <v>2.558139534883721</v>
      </c>
      <c r="P222" s="240">
        <f t="shared" si="617"/>
        <v>2.9026548672566372</v>
      </c>
      <c r="Q222" s="240">
        <f t="shared" si="617"/>
        <v>2.8017492711370262</v>
      </c>
      <c r="R222" s="666">
        <f t="shared" si="617"/>
        <v>2.9304347826086956</v>
      </c>
      <c r="S222" s="229">
        <f t="shared" si="617"/>
        <v>2.9304347826086956</v>
      </c>
      <c r="T222" s="667">
        <f t="shared" si="617"/>
        <v>3.0321637426900585</v>
      </c>
      <c r="U222" s="240">
        <f>U209/U211</f>
        <v>2.8752107925801011</v>
      </c>
      <c r="V222" s="240">
        <f t="shared" si="617"/>
        <v>2.7924528301886791</v>
      </c>
      <c r="W222" s="666">
        <f t="shared" si="617"/>
        <v>3.0130293159609121</v>
      </c>
      <c r="X222" s="229">
        <f t="shared" si="617"/>
        <v>3.0130293159609121</v>
      </c>
      <c r="Y222" s="667">
        <f t="shared" si="617"/>
        <v>1.5726643598615917</v>
      </c>
      <c r="Z222" s="240">
        <f t="shared" si="617"/>
        <v>1.7275862068965517</v>
      </c>
      <c r="AA222" s="240">
        <f t="shared" si="617"/>
        <v>1.8344827586206895</v>
      </c>
      <c r="AB222" s="666">
        <f t="shared" si="617"/>
        <v>1.6925734024179619</v>
      </c>
      <c r="AC222" s="229">
        <f t="shared" si="617"/>
        <v>1.6925734024179619</v>
      </c>
      <c r="AD222" s="667">
        <f t="shared" si="617"/>
        <v>3.2973856209150325</v>
      </c>
      <c r="AE222" s="240">
        <f>AE209/AE211</f>
        <v>3.3354838709677419</v>
      </c>
      <c r="AF222" s="240">
        <f t="shared" si="617"/>
        <v>3.2807570977917981</v>
      </c>
      <c r="AG222" s="666">
        <f t="shared" si="617"/>
        <v>3.1059190031152646</v>
      </c>
      <c r="AH222" s="229">
        <f t="shared" si="617"/>
        <v>3.1059190031152646</v>
      </c>
      <c r="AI222" s="667">
        <f t="shared" si="617"/>
        <v>3.0369230769230771</v>
      </c>
      <c r="AJ222" s="240">
        <f t="shared" si="617"/>
        <v>2.98159509202454</v>
      </c>
      <c r="AK222" s="240">
        <f t="shared" si="617"/>
        <v>3.0853658536585367</v>
      </c>
      <c r="AL222" s="666">
        <f t="shared" si="617"/>
        <v>3.1265060240963853</v>
      </c>
      <c r="AM222" s="229">
        <f t="shared" si="617"/>
        <v>3.1265060240963853</v>
      </c>
      <c r="AN222" s="667">
        <f t="shared" si="617"/>
        <v>3.2425149700598803</v>
      </c>
      <c r="AO222" s="240">
        <f t="shared" si="617"/>
        <v>3.3779069767441858</v>
      </c>
      <c r="AP222" s="240">
        <f t="shared" ref="AP222" si="618">AP209/AP211</f>
        <v>2.4890829694323142</v>
      </c>
      <c r="AQ222" s="666">
        <f t="shared" si="617"/>
        <v>2.472885032537961</v>
      </c>
      <c r="AR222" s="229">
        <f t="shared" si="617"/>
        <v>2.472885032537961</v>
      </c>
      <c r="AS222" s="667">
        <f t="shared" ref="AS222:BB222" si="619">AS209/AS211</f>
        <v>2.5652173913043477</v>
      </c>
      <c r="AT222" s="240">
        <f t="shared" si="619"/>
        <v>2.5021276595744681</v>
      </c>
      <c r="AU222" s="240">
        <f t="shared" ref="AU222" si="620">AU209/AU211</f>
        <v>3.5248618784530388</v>
      </c>
      <c r="AV222" s="666">
        <f t="shared" si="619"/>
        <v>3.7257617728531858</v>
      </c>
      <c r="AW222" s="229">
        <f t="shared" si="619"/>
        <v>3.7257617728531858</v>
      </c>
      <c r="AX222" s="667">
        <f t="shared" si="619"/>
        <v>3.6748859035872816</v>
      </c>
      <c r="AY222" s="240">
        <f t="shared" ca="1" si="619"/>
        <v>3.6774130020827691</v>
      </c>
      <c r="AZ222" s="240">
        <f t="shared" ca="1" si="619"/>
        <v>3.4088147707699115</v>
      </c>
      <c r="BA222" s="666">
        <f t="shared" ca="1" si="619"/>
        <v>3.2291577986992825</v>
      </c>
      <c r="BB222" s="229">
        <f t="shared" ca="1" si="619"/>
        <v>3.2291577986992843</v>
      </c>
      <c r="BC222" s="667">
        <f t="shared" ref="BC222:BL222" ca="1" si="621">BC209/BC211</f>
        <v>3.1976643676772984</v>
      </c>
      <c r="BD222" s="240">
        <f t="shared" ca="1" si="621"/>
        <v>3.1177590866292757</v>
      </c>
      <c r="BE222" s="240">
        <f t="shared" ca="1" si="621"/>
        <v>3.0868396938228173</v>
      </c>
      <c r="BF222" s="666">
        <f t="shared" ca="1" si="621"/>
        <v>3.0739430923192477</v>
      </c>
      <c r="BG222" s="229">
        <f t="shared" ca="1" si="621"/>
        <v>3.073943092319249</v>
      </c>
      <c r="BH222" s="667">
        <f t="shared" ca="1" si="621"/>
        <v>3.0832769561952267</v>
      </c>
      <c r="BI222" s="240">
        <f t="shared" ca="1" si="621"/>
        <v>3.095344771082984</v>
      </c>
      <c r="BJ222" s="240">
        <f t="shared" ca="1" si="621"/>
        <v>3.0634696400996608</v>
      </c>
      <c r="BK222" s="666">
        <f t="shared" ca="1" si="621"/>
        <v>3.0577264155272217</v>
      </c>
      <c r="BL222" s="229">
        <f t="shared" ca="1" si="621"/>
        <v>3.0577264155272226</v>
      </c>
      <c r="BM222" s="667">
        <f t="shared" ref="BM222:BQ222" ca="1" si="622">BM209/BM211</f>
        <v>3.0528711232184191</v>
      </c>
      <c r="BN222" s="240">
        <f t="shared" ca="1" si="622"/>
        <v>3.049952219255736</v>
      </c>
      <c r="BO222" s="240">
        <f t="shared" ca="1" si="622"/>
        <v>3.038839695942074</v>
      </c>
      <c r="BP222" s="666">
        <f t="shared" ca="1" si="622"/>
        <v>3.0414073580595571</v>
      </c>
      <c r="BQ222" s="229">
        <f t="shared" ca="1" si="622"/>
        <v>3.0414073580595558</v>
      </c>
      <c r="BR222" s="383"/>
      <c r="BS222" s="383"/>
      <c r="BT222" s="383"/>
      <c r="BU222" s="383"/>
      <c r="BV222" s="383"/>
      <c r="BW222" s="383"/>
      <c r="BX222" s="383"/>
      <c r="BY222" s="383"/>
      <c r="BZ222" s="383"/>
      <c r="CA222" s="383"/>
      <c r="CB222" s="383"/>
      <c r="CC222" s="5"/>
      <c r="CD222" s="5"/>
      <c r="CE222" s="383"/>
      <c r="CF222" s="383"/>
      <c r="CG222" s="383"/>
      <c r="CH222" s="383"/>
      <c r="CI222" s="383"/>
      <c r="CJ222" s="383"/>
      <c r="CK222" s="383"/>
      <c r="CL222" s="383"/>
      <c r="CM222" s="383"/>
      <c r="CN222" s="383"/>
      <c r="CO222" s="383"/>
      <c r="CP222" s="383"/>
      <c r="CQ222" s="383"/>
      <c r="CR222" s="383"/>
      <c r="CS222" s="383"/>
      <c r="CT222" s="383"/>
      <c r="CU222" s="383"/>
    </row>
    <row r="223" spans="1:99" ht="12.75" customHeight="1">
      <c r="A223" s="383"/>
      <c r="B223" s="383"/>
      <c r="C223" s="383"/>
      <c r="D223" s="383"/>
      <c r="E223" s="613"/>
      <c r="F223" s="614"/>
      <c r="G223" s="614"/>
      <c r="H223" s="615"/>
      <c r="I223" s="383"/>
      <c r="J223" s="613"/>
      <c r="K223" s="614"/>
      <c r="L223" s="614"/>
      <c r="M223" s="615"/>
      <c r="N223" s="383"/>
      <c r="O223" s="613"/>
      <c r="P223" s="614"/>
      <c r="Q223" s="614"/>
      <c r="R223" s="615"/>
      <c r="S223" s="383"/>
      <c r="T223" s="613"/>
      <c r="U223" s="614"/>
      <c r="V223" s="614"/>
      <c r="W223" s="615"/>
      <c r="X223" s="383"/>
      <c r="Y223" s="613"/>
      <c r="Z223" s="614"/>
      <c r="AA223" s="614"/>
      <c r="AB223" s="615"/>
      <c r="AC223" s="383"/>
      <c r="AD223" s="613"/>
      <c r="AE223" s="614"/>
      <c r="AF223" s="614"/>
      <c r="AG223" s="615"/>
      <c r="AH223" s="383"/>
      <c r="AI223" s="613"/>
      <c r="AJ223" s="614"/>
      <c r="AK223" s="614"/>
      <c r="AL223" s="615"/>
      <c r="AM223" s="383"/>
      <c r="AN223" s="613"/>
      <c r="AO223" s="614"/>
      <c r="AP223" s="614"/>
      <c r="AQ223" s="615"/>
      <c r="AR223" s="383"/>
      <c r="AS223" s="613"/>
      <c r="AT223" s="614"/>
      <c r="AU223" s="614"/>
      <c r="AV223" s="615"/>
      <c r="AW223" s="383"/>
      <c r="AX223" s="613"/>
      <c r="AY223" s="614"/>
      <c r="AZ223" s="614"/>
      <c r="BA223" s="615"/>
      <c r="BB223" s="383"/>
      <c r="BC223" s="613"/>
      <c r="BD223" s="614"/>
      <c r="BE223" s="614"/>
      <c r="BF223" s="615"/>
      <c r="BG223" s="383"/>
      <c r="BH223" s="613"/>
      <c r="BI223" s="614"/>
      <c r="BJ223" s="614"/>
      <c r="BK223" s="615"/>
      <c r="BL223" s="383"/>
      <c r="BM223" s="613"/>
      <c r="BN223" s="614"/>
      <c r="BO223" s="614"/>
      <c r="BP223" s="615"/>
      <c r="BQ223" s="383"/>
      <c r="BR223" s="383"/>
      <c r="BS223" s="383"/>
      <c r="BT223" s="383"/>
      <c r="BU223" s="383"/>
      <c r="BV223" s="383"/>
      <c r="BW223" s="383"/>
      <c r="BX223" s="383"/>
      <c r="BY223" s="383"/>
      <c r="BZ223" s="383"/>
      <c r="CA223" s="383"/>
      <c r="CB223" s="383"/>
      <c r="CC223" s="5"/>
      <c r="CD223" s="5"/>
      <c r="CE223" s="383"/>
      <c r="CF223" s="383"/>
      <c r="CG223" s="383"/>
      <c r="CH223" s="383"/>
      <c r="CI223" s="383"/>
      <c r="CJ223" s="383"/>
      <c r="CK223" s="383"/>
      <c r="CL223" s="383"/>
      <c r="CM223" s="383"/>
      <c r="CN223" s="383"/>
      <c r="CO223" s="383"/>
      <c r="CP223" s="383"/>
      <c r="CQ223" s="383"/>
      <c r="CR223" s="383"/>
      <c r="CS223" s="383"/>
      <c r="CT223" s="383"/>
      <c r="CU223" s="383"/>
    </row>
    <row r="224" spans="1:99" ht="12.75" customHeight="1">
      <c r="A224" s="383"/>
      <c r="B224" s="383"/>
      <c r="C224" s="383"/>
      <c r="D224" s="383"/>
      <c r="E224" s="613"/>
      <c r="F224" s="614"/>
      <c r="G224" s="614"/>
      <c r="H224" s="615"/>
      <c r="I224" s="383"/>
      <c r="J224" s="613"/>
      <c r="K224" s="614"/>
      <c r="L224" s="614"/>
      <c r="M224" s="615"/>
      <c r="N224" s="383"/>
      <c r="O224" s="613"/>
      <c r="P224" s="614"/>
      <c r="Q224" s="614"/>
      <c r="R224" s="615"/>
      <c r="S224" s="383"/>
      <c r="T224" s="613"/>
      <c r="U224" s="614"/>
      <c r="V224" s="614"/>
      <c r="W224" s="615"/>
      <c r="X224" s="383"/>
      <c r="Y224" s="613"/>
      <c r="Z224" s="614"/>
      <c r="AA224" s="614"/>
      <c r="AB224" s="615"/>
      <c r="AC224" s="383"/>
      <c r="AD224" s="613"/>
      <c r="AE224" s="614"/>
      <c r="AF224" s="614"/>
      <c r="AG224" s="615"/>
      <c r="AH224" s="383"/>
      <c r="AI224" s="613"/>
      <c r="AJ224" s="614"/>
      <c r="AK224" s="614"/>
      <c r="AL224" s="615"/>
      <c r="AM224" s="383"/>
      <c r="AN224" s="613"/>
      <c r="AO224" s="614"/>
      <c r="AP224" s="614"/>
      <c r="AQ224" s="615"/>
      <c r="AR224" s="383"/>
      <c r="AS224" s="613"/>
      <c r="AT224" s="614"/>
      <c r="AU224" s="614"/>
      <c r="AV224" s="615"/>
      <c r="AW224" s="383"/>
      <c r="AX224" s="613"/>
      <c r="AY224" s="614"/>
      <c r="AZ224" s="614"/>
      <c r="BA224" s="615"/>
      <c r="BB224" s="383"/>
      <c r="BC224" s="613"/>
      <c r="BD224" s="614"/>
      <c r="BE224" s="614"/>
      <c r="BF224" s="615"/>
      <c r="BG224" s="383"/>
      <c r="BH224" s="613"/>
      <c r="BI224" s="614"/>
      <c r="BJ224" s="614"/>
      <c r="BK224" s="615"/>
      <c r="BL224" s="383"/>
      <c r="BM224" s="613"/>
      <c r="BN224" s="614"/>
      <c r="BO224" s="614"/>
      <c r="BP224" s="615"/>
      <c r="BQ224" s="383"/>
      <c r="BR224" s="383"/>
      <c r="BS224" s="383"/>
      <c r="BT224" s="383"/>
      <c r="BU224" s="383"/>
      <c r="BV224" s="383"/>
      <c r="BW224" s="383"/>
      <c r="BX224" s="383"/>
      <c r="BY224" s="383"/>
      <c r="BZ224" s="383"/>
      <c r="CA224" s="383"/>
      <c r="CB224" s="383"/>
      <c r="CC224" s="5"/>
      <c r="CD224" s="5"/>
      <c r="CE224" s="383"/>
      <c r="CF224" s="383"/>
      <c r="CG224" s="383"/>
      <c r="CH224" s="383"/>
      <c r="CI224" s="383"/>
      <c r="CJ224" s="383"/>
      <c r="CK224" s="383"/>
      <c r="CL224" s="383"/>
      <c r="CM224" s="383"/>
      <c r="CN224" s="383"/>
      <c r="CO224" s="383"/>
      <c r="CP224" s="383"/>
      <c r="CQ224" s="383"/>
      <c r="CR224" s="383"/>
      <c r="CS224" s="383"/>
      <c r="CT224" s="383"/>
      <c r="CU224" s="383"/>
    </row>
    <row r="225" spans="1:99" ht="12.75" customHeight="1">
      <c r="A225" s="383"/>
      <c r="B225" s="379" t="s">
        <v>156</v>
      </c>
      <c r="C225" s="658"/>
      <c r="D225" s="659"/>
      <c r="E225" s="613"/>
      <c r="F225" s="614"/>
      <c r="G225" s="614"/>
      <c r="H225" s="615"/>
      <c r="I225" s="383"/>
      <c r="J225" s="613"/>
      <c r="K225" s="614"/>
      <c r="L225" s="614"/>
      <c r="M225" s="615"/>
      <c r="N225" s="383"/>
      <c r="O225" s="613"/>
      <c r="P225" s="614"/>
      <c r="Q225" s="614"/>
      <c r="R225" s="615"/>
      <c r="S225" s="383"/>
      <c r="T225" s="613"/>
      <c r="U225" s="614"/>
      <c r="V225" s="614"/>
      <c r="W225" s="615"/>
      <c r="X225" s="383"/>
      <c r="Y225" s="613"/>
      <c r="Z225" s="614"/>
      <c r="AA225" s="614"/>
      <c r="AB225" s="615"/>
      <c r="AC225" s="383"/>
      <c r="AD225" s="613"/>
      <c r="AE225" s="614"/>
      <c r="AF225" s="614"/>
      <c r="AG225" s="615"/>
      <c r="AH225" s="383"/>
      <c r="AI225" s="613"/>
      <c r="AJ225" s="614"/>
      <c r="AK225" s="614"/>
      <c r="AL225" s="615"/>
      <c r="AM225" s="383"/>
      <c r="AN225" s="613"/>
      <c r="AO225" s="614"/>
      <c r="AP225" s="614"/>
      <c r="AQ225" s="615"/>
      <c r="AR225" s="383"/>
      <c r="AS225" s="613"/>
      <c r="AT225" s="614"/>
      <c r="AU225" s="614"/>
      <c r="AV225" s="615"/>
      <c r="AW225" s="383"/>
      <c r="AX225" s="613"/>
      <c r="AY225" s="614"/>
      <c r="AZ225" s="614"/>
      <c r="BA225" s="615"/>
      <c r="BB225" s="383"/>
      <c r="BC225" s="613"/>
      <c r="BD225" s="614"/>
      <c r="BE225" s="614"/>
      <c r="BF225" s="615"/>
      <c r="BG225" s="383"/>
      <c r="BH225" s="613"/>
      <c r="BI225" s="614"/>
      <c r="BJ225" s="614"/>
      <c r="BK225" s="615"/>
      <c r="BL225" s="383"/>
      <c r="BM225" s="613"/>
      <c r="BN225" s="614"/>
      <c r="BO225" s="614"/>
      <c r="BP225" s="615"/>
      <c r="BQ225" s="383"/>
      <c r="BR225" s="383"/>
      <c r="BS225" s="383"/>
      <c r="BT225" s="383"/>
      <c r="BU225" s="383"/>
      <c r="BV225" s="383"/>
      <c r="BW225" s="383"/>
      <c r="BX225" s="383"/>
      <c r="BY225" s="383"/>
      <c r="BZ225" s="383"/>
      <c r="CA225" s="383"/>
      <c r="CB225" s="383"/>
      <c r="CC225" s="5"/>
      <c r="CD225" s="5"/>
      <c r="CE225" s="383"/>
      <c r="CF225" s="383"/>
      <c r="CG225" s="383"/>
      <c r="CH225" s="383"/>
      <c r="CI225" s="383"/>
      <c r="CJ225" s="383"/>
      <c r="CK225" s="383"/>
      <c r="CL225" s="383"/>
      <c r="CM225" s="383"/>
      <c r="CN225" s="383"/>
      <c r="CO225" s="383"/>
      <c r="CP225" s="383"/>
      <c r="CQ225" s="383"/>
      <c r="CR225" s="383"/>
      <c r="CS225" s="383"/>
      <c r="CT225" s="383"/>
      <c r="CU225" s="383"/>
    </row>
    <row r="226" spans="1:99" ht="12.75" customHeight="1">
      <c r="A226" s="45"/>
      <c r="B226" s="45"/>
      <c r="C226" s="389" t="s">
        <v>403</v>
      </c>
      <c r="D226" s="45"/>
      <c r="E226" s="295">
        <v>7500</v>
      </c>
      <c r="F226" s="261">
        <f>+E231</f>
        <v>7545</v>
      </c>
      <c r="G226" s="261">
        <f>+F231</f>
        <v>7535</v>
      </c>
      <c r="H226" s="293">
        <f>+G231</f>
        <v>7528</v>
      </c>
      <c r="I226" s="583">
        <f>+E226</f>
        <v>7500</v>
      </c>
      <c r="J226" s="292">
        <f>+I231</f>
        <v>7594</v>
      </c>
      <c r="K226" s="261">
        <f>+J231</f>
        <v>7701</v>
      </c>
      <c r="L226" s="261">
        <f>+K231</f>
        <v>7775</v>
      </c>
      <c r="M226" s="293">
        <f>+L231</f>
        <v>7694</v>
      </c>
      <c r="N226" s="583">
        <f>+I231</f>
        <v>7594</v>
      </c>
      <c r="O226" s="292">
        <f>+N231</f>
        <v>7457</v>
      </c>
      <c r="P226" s="261">
        <f>+O231</f>
        <v>7493</v>
      </c>
      <c r="Q226" s="261">
        <f>+P231</f>
        <v>7498</v>
      </c>
      <c r="R226" s="293">
        <f>+Q231</f>
        <v>7283</v>
      </c>
      <c r="S226" s="583">
        <f>+N231</f>
        <v>7457</v>
      </c>
      <c r="T226" s="292">
        <f>+S231</f>
        <v>7243</v>
      </c>
      <c r="U226" s="261">
        <f>+T231</f>
        <v>7328</v>
      </c>
      <c r="V226" s="261">
        <f>+U231</f>
        <v>7412</v>
      </c>
      <c r="W226" s="293">
        <f>+V231</f>
        <v>7483</v>
      </c>
      <c r="X226" s="583">
        <f>+S231</f>
        <v>7243</v>
      </c>
      <c r="Y226" s="292">
        <f>+X231</f>
        <v>7609</v>
      </c>
      <c r="Z226" s="261">
        <f>+Y231</f>
        <v>8083</v>
      </c>
      <c r="AA226" s="1438">
        <f>+Z231</f>
        <v>8209</v>
      </c>
      <c r="AB226" s="1439">
        <f>+AA231</f>
        <v>8334</v>
      </c>
      <c r="AC226" s="1464">
        <f>+X231</f>
        <v>7609</v>
      </c>
      <c r="AD226" s="292">
        <f>+AC231</f>
        <v>8430</v>
      </c>
      <c r="AE226" s="261">
        <f>+AD231</f>
        <v>8563</v>
      </c>
      <c r="AF226" s="261">
        <f>+AE231</f>
        <v>8767</v>
      </c>
      <c r="AG226" s="293">
        <f>+AF231</f>
        <v>8928</v>
      </c>
      <c r="AH226" s="583">
        <f>+AC231</f>
        <v>8430</v>
      </c>
      <c r="AI226" s="292">
        <f>+AH231</f>
        <v>8999</v>
      </c>
      <c r="AJ226" s="261">
        <f>+AI231</f>
        <v>9387.75</v>
      </c>
      <c r="AK226" s="261">
        <f>+AJ231</f>
        <v>9807.5</v>
      </c>
      <c r="AL226" s="293">
        <f>+AK231</f>
        <v>10234.25</v>
      </c>
      <c r="AM226" s="583">
        <f>+AH231</f>
        <v>8999</v>
      </c>
      <c r="AN226" s="292">
        <f>+AM231</f>
        <v>10600</v>
      </c>
      <c r="AO226" s="261">
        <f>+AN231</f>
        <v>10714</v>
      </c>
      <c r="AP226" s="261">
        <f>+AO231</f>
        <v>11082</v>
      </c>
      <c r="AQ226" s="293">
        <f>+AP231</f>
        <v>11342</v>
      </c>
      <c r="AR226" s="583">
        <f>+AM231</f>
        <v>10600</v>
      </c>
      <c r="AS226" s="292">
        <f>+AR231</f>
        <v>11902</v>
      </c>
      <c r="AT226" s="261">
        <f>+AS231</f>
        <v>12360</v>
      </c>
      <c r="AU226" s="261">
        <f t="shared" ref="AU226" si="623">+AT231</f>
        <v>12701</v>
      </c>
      <c r="AV226" s="293">
        <f>+AU231</f>
        <v>12816</v>
      </c>
      <c r="AW226" s="583">
        <f>+AR231</f>
        <v>11902</v>
      </c>
      <c r="AX226" s="292">
        <f>+AW231</f>
        <v>12966</v>
      </c>
      <c r="AY226" s="261">
        <f ca="1">+AX231</f>
        <v>13639.9540279794</v>
      </c>
      <c r="AZ226" s="261">
        <f ca="1">+AY231</f>
        <v>13930.346383546359</v>
      </c>
      <c r="BA226" s="293">
        <f ca="1">+AZ231</f>
        <v>14217.496342018678</v>
      </c>
      <c r="BB226" s="583">
        <f>+AW231</f>
        <v>12966</v>
      </c>
      <c r="BC226" s="292">
        <f ca="1">+BB231</f>
        <v>14501.435969458227</v>
      </c>
      <c r="BD226" s="261">
        <f ca="1">+BC231</f>
        <v>15081.542972453301</v>
      </c>
      <c r="BE226" s="261">
        <f ca="1">+BD231</f>
        <v>15258.582824316645</v>
      </c>
      <c r="BF226" s="293">
        <f ca="1">+BE231</f>
        <v>15433.494823581004</v>
      </c>
      <c r="BG226" s="583">
        <f ca="1">+BB231</f>
        <v>14501.435969458227</v>
      </c>
      <c r="BH226" s="292">
        <f ca="1">+BG231</f>
        <v>15606.300013891278</v>
      </c>
      <c r="BI226" s="261">
        <f ca="1">+BH231</f>
        <v>16018.358045778761</v>
      </c>
      <c r="BJ226" s="261">
        <f ca="1">+BI231</f>
        <v>16213.325734968124</v>
      </c>
      <c r="BK226" s="293">
        <f ca="1">+BJ231</f>
        <v>16405.93970240009</v>
      </c>
      <c r="BL226" s="583">
        <f ca="1">+BG231</f>
        <v>15606.300013891278</v>
      </c>
      <c r="BM226" s="292">
        <f ca="1">+BL231</f>
        <v>16596.223225478789</v>
      </c>
      <c r="BN226" s="261">
        <f ca="1">+BM231</f>
        <v>16852.389245569575</v>
      </c>
      <c r="BO226" s="261">
        <f ca="1">+BN231</f>
        <v>17036.270687778215</v>
      </c>
      <c r="BP226" s="293">
        <f ca="1">+BO231</f>
        <v>17217.890145702462</v>
      </c>
      <c r="BQ226" s="583">
        <f ca="1">+BL231</f>
        <v>16596.223225478789</v>
      </c>
      <c r="BR226" s="45"/>
      <c r="BS226" s="45"/>
      <c r="BT226" s="45"/>
      <c r="BU226" s="45"/>
      <c r="BV226" s="45"/>
      <c r="BW226" s="45"/>
      <c r="BX226" s="45"/>
      <c r="BY226" s="45"/>
      <c r="BZ226" s="45"/>
      <c r="CA226" s="45"/>
      <c r="CB226" s="45"/>
      <c r="CC226" s="5"/>
      <c r="CD226" s="5"/>
      <c r="CE226" s="45"/>
      <c r="CF226" s="45"/>
      <c r="CG226" s="45"/>
      <c r="CH226" s="45"/>
      <c r="CI226" s="45"/>
      <c r="CJ226" s="45"/>
      <c r="CK226" s="45"/>
      <c r="CL226" s="45"/>
      <c r="CM226" s="45"/>
      <c r="CN226" s="45"/>
      <c r="CO226" s="45"/>
      <c r="CP226" s="45"/>
      <c r="CQ226" s="45"/>
      <c r="CR226" s="45"/>
      <c r="CS226" s="45"/>
      <c r="CT226" s="45"/>
      <c r="CU226" s="45"/>
    </row>
    <row r="227" spans="1:99" ht="12.75" customHeight="1">
      <c r="A227" s="45"/>
      <c r="B227" s="45"/>
      <c r="C227" s="391" t="s">
        <v>404</v>
      </c>
      <c r="D227" s="45"/>
      <c r="E227" s="290">
        <f>E141</f>
        <v>225</v>
      </c>
      <c r="F227" s="260">
        <f>F141</f>
        <v>198</v>
      </c>
      <c r="G227" s="260">
        <f>G141</f>
        <v>182</v>
      </c>
      <c r="H227" s="291">
        <f>H141</f>
        <v>249</v>
      </c>
      <c r="I227" s="45">
        <f>SUM(E227:H227)</f>
        <v>854</v>
      </c>
      <c r="J227" s="290">
        <f>J141</f>
        <v>244</v>
      </c>
      <c r="K227" s="260">
        <f>K141</f>
        <v>209</v>
      </c>
      <c r="L227" s="260">
        <f>L141</f>
        <v>233</v>
      </c>
      <c r="M227" s="291">
        <f>M141</f>
        <v>276</v>
      </c>
      <c r="N227" s="45">
        <f>SUM(J227:M227)</f>
        <v>962</v>
      </c>
      <c r="O227" s="290">
        <f>O141</f>
        <v>251</v>
      </c>
      <c r="P227" s="260">
        <f>P141</f>
        <v>244</v>
      </c>
      <c r="Q227" s="260">
        <f>Q141</f>
        <v>263</v>
      </c>
      <c r="R227" s="291">
        <f>R141</f>
        <v>270</v>
      </c>
      <c r="S227" s="45">
        <f>SUM(O227:R227)</f>
        <v>1028</v>
      </c>
      <c r="T227" s="290">
        <f>T141</f>
        <v>291</v>
      </c>
      <c r="U227" s="260">
        <f>U141</f>
        <v>294</v>
      </c>
      <c r="V227" s="260">
        <f>V141</f>
        <v>311</v>
      </c>
      <c r="W227" s="291">
        <f>W141</f>
        <v>350</v>
      </c>
      <c r="X227" s="45">
        <f>SUM(T227:W227)</f>
        <v>1246</v>
      </c>
      <c r="Y227" s="290">
        <f>Y141</f>
        <v>346</v>
      </c>
      <c r="Z227" s="260">
        <f>Z141</f>
        <v>365</v>
      </c>
      <c r="AA227" s="1441">
        <f>AA141</f>
        <v>363</v>
      </c>
      <c r="AB227" s="1442">
        <f>AB141</f>
        <v>359</v>
      </c>
      <c r="AC227" s="1443">
        <f>SUM(Y227:AB227)</f>
        <v>1433</v>
      </c>
      <c r="AD227" s="290">
        <f>AD141</f>
        <v>341</v>
      </c>
      <c r="AE227" s="260">
        <f>AE141</f>
        <v>406</v>
      </c>
      <c r="AF227" s="260">
        <f>AF141</f>
        <v>426</v>
      </c>
      <c r="AG227" s="291">
        <f>AG141</f>
        <v>516</v>
      </c>
      <c r="AH227" s="45">
        <f>SUM(AD227:AG227)</f>
        <v>1689</v>
      </c>
      <c r="AI227" s="290">
        <f>AI141</f>
        <v>530</v>
      </c>
      <c r="AJ227" s="260">
        <f>AJ141</f>
        <v>531</v>
      </c>
      <c r="AK227" s="260">
        <f>AK141</f>
        <v>609</v>
      </c>
      <c r="AL227" s="291">
        <f>AL141</f>
        <v>728</v>
      </c>
      <c r="AM227" s="45">
        <f>SUM(AI227:AL227)</f>
        <v>2398</v>
      </c>
      <c r="AN227" s="290">
        <f>AN141</f>
        <v>639</v>
      </c>
      <c r="AO227" s="260">
        <f>AO141</f>
        <v>695</v>
      </c>
      <c r="AP227" s="260">
        <f>AP141</f>
        <v>616</v>
      </c>
      <c r="AQ227" s="291">
        <f>AQ141</f>
        <v>784</v>
      </c>
      <c r="AR227" s="45">
        <f>SUM(AN227:AQ227)</f>
        <v>2734</v>
      </c>
      <c r="AS227" s="290">
        <f>AS141</f>
        <v>535</v>
      </c>
      <c r="AT227" s="260">
        <f>AT141</f>
        <v>633</v>
      </c>
      <c r="AU227" s="260">
        <f t="shared" ref="AU227" si="624">AU141</f>
        <v>530</v>
      </c>
      <c r="AV227" s="291">
        <f>AV141</f>
        <v>552</v>
      </c>
      <c r="AW227" s="45">
        <f>SUM(AS227:AV227)</f>
        <v>2250</v>
      </c>
      <c r="AX227" s="290">
        <f>AX141</f>
        <v>531.25</v>
      </c>
      <c r="AY227" s="260">
        <f>AY141</f>
        <v>531.25</v>
      </c>
      <c r="AZ227" s="260">
        <f>AZ141</f>
        <v>531.25</v>
      </c>
      <c r="BA227" s="291">
        <f>BA141</f>
        <v>531.25</v>
      </c>
      <c r="BB227" s="45">
        <f>SUM(AX227:BA227)</f>
        <v>2125</v>
      </c>
      <c r="BC227" s="290">
        <f>BC141</f>
        <v>431.25</v>
      </c>
      <c r="BD227" s="260">
        <f>BD141</f>
        <v>431.25</v>
      </c>
      <c r="BE227" s="260">
        <f>BE141</f>
        <v>431.25</v>
      </c>
      <c r="BF227" s="291">
        <f>BF141</f>
        <v>431.25</v>
      </c>
      <c r="BG227" s="45">
        <f>SUM(BC227:BF227)</f>
        <v>1725</v>
      </c>
      <c r="BH227" s="290">
        <f>BH141</f>
        <v>462.5</v>
      </c>
      <c r="BI227" s="260">
        <f>BI141</f>
        <v>462.5</v>
      </c>
      <c r="BJ227" s="260">
        <f>BJ141</f>
        <v>462.5</v>
      </c>
      <c r="BK227" s="291">
        <f>BK141</f>
        <v>462.5</v>
      </c>
      <c r="BL227" s="45">
        <f>SUM(BH227:BK227)</f>
        <v>1850</v>
      </c>
      <c r="BM227" s="290">
        <f>BM141</f>
        <v>462.5</v>
      </c>
      <c r="BN227" s="260">
        <f>BN141</f>
        <v>462.5</v>
      </c>
      <c r="BO227" s="260">
        <f>BO141</f>
        <v>462.5</v>
      </c>
      <c r="BP227" s="291">
        <f>BP141</f>
        <v>462.5</v>
      </c>
      <c r="BQ227" s="45">
        <f>SUM(BM227:BP227)</f>
        <v>1850</v>
      </c>
      <c r="BR227" s="45"/>
      <c r="BS227" s="45"/>
      <c r="BT227" s="45"/>
      <c r="BU227" s="45"/>
      <c r="BV227" s="45"/>
      <c r="BW227" s="45"/>
      <c r="BX227" s="45"/>
      <c r="BY227" s="45"/>
      <c r="BZ227" s="45"/>
      <c r="CA227" s="45"/>
      <c r="CB227" s="45"/>
      <c r="CC227" s="5"/>
      <c r="CD227" s="5"/>
      <c r="CE227" s="45"/>
      <c r="CF227" s="45"/>
      <c r="CG227" s="45"/>
      <c r="CH227" s="45"/>
      <c r="CI227" s="45"/>
      <c r="CJ227" s="45"/>
      <c r="CK227" s="45"/>
      <c r="CL227" s="45"/>
      <c r="CM227" s="45"/>
      <c r="CN227" s="45"/>
      <c r="CO227" s="45"/>
      <c r="CP227" s="45"/>
      <c r="CQ227" s="45"/>
      <c r="CR227" s="45"/>
      <c r="CS227" s="45"/>
      <c r="CT227" s="45"/>
      <c r="CU227" s="45"/>
    </row>
    <row r="228" spans="1:99" ht="12.75" customHeight="1">
      <c r="A228" s="45"/>
      <c r="B228" s="45"/>
      <c r="C228" s="394" t="s">
        <v>587</v>
      </c>
      <c r="D228" s="45"/>
      <c r="E228" s="290">
        <f>-E133</f>
        <v>-123</v>
      </c>
      <c r="F228" s="260">
        <f>-F133</f>
        <v>-123</v>
      </c>
      <c r="G228" s="260">
        <f>-G133</f>
        <v>-126</v>
      </c>
      <c r="H228" s="291">
        <f>-H133</f>
        <v>-123</v>
      </c>
      <c r="I228" s="45">
        <f>SUM(E228:H228)</f>
        <v>-495</v>
      </c>
      <c r="J228" s="290">
        <f>-J133</f>
        <v>-130</v>
      </c>
      <c r="K228" s="260">
        <f>-K133</f>
        <v>-131</v>
      </c>
      <c r="L228" s="260">
        <f>-L133</f>
        <v>-126</v>
      </c>
      <c r="M228" s="291">
        <f>-M133</f>
        <v>-130</v>
      </c>
      <c r="N228" s="45">
        <f>SUM(J228:M228)</f>
        <v>-517</v>
      </c>
      <c r="O228" s="290">
        <f>-O133</f>
        <v>-134</v>
      </c>
      <c r="P228" s="260">
        <f>-P133</f>
        <v>-136</v>
      </c>
      <c r="Q228" s="260">
        <f>-Q133</f>
        <v>-135</v>
      </c>
      <c r="R228" s="291">
        <f>-R133</f>
        <v>-137</v>
      </c>
      <c r="S228" s="45">
        <f>SUM(O228:R228)</f>
        <v>-542</v>
      </c>
      <c r="T228" s="290">
        <f>-T133</f>
        <v>-149</v>
      </c>
      <c r="U228" s="260">
        <f>-U133</f>
        <v>-151</v>
      </c>
      <c r="V228" s="260">
        <f>-V133</f>
        <v>-158</v>
      </c>
      <c r="W228" s="291">
        <f>-W133</f>
        <v>-152</v>
      </c>
      <c r="X228" s="45">
        <f>SUM(T228:W228)</f>
        <v>-610</v>
      </c>
      <c r="Y228" s="290">
        <f>-Y133</f>
        <v>-167</v>
      </c>
      <c r="Z228" s="260">
        <f>-Z133</f>
        <v>-170</v>
      </c>
      <c r="AA228" s="1441">
        <f>-AA133</f>
        <v>-164</v>
      </c>
      <c r="AB228" s="1442">
        <f>-AB133</f>
        <v>-168</v>
      </c>
      <c r="AC228" s="1443">
        <f>SUM(Y228:AB228)</f>
        <v>-669</v>
      </c>
      <c r="AD228" s="290">
        <f>-AD133</f>
        <v>-173</v>
      </c>
      <c r="AE228" s="260">
        <f>-AE133</f>
        <v>-174</v>
      </c>
      <c r="AF228" s="260">
        <f>-AF133</f>
        <v>-174</v>
      </c>
      <c r="AG228" s="291">
        <f>-AG133</f>
        <v>-166</v>
      </c>
      <c r="AH228" s="45">
        <f>SUM(AD228:AG228)</f>
        <v>-687</v>
      </c>
      <c r="AI228" s="290">
        <f>-AI133</f>
        <v>-154</v>
      </c>
      <c r="AJ228" s="260">
        <f>-AJ133</f>
        <v>-158</v>
      </c>
      <c r="AK228" s="260">
        <f>-AK133</f>
        <v>-159</v>
      </c>
      <c r="AL228" s="291">
        <f>-AL133</f>
        <v>-164</v>
      </c>
      <c r="AM228" s="45">
        <f>SUM(AI228:AL228)</f>
        <v>-635</v>
      </c>
      <c r="AN228" s="290">
        <f>-AN133</f>
        <v>-170</v>
      </c>
      <c r="AO228" s="260">
        <f>-AO133</f>
        <v>-175</v>
      </c>
      <c r="AP228" s="260">
        <f>-AP133</f>
        <v>-180</v>
      </c>
      <c r="AQ228" s="291">
        <f>-AQ133</f>
        <v>-183</v>
      </c>
      <c r="AR228" s="45">
        <f>SUM(AN228:AQ228)</f>
        <v>-708</v>
      </c>
      <c r="AS228" s="290">
        <f>-AS133</f>
        <v>-190</v>
      </c>
      <c r="AT228" s="260">
        <f>-AT133</f>
        <v>-194</v>
      </c>
      <c r="AU228" s="260">
        <f t="shared" ref="AU228" si="625">-AU133</f>
        <v>-195</v>
      </c>
      <c r="AV228" s="291">
        <f>-AV133</f>
        <v>-198</v>
      </c>
      <c r="AW228" s="45">
        <f>SUM(AS228:AV228)</f>
        <v>-777</v>
      </c>
      <c r="AX228" s="290">
        <f>-AX133</f>
        <v>-199.82957894211077</v>
      </c>
      <c r="AY228" s="260">
        <f>-AY133</f>
        <v>-203.39125135455083</v>
      </c>
      <c r="AZ228" s="260">
        <f>-AZ133</f>
        <v>-206.63364844919141</v>
      </c>
      <c r="BA228" s="291">
        <f>-BA133</f>
        <v>-209.84397948196002</v>
      </c>
      <c r="BB228" s="45">
        <f>SUM(AX228:BA228)</f>
        <v>-819.69845822781292</v>
      </c>
      <c r="BC228" s="290">
        <f>-BC133</f>
        <v>-213.02256157389206</v>
      </c>
      <c r="BD228" s="260">
        <f>-BD133</f>
        <v>-216.08971270562222</v>
      </c>
      <c r="BE228" s="260">
        <f>-BE133</f>
        <v>-218.21756530460766</v>
      </c>
      <c r="BF228" s="291">
        <f>-BF133</f>
        <v>-220.32437425869023</v>
      </c>
      <c r="BG228" s="45">
        <f>SUM(BC228:BF228)</f>
        <v>-867.65421384281217</v>
      </c>
      <c r="BH228" s="290">
        <f>-BH133</f>
        <v>-222.41034768143533</v>
      </c>
      <c r="BI228" s="260">
        <f>-BI133</f>
        <v>-224.50069037955609</v>
      </c>
      <c r="BJ228" s="260">
        <f>-BJ133</f>
        <v>-226.85441213695324</v>
      </c>
      <c r="BK228" s="291">
        <f>-BK133</f>
        <v>-229.18485649022642</v>
      </c>
      <c r="BL228" s="45">
        <f>SUM(BH228:BK228)</f>
        <v>-902.95030668817117</v>
      </c>
      <c r="BM228" s="290">
        <f>-BM133</f>
        <v>-231.49225364396179</v>
      </c>
      <c r="BN228" s="260">
        <f>-BN133</f>
        <v>-233.7768315261103</v>
      </c>
      <c r="BO228" s="260">
        <f>-BO133</f>
        <v>-236.03881581050319</v>
      </c>
      <c r="BP228" s="291">
        <f>-BP133</f>
        <v>-238.27842993914413</v>
      </c>
      <c r="BQ228" s="45">
        <f>SUM(BM228:BP228)</f>
        <v>-939.58633091971956</v>
      </c>
      <c r="BR228" s="45"/>
      <c r="BS228" s="45"/>
      <c r="BT228" s="45"/>
      <c r="BU228" s="45"/>
      <c r="BV228" s="45"/>
      <c r="BW228" s="45"/>
      <c r="BX228" s="45"/>
      <c r="BY228" s="45"/>
      <c r="BZ228" s="45"/>
      <c r="CA228" s="45"/>
      <c r="CB228" s="45"/>
      <c r="CC228" s="5"/>
      <c r="CD228" s="5"/>
      <c r="CE228" s="45"/>
      <c r="CF228" s="45"/>
      <c r="CG228" s="45"/>
      <c r="CH228" s="45"/>
      <c r="CI228" s="45"/>
      <c r="CJ228" s="45"/>
      <c r="CK228" s="45"/>
      <c r="CL228" s="45"/>
      <c r="CM228" s="45"/>
      <c r="CN228" s="45"/>
      <c r="CO228" s="45"/>
      <c r="CP228" s="45"/>
      <c r="CQ228" s="45"/>
      <c r="CR228" s="45"/>
      <c r="CS228" s="45"/>
      <c r="CT228" s="45"/>
      <c r="CU228" s="45"/>
    </row>
    <row r="229" spans="1:99" ht="12.75" customHeight="1">
      <c r="A229" s="45"/>
      <c r="B229" s="45"/>
      <c r="C229" s="391" t="s">
        <v>158</v>
      </c>
      <c r="D229" s="45"/>
      <c r="E229" s="290">
        <f>-E165</f>
        <v>-57</v>
      </c>
      <c r="F229" s="260">
        <f>-F165</f>
        <v>-85</v>
      </c>
      <c r="G229" s="260">
        <f>-G165</f>
        <v>-63</v>
      </c>
      <c r="H229" s="291">
        <f>-H165</f>
        <v>-60</v>
      </c>
      <c r="I229" s="45">
        <f>SUM(E229:H229)</f>
        <v>-265</v>
      </c>
      <c r="J229" s="290">
        <f>-J165</f>
        <v>-7</v>
      </c>
      <c r="K229" s="260">
        <f>-K165</f>
        <v>-4</v>
      </c>
      <c r="L229" s="260">
        <f>-L165</f>
        <v>-188</v>
      </c>
      <c r="M229" s="291">
        <f>-M165</f>
        <v>-383</v>
      </c>
      <c r="N229" s="45">
        <f>SUM(J229:M229)</f>
        <v>-582</v>
      </c>
      <c r="O229" s="290">
        <f>-O165</f>
        <v>-81</v>
      </c>
      <c r="P229" s="260">
        <f>-P165</f>
        <v>-103</v>
      </c>
      <c r="Q229" s="260">
        <f>-Q165</f>
        <v>-343</v>
      </c>
      <c r="R229" s="291">
        <f>-R165</f>
        <v>-173</v>
      </c>
      <c r="S229" s="45">
        <f>SUM(O229:R229)</f>
        <v>-700</v>
      </c>
      <c r="T229" s="290">
        <f>-T165</f>
        <v>-57</v>
      </c>
      <c r="U229" s="260">
        <f>-U165</f>
        <v>-59</v>
      </c>
      <c r="V229" s="260">
        <f>-V165</f>
        <v>-82</v>
      </c>
      <c r="W229" s="291">
        <f>-W165</f>
        <v>-72</v>
      </c>
      <c r="X229" s="45">
        <f>SUM(T229:W229)</f>
        <v>-270</v>
      </c>
      <c r="Y229" s="290">
        <f>-Y165</f>
        <v>295</v>
      </c>
      <c r="Z229" s="260">
        <f>-Z165</f>
        <v>-69</v>
      </c>
      <c r="AA229" s="1441">
        <f>-AA165</f>
        <v>-74</v>
      </c>
      <c r="AB229" s="1442">
        <f>-AB165</f>
        <v>-95</v>
      </c>
      <c r="AC229" s="1443">
        <f>SUM(Y229:AB229)</f>
        <v>57</v>
      </c>
      <c r="AD229" s="290">
        <f>-AD165</f>
        <v>-35</v>
      </c>
      <c r="AE229" s="260">
        <f>-AE165</f>
        <v>-28</v>
      </c>
      <c r="AF229" s="260">
        <f>-AF165</f>
        <v>-91</v>
      </c>
      <c r="AG229" s="291">
        <f>-AG165</f>
        <v>-279</v>
      </c>
      <c r="AH229" s="45">
        <f>SUM(AD229:AG229)</f>
        <v>-433</v>
      </c>
      <c r="AI229" s="290">
        <f>-AI165</f>
        <v>-35</v>
      </c>
      <c r="AJ229" s="260">
        <f>-AJ165</f>
        <v>-1</v>
      </c>
      <c r="AK229" s="260">
        <f>-AK165</f>
        <v>-71</v>
      </c>
      <c r="AL229" s="291">
        <f>-AL165</f>
        <v>-246</v>
      </c>
      <c r="AM229" s="45">
        <f>SUM(AI229:AL229)</f>
        <v>-353</v>
      </c>
      <c r="AN229" s="290">
        <f t="shared" ref="AN229:AO229" si="626">-AN165</f>
        <v>-70</v>
      </c>
      <c r="AO229" s="260">
        <f t="shared" si="626"/>
        <v>-152</v>
      </c>
      <c r="AP229" s="260">
        <f>-AP165</f>
        <v>-176</v>
      </c>
      <c r="AQ229" s="291">
        <f>-AQ165</f>
        <v>-41</v>
      </c>
      <c r="AR229" s="45">
        <f>SUM(AN229:AQ229)</f>
        <v>-439</v>
      </c>
      <c r="AS229" s="290">
        <f>-AS165</f>
        <v>-137</v>
      </c>
      <c r="AT229" s="260">
        <f>-AT165</f>
        <v>-98</v>
      </c>
      <c r="AU229" s="260">
        <f t="shared" ref="AU229" si="627">-AU165</f>
        <v>-220</v>
      </c>
      <c r="AV229" s="291">
        <f>-AV165</f>
        <v>-204</v>
      </c>
      <c r="AW229" s="45">
        <f>SUM(AS229:AV229)</f>
        <v>-659</v>
      </c>
      <c r="AX229" s="290">
        <f ca="1">-AX165</f>
        <v>-37.466393078490206</v>
      </c>
      <c r="AY229" s="260">
        <f ca="1">-AY165</f>
        <v>-37.466393078490206</v>
      </c>
      <c r="AZ229" s="260">
        <f ca="1">-AZ165</f>
        <v>-37.466393078490206</v>
      </c>
      <c r="BA229" s="291">
        <f ca="1">-BA165</f>
        <v>-37.466393078490199</v>
      </c>
      <c r="BB229" s="45">
        <f ca="1">SUM(AX229:BA229)</f>
        <v>-149.86557231396083</v>
      </c>
      <c r="BC229" s="290">
        <f ca="1">-BC165</f>
        <v>-38.120435431034245</v>
      </c>
      <c r="BD229" s="260">
        <f ca="1">-BD165</f>
        <v>-38.120435431034245</v>
      </c>
      <c r="BE229" s="260">
        <f ca="1">-BE165</f>
        <v>-38.120435431034245</v>
      </c>
      <c r="BF229" s="291">
        <f ca="1">-BF165</f>
        <v>-38.120435431034252</v>
      </c>
      <c r="BG229" s="45">
        <f ca="1">SUM(BC229:BF229)</f>
        <v>-152.48174172413698</v>
      </c>
      <c r="BH229" s="290">
        <f ca="1">-BH165</f>
        <v>-43.031620431079325</v>
      </c>
      <c r="BI229" s="260">
        <f ca="1">-BI165</f>
        <v>-43.031620431079325</v>
      </c>
      <c r="BJ229" s="260">
        <f ca="1">-BJ165</f>
        <v>-43.031620431079325</v>
      </c>
      <c r="BK229" s="291">
        <f ca="1">-BK165</f>
        <v>-43.031620431079318</v>
      </c>
      <c r="BL229" s="45">
        <f ca="1">SUM(BH229:BK229)</f>
        <v>-172.1264817243173</v>
      </c>
      <c r="BM229" s="290">
        <f ca="1">-BM165</f>
        <v>-44.841726265251182</v>
      </c>
      <c r="BN229" s="260">
        <f ca="1">-BN165</f>
        <v>-44.841726265251189</v>
      </c>
      <c r="BO229" s="260">
        <f ca="1">-BO165</f>
        <v>-44.841726265251182</v>
      </c>
      <c r="BP229" s="291">
        <f ca="1">-BP165</f>
        <v>-44.841726265251168</v>
      </c>
      <c r="BQ229" s="45">
        <f ca="1">SUM(BM229:BP229)</f>
        <v>-179.36690506100473</v>
      </c>
      <c r="BR229" s="45"/>
      <c r="BS229" s="45"/>
      <c r="BT229" s="45"/>
      <c r="BU229" s="45"/>
      <c r="BV229" s="45"/>
      <c r="BW229" s="45"/>
      <c r="BX229" s="45"/>
      <c r="BY229" s="45"/>
      <c r="BZ229" s="45"/>
      <c r="CA229" s="45"/>
      <c r="CB229" s="45"/>
      <c r="CC229" s="5"/>
      <c r="CD229" s="5"/>
      <c r="CE229" s="45"/>
      <c r="CF229" s="45"/>
      <c r="CG229" s="45"/>
      <c r="CH229" s="45"/>
      <c r="CI229" s="45"/>
      <c r="CJ229" s="45"/>
      <c r="CK229" s="45"/>
      <c r="CL229" s="45"/>
      <c r="CM229" s="45"/>
      <c r="CN229" s="45"/>
      <c r="CO229" s="45"/>
      <c r="CP229" s="45"/>
      <c r="CQ229" s="45"/>
      <c r="CR229" s="45"/>
      <c r="CS229" s="45"/>
      <c r="CT229" s="45"/>
      <c r="CU229" s="45"/>
    </row>
    <row r="230" spans="1:99" ht="12.75" customHeight="1">
      <c r="A230" s="45"/>
      <c r="B230" s="45"/>
      <c r="C230" s="391" t="s">
        <v>1288</v>
      </c>
      <c r="D230" s="45"/>
      <c r="E230" s="814">
        <v>0</v>
      </c>
      <c r="F230" s="262">
        <v>0</v>
      </c>
      <c r="G230" s="262">
        <v>0</v>
      </c>
      <c r="H230" s="294">
        <v>0</v>
      </c>
      <c r="I230" s="45">
        <f>SUM(E230:H230)</f>
        <v>0</v>
      </c>
      <c r="J230" s="814">
        <v>0</v>
      </c>
      <c r="K230" s="262">
        <v>0</v>
      </c>
      <c r="L230" s="262">
        <v>0</v>
      </c>
      <c r="M230" s="294">
        <v>0</v>
      </c>
      <c r="N230" s="45">
        <f>SUM(J230:M230)</f>
        <v>0</v>
      </c>
      <c r="O230" s="814">
        <v>0</v>
      </c>
      <c r="P230" s="262">
        <v>0</v>
      </c>
      <c r="Q230" s="262">
        <v>0</v>
      </c>
      <c r="R230" s="294">
        <v>0</v>
      </c>
      <c r="S230" s="45">
        <f>SUM(O230:R230)</f>
        <v>0</v>
      </c>
      <c r="T230" s="814">
        <v>0</v>
      </c>
      <c r="U230" s="262">
        <v>0</v>
      </c>
      <c r="V230" s="262">
        <v>0</v>
      </c>
      <c r="W230" s="294">
        <v>0</v>
      </c>
      <c r="X230" s="45">
        <f>SUM(T230:W230)</f>
        <v>0</v>
      </c>
      <c r="Y230" s="814">
        <v>0</v>
      </c>
      <c r="Z230" s="262">
        <v>0</v>
      </c>
      <c r="AA230" s="262">
        <v>0</v>
      </c>
      <c r="AB230" s="294">
        <v>0</v>
      </c>
      <c r="AC230" s="45">
        <f>SUM(Y230:AB230)</f>
        <v>0</v>
      </c>
      <c r="AD230" s="814">
        <v>0</v>
      </c>
      <c r="AE230" s="262">
        <v>0</v>
      </c>
      <c r="AF230" s="262">
        <v>0</v>
      </c>
      <c r="AG230" s="294">
        <v>0</v>
      </c>
      <c r="AH230" s="45">
        <f>SUM(AD230:AG230)</f>
        <v>0</v>
      </c>
      <c r="AI230" s="814">
        <f>AM230/4</f>
        <v>47.75</v>
      </c>
      <c r="AJ230" s="262">
        <f>AM230/4</f>
        <v>47.75</v>
      </c>
      <c r="AK230" s="262">
        <f>AM230/4</f>
        <v>47.75</v>
      </c>
      <c r="AL230" s="294">
        <f>AM230/4</f>
        <v>47.75</v>
      </c>
      <c r="AM230" s="45">
        <f>AM231-AM226-AM227-AM228-AM229</f>
        <v>191</v>
      </c>
      <c r="AN230" s="814">
        <v>-285</v>
      </c>
      <c r="AO230" s="262">
        <v>0</v>
      </c>
      <c r="AP230" s="262">
        <v>0</v>
      </c>
      <c r="AQ230" s="294">
        <v>0</v>
      </c>
      <c r="AR230" s="45">
        <f>SUM(AN230:AQ230)</f>
        <v>-285</v>
      </c>
      <c r="AS230" s="814">
        <v>250</v>
      </c>
      <c r="AT230" s="262">
        <v>0</v>
      </c>
      <c r="AU230" s="262">
        <v>0</v>
      </c>
      <c r="AV230" s="294">
        <v>0</v>
      </c>
      <c r="AW230" s="45">
        <f>SUM(AS230:AV230)</f>
        <v>250</v>
      </c>
      <c r="AX230" s="814">
        <v>380</v>
      </c>
      <c r="AY230" s="262">
        <v>0</v>
      </c>
      <c r="AZ230" s="262">
        <v>0</v>
      </c>
      <c r="BA230" s="294">
        <v>0</v>
      </c>
      <c r="BB230" s="45">
        <f>SUM(AX230:BA230)</f>
        <v>380</v>
      </c>
      <c r="BC230" s="814">
        <v>400</v>
      </c>
      <c r="BD230" s="262">
        <v>0</v>
      </c>
      <c r="BE230" s="262">
        <v>0</v>
      </c>
      <c r="BF230" s="294">
        <v>0</v>
      </c>
      <c r="BG230" s="45">
        <f>SUM(BC230:BF230)</f>
        <v>400</v>
      </c>
      <c r="BH230" s="814">
        <v>215</v>
      </c>
      <c r="BI230" s="262">
        <v>0</v>
      </c>
      <c r="BJ230" s="262">
        <v>0</v>
      </c>
      <c r="BK230" s="294">
        <v>0</v>
      </c>
      <c r="BL230" s="45">
        <f>SUM(BH230:BK230)</f>
        <v>215</v>
      </c>
      <c r="BM230" s="300">
        <v>70</v>
      </c>
      <c r="BN230" s="262">
        <v>0</v>
      </c>
      <c r="BO230" s="262">
        <v>0</v>
      </c>
      <c r="BP230" s="294">
        <v>0</v>
      </c>
      <c r="BQ230" s="45">
        <f>SUM(BM230:BP230)</f>
        <v>70</v>
      </c>
      <c r="BR230" s="45"/>
      <c r="BS230" s="45"/>
      <c r="BT230" s="45"/>
      <c r="BU230" s="45"/>
      <c r="BV230" s="45"/>
      <c r="BW230" s="45"/>
      <c r="BX230" s="45"/>
      <c r="BY230" s="45"/>
      <c r="BZ230" s="45"/>
      <c r="CA230" s="45"/>
      <c r="CB230" s="45"/>
      <c r="CC230" s="5"/>
      <c r="CD230" s="5"/>
      <c r="CE230" s="45"/>
      <c r="CF230" s="45"/>
      <c r="CG230" s="45"/>
      <c r="CH230" s="45"/>
      <c r="CI230" s="45"/>
      <c r="CJ230" s="45"/>
      <c r="CK230" s="45"/>
      <c r="CL230" s="45"/>
      <c r="CM230" s="45"/>
      <c r="CN230" s="45"/>
      <c r="CO230" s="45"/>
      <c r="CP230" s="45"/>
      <c r="CQ230" s="45"/>
      <c r="CR230" s="45"/>
      <c r="CS230" s="45"/>
      <c r="CT230" s="45"/>
      <c r="CU230" s="45"/>
    </row>
    <row r="231" spans="1:99" ht="12.75" customHeight="1">
      <c r="A231" s="45"/>
      <c r="B231" s="45"/>
      <c r="C231" s="389" t="s">
        <v>405</v>
      </c>
      <c r="D231" s="45"/>
      <c r="E231" s="292">
        <f t="shared" ref="E231:AR231" si="628">SUM(E226:E230)</f>
        <v>7545</v>
      </c>
      <c r="F231" s="261">
        <f t="shared" si="628"/>
        <v>7535</v>
      </c>
      <c r="G231" s="261">
        <f t="shared" si="628"/>
        <v>7528</v>
      </c>
      <c r="H231" s="293">
        <f t="shared" si="628"/>
        <v>7594</v>
      </c>
      <c r="I231" s="228">
        <f t="shared" si="628"/>
        <v>7594</v>
      </c>
      <c r="J231" s="292">
        <f t="shared" si="628"/>
        <v>7701</v>
      </c>
      <c r="K231" s="261">
        <f t="shared" si="628"/>
        <v>7775</v>
      </c>
      <c r="L231" s="261">
        <f t="shared" si="628"/>
        <v>7694</v>
      </c>
      <c r="M231" s="293">
        <f t="shared" si="628"/>
        <v>7457</v>
      </c>
      <c r="N231" s="228">
        <f t="shared" si="628"/>
        <v>7457</v>
      </c>
      <c r="O231" s="292">
        <f t="shared" si="628"/>
        <v>7493</v>
      </c>
      <c r="P231" s="261">
        <f t="shared" si="628"/>
        <v>7498</v>
      </c>
      <c r="Q231" s="261">
        <f t="shared" si="628"/>
        <v>7283</v>
      </c>
      <c r="R231" s="293">
        <f t="shared" si="628"/>
        <v>7243</v>
      </c>
      <c r="S231" s="228">
        <f t="shared" si="628"/>
        <v>7243</v>
      </c>
      <c r="T231" s="292">
        <f t="shared" si="628"/>
        <v>7328</v>
      </c>
      <c r="U231" s="261">
        <f t="shared" si="628"/>
        <v>7412</v>
      </c>
      <c r="V231" s="261">
        <f t="shared" si="628"/>
        <v>7483</v>
      </c>
      <c r="W231" s="293">
        <f t="shared" si="628"/>
        <v>7609</v>
      </c>
      <c r="X231" s="228">
        <f t="shared" si="628"/>
        <v>7609</v>
      </c>
      <c r="Y231" s="292">
        <f t="shared" si="628"/>
        <v>8083</v>
      </c>
      <c r="Z231" s="261">
        <f t="shared" si="628"/>
        <v>8209</v>
      </c>
      <c r="AA231" s="1438">
        <f t="shared" si="628"/>
        <v>8334</v>
      </c>
      <c r="AB231" s="1439">
        <f t="shared" si="628"/>
        <v>8430</v>
      </c>
      <c r="AC231" s="1440">
        <f t="shared" si="628"/>
        <v>8430</v>
      </c>
      <c r="AD231" s="292">
        <f t="shared" si="628"/>
        <v>8563</v>
      </c>
      <c r="AE231" s="261">
        <f t="shared" si="628"/>
        <v>8767</v>
      </c>
      <c r="AF231" s="261">
        <f t="shared" si="628"/>
        <v>8928</v>
      </c>
      <c r="AG231" s="293">
        <f t="shared" si="628"/>
        <v>8999</v>
      </c>
      <c r="AH231" s="228">
        <f t="shared" si="628"/>
        <v>8999</v>
      </c>
      <c r="AI231" s="292">
        <f t="shared" si="628"/>
        <v>9387.75</v>
      </c>
      <c r="AJ231" s="261">
        <f t="shared" si="628"/>
        <v>9807.5</v>
      </c>
      <c r="AK231" s="261">
        <f t="shared" si="628"/>
        <v>10234.25</v>
      </c>
      <c r="AL231" s="293">
        <f t="shared" si="628"/>
        <v>10600</v>
      </c>
      <c r="AM231" s="228">
        <f>AM236</f>
        <v>10600</v>
      </c>
      <c r="AN231" s="292">
        <f t="shared" si="628"/>
        <v>10714</v>
      </c>
      <c r="AO231" s="261">
        <f t="shared" si="628"/>
        <v>11082</v>
      </c>
      <c r="AP231" s="261">
        <f t="shared" ref="AP231" si="629">SUM(AP226:AP230)</f>
        <v>11342</v>
      </c>
      <c r="AQ231" s="293">
        <f t="shared" si="628"/>
        <v>11902</v>
      </c>
      <c r="AR231" s="228">
        <f t="shared" si="628"/>
        <v>11902</v>
      </c>
      <c r="AS231" s="292">
        <f t="shared" ref="AS231:BB231" si="630">SUM(AS226:AS230)</f>
        <v>12360</v>
      </c>
      <c r="AT231" s="261">
        <f t="shared" si="630"/>
        <v>12701</v>
      </c>
      <c r="AU231" s="261">
        <f t="shared" ref="AU231" si="631">SUM(AU226:AU230)</f>
        <v>12816</v>
      </c>
      <c r="AV231" s="293">
        <f t="shared" si="630"/>
        <v>12966</v>
      </c>
      <c r="AW231" s="228">
        <f>SUM(AW226:AW230)</f>
        <v>12966</v>
      </c>
      <c r="AX231" s="292">
        <f t="shared" ca="1" si="630"/>
        <v>13639.9540279794</v>
      </c>
      <c r="AY231" s="261">
        <f t="shared" ca="1" si="630"/>
        <v>13930.346383546359</v>
      </c>
      <c r="AZ231" s="261">
        <f t="shared" ca="1" si="630"/>
        <v>14217.496342018678</v>
      </c>
      <c r="BA231" s="293">
        <f t="shared" ca="1" si="630"/>
        <v>14501.435969458227</v>
      </c>
      <c r="BB231" s="228">
        <f t="shared" ca="1" si="630"/>
        <v>14501.435969458227</v>
      </c>
      <c r="BC231" s="292">
        <f t="shared" ref="BC231:BL231" ca="1" si="632">SUM(BC226:BC230)</f>
        <v>15081.542972453301</v>
      </c>
      <c r="BD231" s="261">
        <f t="shared" ca="1" si="632"/>
        <v>15258.582824316645</v>
      </c>
      <c r="BE231" s="261">
        <f t="shared" ca="1" si="632"/>
        <v>15433.494823581004</v>
      </c>
      <c r="BF231" s="293">
        <f t="shared" ca="1" si="632"/>
        <v>15606.300013891279</v>
      </c>
      <c r="BG231" s="228">
        <f t="shared" ca="1" si="632"/>
        <v>15606.300013891278</v>
      </c>
      <c r="BH231" s="292">
        <f t="shared" ca="1" si="632"/>
        <v>16018.358045778761</v>
      </c>
      <c r="BI231" s="261">
        <f t="shared" ca="1" si="632"/>
        <v>16213.325734968124</v>
      </c>
      <c r="BJ231" s="261">
        <f t="shared" ca="1" si="632"/>
        <v>16405.93970240009</v>
      </c>
      <c r="BK231" s="293">
        <f t="shared" ca="1" si="632"/>
        <v>16596.223225478785</v>
      </c>
      <c r="BL231" s="228">
        <f t="shared" ca="1" si="632"/>
        <v>16596.223225478789</v>
      </c>
      <c r="BM231" s="292">
        <f t="shared" ref="BM231:BQ231" ca="1" si="633">SUM(BM226:BM230)</f>
        <v>16852.389245569575</v>
      </c>
      <c r="BN231" s="261">
        <f t="shared" ca="1" si="633"/>
        <v>17036.270687778215</v>
      </c>
      <c r="BO231" s="261">
        <f t="shared" ca="1" si="633"/>
        <v>17217.890145702462</v>
      </c>
      <c r="BP231" s="293">
        <f t="shared" ca="1" si="633"/>
        <v>17397.269989498069</v>
      </c>
      <c r="BQ231" s="228">
        <f t="shared" ca="1" si="633"/>
        <v>17397.269989498065</v>
      </c>
      <c r="BR231" s="45"/>
      <c r="BS231" s="45"/>
      <c r="BT231" s="45"/>
      <c r="BU231" s="45"/>
      <c r="BV231" s="45"/>
      <c r="BW231" s="45"/>
      <c r="BX231" s="45"/>
      <c r="BY231" s="45"/>
      <c r="BZ231" s="45"/>
      <c r="CA231" s="45"/>
      <c r="CB231" s="45"/>
      <c r="CC231" s="5"/>
      <c r="CD231" s="5"/>
      <c r="CE231" s="45"/>
      <c r="CF231" s="45"/>
      <c r="CG231" s="45"/>
      <c r="CH231" s="45"/>
      <c r="CI231" s="45"/>
      <c r="CJ231" s="45"/>
      <c r="CK231" s="45"/>
      <c r="CL231" s="45"/>
      <c r="CM231" s="45"/>
      <c r="CN231" s="45"/>
      <c r="CO231" s="45"/>
      <c r="CP231" s="45"/>
      <c r="CQ231" s="45"/>
      <c r="CR231" s="45"/>
      <c r="CS231" s="45"/>
      <c r="CT231" s="45"/>
      <c r="CU231" s="45"/>
    </row>
    <row r="232" spans="1:99" ht="12.75" customHeight="1">
      <c r="A232" s="45"/>
      <c r="B232" s="45"/>
      <c r="C232" s="389"/>
      <c r="D232" s="45"/>
      <c r="E232" s="292"/>
      <c r="F232" s="261"/>
      <c r="G232" s="261"/>
      <c r="H232" s="293"/>
      <c r="I232" s="344"/>
      <c r="J232" s="292"/>
      <c r="K232" s="261"/>
      <c r="L232" s="261"/>
      <c r="M232" s="293"/>
      <c r="N232" s="344"/>
      <c r="O232" s="292"/>
      <c r="P232" s="261"/>
      <c r="Q232" s="261"/>
      <c r="R232" s="293"/>
      <c r="S232" s="344"/>
      <c r="T232" s="292"/>
      <c r="U232" s="261"/>
      <c r="V232" s="261"/>
      <c r="W232" s="293"/>
      <c r="X232" s="344"/>
      <c r="Y232" s="585"/>
      <c r="Z232" s="343"/>
      <c r="AA232" s="1462"/>
      <c r="AB232" s="1473"/>
      <c r="AC232" s="1472"/>
      <c r="AD232" s="585"/>
      <c r="AE232" s="343"/>
      <c r="AF232" s="343"/>
      <c r="AG232" s="670"/>
      <c r="AH232" s="344"/>
      <c r="AI232" s="585"/>
      <c r="AJ232" s="343"/>
      <c r="AK232" s="343"/>
      <c r="AL232" s="670"/>
      <c r="AM232" s="344"/>
      <c r="AN232" s="585"/>
      <c r="AO232" s="343"/>
      <c r="AP232" s="343"/>
      <c r="AQ232" s="670"/>
      <c r="AR232" s="344"/>
      <c r="AS232" s="585"/>
      <c r="AT232" s="343"/>
      <c r="AU232" s="343"/>
      <c r="AV232" s="670"/>
      <c r="AW232" s="344"/>
      <c r="AX232" s="585"/>
      <c r="AY232" s="343"/>
      <c r="AZ232" s="343"/>
      <c r="BA232" s="670"/>
      <c r="BB232" s="344"/>
      <c r="BC232" s="585"/>
      <c r="BD232" s="343"/>
      <c r="BE232" s="343"/>
      <c r="BF232" s="670"/>
      <c r="BG232" s="344"/>
      <c r="BH232" s="585"/>
      <c r="BI232" s="343"/>
      <c r="BJ232" s="343"/>
      <c r="BK232" s="670"/>
      <c r="BL232" s="344"/>
      <c r="BM232" s="585"/>
      <c r="BN232" s="343"/>
      <c r="BO232" s="343"/>
      <c r="BP232" s="670"/>
      <c r="BQ232" s="344"/>
      <c r="BR232" s="45"/>
      <c r="BS232" s="45"/>
      <c r="BT232" s="45"/>
      <c r="BU232" s="45"/>
      <c r="BV232" s="45"/>
      <c r="BW232" s="45"/>
      <c r="BX232" s="45"/>
      <c r="BY232" s="45"/>
      <c r="BZ232" s="45"/>
      <c r="CA232" s="45"/>
      <c r="CB232" s="45"/>
      <c r="CC232" s="5"/>
      <c r="CD232" s="5"/>
      <c r="CE232" s="45"/>
      <c r="CF232" s="45"/>
      <c r="CG232" s="45"/>
      <c r="CH232" s="45"/>
      <c r="CI232" s="45"/>
      <c r="CJ232" s="45"/>
      <c r="CK232" s="45"/>
      <c r="CL232" s="45"/>
      <c r="CM232" s="45"/>
      <c r="CN232" s="45"/>
      <c r="CO232" s="45"/>
      <c r="CP232" s="45"/>
      <c r="CQ232" s="45"/>
      <c r="CR232" s="45"/>
      <c r="CS232" s="45"/>
      <c r="CT232" s="45"/>
      <c r="CU232" s="45"/>
    </row>
    <row r="233" spans="1:99" s="34" customFormat="1" ht="12.75" customHeight="1">
      <c r="A233" s="228"/>
      <c r="B233" s="228"/>
      <c r="C233" s="389" t="s">
        <v>157</v>
      </c>
      <c r="D233" s="228"/>
      <c r="E233" s="292"/>
      <c r="F233" s="261"/>
      <c r="G233" s="261"/>
      <c r="H233" s="293"/>
      <c r="I233" s="228">
        <f>AVERAGE(I231,I226)</f>
        <v>7547</v>
      </c>
      <c r="J233" s="292"/>
      <c r="K233" s="261"/>
      <c r="L233" s="261"/>
      <c r="M233" s="293"/>
      <c r="N233" s="228">
        <f>AVERAGE(N231,N226)</f>
        <v>7525.5</v>
      </c>
      <c r="O233" s="292"/>
      <c r="P233" s="261"/>
      <c r="Q233" s="261"/>
      <c r="R233" s="293"/>
      <c r="S233" s="228">
        <f>AVERAGE(S231,S226)</f>
        <v>7350</v>
      </c>
      <c r="T233" s="292"/>
      <c r="U233" s="261"/>
      <c r="V233" s="261"/>
      <c r="W233" s="293"/>
      <c r="X233" s="228">
        <f>AVERAGE(X231,X226)</f>
        <v>7426</v>
      </c>
      <c r="Y233" s="292"/>
      <c r="Z233" s="261"/>
      <c r="AA233" s="1438"/>
      <c r="AB233" s="1439"/>
      <c r="AC233" s="1440">
        <f>AVERAGE(AC231,AC226)</f>
        <v>8019.5</v>
      </c>
      <c r="AD233" s="292"/>
      <c r="AE233" s="261"/>
      <c r="AF233" s="261"/>
      <c r="AG233" s="293"/>
      <c r="AH233" s="228">
        <f>AVERAGE(AH231,AH226)</f>
        <v>8714.5</v>
      </c>
      <c r="AI233" s="292"/>
      <c r="AJ233" s="261"/>
      <c r="AK233" s="261"/>
      <c r="AL233" s="293"/>
      <c r="AM233" s="228">
        <f>AVERAGE(AM231,AM226)</f>
        <v>9799.5</v>
      </c>
      <c r="AN233" s="292"/>
      <c r="AO233" s="261"/>
      <c r="AP233" s="261"/>
      <c r="AQ233" s="293"/>
      <c r="AR233" s="228">
        <f>AVERAGE(AR231,AR226)</f>
        <v>11251</v>
      </c>
      <c r="AS233" s="292"/>
      <c r="AT233" s="261"/>
      <c r="AU233" s="261"/>
      <c r="AV233" s="293"/>
      <c r="AW233" s="228">
        <f>AVERAGE(AW231,AW226)</f>
        <v>12434</v>
      </c>
      <c r="AX233" s="292"/>
      <c r="AY233" s="261"/>
      <c r="AZ233" s="261"/>
      <c r="BA233" s="293"/>
      <c r="BB233" s="228">
        <f ca="1">AVERAGE(BB231,BB226)</f>
        <v>13733.717984729114</v>
      </c>
      <c r="BC233" s="292"/>
      <c r="BD233" s="261"/>
      <c r="BE233" s="261"/>
      <c r="BF233" s="293"/>
      <c r="BG233" s="228">
        <f ca="1">AVERAGE(BG231,BG226)</f>
        <v>15053.867991674753</v>
      </c>
      <c r="BH233" s="292"/>
      <c r="BI233" s="261"/>
      <c r="BJ233" s="261"/>
      <c r="BK233" s="293"/>
      <c r="BL233" s="228">
        <f ca="1">AVERAGE(BL231,BL226)</f>
        <v>16101.261619685032</v>
      </c>
      <c r="BM233" s="292"/>
      <c r="BN233" s="261"/>
      <c r="BO233" s="261"/>
      <c r="BP233" s="293"/>
      <c r="BQ233" s="228">
        <f ca="1">AVERAGE(BQ231,BQ226)</f>
        <v>16996.746607488429</v>
      </c>
      <c r="BR233" s="45"/>
      <c r="BS233" s="228"/>
      <c r="BT233" s="228"/>
      <c r="BU233" s="228"/>
      <c r="BV233" s="228"/>
      <c r="BW233" s="228"/>
      <c r="BX233" s="228"/>
      <c r="BY233" s="228"/>
      <c r="BZ233" s="228"/>
      <c r="CA233" s="228"/>
      <c r="CB233" s="228"/>
      <c r="CC233" s="5"/>
      <c r="CD233" s="5"/>
      <c r="CE233" s="228"/>
      <c r="CF233" s="228"/>
      <c r="CG233" s="228"/>
      <c r="CH233" s="228"/>
      <c r="CI233" s="228"/>
      <c r="CJ233" s="228"/>
      <c r="CK233" s="228"/>
      <c r="CL233" s="228"/>
      <c r="CM233" s="228"/>
      <c r="CN233" s="228"/>
      <c r="CO233" s="228"/>
      <c r="CP233" s="228"/>
      <c r="CQ233" s="228"/>
      <c r="CR233" s="228"/>
      <c r="CS233" s="228"/>
      <c r="CT233" s="228"/>
      <c r="CU233" s="228"/>
    </row>
    <row r="234" spans="1:99" s="212" customFormat="1" ht="12.75" customHeight="1">
      <c r="A234" s="1039"/>
      <c r="B234" s="1039"/>
      <c r="C234" s="1373" t="s">
        <v>996</v>
      </c>
      <c r="D234" s="1039"/>
      <c r="E234" s="1374"/>
      <c r="F234" s="1375"/>
      <c r="G234" s="1375"/>
      <c r="H234" s="1376"/>
      <c r="I234" s="1377"/>
      <c r="J234" s="1374"/>
      <c r="K234" s="1375"/>
      <c r="L234" s="1375"/>
      <c r="M234" s="1376"/>
      <c r="O234" s="1374"/>
      <c r="P234" s="1375"/>
      <c r="Q234" s="1375"/>
      <c r="R234" s="1376"/>
      <c r="S234" s="1039"/>
      <c r="T234" s="1374"/>
      <c r="U234" s="1375"/>
      <c r="V234" s="1375"/>
      <c r="W234" s="1376"/>
      <c r="X234" s="1379">
        <f>+X233/S233-1</f>
        <v>1.0340136054421745E-2</v>
      </c>
      <c r="Y234" s="1380"/>
      <c r="Z234" s="1381"/>
      <c r="AA234" s="1474"/>
      <c r="AB234" s="1475"/>
      <c r="AC234" s="1476">
        <f>+AC233/X233-1</f>
        <v>7.9921896040937357E-2</v>
      </c>
      <c r="AD234" s="1380"/>
      <c r="AE234" s="1381"/>
      <c r="AF234" s="1381"/>
      <c r="AG234" s="1382"/>
      <c r="AH234" s="1379">
        <f>+AH233/AC233-1</f>
        <v>8.6663757092088067E-2</v>
      </c>
      <c r="AI234" s="1380"/>
      <c r="AJ234" s="1381"/>
      <c r="AK234" s="1381"/>
      <c r="AL234" s="1382"/>
      <c r="AM234" s="1379">
        <f>+AM233/AH233-1</f>
        <v>0.12450513511962824</v>
      </c>
      <c r="AN234" s="1374"/>
      <c r="AO234" s="1375"/>
      <c r="AP234" s="1381"/>
      <c r="AQ234" s="1376"/>
      <c r="AR234" s="1379">
        <f>+AR233/AM233-1</f>
        <v>0.14811980203071595</v>
      </c>
      <c r="AS234" s="1374"/>
      <c r="AT234" s="1375"/>
      <c r="AU234" s="1375"/>
      <c r="AV234" s="1376"/>
      <c r="AW234" s="1379">
        <f>+AW233/AR233-1</f>
        <v>0.10514620922584661</v>
      </c>
      <c r="AX234" s="1374"/>
      <c r="AY234" s="1375"/>
      <c r="AZ234" s="1375"/>
      <c r="BA234" s="1376"/>
      <c r="BB234" s="1379">
        <f ca="1">+BB233/AW233-1</f>
        <v>0.10452935376621464</v>
      </c>
      <c r="BC234" s="1374"/>
      <c r="BD234" s="1375"/>
      <c r="BE234" s="1375"/>
      <c r="BF234" s="1376"/>
      <c r="BG234" s="1379">
        <f ca="1">+BG233/BB233-1</f>
        <v>9.612473537126287E-2</v>
      </c>
      <c r="BH234" s="1374"/>
      <c r="BI234" s="1375"/>
      <c r="BJ234" s="1375"/>
      <c r="BK234" s="1376"/>
      <c r="BL234" s="1379">
        <f ca="1">+BL233/BG233-1</f>
        <v>6.9576379212938466E-2</v>
      </c>
      <c r="BM234" s="1374"/>
      <c r="BN234" s="1375"/>
      <c r="BO234" s="1375"/>
      <c r="BP234" s="1376"/>
      <c r="BQ234" s="1379">
        <f ca="1">+BQ233/BL233-1</f>
        <v>5.5615827439794874E-2</v>
      </c>
      <c r="BR234" s="1039"/>
      <c r="BS234" s="1039"/>
      <c r="BT234" s="1039"/>
      <c r="BU234" s="1039"/>
      <c r="BV234" s="1039"/>
      <c r="BW234" s="1039"/>
      <c r="BX234" s="1039"/>
      <c r="BY234" s="1039"/>
      <c r="BZ234" s="1039"/>
      <c r="CA234" s="1039"/>
      <c r="CB234" s="1039"/>
      <c r="CC234" s="5"/>
      <c r="CD234" s="5"/>
      <c r="CE234" s="1039"/>
      <c r="CF234" s="1039"/>
      <c r="CG234" s="1039"/>
      <c r="CH234" s="1039"/>
      <c r="CI234" s="1039"/>
      <c r="CJ234" s="1039"/>
      <c r="CK234" s="1039"/>
      <c r="CL234" s="1039"/>
      <c r="CM234" s="1039"/>
      <c r="CN234" s="1039"/>
      <c r="CO234" s="1039"/>
      <c r="CP234" s="1039"/>
      <c r="CQ234" s="1039"/>
      <c r="CR234" s="1039"/>
      <c r="CS234" s="1039"/>
      <c r="CT234" s="1039"/>
      <c r="CU234" s="1039"/>
    </row>
    <row r="235" spans="1:99" s="34" customFormat="1" ht="12.75" customHeight="1">
      <c r="A235" s="228"/>
      <c r="B235" s="228"/>
      <c r="C235" s="389"/>
      <c r="D235" s="228"/>
      <c r="E235" s="292"/>
      <c r="F235" s="261"/>
      <c r="G235" s="261"/>
      <c r="H235" s="293"/>
      <c r="I235" s="228"/>
      <c r="J235" s="292"/>
      <c r="K235" s="261"/>
      <c r="L235" s="261"/>
      <c r="M235" s="293"/>
      <c r="N235" s="228"/>
      <c r="O235" s="292"/>
      <c r="P235" s="261"/>
      <c r="Q235" s="261"/>
      <c r="R235" s="293"/>
      <c r="S235" s="228"/>
      <c r="T235" s="292"/>
      <c r="U235" s="261"/>
      <c r="V235" s="261"/>
      <c r="W235" s="293"/>
      <c r="X235" s="1110"/>
      <c r="Y235" s="292"/>
      <c r="Z235" s="261"/>
      <c r="AA235" s="1438"/>
      <c r="AB235" s="1439"/>
      <c r="AC235" s="1477"/>
      <c r="AD235" s="292"/>
      <c r="AE235" s="261"/>
      <c r="AF235" s="261"/>
      <c r="AG235" s="293"/>
      <c r="AH235" s="1110"/>
      <c r="AI235" s="292"/>
      <c r="AJ235" s="261"/>
      <c r="AK235" s="261"/>
      <c r="AL235" s="293"/>
      <c r="AM235" s="1110"/>
      <c r="AN235" s="292"/>
      <c r="AO235" s="261"/>
      <c r="AP235" s="261"/>
      <c r="AQ235" s="293"/>
      <c r="AR235" s="1110"/>
      <c r="AS235" s="292"/>
      <c r="AT235" s="261"/>
      <c r="AU235" s="261"/>
      <c r="AV235" s="293"/>
      <c r="AW235" s="1110"/>
      <c r="AX235" s="292"/>
      <c r="AY235" s="261"/>
      <c r="AZ235" s="261"/>
      <c r="BA235" s="293"/>
      <c r="BB235" s="1110"/>
      <c r="BC235" s="292"/>
      <c r="BD235" s="261"/>
      <c r="BE235" s="261"/>
      <c r="BF235" s="293"/>
      <c r="BG235" s="1110"/>
      <c r="BH235" s="292"/>
      <c r="BI235" s="261"/>
      <c r="BJ235" s="261"/>
      <c r="BK235" s="293"/>
      <c r="BL235" s="1110"/>
      <c r="BM235" s="292"/>
      <c r="BN235" s="261"/>
      <c r="BO235" s="261"/>
      <c r="BP235" s="293"/>
      <c r="BQ235" s="1110"/>
      <c r="BR235" s="228"/>
      <c r="BS235" s="228"/>
      <c r="BT235" s="228"/>
      <c r="BU235" s="228"/>
      <c r="BV235" s="228"/>
      <c r="BW235" s="228"/>
      <c r="BX235" s="228"/>
      <c r="BY235" s="228"/>
      <c r="BZ235" s="228"/>
      <c r="CA235" s="228"/>
      <c r="CB235" s="228"/>
      <c r="CC235" s="5"/>
      <c r="CD235" s="5"/>
      <c r="CE235" s="228"/>
      <c r="CF235" s="228"/>
      <c r="CG235" s="228"/>
      <c r="CH235" s="228"/>
      <c r="CI235" s="228"/>
      <c r="CJ235" s="228"/>
      <c r="CK235" s="228"/>
      <c r="CL235" s="228"/>
      <c r="CM235" s="228"/>
      <c r="CN235" s="228"/>
      <c r="CO235" s="228"/>
      <c r="CP235" s="228"/>
      <c r="CQ235" s="228"/>
      <c r="CR235" s="228"/>
      <c r="CS235" s="228"/>
      <c r="CT235" s="228"/>
      <c r="CU235" s="228"/>
    </row>
    <row r="236" spans="1:99" s="34" customFormat="1" ht="12.75" customHeight="1">
      <c r="A236" s="228"/>
      <c r="B236" s="228"/>
      <c r="C236" s="389" t="s">
        <v>713</v>
      </c>
      <c r="D236" s="228"/>
      <c r="E236" s="292"/>
      <c r="F236" s="261"/>
      <c r="G236" s="261"/>
      <c r="H236" s="293"/>
      <c r="I236" s="228"/>
      <c r="J236" s="292"/>
      <c r="K236" s="261"/>
      <c r="L236" s="261"/>
      <c r="M236" s="293"/>
      <c r="O236" s="292"/>
      <c r="P236" s="261"/>
      <c r="Q236" s="261"/>
      <c r="R236" s="293"/>
      <c r="S236" s="669"/>
      <c r="T236" s="292"/>
      <c r="U236" s="261"/>
      <c r="V236" s="261"/>
      <c r="W236" s="293"/>
      <c r="X236" s="669"/>
      <c r="Y236" s="292"/>
      <c r="Z236" s="261"/>
      <c r="AA236" s="1438"/>
      <c r="AB236" s="1439"/>
      <c r="AC236" s="1478"/>
      <c r="AD236" s="292"/>
      <c r="AE236" s="261"/>
      <c r="AF236" s="261"/>
      <c r="AG236" s="293"/>
      <c r="AH236" s="669"/>
      <c r="AI236" s="292"/>
      <c r="AJ236" s="261"/>
      <c r="AK236" s="261"/>
      <c r="AL236" s="293"/>
      <c r="AM236" s="669">
        <v>10600</v>
      </c>
      <c r="AN236" s="292"/>
      <c r="AO236" s="261"/>
      <c r="AP236" s="261"/>
      <c r="AQ236" s="293"/>
      <c r="AR236" s="669">
        <v>11900</v>
      </c>
      <c r="AS236" s="292"/>
      <c r="AT236" s="261"/>
      <c r="AU236" s="261"/>
      <c r="AV236" s="293"/>
      <c r="AW236" s="669">
        <v>13100</v>
      </c>
      <c r="AX236" s="292"/>
      <c r="AY236" s="261"/>
      <c r="AZ236" s="261"/>
      <c r="BA236" s="293"/>
      <c r="BB236" s="669">
        <v>14500</v>
      </c>
      <c r="BC236" s="292"/>
      <c r="BD236" s="261"/>
      <c r="BE236" s="261"/>
      <c r="BF236" s="293"/>
      <c r="BG236" s="669">
        <v>15600</v>
      </c>
      <c r="BH236" s="292"/>
      <c r="BI236" s="261"/>
      <c r="BJ236" s="261"/>
      <c r="BK236" s="293"/>
      <c r="BL236" s="669">
        <v>16600</v>
      </c>
      <c r="BM236" s="292"/>
      <c r="BN236" s="261"/>
      <c r="BO236" s="261"/>
      <c r="BP236" s="293"/>
      <c r="BQ236" s="669">
        <v>17400</v>
      </c>
      <c r="BR236" s="228"/>
      <c r="BS236" s="228"/>
      <c r="BT236" s="228"/>
      <c r="BU236" s="228"/>
      <c r="BV236" s="228"/>
      <c r="BW236" s="228"/>
      <c r="BX236" s="228"/>
      <c r="BY236" s="228"/>
      <c r="BZ236" s="228"/>
      <c r="CA236" s="228"/>
      <c r="CB236" s="228"/>
      <c r="CC236" s="5"/>
      <c r="CD236" s="5"/>
      <c r="CE236" s="228"/>
      <c r="CF236" s="228"/>
      <c r="CG236" s="228"/>
      <c r="CH236" s="228"/>
      <c r="CI236" s="228"/>
      <c r="CJ236" s="228"/>
      <c r="CK236" s="228"/>
      <c r="CL236" s="228"/>
      <c r="CM236" s="228"/>
      <c r="CN236" s="228"/>
      <c r="CO236" s="228"/>
      <c r="CP236" s="228"/>
      <c r="CQ236" s="228"/>
      <c r="CR236" s="228"/>
      <c r="CS236" s="228"/>
      <c r="CT236" s="228"/>
      <c r="CU236" s="228"/>
    </row>
    <row r="237" spans="1:99" ht="12.75" customHeight="1">
      <c r="A237" s="45"/>
      <c r="B237" s="45"/>
      <c r="C237" s="389"/>
      <c r="D237" s="45"/>
      <c r="E237" s="292"/>
      <c r="F237" s="261"/>
      <c r="G237" s="261"/>
      <c r="H237" s="293"/>
      <c r="I237" s="344"/>
      <c r="J237" s="292"/>
      <c r="K237" s="261"/>
      <c r="L237" s="261"/>
      <c r="M237" s="293"/>
      <c r="O237" s="292"/>
      <c r="P237" s="261"/>
      <c r="Q237" s="261"/>
      <c r="R237" s="293"/>
      <c r="S237" s="228"/>
      <c r="T237" s="292"/>
      <c r="U237" s="261"/>
      <c r="V237" s="261"/>
      <c r="W237" s="293"/>
      <c r="X237" s="228"/>
      <c r="Y237" s="292"/>
      <c r="Z237" s="261"/>
      <c r="AA237" s="1438"/>
      <c r="AB237" s="1439"/>
      <c r="AC237" s="1440"/>
      <c r="AD237" s="292"/>
      <c r="AE237" s="261"/>
      <c r="AF237" s="261"/>
      <c r="AG237" s="293"/>
      <c r="AH237" s="228"/>
      <c r="AI237" s="292"/>
      <c r="AJ237" s="261"/>
      <c r="AK237" s="261"/>
      <c r="AL237" s="293"/>
      <c r="AM237" s="2158"/>
      <c r="AN237" s="292"/>
      <c r="AO237" s="261"/>
      <c r="AP237" s="261"/>
      <c r="AQ237" s="293"/>
      <c r="AR237" s="2158"/>
      <c r="AS237" s="292"/>
      <c r="AT237" s="261"/>
      <c r="AU237" s="261"/>
      <c r="AV237" s="293"/>
      <c r="AW237" s="228"/>
      <c r="AX237" s="292"/>
      <c r="AY237" s="261"/>
      <c r="AZ237" s="261"/>
      <c r="BA237" s="293"/>
      <c r="BB237" s="228"/>
      <c r="BC237" s="292"/>
      <c r="BD237" s="261"/>
      <c r="BE237" s="261"/>
      <c r="BF237" s="293"/>
      <c r="BG237" s="228"/>
      <c r="BH237" s="292"/>
      <c r="BI237" s="261"/>
      <c r="BJ237" s="261"/>
      <c r="BK237" s="293"/>
      <c r="BL237" s="228"/>
      <c r="BM237" s="292"/>
      <c r="BN237" s="261"/>
      <c r="BO237" s="261"/>
      <c r="BP237" s="293"/>
      <c r="BQ237" s="228"/>
      <c r="BR237" s="45"/>
      <c r="BS237" s="45"/>
      <c r="BT237" s="45"/>
      <c r="BU237" s="45"/>
      <c r="BV237" s="45"/>
      <c r="BW237" s="45"/>
      <c r="BX237" s="45"/>
      <c r="BY237" s="45"/>
      <c r="BZ237" s="45"/>
      <c r="CA237" s="45"/>
      <c r="CB237" s="45"/>
      <c r="CC237" s="5"/>
      <c r="CD237" s="5"/>
      <c r="CE237" s="45"/>
      <c r="CF237" s="45"/>
      <c r="CG237" s="45"/>
      <c r="CH237" s="45"/>
      <c r="CI237" s="45"/>
      <c r="CJ237" s="45"/>
      <c r="CK237" s="45"/>
      <c r="CL237" s="45"/>
      <c r="CM237" s="45"/>
      <c r="CN237" s="45"/>
      <c r="CO237" s="45"/>
      <c r="CP237" s="45"/>
      <c r="CQ237" s="45"/>
      <c r="CR237" s="45"/>
      <c r="CS237" s="45"/>
      <c r="CT237" s="45"/>
      <c r="CU237" s="45"/>
    </row>
    <row r="238" spans="1:99" ht="12.75" customHeight="1">
      <c r="A238" s="45"/>
      <c r="B238" s="45"/>
      <c r="C238" s="389" t="s">
        <v>281</v>
      </c>
      <c r="D238" s="45"/>
      <c r="E238" s="290"/>
      <c r="F238" s="260"/>
      <c r="G238" s="260"/>
      <c r="H238" s="291"/>
      <c r="I238" s="45"/>
      <c r="J238" s="290"/>
      <c r="K238" s="260"/>
      <c r="L238" s="260"/>
      <c r="M238" s="291"/>
      <c r="N238" s="45"/>
      <c r="O238" s="290"/>
      <c r="P238" s="260"/>
      <c r="Q238" s="260"/>
      <c r="R238" s="291"/>
      <c r="S238" s="45"/>
      <c r="T238" s="290"/>
      <c r="U238" s="260"/>
      <c r="V238" s="260"/>
      <c r="W238" s="291"/>
      <c r="X238" s="45"/>
      <c r="Y238" s="290"/>
      <c r="Z238" s="260"/>
      <c r="AA238" s="1441"/>
      <c r="AB238" s="1442"/>
      <c r="AC238" s="1443"/>
      <c r="AD238" s="290"/>
      <c r="AE238" s="260"/>
      <c r="AF238" s="260"/>
      <c r="AG238" s="291"/>
      <c r="AH238" s="45"/>
      <c r="AI238" s="290"/>
      <c r="AJ238" s="260"/>
      <c r="AK238" s="260"/>
      <c r="AL238" s="291"/>
      <c r="AM238" s="45"/>
      <c r="AN238" s="290"/>
      <c r="AO238" s="260"/>
      <c r="AP238" s="260"/>
      <c r="AQ238" s="291"/>
      <c r="AR238" s="45"/>
      <c r="AS238" s="290"/>
      <c r="AT238" s="260"/>
      <c r="AU238" s="260"/>
      <c r="AV238" s="291"/>
      <c r="AW238" s="45"/>
      <c r="AX238" s="290"/>
      <c r="AY238" s="260"/>
      <c r="AZ238" s="260"/>
      <c r="BA238" s="291"/>
      <c r="BB238" s="45"/>
      <c r="BC238" s="290"/>
      <c r="BD238" s="260"/>
      <c r="BE238" s="260"/>
      <c r="BF238" s="291"/>
      <c r="BG238" s="45"/>
      <c r="BH238" s="290"/>
      <c r="BI238" s="260"/>
      <c r="BJ238" s="260"/>
      <c r="BK238" s="291"/>
      <c r="BL238" s="45"/>
      <c r="BM238" s="290"/>
      <c r="BN238" s="260"/>
      <c r="BO238" s="260"/>
      <c r="BP238" s="291"/>
      <c r="BQ238" s="45"/>
      <c r="BR238" s="45"/>
      <c r="BS238" s="45"/>
      <c r="BT238" s="45"/>
      <c r="BU238" s="45"/>
      <c r="BV238" s="45"/>
      <c r="BW238" s="45"/>
      <c r="BX238" s="45"/>
      <c r="BY238" s="45"/>
      <c r="BZ238" s="45"/>
      <c r="CA238" s="45"/>
      <c r="CB238" s="45"/>
      <c r="CC238" s="5"/>
      <c r="CD238" s="5"/>
      <c r="CE238" s="45"/>
      <c r="CF238" s="45"/>
      <c r="CG238" s="45"/>
      <c r="CH238" s="45"/>
      <c r="CI238" s="45"/>
      <c r="CJ238" s="45"/>
      <c r="CK238" s="45"/>
      <c r="CL238" s="45"/>
      <c r="CM238" s="45"/>
      <c r="CN238" s="45"/>
      <c r="CO238" s="45"/>
      <c r="CP238" s="45"/>
      <c r="CQ238" s="45"/>
      <c r="CR238" s="45"/>
      <c r="CS238" s="45"/>
      <c r="CT238" s="45"/>
      <c r="CU238" s="45"/>
    </row>
    <row r="239" spans="1:99" ht="12.75" customHeight="1">
      <c r="A239" s="383"/>
      <c r="B239" s="383"/>
      <c r="C239" s="391" t="s">
        <v>430</v>
      </c>
      <c r="D239" s="383"/>
      <c r="E239" s="284">
        <f t="shared" ref="E239:Q239" si="634">+F239</f>
        <v>0.4728</v>
      </c>
      <c r="F239" s="241">
        <f t="shared" si="634"/>
        <v>0.4728</v>
      </c>
      <c r="G239" s="241">
        <f t="shared" si="634"/>
        <v>0.4728</v>
      </c>
      <c r="H239" s="285">
        <f t="shared" si="634"/>
        <v>0.4728</v>
      </c>
      <c r="I239" s="25">
        <f t="shared" si="634"/>
        <v>0.4728</v>
      </c>
      <c r="J239" s="284">
        <f t="shared" si="634"/>
        <v>0.4728</v>
      </c>
      <c r="K239" s="241">
        <f t="shared" si="634"/>
        <v>0.4728</v>
      </c>
      <c r="L239" s="241">
        <f t="shared" si="634"/>
        <v>0.4728</v>
      </c>
      <c r="M239" s="285">
        <f>+N239</f>
        <v>0.4728</v>
      </c>
      <c r="N239" s="612">
        <v>0.4728</v>
      </c>
      <c r="O239" s="284">
        <f t="shared" si="634"/>
        <v>0.4617</v>
      </c>
      <c r="P239" s="241">
        <f t="shared" si="634"/>
        <v>0.4617</v>
      </c>
      <c r="Q239" s="241">
        <f t="shared" si="634"/>
        <v>0.4617</v>
      </c>
      <c r="R239" s="285">
        <f>+S239</f>
        <v>0.4617</v>
      </c>
      <c r="S239" s="612">
        <v>0.4617</v>
      </c>
      <c r="T239" s="284">
        <f>+U239</f>
        <v>0.42570000000000002</v>
      </c>
      <c r="U239" s="241">
        <f>+V239</f>
        <v>0.42570000000000002</v>
      </c>
      <c r="V239" s="241">
        <f>+W239</f>
        <v>0.42570000000000002</v>
      </c>
      <c r="W239" s="285">
        <f>+X239</f>
        <v>0.42570000000000002</v>
      </c>
      <c r="X239" s="612">
        <v>0.42570000000000002</v>
      </c>
      <c r="Y239" s="284">
        <f>+Z239</f>
        <v>0.45</v>
      </c>
      <c r="Z239" s="241">
        <f>+AA239</f>
        <v>0.45</v>
      </c>
      <c r="AA239" s="241">
        <f>+AB239</f>
        <v>0.45</v>
      </c>
      <c r="AB239" s="285">
        <f>+AC239</f>
        <v>0.45</v>
      </c>
      <c r="AC239" s="883">
        <v>0.45</v>
      </c>
      <c r="AD239" s="284">
        <f>+AE239</f>
        <v>0.45</v>
      </c>
      <c r="AE239" s="241">
        <f>+AF239</f>
        <v>0.45</v>
      </c>
      <c r="AF239" s="241">
        <f>+AG239</f>
        <v>0.45</v>
      </c>
      <c r="AG239" s="285">
        <f>+AH239</f>
        <v>0.45</v>
      </c>
      <c r="AH239" s="612">
        <f>+AC239</f>
        <v>0.45</v>
      </c>
      <c r="AI239" s="284">
        <f>+AJ239</f>
        <v>0.46</v>
      </c>
      <c r="AJ239" s="241">
        <f>+AK239</f>
        <v>0.46</v>
      </c>
      <c r="AK239" s="241">
        <f>+AL239</f>
        <v>0.46</v>
      </c>
      <c r="AL239" s="285">
        <f>+AM239</f>
        <v>0.46</v>
      </c>
      <c r="AM239" s="612">
        <v>0.46</v>
      </c>
      <c r="AN239" s="284">
        <f>+AO239</f>
        <v>0.46</v>
      </c>
      <c r="AO239" s="241">
        <f>+AP239</f>
        <v>0.46</v>
      </c>
      <c r="AP239" s="241">
        <f>+AQ239</f>
        <v>0.46</v>
      </c>
      <c r="AQ239" s="285">
        <f>+AR239</f>
        <v>0.46</v>
      </c>
      <c r="AR239" s="612">
        <f>+AM239</f>
        <v>0.46</v>
      </c>
      <c r="AS239" s="284">
        <f>+AT239</f>
        <v>0.46</v>
      </c>
      <c r="AT239" s="241">
        <f>+AU239</f>
        <v>0.46</v>
      </c>
      <c r="AU239" s="241">
        <f t="shared" ref="AU239" si="635">+AV239</f>
        <v>0.46</v>
      </c>
      <c r="AV239" s="285">
        <f>+AW239</f>
        <v>0.46</v>
      </c>
      <c r="AW239" s="612">
        <f>+AR239</f>
        <v>0.46</v>
      </c>
      <c r="AX239" s="284">
        <f>+AY239</f>
        <v>0.46</v>
      </c>
      <c r="AY239" s="241">
        <f>+AZ239</f>
        <v>0.46</v>
      </c>
      <c r="AZ239" s="241">
        <f>+BA239</f>
        <v>0.46</v>
      </c>
      <c r="BA239" s="285">
        <f>+BB239</f>
        <v>0.46</v>
      </c>
      <c r="BB239" s="612">
        <f>+AW239</f>
        <v>0.46</v>
      </c>
      <c r="BC239" s="284">
        <f>+BD239</f>
        <v>0.46</v>
      </c>
      <c r="BD239" s="241">
        <f>+BE239</f>
        <v>0.46</v>
      </c>
      <c r="BE239" s="241">
        <f>+BF239</f>
        <v>0.46</v>
      </c>
      <c r="BF239" s="285">
        <f>+BG239</f>
        <v>0.46</v>
      </c>
      <c r="BG239" s="612">
        <f>+BB239</f>
        <v>0.46</v>
      </c>
      <c r="BH239" s="284">
        <f>+BI239</f>
        <v>0.46</v>
      </c>
      <c r="BI239" s="241">
        <f>+BJ239</f>
        <v>0.46</v>
      </c>
      <c r="BJ239" s="241">
        <f>+BK239</f>
        <v>0.46</v>
      </c>
      <c r="BK239" s="285">
        <f>+BL239</f>
        <v>0.46</v>
      </c>
      <c r="BL239" s="612">
        <f>+BG239</f>
        <v>0.46</v>
      </c>
      <c r="BM239" s="284">
        <f>+BN239</f>
        <v>0.46</v>
      </c>
      <c r="BN239" s="241">
        <f>+BO239</f>
        <v>0.46</v>
      </c>
      <c r="BO239" s="241">
        <f>+BP239</f>
        <v>0.46</v>
      </c>
      <c r="BP239" s="285">
        <f>+BQ239</f>
        <v>0.46</v>
      </c>
      <c r="BQ239" s="612">
        <f>+BL239</f>
        <v>0.46</v>
      </c>
      <c r="BR239" s="383"/>
      <c r="BS239" s="383"/>
      <c r="BT239" s="383"/>
      <c r="BU239" s="383"/>
      <c r="BV239" s="383"/>
      <c r="BW239" s="383"/>
      <c r="BX239" s="383"/>
      <c r="BY239" s="383"/>
      <c r="BZ239" s="383"/>
      <c r="CA239" s="383"/>
      <c r="CB239" s="383"/>
      <c r="CC239" s="5"/>
      <c r="CD239" s="5"/>
      <c r="CE239" s="383"/>
      <c r="CF239" s="383"/>
      <c r="CG239" s="383"/>
      <c r="CH239" s="383"/>
      <c r="CI239" s="383"/>
      <c r="CJ239" s="383"/>
      <c r="CK239" s="383"/>
      <c r="CL239" s="383"/>
      <c r="CM239" s="383"/>
      <c r="CN239" s="383"/>
      <c r="CO239" s="383"/>
      <c r="CP239" s="383"/>
      <c r="CQ239" s="383"/>
      <c r="CR239" s="383"/>
      <c r="CS239" s="383"/>
      <c r="CT239" s="383"/>
      <c r="CU239" s="383"/>
    </row>
    <row r="240" spans="1:99" ht="12.75" customHeight="1">
      <c r="A240" s="383"/>
      <c r="B240" s="383"/>
      <c r="C240" s="391" t="s">
        <v>1289</v>
      </c>
      <c r="D240" s="383"/>
      <c r="E240" s="655">
        <f t="shared" ref="E240:AQ240" si="636">(E200/(E193+E197+E200))</f>
        <v>0.45847102886098262</v>
      </c>
      <c r="F240" s="653">
        <f t="shared" si="636"/>
        <v>0.46225382932166303</v>
      </c>
      <c r="G240" s="653">
        <f t="shared" si="636"/>
        <v>0.46190893169877406</v>
      </c>
      <c r="H240" s="654">
        <f t="shared" si="636"/>
        <v>0.46402877697841727</v>
      </c>
      <c r="I240" s="673">
        <f t="shared" si="636"/>
        <v>0.46402877697841727</v>
      </c>
      <c r="J240" s="655">
        <f t="shared" si="636"/>
        <v>0.46636284722222221</v>
      </c>
      <c r="K240" s="653">
        <f t="shared" si="636"/>
        <v>0.46227859173409142</v>
      </c>
      <c r="L240" s="653">
        <f t="shared" si="636"/>
        <v>0.45114367028565405</v>
      </c>
      <c r="M240" s="654">
        <f t="shared" si="636"/>
        <v>0.45143278550358196</v>
      </c>
      <c r="N240" s="673">
        <f t="shared" si="636"/>
        <v>0.45143278550358196</v>
      </c>
      <c r="O240" s="655">
        <f t="shared" si="636"/>
        <v>0.42425143763632756</v>
      </c>
      <c r="P240" s="653">
        <f t="shared" si="636"/>
        <v>0.42646913580246915</v>
      </c>
      <c r="Q240" s="653">
        <f t="shared" si="636"/>
        <v>0.40462696274272975</v>
      </c>
      <c r="R240" s="654">
        <f t="shared" si="636"/>
        <v>0.42905766799572109</v>
      </c>
      <c r="S240" s="673">
        <f t="shared" si="636"/>
        <v>0.42905766799572109</v>
      </c>
      <c r="T240" s="655">
        <f t="shared" si="636"/>
        <v>0.44992389649923897</v>
      </c>
      <c r="U240" s="653">
        <f>(U200/(U193+U197+U200))</f>
        <v>0.45766356097061534</v>
      </c>
      <c r="V240" s="653">
        <f t="shared" si="636"/>
        <v>0.45623182593001105</v>
      </c>
      <c r="W240" s="654">
        <f t="shared" si="636"/>
        <v>0.4486677490211059</v>
      </c>
      <c r="X240" s="673">
        <f t="shared" si="636"/>
        <v>0.4486677490211059</v>
      </c>
      <c r="Y240" s="655">
        <f t="shared" si="636"/>
        <v>0.45051389417586601</v>
      </c>
      <c r="Z240" s="653">
        <f t="shared" si="636"/>
        <v>0.45777820377647849</v>
      </c>
      <c r="AA240" s="653">
        <f t="shared" si="636"/>
        <v>0.45190156599552572</v>
      </c>
      <c r="AB240" s="654">
        <f t="shared" si="636"/>
        <v>0.45465504451038574</v>
      </c>
      <c r="AC240" s="673">
        <f t="shared" si="636"/>
        <v>0.45465504451038574</v>
      </c>
      <c r="AD240" s="655">
        <f t="shared" si="636"/>
        <v>0.45642581356867074</v>
      </c>
      <c r="AE240" s="653">
        <f>(AE200/(AE193+AE197+AE200))</f>
        <v>0.46172749613179209</v>
      </c>
      <c r="AF240" s="653">
        <f t="shared" si="636"/>
        <v>0.46691905534523165</v>
      </c>
      <c r="AG240" s="654">
        <f t="shared" si="636"/>
        <v>0.46147125633409053</v>
      </c>
      <c r="AH240" s="673">
        <f t="shared" si="636"/>
        <v>0.46147125633409053</v>
      </c>
      <c r="AI240" s="655">
        <f t="shared" si="636"/>
        <v>0.44729752483583096</v>
      </c>
      <c r="AJ240" s="653">
        <f t="shared" si="636"/>
        <v>0.45991091314031179</v>
      </c>
      <c r="AK240" s="653">
        <f t="shared" si="636"/>
        <v>0.46473134708428826</v>
      </c>
      <c r="AL240" s="654">
        <f t="shared" si="636"/>
        <v>0.45556276354200453</v>
      </c>
      <c r="AM240" s="673">
        <f t="shared" si="636"/>
        <v>0.45556276354200453</v>
      </c>
      <c r="AN240" s="655">
        <f t="shared" si="636"/>
        <v>0.45833669436153907</v>
      </c>
      <c r="AO240" s="653">
        <f t="shared" si="636"/>
        <v>0.42390432436374242</v>
      </c>
      <c r="AP240" s="653">
        <f t="shared" ref="AP240" si="637">(AP200/(AP193+AP197+AP200))</f>
        <v>0.45268890401633766</v>
      </c>
      <c r="AQ240" s="654">
        <f t="shared" si="636"/>
        <v>0.45733993102414155</v>
      </c>
      <c r="AR240" s="673">
        <f>(AR200/(AR193+AR197+AR200))</f>
        <v>0.45733993102414155</v>
      </c>
      <c r="AS240" s="655">
        <f t="shared" ref="AS240:BA240" si="638">(AS200/(AS193+AS197+AS200))</f>
        <v>0.46274859008607894</v>
      </c>
      <c r="AT240" s="653">
        <f t="shared" si="638"/>
        <v>0.46741688731979997</v>
      </c>
      <c r="AU240" s="653">
        <f t="shared" ref="AU240" si="639">(AU200/(AU193+AU197+AU200))</f>
        <v>0.46628829321663018</v>
      </c>
      <c r="AV240" s="654">
        <f t="shared" si="638"/>
        <v>0.4644988680798518</v>
      </c>
      <c r="AW240" s="673">
        <f>(AW200/(AW193+AW197+AW200))</f>
        <v>0.4644988680798518</v>
      </c>
      <c r="AX240" s="655">
        <f t="shared" si="638"/>
        <v>0.49255653497800966</v>
      </c>
      <c r="AY240" s="653">
        <f t="shared" ca="1" si="638"/>
        <v>0.49713495703110805</v>
      </c>
      <c r="AZ240" s="653">
        <f t="shared" ca="1" si="638"/>
        <v>0.45784745303156038</v>
      </c>
      <c r="BA240" s="654">
        <f t="shared" ca="1" si="638"/>
        <v>0.46086922279889775</v>
      </c>
      <c r="BB240" s="673">
        <f ca="1">(BB200/(BB193+BB197+BB200))</f>
        <v>0.46086922279889775</v>
      </c>
      <c r="BC240" s="655">
        <f t="shared" ref="BC240:BK240" ca="1" si="640">(BC200/(BC193+BC197+BC200))</f>
        <v>0.46392079030837841</v>
      </c>
      <c r="BD240" s="653">
        <f t="shared" ca="1" si="640"/>
        <v>0.46681903584202078</v>
      </c>
      <c r="BE240" s="653">
        <f t="shared" ca="1" si="640"/>
        <v>0.45902907808573518</v>
      </c>
      <c r="BF240" s="654">
        <f t="shared" ca="1" si="640"/>
        <v>0.46080297719520175</v>
      </c>
      <c r="BG240" s="673">
        <f ca="1">(BG200/(BG193+BG197+BG200))</f>
        <v>0.46080297719520175</v>
      </c>
      <c r="BH240" s="655">
        <f t="shared" ca="1" si="640"/>
        <v>0.46386727125438493</v>
      </c>
      <c r="BI240" s="653">
        <f t="shared" ca="1" si="640"/>
        <v>0.46681007506099703</v>
      </c>
      <c r="BJ240" s="653">
        <f t="shared" ca="1" si="640"/>
        <v>0.45742356175646659</v>
      </c>
      <c r="BK240" s="654">
        <f t="shared" ca="1" si="640"/>
        <v>0.45922266854214877</v>
      </c>
      <c r="BL240" s="673">
        <f ca="1">(BL200/(BL193+BL197+BL200))</f>
        <v>0.45922266854214877</v>
      </c>
      <c r="BM240" s="655">
        <f t="shared" ref="BM240:BP240" ca="1" si="641">(BM200/(BM193+BM197+BM200))</f>
        <v>0.46206117090313947</v>
      </c>
      <c r="BN240" s="653">
        <f t="shared" ca="1" si="641"/>
        <v>0.46479021740863408</v>
      </c>
      <c r="BO240" s="653">
        <f t="shared" ca="1" si="641"/>
        <v>0.45832374879502202</v>
      </c>
      <c r="BP240" s="654">
        <f t="shared" ca="1" si="641"/>
        <v>0.45998969161396536</v>
      </c>
      <c r="BQ240" s="673">
        <f ca="1">(BQ200/(BQ193+BQ197+BQ200))</f>
        <v>0.45998969161396536</v>
      </c>
      <c r="BR240" s="383"/>
      <c r="BS240" s="383"/>
      <c r="BT240" s="383"/>
      <c r="BU240" s="383"/>
      <c r="BV240" s="383"/>
      <c r="BW240" s="383"/>
      <c r="BX240" s="383"/>
      <c r="BY240" s="383"/>
      <c r="BZ240" s="383"/>
      <c r="CA240" s="383"/>
      <c r="CB240" s="383"/>
      <c r="CC240" s="5"/>
      <c r="CD240" s="5"/>
      <c r="CE240" s="383"/>
      <c r="CF240" s="383"/>
      <c r="CG240" s="383"/>
      <c r="CH240" s="383"/>
      <c r="CI240" s="383"/>
      <c r="CJ240" s="383"/>
      <c r="CK240" s="383"/>
      <c r="CL240" s="383"/>
      <c r="CM240" s="383"/>
      <c r="CN240" s="383"/>
      <c r="CO240" s="383"/>
      <c r="CP240" s="383"/>
      <c r="CQ240" s="383"/>
      <c r="CR240" s="383"/>
      <c r="CS240" s="383"/>
      <c r="CT240" s="383"/>
      <c r="CU240" s="383"/>
    </row>
    <row r="241" spans="1:99" ht="12.75" customHeight="1">
      <c r="A241" s="383"/>
      <c r="B241" s="383"/>
      <c r="C241" s="383"/>
      <c r="D241" s="383"/>
      <c r="E241" s="613"/>
      <c r="F241" s="614"/>
      <c r="G241" s="614"/>
      <c r="H241" s="615"/>
      <c r="I241" s="25"/>
      <c r="J241" s="284"/>
      <c r="K241" s="241"/>
      <c r="L241" s="241"/>
      <c r="M241" s="285"/>
      <c r="N241" s="25"/>
      <c r="O241" s="284"/>
      <c r="P241" s="241"/>
      <c r="Q241" s="241"/>
      <c r="R241" s="285"/>
      <c r="S241" s="25"/>
      <c r="T241" s="284"/>
      <c r="U241" s="241"/>
      <c r="V241" s="241"/>
      <c r="W241" s="285"/>
      <c r="X241" s="25"/>
      <c r="Y241" s="284"/>
      <c r="Z241" s="241"/>
      <c r="AA241" s="241"/>
      <c r="AB241" s="285"/>
      <c r="AC241" s="25"/>
      <c r="AD241" s="284"/>
      <c r="AE241" s="241"/>
      <c r="AF241" s="241"/>
      <c r="AG241" s="285"/>
      <c r="AH241" s="25"/>
      <c r="AI241" s="284"/>
      <c r="AJ241" s="241"/>
      <c r="AK241" s="241"/>
      <c r="AL241" s="285"/>
      <c r="AM241" s="25"/>
      <c r="AN241" s="284"/>
      <c r="AO241" s="241"/>
      <c r="AP241" s="241"/>
      <c r="AQ241" s="285"/>
      <c r="AR241" s="25"/>
      <c r="AS241" s="284"/>
      <c r="AT241" s="241"/>
      <c r="AU241" s="241"/>
      <c r="AV241" s="285"/>
      <c r="AW241" s="25"/>
      <c r="AX241" s="284"/>
      <c r="AY241" s="241"/>
      <c r="AZ241" s="241"/>
      <c r="BA241" s="285"/>
      <c r="BB241" s="25"/>
      <c r="BC241" s="284"/>
      <c r="BD241" s="241"/>
      <c r="BE241" s="241"/>
      <c r="BF241" s="285"/>
      <c r="BG241" s="25"/>
      <c r="BH241" s="284"/>
      <c r="BI241" s="241"/>
      <c r="BJ241" s="241"/>
      <c r="BK241" s="285"/>
      <c r="BL241" s="25"/>
      <c r="BM241" s="284"/>
      <c r="BN241" s="241"/>
      <c r="BO241" s="241"/>
      <c r="BP241" s="285"/>
      <c r="BQ241" s="25"/>
      <c r="BR241" s="383"/>
      <c r="BS241" s="383"/>
      <c r="BT241" s="383"/>
      <c r="BU241" s="383"/>
      <c r="BV241" s="383"/>
      <c r="BW241" s="383"/>
      <c r="BX241" s="383"/>
      <c r="BY241" s="383"/>
      <c r="BZ241" s="383"/>
      <c r="CA241" s="383"/>
      <c r="CB241" s="383"/>
      <c r="CC241" s="5"/>
      <c r="CD241" s="5"/>
      <c r="CE241" s="383"/>
      <c r="CF241" s="383"/>
      <c r="CG241" s="383"/>
      <c r="CH241" s="383"/>
      <c r="CI241" s="383"/>
      <c r="CJ241" s="383"/>
      <c r="CK241" s="383"/>
      <c r="CL241" s="383"/>
      <c r="CM241" s="383"/>
      <c r="CN241" s="383"/>
      <c r="CO241" s="383"/>
      <c r="CP241" s="383"/>
      <c r="CQ241" s="383"/>
      <c r="CR241" s="383"/>
      <c r="CS241" s="383"/>
      <c r="CT241" s="383"/>
      <c r="CU241" s="383"/>
    </row>
    <row r="242" spans="1:99" ht="12.75" customHeight="1">
      <c r="A242" s="383"/>
      <c r="B242" s="383"/>
      <c r="C242" s="389" t="s">
        <v>1312</v>
      </c>
      <c r="D242" s="383"/>
      <c r="E242" s="613"/>
      <c r="F242" s="614"/>
      <c r="G242" s="614"/>
      <c r="H242" s="615"/>
      <c r="I242" s="612"/>
      <c r="J242" s="671"/>
      <c r="K242" s="257"/>
      <c r="L242" s="257"/>
      <c r="M242" s="672"/>
      <c r="N242" s="612"/>
      <c r="O242" s="671"/>
      <c r="P242" s="257"/>
      <c r="Q242" s="257"/>
      <c r="R242" s="672"/>
      <c r="S242" s="612"/>
      <c r="T242" s="671"/>
      <c r="U242" s="257"/>
      <c r="V242" s="257"/>
      <c r="W242" s="672"/>
      <c r="X242" s="612"/>
      <c r="Y242" s="671"/>
      <c r="Z242" s="257"/>
      <c r="AA242" s="1433"/>
      <c r="AB242" s="1430"/>
      <c r="AC242" s="883"/>
      <c r="AD242" s="671"/>
      <c r="AE242" s="257"/>
      <c r="AF242" s="257"/>
      <c r="AG242" s="672"/>
      <c r="AH242" s="612"/>
      <c r="AI242" s="671"/>
      <c r="AJ242" s="257"/>
      <c r="AK242" s="257"/>
      <c r="AL242" s="672"/>
      <c r="AM242" s="612"/>
      <c r="AN242" s="671"/>
      <c r="AO242" s="257"/>
      <c r="AP242" s="257"/>
      <c r="AQ242" s="672"/>
      <c r="AR242" s="612"/>
      <c r="AS242" s="671"/>
      <c r="AT242" s="257"/>
      <c r="AU242" s="257"/>
      <c r="AV242" s="672"/>
      <c r="AW242" s="612"/>
      <c r="AX242" s="671"/>
      <c r="AY242" s="257"/>
      <c r="AZ242" s="257"/>
      <c r="BA242" s="672"/>
      <c r="BB242" s="612"/>
      <c r="BC242" s="671"/>
      <c r="BD242" s="257"/>
      <c r="BE242" s="257"/>
      <c r="BF242" s="672"/>
      <c r="BG242" s="612"/>
      <c r="BH242" s="671"/>
      <c r="BI242" s="257"/>
      <c r="BJ242" s="257"/>
      <c r="BK242" s="672"/>
      <c r="BL242" s="612"/>
      <c r="BM242" s="671"/>
      <c r="BN242" s="257"/>
      <c r="BO242" s="257"/>
      <c r="BP242" s="672"/>
      <c r="BQ242" s="612"/>
      <c r="BR242" s="383"/>
      <c r="BS242" s="383"/>
      <c r="BT242" s="383"/>
      <c r="BU242" s="383"/>
      <c r="BV242" s="383"/>
      <c r="BW242" s="383"/>
      <c r="BX242" s="383"/>
      <c r="BY242" s="383"/>
      <c r="BZ242" s="383"/>
      <c r="CA242" s="383"/>
      <c r="CB242" s="383"/>
      <c r="CC242" s="5"/>
      <c r="CD242" s="5"/>
      <c r="CE242" s="383"/>
      <c r="CF242" s="383"/>
      <c r="CG242" s="383"/>
      <c r="CH242" s="383"/>
      <c r="CI242" s="383"/>
      <c r="CJ242" s="383"/>
      <c r="CK242" s="383"/>
      <c r="CL242" s="383"/>
      <c r="CM242" s="383"/>
      <c r="CN242" s="383"/>
      <c r="CO242" s="383"/>
      <c r="CP242" s="383"/>
      <c r="CQ242" s="383"/>
      <c r="CR242" s="383"/>
      <c r="CS242" s="383"/>
      <c r="CT242" s="383"/>
      <c r="CU242" s="383"/>
    </row>
    <row r="243" spans="1:99" ht="12.75" customHeight="1">
      <c r="A243" s="383"/>
      <c r="B243" s="383"/>
      <c r="C243" s="383" t="s">
        <v>1313</v>
      </c>
      <c r="D243" s="383"/>
      <c r="E243" s="671"/>
      <c r="F243" s="257"/>
      <c r="G243" s="257"/>
      <c r="H243" s="672"/>
      <c r="I243" s="612">
        <f>(10.5%*75%)+(11.5%*25%)</f>
        <v>0.1075</v>
      </c>
      <c r="J243" s="671"/>
      <c r="K243" s="257"/>
      <c r="L243" s="257"/>
      <c r="M243" s="672"/>
      <c r="N243" s="612">
        <f>(10.5%*75%)+(11.5%*25%)</f>
        <v>0.1075</v>
      </c>
      <c r="O243" s="284">
        <f>+P243</f>
        <v>0.104125</v>
      </c>
      <c r="P243" s="241">
        <f>+Q243</f>
        <v>0.104125</v>
      </c>
      <c r="Q243" s="241">
        <f>+R243</f>
        <v>0.104125</v>
      </c>
      <c r="R243" s="285">
        <f>+S243</f>
        <v>0.104125</v>
      </c>
      <c r="S243" s="612">
        <f>(10.05%*75%)+(11.5%*25%)</f>
        <v>0.104125</v>
      </c>
      <c r="T243" s="284">
        <f>+U243</f>
        <v>9.6250000000000002E-2</v>
      </c>
      <c r="U243" s="241">
        <f>+V243</f>
        <v>9.6250000000000002E-2</v>
      </c>
      <c r="V243" s="241">
        <f>+W243</f>
        <v>9.6250000000000002E-2</v>
      </c>
      <c r="W243" s="285">
        <f>+X243</f>
        <v>9.6250000000000002E-2</v>
      </c>
      <c r="X243" s="612">
        <f>(9%*75%)+(11.5%*25%)</f>
        <v>9.6250000000000002E-2</v>
      </c>
      <c r="Y243" s="284">
        <f>+Z243</f>
        <v>9.6250000000000002E-2</v>
      </c>
      <c r="Z243" s="241">
        <f>+AA243</f>
        <v>9.6250000000000002E-2</v>
      </c>
      <c r="AA243" s="241">
        <f>+AB243</f>
        <v>9.6250000000000002E-2</v>
      </c>
      <c r="AB243" s="285">
        <f>+AC243</f>
        <v>9.6250000000000002E-2</v>
      </c>
      <c r="AC243" s="612">
        <f>(9%*75%)+(11.5%*25%)</f>
        <v>9.6250000000000002E-2</v>
      </c>
      <c r="AD243" s="284">
        <f>+AE243</f>
        <v>9.6250000000000002E-2</v>
      </c>
      <c r="AE243" s="241">
        <f>+AF243</f>
        <v>9.6250000000000002E-2</v>
      </c>
      <c r="AF243" s="241">
        <f>+AG243</f>
        <v>9.6250000000000002E-2</v>
      </c>
      <c r="AG243" s="285">
        <f>+AH243</f>
        <v>9.6250000000000002E-2</v>
      </c>
      <c r="AH243" s="612">
        <f>(9%*75%)+(11.5%*25%)</f>
        <v>9.6250000000000002E-2</v>
      </c>
      <c r="AI243" s="284">
        <f>+AJ243</f>
        <v>9.7299999999999998E-2</v>
      </c>
      <c r="AJ243" s="241">
        <f>+AK243</f>
        <v>9.7299999999999998E-2</v>
      </c>
      <c r="AK243" s="241">
        <f>+AL243</f>
        <v>9.7299999999999998E-2</v>
      </c>
      <c r="AL243" s="285">
        <f>+AM243</f>
        <v>9.7299999999999998E-2</v>
      </c>
      <c r="AM243" s="2052">
        <f>((3.34%+5.8%)*75%)+(11.5%*25%)</f>
        <v>9.7299999999999998E-2</v>
      </c>
      <c r="AN243" s="2053">
        <f>AO243</f>
        <v>9.3549999999999994E-2</v>
      </c>
      <c r="AO243" s="2054">
        <f>AP243</f>
        <v>9.3549999999999994E-2</v>
      </c>
      <c r="AP243" s="241">
        <f>+AQ243</f>
        <v>9.3549999999999994E-2</v>
      </c>
      <c r="AQ243" s="2055">
        <f>AR243</f>
        <v>9.3549999999999994E-2</v>
      </c>
      <c r="AR243" s="2052">
        <f>((2.84%+5.8%)*75%)+(11.5%*25%)</f>
        <v>9.3549999999999994E-2</v>
      </c>
      <c r="AS243" s="2053">
        <f>AT243</f>
        <v>9.2851428607755249E-2</v>
      </c>
      <c r="AT243" s="2054">
        <f>AU243</f>
        <v>9.2851428607755249E-2</v>
      </c>
      <c r="AU243" s="2054">
        <f t="shared" ref="AU243" si="642">AV243</f>
        <v>9.2851428607755249E-2</v>
      </c>
      <c r="AV243" s="2055">
        <f>AW243</f>
        <v>9.2851428607755249E-2</v>
      </c>
      <c r="AW243" s="2052">
        <f>(((2.7468571477007%+5.8%)*75%)+(11.5%*25%))</f>
        <v>9.2851428607755249E-2</v>
      </c>
      <c r="AX243" s="2053">
        <f>AY243</f>
        <v>9.4719718643304612E-2</v>
      </c>
      <c r="AY243" s="2054">
        <f>AZ243</f>
        <v>9.4719718643304612E-2</v>
      </c>
      <c r="AZ243" s="2054">
        <f>BA243</f>
        <v>9.4719718643304612E-2</v>
      </c>
      <c r="BA243" s="2055">
        <f>BB243</f>
        <v>9.4719718643304612E-2</v>
      </c>
      <c r="BB243" s="2052">
        <f>((2.99596248577395%+5.8%)*75%)+(11.5%*25%)</f>
        <v>9.4719718643304612E-2</v>
      </c>
      <c r="BC243" s="2053">
        <f>BD243</f>
        <v>9.5076999999999995E-2</v>
      </c>
      <c r="BD243" s="2054">
        <f>BE243</f>
        <v>9.5076999999999995E-2</v>
      </c>
      <c r="BE243" s="2054">
        <f>BF243</f>
        <v>9.5076999999999995E-2</v>
      </c>
      <c r="BF243" s="2055">
        <f>BG243</f>
        <v>9.5076999999999995E-2</v>
      </c>
      <c r="BG243" s="2052">
        <f>((3.0436%+5.8%)*75%)+(11.5%*25%)</f>
        <v>9.5076999999999995E-2</v>
      </c>
      <c r="BH243" s="284">
        <f>BI243</f>
        <v>9.5285499999999995E-2</v>
      </c>
      <c r="BI243" s="241">
        <f>BJ243</f>
        <v>9.5285499999999995E-2</v>
      </c>
      <c r="BJ243" s="241">
        <f>BK243</f>
        <v>9.5285499999999995E-2</v>
      </c>
      <c r="BK243" s="285">
        <f>BL243</f>
        <v>9.5285499999999995E-2</v>
      </c>
      <c r="BL243" s="2052">
        <f>((3.0714%+5.8%)*75%)+(11.5%*25%)</f>
        <v>9.5285499999999995E-2</v>
      </c>
      <c r="BM243" s="284">
        <f>BN243</f>
        <v>9.5439999999999997E-2</v>
      </c>
      <c r="BN243" s="241">
        <f>BO243</f>
        <v>9.5439999999999997E-2</v>
      </c>
      <c r="BO243" s="241">
        <f>BP243</f>
        <v>9.5439999999999997E-2</v>
      </c>
      <c r="BP243" s="285">
        <f>BQ243</f>
        <v>9.5439999999999997E-2</v>
      </c>
      <c r="BQ243" s="2052">
        <f>((3.092%+5.8%)*75%)+(11.5%*25%)</f>
        <v>9.5439999999999997E-2</v>
      </c>
      <c r="BR243" s="383"/>
      <c r="BS243" s="383"/>
      <c r="BT243" s="383"/>
      <c r="BU243" s="383"/>
      <c r="BV243" s="383"/>
      <c r="BW243" s="383"/>
      <c r="BX243" s="383"/>
      <c r="BY243" s="383"/>
      <c r="BZ243" s="383"/>
      <c r="CA243" s="383"/>
      <c r="CB243" s="383"/>
      <c r="CC243" s="5"/>
      <c r="CD243" s="5"/>
      <c r="CE243" s="383"/>
      <c r="CF243" s="383"/>
      <c r="CG243" s="383"/>
      <c r="CH243" s="383"/>
      <c r="CI243" s="383"/>
      <c r="CJ243" s="383"/>
      <c r="CK243" s="383"/>
      <c r="CL243" s="383"/>
      <c r="CM243" s="383"/>
      <c r="CN243" s="383"/>
      <c r="CO243" s="383"/>
      <c r="CP243" s="383"/>
      <c r="CQ243" s="383"/>
      <c r="CR243" s="383"/>
      <c r="CS243" s="383"/>
      <c r="CT243" s="383"/>
      <c r="CU243" s="383"/>
    </row>
    <row r="244" spans="1:99" ht="12.75" customHeight="1">
      <c r="A244" s="383"/>
      <c r="B244" s="383"/>
      <c r="C244" s="383" t="s">
        <v>420</v>
      </c>
      <c r="D244" s="383"/>
      <c r="E244" s="613"/>
      <c r="F244" s="614"/>
      <c r="G244" s="614"/>
      <c r="H244" s="615"/>
      <c r="I244" s="673">
        <f>I212/((I240)*(AVERAGE(I231,I226)))</f>
        <v>0.10165546554254834</v>
      </c>
      <c r="J244" s="655"/>
      <c r="K244" s="653"/>
      <c r="L244" s="653"/>
      <c r="M244" s="654"/>
      <c r="N244" s="673">
        <f>N212/((N240)*(AVERAGE(N231,N226)))</f>
        <v>0.13304849858206719</v>
      </c>
      <c r="O244" s="655"/>
      <c r="P244" s="653"/>
      <c r="Q244" s="653"/>
      <c r="R244" s="654"/>
      <c r="S244" s="673">
        <f>S212/((S240)*(AVERAGE(S231,S226)))</f>
        <v>0.12779152096015198</v>
      </c>
      <c r="T244" s="655"/>
      <c r="U244" s="653"/>
      <c r="V244" s="653"/>
      <c r="W244" s="654"/>
      <c r="X244" s="673">
        <f>X212/((X240)*(AVERAGE(X231,X226)))</f>
        <v>0.11435237209775877</v>
      </c>
      <c r="Y244" s="655"/>
      <c r="Z244" s="653"/>
      <c r="AA244" s="653"/>
      <c r="AB244" s="654"/>
      <c r="AC244" s="673">
        <f>AC212/((AC240)*(AVERAGE(AC231,AC226)))</f>
        <v>0.11546564610377542</v>
      </c>
      <c r="AD244" s="655"/>
      <c r="AE244" s="653"/>
      <c r="AF244" s="653"/>
      <c r="AG244" s="654"/>
      <c r="AH244" s="673">
        <f>AH212/((AH240)*(AVERAGE(AH231,AH226)))</f>
        <v>0.10195222944763249</v>
      </c>
      <c r="AI244" s="655"/>
      <c r="AJ244" s="653"/>
      <c r="AK244" s="653"/>
      <c r="AL244" s="654"/>
      <c r="AM244" s="673">
        <f>AM212/((AM240)*(AVERAGE(AM231,AM226)))</f>
        <v>9.6767965599192263E-2</v>
      </c>
      <c r="AN244" s="655"/>
      <c r="AO244" s="653"/>
      <c r="AP244" s="653"/>
      <c r="AQ244" s="654"/>
      <c r="AR244" s="673">
        <f>AR212/((AR240)*(AVERAGE(AR231,AR226)))</f>
        <v>0.10183593152375525</v>
      </c>
      <c r="AS244" s="655"/>
      <c r="AT244" s="653"/>
      <c r="AU244" s="653"/>
      <c r="AV244" s="654"/>
      <c r="AW244" s="673">
        <f>AW212/((AW240)*(AVERAGE(AW231,AW226)))</f>
        <v>0.1025005471512537</v>
      </c>
      <c r="AX244" s="655"/>
      <c r="AY244" s="653"/>
      <c r="AZ244" s="653"/>
      <c r="BA244" s="654"/>
      <c r="BB244" s="673">
        <f ca="1">BB212/((BB240)*(AVERAGE(BB231,BB226)))</f>
        <v>0.10408434133689416</v>
      </c>
      <c r="BC244" s="655"/>
      <c r="BD244" s="653"/>
      <c r="BE244" s="653"/>
      <c r="BF244" s="654"/>
      <c r="BG244" s="673">
        <f ca="1">BG212/((BG240)*(AVERAGE(BG231,BG226)))</f>
        <v>9.5326667571640211E-2</v>
      </c>
      <c r="BH244" s="655"/>
      <c r="BI244" s="653"/>
      <c r="BJ244" s="653"/>
      <c r="BK244" s="654"/>
      <c r="BL244" s="673">
        <f ca="1">BL212/((BL240)*(AVERAGE(BL231,BL226)))</f>
        <v>9.4824351171831148E-2</v>
      </c>
      <c r="BM244" s="655"/>
      <c r="BN244" s="653"/>
      <c r="BO244" s="653"/>
      <c r="BP244" s="654"/>
      <c r="BQ244" s="673">
        <f ca="1">BQ212/((BQ240)*(AVERAGE(BQ231,BQ226)))</f>
        <v>9.4716410517604266E-2</v>
      </c>
      <c r="BR244" s="383"/>
      <c r="BS244" s="383"/>
      <c r="BT244" s="383"/>
      <c r="BU244" s="383"/>
      <c r="BV244" s="383"/>
      <c r="BW244" s="383"/>
      <c r="BX244" s="383"/>
      <c r="BY244" s="383"/>
      <c r="BZ244" s="383"/>
      <c r="CA244" s="383"/>
      <c r="CB244" s="383"/>
      <c r="CC244" s="5"/>
      <c r="CD244" s="5"/>
      <c r="CE244" s="383"/>
      <c r="CF244" s="383"/>
      <c r="CG244" s="383"/>
      <c r="CH244" s="383"/>
      <c r="CI244" s="383"/>
      <c r="CJ244" s="383"/>
      <c r="CK244" s="383"/>
      <c r="CL244" s="383"/>
      <c r="CM244" s="383"/>
      <c r="CN244" s="383"/>
      <c r="CO244" s="383"/>
      <c r="CP244" s="383"/>
      <c r="CQ244" s="383"/>
      <c r="CR244" s="383"/>
      <c r="CS244" s="383"/>
      <c r="CT244" s="383"/>
      <c r="CU244" s="383"/>
    </row>
    <row r="245" spans="1:99" ht="12.75" customHeight="1">
      <c r="A245" s="383"/>
      <c r="B245" s="383"/>
      <c r="C245" s="383" t="s">
        <v>1290</v>
      </c>
      <c r="D245" s="383"/>
      <c r="E245" s="613"/>
      <c r="F245" s="614"/>
      <c r="G245" s="614"/>
      <c r="H245" s="615"/>
      <c r="I245" s="673">
        <f>(I212-I19)/(I240*(AVERAGE(I231,I226)))</f>
        <v>0.10022772023998447</v>
      </c>
      <c r="J245" s="655"/>
      <c r="K245" s="653"/>
      <c r="L245" s="653"/>
      <c r="M245" s="654"/>
      <c r="N245" s="673">
        <f>(N212-N19)/(N240*(AVERAGE(N231,N226)))</f>
        <v>0.13187107824063296</v>
      </c>
      <c r="O245" s="655"/>
      <c r="P245" s="653"/>
      <c r="Q245" s="653"/>
      <c r="R245" s="654"/>
      <c r="S245" s="673">
        <f>(S212-S19)/(S240*(AVERAGE(S231,S226)))</f>
        <v>0.12525471657384624</v>
      </c>
      <c r="T245" s="655"/>
      <c r="U245" s="653"/>
      <c r="V245" s="653"/>
      <c r="W245" s="654"/>
      <c r="X245" s="673">
        <f>(X212-X19)/(X240*(AVERAGE(X231,X226)))</f>
        <v>0.11255154734031374</v>
      </c>
      <c r="Y245" s="655"/>
      <c r="Z245" s="653"/>
      <c r="AA245" s="653"/>
      <c r="AB245" s="654"/>
      <c r="AC245" s="673">
        <f>(AC212-AC19)/(AC240*(AVERAGE(AC231,AC226)))</f>
        <v>0.1124487289846744</v>
      </c>
      <c r="AD245" s="655"/>
      <c r="AE245" s="653"/>
      <c r="AF245" s="653"/>
      <c r="AG245" s="654"/>
      <c r="AH245" s="673">
        <f>(AH212-AH19)/(AH240*(AVERAGE(AH231,AH226)))</f>
        <v>0.10120623752484494</v>
      </c>
      <c r="AI245" s="655"/>
      <c r="AJ245" s="653"/>
      <c r="AK245" s="653"/>
      <c r="AL245" s="654"/>
      <c r="AM245" s="673">
        <f>(AM212-AM19)/(AM240*(AVERAGE(AM231,AM226)))</f>
        <v>9.564796599734976E-2</v>
      </c>
      <c r="AN245" s="655"/>
      <c r="AO245" s="653"/>
      <c r="AP245" s="653"/>
      <c r="AQ245" s="654"/>
      <c r="AR245" s="673">
        <f>(AR212-AR19)/(AR239*(AVERAGE(AR231,AR226)))</f>
        <v>9.854196535187211E-2</v>
      </c>
      <c r="AS245" s="655"/>
      <c r="AT245" s="653"/>
      <c r="AU245" s="653"/>
      <c r="AV245" s="654"/>
      <c r="AW245" s="673">
        <f>(AW212-AW19)/(AW239*(AVERAGE(AW231,AW226)))</f>
        <v>0.10140498353043198</v>
      </c>
      <c r="AX245" s="655"/>
      <c r="AY245" s="653"/>
      <c r="AZ245" s="653"/>
      <c r="BA245" s="654"/>
      <c r="BB245" s="673">
        <f ca="1">(BB212-BB19)/(BB239*(AVERAGE(BB231,BB226)))</f>
        <v>0.10069310931970163</v>
      </c>
      <c r="BC245" s="655"/>
      <c r="BD245" s="653"/>
      <c r="BE245" s="653"/>
      <c r="BF245" s="654"/>
      <c r="BG245" s="673">
        <f ca="1">(BG212-BG19)/(BG239*(AVERAGE(BG231,BG226)))</f>
        <v>9.2835945647251769E-2</v>
      </c>
      <c r="BH245" s="655"/>
      <c r="BI245" s="653"/>
      <c r="BJ245" s="653"/>
      <c r="BK245" s="654"/>
      <c r="BL245" s="673">
        <f ca="1">(BL212-BL19)/(BL239*(AVERAGE(BL231,BL226)))</f>
        <v>9.1999814669703223E-2</v>
      </c>
      <c r="BM245" s="655"/>
      <c r="BN245" s="653"/>
      <c r="BO245" s="653"/>
      <c r="BP245" s="654"/>
      <c r="BQ245" s="673">
        <f ca="1">(BQ212-BQ19)/(BQ239*(AVERAGE(BQ231,BQ226)))</f>
        <v>9.2190360787464509E-2</v>
      </c>
      <c r="BR245" s="383"/>
      <c r="BS245" s="383"/>
      <c r="BT245" s="383"/>
      <c r="BU245" s="383"/>
      <c r="BV245" s="383"/>
      <c r="BW245" s="383"/>
      <c r="BX245" s="383"/>
      <c r="BY245" s="383"/>
      <c r="BZ245" s="383"/>
      <c r="CA245" s="383"/>
      <c r="CB245" s="383"/>
      <c r="CC245" s="5"/>
      <c r="CD245" s="5"/>
      <c r="CE245" s="383"/>
      <c r="CF245" s="383"/>
      <c r="CG245" s="383"/>
      <c r="CH245" s="383"/>
      <c r="CI245" s="383"/>
      <c r="CJ245" s="383"/>
      <c r="CK245" s="383"/>
      <c r="CL245" s="383"/>
      <c r="CM245" s="383"/>
      <c r="CN245" s="383"/>
      <c r="CO245" s="383"/>
      <c r="CP245" s="383"/>
      <c r="CQ245" s="383"/>
      <c r="CR245" s="383"/>
      <c r="CS245" s="383"/>
      <c r="CT245" s="383"/>
      <c r="CU245" s="383"/>
    </row>
    <row r="246" spans="1:99" ht="12.75" customHeight="1">
      <c r="A246" s="383"/>
      <c r="B246" s="383"/>
      <c r="C246" s="383"/>
      <c r="D246" s="383"/>
      <c r="E246" s="613"/>
      <c r="F246" s="614"/>
      <c r="G246" s="614"/>
      <c r="H246" s="615"/>
      <c r="I246" s="673"/>
      <c r="J246" s="655"/>
      <c r="K246" s="653"/>
      <c r="L246" s="653"/>
      <c r="M246" s="654"/>
      <c r="N246" s="673"/>
      <c r="O246" s="655"/>
      <c r="P246" s="653"/>
      <c r="Q246" s="653"/>
      <c r="R246" s="654"/>
      <c r="S246" s="673"/>
      <c r="T246" s="655"/>
      <c r="U246" s="653"/>
      <c r="V246" s="653"/>
      <c r="W246" s="654"/>
      <c r="X246" s="673"/>
      <c r="Y246" s="655"/>
      <c r="Z246" s="653"/>
      <c r="AA246" s="653"/>
      <c r="AB246" s="654"/>
      <c r="AC246" s="673"/>
      <c r="AD246" s="655"/>
      <c r="AE246" s="653"/>
      <c r="AF246" s="653"/>
      <c r="AG246" s="654"/>
      <c r="AH246" s="673"/>
      <c r="AI246" s="655"/>
      <c r="AJ246" s="653"/>
      <c r="AK246" s="653"/>
      <c r="AL246" s="654"/>
      <c r="AM246" s="673"/>
      <c r="AN246" s="655"/>
      <c r="AO246" s="653"/>
      <c r="AP246" s="653"/>
      <c r="AQ246" s="654"/>
      <c r="AR246" s="673"/>
      <c r="AS246" s="655"/>
      <c r="AT246" s="653"/>
      <c r="AU246" s="653"/>
      <c r="AV246" s="654"/>
      <c r="AW246" s="673"/>
      <c r="AX246" s="655"/>
      <c r="AY246" s="653"/>
      <c r="AZ246" s="653"/>
      <c r="BA246" s="654"/>
      <c r="BB246" s="673"/>
      <c r="BC246" s="655"/>
      <c r="BD246" s="653"/>
      <c r="BE246" s="653"/>
      <c r="BF246" s="654"/>
      <c r="BG246" s="673"/>
      <c r="BH246" s="655"/>
      <c r="BI246" s="653"/>
      <c r="BJ246" s="653"/>
      <c r="BK246" s="654"/>
      <c r="BL246" s="673"/>
      <c r="BM246" s="655"/>
      <c r="BN246" s="653"/>
      <c r="BO246" s="653"/>
      <c r="BP246" s="654"/>
      <c r="BQ246" s="673"/>
      <c r="BR246" s="383"/>
      <c r="BS246" s="383"/>
      <c r="BT246" s="383"/>
      <c r="BU246" s="383"/>
      <c r="BV246" s="383"/>
      <c r="BW246" s="383"/>
      <c r="BX246" s="383"/>
      <c r="BY246" s="383"/>
      <c r="BZ246" s="383"/>
      <c r="CA246" s="383"/>
      <c r="CB246" s="383"/>
      <c r="CC246" s="5"/>
      <c r="CD246" s="5"/>
      <c r="CE246" s="383"/>
      <c r="CF246" s="383"/>
      <c r="CG246" s="383"/>
      <c r="CH246" s="383"/>
      <c r="CI246" s="383"/>
      <c r="CJ246" s="383"/>
      <c r="CK246" s="383"/>
      <c r="CL246" s="383"/>
      <c r="CM246" s="383"/>
      <c r="CN246" s="383"/>
      <c r="CO246" s="383"/>
      <c r="CP246" s="383"/>
      <c r="CQ246" s="383"/>
      <c r="CR246" s="383"/>
      <c r="CS246" s="383"/>
      <c r="CT246" s="383"/>
      <c r="CU246" s="383"/>
    </row>
    <row r="247" spans="1:99" ht="12.75" customHeight="1">
      <c r="A247" s="383"/>
      <c r="B247" s="383"/>
      <c r="D247" s="383"/>
      <c r="E247" s="613"/>
      <c r="F247" s="614"/>
      <c r="G247" s="614"/>
      <c r="H247" s="615"/>
      <c r="I247" s="583"/>
      <c r="J247" s="655"/>
      <c r="K247" s="653"/>
      <c r="L247" s="653"/>
      <c r="M247" s="654"/>
      <c r="N247" s="583"/>
      <c r="O247" s="655"/>
      <c r="P247" s="653"/>
      <c r="Q247" s="653"/>
      <c r="R247" s="654"/>
      <c r="S247" s="583"/>
      <c r="T247" s="655"/>
      <c r="U247" s="653"/>
      <c r="V247" s="653"/>
      <c r="W247" s="654"/>
      <c r="X247" s="583"/>
      <c r="Y247" s="655"/>
      <c r="Z247" s="653"/>
      <c r="AA247" s="653"/>
      <c r="AB247" s="654"/>
      <c r="AC247" s="673"/>
      <c r="AD247" s="655"/>
      <c r="AE247" s="653"/>
      <c r="AF247" s="653"/>
      <c r="AG247" s="654"/>
      <c r="AH247" s="673"/>
      <c r="AI247" s="655"/>
      <c r="AJ247" s="653"/>
      <c r="AK247" s="653"/>
      <c r="AL247" s="654"/>
      <c r="AM247" s="673"/>
      <c r="AN247" s="655"/>
      <c r="AO247" s="653"/>
      <c r="AP247" s="653"/>
      <c r="AQ247" s="654"/>
      <c r="AR247" s="673"/>
      <c r="AS247" s="655"/>
      <c r="AT247" s="653"/>
      <c r="AU247" s="653"/>
      <c r="AV247" s="654"/>
      <c r="AW247" s="673"/>
      <c r="AX247" s="655"/>
      <c r="AY247" s="653"/>
      <c r="AZ247" s="653"/>
      <c r="BA247" s="654"/>
      <c r="BB247" s="673"/>
      <c r="BC247" s="655"/>
      <c r="BD247" s="653"/>
      <c r="BE247" s="653"/>
      <c r="BF247" s="654"/>
      <c r="BG247" s="673"/>
      <c r="BH247" s="655"/>
      <c r="BI247" s="653"/>
      <c r="BJ247" s="653"/>
      <c r="BK247" s="654"/>
      <c r="BL247" s="673"/>
      <c r="BM247" s="655"/>
      <c r="BN247" s="653"/>
      <c r="BO247" s="653"/>
      <c r="BP247" s="654"/>
      <c r="BQ247" s="673"/>
      <c r="BR247" s="383"/>
      <c r="BS247" s="383"/>
      <c r="BT247" s="383"/>
      <c r="BU247" s="383"/>
      <c r="BV247" s="383"/>
      <c r="BW247" s="383"/>
      <c r="BX247" s="383"/>
      <c r="BY247" s="383"/>
      <c r="BZ247" s="383"/>
      <c r="CA247" s="383"/>
      <c r="CB247" s="383"/>
      <c r="CC247" s="5"/>
      <c r="CD247" s="5"/>
      <c r="CE247" s="383"/>
      <c r="CF247" s="383"/>
      <c r="CG247" s="383"/>
      <c r="CH247" s="383"/>
      <c r="CI247" s="383"/>
      <c r="CJ247" s="383"/>
      <c r="CK247" s="383"/>
      <c r="CL247" s="383"/>
      <c r="CM247" s="383"/>
      <c r="CN247" s="383"/>
      <c r="CO247" s="383"/>
      <c r="CP247" s="383"/>
      <c r="CQ247" s="383"/>
      <c r="CR247" s="383"/>
      <c r="CS247" s="383"/>
      <c r="CT247" s="383"/>
      <c r="CU247" s="383"/>
    </row>
    <row r="248" spans="1:99" ht="12.75" customHeight="1">
      <c r="C248" s="383"/>
      <c r="E248" s="674"/>
      <c r="F248" s="674"/>
      <c r="G248" s="674"/>
      <c r="H248" s="674"/>
      <c r="J248" s="674"/>
      <c r="K248" s="674"/>
      <c r="L248" s="674"/>
      <c r="M248" s="674"/>
      <c r="O248" s="674"/>
      <c r="P248" s="674"/>
      <c r="Q248" s="674"/>
      <c r="R248" s="674"/>
      <c r="T248" s="674"/>
      <c r="U248" s="674"/>
      <c r="V248" s="674"/>
      <c r="W248" s="674"/>
      <c r="Y248" s="674"/>
      <c r="Z248" s="674"/>
      <c r="AA248" s="674"/>
      <c r="AB248" s="674"/>
      <c r="AD248" s="674"/>
      <c r="AE248" s="674"/>
      <c r="AF248" s="674"/>
      <c r="AG248" s="674"/>
      <c r="AI248" s="674"/>
      <c r="AJ248" s="674"/>
      <c r="AK248" s="674"/>
      <c r="AL248" s="674"/>
      <c r="AN248" s="674"/>
      <c r="AO248" s="674"/>
      <c r="AP248" s="674"/>
      <c r="AQ248" s="674"/>
      <c r="AS248" s="674"/>
      <c r="AT248" s="674"/>
      <c r="AU248" s="674"/>
      <c r="AV248" s="674"/>
      <c r="AX248" s="674"/>
      <c r="AY248" s="674"/>
      <c r="AZ248" s="674"/>
      <c r="BA248" s="674"/>
      <c r="BC248" s="674"/>
      <c r="BD248" s="674"/>
      <c r="BE248" s="674"/>
      <c r="BF248" s="674"/>
      <c r="BH248" s="674"/>
      <c r="BI248" s="674"/>
      <c r="BJ248" s="674"/>
      <c r="BK248" s="674"/>
      <c r="BM248" s="674"/>
      <c r="BN248" s="674"/>
      <c r="BO248" s="674"/>
      <c r="BP248" s="674"/>
      <c r="CC248" s="5"/>
      <c r="CD248" s="5"/>
    </row>
    <row r="249" spans="1:99" ht="12.75" customHeight="1">
      <c r="AD249" s="19"/>
      <c r="AF249" s="19"/>
      <c r="AG249" s="19"/>
      <c r="CC249" s="5"/>
      <c r="CD249" s="5"/>
    </row>
    <row r="250" spans="1:99" ht="12.75" customHeight="1">
      <c r="N250" s="535"/>
      <c r="CC250" s="5"/>
      <c r="CD250" s="5"/>
    </row>
    <row r="251" spans="1:99" ht="12.75" customHeight="1">
      <c r="CC251" s="5"/>
      <c r="CD251" s="5"/>
    </row>
    <row r="252" spans="1:99" ht="12.75" customHeight="1">
      <c r="F252" s="232"/>
      <c r="Q252" s="497"/>
      <c r="S252" s="497"/>
      <c r="X252" s="497"/>
      <c r="AC252" s="497"/>
      <c r="AH252" s="497"/>
      <c r="AM252" s="497"/>
      <c r="AR252" s="497"/>
      <c r="AW252" s="497"/>
      <c r="BB252" s="497"/>
      <c r="BG252" s="497"/>
      <c r="BL252" s="497"/>
      <c r="BQ252" s="497"/>
      <c r="CC252" s="5"/>
      <c r="CD252" s="5"/>
    </row>
    <row r="253" spans="1:99" ht="12.75" customHeight="1">
      <c r="CC253" s="5"/>
      <c r="CD253" s="5"/>
    </row>
    <row r="254" spans="1:99" ht="12.75" customHeight="1">
      <c r="N254" s="675"/>
      <c r="AH254" s="497"/>
      <c r="CC254" s="5"/>
      <c r="CD254" s="5"/>
    </row>
    <row r="255" spans="1:99" ht="12.75" customHeight="1">
      <c r="CC255" s="5"/>
      <c r="CD255" s="5"/>
    </row>
    <row r="256" spans="1:99" ht="12.75" customHeight="1">
      <c r="CC256" s="5"/>
      <c r="CD256" s="5"/>
    </row>
    <row r="257" spans="81:82" ht="12.75" customHeight="1">
      <c r="CC257" s="5"/>
      <c r="CD257" s="5"/>
    </row>
    <row r="258" spans="81:82" ht="12.75" customHeight="1">
      <c r="CC258" s="5"/>
      <c r="CD258" s="5"/>
    </row>
  </sheetData>
  <phoneticPr fontId="2" type="noConversion"/>
  <pageMargins left="0.5" right="0.5" top="0.5" bottom="0.5" header="0" footer="0"/>
  <pageSetup scale="55" fitToHeight="4" orientation="landscape" r:id="rId1"/>
  <headerFooter alignWithMargins="0"/>
  <rowBreaks count="4" manualBreakCount="4">
    <brk id="66" max="39" man="1"/>
    <brk id="113" max="39" man="1"/>
    <brk id="161" max="39" man="1"/>
    <brk id="206" max="39"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Y905"/>
  <sheetViews>
    <sheetView zoomScale="85" workbookViewId="0">
      <pane xSplit="4" ySplit="5" topLeftCell="I6" activePane="bottomRight" state="frozen"/>
      <selection activeCell="I6" sqref="I6"/>
      <selection pane="topRight" activeCell="I6" sqref="I6"/>
      <selection pane="bottomLeft" activeCell="I6" sqref="I6"/>
      <selection pane="bottomRight" activeCell="I6" sqref="I6"/>
    </sheetView>
  </sheetViews>
  <sheetFormatPr defaultRowHeight="12.75" outlineLevelCol="1"/>
  <cols>
    <col min="1" max="2" width="2.7109375" customWidth="1"/>
    <col min="3" max="3" width="45.7109375" customWidth="1"/>
    <col min="4" max="4" width="6.7109375" customWidth="1"/>
    <col min="5" max="8" width="0" hidden="1" customWidth="1" outlineLevel="1"/>
    <col min="9" max="9" width="9.140625" collapsed="1"/>
    <col min="10" max="13" width="0" hidden="1" customWidth="1" outlineLevel="1"/>
    <col min="14" max="14" width="9.140625" collapsed="1"/>
    <col min="15" max="18" width="0" hidden="1" customWidth="1" outlineLevel="1"/>
    <col min="19" max="19" width="9.140625" collapsed="1"/>
    <col min="20" max="20" width="9.140625" hidden="1" customWidth="1" outlineLevel="1"/>
    <col min="21" max="21" width="9.140625" style="19" hidden="1" customWidth="1" outlineLevel="1"/>
    <col min="22" max="23" width="9.140625" hidden="1" customWidth="1" outlineLevel="1"/>
    <col min="24" max="24" width="9.140625" collapsed="1"/>
    <col min="25" max="25" width="9.140625" hidden="1" customWidth="1" outlineLevel="1"/>
    <col min="26" max="26" width="9.140625" style="19" hidden="1" customWidth="1" outlineLevel="1"/>
    <col min="27" max="28" width="9.140625" hidden="1" customWidth="1" outlineLevel="1"/>
    <col min="29" max="29" width="9.140625" collapsed="1"/>
    <col min="30" max="30" width="9.140625" hidden="1" customWidth="1" outlineLevel="1"/>
    <col min="31" max="31" width="9.140625" style="19" hidden="1" customWidth="1" outlineLevel="1"/>
    <col min="32" max="33" width="9.140625" hidden="1" customWidth="1" outlineLevel="1"/>
    <col min="34" max="34" width="9.140625" collapsed="1"/>
    <col min="35" max="38" width="9.140625" hidden="1" customWidth="1" outlineLevel="1"/>
    <col min="39" max="39" width="9.140625" collapsed="1"/>
    <col min="40" max="43" width="9.140625" hidden="1" customWidth="1" outlineLevel="1"/>
    <col min="44" max="44" width="9.140625" customWidth="1" collapsed="1"/>
    <col min="45" max="48" width="9.140625" hidden="1" customWidth="1" outlineLevel="1"/>
    <col min="49" max="49" width="9.140625" collapsed="1"/>
    <col min="50" max="53" width="9.140625" hidden="1" customWidth="1" outlineLevel="1"/>
    <col min="54" max="54" width="9.140625" collapsed="1"/>
    <col min="55" max="58" width="9.140625" hidden="1" customWidth="1" outlineLevel="1"/>
    <col min="59" max="59" width="9.140625" collapsed="1"/>
    <col min="60" max="63" width="9.140625" hidden="1" customWidth="1" outlineLevel="1"/>
    <col min="64" max="64" width="9.140625" collapsed="1"/>
    <col min="65" max="68" width="9.140625" hidden="1" customWidth="1" outlineLevel="1"/>
    <col min="69" max="69" width="9.140625" collapsed="1"/>
    <col min="85" max="87" width="11.42578125" customWidth="1"/>
    <col min="88" max="88" width="9.7109375" customWidth="1"/>
    <col min="89" max="92" width="11.42578125" customWidth="1"/>
    <col min="93" max="93" width="10.7109375" customWidth="1"/>
    <col min="94" max="96" width="11.42578125" customWidth="1"/>
    <col min="97" max="99" width="9.7109375" customWidth="1"/>
  </cols>
  <sheetData>
    <row r="1" spans="1:99" ht="15" customHeight="1">
      <c r="A1" s="469"/>
      <c r="B1" s="469"/>
      <c r="C1" s="469"/>
      <c r="D1" s="470"/>
      <c r="E1" s="471"/>
      <c r="F1" s="471"/>
      <c r="G1" s="471"/>
      <c r="H1" s="471"/>
      <c r="I1" s="471"/>
      <c r="J1" s="471"/>
      <c r="K1" s="471"/>
      <c r="L1" s="471"/>
      <c r="M1" s="471"/>
      <c r="N1" s="471"/>
      <c r="O1" s="471"/>
      <c r="P1" s="471"/>
      <c r="Q1" s="471"/>
      <c r="R1" s="471"/>
      <c r="S1" s="471"/>
      <c r="T1" s="471"/>
      <c r="U1" s="1040"/>
      <c r="V1" s="471"/>
      <c r="W1" s="471"/>
      <c r="X1" s="471"/>
      <c r="Y1" s="471"/>
      <c r="Z1" s="1040"/>
      <c r="AA1" s="471"/>
      <c r="AB1" s="471"/>
      <c r="AC1" s="471"/>
      <c r="AD1" s="471"/>
      <c r="AE1" s="1040"/>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row>
    <row r="2" spans="1:99" ht="15" customHeight="1">
      <c r="A2" s="469"/>
      <c r="B2" s="469" t="str">
        <f>Cover!B2</f>
        <v>Exelon Corporation</v>
      </c>
      <c r="C2" s="469"/>
      <c r="D2" s="470"/>
      <c r="E2" s="471"/>
      <c r="F2" s="471"/>
      <c r="G2" s="471"/>
      <c r="H2" s="471"/>
      <c r="I2" s="471"/>
      <c r="J2" s="471"/>
      <c r="K2" s="471"/>
      <c r="L2" s="471"/>
      <c r="M2" s="471"/>
      <c r="N2" s="471"/>
      <c r="O2" s="471"/>
      <c r="P2" s="471"/>
      <c r="Q2" s="471"/>
      <c r="R2" s="471"/>
      <c r="S2" s="471"/>
      <c r="T2" s="471"/>
      <c r="U2" s="1040"/>
      <c r="V2" s="471"/>
      <c r="W2" s="471"/>
      <c r="X2" s="471"/>
      <c r="Y2" s="471"/>
      <c r="Z2" s="1040"/>
      <c r="AA2" s="471"/>
      <c r="AB2" s="471"/>
      <c r="AC2" s="471"/>
      <c r="AD2" s="471"/>
      <c r="AE2" s="1040"/>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row>
    <row r="3" spans="1:99" ht="15" customHeight="1">
      <c r="A3" s="579"/>
      <c r="B3" s="472" t="s">
        <v>635</v>
      </c>
      <c r="C3" s="472"/>
      <c r="D3" s="471"/>
      <c r="E3" s="471"/>
      <c r="F3" s="471"/>
      <c r="G3" s="471"/>
      <c r="H3" s="471"/>
      <c r="I3" s="471"/>
      <c r="J3" s="471"/>
      <c r="K3" s="471"/>
      <c r="L3" s="471"/>
      <c r="M3" s="471"/>
      <c r="N3" s="471"/>
      <c r="O3" s="471"/>
      <c r="P3" s="471"/>
      <c r="Q3" s="471"/>
      <c r="R3" s="471"/>
      <c r="S3" s="471"/>
      <c r="T3" s="471"/>
      <c r="U3" s="1040"/>
      <c r="V3" s="471"/>
      <c r="W3" s="471"/>
      <c r="X3" s="471"/>
      <c r="Y3" s="471"/>
      <c r="Z3" s="1040"/>
      <c r="AA3" s="471"/>
      <c r="AB3" s="471"/>
      <c r="AC3" s="471"/>
      <c r="AD3" s="471"/>
      <c r="AE3" s="1040"/>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5"/>
      <c r="BS3" s="5"/>
      <c r="BT3" s="5"/>
      <c r="BU3" s="5"/>
      <c r="BV3" s="5"/>
      <c r="BW3" s="5"/>
      <c r="BX3" s="5"/>
      <c r="BY3" s="5"/>
      <c r="BZ3" s="819"/>
      <c r="CA3" s="819"/>
      <c r="CB3" s="5"/>
      <c r="CC3" s="5"/>
      <c r="CD3" s="5"/>
      <c r="CE3" s="5"/>
      <c r="CF3" s="5"/>
      <c r="CG3" s="5"/>
      <c r="CH3" s="5"/>
      <c r="CI3" s="5"/>
      <c r="CJ3" s="5"/>
      <c r="CK3" s="5"/>
      <c r="CL3" s="5"/>
      <c r="CM3" s="5"/>
      <c r="CN3" s="5"/>
      <c r="CO3" s="5"/>
      <c r="CP3" s="5"/>
      <c r="CQ3" s="5"/>
      <c r="CR3" s="5"/>
      <c r="CS3" s="5"/>
      <c r="CT3" s="5"/>
      <c r="CU3" s="5"/>
    </row>
    <row r="4" spans="1:99" ht="15" customHeight="1">
      <c r="A4" s="549"/>
      <c r="B4" s="12" t="s">
        <v>69</v>
      </c>
      <c r="C4" s="12"/>
      <c r="D4" s="550"/>
      <c r="E4" s="473"/>
      <c r="F4" s="473"/>
      <c r="G4" s="473"/>
      <c r="H4" s="473"/>
      <c r="I4" s="473"/>
      <c r="J4" s="473"/>
      <c r="K4" s="473"/>
      <c r="L4" s="473"/>
      <c r="M4" s="473"/>
      <c r="N4" s="473"/>
      <c r="O4" s="473"/>
      <c r="P4" s="473"/>
      <c r="Q4" s="473"/>
      <c r="R4" s="473"/>
      <c r="S4" s="473"/>
      <c r="T4" s="473"/>
      <c r="U4" s="1151"/>
      <c r="V4" s="473"/>
      <c r="W4" s="473"/>
      <c r="X4" s="473"/>
      <c r="Y4" s="473"/>
      <c r="Z4" s="1151"/>
      <c r="AA4" s="473"/>
      <c r="AB4" s="473"/>
      <c r="AC4" s="473"/>
      <c r="AD4" s="473"/>
      <c r="AE4" s="1151"/>
      <c r="AF4" s="473"/>
      <c r="AG4" s="473"/>
      <c r="AH4" s="473"/>
      <c r="AI4" s="473"/>
      <c r="AJ4" s="473"/>
      <c r="AK4" s="473"/>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3"/>
      <c r="BM4" s="473"/>
      <c r="BN4" s="473"/>
      <c r="BO4" s="473"/>
      <c r="BP4" s="473"/>
      <c r="BQ4" s="473"/>
    </row>
    <row r="5" spans="1:99" ht="12" customHeight="1">
      <c r="B5" s="552" t="s">
        <v>504</v>
      </c>
      <c r="C5" s="552"/>
      <c r="D5" s="553"/>
      <c r="E5" s="554" t="s">
        <v>358</v>
      </c>
      <c r="F5" s="555" t="s">
        <v>359</v>
      </c>
      <c r="G5" s="555" t="s">
        <v>322</v>
      </c>
      <c r="H5" s="556" t="s">
        <v>323</v>
      </c>
      <c r="I5" s="557">
        <v>2009</v>
      </c>
      <c r="J5" s="554" t="s">
        <v>324</v>
      </c>
      <c r="K5" s="555" t="s">
        <v>325</v>
      </c>
      <c r="L5" s="555" t="s">
        <v>326</v>
      </c>
      <c r="M5" s="556" t="s">
        <v>327</v>
      </c>
      <c r="N5" s="557" t="s">
        <v>112</v>
      </c>
      <c r="O5" s="554" t="s">
        <v>268</v>
      </c>
      <c r="P5" s="555" t="s">
        <v>269</v>
      </c>
      <c r="Q5" s="555" t="s">
        <v>270</v>
      </c>
      <c r="R5" s="556" t="s">
        <v>271</v>
      </c>
      <c r="S5" s="558" t="s">
        <v>619</v>
      </c>
      <c r="T5" s="554" t="s">
        <v>616</v>
      </c>
      <c r="U5" s="555" t="s">
        <v>1201</v>
      </c>
      <c r="V5" s="555" t="s">
        <v>1251</v>
      </c>
      <c r="W5" s="556" t="s">
        <v>1252</v>
      </c>
      <c r="X5" s="558" t="s">
        <v>1253</v>
      </c>
      <c r="Y5" s="554" t="s">
        <v>674</v>
      </c>
      <c r="Z5" s="555" t="s">
        <v>673</v>
      </c>
      <c r="AA5" s="555" t="s">
        <v>919</v>
      </c>
      <c r="AB5" s="556" t="s">
        <v>920</v>
      </c>
      <c r="AC5" s="558" t="s">
        <v>921</v>
      </c>
      <c r="AD5" s="554" t="s">
        <v>1218</v>
      </c>
      <c r="AE5" s="555" t="s">
        <v>1211</v>
      </c>
      <c r="AF5" s="555" t="s">
        <v>1344</v>
      </c>
      <c r="AG5" s="556" t="s">
        <v>1345</v>
      </c>
      <c r="AH5" s="558" t="s">
        <v>1343</v>
      </c>
      <c r="AI5" s="554" t="s">
        <v>1409</v>
      </c>
      <c r="AJ5" s="555" t="s">
        <v>1405</v>
      </c>
      <c r="AK5" s="555" t="s">
        <v>1406</v>
      </c>
      <c r="AL5" s="556" t="s">
        <v>1407</v>
      </c>
      <c r="AM5" s="558" t="s">
        <v>1410</v>
      </c>
      <c r="AN5" s="554" t="s">
        <v>1436</v>
      </c>
      <c r="AO5" s="555" t="s">
        <v>1439</v>
      </c>
      <c r="AP5" s="555" t="s">
        <v>1480</v>
      </c>
      <c r="AQ5" s="556" t="s">
        <v>1501</v>
      </c>
      <c r="AR5" s="558" t="s">
        <v>1502</v>
      </c>
      <c r="AS5" s="554" t="s">
        <v>1515</v>
      </c>
      <c r="AT5" s="555" t="s">
        <v>1534</v>
      </c>
      <c r="AU5" s="555" t="s">
        <v>1536</v>
      </c>
      <c r="AV5" s="556" t="s">
        <v>1538</v>
      </c>
      <c r="AW5" s="558" t="s">
        <v>1539</v>
      </c>
      <c r="AX5" s="554" t="s">
        <v>926</v>
      </c>
      <c r="AY5" s="555" t="s">
        <v>927</v>
      </c>
      <c r="AZ5" s="555" t="s">
        <v>928</v>
      </c>
      <c r="BA5" s="556" t="s">
        <v>929</v>
      </c>
      <c r="BB5" s="558">
        <v>2018</v>
      </c>
      <c r="BC5" s="554" t="s">
        <v>1361</v>
      </c>
      <c r="BD5" s="555" t="s">
        <v>1362</v>
      </c>
      <c r="BE5" s="555" t="s">
        <v>1363</v>
      </c>
      <c r="BF5" s="556" t="s">
        <v>1364</v>
      </c>
      <c r="BG5" s="558">
        <v>2019</v>
      </c>
      <c r="BH5" s="554" t="s">
        <v>1365</v>
      </c>
      <c r="BI5" s="555" t="s">
        <v>1366</v>
      </c>
      <c r="BJ5" s="555" t="s">
        <v>1367</v>
      </c>
      <c r="BK5" s="556" t="s">
        <v>1368</v>
      </c>
      <c r="BL5" s="558">
        <v>2020</v>
      </c>
      <c r="BM5" s="554" t="s">
        <v>1516</v>
      </c>
      <c r="BN5" s="555" t="s">
        <v>1517</v>
      </c>
      <c r="BO5" s="555" t="s">
        <v>1518</v>
      </c>
      <c r="BP5" s="556" t="s">
        <v>1519</v>
      </c>
      <c r="BQ5" s="558">
        <v>2021</v>
      </c>
    </row>
    <row r="6" spans="1:99" ht="12.75" customHeight="1">
      <c r="A6" s="1"/>
      <c r="B6" s="1"/>
      <c r="C6" s="1"/>
      <c r="D6" s="1"/>
      <c r="E6" s="300"/>
      <c r="F6" s="264"/>
      <c r="G6" s="264"/>
      <c r="H6" s="299"/>
      <c r="I6" s="330"/>
      <c r="J6" s="300"/>
      <c r="K6" s="264"/>
      <c r="L6" s="264"/>
      <c r="M6" s="299"/>
      <c r="N6" s="530"/>
      <c r="O6" s="300"/>
      <c r="P6" s="264"/>
      <c r="Q6" s="264"/>
      <c r="R6" s="299"/>
      <c r="S6" s="530"/>
      <c r="T6" s="300"/>
      <c r="U6" s="264"/>
      <c r="V6" s="264"/>
      <c r="W6" s="299"/>
      <c r="X6" s="530"/>
      <c r="Y6" s="300"/>
      <c r="Z6" s="264"/>
      <c r="AA6" s="264"/>
      <c r="AB6" s="299"/>
      <c r="AC6" s="530"/>
      <c r="AD6" s="300"/>
      <c r="AE6" s="264"/>
      <c r="AF6" s="264"/>
      <c r="AG6" s="299"/>
      <c r="AH6" s="530"/>
      <c r="AI6" s="300"/>
      <c r="AJ6" s="264"/>
      <c r="AK6" s="264"/>
      <c r="AL6" s="299"/>
      <c r="AM6" s="530"/>
      <c r="AN6" s="300"/>
      <c r="AO6" s="264"/>
      <c r="AP6" s="264"/>
      <c r="AQ6" s="299"/>
      <c r="AR6" s="530"/>
      <c r="AS6" s="300"/>
      <c r="AT6" s="264"/>
      <c r="AU6" s="264"/>
      <c r="AV6" s="299"/>
      <c r="AW6" s="530"/>
      <c r="AX6" s="300"/>
      <c r="AY6" s="264"/>
      <c r="AZ6" s="264"/>
      <c r="BA6" s="299"/>
      <c r="BB6" s="530"/>
      <c r="BC6" s="300"/>
      <c r="BD6" s="264"/>
      <c r="BE6" s="264"/>
      <c r="BF6" s="299"/>
      <c r="BG6" s="530"/>
      <c r="BH6" s="300"/>
      <c r="BI6" s="264"/>
      <c r="BJ6" s="264"/>
      <c r="BK6" s="299"/>
      <c r="BL6" s="530"/>
      <c r="BM6" s="300"/>
      <c r="BN6" s="264"/>
      <c r="BO6" s="264"/>
      <c r="BP6" s="299"/>
      <c r="BQ6" s="530"/>
      <c r="BR6" s="19"/>
      <c r="BS6" s="19"/>
      <c r="BT6" s="19"/>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19"/>
      <c r="CU6" s="19"/>
    </row>
    <row r="7" spans="1:99" ht="12.75" customHeight="1">
      <c r="A7" s="1"/>
      <c r="B7" s="73" t="s">
        <v>277</v>
      </c>
      <c r="C7" s="246"/>
      <c r="D7" s="15"/>
      <c r="E7" s="300"/>
      <c r="F7" s="264"/>
      <c r="G7" s="264"/>
      <c r="H7" s="299"/>
      <c r="I7" s="330"/>
      <c r="J7" s="300"/>
      <c r="K7" s="264"/>
      <c r="L7" s="264"/>
      <c r="M7" s="299"/>
      <c r="N7" s="330"/>
      <c r="O7" s="300"/>
      <c r="P7" s="264"/>
      <c r="Q7" s="264"/>
      <c r="R7" s="299"/>
      <c r="S7" s="530"/>
      <c r="T7" s="300"/>
      <c r="U7" s="264"/>
      <c r="V7" s="264"/>
      <c r="W7" s="299"/>
      <c r="X7" s="530"/>
      <c r="Y7" s="300"/>
      <c r="Z7" s="264"/>
      <c r="AA7" s="264"/>
      <c r="AB7" s="299"/>
      <c r="AC7" s="530"/>
      <c r="AD7" s="300"/>
      <c r="AE7" s="264"/>
      <c r="AF7" s="264"/>
      <c r="AG7" s="299"/>
      <c r="AH7" s="530"/>
      <c r="AI7" s="300"/>
      <c r="AJ7" s="264"/>
      <c r="AK7" s="264"/>
      <c r="AL7" s="299"/>
      <c r="AM7" s="530"/>
      <c r="AN7" s="300"/>
      <c r="AO7" s="264"/>
      <c r="AP7" s="264"/>
      <c r="AQ7" s="299"/>
      <c r="AR7" s="530"/>
      <c r="AS7" s="300"/>
      <c r="AT7" s="264"/>
      <c r="AU7" s="264"/>
      <c r="AV7" s="299"/>
      <c r="AW7" s="530"/>
      <c r="AX7" s="300"/>
      <c r="AY7" s="264"/>
      <c r="AZ7" s="264"/>
      <c r="BA7" s="299"/>
      <c r="BB7" s="530"/>
      <c r="BC7" s="300"/>
      <c r="BD7" s="264"/>
      <c r="BE7" s="264"/>
      <c r="BF7" s="299"/>
      <c r="BG7" s="530"/>
      <c r="BH7" s="300"/>
      <c r="BI7" s="264"/>
      <c r="BJ7" s="264"/>
      <c r="BK7" s="299"/>
      <c r="BL7" s="530"/>
      <c r="BM7" s="300"/>
      <c r="BN7" s="264"/>
      <c r="BO7" s="264"/>
      <c r="BP7" s="299"/>
      <c r="BQ7" s="530"/>
      <c r="BR7" s="19"/>
      <c r="BS7" s="19"/>
      <c r="BT7" s="19"/>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19"/>
      <c r="CU7" s="19"/>
    </row>
    <row r="8" spans="1:99" s="232" customFormat="1" ht="12.75" customHeight="1">
      <c r="A8" s="45"/>
      <c r="B8" s="45"/>
      <c r="C8" s="28" t="s">
        <v>1286</v>
      </c>
      <c r="D8" s="45"/>
      <c r="E8" s="335">
        <v>1514</v>
      </c>
      <c r="F8" s="336">
        <v>1204</v>
      </c>
      <c r="G8" s="336">
        <v>1327</v>
      </c>
      <c r="H8" s="586">
        <f>I8-SUM(E8:G8)</f>
        <v>1266</v>
      </c>
      <c r="I8" s="427">
        <v>5311</v>
      </c>
      <c r="J8" s="335">
        <v>1455</v>
      </c>
      <c r="K8" s="336">
        <v>1269</v>
      </c>
      <c r="L8" s="336">
        <v>1495</v>
      </c>
      <c r="M8" s="586">
        <f>N8-SUM(J8:L8)</f>
        <v>1300</v>
      </c>
      <c r="N8" s="427">
        <v>5519</v>
      </c>
      <c r="O8" s="335">
        <v>1153</v>
      </c>
      <c r="P8" s="336">
        <v>842</v>
      </c>
      <c r="Q8" s="336">
        <v>946</v>
      </c>
      <c r="R8" s="586">
        <f>S8-SUM(O8:Q8)</f>
        <v>779</v>
      </c>
      <c r="S8" s="427">
        <f>3715+5</f>
        <v>3720</v>
      </c>
      <c r="T8" s="335">
        <v>875</v>
      </c>
      <c r="U8" s="336">
        <v>715</v>
      </c>
      <c r="V8" s="336">
        <f>805+1</f>
        <v>806</v>
      </c>
      <c r="W8" s="586">
        <f>X8-SUM(T8:V8)</f>
        <v>790</v>
      </c>
      <c r="X8" s="427">
        <f>3183+3</f>
        <v>3186</v>
      </c>
      <c r="Y8" s="335">
        <v>895</v>
      </c>
      <c r="Z8" s="336">
        <v>672</v>
      </c>
      <c r="AA8" s="1435">
        <v>728</v>
      </c>
      <c r="AB8" s="1436">
        <f>AC8-SUM(Y8:AA8)</f>
        <v>805</v>
      </c>
      <c r="AC8" s="1437">
        <v>3100</v>
      </c>
      <c r="AD8" s="335">
        <v>993</v>
      </c>
      <c r="AE8" s="336">
        <v>656</v>
      </c>
      <c r="AF8" s="1435">
        <v>693</v>
      </c>
      <c r="AG8" s="1436">
        <f>AH8-SUM(AD8:AF8)</f>
        <v>752</v>
      </c>
      <c r="AH8" s="1437">
        <v>3094</v>
      </c>
      <c r="AI8" s="335">
        <v>985</v>
      </c>
      <c r="AJ8" s="336">
        <v>661</v>
      </c>
      <c r="AK8" s="1435">
        <v>740</v>
      </c>
      <c r="AL8" s="1436">
        <f>AM8-SUM(AI8:AK8)</f>
        <v>646</v>
      </c>
      <c r="AM8" s="1437">
        <v>3032</v>
      </c>
      <c r="AN8" s="335">
        <v>841</v>
      </c>
      <c r="AO8" s="336">
        <v>664</v>
      </c>
      <c r="AP8" s="1435">
        <v>788</v>
      </c>
      <c r="AQ8" s="1436">
        <f>AR8-SUM(AN8:AP8)</f>
        <v>701</v>
      </c>
      <c r="AR8" s="1437">
        <v>2994</v>
      </c>
      <c r="AS8" s="335">
        <v>796</v>
      </c>
      <c r="AT8" s="336">
        <v>630</v>
      </c>
      <c r="AU8" s="336">
        <v>715</v>
      </c>
      <c r="AV8" s="1436">
        <f>AW8-SUM(AS8:AU8)</f>
        <v>729</v>
      </c>
      <c r="AW8" s="1437">
        <v>2870</v>
      </c>
      <c r="AX8" s="290">
        <f>AX75+AX117</f>
        <v>805.32596508893266</v>
      </c>
      <c r="AY8" s="260">
        <f>AY75+AY117</f>
        <v>633.01561876158689</v>
      </c>
      <c r="AZ8" s="260">
        <f>AZ75+AZ117</f>
        <v>710.14936713947839</v>
      </c>
      <c r="BA8" s="291">
        <f>BA75+BA117</f>
        <v>729.1582076901808</v>
      </c>
      <c r="BB8" s="45">
        <f>SUM(AX8:BA8)</f>
        <v>2877.649158680179</v>
      </c>
      <c r="BC8" s="290">
        <f>BC75+BC117</f>
        <v>827.65620670184717</v>
      </c>
      <c r="BD8" s="260">
        <f>BD75+BD117</f>
        <v>653.62275691122807</v>
      </c>
      <c r="BE8" s="260">
        <f>BE75+BE117</f>
        <v>731.52784277289857</v>
      </c>
      <c r="BF8" s="291">
        <f>BF75+BF117</f>
        <v>750.7267717291079</v>
      </c>
      <c r="BG8" s="45">
        <f>SUM(BC8:BF8)</f>
        <v>2963.5335781150816</v>
      </c>
      <c r="BH8" s="290">
        <f>BH75+BH117</f>
        <v>851.67475073089099</v>
      </c>
      <c r="BI8" s="260">
        <f>BI75+BI117</f>
        <v>675.90096644236564</v>
      </c>
      <c r="BJ8" s="260">
        <f>BJ75+BJ117</f>
        <v>754.5851031626529</v>
      </c>
      <c r="BK8" s="291">
        <f>BK75+BK117</f>
        <v>773.97602140842446</v>
      </c>
      <c r="BL8" s="45">
        <f>SUM(BH8:BK8)</f>
        <v>3056.1368417443341</v>
      </c>
      <c r="BM8" s="290">
        <f>BM75+BM117</f>
        <v>868.4334802002254</v>
      </c>
      <c r="BN8" s="260">
        <f>BN75+BN117</f>
        <v>690.90195806881445</v>
      </c>
      <c r="BO8" s="260">
        <f>BO75+BO117</f>
        <v>770.37293615630472</v>
      </c>
      <c r="BP8" s="291">
        <f>BP75+BP117</f>
        <v>789.95776358453406</v>
      </c>
      <c r="BQ8" s="45">
        <f>SUM(BM8:BP8)</f>
        <v>3119.6661380098785</v>
      </c>
      <c r="BR8" s="45"/>
      <c r="BS8" s="45"/>
      <c r="BT8" s="45"/>
      <c r="BU8" s="45"/>
      <c r="BV8" s="45"/>
      <c r="BW8" s="45"/>
      <c r="BX8" s="45"/>
      <c r="BY8" s="45"/>
      <c r="BZ8" s="45"/>
      <c r="CA8" s="45"/>
      <c r="CB8" s="45"/>
      <c r="CC8" s="45"/>
      <c r="CD8" s="45"/>
      <c r="CE8" s="45"/>
      <c r="CF8" s="45"/>
      <c r="CG8" s="45"/>
      <c r="CH8" s="45"/>
      <c r="CI8" s="45"/>
      <c r="CJ8" s="45"/>
      <c r="CK8" s="45"/>
      <c r="CL8" s="45"/>
      <c r="CM8" s="45"/>
      <c r="CN8" s="45"/>
      <c r="CO8" s="45"/>
      <c r="CP8" s="45"/>
      <c r="CQ8" s="45"/>
      <c r="CR8" s="45"/>
      <c r="CS8" s="45"/>
      <c r="CT8" s="45"/>
      <c r="CU8" s="45"/>
    </row>
    <row r="9" spans="1:99" s="232" customFormat="1" ht="12.75" customHeight="1">
      <c r="A9" s="45"/>
      <c r="B9" s="45"/>
      <c r="C9" s="1" t="s">
        <v>1299</v>
      </c>
      <c r="D9" s="45"/>
      <c r="E9" s="335">
        <v>570</v>
      </c>
      <c r="F9" s="336">
        <v>547</v>
      </c>
      <c r="G9" s="336">
        <v>625</v>
      </c>
      <c r="H9" s="586">
        <f>I9-SUM(E9:G9)</f>
        <v>532</v>
      </c>
      <c r="I9" s="427">
        <v>2274</v>
      </c>
      <c r="J9" s="335">
        <v>524</v>
      </c>
      <c r="K9" s="336">
        <v>535</v>
      </c>
      <c r="L9" s="336">
        <v>650</v>
      </c>
      <c r="M9" s="586">
        <f>N9-SUM(J9:L9)</f>
        <v>652</v>
      </c>
      <c r="N9" s="427">
        <v>2361</v>
      </c>
      <c r="O9" s="335">
        <v>451</v>
      </c>
      <c r="P9" s="336">
        <v>368</v>
      </c>
      <c r="Q9" s="336">
        <v>445</v>
      </c>
      <c r="R9" s="586">
        <f>S9-SUM(O9:Q9)</f>
        <v>283</v>
      </c>
      <c r="S9" s="427">
        <f>1052+495</f>
        <v>1547</v>
      </c>
      <c r="T9" s="290">
        <f>411*(O9/(O9+O10))</f>
        <v>292.82938388625593</v>
      </c>
      <c r="U9" s="260">
        <f>296*(P9/(P9+P10))</f>
        <v>266.98039215686276</v>
      </c>
      <c r="V9" s="260">
        <f>326*(Q9/(Q9+Q10))</f>
        <v>312.65086206896552</v>
      </c>
      <c r="W9" s="586">
        <f>X9-SUM(T9:V9)</f>
        <v>268.70084257461099</v>
      </c>
      <c r="X9" s="427">
        <f>1375*(S9/(S9+S10))</f>
        <v>1141.1614806866953</v>
      </c>
      <c r="Y9" s="290">
        <f>406*(T9/(T9+T10))</f>
        <v>289.26698262243286</v>
      </c>
      <c r="Z9" s="260">
        <f>(161+97)*(U9/(U9+U10))</f>
        <v>232.70588235294119</v>
      </c>
      <c r="AA9" s="1441">
        <f>(207+82)*(V9/(V9+V10))</f>
        <v>277.16594827586209</v>
      </c>
      <c r="AB9" s="1436">
        <f>AC9-SUM(Y9:AA9)</f>
        <v>279.77749576163933</v>
      </c>
      <c r="AC9" s="1437">
        <f>(908+392)*(X9/(X9+X10))</f>
        <v>1078.9163090128754</v>
      </c>
      <c r="AD9" s="290">
        <f>(377+87)*(Y9/(Y9+Y10))</f>
        <v>330.5908372827804</v>
      </c>
      <c r="AE9" s="260">
        <f>(193+48)*(Z9/(Z9+Z10))</f>
        <v>217.37254901960785</v>
      </c>
      <c r="AF9" s="260">
        <f>(228+27)*(AA9/(AA9+AA10))</f>
        <v>244.55818965517244</v>
      </c>
      <c r="AG9" s="1436">
        <f>AH9-SUM(AD9:AF9)</f>
        <v>254.0272437849286</v>
      </c>
      <c r="AH9" s="1437">
        <f>(1067+194)*(AC9/(AC9+AC10))</f>
        <v>1046.5488197424893</v>
      </c>
      <c r="AI9" s="290">
        <f>(376+62)*(AD9/(AD9+AD10))</f>
        <v>312.06635071090045</v>
      </c>
      <c r="AJ9" s="260">
        <f>(189+48)*(AE9/(AE9+AE10))</f>
        <v>213.76470588235296</v>
      </c>
      <c r="AK9" s="260">
        <f>(217+61)*(AF9/(AF9+AF10))</f>
        <v>266.61637931034483</v>
      </c>
      <c r="AL9" s="1436">
        <f>AM9-SUM(AI9:AK9)</f>
        <v>195.17595465434158</v>
      </c>
      <c r="AM9" s="1437">
        <f>(735+235+220)*(AH9/(AH9+AH10))</f>
        <v>987.62339055793984</v>
      </c>
      <c r="AN9" s="335">
        <f>166+78</f>
        <v>244</v>
      </c>
      <c r="AO9" s="260">
        <f>(130+23+64)*(AJ9/(AJ9+AJ10))</f>
        <v>195.72549019607843</v>
      </c>
      <c r="AP9" s="260">
        <f>(171+10+91)*(AK9/(AK9+AK10))</f>
        <v>260.86206896551727</v>
      </c>
      <c r="AQ9" s="1436">
        <f>AR9-SUM(AN9:AP9)</f>
        <v>168.35503740492788</v>
      </c>
      <c r="AR9" s="1437">
        <f>(598+162+287)*(AM9/(AM9+AM10))</f>
        <v>868.94259656652355</v>
      </c>
      <c r="AS9" s="290">
        <f>(156+86+45)*(AN9/(AN9+AN10))</f>
        <v>218.15576323987537</v>
      </c>
      <c r="AT9" s="260">
        <f>(136+27+34)*(AO9/(AO9+AO10))</f>
        <v>177.68627450980392</v>
      </c>
      <c r="AU9" s="260">
        <f>(190+14+31)*(AP9/(AP9+AP10))</f>
        <v>225.37715517241384</v>
      </c>
      <c r="AV9" s="1436">
        <f>AW9-SUM(AS9:AU9)</f>
        <v>182.98842510365785</v>
      </c>
      <c r="AW9" s="1437">
        <f>(648+186+135)*(AR9/(AR9+AR10))</f>
        <v>804.207618025751</v>
      </c>
      <c r="AX9" s="290">
        <f>AX93</f>
        <v>223.53163266492984</v>
      </c>
      <c r="AY9" s="260">
        <f>AY93</f>
        <v>180.64996423093146</v>
      </c>
      <c r="AZ9" s="260">
        <f>AZ93</f>
        <v>225.89119388227991</v>
      </c>
      <c r="BA9" s="291">
        <f>BA93</f>
        <v>184.82349106576129</v>
      </c>
      <c r="BB9" s="45">
        <f>SUM(AX9:BA9)</f>
        <v>814.89628184390244</v>
      </c>
      <c r="BC9" s="290">
        <f>BC93</f>
        <v>225.76694899157911</v>
      </c>
      <c r="BD9" s="260">
        <f>BD93</f>
        <v>182.45646387324078</v>
      </c>
      <c r="BE9" s="260">
        <f>BE93</f>
        <v>228.1501058211027</v>
      </c>
      <c r="BF9" s="291">
        <f>BF93</f>
        <v>186.67172597641891</v>
      </c>
      <c r="BG9" s="45">
        <f>SUM(BC9:BF9)</f>
        <v>823.04524466234147</v>
      </c>
      <c r="BH9" s="290">
        <f>BH93</f>
        <v>228.02461848149491</v>
      </c>
      <c r="BI9" s="260">
        <f>BI93</f>
        <v>184.28102851197318</v>
      </c>
      <c r="BJ9" s="260">
        <f>BJ93</f>
        <v>230.43160687931376</v>
      </c>
      <c r="BK9" s="291">
        <f>BK93</f>
        <v>188.53844323618313</v>
      </c>
      <c r="BL9" s="45">
        <f>SUM(BH9:BK9)</f>
        <v>831.27569710896501</v>
      </c>
      <c r="BM9" s="290">
        <f>BM93</f>
        <v>230.30486466630987</v>
      </c>
      <c r="BN9" s="260">
        <f>BN93</f>
        <v>186.1238387970929</v>
      </c>
      <c r="BO9" s="260">
        <f>BO93</f>
        <v>232.73592294810689</v>
      </c>
      <c r="BP9" s="291">
        <f>BP93</f>
        <v>190.42382766854496</v>
      </c>
      <c r="BQ9" s="45">
        <f>SUM(BM9:BP9)</f>
        <v>839.58845408005459</v>
      </c>
      <c r="BR9" s="45"/>
      <c r="BS9" s="45"/>
      <c r="BT9" s="45"/>
      <c r="BU9" s="45"/>
      <c r="BV9" s="45"/>
      <c r="BW9" s="45"/>
      <c r="BX9" s="45"/>
      <c r="BY9" s="45"/>
      <c r="BZ9" s="45"/>
      <c r="CA9" s="45"/>
      <c r="CB9" s="45"/>
      <c r="CC9" s="45"/>
      <c r="CD9" s="45"/>
      <c r="CE9" s="45"/>
      <c r="CF9" s="45"/>
      <c r="CG9" s="45"/>
      <c r="CH9" s="45"/>
      <c r="CI9" s="45"/>
      <c r="CJ9" s="45"/>
      <c r="CK9" s="45"/>
      <c r="CL9" s="45"/>
      <c r="CM9" s="45"/>
      <c r="CN9" s="45"/>
      <c r="CO9" s="45"/>
      <c r="CP9" s="45"/>
      <c r="CQ9" s="45"/>
      <c r="CR9" s="45"/>
      <c r="CS9" s="45"/>
      <c r="CT9" s="45"/>
      <c r="CU9" s="45"/>
    </row>
    <row r="10" spans="1:99" s="232" customFormat="1" ht="12.75" customHeight="1">
      <c r="A10" s="45"/>
      <c r="B10" s="45"/>
      <c r="C10" s="1" t="s">
        <v>709</v>
      </c>
      <c r="D10" s="45"/>
      <c r="E10" s="335">
        <v>266</v>
      </c>
      <c r="F10" s="336">
        <v>55</v>
      </c>
      <c r="G10" s="336">
        <v>26</v>
      </c>
      <c r="H10" s="586">
        <f>I10-SUM(E10:G10)</f>
        <v>125</v>
      </c>
      <c r="I10" s="427">
        <v>472</v>
      </c>
      <c r="J10" s="335">
        <v>211</v>
      </c>
      <c r="K10" s="336">
        <v>44</v>
      </c>
      <c r="L10" s="336">
        <v>23</v>
      </c>
      <c r="M10" s="586">
        <f>N10-SUM(J10:L10)</f>
        <v>123</v>
      </c>
      <c r="N10" s="427">
        <v>401</v>
      </c>
      <c r="O10" s="335">
        <v>182</v>
      </c>
      <c r="P10" s="336">
        <v>40</v>
      </c>
      <c r="Q10" s="336">
        <v>19</v>
      </c>
      <c r="R10" s="586">
        <f>S10-SUM(O10:Q10)</f>
        <v>76</v>
      </c>
      <c r="S10" s="427">
        <v>317</v>
      </c>
      <c r="T10" s="290">
        <f>411*(O10/(O9+O10))</f>
        <v>118.17061611374407</v>
      </c>
      <c r="U10" s="260">
        <f>296*(P10/(P9+P10))</f>
        <v>29.019607843137255</v>
      </c>
      <c r="V10" s="260">
        <f>326*(Q10/(Q9+Q10))</f>
        <v>13.349137931034482</v>
      </c>
      <c r="W10" s="586">
        <f>X10-SUM(T10:V10)</f>
        <v>73.299157425388898</v>
      </c>
      <c r="X10" s="427">
        <f>1375*(S10/(S9+S10))</f>
        <v>233.83851931330472</v>
      </c>
      <c r="Y10" s="290">
        <f>406*(T10/(T9+T10))</f>
        <v>116.73301737756714</v>
      </c>
      <c r="Z10" s="260">
        <f>(161+97)*(U10/(U9+U10))</f>
        <v>25.294117647058822</v>
      </c>
      <c r="AA10" s="1441">
        <f>(207+82)*(V10/(V9+V10))</f>
        <v>11.834051724137931</v>
      </c>
      <c r="AB10" s="1436">
        <f>AC10-SUM(Y10:AA10)</f>
        <v>67.222504238360585</v>
      </c>
      <c r="AC10" s="1437">
        <f>(908+392)*(X10/(X9+X10))</f>
        <v>221.08369098712447</v>
      </c>
      <c r="AD10" s="290">
        <f>(377+87)*(Y10/(Y9+Y10))</f>
        <v>133.40916271721957</v>
      </c>
      <c r="AE10" s="260">
        <f>(193+48)*(Z10/(Z9+Z10))</f>
        <v>23.627450980392158</v>
      </c>
      <c r="AF10" s="260">
        <f>(228+27)*(AA10/(AA9+AA10))</f>
        <v>10.441810344827585</v>
      </c>
      <c r="AG10" s="1436">
        <f>AH10-SUM(AD10:AF10)</f>
        <v>46.972756215071399</v>
      </c>
      <c r="AH10" s="1437">
        <f>(1067+194)*(AC10/(AC9+AC10))</f>
        <v>214.45118025751071</v>
      </c>
      <c r="AI10" s="290">
        <f>(376+62)*(AD10/(AD9+AD10))</f>
        <v>125.93364928909952</v>
      </c>
      <c r="AJ10" s="260">
        <f>(189+48)*(AE10/(AE9+AE10))</f>
        <v>23.235294117647058</v>
      </c>
      <c r="AK10" s="260">
        <f>(217+61)*(AF10/(AF9+AF10))</f>
        <v>11.383620689655171</v>
      </c>
      <c r="AL10" s="1436">
        <f>AM10-SUM(AI10:AK10)</f>
        <v>41.824045345658334</v>
      </c>
      <c r="AM10" s="1437">
        <f>(735+235+220)*(AH10/(AH9+AH10))</f>
        <v>202.37660944206007</v>
      </c>
      <c r="AN10" s="335">
        <v>77</v>
      </c>
      <c r="AO10" s="260">
        <f>(130+23+64)*(AJ10/(AJ9+AJ10))</f>
        <v>21.274509803921568</v>
      </c>
      <c r="AP10" s="260">
        <f>(171+10+91)*(AK10/(AK9+AK10))</f>
        <v>11.137931034482756</v>
      </c>
      <c r="AQ10" s="1436">
        <f>AR10-SUM(AN10:AP10)</f>
        <v>68.644962595072059</v>
      </c>
      <c r="AR10" s="1437">
        <f>(598+162+287)*(AM10/(AM9+AM10))</f>
        <v>178.0574034334764</v>
      </c>
      <c r="AS10" s="290">
        <f>(156+86+45)*(AN10/(AN9+AN10))</f>
        <v>68.844236760124616</v>
      </c>
      <c r="AT10" s="260">
        <f>(136+27+34)*(AO10/(AO9+AO10))</f>
        <v>19.313725490196077</v>
      </c>
      <c r="AU10" s="260">
        <f>(190+14+31)*(AP10/(AP9+AP10))</f>
        <v>9.6228448275862046</v>
      </c>
      <c r="AV10" s="1436">
        <f>AW10-SUM(AS10:AU10)</f>
        <v>67.011574896342012</v>
      </c>
      <c r="AW10" s="1437">
        <f>(648+186+135)*(AR10/(AR9+AR10))</f>
        <v>164.79238197424891</v>
      </c>
      <c r="AX10" s="290">
        <f>AX133</f>
        <v>69.36056853582555</v>
      </c>
      <c r="AY10" s="260">
        <f>AY133</f>
        <v>19.458578431372548</v>
      </c>
      <c r="AZ10" s="260">
        <f>AZ133</f>
        <v>9.6950161637931007</v>
      </c>
      <c r="BA10" s="291">
        <f>BA133</f>
        <v>67.514161708064577</v>
      </c>
      <c r="BB10" s="45">
        <f>SUM(AX10:BA10)</f>
        <v>166.02832483905576</v>
      </c>
      <c r="BC10" s="290">
        <f>BC133</f>
        <v>70.0541742211838</v>
      </c>
      <c r="BD10" s="260">
        <f>BD133</f>
        <v>19.653164215686278</v>
      </c>
      <c r="BE10" s="260">
        <f>BE133</f>
        <v>9.7919663254310301</v>
      </c>
      <c r="BF10" s="291">
        <f>BF133</f>
        <v>68.189303325145232</v>
      </c>
      <c r="BG10" s="45">
        <f>SUM(BC10:BF10)</f>
        <v>167.68860808744634</v>
      </c>
      <c r="BH10" s="290">
        <f>BH133</f>
        <v>70.754715963395626</v>
      </c>
      <c r="BI10" s="260">
        <f>BI133</f>
        <v>19.849695857843138</v>
      </c>
      <c r="BJ10" s="260">
        <f>BJ133</f>
        <v>9.8898859886853412</v>
      </c>
      <c r="BK10" s="291">
        <f>BK133</f>
        <v>68.871196358396688</v>
      </c>
      <c r="BL10" s="45">
        <f>SUM(BH10:BK10)</f>
        <v>169.36549416832077</v>
      </c>
      <c r="BM10" s="290">
        <f>BM133</f>
        <v>71.462263123029601</v>
      </c>
      <c r="BN10" s="260">
        <f>BN133</f>
        <v>20.048192816421572</v>
      </c>
      <c r="BO10" s="260">
        <f>BO133</f>
        <v>9.9887848485721946</v>
      </c>
      <c r="BP10" s="291">
        <f>BP133</f>
        <v>69.559908321980643</v>
      </c>
      <c r="BQ10" s="45">
        <f>SUM(BM10:BP10)</f>
        <v>171.059149110004</v>
      </c>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row>
    <row r="11" spans="1:99" ht="12.75" customHeight="1">
      <c r="A11" s="228"/>
      <c r="B11" s="228"/>
      <c r="C11" s="32" t="s">
        <v>63</v>
      </c>
      <c r="D11" s="228"/>
      <c r="E11" s="292">
        <f t="shared" ref="E11:AE11" si="0">E8-E9-E10</f>
        <v>678</v>
      </c>
      <c r="F11" s="261">
        <f t="shared" si="0"/>
        <v>602</v>
      </c>
      <c r="G11" s="261">
        <f t="shared" si="0"/>
        <v>676</v>
      </c>
      <c r="H11" s="293">
        <f t="shared" si="0"/>
        <v>609</v>
      </c>
      <c r="I11" s="228">
        <f t="shared" si="0"/>
        <v>2565</v>
      </c>
      <c r="J11" s="292">
        <f t="shared" si="0"/>
        <v>720</v>
      </c>
      <c r="K11" s="261">
        <f t="shared" si="0"/>
        <v>690</v>
      </c>
      <c r="L11" s="261">
        <f t="shared" si="0"/>
        <v>822</v>
      </c>
      <c r="M11" s="293">
        <f t="shared" si="0"/>
        <v>525</v>
      </c>
      <c r="N11" s="228">
        <f t="shared" si="0"/>
        <v>2757</v>
      </c>
      <c r="O11" s="292">
        <f t="shared" si="0"/>
        <v>520</v>
      </c>
      <c r="P11" s="261">
        <f t="shared" si="0"/>
        <v>434</v>
      </c>
      <c r="Q11" s="261">
        <f t="shared" si="0"/>
        <v>482</v>
      </c>
      <c r="R11" s="293">
        <f t="shared" si="0"/>
        <v>420</v>
      </c>
      <c r="S11" s="228">
        <f t="shared" ref="S11:Y11" si="1">S8-S9-S10</f>
        <v>1856</v>
      </c>
      <c r="T11" s="292">
        <f t="shared" si="1"/>
        <v>463.99999999999994</v>
      </c>
      <c r="U11" s="261">
        <f t="shared" si="1"/>
        <v>419</v>
      </c>
      <c r="V11" s="261">
        <f t="shared" si="1"/>
        <v>480</v>
      </c>
      <c r="W11" s="293">
        <f t="shared" si="1"/>
        <v>448.00000000000011</v>
      </c>
      <c r="X11" s="228">
        <f t="shared" si="1"/>
        <v>1811</v>
      </c>
      <c r="Y11" s="292">
        <f t="shared" si="1"/>
        <v>489.00000000000006</v>
      </c>
      <c r="Z11" s="261">
        <f t="shared" si="0"/>
        <v>413.99999999999994</v>
      </c>
      <c r="AA11" s="1438">
        <f t="shared" si="0"/>
        <v>439</v>
      </c>
      <c r="AB11" s="1439">
        <f>AB8-AB9-AB10</f>
        <v>458.00000000000011</v>
      </c>
      <c r="AC11" s="1440">
        <f>AC8-AC9-AC10</f>
        <v>1800</v>
      </c>
      <c r="AD11" s="292">
        <f>AD8-AD9-AD10</f>
        <v>529</v>
      </c>
      <c r="AE11" s="261">
        <f t="shared" si="0"/>
        <v>415</v>
      </c>
      <c r="AF11" s="1438">
        <f t="shared" ref="AF11" si="2">AF8-AF9-AF10</f>
        <v>438</v>
      </c>
      <c r="AG11" s="1439">
        <f>AG8-AG9-AG10</f>
        <v>451</v>
      </c>
      <c r="AH11" s="1440">
        <f>AH8-AH9-AH10</f>
        <v>1833</v>
      </c>
      <c r="AI11" s="292">
        <f>AI8-AI9-AI10</f>
        <v>547</v>
      </c>
      <c r="AJ11" s="261">
        <f t="shared" ref="AJ11:AK11" si="3">AJ8-AJ9-AJ10</f>
        <v>424</v>
      </c>
      <c r="AK11" s="1438">
        <f t="shared" si="3"/>
        <v>462</v>
      </c>
      <c r="AL11" s="1439">
        <f>AL8-AL9-AL10</f>
        <v>409.00000000000011</v>
      </c>
      <c r="AM11" s="1440">
        <f>AM8-AM9-AM10</f>
        <v>1842.0000000000002</v>
      </c>
      <c r="AN11" s="292">
        <f>AN8-AN9-AN10</f>
        <v>520</v>
      </c>
      <c r="AO11" s="261">
        <f t="shared" ref="AO11:AP11" si="4">AO8-AO9-AO10</f>
        <v>447</v>
      </c>
      <c r="AP11" s="1438">
        <f t="shared" si="4"/>
        <v>516</v>
      </c>
      <c r="AQ11" s="1439">
        <f>AQ8-AQ9-AQ10</f>
        <v>464.00000000000006</v>
      </c>
      <c r="AR11" s="1440">
        <f>AR8-AR9-AR10</f>
        <v>1947</v>
      </c>
      <c r="AS11" s="292">
        <f t="shared" ref="AS11:BB11" si="5">AS8-AS9-AS10</f>
        <v>509.00000000000006</v>
      </c>
      <c r="AT11" s="261">
        <f t="shared" si="5"/>
        <v>433</v>
      </c>
      <c r="AU11" s="261">
        <f t="shared" ref="AU11" si="6">AU8-AU9-AU10</f>
        <v>479.99999999999994</v>
      </c>
      <c r="AV11" s="1439">
        <f>AV8-AV9-AV10</f>
        <v>479.00000000000011</v>
      </c>
      <c r="AW11" s="1440">
        <f>AW8-AW9-AW10</f>
        <v>1901.0000000000002</v>
      </c>
      <c r="AX11" s="292">
        <f t="shared" si="5"/>
        <v>512.43376388817728</v>
      </c>
      <c r="AY11" s="261">
        <f t="shared" si="5"/>
        <v>432.9070760992829</v>
      </c>
      <c r="AZ11" s="261">
        <f t="shared" si="5"/>
        <v>474.56315709340532</v>
      </c>
      <c r="BA11" s="293">
        <f t="shared" si="5"/>
        <v>476.82055491635498</v>
      </c>
      <c r="BB11" s="228">
        <f t="shared" si="5"/>
        <v>1896.7245519972205</v>
      </c>
      <c r="BC11" s="292">
        <f t="shared" ref="BC11:BL11" si="7">BC8-BC9-BC10</f>
        <v>531.83508348908435</v>
      </c>
      <c r="BD11" s="261">
        <f t="shared" si="7"/>
        <v>451.51312882230104</v>
      </c>
      <c r="BE11" s="261">
        <f t="shared" si="7"/>
        <v>493.58577062636488</v>
      </c>
      <c r="BF11" s="293">
        <f t="shared" si="7"/>
        <v>495.86574242754375</v>
      </c>
      <c r="BG11" s="228">
        <f t="shared" si="7"/>
        <v>1972.7997253652941</v>
      </c>
      <c r="BH11" s="292">
        <f t="shared" si="7"/>
        <v>552.89541628600045</v>
      </c>
      <c r="BI11" s="261">
        <f t="shared" si="7"/>
        <v>471.77024207254931</v>
      </c>
      <c r="BJ11" s="261">
        <f t="shared" si="7"/>
        <v>514.26361029465374</v>
      </c>
      <c r="BK11" s="293">
        <f t="shared" si="7"/>
        <v>516.5663818138446</v>
      </c>
      <c r="BL11" s="228">
        <f t="shared" si="7"/>
        <v>2055.4956504670481</v>
      </c>
      <c r="BM11" s="292">
        <f t="shared" ref="BM11:BQ11" si="8">BM8-BM9-BM10</f>
        <v>566.66635241088591</v>
      </c>
      <c r="BN11" s="261">
        <f t="shared" si="8"/>
        <v>484.72992645529996</v>
      </c>
      <c r="BO11" s="261">
        <f t="shared" si="8"/>
        <v>527.64822835962559</v>
      </c>
      <c r="BP11" s="293">
        <f t="shared" si="8"/>
        <v>529.97402759400848</v>
      </c>
      <c r="BQ11" s="228">
        <f t="shared" si="8"/>
        <v>2109.0185348198202</v>
      </c>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row>
    <row r="12" spans="1:99" ht="12.75" customHeight="1">
      <c r="A12" s="330"/>
      <c r="B12" s="330"/>
      <c r="C12" s="28"/>
      <c r="D12" s="330"/>
      <c r="E12" s="292"/>
      <c r="F12" s="261"/>
      <c r="G12" s="261"/>
      <c r="H12" s="293"/>
      <c r="I12" s="228"/>
      <c r="J12" s="292"/>
      <c r="K12" s="261"/>
      <c r="L12" s="261"/>
      <c r="M12" s="293"/>
      <c r="N12" s="228"/>
      <c r="O12" s="292"/>
      <c r="P12" s="261"/>
      <c r="Q12" s="261"/>
      <c r="R12" s="293"/>
      <c r="S12" s="228"/>
      <c r="T12" s="292"/>
      <c r="U12" s="261"/>
      <c r="V12" s="261"/>
      <c r="W12" s="293"/>
      <c r="X12" s="228"/>
      <c r="Y12" s="300"/>
      <c r="Z12" s="261"/>
      <c r="AA12" s="1438"/>
      <c r="AB12" s="1439"/>
      <c r="AC12" s="1440"/>
      <c r="AD12" s="300"/>
      <c r="AE12" s="261"/>
      <c r="AF12" s="1438"/>
      <c r="AG12" s="1439"/>
      <c r="AH12" s="1440"/>
      <c r="AI12" s="300"/>
      <c r="AJ12" s="261">
        <f>161+28+48</f>
        <v>237</v>
      </c>
      <c r="AK12" s="1438"/>
      <c r="AL12" s="1439"/>
      <c r="AM12" s="1440"/>
      <c r="AN12" s="300"/>
      <c r="AO12" s="261"/>
      <c r="AP12" s="1438"/>
      <c r="AQ12" s="1439"/>
      <c r="AR12" s="1440"/>
      <c r="AS12" s="300"/>
      <c r="AT12" s="261"/>
      <c r="AU12" s="261"/>
      <c r="AV12" s="1439"/>
      <c r="AW12" s="1440"/>
      <c r="AX12" s="300"/>
      <c r="AY12" s="264"/>
      <c r="AZ12" s="264"/>
      <c r="BA12" s="299"/>
      <c r="BB12" s="330"/>
      <c r="BC12" s="300"/>
      <c r="BD12" s="264"/>
      <c r="BE12" s="264"/>
      <c r="BF12" s="299"/>
      <c r="BG12" s="330"/>
      <c r="BH12" s="300"/>
      <c r="BI12" s="264"/>
      <c r="BJ12" s="264"/>
      <c r="BK12" s="299"/>
      <c r="BL12" s="330"/>
      <c r="BM12" s="300"/>
      <c r="BN12" s="264"/>
      <c r="BO12" s="264"/>
      <c r="BP12" s="299"/>
      <c r="BQ12" s="330"/>
      <c r="BR12" s="330"/>
      <c r="BS12" s="330"/>
      <c r="BT12" s="330"/>
      <c r="BU12" s="330"/>
      <c r="BV12" s="330"/>
      <c r="BW12" s="330"/>
      <c r="BX12" s="330"/>
      <c r="BY12" s="330"/>
      <c r="BZ12" s="330"/>
      <c r="CA12" s="330"/>
      <c r="CB12" s="330"/>
      <c r="CC12" s="330"/>
      <c r="CD12" s="330"/>
      <c r="CE12" s="330"/>
      <c r="CF12" s="330"/>
      <c r="CG12" s="330"/>
      <c r="CH12" s="330"/>
      <c r="CI12" s="330"/>
      <c r="CJ12" s="330"/>
      <c r="CK12" s="330"/>
      <c r="CL12" s="330"/>
      <c r="CM12" s="330"/>
      <c r="CN12" s="330"/>
      <c r="CO12" s="330"/>
      <c r="CP12" s="330"/>
      <c r="CQ12" s="330"/>
      <c r="CR12" s="330"/>
      <c r="CS12" s="330"/>
      <c r="CT12" s="330"/>
      <c r="CU12" s="330"/>
    </row>
    <row r="13" spans="1:99" ht="12.75" customHeight="1">
      <c r="A13" s="330"/>
      <c r="B13" s="330"/>
      <c r="C13" s="28" t="s">
        <v>64</v>
      </c>
      <c r="D13" s="330"/>
      <c r="E13" s="335">
        <v>177</v>
      </c>
      <c r="F13" s="336">
        <v>149</v>
      </c>
      <c r="G13" s="336">
        <v>154</v>
      </c>
      <c r="H13" s="586">
        <f>I13-SUM(E13:G13)</f>
        <v>160</v>
      </c>
      <c r="I13" s="427">
        <v>640</v>
      </c>
      <c r="J13" s="335">
        <f>181+8</f>
        <v>189</v>
      </c>
      <c r="K13" s="336">
        <f>150+13</f>
        <v>163</v>
      </c>
      <c r="L13" s="336">
        <f>176+15</f>
        <v>191</v>
      </c>
      <c r="M13" s="586">
        <f>N13-SUM(J13:L13)</f>
        <v>190</v>
      </c>
      <c r="N13" s="427">
        <f>680+53</f>
        <v>733</v>
      </c>
      <c r="O13" s="335">
        <v>206</v>
      </c>
      <c r="P13" s="336">
        <f>154+18</f>
        <v>172</v>
      </c>
      <c r="Q13" s="336">
        <f>203+16</f>
        <v>219</v>
      </c>
      <c r="R13" s="586">
        <f>S13-SUM(O13:Q13)</f>
        <v>197</v>
      </c>
      <c r="S13" s="427">
        <f>629+96+69</f>
        <v>794</v>
      </c>
      <c r="T13" s="335">
        <v>203</v>
      </c>
      <c r="U13" s="336">
        <f>146+26</f>
        <v>172</v>
      </c>
      <c r="V13" s="336">
        <f>172+27</f>
        <v>199</v>
      </c>
      <c r="W13" s="586">
        <f>X13-SUM(T13:V13)</f>
        <v>235</v>
      </c>
      <c r="X13" s="427">
        <f>698+111</f>
        <v>809</v>
      </c>
      <c r="Y13" s="335">
        <f>164+24</f>
        <v>188</v>
      </c>
      <c r="Z13" s="336">
        <f>155+26</f>
        <v>181</v>
      </c>
      <c r="AA13" s="1435">
        <f>162+24</f>
        <v>186</v>
      </c>
      <c r="AB13" s="1436">
        <f>AC13-SUM(Y13:AA13)</f>
        <v>193</v>
      </c>
      <c r="AC13" s="1437">
        <f>647+101</f>
        <v>748</v>
      </c>
      <c r="AD13" s="335">
        <f>256+24</f>
        <v>280</v>
      </c>
      <c r="AE13" s="336">
        <f>160+24</f>
        <v>184</v>
      </c>
      <c r="AF13" s="1435">
        <f>181+23</f>
        <v>204</v>
      </c>
      <c r="AG13" s="1436">
        <f>AH13-SUM(AD13:AF13)</f>
        <v>198</v>
      </c>
      <c r="AH13" s="1437">
        <f>767+99</f>
        <v>866</v>
      </c>
      <c r="AI13" s="335">
        <f>197+25</f>
        <v>222</v>
      </c>
      <c r="AJ13" s="336">
        <f>166+26</f>
        <v>192</v>
      </c>
      <c r="AK13" s="1435">
        <f>166+30</f>
        <v>196</v>
      </c>
      <c r="AL13" s="1436">
        <f>AM13-SUM(AI13:AK13)</f>
        <v>184</v>
      </c>
      <c r="AM13" s="1437">
        <f>684+110</f>
        <v>794</v>
      </c>
      <c r="AN13" s="335">
        <f>177+38</f>
        <v>215</v>
      </c>
      <c r="AO13" s="336">
        <f>157+33</f>
        <v>190</v>
      </c>
      <c r="AP13" s="1435">
        <f>168+31</f>
        <v>199</v>
      </c>
      <c r="AQ13" s="1436">
        <f>AR13-SUM(AN13:AP13)</f>
        <v>207</v>
      </c>
      <c r="AR13" s="1437">
        <v>811</v>
      </c>
      <c r="AS13" s="335">
        <f>174+34</f>
        <v>208</v>
      </c>
      <c r="AT13" s="336">
        <f>153+37</f>
        <v>190</v>
      </c>
      <c r="AU13" s="336">
        <f>161+36</f>
        <v>197</v>
      </c>
      <c r="AV13" s="1436">
        <f>AW13-SUM(AS13:AU13)</f>
        <v>211</v>
      </c>
      <c r="AW13" s="1437">
        <f>657+149</f>
        <v>806</v>
      </c>
      <c r="AX13" s="300">
        <f>+AX141</f>
        <v>208</v>
      </c>
      <c r="AY13" s="264">
        <f>+AY141</f>
        <v>190</v>
      </c>
      <c r="AZ13" s="264">
        <f>+AZ141</f>
        <v>197</v>
      </c>
      <c r="BA13" s="299">
        <f>+BA141</f>
        <v>211</v>
      </c>
      <c r="BB13" s="330">
        <f>SUM(AX13:BA13)</f>
        <v>806</v>
      </c>
      <c r="BC13" s="300">
        <f>+BC141</f>
        <v>208</v>
      </c>
      <c r="BD13" s="264">
        <f>+BD141</f>
        <v>190</v>
      </c>
      <c r="BE13" s="264">
        <f>+BE141</f>
        <v>197</v>
      </c>
      <c r="BF13" s="299">
        <f>+BF141</f>
        <v>211</v>
      </c>
      <c r="BG13" s="330">
        <f>SUM(BC13:BF13)</f>
        <v>806</v>
      </c>
      <c r="BH13" s="300">
        <f>+BH141</f>
        <v>208</v>
      </c>
      <c r="BI13" s="264">
        <f>+BI141</f>
        <v>190</v>
      </c>
      <c r="BJ13" s="264">
        <f>+BJ141</f>
        <v>197</v>
      </c>
      <c r="BK13" s="299">
        <f>+BK141</f>
        <v>211</v>
      </c>
      <c r="BL13" s="330">
        <f>SUM(BH13:BK13)</f>
        <v>806</v>
      </c>
      <c r="BM13" s="300">
        <f>+BM141</f>
        <v>208</v>
      </c>
      <c r="BN13" s="264">
        <f>+BN141</f>
        <v>190</v>
      </c>
      <c r="BO13" s="264">
        <f>+BO141</f>
        <v>197</v>
      </c>
      <c r="BP13" s="299">
        <f>+BP141</f>
        <v>211</v>
      </c>
      <c r="BQ13" s="330">
        <f>SUM(BM13:BP13)</f>
        <v>806</v>
      </c>
      <c r="BR13" s="330"/>
      <c r="BS13" s="330"/>
      <c r="BT13" s="330"/>
      <c r="BU13" s="330"/>
      <c r="BV13" s="330"/>
      <c r="BW13" s="330"/>
      <c r="BX13" s="330"/>
      <c r="BY13" s="330"/>
      <c r="BZ13" s="330"/>
      <c r="CA13" s="45"/>
      <c r="CB13" s="330"/>
      <c r="CC13" s="330"/>
      <c r="CD13" s="330"/>
      <c r="CE13" s="330"/>
      <c r="CF13" s="330"/>
      <c r="CG13" s="330"/>
      <c r="CH13" s="330"/>
      <c r="CI13" s="330"/>
      <c r="CJ13" s="330"/>
      <c r="CK13" s="330"/>
      <c r="CL13" s="330"/>
      <c r="CM13" s="330"/>
      <c r="CN13" s="330"/>
      <c r="CO13" s="330"/>
      <c r="CP13" s="330"/>
      <c r="CQ13" s="330"/>
      <c r="CR13" s="330"/>
      <c r="CS13" s="330"/>
      <c r="CT13" s="330"/>
      <c r="CU13" s="330"/>
    </row>
    <row r="14" spans="1:99" ht="12.75" customHeight="1">
      <c r="A14" s="330"/>
      <c r="B14" s="330"/>
      <c r="C14" s="28" t="s">
        <v>67</v>
      </c>
      <c r="D14" s="330"/>
      <c r="E14" s="335">
        <v>225</v>
      </c>
      <c r="F14" s="336">
        <v>230</v>
      </c>
      <c r="G14" s="336">
        <v>272</v>
      </c>
      <c r="H14" s="586">
        <f>I14-SUM(E14:G14)</f>
        <v>225</v>
      </c>
      <c r="I14" s="427">
        <v>952</v>
      </c>
      <c r="J14" s="335">
        <v>265</v>
      </c>
      <c r="K14" s="336">
        <v>268</v>
      </c>
      <c r="L14" s="336">
        <v>326</v>
      </c>
      <c r="M14" s="586">
        <f>N14-SUM(J14:L14)</f>
        <v>201</v>
      </c>
      <c r="N14" s="427">
        <v>1060</v>
      </c>
      <c r="O14" s="335">
        <v>48</v>
      </c>
      <c r="P14" s="336">
        <v>50</v>
      </c>
      <c r="Q14" s="336">
        <v>51</v>
      </c>
      <c r="R14" s="586">
        <f>S14-SUM(O14:Q14)</f>
        <v>53</v>
      </c>
      <c r="S14" s="427">
        <v>202</v>
      </c>
      <c r="T14" s="335">
        <v>53</v>
      </c>
      <c r="U14" s="336">
        <v>54</v>
      </c>
      <c r="V14" s="336">
        <v>55</v>
      </c>
      <c r="W14" s="586">
        <f>X14-SUM(T14:V14)</f>
        <v>55</v>
      </c>
      <c r="X14" s="427">
        <v>217</v>
      </c>
      <c r="Y14" s="335">
        <v>57</v>
      </c>
      <c r="Z14" s="336">
        <v>56</v>
      </c>
      <c r="AA14" s="1435">
        <v>57</v>
      </c>
      <c r="AB14" s="1436">
        <f>AC14-SUM(Y14:AA14)</f>
        <v>58</v>
      </c>
      <c r="AC14" s="1437">
        <v>228</v>
      </c>
      <c r="AD14" s="335">
        <v>58</v>
      </c>
      <c r="AE14" s="336">
        <v>59</v>
      </c>
      <c r="AF14" s="1435">
        <v>59</v>
      </c>
      <c r="AG14" s="1436">
        <f>AH14-SUM(AD14:AF14)</f>
        <v>60</v>
      </c>
      <c r="AH14" s="1437">
        <v>236</v>
      </c>
      <c r="AI14" s="335">
        <v>62</v>
      </c>
      <c r="AJ14" s="336">
        <v>69</v>
      </c>
      <c r="AK14" s="1435">
        <v>68</v>
      </c>
      <c r="AL14" s="1436">
        <f>AM14-SUM(AI14:AK14)</f>
        <v>61</v>
      </c>
      <c r="AM14" s="1437">
        <v>260</v>
      </c>
      <c r="AN14" s="335">
        <v>67</v>
      </c>
      <c r="AO14" s="336">
        <v>67</v>
      </c>
      <c r="AP14" s="1435">
        <v>67</v>
      </c>
      <c r="AQ14" s="1436">
        <f>AR14-SUM(AN14:AP14)</f>
        <v>69</v>
      </c>
      <c r="AR14" s="1437">
        <v>270</v>
      </c>
      <c r="AS14" s="335">
        <v>71</v>
      </c>
      <c r="AT14" s="336">
        <v>71</v>
      </c>
      <c r="AU14" s="336">
        <v>72</v>
      </c>
      <c r="AV14" s="1436">
        <f>AW14-SUM(AS14:AU14)</f>
        <v>72</v>
      </c>
      <c r="AW14" s="1437">
        <v>286</v>
      </c>
      <c r="AX14" s="300">
        <f>AX158</f>
        <v>66.761867704280164</v>
      </c>
      <c r="AY14" s="264">
        <f>AY158</f>
        <v>67.700441667458861</v>
      </c>
      <c r="AZ14" s="264">
        <f>AZ158</f>
        <v>68.832967069527299</v>
      </c>
      <c r="BA14" s="299">
        <f>BA158</f>
        <v>69.955797701616945</v>
      </c>
      <c r="BB14" s="330">
        <f>SUM(AX14:BA14)</f>
        <v>273.25107414288323</v>
      </c>
      <c r="BC14" s="300">
        <f>BC158</f>
        <v>71.069016553976653</v>
      </c>
      <c r="BD14" s="264">
        <f>BD158</f>
        <v>72.13119073558812</v>
      </c>
      <c r="BE14" s="264">
        <f>BE158</f>
        <v>73.332791437462461</v>
      </c>
      <c r="BF14" s="299">
        <f>BF158</f>
        <v>74.524106063289622</v>
      </c>
      <c r="BG14" s="330">
        <f>SUM(BC14:BF14)</f>
        <v>291.05710479031688</v>
      </c>
      <c r="BH14" s="300">
        <f>BH158</f>
        <v>75.705222665082474</v>
      </c>
      <c r="BI14" s="264">
        <f>BI158</f>
        <v>76.778938264475158</v>
      </c>
      <c r="BJ14" s="264">
        <f>BJ158</f>
        <v>77.694943462211171</v>
      </c>
      <c r="BK14" s="299">
        <f>BK158</f>
        <v>78.603107370316764</v>
      </c>
      <c r="BL14" s="330">
        <f>SUM(BH14:BK14)</f>
        <v>308.78221176208558</v>
      </c>
      <c r="BM14" s="300">
        <f>BM158</f>
        <v>79.503497112672008</v>
      </c>
      <c r="BN14" s="264">
        <f>BN158</f>
        <v>80.39617923855576</v>
      </c>
      <c r="BO14" s="264">
        <f>BO158</f>
        <v>81.281219727564221</v>
      </c>
      <c r="BP14" s="299">
        <f>BP158</f>
        <v>82.158683994487788</v>
      </c>
      <c r="BQ14" s="330">
        <f>SUM(BM14:BP14)</f>
        <v>323.33958007327976</v>
      </c>
      <c r="BR14" s="330"/>
      <c r="BS14" s="330"/>
      <c r="BT14" s="330"/>
      <c r="BU14" s="330"/>
      <c r="BV14" s="330"/>
      <c r="BW14" s="330"/>
      <c r="BX14" s="330"/>
      <c r="BY14" s="330"/>
      <c r="BZ14" s="330"/>
      <c r="CA14" s="45"/>
      <c r="CB14" s="330"/>
      <c r="CC14" s="330"/>
      <c r="CD14" s="330"/>
      <c r="CE14" s="330"/>
      <c r="CF14" s="330"/>
      <c r="CG14" s="330"/>
      <c r="CH14" s="330"/>
      <c r="CI14" s="330"/>
      <c r="CJ14" s="330"/>
      <c r="CK14" s="330"/>
      <c r="CL14" s="330"/>
      <c r="CM14" s="330"/>
      <c r="CN14" s="330"/>
      <c r="CO14" s="330"/>
      <c r="CP14" s="330"/>
      <c r="CQ14" s="330"/>
      <c r="CR14" s="330"/>
      <c r="CS14" s="330"/>
      <c r="CT14" s="330"/>
      <c r="CU14" s="330"/>
    </row>
    <row r="15" spans="1:99" ht="12.75" customHeight="1">
      <c r="A15" s="330"/>
      <c r="B15" s="330"/>
      <c r="C15" s="1" t="s">
        <v>65</v>
      </c>
      <c r="D15" s="330"/>
      <c r="E15" s="335">
        <v>66</v>
      </c>
      <c r="F15" s="336">
        <v>69</v>
      </c>
      <c r="G15" s="336">
        <v>78</v>
      </c>
      <c r="H15" s="586">
        <f>I15-SUM(E15:G15)</f>
        <v>63</v>
      </c>
      <c r="I15" s="427">
        <v>276</v>
      </c>
      <c r="J15" s="335">
        <v>72</v>
      </c>
      <c r="K15" s="336">
        <v>77</v>
      </c>
      <c r="L15" s="336">
        <v>90</v>
      </c>
      <c r="M15" s="586">
        <f>N15-SUM(J15:L15)</f>
        <v>64</v>
      </c>
      <c r="N15" s="427">
        <v>303</v>
      </c>
      <c r="O15" s="335">
        <v>56</v>
      </c>
      <c r="P15" s="336">
        <v>51</v>
      </c>
      <c r="Q15" s="336">
        <v>59</v>
      </c>
      <c r="R15" s="586">
        <f>S15-SUM(O15:Q15)</f>
        <v>39</v>
      </c>
      <c r="S15" s="427">
        <v>205</v>
      </c>
      <c r="T15" s="335">
        <v>31</v>
      </c>
      <c r="U15" s="336">
        <v>42</v>
      </c>
      <c r="V15" s="336">
        <v>48</v>
      </c>
      <c r="W15" s="586">
        <f>X15-SUM(T15:V15)</f>
        <v>41</v>
      </c>
      <c r="X15" s="427">
        <v>162</v>
      </c>
      <c r="Y15" s="335">
        <v>41</v>
      </c>
      <c r="Z15" s="336">
        <v>39</v>
      </c>
      <c r="AA15" s="1435">
        <v>41</v>
      </c>
      <c r="AB15" s="1436">
        <f>AC15-SUM(Y15:AA15)</f>
        <v>37</v>
      </c>
      <c r="AC15" s="1437">
        <v>158</v>
      </c>
      <c r="AD15" s="335">
        <v>42</v>
      </c>
      <c r="AE15" s="336">
        <v>38</v>
      </c>
      <c r="AF15" s="1435">
        <v>42</v>
      </c>
      <c r="AG15" s="1436">
        <f>AH15-SUM(AD15:AF15)</f>
        <v>37</v>
      </c>
      <c r="AH15" s="1437">
        <v>159</v>
      </c>
      <c r="AI15" s="335">
        <v>41</v>
      </c>
      <c r="AJ15" s="336">
        <v>39</v>
      </c>
      <c r="AK15" s="1435">
        <v>44</v>
      </c>
      <c r="AL15" s="1436">
        <f>AM15-SUM(AI15:AK15)</f>
        <v>36</v>
      </c>
      <c r="AM15" s="1437">
        <v>160</v>
      </c>
      <c r="AN15" s="335">
        <v>42</v>
      </c>
      <c r="AO15" s="336">
        <v>38</v>
      </c>
      <c r="AP15" s="1435">
        <v>46</v>
      </c>
      <c r="AQ15" s="1436">
        <f>AR15-SUM(AN15:AP15)</f>
        <v>38</v>
      </c>
      <c r="AR15" s="1437">
        <v>164</v>
      </c>
      <c r="AS15" s="335">
        <v>38</v>
      </c>
      <c r="AT15" s="336">
        <v>35</v>
      </c>
      <c r="AU15" s="336">
        <v>42</v>
      </c>
      <c r="AV15" s="1436">
        <f>AW15-SUM(AS15:AU15)</f>
        <v>39</v>
      </c>
      <c r="AW15" s="1437">
        <v>154</v>
      </c>
      <c r="AX15" s="300">
        <f>AX146</f>
        <v>38.76</v>
      </c>
      <c r="AY15" s="264">
        <f>AY146</f>
        <v>35.700000000000003</v>
      </c>
      <c r="AZ15" s="264">
        <f>AZ146</f>
        <v>42.84</v>
      </c>
      <c r="BA15" s="299">
        <f>BA146</f>
        <v>39.78</v>
      </c>
      <c r="BB15" s="330">
        <f>SUM(AX15:BA15)</f>
        <v>157.08000000000001</v>
      </c>
      <c r="BC15" s="300">
        <f>BC146</f>
        <v>39.535199999999996</v>
      </c>
      <c r="BD15" s="264">
        <f>BD146</f>
        <v>36.414000000000001</v>
      </c>
      <c r="BE15" s="264">
        <f>BE146</f>
        <v>43.696800000000003</v>
      </c>
      <c r="BF15" s="299">
        <f>BF146</f>
        <v>40.575600000000001</v>
      </c>
      <c r="BG15" s="330">
        <f>SUM(BC15:BF15)</f>
        <v>160.2216</v>
      </c>
      <c r="BH15" s="300">
        <f>BH146</f>
        <v>40.325903999999994</v>
      </c>
      <c r="BI15" s="264">
        <f>BI146</f>
        <v>37.14228</v>
      </c>
      <c r="BJ15" s="264">
        <f>BJ146</f>
        <v>44.570736000000004</v>
      </c>
      <c r="BK15" s="299">
        <f>BK146</f>
        <v>41.387112000000002</v>
      </c>
      <c r="BL15" s="330">
        <f>SUM(BH15:BK15)</f>
        <v>163.42603199999999</v>
      </c>
      <c r="BM15" s="300">
        <f>BM146</f>
        <v>41.132422079999998</v>
      </c>
      <c r="BN15" s="264">
        <f>BN146</f>
        <v>37.885125600000002</v>
      </c>
      <c r="BO15" s="264">
        <f>BO146</f>
        <v>45.462150720000004</v>
      </c>
      <c r="BP15" s="299">
        <f>BP146</f>
        <v>42.214854240000001</v>
      </c>
      <c r="BQ15" s="330">
        <f>SUM(BM15:BP15)</f>
        <v>166.69455264000001</v>
      </c>
      <c r="BR15" s="330"/>
      <c r="BS15" s="330"/>
      <c r="BT15" s="330"/>
      <c r="BU15" s="330"/>
      <c r="BV15" s="330"/>
      <c r="BW15" s="330"/>
      <c r="BX15" s="330"/>
      <c r="BY15" s="330"/>
      <c r="BZ15" s="330"/>
      <c r="CA15" s="45"/>
      <c r="CB15" s="330"/>
      <c r="CC15" s="330"/>
      <c r="CD15" s="330"/>
      <c r="CE15" s="330"/>
      <c r="CF15" s="330"/>
      <c r="CG15" s="330"/>
      <c r="CH15" s="330"/>
      <c r="CI15" s="330"/>
      <c r="CJ15" s="330"/>
      <c r="CK15" s="330"/>
      <c r="CL15" s="330"/>
      <c r="CM15" s="330"/>
      <c r="CN15" s="330"/>
      <c r="CO15" s="330"/>
      <c r="CP15" s="330"/>
      <c r="CQ15" s="330"/>
      <c r="CR15" s="330"/>
      <c r="CS15" s="330"/>
      <c r="CT15" s="330"/>
      <c r="CU15" s="330"/>
    </row>
    <row r="16" spans="1:99" ht="12.75" customHeight="1">
      <c r="A16" s="330"/>
      <c r="B16" s="330"/>
      <c r="C16" s="32" t="s">
        <v>79</v>
      </c>
      <c r="D16" s="330"/>
      <c r="E16" s="292">
        <f t="shared" ref="E16:Y16" si="9">SUM(E13:E15,E9:E10)</f>
        <v>1304</v>
      </c>
      <c r="F16" s="261">
        <f t="shared" si="9"/>
        <v>1050</v>
      </c>
      <c r="G16" s="261">
        <f t="shared" si="9"/>
        <v>1155</v>
      </c>
      <c r="H16" s="293">
        <f t="shared" si="9"/>
        <v>1105</v>
      </c>
      <c r="I16" s="228">
        <f t="shared" si="9"/>
        <v>4614</v>
      </c>
      <c r="J16" s="292">
        <f t="shared" si="9"/>
        <v>1261</v>
      </c>
      <c r="K16" s="261">
        <f t="shared" si="9"/>
        <v>1087</v>
      </c>
      <c r="L16" s="261">
        <f t="shared" si="9"/>
        <v>1280</v>
      </c>
      <c r="M16" s="293">
        <f t="shared" si="9"/>
        <v>1230</v>
      </c>
      <c r="N16" s="228">
        <f t="shared" si="9"/>
        <v>4858</v>
      </c>
      <c r="O16" s="292">
        <f t="shared" si="9"/>
        <v>943</v>
      </c>
      <c r="P16" s="261">
        <f t="shared" si="9"/>
        <v>681</v>
      </c>
      <c r="Q16" s="261">
        <f t="shared" si="9"/>
        <v>793</v>
      </c>
      <c r="R16" s="293">
        <f t="shared" si="9"/>
        <v>648</v>
      </c>
      <c r="S16" s="228">
        <f t="shared" si="9"/>
        <v>3065</v>
      </c>
      <c r="T16" s="292">
        <f t="shared" si="9"/>
        <v>698</v>
      </c>
      <c r="U16" s="261">
        <f t="shared" si="9"/>
        <v>564</v>
      </c>
      <c r="V16" s="261">
        <f t="shared" si="9"/>
        <v>628.00000000000011</v>
      </c>
      <c r="W16" s="293">
        <f t="shared" si="9"/>
        <v>672.99999999999989</v>
      </c>
      <c r="X16" s="228">
        <f t="shared" si="9"/>
        <v>2563.0000000000005</v>
      </c>
      <c r="Y16" s="292">
        <f t="shared" si="9"/>
        <v>692</v>
      </c>
      <c r="Z16" s="261">
        <f t="shared" ref="Z16:AE16" si="10">SUM(Z13:Z15,Z9:Z10)</f>
        <v>534</v>
      </c>
      <c r="AA16" s="1438">
        <f t="shared" si="10"/>
        <v>573</v>
      </c>
      <c r="AB16" s="1439">
        <f>SUM(AB13:AB15,AB9:AB10)</f>
        <v>634.99999999999989</v>
      </c>
      <c r="AC16" s="1440">
        <f>SUM(AC13:AC15,AC9:AC10)</f>
        <v>2434</v>
      </c>
      <c r="AD16" s="292">
        <f>SUM(AD13:AD15,AD9:AD10)</f>
        <v>844</v>
      </c>
      <c r="AE16" s="261">
        <f t="shared" si="10"/>
        <v>522</v>
      </c>
      <c r="AF16" s="1438">
        <f t="shared" ref="AF16" si="11">SUM(AF13:AF15,AF9:AF10)</f>
        <v>560</v>
      </c>
      <c r="AG16" s="1439">
        <f>SUM(AG13:AG15,AG9:AG10)</f>
        <v>596</v>
      </c>
      <c r="AH16" s="1440">
        <f>SUM(AH13:AH15,AH9:AH10)</f>
        <v>2522</v>
      </c>
      <c r="AI16" s="292">
        <f>SUM(AI13:AI15,AI9:AI10)</f>
        <v>763</v>
      </c>
      <c r="AJ16" s="261">
        <f t="shared" ref="AJ16:AK16" si="12">SUM(AJ13:AJ15,AJ9:AJ10)</f>
        <v>537</v>
      </c>
      <c r="AK16" s="1438">
        <f t="shared" si="12"/>
        <v>586</v>
      </c>
      <c r="AL16" s="1439">
        <f>SUM(AL13:AL15,AL9:AL10)</f>
        <v>517.99999999999989</v>
      </c>
      <c r="AM16" s="1440">
        <f>SUM(AM13:AM15,AM9:AM10)</f>
        <v>2404</v>
      </c>
      <c r="AN16" s="292">
        <f>SUM(AN13:AN15,AN9:AN10)</f>
        <v>645</v>
      </c>
      <c r="AO16" s="261">
        <f t="shared" ref="AO16:AP16" si="13">SUM(AO13:AO15,AO9:AO10)</f>
        <v>512</v>
      </c>
      <c r="AP16" s="1438">
        <f t="shared" si="13"/>
        <v>584</v>
      </c>
      <c r="AQ16" s="1439">
        <f>SUM(AQ13:AQ15,AQ9:AQ10)</f>
        <v>551</v>
      </c>
      <c r="AR16" s="1440">
        <f>SUM(AR13:AR15,AR9:AR10)</f>
        <v>2292</v>
      </c>
      <c r="AS16" s="292">
        <f t="shared" ref="AS16:BB16" si="14">SUM(AS13:AS15,AS9:AS10)</f>
        <v>604</v>
      </c>
      <c r="AT16" s="261">
        <f t="shared" si="14"/>
        <v>493</v>
      </c>
      <c r="AU16" s="261">
        <f t="shared" si="14"/>
        <v>546</v>
      </c>
      <c r="AV16" s="1439">
        <f>SUM(AV13:AV15,AV9:AV10)</f>
        <v>571.99999999999989</v>
      </c>
      <c r="AW16" s="1440">
        <f>SUM(AW13:AW15,AW9:AW10)</f>
        <v>2215</v>
      </c>
      <c r="AX16" s="292">
        <f t="shared" si="14"/>
        <v>606.41406890503561</v>
      </c>
      <c r="AY16" s="261">
        <f t="shared" si="14"/>
        <v>493.50898432976282</v>
      </c>
      <c r="AZ16" s="261">
        <f t="shared" si="14"/>
        <v>544.25917711560032</v>
      </c>
      <c r="BA16" s="293">
        <f t="shared" si="14"/>
        <v>573.07345047544277</v>
      </c>
      <c r="BB16" s="228">
        <f t="shared" si="14"/>
        <v>2217.255680825841</v>
      </c>
      <c r="BC16" s="292">
        <f t="shared" ref="BC16:BL16" si="15">SUM(BC13:BC15,BC9:BC10)</f>
        <v>614.42533976673951</v>
      </c>
      <c r="BD16" s="261">
        <f t="shared" si="15"/>
        <v>500.65481882451513</v>
      </c>
      <c r="BE16" s="261">
        <f t="shared" si="15"/>
        <v>551.97166358399625</v>
      </c>
      <c r="BF16" s="293">
        <f t="shared" si="15"/>
        <v>580.9607353648538</v>
      </c>
      <c r="BG16" s="228">
        <f t="shared" si="15"/>
        <v>2248.0125575401048</v>
      </c>
      <c r="BH16" s="292">
        <f t="shared" si="15"/>
        <v>622.81046110997295</v>
      </c>
      <c r="BI16" s="261">
        <f t="shared" si="15"/>
        <v>508.05194263429155</v>
      </c>
      <c r="BJ16" s="261">
        <f t="shared" si="15"/>
        <v>559.58717233021036</v>
      </c>
      <c r="BK16" s="293">
        <f t="shared" si="15"/>
        <v>588.39985896489657</v>
      </c>
      <c r="BL16" s="228">
        <f t="shared" si="15"/>
        <v>2278.8494350393712</v>
      </c>
      <c r="BM16" s="292">
        <f t="shared" ref="BM16:BQ16" si="16">SUM(BM13:BM15,BM9:BM10)</f>
        <v>630.40304698201146</v>
      </c>
      <c r="BN16" s="261">
        <f t="shared" si="16"/>
        <v>514.45333645207018</v>
      </c>
      <c r="BO16" s="261">
        <f t="shared" si="16"/>
        <v>566.46807824424332</v>
      </c>
      <c r="BP16" s="293">
        <f t="shared" si="16"/>
        <v>595.35727422501338</v>
      </c>
      <c r="BQ16" s="228">
        <f t="shared" si="16"/>
        <v>2306.6817359033384</v>
      </c>
      <c r="BR16" s="330"/>
      <c r="BS16" s="330"/>
      <c r="BT16" s="330"/>
      <c r="BU16" s="330"/>
      <c r="BV16" s="330"/>
      <c r="BW16" s="330"/>
      <c r="BX16" s="330"/>
      <c r="BY16" s="330"/>
      <c r="BZ16" s="330"/>
      <c r="CA16" s="330"/>
      <c r="CB16" s="330"/>
      <c r="CC16" s="330"/>
      <c r="CD16" s="330"/>
      <c r="CE16" s="330"/>
      <c r="CF16" s="330"/>
      <c r="CG16" s="330"/>
      <c r="CH16" s="330"/>
      <c r="CI16" s="330"/>
      <c r="CJ16" s="330"/>
      <c r="CK16" s="330"/>
      <c r="CL16" s="330"/>
      <c r="CM16" s="330"/>
      <c r="CN16" s="330"/>
      <c r="CO16" s="330"/>
      <c r="CP16" s="330"/>
      <c r="CQ16" s="330"/>
      <c r="CR16" s="330"/>
      <c r="CS16" s="330"/>
      <c r="CT16" s="330"/>
      <c r="CU16" s="330"/>
    </row>
    <row r="17" spans="1:104" ht="12.75" customHeight="1">
      <c r="A17" s="330"/>
      <c r="B17" s="330"/>
      <c r="C17" s="32"/>
      <c r="D17" s="330"/>
      <c r="E17" s="292"/>
      <c r="F17" s="261"/>
      <c r="G17" s="261"/>
      <c r="H17" s="293"/>
      <c r="I17" s="228"/>
      <c r="J17" s="292"/>
      <c r="K17" s="261"/>
      <c r="L17" s="261"/>
      <c r="M17" s="293"/>
      <c r="N17" s="228"/>
      <c r="O17" s="292"/>
      <c r="P17" s="261"/>
      <c r="Q17" s="261"/>
      <c r="R17" s="293"/>
      <c r="S17" s="228"/>
      <c r="T17" s="292"/>
      <c r="U17" s="261"/>
      <c r="V17" s="261"/>
      <c r="W17" s="293"/>
      <c r="X17" s="228"/>
      <c r="Y17" s="292"/>
      <c r="Z17" s="261"/>
      <c r="AA17" s="1438"/>
      <c r="AB17" s="1439"/>
      <c r="AC17" s="1440"/>
      <c r="AD17" s="292"/>
      <c r="AE17" s="261"/>
      <c r="AF17" s="1438"/>
      <c r="AG17" s="1439"/>
      <c r="AH17" s="1440"/>
      <c r="AI17" s="292"/>
      <c r="AJ17" s="261"/>
      <c r="AK17" s="1438"/>
      <c r="AL17" s="1439"/>
      <c r="AM17" s="1440"/>
      <c r="AN17" s="292"/>
      <c r="AO17" s="261"/>
      <c r="AP17" s="1438"/>
      <c r="AQ17" s="1439"/>
      <c r="AR17" s="1440"/>
      <c r="AS17" s="292"/>
      <c r="AT17" s="261"/>
      <c r="AU17" s="261"/>
      <c r="AV17" s="1439"/>
      <c r="AW17" s="1440"/>
      <c r="AX17" s="292"/>
      <c r="AY17" s="261"/>
      <c r="AZ17" s="261"/>
      <c r="BA17" s="293"/>
      <c r="BB17" s="228"/>
      <c r="BC17" s="292"/>
      <c r="BD17" s="261"/>
      <c r="BE17" s="261"/>
      <c r="BF17" s="293"/>
      <c r="BG17" s="228"/>
      <c r="BH17" s="292"/>
      <c r="BI17" s="261"/>
      <c r="BJ17" s="261"/>
      <c r="BK17" s="293"/>
      <c r="BL17" s="228"/>
      <c r="BM17" s="292"/>
      <c r="BN17" s="261"/>
      <c r="BO17" s="261"/>
      <c r="BP17" s="293"/>
      <c r="BQ17" s="228"/>
      <c r="BR17" s="330"/>
      <c r="BS17" s="330"/>
      <c r="BT17" s="330"/>
      <c r="BU17" s="330"/>
      <c r="BV17" s="330"/>
      <c r="BW17" s="330"/>
      <c r="BX17" s="330"/>
      <c r="BY17" s="330"/>
      <c r="BZ17" s="330"/>
      <c r="CA17" s="330"/>
      <c r="CB17" s="330"/>
      <c r="CC17" s="330"/>
      <c r="CD17" s="330"/>
      <c r="CE17" s="330"/>
      <c r="CF17" s="330"/>
      <c r="CG17" s="330"/>
      <c r="CH17" s="330"/>
      <c r="CI17" s="330"/>
      <c r="CJ17" s="330"/>
      <c r="CK17" s="330"/>
      <c r="CL17" s="330"/>
      <c r="CM17" s="330"/>
      <c r="CN17" s="330"/>
      <c r="CO17" s="330"/>
      <c r="CP17" s="330"/>
      <c r="CQ17" s="330"/>
      <c r="CR17" s="330"/>
      <c r="CS17" s="330"/>
      <c r="CT17" s="330"/>
      <c r="CU17" s="330"/>
    </row>
    <row r="18" spans="1:104" s="1" customFormat="1" ht="12.75" customHeight="1">
      <c r="C18" s="1" t="s">
        <v>1028</v>
      </c>
      <c r="E18" s="335">
        <v>7</v>
      </c>
      <c r="F18" s="336">
        <v>6</v>
      </c>
      <c r="G18" s="336">
        <v>6</v>
      </c>
      <c r="H18" s="586">
        <f>I18-SUM(E18:G18)</f>
        <v>5</v>
      </c>
      <c r="I18" s="427">
        <v>24</v>
      </c>
      <c r="J18" s="335">
        <v>0</v>
      </c>
      <c r="K18" s="336">
        <v>0</v>
      </c>
      <c r="L18" s="336">
        <v>0</v>
      </c>
      <c r="M18" s="586">
        <f>N18-SUM(J18:L18)</f>
        <v>0</v>
      </c>
      <c r="N18" s="427">
        <v>0</v>
      </c>
      <c r="O18" s="335">
        <v>0</v>
      </c>
      <c r="P18" s="336">
        <v>0</v>
      </c>
      <c r="Q18" s="336">
        <v>0</v>
      </c>
      <c r="R18" s="586">
        <f>S18-SUM(O18:Q18)</f>
        <v>0</v>
      </c>
      <c r="S18" s="427">
        <v>0</v>
      </c>
      <c r="T18" s="335">
        <v>0</v>
      </c>
      <c r="U18" s="336">
        <v>0</v>
      </c>
      <c r="V18" s="336">
        <v>0</v>
      </c>
      <c r="W18" s="586">
        <f>X18-SUM(T18:V18)</f>
        <v>0</v>
      </c>
      <c r="X18" s="427">
        <v>0</v>
      </c>
      <c r="Y18" s="335">
        <v>0</v>
      </c>
      <c r="Z18" s="336">
        <v>0</v>
      </c>
      <c r="AA18" s="1435">
        <v>0</v>
      </c>
      <c r="AB18" s="1436">
        <f>AC18-SUM(Y18:AA18)</f>
        <v>0</v>
      </c>
      <c r="AC18" s="1437">
        <v>0</v>
      </c>
      <c r="AD18" s="335">
        <v>0</v>
      </c>
      <c r="AE18" s="336">
        <v>0</v>
      </c>
      <c r="AF18" s="1435">
        <v>0</v>
      </c>
      <c r="AG18" s="1436">
        <f>AH18-SUM(AD18:AF18)</f>
        <v>0</v>
      </c>
      <c r="AH18" s="1437">
        <v>0</v>
      </c>
      <c r="AI18" s="335">
        <v>0</v>
      </c>
      <c r="AJ18" s="336">
        <v>0</v>
      </c>
      <c r="AK18" s="1435">
        <v>0</v>
      </c>
      <c r="AL18" s="1436">
        <f>AM18-SUM(AI18:AK18)</f>
        <v>0</v>
      </c>
      <c r="AM18" s="1437">
        <v>0</v>
      </c>
      <c r="AN18" s="335">
        <v>0</v>
      </c>
      <c r="AO18" s="336">
        <v>0</v>
      </c>
      <c r="AP18" s="1435">
        <v>0</v>
      </c>
      <c r="AQ18" s="1436">
        <f>AR18-SUM(AN18:AP18)</f>
        <v>0</v>
      </c>
      <c r="AR18" s="1437">
        <v>0</v>
      </c>
      <c r="AS18" s="335">
        <v>0</v>
      </c>
      <c r="AT18" s="336">
        <v>0</v>
      </c>
      <c r="AU18" s="336">
        <v>0</v>
      </c>
      <c r="AV18" s="1436">
        <f>AW18-SUM(AS18:AU18)</f>
        <v>0</v>
      </c>
      <c r="AW18" s="1437">
        <v>0</v>
      </c>
      <c r="AX18" s="335">
        <v>0</v>
      </c>
      <c r="AY18" s="336">
        <v>0</v>
      </c>
      <c r="AZ18" s="336">
        <v>0</v>
      </c>
      <c r="BA18" s="586">
        <f>BB18-SUM(AX18:AZ18)</f>
        <v>0</v>
      </c>
      <c r="BB18" s="427">
        <v>0</v>
      </c>
      <c r="BC18" s="335">
        <v>0</v>
      </c>
      <c r="BD18" s="336">
        <v>0</v>
      </c>
      <c r="BE18" s="336">
        <v>0</v>
      </c>
      <c r="BF18" s="586">
        <f>BG18-SUM(BC18:BE18)</f>
        <v>0</v>
      </c>
      <c r="BG18" s="427">
        <v>0</v>
      </c>
      <c r="BH18" s="335">
        <v>0</v>
      </c>
      <c r="BI18" s="336">
        <v>0</v>
      </c>
      <c r="BJ18" s="336">
        <v>0</v>
      </c>
      <c r="BK18" s="586">
        <f>BL18-SUM(BH18:BJ18)</f>
        <v>0</v>
      </c>
      <c r="BL18" s="427">
        <v>0</v>
      </c>
      <c r="BM18" s="335">
        <v>0</v>
      </c>
      <c r="BN18" s="336">
        <v>0</v>
      </c>
      <c r="BO18" s="336">
        <v>0</v>
      </c>
      <c r="BP18" s="586">
        <f>BQ18-SUM(BM18:BO18)</f>
        <v>0</v>
      </c>
      <c r="BQ18" s="427">
        <v>0</v>
      </c>
      <c r="BR18" s="330"/>
      <c r="BS18" s="330"/>
      <c r="BT18" s="330"/>
      <c r="BU18" s="330"/>
      <c r="BV18" s="330"/>
      <c r="BW18" s="330"/>
      <c r="BX18" s="330"/>
      <c r="BY18" s="330"/>
      <c r="BZ18" s="330"/>
      <c r="CA18" s="330"/>
      <c r="CB18" s="330"/>
      <c r="CC18" s="330"/>
      <c r="CD18" s="330"/>
      <c r="CE18" s="330"/>
      <c r="CF18" s="330"/>
      <c r="CG18" s="330"/>
      <c r="CH18" s="330"/>
      <c r="CI18" s="330"/>
      <c r="CJ18" s="798"/>
      <c r="CK18" s="798"/>
      <c r="CL18" s="330"/>
      <c r="CM18" s="330"/>
      <c r="CN18" s="330"/>
      <c r="CO18" s="330"/>
      <c r="CP18" s="330"/>
    </row>
    <row r="19" spans="1:104" ht="12.75" customHeight="1">
      <c r="A19" s="330"/>
      <c r="B19" s="330"/>
      <c r="C19" s="28"/>
      <c r="D19" s="330"/>
      <c r="E19" s="300"/>
      <c r="F19" s="264"/>
      <c r="G19" s="336"/>
      <c r="H19" s="291"/>
      <c r="I19" s="427"/>
      <c r="J19" s="300"/>
      <c r="K19" s="264"/>
      <c r="L19" s="336"/>
      <c r="M19" s="291"/>
      <c r="N19" s="427"/>
      <c r="O19" s="300"/>
      <c r="P19" s="264"/>
      <c r="Q19" s="336"/>
      <c r="R19" s="291"/>
      <c r="S19" s="427"/>
      <c r="T19" s="300"/>
      <c r="U19" s="264"/>
      <c r="V19" s="336"/>
      <c r="W19" s="291"/>
      <c r="X19" s="427"/>
      <c r="Y19" s="300"/>
      <c r="Z19" s="264"/>
      <c r="AA19" s="1435"/>
      <c r="AB19" s="1442"/>
      <c r="AC19" s="1437"/>
      <c r="AD19" s="300"/>
      <c r="AE19" s="264"/>
      <c r="AF19" s="1435"/>
      <c r="AG19" s="1442"/>
      <c r="AH19" s="1437"/>
      <c r="AI19" s="300"/>
      <c r="AJ19" s="264"/>
      <c r="AK19" s="1435"/>
      <c r="AL19" s="1442"/>
      <c r="AM19" s="1437"/>
      <c r="AN19" s="300"/>
      <c r="AO19" s="264"/>
      <c r="AP19" s="1435"/>
      <c r="AQ19" s="1442"/>
      <c r="AR19" s="1437"/>
      <c r="AS19" s="300"/>
      <c r="AT19" s="264"/>
      <c r="AU19" s="264"/>
      <c r="AV19" s="1442"/>
      <c r="AW19" s="1437"/>
      <c r="AX19" s="300"/>
      <c r="AY19" s="264"/>
      <c r="AZ19" s="264"/>
      <c r="BA19" s="299"/>
      <c r="BB19" s="330"/>
      <c r="BC19" s="300"/>
      <c r="BD19" s="264"/>
      <c r="BE19" s="264"/>
      <c r="BF19" s="299"/>
      <c r="BG19" s="330"/>
      <c r="BH19" s="300"/>
      <c r="BI19" s="264"/>
      <c r="BJ19" s="264"/>
      <c r="BK19" s="299"/>
      <c r="BL19" s="330"/>
      <c r="BM19" s="300"/>
      <c r="BN19" s="264"/>
      <c r="BO19" s="264"/>
      <c r="BP19" s="299"/>
      <c r="BQ19" s="330"/>
      <c r="BR19" s="330"/>
      <c r="BS19" s="330"/>
      <c r="BT19" s="330"/>
      <c r="BU19" s="330"/>
      <c r="BV19" s="330"/>
      <c r="BW19" s="330"/>
      <c r="BX19" s="330"/>
      <c r="BY19" s="330"/>
      <c r="BZ19" s="330"/>
      <c r="CA19" s="330"/>
      <c r="CB19" s="330"/>
      <c r="CC19" s="330"/>
      <c r="CD19" s="330"/>
      <c r="CE19" s="330"/>
      <c r="CF19" s="330"/>
      <c r="CG19" s="330"/>
      <c r="CH19" s="330"/>
      <c r="CI19" s="330"/>
      <c r="CJ19" s="330"/>
      <c r="CK19" s="330"/>
      <c r="CL19" s="330"/>
      <c r="CM19" s="330"/>
      <c r="CN19" s="330"/>
      <c r="CO19" s="330"/>
      <c r="CP19" s="330"/>
      <c r="CQ19" s="330"/>
      <c r="CR19" s="330"/>
      <c r="CS19" s="330"/>
      <c r="CT19" s="330"/>
      <c r="CU19" s="330"/>
    </row>
    <row r="20" spans="1:104" ht="12.75" customHeight="1">
      <c r="A20" s="330"/>
      <c r="B20" s="330"/>
      <c r="C20" s="32" t="s">
        <v>70</v>
      </c>
      <c r="D20" s="330"/>
      <c r="E20" s="292">
        <f t="shared" ref="E20:T20" si="17">+E8-E16-E18</f>
        <v>203</v>
      </c>
      <c r="F20" s="261">
        <f t="shared" si="17"/>
        <v>148</v>
      </c>
      <c r="G20" s="261">
        <f t="shared" si="17"/>
        <v>166</v>
      </c>
      <c r="H20" s="293">
        <f t="shared" si="17"/>
        <v>156</v>
      </c>
      <c r="I20" s="228">
        <f t="shared" si="17"/>
        <v>673</v>
      </c>
      <c r="J20" s="292">
        <f t="shared" si="17"/>
        <v>194</v>
      </c>
      <c r="K20" s="261">
        <f t="shared" si="17"/>
        <v>182</v>
      </c>
      <c r="L20" s="261">
        <f t="shared" si="17"/>
        <v>215</v>
      </c>
      <c r="M20" s="293">
        <f t="shared" si="17"/>
        <v>70</v>
      </c>
      <c r="N20" s="228">
        <f t="shared" si="17"/>
        <v>661</v>
      </c>
      <c r="O20" s="292">
        <f t="shared" si="17"/>
        <v>210</v>
      </c>
      <c r="P20" s="261">
        <f t="shared" si="17"/>
        <v>161</v>
      </c>
      <c r="Q20" s="261">
        <f t="shared" si="17"/>
        <v>153</v>
      </c>
      <c r="R20" s="293">
        <f t="shared" si="17"/>
        <v>131</v>
      </c>
      <c r="S20" s="228">
        <f t="shared" si="17"/>
        <v>655</v>
      </c>
      <c r="T20" s="292">
        <f t="shared" si="17"/>
        <v>177</v>
      </c>
      <c r="U20" s="261">
        <f>+U8-U16-U18</f>
        <v>151</v>
      </c>
      <c r="V20" s="261">
        <f>+V8-V16-V18</f>
        <v>177.99999999999989</v>
      </c>
      <c r="W20" s="293">
        <f>+W8-W16-W18</f>
        <v>117.00000000000011</v>
      </c>
      <c r="X20" s="228">
        <f>+X8-X16-X18</f>
        <v>622.99999999999955</v>
      </c>
      <c r="Y20" s="292">
        <f>+Y8-Y16-Y18</f>
        <v>203</v>
      </c>
      <c r="Z20" s="261">
        <f t="shared" ref="Z20:AE20" si="18">+Z8-Z16-Z18</f>
        <v>138</v>
      </c>
      <c r="AA20" s="1438">
        <f>+AA8-AA16-AA18</f>
        <v>155</v>
      </c>
      <c r="AB20" s="1439">
        <f>+AB8-AB16-AB18</f>
        <v>170.00000000000011</v>
      </c>
      <c r="AC20" s="1440">
        <f>+AC8-AC16-AC18</f>
        <v>666</v>
      </c>
      <c r="AD20" s="292">
        <f>+AD8-AD16-AD18</f>
        <v>149</v>
      </c>
      <c r="AE20" s="261">
        <f t="shared" si="18"/>
        <v>134</v>
      </c>
      <c r="AF20" s="1438">
        <f>+AF8-AF16-AF18</f>
        <v>133</v>
      </c>
      <c r="AG20" s="1439">
        <f>+AG8-AG16-AG18</f>
        <v>156</v>
      </c>
      <c r="AH20" s="1440">
        <f>+AH8-AH16-AH18</f>
        <v>572</v>
      </c>
      <c r="AI20" s="292">
        <f>+AI8-AI16-AI18</f>
        <v>222</v>
      </c>
      <c r="AJ20" s="261">
        <f t="shared" ref="AJ20" si="19">+AJ8-AJ16-AJ18</f>
        <v>124</v>
      </c>
      <c r="AK20" s="1438">
        <f>+AK8-AK16-AK18</f>
        <v>154</v>
      </c>
      <c r="AL20" s="1439">
        <f>+AL8-AL16-AL18</f>
        <v>128.00000000000011</v>
      </c>
      <c r="AM20" s="1440">
        <f>+AM8-AM16-AM18</f>
        <v>628</v>
      </c>
      <c r="AN20" s="292">
        <f>+AN8-AN16-AN18</f>
        <v>196</v>
      </c>
      <c r="AO20" s="261">
        <f t="shared" ref="AO20" si="20">+AO8-AO16-AO18</f>
        <v>152</v>
      </c>
      <c r="AP20" s="1438">
        <f>+AP8-AP16-AP18</f>
        <v>204</v>
      </c>
      <c r="AQ20" s="1439">
        <f>+AQ8-AQ16-AQ18</f>
        <v>150</v>
      </c>
      <c r="AR20" s="1440">
        <f>+AR8-AR16-AR18</f>
        <v>702</v>
      </c>
      <c r="AS20" s="292">
        <f t="shared" ref="AS20:BB20" si="21">+AS8-AS16-AS18</f>
        <v>192</v>
      </c>
      <c r="AT20" s="261">
        <f t="shared" si="21"/>
        <v>137</v>
      </c>
      <c r="AU20" s="261">
        <f t="shared" si="21"/>
        <v>169</v>
      </c>
      <c r="AV20" s="1439">
        <f>+AV8-AV16-AV18</f>
        <v>157.00000000000011</v>
      </c>
      <c r="AW20" s="1440">
        <f>+AW8-AW16-AW18</f>
        <v>655</v>
      </c>
      <c r="AX20" s="292">
        <f t="shared" si="21"/>
        <v>198.91189618389706</v>
      </c>
      <c r="AY20" s="261">
        <f t="shared" si="21"/>
        <v>139.50663443182407</v>
      </c>
      <c r="AZ20" s="261">
        <f t="shared" si="21"/>
        <v>165.89019002387806</v>
      </c>
      <c r="BA20" s="293">
        <f t="shared" si="21"/>
        <v>156.08475721473803</v>
      </c>
      <c r="BB20" s="228">
        <f t="shared" si="21"/>
        <v>660.39347785433802</v>
      </c>
      <c r="BC20" s="292">
        <f t="shared" ref="BC20:BL20" si="22">+BC8-BC16-BC18</f>
        <v>213.23086693510766</v>
      </c>
      <c r="BD20" s="261">
        <f t="shared" si="22"/>
        <v>152.96793808671293</v>
      </c>
      <c r="BE20" s="261">
        <f t="shared" si="22"/>
        <v>179.55617918890232</v>
      </c>
      <c r="BF20" s="293">
        <f t="shared" si="22"/>
        <v>169.76603636425409</v>
      </c>
      <c r="BG20" s="228">
        <f t="shared" si="22"/>
        <v>715.52102057497677</v>
      </c>
      <c r="BH20" s="292">
        <f t="shared" si="22"/>
        <v>228.86428962091804</v>
      </c>
      <c r="BI20" s="261">
        <f t="shared" si="22"/>
        <v>167.84902380807409</v>
      </c>
      <c r="BJ20" s="261">
        <f t="shared" si="22"/>
        <v>194.99793083244253</v>
      </c>
      <c r="BK20" s="293">
        <f t="shared" si="22"/>
        <v>185.57616244352789</v>
      </c>
      <c r="BL20" s="228">
        <f t="shared" si="22"/>
        <v>777.2874067049629</v>
      </c>
      <c r="BM20" s="292">
        <f t="shared" ref="BM20:BQ20" si="23">+BM8-BM16-BM18</f>
        <v>238.03043321821394</v>
      </c>
      <c r="BN20" s="261">
        <f t="shared" si="23"/>
        <v>176.44862161674428</v>
      </c>
      <c r="BO20" s="261">
        <f t="shared" si="23"/>
        <v>203.9048579120614</v>
      </c>
      <c r="BP20" s="293">
        <f t="shared" si="23"/>
        <v>194.60048935952068</v>
      </c>
      <c r="BQ20" s="228">
        <f t="shared" si="23"/>
        <v>812.98440210654007</v>
      </c>
      <c r="BR20" s="330"/>
      <c r="BS20" s="330"/>
      <c r="BT20" s="330"/>
      <c r="BU20" s="330"/>
      <c r="BV20" s="330"/>
      <c r="BW20" s="330"/>
      <c r="BX20" s="330"/>
      <c r="BY20" s="330"/>
      <c r="BZ20" s="330"/>
      <c r="CA20" s="330"/>
      <c r="CB20" s="330"/>
      <c r="CC20" s="330"/>
      <c r="CD20" s="330"/>
      <c r="CE20" s="330"/>
      <c r="CF20" s="330"/>
      <c r="CG20" s="330"/>
      <c r="CH20" s="330"/>
      <c r="CI20" s="330"/>
      <c r="CJ20" s="330"/>
      <c r="CK20" s="330"/>
      <c r="CL20" s="330"/>
      <c r="CM20" s="330"/>
      <c r="CN20" s="330"/>
      <c r="CO20" s="330"/>
      <c r="CP20" s="330"/>
      <c r="CQ20" s="330"/>
      <c r="CR20" s="330"/>
      <c r="CS20" s="330"/>
      <c r="CT20" s="330"/>
      <c r="CU20" s="330"/>
    </row>
    <row r="21" spans="1:104" ht="12.75" customHeight="1">
      <c r="A21" s="330"/>
      <c r="B21" s="330"/>
      <c r="C21" s="28"/>
      <c r="D21" s="330"/>
      <c r="E21" s="300"/>
      <c r="F21" s="264"/>
      <c r="G21" s="264"/>
      <c r="H21" s="299"/>
      <c r="I21" s="330"/>
      <c r="J21" s="300"/>
      <c r="K21" s="264"/>
      <c r="L21" s="264"/>
      <c r="M21" s="299"/>
      <c r="N21" s="330"/>
      <c r="O21" s="300"/>
      <c r="P21" s="264"/>
      <c r="Q21" s="264"/>
      <c r="R21" s="299"/>
      <c r="S21" s="330"/>
      <c r="T21" s="300"/>
      <c r="U21" s="264"/>
      <c r="V21" s="264"/>
      <c r="W21" s="299"/>
      <c r="X21" s="330"/>
      <c r="Y21" s="300"/>
      <c r="Z21" s="264"/>
      <c r="AA21" s="1441"/>
      <c r="AB21" s="1442"/>
      <c r="AC21" s="1443"/>
      <c r="AD21" s="300"/>
      <c r="AE21" s="264"/>
      <c r="AF21" s="1441"/>
      <c r="AG21" s="1442"/>
      <c r="AH21" s="1443"/>
      <c r="AI21" s="300"/>
      <c r="AJ21" s="264"/>
      <c r="AK21" s="1441"/>
      <c r="AL21" s="1442"/>
      <c r="AM21" s="1443"/>
      <c r="AN21" s="300"/>
      <c r="AO21" s="264"/>
      <c r="AP21" s="1441"/>
      <c r="AQ21" s="1442"/>
      <c r="AR21" s="1443"/>
      <c r="AS21" s="300"/>
      <c r="AT21" s="264"/>
      <c r="AU21" s="264"/>
      <c r="AV21" s="1442"/>
      <c r="AW21" s="1443"/>
      <c r="AX21" s="300"/>
      <c r="AY21" s="264"/>
      <c r="AZ21" s="264"/>
      <c r="BA21" s="299"/>
      <c r="BB21" s="330"/>
      <c r="BC21" s="300"/>
      <c r="BD21" s="264"/>
      <c r="BE21" s="264"/>
      <c r="BF21" s="299"/>
      <c r="BG21" s="330"/>
      <c r="BH21" s="300"/>
      <c r="BI21" s="264"/>
      <c r="BJ21" s="264"/>
      <c r="BK21" s="299"/>
      <c r="BL21" s="330"/>
      <c r="BM21" s="300"/>
      <c r="BN21" s="264"/>
      <c r="BO21" s="264"/>
      <c r="BP21" s="299"/>
      <c r="BQ21" s="330"/>
      <c r="BR21" s="330"/>
      <c r="BS21" s="330"/>
      <c r="BT21" s="330"/>
      <c r="BU21" s="330"/>
      <c r="BV21" s="330"/>
      <c r="BW21" s="330"/>
      <c r="BX21" s="330"/>
      <c r="BY21" s="330"/>
      <c r="BZ21" s="330"/>
      <c r="CA21" s="330"/>
      <c r="CB21" s="330"/>
      <c r="CC21" s="330"/>
      <c r="CD21" s="330"/>
      <c r="CE21" s="330"/>
      <c r="CF21" s="330"/>
      <c r="CG21" s="330"/>
      <c r="CH21" s="330"/>
      <c r="CI21" s="330"/>
      <c r="CJ21" s="330"/>
      <c r="CK21" s="330"/>
      <c r="CL21" s="330"/>
      <c r="CM21" s="330"/>
      <c r="CN21" s="330"/>
      <c r="CO21" s="330"/>
      <c r="CP21" s="330"/>
      <c r="CQ21" s="330"/>
      <c r="CR21" s="330"/>
      <c r="CS21" s="330"/>
      <c r="CT21" s="330"/>
      <c r="CU21" s="330"/>
    </row>
    <row r="22" spans="1:104" ht="12.75" customHeight="1">
      <c r="A22" s="330"/>
      <c r="B22" s="330"/>
      <c r="C22" s="28" t="s">
        <v>620</v>
      </c>
      <c r="D22" s="330"/>
      <c r="E22" s="300">
        <f>I22/4</f>
        <v>1</v>
      </c>
      <c r="F22" s="264">
        <f>I22/4</f>
        <v>1</v>
      </c>
      <c r="G22" s="264">
        <f>I22/4</f>
        <v>1</v>
      </c>
      <c r="H22" s="299">
        <f>I22/4</f>
        <v>1</v>
      </c>
      <c r="I22" s="339">
        <v>4</v>
      </c>
      <c r="J22" s="337">
        <f>(5-2)/2</f>
        <v>1.5</v>
      </c>
      <c r="K22" s="338">
        <f>(5-2)/2</f>
        <v>1.5</v>
      </c>
      <c r="L22" s="338">
        <v>2</v>
      </c>
      <c r="M22" s="586">
        <f>N22-SUM(J22:L22)</f>
        <v>2</v>
      </c>
      <c r="N22" s="339">
        <v>7</v>
      </c>
      <c r="O22" s="337">
        <v>4</v>
      </c>
      <c r="P22" s="338">
        <v>2</v>
      </c>
      <c r="Q22" s="338">
        <v>2</v>
      </c>
      <c r="R22" s="586">
        <f>S22-SUM(O22:Q22)</f>
        <v>1</v>
      </c>
      <c r="S22" s="339">
        <v>9</v>
      </c>
      <c r="T22" s="337">
        <v>1</v>
      </c>
      <c r="U22" s="338">
        <v>1</v>
      </c>
      <c r="V22" s="338">
        <v>1</v>
      </c>
      <c r="W22" s="586">
        <f>X22-SUM(T22:V22)</f>
        <v>1</v>
      </c>
      <c r="X22" s="339">
        <v>4</v>
      </c>
      <c r="Y22" s="337">
        <v>1</v>
      </c>
      <c r="Z22" s="338">
        <v>1</v>
      </c>
      <c r="AA22" s="1435">
        <v>1</v>
      </c>
      <c r="AB22" s="1436">
        <f>AC22-SUM(Y22:AA22)</f>
        <v>1</v>
      </c>
      <c r="AC22" s="1437">
        <v>4</v>
      </c>
      <c r="AD22" s="337">
        <v>1</v>
      </c>
      <c r="AE22" s="338">
        <v>1</v>
      </c>
      <c r="AF22" s="1435">
        <v>2</v>
      </c>
      <c r="AG22" s="1436">
        <f>AH22-SUM(AD22:AF22)</f>
        <v>2</v>
      </c>
      <c r="AH22" s="1437">
        <v>6</v>
      </c>
      <c r="AI22" s="337">
        <v>2</v>
      </c>
      <c r="AJ22" s="338">
        <v>1</v>
      </c>
      <c r="AK22" s="1435">
        <v>1</v>
      </c>
      <c r="AL22" s="1436">
        <f>AM22-SUM(AI22:AK22)</f>
        <v>1</v>
      </c>
      <c r="AM22" s="1437">
        <v>5</v>
      </c>
      <c r="AN22" s="337">
        <v>2</v>
      </c>
      <c r="AO22" s="338">
        <v>2</v>
      </c>
      <c r="AP22" s="1435">
        <v>2</v>
      </c>
      <c r="AQ22" s="1436">
        <f>AR22-SUM(AN22:AP22)</f>
        <v>2</v>
      </c>
      <c r="AR22" s="1437">
        <v>8</v>
      </c>
      <c r="AS22" s="337">
        <v>2</v>
      </c>
      <c r="AT22" s="338">
        <v>2</v>
      </c>
      <c r="AU22" s="338">
        <v>2</v>
      </c>
      <c r="AV22" s="1436">
        <f>AW22-SUM(AS22:AU22)</f>
        <v>3</v>
      </c>
      <c r="AW22" s="1437">
        <v>9</v>
      </c>
      <c r="AX22" s="300">
        <f>AX174</f>
        <v>3.278688524590164</v>
      </c>
      <c r="AY22" s="264">
        <f>AY174</f>
        <v>3.278688524590164</v>
      </c>
      <c r="AZ22" s="264">
        <f>AZ174</f>
        <v>3.278688524590164</v>
      </c>
      <c r="BA22" s="299">
        <f>BA174</f>
        <v>3.278688524590164</v>
      </c>
      <c r="BB22" s="340">
        <f>SUM(AX22:BA22)</f>
        <v>13.114754098360656</v>
      </c>
      <c r="BC22" s="300">
        <f>BC174</f>
        <v>3.4836065573770494</v>
      </c>
      <c r="BD22" s="264">
        <f>BD174</f>
        <v>3.4836065573770494</v>
      </c>
      <c r="BE22" s="264">
        <f>BE174</f>
        <v>3.4836065573770494</v>
      </c>
      <c r="BF22" s="299">
        <f>BF174</f>
        <v>3.4836065573770494</v>
      </c>
      <c r="BG22" s="340">
        <f>SUM(BC22:BF22)</f>
        <v>13.934426229508198</v>
      </c>
      <c r="BH22" s="300">
        <f>BH174</f>
        <v>3.2786885245901645</v>
      </c>
      <c r="BI22" s="264">
        <f>BI174</f>
        <v>3.2786885245901645</v>
      </c>
      <c r="BJ22" s="264">
        <f>BJ174</f>
        <v>3.2786885245901645</v>
      </c>
      <c r="BK22" s="299">
        <f>BK174</f>
        <v>3.2786885245901645</v>
      </c>
      <c r="BL22" s="340">
        <f>SUM(BH22:BK22)</f>
        <v>13.114754098360658</v>
      </c>
      <c r="BM22" s="300">
        <f>BM174</f>
        <v>3.2786885245901645</v>
      </c>
      <c r="BN22" s="264">
        <f>BN174</f>
        <v>3.2786885245901645</v>
      </c>
      <c r="BO22" s="264">
        <f>BO174</f>
        <v>3.2786885245901645</v>
      </c>
      <c r="BP22" s="299">
        <f>BP174</f>
        <v>3.2786885245901645</v>
      </c>
      <c r="BQ22" s="340">
        <f>SUM(BM22:BP22)</f>
        <v>13.114754098360658</v>
      </c>
      <c r="BR22" s="330"/>
      <c r="BS22" s="330"/>
      <c r="BT22" s="330"/>
      <c r="BU22" s="330"/>
      <c r="BV22" s="330"/>
      <c r="BW22" s="330"/>
      <c r="BX22" s="330"/>
      <c r="BY22" s="330"/>
      <c r="BZ22" s="330"/>
      <c r="CA22" s="330"/>
      <c r="CB22" s="330"/>
      <c r="CC22" s="330"/>
      <c r="CD22" s="330"/>
      <c r="CE22" s="330"/>
      <c r="CF22" s="330"/>
      <c r="CG22" s="330"/>
      <c r="CH22" s="330"/>
      <c r="CI22" s="330"/>
      <c r="CJ22" s="330"/>
      <c r="CK22" s="330"/>
      <c r="CL22" s="330"/>
      <c r="CM22" s="330"/>
      <c r="CN22" s="330"/>
      <c r="CO22" s="330"/>
      <c r="CP22" s="330"/>
      <c r="CQ22" s="330"/>
      <c r="CR22" s="330"/>
      <c r="CS22" s="330"/>
      <c r="CT22" s="330"/>
      <c r="CU22" s="330"/>
    </row>
    <row r="23" spans="1:104" ht="12.75" customHeight="1">
      <c r="A23" s="330"/>
      <c r="B23" s="330"/>
      <c r="C23" s="28" t="s">
        <v>123</v>
      </c>
      <c r="D23" s="330"/>
      <c r="E23" s="335">
        <f>5-E22</f>
        <v>4</v>
      </c>
      <c r="F23" s="336">
        <f>3-F22</f>
        <v>2</v>
      </c>
      <c r="G23" s="336">
        <f>2-G22</f>
        <v>1</v>
      </c>
      <c r="H23" s="586">
        <f>I23-SUM(E23:G23)</f>
        <v>2</v>
      </c>
      <c r="I23" s="427">
        <f>13-I22</f>
        <v>9</v>
      </c>
      <c r="J23" s="335">
        <f>4-J22</f>
        <v>2.5</v>
      </c>
      <c r="K23" s="336">
        <f>-1-K22</f>
        <v>-2.5</v>
      </c>
      <c r="L23" s="336">
        <f>3-L22</f>
        <v>1</v>
      </c>
      <c r="M23" s="586">
        <f>N23-SUM(J23:L23)</f>
        <v>0</v>
      </c>
      <c r="N23" s="427">
        <f>8-N22</f>
        <v>1</v>
      </c>
      <c r="O23" s="335">
        <f>6-O22</f>
        <v>2</v>
      </c>
      <c r="P23" s="336">
        <f>3-P22</f>
        <v>1</v>
      </c>
      <c r="Q23" s="336">
        <f>3-Q22</f>
        <v>1</v>
      </c>
      <c r="R23" s="586">
        <f>S23-SUM(O23:Q23)</f>
        <v>1</v>
      </c>
      <c r="S23" s="427">
        <f>14-S22</f>
        <v>5</v>
      </c>
      <c r="T23" s="335">
        <f>2-T22</f>
        <v>1</v>
      </c>
      <c r="U23" s="336">
        <f>2-U22</f>
        <v>1</v>
      </c>
      <c r="V23" s="336">
        <f>2-V22</f>
        <v>1</v>
      </c>
      <c r="W23" s="586">
        <f>X23-SUM(T23:V23)</f>
        <v>1</v>
      </c>
      <c r="X23" s="427">
        <f>8-X22</f>
        <v>4</v>
      </c>
      <c r="Y23" s="335">
        <f>3-Y22</f>
        <v>2</v>
      </c>
      <c r="Z23" s="336">
        <f>0-Z22</f>
        <v>-1</v>
      </c>
      <c r="AA23" s="1435">
        <f>1-AA22</f>
        <v>0</v>
      </c>
      <c r="AB23" s="1436">
        <f>AC23-SUM(Y23:AA23)</f>
        <v>1</v>
      </c>
      <c r="AC23" s="1437">
        <f>6-AC22</f>
        <v>2</v>
      </c>
      <c r="AD23" s="335">
        <f>2-AD22</f>
        <v>1</v>
      </c>
      <c r="AE23" s="336">
        <v>0</v>
      </c>
      <c r="AF23" s="1435">
        <f>2-AF22</f>
        <v>0</v>
      </c>
      <c r="AG23" s="1436">
        <f>AH23-SUM(AD23:AF23)</f>
        <v>0</v>
      </c>
      <c r="AH23" s="1437">
        <f>7-AH22</f>
        <v>1</v>
      </c>
      <c r="AI23" s="335">
        <f>1+2-AI22</f>
        <v>1</v>
      </c>
      <c r="AJ23" s="1435">
        <f>1-AJ22</f>
        <v>0</v>
      </c>
      <c r="AK23" s="1435">
        <f>1-AK22</f>
        <v>0</v>
      </c>
      <c r="AL23" s="1436">
        <f>AM23-SUM(AI23:AK23)</f>
        <v>1</v>
      </c>
      <c r="AM23" s="1437">
        <f>2+5-AM22</f>
        <v>2</v>
      </c>
      <c r="AN23" s="335">
        <f>2-AN22</f>
        <v>0</v>
      </c>
      <c r="AO23" s="1435">
        <f>2-AO22</f>
        <v>0</v>
      </c>
      <c r="AP23" s="1435">
        <f>2-AP22</f>
        <v>0</v>
      </c>
      <c r="AQ23" s="1436">
        <f>AR23-SUM(AN23:AP23)</f>
        <v>0</v>
      </c>
      <c r="AR23" s="1437">
        <f>8-AR22</f>
        <v>0</v>
      </c>
      <c r="AS23" s="335">
        <f>2-AS22</f>
        <v>0</v>
      </c>
      <c r="AT23" s="1435">
        <f>2-AT22</f>
        <v>0</v>
      </c>
      <c r="AU23" s="1435">
        <f t="shared" ref="AU23" si="24">2-AU22</f>
        <v>0</v>
      </c>
      <c r="AV23" s="1436">
        <f>AW23-SUM(AS23:AU23)</f>
        <v>0</v>
      </c>
      <c r="AW23" s="1437">
        <f>9-AW22</f>
        <v>0</v>
      </c>
      <c r="AX23" s="300">
        <f>+AS23</f>
        <v>0</v>
      </c>
      <c r="AY23" s="264">
        <f>+AT23</f>
        <v>0</v>
      </c>
      <c r="AZ23" s="264">
        <f>+AU23</f>
        <v>0</v>
      </c>
      <c r="BA23" s="299">
        <f>+AV23</f>
        <v>0</v>
      </c>
      <c r="BB23" s="340">
        <f>SUM(AX23:BA23)</f>
        <v>0</v>
      </c>
      <c r="BC23" s="300">
        <f>+AX23</f>
        <v>0</v>
      </c>
      <c r="BD23" s="264">
        <f>+AY23</f>
        <v>0</v>
      </c>
      <c r="BE23" s="264">
        <f>+AZ23</f>
        <v>0</v>
      </c>
      <c r="BF23" s="299">
        <f>+BA23</f>
        <v>0</v>
      </c>
      <c r="BG23" s="340">
        <f>SUM(BC23:BF23)</f>
        <v>0</v>
      </c>
      <c r="BH23" s="300">
        <f>+BC23</f>
        <v>0</v>
      </c>
      <c r="BI23" s="264">
        <f>+BD23</f>
        <v>0</v>
      </c>
      <c r="BJ23" s="264">
        <f>+BE23</f>
        <v>0</v>
      </c>
      <c r="BK23" s="299">
        <f>+BF23</f>
        <v>0</v>
      </c>
      <c r="BL23" s="340">
        <f>SUM(BH23:BK23)</f>
        <v>0</v>
      </c>
      <c r="BM23" s="300">
        <f>+BH23</f>
        <v>0</v>
      </c>
      <c r="BN23" s="264">
        <f>+BI23</f>
        <v>0</v>
      </c>
      <c r="BO23" s="264">
        <f>+BJ23</f>
        <v>0</v>
      </c>
      <c r="BP23" s="299">
        <f>+BK23</f>
        <v>0</v>
      </c>
      <c r="BQ23" s="340">
        <f>SUM(BM23:BP23)</f>
        <v>0</v>
      </c>
      <c r="BR23" s="330"/>
      <c r="BS23" s="330"/>
      <c r="BT23" s="330"/>
      <c r="BU23" s="330"/>
      <c r="BV23" s="330"/>
      <c r="BW23" s="330"/>
      <c r="BX23" s="330"/>
      <c r="BY23" s="330"/>
      <c r="BZ23" s="330"/>
      <c r="CA23" s="45"/>
      <c r="CB23" s="330"/>
      <c r="CC23" s="330"/>
      <c r="CD23" s="330"/>
      <c r="CE23" s="330"/>
      <c r="CF23" s="330"/>
      <c r="CG23" s="330"/>
      <c r="CH23" s="330"/>
      <c r="CI23" s="330"/>
      <c r="CJ23" s="330"/>
      <c r="CK23" s="330"/>
      <c r="CL23" s="330"/>
      <c r="CM23" s="330"/>
      <c r="CN23" s="330"/>
      <c r="CO23" s="330"/>
      <c r="CP23" s="330"/>
      <c r="CQ23" s="330"/>
      <c r="CR23" s="330"/>
      <c r="CS23" s="330"/>
      <c r="CT23" s="330"/>
      <c r="CU23" s="330"/>
    </row>
    <row r="24" spans="1:104" s="34" customFormat="1" ht="12.75" customHeight="1">
      <c r="A24" s="228"/>
      <c r="B24" s="228"/>
      <c r="C24" s="32" t="s">
        <v>86</v>
      </c>
      <c r="D24" s="228"/>
      <c r="E24" s="292">
        <f>SUM(E22:E23)</f>
        <v>5</v>
      </c>
      <c r="F24" s="261">
        <f t="shared" ref="F24:W24" si="25">SUM(F22:F23)</f>
        <v>3</v>
      </c>
      <c r="G24" s="261">
        <f t="shared" si="25"/>
        <v>2</v>
      </c>
      <c r="H24" s="293">
        <f t="shared" si="25"/>
        <v>3</v>
      </c>
      <c r="I24" s="228">
        <f t="shared" si="25"/>
        <v>13</v>
      </c>
      <c r="J24" s="292">
        <f t="shared" si="25"/>
        <v>4</v>
      </c>
      <c r="K24" s="261">
        <f t="shared" si="25"/>
        <v>-1</v>
      </c>
      <c r="L24" s="261">
        <f t="shared" si="25"/>
        <v>3</v>
      </c>
      <c r="M24" s="293">
        <f t="shared" si="25"/>
        <v>2</v>
      </c>
      <c r="N24" s="228">
        <f t="shared" si="25"/>
        <v>8</v>
      </c>
      <c r="O24" s="292">
        <f t="shared" si="25"/>
        <v>6</v>
      </c>
      <c r="P24" s="261">
        <f t="shared" si="25"/>
        <v>3</v>
      </c>
      <c r="Q24" s="261">
        <f t="shared" si="25"/>
        <v>3</v>
      </c>
      <c r="R24" s="293">
        <f t="shared" si="25"/>
        <v>2</v>
      </c>
      <c r="S24" s="228">
        <f t="shared" si="25"/>
        <v>14</v>
      </c>
      <c r="T24" s="292">
        <f t="shared" si="25"/>
        <v>2</v>
      </c>
      <c r="U24" s="261">
        <f t="shared" si="25"/>
        <v>2</v>
      </c>
      <c r="V24" s="261">
        <f t="shared" si="25"/>
        <v>2</v>
      </c>
      <c r="W24" s="293">
        <f t="shared" si="25"/>
        <v>2</v>
      </c>
      <c r="X24" s="228">
        <f>SUM(X22:X23)</f>
        <v>8</v>
      </c>
      <c r="Y24" s="292">
        <f>SUM(Y22:Y23)</f>
        <v>3</v>
      </c>
      <c r="Z24" s="261">
        <f t="shared" ref="Z24:AE24" si="26">SUM(Z22:Z23)</f>
        <v>0</v>
      </c>
      <c r="AA24" s="1438">
        <f t="shared" si="26"/>
        <v>1</v>
      </c>
      <c r="AB24" s="1439">
        <f>SUM(AB22:AB23)</f>
        <v>2</v>
      </c>
      <c r="AC24" s="1440">
        <f>SUM(AC22:AC23)</f>
        <v>6</v>
      </c>
      <c r="AD24" s="292">
        <f>SUM(AD22:AD23)</f>
        <v>2</v>
      </c>
      <c r="AE24" s="261">
        <f t="shared" si="26"/>
        <v>1</v>
      </c>
      <c r="AF24" s="1438">
        <f t="shared" ref="AF24" si="27">SUM(AF22:AF23)</f>
        <v>2</v>
      </c>
      <c r="AG24" s="1439">
        <f>SUM(AG22:AG23)</f>
        <v>2</v>
      </c>
      <c r="AH24" s="1440">
        <f>SUM(AH22:AH23)</f>
        <v>7</v>
      </c>
      <c r="AI24" s="292">
        <f>SUM(AI22:AI23)</f>
        <v>3</v>
      </c>
      <c r="AJ24" s="261">
        <f t="shared" ref="AJ24:AK24" si="28">SUM(AJ22:AJ23)</f>
        <v>1</v>
      </c>
      <c r="AK24" s="1438">
        <f t="shared" si="28"/>
        <v>1</v>
      </c>
      <c r="AL24" s="1439">
        <f>SUM(AL22:AL23)</f>
        <v>2</v>
      </c>
      <c r="AM24" s="1440">
        <f>SUM(AM22:AM23)</f>
        <v>7</v>
      </c>
      <c r="AN24" s="292">
        <f>SUM(AN22:AN23)</f>
        <v>2</v>
      </c>
      <c r="AO24" s="261">
        <f t="shared" ref="AO24:AP24" si="29">SUM(AO22:AO23)</f>
        <v>2</v>
      </c>
      <c r="AP24" s="1438">
        <f t="shared" si="29"/>
        <v>2</v>
      </c>
      <c r="AQ24" s="1439">
        <f>SUM(AQ22:AQ23)</f>
        <v>2</v>
      </c>
      <c r="AR24" s="1440">
        <f>SUM(AR22:AR23)</f>
        <v>8</v>
      </c>
      <c r="AS24" s="292">
        <f>SUM(AS22:AS23)</f>
        <v>2</v>
      </c>
      <c r="AT24" s="261">
        <f t="shared" ref="AT24:AU24" si="30">SUM(AT22:AT23)</f>
        <v>2</v>
      </c>
      <c r="AU24" s="261">
        <f t="shared" si="30"/>
        <v>2</v>
      </c>
      <c r="AV24" s="1439">
        <f>SUM(AV22:AV23)</f>
        <v>3</v>
      </c>
      <c r="AW24" s="1440">
        <f>SUM(AW22:AW23)</f>
        <v>9</v>
      </c>
      <c r="AX24" s="292">
        <f t="shared" ref="AX24:BL24" si="31">SUM(AX22:AX23)</f>
        <v>3.278688524590164</v>
      </c>
      <c r="AY24" s="261">
        <f t="shared" si="31"/>
        <v>3.278688524590164</v>
      </c>
      <c r="AZ24" s="261">
        <f t="shared" si="31"/>
        <v>3.278688524590164</v>
      </c>
      <c r="BA24" s="293">
        <f t="shared" si="31"/>
        <v>3.278688524590164</v>
      </c>
      <c r="BB24" s="228">
        <f t="shared" si="31"/>
        <v>13.114754098360656</v>
      </c>
      <c r="BC24" s="292">
        <f t="shared" si="31"/>
        <v>3.4836065573770494</v>
      </c>
      <c r="BD24" s="261">
        <f t="shared" si="31"/>
        <v>3.4836065573770494</v>
      </c>
      <c r="BE24" s="261">
        <f t="shared" si="31"/>
        <v>3.4836065573770494</v>
      </c>
      <c r="BF24" s="293">
        <f t="shared" si="31"/>
        <v>3.4836065573770494</v>
      </c>
      <c r="BG24" s="228">
        <f t="shared" si="31"/>
        <v>13.934426229508198</v>
      </c>
      <c r="BH24" s="292">
        <f t="shared" si="31"/>
        <v>3.2786885245901645</v>
      </c>
      <c r="BI24" s="261">
        <f t="shared" si="31"/>
        <v>3.2786885245901645</v>
      </c>
      <c r="BJ24" s="261">
        <f t="shared" si="31"/>
        <v>3.2786885245901645</v>
      </c>
      <c r="BK24" s="293">
        <f t="shared" si="31"/>
        <v>3.2786885245901645</v>
      </c>
      <c r="BL24" s="228">
        <f t="shared" si="31"/>
        <v>13.114754098360658</v>
      </c>
      <c r="BM24" s="292">
        <f t="shared" ref="BM24:BQ24" si="32">SUM(BM22:BM23)</f>
        <v>3.2786885245901645</v>
      </c>
      <c r="BN24" s="261">
        <f t="shared" si="32"/>
        <v>3.2786885245901645</v>
      </c>
      <c r="BO24" s="261">
        <f t="shared" si="32"/>
        <v>3.2786885245901645</v>
      </c>
      <c r="BP24" s="293">
        <f t="shared" si="32"/>
        <v>3.2786885245901645</v>
      </c>
      <c r="BQ24" s="228">
        <f t="shared" si="32"/>
        <v>13.114754098360658</v>
      </c>
      <c r="BR24" s="228"/>
      <c r="BS24" s="228"/>
      <c r="BT24" s="228"/>
      <c r="BU24" s="228"/>
      <c r="BV24" s="228"/>
      <c r="BW24" s="228"/>
      <c r="BX24" s="228"/>
      <c r="BY24" s="228"/>
      <c r="BZ24" s="228"/>
      <c r="CA24" s="228"/>
      <c r="CB24" s="228"/>
      <c r="CC24" s="228"/>
      <c r="CD24" s="228"/>
      <c r="CE24" s="228"/>
      <c r="CF24" s="228"/>
      <c r="CG24" s="228"/>
      <c r="CH24" s="228"/>
      <c r="CI24" s="228"/>
      <c r="CJ24" s="228"/>
      <c r="CK24" s="228"/>
      <c r="CL24" s="228"/>
      <c r="CM24" s="228"/>
      <c r="CN24" s="228"/>
      <c r="CO24" s="228"/>
      <c r="CP24" s="228"/>
      <c r="CQ24" s="228"/>
      <c r="CR24" s="228"/>
      <c r="CS24" s="228"/>
      <c r="CT24" s="228"/>
      <c r="CU24" s="228"/>
    </row>
    <row r="25" spans="1:104" ht="12.75" customHeight="1">
      <c r="A25" s="330"/>
      <c r="B25" s="330"/>
      <c r="C25" s="28"/>
      <c r="D25" s="330"/>
      <c r="E25" s="306"/>
      <c r="F25" s="264"/>
      <c r="G25" s="266"/>
      <c r="H25" s="307"/>
      <c r="I25" s="426"/>
      <c r="J25" s="306"/>
      <c r="K25" s="264"/>
      <c r="L25" s="266"/>
      <c r="M25" s="307"/>
      <c r="N25" s="426"/>
      <c r="O25" s="306"/>
      <c r="P25" s="264"/>
      <c r="Q25" s="266"/>
      <c r="R25" s="307"/>
      <c r="S25" s="426"/>
      <c r="T25" s="306"/>
      <c r="U25" s="266"/>
      <c r="V25" s="266"/>
      <c r="W25" s="307"/>
      <c r="X25" s="426"/>
      <c r="Y25" s="300"/>
      <c r="Z25" s="266"/>
      <c r="AA25" s="1444"/>
      <c r="AB25" s="1445"/>
      <c r="AC25" s="1446"/>
      <c r="AD25" s="300"/>
      <c r="AE25" s="266"/>
      <c r="AF25" s="1444"/>
      <c r="AG25" s="1445"/>
      <c r="AH25" s="1446"/>
      <c r="AI25" s="300"/>
      <c r="AJ25" s="266"/>
      <c r="AK25" s="1444"/>
      <c r="AL25" s="1445"/>
      <c r="AM25" s="1446"/>
      <c r="AN25" s="300"/>
      <c r="AO25" s="266"/>
      <c r="AP25" s="1444"/>
      <c r="AQ25" s="1445"/>
      <c r="AR25" s="1446"/>
      <c r="AS25" s="300"/>
      <c r="AT25" s="266"/>
      <c r="AU25" s="264"/>
      <c r="AV25" s="1445"/>
      <c r="AW25" s="1446"/>
      <c r="AX25" s="300"/>
      <c r="AY25" s="264"/>
      <c r="AZ25" s="264"/>
      <c r="BA25" s="299"/>
      <c r="BB25" s="330"/>
      <c r="BC25" s="300"/>
      <c r="BD25" s="264"/>
      <c r="BE25" s="264"/>
      <c r="BF25" s="299"/>
      <c r="BG25" s="330"/>
      <c r="BH25" s="300"/>
      <c r="BI25" s="264"/>
      <c r="BJ25" s="264"/>
      <c r="BK25" s="299"/>
      <c r="BL25" s="330"/>
      <c r="BM25" s="300"/>
      <c r="BN25" s="264"/>
      <c r="BO25" s="264"/>
      <c r="BP25" s="299"/>
      <c r="BQ25" s="330"/>
      <c r="BR25" s="330"/>
      <c r="BS25" s="330"/>
      <c r="BT25" s="330"/>
      <c r="BU25" s="330"/>
      <c r="BV25" s="330"/>
      <c r="BW25" s="330"/>
      <c r="BX25" s="330"/>
      <c r="BY25" s="330"/>
      <c r="BZ25" s="584"/>
      <c r="CA25" s="330"/>
      <c r="CB25" s="330"/>
      <c r="CC25" s="330"/>
      <c r="CD25" s="330"/>
      <c r="CE25" s="330"/>
      <c r="CF25" s="330"/>
      <c r="CG25" s="330"/>
      <c r="CH25" s="330"/>
      <c r="CI25" s="330"/>
      <c r="CJ25" s="330"/>
      <c r="CK25" s="330"/>
      <c r="CL25" s="330"/>
      <c r="CM25" s="330"/>
      <c r="CN25" s="330"/>
      <c r="CO25" s="330"/>
      <c r="CP25" s="330"/>
      <c r="CQ25" s="330"/>
      <c r="CR25" s="330"/>
      <c r="CS25" s="330"/>
      <c r="CT25" s="330"/>
      <c r="CU25" s="330"/>
    </row>
    <row r="26" spans="1:104" ht="12.75" customHeight="1">
      <c r="A26" s="330"/>
      <c r="B26" s="330"/>
      <c r="C26" s="32" t="s">
        <v>475</v>
      </c>
      <c r="D26" s="330"/>
      <c r="E26" s="292">
        <f t="shared" ref="E26:N26" si="33">E20+E24</f>
        <v>208</v>
      </c>
      <c r="F26" s="261">
        <f t="shared" si="33"/>
        <v>151</v>
      </c>
      <c r="G26" s="261">
        <f t="shared" si="33"/>
        <v>168</v>
      </c>
      <c r="H26" s="293">
        <f t="shared" si="33"/>
        <v>159</v>
      </c>
      <c r="I26" s="228">
        <f t="shared" si="33"/>
        <v>686</v>
      </c>
      <c r="J26" s="292">
        <f t="shared" si="33"/>
        <v>198</v>
      </c>
      <c r="K26" s="261">
        <f t="shared" si="33"/>
        <v>181</v>
      </c>
      <c r="L26" s="261">
        <f>L20+L24</f>
        <v>218</v>
      </c>
      <c r="M26" s="293">
        <f t="shared" si="33"/>
        <v>72</v>
      </c>
      <c r="N26" s="228">
        <f t="shared" si="33"/>
        <v>669</v>
      </c>
      <c r="O26" s="292">
        <f t="shared" ref="O26:AE26" si="34">O20+O24</f>
        <v>216</v>
      </c>
      <c r="P26" s="261">
        <f t="shared" si="34"/>
        <v>164</v>
      </c>
      <c r="Q26" s="261">
        <f t="shared" si="34"/>
        <v>156</v>
      </c>
      <c r="R26" s="293">
        <f t="shared" si="34"/>
        <v>133</v>
      </c>
      <c r="S26" s="228">
        <f t="shared" si="34"/>
        <v>669</v>
      </c>
      <c r="T26" s="292">
        <f t="shared" si="34"/>
        <v>179</v>
      </c>
      <c r="U26" s="261">
        <f>U20+U24</f>
        <v>153</v>
      </c>
      <c r="V26" s="261">
        <f>V20+V24</f>
        <v>179.99999999999989</v>
      </c>
      <c r="W26" s="293">
        <f>W20+W24</f>
        <v>119.00000000000011</v>
      </c>
      <c r="X26" s="228">
        <f>X20+X24</f>
        <v>630.99999999999955</v>
      </c>
      <c r="Y26" s="292">
        <f>Y20+Y24</f>
        <v>206</v>
      </c>
      <c r="Z26" s="261">
        <f t="shared" si="34"/>
        <v>138</v>
      </c>
      <c r="AA26" s="1438">
        <f>AA20+AA24</f>
        <v>156</v>
      </c>
      <c r="AB26" s="1439">
        <f>AB20+AB24</f>
        <v>172.00000000000011</v>
      </c>
      <c r="AC26" s="1440">
        <f>AC20+AC24</f>
        <v>672</v>
      </c>
      <c r="AD26" s="292">
        <f>AD20+AD24</f>
        <v>151</v>
      </c>
      <c r="AE26" s="261">
        <f t="shared" si="34"/>
        <v>135</v>
      </c>
      <c r="AF26" s="1438">
        <f>AF20+AF24</f>
        <v>135</v>
      </c>
      <c r="AG26" s="1439">
        <f>AG20+AG24</f>
        <v>158</v>
      </c>
      <c r="AH26" s="1440">
        <f>AH20+AH24</f>
        <v>579</v>
      </c>
      <c r="AI26" s="292">
        <f>AI20+AI24</f>
        <v>225</v>
      </c>
      <c r="AJ26" s="261">
        <f t="shared" ref="AJ26" si="35">AJ20+AJ24</f>
        <v>125</v>
      </c>
      <c r="AK26" s="1438">
        <f>AK20+AK24</f>
        <v>155</v>
      </c>
      <c r="AL26" s="1439">
        <f>AL20+AL24</f>
        <v>130.00000000000011</v>
      </c>
      <c r="AM26" s="1440">
        <f>AM20+AM24</f>
        <v>635</v>
      </c>
      <c r="AN26" s="292">
        <f>AN20+AN24</f>
        <v>198</v>
      </c>
      <c r="AO26" s="261">
        <f t="shared" ref="AO26" si="36">AO20+AO24</f>
        <v>154</v>
      </c>
      <c r="AP26" s="1438">
        <f>AP20+AP24</f>
        <v>206</v>
      </c>
      <c r="AQ26" s="1439">
        <f>AQ20+AQ24</f>
        <v>152</v>
      </c>
      <c r="AR26" s="1440">
        <f>AR20+AR24</f>
        <v>710</v>
      </c>
      <c r="AS26" s="292">
        <f t="shared" ref="AS26:BB26" si="37">AS20+AS24</f>
        <v>194</v>
      </c>
      <c r="AT26" s="261">
        <f t="shared" si="37"/>
        <v>139</v>
      </c>
      <c r="AU26" s="261">
        <f t="shared" ref="AU26" si="38">AU20+AU24</f>
        <v>171</v>
      </c>
      <c r="AV26" s="1439">
        <f>AV20+AV24</f>
        <v>160.00000000000011</v>
      </c>
      <c r="AW26" s="1440">
        <f>AW20+AW24</f>
        <v>664</v>
      </c>
      <c r="AX26" s="292">
        <f t="shared" si="37"/>
        <v>202.19058470848722</v>
      </c>
      <c r="AY26" s="261">
        <f t="shared" si="37"/>
        <v>142.78532295641423</v>
      </c>
      <c r="AZ26" s="261">
        <f t="shared" si="37"/>
        <v>169.16887854846823</v>
      </c>
      <c r="BA26" s="293">
        <f t="shared" si="37"/>
        <v>159.3634457393282</v>
      </c>
      <c r="BB26" s="228">
        <f t="shared" si="37"/>
        <v>673.50823195269868</v>
      </c>
      <c r="BC26" s="292">
        <f t="shared" ref="BC26:BL26" si="39">BC20+BC24</f>
        <v>216.7144734924847</v>
      </c>
      <c r="BD26" s="261">
        <f t="shared" si="39"/>
        <v>156.45154464408998</v>
      </c>
      <c r="BE26" s="261">
        <f t="shared" si="39"/>
        <v>183.03978574627936</v>
      </c>
      <c r="BF26" s="293">
        <f t="shared" si="39"/>
        <v>173.24964292163114</v>
      </c>
      <c r="BG26" s="228">
        <f t="shared" si="39"/>
        <v>729.45544680448495</v>
      </c>
      <c r="BH26" s="292">
        <f t="shared" si="39"/>
        <v>232.14297814550821</v>
      </c>
      <c r="BI26" s="261">
        <f t="shared" si="39"/>
        <v>171.12771233266426</v>
      </c>
      <c r="BJ26" s="261">
        <f t="shared" si="39"/>
        <v>198.2766193570327</v>
      </c>
      <c r="BK26" s="293">
        <f t="shared" si="39"/>
        <v>188.85485096811806</v>
      </c>
      <c r="BL26" s="228">
        <f t="shared" si="39"/>
        <v>790.40216080332357</v>
      </c>
      <c r="BM26" s="292">
        <f t="shared" ref="BM26:BQ26" si="40">BM20+BM24</f>
        <v>241.30912174280411</v>
      </c>
      <c r="BN26" s="261">
        <f t="shared" si="40"/>
        <v>179.72731014133444</v>
      </c>
      <c r="BO26" s="261">
        <f t="shared" si="40"/>
        <v>207.18354643665157</v>
      </c>
      <c r="BP26" s="293">
        <f t="shared" si="40"/>
        <v>197.87917788411085</v>
      </c>
      <c r="BQ26" s="228">
        <f t="shared" si="40"/>
        <v>826.09915620490074</v>
      </c>
      <c r="BR26" s="330"/>
      <c r="BS26" s="330"/>
      <c r="BT26" s="330"/>
      <c r="BU26" s="330"/>
      <c r="BV26" s="330"/>
      <c r="BW26" s="330"/>
      <c r="BX26" s="330"/>
      <c r="BY26" s="330"/>
      <c r="BZ26" s="584"/>
      <c r="CA26" s="330"/>
      <c r="CB26" s="330"/>
      <c r="CC26" s="330"/>
      <c r="CD26" s="330"/>
      <c r="CE26" s="330"/>
      <c r="CF26" s="330"/>
      <c r="CG26" s="330"/>
      <c r="CH26" s="330"/>
      <c r="CI26" s="330"/>
      <c r="CJ26" s="330"/>
      <c r="CK26" s="330"/>
      <c r="CL26" s="330"/>
      <c r="CM26" s="330"/>
      <c r="CN26" s="330"/>
      <c r="CO26" s="330"/>
      <c r="CP26" s="330"/>
      <c r="CQ26" s="330"/>
      <c r="CR26" s="330"/>
      <c r="CS26" s="330"/>
      <c r="CT26" s="330"/>
      <c r="CU26" s="330"/>
    </row>
    <row r="27" spans="1:104" ht="12.75" customHeight="1">
      <c r="A27" s="330"/>
      <c r="B27" s="330"/>
      <c r="C27" s="32" t="s">
        <v>66</v>
      </c>
      <c r="D27" s="330"/>
      <c r="E27" s="292">
        <f t="shared" ref="E27:AE27" si="41">+E26+E14</f>
        <v>433</v>
      </c>
      <c r="F27" s="261">
        <f t="shared" si="41"/>
        <v>381</v>
      </c>
      <c r="G27" s="261">
        <f t="shared" si="41"/>
        <v>440</v>
      </c>
      <c r="H27" s="293">
        <f t="shared" si="41"/>
        <v>384</v>
      </c>
      <c r="I27" s="228">
        <f t="shared" si="41"/>
        <v>1638</v>
      </c>
      <c r="J27" s="292">
        <f t="shared" si="41"/>
        <v>463</v>
      </c>
      <c r="K27" s="261">
        <f t="shared" si="41"/>
        <v>449</v>
      </c>
      <c r="L27" s="261">
        <f t="shared" si="41"/>
        <v>544</v>
      </c>
      <c r="M27" s="293">
        <f t="shared" si="41"/>
        <v>273</v>
      </c>
      <c r="N27" s="228">
        <f t="shared" si="41"/>
        <v>1729</v>
      </c>
      <c r="O27" s="292">
        <f t="shared" si="41"/>
        <v>264</v>
      </c>
      <c r="P27" s="261">
        <f t="shared" si="41"/>
        <v>214</v>
      </c>
      <c r="Q27" s="261">
        <f t="shared" si="41"/>
        <v>207</v>
      </c>
      <c r="R27" s="293">
        <f t="shared" si="41"/>
        <v>186</v>
      </c>
      <c r="S27" s="228">
        <f t="shared" si="41"/>
        <v>871</v>
      </c>
      <c r="T27" s="292">
        <f t="shared" si="41"/>
        <v>232</v>
      </c>
      <c r="U27" s="261">
        <f t="shared" si="41"/>
        <v>207</v>
      </c>
      <c r="V27" s="261">
        <f t="shared" si="41"/>
        <v>234.99999999999989</v>
      </c>
      <c r="W27" s="293">
        <f t="shared" si="41"/>
        <v>174.00000000000011</v>
      </c>
      <c r="X27" s="228">
        <f t="shared" si="41"/>
        <v>847.99999999999955</v>
      </c>
      <c r="Y27" s="292">
        <f t="shared" si="41"/>
        <v>263</v>
      </c>
      <c r="Z27" s="261">
        <f t="shared" si="41"/>
        <v>194</v>
      </c>
      <c r="AA27" s="1438">
        <f t="shared" si="41"/>
        <v>213</v>
      </c>
      <c r="AB27" s="1439">
        <f>+AB26+AB14</f>
        <v>230.00000000000011</v>
      </c>
      <c r="AC27" s="1440">
        <f>+AC26+AC14</f>
        <v>900</v>
      </c>
      <c r="AD27" s="292">
        <f t="shared" si="41"/>
        <v>209</v>
      </c>
      <c r="AE27" s="261">
        <f t="shared" si="41"/>
        <v>194</v>
      </c>
      <c r="AF27" s="1438">
        <f t="shared" ref="AF27" si="42">+AF26+AF14</f>
        <v>194</v>
      </c>
      <c r="AG27" s="1439">
        <f>+AG26+AG14</f>
        <v>218</v>
      </c>
      <c r="AH27" s="1440">
        <f>+AH26+AH14</f>
        <v>815</v>
      </c>
      <c r="AI27" s="292">
        <f t="shared" ref="AI27:AK27" si="43">+AI26+AI14</f>
        <v>287</v>
      </c>
      <c r="AJ27" s="261">
        <f t="shared" si="43"/>
        <v>194</v>
      </c>
      <c r="AK27" s="1438">
        <f t="shared" si="43"/>
        <v>223</v>
      </c>
      <c r="AL27" s="1439">
        <f>+AL26+AL14</f>
        <v>191.00000000000011</v>
      </c>
      <c r="AM27" s="1440">
        <f>+AM26+AM14</f>
        <v>895</v>
      </c>
      <c r="AN27" s="292">
        <f t="shared" ref="AN27:AP27" si="44">+AN26+AN14</f>
        <v>265</v>
      </c>
      <c r="AO27" s="261">
        <f t="shared" si="44"/>
        <v>221</v>
      </c>
      <c r="AP27" s="1438">
        <f t="shared" si="44"/>
        <v>273</v>
      </c>
      <c r="AQ27" s="1439">
        <f>+AQ26+AQ14</f>
        <v>221</v>
      </c>
      <c r="AR27" s="1440">
        <f>+AR26+AR14</f>
        <v>980</v>
      </c>
      <c r="AS27" s="292">
        <f t="shared" ref="AS27:BB27" si="45">+AS26+AS14</f>
        <v>265</v>
      </c>
      <c r="AT27" s="261">
        <f t="shared" si="45"/>
        <v>210</v>
      </c>
      <c r="AU27" s="261">
        <f t="shared" ref="AU27" si="46">+AU26+AU14</f>
        <v>243</v>
      </c>
      <c r="AV27" s="1439">
        <f>+AV26+AV14</f>
        <v>232.00000000000011</v>
      </c>
      <c r="AW27" s="1440">
        <f>+AW26+AW14</f>
        <v>950</v>
      </c>
      <c r="AX27" s="292">
        <f t="shared" si="45"/>
        <v>268.9524524127674</v>
      </c>
      <c r="AY27" s="261">
        <f t="shared" si="45"/>
        <v>210.48576462387308</v>
      </c>
      <c r="AZ27" s="261">
        <f t="shared" si="45"/>
        <v>238.00184561799551</v>
      </c>
      <c r="BA27" s="293">
        <f t="shared" si="45"/>
        <v>229.31924344094514</v>
      </c>
      <c r="BB27" s="228">
        <f t="shared" si="45"/>
        <v>946.75930609558191</v>
      </c>
      <c r="BC27" s="292">
        <f t="shared" ref="BC27:BL27" si="47">+BC26+BC14</f>
        <v>287.78349004646134</v>
      </c>
      <c r="BD27" s="261">
        <f t="shared" si="47"/>
        <v>228.5827353796781</v>
      </c>
      <c r="BE27" s="261">
        <f t="shared" si="47"/>
        <v>256.37257718374184</v>
      </c>
      <c r="BF27" s="293">
        <f t="shared" si="47"/>
        <v>247.77374898492076</v>
      </c>
      <c r="BG27" s="228">
        <f t="shared" si="47"/>
        <v>1020.5125515948018</v>
      </c>
      <c r="BH27" s="292">
        <f t="shared" si="47"/>
        <v>307.8482008105907</v>
      </c>
      <c r="BI27" s="261">
        <f t="shared" si="47"/>
        <v>247.90665059713942</v>
      </c>
      <c r="BJ27" s="261">
        <f t="shared" si="47"/>
        <v>275.9715628192439</v>
      </c>
      <c r="BK27" s="293">
        <f t="shared" si="47"/>
        <v>267.45795833843482</v>
      </c>
      <c r="BL27" s="228">
        <f t="shared" si="47"/>
        <v>1099.1843725654091</v>
      </c>
      <c r="BM27" s="292">
        <f t="shared" ref="BM27:BQ27" si="48">+BM26+BM14</f>
        <v>320.8126188554761</v>
      </c>
      <c r="BN27" s="261">
        <f t="shared" si="48"/>
        <v>260.1234893798902</v>
      </c>
      <c r="BO27" s="261">
        <f t="shared" si="48"/>
        <v>288.4647661642158</v>
      </c>
      <c r="BP27" s="293">
        <f t="shared" si="48"/>
        <v>280.03786187859862</v>
      </c>
      <c r="BQ27" s="228">
        <f t="shared" si="48"/>
        <v>1149.4387362781804</v>
      </c>
      <c r="BR27" s="330"/>
      <c r="BS27" s="330"/>
      <c r="BT27" s="330"/>
      <c r="BU27" s="330"/>
      <c r="BV27" s="330"/>
      <c r="BW27" s="330"/>
      <c r="BX27" s="330"/>
      <c r="BY27" s="330"/>
      <c r="BZ27" s="584"/>
      <c r="CA27" s="330"/>
      <c r="CB27" s="330"/>
      <c r="CC27" s="330"/>
      <c r="CD27" s="330"/>
      <c r="CE27" s="330"/>
      <c r="CF27" s="330"/>
      <c r="CG27" s="330"/>
      <c r="CH27" s="330"/>
      <c r="CI27" s="330"/>
      <c r="CJ27" s="330"/>
      <c r="CK27" s="330"/>
      <c r="CL27" s="330"/>
      <c r="CM27" s="330"/>
      <c r="CN27" s="330"/>
      <c r="CO27" s="330"/>
      <c r="CP27" s="330"/>
      <c r="CQ27" s="330"/>
      <c r="CR27" s="330"/>
      <c r="CS27" s="330"/>
      <c r="CT27" s="330"/>
      <c r="CU27" s="330"/>
    </row>
    <row r="28" spans="1:104" ht="12.75" customHeight="1">
      <c r="A28" s="330"/>
      <c r="B28" s="330"/>
      <c r="C28" s="32"/>
      <c r="D28" s="330"/>
      <c r="E28" s="306"/>
      <c r="F28" s="264"/>
      <c r="G28" s="266"/>
      <c r="H28" s="307"/>
      <c r="I28" s="426"/>
      <c r="J28" s="306"/>
      <c r="K28" s="264"/>
      <c r="L28" s="266"/>
      <c r="M28" s="307"/>
      <c r="N28" s="426"/>
      <c r="O28" s="306"/>
      <c r="P28" s="264"/>
      <c r="Q28" s="266"/>
      <c r="R28" s="307"/>
      <c r="S28" s="426"/>
      <c r="T28" s="306"/>
      <c r="U28" s="266"/>
      <c r="V28" s="266"/>
      <c r="W28" s="307"/>
      <c r="X28" s="426"/>
      <c r="Y28" s="306"/>
      <c r="Z28" s="266"/>
      <c r="AA28" s="1444"/>
      <c r="AB28" s="1445"/>
      <c r="AC28" s="1446"/>
      <c r="AD28" s="306"/>
      <c r="AE28" s="266"/>
      <c r="AF28" s="1444"/>
      <c r="AG28" s="1445"/>
      <c r="AH28" s="1446"/>
      <c r="AI28" s="306"/>
      <c r="AJ28" s="266"/>
      <c r="AK28" s="1444"/>
      <c r="AL28" s="1445"/>
      <c r="AM28" s="1446"/>
      <c r="AN28" s="306"/>
      <c r="AO28" s="266"/>
      <c r="AP28" s="1444"/>
      <c r="AQ28" s="1445"/>
      <c r="AR28" s="1446"/>
      <c r="AS28" s="292"/>
      <c r="AT28" s="266"/>
      <c r="AU28" s="261"/>
      <c r="AV28" s="1445"/>
      <c r="AW28" s="1446"/>
      <c r="AX28" s="292"/>
      <c r="AY28" s="261"/>
      <c r="AZ28" s="261"/>
      <c r="BA28" s="293"/>
      <c r="BB28" s="228"/>
      <c r="BC28" s="292"/>
      <c r="BD28" s="261"/>
      <c r="BE28" s="261"/>
      <c r="BF28" s="293"/>
      <c r="BG28" s="228"/>
      <c r="BH28" s="292"/>
      <c r="BI28" s="261"/>
      <c r="BJ28" s="261"/>
      <c r="BK28" s="293"/>
      <c r="BL28" s="228"/>
      <c r="BM28" s="292"/>
      <c r="BN28" s="261"/>
      <c r="BO28" s="261"/>
      <c r="BP28" s="293"/>
      <c r="BQ28" s="228"/>
      <c r="BR28" s="330"/>
      <c r="BS28" s="330"/>
      <c r="BT28" s="330"/>
      <c r="BU28" s="330"/>
      <c r="BV28" s="330"/>
      <c r="BW28" s="330"/>
      <c r="BX28" s="330"/>
      <c r="BY28" s="330"/>
      <c r="BZ28" s="584"/>
      <c r="CA28" s="330"/>
      <c r="CB28" s="330"/>
      <c r="CC28" s="330"/>
      <c r="CD28" s="330"/>
      <c r="CE28" s="330"/>
      <c r="CF28" s="330"/>
      <c r="CG28" s="330"/>
      <c r="CH28" s="330"/>
      <c r="CI28" s="330"/>
      <c r="CJ28" s="330"/>
      <c r="CK28" s="330"/>
      <c r="CL28" s="330"/>
      <c r="CM28" s="330"/>
      <c r="CN28" s="330"/>
      <c r="CO28" s="330"/>
      <c r="CP28" s="330"/>
      <c r="CQ28" s="330"/>
      <c r="CR28" s="330"/>
      <c r="CS28" s="330"/>
      <c r="CT28" s="330"/>
      <c r="CU28" s="330"/>
    </row>
    <row r="29" spans="1:104" s="232" customFormat="1" ht="12.75" customHeight="1">
      <c r="A29" s="45"/>
      <c r="B29" s="45"/>
      <c r="C29" s="28" t="s">
        <v>80</v>
      </c>
      <c r="D29" s="45"/>
      <c r="E29" s="335">
        <v>50</v>
      </c>
      <c r="F29" s="336">
        <v>49</v>
      </c>
      <c r="G29" s="336">
        <v>46</v>
      </c>
      <c r="H29" s="586">
        <f>I29-SUM(E29:G29)</f>
        <v>42</v>
      </c>
      <c r="I29" s="427">
        <v>187</v>
      </c>
      <c r="J29" s="335">
        <v>45</v>
      </c>
      <c r="K29" s="336">
        <v>77</v>
      </c>
      <c r="L29" s="336">
        <v>38</v>
      </c>
      <c r="M29" s="586">
        <f>N29-SUM(J29:L29)</f>
        <v>33</v>
      </c>
      <c r="N29" s="427">
        <v>193</v>
      </c>
      <c r="O29" s="335">
        <v>34</v>
      </c>
      <c r="P29" s="336">
        <v>34</v>
      </c>
      <c r="Q29" s="336">
        <v>34</v>
      </c>
      <c r="R29" s="586">
        <f>S29-SUM(O29:Q29)</f>
        <v>32</v>
      </c>
      <c r="S29" s="427">
        <v>134</v>
      </c>
      <c r="T29" s="335">
        <v>31</v>
      </c>
      <c r="U29" s="336">
        <v>31</v>
      </c>
      <c r="V29" s="336">
        <f>29+3</f>
        <v>32</v>
      </c>
      <c r="W29" s="586">
        <f>X29-SUM(T29:V29)</f>
        <v>29</v>
      </c>
      <c r="X29" s="427">
        <f>111+12</f>
        <v>123</v>
      </c>
      <c r="Y29" s="335">
        <f>26+3</f>
        <v>29</v>
      </c>
      <c r="Z29" s="336">
        <f>25+3</f>
        <v>28</v>
      </c>
      <c r="AA29" s="1435">
        <f>26+3</f>
        <v>29</v>
      </c>
      <c r="AB29" s="1436">
        <f>AC29-SUM(Y29:AA29)</f>
        <v>29</v>
      </c>
      <c r="AC29" s="1437">
        <f>103+12</f>
        <v>115</v>
      </c>
      <c r="AD29" s="335">
        <f>25+3</f>
        <v>28</v>
      </c>
      <c r="AE29" s="336">
        <f>25+3</f>
        <v>28</v>
      </c>
      <c r="AF29" s="1435">
        <f>26+3</f>
        <v>29</v>
      </c>
      <c r="AG29" s="1436">
        <f>AH29-SUM(AD29:AF29)</f>
        <v>28</v>
      </c>
      <c r="AH29" s="1437">
        <f>101+12</f>
        <v>113</v>
      </c>
      <c r="AI29" s="335">
        <f>25+3</f>
        <v>28</v>
      </c>
      <c r="AJ29" s="336">
        <f>25+3</f>
        <v>28</v>
      </c>
      <c r="AK29" s="1435">
        <f>25+3</f>
        <v>28</v>
      </c>
      <c r="AL29" s="1436">
        <f>AM29-SUM(AI29:AK29)</f>
        <v>30</v>
      </c>
      <c r="AM29" s="1437">
        <f>102+12</f>
        <v>114</v>
      </c>
      <c r="AN29" s="335">
        <f>28+3</f>
        <v>31</v>
      </c>
      <c r="AO29" s="336">
        <f>28+3</f>
        <v>31</v>
      </c>
      <c r="AP29" s="1435">
        <f>27+3</f>
        <v>30</v>
      </c>
      <c r="AQ29" s="1436">
        <f>AR29-SUM(AN29:AP29)</f>
        <v>31</v>
      </c>
      <c r="AR29" s="1437">
        <v>123</v>
      </c>
      <c r="AS29" s="335">
        <f>28+3</f>
        <v>31</v>
      </c>
      <c r="AT29" s="336">
        <f>28+3</f>
        <v>31</v>
      </c>
      <c r="AU29" s="336">
        <f>28+3</f>
        <v>31</v>
      </c>
      <c r="AV29" s="1436">
        <f>AW29-SUM(AS29:AU29)</f>
        <v>33</v>
      </c>
      <c r="AW29" s="1437">
        <v>126</v>
      </c>
      <c r="AX29" s="290">
        <f>AS29+SUM(AX184:AX186)</f>
        <v>31.169583333333332</v>
      </c>
      <c r="AY29" s="260">
        <f ca="1">AT29+SUM(AY184:AY186)</f>
        <v>28.825638683260749</v>
      </c>
      <c r="AZ29" s="260">
        <f ca="1">AU29+SUM(AZ184:AZ186)</f>
        <v>36.193643365925176</v>
      </c>
      <c r="BA29" s="291">
        <f ca="1">AV29+SUM(BA184:BA186)</f>
        <v>33.866895331076918</v>
      </c>
      <c r="BB29" s="45">
        <f ca="1">SUM(AX29:BA29)</f>
        <v>130.05576071359616</v>
      </c>
      <c r="BC29" s="290">
        <f ca="1">AX29+SUM(BC184:BC186)</f>
        <v>32.400376955112833</v>
      </c>
      <c r="BD29" s="260">
        <f ca="1">AY29+SUM(BD184:BD186)</f>
        <v>34.123948237279578</v>
      </c>
      <c r="BE29" s="260">
        <f ca="1">AZ29+SUM(BE184:BE186)</f>
        <v>39.790397575818119</v>
      </c>
      <c r="BF29" s="291">
        <f ca="1">BA29+SUM(BF184:BF186)</f>
        <v>36.64991843990795</v>
      </c>
      <c r="BG29" s="45">
        <f ca="1">SUM(BC29:BF29)</f>
        <v>142.96464120811848</v>
      </c>
      <c r="BH29" s="290">
        <f ca="1">BC29+SUM(BH184:BH186)</f>
        <v>35.268998224980493</v>
      </c>
      <c r="BI29" s="260">
        <f ca="1">BD29+SUM(BI184:BI186)</f>
        <v>36.644887666767502</v>
      </c>
      <c r="BJ29" s="260">
        <f ca="1">BE29+SUM(BJ184:BJ186)</f>
        <v>42.080476149413471</v>
      </c>
      <c r="BK29" s="291">
        <f ca="1">BF29+SUM(BK184:BK186)</f>
        <v>38.422865449990894</v>
      </c>
      <c r="BL29" s="45">
        <f ca="1">SUM(BH29:BK29)</f>
        <v>152.41722749115235</v>
      </c>
      <c r="BM29" s="290">
        <f ca="1">BH29+SUM(BM184:BM186)</f>
        <v>35.251423462245086</v>
      </c>
      <c r="BN29" s="260">
        <f ca="1">BI29+SUM(BN184:BN186)</f>
        <v>36.41634875218211</v>
      </c>
      <c r="BO29" s="260">
        <f ca="1">BJ29+SUM(BO184:BO186)</f>
        <v>42.40279302569072</v>
      </c>
      <c r="BP29" s="291">
        <f ca="1">BK29+SUM(BP184:BP186)</f>
        <v>38.312328805093536</v>
      </c>
      <c r="BQ29" s="45">
        <f ca="1">SUM(BM29:BP29)</f>
        <v>152.38289404521146</v>
      </c>
      <c r="BR29" s="45"/>
      <c r="BS29" s="45"/>
      <c r="BT29" s="45"/>
      <c r="BU29" s="45"/>
      <c r="BV29" s="45"/>
      <c r="BW29" s="45"/>
      <c r="BX29" s="45"/>
      <c r="BY29" s="45"/>
      <c r="CA29" s="45"/>
      <c r="CB29" s="45"/>
      <c r="CC29" s="45"/>
      <c r="CD29" s="45"/>
      <c r="CE29" s="45"/>
      <c r="CF29" s="45"/>
      <c r="CG29" s="45"/>
      <c r="CH29" s="45"/>
      <c r="CI29" s="45"/>
      <c r="CJ29" s="45"/>
      <c r="CK29" s="45"/>
      <c r="CL29" s="45"/>
      <c r="CM29" s="45"/>
      <c r="CN29" s="45"/>
      <c r="CO29" s="45"/>
      <c r="CP29" s="45"/>
      <c r="CQ29" s="45"/>
      <c r="CR29" s="45"/>
      <c r="CS29" s="45"/>
      <c r="CT29" s="45"/>
      <c r="CU29" s="45"/>
      <c r="CV29" s="45"/>
      <c r="CW29" s="45"/>
      <c r="CX29" s="45"/>
      <c r="CY29" s="45"/>
      <c r="CZ29" s="45"/>
    </row>
    <row r="30" spans="1:104" ht="12.75" customHeight="1">
      <c r="A30" s="330"/>
      <c r="B30" s="330"/>
      <c r="C30" s="28"/>
      <c r="D30" s="330"/>
      <c r="E30" s="306"/>
      <c r="F30" s="264"/>
      <c r="G30" s="266"/>
      <c r="H30" s="307"/>
      <c r="I30" s="426"/>
      <c r="J30" s="306"/>
      <c r="K30" s="264"/>
      <c r="L30" s="266"/>
      <c r="M30" s="307"/>
      <c r="N30" s="426"/>
      <c r="O30" s="306"/>
      <c r="P30" s="264"/>
      <c r="Q30" s="266"/>
      <c r="R30" s="307"/>
      <c r="S30" s="426"/>
      <c r="T30" s="306"/>
      <c r="U30" s="266"/>
      <c r="V30" s="266"/>
      <c r="W30" s="307"/>
      <c r="X30" s="426"/>
      <c r="Y30" s="306"/>
      <c r="Z30" s="266"/>
      <c r="AA30" s="1444"/>
      <c r="AB30" s="1445"/>
      <c r="AC30" s="1446"/>
      <c r="AD30" s="306"/>
      <c r="AE30" s="266"/>
      <c r="AF30" s="1444"/>
      <c r="AG30" s="1445"/>
      <c r="AH30" s="1446"/>
      <c r="AI30" s="306"/>
      <c r="AJ30" s="266"/>
      <c r="AK30" s="1444"/>
      <c r="AL30" s="1445"/>
      <c r="AM30" s="1446"/>
      <c r="AN30" s="306"/>
      <c r="AO30" s="266"/>
      <c r="AP30" s="1444"/>
      <c r="AQ30" s="1445"/>
      <c r="AR30" s="1446"/>
      <c r="AS30" s="306"/>
      <c r="AT30" s="266"/>
      <c r="AU30" s="264"/>
      <c r="AV30" s="1445"/>
      <c r="AW30" s="1446"/>
      <c r="AX30" s="300"/>
      <c r="AY30" s="264"/>
      <c r="AZ30" s="264"/>
      <c r="BA30" s="299"/>
      <c r="BB30" s="330"/>
      <c r="BC30" s="300"/>
      <c r="BD30" s="264"/>
      <c r="BE30" s="264"/>
      <c r="BF30" s="299"/>
      <c r="BG30" s="330"/>
      <c r="BH30" s="300"/>
      <c r="BI30" s="264"/>
      <c r="BJ30" s="264"/>
      <c r="BK30" s="299"/>
      <c r="BL30" s="330"/>
      <c r="BM30" s="300"/>
      <c r="BN30" s="264"/>
      <c r="BO30" s="264"/>
      <c r="BP30" s="299"/>
      <c r="BQ30" s="330"/>
      <c r="BR30" s="330"/>
      <c r="BS30" s="330"/>
      <c r="BT30" s="330"/>
      <c r="BU30" s="330"/>
      <c r="BV30" s="330"/>
      <c r="BW30" s="330"/>
      <c r="BX30" s="330"/>
      <c r="BY30" s="330"/>
      <c r="BZ30" s="584"/>
      <c r="CA30" s="330"/>
      <c r="CB30" s="330"/>
      <c r="CC30" s="330"/>
      <c r="CD30" s="330"/>
      <c r="CE30" s="330"/>
      <c r="CF30" s="330"/>
      <c r="CG30" s="330"/>
      <c r="CH30" s="330"/>
      <c r="CI30" s="330"/>
      <c r="CJ30" s="330"/>
      <c r="CK30" s="330"/>
      <c r="CL30" s="330"/>
      <c r="CM30" s="330"/>
      <c r="CN30" s="330"/>
      <c r="CO30" s="330"/>
      <c r="CP30" s="330"/>
      <c r="CQ30" s="330"/>
      <c r="CR30" s="330"/>
      <c r="CS30" s="330"/>
      <c r="CT30" s="330"/>
      <c r="CU30" s="330"/>
    </row>
    <row r="31" spans="1:104" ht="12.75" customHeight="1">
      <c r="A31" s="330"/>
      <c r="B31" s="330"/>
      <c r="C31" s="32" t="s">
        <v>576</v>
      </c>
      <c r="D31" s="45"/>
      <c r="E31" s="292">
        <f t="shared" ref="E31:AE31" si="49">+E26-E29</f>
        <v>158</v>
      </c>
      <c r="F31" s="261">
        <f t="shared" si="49"/>
        <v>102</v>
      </c>
      <c r="G31" s="261">
        <f t="shared" si="49"/>
        <v>122</v>
      </c>
      <c r="H31" s="293">
        <f t="shared" si="49"/>
        <v>117</v>
      </c>
      <c r="I31" s="228">
        <f t="shared" si="49"/>
        <v>499</v>
      </c>
      <c r="J31" s="292">
        <f t="shared" si="49"/>
        <v>153</v>
      </c>
      <c r="K31" s="261">
        <f t="shared" si="49"/>
        <v>104</v>
      </c>
      <c r="L31" s="261">
        <f t="shared" si="49"/>
        <v>180</v>
      </c>
      <c r="M31" s="293">
        <f t="shared" si="49"/>
        <v>39</v>
      </c>
      <c r="N31" s="228">
        <f t="shared" si="49"/>
        <v>476</v>
      </c>
      <c r="O31" s="292">
        <f t="shared" si="49"/>
        <v>182</v>
      </c>
      <c r="P31" s="261">
        <f t="shared" si="49"/>
        <v>130</v>
      </c>
      <c r="Q31" s="261">
        <f t="shared" si="49"/>
        <v>122</v>
      </c>
      <c r="R31" s="293">
        <f t="shared" si="49"/>
        <v>101</v>
      </c>
      <c r="S31" s="228">
        <f t="shared" si="49"/>
        <v>535</v>
      </c>
      <c r="T31" s="292">
        <f t="shared" si="49"/>
        <v>148</v>
      </c>
      <c r="U31" s="261">
        <f>+U26-U29</f>
        <v>122</v>
      </c>
      <c r="V31" s="261">
        <f>+V26-V29</f>
        <v>147.99999999999989</v>
      </c>
      <c r="W31" s="293">
        <f>+W26-W29</f>
        <v>90.000000000000114</v>
      </c>
      <c r="X31" s="228">
        <f>+X26-X29</f>
        <v>507.99999999999955</v>
      </c>
      <c r="Y31" s="292">
        <f>+Y26-Y29</f>
        <v>177</v>
      </c>
      <c r="Z31" s="261">
        <f t="shared" si="49"/>
        <v>110</v>
      </c>
      <c r="AA31" s="1438">
        <f>+AA26-AA29</f>
        <v>127</v>
      </c>
      <c r="AB31" s="1439">
        <f>+AB26-AB29</f>
        <v>143.00000000000011</v>
      </c>
      <c r="AC31" s="1440">
        <f>+AC26-AC29</f>
        <v>557</v>
      </c>
      <c r="AD31" s="292">
        <f>+AD26-AD29</f>
        <v>123</v>
      </c>
      <c r="AE31" s="261">
        <f t="shared" si="49"/>
        <v>107</v>
      </c>
      <c r="AF31" s="1438">
        <f>+AF26-AF29</f>
        <v>106</v>
      </c>
      <c r="AG31" s="1439">
        <f>+AG26-AG29</f>
        <v>130</v>
      </c>
      <c r="AH31" s="1440">
        <f>+AH26-AH29</f>
        <v>466</v>
      </c>
      <c r="AI31" s="292">
        <f>+AI26-AI29</f>
        <v>197</v>
      </c>
      <c r="AJ31" s="261">
        <f t="shared" ref="AJ31" si="50">+AJ26-AJ29</f>
        <v>97</v>
      </c>
      <c r="AK31" s="1438">
        <f>+AK26-AK29</f>
        <v>127</v>
      </c>
      <c r="AL31" s="1439">
        <f>+AL26-AL29</f>
        <v>100.00000000000011</v>
      </c>
      <c r="AM31" s="1440">
        <f>+AM26-AM29</f>
        <v>521</v>
      </c>
      <c r="AN31" s="292">
        <f>+AN26-AN29</f>
        <v>167</v>
      </c>
      <c r="AO31" s="261">
        <f t="shared" ref="AO31" si="51">+AO26-AO29</f>
        <v>123</v>
      </c>
      <c r="AP31" s="1438">
        <f>+AP26-AP29</f>
        <v>176</v>
      </c>
      <c r="AQ31" s="1439">
        <f>+AQ26-AQ29</f>
        <v>121</v>
      </c>
      <c r="AR31" s="1440">
        <f>+AR26-AR29</f>
        <v>587</v>
      </c>
      <c r="AS31" s="292">
        <f>+AS26-AS29</f>
        <v>163</v>
      </c>
      <c r="AT31" s="261">
        <f t="shared" ref="AT31" si="52">+AT26-AT29</f>
        <v>108</v>
      </c>
      <c r="AU31" s="261">
        <f t="shared" ref="AU31:BB31" si="53">+AU26-AU29</f>
        <v>140</v>
      </c>
      <c r="AV31" s="1439">
        <f>+AV26-AV29</f>
        <v>127.00000000000011</v>
      </c>
      <c r="AW31" s="1440">
        <f>+AW26-AW29</f>
        <v>538</v>
      </c>
      <c r="AX31" s="292">
        <f t="shared" si="53"/>
        <v>171.0210013751539</v>
      </c>
      <c r="AY31" s="261">
        <f t="shared" ca="1" si="53"/>
        <v>113.95968427315348</v>
      </c>
      <c r="AZ31" s="261">
        <f t="shared" ca="1" si="53"/>
        <v>132.97523518254306</v>
      </c>
      <c r="BA31" s="293">
        <f t="shared" ca="1" si="53"/>
        <v>125.49655040825128</v>
      </c>
      <c r="BB31" s="228">
        <f t="shared" ca="1" si="53"/>
        <v>543.45247123910258</v>
      </c>
      <c r="BC31" s="292">
        <f t="shared" ref="BC31:BL31" ca="1" si="54">+BC26-BC29</f>
        <v>184.31409653737188</v>
      </c>
      <c r="BD31" s="261">
        <f t="shared" ca="1" si="54"/>
        <v>122.3275964068104</v>
      </c>
      <c r="BE31" s="261">
        <f t="shared" ca="1" si="54"/>
        <v>143.24938817046126</v>
      </c>
      <c r="BF31" s="293">
        <f t="shared" ca="1" si="54"/>
        <v>136.59972448172317</v>
      </c>
      <c r="BG31" s="228">
        <f t="shared" ca="1" si="54"/>
        <v>586.4908055963665</v>
      </c>
      <c r="BH31" s="292">
        <f t="shared" ca="1" si="54"/>
        <v>196.87397992052772</v>
      </c>
      <c r="BI31" s="261">
        <f t="shared" ca="1" si="54"/>
        <v>134.48282466589677</v>
      </c>
      <c r="BJ31" s="261">
        <f t="shared" ca="1" si="54"/>
        <v>156.19614320761923</v>
      </c>
      <c r="BK31" s="293">
        <f t="shared" ca="1" si="54"/>
        <v>150.43198551812716</v>
      </c>
      <c r="BL31" s="228">
        <f t="shared" ca="1" si="54"/>
        <v>637.98493331217128</v>
      </c>
      <c r="BM31" s="292">
        <f t="shared" ref="BM31:BQ31" ca="1" si="55">+BM26-BM29</f>
        <v>206.05769828055901</v>
      </c>
      <c r="BN31" s="261">
        <f t="shared" ca="1" si="55"/>
        <v>143.31096138915234</v>
      </c>
      <c r="BO31" s="261">
        <f t="shared" ca="1" si="55"/>
        <v>164.78075341096084</v>
      </c>
      <c r="BP31" s="293">
        <f t="shared" ca="1" si="55"/>
        <v>159.56684907901732</v>
      </c>
      <c r="BQ31" s="228">
        <f t="shared" ca="1" si="55"/>
        <v>673.71626215968922</v>
      </c>
      <c r="BR31" s="330"/>
      <c r="BS31" s="330"/>
      <c r="BT31" s="330"/>
      <c r="BU31" s="330"/>
      <c r="BV31" s="330"/>
      <c r="BW31" s="330"/>
      <c r="BX31" s="330"/>
      <c r="BY31" s="330"/>
      <c r="BZ31" s="330"/>
      <c r="CA31" s="330"/>
      <c r="CB31" s="330"/>
      <c r="CC31" s="330"/>
      <c r="CD31" s="330"/>
      <c r="CE31" s="330"/>
      <c r="CF31" s="330"/>
      <c r="CG31" s="330"/>
      <c r="CH31" s="330"/>
      <c r="CI31" s="330"/>
      <c r="CJ31" s="330"/>
      <c r="CK31" s="330"/>
      <c r="CL31" s="330"/>
      <c r="CM31" s="330"/>
      <c r="CN31" s="330"/>
      <c r="CO31" s="330"/>
      <c r="CP31" s="330"/>
      <c r="CQ31" s="330"/>
      <c r="CR31" s="330"/>
      <c r="CS31" s="330"/>
      <c r="CT31" s="330"/>
      <c r="CU31" s="330"/>
    </row>
    <row r="32" spans="1:104" ht="12.75" customHeight="1">
      <c r="A32" s="330"/>
      <c r="B32" s="330"/>
      <c r="C32" s="28"/>
      <c r="D32" s="330"/>
      <c r="E32" s="300"/>
      <c r="F32" s="264"/>
      <c r="G32" s="264"/>
      <c r="H32" s="299"/>
      <c r="I32" s="330"/>
      <c r="J32" s="300"/>
      <c r="K32" s="264"/>
      <c r="L32" s="264"/>
      <c r="M32" s="299"/>
      <c r="N32" s="330"/>
      <c r="O32" s="300"/>
      <c r="P32" s="264"/>
      <c r="Q32" s="264"/>
      <c r="R32" s="299"/>
      <c r="S32" s="330"/>
      <c r="T32" s="300"/>
      <c r="U32" s="264"/>
      <c r="V32" s="264"/>
      <c r="W32" s="299"/>
      <c r="X32" s="330"/>
      <c r="Y32" s="300"/>
      <c r="Z32" s="264"/>
      <c r="AA32" s="1441"/>
      <c r="AB32" s="1442"/>
      <c r="AC32" s="1443"/>
      <c r="AD32" s="300"/>
      <c r="AE32" s="264"/>
      <c r="AF32" s="1441"/>
      <c r="AG32" s="1442"/>
      <c r="AH32" s="1443"/>
      <c r="AI32" s="300"/>
      <c r="AJ32" s="264"/>
      <c r="AK32" s="1441"/>
      <c r="AL32" s="1442"/>
      <c r="AM32" s="1443"/>
      <c r="AN32" s="300"/>
      <c r="AO32" s="264"/>
      <c r="AP32" s="1441"/>
      <c r="AQ32" s="1442"/>
      <c r="AR32" s="1443"/>
      <c r="AS32" s="300"/>
      <c r="AT32" s="264"/>
      <c r="AU32" s="264"/>
      <c r="AV32" s="1442"/>
      <c r="AW32" s="1443"/>
      <c r="AX32" s="300"/>
      <c r="AY32" s="264"/>
      <c r="AZ32" s="264"/>
      <c r="BA32" s="299"/>
      <c r="BB32" s="330"/>
      <c r="BC32" s="300"/>
      <c r="BD32" s="264"/>
      <c r="BE32" s="264"/>
      <c r="BF32" s="299"/>
      <c r="BG32" s="330"/>
      <c r="BH32" s="300"/>
      <c r="BI32" s="264"/>
      <c r="BJ32" s="264"/>
      <c r="BK32" s="299"/>
      <c r="BL32" s="330"/>
      <c r="BM32" s="300"/>
      <c r="BN32" s="264"/>
      <c r="BO32" s="264"/>
      <c r="BP32" s="299"/>
      <c r="BQ32" s="330"/>
      <c r="BR32" s="330"/>
      <c r="BS32" s="330"/>
      <c r="BT32" s="330"/>
      <c r="BU32" s="330"/>
      <c r="BV32" s="330"/>
      <c r="BW32" s="330"/>
      <c r="BX32" s="330"/>
      <c r="BY32" s="330"/>
      <c r="BZ32" s="330"/>
      <c r="CA32" s="330"/>
      <c r="CB32" s="330"/>
      <c r="CC32" s="330"/>
      <c r="CD32" s="330"/>
      <c r="CE32" s="330"/>
      <c r="CF32" s="330"/>
      <c r="CG32" s="330"/>
      <c r="CH32" s="330"/>
      <c r="CI32" s="330"/>
      <c r="CJ32" s="330"/>
      <c r="CK32" s="330"/>
      <c r="CL32" s="330"/>
      <c r="CM32" s="330"/>
      <c r="CN32" s="330"/>
      <c r="CO32" s="330"/>
      <c r="CP32" s="330"/>
      <c r="CQ32" s="330"/>
      <c r="CR32" s="330"/>
      <c r="CS32" s="330"/>
      <c r="CT32" s="330"/>
      <c r="CU32" s="330"/>
    </row>
    <row r="33" spans="1:99" ht="12.75" customHeight="1">
      <c r="A33" s="330"/>
      <c r="B33" s="330"/>
      <c r="C33" s="28" t="s">
        <v>320</v>
      </c>
      <c r="D33" s="330"/>
      <c r="E33" s="335">
        <v>45</v>
      </c>
      <c r="F33" s="336">
        <v>31</v>
      </c>
      <c r="G33" s="336">
        <v>30</v>
      </c>
      <c r="H33" s="586">
        <f>I33-SUM(E33:G33)</f>
        <v>40</v>
      </c>
      <c r="I33" s="427">
        <v>146</v>
      </c>
      <c r="J33" s="335">
        <v>52</v>
      </c>
      <c r="K33" s="336">
        <v>29</v>
      </c>
      <c r="L33" s="336">
        <v>53</v>
      </c>
      <c r="M33" s="586">
        <f>N33-SUM(J33:L33)</f>
        <v>18</v>
      </c>
      <c r="N33" s="427">
        <v>152</v>
      </c>
      <c r="O33" s="335">
        <v>56</v>
      </c>
      <c r="P33" s="336">
        <v>47</v>
      </c>
      <c r="Q33" s="336">
        <v>17</v>
      </c>
      <c r="R33" s="586">
        <f>S33-SUM(O33:Q33)</f>
        <v>26</v>
      </c>
      <c r="S33" s="427">
        <v>146</v>
      </c>
      <c r="T33" s="335">
        <v>51</v>
      </c>
      <c r="U33" s="336">
        <v>42</v>
      </c>
      <c r="V33" s="336">
        <v>25</v>
      </c>
      <c r="W33" s="586">
        <f>X33-SUM(T33:V33)</f>
        <v>9</v>
      </c>
      <c r="X33" s="427">
        <v>127</v>
      </c>
      <c r="Y33" s="335">
        <v>55</v>
      </c>
      <c r="Z33" s="336">
        <v>32</v>
      </c>
      <c r="AA33" s="1435">
        <v>35</v>
      </c>
      <c r="AB33" s="1436">
        <f>AC33-SUM(Y33:AA33)</f>
        <v>40</v>
      </c>
      <c r="AC33" s="1437">
        <v>162</v>
      </c>
      <c r="AD33" s="335">
        <v>34</v>
      </c>
      <c r="AE33" s="336">
        <v>23</v>
      </c>
      <c r="AF33" s="1435">
        <v>25</v>
      </c>
      <c r="AG33" s="1436">
        <f>AH33-SUM(AD33:AF33)</f>
        <v>32</v>
      </c>
      <c r="AH33" s="1437">
        <v>114</v>
      </c>
      <c r="AI33" s="335">
        <v>58</v>
      </c>
      <c r="AJ33" s="336">
        <v>27</v>
      </c>
      <c r="AK33" s="1435">
        <v>37</v>
      </c>
      <c r="AL33" s="1436">
        <f>AM33-SUM(AI33:AK33)</f>
        <v>21</v>
      </c>
      <c r="AM33" s="1437">
        <v>143</v>
      </c>
      <c r="AN33" s="335">
        <v>43</v>
      </c>
      <c r="AO33" s="336">
        <v>23</v>
      </c>
      <c r="AP33" s="1435">
        <v>54</v>
      </c>
      <c r="AQ33" s="1436">
        <f>AR33-SUM(AN33:AP33)</f>
        <v>29</v>
      </c>
      <c r="AR33" s="1437">
        <v>149</v>
      </c>
      <c r="AS33" s="335">
        <v>36</v>
      </c>
      <c r="AT33" s="336">
        <v>20</v>
      </c>
      <c r="AU33" s="336">
        <v>28</v>
      </c>
      <c r="AV33" s="1436">
        <f>AW33-SUM(AS33:AU33)</f>
        <v>20</v>
      </c>
      <c r="AW33" s="1437">
        <v>104</v>
      </c>
      <c r="AX33" s="300">
        <f>AX61*(AX31-AX22)</f>
        <v>35.225885698618384</v>
      </c>
      <c r="AY33" s="264">
        <f ca="1">AY61*(AY31-AY22)</f>
        <v>23.243009107198297</v>
      </c>
      <c r="AZ33" s="264">
        <f ca="1">AZ61*(AZ31-AZ22)</f>
        <v>27.236274798170108</v>
      </c>
      <c r="BA33" s="299">
        <f ca="1">BA61*(BA31-BA22)</f>
        <v>25.665750995568832</v>
      </c>
      <c r="BB33" s="330">
        <f ca="1">SUM(AX33:BA33)</f>
        <v>111.37092059955562</v>
      </c>
      <c r="BC33" s="300">
        <f ca="1">BC61*(BC31-BC22)</f>
        <v>37.974402895798917</v>
      </c>
      <c r="BD33" s="264">
        <f ca="1">BD61*(BD31-BD22)</f>
        <v>24.957237868381004</v>
      </c>
      <c r="BE33" s="264">
        <f ca="1">BE61*(BE31-BE22)</f>
        <v>29.350814138747683</v>
      </c>
      <c r="BF33" s="299">
        <f ca="1">BF61*(BF31-BF22)</f>
        <v>27.954384764112685</v>
      </c>
      <c r="BG33" s="330">
        <f ca="1">SUM(BC33:BF33)</f>
        <v>120.23683966704029</v>
      </c>
      <c r="BH33" s="300">
        <f ca="1">BH61*(BH31-BH22)</f>
        <v>40.655011193146883</v>
      </c>
      <c r="BI33" s="264">
        <f ca="1">BI61*(BI31-BI22)</f>
        <v>27.552868589674386</v>
      </c>
      <c r="BJ33" s="264">
        <f ca="1">BJ61*(BJ31-BJ22)</f>
        <v>32.112665483436103</v>
      </c>
      <c r="BK33" s="299">
        <f ca="1">BK61*(BK31-BK22)</f>
        <v>30.902192368642769</v>
      </c>
      <c r="BL33" s="330">
        <f ca="1">SUM(BH33:BK33)</f>
        <v>131.22273763490014</v>
      </c>
      <c r="BM33" s="300">
        <f ca="1">BM61*(BM31-BM22)</f>
        <v>42.583592048753452</v>
      </c>
      <c r="BN33" s="264">
        <f ca="1">BN61*(BN31-BN22)</f>
        <v>29.406777301558055</v>
      </c>
      <c r="BO33" s="264">
        <f ca="1">BO61*(BO31-BO22)</f>
        <v>33.91543362613784</v>
      </c>
      <c r="BP33" s="299">
        <f ca="1">BP61*(BP31-BP22)</f>
        <v>32.820513716429701</v>
      </c>
      <c r="BQ33" s="330">
        <f ca="1">SUM(BM33:BP33)</f>
        <v>138.72631669287904</v>
      </c>
      <c r="BR33" s="330"/>
      <c r="BS33" s="330"/>
      <c r="BT33" s="330"/>
      <c r="BU33" s="330"/>
      <c r="BV33" s="330"/>
      <c r="BW33" s="330"/>
      <c r="BX33" s="330"/>
      <c r="BY33" s="330"/>
      <c r="BZ33" s="232"/>
      <c r="CA33" s="45"/>
      <c r="CB33" s="330"/>
      <c r="CC33" s="330"/>
      <c r="CD33" s="330"/>
      <c r="CE33" s="330"/>
      <c r="CF33" s="330"/>
      <c r="CG33" s="330"/>
      <c r="CH33" s="330"/>
      <c r="CI33" s="330"/>
      <c r="CJ33" s="330"/>
      <c r="CK33" s="330"/>
      <c r="CL33" s="330"/>
      <c r="CM33" s="330"/>
      <c r="CN33" s="330"/>
      <c r="CO33" s="330"/>
      <c r="CP33" s="330"/>
      <c r="CQ33" s="330"/>
      <c r="CR33" s="330"/>
      <c r="CS33" s="330"/>
      <c r="CT33" s="330"/>
      <c r="CU33" s="330"/>
    </row>
    <row r="34" spans="1:99" ht="12.75" customHeight="1">
      <c r="A34" s="330"/>
      <c r="B34" s="330"/>
      <c r="C34" s="28"/>
      <c r="D34" s="330"/>
      <c r="E34" s="335"/>
      <c r="F34" s="336"/>
      <c r="G34" s="336"/>
      <c r="H34" s="586"/>
      <c r="I34" s="427"/>
      <c r="J34" s="335"/>
      <c r="K34" s="336"/>
      <c r="L34" s="336"/>
      <c r="M34" s="586"/>
      <c r="N34" s="427"/>
      <c r="O34" s="335"/>
      <c r="P34" s="336"/>
      <c r="Q34" s="336"/>
      <c r="R34" s="586"/>
      <c r="S34" s="427"/>
      <c r="T34" s="335"/>
      <c r="U34" s="336"/>
      <c r="V34" s="336"/>
      <c r="W34" s="586"/>
      <c r="X34" s="427"/>
      <c r="Y34" s="335"/>
      <c r="Z34" s="336"/>
      <c r="AA34" s="1435"/>
      <c r="AB34" s="1436"/>
      <c r="AC34" s="1437"/>
      <c r="AD34" s="335"/>
      <c r="AE34" s="336"/>
      <c r="AF34" s="1435"/>
      <c r="AG34" s="1436"/>
      <c r="AH34" s="1437"/>
      <c r="AI34" s="335"/>
      <c r="AJ34" s="336"/>
      <c r="AK34" s="1435"/>
      <c r="AL34" s="1436"/>
      <c r="AM34" s="1437"/>
      <c r="AN34" s="335"/>
      <c r="AO34" s="336"/>
      <c r="AP34" s="1435"/>
      <c r="AQ34" s="1436"/>
      <c r="AR34" s="1437"/>
      <c r="AS34" s="300"/>
      <c r="AT34" s="336"/>
      <c r="AU34" s="264"/>
      <c r="AV34" s="1436"/>
      <c r="AW34" s="1437"/>
      <c r="AX34" s="300"/>
      <c r="AY34" s="264"/>
      <c r="AZ34" s="264"/>
      <c r="BA34" s="299"/>
      <c r="BB34" s="330"/>
      <c r="BC34" s="300"/>
      <c r="BD34" s="264"/>
      <c r="BE34" s="264"/>
      <c r="BF34" s="299"/>
      <c r="BG34" s="330"/>
      <c r="BH34" s="300"/>
      <c r="BI34" s="264"/>
      <c r="BJ34" s="264"/>
      <c r="BK34" s="299"/>
      <c r="BL34" s="330"/>
      <c r="BM34" s="300"/>
      <c r="BN34" s="264"/>
      <c r="BO34" s="264"/>
      <c r="BP34" s="299"/>
      <c r="BQ34" s="330"/>
      <c r="BR34" s="330"/>
      <c r="BS34" s="330"/>
      <c r="BT34" s="330"/>
      <c r="BU34" s="330"/>
      <c r="BV34" s="330"/>
      <c r="BW34" s="330"/>
      <c r="BX34" s="330"/>
      <c r="BY34" s="330"/>
      <c r="BZ34" s="330"/>
      <c r="CA34" s="330"/>
      <c r="CB34" s="330"/>
      <c r="CC34" s="330"/>
      <c r="CD34" s="330"/>
      <c r="CE34" s="330"/>
      <c r="CF34" s="330"/>
      <c r="CG34" s="330"/>
      <c r="CH34" s="330"/>
      <c r="CI34" s="330"/>
      <c r="CJ34" s="330"/>
      <c r="CK34" s="330"/>
      <c r="CL34" s="330"/>
      <c r="CM34" s="330"/>
      <c r="CN34" s="330"/>
      <c r="CO34" s="330"/>
      <c r="CP34" s="330"/>
      <c r="CQ34" s="330"/>
      <c r="CR34" s="330"/>
      <c r="CS34" s="330"/>
      <c r="CT34" s="330"/>
      <c r="CU34" s="330"/>
    </row>
    <row r="35" spans="1:99" s="1" customFormat="1" ht="12.75" customHeight="1">
      <c r="C35" s="808" t="s">
        <v>1309</v>
      </c>
      <c r="E35" s="292">
        <f>E31-E33</f>
        <v>113</v>
      </c>
      <c r="F35" s="261">
        <f t="shared" ref="F35:AE35" si="56">F31-F33</f>
        <v>71</v>
      </c>
      <c r="G35" s="261">
        <f t="shared" si="56"/>
        <v>92</v>
      </c>
      <c r="H35" s="293">
        <f t="shared" si="56"/>
        <v>77</v>
      </c>
      <c r="I35" s="228">
        <f t="shared" si="56"/>
        <v>353</v>
      </c>
      <c r="J35" s="292">
        <f t="shared" si="56"/>
        <v>101</v>
      </c>
      <c r="K35" s="261">
        <f t="shared" si="56"/>
        <v>75</v>
      </c>
      <c r="L35" s="261">
        <f t="shared" si="56"/>
        <v>127</v>
      </c>
      <c r="M35" s="293">
        <f t="shared" si="56"/>
        <v>21</v>
      </c>
      <c r="N35" s="228">
        <f t="shared" si="56"/>
        <v>324</v>
      </c>
      <c r="O35" s="292">
        <f t="shared" si="56"/>
        <v>126</v>
      </c>
      <c r="P35" s="261">
        <f t="shared" si="56"/>
        <v>83</v>
      </c>
      <c r="Q35" s="261">
        <f t="shared" si="56"/>
        <v>105</v>
      </c>
      <c r="R35" s="293">
        <f t="shared" si="56"/>
        <v>75</v>
      </c>
      <c r="S35" s="228">
        <f t="shared" si="56"/>
        <v>389</v>
      </c>
      <c r="T35" s="292">
        <f t="shared" si="56"/>
        <v>97</v>
      </c>
      <c r="U35" s="261">
        <f>U31-U33</f>
        <v>80</v>
      </c>
      <c r="V35" s="261">
        <f>V31-V33</f>
        <v>122.99999999999989</v>
      </c>
      <c r="W35" s="293">
        <f>W31-W33</f>
        <v>81.000000000000114</v>
      </c>
      <c r="X35" s="228">
        <f>X31-X33</f>
        <v>380.99999999999955</v>
      </c>
      <c r="Y35" s="292">
        <f>Y31-Y33</f>
        <v>122</v>
      </c>
      <c r="Z35" s="261">
        <f t="shared" si="56"/>
        <v>78</v>
      </c>
      <c r="AA35" s="1438">
        <f>AA31-AA33</f>
        <v>92</v>
      </c>
      <c r="AB35" s="1439">
        <f>AB31-AB33</f>
        <v>103.00000000000011</v>
      </c>
      <c r="AC35" s="1440">
        <f>AC31-AC33</f>
        <v>395</v>
      </c>
      <c r="AD35" s="292">
        <f>AD31-AD33</f>
        <v>89</v>
      </c>
      <c r="AE35" s="261">
        <f t="shared" si="56"/>
        <v>84</v>
      </c>
      <c r="AF35" s="1438">
        <f>AF31-AF33</f>
        <v>81</v>
      </c>
      <c r="AG35" s="1439">
        <f>AG31-AG33</f>
        <v>98</v>
      </c>
      <c r="AH35" s="1440">
        <f>AH31-AH33</f>
        <v>352</v>
      </c>
      <c r="AI35" s="292">
        <f>AI31-AI33</f>
        <v>139</v>
      </c>
      <c r="AJ35" s="261">
        <f t="shared" ref="AJ35" si="57">AJ31-AJ33</f>
        <v>70</v>
      </c>
      <c r="AK35" s="1438">
        <f>AK31-AK33</f>
        <v>90</v>
      </c>
      <c r="AL35" s="1439">
        <f>AL31-AL33</f>
        <v>79.000000000000114</v>
      </c>
      <c r="AM35" s="1440">
        <f>AM31-AM33</f>
        <v>378</v>
      </c>
      <c r="AN35" s="292">
        <f>AN31-AN33</f>
        <v>124</v>
      </c>
      <c r="AO35" s="261">
        <f t="shared" ref="AO35" si="58">AO31-AO33</f>
        <v>100</v>
      </c>
      <c r="AP35" s="1438">
        <f>AP31-AP33</f>
        <v>122</v>
      </c>
      <c r="AQ35" s="1439">
        <f>AQ31-AQ33</f>
        <v>92</v>
      </c>
      <c r="AR35" s="1440">
        <f>AR31-AR33</f>
        <v>438</v>
      </c>
      <c r="AS35" s="292">
        <f t="shared" ref="AS35:BB35" si="59">AS31-AS33</f>
        <v>127</v>
      </c>
      <c r="AT35" s="261">
        <f t="shared" si="59"/>
        <v>88</v>
      </c>
      <c r="AU35" s="261">
        <f t="shared" ref="AU35" si="60">AU31-AU33</f>
        <v>112</v>
      </c>
      <c r="AV35" s="1439">
        <f>AV31-AV33</f>
        <v>107.00000000000011</v>
      </c>
      <c r="AW35" s="1440">
        <f>AW31-AW33</f>
        <v>434</v>
      </c>
      <c r="AX35" s="292">
        <f t="shared" si="59"/>
        <v>135.79511567653552</v>
      </c>
      <c r="AY35" s="261">
        <f t="shared" ca="1" si="59"/>
        <v>90.716675165955195</v>
      </c>
      <c r="AZ35" s="261">
        <f t="shared" ca="1" si="59"/>
        <v>105.73896038437294</v>
      </c>
      <c r="BA35" s="293">
        <f t="shared" ca="1" si="59"/>
        <v>99.830799412682452</v>
      </c>
      <c r="BB35" s="228">
        <f t="shared" ca="1" si="59"/>
        <v>432.08155063954695</v>
      </c>
      <c r="BC35" s="292">
        <f t="shared" ref="BC35:BL35" ca="1" si="61">BC31-BC33</f>
        <v>146.33969364157298</v>
      </c>
      <c r="BD35" s="261">
        <f t="shared" ca="1" si="61"/>
        <v>97.3703585384294</v>
      </c>
      <c r="BE35" s="261">
        <f t="shared" ca="1" si="61"/>
        <v>113.89857403171358</v>
      </c>
      <c r="BF35" s="293">
        <f t="shared" ca="1" si="61"/>
        <v>108.64533971761048</v>
      </c>
      <c r="BG35" s="228">
        <f t="shared" ca="1" si="61"/>
        <v>466.25396592932623</v>
      </c>
      <c r="BH35" s="292">
        <f t="shared" ca="1" si="61"/>
        <v>156.21896872738083</v>
      </c>
      <c r="BI35" s="261">
        <f t="shared" ca="1" si="61"/>
        <v>106.92995607622238</v>
      </c>
      <c r="BJ35" s="261">
        <f t="shared" ca="1" si="61"/>
        <v>124.08347772418313</v>
      </c>
      <c r="BK35" s="293">
        <f t="shared" ca="1" si="61"/>
        <v>119.52979314948439</v>
      </c>
      <c r="BL35" s="228">
        <f t="shared" ca="1" si="61"/>
        <v>506.76219567727117</v>
      </c>
      <c r="BM35" s="292">
        <f t="shared" ref="BM35:BQ35" ca="1" si="62">BM31-BM33</f>
        <v>163.47410623180556</v>
      </c>
      <c r="BN35" s="261">
        <f t="shared" ca="1" si="62"/>
        <v>113.90418408759429</v>
      </c>
      <c r="BO35" s="261">
        <f t="shared" ca="1" si="62"/>
        <v>130.86531978482299</v>
      </c>
      <c r="BP35" s="293">
        <f t="shared" ca="1" si="62"/>
        <v>126.74633536258762</v>
      </c>
      <c r="BQ35" s="228">
        <f t="shared" ca="1" si="62"/>
        <v>534.98994546681024</v>
      </c>
      <c r="CH35" s="330"/>
      <c r="CI35" s="330"/>
      <c r="CJ35" s="330"/>
      <c r="CK35" s="330"/>
      <c r="CL35" s="330"/>
      <c r="CM35" s="330"/>
      <c r="CN35" s="330"/>
      <c r="CO35" s="330"/>
    </row>
    <row r="36" spans="1:99" s="1" customFormat="1" ht="12.75" customHeight="1">
      <c r="C36" s="28" t="s">
        <v>712</v>
      </c>
      <c r="E36" s="337">
        <v>1</v>
      </c>
      <c r="F36" s="338">
        <v>1</v>
      </c>
      <c r="G36" s="338">
        <v>1</v>
      </c>
      <c r="H36" s="586">
        <f>I36-SUM(E36:G36)</f>
        <v>1</v>
      </c>
      <c r="I36" s="339">
        <v>4</v>
      </c>
      <c r="J36" s="337">
        <v>1</v>
      </c>
      <c r="K36" s="338">
        <v>1</v>
      </c>
      <c r="L36" s="338">
        <v>1</v>
      </c>
      <c r="M36" s="586">
        <f>N36-SUM(J36:L36)</f>
        <v>1</v>
      </c>
      <c r="N36" s="339">
        <v>4</v>
      </c>
      <c r="O36" s="337">
        <v>1</v>
      </c>
      <c r="P36" s="338">
        <v>1</v>
      </c>
      <c r="Q36" s="338">
        <v>1</v>
      </c>
      <c r="R36" s="586">
        <f>S36-SUM(O36:Q36)</f>
        <v>1</v>
      </c>
      <c r="S36" s="339">
        <v>4</v>
      </c>
      <c r="T36" s="337">
        <v>1</v>
      </c>
      <c r="U36" s="338">
        <v>1</v>
      </c>
      <c r="V36" s="338">
        <v>1</v>
      </c>
      <c r="W36" s="586">
        <f>X36-SUM(T36:V36)</f>
        <v>1</v>
      </c>
      <c r="X36" s="339">
        <v>4</v>
      </c>
      <c r="Y36" s="337">
        <v>1</v>
      </c>
      <c r="Z36" s="338">
        <v>6</v>
      </c>
      <c r="AA36" s="1435">
        <v>0</v>
      </c>
      <c r="AB36" s="1436">
        <f>AC36-SUM(Y36:AA36)</f>
        <v>0</v>
      </c>
      <c r="AC36" s="1437">
        <v>7</v>
      </c>
      <c r="AD36" s="337">
        <v>0</v>
      </c>
      <c r="AE36" s="338">
        <v>0</v>
      </c>
      <c r="AF36" s="1435">
        <v>0</v>
      </c>
      <c r="AG36" s="1436">
        <f>AH36-SUM(AD36:AF36)</f>
        <v>0</v>
      </c>
      <c r="AH36" s="1437">
        <v>0</v>
      </c>
      <c r="AI36" s="337">
        <v>0</v>
      </c>
      <c r="AJ36" s="338">
        <v>0</v>
      </c>
      <c r="AK36" s="1435">
        <v>0</v>
      </c>
      <c r="AL36" s="1436">
        <f>AM36-SUM(AI36:AK36)</f>
        <v>0</v>
      </c>
      <c r="AM36" s="1437">
        <v>0</v>
      </c>
      <c r="AN36" s="337">
        <v>0</v>
      </c>
      <c r="AO36" s="338">
        <v>0</v>
      </c>
      <c r="AP36" s="1435">
        <v>0</v>
      </c>
      <c r="AQ36" s="1436">
        <f>AR36-SUM(AN36:AP36)</f>
        <v>0</v>
      </c>
      <c r="AR36" s="1437">
        <v>0</v>
      </c>
      <c r="AS36" s="337">
        <v>0</v>
      </c>
      <c r="AT36" s="338">
        <v>0</v>
      </c>
      <c r="AU36" s="338">
        <v>0</v>
      </c>
      <c r="AV36" s="1436">
        <f>AW36-SUM(AS36:AU36)</f>
        <v>0</v>
      </c>
      <c r="AW36" s="1437">
        <v>0</v>
      </c>
      <c r="AX36" s="300">
        <f>+AS36</f>
        <v>0</v>
      </c>
      <c r="AY36" s="264">
        <f>+AT36</f>
        <v>0</v>
      </c>
      <c r="AZ36" s="264">
        <f>+AU36</f>
        <v>0</v>
      </c>
      <c r="BA36" s="299">
        <f>+AV36</f>
        <v>0</v>
      </c>
      <c r="BB36" s="340">
        <f>SUM(AX36:BA36)</f>
        <v>0</v>
      </c>
      <c r="BC36" s="300">
        <f>+AX36</f>
        <v>0</v>
      </c>
      <c r="BD36" s="264">
        <f>+AY36</f>
        <v>0</v>
      </c>
      <c r="BE36" s="264">
        <f>+AZ36</f>
        <v>0</v>
      </c>
      <c r="BF36" s="299">
        <f>+BA36</f>
        <v>0</v>
      </c>
      <c r="BG36" s="340">
        <f>SUM(BC36:BF36)</f>
        <v>0</v>
      </c>
      <c r="BH36" s="300">
        <f>+BC36</f>
        <v>0</v>
      </c>
      <c r="BI36" s="264">
        <f>+BD36</f>
        <v>0</v>
      </c>
      <c r="BJ36" s="264">
        <f>+BE36</f>
        <v>0</v>
      </c>
      <c r="BK36" s="299">
        <f>+BF36</f>
        <v>0</v>
      </c>
      <c r="BL36" s="340">
        <f>SUM(BH36:BK36)</f>
        <v>0</v>
      </c>
      <c r="BM36" s="300">
        <f>+BH36</f>
        <v>0</v>
      </c>
      <c r="BN36" s="264">
        <f>+BI36</f>
        <v>0</v>
      </c>
      <c r="BO36" s="264">
        <f>+BJ36</f>
        <v>0</v>
      </c>
      <c r="BP36" s="299">
        <f>+BK36</f>
        <v>0</v>
      </c>
      <c r="BQ36" s="340">
        <f>SUM(BM36:BP36)</f>
        <v>0</v>
      </c>
      <c r="BZ36" s="232"/>
      <c r="CA36" s="45"/>
      <c r="CH36" s="330"/>
      <c r="CI36" s="330"/>
      <c r="CJ36" s="330"/>
      <c r="CK36" s="330"/>
      <c r="CL36" s="330"/>
      <c r="CM36" s="330"/>
      <c r="CN36" s="330"/>
      <c r="CO36" s="330"/>
    </row>
    <row r="37" spans="1:99" s="1" customFormat="1" ht="12.75" customHeight="1">
      <c r="C37" s="28"/>
      <c r="E37" s="337"/>
      <c r="F37" s="338"/>
      <c r="G37" s="338"/>
      <c r="H37" s="586"/>
      <c r="I37" s="339"/>
      <c r="J37" s="337"/>
      <c r="K37" s="338"/>
      <c r="L37" s="338"/>
      <c r="M37" s="586"/>
      <c r="N37" s="339"/>
      <c r="O37" s="337"/>
      <c r="P37" s="338"/>
      <c r="Q37" s="338"/>
      <c r="R37" s="586"/>
      <c r="S37" s="330"/>
      <c r="T37" s="337"/>
      <c r="U37" s="338"/>
      <c r="V37" s="353"/>
      <c r="W37" s="354"/>
      <c r="X37" s="340"/>
      <c r="Y37" s="337"/>
      <c r="Z37" s="338"/>
      <c r="AA37" s="1441"/>
      <c r="AB37" s="1442"/>
      <c r="AC37" s="1443"/>
      <c r="AD37" s="337"/>
      <c r="AE37" s="338"/>
      <c r="AF37" s="1441"/>
      <c r="AG37" s="1442"/>
      <c r="AH37" s="1443"/>
      <c r="AI37" s="337"/>
      <c r="AJ37" s="338"/>
      <c r="AK37" s="1441"/>
      <c r="AL37" s="1442"/>
      <c r="AM37" s="1443"/>
      <c r="AN37" s="337"/>
      <c r="AO37" s="338"/>
      <c r="AP37" s="1441"/>
      <c r="AQ37" s="1442"/>
      <c r="AR37" s="1443"/>
      <c r="AS37" s="369"/>
      <c r="AT37" s="338"/>
      <c r="AU37" s="353"/>
      <c r="AV37" s="1442"/>
      <c r="AW37" s="1443"/>
      <c r="AX37" s="369"/>
      <c r="AY37" s="353"/>
      <c r="AZ37" s="353"/>
      <c r="BA37" s="354"/>
      <c r="BB37" s="340"/>
      <c r="BC37" s="369"/>
      <c r="BD37" s="353"/>
      <c r="BE37" s="353"/>
      <c r="BF37" s="354"/>
      <c r="BG37" s="340"/>
      <c r="BH37" s="369"/>
      <c r="BI37" s="353"/>
      <c r="BJ37" s="353"/>
      <c r="BK37" s="354"/>
      <c r="BL37" s="340"/>
      <c r="BM37" s="369"/>
      <c r="BN37" s="353"/>
      <c r="BO37" s="353"/>
      <c r="BP37" s="354"/>
      <c r="BQ37" s="340"/>
      <c r="CH37" s="330"/>
      <c r="CI37" s="330"/>
      <c r="CJ37" s="330"/>
      <c r="CK37" s="330"/>
      <c r="CL37" s="330"/>
      <c r="CM37" s="330"/>
      <c r="CN37" s="330"/>
      <c r="CO37" s="330"/>
    </row>
    <row r="38" spans="1:99" ht="12.75" customHeight="1">
      <c r="A38" s="228"/>
      <c r="B38" s="228"/>
      <c r="C38" s="32" t="s">
        <v>82</v>
      </c>
      <c r="D38" s="228"/>
      <c r="E38" s="261">
        <f>E35-E36</f>
        <v>112</v>
      </c>
      <c r="F38" s="261">
        <f>F35-F36</f>
        <v>70</v>
      </c>
      <c r="G38" s="261">
        <f t="shared" ref="G38:AE38" si="63">G35-G36</f>
        <v>91</v>
      </c>
      <c r="H38" s="293">
        <f t="shared" si="63"/>
        <v>76</v>
      </c>
      <c r="I38" s="228">
        <f t="shared" si="63"/>
        <v>349</v>
      </c>
      <c r="J38" s="292">
        <f t="shared" si="63"/>
        <v>100</v>
      </c>
      <c r="K38" s="261">
        <f t="shared" si="63"/>
        <v>74</v>
      </c>
      <c r="L38" s="261">
        <f t="shared" si="63"/>
        <v>126</v>
      </c>
      <c r="M38" s="293">
        <f t="shared" si="63"/>
        <v>20</v>
      </c>
      <c r="N38" s="228">
        <f t="shared" si="63"/>
        <v>320</v>
      </c>
      <c r="O38" s="292">
        <f t="shared" si="63"/>
        <v>125</v>
      </c>
      <c r="P38" s="261">
        <f t="shared" si="63"/>
        <v>82</v>
      </c>
      <c r="Q38" s="261">
        <f t="shared" si="63"/>
        <v>104</v>
      </c>
      <c r="R38" s="293">
        <f t="shared" si="63"/>
        <v>74</v>
      </c>
      <c r="S38" s="228">
        <f t="shared" si="63"/>
        <v>385</v>
      </c>
      <c r="T38" s="292">
        <f t="shared" si="63"/>
        <v>96</v>
      </c>
      <c r="U38" s="261">
        <f>U35-U36</f>
        <v>79</v>
      </c>
      <c r="V38" s="261">
        <f t="shared" si="63"/>
        <v>121.99999999999989</v>
      </c>
      <c r="W38" s="293">
        <f t="shared" si="63"/>
        <v>80.000000000000114</v>
      </c>
      <c r="X38" s="228">
        <f t="shared" si="63"/>
        <v>376.99999999999955</v>
      </c>
      <c r="Y38" s="292">
        <f>Y35-Y36</f>
        <v>121</v>
      </c>
      <c r="Z38" s="261">
        <f t="shared" si="63"/>
        <v>72</v>
      </c>
      <c r="AA38" s="1438">
        <f>AA35-AA36</f>
        <v>92</v>
      </c>
      <c r="AB38" s="1439">
        <f>AB35-AB36</f>
        <v>103.00000000000011</v>
      </c>
      <c r="AC38" s="1440">
        <f>AC35-AC36</f>
        <v>388</v>
      </c>
      <c r="AD38" s="292">
        <f>AD35-AD36</f>
        <v>89</v>
      </c>
      <c r="AE38" s="261">
        <f t="shared" si="63"/>
        <v>84</v>
      </c>
      <c r="AF38" s="1438">
        <f>AF35-AF36</f>
        <v>81</v>
      </c>
      <c r="AG38" s="1439">
        <f>AG35-AG36</f>
        <v>98</v>
      </c>
      <c r="AH38" s="1440">
        <f>AH35-AH36</f>
        <v>352</v>
      </c>
      <c r="AI38" s="292">
        <f>AI35-AI36</f>
        <v>139</v>
      </c>
      <c r="AJ38" s="261">
        <f t="shared" ref="AJ38" si="64">AJ35-AJ36</f>
        <v>70</v>
      </c>
      <c r="AK38" s="1438">
        <f>AK35-AK36</f>
        <v>90</v>
      </c>
      <c r="AL38" s="1439">
        <f>AL35-AL36</f>
        <v>79.000000000000114</v>
      </c>
      <c r="AM38" s="1440">
        <f>AM35-AM36</f>
        <v>378</v>
      </c>
      <c r="AN38" s="292">
        <f>AN35-AN36</f>
        <v>124</v>
      </c>
      <c r="AO38" s="261">
        <f t="shared" ref="AO38" si="65">AO35-AO36</f>
        <v>100</v>
      </c>
      <c r="AP38" s="1438">
        <f>AP35-AP36</f>
        <v>122</v>
      </c>
      <c r="AQ38" s="1439">
        <f>AQ35-AQ36</f>
        <v>92</v>
      </c>
      <c r="AR38" s="1440">
        <f>AR35-AR36</f>
        <v>438</v>
      </c>
      <c r="AS38" s="292">
        <f t="shared" ref="AS38:BB38" si="66">AS35-AS36</f>
        <v>127</v>
      </c>
      <c r="AT38" s="261">
        <f t="shared" si="66"/>
        <v>88</v>
      </c>
      <c r="AU38" s="261">
        <f t="shared" si="66"/>
        <v>112</v>
      </c>
      <c r="AV38" s="1439">
        <f>AV35-AV36</f>
        <v>107.00000000000011</v>
      </c>
      <c r="AW38" s="1440">
        <f>AW35-AW36</f>
        <v>434</v>
      </c>
      <c r="AX38" s="292">
        <f t="shared" si="66"/>
        <v>135.79511567653552</v>
      </c>
      <c r="AY38" s="261">
        <f t="shared" ca="1" si="66"/>
        <v>90.716675165955195</v>
      </c>
      <c r="AZ38" s="261">
        <f t="shared" ca="1" si="66"/>
        <v>105.73896038437294</v>
      </c>
      <c r="BA38" s="293">
        <f t="shared" ca="1" si="66"/>
        <v>99.830799412682452</v>
      </c>
      <c r="BB38" s="228">
        <f t="shared" ca="1" si="66"/>
        <v>432.08155063954695</v>
      </c>
      <c r="BC38" s="292">
        <f t="shared" ref="BC38:BL38" ca="1" si="67">BC35-BC36</f>
        <v>146.33969364157298</v>
      </c>
      <c r="BD38" s="261">
        <f t="shared" ca="1" si="67"/>
        <v>97.3703585384294</v>
      </c>
      <c r="BE38" s="261">
        <f t="shared" ca="1" si="67"/>
        <v>113.89857403171358</v>
      </c>
      <c r="BF38" s="293">
        <f t="shared" ca="1" si="67"/>
        <v>108.64533971761048</v>
      </c>
      <c r="BG38" s="228">
        <f t="shared" ca="1" si="67"/>
        <v>466.25396592932623</v>
      </c>
      <c r="BH38" s="292">
        <f t="shared" ca="1" si="67"/>
        <v>156.21896872738083</v>
      </c>
      <c r="BI38" s="261">
        <f t="shared" ca="1" si="67"/>
        <v>106.92995607622238</v>
      </c>
      <c r="BJ38" s="261">
        <f t="shared" ca="1" si="67"/>
        <v>124.08347772418313</v>
      </c>
      <c r="BK38" s="293">
        <f t="shared" ca="1" si="67"/>
        <v>119.52979314948439</v>
      </c>
      <c r="BL38" s="228">
        <f t="shared" ca="1" si="67"/>
        <v>506.76219567727117</v>
      </c>
      <c r="BM38" s="292">
        <f t="shared" ref="BM38:BQ38" ca="1" si="68">BM35-BM36</f>
        <v>163.47410623180556</v>
      </c>
      <c r="BN38" s="261">
        <f t="shared" ca="1" si="68"/>
        <v>113.90418408759429</v>
      </c>
      <c r="BO38" s="261">
        <f t="shared" ca="1" si="68"/>
        <v>130.86531978482299</v>
      </c>
      <c r="BP38" s="293">
        <f t="shared" ca="1" si="68"/>
        <v>126.74633536258762</v>
      </c>
      <c r="BQ38" s="228">
        <f t="shared" ca="1" si="68"/>
        <v>534.98994546681024</v>
      </c>
      <c r="BR38" s="228"/>
      <c r="BS38" s="228"/>
      <c r="BT38" s="228"/>
      <c r="BU38" s="228"/>
      <c r="BV38" s="228"/>
      <c r="BW38" s="228"/>
      <c r="BX38" s="228"/>
      <c r="BY38" s="228"/>
      <c r="BZ38" s="228"/>
      <c r="CA38" s="228"/>
      <c r="CB38" s="228"/>
      <c r="CC38" s="228"/>
      <c r="CD38" s="228"/>
      <c r="CE38" s="228"/>
      <c r="CF38" s="228"/>
      <c r="CG38" s="228"/>
      <c r="CH38" s="330"/>
      <c r="CI38" s="330"/>
      <c r="CJ38" s="330"/>
      <c r="CK38" s="330"/>
      <c r="CL38" s="330"/>
      <c r="CM38" s="330"/>
      <c r="CN38" s="330"/>
      <c r="CO38" s="330"/>
      <c r="CP38" s="228"/>
      <c r="CQ38" s="228"/>
      <c r="CR38" s="228"/>
      <c r="CS38" s="228"/>
      <c r="CT38" s="228"/>
      <c r="CU38" s="228"/>
    </row>
    <row r="39" spans="1:99" ht="12.75" customHeight="1">
      <c r="C39" s="232" t="s">
        <v>83</v>
      </c>
      <c r="E39" s="335">
        <f>E36</f>
        <v>1</v>
      </c>
      <c r="F39" s="336">
        <f>3+F36</f>
        <v>4</v>
      </c>
      <c r="G39" s="336">
        <f>-1+G36</f>
        <v>0</v>
      </c>
      <c r="H39" s="586">
        <f>+I39-SUM(E39:G39)</f>
        <v>0</v>
      </c>
      <c r="I39" s="427">
        <f>1+I36</f>
        <v>5</v>
      </c>
      <c r="J39" s="335">
        <f>10+J36</f>
        <v>11</v>
      </c>
      <c r="K39" s="336">
        <f>22+K36</f>
        <v>23</v>
      </c>
      <c r="L39" s="336">
        <f>L36</f>
        <v>1</v>
      </c>
      <c r="M39" s="586">
        <f>+N39-SUM(J39:L39)</f>
        <v>0</v>
      </c>
      <c r="N39" s="427">
        <f>-1+10+22+N36</f>
        <v>35</v>
      </c>
      <c r="O39" s="335">
        <f>O36</f>
        <v>1</v>
      </c>
      <c r="P39" s="336">
        <f>P36</f>
        <v>1</v>
      </c>
      <c r="Q39" s="336">
        <f>1-2+Q36</f>
        <v>0</v>
      </c>
      <c r="R39" s="586">
        <f>+S39-SUM(O39:Q39)</f>
        <v>1</v>
      </c>
      <c r="S39" s="427">
        <f>-2+1+S36</f>
        <v>3</v>
      </c>
      <c r="T39" s="335">
        <v>4</v>
      </c>
      <c r="U39" s="336">
        <v>1</v>
      </c>
      <c r="V39" s="1314">
        <v>2</v>
      </c>
      <c r="W39" s="291">
        <f>X39-SUM(T39:V39)</f>
        <v>3</v>
      </c>
      <c r="X39" s="427">
        <v>10</v>
      </c>
      <c r="Y39" s="335">
        <v>2</v>
      </c>
      <c r="Z39" s="336">
        <v>2</v>
      </c>
      <c r="AA39" s="1435">
        <v>1</v>
      </c>
      <c r="AB39" s="1442">
        <f>AC39-SUM(Y39:AA39)</f>
        <v>0</v>
      </c>
      <c r="AC39" s="1437">
        <v>5</v>
      </c>
      <c r="AD39" s="337">
        <v>0</v>
      </c>
      <c r="AE39" s="336">
        <v>0</v>
      </c>
      <c r="AF39" s="1435">
        <v>0</v>
      </c>
      <c r="AG39" s="1442">
        <f>AH39-SUM(AD39:AF39)</f>
        <v>1</v>
      </c>
      <c r="AH39" s="1437">
        <v>1</v>
      </c>
      <c r="AI39" s="337">
        <v>1</v>
      </c>
      <c r="AJ39" s="336">
        <v>1</v>
      </c>
      <c r="AK39" s="1435">
        <v>1</v>
      </c>
      <c r="AL39" s="1442">
        <f>AM39-SUM(AI39:AK39)</f>
        <v>-1</v>
      </c>
      <c r="AM39" s="1437">
        <v>2</v>
      </c>
      <c r="AN39" s="337">
        <f>1+1</f>
        <v>2</v>
      </c>
      <c r="AO39" s="338">
        <v>1</v>
      </c>
      <c r="AP39" s="1435">
        <v>1</v>
      </c>
      <c r="AQ39" s="1442">
        <f>AR39-SUM(AN39:AP39)</f>
        <v>2</v>
      </c>
      <c r="AR39" s="1437">
        <f>3+3</f>
        <v>6</v>
      </c>
      <c r="AS39" s="337">
        <f>1+1</f>
        <v>2</v>
      </c>
      <c r="AT39" s="338">
        <v>1</v>
      </c>
      <c r="AU39" s="338">
        <v>2</v>
      </c>
      <c r="AV39" s="1442">
        <f>AW39-SUM(AS39:AU39)</f>
        <v>-12</v>
      </c>
      <c r="AW39" s="1437">
        <f>2-12+4-1</f>
        <v>-7</v>
      </c>
      <c r="AX39" s="306">
        <v>0</v>
      </c>
      <c r="AY39" s="266">
        <v>0</v>
      </c>
      <c r="AZ39" s="266">
        <v>0</v>
      </c>
      <c r="BA39" s="307">
        <v>0</v>
      </c>
      <c r="BB39" s="590">
        <f>SUM(AX39:BA39)</f>
        <v>0</v>
      </c>
      <c r="BC39" s="306">
        <v>0</v>
      </c>
      <c r="BD39" s="266">
        <v>0</v>
      </c>
      <c r="BE39" s="266">
        <v>0</v>
      </c>
      <c r="BF39" s="307">
        <v>0</v>
      </c>
      <c r="BG39" s="590">
        <f>SUM(BC39:BF39)</f>
        <v>0</v>
      </c>
      <c r="BH39" s="306">
        <v>0</v>
      </c>
      <c r="BI39" s="266">
        <v>0</v>
      </c>
      <c r="BJ39" s="266">
        <v>0</v>
      </c>
      <c r="BK39" s="307">
        <v>0</v>
      </c>
      <c r="BL39" s="590">
        <f>SUM(BH39:BK39)</f>
        <v>0</v>
      </c>
      <c r="BM39" s="306">
        <v>0</v>
      </c>
      <c r="BN39" s="266">
        <v>0</v>
      </c>
      <c r="BO39" s="266">
        <v>0</v>
      </c>
      <c r="BP39" s="307">
        <v>0</v>
      </c>
      <c r="BQ39" s="590">
        <f>SUM(BM39:BP39)</f>
        <v>0</v>
      </c>
      <c r="CH39" s="330"/>
      <c r="CI39" s="330"/>
      <c r="CJ39" s="330"/>
      <c r="CK39" s="330"/>
      <c r="CL39" s="330"/>
      <c r="CM39" s="330"/>
      <c r="CN39" s="330"/>
      <c r="CO39" s="330"/>
    </row>
    <row r="40" spans="1:99" ht="12.75" customHeight="1">
      <c r="A40" s="330"/>
      <c r="B40" s="330"/>
      <c r="C40" s="32" t="s">
        <v>360</v>
      </c>
      <c r="D40" s="330"/>
      <c r="E40" s="292">
        <f t="shared" ref="E40:L40" si="69">SUM(E38:E39)</f>
        <v>113</v>
      </c>
      <c r="F40" s="261">
        <f t="shared" si="69"/>
        <v>74</v>
      </c>
      <c r="G40" s="261">
        <f t="shared" si="69"/>
        <v>91</v>
      </c>
      <c r="H40" s="293">
        <f t="shared" si="69"/>
        <v>76</v>
      </c>
      <c r="I40" s="228">
        <f t="shared" si="69"/>
        <v>354</v>
      </c>
      <c r="J40" s="292">
        <f t="shared" si="69"/>
        <v>111</v>
      </c>
      <c r="K40" s="261">
        <f t="shared" si="69"/>
        <v>97</v>
      </c>
      <c r="L40" s="261">
        <f t="shared" si="69"/>
        <v>127</v>
      </c>
      <c r="M40" s="293">
        <f t="shared" ref="M40:U40" si="70">SUM(M38:M39)</f>
        <v>20</v>
      </c>
      <c r="N40" s="228">
        <f t="shared" si="70"/>
        <v>355</v>
      </c>
      <c r="O40" s="292">
        <f t="shared" si="70"/>
        <v>126</v>
      </c>
      <c r="P40" s="261">
        <f t="shared" si="70"/>
        <v>83</v>
      </c>
      <c r="Q40" s="261">
        <f t="shared" si="70"/>
        <v>104</v>
      </c>
      <c r="R40" s="293">
        <f t="shared" si="70"/>
        <v>75</v>
      </c>
      <c r="S40" s="228">
        <f t="shared" si="70"/>
        <v>388</v>
      </c>
      <c r="T40" s="292">
        <f t="shared" si="70"/>
        <v>100</v>
      </c>
      <c r="U40" s="261">
        <f t="shared" si="70"/>
        <v>80</v>
      </c>
      <c r="V40" s="261">
        <f t="shared" ref="V40:AE40" si="71">SUM(V38:V39)</f>
        <v>123.99999999999989</v>
      </c>
      <c r="W40" s="293">
        <f t="shared" si="71"/>
        <v>83.000000000000114</v>
      </c>
      <c r="X40" s="228">
        <f t="shared" si="71"/>
        <v>386.99999999999955</v>
      </c>
      <c r="Y40" s="292">
        <f t="shared" si="71"/>
        <v>123</v>
      </c>
      <c r="Z40" s="261">
        <f t="shared" si="71"/>
        <v>74</v>
      </c>
      <c r="AA40" s="1438">
        <f t="shared" si="71"/>
        <v>93</v>
      </c>
      <c r="AB40" s="1439">
        <f>SUM(AB38:AB39)</f>
        <v>103.00000000000011</v>
      </c>
      <c r="AC40" s="1440">
        <f>SUM(AC38:AC39)</f>
        <v>393</v>
      </c>
      <c r="AD40" s="292">
        <f t="shared" si="71"/>
        <v>89</v>
      </c>
      <c r="AE40" s="261">
        <f t="shared" si="71"/>
        <v>84</v>
      </c>
      <c r="AF40" s="1438">
        <f t="shared" ref="AF40" si="72">SUM(AF38:AF39)</f>
        <v>81</v>
      </c>
      <c r="AG40" s="1439">
        <f>SUM(AG38:AG39)</f>
        <v>99</v>
      </c>
      <c r="AH40" s="1440">
        <f>SUM(AH38:AH39)</f>
        <v>353</v>
      </c>
      <c r="AI40" s="292">
        <f t="shared" ref="AI40:AK40" si="73">SUM(AI38:AI39)</f>
        <v>140</v>
      </c>
      <c r="AJ40" s="261">
        <f t="shared" si="73"/>
        <v>71</v>
      </c>
      <c r="AK40" s="1438">
        <f t="shared" si="73"/>
        <v>91</v>
      </c>
      <c r="AL40" s="1439">
        <f>SUM(AL38:AL39)</f>
        <v>78.000000000000114</v>
      </c>
      <c r="AM40" s="1440">
        <f>SUM(AM38:AM39)</f>
        <v>380</v>
      </c>
      <c r="AN40" s="292">
        <f t="shared" ref="AN40:AP40" si="74">SUM(AN38:AN39)</f>
        <v>126</v>
      </c>
      <c r="AO40" s="261">
        <f t="shared" si="74"/>
        <v>101</v>
      </c>
      <c r="AP40" s="1438">
        <f t="shared" si="74"/>
        <v>123</v>
      </c>
      <c r="AQ40" s="1439">
        <f>SUM(AQ38:AQ39)</f>
        <v>94</v>
      </c>
      <c r="AR40" s="1440">
        <f>SUM(AR38:AR39)</f>
        <v>444</v>
      </c>
      <c r="AS40" s="292">
        <f t="shared" ref="AS40:BB40" si="75">SUM(AS38:AS39)</f>
        <v>129</v>
      </c>
      <c r="AT40" s="261">
        <f t="shared" si="75"/>
        <v>89</v>
      </c>
      <c r="AU40" s="261">
        <f t="shared" si="75"/>
        <v>114</v>
      </c>
      <c r="AV40" s="1439">
        <f>SUM(AV38:AV39)</f>
        <v>95.000000000000114</v>
      </c>
      <c r="AW40" s="1440">
        <f>SUM(AW38:AW39)</f>
        <v>427</v>
      </c>
      <c r="AX40" s="292">
        <f t="shared" si="75"/>
        <v>135.79511567653552</v>
      </c>
      <c r="AY40" s="261">
        <f t="shared" ca="1" si="75"/>
        <v>90.716675165955195</v>
      </c>
      <c r="AZ40" s="261">
        <f t="shared" ca="1" si="75"/>
        <v>105.73896038437294</v>
      </c>
      <c r="BA40" s="293">
        <f t="shared" ca="1" si="75"/>
        <v>99.830799412682452</v>
      </c>
      <c r="BB40" s="228">
        <f t="shared" ca="1" si="75"/>
        <v>432.08155063954695</v>
      </c>
      <c r="BC40" s="292">
        <f t="shared" ref="BC40:BL40" ca="1" si="76">SUM(BC38:BC39)</f>
        <v>146.33969364157298</v>
      </c>
      <c r="BD40" s="261">
        <f t="shared" ca="1" si="76"/>
        <v>97.3703585384294</v>
      </c>
      <c r="BE40" s="261">
        <f t="shared" ca="1" si="76"/>
        <v>113.89857403171358</v>
      </c>
      <c r="BF40" s="293">
        <f t="shared" ca="1" si="76"/>
        <v>108.64533971761048</v>
      </c>
      <c r="BG40" s="228">
        <f t="shared" ca="1" si="76"/>
        <v>466.25396592932623</v>
      </c>
      <c r="BH40" s="292">
        <f t="shared" ca="1" si="76"/>
        <v>156.21896872738083</v>
      </c>
      <c r="BI40" s="261">
        <f t="shared" ca="1" si="76"/>
        <v>106.92995607622238</v>
      </c>
      <c r="BJ40" s="261">
        <f t="shared" ca="1" si="76"/>
        <v>124.08347772418313</v>
      </c>
      <c r="BK40" s="293">
        <f t="shared" ca="1" si="76"/>
        <v>119.52979314948439</v>
      </c>
      <c r="BL40" s="228">
        <f t="shared" ca="1" si="76"/>
        <v>506.76219567727117</v>
      </c>
      <c r="BM40" s="292">
        <f t="shared" ref="BM40:BQ40" ca="1" si="77">SUM(BM38:BM39)</f>
        <v>163.47410623180556</v>
      </c>
      <c r="BN40" s="261">
        <f t="shared" ca="1" si="77"/>
        <v>113.90418408759429</v>
      </c>
      <c r="BO40" s="261">
        <f t="shared" ca="1" si="77"/>
        <v>130.86531978482299</v>
      </c>
      <c r="BP40" s="293">
        <f t="shared" ca="1" si="77"/>
        <v>126.74633536258762</v>
      </c>
      <c r="BQ40" s="228">
        <f t="shared" ca="1" si="77"/>
        <v>534.98994546681024</v>
      </c>
      <c r="BR40" s="330"/>
      <c r="BS40" s="330"/>
      <c r="BT40" s="330"/>
      <c r="BU40" s="330"/>
      <c r="BV40" s="330"/>
      <c r="BW40" s="330"/>
      <c r="BX40" s="330"/>
      <c r="BY40" s="330"/>
      <c r="BZ40" s="330"/>
      <c r="CA40" s="330"/>
      <c r="CB40" s="330"/>
      <c r="CC40" s="330"/>
      <c r="CD40" s="330"/>
      <c r="CE40" s="330"/>
      <c r="CF40" s="330"/>
      <c r="CG40" s="330"/>
      <c r="CH40" s="330"/>
      <c r="CI40" s="330"/>
      <c r="CJ40" s="330"/>
      <c r="CK40" s="330"/>
      <c r="CL40" s="330"/>
      <c r="CM40" s="330"/>
      <c r="CN40" s="330"/>
      <c r="CO40" s="330"/>
      <c r="CP40" s="330"/>
      <c r="CQ40" s="330"/>
      <c r="CR40" s="330"/>
      <c r="CS40" s="330"/>
      <c r="CT40" s="330"/>
      <c r="CU40" s="330"/>
    </row>
    <row r="41" spans="1:99" ht="12.75" customHeight="1">
      <c r="A41" s="330"/>
      <c r="B41" s="330"/>
      <c r="C41" s="28"/>
      <c r="D41" s="330"/>
      <c r="E41" s="300"/>
      <c r="F41" s="264"/>
      <c r="G41" s="264"/>
      <c r="H41" s="299"/>
      <c r="I41" s="330"/>
      <c r="J41" s="300"/>
      <c r="K41" s="264"/>
      <c r="L41" s="264"/>
      <c r="M41" s="299"/>
      <c r="N41" s="330"/>
      <c r="O41" s="300"/>
      <c r="P41" s="264"/>
      <c r="Q41" s="264"/>
      <c r="R41" s="299"/>
      <c r="S41" s="330"/>
      <c r="T41" s="300"/>
      <c r="U41" s="264"/>
      <c r="V41" s="264"/>
      <c r="W41" s="299"/>
      <c r="X41" s="330"/>
      <c r="Y41" s="300"/>
      <c r="Z41" s="264"/>
      <c r="AA41" s="1441"/>
      <c r="AB41" s="1442"/>
      <c r="AC41" s="1443"/>
      <c r="AD41" s="300"/>
      <c r="AE41" s="264"/>
      <c r="AF41" s="1441"/>
      <c r="AG41" s="1442"/>
      <c r="AH41" s="1443"/>
      <c r="AI41" s="300"/>
      <c r="AJ41" s="264"/>
      <c r="AK41" s="1441"/>
      <c r="AL41" s="1442"/>
      <c r="AM41" s="1443"/>
      <c r="AN41" s="300"/>
      <c r="AO41" s="264"/>
      <c r="AP41" s="1441"/>
      <c r="AQ41" s="1442"/>
      <c r="AR41" s="1443"/>
      <c r="AS41" s="300"/>
      <c r="AT41" s="264"/>
      <c r="AU41" s="264"/>
      <c r="AV41" s="1442"/>
      <c r="AW41" s="1443"/>
      <c r="AX41" s="300"/>
      <c r="AY41" s="264"/>
      <c r="AZ41" s="264"/>
      <c r="BA41" s="299"/>
      <c r="BB41" s="330"/>
      <c r="BC41" s="300"/>
      <c r="BD41" s="264"/>
      <c r="BE41" s="264"/>
      <c r="BF41" s="299"/>
      <c r="BG41" s="330"/>
      <c r="BH41" s="300"/>
      <c r="BI41" s="264"/>
      <c r="BJ41" s="264"/>
      <c r="BK41" s="299"/>
      <c r="BL41" s="330"/>
      <c r="BM41" s="300"/>
      <c r="BN41" s="264"/>
      <c r="BO41" s="264"/>
      <c r="BP41" s="299"/>
      <c r="BQ41" s="330"/>
      <c r="BR41" s="330"/>
      <c r="BS41" s="330"/>
      <c r="BT41" s="330"/>
      <c r="BU41" s="330"/>
      <c r="BV41" s="330"/>
      <c r="BW41" s="330"/>
      <c r="BX41" s="330"/>
      <c r="BY41" s="330"/>
      <c r="BZ41" s="330"/>
      <c r="CA41" s="330"/>
      <c r="CB41" s="330"/>
      <c r="CC41" s="330"/>
      <c r="CD41" s="330"/>
      <c r="CE41" s="330"/>
      <c r="CF41" s="330"/>
      <c r="CG41" s="330"/>
      <c r="CH41" s="330"/>
      <c r="CI41" s="330"/>
      <c r="CJ41" s="330"/>
      <c r="CK41" s="330"/>
      <c r="CL41" s="330"/>
      <c r="CM41" s="330"/>
      <c r="CN41" s="330"/>
      <c r="CO41" s="330"/>
      <c r="CP41" s="330"/>
      <c r="CQ41" s="330"/>
      <c r="CR41" s="330"/>
      <c r="CS41" s="330"/>
      <c r="CT41" s="330"/>
      <c r="CU41" s="330"/>
    </row>
    <row r="42" spans="1:99" ht="12.75" customHeight="1">
      <c r="A42" s="330"/>
      <c r="B42" s="330"/>
      <c r="C42" s="28" t="s">
        <v>95</v>
      </c>
      <c r="D42" s="330"/>
      <c r="E42" s="290">
        <f>EXC!E49</f>
        <v>659</v>
      </c>
      <c r="F42" s="260">
        <f>EXC!F49</f>
        <v>659</v>
      </c>
      <c r="G42" s="260">
        <f>EXC!G49</f>
        <v>660</v>
      </c>
      <c r="H42" s="291">
        <f>EXC!H49</f>
        <v>660</v>
      </c>
      <c r="I42" s="45">
        <f>EXC!I49</f>
        <v>659</v>
      </c>
      <c r="J42" s="290">
        <f>EXC!J49</f>
        <v>661</v>
      </c>
      <c r="K42" s="260">
        <f>EXC!K49</f>
        <v>661</v>
      </c>
      <c r="L42" s="260">
        <f>EXC!L49</f>
        <v>662</v>
      </c>
      <c r="M42" s="291">
        <f>EXC!M49</f>
        <v>662</v>
      </c>
      <c r="N42" s="45">
        <f>EXC!N49</f>
        <v>661</v>
      </c>
      <c r="O42" s="290">
        <f>EXC!O49</f>
        <v>662</v>
      </c>
      <c r="P42" s="260">
        <f>EXC!P49</f>
        <v>663</v>
      </c>
      <c r="Q42" s="260">
        <f>EXC!Q49</f>
        <v>663</v>
      </c>
      <c r="R42" s="291">
        <f>EXC!R49</f>
        <v>664</v>
      </c>
      <c r="S42" s="45">
        <f>EXC!S49</f>
        <v>663</v>
      </c>
      <c r="T42" s="290">
        <f>EXC!T49</f>
        <v>705</v>
      </c>
      <c r="U42" s="260">
        <f>EXC!U49</f>
        <v>853</v>
      </c>
      <c r="V42" s="260">
        <f>EXC!V49</f>
        <v>854</v>
      </c>
      <c r="W42" s="291">
        <f>EXC!W49</f>
        <v>816</v>
      </c>
      <c r="X42" s="45">
        <f>EXC!X49</f>
        <v>816</v>
      </c>
      <c r="Y42" s="290">
        <f>EXC!Y49</f>
        <v>855</v>
      </c>
      <c r="Z42" s="260">
        <f>EXC!Z49</f>
        <v>856</v>
      </c>
      <c r="AA42" s="1441">
        <f>EXC!AA49</f>
        <v>857</v>
      </c>
      <c r="AB42" s="1442">
        <f>EXC!AB49</f>
        <v>857</v>
      </c>
      <c r="AC42" s="1443">
        <f>EXC!AC49</f>
        <v>856</v>
      </c>
      <c r="AD42" s="290">
        <f>EXC!AD49</f>
        <v>858</v>
      </c>
      <c r="AE42" s="260">
        <f>EXC!AE49</f>
        <v>860</v>
      </c>
      <c r="AF42" s="1441">
        <f>EXC!AF49</f>
        <v>861</v>
      </c>
      <c r="AG42" s="1442">
        <f>EXC!AG49</f>
        <v>861</v>
      </c>
      <c r="AH42" s="1443">
        <f>EXC!AH49</f>
        <v>860</v>
      </c>
      <c r="AI42" s="290">
        <f>EXC!AI49</f>
        <v>862</v>
      </c>
      <c r="AJ42" s="260">
        <f>EXC!AJ49</f>
        <v>863</v>
      </c>
      <c r="AK42" s="1441">
        <f>EXC!AK49</f>
        <v>913</v>
      </c>
      <c r="AL42" s="1442">
        <f>EXC!AL49</f>
        <v>921</v>
      </c>
      <c r="AM42" s="1443">
        <f>EXC!AM49</f>
        <v>890</v>
      </c>
      <c r="AN42" s="290">
        <f>EXC!AN49</f>
        <v>923</v>
      </c>
      <c r="AO42" s="260">
        <f>EXC!AO49</f>
        <v>924</v>
      </c>
      <c r="AP42" s="1441">
        <f>EXC!AP49</f>
        <v>925</v>
      </c>
      <c r="AQ42" s="1442">
        <f>EXC!AQ49</f>
        <v>925</v>
      </c>
      <c r="AR42" s="1443">
        <f>EXC!AR49</f>
        <v>924</v>
      </c>
      <c r="AS42" s="290">
        <f>EXC!AS49</f>
        <v>928</v>
      </c>
      <c r="AT42" s="260">
        <f>EXC!AT49</f>
        <v>934</v>
      </c>
      <c r="AU42" s="260">
        <f>EXC!AU49</f>
        <v>962</v>
      </c>
      <c r="AV42" s="1442">
        <f>EXC!AV49</f>
        <v>964</v>
      </c>
      <c r="AW42" s="1443">
        <f>EXC!AW49</f>
        <v>947</v>
      </c>
      <c r="AX42" s="290">
        <f>EXC!AX49</f>
        <v>963</v>
      </c>
      <c r="AY42" s="260">
        <f>EXC!AY49</f>
        <v>963</v>
      </c>
      <c r="AZ42" s="260">
        <f>EXC!AZ49</f>
        <v>963</v>
      </c>
      <c r="BA42" s="291">
        <f>EXC!BA49</f>
        <v>963</v>
      </c>
      <c r="BB42" s="45">
        <f>EXC!BB49</f>
        <v>963</v>
      </c>
      <c r="BC42" s="290">
        <f>EXC!BC49</f>
        <v>963</v>
      </c>
      <c r="BD42" s="260">
        <f>EXC!BD49</f>
        <v>963</v>
      </c>
      <c r="BE42" s="260">
        <f>EXC!BE49</f>
        <v>963</v>
      </c>
      <c r="BF42" s="291">
        <f>EXC!BF49</f>
        <v>963</v>
      </c>
      <c r="BG42" s="45">
        <f>EXC!BG49</f>
        <v>963</v>
      </c>
      <c r="BH42" s="290">
        <f>EXC!BH49</f>
        <v>963</v>
      </c>
      <c r="BI42" s="260">
        <f>EXC!BI49</f>
        <v>963</v>
      </c>
      <c r="BJ42" s="260">
        <f>EXC!BJ49</f>
        <v>963</v>
      </c>
      <c r="BK42" s="291">
        <f>EXC!BK49</f>
        <v>963</v>
      </c>
      <c r="BL42" s="45">
        <f>EXC!BL49</f>
        <v>963</v>
      </c>
      <c r="BM42" s="290">
        <f>EXC!BM49</f>
        <v>963</v>
      </c>
      <c r="BN42" s="260">
        <f>EXC!BN49</f>
        <v>963</v>
      </c>
      <c r="BO42" s="260">
        <f>EXC!BO49</f>
        <v>963</v>
      </c>
      <c r="BP42" s="291">
        <f>EXC!BP49</f>
        <v>963</v>
      </c>
      <c r="BQ42" s="45">
        <f>EXC!BQ49</f>
        <v>963</v>
      </c>
      <c r="BR42" s="330"/>
      <c r="BS42" s="330"/>
      <c r="BT42" s="330"/>
      <c r="BU42" s="330"/>
      <c r="BV42" s="330"/>
      <c r="BW42" s="330"/>
      <c r="BX42" s="330"/>
      <c r="BY42" s="330"/>
      <c r="BZ42" s="330"/>
      <c r="CA42" s="330"/>
      <c r="CB42" s="330"/>
      <c r="CC42" s="330"/>
      <c r="CD42" s="330"/>
      <c r="CE42" s="330"/>
      <c r="CF42" s="330"/>
      <c r="CG42" s="330"/>
      <c r="CH42" s="330"/>
      <c r="CI42" s="330"/>
      <c r="CJ42" s="330"/>
      <c r="CK42" s="330"/>
      <c r="CL42" s="330"/>
      <c r="CM42" s="330"/>
      <c r="CN42" s="330"/>
      <c r="CO42" s="330"/>
      <c r="CP42" s="330"/>
      <c r="CQ42" s="330"/>
      <c r="CR42" s="330"/>
      <c r="CS42" s="330"/>
      <c r="CT42" s="330"/>
      <c r="CU42" s="330"/>
    </row>
    <row r="43" spans="1:99" ht="12.75" customHeight="1">
      <c r="A43" s="330"/>
      <c r="B43" s="330"/>
      <c r="C43" s="28" t="s">
        <v>109</v>
      </c>
      <c r="D43" s="330"/>
      <c r="E43" s="290">
        <f>EXC!E50</f>
        <v>661</v>
      </c>
      <c r="F43" s="260">
        <f>EXC!F50</f>
        <v>661</v>
      </c>
      <c r="G43" s="260">
        <f>EXC!G50</f>
        <v>662</v>
      </c>
      <c r="H43" s="291">
        <f>EXC!H50</f>
        <v>662</v>
      </c>
      <c r="I43" s="45">
        <f>EXC!I50</f>
        <v>662</v>
      </c>
      <c r="J43" s="290">
        <f>EXC!J50</f>
        <v>662</v>
      </c>
      <c r="K43" s="260">
        <f>EXC!K50</f>
        <v>662</v>
      </c>
      <c r="L43" s="260">
        <f>EXC!L50</f>
        <v>663</v>
      </c>
      <c r="M43" s="291">
        <f>EXC!M50</f>
        <v>663</v>
      </c>
      <c r="N43" s="45">
        <f>EXC!N50</f>
        <v>663</v>
      </c>
      <c r="O43" s="290">
        <f>EXC!O50</f>
        <v>664</v>
      </c>
      <c r="P43" s="260">
        <f>EXC!P50</f>
        <v>664</v>
      </c>
      <c r="Q43" s="260">
        <f>EXC!Q50</f>
        <v>665</v>
      </c>
      <c r="R43" s="291">
        <f>EXC!R50</f>
        <v>666</v>
      </c>
      <c r="S43" s="45">
        <f>EXC!S50</f>
        <v>665</v>
      </c>
      <c r="T43" s="290">
        <f>EXC!T50</f>
        <v>707</v>
      </c>
      <c r="U43" s="260">
        <f>EXC!U50</f>
        <v>856</v>
      </c>
      <c r="V43" s="260">
        <f>EXC!V50</f>
        <v>857</v>
      </c>
      <c r="W43" s="291">
        <f>EXC!W50</f>
        <v>819</v>
      </c>
      <c r="X43" s="45">
        <f>EXC!X50</f>
        <v>819</v>
      </c>
      <c r="Y43" s="290">
        <f>EXC!Y50</f>
        <v>855</v>
      </c>
      <c r="Z43" s="260">
        <f>EXC!Z50</f>
        <v>860</v>
      </c>
      <c r="AA43" s="1441">
        <f>EXC!AA50</f>
        <v>860</v>
      </c>
      <c r="AB43" s="1442">
        <f>EXC!AB50</f>
        <v>861</v>
      </c>
      <c r="AC43" s="1443">
        <f>EXC!AC50</f>
        <v>860</v>
      </c>
      <c r="AD43" s="290">
        <f>EXC!AD50</f>
        <v>861</v>
      </c>
      <c r="AE43" s="260">
        <f>EXC!AE50</f>
        <v>864</v>
      </c>
      <c r="AF43" s="1441">
        <f>EXC!AF50</f>
        <v>863</v>
      </c>
      <c r="AG43" s="1442">
        <f>EXC!AG50</f>
        <v>868</v>
      </c>
      <c r="AH43" s="1443">
        <f>EXC!AH50</f>
        <v>864</v>
      </c>
      <c r="AI43" s="290">
        <f>EXC!AI50</f>
        <v>867</v>
      </c>
      <c r="AJ43" s="260">
        <f>EXC!AJ50</f>
        <v>864</v>
      </c>
      <c r="AK43" s="1441">
        <f>EXC!AK50</f>
        <v>915</v>
      </c>
      <c r="AL43" s="1442">
        <f>EXC!AL50</f>
        <v>924</v>
      </c>
      <c r="AM43" s="1443">
        <f>EXC!AM50</f>
        <v>893</v>
      </c>
      <c r="AN43" s="290">
        <f>EXC!AN50</f>
        <v>925</v>
      </c>
      <c r="AO43" s="260">
        <f>EXC!AO50</f>
        <v>926</v>
      </c>
      <c r="AP43" s="1441">
        <f>EXC!AP50</f>
        <v>927</v>
      </c>
      <c r="AQ43" s="1442">
        <f>EXC!AQ50</f>
        <v>928</v>
      </c>
      <c r="AR43" s="1443">
        <f>EXC!AR50</f>
        <v>927</v>
      </c>
      <c r="AS43" s="290">
        <f>EXC!AS50</f>
        <v>930</v>
      </c>
      <c r="AT43" s="260">
        <f>EXC!AT50</f>
        <v>936</v>
      </c>
      <c r="AU43" s="260">
        <f>EXC!AU50</f>
        <v>965</v>
      </c>
      <c r="AV43" s="1442">
        <f>EXC!AV50</f>
        <v>967</v>
      </c>
      <c r="AW43" s="1443">
        <f>EXC!AW50</f>
        <v>949</v>
      </c>
      <c r="AX43" s="290">
        <f>EXC!AX50</f>
        <v>966</v>
      </c>
      <c r="AY43" s="260">
        <f>EXC!AY50</f>
        <v>966</v>
      </c>
      <c r="AZ43" s="260">
        <f>EXC!AZ50</f>
        <v>966</v>
      </c>
      <c r="BA43" s="291">
        <f>EXC!BA50</f>
        <v>966</v>
      </c>
      <c r="BB43" s="45">
        <f>EXC!BB50</f>
        <v>966</v>
      </c>
      <c r="BC43" s="290">
        <f>EXC!BC50</f>
        <v>966</v>
      </c>
      <c r="BD43" s="260">
        <f>EXC!BD50</f>
        <v>966</v>
      </c>
      <c r="BE43" s="260">
        <f>EXC!BE50</f>
        <v>966</v>
      </c>
      <c r="BF43" s="291">
        <f>EXC!BF50</f>
        <v>966</v>
      </c>
      <c r="BG43" s="45">
        <f>EXC!BG50</f>
        <v>966</v>
      </c>
      <c r="BH43" s="290">
        <f>EXC!BH50</f>
        <v>966</v>
      </c>
      <c r="BI43" s="260">
        <f>EXC!BI50</f>
        <v>966</v>
      </c>
      <c r="BJ43" s="260">
        <f>EXC!BJ50</f>
        <v>966</v>
      </c>
      <c r="BK43" s="291">
        <f>EXC!BK50</f>
        <v>966</v>
      </c>
      <c r="BL43" s="45">
        <f>EXC!BL50</f>
        <v>966</v>
      </c>
      <c r="BM43" s="290">
        <f>EXC!BM50</f>
        <v>966</v>
      </c>
      <c r="BN43" s="260">
        <f>EXC!BN50</f>
        <v>966</v>
      </c>
      <c r="BO43" s="260">
        <f>EXC!BO50</f>
        <v>966</v>
      </c>
      <c r="BP43" s="291">
        <f>EXC!BP50</f>
        <v>966</v>
      </c>
      <c r="BQ43" s="45">
        <f>EXC!BQ50</f>
        <v>966</v>
      </c>
      <c r="BR43" s="330"/>
      <c r="BS43" s="330"/>
      <c r="BT43" s="330"/>
      <c r="BU43" s="330"/>
      <c r="BV43" s="330"/>
      <c r="BW43" s="330"/>
      <c r="BX43" s="330"/>
      <c r="BY43" s="330"/>
      <c r="BZ43" s="330"/>
      <c r="CA43" s="330"/>
      <c r="CB43" s="330"/>
      <c r="CC43" s="330"/>
      <c r="CD43" s="330"/>
      <c r="CE43" s="330"/>
      <c r="CF43" s="330"/>
      <c r="CG43" s="330"/>
      <c r="CH43" s="330"/>
      <c r="CI43" s="330"/>
      <c r="CJ43" s="330"/>
      <c r="CK43" s="330"/>
      <c r="CL43" s="330"/>
      <c r="CM43" s="330"/>
      <c r="CN43" s="330"/>
      <c r="CO43" s="330"/>
      <c r="CP43" s="330"/>
      <c r="CQ43" s="330"/>
      <c r="CR43" s="330"/>
      <c r="CS43" s="330"/>
      <c r="CT43" s="330"/>
      <c r="CU43" s="330"/>
    </row>
    <row r="44" spans="1:99" ht="12.75" customHeight="1">
      <c r="A44" s="330"/>
      <c r="B44" s="330"/>
      <c r="C44" s="228"/>
      <c r="D44" s="330"/>
      <c r="E44" s="300"/>
      <c r="F44" s="264"/>
      <c r="G44" s="264"/>
      <c r="H44" s="299"/>
      <c r="I44" s="330"/>
      <c r="J44" s="300"/>
      <c r="K44" s="264"/>
      <c r="L44" s="264"/>
      <c r="M44" s="299"/>
      <c r="N44" s="330"/>
      <c r="O44" s="300"/>
      <c r="P44" s="264"/>
      <c r="Q44" s="264"/>
      <c r="R44" s="299"/>
      <c r="S44" s="330"/>
      <c r="T44" s="300"/>
      <c r="U44" s="264"/>
      <c r="V44" s="264"/>
      <c r="W44" s="299"/>
      <c r="X44" s="330"/>
      <c r="Y44" s="300"/>
      <c r="Z44" s="264"/>
      <c r="AA44" s="1441"/>
      <c r="AB44" s="1442"/>
      <c r="AC44" s="1443"/>
      <c r="AD44" s="300"/>
      <c r="AE44" s="264"/>
      <c r="AF44" s="1441"/>
      <c r="AG44" s="1442"/>
      <c r="AH44" s="1443"/>
      <c r="AI44" s="300"/>
      <c r="AJ44" s="264"/>
      <c r="AK44" s="264"/>
      <c r="AL44" s="299"/>
      <c r="AM44" s="330"/>
      <c r="AN44" s="300"/>
      <c r="AO44" s="264"/>
      <c r="AP44" s="264"/>
      <c r="AQ44" s="299"/>
      <c r="AR44" s="330"/>
      <c r="AS44" s="300"/>
      <c r="AT44" s="264"/>
      <c r="AU44" s="264"/>
      <c r="AV44" s="299"/>
      <c r="AW44" s="330"/>
      <c r="AX44" s="300"/>
      <c r="AY44" s="264"/>
      <c r="AZ44" s="264"/>
      <c r="BA44" s="299"/>
      <c r="BB44" s="330"/>
      <c r="BC44" s="300"/>
      <c r="BD44" s="264"/>
      <c r="BE44" s="264"/>
      <c r="BF44" s="299"/>
      <c r="BG44" s="330"/>
      <c r="BH44" s="300"/>
      <c r="BI44" s="264"/>
      <c r="BJ44" s="264"/>
      <c r="BK44" s="299"/>
      <c r="BL44" s="330"/>
      <c r="BM44" s="300"/>
      <c r="BN44" s="264"/>
      <c r="BO44" s="264"/>
      <c r="BP44" s="299"/>
      <c r="BQ44" s="330"/>
      <c r="BR44" s="330"/>
      <c r="BS44" s="330"/>
      <c r="BT44" s="330"/>
      <c r="BU44" s="330"/>
      <c r="BV44" s="330"/>
      <c r="BW44" s="330"/>
      <c r="BX44" s="330"/>
      <c r="BY44" s="330"/>
      <c r="BZ44" s="330"/>
      <c r="CA44" s="330"/>
      <c r="CB44" s="330"/>
      <c r="CC44" s="330"/>
      <c r="CD44" s="330"/>
      <c r="CE44" s="330"/>
      <c r="CF44" s="330"/>
      <c r="CG44" s="330"/>
      <c r="CH44" s="330"/>
      <c r="CI44" s="330"/>
      <c r="CJ44" s="330"/>
      <c r="CK44" s="330"/>
      <c r="CL44" s="330"/>
      <c r="CM44" s="330"/>
      <c r="CN44" s="330"/>
      <c r="CO44" s="330"/>
      <c r="CP44" s="330"/>
      <c r="CQ44" s="330"/>
      <c r="CR44" s="330"/>
      <c r="CS44" s="330"/>
      <c r="CT44" s="330"/>
      <c r="CU44" s="330"/>
    </row>
    <row r="45" spans="1:99" ht="12.75" customHeight="1">
      <c r="A45" s="28"/>
      <c r="B45" s="28"/>
      <c r="C45" s="28" t="s">
        <v>447</v>
      </c>
      <c r="D45" s="28"/>
      <c r="E45" s="363">
        <f t="shared" ref="E45:AM45" si="78">+E38/E43</f>
        <v>0.16944024205748864</v>
      </c>
      <c r="F45" s="364">
        <f t="shared" si="78"/>
        <v>0.1059001512859304</v>
      </c>
      <c r="G45" s="364">
        <f t="shared" si="78"/>
        <v>0.13746223564954682</v>
      </c>
      <c r="H45" s="365">
        <f t="shared" si="78"/>
        <v>0.11480362537764351</v>
      </c>
      <c r="I45" s="366">
        <f t="shared" si="78"/>
        <v>0.52719033232628398</v>
      </c>
      <c r="J45" s="363">
        <f t="shared" si="78"/>
        <v>0.15105740181268881</v>
      </c>
      <c r="K45" s="364">
        <f t="shared" si="78"/>
        <v>0.11178247734138973</v>
      </c>
      <c r="L45" s="364">
        <f>+L38/L43</f>
        <v>0.19004524886877827</v>
      </c>
      <c r="M45" s="365">
        <f t="shared" si="78"/>
        <v>3.0165912518853696E-2</v>
      </c>
      <c r="N45" s="366">
        <f t="shared" si="78"/>
        <v>0.48265460030165913</v>
      </c>
      <c r="O45" s="363">
        <f t="shared" si="78"/>
        <v>0.18825301204819278</v>
      </c>
      <c r="P45" s="364">
        <f t="shared" si="78"/>
        <v>0.12349397590361445</v>
      </c>
      <c r="Q45" s="364">
        <f>+Q38/Q43</f>
        <v>0.15639097744360902</v>
      </c>
      <c r="R45" s="365">
        <f t="shared" si="78"/>
        <v>0.1111111111111111</v>
      </c>
      <c r="S45" s="366">
        <f t="shared" si="78"/>
        <v>0.57894736842105265</v>
      </c>
      <c r="T45" s="363">
        <f t="shared" si="78"/>
        <v>0.13578500707213578</v>
      </c>
      <c r="U45" s="364">
        <f>+U38/U43</f>
        <v>9.2289719626168221E-2</v>
      </c>
      <c r="V45" s="364">
        <f t="shared" si="78"/>
        <v>0.1423570595099182</v>
      </c>
      <c r="W45" s="365">
        <f t="shared" si="78"/>
        <v>9.7680097680097819E-2</v>
      </c>
      <c r="X45" s="366">
        <f t="shared" si="78"/>
        <v>0.46031746031745974</v>
      </c>
      <c r="Y45" s="363">
        <f t="shared" si="78"/>
        <v>0.1415204678362573</v>
      </c>
      <c r="Z45" s="364">
        <f t="shared" si="78"/>
        <v>8.3720930232558138E-2</v>
      </c>
      <c r="AA45" s="364">
        <f t="shared" ref="AA45:AH45" si="79">+AA38/AA43</f>
        <v>0.10697674418604651</v>
      </c>
      <c r="AB45" s="365">
        <f t="shared" si="79"/>
        <v>0.11962833914053439</v>
      </c>
      <c r="AC45" s="366">
        <f t="shared" si="79"/>
        <v>0.4511627906976744</v>
      </c>
      <c r="AD45" s="363">
        <f t="shared" si="79"/>
        <v>0.10336817653890824</v>
      </c>
      <c r="AE45" s="364">
        <f t="shared" si="79"/>
        <v>9.7222222222222224E-2</v>
      </c>
      <c r="AF45" s="364">
        <f t="shared" si="79"/>
        <v>9.3858632676709158E-2</v>
      </c>
      <c r="AG45" s="365">
        <f t="shared" si="79"/>
        <v>0.11290322580645161</v>
      </c>
      <c r="AH45" s="366">
        <f t="shared" si="79"/>
        <v>0.40740740740740738</v>
      </c>
      <c r="AI45" s="363">
        <f t="shared" si="78"/>
        <v>0.16032295271049596</v>
      </c>
      <c r="AJ45" s="364">
        <f t="shared" si="78"/>
        <v>8.1018518518518517E-2</v>
      </c>
      <c r="AK45" s="364">
        <f t="shared" si="78"/>
        <v>9.8360655737704916E-2</v>
      </c>
      <c r="AL45" s="365">
        <f t="shared" si="78"/>
        <v>8.5497835497835614E-2</v>
      </c>
      <c r="AM45" s="366">
        <f t="shared" si="78"/>
        <v>0.42329227323628221</v>
      </c>
      <c r="AN45" s="363">
        <f t="shared" ref="AN45:AR45" si="80">+AN38/AN43</f>
        <v>0.13405405405405404</v>
      </c>
      <c r="AO45" s="364">
        <f t="shared" si="80"/>
        <v>0.10799136069114471</v>
      </c>
      <c r="AP45" s="364">
        <f t="shared" si="80"/>
        <v>0.13160733549083065</v>
      </c>
      <c r="AQ45" s="365">
        <f t="shared" si="80"/>
        <v>9.9137931034482762E-2</v>
      </c>
      <c r="AR45" s="366">
        <f t="shared" si="80"/>
        <v>0.47249190938511326</v>
      </c>
      <c r="AS45" s="870">
        <f t="shared" ref="AS45:BB45" si="81">+AS38/AS43</f>
        <v>0.13655913978494624</v>
      </c>
      <c r="AT45" s="364">
        <f t="shared" si="81"/>
        <v>9.4017094017094016E-2</v>
      </c>
      <c r="AU45" s="871">
        <f t="shared" ref="AU45:AW45" si="82">+AU38/AU43</f>
        <v>0.11606217616580311</v>
      </c>
      <c r="AV45" s="365">
        <f t="shared" si="82"/>
        <v>0.11065149948293704</v>
      </c>
      <c r="AW45" s="366">
        <f t="shared" si="82"/>
        <v>0.45732349841938885</v>
      </c>
      <c r="AX45" s="870">
        <f t="shared" si="81"/>
        <v>0.14057465390945706</v>
      </c>
      <c r="AY45" s="871">
        <f t="shared" ca="1" si="81"/>
        <v>9.3909601621071634E-2</v>
      </c>
      <c r="AZ45" s="871">
        <f t="shared" ca="1" si="81"/>
        <v>0.10946062151591403</v>
      </c>
      <c r="BA45" s="872">
        <f t="shared" ca="1" si="81"/>
        <v>0.10334451284956776</v>
      </c>
      <c r="BB45" s="366">
        <f t="shared" ca="1" si="81"/>
        <v>0.44728938989601136</v>
      </c>
      <c r="BC45" s="870">
        <f t="shared" ref="BC45:BL45" ca="1" si="83">+BC38/BC43</f>
        <v>0.15149036608858488</v>
      </c>
      <c r="BD45" s="871">
        <f t="shared" ca="1" si="83"/>
        <v>0.10079747260706977</v>
      </c>
      <c r="BE45" s="871">
        <f t="shared" ca="1" si="83"/>
        <v>0.11790742653386499</v>
      </c>
      <c r="BF45" s="872">
        <f t="shared" ca="1" si="83"/>
        <v>0.11246929577392389</v>
      </c>
      <c r="BG45" s="366">
        <f t="shared" ca="1" si="83"/>
        <v>0.48266456100344329</v>
      </c>
      <c r="BH45" s="870">
        <f t="shared" ca="1" si="83"/>
        <v>0.16171735893103606</v>
      </c>
      <c r="BI45" s="871">
        <f t="shared" ca="1" si="83"/>
        <v>0.11069353631078921</v>
      </c>
      <c r="BJ45" s="871">
        <f t="shared" ca="1" si="83"/>
        <v>0.12845080509749807</v>
      </c>
      <c r="BK45" s="872">
        <f t="shared" ca="1" si="83"/>
        <v>0.12373684591043933</v>
      </c>
      <c r="BL45" s="366">
        <f t="shared" ca="1" si="83"/>
        <v>0.5245985462497631</v>
      </c>
      <c r="BM45" s="870">
        <f t="shared" ref="BM45:BQ45" ca="1" si="84">+BM38/BM43</f>
        <v>0.16922785324203474</v>
      </c>
      <c r="BN45" s="871">
        <f t="shared" ca="1" si="84"/>
        <v>0.11791323404512866</v>
      </c>
      <c r="BO45" s="871">
        <f t="shared" ca="1" si="84"/>
        <v>0.13547134553294304</v>
      </c>
      <c r="BP45" s="872">
        <f t="shared" ca="1" si="84"/>
        <v>0.13120738650371389</v>
      </c>
      <c r="BQ45" s="366">
        <f t="shared" ca="1" si="84"/>
        <v>0.55381981932382007</v>
      </c>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row>
    <row r="46" spans="1:99" ht="12.75" customHeight="1">
      <c r="A46" s="28"/>
      <c r="B46" s="13"/>
      <c r="C46" s="367" t="s">
        <v>445</v>
      </c>
      <c r="D46" s="368"/>
      <c r="E46" s="591">
        <f t="shared" ref="E46:AM46" si="85">+E40/E43</f>
        <v>0.17095310136157338</v>
      </c>
      <c r="F46" s="592">
        <f t="shared" si="85"/>
        <v>0.11195158850226929</v>
      </c>
      <c r="G46" s="592">
        <f t="shared" si="85"/>
        <v>0.13746223564954682</v>
      </c>
      <c r="H46" s="593">
        <f t="shared" si="85"/>
        <v>0.11480362537764351</v>
      </c>
      <c r="I46" s="594">
        <f t="shared" si="85"/>
        <v>0.53474320241691842</v>
      </c>
      <c r="J46" s="591">
        <f t="shared" si="85"/>
        <v>0.16767371601208458</v>
      </c>
      <c r="K46" s="592">
        <f t="shared" si="85"/>
        <v>0.14652567975830816</v>
      </c>
      <c r="L46" s="592">
        <f>+L40/L43</f>
        <v>0.19155354449472098</v>
      </c>
      <c r="M46" s="593">
        <f t="shared" si="85"/>
        <v>3.0165912518853696E-2</v>
      </c>
      <c r="N46" s="594">
        <f t="shared" si="85"/>
        <v>0.53544494720965308</v>
      </c>
      <c r="O46" s="591">
        <f t="shared" si="85"/>
        <v>0.18975903614457831</v>
      </c>
      <c r="P46" s="592">
        <f t="shared" si="85"/>
        <v>0.125</v>
      </c>
      <c r="Q46" s="592">
        <f>+Q40/Q43</f>
        <v>0.15639097744360902</v>
      </c>
      <c r="R46" s="593">
        <f t="shared" si="85"/>
        <v>0.11261261261261261</v>
      </c>
      <c r="S46" s="594">
        <f t="shared" si="85"/>
        <v>0.58345864661654134</v>
      </c>
      <c r="T46" s="591">
        <f t="shared" si="85"/>
        <v>0.14144271570014144</v>
      </c>
      <c r="U46" s="592">
        <f>+U40/U43</f>
        <v>9.3457943925233641E-2</v>
      </c>
      <c r="V46" s="592">
        <f t="shared" si="85"/>
        <v>0.14469078179696604</v>
      </c>
      <c r="W46" s="593">
        <f t="shared" si="85"/>
        <v>0.10134310134310148</v>
      </c>
      <c r="X46" s="594">
        <f t="shared" si="85"/>
        <v>0.47252747252747196</v>
      </c>
      <c r="Y46" s="591">
        <f t="shared" si="85"/>
        <v>0.14385964912280702</v>
      </c>
      <c r="Z46" s="592">
        <f t="shared" si="85"/>
        <v>8.6046511627906982E-2</v>
      </c>
      <c r="AA46" s="592">
        <f t="shared" ref="AA46:AH46" si="86">+AA40/AA43</f>
        <v>0.10813953488372093</v>
      </c>
      <c r="AB46" s="593">
        <f t="shared" si="86"/>
        <v>0.11962833914053439</v>
      </c>
      <c r="AC46" s="594">
        <f t="shared" si="86"/>
        <v>0.4569767441860465</v>
      </c>
      <c r="AD46" s="591">
        <f t="shared" si="86"/>
        <v>0.10336817653890824</v>
      </c>
      <c r="AE46" s="592">
        <f t="shared" si="86"/>
        <v>9.7222222222222224E-2</v>
      </c>
      <c r="AF46" s="592">
        <f t="shared" si="86"/>
        <v>9.3858632676709158E-2</v>
      </c>
      <c r="AG46" s="593">
        <f t="shared" si="86"/>
        <v>0.11405529953917051</v>
      </c>
      <c r="AH46" s="594">
        <f t="shared" si="86"/>
        <v>0.40856481481481483</v>
      </c>
      <c r="AI46" s="591">
        <f t="shared" si="85"/>
        <v>0.16147635524798154</v>
      </c>
      <c r="AJ46" s="592">
        <f t="shared" si="85"/>
        <v>8.217592592592593E-2</v>
      </c>
      <c r="AK46" s="592">
        <f t="shared" si="85"/>
        <v>9.94535519125683E-2</v>
      </c>
      <c r="AL46" s="593">
        <f t="shared" si="85"/>
        <v>8.4415584415584541E-2</v>
      </c>
      <c r="AM46" s="594">
        <f t="shared" si="85"/>
        <v>0.42553191489361702</v>
      </c>
      <c r="AN46" s="591">
        <f t="shared" ref="AN46:AR46" si="87">+AN40/AN43</f>
        <v>0.13621621621621621</v>
      </c>
      <c r="AO46" s="592">
        <f t="shared" si="87"/>
        <v>0.10907127429805616</v>
      </c>
      <c r="AP46" s="592">
        <f t="shared" si="87"/>
        <v>0.13268608414239483</v>
      </c>
      <c r="AQ46" s="593">
        <f t="shared" si="87"/>
        <v>0.10129310344827586</v>
      </c>
      <c r="AR46" s="594">
        <f t="shared" si="87"/>
        <v>0.47896440129449835</v>
      </c>
      <c r="AS46" s="591">
        <f t="shared" ref="AS46:BB46" si="88">+AS40/AS43</f>
        <v>0.13870967741935483</v>
      </c>
      <c r="AT46" s="592">
        <f t="shared" si="88"/>
        <v>9.5085470085470081E-2</v>
      </c>
      <c r="AU46" s="592">
        <f t="shared" ref="AU46:AW46" si="89">+AU40/AU43</f>
        <v>0.11813471502590674</v>
      </c>
      <c r="AV46" s="593">
        <f t="shared" si="89"/>
        <v>9.824198552223383E-2</v>
      </c>
      <c r="AW46" s="594">
        <f t="shared" si="89"/>
        <v>0.44994731296101159</v>
      </c>
      <c r="AX46" s="591">
        <f t="shared" si="88"/>
        <v>0.14057465390945706</v>
      </c>
      <c r="AY46" s="592">
        <f t="shared" ca="1" si="88"/>
        <v>9.3909601621071634E-2</v>
      </c>
      <c r="AZ46" s="592">
        <f t="shared" ca="1" si="88"/>
        <v>0.10946062151591403</v>
      </c>
      <c r="BA46" s="593">
        <f t="shared" ca="1" si="88"/>
        <v>0.10334451284956776</v>
      </c>
      <c r="BB46" s="594">
        <f t="shared" ca="1" si="88"/>
        <v>0.44728938989601136</v>
      </c>
      <c r="BC46" s="591">
        <f t="shared" ref="BC46:BL46" ca="1" si="90">+BC40/BC43</f>
        <v>0.15149036608858488</v>
      </c>
      <c r="BD46" s="592">
        <f t="shared" ca="1" si="90"/>
        <v>0.10079747260706977</v>
      </c>
      <c r="BE46" s="592">
        <f t="shared" ca="1" si="90"/>
        <v>0.11790742653386499</v>
      </c>
      <c r="BF46" s="593">
        <f t="shared" ca="1" si="90"/>
        <v>0.11246929577392389</v>
      </c>
      <c r="BG46" s="594">
        <f t="shared" ca="1" si="90"/>
        <v>0.48266456100344329</v>
      </c>
      <c r="BH46" s="591">
        <f t="shared" ca="1" si="90"/>
        <v>0.16171735893103606</v>
      </c>
      <c r="BI46" s="592">
        <f t="shared" ca="1" si="90"/>
        <v>0.11069353631078921</v>
      </c>
      <c r="BJ46" s="592">
        <f t="shared" ca="1" si="90"/>
        <v>0.12845080509749807</v>
      </c>
      <c r="BK46" s="593">
        <f t="shared" ca="1" si="90"/>
        <v>0.12373684591043933</v>
      </c>
      <c r="BL46" s="594">
        <f t="shared" ca="1" si="90"/>
        <v>0.5245985462497631</v>
      </c>
      <c r="BM46" s="591">
        <f t="shared" ref="BM46:BQ46" ca="1" si="91">+BM40/BM43</f>
        <v>0.16922785324203474</v>
      </c>
      <c r="BN46" s="592">
        <f t="shared" ca="1" si="91"/>
        <v>0.11791323404512866</v>
      </c>
      <c r="BO46" s="592">
        <f t="shared" ca="1" si="91"/>
        <v>0.13547134553294304</v>
      </c>
      <c r="BP46" s="593">
        <f t="shared" ca="1" si="91"/>
        <v>0.13120738650371389</v>
      </c>
      <c r="BQ46" s="1650">
        <f t="shared" ca="1" si="91"/>
        <v>0.55381981932382007</v>
      </c>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row>
    <row r="47" spans="1:99" ht="12.75" customHeight="1">
      <c r="A47" s="40"/>
      <c r="B47" s="40"/>
      <c r="C47" s="223" t="s">
        <v>309</v>
      </c>
      <c r="D47" s="28"/>
      <c r="E47" s="303"/>
      <c r="F47" s="239"/>
      <c r="G47" s="239"/>
      <c r="H47" s="304"/>
      <c r="I47" s="766"/>
      <c r="J47" s="376">
        <f t="shared" ref="J47:S47" si="92">J46/E46-1</f>
        <v>-1.9182953239045064E-2</v>
      </c>
      <c r="K47" s="377">
        <f t="shared" si="92"/>
        <v>0.3088307340573202</v>
      </c>
      <c r="L47" s="377">
        <f t="shared" si="92"/>
        <v>0.39349941159895918</v>
      </c>
      <c r="M47" s="378">
        <f t="shared" si="92"/>
        <v>-0.73723902516472184</v>
      </c>
      <c r="N47" s="869">
        <f t="shared" si="92"/>
        <v>1.3123024090122559E-3</v>
      </c>
      <c r="O47" s="376">
        <f t="shared" si="92"/>
        <v>0.13171605340280035</v>
      </c>
      <c r="P47" s="377">
        <f t="shared" si="92"/>
        <v>-0.14690721649484539</v>
      </c>
      <c r="Q47" s="377">
        <f t="shared" si="92"/>
        <v>-0.18356521224320643</v>
      </c>
      <c r="R47" s="378">
        <f t="shared" si="92"/>
        <v>2.7331081081081083</v>
      </c>
      <c r="S47" s="869">
        <f t="shared" si="92"/>
        <v>8.967065551201947E-2</v>
      </c>
      <c r="T47" s="376">
        <f t="shared" ref="T47:AP47" si="93">T46/O46-1</f>
        <v>-0.25461933948496895</v>
      </c>
      <c r="U47" s="377">
        <f t="shared" si="93"/>
        <v>-0.25233644859813087</v>
      </c>
      <c r="V47" s="377">
        <f t="shared" si="93"/>
        <v>-7.481375100978449E-2</v>
      </c>
      <c r="W47" s="378">
        <f t="shared" si="93"/>
        <v>-0.1000732600732589</v>
      </c>
      <c r="X47" s="869">
        <f t="shared" si="93"/>
        <v>-0.19012688342585349</v>
      </c>
      <c r="Y47" s="376">
        <f t="shared" si="93"/>
        <v>1.7087719298245707E-2</v>
      </c>
      <c r="Z47" s="377">
        <f t="shared" si="93"/>
        <v>-7.9302325581395272E-2</v>
      </c>
      <c r="AA47" s="377">
        <f t="shared" si="93"/>
        <v>-0.2526162790697668</v>
      </c>
      <c r="AB47" s="378">
        <f>AB46/W46-1</f>
        <v>0.18042903320599435</v>
      </c>
      <c r="AC47" s="869">
        <f>AC46/X46-1</f>
        <v>-3.2909680908598138E-2</v>
      </c>
      <c r="AD47" s="376">
        <f t="shared" si="93"/>
        <v>-0.28146511430271104</v>
      </c>
      <c r="AE47" s="377">
        <f t="shared" si="93"/>
        <v>0.12987987987987992</v>
      </c>
      <c r="AF47" s="377">
        <f t="shared" si="93"/>
        <v>-0.13205995589279695</v>
      </c>
      <c r="AG47" s="378">
        <f>AG46/AB46-1</f>
        <v>-4.6586282492954267E-2</v>
      </c>
      <c r="AH47" s="869">
        <f>AH46/AC46-1</f>
        <v>-0.10593959099048156</v>
      </c>
      <c r="AI47" s="376">
        <f t="shared" si="93"/>
        <v>0.56214766144395623</v>
      </c>
      <c r="AJ47" s="377">
        <f t="shared" si="93"/>
        <v>-0.15476190476190477</v>
      </c>
      <c r="AK47" s="377">
        <f t="shared" si="93"/>
        <v>5.961006543884495E-2</v>
      </c>
      <c r="AL47" s="378">
        <f t="shared" si="93"/>
        <v>-0.2598714416896224</v>
      </c>
      <c r="AM47" s="869">
        <f t="shared" si="93"/>
        <v>4.1528539569646084E-2</v>
      </c>
      <c r="AN47" s="376">
        <f t="shared" si="93"/>
        <v>-0.15643243243243243</v>
      </c>
      <c r="AO47" s="377">
        <f t="shared" si="93"/>
        <v>0.32728987314817637</v>
      </c>
      <c r="AP47" s="377">
        <f t="shared" si="93"/>
        <v>0.33415128560759633</v>
      </c>
      <c r="AQ47" s="378">
        <f t="shared" ref="AQ47" si="94">AQ46/AL46-1</f>
        <v>0.19993368700265068</v>
      </c>
      <c r="AR47" s="869">
        <f t="shared" ref="AR47" si="95">AR46/AM46-1</f>
        <v>0.12556634304207104</v>
      </c>
      <c r="AS47" s="376">
        <f t="shared" ref="AS47:BB47" si="96">AS46/AN46-1</f>
        <v>1.8305171530977882E-2</v>
      </c>
      <c r="AT47" s="377">
        <f t="shared" si="96"/>
        <v>-0.12822628416687831</v>
      </c>
      <c r="AU47" s="377">
        <f t="shared" ref="AU47" si="97">AU46/AP46-1</f>
        <v>-0.10966763553645897</v>
      </c>
      <c r="AV47" s="378">
        <f t="shared" ref="AV47" si="98">AV46/AQ46-1</f>
        <v>-3.0121674844329815E-2</v>
      </c>
      <c r="AW47" s="869">
        <f t="shared" ref="AW47" si="99">AW46/AR46-1</f>
        <v>-6.0582974966536529E-2</v>
      </c>
      <c r="AX47" s="376">
        <f t="shared" si="96"/>
        <v>1.3445179347248537E-2</v>
      </c>
      <c r="AY47" s="377">
        <f t="shared" ca="1" si="96"/>
        <v>-1.2366436884010623E-2</v>
      </c>
      <c r="AZ47" s="377">
        <f t="shared" ca="1" si="96"/>
        <v>-7.3425440676692655E-2</v>
      </c>
      <c r="BA47" s="378">
        <f t="shared" ca="1" si="96"/>
        <v>5.1938357110862254E-2</v>
      </c>
      <c r="BB47" s="869">
        <f t="shared" ca="1" si="96"/>
        <v>-5.907187327131691E-3</v>
      </c>
      <c r="BC47" s="376">
        <f t="shared" ref="BC47" ca="1" si="100">BC46/AX46-1</f>
        <v>7.7650642385067137E-2</v>
      </c>
      <c r="BD47" s="377">
        <f t="shared" ref="BD47" ca="1" si="101">BD46/AY46-1</f>
        <v>7.3345758762676017E-2</v>
      </c>
      <c r="BE47" s="377">
        <f t="shared" ref="BE47" ca="1" si="102">BE46/AZ46-1</f>
        <v>7.7167522904325159E-2</v>
      </c>
      <c r="BF47" s="378">
        <f t="shared" ref="BF47" ca="1" si="103">BF46/BA46-1</f>
        <v>8.8294798366687521E-2</v>
      </c>
      <c r="BG47" s="869">
        <f t="shared" ref="BG47" ca="1" si="104">BG46/BB46-1</f>
        <v>7.9087883384973967E-2</v>
      </c>
      <c r="BH47" s="376">
        <f t="shared" ref="BH47" ca="1" si="105">BH46/BC46-1</f>
        <v>6.7509196172058195E-2</v>
      </c>
      <c r="BI47" s="377">
        <f t="shared" ref="BI47" ca="1" si="106">BI46/BD46-1</f>
        <v>9.8177696798970704E-2</v>
      </c>
      <c r="BJ47" s="377">
        <f t="shared" ref="BJ47" ca="1" si="107">BJ46/BE46-1</f>
        <v>8.9420818294298376E-2</v>
      </c>
      <c r="BK47" s="378">
        <f t="shared" ref="BK47" ca="1" si="108">BK46/BF46-1</f>
        <v>0.10018334389827155</v>
      </c>
      <c r="BL47" s="869">
        <f t="shared" ref="BL47" ca="1" si="109">BL46/BG46-1</f>
        <v>8.6880182707304021E-2</v>
      </c>
      <c r="BM47" s="376">
        <f t="shared" ref="BM47" ca="1" si="110">BM46/BH46-1</f>
        <v>4.6442103436783899E-2</v>
      </c>
      <c r="BN47" s="377">
        <f t="shared" ref="BN47" ca="1" si="111">BN46/BI46-1</f>
        <v>6.5222396672458105E-2</v>
      </c>
      <c r="BO47" s="377">
        <f t="shared" ref="BO47" ca="1" si="112">BO46/BJ46-1</f>
        <v>5.4655480205952678E-2</v>
      </c>
      <c r="BP47" s="378">
        <f t="shared" ref="BP47" ca="1" si="113">BP46/BK46-1</f>
        <v>6.0374422334004807E-2</v>
      </c>
      <c r="BQ47" s="869">
        <f t="shared" ref="BQ47" ca="1" si="114">BQ46/BL46-1</f>
        <v>5.5702161744353385E-2</v>
      </c>
      <c r="BR47" s="40"/>
      <c r="BS47" s="40"/>
      <c r="BT47" s="40"/>
      <c r="BU47" s="40"/>
      <c r="BV47" s="40"/>
      <c r="BW47" s="40"/>
      <c r="BX47" s="40"/>
      <c r="BY47" s="40"/>
      <c r="BZ47" s="40"/>
      <c r="CA47" s="232"/>
      <c r="CB47" s="232"/>
      <c r="CC47" s="232"/>
      <c r="CD47" s="232"/>
      <c r="CE47" s="232"/>
      <c r="CF47" s="232"/>
      <c r="CG47" s="232"/>
      <c r="CH47" s="40"/>
      <c r="CI47" s="40"/>
      <c r="CJ47" s="40"/>
      <c r="CK47" s="40"/>
      <c r="CL47" s="40"/>
      <c r="CM47" s="40"/>
      <c r="CN47" s="40"/>
      <c r="CO47" s="232"/>
      <c r="CP47" s="232"/>
      <c r="CQ47" s="232"/>
      <c r="CR47" s="232"/>
      <c r="CS47" s="232"/>
      <c r="CT47" s="232"/>
      <c r="CU47" s="232"/>
    </row>
    <row r="48" spans="1:99" ht="12.75" customHeight="1">
      <c r="A48" s="40"/>
      <c r="B48" s="40"/>
      <c r="C48" s="223"/>
      <c r="D48" s="28"/>
      <c r="E48" s="303"/>
      <c r="F48" s="239"/>
      <c r="G48" s="239"/>
      <c r="H48" s="304"/>
      <c r="I48" s="766"/>
      <c r="J48" s="376"/>
      <c r="K48" s="377"/>
      <c r="L48" s="377"/>
      <c r="M48" s="378"/>
      <c r="N48" s="869"/>
      <c r="O48" s="376"/>
      <c r="P48" s="377"/>
      <c r="Q48" s="377"/>
      <c r="R48" s="378"/>
      <c r="S48" s="869"/>
      <c r="T48" s="376"/>
      <c r="U48" s="377"/>
      <c r="V48" s="377"/>
      <c r="W48" s="378"/>
      <c r="X48" s="1159"/>
      <c r="Y48" s="376"/>
      <c r="Z48" s="377"/>
      <c r="AA48" s="377"/>
      <c r="AB48" s="378"/>
      <c r="AC48" s="869"/>
      <c r="AD48" s="376"/>
      <c r="AE48" s="377"/>
      <c r="AF48" s="377"/>
      <c r="AG48" s="378"/>
      <c r="AH48" s="869"/>
      <c r="AI48" s="376"/>
      <c r="AJ48" s="377"/>
      <c r="AK48" s="377"/>
      <c r="AL48" s="378"/>
      <c r="AM48" s="869"/>
      <c r="AN48" s="376"/>
      <c r="AO48" s="377"/>
      <c r="AP48" s="377"/>
      <c r="AQ48" s="378"/>
      <c r="AR48" s="869"/>
      <c r="AS48" s="376"/>
      <c r="AT48" s="377"/>
      <c r="AU48" s="377"/>
      <c r="AV48" s="378"/>
      <c r="AW48" s="869"/>
      <c r="AX48" s="376"/>
      <c r="AY48" s="377"/>
      <c r="AZ48" s="377"/>
      <c r="BA48" s="378"/>
      <c r="BB48" s="869"/>
      <c r="BC48" s="376"/>
      <c r="BD48" s="377"/>
      <c r="BE48" s="377"/>
      <c r="BF48" s="378"/>
      <c r="BG48" s="869"/>
      <c r="BH48" s="376"/>
      <c r="BI48" s="377"/>
      <c r="BJ48" s="377"/>
      <c r="BK48" s="378"/>
      <c r="BL48" s="869"/>
      <c r="BM48" s="376"/>
      <c r="BN48" s="377"/>
      <c r="BO48" s="377"/>
      <c r="BP48" s="378"/>
      <c r="BQ48" s="869"/>
      <c r="BR48" s="40"/>
      <c r="BS48" s="40"/>
      <c r="BT48" s="40"/>
      <c r="BU48" s="40"/>
      <c r="BV48" s="40"/>
      <c r="BW48" s="40"/>
      <c r="BX48" s="40"/>
      <c r="BY48" s="40"/>
      <c r="BZ48" s="40"/>
      <c r="CA48" s="232"/>
      <c r="CB48" s="232"/>
      <c r="CC48" s="232"/>
      <c r="CD48" s="232"/>
      <c r="CE48" s="232"/>
      <c r="CF48" s="232"/>
      <c r="CG48" s="232"/>
      <c r="CH48" s="40"/>
      <c r="CI48" s="40"/>
      <c r="CJ48" s="40"/>
      <c r="CK48" s="40"/>
      <c r="CL48" s="40"/>
      <c r="CM48" s="40"/>
      <c r="CN48" s="40"/>
      <c r="CO48" s="232"/>
      <c r="CP48" s="232"/>
      <c r="CQ48" s="232"/>
      <c r="CR48" s="232"/>
      <c r="CS48" s="232"/>
      <c r="CT48" s="232"/>
      <c r="CU48" s="232"/>
    </row>
    <row r="49" spans="1:99" ht="12.75" customHeight="1">
      <c r="A49" s="1"/>
      <c r="B49" s="1"/>
      <c r="C49" s="32"/>
      <c r="D49" s="1"/>
      <c r="E49" s="600"/>
      <c r="F49" s="251"/>
      <c r="G49" s="251"/>
      <c r="H49" s="601"/>
      <c r="I49" s="602"/>
      <c r="J49" s="600"/>
      <c r="K49" s="251"/>
      <c r="L49" s="251"/>
      <c r="M49" s="601"/>
      <c r="N49" s="602"/>
      <c r="O49" s="600"/>
      <c r="P49" s="251"/>
      <c r="Q49" s="251"/>
      <c r="R49" s="601"/>
      <c r="S49" s="602"/>
      <c r="T49" s="600"/>
      <c r="U49" s="251"/>
      <c r="V49" s="251"/>
      <c r="W49" s="601"/>
      <c r="X49" s="45"/>
      <c r="Y49" s="290"/>
      <c r="Z49" s="251"/>
      <c r="AA49" s="1441"/>
      <c r="AB49" s="1442"/>
      <c r="AC49" s="1479"/>
      <c r="AD49" s="290"/>
      <c r="AE49" s="251"/>
      <c r="AF49" s="260"/>
      <c r="AG49" s="291"/>
      <c r="AH49" s="602"/>
      <c r="AI49" s="290"/>
      <c r="AJ49" s="260"/>
      <c r="AK49" s="260"/>
      <c r="AL49" s="291"/>
      <c r="AM49" s="602"/>
      <c r="AN49" s="290"/>
      <c r="AO49" s="260"/>
      <c r="AP49" s="260"/>
      <c r="AQ49" s="291"/>
      <c r="AR49" s="602"/>
      <c r="AS49" s="290"/>
      <c r="AT49" s="260"/>
      <c r="AU49" s="260"/>
      <c r="AV49" s="291"/>
      <c r="AW49" s="602"/>
      <c r="AX49" s="290"/>
      <c r="AY49" s="260"/>
      <c r="AZ49" s="260"/>
      <c r="BA49" s="291"/>
      <c r="BB49" s="602"/>
      <c r="BC49" s="290"/>
      <c r="BD49" s="260"/>
      <c r="BE49" s="260"/>
      <c r="BF49" s="291"/>
      <c r="BG49" s="602"/>
      <c r="BH49" s="290"/>
      <c r="BI49" s="260"/>
      <c r="BJ49" s="260"/>
      <c r="BK49" s="291"/>
      <c r="BL49" s="602"/>
      <c r="BM49" s="290"/>
      <c r="BN49" s="260"/>
      <c r="BO49" s="260"/>
      <c r="BP49" s="291"/>
      <c r="BQ49" s="602"/>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row>
    <row r="50" spans="1:99" ht="12.75" customHeight="1">
      <c r="A50" s="1"/>
      <c r="B50" s="73" t="s">
        <v>369</v>
      </c>
      <c r="C50" s="246"/>
      <c r="D50" s="15"/>
      <c r="E50" s="600"/>
      <c r="F50" s="251"/>
      <c r="G50" s="251"/>
      <c r="H50" s="601"/>
      <c r="I50" s="26"/>
      <c r="J50" s="600"/>
      <c r="K50" s="251"/>
      <c r="L50" s="251"/>
      <c r="M50" s="601"/>
      <c r="N50" s="26"/>
      <c r="O50" s="600"/>
      <c r="P50" s="251"/>
      <c r="Q50" s="251"/>
      <c r="R50" s="601"/>
      <c r="S50" s="26"/>
      <c r="T50" s="600"/>
      <c r="U50" s="251"/>
      <c r="V50" s="251"/>
      <c r="W50" s="601"/>
      <c r="X50" s="26"/>
      <c r="Y50" s="600"/>
      <c r="Z50" s="251"/>
      <c r="AA50" s="251"/>
      <c r="AB50" s="601"/>
      <c r="AC50" s="26"/>
      <c r="AD50" s="600"/>
      <c r="AE50" s="251"/>
      <c r="AF50" s="251"/>
      <c r="AG50" s="601"/>
      <c r="AH50" s="26"/>
      <c r="AI50" s="600"/>
      <c r="AJ50" s="251"/>
      <c r="AK50" s="251"/>
      <c r="AL50" s="601"/>
      <c r="AM50" s="26"/>
      <c r="AN50" s="600"/>
      <c r="AO50" s="251"/>
      <c r="AP50" s="251"/>
      <c r="AQ50" s="601"/>
      <c r="AR50" s="26"/>
      <c r="AS50" s="600"/>
      <c r="AT50" s="251"/>
      <c r="AU50" s="251"/>
      <c r="AV50" s="601"/>
      <c r="AW50" s="26"/>
      <c r="AX50" s="600"/>
      <c r="AY50" s="251"/>
      <c r="AZ50" s="251"/>
      <c r="BA50" s="601"/>
      <c r="BB50" s="26"/>
      <c r="BC50" s="600"/>
      <c r="BD50" s="251"/>
      <c r="BE50" s="251"/>
      <c r="BF50" s="601"/>
      <c r="BG50" s="26"/>
      <c r="BH50" s="600"/>
      <c r="BI50" s="251"/>
      <c r="BJ50" s="251"/>
      <c r="BK50" s="601"/>
      <c r="BL50" s="26"/>
      <c r="BM50" s="600"/>
      <c r="BN50" s="251"/>
      <c r="BO50" s="251"/>
      <c r="BP50" s="601"/>
      <c r="BQ50" s="26"/>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row>
    <row r="51" spans="1:99" ht="12.75" customHeight="1">
      <c r="A51" s="1"/>
      <c r="B51" s="1"/>
      <c r="C51" s="559" t="s">
        <v>124</v>
      </c>
      <c r="D51" s="380"/>
      <c r="E51" s="603"/>
      <c r="F51" s="604"/>
      <c r="G51" s="604"/>
      <c r="H51" s="605"/>
      <c r="I51" s="606"/>
      <c r="J51" s="607">
        <f t="shared" ref="J51:S51" si="115">+J84</f>
        <v>-5.3229603848909957E-3</v>
      </c>
      <c r="K51" s="608">
        <f t="shared" si="115"/>
        <v>7.3110285006195763E-2</v>
      </c>
      <c r="L51" s="608">
        <f t="shared" si="115"/>
        <v>9.0032154340836001E-2</v>
      </c>
      <c r="M51" s="609">
        <f t="shared" si="115"/>
        <v>1.3538595916584795E-2</v>
      </c>
      <c r="N51" s="610">
        <f t="shared" si="115"/>
        <v>4.3212146684879604E-2</v>
      </c>
      <c r="O51" s="607">
        <f t="shared" si="115"/>
        <v>-5.1456210764638799E-3</v>
      </c>
      <c r="P51" s="608">
        <f t="shared" si="115"/>
        <v>-2.5404157043879882E-2</v>
      </c>
      <c r="Q51" s="608">
        <f t="shared" si="115"/>
        <v>-1.9755072852417954E-2</v>
      </c>
      <c r="R51" s="609">
        <f t="shared" si="115"/>
        <v>-6.1402563826349232E-2</v>
      </c>
      <c r="S51" s="610">
        <f t="shared" si="115"/>
        <v>-2.7270667035983132E-2</v>
      </c>
      <c r="T51" s="607">
        <f t="shared" ref="T51:Z51" si="116">+T84</f>
        <v>-6.992862315092585E-2</v>
      </c>
      <c r="U51" s="608">
        <f t="shared" si="116"/>
        <v>-4.4808272296423923E-2</v>
      </c>
      <c r="V51" s="608">
        <f t="shared" si="116"/>
        <v>-2.3436075141345936E-2</v>
      </c>
      <c r="W51" s="609">
        <f t="shared" si="116"/>
        <v>2.4216687708022544E-2</v>
      </c>
      <c r="X51" s="610">
        <f t="shared" si="116"/>
        <v>-2.94589697126586E-2</v>
      </c>
      <c r="Y51" s="607">
        <f t="shared" si="116"/>
        <v>4.2709376042709302E-2</v>
      </c>
      <c r="Z51" s="608">
        <f t="shared" si="116"/>
        <v>2.2552999548941521E-4</v>
      </c>
      <c r="AA51" s="608">
        <f t="shared" ref="AA51:AH51" si="117">+AA84</f>
        <v>-3.3616584181529574E-2</v>
      </c>
      <c r="AB51" s="609">
        <f t="shared" si="117"/>
        <v>2.6109367996414168E-2</v>
      </c>
      <c r="AC51" s="610">
        <f t="shared" si="117"/>
        <v>6.9081404032860227E-3</v>
      </c>
      <c r="AD51" s="607">
        <f t="shared" si="117"/>
        <v>6.0159999999999991E-2</v>
      </c>
      <c r="AE51" s="608">
        <f t="shared" si="117"/>
        <v>-1.7925591882750891E-2</v>
      </c>
      <c r="AF51" s="608">
        <f t="shared" si="117"/>
        <v>-3.6235385061358594E-2</v>
      </c>
      <c r="AG51" s="609">
        <f t="shared" si="117"/>
        <v>-3.1342142623129843E-2</v>
      </c>
      <c r="AH51" s="610">
        <f t="shared" si="117"/>
        <v>-6.8077666816772631E-3</v>
      </c>
      <c r="AI51" s="607">
        <f t="shared" ref="AI51:AM51" si="118">+AI84</f>
        <v>1.5393902807123494E-2</v>
      </c>
      <c r="AJ51" s="608">
        <f t="shared" si="118"/>
        <v>2.6747790150384532E-2</v>
      </c>
      <c r="AK51" s="608">
        <f t="shared" si="118"/>
        <v>6.3765791056747512E-2</v>
      </c>
      <c r="AL51" s="609">
        <f t="shared" si="118"/>
        <v>-5.8850056369785797E-2</v>
      </c>
      <c r="AM51" s="610">
        <f t="shared" si="118"/>
        <v>1.3335467008054547E-2</v>
      </c>
      <c r="AN51" s="607">
        <f t="shared" ref="AN51:AR51" si="119">+AN84</f>
        <v>-8.2342449464922751E-2</v>
      </c>
      <c r="AO51" s="608">
        <f t="shared" si="119"/>
        <v>-1.9342576028622549E-2</v>
      </c>
      <c r="AP51" s="608">
        <f t="shared" si="119"/>
        <v>5.1460885956644775E-2</v>
      </c>
      <c r="AQ51" s="609">
        <f t="shared" si="119"/>
        <v>4.5519885002395677E-2</v>
      </c>
      <c r="AR51" s="610">
        <f t="shared" si="119"/>
        <v>-2.0529557298520906E-3</v>
      </c>
      <c r="AS51" s="607">
        <f t="shared" ref="AS51:AT51" si="120">+AS84</f>
        <v>-6.1548428895367158E-3</v>
      </c>
      <c r="AT51" s="608">
        <f t="shared" si="120"/>
        <v>-2.5082658761829135E-3</v>
      </c>
      <c r="AU51" s="608">
        <f t="shared" ref="AU51:AW51" si="121">+AU84</f>
        <v>-8.1660093223377528E-2</v>
      </c>
      <c r="AV51" s="609">
        <f t="shared" si="121"/>
        <v>3.4486709440879837E-2</v>
      </c>
      <c r="AW51" s="610">
        <f t="shared" si="121"/>
        <v>-1.8171748074691463E-2</v>
      </c>
      <c r="AX51" s="607">
        <f>+BB51-AS109</f>
        <v>2.4642344282893556E-2</v>
      </c>
      <c r="AY51" s="608">
        <f>+BB51-AT109</f>
        <v>1.6679339635566521E-2</v>
      </c>
      <c r="AZ51" s="608">
        <f>+BB51-AU109</f>
        <v>2.2807933194154409E-3</v>
      </c>
      <c r="BA51" s="609">
        <f>+BB51-AV109</f>
        <v>1.0028317152103563E-2</v>
      </c>
      <c r="BB51" s="611">
        <v>7.4999999999999997E-3</v>
      </c>
      <c r="BC51" s="607">
        <f>+BG51-AX109</f>
        <v>0.01</v>
      </c>
      <c r="BD51" s="608">
        <f>+BG51-AY109</f>
        <v>0.01</v>
      </c>
      <c r="BE51" s="608">
        <f>+BG51-AZ109</f>
        <v>0.01</v>
      </c>
      <c r="BF51" s="609">
        <f>+BG51-BA109</f>
        <v>0.01</v>
      </c>
      <c r="BG51" s="611">
        <v>0.01</v>
      </c>
      <c r="BH51" s="607">
        <f>+BL51-BC109</f>
        <v>0.01</v>
      </c>
      <c r="BI51" s="608">
        <f>+BL51-BD109</f>
        <v>0.01</v>
      </c>
      <c r="BJ51" s="608">
        <f>+BL51-BE109</f>
        <v>0.01</v>
      </c>
      <c r="BK51" s="609">
        <f>+BL51-BF109</f>
        <v>0.01</v>
      </c>
      <c r="BL51" s="611">
        <v>0.01</v>
      </c>
      <c r="BM51" s="607">
        <f>+BQ51-BH109</f>
        <v>0.01</v>
      </c>
      <c r="BN51" s="608">
        <f>+BQ51-BI109</f>
        <v>0.01</v>
      </c>
      <c r="BO51" s="608">
        <f>+BQ51-BJ109</f>
        <v>0.01</v>
      </c>
      <c r="BP51" s="609">
        <f>+BQ51-BK109</f>
        <v>0.01</v>
      </c>
      <c r="BQ51" s="611">
        <f>+BL51</f>
        <v>0.01</v>
      </c>
      <c r="BR51" s="567"/>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row>
    <row r="52" spans="1:99" ht="12.75" customHeight="1">
      <c r="A52" s="1"/>
      <c r="B52" s="1"/>
      <c r="C52" s="564" t="s">
        <v>644</v>
      </c>
      <c r="D52" s="1"/>
      <c r="E52" s="600"/>
      <c r="F52" s="251"/>
      <c r="G52" s="251"/>
      <c r="H52" s="601"/>
      <c r="I52" s="26"/>
      <c r="J52" s="284">
        <f>J124</f>
        <v>-7.9743505425846628E-3</v>
      </c>
      <c r="K52" s="241">
        <f t="shared" ref="K52:S52" si="122">K124</f>
        <v>-5.4980741635828112E-2</v>
      </c>
      <c r="L52" s="241">
        <f t="shared" si="122"/>
        <v>0.22441305010671808</v>
      </c>
      <c r="M52" s="285">
        <f t="shared" si="122"/>
        <v>9.0795165137243838E-2</v>
      </c>
      <c r="N52" s="25">
        <f t="shared" si="122"/>
        <v>4.0742981176386861E-2</v>
      </c>
      <c r="O52" s="284">
        <f t="shared" si="122"/>
        <v>4.124195464213698E-2</v>
      </c>
      <c r="P52" s="241">
        <f t="shared" si="122"/>
        <v>2.6052904978822067E-2</v>
      </c>
      <c r="Q52" s="241">
        <f t="shared" si="122"/>
        <v>-0.18012783265543286</v>
      </c>
      <c r="R52" s="285">
        <f t="shared" si="122"/>
        <v>-0.18344883815735835</v>
      </c>
      <c r="S52" s="25">
        <f t="shared" si="122"/>
        <v>-6.0414387308533879E-2</v>
      </c>
      <c r="T52" s="284">
        <f t="shared" ref="T52:Z52" si="123">T124</f>
        <v>-0.19899718788136045</v>
      </c>
      <c r="U52" s="241">
        <f t="shared" si="123"/>
        <v>-6.0440844302515728E-2</v>
      </c>
      <c r="V52" s="241">
        <f t="shared" si="123"/>
        <v>-4.4041713070770427E-2</v>
      </c>
      <c r="W52" s="285">
        <f t="shared" si="123"/>
        <v>0.12358734625334722</v>
      </c>
      <c r="X52" s="25">
        <f t="shared" si="123"/>
        <v>-7.2644129883677189E-2</v>
      </c>
      <c r="Y52" s="284">
        <f t="shared" si="123"/>
        <v>0.2360812108766932</v>
      </c>
      <c r="Z52" s="241">
        <f t="shared" si="123"/>
        <v>6.7313271988725942E-2</v>
      </c>
      <c r="AA52" s="241">
        <f t="shared" ref="AA52:AH52" si="124">AA124</f>
        <v>1.3768269434441871E-2</v>
      </c>
      <c r="AB52" s="285">
        <f t="shared" si="124"/>
        <v>4.7584423978025425E-2</v>
      </c>
      <c r="AC52" s="25">
        <f t="shared" si="124"/>
        <v>0.12096162398304866</v>
      </c>
      <c r="AD52" s="284">
        <f t="shared" si="124"/>
        <v>0.11301947964952697</v>
      </c>
      <c r="AE52" s="241">
        <f t="shared" si="124"/>
        <v>4.3029126213592228E-2</v>
      </c>
      <c r="AF52" s="241">
        <f t="shared" si="124"/>
        <v>7.4174676138738516E-3</v>
      </c>
      <c r="AG52" s="285">
        <f t="shared" si="124"/>
        <v>-2.3251330299992268E-2</v>
      </c>
      <c r="AH52" s="25">
        <f t="shared" si="124"/>
        <v>4.9473757905299731E-2</v>
      </c>
      <c r="AI52" s="284">
        <f t="shared" ref="AI52:AM52" si="125">AI124</f>
        <v>4.8628999253713445E-2</v>
      </c>
      <c r="AJ52" s="241">
        <f t="shared" si="125"/>
        <v>-5.6966267034030849E-2</v>
      </c>
      <c r="AK52" s="241">
        <f t="shared" si="125"/>
        <v>0.15067924919630826</v>
      </c>
      <c r="AL52" s="285">
        <f t="shared" si="125"/>
        <v>-0.22770518337215273</v>
      </c>
      <c r="AM52" s="25">
        <f t="shared" si="125"/>
        <v>-3.4021925240710682E-2</v>
      </c>
      <c r="AN52" s="284">
        <f t="shared" ref="AN52:AR52" si="126">AN124</f>
        <v>-0.20092288620032595</v>
      </c>
      <c r="AO52" s="241">
        <f t="shared" si="126"/>
        <v>8.8834491471888821E-2</v>
      </c>
      <c r="AP52" s="241">
        <f t="shared" si="126"/>
        <v>-2.5865176640230692E-2</v>
      </c>
      <c r="AQ52" s="285">
        <f t="shared" si="126"/>
        <v>0.26115626437662942</v>
      </c>
      <c r="AR52" s="25">
        <f t="shared" si="126"/>
        <v>-3.2285168389309615E-2</v>
      </c>
      <c r="AS52" s="284">
        <f t="shared" ref="AS52:AT52" si="127">AS124</f>
        <v>2.6718763467119544E-3</v>
      </c>
      <c r="AT52" s="241">
        <f t="shared" si="127"/>
        <v>-2.9661324243962617E-2</v>
      </c>
      <c r="AU52" s="241">
        <f t="shared" ref="AU52:AW52" si="128">AU124</f>
        <v>-0.10565269682671852</v>
      </c>
      <c r="AV52" s="285">
        <f t="shared" si="128"/>
        <v>8.9980544747081614E-2</v>
      </c>
      <c r="AW52" s="25">
        <f t="shared" si="128"/>
        <v>9.0631207107769729E-3</v>
      </c>
      <c r="AX52" s="284">
        <f t="shared" ref="AX52:BA52" si="129">+AY52</f>
        <v>7.4999999999999997E-3</v>
      </c>
      <c r="AY52" s="241">
        <f t="shared" si="129"/>
        <v>7.4999999999999997E-3</v>
      </c>
      <c r="AZ52" s="241">
        <f t="shared" si="129"/>
        <v>7.4999999999999997E-3</v>
      </c>
      <c r="BA52" s="285">
        <f t="shared" si="129"/>
        <v>7.4999999999999997E-3</v>
      </c>
      <c r="BB52" s="612">
        <v>7.4999999999999997E-3</v>
      </c>
      <c r="BC52" s="284">
        <f t="shared" ref="BC52" si="130">+BD52</f>
        <v>0.01</v>
      </c>
      <c r="BD52" s="241">
        <f t="shared" ref="BD52" si="131">+BE52</f>
        <v>0.01</v>
      </c>
      <c r="BE52" s="241">
        <f t="shared" ref="BE52" si="132">+BF52</f>
        <v>0.01</v>
      </c>
      <c r="BF52" s="285">
        <f t="shared" ref="BF52" si="133">+BG52</f>
        <v>0.01</v>
      </c>
      <c r="BG52" s="612">
        <v>0.01</v>
      </c>
      <c r="BH52" s="284">
        <f t="shared" ref="BH52" si="134">+BI52</f>
        <v>0.01</v>
      </c>
      <c r="BI52" s="241">
        <f t="shared" ref="BI52" si="135">+BJ52</f>
        <v>0.01</v>
      </c>
      <c r="BJ52" s="241">
        <f t="shared" ref="BJ52" si="136">+BK52</f>
        <v>0.01</v>
      </c>
      <c r="BK52" s="285">
        <f t="shared" ref="BK52" si="137">+BL52</f>
        <v>0.01</v>
      </c>
      <c r="BL52" s="612">
        <v>0.01</v>
      </c>
      <c r="BM52" s="284">
        <f t="shared" ref="BM52" si="138">+BN52</f>
        <v>0.01</v>
      </c>
      <c r="BN52" s="241">
        <f t="shared" ref="BN52" si="139">+BO52</f>
        <v>0.01</v>
      </c>
      <c r="BO52" s="241">
        <f t="shared" ref="BO52" si="140">+BP52</f>
        <v>0.01</v>
      </c>
      <c r="BP52" s="285">
        <f t="shared" ref="BP52" si="141">+BQ52</f>
        <v>0.01</v>
      </c>
      <c r="BQ52" s="612">
        <f>+BL52</f>
        <v>0.01</v>
      </c>
      <c r="BR52" s="567"/>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row>
    <row r="53" spans="1:99" ht="12.75" customHeight="1">
      <c r="A53" s="1"/>
      <c r="B53" s="1"/>
      <c r="C53" s="564"/>
      <c r="D53" s="1"/>
      <c r="E53" s="600"/>
      <c r="F53" s="251"/>
      <c r="G53" s="251"/>
      <c r="H53" s="601"/>
      <c r="I53" s="26"/>
      <c r="J53" s="284"/>
      <c r="K53" s="241"/>
      <c r="L53" s="241"/>
      <c r="M53" s="285"/>
      <c r="N53" s="25"/>
      <c r="O53" s="284"/>
      <c r="P53" s="241"/>
      <c r="Q53" s="241"/>
      <c r="R53" s="285"/>
      <c r="S53" s="612"/>
      <c r="T53" s="284"/>
      <c r="U53" s="241"/>
      <c r="V53" s="241"/>
      <c r="W53" s="285"/>
      <c r="X53" s="612"/>
      <c r="Y53" s="284"/>
      <c r="Z53" s="241"/>
      <c r="AA53" s="241"/>
      <c r="AB53" s="285"/>
      <c r="AC53" s="883"/>
      <c r="AD53" s="284"/>
      <c r="AE53" s="241"/>
      <c r="AF53" s="241"/>
      <c r="AG53" s="285"/>
      <c r="AH53" s="883"/>
      <c r="AI53" s="284"/>
      <c r="AJ53" s="241"/>
      <c r="AK53" s="241"/>
      <c r="AL53" s="285"/>
      <c r="AM53" s="883"/>
      <c r="AN53" s="284"/>
      <c r="AO53" s="241"/>
      <c r="AP53" s="241"/>
      <c r="AQ53" s="285"/>
      <c r="AR53" s="883"/>
      <c r="AS53" s="284"/>
      <c r="AT53" s="241"/>
      <c r="AU53" s="241"/>
      <c r="AV53" s="285"/>
      <c r="AW53" s="883"/>
      <c r="AX53" s="284"/>
      <c r="AY53" s="241"/>
      <c r="AZ53" s="241"/>
      <c r="BA53" s="285"/>
      <c r="BB53" s="612"/>
      <c r="BC53" s="284"/>
      <c r="BD53" s="241"/>
      <c r="BE53" s="241"/>
      <c r="BF53" s="285"/>
      <c r="BG53" s="612"/>
      <c r="BH53" s="284"/>
      <c r="BI53" s="241"/>
      <c r="BJ53" s="241"/>
      <c r="BK53" s="285"/>
      <c r="BL53" s="612"/>
      <c r="BM53" s="284"/>
      <c r="BN53" s="241"/>
      <c r="BO53" s="241"/>
      <c r="BP53" s="285"/>
      <c r="BQ53" s="612"/>
      <c r="BR53" s="567"/>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row>
    <row r="54" spans="1:99" ht="12.75" customHeight="1">
      <c r="A54" s="383"/>
      <c r="B54" s="383"/>
      <c r="C54" s="679" t="s">
        <v>714</v>
      </c>
      <c r="D54" s="383"/>
      <c r="E54" s="613"/>
      <c r="F54" s="614"/>
      <c r="G54" s="614"/>
      <c r="H54" s="615"/>
      <c r="I54" s="383"/>
      <c r="J54" s="613"/>
      <c r="K54" s="614"/>
      <c r="L54" s="614"/>
      <c r="M54" s="615"/>
      <c r="N54" s="383"/>
      <c r="O54" s="616"/>
      <c r="P54" s="617"/>
      <c r="Q54" s="617"/>
      <c r="R54" s="656"/>
      <c r="S54" s="757"/>
      <c r="T54" s="616"/>
      <c r="U54" s="617"/>
      <c r="V54" s="617"/>
      <c r="W54" s="656"/>
      <c r="X54" s="757"/>
      <c r="Y54" s="616"/>
      <c r="Z54" s="617"/>
      <c r="AA54" s="1450"/>
      <c r="AB54" s="1451"/>
      <c r="AC54" s="1480"/>
      <c r="AD54" s="616"/>
      <c r="AE54" s="617"/>
      <c r="AF54" s="1450"/>
      <c r="AG54" s="1451"/>
      <c r="AH54" s="1480"/>
      <c r="AI54" s="616"/>
      <c r="AJ54" s="617"/>
      <c r="AK54" s="1450"/>
      <c r="AL54" s="1451"/>
      <c r="AM54" s="1480"/>
      <c r="AN54" s="616"/>
      <c r="AO54" s="617"/>
      <c r="AP54" s="1450"/>
      <c r="AQ54" s="1451"/>
      <c r="AR54" s="1480"/>
      <c r="AS54" s="616"/>
      <c r="AT54" s="617"/>
      <c r="AU54" s="617"/>
      <c r="AV54" s="1451"/>
      <c r="AW54" s="1480"/>
      <c r="AX54" s="616">
        <f>BB54/4</f>
        <v>-8.75</v>
      </c>
      <c r="AY54" s="617">
        <f>BB54/4</f>
        <v>-8.75</v>
      </c>
      <c r="AZ54" s="617">
        <f>BB54/4</f>
        <v>-8.75</v>
      </c>
      <c r="BA54" s="656">
        <f>BB54/4</f>
        <v>-8.75</v>
      </c>
      <c r="BB54" s="757">
        <v>-35</v>
      </c>
      <c r="BC54" s="616">
        <f>BG54/4</f>
        <v>12.285</v>
      </c>
      <c r="BD54" s="617">
        <f>BG54/4</f>
        <v>12.285</v>
      </c>
      <c r="BE54" s="617">
        <f>BG54/4</f>
        <v>12.285</v>
      </c>
      <c r="BF54" s="656">
        <f>BG54/4</f>
        <v>12.285</v>
      </c>
      <c r="BG54" s="757">
        <f>81.9*0.6</f>
        <v>49.14</v>
      </c>
      <c r="BH54" s="616">
        <f>BL54/4</f>
        <v>13.75</v>
      </c>
      <c r="BI54" s="617">
        <f>BL54/4</f>
        <v>13.75</v>
      </c>
      <c r="BJ54" s="617">
        <f>BL54/4</f>
        <v>13.75</v>
      </c>
      <c r="BK54" s="656">
        <f>BL54/4</f>
        <v>13.75</v>
      </c>
      <c r="BL54" s="757">
        <v>55</v>
      </c>
      <c r="BM54" s="616">
        <f>BQ54/4</f>
        <v>6.25</v>
      </c>
      <c r="BN54" s="617">
        <f>BQ54/4</f>
        <v>6.25</v>
      </c>
      <c r="BO54" s="617">
        <f>BQ54/4</f>
        <v>6.25</v>
      </c>
      <c r="BP54" s="656">
        <f>BQ54/4</f>
        <v>6.25</v>
      </c>
      <c r="BQ54" s="757">
        <v>25</v>
      </c>
      <c r="BR54" s="567"/>
      <c r="BS54" s="1"/>
      <c r="BT54" s="383"/>
      <c r="BU54" s="383"/>
      <c r="BV54" s="383"/>
      <c r="BW54" s="383"/>
      <c r="BX54" s="383"/>
      <c r="BY54" s="383"/>
      <c r="BZ54" s="383"/>
      <c r="CA54" s="383"/>
      <c r="CB54" s="383"/>
      <c r="CC54" s="383"/>
      <c r="CD54" s="383"/>
      <c r="CE54" s="383"/>
      <c r="CF54" s="383"/>
      <c r="CG54" s="383"/>
      <c r="CH54" s="383"/>
      <c r="CI54" s="383"/>
      <c r="CJ54" s="383"/>
      <c r="CK54" s="383"/>
      <c r="CL54" s="383"/>
      <c r="CM54" s="383"/>
      <c r="CN54" s="383"/>
      <c r="CO54" s="383"/>
      <c r="CP54" s="383"/>
      <c r="CQ54" s="383"/>
      <c r="CR54" s="383"/>
      <c r="CS54" s="383"/>
      <c r="CT54" s="383"/>
      <c r="CU54" s="383"/>
    </row>
    <row r="55" spans="1:99" ht="12.75" customHeight="1">
      <c r="A55" s="383"/>
      <c r="B55" s="383"/>
      <c r="C55" s="679" t="s">
        <v>702</v>
      </c>
      <c r="D55" s="383"/>
      <c r="E55" s="613"/>
      <c r="F55" s="614"/>
      <c r="G55" s="614"/>
      <c r="H55" s="615"/>
      <c r="I55" s="383"/>
      <c r="J55" s="613"/>
      <c r="K55" s="614"/>
      <c r="L55" s="614"/>
      <c r="M55" s="615"/>
      <c r="N55" s="383"/>
      <c r="O55" s="616"/>
      <c r="P55" s="617"/>
      <c r="Q55" s="617"/>
      <c r="R55" s="656"/>
      <c r="S55" s="657"/>
      <c r="T55" s="616"/>
      <c r="U55" s="617"/>
      <c r="V55" s="617"/>
      <c r="W55" s="656"/>
      <c r="X55" s="657"/>
      <c r="Y55" s="616"/>
      <c r="Z55" s="617"/>
      <c r="AA55" s="1450"/>
      <c r="AB55" s="1451"/>
      <c r="AC55" s="1449"/>
      <c r="AD55" s="616"/>
      <c r="AE55" s="617"/>
      <c r="AF55" s="1450"/>
      <c r="AG55" s="1451"/>
      <c r="AH55" s="1449"/>
      <c r="AI55" s="616"/>
      <c r="AJ55" s="617"/>
      <c r="AK55" s="1450"/>
      <c r="AL55" s="1451"/>
      <c r="AM55" s="1449"/>
      <c r="AN55" s="616"/>
      <c r="AO55" s="617"/>
      <c r="AP55" s="1450"/>
      <c r="AQ55" s="1451"/>
      <c r="AR55" s="1449"/>
      <c r="AS55" s="616"/>
      <c r="AT55" s="617"/>
      <c r="AU55" s="617"/>
      <c r="AV55" s="1451"/>
      <c r="AW55" s="1449"/>
      <c r="AX55" s="616">
        <f>BB55/4</f>
        <v>0</v>
      </c>
      <c r="AY55" s="617">
        <f>BB55/4</f>
        <v>0</v>
      </c>
      <c r="AZ55" s="617">
        <f>BB55/4</f>
        <v>0</v>
      </c>
      <c r="BA55" s="656">
        <f>BB55/4</f>
        <v>0</v>
      </c>
      <c r="BB55" s="757">
        <f>12%*BB167</f>
        <v>0</v>
      </c>
      <c r="BC55" s="616">
        <f>BG55/4</f>
        <v>0</v>
      </c>
      <c r="BD55" s="617">
        <f>BG55/4</f>
        <v>0</v>
      </c>
      <c r="BE55" s="617">
        <f>BG55/4</f>
        <v>0</v>
      </c>
      <c r="BF55" s="656">
        <f>BG55/4</f>
        <v>0</v>
      </c>
      <c r="BG55" s="757">
        <f>+BB55</f>
        <v>0</v>
      </c>
      <c r="BH55" s="616">
        <f>BL55/4</f>
        <v>0</v>
      </c>
      <c r="BI55" s="617">
        <f>BL55/4</f>
        <v>0</v>
      </c>
      <c r="BJ55" s="617">
        <f>BL55/4</f>
        <v>0</v>
      </c>
      <c r="BK55" s="656">
        <f>BL55/4</f>
        <v>0</v>
      </c>
      <c r="BL55" s="757">
        <f>+BG55</f>
        <v>0</v>
      </c>
      <c r="BM55" s="616">
        <f>BQ55/4</f>
        <v>0</v>
      </c>
      <c r="BN55" s="617">
        <f>BQ55/4</f>
        <v>0</v>
      </c>
      <c r="BO55" s="617">
        <f>BQ55/4</f>
        <v>0</v>
      </c>
      <c r="BP55" s="656">
        <f>BQ55/4</f>
        <v>0</v>
      </c>
      <c r="BQ55" s="757">
        <f>+BL55</f>
        <v>0</v>
      </c>
      <c r="BR55" s="567"/>
      <c r="BS55" s="1"/>
      <c r="BT55" s="383"/>
      <c r="BU55" s="383"/>
      <c r="BV55" s="383"/>
      <c r="BW55" s="383"/>
      <c r="BX55" s="383"/>
      <c r="BY55" s="383"/>
      <c r="BZ55" s="383"/>
      <c r="CA55" s="383"/>
      <c r="CB55" s="383"/>
      <c r="CC55" s="383"/>
      <c r="CD55" s="383"/>
      <c r="CE55" s="383"/>
      <c r="CF55" s="383"/>
      <c r="CG55" s="383"/>
      <c r="CH55" s="383"/>
      <c r="CI55" s="383"/>
      <c r="CJ55" s="383"/>
      <c r="CK55" s="383"/>
      <c r="CL55" s="383"/>
      <c r="CM55" s="383"/>
      <c r="CN55" s="383"/>
      <c r="CO55" s="383"/>
      <c r="CP55" s="383"/>
      <c r="CQ55" s="383"/>
      <c r="CR55" s="383"/>
      <c r="CS55" s="383"/>
      <c r="CT55" s="383"/>
      <c r="CU55" s="383"/>
    </row>
    <row r="56" spans="1:99" ht="12.75" customHeight="1">
      <c r="A56" s="383"/>
      <c r="B56" s="383"/>
      <c r="C56" s="679" t="s">
        <v>715</v>
      </c>
      <c r="D56" s="383"/>
      <c r="E56" s="613"/>
      <c r="F56" s="614"/>
      <c r="G56" s="614"/>
      <c r="H56" s="615"/>
      <c r="I56" s="383"/>
      <c r="J56" s="613"/>
      <c r="K56" s="614"/>
      <c r="L56" s="614"/>
      <c r="M56" s="615"/>
      <c r="N56" s="383"/>
      <c r="O56" s="616"/>
      <c r="P56" s="617"/>
      <c r="Q56" s="617"/>
      <c r="R56" s="656"/>
      <c r="S56" s="657"/>
      <c r="T56" s="616"/>
      <c r="U56" s="617"/>
      <c r="V56" s="617"/>
      <c r="W56" s="656"/>
      <c r="X56" s="657"/>
      <c r="Y56" s="616"/>
      <c r="Z56" s="617"/>
      <c r="AA56" s="1450"/>
      <c r="AB56" s="1451"/>
      <c r="AC56" s="1449"/>
      <c r="AD56" s="616"/>
      <c r="AE56" s="617"/>
      <c r="AF56" s="1450"/>
      <c r="AG56" s="1451"/>
      <c r="AH56" s="1449"/>
      <c r="AI56" s="616"/>
      <c r="AJ56" s="617"/>
      <c r="AK56" s="1450"/>
      <c r="AL56" s="1451"/>
      <c r="AM56" s="1449"/>
      <c r="AN56" s="616"/>
      <c r="AO56" s="617"/>
      <c r="AP56" s="1450"/>
      <c r="AQ56" s="1451"/>
      <c r="AR56" s="1449"/>
      <c r="AS56" s="616"/>
      <c r="AT56" s="617"/>
      <c r="AU56" s="617"/>
      <c r="AV56" s="1451"/>
      <c r="AW56" s="1449"/>
      <c r="AX56" s="616">
        <f>BB56/4</f>
        <v>1.9919819620253161</v>
      </c>
      <c r="AY56" s="617">
        <f>BB56/4</f>
        <v>1.9919819620253161</v>
      </c>
      <c r="AZ56" s="617">
        <f>BB56/4</f>
        <v>1.9919819620253161</v>
      </c>
      <c r="BA56" s="656">
        <f>BB56/4</f>
        <v>1.9919819620253161</v>
      </c>
      <c r="BB56" s="757">
        <f>(0.05*(1-BB267)+(BB267*(BB271/(1-BB61)))+0.025)*(BB169)</f>
        <v>7.9679278481012643</v>
      </c>
      <c r="BC56" s="616">
        <f>BG56/4</f>
        <v>1.9919819620253161</v>
      </c>
      <c r="BD56" s="617">
        <f>BG56/4</f>
        <v>1.9919819620253161</v>
      </c>
      <c r="BE56" s="617">
        <f>BG56/4</f>
        <v>1.9919819620253161</v>
      </c>
      <c r="BF56" s="656">
        <f>BG56/4</f>
        <v>1.9919819620253161</v>
      </c>
      <c r="BG56" s="757">
        <f>(0.05*(1-BG267)+(BG267*(BG271/(1-BG61)))+0.025)*(BG169)</f>
        <v>7.9679278481012643</v>
      </c>
      <c r="BH56" s="616">
        <f>BL56/4</f>
        <v>1.9919819620253161</v>
      </c>
      <c r="BI56" s="617">
        <f>BL56/4</f>
        <v>1.9919819620253161</v>
      </c>
      <c r="BJ56" s="617">
        <f>BL56/4</f>
        <v>1.9919819620253161</v>
      </c>
      <c r="BK56" s="656">
        <f>BL56/4</f>
        <v>1.9919819620253161</v>
      </c>
      <c r="BL56" s="757">
        <f>(0.05*(1-BL267)+(BL267*(BL271/(1-BL61)))+0.025)*(BL169)</f>
        <v>7.9679278481012643</v>
      </c>
      <c r="BM56" s="616">
        <f>BQ56/4</f>
        <v>1.9919819620253161</v>
      </c>
      <c r="BN56" s="617">
        <f>BQ56/4</f>
        <v>1.9919819620253161</v>
      </c>
      <c r="BO56" s="617">
        <f>BQ56/4</f>
        <v>1.9919819620253161</v>
      </c>
      <c r="BP56" s="656">
        <f>BQ56/4</f>
        <v>1.9919819620253161</v>
      </c>
      <c r="BQ56" s="757">
        <f>+BL56</f>
        <v>7.9679278481012643</v>
      </c>
      <c r="BR56" s="567"/>
      <c r="BS56" s="1"/>
      <c r="BT56" s="383"/>
      <c r="BU56" s="383"/>
      <c r="BV56" s="383"/>
      <c r="BW56" s="383"/>
      <c r="BX56" s="383"/>
      <c r="BY56" s="383"/>
      <c r="BZ56" s="383"/>
      <c r="CA56" s="383"/>
      <c r="CB56" s="383"/>
      <c r="CC56" s="383"/>
      <c r="CD56" s="383"/>
      <c r="CE56" s="383"/>
      <c r="CF56" s="383"/>
      <c r="CG56" s="383"/>
      <c r="CH56" s="383"/>
      <c r="CI56" s="383"/>
      <c r="CJ56" s="383"/>
      <c r="CK56" s="383"/>
      <c r="CL56" s="383"/>
      <c r="CM56" s="383"/>
      <c r="CN56" s="383"/>
      <c r="CO56" s="383"/>
      <c r="CP56" s="383"/>
      <c r="CQ56" s="383"/>
      <c r="CR56" s="383"/>
      <c r="CS56" s="383"/>
      <c r="CT56" s="383"/>
      <c r="CU56" s="383"/>
    </row>
    <row r="57" spans="1:99" ht="12.75" customHeight="1">
      <c r="A57" s="1"/>
      <c r="B57" s="1"/>
      <c r="C57" s="618"/>
      <c r="D57" s="1"/>
      <c r="E57" s="600"/>
      <c r="F57" s="251"/>
      <c r="G57" s="251"/>
      <c r="H57" s="601"/>
      <c r="I57" s="26"/>
      <c r="J57" s="600"/>
      <c r="K57" s="251"/>
      <c r="L57" s="251"/>
      <c r="M57" s="601"/>
      <c r="N57" s="26"/>
      <c r="O57" s="600"/>
      <c r="P57" s="251"/>
      <c r="Q57" s="251"/>
      <c r="R57" s="601"/>
      <c r="S57" s="26"/>
      <c r="T57" s="600"/>
      <c r="U57" s="251"/>
      <c r="V57" s="251"/>
      <c r="W57" s="601"/>
      <c r="X57" s="26"/>
      <c r="Y57" s="600"/>
      <c r="Z57" s="251"/>
      <c r="AA57" s="251"/>
      <c r="AB57" s="601"/>
      <c r="AC57" s="26"/>
      <c r="AD57" s="600"/>
      <c r="AE57" s="251"/>
      <c r="AF57" s="251"/>
      <c r="AG57" s="601"/>
      <c r="AH57" s="26"/>
      <c r="AI57" s="600"/>
      <c r="AJ57" s="251"/>
      <c r="AK57" s="251"/>
      <c r="AL57" s="601"/>
      <c r="AM57" s="26"/>
      <c r="AN57" s="600"/>
      <c r="AO57" s="251"/>
      <c r="AP57" s="251"/>
      <c r="AQ57" s="601"/>
      <c r="AR57" s="26"/>
      <c r="AS57" s="600"/>
      <c r="AT57" s="251"/>
      <c r="AU57" s="251"/>
      <c r="AV57" s="601"/>
      <c r="AW57" s="26"/>
      <c r="AX57" s="600"/>
      <c r="AY57" s="251"/>
      <c r="AZ57" s="251"/>
      <c r="BA57" s="601"/>
      <c r="BB57" s="26"/>
      <c r="BC57" s="600"/>
      <c r="BD57" s="251"/>
      <c r="BE57" s="251"/>
      <c r="BF57" s="601"/>
      <c r="BG57" s="26"/>
      <c r="BH57" s="600"/>
      <c r="BI57" s="251"/>
      <c r="BJ57" s="251"/>
      <c r="BK57" s="601"/>
      <c r="BL57" s="26"/>
      <c r="BM57" s="600"/>
      <c r="BN57" s="251"/>
      <c r="BO57" s="251"/>
      <c r="BP57" s="601"/>
      <c r="BQ57" s="26"/>
      <c r="BR57" s="567"/>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row>
    <row r="58" spans="1:99" ht="12.75" customHeight="1">
      <c r="A58" s="1"/>
      <c r="B58" s="1"/>
      <c r="C58" s="565" t="s">
        <v>703</v>
      </c>
      <c r="D58" s="1"/>
      <c r="E58" s="600"/>
      <c r="F58" s="251"/>
      <c r="G58" s="251"/>
      <c r="H58" s="601"/>
      <c r="I58" s="25"/>
      <c r="J58" s="284">
        <f t="shared" ref="J58:S58" si="142">+J144</f>
        <v>6.7796610169491567E-2</v>
      </c>
      <c r="K58" s="241">
        <f t="shared" si="142"/>
        <v>9.3959731543624248E-2</v>
      </c>
      <c r="L58" s="241">
        <f t="shared" si="142"/>
        <v>0.24025974025974017</v>
      </c>
      <c r="M58" s="285">
        <f t="shared" si="142"/>
        <v>0.1875</v>
      </c>
      <c r="N58" s="25">
        <f t="shared" si="142"/>
        <v>0.14531249999999996</v>
      </c>
      <c r="O58" s="284">
        <f t="shared" si="142"/>
        <v>8.9947089947089998E-2</v>
      </c>
      <c r="P58" s="241">
        <f t="shared" si="142"/>
        <v>5.5214723926380271E-2</v>
      </c>
      <c r="Q58" s="241">
        <f t="shared" si="142"/>
        <v>0.14659685863874339</v>
      </c>
      <c r="R58" s="285">
        <f t="shared" si="142"/>
        <v>3.6842105263157787E-2</v>
      </c>
      <c r="S58" s="25">
        <f t="shared" si="142"/>
        <v>8.3219645293315159E-2</v>
      </c>
      <c r="T58" s="284">
        <f t="shared" ref="T58:Z58" si="143">+T144</f>
        <v>-1.4563106796116498E-2</v>
      </c>
      <c r="U58" s="241">
        <f t="shared" si="143"/>
        <v>0</v>
      </c>
      <c r="V58" s="241">
        <f t="shared" si="143"/>
        <v>-9.1324200913242004E-2</v>
      </c>
      <c r="W58" s="285">
        <f t="shared" si="143"/>
        <v>0.19289340101522834</v>
      </c>
      <c r="X58" s="25">
        <f t="shared" si="143"/>
        <v>1.8891687657430767E-2</v>
      </c>
      <c r="Y58" s="284">
        <f t="shared" si="143"/>
        <v>-7.3891625615763568E-2</v>
      </c>
      <c r="Z58" s="241">
        <f t="shared" si="143"/>
        <v>5.232558139534893E-2</v>
      </c>
      <c r="AA58" s="241">
        <f t="shared" ref="AA58:AH58" si="144">+AA144</f>
        <v>-6.5326633165829096E-2</v>
      </c>
      <c r="AB58" s="285">
        <f t="shared" si="144"/>
        <v>-0.17872340425531918</v>
      </c>
      <c r="AC58" s="25">
        <f t="shared" si="144"/>
        <v>-7.5401730531520439E-2</v>
      </c>
      <c r="AD58" s="284">
        <f t="shared" si="144"/>
        <v>0.4893617021276595</v>
      </c>
      <c r="AE58" s="241">
        <f t="shared" si="144"/>
        <v>1.6574585635359185E-2</v>
      </c>
      <c r="AF58" s="241">
        <f t="shared" si="144"/>
        <v>9.6774193548387011E-2</v>
      </c>
      <c r="AG58" s="285">
        <f t="shared" si="144"/>
        <v>2.5906735751295429E-2</v>
      </c>
      <c r="AH58" s="25">
        <f t="shared" si="144"/>
        <v>0.15775401069518713</v>
      </c>
      <c r="AI58" s="284">
        <f t="shared" ref="AI58:AM58" si="145">+AI144</f>
        <v>-0.20714285714285718</v>
      </c>
      <c r="AJ58" s="241">
        <f t="shared" si="145"/>
        <v>4.3478260869565188E-2</v>
      </c>
      <c r="AK58" s="241">
        <f t="shared" si="145"/>
        <v>-3.9215686274509776E-2</v>
      </c>
      <c r="AL58" s="285">
        <f t="shared" si="145"/>
        <v>-7.0707070707070718E-2</v>
      </c>
      <c r="AM58" s="25">
        <f t="shared" si="145"/>
        <v>-8.3140877598152474E-2</v>
      </c>
      <c r="AN58" s="284">
        <f t="shared" ref="AN58:AR58" si="146">+AN144</f>
        <v>-3.1531531531531543E-2</v>
      </c>
      <c r="AO58" s="241">
        <f t="shared" si="146"/>
        <v>-1.041666666666663E-2</v>
      </c>
      <c r="AP58" s="241">
        <f t="shared" si="146"/>
        <v>1.5306122448979664E-2</v>
      </c>
      <c r="AQ58" s="285">
        <f t="shared" si="146"/>
        <v>0.125</v>
      </c>
      <c r="AR58" s="25">
        <f t="shared" si="146"/>
        <v>2.1410579345088054E-2</v>
      </c>
      <c r="AS58" s="284">
        <f t="shared" ref="AS58:AT58" si="147">+AS144</f>
        <v>-3.2558139534883734E-2</v>
      </c>
      <c r="AT58" s="241">
        <f t="shared" si="147"/>
        <v>0</v>
      </c>
      <c r="AU58" s="241">
        <f t="shared" ref="AU58:AW58" si="148">+AU144</f>
        <v>-1.0050251256281451E-2</v>
      </c>
      <c r="AV58" s="285">
        <f t="shared" si="148"/>
        <v>1.9323671497584627E-2</v>
      </c>
      <c r="AW58" s="25">
        <f t="shared" si="148"/>
        <v>-6.1652281134402243E-3</v>
      </c>
      <c r="AX58" s="284">
        <f t="shared" ref="AX58:BA59" si="149">+AY58</f>
        <v>0</v>
      </c>
      <c r="AY58" s="241">
        <f t="shared" si="149"/>
        <v>0</v>
      </c>
      <c r="AZ58" s="241">
        <f t="shared" si="149"/>
        <v>0</v>
      </c>
      <c r="BA58" s="285">
        <f t="shared" si="149"/>
        <v>0</v>
      </c>
      <c r="BB58" s="612">
        <v>0</v>
      </c>
      <c r="BC58" s="284">
        <f t="shared" ref="BC58:BC59" si="150">+BD58</f>
        <v>0</v>
      </c>
      <c r="BD58" s="241">
        <f t="shared" ref="BD58:BD59" si="151">+BE58</f>
        <v>0</v>
      </c>
      <c r="BE58" s="241">
        <f t="shared" ref="BE58:BE59" si="152">+BF58</f>
        <v>0</v>
      </c>
      <c r="BF58" s="285">
        <f t="shared" ref="BF58:BF59" si="153">+BG58</f>
        <v>0</v>
      </c>
      <c r="BG58" s="612">
        <v>0</v>
      </c>
      <c r="BH58" s="284">
        <f t="shared" ref="BH58:BH59" si="154">+BI58</f>
        <v>0</v>
      </c>
      <c r="BI58" s="241">
        <f t="shared" ref="BI58:BI59" si="155">+BJ58</f>
        <v>0</v>
      </c>
      <c r="BJ58" s="241">
        <f t="shared" ref="BJ58:BJ59" si="156">+BK58</f>
        <v>0</v>
      </c>
      <c r="BK58" s="285">
        <f t="shared" ref="BK58:BK59" si="157">+BL58</f>
        <v>0</v>
      </c>
      <c r="BL58" s="612">
        <v>0</v>
      </c>
      <c r="BM58" s="284">
        <f t="shared" ref="BM58:BM59" si="158">+BN58</f>
        <v>0</v>
      </c>
      <c r="BN58" s="241">
        <f t="shared" ref="BN58:BN59" si="159">+BO58</f>
        <v>0</v>
      </c>
      <c r="BO58" s="241">
        <f t="shared" ref="BO58:BO59" si="160">+BP58</f>
        <v>0</v>
      </c>
      <c r="BP58" s="285">
        <f t="shared" ref="BP58:BP59" si="161">+BQ58</f>
        <v>0</v>
      </c>
      <c r="BQ58" s="612">
        <f>+BL58</f>
        <v>0</v>
      </c>
      <c r="BR58" s="567"/>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row>
    <row r="59" spans="1:99" ht="12.75" customHeight="1">
      <c r="A59" s="1"/>
      <c r="B59" s="1"/>
      <c r="C59" s="565" t="s">
        <v>126</v>
      </c>
      <c r="D59" s="1"/>
      <c r="E59" s="600"/>
      <c r="F59" s="251"/>
      <c r="G59" s="251"/>
      <c r="H59" s="601"/>
      <c r="I59" s="25"/>
      <c r="J59" s="284">
        <f t="shared" ref="J59:S59" si="162">+J147</f>
        <v>9.0909090909090828E-2</v>
      </c>
      <c r="K59" s="241">
        <f t="shared" si="162"/>
        <v>0.11594202898550732</v>
      </c>
      <c r="L59" s="241">
        <f t="shared" si="162"/>
        <v>0.15384615384615374</v>
      </c>
      <c r="M59" s="285">
        <f t="shared" si="162"/>
        <v>1.5873015873015817E-2</v>
      </c>
      <c r="N59" s="25">
        <f t="shared" si="162"/>
        <v>9.7826086956521729E-2</v>
      </c>
      <c r="O59" s="284">
        <f t="shared" si="162"/>
        <v>-0.22222222222222221</v>
      </c>
      <c r="P59" s="241">
        <f t="shared" si="162"/>
        <v>-0.33766233766233766</v>
      </c>
      <c r="Q59" s="241">
        <f t="shared" si="162"/>
        <v>-0.34444444444444444</v>
      </c>
      <c r="R59" s="285">
        <f t="shared" si="162"/>
        <v>-0.390625</v>
      </c>
      <c r="S59" s="25">
        <f t="shared" si="162"/>
        <v>-0.32343234323432346</v>
      </c>
      <c r="T59" s="284">
        <f t="shared" ref="T59:Z59" si="163">+T147</f>
        <v>-0.4464285714285714</v>
      </c>
      <c r="U59" s="241">
        <f t="shared" si="163"/>
        <v>-0.17647058823529416</v>
      </c>
      <c r="V59" s="241">
        <f t="shared" si="163"/>
        <v>-0.18644067796610164</v>
      </c>
      <c r="W59" s="285">
        <f t="shared" si="163"/>
        <v>5.1282051282051322E-2</v>
      </c>
      <c r="X59" s="25">
        <f t="shared" si="163"/>
        <v>-0.20975609756097557</v>
      </c>
      <c r="Y59" s="284">
        <f t="shared" si="163"/>
        <v>0.32258064516129026</v>
      </c>
      <c r="Z59" s="241">
        <f t="shared" si="163"/>
        <v>-7.1428571428571397E-2</v>
      </c>
      <c r="AA59" s="241">
        <f t="shared" ref="AA59:AH59" si="164">+AA147</f>
        <v>-0.14583333333333337</v>
      </c>
      <c r="AB59" s="285">
        <f t="shared" si="164"/>
        <v>-9.7560975609756073E-2</v>
      </c>
      <c r="AC59" s="25">
        <f t="shared" si="164"/>
        <v>-2.4691358024691357E-2</v>
      </c>
      <c r="AD59" s="284">
        <f t="shared" si="164"/>
        <v>2.4390243902439046E-2</v>
      </c>
      <c r="AE59" s="241">
        <f t="shared" si="164"/>
        <v>-2.5641025641025661E-2</v>
      </c>
      <c r="AF59" s="241">
        <f t="shared" si="164"/>
        <v>2.4390243902439046E-2</v>
      </c>
      <c r="AG59" s="285">
        <f t="shared" si="164"/>
        <v>0</v>
      </c>
      <c r="AH59" s="25">
        <f t="shared" si="164"/>
        <v>6.3291139240506666E-3</v>
      </c>
      <c r="AI59" s="284">
        <f t="shared" ref="AI59:AM59" si="165">+AI147</f>
        <v>-2.3809523809523836E-2</v>
      </c>
      <c r="AJ59" s="241">
        <f t="shared" si="165"/>
        <v>2.6315789473684292E-2</v>
      </c>
      <c r="AK59" s="241">
        <f t="shared" si="165"/>
        <v>4.7619047619047672E-2</v>
      </c>
      <c r="AL59" s="285">
        <f t="shared" si="165"/>
        <v>-2.7027027027026973E-2</v>
      </c>
      <c r="AM59" s="25">
        <f t="shared" si="165"/>
        <v>6.2893081761006275E-3</v>
      </c>
      <c r="AN59" s="284">
        <f t="shared" ref="AN59:AR59" si="166">+AN147</f>
        <v>2.4390243902439046E-2</v>
      </c>
      <c r="AO59" s="241">
        <f t="shared" si="166"/>
        <v>-2.5641025641025661E-2</v>
      </c>
      <c r="AP59" s="241">
        <f t="shared" si="166"/>
        <v>4.5454545454545414E-2</v>
      </c>
      <c r="AQ59" s="285">
        <f t="shared" si="166"/>
        <v>5.555555555555558E-2</v>
      </c>
      <c r="AR59" s="25">
        <f t="shared" si="166"/>
        <v>2.4999999999999911E-2</v>
      </c>
      <c r="AS59" s="284">
        <f t="shared" ref="AS59:AT59" si="167">+AS147</f>
        <v>-9.5238095238095233E-2</v>
      </c>
      <c r="AT59" s="241">
        <f t="shared" si="167"/>
        <v>-7.8947368421052655E-2</v>
      </c>
      <c r="AU59" s="241">
        <f t="shared" ref="AU59:AW59" si="168">+AU147</f>
        <v>-8.6956521739130488E-2</v>
      </c>
      <c r="AV59" s="285">
        <f t="shared" si="168"/>
        <v>2.6315789473684292E-2</v>
      </c>
      <c r="AW59" s="25">
        <f t="shared" si="168"/>
        <v>-6.0975609756097615E-2</v>
      </c>
      <c r="AX59" s="284">
        <f t="shared" si="149"/>
        <v>0.02</v>
      </c>
      <c r="AY59" s="241">
        <f t="shared" si="149"/>
        <v>0.02</v>
      </c>
      <c r="AZ59" s="241">
        <f t="shared" si="149"/>
        <v>0.02</v>
      </c>
      <c r="BA59" s="285">
        <f t="shared" si="149"/>
        <v>0.02</v>
      </c>
      <c r="BB59" s="612">
        <v>0.02</v>
      </c>
      <c r="BC59" s="284">
        <f t="shared" si="150"/>
        <v>0.02</v>
      </c>
      <c r="BD59" s="241">
        <f t="shared" si="151"/>
        <v>0.02</v>
      </c>
      <c r="BE59" s="241">
        <f t="shared" si="152"/>
        <v>0.02</v>
      </c>
      <c r="BF59" s="285">
        <f t="shared" si="153"/>
        <v>0.02</v>
      </c>
      <c r="BG59" s="612">
        <v>0.02</v>
      </c>
      <c r="BH59" s="284">
        <f t="shared" si="154"/>
        <v>0.02</v>
      </c>
      <c r="BI59" s="241">
        <f t="shared" si="155"/>
        <v>0.02</v>
      </c>
      <c r="BJ59" s="241">
        <f t="shared" si="156"/>
        <v>0.02</v>
      </c>
      <c r="BK59" s="285">
        <f t="shared" si="157"/>
        <v>0.02</v>
      </c>
      <c r="BL59" s="612">
        <v>0.02</v>
      </c>
      <c r="BM59" s="284">
        <f t="shared" si="158"/>
        <v>0.02</v>
      </c>
      <c r="BN59" s="241">
        <f t="shared" si="159"/>
        <v>0.02</v>
      </c>
      <c r="BO59" s="241">
        <f t="shared" si="160"/>
        <v>0.02</v>
      </c>
      <c r="BP59" s="285">
        <f t="shared" si="161"/>
        <v>0.02</v>
      </c>
      <c r="BQ59" s="612">
        <f>+BL59</f>
        <v>0.02</v>
      </c>
      <c r="BR59" s="567"/>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row>
    <row r="60" spans="1:99" ht="12.75" customHeight="1">
      <c r="A60" s="1"/>
      <c r="B60" s="1"/>
      <c r="C60" s="618"/>
      <c r="D60" s="1"/>
      <c r="E60" s="600"/>
      <c r="F60" s="251"/>
      <c r="G60" s="251"/>
      <c r="H60" s="601"/>
      <c r="I60" s="26"/>
      <c r="J60" s="600"/>
      <c r="K60" s="251"/>
      <c r="L60" s="251"/>
      <c r="M60" s="601"/>
      <c r="N60" s="26"/>
      <c r="O60" s="600"/>
      <c r="P60" s="251"/>
      <c r="Q60" s="251"/>
      <c r="R60" s="601"/>
      <c r="S60" s="26"/>
      <c r="T60" s="600"/>
      <c r="U60" s="251"/>
      <c r="V60" s="251"/>
      <c r="W60" s="601"/>
      <c r="X60" s="26"/>
      <c r="Y60" s="600"/>
      <c r="Z60" s="251"/>
      <c r="AA60" s="251"/>
      <c r="AB60" s="601"/>
      <c r="AC60" s="26"/>
      <c r="AD60" s="600"/>
      <c r="AE60" s="251"/>
      <c r="AF60" s="251"/>
      <c r="AG60" s="601"/>
      <c r="AH60" s="26"/>
      <c r="AI60" s="600"/>
      <c r="AJ60" s="251"/>
      <c r="AK60" s="251"/>
      <c r="AL60" s="601"/>
      <c r="AM60" s="26"/>
      <c r="AN60" s="600"/>
      <c r="AO60" s="251"/>
      <c r="AP60" s="251"/>
      <c r="AQ60" s="601"/>
      <c r="AR60" s="26"/>
      <c r="AS60" s="600"/>
      <c r="AT60" s="251"/>
      <c r="AU60" s="251"/>
      <c r="AV60" s="601"/>
      <c r="AW60" s="26"/>
      <c r="AX60" s="600"/>
      <c r="AY60" s="251"/>
      <c r="AZ60" s="251"/>
      <c r="BA60" s="601"/>
      <c r="BB60" s="26"/>
      <c r="BC60" s="600"/>
      <c r="BD60" s="251"/>
      <c r="BE60" s="251"/>
      <c r="BF60" s="601"/>
      <c r="BG60" s="26"/>
      <c r="BH60" s="600"/>
      <c r="BI60" s="251"/>
      <c r="BJ60" s="251"/>
      <c r="BK60" s="601"/>
      <c r="BL60" s="26"/>
      <c r="BM60" s="600"/>
      <c r="BN60" s="251"/>
      <c r="BO60" s="251"/>
      <c r="BP60" s="601"/>
      <c r="BQ60" s="26"/>
      <c r="BR60" s="567"/>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row>
    <row r="61" spans="1:99" ht="12.75" customHeight="1">
      <c r="A61" s="1"/>
      <c r="B61" s="1"/>
      <c r="C61" s="565" t="s">
        <v>229</v>
      </c>
      <c r="D61" s="1"/>
      <c r="E61" s="284"/>
      <c r="F61" s="241"/>
      <c r="G61" s="241"/>
      <c r="H61" s="285"/>
      <c r="I61" s="25">
        <f t="shared" ref="I61:AH61" si="169">I33/(I31-I22)</f>
        <v>0.29494949494949496</v>
      </c>
      <c r="J61" s="284">
        <f t="shared" si="169"/>
        <v>0.34323432343234322</v>
      </c>
      <c r="K61" s="241">
        <f t="shared" si="169"/>
        <v>0.28292682926829266</v>
      </c>
      <c r="L61" s="241">
        <f t="shared" si="169"/>
        <v>0.29775280898876405</v>
      </c>
      <c r="M61" s="285">
        <f t="shared" si="169"/>
        <v>0.48648648648648651</v>
      </c>
      <c r="N61" s="25">
        <f t="shared" si="169"/>
        <v>0.32409381663113007</v>
      </c>
      <c r="O61" s="284">
        <f t="shared" si="169"/>
        <v>0.3146067415730337</v>
      </c>
      <c r="P61" s="241">
        <f t="shared" si="169"/>
        <v>0.3671875</v>
      </c>
      <c r="Q61" s="241">
        <f t="shared" si="169"/>
        <v>0.14166666666666666</v>
      </c>
      <c r="R61" s="285">
        <f t="shared" si="169"/>
        <v>0.26</v>
      </c>
      <c r="S61" s="25">
        <f t="shared" si="169"/>
        <v>0.27756653992395436</v>
      </c>
      <c r="T61" s="284">
        <f t="shared" si="169"/>
        <v>0.34693877551020408</v>
      </c>
      <c r="U61" s="241">
        <f t="shared" si="169"/>
        <v>0.34710743801652894</v>
      </c>
      <c r="V61" s="241">
        <f t="shared" si="169"/>
        <v>0.17006802721088449</v>
      </c>
      <c r="W61" s="285">
        <f t="shared" si="169"/>
        <v>0.10112359550561785</v>
      </c>
      <c r="X61" s="25">
        <f t="shared" si="169"/>
        <v>0.2519841269841272</v>
      </c>
      <c r="Y61" s="284">
        <f t="shared" si="169"/>
        <v>0.3125</v>
      </c>
      <c r="Z61" s="241">
        <f t="shared" si="169"/>
        <v>0.29357798165137616</v>
      </c>
      <c r="AA61" s="241">
        <f t="shared" si="169"/>
        <v>0.27777777777777779</v>
      </c>
      <c r="AB61" s="285">
        <f t="shared" si="169"/>
        <v>0.28169014084507021</v>
      </c>
      <c r="AC61" s="25">
        <f t="shared" si="169"/>
        <v>0.29294755877034356</v>
      </c>
      <c r="AD61" s="284">
        <f t="shared" si="169"/>
        <v>0.27868852459016391</v>
      </c>
      <c r="AE61" s="241">
        <f t="shared" si="169"/>
        <v>0.21698113207547171</v>
      </c>
      <c r="AF61" s="241">
        <f t="shared" si="169"/>
        <v>0.24038461538461539</v>
      </c>
      <c r="AG61" s="285">
        <f t="shared" si="169"/>
        <v>0.25</v>
      </c>
      <c r="AH61" s="25">
        <f t="shared" si="169"/>
        <v>0.24782608695652175</v>
      </c>
      <c r="AI61" s="284">
        <f t="shared" ref="AI61:AM61" si="170">AI33/(AI31-AI22)</f>
        <v>0.29743589743589743</v>
      </c>
      <c r="AJ61" s="241">
        <f t="shared" si="170"/>
        <v>0.28125</v>
      </c>
      <c r="AK61" s="241">
        <f t="shared" si="170"/>
        <v>0.29365079365079366</v>
      </c>
      <c r="AL61" s="285">
        <f t="shared" si="170"/>
        <v>0.21212121212121188</v>
      </c>
      <c r="AM61" s="25">
        <f t="shared" si="170"/>
        <v>0.27713178294573643</v>
      </c>
      <c r="AN61" s="284">
        <f t="shared" ref="AN61:AR61" si="171">AN33/(AN31-AN22)</f>
        <v>0.26060606060606062</v>
      </c>
      <c r="AO61" s="241">
        <f t="shared" si="171"/>
        <v>0.19008264462809918</v>
      </c>
      <c r="AP61" s="241">
        <f t="shared" si="171"/>
        <v>0.31034482758620691</v>
      </c>
      <c r="AQ61" s="285">
        <f t="shared" si="171"/>
        <v>0.24369747899159663</v>
      </c>
      <c r="AR61" s="25">
        <f t="shared" si="171"/>
        <v>0.25734024179620035</v>
      </c>
      <c r="AS61" s="284">
        <f t="shared" ref="AS61:AT61" si="172">AS33/(AS31-AS22)</f>
        <v>0.2236024844720497</v>
      </c>
      <c r="AT61" s="241">
        <f t="shared" si="172"/>
        <v>0.18867924528301888</v>
      </c>
      <c r="AU61" s="241">
        <f t="shared" ref="AU61:AW61" si="173">AU33/(AU31-AU22)</f>
        <v>0.20289855072463769</v>
      </c>
      <c r="AV61" s="285">
        <f t="shared" si="173"/>
        <v>0.16129032258064502</v>
      </c>
      <c r="AW61" s="25">
        <f t="shared" si="173"/>
        <v>0.19659735349716445</v>
      </c>
      <c r="AX61" s="284">
        <f>+AY61</f>
        <v>0.21</v>
      </c>
      <c r="AY61" s="241">
        <f>+AZ61</f>
        <v>0.21</v>
      </c>
      <c r="AZ61" s="241">
        <f>+BA61</f>
        <v>0.21</v>
      </c>
      <c r="BA61" s="285">
        <f>+BB61</f>
        <v>0.21</v>
      </c>
      <c r="BB61" s="612">
        <v>0.21</v>
      </c>
      <c r="BC61" s="284">
        <f>+BD61</f>
        <v>0.21</v>
      </c>
      <c r="BD61" s="241">
        <f>+BE61</f>
        <v>0.21</v>
      </c>
      <c r="BE61" s="241">
        <f>+BF61</f>
        <v>0.21</v>
      </c>
      <c r="BF61" s="285">
        <f>+BG61</f>
        <v>0.21</v>
      </c>
      <c r="BG61" s="612">
        <v>0.21</v>
      </c>
      <c r="BH61" s="284">
        <f>+BI61</f>
        <v>0.21</v>
      </c>
      <c r="BI61" s="241">
        <f>+BJ61</f>
        <v>0.21</v>
      </c>
      <c r="BJ61" s="241">
        <f>+BK61</f>
        <v>0.21</v>
      </c>
      <c r="BK61" s="285">
        <f>+BL61</f>
        <v>0.21</v>
      </c>
      <c r="BL61" s="612">
        <v>0.21</v>
      </c>
      <c r="BM61" s="284">
        <f>+BN61</f>
        <v>0.21</v>
      </c>
      <c r="BN61" s="241">
        <f>+BO61</f>
        <v>0.21</v>
      </c>
      <c r="BO61" s="241">
        <f>+BP61</f>
        <v>0.21</v>
      </c>
      <c r="BP61" s="285">
        <f>+BQ61</f>
        <v>0.21</v>
      </c>
      <c r="BQ61" s="612">
        <v>0.21</v>
      </c>
      <c r="BR61" s="567"/>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row>
    <row r="62" spans="1:99" ht="12.75" customHeight="1">
      <c r="A62" s="1"/>
      <c r="B62" s="1"/>
      <c r="C62" s="565" t="s">
        <v>230</v>
      </c>
      <c r="D62" s="1"/>
      <c r="E62" s="284">
        <f t="shared" ref="E62:AH62" si="174">E33/E31</f>
        <v>0.2848101265822785</v>
      </c>
      <c r="F62" s="241">
        <f t="shared" si="174"/>
        <v>0.30392156862745096</v>
      </c>
      <c r="G62" s="241">
        <f t="shared" si="174"/>
        <v>0.24590163934426229</v>
      </c>
      <c r="H62" s="285">
        <f t="shared" si="174"/>
        <v>0.34188034188034189</v>
      </c>
      <c r="I62" s="25">
        <f t="shared" si="174"/>
        <v>0.29258517034068138</v>
      </c>
      <c r="J62" s="284">
        <f t="shared" si="174"/>
        <v>0.33986928104575165</v>
      </c>
      <c r="K62" s="241">
        <f t="shared" si="174"/>
        <v>0.27884615384615385</v>
      </c>
      <c r="L62" s="241">
        <f t="shared" si="174"/>
        <v>0.29444444444444445</v>
      </c>
      <c r="M62" s="285">
        <f t="shared" si="174"/>
        <v>0.46153846153846156</v>
      </c>
      <c r="N62" s="25">
        <f t="shared" si="174"/>
        <v>0.31932773109243695</v>
      </c>
      <c r="O62" s="284">
        <f t="shared" si="174"/>
        <v>0.30769230769230771</v>
      </c>
      <c r="P62" s="241">
        <f t="shared" si="174"/>
        <v>0.36153846153846153</v>
      </c>
      <c r="Q62" s="241">
        <f t="shared" si="174"/>
        <v>0.13934426229508196</v>
      </c>
      <c r="R62" s="285">
        <f t="shared" si="174"/>
        <v>0.25742574257425743</v>
      </c>
      <c r="S62" s="25">
        <f t="shared" si="174"/>
        <v>0.27289719626168224</v>
      </c>
      <c r="T62" s="284">
        <f t="shared" si="174"/>
        <v>0.34459459459459457</v>
      </c>
      <c r="U62" s="241">
        <f t="shared" si="174"/>
        <v>0.34426229508196721</v>
      </c>
      <c r="V62" s="241">
        <f t="shared" si="174"/>
        <v>0.16891891891891905</v>
      </c>
      <c r="W62" s="285">
        <f t="shared" si="174"/>
        <v>9.9999999999999867E-2</v>
      </c>
      <c r="X62" s="25">
        <f t="shared" si="174"/>
        <v>0.25000000000000022</v>
      </c>
      <c r="Y62" s="284">
        <f t="shared" si="174"/>
        <v>0.31073446327683618</v>
      </c>
      <c r="Z62" s="241">
        <f t="shared" si="174"/>
        <v>0.29090909090909089</v>
      </c>
      <c r="AA62" s="241">
        <f t="shared" si="174"/>
        <v>0.27559055118110237</v>
      </c>
      <c r="AB62" s="285">
        <f t="shared" si="174"/>
        <v>0.27972027972027952</v>
      </c>
      <c r="AC62" s="25">
        <f t="shared" si="174"/>
        <v>0.29084380610412924</v>
      </c>
      <c r="AD62" s="284">
        <f t="shared" si="174"/>
        <v>0.27642276422764228</v>
      </c>
      <c r="AE62" s="241">
        <f t="shared" si="174"/>
        <v>0.21495327102803738</v>
      </c>
      <c r="AF62" s="241">
        <f t="shared" si="174"/>
        <v>0.23584905660377359</v>
      </c>
      <c r="AG62" s="285">
        <f t="shared" si="174"/>
        <v>0.24615384615384617</v>
      </c>
      <c r="AH62" s="25">
        <f t="shared" si="174"/>
        <v>0.24463519313304721</v>
      </c>
      <c r="AI62" s="284">
        <f t="shared" ref="AI62:AM62" si="175">AI33/AI31</f>
        <v>0.29441624365482233</v>
      </c>
      <c r="AJ62" s="241">
        <f t="shared" si="175"/>
        <v>0.27835051546391754</v>
      </c>
      <c r="AK62" s="241">
        <f t="shared" si="175"/>
        <v>0.29133858267716534</v>
      </c>
      <c r="AL62" s="285">
        <f t="shared" si="175"/>
        <v>0.20999999999999977</v>
      </c>
      <c r="AM62" s="25">
        <f t="shared" si="175"/>
        <v>0.27447216890595011</v>
      </c>
      <c r="AN62" s="284">
        <f t="shared" ref="AN62:AR62" si="176">AN33/AN31</f>
        <v>0.25748502994011974</v>
      </c>
      <c r="AO62" s="241">
        <f t="shared" si="176"/>
        <v>0.18699186991869918</v>
      </c>
      <c r="AP62" s="241">
        <f t="shared" si="176"/>
        <v>0.30681818181818182</v>
      </c>
      <c r="AQ62" s="285">
        <f t="shared" si="176"/>
        <v>0.23966942148760331</v>
      </c>
      <c r="AR62" s="25">
        <f t="shared" si="176"/>
        <v>0.25383304940374785</v>
      </c>
      <c r="AS62" s="284">
        <f t="shared" ref="AS62:AT62" si="177">AS33/AS31</f>
        <v>0.22085889570552147</v>
      </c>
      <c r="AT62" s="241">
        <f t="shared" si="177"/>
        <v>0.18518518518518517</v>
      </c>
      <c r="AU62" s="241">
        <f t="shared" ref="AU62:AW62" si="178">AU33/AU31</f>
        <v>0.2</v>
      </c>
      <c r="AV62" s="285">
        <f t="shared" si="178"/>
        <v>0.15748031496062978</v>
      </c>
      <c r="AW62" s="25">
        <f t="shared" si="178"/>
        <v>0.19330855018587362</v>
      </c>
      <c r="AX62" s="284">
        <f t="shared" ref="AX62:BL62" si="179">AX33/AX31</f>
        <v>0.20597403485754606</v>
      </c>
      <c r="AY62" s="241">
        <f t="shared" ca="1" si="179"/>
        <v>0.20395817394058771</v>
      </c>
      <c r="AZ62" s="241">
        <f t="shared" ca="1" si="179"/>
        <v>0.2048221592598144</v>
      </c>
      <c r="BA62" s="285">
        <f t="shared" ca="1" si="179"/>
        <v>0.20451359748196976</v>
      </c>
      <c r="BB62" s="25">
        <f t="shared" ca="1" si="179"/>
        <v>0.20493221853536442</v>
      </c>
      <c r="BC62" s="284">
        <f t="shared" ca="1" si="179"/>
        <v>0.20603092009351087</v>
      </c>
      <c r="BD62" s="241">
        <f t="shared" ca="1" si="179"/>
        <v>0.20401968649317423</v>
      </c>
      <c r="BE62" s="241">
        <f t="shared" ca="1" si="179"/>
        <v>0.2048931204077559</v>
      </c>
      <c r="BF62" s="285">
        <f t="shared" ca="1" si="179"/>
        <v>0.20464451791667368</v>
      </c>
      <c r="BG62" s="25">
        <f t="shared" ca="1" si="179"/>
        <v>0.20501061315834068</v>
      </c>
      <c r="BH62" s="284">
        <f t="shared" ca="1" si="179"/>
        <v>0.20650271411975379</v>
      </c>
      <c r="BI62" s="241">
        <f t="shared" ca="1" si="179"/>
        <v>0.20488020427980691</v>
      </c>
      <c r="BJ62" s="241">
        <f t="shared" ca="1" si="179"/>
        <v>0.20559192323174885</v>
      </c>
      <c r="BK62" s="285">
        <f t="shared" ca="1" si="179"/>
        <v>0.20542301733376397</v>
      </c>
      <c r="BL62" s="25">
        <f t="shared" ca="1" si="179"/>
        <v>0.20568312946458217</v>
      </c>
      <c r="BM62" s="284">
        <f t="shared" ref="BM62:BQ62" ca="1" si="180">BM33/BM31</f>
        <v>0.20665858351369878</v>
      </c>
      <c r="BN62" s="241">
        <f t="shared" ca="1" si="180"/>
        <v>0.20519559018033318</v>
      </c>
      <c r="BO62" s="241">
        <f t="shared" ca="1" si="180"/>
        <v>0.20582157153726099</v>
      </c>
      <c r="BP62" s="285">
        <f t="shared" ca="1" si="180"/>
        <v>0.20568503988053949</v>
      </c>
      <c r="BQ62" s="25">
        <f t="shared" ca="1" si="180"/>
        <v>0.20591207973542591</v>
      </c>
      <c r="BR62" s="567"/>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row>
    <row r="63" spans="1:99" ht="12.75" customHeight="1">
      <c r="A63" s="1"/>
      <c r="B63" s="1"/>
      <c r="C63" s="618"/>
      <c r="D63" s="1"/>
      <c r="E63" s="600"/>
      <c r="F63" s="251"/>
      <c r="G63" s="251"/>
      <c r="H63" s="601"/>
      <c r="I63" s="26"/>
      <c r="J63" s="600"/>
      <c r="K63" s="251"/>
      <c r="L63" s="251"/>
      <c r="M63" s="601"/>
      <c r="N63" s="26"/>
      <c r="O63" s="600"/>
      <c r="P63" s="251"/>
      <c r="Q63" s="251"/>
      <c r="R63" s="601"/>
      <c r="S63" s="26"/>
      <c r="T63" s="600"/>
      <c r="U63" s="251"/>
      <c r="V63" s="251"/>
      <c r="W63" s="601"/>
      <c r="X63" s="26"/>
      <c r="Y63" s="600"/>
      <c r="Z63" s="251"/>
      <c r="AA63" s="251"/>
      <c r="AB63" s="601"/>
      <c r="AC63" s="26"/>
      <c r="AD63" s="600"/>
      <c r="AE63" s="251"/>
      <c r="AF63" s="251"/>
      <c r="AG63" s="601"/>
      <c r="AH63" s="26"/>
      <c r="AI63" s="600"/>
      <c r="AJ63" s="251"/>
      <c r="AK63" s="251"/>
      <c r="AL63" s="601"/>
      <c r="AM63" s="26"/>
      <c r="AN63" s="600"/>
      <c r="AO63" s="251"/>
      <c r="AP63" s="251"/>
      <c r="AQ63" s="601"/>
      <c r="AR63" s="26"/>
      <c r="AS63" s="600"/>
      <c r="AT63" s="251"/>
      <c r="AU63" s="251"/>
      <c r="AV63" s="601"/>
      <c r="AW63" s="26"/>
      <c r="AX63" s="600"/>
      <c r="AY63" s="251"/>
      <c r="AZ63" s="251"/>
      <c r="BA63" s="601"/>
      <c r="BB63" s="1547"/>
      <c r="BC63" s="600"/>
      <c r="BD63" s="251"/>
      <c r="BE63" s="251"/>
      <c r="BF63" s="601"/>
      <c r="BG63" s="1547"/>
      <c r="BH63" s="600"/>
      <c r="BI63" s="251"/>
      <c r="BJ63" s="251"/>
      <c r="BK63" s="601"/>
      <c r="BL63" s="1547"/>
      <c r="BM63" s="600"/>
      <c r="BN63" s="251"/>
      <c r="BO63" s="251"/>
      <c r="BP63" s="601"/>
      <c r="BQ63" s="1547"/>
      <c r="BR63" s="567"/>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row>
    <row r="64" spans="1:99" ht="12.75" customHeight="1">
      <c r="A64" s="1"/>
      <c r="B64" s="1"/>
      <c r="C64" s="618" t="s">
        <v>621</v>
      </c>
      <c r="D64" s="1"/>
      <c r="E64" s="600"/>
      <c r="F64" s="251"/>
      <c r="G64" s="251"/>
      <c r="H64" s="601"/>
      <c r="I64" s="25">
        <f t="shared" ref="I64:S64" si="181">+I271</f>
        <v>0.105</v>
      </c>
      <c r="J64" s="284">
        <f t="shared" si="181"/>
        <v>0.105</v>
      </c>
      <c r="K64" s="241">
        <f t="shared" si="181"/>
        <v>0.105</v>
      </c>
      <c r="L64" s="241">
        <f t="shared" si="181"/>
        <v>0.105</v>
      </c>
      <c r="M64" s="285">
        <f t="shared" si="181"/>
        <v>0.105</v>
      </c>
      <c r="N64" s="25">
        <f t="shared" si="181"/>
        <v>0.105</v>
      </c>
      <c r="O64" s="284">
        <f t="shared" si="181"/>
        <v>0.105</v>
      </c>
      <c r="P64" s="241">
        <f t="shared" si="181"/>
        <v>0.105</v>
      </c>
      <c r="Q64" s="241">
        <f t="shared" si="181"/>
        <v>0.105</v>
      </c>
      <c r="R64" s="285">
        <f t="shared" si="181"/>
        <v>0.105</v>
      </c>
      <c r="S64" s="25">
        <f t="shared" si="181"/>
        <v>0.105</v>
      </c>
      <c r="T64" s="284">
        <f t="shared" ref="T64:Z64" si="182">+T271</f>
        <v>0.105</v>
      </c>
      <c r="U64" s="241">
        <f t="shared" si="182"/>
        <v>0.105</v>
      </c>
      <c r="V64" s="241">
        <f t="shared" si="182"/>
        <v>0.105</v>
      </c>
      <c r="W64" s="285">
        <f t="shared" si="182"/>
        <v>0.105</v>
      </c>
      <c r="X64" s="25">
        <f t="shared" si="182"/>
        <v>0.105</v>
      </c>
      <c r="Y64" s="284">
        <f t="shared" si="182"/>
        <v>0.105</v>
      </c>
      <c r="Z64" s="241">
        <f t="shared" si="182"/>
        <v>0.105</v>
      </c>
      <c r="AA64" s="241">
        <f t="shared" ref="AA64:AH64" si="183">+AA271</f>
        <v>0.105</v>
      </c>
      <c r="AB64" s="285">
        <f t="shared" si="183"/>
        <v>0.105</v>
      </c>
      <c r="AC64" s="25">
        <f t="shared" si="183"/>
        <v>0.105</v>
      </c>
      <c r="AD64" s="284">
        <f t="shared" si="183"/>
        <v>0.105</v>
      </c>
      <c r="AE64" s="241">
        <f t="shared" si="183"/>
        <v>0.105</v>
      </c>
      <c r="AF64" s="241">
        <f t="shared" si="183"/>
        <v>0.105</v>
      </c>
      <c r="AG64" s="285">
        <f t="shared" si="183"/>
        <v>0.105</v>
      </c>
      <c r="AH64" s="25">
        <f t="shared" si="183"/>
        <v>0.105</v>
      </c>
      <c r="AI64" s="284">
        <f t="shared" ref="AI64:AM64" si="184">+AI271</f>
        <v>0.1095</v>
      </c>
      <c r="AJ64" s="241">
        <f t="shared" si="184"/>
        <v>0.1095</v>
      </c>
      <c r="AK64" s="241">
        <f t="shared" si="184"/>
        <v>0.1095</v>
      </c>
      <c r="AL64" s="285">
        <f t="shared" si="184"/>
        <v>0.1095</v>
      </c>
      <c r="AM64" s="25">
        <f t="shared" si="184"/>
        <v>0.1095</v>
      </c>
      <c r="AN64" s="284">
        <f t="shared" ref="AN64:AR64" si="185">+AN271</f>
        <v>0.1095</v>
      </c>
      <c r="AO64" s="241">
        <f t="shared" si="185"/>
        <v>0.1095</v>
      </c>
      <c r="AP64" s="241">
        <f t="shared" si="185"/>
        <v>0.1095</v>
      </c>
      <c r="AQ64" s="285">
        <f t="shared" si="185"/>
        <v>0.1095</v>
      </c>
      <c r="AR64" s="25">
        <f t="shared" si="185"/>
        <v>0.1095</v>
      </c>
      <c r="AS64" s="284">
        <f t="shared" ref="AS64:AT64" si="186">+AS271</f>
        <v>0.1095</v>
      </c>
      <c r="AT64" s="241">
        <f t="shared" si="186"/>
        <v>0.1095</v>
      </c>
      <c r="AU64" s="241">
        <f t="shared" ref="AU64:AW64" si="187">+AU271</f>
        <v>0.1095</v>
      </c>
      <c r="AV64" s="285">
        <f t="shared" si="187"/>
        <v>0.1095</v>
      </c>
      <c r="AW64" s="25">
        <f t="shared" si="187"/>
        <v>0.1095</v>
      </c>
      <c r="AX64" s="284">
        <f t="shared" ref="AX64:BA64" si="188">+AX271</f>
        <v>0.1095</v>
      </c>
      <c r="AY64" s="241">
        <f t="shared" si="188"/>
        <v>0.1095</v>
      </c>
      <c r="AZ64" s="241">
        <f t="shared" si="188"/>
        <v>0.1095</v>
      </c>
      <c r="BA64" s="285">
        <f t="shared" si="188"/>
        <v>0.1095</v>
      </c>
      <c r="BB64" s="25">
        <f>+BB271</f>
        <v>0.1095</v>
      </c>
      <c r="BC64" s="284">
        <f t="shared" ref="BC64:BF64" si="189">+BC271</f>
        <v>0.1095</v>
      </c>
      <c r="BD64" s="241">
        <f t="shared" si="189"/>
        <v>0.1095</v>
      </c>
      <c r="BE64" s="241">
        <f t="shared" si="189"/>
        <v>0.1095</v>
      </c>
      <c r="BF64" s="285">
        <f t="shared" si="189"/>
        <v>0.1095</v>
      </c>
      <c r="BG64" s="25">
        <f>+BG271</f>
        <v>0.1095</v>
      </c>
      <c r="BH64" s="284">
        <f t="shared" ref="BH64:BK64" si="190">+BH271</f>
        <v>0.1095</v>
      </c>
      <c r="BI64" s="241">
        <f t="shared" si="190"/>
        <v>0.1095</v>
      </c>
      <c r="BJ64" s="241">
        <f t="shared" si="190"/>
        <v>0.1095</v>
      </c>
      <c r="BK64" s="285">
        <f t="shared" si="190"/>
        <v>0.1095</v>
      </c>
      <c r="BL64" s="25">
        <f>+BL271</f>
        <v>0.1095</v>
      </c>
      <c r="BM64" s="284">
        <f t="shared" ref="BM64:BP64" si="191">+BM271</f>
        <v>0.1095</v>
      </c>
      <c r="BN64" s="241">
        <f t="shared" si="191"/>
        <v>0.1095</v>
      </c>
      <c r="BO64" s="241">
        <f t="shared" si="191"/>
        <v>0.1095</v>
      </c>
      <c r="BP64" s="285">
        <f t="shared" si="191"/>
        <v>0.1095</v>
      </c>
      <c r="BQ64" s="25">
        <f>+BQ271</f>
        <v>0.1095</v>
      </c>
      <c r="BR64" s="567"/>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row>
    <row r="65" spans="1:99" ht="12.75" customHeight="1">
      <c r="A65" s="1"/>
      <c r="B65" s="1"/>
      <c r="C65" s="618" t="s">
        <v>127</v>
      </c>
      <c r="D65" s="1"/>
      <c r="E65" s="600"/>
      <c r="F65" s="251"/>
      <c r="G65" s="251"/>
      <c r="H65" s="601"/>
      <c r="I65" s="25">
        <f>+I272</f>
        <v>0.19282522660538745</v>
      </c>
      <c r="J65" s="284"/>
      <c r="K65" s="241"/>
      <c r="L65" s="241"/>
      <c r="M65" s="285"/>
      <c r="N65" s="25">
        <f>+N272</f>
        <v>0.14651994404161595</v>
      </c>
      <c r="O65" s="284"/>
      <c r="P65" s="241"/>
      <c r="Q65" s="241"/>
      <c r="R65" s="285"/>
      <c r="S65" s="25">
        <f>+S272</f>
        <v>0.1391815447094579</v>
      </c>
      <c r="T65" s="284"/>
      <c r="U65" s="241"/>
      <c r="V65" s="241"/>
      <c r="W65" s="285"/>
      <c r="X65" s="25">
        <f>+X272</f>
        <v>0.13461980741420379</v>
      </c>
      <c r="Y65" s="284"/>
      <c r="Z65" s="241"/>
      <c r="AA65" s="241"/>
      <c r="AB65" s="285"/>
      <c r="AC65" s="25">
        <f>+AC272</f>
        <v>0.13322450595456423</v>
      </c>
      <c r="AD65" s="284"/>
      <c r="AE65" s="241"/>
      <c r="AF65" s="241"/>
      <c r="AG65" s="285"/>
      <c r="AH65" s="25">
        <f>+AH272</f>
        <v>0.11303350456195776</v>
      </c>
      <c r="AI65" s="284"/>
      <c r="AJ65" s="241"/>
      <c r="AK65" s="241"/>
      <c r="AL65" s="285"/>
      <c r="AM65" s="25">
        <f>+AM272</f>
        <v>0.12026517838860064</v>
      </c>
      <c r="AN65" s="284"/>
      <c r="AO65" s="241"/>
      <c r="AP65" s="241"/>
      <c r="AQ65" s="285"/>
      <c r="AR65" s="25">
        <f>+AR272</f>
        <v>0.13167685109346497</v>
      </c>
      <c r="AS65" s="284"/>
      <c r="AT65" s="241"/>
      <c r="AU65" s="241"/>
      <c r="AV65" s="285"/>
      <c r="AW65" s="25">
        <f>+AW272</f>
        <v>0.12484413831058828</v>
      </c>
      <c r="AX65" s="284"/>
      <c r="AY65" s="241"/>
      <c r="AZ65" s="241"/>
      <c r="BA65" s="285"/>
      <c r="BB65" s="25">
        <f ca="1">+BB272</f>
        <v>0.1170434957192505</v>
      </c>
      <c r="BC65" s="284"/>
      <c r="BD65" s="241"/>
      <c r="BE65" s="241"/>
      <c r="BF65" s="285"/>
      <c r="BG65" s="25">
        <f ca="1">+BG272</f>
        <v>0.11757323907339734</v>
      </c>
      <c r="BH65" s="284"/>
      <c r="BI65" s="241"/>
      <c r="BJ65" s="241"/>
      <c r="BK65" s="285"/>
      <c r="BL65" s="25">
        <f ca="1">+BL272</f>
        <v>0.12030979488105117</v>
      </c>
      <c r="BM65" s="284"/>
      <c r="BN65" s="241"/>
      <c r="BO65" s="241"/>
      <c r="BP65" s="285"/>
      <c r="BQ65" s="25">
        <f ca="1">+BQ272</f>
        <v>0.11953099930461737</v>
      </c>
      <c r="BR65" s="567"/>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row>
    <row r="66" spans="1:99" ht="12.75" customHeight="1">
      <c r="A66" s="1"/>
      <c r="B66" s="1"/>
      <c r="C66" s="619" t="s">
        <v>622</v>
      </c>
      <c r="D66" s="381"/>
      <c r="E66" s="620"/>
      <c r="F66" s="680"/>
      <c r="G66" s="680"/>
      <c r="H66" s="621"/>
      <c r="I66" s="771">
        <f>+I273</f>
        <v>0.19064641048555259</v>
      </c>
      <c r="J66" s="622"/>
      <c r="K66" s="772"/>
      <c r="L66" s="772"/>
      <c r="M66" s="623"/>
      <c r="N66" s="771">
        <f>+N273</f>
        <v>0.14363081838445732</v>
      </c>
      <c r="O66" s="622"/>
      <c r="P66" s="772"/>
      <c r="Q66" s="772"/>
      <c r="R66" s="623"/>
      <c r="S66" s="771">
        <f>+S273</f>
        <v>0.13595310681671274</v>
      </c>
      <c r="T66" s="622"/>
      <c r="U66" s="772"/>
      <c r="V66" s="772"/>
      <c r="W66" s="623"/>
      <c r="X66" s="771">
        <f>+X273</f>
        <v>0.13322838821612418</v>
      </c>
      <c r="Y66" s="622"/>
      <c r="Z66" s="772"/>
      <c r="AA66" s="772"/>
      <c r="AB66" s="623"/>
      <c r="AC66" s="771">
        <f>+AC273</f>
        <v>0.13186853133925058</v>
      </c>
      <c r="AD66" s="622"/>
      <c r="AE66" s="772"/>
      <c r="AF66" s="772"/>
      <c r="AG66" s="623"/>
      <c r="AH66" s="771">
        <f>+AH273</f>
        <v>0.11111225519263271</v>
      </c>
      <c r="AI66" s="622"/>
      <c r="AJ66" s="772"/>
      <c r="AK66" s="772"/>
      <c r="AL66" s="623"/>
      <c r="AM66" s="771">
        <f>+AM273</f>
        <v>0.11868274183085589</v>
      </c>
      <c r="AN66" s="622"/>
      <c r="AO66" s="772"/>
      <c r="AP66" s="772"/>
      <c r="AQ66" s="623"/>
      <c r="AR66" s="771">
        <f>+AR273</f>
        <v>0.12930429521790704</v>
      </c>
      <c r="AS66" s="622"/>
      <c r="AT66" s="772"/>
      <c r="AU66" s="772"/>
      <c r="AV66" s="623"/>
      <c r="AW66" s="771">
        <f>+AW273</f>
        <v>0.12221276303003724</v>
      </c>
      <c r="AX66" s="622">
        <f>+AX273</f>
        <v>0</v>
      </c>
      <c r="AY66" s="772">
        <f>+AY273</f>
        <v>0</v>
      </c>
      <c r="AZ66" s="772">
        <f>+AZ273</f>
        <v>0</v>
      </c>
      <c r="BA66" s="623">
        <f>+BA273</f>
        <v>0</v>
      </c>
      <c r="BB66" s="771">
        <f ca="1">+BB273</f>
        <v>0.11349093333166772</v>
      </c>
      <c r="BC66" s="622">
        <f>+BC273</f>
        <v>0</v>
      </c>
      <c r="BD66" s="772">
        <f>+BD273</f>
        <v>0</v>
      </c>
      <c r="BE66" s="772">
        <f>+BE273</f>
        <v>0</v>
      </c>
      <c r="BF66" s="623">
        <f>+BF273</f>
        <v>0</v>
      </c>
      <c r="BG66" s="771">
        <f ca="1">+BG273</f>
        <v>0.11405945528569887</v>
      </c>
      <c r="BH66" s="622">
        <f>+BH273</f>
        <v>0</v>
      </c>
      <c r="BI66" s="772">
        <f>+BI273</f>
        <v>0</v>
      </c>
      <c r="BJ66" s="772">
        <f>+BJ273</f>
        <v>0</v>
      </c>
      <c r="BK66" s="623">
        <f>+BK273</f>
        <v>0</v>
      </c>
      <c r="BL66" s="771">
        <f ca="1">+BL273</f>
        <v>0.11719623710395521</v>
      </c>
      <c r="BM66" s="622">
        <f>+BM273</f>
        <v>0</v>
      </c>
      <c r="BN66" s="772">
        <f>+BN273</f>
        <v>0</v>
      </c>
      <c r="BO66" s="772">
        <f>+BO273</f>
        <v>0</v>
      </c>
      <c r="BP66" s="623">
        <f>+BP273</f>
        <v>0</v>
      </c>
      <c r="BQ66" s="771">
        <f ca="1">+BQ273</f>
        <v>0.11660081402488555</v>
      </c>
      <c r="BR66" s="567"/>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row>
    <row r="67" spans="1:99" ht="12.75" customHeight="1">
      <c r="A67" s="1"/>
      <c r="B67" s="1"/>
      <c r="C67" s="32"/>
      <c r="D67" s="1"/>
      <c r="E67" s="600"/>
      <c r="F67" s="251"/>
      <c r="G67" s="251"/>
      <c r="H67" s="601"/>
      <c r="I67" s="26"/>
      <c r="J67" s="600"/>
      <c r="K67" s="251"/>
      <c r="L67" s="251"/>
      <c r="M67" s="601"/>
      <c r="N67" s="26"/>
      <c r="O67" s="600"/>
      <c r="P67" s="251"/>
      <c r="Q67" s="251"/>
      <c r="R67" s="601"/>
      <c r="S67" s="26"/>
      <c r="T67" s="600"/>
      <c r="U67" s="251"/>
      <c r="V67" s="251"/>
      <c r="W67" s="601"/>
      <c r="X67" s="26"/>
      <c r="Y67" s="600"/>
      <c r="Z67" s="251"/>
      <c r="AA67" s="251"/>
      <c r="AB67" s="601"/>
      <c r="AC67" s="26"/>
      <c r="AD67" s="600"/>
      <c r="AE67" s="251"/>
      <c r="AF67" s="251"/>
      <c r="AG67" s="601"/>
      <c r="AH67" s="26"/>
      <c r="AI67" s="600"/>
      <c r="AJ67" s="251"/>
      <c r="AK67" s="251"/>
      <c r="AL67" s="601"/>
      <c r="AM67" s="26"/>
      <c r="AN67" s="600"/>
      <c r="AO67" s="251"/>
      <c r="AP67" s="251"/>
      <c r="AQ67" s="601"/>
      <c r="AR67" s="26"/>
      <c r="AS67" s="600"/>
      <c r="AT67" s="251"/>
      <c r="AU67" s="251"/>
      <c r="AV67" s="601"/>
      <c r="AW67" s="26"/>
      <c r="AX67" s="955"/>
      <c r="AY67" s="956"/>
      <c r="AZ67" s="956"/>
      <c r="BA67" s="957"/>
      <c r="BB67" s="26"/>
      <c r="BC67" s="1956"/>
      <c r="BD67" s="1957"/>
      <c r="BE67" s="1957"/>
      <c r="BF67" s="1958"/>
      <c r="BG67" s="26"/>
      <c r="BH67" s="1956"/>
      <c r="BI67" s="1957"/>
      <c r="BJ67" s="1957"/>
      <c r="BK67" s="1958"/>
      <c r="BL67" s="26"/>
      <c r="BM67" s="1956"/>
      <c r="BN67" s="1957"/>
      <c r="BO67" s="1957"/>
      <c r="BP67" s="1958"/>
      <c r="BQ67" s="26"/>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row>
    <row r="68" spans="1:99" ht="12.75" customHeight="1">
      <c r="A68" s="1"/>
      <c r="B68" s="1"/>
      <c r="C68" s="32"/>
      <c r="D68" s="1"/>
      <c r="E68" s="600"/>
      <c r="F68" s="251"/>
      <c r="G68" s="251"/>
      <c r="H68" s="601"/>
      <c r="I68" s="26"/>
      <c r="J68" s="600"/>
      <c r="K68" s="251"/>
      <c r="L68" s="251"/>
      <c r="M68" s="601"/>
      <c r="N68" s="26"/>
      <c r="O68" s="600"/>
      <c r="P68" s="251"/>
      <c r="Q68" s="251"/>
      <c r="R68" s="601"/>
      <c r="S68" s="26"/>
      <c r="T68" s="600"/>
      <c r="U68" s="251"/>
      <c r="V68" s="251"/>
      <c r="W68" s="601"/>
      <c r="X68" s="26"/>
      <c r="Y68" s="600"/>
      <c r="Z68" s="251"/>
      <c r="AA68" s="251"/>
      <c r="AB68" s="601"/>
      <c r="AC68" s="26"/>
      <c r="AD68" s="600"/>
      <c r="AE68" s="251"/>
      <c r="AF68" s="251"/>
      <c r="AG68" s="601"/>
      <c r="AH68" s="26"/>
      <c r="AI68" s="600"/>
      <c r="AJ68" s="251"/>
      <c r="AK68" s="251"/>
      <c r="AL68" s="601"/>
      <c r="AM68" s="26"/>
      <c r="AN68" s="600"/>
      <c r="AO68" s="251"/>
      <c r="AP68" s="251"/>
      <c r="AQ68" s="601"/>
      <c r="AR68" s="26"/>
      <c r="AS68" s="600"/>
      <c r="AT68" s="251"/>
      <c r="AU68" s="251"/>
      <c r="AV68" s="601"/>
      <c r="AW68" s="26"/>
      <c r="AX68" s="955"/>
      <c r="AY68" s="956"/>
      <c r="AZ68" s="956"/>
      <c r="BA68" s="957"/>
      <c r="BB68" s="26"/>
      <c r="BC68" s="1956"/>
      <c r="BD68" s="1957"/>
      <c r="BE68" s="1957"/>
      <c r="BF68" s="1958"/>
      <c r="BG68" s="26"/>
      <c r="BH68" s="1956"/>
      <c r="BI68" s="1957"/>
      <c r="BJ68" s="1957"/>
      <c r="BK68" s="1958"/>
      <c r="BL68" s="26"/>
      <c r="BM68" s="1956"/>
      <c r="BN68" s="1957"/>
      <c r="BO68" s="1957"/>
      <c r="BP68" s="1958"/>
      <c r="BQ68" s="26"/>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row>
    <row r="69" spans="1:99" ht="12.75" customHeight="1">
      <c r="A69" s="1"/>
      <c r="B69" s="73" t="s">
        <v>128</v>
      </c>
      <c r="C69" s="246"/>
      <c r="D69" s="15"/>
      <c r="E69" s="600"/>
      <c r="F69" s="251"/>
      <c r="G69" s="251"/>
      <c r="H69" s="601"/>
      <c r="I69" s="26"/>
      <c r="J69" s="600"/>
      <c r="K69" s="251"/>
      <c r="L69" s="251"/>
      <c r="M69" s="601"/>
      <c r="N69" s="26"/>
      <c r="O69" s="600"/>
      <c r="P69" s="251"/>
      <c r="Q69" s="251"/>
      <c r="R69" s="601"/>
      <c r="S69" s="26"/>
      <c r="T69" s="600"/>
      <c r="U69" s="251"/>
      <c r="V69" s="251"/>
      <c r="W69" s="601"/>
      <c r="X69" s="26"/>
      <c r="Y69" s="600"/>
      <c r="Z69" s="251"/>
      <c r="AA69" s="251"/>
      <c r="AB69" s="601"/>
      <c r="AC69" s="26"/>
      <c r="AD69" s="600"/>
      <c r="AE69" s="251"/>
      <c r="AF69" s="251"/>
      <c r="AG69" s="601"/>
      <c r="AH69" s="26"/>
      <c r="AI69" s="600"/>
      <c r="AJ69" s="251"/>
      <c r="AK69" s="251"/>
      <c r="AL69" s="601"/>
      <c r="AM69" s="26"/>
      <c r="AN69" s="600"/>
      <c r="AO69" s="251"/>
      <c r="AP69" s="251"/>
      <c r="AQ69" s="601"/>
      <c r="AR69" s="26"/>
      <c r="AS69" s="600"/>
      <c r="AT69" s="251"/>
      <c r="AU69" s="251"/>
      <c r="AV69" s="601"/>
      <c r="AW69" s="26"/>
      <c r="AX69" s="600"/>
      <c r="AY69" s="251"/>
      <c r="AZ69" s="251"/>
      <c r="BA69" s="601"/>
      <c r="BB69" s="26"/>
      <c r="BC69" s="600"/>
      <c r="BD69" s="251"/>
      <c r="BE69" s="251"/>
      <c r="BF69" s="601"/>
      <c r="BG69" s="26"/>
      <c r="BH69" s="600"/>
      <c r="BI69" s="251"/>
      <c r="BJ69" s="251"/>
      <c r="BK69" s="601"/>
      <c r="BL69" s="26"/>
      <c r="BM69" s="600"/>
      <c r="BN69" s="251"/>
      <c r="BO69" s="251"/>
      <c r="BP69" s="601"/>
      <c r="BQ69" s="26"/>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row>
    <row r="70" spans="1:99" ht="12.75" customHeight="1">
      <c r="A70" s="330"/>
      <c r="B70" s="330"/>
      <c r="C70" s="576" t="s">
        <v>406</v>
      </c>
      <c r="D70" s="330"/>
      <c r="E70" s="624">
        <v>466</v>
      </c>
      <c r="F70" s="625">
        <v>416</v>
      </c>
      <c r="G70" s="625">
        <v>548</v>
      </c>
      <c r="H70" s="347">
        <f>I70-SUM(E70:G70)</f>
        <v>429</v>
      </c>
      <c r="I70" s="427">
        <v>1859</v>
      </c>
      <c r="J70" s="624">
        <v>473</v>
      </c>
      <c r="K70" s="625">
        <v>489</v>
      </c>
      <c r="L70" s="625">
        <v>663</v>
      </c>
      <c r="M70" s="347">
        <f>N70-SUM(J70:L70)</f>
        <v>444</v>
      </c>
      <c r="N70" s="427">
        <v>2069</v>
      </c>
      <c r="O70" s="624">
        <v>493</v>
      </c>
      <c r="P70" s="625">
        <v>451</v>
      </c>
      <c r="Q70" s="625">
        <v>598</v>
      </c>
      <c r="R70" s="347">
        <f>S70-SUM(O70:Q70)</f>
        <v>392</v>
      </c>
      <c r="S70" s="427">
        <v>1934</v>
      </c>
      <c r="T70" s="624">
        <v>407</v>
      </c>
      <c r="U70" s="625">
        <v>393</v>
      </c>
      <c r="V70" s="625">
        <v>497</v>
      </c>
      <c r="W70" s="347">
        <f>X70-SUM(T70:V70)</f>
        <v>392</v>
      </c>
      <c r="X70" s="427">
        <v>1689</v>
      </c>
      <c r="Y70" s="624">
        <v>395</v>
      </c>
      <c r="Z70" s="625">
        <v>354</v>
      </c>
      <c r="AA70" s="1452">
        <v>448</v>
      </c>
      <c r="AB70" s="347">
        <f>AC70-SUM(Y70:AA70)</f>
        <v>395</v>
      </c>
      <c r="AC70" s="1437">
        <v>1592</v>
      </c>
      <c r="AD70" s="624">
        <v>444</v>
      </c>
      <c r="AE70" s="625">
        <v>338</v>
      </c>
      <c r="AF70" s="1452">
        <v>413</v>
      </c>
      <c r="AG70" s="347">
        <f>AH70-SUM(AD70:AF70)</f>
        <v>360</v>
      </c>
      <c r="AH70" s="1437">
        <v>1555</v>
      </c>
      <c r="AI70" s="624">
        <v>450</v>
      </c>
      <c r="AJ70" s="625">
        <v>365</v>
      </c>
      <c r="AK70" s="1452">
        <v>461</v>
      </c>
      <c r="AL70" s="347">
        <f>AM70-SUM(AI70:AK70)</f>
        <v>323</v>
      </c>
      <c r="AM70" s="1437">
        <v>1599</v>
      </c>
      <c r="AN70" s="624">
        <v>410</v>
      </c>
      <c r="AO70" s="625">
        <v>355</v>
      </c>
      <c r="AP70" s="1452">
        <v>513</v>
      </c>
      <c r="AQ70" s="347">
        <f>AR70-SUM(AN70:AP70)</f>
        <v>353</v>
      </c>
      <c r="AR70" s="1437">
        <v>1631</v>
      </c>
      <c r="AS70" s="624">
        <v>382</v>
      </c>
      <c r="AT70" s="625">
        <v>331</v>
      </c>
      <c r="AU70" s="625">
        <v>434</v>
      </c>
      <c r="AV70" s="347">
        <f>AW70-SUM(AS70:AU70)</f>
        <v>358</v>
      </c>
      <c r="AW70" s="1437">
        <v>1505</v>
      </c>
      <c r="AX70" s="292"/>
      <c r="AY70" s="261"/>
      <c r="AZ70" s="261"/>
      <c r="BA70" s="293"/>
      <c r="BB70" s="228"/>
      <c r="BC70" s="292"/>
      <c r="BD70" s="261"/>
      <c r="BE70" s="261"/>
      <c r="BF70" s="293"/>
      <c r="BG70" s="228"/>
      <c r="BH70" s="292"/>
      <c r="BI70" s="261"/>
      <c r="BJ70" s="261"/>
      <c r="BK70" s="293"/>
      <c r="BL70" s="228"/>
      <c r="BM70" s="292"/>
      <c r="BN70" s="261"/>
      <c r="BO70" s="261"/>
      <c r="BP70" s="293"/>
      <c r="BQ70" s="228"/>
      <c r="BR70" s="330"/>
      <c r="BS70" s="330"/>
      <c r="BT70" s="330"/>
      <c r="BU70" s="330"/>
      <c r="BV70" s="330"/>
      <c r="BW70" s="330"/>
      <c r="BX70" s="330"/>
      <c r="BY70" s="330"/>
      <c r="BZ70" s="330"/>
      <c r="CA70" s="330"/>
      <c r="CB70" s="330"/>
      <c r="CC70" s="330"/>
      <c r="CD70" s="330"/>
      <c r="CE70" s="330"/>
      <c r="CF70" s="330"/>
      <c r="CG70" s="330"/>
      <c r="CH70" s="330"/>
      <c r="CI70" s="330"/>
      <c r="CJ70" s="330"/>
      <c r="CK70" s="330"/>
      <c r="CL70" s="330"/>
      <c r="CM70" s="330"/>
      <c r="CN70" s="330"/>
      <c r="CO70" s="330"/>
      <c r="CP70" s="330"/>
      <c r="CQ70" s="330"/>
      <c r="CR70" s="330"/>
      <c r="CS70" s="330"/>
      <c r="CT70" s="330"/>
      <c r="CU70" s="330"/>
    </row>
    <row r="71" spans="1:99" ht="12.75" customHeight="1">
      <c r="A71" s="330"/>
      <c r="B71" s="330"/>
      <c r="C71" s="576" t="s">
        <v>716</v>
      </c>
      <c r="D71" s="330"/>
      <c r="E71" s="624">
        <v>250</v>
      </c>
      <c r="F71" s="625">
        <v>260</v>
      </c>
      <c r="G71" s="625">
        <v>291</v>
      </c>
      <c r="H71" s="347">
        <f>I71-SUM(E71:G71)</f>
        <v>233</v>
      </c>
      <c r="I71" s="427">
        <v>1034</v>
      </c>
      <c r="J71" s="624">
        <v>248</v>
      </c>
      <c r="K71" s="625">
        <v>271</v>
      </c>
      <c r="L71" s="625">
        <v>308</v>
      </c>
      <c r="M71" s="347">
        <f>N71-SUM(J71:L71)</f>
        <v>233</v>
      </c>
      <c r="N71" s="427">
        <v>1060</v>
      </c>
      <c r="O71" s="624">
        <v>169</v>
      </c>
      <c r="P71" s="625">
        <v>165</v>
      </c>
      <c r="Q71" s="625">
        <v>138</v>
      </c>
      <c r="R71" s="347">
        <f>S71-SUM(O71:Q71)</f>
        <v>112</v>
      </c>
      <c r="S71" s="427">
        <v>584</v>
      </c>
      <c r="T71" s="624">
        <v>118</v>
      </c>
      <c r="U71" s="625">
        <v>119</v>
      </c>
      <c r="V71" s="625">
        <v>120</v>
      </c>
      <c r="W71" s="347">
        <f>X71-SUM(T71:V71)</f>
        <v>105</v>
      </c>
      <c r="X71" s="427">
        <v>462</v>
      </c>
      <c r="Y71" s="624">
        <v>106</v>
      </c>
      <c r="Z71" s="625">
        <v>109</v>
      </c>
      <c r="AA71" s="1452">
        <v>109</v>
      </c>
      <c r="AB71" s="347">
        <f>AC71-SUM(Y71:AA71)</f>
        <v>109</v>
      </c>
      <c r="AC71" s="1437">
        <v>433</v>
      </c>
      <c r="AD71" s="624">
        <v>111</v>
      </c>
      <c r="AE71" s="625">
        <v>101</v>
      </c>
      <c r="AF71" s="1452">
        <v>107</v>
      </c>
      <c r="AG71" s="347">
        <f>AH71-SUM(AD71:AF71)</f>
        <v>104</v>
      </c>
      <c r="AH71" s="1437">
        <v>423</v>
      </c>
      <c r="AI71" s="624">
        <v>115</v>
      </c>
      <c r="AJ71" s="625">
        <v>102</v>
      </c>
      <c r="AK71" s="1452">
        <v>113</v>
      </c>
      <c r="AL71" s="347">
        <f>AM71-SUM(AI71:AK71)</f>
        <v>98</v>
      </c>
      <c r="AM71" s="1437">
        <v>428</v>
      </c>
      <c r="AN71" s="624">
        <v>119</v>
      </c>
      <c r="AO71" s="625">
        <v>106</v>
      </c>
      <c r="AP71" s="1452">
        <v>109</v>
      </c>
      <c r="AQ71" s="347">
        <f>AR71-SUM(AN71:AP71)</f>
        <v>96</v>
      </c>
      <c r="AR71" s="1437">
        <v>430</v>
      </c>
      <c r="AS71" s="624">
        <v>97</v>
      </c>
      <c r="AT71" s="625">
        <v>100</v>
      </c>
      <c r="AU71" s="625">
        <v>106</v>
      </c>
      <c r="AV71" s="347">
        <f>AW71-SUM(AS71:AU71)</f>
        <v>98</v>
      </c>
      <c r="AW71" s="1437">
        <v>401</v>
      </c>
      <c r="AX71" s="292"/>
      <c r="AY71" s="261"/>
      <c r="AZ71" s="261"/>
      <c r="BA71" s="293"/>
      <c r="BB71" s="228"/>
      <c r="BC71" s="292"/>
      <c r="BD71" s="261"/>
      <c r="BE71" s="261"/>
      <c r="BF71" s="293"/>
      <c r="BG71" s="228"/>
      <c r="BH71" s="292"/>
      <c r="BI71" s="261"/>
      <c r="BJ71" s="261"/>
      <c r="BK71" s="293"/>
      <c r="BL71" s="228"/>
      <c r="BM71" s="292"/>
      <c r="BN71" s="261"/>
      <c r="BO71" s="261"/>
      <c r="BP71" s="293"/>
      <c r="BQ71" s="228"/>
      <c r="BR71" s="330"/>
      <c r="BS71" s="330"/>
      <c r="BT71" s="330"/>
      <c r="BU71" s="330"/>
      <c r="BV71" s="330"/>
      <c r="BW71" s="330"/>
      <c r="BX71" s="330"/>
      <c r="BY71" s="330"/>
      <c r="BZ71" s="330"/>
      <c r="CA71" s="330"/>
      <c r="CB71" s="330"/>
      <c r="CC71" s="330"/>
      <c r="CD71" s="330"/>
      <c r="CE71" s="330"/>
      <c r="CF71" s="330"/>
      <c r="CG71" s="330"/>
      <c r="CH71" s="330"/>
      <c r="CI71" s="330"/>
      <c r="CJ71" s="330"/>
      <c r="CK71" s="330"/>
      <c r="CL71" s="330"/>
      <c r="CM71" s="330"/>
      <c r="CN71" s="330"/>
      <c r="CO71" s="330"/>
      <c r="CP71" s="330"/>
      <c r="CQ71" s="330"/>
      <c r="CR71" s="330"/>
      <c r="CS71" s="330"/>
      <c r="CT71" s="330"/>
      <c r="CU71" s="330"/>
    </row>
    <row r="72" spans="1:99" ht="12.75" customHeight="1">
      <c r="A72" s="330"/>
      <c r="B72" s="330"/>
      <c r="C72" s="576" t="s">
        <v>717</v>
      </c>
      <c r="D72" s="330"/>
      <c r="E72" s="624">
        <v>319</v>
      </c>
      <c r="F72" s="625">
        <v>338</v>
      </c>
      <c r="G72" s="625">
        <v>339</v>
      </c>
      <c r="H72" s="347">
        <f>I72-SUM(E72:G72)</f>
        <v>311</v>
      </c>
      <c r="I72" s="427">
        <v>1307</v>
      </c>
      <c r="J72" s="624">
        <v>324</v>
      </c>
      <c r="K72" s="625">
        <v>337</v>
      </c>
      <c r="L72" s="625">
        <v>374</v>
      </c>
      <c r="M72" s="347">
        <f>N72-SUM(J72:L72)</f>
        <v>327</v>
      </c>
      <c r="N72" s="427">
        <v>1362</v>
      </c>
      <c r="O72" s="624">
        <v>108</v>
      </c>
      <c r="P72" s="625">
        <v>67</v>
      </c>
      <c r="Q72" s="625">
        <v>84</v>
      </c>
      <c r="R72" s="347">
        <f>S72-SUM(O72:Q72)</f>
        <v>45</v>
      </c>
      <c r="S72" s="427">
        <v>304</v>
      </c>
      <c r="T72" s="624">
        <v>53</v>
      </c>
      <c r="U72" s="625">
        <v>58</v>
      </c>
      <c r="V72" s="625">
        <v>66</v>
      </c>
      <c r="W72" s="347">
        <f>X72-SUM(T72:V72)</f>
        <v>55</v>
      </c>
      <c r="X72" s="427">
        <v>232</v>
      </c>
      <c r="Y72" s="624">
        <v>59</v>
      </c>
      <c r="Z72" s="625">
        <v>61</v>
      </c>
      <c r="AA72" s="1452">
        <v>53</v>
      </c>
      <c r="AB72" s="347">
        <f>AC72-SUM(Y72:AA72)</f>
        <v>51</v>
      </c>
      <c r="AC72" s="1437">
        <v>224</v>
      </c>
      <c r="AD72" s="624">
        <v>63</v>
      </c>
      <c r="AE72" s="625">
        <v>54</v>
      </c>
      <c r="AF72" s="1452">
        <v>52</v>
      </c>
      <c r="AG72" s="347">
        <f>AH72-SUM(AD72:AF72)</f>
        <v>48</v>
      </c>
      <c r="AH72" s="1437">
        <v>217</v>
      </c>
      <c r="AI72" s="624">
        <v>53</v>
      </c>
      <c r="AJ72" s="625">
        <v>54</v>
      </c>
      <c r="AK72" s="1452">
        <v>58</v>
      </c>
      <c r="AL72" s="347">
        <f>AM72-SUM(AI72:AK72)</f>
        <v>56</v>
      </c>
      <c r="AM72" s="1437">
        <v>221</v>
      </c>
      <c r="AN72" s="624">
        <v>58</v>
      </c>
      <c r="AO72" s="625">
        <v>65</v>
      </c>
      <c r="AP72" s="1452">
        <v>59</v>
      </c>
      <c r="AQ72" s="347">
        <f>AR72-SUM(AN72:AP72)</f>
        <v>52</v>
      </c>
      <c r="AR72" s="1437">
        <v>234</v>
      </c>
      <c r="AS72" s="624">
        <v>52</v>
      </c>
      <c r="AT72" s="625">
        <v>57</v>
      </c>
      <c r="AU72" s="625">
        <v>59</v>
      </c>
      <c r="AV72" s="347">
        <f>AW72-SUM(AS72:AU72)</f>
        <v>55</v>
      </c>
      <c r="AW72" s="1437">
        <v>223</v>
      </c>
      <c r="AX72" s="292"/>
      <c r="AY72" s="261"/>
      <c r="AZ72" s="261"/>
      <c r="BA72" s="293"/>
      <c r="BB72" s="228"/>
      <c r="BC72" s="292"/>
      <c r="BD72" s="261"/>
      <c r="BE72" s="261"/>
      <c r="BF72" s="293"/>
      <c r="BG72" s="228"/>
      <c r="BH72" s="292"/>
      <c r="BI72" s="261"/>
      <c r="BJ72" s="261"/>
      <c r="BK72" s="293"/>
      <c r="BL72" s="228"/>
      <c r="BM72" s="292"/>
      <c r="BN72" s="261"/>
      <c r="BO72" s="261"/>
      <c r="BP72" s="293"/>
      <c r="BQ72" s="228"/>
      <c r="BR72" s="330"/>
      <c r="BS72" s="330"/>
      <c r="BT72" s="330"/>
      <c r="BU72" s="330"/>
      <c r="BV72" s="330"/>
      <c r="BW72" s="330"/>
      <c r="BX72" s="330"/>
      <c r="BY72" s="330"/>
      <c r="BZ72" s="330"/>
      <c r="CA72" s="330"/>
      <c r="CB72" s="330"/>
      <c r="CC72" s="330"/>
      <c r="CD72" s="330"/>
      <c r="CE72" s="330"/>
      <c r="CF72" s="330"/>
      <c r="CG72" s="330"/>
      <c r="CH72" s="330"/>
      <c r="CI72" s="330"/>
      <c r="CJ72" s="330"/>
      <c r="CK72" s="330"/>
      <c r="CL72" s="330"/>
      <c r="CM72" s="330"/>
      <c r="CN72" s="330"/>
      <c r="CO72" s="330"/>
      <c r="CP72" s="330"/>
      <c r="CQ72" s="330"/>
      <c r="CR72" s="330"/>
      <c r="CS72" s="330"/>
      <c r="CT72" s="330"/>
      <c r="CU72" s="330"/>
    </row>
    <row r="73" spans="1:99" ht="12.75" customHeight="1">
      <c r="A73" s="330"/>
      <c r="B73" s="330"/>
      <c r="C73" s="576" t="s">
        <v>718</v>
      </c>
      <c r="D73" s="330"/>
      <c r="E73" s="624">
        <v>24</v>
      </c>
      <c r="F73" s="625">
        <v>22</v>
      </c>
      <c r="G73" s="625">
        <v>22</v>
      </c>
      <c r="H73" s="347">
        <f>I73-SUM(E73:G73)</f>
        <v>22</v>
      </c>
      <c r="I73" s="427">
        <v>90</v>
      </c>
      <c r="J73" s="624">
        <v>23</v>
      </c>
      <c r="K73" s="625">
        <v>24</v>
      </c>
      <c r="L73" s="625">
        <v>20</v>
      </c>
      <c r="M73" s="347">
        <f>N73-SUM(J73:L73)</f>
        <v>22</v>
      </c>
      <c r="N73" s="427">
        <v>89</v>
      </c>
      <c r="O73" s="624">
        <v>11</v>
      </c>
      <c r="P73" s="625">
        <v>9</v>
      </c>
      <c r="Q73" s="625">
        <v>9</v>
      </c>
      <c r="R73" s="347">
        <f>S73-SUM(O73:Q73)</f>
        <v>9</v>
      </c>
      <c r="S73" s="427">
        <v>38</v>
      </c>
      <c r="T73" s="624">
        <v>8</v>
      </c>
      <c r="U73" s="625">
        <v>8</v>
      </c>
      <c r="V73" s="625">
        <v>8</v>
      </c>
      <c r="W73" s="347">
        <f>X73-SUM(T73:V73)</f>
        <v>7</v>
      </c>
      <c r="X73" s="427">
        <v>31</v>
      </c>
      <c r="Y73" s="624">
        <v>8</v>
      </c>
      <c r="Z73" s="625">
        <v>8</v>
      </c>
      <c r="AA73" s="1452">
        <v>7</v>
      </c>
      <c r="AB73" s="347">
        <f>AC73-SUM(Y73:AA73)</f>
        <v>7</v>
      </c>
      <c r="AC73" s="1437">
        <v>30</v>
      </c>
      <c r="AD73" s="624">
        <v>8</v>
      </c>
      <c r="AE73" s="625">
        <v>8</v>
      </c>
      <c r="AF73" s="1452">
        <v>7</v>
      </c>
      <c r="AG73" s="347">
        <f>AH73-SUM(AD73:AF73)</f>
        <v>9</v>
      </c>
      <c r="AH73" s="1437">
        <v>32</v>
      </c>
      <c r="AI73" s="624">
        <v>8</v>
      </c>
      <c r="AJ73" s="625">
        <v>8</v>
      </c>
      <c r="AK73" s="1452">
        <v>8</v>
      </c>
      <c r="AL73" s="347">
        <f>AM73-SUM(AI73:AK73)</f>
        <v>7</v>
      </c>
      <c r="AM73" s="1437">
        <v>31</v>
      </c>
      <c r="AN73" s="624">
        <v>8</v>
      </c>
      <c r="AO73" s="625">
        <v>9</v>
      </c>
      <c r="AP73" s="1452">
        <v>8</v>
      </c>
      <c r="AQ73" s="347">
        <f>AR73-SUM(AN73:AP73)</f>
        <v>7</v>
      </c>
      <c r="AR73" s="1437">
        <v>32</v>
      </c>
      <c r="AS73" s="624">
        <v>8</v>
      </c>
      <c r="AT73" s="625">
        <v>8</v>
      </c>
      <c r="AU73" s="625">
        <v>7</v>
      </c>
      <c r="AV73" s="347">
        <f>AW73-SUM(AS73:AU73)</f>
        <v>7</v>
      </c>
      <c r="AW73" s="1437">
        <v>30</v>
      </c>
      <c r="AX73" s="292"/>
      <c r="AY73" s="261"/>
      <c r="AZ73" s="261"/>
      <c r="BA73" s="293"/>
      <c r="BB73" s="228"/>
      <c r="BC73" s="292"/>
      <c r="BD73" s="261"/>
      <c r="BE73" s="261"/>
      <c r="BF73" s="293"/>
      <c r="BG73" s="228"/>
      <c r="BH73" s="292"/>
      <c r="BI73" s="261"/>
      <c r="BJ73" s="261"/>
      <c r="BK73" s="293"/>
      <c r="BL73" s="228"/>
      <c r="BM73" s="292"/>
      <c r="BN73" s="261"/>
      <c r="BO73" s="261"/>
      <c r="BP73" s="293"/>
      <c r="BQ73" s="228"/>
      <c r="BR73" s="330"/>
      <c r="BS73" s="330"/>
      <c r="BT73" s="330"/>
      <c r="BU73" s="330"/>
      <c r="BV73" s="330"/>
      <c r="BW73" s="330"/>
      <c r="BX73" s="330"/>
      <c r="BY73" s="330"/>
      <c r="BZ73" s="330"/>
      <c r="CA73" s="330"/>
      <c r="CB73" s="330"/>
      <c r="CC73" s="330"/>
      <c r="CD73" s="330"/>
      <c r="CE73" s="330"/>
      <c r="CF73" s="330"/>
      <c r="CG73" s="330"/>
      <c r="CH73" s="330"/>
      <c r="CI73" s="330"/>
      <c r="CJ73" s="330"/>
      <c r="CK73" s="330"/>
      <c r="CL73" s="330"/>
      <c r="CM73" s="330"/>
      <c r="CN73" s="330"/>
      <c r="CO73" s="330"/>
      <c r="CP73" s="330"/>
      <c r="CQ73" s="330"/>
      <c r="CR73" s="330"/>
      <c r="CS73" s="330"/>
      <c r="CT73" s="330"/>
      <c r="CU73" s="330"/>
    </row>
    <row r="74" spans="1:99" ht="12.75" customHeight="1">
      <c r="A74" s="330"/>
      <c r="B74" s="330"/>
      <c r="C74" s="28" t="s">
        <v>62</v>
      </c>
      <c r="D74" s="330"/>
      <c r="E74" s="624">
        <v>67</v>
      </c>
      <c r="F74" s="625">
        <v>67</v>
      </c>
      <c r="G74" s="625">
        <v>65</v>
      </c>
      <c r="H74" s="347">
        <f>I74-SUM(E74:G74)</f>
        <v>60</v>
      </c>
      <c r="I74" s="645">
        <v>259</v>
      </c>
      <c r="J74" s="624">
        <v>61</v>
      </c>
      <c r="K74" s="625">
        <v>59</v>
      </c>
      <c r="L74" s="625">
        <v>74</v>
      </c>
      <c r="M74" s="347">
        <f>N74-SUM(J74:L74)</f>
        <v>61</v>
      </c>
      <c r="N74" s="645">
        <v>255</v>
      </c>
      <c r="O74" s="624">
        <v>63</v>
      </c>
      <c r="P74" s="625">
        <v>61</v>
      </c>
      <c r="Q74" s="625">
        <v>62</v>
      </c>
      <c r="R74" s="347">
        <f>S74-SUM(O74:Q74)</f>
        <v>63</v>
      </c>
      <c r="S74" s="645">
        <v>249</v>
      </c>
      <c r="T74" s="624">
        <v>57</v>
      </c>
      <c r="U74" s="625">
        <v>57</v>
      </c>
      <c r="V74" s="625">
        <v>61</v>
      </c>
      <c r="W74" s="347">
        <f>X74-SUM(T74:V74)</f>
        <v>51</v>
      </c>
      <c r="X74" s="645">
        <v>226</v>
      </c>
      <c r="Y74" s="624">
        <v>55</v>
      </c>
      <c r="Z74" s="625">
        <v>53</v>
      </c>
      <c r="AA74" s="1452">
        <v>55</v>
      </c>
      <c r="AB74" s="347">
        <f>AC74-SUM(Y74:AA74)</f>
        <v>58</v>
      </c>
      <c r="AC74" s="1453">
        <v>221</v>
      </c>
      <c r="AD74" s="624">
        <v>52</v>
      </c>
      <c r="AE74" s="625">
        <v>58</v>
      </c>
      <c r="AF74" s="1452">
        <v>55</v>
      </c>
      <c r="AG74" s="347">
        <f>AH74-SUM(AD74:AF74)</f>
        <v>56</v>
      </c>
      <c r="AH74" s="1453">
        <v>221</v>
      </c>
      <c r="AI74" s="624">
        <v>51</v>
      </c>
      <c r="AJ74" s="625">
        <v>53</v>
      </c>
      <c r="AK74" s="1452">
        <v>51</v>
      </c>
      <c r="AL74" s="347">
        <f>AM74-SUM(AI74:AK74)</f>
        <v>52</v>
      </c>
      <c r="AM74" s="1453">
        <v>207</v>
      </c>
      <c r="AN74" s="624">
        <v>49</v>
      </c>
      <c r="AO74" s="625">
        <v>52</v>
      </c>
      <c r="AP74" s="1452">
        <v>51</v>
      </c>
      <c r="AQ74" s="347">
        <f>AR74-SUM(AN74:AP74)</f>
        <v>52</v>
      </c>
      <c r="AR74" s="1453">
        <v>204</v>
      </c>
      <c r="AS74" s="624">
        <v>51</v>
      </c>
      <c r="AT74" s="625">
        <v>54</v>
      </c>
      <c r="AU74" s="625">
        <v>56</v>
      </c>
      <c r="AV74" s="347">
        <f>AW74-SUM(AS74:AU74)</f>
        <v>55</v>
      </c>
      <c r="AW74" s="1453">
        <v>216</v>
      </c>
      <c r="AX74" s="292"/>
      <c r="AY74" s="261"/>
      <c r="AZ74" s="261"/>
      <c r="BA74" s="293"/>
      <c r="BB74" s="228"/>
      <c r="BC74" s="292"/>
      <c r="BD74" s="261"/>
      <c r="BE74" s="261"/>
      <c r="BF74" s="293"/>
      <c r="BG74" s="228"/>
      <c r="BH74" s="292"/>
      <c r="BI74" s="261"/>
      <c r="BJ74" s="261"/>
      <c r="BK74" s="293"/>
      <c r="BL74" s="228"/>
      <c r="BM74" s="292"/>
      <c r="BN74" s="261"/>
      <c r="BO74" s="261"/>
      <c r="BP74" s="293"/>
      <c r="BQ74" s="228"/>
      <c r="BR74" s="330"/>
      <c r="BS74" s="330"/>
      <c r="BT74" s="330"/>
      <c r="BU74" s="330"/>
      <c r="BV74" s="330"/>
      <c r="BW74" s="330"/>
      <c r="BX74" s="330"/>
      <c r="BY74" s="330"/>
      <c r="BZ74" s="330"/>
      <c r="CA74" s="330"/>
      <c r="CB74" s="330"/>
      <c r="CC74" s="330"/>
      <c r="CD74" s="330"/>
      <c r="CE74" s="330"/>
      <c r="CF74" s="330"/>
      <c r="CG74" s="330"/>
      <c r="CH74" s="330"/>
      <c r="CI74" s="330"/>
      <c r="CJ74" s="330"/>
      <c r="CK74" s="330"/>
      <c r="CL74" s="330"/>
      <c r="CM74" s="330"/>
      <c r="CN74" s="330"/>
      <c r="CO74" s="330"/>
      <c r="CP74" s="330"/>
      <c r="CQ74" s="330"/>
      <c r="CR74" s="330"/>
      <c r="CS74" s="330"/>
      <c r="CT74" s="330"/>
      <c r="CU74" s="330"/>
    </row>
    <row r="75" spans="1:99" ht="12.75" customHeight="1">
      <c r="A75" s="330"/>
      <c r="B75" s="330"/>
      <c r="C75" s="32" t="s">
        <v>129</v>
      </c>
      <c r="D75" s="330"/>
      <c r="E75" s="292">
        <f t="shared" ref="E75:S75" si="192">SUM(E70:E74)</f>
        <v>1126</v>
      </c>
      <c r="F75" s="261">
        <f t="shared" si="192"/>
        <v>1103</v>
      </c>
      <c r="G75" s="261">
        <f t="shared" si="192"/>
        <v>1265</v>
      </c>
      <c r="H75" s="293">
        <f t="shared" si="192"/>
        <v>1055</v>
      </c>
      <c r="I75" s="228">
        <f t="shared" si="192"/>
        <v>4549</v>
      </c>
      <c r="J75" s="292">
        <f t="shared" si="192"/>
        <v>1129</v>
      </c>
      <c r="K75" s="261">
        <f t="shared" si="192"/>
        <v>1180</v>
      </c>
      <c r="L75" s="261">
        <f t="shared" si="192"/>
        <v>1439</v>
      </c>
      <c r="M75" s="293">
        <f t="shared" si="192"/>
        <v>1087</v>
      </c>
      <c r="N75" s="228">
        <f t="shared" si="192"/>
        <v>4835</v>
      </c>
      <c r="O75" s="292">
        <f t="shared" si="192"/>
        <v>844</v>
      </c>
      <c r="P75" s="261">
        <f t="shared" si="192"/>
        <v>753</v>
      </c>
      <c r="Q75" s="261">
        <f t="shared" si="192"/>
        <v>891</v>
      </c>
      <c r="R75" s="293">
        <f t="shared" si="192"/>
        <v>621</v>
      </c>
      <c r="S75" s="228">
        <f t="shared" si="192"/>
        <v>3109</v>
      </c>
      <c r="T75" s="292">
        <f t="shared" ref="T75:AA75" si="193">SUM(T70:T74)</f>
        <v>643</v>
      </c>
      <c r="U75" s="261">
        <f t="shared" si="193"/>
        <v>635</v>
      </c>
      <c r="V75" s="261">
        <f t="shared" si="193"/>
        <v>752</v>
      </c>
      <c r="W75" s="293">
        <f t="shared" si="193"/>
        <v>610</v>
      </c>
      <c r="X75" s="228">
        <f t="shared" si="193"/>
        <v>2640</v>
      </c>
      <c r="Y75" s="292">
        <f t="shared" si="193"/>
        <v>623</v>
      </c>
      <c r="Z75" s="261">
        <f t="shared" si="193"/>
        <v>585</v>
      </c>
      <c r="AA75" s="1438">
        <f t="shared" si="193"/>
        <v>672</v>
      </c>
      <c r="AB75" s="1439">
        <f>SUM(AB70:AB74)</f>
        <v>620</v>
      </c>
      <c r="AC75" s="1440">
        <f>SUM(AC70:AC74)</f>
        <v>2500</v>
      </c>
      <c r="AD75" s="292">
        <f>SUM(AD70:AD74)</f>
        <v>678</v>
      </c>
      <c r="AE75" s="261">
        <f>SUM(AE70:AE74)</f>
        <v>559</v>
      </c>
      <c r="AF75" s="1438">
        <f t="shared" ref="AF75" si="194">SUM(AF70:AF74)</f>
        <v>634</v>
      </c>
      <c r="AG75" s="1439">
        <f>SUM(AG70:AG74)</f>
        <v>577</v>
      </c>
      <c r="AH75" s="1440">
        <f>SUM(AH70:AH74)</f>
        <v>2448</v>
      </c>
      <c r="AI75" s="292">
        <f>SUM(AI70:AI74)</f>
        <v>677</v>
      </c>
      <c r="AJ75" s="261">
        <f>SUM(AJ70:AJ74)</f>
        <v>582</v>
      </c>
      <c r="AK75" s="1438">
        <f t="shared" ref="AK75" si="195">SUM(AK70:AK74)</f>
        <v>691</v>
      </c>
      <c r="AL75" s="1439">
        <f>SUM(AL70:AL74)</f>
        <v>536</v>
      </c>
      <c r="AM75" s="1440">
        <f>SUM(AM70:AM74)</f>
        <v>2486</v>
      </c>
      <c r="AN75" s="292">
        <f>SUM(AN70:AN74)</f>
        <v>644</v>
      </c>
      <c r="AO75" s="261">
        <f>SUM(AO70:AO74)</f>
        <v>587</v>
      </c>
      <c r="AP75" s="1438">
        <f t="shared" ref="AP75" si="196">SUM(AP70:AP74)</f>
        <v>740</v>
      </c>
      <c r="AQ75" s="1439">
        <f>SUM(AQ70:AQ74)</f>
        <v>560</v>
      </c>
      <c r="AR75" s="1440">
        <f>SUM(AR70:AR74)</f>
        <v>2531</v>
      </c>
      <c r="AS75" s="292">
        <f t="shared" ref="AS75" si="197">SUM(AS70:AS74)</f>
        <v>590</v>
      </c>
      <c r="AT75" s="261">
        <f>SUM(AT70:AT74)</f>
        <v>550</v>
      </c>
      <c r="AU75" s="261">
        <f>SUM(AU70:AU74)</f>
        <v>662</v>
      </c>
      <c r="AV75" s="1439">
        <f>SUM(AV70:AV74)</f>
        <v>573</v>
      </c>
      <c r="AW75" s="1440">
        <f>SUM(AW70:AW74)</f>
        <v>2375</v>
      </c>
      <c r="AX75" s="292">
        <f>AX82*AX86/1000</f>
        <v>595.78898312690728</v>
      </c>
      <c r="AY75" s="261">
        <f>AY82*AY86/1000</f>
        <v>550.42363679956156</v>
      </c>
      <c r="AZ75" s="261">
        <f>AZ82*AZ86/1000</f>
        <v>654.75988517745304</v>
      </c>
      <c r="BA75" s="293">
        <f>BA82*BA86/1000</f>
        <v>569.99622572815542</v>
      </c>
      <c r="BB75" s="228">
        <f>SUM(AX75:BA75)</f>
        <v>2370.9687308320772</v>
      </c>
      <c r="BC75" s="292">
        <f>BC82*BC86/1000</f>
        <v>614.03187295817634</v>
      </c>
      <c r="BD75" s="261">
        <f>BD82*BD86/1000</f>
        <v>568.21287316755718</v>
      </c>
      <c r="BE75" s="261">
        <f>BE82*BE86/1000</f>
        <v>673.59248402922765</v>
      </c>
      <c r="BF75" s="293">
        <f>BF82*BF86/1000</f>
        <v>587.98118798543703</v>
      </c>
      <c r="BG75" s="228">
        <f>SUM(BC75:BF75)</f>
        <v>2443.8184181403981</v>
      </c>
      <c r="BH75" s="292">
        <f>BH82*BH86/1000</f>
        <v>633.92219168775807</v>
      </c>
      <c r="BI75" s="261">
        <f>BI82*BI86/1000</f>
        <v>587.64500189923274</v>
      </c>
      <c r="BJ75" s="261">
        <f>BJ82*BJ86/1000</f>
        <v>694.07840886951999</v>
      </c>
      <c r="BK75" s="293">
        <f>BK82*BK86/1000</f>
        <v>607.61099986529155</v>
      </c>
      <c r="BL75" s="228">
        <f>SUM(BH75:BK75)</f>
        <v>2523.2566023218023</v>
      </c>
      <c r="BM75" s="292">
        <f>BM82*BM86/1000</f>
        <v>646.51141360463589</v>
      </c>
      <c r="BN75" s="261">
        <f>BN82*BN86/1000</f>
        <v>599.7714519182249</v>
      </c>
      <c r="BO75" s="261">
        <f>BO82*BO86/1000</f>
        <v>707.26919295821517</v>
      </c>
      <c r="BP75" s="293">
        <f>BP82*BP86/1000</f>
        <v>619.93710986394444</v>
      </c>
      <c r="BQ75" s="228">
        <f>SUM(BM75:BP75)</f>
        <v>2573.4891683450205</v>
      </c>
      <c r="BR75" s="330"/>
      <c r="BS75" s="330"/>
      <c r="BT75" s="330"/>
      <c r="BU75" s="330"/>
      <c r="BV75" s="330"/>
      <c r="BW75" s="330"/>
      <c r="BX75" s="330"/>
      <c r="BY75" s="330"/>
      <c r="BZ75" s="330"/>
      <c r="CA75" s="330"/>
      <c r="CB75" s="330"/>
      <c r="CC75" s="330"/>
      <c r="CD75" s="330"/>
      <c r="CE75" s="330"/>
      <c r="CF75" s="330"/>
      <c r="CG75" s="330"/>
      <c r="CH75" s="330"/>
      <c r="CI75" s="330"/>
      <c r="CJ75" s="330"/>
      <c r="CK75" s="330"/>
      <c r="CL75" s="330"/>
      <c r="CM75" s="330"/>
      <c r="CN75" s="330"/>
      <c r="CO75" s="330"/>
      <c r="CP75" s="330"/>
      <c r="CQ75" s="330"/>
      <c r="CR75" s="330"/>
      <c r="CS75" s="330"/>
      <c r="CT75" s="330"/>
      <c r="CU75" s="330"/>
    </row>
    <row r="76" spans="1:99" ht="12.75" customHeight="1">
      <c r="A76" s="330"/>
      <c r="B76" s="330"/>
      <c r="C76" s="228"/>
      <c r="D76" s="330"/>
      <c r="E76" s="292"/>
      <c r="F76" s="261"/>
      <c r="G76" s="261"/>
      <c r="H76" s="293"/>
      <c r="I76" s="228"/>
      <c r="J76" s="292"/>
      <c r="K76" s="261"/>
      <c r="L76" s="261"/>
      <c r="M76" s="293"/>
      <c r="N76" s="228"/>
      <c r="O76" s="292"/>
      <c r="P76" s="261"/>
      <c r="Q76" s="261"/>
      <c r="R76" s="293"/>
      <c r="S76" s="228"/>
      <c r="T76" s="290"/>
      <c r="U76" s="260"/>
      <c r="V76" s="261"/>
      <c r="W76" s="293"/>
      <c r="X76" s="228"/>
      <c r="Y76" s="292"/>
      <c r="Z76" s="260"/>
      <c r="AA76" s="1438"/>
      <c r="AB76" s="1439"/>
      <c r="AC76" s="1440"/>
      <c r="AD76" s="292"/>
      <c r="AE76" s="260"/>
      <c r="AF76" s="261"/>
      <c r="AG76" s="1439"/>
      <c r="AH76" s="1440"/>
      <c r="AI76" s="292"/>
      <c r="AJ76" s="260"/>
      <c r="AK76" s="261"/>
      <c r="AL76" s="1439"/>
      <c r="AM76" s="1440"/>
      <c r="AN76" s="292"/>
      <c r="AO76" s="260"/>
      <c r="AP76" s="261"/>
      <c r="AQ76" s="1439"/>
      <c r="AR76" s="1440"/>
      <c r="AS76" s="292"/>
      <c r="AT76" s="261"/>
      <c r="AU76" s="261"/>
      <c r="AV76" s="1439"/>
      <c r="AW76" s="1440"/>
      <c r="AX76" s="292"/>
      <c r="AY76" s="261"/>
      <c r="AZ76" s="261"/>
      <c r="BA76" s="293"/>
      <c r="BB76" s="228"/>
      <c r="BC76" s="292"/>
      <c r="BD76" s="261"/>
      <c r="BE76" s="261"/>
      <c r="BF76" s="293"/>
      <c r="BG76" s="228"/>
      <c r="BH76" s="292"/>
      <c r="BI76" s="261"/>
      <c r="BJ76" s="261"/>
      <c r="BK76" s="293"/>
      <c r="BL76" s="228"/>
      <c r="BM76" s="292"/>
      <c r="BN76" s="261"/>
      <c r="BO76" s="261"/>
      <c r="BP76" s="293"/>
      <c r="BQ76" s="228"/>
      <c r="BR76" s="330"/>
      <c r="BS76" s="330"/>
      <c r="BT76" s="330"/>
      <c r="BU76" s="330"/>
      <c r="BV76" s="330"/>
      <c r="BW76" s="330"/>
      <c r="BX76" s="330"/>
      <c r="BY76" s="330"/>
      <c r="BZ76" s="330"/>
      <c r="CA76" s="330"/>
      <c r="CB76" s="330"/>
      <c r="CC76" s="330"/>
      <c r="CD76" s="330"/>
      <c r="CE76" s="330"/>
      <c r="CF76" s="330"/>
      <c r="CG76" s="330"/>
      <c r="CH76" s="330"/>
      <c r="CI76" s="330"/>
      <c r="CJ76" s="330"/>
      <c r="CK76" s="330"/>
      <c r="CL76" s="330"/>
      <c r="CM76" s="330"/>
      <c r="CN76" s="330"/>
      <c r="CO76" s="330"/>
      <c r="CP76" s="330"/>
      <c r="CQ76" s="330"/>
      <c r="CR76" s="330"/>
      <c r="CS76" s="330"/>
      <c r="CT76" s="330"/>
      <c r="CU76" s="330"/>
    </row>
    <row r="77" spans="1:99" ht="12.75" customHeight="1">
      <c r="A77" s="330"/>
      <c r="B77" s="330"/>
      <c r="C77" s="32" t="s">
        <v>130</v>
      </c>
      <c r="D77" s="330"/>
      <c r="E77" s="292"/>
      <c r="F77" s="261"/>
      <c r="G77" s="261"/>
      <c r="H77" s="293"/>
      <c r="I77" s="228"/>
      <c r="J77" s="292"/>
      <c r="K77" s="261"/>
      <c r="L77" s="261"/>
      <c r="M77" s="293"/>
      <c r="N77" s="228"/>
      <c r="O77" s="292"/>
      <c r="P77" s="261"/>
      <c r="Q77" s="261"/>
      <c r="R77" s="293"/>
      <c r="S77" s="228"/>
      <c r="T77" s="292"/>
      <c r="U77" s="261"/>
      <c r="V77" s="261"/>
      <c r="W77" s="293"/>
      <c r="X77" s="228"/>
      <c r="Y77" s="292"/>
      <c r="Z77" s="261"/>
      <c r="AA77" s="1438"/>
      <c r="AB77" s="1439"/>
      <c r="AC77" s="1440"/>
      <c r="AD77" s="292"/>
      <c r="AE77" s="261"/>
      <c r="AF77" s="261"/>
      <c r="AG77" s="1439"/>
      <c r="AH77" s="1440"/>
      <c r="AI77" s="292"/>
      <c r="AJ77" s="261"/>
      <c r="AK77" s="261"/>
      <c r="AL77" s="1439"/>
      <c r="AM77" s="1440"/>
      <c r="AN77" s="292"/>
      <c r="AO77" s="261"/>
      <c r="AP77" s="261"/>
      <c r="AQ77" s="1439"/>
      <c r="AR77" s="1440"/>
      <c r="AS77" s="292"/>
      <c r="AT77" s="261"/>
      <c r="AU77" s="261"/>
      <c r="AV77" s="1439"/>
      <c r="AW77" s="1440"/>
      <c r="AX77" s="292"/>
      <c r="AY77" s="261"/>
      <c r="AZ77" s="261"/>
      <c r="BA77" s="293"/>
      <c r="BB77" s="228"/>
      <c r="BC77" s="292"/>
      <c r="BD77" s="261"/>
      <c r="BE77" s="261"/>
      <c r="BF77" s="293"/>
      <c r="BG77" s="228"/>
      <c r="BH77" s="292"/>
      <c r="BI77" s="261"/>
      <c r="BJ77" s="261"/>
      <c r="BK77" s="293"/>
      <c r="BL77" s="228"/>
      <c r="BM77" s="292"/>
      <c r="BN77" s="261"/>
      <c r="BO77" s="261"/>
      <c r="BP77" s="293"/>
      <c r="BQ77" s="228"/>
      <c r="BR77" s="330"/>
      <c r="BS77" s="330"/>
      <c r="BT77" s="330"/>
      <c r="BU77" s="330"/>
      <c r="BV77" s="330"/>
      <c r="BW77" s="330"/>
      <c r="BX77" s="330"/>
      <c r="BY77" s="330"/>
      <c r="BZ77" s="330"/>
      <c r="CA77" s="330"/>
      <c r="CB77" s="330"/>
      <c r="CC77" s="330"/>
      <c r="CD77" s="330"/>
      <c r="CE77" s="330"/>
      <c r="CF77" s="330"/>
      <c r="CG77" s="330"/>
      <c r="CH77" s="330"/>
      <c r="CI77" s="330"/>
      <c r="CJ77" s="330"/>
      <c r="CK77" s="330"/>
      <c r="CL77" s="330"/>
      <c r="CM77" s="330"/>
      <c r="CN77" s="330"/>
      <c r="CO77" s="330"/>
      <c r="CP77" s="330"/>
      <c r="CQ77" s="330"/>
      <c r="CR77" s="330"/>
      <c r="CS77" s="330"/>
      <c r="CT77" s="330"/>
      <c r="CU77" s="330"/>
    </row>
    <row r="78" spans="1:99" ht="12.75" customHeight="1">
      <c r="A78" s="330"/>
      <c r="B78" s="330"/>
      <c r="C78" s="576" t="s">
        <v>406</v>
      </c>
      <c r="D78" s="330"/>
      <c r="E78" s="624">
        <v>3535</v>
      </c>
      <c r="F78" s="625">
        <v>2764</v>
      </c>
      <c r="G78" s="625">
        <v>3506</v>
      </c>
      <c r="H78" s="347">
        <f>I78-SUM(E78:G78)</f>
        <v>3088</v>
      </c>
      <c r="I78" s="626">
        <v>12893</v>
      </c>
      <c r="J78" s="624">
        <v>3527</v>
      </c>
      <c r="K78" s="625">
        <v>3118</v>
      </c>
      <c r="L78" s="625">
        <v>4144</v>
      </c>
      <c r="M78" s="347">
        <f>N78-SUM(J78:L78)</f>
        <v>3124</v>
      </c>
      <c r="N78" s="626">
        <v>13913</v>
      </c>
      <c r="O78" s="624">
        <v>3590</v>
      </c>
      <c r="P78" s="625">
        <v>3075</v>
      </c>
      <c r="Q78" s="625">
        <v>4085</v>
      </c>
      <c r="R78" s="347">
        <f>S78-SUM(O78:Q78)</f>
        <v>2937</v>
      </c>
      <c r="S78" s="626">
        <v>13687</v>
      </c>
      <c r="T78" s="624">
        <v>3166</v>
      </c>
      <c r="U78" s="625">
        <v>2929</v>
      </c>
      <c r="V78" s="625">
        <v>4059</v>
      </c>
      <c r="W78" s="347">
        <f>X78-SUM(T78:V78)</f>
        <v>3079</v>
      </c>
      <c r="X78" s="626">
        <v>13233</v>
      </c>
      <c r="Y78" s="624">
        <v>3465</v>
      </c>
      <c r="Z78" s="625">
        <v>2888</v>
      </c>
      <c r="AA78" s="1452">
        <v>3781</v>
      </c>
      <c r="AB78" s="347">
        <f>AC78-SUM(Y78:AA78)</f>
        <v>3207</v>
      </c>
      <c r="AC78" s="1454">
        <v>13341</v>
      </c>
      <c r="AD78" s="624">
        <v>3848</v>
      </c>
      <c r="AE78" s="625">
        <v>2801</v>
      </c>
      <c r="AF78" s="1452">
        <v>3551</v>
      </c>
      <c r="AG78" s="347">
        <f>AH78-SUM(AD78:AF78)</f>
        <v>3022</v>
      </c>
      <c r="AH78" s="1454">
        <v>13222</v>
      </c>
      <c r="AI78" s="624">
        <v>3968</v>
      </c>
      <c r="AJ78" s="625">
        <v>3021</v>
      </c>
      <c r="AK78" s="1452">
        <v>3940</v>
      </c>
      <c r="AL78" s="347">
        <f>AM78-SUM(AI78:AK78)</f>
        <v>2701</v>
      </c>
      <c r="AM78" s="1454">
        <v>13630</v>
      </c>
      <c r="AN78" s="624">
        <v>3415</v>
      </c>
      <c r="AO78" s="625">
        <v>2909</v>
      </c>
      <c r="AP78" s="1452">
        <v>4358</v>
      </c>
      <c r="AQ78" s="347">
        <f>AR78-SUM(AN78:AP78)</f>
        <v>2982</v>
      </c>
      <c r="AR78" s="1454">
        <v>13664</v>
      </c>
      <c r="AS78" s="624">
        <v>3378</v>
      </c>
      <c r="AT78" s="625">
        <v>2809</v>
      </c>
      <c r="AU78" s="625">
        <v>3752</v>
      </c>
      <c r="AV78" s="347">
        <f>AW78-SUM(AS78:AU78)</f>
        <v>3085</v>
      </c>
      <c r="AW78" s="1454">
        <v>13024</v>
      </c>
      <c r="AX78" s="292"/>
      <c r="AY78" s="261"/>
      <c r="AZ78" s="261"/>
      <c r="BA78" s="293"/>
      <c r="BB78" s="228"/>
      <c r="BC78" s="292"/>
      <c r="BD78" s="261"/>
      <c r="BE78" s="261"/>
      <c r="BF78" s="293"/>
      <c r="BG78" s="228"/>
      <c r="BH78" s="292"/>
      <c r="BI78" s="261"/>
      <c r="BJ78" s="261"/>
      <c r="BK78" s="293"/>
      <c r="BL78" s="228"/>
      <c r="BM78" s="292"/>
      <c r="BN78" s="261"/>
      <c r="BO78" s="261"/>
      <c r="BP78" s="293"/>
      <c r="BQ78" s="228"/>
      <c r="BR78" s="330"/>
      <c r="BS78" s="330"/>
      <c r="BT78" s="330"/>
      <c r="BU78" s="330"/>
      <c r="BV78" s="330"/>
      <c r="BW78" s="330"/>
      <c r="BX78" s="330"/>
      <c r="BY78" s="330"/>
      <c r="BZ78" s="330"/>
      <c r="CA78" s="330"/>
      <c r="CB78" s="330"/>
      <c r="CC78" s="330"/>
      <c r="CD78" s="330"/>
      <c r="CE78" s="330"/>
      <c r="CF78" s="330"/>
      <c r="CG78" s="330"/>
      <c r="CH78" s="330"/>
      <c r="CI78" s="330"/>
      <c r="CJ78" s="330"/>
      <c r="CK78" s="330"/>
      <c r="CL78" s="330"/>
      <c r="CM78" s="330"/>
      <c r="CN78" s="330"/>
      <c r="CO78" s="330"/>
      <c r="CP78" s="330"/>
      <c r="CQ78" s="330"/>
      <c r="CR78" s="330"/>
      <c r="CS78" s="330"/>
      <c r="CT78" s="330"/>
      <c r="CU78" s="330"/>
    </row>
    <row r="79" spans="1:99" ht="12.75" customHeight="1">
      <c r="A79" s="330"/>
      <c r="B79" s="330"/>
      <c r="C79" s="576" t="s">
        <v>716</v>
      </c>
      <c r="D79" s="330"/>
      <c r="E79" s="624">
        <v>2196</v>
      </c>
      <c r="F79" s="625">
        <v>2013</v>
      </c>
      <c r="G79" s="625">
        <v>2223</v>
      </c>
      <c r="H79" s="347">
        <f>I79-SUM(E79:G79)</f>
        <v>1965</v>
      </c>
      <c r="I79" s="626">
        <v>8397</v>
      </c>
      <c r="J79" s="624">
        <v>2150</v>
      </c>
      <c r="K79" s="625">
        <v>2027</v>
      </c>
      <c r="L79" s="625">
        <v>2368</v>
      </c>
      <c r="M79" s="347">
        <f>N79-SUM(J79:L79)</f>
        <v>1958</v>
      </c>
      <c r="N79" s="626">
        <v>8503</v>
      </c>
      <c r="O79" s="624">
        <v>2144</v>
      </c>
      <c r="P79" s="625">
        <v>2026</v>
      </c>
      <c r="Q79" s="625">
        <v>2272</v>
      </c>
      <c r="R79" s="347">
        <f>S79-SUM(O79:Q79)</f>
        <v>1879</v>
      </c>
      <c r="S79" s="626">
        <v>8321</v>
      </c>
      <c r="T79" s="624">
        <v>1951</v>
      </c>
      <c r="U79" s="625">
        <v>1959</v>
      </c>
      <c r="V79" s="625">
        <v>2245</v>
      </c>
      <c r="W79" s="347">
        <f>X79-SUM(T79:V79)</f>
        <v>1908</v>
      </c>
      <c r="X79" s="626">
        <v>8063</v>
      </c>
      <c r="Y79" s="624">
        <v>2009</v>
      </c>
      <c r="Z79" s="625">
        <v>1960</v>
      </c>
      <c r="AA79" s="1452">
        <v>2142</v>
      </c>
      <c r="AB79" s="347">
        <f>AC79-SUM(Y79:AA79)</f>
        <v>1990</v>
      </c>
      <c r="AC79" s="1454">
        <v>8101</v>
      </c>
      <c r="AD79" s="624">
        <v>2055</v>
      </c>
      <c r="AE79" s="625">
        <v>1947</v>
      </c>
      <c r="AF79" s="1452">
        <v>2096</v>
      </c>
      <c r="AG79" s="347">
        <f>AH79-SUM(AD79:AF79)</f>
        <v>1927</v>
      </c>
      <c r="AH79" s="1454">
        <v>8025</v>
      </c>
      <c r="AI79" s="624">
        <v>2162</v>
      </c>
      <c r="AJ79" s="625">
        <v>1925</v>
      </c>
      <c r="AK79" s="1452">
        <v>2219</v>
      </c>
      <c r="AL79" s="347">
        <f>AM79-SUM(AI79:AK79)</f>
        <v>1812</v>
      </c>
      <c r="AM79" s="1454">
        <v>8118</v>
      </c>
      <c r="AN79" s="624">
        <v>2025</v>
      </c>
      <c r="AO79" s="625">
        <v>1887</v>
      </c>
      <c r="AP79" s="1452">
        <v>2324</v>
      </c>
      <c r="AQ79" s="347">
        <f>AR79-SUM(AN79:AP79)</f>
        <v>1863</v>
      </c>
      <c r="AR79" s="1454">
        <v>8099</v>
      </c>
      <c r="AS79" s="624">
        <v>1976</v>
      </c>
      <c r="AT79" s="625">
        <v>1914</v>
      </c>
      <c r="AU79" s="625">
        <v>2158</v>
      </c>
      <c r="AV79" s="347">
        <f>AW79-SUM(AS79:AU79)</f>
        <v>1920</v>
      </c>
      <c r="AW79" s="1454">
        <v>7968</v>
      </c>
      <c r="AX79" s="292"/>
      <c r="AY79" s="261"/>
      <c r="AZ79" s="261"/>
      <c r="BA79" s="293"/>
      <c r="BB79" s="228"/>
      <c r="BC79" s="292"/>
      <c r="BD79" s="261"/>
      <c r="BE79" s="261"/>
      <c r="BF79" s="293"/>
      <c r="BG79" s="228"/>
      <c r="BH79" s="292"/>
      <c r="BI79" s="261"/>
      <c r="BJ79" s="261"/>
      <c r="BK79" s="293"/>
      <c r="BL79" s="228"/>
      <c r="BM79" s="292"/>
      <c r="BN79" s="261"/>
      <c r="BO79" s="261"/>
      <c r="BP79" s="293"/>
      <c r="BQ79" s="228"/>
      <c r="BR79" s="330"/>
      <c r="BS79" s="330"/>
      <c r="BT79" s="330"/>
      <c r="BU79" s="330"/>
      <c r="BV79" s="330"/>
      <c r="BW79" s="330"/>
      <c r="BX79" s="330"/>
      <c r="BY79" s="330"/>
      <c r="BZ79" s="330"/>
      <c r="CA79" s="330"/>
      <c r="CB79" s="330"/>
      <c r="CC79" s="330"/>
      <c r="CD79" s="330"/>
      <c r="CE79" s="330"/>
      <c r="CF79" s="330"/>
      <c r="CG79" s="330"/>
      <c r="CH79" s="330"/>
      <c r="CI79" s="330"/>
      <c r="CJ79" s="330"/>
      <c r="CK79" s="330"/>
      <c r="CL79" s="330"/>
      <c r="CM79" s="330"/>
      <c r="CN79" s="330"/>
      <c r="CO79" s="330"/>
      <c r="CP79" s="330"/>
      <c r="CQ79" s="330"/>
      <c r="CR79" s="330"/>
      <c r="CS79" s="330"/>
      <c r="CT79" s="330"/>
      <c r="CU79" s="330"/>
    </row>
    <row r="80" spans="1:99" ht="12.75" customHeight="1">
      <c r="A80" s="330"/>
      <c r="B80" s="330"/>
      <c r="C80" s="576" t="s">
        <v>717</v>
      </c>
      <c r="D80" s="330"/>
      <c r="E80" s="624">
        <v>3792</v>
      </c>
      <c r="F80" s="625">
        <v>3878</v>
      </c>
      <c r="G80" s="625">
        <v>4301</v>
      </c>
      <c r="H80" s="347">
        <f>I80-SUM(E80:G80)</f>
        <v>3877</v>
      </c>
      <c r="I80" s="626">
        <v>15848</v>
      </c>
      <c r="J80" s="624">
        <v>3794</v>
      </c>
      <c r="K80" s="625">
        <v>4156</v>
      </c>
      <c r="L80" s="625">
        <v>4447</v>
      </c>
      <c r="M80" s="347">
        <f>N80-SUM(J80:L80)</f>
        <v>3975</v>
      </c>
      <c r="N80" s="626">
        <v>16372</v>
      </c>
      <c r="O80" s="624">
        <v>3691</v>
      </c>
      <c r="P80" s="625">
        <v>3954</v>
      </c>
      <c r="Q80" s="625">
        <v>4370</v>
      </c>
      <c r="R80" s="347">
        <f>S80-SUM(O80:Q80)</f>
        <v>3662</v>
      </c>
      <c r="S80" s="626">
        <v>15677</v>
      </c>
      <c r="T80" s="624">
        <v>3637</v>
      </c>
      <c r="U80" s="625">
        <v>3743</v>
      </c>
      <c r="V80" s="625">
        <v>4165</v>
      </c>
      <c r="W80" s="347">
        <f>X80-SUM(T80:V80)</f>
        <v>3708</v>
      </c>
      <c r="X80" s="626">
        <v>15253</v>
      </c>
      <c r="Y80" s="624">
        <v>3646</v>
      </c>
      <c r="Z80" s="625">
        <v>3784</v>
      </c>
      <c r="AA80" s="1452">
        <v>4207</v>
      </c>
      <c r="AB80" s="347">
        <f>AC80-SUM(Y80:AA80)</f>
        <v>3742</v>
      </c>
      <c r="AC80" s="1454">
        <v>15379</v>
      </c>
      <c r="AD80" s="624">
        <v>3777</v>
      </c>
      <c r="AE80" s="625">
        <v>3741</v>
      </c>
      <c r="AF80" s="1452">
        <v>4086</v>
      </c>
      <c r="AG80" s="347">
        <f>AH80-SUM(AD80:AF80)</f>
        <v>3706</v>
      </c>
      <c r="AH80" s="1454">
        <v>15310</v>
      </c>
      <c r="AI80" s="624">
        <v>3734</v>
      </c>
      <c r="AJ80" s="625">
        <v>3784</v>
      </c>
      <c r="AK80" s="1452">
        <v>4227</v>
      </c>
      <c r="AL80" s="347">
        <f>AM80-SUM(AI80:AK80)</f>
        <v>3620</v>
      </c>
      <c r="AM80" s="1454">
        <v>15365</v>
      </c>
      <c r="AN80" s="624">
        <v>3594</v>
      </c>
      <c r="AO80" s="625">
        <v>3770</v>
      </c>
      <c r="AP80" s="1452">
        <v>4234</v>
      </c>
      <c r="AQ80" s="347">
        <f>AR80-SUM(AN80:AP80)</f>
        <v>3665</v>
      </c>
      <c r="AR80" s="1454">
        <v>15263</v>
      </c>
      <c r="AS80" s="624">
        <v>3626</v>
      </c>
      <c r="AT80" s="625">
        <v>3830</v>
      </c>
      <c r="AU80" s="625">
        <v>4137</v>
      </c>
      <c r="AV80" s="347">
        <f>AW80-SUM(AS80:AU80)</f>
        <v>3833</v>
      </c>
      <c r="AW80" s="1454">
        <v>15426</v>
      </c>
      <c r="AX80" s="292"/>
      <c r="AY80" s="261"/>
      <c r="AZ80" s="261"/>
      <c r="BA80" s="293"/>
      <c r="BB80" s="228"/>
      <c r="BC80" s="292"/>
      <c r="BD80" s="261"/>
      <c r="BE80" s="261"/>
      <c r="BF80" s="293"/>
      <c r="BG80" s="228"/>
      <c r="BH80" s="292"/>
      <c r="BI80" s="261"/>
      <c r="BJ80" s="261"/>
      <c r="BK80" s="293"/>
      <c r="BL80" s="228"/>
      <c r="BM80" s="292"/>
      <c r="BN80" s="261"/>
      <c r="BO80" s="261"/>
      <c r="BP80" s="293"/>
      <c r="BQ80" s="228"/>
      <c r="BR80" s="330"/>
      <c r="BS80" s="330"/>
      <c r="BT80" s="330"/>
      <c r="BU80" s="330"/>
      <c r="BV80" s="330"/>
      <c r="BW80" s="330"/>
      <c r="BX80" s="330"/>
      <c r="BY80" s="330"/>
      <c r="BZ80" s="330"/>
      <c r="CA80" s="330"/>
      <c r="CB80" s="330"/>
      <c r="CC80" s="330"/>
      <c r="CD80" s="330"/>
      <c r="CE80" s="330"/>
      <c r="CF80" s="330"/>
      <c r="CG80" s="330"/>
      <c r="CH80" s="330"/>
      <c r="CI80" s="330"/>
      <c r="CJ80" s="330"/>
      <c r="CK80" s="330"/>
      <c r="CL80" s="330"/>
      <c r="CM80" s="330"/>
      <c r="CN80" s="330"/>
      <c r="CO80" s="330"/>
      <c r="CP80" s="330"/>
      <c r="CQ80" s="330"/>
      <c r="CR80" s="330"/>
      <c r="CS80" s="330"/>
      <c r="CT80" s="330"/>
      <c r="CU80" s="330"/>
    </row>
    <row r="81" spans="1:99" ht="12.75" customHeight="1">
      <c r="A81" s="330"/>
      <c r="B81" s="330"/>
      <c r="C81" s="576" t="s">
        <v>718</v>
      </c>
      <c r="D81" s="330"/>
      <c r="E81" s="624">
        <v>246</v>
      </c>
      <c r="F81" s="625">
        <v>222</v>
      </c>
      <c r="G81" s="625">
        <v>233</v>
      </c>
      <c r="H81" s="347">
        <f>I81-SUM(E81:G81)</f>
        <v>229</v>
      </c>
      <c r="I81" s="626">
        <v>930</v>
      </c>
      <c r="J81" s="624">
        <v>246</v>
      </c>
      <c r="K81" s="625">
        <v>225</v>
      </c>
      <c r="L81" s="625">
        <v>228</v>
      </c>
      <c r="M81" s="347">
        <f>N81-SUM(J81:L81)</f>
        <v>226</v>
      </c>
      <c r="N81" s="626">
        <v>925</v>
      </c>
      <c r="O81" s="624">
        <v>242</v>
      </c>
      <c r="P81" s="625">
        <v>229</v>
      </c>
      <c r="Q81" s="625">
        <v>239</v>
      </c>
      <c r="R81" s="347">
        <f>S81-SUM(O81:Q81)</f>
        <v>235</v>
      </c>
      <c r="S81" s="626">
        <v>945</v>
      </c>
      <c r="T81" s="624">
        <v>237</v>
      </c>
      <c r="U81" s="625">
        <v>237</v>
      </c>
      <c r="V81" s="625">
        <v>240</v>
      </c>
      <c r="W81" s="347">
        <f>X81-SUM(T81:V81)</f>
        <v>229</v>
      </c>
      <c r="X81" s="626">
        <v>943</v>
      </c>
      <c r="Y81" s="624">
        <v>255</v>
      </c>
      <c r="Z81" s="625">
        <v>238</v>
      </c>
      <c r="AA81" s="1452">
        <v>219</v>
      </c>
      <c r="AB81" s="347">
        <f>AC81-SUM(Y81:AA81)</f>
        <v>218</v>
      </c>
      <c r="AC81" s="1454">
        <v>930</v>
      </c>
      <c r="AD81" s="624">
        <v>259</v>
      </c>
      <c r="AE81" s="625">
        <v>222</v>
      </c>
      <c r="AF81" s="1452">
        <v>241</v>
      </c>
      <c r="AG81" s="347">
        <f>AH81-SUM(AD81:AF81)</f>
        <v>215</v>
      </c>
      <c r="AH81" s="1454">
        <v>937</v>
      </c>
      <c r="AI81" s="624">
        <v>228</v>
      </c>
      <c r="AJ81" s="625">
        <v>214</v>
      </c>
      <c r="AK81" s="1452">
        <v>224</v>
      </c>
      <c r="AL81" s="347">
        <f>AM81-SUM(AI81:AK81)</f>
        <v>215</v>
      </c>
      <c r="AM81" s="1454">
        <v>881</v>
      </c>
      <c r="AN81" s="624">
        <v>227</v>
      </c>
      <c r="AO81" s="625">
        <v>205</v>
      </c>
      <c r="AP81" s="1452">
        <v>240</v>
      </c>
      <c r="AQ81" s="347">
        <f>AR81-SUM(AN81:AP81)</f>
        <v>218</v>
      </c>
      <c r="AR81" s="1454">
        <v>890</v>
      </c>
      <c r="AS81" s="624">
        <v>224</v>
      </c>
      <c r="AT81" s="625">
        <v>196</v>
      </c>
      <c r="AU81" s="625">
        <v>198</v>
      </c>
      <c r="AV81" s="347">
        <f>AW81-SUM(AS81:AU81)</f>
        <v>191</v>
      </c>
      <c r="AW81" s="1454">
        <v>809</v>
      </c>
      <c r="AX81" s="292"/>
      <c r="AY81" s="261"/>
      <c r="AZ81" s="261"/>
      <c r="BA81" s="293"/>
      <c r="BB81" s="228"/>
      <c r="BC81" s="292"/>
      <c r="BD81" s="261"/>
      <c r="BE81" s="261"/>
      <c r="BF81" s="293"/>
      <c r="BG81" s="228"/>
      <c r="BH81" s="292"/>
      <c r="BI81" s="261"/>
      <c r="BJ81" s="261"/>
      <c r="BK81" s="293"/>
      <c r="BL81" s="228"/>
      <c r="BM81" s="292"/>
      <c r="BN81" s="261"/>
      <c r="BO81" s="261"/>
      <c r="BP81" s="293"/>
      <c r="BQ81" s="228"/>
      <c r="BR81" s="330"/>
      <c r="BS81" s="330"/>
      <c r="BT81" s="330"/>
      <c r="BU81" s="330"/>
      <c r="BV81" s="330"/>
      <c r="BW81" s="330"/>
      <c r="BX81" s="330"/>
      <c r="BY81" s="330"/>
      <c r="BZ81" s="330"/>
      <c r="CA81" s="330"/>
      <c r="CB81" s="330"/>
      <c r="CC81" s="330"/>
      <c r="CD81" s="330"/>
      <c r="CE81" s="330"/>
      <c r="CF81" s="330"/>
      <c r="CG81" s="330"/>
      <c r="CH81" s="330"/>
      <c r="CI81" s="330"/>
      <c r="CJ81" s="330"/>
      <c r="CK81" s="330"/>
      <c r="CL81" s="330"/>
      <c r="CM81" s="330"/>
      <c r="CN81" s="330"/>
      <c r="CO81" s="330"/>
      <c r="CP81" s="330"/>
      <c r="CQ81" s="330"/>
      <c r="CR81" s="330"/>
      <c r="CS81" s="330"/>
      <c r="CT81" s="330"/>
      <c r="CU81" s="330"/>
    </row>
    <row r="82" spans="1:99" s="34" customFormat="1" ht="12.75" customHeight="1">
      <c r="A82" s="228"/>
      <c r="B82" s="228"/>
      <c r="C82" s="32" t="s">
        <v>131</v>
      </c>
      <c r="D82" s="228"/>
      <c r="E82" s="292">
        <f t="shared" ref="E82:S82" si="198">SUM(E78:E81)</f>
        <v>9769</v>
      </c>
      <c r="F82" s="261">
        <f t="shared" si="198"/>
        <v>8877</v>
      </c>
      <c r="G82" s="261">
        <f t="shared" si="198"/>
        <v>10263</v>
      </c>
      <c r="H82" s="293">
        <f t="shared" si="198"/>
        <v>9159</v>
      </c>
      <c r="I82" s="228">
        <f t="shared" si="198"/>
        <v>38068</v>
      </c>
      <c r="J82" s="292">
        <f t="shared" si="198"/>
        <v>9717</v>
      </c>
      <c r="K82" s="261">
        <f t="shared" si="198"/>
        <v>9526</v>
      </c>
      <c r="L82" s="261">
        <f t="shared" si="198"/>
        <v>11187</v>
      </c>
      <c r="M82" s="293">
        <f t="shared" si="198"/>
        <v>9283</v>
      </c>
      <c r="N82" s="228">
        <f t="shared" si="198"/>
        <v>39713</v>
      </c>
      <c r="O82" s="292">
        <f t="shared" si="198"/>
        <v>9667</v>
      </c>
      <c r="P82" s="261">
        <f t="shared" si="198"/>
        <v>9284</v>
      </c>
      <c r="Q82" s="261">
        <f t="shared" si="198"/>
        <v>10966</v>
      </c>
      <c r="R82" s="293">
        <f t="shared" si="198"/>
        <v>8713</v>
      </c>
      <c r="S82" s="228">
        <f t="shared" si="198"/>
        <v>38630</v>
      </c>
      <c r="T82" s="292">
        <f t="shared" ref="T82:AA82" si="199">SUM(T78:T81)</f>
        <v>8991</v>
      </c>
      <c r="U82" s="261">
        <f t="shared" si="199"/>
        <v>8868</v>
      </c>
      <c r="V82" s="261">
        <f t="shared" si="199"/>
        <v>10709</v>
      </c>
      <c r="W82" s="293">
        <f t="shared" si="199"/>
        <v>8924</v>
      </c>
      <c r="X82" s="228">
        <f t="shared" si="199"/>
        <v>37492</v>
      </c>
      <c r="Y82" s="292">
        <f t="shared" si="199"/>
        <v>9375</v>
      </c>
      <c r="Z82" s="261">
        <f t="shared" si="199"/>
        <v>8870</v>
      </c>
      <c r="AA82" s="1438">
        <f t="shared" si="199"/>
        <v>10349</v>
      </c>
      <c r="AB82" s="1439">
        <f>SUM(AB78:AB81)</f>
        <v>9157</v>
      </c>
      <c r="AC82" s="1440">
        <f>SUM(AC78:AC81)</f>
        <v>37751</v>
      </c>
      <c r="AD82" s="292">
        <f>SUM(AD78:AD81)</f>
        <v>9939</v>
      </c>
      <c r="AE82" s="261">
        <f>SUM(AE78:AE81)</f>
        <v>8711</v>
      </c>
      <c r="AF82" s="1438">
        <f t="shared" ref="AF82" si="200">SUM(AF78:AF81)</f>
        <v>9974</v>
      </c>
      <c r="AG82" s="1439">
        <f>SUM(AG78:AG81)</f>
        <v>8870</v>
      </c>
      <c r="AH82" s="1440">
        <f>SUM(AH78:AH81)</f>
        <v>37494</v>
      </c>
      <c r="AI82" s="292">
        <f>SUM(AI78:AI81)</f>
        <v>10092</v>
      </c>
      <c r="AJ82" s="261">
        <f>SUM(AJ78:AJ81)</f>
        <v>8944</v>
      </c>
      <c r="AK82" s="1438">
        <f t="shared" ref="AK82" si="201">SUM(AK78:AK81)</f>
        <v>10610</v>
      </c>
      <c r="AL82" s="1439">
        <f>SUM(AL78:AL81)</f>
        <v>8348</v>
      </c>
      <c r="AM82" s="1440">
        <f>SUM(AM78:AM81)</f>
        <v>37994</v>
      </c>
      <c r="AN82" s="292">
        <f>SUM(AN78:AN81)</f>
        <v>9261</v>
      </c>
      <c r="AO82" s="261">
        <f>SUM(AO78:AO81)</f>
        <v>8771</v>
      </c>
      <c r="AP82" s="1438">
        <f t="shared" ref="AP82" si="202">SUM(AP78:AP81)</f>
        <v>11156</v>
      </c>
      <c r="AQ82" s="1439">
        <f t="shared" ref="AQ82:AW82" si="203">SUM(AQ78:AQ81)</f>
        <v>8728</v>
      </c>
      <c r="AR82" s="1440">
        <f t="shared" si="203"/>
        <v>37916</v>
      </c>
      <c r="AS82" s="292">
        <f t="shared" si="203"/>
        <v>9204</v>
      </c>
      <c r="AT82" s="261">
        <f t="shared" si="203"/>
        <v>8749</v>
      </c>
      <c r="AU82" s="261">
        <f t="shared" si="203"/>
        <v>10245</v>
      </c>
      <c r="AV82" s="1439">
        <f t="shared" si="203"/>
        <v>9029</v>
      </c>
      <c r="AW82" s="1440">
        <f t="shared" si="203"/>
        <v>37227</v>
      </c>
      <c r="AX82" s="292">
        <f>+AS82*(1+AX51)</f>
        <v>9430.8081367797531</v>
      </c>
      <c r="AY82" s="261">
        <f>+AT82*(1+AY51)</f>
        <v>8894.9275424715706</v>
      </c>
      <c r="AZ82" s="261">
        <f>+AU82*(1+AZ51)</f>
        <v>10268.36672755741</v>
      </c>
      <c r="BA82" s="293">
        <f>+AV82*(1+BA51)</f>
        <v>9119.5456755663436</v>
      </c>
      <c r="BB82" s="228">
        <f>SUM(AX82:BA82)</f>
        <v>37713.648082375075</v>
      </c>
      <c r="BC82" s="292">
        <f>+AX82*(1+BC51)</f>
        <v>9525.1162181475502</v>
      </c>
      <c r="BD82" s="261">
        <f>+AY82*(1+BD51)</f>
        <v>8983.8768178962873</v>
      </c>
      <c r="BE82" s="261">
        <f>+AZ82*(1+BE51)</f>
        <v>10371.050394832984</v>
      </c>
      <c r="BF82" s="293">
        <f>+BA82*(1+BF51)</f>
        <v>9210.7411323220076</v>
      </c>
      <c r="BG82" s="228">
        <f>SUM(BC82:BF82)</f>
        <v>38090.784563198831</v>
      </c>
      <c r="BH82" s="292">
        <f>+BC82*(1+BH51)</f>
        <v>9620.3673803290258</v>
      </c>
      <c r="BI82" s="261">
        <f>+BD82*(1+BI51)</f>
        <v>9073.71558607525</v>
      </c>
      <c r="BJ82" s="261">
        <f>+BE82*(1+BJ51)</f>
        <v>10474.760898781315</v>
      </c>
      <c r="BK82" s="293">
        <f>+BF82*(1+BK51)</f>
        <v>9302.8485436452283</v>
      </c>
      <c r="BL82" s="228">
        <f>SUM(BH82:BK82)</f>
        <v>38471.692408830815</v>
      </c>
      <c r="BM82" s="292">
        <f>+BH82*(1+BM51)</f>
        <v>9716.5710541323169</v>
      </c>
      <c r="BN82" s="261">
        <f>+BI82*(1+BN51)</f>
        <v>9164.452741936002</v>
      </c>
      <c r="BO82" s="261">
        <f>+BJ82*(1+BO51)</f>
        <v>10579.508507769127</v>
      </c>
      <c r="BP82" s="293">
        <f>+BK82*(1+BP51)</f>
        <v>9395.877029081681</v>
      </c>
      <c r="BQ82" s="228">
        <f>SUM(BM82:BP82)</f>
        <v>38856.409332919131</v>
      </c>
      <c r="BR82" s="228"/>
      <c r="BS82" s="228"/>
      <c r="BT82" s="228"/>
      <c r="BU82" s="228"/>
      <c r="BV82" s="228"/>
      <c r="BW82" s="228"/>
      <c r="BX82" s="228"/>
      <c r="BY82" s="228"/>
      <c r="BZ82" s="228"/>
      <c r="CA82" s="228"/>
      <c r="CB82" s="228"/>
      <c r="CC82" s="228"/>
      <c r="CD82" s="228"/>
      <c r="CE82" s="228"/>
      <c r="CF82" s="228"/>
      <c r="CG82" s="228"/>
      <c r="CH82" s="228"/>
      <c r="CI82" s="228"/>
      <c r="CJ82" s="228"/>
      <c r="CK82" s="228"/>
      <c r="CL82" s="228"/>
      <c r="CM82" s="228"/>
      <c r="CN82" s="228"/>
      <c r="CO82" s="228"/>
      <c r="CP82" s="228"/>
      <c r="CQ82" s="228"/>
      <c r="CR82" s="228"/>
      <c r="CS82" s="228"/>
      <c r="CT82" s="228"/>
      <c r="CU82" s="228"/>
    </row>
    <row r="83" spans="1:99" ht="12.75" customHeight="1">
      <c r="A83" s="330"/>
      <c r="B83" s="330"/>
      <c r="C83" s="45"/>
      <c r="D83" s="330"/>
      <c r="E83" s="292"/>
      <c r="F83" s="261"/>
      <c r="G83" s="261"/>
      <c r="H83" s="293"/>
      <c r="I83" s="228"/>
      <c r="J83" s="292"/>
      <c r="K83" s="261"/>
      <c r="L83" s="261"/>
      <c r="M83" s="293"/>
      <c r="N83" s="228"/>
      <c r="O83" s="292"/>
      <c r="P83" s="261"/>
      <c r="Q83" s="261"/>
      <c r="R83" s="293"/>
      <c r="S83" s="228"/>
      <c r="T83" s="292"/>
      <c r="U83" s="261"/>
      <c r="V83" s="261"/>
      <c r="W83" s="293"/>
      <c r="X83" s="228"/>
      <c r="Y83" s="292"/>
      <c r="Z83" s="261"/>
      <c r="AA83" s="1438"/>
      <c r="AB83" s="1439"/>
      <c r="AC83" s="1440"/>
      <c r="AD83" s="292"/>
      <c r="AE83" s="261"/>
      <c r="AF83" s="1438"/>
      <c r="AG83" s="1439"/>
      <c r="AH83" s="1440"/>
      <c r="AI83" s="292"/>
      <c r="AJ83" s="261"/>
      <c r="AK83" s="1438"/>
      <c r="AL83" s="1439"/>
      <c r="AM83" s="1440"/>
      <c r="AN83" s="292"/>
      <c r="AO83" s="261"/>
      <c r="AP83" s="1438"/>
      <c r="AQ83" s="1439"/>
      <c r="AR83" s="1440"/>
      <c r="AS83" s="292"/>
      <c r="AT83" s="261"/>
      <c r="AU83" s="261"/>
      <c r="AV83" s="1439"/>
      <c r="AW83" s="1440"/>
      <c r="AX83" s="292"/>
      <c r="AY83" s="261"/>
      <c r="AZ83" s="261"/>
      <c r="BA83" s="293"/>
      <c r="BB83" s="228"/>
      <c r="BC83" s="292"/>
      <c r="BD83" s="261"/>
      <c r="BE83" s="261"/>
      <c r="BF83" s="293"/>
      <c r="BG83" s="228"/>
      <c r="BH83" s="292"/>
      <c r="BI83" s="261"/>
      <c r="BJ83" s="261"/>
      <c r="BK83" s="293"/>
      <c r="BL83" s="228"/>
      <c r="BM83" s="292"/>
      <c r="BN83" s="261"/>
      <c r="BO83" s="261"/>
      <c r="BP83" s="293"/>
      <c r="BQ83" s="228"/>
      <c r="BR83" s="330"/>
      <c r="BS83" s="330"/>
      <c r="BT83" s="330"/>
      <c r="BU83" s="330"/>
      <c r="BV83" s="330"/>
      <c r="BW83" s="330"/>
      <c r="BX83" s="330"/>
      <c r="BY83" s="330"/>
      <c r="BZ83" s="330"/>
      <c r="CA83" s="330"/>
      <c r="CB83" s="330"/>
      <c r="CC83" s="330"/>
      <c r="CD83" s="330"/>
      <c r="CE83" s="330"/>
      <c r="CF83" s="330"/>
      <c r="CG83" s="330"/>
      <c r="CH83" s="330"/>
      <c r="CI83" s="330"/>
      <c r="CJ83" s="330"/>
      <c r="CK83" s="330"/>
      <c r="CL83" s="330"/>
      <c r="CM83" s="330"/>
      <c r="CN83" s="330"/>
      <c r="CO83" s="330"/>
      <c r="CP83" s="330"/>
      <c r="CQ83" s="330"/>
      <c r="CR83" s="330"/>
      <c r="CS83" s="330"/>
      <c r="CT83" s="330"/>
      <c r="CU83" s="330"/>
    </row>
    <row r="84" spans="1:99" ht="12.75" customHeight="1">
      <c r="A84" s="28"/>
      <c r="B84" s="28"/>
      <c r="C84" s="28" t="s">
        <v>132</v>
      </c>
      <c r="D84" s="28"/>
      <c r="E84" s="415"/>
      <c r="F84" s="242"/>
      <c r="G84" s="242"/>
      <c r="H84" s="416"/>
      <c r="I84" s="23"/>
      <c r="J84" s="284">
        <f t="shared" ref="J84:S84" si="204">+J82/E82-1</f>
        <v>-5.3229603848909957E-3</v>
      </c>
      <c r="K84" s="241">
        <f t="shared" si="204"/>
        <v>7.3110285006195763E-2</v>
      </c>
      <c r="L84" s="241">
        <f t="shared" si="204"/>
        <v>9.0032154340836001E-2</v>
      </c>
      <c r="M84" s="285">
        <f t="shared" si="204"/>
        <v>1.3538595916584795E-2</v>
      </c>
      <c r="N84" s="25">
        <f t="shared" si="204"/>
        <v>4.3212146684879604E-2</v>
      </c>
      <c r="O84" s="284">
        <f t="shared" si="204"/>
        <v>-5.1456210764638799E-3</v>
      </c>
      <c r="P84" s="241">
        <f t="shared" si="204"/>
        <v>-2.5404157043879882E-2</v>
      </c>
      <c r="Q84" s="241">
        <f t="shared" si="204"/>
        <v>-1.9755072852417954E-2</v>
      </c>
      <c r="R84" s="285">
        <f t="shared" si="204"/>
        <v>-6.1402563826349232E-2</v>
      </c>
      <c r="S84" s="25">
        <f t="shared" si="204"/>
        <v>-2.7270667035983132E-2</v>
      </c>
      <c r="T84" s="284">
        <f t="shared" ref="T84:AA84" si="205">+T82/O82-1</f>
        <v>-6.992862315092585E-2</v>
      </c>
      <c r="U84" s="241">
        <f t="shared" si="205"/>
        <v>-4.4808272296423923E-2</v>
      </c>
      <c r="V84" s="241">
        <f t="shared" si="205"/>
        <v>-2.3436075141345936E-2</v>
      </c>
      <c r="W84" s="285">
        <f t="shared" si="205"/>
        <v>2.4216687708022544E-2</v>
      </c>
      <c r="X84" s="25">
        <f t="shared" si="205"/>
        <v>-2.94589697126586E-2</v>
      </c>
      <c r="Y84" s="284">
        <f t="shared" si="205"/>
        <v>4.2709376042709302E-2</v>
      </c>
      <c r="Z84" s="241">
        <f t="shared" si="205"/>
        <v>2.2552999548941521E-4</v>
      </c>
      <c r="AA84" s="241">
        <f t="shared" si="205"/>
        <v>-3.3616584181529574E-2</v>
      </c>
      <c r="AB84" s="285">
        <f>+AB82/W82-1</f>
        <v>2.6109367996414168E-2</v>
      </c>
      <c r="AC84" s="25">
        <f>+AC82/X82-1</f>
        <v>6.9081404032860227E-3</v>
      </c>
      <c r="AD84" s="284">
        <f>+AD82/Y82-1</f>
        <v>6.0159999999999991E-2</v>
      </c>
      <c r="AE84" s="241">
        <f>+AE82/Z82-1</f>
        <v>-1.7925591882750891E-2</v>
      </c>
      <c r="AF84" s="241">
        <f t="shared" ref="AF84" si="206">+AF82/AA82-1</f>
        <v>-3.6235385061358594E-2</v>
      </c>
      <c r="AG84" s="285">
        <f>+AG82/AB82-1</f>
        <v>-3.1342142623129843E-2</v>
      </c>
      <c r="AH84" s="25">
        <f>+AH82/AC82-1</f>
        <v>-6.8077666816772631E-3</v>
      </c>
      <c r="AI84" s="284">
        <f>+AI82/AD82-1</f>
        <v>1.5393902807123494E-2</v>
      </c>
      <c r="AJ84" s="241">
        <f>+AJ82/AE82-1</f>
        <v>2.6747790150384532E-2</v>
      </c>
      <c r="AK84" s="241">
        <f t="shared" ref="AK84" si="207">+AK82/AF82-1</f>
        <v>6.3765791056747512E-2</v>
      </c>
      <c r="AL84" s="285">
        <f>+AL82/AG82-1</f>
        <v>-5.8850056369785797E-2</v>
      </c>
      <c r="AM84" s="25">
        <f>+AM82/AH82-1</f>
        <v>1.3335467008054547E-2</v>
      </c>
      <c r="AN84" s="284">
        <f>+AN82/AI82-1</f>
        <v>-8.2342449464922751E-2</v>
      </c>
      <c r="AO84" s="241">
        <f>+AO82/AJ82-1</f>
        <v>-1.9342576028622549E-2</v>
      </c>
      <c r="AP84" s="241">
        <f t="shared" ref="AP84" si="208">+AP82/AK82-1</f>
        <v>5.1460885956644775E-2</v>
      </c>
      <c r="AQ84" s="285">
        <f>+AQ82/AL82-1</f>
        <v>4.5519885002395677E-2</v>
      </c>
      <c r="AR84" s="25">
        <f>+AR82/AM82-1</f>
        <v>-2.0529557298520906E-3</v>
      </c>
      <c r="AS84" s="284">
        <f t="shared" ref="AS84:BB84" si="209">+AS82/AN82-1</f>
        <v>-6.1548428895367158E-3</v>
      </c>
      <c r="AT84" s="241">
        <f>+AT82/AO82-1</f>
        <v>-2.5082658761829135E-3</v>
      </c>
      <c r="AU84" s="241">
        <f>+AU82/AP82-1</f>
        <v>-8.1660093223377528E-2</v>
      </c>
      <c r="AV84" s="285">
        <f>+AV82/AQ82-1</f>
        <v>3.4486709440879837E-2</v>
      </c>
      <c r="AW84" s="25">
        <f>+AW82/AR82-1</f>
        <v>-1.8171748074691463E-2</v>
      </c>
      <c r="AX84" s="284">
        <f t="shared" si="209"/>
        <v>2.464234428289358E-2</v>
      </c>
      <c r="AY84" s="241">
        <f t="shared" si="209"/>
        <v>1.6679339635566448E-2</v>
      </c>
      <c r="AZ84" s="241">
        <f t="shared" si="209"/>
        <v>2.2807933194153307E-3</v>
      </c>
      <c r="BA84" s="285">
        <f t="shared" si="209"/>
        <v>1.0028317152103616E-2</v>
      </c>
      <c r="BB84" s="25">
        <f t="shared" si="209"/>
        <v>1.3072449629975003E-2</v>
      </c>
      <c r="BC84" s="284">
        <f t="shared" ref="BC84" si="210">+BC82/AX82-1</f>
        <v>1.0000000000000009E-2</v>
      </c>
      <c r="BD84" s="241">
        <f t="shared" ref="BD84" si="211">+BD82/AY82-1</f>
        <v>1.0000000000000009E-2</v>
      </c>
      <c r="BE84" s="241">
        <f t="shared" ref="BE84" si="212">+BE82/AZ82-1</f>
        <v>1.0000000000000009E-2</v>
      </c>
      <c r="BF84" s="285">
        <f t="shared" ref="BF84" si="213">+BF82/BA82-1</f>
        <v>1.0000000000000009E-2</v>
      </c>
      <c r="BG84" s="25">
        <f t="shared" ref="BG84" si="214">+BG82/BB82-1</f>
        <v>1.0000000000000231E-2</v>
      </c>
      <c r="BH84" s="284">
        <f t="shared" ref="BH84" si="215">+BH82/BC82-1</f>
        <v>1.0000000000000009E-2</v>
      </c>
      <c r="BI84" s="241">
        <f t="shared" ref="BI84" si="216">+BI82/BD82-1</f>
        <v>1.0000000000000009E-2</v>
      </c>
      <c r="BJ84" s="241">
        <f t="shared" ref="BJ84" si="217">+BJ82/BE82-1</f>
        <v>1.0000000000000009E-2</v>
      </c>
      <c r="BK84" s="285">
        <f t="shared" ref="BK84" si="218">+BK82/BF82-1</f>
        <v>1.0000000000000009E-2</v>
      </c>
      <c r="BL84" s="25">
        <f t="shared" ref="BL84" si="219">+BL82/BG82-1</f>
        <v>9.9999999999997868E-3</v>
      </c>
      <c r="BM84" s="284">
        <f t="shared" ref="BM84" si="220">+BM82/BH82-1</f>
        <v>1.0000000000000009E-2</v>
      </c>
      <c r="BN84" s="241">
        <f t="shared" ref="BN84" si="221">+BN82/BI82-1</f>
        <v>1.0000000000000009E-2</v>
      </c>
      <c r="BO84" s="241">
        <f t="shared" ref="BO84" si="222">+BO82/BJ82-1</f>
        <v>1.0000000000000009E-2</v>
      </c>
      <c r="BP84" s="285">
        <f t="shared" ref="BP84" si="223">+BP82/BK82-1</f>
        <v>1.0000000000000009E-2</v>
      </c>
      <c r="BQ84" s="25">
        <f t="shared" ref="BQ84" si="224">+BQ82/BL82-1</f>
        <v>1.0000000000000231E-2</v>
      </c>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row>
    <row r="85" spans="1:99" ht="12.75" customHeight="1">
      <c r="A85" s="28"/>
      <c r="B85" s="28"/>
      <c r="C85" s="28"/>
      <c r="D85" s="28"/>
      <c r="E85" s="415"/>
      <c r="F85" s="242"/>
      <c r="G85" s="242"/>
      <c r="H85" s="416"/>
      <c r="I85" s="23"/>
      <c r="J85" s="284"/>
      <c r="K85" s="241"/>
      <c r="L85" s="241"/>
      <c r="M85" s="285"/>
      <c r="N85" s="25"/>
      <c r="O85" s="284"/>
      <c r="P85" s="241"/>
      <c r="Q85" s="241"/>
      <c r="R85" s="285"/>
      <c r="S85" s="25"/>
      <c r="T85" s="284"/>
      <c r="U85" s="241"/>
      <c r="V85" s="241"/>
      <c r="W85" s="285"/>
      <c r="X85" s="25"/>
      <c r="Y85" s="284"/>
      <c r="Z85" s="241"/>
      <c r="AA85" s="241"/>
      <c r="AB85" s="285"/>
      <c r="AC85" s="25"/>
      <c r="AD85" s="284"/>
      <c r="AE85" s="241"/>
      <c r="AF85" s="241"/>
      <c r="AG85" s="285"/>
      <c r="AH85" s="25"/>
      <c r="AI85" s="284"/>
      <c r="AJ85" s="241"/>
      <c r="AK85" s="241"/>
      <c r="AL85" s="285"/>
      <c r="AM85" s="25"/>
      <c r="AN85" s="284"/>
      <c r="AO85" s="241"/>
      <c r="AP85" s="241"/>
      <c r="AQ85" s="285"/>
      <c r="AR85" s="25"/>
      <c r="AS85" s="284"/>
      <c r="AT85" s="241"/>
      <c r="AU85" s="241"/>
      <c r="AV85" s="285"/>
      <c r="AW85" s="25"/>
      <c r="AX85" s="284"/>
      <c r="AY85" s="241"/>
      <c r="AZ85" s="241"/>
      <c r="BA85" s="285"/>
      <c r="BB85" s="25"/>
      <c r="BC85" s="284"/>
      <c r="BD85" s="241"/>
      <c r="BE85" s="241"/>
      <c r="BF85" s="285"/>
      <c r="BG85" s="25"/>
      <c r="BH85" s="284"/>
      <c r="BI85" s="241"/>
      <c r="BJ85" s="241"/>
      <c r="BK85" s="285"/>
      <c r="BL85" s="25"/>
      <c r="BM85" s="284"/>
      <c r="BN85" s="241"/>
      <c r="BO85" s="241"/>
      <c r="BP85" s="285"/>
      <c r="BQ85" s="25"/>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row>
    <row r="86" spans="1:99" ht="12.75" customHeight="1">
      <c r="A86" s="1"/>
      <c r="B86" s="1"/>
      <c r="C86" s="32" t="s">
        <v>133</v>
      </c>
      <c r="D86" s="1"/>
      <c r="E86" s="627">
        <f>E75/E82*1000</f>
        <v>115.26256525744702</v>
      </c>
      <c r="F86" s="628">
        <f t="shared" ref="F86:S86" si="225">F75/F82*1000</f>
        <v>124.25368930945139</v>
      </c>
      <c r="G86" s="628">
        <f t="shared" si="225"/>
        <v>123.2583065380493</v>
      </c>
      <c r="H86" s="629">
        <f t="shared" si="225"/>
        <v>115.18724751610438</v>
      </c>
      <c r="I86" s="630">
        <f t="shared" si="225"/>
        <v>119.49669013344541</v>
      </c>
      <c r="J86" s="631">
        <f t="shared" si="225"/>
        <v>116.18812390655552</v>
      </c>
      <c r="K86" s="632">
        <f t="shared" si="225"/>
        <v>123.87150955280285</v>
      </c>
      <c r="L86" s="632">
        <f t="shared" si="225"/>
        <v>128.63144721551799</v>
      </c>
      <c r="M86" s="629">
        <f t="shared" si="225"/>
        <v>117.09576645480988</v>
      </c>
      <c r="N86" s="630">
        <f t="shared" si="225"/>
        <v>121.74854581623146</v>
      </c>
      <c r="O86" s="631">
        <f>O75/O82*1000</f>
        <v>87.307334229854135</v>
      </c>
      <c r="P86" s="632">
        <f t="shared" si="225"/>
        <v>81.107281344248179</v>
      </c>
      <c r="Q86" s="632">
        <f t="shared" si="225"/>
        <v>81.251139886923212</v>
      </c>
      <c r="R86" s="629">
        <f t="shared" si="225"/>
        <v>71.272810742568581</v>
      </c>
      <c r="S86" s="630">
        <f t="shared" si="225"/>
        <v>80.481491069117268</v>
      </c>
      <c r="T86" s="631">
        <f t="shared" ref="T86:Z86" si="226">T75/T82*1000</f>
        <v>71.515960404849295</v>
      </c>
      <c r="U86" s="632">
        <f t="shared" si="226"/>
        <v>71.605773567884526</v>
      </c>
      <c r="V86" s="632">
        <f t="shared" si="226"/>
        <v>70.221309179195075</v>
      </c>
      <c r="W86" s="629">
        <f t="shared" si="226"/>
        <v>68.354997758852534</v>
      </c>
      <c r="X86" s="630">
        <f t="shared" si="226"/>
        <v>70.415021871332556</v>
      </c>
      <c r="Y86" s="631">
        <f t="shared" si="226"/>
        <v>66.453333333333333</v>
      </c>
      <c r="Z86" s="632">
        <f t="shared" si="226"/>
        <v>65.952649379932353</v>
      </c>
      <c r="AA86" s="632">
        <f t="shared" ref="AA86:AH86" si="227">AA75/AA82*1000</f>
        <v>64.933810029954586</v>
      </c>
      <c r="AB86" s="629">
        <f t="shared" si="227"/>
        <v>67.707764551709076</v>
      </c>
      <c r="AC86" s="630">
        <f t="shared" si="227"/>
        <v>66.223411300362912</v>
      </c>
      <c r="AD86" s="631">
        <f t="shared" si="227"/>
        <v>68.21611832176275</v>
      </c>
      <c r="AE86" s="632">
        <f t="shared" si="227"/>
        <v>64.171736884399039</v>
      </c>
      <c r="AF86" s="632">
        <f t="shared" si="227"/>
        <v>63.565269701223187</v>
      </c>
      <c r="AG86" s="629">
        <f t="shared" si="227"/>
        <v>65.05073280721534</v>
      </c>
      <c r="AH86" s="630">
        <f t="shared" si="227"/>
        <v>65.29044647143543</v>
      </c>
      <c r="AI86" s="631">
        <f t="shared" ref="AI86:AM86" si="228">AI75/AI82*1000</f>
        <v>67.082837891399123</v>
      </c>
      <c r="AJ86" s="632">
        <f t="shared" si="228"/>
        <v>65.071556350626111</v>
      </c>
      <c r="AK86" s="632">
        <f t="shared" si="228"/>
        <v>65.127238454288403</v>
      </c>
      <c r="AL86" s="629">
        <f t="shared" si="228"/>
        <v>64.206995687589838</v>
      </c>
      <c r="AM86" s="630">
        <f t="shared" si="228"/>
        <v>65.431383902721478</v>
      </c>
      <c r="AN86" s="631">
        <f t="shared" ref="AN86:AS86" si="229">AN75/AN82*1000</f>
        <v>69.538926681783821</v>
      </c>
      <c r="AO86" s="632">
        <f t="shared" si="229"/>
        <v>66.925094059970348</v>
      </c>
      <c r="AP86" s="632">
        <f t="shared" si="229"/>
        <v>66.332018644675514</v>
      </c>
      <c r="AQ86" s="629">
        <f t="shared" si="229"/>
        <v>64.161319890009167</v>
      </c>
      <c r="AR86" s="630">
        <f t="shared" si="229"/>
        <v>66.75282202764005</v>
      </c>
      <c r="AS86" s="631">
        <f t="shared" si="229"/>
        <v>64.102564102564102</v>
      </c>
      <c r="AT86" s="632">
        <f t="shared" ref="AT86:AW86" si="230">AT75/AT82*1000</f>
        <v>62.864327351697334</v>
      </c>
      <c r="AU86" s="632">
        <f t="shared" si="230"/>
        <v>64.616886285993175</v>
      </c>
      <c r="AV86" s="629">
        <f t="shared" si="230"/>
        <v>63.462177428286637</v>
      </c>
      <c r="AW86" s="630">
        <f t="shared" si="230"/>
        <v>63.797781180326112</v>
      </c>
      <c r="AX86" s="627">
        <f>AS86+(AX88/AX82*1000)</f>
        <v>63.174753900819525</v>
      </c>
      <c r="AY86" s="628">
        <f>AT86+(AY88/AY82*1000)</f>
        <v>61.880620631409798</v>
      </c>
      <c r="AZ86" s="628">
        <f>AU86+(AZ88/AZ82*1000)</f>
        <v>63.764754663491082</v>
      </c>
      <c r="BA86" s="629">
        <f>AV86+(BA88/BA82*1000)</f>
        <v>62.502699806123559</v>
      </c>
      <c r="BB86" s="630">
        <f>BB75/BB82*1000</f>
        <v>62.867658033329178</v>
      </c>
      <c r="BC86" s="627">
        <f>AX86+(BC88/BC82*1000)</f>
        <v>64.464501943640698</v>
      </c>
      <c r="BD86" s="628">
        <f>AY86+(BD88/BD82*1000)</f>
        <v>63.248070369314455</v>
      </c>
      <c r="BE86" s="628">
        <f>AZ86+(BE88/BE82*1000)</f>
        <v>64.94930198823657</v>
      </c>
      <c r="BF86" s="629">
        <f>BA86+(BF88/BF82*1000)</f>
        <v>63.836468698714611</v>
      </c>
      <c r="BG86" s="630">
        <f>BG75/BG82*1000</f>
        <v>64.157733849921215</v>
      </c>
      <c r="BH86" s="627">
        <f>BC86+(BH88/BH82*1000)</f>
        <v>65.893761290650147</v>
      </c>
      <c r="BI86" s="628">
        <f>BD86+(BI88/BI82*1000)</f>
        <v>64.763436359086171</v>
      </c>
      <c r="BJ86" s="628">
        <f>BE86+(BJ88/BJ82*1000)</f>
        <v>66.261981115986373</v>
      </c>
      <c r="BK86" s="629">
        <f>BF86+(BK88/BK82*1000)</f>
        <v>65.31451060550161</v>
      </c>
      <c r="BL86" s="630">
        <f>BL75/BL82*1000</f>
        <v>65.587356425801872</v>
      </c>
      <c r="BM86" s="627">
        <f>BH86+(BM88/BM82*1000)</f>
        <v>66.536992319907327</v>
      </c>
      <c r="BN86" s="628">
        <f>BI86+(BN88/BN82*1000)</f>
        <v>65.445419252772808</v>
      </c>
      <c r="BO86" s="628">
        <f>BJ86+(BO88/BO82*1000)</f>
        <v>66.852745799942184</v>
      </c>
      <c r="BP86" s="629">
        <f>BK86+(BP88/BP82*1000)</f>
        <v>65.979695982093418</v>
      </c>
      <c r="BQ86" s="630">
        <f>BQ75/BQ82*1000</f>
        <v>66.230750924397995</v>
      </c>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row>
    <row r="87" spans="1:99" ht="12.75" customHeight="1">
      <c r="A87" s="1"/>
      <c r="B87" s="1"/>
      <c r="C87" s="391"/>
      <c r="D87" s="1"/>
      <c r="E87" s="600"/>
      <c r="F87" s="251"/>
      <c r="G87" s="251"/>
      <c r="H87" s="601"/>
      <c r="I87" s="26"/>
      <c r="J87" s="600"/>
      <c r="K87" s="251"/>
      <c r="L87" s="251"/>
      <c r="M87" s="601"/>
      <c r="N87" s="26"/>
      <c r="O87" s="600"/>
      <c r="P87" s="251"/>
      <c r="Q87" s="251"/>
      <c r="R87" s="601"/>
      <c r="S87" s="26"/>
      <c r="T87" s="600"/>
      <c r="U87" s="251"/>
      <c r="V87" s="251"/>
      <c r="W87" s="601"/>
      <c r="X87" s="203"/>
      <c r="Y87" s="600"/>
      <c r="Z87" s="251"/>
      <c r="AA87" s="251"/>
      <c r="AB87" s="601"/>
      <c r="AC87" s="26"/>
      <c r="AD87" s="600"/>
      <c r="AE87" s="251"/>
      <c r="AF87" s="251"/>
      <c r="AG87" s="601"/>
      <c r="AH87" s="26"/>
      <c r="AI87" s="600"/>
      <c r="AJ87" s="251"/>
      <c r="AK87" s="251"/>
      <c r="AL87" s="601"/>
      <c r="AM87" s="26"/>
      <c r="AN87" s="600"/>
      <c r="AO87" s="251"/>
      <c r="AP87" s="251"/>
      <c r="AQ87" s="601"/>
      <c r="AR87" s="26"/>
      <c r="AS87" s="600"/>
      <c r="AT87" s="251"/>
      <c r="AU87" s="251"/>
      <c r="AV87" s="601"/>
      <c r="AW87" s="26"/>
      <c r="AX87" s="600"/>
      <c r="AY87" s="251"/>
      <c r="AZ87" s="251"/>
      <c r="BA87" s="601"/>
      <c r="BB87" s="26"/>
      <c r="BC87" s="600"/>
      <c r="BD87" s="251"/>
      <c r="BE87" s="251"/>
      <c r="BF87" s="601"/>
      <c r="BG87" s="26"/>
      <c r="BH87" s="600"/>
      <c r="BI87" s="251"/>
      <c r="BJ87" s="251"/>
      <c r="BK87" s="601"/>
      <c r="BL87" s="26"/>
      <c r="BM87" s="600"/>
      <c r="BN87" s="251"/>
      <c r="BO87" s="251"/>
      <c r="BP87" s="601"/>
      <c r="BQ87" s="26"/>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row>
    <row r="88" spans="1:99" ht="12.75" customHeight="1">
      <c r="A88" s="1"/>
      <c r="B88" s="1"/>
      <c r="C88" s="28" t="s">
        <v>134</v>
      </c>
      <c r="D88" s="1"/>
      <c r="E88" s="600"/>
      <c r="F88" s="251"/>
      <c r="G88" s="251"/>
      <c r="H88" s="601"/>
      <c r="I88" s="633"/>
      <c r="J88" s="600"/>
      <c r="K88" s="251"/>
      <c r="L88" s="251"/>
      <c r="M88" s="601"/>
      <c r="N88" s="45"/>
      <c r="O88" s="290"/>
      <c r="P88" s="260"/>
      <c r="Q88" s="260"/>
      <c r="R88" s="291"/>
      <c r="S88" s="45"/>
      <c r="T88" s="290"/>
      <c r="U88" s="260"/>
      <c r="V88" s="260"/>
      <c r="W88" s="291"/>
      <c r="X88" s="45"/>
      <c r="Y88" s="290"/>
      <c r="Z88" s="260"/>
      <c r="AA88" s="1441"/>
      <c r="AB88" s="1442"/>
      <c r="AC88" s="1443"/>
      <c r="AD88" s="290"/>
      <c r="AE88" s="260"/>
      <c r="AF88" s="260"/>
      <c r="AG88" s="1442"/>
      <c r="AH88" s="1443"/>
      <c r="AI88" s="290"/>
      <c r="AJ88" s="260"/>
      <c r="AK88" s="260"/>
      <c r="AL88" s="1442"/>
      <c r="AM88" s="1443"/>
      <c r="AN88" s="290"/>
      <c r="AO88" s="260"/>
      <c r="AP88" s="260"/>
      <c r="AQ88" s="1442"/>
      <c r="AR88" s="1443"/>
      <c r="AS88" s="290"/>
      <c r="AT88" s="260"/>
      <c r="AU88" s="260"/>
      <c r="AV88" s="1442"/>
      <c r="AW88" s="1443"/>
      <c r="AX88" s="290">
        <f>SUM(AX54:AX55)</f>
        <v>-8.75</v>
      </c>
      <c r="AY88" s="260">
        <f>SUM(AY54:AY55)</f>
        <v>-8.75</v>
      </c>
      <c r="AZ88" s="260">
        <f>SUM(AZ54:AZ55)</f>
        <v>-8.75</v>
      </c>
      <c r="BA88" s="291">
        <f>SUM(BA54:BA55)</f>
        <v>-8.75</v>
      </c>
      <c r="BB88" s="45">
        <f>SUM(AX88:BA88)</f>
        <v>-35</v>
      </c>
      <c r="BC88" s="290">
        <f>SUM(BC54:BC55)</f>
        <v>12.285</v>
      </c>
      <c r="BD88" s="260">
        <f>SUM(BD54:BD55)</f>
        <v>12.285</v>
      </c>
      <c r="BE88" s="260">
        <f>SUM(BE54:BE55)</f>
        <v>12.285</v>
      </c>
      <c r="BF88" s="291">
        <f>SUM(BF54:BF55)</f>
        <v>12.285</v>
      </c>
      <c r="BG88" s="45">
        <f>SUM(BC88:BF88)</f>
        <v>49.14</v>
      </c>
      <c r="BH88" s="290">
        <f>SUM(BH54:BH55)</f>
        <v>13.75</v>
      </c>
      <c r="BI88" s="260">
        <f>SUM(BI54:BI55)</f>
        <v>13.75</v>
      </c>
      <c r="BJ88" s="260">
        <f>SUM(BJ54:BJ55)</f>
        <v>13.75</v>
      </c>
      <c r="BK88" s="291">
        <f>SUM(BK54:BK55)</f>
        <v>13.75</v>
      </c>
      <c r="BL88" s="45">
        <f>SUM(BH88:BK88)</f>
        <v>55</v>
      </c>
      <c r="BM88" s="290">
        <f>SUM(BM54:BM55)</f>
        <v>6.25</v>
      </c>
      <c r="BN88" s="260">
        <f>SUM(BN54:BN55)</f>
        <v>6.25</v>
      </c>
      <c r="BO88" s="260">
        <f>SUM(BO54:BO55)</f>
        <v>6.25</v>
      </c>
      <c r="BP88" s="291">
        <f>SUM(BP54:BP55)</f>
        <v>6.25</v>
      </c>
      <c r="BQ88" s="45">
        <f>SUM(BM88:BP88)</f>
        <v>25</v>
      </c>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row>
    <row r="89" spans="1:99" ht="12.75" customHeight="1">
      <c r="A89" s="1"/>
      <c r="B89" s="1"/>
      <c r="C89" s="32"/>
      <c r="D89" s="1"/>
      <c r="E89" s="600"/>
      <c r="F89" s="251"/>
      <c r="G89" s="251"/>
      <c r="H89" s="601"/>
      <c r="I89" s="633"/>
      <c r="J89" s="600"/>
      <c r="K89" s="251"/>
      <c r="L89" s="251"/>
      <c r="M89" s="601"/>
      <c r="N89" s="633"/>
      <c r="O89" s="600"/>
      <c r="P89" s="251"/>
      <c r="Q89" s="251"/>
      <c r="R89" s="601"/>
      <c r="S89" s="26"/>
      <c r="T89" s="600"/>
      <c r="U89" s="251"/>
      <c r="V89" s="251"/>
      <c r="W89" s="601"/>
      <c r="X89" s="26"/>
      <c r="Y89" s="600"/>
      <c r="Z89" s="251"/>
      <c r="AA89" s="251"/>
      <c r="AB89" s="601"/>
      <c r="AC89" s="26"/>
      <c r="AD89" s="600"/>
      <c r="AE89" s="251"/>
      <c r="AF89" s="251"/>
      <c r="AG89" s="601"/>
      <c r="AH89" s="26"/>
      <c r="AI89" s="600"/>
      <c r="AJ89" s="251"/>
      <c r="AK89" s="251"/>
      <c r="AL89" s="601"/>
      <c r="AM89" s="26"/>
      <c r="AN89" s="600"/>
      <c r="AO89" s="251"/>
      <c r="AP89" s="251"/>
      <c r="AQ89" s="601"/>
      <c r="AR89" s="26"/>
      <c r="AS89" s="600"/>
      <c r="AT89" s="251"/>
      <c r="AU89" s="251"/>
      <c r="AV89" s="601"/>
      <c r="AW89" s="26"/>
      <c r="AX89" s="600"/>
      <c r="AY89" s="251"/>
      <c r="AZ89" s="251"/>
      <c r="BA89" s="601"/>
      <c r="BB89" s="26"/>
      <c r="BC89" s="600"/>
      <c r="BD89" s="251"/>
      <c r="BE89" s="251"/>
      <c r="BF89" s="601"/>
      <c r="BG89" s="26"/>
      <c r="BH89" s="600"/>
      <c r="BI89" s="251"/>
      <c r="BJ89" s="251"/>
      <c r="BK89" s="601"/>
      <c r="BL89" s="26"/>
      <c r="BM89" s="600"/>
      <c r="BN89" s="251"/>
      <c r="BO89" s="251"/>
      <c r="BP89" s="601"/>
      <c r="BQ89" s="26"/>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row>
    <row r="90" spans="1:99" s="801" customFormat="1" ht="12.75" customHeight="1">
      <c r="A90" s="24"/>
      <c r="B90" s="24"/>
      <c r="C90" s="28" t="s">
        <v>700</v>
      </c>
      <c r="D90" s="24"/>
      <c r="E90" s="308"/>
      <c r="F90" s="244"/>
      <c r="G90" s="244"/>
      <c r="H90" s="309"/>
      <c r="I90" s="427">
        <v>1564.9</v>
      </c>
      <c r="J90" s="802"/>
      <c r="K90" s="805"/>
      <c r="L90" s="805"/>
      <c r="M90" s="880"/>
      <c r="N90" s="427">
        <v>1572.681</v>
      </c>
      <c r="O90" s="802"/>
      <c r="P90" s="805"/>
      <c r="Q90" s="805"/>
      <c r="R90" s="880"/>
      <c r="S90" s="427">
        <v>1577.05</v>
      </c>
      <c r="T90" s="308"/>
      <c r="U90" s="244"/>
      <c r="V90" s="244"/>
      <c r="W90" s="309"/>
      <c r="X90" s="427">
        <v>1579.347</v>
      </c>
      <c r="Y90" s="308"/>
      <c r="Z90" s="244"/>
      <c r="AA90" s="244"/>
      <c r="AB90" s="309"/>
      <c r="AC90" s="1437">
        <v>1584.9580000000001</v>
      </c>
      <c r="AD90" s="308"/>
      <c r="AE90" s="244"/>
      <c r="AF90" s="244"/>
      <c r="AG90" s="309"/>
      <c r="AH90" s="24"/>
      <c r="AI90" s="308"/>
      <c r="AJ90" s="244"/>
      <c r="AK90" s="244"/>
      <c r="AL90" s="309"/>
      <c r="AM90" s="24"/>
      <c r="AN90" s="308"/>
      <c r="AO90" s="244"/>
      <c r="AP90" s="244"/>
      <c r="AQ90" s="309"/>
      <c r="AR90" s="24"/>
      <c r="AS90" s="308"/>
      <c r="AT90" s="244"/>
      <c r="AU90" s="244"/>
      <c r="AV90" s="309"/>
      <c r="AW90" s="24"/>
      <c r="AX90" s="308"/>
      <c r="AY90" s="244"/>
      <c r="AZ90" s="244"/>
      <c r="BA90" s="309"/>
      <c r="BB90" s="24"/>
      <c r="BC90" s="308"/>
      <c r="BD90" s="244"/>
      <c r="BE90" s="244"/>
      <c r="BF90" s="309"/>
      <c r="BG90" s="24"/>
      <c r="BH90" s="308"/>
      <c r="BI90" s="244"/>
      <c r="BJ90" s="244"/>
      <c r="BK90" s="309"/>
      <c r="BL90" s="24"/>
      <c r="BM90" s="308"/>
      <c r="BN90" s="244"/>
      <c r="BO90" s="244"/>
      <c r="BP90" s="309"/>
      <c r="BQ90" s="24"/>
      <c r="BR90" s="24"/>
      <c r="BS90" s="24"/>
      <c r="BT90" s="24"/>
      <c r="BU90" s="24"/>
      <c r="BV90" s="24"/>
      <c r="BW90" s="24"/>
      <c r="BX90" s="24"/>
      <c r="BY90" s="24"/>
      <c r="BZ90" s="24"/>
      <c r="CA90" s="24"/>
      <c r="CB90" s="24"/>
      <c r="CC90" s="24"/>
      <c r="CD90" s="24"/>
      <c r="CE90" s="24"/>
      <c r="CF90" s="24"/>
      <c r="CG90" s="24"/>
      <c r="CH90" s="24"/>
      <c r="CI90" s="24"/>
      <c r="CJ90" s="24"/>
      <c r="CK90" s="24"/>
      <c r="CL90" s="24"/>
      <c r="CM90" s="24"/>
      <c r="CN90" s="24"/>
      <c r="CO90" s="24"/>
      <c r="CP90" s="24"/>
      <c r="CQ90" s="24"/>
      <c r="CR90" s="24"/>
      <c r="CS90" s="24"/>
      <c r="CT90" s="24"/>
      <c r="CU90" s="24"/>
    </row>
    <row r="91" spans="1:99" s="527" customFormat="1" ht="12.75" customHeight="1">
      <c r="A91" s="331"/>
      <c r="B91" s="331"/>
      <c r="C91" s="445"/>
      <c r="D91" s="331"/>
      <c r="E91" s="301"/>
      <c r="F91" s="265"/>
      <c r="G91" s="265"/>
      <c r="H91" s="302"/>
      <c r="I91" s="24"/>
      <c r="J91" s="301"/>
      <c r="K91" s="265"/>
      <c r="L91" s="265"/>
      <c r="M91" s="302"/>
      <c r="N91" s="24"/>
      <c r="O91" s="301"/>
      <c r="P91" s="265"/>
      <c r="Q91" s="265"/>
      <c r="R91" s="302"/>
      <c r="S91" s="445"/>
      <c r="T91" s="301"/>
      <c r="U91" s="265"/>
      <c r="V91" s="265"/>
      <c r="W91" s="302"/>
      <c r="X91" s="445"/>
      <c r="Y91" s="301"/>
      <c r="Z91" s="265"/>
      <c r="AA91" s="265"/>
      <c r="AB91" s="302"/>
      <c r="AC91" s="445"/>
      <c r="AD91" s="301"/>
      <c r="AE91" s="265"/>
      <c r="AF91" s="265"/>
      <c r="AG91" s="302"/>
      <c r="AH91" s="445"/>
      <c r="AI91" s="301"/>
      <c r="AJ91" s="265"/>
      <c r="AK91" s="265"/>
      <c r="AL91" s="302"/>
      <c r="AM91" s="445"/>
      <c r="AN91" s="301"/>
      <c r="AO91" s="265"/>
      <c r="AP91" s="265"/>
      <c r="AQ91" s="302"/>
      <c r="AR91" s="445"/>
      <c r="AS91" s="301"/>
      <c r="AT91" s="265"/>
      <c r="AU91" s="265"/>
      <c r="AV91" s="302"/>
      <c r="AW91" s="445"/>
      <c r="AX91" s="301"/>
      <c r="AY91" s="265"/>
      <c r="AZ91" s="265"/>
      <c r="BA91" s="302"/>
      <c r="BB91" s="445"/>
      <c r="BC91" s="301"/>
      <c r="BD91" s="265"/>
      <c r="BE91" s="265"/>
      <c r="BF91" s="302"/>
      <c r="BG91" s="445"/>
      <c r="BH91" s="301"/>
      <c r="BI91" s="265"/>
      <c r="BJ91" s="265"/>
      <c r="BK91" s="302"/>
      <c r="BL91" s="445"/>
      <c r="BM91" s="301"/>
      <c r="BN91" s="265"/>
      <c r="BO91" s="265"/>
      <c r="BP91" s="302"/>
      <c r="BQ91" s="445"/>
      <c r="BR91" s="331"/>
      <c r="BS91" s="331"/>
      <c r="BT91" s="331"/>
      <c r="BU91" s="331"/>
      <c r="BV91" s="331"/>
      <c r="BW91" s="331"/>
      <c r="BX91" s="331"/>
      <c r="BY91" s="331"/>
      <c r="BZ91" s="331"/>
      <c r="CA91" s="331"/>
      <c r="CB91" s="331"/>
      <c r="CC91" s="331"/>
      <c r="CD91" s="331"/>
      <c r="CE91" s="331"/>
      <c r="CF91" s="331"/>
      <c r="CG91" s="331"/>
      <c r="CH91" s="331"/>
      <c r="CI91" s="331"/>
      <c r="CJ91" s="331"/>
      <c r="CK91" s="331"/>
      <c r="CL91" s="331"/>
      <c r="CM91" s="331"/>
      <c r="CN91" s="331"/>
      <c r="CO91" s="331"/>
      <c r="CP91" s="331"/>
      <c r="CQ91" s="331"/>
      <c r="CR91" s="331"/>
      <c r="CS91" s="331"/>
      <c r="CT91" s="331"/>
      <c r="CU91" s="331"/>
    </row>
    <row r="92" spans="1:99" ht="12.75" customHeight="1">
      <c r="A92" s="1"/>
      <c r="B92" s="1"/>
      <c r="C92" s="32" t="s">
        <v>645</v>
      </c>
      <c r="D92" s="1"/>
      <c r="E92" s="600"/>
      <c r="F92" s="251"/>
      <c r="G92" s="251"/>
      <c r="H92" s="601"/>
      <c r="I92" s="26"/>
      <c r="J92" s="600"/>
      <c r="K92" s="251"/>
      <c r="L92" s="251"/>
      <c r="M92" s="601"/>
      <c r="N92" s="26"/>
      <c r="O92" s="600"/>
      <c r="P92" s="251"/>
      <c r="Q92" s="251"/>
      <c r="R92" s="601"/>
      <c r="S92" s="26"/>
      <c r="T92" s="600"/>
      <c r="U92" s="251"/>
      <c r="V92" s="251"/>
      <c r="W92" s="601"/>
      <c r="X92" s="26"/>
      <c r="Y92" s="600"/>
      <c r="Z92" s="251"/>
      <c r="AA92" s="251"/>
      <c r="AB92" s="601"/>
      <c r="AC92" s="26"/>
      <c r="AD92" s="600"/>
      <c r="AE92" s="251"/>
      <c r="AF92" s="251"/>
      <c r="AG92" s="601"/>
      <c r="AH92" s="26"/>
      <c r="AI92" s="600"/>
      <c r="AJ92" s="251"/>
      <c r="AK92" s="251"/>
      <c r="AL92" s="601"/>
      <c r="AM92" s="26"/>
      <c r="AN92" s="600"/>
      <c r="AO92" s="251"/>
      <c r="AP92" s="251"/>
      <c r="AQ92" s="601"/>
      <c r="AR92" s="26"/>
      <c r="AS92" s="600"/>
      <c r="AT92" s="251"/>
      <c r="AU92" s="251"/>
      <c r="AV92" s="601"/>
      <c r="AW92" s="26"/>
      <c r="AX92" s="600"/>
      <c r="AY92" s="251"/>
      <c r="AZ92" s="251"/>
      <c r="BA92" s="601"/>
      <c r="BB92" s="26"/>
      <c r="BC92" s="600"/>
      <c r="BD92" s="251"/>
      <c r="BE92" s="251"/>
      <c r="BF92" s="601"/>
      <c r="BG92" s="26"/>
      <c r="BH92" s="600"/>
      <c r="BI92" s="251"/>
      <c r="BJ92" s="251"/>
      <c r="BK92" s="601"/>
      <c r="BL92" s="26"/>
      <c r="BM92" s="600"/>
      <c r="BN92" s="251"/>
      <c r="BO92" s="251"/>
      <c r="BP92" s="601"/>
      <c r="BQ92" s="26"/>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row>
    <row r="93" spans="1:99" ht="12.75" customHeight="1">
      <c r="A93" s="330"/>
      <c r="B93" s="330"/>
      <c r="C93" s="28" t="s">
        <v>1299</v>
      </c>
      <c r="D93" s="330"/>
      <c r="E93" s="300">
        <f t="shared" ref="E93:AH93" si="231">E9</f>
        <v>570</v>
      </c>
      <c r="F93" s="264">
        <f t="shared" si="231"/>
        <v>547</v>
      </c>
      <c r="G93" s="264">
        <f t="shared" si="231"/>
        <v>625</v>
      </c>
      <c r="H93" s="291">
        <f t="shared" si="231"/>
        <v>532</v>
      </c>
      <c r="I93" s="330">
        <f t="shared" si="231"/>
        <v>2274</v>
      </c>
      <c r="J93" s="300">
        <f t="shared" si="231"/>
        <v>524</v>
      </c>
      <c r="K93" s="264">
        <f t="shared" si="231"/>
        <v>535</v>
      </c>
      <c r="L93" s="264">
        <f t="shared" si="231"/>
        <v>650</v>
      </c>
      <c r="M93" s="291">
        <f t="shared" si="231"/>
        <v>652</v>
      </c>
      <c r="N93" s="330">
        <f t="shared" si="231"/>
        <v>2361</v>
      </c>
      <c r="O93" s="300">
        <f t="shared" si="231"/>
        <v>451</v>
      </c>
      <c r="P93" s="264">
        <f t="shared" si="231"/>
        <v>368</v>
      </c>
      <c r="Q93" s="264">
        <f t="shared" si="231"/>
        <v>445</v>
      </c>
      <c r="R93" s="291">
        <f t="shared" si="231"/>
        <v>283</v>
      </c>
      <c r="S93" s="330">
        <f t="shared" si="231"/>
        <v>1547</v>
      </c>
      <c r="T93" s="300">
        <f t="shared" si="231"/>
        <v>292.82938388625593</v>
      </c>
      <c r="U93" s="264">
        <f t="shared" si="231"/>
        <v>266.98039215686276</v>
      </c>
      <c r="V93" s="264">
        <f t="shared" si="231"/>
        <v>312.65086206896552</v>
      </c>
      <c r="W93" s="291">
        <f t="shared" si="231"/>
        <v>268.70084257461099</v>
      </c>
      <c r="X93" s="330">
        <f t="shared" si="231"/>
        <v>1141.1614806866953</v>
      </c>
      <c r="Y93" s="300">
        <f t="shared" si="231"/>
        <v>289.26698262243286</v>
      </c>
      <c r="Z93" s="264">
        <f t="shared" si="231"/>
        <v>232.70588235294119</v>
      </c>
      <c r="AA93" s="1441">
        <f t="shared" si="231"/>
        <v>277.16594827586209</v>
      </c>
      <c r="AB93" s="1442">
        <f t="shared" si="231"/>
        <v>279.77749576163933</v>
      </c>
      <c r="AC93" s="1443">
        <f t="shared" si="231"/>
        <v>1078.9163090128754</v>
      </c>
      <c r="AD93" s="300">
        <f t="shared" si="231"/>
        <v>330.5908372827804</v>
      </c>
      <c r="AE93" s="264">
        <f t="shared" si="231"/>
        <v>217.37254901960785</v>
      </c>
      <c r="AF93" s="1441">
        <f t="shared" si="231"/>
        <v>244.55818965517244</v>
      </c>
      <c r="AG93" s="1442">
        <f t="shared" si="231"/>
        <v>254.0272437849286</v>
      </c>
      <c r="AH93" s="1443">
        <f t="shared" si="231"/>
        <v>1046.5488197424893</v>
      </c>
      <c r="AI93" s="300">
        <f t="shared" ref="AI93:AM93" si="232">AI9</f>
        <v>312.06635071090045</v>
      </c>
      <c r="AJ93" s="264">
        <f t="shared" si="232"/>
        <v>213.76470588235296</v>
      </c>
      <c r="AK93" s="1441">
        <f t="shared" si="232"/>
        <v>266.61637931034483</v>
      </c>
      <c r="AL93" s="1442">
        <f t="shared" si="232"/>
        <v>195.17595465434158</v>
      </c>
      <c r="AM93" s="1443">
        <f t="shared" si="232"/>
        <v>987.62339055793984</v>
      </c>
      <c r="AN93" s="300">
        <f t="shared" ref="AN93:AR93" si="233">AN9</f>
        <v>244</v>
      </c>
      <c r="AO93" s="264">
        <f t="shared" si="233"/>
        <v>195.72549019607843</v>
      </c>
      <c r="AP93" s="1441">
        <f t="shared" si="233"/>
        <v>260.86206896551727</v>
      </c>
      <c r="AQ93" s="1442">
        <f t="shared" si="233"/>
        <v>168.35503740492788</v>
      </c>
      <c r="AR93" s="1443">
        <f t="shared" si="233"/>
        <v>868.94259656652355</v>
      </c>
      <c r="AS93" s="300">
        <f t="shared" ref="AS93:AT93" si="234">AS9</f>
        <v>218.15576323987537</v>
      </c>
      <c r="AT93" s="264">
        <f t="shared" si="234"/>
        <v>177.68627450980392</v>
      </c>
      <c r="AU93" s="264">
        <f t="shared" ref="AU93:AW93" si="235">AU9</f>
        <v>225.37715517241384</v>
      </c>
      <c r="AV93" s="1442">
        <f t="shared" si="235"/>
        <v>182.98842510365785</v>
      </c>
      <c r="AW93" s="1443">
        <f t="shared" si="235"/>
        <v>804.207618025751</v>
      </c>
      <c r="AX93" s="290">
        <f>+AX94*AX82/1000</f>
        <v>223.53163266492984</v>
      </c>
      <c r="AY93" s="260">
        <f>+AY94*AY82/1000</f>
        <v>180.64996423093146</v>
      </c>
      <c r="AZ93" s="260">
        <f>+AZ94*AZ82/1000</f>
        <v>225.89119388227991</v>
      </c>
      <c r="BA93" s="291">
        <f>+BA94*BA82/1000</f>
        <v>184.82349106576129</v>
      </c>
      <c r="BB93" s="45">
        <f>SUM(AX93:BA93)</f>
        <v>814.89628184390244</v>
      </c>
      <c r="BC93" s="290">
        <f>+BC94*BC82/1000</f>
        <v>225.76694899157911</v>
      </c>
      <c r="BD93" s="260">
        <f>+BD94*BD82/1000</f>
        <v>182.45646387324078</v>
      </c>
      <c r="BE93" s="260">
        <f>+BE94*BE82/1000</f>
        <v>228.1501058211027</v>
      </c>
      <c r="BF93" s="291">
        <f>+BF94*BF82/1000</f>
        <v>186.67172597641891</v>
      </c>
      <c r="BG93" s="45">
        <f>SUM(BC93:BF93)</f>
        <v>823.04524466234147</v>
      </c>
      <c r="BH93" s="290">
        <f>+BH94*BH82/1000</f>
        <v>228.02461848149491</v>
      </c>
      <c r="BI93" s="260">
        <f>+BI94*BI82/1000</f>
        <v>184.28102851197318</v>
      </c>
      <c r="BJ93" s="260">
        <f>+BJ94*BJ82/1000</f>
        <v>230.43160687931376</v>
      </c>
      <c r="BK93" s="291">
        <f>+BK94*BK82/1000</f>
        <v>188.53844323618313</v>
      </c>
      <c r="BL93" s="45">
        <f>SUM(BH93:BK93)</f>
        <v>831.27569710896501</v>
      </c>
      <c r="BM93" s="290">
        <f>+BM94*BM82/1000</f>
        <v>230.30486466630987</v>
      </c>
      <c r="BN93" s="260">
        <f>+BN94*BN82/1000</f>
        <v>186.1238387970929</v>
      </c>
      <c r="BO93" s="260">
        <f>+BO94*BO82/1000</f>
        <v>232.73592294810689</v>
      </c>
      <c r="BP93" s="291">
        <f>+BP94*BP82/1000</f>
        <v>190.42382766854496</v>
      </c>
      <c r="BQ93" s="45">
        <f>SUM(BM93:BP93)</f>
        <v>839.58845408005459</v>
      </c>
      <c r="BR93" s="330"/>
      <c r="BS93" s="330"/>
      <c r="BT93" s="330"/>
      <c r="BU93" s="330"/>
      <c r="BV93" s="330"/>
      <c r="BW93" s="330"/>
      <c r="BX93" s="330"/>
      <c r="BY93" s="330"/>
      <c r="BZ93" s="330"/>
      <c r="CA93" s="330"/>
      <c r="CB93" s="330"/>
      <c r="CC93" s="330"/>
      <c r="CD93" s="330"/>
      <c r="CE93" s="330"/>
      <c r="CF93" s="330"/>
      <c r="CG93" s="330"/>
      <c r="CH93" s="330"/>
      <c r="CI93" s="330"/>
      <c r="CJ93" s="330"/>
      <c r="CK93" s="330"/>
      <c r="CL93" s="330"/>
      <c r="CM93" s="330"/>
      <c r="CN93" s="330"/>
      <c r="CO93" s="330"/>
      <c r="CP93" s="330"/>
      <c r="CQ93" s="330"/>
      <c r="CR93" s="330"/>
      <c r="CS93" s="330"/>
      <c r="CT93" s="330"/>
      <c r="CU93" s="330"/>
    </row>
    <row r="94" spans="1:99" ht="12.75" customHeight="1">
      <c r="A94" s="1"/>
      <c r="B94" s="1"/>
      <c r="C94" s="28" t="s">
        <v>647</v>
      </c>
      <c r="D94" s="1"/>
      <c r="E94" s="634">
        <f t="shared" ref="E94:S94" si="236">+E93/E82*1000</f>
        <v>58.347834988228072</v>
      </c>
      <c r="F94" s="635">
        <f t="shared" si="236"/>
        <v>61.619916638503994</v>
      </c>
      <c r="G94" s="635">
        <f t="shared" si="236"/>
        <v>60.898372795478906</v>
      </c>
      <c r="H94" s="636">
        <f t="shared" si="236"/>
        <v>58.084943771154059</v>
      </c>
      <c r="I94" s="637">
        <f t="shared" si="236"/>
        <v>59.735210675633077</v>
      </c>
      <c r="J94" s="634">
        <f t="shared" si="236"/>
        <v>53.926108881341982</v>
      </c>
      <c r="K94" s="635">
        <f t="shared" si="236"/>
        <v>56.162082720974176</v>
      </c>
      <c r="L94" s="635">
        <f t="shared" si="236"/>
        <v>58.103155448288192</v>
      </c>
      <c r="M94" s="636">
        <f t="shared" si="236"/>
        <v>70.235915113648602</v>
      </c>
      <c r="N94" s="637">
        <f t="shared" si="236"/>
        <v>59.451564978722331</v>
      </c>
      <c r="O94" s="634">
        <f t="shared" si="236"/>
        <v>46.653563670218261</v>
      </c>
      <c r="P94" s="635">
        <f t="shared" si="236"/>
        <v>39.63808703145196</v>
      </c>
      <c r="Q94" s="635">
        <f t="shared" si="236"/>
        <v>40.579974466532924</v>
      </c>
      <c r="R94" s="636">
        <f t="shared" si="236"/>
        <v>32.480201997015953</v>
      </c>
      <c r="S94" s="637">
        <f t="shared" si="236"/>
        <v>40.046595909914572</v>
      </c>
      <c r="T94" s="634">
        <f t="shared" ref="T94:AA94" si="237">+T93/T82*1000</f>
        <v>32.569167376960955</v>
      </c>
      <c r="U94" s="635">
        <f t="shared" si="237"/>
        <v>30.106043319447764</v>
      </c>
      <c r="V94" s="635">
        <f t="shared" si="237"/>
        <v>29.19515006713657</v>
      </c>
      <c r="W94" s="636">
        <f t="shared" si="237"/>
        <v>30.109910642605445</v>
      </c>
      <c r="X94" s="637">
        <f t="shared" si="237"/>
        <v>30.437466144422686</v>
      </c>
      <c r="Y94" s="634">
        <f t="shared" si="237"/>
        <v>30.855144813059507</v>
      </c>
      <c r="Z94" s="635">
        <f t="shared" si="237"/>
        <v>26.235161482856956</v>
      </c>
      <c r="AA94" s="635">
        <f t="shared" si="237"/>
        <v>26.781906297793224</v>
      </c>
      <c r="AB94" s="636">
        <f>+AB93/AB82*1000</f>
        <v>30.553401306283646</v>
      </c>
      <c r="AC94" s="637">
        <f>+AC93/AC82*1000</f>
        <v>28.579807396171635</v>
      </c>
      <c r="AD94" s="634">
        <f>+AD93/AD82*1000</f>
        <v>33.26198181736396</v>
      </c>
      <c r="AE94" s="635">
        <f>+AE93/AE82*1000</f>
        <v>24.953799680818257</v>
      </c>
      <c r="AF94" s="635">
        <f t="shared" ref="AF94" si="238">+AF93/AF82*1000</f>
        <v>24.519569847119755</v>
      </c>
      <c r="AG94" s="636">
        <f>+AG93/AG82*1000</f>
        <v>28.638922636406832</v>
      </c>
      <c r="AH94" s="637">
        <f>+AH93/AH82*1000</f>
        <v>27.912434515988938</v>
      </c>
      <c r="AI94" s="634">
        <f>+AI93/AI82*1000</f>
        <v>30.922151279320296</v>
      </c>
      <c r="AJ94" s="635">
        <f>+AJ93/AJ82*1000</f>
        <v>23.900347258760394</v>
      </c>
      <c r="AK94" s="635">
        <f t="shared" ref="AK94" si="239">+AK93/AK82*1000</f>
        <v>25.128782215866618</v>
      </c>
      <c r="AL94" s="636">
        <f>+AL93/AL82*1000</f>
        <v>23.379965818680112</v>
      </c>
      <c r="AM94" s="637">
        <f>+AM93/AM82*1000</f>
        <v>25.994193571562349</v>
      </c>
      <c r="AN94" s="634">
        <f>+AN93/AN82*1000</f>
        <v>26.347046755210023</v>
      </c>
      <c r="AO94" s="635">
        <f>+AO93/AO82*1000</f>
        <v>22.315071279908612</v>
      </c>
      <c r="AP94" s="635">
        <f t="shared" ref="AP94" si="240">+AP93/AP82*1000</f>
        <v>23.383118408526109</v>
      </c>
      <c r="AQ94" s="636">
        <f>+AQ93/AQ82*1000</f>
        <v>19.289073946485779</v>
      </c>
      <c r="AR94" s="637">
        <f>+AR93/AR82*1000</f>
        <v>22.917570328265732</v>
      </c>
      <c r="AS94" s="634">
        <f>+AS93/AS82*1000</f>
        <v>23.702277622759169</v>
      </c>
      <c r="AT94" s="635">
        <f>+AT93/AT82*1000</f>
        <v>20.309323866705217</v>
      </c>
      <c r="AU94" s="635">
        <f t="shared" ref="AU94" si="241">+AU93/AU82*1000</f>
        <v>21.998746234496227</v>
      </c>
      <c r="AV94" s="636">
        <f>+AV93/AV82*1000</f>
        <v>20.266743283160686</v>
      </c>
      <c r="AW94" s="637">
        <f>+AW93/AW82*1000</f>
        <v>21.602804900361324</v>
      </c>
      <c r="AX94" s="634">
        <f>+AS94</f>
        <v>23.702277622759169</v>
      </c>
      <c r="AY94" s="635">
        <f>+AT94</f>
        <v>20.309323866705217</v>
      </c>
      <c r="AZ94" s="635">
        <f>+AU94</f>
        <v>21.998746234496227</v>
      </c>
      <c r="BA94" s="636">
        <f>+AV94</f>
        <v>20.266743283160686</v>
      </c>
      <c r="BB94" s="637">
        <f>+BB93/BB82*1000</f>
        <v>21.607463697597911</v>
      </c>
      <c r="BC94" s="634">
        <f>+AX94</f>
        <v>23.702277622759169</v>
      </c>
      <c r="BD94" s="635">
        <f>+AY94</f>
        <v>20.309323866705217</v>
      </c>
      <c r="BE94" s="635">
        <f>+AZ94</f>
        <v>21.998746234496227</v>
      </c>
      <c r="BF94" s="636">
        <f>+BA94</f>
        <v>20.266743283160686</v>
      </c>
      <c r="BG94" s="637">
        <f>+BG93/BG82*1000</f>
        <v>21.607463697597908</v>
      </c>
      <c r="BH94" s="634">
        <f>+BC94</f>
        <v>23.702277622759169</v>
      </c>
      <c r="BI94" s="635">
        <f>+BD94</f>
        <v>20.309323866705217</v>
      </c>
      <c r="BJ94" s="635">
        <f>+BE94</f>
        <v>21.998746234496227</v>
      </c>
      <c r="BK94" s="636">
        <f>+BF94</f>
        <v>20.266743283160686</v>
      </c>
      <c r="BL94" s="637">
        <f>+BL93/BL82*1000</f>
        <v>21.607463697597911</v>
      </c>
      <c r="BM94" s="634">
        <f>+BH94</f>
        <v>23.702277622759169</v>
      </c>
      <c r="BN94" s="635">
        <f>+BI94</f>
        <v>20.309323866705217</v>
      </c>
      <c r="BO94" s="635">
        <f>+BJ94</f>
        <v>21.998746234496227</v>
      </c>
      <c r="BP94" s="636">
        <f>+BK94</f>
        <v>20.266743283160686</v>
      </c>
      <c r="BQ94" s="637">
        <f>+BQ93/BQ82*1000</f>
        <v>21.607463697597908</v>
      </c>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row>
    <row r="95" spans="1:99" ht="12.75" customHeight="1">
      <c r="A95" s="1"/>
      <c r="B95" s="1"/>
      <c r="C95" s="32"/>
      <c r="D95" s="1"/>
      <c r="E95" s="600"/>
      <c r="F95" s="251"/>
      <c r="G95" s="251"/>
      <c r="H95" s="601"/>
      <c r="I95" s="26"/>
      <c r="J95" s="600"/>
      <c r="K95" s="251"/>
      <c r="L95" s="251"/>
      <c r="M95" s="601"/>
      <c r="N95" s="26"/>
      <c r="O95" s="600"/>
      <c r="P95" s="251"/>
      <c r="Q95" s="251"/>
      <c r="R95" s="601"/>
      <c r="S95" s="26"/>
      <c r="T95" s="600"/>
      <c r="U95" s="251"/>
      <c r="V95" s="251"/>
      <c r="W95" s="601"/>
      <c r="X95" s="26"/>
      <c r="Y95" s="600"/>
      <c r="Z95" s="251"/>
      <c r="AA95" s="251"/>
      <c r="AB95" s="601"/>
      <c r="AC95" s="26"/>
      <c r="AD95" s="600"/>
      <c r="AE95" s="251"/>
      <c r="AF95" s="251"/>
      <c r="AG95" s="601"/>
      <c r="AH95" s="26"/>
      <c r="AI95" s="600"/>
      <c r="AJ95" s="251"/>
      <c r="AK95" s="251"/>
      <c r="AL95" s="601"/>
      <c r="AM95" s="26"/>
      <c r="AN95" s="600"/>
      <c r="AO95" s="251"/>
      <c r="AP95" s="251"/>
      <c r="AQ95" s="601"/>
      <c r="AR95" s="26"/>
      <c r="AS95" s="600"/>
      <c r="AT95" s="251"/>
      <c r="AU95" s="251"/>
      <c r="AV95" s="601"/>
      <c r="AW95" s="26"/>
      <c r="AX95" s="600"/>
      <c r="AY95" s="251"/>
      <c r="AZ95" s="251"/>
      <c r="BA95" s="601"/>
      <c r="BB95" s="26"/>
      <c r="BC95" s="600"/>
      <c r="BD95" s="251"/>
      <c r="BE95" s="251"/>
      <c r="BF95" s="601"/>
      <c r="BG95" s="26"/>
      <c r="BH95" s="600"/>
      <c r="BI95" s="251"/>
      <c r="BJ95" s="251"/>
      <c r="BK95" s="601"/>
      <c r="BL95" s="26"/>
      <c r="BM95" s="600"/>
      <c r="BN95" s="251"/>
      <c r="BO95" s="251"/>
      <c r="BP95" s="601"/>
      <c r="BQ95" s="26"/>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row>
    <row r="96" spans="1:99" ht="12.75" customHeight="1">
      <c r="A96" s="1"/>
      <c r="B96" s="1"/>
      <c r="C96" s="32" t="s">
        <v>138</v>
      </c>
      <c r="D96" s="1"/>
      <c r="E96" s="292">
        <f t="shared" ref="E96:S96" si="242">+E75-E93</f>
        <v>556</v>
      </c>
      <c r="F96" s="261">
        <f t="shared" si="242"/>
        <v>556</v>
      </c>
      <c r="G96" s="261">
        <f t="shared" si="242"/>
        <v>640</v>
      </c>
      <c r="H96" s="293">
        <f t="shared" si="242"/>
        <v>523</v>
      </c>
      <c r="I96" s="228">
        <f t="shared" si="242"/>
        <v>2275</v>
      </c>
      <c r="J96" s="292">
        <f t="shared" si="242"/>
        <v>605</v>
      </c>
      <c r="K96" s="261">
        <f t="shared" si="242"/>
        <v>645</v>
      </c>
      <c r="L96" s="261">
        <f t="shared" si="242"/>
        <v>789</v>
      </c>
      <c r="M96" s="293">
        <f t="shared" si="242"/>
        <v>435</v>
      </c>
      <c r="N96" s="228">
        <f t="shared" si="242"/>
        <v>2474</v>
      </c>
      <c r="O96" s="350">
        <f t="shared" si="242"/>
        <v>393</v>
      </c>
      <c r="P96" s="351">
        <f t="shared" si="242"/>
        <v>385</v>
      </c>
      <c r="Q96" s="261">
        <f t="shared" si="242"/>
        <v>446</v>
      </c>
      <c r="R96" s="293">
        <f t="shared" si="242"/>
        <v>338</v>
      </c>
      <c r="S96" s="228">
        <f t="shared" si="242"/>
        <v>1562</v>
      </c>
      <c r="T96" s="350">
        <f t="shared" ref="T96:Z96" si="243">+T75-T93</f>
        <v>350.17061611374407</v>
      </c>
      <c r="U96" s="351">
        <f t="shared" si="243"/>
        <v>368.01960784313724</v>
      </c>
      <c r="V96" s="261">
        <f t="shared" si="243"/>
        <v>439.34913793103448</v>
      </c>
      <c r="W96" s="293">
        <f t="shared" si="243"/>
        <v>341.29915742538901</v>
      </c>
      <c r="X96" s="228">
        <f t="shared" si="243"/>
        <v>1498.8385193133047</v>
      </c>
      <c r="Y96" s="350">
        <f t="shared" si="243"/>
        <v>333.73301737756714</v>
      </c>
      <c r="Z96" s="351">
        <f t="shared" si="243"/>
        <v>352.29411764705878</v>
      </c>
      <c r="AA96" s="1438">
        <f t="shared" ref="AA96:AH96" si="244">+AA75-AA93</f>
        <v>394.83405172413791</v>
      </c>
      <c r="AB96" s="1439">
        <f t="shared" si="244"/>
        <v>340.22250423836067</v>
      </c>
      <c r="AC96" s="1440">
        <f t="shared" si="244"/>
        <v>1421.0836909871246</v>
      </c>
      <c r="AD96" s="350">
        <f t="shared" si="244"/>
        <v>347.4091627172196</v>
      </c>
      <c r="AE96" s="351">
        <f t="shared" si="244"/>
        <v>341.62745098039215</v>
      </c>
      <c r="AF96" s="1438">
        <f t="shared" si="244"/>
        <v>389.44181034482756</v>
      </c>
      <c r="AG96" s="1439">
        <f t="shared" si="244"/>
        <v>322.9727562150714</v>
      </c>
      <c r="AH96" s="1440">
        <f t="shared" si="244"/>
        <v>1401.4511802575107</v>
      </c>
      <c r="AI96" s="350">
        <f t="shared" ref="AI96:AM96" si="245">+AI75-AI93</f>
        <v>364.93364928909955</v>
      </c>
      <c r="AJ96" s="351">
        <f t="shared" si="245"/>
        <v>368.23529411764707</v>
      </c>
      <c r="AK96" s="1438">
        <f t="shared" si="245"/>
        <v>424.38362068965517</v>
      </c>
      <c r="AL96" s="1439">
        <f t="shared" si="245"/>
        <v>340.82404534565842</v>
      </c>
      <c r="AM96" s="1440">
        <f t="shared" si="245"/>
        <v>1498.3766094420603</v>
      </c>
      <c r="AN96" s="350">
        <f t="shared" ref="AN96:AR96" si="246">+AN75-AN93</f>
        <v>400</v>
      </c>
      <c r="AO96" s="351">
        <f t="shared" si="246"/>
        <v>391.27450980392155</v>
      </c>
      <c r="AP96" s="1438">
        <f t="shared" si="246"/>
        <v>479.13793103448273</v>
      </c>
      <c r="AQ96" s="1439">
        <f t="shared" si="246"/>
        <v>391.64496259507212</v>
      </c>
      <c r="AR96" s="1440">
        <f t="shared" si="246"/>
        <v>1662.0574034334763</v>
      </c>
      <c r="AS96" s="350">
        <f t="shared" ref="AS96:AT96" si="247">+AS75-AS93</f>
        <v>371.84423676012466</v>
      </c>
      <c r="AT96" s="351">
        <f t="shared" si="247"/>
        <v>372.31372549019608</v>
      </c>
      <c r="AU96" s="351">
        <f t="shared" ref="AU96:AW96" si="248">+AU75-AU93</f>
        <v>436.62284482758616</v>
      </c>
      <c r="AV96" s="1439">
        <f t="shared" si="248"/>
        <v>390.01157489634215</v>
      </c>
      <c r="AW96" s="1440">
        <f t="shared" si="248"/>
        <v>1570.7923819742491</v>
      </c>
      <c r="AX96" s="350">
        <f t="shared" ref="AX96:BB96" si="249">+AX75-AX93</f>
        <v>372.25735046197747</v>
      </c>
      <c r="AY96" s="351">
        <f t="shared" si="249"/>
        <v>369.7736725686301</v>
      </c>
      <c r="AZ96" s="351">
        <f t="shared" si="249"/>
        <v>428.86869129517311</v>
      </c>
      <c r="BA96" s="352">
        <f t="shared" si="249"/>
        <v>385.17273466239413</v>
      </c>
      <c r="BB96" s="348">
        <f t="shared" si="249"/>
        <v>1556.0724489881748</v>
      </c>
      <c r="BC96" s="350">
        <f t="shared" ref="BC96:BL96" si="250">+BC75-BC93</f>
        <v>388.26492396659722</v>
      </c>
      <c r="BD96" s="351">
        <f t="shared" si="250"/>
        <v>385.75640929431643</v>
      </c>
      <c r="BE96" s="351">
        <f t="shared" si="250"/>
        <v>445.44237820812498</v>
      </c>
      <c r="BF96" s="352">
        <f t="shared" si="250"/>
        <v>401.30946200901815</v>
      </c>
      <c r="BG96" s="348">
        <f t="shared" si="250"/>
        <v>1620.7731734780566</v>
      </c>
      <c r="BH96" s="350">
        <f t="shared" si="250"/>
        <v>405.89757320626313</v>
      </c>
      <c r="BI96" s="351">
        <f t="shared" si="250"/>
        <v>403.36397338725953</v>
      </c>
      <c r="BJ96" s="351">
        <f t="shared" si="250"/>
        <v>463.6468019902062</v>
      </c>
      <c r="BK96" s="352">
        <f t="shared" si="250"/>
        <v>419.07255662910842</v>
      </c>
      <c r="BL96" s="348">
        <f t="shared" si="250"/>
        <v>1691.9809052128373</v>
      </c>
      <c r="BM96" s="350">
        <f t="shared" ref="BM96:BQ96" si="251">+BM75-BM93</f>
        <v>416.20654893832602</v>
      </c>
      <c r="BN96" s="351">
        <f t="shared" si="251"/>
        <v>413.647613121132</v>
      </c>
      <c r="BO96" s="351">
        <f t="shared" si="251"/>
        <v>474.53327001010825</v>
      </c>
      <c r="BP96" s="352">
        <f t="shared" si="251"/>
        <v>429.51328219539948</v>
      </c>
      <c r="BQ96" s="348">
        <f t="shared" si="251"/>
        <v>1733.9007142649659</v>
      </c>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row>
    <row r="97" spans="1:99" ht="12.75" customHeight="1">
      <c r="A97" s="223"/>
      <c r="B97" s="223"/>
      <c r="C97" s="223" t="s">
        <v>623</v>
      </c>
      <c r="D97" s="223"/>
      <c r="E97" s="638"/>
      <c r="F97" s="639"/>
      <c r="G97" s="639"/>
      <c r="H97" s="640"/>
      <c r="I97" s="392"/>
      <c r="J97" s="376">
        <f t="shared" ref="J97:S97" si="252">+J96/E96-1</f>
        <v>8.8129496402877594E-2</v>
      </c>
      <c r="K97" s="377">
        <f t="shared" si="252"/>
        <v>0.16007194244604306</v>
      </c>
      <c r="L97" s="377">
        <f t="shared" si="252"/>
        <v>0.23281250000000009</v>
      </c>
      <c r="M97" s="378">
        <f t="shared" si="252"/>
        <v>-0.16826003824091773</v>
      </c>
      <c r="N97" s="375">
        <f t="shared" si="252"/>
        <v>8.7472527472527428E-2</v>
      </c>
      <c r="O97" s="376">
        <f t="shared" si="252"/>
        <v>-0.35041322314049583</v>
      </c>
      <c r="P97" s="377">
        <f t="shared" si="252"/>
        <v>-0.4031007751937985</v>
      </c>
      <c r="Q97" s="377">
        <f>+Q96/L96-1</f>
        <v>-0.43472750316856779</v>
      </c>
      <c r="R97" s="378">
        <f t="shared" si="252"/>
        <v>-0.22298850574712648</v>
      </c>
      <c r="S97" s="375">
        <f t="shared" si="252"/>
        <v>-0.36863379143088115</v>
      </c>
      <c r="T97" s="376">
        <f t="shared" ref="T97:AA97" si="253">+T96/O96-1</f>
        <v>-0.10898062057571478</v>
      </c>
      <c r="U97" s="377">
        <f t="shared" si="253"/>
        <v>-4.4104914693150032E-2</v>
      </c>
      <c r="V97" s="377">
        <f t="shared" si="253"/>
        <v>-1.4912246791402572E-2</v>
      </c>
      <c r="W97" s="378">
        <f t="shared" si="253"/>
        <v>9.7608207851744844E-3</v>
      </c>
      <c r="X97" s="375">
        <f t="shared" si="253"/>
        <v>-4.0436287251405467E-2</v>
      </c>
      <c r="Y97" s="376">
        <f t="shared" si="253"/>
        <v>-4.6941684938057726E-2</v>
      </c>
      <c r="Z97" s="377">
        <f t="shared" si="253"/>
        <v>-4.2730033565986481E-2</v>
      </c>
      <c r="AA97" s="377">
        <f t="shared" si="253"/>
        <v>-0.10132052703352334</v>
      </c>
      <c r="AB97" s="378">
        <f>+AB96/W96-1</f>
        <v>-3.1545732346663913E-3</v>
      </c>
      <c r="AC97" s="375">
        <f>+AC96/X96-1</f>
        <v>-5.1876721424135575E-2</v>
      </c>
      <c r="AD97" s="376">
        <f>+AD96/Y96-1</f>
        <v>4.0979299702252892E-2</v>
      </c>
      <c r="AE97" s="377">
        <f>+AE96/Z96-1</f>
        <v>-3.0277731396448959E-2</v>
      </c>
      <c r="AF97" s="377">
        <f t="shared" ref="AF97" si="254">+AF96/AA96-1</f>
        <v>-1.3656981599646345E-2</v>
      </c>
      <c r="AG97" s="378">
        <f>+AG96/AB96-1</f>
        <v>-5.0701372802793965E-2</v>
      </c>
      <c r="AH97" s="375">
        <f>+AH96/AC96-1</f>
        <v>-1.3815168560534663E-2</v>
      </c>
      <c r="AI97" s="376">
        <f>+AI96/AD96-1</f>
        <v>5.0443363194033974E-2</v>
      </c>
      <c r="AJ97" s="377">
        <f>+AJ96/AE96-1</f>
        <v>7.788555357860294E-2</v>
      </c>
      <c r="AK97" s="377">
        <f t="shared" ref="AK97" si="255">+AK96/AF96-1</f>
        <v>8.9722801755386161E-2</v>
      </c>
      <c r="AL97" s="378">
        <f>+AL96/AG96-1</f>
        <v>5.5271810971881496E-2</v>
      </c>
      <c r="AM97" s="375">
        <f>+AM96/AH96-1</f>
        <v>6.9160760324694204E-2</v>
      </c>
      <c r="AN97" s="376">
        <f>+AN96/AI96-1</f>
        <v>9.6089661173231367E-2</v>
      </c>
      <c r="AO97" s="377">
        <f>+AO96/AJ96-1</f>
        <v>6.256656017039397E-2</v>
      </c>
      <c r="AP97" s="377">
        <f t="shared" ref="AP97" si="256">+AP96/AK96-1</f>
        <v>0.12902079080207596</v>
      </c>
      <c r="AQ97" s="378">
        <f>+AQ96/AL96-1</f>
        <v>0.14911188909183881</v>
      </c>
      <c r="AR97" s="375">
        <f>+AR96/AM96-1</f>
        <v>0.10923875410225792</v>
      </c>
      <c r="AS97" s="376">
        <f>+AS96/AN96-1</f>
        <v>-7.03894080996883E-2</v>
      </c>
      <c r="AT97" s="377">
        <f>+AT96/AO96-1</f>
        <v>-4.8459032823853665E-2</v>
      </c>
      <c r="AU97" s="377">
        <f t="shared" ref="AU97" si="257">+AU96/AP96-1</f>
        <v>-8.873245771860383E-2</v>
      </c>
      <c r="AV97" s="378">
        <f>+AV96/AQ96-1</f>
        <v>-4.1705826826087256E-3</v>
      </c>
      <c r="AW97" s="375">
        <f>+AW96/AR96-1</f>
        <v>-5.4910872073787642E-2</v>
      </c>
      <c r="AX97" s="376">
        <f t="shared" ref="AX97:BB97" si="258">+AX96/AS96-1</f>
        <v>1.1109858941267259E-3</v>
      </c>
      <c r="AY97" s="377">
        <f t="shared" si="258"/>
        <v>-6.8223456393440296E-3</v>
      </c>
      <c r="AZ97" s="377">
        <f t="shared" si="258"/>
        <v>-1.7759385758834956E-2</v>
      </c>
      <c r="BA97" s="378">
        <f t="shared" si="258"/>
        <v>-1.2406914423588766E-2</v>
      </c>
      <c r="BB97" s="375">
        <f t="shared" si="258"/>
        <v>-9.3710239207893675E-3</v>
      </c>
      <c r="BC97" s="376">
        <f t="shared" ref="BC97" si="259">+BC96/AX96-1</f>
        <v>4.3001363128905679E-2</v>
      </c>
      <c r="BD97" s="377">
        <f t="shared" ref="BD97" si="260">+BD96/AY96-1</f>
        <v>4.3223025086297717E-2</v>
      </c>
      <c r="BE97" s="377">
        <f t="shared" ref="BE97" si="261">+BE96/AZ96-1</f>
        <v>3.864513136386738E-2</v>
      </c>
      <c r="BF97" s="378">
        <f t="shared" ref="BF97" si="262">+BF96/BA96-1</f>
        <v>4.1894780950079369E-2</v>
      </c>
      <c r="BG97" s="375">
        <f t="shared" ref="BG97" si="263">+BG96/BB96-1</f>
        <v>4.1579506488886864E-2</v>
      </c>
      <c r="BH97" s="376">
        <f t="shared" ref="BH97" si="264">+BH96/BC96-1</f>
        <v>4.5413963897451781E-2</v>
      </c>
      <c r="BI97" s="377">
        <f t="shared" ref="BI97" si="265">+BI96/BD96-1</f>
        <v>4.5644255464617034E-2</v>
      </c>
      <c r="BJ97" s="377">
        <f t="shared" ref="BJ97" si="266">+BJ96/BE96-1</f>
        <v>4.0868190079515809E-2</v>
      </c>
      <c r="BK97" s="378">
        <f t="shared" ref="BK97" si="267">+BK96/BF96-1</f>
        <v>4.4262835297143033E-2</v>
      </c>
      <c r="BL97" s="375">
        <f t="shared" ref="BL97" si="268">+BL96/BG96-1</f>
        <v>4.3934421484762343E-2</v>
      </c>
      <c r="BM97" s="376">
        <f t="shared" ref="BM97" si="269">+BM96/BH96-1</f>
        <v>2.5397973312898392E-2</v>
      </c>
      <c r="BN97" s="377">
        <f t="shared" ref="BN97" si="270">+BN96/BI96-1</f>
        <v>2.5494690682252408E-2</v>
      </c>
      <c r="BO97" s="377">
        <f t="shared" ref="BO97" si="271">+BO96/BJ96-1</f>
        <v>2.3480088664845411E-2</v>
      </c>
      <c r="BP97" s="378">
        <f t="shared" ref="BP97" si="272">+BP96/BK96-1</f>
        <v>2.4913885199911556E-2</v>
      </c>
      <c r="BQ97" s="375">
        <f t="shared" ref="BQ97" si="273">+BQ96/BL96-1</f>
        <v>2.4775580458962443E-2</v>
      </c>
      <c r="BR97" s="223"/>
      <c r="BS97" s="223"/>
      <c r="BT97" s="223"/>
      <c r="BU97" s="223"/>
      <c r="BV97" s="223"/>
      <c r="BW97" s="223"/>
      <c r="BX97" s="223"/>
      <c r="BY97" s="223"/>
      <c r="BZ97" s="223"/>
      <c r="CA97" s="223"/>
      <c r="CB97" s="223"/>
      <c r="CC97" s="223"/>
      <c r="CD97" s="223"/>
      <c r="CE97" s="223"/>
      <c r="CF97" s="223"/>
      <c r="CG97" s="223"/>
      <c r="CH97" s="223"/>
      <c r="CI97" s="223"/>
      <c r="CJ97" s="223"/>
      <c r="CK97" s="223"/>
      <c r="CL97" s="223"/>
      <c r="CM97" s="223"/>
      <c r="CN97" s="223"/>
      <c r="CO97" s="223"/>
      <c r="CP97" s="223"/>
      <c r="CQ97" s="223"/>
      <c r="CR97" s="223"/>
      <c r="CS97" s="223"/>
      <c r="CT97" s="223"/>
      <c r="CU97" s="223"/>
    </row>
    <row r="98" spans="1:99" ht="12.75" customHeight="1">
      <c r="A98" s="223"/>
      <c r="B98" s="223"/>
      <c r="C98" s="223"/>
      <c r="D98" s="223"/>
      <c r="E98" s="638"/>
      <c r="F98" s="639"/>
      <c r="G98" s="639"/>
      <c r="H98" s="640"/>
      <c r="I98" s="392"/>
      <c r="J98" s="376"/>
      <c r="K98" s="377"/>
      <c r="L98" s="377"/>
      <c r="M98" s="378"/>
      <c r="N98" s="375"/>
      <c r="O98" s="376"/>
      <c r="P98" s="377"/>
      <c r="Q98" s="377"/>
      <c r="R98" s="378"/>
      <c r="S98" s="375"/>
      <c r="T98" s="376"/>
      <c r="U98" s="377"/>
      <c r="V98" s="377"/>
      <c r="W98" s="378"/>
      <c r="X98" s="375"/>
      <c r="Y98" s="376"/>
      <c r="Z98" s="377"/>
      <c r="AA98" s="377"/>
      <c r="AB98" s="378"/>
      <c r="AC98" s="375"/>
      <c r="AD98" s="376"/>
      <c r="AE98" s="377"/>
      <c r="AF98" s="377"/>
      <c r="AG98" s="378"/>
      <c r="AH98" s="375"/>
      <c r="AI98" s="376"/>
      <c r="AJ98" s="377"/>
      <c r="AK98" s="377"/>
      <c r="AL98" s="378"/>
      <c r="AM98" s="375"/>
      <c r="AN98" s="376"/>
      <c r="AO98" s="377"/>
      <c r="AP98" s="377"/>
      <c r="AQ98" s="378"/>
      <c r="AR98" s="375"/>
      <c r="AS98" s="376"/>
      <c r="AT98" s="377"/>
      <c r="AU98" s="377"/>
      <c r="AV98" s="378"/>
      <c r="AW98" s="375"/>
      <c r="AX98" s="376"/>
      <c r="AY98" s="377"/>
      <c r="AZ98" s="377"/>
      <c r="BA98" s="378"/>
      <c r="BB98" s="375"/>
      <c r="BC98" s="376"/>
      <c r="BD98" s="377"/>
      <c r="BE98" s="377"/>
      <c r="BF98" s="378"/>
      <c r="BG98" s="375"/>
      <c r="BH98" s="376"/>
      <c r="BI98" s="377"/>
      <c r="BJ98" s="377"/>
      <c r="BK98" s="378"/>
      <c r="BL98" s="375"/>
      <c r="BM98" s="376"/>
      <c r="BN98" s="377"/>
      <c r="BO98" s="377"/>
      <c r="BP98" s="378"/>
      <c r="BQ98" s="375"/>
      <c r="BR98" s="223"/>
      <c r="BS98" s="223"/>
      <c r="BT98" s="223"/>
      <c r="BU98" s="223"/>
      <c r="BV98" s="223"/>
      <c r="BW98" s="223"/>
      <c r="BX98" s="223"/>
      <c r="BY98" s="223"/>
      <c r="BZ98" s="223"/>
      <c r="CA98" s="223"/>
      <c r="CB98" s="223"/>
      <c r="CC98" s="223"/>
      <c r="CD98" s="223"/>
      <c r="CE98" s="223"/>
      <c r="CF98" s="223"/>
      <c r="CG98" s="223"/>
      <c r="CH98" s="223"/>
      <c r="CI98" s="223"/>
      <c r="CJ98" s="223"/>
      <c r="CK98" s="223"/>
      <c r="CL98" s="223"/>
      <c r="CM98" s="223"/>
      <c r="CN98" s="223"/>
      <c r="CO98" s="223"/>
      <c r="CP98" s="223"/>
      <c r="CQ98" s="223"/>
      <c r="CR98" s="223"/>
      <c r="CS98" s="223"/>
      <c r="CT98" s="223"/>
      <c r="CU98" s="223"/>
    </row>
    <row r="99" spans="1:99" ht="12.75" customHeight="1">
      <c r="A99" s="223"/>
      <c r="B99" s="223"/>
      <c r="C99" s="32" t="s">
        <v>1254</v>
      </c>
      <c r="D99" s="223"/>
      <c r="E99" s="638"/>
      <c r="F99" s="639"/>
      <c r="G99" s="639"/>
      <c r="H99" s="640"/>
      <c r="I99" s="392"/>
      <c r="J99" s="376"/>
      <c r="K99" s="377"/>
      <c r="L99" s="377"/>
      <c r="M99" s="378"/>
      <c r="N99" s="375"/>
      <c r="O99" s="376"/>
      <c r="P99" s="377"/>
      <c r="Q99" s="377"/>
      <c r="R99" s="378"/>
      <c r="S99" s="375"/>
      <c r="T99" s="376"/>
      <c r="U99" s="377"/>
      <c r="V99" s="377"/>
      <c r="W99" s="378"/>
      <c r="X99" s="375"/>
      <c r="Y99" s="376"/>
      <c r="Z99" s="377"/>
      <c r="AA99" s="377"/>
      <c r="AB99" s="378"/>
      <c r="AC99" s="375"/>
      <c r="AD99" s="376"/>
      <c r="AE99" s="377"/>
      <c r="AF99" s="377"/>
      <c r="AG99" s="378"/>
      <c r="AH99" s="375"/>
      <c r="AI99" s="376"/>
      <c r="AJ99" s="377"/>
      <c r="AK99" s="377"/>
      <c r="AL99" s="378"/>
      <c r="AM99" s="375"/>
      <c r="AN99" s="376"/>
      <c r="AO99" s="377"/>
      <c r="AP99" s="377"/>
      <c r="AQ99" s="378"/>
      <c r="AR99" s="375"/>
      <c r="AS99" s="376"/>
      <c r="AT99" s="377"/>
      <c r="AU99" s="377"/>
      <c r="AV99" s="378"/>
      <c r="AW99" s="375"/>
      <c r="AX99" s="376"/>
      <c r="AY99" s="377"/>
      <c r="AZ99" s="377"/>
      <c r="BA99" s="378"/>
      <c r="BB99" s="375"/>
      <c r="BC99" s="376"/>
      <c r="BD99" s="377"/>
      <c r="BE99" s="377"/>
      <c r="BF99" s="378"/>
      <c r="BG99" s="375"/>
      <c r="BH99" s="376"/>
      <c r="BI99" s="377"/>
      <c r="BJ99" s="377"/>
      <c r="BK99" s="378"/>
      <c r="BL99" s="375"/>
      <c r="BM99" s="376"/>
      <c r="BN99" s="377"/>
      <c r="BO99" s="377"/>
      <c r="BP99" s="378"/>
      <c r="BQ99" s="375"/>
      <c r="BR99" s="223"/>
      <c r="BS99" s="223"/>
      <c r="BT99" s="223"/>
      <c r="BU99" s="223"/>
      <c r="BV99" s="223"/>
      <c r="BW99" s="223"/>
      <c r="BX99" s="223"/>
      <c r="BY99" s="223"/>
      <c r="BZ99" s="223"/>
      <c r="CA99" s="223"/>
      <c r="CB99" s="223"/>
      <c r="CC99" s="223"/>
      <c r="CD99" s="223"/>
      <c r="CE99" s="223"/>
      <c r="CF99" s="223"/>
      <c r="CG99" s="223"/>
      <c r="CH99" s="223"/>
      <c r="CI99" s="223"/>
      <c r="CJ99" s="223"/>
      <c r="CK99" s="223"/>
      <c r="CL99" s="223"/>
      <c r="CM99" s="223"/>
      <c r="CN99" s="223"/>
      <c r="CO99" s="223"/>
      <c r="CP99" s="223"/>
      <c r="CQ99" s="223"/>
      <c r="CR99" s="223"/>
      <c r="CS99" s="223"/>
      <c r="CT99" s="223"/>
      <c r="CU99" s="223"/>
    </row>
    <row r="100" spans="1:99" ht="12.75" customHeight="1">
      <c r="A100" s="223"/>
      <c r="B100" s="223"/>
      <c r="C100" s="28" t="s">
        <v>1255</v>
      </c>
      <c r="D100" s="223"/>
      <c r="E100" s="638"/>
      <c r="F100" s="639"/>
      <c r="G100" s="639"/>
      <c r="H100" s="640"/>
      <c r="I100" s="392"/>
      <c r="J100" s="376"/>
      <c r="K100" s="377"/>
      <c r="L100" s="377"/>
      <c r="M100" s="378"/>
      <c r="N100" s="375"/>
      <c r="O100" s="376"/>
      <c r="P100" s="377"/>
      <c r="Q100" s="377"/>
      <c r="R100" s="378"/>
      <c r="S100" s="375"/>
      <c r="T100" s="376"/>
      <c r="U100" s="377"/>
      <c r="V100" s="377"/>
      <c r="W100" s="378"/>
      <c r="X100" s="375"/>
      <c r="Y100" s="376"/>
      <c r="Z100" s="377"/>
      <c r="AA100" s="377"/>
      <c r="AB100" s="378"/>
      <c r="AC100" s="375"/>
      <c r="AD100" s="376"/>
      <c r="AE100" s="377"/>
      <c r="AF100" s="377"/>
      <c r="AG100" s="378"/>
      <c r="AH100" s="375"/>
      <c r="AI100" s="376"/>
      <c r="AJ100" s="377"/>
      <c r="AK100" s="377"/>
      <c r="AL100" s="378"/>
      <c r="AM100" s="375"/>
      <c r="AN100" s="376"/>
      <c r="AO100" s="377"/>
      <c r="AP100" s="377"/>
      <c r="AQ100" s="378"/>
      <c r="AR100" s="375"/>
      <c r="AS100" s="376"/>
      <c r="AT100" s="377"/>
      <c r="AU100" s="377"/>
      <c r="AV100" s="378"/>
      <c r="AW100" s="375"/>
      <c r="AX100" s="376"/>
      <c r="AY100" s="377"/>
      <c r="AZ100" s="377"/>
      <c r="BA100" s="378"/>
      <c r="BB100" s="375"/>
      <c r="BC100" s="376"/>
      <c r="BD100" s="377"/>
      <c r="BE100" s="377"/>
      <c r="BF100" s="378"/>
      <c r="BG100" s="375"/>
      <c r="BH100" s="376"/>
      <c r="BI100" s="377"/>
      <c r="BJ100" s="377"/>
      <c r="BK100" s="378"/>
      <c r="BL100" s="375"/>
      <c r="BM100" s="376"/>
      <c r="BN100" s="377"/>
      <c r="BO100" s="377"/>
      <c r="BP100" s="378"/>
      <c r="BQ100" s="375"/>
      <c r="BR100" s="223"/>
      <c r="BS100" s="223"/>
      <c r="BT100" s="223"/>
      <c r="BU100" s="223"/>
      <c r="BV100" s="223"/>
      <c r="BW100" s="223"/>
      <c r="BX100" s="223"/>
      <c r="BY100" s="223"/>
      <c r="BZ100" s="223"/>
      <c r="CA100" s="223"/>
      <c r="CB100" s="223"/>
      <c r="CC100" s="223"/>
      <c r="CD100" s="223"/>
      <c r="CE100" s="223"/>
      <c r="CF100" s="223"/>
      <c r="CG100" s="223"/>
      <c r="CH100" s="223"/>
      <c r="CI100" s="223"/>
      <c r="CJ100" s="223"/>
      <c r="CK100" s="223"/>
      <c r="CL100" s="223"/>
      <c r="CM100" s="223"/>
      <c r="CN100" s="223"/>
      <c r="CO100" s="223"/>
      <c r="CP100" s="223"/>
      <c r="CQ100" s="223"/>
      <c r="CR100" s="223"/>
      <c r="CS100" s="223"/>
      <c r="CT100" s="223"/>
      <c r="CU100" s="223"/>
    </row>
    <row r="101" spans="1:99" s="527" customFormat="1" ht="12.75" customHeight="1">
      <c r="A101" s="1318"/>
      <c r="B101" s="1318"/>
      <c r="C101" s="1319" t="s">
        <v>1256</v>
      </c>
      <c r="D101" s="1318"/>
      <c r="E101" s="1320"/>
      <c r="F101" s="1321"/>
      <c r="G101" s="1321"/>
      <c r="H101" s="1322"/>
      <c r="I101" s="1323"/>
      <c r="J101" s="1324"/>
      <c r="K101" s="1325"/>
      <c r="L101" s="1325"/>
      <c r="M101" s="1326"/>
      <c r="N101" s="1318"/>
      <c r="O101" s="624">
        <v>2506</v>
      </c>
      <c r="P101" s="625">
        <v>331</v>
      </c>
      <c r="Q101" s="625">
        <v>18</v>
      </c>
      <c r="R101" s="588">
        <v>1302</v>
      </c>
      <c r="S101" s="330">
        <f>SUM(O101:R101)</f>
        <v>4157</v>
      </c>
      <c r="T101" s="624">
        <v>1914</v>
      </c>
      <c r="U101" s="625">
        <v>337</v>
      </c>
      <c r="V101" s="625">
        <v>14</v>
      </c>
      <c r="W101" s="588">
        <v>1482</v>
      </c>
      <c r="X101" s="330">
        <f>SUM(T101:W101)</f>
        <v>3747</v>
      </c>
      <c r="Y101" s="624">
        <v>2440</v>
      </c>
      <c r="Z101" s="625">
        <v>421</v>
      </c>
      <c r="AA101" s="1452">
        <v>36</v>
      </c>
      <c r="AB101" s="1457">
        <v>1577</v>
      </c>
      <c r="AC101" s="1443">
        <f>SUM(Y101:AB101)</f>
        <v>4474</v>
      </c>
      <c r="AD101" s="624">
        <v>2844</v>
      </c>
      <c r="AE101" s="625">
        <v>393</v>
      </c>
      <c r="AF101" s="1452">
        <v>14</v>
      </c>
      <c r="AG101" s="1457">
        <v>1498</v>
      </c>
      <c r="AH101" s="1443">
        <f>SUM(AD101:AG101)</f>
        <v>4749</v>
      </c>
      <c r="AI101" s="624">
        <v>2934</v>
      </c>
      <c r="AJ101" s="625">
        <v>330</v>
      </c>
      <c r="AK101" s="1452">
        <v>0</v>
      </c>
      <c r="AL101" s="1457">
        <f>4245-AI101-AJ101-AK101</f>
        <v>981</v>
      </c>
      <c r="AM101" s="1443">
        <f>SUM(AI101:AL101)</f>
        <v>4245</v>
      </c>
      <c r="AN101" s="624">
        <v>2137</v>
      </c>
      <c r="AO101" s="625">
        <v>469</v>
      </c>
      <c r="AP101" s="1452">
        <v>10</v>
      </c>
      <c r="AQ101" s="1457">
        <f>4041-AN101-AO101-AP101</f>
        <v>1425</v>
      </c>
      <c r="AR101" s="1443">
        <f>SUM(AN101:AQ101)</f>
        <v>4041</v>
      </c>
      <c r="AS101" s="624">
        <v>2094</v>
      </c>
      <c r="AT101" s="625">
        <v>329</v>
      </c>
      <c r="AU101" s="625">
        <v>14</v>
      </c>
      <c r="AV101" s="1457">
        <f>3949-AS101-AT101-AU101</f>
        <v>1512</v>
      </c>
      <c r="AW101" s="1443">
        <f>SUM(AS101:AV101)</f>
        <v>3949</v>
      </c>
      <c r="AX101" s="1324"/>
      <c r="AY101" s="1325"/>
      <c r="AZ101" s="1325"/>
      <c r="BA101" s="1326"/>
      <c r="BB101" s="1318"/>
      <c r="BC101" s="1324"/>
      <c r="BD101" s="1325"/>
      <c r="BE101" s="1325"/>
      <c r="BF101" s="1326"/>
      <c r="BG101" s="1318"/>
      <c r="BH101" s="1324"/>
      <c r="BI101" s="1325"/>
      <c r="BJ101" s="1325"/>
      <c r="BK101" s="1326"/>
      <c r="BL101" s="1318"/>
      <c r="BM101" s="1324"/>
      <c r="BN101" s="1325"/>
      <c r="BO101" s="1325"/>
      <c r="BP101" s="1326"/>
      <c r="BQ101" s="1318"/>
      <c r="BR101" s="1318"/>
      <c r="BS101" s="1318"/>
      <c r="BT101" s="1318"/>
      <c r="BU101" s="1318"/>
      <c r="BV101" s="1318"/>
      <c r="BW101" s="1318"/>
      <c r="BX101" s="1318"/>
      <c r="BY101" s="1318"/>
      <c r="BZ101" s="1318"/>
      <c r="CA101" s="1318"/>
      <c r="CB101" s="1318"/>
      <c r="CC101" s="1318"/>
      <c r="CD101" s="1318"/>
      <c r="CE101" s="1318"/>
      <c r="CF101" s="1318"/>
      <c r="CG101" s="1318"/>
      <c r="CH101" s="1318"/>
      <c r="CI101" s="1318"/>
      <c r="CJ101" s="1318"/>
      <c r="CK101" s="1318"/>
      <c r="CL101" s="1318"/>
      <c r="CM101" s="1318"/>
      <c r="CN101" s="1318"/>
      <c r="CO101" s="1318"/>
      <c r="CP101" s="1318"/>
      <c r="CQ101" s="1318"/>
      <c r="CR101" s="1318"/>
      <c r="CS101" s="1318"/>
      <c r="CT101" s="1318"/>
      <c r="CU101" s="1318"/>
    </row>
    <row r="102" spans="1:99" s="527" customFormat="1" ht="12.75" customHeight="1">
      <c r="A102" s="1318"/>
      <c r="B102" s="1318"/>
      <c r="C102" s="1319" t="s">
        <v>1257</v>
      </c>
      <c r="D102" s="1318"/>
      <c r="E102" s="1320"/>
      <c r="F102" s="1321"/>
      <c r="G102" s="1321"/>
      <c r="H102" s="1322"/>
      <c r="I102" s="1323"/>
      <c r="J102" s="1324"/>
      <c r="K102" s="1325"/>
      <c r="L102" s="1325"/>
      <c r="M102" s="1326"/>
      <c r="N102" s="1318"/>
      <c r="O102" s="624">
        <v>0</v>
      </c>
      <c r="P102" s="625">
        <v>494</v>
      </c>
      <c r="Q102" s="625">
        <v>1109</v>
      </c>
      <c r="R102" s="588">
        <v>14</v>
      </c>
      <c r="S102" s="330">
        <f>SUM(O102:R102)</f>
        <v>1617</v>
      </c>
      <c r="T102" s="624">
        <v>4</v>
      </c>
      <c r="U102" s="625">
        <v>430</v>
      </c>
      <c r="V102" s="625">
        <v>1138</v>
      </c>
      <c r="W102" s="588">
        <v>31</v>
      </c>
      <c r="X102" s="330">
        <f>SUM(T102:W102)</f>
        <v>1603</v>
      </c>
      <c r="Y102" s="624">
        <v>0</v>
      </c>
      <c r="Z102" s="625">
        <v>418</v>
      </c>
      <c r="AA102" s="1452">
        <v>928</v>
      </c>
      <c r="AB102" s="1457">
        <v>65</v>
      </c>
      <c r="AC102" s="1443">
        <f>SUM(Y102:AB102)</f>
        <v>1411</v>
      </c>
      <c r="AD102" s="624">
        <v>0</v>
      </c>
      <c r="AE102" s="625">
        <v>375</v>
      </c>
      <c r="AF102" s="1452">
        <v>911</v>
      </c>
      <c r="AG102" s="1457">
        <v>25</v>
      </c>
      <c r="AH102" s="1443">
        <f>SUM(AD102:AG102)</f>
        <v>1311</v>
      </c>
      <c r="AI102" s="624">
        <v>0</v>
      </c>
      <c r="AJ102" s="625">
        <v>513</v>
      </c>
      <c r="AK102" s="1452">
        <v>1186</v>
      </c>
      <c r="AL102" s="1457">
        <f>1720-AI102-AJ102-AK102</f>
        <v>21</v>
      </c>
      <c r="AM102" s="1443">
        <f>SUM(AI102:AL102)</f>
        <v>1720</v>
      </c>
      <c r="AN102" s="624">
        <v>5</v>
      </c>
      <c r="AO102" s="625">
        <v>391</v>
      </c>
      <c r="AP102" s="1452">
        <v>1288</v>
      </c>
      <c r="AQ102" s="1457">
        <f>1726-AN102-AO102-AP102</f>
        <v>42</v>
      </c>
      <c r="AR102" s="1443">
        <f>SUM(AN102:AQ102)</f>
        <v>1726</v>
      </c>
      <c r="AS102" s="624">
        <v>0</v>
      </c>
      <c r="AT102" s="625">
        <v>415</v>
      </c>
      <c r="AU102" s="625">
        <v>989</v>
      </c>
      <c r="AV102" s="1457">
        <f>1490-AS102-AT102-AU102</f>
        <v>86</v>
      </c>
      <c r="AW102" s="1443">
        <f>SUM(AS102:AV102)</f>
        <v>1490</v>
      </c>
      <c r="AX102" s="1324"/>
      <c r="AY102" s="1325"/>
      <c r="AZ102" s="1325"/>
      <c r="BA102" s="1326"/>
      <c r="BB102" s="1318"/>
      <c r="BC102" s="1324"/>
      <c r="BD102" s="1325"/>
      <c r="BE102" s="1325"/>
      <c r="BF102" s="1326"/>
      <c r="BG102" s="1318"/>
      <c r="BH102" s="1324"/>
      <c r="BI102" s="1325"/>
      <c r="BJ102" s="1325"/>
      <c r="BK102" s="1326"/>
      <c r="BL102" s="1318"/>
      <c r="BM102" s="1324"/>
      <c r="BN102" s="1325"/>
      <c r="BO102" s="1325"/>
      <c r="BP102" s="1326"/>
      <c r="BQ102" s="1318"/>
      <c r="BR102" s="1318"/>
      <c r="BS102" s="1318"/>
      <c r="BT102" s="1318"/>
      <c r="BU102" s="1318"/>
      <c r="BV102" s="1318"/>
      <c r="BW102" s="1318"/>
      <c r="BX102" s="1318"/>
      <c r="BY102" s="1318"/>
      <c r="BZ102" s="1318"/>
      <c r="CA102" s="1318"/>
      <c r="CB102" s="1318"/>
      <c r="CC102" s="1318"/>
      <c r="CD102" s="1318"/>
      <c r="CE102" s="1318"/>
      <c r="CF102" s="1318"/>
      <c r="CG102" s="1318"/>
      <c r="CH102" s="1318"/>
      <c r="CI102" s="1318"/>
      <c r="CJ102" s="1318"/>
      <c r="CK102" s="1318"/>
      <c r="CL102" s="1318"/>
      <c r="CM102" s="1318"/>
      <c r="CN102" s="1318"/>
      <c r="CO102" s="1318"/>
      <c r="CP102" s="1318"/>
      <c r="CQ102" s="1318"/>
      <c r="CR102" s="1318"/>
      <c r="CS102" s="1318"/>
      <c r="CT102" s="1318"/>
      <c r="CU102" s="1318"/>
    </row>
    <row r="103" spans="1:99" s="527" customFormat="1" ht="12.75" customHeight="1">
      <c r="A103" s="1318"/>
      <c r="B103" s="1318"/>
      <c r="C103" s="1319"/>
      <c r="D103" s="1318"/>
      <c r="E103" s="1320"/>
      <c r="F103" s="1321"/>
      <c r="G103" s="1321"/>
      <c r="H103" s="1322"/>
      <c r="I103" s="1323"/>
      <c r="J103" s="1324"/>
      <c r="K103" s="1325"/>
      <c r="L103" s="1325"/>
      <c r="M103" s="1326"/>
      <c r="N103" s="1318"/>
      <c r="O103" s="624"/>
      <c r="P103" s="625"/>
      <c r="Q103" s="625"/>
      <c r="R103" s="588"/>
      <c r="S103" s="1318"/>
      <c r="T103" s="624"/>
      <c r="U103" s="625"/>
      <c r="V103" s="625"/>
      <c r="W103" s="588"/>
      <c r="X103" s="330"/>
      <c r="Y103" s="624"/>
      <c r="Z103" s="625"/>
      <c r="AA103" s="1452"/>
      <c r="AB103" s="1457"/>
      <c r="AC103" s="1443"/>
      <c r="AD103" s="624"/>
      <c r="AE103" s="625"/>
      <c r="AF103" s="1452"/>
      <c r="AG103" s="1457"/>
      <c r="AH103" s="1443"/>
      <c r="AI103" s="624"/>
      <c r="AJ103" s="625"/>
      <c r="AK103" s="1452"/>
      <c r="AL103" s="1457"/>
      <c r="AM103" s="1443"/>
      <c r="AN103" s="624"/>
      <c r="AO103" s="625"/>
      <c r="AP103" s="1452"/>
      <c r="AQ103" s="1457"/>
      <c r="AR103" s="1443"/>
      <c r="AS103" s="624"/>
      <c r="AT103" s="625"/>
      <c r="AU103" s="625"/>
      <c r="AV103" s="1457"/>
      <c r="AW103" s="1443"/>
      <c r="AX103" s="1324"/>
      <c r="AY103" s="1325"/>
      <c r="AZ103" s="1325"/>
      <c r="BA103" s="1326"/>
      <c r="BB103" s="1318"/>
      <c r="BC103" s="1324"/>
      <c r="BD103" s="1325"/>
      <c r="BE103" s="1325"/>
      <c r="BF103" s="1326"/>
      <c r="BG103" s="1318"/>
      <c r="BH103" s="1324"/>
      <c r="BI103" s="1325"/>
      <c r="BJ103" s="1325"/>
      <c r="BK103" s="1326"/>
      <c r="BL103" s="1318"/>
      <c r="BM103" s="1324"/>
      <c r="BN103" s="1325"/>
      <c r="BO103" s="1325"/>
      <c r="BP103" s="1326"/>
      <c r="BQ103" s="1318"/>
      <c r="BR103" s="1318"/>
      <c r="BS103" s="1318"/>
      <c r="BT103" s="1318"/>
      <c r="BU103" s="1318"/>
      <c r="BV103" s="1318"/>
      <c r="BW103" s="1318"/>
      <c r="BX103" s="1318"/>
      <c r="BY103" s="1318"/>
      <c r="BZ103" s="1318"/>
      <c r="CA103" s="1318"/>
      <c r="CB103" s="1318"/>
      <c r="CC103" s="1318"/>
      <c r="CD103" s="1318"/>
      <c r="CE103" s="1318"/>
      <c r="CF103" s="1318"/>
      <c r="CG103" s="1318"/>
      <c r="CH103" s="1318"/>
      <c r="CI103" s="1318"/>
      <c r="CJ103" s="1318"/>
      <c r="CK103" s="1318"/>
      <c r="CL103" s="1318"/>
      <c r="CM103" s="1318"/>
      <c r="CN103" s="1318"/>
      <c r="CO103" s="1318"/>
      <c r="CP103" s="1318"/>
      <c r="CQ103" s="1318"/>
      <c r="CR103" s="1318"/>
      <c r="CS103" s="1318"/>
      <c r="CT103" s="1318"/>
      <c r="CU103" s="1318"/>
    </row>
    <row r="104" spans="1:99" s="527" customFormat="1" ht="12.75" customHeight="1">
      <c r="A104" s="331"/>
      <c r="B104" s="331"/>
      <c r="C104" s="24" t="s">
        <v>1258</v>
      </c>
      <c r="D104" s="331"/>
      <c r="E104" s="301"/>
      <c r="F104" s="265"/>
      <c r="G104" s="265"/>
      <c r="H104" s="302"/>
      <c r="I104" s="445"/>
      <c r="J104" s="301"/>
      <c r="K104" s="265"/>
      <c r="L104" s="265"/>
      <c r="M104" s="302"/>
      <c r="N104" s="445"/>
      <c r="O104" s="624"/>
      <c r="P104" s="625"/>
      <c r="Q104" s="625"/>
      <c r="R104" s="588"/>
      <c r="S104" s="445"/>
      <c r="T104" s="624"/>
      <c r="U104" s="625"/>
      <c r="V104" s="625"/>
      <c r="W104" s="588"/>
      <c r="X104" s="330"/>
      <c r="Y104" s="624"/>
      <c r="Z104" s="625"/>
      <c r="AA104" s="1452"/>
      <c r="AB104" s="1457"/>
      <c r="AC104" s="1443"/>
      <c r="AD104" s="624"/>
      <c r="AE104" s="625"/>
      <c r="AF104" s="1452"/>
      <c r="AG104" s="1457"/>
      <c r="AH104" s="1443"/>
      <c r="AI104" s="624"/>
      <c r="AJ104" s="625"/>
      <c r="AK104" s="1452"/>
      <c r="AL104" s="1457"/>
      <c r="AM104" s="1443"/>
      <c r="AN104" s="624"/>
      <c r="AO104" s="625"/>
      <c r="AP104" s="1452"/>
      <c r="AQ104" s="1457"/>
      <c r="AR104" s="1443"/>
      <c r="AS104" s="624"/>
      <c r="AT104" s="625"/>
      <c r="AU104" s="625"/>
      <c r="AV104" s="1457"/>
      <c r="AW104" s="1443"/>
      <c r="AX104" s="301"/>
      <c r="AY104" s="265"/>
      <c r="AZ104" s="265"/>
      <c r="BA104" s="302"/>
      <c r="BB104" s="445"/>
      <c r="BC104" s="301"/>
      <c r="BD104" s="265"/>
      <c r="BE104" s="265"/>
      <c r="BF104" s="302"/>
      <c r="BG104" s="445"/>
      <c r="BH104" s="301"/>
      <c r="BI104" s="265"/>
      <c r="BJ104" s="265"/>
      <c r="BK104" s="302"/>
      <c r="BL104" s="445"/>
      <c r="BM104" s="301"/>
      <c r="BN104" s="265"/>
      <c r="BO104" s="265"/>
      <c r="BP104" s="302"/>
      <c r="BQ104" s="445"/>
      <c r="BR104" s="331"/>
      <c r="BS104" s="331"/>
      <c r="BT104" s="331"/>
      <c r="BU104" s="331"/>
      <c r="BV104" s="331"/>
      <c r="BW104" s="331"/>
      <c r="BX104" s="331"/>
      <c r="BY104" s="331"/>
      <c r="BZ104" s="331"/>
      <c r="CA104" s="331"/>
      <c r="CB104" s="331"/>
      <c r="CC104" s="331"/>
      <c r="CD104" s="331"/>
      <c r="CE104" s="331"/>
      <c r="CF104" s="331"/>
      <c r="CG104" s="331"/>
      <c r="CH104" s="331"/>
      <c r="CI104" s="331"/>
      <c r="CJ104" s="331"/>
      <c r="CK104" s="331"/>
      <c r="CL104" s="331"/>
      <c r="CM104" s="331"/>
      <c r="CN104" s="331"/>
      <c r="CO104" s="331"/>
      <c r="CP104" s="331"/>
      <c r="CQ104" s="331"/>
      <c r="CR104" s="331"/>
      <c r="CS104" s="331"/>
      <c r="CT104" s="331"/>
      <c r="CU104" s="331"/>
    </row>
    <row r="105" spans="1:99" s="527" customFormat="1" ht="12.75" customHeight="1">
      <c r="A105" s="331"/>
      <c r="B105" s="331"/>
      <c r="C105" s="1319" t="s">
        <v>1256</v>
      </c>
      <c r="D105" s="331"/>
      <c r="E105" s="301"/>
      <c r="F105" s="265"/>
      <c r="G105" s="265"/>
      <c r="H105" s="302"/>
      <c r="I105" s="445"/>
      <c r="J105" s="301"/>
      <c r="K105" s="265"/>
      <c r="L105" s="265"/>
      <c r="M105" s="302"/>
      <c r="N105" s="445"/>
      <c r="O105" s="624"/>
      <c r="P105" s="625"/>
      <c r="Q105" s="625"/>
      <c r="R105" s="588"/>
      <c r="S105" s="445"/>
      <c r="T105" s="624">
        <v>2476</v>
      </c>
      <c r="U105" s="625">
        <v>463</v>
      </c>
      <c r="V105" s="625">
        <v>35</v>
      </c>
      <c r="W105" s="588">
        <v>1629</v>
      </c>
      <c r="X105" s="330">
        <f>SUM(T105:W105)</f>
        <v>4603</v>
      </c>
      <c r="Y105" s="624">
        <v>2476</v>
      </c>
      <c r="Z105" s="625">
        <v>463</v>
      </c>
      <c r="AA105" s="1452">
        <v>35</v>
      </c>
      <c r="AB105" s="1457">
        <v>1629</v>
      </c>
      <c r="AC105" s="1443">
        <f>SUM(Y105:AB105)</f>
        <v>4603</v>
      </c>
      <c r="AD105" s="624">
        <v>2476</v>
      </c>
      <c r="AE105" s="625">
        <v>463</v>
      </c>
      <c r="AF105" s="1452">
        <v>35</v>
      </c>
      <c r="AG105" s="1457">
        <v>1629</v>
      </c>
      <c r="AH105" s="1443">
        <f>SUM(AD105:AG105)</f>
        <v>4603</v>
      </c>
      <c r="AI105" s="624">
        <v>2477</v>
      </c>
      <c r="AJ105" s="625">
        <v>466</v>
      </c>
      <c r="AK105" s="1452">
        <v>38</v>
      </c>
      <c r="AL105" s="1457">
        <f>4613-AI105-AJ105-AK105</f>
        <v>1632</v>
      </c>
      <c r="AM105" s="1443">
        <f>SUM(AI105:AL105)</f>
        <v>4613</v>
      </c>
      <c r="AN105" s="624">
        <v>2477</v>
      </c>
      <c r="AO105" s="625">
        <v>466</v>
      </c>
      <c r="AP105" s="1452">
        <v>38</v>
      </c>
      <c r="AQ105" s="1457">
        <f>4613-AN105-AO105-AP105</f>
        <v>1632</v>
      </c>
      <c r="AR105" s="1443">
        <f>SUM(AN105:AQ105)</f>
        <v>4613</v>
      </c>
      <c r="AS105" s="624">
        <v>2476</v>
      </c>
      <c r="AT105" s="625">
        <v>463</v>
      </c>
      <c r="AU105" s="625">
        <v>35</v>
      </c>
      <c r="AV105" s="1457">
        <f>4603-AS105-AT105-AU105</f>
        <v>1629</v>
      </c>
      <c r="AW105" s="1443">
        <f>SUM(AS105:AV105)</f>
        <v>4603</v>
      </c>
      <c r="AX105" s="301"/>
      <c r="AY105" s="265"/>
      <c r="AZ105" s="265"/>
      <c r="BA105" s="302"/>
      <c r="BB105" s="445"/>
      <c r="BC105" s="301"/>
      <c r="BD105" s="265"/>
      <c r="BE105" s="265"/>
      <c r="BF105" s="302"/>
      <c r="BG105" s="445"/>
      <c r="BH105" s="301"/>
      <c r="BI105" s="265"/>
      <c r="BJ105" s="265"/>
      <c r="BK105" s="302"/>
      <c r="BL105" s="445"/>
      <c r="BM105" s="301"/>
      <c r="BN105" s="265"/>
      <c r="BO105" s="265"/>
      <c r="BP105" s="302"/>
      <c r="BQ105" s="445"/>
      <c r="BR105" s="331"/>
      <c r="BS105" s="331"/>
      <c r="BT105" s="331"/>
      <c r="BU105" s="331"/>
      <c r="BV105" s="331"/>
      <c r="BW105" s="331"/>
      <c r="BX105" s="331"/>
      <c r="BY105" s="331"/>
      <c r="BZ105" s="331"/>
      <c r="CA105" s="331"/>
      <c r="CB105" s="331"/>
      <c r="CC105" s="331"/>
      <c r="CD105" s="331"/>
      <c r="CE105" s="331"/>
      <c r="CF105" s="331"/>
      <c r="CG105" s="331"/>
      <c r="CH105" s="331"/>
      <c r="CI105" s="331"/>
      <c r="CJ105" s="331"/>
      <c r="CK105" s="331"/>
      <c r="CL105" s="331"/>
      <c r="CM105" s="331"/>
      <c r="CN105" s="331"/>
      <c r="CO105" s="331"/>
      <c r="CP105" s="331"/>
      <c r="CQ105" s="331"/>
      <c r="CR105" s="331"/>
      <c r="CS105" s="331"/>
      <c r="CT105" s="331"/>
      <c r="CU105" s="331"/>
    </row>
    <row r="106" spans="1:99" s="527" customFormat="1" ht="12.75" customHeight="1">
      <c r="A106" s="331"/>
      <c r="B106" s="331"/>
      <c r="C106" s="1319" t="s">
        <v>1257</v>
      </c>
      <c r="D106" s="331"/>
      <c r="E106" s="301"/>
      <c r="F106" s="265"/>
      <c r="G106" s="265"/>
      <c r="H106" s="302"/>
      <c r="I106" s="445"/>
      <c r="J106" s="301"/>
      <c r="K106" s="265"/>
      <c r="L106" s="265"/>
      <c r="M106" s="302"/>
      <c r="N106" s="445"/>
      <c r="O106" s="624"/>
      <c r="P106" s="625"/>
      <c r="Q106" s="625"/>
      <c r="R106" s="588"/>
      <c r="S106" s="445"/>
      <c r="T106" s="624">
        <v>0</v>
      </c>
      <c r="U106" s="625">
        <v>348</v>
      </c>
      <c r="V106" s="625">
        <v>934</v>
      </c>
      <c r="W106" s="588">
        <v>19</v>
      </c>
      <c r="X106" s="330">
        <f>SUM(T106:W106)</f>
        <v>1301</v>
      </c>
      <c r="Y106" s="624">
        <v>0</v>
      </c>
      <c r="Z106" s="625">
        <v>348</v>
      </c>
      <c r="AA106" s="1452">
        <v>934</v>
      </c>
      <c r="AB106" s="1457">
        <v>19</v>
      </c>
      <c r="AC106" s="1443">
        <f>SUM(Y106:AB106)</f>
        <v>1301</v>
      </c>
      <c r="AD106" s="624">
        <v>0</v>
      </c>
      <c r="AE106" s="625">
        <v>348</v>
      </c>
      <c r="AF106" s="1452">
        <v>934</v>
      </c>
      <c r="AG106" s="1457">
        <v>19</v>
      </c>
      <c r="AH106" s="1443">
        <f>SUM(AD106:AG106)</f>
        <v>1301</v>
      </c>
      <c r="AI106" s="624">
        <v>1</v>
      </c>
      <c r="AJ106" s="625">
        <v>348</v>
      </c>
      <c r="AK106" s="1452">
        <v>929</v>
      </c>
      <c r="AL106" s="1457">
        <f>1301-AI106-AJ106-AK106</f>
        <v>23</v>
      </c>
      <c r="AM106" s="1443">
        <f>SUM(AI106:AL106)</f>
        <v>1301</v>
      </c>
      <c r="AN106" s="624">
        <v>1</v>
      </c>
      <c r="AO106" s="625">
        <v>348</v>
      </c>
      <c r="AP106" s="1452">
        <v>929</v>
      </c>
      <c r="AQ106" s="1457">
        <f>1301-AN106-AO106-AP106</f>
        <v>23</v>
      </c>
      <c r="AR106" s="1443">
        <f>SUM(AN106:AQ106)</f>
        <v>1301</v>
      </c>
      <c r="AS106" s="624">
        <v>0</v>
      </c>
      <c r="AT106" s="625">
        <v>348</v>
      </c>
      <c r="AU106" s="625">
        <v>923</v>
      </c>
      <c r="AV106" s="1457">
        <f>1290-AS106-AT106-AU106</f>
        <v>19</v>
      </c>
      <c r="AW106" s="1443">
        <f>SUM(AS106:AV106)</f>
        <v>1290</v>
      </c>
      <c r="AX106" s="301"/>
      <c r="AY106" s="265"/>
      <c r="AZ106" s="265"/>
      <c r="BA106" s="302"/>
      <c r="BB106" s="445"/>
      <c r="BC106" s="301"/>
      <c r="BD106" s="265"/>
      <c r="BE106" s="265"/>
      <c r="BF106" s="302"/>
      <c r="BG106" s="445"/>
      <c r="BH106" s="301"/>
      <c r="BI106" s="265"/>
      <c r="BJ106" s="265"/>
      <c r="BK106" s="302"/>
      <c r="BL106" s="445"/>
      <c r="BM106" s="301"/>
      <c r="BN106" s="265"/>
      <c r="BO106" s="265"/>
      <c r="BP106" s="302"/>
      <c r="BQ106" s="445"/>
      <c r="BR106" s="331"/>
      <c r="BS106" s="331"/>
      <c r="BT106" s="331"/>
      <c r="BU106" s="331"/>
      <c r="BV106" s="331"/>
      <c r="BW106" s="331"/>
      <c r="BX106" s="331"/>
      <c r="BY106" s="331"/>
      <c r="BZ106" s="331"/>
      <c r="CA106" s="331"/>
      <c r="CB106" s="331"/>
      <c r="CC106" s="331"/>
      <c r="CD106" s="331"/>
      <c r="CE106" s="331"/>
      <c r="CF106" s="331"/>
      <c r="CG106" s="331"/>
      <c r="CH106" s="331"/>
      <c r="CI106" s="331"/>
      <c r="CJ106" s="331"/>
      <c r="CK106" s="331"/>
      <c r="CL106" s="331"/>
      <c r="CM106" s="331"/>
      <c r="CN106" s="331"/>
      <c r="CO106" s="331"/>
      <c r="CP106" s="331"/>
      <c r="CQ106" s="331"/>
      <c r="CR106" s="331"/>
      <c r="CS106" s="331"/>
      <c r="CT106" s="331"/>
      <c r="CU106" s="331"/>
    </row>
    <row r="107" spans="1:99" ht="12.75" customHeight="1">
      <c r="A107" s="223"/>
      <c r="B107" s="223"/>
      <c r="C107" s="223"/>
      <c r="D107" s="223"/>
      <c r="E107" s="638"/>
      <c r="F107" s="639"/>
      <c r="G107" s="639"/>
      <c r="H107" s="640"/>
      <c r="I107" s="392"/>
      <c r="J107" s="376"/>
      <c r="K107" s="377"/>
      <c r="L107" s="377"/>
      <c r="M107" s="378"/>
      <c r="N107" s="375"/>
      <c r="O107" s="376"/>
      <c r="P107" s="377"/>
      <c r="Q107" s="377"/>
      <c r="R107" s="588"/>
      <c r="S107" s="375"/>
      <c r="T107" s="376"/>
      <c r="U107" s="377"/>
      <c r="V107" s="625"/>
      <c r="W107" s="588"/>
      <c r="X107" s="375"/>
      <c r="Y107" s="376"/>
      <c r="Z107" s="377"/>
      <c r="AA107" s="1452"/>
      <c r="AB107" s="1457"/>
      <c r="AC107" s="375"/>
      <c r="AD107" s="376"/>
      <c r="AE107" s="377"/>
      <c r="AF107" s="1452"/>
      <c r="AG107" s="1457"/>
      <c r="AH107" s="375"/>
      <c r="AI107" s="376"/>
      <c r="AJ107" s="377"/>
      <c r="AK107" s="1452"/>
      <c r="AL107" s="1457"/>
      <c r="AM107" s="375"/>
      <c r="AN107" s="376"/>
      <c r="AO107" s="377"/>
      <c r="AP107" s="1452"/>
      <c r="AQ107" s="1457"/>
      <c r="AR107" s="375"/>
      <c r="AS107" s="376"/>
      <c r="AT107" s="377"/>
      <c r="AU107" s="377"/>
      <c r="AV107" s="1457"/>
      <c r="AW107" s="375"/>
      <c r="AX107" s="376"/>
      <c r="AY107" s="377"/>
      <c r="AZ107" s="377"/>
      <c r="BA107" s="378"/>
      <c r="BB107" s="375"/>
      <c r="BC107" s="376"/>
      <c r="BD107" s="377"/>
      <c r="BE107" s="377"/>
      <c r="BF107" s="378"/>
      <c r="BG107" s="375"/>
      <c r="BH107" s="376"/>
      <c r="BI107" s="377"/>
      <c r="BJ107" s="377"/>
      <c r="BK107" s="378"/>
      <c r="BL107" s="375"/>
      <c r="BM107" s="376"/>
      <c r="BN107" s="377"/>
      <c r="BO107" s="377"/>
      <c r="BP107" s="378"/>
      <c r="BQ107" s="375"/>
      <c r="BR107" s="223"/>
      <c r="BS107" s="223"/>
      <c r="BT107" s="223"/>
      <c r="BU107" s="223"/>
      <c r="BV107" s="223"/>
      <c r="BW107" s="223"/>
      <c r="BX107" s="223"/>
      <c r="BY107" s="223"/>
      <c r="BZ107" s="223"/>
      <c r="CA107" s="223"/>
      <c r="CB107" s="223"/>
      <c r="CC107" s="223"/>
      <c r="CD107" s="223"/>
      <c r="CE107" s="223"/>
      <c r="CF107" s="223"/>
      <c r="CG107" s="223"/>
      <c r="CH107" s="223"/>
      <c r="CI107" s="223"/>
      <c r="CJ107" s="223"/>
      <c r="CK107" s="223"/>
      <c r="CL107" s="223"/>
      <c r="CM107" s="223"/>
      <c r="CN107" s="223"/>
      <c r="CO107" s="223"/>
      <c r="CP107" s="223"/>
      <c r="CQ107" s="223"/>
      <c r="CR107" s="223"/>
      <c r="CS107" s="223"/>
      <c r="CT107" s="223"/>
      <c r="CU107" s="223"/>
    </row>
    <row r="108" spans="1:99" ht="12.75" customHeight="1">
      <c r="A108" s="223"/>
      <c r="B108" s="223"/>
      <c r="C108" s="1336" t="s">
        <v>951</v>
      </c>
      <c r="D108" s="223"/>
      <c r="E108" s="638"/>
      <c r="F108" s="639"/>
      <c r="G108" s="639"/>
      <c r="H108" s="640"/>
      <c r="I108" s="392"/>
      <c r="J108" s="376"/>
      <c r="K108" s="377"/>
      <c r="L108" s="377"/>
      <c r="M108" s="378"/>
      <c r="N108" s="375"/>
      <c r="O108" s="376"/>
      <c r="P108" s="377"/>
      <c r="Q108" s="377"/>
      <c r="R108" s="588"/>
      <c r="S108" s="375"/>
      <c r="T108" s="310">
        <f>SUM(T101:T102)/SUM(T105:T106)-1</f>
        <v>-0.22536348949919227</v>
      </c>
      <c r="U108" s="1337">
        <f>SUM(U101:U102)/SUM(U105:U106)-1</f>
        <v>-5.4254007398273685E-2</v>
      </c>
      <c r="V108" s="1337">
        <f>SUM(V101:V102)/SUM(V105:V106)-1</f>
        <v>0.18885448916408665</v>
      </c>
      <c r="W108" s="320">
        <f>SUM(W101:W102)/SUM(W105:W106)-1</f>
        <v>-8.1917475728155331E-2</v>
      </c>
      <c r="X108" s="359"/>
      <c r="Y108" s="310">
        <f>SUM(Y101:Y102)/SUM(Y105:Y106)-1</f>
        <v>-1.4539579967689842E-2</v>
      </c>
      <c r="Z108" s="1337">
        <f>SUM(Z101:Z102)/SUM(Z105:Z106)-1</f>
        <v>3.4525277435265123E-2</v>
      </c>
      <c r="AA108" s="1337">
        <f>SUM(AA101:AA102)/SUM(AA105:AA106)-1</f>
        <v>-5.1599587203302599E-3</v>
      </c>
      <c r="AB108" s="1458">
        <f>SUM(AB101:AB102)/SUM(AB105:AB106)-1</f>
        <v>-3.6407766990291801E-3</v>
      </c>
      <c r="AC108" s="1459"/>
      <c r="AD108" s="310">
        <f>SUM(AD101:AD102)/SUM(AD105:AD106)-1</f>
        <v>0.14862681744749606</v>
      </c>
      <c r="AE108" s="1337">
        <f>SUM(AE101:AE102)/SUM(AE105:AE106)-1</f>
        <v>-5.3020961775585684E-2</v>
      </c>
      <c r="AF108" s="1337">
        <f>SUM(AF101:AF102)/SUM(AF105:AF106)-1</f>
        <v>-4.5407636738906132E-2</v>
      </c>
      <c r="AG108" s="1458">
        <f>SUM(AG101:AG102)/SUM(AG105:AG106)-1</f>
        <v>-7.5849514563106846E-2</v>
      </c>
      <c r="AH108" s="1459"/>
      <c r="AI108" s="310">
        <f>SUM(AI101:AI102)/SUM(AI105:AI106)-1</f>
        <v>0.18401937046004835</v>
      </c>
      <c r="AJ108" s="1337">
        <f>SUM(AJ101:AJ102)/SUM(AJ105:AJ106)-1</f>
        <v>3.5626535626535727E-2</v>
      </c>
      <c r="AK108" s="1337">
        <f>SUM(AK101:AK102)/SUM(AK105:AK106)-1</f>
        <v>0.22647362978283359</v>
      </c>
      <c r="AL108" s="1458">
        <f>SUM(AL101:AL102)/SUM(AL105:AL106)-1</f>
        <v>-0.39456193353474323</v>
      </c>
      <c r="AM108" s="1459"/>
      <c r="AN108" s="310">
        <f>SUM(AN101:AN102)/SUM(AN105:AN106)-1</f>
        <v>-0.13559322033898302</v>
      </c>
      <c r="AO108" s="1337">
        <f>SUM(AO101:AO102)/SUM(AO105:AO106)-1</f>
        <v>5.6511056511056479E-2</v>
      </c>
      <c r="AP108" s="1337">
        <f>SUM(AP101:AP102)/SUM(AP105:AP106)-1</f>
        <v>0.34229576008273011</v>
      </c>
      <c r="AQ108" s="1458">
        <f>SUM(AQ101:AQ102)/SUM(AQ105:AQ106)-1</f>
        <v>-0.11359516616314203</v>
      </c>
      <c r="AR108" s="1459"/>
      <c r="AS108" s="310">
        <f>SUM(AS101:AS102)/SUM(AS105:AS106)-1</f>
        <v>-0.15428109854604199</v>
      </c>
      <c r="AT108" s="1337">
        <f>SUM(AT101:AT102)/SUM(AT105:AT106)-1</f>
        <v>-8.2614056720098694E-2</v>
      </c>
      <c r="AU108" s="1337">
        <f t="shared" ref="AU108" si="274">SUM(AU101:AU102)/SUM(AU105:AU106)-1</f>
        <v>4.6972860125261029E-2</v>
      </c>
      <c r="AV108" s="1458">
        <f>SUM(AV101:AV102)/SUM(AV105:AV106)-1</f>
        <v>-3.033980582524276E-2</v>
      </c>
      <c r="AW108" s="1459"/>
      <c r="AX108" s="376"/>
      <c r="AY108" s="377"/>
      <c r="AZ108" s="377"/>
      <c r="BA108" s="378"/>
      <c r="BB108" s="375"/>
      <c r="BC108" s="376"/>
      <c r="BD108" s="377"/>
      <c r="BE108" s="377"/>
      <c r="BF108" s="378"/>
      <c r="BG108" s="375"/>
      <c r="BH108" s="376"/>
      <c r="BI108" s="377"/>
      <c r="BJ108" s="377"/>
      <c r="BK108" s="378"/>
      <c r="BL108" s="375"/>
      <c r="BM108" s="376"/>
      <c r="BN108" s="377"/>
      <c r="BO108" s="377"/>
      <c r="BP108" s="378"/>
      <c r="BQ108" s="375"/>
      <c r="BR108" s="223"/>
      <c r="BS108" s="223"/>
      <c r="BT108" s="223"/>
      <c r="BU108" s="223"/>
      <c r="BV108" s="223"/>
      <c r="BW108" s="223"/>
      <c r="BX108" s="223"/>
      <c r="BY108" s="223"/>
      <c r="BZ108" s="223"/>
      <c r="CA108" s="223"/>
      <c r="CB108" s="223"/>
      <c r="CC108" s="223"/>
      <c r="CD108" s="223"/>
      <c r="CE108" s="223"/>
      <c r="CF108" s="223"/>
      <c r="CG108" s="223"/>
      <c r="CH108" s="223"/>
      <c r="CI108" s="223"/>
      <c r="CJ108" s="223"/>
      <c r="CK108" s="223"/>
      <c r="CL108" s="223"/>
      <c r="CM108" s="223"/>
      <c r="CN108" s="223"/>
      <c r="CO108" s="223"/>
      <c r="CP108" s="223"/>
      <c r="CQ108" s="223"/>
      <c r="CR108" s="223"/>
      <c r="CS108" s="223"/>
      <c r="CT108" s="223"/>
      <c r="CU108" s="223"/>
    </row>
    <row r="109" spans="1:99" ht="12.75" customHeight="1">
      <c r="A109" s="223"/>
      <c r="B109" s="223"/>
      <c r="C109" s="359" t="s">
        <v>952</v>
      </c>
      <c r="D109" s="223"/>
      <c r="E109" s="638"/>
      <c r="F109" s="639"/>
      <c r="G109" s="639"/>
      <c r="H109" s="640"/>
      <c r="I109" s="392"/>
      <c r="J109" s="376"/>
      <c r="K109" s="377"/>
      <c r="L109" s="377"/>
      <c r="M109" s="378"/>
      <c r="N109" s="375"/>
      <c r="O109" s="376"/>
      <c r="P109" s="377"/>
      <c r="Q109" s="377"/>
      <c r="R109" s="588"/>
      <c r="S109" s="375"/>
      <c r="T109" s="310">
        <f>T108/9</f>
        <v>-2.5040387722132476E-2</v>
      </c>
      <c r="U109" s="1338">
        <f>U108/4</f>
        <v>-1.3563501849568421E-2</v>
      </c>
      <c r="V109" s="1338">
        <f>V108/9</f>
        <v>2.0983832129342961E-2</v>
      </c>
      <c r="W109" s="320">
        <f>W108/4</f>
        <v>-2.0479368932038833E-2</v>
      </c>
      <c r="X109" s="359"/>
      <c r="Y109" s="310">
        <f>Y108/9</f>
        <v>-1.6155088852988714E-3</v>
      </c>
      <c r="Z109" s="1338">
        <f>Z108/4</f>
        <v>8.6313193588162807E-3</v>
      </c>
      <c r="AA109" s="1460">
        <f>AA108/9</f>
        <v>-5.7332874670336224E-4</v>
      </c>
      <c r="AB109" s="1458">
        <f>AB108/4</f>
        <v>-9.1019417475729503E-4</v>
      </c>
      <c r="AC109" s="1459"/>
      <c r="AD109" s="310">
        <f>AD108/9</f>
        <v>1.6514090827499564E-2</v>
      </c>
      <c r="AE109" s="1338">
        <f>AE108/4</f>
        <v>-1.3255240443896421E-2</v>
      </c>
      <c r="AF109" s="1460">
        <f>AF108/9</f>
        <v>-5.0452929709895698E-3</v>
      </c>
      <c r="AG109" s="1458">
        <f>AG108/4</f>
        <v>-1.8962378640776711E-2</v>
      </c>
      <c r="AH109" s="1459"/>
      <c r="AI109" s="310">
        <f>AI108/9</f>
        <v>2.044659671778315E-2</v>
      </c>
      <c r="AJ109" s="1338">
        <f>AJ108/4</f>
        <v>8.9066339066339317E-3</v>
      </c>
      <c r="AK109" s="1460">
        <f>AK108/9</f>
        <v>2.5163736642537064E-2</v>
      </c>
      <c r="AL109" s="1458">
        <f>AL108/12</f>
        <v>-3.2880161127895269E-2</v>
      </c>
      <c r="AM109" s="1459"/>
      <c r="AN109" s="310">
        <f>AN108/9</f>
        <v>-1.5065913370998114E-2</v>
      </c>
      <c r="AO109" s="1338">
        <f>AO108/9</f>
        <v>6.2790062790062757E-3</v>
      </c>
      <c r="AP109" s="1460">
        <f>AP108/9</f>
        <v>3.8032862231414458E-2</v>
      </c>
      <c r="AQ109" s="1458">
        <f>AQ108/12</f>
        <v>-9.4662638469285021E-3</v>
      </c>
      <c r="AR109" s="1459"/>
      <c r="AS109" s="310">
        <f>AS108/9</f>
        <v>-1.7142344282893556E-2</v>
      </c>
      <c r="AT109" s="1338">
        <f>AT108/9</f>
        <v>-9.1793396355665212E-3</v>
      </c>
      <c r="AU109" s="1338">
        <f t="shared" ref="AU109" si="275">AU108/9</f>
        <v>5.2192066805845589E-3</v>
      </c>
      <c r="AV109" s="1458">
        <f>AV108/12</f>
        <v>-2.5283171521035632E-3</v>
      </c>
      <c r="AW109" s="1459"/>
      <c r="AX109" s="376"/>
      <c r="AY109" s="377"/>
      <c r="AZ109" s="377"/>
      <c r="BA109" s="378"/>
      <c r="BB109" s="375"/>
      <c r="BC109" s="376"/>
      <c r="BD109" s="377"/>
      <c r="BE109" s="377"/>
      <c r="BF109" s="378"/>
      <c r="BG109" s="375"/>
      <c r="BH109" s="376"/>
      <c r="BI109" s="377"/>
      <c r="BJ109" s="377"/>
      <c r="BK109" s="378"/>
      <c r="BL109" s="375"/>
      <c r="BM109" s="376"/>
      <c r="BN109" s="377"/>
      <c r="BO109" s="377"/>
      <c r="BP109" s="378"/>
      <c r="BQ109" s="375"/>
      <c r="BR109" s="223"/>
      <c r="BS109" s="223"/>
      <c r="BT109" s="223"/>
      <c r="BU109" s="223"/>
      <c r="BV109" s="223"/>
      <c r="BW109" s="223"/>
      <c r="BX109" s="223"/>
      <c r="BY109" s="223"/>
      <c r="BZ109" s="223"/>
      <c r="CA109" s="223"/>
      <c r="CB109" s="223"/>
      <c r="CC109" s="223"/>
      <c r="CD109" s="223"/>
      <c r="CE109" s="223"/>
      <c r="CF109" s="223"/>
      <c r="CG109" s="223"/>
      <c r="CH109" s="223"/>
      <c r="CI109" s="223"/>
      <c r="CJ109" s="223"/>
      <c r="CK109" s="223"/>
      <c r="CL109" s="223"/>
      <c r="CM109" s="223"/>
      <c r="CN109" s="223"/>
      <c r="CO109" s="223"/>
      <c r="CP109" s="223"/>
      <c r="CQ109" s="223"/>
      <c r="CR109" s="223"/>
      <c r="CS109" s="223"/>
      <c r="CT109" s="223"/>
      <c r="CU109" s="223"/>
    </row>
    <row r="110" spans="1:99" ht="12.75" customHeight="1">
      <c r="A110" s="223"/>
      <c r="B110" s="223"/>
      <c r="C110" s="359"/>
      <c r="D110" s="223"/>
      <c r="E110" s="638"/>
      <c r="F110" s="639"/>
      <c r="G110" s="639"/>
      <c r="H110" s="640"/>
      <c r="I110" s="392"/>
      <c r="J110" s="376"/>
      <c r="K110" s="377"/>
      <c r="L110" s="377"/>
      <c r="M110" s="378"/>
      <c r="N110" s="375"/>
      <c r="O110" s="376"/>
      <c r="P110" s="377"/>
      <c r="Q110" s="377"/>
      <c r="R110" s="588"/>
      <c r="S110" s="375"/>
      <c r="T110" s="600"/>
      <c r="U110" s="251"/>
      <c r="V110" s="251"/>
      <c r="W110" s="601"/>
      <c r="X110" s="26"/>
      <c r="Y110" s="600"/>
      <c r="Z110" s="251"/>
      <c r="AA110" s="251"/>
      <c r="AB110" s="601"/>
      <c r="AC110" s="26"/>
      <c r="AD110" s="600"/>
      <c r="AE110" s="251"/>
      <c r="AF110" s="251"/>
      <c r="AG110" s="601"/>
      <c r="AH110" s="26"/>
      <c r="AI110" s="600"/>
      <c r="AJ110" s="251"/>
      <c r="AK110" s="251"/>
      <c r="AL110" s="601"/>
      <c r="AM110" s="26"/>
      <c r="AN110" s="600"/>
      <c r="AO110" s="251"/>
      <c r="AP110" s="251"/>
      <c r="AQ110" s="601"/>
      <c r="AR110" s="26"/>
      <c r="AS110" s="600"/>
      <c r="AT110" s="251"/>
      <c r="AU110" s="251"/>
      <c r="AV110" s="601"/>
      <c r="AW110" s="26"/>
      <c r="AX110" s="376"/>
      <c r="AY110" s="377"/>
      <c r="AZ110" s="377"/>
      <c r="BA110" s="378"/>
      <c r="BB110" s="375"/>
      <c r="BC110" s="376"/>
      <c r="BD110" s="377"/>
      <c r="BE110" s="377"/>
      <c r="BF110" s="378"/>
      <c r="BG110" s="375"/>
      <c r="BH110" s="376"/>
      <c r="BI110" s="377"/>
      <c r="BJ110" s="377"/>
      <c r="BK110" s="378"/>
      <c r="BL110" s="375"/>
      <c r="BM110" s="376"/>
      <c r="BN110" s="377"/>
      <c r="BO110" s="377"/>
      <c r="BP110" s="378"/>
      <c r="BQ110" s="375"/>
      <c r="BR110" s="223"/>
      <c r="BS110" s="223"/>
      <c r="BT110" s="223"/>
      <c r="BU110" s="223"/>
      <c r="BV110" s="223"/>
      <c r="BW110" s="223"/>
      <c r="BX110" s="223"/>
      <c r="BY110" s="223"/>
      <c r="BZ110" s="223"/>
      <c r="CA110" s="223"/>
      <c r="CB110" s="223"/>
      <c r="CC110" s="223"/>
      <c r="CD110" s="223"/>
      <c r="CE110" s="223"/>
      <c r="CF110" s="223"/>
      <c r="CG110" s="223"/>
      <c r="CH110" s="223"/>
      <c r="CI110" s="223"/>
      <c r="CJ110" s="223"/>
      <c r="CK110" s="223"/>
      <c r="CL110" s="223"/>
      <c r="CM110" s="223"/>
      <c r="CN110" s="223"/>
      <c r="CO110" s="223"/>
      <c r="CP110" s="223"/>
      <c r="CQ110" s="223"/>
      <c r="CR110" s="223"/>
      <c r="CS110" s="223"/>
      <c r="CT110" s="223"/>
      <c r="CU110" s="223"/>
    </row>
    <row r="111" spans="1:99" ht="12.75" customHeight="1">
      <c r="A111" s="223"/>
      <c r="B111" s="223"/>
      <c r="C111" s="895" t="s">
        <v>953</v>
      </c>
      <c r="D111" s="223"/>
      <c r="E111" s="638"/>
      <c r="F111" s="639"/>
      <c r="G111" s="639"/>
      <c r="H111" s="640"/>
      <c r="I111" s="392"/>
      <c r="J111" s="376"/>
      <c r="K111" s="377"/>
      <c r="L111" s="377"/>
      <c r="M111" s="378"/>
      <c r="N111" s="375"/>
      <c r="O111" s="376"/>
      <c r="P111" s="377"/>
      <c r="Q111" s="377"/>
      <c r="R111" s="588"/>
      <c r="S111" s="375"/>
      <c r="T111" s="360">
        <f>+((T109*T96)*0.65)/T43</f>
        <v>-8.0614783559420158E-3</v>
      </c>
      <c r="U111" s="400">
        <f>+((U109*U96)*0.65)/U43</f>
        <v>-3.7903767646934507E-3</v>
      </c>
      <c r="V111" s="400">
        <f>+((V109*V96)*0.65)/V43</f>
        <v>6.9924137243123023E-3</v>
      </c>
      <c r="W111" s="362">
        <f>+((W109*W96)*0.65)/W43</f>
        <v>-5.5472947310385252E-3</v>
      </c>
      <c r="X111" s="26"/>
      <c r="Y111" s="360">
        <f>+((Y109*Y96)*0.65)/Y43</f>
        <v>-4.0987909436162635E-4</v>
      </c>
      <c r="Z111" s="400">
        <f>+((Z109*Z96)*0.65)/Z43</f>
        <v>2.2982511331031434E-3</v>
      </c>
      <c r="AA111" s="1461">
        <f>+((AA109*AA96)*0.65)/AA43</f>
        <v>-1.7109338700003118E-4</v>
      </c>
      <c r="AB111" s="362">
        <f>+((AB109*AB96)*0.65)/AB43</f>
        <v>-2.3377996743485687E-4</v>
      </c>
      <c r="AC111" s="26"/>
      <c r="AD111" s="360">
        <f>+((AD109*AD96)*0.65)/AD43</f>
        <v>4.3311790985151345E-3</v>
      </c>
      <c r="AE111" s="400">
        <f>+((AE109*AE96)*0.65)/AE43</f>
        <v>-3.4067478046728573E-3</v>
      </c>
      <c r="AF111" s="1461">
        <f>+((AF109*AF96)*0.65)/AF43</f>
        <v>-1.4798971244755941E-3</v>
      </c>
      <c r="AG111" s="362">
        <f>+((AG109*AG96)*0.65)/AG43</f>
        <v>-4.586193088828969E-3</v>
      </c>
      <c r="AH111" s="26"/>
      <c r="AI111" s="360">
        <f>+((AI109*AI96)*0.65)/AI43</f>
        <v>5.5940867949781257E-3</v>
      </c>
      <c r="AJ111" s="400">
        <f>+((AJ109*AJ96)*0.65)/AJ43</f>
        <v>2.4673947008505902E-3</v>
      </c>
      <c r="AK111" s="1461">
        <f>+((AK109*AK96)*0.65)/AK43</f>
        <v>7.5862300362694399E-3</v>
      </c>
      <c r="AL111" s="362">
        <f>+((AL109*AL96)*0.65)/AL43</f>
        <v>-7.8832545375509926E-3</v>
      </c>
      <c r="AM111" s="26"/>
      <c r="AN111" s="360">
        <f>+((AN109*AN96)*0.65)/AN43</f>
        <v>-4.2347432177940649E-3</v>
      </c>
      <c r="AO111" s="400">
        <f>+((AO109*AO96)*0.65)/AO43</f>
        <v>1.7245462392203586E-3</v>
      </c>
      <c r="AP111" s="1461">
        <f>+((AP109*AP96)*0.65)/AP43</f>
        <v>1.2777714669440818E-2</v>
      </c>
      <c r="AQ111" s="362">
        <f>+((AQ109*AQ96)*0.65)/AQ43</f>
        <v>-2.5967882086848143E-3</v>
      </c>
      <c r="AR111" s="26"/>
      <c r="AS111" s="360">
        <f>+((AS109*AS96)*0.65)/AS43</f>
        <v>-4.4551432817190291E-3</v>
      </c>
      <c r="AT111" s="400">
        <f>+((AT109*AT96)*0.65)/AT43</f>
        <v>-2.373329261984438E-3</v>
      </c>
      <c r="AU111" s="400">
        <f t="shared" ref="AU111" si="276">+((AU109*AU96)*0.65)/AU43</f>
        <v>1.5349597560652668E-3</v>
      </c>
      <c r="AV111" s="362">
        <f>+((AV109*AV96)*0.65)/AV43</f>
        <v>-6.6282049670535106E-4</v>
      </c>
      <c r="AW111" s="26"/>
      <c r="AX111" s="376"/>
      <c r="AY111" s="377"/>
      <c r="AZ111" s="377"/>
      <c r="BA111" s="378"/>
      <c r="BB111" s="375"/>
      <c r="BC111" s="376"/>
      <c r="BD111" s="377"/>
      <c r="BE111" s="377"/>
      <c r="BF111" s="378"/>
      <c r="BG111" s="375"/>
      <c r="BH111" s="376"/>
      <c r="BI111" s="377"/>
      <c r="BJ111" s="377"/>
      <c r="BK111" s="378"/>
      <c r="BL111" s="375"/>
      <c r="BM111" s="376"/>
      <c r="BN111" s="377"/>
      <c r="BO111" s="377"/>
      <c r="BP111" s="378"/>
      <c r="BQ111" s="375"/>
      <c r="BR111" s="223"/>
      <c r="BS111" s="223"/>
      <c r="BT111" s="223"/>
      <c r="BU111" s="223"/>
      <c r="BV111" s="223"/>
      <c r="BW111" s="223"/>
      <c r="BX111" s="223"/>
      <c r="BY111" s="223"/>
      <c r="BZ111" s="223"/>
      <c r="CA111" s="223"/>
      <c r="CB111" s="223"/>
      <c r="CC111" s="223"/>
      <c r="CD111" s="223"/>
      <c r="CE111" s="223"/>
      <c r="CF111" s="223"/>
      <c r="CG111" s="223"/>
      <c r="CH111" s="223"/>
      <c r="CI111" s="223"/>
      <c r="CJ111" s="223"/>
      <c r="CK111" s="223"/>
      <c r="CL111" s="223"/>
      <c r="CM111" s="223"/>
      <c r="CN111" s="223"/>
      <c r="CO111" s="223"/>
      <c r="CP111" s="223"/>
      <c r="CQ111" s="223"/>
      <c r="CR111" s="223"/>
      <c r="CS111" s="223"/>
      <c r="CT111" s="223"/>
      <c r="CU111" s="223"/>
    </row>
    <row r="112" spans="1:99" ht="12.75" customHeight="1">
      <c r="A112" s="223"/>
      <c r="B112" s="223"/>
      <c r="C112" s="223"/>
      <c r="D112" s="223"/>
      <c r="E112" s="638"/>
      <c r="F112" s="639"/>
      <c r="G112" s="639"/>
      <c r="H112" s="640"/>
      <c r="I112" s="392"/>
      <c r="J112" s="376"/>
      <c r="K112" s="377"/>
      <c r="L112" s="377"/>
      <c r="M112" s="378"/>
      <c r="N112" s="375"/>
      <c r="O112" s="376"/>
      <c r="P112" s="377"/>
      <c r="Q112" s="377"/>
      <c r="R112" s="588"/>
      <c r="S112" s="375"/>
      <c r="T112" s="376"/>
      <c r="U112" s="377"/>
      <c r="V112" s="625"/>
      <c r="W112" s="588"/>
      <c r="X112" s="375"/>
      <c r="Y112" s="376"/>
      <c r="Z112" s="377"/>
      <c r="AA112" s="377"/>
      <c r="AB112" s="378"/>
      <c r="AC112" s="375"/>
      <c r="AD112" s="376"/>
      <c r="AE112" s="377"/>
      <c r="AF112" s="377"/>
      <c r="AG112" s="378"/>
      <c r="AH112" s="375"/>
      <c r="AI112" s="376"/>
      <c r="AJ112" s="377"/>
      <c r="AK112" s="377"/>
      <c r="AL112" s="378"/>
      <c r="AM112" s="375"/>
      <c r="AN112" s="376"/>
      <c r="AO112" s="377"/>
      <c r="AP112" s="377"/>
      <c r="AQ112" s="378"/>
      <c r="AR112" s="375"/>
      <c r="AS112" s="376"/>
      <c r="AT112" s="377"/>
      <c r="AU112" s="377"/>
      <c r="AV112" s="378"/>
      <c r="AW112" s="375"/>
      <c r="AX112" s="376"/>
      <c r="AY112" s="377"/>
      <c r="AZ112" s="377"/>
      <c r="BA112" s="378"/>
      <c r="BB112" s="375"/>
      <c r="BC112" s="376"/>
      <c r="BD112" s="377"/>
      <c r="BE112" s="377"/>
      <c r="BF112" s="378"/>
      <c r="BG112" s="375"/>
      <c r="BH112" s="376"/>
      <c r="BI112" s="377"/>
      <c r="BJ112" s="377"/>
      <c r="BK112" s="378"/>
      <c r="BL112" s="375"/>
      <c r="BM112" s="376"/>
      <c r="BN112" s="377"/>
      <c r="BO112" s="377"/>
      <c r="BP112" s="378"/>
      <c r="BQ112" s="375"/>
      <c r="BR112" s="223"/>
      <c r="BS112" s="223"/>
      <c r="BT112" s="223"/>
      <c r="BU112" s="223"/>
      <c r="BV112" s="223"/>
      <c r="BW112" s="223"/>
      <c r="BX112" s="223"/>
      <c r="BY112" s="223"/>
      <c r="BZ112" s="223"/>
      <c r="CA112" s="223"/>
      <c r="CB112" s="223"/>
      <c r="CC112" s="223"/>
      <c r="CD112" s="223"/>
      <c r="CE112" s="223"/>
      <c r="CF112" s="223"/>
      <c r="CG112" s="223"/>
      <c r="CH112" s="223"/>
      <c r="CI112" s="223"/>
      <c r="CJ112" s="223"/>
      <c r="CK112" s="223"/>
      <c r="CL112" s="223"/>
      <c r="CM112" s="223"/>
      <c r="CN112" s="223"/>
      <c r="CO112" s="223"/>
      <c r="CP112" s="223"/>
      <c r="CQ112" s="223"/>
      <c r="CR112" s="223"/>
      <c r="CS112" s="223"/>
      <c r="CT112" s="223"/>
      <c r="CU112" s="223"/>
    </row>
    <row r="113" spans="1:99" ht="12.75" customHeight="1">
      <c r="A113" s="223"/>
      <c r="B113" s="223"/>
      <c r="C113" s="223"/>
      <c r="D113" s="223"/>
      <c r="E113" s="638"/>
      <c r="F113" s="639"/>
      <c r="G113" s="639"/>
      <c r="H113" s="640"/>
      <c r="I113" s="392"/>
      <c r="J113" s="376"/>
      <c r="K113" s="377"/>
      <c r="L113" s="377"/>
      <c r="M113" s="378"/>
      <c r="N113" s="375"/>
      <c r="O113" s="376"/>
      <c r="P113" s="377"/>
      <c r="Q113" s="377"/>
      <c r="R113" s="588"/>
      <c r="S113" s="375"/>
      <c r="T113" s="376"/>
      <c r="U113" s="377"/>
      <c r="V113" s="625"/>
      <c r="W113" s="588"/>
      <c r="X113" s="375"/>
      <c r="Y113" s="376"/>
      <c r="Z113" s="377"/>
      <c r="AA113" s="377"/>
      <c r="AB113" s="378"/>
      <c r="AC113" s="375"/>
      <c r="AD113" s="376"/>
      <c r="AE113" s="377"/>
      <c r="AF113" s="377"/>
      <c r="AG113" s="378"/>
      <c r="AH113" s="375"/>
      <c r="AI113" s="376"/>
      <c r="AJ113" s="377"/>
      <c r="AK113" s="377"/>
      <c r="AL113" s="378"/>
      <c r="AM113" s="375"/>
      <c r="AN113" s="376"/>
      <c r="AO113" s="377"/>
      <c r="AP113" s="377"/>
      <c r="AQ113" s="378"/>
      <c r="AR113" s="375"/>
      <c r="AS113" s="376"/>
      <c r="AT113" s="377"/>
      <c r="AU113" s="377"/>
      <c r="AV113" s="378"/>
      <c r="AW113" s="375"/>
      <c r="AX113" s="376"/>
      <c r="AY113" s="377"/>
      <c r="AZ113" s="377"/>
      <c r="BA113" s="378"/>
      <c r="BB113" s="375"/>
      <c r="BC113" s="376"/>
      <c r="BD113" s="377"/>
      <c r="BE113" s="377"/>
      <c r="BF113" s="378"/>
      <c r="BG113" s="375"/>
      <c r="BH113" s="376"/>
      <c r="BI113" s="377"/>
      <c r="BJ113" s="377"/>
      <c r="BK113" s="378"/>
      <c r="BL113" s="375"/>
      <c r="BM113" s="376"/>
      <c r="BN113" s="377"/>
      <c r="BO113" s="377"/>
      <c r="BP113" s="378"/>
      <c r="BQ113" s="375"/>
      <c r="BR113" s="223"/>
      <c r="BS113" s="223"/>
      <c r="BT113" s="223"/>
      <c r="BU113" s="223"/>
      <c r="BV113" s="223"/>
      <c r="BW113" s="223"/>
      <c r="BX113" s="223"/>
      <c r="BY113" s="223"/>
      <c r="BZ113" s="223"/>
      <c r="CA113" s="223"/>
      <c r="CB113" s="223"/>
      <c r="CC113" s="223"/>
      <c r="CD113" s="223"/>
      <c r="CE113" s="223"/>
      <c r="CF113" s="223"/>
      <c r="CG113" s="223"/>
      <c r="CH113" s="223"/>
      <c r="CI113" s="223"/>
      <c r="CJ113" s="223"/>
      <c r="CK113" s="223"/>
      <c r="CL113" s="223"/>
      <c r="CM113" s="223"/>
      <c r="CN113" s="223"/>
      <c r="CO113" s="223"/>
      <c r="CP113" s="223"/>
      <c r="CQ113" s="223"/>
      <c r="CR113" s="223"/>
      <c r="CS113" s="223"/>
      <c r="CT113" s="223"/>
      <c r="CU113" s="223"/>
    </row>
    <row r="114" spans="1:99" ht="12.75" customHeight="1">
      <c r="A114" s="1"/>
      <c r="B114" s="73" t="s">
        <v>139</v>
      </c>
      <c r="C114" s="246"/>
      <c r="D114" s="15"/>
      <c r="E114" s="600"/>
      <c r="F114" s="251"/>
      <c r="G114" s="251"/>
      <c r="H114" s="601"/>
      <c r="I114" s="26"/>
      <c r="J114" s="600"/>
      <c r="K114" s="251"/>
      <c r="L114" s="251"/>
      <c r="M114" s="601"/>
      <c r="N114" s="26"/>
      <c r="O114" s="600"/>
      <c r="P114" s="251"/>
      <c r="Q114" s="251"/>
      <c r="R114" s="601"/>
      <c r="S114" s="26"/>
      <c r="T114" s="600"/>
      <c r="U114" s="251"/>
      <c r="V114" s="251"/>
      <c r="W114" s="601"/>
      <c r="X114" s="26"/>
      <c r="Y114" s="600"/>
      <c r="Z114" s="251"/>
      <c r="AA114" s="251"/>
      <c r="AB114" s="601"/>
      <c r="AC114" s="26"/>
      <c r="AD114" s="600"/>
      <c r="AE114" s="251"/>
      <c r="AF114" s="251"/>
      <c r="AG114" s="601"/>
      <c r="AH114" s="26"/>
      <c r="AI114" s="600"/>
      <c r="AJ114" s="251"/>
      <c r="AK114" s="251"/>
      <c r="AL114" s="601"/>
      <c r="AM114" s="26"/>
      <c r="AN114" s="600"/>
      <c r="AO114" s="251"/>
      <c r="AP114" s="251"/>
      <c r="AQ114" s="601"/>
      <c r="AR114" s="26"/>
      <c r="AS114" s="600"/>
      <c r="AT114" s="251"/>
      <c r="AU114" s="251"/>
      <c r="AV114" s="601"/>
      <c r="AW114" s="26"/>
      <c r="AX114" s="600"/>
      <c r="AY114" s="251"/>
      <c r="AZ114" s="251"/>
      <c r="BA114" s="601"/>
      <c r="BB114" s="26"/>
      <c r="BC114" s="600"/>
      <c r="BD114" s="251"/>
      <c r="BE114" s="251"/>
      <c r="BF114" s="601"/>
      <c r="BG114" s="26"/>
      <c r="BH114" s="600"/>
      <c r="BI114" s="251"/>
      <c r="BJ114" s="251"/>
      <c r="BK114" s="601"/>
      <c r="BL114" s="26"/>
      <c r="BM114" s="600"/>
      <c r="BN114" s="251"/>
      <c r="BO114" s="251"/>
      <c r="BP114" s="601"/>
      <c r="BQ114" s="26"/>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row>
    <row r="115" spans="1:99" ht="12.75" customHeight="1">
      <c r="A115" s="330"/>
      <c r="B115" s="330"/>
      <c r="C115" s="576" t="s">
        <v>721</v>
      </c>
      <c r="D115" s="330"/>
      <c r="E115" s="624">
        <v>380</v>
      </c>
      <c r="F115" s="625">
        <v>95</v>
      </c>
      <c r="G115" s="625">
        <v>55</v>
      </c>
      <c r="H115" s="347">
        <f>I115-SUM(E115:G115)</f>
        <v>202</v>
      </c>
      <c r="I115" s="427">
        <v>732</v>
      </c>
      <c r="J115" s="624">
        <v>318</v>
      </c>
      <c r="K115" s="625">
        <v>81</v>
      </c>
      <c r="L115" s="625">
        <v>52</v>
      </c>
      <c r="M115" s="347">
        <f>N115-SUM(J115:L115)</f>
        <v>205</v>
      </c>
      <c r="N115" s="427">
        <v>656</v>
      </c>
      <c r="O115" s="624">
        <v>296</v>
      </c>
      <c r="P115" s="625">
        <v>82</v>
      </c>
      <c r="Q115" s="625">
        <v>50</v>
      </c>
      <c r="R115" s="347">
        <f>S115-SUM(O115:Q115)</f>
        <v>147</v>
      </c>
      <c r="S115" s="427">
        <v>575</v>
      </c>
      <c r="T115" s="624">
        <v>222</v>
      </c>
      <c r="U115" s="625">
        <v>73</v>
      </c>
      <c r="V115" s="625">
        <v>49</v>
      </c>
      <c r="W115" s="347">
        <f>X115-SUM(T115:V115)</f>
        <v>165</v>
      </c>
      <c r="X115" s="427">
        <v>509</v>
      </c>
      <c r="Y115" s="624">
        <v>260</v>
      </c>
      <c r="Z115" s="625">
        <v>78</v>
      </c>
      <c r="AA115" s="1452">
        <v>48</v>
      </c>
      <c r="AB115" s="347">
        <f>AC115-SUM(Y115:AA115)</f>
        <v>176</v>
      </c>
      <c r="AC115" s="1437">
        <v>562</v>
      </c>
      <c r="AD115" s="624">
        <v>302</v>
      </c>
      <c r="AE115" s="625">
        <v>88</v>
      </c>
      <c r="AF115" s="1452">
        <v>54</v>
      </c>
      <c r="AG115" s="347">
        <f>AH115-SUM(AD115:AF115)</f>
        <v>164</v>
      </c>
      <c r="AH115" s="1437">
        <v>608</v>
      </c>
      <c r="AI115" s="624">
        <v>296</v>
      </c>
      <c r="AJ115" s="625">
        <v>72</v>
      </c>
      <c r="AK115" s="1452">
        <v>42</v>
      </c>
      <c r="AL115" s="347">
        <f>AM115-SUM(AI115:AK115)</f>
        <v>101</v>
      </c>
      <c r="AM115" s="1437">
        <v>511</v>
      </c>
      <c r="AN115" s="624">
        <v>187</v>
      </c>
      <c r="AO115" s="625">
        <v>70</v>
      </c>
      <c r="AP115" s="1452">
        <v>41</v>
      </c>
      <c r="AQ115" s="347">
        <f>AR115-SUM(AN115:AP115)</f>
        <v>132</v>
      </c>
      <c r="AR115" s="1437">
        <v>430</v>
      </c>
      <c r="AS115" s="624">
        <v>197</v>
      </c>
      <c r="AT115" s="625">
        <v>72</v>
      </c>
      <c r="AU115" s="625">
        <v>46</v>
      </c>
      <c r="AV115" s="347">
        <f>AW115-SUM(AS115:AU115)</f>
        <v>147</v>
      </c>
      <c r="AW115" s="1437">
        <v>462</v>
      </c>
      <c r="AX115" s="292"/>
      <c r="AY115" s="261"/>
      <c r="AZ115" s="261"/>
      <c r="BA115" s="293"/>
      <c r="BB115" s="228"/>
      <c r="BC115" s="292"/>
      <c r="BD115" s="261"/>
      <c r="BE115" s="261"/>
      <c r="BF115" s="293"/>
      <c r="BG115" s="228"/>
      <c r="BH115" s="292"/>
      <c r="BI115" s="261"/>
      <c r="BJ115" s="261"/>
      <c r="BK115" s="293"/>
      <c r="BL115" s="228"/>
      <c r="BM115" s="292"/>
      <c r="BN115" s="261"/>
      <c r="BO115" s="261"/>
      <c r="BP115" s="293"/>
      <c r="BQ115" s="228"/>
      <c r="BR115" s="330"/>
      <c r="BS115" s="330"/>
      <c r="BT115" s="330"/>
      <c r="BU115" s="330"/>
      <c r="BV115" s="330"/>
      <c r="BW115" s="330"/>
      <c r="BX115" s="330"/>
      <c r="BY115" s="330"/>
      <c r="BZ115" s="330"/>
      <c r="CA115" s="330"/>
      <c r="CB115" s="330"/>
      <c r="CC115" s="330"/>
      <c r="CD115" s="330"/>
      <c r="CE115" s="330"/>
      <c r="CF115" s="330"/>
      <c r="CG115" s="330"/>
      <c r="CH115" s="330"/>
      <c r="CI115" s="330"/>
      <c r="CJ115" s="330"/>
      <c r="CK115" s="330"/>
      <c r="CL115" s="330"/>
      <c r="CM115" s="330"/>
      <c r="CN115" s="330"/>
      <c r="CO115" s="330"/>
      <c r="CP115" s="330"/>
      <c r="CQ115" s="330"/>
      <c r="CR115" s="330"/>
      <c r="CS115" s="330"/>
      <c r="CT115" s="330"/>
      <c r="CU115" s="330"/>
    </row>
    <row r="116" spans="1:99" ht="12.75" customHeight="1">
      <c r="A116" s="330"/>
      <c r="B116" s="330"/>
      <c r="C116" s="576" t="s">
        <v>785</v>
      </c>
      <c r="D116" s="330"/>
      <c r="E116" s="624">
        <v>8</v>
      </c>
      <c r="F116" s="625">
        <v>6</v>
      </c>
      <c r="G116" s="625">
        <v>7</v>
      </c>
      <c r="H116" s="347">
        <f>I116-SUM(E116:G116)</f>
        <v>9</v>
      </c>
      <c r="I116" s="427">
        <v>30</v>
      </c>
      <c r="J116" s="624">
        <v>8</v>
      </c>
      <c r="K116" s="625">
        <v>8</v>
      </c>
      <c r="L116" s="625">
        <v>4</v>
      </c>
      <c r="M116" s="347">
        <f>N116-SUM(J116:L116)</f>
        <v>8</v>
      </c>
      <c r="N116" s="427">
        <v>28</v>
      </c>
      <c r="O116" s="624">
        <v>13</v>
      </c>
      <c r="P116" s="625">
        <v>7</v>
      </c>
      <c r="Q116" s="625">
        <v>5</v>
      </c>
      <c r="R116" s="347">
        <f>S116-SUM(O116:Q116)</f>
        <v>11</v>
      </c>
      <c r="S116" s="427">
        <v>36</v>
      </c>
      <c r="T116" s="624">
        <v>10</v>
      </c>
      <c r="U116" s="625">
        <v>7</v>
      </c>
      <c r="V116" s="625">
        <v>5</v>
      </c>
      <c r="W116" s="347">
        <f>X116-SUM(T116:V116)</f>
        <v>15</v>
      </c>
      <c r="X116" s="427">
        <v>37</v>
      </c>
      <c r="Y116" s="624">
        <v>12</v>
      </c>
      <c r="Z116" s="625">
        <v>9</v>
      </c>
      <c r="AA116" s="1452">
        <v>8</v>
      </c>
      <c r="AB116" s="347">
        <f>AC116-SUM(Y116:AA116)</f>
        <v>9</v>
      </c>
      <c r="AC116" s="1437">
        <v>38</v>
      </c>
      <c r="AD116" s="624">
        <v>13</v>
      </c>
      <c r="AE116" s="625">
        <v>9</v>
      </c>
      <c r="AF116" s="1452">
        <v>5</v>
      </c>
      <c r="AG116" s="347">
        <f>AH116-SUM(AD116:AF116)</f>
        <v>11</v>
      </c>
      <c r="AH116" s="1437">
        <v>38</v>
      </c>
      <c r="AI116" s="624">
        <v>12</v>
      </c>
      <c r="AJ116" s="625">
        <v>7</v>
      </c>
      <c r="AK116" s="1452">
        <v>7</v>
      </c>
      <c r="AL116" s="347">
        <f>AM116-SUM(AI116:AK116)</f>
        <v>9</v>
      </c>
      <c r="AM116" s="1437">
        <v>35</v>
      </c>
      <c r="AN116" s="624">
        <v>10</v>
      </c>
      <c r="AO116" s="625">
        <v>7</v>
      </c>
      <c r="AP116" s="1452">
        <v>7</v>
      </c>
      <c r="AQ116" s="347">
        <f>AR116-SUM(AN116:AP116)</f>
        <v>9</v>
      </c>
      <c r="AR116" s="1437">
        <v>33</v>
      </c>
      <c r="AS116" s="624">
        <v>9</v>
      </c>
      <c r="AT116" s="625">
        <v>8</v>
      </c>
      <c r="AU116" s="625">
        <v>7</v>
      </c>
      <c r="AV116" s="347">
        <f>AW116-SUM(AS116:AU116)</f>
        <v>9</v>
      </c>
      <c r="AW116" s="1437">
        <v>33</v>
      </c>
      <c r="AX116" s="292"/>
      <c r="AY116" s="261"/>
      <c r="AZ116" s="261"/>
      <c r="BA116" s="293"/>
      <c r="BB116" s="228"/>
      <c r="BC116" s="292"/>
      <c r="BD116" s="261"/>
      <c r="BE116" s="261"/>
      <c r="BF116" s="293"/>
      <c r="BG116" s="228"/>
      <c r="BH116" s="292"/>
      <c r="BI116" s="261"/>
      <c r="BJ116" s="261"/>
      <c r="BK116" s="293"/>
      <c r="BL116" s="228"/>
      <c r="BM116" s="292"/>
      <c r="BN116" s="261"/>
      <c r="BO116" s="261"/>
      <c r="BP116" s="293"/>
      <c r="BQ116" s="228"/>
      <c r="BR116" s="330"/>
      <c r="BS116" s="330"/>
      <c r="BT116" s="330"/>
      <c r="BU116" s="330"/>
      <c r="BV116" s="330"/>
      <c r="BW116" s="330"/>
      <c r="BX116" s="330"/>
      <c r="BY116" s="330"/>
      <c r="BZ116" s="330"/>
      <c r="CA116" s="330"/>
      <c r="CB116" s="330"/>
      <c r="CC116" s="330"/>
      <c r="CD116" s="330"/>
      <c r="CE116" s="330"/>
      <c r="CF116" s="330"/>
      <c r="CG116" s="330"/>
      <c r="CH116" s="330"/>
      <c r="CI116" s="330"/>
      <c r="CJ116" s="330"/>
      <c r="CK116" s="330"/>
      <c r="CL116" s="330"/>
      <c r="CM116" s="330"/>
      <c r="CN116" s="330"/>
      <c r="CO116" s="330"/>
      <c r="CP116" s="330"/>
      <c r="CQ116" s="330"/>
      <c r="CR116" s="330"/>
      <c r="CS116" s="330"/>
      <c r="CT116" s="330"/>
      <c r="CU116" s="330"/>
    </row>
    <row r="117" spans="1:99" ht="12.75" customHeight="1">
      <c r="A117" s="330"/>
      <c r="B117" s="330"/>
      <c r="C117" s="32" t="s">
        <v>1296</v>
      </c>
      <c r="D117" s="330"/>
      <c r="E117" s="292">
        <f t="shared" ref="E117:S117" si="277">SUM(E115:E116)</f>
        <v>388</v>
      </c>
      <c r="F117" s="261">
        <f t="shared" si="277"/>
        <v>101</v>
      </c>
      <c r="G117" s="261">
        <f t="shared" si="277"/>
        <v>62</v>
      </c>
      <c r="H117" s="293">
        <f t="shared" si="277"/>
        <v>211</v>
      </c>
      <c r="I117" s="228">
        <f t="shared" si="277"/>
        <v>762</v>
      </c>
      <c r="J117" s="292">
        <f t="shared" si="277"/>
        <v>326</v>
      </c>
      <c r="K117" s="261">
        <f t="shared" si="277"/>
        <v>89</v>
      </c>
      <c r="L117" s="261">
        <f t="shared" si="277"/>
        <v>56</v>
      </c>
      <c r="M117" s="293">
        <f t="shared" si="277"/>
        <v>213</v>
      </c>
      <c r="N117" s="228">
        <f t="shared" si="277"/>
        <v>684</v>
      </c>
      <c r="O117" s="292">
        <f t="shared" si="277"/>
        <v>309</v>
      </c>
      <c r="P117" s="261">
        <f t="shared" si="277"/>
        <v>89</v>
      </c>
      <c r="Q117" s="261">
        <f t="shared" si="277"/>
        <v>55</v>
      </c>
      <c r="R117" s="293">
        <f t="shared" si="277"/>
        <v>158</v>
      </c>
      <c r="S117" s="228">
        <f t="shared" si="277"/>
        <v>611</v>
      </c>
      <c r="T117" s="292">
        <f t="shared" ref="T117:AA117" si="278">SUM(T115:T116)</f>
        <v>232</v>
      </c>
      <c r="U117" s="261">
        <f t="shared" si="278"/>
        <v>80</v>
      </c>
      <c r="V117" s="261">
        <f t="shared" si="278"/>
        <v>54</v>
      </c>
      <c r="W117" s="293">
        <f t="shared" si="278"/>
        <v>180</v>
      </c>
      <c r="X117" s="228">
        <f t="shared" si="278"/>
        <v>546</v>
      </c>
      <c r="Y117" s="292">
        <f t="shared" si="278"/>
        <v>272</v>
      </c>
      <c r="Z117" s="261">
        <f t="shared" si="278"/>
        <v>87</v>
      </c>
      <c r="AA117" s="1438">
        <f t="shared" si="278"/>
        <v>56</v>
      </c>
      <c r="AB117" s="1439">
        <f>SUM(AB115:AB116)</f>
        <v>185</v>
      </c>
      <c r="AC117" s="1440">
        <f>SUM(AC115:AC116)</f>
        <v>600</v>
      </c>
      <c r="AD117" s="292">
        <f>SUM(AD115:AD116)</f>
        <v>315</v>
      </c>
      <c r="AE117" s="261">
        <f>SUM(AE115:AE116)</f>
        <v>97</v>
      </c>
      <c r="AF117" s="1438">
        <f t="shared" ref="AF117" si="279">SUM(AF115:AF116)</f>
        <v>59</v>
      </c>
      <c r="AG117" s="1439">
        <f>SUM(AG115:AG116)</f>
        <v>175</v>
      </c>
      <c r="AH117" s="1440">
        <f>SUM(AH115:AH116)</f>
        <v>646</v>
      </c>
      <c r="AI117" s="292">
        <f>SUM(AI115:AI116)</f>
        <v>308</v>
      </c>
      <c r="AJ117" s="261">
        <f>SUM(AJ115:AJ116)</f>
        <v>79</v>
      </c>
      <c r="AK117" s="1438">
        <f t="shared" ref="AK117" si="280">SUM(AK115:AK116)</f>
        <v>49</v>
      </c>
      <c r="AL117" s="1439">
        <f>SUM(AL115:AL116)</f>
        <v>110</v>
      </c>
      <c r="AM117" s="1440">
        <f>SUM(AM115:AM116)</f>
        <v>546</v>
      </c>
      <c r="AN117" s="292">
        <f>SUM(AN115:AN116)</f>
        <v>197</v>
      </c>
      <c r="AO117" s="261">
        <f>SUM(AO115:AO116)</f>
        <v>77</v>
      </c>
      <c r="AP117" s="1438">
        <f t="shared" ref="AP117" si="281">SUM(AP115:AP116)</f>
        <v>48</v>
      </c>
      <c r="AQ117" s="1439">
        <f t="shared" ref="AQ117:AW117" si="282">SUM(AQ115:AQ116)</f>
        <v>141</v>
      </c>
      <c r="AR117" s="1440">
        <f t="shared" si="282"/>
        <v>463</v>
      </c>
      <c r="AS117" s="292">
        <f t="shared" si="282"/>
        <v>206</v>
      </c>
      <c r="AT117" s="261">
        <f t="shared" si="282"/>
        <v>80</v>
      </c>
      <c r="AU117" s="261">
        <f t="shared" si="282"/>
        <v>53</v>
      </c>
      <c r="AV117" s="1439">
        <f t="shared" si="282"/>
        <v>156</v>
      </c>
      <c r="AW117" s="1440">
        <f t="shared" si="282"/>
        <v>495</v>
      </c>
      <c r="AX117" s="292">
        <f>AX122*AX126/1000</f>
        <v>209.53698196202532</v>
      </c>
      <c r="AY117" s="261">
        <f>AY122*AY126/1000</f>
        <v>82.591981962025329</v>
      </c>
      <c r="AZ117" s="261">
        <f>AZ122*AZ126/1000</f>
        <v>55.389481962025322</v>
      </c>
      <c r="BA117" s="293">
        <f>BA122*BA126/1000</f>
        <v>159.16198196202535</v>
      </c>
      <c r="BB117" s="228">
        <f>SUM(AX117:BA117)</f>
        <v>506.68042784810132</v>
      </c>
      <c r="BC117" s="292">
        <f>BC122*BC126/1000</f>
        <v>213.62433374367089</v>
      </c>
      <c r="BD117" s="261">
        <f>BD122*BD126/1000</f>
        <v>85.409883743670889</v>
      </c>
      <c r="BE117" s="261">
        <f>BE122*BE126/1000</f>
        <v>57.935358743670889</v>
      </c>
      <c r="BF117" s="293">
        <f>BF122*BF126/1000</f>
        <v>162.74558374367092</v>
      </c>
      <c r="BG117" s="228">
        <f>SUM(BC117:BF117)</f>
        <v>519.7151599746835</v>
      </c>
      <c r="BH117" s="292">
        <f>BH122*BH126/1000</f>
        <v>217.75255904313289</v>
      </c>
      <c r="BI117" s="261">
        <f>BI122*BI126/1000</f>
        <v>88.255964543132919</v>
      </c>
      <c r="BJ117" s="261">
        <f>BJ122*BJ126/1000</f>
        <v>60.506694293132909</v>
      </c>
      <c r="BK117" s="293">
        <f>BK122*BK126/1000</f>
        <v>166.36502154313294</v>
      </c>
      <c r="BL117" s="228">
        <f>SUM(BH117:BK117)</f>
        <v>532.88023942253164</v>
      </c>
      <c r="BM117" s="292">
        <f>BM122*BM126/1000</f>
        <v>221.92206659558954</v>
      </c>
      <c r="BN117" s="261">
        <f>BN122*BN126/1000</f>
        <v>91.130506150589554</v>
      </c>
      <c r="BO117" s="261">
        <f>BO122*BO126/1000</f>
        <v>63.103743198089553</v>
      </c>
      <c r="BP117" s="293">
        <f>BP122*BP126/1000</f>
        <v>170.02065372058959</v>
      </c>
      <c r="BQ117" s="228">
        <f>SUM(BM117:BP117)</f>
        <v>546.17696966485823</v>
      </c>
      <c r="BR117" s="330"/>
      <c r="BS117" s="330"/>
      <c r="BT117" s="330"/>
      <c r="BU117" s="330"/>
      <c r="BV117" s="330"/>
      <c r="BW117" s="330"/>
      <c r="BX117" s="330"/>
      <c r="BY117" s="330"/>
      <c r="BZ117" s="330"/>
      <c r="CA117" s="330"/>
      <c r="CB117" s="330"/>
      <c r="CC117" s="330"/>
      <c r="CD117" s="330"/>
      <c r="CE117" s="330"/>
      <c r="CF117" s="330"/>
      <c r="CG117" s="330"/>
      <c r="CH117" s="330"/>
      <c r="CI117" s="330"/>
      <c r="CJ117" s="330"/>
      <c r="CK117" s="330"/>
      <c r="CL117" s="330"/>
      <c r="CM117" s="330"/>
      <c r="CN117" s="330"/>
      <c r="CO117" s="330"/>
      <c r="CP117" s="330"/>
      <c r="CQ117" s="330"/>
      <c r="CR117" s="330"/>
      <c r="CS117" s="330"/>
      <c r="CT117" s="330"/>
      <c r="CU117" s="330"/>
    </row>
    <row r="118" spans="1:99" ht="12.75" customHeight="1">
      <c r="A118" s="330"/>
      <c r="B118" s="330"/>
      <c r="C118" s="228"/>
      <c r="D118" s="330"/>
      <c r="E118" s="292"/>
      <c r="F118" s="261"/>
      <c r="G118" s="261"/>
      <c r="H118" s="293"/>
      <c r="I118" s="228"/>
      <c r="J118" s="292"/>
      <c r="K118" s="261"/>
      <c r="L118" s="261"/>
      <c r="M118" s="293"/>
      <c r="N118" s="228"/>
      <c r="O118" s="292"/>
      <c r="P118" s="261"/>
      <c r="Q118" s="261"/>
      <c r="R118" s="293"/>
      <c r="S118" s="228"/>
      <c r="T118" s="290"/>
      <c r="U118" s="260"/>
      <c r="V118" s="261"/>
      <c r="W118" s="293"/>
      <c r="X118" s="228"/>
      <c r="Y118" s="292"/>
      <c r="Z118" s="260"/>
      <c r="AA118" s="1438"/>
      <c r="AB118" s="1439"/>
      <c r="AC118" s="1440"/>
      <c r="AD118" s="292"/>
      <c r="AE118" s="260"/>
      <c r="AF118" s="261"/>
      <c r="AG118" s="1439"/>
      <c r="AH118" s="1440"/>
      <c r="AI118" s="292"/>
      <c r="AJ118" s="260"/>
      <c r="AK118" s="261"/>
      <c r="AL118" s="1439"/>
      <c r="AM118" s="1440"/>
      <c r="AN118" s="292"/>
      <c r="AO118" s="260"/>
      <c r="AP118" s="261"/>
      <c r="AQ118" s="1439"/>
      <c r="AR118" s="1440"/>
      <c r="AS118" s="292"/>
      <c r="AT118" s="261"/>
      <c r="AU118" s="261"/>
      <c r="AV118" s="1439"/>
      <c r="AW118" s="1440"/>
      <c r="AX118" s="292"/>
      <c r="AY118" s="261"/>
      <c r="AZ118" s="261"/>
      <c r="BA118" s="293"/>
      <c r="BB118" s="228"/>
      <c r="BC118" s="292"/>
      <c r="BD118" s="261"/>
      <c r="BE118" s="261"/>
      <c r="BF118" s="293"/>
      <c r="BG118" s="228"/>
      <c r="BH118" s="292"/>
      <c r="BI118" s="261"/>
      <c r="BJ118" s="261"/>
      <c r="BK118" s="293"/>
      <c r="BL118" s="228"/>
      <c r="BM118" s="292"/>
      <c r="BN118" s="261"/>
      <c r="BO118" s="261"/>
      <c r="BP118" s="293"/>
      <c r="BQ118" s="228"/>
      <c r="BR118" s="330"/>
      <c r="BS118" s="330"/>
      <c r="BT118" s="330"/>
      <c r="BU118" s="330"/>
      <c r="BV118" s="330"/>
      <c r="BW118" s="330"/>
      <c r="BX118" s="330"/>
      <c r="BY118" s="330"/>
      <c r="BZ118" s="330"/>
      <c r="CA118" s="330"/>
      <c r="CB118" s="330"/>
      <c r="CC118" s="330"/>
      <c r="CD118" s="330"/>
      <c r="CE118" s="330"/>
      <c r="CF118" s="330"/>
      <c r="CG118" s="330"/>
      <c r="CH118" s="330"/>
      <c r="CI118" s="330"/>
      <c r="CJ118" s="330"/>
      <c r="CK118" s="330"/>
      <c r="CL118" s="330"/>
      <c r="CM118" s="330"/>
      <c r="CN118" s="330"/>
      <c r="CO118" s="330"/>
      <c r="CP118" s="330"/>
      <c r="CQ118" s="330"/>
      <c r="CR118" s="330"/>
      <c r="CS118" s="330"/>
      <c r="CT118" s="330"/>
      <c r="CU118" s="330"/>
    </row>
    <row r="119" spans="1:99" ht="12.75" customHeight="1">
      <c r="A119" s="330"/>
      <c r="B119" s="330"/>
      <c r="C119" s="32" t="s">
        <v>1297</v>
      </c>
      <c r="D119" s="330"/>
      <c r="E119" s="292"/>
      <c r="F119" s="261"/>
      <c r="G119" s="261"/>
      <c r="H119" s="293"/>
      <c r="I119" s="228"/>
      <c r="J119" s="292"/>
      <c r="K119" s="261"/>
      <c r="L119" s="261"/>
      <c r="M119" s="293"/>
      <c r="N119" s="228"/>
      <c r="O119" s="292"/>
      <c r="P119" s="261"/>
      <c r="Q119" s="261"/>
      <c r="R119" s="293"/>
      <c r="S119" s="228"/>
      <c r="T119" s="292"/>
      <c r="U119" s="261"/>
      <c r="V119" s="261"/>
      <c r="W119" s="293"/>
      <c r="X119" s="228"/>
      <c r="Y119" s="292"/>
      <c r="Z119" s="261"/>
      <c r="AA119" s="1438"/>
      <c r="AB119" s="1439"/>
      <c r="AC119" s="1440"/>
      <c r="AD119" s="292"/>
      <c r="AE119" s="261"/>
      <c r="AF119" s="261"/>
      <c r="AG119" s="1439"/>
      <c r="AH119" s="1440"/>
      <c r="AI119" s="292"/>
      <c r="AJ119" s="261"/>
      <c r="AK119" s="261"/>
      <c r="AL119" s="1439"/>
      <c r="AM119" s="1440"/>
      <c r="AN119" s="292"/>
      <c r="AO119" s="261"/>
      <c r="AP119" s="261"/>
      <c r="AQ119" s="1439"/>
      <c r="AR119" s="1440"/>
      <c r="AS119" s="292"/>
      <c r="AT119" s="261"/>
      <c r="AU119" s="261"/>
      <c r="AV119" s="1439"/>
      <c r="AW119" s="1440"/>
      <c r="AX119" s="292"/>
      <c r="AY119" s="261"/>
      <c r="AZ119" s="261"/>
      <c r="BA119" s="293"/>
      <c r="BB119" s="228"/>
      <c r="BC119" s="292"/>
      <c r="BD119" s="261"/>
      <c r="BE119" s="261"/>
      <c r="BF119" s="293"/>
      <c r="BG119" s="228"/>
      <c r="BH119" s="292"/>
      <c r="BI119" s="261"/>
      <c r="BJ119" s="261"/>
      <c r="BK119" s="293"/>
      <c r="BL119" s="228"/>
      <c r="BM119" s="292"/>
      <c r="BN119" s="261"/>
      <c r="BO119" s="261"/>
      <c r="BP119" s="293"/>
      <c r="BQ119" s="228"/>
      <c r="BR119" s="330"/>
      <c r="BS119" s="330"/>
      <c r="BT119" s="330"/>
      <c r="BU119" s="330"/>
      <c r="BV119" s="330"/>
      <c r="BW119" s="330"/>
      <c r="BX119" s="330"/>
      <c r="BY119" s="330"/>
      <c r="BZ119" s="330"/>
      <c r="CA119" s="330"/>
      <c r="CB119" s="330"/>
      <c r="CC119" s="330"/>
      <c r="CD119" s="330"/>
      <c r="CE119" s="330"/>
      <c r="CF119" s="330"/>
      <c r="CG119" s="330"/>
      <c r="CH119" s="330"/>
      <c r="CI119" s="330"/>
      <c r="CJ119" s="330"/>
      <c r="CK119" s="330"/>
      <c r="CL119" s="330"/>
      <c r="CM119" s="330"/>
      <c r="CN119" s="330"/>
      <c r="CO119" s="330"/>
      <c r="CP119" s="330"/>
      <c r="CQ119" s="330"/>
      <c r="CR119" s="330"/>
      <c r="CS119" s="330"/>
      <c r="CT119" s="330"/>
      <c r="CU119" s="330"/>
    </row>
    <row r="120" spans="1:99" ht="12.75" customHeight="1">
      <c r="A120" s="330"/>
      <c r="B120" s="330"/>
      <c r="C120" s="576" t="s">
        <v>721</v>
      </c>
      <c r="D120" s="330"/>
      <c r="E120" s="624">
        <v>28614</v>
      </c>
      <c r="F120" s="625">
        <v>7136</v>
      </c>
      <c r="G120" s="625">
        <v>3694</v>
      </c>
      <c r="H120" s="347">
        <f>I120-SUM(E120:G120)</f>
        <v>17659</v>
      </c>
      <c r="I120" s="626">
        <v>57103</v>
      </c>
      <c r="J120" s="624">
        <v>27584</v>
      </c>
      <c r="K120" s="625">
        <v>5973</v>
      </c>
      <c r="L120" s="625">
        <v>3546</v>
      </c>
      <c r="M120" s="347">
        <f>N120-SUM(J120:L120)</f>
        <v>19730</v>
      </c>
      <c r="N120" s="626">
        <v>56833</v>
      </c>
      <c r="O120" s="624">
        <v>28734</v>
      </c>
      <c r="P120" s="625">
        <v>6561</v>
      </c>
      <c r="Q120" s="625">
        <v>3687</v>
      </c>
      <c r="R120" s="347">
        <f>S120-SUM(O120:Q120)</f>
        <v>15257</v>
      </c>
      <c r="S120" s="626">
        <v>54239</v>
      </c>
      <c r="T120" s="624">
        <v>22427</v>
      </c>
      <c r="U120" s="625">
        <v>6228</v>
      </c>
      <c r="V120" s="625">
        <v>3646</v>
      </c>
      <c r="W120" s="347">
        <f>X120-SUM(T120:V120)</f>
        <v>17466</v>
      </c>
      <c r="X120" s="626">
        <v>49767</v>
      </c>
      <c r="Y120" s="624">
        <v>28438</v>
      </c>
      <c r="Z120" s="625">
        <v>6919</v>
      </c>
      <c r="AA120" s="1452">
        <v>3531</v>
      </c>
      <c r="AB120" s="347">
        <f>AC120-SUM(Y120:AA120)</f>
        <v>18725</v>
      </c>
      <c r="AC120" s="1454">
        <v>57613</v>
      </c>
      <c r="AD120" s="624">
        <v>33170</v>
      </c>
      <c r="AE120" s="625">
        <v>7424</v>
      </c>
      <c r="AF120" s="1452">
        <v>3893</v>
      </c>
      <c r="AG120" s="347">
        <f>AH120-SUM(AD120:AF120)</f>
        <v>18247</v>
      </c>
      <c r="AH120" s="1454">
        <v>62734</v>
      </c>
      <c r="AI120" s="624">
        <v>34863</v>
      </c>
      <c r="AJ120" s="625">
        <v>7233</v>
      </c>
      <c r="AK120" s="1452">
        <v>3639</v>
      </c>
      <c r="AL120" s="347">
        <f>AM120-SUM(AI120:AK120)</f>
        <v>13268</v>
      </c>
      <c r="AM120" s="1454">
        <v>59003</v>
      </c>
      <c r="AN120" s="624">
        <v>27111</v>
      </c>
      <c r="AO120" s="625">
        <v>7883</v>
      </c>
      <c r="AP120" s="1452">
        <v>3494</v>
      </c>
      <c r="AQ120" s="347">
        <f>AR120-SUM(AN120:AP120)</f>
        <v>17959</v>
      </c>
      <c r="AR120" s="1454">
        <v>56447</v>
      </c>
      <c r="AS120" s="624">
        <v>27211</v>
      </c>
      <c r="AT120" s="625">
        <v>7621</v>
      </c>
      <c r="AU120" s="625">
        <v>3993</v>
      </c>
      <c r="AV120" s="347">
        <f>AW120-SUM(AS120:AU120)</f>
        <v>19632</v>
      </c>
      <c r="AW120" s="1454">
        <v>58457</v>
      </c>
      <c r="AX120" s="292"/>
      <c r="AY120" s="261"/>
      <c r="AZ120" s="261"/>
      <c r="BA120" s="293"/>
      <c r="BB120" s="228"/>
      <c r="BC120" s="292"/>
      <c r="BD120" s="261"/>
      <c r="BE120" s="261"/>
      <c r="BF120" s="293"/>
      <c r="BG120" s="228"/>
      <c r="BH120" s="292"/>
      <c r="BI120" s="261"/>
      <c r="BJ120" s="261"/>
      <c r="BK120" s="293"/>
      <c r="BL120" s="228"/>
      <c r="BM120" s="292"/>
      <c r="BN120" s="261"/>
      <c r="BO120" s="261"/>
      <c r="BP120" s="293"/>
      <c r="BQ120" s="228"/>
      <c r="BR120" s="330"/>
      <c r="BS120" s="330"/>
      <c r="BT120" s="330"/>
      <c r="BU120" s="330"/>
      <c r="BV120" s="330"/>
      <c r="BW120" s="330"/>
      <c r="BX120" s="330"/>
      <c r="BY120" s="330"/>
      <c r="BZ120" s="330"/>
      <c r="CA120" s="330"/>
      <c r="CB120" s="330"/>
      <c r="CC120" s="330"/>
      <c r="CD120" s="330"/>
      <c r="CE120" s="330"/>
      <c r="CF120" s="330"/>
      <c r="CG120" s="330"/>
      <c r="CH120" s="330"/>
      <c r="CI120" s="330"/>
      <c r="CJ120" s="330"/>
      <c r="CK120" s="330"/>
      <c r="CL120" s="330"/>
      <c r="CM120" s="330"/>
      <c r="CN120" s="330"/>
      <c r="CO120" s="330"/>
      <c r="CP120" s="330"/>
      <c r="CQ120" s="330"/>
      <c r="CR120" s="330"/>
      <c r="CS120" s="330"/>
      <c r="CT120" s="330"/>
      <c r="CU120" s="330"/>
    </row>
    <row r="121" spans="1:99" ht="12.75" customHeight="1">
      <c r="A121" s="330"/>
      <c r="B121" s="330"/>
      <c r="C121" s="576" t="s">
        <v>785</v>
      </c>
      <c r="D121" s="330"/>
      <c r="E121" s="624">
        <v>7878</v>
      </c>
      <c r="F121" s="625">
        <v>6105</v>
      </c>
      <c r="G121" s="625">
        <v>6145</v>
      </c>
      <c r="H121" s="347">
        <f>I121-SUM(E121:G121)</f>
        <v>7078</v>
      </c>
      <c r="I121" s="626">
        <v>27206</v>
      </c>
      <c r="J121" s="624">
        <v>8617</v>
      </c>
      <c r="K121" s="625">
        <v>6540</v>
      </c>
      <c r="L121" s="625">
        <v>8501</v>
      </c>
      <c r="M121" s="347">
        <f>N121-SUM(J121:L121)</f>
        <v>7253</v>
      </c>
      <c r="N121" s="626">
        <v>30911</v>
      </c>
      <c r="O121" s="624">
        <v>8960</v>
      </c>
      <c r="P121" s="625">
        <v>6278</v>
      </c>
      <c r="Q121" s="625">
        <v>6190</v>
      </c>
      <c r="R121" s="347">
        <f>S121-SUM(O121:Q121)</f>
        <v>6776</v>
      </c>
      <c r="S121" s="626">
        <v>28204</v>
      </c>
      <c r="T121" s="624">
        <v>7766</v>
      </c>
      <c r="U121" s="625">
        <v>5835</v>
      </c>
      <c r="V121" s="625">
        <v>5796</v>
      </c>
      <c r="W121" s="347">
        <f>X121-SUM(T121:V121)</f>
        <v>7290</v>
      </c>
      <c r="X121" s="626">
        <v>26687</v>
      </c>
      <c r="Y121" s="624">
        <v>8883</v>
      </c>
      <c r="Z121" s="625">
        <v>5956</v>
      </c>
      <c r="AA121" s="1452">
        <v>6041</v>
      </c>
      <c r="AB121" s="347">
        <f>AC121-SUM(Y121:AA121)</f>
        <v>7209</v>
      </c>
      <c r="AC121" s="1454">
        <v>28089</v>
      </c>
      <c r="AD121" s="624">
        <v>8369</v>
      </c>
      <c r="AE121" s="625">
        <v>6005</v>
      </c>
      <c r="AF121" s="1452">
        <v>5750</v>
      </c>
      <c r="AG121" s="347">
        <f>AH121-SUM(AD121:AF121)</f>
        <v>7084</v>
      </c>
      <c r="AH121" s="1454">
        <v>27208</v>
      </c>
      <c r="AI121" s="624">
        <v>8696</v>
      </c>
      <c r="AJ121" s="625">
        <v>5431</v>
      </c>
      <c r="AK121" s="1452">
        <v>7457</v>
      </c>
      <c r="AL121" s="347">
        <f>AM121-SUM(AI121:AK121)</f>
        <v>6295</v>
      </c>
      <c r="AM121" s="1454">
        <v>27879</v>
      </c>
      <c r="AN121" s="624">
        <v>7696</v>
      </c>
      <c r="AO121" s="625">
        <v>5906</v>
      </c>
      <c r="AP121" s="1452">
        <v>7315</v>
      </c>
      <c r="AQ121" s="347">
        <f>AR121-SUM(AN121:AP121)</f>
        <v>6713</v>
      </c>
      <c r="AR121" s="1454">
        <v>27630</v>
      </c>
      <c r="AS121" s="624">
        <v>7689</v>
      </c>
      <c r="AT121" s="625">
        <v>5759</v>
      </c>
      <c r="AU121" s="625">
        <v>5674</v>
      </c>
      <c r="AV121" s="347">
        <f>AW121-SUM(AS121:AU121)</f>
        <v>7260</v>
      </c>
      <c r="AW121" s="1454">
        <v>26382</v>
      </c>
      <c r="AX121" s="292"/>
      <c r="AY121" s="261"/>
      <c r="AZ121" s="261"/>
      <c r="BA121" s="293"/>
      <c r="BB121" s="228"/>
      <c r="BC121" s="292"/>
      <c r="BD121" s="261"/>
      <c r="BE121" s="261"/>
      <c r="BF121" s="293"/>
      <c r="BG121" s="228"/>
      <c r="BH121" s="292"/>
      <c r="BI121" s="261"/>
      <c r="BJ121" s="261"/>
      <c r="BK121" s="293"/>
      <c r="BL121" s="228"/>
      <c r="BM121" s="292"/>
      <c r="BN121" s="261"/>
      <c r="BO121" s="261"/>
      <c r="BP121" s="293"/>
      <c r="BQ121" s="228"/>
      <c r="BR121" s="330"/>
      <c r="BS121" s="330"/>
      <c r="BT121" s="330"/>
      <c r="BU121" s="330"/>
      <c r="BV121" s="330"/>
      <c r="BW121" s="330"/>
      <c r="BX121" s="330"/>
      <c r="BY121" s="330"/>
      <c r="BZ121" s="330"/>
      <c r="CA121" s="330"/>
      <c r="CB121" s="330"/>
      <c r="CC121" s="330"/>
      <c r="CD121" s="330"/>
      <c r="CE121" s="330"/>
      <c r="CF121" s="330"/>
      <c r="CG121" s="330"/>
      <c r="CH121" s="330"/>
      <c r="CI121" s="330"/>
      <c r="CJ121" s="330"/>
      <c r="CK121" s="330"/>
      <c r="CL121" s="330"/>
      <c r="CM121" s="330"/>
      <c r="CN121" s="330"/>
      <c r="CO121" s="330"/>
      <c r="CP121" s="330"/>
      <c r="CQ121" s="330"/>
      <c r="CR121" s="330"/>
      <c r="CS121" s="330"/>
      <c r="CT121" s="330"/>
      <c r="CU121" s="330"/>
    </row>
    <row r="122" spans="1:99" s="34" customFormat="1" ht="12.75" customHeight="1">
      <c r="A122" s="228"/>
      <c r="B122" s="228"/>
      <c r="C122" s="32" t="s">
        <v>1298</v>
      </c>
      <c r="D122" s="228"/>
      <c r="E122" s="292">
        <f t="shared" ref="E122:S122" si="283">SUM(E120:E121)</f>
        <v>36492</v>
      </c>
      <c r="F122" s="261">
        <f t="shared" si="283"/>
        <v>13241</v>
      </c>
      <c r="G122" s="261">
        <f t="shared" si="283"/>
        <v>9839</v>
      </c>
      <c r="H122" s="293">
        <f t="shared" si="283"/>
        <v>24737</v>
      </c>
      <c r="I122" s="228">
        <f t="shared" si="283"/>
        <v>84309</v>
      </c>
      <c r="J122" s="292">
        <f t="shared" si="283"/>
        <v>36201</v>
      </c>
      <c r="K122" s="261">
        <f t="shared" si="283"/>
        <v>12513</v>
      </c>
      <c r="L122" s="261">
        <f t="shared" si="283"/>
        <v>12047</v>
      </c>
      <c r="M122" s="293">
        <f t="shared" si="283"/>
        <v>26983</v>
      </c>
      <c r="N122" s="228">
        <f t="shared" si="283"/>
        <v>87744</v>
      </c>
      <c r="O122" s="292">
        <f>SUM(O120:O121)</f>
        <v>37694</v>
      </c>
      <c r="P122" s="261">
        <f t="shared" si="283"/>
        <v>12839</v>
      </c>
      <c r="Q122" s="261">
        <f t="shared" si="283"/>
        <v>9877</v>
      </c>
      <c r="R122" s="293">
        <f t="shared" si="283"/>
        <v>22033</v>
      </c>
      <c r="S122" s="228">
        <f t="shared" si="283"/>
        <v>82443</v>
      </c>
      <c r="T122" s="292">
        <f t="shared" ref="T122:AA122" si="284">SUM(T120:T121)</f>
        <v>30193</v>
      </c>
      <c r="U122" s="261">
        <f t="shared" si="284"/>
        <v>12063</v>
      </c>
      <c r="V122" s="261">
        <f t="shared" si="284"/>
        <v>9442</v>
      </c>
      <c r="W122" s="293">
        <f t="shared" si="284"/>
        <v>24756</v>
      </c>
      <c r="X122" s="228">
        <f t="shared" si="284"/>
        <v>76454</v>
      </c>
      <c r="Y122" s="292">
        <f t="shared" si="284"/>
        <v>37321</v>
      </c>
      <c r="Z122" s="261">
        <f t="shared" si="284"/>
        <v>12875</v>
      </c>
      <c r="AA122" s="1438">
        <f t="shared" si="284"/>
        <v>9572</v>
      </c>
      <c r="AB122" s="1439">
        <f>SUM(AB120:AB121)</f>
        <v>25934</v>
      </c>
      <c r="AC122" s="1440">
        <f>SUM(AC120:AC121)</f>
        <v>85702</v>
      </c>
      <c r="AD122" s="292">
        <f>SUM(AD120:AD121)</f>
        <v>41539</v>
      </c>
      <c r="AE122" s="261">
        <f>SUM(AE120:AE121)</f>
        <v>13429</v>
      </c>
      <c r="AF122" s="1438">
        <f t="shared" ref="AF122" si="285">SUM(AF120:AF121)</f>
        <v>9643</v>
      </c>
      <c r="AG122" s="1439">
        <f>SUM(AG120:AG121)</f>
        <v>25331</v>
      </c>
      <c r="AH122" s="1440">
        <f>SUM(AH120:AH121)</f>
        <v>89942</v>
      </c>
      <c r="AI122" s="292">
        <f>SUM(AI120:AI121)</f>
        <v>43559</v>
      </c>
      <c r="AJ122" s="261">
        <f>SUM(AJ120:AJ121)</f>
        <v>12664</v>
      </c>
      <c r="AK122" s="1438">
        <f t="shared" ref="AK122" si="286">SUM(AK120:AK121)</f>
        <v>11096</v>
      </c>
      <c r="AL122" s="1439">
        <f>SUM(AL120:AL121)</f>
        <v>19563</v>
      </c>
      <c r="AM122" s="1440">
        <f>SUM(AM120:AM121)</f>
        <v>86882</v>
      </c>
      <c r="AN122" s="292">
        <f>SUM(AN120:AN121)</f>
        <v>34807</v>
      </c>
      <c r="AO122" s="261">
        <f>SUM(AO120:AO121)</f>
        <v>13789</v>
      </c>
      <c r="AP122" s="1438">
        <f t="shared" ref="AP122" si="287">SUM(AP120:AP121)</f>
        <v>10809</v>
      </c>
      <c r="AQ122" s="1439">
        <f t="shared" ref="AQ122:AW122" si="288">SUM(AQ120:AQ121)</f>
        <v>24672</v>
      </c>
      <c r="AR122" s="1440">
        <f t="shared" si="288"/>
        <v>84077</v>
      </c>
      <c r="AS122" s="292">
        <f t="shared" si="288"/>
        <v>34900</v>
      </c>
      <c r="AT122" s="261">
        <f t="shared" si="288"/>
        <v>13380</v>
      </c>
      <c r="AU122" s="261">
        <f t="shared" si="288"/>
        <v>9667</v>
      </c>
      <c r="AV122" s="1439">
        <f t="shared" si="288"/>
        <v>26892</v>
      </c>
      <c r="AW122" s="1440">
        <f t="shared" si="288"/>
        <v>84839</v>
      </c>
      <c r="AX122" s="292">
        <f>+AS122*(1+AX52)</f>
        <v>35161.75</v>
      </c>
      <c r="AY122" s="261">
        <f>+AT122*(1+AY52)</f>
        <v>13480.35</v>
      </c>
      <c r="AZ122" s="261">
        <f>+AU122*(1+AZ52)</f>
        <v>9739.5025000000005</v>
      </c>
      <c r="BA122" s="293">
        <f>+AV122*(1+BA52)</f>
        <v>27093.690000000002</v>
      </c>
      <c r="BB122" s="228">
        <f>SUM(AX122:BA122)</f>
        <v>85475.29250000001</v>
      </c>
      <c r="BC122" s="292">
        <f>+AX122*(1+BC52)</f>
        <v>35513.3675</v>
      </c>
      <c r="BD122" s="261">
        <f>+AY122*(1+BD52)</f>
        <v>13615.1535</v>
      </c>
      <c r="BE122" s="261">
        <f>+AZ122*(1+BE52)</f>
        <v>9836.8975250000003</v>
      </c>
      <c r="BF122" s="293">
        <f>+BA122*(1+BF52)</f>
        <v>27364.626900000003</v>
      </c>
      <c r="BG122" s="228">
        <f>SUM(BC122:BF122)</f>
        <v>86330.045425000004</v>
      </c>
      <c r="BH122" s="292">
        <f>+BC122*(1+BH52)</f>
        <v>35868.501174999998</v>
      </c>
      <c r="BI122" s="261">
        <f>+BD122*(1+BI52)</f>
        <v>13751.305035000001</v>
      </c>
      <c r="BJ122" s="261">
        <f>+BE122*(1+BJ52)</f>
        <v>9935.2665002499998</v>
      </c>
      <c r="BK122" s="293">
        <f>+BF122*(1+BK52)</f>
        <v>27638.273169000004</v>
      </c>
      <c r="BL122" s="228">
        <f>SUM(BH122:BK122)</f>
        <v>87193.345879250002</v>
      </c>
      <c r="BM122" s="292">
        <f>+BH122*(1+BM52)</f>
        <v>36227.186186749997</v>
      </c>
      <c r="BN122" s="261">
        <f>+BI122*(1+BN52)</f>
        <v>13888.818085350002</v>
      </c>
      <c r="BO122" s="261">
        <f>+BJ122*(1+BO52)</f>
        <v>10034.619165252499</v>
      </c>
      <c r="BP122" s="293">
        <f>+BK122*(1+BP52)</f>
        <v>27914.655900690002</v>
      </c>
      <c r="BQ122" s="228">
        <f>SUM(BM122:BP122)</f>
        <v>88065.279338042499</v>
      </c>
      <c r="BR122" s="228"/>
      <c r="BS122" s="228"/>
      <c r="BT122" s="228"/>
      <c r="BU122" s="228"/>
      <c r="BV122" s="228"/>
      <c r="BW122" s="228"/>
      <c r="BX122" s="228"/>
      <c r="BY122" s="228"/>
      <c r="BZ122" s="228"/>
      <c r="CA122" s="228"/>
      <c r="CB122" s="228"/>
      <c r="CC122" s="228"/>
      <c r="CD122" s="228"/>
      <c r="CE122" s="228"/>
      <c r="CF122" s="228"/>
      <c r="CG122" s="228"/>
      <c r="CH122" s="228"/>
      <c r="CI122" s="228"/>
      <c r="CJ122" s="228"/>
      <c r="CK122" s="228"/>
      <c r="CL122" s="228"/>
      <c r="CM122" s="228"/>
      <c r="CN122" s="228"/>
      <c r="CO122" s="228"/>
      <c r="CP122" s="228"/>
      <c r="CQ122" s="228"/>
      <c r="CR122" s="228"/>
      <c r="CS122" s="228"/>
      <c r="CT122" s="228"/>
      <c r="CU122" s="228"/>
    </row>
    <row r="123" spans="1:99" ht="12.75" customHeight="1">
      <c r="A123" s="330"/>
      <c r="B123" s="330"/>
      <c r="C123" s="45"/>
      <c r="D123" s="330"/>
      <c r="E123" s="292"/>
      <c r="F123" s="261"/>
      <c r="G123" s="261"/>
      <c r="H123" s="293"/>
      <c r="I123" s="228"/>
      <c r="J123" s="292"/>
      <c r="K123" s="261"/>
      <c r="L123" s="261"/>
      <c r="M123" s="293"/>
      <c r="N123" s="228"/>
      <c r="O123" s="292"/>
      <c r="P123" s="261"/>
      <c r="Q123" s="261"/>
      <c r="R123" s="293"/>
      <c r="S123" s="228"/>
      <c r="T123" s="292"/>
      <c r="U123" s="261"/>
      <c r="V123" s="261"/>
      <c r="W123" s="293"/>
      <c r="X123" s="228"/>
      <c r="Y123" s="292"/>
      <c r="Z123" s="261"/>
      <c r="AA123" s="1438"/>
      <c r="AB123" s="1439"/>
      <c r="AC123" s="1440"/>
      <c r="AD123" s="292"/>
      <c r="AE123" s="261"/>
      <c r="AF123" s="1438"/>
      <c r="AG123" s="1439"/>
      <c r="AH123" s="1440"/>
      <c r="AI123" s="292"/>
      <c r="AJ123" s="261"/>
      <c r="AK123" s="1438"/>
      <c r="AL123" s="1439"/>
      <c r="AM123" s="1440"/>
      <c r="AN123" s="292"/>
      <c r="AO123" s="261"/>
      <c r="AP123" s="1438"/>
      <c r="AQ123" s="1439"/>
      <c r="AR123" s="1440"/>
      <c r="AS123" s="292"/>
      <c r="AT123" s="261"/>
      <c r="AU123" s="261"/>
      <c r="AV123" s="293"/>
      <c r="AW123" s="228"/>
      <c r="AX123" s="292"/>
      <c r="AY123" s="261"/>
      <c r="AZ123" s="261"/>
      <c r="BA123" s="293"/>
      <c r="BB123" s="228"/>
      <c r="BC123" s="292"/>
      <c r="BD123" s="261"/>
      <c r="BE123" s="261"/>
      <c r="BF123" s="293"/>
      <c r="BG123" s="228"/>
      <c r="BH123" s="292"/>
      <c r="BI123" s="261"/>
      <c r="BJ123" s="261"/>
      <c r="BK123" s="293"/>
      <c r="BL123" s="228"/>
      <c r="BM123" s="292"/>
      <c r="BN123" s="261"/>
      <c r="BO123" s="261"/>
      <c r="BP123" s="293"/>
      <c r="BQ123" s="228"/>
      <c r="BR123" s="330"/>
      <c r="BS123" s="330"/>
      <c r="BT123" s="330"/>
      <c r="BU123" s="330"/>
      <c r="BV123" s="330"/>
      <c r="BW123" s="330"/>
      <c r="BX123" s="330"/>
      <c r="BY123" s="330"/>
      <c r="BZ123" s="330"/>
      <c r="CA123" s="330"/>
      <c r="CB123" s="330"/>
      <c r="CC123" s="330"/>
      <c r="CD123" s="330"/>
      <c r="CE123" s="330"/>
      <c r="CF123" s="330"/>
      <c r="CG123" s="330"/>
      <c r="CH123" s="330"/>
      <c r="CI123" s="330"/>
      <c r="CJ123" s="330"/>
      <c r="CK123" s="330"/>
      <c r="CL123" s="330"/>
      <c r="CM123" s="330"/>
      <c r="CN123" s="330"/>
      <c r="CO123" s="330"/>
      <c r="CP123" s="330"/>
      <c r="CQ123" s="330"/>
      <c r="CR123" s="330"/>
      <c r="CS123" s="330"/>
      <c r="CT123" s="330"/>
      <c r="CU123" s="330"/>
    </row>
    <row r="124" spans="1:99" ht="12.75" customHeight="1">
      <c r="A124" s="28"/>
      <c r="B124" s="28"/>
      <c r="C124" s="28" t="s">
        <v>132</v>
      </c>
      <c r="D124" s="28"/>
      <c r="E124" s="415"/>
      <c r="F124" s="242"/>
      <c r="G124" s="242"/>
      <c r="H124" s="416"/>
      <c r="I124" s="23"/>
      <c r="J124" s="284">
        <f t="shared" ref="J124:S124" si="289">+J122/E122-1</f>
        <v>-7.9743505425846628E-3</v>
      </c>
      <c r="K124" s="241">
        <f t="shared" si="289"/>
        <v>-5.4980741635828112E-2</v>
      </c>
      <c r="L124" s="241">
        <f t="shared" si="289"/>
        <v>0.22441305010671808</v>
      </c>
      <c r="M124" s="285">
        <f t="shared" si="289"/>
        <v>9.0795165137243838E-2</v>
      </c>
      <c r="N124" s="25">
        <f t="shared" si="289"/>
        <v>4.0742981176386861E-2</v>
      </c>
      <c r="O124" s="284">
        <f t="shared" si="289"/>
        <v>4.124195464213698E-2</v>
      </c>
      <c r="P124" s="241">
        <f t="shared" si="289"/>
        <v>2.6052904978822067E-2</v>
      </c>
      <c r="Q124" s="241">
        <f t="shared" si="289"/>
        <v>-0.18012783265543286</v>
      </c>
      <c r="R124" s="285">
        <f t="shared" si="289"/>
        <v>-0.18344883815735835</v>
      </c>
      <c r="S124" s="25">
        <f t="shared" si="289"/>
        <v>-6.0414387308533879E-2</v>
      </c>
      <c r="T124" s="284">
        <f t="shared" ref="T124:AA124" si="290">+T122/O122-1</f>
        <v>-0.19899718788136045</v>
      </c>
      <c r="U124" s="241">
        <f t="shared" si="290"/>
        <v>-6.0440844302515728E-2</v>
      </c>
      <c r="V124" s="241">
        <f t="shared" si="290"/>
        <v>-4.4041713070770427E-2</v>
      </c>
      <c r="W124" s="285">
        <f t="shared" si="290"/>
        <v>0.12358734625334722</v>
      </c>
      <c r="X124" s="25">
        <f t="shared" si="290"/>
        <v>-7.2644129883677189E-2</v>
      </c>
      <c r="Y124" s="284">
        <f t="shared" si="290"/>
        <v>0.2360812108766932</v>
      </c>
      <c r="Z124" s="241">
        <f t="shared" si="290"/>
        <v>6.7313271988725942E-2</v>
      </c>
      <c r="AA124" s="241">
        <f t="shared" si="290"/>
        <v>1.3768269434441871E-2</v>
      </c>
      <c r="AB124" s="285">
        <f>+AB122/W122-1</f>
        <v>4.7584423978025425E-2</v>
      </c>
      <c r="AC124" s="25">
        <f>+AC122/X122-1</f>
        <v>0.12096162398304866</v>
      </c>
      <c r="AD124" s="284">
        <f>+AD122/Y122-1</f>
        <v>0.11301947964952697</v>
      </c>
      <c r="AE124" s="241">
        <f>+AE122/Z122-1</f>
        <v>4.3029126213592228E-2</v>
      </c>
      <c r="AF124" s="241">
        <f t="shared" ref="AF124" si="291">+AF122/AA122-1</f>
        <v>7.4174676138738516E-3</v>
      </c>
      <c r="AG124" s="285">
        <f>+AG122/AB122-1</f>
        <v>-2.3251330299992268E-2</v>
      </c>
      <c r="AH124" s="25">
        <f>+AH122/AC122-1</f>
        <v>4.9473757905299731E-2</v>
      </c>
      <c r="AI124" s="284">
        <f>+AI122/AD122-1</f>
        <v>4.8628999253713445E-2</v>
      </c>
      <c r="AJ124" s="241">
        <f>+AJ122/AE122-1</f>
        <v>-5.6966267034030849E-2</v>
      </c>
      <c r="AK124" s="241">
        <f t="shared" ref="AK124" si="292">+AK122/AF122-1</f>
        <v>0.15067924919630826</v>
      </c>
      <c r="AL124" s="285">
        <f>+AL122/AG122-1</f>
        <v>-0.22770518337215273</v>
      </c>
      <c r="AM124" s="25">
        <f>+AM122/AH122-1</f>
        <v>-3.4021925240710682E-2</v>
      </c>
      <c r="AN124" s="284">
        <f>+AN122/AI122-1</f>
        <v>-0.20092288620032595</v>
      </c>
      <c r="AO124" s="241">
        <f>+AO122/AJ122-1</f>
        <v>8.8834491471888821E-2</v>
      </c>
      <c r="AP124" s="241">
        <f t="shared" ref="AP124" si="293">+AP122/AK122-1</f>
        <v>-2.5865176640230692E-2</v>
      </c>
      <c r="AQ124" s="285">
        <f t="shared" ref="AQ124:AW124" si="294">+AQ122/AL122-1</f>
        <v>0.26115626437662942</v>
      </c>
      <c r="AR124" s="25">
        <f t="shared" si="294"/>
        <v>-3.2285168389309615E-2</v>
      </c>
      <c r="AS124" s="284">
        <f t="shared" si="294"/>
        <v>2.6718763467119544E-3</v>
      </c>
      <c r="AT124" s="241">
        <f t="shared" si="294"/>
        <v>-2.9661324243962617E-2</v>
      </c>
      <c r="AU124" s="241">
        <f t="shared" si="294"/>
        <v>-0.10565269682671852</v>
      </c>
      <c r="AV124" s="285">
        <f t="shared" si="294"/>
        <v>8.9980544747081614E-2</v>
      </c>
      <c r="AW124" s="25">
        <f t="shared" si="294"/>
        <v>9.0631207107769729E-3</v>
      </c>
      <c r="AX124" s="284">
        <f t="shared" ref="AX124:BB124" si="295">+AX122/AS122-1</f>
        <v>7.5000000000000622E-3</v>
      </c>
      <c r="AY124" s="241">
        <f t="shared" si="295"/>
        <v>7.5000000000000622E-3</v>
      </c>
      <c r="AZ124" s="241">
        <f t="shared" si="295"/>
        <v>7.5000000000000622E-3</v>
      </c>
      <c r="BA124" s="285">
        <f t="shared" si="295"/>
        <v>7.5000000000000622E-3</v>
      </c>
      <c r="BB124" s="25">
        <f t="shared" si="295"/>
        <v>7.5000000000000622E-3</v>
      </c>
      <c r="BC124" s="284">
        <f t="shared" ref="BC124" si="296">+BC122/AX122-1</f>
        <v>1.0000000000000009E-2</v>
      </c>
      <c r="BD124" s="241">
        <f t="shared" ref="BD124" si="297">+BD122/AY122-1</f>
        <v>1.0000000000000009E-2</v>
      </c>
      <c r="BE124" s="241">
        <f t="shared" ref="BE124" si="298">+BE122/AZ122-1</f>
        <v>1.0000000000000009E-2</v>
      </c>
      <c r="BF124" s="285">
        <f t="shared" ref="BF124" si="299">+BF122/BA122-1</f>
        <v>1.0000000000000009E-2</v>
      </c>
      <c r="BG124" s="25">
        <f t="shared" ref="BG124" si="300">+BG122/BB122-1</f>
        <v>1.0000000000000009E-2</v>
      </c>
      <c r="BH124" s="284">
        <f t="shared" ref="BH124" si="301">+BH122/BC122-1</f>
        <v>1.0000000000000009E-2</v>
      </c>
      <c r="BI124" s="241">
        <f t="shared" ref="BI124" si="302">+BI122/BD122-1</f>
        <v>1.0000000000000009E-2</v>
      </c>
      <c r="BJ124" s="241">
        <f t="shared" ref="BJ124" si="303">+BJ122/BE122-1</f>
        <v>1.0000000000000009E-2</v>
      </c>
      <c r="BK124" s="285">
        <f t="shared" ref="BK124" si="304">+BK122/BF122-1</f>
        <v>1.0000000000000009E-2</v>
      </c>
      <c r="BL124" s="25">
        <f t="shared" ref="BL124" si="305">+BL122/BG122-1</f>
        <v>1.0000000000000009E-2</v>
      </c>
      <c r="BM124" s="284">
        <f t="shared" ref="BM124" si="306">+BM122/BH122-1</f>
        <v>1.0000000000000009E-2</v>
      </c>
      <c r="BN124" s="241">
        <f t="shared" ref="BN124" si="307">+BN122/BI122-1</f>
        <v>1.0000000000000009E-2</v>
      </c>
      <c r="BO124" s="241">
        <f t="shared" ref="BO124" si="308">+BO122/BJ122-1</f>
        <v>1.0000000000000009E-2</v>
      </c>
      <c r="BP124" s="285">
        <f t="shared" ref="BP124" si="309">+BP122/BK122-1</f>
        <v>1.0000000000000009E-2</v>
      </c>
      <c r="BQ124" s="25">
        <f t="shared" ref="BQ124" si="310">+BQ122/BL122-1</f>
        <v>1.0000000000000009E-2</v>
      </c>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row>
    <row r="125" spans="1:99" ht="12.75" customHeight="1">
      <c r="A125" s="28"/>
      <c r="B125" s="28"/>
      <c r="C125" s="28"/>
      <c r="D125" s="28"/>
      <c r="E125" s="415"/>
      <c r="F125" s="242"/>
      <c r="G125" s="242"/>
      <c r="H125" s="416"/>
      <c r="I125" s="23"/>
      <c r="J125" s="284"/>
      <c r="K125" s="241"/>
      <c r="L125" s="241"/>
      <c r="M125" s="285"/>
      <c r="N125" s="25"/>
      <c r="O125" s="284"/>
      <c r="P125" s="241"/>
      <c r="Q125" s="241"/>
      <c r="R125" s="285"/>
      <c r="S125" s="25"/>
      <c r="T125" s="284"/>
      <c r="U125" s="241"/>
      <c r="V125" s="241"/>
      <c r="W125" s="285"/>
      <c r="X125" s="25"/>
      <c r="Y125" s="284"/>
      <c r="Z125" s="241"/>
      <c r="AA125" s="241"/>
      <c r="AB125" s="285"/>
      <c r="AC125" s="25"/>
      <c r="AD125" s="284"/>
      <c r="AE125" s="241"/>
      <c r="AF125" s="241"/>
      <c r="AG125" s="285"/>
      <c r="AH125" s="25"/>
      <c r="AI125" s="284"/>
      <c r="AJ125" s="241"/>
      <c r="AK125" s="241"/>
      <c r="AL125" s="285"/>
      <c r="AM125" s="25"/>
      <c r="AN125" s="284"/>
      <c r="AO125" s="241"/>
      <c r="AP125" s="241"/>
      <c r="AQ125" s="285"/>
      <c r="AR125" s="25"/>
      <c r="AS125" s="284"/>
      <c r="AT125" s="241"/>
      <c r="AU125" s="241"/>
      <c r="AV125" s="285"/>
      <c r="AW125" s="25"/>
      <c r="AX125" s="284"/>
      <c r="AY125" s="241"/>
      <c r="AZ125" s="241"/>
      <c r="BA125" s="285"/>
      <c r="BB125" s="25"/>
      <c r="BC125" s="284"/>
      <c r="BD125" s="241"/>
      <c r="BE125" s="241"/>
      <c r="BF125" s="285"/>
      <c r="BG125" s="25"/>
      <c r="BH125" s="284"/>
      <c r="BI125" s="241"/>
      <c r="BJ125" s="241"/>
      <c r="BK125" s="285"/>
      <c r="BL125" s="25"/>
      <c r="BM125" s="284"/>
      <c r="BN125" s="241"/>
      <c r="BO125" s="241"/>
      <c r="BP125" s="285"/>
      <c r="BQ125" s="25"/>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row>
    <row r="126" spans="1:99" ht="12.75" customHeight="1">
      <c r="A126" s="1"/>
      <c r="B126" s="1"/>
      <c r="C126" s="32" t="s">
        <v>649</v>
      </c>
      <c r="D126" s="1"/>
      <c r="E126" s="627">
        <f>E117/E122*1000</f>
        <v>10.632467390112902</v>
      </c>
      <c r="F126" s="628">
        <f t="shared" ref="F126:S126" si="311">F117/F122*1000</f>
        <v>7.6278226720036253</v>
      </c>
      <c r="G126" s="628">
        <f t="shared" si="311"/>
        <v>6.3014533997357454</v>
      </c>
      <c r="H126" s="629">
        <f t="shared" si="311"/>
        <v>8.5297327889396453</v>
      </c>
      <c r="I126" s="630">
        <f t="shared" si="311"/>
        <v>9.0381809771198789</v>
      </c>
      <c r="J126" s="631">
        <f t="shared" si="311"/>
        <v>9.0052760973453783</v>
      </c>
      <c r="K126" s="632">
        <f t="shared" si="311"/>
        <v>7.1126028929912897</v>
      </c>
      <c r="L126" s="632">
        <f t="shared" si="311"/>
        <v>4.6484601975595581</v>
      </c>
      <c r="M126" s="629">
        <f t="shared" si="311"/>
        <v>7.8938590964681472</v>
      </c>
      <c r="N126" s="630">
        <f t="shared" si="311"/>
        <v>7.7954048140043763</v>
      </c>
      <c r="O126" s="631">
        <f t="shared" si="311"/>
        <v>8.1975911285615748</v>
      </c>
      <c r="P126" s="632">
        <f t="shared" si="311"/>
        <v>6.9320040501596702</v>
      </c>
      <c r="Q126" s="632">
        <f t="shared" si="311"/>
        <v>5.5684924572238534</v>
      </c>
      <c r="R126" s="629">
        <f t="shared" si="311"/>
        <v>7.1710615894340304</v>
      </c>
      <c r="S126" s="630">
        <f t="shared" si="311"/>
        <v>7.411181058428248</v>
      </c>
      <c r="T126" s="631">
        <f t="shared" ref="T126:Z126" si="312">T117/T122*1000</f>
        <v>7.6839002417778959</v>
      </c>
      <c r="U126" s="632">
        <f t="shared" si="312"/>
        <v>6.6318494570173252</v>
      </c>
      <c r="V126" s="632">
        <f t="shared" si="312"/>
        <v>5.7191273035373866</v>
      </c>
      <c r="W126" s="629">
        <f t="shared" si="312"/>
        <v>7.270964614638876</v>
      </c>
      <c r="X126" s="630">
        <f t="shared" si="312"/>
        <v>7.1415491668192637</v>
      </c>
      <c r="Y126" s="631">
        <f t="shared" si="312"/>
        <v>7.2881219688647141</v>
      </c>
      <c r="Z126" s="632">
        <f t="shared" si="312"/>
        <v>6.7572815533980588</v>
      </c>
      <c r="AA126" s="632">
        <f t="shared" ref="AA126:AH126" si="313">AA117/AA122*1000</f>
        <v>5.8503969912244047</v>
      </c>
      <c r="AB126" s="629">
        <f t="shared" si="313"/>
        <v>7.1334927122696081</v>
      </c>
      <c r="AC126" s="630">
        <f t="shared" si="313"/>
        <v>7.0010034771650602</v>
      </c>
      <c r="AD126" s="631">
        <f t="shared" si="313"/>
        <v>7.5832350321384725</v>
      </c>
      <c r="AE126" s="632">
        <f t="shared" si="313"/>
        <v>7.2231737284980273</v>
      </c>
      <c r="AF126" s="632">
        <f t="shared" si="313"/>
        <v>6.11842787514259</v>
      </c>
      <c r="AG126" s="629">
        <f t="shared" si="313"/>
        <v>6.9085310489124003</v>
      </c>
      <c r="AH126" s="630">
        <f t="shared" si="313"/>
        <v>7.1824064397055887</v>
      </c>
      <c r="AI126" s="631">
        <f t="shared" ref="AI126:AM126" si="314">AI117/AI122*1000</f>
        <v>7.0708693955324957</v>
      </c>
      <c r="AJ126" s="632">
        <f t="shared" si="314"/>
        <v>6.2381554011370817</v>
      </c>
      <c r="AK126" s="632">
        <f t="shared" si="314"/>
        <v>4.4160057678442683</v>
      </c>
      <c r="AL126" s="629">
        <f t="shared" si="314"/>
        <v>5.6228594796299136</v>
      </c>
      <c r="AM126" s="630">
        <f t="shared" si="314"/>
        <v>6.2843857185608067</v>
      </c>
      <c r="AN126" s="631">
        <f t="shared" ref="AN126:AR126" si="315">AN117/AN122*1000</f>
        <v>5.6597810785186891</v>
      </c>
      <c r="AO126" s="632">
        <f t="shared" si="315"/>
        <v>5.584161287983175</v>
      </c>
      <c r="AP126" s="632">
        <f t="shared" si="315"/>
        <v>4.4407438245906192</v>
      </c>
      <c r="AQ126" s="629">
        <f t="shared" si="315"/>
        <v>5.7149805447470809</v>
      </c>
      <c r="AR126" s="630">
        <f t="shared" si="315"/>
        <v>5.5068568098290847</v>
      </c>
      <c r="AS126" s="631">
        <f t="shared" ref="AS126:AT126" si="316">AS117/AS122*1000</f>
        <v>5.9025787965616043</v>
      </c>
      <c r="AT126" s="632">
        <f t="shared" si="316"/>
        <v>5.9790732436472345</v>
      </c>
      <c r="AU126" s="632">
        <f t="shared" ref="AU126:AW126" si="317">AU117/AU122*1000</f>
        <v>5.4825695665666698</v>
      </c>
      <c r="AV126" s="629">
        <f t="shared" si="317"/>
        <v>5.8009817045961629</v>
      </c>
      <c r="AW126" s="630">
        <f t="shared" si="317"/>
        <v>5.8345807942102095</v>
      </c>
      <c r="AX126" s="627">
        <f>AS126+(AX128/AX122*1000)</f>
        <v>5.9592307539307718</v>
      </c>
      <c r="AY126" s="628">
        <f>AT126+(AY128/AY122*1000)</f>
        <v>6.1268425494905783</v>
      </c>
      <c r="AZ126" s="628">
        <f>AU126+(AZ128/AZ122*1000)</f>
        <v>5.6870956152047105</v>
      </c>
      <c r="BA126" s="629">
        <f>AV126+(BA128/BA122*1000)</f>
        <v>5.8745036930010395</v>
      </c>
      <c r="BB126" s="630">
        <f>BB117/BB122*1000</f>
        <v>5.9277998709170987</v>
      </c>
      <c r="BC126" s="627">
        <f>AX126+(BC128/BC122*1000)</f>
        <v>6.0153218008309377</v>
      </c>
      <c r="BD126" s="628">
        <f>AY126+(BD128/BD122*1000)</f>
        <v>6.2731487928998293</v>
      </c>
      <c r="BE126" s="628">
        <f>AZ126+(BE128/BE122*1000)</f>
        <v>5.8895966534601962</v>
      </c>
      <c r="BF126" s="629">
        <f>BA126+(BF128/BF122*1000)</f>
        <v>5.9472977409266594</v>
      </c>
      <c r="BG126" s="630">
        <f>BG117/BG122*1000</f>
        <v>6.0200959864684735</v>
      </c>
      <c r="BH126" s="627">
        <f>BC126+(BH128/BH122*1000)</f>
        <v>6.0708574908311013</v>
      </c>
      <c r="BI126" s="628">
        <f>BD126+(BI128/BI122*1000)</f>
        <v>6.4180064596416617</v>
      </c>
      <c r="BJ126" s="628">
        <f>BE126+(BJ128/BJ122*1000)</f>
        <v>6.0900927309408752</v>
      </c>
      <c r="BK126" s="629">
        <f>BF126+(BK128/BK122*1000)</f>
        <v>6.019371055704501</v>
      </c>
      <c r="BL126" s="630">
        <f>BL117/BL122*1000</f>
        <v>6.111478279093598</v>
      </c>
      <c r="BM126" s="627">
        <f>BH126+(BM128/BM122*1000)</f>
        <v>6.1258433225144318</v>
      </c>
      <c r="BN126" s="628">
        <f>BI126+(BN128/BN122*1000)</f>
        <v>6.5614298920593175</v>
      </c>
      <c r="BO126" s="628">
        <f>BJ126+(BO128/BO122*1000)</f>
        <v>6.2886036987435272</v>
      </c>
      <c r="BP126" s="629">
        <f>BK126+(BP128/BP122*1000)</f>
        <v>6.0907307733063245</v>
      </c>
      <c r="BQ126" s="630">
        <f>BQ117/BQ122*1000</f>
        <v>6.2019557965442154</v>
      </c>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row>
    <row r="127" spans="1:99" ht="12.75" customHeight="1">
      <c r="A127" s="1"/>
      <c r="B127" s="1"/>
      <c r="C127" s="391"/>
      <c r="D127" s="1"/>
      <c r="E127" s="600"/>
      <c r="F127" s="251"/>
      <c r="G127" s="251"/>
      <c r="H127" s="601"/>
      <c r="I127" s="26"/>
      <c r="J127" s="600"/>
      <c r="K127" s="251"/>
      <c r="L127" s="251"/>
      <c r="M127" s="601"/>
      <c r="N127" s="26"/>
      <c r="O127" s="600"/>
      <c r="P127" s="251"/>
      <c r="Q127" s="251"/>
      <c r="R127" s="601"/>
      <c r="S127" s="26"/>
      <c r="T127" s="600"/>
      <c r="U127" s="251"/>
      <c r="V127" s="251"/>
      <c r="W127" s="601"/>
      <c r="X127" s="203"/>
      <c r="Y127" s="600"/>
      <c r="Z127" s="251"/>
      <c r="AA127" s="251"/>
      <c r="AB127" s="601"/>
      <c r="AC127" s="26"/>
      <c r="AD127" s="600"/>
      <c r="AE127" s="251"/>
      <c r="AF127" s="251"/>
      <c r="AG127" s="601"/>
      <c r="AH127" s="26"/>
      <c r="AI127" s="600"/>
      <c r="AJ127" s="251"/>
      <c r="AK127" s="251"/>
      <c r="AL127" s="601"/>
      <c r="AM127" s="26"/>
      <c r="AN127" s="600"/>
      <c r="AO127" s="251"/>
      <c r="AP127" s="251"/>
      <c r="AQ127" s="601"/>
      <c r="AR127" s="26"/>
      <c r="AS127" s="600"/>
      <c r="AT127" s="251"/>
      <c r="AU127" s="251"/>
      <c r="AV127" s="601"/>
      <c r="AW127" s="26"/>
      <c r="AX127" s="600"/>
      <c r="AY127" s="251"/>
      <c r="AZ127" s="251"/>
      <c r="BA127" s="601"/>
      <c r="BB127" s="26"/>
      <c r="BC127" s="600"/>
      <c r="BD127" s="251"/>
      <c r="BE127" s="251"/>
      <c r="BF127" s="601"/>
      <c r="BG127" s="26"/>
      <c r="BH127" s="600"/>
      <c r="BI127" s="251"/>
      <c r="BJ127" s="251"/>
      <c r="BK127" s="601"/>
      <c r="BL127" s="26"/>
      <c r="BM127" s="600"/>
      <c r="BN127" s="251"/>
      <c r="BO127" s="251"/>
      <c r="BP127" s="601"/>
      <c r="BQ127" s="26"/>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row>
    <row r="128" spans="1:99" ht="12.75" customHeight="1">
      <c r="A128" s="1"/>
      <c r="B128" s="1"/>
      <c r="C128" s="28" t="s">
        <v>643</v>
      </c>
      <c r="D128" s="1"/>
      <c r="E128" s="600"/>
      <c r="F128" s="251"/>
      <c r="G128" s="251"/>
      <c r="H128" s="601"/>
      <c r="I128" s="633"/>
      <c r="J128" s="600"/>
      <c r="K128" s="251"/>
      <c r="L128" s="251"/>
      <c r="M128" s="601"/>
      <c r="N128" s="45"/>
      <c r="O128" s="290"/>
      <c r="P128" s="260"/>
      <c r="Q128" s="260"/>
      <c r="R128" s="291"/>
      <c r="S128" s="45"/>
      <c r="T128" s="290"/>
      <c r="U128" s="260"/>
      <c r="V128" s="260"/>
      <c r="W128" s="291"/>
      <c r="X128" s="45"/>
      <c r="Y128" s="290"/>
      <c r="Z128" s="260"/>
      <c r="AA128" s="1441"/>
      <c r="AB128" s="1442"/>
      <c r="AC128" s="1443"/>
      <c r="AD128" s="290"/>
      <c r="AE128" s="260"/>
      <c r="AF128" s="1441"/>
      <c r="AG128" s="1442"/>
      <c r="AH128" s="1443"/>
      <c r="AI128" s="290"/>
      <c r="AJ128" s="260"/>
      <c r="AK128" s="1441"/>
      <c r="AL128" s="1442"/>
      <c r="AM128" s="1443"/>
      <c r="AN128" s="290"/>
      <c r="AO128" s="260"/>
      <c r="AP128" s="1441"/>
      <c r="AQ128" s="1442"/>
      <c r="AR128" s="1443"/>
      <c r="AS128" s="290"/>
      <c r="AT128" s="260"/>
      <c r="AU128" s="260"/>
      <c r="AV128" s="291"/>
      <c r="AW128" s="45"/>
      <c r="AX128" s="290">
        <f>AX56</f>
        <v>1.9919819620253161</v>
      </c>
      <c r="AY128" s="260">
        <f>AY56</f>
        <v>1.9919819620253161</v>
      </c>
      <c r="AZ128" s="260">
        <f>AZ56</f>
        <v>1.9919819620253161</v>
      </c>
      <c r="BA128" s="291">
        <f>BA56</f>
        <v>1.9919819620253161</v>
      </c>
      <c r="BB128" s="45">
        <f>SUM(AX128:BA128)</f>
        <v>7.9679278481012643</v>
      </c>
      <c r="BC128" s="290">
        <f>BC56</f>
        <v>1.9919819620253161</v>
      </c>
      <c r="BD128" s="260">
        <f>BD56</f>
        <v>1.9919819620253161</v>
      </c>
      <c r="BE128" s="260">
        <f>BE56</f>
        <v>1.9919819620253161</v>
      </c>
      <c r="BF128" s="291">
        <f>BF56</f>
        <v>1.9919819620253161</v>
      </c>
      <c r="BG128" s="45">
        <f>SUM(BC128:BF128)</f>
        <v>7.9679278481012643</v>
      </c>
      <c r="BH128" s="290">
        <f>BH56</f>
        <v>1.9919819620253161</v>
      </c>
      <c r="BI128" s="260">
        <f>BI56</f>
        <v>1.9919819620253161</v>
      </c>
      <c r="BJ128" s="260">
        <f>BJ56</f>
        <v>1.9919819620253161</v>
      </c>
      <c r="BK128" s="291">
        <f>BK56</f>
        <v>1.9919819620253161</v>
      </c>
      <c r="BL128" s="45">
        <f>SUM(BH128:BK128)</f>
        <v>7.9679278481012643</v>
      </c>
      <c r="BM128" s="290">
        <f>BM56</f>
        <v>1.9919819620253161</v>
      </c>
      <c r="BN128" s="260">
        <f>BN56</f>
        <v>1.9919819620253161</v>
      </c>
      <c r="BO128" s="260">
        <f>BO56</f>
        <v>1.9919819620253161</v>
      </c>
      <c r="BP128" s="291">
        <f>BP56</f>
        <v>1.9919819620253161</v>
      </c>
      <c r="BQ128" s="45">
        <f>SUM(BM128:BP128)</f>
        <v>7.9679278481012643</v>
      </c>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row>
    <row r="129" spans="1:99" ht="12.75" customHeight="1">
      <c r="A129" s="1"/>
      <c r="B129" s="1"/>
      <c r="C129" s="32"/>
      <c r="D129" s="1"/>
      <c r="E129" s="600"/>
      <c r="F129" s="251"/>
      <c r="G129" s="251"/>
      <c r="H129" s="601"/>
      <c r="I129" s="633"/>
      <c r="J129" s="600"/>
      <c r="K129" s="251"/>
      <c r="L129" s="251"/>
      <c r="M129" s="601"/>
      <c r="N129" s="633"/>
      <c r="O129" s="600"/>
      <c r="P129" s="251"/>
      <c r="Q129" s="251"/>
      <c r="R129" s="601"/>
      <c r="S129" s="26"/>
      <c r="T129" s="600"/>
      <c r="U129" s="251"/>
      <c r="V129" s="251"/>
      <c r="W129" s="601"/>
      <c r="X129" s="26"/>
      <c r="Y129" s="600"/>
      <c r="Z129" s="251"/>
      <c r="AA129" s="251"/>
      <c r="AB129" s="601"/>
      <c r="AC129" s="26"/>
      <c r="AD129" s="600"/>
      <c r="AE129" s="251"/>
      <c r="AF129" s="251"/>
      <c r="AG129" s="601"/>
      <c r="AH129" s="26"/>
      <c r="AI129" s="600"/>
      <c r="AJ129" s="251"/>
      <c r="AK129" s="251"/>
      <c r="AL129" s="601"/>
      <c r="AM129" s="26"/>
      <c r="AN129" s="600"/>
      <c r="AO129" s="251"/>
      <c r="AP129" s="251"/>
      <c r="AQ129" s="601"/>
      <c r="AR129" s="26"/>
      <c r="AS129" s="600"/>
      <c r="AT129" s="251"/>
      <c r="AU129" s="251"/>
      <c r="AV129" s="601"/>
      <c r="AW129" s="26"/>
      <c r="AX129" s="600"/>
      <c r="AY129" s="251"/>
      <c r="AZ129" s="251"/>
      <c r="BA129" s="601"/>
      <c r="BB129" s="26"/>
      <c r="BC129" s="600"/>
      <c r="BD129" s="251"/>
      <c r="BE129" s="251"/>
      <c r="BF129" s="601"/>
      <c r="BG129" s="26"/>
      <c r="BH129" s="600"/>
      <c r="BI129" s="251"/>
      <c r="BJ129" s="251"/>
      <c r="BK129" s="601"/>
      <c r="BL129" s="26"/>
      <c r="BM129" s="600"/>
      <c r="BN129" s="251"/>
      <c r="BO129" s="251"/>
      <c r="BP129" s="601"/>
      <c r="BQ129" s="26"/>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row>
    <row r="130" spans="1:99" s="801" customFormat="1" ht="12.75" customHeight="1">
      <c r="A130" s="24"/>
      <c r="B130" s="24"/>
      <c r="C130" s="28" t="s">
        <v>701</v>
      </c>
      <c r="D130" s="24"/>
      <c r="E130" s="308"/>
      <c r="F130" s="244"/>
      <c r="G130" s="244"/>
      <c r="H130" s="309"/>
      <c r="I130" s="791">
        <v>486.69200000000001</v>
      </c>
      <c r="J130" s="802"/>
      <c r="K130" s="805"/>
      <c r="L130" s="805"/>
      <c r="M130" s="880"/>
      <c r="N130" s="791">
        <v>490.53199999999998</v>
      </c>
      <c r="O130" s="802"/>
      <c r="P130" s="805"/>
      <c r="Q130" s="805"/>
      <c r="R130" s="880"/>
      <c r="S130" s="791">
        <v>493.63400000000001</v>
      </c>
      <c r="T130" s="308"/>
      <c r="U130" s="244"/>
      <c r="V130" s="244"/>
      <c r="W130" s="309"/>
      <c r="X130" s="791">
        <v>497.24099999999999</v>
      </c>
      <c r="Y130" s="308"/>
      <c r="Z130" s="244"/>
      <c r="AA130" s="244"/>
      <c r="AB130" s="309"/>
      <c r="AC130" s="1456">
        <v>501.43900000000002</v>
      </c>
      <c r="AD130" s="308"/>
      <c r="AE130" s="244"/>
      <c r="AF130" s="244"/>
      <c r="AG130" s="309"/>
      <c r="AH130" s="1456">
        <v>506.20400000000001</v>
      </c>
      <c r="AI130" s="308"/>
      <c r="AJ130" s="244"/>
      <c r="AK130" s="244"/>
      <c r="AL130" s="309"/>
      <c r="AM130" s="1456">
        <v>511.25</v>
      </c>
      <c r="AN130" s="308"/>
      <c r="AO130" s="244"/>
      <c r="AP130" s="244"/>
      <c r="AQ130" s="309"/>
      <c r="AR130" s="1456">
        <v>517.06399999999996</v>
      </c>
      <c r="AS130" s="308"/>
      <c r="AT130" s="244"/>
      <c r="AU130" s="244"/>
      <c r="AV130" s="309"/>
      <c r="AW130" s="1456">
        <v>521.87599999999998</v>
      </c>
      <c r="AX130" s="308"/>
      <c r="AY130" s="244"/>
      <c r="AZ130" s="244"/>
      <c r="BA130" s="309"/>
      <c r="BB130" s="24"/>
      <c r="BC130" s="308"/>
      <c r="BD130" s="244"/>
      <c r="BE130" s="244"/>
      <c r="BF130" s="309"/>
      <c r="BG130" s="24"/>
      <c r="BH130" s="308"/>
      <c r="BI130" s="244"/>
      <c r="BJ130" s="244"/>
      <c r="BK130" s="309"/>
      <c r="BL130" s="24"/>
      <c r="BM130" s="308"/>
      <c r="BN130" s="244"/>
      <c r="BO130" s="244"/>
      <c r="BP130" s="309"/>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row>
    <row r="131" spans="1:99" s="527" customFormat="1" ht="12.75" customHeight="1">
      <c r="A131" s="331"/>
      <c r="B131" s="331"/>
      <c r="C131" s="445"/>
      <c r="D131" s="331"/>
      <c r="E131" s="301"/>
      <c r="F131" s="265"/>
      <c r="G131" s="265"/>
      <c r="H131" s="302"/>
      <c r="I131" s="24"/>
      <c r="J131" s="301"/>
      <c r="K131" s="265"/>
      <c r="L131" s="265"/>
      <c r="M131" s="302"/>
      <c r="N131" s="24"/>
      <c r="O131" s="301"/>
      <c r="P131" s="265"/>
      <c r="Q131" s="265"/>
      <c r="R131" s="302"/>
      <c r="S131" s="445"/>
      <c r="T131" s="301"/>
      <c r="U131" s="265"/>
      <c r="V131" s="265"/>
      <c r="W131" s="302"/>
      <c r="X131" s="445"/>
      <c r="Y131" s="301"/>
      <c r="Z131" s="265"/>
      <c r="AA131" s="265"/>
      <c r="AB131" s="302"/>
      <c r="AC131" s="445"/>
      <c r="AD131" s="301"/>
      <c r="AE131" s="265"/>
      <c r="AF131" s="265"/>
      <c r="AG131" s="302"/>
      <c r="AH131" s="445"/>
      <c r="AI131" s="301"/>
      <c r="AJ131" s="265"/>
      <c r="AK131" s="265"/>
      <c r="AL131" s="302"/>
      <c r="AM131" s="445"/>
      <c r="AN131" s="301"/>
      <c r="AO131" s="265"/>
      <c r="AP131" s="265"/>
      <c r="AQ131" s="302"/>
      <c r="AR131" s="445"/>
      <c r="AS131" s="301"/>
      <c r="AT131" s="265"/>
      <c r="AU131" s="265"/>
      <c r="AV131" s="302"/>
      <c r="AW131" s="445"/>
      <c r="AX131" s="301"/>
      <c r="AY131" s="265"/>
      <c r="AZ131" s="265"/>
      <c r="BA131" s="302"/>
      <c r="BB131" s="445"/>
      <c r="BC131" s="301"/>
      <c r="BD131" s="265"/>
      <c r="BE131" s="265"/>
      <c r="BF131" s="302"/>
      <c r="BG131" s="445"/>
      <c r="BH131" s="301"/>
      <c r="BI131" s="265"/>
      <c r="BJ131" s="265"/>
      <c r="BK131" s="302"/>
      <c r="BL131" s="445"/>
      <c r="BM131" s="301"/>
      <c r="BN131" s="265"/>
      <c r="BO131" s="265"/>
      <c r="BP131" s="302"/>
      <c r="BQ131" s="445"/>
      <c r="BR131" s="331"/>
      <c r="BS131" s="331"/>
      <c r="BT131" s="331"/>
      <c r="BU131" s="331"/>
      <c r="BV131" s="331"/>
      <c r="BW131" s="331"/>
      <c r="BX131" s="331"/>
      <c r="BY131" s="331"/>
      <c r="BZ131" s="331"/>
      <c r="CA131" s="331"/>
      <c r="CB131" s="331"/>
      <c r="CC131" s="331"/>
      <c r="CD131" s="331"/>
      <c r="CE131" s="331"/>
      <c r="CF131" s="331"/>
      <c r="CG131" s="331"/>
      <c r="CH131" s="331"/>
      <c r="CI131" s="331"/>
      <c r="CJ131" s="331"/>
      <c r="CK131" s="331"/>
      <c r="CL131" s="331"/>
      <c r="CM131" s="331"/>
      <c r="CN131" s="331"/>
      <c r="CO131" s="331"/>
      <c r="CP131" s="331"/>
      <c r="CQ131" s="331"/>
      <c r="CR131" s="331"/>
      <c r="CS131" s="331"/>
      <c r="CT131" s="331"/>
      <c r="CU131" s="331"/>
    </row>
    <row r="132" spans="1:99" ht="12.75" customHeight="1">
      <c r="A132" s="1"/>
      <c r="B132" s="1"/>
      <c r="C132" s="32" t="s">
        <v>646</v>
      </c>
      <c r="D132" s="1"/>
      <c r="E132" s="600"/>
      <c r="F132" s="251"/>
      <c r="G132" s="251"/>
      <c r="H132" s="601"/>
      <c r="I132" s="26"/>
      <c r="J132" s="600"/>
      <c r="K132" s="251"/>
      <c r="L132" s="251"/>
      <c r="M132" s="601"/>
      <c r="N132" s="26"/>
      <c r="O132" s="600"/>
      <c r="P132" s="251"/>
      <c r="Q132" s="251"/>
      <c r="R132" s="601"/>
      <c r="S132" s="26"/>
      <c r="T132" s="600"/>
      <c r="U132" s="251"/>
      <c r="V132" s="251"/>
      <c r="W132" s="601"/>
      <c r="X132" s="26"/>
      <c r="Y132" s="600"/>
      <c r="Z132" s="251"/>
      <c r="AA132" s="251"/>
      <c r="AB132" s="601"/>
      <c r="AC132" s="26"/>
      <c r="AD132" s="600"/>
      <c r="AE132" s="251"/>
      <c r="AF132" s="251"/>
      <c r="AG132" s="601"/>
      <c r="AH132" s="26"/>
      <c r="AI132" s="600"/>
      <c r="AJ132" s="251"/>
      <c r="AK132" s="251"/>
      <c r="AL132" s="601"/>
      <c r="AM132" s="26"/>
      <c r="AN132" s="600"/>
      <c r="AO132" s="251"/>
      <c r="AP132" s="251"/>
      <c r="AQ132" s="601"/>
      <c r="AR132" s="26"/>
      <c r="AS132" s="600"/>
      <c r="AT132" s="251"/>
      <c r="AU132" s="251"/>
      <c r="AV132" s="601"/>
      <c r="AW132" s="26"/>
      <c r="AX132" s="600"/>
      <c r="AY132" s="251"/>
      <c r="AZ132" s="251"/>
      <c r="BA132" s="601"/>
      <c r="BB132" s="26"/>
      <c r="BC132" s="600"/>
      <c r="BD132" s="251"/>
      <c r="BE132" s="251"/>
      <c r="BF132" s="601"/>
      <c r="BG132" s="26"/>
      <c r="BH132" s="600"/>
      <c r="BI132" s="251"/>
      <c r="BJ132" s="251"/>
      <c r="BK132" s="601"/>
      <c r="BL132" s="26"/>
      <c r="BM132" s="600"/>
      <c r="BN132" s="251"/>
      <c r="BO132" s="251"/>
      <c r="BP132" s="601"/>
      <c r="BQ132" s="26"/>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row>
    <row r="133" spans="1:99" ht="12.75" customHeight="1">
      <c r="A133" s="330"/>
      <c r="B133" s="330"/>
      <c r="C133" s="28" t="s">
        <v>61</v>
      </c>
      <c r="D133" s="330"/>
      <c r="E133" s="300">
        <f t="shared" ref="E133:AH133" si="318">E10</f>
        <v>266</v>
      </c>
      <c r="F133" s="264">
        <f t="shared" si="318"/>
        <v>55</v>
      </c>
      <c r="G133" s="264">
        <f t="shared" si="318"/>
        <v>26</v>
      </c>
      <c r="H133" s="291">
        <f t="shared" si="318"/>
        <v>125</v>
      </c>
      <c r="I133" s="330">
        <f t="shared" si="318"/>
        <v>472</v>
      </c>
      <c r="J133" s="300">
        <f t="shared" si="318"/>
        <v>211</v>
      </c>
      <c r="K133" s="264">
        <f t="shared" si="318"/>
        <v>44</v>
      </c>
      <c r="L133" s="264">
        <f t="shared" si="318"/>
        <v>23</v>
      </c>
      <c r="M133" s="291">
        <f t="shared" si="318"/>
        <v>123</v>
      </c>
      <c r="N133" s="330">
        <f t="shared" si="318"/>
        <v>401</v>
      </c>
      <c r="O133" s="300">
        <f t="shared" si="318"/>
        <v>182</v>
      </c>
      <c r="P133" s="264">
        <f t="shared" si="318"/>
        <v>40</v>
      </c>
      <c r="Q133" s="264">
        <f t="shared" si="318"/>
        <v>19</v>
      </c>
      <c r="R133" s="291">
        <f t="shared" si="318"/>
        <v>76</v>
      </c>
      <c r="S133" s="330">
        <f t="shared" si="318"/>
        <v>317</v>
      </c>
      <c r="T133" s="300">
        <f t="shared" si="318"/>
        <v>118.17061611374407</v>
      </c>
      <c r="U133" s="264">
        <f t="shared" si="318"/>
        <v>29.019607843137255</v>
      </c>
      <c r="V133" s="264">
        <f t="shared" si="318"/>
        <v>13.349137931034482</v>
      </c>
      <c r="W133" s="291">
        <f t="shared" si="318"/>
        <v>73.299157425388898</v>
      </c>
      <c r="X133" s="330">
        <f t="shared" si="318"/>
        <v>233.83851931330472</v>
      </c>
      <c r="Y133" s="300">
        <f t="shared" si="318"/>
        <v>116.73301737756714</v>
      </c>
      <c r="Z133" s="264">
        <f t="shared" si="318"/>
        <v>25.294117647058822</v>
      </c>
      <c r="AA133" s="1441">
        <f t="shared" si="318"/>
        <v>11.834051724137931</v>
      </c>
      <c r="AB133" s="1442">
        <f t="shared" si="318"/>
        <v>67.222504238360585</v>
      </c>
      <c r="AC133" s="1443">
        <f t="shared" si="318"/>
        <v>221.08369098712447</v>
      </c>
      <c r="AD133" s="300">
        <f t="shared" si="318"/>
        <v>133.40916271721957</v>
      </c>
      <c r="AE133" s="264">
        <f t="shared" si="318"/>
        <v>23.627450980392158</v>
      </c>
      <c r="AF133" s="1441">
        <f t="shared" si="318"/>
        <v>10.441810344827585</v>
      </c>
      <c r="AG133" s="1442">
        <f t="shared" si="318"/>
        <v>46.972756215071399</v>
      </c>
      <c r="AH133" s="1443">
        <f t="shared" si="318"/>
        <v>214.45118025751071</v>
      </c>
      <c r="AI133" s="300">
        <f t="shared" ref="AI133:AM133" si="319">AI10</f>
        <v>125.93364928909952</v>
      </c>
      <c r="AJ133" s="264">
        <f t="shared" si="319"/>
        <v>23.235294117647058</v>
      </c>
      <c r="AK133" s="1441">
        <f t="shared" si="319"/>
        <v>11.383620689655171</v>
      </c>
      <c r="AL133" s="1442">
        <f t="shared" si="319"/>
        <v>41.824045345658334</v>
      </c>
      <c r="AM133" s="1443">
        <f t="shared" si="319"/>
        <v>202.37660944206007</v>
      </c>
      <c r="AN133" s="300">
        <f t="shared" ref="AN133:AR133" si="320">AN10</f>
        <v>77</v>
      </c>
      <c r="AO133" s="264">
        <f t="shared" si="320"/>
        <v>21.274509803921568</v>
      </c>
      <c r="AP133" s="1441">
        <f t="shared" si="320"/>
        <v>11.137931034482756</v>
      </c>
      <c r="AQ133" s="1442">
        <f t="shared" si="320"/>
        <v>68.644962595072059</v>
      </c>
      <c r="AR133" s="1443">
        <f t="shared" si="320"/>
        <v>178.0574034334764</v>
      </c>
      <c r="AS133" s="300">
        <f t="shared" ref="AS133:AT133" si="321">AS10</f>
        <v>68.844236760124616</v>
      </c>
      <c r="AT133" s="264">
        <f t="shared" si="321"/>
        <v>19.313725490196077</v>
      </c>
      <c r="AU133" s="264">
        <f t="shared" ref="AU133:AW133" si="322">AU10</f>
        <v>9.6228448275862046</v>
      </c>
      <c r="AV133" s="1442">
        <f t="shared" si="322"/>
        <v>67.011574896342012</v>
      </c>
      <c r="AW133" s="1443">
        <f t="shared" si="322"/>
        <v>164.79238197424891</v>
      </c>
      <c r="AX133" s="290">
        <f>+AX134*AX122/1000</f>
        <v>69.36056853582555</v>
      </c>
      <c r="AY133" s="260">
        <f>+AY134*AY122/1000</f>
        <v>19.458578431372548</v>
      </c>
      <c r="AZ133" s="260">
        <f>+AZ134*AZ122/1000</f>
        <v>9.6950161637931007</v>
      </c>
      <c r="BA133" s="291">
        <f>+BA134*BA122/1000</f>
        <v>67.514161708064577</v>
      </c>
      <c r="BB133" s="45">
        <f>SUM(AX133:BA133)</f>
        <v>166.02832483905576</v>
      </c>
      <c r="BC133" s="290">
        <f>+BC134*BC122/1000</f>
        <v>70.0541742211838</v>
      </c>
      <c r="BD133" s="260">
        <f>+BD134*BD122/1000</f>
        <v>19.653164215686278</v>
      </c>
      <c r="BE133" s="260">
        <f>+BE134*BE122/1000</f>
        <v>9.7919663254310301</v>
      </c>
      <c r="BF133" s="291">
        <f>+BF134*BF122/1000</f>
        <v>68.189303325145232</v>
      </c>
      <c r="BG133" s="45">
        <f>SUM(BC133:BF133)</f>
        <v>167.68860808744634</v>
      </c>
      <c r="BH133" s="290">
        <f>+BH134*BH122/1000</f>
        <v>70.754715963395626</v>
      </c>
      <c r="BI133" s="260">
        <f>+BI134*BI122/1000</f>
        <v>19.849695857843138</v>
      </c>
      <c r="BJ133" s="260">
        <f>+BJ134*BJ122/1000</f>
        <v>9.8898859886853412</v>
      </c>
      <c r="BK133" s="291">
        <f>+BK134*BK122/1000</f>
        <v>68.871196358396688</v>
      </c>
      <c r="BL133" s="45">
        <f>SUM(BH133:BK133)</f>
        <v>169.36549416832077</v>
      </c>
      <c r="BM133" s="290">
        <f>+BM134*BM122/1000</f>
        <v>71.462263123029601</v>
      </c>
      <c r="BN133" s="260">
        <f>+BN134*BN122/1000</f>
        <v>20.048192816421572</v>
      </c>
      <c r="BO133" s="260">
        <f>+BO134*BO122/1000</f>
        <v>9.9887848485721946</v>
      </c>
      <c r="BP133" s="291">
        <f>+BP134*BP122/1000</f>
        <v>69.559908321980643</v>
      </c>
      <c r="BQ133" s="45">
        <f>SUM(BM133:BP133)</f>
        <v>171.059149110004</v>
      </c>
      <c r="BR133" s="330"/>
      <c r="BS133" s="330"/>
      <c r="BT133" s="330"/>
      <c r="BU133" s="330"/>
      <c r="BV133" s="330"/>
      <c r="BW133" s="330"/>
      <c r="BX133" s="330"/>
      <c r="BY133" s="330"/>
      <c r="BZ133" s="330"/>
      <c r="CA133" s="330"/>
      <c r="CB133" s="330"/>
      <c r="CC133" s="330"/>
      <c r="CD133" s="330"/>
      <c r="CE133" s="330"/>
      <c r="CF133" s="330"/>
      <c r="CG133" s="330"/>
      <c r="CH133" s="330"/>
      <c r="CI133" s="330"/>
      <c r="CJ133" s="330"/>
      <c r="CK133" s="330"/>
      <c r="CL133" s="330"/>
      <c r="CM133" s="330"/>
      <c r="CN133" s="330"/>
      <c r="CO133" s="330"/>
      <c r="CP133" s="330"/>
      <c r="CQ133" s="330"/>
      <c r="CR133" s="330"/>
      <c r="CS133" s="330"/>
      <c r="CT133" s="330"/>
      <c r="CU133" s="330"/>
    </row>
    <row r="134" spans="1:99" ht="12.75" customHeight="1">
      <c r="A134" s="1"/>
      <c r="B134" s="1"/>
      <c r="C134" s="28" t="s">
        <v>648</v>
      </c>
      <c r="D134" s="1"/>
      <c r="E134" s="634">
        <f t="shared" ref="E134:S134" si="323">+E133/E122*1000</f>
        <v>7.2892688808505968</v>
      </c>
      <c r="F134" s="635">
        <f t="shared" si="323"/>
        <v>4.1537648213881129</v>
      </c>
      <c r="G134" s="635">
        <f t="shared" si="323"/>
        <v>2.6425449740827323</v>
      </c>
      <c r="H134" s="636">
        <f t="shared" si="323"/>
        <v>5.0531592351538182</v>
      </c>
      <c r="I134" s="637">
        <f t="shared" si="323"/>
        <v>5.598453308662183</v>
      </c>
      <c r="J134" s="634">
        <f t="shared" si="323"/>
        <v>5.8285682715947065</v>
      </c>
      <c r="K134" s="635">
        <f t="shared" si="323"/>
        <v>3.5163430032765923</v>
      </c>
      <c r="L134" s="635">
        <f t="shared" si="323"/>
        <v>1.9091890097119615</v>
      </c>
      <c r="M134" s="636">
        <f t="shared" si="323"/>
        <v>4.5584256754252674</v>
      </c>
      <c r="N134" s="637">
        <f t="shared" si="323"/>
        <v>4.5701130561633843</v>
      </c>
      <c r="O134" s="634">
        <f t="shared" si="323"/>
        <v>4.8283546453016397</v>
      </c>
      <c r="P134" s="635">
        <f t="shared" si="323"/>
        <v>3.1155074382740087</v>
      </c>
      <c r="Q134" s="635">
        <f t="shared" si="323"/>
        <v>1.9236610306773312</v>
      </c>
      <c r="R134" s="636">
        <f t="shared" si="323"/>
        <v>3.4493713974492808</v>
      </c>
      <c r="S134" s="637">
        <f t="shared" si="323"/>
        <v>3.845080843734459</v>
      </c>
      <c r="T134" s="634">
        <f t="shared" ref="T134:Z134" si="324">+T133/T122*1000</f>
        <v>3.9138414902044869</v>
      </c>
      <c r="U134" s="635">
        <f t="shared" si="324"/>
        <v>2.4056708814670689</v>
      </c>
      <c r="V134" s="635">
        <f t="shared" si="324"/>
        <v>1.4138040596308497</v>
      </c>
      <c r="W134" s="636">
        <f t="shared" si="324"/>
        <v>2.9608643329047055</v>
      </c>
      <c r="X134" s="637">
        <f t="shared" si="324"/>
        <v>3.0585517999490506</v>
      </c>
      <c r="Y134" s="634">
        <f t="shared" si="324"/>
        <v>3.1278105457401231</v>
      </c>
      <c r="Z134" s="635">
        <f t="shared" si="324"/>
        <v>1.9645916619074815</v>
      </c>
      <c r="AA134" s="635">
        <f t="shared" ref="AA134:AH134" si="325">+AA133/AA122*1000</f>
        <v>1.2363196535873309</v>
      </c>
      <c r="AB134" s="636">
        <f t="shared" si="325"/>
        <v>2.5920607788370704</v>
      </c>
      <c r="AC134" s="637">
        <f t="shared" si="325"/>
        <v>2.57967948224224</v>
      </c>
      <c r="AD134" s="634">
        <f t="shared" si="325"/>
        <v>3.2116604327793059</v>
      </c>
      <c r="AE134" s="635">
        <f t="shared" si="325"/>
        <v>1.7594348782777689</v>
      </c>
      <c r="AF134" s="635">
        <f t="shared" si="325"/>
        <v>1.08283836408043</v>
      </c>
      <c r="AG134" s="636">
        <f t="shared" si="325"/>
        <v>1.8543585415132209</v>
      </c>
      <c r="AH134" s="637">
        <f t="shared" si="325"/>
        <v>2.3843274583343792</v>
      </c>
      <c r="AI134" s="634">
        <f t="shared" ref="AI134:AM134" si="326">+AI133/AI122*1000</f>
        <v>2.8911051513831705</v>
      </c>
      <c r="AJ134" s="635">
        <f t="shared" si="326"/>
        <v>1.8347515885697299</v>
      </c>
      <c r="AK134" s="635">
        <f t="shared" si="326"/>
        <v>1.0259211147850731</v>
      </c>
      <c r="AL134" s="636">
        <f t="shared" si="326"/>
        <v>2.1379157258936941</v>
      </c>
      <c r="AM134" s="637">
        <f t="shared" si="326"/>
        <v>2.3293272420301108</v>
      </c>
      <c r="AN134" s="634">
        <f t="shared" ref="AN134:AR134" si="327">+AN133/AN122*1000</f>
        <v>2.2121986956646649</v>
      </c>
      <c r="AO134" s="635">
        <f t="shared" si="327"/>
        <v>1.5428609619204849</v>
      </c>
      <c r="AP134" s="635">
        <f t="shared" si="327"/>
        <v>1.0304312179186563</v>
      </c>
      <c r="AQ134" s="636">
        <f t="shared" si="327"/>
        <v>2.7823023101115458</v>
      </c>
      <c r="AR134" s="637">
        <f t="shared" si="327"/>
        <v>2.1177896860434648</v>
      </c>
      <c r="AS134" s="634">
        <f t="shared" ref="AS134:AT134" si="328">+AS133/AS122*1000</f>
        <v>1.9726142338144588</v>
      </c>
      <c r="AT134" s="635">
        <f t="shared" si="328"/>
        <v>1.4434772414197368</v>
      </c>
      <c r="AU134" s="635">
        <f t="shared" ref="AU134:AW134" si="329">+AU133/AU122*1000</f>
        <v>0.9954323810475022</v>
      </c>
      <c r="AV134" s="636">
        <f t="shared" si="329"/>
        <v>2.4918776921144583</v>
      </c>
      <c r="AW134" s="637">
        <f t="shared" si="329"/>
        <v>1.9424130644426374</v>
      </c>
      <c r="AX134" s="634">
        <f>+AS134</f>
        <v>1.9726142338144588</v>
      </c>
      <c r="AY134" s="635">
        <f>+AT134</f>
        <v>1.4434772414197368</v>
      </c>
      <c r="AZ134" s="635">
        <f>+AU134</f>
        <v>0.9954323810475022</v>
      </c>
      <c r="BA134" s="636">
        <f>+AV134</f>
        <v>2.4918776921144583</v>
      </c>
      <c r="BB134" s="637">
        <f>+BB133/BB122*1000</f>
        <v>1.9424130644426367</v>
      </c>
      <c r="BC134" s="634">
        <f>+AX134</f>
        <v>1.9726142338144588</v>
      </c>
      <c r="BD134" s="635">
        <f>+AY134</f>
        <v>1.4434772414197368</v>
      </c>
      <c r="BE134" s="635">
        <f>+AZ134</f>
        <v>0.9954323810475022</v>
      </c>
      <c r="BF134" s="636">
        <f>+BA134</f>
        <v>2.4918776921144583</v>
      </c>
      <c r="BG134" s="637">
        <f>+BG133/BG122*1000</f>
        <v>1.9424130644426372</v>
      </c>
      <c r="BH134" s="634">
        <f>+BC134</f>
        <v>1.9726142338144588</v>
      </c>
      <c r="BI134" s="635">
        <f>+BD134</f>
        <v>1.4434772414197368</v>
      </c>
      <c r="BJ134" s="635">
        <f>+BE134</f>
        <v>0.9954323810475022</v>
      </c>
      <c r="BK134" s="636">
        <f>+BF134</f>
        <v>2.4918776921144583</v>
      </c>
      <c r="BL134" s="637">
        <f>+BL133/BL122*1000</f>
        <v>1.9424130644426369</v>
      </c>
      <c r="BM134" s="634">
        <f>+BH134</f>
        <v>1.9726142338144588</v>
      </c>
      <c r="BN134" s="635">
        <f>+BI134</f>
        <v>1.4434772414197368</v>
      </c>
      <c r="BO134" s="635">
        <f>+BJ134</f>
        <v>0.9954323810475022</v>
      </c>
      <c r="BP134" s="636">
        <f>+BK134</f>
        <v>2.4918776921144583</v>
      </c>
      <c r="BQ134" s="637">
        <f>+BQ133/BQ122*1000</f>
        <v>1.9424130644426372</v>
      </c>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row>
    <row r="135" spans="1:99" ht="12.75" customHeight="1">
      <c r="A135" s="1"/>
      <c r="B135" s="1"/>
      <c r="C135" s="32"/>
      <c r="D135" s="1"/>
      <c r="E135" s="600"/>
      <c r="F135" s="251"/>
      <c r="G135" s="251"/>
      <c r="H135" s="601"/>
      <c r="I135" s="26"/>
      <c r="J135" s="600"/>
      <c r="K135" s="251"/>
      <c r="L135" s="251"/>
      <c r="M135" s="601"/>
      <c r="N135" s="26"/>
      <c r="O135" s="600"/>
      <c r="P135" s="251"/>
      <c r="Q135" s="251"/>
      <c r="R135" s="601"/>
      <c r="S135" s="26"/>
      <c r="T135" s="600"/>
      <c r="U135" s="251"/>
      <c r="V135" s="251"/>
      <c r="W135" s="601"/>
      <c r="X135" s="26"/>
      <c r="Y135" s="600"/>
      <c r="Z135" s="251"/>
      <c r="AA135" s="251"/>
      <c r="AB135" s="601"/>
      <c r="AC135" s="26"/>
      <c r="AD135" s="600"/>
      <c r="AE135" s="251"/>
      <c r="AF135" s="251"/>
      <c r="AG135" s="601"/>
      <c r="AH135" s="26"/>
      <c r="AI135" s="600"/>
      <c r="AJ135" s="251"/>
      <c r="AK135" s="251"/>
      <c r="AL135" s="601"/>
      <c r="AM135" s="26"/>
      <c r="AN135" s="600"/>
      <c r="AO135" s="251"/>
      <c r="AP135" s="251"/>
      <c r="AQ135" s="601"/>
      <c r="AR135" s="26"/>
      <c r="AS135" s="600"/>
      <c r="AT135" s="251"/>
      <c r="AU135" s="251"/>
      <c r="AV135" s="601"/>
      <c r="AW135" s="26"/>
      <c r="AX135" s="600"/>
      <c r="AY135" s="251"/>
      <c r="AZ135" s="251"/>
      <c r="BA135" s="601"/>
      <c r="BB135" s="26"/>
      <c r="BC135" s="600"/>
      <c r="BD135" s="251"/>
      <c r="BE135" s="251"/>
      <c r="BF135" s="601"/>
      <c r="BG135" s="26"/>
      <c r="BH135" s="600"/>
      <c r="BI135" s="251"/>
      <c r="BJ135" s="251"/>
      <c r="BK135" s="601"/>
      <c r="BL135" s="26"/>
      <c r="BM135" s="600"/>
      <c r="BN135" s="251"/>
      <c r="BO135" s="251"/>
      <c r="BP135" s="601"/>
      <c r="BQ135" s="26"/>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row>
    <row r="136" spans="1:99" ht="12.75" customHeight="1">
      <c r="A136" s="1"/>
      <c r="B136" s="1"/>
      <c r="C136" s="32" t="s">
        <v>140</v>
      </c>
      <c r="D136" s="1"/>
      <c r="E136" s="292">
        <f t="shared" ref="E136:S136" si="330">+E117-E133</f>
        <v>122</v>
      </c>
      <c r="F136" s="261">
        <f t="shared" si="330"/>
        <v>46</v>
      </c>
      <c r="G136" s="261">
        <f t="shared" si="330"/>
        <v>36</v>
      </c>
      <c r="H136" s="293">
        <f t="shared" si="330"/>
        <v>86</v>
      </c>
      <c r="I136" s="228">
        <f t="shared" si="330"/>
        <v>290</v>
      </c>
      <c r="J136" s="292">
        <f t="shared" si="330"/>
        <v>115</v>
      </c>
      <c r="K136" s="261">
        <f t="shared" si="330"/>
        <v>45</v>
      </c>
      <c r="L136" s="261">
        <f t="shared" si="330"/>
        <v>33</v>
      </c>
      <c r="M136" s="293">
        <f t="shared" si="330"/>
        <v>90</v>
      </c>
      <c r="N136" s="228">
        <f t="shared" si="330"/>
        <v>283</v>
      </c>
      <c r="O136" s="350">
        <f t="shared" si="330"/>
        <v>127</v>
      </c>
      <c r="P136" s="351">
        <f t="shared" si="330"/>
        <v>49</v>
      </c>
      <c r="Q136" s="261">
        <f t="shared" si="330"/>
        <v>36</v>
      </c>
      <c r="R136" s="293">
        <f t="shared" si="330"/>
        <v>82</v>
      </c>
      <c r="S136" s="228">
        <f t="shared" si="330"/>
        <v>294</v>
      </c>
      <c r="T136" s="350">
        <f t="shared" ref="T136:Z136" si="331">+T117-T133</f>
        <v>113.82938388625593</v>
      </c>
      <c r="U136" s="351">
        <f t="shared" si="331"/>
        <v>50.980392156862749</v>
      </c>
      <c r="V136" s="261">
        <f t="shared" si="331"/>
        <v>40.650862068965516</v>
      </c>
      <c r="W136" s="293">
        <f t="shared" si="331"/>
        <v>106.7008425746111</v>
      </c>
      <c r="X136" s="228">
        <f t="shared" si="331"/>
        <v>312.16148068669531</v>
      </c>
      <c r="Y136" s="350">
        <f t="shared" si="331"/>
        <v>155.26698262243286</v>
      </c>
      <c r="Z136" s="351">
        <f t="shared" si="331"/>
        <v>61.705882352941174</v>
      </c>
      <c r="AA136" s="1438">
        <f t="shared" ref="AA136:AH136" si="332">+AA117-AA133</f>
        <v>44.165948275862071</v>
      </c>
      <c r="AB136" s="1439">
        <f t="shared" si="332"/>
        <v>117.77749576163941</v>
      </c>
      <c r="AC136" s="1440">
        <f t="shared" si="332"/>
        <v>378.91630901287556</v>
      </c>
      <c r="AD136" s="350">
        <f t="shared" si="332"/>
        <v>181.59083728278043</v>
      </c>
      <c r="AE136" s="351">
        <f t="shared" si="332"/>
        <v>73.372549019607845</v>
      </c>
      <c r="AF136" s="1438">
        <f t="shared" si="332"/>
        <v>48.558189655172413</v>
      </c>
      <c r="AG136" s="1439">
        <f t="shared" si="332"/>
        <v>128.0272437849286</v>
      </c>
      <c r="AH136" s="1440">
        <f t="shared" si="332"/>
        <v>431.54881974248929</v>
      </c>
      <c r="AI136" s="350">
        <f t="shared" ref="AI136:AM136" si="333">+AI117-AI133</f>
        <v>182.06635071090048</v>
      </c>
      <c r="AJ136" s="351">
        <f t="shared" si="333"/>
        <v>55.764705882352942</v>
      </c>
      <c r="AK136" s="1438">
        <f t="shared" si="333"/>
        <v>37.616379310344826</v>
      </c>
      <c r="AL136" s="1439">
        <f t="shared" si="333"/>
        <v>68.175954654341666</v>
      </c>
      <c r="AM136" s="1440">
        <f t="shared" si="333"/>
        <v>343.62339055793996</v>
      </c>
      <c r="AN136" s="350">
        <f t="shared" ref="AN136:AR136" si="334">+AN117-AN133</f>
        <v>120</v>
      </c>
      <c r="AO136" s="351">
        <f t="shared" si="334"/>
        <v>55.725490196078432</v>
      </c>
      <c r="AP136" s="1438">
        <f t="shared" si="334"/>
        <v>36.862068965517246</v>
      </c>
      <c r="AQ136" s="1439">
        <f t="shared" si="334"/>
        <v>72.355037404927941</v>
      </c>
      <c r="AR136" s="1440">
        <f t="shared" si="334"/>
        <v>284.9425965665236</v>
      </c>
      <c r="AS136" s="350">
        <f t="shared" ref="AS136:AT136" si="335">+AS117-AS133</f>
        <v>137.1557632398754</v>
      </c>
      <c r="AT136" s="351">
        <f t="shared" si="335"/>
        <v>60.686274509803923</v>
      </c>
      <c r="AU136" s="351">
        <f t="shared" ref="AU136:AW136" si="336">+AU117-AU133</f>
        <v>43.377155172413794</v>
      </c>
      <c r="AV136" s="1439">
        <f t="shared" si="336"/>
        <v>88.988425103657988</v>
      </c>
      <c r="AW136" s="1440">
        <f t="shared" si="336"/>
        <v>330.20761802575112</v>
      </c>
      <c r="AX136" s="350">
        <f t="shared" ref="AX136:BB136" si="337">+AX117-AX133</f>
        <v>140.17641342619976</v>
      </c>
      <c r="AY136" s="351">
        <f t="shared" si="337"/>
        <v>63.133403530652785</v>
      </c>
      <c r="AZ136" s="351">
        <f t="shared" si="337"/>
        <v>45.694465798232223</v>
      </c>
      <c r="BA136" s="352">
        <f t="shared" si="337"/>
        <v>91.647820253960774</v>
      </c>
      <c r="BB136" s="348">
        <f t="shared" si="337"/>
        <v>340.65210300904556</v>
      </c>
      <c r="BC136" s="350">
        <f t="shared" ref="BC136:BL136" si="338">+BC117-BC133</f>
        <v>143.57015952248707</v>
      </c>
      <c r="BD136" s="351">
        <f t="shared" si="338"/>
        <v>65.756719527984615</v>
      </c>
      <c r="BE136" s="351">
        <f t="shared" si="338"/>
        <v>48.143392418239856</v>
      </c>
      <c r="BF136" s="352">
        <f t="shared" si="338"/>
        <v>94.556280418525688</v>
      </c>
      <c r="BG136" s="348">
        <f t="shared" si="338"/>
        <v>352.02655188723713</v>
      </c>
      <c r="BH136" s="350">
        <f t="shared" si="338"/>
        <v>146.99784307973727</v>
      </c>
      <c r="BI136" s="351">
        <f t="shared" si="338"/>
        <v>68.406268685289774</v>
      </c>
      <c r="BJ136" s="351">
        <f t="shared" si="338"/>
        <v>50.616808304447567</v>
      </c>
      <c r="BK136" s="352">
        <f t="shared" si="338"/>
        <v>97.493825184736252</v>
      </c>
      <c r="BL136" s="348">
        <f t="shared" si="338"/>
        <v>363.51474525421088</v>
      </c>
      <c r="BM136" s="350">
        <f t="shared" ref="BM136:BQ136" si="339">+BM117-BM133</f>
        <v>150.45980347255994</v>
      </c>
      <c r="BN136" s="351">
        <f t="shared" si="339"/>
        <v>71.082313334167978</v>
      </c>
      <c r="BO136" s="351">
        <f t="shared" si="339"/>
        <v>53.114958349517359</v>
      </c>
      <c r="BP136" s="352">
        <f t="shared" si="339"/>
        <v>100.46074539860895</v>
      </c>
      <c r="BQ136" s="348">
        <f t="shared" si="339"/>
        <v>375.11782055485423</v>
      </c>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row>
    <row r="137" spans="1:99" ht="12.75" customHeight="1">
      <c r="A137" s="223"/>
      <c r="B137" s="223"/>
      <c r="C137" s="223" t="s">
        <v>623</v>
      </c>
      <c r="D137" s="223"/>
      <c r="E137" s="638"/>
      <c r="F137" s="639"/>
      <c r="G137" s="639"/>
      <c r="H137" s="640"/>
      <c r="I137" s="392"/>
      <c r="J137" s="376">
        <f t="shared" ref="J137:S137" si="340">+J136/E136-1</f>
        <v>-5.7377049180327822E-2</v>
      </c>
      <c r="K137" s="377">
        <f t="shared" si="340"/>
        <v>-2.1739130434782594E-2</v>
      </c>
      <c r="L137" s="377">
        <f t="shared" si="340"/>
        <v>-8.333333333333337E-2</v>
      </c>
      <c r="M137" s="378">
        <f t="shared" si="340"/>
        <v>4.6511627906976827E-2</v>
      </c>
      <c r="N137" s="375">
        <f t="shared" si="340"/>
        <v>-2.4137931034482807E-2</v>
      </c>
      <c r="O137" s="376">
        <f t="shared" si="340"/>
        <v>0.10434782608695659</v>
      </c>
      <c r="P137" s="377">
        <f t="shared" si="340"/>
        <v>8.8888888888888795E-2</v>
      </c>
      <c r="Q137" s="377">
        <f t="shared" si="340"/>
        <v>9.0909090909090828E-2</v>
      </c>
      <c r="R137" s="378">
        <f t="shared" si="340"/>
        <v>-8.8888888888888906E-2</v>
      </c>
      <c r="S137" s="375">
        <f t="shared" si="340"/>
        <v>3.8869257950530089E-2</v>
      </c>
      <c r="T137" s="376">
        <f t="shared" ref="T137:Z137" si="341">+T136/O136-1</f>
        <v>-0.10370563869089822</v>
      </c>
      <c r="U137" s="377">
        <f t="shared" si="341"/>
        <v>4.0416166466586745E-2</v>
      </c>
      <c r="V137" s="377">
        <f t="shared" si="341"/>
        <v>0.12919061302681989</v>
      </c>
      <c r="W137" s="378">
        <f t="shared" si="341"/>
        <v>0.30122978749525742</v>
      </c>
      <c r="X137" s="375">
        <f t="shared" si="341"/>
        <v>6.1773743832296946E-2</v>
      </c>
      <c r="Y137" s="376">
        <f t="shared" si="341"/>
        <v>0.3640325311571877</v>
      </c>
      <c r="Z137" s="377">
        <f t="shared" si="341"/>
        <v>0.21038461538461517</v>
      </c>
      <c r="AA137" s="377">
        <f t="shared" ref="AA137:AH137" si="342">+AA136/V136-1</f>
        <v>8.647015162761118E-2</v>
      </c>
      <c r="AB137" s="378">
        <f t="shared" si="342"/>
        <v>0.10381036287771495</v>
      </c>
      <c r="AC137" s="375">
        <f t="shared" si="342"/>
        <v>0.21384710304209364</v>
      </c>
      <c r="AD137" s="376">
        <f t="shared" si="342"/>
        <v>0.16953929429001668</v>
      </c>
      <c r="AE137" s="377">
        <f t="shared" si="342"/>
        <v>0.18906895455989847</v>
      </c>
      <c r="AF137" s="377">
        <f t="shared" si="342"/>
        <v>9.9448592202215247E-2</v>
      </c>
      <c r="AG137" s="378">
        <f t="shared" si="342"/>
        <v>8.7026370844501821E-2</v>
      </c>
      <c r="AH137" s="375">
        <f t="shared" si="342"/>
        <v>0.13890273254990793</v>
      </c>
      <c r="AI137" s="376">
        <f t="shared" ref="AI137" si="343">+AI136/AD136-1</f>
        <v>2.618598136532535E-3</v>
      </c>
      <c r="AJ137" s="377">
        <f t="shared" ref="AJ137" si="344">+AJ136/AE136-1</f>
        <v>-0.23997862105825762</v>
      </c>
      <c r="AK137" s="377">
        <f t="shared" ref="AK137" si="345">+AK136/AF136-1</f>
        <v>-0.22533398428831386</v>
      </c>
      <c r="AL137" s="378">
        <f t="shared" ref="AL137" si="346">+AL136/AG136-1</f>
        <v>-0.46748869507126456</v>
      </c>
      <c r="AM137" s="375">
        <f t="shared" ref="AM137:AP137" si="347">+AM136/AH136-1</f>
        <v>-0.20374387592350629</v>
      </c>
      <c r="AN137" s="376">
        <f t="shared" si="347"/>
        <v>-0.34089962515618499</v>
      </c>
      <c r="AO137" s="377">
        <f t="shared" si="347"/>
        <v>-7.0323488045009874E-4</v>
      </c>
      <c r="AP137" s="377">
        <f t="shared" si="347"/>
        <v>-2.0052709980520111E-2</v>
      </c>
      <c r="AQ137" s="378">
        <f t="shared" ref="AQ137" si="348">+AQ136/AL136-1</f>
        <v>6.1298485247102352E-2</v>
      </c>
      <c r="AR137" s="375">
        <f t="shared" ref="AR137:AT137" si="349">+AR136/AM136-1</f>
        <v>-0.17077066231183091</v>
      </c>
      <c r="AS137" s="376">
        <f t="shared" si="349"/>
        <v>0.14296469366562836</v>
      </c>
      <c r="AT137" s="377">
        <f t="shared" si="349"/>
        <v>8.9021815622800871E-2</v>
      </c>
      <c r="AU137" s="377">
        <f t="shared" ref="AU137" si="350">+AU136/AP136-1</f>
        <v>0.17674228250701574</v>
      </c>
      <c r="AV137" s="378">
        <f t="shared" ref="AV137" si="351">+AV136/AQ136-1</f>
        <v>0.22988568999892722</v>
      </c>
      <c r="AW137" s="375">
        <f t="shared" ref="AW137" si="352">+AW136/AR136-1</f>
        <v>0.15885663289609209</v>
      </c>
      <c r="AX137" s="376">
        <f t="shared" ref="AX137:BB137" si="353">+AX136/AS136-1</f>
        <v>2.2023501710543902E-2</v>
      </c>
      <c r="AY137" s="377">
        <f t="shared" si="353"/>
        <v>4.0324258501871491E-2</v>
      </c>
      <c r="AZ137" s="377">
        <f t="shared" si="353"/>
        <v>5.3422374441285392E-2</v>
      </c>
      <c r="BA137" s="378">
        <f t="shared" si="353"/>
        <v>2.9884731044571122E-2</v>
      </c>
      <c r="BB137" s="375">
        <f t="shared" si="353"/>
        <v>3.1630054587292733E-2</v>
      </c>
      <c r="BC137" s="376">
        <f t="shared" ref="BC137" si="354">+BC136/AX136-1</f>
        <v>2.4210535947790213E-2</v>
      </c>
      <c r="BD137" s="377">
        <f t="shared" ref="BD137" si="355">+BD136/AY136-1</f>
        <v>4.1551949532677268E-2</v>
      </c>
      <c r="BE137" s="377">
        <f t="shared" ref="BE137" si="356">+BE136/AZ136-1</f>
        <v>5.3593505848631207E-2</v>
      </c>
      <c r="BF137" s="378">
        <f t="shared" ref="BF137" si="357">+BF136/BA136-1</f>
        <v>3.1735181006001367E-2</v>
      </c>
      <c r="BG137" s="375">
        <f t="shared" ref="BG137" si="358">+BG136/BB136-1</f>
        <v>3.3390220631896561E-2</v>
      </c>
      <c r="BH137" s="376">
        <f t="shared" ref="BH137" si="359">+BH136/BC136-1</f>
        <v>2.3874623867875089E-2</v>
      </c>
      <c r="BI137" s="377">
        <f t="shared" ref="BI137" si="360">+BI136/BD136-1</f>
        <v>4.0293207695337729E-2</v>
      </c>
      <c r="BJ137" s="377">
        <f t="shared" ref="BJ137" si="361">+BJ136/BE136-1</f>
        <v>5.1376019884934898E-2</v>
      </c>
      <c r="BK137" s="378">
        <f t="shared" ref="BK137" si="362">+BK136/BF136-1</f>
        <v>3.106662776082536E-2</v>
      </c>
      <c r="BL137" s="375">
        <f t="shared" ref="BL137" si="363">+BL136/BG136-1</f>
        <v>3.263445130881415E-2</v>
      </c>
      <c r="BM137" s="376">
        <f t="shared" ref="BM137" si="364">+BM136/BH136-1</f>
        <v>2.3551096535102012E-2</v>
      </c>
      <c r="BN137" s="377">
        <f t="shared" ref="BN137" si="365">+BN136/BI136-1</f>
        <v>3.9119874542340893E-2</v>
      </c>
      <c r="BO137" s="377">
        <f t="shared" ref="BO137" si="366">+BO136/BJ136-1</f>
        <v>4.9354159789057439E-2</v>
      </c>
      <c r="BP137" s="378">
        <f t="shared" ref="BP137" si="367">+BP136/BK136-1</f>
        <v>3.0431878206141016E-2</v>
      </c>
      <c r="BQ137" s="375">
        <f t="shared" ref="BQ137" si="368">+BQ136/BL136-1</f>
        <v>3.1919132448201326E-2</v>
      </c>
      <c r="BR137" s="223"/>
      <c r="BS137" s="223"/>
      <c r="BT137" s="223"/>
      <c r="BU137" s="223"/>
      <c r="BV137" s="223"/>
      <c r="BW137" s="223"/>
      <c r="BX137" s="223"/>
      <c r="BY137" s="223"/>
      <c r="BZ137" s="223"/>
      <c r="CA137" s="223"/>
      <c r="CB137" s="223"/>
      <c r="CC137" s="223"/>
      <c r="CD137" s="223"/>
      <c r="CE137" s="223"/>
      <c r="CF137" s="223"/>
      <c r="CG137" s="223"/>
      <c r="CH137" s="223"/>
      <c r="CI137" s="223"/>
      <c r="CJ137" s="223"/>
      <c r="CK137" s="223"/>
      <c r="CL137" s="223"/>
      <c r="CM137" s="223"/>
      <c r="CN137" s="223"/>
      <c r="CO137" s="223"/>
      <c r="CP137" s="223"/>
      <c r="CQ137" s="223"/>
      <c r="CR137" s="223"/>
      <c r="CS137" s="223"/>
      <c r="CT137" s="223"/>
      <c r="CU137" s="223"/>
    </row>
    <row r="138" spans="1:99" ht="12.75" customHeight="1">
      <c r="A138" s="1"/>
      <c r="B138" s="1"/>
      <c r="C138" s="32"/>
      <c r="D138" s="1"/>
      <c r="E138" s="600"/>
      <c r="F138" s="251"/>
      <c r="G138" s="251"/>
      <c r="H138" s="601"/>
      <c r="I138" s="26"/>
      <c r="J138" s="600"/>
      <c r="K138" s="251"/>
      <c r="L138" s="251"/>
      <c r="M138" s="601"/>
      <c r="N138" s="26"/>
      <c r="O138" s="600"/>
      <c r="P138" s="251"/>
      <c r="Q138" s="251"/>
      <c r="R138" s="601"/>
      <c r="S138" s="26"/>
      <c r="T138" s="600"/>
      <c r="U138" s="251"/>
      <c r="V138" s="251"/>
      <c r="W138" s="601"/>
      <c r="X138" s="26"/>
      <c r="Y138" s="600"/>
      <c r="Z138" s="251"/>
      <c r="AA138" s="251"/>
      <c r="AB138" s="601"/>
      <c r="AC138" s="26"/>
      <c r="AD138" s="600"/>
      <c r="AE138" s="251"/>
      <c r="AF138" s="251"/>
      <c r="AG138" s="601"/>
      <c r="AH138" s="26"/>
      <c r="AI138" s="600"/>
      <c r="AJ138" s="251"/>
      <c r="AK138" s="251"/>
      <c r="AL138" s="601"/>
      <c r="AM138" s="26"/>
      <c r="AN138" s="600"/>
      <c r="AO138" s="251"/>
      <c r="AP138" s="251"/>
      <c r="AQ138" s="601"/>
      <c r="AR138" s="26"/>
      <c r="AS138" s="600"/>
      <c r="AT138" s="251"/>
      <c r="AU138" s="251"/>
      <c r="AV138" s="601"/>
      <c r="AW138" s="26"/>
      <c r="AX138" s="600"/>
      <c r="AY138" s="251"/>
      <c r="AZ138" s="251"/>
      <c r="BA138" s="601"/>
      <c r="BB138" s="26"/>
      <c r="BC138" s="600"/>
      <c r="BD138" s="251"/>
      <c r="BE138" s="251"/>
      <c r="BF138" s="601"/>
      <c r="BG138" s="26"/>
      <c r="BH138" s="600"/>
      <c r="BI138" s="251"/>
      <c r="BJ138" s="251"/>
      <c r="BK138" s="601"/>
      <c r="BL138" s="26"/>
      <c r="BM138" s="600"/>
      <c r="BN138" s="251"/>
      <c r="BO138" s="251"/>
      <c r="BP138" s="601"/>
      <c r="BQ138" s="26"/>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row>
    <row r="139" spans="1:99" ht="12.75" customHeight="1">
      <c r="A139" s="1"/>
      <c r="B139" s="1"/>
      <c r="C139" s="32"/>
      <c r="D139" s="1"/>
      <c r="E139" s="600"/>
      <c r="F139" s="251"/>
      <c r="G139" s="251"/>
      <c r="H139" s="601"/>
      <c r="I139" s="26"/>
      <c r="J139" s="600"/>
      <c r="K139" s="251"/>
      <c r="L139" s="251"/>
      <c r="M139" s="601"/>
      <c r="N139" s="26"/>
      <c r="O139" s="600"/>
      <c r="P139" s="251"/>
      <c r="Q139" s="251"/>
      <c r="R139" s="601"/>
      <c r="S139" s="26"/>
      <c r="T139" s="600"/>
      <c r="U139" s="251"/>
      <c r="V139" s="251"/>
      <c r="W139" s="601"/>
      <c r="X139" s="26"/>
      <c r="Y139" s="600"/>
      <c r="Z139" s="251"/>
      <c r="AA139" s="251"/>
      <c r="AB139" s="601"/>
      <c r="AC139" s="26"/>
      <c r="AD139" s="600"/>
      <c r="AE139" s="251"/>
      <c r="AF139" s="251"/>
      <c r="AG139" s="601"/>
      <c r="AH139" s="26"/>
      <c r="AI139" s="600"/>
      <c r="AJ139" s="251"/>
      <c r="AK139" s="251"/>
      <c r="AL139" s="601"/>
      <c r="AM139" s="26"/>
      <c r="AN139" s="600"/>
      <c r="AO139" s="251"/>
      <c r="AP139" s="251"/>
      <c r="AQ139" s="601"/>
      <c r="AR139" s="26"/>
      <c r="AS139" s="600"/>
      <c r="AT139" s="251"/>
      <c r="AU139" s="251"/>
      <c r="AV139" s="601"/>
      <c r="AW139" s="26"/>
      <c r="AX139" s="600"/>
      <c r="AY139" s="251"/>
      <c r="AZ139" s="251"/>
      <c r="BA139" s="601"/>
      <c r="BB139" s="26"/>
      <c r="BC139" s="600"/>
      <c r="BD139" s="251"/>
      <c r="BE139" s="251"/>
      <c r="BF139" s="601"/>
      <c r="BG139" s="26"/>
      <c r="BH139" s="600"/>
      <c r="BI139" s="251"/>
      <c r="BJ139" s="251"/>
      <c r="BK139" s="601"/>
      <c r="BL139" s="26"/>
      <c r="BM139" s="600"/>
      <c r="BN139" s="251"/>
      <c r="BO139" s="251"/>
      <c r="BP139" s="601"/>
      <c r="BQ139" s="26"/>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row>
    <row r="140" spans="1:99" ht="12.75" customHeight="1">
      <c r="A140" s="1"/>
      <c r="B140" s="73" t="s">
        <v>477</v>
      </c>
      <c r="C140" s="246"/>
      <c r="D140" s="15"/>
      <c r="E140" s="600"/>
      <c r="F140" s="251"/>
      <c r="G140" s="251"/>
      <c r="H140" s="601"/>
      <c r="I140" s="26"/>
      <c r="J140" s="600"/>
      <c r="K140" s="251"/>
      <c r="L140" s="251"/>
      <c r="M140" s="601"/>
      <c r="N140" s="26"/>
      <c r="O140" s="600"/>
      <c r="P140" s="251"/>
      <c r="Q140" s="251"/>
      <c r="R140" s="601"/>
      <c r="S140" s="26"/>
      <c r="T140" s="600"/>
      <c r="U140" s="251"/>
      <c r="V140" s="251"/>
      <c r="W140" s="601"/>
      <c r="X140" s="26"/>
      <c r="Y140" s="600"/>
      <c r="Z140" s="251"/>
      <c r="AA140" s="251"/>
      <c r="AB140" s="601"/>
      <c r="AC140" s="26"/>
      <c r="AD140" s="600"/>
      <c r="AE140" s="251"/>
      <c r="AF140" s="251"/>
      <c r="AG140" s="601"/>
      <c r="AH140" s="26"/>
      <c r="AI140" s="600"/>
      <c r="AJ140" s="251"/>
      <c r="AK140" s="251"/>
      <c r="AL140" s="601"/>
      <c r="AM140" s="26"/>
      <c r="AN140" s="600"/>
      <c r="AO140" s="251"/>
      <c r="AP140" s="251"/>
      <c r="AQ140" s="601"/>
      <c r="AR140" s="26"/>
      <c r="AS140" s="600"/>
      <c r="AT140" s="251"/>
      <c r="AU140" s="251"/>
      <c r="AV140" s="601"/>
      <c r="AW140" s="26"/>
      <c r="AX140" s="600"/>
      <c r="AY140" s="251"/>
      <c r="AZ140" s="251"/>
      <c r="BA140" s="601"/>
      <c r="BB140" s="26"/>
      <c r="BC140" s="600"/>
      <c r="BD140" s="251"/>
      <c r="BE140" s="251"/>
      <c r="BF140" s="601"/>
      <c r="BG140" s="26"/>
      <c r="BH140" s="600"/>
      <c r="BI140" s="251"/>
      <c r="BJ140" s="251"/>
      <c r="BK140" s="601"/>
      <c r="BL140" s="26"/>
      <c r="BM140" s="600"/>
      <c r="BN140" s="251"/>
      <c r="BO140" s="251"/>
      <c r="BP140" s="601"/>
      <c r="BQ140" s="26"/>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row>
    <row r="141" spans="1:99" ht="12.75" customHeight="1">
      <c r="A141" s="228"/>
      <c r="B141" s="228"/>
      <c r="C141" s="641" t="s">
        <v>272</v>
      </c>
      <c r="D141" s="228"/>
      <c r="E141" s="292">
        <f t="shared" ref="E141:AH141" si="369">+E13</f>
        <v>177</v>
      </c>
      <c r="F141" s="261">
        <f t="shared" si="369"/>
        <v>149</v>
      </c>
      <c r="G141" s="261">
        <f t="shared" si="369"/>
        <v>154</v>
      </c>
      <c r="H141" s="293">
        <f t="shared" si="369"/>
        <v>160</v>
      </c>
      <c r="I141" s="228">
        <f t="shared" si="369"/>
        <v>640</v>
      </c>
      <c r="J141" s="292">
        <f t="shared" si="369"/>
        <v>189</v>
      </c>
      <c r="K141" s="261">
        <f t="shared" si="369"/>
        <v>163</v>
      </c>
      <c r="L141" s="261">
        <f t="shared" si="369"/>
        <v>191</v>
      </c>
      <c r="M141" s="293">
        <f t="shared" si="369"/>
        <v>190</v>
      </c>
      <c r="N141" s="228">
        <f t="shared" si="369"/>
        <v>733</v>
      </c>
      <c r="O141" s="292">
        <f t="shared" si="369"/>
        <v>206</v>
      </c>
      <c r="P141" s="261">
        <f t="shared" si="369"/>
        <v>172</v>
      </c>
      <c r="Q141" s="261">
        <f t="shared" si="369"/>
        <v>219</v>
      </c>
      <c r="R141" s="293">
        <f t="shared" si="369"/>
        <v>197</v>
      </c>
      <c r="S141" s="228">
        <f t="shared" si="369"/>
        <v>794</v>
      </c>
      <c r="T141" s="292">
        <f t="shared" si="369"/>
        <v>203</v>
      </c>
      <c r="U141" s="261">
        <f t="shared" si="369"/>
        <v>172</v>
      </c>
      <c r="V141" s="261">
        <f t="shared" si="369"/>
        <v>199</v>
      </c>
      <c r="W141" s="293">
        <f t="shared" si="369"/>
        <v>235</v>
      </c>
      <c r="X141" s="228">
        <f t="shared" si="369"/>
        <v>809</v>
      </c>
      <c r="Y141" s="292">
        <f t="shared" si="369"/>
        <v>188</v>
      </c>
      <c r="Z141" s="261">
        <f t="shared" si="369"/>
        <v>181</v>
      </c>
      <c r="AA141" s="1438">
        <f t="shared" si="369"/>
        <v>186</v>
      </c>
      <c r="AB141" s="1439">
        <f t="shared" si="369"/>
        <v>193</v>
      </c>
      <c r="AC141" s="1440">
        <f t="shared" si="369"/>
        <v>748</v>
      </c>
      <c r="AD141" s="292">
        <f t="shared" si="369"/>
        <v>280</v>
      </c>
      <c r="AE141" s="261">
        <f t="shared" si="369"/>
        <v>184</v>
      </c>
      <c r="AF141" s="1438">
        <f t="shared" si="369"/>
        <v>204</v>
      </c>
      <c r="AG141" s="1439">
        <f t="shared" si="369"/>
        <v>198</v>
      </c>
      <c r="AH141" s="1440">
        <f t="shared" si="369"/>
        <v>866</v>
      </c>
      <c r="AI141" s="292">
        <f t="shared" ref="AI141:AM141" si="370">+AI13</f>
        <v>222</v>
      </c>
      <c r="AJ141" s="261">
        <f t="shared" si="370"/>
        <v>192</v>
      </c>
      <c r="AK141" s="1438">
        <f t="shared" si="370"/>
        <v>196</v>
      </c>
      <c r="AL141" s="1439">
        <f t="shared" si="370"/>
        <v>184</v>
      </c>
      <c r="AM141" s="1440">
        <f t="shared" si="370"/>
        <v>794</v>
      </c>
      <c r="AN141" s="292">
        <f t="shared" ref="AN141:AR141" si="371">+AN13</f>
        <v>215</v>
      </c>
      <c r="AO141" s="261">
        <f t="shared" si="371"/>
        <v>190</v>
      </c>
      <c r="AP141" s="1438">
        <f t="shared" si="371"/>
        <v>199</v>
      </c>
      <c r="AQ141" s="1439">
        <f t="shared" si="371"/>
        <v>207</v>
      </c>
      <c r="AR141" s="1440">
        <f t="shared" si="371"/>
        <v>811</v>
      </c>
      <c r="AS141" s="292">
        <f t="shared" ref="AS141:AT141" si="372">+AS13</f>
        <v>208</v>
      </c>
      <c r="AT141" s="261">
        <f t="shared" si="372"/>
        <v>190</v>
      </c>
      <c r="AU141" s="261">
        <f t="shared" ref="AU141:AW141" si="373">+AU13</f>
        <v>197</v>
      </c>
      <c r="AV141" s="1439">
        <f t="shared" si="373"/>
        <v>211</v>
      </c>
      <c r="AW141" s="1440">
        <f t="shared" si="373"/>
        <v>806</v>
      </c>
      <c r="AX141" s="292">
        <f>AX143+AX142</f>
        <v>208</v>
      </c>
      <c r="AY141" s="261">
        <f>AY143+AY142</f>
        <v>190</v>
      </c>
      <c r="AZ141" s="261">
        <f>AZ143+AZ142</f>
        <v>197</v>
      </c>
      <c r="BA141" s="293">
        <f>BA143+BA142</f>
        <v>211</v>
      </c>
      <c r="BB141" s="228">
        <f>+SUM(AX141:BA141)</f>
        <v>806</v>
      </c>
      <c r="BC141" s="292">
        <f>BC143+BC142</f>
        <v>208</v>
      </c>
      <c r="BD141" s="261">
        <f>BD143+BD142</f>
        <v>190</v>
      </c>
      <c r="BE141" s="261">
        <f>BE143+BE142</f>
        <v>197</v>
      </c>
      <c r="BF141" s="293">
        <f>BF143+BF142</f>
        <v>211</v>
      </c>
      <c r="BG141" s="228">
        <f>+SUM(BC141:BF141)</f>
        <v>806</v>
      </c>
      <c r="BH141" s="292">
        <f>BH143+BH142</f>
        <v>208</v>
      </c>
      <c r="BI141" s="261">
        <f>BI143+BI142</f>
        <v>190</v>
      </c>
      <c r="BJ141" s="261">
        <f>BJ143+BJ142</f>
        <v>197</v>
      </c>
      <c r="BK141" s="293">
        <f>BK143+BK142</f>
        <v>211</v>
      </c>
      <c r="BL141" s="228">
        <f>+SUM(BH141:BK141)</f>
        <v>806</v>
      </c>
      <c r="BM141" s="292">
        <f>BM143+BM142</f>
        <v>208</v>
      </c>
      <c r="BN141" s="261">
        <f>BN143+BN142</f>
        <v>190</v>
      </c>
      <c r="BO141" s="261">
        <f>BO143+BO142</f>
        <v>197</v>
      </c>
      <c r="BP141" s="293">
        <f>BP143+BP142</f>
        <v>211</v>
      </c>
      <c r="BQ141" s="228">
        <f>+SUM(BM141:BP141)</f>
        <v>806</v>
      </c>
      <c r="BR141" s="228"/>
      <c r="BS141" s="228"/>
      <c r="BT141" s="228"/>
      <c r="BU141" s="228"/>
      <c r="BV141" s="228"/>
      <c r="BW141" s="228"/>
      <c r="BX141" s="228"/>
      <c r="BY141" s="228"/>
      <c r="BZ141" s="228"/>
      <c r="CA141" s="228"/>
      <c r="CB141" s="228"/>
      <c r="CC141" s="228"/>
      <c r="CD141" s="228"/>
      <c r="CE141" s="228"/>
      <c r="CF141" s="228"/>
      <c r="CG141" s="228"/>
      <c r="CH141" s="228"/>
      <c r="CI141" s="228"/>
      <c r="CJ141" s="228"/>
      <c r="CK141" s="228"/>
      <c r="CL141" s="228"/>
      <c r="CM141" s="228"/>
      <c r="CN141" s="228"/>
      <c r="CO141" s="228"/>
      <c r="CP141" s="228"/>
      <c r="CQ141" s="228"/>
      <c r="CR141" s="228"/>
      <c r="CS141" s="228"/>
      <c r="CT141" s="228"/>
      <c r="CU141" s="228"/>
    </row>
    <row r="142" spans="1:99" ht="12.75" customHeight="1">
      <c r="A142" s="45"/>
      <c r="B142" s="45"/>
      <c r="C142" s="383" t="s">
        <v>608</v>
      </c>
      <c r="D142" s="45"/>
      <c r="E142" s="306">
        <v>0</v>
      </c>
      <c r="F142" s="266">
        <v>0</v>
      </c>
      <c r="G142" s="266">
        <v>0</v>
      </c>
      <c r="H142" s="307">
        <v>0</v>
      </c>
      <c r="I142" s="45"/>
      <c r="J142" s="306">
        <v>0</v>
      </c>
      <c r="K142" s="266">
        <v>0</v>
      </c>
      <c r="L142" s="663">
        <v>0</v>
      </c>
      <c r="M142" s="307">
        <v>0</v>
      </c>
      <c r="N142" s="45">
        <f>SUM(J142:M142)</f>
        <v>0</v>
      </c>
      <c r="O142" s="306">
        <v>0</v>
      </c>
      <c r="P142" s="266">
        <v>0</v>
      </c>
      <c r="Q142" s="266">
        <v>0</v>
      </c>
      <c r="R142" s="307">
        <v>0</v>
      </c>
      <c r="S142" s="45">
        <f>SUM(O142:R142)</f>
        <v>0</v>
      </c>
      <c r="T142" s="306">
        <v>0</v>
      </c>
      <c r="U142" s="266">
        <v>0</v>
      </c>
      <c r="V142" s="266">
        <v>0</v>
      </c>
      <c r="W142" s="307">
        <v>0</v>
      </c>
      <c r="X142" s="45">
        <f>SUM(T142:W142)</f>
        <v>0</v>
      </c>
      <c r="Y142" s="306">
        <v>0</v>
      </c>
      <c r="Z142" s="266">
        <v>0</v>
      </c>
      <c r="AA142" s="1444">
        <v>0</v>
      </c>
      <c r="AB142" s="1445">
        <v>0</v>
      </c>
      <c r="AC142" s="1443">
        <f>SUM(Y142:AB142)</f>
        <v>0</v>
      </c>
      <c r="AD142" s="306">
        <v>0</v>
      </c>
      <c r="AE142" s="266">
        <v>0</v>
      </c>
      <c r="AF142" s="1444">
        <v>0</v>
      </c>
      <c r="AG142" s="1445">
        <v>0</v>
      </c>
      <c r="AH142" s="1443">
        <f>SUM(AD142:AG142)</f>
        <v>0</v>
      </c>
      <c r="AI142" s="306">
        <v>0</v>
      </c>
      <c r="AJ142" s="266">
        <v>0</v>
      </c>
      <c r="AK142" s="1444">
        <v>0</v>
      </c>
      <c r="AL142" s="1445">
        <v>0</v>
      </c>
      <c r="AM142" s="1443">
        <f>SUM(AI142:AL142)</f>
        <v>0</v>
      </c>
      <c r="AN142" s="306">
        <v>0</v>
      </c>
      <c r="AO142" s="266">
        <v>0</v>
      </c>
      <c r="AP142" s="1444">
        <v>0</v>
      </c>
      <c r="AQ142" s="1445">
        <v>0</v>
      </c>
      <c r="AR142" s="1443">
        <f>SUM(AN142:AQ142)</f>
        <v>0</v>
      </c>
      <c r="AS142" s="306">
        <v>0</v>
      </c>
      <c r="AT142" s="266">
        <v>0</v>
      </c>
      <c r="AU142" s="266">
        <v>0</v>
      </c>
      <c r="AV142" s="1445">
        <v>0</v>
      </c>
      <c r="AW142" s="1443">
        <f>SUM(AS142:AV142)</f>
        <v>0</v>
      </c>
      <c r="AX142" s="306">
        <v>0</v>
      </c>
      <c r="AY142" s="266">
        <v>0</v>
      </c>
      <c r="AZ142" s="266">
        <v>0</v>
      </c>
      <c r="BA142" s="307">
        <v>0</v>
      </c>
      <c r="BB142" s="45">
        <f>SUM(AX142:BA142)</f>
        <v>0</v>
      </c>
      <c r="BC142" s="306">
        <v>0</v>
      </c>
      <c r="BD142" s="266">
        <v>0</v>
      </c>
      <c r="BE142" s="266">
        <v>0</v>
      </c>
      <c r="BF142" s="307">
        <v>0</v>
      </c>
      <c r="BG142" s="45">
        <f>SUM(BC142:BF142)</f>
        <v>0</v>
      </c>
      <c r="BH142" s="306">
        <v>0</v>
      </c>
      <c r="BI142" s="266">
        <v>0</v>
      </c>
      <c r="BJ142" s="266">
        <v>0</v>
      </c>
      <c r="BK142" s="307">
        <v>0</v>
      </c>
      <c r="BL142" s="45">
        <f>SUM(BH142:BK142)</f>
        <v>0</v>
      </c>
      <c r="BM142" s="306">
        <v>0</v>
      </c>
      <c r="BN142" s="266">
        <v>0</v>
      </c>
      <c r="BO142" s="266">
        <v>0</v>
      </c>
      <c r="BP142" s="307">
        <v>0</v>
      </c>
      <c r="BQ142" s="45">
        <f>SUM(BM142:BP142)</f>
        <v>0</v>
      </c>
      <c r="BR142" s="45"/>
      <c r="BS142" s="45"/>
      <c r="BT142" s="45"/>
      <c r="BU142" s="45"/>
      <c r="BV142" s="45"/>
      <c r="BW142" s="45"/>
      <c r="BX142" s="45"/>
      <c r="BY142" s="45"/>
      <c r="BZ142" s="45"/>
      <c r="CA142" s="45"/>
      <c r="CB142" s="45"/>
      <c r="CC142" s="45"/>
      <c r="CD142" s="45"/>
      <c r="CE142" s="45"/>
      <c r="CF142" s="45"/>
      <c r="CG142" s="45"/>
      <c r="CH142" s="45"/>
      <c r="CI142" s="45"/>
      <c r="CJ142" s="45"/>
      <c r="CK142" s="45"/>
      <c r="CL142" s="45"/>
      <c r="CM142" s="45"/>
      <c r="CN142" s="45"/>
      <c r="CO142" s="45"/>
      <c r="CP142" s="45"/>
      <c r="CQ142" s="45"/>
      <c r="CR142" s="45"/>
      <c r="CS142" s="45"/>
      <c r="CT142" s="45"/>
      <c r="CU142" s="45"/>
    </row>
    <row r="143" spans="1:99" ht="12.75" customHeight="1">
      <c r="A143" s="45"/>
      <c r="B143" s="45"/>
      <c r="C143" s="383" t="s">
        <v>609</v>
      </c>
      <c r="D143" s="45"/>
      <c r="E143" s="290">
        <f>+E141-E142</f>
        <v>177</v>
      </c>
      <c r="F143" s="260">
        <f>+F141-F142</f>
        <v>149</v>
      </c>
      <c r="G143" s="260">
        <f>+G141-G142</f>
        <v>154</v>
      </c>
      <c r="H143" s="291">
        <f>+H141-H142</f>
        <v>160</v>
      </c>
      <c r="I143" s="45">
        <f>+SUM(E143:H143)</f>
        <v>640</v>
      </c>
      <c r="J143" s="290">
        <f>+J141-J142</f>
        <v>189</v>
      </c>
      <c r="K143" s="260">
        <f>+K141-K142</f>
        <v>163</v>
      </c>
      <c r="L143" s="260">
        <f>+L141-L142</f>
        <v>191</v>
      </c>
      <c r="M143" s="291">
        <f>+M141-M142</f>
        <v>190</v>
      </c>
      <c r="N143" s="45">
        <f>+SUM(J143:M143)</f>
        <v>733</v>
      </c>
      <c r="O143" s="290">
        <f>+O141-O142</f>
        <v>206</v>
      </c>
      <c r="P143" s="260">
        <f>+P141-P142</f>
        <v>172</v>
      </c>
      <c r="Q143" s="260">
        <f>+Q141-Q142</f>
        <v>219</v>
      </c>
      <c r="R143" s="291">
        <f>+R141-R142</f>
        <v>197</v>
      </c>
      <c r="S143" s="45">
        <f>+SUM(O143:R143)</f>
        <v>794</v>
      </c>
      <c r="T143" s="290">
        <f>+T141-T142</f>
        <v>203</v>
      </c>
      <c r="U143" s="260">
        <f>+U141-U142</f>
        <v>172</v>
      </c>
      <c r="V143" s="260">
        <f>+V141-V142</f>
        <v>199</v>
      </c>
      <c r="W143" s="291">
        <f>+W141-W142</f>
        <v>235</v>
      </c>
      <c r="X143" s="45">
        <f>+SUM(T143:W143)</f>
        <v>809</v>
      </c>
      <c r="Y143" s="290">
        <f>+Y141-Y142</f>
        <v>188</v>
      </c>
      <c r="Z143" s="260">
        <f>+Z141-Z142</f>
        <v>181</v>
      </c>
      <c r="AA143" s="1441">
        <f>+AA141-AA142</f>
        <v>186</v>
      </c>
      <c r="AB143" s="1442">
        <f>+AB141-AB142</f>
        <v>193</v>
      </c>
      <c r="AC143" s="1443">
        <f>+SUM(Y143:AB143)</f>
        <v>748</v>
      </c>
      <c r="AD143" s="290">
        <f>+AD141-AD142</f>
        <v>280</v>
      </c>
      <c r="AE143" s="260">
        <f>+AE141-AE142</f>
        <v>184</v>
      </c>
      <c r="AF143" s="1441">
        <f>+AF141-AF142</f>
        <v>204</v>
      </c>
      <c r="AG143" s="1442">
        <f>+AG141-AG142</f>
        <v>198</v>
      </c>
      <c r="AH143" s="1443">
        <f>+SUM(AD143:AG143)</f>
        <v>866</v>
      </c>
      <c r="AI143" s="290">
        <f>+AI141-AI142</f>
        <v>222</v>
      </c>
      <c r="AJ143" s="260">
        <f>+AJ141-AJ142</f>
        <v>192</v>
      </c>
      <c r="AK143" s="1441">
        <f>+AK141-AK142</f>
        <v>196</v>
      </c>
      <c r="AL143" s="1442">
        <f>+AL141-AL142</f>
        <v>184</v>
      </c>
      <c r="AM143" s="1443">
        <f>+SUM(AI143:AL143)</f>
        <v>794</v>
      </c>
      <c r="AN143" s="290">
        <f>+AN141-AN142</f>
        <v>215</v>
      </c>
      <c r="AO143" s="260">
        <f>+AO141-AO142</f>
        <v>190</v>
      </c>
      <c r="AP143" s="1441">
        <f>+AP141-AP142</f>
        <v>199</v>
      </c>
      <c r="AQ143" s="1442">
        <f>+AQ141-AQ142</f>
        <v>207</v>
      </c>
      <c r="AR143" s="1443">
        <f>+SUM(AN143:AQ143)</f>
        <v>811</v>
      </c>
      <c r="AS143" s="290">
        <f>+AS141-AS142</f>
        <v>208</v>
      </c>
      <c r="AT143" s="260">
        <f>+AT141-AT142</f>
        <v>190</v>
      </c>
      <c r="AU143" s="260">
        <f>+AU141-AU142</f>
        <v>197</v>
      </c>
      <c r="AV143" s="1442">
        <f>+AV141-AV142</f>
        <v>211</v>
      </c>
      <c r="AW143" s="1443">
        <f>+SUM(AS143:AV143)</f>
        <v>806</v>
      </c>
      <c r="AX143" s="290">
        <f>AS143*(1+AX144)</f>
        <v>208</v>
      </c>
      <c r="AY143" s="260">
        <f>AT143*(1+AY144)</f>
        <v>190</v>
      </c>
      <c r="AZ143" s="260">
        <f>AU143*(1+AZ144)</f>
        <v>197</v>
      </c>
      <c r="BA143" s="291">
        <f>AV143*(1+BA144)</f>
        <v>211</v>
      </c>
      <c r="BB143" s="45">
        <f>+SUM(AX143:BA143)</f>
        <v>806</v>
      </c>
      <c r="BC143" s="290">
        <f>AX143*(1+BC144)</f>
        <v>208</v>
      </c>
      <c r="BD143" s="260">
        <f>AY143*(1+BD144)</f>
        <v>190</v>
      </c>
      <c r="BE143" s="260">
        <f>AZ143*(1+BE144)</f>
        <v>197</v>
      </c>
      <c r="BF143" s="291">
        <f>BA143*(1+BF144)</f>
        <v>211</v>
      </c>
      <c r="BG143" s="45">
        <f>+SUM(BC143:BF143)</f>
        <v>806</v>
      </c>
      <c r="BH143" s="290">
        <f>BC143*(1+BH144)</f>
        <v>208</v>
      </c>
      <c r="BI143" s="260">
        <f>BD143*(1+BI144)</f>
        <v>190</v>
      </c>
      <c r="BJ143" s="260">
        <f>BE143*(1+BJ144)</f>
        <v>197</v>
      </c>
      <c r="BK143" s="291">
        <f>BF143*(1+BK144)</f>
        <v>211</v>
      </c>
      <c r="BL143" s="45">
        <f>+SUM(BH143:BK143)</f>
        <v>806</v>
      </c>
      <c r="BM143" s="290">
        <f>BH143*(1+BM144)</f>
        <v>208</v>
      </c>
      <c r="BN143" s="260">
        <f>BI143*(1+BN144)</f>
        <v>190</v>
      </c>
      <c r="BO143" s="260">
        <f>BJ143*(1+BO144)</f>
        <v>197</v>
      </c>
      <c r="BP143" s="291">
        <f>BK143*(1+BP144)</f>
        <v>211</v>
      </c>
      <c r="BQ143" s="45">
        <f>+SUM(BM143:BP143)</f>
        <v>806</v>
      </c>
      <c r="BR143" s="45"/>
      <c r="BS143" s="45"/>
      <c r="BT143" s="45"/>
      <c r="BU143" s="45"/>
      <c r="BV143" s="45"/>
      <c r="BW143" s="45"/>
      <c r="BX143" s="45"/>
      <c r="BY143" s="45"/>
      <c r="BZ143" s="45"/>
      <c r="CA143" s="45"/>
      <c r="CB143" s="45"/>
      <c r="CC143" s="45"/>
      <c r="CD143" s="45"/>
      <c r="CE143" s="45"/>
      <c r="CF143" s="45"/>
      <c r="CG143" s="45"/>
      <c r="CH143" s="45"/>
      <c r="CI143" s="45"/>
      <c r="CJ143" s="45"/>
      <c r="CK143" s="45"/>
      <c r="CL143" s="45"/>
      <c r="CM143" s="45"/>
      <c r="CN143" s="45"/>
      <c r="CO143" s="45"/>
      <c r="CP143" s="45"/>
      <c r="CQ143" s="45"/>
      <c r="CR143" s="45"/>
      <c r="CS143" s="45"/>
      <c r="CT143" s="45"/>
      <c r="CU143" s="45"/>
    </row>
    <row r="144" spans="1:99" ht="12.75" customHeight="1">
      <c r="A144" s="223"/>
      <c r="B144" s="223"/>
      <c r="C144" s="384" t="s">
        <v>610</v>
      </c>
      <c r="D144" s="223"/>
      <c r="E144" s="643"/>
      <c r="F144" s="382"/>
      <c r="G144" s="382"/>
      <c r="H144" s="644"/>
      <c r="I144" s="222"/>
      <c r="J144" s="275">
        <f t="shared" ref="J144:S144" si="374">+J143/E143-1</f>
        <v>6.7796610169491567E-2</v>
      </c>
      <c r="K144" s="252">
        <f t="shared" si="374"/>
        <v>9.3959731543624248E-2</v>
      </c>
      <c r="L144" s="252">
        <f t="shared" si="374"/>
        <v>0.24025974025974017</v>
      </c>
      <c r="M144" s="276">
        <f t="shared" si="374"/>
        <v>0.1875</v>
      </c>
      <c r="N144" s="222">
        <f>+N143/I143-1</f>
        <v>0.14531249999999996</v>
      </c>
      <c r="O144" s="275">
        <f t="shared" si="374"/>
        <v>8.9947089947089998E-2</v>
      </c>
      <c r="P144" s="252">
        <f t="shared" si="374"/>
        <v>5.5214723926380271E-2</v>
      </c>
      <c r="Q144" s="252">
        <f t="shared" si="374"/>
        <v>0.14659685863874339</v>
      </c>
      <c r="R144" s="276">
        <f t="shared" si="374"/>
        <v>3.6842105263157787E-2</v>
      </c>
      <c r="S144" s="222">
        <f t="shared" si="374"/>
        <v>8.3219645293315159E-2</v>
      </c>
      <c r="T144" s="275">
        <f t="shared" ref="T144:Z144" si="375">+T143/O143-1</f>
        <v>-1.4563106796116498E-2</v>
      </c>
      <c r="U144" s="252">
        <f t="shared" si="375"/>
        <v>0</v>
      </c>
      <c r="V144" s="252">
        <f t="shared" si="375"/>
        <v>-9.1324200913242004E-2</v>
      </c>
      <c r="W144" s="276">
        <f t="shared" si="375"/>
        <v>0.19289340101522834</v>
      </c>
      <c r="X144" s="222">
        <f t="shared" si="375"/>
        <v>1.8891687657430767E-2</v>
      </c>
      <c r="Y144" s="275">
        <f t="shared" si="375"/>
        <v>-7.3891625615763568E-2</v>
      </c>
      <c r="Z144" s="252">
        <f t="shared" si="375"/>
        <v>5.232558139534893E-2</v>
      </c>
      <c r="AA144" s="252">
        <f t="shared" ref="AA144:AH144" si="376">+AA143/V143-1</f>
        <v>-6.5326633165829096E-2</v>
      </c>
      <c r="AB144" s="276">
        <f t="shared" si="376"/>
        <v>-0.17872340425531918</v>
      </c>
      <c r="AC144" s="222">
        <f t="shared" si="376"/>
        <v>-7.5401730531520439E-2</v>
      </c>
      <c r="AD144" s="275">
        <f t="shared" si="376"/>
        <v>0.4893617021276595</v>
      </c>
      <c r="AE144" s="252">
        <f t="shared" si="376"/>
        <v>1.6574585635359185E-2</v>
      </c>
      <c r="AF144" s="252">
        <f t="shared" si="376"/>
        <v>9.6774193548387011E-2</v>
      </c>
      <c r="AG144" s="276">
        <f t="shared" si="376"/>
        <v>2.5906735751295429E-2</v>
      </c>
      <c r="AH144" s="222">
        <f t="shared" si="376"/>
        <v>0.15775401069518713</v>
      </c>
      <c r="AI144" s="275">
        <f t="shared" ref="AI144" si="377">+AI143/AD143-1</f>
        <v>-0.20714285714285718</v>
      </c>
      <c r="AJ144" s="252">
        <f t="shared" ref="AJ144" si="378">+AJ143/AE143-1</f>
        <v>4.3478260869565188E-2</v>
      </c>
      <c r="AK144" s="252">
        <f t="shared" ref="AK144" si="379">+AK143/AF143-1</f>
        <v>-3.9215686274509776E-2</v>
      </c>
      <c r="AL144" s="276">
        <f t="shared" ref="AL144" si="380">+AL143/AG143-1</f>
        <v>-7.0707070707070718E-2</v>
      </c>
      <c r="AM144" s="222">
        <f t="shared" ref="AM144:AP144" si="381">+AM143/AH143-1</f>
        <v>-8.3140877598152474E-2</v>
      </c>
      <c r="AN144" s="275">
        <f t="shared" si="381"/>
        <v>-3.1531531531531543E-2</v>
      </c>
      <c r="AO144" s="252">
        <f t="shared" si="381"/>
        <v>-1.041666666666663E-2</v>
      </c>
      <c r="AP144" s="252">
        <f t="shared" si="381"/>
        <v>1.5306122448979664E-2</v>
      </c>
      <c r="AQ144" s="276">
        <f t="shared" ref="AQ144" si="382">+AQ143/AL143-1</f>
        <v>0.125</v>
      </c>
      <c r="AR144" s="222">
        <f t="shared" ref="AR144:AU144" si="383">+AR143/AM143-1</f>
        <v>2.1410579345088054E-2</v>
      </c>
      <c r="AS144" s="275">
        <f t="shared" si="383"/>
        <v>-3.2558139534883734E-2</v>
      </c>
      <c r="AT144" s="252">
        <f t="shared" si="383"/>
        <v>0</v>
      </c>
      <c r="AU144" s="252">
        <f t="shared" si="383"/>
        <v>-1.0050251256281451E-2</v>
      </c>
      <c r="AV144" s="276">
        <f t="shared" ref="AV144" si="384">+AV143/AQ143-1</f>
        <v>1.9323671497584627E-2</v>
      </c>
      <c r="AW144" s="222">
        <f t="shared" ref="AW144" si="385">+AW143/AR143-1</f>
        <v>-6.1652281134402243E-3</v>
      </c>
      <c r="AX144" s="275">
        <f>+AX58</f>
        <v>0</v>
      </c>
      <c r="AY144" s="252">
        <f>+AY58</f>
        <v>0</v>
      </c>
      <c r="AZ144" s="252">
        <f>+AZ58</f>
        <v>0</v>
      </c>
      <c r="BA144" s="276">
        <f>+BA58</f>
        <v>0</v>
      </c>
      <c r="BB144" s="222">
        <f>+BB143/AW143-1</f>
        <v>0</v>
      </c>
      <c r="BC144" s="275">
        <f>+BC58</f>
        <v>0</v>
      </c>
      <c r="BD144" s="252">
        <f>+BD58</f>
        <v>0</v>
      </c>
      <c r="BE144" s="252">
        <f>+BE58</f>
        <v>0</v>
      </c>
      <c r="BF144" s="276">
        <f>+BF58</f>
        <v>0</v>
      </c>
      <c r="BG144" s="222">
        <f>+BG143/BB143-1</f>
        <v>0</v>
      </c>
      <c r="BH144" s="275">
        <f>+BH58</f>
        <v>0</v>
      </c>
      <c r="BI144" s="252">
        <f>+BI58</f>
        <v>0</v>
      </c>
      <c r="BJ144" s="252">
        <f>+BJ58</f>
        <v>0</v>
      </c>
      <c r="BK144" s="276">
        <f>+BK58</f>
        <v>0</v>
      </c>
      <c r="BL144" s="222">
        <f>+BL143/BG143-1</f>
        <v>0</v>
      </c>
      <c r="BM144" s="275">
        <f>+BM58</f>
        <v>0</v>
      </c>
      <c r="BN144" s="252">
        <f>+BN58</f>
        <v>0</v>
      </c>
      <c r="BO144" s="252">
        <f>+BO58</f>
        <v>0</v>
      </c>
      <c r="BP144" s="276">
        <f>+BP58</f>
        <v>0</v>
      </c>
      <c r="BQ144" s="222">
        <f>+BQ143/BL143-1</f>
        <v>0</v>
      </c>
      <c r="BR144" s="223"/>
      <c r="BS144" s="223"/>
      <c r="BT144" s="223"/>
      <c r="BU144" s="223"/>
      <c r="BV144" s="223"/>
      <c r="BW144" s="223"/>
      <c r="BX144" s="223"/>
      <c r="BY144" s="223"/>
      <c r="BZ144" s="223"/>
      <c r="CA144" s="223"/>
      <c r="CB144" s="223"/>
      <c r="CC144" s="223"/>
      <c r="CD144" s="223"/>
      <c r="CE144" s="223"/>
      <c r="CF144" s="223"/>
      <c r="CG144" s="223"/>
      <c r="CH144" s="223"/>
      <c r="CI144" s="223"/>
      <c r="CJ144" s="223"/>
      <c r="CK144" s="223"/>
      <c r="CL144" s="223"/>
      <c r="CM144" s="223"/>
      <c r="CN144" s="223"/>
      <c r="CO144" s="223"/>
      <c r="CP144" s="223"/>
      <c r="CQ144" s="223"/>
      <c r="CR144" s="223"/>
      <c r="CS144" s="223"/>
      <c r="CT144" s="223"/>
      <c r="CU144" s="223"/>
    </row>
    <row r="145" spans="1:99" ht="12.75" customHeight="1">
      <c r="A145" s="28"/>
      <c r="B145" s="28"/>
      <c r="C145" s="383"/>
      <c r="D145" s="28"/>
      <c r="E145" s="415"/>
      <c r="F145" s="242"/>
      <c r="G145" s="242"/>
      <c r="H145" s="416"/>
      <c r="I145" s="23"/>
      <c r="J145" s="415"/>
      <c r="K145" s="242"/>
      <c r="L145" s="242"/>
      <c r="M145" s="416"/>
      <c r="N145" s="23"/>
      <c r="O145" s="415"/>
      <c r="P145" s="242"/>
      <c r="Q145" s="242"/>
      <c r="R145" s="416"/>
      <c r="S145" s="23"/>
      <c r="T145" s="415"/>
      <c r="U145" s="242"/>
      <c r="V145" s="242"/>
      <c r="W145" s="416"/>
      <c r="X145" s="23"/>
      <c r="Y145" s="415"/>
      <c r="Z145" s="242"/>
      <c r="AA145" s="242"/>
      <c r="AB145" s="416"/>
      <c r="AC145" s="23"/>
      <c r="AD145" s="415"/>
      <c r="AE145" s="242"/>
      <c r="AF145" s="242"/>
      <c r="AG145" s="416"/>
      <c r="AH145" s="23"/>
      <c r="AI145" s="415"/>
      <c r="AJ145" s="242"/>
      <c r="AK145" s="242"/>
      <c r="AL145" s="416"/>
      <c r="AM145" s="23"/>
      <c r="AN145" s="415"/>
      <c r="AO145" s="242"/>
      <c r="AP145" s="242"/>
      <c r="AQ145" s="416"/>
      <c r="AR145" s="23"/>
      <c r="AS145" s="415"/>
      <c r="AT145" s="242"/>
      <c r="AU145" s="242"/>
      <c r="AV145" s="416"/>
      <c r="AW145" s="23"/>
      <c r="AX145" s="415"/>
      <c r="AY145" s="242"/>
      <c r="AZ145" s="242"/>
      <c r="BA145" s="416"/>
      <c r="BB145" s="23"/>
      <c r="BC145" s="415"/>
      <c r="BD145" s="242"/>
      <c r="BE145" s="242"/>
      <c r="BF145" s="416"/>
      <c r="BG145" s="23"/>
      <c r="BH145" s="415"/>
      <c r="BI145" s="242"/>
      <c r="BJ145" s="242"/>
      <c r="BK145" s="416"/>
      <c r="BL145" s="23"/>
      <c r="BM145" s="415"/>
      <c r="BN145" s="242"/>
      <c r="BO145" s="242"/>
      <c r="BP145" s="416"/>
      <c r="BQ145" s="23"/>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row>
    <row r="146" spans="1:99" ht="12.75" customHeight="1">
      <c r="A146" s="45"/>
      <c r="B146" s="45"/>
      <c r="C146" s="383" t="s">
        <v>65</v>
      </c>
      <c r="D146" s="45"/>
      <c r="E146" s="290">
        <f t="shared" ref="E146:AH146" si="386">+E15</f>
        <v>66</v>
      </c>
      <c r="F146" s="260">
        <f t="shared" si="386"/>
        <v>69</v>
      </c>
      <c r="G146" s="260">
        <f t="shared" si="386"/>
        <v>78</v>
      </c>
      <c r="H146" s="291">
        <f t="shared" si="386"/>
        <v>63</v>
      </c>
      <c r="I146" s="45">
        <f t="shared" si="386"/>
        <v>276</v>
      </c>
      <c r="J146" s="290">
        <f t="shared" si="386"/>
        <v>72</v>
      </c>
      <c r="K146" s="260">
        <f t="shared" si="386"/>
        <v>77</v>
      </c>
      <c r="L146" s="260">
        <f t="shared" si="386"/>
        <v>90</v>
      </c>
      <c r="M146" s="291">
        <f t="shared" si="386"/>
        <v>64</v>
      </c>
      <c r="N146" s="45">
        <f t="shared" si="386"/>
        <v>303</v>
      </c>
      <c r="O146" s="290">
        <f t="shared" si="386"/>
        <v>56</v>
      </c>
      <c r="P146" s="260">
        <f t="shared" si="386"/>
        <v>51</v>
      </c>
      <c r="Q146" s="260">
        <f t="shared" si="386"/>
        <v>59</v>
      </c>
      <c r="R146" s="291">
        <f t="shared" si="386"/>
        <v>39</v>
      </c>
      <c r="S146" s="45">
        <f t="shared" si="386"/>
        <v>205</v>
      </c>
      <c r="T146" s="290">
        <f t="shared" si="386"/>
        <v>31</v>
      </c>
      <c r="U146" s="260">
        <f t="shared" si="386"/>
        <v>42</v>
      </c>
      <c r="V146" s="260">
        <f t="shared" si="386"/>
        <v>48</v>
      </c>
      <c r="W146" s="291">
        <f t="shared" si="386"/>
        <v>41</v>
      </c>
      <c r="X146" s="45">
        <f t="shared" si="386"/>
        <v>162</v>
      </c>
      <c r="Y146" s="290">
        <f t="shared" si="386"/>
        <v>41</v>
      </c>
      <c r="Z146" s="260">
        <f t="shared" si="386"/>
        <v>39</v>
      </c>
      <c r="AA146" s="1441">
        <f t="shared" si="386"/>
        <v>41</v>
      </c>
      <c r="AB146" s="1442">
        <f t="shared" si="386"/>
        <v>37</v>
      </c>
      <c r="AC146" s="1443">
        <f t="shared" si="386"/>
        <v>158</v>
      </c>
      <c r="AD146" s="290">
        <f t="shared" si="386"/>
        <v>42</v>
      </c>
      <c r="AE146" s="260">
        <f t="shared" si="386"/>
        <v>38</v>
      </c>
      <c r="AF146" s="1441">
        <f t="shared" si="386"/>
        <v>42</v>
      </c>
      <c r="AG146" s="1442">
        <f t="shared" si="386"/>
        <v>37</v>
      </c>
      <c r="AH146" s="1443">
        <f t="shared" si="386"/>
        <v>159</v>
      </c>
      <c r="AI146" s="290">
        <f t="shared" ref="AI146:AM146" si="387">+AI15</f>
        <v>41</v>
      </c>
      <c r="AJ146" s="260">
        <f t="shared" si="387"/>
        <v>39</v>
      </c>
      <c r="AK146" s="1441">
        <f t="shared" si="387"/>
        <v>44</v>
      </c>
      <c r="AL146" s="1442">
        <f t="shared" si="387"/>
        <v>36</v>
      </c>
      <c r="AM146" s="1443">
        <f t="shared" si="387"/>
        <v>160</v>
      </c>
      <c r="AN146" s="290">
        <f t="shared" ref="AN146:AR146" si="388">+AN15</f>
        <v>42</v>
      </c>
      <c r="AO146" s="260">
        <f t="shared" si="388"/>
        <v>38</v>
      </c>
      <c r="AP146" s="1441">
        <f t="shared" si="388"/>
        <v>46</v>
      </c>
      <c r="AQ146" s="1442">
        <f t="shared" si="388"/>
        <v>38</v>
      </c>
      <c r="AR146" s="1443">
        <f t="shared" si="388"/>
        <v>164</v>
      </c>
      <c r="AS146" s="290">
        <f t="shared" ref="AS146:AT146" si="389">+AS15</f>
        <v>38</v>
      </c>
      <c r="AT146" s="260">
        <f t="shared" si="389"/>
        <v>35</v>
      </c>
      <c r="AU146" s="260">
        <f t="shared" ref="AU146:AW146" si="390">+AU15</f>
        <v>42</v>
      </c>
      <c r="AV146" s="1442">
        <f t="shared" si="390"/>
        <v>39</v>
      </c>
      <c r="AW146" s="1443">
        <f t="shared" si="390"/>
        <v>154</v>
      </c>
      <c r="AX146" s="290">
        <f>AS146*(1+AX147)</f>
        <v>38.76</v>
      </c>
      <c r="AY146" s="260">
        <f>AT146*(1+AY147)</f>
        <v>35.700000000000003</v>
      </c>
      <c r="AZ146" s="260">
        <f>AU146*(1+AZ147)</f>
        <v>42.84</v>
      </c>
      <c r="BA146" s="291">
        <f>AV146*(1+BA147)</f>
        <v>39.78</v>
      </c>
      <c r="BB146" s="45">
        <f>+SUM(AX146:BA146)</f>
        <v>157.08000000000001</v>
      </c>
      <c r="BC146" s="290">
        <f>AX146*(1+BC147)</f>
        <v>39.535199999999996</v>
      </c>
      <c r="BD146" s="260">
        <f>AY146*(1+BD147)</f>
        <v>36.414000000000001</v>
      </c>
      <c r="BE146" s="260">
        <f>AZ146*(1+BE147)</f>
        <v>43.696800000000003</v>
      </c>
      <c r="BF146" s="291">
        <f>BA146*(1+BF147)</f>
        <v>40.575600000000001</v>
      </c>
      <c r="BG146" s="45">
        <f>+SUM(BC146:BF146)</f>
        <v>160.2216</v>
      </c>
      <c r="BH146" s="290">
        <f>BC146*(1+BH147)</f>
        <v>40.325903999999994</v>
      </c>
      <c r="BI146" s="260">
        <f>BD146*(1+BI147)</f>
        <v>37.14228</v>
      </c>
      <c r="BJ146" s="260">
        <f>BE146*(1+BJ147)</f>
        <v>44.570736000000004</v>
      </c>
      <c r="BK146" s="291">
        <f>BF146*(1+BK147)</f>
        <v>41.387112000000002</v>
      </c>
      <c r="BL146" s="45">
        <f>+SUM(BH146:BK146)</f>
        <v>163.42603199999999</v>
      </c>
      <c r="BM146" s="290">
        <f>BH146*(1+BM147)</f>
        <v>41.132422079999998</v>
      </c>
      <c r="BN146" s="260">
        <f>BI146*(1+BN147)</f>
        <v>37.885125600000002</v>
      </c>
      <c r="BO146" s="260">
        <f>BJ146*(1+BO147)</f>
        <v>45.462150720000004</v>
      </c>
      <c r="BP146" s="291">
        <f>BK146*(1+BP147)</f>
        <v>42.214854240000001</v>
      </c>
      <c r="BQ146" s="45">
        <f>+SUM(BM146:BP146)</f>
        <v>166.69455264000001</v>
      </c>
      <c r="BR146" s="45"/>
      <c r="BS146" s="45"/>
      <c r="BT146" s="45"/>
      <c r="BU146" s="45"/>
      <c r="BV146" s="45"/>
      <c r="BW146" s="45"/>
      <c r="BX146" s="45"/>
      <c r="BY146" s="45"/>
      <c r="BZ146" s="45"/>
      <c r="CA146" s="45"/>
      <c r="CB146" s="45"/>
      <c r="CC146" s="45"/>
      <c r="CD146" s="45"/>
      <c r="CE146" s="45"/>
      <c r="CF146" s="45"/>
      <c r="CG146" s="45"/>
      <c r="CH146" s="45"/>
      <c r="CI146" s="45"/>
      <c r="CJ146" s="45"/>
      <c r="CK146" s="45"/>
      <c r="CL146" s="45"/>
      <c r="CM146" s="45"/>
      <c r="CN146" s="45"/>
      <c r="CO146" s="45"/>
      <c r="CP146" s="45"/>
      <c r="CQ146" s="45"/>
      <c r="CR146" s="45"/>
      <c r="CS146" s="45"/>
      <c r="CT146" s="45"/>
      <c r="CU146" s="45"/>
    </row>
    <row r="147" spans="1:99" ht="12.75" customHeight="1">
      <c r="A147" s="223"/>
      <c r="B147" s="223"/>
      <c r="C147" s="384" t="s">
        <v>610</v>
      </c>
      <c r="D147" s="223"/>
      <c r="E147" s="643"/>
      <c r="F147" s="382"/>
      <c r="G147" s="382"/>
      <c r="H147" s="644"/>
      <c r="I147" s="222"/>
      <c r="J147" s="275">
        <f t="shared" ref="J147:S147" si="391">+J146/E146-1</f>
        <v>9.0909090909090828E-2</v>
      </c>
      <c r="K147" s="252">
        <f t="shared" si="391"/>
        <v>0.11594202898550732</v>
      </c>
      <c r="L147" s="252">
        <f t="shared" si="391"/>
        <v>0.15384615384615374</v>
      </c>
      <c r="M147" s="276">
        <f t="shared" si="391"/>
        <v>1.5873015873015817E-2</v>
      </c>
      <c r="N147" s="222">
        <f t="shared" si="391"/>
        <v>9.7826086956521729E-2</v>
      </c>
      <c r="O147" s="275">
        <f t="shared" si="391"/>
        <v>-0.22222222222222221</v>
      </c>
      <c r="P147" s="252">
        <f t="shared" si="391"/>
        <v>-0.33766233766233766</v>
      </c>
      <c r="Q147" s="252">
        <f t="shared" si="391"/>
        <v>-0.34444444444444444</v>
      </c>
      <c r="R147" s="276">
        <f t="shared" si="391"/>
        <v>-0.390625</v>
      </c>
      <c r="S147" s="222">
        <f t="shared" si="391"/>
        <v>-0.32343234323432346</v>
      </c>
      <c r="T147" s="275">
        <f t="shared" ref="T147:Z147" si="392">+T146/O146-1</f>
        <v>-0.4464285714285714</v>
      </c>
      <c r="U147" s="252">
        <f t="shared" si="392"/>
        <v>-0.17647058823529416</v>
      </c>
      <c r="V147" s="252">
        <f t="shared" si="392"/>
        <v>-0.18644067796610164</v>
      </c>
      <c r="W147" s="276">
        <f t="shared" si="392"/>
        <v>5.1282051282051322E-2</v>
      </c>
      <c r="X147" s="222">
        <f t="shared" si="392"/>
        <v>-0.20975609756097557</v>
      </c>
      <c r="Y147" s="275">
        <f t="shared" si="392"/>
        <v>0.32258064516129026</v>
      </c>
      <c r="Z147" s="252">
        <f t="shared" si="392"/>
        <v>-7.1428571428571397E-2</v>
      </c>
      <c r="AA147" s="252">
        <f t="shared" ref="AA147:AH147" si="393">+AA146/V146-1</f>
        <v>-0.14583333333333337</v>
      </c>
      <c r="AB147" s="276">
        <f t="shared" si="393"/>
        <v>-9.7560975609756073E-2</v>
      </c>
      <c r="AC147" s="222">
        <f t="shared" si="393"/>
        <v>-2.4691358024691357E-2</v>
      </c>
      <c r="AD147" s="275">
        <f t="shared" si="393"/>
        <v>2.4390243902439046E-2</v>
      </c>
      <c r="AE147" s="252">
        <f t="shared" si="393"/>
        <v>-2.5641025641025661E-2</v>
      </c>
      <c r="AF147" s="252">
        <f t="shared" si="393"/>
        <v>2.4390243902439046E-2</v>
      </c>
      <c r="AG147" s="276">
        <f t="shared" si="393"/>
        <v>0</v>
      </c>
      <c r="AH147" s="222">
        <f t="shared" si="393"/>
        <v>6.3291139240506666E-3</v>
      </c>
      <c r="AI147" s="275">
        <f t="shared" ref="AI147" si="394">+AI146/AD146-1</f>
        <v>-2.3809523809523836E-2</v>
      </c>
      <c r="AJ147" s="252">
        <f t="shared" ref="AJ147" si="395">+AJ146/AE146-1</f>
        <v>2.6315789473684292E-2</v>
      </c>
      <c r="AK147" s="252">
        <f t="shared" ref="AK147" si="396">+AK146/AF146-1</f>
        <v>4.7619047619047672E-2</v>
      </c>
      <c r="AL147" s="276">
        <f t="shared" ref="AL147" si="397">+AL146/AG146-1</f>
        <v>-2.7027027027026973E-2</v>
      </c>
      <c r="AM147" s="222">
        <f t="shared" ref="AM147:AP147" si="398">+AM146/AH146-1</f>
        <v>6.2893081761006275E-3</v>
      </c>
      <c r="AN147" s="275">
        <f t="shared" si="398"/>
        <v>2.4390243902439046E-2</v>
      </c>
      <c r="AO147" s="252">
        <f t="shared" si="398"/>
        <v>-2.5641025641025661E-2</v>
      </c>
      <c r="AP147" s="252">
        <f t="shared" si="398"/>
        <v>4.5454545454545414E-2</v>
      </c>
      <c r="AQ147" s="276">
        <f t="shared" ref="AQ147" si="399">+AQ146/AL146-1</f>
        <v>5.555555555555558E-2</v>
      </c>
      <c r="AR147" s="222">
        <f t="shared" ref="AR147:AU147" si="400">+AR146/AM146-1</f>
        <v>2.4999999999999911E-2</v>
      </c>
      <c r="AS147" s="275">
        <f t="shared" si="400"/>
        <v>-9.5238095238095233E-2</v>
      </c>
      <c r="AT147" s="252">
        <f t="shared" si="400"/>
        <v>-7.8947368421052655E-2</v>
      </c>
      <c r="AU147" s="252">
        <f t="shared" si="400"/>
        <v>-8.6956521739130488E-2</v>
      </c>
      <c r="AV147" s="276">
        <f t="shared" ref="AV147" si="401">+AV146/AQ146-1</f>
        <v>2.6315789473684292E-2</v>
      </c>
      <c r="AW147" s="222">
        <f t="shared" ref="AW147" si="402">+AW146/AR146-1</f>
        <v>-6.0975609756097615E-2</v>
      </c>
      <c r="AX147" s="275">
        <f>+AX59</f>
        <v>0.02</v>
      </c>
      <c r="AY147" s="252">
        <f>+AY59</f>
        <v>0.02</v>
      </c>
      <c r="AZ147" s="252">
        <f>+AZ59</f>
        <v>0.02</v>
      </c>
      <c r="BA147" s="276">
        <f>+BA59</f>
        <v>0.02</v>
      </c>
      <c r="BB147" s="222">
        <f>+BB146/AW146-1</f>
        <v>2.0000000000000018E-2</v>
      </c>
      <c r="BC147" s="275">
        <f>+BC59</f>
        <v>0.02</v>
      </c>
      <c r="BD147" s="252">
        <f>+BD59</f>
        <v>0.02</v>
      </c>
      <c r="BE147" s="252">
        <f>+BE59</f>
        <v>0.02</v>
      </c>
      <c r="BF147" s="276">
        <f>+BF59</f>
        <v>0.02</v>
      </c>
      <c r="BG147" s="222">
        <f>+BG146/BB146-1</f>
        <v>1.9999999999999796E-2</v>
      </c>
      <c r="BH147" s="275">
        <f>+BH59</f>
        <v>0.02</v>
      </c>
      <c r="BI147" s="252">
        <f>+BI59</f>
        <v>0.02</v>
      </c>
      <c r="BJ147" s="252">
        <f>+BJ59</f>
        <v>0.02</v>
      </c>
      <c r="BK147" s="276">
        <f>+BK59</f>
        <v>0.02</v>
      </c>
      <c r="BL147" s="222">
        <f>+BL146/BG146-1</f>
        <v>2.0000000000000018E-2</v>
      </c>
      <c r="BM147" s="275">
        <f>+BM59</f>
        <v>0.02</v>
      </c>
      <c r="BN147" s="252">
        <f>+BN59</f>
        <v>0.02</v>
      </c>
      <c r="BO147" s="252">
        <f>+BO59</f>
        <v>0.02</v>
      </c>
      <c r="BP147" s="276">
        <f>+BP59</f>
        <v>0.02</v>
      </c>
      <c r="BQ147" s="222">
        <f>+BQ146/BL146-1</f>
        <v>2.0000000000000018E-2</v>
      </c>
      <c r="BR147" s="223"/>
      <c r="BS147" s="223"/>
      <c r="BT147" s="223"/>
      <c r="BU147" s="223"/>
      <c r="BV147" s="223"/>
      <c r="BW147" s="223"/>
      <c r="BX147" s="223"/>
      <c r="BY147" s="223"/>
      <c r="BZ147" s="223"/>
      <c r="CA147" s="223"/>
      <c r="CB147" s="223"/>
      <c r="CC147" s="223"/>
      <c r="CD147" s="223"/>
      <c r="CE147" s="223"/>
      <c r="CF147" s="223"/>
      <c r="CG147" s="223"/>
      <c r="CH147" s="223"/>
      <c r="CI147" s="223"/>
      <c r="CJ147" s="223"/>
      <c r="CK147" s="223"/>
      <c r="CL147" s="223"/>
      <c r="CM147" s="223"/>
      <c r="CN147" s="223"/>
      <c r="CO147" s="223"/>
      <c r="CP147" s="223"/>
      <c r="CQ147" s="223"/>
      <c r="CR147" s="223"/>
      <c r="CS147" s="223"/>
      <c r="CT147" s="223"/>
      <c r="CU147" s="223"/>
    </row>
    <row r="148" spans="1:99" ht="12.75" customHeight="1">
      <c r="A148" s="28"/>
      <c r="B148" s="28"/>
      <c r="C148" s="28"/>
      <c r="D148" s="28"/>
      <c r="E148" s="415"/>
      <c r="F148" s="242"/>
      <c r="G148" s="242"/>
      <c r="H148" s="416"/>
      <c r="I148" s="23"/>
      <c r="J148" s="415"/>
      <c r="K148" s="242"/>
      <c r="L148" s="242"/>
      <c r="M148" s="416"/>
      <c r="N148" s="23"/>
      <c r="O148" s="415"/>
      <c r="P148" s="242"/>
      <c r="Q148" s="242"/>
      <c r="R148" s="416"/>
      <c r="S148" s="23"/>
      <c r="T148" s="415"/>
      <c r="U148" s="242"/>
      <c r="V148" s="242"/>
      <c r="W148" s="416"/>
      <c r="X148" s="23"/>
      <c r="Y148" s="415"/>
      <c r="Z148" s="242"/>
      <c r="AA148" s="242"/>
      <c r="AB148" s="416"/>
      <c r="AC148" s="23"/>
      <c r="AD148" s="415"/>
      <c r="AE148" s="242"/>
      <c r="AF148" s="242"/>
      <c r="AG148" s="416"/>
      <c r="AH148" s="23"/>
      <c r="AI148" s="415"/>
      <c r="AJ148" s="242"/>
      <c r="AK148" s="242"/>
      <c r="AL148" s="416"/>
      <c r="AM148" s="23"/>
      <c r="AN148" s="415"/>
      <c r="AO148" s="242"/>
      <c r="AP148" s="242"/>
      <c r="AQ148" s="416"/>
      <c r="AR148" s="23"/>
      <c r="AS148" s="415"/>
      <c r="AT148" s="242"/>
      <c r="AU148" s="242"/>
      <c r="AV148" s="416"/>
      <c r="AW148" s="23"/>
      <c r="AX148" s="415"/>
      <c r="AY148" s="242"/>
      <c r="AZ148" s="242"/>
      <c r="BA148" s="416"/>
      <c r="BB148" s="23"/>
      <c r="BC148" s="415"/>
      <c r="BD148" s="242"/>
      <c r="BE148" s="242"/>
      <c r="BF148" s="416"/>
      <c r="BG148" s="23"/>
      <c r="BH148" s="415"/>
      <c r="BI148" s="242"/>
      <c r="BJ148" s="242"/>
      <c r="BK148" s="416"/>
      <c r="BL148" s="23"/>
      <c r="BM148" s="415"/>
      <c r="BN148" s="242"/>
      <c r="BO148" s="242"/>
      <c r="BP148" s="416"/>
      <c r="BQ148" s="23"/>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row>
    <row r="149" spans="1:99" ht="12.75" customHeight="1">
      <c r="A149" s="28"/>
      <c r="B149" s="28"/>
      <c r="C149" s="28"/>
      <c r="D149" s="28"/>
      <c r="E149" s="415"/>
      <c r="F149" s="242"/>
      <c r="G149" s="242"/>
      <c r="H149" s="416"/>
      <c r="I149" s="23"/>
      <c r="J149" s="415"/>
      <c r="K149" s="242"/>
      <c r="L149" s="242"/>
      <c r="M149" s="416"/>
      <c r="N149" s="23"/>
      <c r="O149" s="415"/>
      <c r="P149" s="242"/>
      <c r="Q149" s="242"/>
      <c r="R149" s="416"/>
      <c r="S149" s="23"/>
      <c r="T149" s="415"/>
      <c r="U149" s="242"/>
      <c r="V149" s="242"/>
      <c r="W149" s="416"/>
      <c r="X149" s="23"/>
      <c r="Y149" s="415"/>
      <c r="Z149" s="242"/>
      <c r="AA149" s="242"/>
      <c r="AB149" s="416"/>
      <c r="AC149" s="23"/>
      <c r="AD149" s="415"/>
      <c r="AE149" s="242"/>
      <c r="AF149" s="242"/>
      <c r="AG149" s="416"/>
      <c r="AH149" s="23"/>
      <c r="AI149" s="415"/>
      <c r="AJ149" s="242"/>
      <c r="AK149" s="242"/>
      <c r="AL149" s="416"/>
      <c r="AM149" s="23"/>
      <c r="AN149" s="415"/>
      <c r="AO149" s="242"/>
      <c r="AP149" s="242"/>
      <c r="AQ149" s="416"/>
      <c r="AR149" s="23"/>
      <c r="AS149" s="415"/>
      <c r="AT149" s="242"/>
      <c r="AU149" s="242"/>
      <c r="AV149" s="416"/>
      <c r="AW149" s="23"/>
      <c r="AX149" s="415"/>
      <c r="AY149" s="242"/>
      <c r="AZ149" s="242"/>
      <c r="BA149" s="416"/>
      <c r="BB149" s="23"/>
      <c r="BC149" s="415"/>
      <c r="BD149" s="242"/>
      <c r="BE149" s="242"/>
      <c r="BF149" s="416"/>
      <c r="BG149" s="23"/>
      <c r="BH149" s="415"/>
      <c r="BI149" s="242"/>
      <c r="BJ149" s="242"/>
      <c r="BK149" s="416"/>
      <c r="BL149" s="23"/>
      <c r="BM149" s="415"/>
      <c r="BN149" s="242"/>
      <c r="BO149" s="242"/>
      <c r="BP149" s="416"/>
      <c r="BQ149" s="23"/>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row>
    <row r="150" spans="1:99" ht="12.75" customHeight="1">
      <c r="A150" s="28"/>
      <c r="B150" s="73" t="s">
        <v>273</v>
      </c>
      <c r="C150" s="246"/>
      <c r="D150" s="15"/>
      <c r="E150" s="415"/>
      <c r="F150" s="242"/>
      <c r="G150" s="242"/>
      <c r="H150" s="416"/>
      <c r="I150" s="23"/>
      <c r="J150" s="415"/>
      <c r="K150" s="242"/>
      <c r="L150" s="242"/>
      <c r="M150" s="416"/>
      <c r="N150" s="23"/>
      <c r="O150" s="415"/>
      <c r="P150" s="242"/>
      <c r="Q150" s="242"/>
      <c r="R150" s="416"/>
      <c r="S150" s="23"/>
      <c r="T150" s="415"/>
      <c r="U150" s="242"/>
      <c r="V150" s="242"/>
      <c r="W150" s="416"/>
      <c r="X150" s="23"/>
      <c r="Y150" s="415"/>
      <c r="Z150" s="242"/>
      <c r="AA150" s="242"/>
      <c r="AB150" s="416"/>
      <c r="AC150" s="23"/>
      <c r="AD150" s="415"/>
      <c r="AE150" s="242"/>
      <c r="AF150" s="242"/>
      <c r="AG150" s="416"/>
      <c r="AH150" s="23"/>
      <c r="AI150" s="415"/>
      <c r="AJ150" s="242"/>
      <c r="AK150" s="242"/>
      <c r="AL150" s="416"/>
      <c r="AM150" s="23"/>
      <c r="AN150" s="415"/>
      <c r="AO150" s="242"/>
      <c r="AP150" s="242"/>
      <c r="AQ150" s="416"/>
      <c r="AR150" s="23"/>
      <c r="AS150" s="415"/>
      <c r="AT150" s="242"/>
      <c r="AU150" s="242"/>
      <c r="AV150" s="416"/>
      <c r="AW150" s="23"/>
      <c r="AX150" s="415"/>
      <c r="AY150" s="242"/>
      <c r="AZ150" s="242"/>
      <c r="BA150" s="416"/>
      <c r="BB150" s="23"/>
      <c r="BC150" s="415"/>
      <c r="BD150" s="242"/>
      <c r="BE150" s="242"/>
      <c r="BF150" s="416"/>
      <c r="BG150" s="23"/>
      <c r="BH150" s="415"/>
      <c r="BI150" s="242"/>
      <c r="BJ150" s="242"/>
      <c r="BK150" s="416"/>
      <c r="BL150" s="23"/>
      <c r="BM150" s="415"/>
      <c r="BN150" s="242"/>
      <c r="BO150" s="242"/>
      <c r="BP150" s="416"/>
      <c r="BQ150" s="23"/>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row>
    <row r="151" spans="1:99" ht="12.75" customHeight="1">
      <c r="A151" s="28"/>
      <c r="B151" s="28"/>
      <c r="C151" s="28"/>
      <c r="D151" s="28"/>
      <c r="E151" s="415"/>
      <c r="F151" s="242"/>
      <c r="G151" s="242"/>
      <c r="H151" s="416"/>
      <c r="I151" s="23"/>
      <c r="J151" s="415"/>
      <c r="K151" s="242"/>
      <c r="L151" s="242"/>
      <c r="M151" s="416"/>
      <c r="N151" s="23"/>
      <c r="O151" s="415"/>
      <c r="P151" s="242"/>
      <c r="Q151" s="242"/>
      <c r="R151" s="416"/>
      <c r="S151" s="23"/>
      <c r="T151" s="415"/>
      <c r="U151" s="242"/>
      <c r="V151" s="242"/>
      <c r="W151" s="416"/>
      <c r="X151" s="23"/>
      <c r="Y151" s="415"/>
      <c r="Z151" s="242"/>
      <c r="AA151" s="242"/>
      <c r="AB151" s="416"/>
      <c r="AC151" s="23"/>
      <c r="AD151" s="415"/>
      <c r="AE151" s="242"/>
      <c r="AF151" s="242"/>
      <c r="AG151" s="416"/>
      <c r="AH151" s="23"/>
      <c r="AI151" s="415"/>
      <c r="AJ151" s="242"/>
      <c r="AK151" s="242"/>
      <c r="AL151" s="416"/>
      <c r="AM151" s="23"/>
      <c r="AN151" s="415"/>
      <c r="AO151" s="242"/>
      <c r="AP151" s="242"/>
      <c r="AQ151" s="416"/>
      <c r="AR151" s="23"/>
      <c r="AS151" s="415"/>
      <c r="AT151" s="242"/>
      <c r="AU151" s="242"/>
      <c r="AV151" s="416"/>
      <c r="AW151" s="23"/>
      <c r="AX151" s="415"/>
      <c r="AY151" s="242"/>
      <c r="AZ151" s="242"/>
      <c r="BA151" s="416"/>
      <c r="BB151" s="23"/>
      <c r="BC151" s="415"/>
      <c r="BD151" s="242"/>
      <c r="BE151" s="242"/>
      <c r="BF151" s="416"/>
      <c r="BG151" s="23"/>
      <c r="BH151" s="415"/>
      <c r="BI151" s="242"/>
      <c r="BJ151" s="242"/>
      <c r="BK151" s="416"/>
      <c r="BL151" s="23"/>
      <c r="BM151" s="415"/>
      <c r="BN151" s="242"/>
      <c r="BO151" s="242"/>
      <c r="BP151" s="416"/>
      <c r="BQ151" s="23"/>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row>
    <row r="152" spans="1:99" ht="12.75" customHeight="1">
      <c r="A152" s="45"/>
      <c r="B152" s="45"/>
      <c r="C152" s="383" t="s">
        <v>141</v>
      </c>
      <c r="D152" s="45"/>
      <c r="E152" s="335">
        <f>5122+E153-E156</f>
        <v>7370</v>
      </c>
      <c r="F152" s="336">
        <f>5166+F153-F156</f>
        <v>7442</v>
      </c>
      <c r="G152" s="336">
        <f>5207+G153-G156</f>
        <v>7510</v>
      </c>
      <c r="H152" s="586">
        <f>I152</f>
        <v>7622</v>
      </c>
      <c r="I152" s="427">
        <f>7739-I156</f>
        <v>7622</v>
      </c>
      <c r="J152" s="335">
        <f>5354+J153-J156</f>
        <v>7579</v>
      </c>
      <c r="K152" s="336">
        <f>5421+K153-K156</f>
        <v>7678</v>
      </c>
      <c r="L152" s="336">
        <f>5502+L153-L156</f>
        <v>7777</v>
      </c>
      <c r="M152" s="586">
        <f>N152</f>
        <v>7920</v>
      </c>
      <c r="N152" s="427">
        <f>8151-N156</f>
        <v>7920</v>
      </c>
      <c r="O152" s="335">
        <f>5675+O153-O156</f>
        <v>8155</v>
      </c>
      <c r="P152" s="336">
        <f>5730+P153-P156</f>
        <v>8242</v>
      </c>
      <c r="Q152" s="336">
        <f>5796+Q153-Q156</f>
        <v>8337</v>
      </c>
      <c r="R152" s="586">
        <f>S152</f>
        <v>8453</v>
      </c>
      <c r="S152" s="427">
        <f>8536-S156</f>
        <v>8453</v>
      </c>
      <c r="T152" s="335">
        <f>5924+T153-T156</f>
        <v>8539</v>
      </c>
      <c r="U152" s="336">
        <f>5960+U153-U156</f>
        <v>8615</v>
      </c>
      <c r="V152" s="336">
        <f>5996+V153-V156</f>
        <v>8685</v>
      </c>
      <c r="W152" s="586">
        <f>X152</f>
        <v>8799</v>
      </c>
      <c r="X152" s="427">
        <f>6078+X153-X156</f>
        <v>8799</v>
      </c>
      <c r="Y152" s="335">
        <f>6141+Y153-Y156</f>
        <v>8905</v>
      </c>
      <c r="Z152" s="336">
        <f>6207+Z153-Z156</f>
        <v>9005</v>
      </c>
      <c r="AA152" s="1435">
        <f>6270+AA153-AA156</f>
        <v>9108</v>
      </c>
      <c r="AB152" s="1436">
        <f>AC152</f>
        <v>9218</v>
      </c>
      <c r="AC152" s="1437">
        <f>6384+AC153-AC156</f>
        <v>9218</v>
      </c>
      <c r="AD152" s="335">
        <f>6480+AD153-AD156</f>
        <v>9337</v>
      </c>
      <c r="AE152" s="336">
        <f>6545+AE153-AE156</f>
        <v>9413</v>
      </c>
      <c r="AF152" s="1435">
        <f>6648+AF153-AF156</f>
        <v>9519</v>
      </c>
      <c r="AG152" s="1436">
        <f>AH152</f>
        <v>9564</v>
      </c>
      <c r="AH152" s="1437">
        <f>6801+AH153-AH156</f>
        <v>9564</v>
      </c>
      <c r="AI152" s="335">
        <f>6867+AI153-AI156</f>
        <v>9702</v>
      </c>
      <c r="AJ152" s="336">
        <f>6957+AJ153-AJ156</f>
        <v>9831</v>
      </c>
      <c r="AK152" s="1435">
        <f>7027+AK153-AK156</f>
        <v>9931</v>
      </c>
      <c r="AL152" s="1436">
        <f>AM152</f>
        <v>10088</v>
      </c>
      <c r="AM152" s="1437">
        <f>7141+AM153-AM156</f>
        <v>10088</v>
      </c>
      <c r="AN152" s="335">
        <f>7209+AN153-AN156</f>
        <v>10160</v>
      </c>
      <c r="AO152" s="336">
        <f>7303+AO153-AO156</f>
        <v>10300</v>
      </c>
      <c r="AP152" s="1435">
        <f>7400+AP153-AP156</f>
        <v>10425</v>
      </c>
      <c r="AQ152" s="1436">
        <f>AR152</f>
        <v>10630</v>
      </c>
      <c r="AR152" s="1437">
        <f>7565+AR153-AR156</f>
        <v>10630</v>
      </c>
      <c r="AS152" s="335">
        <f>7659+AS153-AS156</f>
        <v>10698</v>
      </c>
      <c r="AT152" s="336">
        <f>7758+AT153-AT156</f>
        <v>10834</v>
      </c>
      <c r="AU152" s="336">
        <f>7875+AU153-AU156</f>
        <v>10987</v>
      </c>
      <c r="AV152" s="1436">
        <f>AW152</f>
        <v>11210</v>
      </c>
      <c r="AW152" s="1437">
        <f>8053+AW153-AW156</f>
        <v>11210</v>
      </c>
      <c r="AX152" s="290">
        <f>AW152+AX170-(AX156-AW156)</f>
        <v>11386.4043715847</v>
      </c>
      <c r="AY152" s="260">
        <f>AX152+AY170-(AY156-AX156)</f>
        <v>11586.4043715847</v>
      </c>
      <c r="AZ152" s="260">
        <f>AY152+AZ170-(AZ156-AY156)</f>
        <v>11786.4043715847</v>
      </c>
      <c r="BA152" s="291">
        <f>AZ152+BA170-(BA156-AZ156)</f>
        <v>11986.4043715847</v>
      </c>
      <c r="BB152" s="45">
        <f>BA152</f>
        <v>11986.4043715847</v>
      </c>
      <c r="BC152" s="290">
        <f>BB152+BC170-(BC156-BB156)</f>
        <v>12181.554644808744</v>
      </c>
      <c r="BD152" s="260">
        <f>BC152+BD170-(BD156-BC156)</f>
        <v>12394.054644808744</v>
      </c>
      <c r="BE152" s="260">
        <f>BD152+BE170-(BE156-BD156)</f>
        <v>12606.554644808744</v>
      </c>
      <c r="BF152" s="291">
        <f>BE152+BF170-(BF156-BE156)</f>
        <v>12819.054644808744</v>
      </c>
      <c r="BG152" s="45">
        <f>BF152</f>
        <v>12819.054644808744</v>
      </c>
      <c r="BH152" s="290">
        <f>BG152+BH170-(BH156-BG156)</f>
        <v>13020.1893715847</v>
      </c>
      <c r="BI152" s="260">
        <f>BH152+BI170-(BI156-BH156)</f>
        <v>13203.9743715847</v>
      </c>
      <c r="BJ152" s="260">
        <f>BI152+BJ170-(BJ156-BI156)</f>
        <v>13387.7593715847</v>
      </c>
      <c r="BK152" s="291">
        <f>BJ152+BK170-(BK156-BJ156)</f>
        <v>13571.5443715847</v>
      </c>
      <c r="BL152" s="45">
        <f>BK152</f>
        <v>13571.5443715847</v>
      </c>
      <c r="BM152" s="290">
        <f>BL152+BM170-(BM156-BL156)</f>
        <v>13755.329371584699</v>
      </c>
      <c r="BN152" s="260">
        <f>BM152+BN170-(BN156-BM156)</f>
        <v>13939.114371584699</v>
      </c>
      <c r="BO152" s="260">
        <f>BN152+BO170-(BO156-BN156)</f>
        <v>14122.899371584699</v>
      </c>
      <c r="BP152" s="291">
        <f>BO152+BP170-(BP156-BO156)</f>
        <v>14306.684371584699</v>
      </c>
      <c r="BQ152" s="45">
        <f>BP152</f>
        <v>14306.684371584699</v>
      </c>
      <c r="BR152" s="45"/>
      <c r="BS152" s="45"/>
      <c r="BT152" s="45"/>
      <c r="BU152" s="45"/>
      <c r="BV152" s="45"/>
      <c r="BW152" s="45"/>
      <c r="BX152" s="45"/>
      <c r="BY152" s="45"/>
      <c r="BZ152" s="45"/>
      <c r="CA152" s="45"/>
      <c r="CB152" s="45"/>
      <c r="CC152" s="45"/>
      <c r="CD152" s="45"/>
      <c r="CE152" s="45"/>
      <c r="CF152" s="45"/>
      <c r="CG152" s="45"/>
      <c r="CH152" s="45"/>
      <c r="CI152" s="45"/>
      <c r="CJ152" s="45"/>
      <c r="CK152" s="45"/>
      <c r="CL152" s="45"/>
      <c r="CM152" s="45"/>
      <c r="CN152" s="45"/>
      <c r="CO152" s="45"/>
      <c r="CP152" s="45"/>
      <c r="CQ152" s="45"/>
      <c r="CR152" s="45"/>
      <c r="CS152" s="45"/>
      <c r="CT152" s="45"/>
      <c r="CU152" s="45"/>
    </row>
    <row r="153" spans="1:99" ht="12.75" customHeight="1">
      <c r="A153" s="45"/>
      <c r="B153" s="45"/>
      <c r="C153" s="383" t="s">
        <v>396</v>
      </c>
      <c r="D153" s="45"/>
      <c r="E153" s="335">
        <v>2365</v>
      </c>
      <c r="F153" s="336">
        <v>2393</v>
      </c>
      <c r="G153" s="336">
        <v>2420</v>
      </c>
      <c r="H153" s="299">
        <f>I153</f>
        <v>2442</v>
      </c>
      <c r="I153" s="645">
        <v>2442</v>
      </c>
      <c r="J153" s="335">
        <v>2456</v>
      </c>
      <c r="K153" s="336">
        <v>2488</v>
      </c>
      <c r="L153" s="336">
        <v>2506</v>
      </c>
      <c r="M153" s="299">
        <f>N153</f>
        <v>2531</v>
      </c>
      <c r="N153" s="645">
        <v>2531</v>
      </c>
      <c r="O153" s="335">
        <v>2563</v>
      </c>
      <c r="P153" s="336">
        <v>2595</v>
      </c>
      <c r="Q153" s="336">
        <v>2624</v>
      </c>
      <c r="R153" s="299">
        <f>S153</f>
        <v>2662</v>
      </c>
      <c r="S153" s="645">
        <v>2662</v>
      </c>
      <c r="T153" s="335">
        <v>2691</v>
      </c>
      <c r="U153" s="336">
        <v>2731</v>
      </c>
      <c r="V153" s="336">
        <v>2765</v>
      </c>
      <c r="W153" s="299">
        <f>X153</f>
        <v>2797</v>
      </c>
      <c r="X153" s="645">
        <v>2797</v>
      </c>
      <c r="Y153" s="335">
        <v>2840</v>
      </c>
      <c r="Z153" s="336">
        <v>2874</v>
      </c>
      <c r="AA153" s="1435">
        <v>2914</v>
      </c>
      <c r="AB153" s="1442">
        <f>AC153</f>
        <v>2935</v>
      </c>
      <c r="AC153" s="1453">
        <v>2935</v>
      </c>
      <c r="AD153" s="335">
        <v>2958</v>
      </c>
      <c r="AE153" s="336">
        <v>2969</v>
      </c>
      <c r="AF153" s="1435">
        <v>2972</v>
      </c>
      <c r="AG153" s="1442">
        <f>AH153</f>
        <v>2917</v>
      </c>
      <c r="AH153" s="1453">
        <v>2917</v>
      </c>
      <c r="AI153" s="335">
        <v>2989</v>
      </c>
      <c r="AJ153" s="336">
        <v>3028</v>
      </c>
      <c r="AK153" s="1435">
        <v>3058</v>
      </c>
      <c r="AL153" s="1442">
        <f>AM153</f>
        <v>3101</v>
      </c>
      <c r="AM153" s="1453">
        <v>3101</v>
      </c>
      <c r="AN153" s="335">
        <v>3139</v>
      </c>
      <c r="AO153" s="336">
        <v>3185</v>
      </c>
      <c r="AP153" s="1435">
        <v>3213</v>
      </c>
      <c r="AQ153" s="1442">
        <f>AR153</f>
        <v>3253</v>
      </c>
      <c r="AR153" s="1453">
        <v>3253</v>
      </c>
      <c r="AS153" s="335">
        <v>3293</v>
      </c>
      <c r="AT153" s="336">
        <v>3330</v>
      </c>
      <c r="AU153" s="336">
        <v>3366</v>
      </c>
      <c r="AV153" s="1442">
        <f>AW153</f>
        <v>3411</v>
      </c>
      <c r="AW153" s="1453">
        <v>3411</v>
      </c>
      <c r="AX153" s="290">
        <f>AW153+AX160</f>
        <v>3477.7618677042801</v>
      </c>
      <c r="AY153" s="260">
        <f>AX153+AY160</f>
        <v>3545.4623093717391</v>
      </c>
      <c r="AZ153" s="260">
        <f>AY153+AZ160</f>
        <v>3614.2952764412667</v>
      </c>
      <c r="BA153" s="291">
        <f>AZ153+BA160</f>
        <v>3684.2510741428837</v>
      </c>
      <c r="BB153" s="45">
        <f>BA153</f>
        <v>3684.2510741428837</v>
      </c>
      <c r="BC153" s="290">
        <f>BB153+BC160</f>
        <v>3755.3200906968605</v>
      </c>
      <c r="BD153" s="260">
        <f>BC153+BD160</f>
        <v>3827.4512814324485</v>
      </c>
      <c r="BE153" s="260">
        <f>BD153+BE160</f>
        <v>3900.7840728699111</v>
      </c>
      <c r="BF153" s="291">
        <f>BE153+BF160</f>
        <v>3975.3081789332009</v>
      </c>
      <c r="BG153" s="45">
        <f>BF153</f>
        <v>3975.3081789332009</v>
      </c>
      <c r="BH153" s="290">
        <f>BG153+BH160</f>
        <v>4051.0134015982835</v>
      </c>
      <c r="BI153" s="260">
        <f>BH153+BI160</f>
        <v>4127.792339862759</v>
      </c>
      <c r="BJ153" s="260">
        <f>BI153+BJ160</f>
        <v>4205.4872833249701</v>
      </c>
      <c r="BK153" s="291">
        <f>BJ153+BK160</f>
        <v>4284.0903906952872</v>
      </c>
      <c r="BL153" s="45">
        <f>BK153</f>
        <v>4284.0903906952872</v>
      </c>
      <c r="BM153" s="290">
        <f>BL153+BM160</f>
        <v>4363.5938878079596</v>
      </c>
      <c r="BN153" s="260">
        <f>BM153+BN160</f>
        <v>4443.9900670465158</v>
      </c>
      <c r="BO153" s="260">
        <f>BN153+BO160</f>
        <v>4525.2712867740802</v>
      </c>
      <c r="BP153" s="291">
        <f>BO153+BP160</f>
        <v>4607.4299707685677</v>
      </c>
      <c r="BQ153" s="45">
        <f>BP153</f>
        <v>4607.4299707685677</v>
      </c>
      <c r="BR153" s="45"/>
      <c r="BS153" s="45"/>
      <c r="BT153" s="45"/>
      <c r="BU153" s="45"/>
      <c r="BV153" s="45"/>
      <c r="BW153" s="45"/>
      <c r="BX153" s="45"/>
      <c r="BY153" s="45"/>
      <c r="BZ153" s="45"/>
      <c r="CA153" s="45"/>
      <c r="CB153" s="45"/>
      <c r="CC153" s="45"/>
      <c r="CD153" s="45"/>
      <c r="CE153" s="45"/>
      <c r="CF153" s="45"/>
      <c r="CG153" s="45"/>
      <c r="CH153" s="45"/>
      <c r="CI153" s="45"/>
      <c r="CJ153" s="45"/>
      <c r="CK153" s="45"/>
      <c r="CL153" s="45"/>
      <c r="CM153" s="45"/>
      <c r="CN153" s="45"/>
      <c r="CO153" s="45"/>
      <c r="CP153" s="45"/>
      <c r="CQ153" s="45"/>
      <c r="CR153" s="45"/>
      <c r="CS153" s="45"/>
      <c r="CT153" s="45"/>
      <c r="CU153" s="45"/>
    </row>
    <row r="154" spans="1:99" ht="12.75" customHeight="1">
      <c r="A154" s="45"/>
      <c r="B154" s="45"/>
      <c r="C154" s="641" t="s">
        <v>142</v>
      </c>
      <c r="D154" s="45"/>
      <c r="E154" s="292">
        <f>E152-E153</f>
        <v>5005</v>
      </c>
      <c r="F154" s="261">
        <f t="shared" ref="F154:AE154" si="403">F152-F153</f>
        <v>5049</v>
      </c>
      <c r="G154" s="261">
        <f t="shared" si="403"/>
        <v>5090</v>
      </c>
      <c r="H154" s="293">
        <f t="shared" si="403"/>
        <v>5180</v>
      </c>
      <c r="I154" s="228">
        <f t="shared" si="403"/>
        <v>5180</v>
      </c>
      <c r="J154" s="292">
        <f t="shared" si="403"/>
        <v>5123</v>
      </c>
      <c r="K154" s="261">
        <f t="shared" si="403"/>
        <v>5190</v>
      </c>
      <c r="L154" s="261">
        <f t="shared" si="403"/>
        <v>5271</v>
      </c>
      <c r="M154" s="293">
        <f t="shared" si="403"/>
        <v>5389</v>
      </c>
      <c r="N154" s="228">
        <f t="shared" si="403"/>
        <v>5389</v>
      </c>
      <c r="O154" s="292">
        <f t="shared" si="403"/>
        <v>5592</v>
      </c>
      <c r="P154" s="261">
        <f t="shared" si="403"/>
        <v>5647</v>
      </c>
      <c r="Q154" s="261">
        <f t="shared" si="403"/>
        <v>5713</v>
      </c>
      <c r="R154" s="293">
        <f t="shared" si="403"/>
        <v>5791</v>
      </c>
      <c r="S154" s="228">
        <f t="shared" si="403"/>
        <v>5791</v>
      </c>
      <c r="T154" s="292">
        <f t="shared" si="403"/>
        <v>5848</v>
      </c>
      <c r="U154" s="261">
        <f t="shared" si="403"/>
        <v>5884</v>
      </c>
      <c r="V154" s="261">
        <f t="shared" si="403"/>
        <v>5920</v>
      </c>
      <c r="W154" s="293">
        <f t="shared" si="403"/>
        <v>6002</v>
      </c>
      <c r="X154" s="228">
        <f t="shared" si="403"/>
        <v>6002</v>
      </c>
      <c r="Y154" s="292">
        <f t="shared" si="403"/>
        <v>6065</v>
      </c>
      <c r="Z154" s="261">
        <f t="shared" si="403"/>
        <v>6131</v>
      </c>
      <c r="AA154" s="1438">
        <f t="shared" si="403"/>
        <v>6194</v>
      </c>
      <c r="AB154" s="1439">
        <f>AB152-AB153</f>
        <v>6283</v>
      </c>
      <c r="AC154" s="1440">
        <f>AC152-AC153</f>
        <v>6283</v>
      </c>
      <c r="AD154" s="292">
        <f t="shared" si="403"/>
        <v>6379</v>
      </c>
      <c r="AE154" s="261">
        <f t="shared" si="403"/>
        <v>6444</v>
      </c>
      <c r="AF154" s="1438">
        <f t="shared" ref="AF154" si="404">AF152-AF153</f>
        <v>6547</v>
      </c>
      <c r="AG154" s="1439">
        <f>AG152-AG153</f>
        <v>6647</v>
      </c>
      <c r="AH154" s="1440">
        <f>AH152-AH153</f>
        <v>6647</v>
      </c>
      <c r="AI154" s="292">
        <f t="shared" ref="AI154:AK154" si="405">AI152-AI153</f>
        <v>6713</v>
      </c>
      <c r="AJ154" s="261">
        <f t="shared" si="405"/>
        <v>6803</v>
      </c>
      <c r="AK154" s="1438">
        <f t="shared" si="405"/>
        <v>6873</v>
      </c>
      <c r="AL154" s="1439">
        <f>AL152-AL153</f>
        <v>6987</v>
      </c>
      <c r="AM154" s="1440">
        <f>AM152-AM153</f>
        <v>6987</v>
      </c>
      <c r="AN154" s="292">
        <f t="shared" ref="AN154:AP154" si="406">AN152-AN153</f>
        <v>7021</v>
      </c>
      <c r="AO154" s="261">
        <f t="shared" si="406"/>
        <v>7115</v>
      </c>
      <c r="AP154" s="1438">
        <f t="shared" si="406"/>
        <v>7212</v>
      </c>
      <c r="AQ154" s="1439">
        <f>AQ152-AQ153</f>
        <v>7377</v>
      </c>
      <c r="AR154" s="1440">
        <f>AR152-AR153</f>
        <v>7377</v>
      </c>
      <c r="AS154" s="292">
        <f t="shared" ref="AS154:BB154" si="407">AS152-AS153</f>
        <v>7405</v>
      </c>
      <c r="AT154" s="261">
        <f t="shared" si="407"/>
        <v>7504</v>
      </c>
      <c r="AU154" s="261">
        <f t="shared" si="407"/>
        <v>7621</v>
      </c>
      <c r="AV154" s="1439">
        <f>AV152-AV153</f>
        <v>7799</v>
      </c>
      <c r="AW154" s="1440">
        <f>AW152-AW153</f>
        <v>7799</v>
      </c>
      <c r="AX154" s="292">
        <f t="shared" si="407"/>
        <v>7908.64250388042</v>
      </c>
      <c r="AY154" s="261">
        <f t="shared" si="407"/>
        <v>8040.942062212961</v>
      </c>
      <c r="AZ154" s="261">
        <f t="shared" si="407"/>
        <v>8172.1090951434335</v>
      </c>
      <c r="BA154" s="293">
        <f t="shared" si="407"/>
        <v>8302.1532974418169</v>
      </c>
      <c r="BB154" s="228">
        <f t="shared" si="407"/>
        <v>8302.1532974418169</v>
      </c>
      <c r="BC154" s="292">
        <f t="shared" ref="BC154:BL154" si="408">BC152-BC153</f>
        <v>8426.2345541118848</v>
      </c>
      <c r="BD154" s="261">
        <f t="shared" si="408"/>
        <v>8566.6033633762963</v>
      </c>
      <c r="BE154" s="261">
        <f t="shared" si="408"/>
        <v>8705.7705719388323</v>
      </c>
      <c r="BF154" s="293">
        <f t="shared" si="408"/>
        <v>8843.7464658755434</v>
      </c>
      <c r="BG154" s="228">
        <f t="shared" si="408"/>
        <v>8843.7464658755434</v>
      </c>
      <c r="BH154" s="292">
        <f t="shared" si="408"/>
        <v>8969.175969986416</v>
      </c>
      <c r="BI154" s="261">
        <f t="shared" si="408"/>
        <v>9076.1820317219408</v>
      </c>
      <c r="BJ154" s="261">
        <f t="shared" si="408"/>
        <v>9182.2720882597296</v>
      </c>
      <c r="BK154" s="293">
        <f t="shared" si="408"/>
        <v>9287.4539808894115</v>
      </c>
      <c r="BL154" s="228">
        <f t="shared" si="408"/>
        <v>9287.4539808894115</v>
      </c>
      <c r="BM154" s="292">
        <f t="shared" ref="BM154:BQ154" si="409">BM152-BM153</f>
        <v>9391.7354837767398</v>
      </c>
      <c r="BN154" s="261">
        <f t="shared" si="409"/>
        <v>9495.1243045381834</v>
      </c>
      <c r="BO154" s="261">
        <f t="shared" si="409"/>
        <v>9597.628084810618</v>
      </c>
      <c r="BP154" s="293">
        <f t="shared" si="409"/>
        <v>9699.2544008161312</v>
      </c>
      <c r="BQ154" s="228">
        <f t="shared" si="409"/>
        <v>9699.2544008161312</v>
      </c>
      <c r="BR154" s="45"/>
      <c r="BS154" s="45"/>
      <c r="BT154" s="45"/>
      <c r="BU154" s="45"/>
      <c r="BV154" s="45"/>
      <c r="BW154" s="45"/>
      <c r="BX154" s="45"/>
      <c r="BY154" s="45"/>
      <c r="BZ154" s="45"/>
      <c r="CA154" s="45"/>
      <c r="CB154" s="45"/>
      <c r="CC154" s="45"/>
      <c r="CD154" s="45"/>
      <c r="CE154" s="45"/>
      <c r="CF154" s="45"/>
      <c r="CG154" s="45"/>
      <c r="CH154" s="45"/>
      <c r="CI154" s="45"/>
      <c r="CJ154" s="45"/>
      <c r="CK154" s="45"/>
      <c r="CL154" s="45"/>
      <c r="CM154" s="45"/>
      <c r="CN154" s="45"/>
      <c r="CO154" s="45"/>
      <c r="CP154" s="45"/>
      <c r="CQ154" s="45"/>
      <c r="CR154" s="45"/>
      <c r="CS154" s="45"/>
      <c r="CT154" s="45"/>
      <c r="CU154" s="45"/>
    </row>
    <row r="155" spans="1:99" ht="12.75" customHeight="1">
      <c r="A155" s="45"/>
      <c r="B155" s="45"/>
      <c r="C155" s="383"/>
      <c r="D155" s="45"/>
      <c r="E155" s="335"/>
      <c r="F155" s="336"/>
      <c r="G155" s="336"/>
      <c r="H155" s="299"/>
      <c r="I155" s="645"/>
      <c r="J155" s="335"/>
      <c r="K155" s="336"/>
      <c r="L155" s="336"/>
      <c r="M155" s="299"/>
      <c r="N155" s="645"/>
      <c r="O155" s="335"/>
      <c r="P155" s="336"/>
      <c r="Q155" s="646"/>
      <c r="R155" s="299"/>
      <c r="S155" s="645"/>
      <c r="T155" s="335"/>
      <c r="U155" s="336"/>
      <c r="V155" s="646"/>
      <c r="W155" s="299"/>
      <c r="X155" s="645"/>
      <c r="Y155" s="648"/>
      <c r="Z155" s="336"/>
      <c r="AA155" s="1435"/>
      <c r="AB155" s="1442"/>
      <c r="AC155" s="1453"/>
      <c r="AD155" s="648"/>
      <c r="AE155" s="336"/>
      <c r="AF155" s="1435"/>
      <c r="AG155" s="1442"/>
      <c r="AH155" s="1453"/>
      <c r="AI155" s="648"/>
      <c r="AJ155" s="336"/>
      <c r="AK155" s="1435"/>
      <c r="AL155" s="1442"/>
      <c r="AM155" s="1453"/>
      <c r="AN155" s="648"/>
      <c r="AO155" s="336"/>
      <c r="AP155" s="1435"/>
      <c r="AQ155" s="1442"/>
      <c r="AR155" s="1453"/>
      <c r="AS155" s="648"/>
      <c r="AT155" s="336"/>
      <c r="AU155" s="646"/>
      <c r="AV155" s="1442"/>
      <c r="AW155" s="1453"/>
      <c r="AX155" s="648"/>
      <c r="AY155" s="646"/>
      <c r="AZ155" s="646"/>
      <c r="BA155" s="586"/>
      <c r="BB155" s="647"/>
      <c r="BC155" s="648"/>
      <c r="BD155" s="646"/>
      <c r="BE155" s="646"/>
      <c r="BF155" s="586"/>
      <c r="BG155" s="647"/>
      <c r="BH155" s="648"/>
      <c r="BI155" s="646"/>
      <c r="BJ155" s="646"/>
      <c r="BK155" s="586"/>
      <c r="BL155" s="647"/>
      <c r="BM155" s="648"/>
      <c r="BN155" s="646"/>
      <c r="BO155" s="646"/>
      <c r="BP155" s="586"/>
      <c r="BQ155" s="647"/>
      <c r="BR155" s="45"/>
      <c r="BS155" s="45"/>
      <c r="BT155" s="45"/>
      <c r="BU155" s="45"/>
      <c r="BV155" s="45"/>
      <c r="BW155" s="45"/>
      <c r="BX155" s="45"/>
      <c r="BY155" s="45"/>
      <c r="BZ155" s="45"/>
      <c r="CA155" s="45"/>
      <c r="CB155" s="45"/>
      <c r="CC155" s="45"/>
      <c r="CD155" s="45"/>
      <c r="CE155" s="45"/>
      <c r="CF155" s="45"/>
      <c r="CG155" s="45"/>
      <c r="CH155" s="45"/>
      <c r="CI155" s="45"/>
      <c r="CJ155" s="45"/>
      <c r="CK155" s="45"/>
      <c r="CL155" s="45"/>
      <c r="CM155" s="45"/>
      <c r="CN155" s="45"/>
      <c r="CO155" s="45"/>
      <c r="CP155" s="45"/>
      <c r="CQ155" s="45"/>
      <c r="CR155" s="45"/>
      <c r="CS155" s="45"/>
      <c r="CT155" s="45"/>
      <c r="CU155" s="45"/>
    </row>
    <row r="156" spans="1:99" s="232" customFormat="1" ht="12.75" customHeight="1">
      <c r="A156" s="45"/>
      <c r="B156" s="45"/>
      <c r="C156" s="383" t="s">
        <v>476</v>
      </c>
      <c r="D156" s="427">
        <v>103</v>
      </c>
      <c r="E156" s="290">
        <f t="shared" ref="E156:L156" si="410">F156</f>
        <v>117</v>
      </c>
      <c r="F156" s="260">
        <f t="shared" si="410"/>
        <v>117</v>
      </c>
      <c r="G156" s="260">
        <f t="shared" si="410"/>
        <v>117</v>
      </c>
      <c r="H156" s="291">
        <f>I156</f>
        <v>117</v>
      </c>
      <c r="I156" s="645">
        <v>117</v>
      </c>
      <c r="J156" s="290">
        <f t="shared" si="410"/>
        <v>231</v>
      </c>
      <c r="K156" s="260">
        <f t="shared" si="410"/>
        <v>231</v>
      </c>
      <c r="L156" s="260">
        <f t="shared" si="410"/>
        <v>231</v>
      </c>
      <c r="M156" s="291">
        <f>N156</f>
        <v>231</v>
      </c>
      <c r="N156" s="645">
        <v>231</v>
      </c>
      <c r="O156" s="290">
        <f>P156</f>
        <v>83</v>
      </c>
      <c r="P156" s="260">
        <f>Q156</f>
        <v>83</v>
      </c>
      <c r="Q156" s="260">
        <f>R156</f>
        <v>83</v>
      </c>
      <c r="R156" s="291">
        <f>S156</f>
        <v>83</v>
      </c>
      <c r="S156" s="645">
        <v>83</v>
      </c>
      <c r="T156" s="290">
        <f>U156</f>
        <v>76</v>
      </c>
      <c r="U156" s="260">
        <f>V156</f>
        <v>76</v>
      </c>
      <c r="V156" s="260">
        <f>W156</f>
        <v>76</v>
      </c>
      <c r="W156" s="291">
        <f>X156</f>
        <v>76</v>
      </c>
      <c r="X156" s="645">
        <v>76</v>
      </c>
      <c r="Y156" s="648">
        <f>+X156</f>
        <v>76</v>
      </c>
      <c r="Z156" s="260">
        <f>+X156</f>
        <v>76</v>
      </c>
      <c r="AA156" s="1441">
        <f>+X156</f>
        <v>76</v>
      </c>
      <c r="AB156" s="1442">
        <f>AC156</f>
        <v>101</v>
      </c>
      <c r="AC156" s="1453">
        <v>101</v>
      </c>
      <c r="AD156" s="648">
        <f>+AC156</f>
        <v>101</v>
      </c>
      <c r="AE156" s="260">
        <f>+AC156</f>
        <v>101</v>
      </c>
      <c r="AF156" s="1441">
        <f>+AC156</f>
        <v>101</v>
      </c>
      <c r="AG156" s="1442">
        <f>AH156</f>
        <v>154</v>
      </c>
      <c r="AH156" s="1453">
        <v>154</v>
      </c>
      <c r="AI156" s="648">
        <f>+AM156</f>
        <v>154</v>
      </c>
      <c r="AJ156" s="1441">
        <f t="shared" ref="AJ156:AL156" si="411">AI156</f>
        <v>154</v>
      </c>
      <c r="AK156" s="1441">
        <f t="shared" si="411"/>
        <v>154</v>
      </c>
      <c r="AL156" s="1442">
        <f t="shared" si="411"/>
        <v>154</v>
      </c>
      <c r="AM156" s="1453">
        <v>154</v>
      </c>
      <c r="AN156" s="648">
        <f>AR156</f>
        <v>188</v>
      </c>
      <c r="AO156" s="1441">
        <f t="shared" ref="AO156:AP156" si="412">AN156</f>
        <v>188</v>
      </c>
      <c r="AP156" s="1441">
        <f t="shared" si="412"/>
        <v>188</v>
      </c>
      <c r="AQ156" s="1442">
        <f t="shared" ref="AQ156" si="413">AP156</f>
        <v>188</v>
      </c>
      <c r="AR156" s="1453">
        <v>188</v>
      </c>
      <c r="AS156" s="648">
        <f>+AW156</f>
        <v>254</v>
      </c>
      <c r="AT156" s="1441">
        <f t="shared" ref="AT156:AU156" si="414">AS156</f>
        <v>254</v>
      </c>
      <c r="AU156" s="1441">
        <f t="shared" si="414"/>
        <v>254</v>
      </c>
      <c r="AV156" s="1442">
        <f t="shared" ref="AV156" si="415">AU156</f>
        <v>254</v>
      </c>
      <c r="AW156" s="1453">
        <v>254</v>
      </c>
      <c r="AX156" s="648">
        <f>AX163*BB170</f>
        <v>277.59562841530055</v>
      </c>
      <c r="AY156" s="649">
        <f>AY163*BB170</f>
        <v>277.59562841530055</v>
      </c>
      <c r="AZ156" s="649">
        <f>AZ163*BB170</f>
        <v>277.59562841530055</v>
      </c>
      <c r="BA156" s="586">
        <f>+BA163*BB170</f>
        <v>277.59562841530055</v>
      </c>
      <c r="BB156" s="590">
        <f>BA156</f>
        <v>277.59562841530055</v>
      </c>
      <c r="BC156" s="648">
        <f>BC163*BG170</f>
        <v>294.94535519125685</v>
      </c>
      <c r="BD156" s="649">
        <f>BD163*BG170</f>
        <v>294.94535519125685</v>
      </c>
      <c r="BE156" s="649">
        <f>BE163*BG170</f>
        <v>294.94535519125685</v>
      </c>
      <c r="BF156" s="586">
        <f>+BF163*BG170</f>
        <v>294.94535519125685</v>
      </c>
      <c r="BG156" s="590">
        <f>BF156</f>
        <v>294.94535519125685</v>
      </c>
      <c r="BH156" s="648">
        <f>BH163*BL170</f>
        <v>277.59562841530061</v>
      </c>
      <c r="BI156" s="649">
        <f>BI163*BL170</f>
        <v>277.59562841530061</v>
      </c>
      <c r="BJ156" s="649">
        <f>BJ163*BL170</f>
        <v>277.59562841530061</v>
      </c>
      <c r="BK156" s="586">
        <f>+BK163*BL170</f>
        <v>277.59562841530061</v>
      </c>
      <c r="BL156" s="590">
        <f>BK156</f>
        <v>277.59562841530061</v>
      </c>
      <c r="BM156" s="648">
        <f>BM163*BQ170</f>
        <v>277.59562841530061</v>
      </c>
      <c r="BN156" s="649">
        <f>BN163*BQ170</f>
        <v>277.59562841530061</v>
      </c>
      <c r="BO156" s="649">
        <f>BO163*BQ170</f>
        <v>277.59562841530061</v>
      </c>
      <c r="BP156" s="586">
        <f>+BP163*BQ170</f>
        <v>277.59562841530061</v>
      </c>
      <c r="BQ156" s="590">
        <f>BP156</f>
        <v>277.59562841530061</v>
      </c>
      <c r="BR156" s="45"/>
      <c r="BS156" s="45"/>
      <c r="BT156" s="45"/>
      <c r="BU156" s="45"/>
      <c r="BV156" s="45"/>
      <c r="BW156" s="45"/>
      <c r="BX156" s="45"/>
      <c r="BY156" s="45"/>
      <c r="BZ156" s="45"/>
      <c r="CA156" s="45"/>
      <c r="CB156" s="45"/>
      <c r="CC156" s="45"/>
      <c r="CD156" s="45"/>
      <c r="CE156" s="45"/>
      <c r="CF156" s="45"/>
      <c r="CG156" s="45"/>
      <c r="CH156" s="45"/>
      <c r="CI156" s="45"/>
      <c r="CJ156" s="45"/>
      <c r="CK156" s="45"/>
      <c r="CL156" s="45"/>
      <c r="CM156" s="45"/>
      <c r="CN156" s="45"/>
      <c r="CO156" s="45"/>
      <c r="CP156" s="45"/>
      <c r="CQ156" s="45"/>
      <c r="CR156" s="45"/>
      <c r="CS156" s="45"/>
      <c r="CT156" s="45"/>
      <c r="CU156" s="45"/>
    </row>
    <row r="157" spans="1:99" ht="12.75" customHeight="1">
      <c r="A157" s="228"/>
      <c r="B157" s="228"/>
      <c r="C157" s="641"/>
      <c r="D157" s="228"/>
      <c r="E157" s="585"/>
      <c r="F157" s="343"/>
      <c r="G157" s="343"/>
      <c r="H157" s="293"/>
      <c r="I157" s="650"/>
      <c r="J157" s="585"/>
      <c r="K157" s="343"/>
      <c r="L157" s="343"/>
      <c r="M157" s="293"/>
      <c r="N157" s="650"/>
      <c r="O157" s="585"/>
      <c r="P157" s="343"/>
      <c r="Q157" s="581"/>
      <c r="R157" s="582"/>
      <c r="S157" s="583"/>
      <c r="T157" s="585"/>
      <c r="U157" s="343"/>
      <c r="V157" s="581"/>
      <c r="W157" s="582"/>
      <c r="X157" s="583"/>
      <c r="Y157" s="580"/>
      <c r="Z157" s="343"/>
      <c r="AA157" s="1462"/>
      <c r="AB157" s="1463"/>
      <c r="AC157" s="1464"/>
      <c r="AD157" s="580"/>
      <c r="AE157" s="343"/>
      <c r="AF157" s="1462"/>
      <c r="AG157" s="1463"/>
      <c r="AH157" s="1464"/>
      <c r="AI157" s="580"/>
      <c r="AJ157" s="343"/>
      <c r="AK157" s="1462"/>
      <c r="AL157" s="1463"/>
      <c r="AM157" s="1464"/>
      <c r="AN157" s="580"/>
      <c r="AO157" s="343"/>
      <c r="AP157" s="1462"/>
      <c r="AQ157" s="1463"/>
      <c r="AR157" s="1464"/>
      <c r="AS157" s="580"/>
      <c r="AT157" s="343"/>
      <c r="AU157" s="581"/>
      <c r="AV157" s="1463"/>
      <c r="AW157" s="1464"/>
      <c r="AX157" s="580"/>
      <c r="AY157" s="581"/>
      <c r="AZ157" s="581"/>
      <c r="BA157" s="582"/>
      <c r="BB157" s="583"/>
      <c r="BC157" s="580"/>
      <c r="BD157" s="581"/>
      <c r="BE157" s="581"/>
      <c r="BF157" s="582"/>
      <c r="BG157" s="583"/>
      <c r="BH157" s="580"/>
      <c r="BI157" s="581"/>
      <c r="BJ157" s="581"/>
      <c r="BK157" s="582"/>
      <c r="BL157" s="583"/>
      <c r="BM157" s="580"/>
      <c r="BN157" s="581"/>
      <c r="BO157" s="581"/>
      <c r="BP157" s="582"/>
      <c r="BQ157" s="583"/>
      <c r="BR157" s="228"/>
      <c r="BS157" s="228"/>
      <c r="BT157" s="228"/>
      <c r="BU157" s="228"/>
      <c r="BV157" s="228"/>
      <c r="BW157" s="228"/>
      <c r="BX157" s="228"/>
      <c r="BY157" s="228"/>
      <c r="BZ157" s="228"/>
      <c r="CA157" s="228"/>
      <c r="CB157" s="228"/>
      <c r="CC157" s="228"/>
      <c r="CD157" s="228"/>
      <c r="CE157" s="228"/>
      <c r="CF157" s="228"/>
      <c r="CG157" s="228"/>
      <c r="CH157" s="228"/>
      <c r="CI157" s="228"/>
      <c r="CJ157" s="228"/>
      <c r="CK157" s="228"/>
      <c r="CL157" s="228"/>
      <c r="CM157" s="228"/>
      <c r="CN157" s="228"/>
      <c r="CO157" s="228"/>
      <c r="CP157" s="228"/>
      <c r="CQ157" s="228"/>
      <c r="CR157" s="228"/>
      <c r="CS157" s="228"/>
      <c r="CT157" s="228"/>
      <c r="CU157" s="228"/>
    </row>
    <row r="158" spans="1:99" ht="12.75" customHeight="1">
      <c r="A158" s="228"/>
      <c r="B158" s="228"/>
      <c r="C158" s="641" t="s">
        <v>143</v>
      </c>
      <c r="D158" s="228"/>
      <c r="E158" s="292">
        <f t="shared" ref="E158:Q158" si="416">E193</f>
        <v>225</v>
      </c>
      <c r="F158" s="261">
        <f t="shared" si="416"/>
        <v>230</v>
      </c>
      <c r="G158" s="261">
        <f t="shared" si="416"/>
        <v>271</v>
      </c>
      <c r="H158" s="293">
        <f t="shared" si="416"/>
        <v>226</v>
      </c>
      <c r="I158" s="520">
        <f t="shared" si="416"/>
        <v>952</v>
      </c>
      <c r="J158" s="292">
        <f t="shared" si="416"/>
        <v>265</v>
      </c>
      <c r="K158" s="261">
        <f t="shared" si="416"/>
        <v>268</v>
      </c>
      <c r="L158" s="261">
        <f t="shared" si="416"/>
        <v>326</v>
      </c>
      <c r="M158" s="293">
        <f t="shared" si="416"/>
        <v>201</v>
      </c>
      <c r="N158" s="520">
        <f t="shared" si="416"/>
        <v>1060</v>
      </c>
      <c r="O158" s="292">
        <f t="shared" si="416"/>
        <v>48</v>
      </c>
      <c r="P158" s="261">
        <f t="shared" si="416"/>
        <v>50</v>
      </c>
      <c r="Q158" s="581">
        <f t="shared" si="416"/>
        <v>52</v>
      </c>
      <c r="R158" s="293">
        <f t="shared" ref="R158:X158" si="417">R193</f>
        <v>52</v>
      </c>
      <c r="S158" s="520">
        <f t="shared" si="417"/>
        <v>202</v>
      </c>
      <c r="T158" s="292">
        <f t="shared" si="417"/>
        <v>53</v>
      </c>
      <c r="U158" s="261">
        <f t="shared" si="417"/>
        <v>54</v>
      </c>
      <c r="V158" s="581">
        <f t="shared" si="417"/>
        <v>54</v>
      </c>
      <c r="W158" s="293">
        <f t="shared" si="417"/>
        <v>56</v>
      </c>
      <c r="X158" s="520">
        <f t="shared" si="417"/>
        <v>217</v>
      </c>
      <c r="Y158" s="292">
        <f t="shared" ref="Y158:AD158" si="418">Y193</f>
        <v>57</v>
      </c>
      <c r="Z158" s="261">
        <f t="shared" si="418"/>
        <v>56</v>
      </c>
      <c r="AA158" s="1438">
        <f t="shared" si="418"/>
        <v>58</v>
      </c>
      <c r="AB158" s="1439">
        <f t="shared" si="418"/>
        <v>57</v>
      </c>
      <c r="AC158" s="1465">
        <f t="shared" si="418"/>
        <v>228</v>
      </c>
      <c r="AD158" s="292">
        <f t="shared" si="418"/>
        <v>58</v>
      </c>
      <c r="AE158" s="261">
        <f>AE193</f>
        <v>59</v>
      </c>
      <c r="AF158" s="1438">
        <f t="shared" ref="AF158:AI158" si="419">AF193</f>
        <v>59</v>
      </c>
      <c r="AG158" s="1439">
        <f t="shared" si="419"/>
        <v>60</v>
      </c>
      <c r="AH158" s="1465">
        <f t="shared" si="419"/>
        <v>236</v>
      </c>
      <c r="AI158" s="292">
        <f t="shared" si="419"/>
        <v>62</v>
      </c>
      <c r="AJ158" s="261">
        <f>AJ193</f>
        <v>69</v>
      </c>
      <c r="AK158" s="1438">
        <f t="shared" ref="AK158:AN158" si="420">AK193</f>
        <v>67</v>
      </c>
      <c r="AL158" s="1439">
        <f t="shared" si="420"/>
        <v>62</v>
      </c>
      <c r="AM158" s="1465">
        <f t="shared" si="420"/>
        <v>260</v>
      </c>
      <c r="AN158" s="292">
        <f t="shared" si="420"/>
        <v>67</v>
      </c>
      <c r="AO158" s="261">
        <f>AO193</f>
        <v>67</v>
      </c>
      <c r="AP158" s="1438">
        <f t="shared" ref="AP158:AS158" si="421">AP193</f>
        <v>67</v>
      </c>
      <c r="AQ158" s="1439">
        <f t="shared" si="421"/>
        <v>69</v>
      </c>
      <c r="AR158" s="1465">
        <f t="shared" si="421"/>
        <v>270</v>
      </c>
      <c r="AS158" s="292">
        <f t="shared" si="421"/>
        <v>71</v>
      </c>
      <c r="AT158" s="261">
        <f>AT193</f>
        <v>70</v>
      </c>
      <c r="AU158" s="261">
        <f>AU193</f>
        <v>72</v>
      </c>
      <c r="AV158" s="1439">
        <f t="shared" ref="AV158:AW158" si="422">AV193</f>
        <v>73</v>
      </c>
      <c r="AW158" s="1465">
        <f t="shared" si="422"/>
        <v>286</v>
      </c>
      <c r="AX158" s="580">
        <f t="shared" ref="AX158:BB158" si="423">+AX160+AX159</f>
        <v>66.761867704280164</v>
      </c>
      <c r="AY158" s="581">
        <f t="shared" si="423"/>
        <v>67.700441667458861</v>
      </c>
      <c r="AZ158" s="581">
        <f t="shared" si="423"/>
        <v>68.832967069527299</v>
      </c>
      <c r="BA158" s="582">
        <f t="shared" si="423"/>
        <v>69.955797701616945</v>
      </c>
      <c r="BB158" s="583">
        <f t="shared" si="423"/>
        <v>273.25107414288323</v>
      </c>
      <c r="BC158" s="580">
        <f t="shared" ref="BC158:BL158" si="424">+BC160+BC159</f>
        <v>71.069016553976653</v>
      </c>
      <c r="BD158" s="581">
        <f t="shared" si="424"/>
        <v>72.13119073558812</v>
      </c>
      <c r="BE158" s="581">
        <f t="shared" si="424"/>
        <v>73.332791437462461</v>
      </c>
      <c r="BF158" s="582">
        <f t="shared" si="424"/>
        <v>74.524106063289622</v>
      </c>
      <c r="BG158" s="583">
        <f t="shared" si="424"/>
        <v>291.05710479031688</v>
      </c>
      <c r="BH158" s="580">
        <f t="shared" si="424"/>
        <v>75.705222665082474</v>
      </c>
      <c r="BI158" s="581">
        <f t="shared" si="424"/>
        <v>76.778938264475158</v>
      </c>
      <c r="BJ158" s="581">
        <f t="shared" si="424"/>
        <v>77.694943462211171</v>
      </c>
      <c r="BK158" s="582">
        <f t="shared" si="424"/>
        <v>78.603107370316764</v>
      </c>
      <c r="BL158" s="583">
        <f t="shared" si="424"/>
        <v>308.78221176208558</v>
      </c>
      <c r="BM158" s="580">
        <f t="shared" ref="BM158:BQ158" si="425">+BM160+BM159</f>
        <v>79.503497112672008</v>
      </c>
      <c r="BN158" s="581">
        <f t="shared" si="425"/>
        <v>80.39617923855576</v>
      </c>
      <c r="BO158" s="581">
        <f t="shared" si="425"/>
        <v>81.281219727564221</v>
      </c>
      <c r="BP158" s="582">
        <f t="shared" si="425"/>
        <v>82.158683994487788</v>
      </c>
      <c r="BQ158" s="583">
        <f t="shared" si="425"/>
        <v>323.33958007327976</v>
      </c>
      <c r="BR158" s="228"/>
      <c r="BS158" s="228"/>
      <c r="BT158" s="228"/>
      <c r="BU158" s="228"/>
      <c r="BV158" s="228"/>
      <c r="BW158" s="228"/>
      <c r="BX158" s="228"/>
      <c r="BY158" s="228"/>
      <c r="BZ158" s="228"/>
      <c r="CA158" s="228"/>
      <c r="CB158" s="228"/>
      <c r="CC158" s="228"/>
      <c r="CD158" s="228"/>
      <c r="CE158" s="228"/>
      <c r="CF158" s="228"/>
      <c r="CG158" s="228"/>
      <c r="CH158" s="228"/>
      <c r="CI158" s="228"/>
      <c r="CJ158" s="228"/>
      <c r="CK158" s="228"/>
      <c r="CL158" s="228"/>
      <c r="CM158" s="228"/>
      <c r="CN158" s="228"/>
      <c r="CO158" s="228"/>
      <c r="CP158" s="228"/>
      <c r="CQ158" s="228"/>
      <c r="CR158" s="228"/>
      <c r="CS158" s="228"/>
      <c r="CT158" s="228"/>
      <c r="CU158" s="228"/>
    </row>
    <row r="159" spans="1:99" s="232" customFormat="1" ht="12.75" customHeight="1">
      <c r="A159" s="45"/>
      <c r="B159" s="45"/>
      <c r="C159" s="383" t="s">
        <v>711</v>
      </c>
      <c r="D159" s="45"/>
      <c r="E159" s="290">
        <f>I159/4</f>
        <v>196.75</v>
      </c>
      <c r="F159" s="260">
        <f>I159/4</f>
        <v>196.75</v>
      </c>
      <c r="G159" s="260">
        <f>I159/4</f>
        <v>196.75</v>
      </c>
      <c r="H159" s="291">
        <f>I159/4</f>
        <v>196.75</v>
      </c>
      <c r="I159" s="645">
        <f>885-98</f>
        <v>787</v>
      </c>
      <c r="J159" s="290">
        <f>N159/4</f>
        <v>221.25</v>
      </c>
      <c r="K159" s="260">
        <f>N159/4</f>
        <v>221.25</v>
      </c>
      <c r="L159" s="260">
        <f>N159/4</f>
        <v>221.25</v>
      </c>
      <c r="M159" s="291">
        <f>N159/4</f>
        <v>221.25</v>
      </c>
      <c r="N159" s="645">
        <v>885</v>
      </c>
      <c r="O159" s="290">
        <f>S159/4</f>
        <v>0</v>
      </c>
      <c r="P159" s="260">
        <f>S159/4</f>
        <v>0</v>
      </c>
      <c r="Q159" s="260">
        <f>S159/4</f>
        <v>0</v>
      </c>
      <c r="R159" s="291">
        <f>S159/4</f>
        <v>0</v>
      </c>
      <c r="S159" s="645">
        <v>0</v>
      </c>
      <c r="T159" s="290">
        <f>X159/4</f>
        <v>0</v>
      </c>
      <c r="U159" s="260">
        <f>X159/4</f>
        <v>0</v>
      </c>
      <c r="V159" s="260">
        <f>X159/4</f>
        <v>0</v>
      </c>
      <c r="W159" s="291">
        <f>X159/4</f>
        <v>0</v>
      </c>
      <c r="X159" s="645">
        <v>0</v>
      </c>
      <c r="Y159" s="290">
        <v>0</v>
      </c>
      <c r="Z159" s="260">
        <v>0</v>
      </c>
      <c r="AA159" s="1441">
        <v>0</v>
      </c>
      <c r="AB159" s="1442">
        <f>AC159/4</f>
        <v>0</v>
      </c>
      <c r="AC159" s="1453">
        <v>0</v>
      </c>
      <c r="AD159" s="290">
        <v>0</v>
      </c>
      <c r="AE159" s="260">
        <v>0</v>
      </c>
      <c r="AF159" s="1441">
        <v>0</v>
      </c>
      <c r="AG159" s="1442">
        <f>AH159/4</f>
        <v>0</v>
      </c>
      <c r="AH159" s="1453">
        <v>0</v>
      </c>
      <c r="AI159" s="2037">
        <v>4</v>
      </c>
      <c r="AJ159" s="2038">
        <f>12-AI159</f>
        <v>8</v>
      </c>
      <c r="AK159" s="2112">
        <f>19-AI159-AJ159</f>
        <v>7</v>
      </c>
      <c r="AL159" s="2113">
        <f>+AM159-AI159-AJ159-AK159</f>
        <v>1</v>
      </c>
      <c r="AM159" s="2111">
        <v>20</v>
      </c>
      <c r="AN159" s="2037">
        <v>7</v>
      </c>
      <c r="AO159" s="2038">
        <f>13-AN159</f>
        <v>6</v>
      </c>
      <c r="AP159" s="2112">
        <f>20-AN159-AO159</f>
        <v>7</v>
      </c>
      <c r="AQ159" s="2113">
        <f>+AR159-AN159-AO159-AP159</f>
        <v>6</v>
      </c>
      <c r="AR159" s="2111">
        <v>26</v>
      </c>
      <c r="AS159" s="306">
        <v>7</v>
      </c>
      <c r="AT159" s="2038">
        <f>12-AS159</f>
        <v>5</v>
      </c>
      <c r="AU159" s="266">
        <f>19-AT159-AS159</f>
        <v>7</v>
      </c>
      <c r="AV159" s="2113">
        <f>+AW159-AS159-AT159-AU159</f>
        <v>7</v>
      </c>
      <c r="AW159" s="2111">
        <v>26</v>
      </c>
      <c r="AX159" s="306">
        <v>0</v>
      </c>
      <c r="AY159" s="266">
        <v>0</v>
      </c>
      <c r="AZ159" s="266">
        <v>0</v>
      </c>
      <c r="BA159" s="307">
        <v>0</v>
      </c>
      <c r="BB159" s="647">
        <f>SUM(AX159:BA159)</f>
        <v>0</v>
      </c>
      <c r="BC159" s="306">
        <v>0</v>
      </c>
      <c r="BD159" s="266">
        <v>0</v>
      </c>
      <c r="BE159" s="266">
        <v>0</v>
      </c>
      <c r="BF159" s="307">
        <v>0</v>
      </c>
      <c r="BG159" s="647">
        <f>SUM(BC159:BF159)</f>
        <v>0</v>
      </c>
      <c r="BH159" s="306">
        <v>0</v>
      </c>
      <c r="BI159" s="266">
        <v>0</v>
      </c>
      <c r="BJ159" s="266">
        <v>0</v>
      </c>
      <c r="BK159" s="307">
        <v>0</v>
      </c>
      <c r="BL159" s="647">
        <f>SUM(BH159:BK159)</f>
        <v>0</v>
      </c>
      <c r="BM159" s="306">
        <v>0</v>
      </c>
      <c r="BN159" s="266">
        <v>0</v>
      </c>
      <c r="BO159" s="266">
        <v>0</v>
      </c>
      <c r="BP159" s="307">
        <v>0</v>
      </c>
      <c r="BQ159" s="647">
        <f>SUM(BM159:BP159)</f>
        <v>0</v>
      </c>
      <c r="BR159" s="45"/>
      <c r="BS159" s="45"/>
      <c r="BT159" s="45"/>
      <c r="BU159" s="45"/>
      <c r="BV159" s="45"/>
      <c r="BW159" s="45"/>
      <c r="BX159" s="45"/>
      <c r="BY159" s="45"/>
      <c r="BZ159" s="45"/>
      <c r="CA159" s="45"/>
      <c r="CB159" s="45"/>
      <c r="CC159" s="45"/>
      <c r="CD159" s="45"/>
      <c r="CE159" s="45"/>
      <c r="CF159" s="45"/>
      <c r="CG159" s="45"/>
      <c r="CH159" s="45"/>
      <c r="CI159" s="45"/>
      <c r="CJ159" s="45"/>
      <c r="CK159" s="45"/>
      <c r="CL159" s="45"/>
      <c r="CM159" s="45"/>
      <c r="CN159" s="45"/>
      <c r="CO159" s="45"/>
      <c r="CP159" s="45"/>
      <c r="CQ159" s="45"/>
      <c r="CR159" s="45"/>
      <c r="CS159" s="45"/>
      <c r="CT159" s="45"/>
      <c r="CU159" s="45"/>
    </row>
    <row r="160" spans="1:99" ht="12.75" customHeight="1">
      <c r="A160" s="228"/>
      <c r="B160" s="228"/>
      <c r="C160" s="32" t="s">
        <v>144</v>
      </c>
      <c r="D160" s="228"/>
      <c r="E160" s="292">
        <f>+E158-E159</f>
        <v>28.25</v>
      </c>
      <c r="F160" s="261">
        <f t="shared" ref="F160:S160" si="426">+F158-F159</f>
        <v>33.25</v>
      </c>
      <c r="G160" s="261">
        <f t="shared" si="426"/>
        <v>74.25</v>
      </c>
      <c r="H160" s="293">
        <f t="shared" si="426"/>
        <v>29.25</v>
      </c>
      <c r="I160" s="228">
        <f t="shared" si="426"/>
        <v>165</v>
      </c>
      <c r="J160" s="292">
        <f t="shared" si="426"/>
        <v>43.75</v>
      </c>
      <c r="K160" s="261">
        <f t="shared" si="426"/>
        <v>46.75</v>
      </c>
      <c r="L160" s="261">
        <f t="shared" si="426"/>
        <v>104.75</v>
      </c>
      <c r="M160" s="293">
        <f t="shared" si="426"/>
        <v>-20.25</v>
      </c>
      <c r="N160" s="228">
        <f t="shared" si="426"/>
        <v>175</v>
      </c>
      <c r="O160" s="292">
        <f t="shared" si="426"/>
        <v>48</v>
      </c>
      <c r="P160" s="261">
        <f t="shared" si="426"/>
        <v>50</v>
      </c>
      <c r="Q160" s="261">
        <f t="shared" si="426"/>
        <v>52</v>
      </c>
      <c r="R160" s="293">
        <f t="shared" si="426"/>
        <v>52</v>
      </c>
      <c r="S160" s="228">
        <f t="shared" si="426"/>
        <v>202</v>
      </c>
      <c r="T160" s="292">
        <f t="shared" ref="T160:AA160" si="427">+T158-T159</f>
        <v>53</v>
      </c>
      <c r="U160" s="261">
        <f t="shared" si="427"/>
        <v>54</v>
      </c>
      <c r="V160" s="261">
        <f t="shared" si="427"/>
        <v>54</v>
      </c>
      <c r="W160" s="293">
        <f t="shared" si="427"/>
        <v>56</v>
      </c>
      <c r="X160" s="228">
        <f t="shared" si="427"/>
        <v>217</v>
      </c>
      <c r="Y160" s="292">
        <f t="shared" si="427"/>
        <v>57</v>
      </c>
      <c r="Z160" s="261">
        <f t="shared" si="427"/>
        <v>56</v>
      </c>
      <c r="AA160" s="1438">
        <f t="shared" si="427"/>
        <v>58</v>
      </c>
      <c r="AB160" s="1439">
        <f>+AB158-AB159</f>
        <v>57</v>
      </c>
      <c r="AC160" s="1440">
        <f>+AC158-AC159</f>
        <v>228</v>
      </c>
      <c r="AD160" s="292">
        <f>+AD158-AD159</f>
        <v>58</v>
      </c>
      <c r="AE160" s="261">
        <f>+AE158-AE159</f>
        <v>59</v>
      </c>
      <c r="AF160" s="1438">
        <f t="shared" ref="AF160" si="428">+AF158-AF159</f>
        <v>59</v>
      </c>
      <c r="AG160" s="1439">
        <f>+AG158-AG159</f>
        <v>60</v>
      </c>
      <c r="AH160" s="1440">
        <f>+AH158-AH159</f>
        <v>236</v>
      </c>
      <c r="AI160" s="292">
        <f>+AI158-AI159</f>
        <v>58</v>
      </c>
      <c r="AJ160" s="261">
        <f>+AJ158-AJ159</f>
        <v>61</v>
      </c>
      <c r="AK160" s="1438">
        <f t="shared" ref="AK160" si="429">+AK158-AK159</f>
        <v>60</v>
      </c>
      <c r="AL160" s="1439">
        <f>+AL158-AL159</f>
        <v>61</v>
      </c>
      <c r="AM160" s="1440">
        <f>+AM158-AM159</f>
        <v>240</v>
      </c>
      <c r="AN160" s="292">
        <f>+AN158-AN159</f>
        <v>60</v>
      </c>
      <c r="AO160" s="261">
        <f>+AO158-AO159</f>
        <v>61</v>
      </c>
      <c r="AP160" s="1438">
        <f t="shared" ref="AP160" si="430">+AP158-AP159</f>
        <v>60</v>
      </c>
      <c r="AQ160" s="1439">
        <f t="shared" ref="AQ160:AW160" si="431">+AQ158-AQ159</f>
        <v>63</v>
      </c>
      <c r="AR160" s="1440">
        <f t="shared" si="431"/>
        <v>244</v>
      </c>
      <c r="AS160" s="292">
        <f t="shared" si="431"/>
        <v>64</v>
      </c>
      <c r="AT160" s="261">
        <f t="shared" si="431"/>
        <v>65</v>
      </c>
      <c r="AU160" s="261">
        <f t="shared" si="431"/>
        <v>65</v>
      </c>
      <c r="AV160" s="1439">
        <f t="shared" si="431"/>
        <v>66</v>
      </c>
      <c r="AW160" s="1440">
        <f t="shared" si="431"/>
        <v>260</v>
      </c>
      <c r="AX160" s="292">
        <f>(AX162*AW154)/4</f>
        <v>66.761867704280164</v>
      </c>
      <c r="AY160" s="261">
        <f>(AY162*AX154)/4</f>
        <v>67.700441667458861</v>
      </c>
      <c r="AZ160" s="261">
        <f>(AZ162*AY154)/4</f>
        <v>68.832967069527299</v>
      </c>
      <c r="BA160" s="293">
        <f>(BA162*AZ154)/4</f>
        <v>69.955797701616945</v>
      </c>
      <c r="BB160" s="228">
        <f>SUM(AX160:BA160)</f>
        <v>273.25107414288323</v>
      </c>
      <c r="BC160" s="292">
        <f>(BC162*BB154)/4</f>
        <v>71.069016553976653</v>
      </c>
      <c r="BD160" s="261">
        <f>(BD162*BC154)/4</f>
        <v>72.13119073558812</v>
      </c>
      <c r="BE160" s="261">
        <f>(BE162*BD154)/4</f>
        <v>73.332791437462461</v>
      </c>
      <c r="BF160" s="293">
        <f>(BF162*BE154)/4</f>
        <v>74.524106063289622</v>
      </c>
      <c r="BG160" s="228">
        <f>SUM(BC160:BF160)</f>
        <v>291.05710479031688</v>
      </c>
      <c r="BH160" s="292">
        <f>(BH162*BG154)/4</f>
        <v>75.705222665082474</v>
      </c>
      <c r="BI160" s="261">
        <f>(BI162*BH154)/4</f>
        <v>76.778938264475158</v>
      </c>
      <c r="BJ160" s="261">
        <f>(BJ162*BI154)/4</f>
        <v>77.694943462211171</v>
      </c>
      <c r="BK160" s="293">
        <f>(BK162*BJ154)/4</f>
        <v>78.603107370316764</v>
      </c>
      <c r="BL160" s="228">
        <f>SUM(BH160:BK160)</f>
        <v>308.78221176208558</v>
      </c>
      <c r="BM160" s="292">
        <f>(BM162*BL154)/4</f>
        <v>79.503497112672008</v>
      </c>
      <c r="BN160" s="261">
        <f>(BN162*BM154)/4</f>
        <v>80.39617923855576</v>
      </c>
      <c r="BO160" s="261">
        <f>(BO162*BN154)/4</f>
        <v>81.281219727564221</v>
      </c>
      <c r="BP160" s="293">
        <f>(BP162*BO154)/4</f>
        <v>82.158683994487788</v>
      </c>
      <c r="BQ160" s="228">
        <f>SUM(BM160:BP160)</f>
        <v>323.33958007327976</v>
      </c>
      <c r="BR160" s="228"/>
      <c r="BS160" s="228"/>
      <c r="BT160" s="228"/>
      <c r="BU160" s="228"/>
      <c r="BV160" s="228"/>
      <c r="BW160" s="228"/>
      <c r="BX160" s="228"/>
      <c r="BY160" s="228"/>
      <c r="BZ160" s="228"/>
      <c r="CA160" s="228"/>
      <c r="CB160" s="228"/>
      <c r="CC160" s="228"/>
      <c r="CD160" s="228"/>
      <c r="CE160" s="228"/>
      <c r="CF160" s="228"/>
      <c r="CG160" s="228"/>
      <c r="CH160" s="228"/>
      <c r="CI160" s="228"/>
      <c r="CJ160" s="228"/>
      <c r="CK160" s="228"/>
      <c r="CL160" s="228"/>
      <c r="CM160" s="228"/>
      <c r="CN160" s="228"/>
      <c r="CO160" s="228"/>
      <c r="CP160" s="228"/>
      <c r="CQ160" s="228"/>
      <c r="CR160" s="228"/>
      <c r="CS160" s="228"/>
      <c r="CT160" s="228"/>
      <c r="CU160" s="228"/>
    </row>
    <row r="161" spans="1:99" ht="12.75" customHeight="1">
      <c r="A161" s="45"/>
      <c r="B161" s="45"/>
      <c r="C161" s="383"/>
      <c r="D161" s="45"/>
      <c r="E161" s="290"/>
      <c r="F161" s="260"/>
      <c r="G161" s="260"/>
      <c r="H161" s="291"/>
      <c r="I161" s="45"/>
      <c r="J161" s="290"/>
      <c r="K161" s="260"/>
      <c r="L161" s="260"/>
      <c r="M161" s="291"/>
      <c r="N161" s="45"/>
      <c r="O161" s="290"/>
      <c r="P161" s="260"/>
      <c r="Q161" s="260"/>
      <c r="R161" s="291"/>
      <c r="S161" s="45"/>
      <c r="T161" s="290"/>
      <c r="U161" s="260"/>
      <c r="V161" s="260"/>
      <c r="W161" s="291"/>
      <c r="X161" s="45"/>
      <c r="Y161" s="290"/>
      <c r="Z161" s="260"/>
      <c r="AA161" s="1441"/>
      <c r="AB161" s="1442"/>
      <c r="AC161" s="1443"/>
      <c r="AD161" s="290"/>
      <c r="AE161" s="260"/>
      <c r="AF161" s="1441"/>
      <c r="AG161" s="1442"/>
      <c r="AH161" s="1443"/>
      <c r="AI161" s="290"/>
      <c r="AJ161" s="260"/>
      <c r="AK161" s="1441"/>
      <c r="AL161" s="1442"/>
      <c r="AM161" s="1443"/>
      <c r="AN161" s="290"/>
      <c r="AO161" s="260"/>
      <c r="AP161" s="1441"/>
      <c r="AQ161" s="1442"/>
      <c r="AR161" s="1443"/>
      <c r="AS161" s="290"/>
      <c r="AT161" s="260"/>
      <c r="AU161" s="260"/>
      <c r="AV161" s="1442"/>
      <c r="AW161" s="1443"/>
      <c r="AX161" s="290"/>
      <c r="AY161" s="260"/>
      <c r="AZ161" s="260"/>
      <c r="BA161" s="291"/>
      <c r="BB161" s="45"/>
      <c r="BC161" s="290"/>
      <c r="BD161" s="260"/>
      <c r="BE161" s="260"/>
      <c r="BF161" s="291"/>
      <c r="BG161" s="45"/>
      <c r="BH161" s="290"/>
      <c r="BI161" s="260"/>
      <c r="BJ161" s="260"/>
      <c r="BK161" s="291"/>
      <c r="BL161" s="45"/>
      <c r="BM161" s="290"/>
      <c r="BN161" s="260"/>
      <c r="BO161" s="260"/>
      <c r="BP161" s="291"/>
      <c r="BQ161" s="45"/>
      <c r="BR161" s="45"/>
      <c r="BS161" s="45"/>
      <c r="BT161" s="45"/>
      <c r="BU161" s="45"/>
      <c r="BV161" s="45"/>
      <c r="BW161" s="45"/>
      <c r="BX161" s="45"/>
      <c r="BY161" s="45"/>
      <c r="BZ161" s="45"/>
      <c r="CA161" s="45"/>
      <c r="CB161" s="45"/>
      <c r="CC161" s="45"/>
      <c r="CD161" s="45"/>
      <c r="CE161" s="45"/>
      <c r="CF161" s="45"/>
      <c r="CG161" s="45"/>
      <c r="CH161" s="45"/>
      <c r="CI161" s="45"/>
      <c r="CJ161" s="45"/>
      <c r="CK161" s="45"/>
      <c r="CL161" s="45"/>
      <c r="CM161" s="45"/>
      <c r="CN161" s="45"/>
      <c r="CO161" s="45"/>
      <c r="CP161" s="45"/>
      <c r="CQ161" s="45"/>
      <c r="CR161" s="45"/>
      <c r="CS161" s="45"/>
      <c r="CT161" s="45"/>
      <c r="CU161" s="45"/>
    </row>
    <row r="162" spans="1:99" ht="12.75" customHeight="1">
      <c r="A162" s="28"/>
      <c r="B162" s="28"/>
      <c r="C162" s="383" t="s">
        <v>145</v>
      </c>
      <c r="D162" s="28"/>
      <c r="E162" s="284">
        <f>E160/AVERAGE(D154:E154)*4</f>
        <v>2.2577422577422578E-2</v>
      </c>
      <c r="F162" s="241">
        <f>F160/AVERAGE(E154:F154)*4</f>
        <v>2.6457131489954246E-2</v>
      </c>
      <c r="G162" s="241">
        <f>G160/AVERAGE(F154:G154)*4</f>
        <v>5.858565933524016E-2</v>
      </c>
      <c r="H162" s="285">
        <f>H160/AVERAGE(G154:H154)*4</f>
        <v>2.2784810126582278E-2</v>
      </c>
      <c r="I162" s="25">
        <f>I160/AVERAGE(D154,I154)</f>
        <v>3.1853281853281852E-2</v>
      </c>
      <c r="J162" s="284">
        <f>J160/AVERAGE(I154:J154)*4</f>
        <v>3.3970688149082794E-2</v>
      </c>
      <c r="K162" s="241">
        <f>K160/AVERAGE(J154:K154)*4</f>
        <v>3.6264908368079121E-2</v>
      </c>
      <c r="L162" s="241">
        <f>L160/AVERAGE(K154:L154)*4</f>
        <v>8.0107064334193678E-2</v>
      </c>
      <c r="M162" s="285">
        <f>M160/AVERAGE(L154:M154)*4</f>
        <v>-1.5196998123827393E-2</v>
      </c>
      <c r="N162" s="25">
        <f>N160/AVERAGE(I154,N154)</f>
        <v>3.311571577254234E-2</v>
      </c>
      <c r="O162" s="284">
        <f>O160/AVERAGE(N154:O154)*4</f>
        <v>3.4969492760222202E-2</v>
      </c>
      <c r="P162" s="241">
        <f>P160/AVERAGE(O154:P154)*4</f>
        <v>3.5590355013791264E-2</v>
      </c>
      <c r="Q162" s="241">
        <f>Q160/AVERAGE(P154:Q154)*4</f>
        <v>3.6619718309859155E-2</v>
      </c>
      <c r="R162" s="285">
        <f>R160/AVERAGE(Q154:R154)*4</f>
        <v>3.6161335187760782E-2</v>
      </c>
      <c r="S162" s="25">
        <f>S160/AVERAGE(N154,S154)</f>
        <v>3.6135957066189626E-2</v>
      </c>
      <c r="T162" s="284">
        <f>T160/AVERAGE(S154:T154)*4</f>
        <v>3.6429246498840107E-2</v>
      </c>
      <c r="U162" s="241">
        <f>U160/AVERAGE(T154:U154)*4</f>
        <v>3.6822366177974769E-2</v>
      </c>
      <c r="V162" s="241">
        <f>V160/AVERAGE(U154:V154)*4</f>
        <v>3.6597763470010168E-2</v>
      </c>
      <c r="W162" s="285">
        <f>W160/AVERAGE(V154:W154)*4</f>
        <v>3.7577587653078344E-2</v>
      </c>
      <c r="X162" s="25">
        <f>X160/AVERAGE(S154,X154)</f>
        <v>3.6801492410752139E-2</v>
      </c>
      <c r="Y162" s="284">
        <f>Y160/AVERAGE(X154:Y154)*4</f>
        <v>3.7789011353277537E-2</v>
      </c>
      <c r="Z162" s="241">
        <f>Z160/AVERAGE(Y154:Z154)*4</f>
        <v>3.6733355198425716E-2</v>
      </c>
      <c r="AA162" s="241">
        <f>AA160/AVERAGE(Z154:AA154)*4</f>
        <v>3.7647058823529408E-2</v>
      </c>
      <c r="AB162" s="285">
        <f>AB160/AVERAGE(AA154:AB154)*4</f>
        <v>3.654724693435922E-2</v>
      </c>
      <c r="AC162" s="25">
        <f>AC160/AVERAGE(X154,AC154)</f>
        <v>3.7118437118437118E-2</v>
      </c>
      <c r="AD162" s="284">
        <f>AD160/AVERAGE(AC154:AD154)*4</f>
        <v>3.664507976622966E-2</v>
      </c>
      <c r="AE162" s="241">
        <f>AE160/AVERAGE(AD154:AE154)*4</f>
        <v>3.680885908133822E-2</v>
      </c>
      <c r="AF162" s="241">
        <f>AF160/AVERAGE(AE154:AF154)*4</f>
        <v>3.6332845816334385E-2</v>
      </c>
      <c r="AG162" s="285">
        <f>AG160/AVERAGE(AF154:AG154)*4</f>
        <v>3.6380172805820829E-2</v>
      </c>
      <c r="AH162" s="25">
        <f>AH160/AVERAGE(AC154,AH154)</f>
        <v>3.6504253673627224E-2</v>
      </c>
      <c r="AI162" s="284">
        <f>AI160/AVERAGE(AH154:AI154)*4</f>
        <v>3.473053892215569E-2</v>
      </c>
      <c r="AJ162" s="241">
        <f>AJ160/AVERAGE(AI154:AJ154)*4</f>
        <v>3.6105356614382952E-2</v>
      </c>
      <c r="AK162" s="241">
        <f>AK160/AVERAGE(AJ154:AK154)*4</f>
        <v>3.5097981866042703E-2</v>
      </c>
      <c r="AL162" s="285">
        <f>AL160/AVERAGE(AK154:AL154)*4</f>
        <v>3.5209235209235211E-2</v>
      </c>
      <c r="AM162" s="25">
        <f>AM160/AVERAGE(AH154,AM154)</f>
        <v>3.5206102391081122E-2</v>
      </c>
      <c r="AN162" s="284">
        <f>AN160/AVERAGE(AM154:AN154)*4</f>
        <v>3.4266133637921185E-2</v>
      </c>
      <c r="AO162" s="241">
        <f>AO160/AVERAGE(AN154:AO154)*4</f>
        <v>3.4521788341822297E-2</v>
      </c>
      <c r="AP162" s="241">
        <f>AP160/AVERAGE(AO154:AP154)*4</f>
        <v>3.350317582187478E-2</v>
      </c>
      <c r="AQ162" s="285">
        <f>AQ160/AVERAGE(AP154:AQ154)*4</f>
        <v>3.4546576187538557E-2</v>
      </c>
      <c r="AR162" s="25">
        <f>AR160/AVERAGE(AM154,AR154)</f>
        <v>3.3973823447507656E-2</v>
      </c>
      <c r="AS162" s="284">
        <f>AS160/AVERAGE(AR154:AS154)*4</f>
        <v>3.4636720335543228E-2</v>
      </c>
      <c r="AT162" s="241">
        <f>AT160/AVERAGE(AS154:AT154)*4</f>
        <v>3.4878261452813739E-2</v>
      </c>
      <c r="AU162" s="241">
        <f>AU160/AVERAGE(AT154:AU154)*4</f>
        <v>3.43801652892562E-2</v>
      </c>
      <c r="AV162" s="285">
        <f>AV160/AVERAGE(AU154:AV154)*4</f>
        <v>3.4241245136186774E-2</v>
      </c>
      <c r="AW162" s="25">
        <f>AW160/AVERAGE(AR154,AW154)</f>
        <v>3.4264628360569323E-2</v>
      </c>
      <c r="AX162" s="284">
        <f>+AV162</f>
        <v>3.4241245136186774E-2</v>
      </c>
      <c r="AY162" s="241">
        <f t="shared" ref="AY162:BA163" si="432">+AX162</f>
        <v>3.4241245136186774E-2</v>
      </c>
      <c r="AZ162" s="241">
        <f t="shared" si="432"/>
        <v>3.4241245136186774E-2</v>
      </c>
      <c r="BA162" s="285">
        <f t="shared" si="432"/>
        <v>3.4241245136186774E-2</v>
      </c>
      <c r="BB162" s="25">
        <f>BB160/AVERAGE(AW154,BB154)</f>
        <v>3.3941801446769393E-2</v>
      </c>
      <c r="BC162" s="284">
        <f>+BA162</f>
        <v>3.4241245136186774E-2</v>
      </c>
      <c r="BD162" s="241">
        <f t="shared" ref="BD162:BD163" si="433">+BC162</f>
        <v>3.4241245136186774E-2</v>
      </c>
      <c r="BE162" s="241">
        <f t="shared" ref="BE162:BE163" si="434">+BD162</f>
        <v>3.4241245136186774E-2</v>
      </c>
      <c r="BF162" s="285">
        <f t="shared" ref="BF162:BF163" si="435">+BE162</f>
        <v>3.4241245136186774E-2</v>
      </c>
      <c r="BG162" s="25">
        <f>BG160/AVERAGE(BB154,BG154)</f>
        <v>3.3950636456305007E-2</v>
      </c>
      <c r="BH162" s="284">
        <f>+BF162</f>
        <v>3.4241245136186774E-2</v>
      </c>
      <c r="BI162" s="241">
        <f t="shared" ref="BI162:BI163" si="436">+BH162</f>
        <v>3.4241245136186774E-2</v>
      </c>
      <c r="BJ162" s="241">
        <f t="shared" ref="BJ162:BJ163" si="437">+BI162</f>
        <v>3.4241245136186774E-2</v>
      </c>
      <c r="BK162" s="285">
        <f t="shared" ref="BK162:BK163" si="438">+BJ162</f>
        <v>3.4241245136186774E-2</v>
      </c>
      <c r="BL162" s="25">
        <f>BL160/AVERAGE(BG154,BL154)</f>
        <v>3.406086791315352E-2</v>
      </c>
      <c r="BM162" s="284">
        <f>+BK162</f>
        <v>3.4241245136186774E-2</v>
      </c>
      <c r="BN162" s="241">
        <f t="shared" ref="BN162:BN163" si="439">+BM162</f>
        <v>3.4241245136186774E-2</v>
      </c>
      <c r="BO162" s="241">
        <f t="shared" ref="BO162:BO163" si="440">+BN162</f>
        <v>3.4241245136186774E-2</v>
      </c>
      <c r="BP162" s="285">
        <f t="shared" ref="BP162:BP163" si="441">+BO162</f>
        <v>3.4241245136186774E-2</v>
      </c>
      <c r="BQ162" s="25">
        <f>BQ160/AVERAGE(BL154,BQ154)</f>
        <v>3.4059571946112623E-2</v>
      </c>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row>
    <row r="163" spans="1:99" ht="12.75" customHeight="1">
      <c r="A163" s="651"/>
      <c r="B163" s="651"/>
      <c r="C163" s="651" t="s">
        <v>146</v>
      </c>
      <c r="D163" s="651"/>
      <c r="E163" s="303">
        <f>E156/I170</f>
        <v>0.3015463917525773</v>
      </c>
      <c r="F163" s="652">
        <f>F156/I170</f>
        <v>0.3015463917525773</v>
      </c>
      <c r="G163" s="652">
        <f>G156/I170</f>
        <v>0.3015463917525773</v>
      </c>
      <c r="H163" s="304">
        <f>H156/I170</f>
        <v>0.3015463917525773</v>
      </c>
      <c r="I163" s="500">
        <f>I156/I170</f>
        <v>0.3015463917525773</v>
      </c>
      <c r="J163" s="303">
        <f>J156/N170</f>
        <v>0.42385321100917434</v>
      </c>
      <c r="K163" s="652">
        <f>K156/N170</f>
        <v>0.42385321100917434</v>
      </c>
      <c r="L163" s="652">
        <f>L156/N170</f>
        <v>0.42385321100917434</v>
      </c>
      <c r="M163" s="304">
        <f>M156/N170</f>
        <v>0.42385321100917434</v>
      </c>
      <c r="N163" s="500">
        <f>N156/N170</f>
        <v>0.42385321100917434</v>
      </c>
      <c r="O163" s="303">
        <f>O156/S170</f>
        <v>0.17255717255717257</v>
      </c>
      <c r="P163" s="652">
        <f>P156/S170</f>
        <v>0.17255717255717257</v>
      </c>
      <c r="Q163" s="652">
        <f>Q156/S170</f>
        <v>0.17255717255717257</v>
      </c>
      <c r="R163" s="304">
        <f>R156/S170</f>
        <v>0.17255717255717257</v>
      </c>
      <c r="S163" s="500">
        <f>S156/S170</f>
        <v>0.17255717255717257</v>
      </c>
      <c r="T163" s="303">
        <f>T156/X170</f>
        <v>0.18009478672985782</v>
      </c>
      <c r="U163" s="652">
        <f>U156/X170</f>
        <v>0.18009478672985782</v>
      </c>
      <c r="V163" s="652">
        <f>V156/X170</f>
        <v>0.18009478672985782</v>
      </c>
      <c r="W163" s="304">
        <f>W156/X170</f>
        <v>0.18009478672985782</v>
      </c>
      <c r="X163" s="500">
        <f>X156/X170</f>
        <v>0.18009478672985782</v>
      </c>
      <c r="Y163" s="303">
        <f>Y156/AC170</f>
        <v>0.14152700186219738</v>
      </c>
      <c r="Z163" s="652">
        <f>Z156/AC170</f>
        <v>0.14152700186219738</v>
      </c>
      <c r="AA163" s="652">
        <f>AA156/AC170</f>
        <v>0.14152700186219738</v>
      </c>
      <c r="AB163" s="304">
        <f>AB156/AC170</f>
        <v>0.18808193668528864</v>
      </c>
      <c r="AC163" s="500">
        <f>AC156/AC170</f>
        <v>0.18808193668528864</v>
      </c>
      <c r="AD163" s="303">
        <f>AD156/AH170</f>
        <v>0.15279878971255673</v>
      </c>
      <c r="AE163" s="652">
        <f>AE156/AH170</f>
        <v>0.15279878971255673</v>
      </c>
      <c r="AF163" s="652">
        <f>AF156/AH170</f>
        <v>0.15279878971255673</v>
      </c>
      <c r="AG163" s="304">
        <f>AG156/AH170</f>
        <v>0.2329803328290469</v>
      </c>
      <c r="AH163" s="500">
        <f>AH156/AH170</f>
        <v>0.2329803328290469</v>
      </c>
      <c r="AI163" s="303">
        <f>AI156/AM170</f>
        <v>0.2562396006655574</v>
      </c>
      <c r="AJ163" s="652">
        <f>AJ156/AM170</f>
        <v>0.2562396006655574</v>
      </c>
      <c r="AK163" s="652">
        <f>AK156/AM170</f>
        <v>0.2562396006655574</v>
      </c>
      <c r="AL163" s="304">
        <f>AL156/AM170</f>
        <v>0.2562396006655574</v>
      </c>
      <c r="AM163" s="500">
        <f>AM156/AM170</f>
        <v>0.2562396006655574</v>
      </c>
      <c r="AN163" s="303">
        <f>AN156/AR170</f>
        <v>0.27405247813411077</v>
      </c>
      <c r="AO163" s="652">
        <f>AO156/AR170</f>
        <v>0.27405247813411077</v>
      </c>
      <c r="AP163" s="652">
        <f>AP156/AR170</f>
        <v>0.27405247813411077</v>
      </c>
      <c r="AQ163" s="304">
        <f>AQ156/AR170</f>
        <v>0.27405247813411077</v>
      </c>
      <c r="AR163" s="500">
        <f>AR156/AR170</f>
        <v>0.27405247813411077</v>
      </c>
      <c r="AS163" s="303">
        <f>AS156/AW170</f>
        <v>0.34699453551912568</v>
      </c>
      <c r="AT163" s="652">
        <f>AT156/AW170</f>
        <v>0.34699453551912568</v>
      </c>
      <c r="AU163" s="652">
        <f>AU156/AW170</f>
        <v>0.34699453551912568</v>
      </c>
      <c r="AV163" s="304">
        <f>AV156/AW170</f>
        <v>0.34699453551912568</v>
      </c>
      <c r="AW163" s="500">
        <f>AW156/AW170</f>
        <v>0.34699453551912568</v>
      </c>
      <c r="AX163" s="303">
        <f>+AW163</f>
        <v>0.34699453551912568</v>
      </c>
      <c r="AY163" s="652">
        <f t="shared" si="432"/>
        <v>0.34699453551912568</v>
      </c>
      <c r="AZ163" s="652">
        <f t="shared" si="432"/>
        <v>0.34699453551912568</v>
      </c>
      <c r="BA163" s="304">
        <f t="shared" si="432"/>
        <v>0.34699453551912568</v>
      </c>
      <c r="BB163" s="500">
        <f>BB156/BB170</f>
        <v>0.34699453551912568</v>
      </c>
      <c r="BC163" s="303">
        <f>+BB163</f>
        <v>0.34699453551912568</v>
      </c>
      <c r="BD163" s="652">
        <f t="shared" si="433"/>
        <v>0.34699453551912568</v>
      </c>
      <c r="BE163" s="652">
        <f t="shared" si="434"/>
        <v>0.34699453551912568</v>
      </c>
      <c r="BF163" s="304">
        <f t="shared" si="435"/>
        <v>0.34699453551912568</v>
      </c>
      <c r="BG163" s="500">
        <f>BG156/BG170</f>
        <v>0.34699453551912574</v>
      </c>
      <c r="BH163" s="303">
        <f>+BG163</f>
        <v>0.34699453551912574</v>
      </c>
      <c r="BI163" s="652">
        <f t="shared" si="436"/>
        <v>0.34699453551912574</v>
      </c>
      <c r="BJ163" s="652">
        <f t="shared" si="437"/>
        <v>0.34699453551912574</v>
      </c>
      <c r="BK163" s="304">
        <f t="shared" si="438"/>
        <v>0.34699453551912574</v>
      </c>
      <c r="BL163" s="500">
        <f>BL156/BL170</f>
        <v>0.34699453551912574</v>
      </c>
      <c r="BM163" s="303">
        <f>+BL163</f>
        <v>0.34699453551912574</v>
      </c>
      <c r="BN163" s="652">
        <f t="shared" si="439"/>
        <v>0.34699453551912574</v>
      </c>
      <c r="BO163" s="652">
        <f t="shared" si="440"/>
        <v>0.34699453551912574</v>
      </c>
      <c r="BP163" s="304">
        <f t="shared" si="441"/>
        <v>0.34699453551912574</v>
      </c>
      <c r="BQ163" s="500">
        <f>BQ156/BQ170</f>
        <v>0.34699453551912574</v>
      </c>
      <c r="BR163" s="651"/>
      <c r="BS163" s="651"/>
      <c r="BT163" s="651"/>
      <c r="BU163" s="651"/>
      <c r="BV163" s="651"/>
      <c r="BW163" s="651"/>
      <c r="BX163" s="651"/>
      <c r="BY163" s="651"/>
      <c r="BZ163" s="651"/>
      <c r="CA163" s="651"/>
      <c r="CB163" s="651"/>
      <c r="CC163" s="651"/>
      <c r="CD163" s="651"/>
      <c r="CE163" s="651"/>
      <c r="CF163" s="651"/>
      <c r="CG163" s="651"/>
      <c r="CH163" s="651"/>
      <c r="CI163" s="651"/>
      <c r="CJ163" s="651"/>
      <c r="CK163" s="651"/>
      <c r="CL163" s="651"/>
      <c r="CM163" s="651"/>
      <c r="CN163" s="651"/>
      <c r="CO163" s="651"/>
      <c r="CP163" s="651"/>
      <c r="CQ163" s="651"/>
      <c r="CR163" s="651"/>
      <c r="CS163" s="651"/>
      <c r="CT163" s="651"/>
      <c r="CU163" s="651"/>
    </row>
    <row r="164" spans="1:99" ht="12.75" customHeight="1">
      <c r="A164" s="28"/>
      <c r="B164" s="28"/>
      <c r="C164" s="383"/>
      <c r="D164" s="28"/>
      <c r="E164" s="284"/>
      <c r="F164" s="241"/>
      <c r="G164" s="241"/>
      <c r="H164" s="285"/>
      <c r="I164" s="25"/>
      <c r="J164" s="284"/>
      <c r="K164" s="241"/>
      <c r="L164" s="241"/>
      <c r="M164" s="285"/>
      <c r="N164" s="25"/>
      <c r="O164" s="284"/>
      <c r="P164" s="241"/>
      <c r="Q164" s="653"/>
      <c r="R164" s="654"/>
      <c r="S164" s="25"/>
      <c r="T164" s="655"/>
      <c r="U164" s="653"/>
      <c r="V164" s="653"/>
      <c r="W164" s="654"/>
      <c r="X164" s="25"/>
      <c r="Y164" s="655"/>
      <c r="Z164" s="653"/>
      <c r="AA164" s="653"/>
      <c r="AB164" s="654"/>
      <c r="AC164" s="25"/>
      <c r="AD164" s="655"/>
      <c r="AE164" s="653"/>
      <c r="AF164" s="653"/>
      <c r="AG164" s="654"/>
      <c r="AH164" s="25"/>
      <c r="AI164" s="655"/>
      <c r="AJ164" s="653"/>
      <c r="AK164" s="653"/>
      <c r="AL164" s="654"/>
      <c r="AM164" s="25"/>
      <c r="AN164" s="284"/>
      <c r="AO164" s="241"/>
      <c r="AP164" s="653"/>
      <c r="AQ164" s="654"/>
      <c r="AR164" s="25"/>
      <c r="AS164" s="284"/>
      <c r="AT164" s="241"/>
      <c r="AU164" s="653"/>
      <c r="AV164" s="654"/>
      <c r="AW164" s="25"/>
      <c r="AX164" s="284"/>
      <c r="AY164" s="241"/>
      <c r="AZ164" s="653"/>
      <c r="BA164" s="654"/>
      <c r="BB164" s="25"/>
      <c r="BC164" s="284"/>
      <c r="BD164" s="241"/>
      <c r="BE164" s="653"/>
      <c r="BF164" s="654"/>
      <c r="BG164" s="25"/>
      <c r="BH164" s="284"/>
      <c r="BI164" s="241"/>
      <c r="BJ164" s="653"/>
      <c r="BK164" s="654"/>
      <c r="BL164" s="25"/>
      <c r="BM164" s="284"/>
      <c r="BN164" s="241"/>
      <c r="BO164" s="653"/>
      <c r="BP164" s="654"/>
      <c r="BQ164" s="25"/>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row>
    <row r="165" spans="1:99" ht="12.75" customHeight="1">
      <c r="A165" s="28"/>
      <c r="B165" s="28"/>
      <c r="C165" s="383" t="s">
        <v>653</v>
      </c>
      <c r="D165" s="28"/>
      <c r="E165" s="284"/>
      <c r="F165" s="241"/>
      <c r="G165" s="241"/>
      <c r="H165" s="285"/>
      <c r="I165" s="427"/>
      <c r="J165" s="284"/>
      <c r="K165" s="241"/>
      <c r="L165" s="241"/>
      <c r="M165" s="285"/>
      <c r="N165" s="427"/>
      <c r="O165" s="284"/>
      <c r="P165" s="241"/>
      <c r="Q165" s="646"/>
      <c r="R165" s="586"/>
      <c r="S165" s="427"/>
      <c r="T165" s="290"/>
      <c r="U165" s="260"/>
      <c r="V165" s="646"/>
      <c r="W165" s="586"/>
      <c r="X165" s="427"/>
      <c r="Y165" s="290"/>
      <c r="Z165" s="260"/>
      <c r="AA165" s="1467"/>
      <c r="AB165" s="1436"/>
      <c r="AC165" s="1437"/>
      <c r="AD165" s="290"/>
      <c r="AE165" s="260"/>
      <c r="AF165" s="1467"/>
      <c r="AG165" s="1436"/>
      <c r="AH165" s="1437"/>
      <c r="AI165" s="290"/>
      <c r="AJ165" s="260"/>
      <c r="AK165" s="1467"/>
      <c r="AL165" s="1436"/>
      <c r="AM165" s="1437"/>
      <c r="AN165" s="290"/>
      <c r="AO165" s="260"/>
      <c r="AP165" s="1467"/>
      <c r="AQ165" s="1436"/>
      <c r="AR165" s="1437"/>
      <c r="AS165" s="290"/>
      <c r="AT165" s="260"/>
      <c r="AU165" s="1467"/>
      <c r="AV165" s="1436"/>
      <c r="AW165" s="1437"/>
      <c r="AX165" s="290">
        <f>+BB165/4</f>
        <v>56.25</v>
      </c>
      <c r="AY165" s="260">
        <f>+BB165/4</f>
        <v>56.25</v>
      </c>
      <c r="AZ165" s="646">
        <f>+BB165/4</f>
        <v>56.25</v>
      </c>
      <c r="BA165" s="586">
        <f>+BB165/4</f>
        <v>56.25</v>
      </c>
      <c r="BB165" s="426">
        <v>225</v>
      </c>
      <c r="BC165" s="290">
        <f>+BG165/4</f>
        <v>68.75</v>
      </c>
      <c r="BD165" s="260">
        <f>+BG165/4</f>
        <v>68.75</v>
      </c>
      <c r="BE165" s="646">
        <f>+BG165/4</f>
        <v>68.75</v>
      </c>
      <c r="BF165" s="586">
        <f>+BG165/4</f>
        <v>68.75</v>
      </c>
      <c r="BG165" s="426">
        <v>275</v>
      </c>
      <c r="BH165" s="290">
        <f>+BL165/4</f>
        <v>68.75</v>
      </c>
      <c r="BI165" s="260">
        <f>+BL165/4</f>
        <v>68.75</v>
      </c>
      <c r="BJ165" s="646">
        <f>+BL165/4</f>
        <v>68.75</v>
      </c>
      <c r="BK165" s="586">
        <f>+BL165/4</f>
        <v>68.75</v>
      </c>
      <c r="BL165" s="426">
        <v>275</v>
      </c>
      <c r="BM165" s="290">
        <f>+BQ165/4</f>
        <v>62.5</v>
      </c>
      <c r="BN165" s="260">
        <f>+BQ165/4</f>
        <v>62.5</v>
      </c>
      <c r="BO165" s="646">
        <f>+BQ165/4</f>
        <v>62.5</v>
      </c>
      <c r="BP165" s="586">
        <f>+BQ165/4</f>
        <v>62.5</v>
      </c>
      <c r="BQ165" s="426">
        <v>250</v>
      </c>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row>
    <row r="166" spans="1:99" ht="12.75" customHeight="1">
      <c r="A166" s="28"/>
      <c r="B166" s="28"/>
      <c r="C166" s="383" t="s">
        <v>654</v>
      </c>
      <c r="D166" s="28"/>
      <c r="E166" s="284"/>
      <c r="F166" s="241"/>
      <c r="G166" s="241"/>
      <c r="H166" s="285"/>
      <c r="I166" s="645"/>
      <c r="J166" s="284"/>
      <c r="K166" s="241"/>
      <c r="L166" s="241"/>
      <c r="M166" s="285"/>
      <c r="N166" s="645"/>
      <c r="O166" s="284"/>
      <c r="P166" s="241"/>
      <c r="Q166" s="646"/>
      <c r="R166" s="586"/>
      <c r="S166" s="645"/>
      <c r="T166" s="290"/>
      <c r="U166" s="260"/>
      <c r="V166" s="646"/>
      <c r="W166" s="586"/>
      <c r="X166" s="645"/>
      <c r="Y166" s="290"/>
      <c r="Z166" s="260"/>
      <c r="AA166" s="1467"/>
      <c r="AB166" s="1436"/>
      <c r="AC166" s="1453"/>
      <c r="AD166" s="290"/>
      <c r="AE166" s="260"/>
      <c r="AF166" s="1467"/>
      <c r="AG166" s="1436"/>
      <c r="AH166" s="1453"/>
      <c r="AI166" s="290"/>
      <c r="AJ166" s="260"/>
      <c r="AK166" s="1467"/>
      <c r="AL166" s="1436"/>
      <c r="AM166" s="1453"/>
      <c r="AN166" s="290"/>
      <c r="AO166" s="260"/>
      <c r="AP166" s="1467"/>
      <c r="AQ166" s="1436"/>
      <c r="AR166" s="1453"/>
      <c r="AS166" s="290"/>
      <c r="AT166" s="260"/>
      <c r="AU166" s="1467"/>
      <c r="AV166" s="1436"/>
      <c r="AW166" s="1453"/>
      <c r="AX166" s="290">
        <f>+BB166/4</f>
        <v>31.25</v>
      </c>
      <c r="AY166" s="260">
        <f>+BB166/4</f>
        <v>31.25</v>
      </c>
      <c r="AZ166" s="646">
        <f>+BB166/4</f>
        <v>31.25</v>
      </c>
      <c r="BA166" s="586">
        <f>+BB166/4</f>
        <v>31.25</v>
      </c>
      <c r="BB166" s="775">
        <v>125</v>
      </c>
      <c r="BC166" s="290">
        <f>+BG166/4</f>
        <v>25</v>
      </c>
      <c r="BD166" s="260">
        <f>+BG166/4</f>
        <v>25</v>
      </c>
      <c r="BE166" s="646">
        <f>+BG166/4</f>
        <v>25</v>
      </c>
      <c r="BF166" s="586">
        <f>+BG166/4</f>
        <v>25</v>
      </c>
      <c r="BG166" s="775">
        <v>100</v>
      </c>
      <c r="BH166" s="290">
        <f>+BL166/4</f>
        <v>18.75</v>
      </c>
      <c r="BI166" s="260">
        <f>+BL166/4</f>
        <v>18.75</v>
      </c>
      <c r="BJ166" s="646">
        <f>+BL166/4</f>
        <v>18.75</v>
      </c>
      <c r="BK166" s="586">
        <f>+BL166/4</f>
        <v>18.75</v>
      </c>
      <c r="BL166" s="775">
        <v>75</v>
      </c>
      <c r="BM166" s="290">
        <f>+BQ166/4</f>
        <v>18.75</v>
      </c>
      <c r="BN166" s="260">
        <f>+BQ166/4</f>
        <v>18.75</v>
      </c>
      <c r="BO166" s="646">
        <f>+BQ166/4</f>
        <v>18.75</v>
      </c>
      <c r="BP166" s="586">
        <f>+BQ166/4</f>
        <v>18.75</v>
      </c>
      <c r="BQ166" s="775">
        <f t="shared" ref="BQ166:BQ169" si="442">+BL166</f>
        <v>75</v>
      </c>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row>
    <row r="167" spans="1:99" ht="12.75" customHeight="1">
      <c r="A167" s="28"/>
      <c r="B167" s="28"/>
      <c r="C167" s="383" t="s">
        <v>657</v>
      </c>
      <c r="D167" s="28"/>
      <c r="E167" s="284"/>
      <c r="F167" s="241"/>
      <c r="G167" s="241"/>
      <c r="H167" s="285"/>
      <c r="I167" s="427"/>
      <c r="J167" s="284"/>
      <c r="K167" s="241"/>
      <c r="L167" s="241"/>
      <c r="M167" s="285"/>
      <c r="N167" s="427"/>
      <c r="O167" s="284"/>
      <c r="P167" s="241"/>
      <c r="Q167" s="646"/>
      <c r="R167" s="586"/>
      <c r="S167" s="427"/>
      <c r="T167" s="290"/>
      <c r="U167" s="260"/>
      <c r="V167" s="646"/>
      <c r="W167" s="586"/>
      <c r="X167" s="427"/>
      <c r="Y167" s="290"/>
      <c r="Z167" s="260"/>
      <c r="AA167" s="1467"/>
      <c r="AB167" s="1436"/>
      <c r="AC167" s="1437"/>
      <c r="AD167" s="290"/>
      <c r="AE167" s="260"/>
      <c r="AF167" s="1467"/>
      <c r="AG167" s="1436"/>
      <c r="AH167" s="1437"/>
      <c r="AI167" s="290"/>
      <c r="AJ167" s="260"/>
      <c r="AK167" s="1467"/>
      <c r="AL167" s="1436"/>
      <c r="AM167" s="1437"/>
      <c r="AN167" s="290"/>
      <c r="AO167" s="260"/>
      <c r="AP167" s="1467"/>
      <c r="AQ167" s="1436"/>
      <c r="AR167" s="1437"/>
      <c r="AS167" s="290"/>
      <c r="AT167" s="260"/>
      <c r="AU167" s="1467"/>
      <c r="AV167" s="1436"/>
      <c r="AW167" s="1437"/>
      <c r="AX167" s="290">
        <f>+BB167/4</f>
        <v>0</v>
      </c>
      <c r="AY167" s="260">
        <f>+BB167/4</f>
        <v>0</v>
      </c>
      <c r="AZ167" s="646">
        <f>+BB167/4</f>
        <v>0</v>
      </c>
      <c r="BA167" s="586">
        <f>+BB167/4</f>
        <v>0</v>
      </c>
      <c r="BB167" s="426">
        <v>0</v>
      </c>
      <c r="BC167" s="290">
        <f>+BG167/4</f>
        <v>0</v>
      </c>
      <c r="BD167" s="260">
        <f>+BG167/4</f>
        <v>0</v>
      </c>
      <c r="BE167" s="646">
        <f>+BG167/4</f>
        <v>0</v>
      </c>
      <c r="BF167" s="586">
        <f>+BG167/4</f>
        <v>0</v>
      </c>
      <c r="BG167" s="426">
        <v>0</v>
      </c>
      <c r="BH167" s="290">
        <f>+BL167/4</f>
        <v>0</v>
      </c>
      <c r="BI167" s="260">
        <f>+BL167/4</f>
        <v>0</v>
      </c>
      <c r="BJ167" s="646">
        <f>+BL167/4</f>
        <v>0</v>
      </c>
      <c r="BK167" s="586">
        <f>+BL167/4</f>
        <v>0</v>
      </c>
      <c r="BL167" s="426">
        <v>0</v>
      </c>
      <c r="BM167" s="290">
        <f>+BQ167/4</f>
        <v>0</v>
      </c>
      <c r="BN167" s="260">
        <f>+BQ167/4</f>
        <v>0</v>
      </c>
      <c r="BO167" s="646">
        <f>+BQ167/4</f>
        <v>0</v>
      </c>
      <c r="BP167" s="586">
        <f>+BQ167/4</f>
        <v>0</v>
      </c>
      <c r="BQ167" s="426">
        <f t="shared" si="442"/>
        <v>0</v>
      </c>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row>
    <row r="168" spans="1:99" ht="12.75" customHeight="1">
      <c r="A168" s="28"/>
      <c r="B168" s="28"/>
      <c r="C168" s="383" t="s">
        <v>656</v>
      </c>
      <c r="D168" s="28"/>
      <c r="E168" s="284"/>
      <c r="F168" s="241"/>
      <c r="G168" s="241"/>
      <c r="H168" s="285"/>
      <c r="I168" s="427"/>
      <c r="J168" s="284"/>
      <c r="K168" s="241"/>
      <c r="L168" s="241"/>
      <c r="M168" s="285"/>
      <c r="N168" s="427"/>
      <c r="O168" s="284"/>
      <c r="P168" s="241"/>
      <c r="Q168" s="646"/>
      <c r="R168" s="586"/>
      <c r="S168" s="427"/>
      <c r="T168" s="290"/>
      <c r="U168" s="260"/>
      <c r="V168" s="646"/>
      <c r="W168" s="586"/>
      <c r="X168" s="427"/>
      <c r="Y168" s="290"/>
      <c r="Z168" s="260"/>
      <c r="AA168" s="1467"/>
      <c r="AB168" s="1436"/>
      <c r="AC168" s="1437"/>
      <c r="AD168" s="290"/>
      <c r="AE168" s="260"/>
      <c r="AF168" s="1467"/>
      <c r="AG168" s="1436"/>
      <c r="AH168" s="1437"/>
      <c r="AI168" s="290"/>
      <c r="AJ168" s="260"/>
      <c r="AK168" s="1467"/>
      <c r="AL168" s="1436"/>
      <c r="AM168" s="1437"/>
      <c r="AN168" s="290"/>
      <c r="AO168" s="260"/>
      <c r="AP168" s="1467"/>
      <c r="AQ168" s="1436"/>
      <c r="AR168" s="1437"/>
      <c r="AS168" s="290"/>
      <c r="AT168" s="260"/>
      <c r="AU168" s="1467"/>
      <c r="AV168" s="1436"/>
      <c r="AW168" s="1437"/>
      <c r="AX168" s="290">
        <f>+BB168/4</f>
        <v>96.284999999999997</v>
      </c>
      <c r="AY168" s="260">
        <f>+BB168/4</f>
        <v>96.284999999999997</v>
      </c>
      <c r="AZ168" s="646">
        <f>+BB168/4</f>
        <v>96.284999999999997</v>
      </c>
      <c r="BA168" s="586">
        <f>+BB168/4</f>
        <v>96.284999999999997</v>
      </c>
      <c r="BB168" s="426">
        <f>450-BB169</f>
        <v>385.14</v>
      </c>
      <c r="BC168" s="290">
        <f>+BG168/4</f>
        <v>102.535</v>
      </c>
      <c r="BD168" s="260">
        <f>+BG168/4</f>
        <v>102.535</v>
      </c>
      <c r="BE168" s="646">
        <f>+BG168/4</f>
        <v>102.535</v>
      </c>
      <c r="BF168" s="586">
        <f>+BG168/4</f>
        <v>102.535</v>
      </c>
      <c r="BG168" s="426">
        <f>475-BG169</f>
        <v>410.14</v>
      </c>
      <c r="BH168" s="290">
        <f>+BL168/4</f>
        <v>96.284999999999997</v>
      </c>
      <c r="BI168" s="260">
        <f>+BL168/4</f>
        <v>96.284999999999997</v>
      </c>
      <c r="BJ168" s="646">
        <f>+BL168/4</f>
        <v>96.284999999999997</v>
      </c>
      <c r="BK168" s="586">
        <f>+BL168/4</f>
        <v>96.284999999999997</v>
      </c>
      <c r="BL168" s="426">
        <f>450-BL169</f>
        <v>385.14</v>
      </c>
      <c r="BM168" s="290">
        <f>+BQ168/4</f>
        <v>102.535</v>
      </c>
      <c r="BN168" s="260">
        <f>+BQ168/4</f>
        <v>102.535</v>
      </c>
      <c r="BO168" s="646">
        <f>+BQ168/4</f>
        <v>102.535</v>
      </c>
      <c r="BP168" s="586">
        <f>+BQ168/4</f>
        <v>102.535</v>
      </c>
      <c r="BQ168" s="426">
        <f>475-BQ169</f>
        <v>410.14</v>
      </c>
      <c r="BR168" s="28"/>
      <c r="BS168" s="2165"/>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row>
    <row r="169" spans="1:99" ht="12.75" customHeight="1">
      <c r="A169" s="28"/>
      <c r="B169" s="28"/>
      <c r="C169" s="1926" t="s">
        <v>1403</v>
      </c>
      <c r="D169" s="28"/>
      <c r="E169" s="284"/>
      <c r="F169" s="241"/>
      <c r="G169" s="241"/>
      <c r="H169" s="285"/>
      <c r="I169" s="427"/>
      <c r="J169" s="284"/>
      <c r="K169" s="241"/>
      <c r="L169" s="241"/>
      <c r="M169" s="285"/>
      <c r="N169" s="427"/>
      <c r="O169" s="284"/>
      <c r="P169" s="241"/>
      <c r="Q169" s="646"/>
      <c r="R169" s="586"/>
      <c r="S169" s="427"/>
      <c r="T169" s="290"/>
      <c r="U169" s="260"/>
      <c r="V169" s="646"/>
      <c r="W169" s="586"/>
      <c r="X169" s="427"/>
      <c r="Y169" s="290"/>
      <c r="Z169" s="260"/>
      <c r="AA169" s="1467"/>
      <c r="AB169" s="1436"/>
      <c r="AC169" s="1437"/>
      <c r="AD169" s="290"/>
      <c r="AE169" s="260"/>
      <c r="AF169" s="1467"/>
      <c r="AG169" s="1436"/>
      <c r="AH169" s="1437"/>
      <c r="AI169" s="290"/>
      <c r="AJ169" s="260"/>
      <c r="AK169" s="1467"/>
      <c r="AL169" s="1436"/>
      <c r="AM169" s="1437"/>
      <c r="AN169" s="290"/>
      <c r="AO169" s="260"/>
      <c r="AP169" s="1467"/>
      <c r="AQ169" s="1436"/>
      <c r="AR169" s="1437"/>
      <c r="AS169" s="290"/>
      <c r="AT169" s="260"/>
      <c r="AU169" s="1467"/>
      <c r="AV169" s="1436"/>
      <c r="AW169" s="1437"/>
      <c r="AX169" s="290">
        <f>+BB169/4</f>
        <v>16.215</v>
      </c>
      <c r="AY169" s="260">
        <f>+BB169/4</f>
        <v>16.215</v>
      </c>
      <c r="AZ169" s="646">
        <f>+BB169/4</f>
        <v>16.215</v>
      </c>
      <c r="BA169" s="586">
        <f>+BB169/4</f>
        <v>16.215</v>
      </c>
      <c r="BB169" s="426">
        <f>$BS$169/5</f>
        <v>64.86</v>
      </c>
      <c r="BC169" s="290">
        <f>+BG169/4</f>
        <v>16.215</v>
      </c>
      <c r="BD169" s="260">
        <f>+BG169/4</f>
        <v>16.215</v>
      </c>
      <c r="BE169" s="646">
        <f>+BG169/4</f>
        <v>16.215</v>
      </c>
      <c r="BF169" s="586">
        <f>+BG169/4</f>
        <v>16.215</v>
      </c>
      <c r="BG169" s="426">
        <f>$BS$169/5</f>
        <v>64.86</v>
      </c>
      <c r="BH169" s="290">
        <f>+BL169/4</f>
        <v>16.215</v>
      </c>
      <c r="BI169" s="260">
        <f>+BL169/4</f>
        <v>16.215</v>
      </c>
      <c r="BJ169" s="646">
        <f>+BL169/4</f>
        <v>16.215</v>
      </c>
      <c r="BK169" s="586">
        <f>+BL169/4</f>
        <v>16.215</v>
      </c>
      <c r="BL169" s="426">
        <f>$BS$169/5</f>
        <v>64.86</v>
      </c>
      <c r="BM169" s="290">
        <f>+BQ169/4</f>
        <v>16.215</v>
      </c>
      <c r="BN169" s="260">
        <f>+BQ169/4</f>
        <v>16.215</v>
      </c>
      <c r="BO169" s="646">
        <f>+BQ169/4</f>
        <v>16.215</v>
      </c>
      <c r="BP169" s="586">
        <f>+BQ169/4</f>
        <v>16.215</v>
      </c>
      <c r="BQ169" s="426">
        <f t="shared" si="442"/>
        <v>64.86</v>
      </c>
      <c r="BR169" s="28"/>
      <c r="BS169" s="2100">
        <f>274.3+50</f>
        <v>324.3</v>
      </c>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row>
    <row r="170" spans="1:99" ht="12.75" customHeight="1">
      <c r="A170" s="228"/>
      <c r="B170" s="228"/>
      <c r="C170" s="641" t="s">
        <v>147</v>
      </c>
      <c r="D170" s="228"/>
      <c r="E170" s="580">
        <f>-E200</f>
        <v>91</v>
      </c>
      <c r="F170" s="581">
        <f t="shared" ref="F170:W170" si="443">-F200</f>
        <v>88</v>
      </c>
      <c r="G170" s="581">
        <f t="shared" si="443"/>
        <v>88</v>
      </c>
      <c r="H170" s="293">
        <f t="shared" si="443"/>
        <v>121</v>
      </c>
      <c r="I170" s="583">
        <f t="shared" si="443"/>
        <v>388</v>
      </c>
      <c r="J170" s="580">
        <f t="shared" si="443"/>
        <v>113</v>
      </c>
      <c r="K170" s="581">
        <f t="shared" si="443"/>
        <v>105</v>
      </c>
      <c r="L170" s="581">
        <f t="shared" si="443"/>
        <v>140</v>
      </c>
      <c r="M170" s="293">
        <f t="shared" si="443"/>
        <v>187</v>
      </c>
      <c r="N170" s="583">
        <f t="shared" si="443"/>
        <v>545</v>
      </c>
      <c r="O170" s="580">
        <f t="shared" si="443"/>
        <v>121</v>
      </c>
      <c r="P170" s="581">
        <f t="shared" si="443"/>
        <v>88</v>
      </c>
      <c r="Q170" s="581">
        <f t="shared" si="443"/>
        <v>112</v>
      </c>
      <c r="R170" s="293">
        <f t="shared" si="443"/>
        <v>160</v>
      </c>
      <c r="S170" s="583">
        <f>-S200</f>
        <v>481</v>
      </c>
      <c r="T170" s="580">
        <f t="shared" si="443"/>
        <v>96</v>
      </c>
      <c r="U170" s="581">
        <f t="shared" si="443"/>
        <v>83</v>
      </c>
      <c r="V170" s="261">
        <f t="shared" si="443"/>
        <v>95</v>
      </c>
      <c r="W170" s="293">
        <f t="shared" si="443"/>
        <v>148</v>
      </c>
      <c r="X170" s="583">
        <f t="shared" ref="X170:AC170" si="444">-X200</f>
        <v>422</v>
      </c>
      <c r="Y170" s="580">
        <f t="shared" si="444"/>
        <v>122</v>
      </c>
      <c r="Z170" s="581">
        <f t="shared" si="444"/>
        <v>132</v>
      </c>
      <c r="AA170" s="1438">
        <f t="shared" si="444"/>
        <v>120</v>
      </c>
      <c r="AB170" s="1439">
        <f t="shared" si="444"/>
        <v>163</v>
      </c>
      <c r="AC170" s="1464">
        <f t="shared" si="444"/>
        <v>537</v>
      </c>
      <c r="AD170" s="580">
        <f t="shared" ref="AD170:AH170" si="445">-AD200</f>
        <v>184</v>
      </c>
      <c r="AE170" s="581">
        <f t="shared" si="445"/>
        <v>124</v>
      </c>
      <c r="AF170" s="1438">
        <f t="shared" si="445"/>
        <v>153</v>
      </c>
      <c r="AG170" s="1439">
        <f t="shared" si="445"/>
        <v>200</v>
      </c>
      <c r="AH170" s="1464">
        <f t="shared" si="445"/>
        <v>661</v>
      </c>
      <c r="AI170" s="580">
        <f t="shared" ref="AI170:AM170" si="446">-AI200</f>
        <v>148</v>
      </c>
      <c r="AJ170" s="581">
        <f t="shared" si="446"/>
        <v>141</v>
      </c>
      <c r="AK170" s="1438">
        <f t="shared" si="446"/>
        <v>146</v>
      </c>
      <c r="AL170" s="1439">
        <f t="shared" si="446"/>
        <v>166</v>
      </c>
      <c r="AM170" s="1464">
        <f t="shared" si="446"/>
        <v>601</v>
      </c>
      <c r="AN170" s="580">
        <f t="shared" ref="AN170:AR170" si="447">-AN200</f>
        <v>195</v>
      </c>
      <c r="AO170" s="581">
        <f t="shared" si="447"/>
        <v>104</v>
      </c>
      <c r="AP170" s="1438">
        <f t="shared" si="447"/>
        <v>149</v>
      </c>
      <c r="AQ170" s="1439">
        <f t="shared" si="447"/>
        <v>238</v>
      </c>
      <c r="AR170" s="1464">
        <f t="shared" si="447"/>
        <v>686</v>
      </c>
      <c r="AS170" s="580">
        <f t="shared" ref="AS170:AW170" si="448">-AS200</f>
        <v>159</v>
      </c>
      <c r="AT170" s="581">
        <f t="shared" si="448"/>
        <v>208</v>
      </c>
      <c r="AU170" s="1438">
        <f t="shared" si="448"/>
        <v>170</v>
      </c>
      <c r="AV170" s="1439">
        <f t="shared" si="448"/>
        <v>195</v>
      </c>
      <c r="AW170" s="1464">
        <f t="shared" si="448"/>
        <v>732</v>
      </c>
      <c r="AX170" s="292">
        <f t="shared" ref="AX170:BF170" si="449">SUM(AX165:AX169)</f>
        <v>200</v>
      </c>
      <c r="AY170" s="261">
        <f t="shared" si="449"/>
        <v>200</v>
      </c>
      <c r="AZ170" s="261">
        <f t="shared" si="449"/>
        <v>200</v>
      </c>
      <c r="BA170" s="293">
        <f t="shared" si="449"/>
        <v>200</v>
      </c>
      <c r="BB170" s="583">
        <f>SUM(BB165:BB169)</f>
        <v>800</v>
      </c>
      <c r="BC170" s="292">
        <f t="shared" si="449"/>
        <v>212.5</v>
      </c>
      <c r="BD170" s="261">
        <f t="shared" si="449"/>
        <v>212.5</v>
      </c>
      <c r="BE170" s="261">
        <f t="shared" si="449"/>
        <v>212.5</v>
      </c>
      <c r="BF170" s="293">
        <f t="shared" si="449"/>
        <v>212.5</v>
      </c>
      <c r="BG170" s="583">
        <f>SUM(BG165:BG169)</f>
        <v>850</v>
      </c>
      <c r="BH170" s="292">
        <f t="shared" ref="BH170:BK170" si="450">SUM(BH165:BH168)</f>
        <v>183.785</v>
      </c>
      <c r="BI170" s="261">
        <f t="shared" si="450"/>
        <v>183.785</v>
      </c>
      <c r="BJ170" s="261">
        <f t="shared" si="450"/>
        <v>183.785</v>
      </c>
      <c r="BK170" s="293">
        <f t="shared" si="450"/>
        <v>183.785</v>
      </c>
      <c r="BL170" s="583">
        <f>SUM(BL165:BL169)</f>
        <v>800</v>
      </c>
      <c r="BM170" s="292">
        <f t="shared" ref="BM170:BP170" si="451">SUM(BM165:BM168)</f>
        <v>183.785</v>
      </c>
      <c r="BN170" s="261">
        <f t="shared" si="451"/>
        <v>183.785</v>
      </c>
      <c r="BO170" s="261">
        <f t="shared" si="451"/>
        <v>183.785</v>
      </c>
      <c r="BP170" s="293">
        <f t="shared" si="451"/>
        <v>183.785</v>
      </c>
      <c r="BQ170" s="583">
        <f>SUM(BQ165:BQ169)</f>
        <v>800</v>
      </c>
      <c r="BR170" s="28"/>
      <c r="BS170" s="228"/>
      <c r="BT170" s="228"/>
      <c r="BU170" s="228"/>
      <c r="BV170" s="228"/>
      <c r="BW170" s="228"/>
      <c r="BX170" s="228"/>
      <c r="BY170" s="228"/>
      <c r="BZ170" s="228"/>
      <c r="CA170" s="228"/>
      <c r="CB170" s="228"/>
      <c r="CC170" s="228"/>
      <c r="CD170" s="228"/>
      <c r="CE170" s="228"/>
      <c r="CF170" s="228"/>
      <c r="CG170" s="228"/>
      <c r="CH170" s="228"/>
      <c r="CI170" s="228"/>
      <c r="CJ170" s="228"/>
      <c r="CK170" s="228"/>
      <c r="CL170" s="228"/>
      <c r="CM170" s="228"/>
      <c r="CN170" s="228"/>
      <c r="CO170" s="228"/>
      <c r="CP170" s="228"/>
      <c r="CQ170" s="228"/>
      <c r="CR170" s="228"/>
      <c r="CS170" s="228"/>
      <c r="CT170" s="228"/>
      <c r="CU170" s="228"/>
    </row>
    <row r="171" spans="1:99" ht="12.75" customHeight="1">
      <c r="A171" s="383"/>
      <c r="B171" s="383"/>
      <c r="C171" s="383"/>
      <c r="D171" s="383"/>
      <c r="E171" s="616"/>
      <c r="F171" s="617"/>
      <c r="G171" s="617"/>
      <c r="H171" s="656"/>
      <c r="I171" s="657"/>
      <c r="J171" s="616"/>
      <c r="K171" s="617"/>
      <c r="L171" s="617"/>
      <c r="M171" s="656"/>
      <c r="N171" s="657"/>
      <c r="O171" s="613"/>
      <c r="P171" s="614"/>
      <c r="Q171" s="614"/>
      <c r="R171" s="615"/>
      <c r="S171" s="383"/>
      <c r="T171" s="613"/>
      <c r="U171" s="614"/>
      <c r="V171" s="614"/>
      <c r="W171" s="615"/>
      <c r="X171" s="383"/>
      <c r="Y171" s="613"/>
      <c r="Z171" s="614"/>
      <c r="AA171" s="614"/>
      <c r="AB171" s="615"/>
      <c r="AC171" s="383"/>
      <c r="AD171" s="613"/>
      <c r="AE171" s="614"/>
      <c r="AF171" s="614"/>
      <c r="AG171" s="615"/>
      <c r="AH171" s="383"/>
      <c r="AI171" s="613"/>
      <c r="AJ171" s="614"/>
      <c r="AK171" s="614"/>
      <c r="AL171" s="615"/>
      <c r="AM171" s="383"/>
      <c r="AN171" s="613"/>
      <c r="AO171" s="614"/>
      <c r="AP171" s="614"/>
      <c r="AQ171" s="615"/>
      <c r="AR171" s="383"/>
      <c r="AS171" s="613"/>
      <c r="AT171" s="614"/>
      <c r="AU171" s="614"/>
      <c r="AV171" s="615"/>
      <c r="AW171" s="383"/>
      <c r="AX171" s="613"/>
      <c r="AY171" s="614"/>
      <c r="AZ171" s="614"/>
      <c r="BA171" s="615"/>
      <c r="BB171" s="383"/>
      <c r="BC171" s="613"/>
      <c r="BD171" s="614"/>
      <c r="BE171" s="614"/>
      <c r="BF171" s="615"/>
      <c r="BG171" s="383"/>
      <c r="BH171" s="613"/>
      <c r="BI171" s="614"/>
      <c r="BJ171" s="614"/>
      <c r="BK171" s="615"/>
      <c r="BL171" s="383"/>
      <c r="BM171" s="613"/>
      <c r="BN171" s="614"/>
      <c r="BO171" s="614"/>
      <c r="BP171" s="615"/>
      <c r="BQ171" s="383"/>
      <c r="BR171" s="383"/>
      <c r="BS171" s="383"/>
      <c r="BT171" s="383"/>
      <c r="BU171" s="383"/>
      <c r="BV171" s="383"/>
      <c r="BW171" s="383"/>
      <c r="BX171" s="383"/>
      <c r="BY171" s="383"/>
      <c r="BZ171" s="383"/>
      <c r="CA171" s="383"/>
      <c r="CB171" s="383"/>
      <c r="CC171" s="383"/>
      <c r="CD171" s="383"/>
      <c r="CE171" s="383"/>
      <c r="CF171" s="383"/>
      <c r="CG171" s="383"/>
      <c r="CH171" s="383"/>
      <c r="CI171" s="383"/>
      <c r="CJ171" s="383"/>
      <c r="CK171" s="383"/>
      <c r="CL171" s="383"/>
      <c r="CM171" s="383"/>
      <c r="CN171" s="383"/>
      <c r="CO171" s="383"/>
      <c r="CP171" s="383"/>
      <c r="CQ171" s="383"/>
      <c r="CR171" s="383"/>
      <c r="CS171" s="383"/>
      <c r="CT171" s="383"/>
      <c r="CU171" s="383"/>
    </row>
    <row r="172" spans="1:99" ht="12.75" customHeight="1">
      <c r="A172" s="383"/>
      <c r="B172" s="383"/>
      <c r="C172" s="383"/>
      <c r="D172" s="383"/>
      <c r="E172" s="613"/>
      <c r="F172" s="614"/>
      <c r="G172" s="614"/>
      <c r="H172" s="615"/>
      <c r="I172" s="383"/>
      <c r="J172" s="613"/>
      <c r="K172" s="614"/>
      <c r="L172" s="614"/>
      <c r="M172" s="615"/>
      <c r="N172" s="383"/>
      <c r="O172" s="613"/>
      <c r="P172" s="614"/>
      <c r="Q172" s="614"/>
      <c r="R172" s="615"/>
      <c r="S172" s="383"/>
      <c r="T172" s="613"/>
      <c r="U172" s="614"/>
      <c r="V172" s="614"/>
      <c r="W172" s="615"/>
      <c r="X172" s="383"/>
      <c r="Y172" s="613"/>
      <c r="Z172" s="614"/>
      <c r="AA172" s="614"/>
      <c r="AB172" s="615"/>
      <c r="AC172" s="383"/>
      <c r="AD172" s="613"/>
      <c r="AE172" s="614"/>
      <c r="AF172" s="614"/>
      <c r="AG172" s="615"/>
      <c r="AH172" s="383"/>
      <c r="AI172" s="613"/>
      <c r="AJ172" s="614"/>
      <c r="AK172" s="614"/>
      <c r="AL172" s="615"/>
      <c r="AM172" s="383"/>
      <c r="AN172" s="613"/>
      <c r="AO172" s="614"/>
      <c r="AP172" s="614"/>
      <c r="AQ172" s="615"/>
      <c r="AR172" s="383"/>
      <c r="AS172" s="613"/>
      <c r="AT172" s="614"/>
      <c r="AU172" s="614"/>
      <c r="AV172" s="615"/>
      <c r="AW172" s="383"/>
      <c r="AX172" s="613"/>
      <c r="AY172" s="614"/>
      <c r="AZ172" s="614"/>
      <c r="BA172" s="615"/>
      <c r="BB172" s="383"/>
      <c r="BC172" s="613"/>
      <c r="BD172" s="614"/>
      <c r="BE172" s="614"/>
      <c r="BF172" s="615"/>
      <c r="BG172" s="383"/>
      <c r="BH172" s="613"/>
      <c r="BI172" s="614"/>
      <c r="BJ172" s="614"/>
      <c r="BK172" s="615"/>
      <c r="BL172" s="383"/>
      <c r="BM172" s="613"/>
      <c r="BN172" s="614"/>
      <c r="BO172" s="614"/>
      <c r="BP172" s="615"/>
      <c r="BQ172" s="383"/>
      <c r="BR172" s="383"/>
      <c r="BS172" s="383"/>
      <c r="BT172" s="383"/>
      <c r="BU172" s="383"/>
      <c r="BV172" s="383"/>
      <c r="BW172" s="383"/>
      <c r="BX172" s="383"/>
      <c r="BY172" s="383"/>
      <c r="BZ172" s="383"/>
      <c r="CA172" s="383"/>
      <c r="CB172" s="383"/>
      <c r="CC172" s="383"/>
      <c r="CD172" s="383"/>
      <c r="CE172" s="383"/>
      <c r="CF172" s="383"/>
      <c r="CG172" s="383"/>
      <c r="CH172" s="383"/>
      <c r="CI172" s="383"/>
      <c r="CJ172" s="383"/>
      <c r="CK172" s="383"/>
      <c r="CL172" s="383"/>
      <c r="CM172" s="383"/>
      <c r="CN172" s="383"/>
      <c r="CO172" s="383"/>
      <c r="CP172" s="383"/>
      <c r="CQ172" s="383"/>
      <c r="CR172" s="383"/>
      <c r="CS172" s="383"/>
      <c r="CT172" s="383"/>
      <c r="CU172" s="383"/>
    </row>
    <row r="173" spans="1:99" ht="12.75" customHeight="1">
      <c r="A173" s="383"/>
      <c r="B173" s="379" t="s">
        <v>625</v>
      </c>
      <c r="C173" s="658"/>
      <c r="D173" s="659"/>
      <c r="E173" s="613"/>
      <c r="F173" s="614"/>
      <c r="G173" s="614"/>
      <c r="H173" s="615"/>
      <c r="I173" s="383"/>
      <c r="J173" s="613"/>
      <c r="K173" s="614"/>
      <c r="L173" s="614"/>
      <c r="M173" s="615"/>
      <c r="N173" s="383"/>
      <c r="O173" s="613"/>
      <c r="P173" s="614"/>
      <c r="Q173" s="614"/>
      <c r="R173" s="615"/>
      <c r="S173" s="383"/>
      <c r="T173" s="613"/>
      <c r="U173" s="614"/>
      <c r="V173" s="614"/>
      <c r="W173" s="615"/>
      <c r="X173" s="383"/>
      <c r="Y173" s="613"/>
      <c r="Z173" s="614"/>
      <c r="AA173" s="614"/>
      <c r="AB173" s="615"/>
      <c r="AC173" s="383"/>
      <c r="AD173" s="613"/>
      <c r="AE173" s="614"/>
      <c r="AF173" s="614"/>
      <c r="AG173" s="615"/>
      <c r="AH173" s="383"/>
      <c r="AI173" s="613"/>
      <c r="AJ173" s="614"/>
      <c r="AK173" s="614"/>
      <c r="AL173" s="615"/>
      <c r="AM173" s="383"/>
      <c r="AN173" s="613"/>
      <c r="AO173" s="614"/>
      <c r="AP173" s="614"/>
      <c r="AQ173" s="615"/>
      <c r="AR173" s="383"/>
      <c r="AS173" s="613"/>
      <c r="AT173" s="614"/>
      <c r="AU173" s="614"/>
      <c r="AV173" s="615"/>
      <c r="AW173" s="383"/>
      <c r="AX173" s="613"/>
      <c r="AY173" s="614"/>
      <c r="AZ173" s="614"/>
      <c r="BA173" s="615"/>
      <c r="BB173" s="383"/>
      <c r="BC173" s="613"/>
      <c r="BD173" s="614"/>
      <c r="BE173" s="614"/>
      <c r="BF173" s="615"/>
      <c r="BG173" s="383"/>
      <c r="BH173" s="613"/>
      <c r="BI173" s="614"/>
      <c r="BJ173" s="614"/>
      <c r="BK173" s="615"/>
      <c r="BL173" s="383"/>
      <c r="BM173" s="613"/>
      <c r="BN173" s="614"/>
      <c r="BO173" s="614"/>
      <c r="BP173" s="615"/>
      <c r="BQ173" s="383"/>
      <c r="BR173" s="383"/>
      <c r="BS173" s="383"/>
      <c r="BT173" s="383"/>
      <c r="BU173" s="383"/>
      <c r="BV173" s="383"/>
      <c r="BW173" s="383"/>
      <c r="BX173" s="383"/>
      <c r="BY173" s="383"/>
      <c r="BZ173" s="383"/>
      <c r="CA173" s="383"/>
      <c r="CB173" s="383"/>
      <c r="CC173" s="383"/>
      <c r="CD173" s="383"/>
      <c r="CE173" s="383"/>
      <c r="CF173" s="383"/>
      <c r="CG173" s="383"/>
      <c r="CH173" s="383"/>
      <c r="CI173" s="383"/>
      <c r="CJ173" s="383"/>
      <c r="CK173" s="383"/>
      <c r="CL173" s="383"/>
      <c r="CM173" s="383"/>
      <c r="CN173" s="383"/>
      <c r="CO173" s="383"/>
      <c r="CP173" s="383"/>
      <c r="CQ173" s="383"/>
      <c r="CR173" s="383"/>
      <c r="CS173" s="383"/>
      <c r="CT173" s="383"/>
      <c r="CU173" s="383"/>
    </row>
    <row r="174" spans="1:99" ht="12.75" customHeight="1">
      <c r="A174" s="45"/>
      <c r="B174" s="45"/>
      <c r="C174" s="28" t="s">
        <v>620</v>
      </c>
      <c r="D174" s="45"/>
      <c r="E174" s="290">
        <f>E22</f>
        <v>1</v>
      </c>
      <c r="F174" s="260">
        <f>F22</f>
        <v>1</v>
      </c>
      <c r="G174" s="260">
        <f>G22</f>
        <v>1</v>
      </c>
      <c r="H174" s="291">
        <f>H22</f>
        <v>1</v>
      </c>
      <c r="I174" s="45">
        <f>SUM(E174:H174)</f>
        <v>4</v>
      </c>
      <c r="J174" s="290">
        <f>J22</f>
        <v>1.5</v>
      </c>
      <c r="K174" s="260">
        <f>K22</f>
        <v>1.5</v>
      </c>
      <c r="L174" s="260">
        <f>L22</f>
        <v>2</v>
      </c>
      <c r="M174" s="291">
        <f>M22</f>
        <v>2</v>
      </c>
      <c r="N174" s="45">
        <f>SUM(J174:M174)</f>
        <v>7</v>
      </c>
      <c r="O174" s="290">
        <f>O22</f>
        <v>4</v>
      </c>
      <c r="P174" s="260">
        <f>P22</f>
        <v>2</v>
      </c>
      <c r="Q174" s="260">
        <f>Q22</f>
        <v>2</v>
      </c>
      <c r="R174" s="291">
        <f>R22</f>
        <v>1</v>
      </c>
      <c r="S174" s="45">
        <f>SUM(O174:R174)</f>
        <v>9</v>
      </c>
      <c r="T174" s="290">
        <f>T22</f>
        <v>1</v>
      </c>
      <c r="U174" s="260">
        <f>U22</f>
        <v>1</v>
      </c>
      <c r="V174" s="260">
        <f>V22</f>
        <v>1</v>
      </c>
      <c r="W174" s="291">
        <f>W22</f>
        <v>1</v>
      </c>
      <c r="X174" s="45">
        <f>SUM(T174:W174)</f>
        <v>4</v>
      </c>
      <c r="Y174" s="290">
        <f>Y22</f>
        <v>1</v>
      </c>
      <c r="Z174" s="260">
        <f>Z22</f>
        <v>1</v>
      </c>
      <c r="AA174" s="1441">
        <f>AA22</f>
        <v>1</v>
      </c>
      <c r="AB174" s="1442">
        <f>AB22</f>
        <v>1</v>
      </c>
      <c r="AC174" s="1443">
        <f>SUM(Y174:AB174)</f>
        <v>4</v>
      </c>
      <c r="AD174" s="290">
        <f>AD22</f>
        <v>1</v>
      </c>
      <c r="AE174" s="260">
        <f>AE22</f>
        <v>1</v>
      </c>
      <c r="AF174" s="1441">
        <f>AF22</f>
        <v>2</v>
      </c>
      <c r="AG174" s="1442">
        <f>AG22</f>
        <v>2</v>
      </c>
      <c r="AH174" s="1443">
        <f>SUM(AD174:AG174)</f>
        <v>6</v>
      </c>
      <c r="AI174" s="290">
        <f>AI22</f>
        <v>2</v>
      </c>
      <c r="AJ174" s="260">
        <f>AJ22</f>
        <v>1</v>
      </c>
      <c r="AK174" s="1441">
        <f>AK22</f>
        <v>1</v>
      </c>
      <c r="AL174" s="1442">
        <f>AL22</f>
        <v>1</v>
      </c>
      <c r="AM174" s="1443">
        <f>SUM(AI174:AL174)</f>
        <v>5</v>
      </c>
      <c r="AN174" s="290">
        <f>AN22</f>
        <v>2</v>
      </c>
      <c r="AO174" s="260">
        <f>AO22</f>
        <v>2</v>
      </c>
      <c r="AP174" s="1441">
        <f>AP22</f>
        <v>2</v>
      </c>
      <c r="AQ174" s="1442">
        <f>AQ22</f>
        <v>2</v>
      </c>
      <c r="AR174" s="1443">
        <f>SUM(AN174:AQ174)</f>
        <v>8</v>
      </c>
      <c r="AS174" s="290">
        <f>AS22</f>
        <v>2</v>
      </c>
      <c r="AT174" s="260">
        <f>AT22</f>
        <v>2</v>
      </c>
      <c r="AU174" s="260">
        <f t="shared" ref="AU174" si="452">AU22</f>
        <v>2</v>
      </c>
      <c r="AV174" s="1442">
        <f>AV22</f>
        <v>3</v>
      </c>
      <c r="AW174" s="1443">
        <f>SUM(AS174:AV174)</f>
        <v>9</v>
      </c>
      <c r="AX174" s="290">
        <f>+AX156*AX175/4</f>
        <v>3.278688524590164</v>
      </c>
      <c r="AY174" s="260">
        <f>+AY156*AY175/4</f>
        <v>3.278688524590164</v>
      </c>
      <c r="AZ174" s="260">
        <f>+AZ156*AZ175/4</f>
        <v>3.278688524590164</v>
      </c>
      <c r="BA174" s="291">
        <f>+BA156*BA175/4</f>
        <v>3.278688524590164</v>
      </c>
      <c r="BB174" s="45">
        <f>SUM(AX174:BA174)</f>
        <v>13.114754098360656</v>
      </c>
      <c r="BC174" s="290">
        <f>+BC156*BC175/4</f>
        <v>3.4836065573770494</v>
      </c>
      <c r="BD174" s="260">
        <f>+BD156*BD175/4</f>
        <v>3.4836065573770494</v>
      </c>
      <c r="BE174" s="260">
        <f>+BE156*BE175/4</f>
        <v>3.4836065573770494</v>
      </c>
      <c r="BF174" s="291">
        <f>+BF156*BF175/4</f>
        <v>3.4836065573770494</v>
      </c>
      <c r="BG174" s="45">
        <f>SUM(BC174:BF174)</f>
        <v>13.934426229508198</v>
      </c>
      <c r="BH174" s="290">
        <f>+BH156*BH175/4</f>
        <v>3.2786885245901645</v>
      </c>
      <c r="BI174" s="260">
        <f>+BI156*BI175/4</f>
        <v>3.2786885245901645</v>
      </c>
      <c r="BJ174" s="260">
        <f>+BJ156*BJ175/4</f>
        <v>3.2786885245901645</v>
      </c>
      <c r="BK174" s="291">
        <f>+BK156*BK175/4</f>
        <v>3.2786885245901645</v>
      </c>
      <c r="BL174" s="45">
        <f>SUM(BH174:BK174)</f>
        <v>13.114754098360658</v>
      </c>
      <c r="BM174" s="290">
        <f>+BM156*BM175/4</f>
        <v>3.2786885245901645</v>
      </c>
      <c r="BN174" s="260">
        <f>+BN156*BN175/4</f>
        <v>3.2786885245901645</v>
      </c>
      <c r="BO174" s="260">
        <f>+BO156*BO175/4</f>
        <v>3.2786885245901645</v>
      </c>
      <c r="BP174" s="291">
        <f>+BP156*BP175/4</f>
        <v>3.2786885245901645</v>
      </c>
      <c r="BQ174" s="45">
        <f>SUM(BM174:BP174)</f>
        <v>13.114754098360658</v>
      </c>
      <c r="BR174" s="45"/>
      <c r="BS174" s="45"/>
      <c r="BT174" s="45"/>
      <c r="BU174" s="45"/>
      <c r="BV174" s="45"/>
      <c r="BW174" s="45"/>
      <c r="BX174" s="45"/>
      <c r="BY174" s="45"/>
      <c r="BZ174" s="45"/>
      <c r="CA174" s="45"/>
      <c r="CB174" s="45"/>
      <c r="CC174" s="45"/>
      <c r="CD174" s="45"/>
      <c r="CE174" s="45"/>
      <c r="CF174" s="45"/>
      <c r="CG174" s="45"/>
      <c r="CH174" s="45"/>
      <c r="CI174" s="45"/>
      <c r="CJ174" s="45"/>
      <c r="CK174" s="45"/>
      <c r="CL174" s="45"/>
      <c r="CM174" s="45"/>
      <c r="CN174" s="45"/>
      <c r="CO174" s="45"/>
      <c r="CP174" s="45"/>
      <c r="CQ174" s="45"/>
      <c r="CR174" s="45"/>
      <c r="CS174" s="45"/>
      <c r="CT174" s="45"/>
      <c r="CU174" s="45"/>
    </row>
    <row r="175" spans="1:99" ht="12.75" customHeight="1">
      <c r="A175" s="28"/>
      <c r="B175" s="28"/>
      <c r="C175" s="28" t="s">
        <v>626</v>
      </c>
      <c r="D175" s="28"/>
      <c r="E175" s="284">
        <f>+E174/E156*4</f>
        <v>3.4188034188034191E-2</v>
      </c>
      <c r="F175" s="241">
        <f>+F174/F156*4</f>
        <v>3.4188034188034191E-2</v>
      </c>
      <c r="G175" s="241">
        <f>+G174/G156*4</f>
        <v>3.4188034188034191E-2</v>
      </c>
      <c r="H175" s="285">
        <f>+H174/H156*4</f>
        <v>3.4188034188034191E-2</v>
      </c>
      <c r="I175" s="25">
        <f>+I174/AVERAGE(I156,D156)</f>
        <v>3.6363636363636362E-2</v>
      </c>
      <c r="J175" s="284">
        <f>+J174/J156*4</f>
        <v>2.5974025974025976E-2</v>
      </c>
      <c r="K175" s="241">
        <f>+K174/K156*4</f>
        <v>2.5974025974025976E-2</v>
      </c>
      <c r="L175" s="241">
        <f>+L174/L156*4</f>
        <v>3.4632034632034632E-2</v>
      </c>
      <c r="M175" s="285">
        <f>+M174/M156*4</f>
        <v>3.4632034632034632E-2</v>
      </c>
      <c r="N175" s="25">
        <f>+N174/AVERAGE(N156,I156)</f>
        <v>4.0229885057471264E-2</v>
      </c>
      <c r="O175" s="284">
        <f>+O174/O156*4</f>
        <v>0.19277108433734941</v>
      </c>
      <c r="P175" s="241">
        <f>+P174/P156*4</f>
        <v>9.6385542168674704E-2</v>
      </c>
      <c r="Q175" s="241">
        <f>+Q174/Q156*4</f>
        <v>9.6385542168674704E-2</v>
      </c>
      <c r="R175" s="285">
        <f>+R174/R156*4</f>
        <v>4.8192771084337352E-2</v>
      </c>
      <c r="S175" s="25">
        <f>+S174/AVERAGE(S156,N156)</f>
        <v>5.7324840764331211E-2</v>
      </c>
      <c r="T175" s="284">
        <f>+T174/T156*4</f>
        <v>5.2631578947368418E-2</v>
      </c>
      <c r="U175" s="241">
        <f>+U174/U156*4</f>
        <v>5.2631578947368418E-2</v>
      </c>
      <c r="V175" s="241">
        <f>+V174/V156*4</f>
        <v>5.2631578947368418E-2</v>
      </c>
      <c r="W175" s="285">
        <f>+W174/W156*4</f>
        <v>5.2631578947368418E-2</v>
      </c>
      <c r="X175" s="25">
        <f>+X174/AVERAGE(X156,S156)</f>
        <v>5.0314465408805034E-2</v>
      </c>
      <c r="Y175" s="284">
        <f>+Y174/Y156*4</f>
        <v>5.2631578947368418E-2</v>
      </c>
      <c r="Z175" s="241">
        <f>+Z174/Z156*4</f>
        <v>5.2631578947368418E-2</v>
      </c>
      <c r="AA175" s="241">
        <f>+AA174/AA156*4</f>
        <v>5.2631578947368418E-2</v>
      </c>
      <c r="AB175" s="285">
        <f>+AB174/AB156*4</f>
        <v>3.9603960396039604E-2</v>
      </c>
      <c r="AC175" s="25">
        <f>+AC174/AVERAGE(AC156,X156)</f>
        <v>4.519774011299435E-2</v>
      </c>
      <c r="AD175" s="284">
        <f>+AD174/AD156*4</f>
        <v>3.9603960396039604E-2</v>
      </c>
      <c r="AE175" s="241">
        <f>+AE174/AE156*4</f>
        <v>3.9603960396039604E-2</v>
      </c>
      <c r="AF175" s="241">
        <f>+AF174/AF156*4</f>
        <v>7.9207920792079209E-2</v>
      </c>
      <c r="AG175" s="285">
        <f>+AG174/AG156*4</f>
        <v>5.1948051948051951E-2</v>
      </c>
      <c r="AH175" s="25">
        <f>+AH174/AVERAGE(AH156,AC156)</f>
        <v>4.7058823529411764E-2</v>
      </c>
      <c r="AI175" s="284">
        <f>+AI174/AI156*4</f>
        <v>5.1948051948051951E-2</v>
      </c>
      <c r="AJ175" s="241">
        <f>+AJ174/AJ156*4</f>
        <v>2.5974025974025976E-2</v>
      </c>
      <c r="AK175" s="241">
        <f>+AK174/AK156*4</f>
        <v>2.5974025974025976E-2</v>
      </c>
      <c r="AL175" s="285">
        <f>+AL174/AL156*4</f>
        <v>2.5974025974025976E-2</v>
      </c>
      <c r="AM175" s="25">
        <f>+AM174/AVERAGE(AM156,AH156)</f>
        <v>3.2467532467532464E-2</v>
      </c>
      <c r="AN175" s="284">
        <f>+AN174/AN156*4</f>
        <v>4.2553191489361701E-2</v>
      </c>
      <c r="AO175" s="241">
        <f>+AO174/AO156*4</f>
        <v>4.2553191489361701E-2</v>
      </c>
      <c r="AP175" s="241">
        <f>+AP174/AP156*4</f>
        <v>4.2553191489361701E-2</v>
      </c>
      <c r="AQ175" s="285">
        <f>+AQ174/AQ156*4</f>
        <v>4.2553191489361701E-2</v>
      </c>
      <c r="AR175" s="25">
        <f>+AR174/AVERAGE(AR156,AM156)</f>
        <v>4.6783625730994149E-2</v>
      </c>
      <c r="AS175" s="284">
        <f>+AS174/AS156*4</f>
        <v>3.1496062992125984E-2</v>
      </c>
      <c r="AT175" s="241">
        <f>+AT174/AT156*4</f>
        <v>3.1496062992125984E-2</v>
      </c>
      <c r="AU175" s="241">
        <f t="shared" ref="AU175" si="453">+AU174/AU156*4</f>
        <v>3.1496062992125984E-2</v>
      </c>
      <c r="AV175" s="285">
        <f>+AV174/AV156*4</f>
        <v>4.7244094488188976E-2</v>
      </c>
      <c r="AW175" s="25">
        <f>+AW174/AVERAGE(AW156,AR156)</f>
        <v>4.072398190045249E-2</v>
      </c>
      <c r="AX175" s="284">
        <f>+AV175</f>
        <v>4.7244094488188976E-2</v>
      </c>
      <c r="AY175" s="241">
        <f>+AX175</f>
        <v>4.7244094488188976E-2</v>
      </c>
      <c r="AZ175" s="241">
        <f>+AY175</f>
        <v>4.7244094488188976E-2</v>
      </c>
      <c r="BA175" s="285">
        <f>+AZ175</f>
        <v>4.7244094488188976E-2</v>
      </c>
      <c r="BB175" s="25">
        <f>+BB174/BB156</f>
        <v>4.7244094488188976E-2</v>
      </c>
      <c r="BC175" s="284">
        <f>+BA175</f>
        <v>4.7244094488188976E-2</v>
      </c>
      <c r="BD175" s="241">
        <f>+BC175</f>
        <v>4.7244094488188976E-2</v>
      </c>
      <c r="BE175" s="241">
        <f>+BD175</f>
        <v>4.7244094488188976E-2</v>
      </c>
      <c r="BF175" s="285">
        <f>+BE175</f>
        <v>4.7244094488188976E-2</v>
      </c>
      <c r="BG175" s="25">
        <f>+BG174/BG156</f>
        <v>4.7244094488188976E-2</v>
      </c>
      <c r="BH175" s="284">
        <f>+BF175</f>
        <v>4.7244094488188976E-2</v>
      </c>
      <c r="BI175" s="241">
        <f>+BH175</f>
        <v>4.7244094488188976E-2</v>
      </c>
      <c r="BJ175" s="241">
        <f>+BI175</f>
        <v>4.7244094488188976E-2</v>
      </c>
      <c r="BK175" s="285">
        <f>+BJ175</f>
        <v>4.7244094488188976E-2</v>
      </c>
      <c r="BL175" s="25">
        <f>+BL174/BL156</f>
        <v>4.7244094488188976E-2</v>
      </c>
      <c r="BM175" s="284">
        <f>+BK175</f>
        <v>4.7244094488188976E-2</v>
      </c>
      <c r="BN175" s="241">
        <f>+BM175</f>
        <v>4.7244094488188976E-2</v>
      </c>
      <c r="BO175" s="241">
        <f>+BN175</f>
        <v>4.7244094488188976E-2</v>
      </c>
      <c r="BP175" s="285">
        <f>+BO175</f>
        <v>4.7244094488188976E-2</v>
      </c>
      <c r="BQ175" s="25">
        <f>+BQ174/BQ156</f>
        <v>4.7244094488188976E-2</v>
      </c>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row>
    <row r="176" spans="1:99" ht="12.75" customHeight="1">
      <c r="A176" s="28"/>
      <c r="B176" s="28"/>
      <c r="C176" s="28"/>
      <c r="D176" s="28"/>
      <c r="E176" s="415"/>
      <c r="F176" s="242"/>
      <c r="G176" s="242"/>
      <c r="H176" s="416"/>
      <c r="I176" s="45"/>
      <c r="J176" s="415"/>
      <c r="K176" s="242"/>
      <c r="L176" s="242"/>
      <c r="M176" s="416"/>
      <c r="N176" s="45"/>
      <c r="O176" s="415"/>
      <c r="P176" s="242"/>
      <c r="Q176" s="242"/>
      <c r="R176" s="416"/>
      <c r="S176" s="45"/>
      <c r="T176" s="415"/>
      <c r="U176" s="242"/>
      <c r="V176" s="241"/>
      <c r="W176" s="285"/>
      <c r="X176" s="25"/>
      <c r="Y176" s="415"/>
      <c r="Z176" s="242"/>
      <c r="AA176" s="241"/>
      <c r="AB176" s="285"/>
      <c r="AC176" s="25"/>
      <c r="AD176" s="415"/>
      <c r="AE176" s="242"/>
      <c r="AF176" s="241"/>
      <c r="AG176" s="285"/>
      <c r="AH176" s="25"/>
      <c r="AI176" s="415"/>
      <c r="AJ176" s="242"/>
      <c r="AK176" s="241"/>
      <c r="AL176" s="285"/>
      <c r="AM176" s="25"/>
      <c r="AN176" s="415"/>
      <c r="AO176" s="242"/>
      <c r="AP176" s="241"/>
      <c r="AQ176" s="285"/>
      <c r="AR176" s="25"/>
      <c r="AS176" s="415"/>
      <c r="AT176" s="241"/>
      <c r="AU176" s="241"/>
      <c r="AV176" s="285"/>
      <c r="AW176" s="25"/>
      <c r="AX176" s="284"/>
      <c r="AY176" s="241"/>
      <c r="AZ176" s="241"/>
      <c r="BA176" s="285"/>
      <c r="BB176" s="25"/>
      <c r="BC176" s="284"/>
      <c r="BD176" s="241"/>
      <c r="BE176" s="241"/>
      <c r="BF176" s="285"/>
      <c r="BG176" s="25"/>
      <c r="BH176" s="284"/>
      <c r="BI176" s="241"/>
      <c r="BJ176" s="241"/>
      <c r="BK176" s="285"/>
      <c r="BL176" s="25"/>
      <c r="BM176" s="284"/>
      <c r="BN176" s="241"/>
      <c r="BO176" s="241"/>
      <c r="BP176" s="285"/>
      <c r="BQ176" s="25"/>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row>
    <row r="177" spans="1:129" ht="12.75" customHeight="1">
      <c r="A177" s="383"/>
      <c r="B177" s="383"/>
      <c r="C177" s="383"/>
      <c r="D177" s="383"/>
      <c r="E177" s="613"/>
      <c r="F177" s="614"/>
      <c r="G177" s="614"/>
      <c r="H177" s="615"/>
      <c r="I177" s="383"/>
      <c r="J177" s="613"/>
      <c r="K177" s="614"/>
      <c r="L177" s="614"/>
      <c r="M177" s="615"/>
      <c r="N177" s="383"/>
      <c r="O177" s="613"/>
      <c r="P177" s="614"/>
      <c r="Q177" s="614"/>
      <c r="R177" s="615"/>
      <c r="S177" s="383"/>
      <c r="T177" s="613"/>
      <c r="U177" s="614"/>
      <c r="V177" s="614"/>
      <c r="W177" s="615"/>
      <c r="X177" s="383"/>
      <c r="Y177" s="613"/>
      <c r="Z177" s="614"/>
      <c r="AA177" s="614"/>
      <c r="AB177" s="615"/>
      <c r="AC177" s="383"/>
      <c r="AD177" s="613"/>
      <c r="AE177" s="614"/>
      <c r="AF177" s="614"/>
      <c r="AG177" s="615"/>
      <c r="AH177" s="383"/>
      <c r="AI177" s="613"/>
      <c r="AJ177" s="614"/>
      <c r="AK177" s="614"/>
      <c r="AL177" s="615"/>
      <c r="AM177" s="383"/>
      <c r="AN177" s="613"/>
      <c r="AO177" s="614"/>
      <c r="AP177" s="614"/>
      <c r="AQ177" s="615"/>
      <c r="AR177" s="383"/>
      <c r="AS177" s="613"/>
      <c r="AT177" s="614"/>
      <c r="AU177" s="614"/>
      <c r="AV177" s="615"/>
      <c r="AW177" s="383"/>
      <c r="AX177" s="613"/>
      <c r="AY177" s="614"/>
      <c r="AZ177" s="614"/>
      <c r="BA177" s="615"/>
      <c r="BB177" s="383"/>
      <c r="BC177" s="613"/>
      <c r="BD177" s="614"/>
      <c r="BE177" s="614"/>
      <c r="BF177" s="615"/>
      <c r="BG177" s="383"/>
      <c r="BH177" s="613"/>
      <c r="BI177" s="614"/>
      <c r="BJ177" s="614"/>
      <c r="BK177" s="615"/>
      <c r="BL177" s="383"/>
      <c r="BM177" s="613"/>
      <c r="BN177" s="614"/>
      <c r="BO177" s="614"/>
      <c r="BP177" s="615"/>
      <c r="BQ177" s="383"/>
      <c r="BR177" s="383"/>
      <c r="BS177" s="383"/>
      <c r="BT177" s="383"/>
      <c r="BU177" s="383"/>
      <c r="BV177" s="383"/>
      <c r="BW177" s="383"/>
      <c r="BX177" s="383"/>
      <c r="BY177" s="383"/>
      <c r="BZ177" s="383"/>
      <c r="CA177" s="383"/>
      <c r="CB177" s="383"/>
      <c r="CC177" s="383"/>
      <c r="CD177" s="383"/>
      <c r="CE177" s="383"/>
      <c r="CF177" s="383"/>
      <c r="CG177" s="383"/>
      <c r="CH177" s="383"/>
      <c r="CI177" s="383"/>
      <c r="CJ177" s="383"/>
      <c r="CK177" s="383"/>
      <c r="CL177" s="383"/>
      <c r="CM177" s="383"/>
      <c r="CN177" s="383"/>
      <c r="CO177" s="383"/>
      <c r="CP177" s="383"/>
      <c r="CQ177" s="383"/>
      <c r="CR177" s="383"/>
      <c r="CS177" s="383"/>
      <c r="CT177" s="383"/>
      <c r="CU177" s="383"/>
    </row>
    <row r="178" spans="1:129" ht="12.75" customHeight="1">
      <c r="A178" s="383"/>
      <c r="B178" s="379" t="s">
        <v>275</v>
      </c>
      <c r="C178" s="658"/>
      <c r="D178" s="659"/>
      <c r="E178" s="613"/>
      <c r="F178" s="614"/>
      <c r="G178" s="614"/>
      <c r="H178" s="615"/>
      <c r="I178" s="383"/>
      <c r="J178" s="613"/>
      <c r="K178" s="614"/>
      <c r="L178" s="614"/>
      <c r="M178" s="615"/>
      <c r="N178" s="383"/>
      <c r="O178" s="613"/>
      <c r="P178" s="614"/>
      <c r="Q178" s="614"/>
      <c r="R178" s="615"/>
      <c r="S178" s="383"/>
      <c r="T178" s="613"/>
      <c r="U178" s="614"/>
      <c r="V178" s="614"/>
      <c r="W178" s="615"/>
      <c r="X178" s="383"/>
      <c r="Y178" s="613"/>
      <c r="Z178" s="614"/>
      <c r="AA178" s="614"/>
      <c r="AB178" s="615"/>
      <c r="AC178" s="383"/>
      <c r="AD178" s="613"/>
      <c r="AE178" s="614"/>
      <c r="AF178" s="614"/>
      <c r="AG178" s="615"/>
      <c r="AH178" s="383"/>
      <c r="AI178" s="613"/>
      <c r="AJ178" s="614"/>
      <c r="AK178" s="614"/>
      <c r="AL178" s="615"/>
      <c r="AM178" s="383"/>
      <c r="AN178" s="613"/>
      <c r="AO178" s="614"/>
      <c r="AP178" s="614"/>
      <c r="AQ178" s="615"/>
      <c r="AR178" s="383"/>
      <c r="AS178" s="613"/>
      <c r="AT178" s="614"/>
      <c r="AU178" s="614"/>
      <c r="AV178" s="615"/>
      <c r="AW178" s="383"/>
      <c r="AX178" s="613"/>
      <c r="AY178" s="614"/>
      <c r="AZ178" s="614"/>
      <c r="BA178" s="615"/>
      <c r="BB178" s="383"/>
      <c r="BC178" s="613"/>
      <c r="BD178" s="614"/>
      <c r="BE178" s="614"/>
      <c r="BF178" s="615"/>
      <c r="BG178" s="383"/>
      <c r="BH178" s="613"/>
      <c r="BI178" s="614"/>
      <c r="BJ178" s="614"/>
      <c r="BK178" s="615"/>
      <c r="BL178" s="383"/>
      <c r="BM178" s="613"/>
      <c r="BN178" s="614"/>
      <c r="BO178" s="614"/>
      <c r="BP178" s="615"/>
      <c r="BQ178" s="383"/>
      <c r="BR178" s="383"/>
      <c r="BS178" s="383"/>
      <c r="BT178" s="383"/>
      <c r="BU178" s="383"/>
      <c r="BV178" s="383"/>
      <c r="BW178" s="383"/>
      <c r="BX178" s="383"/>
      <c r="BY178" s="383"/>
      <c r="BZ178" s="383"/>
      <c r="CA178" s="383"/>
      <c r="CB178" s="383"/>
      <c r="CC178" s="383"/>
      <c r="CD178" s="383"/>
      <c r="CE178" s="383"/>
      <c r="CF178" s="383"/>
      <c r="CG178" s="383"/>
      <c r="CH178" s="383"/>
      <c r="CI178" s="383"/>
      <c r="CJ178" s="383"/>
      <c r="CK178" s="383"/>
      <c r="CL178" s="383"/>
      <c r="CM178" s="383"/>
      <c r="CN178" s="383"/>
      <c r="CO178" s="383"/>
      <c r="CP178" s="383"/>
      <c r="CQ178" s="383"/>
      <c r="CR178" s="383"/>
      <c r="CS178" s="383"/>
      <c r="CT178" s="383"/>
      <c r="CU178" s="383"/>
    </row>
    <row r="179" spans="1:129" ht="12.75" customHeight="1">
      <c r="A179" s="383"/>
      <c r="B179" s="383"/>
      <c r="C179" s="389" t="s">
        <v>236</v>
      </c>
      <c r="D179" s="383"/>
      <c r="E179" s="613"/>
      <c r="F179" s="614"/>
      <c r="G179" s="614"/>
      <c r="H179" s="615"/>
      <c r="I179" s="383"/>
      <c r="J179" s="613"/>
      <c r="K179" s="614"/>
      <c r="L179" s="614"/>
      <c r="M179" s="615"/>
      <c r="N179" s="383"/>
      <c r="O179" s="613"/>
      <c r="P179" s="614"/>
      <c r="Q179" s="614"/>
      <c r="R179" s="615"/>
      <c r="S179" s="383"/>
      <c r="T179" s="613"/>
      <c r="U179" s="614"/>
      <c r="V179" s="614"/>
      <c r="W179" s="615"/>
      <c r="X179" s="383"/>
      <c r="Y179" s="613"/>
      <c r="Z179" s="614"/>
      <c r="AA179" s="614"/>
      <c r="AB179" s="615"/>
      <c r="AC179" s="383"/>
      <c r="AD179" s="613"/>
      <c r="AE179" s="614"/>
      <c r="AF179" s="614"/>
      <c r="AG179" s="615"/>
      <c r="AH179" s="383"/>
      <c r="AI179" s="613"/>
      <c r="AJ179" s="614"/>
      <c r="AK179" s="614"/>
      <c r="AL179" s="615"/>
      <c r="AM179" s="383"/>
      <c r="AN179" s="613"/>
      <c r="AO179" s="614"/>
      <c r="AP179" s="614"/>
      <c r="AQ179" s="615"/>
      <c r="AR179" s="383"/>
      <c r="AS179" s="613"/>
      <c r="AT179" s="614"/>
      <c r="AU179" s="614"/>
      <c r="AV179" s="615"/>
      <c r="AW179" s="383"/>
      <c r="AX179" s="613"/>
      <c r="AY179" s="614"/>
      <c r="AZ179" s="614"/>
      <c r="BA179" s="615"/>
      <c r="BB179" s="383"/>
      <c r="BC179" s="613"/>
      <c r="BD179" s="614"/>
      <c r="BE179" s="614"/>
      <c r="BF179" s="615"/>
      <c r="BG179" s="383"/>
      <c r="BH179" s="613"/>
      <c r="BI179" s="614"/>
      <c r="BJ179" s="614"/>
      <c r="BK179" s="615"/>
      <c r="BL179" s="383"/>
      <c r="BM179" s="613"/>
      <c r="BN179" s="614"/>
      <c r="BO179" s="614"/>
      <c r="BP179" s="615"/>
      <c r="BQ179" s="383"/>
      <c r="BR179" s="383"/>
      <c r="BS179" s="383"/>
      <c r="BT179" s="383"/>
      <c r="BU179" s="383"/>
      <c r="BV179" s="383"/>
      <c r="BW179" s="383"/>
      <c r="BX179" s="383"/>
      <c r="BY179" s="383"/>
      <c r="BZ179" s="383"/>
      <c r="CA179" s="383"/>
      <c r="CB179" s="383"/>
      <c r="CC179" s="383"/>
      <c r="CD179" s="383"/>
      <c r="CE179" s="383"/>
      <c r="CF179" s="383"/>
      <c r="CG179" s="383"/>
      <c r="CH179" s="383"/>
      <c r="CI179" s="383"/>
      <c r="CJ179" s="383"/>
      <c r="CK179" s="383"/>
      <c r="CL179" s="383"/>
      <c r="CM179" s="383"/>
      <c r="CN179" s="383"/>
      <c r="CO179" s="383"/>
      <c r="CP179" s="383"/>
      <c r="CQ179" s="383"/>
      <c r="CR179" s="383"/>
      <c r="CS179" s="383"/>
      <c r="CT179" s="383"/>
      <c r="CU179" s="383"/>
    </row>
    <row r="180" spans="1:129" ht="12.75" customHeight="1">
      <c r="A180" s="45"/>
      <c r="B180" s="45"/>
      <c r="C180" s="391" t="s">
        <v>234</v>
      </c>
      <c r="D180" s="45"/>
      <c r="E180" s="290">
        <f t="shared" ref="E180:S180" si="454">+E204</f>
        <v>249</v>
      </c>
      <c r="F180" s="260">
        <f t="shared" si="454"/>
        <v>-1</v>
      </c>
      <c r="G180" s="260">
        <f t="shared" si="454"/>
        <v>2</v>
      </c>
      <c r="H180" s="291">
        <f t="shared" si="454"/>
        <v>0</v>
      </c>
      <c r="I180" s="45">
        <f t="shared" si="454"/>
        <v>250</v>
      </c>
      <c r="J180" s="290">
        <f t="shared" si="454"/>
        <v>0</v>
      </c>
      <c r="K180" s="260">
        <f t="shared" si="454"/>
        <v>0</v>
      </c>
      <c r="L180" s="260">
        <f t="shared" si="454"/>
        <v>0</v>
      </c>
      <c r="M180" s="291">
        <f t="shared" si="454"/>
        <v>0</v>
      </c>
      <c r="N180" s="45">
        <f t="shared" si="454"/>
        <v>0</v>
      </c>
      <c r="O180" s="290">
        <f t="shared" si="454"/>
        <v>0</v>
      </c>
      <c r="P180" s="260">
        <f t="shared" si="454"/>
        <v>0</v>
      </c>
      <c r="Q180" s="260">
        <f t="shared" si="454"/>
        <v>0</v>
      </c>
      <c r="R180" s="291">
        <f t="shared" si="454"/>
        <v>0</v>
      </c>
      <c r="S180" s="45">
        <f t="shared" si="454"/>
        <v>0</v>
      </c>
      <c r="T180" s="290">
        <f t="shared" ref="T180:X181" si="455">+T204</f>
        <v>0</v>
      </c>
      <c r="U180" s="260">
        <f t="shared" si="455"/>
        <v>0</v>
      </c>
      <c r="V180" s="260">
        <f t="shared" si="455"/>
        <v>350</v>
      </c>
      <c r="W180" s="291">
        <f t="shared" si="455"/>
        <v>0</v>
      </c>
      <c r="X180" s="45">
        <f t="shared" si="455"/>
        <v>350</v>
      </c>
      <c r="Y180" s="290">
        <f>+Y204</f>
        <v>0</v>
      </c>
      <c r="Z180" s="260">
        <f>+Z204</f>
        <v>0</v>
      </c>
      <c r="AA180" s="1441">
        <f t="shared" ref="AA180:AC181" si="456">+AA204</f>
        <v>550</v>
      </c>
      <c r="AB180" s="1442">
        <f t="shared" si="456"/>
        <v>0</v>
      </c>
      <c r="AC180" s="1443">
        <f t="shared" si="456"/>
        <v>550</v>
      </c>
      <c r="AD180" s="290">
        <f>+AD204</f>
        <v>0</v>
      </c>
      <c r="AE180" s="260">
        <f>+AE204</f>
        <v>0</v>
      </c>
      <c r="AF180" s="1441">
        <f t="shared" ref="AF180:AH180" si="457">+AF204</f>
        <v>300</v>
      </c>
      <c r="AG180" s="1442">
        <f t="shared" si="457"/>
        <v>0</v>
      </c>
      <c r="AH180" s="1443">
        <f t="shared" si="457"/>
        <v>300</v>
      </c>
      <c r="AI180" s="290">
        <f>+AI204</f>
        <v>0</v>
      </c>
      <c r="AJ180" s="260">
        <f>+AJ204</f>
        <v>0</v>
      </c>
      <c r="AK180" s="1441">
        <f t="shared" ref="AK180:AM180" si="458">+AK204</f>
        <v>0</v>
      </c>
      <c r="AL180" s="1442">
        <f t="shared" si="458"/>
        <v>350</v>
      </c>
      <c r="AM180" s="1443">
        <f t="shared" si="458"/>
        <v>350</v>
      </c>
      <c r="AN180" s="290">
        <f t="shared" ref="AN180:AP181" si="459">+AN204</f>
        <v>0</v>
      </c>
      <c r="AO180" s="260">
        <f t="shared" si="459"/>
        <v>0</v>
      </c>
      <c r="AP180" s="260">
        <f t="shared" si="459"/>
        <v>300</v>
      </c>
      <c r="AQ180" s="1442">
        <f t="shared" ref="AQ180:AR180" si="460">+AQ204</f>
        <v>0</v>
      </c>
      <c r="AR180" s="1443">
        <f t="shared" si="460"/>
        <v>300</v>
      </c>
      <c r="AS180" s="290">
        <f>+AS204</f>
        <v>0</v>
      </c>
      <c r="AT180" s="260">
        <f>+AT204</f>
        <v>0</v>
      </c>
      <c r="AU180" s="260">
        <f t="shared" ref="AU180:AW181" si="461">+AU204</f>
        <v>325</v>
      </c>
      <c r="AV180" s="1442">
        <f t="shared" si="461"/>
        <v>0</v>
      </c>
      <c r="AW180" s="1443">
        <f t="shared" si="461"/>
        <v>325</v>
      </c>
      <c r="AX180" s="290">
        <f>Debt!AL131</f>
        <v>0</v>
      </c>
      <c r="AY180" s="260">
        <f>Debt!AM131</f>
        <v>0</v>
      </c>
      <c r="AZ180" s="260">
        <f>Debt!AN131</f>
        <v>575</v>
      </c>
      <c r="BA180" s="291">
        <f>Debt!AO131</f>
        <v>0</v>
      </c>
      <c r="BB180" s="426">
        <v>575</v>
      </c>
      <c r="BC180" s="290">
        <f>Debt!AQ131</f>
        <v>0</v>
      </c>
      <c r="BD180" s="260">
        <f>Debt!AR131</f>
        <v>0</v>
      </c>
      <c r="BE180" s="260">
        <f>Debt!AS131</f>
        <v>235</v>
      </c>
      <c r="BF180" s="291">
        <f>Debt!AT131</f>
        <v>0</v>
      </c>
      <c r="BG180" s="2032">
        <v>235</v>
      </c>
      <c r="BH180" s="290">
        <f>Debt!AV131</f>
        <v>0</v>
      </c>
      <c r="BI180" s="260">
        <f>Debt!AW131</f>
        <v>0</v>
      </c>
      <c r="BJ180" s="260">
        <f>Debt!AX131</f>
        <v>150</v>
      </c>
      <c r="BK180" s="291">
        <f>Debt!AY131</f>
        <v>0</v>
      </c>
      <c r="BL180" s="2032">
        <v>150</v>
      </c>
      <c r="BM180" s="290">
        <f>Debt!BA131</f>
        <v>0</v>
      </c>
      <c r="BN180" s="260">
        <f>Debt!BB131</f>
        <v>0</v>
      </c>
      <c r="BO180" s="260">
        <f>Debt!BC131</f>
        <v>440</v>
      </c>
      <c r="BP180" s="291">
        <f>Debt!BD131</f>
        <v>0</v>
      </c>
      <c r="BQ180" s="2032">
        <v>440</v>
      </c>
      <c r="BR180" s="45"/>
      <c r="BS180" s="45"/>
      <c r="BT180" s="45"/>
      <c r="BU180" s="45"/>
      <c r="BV180" s="45"/>
      <c r="BW180" s="45"/>
      <c r="BX180" s="45"/>
      <c r="BY180" s="45"/>
      <c r="BZ180" s="45"/>
      <c r="CA180" s="45"/>
      <c r="CB180" s="45"/>
      <c r="CC180" s="45"/>
      <c r="CD180" s="45"/>
      <c r="CE180" s="45"/>
      <c r="CF180" s="45"/>
      <c r="CG180" s="45"/>
      <c r="CH180" s="45"/>
      <c r="CI180" s="45"/>
      <c r="CJ180" s="45"/>
      <c r="CK180" s="45"/>
      <c r="CL180" s="45"/>
      <c r="CM180" s="45"/>
      <c r="CN180" s="45"/>
      <c r="CO180" s="45"/>
      <c r="CP180" s="45"/>
      <c r="CQ180" s="45"/>
      <c r="CR180" s="45"/>
      <c r="CS180" s="45"/>
      <c r="CT180" s="45"/>
      <c r="CU180" s="45"/>
    </row>
    <row r="181" spans="1:129" ht="12.75" customHeight="1">
      <c r="A181" s="45"/>
      <c r="B181" s="45"/>
      <c r="C181" s="391" t="s">
        <v>235</v>
      </c>
      <c r="D181" s="45"/>
      <c r="E181" s="290">
        <f t="shared" ref="E181:S181" si="462">+E205</f>
        <v>-169</v>
      </c>
      <c r="F181" s="260">
        <f t="shared" si="462"/>
        <v>-161</v>
      </c>
      <c r="G181" s="260">
        <f t="shared" si="462"/>
        <v>-203</v>
      </c>
      <c r="H181" s="291">
        <f t="shared" si="462"/>
        <v>-176</v>
      </c>
      <c r="I181" s="45">
        <f t="shared" si="462"/>
        <v>-709</v>
      </c>
      <c r="J181" s="290">
        <f t="shared" si="462"/>
        <v>-402</v>
      </c>
      <c r="K181" s="260">
        <f t="shared" si="462"/>
        <v>0</v>
      </c>
      <c r="L181" s="260">
        <f t="shared" si="462"/>
        <v>-404</v>
      </c>
      <c r="M181" s="291">
        <f t="shared" si="462"/>
        <v>0</v>
      </c>
      <c r="N181" s="45">
        <f t="shared" si="462"/>
        <v>-806</v>
      </c>
      <c r="O181" s="290">
        <f t="shared" si="462"/>
        <v>0</v>
      </c>
      <c r="P181" s="260">
        <f t="shared" si="462"/>
        <v>0</v>
      </c>
      <c r="Q181" s="260">
        <f t="shared" si="462"/>
        <v>0</v>
      </c>
      <c r="R181" s="291">
        <f t="shared" si="462"/>
        <v>-250</v>
      </c>
      <c r="S181" s="45">
        <f t="shared" si="462"/>
        <v>-250</v>
      </c>
      <c r="T181" s="290">
        <f t="shared" si="455"/>
        <v>0</v>
      </c>
      <c r="U181" s="260">
        <f t="shared" si="455"/>
        <v>0</v>
      </c>
      <c r="V181" s="260">
        <f t="shared" si="455"/>
        <v>0</v>
      </c>
      <c r="W181" s="291">
        <f t="shared" si="455"/>
        <v>-375</v>
      </c>
      <c r="X181" s="45">
        <f t="shared" si="455"/>
        <v>-375</v>
      </c>
      <c r="Y181" s="290">
        <f>+Y205</f>
        <v>0</v>
      </c>
      <c r="Z181" s="260">
        <f>+Z205</f>
        <v>0</v>
      </c>
      <c r="AA181" s="1441">
        <f t="shared" si="456"/>
        <v>0</v>
      </c>
      <c r="AB181" s="1442">
        <f t="shared" si="456"/>
        <v>-300</v>
      </c>
      <c r="AC181" s="1443">
        <f t="shared" si="456"/>
        <v>-300</v>
      </c>
      <c r="AD181" s="290">
        <f>+AD205</f>
        <v>0</v>
      </c>
      <c r="AE181" s="260">
        <f>+AE205</f>
        <v>0</v>
      </c>
      <c r="AF181" s="1441">
        <f t="shared" ref="AF181:AH181" si="463">+AF205</f>
        <v>0</v>
      </c>
      <c r="AG181" s="1442">
        <f t="shared" si="463"/>
        <v>-250</v>
      </c>
      <c r="AH181" s="1443">
        <f t="shared" si="463"/>
        <v>-250</v>
      </c>
      <c r="AI181" s="290">
        <f>+AI205</f>
        <v>0</v>
      </c>
      <c r="AJ181" s="260">
        <f>+AJ205</f>
        <v>0</v>
      </c>
      <c r="AK181" s="1441">
        <f t="shared" ref="AK181:AM181" si="464">+AK205</f>
        <v>0</v>
      </c>
      <c r="AL181" s="1442">
        <f t="shared" si="464"/>
        <v>0</v>
      </c>
      <c r="AM181" s="1443">
        <f t="shared" si="464"/>
        <v>0</v>
      </c>
      <c r="AN181" s="290">
        <f t="shared" si="459"/>
        <v>0</v>
      </c>
      <c r="AO181" s="260">
        <f t="shared" si="459"/>
        <v>0</v>
      </c>
      <c r="AP181" s="260">
        <f t="shared" si="459"/>
        <v>0</v>
      </c>
      <c r="AQ181" s="1442">
        <f t="shared" ref="AQ181:AR181" si="465">+AQ205</f>
        <v>-300</v>
      </c>
      <c r="AR181" s="1443">
        <f t="shared" si="465"/>
        <v>-300</v>
      </c>
      <c r="AS181" s="290">
        <f>+AS205</f>
        <v>0</v>
      </c>
      <c r="AT181" s="260">
        <f>+AT205</f>
        <v>0</v>
      </c>
      <c r="AU181" s="260">
        <f t="shared" si="461"/>
        <v>0</v>
      </c>
      <c r="AV181" s="1442">
        <f t="shared" si="461"/>
        <v>0</v>
      </c>
      <c r="AW181" s="1443">
        <f t="shared" si="461"/>
        <v>0</v>
      </c>
      <c r="AX181" s="290">
        <f>Debt!AL121</f>
        <v>-500</v>
      </c>
      <c r="AY181" s="260">
        <f>Debt!AM121</f>
        <v>0</v>
      </c>
      <c r="AZ181" s="260">
        <f>Debt!AN121</f>
        <v>0</v>
      </c>
      <c r="BA181" s="291">
        <f>Debt!AO121</f>
        <v>0</v>
      </c>
      <c r="BB181" s="45">
        <f>SUM(AX181:BA181)</f>
        <v>-500</v>
      </c>
      <c r="BC181" s="290">
        <f>Debt!AQ121</f>
        <v>0</v>
      </c>
      <c r="BD181" s="260">
        <f>Debt!AR121</f>
        <v>0</v>
      </c>
      <c r="BE181" s="260">
        <f>Debt!AS121</f>
        <v>0</v>
      </c>
      <c r="BF181" s="291">
        <f>Debt!AT121</f>
        <v>0</v>
      </c>
      <c r="BG181" s="45">
        <f>SUM(BC181:BF181)</f>
        <v>0</v>
      </c>
      <c r="BH181" s="290">
        <f>Debt!AV121</f>
        <v>0</v>
      </c>
      <c r="BI181" s="260">
        <f>Debt!AW121</f>
        <v>0</v>
      </c>
      <c r="BJ181" s="260">
        <f>Debt!AX121</f>
        <v>0</v>
      </c>
      <c r="BK181" s="291">
        <f>Debt!AY121</f>
        <v>0</v>
      </c>
      <c r="BL181" s="45">
        <f>SUM(BH181:BK181)</f>
        <v>0</v>
      </c>
      <c r="BM181" s="290">
        <f>Debt!BA121</f>
        <v>0</v>
      </c>
      <c r="BN181" s="260">
        <f>Debt!BB121</f>
        <v>0</v>
      </c>
      <c r="BO181" s="260">
        <f>Debt!BC121</f>
        <v>-300</v>
      </c>
      <c r="BP181" s="291">
        <f>Debt!BD121</f>
        <v>0</v>
      </c>
      <c r="BQ181" s="45">
        <f>SUM(BM181:BP181)</f>
        <v>-300</v>
      </c>
      <c r="BR181" s="45"/>
      <c r="BS181" s="45"/>
      <c r="BT181" s="45"/>
      <c r="BU181" s="45"/>
      <c r="BV181" s="45"/>
      <c r="BW181" s="45"/>
      <c r="BX181" s="45"/>
      <c r="BY181" s="45"/>
      <c r="BZ181" s="45"/>
      <c r="CA181" s="45"/>
      <c r="CB181" s="45"/>
      <c r="CC181" s="45"/>
      <c r="CD181" s="45"/>
      <c r="CE181" s="45"/>
      <c r="CF181" s="45"/>
      <c r="CG181" s="45"/>
      <c r="CH181" s="45"/>
      <c r="CI181" s="45"/>
      <c r="CJ181" s="45"/>
      <c r="CK181" s="45"/>
      <c r="CL181" s="45"/>
      <c r="CM181" s="45"/>
      <c r="CN181" s="45"/>
      <c r="CO181" s="45"/>
      <c r="CP181" s="45"/>
      <c r="CQ181" s="45"/>
      <c r="CR181" s="45"/>
      <c r="CS181" s="45"/>
      <c r="CT181" s="45"/>
      <c r="CU181" s="45"/>
    </row>
    <row r="182" spans="1:129" ht="12.75" customHeight="1">
      <c r="A182" s="383"/>
      <c r="B182" s="383"/>
      <c r="C182" s="391"/>
      <c r="D182" s="383"/>
      <c r="E182" s="613"/>
      <c r="F182" s="614"/>
      <c r="G182" s="614"/>
      <c r="H182" s="615"/>
      <c r="I182" s="383"/>
      <c r="J182" s="613"/>
      <c r="K182" s="614"/>
      <c r="L182" s="614"/>
      <c r="M182" s="615"/>
      <c r="N182" s="383"/>
      <c r="O182" s="613"/>
      <c r="P182" s="614"/>
      <c r="Q182" s="260"/>
      <c r="R182" s="291"/>
      <c r="S182" s="45"/>
      <c r="T182" s="613"/>
      <c r="U182" s="614"/>
      <c r="V182" s="260"/>
      <c r="W182" s="291"/>
      <c r="X182" s="45"/>
      <c r="Y182" s="613"/>
      <c r="Z182" s="614"/>
      <c r="AA182" s="1441"/>
      <c r="AB182" s="1442"/>
      <c r="AC182" s="1443"/>
      <c r="AD182" s="613"/>
      <c r="AE182" s="614"/>
      <c r="AF182" s="1441"/>
      <c r="AG182" s="1442"/>
      <c r="AH182" s="1443"/>
      <c r="AI182" s="613"/>
      <c r="AJ182" s="614"/>
      <c r="AK182" s="1441"/>
      <c r="AL182" s="1442"/>
      <c r="AM182" s="1443"/>
      <c r="AN182" s="613"/>
      <c r="AO182" s="614"/>
      <c r="AP182" s="1441"/>
      <c r="AQ182" s="1442"/>
      <c r="AR182" s="1443"/>
      <c r="AS182" s="613"/>
      <c r="AT182" s="260"/>
      <c r="AU182" s="260"/>
      <c r="AV182" s="291"/>
      <c r="AW182" s="45"/>
      <c r="AX182" s="290"/>
      <c r="AY182" s="260"/>
      <c r="AZ182" s="260"/>
      <c r="BA182" s="291"/>
      <c r="BB182" s="45"/>
      <c r="BC182" s="290"/>
      <c r="BD182" s="260"/>
      <c r="BE182" s="260"/>
      <c r="BF182" s="291"/>
      <c r="BG182" s="45"/>
      <c r="BH182" s="290"/>
      <c r="BI182" s="260"/>
      <c r="BJ182" s="260"/>
      <c r="BK182" s="291"/>
      <c r="BL182" s="45"/>
      <c r="BM182" s="290"/>
      <c r="BN182" s="260"/>
      <c r="BO182" s="260"/>
      <c r="BP182" s="291"/>
      <c r="BQ182" s="45"/>
      <c r="BR182" s="383"/>
      <c r="BS182" s="383"/>
      <c r="BT182" s="383"/>
      <c r="BU182" s="383"/>
      <c r="BV182" s="383"/>
      <c r="BW182" s="383"/>
      <c r="BX182" s="383"/>
      <c r="BY182" s="383"/>
      <c r="BZ182" s="383"/>
      <c r="CA182" s="383"/>
      <c r="CB182" s="383"/>
      <c r="CC182" s="383"/>
      <c r="CD182" s="383"/>
      <c r="CE182" s="383"/>
      <c r="CF182" s="383"/>
      <c r="CG182" s="383"/>
      <c r="CH182" s="383"/>
      <c r="CI182" s="383"/>
      <c r="CJ182" s="383"/>
      <c r="CK182" s="383"/>
      <c r="CL182" s="383"/>
      <c r="CM182" s="383"/>
      <c r="CN182" s="383"/>
      <c r="CO182" s="383"/>
      <c r="CP182" s="383"/>
      <c r="CQ182" s="383"/>
      <c r="CR182" s="383"/>
      <c r="CS182" s="383"/>
      <c r="CT182" s="383"/>
      <c r="CU182" s="383"/>
    </row>
    <row r="183" spans="1:129" ht="12.75" customHeight="1">
      <c r="A183" s="383"/>
      <c r="B183" s="383"/>
      <c r="C183" s="389" t="s">
        <v>318</v>
      </c>
      <c r="D183" s="383"/>
      <c r="E183" s="613"/>
      <c r="F183" s="614"/>
      <c r="G183" s="614"/>
      <c r="H183" s="615"/>
      <c r="I183" s="383"/>
      <c r="J183" s="613"/>
      <c r="K183" s="614"/>
      <c r="L183" s="614"/>
      <c r="M183" s="615"/>
      <c r="N183" s="383"/>
      <c r="O183" s="613"/>
      <c r="P183" s="614"/>
      <c r="Q183" s="260"/>
      <c r="R183" s="291"/>
      <c r="S183" s="45"/>
      <c r="T183" s="613"/>
      <c r="U183" s="614"/>
      <c r="V183" s="260"/>
      <c r="W183" s="291"/>
      <c r="X183" s="45"/>
      <c r="Y183" s="613"/>
      <c r="Z183" s="614"/>
      <c r="AA183" s="1441"/>
      <c r="AB183" s="1442"/>
      <c r="AC183" s="1443"/>
      <c r="AD183" s="613"/>
      <c r="AE183" s="614"/>
      <c r="AF183" s="1441"/>
      <c r="AG183" s="1442"/>
      <c r="AH183" s="1443"/>
      <c r="AI183" s="613"/>
      <c r="AJ183" s="614"/>
      <c r="AK183" s="1441"/>
      <c r="AL183" s="1442"/>
      <c r="AM183" s="1443"/>
      <c r="AN183" s="613"/>
      <c r="AO183" s="614"/>
      <c r="AP183" s="1441"/>
      <c r="AQ183" s="1442"/>
      <c r="AR183" s="1443"/>
      <c r="AS183" s="613"/>
      <c r="AT183" s="260"/>
      <c r="AU183" s="260"/>
      <c r="AV183" s="291"/>
      <c r="AW183" s="45"/>
      <c r="AX183" s="290"/>
      <c r="AY183" s="260"/>
      <c r="AZ183" s="260"/>
      <c r="BA183" s="291"/>
      <c r="BB183" s="45"/>
      <c r="BC183" s="290"/>
      <c r="BD183" s="260"/>
      <c r="BE183" s="260"/>
      <c r="BF183" s="291"/>
      <c r="BG183" s="45"/>
      <c r="BH183" s="290"/>
      <c r="BI183" s="260"/>
      <c r="BJ183" s="260"/>
      <c r="BK183" s="291"/>
      <c r="BL183" s="45"/>
      <c r="BM183" s="290"/>
      <c r="BN183" s="260"/>
      <c r="BO183" s="260"/>
      <c r="BP183" s="291"/>
      <c r="BQ183" s="45"/>
      <c r="BR183" s="383"/>
      <c r="BS183" s="383"/>
      <c r="BT183" s="383"/>
      <c r="BU183" s="383"/>
      <c r="BV183" s="383"/>
      <c r="BW183" s="383"/>
      <c r="BX183" s="383"/>
      <c r="BY183" s="383"/>
      <c r="BZ183" s="383"/>
      <c r="CA183" s="383"/>
      <c r="CB183" s="383"/>
      <c r="CC183" s="383"/>
      <c r="CD183" s="383"/>
      <c r="CE183" s="383"/>
      <c r="CF183" s="383"/>
      <c r="CG183" s="383"/>
      <c r="CH183" s="383"/>
      <c r="CI183" s="383"/>
      <c r="CJ183" s="383"/>
      <c r="CK183" s="383"/>
      <c r="CL183" s="383"/>
      <c r="CM183" s="383"/>
      <c r="CN183" s="383"/>
      <c r="CO183" s="383"/>
      <c r="CP183" s="383"/>
      <c r="CQ183" s="383"/>
      <c r="CR183" s="383"/>
      <c r="CS183" s="383"/>
      <c r="CT183" s="383"/>
      <c r="CU183" s="383"/>
    </row>
    <row r="184" spans="1:129" ht="12.75" customHeight="1">
      <c r="A184" s="45"/>
      <c r="B184" s="45"/>
      <c r="C184" s="226" t="s">
        <v>421</v>
      </c>
      <c r="D184" s="45"/>
      <c r="E184" s="290"/>
      <c r="F184" s="260"/>
      <c r="G184" s="260"/>
      <c r="H184" s="291"/>
      <c r="I184" s="45"/>
      <c r="J184" s="290"/>
      <c r="K184" s="260"/>
      <c r="L184" s="260"/>
      <c r="M184" s="291"/>
      <c r="N184" s="1004"/>
      <c r="O184" s="290"/>
      <c r="P184" s="260"/>
      <c r="Q184" s="260"/>
      <c r="R184" s="291"/>
      <c r="S184" s="45"/>
      <c r="T184" s="290"/>
      <c r="U184" s="260"/>
      <c r="V184" s="260"/>
      <c r="W184" s="291"/>
      <c r="X184" s="45"/>
      <c r="Y184" s="290"/>
      <c r="Z184" s="260"/>
      <c r="AA184" s="1441"/>
      <c r="AB184" s="1442"/>
      <c r="AC184" s="1443"/>
      <c r="AD184" s="290"/>
      <c r="AE184" s="260"/>
      <c r="AF184" s="1441"/>
      <c r="AG184" s="1442"/>
      <c r="AH184" s="1443"/>
      <c r="AI184" s="290"/>
      <c r="AJ184" s="260"/>
      <c r="AK184" s="1441"/>
      <c r="AL184" s="1442"/>
      <c r="AM184" s="1443"/>
      <c r="AN184" s="290"/>
      <c r="AO184" s="260"/>
      <c r="AP184" s="1441"/>
      <c r="AQ184" s="1442"/>
      <c r="AR184" s="1443"/>
      <c r="AS184" s="290"/>
      <c r="AT184" s="260"/>
      <c r="AU184" s="260"/>
      <c r="AV184" s="1442"/>
      <c r="AW184" s="1443"/>
      <c r="AX184" s="290">
        <f>(((AV220-AS220)*AX188)/4)-((AV218-AS218)*(AX188-1%)/4)</f>
        <v>-0.60750000000000004</v>
      </c>
      <c r="AY184" s="260">
        <f ca="1">(((AX220-AT220)*AY188)/4)-((AX218-AT218)*(AY188-1%)/4)</f>
        <v>1.5068886832607513</v>
      </c>
      <c r="AZ184" s="260">
        <f ca="1">(((AY220-AU220)*AZ188)/4)-((AY218-AU218)*(AZ188-1%)/4)</f>
        <v>2.6894766992585106</v>
      </c>
      <c r="BA184" s="291">
        <f ca="1">(((AZ220-AV220)*BA188)/4)-((AZ218-AV218)*(BA188-1%)/4)</f>
        <v>0.36689533107691974</v>
      </c>
      <c r="BB184" s="45">
        <f ca="1">+SUM(AX184:BA184)</f>
        <v>3.9557607135961814</v>
      </c>
      <c r="BC184" s="290">
        <f ca="1">(((BA220-AX220)*BC188)/4)-((BA218-AX218)*(BC188-1%)/4)</f>
        <v>-1.4983730448871653</v>
      </c>
      <c r="BD184" s="260">
        <f ca="1">(((BC220-AY220)*BD188)/4)-((BC218-AY218)*(BD188-1%)/4)</f>
        <v>-1.8891904459811679</v>
      </c>
      <c r="BE184" s="260">
        <f ca="1">(((BD220-AZ220)*BE188)/4)-((BD218-AZ218)*(BE188-1%)/4)</f>
        <v>0.6592542098929397</v>
      </c>
      <c r="BF184" s="291">
        <f ca="1">(((BE220-BA220)*BF188)/4)-((BE218-BA218)*(BF188-1%)/4)</f>
        <v>-0.15447689116896562</v>
      </c>
      <c r="BG184" s="45">
        <f ca="1">+SUM(BC184:BF184)</f>
        <v>-2.8827861721443591</v>
      </c>
      <c r="BH184" s="290">
        <f ca="1">(((BF220-BC220)*BH188)/4)-((BF218-BC218)*(BH188-1%)/4)</f>
        <v>-6.8878730132341914E-2</v>
      </c>
      <c r="BI184" s="260">
        <f ca="1">(((BH220-BD220)*BI188)/4)-((BH218-BD218)*(BI188-1%)/4)</f>
        <v>-0.4165605705120739</v>
      </c>
      <c r="BJ184" s="260">
        <f ca="1">(((BI220-BE220)*BJ188)/4)-((BI218-BE218)*(BJ188-1%)/4)</f>
        <v>0.41507857359534878</v>
      </c>
      <c r="BK184" s="291">
        <f ca="1">(((BJ220-BF220)*BK188)/4)-((BJ218-BF218)*(BK188-1%)/4)</f>
        <v>-0.10205298991705909</v>
      </c>
      <c r="BL184" s="45">
        <f ca="1">+SUM(BH184:BK184)</f>
        <v>-0.17241371696612612</v>
      </c>
      <c r="BM184" s="290">
        <f ca="1">(((BK220-BH220)*BM188)/4)-((BK218-BH218)*(BM188-1%)/4)</f>
        <v>-1.7574762735403697E-2</v>
      </c>
      <c r="BN184" s="260">
        <f ca="1">(((BM220-BI220)*BN188)/4)-((BM218-BI218)*(BN188-1%)/4)</f>
        <v>-0.22853891458538916</v>
      </c>
      <c r="BO184" s="260">
        <f ca="1">(((BN220-BJ220)*BO188)/4)-((BN218-BJ218)*(BO188-1%)/4)</f>
        <v>0.32231687627725225</v>
      </c>
      <c r="BP184" s="291">
        <f ca="1">(((BO220-BK220)*BP188)/4)-((BO218-BK218)*(BP188-1%)/4)</f>
        <v>-0.11053664489736072</v>
      </c>
      <c r="BQ184" s="45">
        <f ca="1">+SUM(BM184:BP184)</f>
        <v>-3.4333445940901333E-2</v>
      </c>
      <c r="BR184" s="45"/>
      <c r="BS184" s="45"/>
      <c r="BT184" s="45"/>
      <c r="BU184" s="45"/>
      <c r="BV184" s="45"/>
      <c r="BW184" s="45"/>
      <c r="BX184" s="45"/>
      <c r="BY184" s="45"/>
      <c r="BZ184" s="45"/>
      <c r="CA184" s="45"/>
      <c r="CB184" s="45"/>
      <c r="CC184" s="45"/>
      <c r="CD184" s="45"/>
      <c r="CE184" s="45"/>
      <c r="CF184" s="45"/>
      <c r="CG184" s="45"/>
      <c r="CH184" s="45"/>
      <c r="CI184" s="45"/>
      <c r="CJ184" s="45"/>
      <c r="CK184" s="45"/>
      <c r="CL184" s="45"/>
      <c r="CM184" s="45"/>
      <c r="CN184" s="45"/>
      <c r="CO184" s="45"/>
      <c r="CP184" s="45"/>
      <c r="CQ184" s="45"/>
      <c r="CR184" s="45"/>
      <c r="CS184" s="45"/>
      <c r="CT184" s="45"/>
      <c r="CU184" s="45"/>
    </row>
    <row r="185" spans="1:129" ht="12.75" customHeight="1">
      <c r="A185" s="45"/>
      <c r="B185" s="45"/>
      <c r="C185" s="391" t="s">
        <v>224</v>
      </c>
      <c r="D185" s="45"/>
      <c r="E185" s="290"/>
      <c r="F185" s="260"/>
      <c r="G185" s="260"/>
      <c r="H185" s="291"/>
      <c r="I185" s="45"/>
      <c r="J185" s="290"/>
      <c r="K185" s="260"/>
      <c r="L185" s="260"/>
      <c r="M185" s="291"/>
      <c r="N185" s="45"/>
      <c r="O185" s="290"/>
      <c r="P185" s="260"/>
      <c r="Q185" s="260"/>
      <c r="R185" s="291"/>
      <c r="S185" s="45"/>
      <c r="T185" s="290"/>
      <c r="U185" s="260"/>
      <c r="V185" s="260"/>
      <c r="W185" s="291"/>
      <c r="X185" s="45"/>
      <c r="Y185" s="290"/>
      <c r="Z185" s="260"/>
      <c r="AA185" s="1441"/>
      <c r="AB185" s="1442"/>
      <c r="AC185" s="1443"/>
      <c r="AD185" s="290"/>
      <c r="AE185" s="260"/>
      <c r="AF185" s="1441"/>
      <c r="AG185" s="1442"/>
      <c r="AH185" s="1443"/>
      <c r="AI185" s="290"/>
      <c r="AJ185" s="260"/>
      <c r="AK185" s="1441"/>
      <c r="AL185" s="1442"/>
      <c r="AM185" s="1443"/>
      <c r="AN185" s="290"/>
      <c r="AO185" s="260"/>
      <c r="AP185" s="1441"/>
      <c r="AQ185" s="1442"/>
      <c r="AR185" s="1443"/>
      <c r="AS185" s="290"/>
      <c r="AT185" s="260"/>
      <c r="AU185" s="260"/>
      <c r="AV185" s="1442"/>
      <c r="AW185" s="1443"/>
      <c r="AX185" s="290">
        <f>Debt!CG131</f>
        <v>3.0062499999999996</v>
      </c>
      <c r="AY185" s="260">
        <f>Debt!CH131</f>
        <v>3.0062499999999996</v>
      </c>
      <c r="AZ185" s="260">
        <f>Debt!CI131</f>
        <v>9.1916666666666664</v>
      </c>
      <c r="BA185" s="291">
        <f>Debt!CJ131</f>
        <v>7.1875</v>
      </c>
      <c r="BB185" s="45">
        <f>Debt!CK131</f>
        <v>22.391666666666666</v>
      </c>
      <c r="BC185" s="290">
        <f>Debt!CL131</f>
        <v>7.1875</v>
      </c>
      <c r="BD185" s="260">
        <f>Debt!CM131</f>
        <v>7.1875</v>
      </c>
      <c r="BE185" s="260">
        <f>Debt!CN131</f>
        <v>2.9375</v>
      </c>
      <c r="BF185" s="291">
        <f>Debt!CO131</f>
        <v>2.9375</v>
      </c>
      <c r="BG185" s="45">
        <f>Debt!CP131</f>
        <v>20.25</v>
      </c>
      <c r="BH185" s="290">
        <f>Debt!CQ131</f>
        <v>2.9375</v>
      </c>
      <c r="BI185" s="260">
        <f>Debt!CR131</f>
        <v>2.9375</v>
      </c>
      <c r="BJ185" s="260">
        <f>Debt!CS131</f>
        <v>1.875</v>
      </c>
      <c r="BK185" s="291">
        <f>Debt!CT131</f>
        <v>1.875</v>
      </c>
      <c r="BL185" s="45">
        <f>Debt!CU131</f>
        <v>9.625</v>
      </c>
      <c r="BM185" s="290">
        <f>Debt!DA131</f>
        <v>0</v>
      </c>
      <c r="BN185" s="260">
        <f>Debt!DB131</f>
        <v>0</v>
      </c>
      <c r="BO185" s="260">
        <f>Debt!DC131</f>
        <v>0</v>
      </c>
      <c r="BP185" s="291">
        <f>Debt!DD131</f>
        <v>0</v>
      </c>
      <c r="BQ185" s="45">
        <f>Debt!DE131</f>
        <v>0</v>
      </c>
      <c r="BR185" s="45"/>
      <c r="BS185" s="45"/>
      <c r="BT185" s="45"/>
      <c r="BU185" s="45"/>
      <c r="BV185" s="45"/>
      <c r="BW185" s="45"/>
      <c r="BX185" s="45"/>
      <c r="BY185" s="45"/>
      <c r="BZ185" s="45"/>
      <c r="CA185" s="45"/>
      <c r="CB185" s="45"/>
      <c r="CC185" s="45"/>
      <c r="CD185" s="45"/>
      <c r="CE185" s="45"/>
      <c r="CF185" s="45"/>
      <c r="CG185" s="45"/>
      <c r="CH185" s="45"/>
      <c r="CI185" s="45"/>
      <c r="CJ185" s="45"/>
      <c r="CK185" s="45"/>
      <c r="CL185" s="45"/>
      <c r="CM185" s="45"/>
      <c r="CN185" s="45"/>
      <c r="CO185" s="45"/>
      <c r="CP185" s="45"/>
      <c r="CQ185" s="45"/>
      <c r="CR185" s="45"/>
      <c r="CS185" s="45"/>
      <c r="CT185" s="45"/>
      <c r="CU185" s="45"/>
    </row>
    <row r="186" spans="1:129" ht="12.75" customHeight="1">
      <c r="A186" s="45"/>
      <c r="B186" s="45"/>
      <c r="C186" s="391" t="s">
        <v>225</v>
      </c>
      <c r="D186" s="45"/>
      <c r="E186" s="290"/>
      <c r="F186" s="260"/>
      <c r="G186" s="260"/>
      <c r="H186" s="291"/>
      <c r="I186" s="45"/>
      <c r="J186" s="290"/>
      <c r="K186" s="260"/>
      <c r="L186" s="260"/>
      <c r="M186" s="291"/>
      <c r="N186" s="45"/>
      <c r="O186" s="290"/>
      <c r="P186" s="260"/>
      <c r="Q186" s="260"/>
      <c r="R186" s="291"/>
      <c r="S186" s="45"/>
      <c r="T186" s="290"/>
      <c r="U186" s="260"/>
      <c r="V186" s="260"/>
      <c r="W186" s="291"/>
      <c r="X186" s="45"/>
      <c r="Y186" s="290"/>
      <c r="Z186" s="260"/>
      <c r="AA186" s="1441"/>
      <c r="AB186" s="1442"/>
      <c r="AC186" s="1443"/>
      <c r="AD186" s="290"/>
      <c r="AE186" s="260"/>
      <c r="AF186" s="1441"/>
      <c r="AG186" s="1442"/>
      <c r="AH186" s="1443"/>
      <c r="AI186" s="290"/>
      <c r="AJ186" s="260"/>
      <c r="AK186" s="1441"/>
      <c r="AL186" s="1442"/>
      <c r="AM186" s="1443"/>
      <c r="AN186" s="290"/>
      <c r="AO186" s="260"/>
      <c r="AP186" s="1441"/>
      <c r="AQ186" s="1442"/>
      <c r="AR186" s="1443"/>
      <c r="AS186" s="290"/>
      <c r="AT186" s="260"/>
      <c r="AU186" s="260"/>
      <c r="AV186" s="1442"/>
      <c r="AW186" s="1443"/>
      <c r="AX186" s="290">
        <f>Debt!CG121</f>
        <v>-2.2291666666666665</v>
      </c>
      <c r="AY186" s="260">
        <f>Debt!CH121</f>
        <v>-6.6875</v>
      </c>
      <c r="AZ186" s="260">
        <f>Debt!CI121</f>
        <v>-6.6875</v>
      </c>
      <c r="BA186" s="291">
        <f>Debt!CJ121</f>
        <v>-6.6875</v>
      </c>
      <c r="BB186" s="45">
        <f>Debt!CK121</f>
        <v>-22.291666666666668</v>
      </c>
      <c r="BC186" s="290">
        <f>Debt!CL121</f>
        <v>-4.458333333333333</v>
      </c>
      <c r="BD186" s="260">
        <f>Debt!CM121</f>
        <v>0</v>
      </c>
      <c r="BE186" s="260">
        <f>Debt!CN121</f>
        <v>0</v>
      </c>
      <c r="BF186" s="291">
        <f>Debt!CO121</f>
        <v>0</v>
      </c>
      <c r="BG186" s="45">
        <f>Debt!CP121</f>
        <v>-4.4583333333333321</v>
      </c>
      <c r="BH186" s="290">
        <f>Debt!CQ121</f>
        <v>0</v>
      </c>
      <c r="BI186" s="260">
        <f>Debt!CR121</f>
        <v>0</v>
      </c>
      <c r="BJ186" s="260">
        <f>Debt!CS121</f>
        <v>0</v>
      </c>
      <c r="BK186" s="291">
        <f>Debt!CT121</f>
        <v>0</v>
      </c>
      <c r="BL186" s="45">
        <f>Debt!CU121</f>
        <v>0</v>
      </c>
      <c r="BM186" s="290">
        <f>Debt!DA121</f>
        <v>0</v>
      </c>
      <c r="BN186" s="260">
        <f>Debt!DB121</f>
        <v>0</v>
      </c>
      <c r="BO186" s="260">
        <f>Debt!DC121</f>
        <v>0</v>
      </c>
      <c r="BP186" s="291">
        <f>Debt!DD121</f>
        <v>0</v>
      </c>
      <c r="BQ186" s="45">
        <f>Debt!DE121</f>
        <v>0</v>
      </c>
      <c r="BR186" s="45"/>
      <c r="BS186" s="45"/>
      <c r="BT186" s="45"/>
      <c r="BU186" s="45"/>
      <c r="BV186" s="45"/>
      <c r="BW186" s="45"/>
      <c r="BX186" s="45"/>
      <c r="BY186" s="45"/>
      <c r="BZ186" s="45"/>
      <c r="CA186" s="45"/>
      <c r="CB186" s="45"/>
      <c r="CC186" s="45"/>
      <c r="CD186" s="45"/>
      <c r="CE186" s="45"/>
      <c r="CF186" s="45"/>
      <c r="CG186" s="45"/>
      <c r="CH186" s="45"/>
      <c r="CI186" s="45"/>
      <c r="CJ186" s="45"/>
      <c r="CK186" s="45"/>
      <c r="CL186" s="45"/>
      <c r="CM186" s="45"/>
      <c r="CN186" s="45"/>
      <c r="CO186" s="45"/>
      <c r="CP186" s="45"/>
      <c r="CQ186" s="45"/>
      <c r="CR186" s="45"/>
      <c r="CS186" s="45"/>
      <c r="CT186" s="45"/>
      <c r="CU186" s="45"/>
    </row>
    <row r="187" spans="1:129" ht="12.75" customHeight="1">
      <c r="A187" s="383"/>
      <c r="B187" s="383"/>
      <c r="C187" s="28"/>
      <c r="D187" s="383"/>
      <c r="E187" s="613"/>
      <c r="F187" s="614"/>
      <c r="G187" s="614"/>
      <c r="H187" s="615"/>
      <c r="I187" s="383"/>
      <c r="J187" s="613"/>
      <c r="K187" s="614"/>
      <c r="L187" s="614"/>
      <c r="M187" s="615"/>
      <c r="N187" s="383"/>
      <c r="O187" s="613"/>
      <c r="P187" s="614"/>
      <c r="Q187" s="614"/>
      <c r="R187" s="615"/>
      <c r="S187" s="383"/>
      <c r="T187" s="613"/>
      <c r="U187" s="614"/>
      <c r="V187" s="614"/>
      <c r="W187" s="615"/>
      <c r="X187" s="383"/>
      <c r="Y187" s="613"/>
      <c r="Z187" s="614"/>
      <c r="AA187" s="614"/>
      <c r="AB187" s="615"/>
      <c r="AC187" s="383"/>
      <c r="AD187" s="613"/>
      <c r="AE187" s="614"/>
      <c r="AF187" s="614"/>
      <c r="AG187" s="615"/>
      <c r="AH187" s="383"/>
      <c r="AI187" s="613"/>
      <c r="AJ187" s="614"/>
      <c r="AK187" s="614"/>
      <c r="AL187" s="615"/>
      <c r="AM187" s="383"/>
      <c r="AN187" s="613"/>
      <c r="AO187" s="614"/>
      <c r="AP187" s="614"/>
      <c r="AQ187" s="615"/>
      <c r="AR187" s="383"/>
      <c r="AS187" s="613"/>
      <c r="AT187" s="614"/>
      <c r="AU187" s="614"/>
      <c r="AV187" s="615"/>
      <c r="AW187" s="383"/>
      <c r="AX187" s="613"/>
      <c r="AY187" s="614"/>
      <c r="AZ187" s="614"/>
      <c r="BA187" s="615"/>
      <c r="BB187" s="383"/>
      <c r="BC187" s="613"/>
      <c r="BD187" s="614"/>
      <c r="BE187" s="614"/>
      <c r="BF187" s="615"/>
      <c r="BG187" s="383"/>
      <c r="BH187" s="613"/>
      <c r="BI187" s="614"/>
      <c r="BJ187" s="614"/>
      <c r="BK187" s="615"/>
      <c r="BL187" s="383"/>
      <c r="BM187" s="613"/>
      <c r="BN187" s="614"/>
      <c r="BO187" s="614"/>
      <c r="BP187" s="615"/>
      <c r="BQ187" s="383"/>
      <c r="BR187" s="383"/>
      <c r="BS187" s="383"/>
      <c r="BT187" s="383"/>
      <c r="BU187" s="383"/>
      <c r="BV187" s="383"/>
      <c r="BW187" s="383"/>
      <c r="BX187" s="383"/>
      <c r="BY187" s="383"/>
      <c r="BZ187" s="383"/>
      <c r="CA187" s="383"/>
      <c r="CB187" s="383"/>
      <c r="CC187" s="383"/>
      <c r="CD187" s="383"/>
      <c r="CE187" s="383"/>
      <c r="CF187" s="383"/>
      <c r="CG187" s="383"/>
      <c r="CH187" s="383"/>
      <c r="CI187" s="383"/>
      <c r="CJ187" s="383"/>
      <c r="CK187" s="383"/>
      <c r="CL187" s="383"/>
      <c r="CM187" s="383"/>
      <c r="CN187" s="383"/>
      <c r="CO187" s="383"/>
      <c r="CP187" s="383"/>
      <c r="CQ187" s="383"/>
      <c r="CR187" s="383"/>
      <c r="CS187" s="383"/>
      <c r="CT187" s="383"/>
      <c r="CU187" s="383"/>
    </row>
    <row r="188" spans="1:129" ht="12.75" customHeight="1">
      <c r="A188" s="383"/>
      <c r="B188" s="383"/>
      <c r="C188" s="391" t="s">
        <v>1249</v>
      </c>
      <c r="D188" s="383"/>
      <c r="E188" s="613"/>
      <c r="F188" s="614"/>
      <c r="G188" s="614"/>
      <c r="H188" s="615"/>
      <c r="I188" s="383"/>
      <c r="J188" s="613"/>
      <c r="K188" s="614"/>
      <c r="L188" s="614"/>
      <c r="M188" s="615"/>
      <c r="N188" s="383"/>
      <c r="O188" s="613"/>
      <c r="P188" s="614"/>
      <c r="Q188" s="241"/>
      <c r="R188" s="285"/>
      <c r="S188" s="25"/>
      <c r="T188" s="613"/>
      <c r="U188" s="614"/>
      <c r="V188" s="241"/>
      <c r="W188" s="285"/>
      <c r="X188" s="25"/>
      <c r="Y188" s="613"/>
      <c r="Z188" s="614"/>
      <c r="AA188" s="241"/>
      <c r="AB188" s="285"/>
      <c r="AC188" s="25"/>
      <c r="AD188" s="613"/>
      <c r="AE188" s="614"/>
      <c r="AF188" s="241"/>
      <c r="AG188" s="285"/>
      <c r="AH188" s="25"/>
      <c r="AI188" s="613"/>
      <c r="AJ188" s="614"/>
      <c r="AK188" s="241"/>
      <c r="AL188" s="285"/>
      <c r="AM188" s="25"/>
      <c r="AN188" s="613"/>
      <c r="AO188" s="614"/>
      <c r="AP188" s="241"/>
      <c r="AQ188" s="285"/>
      <c r="AR188" s="25"/>
      <c r="AS188" s="613"/>
      <c r="AT188" s="241"/>
      <c r="AU188" s="241"/>
      <c r="AV188" s="285"/>
      <c r="AW188" s="25"/>
      <c r="AX188" s="284">
        <f>+EXC!AX111</f>
        <v>0.02</v>
      </c>
      <c r="AY188" s="241">
        <f>+EXC!AY111</f>
        <v>0.02</v>
      </c>
      <c r="AZ188" s="241">
        <f>+EXC!AZ111</f>
        <v>0.02</v>
      </c>
      <c r="BA188" s="285">
        <f>+EXC!BA111</f>
        <v>0.02</v>
      </c>
      <c r="BB188" s="25">
        <f>+EXC!BB111</f>
        <v>0.02</v>
      </c>
      <c r="BC188" s="284">
        <f>+EXC!BC111</f>
        <v>0.02</v>
      </c>
      <c r="BD188" s="241">
        <f>+EXC!BD111</f>
        <v>0.02</v>
      </c>
      <c r="BE188" s="241">
        <f>+EXC!BE111</f>
        <v>0.02</v>
      </c>
      <c r="BF188" s="285">
        <f>+EXC!BF111</f>
        <v>0.02</v>
      </c>
      <c r="BG188" s="25">
        <f>+EXC!BG111</f>
        <v>0.02</v>
      </c>
      <c r="BH188" s="284">
        <f>+EXC!BH111</f>
        <v>0.02</v>
      </c>
      <c r="BI188" s="241">
        <f>+EXC!BI111</f>
        <v>0.02</v>
      </c>
      <c r="BJ188" s="241">
        <f>+EXC!BJ111</f>
        <v>0.02</v>
      </c>
      <c r="BK188" s="285">
        <f>+EXC!BK111</f>
        <v>0.02</v>
      </c>
      <c r="BL188" s="25">
        <f>+EXC!BL111</f>
        <v>0.02</v>
      </c>
      <c r="BM188" s="284">
        <f>+EXC!BM111</f>
        <v>0.02</v>
      </c>
      <c r="BN188" s="241">
        <f>+EXC!BN111</f>
        <v>0.02</v>
      </c>
      <c r="BO188" s="241">
        <f>+EXC!BO111</f>
        <v>0.02</v>
      </c>
      <c r="BP188" s="285">
        <f>+EXC!BP111</f>
        <v>0.02</v>
      </c>
      <c r="BQ188" s="25">
        <f>+EXC!BQ111</f>
        <v>0.02</v>
      </c>
      <c r="BR188" s="383"/>
      <c r="BS188" s="383"/>
      <c r="BT188" s="383"/>
      <c r="BU188" s="383"/>
      <c r="BV188" s="383"/>
      <c r="BW188" s="383"/>
      <c r="BX188" s="383"/>
      <c r="BY188" s="383"/>
      <c r="BZ188" s="383"/>
      <c r="CA188" s="383"/>
      <c r="CB188" s="383"/>
      <c r="CC188" s="383"/>
      <c r="CD188" s="383"/>
      <c r="CE188" s="383"/>
      <c r="CF188" s="383"/>
      <c r="CG188" s="383"/>
      <c r="CH188" s="383"/>
      <c r="CI188" s="383"/>
      <c r="CJ188" s="383"/>
      <c r="CK188" s="383"/>
      <c r="CL188" s="383"/>
      <c r="CM188" s="383"/>
      <c r="CN188" s="383"/>
      <c r="CO188" s="383"/>
      <c r="CP188" s="383"/>
      <c r="CQ188" s="383"/>
      <c r="CR188" s="383"/>
      <c r="CS188" s="383"/>
      <c r="CT188" s="383"/>
      <c r="CU188" s="383"/>
    </row>
    <row r="189" spans="1:129" ht="12.75" customHeight="1">
      <c r="A189" s="383"/>
      <c r="B189" s="383"/>
      <c r="C189" s="391"/>
      <c r="D189" s="383"/>
      <c r="E189" s="613"/>
      <c r="F189" s="614"/>
      <c r="G189" s="614"/>
      <c r="H189" s="615"/>
      <c r="I189" s="383"/>
      <c r="J189" s="613"/>
      <c r="K189" s="614"/>
      <c r="L189" s="614"/>
      <c r="M189" s="615"/>
      <c r="N189" s="383"/>
      <c r="O189" s="613"/>
      <c r="P189" s="614"/>
      <c r="Q189" s="241"/>
      <c r="R189" s="285"/>
      <c r="S189" s="25"/>
      <c r="T189" s="613"/>
      <c r="U189" s="614"/>
      <c r="V189" s="241"/>
      <c r="W189" s="285"/>
      <c r="X189" s="25"/>
      <c r="Y189" s="613"/>
      <c r="Z189" s="614"/>
      <c r="AA189" s="241"/>
      <c r="AB189" s="285"/>
      <c r="AC189" s="25"/>
      <c r="AD189" s="613"/>
      <c r="AE189" s="614"/>
      <c r="AF189" s="241"/>
      <c r="AG189" s="285"/>
      <c r="AH189" s="25"/>
      <c r="AI189" s="613"/>
      <c r="AJ189" s="614"/>
      <c r="AK189" s="241"/>
      <c r="AL189" s="285"/>
      <c r="AM189" s="25"/>
      <c r="AN189" s="613"/>
      <c r="AO189" s="614"/>
      <c r="AP189" s="241"/>
      <c r="AQ189" s="285"/>
      <c r="AR189" s="25"/>
      <c r="AS189" s="613"/>
      <c r="AT189" s="241"/>
      <c r="AU189" s="241"/>
      <c r="AV189" s="285"/>
      <c r="AW189" s="25"/>
      <c r="AX189" s="284"/>
      <c r="AY189" s="241"/>
      <c r="AZ189" s="241"/>
      <c r="BA189" s="285"/>
      <c r="BB189" s="25"/>
      <c r="BC189" s="284"/>
      <c r="BD189" s="241"/>
      <c r="BE189" s="241"/>
      <c r="BF189" s="285"/>
      <c r="BG189" s="25"/>
      <c r="BH189" s="284"/>
      <c r="BI189" s="241"/>
      <c r="BJ189" s="241"/>
      <c r="BK189" s="285"/>
      <c r="BL189" s="25"/>
      <c r="BM189" s="284"/>
      <c r="BN189" s="241"/>
      <c r="BO189" s="241"/>
      <c r="BP189" s="285"/>
      <c r="BQ189" s="25"/>
      <c r="BR189" s="383"/>
      <c r="BS189" s="383"/>
      <c r="BT189" s="383"/>
      <c r="BU189" s="383"/>
      <c r="BV189" s="383"/>
      <c r="BW189" s="383"/>
      <c r="BX189" s="383"/>
      <c r="BY189" s="383"/>
      <c r="BZ189" s="383"/>
      <c r="CA189" s="383"/>
      <c r="CB189" s="383"/>
      <c r="CC189" s="383"/>
      <c r="CD189" s="383"/>
      <c r="CE189" s="383"/>
      <c r="CF189" s="383"/>
      <c r="CG189" s="383"/>
      <c r="CH189" s="383"/>
      <c r="CI189" s="383"/>
      <c r="CJ189" s="383"/>
      <c r="CK189" s="383"/>
      <c r="CL189" s="383"/>
      <c r="CM189" s="383"/>
      <c r="CN189" s="383"/>
      <c r="CO189" s="383"/>
      <c r="CP189" s="383"/>
      <c r="CQ189" s="383"/>
      <c r="CR189" s="383"/>
      <c r="CS189" s="383"/>
      <c r="CT189" s="383"/>
      <c r="CU189" s="383"/>
    </row>
    <row r="190" spans="1:129" ht="12.75" customHeight="1">
      <c r="A190" s="383"/>
      <c r="B190" s="383"/>
      <c r="C190" s="383"/>
      <c r="D190" s="383"/>
      <c r="E190" s="613"/>
      <c r="F190" s="614"/>
      <c r="G190" s="614"/>
      <c r="H190" s="615"/>
      <c r="I190" s="383"/>
      <c r="J190" s="613"/>
      <c r="K190" s="614"/>
      <c r="L190" s="614"/>
      <c r="M190" s="615"/>
      <c r="N190" s="383"/>
      <c r="O190" s="613"/>
      <c r="P190" s="614"/>
      <c r="Q190" s="614"/>
      <c r="R190" s="615"/>
      <c r="S190" s="383"/>
      <c r="T190" s="613"/>
      <c r="U190" s="614"/>
      <c r="V190" s="614"/>
      <c r="W190" s="615"/>
      <c r="X190" s="383"/>
      <c r="Y190" s="613"/>
      <c r="Z190" s="614"/>
      <c r="AA190" s="614"/>
      <c r="AB190" s="615"/>
      <c r="AC190" s="383"/>
      <c r="AD190" s="613"/>
      <c r="AE190" s="614"/>
      <c r="AF190" s="614"/>
      <c r="AG190" s="615"/>
      <c r="AH190" s="383"/>
      <c r="AI190" s="613"/>
      <c r="AJ190" s="614"/>
      <c r="AK190" s="614"/>
      <c r="AL190" s="615"/>
      <c r="AM190" s="383"/>
      <c r="AN190" s="613"/>
      <c r="AO190" s="614"/>
      <c r="AP190" s="614"/>
      <c r="AQ190" s="615"/>
      <c r="AR190" s="383"/>
      <c r="AS190" s="613"/>
      <c r="AT190" s="614"/>
      <c r="AU190" s="614"/>
      <c r="AV190" s="615"/>
      <c r="AW190" s="383"/>
      <c r="AX190" s="613"/>
      <c r="AY190" s="614"/>
      <c r="AZ190" s="614"/>
      <c r="BA190" s="615"/>
      <c r="BB190" s="383"/>
      <c r="BC190" s="613"/>
      <c r="BD190" s="614"/>
      <c r="BE190" s="614"/>
      <c r="BF190" s="615"/>
      <c r="BG190" s="383"/>
      <c r="BH190" s="613"/>
      <c r="BI190" s="614"/>
      <c r="BJ190" s="614"/>
      <c r="BK190" s="615"/>
      <c r="BL190" s="383"/>
      <c r="BM190" s="613"/>
      <c r="BN190" s="614"/>
      <c r="BO190" s="614"/>
      <c r="BP190" s="615"/>
      <c r="BQ190" s="383"/>
      <c r="BR190" s="383"/>
      <c r="BS190" s="383"/>
      <c r="BT190" s="383"/>
      <c r="BU190" s="383"/>
      <c r="BV190" s="383"/>
      <c r="BW190" s="383"/>
      <c r="BX190" s="383"/>
      <c r="BY190" s="383"/>
      <c r="BZ190" s="383"/>
      <c r="CA190" s="383"/>
      <c r="CB190" s="383"/>
      <c r="CC190" s="383"/>
      <c r="CD190" s="383"/>
      <c r="CE190" s="383"/>
      <c r="CF190" s="383"/>
      <c r="CG190" s="776" t="s">
        <v>627</v>
      </c>
      <c r="CH190" s="28"/>
      <c r="CI190" s="28"/>
      <c r="CJ190" s="28"/>
      <c r="CK190" s="28"/>
      <c r="CL190" s="28"/>
      <c r="CM190" s="28"/>
      <c r="CN190" s="28"/>
      <c r="CO190" s="28"/>
      <c r="CP190" s="28"/>
      <c r="CQ190" s="28"/>
      <c r="CR190" s="28"/>
      <c r="CS190" s="28"/>
    </row>
    <row r="191" spans="1:129" ht="12.75" customHeight="1">
      <c r="A191" s="383"/>
      <c r="B191" s="379" t="s">
        <v>276</v>
      </c>
      <c r="C191" s="658"/>
      <c r="D191" s="659"/>
      <c r="E191" s="613"/>
      <c r="F191" s="614"/>
      <c r="G191" s="614"/>
      <c r="H191" s="615"/>
      <c r="I191" s="383"/>
      <c r="J191" s="613"/>
      <c r="K191" s="614"/>
      <c r="L191" s="614"/>
      <c r="M191" s="615"/>
      <c r="N191" s="383"/>
      <c r="O191" s="613"/>
      <c r="P191" s="614"/>
      <c r="Q191" s="614"/>
      <c r="R191" s="615"/>
      <c r="S191" s="383"/>
      <c r="T191" s="613"/>
      <c r="U191" s="614"/>
      <c r="V191" s="614"/>
      <c r="W191" s="615"/>
      <c r="X191" s="383"/>
      <c r="Y191" s="613"/>
      <c r="Z191" s="614"/>
      <c r="AA191" s="614"/>
      <c r="AB191" s="615"/>
      <c r="AC191" s="383"/>
      <c r="AD191" s="613"/>
      <c r="AE191" s="614"/>
      <c r="AF191" s="614"/>
      <c r="AG191" s="615"/>
      <c r="AH191" s="383"/>
      <c r="AI191" s="613"/>
      <c r="AJ191" s="614"/>
      <c r="AK191" s="614"/>
      <c r="AL191" s="615"/>
      <c r="AM191" s="383"/>
      <c r="AN191" s="613"/>
      <c r="AO191" s="614"/>
      <c r="AP191" s="614"/>
      <c r="AQ191" s="615"/>
      <c r="AR191" s="383"/>
      <c r="AS191" s="613"/>
      <c r="AT191" s="614"/>
      <c r="AU191" s="614"/>
      <c r="AV191" s="615"/>
      <c r="AW191" s="383"/>
      <c r="AX191" s="613"/>
      <c r="AY191" s="614"/>
      <c r="AZ191" s="614"/>
      <c r="BA191" s="615"/>
      <c r="BB191" s="383"/>
      <c r="BC191" s="613"/>
      <c r="BD191" s="614"/>
      <c r="BE191" s="614"/>
      <c r="BF191" s="615"/>
      <c r="BG191" s="383"/>
      <c r="BH191" s="613"/>
      <c r="BI191" s="614"/>
      <c r="BJ191" s="614"/>
      <c r="BK191" s="615"/>
      <c r="BL191" s="383"/>
      <c r="BM191" s="613"/>
      <c r="BN191" s="614"/>
      <c r="BO191" s="614"/>
      <c r="BP191" s="615"/>
      <c r="BQ191" s="383"/>
      <c r="BR191" s="383"/>
      <c r="BS191" s="383"/>
      <c r="BT191" s="383"/>
      <c r="BU191" s="383"/>
      <c r="BV191" s="383"/>
      <c r="BW191" s="383"/>
      <c r="BX191" s="383"/>
      <c r="BY191" s="383"/>
      <c r="BZ191" s="383"/>
      <c r="CA191" s="383"/>
      <c r="CB191" s="383"/>
      <c r="CC191" s="383"/>
      <c r="CD191" s="383"/>
      <c r="CE191" s="383"/>
      <c r="CF191" s="383"/>
      <c r="CG191" s="777" t="s">
        <v>358</v>
      </c>
      <c r="CH191" s="777" t="s">
        <v>359</v>
      </c>
      <c r="CI191" s="777" t="s">
        <v>322</v>
      </c>
      <c r="CJ191" s="777" t="s">
        <v>323</v>
      </c>
      <c r="CK191" s="777" t="s">
        <v>628</v>
      </c>
      <c r="CL191" s="777" t="s">
        <v>324</v>
      </c>
      <c r="CM191" s="777" t="s">
        <v>325</v>
      </c>
      <c r="CN191" s="777" t="s">
        <v>326</v>
      </c>
      <c r="CO191" s="777" t="s">
        <v>327</v>
      </c>
      <c r="CP191" s="777" t="s">
        <v>629</v>
      </c>
      <c r="CQ191" s="777" t="s">
        <v>268</v>
      </c>
      <c r="CR191" s="777" t="s">
        <v>269</v>
      </c>
      <c r="CS191" s="777" t="s">
        <v>270</v>
      </c>
      <c r="CT191" s="777" t="s">
        <v>271</v>
      </c>
      <c r="CU191" s="777" t="s">
        <v>630</v>
      </c>
      <c r="CV191" s="777" t="s">
        <v>616</v>
      </c>
      <c r="CW191" s="777" t="s">
        <v>1201</v>
      </c>
      <c r="CX191" s="777" t="s">
        <v>1251</v>
      </c>
      <c r="CY191" s="777" t="s">
        <v>1252</v>
      </c>
      <c r="CZ191" s="777" t="s">
        <v>827</v>
      </c>
      <c r="DA191" s="777" t="s">
        <v>674</v>
      </c>
      <c r="DB191" s="777" t="s">
        <v>673</v>
      </c>
      <c r="DC191" s="777" t="s">
        <v>919</v>
      </c>
      <c r="DD191" s="777" t="s">
        <v>920</v>
      </c>
      <c r="DE191" s="777" t="s">
        <v>922</v>
      </c>
      <c r="DF191" s="777" t="s">
        <v>1218</v>
      </c>
      <c r="DG191" s="777" t="s">
        <v>1211</v>
      </c>
      <c r="DH191" s="777" t="s">
        <v>1344</v>
      </c>
      <c r="DI191" s="777" t="s">
        <v>1345</v>
      </c>
      <c r="DJ191" s="777" t="s">
        <v>1346</v>
      </c>
      <c r="DK191" s="777" t="s">
        <v>1409</v>
      </c>
      <c r="DL191" s="777" t="s">
        <v>1405</v>
      </c>
      <c r="DM191" s="777" t="s">
        <v>1406</v>
      </c>
      <c r="DN191" s="777" t="s">
        <v>1407</v>
      </c>
      <c r="DO191" s="777" t="s">
        <v>1408</v>
      </c>
      <c r="DP191" s="777" t="s">
        <v>1436</v>
      </c>
      <c r="DQ191" s="777" t="s">
        <v>1439</v>
      </c>
      <c r="DR191" s="777" t="s">
        <v>1480</v>
      </c>
      <c r="DS191" s="777" t="s">
        <v>1501</v>
      </c>
      <c r="DT191" s="777" t="s">
        <v>1503</v>
      </c>
      <c r="DU191" s="777" t="s">
        <v>1515</v>
      </c>
      <c r="DV191" s="777" t="s">
        <v>1534</v>
      </c>
      <c r="DW191" s="777" t="s">
        <v>1536</v>
      </c>
      <c r="DX191" s="777" t="s">
        <v>1538</v>
      </c>
      <c r="DY191" s="777" t="s">
        <v>1540</v>
      </c>
    </row>
    <row r="192" spans="1:129" ht="12.75" customHeight="1">
      <c r="A192" s="45"/>
      <c r="B192" s="45"/>
      <c r="C192" s="391" t="s">
        <v>321</v>
      </c>
      <c r="D192" s="45"/>
      <c r="E192" s="290">
        <f t="shared" ref="E192:E197" si="466">+CG192</f>
        <v>113</v>
      </c>
      <c r="F192" s="260">
        <f t="shared" ref="F192:G197" si="467">+CH192-CG192</f>
        <v>70</v>
      </c>
      <c r="G192" s="260">
        <f t="shared" si="467"/>
        <v>92</v>
      </c>
      <c r="H192" s="291">
        <f t="shared" ref="H192:H197" si="468">+CK192-CI192</f>
        <v>78</v>
      </c>
      <c r="I192" s="647">
        <f t="shared" ref="I192:I198" si="469">CK192</f>
        <v>353</v>
      </c>
      <c r="J192" s="290">
        <f t="shared" ref="J192:J197" si="470">+CL192</f>
        <v>101</v>
      </c>
      <c r="K192" s="260">
        <f t="shared" ref="K192:L197" si="471">+CM192-CL192</f>
        <v>75</v>
      </c>
      <c r="L192" s="260">
        <f t="shared" si="471"/>
        <v>127</v>
      </c>
      <c r="M192" s="291">
        <f t="shared" ref="M192:M197" si="472">+CP192-CN192</f>
        <v>21</v>
      </c>
      <c r="N192" s="647">
        <f t="shared" ref="N192:N198" si="473">CP192</f>
        <v>324</v>
      </c>
      <c r="O192" s="290">
        <f t="shared" ref="O192:O197" si="474">+CQ192</f>
        <v>126</v>
      </c>
      <c r="P192" s="260">
        <f t="shared" ref="P192:P197" si="475">+CR192-CQ192</f>
        <v>84</v>
      </c>
      <c r="Q192" s="260">
        <f t="shared" ref="Q192:Q197" si="476">+CS192-CR192</f>
        <v>104</v>
      </c>
      <c r="R192" s="291">
        <f t="shared" ref="R192:R197" si="477">+CU192-CS192</f>
        <v>75</v>
      </c>
      <c r="S192" s="647">
        <f t="shared" ref="S192:S198" si="478">CU192</f>
        <v>389</v>
      </c>
      <c r="T192" s="290">
        <f t="shared" ref="T192:T197" si="479">+CV192</f>
        <v>97</v>
      </c>
      <c r="U192" s="260">
        <f t="shared" ref="U192:V197" si="480">+CW192-CV192</f>
        <v>80</v>
      </c>
      <c r="V192" s="260">
        <f t="shared" si="480"/>
        <v>123</v>
      </c>
      <c r="W192" s="291">
        <f t="shared" ref="W192:W197" si="481">+CZ192-CX192</f>
        <v>81</v>
      </c>
      <c r="X192" s="647">
        <f t="shared" ref="X192:X198" si="482">CZ192</f>
        <v>381</v>
      </c>
      <c r="Y192" s="290">
        <f t="shared" ref="Y192:Y197" si="483">+DA192</f>
        <v>122</v>
      </c>
      <c r="Z192" s="260">
        <f t="shared" ref="Z192:AA197" si="484">+DB192-DA192</f>
        <v>78</v>
      </c>
      <c r="AA192" s="1441">
        <f t="shared" si="484"/>
        <v>92</v>
      </c>
      <c r="AB192" s="1442">
        <f t="shared" ref="AB192:AB197" si="485">+DE192-DC192</f>
        <v>103</v>
      </c>
      <c r="AC192" s="1466">
        <f t="shared" ref="AC192:AC198" si="486">DE192</f>
        <v>395</v>
      </c>
      <c r="AD192" s="290">
        <f t="shared" ref="AD192:AD197" si="487">+DF192</f>
        <v>89</v>
      </c>
      <c r="AE192" s="260">
        <f t="shared" ref="AE192:AF197" si="488">+DG192-DF192</f>
        <v>84</v>
      </c>
      <c r="AF192" s="1441">
        <f t="shared" si="488"/>
        <v>82</v>
      </c>
      <c r="AG192" s="1442">
        <f t="shared" ref="AG192:AG197" si="489">+DJ192-DH192</f>
        <v>97</v>
      </c>
      <c r="AH192" s="1466">
        <f t="shared" ref="AH192:AH198" si="490">DJ192</f>
        <v>352</v>
      </c>
      <c r="AI192" s="290">
        <f t="shared" ref="AI192:AI197" si="491">+DK192</f>
        <v>139</v>
      </c>
      <c r="AJ192" s="260">
        <f t="shared" ref="AJ192:AJ197" si="492">+DL192-DK192</f>
        <v>70</v>
      </c>
      <c r="AK192" s="1441">
        <f t="shared" ref="AK192:AK197" si="493">+DM192-DL192</f>
        <v>90</v>
      </c>
      <c r="AL192" s="1442">
        <f t="shared" ref="AL192:AL197" si="494">+DO192-DM192</f>
        <v>79</v>
      </c>
      <c r="AM192" s="1466">
        <f t="shared" ref="AM192:AM198" si="495">DO192</f>
        <v>378</v>
      </c>
      <c r="AN192" s="290">
        <f t="shared" ref="AN192:AN197" si="496">+DP192</f>
        <v>124</v>
      </c>
      <c r="AO192" s="260">
        <f t="shared" ref="AO192:AP197" si="497">+DQ192-DP192</f>
        <v>100</v>
      </c>
      <c r="AP192" s="1441">
        <f t="shared" si="497"/>
        <v>122</v>
      </c>
      <c r="AQ192" s="1442">
        <f t="shared" ref="AQ192:AQ197" si="498">+DT192-DR192</f>
        <v>92</v>
      </c>
      <c r="AR192" s="1466">
        <f t="shared" ref="AR192:AR198" si="499">DT192</f>
        <v>438</v>
      </c>
      <c r="AS192" s="290">
        <f t="shared" ref="AS192:AS197" si="500">+DU192</f>
        <v>127</v>
      </c>
      <c r="AT192" s="260">
        <f t="shared" ref="AT192:AT197" si="501">+DV192-DU192</f>
        <v>88</v>
      </c>
      <c r="AU192" s="260">
        <f t="shared" ref="AU192:AU197" si="502">+DW192-DV192</f>
        <v>112</v>
      </c>
      <c r="AV192" s="1442">
        <f t="shared" ref="AV192:AV197" si="503">+DY192-DW192</f>
        <v>107</v>
      </c>
      <c r="AW192" s="1466">
        <f t="shared" ref="AW192:AW198" si="504">DY192</f>
        <v>434</v>
      </c>
      <c r="AX192" s="290">
        <f>+AX38</f>
        <v>135.79511567653552</v>
      </c>
      <c r="AY192" s="260">
        <f ca="1">+AY38</f>
        <v>90.716675165955195</v>
      </c>
      <c r="AZ192" s="260">
        <f ca="1">+AZ38</f>
        <v>105.73896038437294</v>
      </c>
      <c r="BA192" s="291">
        <f ca="1">+BA38</f>
        <v>99.830799412682452</v>
      </c>
      <c r="BB192" s="45">
        <f ca="1">SUM(AX192:BA192)</f>
        <v>432.08155063954609</v>
      </c>
      <c r="BC192" s="290">
        <f ca="1">+BC38</f>
        <v>146.33969364157298</v>
      </c>
      <c r="BD192" s="260">
        <f ca="1">+BD38</f>
        <v>97.3703585384294</v>
      </c>
      <c r="BE192" s="260">
        <f ca="1">+BE38</f>
        <v>113.89857403171358</v>
      </c>
      <c r="BF192" s="291">
        <f ca="1">+BF38</f>
        <v>108.64533971761048</v>
      </c>
      <c r="BG192" s="45">
        <f ca="1">SUM(BC192:BF192)</f>
        <v>466.25396592932645</v>
      </c>
      <c r="BH192" s="290">
        <f ca="1">+BH38</f>
        <v>156.21896872738083</v>
      </c>
      <c r="BI192" s="260">
        <f ca="1">+BI38</f>
        <v>106.92995607622238</v>
      </c>
      <c r="BJ192" s="260">
        <f ca="1">+BJ38</f>
        <v>124.08347772418313</v>
      </c>
      <c r="BK192" s="291">
        <f ca="1">+BK38</f>
        <v>119.52979314948439</v>
      </c>
      <c r="BL192" s="45">
        <f ca="1">SUM(BH192:BK192)</f>
        <v>506.76219567727071</v>
      </c>
      <c r="BM192" s="290">
        <f ca="1">+BM38</f>
        <v>163.47410623180556</v>
      </c>
      <c r="BN192" s="260">
        <f ca="1">+BN38</f>
        <v>113.90418408759429</v>
      </c>
      <c r="BO192" s="260">
        <f ca="1">+BO38</f>
        <v>130.86531978482299</v>
      </c>
      <c r="BP192" s="291">
        <f ca="1">+BP38</f>
        <v>126.74633536258762</v>
      </c>
      <c r="BQ192" s="45">
        <f ca="1">SUM(BM192:BP192)</f>
        <v>534.98994546681047</v>
      </c>
      <c r="BR192" s="45"/>
      <c r="BS192" s="45"/>
      <c r="BT192" s="45"/>
      <c r="BU192" s="45"/>
      <c r="BV192" s="45"/>
      <c r="BW192" s="45"/>
      <c r="BX192" s="45"/>
      <c r="BY192" s="45"/>
      <c r="BZ192" s="45"/>
      <c r="CA192" s="45"/>
      <c r="CB192" s="45"/>
      <c r="CC192" s="45"/>
      <c r="CD192" s="45"/>
      <c r="CE192" s="45"/>
      <c r="CF192" s="45"/>
      <c r="CG192" s="427">
        <v>113</v>
      </c>
      <c r="CH192" s="427">
        <v>183</v>
      </c>
      <c r="CI192" s="427">
        <v>275</v>
      </c>
      <c r="CJ192" s="45">
        <f t="shared" ref="CJ192:CJ197" si="505">CK192</f>
        <v>353</v>
      </c>
      <c r="CK192" s="427">
        <v>353</v>
      </c>
      <c r="CL192" s="427">
        <v>101</v>
      </c>
      <c r="CM192" s="427">
        <v>176</v>
      </c>
      <c r="CN192" s="427">
        <v>303</v>
      </c>
      <c r="CO192" s="45">
        <f t="shared" ref="CO192:CO197" si="506">CP192</f>
        <v>324</v>
      </c>
      <c r="CP192" s="427">
        <v>324</v>
      </c>
      <c r="CQ192" s="427">
        <v>126</v>
      </c>
      <c r="CR192" s="427">
        <v>210</v>
      </c>
      <c r="CS192" s="427">
        <v>314</v>
      </c>
      <c r="CT192" s="45">
        <f t="shared" ref="CT192:CT197" si="507">CU192</f>
        <v>389</v>
      </c>
      <c r="CU192" s="427">
        <v>389</v>
      </c>
      <c r="CV192" s="427">
        <v>97</v>
      </c>
      <c r="CW192" s="427">
        <v>177</v>
      </c>
      <c r="CX192" s="427">
        <v>300</v>
      </c>
      <c r="CY192" s="45">
        <f t="shared" ref="CY192:CY197" si="508">CZ192</f>
        <v>381</v>
      </c>
      <c r="CZ192" s="427">
        <v>381</v>
      </c>
      <c r="DA192" s="427">
        <v>122</v>
      </c>
      <c r="DB192" s="427">
        <v>200</v>
      </c>
      <c r="DC192" s="1437">
        <v>292</v>
      </c>
      <c r="DD192" s="1443">
        <f t="shared" ref="DD192:DD197" si="509">DE192</f>
        <v>395</v>
      </c>
      <c r="DE192" s="1437">
        <v>395</v>
      </c>
      <c r="DF192" s="427">
        <v>89</v>
      </c>
      <c r="DG192" s="427">
        <v>173</v>
      </c>
      <c r="DH192" s="1437">
        <v>255</v>
      </c>
      <c r="DI192" s="1443">
        <f t="shared" ref="DI192:DI197" si="510">DJ192</f>
        <v>352</v>
      </c>
      <c r="DJ192" s="1437">
        <v>352</v>
      </c>
      <c r="DK192" s="427">
        <v>139</v>
      </c>
      <c r="DL192" s="427">
        <v>209</v>
      </c>
      <c r="DM192" s="1437">
        <v>299</v>
      </c>
      <c r="DN192" s="1443">
        <f t="shared" ref="DN192:DN197" si="511">DO192</f>
        <v>378</v>
      </c>
      <c r="DO192" s="1437">
        <v>378</v>
      </c>
      <c r="DP192" s="427">
        <v>124</v>
      </c>
      <c r="DQ192" s="427">
        <v>224</v>
      </c>
      <c r="DR192" s="1437">
        <v>346</v>
      </c>
      <c r="DS192" s="1443">
        <f t="shared" ref="DS192:DS197" si="512">DT192</f>
        <v>438</v>
      </c>
      <c r="DT192" s="1437">
        <v>438</v>
      </c>
      <c r="DU192" s="427">
        <v>127</v>
      </c>
      <c r="DV192" s="427">
        <v>215</v>
      </c>
      <c r="DW192" s="427">
        <v>327</v>
      </c>
      <c r="DX192" s="1443">
        <f t="shared" ref="DX192:DX197" si="513">DY192</f>
        <v>434</v>
      </c>
      <c r="DY192" s="1437">
        <v>434</v>
      </c>
    </row>
    <row r="193" spans="1:129" ht="12.75" customHeight="1">
      <c r="A193" s="45"/>
      <c r="B193" s="45"/>
      <c r="C193" s="28" t="s">
        <v>67</v>
      </c>
      <c r="D193" s="45"/>
      <c r="E193" s="290">
        <f t="shared" si="466"/>
        <v>225</v>
      </c>
      <c r="F193" s="260">
        <f t="shared" si="467"/>
        <v>230</v>
      </c>
      <c r="G193" s="260">
        <f t="shared" si="467"/>
        <v>271</v>
      </c>
      <c r="H193" s="291">
        <f t="shared" si="468"/>
        <v>226</v>
      </c>
      <c r="I193" s="647">
        <f t="shared" si="469"/>
        <v>952</v>
      </c>
      <c r="J193" s="290">
        <f t="shared" si="470"/>
        <v>265</v>
      </c>
      <c r="K193" s="260">
        <f t="shared" si="471"/>
        <v>268</v>
      </c>
      <c r="L193" s="260">
        <f t="shared" si="471"/>
        <v>326</v>
      </c>
      <c r="M193" s="291">
        <f t="shared" si="472"/>
        <v>201</v>
      </c>
      <c r="N193" s="647">
        <f t="shared" si="473"/>
        <v>1060</v>
      </c>
      <c r="O193" s="290">
        <f t="shared" si="474"/>
        <v>48</v>
      </c>
      <c r="P193" s="260">
        <f t="shared" si="475"/>
        <v>50</v>
      </c>
      <c r="Q193" s="260">
        <f t="shared" si="476"/>
        <v>52</v>
      </c>
      <c r="R193" s="291">
        <f t="shared" si="477"/>
        <v>52</v>
      </c>
      <c r="S193" s="647">
        <f t="shared" si="478"/>
        <v>202</v>
      </c>
      <c r="T193" s="290">
        <f t="shared" si="479"/>
        <v>53</v>
      </c>
      <c r="U193" s="260">
        <f t="shared" si="480"/>
        <v>54</v>
      </c>
      <c r="V193" s="260">
        <f t="shared" si="480"/>
        <v>54</v>
      </c>
      <c r="W193" s="291">
        <f t="shared" si="481"/>
        <v>56</v>
      </c>
      <c r="X193" s="647">
        <f t="shared" si="482"/>
        <v>217</v>
      </c>
      <c r="Y193" s="290">
        <f t="shared" si="483"/>
        <v>57</v>
      </c>
      <c r="Z193" s="260">
        <f t="shared" si="484"/>
        <v>56</v>
      </c>
      <c r="AA193" s="1441">
        <f t="shared" si="484"/>
        <v>58</v>
      </c>
      <c r="AB193" s="1442">
        <f t="shared" si="485"/>
        <v>57</v>
      </c>
      <c r="AC193" s="1466">
        <f t="shared" si="486"/>
        <v>228</v>
      </c>
      <c r="AD193" s="290">
        <f t="shared" si="487"/>
        <v>58</v>
      </c>
      <c r="AE193" s="260">
        <f t="shared" si="488"/>
        <v>59</v>
      </c>
      <c r="AF193" s="1441">
        <f t="shared" si="488"/>
        <v>59</v>
      </c>
      <c r="AG193" s="1442">
        <f t="shared" si="489"/>
        <v>60</v>
      </c>
      <c r="AH193" s="1466">
        <f t="shared" si="490"/>
        <v>236</v>
      </c>
      <c r="AI193" s="290">
        <f t="shared" si="491"/>
        <v>62</v>
      </c>
      <c r="AJ193" s="260">
        <f t="shared" si="492"/>
        <v>69</v>
      </c>
      <c r="AK193" s="1441">
        <f t="shared" si="493"/>
        <v>67</v>
      </c>
      <c r="AL193" s="1442">
        <f t="shared" si="494"/>
        <v>62</v>
      </c>
      <c r="AM193" s="1466">
        <f t="shared" si="495"/>
        <v>260</v>
      </c>
      <c r="AN193" s="290">
        <f t="shared" si="496"/>
        <v>67</v>
      </c>
      <c r="AO193" s="260">
        <f t="shared" si="497"/>
        <v>67</v>
      </c>
      <c r="AP193" s="1441">
        <f t="shared" si="497"/>
        <v>67</v>
      </c>
      <c r="AQ193" s="1442">
        <f t="shared" si="498"/>
        <v>69</v>
      </c>
      <c r="AR193" s="1466">
        <f t="shared" si="499"/>
        <v>270</v>
      </c>
      <c r="AS193" s="290">
        <f t="shared" si="500"/>
        <v>71</v>
      </c>
      <c r="AT193" s="260">
        <f t="shared" si="501"/>
        <v>70</v>
      </c>
      <c r="AU193" s="260">
        <f t="shared" si="502"/>
        <v>72</v>
      </c>
      <c r="AV193" s="1442">
        <f t="shared" si="503"/>
        <v>73</v>
      </c>
      <c r="AW193" s="1466">
        <f t="shared" si="504"/>
        <v>286</v>
      </c>
      <c r="AX193" s="290">
        <f>AX14</f>
        <v>66.761867704280164</v>
      </c>
      <c r="AY193" s="260">
        <f>AY14</f>
        <v>67.700441667458861</v>
      </c>
      <c r="AZ193" s="260">
        <f>AZ14</f>
        <v>68.832967069527299</v>
      </c>
      <c r="BA193" s="291">
        <f>BA14</f>
        <v>69.955797701616945</v>
      </c>
      <c r="BB193" s="45">
        <f>SUM(AX193:BA193)</f>
        <v>273.25107414288323</v>
      </c>
      <c r="BC193" s="290">
        <f>BC14</f>
        <v>71.069016553976653</v>
      </c>
      <c r="BD193" s="260">
        <f>BD14</f>
        <v>72.13119073558812</v>
      </c>
      <c r="BE193" s="260">
        <f>BE14</f>
        <v>73.332791437462461</v>
      </c>
      <c r="BF193" s="291">
        <f>BF14</f>
        <v>74.524106063289622</v>
      </c>
      <c r="BG193" s="45">
        <f>SUM(BC193:BF193)</f>
        <v>291.05710479031688</v>
      </c>
      <c r="BH193" s="290">
        <f>BH14</f>
        <v>75.705222665082474</v>
      </c>
      <c r="BI193" s="260">
        <f>BI14</f>
        <v>76.778938264475158</v>
      </c>
      <c r="BJ193" s="260">
        <f>BJ14</f>
        <v>77.694943462211171</v>
      </c>
      <c r="BK193" s="291">
        <f>BK14</f>
        <v>78.603107370316764</v>
      </c>
      <c r="BL193" s="45">
        <f>SUM(BH193:BK193)</f>
        <v>308.78221176208558</v>
      </c>
      <c r="BM193" s="290">
        <f>BM14</f>
        <v>79.503497112672008</v>
      </c>
      <c r="BN193" s="260">
        <f>BN14</f>
        <v>80.39617923855576</v>
      </c>
      <c r="BO193" s="260">
        <f>BO14</f>
        <v>81.281219727564221</v>
      </c>
      <c r="BP193" s="291">
        <f>BP14</f>
        <v>82.158683994487788</v>
      </c>
      <c r="BQ193" s="45">
        <f>SUM(BM193:BP193)</f>
        <v>323.33958007327976</v>
      </c>
      <c r="BR193" s="228"/>
      <c r="BS193" s="45"/>
      <c r="BT193" s="45"/>
      <c r="BU193" s="45"/>
      <c r="BV193" s="45"/>
      <c r="BW193" s="45"/>
      <c r="BX193" s="45"/>
      <c r="BY193" s="45"/>
      <c r="BZ193" s="45"/>
      <c r="CA193" s="45"/>
      <c r="CB193" s="45"/>
      <c r="CC193" s="45"/>
      <c r="CD193" s="45"/>
      <c r="CE193" s="45"/>
      <c r="CF193" s="45"/>
      <c r="CG193" s="427">
        <v>225</v>
      </c>
      <c r="CH193" s="427">
        <v>455</v>
      </c>
      <c r="CI193" s="427">
        <v>726</v>
      </c>
      <c r="CJ193" s="45">
        <f t="shared" si="505"/>
        <v>952</v>
      </c>
      <c r="CK193" s="427">
        <v>952</v>
      </c>
      <c r="CL193" s="427">
        <v>265</v>
      </c>
      <c r="CM193" s="427">
        <v>533</v>
      </c>
      <c r="CN193" s="427">
        <v>859</v>
      </c>
      <c r="CO193" s="45">
        <f t="shared" si="506"/>
        <v>1060</v>
      </c>
      <c r="CP193" s="427">
        <v>1060</v>
      </c>
      <c r="CQ193" s="427">
        <v>48</v>
      </c>
      <c r="CR193" s="427">
        <v>98</v>
      </c>
      <c r="CS193" s="427">
        <v>150</v>
      </c>
      <c r="CT193" s="45">
        <f t="shared" si="507"/>
        <v>202</v>
      </c>
      <c r="CU193" s="427">
        <v>202</v>
      </c>
      <c r="CV193" s="427">
        <v>53</v>
      </c>
      <c r="CW193" s="427">
        <v>107</v>
      </c>
      <c r="CX193" s="427">
        <v>161</v>
      </c>
      <c r="CY193" s="45">
        <f t="shared" si="508"/>
        <v>217</v>
      </c>
      <c r="CZ193" s="427">
        <v>217</v>
      </c>
      <c r="DA193" s="427">
        <v>57</v>
      </c>
      <c r="DB193" s="427">
        <v>113</v>
      </c>
      <c r="DC193" s="1437">
        <v>171</v>
      </c>
      <c r="DD193" s="1443">
        <f t="shared" si="509"/>
        <v>228</v>
      </c>
      <c r="DE193" s="1437">
        <v>228</v>
      </c>
      <c r="DF193" s="427">
        <v>58</v>
      </c>
      <c r="DG193" s="427">
        <v>117</v>
      </c>
      <c r="DH193" s="1437">
        <v>176</v>
      </c>
      <c r="DI193" s="1443">
        <f t="shared" si="510"/>
        <v>236</v>
      </c>
      <c r="DJ193" s="1437">
        <v>236</v>
      </c>
      <c r="DK193" s="427">
        <v>62</v>
      </c>
      <c r="DL193" s="427">
        <v>131</v>
      </c>
      <c r="DM193" s="1437">
        <v>198</v>
      </c>
      <c r="DN193" s="1443">
        <f t="shared" si="511"/>
        <v>260</v>
      </c>
      <c r="DO193" s="1437">
        <v>260</v>
      </c>
      <c r="DP193" s="427">
        <v>67</v>
      </c>
      <c r="DQ193" s="427">
        <v>134</v>
      </c>
      <c r="DR193" s="1437">
        <v>201</v>
      </c>
      <c r="DS193" s="1443">
        <f t="shared" si="512"/>
        <v>270</v>
      </c>
      <c r="DT193" s="1437">
        <v>270</v>
      </c>
      <c r="DU193" s="427">
        <v>71</v>
      </c>
      <c r="DV193" s="427">
        <v>141</v>
      </c>
      <c r="DW193" s="427">
        <v>213</v>
      </c>
      <c r="DX193" s="1443">
        <f t="shared" si="513"/>
        <v>286</v>
      </c>
      <c r="DY193" s="1437">
        <v>286</v>
      </c>
    </row>
    <row r="194" spans="1:129" ht="12.75" customHeight="1">
      <c r="A194" s="45"/>
      <c r="B194" s="45"/>
      <c r="C194" s="391" t="s">
        <v>75</v>
      </c>
      <c r="D194" s="45"/>
      <c r="E194" s="290">
        <f t="shared" si="466"/>
        <v>-76</v>
      </c>
      <c r="F194" s="260">
        <f t="shared" si="467"/>
        <v>-26</v>
      </c>
      <c r="G194" s="260">
        <f t="shared" si="467"/>
        <v>-64</v>
      </c>
      <c r="H194" s="291">
        <f t="shared" si="468"/>
        <v>-44</v>
      </c>
      <c r="I194" s="647">
        <f t="shared" si="469"/>
        <v>-210</v>
      </c>
      <c r="J194" s="290">
        <f t="shared" si="470"/>
        <v>-105</v>
      </c>
      <c r="K194" s="260">
        <f t="shared" si="471"/>
        <v>-283</v>
      </c>
      <c r="L194" s="260">
        <f t="shared" si="471"/>
        <v>-17</v>
      </c>
      <c r="M194" s="291">
        <f t="shared" si="472"/>
        <v>5</v>
      </c>
      <c r="N194" s="647">
        <f t="shared" si="473"/>
        <v>-400</v>
      </c>
      <c r="O194" s="290">
        <f t="shared" si="474"/>
        <v>56</v>
      </c>
      <c r="P194" s="260">
        <f t="shared" si="475"/>
        <v>35</v>
      </c>
      <c r="Q194" s="260">
        <f t="shared" si="476"/>
        <v>90</v>
      </c>
      <c r="R194" s="291">
        <f t="shared" si="477"/>
        <v>72</v>
      </c>
      <c r="S194" s="647">
        <f t="shared" si="478"/>
        <v>253</v>
      </c>
      <c r="T194" s="290">
        <f t="shared" si="479"/>
        <v>10</v>
      </c>
      <c r="U194" s="260">
        <f t="shared" si="480"/>
        <v>9</v>
      </c>
      <c r="V194" s="260">
        <f t="shared" si="480"/>
        <v>8</v>
      </c>
      <c r="W194" s="291">
        <f t="shared" si="481"/>
        <v>10</v>
      </c>
      <c r="X194" s="647">
        <f t="shared" si="482"/>
        <v>37</v>
      </c>
      <c r="Y194" s="290">
        <f t="shared" si="483"/>
        <v>19</v>
      </c>
      <c r="Z194" s="260">
        <f t="shared" si="484"/>
        <v>6</v>
      </c>
      <c r="AA194" s="1441">
        <f t="shared" si="484"/>
        <v>10</v>
      </c>
      <c r="AB194" s="1442">
        <f t="shared" si="485"/>
        <v>-15</v>
      </c>
      <c r="AC194" s="1466">
        <f t="shared" si="486"/>
        <v>20</v>
      </c>
      <c r="AD194" s="290">
        <f t="shared" si="487"/>
        <v>-2</v>
      </c>
      <c r="AE194" s="260">
        <f t="shared" si="488"/>
        <v>8</v>
      </c>
      <c r="AF194" s="1441">
        <f t="shared" si="488"/>
        <v>1</v>
      </c>
      <c r="AG194" s="1442">
        <f t="shared" si="489"/>
        <v>81</v>
      </c>
      <c r="AH194" s="1466">
        <f t="shared" si="490"/>
        <v>88</v>
      </c>
      <c r="AI194" s="290">
        <f t="shared" si="491"/>
        <v>5</v>
      </c>
      <c r="AJ194" s="260">
        <f t="shared" si="492"/>
        <v>-1</v>
      </c>
      <c r="AK194" s="1441">
        <f t="shared" si="493"/>
        <v>7</v>
      </c>
      <c r="AL194" s="1442">
        <f t="shared" si="494"/>
        <v>79</v>
      </c>
      <c r="AM194" s="1466">
        <f t="shared" si="495"/>
        <v>90</v>
      </c>
      <c r="AN194" s="290">
        <f t="shared" si="496"/>
        <v>23</v>
      </c>
      <c r="AO194" s="260">
        <f t="shared" si="497"/>
        <v>28</v>
      </c>
      <c r="AP194" s="1441">
        <f t="shared" si="497"/>
        <v>18</v>
      </c>
      <c r="AQ194" s="1442">
        <f t="shared" si="498"/>
        <v>9</v>
      </c>
      <c r="AR194" s="1466">
        <f t="shared" si="499"/>
        <v>78</v>
      </c>
      <c r="AS194" s="290">
        <f t="shared" si="500"/>
        <v>24</v>
      </c>
      <c r="AT194" s="260">
        <f t="shared" si="501"/>
        <v>15</v>
      </c>
      <c r="AU194" s="260">
        <f t="shared" si="502"/>
        <v>-2</v>
      </c>
      <c r="AV194" s="1442">
        <f t="shared" si="503"/>
        <v>-18</v>
      </c>
      <c r="AW194" s="1466">
        <f t="shared" si="504"/>
        <v>19</v>
      </c>
      <c r="AX194" s="290">
        <f ca="1">+BB194/4</f>
        <v>24.593968491624235</v>
      </c>
      <c r="AY194" s="260">
        <f ca="1">(BB194-SUM(AX194:AX194))/3</f>
        <v>24.593968491624235</v>
      </c>
      <c r="AZ194" s="260">
        <f ca="1">(BB194-SUM(AX194:AY194))/2</f>
        <v>24.593968491624235</v>
      </c>
      <c r="BA194" s="291">
        <f ca="1">(BB194-SUM(AX194:AZ194))/1</f>
        <v>24.593968491624238</v>
      </c>
      <c r="BB194" s="426">
        <f ca="1">(BB31/EXC!BB37)*EXC!BB152</f>
        <v>98.37587396649694</v>
      </c>
      <c r="BC194" s="290">
        <f ca="1">+BG194/4</f>
        <v>26.866650400324747</v>
      </c>
      <c r="BD194" s="260">
        <f ca="1">(BG194-SUM(BC194:BC194))/3</f>
        <v>26.866650400324747</v>
      </c>
      <c r="BE194" s="260">
        <f ca="1">(BG194-SUM(BC194:BD194))/2</f>
        <v>26.866650400324747</v>
      </c>
      <c r="BF194" s="291">
        <f ca="1">(BG194-SUM(BC194:BE194))/1</f>
        <v>26.866650400324744</v>
      </c>
      <c r="BG194" s="426">
        <f ca="1">(BG31/EXC!BG37)*EXC!BG152</f>
        <v>107.46660160129899</v>
      </c>
      <c r="BH194" s="290">
        <f ca="1">+BL194/4</f>
        <v>31.116918207012986</v>
      </c>
      <c r="BI194" s="260">
        <f ca="1">(BL194-SUM(BH194:BH194))/3</f>
        <v>31.116918207012986</v>
      </c>
      <c r="BJ194" s="260">
        <f ca="1">(BL194-SUM(BH194:BI194))/2</f>
        <v>31.116918207012986</v>
      </c>
      <c r="BK194" s="291">
        <f ca="1">(BL194-SUM(BH194:BJ194))/1</f>
        <v>31.116918207012986</v>
      </c>
      <c r="BL194" s="426">
        <f ca="1">(BL31/EXC!BL37)*EXC!BL152</f>
        <v>124.46767282805195</v>
      </c>
      <c r="BM194" s="290">
        <f ca="1">+BQ194/4</f>
        <v>32.410405783233308</v>
      </c>
      <c r="BN194" s="260">
        <f ca="1">(BQ194-SUM(BM194:BM194))/3</f>
        <v>32.410405783233308</v>
      </c>
      <c r="BO194" s="260">
        <f ca="1">(BQ194-SUM(BM194:BN194))/2</f>
        <v>32.410405783233308</v>
      </c>
      <c r="BP194" s="291">
        <f ca="1">(BQ194-SUM(BM194:BO194))/1</f>
        <v>32.410405783233301</v>
      </c>
      <c r="BQ194" s="426">
        <f ca="1">(BQ31/EXC!BQ37)*EXC!BQ152</f>
        <v>129.64162313293323</v>
      </c>
      <c r="BR194" s="45"/>
      <c r="BS194" s="45"/>
      <c r="BT194" s="45"/>
      <c r="BU194" s="45"/>
      <c r="BV194" s="45"/>
      <c r="BW194" s="45"/>
      <c r="BX194" s="45"/>
      <c r="BY194" s="45"/>
      <c r="BZ194" s="45"/>
      <c r="CA194" s="45"/>
      <c r="CB194" s="45"/>
      <c r="CC194" s="45"/>
      <c r="CD194" s="45"/>
      <c r="CE194" s="45"/>
      <c r="CF194" s="45"/>
      <c r="CG194" s="427">
        <v>-76</v>
      </c>
      <c r="CH194" s="427">
        <v>-102</v>
      </c>
      <c r="CI194" s="427">
        <v>-166</v>
      </c>
      <c r="CJ194" s="45">
        <f t="shared" si="505"/>
        <v>-210</v>
      </c>
      <c r="CK194" s="427">
        <v>-210</v>
      </c>
      <c r="CL194" s="427">
        <v>-105</v>
      </c>
      <c r="CM194" s="427">
        <v>-388</v>
      </c>
      <c r="CN194" s="427">
        <v>-405</v>
      </c>
      <c r="CO194" s="45">
        <f t="shared" si="506"/>
        <v>-400</v>
      </c>
      <c r="CP194" s="427">
        <v>-400</v>
      </c>
      <c r="CQ194" s="427">
        <v>56</v>
      </c>
      <c r="CR194" s="427">
        <v>91</v>
      </c>
      <c r="CS194" s="427">
        <v>181</v>
      </c>
      <c r="CT194" s="45">
        <f t="shared" si="507"/>
        <v>253</v>
      </c>
      <c r="CU194" s="427">
        <v>253</v>
      </c>
      <c r="CV194" s="427">
        <v>10</v>
      </c>
      <c r="CW194" s="427">
        <v>19</v>
      </c>
      <c r="CX194" s="427">
        <v>27</v>
      </c>
      <c r="CY194" s="45">
        <f t="shared" si="508"/>
        <v>37</v>
      </c>
      <c r="CZ194" s="427">
        <v>37</v>
      </c>
      <c r="DA194" s="427">
        <v>19</v>
      </c>
      <c r="DB194" s="427">
        <v>25</v>
      </c>
      <c r="DC194" s="1437">
        <v>35</v>
      </c>
      <c r="DD194" s="1443">
        <f t="shared" si="509"/>
        <v>20</v>
      </c>
      <c r="DE194" s="1437">
        <v>20</v>
      </c>
      <c r="DF194" s="427">
        <v>-2</v>
      </c>
      <c r="DG194" s="427">
        <v>6</v>
      </c>
      <c r="DH194" s="1437">
        <v>7</v>
      </c>
      <c r="DI194" s="1443">
        <f t="shared" si="510"/>
        <v>88</v>
      </c>
      <c r="DJ194" s="1437">
        <v>88</v>
      </c>
      <c r="DK194" s="427">
        <v>5</v>
      </c>
      <c r="DL194" s="427">
        <v>4</v>
      </c>
      <c r="DM194" s="1437">
        <v>11</v>
      </c>
      <c r="DN194" s="1443">
        <f t="shared" si="511"/>
        <v>90</v>
      </c>
      <c r="DO194" s="1437">
        <v>90</v>
      </c>
      <c r="DP194" s="427">
        <v>23</v>
      </c>
      <c r="DQ194" s="427">
        <v>51</v>
      </c>
      <c r="DR194" s="1437">
        <v>69</v>
      </c>
      <c r="DS194" s="1443">
        <f t="shared" si="512"/>
        <v>78</v>
      </c>
      <c r="DT194" s="1437">
        <v>78</v>
      </c>
      <c r="DU194" s="427">
        <v>24</v>
      </c>
      <c r="DV194" s="427">
        <v>39</v>
      </c>
      <c r="DW194" s="427">
        <v>37</v>
      </c>
      <c r="DX194" s="1443">
        <f t="shared" si="513"/>
        <v>19</v>
      </c>
      <c r="DY194" s="1437">
        <v>19</v>
      </c>
    </row>
    <row r="195" spans="1:129" ht="12.75" customHeight="1">
      <c r="A195" s="45"/>
      <c r="B195" s="45"/>
      <c r="C195" s="391" t="s">
        <v>632</v>
      </c>
      <c r="D195" s="45"/>
      <c r="E195" s="290">
        <f t="shared" si="466"/>
        <v>0</v>
      </c>
      <c r="F195" s="260">
        <f t="shared" si="467"/>
        <v>0</v>
      </c>
      <c r="G195" s="260">
        <f t="shared" si="467"/>
        <v>0</v>
      </c>
      <c r="H195" s="291">
        <f t="shared" si="468"/>
        <v>0</v>
      </c>
      <c r="I195" s="647">
        <f t="shared" si="469"/>
        <v>0</v>
      </c>
      <c r="J195" s="290">
        <f t="shared" si="470"/>
        <v>0</v>
      </c>
      <c r="K195" s="260">
        <f t="shared" si="471"/>
        <v>0</v>
      </c>
      <c r="L195" s="260">
        <f t="shared" si="471"/>
        <v>0</v>
      </c>
      <c r="M195" s="291">
        <f t="shared" si="472"/>
        <v>0</v>
      </c>
      <c r="N195" s="647">
        <f t="shared" si="473"/>
        <v>0</v>
      </c>
      <c r="O195" s="290">
        <f>+CQ195</f>
        <v>0</v>
      </c>
      <c r="P195" s="260">
        <f t="shared" si="475"/>
        <v>0</v>
      </c>
      <c r="Q195" s="260">
        <f t="shared" si="476"/>
        <v>0</v>
      </c>
      <c r="R195" s="291">
        <f t="shared" si="477"/>
        <v>0</v>
      </c>
      <c r="S195" s="647">
        <f t="shared" si="478"/>
        <v>0</v>
      </c>
      <c r="T195" s="290">
        <f t="shared" si="479"/>
        <v>0</v>
      </c>
      <c r="U195" s="260">
        <f t="shared" si="480"/>
        <v>0</v>
      </c>
      <c r="V195" s="260">
        <f t="shared" si="480"/>
        <v>0</v>
      </c>
      <c r="W195" s="291">
        <f t="shared" si="481"/>
        <v>0</v>
      </c>
      <c r="X195" s="647">
        <f t="shared" si="482"/>
        <v>0</v>
      </c>
      <c r="Y195" s="290">
        <f t="shared" si="483"/>
        <v>0</v>
      </c>
      <c r="Z195" s="260">
        <f t="shared" si="484"/>
        <v>0</v>
      </c>
      <c r="AA195" s="1441">
        <f t="shared" si="484"/>
        <v>0</v>
      </c>
      <c r="AB195" s="1442">
        <f t="shared" si="485"/>
        <v>0</v>
      </c>
      <c r="AC195" s="1466">
        <f t="shared" si="486"/>
        <v>0</v>
      </c>
      <c r="AD195" s="290">
        <f t="shared" si="487"/>
        <v>0</v>
      </c>
      <c r="AE195" s="260">
        <f t="shared" si="488"/>
        <v>0</v>
      </c>
      <c r="AF195" s="1441">
        <f t="shared" si="488"/>
        <v>0</v>
      </c>
      <c r="AG195" s="1442">
        <f t="shared" si="489"/>
        <v>0</v>
      </c>
      <c r="AH195" s="1466">
        <f t="shared" si="490"/>
        <v>0</v>
      </c>
      <c r="AI195" s="290">
        <f t="shared" si="491"/>
        <v>0</v>
      </c>
      <c r="AJ195" s="260">
        <f t="shared" si="492"/>
        <v>0</v>
      </c>
      <c r="AK195" s="1441">
        <f t="shared" si="493"/>
        <v>0</v>
      </c>
      <c r="AL195" s="1442">
        <f t="shared" si="494"/>
        <v>0</v>
      </c>
      <c r="AM195" s="1466">
        <f t="shared" si="495"/>
        <v>0</v>
      </c>
      <c r="AN195" s="290">
        <f t="shared" si="496"/>
        <v>0</v>
      </c>
      <c r="AO195" s="260">
        <f t="shared" si="497"/>
        <v>0</v>
      </c>
      <c r="AP195" s="1441">
        <f t="shared" si="497"/>
        <v>0</v>
      </c>
      <c r="AQ195" s="1442">
        <f t="shared" si="498"/>
        <v>0</v>
      </c>
      <c r="AR195" s="1466">
        <f t="shared" si="499"/>
        <v>0</v>
      </c>
      <c r="AS195" s="290">
        <f t="shared" si="500"/>
        <v>0</v>
      </c>
      <c r="AT195" s="260">
        <f t="shared" si="501"/>
        <v>0</v>
      </c>
      <c r="AU195" s="260">
        <f t="shared" si="502"/>
        <v>0</v>
      </c>
      <c r="AV195" s="1442">
        <f t="shared" si="503"/>
        <v>0</v>
      </c>
      <c r="AW195" s="1466">
        <f t="shared" si="504"/>
        <v>0</v>
      </c>
      <c r="AX195" s="290">
        <f>-AX22</f>
        <v>-3.278688524590164</v>
      </c>
      <c r="AY195" s="260">
        <f>-AY22</f>
        <v>-3.278688524590164</v>
      </c>
      <c r="AZ195" s="260">
        <f>-AZ22</f>
        <v>-3.278688524590164</v>
      </c>
      <c r="BA195" s="291">
        <f>-BA22</f>
        <v>-3.278688524590164</v>
      </c>
      <c r="BB195" s="45">
        <f>SUM(AX195:BA195)</f>
        <v>-13.114754098360656</v>
      </c>
      <c r="BC195" s="290">
        <f>-BC22</f>
        <v>-3.4836065573770494</v>
      </c>
      <c r="BD195" s="260">
        <f>-BD22</f>
        <v>-3.4836065573770494</v>
      </c>
      <c r="BE195" s="260">
        <f>-BE22</f>
        <v>-3.4836065573770494</v>
      </c>
      <c r="BF195" s="291">
        <f>-BF22</f>
        <v>-3.4836065573770494</v>
      </c>
      <c r="BG195" s="45">
        <f>SUM(BC195:BF195)</f>
        <v>-13.934426229508198</v>
      </c>
      <c r="BH195" s="290">
        <f>-BH22</f>
        <v>-3.2786885245901645</v>
      </c>
      <c r="BI195" s="260">
        <f>-BI22</f>
        <v>-3.2786885245901645</v>
      </c>
      <c r="BJ195" s="260">
        <f>-BJ22</f>
        <v>-3.2786885245901645</v>
      </c>
      <c r="BK195" s="291">
        <f>-BK22</f>
        <v>-3.2786885245901645</v>
      </c>
      <c r="BL195" s="45">
        <f>SUM(BH195:BK195)</f>
        <v>-13.114754098360658</v>
      </c>
      <c r="BM195" s="290">
        <f>-BM22</f>
        <v>-3.2786885245901645</v>
      </c>
      <c r="BN195" s="260">
        <f>-BN22</f>
        <v>-3.2786885245901645</v>
      </c>
      <c r="BO195" s="260">
        <f>-BO22</f>
        <v>-3.2786885245901645</v>
      </c>
      <c r="BP195" s="291">
        <f>-BP22</f>
        <v>-3.2786885245901645</v>
      </c>
      <c r="BQ195" s="45">
        <f>SUM(BM195:BP195)</f>
        <v>-13.114754098360658</v>
      </c>
      <c r="BR195" s="45"/>
      <c r="BS195" s="45"/>
      <c r="BT195" s="45"/>
      <c r="BU195" s="45"/>
      <c r="BV195" s="45"/>
      <c r="BW195" s="45"/>
      <c r="BX195" s="45"/>
      <c r="BY195" s="45"/>
      <c r="BZ195" s="45"/>
      <c r="CA195" s="45"/>
      <c r="CB195" s="45"/>
      <c r="CC195" s="45"/>
      <c r="CD195" s="45"/>
      <c r="CE195" s="45"/>
      <c r="CF195" s="45"/>
      <c r="CG195" s="427">
        <v>0</v>
      </c>
      <c r="CH195" s="427">
        <v>0</v>
      </c>
      <c r="CI195" s="427">
        <v>0</v>
      </c>
      <c r="CJ195" s="45">
        <f t="shared" si="505"/>
        <v>0</v>
      </c>
      <c r="CK195" s="427">
        <v>0</v>
      </c>
      <c r="CL195" s="427">
        <v>0</v>
      </c>
      <c r="CM195" s="427">
        <v>0</v>
      </c>
      <c r="CN195" s="427">
        <v>0</v>
      </c>
      <c r="CO195" s="45">
        <f t="shared" si="506"/>
        <v>0</v>
      </c>
      <c r="CP195" s="427">
        <v>0</v>
      </c>
      <c r="CQ195" s="427">
        <v>0</v>
      </c>
      <c r="CR195" s="427">
        <v>0</v>
      </c>
      <c r="CS195" s="427">
        <v>0</v>
      </c>
      <c r="CT195" s="45">
        <f t="shared" si="507"/>
        <v>0</v>
      </c>
      <c r="CU195" s="427">
        <v>0</v>
      </c>
      <c r="CV195" s="427">
        <v>0</v>
      </c>
      <c r="CW195" s="427">
        <v>0</v>
      </c>
      <c r="CX195" s="427">
        <v>0</v>
      </c>
      <c r="CY195" s="45">
        <f t="shared" si="508"/>
        <v>0</v>
      </c>
      <c r="CZ195" s="427">
        <v>0</v>
      </c>
      <c r="DA195" s="427">
        <v>0</v>
      </c>
      <c r="DB195" s="427">
        <v>0</v>
      </c>
      <c r="DC195" s="1437">
        <v>0</v>
      </c>
      <c r="DD195" s="1443">
        <f t="shared" si="509"/>
        <v>0</v>
      </c>
      <c r="DE195" s="1437">
        <v>0</v>
      </c>
      <c r="DF195" s="427">
        <v>0</v>
      </c>
      <c r="DG195" s="427">
        <v>0</v>
      </c>
      <c r="DH195" s="1437">
        <v>0</v>
      </c>
      <c r="DI195" s="1443">
        <f t="shared" si="510"/>
        <v>0</v>
      </c>
      <c r="DJ195" s="1437">
        <v>0</v>
      </c>
      <c r="DK195" s="427">
        <v>0</v>
      </c>
      <c r="DL195" s="427">
        <v>0</v>
      </c>
      <c r="DM195" s="1437">
        <v>0</v>
      </c>
      <c r="DN195" s="1443">
        <f t="shared" si="511"/>
        <v>0</v>
      </c>
      <c r="DO195" s="1437">
        <v>0</v>
      </c>
      <c r="DP195" s="427">
        <v>0</v>
      </c>
      <c r="DQ195" s="427">
        <v>0</v>
      </c>
      <c r="DR195" s="1437">
        <v>0</v>
      </c>
      <c r="DS195" s="1443">
        <f t="shared" si="512"/>
        <v>0</v>
      </c>
      <c r="DT195" s="1437">
        <v>0</v>
      </c>
      <c r="DU195" s="427">
        <v>0</v>
      </c>
      <c r="DV195" s="427">
        <v>0</v>
      </c>
      <c r="DW195" s="427">
        <v>0</v>
      </c>
      <c r="DX195" s="1443">
        <f t="shared" si="513"/>
        <v>0</v>
      </c>
      <c r="DY195" s="1437">
        <v>0</v>
      </c>
    </row>
    <row r="196" spans="1:129" ht="12.75" customHeight="1">
      <c r="A196" s="45"/>
      <c r="B196" s="45"/>
      <c r="C196" s="391" t="s">
        <v>62</v>
      </c>
      <c r="D196" s="45"/>
      <c r="E196" s="290">
        <f t="shared" si="466"/>
        <v>57</v>
      </c>
      <c r="F196" s="260">
        <f t="shared" si="467"/>
        <v>26</v>
      </c>
      <c r="G196" s="260">
        <f t="shared" si="467"/>
        <v>24</v>
      </c>
      <c r="H196" s="291">
        <f t="shared" si="468"/>
        <v>34</v>
      </c>
      <c r="I196" s="647">
        <f t="shared" si="469"/>
        <v>141</v>
      </c>
      <c r="J196" s="290">
        <f t="shared" si="470"/>
        <v>33</v>
      </c>
      <c r="K196" s="260">
        <f t="shared" si="471"/>
        <v>11</v>
      </c>
      <c r="L196" s="260">
        <f t="shared" si="471"/>
        <v>41</v>
      </c>
      <c r="M196" s="291">
        <f t="shared" si="472"/>
        <v>23</v>
      </c>
      <c r="N196" s="647">
        <f t="shared" si="473"/>
        <v>108</v>
      </c>
      <c r="O196" s="290">
        <f t="shared" si="474"/>
        <v>35</v>
      </c>
      <c r="P196" s="260">
        <f t="shared" si="475"/>
        <v>9</v>
      </c>
      <c r="Q196" s="260">
        <f t="shared" si="476"/>
        <v>30</v>
      </c>
      <c r="R196" s="291">
        <f t="shared" si="477"/>
        <v>26</v>
      </c>
      <c r="S196" s="647">
        <f t="shared" si="478"/>
        <v>100</v>
      </c>
      <c r="T196" s="290">
        <f t="shared" si="479"/>
        <v>40</v>
      </c>
      <c r="U196" s="260">
        <f t="shared" si="480"/>
        <v>26</v>
      </c>
      <c r="V196" s="260">
        <f t="shared" si="480"/>
        <v>30</v>
      </c>
      <c r="W196" s="291">
        <f t="shared" si="481"/>
        <v>29</v>
      </c>
      <c r="X196" s="647">
        <f t="shared" si="482"/>
        <v>125</v>
      </c>
      <c r="Y196" s="290">
        <f t="shared" si="483"/>
        <v>39</v>
      </c>
      <c r="Z196" s="260">
        <f t="shared" si="484"/>
        <v>11</v>
      </c>
      <c r="AA196" s="1441">
        <f t="shared" si="484"/>
        <v>34</v>
      </c>
      <c r="AB196" s="1442">
        <f t="shared" si="485"/>
        <v>24</v>
      </c>
      <c r="AC196" s="1466">
        <f t="shared" si="486"/>
        <v>108</v>
      </c>
      <c r="AD196" s="290">
        <f t="shared" si="487"/>
        <v>49</v>
      </c>
      <c r="AE196" s="260">
        <f t="shared" si="488"/>
        <v>1</v>
      </c>
      <c r="AF196" s="1441">
        <f t="shared" si="488"/>
        <v>20</v>
      </c>
      <c r="AG196" s="1442">
        <f t="shared" si="489"/>
        <v>22</v>
      </c>
      <c r="AH196" s="1466">
        <f t="shared" si="490"/>
        <v>92</v>
      </c>
      <c r="AI196" s="290">
        <f t="shared" si="491"/>
        <v>44</v>
      </c>
      <c r="AJ196" s="260">
        <f t="shared" si="492"/>
        <v>1</v>
      </c>
      <c r="AK196" s="1441">
        <f t="shared" si="493"/>
        <v>24</v>
      </c>
      <c r="AL196" s="1442">
        <f t="shared" si="494"/>
        <v>1</v>
      </c>
      <c r="AM196" s="1466">
        <f t="shared" si="495"/>
        <v>70</v>
      </c>
      <c r="AN196" s="290">
        <f t="shared" si="496"/>
        <v>24</v>
      </c>
      <c r="AO196" s="260">
        <f t="shared" si="497"/>
        <v>3</v>
      </c>
      <c r="AP196" s="1441">
        <f t="shared" si="497"/>
        <v>22</v>
      </c>
      <c r="AQ196" s="1442">
        <f t="shared" si="498"/>
        <v>16</v>
      </c>
      <c r="AR196" s="1466">
        <f t="shared" si="499"/>
        <v>65</v>
      </c>
      <c r="AS196" s="290">
        <f t="shared" si="500"/>
        <v>23</v>
      </c>
      <c r="AT196" s="260">
        <f t="shared" si="501"/>
        <v>-1</v>
      </c>
      <c r="AU196" s="260">
        <f t="shared" si="502"/>
        <v>16</v>
      </c>
      <c r="AV196" s="1442">
        <f t="shared" si="503"/>
        <v>16</v>
      </c>
      <c r="AW196" s="1466">
        <f t="shared" si="504"/>
        <v>54</v>
      </c>
      <c r="AX196" s="290">
        <f>+BB196/4</f>
        <v>-5</v>
      </c>
      <c r="AY196" s="260">
        <f>(BB196-SUM(AX196:AX196))/3</f>
        <v>-5</v>
      </c>
      <c r="AZ196" s="260">
        <f>(BB196-SUM(AX196:AY196))/2</f>
        <v>-5</v>
      </c>
      <c r="BA196" s="291">
        <f>(BB196-SUM(AX196:AZ196))/1</f>
        <v>-5</v>
      </c>
      <c r="BB196" s="426">
        <v>-20</v>
      </c>
      <c r="BC196" s="290">
        <f>+BG196/4</f>
        <v>-5</v>
      </c>
      <c r="BD196" s="260">
        <f>(BG196-SUM(BC196:BC196))/3</f>
        <v>-5</v>
      </c>
      <c r="BE196" s="260">
        <f>(BG196-SUM(BC196:BD196))/2</f>
        <v>-5</v>
      </c>
      <c r="BF196" s="291">
        <f>(BG196-SUM(BC196:BE196))/1</f>
        <v>-5</v>
      </c>
      <c r="BG196" s="426">
        <v>-20</v>
      </c>
      <c r="BH196" s="290">
        <f>+BL196/4</f>
        <v>-5</v>
      </c>
      <c r="BI196" s="260">
        <f>(BL196-SUM(BH196:BH196))/3</f>
        <v>-5</v>
      </c>
      <c r="BJ196" s="260">
        <f>(BL196-SUM(BH196:BI196))/2</f>
        <v>-5</v>
      </c>
      <c r="BK196" s="291">
        <f>(BL196-SUM(BH196:BJ196))/1</f>
        <v>-5</v>
      </c>
      <c r="BL196" s="426">
        <v>-20</v>
      </c>
      <c r="BM196" s="290">
        <f>+BQ196/4</f>
        <v>0</v>
      </c>
      <c r="BN196" s="260">
        <f>(BQ196-SUM(BM196:BM196))/3</f>
        <v>0</v>
      </c>
      <c r="BO196" s="260">
        <f>(BQ196-SUM(BM196:BN196))/2</f>
        <v>0</v>
      </c>
      <c r="BP196" s="291">
        <f>(BQ196-SUM(BM196:BO196))/1</f>
        <v>0</v>
      </c>
      <c r="BQ196" s="426">
        <v>0</v>
      </c>
      <c r="BR196" s="45"/>
      <c r="BS196" s="45"/>
      <c r="BT196" s="45"/>
      <c r="BU196" s="45"/>
      <c r="BV196" s="45"/>
      <c r="BW196" s="45"/>
      <c r="BX196" s="45"/>
      <c r="BY196" s="45"/>
      <c r="BZ196" s="45"/>
      <c r="CA196" s="45"/>
      <c r="CB196" s="45"/>
      <c r="CC196" s="45"/>
      <c r="CD196" s="45"/>
      <c r="CE196" s="45"/>
      <c r="CF196" s="45"/>
      <c r="CG196" s="427">
        <v>57</v>
      </c>
      <c r="CH196" s="427">
        <v>83</v>
      </c>
      <c r="CI196" s="427">
        <v>107</v>
      </c>
      <c r="CJ196" s="45">
        <f t="shared" si="505"/>
        <v>141</v>
      </c>
      <c r="CK196" s="427">
        <v>141</v>
      </c>
      <c r="CL196" s="427">
        <v>33</v>
      </c>
      <c r="CM196" s="427">
        <v>44</v>
      </c>
      <c r="CN196" s="427">
        <v>85</v>
      </c>
      <c r="CO196" s="45">
        <f t="shared" si="506"/>
        <v>108</v>
      </c>
      <c r="CP196" s="427">
        <v>108</v>
      </c>
      <c r="CQ196" s="427">
        <v>35</v>
      </c>
      <c r="CR196" s="427">
        <v>44</v>
      </c>
      <c r="CS196" s="427">
        <v>74</v>
      </c>
      <c r="CT196" s="45">
        <f t="shared" si="507"/>
        <v>100</v>
      </c>
      <c r="CU196" s="427">
        <v>100</v>
      </c>
      <c r="CV196" s="427">
        <v>40</v>
      </c>
      <c r="CW196" s="427">
        <v>66</v>
      </c>
      <c r="CX196" s="427">
        <v>96</v>
      </c>
      <c r="CY196" s="45">
        <f t="shared" si="508"/>
        <v>125</v>
      </c>
      <c r="CZ196" s="427">
        <v>125</v>
      </c>
      <c r="DA196" s="427">
        <v>39</v>
      </c>
      <c r="DB196" s="427">
        <v>50</v>
      </c>
      <c r="DC196" s="1437">
        <v>84</v>
      </c>
      <c r="DD196" s="1443">
        <f t="shared" si="509"/>
        <v>108</v>
      </c>
      <c r="DE196" s="1437">
        <v>108</v>
      </c>
      <c r="DF196" s="427">
        <v>49</v>
      </c>
      <c r="DG196" s="427">
        <v>50</v>
      </c>
      <c r="DH196" s="1437">
        <v>70</v>
      </c>
      <c r="DI196" s="1443">
        <f t="shared" si="510"/>
        <v>92</v>
      </c>
      <c r="DJ196" s="1437">
        <v>92</v>
      </c>
      <c r="DK196" s="427">
        <v>44</v>
      </c>
      <c r="DL196" s="427">
        <v>45</v>
      </c>
      <c r="DM196" s="1437">
        <v>69</v>
      </c>
      <c r="DN196" s="1443">
        <f t="shared" si="511"/>
        <v>70</v>
      </c>
      <c r="DO196" s="1437">
        <v>70</v>
      </c>
      <c r="DP196" s="427">
        <v>24</v>
      </c>
      <c r="DQ196" s="427">
        <v>27</v>
      </c>
      <c r="DR196" s="1437">
        <v>49</v>
      </c>
      <c r="DS196" s="1443">
        <f t="shared" si="512"/>
        <v>65</v>
      </c>
      <c r="DT196" s="1437">
        <v>65</v>
      </c>
      <c r="DU196" s="427">
        <v>23</v>
      </c>
      <c r="DV196" s="427">
        <v>22</v>
      </c>
      <c r="DW196" s="427">
        <v>38</v>
      </c>
      <c r="DX196" s="1443">
        <f t="shared" si="513"/>
        <v>54</v>
      </c>
      <c r="DY196" s="1437">
        <v>54</v>
      </c>
    </row>
    <row r="197" spans="1:129" ht="12.75" customHeight="1">
      <c r="A197" s="45"/>
      <c r="B197" s="45"/>
      <c r="C197" s="391" t="s">
        <v>233</v>
      </c>
      <c r="D197" s="45"/>
      <c r="E197" s="290">
        <f t="shared" si="466"/>
        <v>-108</v>
      </c>
      <c r="F197" s="260">
        <f t="shared" si="467"/>
        <v>73</v>
      </c>
      <c r="G197" s="260">
        <f t="shared" si="467"/>
        <v>-45</v>
      </c>
      <c r="H197" s="291">
        <f t="shared" si="468"/>
        <v>10</v>
      </c>
      <c r="I197" s="647">
        <f t="shared" si="469"/>
        <v>-70</v>
      </c>
      <c r="J197" s="290">
        <f t="shared" si="470"/>
        <v>-75</v>
      </c>
      <c r="K197" s="260">
        <f t="shared" si="471"/>
        <v>265</v>
      </c>
      <c r="L197" s="260">
        <f t="shared" si="471"/>
        <v>-113</v>
      </c>
      <c r="M197" s="291">
        <f t="shared" si="472"/>
        <v>-19</v>
      </c>
      <c r="N197" s="647">
        <f t="shared" si="473"/>
        <v>58</v>
      </c>
      <c r="O197" s="290">
        <f t="shared" si="474"/>
        <v>-249</v>
      </c>
      <c r="P197" s="260">
        <f t="shared" si="475"/>
        <v>165</v>
      </c>
      <c r="Q197" s="260">
        <f t="shared" si="476"/>
        <v>21</v>
      </c>
      <c r="R197" s="291">
        <f t="shared" si="477"/>
        <v>-63</v>
      </c>
      <c r="S197" s="647">
        <f t="shared" si="478"/>
        <v>-126</v>
      </c>
      <c r="T197" s="290">
        <f t="shared" si="479"/>
        <v>-28</v>
      </c>
      <c r="U197" s="260">
        <f t="shared" si="480"/>
        <v>68</v>
      </c>
      <c r="V197" s="260">
        <f t="shared" si="480"/>
        <v>4</v>
      </c>
      <c r="W197" s="291">
        <f t="shared" si="481"/>
        <v>74</v>
      </c>
      <c r="X197" s="647">
        <f t="shared" si="482"/>
        <v>118</v>
      </c>
      <c r="Y197" s="290">
        <f t="shared" si="483"/>
        <v>-42</v>
      </c>
      <c r="Z197" s="260">
        <f t="shared" si="484"/>
        <v>121</v>
      </c>
      <c r="AA197" s="1441">
        <f t="shared" si="484"/>
        <v>-41</v>
      </c>
      <c r="AB197" s="1442">
        <f t="shared" si="485"/>
        <v>-42</v>
      </c>
      <c r="AC197" s="1466">
        <f t="shared" si="486"/>
        <v>-4</v>
      </c>
      <c r="AD197" s="290">
        <f t="shared" si="487"/>
        <v>-51</v>
      </c>
      <c r="AE197" s="260">
        <f t="shared" si="488"/>
        <v>45</v>
      </c>
      <c r="AF197" s="1441">
        <f t="shared" si="488"/>
        <v>2</v>
      </c>
      <c r="AG197" s="1442">
        <f t="shared" si="489"/>
        <v>-52</v>
      </c>
      <c r="AH197" s="1466">
        <f t="shared" si="490"/>
        <v>-56</v>
      </c>
      <c r="AI197" s="290">
        <f t="shared" si="491"/>
        <v>-92</v>
      </c>
      <c r="AJ197" s="260">
        <f t="shared" si="492"/>
        <v>78</v>
      </c>
      <c r="AK197" s="1441">
        <f t="shared" si="493"/>
        <v>4</v>
      </c>
      <c r="AL197" s="1442">
        <f t="shared" si="494"/>
        <v>-18</v>
      </c>
      <c r="AM197" s="1466">
        <f t="shared" si="495"/>
        <v>-28</v>
      </c>
      <c r="AN197" s="290">
        <f t="shared" si="496"/>
        <v>-100</v>
      </c>
      <c r="AO197" s="260">
        <f t="shared" si="497"/>
        <v>3</v>
      </c>
      <c r="AP197" s="1441">
        <f t="shared" si="497"/>
        <v>14</v>
      </c>
      <c r="AQ197" s="1442">
        <f t="shared" si="498"/>
        <v>61</v>
      </c>
      <c r="AR197" s="1466">
        <f t="shared" si="499"/>
        <v>-22</v>
      </c>
      <c r="AS197" s="290">
        <f t="shared" si="500"/>
        <v>-181</v>
      </c>
      <c r="AT197" s="260">
        <f t="shared" si="501"/>
        <v>132</v>
      </c>
      <c r="AU197" s="260">
        <f t="shared" si="502"/>
        <v>37</v>
      </c>
      <c r="AV197" s="1442">
        <f t="shared" si="503"/>
        <v>-26</v>
      </c>
      <c r="AW197" s="1466">
        <f t="shared" si="504"/>
        <v>-38</v>
      </c>
      <c r="AX197" s="290">
        <f>+BB197/4</f>
        <v>0</v>
      </c>
      <c r="AY197" s="260">
        <f>(BB197-SUM(AX197:AX197))/3</f>
        <v>0</v>
      </c>
      <c r="AZ197" s="260">
        <f>(BB197-SUM(AX197:AY197))/2</f>
        <v>0</v>
      </c>
      <c r="BA197" s="291">
        <f>(BB197-SUM(AX197:AZ197))/1</f>
        <v>0</v>
      </c>
      <c r="BB197" s="426">
        <v>0</v>
      </c>
      <c r="BC197" s="290">
        <f>+BG197/4</f>
        <v>0</v>
      </c>
      <c r="BD197" s="260">
        <f>(BG197-SUM(BC197:BC197))/3</f>
        <v>0</v>
      </c>
      <c r="BE197" s="260">
        <f>(BG197-SUM(BC197:BD197))/2</f>
        <v>0</v>
      </c>
      <c r="BF197" s="291">
        <f>(BG197-SUM(BC197:BE197))/1</f>
        <v>0</v>
      </c>
      <c r="BG197" s="426">
        <v>0</v>
      </c>
      <c r="BH197" s="290">
        <f>+BL197/4</f>
        <v>0</v>
      </c>
      <c r="BI197" s="260">
        <f>(BL197-SUM(BH197:BH197))/3</f>
        <v>0</v>
      </c>
      <c r="BJ197" s="260">
        <f>(BL197-SUM(BH197:BI197))/2</f>
        <v>0</v>
      </c>
      <c r="BK197" s="291">
        <f>(BL197-SUM(BH197:BJ197))/1</f>
        <v>0</v>
      </c>
      <c r="BL197" s="426">
        <v>0</v>
      </c>
      <c r="BM197" s="290">
        <f>+BQ197/4</f>
        <v>0</v>
      </c>
      <c r="BN197" s="260">
        <f>(BQ197-SUM(BM197:BM197))/3</f>
        <v>0</v>
      </c>
      <c r="BO197" s="260">
        <f>(BQ197-SUM(BM197:BN197))/2</f>
        <v>0</v>
      </c>
      <c r="BP197" s="291">
        <f>(BQ197-SUM(BM197:BO197))/1</f>
        <v>0</v>
      </c>
      <c r="BQ197" s="426">
        <v>0</v>
      </c>
      <c r="BR197" s="45"/>
      <c r="BS197" s="45"/>
      <c r="BT197" s="45"/>
      <c r="BU197" s="45"/>
      <c r="BV197" s="45"/>
      <c r="BW197" s="45"/>
      <c r="BX197" s="45"/>
      <c r="BY197" s="45"/>
      <c r="BZ197" s="45"/>
      <c r="CA197" s="45"/>
      <c r="CB197" s="45"/>
      <c r="CC197" s="45"/>
      <c r="CD197" s="45"/>
      <c r="CE197" s="45"/>
      <c r="CF197" s="45"/>
      <c r="CG197" s="427">
        <f>4+40+110-129+65-10-188</f>
        <v>-108</v>
      </c>
      <c r="CH197" s="427">
        <f>69+64+79-154+51-16-128</f>
        <v>-35</v>
      </c>
      <c r="CI197" s="427">
        <f>86+32+47-154+27-41-77</f>
        <v>-80</v>
      </c>
      <c r="CJ197" s="45">
        <f t="shared" si="505"/>
        <v>-70</v>
      </c>
      <c r="CK197" s="427">
        <f>36+45+76-123-18-52-34</f>
        <v>-70</v>
      </c>
      <c r="CL197" s="427">
        <f>-42-21+54-7+109-15-153</f>
        <v>-75</v>
      </c>
      <c r="CM197" s="427">
        <f>-75+27+30-21+323-20-74</f>
        <v>190</v>
      </c>
      <c r="CN197" s="427">
        <f>-104-12+2-20+243-68+36</f>
        <v>77</v>
      </c>
      <c r="CO197" s="45">
        <f t="shared" si="506"/>
        <v>58</v>
      </c>
      <c r="CP197" s="427">
        <f>-212+86+9+85+118-106+78</f>
        <v>58</v>
      </c>
      <c r="CQ197" s="427">
        <f>188-227+55-26+33-110-162</f>
        <v>-249</v>
      </c>
      <c r="CR197" s="427">
        <f>221-218+29-11+113-110-108</f>
        <v>-84</v>
      </c>
      <c r="CS197" s="427">
        <f>241-217+24+27-110-28</f>
        <v>-63</v>
      </c>
      <c r="CT197" s="45">
        <f t="shared" si="507"/>
        <v>-126</v>
      </c>
      <c r="CU197" s="427">
        <f>225-217+34-45-137+14</f>
        <v>-126</v>
      </c>
      <c r="CV197" s="427">
        <f>31+12+39-71+76-5-110</f>
        <v>-28</v>
      </c>
      <c r="CW197" s="427">
        <f>62+9+26+-83+121+-8+-87</f>
        <v>40</v>
      </c>
      <c r="CX197" s="427">
        <f>36+15+10-75+127-12-57</f>
        <v>44</v>
      </c>
      <c r="CY197" s="45">
        <f t="shared" si="508"/>
        <v>118</v>
      </c>
      <c r="CZ197" s="427">
        <f>-14+13+21-47+174-45+16</f>
        <v>118</v>
      </c>
      <c r="DA197" s="427">
        <f>-50+1+44-17+29-11-38</f>
        <v>-42</v>
      </c>
      <c r="DB197" s="427">
        <f>55-18+27+35+39-10-49</f>
        <v>79</v>
      </c>
      <c r="DC197" s="1437">
        <f>41-25+4+9+66-10-47</f>
        <v>38</v>
      </c>
      <c r="DD197" s="1443">
        <f t="shared" si="509"/>
        <v>-4</v>
      </c>
      <c r="DE197" s="1437">
        <f>-79-18+2+41+87-31-6</f>
        <v>-4</v>
      </c>
      <c r="DF197" s="427">
        <f>-110+2+45+117+33-11-127</f>
        <v>-51</v>
      </c>
      <c r="DG197" s="427">
        <f>34-21+22+30+54-11-114</f>
        <v>-6</v>
      </c>
      <c r="DH197" s="1437">
        <f>63-20+5+19+16-12-75</f>
        <v>-4</v>
      </c>
      <c r="DI197" s="1443">
        <f t="shared" si="510"/>
        <v>-56</v>
      </c>
      <c r="DJ197" s="1437">
        <f>-16-6+2+54-57-16-17</f>
        <v>-56</v>
      </c>
      <c r="DK197" s="427">
        <f>+-115+5+34+1+67-12-72</f>
        <v>-92</v>
      </c>
      <c r="DL197" s="427">
        <f>+-18-2+21+3+57-15-60</f>
        <v>-14</v>
      </c>
      <c r="DM197" s="1437">
        <f>+-15+8-17+69-37-18</f>
        <v>-10</v>
      </c>
      <c r="DN197" s="1443">
        <f t="shared" si="511"/>
        <v>-28</v>
      </c>
      <c r="DO197" s="1437">
        <f>37+3+10-25-9-40-4</f>
        <v>-28</v>
      </c>
      <c r="DP197" s="427">
        <f>-51+4+24+18+29-29-95</f>
        <v>-100</v>
      </c>
      <c r="DQ197" s="427">
        <f>-1-2+19-19+31-29-96</f>
        <v>-97</v>
      </c>
      <c r="DR197" s="1437">
        <f>-50+9+5-12+43-29-49</f>
        <v>-83</v>
      </c>
      <c r="DS197" s="1443">
        <f t="shared" si="512"/>
        <v>-22</v>
      </c>
      <c r="DT197" s="1437">
        <f>-71+6+6+67+8-30-8</f>
        <v>-22</v>
      </c>
      <c r="DU197" s="427">
        <f>-25-10+19-82+25-23-85</f>
        <v>-181</v>
      </c>
      <c r="DV197" s="427">
        <f>26-10+7-30+51-23-70</f>
        <v>-49</v>
      </c>
      <c r="DW197" s="427">
        <f>45-10-5-41+51-23-29</f>
        <v>-12</v>
      </c>
      <c r="DX197" s="1443">
        <f t="shared" si="513"/>
        <v>-38</v>
      </c>
      <c r="DY197" s="1437">
        <f>-44-6+1+6+34-24-5</f>
        <v>-38</v>
      </c>
    </row>
    <row r="198" spans="1:129" ht="12.75" customHeight="1">
      <c r="A198" s="45"/>
      <c r="B198" s="45"/>
      <c r="C198" s="389" t="s">
        <v>148</v>
      </c>
      <c r="D198" s="45"/>
      <c r="E198" s="292">
        <f>SUM(E192:E197)</f>
        <v>211</v>
      </c>
      <c r="F198" s="261">
        <f>SUM(F192:F197)</f>
        <v>373</v>
      </c>
      <c r="G198" s="261">
        <f>SUM(G192:G197)</f>
        <v>278</v>
      </c>
      <c r="H198" s="293">
        <f>SUM(H192:H197)</f>
        <v>304</v>
      </c>
      <c r="I198" s="583">
        <f t="shared" si="469"/>
        <v>1166</v>
      </c>
      <c r="J198" s="292">
        <f>SUM(J192:J197)</f>
        <v>219</v>
      </c>
      <c r="K198" s="261">
        <f>SUM(K192:K197)</f>
        <v>336</v>
      </c>
      <c r="L198" s="261">
        <f>SUM(L192:L197)</f>
        <v>364</v>
      </c>
      <c r="M198" s="293">
        <f>SUM(M192:M197)</f>
        <v>231</v>
      </c>
      <c r="N198" s="583">
        <f t="shared" si="473"/>
        <v>1150</v>
      </c>
      <c r="O198" s="292">
        <f>SUM(O192:O197)</f>
        <v>16</v>
      </c>
      <c r="P198" s="261">
        <f>SUM(P192:P197)</f>
        <v>343</v>
      </c>
      <c r="Q198" s="261">
        <f>SUM(Q192:Q197)</f>
        <v>297</v>
      </c>
      <c r="R198" s="293">
        <f>SUM(R192:R197)</f>
        <v>162</v>
      </c>
      <c r="S198" s="583">
        <f t="shared" si="478"/>
        <v>818</v>
      </c>
      <c r="T198" s="292">
        <f t="shared" ref="T198:AD198" si="514">SUM(T192:T197)</f>
        <v>172</v>
      </c>
      <c r="U198" s="261">
        <f>SUM(U192:U197)</f>
        <v>237</v>
      </c>
      <c r="V198" s="261">
        <f>SUM(V192:V197)</f>
        <v>219</v>
      </c>
      <c r="W198" s="293">
        <f>SUM(W192:W197)</f>
        <v>250</v>
      </c>
      <c r="X198" s="583">
        <f t="shared" si="482"/>
        <v>878</v>
      </c>
      <c r="Y198" s="292">
        <f t="shared" si="514"/>
        <v>195</v>
      </c>
      <c r="Z198" s="261">
        <f>SUM(Z192:Z197)</f>
        <v>272</v>
      </c>
      <c r="AA198" s="1438">
        <f>SUM(AA192:AA197)</f>
        <v>153</v>
      </c>
      <c r="AB198" s="1439">
        <f>SUM(AB192:AB197)</f>
        <v>127</v>
      </c>
      <c r="AC198" s="1464">
        <f t="shared" si="486"/>
        <v>747</v>
      </c>
      <c r="AD198" s="292">
        <f t="shared" si="514"/>
        <v>143</v>
      </c>
      <c r="AE198" s="261">
        <f>SUM(AE192:AE197)</f>
        <v>197</v>
      </c>
      <c r="AF198" s="1438">
        <f>SUM(AF192:AF197)</f>
        <v>164</v>
      </c>
      <c r="AG198" s="1439">
        <f>SUM(AG192:AG197)</f>
        <v>208</v>
      </c>
      <c r="AH198" s="1464">
        <f t="shared" si="490"/>
        <v>712</v>
      </c>
      <c r="AI198" s="292">
        <f t="shared" ref="AI198" si="515">SUM(AI192:AI197)</f>
        <v>158</v>
      </c>
      <c r="AJ198" s="261">
        <f>SUM(AJ192:AJ197)</f>
        <v>217</v>
      </c>
      <c r="AK198" s="1438">
        <f>SUM(AK192:AK197)</f>
        <v>192</v>
      </c>
      <c r="AL198" s="1439">
        <f>SUM(AL192:AL197)</f>
        <v>203</v>
      </c>
      <c r="AM198" s="1464">
        <f t="shared" si="495"/>
        <v>770</v>
      </c>
      <c r="AN198" s="292">
        <f t="shared" ref="AN198" si="516">SUM(AN192:AN197)</f>
        <v>138</v>
      </c>
      <c r="AO198" s="261">
        <f>SUM(AO192:AO197)</f>
        <v>201</v>
      </c>
      <c r="AP198" s="1438">
        <f>SUM(AP192:AP197)</f>
        <v>243</v>
      </c>
      <c r="AQ198" s="1439">
        <f>SUM(AQ192:AQ197)</f>
        <v>247</v>
      </c>
      <c r="AR198" s="1464">
        <f t="shared" si="499"/>
        <v>829</v>
      </c>
      <c r="AS198" s="292">
        <f t="shared" ref="AS198" si="517">SUM(AS192:AS197)</f>
        <v>64</v>
      </c>
      <c r="AT198" s="261">
        <f>SUM(AT192:AT197)</f>
        <v>304</v>
      </c>
      <c r="AU198" s="261">
        <f t="shared" ref="AU198" si="518">SUM(AU192:AU197)</f>
        <v>235</v>
      </c>
      <c r="AV198" s="1439">
        <f>SUM(AV192:AV197)</f>
        <v>152</v>
      </c>
      <c r="AW198" s="1464">
        <f t="shared" si="504"/>
        <v>755</v>
      </c>
      <c r="AX198" s="292">
        <f t="shared" ref="AX198:BB198" ca="1" si="519">SUM(AX192:AX197)</f>
        <v>218.87226334784972</v>
      </c>
      <c r="AY198" s="261">
        <f t="shared" ca="1" si="519"/>
        <v>174.73239680044813</v>
      </c>
      <c r="AZ198" s="261">
        <f t="shared" ca="1" si="519"/>
        <v>190.88720742093429</v>
      </c>
      <c r="BA198" s="293">
        <f t="shared" ca="1" si="519"/>
        <v>186.1018770813335</v>
      </c>
      <c r="BB198" s="228">
        <f t="shared" ca="1" si="519"/>
        <v>770.59374465056555</v>
      </c>
      <c r="BC198" s="292">
        <f t="shared" ref="BC198:BL198" ca="1" si="520">SUM(BC192:BC197)</f>
        <v>235.79175403849734</v>
      </c>
      <c r="BD198" s="261">
        <f t="shared" ca="1" si="520"/>
        <v>187.88459311696522</v>
      </c>
      <c r="BE198" s="261">
        <f t="shared" ca="1" si="520"/>
        <v>205.61440931212374</v>
      </c>
      <c r="BF198" s="293">
        <f t="shared" ca="1" si="520"/>
        <v>201.5524896238478</v>
      </c>
      <c r="BG198" s="228">
        <f t="shared" ca="1" si="520"/>
        <v>830.84324609143414</v>
      </c>
      <c r="BH198" s="292">
        <f t="shared" ca="1" si="520"/>
        <v>254.76242107488611</v>
      </c>
      <c r="BI198" s="261">
        <f t="shared" ca="1" si="520"/>
        <v>206.54712402312038</v>
      </c>
      <c r="BJ198" s="261">
        <f t="shared" ca="1" si="520"/>
        <v>224.61665086881712</v>
      </c>
      <c r="BK198" s="293">
        <f t="shared" ca="1" si="520"/>
        <v>220.97113020222397</v>
      </c>
      <c r="BL198" s="228">
        <f t="shared" ca="1" si="520"/>
        <v>906.89732616904757</v>
      </c>
      <c r="BM198" s="292">
        <f t="shared" ref="BM198:BQ198" ca="1" si="521">SUM(BM192:BM197)</f>
        <v>272.10932060312075</v>
      </c>
      <c r="BN198" s="261">
        <f t="shared" ca="1" si="521"/>
        <v>223.43208058479317</v>
      </c>
      <c r="BO198" s="261">
        <f t="shared" ca="1" si="521"/>
        <v>241.27825677103036</v>
      </c>
      <c r="BP198" s="293">
        <f t="shared" ca="1" si="521"/>
        <v>238.03673661571852</v>
      </c>
      <c r="BQ198" s="228">
        <f t="shared" ca="1" si="521"/>
        <v>974.85639457466277</v>
      </c>
      <c r="BR198" s="45"/>
      <c r="BS198" s="45"/>
      <c r="BT198" s="45"/>
      <c r="BU198" s="45"/>
      <c r="BV198" s="45"/>
      <c r="BW198" s="45"/>
      <c r="BX198" s="45"/>
      <c r="BY198" s="45"/>
      <c r="BZ198" s="45"/>
      <c r="CA198" s="45"/>
      <c r="CB198" s="45"/>
      <c r="CC198" s="45"/>
      <c r="CD198" s="45"/>
      <c r="CE198" s="45"/>
      <c r="CF198" s="45"/>
      <c r="CG198" s="228">
        <f t="shared" ref="CG198:CW198" si="522">SUM(CG192:CG197)</f>
        <v>211</v>
      </c>
      <c r="CH198" s="228">
        <f t="shared" si="522"/>
        <v>584</v>
      </c>
      <c r="CI198" s="228">
        <f t="shared" si="522"/>
        <v>862</v>
      </c>
      <c r="CJ198" s="228">
        <f>SUM(CJ192:CJ197)</f>
        <v>1166</v>
      </c>
      <c r="CK198" s="228">
        <f t="shared" si="522"/>
        <v>1166</v>
      </c>
      <c r="CL198" s="228">
        <f t="shared" si="522"/>
        <v>219</v>
      </c>
      <c r="CM198" s="228">
        <f t="shared" si="522"/>
        <v>555</v>
      </c>
      <c r="CN198" s="228">
        <f>SUM(CN192:CN197)</f>
        <v>919</v>
      </c>
      <c r="CO198" s="228">
        <f t="shared" si="522"/>
        <v>1150</v>
      </c>
      <c r="CP198" s="228">
        <f t="shared" si="522"/>
        <v>1150</v>
      </c>
      <c r="CQ198" s="228">
        <f t="shared" si="522"/>
        <v>16</v>
      </c>
      <c r="CR198" s="228">
        <f t="shared" si="522"/>
        <v>359</v>
      </c>
      <c r="CS198" s="228">
        <f>SUM(CS192:CS197)</f>
        <v>656</v>
      </c>
      <c r="CT198" s="228">
        <f t="shared" si="522"/>
        <v>818</v>
      </c>
      <c r="CU198" s="228">
        <f t="shared" si="522"/>
        <v>818</v>
      </c>
      <c r="CV198" s="228">
        <f t="shared" si="522"/>
        <v>172</v>
      </c>
      <c r="CW198" s="228">
        <f t="shared" si="522"/>
        <v>409</v>
      </c>
      <c r="CX198" s="228">
        <f t="shared" ref="CX198:DG198" si="523">SUM(CX192:CX197)</f>
        <v>628</v>
      </c>
      <c r="CY198" s="228">
        <f t="shared" si="523"/>
        <v>878</v>
      </c>
      <c r="CZ198" s="228">
        <f t="shared" si="523"/>
        <v>878</v>
      </c>
      <c r="DA198" s="228">
        <f t="shared" si="523"/>
        <v>195</v>
      </c>
      <c r="DB198" s="228">
        <f t="shared" si="523"/>
        <v>467</v>
      </c>
      <c r="DC198" s="1440">
        <f t="shared" si="523"/>
        <v>620</v>
      </c>
      <c r="DD198" s="1440">
        <f t="shared" si="523"/>
        <v>747</v>
      </c>
      <c r="DE198" s="1440">
        <f t="shared" si="523"/>
        <v>747</v>
      </c>
      <c r="DF198" s="228">
        <f t="shared" si="523"/>
        <v>143</v>
      </c>
      <c r="DG198" s="228">
        <f t="shared" si="523"/>
        <v>340</v>
      </c>
      <c r="DH198" s="1440">
        <f t="shared" ref="DH198:DL198" si="524">SUM(DH192:DH197)</f>
        <v>504</v>
      </c>
      <c r="DI198" s="1440">
        <f t="shared" si="524"/>
        <v>712</v>
      </c>
      <c r="DJ198" s="1440">
        <f t="shared" si="524"/>
        <v>712</v>
      </c>
      <c r="DK198" s="228">
        <f t="shared" si="524"/>
        <v>158</v>
      </c>
      <c r="DL198" s="228">
        <f t="shared" si="524"/>
        <v>375</v>
      </c>
      <c r="DM198" s="1440">
        <f t="shared" ref="DM198:DQ198" si="525">SUM(DM192:DM197)</f>
        <v>567</v>
      </c>
      <c r="DN198" s="1440">
        <f t="shared" si="525"/>
        <v>770</v>
      </c>
      <c r="DO198" s="1440">
        <f t="shared" si="525"/>
        <v>770</v>
      </c>
      <c r="DP198" s="228">
        <f t="shared" si="525"/>
        <v>138</v>
      </c>
      <c r="DQ198" s="228">
        <f t="shared" si="525"/>
        <v>339</v>
      </c>
      <c r="DR198" s="1440">
        <f t="shared" ref="DR198:DW198" si="526">SUM(DR192:DR197)</f>
        <v>582</v>
      </c>
      <c r="DS198" s="1440">
        <f t="shared" si="526"/>
        <v>829</v>
      </c>
      <c r="DT198" s="1440">
        <f t="shared" si="526"/>
        <v>829</v>
      </c>
      <c r="DU198" s="228">
        <f t="shared" si="526"/>
        <v>64</v>
      </c>
      <c r="DV198" s="228">
        <f t="shared" si="526"/>
        <v>368</v>
      </c>
      <c r="DW198" s="228">
        <f t="shared" si="526"/>
        <v>603</v>
      </c>
      <c r="DX198" s="1440">
        <f t="shared" ref="DX198:DY198" si="527">SUM(DX192:DX197)</f>
        <v>755</v>
      </c>
      <c r="DY198" s="1440">
        <f t="shared" si="527"/>
        <v>755</v>
      </c>
    </row>
    <row r="199" spans="1:129" ht="12.75" customHeight="1">
      <c r="A199" s="45"/>
      <c r="B199" s="45"/>
      <c r="C199" s="391"/>
      <c r="D199" s="45"/>
      <c r="E199" s="290"/>
      <c r="F199" s="260"/>
      <c r="G199" s="260"/>
      <c r="H199" s="291"/>
      <c r="I199" s="647"/>
      <c r="J199" s="290"/>
      <c r="K199" s="260"/>
      <c r="L199" s="260"/>
      <c r="M199" s="291"/>
      <c r="N199" s="647"/>
      <c r="O199" s="290"/>
      <c r="P199" s="260"/>
      <c r="Q199" s="260"/>
      <c r="R199" s="291"/>
      <c r="S199" s="647"/>
      <c r="T199" s="290"/>
      <c r="U199" s="260"/>
      <c r="V199" s="260"/>
      <c r="W199" s="291"/>
      <c r="X199" s="647"/>
      <c r="Y199" s="290"/>
      <c r="Z199" s="260"/>
      <c r="AA199" s="1441"/>
      <c r="AB199" s="1442"/>
      <c r="AC199" s="1466"/>
      <c r="AD199" s="290"/>
      <c r="AE199" s="260"/>
      <c r="AF199" s="1441"/>
      <c r="AG199" s="1442"/>
      <c r="AH199" s="1466"/>
      <c r="AI199" s="290"/>
      <c r="AJ199" s="260"/>
      <c r="AK199" s="1441"/>
      <c r="AL199" s="1442"/>
      <c r="AM199" s="1466"/>
      <c r="AN199" s="290"/>
      <c r="AO199" s="260"/>
      <c r="AP199" s="1441"/>
      <c r="AQ199" s="1442"/>
      <c r="AR199" s="1466"/>
      <c r="AS199" s="290"/>
      <c r="AT199" s="260"/>
      <c r="AU199" s="260"/>
      <c r="AV199" s="1442"/>
      <c r="AW199" s="1466"/>
      <c r="AX199" s="290"/>
      <c r="AY199" s="260"/>
      <c r="AZ199" s="260"/>
      <c r="BA199" s="291"/>
      <c r="BB199" s="45"/>
      <c r="BC199" s="290"/>
      <c r="BD199" s="260"/>
      <c r="BE199" s="260"/>
      <c r="BF199" s="291"/>
      <c r="BG199" s="45"/>
      <c r="BH199" s="290"/>
      <c r="BI199" s="260"/>
      <c r="BJ199" s="260"/>
      <c r="BK199" s="291"/>
      <c r="BL199" s="45"/>
      <c r="BM199" s="290"/>
      <c r="BN199" s="260"/>
      <c r="BO199" s="260"/>
      <c r="BP199" s="291"/>
      <c r="BQ199" s="45"/>
      <c r="BR199" s="45"/>
      <c r="BS199" s="45"/>
      <c r="BT199" s="45"/>
      <c r="BU199" s="45"/>
      <c r="BV199" s="45"/>
      <c r="BW199" s="45"/>
      <c r="BX199" s="45"/>
      <c r="BY199" s="45"/>
      <c r="BZ199" s="45"/>
      <c r="CA199" s="45"/>
      <c r="CB199" s="45"/>
      <c r="CC199" s="45"/>
      <c r="CD199" s="45"/>
      <c r="CE199" s="45"/>
      <c r="CF199" s="45"/>
      <c r="CG199" s="45"/>
      <c r="CH199" s="45"/>
      <c r="CI199" s="45"/>
      <c r="CJ199" s="45"/>
      <c r="CK199" s="45"/>
      <c r="CL199" s="45"/>
      <c r="CM199" s="45"/>
      <c r="CN199" s="45"/>
      <c r="CO199" s="45"/>
      <c r="CP199" s="45"/>
      <c r="CQ199" s="45"/>
      <c r="CR199" s="45"/>
      <c r="CS199" s="427"/>
      <c r="CT199" s="45"/>
      <c r="CU199" s="45"/>
      <c r="CV199" s="45"/>
      <c r="CW199" s="45"/>
      <c r="CX199" s="427"/>
      <c r="CY199" s="45"/>
      <c r="CZ199" s="45"/>
      <c r="DA199" s="45"/>
      <c r="DB199" s="45"/>
      <c r="DC199" s="1437"/>
      <c r="DD199" s="1443"/>
      <c r="DE199" s="1443"/>
      <c r="DF199" s="45"/>
      <c r="DG199" s="45"/>
      <c r="DH199" s="1437"/>
      <c r="DI199" s="1443"/>
      <c r="DJ199" s="1443"/>
      <c r="DK199" s="45"/>
      <c r="DL199" s="45"/>
      <c r="DM199" s="1437"/>
      <c r="DN199" s="1443"/>
      <c r="DO199" s="1443"/>
      <c r="DP199" s="45"/>
      <c r="DQ199" s="45"/>
      <c r="DR199" s="1437"/>
      <c r="DS199" s="1443"/>
      <c r="DT199" s="1443"/>
      <c r="DU199" s="45"/>
      <c r="DV199" s="45"/>
      <c r="DW199" s="45"/>
      <c r="DX199" s="1443"/>
      <c r="DY199" s="1443"/>
    </row>
    <row r="200" spans="1:129" ht="12.75" customHeight="1">
      <c r="A200" s="45"/>
      <c r="B200" s="45"/>
      <c r="C200" s="391" t="s">
        <v>283</v>
      </c>
      <c r="D200" s="45"/>
      <c r="E200" s="290">
        <f>+CG200</f>
        <v>-91</v>
      </c>
      <c r="F200" s="260">
        <f>+CH200-CG200</f>
        <v>-88</v>
      </c>
      <c r="G200" s="260">
        <f>+CI200-CH200</f>
        <v>-88</v>
      </c>
      <c r="H200" s="291">
        <f>+CK200-CI200</f>
        <v>-121</v>
      </c>
      <c r="I200" s="647">
        <f t="shared" ref="I200:I211" si="528">CK200</f>
        <v>-388</v>
      </c>
      <c r="J200" s="290">
        <f>+CL200</f>
        <v>-113</v>
      </c>
      <c r="K200" s="260">
        <f>+CM200-CL200</f>
        <v>-105</v>
      </c>
      <c r="L200" s="260">
        <f>+CN200-CM200</f>
        <v>-140</v>
      </c>
      <c r="M200" s="291">
        <f>+CP200-CN200</f>
        <v>-187</v>
      </c>
      <c r="N200" s="647">
        <f t="shared" ref="N200:N211" si="529">CP200</f>
        <v>-545</v>
      </c>
      <c r="O200" s="290">
        <f>+CQ200</f>
        <v>-121</v>
      </c>
      <c r="P200" s="260">
        <f>+CR200-CQ200</f>
        <v>-88</v>
      </c>
      <c r="Q200" s="260">
        <f>+CS200-CR200</f>
        <v>-112</v>
      </c>
      <c r="R200" s="291">
        <f>+CU200-CS200</f>
        <v>-160</v>
      </c>
      <c r="S200" s="647">
        <f t="shared" ref="S200:S211" si="530">CU200</f>
        <v>-481</v>
      </c>
      <c r="T200" s="290">
        <f>+CV200</f>
        <v>-96</v>
      </c>
      <c r="U200" s="260">
        <f>+CW200-CV200</f>
        <v>-83</v>
      </c>
      <c r="V200" s="260">
        <f>+CX200-CW200</f>
        <v>-95</v>
      </c>
      <c r="W200" s="291">
        <f>+CZ200-CX200</f>
        <v>-148</v>
      </c>
      <c r="X200" s="647">
        <f t="shared" ref="X200:X211" si="531">CZ200</f>
        <v>-422</v>
      </c>
      <c r="Y200" s="290">
        <f>+DA200</f>
        <v>-122</v>
      </c>
      <c r="Z200" s="260">
        <f>+DB200-DA200</f>
        <v>-132</v>
      </c>
      <c r="AA200" s="1441">
        <f>+DC200-DB200</f>
        <v>-120</v>
      </c>
      <c r="AB200" s="1442">
        <f>+DE200-DC200</f>
        <v>-163</v>
      </c>
      <c r="AC200" s="1466">
        <f t="shared" ref="AC200:AC211" si="532">DE200</f>
        <v>-537</v>
      </c>
      <c r="AD200" s="290">
        <f>+DF200</f>
        <v>-184</v>
      </c>
      <c r="AE200" s="260">
        <f>+DG200-DF200</f>
        <v>-124</v>
      </c>
      <c r="AF200" s="1441">
        <f>+DH200-DG200</f>
        <v>-153</v>
      </c>
      <c r="AG200" s="1442">
        <f>+DJ200-DH200</f>
        <v>-200</v>
      </c>
      <c r="AH200" s="1466">
        <f t="shared" ref="AH200:AH211" si="533">DJ200</f>
        <v>-661</v>
      </c>
      <c r="AI200" s="290">
        <f>+DK200</f>
        <v>-148</v>
      </c>
      <c r="AJ200" s="260">
        <f>+DL200-DK200</f>
        <v>-141</v>
      </c>
      <c r="AK200" s="1441">
        <f>+DM200-DL200</f>
        <v>-146</v>
      </c>
      <c r="AL200" s="1442">
        <f>+DO200-DM200</f>
        <v>-166</v>
      </c>
      <c r="AM200" s="1466">
        <f t="shared" ref="AM200:AM211" si="534">DO200</f>
        <v>-601</v>
      </c>
      <c r="AN200" s="290">
        <f>+DP200</f>
        <v>-195</v>
      </c>
      <c r="AO200" s="260">
        <f>+DQ200-DP200</f>
        <v>-104</v>
      </c>
      <c r="AP200" s="1441">
        <f>+DR200-DQ200</f>
        <v>-149</v>
      </c>
      <c r="AQ200" s="1442">
        <f>+DT200-DR200</f>
        <v>-238</v>
      </c>
      <c r="AR200" s="1466">
        <f t="shared" ref="AR200:AR211" si="535">DT200</f>
        <v>-686</v>
      </c>
      <c r="AS200" s="290">
        <f>+DU200</f>
        <v>-159</v>
      </c>
      <c r="AT200" s="260">
        <f>+DV200-DU200</f>
        <v>-208</v>
      </c>
      <c r="AU200" s="260">
        <f t="shared" ref="AU200:AU201" si="536">+DW200-DV200</f>
        <v>-170</v>
      </c>
      <c r="AV200" s="1442">
        <f>+DY200-DW200</f>
        <v>-195</v>
      </c>
      <c r="AW200" s="1466">
        <f t="shared" ref="AW200:AW211" si="537">DY200</f>
        <v>-732</v>
      </c>
      <c r="AX200" s="290">
        <f>+-AX170</f>
        <v>-200</v>
      </c>
      <c r="AY200" s="260">
        <f>+-AY170</f>
        <v>-200</v>
      </c>
      <c r="AZ200" s="260">
        <f>+-AZ170</f>
        <v>-200</v>
      </c>
      <c r="BA200" s="291">
        <f>+-BA170</f>
        <v>-200</v>
      </c>
      <c r="BB200" s="45">
        <f>SUM(AX200:BA200)</f>
        <v>-800</v>
      </c>
      <c r="BC200" s="290">
        <f>+-BC170</f>
        <v>-212.5</v>
      </c>
      <c r="BD200" s="260">
        <f>+-BD170</f>
        <v>-212.5</v>
      </c>
      <c r="BE200" s="260">
        <f>+-BE170</f>
        <v>-212.5</v>
      </c>
      <c r="BF200" s="291">
        <f>+-BF170</f>
        <v>-212.5</v>
      </c>
      <c r="BG200" s="45">
        <f>SUM(BC200:BF200)</f>
        <v>-850</v>
      </c>
      <c r="BH200" s="290">
        <f>+-BH170</f>
        <v>-183.785</v>
      </c>
      <c r="BI200" s="260">
        <f>+-BI170</f>
        <v>-183.785</v>
      </c>
      <c r="BJ200" s="260">
        <f>+-BJ170</f>
        <v>-183.785</v>
      </c>
      <c r="BK200" s="291">
        <f>+-BK170</f>
        <v>-183.785</v>
      </c>
      <c r="BL200" s="45">
        <f>SUM(BH200:BK200)</f>
        <v>-735.14</v>
      </c>
      <c r="BM200" s="290">
        <f>+-BM170</f>
        <v>-183.785</v>
      </c>
      <c r="BN200" s="260">
        <f>+-BN170</f>
        <v>-183.785</v>
      </c>
      <c r="BO200" s="260">
        <f>+-BO170</f>
        <v>-183.785</v>
      </c>
      <c r="BP200" s="291">
        <f>+-BP170</f>
        <v>-183.785</v>
      </c>
      <c r="BQ200" s="45">
        <f>SUM(BM200:BP200)</f>
        <v>-735.14</v>
      </c>
      <c r="BR200" s="45"/>
      <c r="BS200" s="45"/>
      <c r="BT200" s="45"/>
      <c r="BU200" s="45"/>
      <c r="BV200" s="45"/>
      <c r="BW200" s="45"/>
      <c r="BX200" s="45"/>
      <c r="BY200" s="45"/>
      <c r="BZ200" s="45"/>
      <c r="CA200" s="45"/>
      <c r="CB200" s="45"/>
      <c r="CC200" s="45"/>
      <c r="CD200" s="45"/>
      <c r="CE200" s="45"/>
      <c r="CF200" s="45"/>
      <c r="CG200" s="427">
        <v>-91</v>
      </c>
      <c r="CH200" s="427">
        <v>-179</v>
      </c>
      <c r="CI200" s="427">
        <v>-267</v>
      </c>
      <c r="CJ200" s="45">
        <f>CK200</f>
        <v>-388</v>
      </c>
      <c r="CK200" s="427">
        <v>-388</v>
      </c>
      <c r="CL200" s="427">
        <v>-113</v>
      </c>
      <c r="CM200" s="427">
        <v>-218</v>
      </c>
      <c r="CN200" s="427">
        <v>-358</v>
      </c>
      <c r="CO200" s="45">
        <f>CP200</f>
        <v>-545</v>
      </c>
      <c r="CP200" s="427">
        <v>-545</v>
      </c>
      <c r="CQ200" s="427">
        <v>-121</v>
      </c>
      <c r="CR200" s="427">
        <v>-209</v>
      </c>
      <c r="CS200" s="427">
        <v>-321</v>
      </c>
      <c r="CT200" s="45">
        <f>CU200</f>
        <v>-481</v>
      </c>
      <c r="CU200" s="427">
        <v>-481</v>
      </c>
      <c r="CV200" s="427">
        <v>-96</v>
      </c>
      <c r="CW200" s="427">
        <v>-179</v>
      </c>
      <c r="CX200" s="427">
        <v>-274</v>
      </c>
      <c r="CY200" s="45">
        <f>CZ200</f>
        <v>-422</v>
      </c>
      <c r="CZ200" s="427">
        <v>-422</v>
      </c>
      <c r="DA200" s="427">
        <v>-122</v>
      </c>
      <c r="DB200" s="427">
        <v>-254</v>
      </c>
      <c r="DC200" s="1437">
        <v>-374</v>
      </c>
      <c r="DD200" s="1443">
        <f>DE200</f>
        <v>-537</v>
      </c>
      <c r="DE200" s="1437">
        <v>-537</v>
      </c>
      <c r="DF200" s="427">
        <v>-184</v>
      </c>
      <c r="DG200" s="427">
        <v>-308</v>
      </c>
      <c r="DH200" s="1437">
        <v>-461</v>
      </c>
      <c r="DI200" s="1443">
        <f>DJ200</f>
        <v>-661</v>
      </c>
      <c r="DJ200" s="1437">
        <v>-661</v>
      </c>
      <c r="DK200" s="427">
        <v>-148</v>
      </c>
      <c r="DL200" s="427">
        <v>-289</v>
      </c>
      <c r="DM200" s="1437">
        <v>-435</v>
      </c>
      <c r="DN200" s="1443">
        <f>DO200</f>
        <v>-601</v>
      </c>
      <c r="DO200" s="1437">
        <v>-601</v>
      </c>
      <c r="DP200" s="427">
        <v>-195</v>
      </c>
      <c r="DQ200" s="427">
        <v>-299</v>
      </c>
      <c r="DR200" s="1437">
        <v>-448</v>
      </c>
      <c r="DS200" s="1443">
        <f>DT200</f>
        <v>-686</v>
      </c>
      <c r="DT200" s="1437">
        <v>-686</v>
      </c>
      <c r="DU200" s="427">
        <v>-159</v>
      </c>
      <c r="DV200" s="427">
        <v>-367</v>
      </c>
      <c r="DW200" s="427">
        <v>-537</v>
      </c>
      <c r="DX200" s="1443">
        <f>DY200</f>
        <v>-732</v>
      </c>
      <c r="DY200" s="1437">
        <v>-732</v>
      </c>
    </row>
    <row r="201" spans="1:129" ht="12.75" customHeight="1">
      <c r="A201" s="45"/>
      <c r="B201" s="45"/>
      <c r="C201" s="391" t="s">
        <v>149</v>
      </c>
      <c r="D201" s="45"/>
      <c r="E201" s="290">
        <f>+CG201</f>
        <v>2</v>
      </c>
      <c r="F201" s="260">
        <f>+CH201-CG201</f>
        <v>-73</v>
      </c>
      <c r="G201" s="260">
        <f>+CI201-CH201</f>
        <v>75</v>
      </c>
      <c r="H201" s="291">
        <f>+CK201-CI201</f>
        <v>7</v>
      </c>
      <c r="I201" s="647">
        <f t="shared" si="528"/>
        <v>11</v>
      </c>
      <c r="J201" s="290">
        <f>+CL201</f>
        <v>218</v>
      </c>
      <c r="K201" s="260">
        <f>+CM201-CL201</f>
        <v>-222</v>
      </c>
      <c r="L201" s="260">
        <f>+CN201-CM201</f>
        <v>423</v>
      </c>
      <c r="M201" s="291">
        <f>+CP201-CN201</f>
        <v>6</v>
      </c>
      <c r="N201" s="647">
        <f t="shared" si="529"/>
        <v>425</v>
      </c>
      <c r="O201" s="290">
        <f>+CQ201</f>
        <v>-51</v>
      </c>
      <c r="P201" s="260">
        <f>+CR201-CQ201</f>
        <v>-111</v>
      </c>
      <c r="Q201" s="260">
        <f>+CS201-CR201</f>
        <v>81</v>
      </c>
      <c r="R201" s="291">
        <f>+CU201-CS201</f>
        <v>5</v>
      </c>
      <c r="S201" s="647">
        <f t="shared" si="530"/>
        <v>-76</v>
      </c>
      <c r="T201" s="290">
        <f>+CV201</f>
        <v>-34</v>
      </c>
      <c r="U201" s="260">
        <f>+CW201-CV201</f>
        <v>56</v>
      </c>
      <c r="V201" s="260">
        <f>+CX201-CW201</f>
        <v>-7</v>
      </c>
      <c r="W201" s="291">
        <f>+CZ201-CX201</f>
        <v>79</v>
      </c>
      <c r="X201" s="647">
        <f t="shared" si="531"/>
        <v>94</v>
      </c>
      <c r="Y201" s="290">
        <f>+DA201</f>
        <v>-49</v>
      </c>
      <c r="Z201" s="260">
        <f>+DB201-DA201</f>
        <v>-211</v>
      </c>
      <c r="AA201" s="1441">
        <f>+DC201-DB201</f>
        <v>266</v>
      </c>
      <c r="AB201" s="1442">
        <f>+DE201-DC201</f>
        <v>0</v>
      </c>
      <c r="AC201" s="1466">
        <f t="shared" si="532"/>
        <v>6</v>
      </c>
      <c r="AD201" s="290">
        <f>+DF201</f>
        <v>2</v>
      </c>
      <c r="AE201" s="260">
        <f>+DG201-DF201</f>
        <v>4</v>
      </c>
      <c r="AF201" s="1441">
        <f>+DH201-DG201</f>
        <v>3</v>
      </c>
      <c r="AG201" s="1442">
        <f>+DJ201-DH201</f>
        <v>3</v>
      </c>
      <c r="AH201" s="1466">
        <f t="shared" si="533"/>
        <v>12</v>
      </c>
      <c r="AI201" s="290">
        <f>+DK201</f>
        <v>4</v>
      </c>
      <c r="AJ201" s="260">
        <f>+DL201-DK201</f>
        <v>4</v>
      </c>
      <c r="AK201" s="1441">
        <f>+DM201-DL201</f>
        <v>2</v>
      </c>
      <c r="AL201" s="1442">
        <f>+DO201-DM201</f>
        <v>3</v>
      </c>
      <c r="AM201" s="1466">
        <f t="shared" si="534"/>
        <v>13</v>
      </c>
      <c r="AN201" s="290">
        <f>+DP201</f>
        <v>-156</v>
      </c>
      <c r="AO201" s="260">
        <f>+DQ201-DP201</f>
        <v>164</v>
      </c>
      <c r="AP201" s="1441">
        <f>+DR201-DQ201</f>
        <v>2</v>
      </c>
      <c r="AQ201" s="1442">
        <f>+DT201-DR201</f>
        <v>-122</v>
      </c>
      <c r="AR201" s="1466">
        <f t="shared" si="535"/>
        <v>-112</v>
      </c>
      <c r="AS201" s="290">
        <f>+DU201</f>
        <v>132</v>
      </c>
      <c r="AT201" s="260">
        <f>+DV201-DU201</f>
        <v>-7</v>
      </c>
      <c r="AU201" s="260">
        <f t="shared" si="536"/>
        <v>-45</v>
      </c>
      <c r="AV201" s="1442">
        <f>+DY201-DW201</f>
        <v>55</v>
      </c>
      <c r="AW201" s="1466">
        <f t="shared" si="537"/>
        <v>135</v>
      </c>
      <c r="AX201" s="290">
        <f>+BB201/4</f>
        <v>0</v>
      </c>
      <c r="AY201" s="260">
        <f>(BB201-SUM(AX201:AX201))/3</f>
        <v>0</v>
      </c>
      <c r="AZ201" s="260">
        <f>(BB201-SUM(AX201:AY201))/2</f>
        <v>0</v>
      </c>
      <c r="BA201" s="291">
        <f>(BB201-SUM(AX201:AZ201))/1</f>
        <v>0</v>
      </c>
      <c r="BB201" s="426">
        <v>0</v>
      </c>
      <c r="BC201" s="290">
        <f>+BG201/4</f>
        <v>0</v>
      </c>
      <c r="BD201" s="260">
        <f>(BG201-SUM(BC201:BC201))/3</f>
        <v>0</v>
      </c>
      <c r="BE201" s="260">
        <f>(BG201-SUM(BC201:BD201))/2</f>
        <v>0</v>
      </c>
      <c r="BF201" s="291">
        <f>(BG201-SUM(BC201:BE201))/1</f>
        <v>0</v>
      </c>
      <c r="BG201" s="426">
        <v>0</v>
      </c>
      <c r="BH201" s="290">
        <f>+BL201/4</f>
        <v>0</v>
      </c>
      <c r="BI201" s="260">
        <f>(BL201-SUM(BH201:BH201))/3</f>
        <v>0</v>
      </c>
      <c r="BJ201" s="260">
        <f>(BL201-SUM(BH201:BI201))/2</f>
        <v>0</v>
      </c>
      <c r="BK201" s="291">
        <f>(BL201-SUM(BH201:BJ201))/1</f>
        <v>0</v>
      </c>
      <c r="BL201" s="426">
        <v>0</v>
      </c>
      <c r="BM201" s="290">
        <f>+BQ201/4</f>
        <v>0</v>
      </c>
      <c r="BN201" s="260">
        <f>(BQ201-SUM(BM201:BM201))/3</f>
        <v>0</v>
      </c>
      <c r="BO201" s="260">
        <f>(BQ201-SUM(BM201:BN201))/2</f>
        <v>0</v>
      </c>
      <c r="BP201" s="291">
        <f>(BQ201-SUM(BM201:BO201))/1</f>
        <v>0</v>
      </c>
      <c r="BQ201" s="426">
        <v>0</v>
      </c>
      <c r="BR201" s="45"/>
      <c r="BS201" s="45"/>
      <c r="BT201" s="45"/>
      <c r="BU201" s="45"/>
      <c r="BV201" s="45"/>
      <c r="BW201" s="45"/>
      <c r="BX201" s="45"/>
      <c r="BY201" s="45"/>
      <c r="BZ201" s="45"/>
      <c r="CA201" s="45"/>
      <c r="CB201" s="45"/>
      <c r="CC201" s="45"/>
      <c r="CD201" s="45"/>
      <c r="CE201" s="45"/>
      <c r="CF201" s="45"/>
      <c r="CG201" s="427">
        <v>2</v>
      </c>
      <c r="CH201" s="427">
        <f>-74+2+1</f>
        <v>-71</v>
      </c>
      <c r="CI201" s="427">
        <f>2+2</f>
        <v>4</v>
      </c>
      <c r="CJ201" s="45">
        <f>CK201</f>
        <v>11</v>
      </c>
      <c r="CK201" s="427">
        <f>1+10</f>
        <v>11</v>
      </c>
      <c r="CL201" s="427">
        <f>216+2</f>
        <v>218</v>
      </c>
      <c r="CM201" s="427">
        <f>-14+10</f>
        <v>-4</v>
      </c>
      <c r="CN201" s="427">
        <f>412+7</f>
        <v>419</v>
      </c>
      <c r="CO201" s="45">
        <f>CP201</f>
        <v>425</v>
      </c>
      <c r="CP201" s="427">
        <f>414+11</f>
        <v>425</v>
      </c>
      <c r="CQ201" s="427">
        <f>-59-2+10</f>
        <v>-51</v>
      </c>
      <c r="CR201" s="427">
        <f>-171-2+11</f>
        <v>-162</v>
      </c>
      <c r="CS201" s="427">
        <f>-91-2+12</f>
        <v>-81</v>
      </c>
      <c r="CT201" s="45">
        <f>CU201</f>
        <v>-76</v>
      </c>
      <c r="CU201" s="427">
        <f>-82-2+8</f>
        <v>-76</v>
      </c>
      <c r="CV201" s="427">
        <f>-35-3+4</f>
        <v>-34</v>
      </c>
      <c r="CW201" s="427">
        <v>22</v>
      </c>
      <c r="CX201" s="427">
        <f>5+2+8</f>
        <v>15</v>
      </c>
      <c r="CY201" s="45">
        <f>CZ201</f>
        <v>94</v>
      </c>
      <c r="CZ201" s="427">
        <f>82+2+10</f>
        <v>94</v>
      </c>
      <c r="DA201" s="427">
        <f>-50+1</f>
        <v>-49</v>
      </c>
      <c r="DB201" s="427">
        <f>-263-1+4</f>
        <v>-260</v>
      </c>
      <c r="DC201" s="1437">
        <f>-1-1+8</f>
        <v>6</v>
      </c>
      <c r="DD201" s="1443">
        <f>DE201</f>
        <v>6</v>
      </c>
      <c r="DE201" s="1437">
        <f>-2+8</f>
        <v>6</v>
      </c>
      <c r="DF201" s="427">
        <v>2</v>
      </c>
      <c r="DG201" s="427">
        <v>6</v>
      </c>
      <c r="DH201" s="1437">
        <v>9</v>
      </c>
      <c r="DI201" s="1443">
        <f>DJ201</f>
        <v>12</v>
      </c>
      <c r="DJ201" s="1437">
        <v>12</v>
      </c>
      <c r="DK201" s="427">
        <v>4</v>
      </c>
      <c r="DL201" s="427">
        <f>9-1</f>
        <v>8</v>
      </c>
      <c r="DM201" s="1437">
        <f>-1+11</f>
        <v>10</v>
      </c>
      <c r="DN201" s="1443">
        <f>DO201</f>
        <v>13</v>
      </c>
      <c r="DO201" s="1437">
        <f>-1+14</f>
        <v>13</v>
      </c>
      <c r="DP201" s="427">
        <f>-160+4</f>
        <v>-156</v>
      </c>
      <c r="DQ201" s="427">
        <f>9-1</f>
        <v>8</v>
      </c>
      <c r="DR201" s="1437">
        <v>10</v>
      </c>
      <c r="DS201" s="1443">
        <f>DT201</f>
        <v>-112</v>
      </c>
      <c r="DT201" s="1437">
        <f>-131-1+20</f>
        <v>-112</v>
      </c>
      <c r="DU201" s="427">
        <f>131+1</f>
        <v>132</v>
      </c>
      <c r="DV201" s="427">
        <f>121+4</f>
        <v>125</v>
      </c>
      <c r="DW201" s="427">
        <f>74+6</f>
        <v>80</v>
      </c>
      <c r="DX201" s="1443">
        <f>DY201</f>
        <v>135</v>
      </c>
      <c r="DY201" s="1437">
        <f>131+4</f>
        <v>135</v>
      </c>
    </row>
    <row r="202" spans="1:129" ht="12.75" customHeight="1">
      <c r="A202" s="45"/>
      <c r="B202" s="45"/>
      <c r="C202" s="389" t="s">
        <v>150</v>
      </c>
      <c r="D202" s="45"/>
      <c r="E202" s="292">
        <f>SUM(E200:E201)</f>
        <v>-89</v>
      </c>
      <c r="F202" s="261">
        <f>SUM(F200:F201)</f>
        <v>-161</v>
      </c>
      <c r="G202" s="261">
        <f>SUM(G200:G201)</f>
        <v>-13</v>
      </c>
      <c r="H202" s="293">
        <f>SUM(H200:H201)</f>
        <v>-114</v>
      </c>
      <c r="I202" s="583">
        <f t="shared" si="528"/>
        <v>-377</v>
      </c>
      <c r="J202" s="292">
        <f>SUM(J200:J201)</f>
        <v>105</v>
      </c>
      <c r="K202" s="261">
        <f>SUM(K200:K201)</f>
        <v>-327</v>
      </c>
      <c r="L202" s="261">
        <f>SUM(L200:L201)</f>
        <v>283</v>
      </c>
      <c r="M202" s="293">
        <f>SUM(M200:M201)</f>
        <v>-181</v>
      </c>
      <c r="N202" s="583">
        <f t="shared" si="529"/>
        <v>-120</v>
      </c>
      <c r="O202" s="292">
        <f>SUM(O200:O201)</f>
        <v>-172</v>
      </c>
      <c r="P202" s="261">
        <f>SUM(P200:P201)</f>
        <v>-199</v>
      </c>
      <c r="Q202" s="261">
        <f>SUM(Q200:Q201)</f>
        <v>-31</v>
      </c>
      <c r="R202" s="293">
        <f>SUM(R200:R201)</f>
        <v>-155</v>
      </c>
      <c r="S202" s="583">
        <f t="shared" si="530"/>
        <v>-557</v>
      </c>
      <c r="T202" s="292">
        <f t="shared" ref="T202:AD202" si="538">SUM(T200:T201)</f>
        <v>-130</v>
      </c>
      <c r="U202" s="261">
        <f>SUM(U200:U201)</f>
        <v>-27</v>
      </c>
      <c r="V202" s="261">
        <f>SUM(V200:V201)</f>
        <v>-102</v>
      </c>
      <c r="W202" s="293">
        <f>SUM(W200:W201)</f>
        <v>-69</v>
      </c>
      <c r="X202" s="583">
        <f t="shared" si="531"/>
        <v>-328</v>
      </c>
      <c r="Y202" s="292">
        <f t="shared" si="538"/>
        <v>-171</v>
      </c>
      <c r="Z202" s="261">
        <f>SUM(Z200:Z201)</f>
        <v>-343</v>
      </c>
      <c r="AA202" s="1438">
        <f>SUM(AA200:AA201)</f>
        <v>146</v>
      </c>
      <c r="AB202" s="1439">
        <f>SUM(AB200:AB201)</f>
        <v>-163</v>
      </c>
      <c r="AC202" s="1464">
        <f t="shared" si="532"/>
        <v>-531</v>
      </c>
      <c r="AD202" s="292">
        <f t="shared" si="538"/>
        <v>-182</v>
      </c>
      <c r="AE202" s="261">
        <f>SUM(AE200:AE201)</f>
        <v>-120</v>
      </c>
      <c r="AF202" s="1438">
        <f>SUM(AF200:AF201)</f>
        <v>-150</v>
      </c>
      <c r="AG202" s="1439">
        <f>SUM(AG200:AG201)</f>
        <v>-197</v>
      </c>
      <c r="AH202" s="1464">
        <f t="shared" si="533"/>
        <v>-649</v>
      </c>
      <c r="AI202" s="292">
        <f t="shared" ref="AI202" si="539">SUM(AI200:AI201)</f>
        <v>-144</v>
      </c>
      <c r="AJ202" s="261">
        <f>SUM(AJ200:AJ201)</f>
        <v>-137</v>
      </c>
      <c r="AK202" s="1438">
        <f>SUM(AK200:AK201)</f>
        <v>-144</v>
      </c>
      <c r="AL202" s="1439">
        <f>SUM(AL200:AL201)</f>
        <v>-163</v>
      </c>
      <c r="AM202" s="1464">
        <f t="shared" si="534"/>
        <v>-588</v>
      </c>
      <c r="AN202" s="292">
        <f t="shared" ref="AN202" si="540">SUM(AN200:AN201)</f>
        <v>-351</v>
      </c>
      <c r="AO202" s="261">
        <f>SUM(AO200:AO201)</f>
        <v>60</v>
      </c>
      <c r="AP202" s="1438">
        <f>SUM(AP200:AP201)</f>
        <v>-147</v>
      </c>
      <c r="AQ202" s="1439">
        <f>SUM(AQ200:AQ201)</f>
        <v>-360</v>
      </c>
      <c r="AR202" s="1464">
        <f t="shared" si="535"/>
        <v>-798</v>
      </c>
      <c r="AS202" s="292">
        <f t="shared" ref="AS202" si="541">SUM(AS200:AS201)</f>
        <v>-27</v>
      </c>
      <c r="AT202" s="261">
        <f>SUM(AT200:AT201)</f>
        <v>-215</v>
      </c>
      <c r="AU202" s="261">
        <f t="shared" ref="AU202" si="542">SUM(AU200:AU201)</f>
        <v>-215</v>
      </c>
      <c r="AV202" s="1439">
        <f>SUM(AV200:AV201)</f>
        <v>-140</v>
      </c>
      <c r="AW202" s="1464">
        <f t="shared" si="537"/>
        <v>-597</v>
      </c>
      <c r="AX202" s="292">
        <f t="shared" ref="AX202:BB202" si="543">SUM(AX200:AX201)</f>
        <v>-200</v>
      </c>
      <c r="AY202" s="261">
        <f t="shared" si="543"/>
        <v>-200</v>
      </c>
      <c r="AZ202" s="261">
        <f t="shared" si="543"/>
        <v>-200</v>
      </c>
      <c r="BA202" s="293">
        <f t="shared" si="543"/>
        <v>-200</v>
      </c>
      <c r="BB202" s="228">
        <f t="shared" si="543"/>
        <v>-800</v>
      </c>
      <c r="BC202" s="292">
        <f t="shared" ref="BC202:BL202" si="544">SUM(BC200:BC201)</f>
        <v>-212.5</v>
      </c>
      <c r="BD202" s="261">
        <f t="shared" si="544"/>
        <v>-212.5</v>
      </c>
      <c r="BE202" s="261">
        <f t="shared" si="544"/>
        <v>-212.5</v>
      </c>
      <c r="BF202" s="293">
        <f t="shared" si="544"/>
        <v>-212.5</v>
      </c>
      <c r="BG202" s="228">
        <f t="shared" si="544"/>
        <v>-850</v>
      </c>
      <c r="BH202" s="292">
        <f t="shared" si="544"/>
        <v>-183.785</v>
      </c>
      <c r="BI202" s="261">
        <f t="shared" si="544"/>
        <v>-183.785</v>
      </c>
      <c r="BJ202" s="261">
        <f t="shared" si="544"/>
        <v>-183.785</v>
      </c>
      <c r="BK202" s="293">
        <f t="shared" si="544"/>
        <v>-183.785</v>
      </c>
      <c r="BL202" s="228">
        <f t="shared" si="544"/>
        <v>-735.14</v>
      </c>
      <c r="BM202" s="292">
        <f t="shared" ref="BM202:BQ202" si="545">SUM(BM200:BM201)</f>
        <v>-183.785</v>
      </c>
      <c r="BN202" s="261">
        <f t="shared" si="545"/>
        <v>-183.785</v>
      </c>
      <c r="BO202" s="261">
        <f t="shared" si="545"/>
        <v>-183.785</v>
      </c>
      <c r="BP202" s="293">
        <f t="shared" si="545"/>
        <v>-183.785</v>
      </c>
      <c r="BQ202" s="228">
        <f t="shared" si="545"/>
        <v>-735.14</v>
      </c>
      <c r="BR202" s="45"/>
      <c r="BS202" s="45"/>
      <c r="BT202" s="45"/>
      <c r="BU202" s="45"/>
      <c r="BV202" s="45"/>
      <c r="BW202" s="45"/>
      <c r="BX202" s="45"/>
      <c r="BY202" s="45"/>
      <c r="BZ202" s="45"/>
      <c r="CA202" s="45"/>
      <c r="CB202" s="45"/>
      <c r="CC202" s="45"/>
      <c r="CD202" s="45"/>
      <c r="CE202" s="45"/>
      <c r="CF202" s="45"/>
      <c r="CG202" s="228">
        <f t="shared" ref="CG202:CW202" si="546">SUM(CG200:CG201)</f>
        <v>-89</v>
      </c>
      <c r="CH202" s="228">
        <f t="shared" si="546"/>
        <v>-250</v>
      </c>
      <c r="CI202" s="228">
        <f t="shared" si="546"/>
        <v>-263</v>
      </c>
      <c r="CJ202" s="228">
        <f t="shared" si="546"/>
        <v>-377</v>
      </c>
      <c r="CK202" s="228">
        <f t="shared" si="546"/>
        <v>-377</v>
      </c>
      <c r="CL202" s="228">
        <f t="shared" si="546"/>
        <v>105</v>
      </c>
      <c r="CM202" s="228">
        <f t="shared" si="546"/>
        <v>-222</v>
      </c>
      <c r="CN202" s="228">
        <f t="shared" si="546"/>
        <v>61</v>
      </c>
      <c r="CO202" s="228">
        <f t="shared" si="546"/>
        <v>-120</v>
      </c>
      <c r="CP202" s="228">
        <f t="shared" si="546"/>
        <v>-120</v>
      </c>
      <c r="CQ202" s="228">
        <f t="shared" si="546"/>
        <v>-172</v>
      </c>
      <c r="CR202" s="228">
        <f t="shared" si="546"/>
        <v>-371</v>
      </c>
      <c r="CS202" s="228">
        <f t="shared" si="546"/>
        <v>-402</v>
      </c>
      <c r="CT202" s="228">
        <f t="shared" si="546"/>
        <v>-557</v>
      </c>
      <c r="CU202" s="228">
        <f t="shared" si="546"/>
        <v>-557</v>
      </c>
      <c r="CV202" s="228">
        <f t="shared" si="546"/>
        <v>-130</v>
      </c>
      <c r="CW202" s="228">
        <f t="shared" si="546"/>
        <v>-157</v>
      </c>
      <c r="CX202" s="228">
        <f t="shared" ref="CX202:DG202" si="547">SUM(CX200:CX201)</f>
        <v>-259</v>
      </c>
      <c r="CY202" s="228">
        <f t="shared" si="547"/>
        <v>-328</v>
      </c>
      <c r="CZ202" s="228">
        <f t="shared" si="547"/>
        <v>-328</v>
      </c>
      <c r="DA202" s="228">
        <f t="shared" si="547"/>
        <v>-171</v>
      </c>
      <c r="DB202" s="228">
        <f t="shared" si="547"/>
        <v>-514</v>
      </c>
      <c r="DC202" s="1440">
        <f t="shared" si="547"/>
        <v>-368</v>
      </c>
      <c r="DD202" s="1440">
        <f t="shared" si="547"/>
        <v>-531</v>
      </c>
      <c r="DE202" s="1440">
        <f t="shared" si="547"/>
        <v>-531</v>
      </c>
      <c r="DF202" s="228">
        <f t="shared" si="547"/>
        <v>-182</v>
      </c>
      <c r="DG202" s="228">
        <f t="shared" si="547"/>
        <v>-302</v>
      </c>
      <c r="DH202" s="1440">
        <f t="shared" ref="DH202:DL202" si="548">SUM(DH200:DH201)</f>
        <v>-452</v>
      </c>
      <c r="DI202" s="1440">
        <f t="shared" si="548"/>
        <v>-649</v>
      </c>
      <c r="DJ202" s="1440">
        <f t="shared" si="548"/>
        <v>-649</v>
      </c>
      <c r="DK202" s="228">
        <f t="shared" si="548"/>
        <v>-144</v>
      </c>
      <c r="DL202" s="228">
        <f t="shared" si="548"/>
        <v>-281</v>
      </c>
      <c r="DM202" s="1440">
        <f t="shared" ref="DM202:DQ202" si="549">SUM(DM200:DM201)</f>
        <v>-425</v>
      </c>
      <c r="DN202" s="1440">
        <f t="shared" si="549"/>
        <v>-588</v>
      </c>
      <c r="DO202" s="1440">
        <f t="shared" si="549"/>
        <v>-588</v>
      </c>
      <c r="DP202" s="228">
        <f t="shared" si="549"/>
        <v>-351</v>
      </c>
      <c r="DQ202" s="228">
        <f t="shared" si="549"/>
        <v>-291</v>
      </c>
      <c r="DR202" s="1440">
        <f t="shared" ref="DR202:DW202" si="550">SUM(DR200:DR201)</f>
        <v>-438</v>
      </c>
      <c r="DS202" s="1440">
        <f t="shared" si="550"/>
        <v>-798</v>
      </c>
      <c r="DT202" s="1440">
        <f t="shared" si="550"/>
        <v>-798</v>
      </c>
      <c r="DU202" s="228">
        <f t="shared" si="550"/>
        <v>-27</v>
      </c>
      <c r="DV202" s="228">
        <f t="shared" si="550"/>
        <v>-242</v>
      </c>
      <c r="DW202" s="228">
        <f t="shared" si="550"/>
        <v>-457</v>
      </c>
      <c r="DX202" s="1440">
        <f t="shared" ref="DX202:DY202" si="551">SUM(DX200:DX201)</f>
        <v>-597</v>
      </c>
      <c r="DY202" s="1440">
        <f t="shared" si="551"/>
        <v>-597</v>
      </c>
    </row>
    <row r="203" spans="1:129" ht="12.75" customHeight="1">
      <c r="A203" s="45"/>
      <c r="B203" s="45"/>
      <c r="C203" s="391"/>
      <c r="D203" s="45"/>
      <c r="E203" s="290"/>
      <c r="F203" s="260"/>
      <c r="G203" s="260"/>
      <c r="H203" s="291"/>
      <c r="I203" s="647">
        <f t="shared" si="528"/>
        <v>0</v>
      </c>
      <c r="J203" s="290"/>
      <c r="K203" s="260"/>
      <c r="L203" s="260"/>
      <c r="M203" s="291"/>
      <c r="N203" s="647">
        <f t="shared" si="529"/>
        <v>0</v>
      </c>
      <c r="O203" s="290"/>
      <c r="P203" s="260"/>
      <c r="Q203" s="260"/>
      <c r="R203" s="291"/>
      <c r="S203" s="647">
        <f t="shared" si="530"/>
        <v>0</v>
      </c>
      <c r="T203" s="290"/>
      <c r="U203" s="260"/>
      <c r="V203" s="260"/>
      <c r="W203" s="291"/>
      <c r="X203" s="647">
        <f t="shared" si="531"/>
        <v>0</v>
      </c>
      <c r="Y203" s="290"/>
      <c r="Z203" s="260"/>
      <c r="AA203" s="1441"/>
      <c r="AB203" s="1442"/>
      <c r="AC203" s="1466">
        <f t="shared" si="532"/>
        <v>0</v>
      </c>
      <c r="AD203" s="290"/>
      <c r="AE203" s="260"/>
      <c r="AF203" s="1441"/>
      <c r="AG203" s="1442"/>
      <c r="AH203" s="1466">
        <f t="shared" si="533"/>
        <v>0</v>
      </c>
      <c r="AI203" s="290"/>
      <c r="AJ203" s="260"/>
      <c r="AK203" s="1441"/>
      <c r="AL203" s="1442"/>
      <c r="AM203" s="1466">
        <f t="shared" si="534"/>
        <v>0</v>
      </c>
      <c r="AN203" s="290"/>
      <c r="AO203" s="260"/>
      <c r="AP203" s="1441"/>
      <c r="AQ203" s="1442"/>
      <c r="AR203" s="1466">
        <f t="shared" si="535"/>
        <v>0</v>
      </c>
      <c r="AS203" s="290"/>
      <c r="AT203" s="260"/>
      <c r="AU203" s="260"/>
      <c r="AV203" s="1442"/>
      <c r="AW203" s="1466">
        <f t="shared" si="537"/>
        <v>0</v>
      </c>
      <c r="AX203" s="290"/>
      <c r="AY203" s="260"/>
      <c r="AZ203" s="260"/>
      <c r="BA203" s="291"/>
      <c r="BB203" s="45"/>
      <c r="BC203" s="290"/>
      <c r="BD203" s="260"/>
      <c r="BE203" s="260"/>
      <c r="BF203" s="291"/>
      <c r="BG203" s="45"/>
      <c r="BH203" s="290"/>
      <c r="BI203" s="260"/>
      <c r="BJ203" s="260"/>
      <c r="BK203" s="291"/>
      <c r="BL203" s="45"/>
      <c r="BM203" s="290"/>
      <c r="BN203" s="260"/>
      <c r="BO203" s="260"/>
      <c r="BP203" s="291"/>
      <c r="BQ203" s="45"/>
      <c r="BR203" s="45"/>
      <c r="BS203" s="45"/>
      <c r="BT203" s="45"/>
      <c r="BU203" s="45"/>
      <c r="BV203" s="45"/>
      <c r="BW203" s="45"/>
      <c r="BX203" s="45"/>
      <c r="BY203" s="45"/>
      <c r="BZ203" s="45"/>
      <c r="CA203" s="45"/>
      <c r="CB203" s="45"/>
      <c r="CC203" s="45"/>
      <c r="CD203" s="45"/>
      <c r="CE203" s="45"/>
      <c r="CF203" s="45"/>
      <c r="CG203" s="45"/>
      <c r="CH203" s="45"/>
      <c r="CI203" s="45"/>
      <c r="CJ203" s="45"/>
      <c r="CK203" s="45"/>
      <c r="CL203" s="45"/>
      <c r="CM203" s="45"/>
      <c r="CN203" s="45"/>
      <c r="CO203" s="45"/>
      <c r="CP203" s="45"/>
      <c r="CQ203" s="45"/>
      <c r="CR203" s="45"/>
      <c r="CS203" s="427"/>
      <c r="CT203" s="45"/>
      <c r="CU203" s="45"/>
      <c r="CV203" s="45"/>
      <c r="CW203" s="45"/>
      <c r="CX203" s="427"/>
      <c r="CY203" s="45"/>
      <c r="CZ203" s="45"/>
      <c r="DA203" s="45"/>
      <c r="DB203" s="45"/>
      <c r="DC203" s="1437"/>
      <c r="DD203" s="1443"/>
      <c r="DE203" s="1443"/>
      <c r="DF203" s="45"/>
      <c r="DG203" s="45"/>
      <c r="DH203" s="1437"/>
      <c r="DI203" s="1443"/>
      <c r="DJ203" s="1443"/>
      <c r="DK203" s="45"/>
      <c r="DL203" s="45"/>
      <c r="DM203" s="1437"/>
      <c r="DN203" s="1443"/>
      <c r="DO203" s="1443"/>
      <c r="DP203" s="45"/>
      <c r="DQ203" s="45"/>
      <c r="DR203" s="1437"/>
      <c r="DS203" s="1443"/>
      <c r="DT203" s="1443"/>
      <c r="DU203" s="45"/>
      <c r="DV203" s="45"/>
      <c r="DW203" s="45"/>
      <c r="DX203" s="1443"/>
      <c r="DY203" s="1443"/>
    </row>
    <row r="204" spans="1:129" ht="12.75" customHeight="1">
      <c r="A204" s="45"/>
      <c r="B204" s="45"/>
      <c r="C204" s="391" t="s">
        <v>240</v>
      </c>
      <c r="D204" s="45"/>
      <c r="E204" s="290">
        <f>+CG204</f>
        <v>249</v>
      </c>
      <c r="F204" s="260">
        <f t="shared" ref="F204:G208" si="552">+CH204-CG204</f>
        <v>-1</v>
      </c>
      <c r="G204" s="260">
        <f t="shared" si="552"/>
        <v>2</v>
      </c>
      <c r="H204" s="291">
        <f>+CK204-CI204</f>
        <v>0</v>
      </c>
      <c r="I204" s="647">
        <f t="shared" si="528"/>
        <v>250</v>
      </c>
      <c r="J204" s="290">
        <f>+CL204</f>
        <v>0</v>
      </c>
      <c r="K204" s="260">
        <f t="shared" ref="K204:L208" si="553">+CM204-CL204</f>
        <v>0</v>
      </c>
      <c r="L204" s="260">
        <f t="shared" si="553"/>
        <v>0</v>
      </c>
      <c r="M204" s="291">
        <f>+CP204-CN204</f>
        <v>0</v>
      </c>
      <c r="N204" s="647">
        <f t="shared" si="529"/>
        <v>0</v>
      </c>
      <c r="O204" s="290">
        <f>+CQ204</f>
        <v>0</v>
      </c>
      <c r="P204" s="260">
        <f t="shared" ref="P204:Q208" si="554">+CR204-CQ204</f>
        <v>0</v>
      </c>
      <c r="Q204" s="260">
        <f t="shared" si="554"/>
        <v>0</v>
      </c>
      <c r="R204" s="291">
        <f>+CU204-CS204</f>
        <v>0</v>
      </c>
      <c r="S204" s="647">
        <f t="shared" si="530"/>
        <v>0</v>
      </c>
      <c r="T204" s="290">
        <f>+CV204</f>
        <v>0</v>
      </c>
      <c r="U204" s="260">
        <f t="shared" ref="U204:V208" si="555">+CW204-CV204</f>
        <v>0</v>
      </c>
      <c r="V204" s="260">
        <f t="shared" si="555"/>
        <v>350</v>
      </c>
      <c r="W204" s="291">
        <f>+CZ204-CX204</f>
        <v>0</v>
      </c>
      <c r="X204" s="647">
        <f t="shared" si="531"/>
        <v>350</v>
      </c>
      <c r="Y204" s="290">
        <f>+DA204</f>
        <v>0</v>
      </c>
      <c r="Z204" s="260">
        <f t="shared" ref="Z204:AA208" si="556">+DB204-DA204</f>
        <v>0</v>
      </c>
      <c r="AA204" s="1441">
        <f t="shared" si="556"/>
        <v>550</v>
      </c>
      <c r="AB204" s="1442">
        <f>+DE204-DC204</f>
        <v>0</v>
      </c>
      <c r="AC204" s="1466">
        <f t="shared" si="532"/>
        <v>550</v>
      </c>
      <c r="AD204" s="290">
        <f>+DF204</f>
        <v>0</v>
      </c>
      <c r="AE204" s="260">
        <f>+DG204-DF204</f>
        <v>0</v>
      </c>
      <c r="AF204" s="1441">
        <f t="shared" ref="AF204:AF208" si="557">+DH204-DG204</f>
        <v>300</v>
      </c>
      <c r="AG204" s="1442">
        <f>+DJ204-DH204</f>
        <v>0</v>
      </c>
      <c r="AH204" s="1466">
        <f t="shared" si="533"/>
        <v>300</v>
      </c>
      <c r="AI204" s="290">
        <f>+DK204</f>
        <v>0</v>
      </c>
      <c r="AJ204" s="260">
        <f>+DL204-DK204</f>
        <v>0</v>
      </c>
      <c r="AK204" s="1441">
        <f t="shared" ref="AK204:AK208" si="558">+DM204-DL204</f>
        <v>0</v>
      </c>
      <c r="AL204" s="1442">
        <f>+DO204-DM204</f>
        <v>350</v>
      </c>
      <c r="AM204" s="1466">
        <f t="shared" si="534"/>
        <v>350</v>
      </c>
      <c r="AN204" s="290">
        <f>+DP204</f>
        <v>0</v>
      </c>
      <c r="AO204" s="260">
        <f>+DQ204-DP204</f>
        <v>0</v>
      </c>
      <c r="AP204" s="1441">
        <f t="shared" ref="AP204:AP208" si="559">+DR204-DQ204</f>
        <v>300</v>
      </c>
      <c r="AQ204" s="1442">
        <f>+DT204-DR204</f>
        <v>0</v>
      </c>
      <c r="AR204" s="1466">
        <f t="shared" si="535"/>
        <v>300</v>
      </c>
      <c r="AS204" s="290">
        <f>+DU204</f>
        <v>0</v>
      </c>
      <c r="AT204" s="260">
        <f>+DV204-DU204</f>
        <v>0</v>
      </c>
      <c r="AU204" s="260">
        <f t="shared" ref="AU204:AU208" si="560">+DW204-DV204</f>
        <v>325</v>
      </c>
      <c r="AV204" s="1442">
        <f>+DY204-DW204</f>
        <v>0</v>
      </c>
      <c r="AW204" s="1466">
        <f t="shared" si="537"/>
        <v>325</v>
      </c>
      <c r="AX204" s="290">
        <f t="shared" ref="AX204:BA205" si="561">+AX180</f>
        <v>0</v>
      </c>
      <c r="AY204" s="260">
        <f t="shared" si="561"/>
        <v>0</v>
      </c>
      <c r="AZ204" s="260">
        <f t="shared" si="561"/>
        <v>575</v>
      </c>
      <c r="BA204" s="291">
        <f t="shared" si="561"/>
        <v>0</v>
      </c>
      <c r="BB204" s="45">
        <f>SUM(AX204:BA204)</f>
        <v>575</v>
      </c>
      <c r="BC204" s="290">
        <f t="shared" ref="BC204:BF204" si="562">+BC180</f>
        <v>0</v>
      </c>
      <c r="BD204" s="260">
        <f t="shared" si="562"/>
        <v>0</v>
      </c>
      <c r="BE204" s="260">
        <f t="shared" si="562"/>
        <v>235</v>
      </c>
      <c r="BF204" s="291">
        <f t="shared" si="562"/>
        <v>0</v>
      </c>
      <c r="BG204" s="45">
        <f>SUM(BC204:BF204)</f>
        <v>235</v>
      </c>
      <c r="BH204" s="290">
        <f t="shared" ref="BH204:BK204" si="563">+BH180</f>
        <v>0</v>
      </c>
      <c r="BI204" s="260">
        <f t="shared" si="563"/>
        <v>0</v>
      </c>
      <c r="BJ204" s="260">
        <f t="shared" si="563"/>
        <v>150</v>
      </c>
      <c r="BK204" s="291">
        <f t="shared" si="563"/>
        <v>0</v>
      </c>
      <c r="BL204" s="45">
        <f>SUM(BH204:BK204)</f>
        <v>150</v>
      </c>
      <c r="BM204" s="290">
        <f t="shared" ref="BM204:BP204" si="564">+BM180</f>
        <v>0</v>
      </c>
      <c r="BN204" s="260">
        <f t="shared" si="564"/>
        <v>0</v>
      </c>
      <c r="BO204" s="260">
        <f t="shared" si="564"/>
        <v>440</v>
      </c>
      <c r="BP204" s="291">
        <f t="shared" si="564"/>
        <v>0</v>
      </c>
      <c r="BQ204" s="45">
        <f>SUM(BM204:BP204)</f>
        <v>440</v>
      </c>
      <c r="BR204" s="45"/>
      <c r="BS204" s="45"/>
      <c r="BT204" s="45"/>
      <c r="BU204" s="45"/>
      <c r="BV204" s="45"/>
      <c r="BW204" s="45"/>
      <c r="BX204" s="45"/>
      <c r="BY204" s="45"/>
      <c r="BZ204" s="45"/>
      <c r="CA204" s="45"/>
      <c r="CB204" s="45"/>
      <c r="CC204" s="45"/>
      <c r="CD204" s="45"/>
      <c r="CE204" s="45"/>
      <c r="CF204" s="45"/>
      <c r="CG204" s="427">
        <v>249</v>
      </c>
      <c r="CH204" s="427">
        <v>248</v>
      </c>
      <c r="CI204" s="427">
        <v>250</v>
      </c>
      <c r="CJ204" s="45">
        <f>CK204</f>
        <v>250</v>
      </c>
      <c r="CK204" s="427">
        <v>250</v>
      </c>
      <c r="CL204" s="427">
        <v>0</v>
      </c>
      <c r="CM204" s="427">
        <v>0</v>
      </c>
      <c r="CN204" s="427">
        <v>0</v>
      </c>
      <c r="CO204" s="45">
        <f>CP204</f>
        <v>0</v>
      </c>
      <c r="CP204" s="427">
        <v>0</v>
      </c>
      <c r="CQ204" s="427">
        <v>0</v>
      </c>
      <c r="CR204" s="427">
        <v>0</v>
      </c>
      <c r="CS204" s="427">
        <v>0</v>
      </c>
      <c r="CT204" s="45">
        <f>CU204</f>
        <v>0</v>
      </c>
      <c r="CU204" s="427">
        <v>0</v>
      </c>
      <c r="CV204" s="427">
        <v>0</v>
      </c>
      <c r="CW204" s="427">
        <v>0</v>
      </c>
      <c r="CX204" s="427">
        <v>350</v>
      </c>
      <c r="CY204" s="45">
        <f>CZ204</f>
        <v>350</v>
      </c>
      <c r="CZ204" s="427">
        <v>350</v>
      </c>
      <c r="DA204" s="427">
        <v>0</v>
      </c>
      <c r="DB204" s="427">
        <v>0</v>
      </c>
      <c r="DC204" s="1437">
        <v>550</v>
      </c>
      <c r="DD204" s="1443">
        <f>DE204</f>
        <v>550</v>
      </c>
      <c r="DE204" s="1437">
        <v>550</v>
      </c>
      <c r="DF204" s="427">
        <v>0</v>
      </c>
      <c r="DG204" s="427">
        <v>0</v>
      </c>
      <c r="DH204" s="1437">
        <v>300</v>
      </c>
      <c r="DI204" s="1443">
        <f>DJ204</f>
        <v>300</v>
      </c>
      <c r="DJ204" s="1437">
        <v>300</v>
      </c>
      <c r="DK204" s="427">
        <v>0</v>
      </c>
      <c r="DL204" s="427">
        <v>0</v>
      </c>
      <c r="DM204" s="1437">
        <v>0</v>
      </c>
      <c r="DN204" s="1443">
        <f>DO204</f>
        <v>350</v>
      </c>
      <c r="DO204" s="1437">
        <v>350</v>
      </c>
      <c r="DP204" s="427">
        <v>0</v>
      </c>
      <c r="DQ204" s="427">
        <v>0</v>
      </c>
      <c r="DR204" s="1437">
        <v>300</v>
      </c>
      <c r="DS204" s="1443">
        <f>DT204</f>
        <v>300</v>
      </c>
      <c r="DT204" s="1437">
        <v>300</v>
      </c>
      <c r="DU204" s="427">
        <v>0</v>
      </c>
      <c r="DV204" s="427">
        <v>0</v>
      </c>
      <c r="DW204" s="427">
        <v>325</v>
      </c>
      <c r="DX204" s="1443">
        <f>DY204</f>
        <v>325</v>
      </c>
      <c r="DY204" s="1437">
        <v>325</v>
      </c>
    </row>
    <row r="205" spans="1:129" ht="12.75" customHeight="1">
      <c r="A205" s="45"/>
      <c r="B205" s="45"/>
      <c r="C205" s="391" t="s">
        <v>543</v>
      </c>
      <c r="D205" s="45"/>
      <c r="E205" s="290">
        <f>+CG205</f>
        <v>-169</v>
      </c>
      <c r="F205" s="260">
        <f t="shared" si="552"/>
        <v>-161</v>
      </c>
      <c r="G205" s="260">
        <f t="shared" si="552"/>
        <v>-203</v>
      </c>
      <c r="H205" s="291">
        <f>+CK205-CI205</f>
        <v>-176</v>
      </c>
      <c r="I205" s="647">
        <f t="shared" si="528"/>
        <v>-709</v>
      </c>
      <c r="J205" s="290">
        <f>+CL205</f>
        <v>-402</v>
      </c>
      <c r="K205" s="260">
        <f t="shared" si="553"/>
        <v>0</v>
      </c>
      <c r="L205" s="260">
        <f t="shared" si="553"/>
        <v>-404</v>
      </c>
      <c r="M205" s="291">
        <f>+CP205-CN205</f>
        <v>0</v>
      </c>
      <c r="N205" s="647">
        <f t="shared" si="529"/>
        <v>-806</v>
      </c>
      <c r="O205" s="290">
        <f>+CQ205</f>
        <v>0</v>
      </c>
      <c r="P205" s="260">
        <f t="shared" si="554"/>
        <v>0</v>
      </c>
      <c r="Q205" s="260">
        <f t="shared" si="554"/>
        <v>0</v>
      </c>
      <c r="R205" s="291">
        <f>+CU205-CS205</f>
        <v>-250</v>
      </c>
      <c r="S205" s="647">
        <f t="shared" si="530"/>
        <v>-250</v>
      </c>
      <c r="T205" s="290">
        <f>+CV205</f>
        <v>0</v>
      </c>
      <c r="U205" s="260">
        <f t="shared" si="555"/>
        <v>0</v>
      </c>
      <c r="V205" s="260">
        <f t="shared" si="555"/>
        <v>0</v>
      </c>
      <c r="W205" s="291">
        <f>+CZ205-CX205</f>
        <v>-375</v>
      </c>
      <c r="X205" s="647">
        <f t="shared" si="531"/>
        <v>-375</v>
      </c>
      <c r="Y205" s="290">
        <f>+DA205</f>
        <v>0</v>
      </c>
      <c r="Z205" s="260">
        <f t="shared" si="556"/>
        <v>0</v>
      </c>
      <c r="AA205" s="1441">
        <f t="shared" si="556"/>
        <v>0</v>
      </c>
      <c r="AB205" s="1442">
        <f>+DE205-DC205</f>
        <v>-300</v>
      </c>
      <c r="AC205" s="1466">
        <f t="shared" si="532"/>
        <v>-300</v>
      </c>
      <c r="AD205" s="290">
        <f>+DF205</f>
        <v>0</v>
      </c>
      <c r="AE205" s="260">
        <f>+DG205-DF205</f>
        <v>0</v>
      </c>
      <c r="AF205" s="1441">
        <f t="shared" si="557"/>
        <v>0</v>
      </c>
      <c r="AG205" s="1442">
        <f>+DJ205-DH205</f>
        <v>-250</v>
      </c>
      <c r="AH205" s="1466">
        <f t="shared" si="533"/>
        <v>-250</v>
      </c>
      <c r="AI205" s="290">
        <f>+DK205</f>
        <v>0</v>
      </c>
      <c r="AJ205" s="260">
        <f>+DL205-DK205</f>
        <v>0</v>
      </c>
      <c r="AK205" s="1441">
        <f t="shared" si="558"/>
        <v>0</v>
      </c>
      <c r="AL205" s="1442">
        <f>+DO205-DM205</f>
        <v>0</v>
      </c>
      <c r="AM205" s="1466">
        <f t="shared" si="534"/>
        <v>0</v>
      </c>
      <c r="AN205" s="290">
        <f>+DP205</f>
        <v>0</v>
      </c>
      <c r="AO205" s="260">
        <f>+DQ205-DP205</f>
        <v>0</v>
      </c>
      <c r="AP205" s="1441">
        <f t="shared" si="559"/>
        <v>0</v>
      </c>
      <c r="AQ205" s="1442">
        <f>+DT205-DR205</f>
        <v>-300</v>
      </c>
      <c r="AR205" s="1466">
        <f t="shared" si="535"/>
        <v>-300</v>
      </c>
      <c r="AS205" s="290">
        <f>+DU205</f>
        <v>0</v>
      </c>
      <c r="AT205" s="260">
        <f>+DV205-DU205</f>
        <v>0</v>
      </c>
      <c r="AU205" s="260">
        <f t="shared" si="560"/>
        <v>0</v>
      </c>
      <c r="AV205" s="1442">
        <f>+DY205-DW205</f>
        <v>0</v>
      </c>
      <c r="AW205" s="1466">
        <f t="shared" si="537"/>
        <v>0</v>
      </c>
      <c r="AX205" s="290">
        <f t="shared" si="561"/>
        <v>-500</v>
      </c>
      <c r="AY205" s="260">
        <f t="shared" si="561"/>
        <v>0</v>
      </c>
      <c r="AZ205" s="260">
        <f t="shared" si="561"/>
        <v>0</v>
      </c>
      <c r="BA205" s="291">
        <f t="shared" si="561"/>
        <v>0</v>
      </c>
      <c r="BB205" s="45">
        <f>SUM(AX205:BA205)</f>
        <v>-500</v>
      </c>
      <c r="BC205" s="290">
        <f t="shared" ref="BC205:BF205" si="565">+BC181</f>
        <v>0</v>
      </c>
      <c r="BD205" s="260">
        <f t="shared" si="565"/>
        <v>0</v>
      </c>
      <c r="BE205" s="260">
        <f t="shared" si="565"/>
        <v>0</v>
      </c>
      <c r="BF205" s="291">
        <f t="shared" si="565"/>
        <v>0</v>
      </c>
      <c r="BG205" s="45">
        <f>SUM(BC205:BF205)</f>
        <v>0</v>
      </c>
      <c r="BH205" s="290">
        <f t="shared" ref="BH205:BK205" si="566">+BH181</f>
        <v>0</v>
      </c>
      <c r="BI205" s="260">
        <f t="shared" si="566"/>
        <v>0</v>
      </c>
      <c r="BJ205" s="260">
        <f t="shared" si="566"/>
        <v>0</v>
      </c>
      <c r="BK205" s="291">
        <f t="shared" si="566"/>
        <v>0</v>
      </c>
      <c r="BL205" s="45">
        <f>SUM(BH205:BK205)</f>
        <v>0</v>
      </c>
      <c r="BM205" s="290">
        <f t="shared" ref="BM205:BP205" si="567">+BM181</f>
        <v>0</v>
      </c>
      <c r="BN205" s="260">
        <f t="shared" si="567"/>
        <v>0</v>
      </c>
      <c r="BO205" s="260">
        <f t="shared" si="567"/>
        <v>-300</v>
      </c>
      <c r="BP205" s="291">
        <f t="shared" si="567"/>
        <v>0</v>
      </c>
      <c r="BQ205" s="45">
        <f>SUM(BM205:BP205)</f>
        <v>-300</v>
      </c>
      <c r="BR205" s="45"/>
      <c r="BS205" s="45"/>
      <c r="BT205" s="45"/>
      <c r="BU205" s="45"/>
      <c r="BV205" s="45"/>
      <c r="BW205" s="45"/>
      <c r="BX205" s="45"/>
      <c r="BY205" s="45"/>
      <c r="BZ205" s="45"/>
      <c r="CA205" s="45"/>
      <c r="CB205" s="45"/>
      <c r="CC205" s="45"/>
      <c r="CD205" s="45"/>
      <c r="CE205" s="45"/>
      <c r="CF205" s="45"/>
      <c r="CG205" s="427">
        <v>-169</v>
      </c>
      <c r="CH205" s="427">
        <v>-330</v>
      </c>
      <c r="CI205" s="427">
        <v>-533</v>
      </c>
      <c r="CJ205" s="45">
        <f>CK205</f>
        <v>-709</v>
      </c>
      <c r="CK205" s="427">
        <v>-709</v>
      </c>
      <c r="CL205" s="427">
        <v>-402</v>
      </c>
      <c r="CM205" s="427">
        <v>-402</v>
      </c>
      <c r="CN205" s="427">
        <v>-806</v>
      </c>
      <c r="CO205" s="45">
        <f>CP205</f>
        <v>-806</v>
      </c>
      <c r="CP205" s="427">
        <v>-806</v>
      </c>
      <c r="CQ205" s="427">
        <v>0</v>
      </c>
      <c r="CR205" s="427">
        <v>0</v>
      </c>
      <c r="CS205" s="427">
        <v>0</v>
      </c>
      <c r="CT205" s="45">
        <f>CU205</f>
        <v>-250</v>
      </c>
      <c r="CU205" s="427">
        <v>-250</v>
      </c>
      <c r="CV205" s="427">
        <v>0</v>
      </c>
      <c r="CW205" s="427">
        <v>0</v>
      </c>
      <c r="CX205" s="427">
        <v>0</v>
      </c>
      <c r="CY205" s="45">
        <f>CZ205</f>
        <v>-375</v>
      </c>
      <c r="CZ205" s="427">
        <v>-375</v>
      </c>
      <c r="DA205" s="427">
        <v>0</v>
      </c>
      <c r="DB205" s="427">
        <v>0</v>
      </c>
      <c r="DC205" s="1437">
        <v>0</v>
      </c>
      <c r="DD205" s="1443">
        <f>DE205</f>
        <v>-300</v>
      </c>
      <c r="DE205" s="1437">
        <v>-300</v>
      </c>
      <c r="DF205" s="427">
        <v>0</v>
      </c>
      <c r="DG205" s="427">
        <v>0</v>
      </c>
      <c r="DH205" s="1437">
        <v>0</v>
      </c>
      <c r="DI205" s="1443">
        <f>DJ205</f>
        <v>-250</v>
      </c>
      <c r="DJ205" s="1437">
        <v>-250</v>
      </c>
      <c r="DK205" s="427">
        <v>0</v>
      </c>
      <c r="DL205" s="427">
        <v>0</v>
      </c>
      <c r="DM205" s="1437">
        <v>0</v>
      </c>
      <c r="DN205" s="1443">
        <f>DO205</f>
        <v>0</v>
      </c>
      <c r="DO205" s="1437">
        <v>0</v>
      </c>
      <c r="DP205" s="427">
        <v>0</v>
      </c>
      <c r="DQ205" s="427">
        <v>0</v>
      </c>
      <c r="DR205" s="1437">
        <v>0</v>
      </c>
      <c r="DS205" s="1443">
        <f>DT205</f>
        <v>-300</v>
      </c>
      <c r="DT205" s="1437">
        <v>-300</v>
      </c>
      <c r="DU205" s="427">
        <v>0</v>
      </c>
      <c r="DV205" s="427">
        <v>0</v>
      </c>
      <c r="DW205" s="427">
        <v>0</v>
      </c>
      <c r="DX205" s="1443">
        <f>DY205</f>
        <v>0</v>
      </c>
      <c r="DY205" s="1437">
        <v>0</v>
      </c>
    </row>
    <row r="206" spans="1:129" ht="12.75" customHeight="1">
      <c r="A206" s="45"/>
      <c r="B206" s="45"/>
      <c r="C206" s="391" t="s">
        <v>151</v>
      </c>
      <c r="D206" s="45"/>
      <c r="E206" s="290">
        <f>+CG206</f>
        <v>-95</v>
      </c>
      <c r="F206" s="260">
        <f t="shared" si="552"/>
        <v>0</v>
      </c>
      <c r="G206" s="260">
        <f t="shared" si="552"/>
        <v>0</v>
      </c>
      <c r="H206" s="291">
        <f>+CK206-CI206</f>
        <v>0</v>
      </c>
      <c r="I206" s="647">
        <f t="shared" si="528"/>
        <v>-95</v>
      </c>
      <c r="J206" s="290">
        <f>+CL206</f>
        <v>0</v>
      </c>
      <c r="K206" s="260">
        <f t="shared" si="553"/>
        <v>0</v>
      </c>
      <c r="L206" s="260">
        <f t="shared" si="553"/>
        <v>0</v>
      </c>
      <c r="M206" s="291">
        <f>+CP206-CN206</f>
        <v>0</v>
      </c>
      <c r="N206" s="647">
        <f t="shared" si="529"/>
        <v>0</v>
      </c>
      <c r="O206" s="290">
        <f>+CQ206</f>
        <v>0</v>
      </c>
      <c r="P206" s="260">
        <f t="shared" si="554"/>
        <v>0</v>
      </c>
      <c r="Q206" s="260">
        <f t="shared" si="554"/>
        <v>0</v>
      </c>
      <c r="R206" s="291">
        <f>+CU206-CS206</f>
        <v>0</v>
      </c>
      <c r="S206" s="647">
        <f t="shared" si="530"/>
        <v>0</v>
      </c>
      <c r="T206" s="290">
        <f>+CV206</f>
        <v>0</v>
      </c>
      <c r="U206" s="260">
        <f t="shared" si="555"/>
        <v>0</v>
      </c>
      <c r="V206" s="260">
        <f t="shared" si="555"/>
        <v>0</v>
      </c>
      <c r="W206" s="291">
        <f>+CZ206-CX206</f>
        <v>-15</v>
      </c>
      <c r="X206" s="647">
        <f t="shared" si="531"/>
        <v>-15</v>
      </c>
      <c r="Y206" s="290">
        <f>+DA206</f>
        <v>0</v>
      </c>
      <c r="Z206" s="260">
        <f t="shared" si="556"/>
        <v>0</v>
      </c>
      <c r="AA206" s="1441">
        <f t="shared" si="556"/>
        <v>0</v>
      </c>
      <c r="AB206" s="1442">
        <f>+DE206-DC206</f>
        <v>-210</v>
      </c>
      <c r="AC206" s="1466">
        <f t="shared" si="532"/>
        <v>-210</v>
      </c>
      <c r="AD206" s="290">
        <f>+DF206</f>
        <v>0</v>
      </c>
      <c r="AE206" s="260">
        <f>+DG206-DF206</f>
        <v>0</v>
      </c>
      <c r="AF206" s="1441">
        <f t="shared" si="557"/>
        <v>0</v>
      </c>
      <c r="AG206" s="1442">
        <f>+DJ206-DH206</f>
        <v>0</v>
      </c>
      <c r="AH206" s="1466">
        <f t="shared" si="533"/>
        <v>0</v>
      </c>
      <c r="AI206" s="290">
        <f>+DK206</f>
        <v>65</v>
      </c>
      <c r="AJ206" s="260">
        <f>+DL206-DK206</f>
        <v>-24</v>
      </c>
      <c r="AK206" s="1441">
        <f t="shared" si="558"/>
        <v>14</v>
      </c>
      <c r="AL206" s="1442">
        <f>+DO206-DM206</f>
        <v>-55</v>
      </c>
      <c r="AM206" s="1466">
        <f t="shared" si="534"/>
        <v>0</v>
      </c>
      <c r="AN206" s="290">
        <f>+DP206</f>
        <v>0</v>
      </c>
      <c r="AO206" s="260">
        <f>+DQ206-DP206</f>
        <v>0</v>
      </c>
      <c r="AP206" s="1441">
        <f t="shared" si="559"/>
        <v>0</v>
      </c>
      <c r="AQ206" s="1442">
        <f>+DT206-DR206</f>
        <v>0</v>
      </c>
      <c r="AR206" s="1466">
        <f t="shared" si="535"/>
        <v>0</v>
      </c>
      <c r="AS206" s="290">
        <f>+DU206</f>
        <v>0</v>
      </c>
      <c r="AT206" s="260">
        <f>+DV206-DU206</f>
        <v>0</v>
      </c>
      <c r="AU206" s="260">
        <f t="shared" si="560"/>
        <v>0</v>
      </c>
      <c r="AV206" s="1442">
        <f>+DY206-DW206</f>
        <v>0</v>
      </c>
      <c r="AW206" s="1466">
        <f t="shared" si="537"/>
        <v>0</v>
      </c>
      <c r="AX206" s="306">
        <v>0</v>
      </c>
      <c r="AY206" s="266">
        <v>0</v>
      </c>
      <c r="AZ206" s="266">
        <v>0</v>
      </c>
      <c r="BA206" s="307">
        <v>0</v>
      </c>
      <c r="BB206" s="45">
        <f>SUM(AX206:BA206)</f>
        <v>0</v>
      </c>
      <c r="BC206" s="306">
        <v>0</v>
      </c>
      <c r="BD206" s="266">
        <v>0</v>
      </c>
      <c r="BE206" s="266">
        <v>0</v>
      </c>
      <c r="BF206" s="307">
        <v>0</v>
      </c>
      <c r="BG206" s="45">
        <f>SUM(BC206:BF206)</f>
        <v>0</v>
      </c>
      <c r="BH206" s="306">
        <v>0</v>
      </c>
      <c r="BI206" s="266">
        <v>0</v>
      </c>
      <c r="BJ206" s="266">
        <v>0</v>
      </c>
      <c r="BK206" s="307">
        <v>0</v>
      </c>
      <c r="BL206" s="45">
        <f>SUM(BH206:BK206)</f>
        <v>0</v>
      </c>
      <c r="BM206" s="306">
        <v>0</v>
      </c>
      <c r="BN206" s="266">
        <v>0</v>
      </c>
      <c r="BO206" s="266">
        <v>0</v>
      </c>
      <c r="BP206" s="307">
        <v>0</v>
      </c>
      <c r="BQ206" s="45">
        <f>SUM(BM206:BP206)</f>
        <v>0</v>
      </c>
      <c r="BR206" s="45"/>
      <c r="BS206" s="45"/>
      <c r="BT206" s="45"/>
      <c r="BU206" s="45"/>
      <c r="BV206" s="45"/>
      <c r="BW206" s="45"/>
      <c r="BX206" s="45"/>
      <c r="BY206" s="45"/>
      <c r="BZ206" s="45"/>
      <c r="CA206" s="45"/>
      <c r="CB206" s="45"/>
      <c r="CC206" s="45"/>
      <c r="CD206" s="45"/>
      <c r="CE206" s="45"/>
      <c r="CF206" s="45"/>
      <c r="CG206" s="778">
        <v>-95</v>
      </c>
      <c r="CH206" s="778">
        <v>-95</v>
      </c>
      <c r="CI206" s="778">
        <v>-95</v>
      </c>
      <c r="CJ206" s="45">
        <f>CK206</f>
        <v>-95</v>
      </c>
      <c r="CK206" s="778">
        <v>-95</v>
      </c>
      <c r="CL206" s="778">
        <v>0</v>
      </c>
      <c r="CM206" s="778">
        <v>0</v>
      </c>
      <c r="CN206" s="778">
        <v>0</v>
      </c>
      <c r="CO206" s="45">
        <f>CP206</f>
        <v>0</v>
      </c>
      <c r="CP206" s="778">
        <v>0</v>
      </c>
      <c r="CQ206" s="778">
        <v>0</v>
      </c>
      <c r="CR206" s="778">
        <v>0</v>
      </c>
      <c r="CS206" s="778">
        <v>0</v>
      </c>
      <c r="CT206" s="45">
        <f>CU206</f>
        <v>0</v>
      </c>
      <c r="CU206" s="778">
        <v>0</v>
      </c>
      <c r="CV206" s="778">
        <v>0</v>
      </c>
      <c r="CW206" s="778">
        <v>0</v>
      </c>
      <c r="CX206" s="778">
        <v>0</v>
      </c>
      <c r="CY206" s="45">
        <f>CZ206</f>
        <v>-15</v>
      </c>
      <c r="CZ206" s="778">
        <v>-15</v>
      </c>
      <c r="DA206" s="778">
        <v>0</v>
      </c>
      <c r="DB206" s="778">
        <v>0</v>
      </c>
      <c r="DC206" s="1509">
        <v>0</v>
      </c>
      <c r="DD206" s="1443">
        <f>DE206</f>
        <v>-210</v>
      </c>
      <c r="DE206" s="1509">
        <v>-210</v>
      </c>
      <c r="DF206" s="778">
        <v>0</v>
      </c>
      <c r="DG206" s="778">
        <v>0</v>
      </c>
      <c r="DH206" s="1509">
        <v>0</v>
      </c>
      <c r="DI206" s="1443">
        <f>DJ206</f>
        <v>0</v>
      </c>
      <c r="DJ206" s="1509">
        <v>0</v>
      </c>
      <c r="DK206" s="778">
        <v>65</v>
      </c>
      <c r="DL206" s="778">
        <v>41</v>
      </c>
      <c r="DM206" s="1509">
        <v>55</v>
      </c>
      <c r="DN206" s="1443">
        <f>DO206</f>
        <v>0</v>
      </c>
      <c r="DO206" s="1509">
        <v>0</v>
      </c>
      <c r="DP206" s="778">
        <v>0</v>
      </c>
      <c r="DQ206" s="778">
        <v>0</v>
      </c>
      <c r="DR206" s="1509">
        <v>0</v>
      </c>
      <c r="DS206" s="1443">
        <f>DT206</f>
        <v>0</v>
      </c>
      <c r="DT206" s="1509">
        <v>0</v>
      </c>
      <c r="DU206" s="778">
        <v>0</v>
      </c>
      <c r="DV206" s="778">
        <v>0</v>
      </c>
      <c r="DW206" s="778">
        <v>0</v>
      </c>
      <c r="DX206" s="1443">
        <f>DY206</f>
        <v>0</v>
      </c>
      <c r="DY206" s="1509">
        <v>0</v>
      </c>
    </row>
    <row r="207" spans="1:129" ht="12.75" customHeight="1">
      <c r="A207" s="45"/>
      <c r="B207" s="45"/>
      <c r="C207" s="391" t="s">
        <v>152</v>
      </c>
      <c r="D207" s="45"/>
      <c r="E207" s="290">
        <f>+CG207</f>
        <v>-88</v>
      </c>
      <c r="F207" s="260">
        <f t="shared" si="552"/>
        <v>-68</v>
      </c>
      <c r="G207" s="260">
        <f t="shared" si="552"/>
        <v>-67</v>
      </c>
      <c r="H207" s="291">
        <f>+CK207-CI207</f>
        <v>-66</v>
      </c>
      <c r="I207" s="647">
        <f t="shared" si="528"/>
        <v>-289</v>
      </c>
      <c r="J207" s="290">
        <f>+CL207</f>
        <v>-65</v>
      </c>
      <c r="K207" s="260">
        <f t="shared" si="553"/>
        <v>-52</v>
      </c>
      <c r="L207" s="260">
        <f t="shared" si="553"/>
        <v>-63</v>
      </c>
      <c r="M207" s="291">
        <f>+CP207-CN207</f>
        <v>-5</v>
      </c>
      <c r="N207" s="647">
        <f t="shared" si="529"/>
        <v>-185</v>
      </c>
      <c r="O207" s="290">
        <f>+CQ207</f>
        <v>-112</v>
      </c>
      <c r="P207" s="260">
        <f t="shared" si="554"/>
        <v>-74</v>
      </c>
      <c r="Q207" s="260">
        <f t="shared" si="554"/>
        <v>-85</v>
      </c>
      <c r="R207" s="291">
        <f>+CU207-CS207</f>
        <v>-63</v>
      </c>
      <c r="S207" s="647">
        <f t="shared" si="530"/>
        <v>-334</v>
      </c>
      <c r="T207" s="290">
        <f>+CV207</f>
        <v>-88</v>
      </c>
      <c r="U207" s="260">
        <f t="shared" si="555"/>
        <v>-86</v>
      </c>
      <c r="V207" s="260">
        <f t="shared" si="555"/>
        <v>-87</v>
      </c>
      <c r="W207" s="291">
        <f>+CZ207-CX207</f>
        <v>-77</v>
      </c>
      <c r="X207" s="647">
        <f t="shared" si="531"/>
        <v>-338</v>
      </c>
      <c r="Y207" s="290">
        <f>+DA207</f>
        <v>-84</v>
      </c>
      <c r="Z207" s="260">
        <f t="shared" si="556"/>
        <v>-82</v>
      </c>
      <c r="AA207" s="1441">
        <f t="shared" si="556"/>
        <v>-83</v>
      </c>
      <c r="AB207" s="1442">
        <f>+DE207-DC207</f>
        <v>-57</v>
      </c>
      <c r="AC207" s="1466">
        <f t="shared" si="532"/>
        <v>-306</v>
      </c>
      <c r="AD207" s="290">
        <f>+DF207</f>
        <v>-80</v>
      </c>
      <c r="AE207" s="260">
        <f>+DG207-DF207</f>
        <v>-80</v>
      </c>
      <c r="AF207" s="1441">
        <f t="shared" si="557"/>
        <v>-56</v>
      </c>
      <c r="AG207" s="1442">
        <f>+DJ207-DH207</f>
        <v>-80</v>
      </c>
      <c r="AH207" s="1466">
        <f t="shared" si="533"/>
        <v>-296</v>
      </c>
      <c r="AI207" s="290">
        <f>+DK207</f>
        <v>-70</v>
      </c>
      <c r="AJ207" s="260">
        <f>+DL207-DK207</f>
        <v>-69</v>
      </c>
      <c r="AK207" s="1441">
        <f t="shared" si="558"/>
        <v>-54</v>
      </c>
      <c r="AL207" s="1442">
        <f>+DO207-DM207</f>
        <v>-70</v>
      </c>
      <c r="AM207" s="1466">
        <f t="shared" si="534"/>
        <v>-263</v>
      </c>
      <c r="AN207" s="290">
        <f>+DP207</f>
        <v>-69</v>
      </c>
      <c r="AO207" s="260">
        <f>+DQ207-DP207</f>
        <v>-70</v>
      </c>
      <c r="AP207" s="1441">
        <f t="shared" si="559"/>
        <v>-51</v>
      </c>
      <c r="AQ207" s="1442">
        <f>+DT207-DR207</f>
        <v>-69</v>
      </c>
      <c r="AR207" s="1466">
        <f t="shared" si="535"/>
        <v>-259</v>
      </c>
      <c r="AS207" s="290">
        <f>+DU207</f>
        <v>-72</v>
      </c>
      <c r="AT207" s="260">
        <f>+DV207-DU207</f>
        <v>-72</v>
      </c>
      <c r="AU207" s="260">
        <f t="shared" si="560"/>
        <v>-56</v>
      </c>
      <c r="AV207" s="1442">
        <f>+DY207-DW207</f>
        <v>-72</v>
      </c>
      <c r="AW207" s="1466">
        <f t="shared" si="537"/>
        <v>-272</v>
      </c>
      <c r="AX207" s="290">
        <f>+BB207/4</f>
        <v>-68.75</v>
      </c>
      <c r="AY207" s="260">
        <f>(BB207-SUM(AX207:AX207))/3</f>
        <v>-68.75</v>
      </c>
      <c r="AZ207" s="260">
        <f>(BB207-SUM(AX207:AY207))/2</f>
        <v>-68.75</v>
      </c>
      <c r="BA207" s="291">
        <f>(BB207-SUM(AX207:AZ207))/1</f>
        <v>-68.75</v>
      </c>
      <c r="BB207" s="426">
        <v>-275</v>
      </c>
      <c r="BC207" s="290">
        <f>+BG207/4</f>
        <v>-55</v>
      </c>
      <c r="BD207" s="260">
        <f>(BG207-SUM(BC207:BC207))/3</f>
        <v>-55</v>
      </c>
      <c r="BE207" s="260">
        <f>(BG207-SUM(BC207:BD207))/2</f>
        <v>-55</v>
      </c>
      <c r="BF207" s="291">
        <f>(BG207-SUM(BC207:BE207))/1</f>
        <v>-55</v>
      </c>
      <c r="BG207" s="2032">
        <v>-220</v>
      </c>
      <c r="BH207" s="290">
        <f>+BL207/4</f>
        <v>-81.25</v>
      </c>
      <c r="BI207" s="260">
        <f>(BL207-SUM(BH207:BH207))/3</f>
        <v>-81.25</v>
      </c>
      <c r="BJ207" s="260">
        <f>(BL207-SUM(BH207:BI207))/2</f>
        <v>-81.25</v>
      </c>
      <c r="BK207" s="291">
        <f>(BL207-SUM(BH207:BJ207))/1</f>
        <v>-81.25</v>
      </c>
      <c r="BL207" s="2032">
        <v>-325</v>
      </c>
      <c r="BM207" s="290">
        <f>+BQ207/4</f>
        <v>-93.75</v>
      </c>
      <c r="BN207" s="260">
        <f>(BQ207-SUM(BM207:BM207))/3</f>
        <v>-93.75</v>
      </c>
      <c r="BO207" s="260">
        <f>(BQ207-SUM(BM207:BN207))/2</f>
        <v>-93.75</v>
      </c>
      <c r="BP207" s="291">
        <f>(BQ207-SUM(BM207:BO207))/1</f>
        <v>-93.75</v>
      </c>
      <c r="BQ207" s="2032">
        <v>-375</v>
      </c>
      <c r="BR207" s="45"/>
      <c r="BS207" s="45"/>
      <c r="BT207" s="45"/>
      <c r="BU207" s="45"/>
      <c r="BV207" s="45"/>
      <c r="BW207" s="45"/>
      <c r="BX207" s="45"/>
      <c r="BY207" s="45"/>
      <c r="BZ207" s="45"/>
      <c r="CA207" s="45"/>
      <c r="CB207" s="45"/>
      <c r="CC207" s="45"/>
      <c r="CD207" s="45"/>
      <c r="CE207" s="45"/>
      <c r="CF207" s="45"/>
      <c r="CG207" s="818">
        <f>-87-1</f>
        <v>-88</v>
      </c>
      <c r="CH207" s="818">
        <f>-154-2</f>
        <v>-156</v>
      </c>
      <c r="CI207" s="818">
        <f>-247-3+27</f>
        <v>-223</v>
      </c>
      <c r="CJ207" s="45">
        <f>CK207</f>
        <v>-289</v>
      </c>
      <c r="CK207" s="818">
        <f>-312-4+27</f>
        <v>-289</v>
      </c>
      <c r="CL207" s="818">
        <f>-64-1</f>
        <v>-65</v>
      </c>
      <c r="CM207" s="818">
        <f>-115-2</f>
        <v>-117</v>
      </c>
      <c r="CN207" s="818">
        <f>-178-3+1</f>
        <v>-180</v>
      </c>
      <c r="CO207" s="45">
        <f>CP207</f>
        <v>-185</v>
      </c>
      <c r="CP207" s="818">
        <f>-224-4+43</f>
        <v>-185</v>
      </c>
      <c r="CQ207" s="818">
        <f>-111-1</f>
        <v>-112</v>
      </c>
      <c r="CR207" s="818">
        <f>-184-2</f>
        <v>-186</v>
      </c>
      <c r="CS207" s="818">
        <f>-268-3</f>
        <v>-271</v>
      </c>
      <c r="CT207" s="45">
        <f>CU207</f>
        <v>-334</v>
      </c>
      <c r="CU207" s="818">
        <f>-348-4+18</f>
        <v>-334</v>
      </c>
      <c r="CV207" s="818">
        <f>-87-1</f>
        <v>-88</v>
      </c>
      <c r="CW207" s="818">
        <v>-174</v>
      </c>
      <c r="CX207" s="818">
        <f>-258-3</f>
        <v>-261</v>
      </c>
      <c r="CY207" s="45">
        <f>CZ207</f>
        <v>-338</v>
      </c>
      <c r="CZ207" s="818">
        <f>-343-4+9</f>
        <v>-338</v>
      </c>
      <c r="DA207" s="818">
        <f>-83-1</f>
        <v>-84</v>
      </c>
      <c r="DB207" s="818">
        <v>-166</v>
      </c>
      <c r="DC207" s="1434">
        <f>-248-1</f>
        <v>-249</v>
      </c>
      <c r="DD207" s="1443">
        <f>DE207</f>
        <v>-306</v>
      </c>
      <c r="DE207" s="1434">
        <f>-332+27-1</f>
        <v>-306</v>
      </c>
      <c r="DF207" s="818">
        <v>-80</v>
      </c>
      <c r="DG207" s="818">
        <v>-160</v>
      </c>
      <c r="DH207" s="1434">
        <f>-240+24</f>
        <v>-216</v>
      </c>
      <c r="DI207" s="1443">
        <f>DJ207</f>
        <v>-296</v>
      </c>
      <c r="DJ207" s="1434">
        <f>-320+24</f>
        <v>-296</v>
      </c>
      <c r="DK207" s="818">
        <v>-70</v>
      </c>
      <c r="DL207" s="818">
        <v>-139</v>
      </c>
      <c r="DM207" s="1434">
        <f>-209+16</f>
        <v>-193</v>
      </c>
      <c r="DN207" s="1443">
        <f>DO207</f>
        <v>-263</v>
      </c>
      <c r="DO207" s="1434">
        <f>-279+16</f>
        <v>-263</v>
      </c>
      <c r="DP207" s="818">
        <v>-69</v>
      </c>
      <c r="DQ207" s="818">
        <v>-139</v>
      </c>
      <c r="DR207" s="1434">
        <f>18-208</f>
        <v>-190</v>
      </c>
      <c r="DS207" s="1443">
        <f>DT207</f>
        <v>-259</v>
      </c>
      <c r="DT207" s="1434">
        <f>18-277</f>
        <v>-259</v>
      </c>
      <c r="DU207" s="818">
        <v>-72</v>
      </c>
      <c r="DV207" s="818">
        <v>-144</v>
      </c>
      <c r="DW207" s="818">
        <f>16-216</f>
        <v>-200</v>
      </c>
      <c r="DX207" s="1443">
        <f>DY207</f>
        <v>-272</v>
      </c>
      <c r="DY207" s="1434">
        <f>16-288</f>
        <v>-272</v>
      </c>
    </row>
    <row r="208" spans="1:129" ht="12.75" customHeight="1">
      <c r="A208" s="45"/>
      <c r="B208" s="45"/>
      <c r="C208" s="391" t="s">
        <v>62</v>
      </c>
      <c r="D208" s="45"/>
      <c r="E208" s="290">
        <f>+CG208</f>
        <v>80</v>
      </c>
      <c r="F208" s="260">
        <f t="shared" si="552"/>
        <v>80</v>
      </c>
      <c r="G208" s="260">
        <f t="shared" si="552"/>
        <v>80</v>
      </c>
      <c r="H208" s="291">
        <f>+CK208-CI208</f>
        <v>78</v>
      </c>
      <c r="I208" s="647">
        <f t="shared" si="528"/>
        <v>318</v>
      </c>
      <c r="J208" s="290">
        <f>+CL208</f>
        <v>45</v>
      </c>
      <c r="K208" s="260">
        <f t="shared" si="553"/>
        <v>45</v>
      </c>
      <c r="L208" s="260">
        <f t="shared" si="553"/>
        <v>45</v>
      </c>
      <c r="M208" s="291">
        <f>+CP208-CN208</f>
        <v>45</v>
      </c>
      <c r="N208" s="647">
        <f t="shared" si="529"/>
        <v>180</v>
      </c>
      <c r="O208" s="290">
        <f>+CQ208</f>
        <v>-5</v>
      </c>
      <c r="P208" s="260">
        <f t="shared" si="554"/>
        <v>0</v>
      </c>
      <c r="Q208" s="260">
        <f t="shared" si="554"/>
        <v>18</v>
      </c>
      <c r="R208" s="291">
        <f>+CU208-CS208</f>
        <v>-18</v>
      </c>
      <c r="S208" s="647">
        <f t="shared" si="530"/>
        <v>-5</v>
      </c>
      <c r="T208" s="290">
        <f>+CV208</f>
        <v>0</v>
      </c>
      <c r="U208" s="260">
        <f t="shared" si="555"/>
        <v>0</v>
      </c>
      <c r="V208" s="260">
        <f t="shared" si="555"/>
        <v>-4</v>
      </c>
      <c r="W208" s="291">
        <f>+CZ208-CX208</f>
        <v>0</v>
      </c>
      <c r="X208" s="647">
        <f t="shared" si="531"/>
        <v>-4</v>
      </c>
      <c r="Y208" s="290">
        <f>+DA208</f>
        <v>0</v>
      </c>
      <c r="Z208" s="260">
        <f t="shared" si="556"/>
        <v>-93</v>
      </c>
      <c r="AA208" s="1441">
        <f t="shared" si="556"/>
        <v>-213</v>
      </c>
      <c r="AB208" s="1442">
        <f>+DE208-DC208</f>
        <v>211</v>
      </c>
      <c r="AC208" s="1466">
        <f t="shared" si="532"/>
        <v>-95</v>
      </c>
      <c r="AD208" s="290">
        <f>+DF208</f>
        <v>0</v>
      </c>
      <c r="AE208" s="260">
        <f>+DG208-DF208</f>
        <v>-2</v>
      </c>
      <c r="AF208" s="1441">
        <f t="shared" si="557"/>
        <v>-5</v>
      </c>
      <c r="AG208" s="1442">
        <f>+DJ208-DH208</f>
        <v>3</v>
      </c>
      <c r="AH208" s="1466">
        <f t="shared" si="533"/>
        <v>-4</v>
      </c>
      <c r="AI208" s="290">
        <f>+DK208</f>
        <v>-1</v>
      </c>
      <c r="AJ208" s="260">
        <f>+DL208-DK208</f>
        <v>1</v>
      </c>
      <c r="AK208" s="1441">
        <f t="shared" si="558"/>
        <v>-2</v>
      </c>
      <c r="AL208" s="1442">
        <f>+DO208-DM208</f>
        <v>-2</v>
      </c>
      <c r="AM208" s="1466">
        <f t="shared" si="534"/>
        <v>-4</v>
      </c>
      <c r="AN208" s="290">
        <f>+DP208</f>
        <v>0</v>
      </c>
      <c r="AO208" s="260">
        <f>+DQ208-DP208</f>
        <v>-1</v>
      </c>
      <c r="AP208" s="1441">
        <f t="shared" si="559"/>
        <v>-32</v>
      </c>
      <c r="AQ208" s="1442">
        <f>+DT208-DR208</f>
        <v>29</v>
      </c>
      <c r="AR208" s="1466">
        <f t="shared" si="535"/>
        <v>-4</v>
      </c>
      <c r="AS208" s="290">
        <f>+DU208</f>
        <v>0</v>
      </c>
      <c r="AT208" s="260">
        <f>+DV208-DU208</f>
        <v>0</v>
      </c>
      <c r="AU208" s="260">
        <f t="shared" si="560"/>
        <v>-4</v>
      </c>
      <c r="AV208" s="1442">
        <f>+DY208-DW208</f>
        <v>1</v>
      </c>
      <c r="AW208" s="1466">
        <f t="shared" si="537"/>
        <v>-3</v>
      </c>
      <c r="AX208" s="290">
        <f>+BB208/4</f>
        <v>0</v>
      </c>
      <c r="AY208" s="260">
        <f>(BB208-SUM(AX208:AX208))/3</f>
        <v>0</v>
      </c>
      <c r="AZ208" s="260">
        <f>(BB208-SUM(AX208:AY208))/2</f>
        <v>0</v>
      </c>
      <c r="BA208" s="291">
        <f>(BB208-SUM(AX208:AZ208))/1</f>
        <v>0</v>
      </c>
      <c r="BB208" s="426">
        <v>0</v>
      </c>
      <c r="BC208" s="290">
        <f>+BG208/4</f>
        <v>0</v>
      </c>
      <c r="BD208" s="260">
        <f>(BG208-SUM(BC208:BC208))/3</f>
        <v>0</v>
      </c>
      <c r="BE208" s="260">
        <f>(BG208-SUM(BC208:BD208))/2</f>
        <v>0</v>
      </c>
      <c r="BF208" s="291">
        <f>(BG208-SUM(BC208:BE208))/1</f>
        <v>0</v>
      </c>
      <c r="BG208" s="426">
        <v>0</v>
      </c>
      <c r="BH208" s="290">
        <f>+BL208/4</f>
        <v>0</v>
      </c>
      <c r="BI208" s="260">
        <f>(BL208-SUM(BH208:BH208))/3</f>
        <v>0</v>
      </c>
      <c r="BJ208" s="260">
        <f>(BL208-SUM(BH208:BI208))/2</f>
        <v>0</v>
      </c>
      <c r="BK208" s="291">
        <f>(BL208-SUM(BH208:BJ208))/1</f>
        <v>0</v>
      </c>
      <c r="BL208" s="426">
        <v>0</v>
      </c>
      <c r="BM208" s="290">
        <f>+BQ208/4</f>
        <v>0</v>
      </c>
      <c r="BN208" s="260">
        <f>(BQ208-SUM(BM208:BM208))/3</f>
        <v>0</v>
      </c>
      <c r="BO208" s="260">
        <f>(BQ208-SUM(BM208:BN208))/2</f>
        <v>0</v>
      </c>
      <c r="BP208" s="291">
        <f>(BQ208-SUM(BM208:BO208))/1</f>
        <v>0</v>
      </c>
      <c r="BQ208" s="426">
        <v>0</v>
      </c>
      <c r="BR208" s="45"/>
      <c r="BS208" s="45"/>
      <c r="BT208" s="45"/>
      <c r="BU208" s="45"/>
      <c r="BV208" s="45"/>
      <c r="BW208" s="45"/>
      <c r="BX208" s="45"/>
      <c r="BY208" s="45"/>
      <c r="BZ208" s="45"/>
      <c r="CA208" s="45"/>
      <c r="CB208" s="45"/>
      <c r="CC208" s="45"/>
      <c r="CD208" s="45"/>
      <c r="CE208" s="45"/>
      <c r="CF208" s="45"/>
      <c r="CG208" s="427">
        <v>80</v>
      </c>
      <c r="CH208" s="778">
        <v>160</v>
      </c>
      <c r="CI208" s="427">
        <f>240</f>
        <v>240</v>
      </c>
      <c r="CJ208" s="45">
        <f>CK208</f>
        <v>318</v>
      </c>
      <c r="CK208" s="427">
        <f>320-2</f>
        <v>318</v>
      </c>
      <c r="CL208" s="427">
        <v>45</v>
      </c>
      <c r="CM208" s="427">
        <v>90</v>
      </c>
      <c r="CN208" s="427">
        <f>135</f>
        <v>135</v>
      </c>
      <c r="CO208" s="45">
        <f>CP208</f>
        <v>180</v>
      </c>
      <c r="CP208" s="427">
        <v>180</v>
      </c>
      <c r="CQ208" s="427">
        <v>-5</v>
      </c>
      <c r="CR208" s="427">
        <v>-5</v>
      </c>
      <c r="CS208" s="427">
        <f>18-5</f>
        <v>13</v>
      </c>
      <c r="CT208" s="45">
        <f>CU208</f>
        <v>-5</v>
      </c>
      <c r="CU208" s="427">
        <f>-5</f>
        <v>-5</v>
      </c>
      <c r="CV208" s="427">
        <v>0</v>
      </c>
      <c r="CW208" s="427">
        <v>0</v>
      </c>
      <c r="CX208" s="427">
        <v>-4</v>
      </c>
      <c r="CY208" s="45">
        <f>CZ208</f>
        <v>-4</v>
      </c>
      <c r="CZ208" s="427">
        <v>-4</v>
      </c>
      <c r="DA208" s="427">
        <v>0</v>
      </c>
      <c r="DB208" s="427">
        <f>-1-93+1</f>
        <v>-93</v>
      </c>
      <c r="DC208" s="1437">
        <f>-210-93-3</f>
        <v>-306</v>
      </c>
      <c r="DD208" s="1443">
        <f>DE208</f>
        <v>-95</v>
      </c>
      <c r="DE208" s="1437">
        <f>-93-2</f>
        <v>-95</v>
      </c>
      <c r="DF208" s="427">
        <v>0</v>
      </c>
      <c r="DG208" s="427">
        <v>-2</v>
      </c>
      <c r="DH208" s="1437">
        <v>-7</v>
      </c>
      <c r="DI208" s="1443">
        <f>DJ208</f>
        <v>-4</v>
      </c>
      <c r="DJ208" s="1437">
        <v>-4</v>
      </c>
      <c r="DK208" s="427">
        <v>-1</v>
      </c>
      <c r="DL208" s="427">
        <v>0</v>
      </c>
      <c r="DM208" s="1437">
        <v>-2</v>
      </c>
      <c r="DN208" s="1443">
        <f>DO208</f>
        <v>-4</v>
      </c>
      <c r="DO208" s="1437">
        <v>-4</v>
      </c>
      <c r="DP208" s="427">
        <v>0</v>
      </c>
      <c r="DQ208" s="427">
        <v>-1</v>
      </c>
      <c r="DR208" s="1437">
        <f>-3-30</f>
        <v>-33</v>
      </c>
      <c r="DS208" s="1443">
        <f>DT208</f>
        <v>-4</v>
      </c>
      <c r="DT208" s="1437">
        <v>-4</v>
      </c>
      <c r="DU208" s="427">
        <v>0</v>
      </c>
      <c r="DV208" s="427">
        <v>0</v>
      </c>
      <c r="DW208" s="427">
        <v>-4</v>
      </c>
      <c r="DX208" s="1443">
        <f>DY208</f>
        <v>-3</v>
      </c>
      <c r="DY208" s="1437">
        <v>-3</v>
      </c>
    </row>
    <row r="209" spans="1:129" ht="12.75" customHeight="1">
      <c r="A209" s="45"/>
      <c r="B209" s="45"/>
      <c r="C209" s="389" t="s">
        <v>153</v>
      </c>
      <c r="D209" s="45"/>
      <c r="E209" s="292">
        <f>SUM(E204:E208)</f>
        <v>-23</v>
      </c>
      <c r="F209" s="261">
        <f>SUM(F204:F208)</f>
        <v>-150</v>
      </c>
      <c r="G209" s="261">
        <f>SUM(G204:G208)</f>
        <v>-188</v>
      </c>
      <c r="H209" s="293">
        <f>SUM(H204:H208)</f>
        <v>-164</v>
      </c>
      <c r="I209" s="583">
        <f t="shared" si="528"/>
        <v>-525</v>
      </c>
      <c r="J209" s="292">
        <f>SUM(J204:J208)</f>
        <v>-422</v>
      </c>
      <c r="K209" s="261">
        <f>SUM(K204:K208)</f>
        <v>-7</v>
      </c>
      <c r="L209" s="261">
        <f>SUM(L204:L208)</f>
        <v>-422</v>
      </c>
      <c r="M209" s="293">
        <f>SUM(M204:M208)</f>
        <v>40</v>
      </c>
      <c r="N209" s="583">
        <f t="shared" si="529"/>
        <v>-811</v>
      </c>
      <c r="O209" s="292">
        <f>SUM(O204:O208)</f>
        <v>-117</v>
      </c>
      <c r="P209" s="261">
        <f>SUM(P204:P208)</f>
        <v>-74</v>
      </c>
      <c r="Q209" s="261">
        <f>SUM(Q204:Q208)</f>
        <v>-67</v>
      </c>
      <c r="R209" s="293">
        <f>SUM(R204:R208)</f>
        <v>-331</v>
      </c>
      <c r="S209" s="583">
        <f t="shared" si="530"/>
        <v>-589</v>
      </c>
      <c r="T209" s="292">
        <f t="shared" ref="T209:AD209" si="568">SUM(T204:T208)</f>
        <v>-88</v>
      </c>
      <c r="U209" s="261">
        <f>SUM(U204:U208)</f>
        <v>-86</v>
      </c>
      <c r="V209" s="261">
        <f>SUM(V204:V208)</f>
        <v>259</v>
      </c>
      <c r="W209" s="293">
        <f>SUM(W204:W208)</f>
        <v>-467</v>
      </c>
      <c r="X209" s="583">
        <f t="shared" si="531"/>
        <v>-382</v>
      </c>
      <c r="Y209" s="292">
        <f t="shared" si="568"/>
        <v>-84</v>
      </c>
      <c r="Z209" s="261">
        <f>SUM(Z204:Z208)</f>
        <v>-175</v>
      </c>
      <c r="AA209" s="1438">
        <f>SUM(AA204:AA208)</f>
        <v>254</v>
      </c>
      <c r="AB209" s="1439">
        <f>SUM(AB204:AB208)</f>
        <v>-356</v>
      </c>
      <c r="AC209" s="1464">
        <f t="shared" si="532"/>
        <v>-361</v>
      </c>
      <c r="AD209" s="292">
        <f t="shared" si="568"/>
        <v>-80</v>
      </c>
      <c r="AE209" s="261">
        <f>SUM(AE204:AE208)</f>
        <v>-82</v>
      </c>
      <c r="AF209" s="1438">
        <f>SUM(AF204:AF208)</f>
        <v>239</v>
      </c>
      <c r="AG209" s="1439">
        <f>SUM(AG204:AG208)</f>
        <v>-327</v>
      </c>
      <c r="AH209" s="1464">
        <f t="shared" si="533"/>
        <v>-250</v>
      </c>
      <c r="AI209" s="292">
        <f t="shared" ref="AI209" si="569">SUM(AI204:AI208)</f>
        <v>-6</v>
      </c>
      <c r="AJ209" s="261">
        <f>SUM(AJ204:AJ208)</f>
        <v>-92</v>
      </c>
      <c r="AK209" s="1438">
        <f>SUM(AK204:AK208)</f>
        <v>-42</v>
      </c>
      <c r="AL209" s="1439">
        <f>SUM(AL204:AL208)</f>
        <v>223</v>
      </c>
      <c r="AM209" s="1464">
        <f t="shared" si="534"/>
        <v>83</v>
      </c>
      <c r="AN209" s="292">
        <f t="shared" ref="AN209" si="570">SUM(AN204:AN208)</f>
        <v>-69</v>
      </c>
      <c r="AO209" s="261">
        <f>SUM(AO204:AO208)</f>
        <v>-71</v>
      </c>
      <c r="AP209" s="1438">
        <f>SUM(AP204:AP208)</f>
        <v>217</v>
      </c>
      <c r="AQ209" s="1439">
        <f>SUM(AQ204:AQ208)</f>
        <v>-340</v>
      </c>
      <c r="AR209" s="1464">
        <f t="shared" si="535"/>
        <v>-263</v>
      </c>
      <c r="AS209" s="292">
        <f t="shared" ref="AS209" si="571">SUM(AS204:AS208)</f>
        <v>-72</v>
      </c>
      <c r="AT209" s="261">
        <f>SUM(AT204:AT208)</f>
        <v>-72</v>
      </c>
      <c r="AU209" s="261">
        <f t="shared" ref="AU209" si="572">SUM(AU204:AU208)</f>
        <v>265</v>
      </c>
      <c r="AV209" s="1439">
        <f>SUM(AV204:AV208)</f>
        <v>-71</v>
      </c>
      <c r="AW209" s="1464">
        <f t="shared" si="537"/>
        <v>50</v>
      </c>
      <c r="AX209" s="292">
        <f t="shared" ref="AX209:BB209" si="573">SUM(AX204:AX208)</f>
        <v>-568.75</v>
      </c>
      <c r="AY209" s="261">
        <f t="shared" si="573"/>
        <v>-68.75</v>
      </c>
      <c r="AZ209" s="261">
        <f t="shared" si="573"/>
        <v>506.25</v>
      </c>
      <c r="BA209" s="293">
        <f t="shared" si="573"/>
        <v>-68.75</v>
      </c>
      <c r="BB209" s="228">
        <f t="shared" si="573"/>
        <v>-200</v>
      </c>
      <c r="BC209" s="292">
        <f t="shared" ref="BC209:BL209" si="574">SUM(BC204:BC208)</f>
        <v>-55</v>
      </c>
      <c r="BD209" s="261">
        <f t="shared" si="574"/>
        <v>-55</v>
      </c>
      <c r="BE209" s="261">
        <f t="shared" si="574"/>
        <v>180</v>
      </c>
      <c r="BF209" s="293">
        <f t="shared" si="574"/>
        <v>-55</v>
      </c>
      <c r="BG209" s="228">
        <f t="shared" si="574"/>
        <v>15</v>
      </c>
      <c r="BH209" s="292">
        <f t="shared" si="574"/>
        <v>-81.25</v>
      </c>
      <c r="BI209" s="261">
        <f t="shared" si="574"/>
        <v>-81.25</v>
      </c>
      <c r="BJ209" s="261">
        <f t="shared" si="574"/>
        <v>68.75</v>
      </c>
      <c r="BK209" s="293">
        <f t="shared" si="574"/>
        <v>-81.25</v>
      </c>
      <c r="BL209" s="228">
        <f t="shared" si="574"/>
        <v>-175</v>
      </c>
      <c r="BM209" s="292">
        <f t="shared" ref="BM209:BQ209" si="575">SUM(BM204:BM208)</f>
        <v>-93.75</v>
      </c>
      <c r="BN209" s="261">
        <f t="shared" si="575"/>
        <v>-93.75</v>
      </c>
      <c r="BO209" s="261">
        <f t="shared" si="575"/>
        <v>46.25</v>
      </c>
      <c r="BP209" s="293">
        <f t="shared" si="575"/>
        <v>-93.75</v>
      </c>
      <c r="BQ209" s="228">
        <f t="shared" si="575"/>
        <v>-235</v>
      </c>
      <c r="BR209" s="45"/>
      <c r="BS209" s="45"/>
      <c r="BT209" s="45"/>
      <c r="BU209" s="45"/>
      <c r="BV209" s="45"/>
      <c r="BW209" s="45"/>
      <c r="BX209" s="45"/>
      <c r="BY209" s="45"/>
      <c r="BZ209" s="45"/>
      <c r="CA209" s="45"/>
      <c r="CB209" s="45"/>
      <c r="CC209" s="45"/>
      <c r="CD209" s="45"/>
      <c r="CE209" s="45"/>
      <c r="CF209" s="45"/>
      <c r="CG209" s="228">
        <f t="shared" ref="CG209:CW209" si="576">SUM(CG204:CG208)</f>
        <v>-23</v>
      </c>
      <c r="CH209" s="228">
        <f t="shared" si="576"/>
        <v>-173</v>
      </c>
      <c r="CI209" s="228">
        <f t="shared" si="576"/>
        <v>-361</v>
      </c>
      <c r="CJ209" s="228">
        <f t="shared" si="576"/>
        <v>-525</v>
      </c>
      <c r="CK209" s="228">
        <f t="shared" si="576"/>
        <v>-525</v>
      </c>
      <c r="CL209" s="228">
        <f t="shared" si="576"/>
        <v>-422</v>
      </c>
      <c r="CM209" s="228">
        <f t="shared" si="576"/>
        <v>-429</v>
      </c>
      <c r="CN209" s="228">
        <f t="shared" si="576"/>
        <v>-851</v>
      </c>
      <c r="CO209" s="228">
        <f t="shared" si="576"/>
        <v>-811</v>
      </c>
      <c r="CP209" s="228">
        <f t="shared" si="576"/>
        <v>-811</v>
      </c>
      <c r="CQ209" s="228">
        <f t="shared" si="576"/>
        <v>-117</v>
      </c>
      <c r="CR209" s="228">
        <f t="shared" si="576"/>
        <v>-191</v>
      </c>
      <c r="CS209" s="228">
        <f t="shared" si="576"/>
        <v>-258</v>
      </c>
      <c r="CT209" s="228">
        <f t="shared" si="576"/>
        <v>-589</v>
      </c>
      <c r="CU209" s="228">
        <f t="shared" si="576"/>
        <v>-589</v>
      </c>
      <c r="CV209" s="228">
        <f t="shared" si="576"/>
        <v>-88</v>
      </c>
      <c r="CW209" s="228">
        <f t="shared" si="576"/>
        <v>-174</v>
      </c>
      <c r="CX209" s="228">
        <f t="shared" ref="CX209:DG209" si="577">SUM(CX204:CX208)</f>
        <v>85</v>
      </c>
      <c r="CY209" s="228">
        <f t="shared" si="577"/>
        <v>-382</v>
      </c>
      <c r="CZ209" s="228">
        <f t="shared" si="577"/>
        <v>-382</v>
      </c>
      <c r="DA209" s="228">
        <f t="shared" si="577"/>
        <v>-84</v>
      </c>
      <c r="DB209" s="228">
        <f t="shared" si="577"/>
        <v>-259</v>
      </c>
      <c r="DC209" s="1440">
        <f t="shared" si="577"/>
        <v>-5</v>
      </c>
      <c r="DD209" s="1440">
        <f t="shared" si="577"/>
        <v>-361</v>
      </c>
      <c r="DE209" s="1440">
        <f t="shared" si="577"/>
        <v>-361</v>
      </c>
      <c r="DF209" s="228">
        <f t="shared" si="577"/>
        <v>-80</v>
      </c>
      <c r="DG209" s="228">
        <f t="shared" si="577"/>
        <v>-162</v>
      </c>
      <c r="DH209" s="1440">
        <f t="shared" ref="DH209:DL209" si="578">SUM(DH204:DH208)</f>
        <v>77</v>
      </c>
      <c r="DI209" s="1440">
        <f t="shared" si="578"/>
        <v>-250</v>
      </c>
      <c r="DJ209" s="1440">
        <f t="shared" si="578"/>
        <v>-250</v>
      </c>
      <c r="DK209" s="228">
        <f t="shared" si="578"/>
        <v>-6</v>
      </c>
      <c r="DL209" s="228">
        <f t="shared" si="578"/>
        <v>-98</v>
      </c>
      <c r="DM209" s="1440">
        <f t="shared" ref="DM209:DQ209" si="579">SUM(DM204:DM208)</f>
        <v>-140</v>
      </c>
      <c r="DN209" s="1440">
        <f t="shared" si="579"/>
        <v>83</v>
      </c>
      <c r="DO209" s="1440">
        <f t="shared" si="579"/>
        <v>83</v>
      </c>
      <c r="DP209" s="228">
        <f t="shared" si="579"/>
        <v>-69</v>
      </c>
      <c r="DQ209" s="228">
        <f t="shared" si="579"/>
        <v>-140</v>
      </c>
      <c r="DR209" s="1440">
        <f t="shared" ref="DR209:DW209" si="580">SUM(DR204:DR208)</f>
        <v>77</v>
      </c>
      <c r="DS209" s="1440">
        <f t="shared" si="580"/>
        <v>-263</v>
      </c>
      <c r="DT209" s="1440">
        <f t="shared" si="580"/>
        <v>-263</v>
      </c>
      <c r="DU209" s="228">
        <f t="shared" si="580"/>
        <v>-72</v>
      </c>
      <c r="DV209" s="228">
        <f t="shared" si="580"/>
        <v>-144</v>
      </c>
      <c r="DW209" s="228">
        <f t="shared" si="580"/>
        <v>121</v>
      </c>
      <c r="DX209" s="1440">
        <f t="shared" ref="DX209:DY209" si="581">SUM(DX204:DX208)</f>
        <v>50</v>
      </c>
      <c r="DY209" s="1440">
        <f t="shared" si="581"/>
        <v>50</v>
      </c>
    </row>
    <row r="210" spans="1:129" ht="12.75" customHeight="1">
      <c r="A210" s="45"/>
      <c r="B210" s="45"/>
      <c r="C210" s="391"/>
      <c r="D210" s="45"/>
      <c r="E210" s="290"/>
      <c r="F210" s="260"/>
      <c r="G210" s="260"/>
      <c r="H210" s="291"/>
      <c r="I210" s="647">
        <f t="shared" si="528"/>
        <v>0</v>
      </c>
      <c r="J210" s="290"/>
      <c r="K210" s="260"/>
      <c r="L210" s="260"/>
      <c r="M210" s="291"/>
      <c r="N210" s="647">
        <f t="shared" si="529"/>
        <v>0</v>
      </c>
      <c r="O210" s="290"/>
      <c r="P210" s="260"/>
      <c r="Q210" s="260"/>
      <c r="R210" s="291"/>
      <c r="S210" s="647">
        <f t="shared" si="530"/>
        <v>0</v>
      </c>
      <c r="T210" s="290"/>
      <c r="U210" s="260"/>
      <c r="V210" s="260"/>
      <c r="W210" s="291"/>
      <c r="X210" s="647">
        <f t="shared" si="531"/>
        <v>0</v>
      </c>
      <c r="Y210" s="290"/>
      <c r="Z210" s="260"/>
      <c r="AA210" s="1441"/>
      <c r="AB210" s="1442"/>
      <c r="AC210" s="1466">
        <f t="shared" si="532"/>
        <v>0</v>
      </c>
      <c r="AD210" s="290"/>
      <c r="AE210" s="260"/>
      <c r="AF210" s="1441"/>
      <c r="AG210" s="1442"/>
      <c r="AH210" s="1466">
        <f t="shared" si="533"/>
        <v>0</v>
      </c>
      <c r="AI210" s="290"/>
      <c r="AJ210" s="260"/>
      <c r="AK210" s="1441"/>
      <c r="AL210" s="1442"/>
      <c r="AM210" s="1466">
        <f t="shared" si="534"/>
        <v>0</v>
      </c>
      <c r="AN210" s="290"/>
      <c r="AO210" s="260"/>
      <c r="AP210" s="1441"/>
      <c r="AQ210" s="1442"/>
      <c r="AR210" s="1466">
        <f t="shared" si="535"/>
        <v>0</v>
      </c>
      <c r="AS210" s="290"/>
      <c r="AT210" s="260"/>
      <c r="AU210" s="260"/>
      <c r="AV210" s="1442"/>
      <c r="AW210" s="1466">
        <f t="shared" si="537"/>
        <v>0</v>
      </c>
      <c r="AX210" s="290"/>
      <c r="AY210" s="260"/>
      <c r="AZ210" s="260"/>
      <c r="BA210" s="291"/>
      <c r="BB210" s="45"/>
      <c r="BC210" s="290"/>
      <c r="BD210" s="260"/>
      <c r="BE210" s="260"/>
      <c r="BF210" s="291"/>
      <c r="BG210" s="45"/>
      <c r="BH210" s="290"/>
      <c r="BI210" s="260"/>
      <c r="BJ210" s="260"/>
      <c r="BK210" s="291"/>
      <c r="BL210" s="45"/>
      <c r="BM210" s="290"/>
      <c r="BN210" s="260"/>
      <c r="BO210" s="260"/>
      <c r="BP210" s="291"/>
      <c r="BQ210" s="45"/>
      <c r="BR210" s="45"/>
      <c r="BS210" s="45"/>
      <c r="BT210" s="45"/>
      <c r="BU210" s="45"/>
      <c r="BV210" s="45"/>
      <c r="BW210" s="45"/>
      <c r="BX210" s="45"/>
      <c r="BY210" s="45"/>
      <c r="BZ210" s="45"/>
      <c r="CA210" s="45"/>
      <c r="CB210" s="45"/>
      <c r="CC210" s="45"/>
      <c r="CD210" s="45"/>
      <c r="CE210" s="45"/>
      <c r="CF210" s="45"/>
      <c r="CG210" s="228"/>
      <c r="CH210" s="228"/>
      <c r="CI210" s="228"/>
      <c r="CJ210" s="228"/>
      <c r="CK210" s="228"/>
      <c r="CL210" s="228"/>
      <c r="CM210" s="228"/>
      <c r="CN210" s="228"/>
      <c r="CO210" s="228"/>
      <c r="CP210" s="228"/>
      <c r="CQ210" s="228"/>
      <c r="CR210" s="228"/>
      <c r="CS210" s="228"/>
      <c r="CT210" s="228"/>
      <c r="CU210" s="228"/>
      <c r="CV210" s="228"/>
      <c r="CW210" s="228"/>
      <c r="CX210" s="228"/>
      <c r="CY210" s="228"/>
      <c r="CZ210" s="228"/>
      <c r="DA210" s="228"/>
      <c r="DB210" s="228"/>
      <c r="DC210" s="1440"/>
      <c r="DD210" s="1440"/>
      <c r="DE210" s="1440"/>
      <c r="DF210" s="228"/>
      <c r="DG210" s="228"/>
      <c r="DH210" s="1440"/>
      <c r="DI210" s="1440"/>
      <c r="DJ210" s="1440"/>
      <c r="DK210" s="228"/>
      <c r="DL210" s="228"/>
      <c r="DM210" s="1440"/>
      <c r="DN210" s="1440"/>
      <c r="DO210" s="1440"/>
      <c r="DP210" s="228"/>
      <c r="DQ210" s="228"/>
      <c r="DR210" s="1440"/>
      <c r="DS210" s="1440"/>
      <c r="DT210" s="1440"/>
      <c r="DU210" s="228"/>
      <c r="DV210" s="228"/>
      <c r="DW210" s="228"/>
      <c r="DX210" s="1440"/>
      <c r="DY210" s="1440"/>
    </row>
    <row r="211" spans="1:129" ht="12.75" customHeight="1">
      <c r="A211" s="45"/>
      <c r="B211" s="45"/>
      <c r="C211" s="389" t="s">
        <v>154</v>
      </c>
      <c r="D211" s="45"/>
      <c r="E211" s="292">
        <f>+E198+E202+E209</f>
        <v>99</v>
      </c>
      <c r="F211" s="261">
        <f>+F198+F202+F209</f>
        <v>62</v>
      </c>
      <c r="G211" s="261">
        <f>+G198+G202+G209</f>
        <v>77</v>
      </c>
      <c r="H211" s="293">
        <f>+H198+H202+H209</f>
        <v>26</v>
      </c>
      <c r="I211" s="583">
        <f t="shared" si="528"/>
        <v>264</v>
      </c>
      <c r="J211" s="292">
        <f>+J198+J202+J209</f>
        <v>-98</v>
      </c>
      <c r="K211" s="261">
        <f>+K198+K202+K209</f>
        <v>2</v>
      </c>
      <c r="L211" s="261">
        <f>+L198+L202+L209</f>
        <v>225</v>
      </c>
      <c r="M211" s="293">
        <f>+M198+M202+M209</f>
        <v>90</v>
      </c>
      <c r="N211" s="583">
        <f t="shared" si="529"/>
        <v>219</v>
      </c>
      <c r="O211" s="292">
        <f>+O198+O202+O209</f>
        <v>-273</v>
      </c>
      <c r="P211" s="261">
        <f>+P198+P202+P209</f>
        <v>70</v>
      </c>
      <c r="Q211" s="261">
        <f>+Q198+Q202+Q209</f>
        <v>199</v>
      </c>
      <c r="R211" s="293">
        <f>+R198+R202+R209</f>
        <v>-324</v>
      </c>
      <c r="S211" s="583">
        <f t="shared" si="530"/>
        <v>-328</v>
      </c>
      <c r="T211" s="292">
        <f t="shared" ref="T211" si="582">+T198+T202+T209</f>
        <v>-46</v>
      </c>
      <c r="U211" s="261">
        <f>+U198+U202+U209</f>
        <v>124</v>
      </c>
      <c r="V211" s="261">
        <f>+V198+V202+V209</f>
        <v>376</v>
      </c>
      <c r="W211" s="293">
        <f>+W198+W202+W209</f>
        <v>-286</v>
      </c>
      <c r="X211" s="583">
        <f t="shared" si="531"/>
        <v>168</v>
      </c>
      <c r="Y211" s="292">
        <f>+Y198+Y202+Y209</f>
        <v>-60</v>
      </c>
      <c r="Z211" s="261">
        <f>+Z198+Z202+Z209</f>
        <v>-246</v>
      </c>
      <c r="AA211" s="1438">
        <f>+AA198+AA202+AA209</f>
        <v>553</v>
      </c>
      <c r="AB211" s="1439">
        <f>+AB198+AB202+AB209</f>
        <v>-392</v>
      </c>
      <c r="AC211" s="1464">
        <f t="shared" si="532"/>
        <v>-145</v>
      </c>
      <c r="AD211" s="292">
        <f>+AD198+AD202+AD209</f>
        <v>-119</v>
      </c>
      <c r="AE211" s="261">
        <f>+AE198+AE202+AE209</f>
        <v>-5</v>
      </c>
      <c r="AF211" s="1438">
        <f>+AF198+AF202+AF209</f>
        <v>253</v>
      </c>
      <c r="AG211" s="1439">
        <f>+AG198+AG202+AG209</f>
        <v>-316</v>
      </c>
      <c r="AH211" s="1464">
        <f t="shared" si="533"/>
        <v>-187</v>
      </c>
      <c r="AI211" s="292">
        <f>+AI198+AI202+AI209</f>
        <v>8</v>
      </c>
      <c r="AJ211" s="261">
        <f>+AJ198+AJ202+AJ209</f>
        <v>-12</v>
      </c>
      <c r="AK211" s="1438">
        <f>+AK198+AK202+AK209</f>
        <v>6</v>
      </c>
      <c r="AL211" s="1439">
        <f>+AL198+AL202+AL209</f>
        <v>263</v>
      </c>
      <c r="AM211" s="1464">
        <f t="shared" si="534"/>
        <v>265</v>
      </c>
      <c r="AN211" s="292">
        <f>+AN198+AN202+AN209</f>
        <v>-282</v>
      </c>
      <c r="AO211" s="261">
        <f>+AO198+AO202+AO209</f>
        <v>190</v>
      </c>
      <c r="AP211" s="1438">
        <f>+AP198+AP202+AP209</f>
        <v>313</v>
      </c>
      <c r="AQ211" s="1439">
        <f>+AQ198+AQ202+AQ209</f>
        <v>-453</v>
      </c>
      <c r="AR211" s="1464">
        <f t="shared" si="535"/>
        <v>-232</v>
      </c>
      <c r="AS211" s="292">
        <f>+AS198+AS202+AS209</f>
        <v>-35</v>
      </c>
      <c r="AT211" s="261">
        <f>+AT198+AT202+AT209</f>
        <v>17</v>
      </c>
      <c r="AU211" s="261">
        <f t="shared" ref="AU211" si="583">+AU198+AU202+AU209</f>
        <v>285</v>
      </c>
      <c r="AV211" s="1439">
        <f>+AV198+AV202+AV209</f>
        <v>-59</v>
      </c>
      <c r="AW211" s="1464">
        <f t="shared" si="537"/>
        <v>208</v>
      </c>
      <c r="AX211" s="292">
        <f t="shared" ref="AX211:BB211" ca="1" si="584">+AX198+AX202+AX209</f>
        <v>-549.87773665215025</v>
      </c>
      <c r="AY211" s="261">
        <f t="shared" ca="1" si="584"/>
        <v>-94.017603199551871</v>
      </c>
      <c r="AZ211" s="261">
        <f t="shared" ca="1" si="584"/>
        <v>497.13720742093426</v>
      </c>
      <c r="BA211" s="293">
        <f t="shared" ca="1" si="584"/>
        <v>-82.648122918666502</v>
      </c>
      <c r="BB211" s="228">
        <f t="shared" ca="1" si="584"/>
        <v>-229.40625534943445</v>
      </c>
      <c r="BC211" s="292">
        <f t="shared" ref="BC211:BL211" ca="1" si="585">+BC198+BC202+BC209</f>
        <v>-31.708245961502655</v>
      </c>
      <c r="BD211" s="261">
        <f t="shared" ca="1" si="585"/>
        <v>-79.61540688303478</v>
      </c>
      <c r="BE211" s="261">
        <f t="shared" ca="1" si="585"/>
        <v>173.11440931212374</v>
      </c>
      <c r="BF211" s="293">
        <f t="shared" ca="1" si="585"/>
        <v>-65.947510376152195</v>
      </c>
      <c r="BG211" s="228">
        <f t="shared" ca="1" si="585"/>
        <v>-4.1567539085658609</v>
      </c>
      <c r="BH211" s="292">
        <f t="shared" ca="1" si="585"/>
        <v>-10.272578925113891</v>
      </c>
      <c r="BI211" s="261">
        <f t="shared" ca="1" si="585"/>
        <v>-58.487875976879621</v>
      </c>
      <c r="BJ211" s="261">
        <f t="shared" ca="1" si="585"/>
        <v>109.58165086881712</v>
      </c>
      <c r="BK211" s="293">
        <f t="shared" ca="1" si="585"/>
        <v>-44.063869797776022</v>
      </c>
      <c r="BL211" s="228">
        <f t="shared" ca="1" si="585"/>
        <v>-3.2426738309524126</v>
      </c>
      <c r="BM211" s="292">
        <f t="shared" ref="BM211:BQ211" ca="1" si="586">+BM198+BM202+BM209</f>
        <v>-5.4256793968792465</v>
      </c>
      <c r="BN211" s="261">
        <f t="shared" ca="1" si="586"/>
        <v>-54.102919415206827</v>
      </c>
      <c r="BO211" s="261">
        <f t="shared" ca="1" si="586"/>
        <v>103.74325677103036</v>
      </c>
      <c r="BP211" s="293">
        <f t="shared" ca="1" si="586"/>
        <v>-39.498263384281472</v>
      </c>
      <c r="BQ211" s="228">
        <f t="shared" ca="1" si="586"/>
        <v>4.716394574662786</v>
      </c>
      <c r="BR211" s="45"/>
      <c r="BS211" s="45"/>
      <c r="BT211" s="45"/>
      <c r="BU211" s="45"/>
      <c r="BV211" s="45"/>
      <c r="BW211" s="45"/>
      <c r="BX211" s="45"/>
      <c r="BY211" s="45"/>
      <c r="BZ211" s="45"/>
      <c r="CA211" s="45"/>
      <c r="CB211" s="45"/>
      <c r="CC211" s="45"/>
      <c r="CD211" s="45"/>
      <c r="CE211" s="45"/>
      <c r="CF211" s="45"/>
      <c r="CG211" s="779">
        <f t="shared" ref="CG211:CV211" si="587">CG198+CG202+CG209</f>
        <v>99</v>
      </c>
      <c r="CH211" s="228">
        <f t="shared" si="587"/>
        <v>161</v>
      </c>
      <c r="CI211" s="228">
        <f t="shared" si="587"/>
        <v>238</v>
      </c>
      <c r="CJ211" s="228">
        <f t="shared" si="587"/>
        <v>264</v>
      </c>
      <c r="CK211" s="228">
        <f t="shared" si="587"/>
        <v>264</v>
      </c>
      <c r="CL211" s="228">
        <f t="shared" si="587"/>
        <v>-98</v>
      </c>
      <c r="CM211" s="228">
        <f t="shared" si="587"/>
        <v>-96</v>
      </c>
      <c r="CN211" s="228">
        <f t="shared" si="587"/>
        <v>129</v>
      </c>
      <c r="CO211" s="228">
        <f t="shared" si="587"/>
        <v>219</v>
      </c>
      <c r="CP211" s="228">
        <f t="shared" si="587"/>
        <v>219</v>
      </c>
      <c r="CQ211" s="228">
        <f t="shared" si="587"/>
        <v>-273</v>
      </c>
      <c r="CR211" s="228">
        <f t="shared" si="587"/>
        <v>-203</v>
      </c>
      <c r="CS211" s="228">
        <f t="shared" si="587"/>
        <v>-4</v>
      </c>
      <c r="CT211" s="228">
        <f t="shared" si="587"/>
        <v>-328</v>
      </c>
      <c r="CU211" s="228">
        <f t="shared" si="587"/>
        <v>-328</v>
      </c>
      <c r="CV211" s="228">
        <f t="shared" si="587"/>
        <v>-46</v>
      </c>
      <c r="CW211" s="228">
        <f t="shared" ref="CW211:DB211" si="588">CW198+CW202+CW209</f>
        <v>78</v>
      </c>
      <c r="CX211" s="228">
        <f t="shared" si="588"/>
        <v>454</v>
      </c>
      <c r="CY211" s="228">
        <f t="shared" si="588"/>
        <v>168</v>
      </c>
      <c r="CZ211" s="228">
        <f t="shared" si="588"/>
        <v>168</v>
      </c>
      <c r="DA211" s="228">
        <f t="shared" si="588"/>
        <v>-60</v>
      </c>
      <c r="DB211" s="228">
        <f t="shared" si="588"/>
        <v>-306</v>
      </c>
      <c r="DC211" s="1440">
        <f t="shared" ref="DC211:DJ211" si="589">DC198+DC202+DC209</f>
        <v>247</v>
      </c>
      <c r="DD211" s="1440">
        <f t="shared" si="589"/>
        <v>-145</v>
      </c>
      <c r="DE211" s="1440">
        <f t="shared" si="589"/>
        <v>-145</v>
      </c>
      <c r="DF211" s="228">
        <f t="shared" si="589"/>
        <v>-119</v>
      </c>
      <c r="DG211" s="228">
        <f t="shared" si="589"/>
        <v>-124</v>
      </c>
      <c r="DH211" s="1440">
        <f t="shared" si="589"/>
        <v>129</v>
      </c>
      <c r="DI211" s="1440">
        <f t="shared" si="589"/>
        <v>-187</v>
      </c>
      <c r="DJ211" s="1440">
        <f t="shared" si="589"/>
        <v>-187</v>
      </c>
      <c r="DK211" s="228">
        <f t="shared" ref="DK211:DO211" si="590">DK198+DK202+DK209</f>
        <v>8</v>
      </c>
      <c r="DL211" s="228">
        <f t="shared" si="590"/>
        <v>-4</v>
      </c>
      <c r="DM211" s="1440">
        <f t="shared" si="590"/>
        <v>2</v>
      </c>
      <c r="DN211" s="1440">
        <f t="shared" si="590"/>
        <v>265</v>
      </c>
      <c r="DO211" s="1440">
        <f t="shared" si="590"/>
        <v>265</v>
      </c>
      <c r="DP211" s="228">
        <f t="shared" ref="DP211:DT211" si="591">DP198+DP202+DP209</f>
        <v>-282</v>
      </c>
      <c r="DQ211" s="228">
        <f t="shared" si="591"/>
        <v>-92</v>
      </c>
      <c r="DR211" s="1440">
        <f t="shared" si="591"/>
        <v>221</v>
      </c>
      <c r="DS211" s="1440">
        <f t="shared" si="591"/>
        <v>-232</v>
      </c>
      <c r="DT211" s="1440">
        <f t="shared" si="591"/>
        <v>-232</v>
      </c>
      <c r="DU211" s="228">
        <f t="shared" ref="DU211:DV211" si="592">DU198+DU202+DU209</f>
        <v>-35</v>
      </c>
      <c r="DV211" s="228">
        <f t="shared" si="592"/>
        <v>-18</v>
      </c>
      <c r="DW211" s="228">
        <f t="shared" ref="DW211:DY211" si="593">DW198+DW202+DW209</f>
        <v>267</v>
      </c>
      <c r="DX211" s="1440">
        <f t="shared" si="593"/>
        <v>208</v>
      </c>
      <c r="DY211" s="1440">
        <f t="shared" si="593"/>
        <v>208</v>
      </c>
    </row>
    <row r="212" spans="1:129" ht="12.75" customHeight="1">
      <c r="A212" s="45"/>
      <c r="B212" s="45"/>
      <c r="C212" s="391" t="s">
        <v>155</v>
      </c>
      <c r="D212" s="45"/>
      <c r="E212" s="335">
        <f>+CG212</f>
        <v>39</v>
      </c>
      <c r="F212" s="260">
        <f>+E214</f>
        <v>138</v>
      </c>
      <c r="G212" s="260">
        <f>+F214</f>
        <v>200</v>
      </c>
      <c r="H212" s="291">
        <f>+G214</f>
        <v>277</v>
      </c>
      <c r="I212" s="45">
        <f>+E212</f>
        <v>39</v>
      </c>
      <c r="J212" s="290">
        <f>+I214</f>
        <v>303</v>
      </c>
      <c r="K212" s="260">
        <f>+J214</f>
        <v>205</v>
      </c>
      <c r="L212" s="260">
        <f>+K214</f>
        <v>207</v>
      </c>
      <c r="M212" s="291">
        <f>+L214</f>
        <v>432</v>
      </c>
      <c r="N212" s="45">
        <f>+J212</f>
        <v>303</v>
      </c>
      <c r="O212" s="290">
        <f>+N214</f>
        <v>522</v>
      </c>
      <c r="P212" s="260">
        <f>+O214</f>
        <v>249</v>
      </c>
      <c r="Q212" s="260">
        <f>+P214</f>
        <v>319</v>
      </c>
      <c r="R212" s="291">
        <f>+Q214</f>
        <v>518</v>
      </c>
      <c r="S212" s="45">
        <f>+O212</f>
        <v>522</v>
      </c>
      <c r="T212" s="290">
        <f>+S214</f>
        <v>194</v>
      </c>
      <c r="U212" s="260">
        <f>+T214</f>
        <v>148</v>
      </c>
      <c r="V212" s="260">
        <f>+U214</f>
        <v>272</v>
      </c>
      <c r="W212" s="291">
        <f>+V214</f>
        <v>648</v>
      </c>
      <c r="X212" s="45">
        <f>+T212</f>
        <v>194</v>
      </c>
      <c r="Y212" s="290">
        <f>+X214</f>
        <v>362</v>
      </c>
      <c r="Z212" s="260">
        <f>+Y214</f>
        <v>302</v>
      </c>
      <c r="AA212" s="1441">
        <f>+Z214</f>
        <v>56</v>
      </c>
      <c r="AB212" s="1442">
        <f>+AA214</f>
        <v>609</v>
      </c>
      <c r="AC212" s="1443">
        <f>+Y212</f>
        <v>362</v>
      </c>
      <c r="AD212" s="290">
        <f>+AC214</f>
        <v>217</v>
      </c>
      <c r="AE212" s="260">
        <f>+AD214</f>
        <v>98</v>
      </c>
      <c r="AF212" s="1441">
        <f>+AE214</f>
        <v>93</v>
      </c>
      <c r="AG212" s="1442">
        <f>+AF214</f>
        <v>346</v>
      </c>
      <c r="AH212" s="1443">
        <f>+AD212</f>
        <v>217</v>
      </c>
      <c r="AI212" s="290">
        <f>+AH214</f>
        <v>30</v>
      </c>
      <c r="AJ212" s="260">
        <f>+AI214</f>
        <v>38</v>
      </c>
      <c r="AK212" s="1441">
        <f>+AJ214</f>
        <v>26</v>
      </c>
      <c r="AL212" s="1442">
        <f>+AK214</f>
        <v>32</v>
      </c>
      <c r="AM212" s="1443">
        <f>+AI212</f>
        <v>30</v>
      </c>
      <c r="AN212" s="290">
        <f>+AM214</f>
        <v>295</v>
      </c>
      <c r="AO212" s="260">
        <f>+AN214</f>
        <v>13</v>
      </c>
      <c r="AP212" s="1441">
        <f>+AO214</f>
        <v>203</v>
      </c>
      <c r="AQ212" s="1442">
        <f>+AP214</f>
        <v>516</v>
      </c>
      <c r="AR212" s="1443">
        <f>+AN212</f>
        <v>295</v>
      </c>
      <c r="AS212" s="290">
        <f>+AR214</f>
        <v>63</v>
      </c>
      <c r="AT212" s="260">
        <f>+AS214</f>
        <v>28</v>
      </c>
      <c r="AU212" s="260">
        <f t="shared" ref="AU212" si="594">+AT214</f>
        <v>45</v>
      </c>
      <c r="AV212" s="1442">
        <f>+AU214</f>
        <v>330</v>
      </c>
      <c r="AW212" s="1443">
        <f>+AS212</f>
        <v>63</v>
      </c>
      <c r="AX212" s="290">
        <f>+AW214</f>
        <v>271</v>
      </c>
      <c r="AY212" s="260">
        <f ca="1">+AX214</f>
        <v>0</v>
      </c>
      <c r="AZ212" s="260">
        <f ca="1">+AY214</f>
        <v>0</v>
      </c>
      <c r="BA212" s="291">
        <f ca="1">+AZ214</f>
        <v>124.24186756923211</v>
      </c>
      <c r="BB212" s="45">
        <f>+AW214</f>
        <v>271</v>
      </c>
      <c r="BC212" s="290">
        <f ca="1">+BB214</f>
        <v>41.593744650565554</v>
      </c>
      <c r="BD212" s="260">
        <f ca="1">+BC214</f>
        <v>9.8854986890628993</v>
      </c>
      <c r="BE212" s="260">
        <f ca="1">+BD214</f>
        <v>0</v>
      </c>
      <c r="BF212" s="291">
        <f ca="1">+BE214</f>
        <v>103.38450111815186</v>
      </c>
      <c r="BG212" s="45">
        <f ca="1">+BB214</f>
        <v>41.593744650565554</v>
      </c>
      <c r="BH212" s="290">
        <f ca="1">+BG214</f>
        <v>37.436990741999693</v>
      </c>
      <c r="BI212" s="260">
        <f ca="1">+BH214</f>
        <v>27.164411816885803</v>
      </c>
      <c r="BJ212" s="260">
        <f ca="1">+BI214</f>
        <v>0</v>
      </c>
      <c r="BK212" s="291">
        <f ca="1">+BJ214</f>
        <v>78.258186708823303</v>
      </c>
      <c r="BL212" s="45">
        <f ca="1">+BG214</f>
        <v>37.436990741999693</v>
      </c>
      <c r="BM212" s="290">
        <f ca="1">+BL214</f>
        <v>34.194316911047281</v>
      </c>
      <c r="BN212" s="260">
        <f ca="1">+BM214</f>
        <v>28.768637514168034</v>
      </c>
      <c r="BO212" s="260">
        <f ca="1">+BN214</f>
        <v>0</v>
      </c>
      <c r="BP212" s="291">
        <f ca="1">+BO214</f>
        <v>78.408974869991567</v>
      </c>
      <c r="BQ212" s="45">
        <f ca="1">+BL214</f>
        <v>34.194316911047281</v>
      </c>
      <c r="BR212" s="45"/>
      <c r="BS212" s="45"/>
      <c r="BT212" s="45"/>
      <c r="BU212" s="45"/>
      <c r="BV212" s="45"/>
      <c r="BW212" s="45"/>
      <c r="BX212" s="45"/>
      <c r="BY212" s="45"/>
      <c r="BZ212" s="45"/>
      <c r="CA212" s="45"/>
      <c r="CB212" s="45"/>
      <c r="CC212" s="45"/>
      <c r="CD212" s="45"/>
      <c r="CE212" s="45"/>
      <c r="CF212" s="45"/>
      <c r="CG212" s="427">
        <v>39</v>
      </c>
      <c r="CH212" s="45">
        <f>+CG212</f>
        <v>39</v>
      </c>
      <c r="CI212" s="45">
        <f>+CH212</f>
        <v>39</v>
      </c>
      <c r="CJ212" s="45">
        <f>CG212</f>
        <v>39</v>
      </c>
      <c r="CK212" s="45">
        <f>+CG212</f>
        <v>39</v>
      </c>
      <c r="CL212" s="45">
        <f>+CK214</f>
        <v>303</v>
      </c>
      <c r="CM212" s="45">
        <f>+CL212</f>
        <v>303</v>
      </c>
      <c r="CN212" s="45">
        <f>+CM212</f>
        <v>303</v>
      </c>
      <c r="CO212" s="45">
        <f>CL212</f>
        <v>303</v>
      </c>
      <c r="CP212" s="45">
        <f>+CL212</f>
        <v>303</v>
      </c>
      <c r="CQ212" s="45">
        <f>+CP214</f>
        <v>522</v>
      </c>
      <c r="CR212" s="45">
        <f>+CQ212</f>
        <v>522</v>
      </c>
      <c r="CS212" s="45">
        <f>+CR212</f>
        <v>522</v>
      </c>
      <c r="CT212" s="45">
        <f>CQ212</f>
        <v>522</v>
      </c>
      <c r="CU212" s="45">
        <f>+CQ212</f>
        <v>522</v>
      </c>
      <c r="CV212" s="45">
        <f>+CU214</f>
        <v>194</v>
      </c>
      <c r="CW212" s="45">
        <f>CV212</f>
        <v>194</v>
      </c>
      <c r="CX212" s="45">
        <f>CW212</f>
        <v>194</v>
      </c>
      <c r="CY212" s="45">
        <f>CV212</f>
        <v>194</v>
      </c>
      <c r="CZ212" s="45">
        <f>+CV212</f>
        <v>194</v>
      </c>
      <c r="DA212" s="45">
        <f>+CZ214</f>
        <v>362</v>
      </c>
      <c r="DB212" s="45">
        <f>DA212</f>
        <v>362</v>
      </c>
      <c r="DC212" s="1443">
        <f>DB212</f>
        <v>362</v>
      </c>
      <c r="DD212" s="1443">
        <f>DA212</f>
        <v>362</v>
      </c>
      <c r="DE212" s="1443">
        <f>+DA212</f>
        <v>362</v>
      </c>
      <c r="DF212" s="45">
        <f>+DE214</f>
        <v>217</v>
      </c>
      <c r="DG212" s="45">
        <f>DF212</f>
        <v>217</v>
      </c>
      <c r="DH212" s="1443">
        <f>DG212</f>
        <v>217</v>
      </c>
      <c r="DI212" s="1443">
        <f>DF212</f>
        <v>217</v>
      </c>
      <c r="DJ212" s="1443">
        <f>+DF212</f>
        <v>217</v>
      </c>
      <c r="DK212" s="45">
        <f>+DJ214</f>
        <v>30</v>
      </c>
      <c r="DL212" s="45">
        <f>DK212</f>
        <v>30</v>
      </c>
      <c r="DM212" s="1443">
        <f>DL212</f>
        <v>30</v>
      </c>
      <c r="DN212" s="1443">
        <f>DK212</f>
        <v>30</v>
      </c>
      <c r="DO212" s="1443">
        <f>+DK212</f>
        <v>30</v>
      </c>
      <c r="DP212" s="45">
        <f>+DO214</f>
        <v>295</v>
      </c>
      <c r="DQ212" s="45">
        <f>DP212</f>
        <v>295</v>
      </c>
      <c r="DR212" s="1443">
        <f>DQ212</f>
        <v>295</v>
      </c>
      <c r="DS212" s="1443">
        <f>DP212</f>
        <v>295</v>
      </c>
      <c r="DT212" s="1443">
        <f>+DP212</f>
        <v>295</v>
      </c>
      <c r="DU212" s="45">
        <f>+DT214</f>
        <v>63</v>
      </c>
      <c r="DV212" s="45">
        <f>DU212</f>
        <v>63</v>
      </c>
      <c r="DW212" s="45">
        <f t="shared" ref="DW212" si="595">DV212</f>
        <v>63</v>
      </c>
      <c r="DX212" s="1443">
        <f>DU212</f>
        <v>63</v>
      </c>
      <c r="DY212" s="1443">
        <f>+DU212</f>
        <v>63</v>
      </c>
    </row>
    <row r="213" spans="1:129" ht="12.75" customHeight="1">
      <c r="A213" s="45"/>
      <c r="B213" s="45"/>
      <c r="C213" s="391" t="s">
        <v>151</v>
      </c>
      <c r="D213" s="45"/>
      <c r="E213" s="306">
        <v>0</v>
      </c>
      <c r="F213" s="266">
        <v>0</v>
      </c>
      <c r="G213" s="266">
        <v>0</v>
      </c>
      <c r="H213" s="307">
        <v>0</v>
      </c>
      <c r="I213" s="647">
        <f>SUM(E213:H213)</f>
        <v>0</v>
      </c>
      <c r="J213" s="306">
        <v>0</v>
      </c>
      <c r="K213" s="266">
        <v>0</v>
      </c>
      <c r="L213" s="266">
        <v>0</v>
      </c>
      <c r="M213" s="307">
        <v>0</v>
      </c>
      <c r="N213" s="647">
        <f>SUM(J213:M213)</f>
        <v>0</v>
      </c>
      <c r="O213" s="306">
        <v>0</v>
      </c>
      <c r="P213" s="266">
        <v>0</v>
      </c>
      <c r="Q213" s="266">
        <v>0</v>
      </c>
      <c r="R213" s="307">
        <v>0</v>
      </c>
      <c r="S213" s="647">
        <f>SUM(O213:R213)</f>
        <v>0</v>
      </c>
      <c r="T213" s="306">
        <v>0</v>
      </c>
      <c r="U213" s="266">
        <v>0</v>
      </c>
      <c r="V213" s="266">
        <v>0</v>
      </c>
      <c r="W213" s="307">
        <v>0</v>
      </c>
      <c r="X213" s="647">
        <f>SUM(T213:W213)</f>
        <v>0</v>
      </c>
      <c r="Y213" s="306">
        <v>0</v>
      </c>
      <c r="Z213" s="266">
        <v>0</v>
      </c>
      <c r="AA213" s="1444">
        <v>0</v>
      </c>
      <c r="AB213" s="1445">
        <v>0</v>
      </c>
      <c r="AC213" s="1466">
        <f>SUM(Y213:AB213)</f>
        <v>0</v>
      </c>
      <c r="AD213" s="306">
        <v>0</v>
      </c>
      <c r="AE213" s="266">
        <v>0</v>
      </c>
      <c r="AF213" s="1444">
        <v>0</v>
      </c>
      <c r="AG213" s="1445">
        <v>0</v>
      </c>
      <c r="AH213" s="1466">
        <f>SUM(AD213:AG213)</f>
        <v>0</v>
      </c>
      <c r="AI213" s="306">
        <v>0</v>
      </c>
      <c r="AJ213" s="266">
        <v>0</v>
      </c>
      <c r="AK213" s="1444">
        <v>0</v>
      </c>
      <c r="AL213" s="1445">
        <v>0</v>
      </c>
      <c r="AM213" s="1466">
        <f>SUM(AI213:AL213)</f>
        <v>0</v>
      </c>
      <c r="AN213" s="306">
        <v>0</v>
      </c>
      <c r="AO213" s="266">
        <v>0</v>
      </c>
      <c r="AP213" s="1444">
        <v>0</v>
      </c>
      <c r="AQ213" s="1445">
        <v>0</v>
      </c>
      <c r="AR213" s="1466">
        <f>SUM(AN213:AQ213)</f>
        <v>0</v>
      </c>
      <c r="AS213" s="306">
        <v>0</v>
      </c>
      <c r="AT213" s="266">
        <v>0</v>
      </c>
      <c r="AU213" s="266">
        <v>0</v>
      </c>
      <c r="AV213" s="1445">
        <v>0</v>
      </c>
      <c r="AW213" s="1466">
        <f>SUM(AS213:AV213)</f>
        <v>0</v>
      </c>
      <c r="AX213" s="290">
        <f ca="1">IF((AX211+AX212)&gt;=AW220,-AW220,-(AX211+AX212))</f>
        <v>278.87773665215025</v>
      </c>
      <c r="AY213" s="260">
        <f ca="1">IF((AY211+AY212)&gt;=AX220,-AX220,-(AY211+AY212))</f>
        <v>94.017603199551871</v>
      </c>
      <c r="AZ213" s="260">
        <f ca="1">IF((AZ211+AZ212)&gt;=AY220,-AY220,-(AZ211+AZ212))</f>
        <v>-372.89533985170215</v>
      </c>
      <c r="BA213" s="291">
        <f ca="1">IF((BA211+BA212)&gt;=AZ220,-AZ220,-(BA211+BA212))</f>
        <v>0</v>
      </c>
      <c r="BB213" s="45">
        <f ca="1">SUM(AX213:BA213)</f>
        <v>0</v>
      </c>
      <c r="BC213" s="290">
        <f ca="1">IF((BC211+BC212)&gt;=BB220,-BB220,-(BC211+BC212))</f>
        <v>0</v>
      </c>
      <c r="BD213" s="260">
        <f ca="1">IF((BD211+BD212)&gt;=BC220,-BC220,-(BD211+BD212))</f>
        <v>69.72990819397188</v>
      </c>
      <c r="BE213" s="260">
        <f ca="1">IF((BE211+BE212)&gt;=BD220,-BD220,-(BE211+BE212))</f>
        <v>-69.72990819397188</v>
      </c>
      <c r="BF213" s="291">
        <f ca="1">IF((BF211+BF212)&gt;=BE220,-BE220,-(BF211+BF212))</f>
        <v>0</v>
      </c>
      <c r="BG213" s="45">
        <f ca="1">SUM(BC213:BF213)</f>
        <v>0</v>
      </c>
      <c r="BH213" s="290">
        <f ca="1">IF((BH211+BH212)&gt;=BG220,-BG220,-(BH211+BH212))</f>
        <v>0</v>
      </c>
      <c r="BI213" s="260">
        <f ca="1">IF((BI211+BI212)&gt;=BH220,-BH220,-(BI211+BI212))</f>
        <v>31.323464159993819</v>
      </c>
      <c r="BJ213" s="260">
        <f ca="1">IF((BJ211+BJ212)&gt;=BI220,-BI220,-(BJ211+BJ212))</f>
        <v>-31.323464159993819</v>
      </c>
      <c r="BK213" s="291">
        <f ca="1">IF((BK211+BK212)&gt;=BJ220,-BJ220,-(BK211+BK212))</f>
        <v>0</v>
      </c>
      <c r="BL213" s="45">
        <f ca="1">SUM(BH213:BK213)</f>
        <v>0</v>
      </c>
      <c r="BM213" s="290">
        <f ca="1">IF((BM211+BM212)&gt;=BL220,-BL220,-(BM211+BM212))</f>
        <v>0</v>
      </c>
      <c r="BN213" s="260">
        <f ca="1">IF((BN211+BN212)&gt;=BM220,-BM220,-(BN211+BN212))</f>
        <v>25.334281901038793</v>
      </c>
      <c r="BO213" s="260">
        <f ca="1">IF((BO211+BO212)&gt;=BN220,-BN220,-(BO211+BO212))</f>
        <v>-25.334281901038793</v>
      </c>
      <c r="BP213" s="291">
        <f ca="1">IF((BP211+BP212)&gt;=BO220,-BO220,-(BP211+BP212))</f>
        <v>0</v>
      </c>
      <c r="BQ213" s="45">
        <f ca="1">SUM(BM213:BP213)</f>
        <v>0</v>
      </c>
      <c r="BR213" s="45"/>
      <c r="BS213" s="45"/>
      <c r="BT213" s="45"/>
      <c r="BU213" s="45"/>
      <c r="BV213" s="45"/>
      <c r="BW213" s="45"/>
      <c r="BX213" s="45"/>
      <c r="BY213" s="45"/>
      <c r="BZ213" s="45"/>
      <c r="CA213" s="45"/>
      <c r="CB213" s="45"/>
      <c r="CC213" s="45"/>
      <c r="CD213" s="45"/>
      <c r="CE213" s="45"/>
      <c r="CF213" s="45"/>
      <c r="CG213" s="45"/>
      <c r="CH213" s="45"/>
      <c r="CI213" s="45"/>
      <c r="CJ213" s="45"/>
      <c r="CK213" s="45"/>
      <c r="CL213" s="45"/>
      <c r="CM213" s="45"/>
      <c r="CN213" s="45"/>
      <c r="CO213" s="45"/>
      <c r="CP213" s="45"/>
      <c r="CQ213" s="45"/>
      <c r="CR213" s="45"/>
      <c r="CS213" s="45"/>
      <c r="CT213" s="45"/>
      <c r="CU213" s="45"/>
      <c r="CV213" s="45"/>
      <c r="CW213" s="45"/>
      <c r="CX213" s="45"/>
      <c r="CY213" s="45"/>
      <c r="CZ213" s="45"/>
      <c r="DA213" s="45"/>
      <c r="DB213" s="45"/>
      <c r="DC213" s="1443"/>
      <c r="DD213" s="1443"/>
      <c r="DE213" s="1443"/>
      <c r="DF213" s="45"/>
      <c r="DG213" s="45"/>
      <c r="DH213" s="1443"/>
      <c r="DI213" s="1443"/>
      <c r="DJ213" s="1443"/>
      <c r="DK213" s="45"/>
      <c r="DL213" s="45"/>
      <c r="DM213" s="1443"/>
      <c r="DN213" s="1443"/>
      <c r="DO213" s="1443"/>
      <c r="DP213" s="45"/>
      <c r="DQ213" s="45"/>
      <c r="DR213" s="1443"/>
      <c r="DS213" s="1443"/>
      <c r="DT213" s="1443"/>
      <c r="DU213" s="45"/>
      <c r="DV213" s="45"/>
      <c r="DW213" s="45"/>
      <c r="DX213" s="1443"/>
      <c r="DY213" s="1443"/>
    </row>
    <row r="214" spans="1:129" ht="12.75" customHeight="1">
      <c r="A214" s="45"/>
      <c r="B214" s="45"/>
      <c r="C214" s="389" t="s">
        <v>221</v>
      </c>
      <c r="D214" s="45"/>
      <c r="E214" s="292">
        <f t="shared" ref="E214:AD214" si="596">E213+E212+E211</f>
        <v>138</v>
      </c>
      <c r="F214" s="261">
        <f t="shared" si="596"/>
        <v>200</v>
      </c>
      <c r="G214" s="261">
        <f t="shared" si="596"/>
        <v>277</v>
      </c>
      <c r="H214" s="293">
        <f t="shared" si="596"/>
        <v>303</v>
      </c>
      <c r="I214" s="583">
        <f t="shared" si="596"/>
        <v>303</v>
      </c>
      <c r="J214" s="292">
        <f t="shared" si="596"/>
        <v>205</v>
      </c>
      <c r="K214" s="261">
        <f t="shared" si="596"/>
        <v>207</v>
      </c>
      <c r="L214" s="261">
        <f t="shared" si="596"/>
        <v>432</v>
      </c>
      <c r="M214" s="293">
        <f t="shared" si="596"/>
        <v>522</v>
      </c>
      <c r="N214" s="583">
        <f t="shared" si="596"/>
        <v>522</v>
      </c>
      <c r="O214" s="292">
        <f t="shared" si="596"/>
        <v>249</v>
      </c>
      <c r="P214" s="261">
        <f>P213+P212+P211</f>
        <v>319</v>
      </c>
      <c r="Q214" s="261">
        <f>Q213+Q212+Q211</f>
        <v>518</v>
      </c>
      <c r="R214" s="293">
        <f>R213+R212+R211</f>
        <v>194</v>
      </c>
      <c r="S214" s="583">
        <f>S213+S212+S211</f>
        <v>194</v>
      </c>
      <c r="T214" s="292">
        <f t="shared" si="596"/>
        <v>148</v>
      </c>
      <c r="U214" s="261">
        <f>U213+U212+U211</f>
        <v>272</v>
      </c>
      <c r="V214" s="261">
        <f>V213+V212+V211</f>
        <v>648</v>
      </c>
      <c r="W214" s="293">
        <f>W213+W212+W211</f>
        <v>362</v>
      </c>
      <c r="X214" s="583">
        <f>X213+X212+X211</f>
        <v>362</v>
      </c>
      <c r="Y214" s="292">
        <f t="shared" si="596"/>
        <v>302</v>
      </c>
      <c r="Z214" s="261">
        <f>Z213+Z212+Z211</f>
        <v>56</v>
      </c>
      <c r="AA214" s="1438">
        <f>AA213+AA212+AA211</f>
        <v>609</v>
      </c>
      <c r="AB214" s="1439">
        <f>AB213+AB212+AB211</f>
        <v>217</v>
      </c>
      <c r="AC214" s="1464">
        <f>AC213+AC212+AC211</f>
        <v>217</v>
      </c>
      <c r="AD214" s="292">
        <f t="shared" si="596"/>
        <v>98</v>
      </c>
      <c r="AE214" s="261">
        <f>AE213+AE212+AE211</f>
        <v>93</v>
      </c>
      <c r="AF214" s="1438">
        <f>AF213+AF212+AF211</f>
        <v>346</v>
      </c>
      <c r="AG214" s="1439">
        <f>AG213+AG212+AG211</f>
        <v>30</v>
      </c>
      <c r="AH214" s="1464">
        <f>AH213+AH212+AH211</f>
        <v>30</v>
      </c>
      <c r="AI214" s="292">
        <f t="shared" ref="AI214" si="597">AI213+AI212+AI211</f>
        <v>38</v>
      </c>
      <c r="AJ214" s="261">
        <f>AJ213+AJ212+AJ211</f>
        <v>26</v>
      </c>
      <c r="AK214" s="1438">
        <f>AK213+AK212+AK211</f>
        <v>32</v>
      </c>
      <c r="AL214" s="1439">
        <f>AL213+AL212+AL211</f>
        <v>295</v>
      </c>
      <c r="AM214" s="1464">
        <f>AM213+AM212+AM211</f>
        <v>295</v>
      </c>
      <c r="AN214" s="292">
        <f t="shared" ref="AN214" si="598">AN213+AN212+AN211</f>
        <v>13</v>
      </c>
      <c r="AO214" s="261">
        <f>AO213+AO212+AO211</f>
        <v>203</v>
      </c>
      <c r="AP214" s="1438">
        <f>AP213+AP212+AP211</f>
        <v>516</v>
      </c>
      <c r="AQ214" s="1439">
        <f>AQ213+AQ212+AQ211</f>
        <v>63</v>
      </c>
      <c r="AR214" s="1464">
        <f>AR213+AR212+AR211</f>
        <v>63</v>
      </c>
      <c r="AS214" s="292">
        <f t="shared" ref="AS214" si="599">AS213+AS212+AS211</f>
        <v>28</v>
      </c>
      <c r="AT214" s="261">
        <f>AT213+AT212+AT211</f>
        <v>45</v>
      </c>
      <c r="AU214" s="261">
        <f t="shared" ref="AU214" si="600">AU213+AU212+AU211</f>
        <v>330</v>
      </c>
      <c r="AV214" s="1439">
        <f>AV213+AV212+AV211</f>
        <v>271</v>
      </c>
      <c r="AW214" s="1464">
        <f>AW213+AW212+AW211</f>
        <v>271</v>
      </c>
      <c r="AX214" s="292">
        <f t="shared" ref="AX214:BB214" ca="1" si="601">AX213+AX212+AX211</f>
        <v>0</v>
      </c>
      <c r="AY214" s="261">
        <f t="shared" ca="1" si="601"/>
        <v>0</v>
      </c>
      <c r="AZ214" s="261">
        <f t="shared" ca="1" si="601"/>
        <v>124.24186756923211</v>
      </c>
      <c r="BA214" s="293">
        <f t="shared" ca="1" si="601"/>
        <v>41.593744650565611</v>
      </c>
      <c r="BB214" s="228">
        <f t="shared" ca="1" si="601"/>
        <v>41.593744650565554</v>
      </c>
      <c r="BC214" s="292">
        <f t="shared" ref="BC214:BL214" ca="1" si="602">BC213+BC212+BC211</f>
        <v>9.8854986890628993</v>
      </c>
      <c r="BD214" s="261">
        <f t="shared" ca="1" si="602"/>
        <v>0</v>
      </c>
      <c r="BE214" s="261">
        <f t="shared" ca="1" si="602"/>
        <v>103.38450111815186</v>
      </c>
      <c r="BF214" s="293">
        <f t="shared" ca="1" si="602"/>
        <v>37.436990741999665</v>
      </c>
      <c r="BG214" s="228">
        <f t="shared" ca="1" si="602"/>
        <v>37.436990741999693</v>
      </c>
      <c r="BH214" s="292">
        <f t="shared" ca="1" si="602"/>
        <v>27.164411816885803</v>
      </c>
      <c r="BI214" s="261">
        <f t="shared" ca="1" si="602"/>
        <v>0</v>
      </c>
      <c r="BJ214" s="261">
        <f t="shared" ca="1" si="602"/>
        <v>78.258186708823303</v>
      </c>
      <c r="BK214" s="293">
        <f t="shared" ca="1" si="602"/>
        <v>34.194316911047281</v>
      </c>
      <c r="BL214" s="228">
        <f t="shared" ca="1" si="602"/>
        <v>34.194316911047281</v>
      </c>
      <c r="BM214" s="292">
        <f t="shared" ref="BM214:BQ214" ca="1" si="603">BM213+BM212+BM211</f>
        <v>28.768637514168034</v>
      </c>
      <c r="BN214" s="261">
        <f t="shared" ca="1" si="603"/>
        <v>0</v>
      </c>
      <c r="BO214" s="261">
        <f t="shared" ca="1" si="603"/>
        <v>78.408974869991567</v>
      </c>
      <c r="BP214" s="293">
        <f t="shared" ca="1" si="603"/>
        <v>38.910711485710095</v>
      </c>
      <c r="BQ214" s="228">
        <f t="shared" ca="1" si="603"/>
        <v>38.910711485710067</v>
      </c>
      <c r="BR214" s="45"/>
      <c r="BS214" s="45"/>
      <c r="BT214" s="45"/>
      <c r="BU214" s="45"/>
      <c r="BV214" s="45"/>
      <c r="BW214" s="45"/>
      <c r="BX214" s="45"/>
      <c r="BY214" s="45"/>
      <c r="BZ214" s="45"/>
      <c r="CA214" s="45"/>
      <c r="CB214" s="45"/>
      <c r="CC214" s="45"/>
      <c r="CD214" s="45"/>
      <c r="CE214" s="45"/>
      <c r="CF214" s="45"/>
      <c r="CG214" s="583">
        <f t="shared" ref="CG214:CV214" si="604">CG211+CG212</f>
        <v>138</v>
      </c>
      <c r="CH214" s="583">
        <f t="shared" si="604"/>
        <v>200</v>
      </c>
      <c r="CI214" s="583">
        <f t="shared" si="604"/>
        <v>277</v>
      </c>
      <c r="CJ214" s="583">
        <f t="shared" si="604"/>
        <v>303</v>
      </c>
      <c r="CK214" s="583">
        <f t="shared" si="604"/>
        <v>303</v>
      </c>
      <c r="CL214" s="583">
        <f t="shared" si="604"/>
        <v>205</v>
      </c>
      <c r="CM214" s="583">
        <f t="shared" si="604"/>
        <v>207</v>
      </c>
      <c r="CN214" s="583">
        <f t="shared" si="604"/>
        <v>432</v>
      </c>
      <c r="CO214" s="583">
        <f t="shared" si="604"/>
        <v>522</v>
      </c>
      <c r="CP214" s="583">
        <f t="shared" si="604"/>
        <v>522</v>
      </c>
      <c r="CQ214" s="583">
        <f t="shared" si="604"/>
        <v>249</v>
      </c>
      <c r="CR214" s="583">
        <f t="shared" si="604"/>
        <v>319</v>
      </c>
      <c r="CS214" s="583">
        <f t="shared" si="604"/>
        <v>518</v>
      </c>
      <c r="CT214" s="583">
        <f t="shared" si="604"/>
        <v>194</v>
      </c>
      <c r="CU214" s="583">
        <f t="shared" si="604"/>
        <v>194</v>
      </c>
      <c r="CV214" s="583">
        <f t="shared" si="604"/>
        <v>148</v>
      </c>
      <c r="CW214" s="583">
        <f t="shared" ref="CW214:DB214" si="605">CW211+CW212</f>
        <v>272</v>
      </c>
      <c r="CX214" s="583">
        <f t="shared" si="605"/>
        <v>648</v>
      </c>
      <c r="CY214" s="583">
        <f t="shared" si="605"/>
        <v>362</v>
      </c>
      <c r="CZ214" s="583">
        <f t="shared" si="605"/>
        <v>362</v>
      </c>
      <c r="DA214" s="583">
        <f t="shared" si="605"/>
        <v>302</v>
      </c>
      <c r="DB214" s="583">
        <f t="shared" si="605"/>
        <v>56</v>
      </c>
      <c r="DC214" s="1464">
        <f t="shared" ref="DC214:DJ214" si="606">DC211+DC212</f>
        <v>609</v>
      </c>
      <c r="DD214" s="1464">
        <f t="shared" si="606"/>
        <v>217</v>
      </c>
      <c r="DE214" s="1464">
        <f t="shared" si="606"/>
        <v>217</v>
      </c>
      <c r="DF214" s="583">
        <f t="shared" si="606"/>
        <v>98</v>
      </c>
      <c r="DG214" s="583">
        <f t="shared" si="606"/>
        <v>93</v>
      </c>
      <c r="DH214" s="1464">
        <f t="shared" si="606"/>
        <v>346</v>
      </c>
      <c r="DI214" s="1464">
        <f t="shared" si="606"/>
        <v>30</v>
      </c>
      <c r="DJ214" s="1464">
        <f t="shared" si="606"/>
        <v>30</v>
      </c>
      <c r="DK214" s="583">
        <f t="shared" ref="DK214:DO214" si="607">DK211+DK212</f>
        <v>38</v>
      </c>
      <c r="DL214" s="583">
        <f t="shared" si="607"/>
        <v>26</v>
      </c>
      <c r="DM214" s="1464">
        <f t="shared" si="607"/>
        <v>32</v>
      </c>
      <c r="DN214" s="1464">
        <f t="shared" si="607"/>
        <v>295</v>
      </c>
      <c r="DO214" s="1464">
        <f t="shared" si="607"/>
        <v>295</v>
      </c>
      <c r="DP214" s="583">
        <f t="shared" ref="DP214:DT214" si="608">DP211+DP212</f>
        <v>13</v>
      </c>
      <c r="DQ214" s="583">
        <f t="shared" si="608"/>
        <v>203</v>
      </c>
      <c r="DR214" s="1464">
        <f t="shared" si="608"/>
        <v>516</v>
      </c>
      <c r="DS214" s="1464">
        <f t="shared" si="608"/>
        <v>63</v>
      </c>
      <c r="DT214" s="1464">
        <f t="shared" si="608"/>
        <v>63</v>
      </c>
      <c r="DU214" s="583">
        <f t="shared" ref="DU214:DV214" si="609">DU211+DU212</f>
        <v>28</v>
      </c>
      <c r="DV214" s="583">
        <f t="shared" si="609"/>
        <v>45</v>
      </c>
      <c r="DW214" s="583">
        <f t="shared" ref="DW214:DY214" si="610">DW211+DW212</f>
        <v>330</v>
      </c>
      <c r="DX214" s="1464">
        <f t="shared" si="610"/>
        <v>271</v>
      </c>
      <c r="DY214" s="1464">
        <f t="shared" si="610"/>
        <v>271</v>
      </c>
    </row>
    <row r="215" spans="1:129" ht="12.75" customHeight="1">
      <c r="A215" s="383"/>
      <c r="B215" s="383"/>
      <c r="C215" s="383"/>
      <c r="D215" s="383"/>
      <c r="E215" s="595"/>
      <c r="F215" s="460"/>
      <c r="G215" s="460"/>
      <c r="H215" s="596"/>
      <c r="I215" s="461"/>
      <c r="J215" s="595"/>
      <c r="K215" s="460"/>
      <c r="L215" s="460"/>
      <c r="M215" s="596"/>
      <c r="N215" s="461"/>
      <c r="O215" s="595"/>
      <c r="P215" s="460"/>
      <c r="Q215" s="614"/>
      <c r="R215" s="596"/>
      <c r="S215" s="383"/>
      <c r="T215" s="613"/>
      <c r="U215" s="614"/>
      <c r="V215" s="614"/>
      <c r="W215" s="615"/>
      <c r="X215" s="383"/>
      <c r="Y215" s="613"/>
      <c r="Z215" s="614"/>
      <c r="AA215" s="614"/>
      <c r="AB215" s="615"/>
      <c r="AC215" s="383"/>
      <c r="AD215" s="613"/>
      <c r="AE215" s="614"/>
      <c r="AF215" s="614"/>
      <c r="AG215" s="615"/>
      <c r="AH215" s="383"/>
      <c r="AI215" s="613"/>
      <c r="AJ215" s="614"/>
      <c r="AK215" s="614"/>
      <c r="AL215" s="615"/>
      <c r="AM215" s="383"/>
      <c r="AN215" s="613"/>
      <c r="AO215" s="614"/>
      <c r="AP215" s="614"/>
      <c r="AQ215" s="615"/>
      <c r="AR215" s="383"/>
      <c r="AS215" s="613"/>
      <c r="AT215" s="614"/>
      <c r="AU215" s="614"/>
      <c r="AV215" s="615"/>
      <c r="AW215" s="383"/>
      <c r="AX215" s="613"/>
      <c r="AY215" s="614"/>
      <c r="AZ215" s="614"/>
      <c r="BA215" s="615"/>
      <c r="BB215" s="383"/>
      <c r="BC215" s="613"/>
      <c r="BD215" s="614"/>
      <c r="BE215" s="614"/>
      <c r="BF215" s="615"/>
      <c r="BG215" s="383"/>
      <c r="BH215" s="613"/>
      <c r="BI215" s="614"/>
      <c r="BJ215" s="614"/>
      <c r="BK215" s="615"/>
      <c r="BL215" s="383"/>
      <c r="BM215" s="613"/>
      <c r="BN215" s="614"/>
      <c r="BO215" s="614"/>
      <c r="BP215" s="615"/>
      <c r="BQ215" s="383"/>
      <c r="BR215" s="383"/>
      <c r="BS215" s="383"/>
      <c r="BT215" s="383"/>
      <c r="BU215" s="383"/>
      <c r="BV215" s="383"/>
      <c r="BW215" s="383"/>
      <c r="BX215" s="383"/>
      <c r="BY215" s="383"/>
      <c r="BZ215" s="383"/>
      <c r="CA215" s="383"/>
      <c r="CB215" s="383"/>
      <c r="CC215" s="383"/>
      <c r="CD215" s="383"/>
      <c r="CE215" s="383"/>
      <c r="CF215" s="383"/>
      <c r="CG215" s="383"/>
      <c r="CH215" s="383"/>
      <c r="CI215" s="383"/>
      <c r="CJ215" s="383"/>
      <c r="CK215" s="383"/>
      <c r="CL215" s="383"/>
      <c r="CM215" s="383"/>
      <c r="CN215" s="383"/>
      <c r="CO215" s="383"/>
      <c r="CP215" s="383"/>
      <c r="CQ215" s="383"/>
      <c r="CR215" s="383"/>
      <c r="CS215" s="383"/>
      <c r="CT215" s="383"/>
      <c r="CU215" s="383"/>
    </row>
    <row r="216" spans="1:129" ht="12.75" customHeight="1">
      <c r="A216" s="383"/>
      <c r="B216" s="383"/>
      <c r="C216" s="383"/>
      <c r="D216" s="383"/>
      <c r="E216" s="613"/>
      <c r="F216" s="614"/>
      <c r="G216" s="614"/>
      <c r="H216" s="615"/>
      <c r="I216" s="383"/>
      <c r="J216" s="613"/>
      <c r="K216" s="614"/>
      <c r="L216" s="614"/>
      <c r="M216" s="615"/>
      <c r="N216" s="383"/>
      <c r="O216" s="613"/>
      <c r="P216" s="614"/>
      <c r="Q216" s="614"/>
      <c r="R216" s="615"/>
      <c r="S216" s="383"/>
      <c r="T216" s="613"/>
      <c r="U216" s="614"/>
      <c r="V216" s="614"/>
      <c r="W216" s="615"/>
      <c r="X216" s="383"/>
      <c r="Y216" s="613"/>
      <c r="Z216" s="614"/>
      <c r="AA216" s="614"/>
      <c r="AB216" s="615"/>
      <c r="AC216" s="383"/>
      <c r="AD216" s="613"/>
      <c r="AE216" s="614"/>
      <c r="AF216" s="614"/>
      <c r="AG216" s="615"/>
      <c r="AH216" s="383"/>
      <c r="AI216" s="613"/>
      <c r="AJ216" s="614"/>
      <c r="AK216" s="614"/>
      <c r="AL216" s="615"/>
      <c r="AM216" s="383"/>
      <c r="AN216" s="613"/>
      <c r="AO216" s="614"/>
      <c r="AP216" s="614"/>
      <c r="AQ216" s="615"/>
      <c r="AR216" s="383"/>
      <c r="AS216" s="613"/>
      <c r="AT216" s="614"/>
      <c r="AU216" s="614"/>
      <c r="AV216" s="615"/>
      <c r="AW216" s="383"/>
      <c r="AX216" s="613"/>
      <c r="AY216" s="614"/>
      <c r="AZ216" s="614"/>
      <c r="BA216" s="615"/>
      <c r="BB216" s="383"/>
      <c r="BC216" s="613"/>
      <c r="BD216" s="614"/>
      <c r="BE216" s="614"/>
      <c r="BF216" s="615"/>
      <c r="BG216" s="383"/>
      <c r="BH216" s="613"/>
      <c r="BI216" s="614"/>
      <c r="BJ216" s="614"/>
      <c r="BK216" s="615"/>
      <c r="BL216" s="383"/>
      <c r="BM216" s="613"/>
      <c r="BN216" s="614"/>
      <c r="BO216" s="614"/>
      <c r="BP216" s="615"/>
      <c r="BQ216" s="383"/>
      <c r="BR216" s="383"/>
      <c r="BS216" s="383"/>
      <c r="BT216" s="383"/>
      <c r="BU216" s="383"/>
      <c r="BV216" s="383"/>
      <c r="BW216" s="383"/>
      <c r="BX216" s="383"/>
      <c r="BY216" s="383"/>
      <c r="BZ216" s="383"/>
      <c r="CA216" s="383"/>
      <c r="CB216" s="383"/>
      <c r="CC216" s="383"/>
      <c r="CD216" s="383"/>
      <c r="CE216" s="383"/>
      <c r="CF216" s="383"/>
      <c r="CG216" s="383"/>
      <c r="CH216" s="383"/>
      <c r="CI216" s="383"/>
      <c r="CJ216" s="383"/>
      <c r="CK216" s="383"/>
      <c r="CL216" s="383"/>
      <c r="CM216" s="383"/>
      <c r="CN216" s="383"/>
      <c r="CO216" s="383"/>
      <c r="CP216" s="383"/>
      <c r="CQ216" s="383"/>
      <c r="CR216" s="383"/>
      <c r="CS216" s="383"/>
      <c r="CT216" s="383"/>
      <c r="CU216" s="383"/>
    </row>
    <row r="217" spans="1:129" ht="12.75" customHeight="1">
      <c r="A217" s="383"/>
      <c r="B217" s="379" t="s">
        <v>315</v>
      </c>
      <c r="C217" s="658"/>
      <c r="D217" s="659"/>
      <c r="E217" s="613"/>
      <c r="F217" s="614"/>
      <c r="G217" s="614"/>
      <c r="H217" s="615"/>
      <c r="I217" s="383"/>
      <c r="J217" s="613"/>
      <c r="K217" s="614"/>
      <c r="L217" s="614"/>
      <c r="M217" s="615"/>
      <c r="N217" s="383"/>
      <c r="O217" s="613"/>
      <c r="P217" s="614"/>
      <c r="Q217" s="614"/>
      <c r="R217" s="615"/>
      <c r="S217" s="383"/>
      <c r="T217" s="613"/>
      <c r="U217" s="614"/>
      <c r="V217" s="614"/>
      <c r="W217" s="615"/>
      <c r="X217" s="383"/>
      <c r="Y217" s="613"/>
      <c r="Z217" s="614"/>
      <c r="AA217" s="614"/>
      <c r="AB217" s="615"/>
      <c r="AC217" s="383"/>
      <c r="AD217" s="613"/>
      <c r="AE217" s="614"/>
      <c r="AF217" s="614"/>
      <c r="AG217" s="615"/>
      <c r="AH217" s="383"/>
      <c r="AI217" s="613"/>
      <c r="AJ217" s="614"/>
      <c r="AK217" s="614"/>
      <c r="AL217" s="615"/>
      <c r="AM217" s="383"/>
      <c r="AN217" s="613"/>
      <c r="AO217" s="614"/>
      <c r="AP217" s="614"/>
      <c r="AQ217" s="615"/>
      <c r="AR217" s="383"/>
      <c r="AS217" s="613"/>
      <c r="AT217" s="614"/>
      <c r="AU217" s="614"/>
      <c r="AV217" s="615"/>
      <c r="AW217" s="383"/>
      <c r="AX217" s="613"/>
      <c r="AY217" s="614"/>
      <c r="AZ217" s="614"/>
      <c r="BA217" s="615"/>
      <c r="BB217" s="383"/>
      <c r="BC217" s="613"/>
      <c r="BD217" s="614"/>
      <c r="BE217" s="614"/>
      <c r="BF217" s="615"/>
      <c r="BG217" s="383"/>
      <c r="BH217" s="613"/>
      <c r="BI217" s="614"/>
      <c r="BJ217" s="614"/>
      <c r="BK217" s="615"/>
      <c r="BL217" s="383"/>
      <c r="BM217" s="613"/>
      <c r="BN217" s="614"/>
      <c r="BO217" s="614"/>
      <c r="BP217" s="615"/>
      <c r="BQ217" s="383"/>
      <c r="BR217" s="383"/>
      <c r="BS217" s="383"/>
      <c r="BT217" s="383"/>
      <c r="BU217" s="383"/>
      <c r="BV217" s="383"/>
      <c r="BW217" s="383"/>
      <c r="BX217" s="383"/>
      <c r="BY217" s="383"/>
      <c r="BZ217" s="383"/>
      <c r="CA217" s="383"/>
      <c r="CB217" s="383"/>
      <c r="CC217" s="383"/>
      <c r="CD217" s="383"/>
      <c r="CE217" s="383"/>
      <c r="CF217" s="383"/>
      <c r="CG217" s="383"/>
      <c r="CH217" s="383"/>
      <c r="CI217" s="383"/>
      <c r="CJ217" s="383"/>
      <c r="CK217" s="383"/>
      <c r="CL217" s="383"/>
      <c r="CM217" s="383"/>
      <c r="CN217" s="383"/>
      <c r="CO217" s="383"/>
      <c r="CP217" s="383"/>
      <c r="CQ217" s="383"/>
      <c r="CR217" s="383"/>
      <c r="CS217" s="383"/>
      <c r="CT217" s="383"/>
      <c r="CU217" s="383"/>
    </row>
    <row r="218" spans="1:129" ht="12.75" customHeight="1">
      <c r="A218" s="45"/>
      <c r="B218" s="45"/>
      <c r="C218" s="391" t="s">
        <v>316</v>
      </c>
      <c r="D218" s="45"/>
      <c r="E218" s="335">
        <v>138</v>
      </c>
      <c r="F218" s="336">
        <v>200</v>
      </c>
      <c r="G218" s="336">
        <v>277</v>
      </c>
      <c r="H218" s="291">
        <f>I218</f>
        <v>303</v>
      </c>
      <c r="I218" s="645">
        <v>303</v>
      </c>
      <c r="J218" s="335">
        <v>205</v>
      </c>
      <c r="K218" s="336">
        <v>207</v>
      </c>
      <c r="L218" s="336">
        <v>432</v>
      </c>
      <c r="M218" s="291">
        <f>N218</f>
        <v>522</v>
      </c>
      <c r="N218" s="645">
        <v>522</v>
      </c>
      <c r="O218" s="335">
        <v>249</v>
      </c>
      <c r="P218" s="336">
        <v>319</v>
      </c>
      <c r="Q218" s="336">
        <v>518</v>
      </c>
      <c r="R218" s="291">
        <f>S218</f>
        <v>194</v>
      </c>
      <c r="S218" s="645">
        <v>194</v>
      </c>
      <c r="T218" s="335">
        <v>148</v>
      </c>
      <c r="U218" s="336">
        <v>272</v>
      </c>
      <c r="V218" s="336">
        <v>648</v>
      </c>
      <c r="W218" s="291">
        <f>X218</f>
        <v>362</v>
      </c>
      <c r="X218" s="645">
        <v>362</v>
      </c>
      <c r="Y218" s="335">
        <v>302</v>
      </c>
      <c r="Z218" s="336">
        <v>56</v>
      </c>
      <c r="AA218" s="1435">
        <v>609</v>
      </c>
      <c r="AB218" s="1442">
        <f>AC218</f>
        <v>217</v>
      </c>
      <c r="AC218" s="1453">
        <v>217</v>
      </c>
      <c r="AD218" s="335">
        <v>98</v>
      </c>
      <c r="AE218" s="336">
        <v>93</v>
      </c>
      <c r="AF218" s="1435">
        <v>346</v>
      </c>
      <c r="AG218" s="1442">
        <f>AH218</f>
        <v>30</v>
      </c>
      <c r="AH218" s="1453">
        <v>30</v>
      </c>
      <c r="AI218" s="335">
        <v>38</v>
      </c>
      <c r="AJ218" s="336">
        <v>26</v>
      </c>
      <c r="AK218" s="1435">
        <v>32</v>
      </c>
      <c r="AL218" s="1442">
        <f>AM218</f>
        <v>295</v>
      </c>
      <c r="AM218" s="1453">
        <v>295</v>
      </c>
      <c r="AN218" s="335">
        <v>13</v>
      </c>
      <c r="AO218" s="336">
        <v>203</v>
      </c>
      <c r="AP218" s="1435">
        <v>516</v>
      </c>
      <c r="AQ218" s="1442">
        <f>AR218</f>
        <v>63</v>
      </c>
      <c r="AR218" s="1453">
        <v>63</v>
      </c>
      <c r="AS218" s="335">
        <v>28</v>
      </c>
      <c r="AT218" s="336">
        <v>45</v>
      </c>
      <c r="AU218" s="336">
        <v>330</v>
      </c>
      <c r="AV218" s="1442">
        <f>AW218</f>
        <v>271</v>
      </c>
      <c r="AW218" s="1453">
        <v>271</v>
      </c>
      <c r="AX218" s="290">
        <f t="shared" ref="AX218:BB218" ca="1" si="611">+AX214</f>
        <v>0</v>
      </c>
      <c r="AY218" s="260">
        <f t="shared" ca="1" si="611"/>
        <v>0</v>
      </c>
      <c r="AZ218" s="260">
        <f t="shared" ca="1" si="611"/>
        <v>124.24186756923211</v>
      </c>
      <c r="BA218" s="291">
        <f t="shared" ca="1" si="611"/>
        <v>41.593744650565611</v>
      </c>
      <c r="BB218" s="45">
        <f t="shared" ca="1" si="611"/>
        <v>41.593744650565554</v>
      </c>
      <c r="BC218" s="290">
        <f t="shared" ref="BC218:BL218" ca="1" si="612">+BC214</f>
        <v>9.8854986890628993</v>
      </c>
      <c r="BD218" s="260">
        <f t="shared" ca="1" si="612"/>
        <v>0</v>
      </c>
      <c r="BE218" s="260">
        <f t="shared" ca="1" si="612"/>
        <v>103.38450111815186</v>
      </c>
      <c r="BF218" s="291">
        <f t="shared" ca="1" si="612"/>
        <v>37.436990741999665</v>
      </c>
      <c r="BG218" s="45">
        <f t="shared" ca="1" si="612"/>
        <v>37.436990741999693</v>
      </c>
      <c r="BH218" s="290">
        <f t="shared" ca="1" si="612"/>
        <v>27.164411816885803</v>
      </c>
      <c r="BI218" s="260">
        <f t="shared" ca="1" si="612"/>
        <v>0</v>
      </c>
      <c r="BJ218" s="260">
        <f t="shared" ca="1" si="612"/>
        <v>78.258186708823303</v>
      </c>
      <c r="BK218" s="291">
        <f t="shared" ca="1" si="612"/>
        <v>34.194316911047281</v>
      </c>
      <c r="BL218" s="45">
        <f t="shared" ca="1" si="612"/>
        <v>34.194316911047281</v>
      </c>
      <c r="BM218" s="290">
        <f t="shared" ref="BM218:BQ218" ca="1" si="613">+BM214</f>
        <v>28.768637514168034</v>
      </c>
      <c r="BN218" s="260">
        <f t="shared" ca="1" si="613"/>
        <v>0</v>
      </c>
      <c r="BO218" s="260">
        <f t="shared" ca="1" si="613"/>
        <v>78.408974869991567</v>
      </c>
      <c r="BP218" s="291">
        <f t="shared" ca="1" si="613"/>
        <v>38.910711485710095</v>
      </c>
      <c r="BQ218" s="45">
        <f t="shared" ca="1" si="613"/>
        <v>38.910711485710067</v>
      </c>
      <c r="BR218" s="45"/>
      <c r="BS218" s="45"/>
      <c r="BT218" s="45"/>
      <c r="BU218" s="45"/>
      <c r="BV218" s="45"/>
      <c r="BW218" s="45"/>
      <c r="BX218" s="45"/>
      <c r="BY218" s="45"/>
      <c r="BZ218" s="45"/>
      <c r="CA218" s="45"/>
      <c r="CB218" s="45"/>
      <c r="CC218" s="45"/>
      <c r="CD218" s="45"/>
      <c r="CE218" s="45"/>
      <c r="CF218" s="45"/>
      <c r="CG218" s="45"/>
      <c r="CH218" s="45"/>
      <c r="CI218" s="45"/>
      <c r="CJ218" s="45"/>
      <c r="CK218" s="45"/>
      <c r="CL218" s="45"/>
      <c r="CM218" s="45"/>
      <c r="CN218" s="45"/>
      <c r="CO218" s="45"/>
      <c r="CP218" s="45"/>
      <c r="CQ218" s="45"/>
      <c r="CR218" s="45"/>
      <c r="CS218" s="45"/>
      <c r="CT218" s="45"/>
      <c r="CU218" s="45"/>
    </row>
    <row r="219" spans="1:129" ht="12.75" customHeight="1">
      <c r="A219" s="45"/>
      <c r="B219" s="45"/>
      <c r="C219" s="391"/>
      <c r="D219" s="45"/>
      <c r="E219" s="662"/>
      <c r="F219" s="663"/>
      <c r="G219" s="663"/>
      <c r="H219" s="291"/>
      <c r="I219" s="665"/>
      <c r="J219" s="662"/>
      <c r="K219" s="663"/>
      <c r="L219" s="663"/>
      <c r="M219" s="291"/>
      <c r="N219" s="665"/>
      <c r="O219" s="662"/>
      <c r="P219" s="663"/>
      <c r="Q219" s="663"/>
      <c r="R219" s="291"/>
      <c r="S219" s="665"/>
      <c r="T219" s="662"/>
      <c r="U219" s="663"/>
      <c r="V219" s="663"/>
      <c r="W219" s="291"/>
      <c r="X219" s="665"/>
      <c r="Y219" s="662"/>
      <c r="Z219" s="663"/>
      <c r="AA219" s="1469"/>
      <c r="AB219" s="1442"/>
      <c r="AC219" s="1471"/>
      <c r="AD219" s="662"/>
      <c r="AE219" s="663"/>
      <c r="AF219" s="1469"/>
      <c r="AG219" s="1442"/>
      <c r="AH219" s="1471"/>
      <c r="AI219" s="662"/>
      <c r="AJ219" s="663"/>
      <c r="AK219" s="1469"/>
      <c r="AL219" s="1442"/>
      <c r="AM219" s="1471"/>
      <c r="AN219" s="662"/>
      <c r="AO219" s="663"/>
      <c r="AP219" s="1469"/>
      <c r="AQ219" s="1442"/>
      <c r="AR219" s="1471"/>
      <c r="AS219" s="662"/>
      <c r="AT219" s="663"/>
      <c r="AU219" s="663"/>
      <c r="AV219" s="1442"/>
      <c r="AW219" s="1471"/>
      <c r="AX219" s="290"/>
      <c r="AY219" s="260"/>
      <c r="AZ219" s="260"/>
      <c r="BA219" s="291"/>
      <c r="BB219" s="45"/>
      <c r="BC219" s="290"/>
      <c r="BD219" s="260"/>
      <c r="BE219" s="260"/>
      <c r="BF219" s="291"/>
      <c r="BG219" s="45"/>
      <c r="BH219" s="290"/>
      <c r="BI219" s="260"/>
      <c r="BJ219" s="260"/>
      <c r="BK219" s="291"/>
      <c r="BL219" s="45"/>
      <c r="BM219" s="290"/>
      <c r="BN219" s="260"/>
      <c r="BO219" s="260"/>
      <c r="BP219" s="291"/>
      <c r="BQ219" s="45"/>
      <c r="BR219" s="45"/>
      <c r="BS219" s="45"/>
      <c r="BT219" s="45"/>
      <c r="BU219" s="45"/>
      <c r="BV219" s="45"/>
      <c r="BW219" s="45"/>
      <c r="BX219" s="45"/>
      <c r="BY219" s="45"/>
      <c r="BZ219" s="45"/>
      <c r="CA219" s="45"/>
      <c r="CB219" s="45"/>
      <c r="CC219" s="45"/>
      <c r="CD219" s="45"/>
      <c r="CE219" s="45"/>
      <c r="CF219" s="45"/>
      <c r="CG219" s="45"/>
      <c r="CH219" s="45"/>
      <c r="CI219" s="45"/>
      <c r="CJ219" s="45"/>
      <c r="CK219" s="45"/>
      <c r="CL219" s="45"/>
      <c r="CM219" s="45"/>
      <c r="CN219" s="45"/>
      <c r="CO219" s="45"/>
      <c r="CP219" s="45"/>
      <c r="CQ219" s="45"/>
      <c r="CR219" s="45"/>
      <c r="CS219" s="45"/>
      <c r="CT219" s="45"/>
      <c r="CU219" s="45"/>
    </row>
    <row r="220" spans="1:129" ht="12.75" customHeight="1">
      <c r="A220" s="45"/>
      <c r="B220" s="45"/>
      <c r="C220" s="391" t="s">
        <v>317</v>
      </c>
      <c r="D220" s="45"/>
      <c r="E220" s="335">
        <v>0</v>
      </c>
      <c r="F220" s="336">
        <v>0</v>
      </c>
      <c r="G220" s="336">
        <v>0</v>
      </c>
      <c r="H220" s="291">
        <f>I220</f>
        <v>0</v>
      </c>
      <c r="I220" s="645">
        <v>0</v>
      </c>
      <c r="J220" s="335">
        <v>225</v>
      </c>
      <c r="K220" s="336">
        <v>225</v>
      </c>
      <c r="L220" s="336">
        <v>225</v>
      </c>
      <c r="M220" s="291">
        <f>N220</f>
        <v>225</v>
      </c>
      <c r="N220" s="645">
        <v>225</v>
      </c>
      <c r="O220" s="335">
        <v>225</v>
      </c>
      <c r="P220" s="336">
        <v>225</v>
      </c>
      <c r="Q220" s="336">
        <v>225</v>
      </c>
      <c r="R220" s="291">
        <f>S220</f>
        <v>225</v>
      </c>
      <c r="S220" s="645">
        <v>225</v>
      </c>
      <c r="T220" s="335">
        <v>225</v>
      </c>
      <c r="U220" s="336">
        <v>225</v>
      </c>
      <c r="V220" s="336">
        <v>225</v>
      </c>
      <c r="W220" s="291">
        <f>X220</f>
        <v>210</v>
      </c>
      <c r="X220" s="645">
        <v>210</v>
      </c>
      <c r="Y220" s="335">
        <v>210</v>
      </c>
      <c r="Z220" s="336">
        <v>210</v>
      </c>
      <c r="AA220" s="1435">
        <v>0</v>
      </c>
      <c r="AB220" s="1442">
        <f>AC220</f>
        <v>0</v>
      </c>
      <c r="AC220" s="1453">
        <v>0</v>
      </c>
      <c r="AD220" s="335">
        <v>0</v>
      </c>
      <c r="AE220" s="336">
        <v>0</v>
      </c>
      <c r="AF220" s="1435">
        <v>0</v>
      </c>
      <c r="AG220" s="1442">
        <f>AH220</f>
        <v>0</v>
      </c>
      <c r="AH220" s="1453">
        <v>0</v>
      </c>
      <c r="AI220" s="335">
        <v>65</v>
      </c>
      <c r="AJ220" s="336">
        <v>41</v>
      </c>
      <c r="AK220" s="1435">
        <v>55</v>
      </c>
      <c r="AL220" s="1442">
        <f>AM220</f>
        <v>0</v>
      </c>
      <c r="AM220" s="1453">
        <v>0</v>
      </c>
      <c r="AN220" s="335">
        <v>0</v>
      </c>
      <c r="AO220" s="336">
        <v>0</v>
      </c>
      <c r="AP220" s="1435">
        <v>0</v>
      </c>
      <c r="AQ220" s="1442">
        <f>AR220</f>
        <v>0</v>
      </c>
      <c r="AR220" s="1453">
        <v>0</v>
      </c>
      <c r="AS220" s="335">
        <v>0</v>
      </c>
      <c r="AT220" s="336">
        <v>0</v>
      </c>
      <c r="AU220" s="336">
        <v>0</v>
      </c>
      <c r="AV220" s="1442">
        <f>AW220</f>
        <v>0</v>
      </c>
      <c r="AW220" s="1453">
        <v>0</v>
      </c>
      <c r="AX220" s="290">
        <f ca="1">+AW220+AX213+AX206</f>
        <v>278.87773665215025</v>
      </c>
      <c r="AY220" s="260">
        <f ca="1">+AX220+AY213+AY206</f>
        <v>372.89533985170215</v>
      </c>
      <c r="AZ220" s="260">
        <f ca="1">+AY220+AZ213+AZ206</f>
        <v>0</v>
      </c>
      <c r="BA220" s="291">
        <f ca="1">+AZ220+BA213+BA206</f>
        <v>0</v>
      </c>
      <c r="BB220" s="45">
        <f ca="1">+BA220</f>
        <v>0</v>
      </c>
      <c r="BC220" s="290">
        <f ca="1">+BB220+BC213+BC206</f>
        <v>0</v>
      </c>
      <c r="BD220" s="260">
        <f ca="1">+BC220+BD213+BD206</f>
        <v>69.72990819397188</v>
      </c>
      <c r="BE220" s="260">
        <f ca="1">+BD220+BE213+BE206</f>
        <v>0</v>
      </c>
      <c r="BF220" s="291">
        <f ca="1">+BE220+BF213+BF206</f>
        <v>0</v>
      </c>
      <c r="BG220" s="45">
        <f ca="1">+BF220</f>
        <v>0</v>
      </c>
      <c r="BH220" s="290">
        <f ca="1">+BG220+BH213+BH206</f>
        <v>0</v>
      </c>
      <c r="BI220" s="260">
        <f ca="1">+BH220+BI213+BI206</f>
        <v>31.323464159993819</v>
      </c>
      <c r="BJ220" s="260">
        <f ca="1">+BI220+BJ213+BJ206</f>
        <v>0</v>
      </c>
      <c r="BK220" s="291">
        <f ca="1">+BJ220+BK213+BK206</f>
        <v>0</v>
      </c>
      <c r="BL220" s="45">
        <f ca="1">+BK220</f>
        <v>0</v>
      </c>
      <c r="BM220" s="290">
        <f ca="1">+BL220+BM213+BM206</f>
        <v>0</v>
      </c>
      <c r="BN220" s="260">
        <f ca="1">+BM220+BN213+BN206</f>
        <v>25.334281901038793</v>
      </c>
      <c r="BO220" s="260">
        <f ca="1">+BN220+BO213+BO206</f>
        <v>0</v>
      </c>
      <c r="BP220" s="291">
        <f ca="1">+BO220+BP213+BP206</f>
        <v>0</v>
      </c>
      <c r="BQ220" s="45">
        <f ca="1">+BP220</f>
        <v>0</v>
      </c>
      <c r="BR220" s="45"/>
      <c r="BS220" s="45"/>
      <c r="BT220" s="45"/>
      <c r="BU220" s="45"/>
      <c r="BV220" s="45"/>
      <c r="BW220" s="45"/>
      <c r="BX220" s="45"/>
      <c r="BY220" s="45"/>
      <c r="BZ220" s="45"/>
      <c r="CA220" s="45"/>
      <c r="CB220" s="45"/>
      <c r="CC220" s="45"/>
      <c r="CD220" s="45"/>
      <c r="CE220" s="45"/>
      <c r="CF220" s="45"/>
      <c r="CG220" s="45"/>
      <c r="CH220" s="45"/>
      <c r="CI220" s="45"/>
      <c r="CJ220" s="45"/>
      <c r="CK220" s="45"/>
      <c r="CL220" s="45"/>
      <c r="CM220" s="45"/>
      <c r="CN220" s="45"/>
      <c r="CO220" s="45"/>
      <c r="CP220" s="45"/>
      <c r="CQ220" s="45"/>
      <c r="CR220" s="45"/>
      <c r="CS220" s="45"/>
      <c r="CT220" s="45"/>
      <c r="CU220" s="45"/>
    </row>
    <row r="221" spans="1:129" ht="12.75" customHeight="1">
      <c r="A221" s="45"/>
      <c r="B221" s="45"/>
      <c r="C221" s="391" t="s">
        <v>178</v>
      </c>
      <c r="D221" s="45"/>
      <c r="E221" s="335">
        <f>2221+404+184+551</f>
        <v>3360</v>
      </c>
      <c r="F221" s="336">
        <f>2221+404+184+390</f>
        <v>3199</v>
      </c>
      <c r="G221" s="336">
        <f>2221+184+591</f>
        <v>2996</v>
      </c>
      <c r="H221" s="291">
        <f>I221</f>
        <v>2820</v>
      </c>
      <c r="I221" s="427">
        <f>2221+184+415</f>
        <v>2820</v>
      </c>
      <c r="J221" s="335">
        <f>2221+184+404</f>
        <v>2809</v>
      </c>
      <c r="K221" s="336">
        <f>2221+184+404</f>
        <v>2809</v>
      </c>
      <c r="L221" s="336">
        <f>2222+184</f>
        <v>2406</v>
      </c>
      <c r="M221" s="291">
        <f>N221</f>
        <v>2406</v>
      </c>
      <c r="N221" s="427">
        <f>1972+184+250</f>
        <v>2406</v>
      </c>
      <c r="O221" s="335">
        <f>1972+184+250</f>
        <v>2406</v>
      </c>
      <c r="P221" s="336">
        <f>1972+184+250</f>
        <v>2406</v>
      </c>
      <c r="Q221" s="336">
        <f>1972+184+250</f>
        <v>2406</v>
      </c>
      <c r="R221" s="291">
        <f>S221</f>
        <v>2156</v>
      </c>
      <c r="S221" s="427">
        <f>1597+184+375</f>
        <v>2156</v>
      </c>
      <c r="T221" s="335">
        <f>375+1597+184</f>
        <v>2156</v>
      </c>
      <c r="U221" s="336">
        <f>1598+184</f>
        <v>1782</v>
      </c>
      <c r="V221" s="336">
        <f>1947+184+375</f>
        <v>2506</v>
      </c>
      <c r="W221" s="291">
        <f>X221</f>
        <v>2131</v>
      </c>
      <c r="X221" s="427">
        <f>1647+184+300</f>
        <v>2131</v>
      </c>
      <c r="Y221" s="335">
        <f>1648+184+300</f>
        <v>2132</v>
      </c>
      <c r="Z221" s="336">
        <f>1648+184+300</f>
        <v>2132</v>
      </c>
      <c r="AA221" s="1435">
        <f>2196+184+300</f>
        <v>2680</v>
      </c>
      <c r="AB221" s="1442">
        <f>AC221</f>
        <v>2381</v>
      </c>
      <c r="AC221" s="1437">
        <f>1947+184+250</f>
        <v>2381</v>
      </c>
      <c r="AD221" s="335">
        <f>1947+184+250</f>
        <v>2381</v>
      </c>
      <c r="AE221" s="336">
        <f>1947+250+184</f>
        <v>2381</v>
      </c>
      <c r="AF221" s="1435">
        <f>2246+184+250</f>
        <v>2680</v>
      </c>
      <c r="AG221" s="1442">
        <f>AH221</f>
        <v>2430</v>
      </c>
      <c r="AH221" s="1437">
        <f>2246+184</f>
        <v>2430</v>
      </c>
      <c r="AI221" s="335">
        <f>2246+184</f>
        <v>2430</v>
      </c>
      <c r="AJ221" s="336">
        <f t="shared" ref="AJ221:AK221" si="614">2246+184</f>
        <v>2430</v>
      </c>
      <c r="AK221" s="1435">
        <f t="shared" si="614"/>
        <v>2430</v>
      </c>
      <c r="AL221" s="1442">
        <f>AM221</f>
        <v>2764</v>
      </c>
      <c r="AM221" s="1437">
        <f>300+2280+184</f>
        <v>2764</v>
      </c>
      <c r="AN221" s="335">
        <f>300+2281+184</f>
        <v>2765</v>
      </c>
      <c r="AO221" s="336">
        <f>300+2281+184</f>
        <v>2765</v>
      </c>
      <c r="AP221" s="1435">
        <f>300+2579+184</f>
        <v>3063</v>
      </c>
      <c r="AQ221" s="1442">
        <f>AR221</f>
        <v>2764</v>
      </c>
      <c r="AR221" s="1437">
        <f>2580+184</f>
        <v>2764</v>
      </c>
      <c r="AS221" s="335">
        <f>500+2080+184</f>
        <v>2764</v>
      </c>
      <c r="AT221" s="336">
        <f>500+2080+184</f>
        <v>2764</v>
      </c>
      <c r="AU221" s="336">
        <f>500+2402+184</f>
        <v>3086</v>
      </c>
      <c r="AV221" s="1442">
        <f>AW221</f>
        <v>3087</v>
      </c>
      <c r="AW221" s="1437">
        <f>2403+184+500</f>
        <v>3087</v>
      </c>
      <c r="AX221" s="290">
        <f>+AW221+AX204+AX205</f>
        <v>2587</v>
      </c>
      <c r="AY221" s="260">
        <f>+AX221+AY204+AY205</f>
        <v>2587</v>
      </c>
      <c r="AZ221" s="260">
        <f>+AY221+AZ204+AZ205</f>
        <v>3162</v>
      </c>
      <c r="BA221" s="291">
        <f>+AZ221+BA204+BA205</f>
        <v>3162</v>
      </c>
      <c r="BB221" s="45">
        <f>+BA221</f>
        <v>3162</v>
      </c>
      <c r="BC221" s="290">
        <f>+BB221+BC204+BC205</f>
        <v>3162</v>
      </c>
      <c r="BD221" s="260">
        <f>+BC221+BD204+BD205</f>
        <v>3162</v>
      </c>
      <c r="BE221" s="260">
        <f>+BD221+BE204+BE205</f>
        <v>3397</v>
      </c>
      <c r="BF221" s="291">
        <f>+BE221+BF204+BF205</f>
        <v>3397</v>
      </c>
      <c r="BG221" s="45">
        <f>+BF221</f>
        <v>3397</v>
      </c>
      <c r="BH221" s="290">
        <f>+BG221+BH204+BH205</f>
        <v>3397</v>
      </c>
      <c r="BI221" s="260">
        <f>+BH221+BI204+BI205</f>
        <v>3397</v>
      </c>
      <c r="BJ221" s="260">
        <f>+BI221+BJ204+BJ205</f>
        <v>3547</v>
      </c>
      <c r="BK221" s="291">
        <f>+BJ221+BK204+BK205</f>
        <v>3547</v>
      </c>
      <c r="BL221" s="45">
        <f>+BK221</f>
        <v>3547</v>
      </c>
      <c r="BM221" s="290">
        <f>+BL221+BM204+BM205</f>
        <v>3547</v>
      </c>
      <c r="BN221" s="260">
        <f>+BM221+BN204+BN205</f>
        <v>3547</v>
      </c>
      <c r="BO221" s="260">
        <f>+BN221+BO204+BO205</f>
        <v>3687</v>
      </c>
      <c r="BP221" s="291">
        <f>+BO221+BP204+BP205</f>
        <v>3687</v>
      </c>
      <c r="BQ221" s="45">
        <f>+BP221</f>
        <v>3687</v>
      </c>
      <c r="BR221" s="45"/>
      <c r="BS221" s="45"/>
      <c r="BT221" s="45"/>
      <c r="BU221" s="45"/>
      <c r="BV221" s="45"/>
      <c r="BW221" s="45"/>
      <c r="BX221" s="45"/>
      <c r="BY221" s="45"/>
      <c r="BZ221" s="45"/>
      <c r="CA221" s="45"/>
      <c r="CB221" s="45"/>
      <c r="CC221" s="45"/>
      <c r="CD221" s="45"/>
      <c r="CE221" s="45"/>
      <c r="CF221" s="45"/>
      <c r="CG221" s="45"/>
      <c r="CH221" s="45"/>
      <c r="CI221" s="45"/>
      <c r="CJ221" s="45"/>
      <c r="CK221" s="45"/>
      <c r="CL221" s="45"/>
      <c r="CM221" s="45"/>
      <c r="CN221" s="45"/>
      <c r="CO221" s="45"/>
      <c r="CP221" s="45"/>
      <c r="CQ221" s="45"/>
      <c r="CR221" s="45"/>
      <c r="CS221" s="45"/>
      <c r="CT221" s="45"/>
      <c r="CU221" s="45"/>
    </row>
    <row r="222" spans="1:129" ht="12.75" customHeight="1">
      <c r="A222" s="45"/>
      <c r="B222" s="45"/>
      <c r="C222" s="389" t="s">
        <v>373</v>
      </c>
      <c r="D222" s="45"/>
      <c r="E222" s="292">
        <f>SUM(E220:E221)</f>
        <v>3360</v>
      </c>
      <c r="F222" s="261">
        <f>SUM(F220:F221)</f>
        <v>3199</v>
      </c>
      <c r="G222" s="261">
        <f>SUM(G220:G221)</f>
        <v>2996</v>
      </c>
      <c r="H222" s="293">
        <f>+I222</f>
        <v>2820</v>
      </c>
      <c r="I222" s="228">
        <f>SUM(I220:I221)</f>
        <v>2820</v>
      </c>
      <c r="J222" s="292">
        <f>SUM(J220:J221)</f>
        <v>3034</v>
      </c>
      <c r="K222" s="261">
        <f>SUM(K220:K221)</f>
        <v>3034</v>
      </c>
      <c r="L222" s="261">
        <f>SUM(L220:L221)</f>
        <v>2631</v>
      </c>
      <c r="M222" s="293">
        <f>+N222</f>
        <v>2631</v>
      </c>
      <c r="N222" s="228">
        <f>SUM(N220:N221)</f>
        <v>2631</v>
      </c>
      <c r="O222" s="292">
        <f>SUM(O220:O221)</f>
        <v>2631</v>
      </c>
      <c r="P222" s="261">
        <f>SUM(P220:P221)</f>
        <v>2631</v>
      </c>
      <c r="Q222" s="261">
        <f>SUM(Q220:Q221)</f>
        <v>2631</v>
      </c>
      <c r="R222" s="293">
        <f>+S222</f>
        <v>2381</v>
      </c>
      <c r="S222" s="228">
        <f>SUM(S220:S221)</f>
        <v>2381</v>
      </c>
      <c r="T222" s="292">
        <f>SUM(T220:T221)</f>
        <v>2381</v>
      </c>
      <c r="U222" s="261">
        <f>SUM(U220:U221)</f>
        <v>2007</v>
      </c>
      <c r="V222" s="261">
        <f>SUM(V220:V221)</f>
        <v>2731</v>
      </c>
      <c r="W222" s="293">
        <f>+X222</f>
        <v>2341</v>
      </c>
      <c r="X222" s="228">
        <f>SUM(X220:X221)</f>
        <v>2341</v>
      </c>
      <c r="Y222" s="292">
        <f>SUM(Y220:Y221)</f>
        <v>2342</v>
      </c>
      <c r="Z222" s="261">
        <f t="shared" ref="Z222:AE222" si="615">SUM(Z220:Z221)</f>
        <v>2342</v>
      </c>
      <c r="AA222" s="1438">
        <f t="shared" si="615"/>
        <v>2680</v>
      </c>
      <c r="AB222" s="1439">
        <f>+AC222</f>
        <v>2381</v>
      </c>
      <c r="AC222" s="1440">
        <f>SUM(AC220:AC221)</f>
        <v>2381</v>
      </c>
      <c r="AD222" s="292">
        <f>SUM(AD220:AD221)</f>
        <v>2381</v>
      </c>
      <c r="AE222" s="261">
        <f t="shared" si="615"/>
        <v>2381</v>
      </c>
      <c r="AF222" s="1438">
        <f>SUM(AF220:AF221)</f>
        <v>2680</v>
      </c>
      <c r="AG222" s="1439">
        <f>+AH222</f>
        <v>2430</v>
      </c>
      <c r="AH222" s="1440">
        <f>SUM(AH220:AH221)</f>
        <v>2430</v>
      </c>
      <c r="AI222" s="292">
        <f>SUM(AI220:AI221)</f>
        <v>2495</v>
      </c>
      <c r="AJ222" s="261">
        <f t="shared" ref="AJ222" si="616">SUM(AJ220:AJ221)</f>
        <v>2471</v>
      </c>
      <c r="AK222" s="1438">
        <f>SUM(AK220:AK221)</f>
        <v>2485</v>
      </c>
      <c r="AL222" s="1439">
        <f>+AM222</f>
        <v>2764</v>
      </c>
      <c r="AM222" s="1440">
        <f>SUM(AM220:AM221)</f>
        <v>2764</v>
      </c>
      <c r="AN222" s="292">
        <f>SUM(AN220:AN221)</f>
        <v>2765</v>
      </c>
      <c r="AO222" s="261">
        <f>SUM(AO220:AO221)</f>
        <v>2765</v>
      </c>
      <c r="AP222" s="1438">
        <f>SUM(AP220:AP221)</f>
        <v>3063</v>
      </c>
      <c r="AQ222" s="1439">
        <f>+AR222</f>
        <v>2764</v>
      </c>
      <c r="AR222" s="1440">
        <f>SUM(AR220:AR221)</f>
        <v>2764</v>
      </c>
      <c r="AS222" s="292">
        <f>SUM(AS220:AS221)</f>
        <v>2764</v>
      </c>
      <c r="AT222" s="261">
        <f>SUM(AT220:AT221)</f>
        <v>2764</v>
      </c>
      <c r="AU222" s="261">
        <f>SUM(AU220:AU221)</f>
        <v>3086</v>
      </c>
      <c r="AV222" s="1439">
        <f>+AW222</f>
        <v>3087</v>
      </c>
      <c r="AW222" s="1440">
        <f>SUM(AW220:AW221)</f>
        <v>3087</v>
      </c>
      <c r="AX222" s="292">
        <f t="shared" ref="AX222:BB222" ca="1" si="617">SUM(AX220:AX221)</f>
        <v>2865.8777366521504</v>
      </c>
      <c r="AY222" s="261">
        <f t="shared" ca="1" si="617"/>
        <v>2959.8953398517024</v>
      </c>
      <c r="AZ222" s="261">
        <f t="shared" ca="1" si="617"/>
        <v>3162</v>
      </c>
      <c r="BA222" s="293">
        <f t="shared" ca="1" si="617"/>
        <v>3162</v>
      </c>
      <c r="BB222" s="228">
        <f t="shared" ca="1" si="617"/>
        <v>3162</v>
      </c>
      <c r="BC222" s="292">
        <f t="shared" ref="BC222:BL222" ca="1" si="618">SUM(BC220:BC221)</f>
        <v>3162</v>
      </c>
      <c r="BD222" s="261">
        <f t="shared" ca="1" si="618"/>
        <v>3231.7299081939718</v>
      </c>
      <c r="BE222" s="261">
        <f t="shared" ca="1" si="618"/>
        <v>3397</v>
      </c>
      <c r="BF222" s="293">
        <f t="shared" ca="1" si="618"/>
        <v>3397</v>
      </c>
      <c r="BG222" s="228">
        <f t="shared" ca="1" si="618"/>
        <v>3397</v>
      </c>
      <c r="BH222" s="292">
        <f t="shared" ca="1" si="618"/>
        <v>3397</v>
      </c>
      <c r="BI222" s="261">
        <f t="shared" ca="1" si="618"/>
        <v>3428.3234641599938</v>
      </c>
      <c r="BJ222" s="261">
        <f t="shared" ca="1" si="618"/>
        <v>3547</v>
      </c>
      <c r="BK222" s="293">
        <f t="shared" ca="1" si="618"/>
        <v>3547</v>
      </c>
      <c r="BL222" s="228">
        <f t="shared" ca="1" si="618"/>
        <v>3547</v>
      </c>
      <c r="BM222" s="292">
        <f t="shared" ref="BM222:BQ222" ca="1" si="619">SUM(BM220:BM221)</f>
        <v>3547</v>
      </c>
      <c r="BN222" s="261">
        <f t="shared" ca="1" si="619"/>
        <v>3572.3342819010386</v>
      </c>
      <c r="BO222" s="261">
        <f t="shared" ca="1" si="619"/>
        <v>3687</v>
      </c>
      <c r="BP222" s="293">
        <f t="shared" ca="1" si="619"/>
        <v>3687</v>
      </c>
      <c r="BQ222" s="228">
        <f t="shared" ca="1" si="619"/>
        <v>3687</v>
      </c>
      <c r="BR222" s="45"/>
      <c r="BS222" s="45"/>
      <c r="BT222" s="45"/>
      <c r="BU222" s="45"/>
      <c r="BV222" s="45"/>
      <c r="BW222" s="45"/>
      <c r="BX222" s="45"/>
      <c r="BY222" s="45"/>
      <c r="BZ222" s="45"/>
      <c r="CA222" s="45"/>
      <c r="CB222" s="45"/>
      <c r="CC222" s="45"/>
      <c r="CD222" s="45"/>
      <c r="CE222" s="45"/>
      <c r="CF222" s="45"/>
      <c r="CG222" s="45"/>
      <c r="CH222" s="45"/>
      <c r="CI222" s="45"/>
      <c r="CJ222" s="45"/>
      <c r="CK222" s="45"/>
      <c r="CL222" s="45"/>
      <c r="CM222" s="45"/>
      <c r="CN222" s="45"/>
      <c r="CO222" s="45"/>
      <c r="CP222" s="45"/>
      <c r="CQ222" s="45"/>
      <c r="CR222" s="45"/>
      <c r="CS222" s="45"/>
      <c r="CT222" s="45"/>
      <c r="CU222" s="45"/>
    </row>
    <row r="223" spans="1:129" ht="12.75" customHeight="1">
      <c r="A223" s="223"/>
      <c r="B223" s="223"/>
      <c r="C223" s="390" t="s">
        <v>612</v>
      </c>
      <c r="D223" s="223"/>
      <c r="E223" s="275">
        <f t="shared" ref="E223:Y223" si="620">+E222/E231</f>
        <v>0.57731958762886593</v>
      </c>
      <c r="F223" s="252">
        <f t="shared" si="620"/>
        <v>0.56569407603890365</v>
      </c>
      <c r="G223" s="252">
        <f t="shared" si="620"/>
        <v>0.5392368610511159</v>
      </c>
      <c r="H223" s="276">
        <f t="shared" si="620"/>
        <v>0.51535087719298245</v>
      </c>
      <c r="I223" s="222">
        <f t="shared" si="620"/>
        <v>0.51535087719298245</v>
      </c>
      <c r="J223" s="275">
        <f t="shared" si="620"/>
        <v>0.52609675741286632</v>
      </c>
      <c r="K223" s="252">
        <f t="shared" si="620"/>
        <v>0.52005485087418579</v>
      </c>
      <c r="L223" s="252">
        <f t="shared" si="620"/>
        <v>0.47490974729241875</v>
      </c>
      <c r="M223" s="276">
        <f t="shared" si="620"/>
        <v>0.46973754686663094</v>
      </c>
      <c r="N223" s="222">
        <f t="shared" si="620"/>
        <v>0.46973754686663094</v>
      </c>
      <c r="O223" s="275">
        <f t="shared" si="620"/>
        <v>0.46856634016028498</v>
      </c>
      <c r="P223" s="252">
        <f t="shared" si="620"/>
        <v>0.46773333333333333</v>
      </c>
      <c r="Q223" s="252">
        <f t="shared" si="620"/>
        <v>0.4646767926527729</v>
      </c>
      <c r="R223" s="276">
        <f t="shared" si="620"/>
        <v>0.44043655197928228</v>
      </c>
      <c r="S223" s="222">
        <f t="shared" si="620"/>
        <v>0.44043655197928228</v>
      </c>
      <c r="T223" s="275">
        <f t="shared" si="620"/>
        <v>0.43962333825701627</v>
      </c>
      <c r="U223" s="252">
        <f t="shared" si="620"/>
        <v>0.39853057982525814</v>
      </c>
      <c r="V223" s="252">
        <f t="shared" si="620"/>
        <v>0.47118702553485164</v>
      </c>
      <c r="W223" s="276">
        <f t="shared" si="620"/>
        <v>0.43271719038817008</v>
      </c>
      <c r="X223" s="222">
        <f t="shared" si="620"/>
        <v>0.43271719038817008</v>
      </c>
      <c r="Y223" s="275">
        <f t="shared" si="620"/>
        <v>0.42980363369425584</v>
      </c>
      <c r="Z223" s="252">
        <f t="shared" ref="Z223:AE223" si="621">+Z222/Z231</f>
        <v>0.4376752008970286</v>
      </c>
      <c r="AA223" s="252">
        <f t="shared" si="621"/>
        <v>0.47025793998947185</v>
      </c>
      <c r="AB223" s="276">
        <f>+AB222/AB231</f>
        <v>0.43720161586485495</v>
      </c>
      <c r="AC223" s="222">
        <f>+AC222/AC231</f>
        <v>0.43720161586485495</v>
      </c>
      <c r="AD223" s="275">
        <f>+AD222/AD231</f>
        <v>0.43648029330889093</v>
      </c>
      <c r="AE223" s="252">
        <f t="shared" si="621"/>
        <v>0.43616046895035721</v>
      </c>
      <c r="AF223" s="252">
        <f>+AF222/AF231</f>
        <v>0.46334716459197789</v>
      </c>
      <c r="AG223" s="276">
        <f>+AG222/AG231</f>
        <v>0.43775896234912626</v>
      </c>
      <c r="AH223" s="222">
        <f>+AH222/AH231</f>
        <v>0.43775896234912626</v>
      </c>
      <c r="AI223" s="275">
        <f>+AI222/AI231</f>
        <v>0.43887423043095869</v>
      </c>
      <c r="AJ223" s="252">
        <f t="shared" ref="AJ223" si="622">+AJ222/AJ231</f>
        <v>0.43641822677499115</v>
      </c>
      <c r="AK223" s="252">
        <f t="shared" ref="AK223:AP223" si="623">+AK222/AK231</f>
        <v>0.43504901960784315</v>
      </c>
      <c r="AL223" s="276">
        <f t="shared" si="623"/>
        <v>0.46066666666666667</v>
      </c>
      <c r="AM223" s="222">
        <f t="shared" si="623"/>
        <v>0.46066666666666667</v>
      </c>
      <c r="AN223" s="275">
        <f t="shared" si="623"/>
        <v>0.45657199471598414</v>
      </c>
      <c r="AO223" s="252">
        <f t="shared" si="623"/>
        <v>0.45432139336181399</v>
      </c>
      <c r="AP223" s="252">
        <f t="shared" si="623"/>
        <v>0.47451587916343918</v>
      </c>
      <c r="AQ223" s="276">
        <f t="shared" ref="AQ223:AR223" si="624">+AQ222/AQ231</f>
        <v>0.44732157307007608</v>
      </c>
      <c r="AR223" s="222">
        <f t="shared" si="624"/>
        <v>0.44732157307007608</v>
      </c>
      <c r="AS223" s="275">
        <f t="shared" ref="AS223:AW223" si="625">+AS222/AS231</f>
        <v>0.44337504010266282</v>
      </c>
      <c r="AT223" s="252">
        <f t="shared" si="625"/>
        <v>0.44224000000000002</v>
      </c>
      <c r="AU223" s="252">
        <f t="shared" si="625"/>
        <v>0.46560048280024141</v>
      </c>
      <c r="AV223" s="276">
        <f t="shared" si="625"/>
        <v>0.46323529411764708</v>
      </c>
      <c r="AW223" s="222">
        <f t="shared" si="625"/>
        <v>0.46323529411764708</v>
      </c>
      <c r="AX223" s="275">
        <f t="shared" ref="AX223:BB223" ca="1" si="626">+AX222/AX231</f>
        <v>0.44023221191123457</v>
      </c>
      <c r="AY223" s="252">
        <f t="shared" ca="1" si="626"/>
        <v>0.44671548838047109</v>
      </c>
      <c r="AZ223" s="252">
        <f t="shared" ca="1" si="626"/>
        <v>0.46059718193547322</v>
      </c>
      <c r="BA223" s="276">
        <f t="shared" ca="1" si="626"/>
        <v>0.45852125975899377</v>
      </c>
      <c r="BB223" s="222">
        <f t="shared" ca="1" si="626"/>
        <v>0.45852125975899377</v>
      </c>
      <c r="BC223" s="275">
        <f t="shared" ref="BC223:BL223" ca="1" si="627">+BC222/BC231</f>
        <v>0.45252746177110054</v>
      </c>
      <c r="BD223" s="252">
        <f t="shared" ca="1" si="627"/>
        <v>0.45520390397867999</v>
      </c>
      <c r="BE223" s="252">
        <f t="shared" ca="1" si="627"/>
        <v>0.46383720746915896</v>
      </c>
      <c r="BF223" s="276">
        <f t="shared" ca="1" si="627"/>
        <v>0.46046434954335813</v>
      </c>
      <c r="BG223" s="222">
        <f t="shared" ca="1" si="627"/>
        <v>0.46046434954335813</v>
      </c>
      <c r="BH223" s="275">
        <f t="shared" ca="1" si="627"/>
        <v>0.45583215322219323</v>
      </c>
      <c r="BI223" s="252">
        <f t="shared" ca="1" si="627"/>
        <v>0.45654320042386093</v>
      </c>
      <c r="BJ223" s="252">
        <f t="shared" ca="1" si="627"/>
        <v>0.46240179827103839</v>
      </c>
      <c r="BK223" s="276">
        <f t="shared" ca="1" si="627"/>
        <v>0.46010572603918087</v>
      </c>
      <c r="BL223" s="222">
        <f t="shared" ca="1" si="627"/>
        <v>0.46010572603918087</v>
      </c>
      <c r="BM223" s="275">
        <f t="shared" ref="BM223:BQ223" ca="1" si="628">+BM222/BM231</f>
        <v>0.45598164899141852</v>
      </c>
      <c r="BN223" s="252">
        <f t="shared" ca="1" si="628"/>
        <v>0.45656858585901294</v>
      </c>
      <c r="BO223" s="252">
        <f t="shared" ca="1" si="628"/>
        <v>0.46225649268438013</v>
      </c>
      <c r="BP223" s="276">
        <f t="shared" ca="1" si="628"/>
        <v>0.4603520597566847</v>
      </c>
      <c r="BQ223" s="222">
        <f t="shared" ca="1" si="628"/>
        <v>0.4603520597566847</v>
      </c>
      <c r="BR223" s="223"/>
      <c r="BS223" s="223"/>
      <c r="BT223" s="223"/>
      <c r="BU223" s="223"/>
      <c r="BV223" s="223"/>
      <c r="BW223" s="223"/>
      <c r="BX223" s="223"/>
      <c r="BY223" s="223"/>
      <c r="BZ223" s="223"/>
      <c r="CA223" s="223"/>
      <c r="CB223" s="223"/>
      <c r="CC223" s="223"/>
      <c r="CD223" s="223"/>
      <c r="CE223" s="223"/>
      <c r="CF223" s="223"/>
      <c r="CG223" s="223"/>
      <c r="CH223" s="223"/>
      <c r="CI223" s="223"/>
      <c r="CJ223" s="223"/>
      <c r="CK223" s="223"/>
      <c r="CL223" s="223"/>
      <c r="CM223" s="223"/>
      <c r="CN223" s="223"/>
      <c r="CO223" s="223"/>
      <c r="CP223" s="223"/>
      <c r="CQ223" s="223"/>
      <c r="CR223" s="223"/>
      <c r="CS223" s="223"/>
      <c r="CT223" s="223"/>
      <c r="CU223" s="223"/>
    </row>
    <row r="224" spans="1:129" ht="12.75" customHeight="1">
      <c r="A224" s="383"/>
      <c r="B224" s="383"/>
      <c r="C224" s="578"/>
      <c r="D224" s="383"/>
      <c r="E224" s="613"/>
      <c r="F224" s="614"/>
      <c r="G224" s="614"/>
      <c r="H224" s="615"/>
      <c r="I224" s="383"/>
      <c r="J224" s="613"/>
      <c r="K224" s="614"/>
      <c r="L224" s="614"/>
      <c r="M224" s="615"/>
      <c r="N224" s="383"/>
      <c r="O224" s="613"/>
      <c r="P224" s="614"/>
      <c r="Q224" s="614"/>
      <c r="R224" s="615"/>
      <c r="S224" s="383"/>
      <c r="T224" s="613"/>
      <c r="U224" s="614"/>
      <c r="V224" s="614"/>
      <c r="W224" s="615"/>
      <c r="X224" s="383"/>
      <c r="Y224" s="613"/>
      <c r="Z224" s="614"/>
      <c r="AA224" s="614"/>
      <c r="AB224" s="615"/>
      <c r="AC224" s="383"/>
      <c r="AD224" s="613"/>
      <c r="AE224" s="614"/>
      <c r="AF224" s="614"/>
      <c r="AG224" s="615"/>
      <c r="AH224" s="383"/>
      <c r="AI224" s="613"/>
      <c r="AJ224" s="614"/>
      <c r="AK224" s="614"/>
      <c r="AL224" s="615"/>
      <c r="AM224" s="383"/>
      <c r="AN224" s="613"/>
      <c r="AO224" s="614"/>
      <c r="AP224" s="614"/>
      <c r="AQ224" s="615"/>
      <c r="AR224" s="383"/>
      <c r="AS224" s="613"/>
      <c r="AT224" s="614"/>
      <c r="AU224" s="614"/>
      <c r="AV224" s="615"/>
      <c r="AW224" s="383"/>
      <c r="AX224" s="613"/>
      <c r="AY224" s="614"/>
      <c r="AZ224" s="614"/>
      <c r="BA224" s="615"/>
      <c r="BB224" s="383"/>
      <c r="BC224" s="613"/>
      <c r="BD224" s="614"/>
      <c r="BE224" s="614"/>
      <c r="BF224" s="615"/>
      <c r="BG224" s="383"/>
      <c r="BH224" s="613"/>
      <c r="BI224" s="614"/>
      <c r="BJ224" s="614"/>
      <c r="BK224" s="615"/>
      <c r="BL224" s="383"/>
      <c r="BM224" s="613"/>
      <c r="BN224" s="614"/>
      <c r="BO224" s="614"/>
      <c r="BP224" s="615"/>
      <c r="BQ224" s="383"/>
      <c r="BR224" s="383"/>
      <c r="BS224" s="383"/>
      <c r="BT224" s="383"/>
      <c r="BU224" s="383"/>
      <c r="BV224" s="383"/>
      <c r="BW224" s="383"/>
      <c r="BX224" s="383"/>
      <c r="BY224" s="383"/>
      <c r="BZ224" s="383"/>
      <c r="CA224" s="383"/>
      <c r="CB224" s="383"/>
      <c r="CC224" s="383"/>
      <c r="CD224" s="383"/>
      <c r="CE224" s="383"/>
      <c r="CF224" s="383"/>
      <c r="CG224" s="383"/>
      <c r="CH224" s="383"/>
      <c r="CI224" s="383"/>
      <c r="CJ224" s="383"/>
      <c r="CK224" s="383"/>
      <c r="CL224" s="383"/>
      <c r="CM224" s="383"/>
      <c r="CN224" s="383"/>
      <c r="CO224" s="383"/>
      <c r="CP224" s="383"/>
      <c r="CQ224" s="383"/>
      <c r="CR224" s="383"/>
      <c r="CS224" s="383"/>
      <c r="CT224" s="383"/>
      <c r="CU224" s="383"/>
    </row>
    <row r="225" spans="1:99" s="34" customFormat="1" ht="12.75" customHeight="1">
      <c r="A225" s="228"/>
      <c r="B225" s="228"/>
      <c r="C225" s="389" t="s">
        <v>611</v>
      </c>
      <c r="D225" s="228"/>
      <c r="E225" s="585">
        <v>87</v>
      </c>
      <c r="F225" s="343">
        <v>87</v>
      </c>
      <c r="G225" s="343">
        <v>87</v>
      </c>
      <c r="H225" s="293">
        <f>I225</f>
        <v>87</v>
      </c>
      <c r="I225" s="650">
        <v>87</v>
      </c>
      <c r="J225" s="585">
        <v>87</v>
      </c>
      <c r="K225" s="343">
        <v>87</v>
      </c>
      <c r="L225" s="343">
        <v>87</v>
      </c>
      <c r="M225" s="293">
        <f>N225</f>
        <v>87</v>
      </c>
      <c r="N225" s="650">
        <v>87</v>
      </c>
      <c r="O225" s="585">
        <v>87</v>
      </c>
      <c r="P225" s="343">
        <v>87</v>
      </c>
      <c r="Q225" s="343">
        <v>87</v>
      </c>
      <c r="R225" s="293">
        <f>S225</f>
        <v>87</v>
      </c>
      <c r="S225" s="650">
        <v>87</v>
      </c>
      <c r="T225" s="585">
        <v>87</v>
      </c>
      <c r="U225" s="343">
        <v>87</v>
      </c>
      <c r="V225" s="343">
        <v>87</v>
      </c>
      <c r="W225" s="293">
        <f>X225</f>
        <v>87</v>
      </c>
      <c r="X225" s="650">
        <v>87</v>
      </c>
      <c r="Y225" s="585">
        <v>87</v>
      </c>
      <c r="Z225" s="343">
        <v>0</v>
      </c>
      <c r="AA225" s="1462">
        <v>0</v>
      </c>
      <c r="AB225" s="1439">
        <f>AC225</f>
        <v>0</v>
      </c>
      <c r="AC225" s="1481">
        <v>0</v>
      </c>
      <c r="AD225" s="585">
        <v>0</v>
      </c>
      <c r="AE225" s="343">
        <f t="shared" ref="AE225" si="629">+AD225</f>
        <v>0</v>
      </c>
      <c r="AF225" s="1462">
        <v>0</v>
      </c>
      <c r="AG225" s="1439">
        <f>AH225</f>
        <v>0</v>
      </c>
      <c r="AH225" s="1481">
        <v>0</v>
      </c>
      <c r="AI225" s="585">
        <v>0</v>
      </c>
      <c r="AJ225" s="343">
        <f t="shared" ref="AJ225" si="630">+AI225</f>
        <v>0</v>
      </c>
      <c r="AK225" s="1462">
        <v>0</v>
      </c>
      <c r="AL225" s="1439">
        <f>AM225</f>
        <v>0</v>
      </c>
      <c r="AM225" s="1481">
        <v>0</v>
      </c>
      <c r="AN225" s="585">
        <v>0</v>
      </c>
      <c r="AO225" s="343">
        <v>0</v>
      </c>
      <c r="AP225" s="1462">
        <v>0</v>
      </c>
      <c r="AQ225" s="1439">
        <f>AR225</f>
        <v>0</v>
      </c>
      <c r="AR225" s="1481">
        <v>0</v>
      </c>
      <c r="AS225" s="585">
        <v>0</v>
      </c>
      <c r="AT225" s="343">
        <v>0</v>
      </c>
      <c r="AU225" s="343">
        <v>0</v>
      </c>
      <c r="AV225" s="1439">
        <f>AW225</f>
        <v>0</v>
      </c>
      <c r="AW225" s="1481">
        <v>0</v>
      </c>
      <c r="AX225" s="292">
        <f t="shared" ref="AX225:BB225" si="631">+AW225</f>
        <v>0</v>
      </c>
      <c r="AY225" s="261">
        <f t="shared" si="631"/>
        <v>0</v>
      </c>
      <c r="AZ225" s="261">
        <f t="shared" si="631"/>
        <v>0</v>
      </c>
      <c r="BA225" s="293">
        <f t="shared" si="631"/>
        <v>0</v>
      </c>
      <c r="BB225" s="228">
        <f t="shared" si="631"/>
        <v>0</v>
      </c>
      <c r="BC225" s="292">
        <f t="shared" ref="BC225" si="632">+BB225</f>
        <v>0</v>
      </c>
      <c r="BD225" s="261">
        <f t="shared" ref="BD225" si="633">+BC225</f>
        <v>0</v>
      </c>
      <c r="BE225" s="261">
        <f t="shared" ref="BE225" si="634">+BD225</f>
        <v>0</v>
      </c>
      <c r="BF225" s="293">
        <f t="shared" ref="BF225" si="635">+BE225</f>
        <v>0</v>
      </c>
      <c r="BG225" s="228">
        <f t="shared" ref="BG225" si="636">+BF225</f>
        <v>0</v>
      </c>
      <c r="BH225" s="292">
        <f t="shared" ref="BH225" si="637">+BG225</f>
        <v>0</v>
      </c>
      <c r="BI225" s="261">
        <f t="shared" ref="BI225" si="638">+BH225</f>
        <v>0</v>
      </c>
      <c r="BJ225" s="261">
        <f t="shared" ref="BJ225" si="639">+BI225</f>
        <v>0</v>
      </c>
      <c r="BK225" s="293">
        <f t="shared" ref="BK225" si="640">+BJ225</f>
        <v>0</v>
      </c>
      <c r="BL225" s="228">
        <f t="shared" ref="BL225" si="641">+BK225</f>
        <v>0</v>
      </c>
      <c r="BM225" s="292">
        <f t="shared" ref="BM225" si="642">+BL225</f>
        <v>0</v>
      </c>
      <c r="BN225" s="261">
        <f t="shared" ref="BN225" si="643">+BM225</f>
        <v>0</v>
      </c>
      <c r="BO225" s="261">
        <f t="shared" ref="BO225" si="644">+BN225</f>
        <v>0</v>
      </c>
      <c r="BP225" s="293">
        <f t="shared" ref="BP225" si="645">+BO225</f>
        <v>0</v>
      </c>
      <c r="BQ225" s="228">
        <f t="shared" ref="BQ225" si="646">+BP225</f>
        <v>0</v>
      </c>
      <c r="BR225" s="228"/>
      <c r="BS225" s="228"/>
      <c r="BT225" s="228"/>
      <c r="BU225" s="228"/>
      <c r="BV225" s="228"/>
      <c r="BW225" s="228"/>
      <c r="BX225" s="228"/>
      <c r="BY225" s="228"/>
      <c r="BZ225" s="228"/>
      <c r="CA225" s="228"/>
      <c r="CB225" s="228"/>
      <c r="CC225" s="228"/>
      <c r="CD225" s="228"/>
      <c r="CE225" s="228"/>
      <c r="CF225" s="228"/>
      <c r="CG225" s="228"/>
      <c r="CH225" s="228"/>
      <c r="CI225" s="228"/>
      <c r="CJ225" s="228"/>
      <c r="CK225" s="228"/>
      <c r="CL225" s="228"/>
      <c r="CM225" s="228"/>
      <c r="CN225" s="228"/>
      <c r="CO225" s="228"/>
      <c r="CP225" s="228"/>
      <c r="CQ225" s="228"/>
      <c r="CR225" s="228"/>
      <c r="CS225" s="228"/>
      <c r="CT225" s="228"/>
      <c r="CU225" s="228"/>
    </row>
    <row r="226" spans="1:99" ht="12.75" customHeight="1">
      <c r="A226" s="223"/>
      <c r="B226" s="223"/>
      <c r="C226" s="390" t="s">
        <v>612</v>
      </c>
      <c r="D226" s="223"/>
      <c r="E226" s="275">
        <f t="shared" ref="E226:Y226" si="647">+E225/E231</f>
        <v>1.4948453608247423E-2</v>
      </c>
      <c r="F226" s="252">
        <f t="shared" si="647"/>
        <v>1.5384615384615385E-2</v>
      </c>
      <c r="G226" s="252">
        <f t="shared" si="647"/>
        <v>1.5658747300215981E-2</v>
      </c>
      <c r="H226" s="276">
        <f t="shared" si="647"/>
        <v>1.5899122807017545E-2</v>
      </c>
      <c r="I226" s="222">
        <f t="shared" si="647"/>
        <v>1.5899122807017545E-2</v>
      </c>
      <c r="J226" s="275">
        <f t="shared" si="647"/>
        <v>1.5085833188833015E-2</v>
      </c>
      <c r="K226" s="252">
        <f t="shared" si="647"/>
        <v>1.4912581419266369E-2</v>
      </c>
      <c r="L226" s="252">
        <f t="shared" si="647"/>
        <v>1.5703971119133575E-2</v>
      </c>
      <c r="M226" s="276">
        <f t="shared" si="647"/>
        <v>1.5532940546331012E-2</v>
      </c>
      <c r="N226" s="222">
        <f t="shared" si="647"/>
        <v>1.5532940546331012E-2</v>
      </c>
      <c r="O226" s="275">
        <f t="shared" si="647"/>
        <v>1.5494211932324132E-2</v>
      </c>
      <c r="P226" s="252">
        <f t="shared" si="647"/>
        <v>1.5466666666666667E-2</v>
      </c>
      <c r="Q226" s="252">
        <f t="shared" si="647"/>
        <v>1.53655951960438E-2</v>
      </c>
      <c r="R226" s="276">
        <f t="shared" si="647"/>
        <v>1.6093229744728078E-2</v>
      </c>
      <c r="S226" s="222">
        <f t="shared" si="647"/>
        <v>1.6093229744728078E-2</v>
      </c>
      <c r="T226" s="275">
        <f t="shared" si="647"/>
        <v>1.6063515509601181E-2</v>
      </c>
      <c r="U226" s="252">
        <f t="shared" si="647"/>
        <v>1.7275615567911042E-2</v>
      </c>
      <c r="V226" s="252">
        <f t="shared" si="647"/>
        <v>1.5010351966873706E-2</v>
      </c>
      <c r="W226" s="276">
        <f t="shared" si="647"/>
        <v>1.6081330868761554E-2</v>
      </c>
      <c r="X226" s="222">
        <f t="shared" si="647"/>
        <v>1.6081330868761554E-2</v>
      </c>
      <c r="Y226" s="275">
        <f t="shared" si="647"/>
        <v>1.5966232336208478E-2</v>
      </c>
      <c r="Z226" s="252">
        <f t="shared" ref="Z226:AE226" si="648">+Z225/Z231</f>
        <v>0</v>
      </c>
      <c r="AA226" s="252">
        <f t="shared" si="648"/>
        <v>0</v>
      </c>
      <c r="AB226" s="276">
        <f>+AB225/AB231</f>
        <v>0</v>
      </c>
      <c r="AC226" s="222">
        <f>+AC225/AC231</f>
        <v>0</v>
      </c>
      <c r="AD226" s="275">
        <f>+AD225/AD231</f>
        <v>0</v>
      </c>
      <c r="AE226" s="252">
        <f t="shared" si="648"/>
        <v>0</v>
      </c>
      <c r="AF226" s="252">
        <f>+AF225/AF231</f>
        <v>0</v>
      </c>
      <c r="AG226" s="276">
        <f>+AG225/AG231</f>
        <v>0</v>
      </c>
      <c r="AH226" s="222">
        <f>+AH225/AH231</f>
        <v>0</v>
      </c>
      <c r="AI226" s="275">
        <f>+AI225/AI231</f>
        <v>0</v>
      </c>
      <c r="AJ226" s="252">
        <f t="shared" ref="AJ226" si="649">+AJ225/AJ231</f>
        <v>0</v>
      </c>
      <c r="AK226" s="252">
        <f t="shared" ref="AK226:AP226" si="650">+AK225/AK231</f>
        <v>0</v>
      </c>
      <c r="AL226" s="276">
        <f t="shared" si="650"/>
        <v>0</v>
      </c>
      <c r="AM226" s="222">
        <f t="shared" si="650"/>
        <v>0</v>
      </c>
      <c r="AN226" s="275">
        <f t="shared" si="650"/>
        <v>0</v>
      </c>
      <c r="AO226" s="252">
        <f t="shared" si="650"/>
        <v>0</v>
      </c>
      <c r="AP226" s="252">
        <f t="shared" si="650"/>
        <v>0</v>
      </c>
      <c r="AQ226" s="276">
        <f t="shared" ref="AQ226:AR226" si="651">+AQ225/AQ231</f>
        <v>0</v>
      </c>
      <c r="AR226" s="222">
        <f t="shared" si="651"/>
        <v>0</v>
      </c>
      <c r="AS226" s="275">
        <f t="shared" ref="AS226:AT226" si="652">+AS225/AS231</f>
        <v>0</v>
      </c>
      <c r="AT226" s="252">
        <f t="shared" si="652"/>
        <v>0</v>
      </c>
      <c r="AU226" s="252">
        <f t="shared" ref="AU226:AW226" si="653">+AU225/AU231</f>
        <v>0</v>
      </c>
      <c r="AV226" s="276">
        <f t="shared" si="653"/>
        <v>0</v>
      </c>
      <c r="AW226" s="222">
        <f t="shared" si="653"/>
        <v>0</v>
      </c>
      <c r="AX226" s="275">
        <f t="shared" ref="AX226:BB226" ca="1" si="654">+AX225/AX231</f>
        <v>0</v>
      </c>
      <c r="AY226" s="252">
        <f t="shared" ca="1" si="654"/>
        <v>0</v>
      </c>
      <c r="AZ226" s="252">
        <f t="shared" ca="1" si="654"/>
        <v>0</v>
      </c>
      <c r="BA226" s="276">
        <f t="shared" ca="1" si="654"/>
        <v>0</v>
      </c>
      <c r="BB226" s="222">
        <f t="shared" ca="1" si="654"/>
        <v>0</v>
      </c>
      <c r="BC226" s="275">
        <f t="shared" ref="BC226:BL226" ca="1" si="655">+BC225/BC231</f>
        <v>0</v>
      </c>
      <c r="BD226" s="252">
        <f t="shared" ca="1" si="655"/>
        <v>0</v>
      </c>
      <c r="BE226" s="252">
        <f t="shared" ca="1" si="655"/>
        <v>0</v>
      </c>
      <c r="BF226" s="276">
        <f t="shared" ca="1" si="655"/>
        <v>0</v>
      </c>
      <c r="BG226" s="222">
        <f t="shared" ca="1" si="655"/>
        <v>0</v>
      </c>
      <c r="BH226" s="275">
        <f t="shared" ca="1" si="655"/>
        <v>0</v>
      </c>
      <c r="BI226" s="252">
        <f t="shared" ca="1" si="655"/>
        <v>0</v>
      </c>
      <c r="BJ226" s="252">
        <f t="shared" ca="1" si="655"/>
        <v>0</v>
      </c>
      <c r="BK226" s="276">
        <f t="shared" ca="1" si="655"/>
        <v>0</v>
      </c>
      <c r="BL226" s="222">
        <f t="shared" ca="1" si="655"/>
        <v>0</v>
      </c>
      <c r="BM226" s="275">
        <f t="shared" ref="BM226:BQ226" ca="1" si="656">+BM225/BM231</f>
        <v>0</v>
      </c>
      <c r="BN226" s="252">
        <f t="shared" ca="1" si="656"/>
        <v>0</v>
      </c>
      <c r="BO226" s="252">
        <f t="shared" ca="1" si="656"/>
        <v>0</v>
      </c>
      <c r="BP226" s="276">
        <f t="shared" ca="1" si="656"/>
        <v>0</v>
      </c>
      <c r="BQ226" s="222">
        <f t="shared" ca="1" si="656"/>
        <v>0</v>
      </c>
      <c r="BR226" s="223"/>
      <c r="BS226" s="223"/>
      <c r="BT226" s="223"/>
      <c r="BU226" s="223"/>
      <c r="BV226" s="223"/>
      <c r="BW226" s="223"/>
      <c r="BX226" s="223"/>
      <c r="BY226" s="223"/>
      <c r="BZ226" s="223"/>
      <c r="CA226" s="223"/>
      <c r="CB226" s="223"/>
      <c r="CC226" s="223"/>
      <c r="CD226" s="223"/>
      <c r="CE226" s="223"/>
      <c r="CF226" s="223"/>
      <c r="CG226" s="223"/>
      <c r="CH226" s="223"/>
      <c r="CI226" s="223"/>
      <c r="CJ226" s="223"/>
      <c r="CK226" s="223"/>
      <c r="CL226" s="223"/>
      <c r="CM226" s="223"/>
      <c r="CN226" s="223"/>
      <c r="CO226" s="223"/>
      <c r="CP226" s="223"/>
      <c r="CQ226" s="223"/>
      <c r="CR226" s="223"/>
      <c r="CS226" s="223"/>
      <c r="CT226" s="223"/>
      <c r="CU226" s="223"/>
    </row>
    <row r="227" spans="1:99" ht="12.75" customHeight="1">
      <c r="A227" s="28"/>
      <c r="B227" s="28"/>
      <c r="C227" s="391"/>
      <c r="D227" s="28"/>
      <c r="E227" s="415"/>
      <c r="F227" s="242"/>
      <c r="G227" s="242"/>
      <c r="H227" s="416"/>
      <c r="I227" s="23"/>
      <c r="J227" s="415"/>
      <c r="K227" s="242"/>
      <c r="L227" s="242"/>
      <c r="M227" s="416"/>
      <c r="N227" s="23"/>
      <c r="O227" s="415"/>
      <c r="P227" s="242"/>
      <c r="Q227" s="242"/>
      <c r="R227" s="416"/>
      <c r="S227" s="23"/>
      <c r="T227" s="415"/>
      <c r="U227" s="242"/>
      <c r="V227" s="242"/>
      <c r="W227" s="416"/>
      <c r="X227" s="23"/>
      <c r="Y227" s="415"/>
      <c r="Z227" s="242"/>
      <c r="AA227" s="242"/>
      <c r="AB227" s="416"/>
      <c r="AC227" s="23"/>
      <c r="AD227" s="415"/>
      <c r="AE227" s="242"/>
      <c r="AF227" s="242"/>
      <c r="AG227" s="416"/>
      <c r="AH227" s="23"/>
      <c r="AI227" s="415"/>
      <c r="AJ227" s="242"/>
      <c r="AK227" s="242"/>
      <c r="AL227" s="416"/>
      <c r="AM227" s="23"/>
      <c r="AN227" s="415"/>
      <c r="AO227" s="242"/>
      <c r="AP227" s="242"/>
      <c r="AQ227" s="416"/>
      <c r="AR227" s="23"/>
      <c r="AS227" s="415"/>
      <c r="AT227" s="242"/>
      <c r="AU227" s="242"/>
      <c r="AV227" s="416"/>
      <c r="AW227" s="23"/>
      <c r="AX227" s="415"/>
      <c r="AY227" s="242"/>
      <c r="AZ227" s="242"/>
      <c r="BA227" s="416"/>
      <c r="BB227" s="23"/>
      <c r="BC227" s="415"/>
      <c r="BD227" s="242"/>
      <c r="BE227" s="242"/>
      <c r="BF227" s="416"/>
      <c r="BG227" s="23"/>
      <c r="BH227" s="415"/>
      <c r="BI227" s="242"/>
      <c r="BJ227" s="242"/>
      <c r="BK227" s="416"/>
      <c r="BL227" s="23"/>
      <c r="BM227" s="415"/>
      <c r="BN227" s="242"/>
      <c r="BO227" s="242"/>
      <c r="BP227" s="416"/>
      <c r="BQ227" s="23"/>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row>
    <row r="228" spans="1:99" ht="12.75" customHeight="1">
      <c r="A228" s="45"/>
      <c r="B228" s="45"/>
      <c r="C228" s="389" t="s">
        <v>193</v>
      </c>
      <c r="D228" s="427"/>
      <c r="E228" s="585">
        <v>2373</v>
      </c>
      <c r="F228" s="343">
        <v>2369</v>
      </c>
      <c r="G228" s="343">
        <v>2473</v>
      </c>
      <c r="H228" s="293">
        <f>I228</f>
        <v>2565</v>
      </c>
      <c r="I228" s="344">
        <v>2565</v>
      </c>
      <c r="J228" s="585">
        <v>2646</v>
      </c>
      <c r="K228" s="343">
        <v>2713</v>
      </c>
      <c r="L228" s="343">
        <v>2822</v>
      </c>
      <c r="M228" s="293">
        <f>N228</f>
        <v>2883</v>
      </c>
      <c r="N228" s="344">
        <v>2883</v>
      </c>
      <c r="O228" s="585">
        <v>2897</v>
      </c>
      <c r="P228" s="343">
        <v>2907</v>
      </c>
      <c r="Q228" s="343">
        <v>2944</v>
      </c>
      <c r="R228" s="293">
        <f>S228</f>
        <v>2938</v>
      </c>
      <c r="S228" s="344">
        <v>2938</v>
      </c>
      <c r="T228" s="585">
        <v>2948</v>
      </c>
      <c r="U228" s="343">
        <v>2942</v>
      </c>
      <c r="V228" s="343">
        <v>2978</v>
      </c>
      <c r="W228" s="293">
        <f>X228</f>
        <v>2982</v>
      </c>
      <c r="X228" s="344">
        <v>2982</v>
      </c>
      <c r="Y228" s="585">
        <v>3020</v>
      </c>
      <c r="Z228" s="343">
        <v>3009</v>
      </c>
      <c r="AA228" s="1462">
        <v>3019</v>
      </c>
      <c r="AB228" s="1439">
        <f>AC228</f>
        <v>3065</v>
      </c>
      <c r="AC228" s="1472">
        <v>3065</v>
      </c>
      <c r="AD228" s="585">
        <v>3074</v>
      </c>
      <c r="AE228" s="343">
        <v>3078</v>
      </c>
      <c r="AF228" s="1462">
        <v>3104</v>
      </c>
      <c r="AG228" s="1439">
        <f>AH228</f>
        <v>3121</v>
      </c>
      <c r="AH228" s="1472">
        <v>3121</v>
      </c>
      <c r="AI228" s="585">
        <v>3190</v>
      </c>
      <c r="AJ228" s="343">
        <v>3191</v>
      </c>
      <c r="AK228" s="1462">
        <v>3227</v>
      </c>
      <c r="AL228" s="1439">
        <f>AM228</f>
        <v>3236</v>
      </c>
      <c r="AM228" s="1472">
        <v>3236</v>
      </c>
      <c r="AN228" s="585">
        <v>3291</v>
      </c>
      <c r="AO228" s="343">
        <v>3321</v>
      </c>
      <c r="AP228" s="1462">
        <v>3392</v>
      </c>
      <c r="AQ228" s="1439">
        <f>AR228</f>
        <v>3415</v>
      </c>
      <c r="AR228" s="1472">
        <v>3415</v>
      </c>
      <c r="AS228" s="585">
        <v>3470</v>
      </c>
      <c r="AT228" s="343">
        <v>3486</v>
      </c>
      <c r="AU228" s="343">
        <v>3542</v>
      </c>
      <c r="AV228" s="1439">
        <f>AW228</f>
        <v>3577</v>
      </c>
      <c r="AW228" s="1472">
        <v>3577</v>
      </c>
      <c r="AX228" s="292">
        <f>+AW228+AX192+AX207</f>
        <v>3644.0451156765357</v>
      </c>
      <c r="AY228" s="261">
        <f ca="1">+AX228+AY192+AY207</f>
        <v>3666.0117908424909</v>
      </c>
      <c r="AZ228" s="261">
        <f ca="1">+AY228+AZ192+AZ207</f>
        <v>3703.0007512268639</v>
      </c>
      <c r="BA228" s="293">
        <f ca="1">+AZ228+BA192+BA207</f>
        <v>3734.0815506395465</v>
      </c>
      <c r="BB228" s="228">
        <f ca="1">+BA228</f>
        <v>3734.0815506395465</v>
      </c>
      <c r="BC228" s="292">
        <f ca="1">+BB228+BC192+BC207</f>
        <v>3825.4212442811195</v>
      </c>
      <c r="BD228" s="261">
        <f ca="1">+BC228+BD192+BD207</f>
        <v>3867.7916028195486</v>
      </c>
      <c r="BE228" s="261">
        <f ca="1">+BD228+BE192+BE207</f>
        <v>3926.6901768512621</v>
      </c>
      <c r="BF228" s="293">
        <f ca="1">+BE228+BF192+BF207</f>
        <v>3980.3355165688727</v>
      </c>
      <c r="BG228" s="228">
        <f ca="1">+BF228</f>
        <v>3980.3355165688727</v>
      </c>
      <c r="BH228" s="292">
        <f ca="1">+BG228+BH192+BH207</f>
        <v>4055.3044852962539</v>
      </c>
      <c r="BI228" s="261">
        <f ca="1">+BH228+BI192+BI207</f>
        <v>4080.9844413724759</v>
      </c>
      <c r="BJ228" s="261">
        <f ca="1">+BI228+BJ192+BJ207</f>
        <v>4123.8179190966594</v>
      </c>
      <c r="BK228" s="293">
        <f ca="1">+BJ228+BK192+BK207</f>
        <v>4162.0977122461436</v>
      </c>
      <c r="BL228" s="228">
        <f ca="1">+BK228</f>
        <v>4162.0977122461436</v>
      </c>
      <c r="BM228" s="292">
        <f ca="1">+BL228+BM192+BM207</f>
        <v>4231.8218184779489</v>
      </c>
      <c r="BN228" s="261">
        <f ca="1">+BM228+BN192+BN207</f>
        <v>4251.9760025655432</v>
      </c>
      <c r="BO228" s="261">
        <f ca="1">+BN228+BO192+BO207</f>
        <v>4289.0913223503667</v>
      </c>
      <c r="BP228" s="293">
        <f ca="1">+BO228+BP192+BP207</f>
        <v>4322.0876577129548</v>
      </c>
      <c r="BQ228" s="228">
        <f ca="1">+BP228</f>
        <v>4322.0876577129548</v>
      </c>
      <c r="BR228" s="45"/>
      <c r="BS228" s="45"/>
      <c r="BT228" s="45"/>
      <c r="BU228" s="45"/>
      <c r="BV228" s="45"/>
      <c r="BW228" s="45"/>
      <c r="BX228" s="45"/>
      <c r="BY228" s="45"/>
      <c r="BZ228" s="45"/>
      <c r="CA228" s="45"/>
      <c r="CB228" s="45"/>
      <c r="CC228" s="45"/>
      <c r="CD228" s="45"/>
      <c r="CE228" s="45"/>
      <c r="CF228" s="45"/>
      <c r="CG228" s="45"/>
      <c r="CH228" s="45"/>
      <c r="CI228" s="45"/>
      <c r="CJ228" s="45"/>
      <c r="CK228" s="45"/>
      <c r="CL228" s="45"/>
      <c r="CM228" s="45"/>
      <c r="CN228" s="45"/>
      <c r="CO228" s="45"/>
      <c r="CP228" s="45"/>
      <c r="CQ228" s="45"/>
      <c r="CR228" s="45"/>
      <c r="CS228" s="45"/>
      <c r="CT228" s="45"/>
      <c r="CU228" s="45"/>
    </row>
    <row r="229" spans="1:99" ht="12.75" customHeight="1">
      <c r="A229" s="223"/>
      <c r="B229" s="223"/>
      <c r="C229" s="408" t="s">
        <v>612</v>
      </c>
      <c r="D229" s="223"/>
      <c r="E229" s="275">
        <f t="shared" ref="E229:AE229" si="657">+E228/E231</f>
        <v>0.40773195876288659</v>
      </c>
      <c r="F229" s="252">
        <f t="shared" si="657"/>
        <v>0.41892130857648097</v>
      </c>
      <c r="G229" s="252">
        <f t="shared" si="657"/>
        <v>0.44510439164866811</v>
      </c>
      <c r="H229" s="276">
        <f t="shared" si="657"/>
        <v>0.46875</v>
      </c>
      <c r="I229" s="222">
        <f t="shared" si="657"/>
        <v>0.46875</v>
      </c>
      <c r="J229" s="275">
        <f t="shared" si="657"/>
        <v>0.45881740939830068</v>
      </c>
      <c r="K229" s="252">
        <f t="shared" si="657"/>
        <v>0.46503256770654783</v>
      </c>
      <c r="L229" s="252">
        <f t="shared" si="657"/>
        <v>0.50938628158844768</v>
      </c>
      <c r="M229" s="276">
        <f t="shared" si="657"/>
        <v>0.51472951258703803</v>
      </c>
      <c r="N229" s="222">
        <f t="shared" si="657"/>
        <v>0.51472951258703803</v>
      </c>
      <c r="O229" s="275">
        <f t="shared" si="657"/>
        <v>0.51593944790739088</v>
      </c>
      <c r="P229" s="252">
        <f t="shared" si="657"/>
        <v>0.51680000000000004</v>
      </c>
      <c r="Q229" s="252">
        <f t="shared" si="657"/>
        <v>0.5199576121511833</v>
      </c>
      <c r="R229" s="276">
        <f t="shared" si="657"/>
        <v>0.54347021827598962</v>
      </c>
      <c r="S229" s="222">
        <f t="shared" si="657"/>
        <v>0.54347021827598962</v>
      </c>
      <c r="T229" s="275">
        <f t="shared" si="657"/>
        <v>0.54431314623338256</v>
      </c>
      <c r="U229" s="252">
        <f t="shared" si="657"/>
        <v>0.58419380460683079</v>
      </c>
      <c r="V229" s="252">
        <f t="shared" si="657"/>
        <v>0.51380262249827469</v>
      </c>
      <c r="W229" s="276">
        <f t="shared" si="657"/>
        <v>0.55120147874306835</v>
      </c>
      <c r="X229" s="222">
        <f t="shared" si="657"/>
        <v>0.55120147874306835</v>
      </c>
      <c r="Y229" s="275">
        <f t="shared" si="657"/>
        <v>0.55423013396953569</v>
      </c>
      <c r="Z229" s="252">
        <f t="shared" si="657"/>
        <v>0.5623247991029714</v>
      </c>
      <c r="AA229" s="252">
        <f t="shared" si="657"/>
        <v>0.52974206001052815</v>
      </c>
      <c r="AB229" s="276">
        <f>+AB228/AB231</f>
        <v>0.56279838413514505</v>
      </c>
      <c r="AC229" s="222">
        <f>+AC228/AC231</f>
        <v>0.56279838413514505</v>
      </c>
      <c r="AD229" s="275">
        <f>+AD228/AD231</f>
        <v>0.56351970669110907</v>
      </c>
      <c r="AE229" s="252">
        <f t="shared" si="657"/>
        <v>0.56383953104964279</v>
      </c>
      <c r="AF229" s="252">
        <f>+AF228/AF231</f>
        <v>0.53665283540802211</v>
      </c>
      <c r="AG229" s="276">
        <f>+AG228/AG231</f>
        <v>0.56224103765087374</v>
      </c>
      <c r="AH229" s="222">
        <f>+AH228/AH231</f>
        <v>0.56224103765087374</v>
      </c>
      <c r="AI229" s="275">
        <f>+AI228/AI231</f>
        <v>0.56112576956904137</v>
      </c>
      <c r="AJ229" s="252">
        <f t="shared" ref="AJ229" si="658">+AJ228/AJ231</f>
        <v>0.5635817732250088</v>
      </c>
      <c r="AK229" s="252">
        <f t="shared" ref="AK229:AP229" si="659">+AK228/AK231</f>
        <v>0.56495098039215685</v>
      </c>
      <c r="AL229" s="276">
        <f t="shared" si="659"/>
        <v>0.53933333333333333</v>
      </c>
      <c r="AM229" s="222">
        <f t="shared" si="659"/>
        <v>0.53933333333333333</v>
      </c>
      <c r="AN229" s="275">
        <f t="shared" si="659"/>
        <v>0.5434280052840158</v>
      </c>
      <c r="AO229" s="252">
        <f t="shared" si="659"/>
        <v>0.54567860663818601</v>
      </c>
      <c r="AP229" s="252">
        <f t="shared" si="659"/>
        <v>0.52548412083656082</v>
      </c>
      <c r="AQ229" s="276">
        <f t="shared" ref="AQ229:AR229" si="660">+AQ228/AQ231</f>
        <v>0.55267842692992397</v>
      </c>
      <c r="AR229" s="222">
        <f t="shared" si="660"/>
        <v>0.55267842692992397</v>
      </c>
      <c r="AS229" s="275">
        <f t="shared" ref="AS229:AW229" si="661">+AS228/AS231</f>
        <v>0.55662495989733718</v>
      </c>
      <c r="AT229" s="252">
        <f t="shared" si="661"/>
        <v>0.55776000000000003</v>
      </c>
      <c r="AU229" s="252">
        <f t="shared" si="661"/>
        <v>0.53439951719975864</v>
      </c>
      <c r="AV229" s="276">
        <f t="shared" si="661"/>
        <v>0.53676470588235292</v>
      </c>
      <c r="AW229" s="222">
        <f t="shared" si="661"/>
        <v>0.53676470588235292</v>
      </c>
      <c r="AX229" s="275">
        <f t="shared" ref="AX229:BB229" ca="1" si="662">+AX228/AX231</f>
        <v>0.55976778808876548</v>
      </c>
      <c r="AY229" s="252">
        <f t="shared" ca="1" si="662"/>
        <v>0.55328451161952896</v>
      </c>
      <c r="AZ229" s="252">
        <f t="shared" ca="1" si="662"/>
        <v>0.53940281806452683</v>
      </c>
      <c r="BA229" s="276">
        <f t="shared" ca="1" si="662"/>
        <v>0.54147874024100628</v>
      </c>
      <c r="BB229" s="222">
        <f t="shared" ca="1" si="662"/>
        <v>0.54147874024100628</v>
      </c>
      <c r="BC229" s="275">
        <f t="shared" ref="BC229:BL229" ca="1" si="663">+BC228/BC231</f>
        <v>0.54747253822889952</v>
      </c>
      <c r="BD229" s="252">
        <f t="shared" ca="1" si="663"/>
        <v>0.54479609602131995</v>
      </c>
      <c r="BE229" s="252">
        <f t="shared" ca="1" si="663"/>
        <v>0.53616279253084109</v>
      </c>
      <c r="BF229" s="276">
        <f t="shared" ca="1" si="663"/>
        <v>0.53953565045664187</v>
      </c>
      <c r="BG229" s="222">
        <f t="shared" ca="1" si="663"/>
        <v>0.53953565045664187</v>
      </c>
      <c r="BH229" s="275">
        <f t="shared" ca="1" si="663"/>
        <v>0.54416784677780672</v>
      </c>
      <c r="BI229" s="252">
        <f t="shared" ca="1" si="663"/>
        <v>0.54345679957613902</v>
      </c>
      <c r="BJ229" s="252">
        <f t="shared" ca="1" si="663"/>
        <v>0.53759820172896156</v>
      </c>
      <c r="BK229" s="276">
        <f t="shared" ca="1" si="663"/>
        <v>0.53989427396081913</v>
      </c>
      <c r="BL229" s="222">
        <f t="shared" ca="1" si="663"/>
        <v>0.53989427396081913</v>
      </c>
      <c r="BM229" s="275">
        <f t="shared" ref="BM229:BQ229" ca="1" si="664">+BM228/BM231</f>
        <v>0.54401835100858154</v>
      </c>
      <c r="BN229" s="252">
        <f t="shared" ca="1" si="664"/>
        <v>0.54343141414098706</v>
      </c>
      <c r="BO229" s="252">
        <f t="shared" ca="1" si="664"/>
        <v>0.53774350731561993</v>
      </c>
      <c r="BP229" s="276">
        <f t="shared" ca="1" si="664"/>
        <v>0.5396479402433153</v>
      </c>
      <c r="BQ229" s="222">
        <f t="shared" ca="1" si="664"/>
        <v>0.5396479402433153</v>
      </c>
      <c r="BR229" s="223"/>
      <c r="BS229" s="223"/>
      <c r="BT229" s="223"/>
      <c r="BU229" s="223"/>
      <c r="BV229" s="223"/>
      <c r="BW229" s="223"/>
      <c r="BX229" s="223"/>
      <c r="BY229" s="223"/>
      <c r="BZ229" s="223"/>
      <c r="CA229" s="223"/>
      <c r="CB229" s="223"/>
      <c r="CC229" s="223"/>
      <c r="CD229" s="223"/>
      <c r="CE229" s="223"/>
      <c r="CF229" s="223"/>
      <c r="CG229" s="223"/>
      <c r="CH229" s="223"/>
      <c r="CI229" s="223"/>
      <c r="CJ229" s="223"/>
      <c r="CK229" s="223"/>
      <c r="CL229" s="223"/>
      <c r="CM229" s="223"/>
      <c r="CN229" s="223"/>
      <c r="CO229" s="223"/>
      <c r="CP229" s="223"/>
      <c r="CQ229" s="223"/>
      <c r="CR229" s="223"/>
      <c r="CS229" s="223"/>
      <c r="CT229" s="223"/>
      <c r="CU229" s="223"/>
    </row>
    <row r="230" spans="1:99" ht="12.75" customHeight="1">
      <c r="A230" s="28"/>
      <c r="B230" s="28"/>
      <c r="C230" s="409"/>
      <c r="D230" s="28"/>
      <c r="E230" s="415"/>
      <c r="F230" s="242"/>
      <c r="G230" s="242"/>
      <c r="H230" s="416"/>
      <c r="I230" s="23"/>
      <c r="J230" s="415"/>
      <c r="K230" s="242"/>
      <c r="L230" s="242"/>
      <c r="M230" s="416"/>
      <c r="N230" s="23"/>
      <c r="O230" s="415"/>
      <c r="P230" s="242"/>
      <c r="Q230" s="242"/>
      <c r="R230" s="416"/>
      <c r="S230" s="23"/>
      <c r="T230" s="415"/>
      <c r="U230" s="242"/>
      <c r="V230" s="242"/>
      <c r="W230" s="416"/>
      <c r="X230" s="23"/>
      <c r="Y230" s="415"/>
      <c r="Z230" s="242"/>
      <c r="AA230" s="242"/>
      <c r="AB230" s="416"/>
      <c r="AC230" s="23"/>
      <c r="AD230" s="415"/>
      <c r="AE230" s="242"/>
      <c r="AF230" s="242"/>
      <c r="AG230" s="416"/>
      <c r="AH230" s="23"/>
      <c r="AI230" s="415"/>
      <c r="AJ230" s="242"/>
      <c r="AK230" s="242"/>
      <c r="AL230" s="416"/>
      <c r="AM230" s="23"/>
      <c r="AN230" s="415"/>
      <c r="AO230" s="242"/>
      <c r="AP230" s="242"/>
      <c r="AQ230" s="416"/>
      <c r="AR230" s="23"/>
      <c r="AS230" s="415"/>
      <c r="AT230" s="242"/>
      <c r="AU230" s="242"/>
      <c r="AV230" s="416"/>
      <c r="AW230" s="23"/>
      <c r="AX230" s="415"/>
      <c r="AY230" s="242"/>
      <c r="AZ230" s="242"/>
      <c r="BA230" s="416"/>
      <c r="BB230" s="23"/>
      <c r="BC230" s="415"/>
      <c r="BD230" s="242"/>
      <c r="BE230" s="242"/>
      <c r="BF230" s="416"/>
      <c r="BG230" s="23"/>
      <c r="BH230" s="415"/>
      <c r="BI230" s="242"/>
      <c r="BJ230" s="242"/>
      <c r="BK230" s="416"/>
      <c r="BL230" s="23"/>
      <c r="BM230" s="415"/>
      <c r="BN230" s="242"/>
      <c r="BO230" s="242"/>
      <c r="BP230" s="416"/>
      <c r="BQ230" s="23"/>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row>
    <row r="231" spans="1:99" ht="12.75" customHeight="1">
      <c r="A231" s="45"/>
      <c r="B231" s="45"/>
      <c r="C231" s="389" t="s">
        <v>494</v>
      </c>
      <c r="D231" s="45"/>
      <c r="E231" s="292">
        <f>+E228+E225+E222</f>
        <v>5820</v>
      </c>
      <c r="F231" s="261">
        <f>+F228+F225+F222</f>
        <v>5655</v>
      </c>
      <c r="G231" s="261">
        <f>+G228+G225+G222</f>
        <v>5556</v>
      </c>
      <c r="H231" s="293">
        <f>+I231</f>
        <v>5472</v>
      </c>
      <c r="I231" s="228">
        <f>+I228+I225+I222</f>
        <v>5472</v>
      </c>
      <c r="J231" s="292">
        <f>+J228+J225+J222</f>
        <v>5767</v>
      </c>
      <c r="K231" s="261">
        <f>+K228+K225+K222</f>
        <v>5834</v>
      </c>
      <c r="L231" s="261">
        <f>+L228+L225+L222</f>
        <v>5540</v>
      </c>
      <c r="M231" s="293">
        <f>+N231</f>
        <v>5601</v>
      </c>
      <c r="N231" s="228">
        <f>+N228+N225+N222</f>
        <v>5601</v>
      </c>
      <c r="O231" s="292">
        <f>+O228+O225+O222</f>
        <v>5615</v>
      </c>
      <c r="P231" s="261">
        <f>+P228+P225+P222</f>
        <v>5625</v>
      </c>
      <c r="Q231" s="261">
        <f>+Q228+Q225+Q222</f>
        <v>5662</v>
      </c>
      <c r="R231" s="293">
        <f>+S231</f>
        <v>5406</v>
      </c>
      <c r="S231" s="228">
        <f>+S228+S225+S222</f>
        <v>5406</v>
      </c>
      <c r="T231" s="292">
        <f>+T228+T225+T222</f>
        <v>5416</v>
      </c>
      <c r="U231" s="261">
        <f>+U228+U225+U222</f>
        <v>5036</v>
      </c>
      <c r="V231" s="261">
        <f>+V228+V225+V222</f>
        <v>5796</v>
      </c>
      <c r="W231" s="293">
        <f>+X231</f>
        <v>5410</v>
      </c>
      <c r="X231" s="228">
        <f>+X228+X225+X222</f>
        <v>5410</v>
      </c>
      <c r="Y231" s="292">
        <f>+Y228+Y225+Y222</f>
        <v>5449</v>
      </c>
      <c r="Z231" s="261">
        <f>+Z228+Z225+Z222</f>
        <v>5351</v>
      </c>
      <c r="AA231" s="1438">
        <f>+AA228+AA225+AA222</f>
        <v>5699</v>
      </c>
      <c r="AB231" s="1439">
        <f>+AC231</f>
        <v>5446</v>
      </c>
      <c r="AC231" s="1440">
        <f>+AC228+AC225+AC222</f>
        <v>5446</v>
      </c>
      <c r="AD231" s="292">
        <f>+AD228+AD225+AD222</f>
        <v>5455</v>
      </c>
      <c r="AE231" s="261">
        <f>+AE228+AE225+AE222</f>
        <v>5459</v>
      </c>
      <c r="AF231" s="1438">
        <f>+AF228+AF225+AF222</f>
        <v>5784</v>
      </c>
      <c r="AG231" s="1439">
        <f>+AH231</f>
        <v>5551</v>
      </c>
      <c r="AH231" s="1440">
        <f>+AH228+AH225+AH222</f>
        <v>5551</v>
      </c>
      <c r="AI231" s="292">
        <f>+AI228+AI225+AI222</f>
        <v>5685</v>
      </c>
      <c r="AJ231" s="261">
        <f>+AJ228+AJ225+AJ222</f>
        <v>5662</v>
      </c>
      <c r="AK231" s="1438">
        <f>+AK228+AK225+AK222</f>
        <v>5712</v>
      </c>
      <c r="AL231" s="1439">
        <f>+AM231</f>
        <v>6000</v>
      </c>
      <c r="AM231" s="1440">
        <f>+AM228+AM225+AM222</f>
        <v>6000</v>
      </c>
      <c r="AN231" s="292">
        <f>+AN228+AN225+AN222</f>
        <v>6056</v>
      </c>
      <c r="AO231" s="261">
        <f>+AO228+AO225+AO222</f>
        <v>6086</v>
      </c>
      <c r="AP231" s="1438">
        <f>+AP228+AP225+AP222</f>
        <v>6455</v>
      </c>
      <c r="AQ231" s="1439">
        <f>+AR231</f>
        <v>6179</v>
      </c>
      <c r="AR231" s="1440">
        <f>+AR228+AR225+AR222</f>
        <v>6179</v>
      </c>
      <c r="AS231" s="292">
        <f>+AS228+AS225+AS222</f>
        <v>6234</v>
      </c>
      <c r="AT231" s="261">
        <f>+AT228+AT225+AT222</f>
        <v>6250</v>
      </c>
      <c r="AU231" s="261">
        <f t="shared" ref="AU231" si="665">+AU228+AU225+AU222</f>
        <v>6628</v>
      </c>
      <c r="AV231" s="1439">
        <f>+AW231</f>
        <v>6664</v>
      </c>
      <c r="AW231" s="1440">
        <f>+AW228+AW225+AW222</f>
        <v>6664</v>
      </c>
      <c r="AX231" s="292">
        <f ca="1">+AX228+AX225+AX222</f>
        <v>6509.9228523286856</v>
      </c>
      <c r="AY231" s="261">
        <f ca="1">+AY228+AY225+AY222</f>
        <v>6625.9071306941933</v>
      </c>
      <c r="AZ231" s="261">
        <f ca="1">+AZ228+AZ225+AZ222</f>
        <v>6865.0007512268639</v>
      </c>
      <c r="BA231" s="293">
        <f ca="1">+BB231</f>
        <v>6896.0815506395465</v>
      </c>
      <c r="BB231" s="228">
        <f ca="1">+BB228+BB225+BB222</f>
        <v>6896.0815506395465</v>
      </c>
      <c r="BC231" s="292">
        <f ca="1">+BC228+BC225+BC222</f>
        <v>6987.4212442811195</v>
      </c>
      <c r="BD231" s="261">
        <f ca="1">+BD228+BD225+BD222</f>
        <v>7099.5215110135205</v>
      </c>
      <c r="BE231" s="261">
        <f ca="1">+BE228+BE225+BE222</f>
        <v>7323.6901768512616</v>
      </c>
      <c r="BF231" s="293">
        <f ca="1">+BG231</f>
        <v>7377.3355165688727</v>
      </c>
      <c r="BG231" s="228">
        <f ca="1">+BG228+BG225+BG222</f>
        <v>7377.3355165688727</v>
      </c>
      <c r="BH231" s="292">
        <f ca="1">+BH228+BH225+BH222</f>
        <v>7452.3044852962539</v>
      </c>
      <c r="BI231" s="261">
        <f ca="1">+BI228+BI225+BI222</f>
        <v>7509.3079055324697</v>
      </c>
      <c r="BJ231" s="261">
        <f ca="1">+BJ228+BJ225+BJ222</f>
        <v>7670.8179190966594</v>
      </c>
      <c r="BK231" s="293">
        <f ca="1">+BL231</f>
        <v>7709.0977122461436</v>
      </c>
      <c r="BL231" s="228">
        <f ca="1">+BL228+BL225+BL222</f>
        <v>7709.0977122461436</v>
      </c>
      <c r="BM231" s="292">
        <f ca="1">+BM228+BM225+BM222</f>
        <v>7778.8218184779489</v>
      </c>
      <c r="BN231" s="261">
        <f ca="1">+BN228+BN225+BN222</f>
        <v>7824.3102844665818</v>
      </c>
      <c r="BO231" s="261">
        <f ca="1">+BO228+BO225+BO222</f>
        <v>7976.0913223503667</v>
      </c>
      <c r="BP231" s="293">
        <f ca="1">+BQ231</f>
        <v>8009.0876577129548</v>
      </c>
      <c r="BQ231" s="228">
        <f ca="1">+BQ228+BQ225+BQ222</f>
        <v>8009.0876577129548</v>
      </c>
      <c r="BR231" s="45"/>
      <c r="BS231" s="45"/>
      <c r="BT231" s="45"/>
      <c r="BU231" s="45"/>
      <c r="BV231" s="45"/>
      <c r="BW231" s="45"/>
      <c r="BX231" s="45"/>
      <c r="BY231" s="45"/>
      <c r="BZ231" s="45"/>
      <c r="CA231" s="45"/>
      <c r="CB231" s="45"/>
      <c r="CC231" s="45"/>
      <c r="CD231" s="45"/>
      <c r="CE231" s="45"/>
      <c r="CF231" s="45"/>
      <c r="CG231" s="45"/>
      <c r="CH231" s="45"/>
      <c r="CI231" s="45"/>
      <c r="CJ231" s="45"/>
      <c r="CK231" s="45"/>
      <c r="CL231" s="45"/>
      <c r="CM231" s="45"/>
      <c r="CN231" s="45"/>
      <c r="CO231" s="45"/>
      <c r="CP231" s="45"/>
      <c r="CQ231" s="45"/>
      <c r="CR231" s="45"/>
      <c r="CS231" s="45"/>
      <c r="CT231" s="45"/>
      <c r="CU231" s="45"/>
    </row>
    <row r="232" spans="1:99" ht="12.75" customHeight="1">
      <c r="A232" s="223"/>
      <c r="B232" s="223"/>
      <c r="C232" s="408" t="s">
        <v>612</v>
      </c>
      <c r="D232" s="223"/>
      <c r="E232" s="275">
        <f t="shared" ref="E232:AE232" si="666">(E222+E225+E228)/E231</f>
        <v>1</v>
      </c>
      <c r="F232" s="252">
        <f t="shared" si="666"/>
        <v>1</v>
      </c>
      <c r="G232" s="252">
        <f t="shared" si="666"/>
        <v>1</v>
      </c>
      <c r="H232" s="276">
        <f t="shared" si="666"/>
        <v>1</v>
      </c>
      <c r="I232" s="222">
        <f t="shared" si="666"/>
        <v>1</v>
      </c>
      <c r="J232" s="275">
        <f t="shared" si="666"/>
        <v>1</v>
      </c>
      <c r="K232" s="252">
        <f t="shared" si="666"/>
        <v>1</v>
      </c>
      <c r="L232" s="252">
        <f t="shared" si="666"/>
        <v>1</v>
      </c>
      <c r="M232" s="276">
        <f t="shared" si="666"/>
        <v>1</v>
      </c>
      <c r="N232" s="222">
        <f t="shared" si="666"/>
        <v>1</v>
      </c>
      <c r="O232" s="275">
        <f t="shared" si="666"/>
        <v>1</v>
      </c>
      <c r="P232" s="252">
        <f t="shared" si="666"/>
        <v>1</v>
      </c>
      <c r="Q232" s="252">
        <f t="shared" si="666"/>
        <v>1</v>
      </c>
      <c r="R232" s="276">
        <f t="shared" si="666"/>
        <v>1</v>
      </c>
      <c r="S232" s="222">
        <f t="shared" si="666"/>
        <v>1</v>
      </c>
      <c r="T232" s="275">
        <f t="shared" si="666"/>
        <v>1</v>
      </c>
      <c r="U232" s="252">
        <f t="shared" si="666"/>
        <v>1</v>
      </c>
      <c r="V232" s="252">
        <f t="shared" si="666"/>
        <v>1</v>
      </c>
      <c r="W232" s="276">
        <f t="shared" si="666"/>
        <v>1</v>
      </c>
      <c r="X232" s="222">
        <f t="shared" si="666"/>
        <v>1</v>
      </c>
      <c r="Y232" s="275">
        <f t="shared" si="666"/>
        <v>1</v>
      </c>
      <c r="Z232" s="252">
        <f t="shared" si="666"/>
        <v>1</v>
      </c>
      <c r="AA232" s="252">
        <f t="shared" si="666"/>
        <v>1</v>
      </c>
      <c r="AB232" s="276">
        <f>(AB222+AB225+AB228)/AB231</f>
        <v>1</v>
      </c>
      <c r="AC232" s="222">
        <f>(AC222+AC225+AC228)/AC231</f>
        <v>1</v>
      </c>
      <c r="AD232" s="275">
        <f>(AD222+AD225+AD228)/AD231</f>
        <v>1</v>
      </c>
      <c r="AE232" s="252">
        <f t="shared" si="666"/>
        <v>1</v>
      </c>
      <c r="AF232" s="252">
        <f>(AF222+AF225+AF228)/AF231</f>
        <v>1</v>
      </c>
      <c r="AG232" s="276">
        <f>(AG222+AG225+AG228)/AG231</f>
        <v>1</v>
      </c>
      <c r="AH232" s="222">
        <f>(AH222+AH225+AH228)/AH231</f>
        <v>1</v>
      </c>
      <c r="AI232" s="275">
        <f>(AI222+AI225+AI228)/AI231</f>
        <v>1</v>
      </c>
      <c r="AJ232" s="252">
        <f t="shared" ref="AJ232" si="667">(AJ222+AJ225+AJ228)/AJ231</f>
        <v>1</v>
      </c>
      <c r="AK232" s="252">
        <f t="shared" ref="AK232:AP232" si="668">(AK222+AK225+AK228)/AK231</f>
        <v>1</v>
      </c>
      <c r="AL232" s="276">
        <f t="shared" si="668"/>
        <v>1</v>
      </c>
      <c r="AM232" s="222">
        <f t="shared" si="668"/>
        <v>1</v>
      </c>
      <c r="AN232" s="275">
        <f t="shared" si="668"/>
        <v>1</v>
      </c>
      <c r="AO232" s="252">
        <f t="shared" si="668"/>
        <v>1</v>
      </c>
      <c r="AP232" s="252">
        <f t="shared" si="668"/>
        <v>1</v>
      </c>
      <c r="AQ232" s="276">
        <f t="shared" ref="AQ232:AR232" si="669">(AQ222+AQ225+AQ228)/AQ231</f>
        <v>1</v>
      </c>
      <c r="AR232" s="222">
        <f t="shared" si="669"/>
        <v>1</v>
      </c>
      <c r="AS232" s="275">
        <f t="shared" ref="AS232:AT232" si="670">(AS222+AS225+AS228)/AS231</f>
        <v>1</v>
      </c>
      <c r="AT232" s="252">
        <f t="shared" si="670"/>
        <v>1</v>
      </c>
      <c r="AU232" s="252">
        <f t="shared" ref="AU232:AW232" si="671">(AU222+AU225+AU228)/AU231</f>
        <v>1</v>
      </c>
      <c r="AV232" s="276">
        <f t="shared" si="671"/>
        <v>1</v>
      </c>
      <c r="AW232" s="222">
        <f t="shared" si="671"/>
        <v>1</v>
      </c>
      <c r="AX232" s="275">
        <f t="shared" ref="AX232:BB232" ca="1" si="672">(AX222+AX225+AX228)/AX231</f>
        <v>1</v>
      </c>
      <c r="AY232" s="252">
        <f t="shared" ca="1" si="672"/>
        <v>1</v>
      </c>
      <c r="AZ232" s="252">
        <f t="shared" ca="1" si="672"/>
        <v>1</v>
      </c>
      <c r="BA232" s="276">
        <f t="shared" ca="1" si="672"/>
        <v>1</v>
      </c>
      <c r="BB232" s="222">
        <f t="shared" ca="1" si="672"/>
        <v>1</v>
      </c>
      <c r="BC232" s="275">
        <f t="shared" ref="BC232:BL232" ca="1" si="673">(BC222+BC225+BC228)/BC231</f>
        <v>1</v>
      </c>
      <c r="BD232" s="252">
        <f t="shared" ca="1" si="673"/>
        <v>1</v>
      </c>
      <c r="BE232" s="252">
        <f t="shared" ca="1" si="673"/>
        <v>1</v>
      </c>
      <c r="BF232" s="276">
        <f t="shared" ca="1" si="673"/>
        <v>1</v>
      </c>
      <c r="BG232" s="222">
        <f t="shared" ca="1" si="673"/>
        <v>1</v>
      </c>
      <c r="BH232" s="275">
        <f t="shared" ca="1" si="673"/>
        <v>1</v>
      </c>
      <c r="BI232" s="252">
        <f t="shared" ca="1" si="673"/>
        <v>1</v>
      </c>
      <c r="BJ232" s="252">
        <f t="shared" ca="1" si="673"/>
        <v>1</v>
      </c>
      <c r="BK232" s="276">
        <f t="shared" ca="1" si="673"/>
        <v>1</v>
      </c>
      <c r="BL232" s="222">
        <f t="shared" ca="1" si="673"/>
        <v>1</v>
      </c>
      <c r="BM232" s="275">
        <f t="shared" ref="BM232:BQ232" ca="1" si="674">(BM222+BM225+BM228)/BM231</f>
        <v>1</v>
      </c>
      <c r="BN232" s="252">
        <f t="shared" ca="1" si="674"/>
        <v>1</v>
      </c>
      <c r="BO232" s="252">
        <f t="shared" ca="1" si="674"/>
        <v>1</v>
      </c>
      <c r="BP232" s="276">
        <f t="shared" ca="1" si="674"/>
        <v>1</v>
      </c>
      <c r="BQ232" s="222">
        <f t="shared" ca="1" si="674"/>
        <v>1</v>
      </c>
      <c r="BR232" s="223"/>
      <c r="BS232" s="223"/>
      <c r="BT232" s="223"/>
      <c r="BU232" s="223"/>
      <c r="BV232" s="223"/>
      <c r="BW232" s="223"/>
      <c r="BX232" s="223"/>
      <c r="BY232" s="223"/>
      <c r="BZ232" s="223"/>
      <c r="CA232" s="223"/>
      <c r="CB232" s="223"/>
      <c r="CC232" s="223"/>
      <c r="CD232" s="223"/>
      <c r="CE232" s="223"/>
      <c r="CF232" s="223"/>
      <c r="CG232" s="223"/>
      <c r="CH232" s="223"/>
      <c r="CI232" s="223"/>
      <c r="CJ232" s="223"/>
      <c r="CK232" s="223"/>
      <c r="CL232" s="223"/>
      <c r="CM232" s="223"/>
      <c r="CN232" s="223"/>
      <c r="CO232" s="223"/>
      <c r="CP232" s="223"/>
      <c r="CQ232" s="223"/>
      <c r="CR232" s="223"/>
      <c r="CS232" s="223"/>
      <c r="CT232" s="223"/>
      <c r="CU232" s="223"/>
    </row>
    <row r="233" spans="1:99" ht="12.75" customHeight="1">
      <c r="A233" s="28"/>
      <c r="B233" s="28"/>
      <c r="C233" s="28"/>
      <c r="D233" s="28"/>
      <c r="E233" s="415"/>
      <c r="F233" s="242"/>
      <c r="G233" s="242"/>
      <c r="H233" s="416"/>
      <c r="I233" s="23"/>
      <c r="J233" s="415"/>
      <c r="K233" s="242"/>
      <c r="L233" s="242"/>
      <c r="M233" s="416"/>
      <c r="N233" s="23"/>
      <c r="O233" s="415"/>
      <c r="P233" s="242"/>
      <c r="Q233" s="242"/>
      <c r="R233" s="416"/>
      <c r="S233" s="23"/>
      <c r="T233" s="415"/>
      <c r="U233" s="242"/>
      <c r="V233" s="242"/>
      <c r="W233" s="416"/>
      <c r="X233" s="23"/>
      <c r="Y233" s="415"/>
      <c r="Z233" s="242"/>
      <c r="AA233" s="242"/>
      <c r="AB233" s="416"/>
      <c r="AC233" s="23"/>
      <c r="AD233" s="415"/>
      <c r="AE233" s="242"/>
      <c r="AF233" s="242"/>
      <c r="AG233" s="416"/>
      <c r="AH233" s="23"/>
      <c r="AI233" s="415"/>
      <c r="AJ233" s="242"/>
      <c r="AK233" s="242"/>
      <c r="AL233" s="416"/>
      <c r="AM233" s="23"/>
      <c r="AN233" s="415"/>
      <c r="AO233" s="242"/>
      <c r="AP233" s="242"/>
      <c r="AQ233" s="416"/>
      <c r="AR233" s="23"/>
      <c r="AS233" s="415"/>
      <c r="AT233" s="242"/>
      <c r="AU233" s="242"/>
      <c r="AV233" s="416"/>
      <c r="AW233" s="23"/>
      <c r="AX233" s="415"/>
      <c r="AY233" s="242"/>
      <c r="AZ233" s="242"/>
      <c r="BA233" s="416"/>
      <c r="BB233" s="23"/>
      <c r="BC233" s="415"/>
      <c r="BD233" s="242"/>
      <c r="BE233" s="242"/>
      <c r="BF233" s="416"/>
      <c r="BG233" s="23"/>
      <c r="BH233" s="415"/>
      <c r="BI233" s="242"/>
      <c r="BJ233" s="242"/>
      <c r="BK233" s="416"/>
      <c r="BL233" s="23"/>
      <c r="BM233" s="415"/>
      <c r="BN233" s="242"/>
      <c r="BO233" s="242"/>
      <c r="BP233" s="416"/>
      <c r="BQ233" s="23"/>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row>
    <row r="234" spans="1:99" ht="12.75" customHeight="1">
      <c r="A234" s="28"/>
      <c r="B234" s="28"/>
      <c r="C234" s="28"/>
      <c r="D234" s="28"/>
      <c r="E234" s="415"/>
      <c r="F234" s="242"/>
      <c r="G234" s="242"/>
      <c r="H234" s="416"/>
      <c r="I234" s="23"/>
      <c r="J234" s="415"/>
      <c r="K234" s="242"/>
      <c r="L234" s="242"/>
      <c r="M234" s="416"/>
      <c r="N234" s="23"/>
      <c r="O234" s="415"/>
      <c r="P234" s="242"/>
      <c r="Q234" s="242"/>
      <c r="R234" s="416"/>
      <c r="S234" s="23"/>
      <c r="T234" s="415"/>
      <c r="U234" s="242"/>
      <c r="V234" s="242"/>
      <c r="W234" s="416"/>
      <c r="X234" s="23"/>
      <c r="Y234" s="415"/>
      <c r="Z234" s="242"/>
      <c r="AA234" s="242"/>
      <c r="AB234" s="416"/>
      <c r="AC234" s="23"/>
      <c r="AD234" s="415"/>
      <c r="AE234" s="242"/>
      <c r="AF234" s="242"/>
      <c r="AG234" s="416"/>
      <c r="AH234" s="23"/>
      <c r="AI234" s="415"/>
      <c r="AJ234" s="242"/>
      <c r="AK234" s="242"/>
      <c r="AL234" s="416"/>
      <c r="AM234" s="23"/>
      <c r="AN234" s="415"/>
      <c r="AO234" s="242"/>
      <c r="AP234" s="242"/>
      <c r="AQ234" s="416"/>
      <c r="AR234" s="23"/>
      <c r="AS234" s="415"/>
      <c r="AT234" s="242"/>
      <c r="AU234" s="242"/>
      <c r="AV234" s="416"/>
      <c r="AW234" s="23"/>
      <c r="AX234" s="415"/>
      <c r="AY234" s="242"/>
      <c r="AZ234" s="242"/>
      <c r="BA234" s="416"/>
      <c r="BB234" s="23"/>
      <c r="BC234" s="415"/>
      <c r="BD234" s="242"/>
      <c r="BE234" s="242"/>
      <c r="BF234" s="416"/>
      <c r="BG234" s="23"/>
      <c r="BH234" s="415"/>
      <c r="BI234" s="242"/>
      <c r="BJ234" s="242"/>
      <c r="BK234" s="416"/>
      <c r="BL234" s="23"/>
      <c r="BM234" s="415"/>
      <c r="BN234" s="242"/>
      <c r="BO234" s="242"/>
      <c r="BP234" s="416"/>
      <c r="BQ234" s="23"/>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row>
    <row r="235" spans="1:99" ht="12.75" customHeight="1">
      <c r="A235" s="28"/>
      <c r="B235" s="73" t="s">
        <v>613</v>
      </c>
      <c r="C235" s="246"/>
      <c r="D235" s="15"/>
      <c r="E235" s="415"/>
      <c r="F235" s="242"/>
      <c r="G235" s="242"/>
      <c r="H235" s="416"/>
      <c r="I235" s="23"/>
      <c r="J235" s="415"/>
      <c r="K235" s="242"/>
      <c r="L235" s="242"/>
      <c r="M235" s="416"/>
      <c r="N235" s="23"/>
      <c r="O235" s="415"/>
      <c r="P235" s="242"/>
      <c r="Q235" s="242"/>
      <c r="R235" s="416"/>
      <c r="S235" s="23"/>
      <c r="T235" s="415"/>
      <c r="U235" s="242"/>
      <c r="V235" s="242"/>
      <c r="W235" s="416"/>
      <c r="X235" s="23"/>
      <c r="Y235" s="415"/>
      <c r="Z235" s="242"/>
      <c r="AA235" s="242"/>
      <c r="AB235" s="416"/>
      <c r="AC235" s="23"/>
      <c r="AD235" s="415"/>
      <c r="AE235" s="242"/>
      <c r="AF235" s="242"/>
      <c r="AG235" s="416"/>
      <c r="AH235" s="23"/>
      <c r="AI235" s="415"/>
      <c r="AJ235" s="242"/>
      <c r="AK235" s="242"/>
      <c r="AL235" s="416"/>
      <c r="AM235" s="23"/>
      <c r="AN235" s="415"/>
      <c r="AO235" s="242"/>
      <c r="AP235" s="242"/>
      <c r="AQ235" s="416"/>
      <c r="AR235" s="23"/>
      <c r="AS235" s="415"/>
      <c r="AT235" s="242"/>
      <c r="AU235" s="242"/>
      <c r="AV235" s="416"/>
      <c r="AW235" s="23"/>
      <c r="AX235" s="415"/>
      <c r="AY235" s="242"/>
      <c r="AZ235" s="242"/>
      <c r="BA235" s="416"/>
      <c r="BB235" s="23"/>
      <c r="BC235" s="415"/>
      <c r="BD235" s="242"/>
      <c r="BE235" s="242"/>
      <c r="BF235" s="416"/>
      <c r="BG235" s="23"/>
      <c r="BH235" s="415"/>
      <c r="BI235" s="242"/>
      <c r="BJ235" s="242"/>
      <c r="BK235" s="416"/>
      <c r="BL235" s="23"/>
      <c r="BM235" s="415"/>
      <c r="BN235" s="242"/>
      <c r="BO235" s="242"/>
      <c r="BP235" s="416"/>
      <c r="BQ235" s="23"/>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row>
    <row r="236" spans="1:99" ht="12.75" customHeight="1">
      <c r="A236" s="45"/>
      <c r="B236" s="45"/>
      <c r="C236" s="391" t="s">
        <v>222</v>
      </c>
      <c r="D236" s="45"/>
      <c r="E236" s="290"/>
      <c r="F236" s="260"/>
      <c r="G236" s="261"/>
      <c r="H236" s="291">
        <f>SUM(E40:H40)+SUM(E14:H14)</f>
        <v>1306</v>
      </c>
      <c r="I236" s="45">
        <f>I40+I14</f>
        <v>1306</v>
      </c>
      <c r="J236" s="290">
        <f>SUM(J40,F40:H40)+SUM(J14,F14:H14)</f>
        <v>1344</v>
      </c>
      <c r="K236" s="260">
        <f>SUM(J40:K40,G40:H40)+SUM(J14:K14,G14:H14)</f>
        <v>1405</v>
      </c>
      <c r="L236" s="260">
        <f>SUM(J40:L40,H40)+SUM(J14:L14,H14)</f>
        <v>1495</v>
      </c>
      <c r="M236" s="291">
        <f>SUM(J40:M40)+SUM(J14:M14)</f>
        <v>1415</v>
      </c>
      <c r="N236" s="45">
        <f>N40+N14</f>
        <v>1415</v>
      </c>
      <c r="O236" s="290">
        <f>SUM(O40,K40:M40)+SUM(O14,K14:M14)</f>
        <v>1213</v>
      </c>
      <c r="P236" s="260">
        <f>SUM(O40:P40,L40:M40)+SUM(O14:P14,L14:M14)</f>
        <v>981</v>
      </c>
      <c r="Q236" s="260">
        <f>SUM(O40:Q40,M40)+SUM(O14:Q14,M14)</f>
        <v>683</v>
      </c>
      <c r="R236" s="291">
        <f>SUM(O40:R40)+SUM(O14:R14)</f>
        <v>590</v>
      </c>
      <c r="S236" s="45">
        <f>S40+S14</f>
        <v>590</v>
      </c>
      <c r="T236" s="290">
        <f>SUM(T40,P40:R40)+SUM(T14,P14:R14)</f>
        <v>569</v>
      </c>
      <c r="U236" s="260">
        <f>SUM(U40,Q40:S40)+SUM(U14,Q14:S14)</f>
        <v>1007</v>
      </c>
      <c r="V236" s="260">
        <f>SUM(T40:V40,R40)+SUM(T14:V14,R14)</f>
        <v>593.99999999999989</v>
      </c>
      <c r="W236" s="291">
        <f>SUM(T40:W40)+SUM(T14:W14)</f>
        <v>604</v>
      </c>
      <c r="X236" s="45">
        <f>X40+X14</f>
        <v>603.99999999999955</v>
      </c>
      <c r="Y236" s="290">
        <f>SUM(Y40,U40:W40)+SUM(Y14,U14:W14)</f>
        <v>631</v>
      </c>
      <c r="Z236" s="260">
        <f>SUM(Y40:Z40,V40:W40)+SUM(Y14:Z14,V14:W14)</f>
        <v>627</v>
      </c>
      <c r="AA236" s="1441">
        <f>SUM(Y40:AA40,W40)+SUM(Y14:AA14,W14)</f>
        <v>598.00000000000011</v>
      </c>
      <c r="AB236" s="1442">
        <f>SUM(Y40:AB40)+SUM(Y14:AB14)</f>
        <v>621.00000000000011</v>
      </c>
      <c r="AC236" s="1443">
        <f>AC40+AC14</f>
        <v>621</v>
      </c>
      <c r="AD236" s="290">
        <f>SUM(AD40,Z40:AB40)+SUM(AD14,Z14:AB14)</f>
        <v>588.00000000000011</v>
      </c>
      <c r="AE236" s="260">
        <f>SUM(AD40:AE40,AA40:AB40)+SUM(AD14:AE14,AA14:AB14)</f>
        <v>601.00000000000011</v>
      </c>
      <c r="AF236" s="260">
        <f>SUM(AD40:AF40,AB40)+SUM(AD14:AF14,AB14)</f>
        <v>591.00000000000011</v>
      </c>
      <c r="AG236" s="291">
        <f>SUM(AD40:AG40)+SUM(AD14:AG14)</f>
        <v>589</v>
      </c>
      <c r="AH236" s="45">
        <f>AH40+AH14</f>
        <v>589</v>
      </c>
      <c r="AI236" s="290">
        <f>SUM(AI40,AE40:AG40)+SUM(AI14,AE14:AG14)</f>
        <v>644</v>
      </c>
      <c r="AJ236" s="260">
        <f>SUM(AI40:AJ40,AF40:AG40)+SUM(AI14:AJ14,AF14:AG14)</f>
        <v>641</v>
      </c>
      <c r="AK236" s="260">
        <f>SUM(AI40:AK40,AG40)+SUM(AI14:AK14,AG14)</f>
        <v>660</v>
      </c>
      <c r="AL236" s="291">
        <f>SUM(AI40:AL40)+SUM(AI14:AL14)</f>
        <v>640.00000000000011</v>
      </c>
      <c r="AM236" s="45">
        <f>AM40+AM14</f>
        <v>640</v>
      </c>
      <c r="AN236" s="290">
        <f>SUM(AN40,AJ40:AL40)+SUM(AN14,AJ14:AL14)</f>
        <v>631.00000000000011</v>
      </c>
      <c r="AO236" s="260">
        <f>SUM(AN40:AO40,AK40:AL40)+SUM(AN14:AO14,AK14:AL14)</f>
        <v>659.00000000000011</v>
      </c>
      <c r="AP236" s="260">
        <f>SUM(AN40:AP40,AL40)+SUM(AN14:AP14,AL14)</f>
        <v>690.00000000000011</v>
      </c>
      <c r="AQ236" s="291">
        <f>SUM(AN40:AQ40)+SUM(AN14:AQ14)</f>
        <v>714</v>
      </c>
      <c r="AR236" s="45">
        <f>AR40+AR14</f>
        <v>714</v>
      </c>
      <c r="AS236" s="290">
        <f>SUM(AS40,AO40:AQ40)+SUM(AS14,AO14:AQ14)</f>
        <v>721</v>
      </c>
      <c r="AT236" s="260">
        <f>SUM(AS40:AT40,AP40:AQ40)+SUM(AS14:AT14,AP14:AQ14)</f>
        <v>713</v>
      </c>
      <c r="AU236" s="260">
        <f>SUM(AS40:AU40,AQ40)+SUM(AS14:AU14,AQ14)</f>
        <v>709</v>
      </c>
      <c r="AV236" s="291">
        <f>SUM(AS40:AV40)+SUM(AS14:AV14)</f>
        <v>713.00000000000011</v>
      </c>
      <c r="AW236" s="45">
        <f>AW40+AW14</f>
        <v>713</v>
      </c>
      <c r="AX236" s="290">
        <f>SUM(AX40,AT40:AV40)+SUM(AX14,AT14:AV14)</f>
        <v>715.55698338081584</v>
      </c>
      <c r="AY236" s="260">
        <f ca="1">SUM(AX40:AY40,AU40:AV40)+SUM(AX14:AY14,AU14:AV14)</f>
        <v>713.97410021422979</v>
      </c>
      <c r="AZ236" s="260">
        <f ca="1">SUM(AX40:AZ40,AV40)+SUM(AX14:AZ14,AV14)</f>
        <v>702.54602766813014</v>
      </c>
      <c r="BA236" s="291">
        <f ca="1">SUM(AX40:BA40)+SUM(AX14:BA14)</f>
        <v>705.33262478242932</v>
      </c>
      <c r="BB236" s="45">
        <f ca="1">BB40+BB14</f>
        <v>705.33262478243023</v>
      </c>
      <c r="BC236" s="290">
        <f ca="1">SUM(BC40,AY40:BA40)+SUM(BC14,AY14:BA14)</f>
        <v>720.18435159716341</v>
      </c>
      <c r="BD236" s="260">
        <f ca="1">SUM(BC40:BD40,AZ40:BA40)+SUM(BC14:BD14,AZ14:BA14)</f>
        <v>731.26878403776675</v>
      </c>
      <c r="BE236" s="260">
        <f ca="1">SUM(BC40:BE40,BA40)+SUM(BC14:BE14,BA14)</f>
        <v>743.92822205304253</v>
      </c>
      <c r="BF236" s="291">
        <f ca="1">SUM(BC40:BF40)+SUM(BC14:BF14)</f>
        <v>757.31107071964334</v>
      </c>
      <c r="BG236" s="45">
        <f ca="1">BG40+BG14</f>
        <v>757.31107071964311</v>
      </c>
      <c r="BH236" s="290">
        <f ca="1">SUM(BH40,BD40:BF40)+SUM(BH14,BD14:BF14)</f>
        <v>771.82655191655704</v>
      </c>
      <c r="BI236" s="260">
        <f ca="1">SUM(BH40:BI40,BE40:BF40)+SUM(BH14:BI14,BE14:BF14)</f>
        <v>786.0338969832369</v>
      </c>
      <c r="BJ236" s="260">
        <f ca="1">SUM(BH40:BJ40,BF40)+SUM(BH14:BJ14,BF14)</f>
        <v>800.58095270045521</v>
      </c>
      <c r="BK236" s="291">
        <f ca="1">SUM(BH40:BK40)+SUM(BH14:BK14)</f>
        <v>815.54440743935629</v>
      </c>
      <c r="BL236" s="45">
        <f ca="1">BL40+BL14</f>
        <v>815.54440743935675</v>
      </c>
      <c r="BM236" s="290">
        <f ca="1">SUM(BM40,BI40:BK40)+SUM(BM14,BI14:BK14)</f>
        <v>826.59781939137054</v>
      </c>
      <c r="BN236" s="260">
        <f ca="1">SUM(BM40:BN40,BJ40:BK40)+SUM(BM14:BN14,BJ14:BK14)</f>
        <v>837.18928837682301</v>
      </c>
      <c r="BO236" s="260">
        <f ca="1">SUM(BM40:BO40,BK40)+SUM(BM14:BO14,BK14)</f>
        <v>847.55740670281602</v>
      </c>
      <c r="BP236" s="291">
        <f ca="1">SUM(BM40:BP40)+SUM(BM14:BP14)</f>
        <v>858.32952554009023</v>
      </c>
      <c r="BQ236" s="45">
        <f ca="1">BQ40+BQ14</f>
        <v>858.32952554009</v>
      </c>
      <c r="BR236" s="45"/>
      <c r="BS236" s="45"/>
      <c r="BT236" s="45"/>
      <c r="BU236" s="45"/>
      <c r="BV236" s="45"/>
      <c r="BW236" s="45"/>
      <c r="BX236" s="45"/>
      <c r="BY236" s="45"/>
      <c r="BZ236" s="45"/>
      <c r="CA236" s="45"/>
      <c r="CB236" s="45"/>
      <c r="CC236" s="45"/>
      <c r="CD236" s="45"/>
      <c r="CE236" s="45"/>
      <c r="CF236" s="45"/>
      <c r="CG236" s="45"/>
      <c r="CH236" s="45"/>
      <c r="CI236" s="45"/>
      <c r="CJ236" s="45"/>
      <c r="CK236" s="45"/>
      <c r="CL236" s="45"/>
      <c r="CM236" s="45"/>
      <c r="CN236" s="45"/>
      <c r="CO236" s="45"/>
      <c r="CP236" s="45"/>
      <c r="CQ236" s="45"/>
      <c r="CR236" s="45"/>
      <c r="CS236" s="45"/>
      <c r="CT236" s="45"/>
      <c r="CU236" s="45"/>
    </row>
    <row r="237" spans="1:99" ht="12.75" customHeight="1">
      <c r="A237" s="45"/>
      <c r="B237" s="45"/>
      <c r="C237" s="391" t="s">
        <v>227</v>
      </c>
      <c r="D237" s="45"/>
      <c r="E237" s="290"/>
      <c r="F237" s="260"/>
      <c r="G237" s="261"/>
      <c r="H237" s="291">
        <f>SUM(E26:H26)</f>
        <v>686</v>
      </c>
      <c r="I237" s="45">
        <f>+I26</f>
        <v>686</v>
      </c>
      <c r="J237" s="290">
        <f>SUM(J26,F26:H26)</f>
        <v>676</v>
      </c>
      <c r="K237" s="260">
        <f>SUM(J26:K26,G26:H26)</f>
        <v>706</v>
      </c>
      <c r="L237" s="260">
        <f>SUM(J26:L26,H26)</f>
        <v>756</v>
      </c>
      <c r="M237" s="291">
        <f>SUM(J26:M26)</f>
        <v>669</v>
      </c>
      <c r="N237" s="45">
        <f>+N26</f>
        <v>669</v>
      </c>
      <c r="O237" s="290">
        <f>SUM(O26,K26:M26)</f>
        <v>687</v>
      </c>
      <c r="P237" s="260">
        <f>SUM(O26:P26,L26:M26)</f>
        <v>670</v>
      </c>
      <c r="Q237" s="260">
        <f>SUM(O26:Q26,M26)</f>
        <v>608</v>
      </c>
      <c r="R237" s="291">
        <f>SUM(O26:R26)</f>
        <v>669</v>
      </c>
      <c r="S237" s="45">
        <f>+S26</f>
        <v>669</v>
      </c>
      <c r="T237" s="290">
        <f>SUM(T26,P26:R26)</f>
        <v>632</v>
      </c>
      <c r="U237" s="260">
        <f>SUM(U26,Q26:S26)</f>
        <v>1111</v>
      </c>
      <c r="V237" s="260">
        <f>SUM(T26:V26,R26)</f>
        <v>644.99999999999989</v>
      </c>
      <c r="W237" s="291">
        <f>SUM(T26:W26)</f>
        <v>631</v>
      </c>
      <c r="X237" s="45">
        <f>+X26</f>
        <v>630.99999999999955</v>
      </c>
      <c r="Y237" s="290">
        <f>SUM(Y26,U26:W26)</f>
        <v>658</v>
      </c>
      <c r="Z237" s="260">
        <f>SUM(Y26:Z26,V26:W26)</f>
        <v>643</v>
      </c>
      <c r="AA237" s="1441">
        <f>SUM(Y26:AA26,W26)</f>
        <v>619.00000000000011</v>
      </c>
      <c r="AB237" s="1442">
        <f>SUM(Y26:AB26)</f>
        <v>672.00000000000011</v>
      </c>
      <c r="AC237" s="1443">
        <f>+AC26</f>
        <v>672</v>
      </c>
      <c r="AD237" s="290">
        <f>SUM(AD26,Z26:AB26)</f>
        <v>617.00000000000011</v>
      </c>
      <c r="AE237" s="260">
        <f>SUM(AD26:AE26,AA26:AB26)</f>
        <v>614.00000000000011</v>
      </c>
      <c r="AF237" s="260">
        <f>SUM(AD26:AF26,AB26)</f>
        <v>593.00000000000011</v>
      </c>
      <c r="AG237" s="291">
        <f>SUM(AD26:AG26)</f>
        <v>579</v>
      </c>
      <c r="AH237" s="45">
        <f>+AH26</f>
        <v>579</v>
      </c>
      <c r="AI237" s="290">
        <f>SUM(AI26,AE26:AG26)</f>
        <v>653</v>
      </c>
      <c r="AJ237" s="260">
        <f>SUM(AI26:AJ26,AF26:AG26)</f>
        <v>643</v>
      </c>
      <c r="AK237" s="260">
        <f>SUM(AI26:AK26,AG26)</f>
        <v>663</v>
      </c>
      <c r="AL237" s="291">
        <f>SUM(AI26:AL26)</f>
        <v>635.00000000000011</v>
      </c>
      <c r="AM237" s="45">
        <f>+AM26</f>
        <v>635</v>
      </c>
      <c r="AN237" s="290">
        <f>SUM(AN26,AJ26:AL26)</f>
        <v>608.00000000000011</v>
      </c>
      <c r="AO237" s="260">
        <f>SUM(AN26:AO26,AK26:AL26)</f>
        <v>637.00000000000011</v>
      </c>
      <c r="AP237" s="260">
        <f>SUM(AN26:AP26,AL26)</f>
        <v>688.00000000000011</v>
      </c>
      <c r="AQ237" s="291">
        <f>SUM(AN26:AQ26)</f>
        <v>710</v>
      </c>
      <c r="AR237" s="45">
        <f>+AR26</f>
        <v>710</v>
      </c>
      <c r="AS237" s="290">
        <f>SUM(AS26,AO26:AQ26)</f>
        <v>706</v>
      </c>
      <c r="AT237" s="260">
        <f>SUM(AS26:AT26,AP26:AQ26)</f>
        <v>691</v>
      </c>
      <c r="AU237" s="260">
        <f>SUM(AS26:AU26,AQ26)</f>
        <v>656</v>
      </c>
      <c r="AV237" s="291">
        <f>SUM(AS26:AV26)</f>
        <v>664.00000000000011</v>
      </c>
      <c r="AW237" s="45">
        <f>+AW26</f>
        <v>664</v>
      </c>
      <c r="AX237" s="290">
        <f>SUM(AX26,AT26:AV26)</f>
        <v>672.19058470848734</v>
      </c>
      <c r="AY237" s="260">
        <f>SUM(AX26:AY26,AU26:AV26)</f>
        <v>675.97590766490157</v>
      </c>
      <c r="AZ237" s="260">
        <f>SUM(AX26:AZ26,AV26)</f>
        <v>674.1447862133698</v>
      </c>
      <c r="BA237" s="291">
        <f>SUM(AX26:BA26)</f>
        <v>673.50823195269788</v>
      </c>
      <c r="BB237" s="45">
        <f>+BB26</f>
        <v>673.50823195269868</v>
      </c>
      <c r="BC237" s="290">
        <f>SUM(BC26,AY26:BA26)</f>
        <v>688.03212073669533</v>
      </c>
      <c r="BD237" s="260">
        <f>SUM(BC26:BD26,AZ26:BA26)</f>
        <v>701.69834242437105</v>
      </c>
      <c r="BE237" s="260">
        <f>SUM(BC26:BE26,BA26)</f>
        <v>715.56924962218227</v>
      </c>
      <c r="BF237" s="291">
        <f>SUM(BC26:BF26)</f>
        <v>729.45544680448518</v>
      </c>
      <c r="BG237" s="45">
        <f>+BG26</f>
        <v>729.45544680448495</v>
      </c>
      <c r="BH237" s="290">
        <f>SUM(BH26,BD26:BF26)</f>
        <v>744.8839514575086</v>
      </c>
      <c r="BI237" s="260">
        <f>SUM(BH26:BI26,BE26:BF26)</f>
        <v>759.56011914608291</v>
      </c>
      <c r="BJ237" s="260">
        <f>SUM(BH26:BJ26,BF26)</f>
        <v>774.79695275683628</v>
      </c>
      <c r="BK237" s="291">
        <f>SUM(BH26:BK26)</f>
        <v>790.40216080332323</v>
      </c>
      <c r="BL237" s="45">
        <f>+BL26</f>
        <v>790.40216080332357</v>
      </c>
      <c r="BM237" s="290">
        <f>SUM(BM26,BI26:BK26)</f>
        <v>799.56830440061913</v>
      </c>
      <c r="BN237" s="260">
        <f>SUM(BM26:BN26,BJ26:BK26)</f>
        <v>808.16790220928931</v>
      </c>
      <c r="BO237" s="260">
        <f>SUM(BM26:BO26,BK26)</f>
        <v>817.07482928890818</v>
      </c>
      <c r="BP237" s="291">
        <f>SUM(BM26:BP26)</f>
        <v>826.09915620490096</v>
      </c>
      <c r="BQ237" s="45">
        <f>+BQ26</f>
        <v>826.09915620490074</v>
      </c>
      <c r="BR237" s="45"/>
      <c r="BS237" s="45"/>
      <c r="BT237" s="45"/>
      <c r="BU237" s="45"/>
      <c r="BV237" s="45"/>
      <c r="BW237" s="45"/>
      <c r="BX237" s="45"/>
      <c r="BY237" s="45"/>
      <c r="BZ237" s="45"/>
      <c r="CA237" s="45"/>
      <c r="CB237" s="45"/>
      <c r="CC237" s="45"/>
      <c r="CD237" s="45"/>
      <c r="CE237" s="45"/>
      <c r="CF237" s="45"/>
      <c r="CG237" s="45"/>
      <c r="CH237" s="45"/>
      <c r="CI237" s="45"/>
      <c r="CJ237" s="45"/>
      <c r="CK237" s="45"/>
      <c r="CL237" s="45"/>
      <c r="CM237" s="45"/>
      <c r="CN237" s="45"/>
      <c r="CO237" s="45"/>
      <c r="CP237" s="45"/>
      <c r="CQ237" s="45"/>
      <c r="CR237" s="45"/>
      <c r="CS237" s="45"/>
      <c r="CT237" s="45"/>
      <c r="CU237" s="45"/>
    </row>
    <row r="238" spans="1:99" ht="12.75" customHeight="1">
      <c r="A238" s="45"/>
      <c r="B238" s="45"/>
      <c r="C238" s="391" t="s">
        <v>228</v>
      </c>
      <c r="D238" s="45"/>
      <c r="E238" s="290"/>
      <c r="F238" s="260"/>
      <c r="G238" s="261"/>
      <c r="H238" s="291">
        <f>SUM(E27:H27)</f>
        <v>1638</v>
      </c>
      <c r="I238" s="45">
        <f>+I27</f>
        <v>1638</v>
      </c>
      <c r="J238" s="290">
        <f>SUM(J27,F27:H27)</f>
        <v>1668</v>
      </c>
      <c r="K238" s="260">
        <f>SUM(J27:K27,G27:H27)</f>
        <v>1736</v>
      </c>
      <c r="L238" s="260">
        <f>SUM(J27:L27,H27)</f>
        <v>1840</v>
      </c>
      <c r="M238" s="291">
        <f>SUM(J27:M27)</f>
        <v>1729</v>
      </c>
      <c r="N238" s="45">
        <f>+N27</f>
        <v>1729</v>
      </c>
      <c r="O238" s="290">
        <f>SUM(O27,K27:M27)</f>
        <v>1530</v>
      </c>
      <c r="P238" s="260">
        <f>SUM(O27:P27,L27:M27)</f>
        <v>1295</v>
      </c>
      <c r="Q238" s="260">
        <f>SUM(O27:Q27,M27)</f>
        <v>958</v>
      </c>
      <c r="R238" s="291">
        <f>SUM(O27:R27)</f>
        <v>871</v>
      </c>
      <c r="S238" s="45">
        <f>+S27</f>
        <v>871</v>
      </c>
      <c r="T238" s="290">
        <f>SUM(T27,P27:R27)</f>
        <v>839</v>
      </c>
      <c r="U238" s="260">
        <f>SUM(U27,Q27:S27)</f>
        <v>1471</v>
      </c>
      <c r="V238" s="260">
        <f>SUM(T27:V27,R27)</f>
        <v>859.99999999999989</v>
      </c>
      <c r="W238" s="291">
        <f>SUM(T27:W27)</f>
        <v>848</v>
      </c>
      <c r="X238" s="45">
        <f>+X27</f>
        <v>847.99999999999955</v>
      </c>
      <c r="Y238" s="290">
        <f>SUM(Y27,U27:W27)</f>
        <v>879</v>
      </c>
      <c r="Z238" s="260">
        <f>SUM(Y27:Z27,V27:W27)</f>
        <v>866</v>
      </c>
      <c r="AA238" s="1441">
        <f>SUM(Y27:AA27,W27)</f>
        <v>844.00000000000011</v>
      </c>
      <c r="AB238" s="1442">
        <f>SUM(Y27:AB27)</f>
        <v>900.00000000000011</v>
      </c>
      <c r="AC238" s="1443">
        <f>+AC27</f>
        <v>900</v>
      </c>
      <c r="AD238" s="290">
        <f>SUM(AD27,Z27:AB27)</f>
        <v>846.00000000000011</v>
      </c>
      <c r="AE238" s="260">
        <f>SUM(AD27:AE27,AA27:AB27)</f>
        <v>846.00000000000011</v>
      </c>
      <c r="AF238" s="260">
        <f>SUM(AD27:AF27,AB27)</f>
        <v>827.00000000000011</v>
      </c>
      <c r="AG238" s="291">
        <f>SUM(AD27:AG27)</f>
        <v>815</v>
      </c>
      <c r="AH238" s="45">
        <f>+AH27</f>
        <v>815</v>
      </c>
      <c r="AI238" s="290">
        <f>SUM(AI27,AE27:AG27)</f>
        <v>893</v>
      </c>
      <c r="AJ238" s="260">
        <f>SUM(AI27:AJ27,AF27:AG27)</f>
        <v>893</v>
      </c>
      <c r="AK238" s="260">
        <f>SUM(AI27:AK27,AG27)</f>
        <v>922</v>
      </c>
      <c r="AL238" s="291">
        <f>SUM(AI27:AL27)</f>
        <v>895.00000000000011</v>
      </c>
      <c r="AM238" s="45">
        <f>+AM27</f>
        <v>895</v>
      </c>
      <c r="AN238" s="290">
        <f>SUM(AN27,AJ27:AL27)</f>
        <v>873.00000000000011</v>
      </c>
      <c r="AO238" s="260">
        <f>SUM(AN27:AO27,AK27:AL27)</f>
        <v>900.00000000000011</v>
      </c>
      <c r="AP238" s="260">
        <f>SUM(AN27:AP27,AL27)</f>
        <v>950.00000000000011</v>
      </c>
      <c r="AQ238" s="291">
        <f>SUM(AN27:AQ27)</f>
        <v>980</v>
      </c>
      <c r="AR238" s="45">
        <f>+AR27</f>
        <v>980</v>
      </c>
      <c r="AS238" s="290">
        <f>SUM(AS27,AO27:AQ27)</f>
        <v>980</v>
      </c>
      <c r="AT238" s="260">
        <f>SUM(AS27:AT27,AP27:AQ27)</f>
        <v>969</v>
      </c>
      <c r="AU238" s="260">
        <f>SUM(AS27:AU27,AQ27)</f>
        <v>939</v>
      </c>
      <c r="AV238" s="291">
        <f>SUM(AS27:AV27)</f>
        <v>950.00000000000011</v>
      </c>
      <c r="AW238" s="45">
        <f>+AW27</f>
        <v>950</v>
      </c>
      <c r="AX238" s="290">
        <f>SUM(AX27,AT27:AV27)</f>
        <v>953.95245241276746</v>
      </c>
      <c r="AY238" s="260">
        <f>SUM(AX27:AY27,AU27:AV27)</f>
        <v>954.43821703664059</v>
      </c>
      <c r="AZ238" s="260">
        <f>SUM(AX27:AZ27,AV27)</f>
        <v>949.44006265463611</v>
      </c>
      <c r="BA238" s="291">
        <f>SUM(AX27:BA27)</f>
        <v>946.75930609558111</v>
      </c>
      <c r="BB238" s="45">
        <f>+BB27</f>
        <v>946.75930609558191</v>
      </c>
      <c r="BC238" s="290">
        <f>SUM(BC27,AY27:BA27)</f>
        <v>965.59034372927511</v>
      </c>
      <c r="BD238" s="260">
        <f>SUM(BC27:BD27,AZ27:BA27)</f>
        <v>983.68731448508004</v>
      </c>
      <c r="BE238" s="260">
        <f>SUM(BC27:BE27,BA27)</f>
        <v>1002.0580460508264</v>
      </c>
      <c r="BF238" s="291">
        <f>SUM(BC27:BF27)</f>
        <v>1020.5125515948021</v>
      </c>
      <c r="BG238" s="45">
        <f>+BG27</f>
        <v>1020.5125515948018</v>
      </c>
      <c r="BH238" s="290">
        <f>SUM(BH27,BD27:BF27)</f>
        <v>1040.5772623589314</v>
      </c>
      <c r="BI238" s="260">
        <f>SUM(BH27:BI27,BE27:BF27)</f>
        <v>1059.9011775763927</v>
      </c>
      <c r="BJ238" s="260">
        <f>SUM(BH27:BJ27,BF27)</f>
        <v>1079.5001632118947</v>
      </c>
      <c r="BK238" s="291">
        <f>SUM(BH27:BK27)</f>
        <v>1099.1843725654089</v>
      </c>
      <c r="BL238" s="45">
        <f>+BL27</f>
        <v>1099.1843725654091</v>
      </c>
      <c r="BM238" s="290">
        <f>SUM(BM27,BI27:BK27)</f>
        <v>1112.1487906102943</v>
      </c>
      <c r="BN238" s="260">
        <f>SUM(BM27:BN27,BJ27:BK27)</f>
        <v>1124.3656293930451</v>
      </c>
      <c r="BO238" s="260">
        <f>SUM(BM27:BO27,BK27)</f>
        <v>1136.8588327380169</v>
      </c>
      <c r="BP238" s="291">
        <f>SUM(BM27:BP27)</f>
        <v>1149.4387362781808</v>
      </c>
      <c r="BQ238" s="45">
        <f>+BQ27</f>
        <v>1149.4387362781804</v>
      </c>
      <c r="BR238" s="45"/>
      <c r="BS238" s="45"/>
      <c r="BT238" s="45"/>
      <c r="BU238" s="45"/>
      <c r="BV238" s="45"/>
      <c r="BW238" s="45"/>
      <c r="BX238" s="45"/>
      <c r="BY238" s="45"/>
      <c r="BZ238" s="45"/>
      <c r="CA238" s="45"/>
      <c r="CB238" s="45"/>
      <c r="CC238" s="45"/>
      <c r="CD238" s="45"/>
      <c r="CE238" s="45"/>
      <c r="CF238" s="45"/>
      <c r="CG238" s="45"/>
      <c r="CH238" s="45"/>
      <c r="CI238" s="45"/>
      <c r="CJ238" s="45"/>
      <c r="CK238" s="45"/>
      <c r="CL238" s="45"/>
      <c r="CM238" s="45"/>
      <c r="CN238" s="45"/>
      <c r="CO238" s="45"/>
      <c r="CP238" s="45"/>
      <c r="CQ238" s="45"/>
      <c r="CR238" s="45"/>
      <c r="CS238" s="45"/>
      <c r="CT238" s="45"/>
      <c r="CU238" s="45"/>
    </row>
    <row r="239" spans="1:99" ht="12.75" customHeight="1">
      <c r="A239" s="45"/>
      <c r="B239" s="45"/>
      <c r="C239" s="391" t="s">
        <v>226</v>
      </c>
      <c r="D239" s="45"/>
      <c r="E239" s="290"/>
      <c r="F239" s="260"/>
      <c r="G239" s="261"/>
      <c r="H239" s="291">
        <f>SUM(E29:H29)</f>
        <v>187</v>
      </c>
      <c r="I239" s="45">
        <f>+I29</f>
        <v>187</v>
      </c>
      <c r="J239" s="290">
        <f>SUM(J29,F29:H29)</f>
        <v>182</v>
      </c>
      <c r="K239" s="260">
        <f>SUM(J29:K29,G29:H29)</f>
        <v>210</v>
      </c>
      <c r="L239" s="260">
        <f>SUM(J29:L29,H29)</f>
        <v>202</v>
      </c>
      <c r="M239" s="291">
        <f>SUM(J29:M29)</f>
        <v>193</v>
      </c>
      <c r="N239" s="45">
        <f>+N29</f>
        <v>193</v>
      </c>
      <c r="O239" s="290">
        <f>SUM(O29,K29:M29)</f>
        <v>182</v>
      </c>
      <c r="P239" s="260">
        <f>SUM(O29:P29,L29:M29)</f>
        <v>139</v>
      </c>
      <c r="Q239" s="260">
        <f>SUM(O29:Q29,M29)</f>
        <v>135</v>
      </c>
      <c r="R239" s="291">
        <f>SUM(O29:R29)</f>
        <v>134</v>
      </c>
      <c r="S239" s="45">
        <f>+S29</f>
        <v>134</v>
      </c>
      <c r="T239" s="290">
        <f>SUM(T29,P29:R29)</f>
        <v>131</v>
      </c>
      <c r="U239" s="260">
        <f>SUM(U29,Q29:S29)</f>
        <v>231</v>
      </c>
      <c r="V239" s="260">
        <f>SUM(T29:V29,R29)</f>
        <v>126</v>
      </c>
      <c r="W239" s="291">
        <f>SUM(T29:W29)</f>
        <v>123</v>
      </c>
      <c r="X239" s="45">
        <f>+X29</f>
        <v>123</v>
      </c>
      <c r="Y239" s="290">
        <f>SUM(Y29,U29:W29)</f>
        <v>121</v>
      </c>
      <c r="Z239" s="260">
        <f>SUM(Y29:Z29,V29:W29)</f>
        <v>118</v>
      </c>
      <c r="AA239" s="1441">
        <f>SUM(Y29:AA29,W29)</f>
        <v>115</v>
      </c>
      <c r="AB239" s="1442">
        <f>SUM(Y29:AB29)</f>
        <v>115</v>
      </c>
      <c r="AC239" s="1443">
        <f>+AC29</f>
        <v>115</v>
      </c>
      <c r="AD239" s="290">
        <f>SUM(AD29,Z29:AB29)</f>
        <v>114</v>
      </c>
      <c r="AE239" s="260">
        <f>SUM(AD29:AE29,AA29:AB29)</f>
        <v>114</v>
      </c>
      <c r="AF239" s="260">
        <f>SUM(AD29:AF29,AB29)</f>
        <v>114</v>
      </c>
      <c r="AG239" s="291">
        <f>SUM(AD29:AG29)</f>
        <v>113</v>
      </c>
      <c r="AH239" s="45">
        <f>+AH29</f>
        <v>113</v>
      </c>
      <c r="AI239" s="290">
        <f>SUM(AI29,AE29:AG29)</f>
        <v>113</v>
      </c>
      <c r="AJ239" s="260">
        <f>SUM(AI29:AJ29,AF29:AG29)</f>
        <v>113</v>
      </c>
      <c r="AK239" s="260">
        <f>SUM(AI29:AK29,AG29)</f>
        <v>112</v>
      </c>
      <c r="AL239" s="291">
        <f>SUM(AI29:AL29)</f>
        <v>114</v>
      </c>
      <c r="AM239" s="45">
        <f>+AM29</f>
        <v>114</v>
      </c>
      <c r="AN239" s="290">
        <f>SUM(AN29,AJ29:AL29)</f>
        <v>117</v>
      </c>
      <c r="AO239" s="260">
        <f>SUM(AN29:AO29,AK29:AL29)</f>
        <v>120</v>
      </c>
      <c r="AP239" s="260">
        <f>SUM(AN29:AP29,AL29)</f>
        <v>122</v>
      </c>
      <c r="AQ239" s="291">
        <f>SUM(AN29:AQ29)</f>
        <v>123</v>
      </c>
      <c r="AR239" s="45">
        <f>+AR29</f>
        <v>123</v>
      </c>
      <c r="AS239" s="290">
        <f>SUM(AS29,AO29:AQ29)</f>
        <v>123</v>
      </c>
      <c r="AT239" s="260">
        <f>SUM(AS29:AT29,AP29:AQ29)</f>
        <v>123</v>
      </c>
      <c r="AU239" s="260">
        <f>SUM(AS29:AU29,AQ29)</f>
        <v>124</v>
      </c>
      <c r="AV239" s="291">
        <f>SUM(AS29:AV29)</f>
        <v>126</v>
      </c>
      <c r="AW239" s="45">
        <f>+AW29</f>
        <v>126</v>
      </c>
      <c r="AX239" s="290">
        <f>SUM(AX29,AT29:AV29)</f>
        <v>126.16958333333334</v>
      </c>
      <c r="AY239" s="260">
        <f ca="1">SUM(AX29:AY29,AU29:AV29)</f>
        <v>123.99522201659408</v>
      </c>
      <c r="AZ239" s="260">
        <f ca="1">SUM(AX29:AZ29,AV29)</f>
        <v>129.18886538251925</v>
      </c>
      <c r="BA239" s="291">
        <f ca="1">SUM(AX29:BA29)</f>
        <v>130.05576071359616</v>
      </c>
      <c r="BB239" s="45">
        <f ca="1">+BB29</f>
        <v>130.05576071359616</v>
      </c>
      <c r="BC239" s="290">
        <f ca="1">SUM(BC29,AY29:BA29)</f>
        <v>131.28655433537568</v>
      </c>
      <c r="BD239" s="260">
        <f ca="1">SUM(BC29:BD29,AZ29:BA29)</f>
        <v>136.58486388939451</v>
      </c>
      <c r="BE239" s="260">
        <f ca="1">SUM(BC29:BE29,BA29)</f>
        <v>140.18161809928745</v>
      </c>
      <c r="BF239" s="291">
        <f ca="1">SUM(BC29:BF29)</f>
        <v>142.96464120811848</v>
      </c>
      <c r="BG239" s="45">
        <f ca="1">+BG29</f>
        <v>142.96464120811848</v>
      </c>
      <c r="BH239" s="290">
        <f ca="1">SUM(BH29,BD29:BF29)</f>
        <v>145.83326247798612</v>
      </c>
      <c r="BI239" s="260">
        <f ca="1">SUM(BH29:BI29,BE29:BF29)</f>
        <v>148.35420190747408</v>
      </c>
      <c r="BJ239" s="260">
        <f ca="1">SUM(BH29:BJ29,BF29)</f>
        <v>150.64428048106942</v>
      </c>
      <c r="BK239" s="291">
        <f ca="1">SUM(BH29:BK29)</f>
        <v>152.41722749115235</v>
      </c>
      <c r="BL239" s="45">
        <f ca="1">+BL29</f>
        <v>152.41722749115235</v>
      </c>
      <c r="BM239" s="290">
        <f ca="1">SUM(BM29,BI29:BK29)</f>
        <v>152.39965272841695</v>
      </c>
      <c r="BN239" s="260">
        <f ca="1">SUM(BM29:BN29,BJ29:BK29)</f>
        <v>152.17111381383157</v>
      </c>
      <c r="BO239" s="260">
        <f ca="1">SUM(BM29:BO29,BK29)</f>
        <v>152.49343069010882</v>
      </c>
      <c r="BP239" s="291">
        <f ca="1">SUM(BM29:BP29)</f>
        <v>152.38289404521146</v>
      </c>
      <c r="BQ239" s="45">
        <f ca="1">+BQ29</f>
        <v>152.38289404521146</v>
      </c>
      <c r="BR239" s="45"/>
      <c r="BS239" s="45"/>
      <c r="BT239" s="45"/>
      <c r="BU239" s="45"/>
      <c r="BV239" s="45"/>
      <c r="BW239" s="45"/>
      <c r="BX239" s="45"/>
      <c r="BY239" s="45"/>
      <c r="BZ239" s="45"/>
      <c r="CA239" s="45"/>
      <c r="CB239" s="45"/>
      <c r="CC239" s="45"/>
      <c r="CD239" s="45"/>
      <c r="CE239" s="45"/>
      <c r="CF239" s="45"/>
      <c r="CG239" s="45"/>
      <c r="CH239" s="45"/>
      <c r="CI239" s="45"/>
      <c r="CJ239" s="45"/>
      <c r="CK239" s="45"/>
      <c r="CL239" s="45"/>
      <c r="CM239" s="45"/>
      <c r="CN239" s="45"/>
      <c r="CO239" s="45"/>
      <c r="CP239" s="45"/>
      <c r="CQ239" s="45"/>
      <c r="CR239" s="45"/>
      <c r="CS239" s="45"/>
      <c r="CT239" s="45"/>
      <c r="CU239" s="45"/>
    </row>
    <row r="240" spans="1:99" ht="12.75" customHeight="1">
      <c r="A240" s="45"/>
      <c r="B240" s="45"/>
      <c r="C240" s="391" t="s">
        <v>231</v>
      </c>
      <c r="D240" s="45"/>
      <c r="E240" s="290"/>
      <c r="F240" s="260"/>
      <c r="G240" s="261"/>
      <c r="H240" s="291">
        <f>SUM(E40:H40)</f>
        <v>354</v>
      </c>
      <c r="I240" s="45">
        <f>I40</f>
        <v>354</v>
      </c>
      <c r="J240" s="290">
        <f>SUM(J40,F40:H40)</f>
        <v>352</v>
      </c>
      <c r="K240" s="260">
        <f>SUM(J40:K40,G40:H40)</f>
        <v>375</v>
      </c>
      <c r="L240" s="260">
        <f>SUM(J40:L40,H40)</f>
        <v>411</v>
      </c>
      <c r="M240" s="291">
        <f>SUM(J40:M40)</f>
        <v>355</v>
      </c>
      <c r="N240" s="45">
        <f>N40</f>
        <v>355</v>
      </c>
      <c r="O240" s="290">
        <f>SUM(O40,K40:M40)</f>
        <v>370</v>
      </c>
      <c r="P240" s="260">
        <f>SUM(O40:P40,L40:M40)</f>
        <v>356</v>
      </c>
      <c r="Q240" s="260">
        <f>SUM(O40:Q40,M40)</f>
        <v>333</v>
      </c>
      <c r="R240" s="291">
        <f>SUM(O40:R40)</f>
        <v>388</v>
      </c>
      <c r="S240" s="45">
        <f>S40</f>
        <v>388</v>
      </c>
      <c r="T240" s="290">
        <f>SUM(T40,P40:R40)</f>
        <v>362</v>
      </c>
      <c r="U240" s="260">
        <f>SUM(U40,Q40:S40)</f>
        <v>647</v>
      </c>
      <c r="V240" s="260">
        <f>SUM(T40:V40,R40)</f>
        <v>378.99999999999989</v>
      </c>
      <c r="W240" s="291">
        <f>SUM(T40:W40)</f>
        <v>387</v>
      </c>
      <c r="X240" s="45">
        <f>X40</f>
        <v>386.99999999999955</v>
      </c>
      <c r="Y240" s="290">
        <f>SUM(Y40,U40:W40)</f>
        <v>410</v>
      </c>
      <c r="Z240" s="260">
        <f>SUM(Y40:Z40,V40:W40)</f>
        <v>404</v>
      </c>
      <c r="AA240" s="1441">
        <f>SUM(Y40:AA40,W40)</f>
        <v>373.00000000000011</v>
      </c>
      <c r="AB240" s="1442">
        <f>SUM(Y40:AB40)</f>
        <v>393.00000000000011</v>
      </c>
      <c r="AC240" s="1443">
        <f>AC40</f>
        <v>393</v>
      </c>
      <c r="AD240" s="290">
        <f>SUM(AD40,Z40:AB40)</f>
        <v>359.00000000000011</v>
      </c>
      <c r="AE240" s="260">
        <f>SUM(AD40:AE40,AA40:AB40)</f>
        <v>369.00000000000011</v>
      </c>
      <c r="AF240" s="260">
        <f>SUM(AD40:AF40,AB40)</f>
        <v>357.00000000000011</v>
      </c>
      <c r="AG240" s="291">
        <f>SUM(AD40:AG40)</f>
        <v>353</v>
      </c>
      <c r="AH240" s="45">
        <f>AH40</f>
        <v>353</v>
      </c>
      <c r="AI240" s="290">
        <f>SUM(AI40,AE40:AG40)</f>
        <v>404</v>
      </c>
      <c r="AJ240" s="260">
        <f>SUM(AI40:AJ40,AF40:AG40)</f>
        <v>391</v>
      </c>
      <c r="AK240" s="260">
        <f>SUM(AI40:AK40,AG40)</f>
        <v>401</v>
      </c>
      <c r="AL240" s="291">
        <f>SUM(AI40:AL40)</f>
        <v>380.00000000000011</v>
      </c>
      <c r="AM240" s="45">
        <f>AM40</f>
        <v>380</v>
      </c>
      <c r="AN240" s="290">
        <f>SUM(AN40,AJ40:AL40)</f>
        <v>366.00000000000011</v>
      </c>
      <c r="AO240" s="260">
        <f>SUM(AN40:AO40,AK40:AL40)</f>
        <v>396.00000000000011</v>
      </c>
      <c r="AP240" s="260">
        <f>SUM(AN40:AP40,AL40)</f>
        <v>428.00000000000011</v>
      </c>
      <c r="AQ240" s="291">
        <f>SUM(AN40:AQ40)</f>
        <v>444</v>
      </c>
      <c r="AR240" s="45">
        <f>AR40</f>
        <v>444</v>
      </c>
      <c r="AS240" s="290">
        <f>SUM(AS40,AO40:AQ40)</f>
        <v>447</v>
      </c>
      <c r="AT240" s="260">
        <f>SUM(AS40:AT40,AP40:AQ40)</f>
        <v>435</v>
      </c>
      <c r="AU240" s="260">
        <f>SUM(AS40:AU40,AQ40)</f>
        <v>426</v>
      </c>
      <c r="AV240" s="291">
        <f>SUM(AS40:AV40)</f>
        <v>427.00000000000011</v>
      </c>
      <c r="AW240" s="45">
        <f>AW40</f>
        <v>427</v>
      </c>
      <c r="AX240" s="290">
        <f>SUM(AX40,AT40:AV40)</f>
        <v>433.7951156765356</v>
      </c>
      <c r="AY240" s="260">
        <f ca="1">SUM(AX40:AY40,AU40:AV40)</f>
        <v>435.51179084249083</v>
      </c>
      <c r="AZ240" s="260">
        <f ca="1">SUM(AX40:AZ40,AV40)</f>
        <v>427.25075122686377</v>
      </c>
      <c r="BA240" s="291">
        <f ca="1">SUM(AX40:BA40)</f>
        <v>432.08155063954609</v>
      </c>
      <c r="BB240" s="45">
        <f ca="1">BB40</f>
        <v>432.08155063954695</v>
      </c>
      <c r="BC240" s="290">
        <f ca="1">SUM(BC40,AY40:BA40)</f>
        <v>442.62612860458358</v>
      </c>
      <c r="BD240" s="260">
        <f ca="1">SUM(BC40:BD40,AZ40:BA40)</f>
        <v>449.27981197705776</v>
      </c>
      <c r="BE240" s="260">
        <f ca="1">SUM(BC40:BE40,BA40)</f>
        <v>457.43942562439838</v>
      </c>
      <c r="BF240" s="291">
        <f ca="1">SUM(BC40:BF40)</f>
        <v>466.25396592932645</v>
      </c>
      <c r="BG240" s="45">
        <f ca="1">BG40</f>
        <v>466.25396592932623</v>
      </c>
      <c r="BH240" s="290">
        <f ca="1">SUM(BH40,BD40:BF40)</f>
        <v>476.13324101513433</v>
      </c>
      <c r="BI240" s="260">
        <f ca="1">SUM(BH40:BI40,BE40:BF40)</f>
        <v>485.69283855292724</v>
      </c>
      <c r="BJ240" s="260">
        <f ca="1">SUM(BH40:BJ40,BF40)</f>
        <v>495.8777422453968</v>
      </c>
      <c r="BK240" s="291">
        <f ca="1">SUM(BH40:BK40)</f>
        <v>506.76219567727071</v>
      </c>
      <c r="BL240" s="45">
        <f ca="1">BL40</f>
        <v>506.76219567727117</v>
      </c>
      <c r="BM240" s="290">
        <f ca="1">SUM(BM40,BI40:BK40)</f>
        <v>514.01733318169545</v>
      </c>
      <c r="BN240" s="260">
        <f ca="1">SUM(BM40:BN40,BJ40:BK40)</f>
        <v>520.99156119306735</v>
      </c>
      <c r="BO240" s="260">
        <f ca="1">SUM(BM40:BO40,BK40)</f>
        <v>527.77340325370722</v>
      </c>
      <c r="BP240" s="291">
        <f ca="1">SUM(BM40:BP40)</f>
        <v>534.98994546681047</v>
      </c>
      <c r="BQ240" s="45">
        <f ca="1">BQ40</f>
        <v>534.98994546681024</v>
      </c>
      <c r="BR240" s="45"/>
      <c r="BS240" s="45"/>
      <c r="BT240" s="45"/>
      <c r="BU240" s="45"/>
      <c r="BV240" s="45"/>
      <c r="BW240" s="45"/>
      <c r="BX240" s="45"/>
      <c r="BY240" s="45"/>
      <c r="BZ240" s="45"/>
      <c r="CA240" s="45"/>
      <c r="CB240" s="45"/>
      <c r="CC240" s="45"/>
      <c r="CD240" s="45"/>
      <c r="CE240" s="45"/>
      <c r="CF240" s="45"/>
      <c r="CG240" s="45"/>
      <c r="CH240" s="45"/>
      <c r="CI240" s="45"/>
      <c r="CJ240" s="45"/>
      <c r="CK240" s="45"/>
      <c r="CL240" s="45"/>
      <c r="CM240" s="45"/>
      <c r="CN240" s="45"/>
      <c r="CO240" s="45"/>
      <c r="CP240" s="45"/>
      <c r="CQ240" s="45"/>
      <c r="CR240" s="45"/>
      <c r="CS240" s="45"/>
      <c r="CT240" s="45"/>
      <c r="CU240" s="45"/>
    </row>
    <row r="241" spans="1:99" ht="12.75" customHeight="1">
      <c r="A241" s="383"/>
      <c r="B241" s="383"/>
      <c r="C241" s="383"/>
      <c r="D241" s="383"/>
      <c r="E241" s="613"/>
      <c r="F241" s="614"/>
      <c r="G241" s="614"/>
      <c r="H241" s="615"/>
      <c r="I241" s="383"/>
      <c r="J241" s="613"/>
      <c r="K241" s="614"/>
      <c r="L241" s="614"/>
      <c r="M241" s="615"/>
      <c r="N241" s="383"/>
      <c r="O241" s="613"/>
      <c r="P241" s="614"/>
      <c r="Q241" s="614"/>
      <c r="R241" s="615"/>
      <c r="S241" s="383"/>
      <c r="T241" s="613"/>
      <c r="U241" s="614"/>
      <c r="V241" s="614"/>
      <c r="W241" s="615"/>
      <c r="X241" s="383"/>
      <c r="Y241" s="613"/>
      <c r="Z241" s="614"/>
      <c r="AA241" s="614"/>
      <c r="AB241" s="615"/>
      <c r="AC241" s="383"/>
      <c r="AD241" s="613"/>
      <c r="AE241" s="614"/>
      <c r="AF241" s="614"/>
      <c r="AG241" s="615"/>
      <c r="AH241" s="383"/>
      <c r="AI241" s="613"/>
      <c r="AJ241" s="614"/>
      <c r="AK241" s="614"/>
      <c r="AL241" s="615"/>
      <c r="AM241" s="383"/>
      <c r="AN241" s="613"/>
      <c r="AO241" s="614"/>
      <c r="AP241" s="614"/>
      <c r="AQ241" s="615"/>
      <c r="AR241" s="383"/>
      <c r="AS241" s="613"/>
      <c r="AT241" s="614"/>
      <c r="AU241" s="614"/>
      <c r="AV241" s="615"/>
      <c r="AW241" s="383"/>
      <c r="AX241" s="613"/>
      <c r="AY241" s="614"/>
      <c r="AZ241" s="614"/>
      <c r="BA241" s="615"/>
      <c r="BB241" s="383"/>
      <c r="BC241" s="613"/>
      <c r="BD241" s="614"/>
      <c r="BE241" s="614"/>
      <c r="BF241" s="615"/>
      <c r="BG241" s="383"/>
      <c r="BH241" s="613"/>
      <c r="BI241" s="614"/>
      <c r="BJ241" s="614"/>
      <c r="BK241" s="615"/>
      <c r="BL241" s="383"/>
      <c r="BM241" s="613"/>
      <c r="BN241" s="614"/>
      <c r="BO241" s="614"/>
      <c r="BP241" s="615"/>
      <c r="BQ241" s="383"/>
      <c r="BR241" s="383"/>
      <c r="BS241" s="383"/>
      <c r="BT241" s="383"/>
      <c r="BU241" s="383"/>
      <c r="BV241" s="383"/>
      <c r="BW241" s="383"/>
      <c r="BX241" s="383"/>
      <c r="BY241" s="383"/>
      <c r="BZ241" s="383"/>
      <c r="CA241" s="383"/>
      <c r="CB241" s="383"/>
      <c r="CC241" s="383"/>
      <c r="CD241" s="383"/>
      <c r="CE241" s="383"/>
      <c r="CF241" s="383"/>
      <c r="CG241" s="383"/>
      <c r="CH241" s="383"/>
      <c r="CI241" s="383"/>
      <c r="CJ241" s="383"/>
      <c r="CK241" s="383"/>
      <c r="CL241" s="383"/>
      <c r="CM241" s="383"/>
      <c r="CN241" s="383"/>
      <c r="CO241" s="383"/>
      <c r="CP241" s="383"/>
      <c r="CQ241" s="383"/>
      <c r="CR241" s="383"/>
      <c r="CS241" s="383"/>
      <c r="CT241" s="383"/>
      <c r="CU241" s="383"/>
    </row>
    <row r="242" spans="1:99" ht="12.75" customHeight="1">
      <c r="A242" s="383"/>
      <c r="B242" s="383"/>
      <c r="C242" s="389" t="s">
        <v>374</v>
      </c>
      <c r="D242" s="383"/>
      <c r="E242" s="613"/>
      <c r="F242" s="614"/>
      <c r="G242" s="614"/>
      <c r="H242" s="615"/>
      <c r="I242" s="383"/>
      <c r="J242" s="613"/>
      <c r="K242" s="614"/>
      <c r="L242" s="614"/>
      <c r="M242" s="615"/>
      <c r="N242" s="383"/>
      <c r="O242" s="613"/>
      <c r="P242" s="614"/>
      <c r="Q242" s="614"/>
      <c r="R242" s="615"/>
      <c r="S242" s="383"/>
      <c r="T242" s="613"/>
      <c r="U242" s="614"/>
      <c r="V242" s="614"/>
      <c r="W242" s="615"/>
      <c r="X242" s="383"/>
      <c r="Y242" s="613"/>
      <c r="Z242" s="614"/>
      <c r="AA242" s="614"/>
      <c r="AB242" s="615"/>
      <c r="AC242" s="383"/>
      <c r="AD242" s="613"/>
      <c r="AE242" s="614"/>
      <c r="AF242" s="614"/>
      <c r="AG242" s="615"/>
      <c r="AH242" s="383"/>
      <c r="AI242" s="613"/>
      <c r="AJ242" s="614"/>
      <c r="AK242" s="614"/>
      <c r="AL242" s="615"/>
      <c r="AM242" s="383"/>
      <c r="AN242" s="613"/>
      <c r="AO242" s="614"/>
      <c r="AP242" s="614"/>
      <c r="AQ242" s="615"/>
      <c r="AR242" s="383"/>
      <c r="AS242" s="613"/>
      <c r="AT242" s="614"/>
      <c r="AU242" s="614"/>
      <c r="AV242" s="615"/>
      <c r="AW242" s="383"/>
      <c r="AX242" s="613"/>
      <c r="AY242" s="614"/>
      <c r="AZ242" s="614"/>
      <c r="BA242" s="615"/>
      <c r="BB242" s="383"/>
      <c r="BC242" s="613"/>
      <c r="BD242" s="614"/>
      <c r="BE242" s="614"/>
      <c r="BF242" s="615"/>
      <c r="BG242" s="383"/>
      <c r="BH242" s="613"/>
      <c r="BI242" s="614"/>
      <c r="BJ242" s="614"/>
      <c r="BK242" s="615"/>
      <c r="BL242" s="383"/>
      <c r="BM242" s="613"/>
      <c r="BN242" s="614"/>
      <c r="BO242" s="614"/>
      <c r="BP242" s="615"/>
      <c r="BQ242" s="383"/>
      <c r="BR242" s="383"/>
      <c r="BS242" s="383"/>
      <c r="BT242" s="383"/>
      <c r="BU242" s="383"/>
      <c r="BV242" s="383"/>
      <c r="BW242" s="383"/>
      <c r="BX242" s="383"/>
      <c r="BY242" s="383"/>
      <c r="BZ242" s="383"/>
      <c r="CA242" s="383"/>
      <c r="CB242" s="383"/>
      <c r="CC242" s="383"/>
      <c r="CD242" s="383"/>
      <c r="CE242" s="383"/>
      <c r="CF242" s="383"/>
      <c r="CG242" s="383"/>
      <c r="CH242" s="383"/>
      <c r="CI242" s="383"/>
      <c r="CJ242" s="383"/>
      <c r="CK242" s="383"/>
      <c r="CL242" s="383"/>
      <c r="CM242" s="383"/>
      <c r="CN242" s="383"/>
      <c r="CO242" s="383"/>
      <c r="CP242" s="383"/>
      <c r="CQ242" s="383"/>
      <c r="CR242" s="383"/>
      <c r="CS242" s="383"/>
      <c r="CT242" s="383"/>
      <c r="CU242" s="383"/>
    </row>
    <row r="243" spans="1:99" ht="12.75" customHeight="1">
      <c r="A243" s="28"/>
      <c r="B243" s="28"/>
      <c r="C243" s="28" t="s">
        <v>615</v>
      </c>
      <c r="D243" s="28"/>
      <c r="E243" s="303">
        <f t="shared" ref="E243:AR243" si="675">E221/E231</f>
        <v>0.57731958762886593</v>
      </c>
      <c r="F243" s="239">
        <f t="shared" si="675"/>
        <v>0.56569407603890365</v>
      </c>
      <c r="G243" s="239">
        <f t="shared" si="675"/>
        <v>0.5392368610511159</v>
      </c>
      <c r="H243" s="304">
        <f t="shared" si="675"/>
        <v>0.51535087719298245</v>
      </c>
      <c r="I243" s="546">
        <f t="shared" si="675"/>
        <v>0.51535087719298245</v>
      </c>
      <c r="J243" s="303">
        <f t="shared" si="675"/>
        <v>0.48708167157967747</v>
      </c>
      <c r="K243" s="239">
        <f t="shared" si="675"/>
        <v>0.48148782996229</v>
      </c>
      <c r="L243" s="239">
        <f t="shared" si="675"/>
        <v>0.43429602888086644</v>
      </c>
      <c r="M243" s="304">
        <f t="shared" si="675"/>
        <v>0.4295661489019818</v>
      </c>
      <c r="N243" s="546">
        <f t="shared" si="675"/>
        <v>0.4295661489019818</v>
      </c>
      <c r="O243" s="303">
        <f t="shared" si="675"/>
        <v>0.42849510240427424</v>
      </c>
      <c r="P243" s="239">
        <f t="shared" si="675"/>
        <v>0.42773333333333335</v>
      </c>
      <c r="Q243" s="239">
        <f t="shared" si="675"/>
        <v>0.42493818438714237</v>
      </c>
      <c r="R243" s="304">
        <f t="shared" si="675"/>
        <v>0.39881613022567519</v>
      </c>
      <c r="S243" s="546">
        <f t="shared" si="675"/>
        <v>0.39881613022567519</v>
      </c>
      <c r="T243" s="303">
        <f t="shared" si="675"/>
        <v>0.39807976366322007</v>
      </c>
      <c r="U243" s="239">
        <f>U221/U231</f>
        <v>0.35385226370135026</v>
      </c>
      <c r="V243" s="239">
        <f t="shared" si="675"/>
        <v>0.43236714975845408</v>
      </c>
      <c r="W243" s="304">
        <f t="shared" si="675"/>
        <v>0.39390018484288353</v>
      </c>
      <c r="X243" s="546">
        <f t="shared" si="675"/>
        <v>0.39390018484288353</v>
      </c>
      <c r="Y243" s="303">
        <f t="shared" si="675"/>
        <v>0.39126445219306294</v>
      </c>
      <c r="Z243" s="239">
        <f t="shared" si="675"/>
        <v>0.3984301999626238</v>
      </c>
      <c r="AA243" s="239">
        <f t="shared" si="675"/>
        <v>0.47025793998947185</v>
      </c>
      <c r="AB243" s="304">
        <f t="shared" si="675"/>
        <v>0.43720161586485495</v>
      </c>
      <c r="AC243" s="546">
        <f t="shared" si="675"/>
        <v>0.43720161586485495</v>
      </c>
      <c r="AD243" s="303">
        <f t="shared" si="675"/>
        <v>0.43648029330889093</v>
      </c>
      <c r="AE243" s="239">
        <f>AE221/AE231</f>
        <v>0.43616046895035721</v>
      </c>
      <c r="AF243" s="239">
        <f t="shared" si="675"/>
        <v>0.46334716459197789</v>
      </c>
      <c r="AG243" s="304">
        <f t="shared" si="675"/>
        <v>0.43775896234912626</v>
      </c>
      <c r="AH243" s="546">
        <f t="shared" si="675"/>
        <v>0.43775896234912626</v>
      </c>
      <c r="AI243" s="303">
        <f t="shared" si="675"/>
        <v>0.42744063324538256</v>
      </c>
      <c r="AJ243" s="239">
        <f t="shared" si="675"/>
        <v>0.4291769692688096</v>
      </c>
      <c r="AK243" s="239">
        <f t="shared" si="675"/>
        <v>0.42542016806722688</v>
      </c>
      <c r="AL243" s="304">
        <f t="shared" si="675"/>
        <v>0.46066666666666667</v>
      </c>
      <c r="AM243" s="546">
        <f t="shared" si="675"/>
        <v>0.46066666666666667</v>
      </c>
      <c r="AN243" s="303">
        <f t="shared" si="675"/>
        <v>0.45657199471598414</v>
      </c>
      <c r="AO243" s="239">
        <f t="shared" si="675"/>
        <v>0.45432139336181399</v>
      </c>
      <c r="AP243" s="239">
        <f t="shared" ref="AP243" si="676">AP221/AP231</f>
        <v>0.47451587916343918</v>
      </c>
      <c r="AQ243" s="304">
        <f t="shared" si="675"/>
        <v>0.44732157307007608</v>
      </c>
      <c r="AR243" s="546">
        <f t="shared" si="675"/>
        <v>0.44732157307007608</v>
      </c>
      <c r="AS243" s="303">
        <f t="shared" ref="AS243:BB243" si="677">AS221/AS231</f>
        <v>0.44337504010266282</v>
      </c>
      <c r="AT243" s="239">
        <f t="shared" si="677"/>
        <v>0.44224000000000002</v>
      </c>
      <c r="AU243" s="239">
        <f t="shared" ref="AU243" si="678">AU221/AU231</f>
        <v>0.46560048280024141</v>
      </c>
      <c r="AV243" s="304">
        <f t="shared" si="677"/>
        <v>0.46323529411764708</v>
      </c>
      <c r="AW243" s="546">
        <f t="shared" si="677"/>
        <v>0.46323529411764708</v>
      </c>
      <c r="AX243" s="303">
        <f t="shared" ca="1" si="677"/>
        <v>0.39739334223824108</v>
      </c>
      <c r="AY243" s="239">
        <f t="shared" ca="1" si="677"/>
        <v>0.39043710528568204</v>
      </c>
      <c r="AZ243" s="239">
        <f t="shared" ca="1" si="677"/>
        <v>0.46059718193547322</v>
      </c>
      <c r="BA243" s="304">
        <f t="shared" ca="1" si="677"/>
        <v>0.45852125975899377</v>
      </c>
      <c r="BB243" s="546">
        <f t="shared" ca="1" si="677"/>
        <v>0.45852125975899377</v>
      </c>
      <c r="BC243" s="303">
        <f t="shared" ref="BC243:BL243" ca="1" si="679">BC221/BC231</f>
        <v>0.45252746177110054</v>
      </c>
      <c r="BD243" s="239">
        <f t="shared" ca="1" si="679"/>
        <v>0.44538212823142725</v>
      </c>
      <c r="BE243" s="239">
        <f t="shared" ca="1" si="679"/>
        <v>0.46383720746915896</v>
      </c>
      <c r="BF243" s="304">
        <f t="shared" ca="1" si="679"/>
        <v>0.46046434954335813</v>
      </c>
      <c r="BG243" s="546">
        <f t="shared" ca="1" si="679"/>
        <v>0.46046434954335813</v>
      </c>
      <c r="BH243" s="303">
        <f t="shared" ca="1" si="679"/>
        <v>0.45583215322219323</v>
      </c>
      <c r="BI243" s="239">
        <f t="shared" ca="1" si="679"/>
        <v>0.45237191532621351</v>
      </c>
      <c r="BJ243" s="239">
        <f t="shared" ca="1" si="679"/>
        <v>0.46240179827103839</v>
      </c>
      <c r="BK243" s="304">
        <f t="shared" ca="1" si="679"/>
        <v>0.46010572603918087</v>
      </c>
      <c r="BL243" s="546">
        <f t="shared" ca="1" si="679"/>
        <v>0.46010572603918087</v>
      </c>
      <c r="BM243" s="303">
        <f t="shared" ref="BM243:BQ243" ca="1" si="680">BM221/BM231</f>
        <v>0.45598164899141852</v>
      </c>
      <c r="BN243" s="239">
        <f t="shared" ca="1" si="680"/>
        <v>0.45333069255213143</v>
      </c>
      <c r="BO243" s="239">
        <f t="shared" ca="1" si="680"/>
        <v>0.46225649268438013</v>
      </c>
      <c r="BP243" s="304">
        <f t="shared" ca="1" si="680"/>
        <v>0.4603520597566847</v>
      </c>
      <c r="BQ243" s="546">
        <f t="shared" ca="1" si="680"/>
        <v>0.4603520597566847</v>
      </c>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row>
    <row r="244" spans="1:99" ht="12.75" customHeight="1">
      <c r="A244" s="28"/>
      <c r="B244" s="28"/>
      <c r="C244" s="28" t="s">
        <v>1311</v>
      </c>
      <c r="D244" s="28"/>
      <c r="E244" s="303">
        <f t="shared" ref="E244:AR244" si="681">+E222/E231</f>
        <v>0.57731958762886593</v>
      </c>
      <c r="F244" s="239">
        <f t="shared" si="681"/>
        <v>0.56569407603890365</v>
      </c>
      <c r="G244" s="239">
        <f t="shared" si="681"/>
        <v>0.5392368610511159</v>
      </c>
      <c r="H244" s="304">
        <f t="shared" si="681"/>
        <v>0.51535087719298245</v>
      </c>
      <c r="I244" s="546">
        <f t="shared" si="681"/>
        <v>0.51535087719298245</v>
      </c>
      <c r="J244" s="303">
        <f t="shared" si="681"/>
        <v>0.52609675741286632</v>
      </c>
      <c r="K244" s="239">
        <f t="shared" si="681"/>
        <v>0.52005485087418579</v>
      </c>
      <c r="L244" s="239">
        <f t="shared" si="681"/>
        <v>0.47490974729241875</v>
      </c>
      <c r="M244" s="304">
        <f t="shared" si="681"/>
        <v>0.46973754686663094</v>
      </c>
      <c r="N244" s="546">
        <f t="shared" si="681"/>
        <v>0.46973754686663094</v>
      </c>
      <c r="O244" s="303">
        <f t="shared" si="681"/>
        <v>0.46856634016028498</v>
      </c>
      <c r="P244" s="239">
        <f t="shared" si="681"/>
        <v>0.46773333333333333</v>
      </c>
      <c r="Q244" s="239">
        <f t="shared" si="681"/>
        <v>0.4646767926527729</v>
      </c>
      <c r="R244" s="304">
        <f t="shared" si="681"/>
        <v>0.44043655197928228</v>
      </c>
      <c r="S244" s="546">
        <f t="shared" si="681"/>
        <v>0.44043655197928228</v>
      </c>
      <c r="T244" s="303">
        <f t="shared" si="681"/>
        <v>0.43962333825701627</v>
      </c>
      <c r="U244" s="239">
        <f>+U222/U231</f>
        <v>0.39853057982525814</v>
      </c>
      <c r="V244" s="239">
        <f t="shared" si="681"/>
        <v>0.47118702553485164</v>
      </c>
      <c r="W244" s="304">
        <f t="shared" si="681"/>
        <v>0.43271719038817008</v>
      </c>
      <c r="X244" s="546">
        <f t="shared" si="681"/>
        <v>0.43271719038817008</v>
      </c>
      <c r="Y244" s="303">
        <f t="shared" si="681"/>
        <v>0.42980363369425584</v>
      </c>
      <c r="Z244" s="239">
        <f t="shared" si="681"/>
        <v>0.4376752008970286</v>
      </c>
      <c r="AA244" s="239">
        <f t="shared" si="681"/>
        <v>0.47025793998947185</v>
      </c>
      <c r="AB244" s="304">
        <f t="shared" si="681"/>
        <v>0.43720161586485495</v>
      </c>
      <c r="AC244" s="546">
        <f t="shared" si="681"/>
        <v>0.43720161586485495</v>
      </c>
      <c r="AD244" s="303">
        <f t="shared" si="681"/>
        <v>0.43648029330889093</v>
      </c>
      <c r="AE244" s="239">
        <f>+AE222/AE231</f>
        <v>0.43616046895035721</v>
      </c>
      <c r="AF244" s="239">
        <f t="shared" si="681"/>
        <v>0.46334716459197789</v>
      </c>
      <c r="AG244" s="304">
        <f t="shared" si="681"/>
        <v>0.43775896234912626</v>
      </c>
      <c r="AH244" s="546">
        <f t="shared" si="681"/>
        <v>0.43775896234912626</v>
      </c>
      <c r="AI244" s="303">
        <f t="shared" si="681"/>
        <v>0.43887423043095869</v>
      </c>
      <c r="AJ244" s="239">
        <f t="shared" si="681"/>
        <v>0.43641822677499115</v>
      </c>
      <c r="AK244" s="239">
        <f t="shared" si="681"/>
        <v>0.43504901960784315</v>
      </c>
      <c r="AL244" s="304">
        <f t="shared" si="681"/>
        <v>0.46066666666666667</v>
      </c>
      <c r="AM244" s="546">
        <f t="shared" si="681"/>
        <v>0.46066666666666667</v>
      </c>
      <c r="AN244" s="303">
        <f t="shared" si="681"/>
        <v>0.45657199471598414</v>
      </c>
      <c r="AO244" s="239">
        <f t="shared" si="681"/>
        <v>0.45432139336181399</v>
      </c>
      <c r="AP244" s="239">
        <f t="shared" ref="AP244" si="682">+AP222/AP231</f>
        <v>0.47451587916343918</v>
      </c>
      <c r="AQ244" s="304">
        <f t="shared" si="681"/>
        <v>0.44732157307007608</v>
      </c>
      <c r="AR244" s="546">
        <f t="shared" si="681"/>
        <v>0.44732157307007608</v>
      </c>
      <c r="AS244" s="303">
        <f t="shared" ref="AS244:BB244" si="683">+AS222/AS231</f>
        <v>0.44337504010266282</v>
      </c>
      <c r="AT244" s="239">
        <f t="shared" si="683"/>
        <v>0.44224000000000002</v>
      </c>
      <c r="AU244" s="239">
        <f t="shared" ref="AU244" si="684">+AU222/AU231</f>
        <v>0.46560048280024141</v>
      </c>
      <c r="AV244" s="304">
        <f t="shared" si="683"/>
        <v>0.46323529411764708</v>
      </c>
      <c r="AW244" s="546">
        <f t="shared" si="683"/>
        <v>0.46323529411764708</v>
      </c>
      <c r="AX244" s="303">
        <f t="shared" ca="1" si="683"/>
        <v>0.44023221191123457</v>
      </c>
      <c r="AY244" s="239">
        <f t="shared" ca="1" si="683"/>
        <v>0.44671548838047109</v>
      </c>
      <c r="AZ244" s="239">
        <f t="shared" ca="1" si="683"/>
        <v>0.46059718193547322</v>
      </c>
      <c r="BA244" s="304">
        <f t="shared" ca="1" si="683"/>
        <v>0.45852125975899377</v>
      </c>
      <c r="BB244" s="546">
        <f t="shared" ca="1" si="683"/>
        <v>0.45852125975899377</v>
      </c>
      <c r="BC244" s="303">
        <f t="shared" ref="BC244:BL244" ca="1" si="685">+BC222/BC231</f>
        <v>0.45252746177110054</v>
      </c>
      <c r="BD244" s="239">
        <f t="shared" ca="1" si="685"/>
        <v>0.45520390397867999</v>
      </c>
      <c r="BE244" s="239">
        <f t="shared" ca="1" si="685"/>
        <v>0.46383720746915896</v>
      </c>
      <c r="BF244" s="304">
        <f t="shared" ca="1" si="685"/>
        <v>0.46046434954335813</v>
      </c>
      <c r="BG244" s="546">
        <f t="shared" ca="1" si="685"/>
        <v>0.46046434954335813</v>
      </c>
      <c r="BH244" s="303">
        <f t="shared" ca="1" si="685"/>
        <v>0.45583215322219323</v>
      </c>
      <c r="BI244" s="239">
        <f t="shared" ca="1" si="685"/>
        <v>0.45654320042386093</v>
      </c>
      <c r="BJ244" s="239">
        <f t="shared" ca="1" si="685"/>
        <v>0.46240179827103839</v>
      </c>
      <c r="BK244" s="304">
        <f t="shared" ca="1" si="685"/>
        <v>0.46010572603918087</v>
      </c>
      <c r="BL244" s="546">
        <f t="shared" ca="1" si="685"/>
        <v>0.46010572603918087</v>
      </c>
      <c r="BM244" s="303">
        <f t="shared" ref="BM244:BQ244" ca="1" si="686">+BM222/BM231</f>
        <v>0.45598164899141852</v>
      </c>
      <c r="BN244" s="239">
        <f t="shared" ca="1" si="686"/>
        <v>0.45656858585901294</v>
      </c>
      <c r="BO244" s="239">
        <f t="shared" ca="1" si="686"/>
        <v>0.46225649268438013</v>
      </c>
      <c r="BP244" s="304">
        <f t="shared" ca="1" si="686"/>
        <v>0.4603520597566847</v>
      </c>
      <c r="BQ244" s="546">
        <f t="shared" ca="1" si="686"/>
        <v>0.4603520597566847</v>
      </c>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row>
    <row r="245" spans="1:99" ht="12.75" customHeight="1">
      <c r="A245" s="28"/>
      <c r="B245" s="28"/>
      <c r="C245" s="28" t="s">
        <v>614</v>
      </c>
      <c r="D245" s="28"/>
      <c r="E245" s="415"/>
      <c r="F245" s="242"/>
      <c r="G245" s="242"/>
      <c r="H245" s="666">
        <f>(H222-H218)/H238</f>
        <v>1.5366300366300367</v>
      </c>
      <c r="I245" s="229">
        <f>(I222-I218)/I27</f>
        <v>1.5366300366300367</v>
      </c>
      <c r="J245" s="667">
        <f t="shared" ref="J245:AR245" si="687">(J222-J218)/J238</f>
        <v>1.6960431654676258</v>
      </c>
      <c r="K245" s="240">
        <f t="shared" si="687"/>
        <v>1.6284562211981566</v>
      </c>
      <c r="L245" s="240">
        <f t="shared" si="687"/>
        <v>1.1951086956521739</v>
      </c>
      <c r="M245" s="666">
        <f t="shared" si="687"/>
        <v>1.2197802197802199</v>
      </c>
      <c r="N245" s="229">
        <f t="shared" si="687"/>
        <v>1.2197802197802199</v>
      </c>
      <c r="O245" s="667">
        <f t="shared" si="687"/>
        <v>1.5568627450980392</v>
      </c>
      <c r="P245" s="240">
        <f t="shared" si="687"/>
        <v>1.7853281853281853</v>
      </c>
      <c r="Q245" s="240">
        <f t="shared" si="687"/>
        <v>2.2056367432150314</v>
      </c>
      <c r="R245" s="666">
        <f t="shared" si="687"/>
        <v>2.5109070034443168</v>
      </c>
      <c r="S245" s="229">
        <f t="shared" si="687"/>
        <v>2.5109070034443168</v>
      </c>
      <c r="T245" s="667">
        <f t="shared" si="687"/>
        <v>2.6615017878426697</v>
      </c>
      <c r="U245" s="240">
        <f>(U222-U218)/U238</f>
        <v>1.1794697484704282</v>
      </c>
      <c r="V245" s="240">
        <f t="shared" si="687"/>
        <v>2.4220930232558144</v>
      </c>
      <c r="W245" s="666">
        <f t="shared" si="687"/>
        <v>2.3337264150943398</v>
      </c>
      <c r="X245" s="229">
        <f t="shared" si="687"/>
        <v>2.3337264150943411</v>
      </c>
      <c r="Y245" s="667">
        <f t="shared" si="687"/>
        <v>2.3208191126279862</v>
      </c>
      <c r="Z245" s="240">
        <f t="shared" si="687"/>
        <v>2.6397228637413397</v>
      </c>
      <c r="AA245" s="240">
        <f t="shared" si="687"/>
        <v>2.4537914691943126</v>
      </c>
      <c r="AB245" s="666">
        <f t="shared" si="687"/>
        <v>2.4044444444444442</v>
      </c>
      <c r="AC245" s="229">
        <f t="shared" si="687"/>
        <v>2.4044444444444446</v>
      </c>
      <c r="AD245" s="667">
        <f t="shared" si="687"/>
        <v>2.6985815602836878</v>
      </c>
      <c r="AE245" s="240">
        <f>(AE222-AE218)/AE238</f>
        <v>2.704491725768321</v>
      </c>
      <c r="AF245" s="240">
        <f t="shared" si="687"/>
        <v>2.8222490931076174</v>
      </c>
      <c r="AG245" s="666">
        <f t="shared" si="687"/>
        <v>2.9447852760736195</v>
      </c>
      <c r="AH245" s="229">
        <f t="shared" si="687"/>
        <v>2.9447852760736195</v>
      </c>
      <c r="AI245" s="667">
        <f t="shared" si="687"/>
        <v>2.7513997760358344</v>
      </c>
      <c r="AJ245" s="240">
        <f t="shared" si="687"/>
        <v>2.7379619260918253</v>
      </c>
      <c r="AK245" s="240">
        <f t="shared" si="687"/>
        <v>2.660520607375271</v>
      </c>
      <c r="AL245" s="666">
        <f t="shared" si="687"/>
        <v>2.7586592178770948</v>
      </c>
      <c r="AM245" s="229">
        <f t="shared" si="687"/>
        <v>2.7586592178770948</v>
      </c>
      <c r="AN245" s="667">
        <f t="shared" si="687"/>
        <v>3.1523482245131724</v>
      </c>
      <c r="AO245" s="240">
        <f t="shared" si="687"/>
        <v>2.8466666666666662</v>
      </c>
      <c r="AP245" s="240">
        <f t="shared" ref="AP245" si="688">(AP222-AP218)/AP238</f>
        <v>2.6810526315789471</v>
      </c>
      <c r="AQ245" s="666">
        <f t="shared" si="687"/>
        <v>2.7561224489795917</v>
      </c>
      <c r="AR245" s="229">
        <f t="shared" si="687"/>
        <v>2.7561224489795917</v>
      </c>
      <c r="AS245" s="667">
        <f t="shared" ref="AS245:BB245" si="689">(AS222-AS218)/AS238</f>
        <v>2.7918367346938777</v>
      </c>
      <c r="AT245" s="240">
        <f t="shared" si="689"/>
        <v>2.8059855521155832</v>
      </c>
      <c r="AU245" s="240">
        <f t="shared" ref="AU245" si="690">(AU222-AU218)/AU238</f>
        <v>2.9350372736954204</v>
      </c>
      <c r="AV245" s="666">
        <f t="shared" si="689"/>
        <v>2.9642105263157892</v>
      </c>
      <c r="AW245" s="229">
        <f t="shared" si="689"/>
        <v>2.9642105263157896</v>
      </c>
      <c r="AX245" s="667">
        <f t="shared" ca="1" si="689"/>
        <v>3.0042144442353278</v>
      </c>
      <c r="AY245" s="240">
        <f t="shared" ca="1" si="689"/>
        <v>3.1011911373809466</v>
      </c>
      <c r="AZ245" s="240">
        <f t="shared" ca="1" si="689"/>
        <v>3.199525964743041</v>
      </c>
      <c r="BA245" s="666">
        <f t="shared" ca="1" si="689"/>
        <v>3.2958812606954302</v>
      </c>
      <c r="BB245" s="229">
        <f t="shared" ca="1" si="689"/>
        <v>3.2958812606954275</v>
      </c>
      <c r="BC245" s="667">
        <f t="shared" ref="BC245:BL245" ca="1" si="691">(BC222-BC218)/BC238</f>
        <v>3.2644428579690761</v>
      </c>
      <c r="BD245" s="240">
        <f t="shared" ca="1" si="691"/>
        <v>3.28532233831403</v>
      </c>
      <c r="BE245" s="240">
        <f t="shared" ca="1" si="691"/>
        <v>3.2868510081448807</v>
      </c>
      <c r="BF245" s="666">
        <f t="shared" ca="1" si="691"/>
        <v>3.2920349720420941</v>
      </c>
      <c r="BG245" s="229">
        <f t="shared" ca="1" si="691"/>
        <v>3.2920349720420949</v>
      </c>
      <c r="BH245" s="667">
        <f t="shared" ca="1" si="691"/>
        <v>3.2384290048236135</v>
      </c>
      <c r="BI245" s="240">
        <f t="shared" ca="1" si="691"/>
        <v>3.2345689736842438</v>
      </c>
      <c r="BJ245" s="240">
        <f t="shared" ca="1" si="691"/>
        <v>3.2132851216719072</v>
      </c>
      <c r="BK245" s="666">
        <f t="shared" ca="1" si="691"/>
        <v>3.1958293538056255</v>
      </c>
      <c r="BL245" s="229">
        <f t="shared" ca="1" si="691"/>
        <v>3.1958293538056251</v>
      </c>
      <c r="BM245" s="667">
        <f t="shared" ref="BM245:BQ245" ca="1" si="692">(BM222-BM218)/BM238</f>
        <v>3.1634538401603569</v>
      </c>
      <c r="BN245" s="240">
        <f t="shared" ca="1" si="692"/>
        <v>3.1771998258515386</v>
      </c>
      <c r="BO245" s="240">
        <f t="shared" ca="1" si="692"/>
        <v>3.1741768821367722</v>
      </c>
      <c r="BP245" s="666">
        <f t="shared" ca="1" si="692"/>
        <v>3.1738005457573157</v>
      </c>
      <c r="BQ245" s="229">
        <f t="shared" ca="1" si="692"/>
        <v>3.1738005457573171</v>
      </c>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row>
    <row r="246" spans="1:99" ht="12.75" customHeight="1">
      <c r="A246" s="28"/>
      <c r="B246" s="28"/>
      <c r="C246" s="28" t="s">
        <v>393</v>
      </c>
      <c r="D246" s="28"/>
      <c r="E246" s="415"/>
      <c r="F246" s="242"/>
      <c r="G246" s="242"/>
      <c r="H246" s="304">
        <f t="shared" ref="H246:AR246" si="693">H236/H222</f>
        <v>0.46312056737588653</v>
      </c>
      <c r="I246" s="546">
        <f t="shared" si="693"/>
        <v>0.46312056737588653</v>
      </c>
      <c r="J246" s="303">
        <f t="shared" si="693"/>
        <v>0.44297956493078444</v>
      </c>
      <c r="K246" s="239">
        <f t="shared" si="693"/>
        <v>0.46308503625576797</v>
      </c>
      <c r="L246" s="239">
        <f t="shared" si="693"/>
        <v>0.56822500950209043</v>
      </c>
      <c r="M246" s="304">
        <f t="shared" si="693"/>
        <v>0.53781832003040664</v>
      </c>
      <c r="N246" s="546">
        <f t="shared" si="693"/>
        <v>0.53781832003040664</v>
      </c>
      <c r="O246" s="303">
        <f t="shared" si="693"/>
        <v>0.46104142911440515</v>
      </c>
      <c r="P246" s="239">
        <f t="shared" si="693"/>
        <v>0.37286202964652221</v>
      </c>
      <c r="Q246" s="239">
        <f t="shared" si="693"/>
        <v>0.2595971113645002</v>
      </c>
      <c r="R246" s="304">
        <f t="shared" si="693"/>
        <v>0.24779504409911801</v>
      </c>
      <c r="S246" s="546">
        <f t="shared" si="693"/>
        <v>0.24779504409911801</v>
      </c>
      <c r="T246" s="303">
        <f t="shared" si="693"/>
        <v>0.23897522049559008</v>
      </c>
      <c r="U246" s="239">
        <f>U236/U222</f>
        <v>0.50174389636273042</v>
      </c>
      <c r="V246" s="239">
        <f t="shared" si="693"/>
        <v>0.217502746246796</v>
      </c>
      <c r="W246" s="304">
        <f t="shared" si="693"/>
        <v>0.25800939769329345</v>
      </c>
      <c r="X246" s="546">
        <f t="shared" si="693"/>
        <v>0.25800939769329329</v>
      </c>
      <c r="Y246" s="303">
        <f t="shared" si="693"/>
        <v>0.26942783945345861</v>
      </c>
      <c r="Z246" s="239">
        <f t="shared" si="693"/>
        <v>0.26771989752348418</v>
      </c>
      <c r="AA246" s="239">
        <f t="shared" si="693"/>
        <v>0.22313432835820901</v>
      </c>
      <c r="AB246" s="304">
        <f t="shared" si="693"/>
        <v>0.26081478370432598</v>
      </c>
      <c r="AC246" s="546">
        <f t="shared" si="693"/>
        <v>0.26081478370432593</v>
      </c>
      <c r="AD246" s="303">
        <f t="shared" si="693"/>
        <v>0.24695506089878208</v>
      </c>
      <c r="AE246" s="239">
        <f>AE236/AE222</f>
        <v>0.25241495170096601</v>
      </c>
      <c r="AF246" s="239">
        <f t="shared" si="693"/>
        <v>0.22052238805970154</v>
      </c>
      <c r="AG246" s="304">
        <f t="shared" si="693"/>
        <v>0.24238683127572017</v>
      </c>
      <c r="AH246" s="546">
        <f t="shared" si="693"/>
        <v>0.24238683127572017</v>
      </c>
      <c r="AI246" s="303">
        <f t="shared" si="693"/>
        <v>0.25811623246492987</v>
      </c>
      <c r="AJ246" s="239">
        <f t="shared" si="693"/>
        <v>0.25940914609469851</v>
      </c>
      <c r="AK246" s="239">
        <f t="shared" si="693"/>
        <v>0.26559356136820927</v>
      </c>
      <c r="AL246" s="304">
        <f t="shared" si="693"/>
        <v>0.23154848046309701</v>
      </c>
      <c r="AM246" s="546">
        <f t="shared" si="693"/>
        <v>0.23154848046309695</v>
      </c>
      <c r="AN246" s="303">
        <f t="shared" si="693"/>
        <v>0.22820976491862571</v>
      </c>
      <c r="AO246" s="239">
        <f t="shared" si="693"/>
        <v>0.23833634719710672</v>
      </c>
      <c r="AP246" s="239">
        <f t="shared" ref="AP246" si="694">AP236/AP222</f>
        <v>0.22526934378060728</v>
      </c>
      <c r="AQ246" s="304">
        <f t="shared" si="693"/>
        <v>0.25832127351664252</v>
      </c>
      <c r="AR246" s="546">
        <f t="shared" si="693"/>
        <v>0.25832127351664252</v>
      </c>
      <c r="AS246" s="303">
        <f t="shared" ref="AS246:BB246" si="695">AS236/AS222</f>
        <v>0.26085383502170767</v>
      </c>
      <c r="AT246" s="239">
        <f t="shared" si="695"/>
        <v>0.25795947901591898</v>
      </c>
      <c r="AU246" s="239">
        <f t="shared" ref="AU246" si="696">AU236/AU222</f>
        <v>0.22974724562540505</v>
      </c>
      <c r="AV246" s="304">
        <f t="shared" si="695"/>
        <v>0.23096857790735345</v>
      </c>
      <c r="AW246" s="546">
        <f t="shared" si="695"/>
        <v>0.23096857790735342</v>
      </c>
      <c r="AX246" s="303">
        <f t="shared" ca="1" si="695"/>
        <v>0.24968161559352225</v>
      </c>
      <c r="AY246" s="239">
        <f t="shared" ca="1" si="695"/>
        <v>0.24121599524191337</v>
      </c>
      <c r="AZ246" s="239">
        <f t="shared" ca="1" si="695"/>
        <v>0.2221840694712619</v>
      </c>
      <c r="BA246" s="304">
        <f t="shared" ca="1" si="695"/>
        <v>0.22306534623100233</v>
      </c>
      <c r="BB246" s="546">
        <f t="shared" ca="1" si="695"/>
        <v>0.2230653462310026</v>
      </c>
      <c r="BC246" s="303">
        <f t="shared" ref="BC246:BL246" ca="1" si="697">BC236/BC222</f>
        <v>0.22776228703262599</v>
      </c>
      <c r="BD246" s="239">
        <f t="shared" ca="1" si="697"/>
        <v>0.22627781553887058</v>
      </c>
      <c r="BE246" s="239">
        <f t="shared" ca="1" si="697"/>
        <v>0.21899564970651825</v>
      </c>
      <c r="BF246" s="304">
        <f t="shared" ca="1" si="697"/>
        <v>0.22293525779206458</v>
      </c>
      <c r="BG246" s="546">
        <f t="shared" ca="1" si="697"/>
        <v>0.2229352577920645</v>
      </c>
      <c r="BH246" s="303">
        <f t="shared" ca="1" si="697"/>
        <v>0.22720828728777068</v>
      </c>
      <c r="BI246" s="239">
        <f t="shared" ca="1" si="697"/>
        <v>0.22927646857144809</v>
      </c>
      <c r="BJ246" s="239">
        <f t="shared" ca="1" si="697"/>
        <v>0.22570649921072886</v>
      </c>
      <c r="BK246" s="304">
        <f t="shared" ca="1" si="697"/>
        <v>0.22992512191693157</v>
      </c>
      <c r="BL246" s="546">
        <f t="shared" ca="1" si="697"/>
        <v>0.22992512191693171</v>
      </c>
      <c r="BM246" s="303">
        <f t="shared" ref="BM246:BQ246" ca="1" si="698">BM236/BM222</f>
        <v>0.23304139255465761</v>
      </c>
      <c r="BN246" s="239">
        <f t="shared" ca="1" si="698"/>
        <v>0.2343535689306511</v>
      </c>
      <c r="BO246" s="239">
        <f t="shared" ca="1" si="698"/>
        <v>0.22987724619007757</v>
      </c>
      <c r="BP246" s="304">
        <f t="shared" ca="1" si="698"/>
        <v>0.23279889491187691</v>
      </c>
      <c r="BQ246" s="546">
        <f t="shared" ca="1" si="698"/>
        <v>0.23279889491187686</v>
      </c>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row>
    <row r="247" spans="1:99" ht="12.75" customHeight="1">
      <c r="A247" s="383"/>
      <c r="B247" s="383"/>
      <c r="C247" s="383"/>
      <c r="D247" s="383"/>
      <c r="E247" s="613"/>
      <c r="F247" s="614"/>
      <c r="G247" s="614"/>
      <c r="H247" s="615"/>
      <c r="I247" s="383"/>
      <c r="J247" s="613"/>
      <c r="K247" s="614"/>
      <c r="L247" s="614"/>
      <c r="M247" s="615"/>
      <c r="N247" s="383"/>
      <c r="O247" s="613"/>
      <c r="P247" s="614"/>
      <c r="Q247" s="614"/>
      <c r="R247" s="615"/>
      <c r="S247" s="383"/>
      <c r="T247" s="613"/>
      <c r="U247" s="614"/>
      <c r="V247" s="614"/>
      <c r="W247" s="615"/>
      <c r="X247" s="383"/>
      <c r="Y247" s="613"/>
      <c r="Z247" s="614"/>
      <c r="AA247" s="614"/>
      <c r="AB247" s="615"/>
      <c r="AC247" s="383"/>
      <c r="AD247" s="613"/>
      <c r="AE247" s="614"/>
      <c r="AF247" s="614"/>
      <c r="AG247" s="615"/>
      <c r="AH247" s="383"/>
      <c r="AI247" s="613"/>
      <c r="AJ247" s="614"/>
      <c r="AK247" s="614"/>
      <c r="AL247" s="615"/>
      <c r="AM247" s="383"/>
      <c r="AN247" s="613"/>
      <c r="AO247" s="614"/>
      <c r="AP247" s="614"/>
      <c r="AQ247" s="615"/>
      <c r="AR247" s="383"/>
      <c r="AS247" s="613"/>
      <c r="AT247" s="614"/>
      <c r="AU247" s="614"/>
      <c r="AV247" s="615"/>
      <c r="AW247" s="383"/>
      <c r="AX247" s="613"/>
      <c r="AY247" s="614"/>
      <c r="AZ247" s="614"/>
      <c r="BA247" s="615"/>
      <c r="BB247" s="383"/>
      <c r="BC247" s="613"/>
      <c r="BD247" s="614"/>
      <c r="BE247" s="614"/>
      <c r="BF247" s="615"/>
      <c r="BG247" s="383"/>
      <c r="BH247" s="613"/>
      <c r="BI247" s="614"/>
      <c r="BJ247" s="614"/>
      <c r="BK247" s="615"/>
      <c r="BL247" s="383"/>
      <c r="BM247" s="613"/>
      <c r="BN247" s="614"/>
      <c r="BO247" s="614"/>
      <c r="BP247" s="615"/>
      <c r="BQ247" s="383"/>
      <c r="BR247" s="383"/>
      <c r="BS247" s="383"/>
      <c r="BT247" s="383"/>
      <c r="BU247" s="383"/>
      <c r="BV247" s="383"/>
      <c r="BW247" s="383"/>
      <c r="BX247" s="383"/>
      <c r="BY247" s="383"/>
      <c r="BZ247" s="383"/>
      <c r="CA247" s="383"/>
      <c r="CB247" s="383"/>
      <c r="CC247" s="383"/>
      <c r="CD247" s="383"/>
      <c r="CE247" s="383"/>
      <c r="CF247" s="383"/>
      <c r="CG247" s="383"/>
      <c r="CH247" s="383"/>
      <c r="CI247" s="383"/>
      <c r="CJ247" s="383"/>
      <c r="CK247" s="383"/>
      <c r="CL247" s="383"/>
      <c r="CM247" s="383"/>
      <c r="CN247" s="383"/>
      <c r="CO247" s="383"/>
      <c r="CP247" s="383"/>
      <c r="CQ247" s="383"/>
      <c r="CR247" s="383"/>
      <c r="CS247" s="383"/>
      <c r="CT247" s="383"/>
      <c r="CU247" s="383"/>
    </row>
    <row r="248" spans="1:99" ht="12.75" customHeight="1">
      <c r="A248" s="383"/>
      <c r="B248" s="383"/>
      <c r="C248" s="389" t="s">
        <v>201</v>
      </c>
      <c r="D248" s="383"/>
      <c r="E248" s="613"/>
      <c r="F248" s="614"/>
      <c r="G248" s="614"/>
      <c r="H248" s="615"/>
      <c r="I248" s="383"/>
      <c r="J248" s="613"/>
      <c r="K248" s="614"/>
      <c r="L248" s="614"/>
      <c r="M248" s="615"/>
      <c r="N248" s="383"/>
      <c r="O248" s="613"/>
      <c r="P248" s="614"/>
      <c r="Q248" s="614"/>
      <c r="R248" s="615"/>
      <c r="S248" s="383"/>
      <c r="T248" s="613"/>
      <c r="U248" s="614"/>
      <c r="V248" s="614"/>
      <c r="W248" s="615"/>
      <c r="X248" s="383"/>
      <c r="Y248" s="613"/>
      <c r="Z248" s="614"/>
      <c r="AA248" s="614"/>
      <c r="AB248" s="615"/>
      <c r="AC248" s="383"/>
      <c r="AD248" s="613"/>
      <c r="AE248" s="614"/>
      <c r="AF248" s="614"/>
      <c r="AG248" s="615"/>
      <c r="AH248" s="383"/>
      <c r="AI248" s="613"/>
      <c r="AJ248" s="614"/>
      <c r="AK248" s="614"/>
      <c r="AL248" s="615"/>
      <c r="AM248" s="383"/>
      <c r="AN248" s="613"/>
      <c r="AO248" s="614"/>
      <c r="AP248" s="614"/>
      <c r="AQ248" s="615"/>
      <c r="AR248" s="383"/>
      <c r="AS248" s="613"/>
      <c r="AT248" s="614"/>
      <c r="AU248" s="614"/>
      <c r="AV248" s="615"/>
      <c r="AW248" s="383"/>
      <c r="AX248" s="613"/>
      <c r="AY248" s="614"/>
      <c r="AZ248" s="614"/>
      <c r="BA248" s="615"/>
      <c r="BB248" s="383"/>
      <c r="BC248" s="613"/>
      <c r="BD248" s="614"/>
      <c r="BE248" s="614"/>
      <c r="BF248" s="615"/>
      <c r="BG248" s="383"/>
      <c r="BH248" s="613"/>
      <c r="BI248" s="614"/>
      <c r="BJ248" s="614"/>
      <c r="BK248" s="615"/>
      <c r="BL248" s="383"/>
      <c r="BM248" s="613"/>
      <c r="BN248" s="614"/>
      <c r="BO248" s="614"/>
      <c r="BP248" s="615"/>
      <c r="BQ248" s="383"/>
      <c r="BR248" s="383"/>
      <c r="BS248" s="383"/>
      <c r="BT248" s="383"/>
      <c r="BU248" s="383"/>
      <c r="BV248" s="383"/>
      <c r="BW248" s="383"/>
      <c r="BX248" s="383"/>
      <c r="BY248" s="383"/>
      <c r="BZ248" s="383"/>
      <c r="CA248" s="383"/>
      <c r="CB248" s="383"/>
      <c r="CC248" s="383"/>
      <c r="CD248" s="383"/>
      <c r="CE248" s="383"/>
      <c r="CF248" s="383"/>
      <c r="CG248" s="383"/>
      <c r="CH248" s="383"/>
      <c r="CI248" s="383"/>
      <c r="CJ248" s="383"/>
      <c r="CK248" s="383"/>
      <c r="CL248" s="383"/>
      <c r="CM248" s="383"/>
      <c r="CN248" s="383"/>
      <c r="CO248" s="383"/>
      <c r="CP248" s="383"/>
      <c r="CQ248" s="383"/>
      <c r="CR248" s="383"/>
      <c r="CS248" s="383"/>
      <c r="CT248" s="383"/>
      <c r="CU248" s="383"/>
    </row>
    <row r="249" spans="1:99" ht="12.75" customHeight="1">
      <c r="A249" s="383"/>
      <c r="B249" s="383"/>
      <c r="C249" s="383" t="s">
        <v>279</v>
      </c>
      <c r="D249" s="383"/>
      <c r="E249" s="613"/>
      <c r="F249" s="614"/>
      <c r="G249" s="614"/>
      <c r="H249" s="666">
        <f t="shared" ref="H249:AR249" si="699">(H236+H239)/H239</f>
        <v>7.9839572192513373</v>
      </c>
      <c r="I249" s="229">
        <f t="shared" si="699"/>
        <v>7.9839572192513373</v>
      </c>
      <c r="J249" s="667">
        <f t="shared" si="699"/>
        <v>8.384615384615385</v>
      </c>
      <c r="K249" s="240">
        <f t="shared" si="699"/>
        <v>7.6904761904761907</v>
      </c>
      <c r="L249" s="240">
        <f t="shared" si="699"/>
        <v>8.4009900990099009</v>
      </c>
      <c r="M249" s="666">
        <f t="shared" si="699"/>
        <v>8.3316062176165797</v>
      </c>
      <c r="N249" s="229">
        <f t="shared" si="699"/>
        <v>8.3316062176165797</v>
      </c>
      <c r="O249" s="667">
        <f t="shared" si="699"/>
        <v>7.6648351648351651</v>
      </c>
      <c r="P249" s="240">
        <f t="shared" si="699"/>
        <v>8.057553956834532</v>
      </c>
      <c r="Q249" s="240">
        <f t="shared" si="699"/>
        <v>6.0592592592592593</v>
      </c>
      <c r="R249" s="666">
        <f t="shared" si="699"/>
        <v>5.4029850746268657</v>
      </c>
      <c r="S249" s="229">
        <f t="shared" si="699"/>
        <v>5.4029850746268657</v>
      </c>
      <c r="T249" s="667">
        <f t="shared" si="699"/>
        <v>5.343511450381679</v>
      </c>
      <c r="U249" s="240">
        <f>(U236+U239)/U239</f>
        <v>5.3593073593073592</v>
      </c>
      <c r="V249" s="240">
        <f t="shared" si="699"/>
        <v>5.7142857142857135</v>
      </c>
      <c r="W249" s="666">
        <f t="shared" si="699"/>
        <v>5.9105691056910565</v>
      </c>
      <c r="X249" s="229">
        <f t="shared" si="699"/>
        <v>5.910569105691053</v>
      </c>
      <c r="Y249" s="667">
        <f t="shared" si="699"/>
        <v>6.214876033057851</v>
      </c>
      <c r="Z249" s="240">
        <f t="shared" si="699"/>
        <v>6.3135593220338979</v>
      </c>
      <c r="AA249" s="240">
        <f t="shared" si="699"/>
        <v>6.2000000000000011</v>
      </c>
      <c r="AB249" s="666">
        <f t="shared" si="699"/>
        <v>6.4000000000000012</v>
      </c>
      <c r="AC249" s="229">
        <f t="shared" si="699"/>
        <v>6.4</v>
      </c>
      <c r="AD249" s="667">
        <f t="shared" si="699"/>
        <v>6.1578947368421062</v>
      </c>
      <c r="AE249" s="240">
        <f>(AE236+AE239)/AE239</f>
        <v>6.2719298245614041</v>
      </c>
      <c r="AF249" s="240">
        <f t="shared" si="699"/>
        <v>6.1842105263157903</v>
      </c>
      <c r="AG249" s="666">
        <f t="shared" si="699"/>
        <v>6.2123893805309738</v>
      </c>
      <c r="AH249" s="229">
        <f t="shared" si="699"/>
        <v>6.2123893805309738</v>
      </c>
      <c r="AI249" s="667">
        <f t="shared" si="699"/>
        <v>6.6991150442477876</v>
      </c>
      <c r="AJ249" s="240">
        <f t="shared" si="699"/>
        <v>6.6725663716814161</v>
      </c>
      <c r="AK249" s="240">
        <f t="shared" si="699"/>
        <v>6.8928571428571432</v>
      </c>
      <c r="AL249" s="666">
        <f t="shared" si="699"/>
        <v>6.6140350877192988</v>
      </c>
      <c r="AM249" s="229">
        <f t="shared" si="699"/>
        <v>6.6140350877192979</v>
      </c>
      <c r="AN249" s="667">
        <f t="shared" si="699"/>
        <v>6.3931623931623944</v>
      </c>
      <c r="AO249" s="240">
        <f t="shared" si="699"/>
        <v>6.491666666666668</v>
      </c>
      <c r="AP249" s="240">
        <f t="shared" ref="AP249" si="700">(AP236+AP239)/AP239</f>
        <v>6.6557377049180335</v>
      </c>
      <c r="AQ249" s="666">
        <f t="shared" si="699"/>
        <v>6.8048780487804876</v>
      </c>
      <c r="AR249" s="229">
        <f t="shared" si="699"/>
        <v>6.8048780487804876</v>
      </c>
      <c r="AS249" s="667">
        <f t="shared" ref="AS249:BB249" si="701">(AS236+AS239)/AS239</f>
        <v>6.8617886178861784</v>
      </c>
      <c r="AT249" s="240">
        <f t="shared" si="701"/>
        <v>6.7967479674796749</v>
      </c>
      <c r="AU249" s="240">
        <f t="shared" ref="AU249" si="702">(AU236+AU239)/AU239</f>
        <v>6.717741935483871</v>
      </c>
      <c r="AV249" s="666">
        <f t="shared" si="701"/>
        <v>6.6587301587301599</v>
      </c>
      <c r="AW249" s="229">
        <f t="shared" si="701"/>
        <v>6.6587301587301591</v>
      </c>
      <c r="AX249" s="667">
        <f t="shared" si="701"/>
        <v>6.6713905560768341</v>
      </c>
      <c r="AY249" s="240">
        <f t="shared" ca="1" si="701"/>
        <v>6.7580775178472585</v>
      </c>
      <c r="AZ249" s="240">
        <f t="shared" ca="1" si="701"/>
        <v>6.4381314178117455</v>
      </c>
      <c r="BA249" s="666">
        <f t="shared" ca="1" si="701"/>
        <v>6.4233093629407616</v>
      </c>
      <c r="BB249" s="229">
        <f t="shared" ca="1" si="701"/>
        <v>6.4233093629407678</v>
      </c>
      <c r="BC249" s="667">
        <f t="shared" ref="BC249:BL249" ca="1" si="703">(BC236+BC239)/BC239</f>
        <v>6.4855910816078666</v>
      </c>
      <c r="BD249" s="240">
        <f t="shared" ca="1" si="703"/>
        <v>6.3539518451322925</v>
      </c>
      <c r="BE249" s="240">
        <f t="shared" ca="1" si="703"/>
        <v>6.3068885360285618</v>
      </c>
      <c r="BF249" s="666">
        <f t="shared" ca="1" si="703"/>
        <v>6.2971914196406082</v>
      </c>
      <c r="BG249" s="229">
        <f t="shared" ca="1" si="703"/>
        <v>6.2971914196406065</v>
      </c>
      <c r="BH249" s="667">
        <f t="shared" ca="1" si="703"/>
        <v>6.2925274988829534</v>
      </c>
      <c r="BI249" s="240">
        <f t="shared" ca="1" si="703"/>
        <v>6.2983595130893058</v>
      </c>
      <c r="BJ249" s="240">
        <f t="shared" ca="1" si="703"/>
        <v>6.3143800092766185</v>
      </c>
      <c r="BK249" s="666">
        <f t="shared" ca="1" si="703"/>
        <v>6.3507364020691011</v>
      </c>
      <c r="BL249" s="229">
        <f t="shared" ca="1" si="703"/>
        <v>6.3507364020691046</v>
      </c>
      <c r="BM249" s="667">
        <f t="shared" ref="BM249:BQ249" ca="1" si="704">(BM236+BM239)/BM239</f>
        <v>6.423882565299575</v>
      </c>
      <c r="BN249" s="240">
        <f t="shared" ca="1" si="704"/>
        <v>6.5016308114893144</v>
      </c>
      <c r="BO249" s="240">
        <f t="shared" ca="1" si="704"/>
        <v>6.5579929106925858</v>
      </c>
      <c r="BP249" s="666">
        <f t="shared" ca="1" si="704"/>
        <v>6.632715738325766</v>
      </c>
      <c r="BQ249" s="229">
        <f t="shared" ca="1" si="704"/>
        <v>6.6327157383257642</v>
      </c>
      <c r="BR249" s="383"/>
      <c r="BS249" s="383"/>
      <c r="BT249" s="383"/>
      <c r="BU249" s="383"/>
      <c r="BV249" s="383"/>
      <c r="BW249" s="383"/>
      <c r="BX249" s="383"/>
      <c r="BY249" s="383"/>
      <c r="BZ249" s="383"/>
      <c r="CA249" s="383"/>
      <c r="CB249" s="383"/>
      <c r="CC249" s="383"/>
      <c r="CD249" s="383"/>
      <c r="CE249" s="383"/>
      <c r="CF249" s="383"/>
      <c r="CG249" s="383"/>
      <c r="CH249" s="383"/>
      <c r="CI249" s="383"/>
      <c r="CJ249" s="383"/>
      <c r="CK249" s="383"/>
      <c r="CL249" s="383"/>
      <c r="CM249" s="383"/>
      <c r="CN249" s="383"/>
      <c r="CO249" s="383"/>
      <c r="CP249" s="383"/>
      <c r="CQ249" s="383"/>
      <c r="CR249" s="383"/>
      <c r="CS249" s="383"/>
      <c r="CT249" s="383"/>
      <c r="CU249" s="383"/>
    </row>
    <row r="250" spans="1:99" ht="12.75" customHeight="1">
      <c r="A250" s="383"/>
      <c r="B250" s="383"/>
      <c r="C250" s="383" t="s">
        <v>280</v>
      </c>
      <c r="D250" s="383"/>
      <c r="E250" s="613"/>
      <c r="F250" s="614"/>
      <c r="G250" s="614"/>
      <c r="H250" s="666">
        <f t="shared" ref="H250:AR250" si="705">H237/H239</f>
        <v>3.6684491978609626</v>
      </c>
      <c r="I250" s="229">
        <f t="shared" si="705"/>
        <v>3.6684491978609626</v>
      </c>
      <c r="J250" s="667">
        <f t="shared" si="705"/>
        <v>3.7142857142857144</v>
      </c>
      <c r="K250" s="240">
        <f t="shared" si="705"/>
        <v>3.361904761904762</v>
      </c>
      <c r="L250" s="240">
        <f t="shared" si="705"/>
        <v>3.7425742574257428</v>
      </c>
      <c r="M250" s="666">
        <f t="shared" si="705"/>
        <v>3.4663212435233159</v>
      </c>
      <c r="N250" s="229">
        <f t="shared" si="705"/>
        <v>3.4663212435233159</v>
      </c>
      <c r="O250" s="667">
        <f t="shared" si="705"/>
        <v>3.7747252747252746</v>
      </c>
      <c r="P250" s="240">
        <f t="shared" si="705"/>
        <v>4.8201438848920866</v>
      </c>
      <c r="Q250" s="240">
        <f t="shared" si="705"/>
        <v>4.503703703703704</v>
      </c>
      <c r="R250" s="666">
        <f t="shared" si="705"/>
        <v>4.9925373134328357</v>
      </c>
      <c r="S250" s="229">
        <f t="shared" si="705"/>
        <v>4.9925373134328357</v>
      </c>
      <c r="T250" s="667">
        <f t="shared" si="705"/>
        <v>4.8244274809160306</v>
      </c>
      <c r="U250" s="240">
        <f>U237/U239</f>
        <v>4.8095238095238093</v>
      </c>
      <c r="V250" s="240">
        <f t="shared" si="705"/>
        <v>5.1190476190476177</v>
      </c>
      <c r="W250" s="666">
        <f t="shared" si="705"/>
        <v>5.1300813008130079</v>
      </c>
      <c r="X250" s="229">
        <f t="shared" si="705"/>
        <v>5.1300813008130044</v>
      </c>
      <c r="Y250" s="667">
        <f t="shared" si="705"/>
        <v>5.4380165289256199</v>
      </c>
      <c r="Z250" s="240">
        <f t="shared" si="705"/>
        <v>5.4491525423728815</v>
      </c>
      <c r="AA250" s="240">
        <f t="shared" si="705"/>
        <v>5.3826086956521753</v>
      </c>
      <c r="AB250" s="666">
        <f t="shared" si="705"/>
        <v>5.8434782608695661</v>
      </c>
      <c r="AC250" s="229">
        <f t="shared" si="705"/>
        <v>5.8434782608695652</v>
      </c>
      <c r="AD250" s="667">
        <f t="shared" si="705"/>
        <v>5.412280701754387</v>
      </c>
      <c r="AE250" s="240">
        <f>AE237/AE239</f>
        <v>5.385964912280703</v>
      </c>
      <c r="AF250" s="240">
        <f t="shared" si="705"/>
        <v>5.2017543859649136</v>
      </c>
      <c r="AG250" s="666">
        <f t="shared" si="705"/>
        <v>5.1238938053097343</v>
      </c>
      <c r="AH250" s="229">
        <f t="shared" si="705"/>
        <v>5.1238938053097343</v>
      </c>
      <c r="AI250" s="667">
        <f t="shared" si="705"/>
        <v>5.778761061946903</v>
      </c>
      <c r="AJ250" s="240">
        <f t="shared" si="705"/>
        <v>5.6902654867256635</v>
      </c>
      <c r="AK250" s="240">
        <f t="shared" si="705"/>
        <v>5.9196428571428568</v>
      </c>
      <c r="AL250" s="666">
        <f t="shared" si="705"/>
        <v>5.5701754385964923</v>
      </c>
      <c r="AM250" s="229">
        <f t="shared" si="705"/>
        <v>5.5701754385964914</v>
      </c>
      <c r="AN250" s="667">
        <f t="shared" si="705"/>
        <v>5.1965811965811977</v>
      </c>
      <c r="AO250" s="240">
        <f t="shared" si="705"/>
        <v>5.3083333333333345</v>
      </c>
      <c r="AP250" s="240">
        <f t="shared" ref="AP250" si="706">AP237/AP239</f>
        <v>5.6393442622950829</v>
      </c>
      <c r="AQ250" s="666">
        <f t="shared" si="705"/>
        <v>5.7723577235772359</v>
      </c>
      <c r="AR250" s="229">
        <f t="shared" si="705"/>
        <v>5.7723577235772359</v>
      </c>
      <c r="AS250" s="667">
        <f t="shared" ref="AS250:BB250" si="707">AS237/AS239</f>
        <v>5.7398373983739841</v>
      </c>
      <c r="AT250" s="240">
        <f t="shared" si="707"/>
        <v>5.6178861788617889</v>
      </c>
      <c r="AU250" s="240">
        <f t="shared" ref="AU250" si="708">AU237/AU239</f>
        <v>5.290322580645161</v>
      </c>
      <c r="AV250" s="666">
        <f t="shared" si="707"/>
        <v>5.2698412698412707</v>
      </c>
      <c r="AW250" s="229">
        <f t="shared" si="707"/>
        <v>5.2698412698412698</v>
      </c>
      <c r="AX250" s="667">
        <f t="shared" si="707"/>
        <v>5.327675394889714</v>
      </c>
      <c r="AY250" s="240">
        <f t="shared" ca="1" si="707"/>
        <v>5.4516286730341657</v>
      </c>
      <c r="AZ250" s="240">
        <f t="shared" ca="1" si="707"/>
        <v>5.2182886212157209</v>
      </c>
      <c r="BA250" s="666">
        <f t="shared" ca="1" si="707"/>
        <v>5.1786112991632267</v>
      </c>
      <c r="BB250" s="229">
        <f t="shared" ca="1" si="707"/>
        <v>5.178611299163232</v>
      </c>
      <c r="BC250" s="667">
        <f t="shared" ref="BC250:BL250" ca="1" si="709">BC237/BC239</f>
        <v>5.2406899108578582</v>
      </c>
      <c r="BD250" s="240">
        <f t="shared" ca="1" si="709"/>
        <v>5.137453173380921</v>
      </c>
      <c r="BE250" s="240">
        <f t="shared" ca="1" si="709"/>
        <v>5.1045868875287264</v>
      </c>
      <c r="BF250" s="666">
        <f t="shared" ca="1" si="709"/>
        <v>5.1023486691551385</v>
      </c>
      <c r="BG250" s="229">
        <f t="shared" ca="1" si="709"/>
        <v>5.1023486691551367</v>
      </c>
      <c r="BH250" s="667">
        <f t="shared" ca="1" si="709"/>
        <v>5.1077781488290475</v>
      </c>
      <c r="BI250" s="240">
        <f t="shared" ca="1" si="709"/>
        <v>5.1199097118921326</v>
      </c>
      <c r="BJ250" s="240">
        <f t="shared" ca="1" si="709"/>
        <v>5.1432218354562789</v>
      </c>
      <c r="BK250" s="666">
        <f t="shared" ca="1" si="709"/>
        <v>5.1857796773609808</v>
      </c>
      <c r="BL250" s="229">
        <f t="shared" ca="1" si="709"/>
        <v>5.1857796773609834</v>
      </c>
      <c r="BM250" s="667">
        <f t="shared" ref="BM250:BQ250" ca="1" si="710">BM237/BM239</f>
        <v>5.2465231389042986</v>
      </c>
      <c r="BN250" s="240">
        <f t="shared" ca="1" si="710"/>
        <v>5.3109153370462554</v>
      </c>
      <c r="BO250" s="240">
        <f t="shared" ca="1" si="710"/>
        <v>5.3580985462208899</v>
      </c>
      <c r="BP250" s="666">
        <f t="shared" ca="1" si="710"/>
        <v>5.4212066346489021</v>
      </c>
      <c r="BQ250" s="229">
        <f t="shared" ca="1" si="710"/>
        <v>5.4212066346489003</v>
      </c>
      <c r="BR250" s="383"/>
      <c r="BS250" s="383"/>
      <c r="BT250" s="383"/>
      <c r="BU250" s="383"/>
      <c r="BV250" s="383"/>
      <c r="BW250" s="383"/>
      <c r="BX250" s="383"/>
      <c r="BY250" s="383"/>
      <c r="BZ250" s="383"/>
      <c r="CA250" s="383"/>
      <c r="CB250" s="383"/>
      <c r="CC250" s="383"/>
      <c r="CD250" s="383"/>
      <c r="CE250" s="383"/>
      <c r="CF250" s="383"/>
      <c r="CG250" s="383"/>
      <c r="CH250" s="383"/>
      <c r="CI250" s="383"/>
      <c r="CJ250" s="383"/>
      <c r="CK250" s="383"/>
      <c r="CL250" s="383"/>
      <c r="CM250" s="383"/>
      <c r="CN250" s="383"/>
      <c r="CO250" s="383"/>
      <c r="CP250" s="383"/>
      <c r="CQ250" s="383"/>
      <c r="CR250" s="383"/>
      <c r="CS250" s="383"/>
      <c r="CT250" s="383"/>
      <c r="CU250" s="383"/>
    </row>
    <row r="251" spans="1:99" ht="12.75" customHeight="1">
      <c r="A251" s="383"/>
      <c r="B251" s="383"/>
      <c r="C251" s="383"/>
      <c r="D251" s="383"/>
      <c r="E251" s="613"/>
      <c r="F251" s="614"/>
      <c r="G251" s="614"/>
      <c r="H251" s="615"/>
      <c r="I251" s="383"/>
      <c r="J251" s="613"/>
      <c r="K251" s="614"/>
      <c r="L251" s="614"/>
      <c r="M251" s="615"/>
      <c r="N251" s="383"/>
      <c r="O251" s="613"/>
      <c r="P251" s="614"/>
      <c r="Q251" s="614"/>
      <c r="R251" s="615"/>
      <c r="S251" s="383"/>
      <c r="T251" s="613"/>
      <c r="U251" s="614"/>
      <c r="V251" s="614"/>
      <c r="W251" s="615"/>
      <c r="X251" s="383"/>
      <c r="Y251" s="613"/>
      <c r="Z251" s="614"/>
      <c r="AA251" s="614"/>
      <c r="AB251" s="615"/>
      <c r="AC251" s="383"/>
      <c r="AD251" s="613"/>
      <c r="AE251" s="614"/>
      <c r="AF251" s="614"/>
      <c r="AG251" s="615"/>
      <c r="AH251" s="383"/>
      <c r="AI251" s="613"/>
      <c r="AJ251" s="614"/>
      <c r="AK251" s="614"/>
      <c r="AL251" s="615"/>
      <c r="AM251" s="383"/>
      <c r="AN251" s="613"/>
      <c r="AO251" s="614"/>
      <c r="AP251" s="614"/>
      <c r="AQ251" s="615"/>
      <c r="AR251" s="383"/>
      <c r="AS251" s="613"/>
      <c r="AT251" s="614"/>
      <c r="AU251" s="614"/>
      <c r="AV251" s="615"/>
      <c r="AW251" s="383"/>
      <c r="AX251" s="613"/>
      <c r="AY251" s="614"/>
      <c r="AZ251" s="614"/>
      <c r="BA251" s="615"/>
      <c r="BB251" s="383"/>
      <c r="BC251" s="613"/>
      <c r="BD251" s="614"/>
      <c r="BE251" s="614"/>
      <c r="BF251" s="615"/>
      <c r="BG251" s="383"/>
      <c r="BH251" s="613"/>
      <c r="BI251" s="614"/>
      <c r="BJ251" s="614"/>
      <c r="BK251" s="615"/>
      <c r="BL251" s="383"/>
      <c r="BM251" s="613"/>
      <c r="BN251" s="614"/>
      <c r="BO251" s="614"/>
      <c r="BP251" s="615"/>
      <c r="BQ251" s="383"/>
      <c r="BR251" s="383"/>
      <c r="BS251" s="383"/>
      <c r="BT251" s="383"/>
      <c r="BU251" s="383"/>
      <c r="BV251" s="383"/>
      <c r="BW251" s="383"/>
      <c r="BX251" s="383"/>
      <c r="BY251" s="383"/>
      <c r="BZ251" s="383"/>
      <c r="CA251" s="383"/>
      <c r="CB251" s="383"/>
      <c r="CC251" s="383"/>
      <c r="CD251" s="383"/>
      <c r="CE251" s="383"/>
      <c r="CF251" s="383"/>
      <c r="CG251" s="383"/>
      <c r="CH251" s="383"/>
      <c r="CI251" s="383"/>
      <c r="CJ251" s="383"/>
      <c r="CK251" s="383"/>
      <c r="CL251" s="383"/>
      <c r="CM251" s="383"/>
      <c r="CN251" s="383"/>
      <c r="CO251" s="383"/>
      <c r="CP251" s="383"/>
      <c r="CQ251" s="383"/>
      <c r="CR251" s="383"/>
      <c r="CS251" s="383"/>
      <c r="CT251" s="383"/>
      <c r="CU251" s="383"/>
    </row>
    <row r="252" spans="1:99" ht="12.75" customHeight="1">
      <c r="A252" s="383"/>
      <c r="B252" s="383"/>
      <c r="C252" s="383"/>
      <c r="D252" s="383"/>
      <c r="E252" s="613"/>
      <c r="F252" s="614"/>
      <c r="G252" s="614"/>
      <c r="H252" s="615"/>
      <c r="I252" s="383"/>
      <c r="J252" s="613"/>
      <c r="K252" s="614"/>
      <c r="L252" s="614"/>
      <c r="M252" s="615"/>
      <c r="N252" s="383"/>
      <c r="O252" s="613"/>
      <c r="P252" s="614"/>
      <c r="Q252" s="614"/>
      <c r="R252" s="615"/>
      <c r="S252" s="383"/>
      <c r="T252" s="613"/>
      <c r="U252" s="614"/>
      <c r="V252" s="614"/>
      <c r="W252" s="615"/>
      <c r="X252" s="383"/>
      <c r="Y252" s="613"/>
      <c r="Z252" s="614"/>
      <c r="AA252" s="614"/>
      <c r="AB252" s="615"/>
      <c r="AC252" s="383"/>
      <c r="AD252" s="613"/>
      <c r="AE252" s="614"/>
      <c r="AF252" s="614"/>
      <c r="AG252" s="615"/>
      <c r="AH252" s="383"/>
      <c r="AI252" s="613"/>
      <c r="AJ252" s="614"/>
      <c r="AK252" s="614"/>
      <c r="AL252" s="615"/>
      <c r="AM252" s="383"/>
      <c r="AN252" s="613"/>
      <c r="AO252" s="614"/>
      <c r="AP252" s="614"/>
      <c r="AQ252" s="615"/>
      <c r="AR252" s="383"/>
      <c r="AS252" s="613"/>
      <c r="AT252" s="614"/>
      <c r="AU252" s="614"/>
      <c r="AV252" s="615"/>
      <c r="AW252" s="383"/>
      <c r="AX252" s="613"/>
      <c r="AY252" s="614"/>
      <c r="AZ252" s="614"/>
      <c r="BA252" s="615"/>
      <c r="BB252" s="383"/>
      <c r="BC252" s="613"/>
      <c r="BD252" s="614"/>
      <c r="BE252" s="614"/>
      <c r="BF252" s="615"/>
      <c r="BG252" s="383"/>
      <c r="BH252" s="613"/>
      <c r="BI252" s="614"/>
      <c r="BJ252" s="614"/>
      <c r="BK252" s="615"/>
      <c r="BL252" s="383"/>
      <c r="BM252" s="613"/>
      <c r="BN252" s="614"/>
      <c r="BO252" s="614"/>
      <c r="BP252" s="615"/>
      <c r="BQ252" s="383"/>
      <c r="BR252" s="383"/>
      <c r="BS252" s="383"/>
      <c r="BT252" s="383"/>
      <c r="BU252" s="383"/>
      <c r="BV252" s="383"/>
      <c r="BW252" s="383"/>
      <c r="BX252" s="383"/>
      <c r="BY252" s="383"/>
      <c r="BZ252" s="383"/>
      <c r="CA252" s="383"/>
      <c r="CB252" s="383"/>
      <c r="CC252" s="383"/>
      <c r="CD252" s="383"/>
      <c r="CE252" s="383"/>
      <c r="CF252" s="383"/>
      <c r="CG252" s="383"/>
      <c r="CH252" s="383"/>
      <c r="CI252" s="383"/>
      <c r="CJ252" s="383"/>
      <c r="CK252" s="383"/>
      <c r="CL252" s="383"/>
      <c r="CM252" s="383"/>
      <c r="CN252" s="383"/>
      <c r="CO252" s="383"/>
      <c r="CP252" s="383"/>
      <c r="CQ252" s="383"/>
      <c r="CR252" s="383"/>
      <c r="CS252" s="383"/>
      <c r="CT252" s="383"/>
      <c r="CU252" s="383"/>
    </row>
    <row r="253" spans="1:99" ht="12.75" customHeight="1">
      <c r="A253" s="383"/>
      <c r="B253" s="379" t="s">
        <v>156</v>
      </c>
      <c r="C253" s="658"/>
      <c r="D253" s="659"/>
      <c r="E253" s="613"/>
      <c r="F253" s="614"/>
      <c r="G253" s="614"/>
      <c r="H253" s="615"/>
      <c r="I253" s="383"/>
      <c r="J253" s="613"/>
      <c r="K253" s="614"/>
      <c r="L253" s="614"/>
      <c r="M253" s="615"/>
      <c r="N253" s="383"/>
      <c r="O253" s="613"/>
      <c r="P253" s="614"/>
      <c r="Q253" s="614"/>
      <c r="R253" s="615"/>
      <c r="S253" s="383"/>
      <c r="T253" s="613"/>
      <c r="U253" s="614"/>
      <c r="V253" s="614"/>
      <c r="W253" s="615"/>
      <c r="X253" s="383"/>
      <c r="Y253" s="613"/>
      <c r="Z253" s="614"/>
      <c r="AA253" s="614"/>
      <c r="AB253" s="615"/>
      <c r="AC253" s="383"/>
      <c r="AD253" s="613"/>
      <c r="AE253" s="614"/>
      <c r="AF253" s="614"/>
      <c r="AG253" s="615"/>
      <c r="AH253" s="383"/>
      <c r="AI253" s="613"/>
      <c r="AJ253" s="614"/>
      <c r="AK253" s="614"/>
      <c r="AL253" s="615"/>
      <c r="AM253" s="383"/>
      <c r="AN253" s="613"/>
      <c r="AO253" s="614"/>
      <c r="AP253" s="614"/>
      <c r="AQ253" s="615"/>
      <c r="AR253" s="383"/>
      <c r="AS253" s="613"/>
      <c r="AT253" s="614"/>
      <c r="AU253" s="614"/>
      <c r="AV253" s="615"/>
      <c r="AW253" s="383"/>
      <c r="AX253" s="613"/>
      <c r="AY253" s="614"/>
      <c r="AZ253" s="614"/>
      <c r="BA253" s="615"/>
      <c r="BB253" s="383"/>
      <c r="BC253" s="613"/>
      <c r="BD253" s="614"/>
      <c r="BE253" s="614"/>
      <c r="BF253" s="615"/>
      <c r="BG253" s="383"/>
      <c r="BH253" s="613"/>
      <c r="BI253" s="614"/>
      <c r="BJ253" s="614"/>
      <c r="BK253" s="615"/>
      <c r="BL253" s="383"/>
      <c r="BM253" s="613"/>
      <c r="BN253" s="614"/>
      <c r="BO253" s="614"/>
      <c r="BP253" s="615"/>
      <c r="BQ253" s="383"/>
      <c r="BR253" s="383"/>
      <c r="BS253" s="383"/>
      <c r="BT253" s="383"/>
      <c r="BU253" s="383"/>
      <c r="BV253" s="383"/>
      <c r="BW253" s="383"/>
      <c r="BX253" s="383"/>
      <c r="BY253" s="383"/>
      <c r="BZ253" s="383"/>
      <c r="CA253" s="383"/>
      <c r="CB253" s="383"/>
      <c r="CC253" s="383"/>
      <c r="CD253" s="383"/>
      <c r="CE253" s="383"/>
      <c r="CF253" s="383"/>
      <c r="CG253" s="383"/>
      <c r="CH253" s="383"/>
      <c r="CI253" s="383"/>
      <c r="CJ253" s="383"/>
      <c r="CK253" s="383"/>
      <c r="CL253" s="383"/>
      <c r="CM253" s="383"/>
      <c r="CN253" s="383"/>
      <c r="CO253" s="383"/>
      <c r="CP253" s="383"/>
      <c r="CQ253" s="383"/>
      <c r="CR253" s="383"/>
      <c r="CS253" s="383"/>
      <c r="CT253" s="383"/>
      <c r="CU253" s="383"/>
    </row>
    <row r="254" spans="1:99" ht="12.75" customHeight="1">
      <c r="A254" s="45"/>
      <c r="B254" s="45"/>
      <c r="C254" s="389" t="s">
        <v>403</v>
      </c>
      <c r="D254" s="45"/>
      <c r="E254" s="295">
        <v>3700</v>
      </c>
      <c r="F254" s="668">
        <f>+E259</f>
        <v>3838.75</v>
      </c>
      <c r="G254" s="668">
        <f>+F259</f>
        <v>3919.5</v>
      </c>
      <c r="H254" s="293">
        <f>+G259</f>
        <v>3997.25</v>
      </c>
      <c r="I254" s="521">
        <f>+E254</f>
        <v>3700</v>
      </c>
      <c r="J254" s="292">
        <f>+I259</f>
        <v>4133</v>
      </c>
      <c r="K254" s="668">
        <f>+J259</f>
        <v>4307.25</v>
      </c>
      <c r="L254" s="668">
        <f>+K259</f>
        <v>4648.5</v>
      </c>
      <c r="M254" s="293">
        <f>+L259</f>
        <v>4700.75</v>
      </c>
      <c r="N254" s="521">
        <f>+I259</f>
        <v>4133</v>
      </c>
      <c r="O254" s="292">
        <f>+N259</f>
        <v>4903</v>
      </c>
      <c r="P254" s="668">
        <f>+O259</f>
        <v>4920</v>
      </c>
      <c r="Q254" s="668">
        <f>+P259</f>
        <v>4923</v>
      </c>
      <c r="R254" s="293">
        <f>+Q259</f>
        <v>4893</v>
      </c>
      <c r="S254" s="521">
        <f>+N259</f>
        <v>4903</v>
      </c>
      <c r="T254" s="292">
        <f>+S259</f>
        <v>4929</v>
      </c>
      <c r="U254" s="261">
        <f>+T259</f>
        <v>4962</v>
      </c>
      <c r="V254" s="668">
        <f>+U259</f>
        <v>4982</v>
      </c>
      <c r="W254" s="293">
        <f>+V259</f>
        <v>5015</v>
      </c>
      <c r="X254" s="521">
        <f>+S259</f>
        <v>4929</v>
      </c>
      <c r="Y254" s="292">
        <f>+X259</f>
        <v>5097</v>
      </c>
      <c r="Z254" s="261">
        <f>+Y259</f>
        <v>5143</v>
      </c>
      <c r="AA254" s="1482">
        <f>+Z259</f>
        <v>5213</v>
      </c>
      <c r="AB254" s="1439">
        <f>+AA259</f>
        <v>5265</v>
      </c>
      <c r="AC254" s="1483">
        <f>+X259</f>
        <v>5097</v>
      </c>
      <c r="AD254" s="292">
        <f>+AC259</f>
        <v>5386</v>
      </c>
      <c r="AE254" s="261">
        <f>+AD259</f>
        <v>5514</v>
      </c>
      <c r="AF254" s="668">
        <f>+AE259</f>
        <v>5571</v>
      </c>
      <c r="AG254" s="293">
        <f>+AF259</f>
        <v>5664</v>
      </c>
      <c r="AH254" s="521">
        <f>+AC259</f>
        <v>5386</v>
      </c>
      <c r="AI254" s="292">
        <f>+AH259</f>
        <v>5723</v>
      </c>
      <c r="AJ254" s="668">
        <f>+AI259</f>
        <v>5808</v>
      </c>
      <c r="AK254" s="668">
        <f>+AJ259</f>
        <v>5889</v>
      </c>
      <c r="AL254" s="293">
        <f>+AK259</f>
        <v>5968</v>
      </c>
      <c r="AM254" s="521">
        <f>+AH259</f>
        <v>5723</v>
      </c>
      <c r="AN254" s="292">
        <f>+AM259</f>
        <v>5994</v>
      </c>
      <c r="AO254" s="668">
        <f>+AN259</f>
        <v>5956</v>
      </c>
      <c r="AP254" s="668">
        <f>+AO259</f>
        <v>5971</v>
      </c>
      <c r="AQ254" s="293">
        <f>+AP259</f>
        <v>6042</v>
      </c>
      <c r="AR254" s="521">
        <f>+AM259</f>
        <v>5994</v>
      </c>
      <c r="AS254" s="292">
        <f>+AR259</f>
        <v>6208</v>
      </c>
      <c r="AT254" s="668">
        <f>+AS259</f>
        <v>6154</v>
      </c>
      <c r="AU254" s="668">
        <f t="shared" ref="AU254" si="711">+AT259</f>
        <v>6282</v>
      </c>
      <c r="AV254" s="293">
        <f>+AU259</f>
        <v>6389</v>
      </c>
      <c r="AW254" s="521">
        <f>+AR259</f>
        <v>6208</v>
      </c>
      <c r="AX254" s="292">
        <f>+AW259</f>
        <v>6536</v>
      </c>
      <c r="AY254" s="668">
        <f ca="1">+AX259</f>
        <v>6779.644163804096</v>
      </c>
      <c r="AZ254" s="668">
        <f ca="1">+AY259</f>
        <v>6887.3497536450132</v>
      </c>
      <c r="BA254" s="293">
        <f ca="1">+AZ259</f>
        <v>6993.9228180838618</v>
      </c>
      <c r="BB254" s="521">
        <f>+AW259</f>
        <v>6536</v>
      </c>
      <c r="BC254" s="292">
        <f ca="1">+BB259</f>
        <v>7099.3730518906195</v>
      </c>
      <c r="BD254" s="668">
        <f ca="1">+BC259</f>
        <v>7263.9373849363183</v>
      </c>
      <c r="BE254" s="668">
        <f ca="1">+BD259</f>
        <v>7377.4395438004049</v>
      </c>
      <c r="BF254" s="293">
        <f ca="1">+BE259</f>
        <v>7489.7401019626177</v>
      </c>
      <c r="BG254" s="521">
        <f ca="1">+BB259</f>
        <v>7099.3730518906195</v>
      </c>
      <c r="BH254" s="292">
        <f ca="1">+BG259</f>
        <v>7600.8493454990039</v>
      </c>
      <c r="BI254" s="668">
        <f ca="1">+BH259</f>
        <v>7777.8122046269091</v>
      </c>
      <c r="BJ254" s="668">
        <f ca="1">+BI259</f>
        <v>7853.7013481554204</v>
      </c>
      <c r="BK254" s="293">
        <f ca="1">+BJ259</f>
        <v>7928.6744864861957</v>
      </c>
      <c r="BL254" s="521">
        <f ca="1">+BG259</f>
        <v>7600.8493454990039</v>
      </c>
      <c r="BM254" s="292">
        <f ca="1">+BL259</f>
        <v>8002.739460908866</v>
      </c>
      <c r="BN254" s="668">
        <f ca="1">+BM259</f>
        <v>8374.6105580129588</v>
      </c>
      <c r="BO254" s="668">
        <f ca="1">+BN259</f>
        <v>8445.5889729911687</v>
      </c>
      <c r="BP254" s="293">
        <f ca="1">+BO259</f>
        <v>8515.6823474803714</v>
      </c>
      <c r="BQ254" s="521">
        <f ca="1">+BL259</f>
        <v>8002.739460908866</v>
      </c>
      <c r="BR254" s="45"/>
      <c r="BS254" s="45"/>
      <c r="BT254" s="45"/>
      <c r="BU254" s="45"/>
      <c r="BV254" s="45"/>
      <c r="BW254" s="45"/>
      <c r="BX254" s="45"/>
      <c r="BY254" s="45"/>
      <c r="BZ254" s="45"/>
      <c r="CA254" s="45"/>
      <c r="CB254" s="45"/>
      <c r="CC254" s="45"/>
      <c r="CD254" s="45"/>
      <c r="CE254" s="45"/>
      <c r="CF254" s="45"/>
      <c r="CG254" s="45"/>
      <c r="CH254" s="45"/>
      <c r="CI254" s="45"/>
      <c r="CJ254" s="45"/>
      <c r="CK254" s="45"/>
      <c r="CL254" s="45"/>
      <c r="CM254" s="45"/>
      <c r="CN254" s="45"/>
      <c r="CO254" s="45"/>
      <c r="CP254" s="45"/>
      <c r="CQ254" s="45"/>
      <c r="CR254" s="45"/>
      <c r="CS254" s="45"/>
      <c r="CT254" s="45"/>
      <c r="CU254" s="45"/>
    </row>
    <row r="255" spans="1:99" ht="12.75" customHeight="1">
      <c r="A255" s="45"/>
      <c r="B255" s="45"/>
      <c r="C255" s="391" t="s">
        <v>404</v>
      </c>
      <c r="D255" s="45"/>
      <c r="E255" s="290">
        <f>E170</f>
        <v>91</v>
      </c>
      <c r="F255" s="260">
        <f>F170</f>
        <v>88</v>
      </c>
      <c r="G255" s="260">
        <f>G170</f>
        <v>88</v>
      </c>
      <c r="H255" s="291">
        <f>H170</f>
        <v>121</v>
      </c>
      <c r="I255" s="45">
        <f>SUM(E255:H255)</f>
        <v>388</v>
      </c>
      <c r="J255" s="290">
        <f>J170</f>
        <v>113</v>
      </c>
      <c r="K255" s="260">
        <f>K170</f>
        <v>105</v>
      </c>
      <c r="L255" s="260">
        <f>L170</f>
        <v>140</v>
      </c>
      <c r="M255" s="291">
        <f>M170</f>
        <v>187</v>
      </c>
      <c r="N255" s="45">
        <f>SUM(J255:M255)</f>
        <v>545</v>
      </c>
      <c r="O255" s="290">
        <f>O170</f>
        <v>121</v>
      </c>
      <c r="P255" s="260">
        <f>P170</f>
        <v>88</v>
      </c>
      <c r="Q255" s="260">
        <f>Q170</f>
        <v>112</v>
      </c>
      <c r="R255" s="291">
        <f>R170</f>
        <v>160</v>
      </c>
      <c r="S255" s="45">
        <f>SUM(O255:R255)</f>
        <v>481</v>
      </c>
      <c r="T255" s="290">
        <f>T170</f>
        <v>96</v>
      </c>
      <c r="U255" s="260">
        <f>U170</f>
        <v>83</v>
      </c>
      <c r="V255" s="260">
        <f>V170</f>
        <v>95</v>
      </c>
      <c r="W255" s="291">
        <f>W170</f>
        <v>148</v>
      </c>
      <c r="X255" s="45">
        <f>SUM(T255:W255)</f>
        <v>422</v>
      </c>
      <c r="Y255" s="290">
        <f>Y170</f>
        <v>122</v>
      </c>
      <c r="Z255" s="260">
        <f>Z170</f>
        <v>132</v>
      </c>
      <c r="AA255" s="1441">
        <f>AA170</f>
        <v>120</v>
      </c>
      <c r="AB255" s="1442">
        <f>AB170</f>
        <v>163</v>
      </c>
      <c r="AC255" s="1443">
        <f>SUM(Y255:AB255)</f>
        <v>537</v>
      </c>
      <c r="AD255" s="290">
        <f>AD170</f>
        <v>184</v>
      </c>
      <c r="AE255" s="260">
        <f>AE170</f>
        <v>124</v>
      </c>
      <c r="AF255" s="260">
        <f>AF170</f>
        <v>153</v>
      </c>
      <c r="AG255" s="291">
        <f>AG170</f>
        <v>200</v>
      </c>
      <c r="AH255" s="45">
        <f>SUM(AD255:AG255)</f>
        <v>661</v>
      </c>
      <c r="AI255" s="290">
        <f>AI170</f>
        <v>148</v>
      </c>
      <c r="AJ255" s="260">
        <f>AJ170</f>
        <v>141</v>
      </c>
      <c r="AK255" s="260">
        <f>AK170</f>
        <v>146</v>
      </c>
      <c r="AL255" s="291">
        <f>AL170</f>
        <v>166</v>
      </c>
      <c r="AM255" s="45">
        <f>SUM(AI255:AL255)</f>
        <v>601</v>
      </c>
      <c r="AN255" s="290">
        <f>AN170</f>
        <v>195</v>
      </c>
      <c r="AO255" s="260">
        <f>AO170</f>
        <v>104</v>
      </c>
      <c r="AP255" s="260">
        <f>AP170</f>
        <v>149</v>
      </c>
      <c r="AQ255" s="291">
        <f>AQ170</f>
        <v>238</v>
      </c>
      <c r="AR255" s="45">
        <f>SUM(AN255:AQ255)</f>
        <v>686</v>
      </c>
      <c r="AS255" s="290">
        <f>AS170</f>
        <v>159</v>
      </c>
      <c r="AT255" s="260">
        <f>AT170</f>
        <v>208</v>
      </c>
      <c r="AU255" s="260">
        <f t="shared" ref="AU255" si="712">AU170</f>
        <v>170</v>
      </c>
      <c r="AV255" s="291">
        <f>AV170</f>
        <v>195</v>
      </c>
      <c r="AW255" s="45">
        <f>SUM(AS255:AV255)</f>
        <v>732</v>
      </c>
      <c r="AX255" s="290">
        <f>AX170</f>
        <v>200</v>
      </c>
      <c r="AY255" s="260">
        <f>AY170</f>
        <v>200</v>
      </c>
      <c r="AZ255" s="260">
        <f>AZ170</f>
        <v>200</v>
      </c>
      <c r="BA255" s="291">
        <f>BA170</f>
        <v>200</v>
      </c>
      <c r="BB255" s="45">
        <f>SUM(AX255:BA255)</f>
        <v>800</v>
      </c>
      <c r="BC255" s="290">
        <f>BC170</f>
        <v>212.5</v>
      </c>
      <c r="BD255" s="260">
        <f>BD170</f>
        <v>212.5</v>
      </c>
      <c r="BE255" s="260">
        <f>BE170</f>
        <v>212.5</v>
      </c>
      <c r="BF255" s="291">
        <f>BF170</f>
        <v>212.5</v>
      </c>
      <c r="BG255" s="45">
        <f>SUM(BC255:BF255)</f>
        <v>850</v>
      </c>
      <c r="BH255" s="290">
        <f>BH170</f>
        <v>183.785</v>
      </c>
      <c r="BI255" s="260">
        <f>BI170</f>
        <v>183.785</v>
      </c>
      <c r="BJ255" s="260">
        <f>BJ170</f>
        <v>183.785</v>
      </c>
      <c r="BK255" s="291">
        <f>BK170</f>
        <v>183.785</v>
      </c>
      <c r="BL255" s="45">
        <f>SUM(BH255:BK255)</f>
        <v>735.14</v>
      </c>
      <c r="BM255" s="290">
        <f>BM170</f>
        <v>183.785</v>
      </c>
      <c r="BN255" s="260">
        <f>BN170</f>
        <v>183.785</v>
      </c>
      <c r="BO255" s="260">
        <f>BO170</f>
        <v>183.785</v>
      </c>
      <c r="BP255" s="291">
        <f>BP170</f>
        <v>183.785</v>
      </c>
      <c r="BQ255" s="45">
        <f>SUM(BM255:BP255)</f>
        <v>735.14</v>
      </c>
      <c r="BR255" s="45"/>
      <c r="BS255" s="45"/>
      <c r="BT255" s="45"/>
      <c r="BU255" s="45"/>
      <c r="BV255" s="45"/>
      <c r="BW255" s="45"/>
      <c r="BX255" s="45"/>
      <c r="BY255" s="45"/>
      <c r="BZ255" s="45"/>
      <c r="CA255" s="45"/>
      <c r="CB255" s="45"/>
      <c r="CC255" s="45"/>
      <c r="CD255" s="45"/>
      <c r="CE255" s="45"/>
      <c r="CF255" s="45"/>
      <c r="CG255" s="45"/>
      <c r="CH255" s="45"/>
      <c r="CI255" s="45"/>
      <c r="CJ255" s="45"/>
      <c r="CK255" s="45"/>
      <c r="CL255" s="45"/>
      <c r="CM255" s="45"/>
      <c r="CN255" s="45"/>
      <c r="CO255" s="45"/>
      <c r="CP255" s="45"/>
      <c r="CQ255" s="45"/>
      <c r="CR255" s="45"/>
      <c r="CS255" s="45"/>
      <c r="CT255" s="45"/>
      <c r="CU255" s="45"/>
    </row>
    <row r="256" spans="1:99" ht="12.75" customHeight="1">
      <c r="A256" s="45"/>
      <c r="B256" s="45"/>
      <c r="C256" s="394" t="s">
        <v>587</v>
      </c>
      <c r="D256" s="45"/>
      <c r="E256" s="290">
        <f>-E160</f>
        <v>-28.25</v>
      </c>
      <c r="F256" s="260">
        <f>-F160</f>
        <v>-33.25</v>
      </c>
      <c r="G256" s="260">
        <f>-G160</f>
        <v>-74.25</v>
      </c>
      <c r="H256" s="291">
        <f>-H160</f>
        <v>-29.25</v>
      </c>
      <c r="I256" s="45">
        <f>SUM(E256:H256)</f>
        <v>-165</v>
      </c>
      <c r="J256" s="290">
        <f>-J160</f>
        <v>-43.75</v>
      </c>
      <c r="K256" s="260">
        <f>-K160</f>
        <v>-46.75</v>
      </c>
      <c r="L256" s="260">
        <f>-L160</f>
        <v>-104.75</v>
      </c>
      <c r="M256" s="291">
        <f>-M160</f>
        <v>20.25</v>
      </c>
      <c r="N256" s="45">
        <f>SUM(J256:M256)</f>
        <v>-175</v>
      </c>
      <c r="O256" s="290">
        <f>-O160</f>
        <v>-48</v>
      </c>
      <c r="P256" s="260">
        <f>-P160</f>
        <v>-50</v>
      </c>
      <c r="Q256" s="260">
        <f>-Q160</f>
        <v>-52</v>
      </c>
      <c r="R256" s="291">
        <f>-R160</f>
        <v>-52</v>
      </c>
      <c r="S256" s="45">
        <f>SUM(O256:R256)</f>
        <v>-202</v>
      </c>
      <c r="T256" s="290">
        <f>-T160</f>
        <v>-53</v>
      </c>
      <c r="U256" s="260">
        <f>-U160</f>
        <v>-54</v>
      </c>
      <c r="V256" s="260">
        <f>-V160</f>
        <v>-54</v>
      </c>
      <c r="W256" s="291">
        <f>-W160</f>
        <v>-56</v>
      </c>
      <c r="X256" s="45">
        <f>SUM(T256:W256)</f>
        <v>-217</v>
      </c>
      <c r="Y256" s="290">
        <f>-Y160</f>
        <v>-57</v>
      </c>
      <c r="Z256" s="260">
        <f>-Z160</f>
        <v>-56</v>
      </c>
      <c r="AA256" s="1441">
        <f>-AA160</f>
        <v>-58</v>
      </c>
      <c r="AB256" s="1442">
        <f>-AB160</f>
        <v>-57</v>
      </c>
      <c r="AC256" s="1443">
        <f>SUM(Y256:AB256)</f>
        <v>-228</v>
      </c>
      <c r="AD256" s="290">
        <f>-AD160</f>
        <v>-58</v>
      </c>
      <c r="AE256" s="260">
        <f>-AE160</f>
        <v>-59</v>
      </c>
      <c r="AF256" s="260">
        <f>-AF160</f>
        <v>-59</v>
      </c>
      <c r="AG256" s="291">
        <f>-AG160</f>
        <v>-60</v>
      </c>
      <c r="AH256" s="45">
        <f>SUM(AD256:AG256)</f>
        <v>-236</v>
      </c>
      <c r="AI256" s="290">
        <f>-AI160</f>
        <v>-58</v>
      </c>
      <c r="AJ256" s="260">
        <f>-AJ160</f>
        <v>-61</v>
      </c>
      <c r="AK256" s="260">
        <f>-AK160</f>
        <v>-60</v>
      </c>
      <c r="AL256" s="291">
        <f>-AL160</f>
        <v>-61</v>
      </c>
      <c r="AM256" s="45">
        <f>SUM(AI256:AL256)</f>
        <v>-240</v>
      </c>
      <c r="AN256" s="290">
        <f>-AN160</f>
        <v>-60</v>
      </c>
      <c r="AO256" s="260">
        <f>-AO160</f>
        <v>-61</v>
      </c>
      <c r="AP256" s="260">
        <f>-AP160</f>
        <v>-60</v>
      </c>
      <c r="AQ256" s="291">
        <f>-AQ160</f>
        <v>-63</v>
      </c>
      <c r="AR256" s="45">
        <f>SUM(AN256:AQ256)</f>
        <v>-244</v>
      </c>
      <c r="AS256" s="290">
        <f>-AS160</f>
        <v>-64</v>
      </c>
      <c r="AT256" s="260">
        <f>-AT160</f>
        <v>-65</v>
      </c>
      <c r="AU256" s="260">
        <f t="shared" ref="AU256" si="713">-AU160</f>
        <v>-65</v>
      </c>
      <c r="AV256" s="291">
        <f>-AV160</f>
        <v>-66</v>
      </c>
      <c r="AW256" s="45">
        <f>SUM(AS256:AV256)</f>
        <v>-260</v>
      </c>
      <c r="AX256" s="290">
        <f>-AX160</f>
        <v>-66.761867704280164</v>
      </c>
      <c r="AY256" s="260">
        <f>-AY160</f>
        <v>-67.700441667458861</v>
      </c>
      <c r="AZ256" s="260">
        <f>-AZ160</f>
        <v>-68.832967069527299</v>
      </c>
      <c r="BA256" s="291">
        <f>-BA160</f>
        <v>-69.955797701616945</v>
      </c>
      <c r="BB256" s="45">
        <f>SUM(AX256:BA256)</f>
        <v>-273.25107414288323</v>
      </c>
      <c r="BC256" s="290">
        <f>-BC160</f>
        <v>-71.069016553976653</v>
      </c>
      <c r="BD256" s="260">
        <f>-BD160</f>
        <v>-72.13119073558812</v>
      </c>
      <c r="BE256" s="260">
        <f>-BE160</f>
        <v>-73.332791437462461</v>
      </c>
      <c r="BF256" s="291">
        <f>-BF160</f>
        <v>-74.524106063289622</v>
      </c>
      <c r="BG256" s="45">
        <f>SUM(BC256:BF256)</f>
        <v>-291.05710479031688</v>
      </c>
      <c r="BH256" s="290">
        <f>-BH160</f>
        <v>-75.705222665082474</v>
      </c>
      <c r="BI256" s="260">
        <f>-BI160</f>
        <v>-76.778938264475158</v>
      </c>
      <c r="BJ256" s="260">
        <f>-BJ160</f>
        <v>-77.694943462211171</v>
      </c>
      <c r="BK256" s="291">
        <f>-BK160</f>
        <v>-78.603107370316764</v>
      </c>
      <c r="BL256" s="45">
        <f>SUM(BH256:BK256)</f>
        <v>-308.78221176208558</v>
      </c>
      <c r="BM256" s="290">
        <f>-BM160</f>
        <v>-79.503497112672008</v>
      </c>
      <c r="BN256" s="260">
        <f>-BN160</f>
        <v>-80.39617923855576</v>
      </c>
      <c r="BO256" s="260">
        <f>-BO160</f>
        <v>-81.281219727564221</v>
      </c>
      <c r="BP256" s="291">
        <f>-BP160</f>
        <v>-82.158683994487788</v>
      </c>
      <c r="BQ256" s="45">
        <f>SUM(BM256:BP256)</f>
        <v>-323.33958007327976</v>
      </c>
      <c r="BR256" s="45"/>
      <c r="BS256" s="45"/>
      <c r="BT256" s="45"/>
      <c r="BU256" s="45"/>
      <c r="BV256" s="45"/>
      <c r="BW256" s="45"/>
      <c r="BX256" s="45"/>
      <c r="BY256" s="45"/>
      <c r="BZ256" s="45"/>
      <c r="CA256" s="45"/>
      <c r="CB256" s="45"/>
      <c r="CC256" s="45"/>
      <c r="CD256" s="45"/>
      <c r="CE256" s="45"/>
      <c r="CF256" s="45"/>
      <c r="CG256" s="45"/>
      <c r="CH256" s="45"/>
      <c r="CI256" s="45"/>
      <c r="CJ256" s="45"/>
      <c r="CK256" s="45"/>
      <c r="CL256" s="45"/>
      <c r="CM256" s="45"/>
      <c r="CN256" s="45"/>
      <c r="CO256" s="45"/>
      <c r="CP256" s="45"/>
      <c r="CQ256" s="45"/>
      <c r="CR256" s="45"/>
      <c r="CS256" s="45"/>
      <c r="CT256" s="45"/>
      <c r="CU256" s="45"/>
    </row>
    <row r="257" spans="1:99" ht="12.75" customHeight="1">
      <c r="A257" s="45"/>
      <c r="B257" s="45"/>
      <c r="C257" s="391" t="s">
        <v>158</v>
      </c>
      <c r="D257" s="45"/>
      <c r="E257" s="260">
        <f>-E194</f>
        <v>76</v>
      </c>
      <c r="F257" s="260">
        <f>-F194</f>
        <v>26</v>
      </c>
      <c r="G257" s="260">
        <f>-G194</f>
        <v>64</v>
      </c>
      <c r="H257" s="291">
        <f>-H194</f>
        <v>44</v>
      </c>
      <c r="I257" s="45">
        <f>SUM(E257:H257)</f>
        <v>210</v>
      </c>
      <c r="J257" s="290">
        <f>-J194</f>
        <v>105</v>
      </c>
      <c r="K257" s="260">
        <f>-K194</f>
        <v>283</v>
      </c>
      <c r="L257" s="260">
        <f>-L194</f>
        <v>17</v>
      </c>
      <c r="M257" s="291">
        <f>-M194</f>
        <v>-5</v>
      </c>
      <c r="N257" s="45">
        <f>SUM(J257:M257)</f>
        <v>400</v>
      </c>
      <c r="O257" s="290">
        <f>-O194</f>
        <v>-56</v>
      </c>
      <c r="P257" s="260">
        <f>-P194</f>
        <v>-35</v>
      </c>
      <c r="Q257" s="260">
        <f>-Q194</f>
        <v>-90</v>
      </c>
      <c r="R257" s="291">
        <f>-R194</f>
        <v>-72</v>
      </c>
      <c r="S257" s="45">
        <f>SUM(O257:R257)</f>
        <v>-253</v>
      </c>
      <c r="T257" s="290">
        <f>-T194</f>
        <v>-10</v>
      </c>
      <c r="U257" s="260">
        <f>-U194</f>
        <v>-9</v>
      </c>
      <c r="V257" s="260">
        <f>-V194</f>
        <v>-8</v>
      </c>
      <c r="W257" s="291">
        <f>-W194</f>
        <v>-10</v>
      </c>
      <c r="X257" s="45">
        <f>SUM(T257:W257)</f>
        <v>-37</v>
      </c>
      <c r="Y257" s="290">
        <f>-Y194</f>
        <v>-19</v>
      </c>
      <c r="Z257" s="260">
        <f>-Z194</f>
        <v>-6</v>
      </c>
      <c r="AA257" s="1441">
        <f>-AA194</f>
        <v>-10</v>
      </c>
      <c r="AB257" s="1442">
        <f>-AB194</f>
        <v>15</v>
      </c>
      <c r="AC257" s="1443">
        <f>SUM(Y257:AB257)</f>
        <v>-20</v>
      </c>
      <c r="AD257" s="290">
        <f>-AD194</f>
        <v>2</v>
      </c>
      <c r="AE257" s="260">
        <f>-AE194</f>
        <v>-8</v>
      </c>
      <c r="AF257" s="260">
        <f>-AF194</f>
        <v>-1</v>
      </c>
      <c r="AG257" s="291">
        <f>-AG194</f>
        <v>-81</v>
      </c>
      <c r="AH257" s="45">
        <f>SUM(AD257:AG257)</f>
        <v>-88</v>
      </c>
      <c r="AI257" s="260">
        <f>-AI194</f>
        <v>-5</v>
      </c>
      <c r="AJ257" s="260">
        <f>-AJ194</f>
        <v>1</v>
      </c>
      <c r="AK257" s="260">
        <f>-AK194</f>
        <v>-7</v>
      </c>
      <c r="AL257" s="291">
        <f>-AL194</f>
        <v>-79</v>
      </c>
      <c r="AM257" s="45">
        <f>SUM(AI257:AL257)</f>
        <v>-90</v>
      </c>
      <c r="AN257" s="260">
        <f>-AN194</f>
        <v>-23</v>
      </c>
      <c r="AO257" s="260">
        <f>-AO194</f>
        <v>-28</v>
      </c>
      <c r="AP257" s="260">
        <f>-AP194</f>
        <v>-18</v>
      </c>
      <c r="AQ257" s="291">
        <f>-AQ194</f>
        <v>-9</v>
      </c>
      <c r="AR257" s="45">
        <f>SUM(AN257:AQ257)</f>
        <v>-78</v>
      </c>
      <c r="AS257" s="260">
        <f>-AS194</f>
        <v>-24</v>
      </c>
      <c r="AT257" s="260">
        <f>-AT194</f>
        <v>-15</v>
      </c>
      <c r="AU257" s="260">
        <f t="shared" ref="AU257" si="714">-AU194</f>
        <v>2</v>
      </c>
      <c r="AV257" s="291">
        <f>-AV194</f>
        <v>18</v>
      </c>
      <c r="AW257" s="45">
        <f>SUM(AS257:AV257)</f>
        <v>-19</v>
      </c>
      <c r="AX257" s="260">
        <f ca="1">-AX194</f>
        <v>-24.593968491624235</v>
      </c>
      <c r="AY257" s="260">
        <f ca="1">-AY194</f>
        <v>-24.593968491624235</v>
      </c>
      <c r="AZ257" s="260">
        <f ca="1">-AZ194</f>
        <v>-24.593968491624235</v>
      </c>
      <c r="BA257" s="291">
        <f ca="1">-BA194</f>
        <v>-24.593968491624238</v>
      </c>
      <c r="BB257" s="45">
        <f ca="1">SUM(AX257:BA257)</f>
        <v>-98.37587396649694</v>
      </c>
      <c r="BC257" s="260">
        <f ca="1">-BC194</f>
        <v>-26.866650400324747</v>
      </c>
      <c r="BD257" s="260">
        <f ca="1">-BD194</f>
        <v>-26.866650400324747</v>
      </c>
      <c r="BE257" s="260">
        <f ca="1">-BE194</f>
        <v>-26.866650400324747</v>
      </c>
      <c r="BF257" s="291">
        <f ca="1">-BF194</f>
        <v>-26.866650400324744</v>
      </c>
      <c r="BG257" s="45">
        <f ca="1">SUM(BC257:BF257)</f>
        <v>-107.46660160129899</v>
      </c>
      <c r="BH257" s="260">
        <f ca="1">-BH194</f>
        <v>-31.116918207012986</v>
      </c>
      <c r="BI257" s="260">
        <f ca="1">-BI194</f>
        <v>-31.116918207012986</v>
      </c>
      <c r="BJ257" s="260">
        <f ca="1">-BJ194</f>
        <v>-31.116918207012986</v>
      </c>
      <c r="BK257" s="291">
        <f ca="1">-BK194</f>
        <v>-31.116918207012986</v>
      </c>
      <c r="BL257" s="45">
        <f ca="1">SUM(BH257:BK257)</f>
        <v>-124.46767282805195</v>
      </c>
      <c r="BM257" s="290">
        <f ca="1">-BM194</f>
        <v>-32.410405783233308</v>
      </c>
      <c r="BN257" s="260">
        <f ca="1">-BN194</f>
        <v>-32.410405783233308</v>
      </c>
      <c r="BO257" s="260">
        <f ca="1">-BO194</f>
        <v>-32.410405783233308</v>
      </c>
      <c r="BP257" s="291">
        <f ca="1">-BP194</f>
        <v>-32.410405783233301</v>
      </c>
      <c r="BQ257" s="45">
        <f ca="1">SUM(BM257:BP257)</f>
        <v>-129.64162313293323</v>
      </c>
      <c r="BR257" s="45"/>
      <c r="BS257" s="45"/>
      <c r="BT257" s="45"/>
      <c r="BU257" s="45"/>
      <c r="BV257" s="45"/>
      <c r="BW257" s="45"/>
      <c r="BX257" s="45"/>
      <c r="BY257" s="45"/>
      <c r="BZ257" s="45"/>
      <c r="CA257" s="45"/>
      <c r="CB257" s="45"/>
      <c r="CC257" s="45"/>
      <c r="CD257" s="45"/>
      <c r="CE257" s="45"/>
      <c r="CF257" s="45"/>
      <c r="CG257" s="45"/>
      <c r="CH257" s="45"/>
      <c r="CI257" s="45"/>
      <c r="CJ257" s="45"/>
      <c r="CK257" s="45"/>
      <c r="CL257" s="45"/>
      <c r="CM257" s="45"/>
      <c r="CN257" s="45"/>
      <c r="CO257" s="45"/>
      <c r="CP257" s="45"/>
      <c r="CQ257" s="45"/>
      <c r="CR257" s="45"/>
      <c r="CS257" s="45"/>
      <c r="CT257" s="45"/>
      <c r="CU257" s="45"/>
    </row>
    <row r="258" spans="1:99" ht="12.75" customHeight="1">
      <c r="A258" s="45"/>
      <c r="B258" s="45"/>
      <c r="C258" s="391" t="s">
        <v>1288</v>
      </c>
      <c r="D258" s="45"/>
      <c r="E258" s="814">
        <v>0</v>
      </c>
      <c r="F258" s="262">
        <v>0</v>
      </c>
      <c r="G258" s="262">
        <v>0</v>
      </c>
      <c r="H258" s="294">
        <v>0</v>
      </c>
      <c r="I258" s="45">
        <f>SUM(E258:H258)</f>
        <v>0</v>
      </c>
      <c r="J258" s="814">
        <v>0</v>
      </c>
      <c r="K258" s="262">
        <v>0</v>
      </c>
      <c r="L258" s="262">
        <v>0</v>
      </c>
      <c r="M258" s="294">
        <v>0</v>
      </c>
      <c r="N258" s="45">
        <f>SUM(J258:M258)</f>
        <v>0</v>
      </c>
      <c r="O258" s="814">
        <v>0</v>
      </c>
      <c r="P258" s="262">
        <v>0</v>
      </c>
      <c r="Q258" s="262">
        <v>0</v>
      </c>
      <c r="R258" s="294">
        <v>0</v>
      </c>
      <c r="S258" s="45">
        <f>SUM(O258:R258)</f>
        <v>0</v>
      </c>
      <c r="T258" s="814">
        <v>0</v>
      </c>
      <c r="U258" s="262">
        <v>0</v>
      </c>
      <c r="V258" s="262">
        <v>0</v>
      </c>
      <c r="W258" s="294">
        <v>0</v>
      </c>
      <c r="X258" s="45">
        <f>SUM(T258:W258)</f>
        <v>0</v>
      </c>
      <c r="Y258" s="814">
        <v>0</v>
      </c>
      <c r="Z258" s="262">
        <v>0</v>
      </c>
      <c r="AA258" s="262">
        <v>0</v>
      </c>
      <c r="AB258" s="294">
        <v>0</v>
      </c>
      <c r="AC258" s="45">
        <f>SUM(Y258:AB258)</f>
        <v>0</v>
      </c>
      <c r="AD258" s="814">
        <v>0</v>
      </c>
      <c r="AE258" s="262">
        <v>0</v>
      </c>
      <c r="AF258" s="262">
        <v>0</v>
      </c>
      <c r="AG258" s="294">
        <v>0</v>
      </c>
      <c r="AH258" s="45">
        <f>SUM(AD258:AG258)</f>
        <v>0</v>
      </c>
      <c r="AI258" s="814">
        <v>0</v>
      </c>
      <c r="AJ258" s="262">
        <v>0</v>
      </c>
      <c r="AK258" s="262">
        <v>0</v>
      </c>
      <c r="AL258" s="294">
        <v>0</v>
      </c>
      <c r="AM258" s="45">
        <f>SUM(AI258:AL258)</f>
        <v>0</v>
      </c>
      <c r="AN258" s="814">
        <v>-150</v>
      </c>
      <c r="AO258" s="262">
        <v>0</v>
      </c>
      <c r="AP258" s="262">
        <v>0</v>
      </c>
      <c r="AQ258" s="294">
        <v>0</v>
      </c>
      <c r="AR258" s="45">
        <f>SUM(AN258:AQ258)</f>
        <v>-150</v>
      </c>
      <c r="AS258" s="814">
        <v>-125</v>
      </c>
      <c r="AT258" s="262">
        <v>0</v>
      </c>
      <c r="AU258" s="262">
        <v>0</v>
      </c>
      <c r="AV258" s="294">
        <v>0</v>
      </c>
      <c r="AW258" s="45">
        <f>SUM(AS258:AV258)</f>
        <v>-125</v>
      </c>
      <c r="AX258" s="814">
        <v>135</v>
      </c>
      <c r="AY258" s="262"/>
      <c r="AZ258" s="262"/>
      <c r="BA258" s="294"/>
      <c r="BB258" s="45">
        <f>SUM(AX258:BA258)</f>
        <v>135</v>
      </c>
      <c r="BC258" s="814">
        <v>50</v>
      </c>
      <c r="BD258" s="262">
        <v>0</v>
      </c>
      <c r="BE258" s="262">
        <v>0</v>
      </c>
      <c r="BF258" s="294">
        <v>0</v>
      </c>
      <c r="BG258" s="45">
        <f>SUM(BC258:BF258)</f>
        <v>50</v>
      </c>
      <c r="BH258" s="814">
        <v>100</v>
      </c>
      <c r="BI258" s="262">
        <v>0</v>
      </c>
      <c r="BJ258" s="262">
        <v>0</v>
      </c>
      <c r="BK258" s="294">
        <v>0</v>
      </c>
      <c r="BL258" s="45">
        <f>SUM(BH258:BK258)</f>
        <v>100</v>
      </c>
      <c r="BM258" s="300">
        <v>300</v>
      </c>
      <c r="BN258" s="262">
        <v>0</v>
      </c>
      <c r="BO258" s="262">
        <v>0</v>
      </c>
      <c r="BP258" s="294">
        <v>0</v>
      </c>
      <c r="BQ258" s="45">
        <f>SUM(BM258:BP258)</f>
        <v>300</v>
      </c>
      <c r="BR258" s="45"/>
      <c r="BS258" s="45"/>
      <c r="BT258" s="45"/>
      <c r="BU258" s="45"/>
      <c r="BV258" s="45"/>
      <c r="BW258" s="45"/>
      <c r="BX258" s="45"/>
      <c r="BY258" s="45"/>
      <c r="BZ258" s="45"/>
      <c r="CA258" s="45"/>
      <c r="CB258" s="45"/>
      <c r="CC258" s="45"/>
      <c r="CD258" s="45"/>
      <c r="CE258" s="45"/>
      <c r="CF258" s="45"/>
      <c r="CG258" s="45"/>
      <c r="CH258" s="45"/>
      <c r="CI258" s="45"/>
      <c r="CJ258" s="45"/>
      <c r="CK258" s="45"/>
      <c r="CL258" s="45"/>
      <c r="CM258" s="45"/>
      <c r="CN258" s="45"/>
      <c r="CO258" s="45"/>
      <c r="CP258" s="45"/>
      <c r="CQ258" s="45"/>
      <c r="CR258" s="45"/>
      <c r="CS258" s="45"/>
      <c r="CT258" s="45"/>
      <c r="CU258" s="45"/>
    </row>
    <row r="259" spans="1:99" ht="12.75" customHeight="1">
      <c r="A259" s="45"/>
      <c r="B259" s="45"/>
      <c r="C259" s="389" t="s">
        <v>405</v>
      </c>
      <c r="D259" s="45"/>
      <c r="E259" s="292">
        <f t="shared" ref="E259:S259" si="715">SUM(E254:E258)</f>
        <v>3838.75</v>
      </c>
      <c r="F259" s="261">
        <f t="shared" si="715"/>
        <v>3919.5</v>
      </c>
      <c r="G259" s="261">
        <f t="shared" si="715"/>
        <v>3997.25</v>
      </c>
      <c r="H259" s="293">
        <f t="shared" si="715"/>
        <v>4133</v>
      </c>
      <c r="I259" s="228">
        <f t="shared" si="715"/>
        <v>4133</v>
      </c>
      <c r="J259" s="292">
        <f t="shared" si="715"/>
        <v>4307.25</v>
      </c>
      <c r="K259" s="261">
        <f t="shared" si="715"/>
        <v>4648.5</v>
      </c>
      <c r="L259" s="261">
        <f t="shared" si="715"/>
        <v>4700.75</v>
      </c>
      <c r="M259" s="293">
        <f t="shared" si="715"/>
        <v>4903</v>
      </c>
      <c r="N259" s="228">
        <f t="shared" si="715"/>
        <v>4903</v>
      </c>
      <c r="O259" s="292">
        <f t="shared" si="715"/>
        <v>4920</v>
      </c>
      <c r="P259" s="261">
        <f t="shared" si="715"/>
        <v>4923</v>
      </c>
      <c r="Q259" s="261">
        <f t="shared" si="715"/>
        <v>4893</v>
      </c>
      <c r="R259" s="293">
        <f t="shared" si="715"/>
        <v>4929</v>
      </c>
      <c r="S259" s="228">
        <f t="shared" si="715"/>
        <v>4929</v>
      </c>
      <c r="T259" s="292">
        <f t="shared" ref="T259:AR259" si="716">SUM(T254:T258)</f>
        <v>4962</v>
      </c>
      <c r="U259" s="261">
        <f t="shared" si="716"/>
        <v>4982</v>
      </c>
      <c r="V259" s="261">
        <f t="shared" si="716"/>
        <v>5015</v>
      </c>
      <c r="W259" s="293">
        <f t="shared" si="716"/>
        <v>5097</v>
      </c>
      <c r="X259" s="228">
        <f>SUM(X254:X258)</f>
        <v>5097</v>
      </c>
      <c r="Y259" s="292">
        <f t="shared" si="716"/>
        <v>5143</v>
      </c>
      <c r="Z259" s="261">
        <f t="shared" si="716"/>
        <v>5213</v>
      </c>
      <c r="AA259" s="1438">
        <f t="shared" si="716"/>
        <v>5265</v>
      </c>
      <c r="AB259" s="1439">
        <f t="shared" si="716"/>
        <v>5386</v>
      </c>
      <c r="AC259" s="1440">
        <f t="shared" si="716"/>
        <v>5386</v>
      </c>
      <c r="AD259" s="292">
        <f t="shared" si="716"/>
        <v>5514</v>
      </c>
      <c r="AE259" s="261">
        <f t="shared" si="716"/>
        <v>5571</v>
      </c>
      <c r="AF259" s="261">
        <f t="shared" si="716"/>
        <v>5664</v>
      </c>
      <c r="AG259" s="293">
        <f t="shared" si="716"/>
        <v>5723</v>
      </c>
      <c r="AH259" s="228">
        <f t="shared" si="716"/>
        <v>5723</v>
      </c>
      <c r="AI259" s="292">
        <f t="shared" si="716"/>
        <v>5808</v>
      </c>
      <c r="AJ259" s="261">
        <f t="shared" si="716"/>
        <v>5889</v>
      </c>
      <c r="AK259" s="261">
        <f t="shared" si="716"/>
        <v>5968</v>
      </c>
      <c r="AL259" s="293">
        <f t="shared" si="716"/>
        <v>5994</v>
      </c>
      <c r="AM259" s="228">
        <f t="shared" si="716"/>
        <v>5994</v>
      </c>
      <c r="AN259" s="292">
        <f t="shared" si="716"/>
        <v>5956</v>
      </c>
      <c r="AO259" s="261">
        <f t="shared" si="716"/>
        <v>5971</v>
      </c>
      <c r="AP259" s="261">
        <f t="shared" ref="AP259" si="717">SUM(AP254:AP258)</f>
        <v>6042</v>
      </c>
      <c r="AQ259" s="293">
        <f t="shared" si="716"/>
        <v>6208</v>
      </c>
      <c r="AR259" s="228">
        <f t="shared" si="716"/>
        <v>6208</v>
      </c>
      <c r="AS259" s="292">
        <f t="shared" ref="AS259:BB259" si="718">SUM(AS254:AS258)</f>
        <v>6154</v>
      </c>
      <c r="AT259" s="261">
        <f t="shared" si="718"/>
        <v>6282</v>
      </c>
      <c r="AU259" s="261">
        <f t="shared" ref="AU259" si="719">SUM(AU254:AU258)</f>
        <v>6389</v>
      </c>
      <c r="AV259" s="293">
        <f t="shared" si="718"/>
        <v>6536</v>
      </c>
      <c r="AW259" s="228">
        <f t="shared" si="718"/>
        <v>6536</v>
      </c>
      <c r="AX259" s="292">
        <f t="shared" ca="1" si="718"/>
        <v>6779.644163804096</v>
      </c>
      <c r="AY259" s="261">
        <f t="shared" ca="1" si="718"/>
        <v>6887.3497536450132</v>
      </c>
      <c r="AZ259" s="261">
        <f t="shared" ca="1" si="718"/>
        <v>6993.9228180838618</v>
      </c>
      <c r="BA259" s="293">
        <f t="shared" ca="1" si="718"/>
        <v>7099.3730518906214</v>
      </c>
      <c r="BB259" s="228">
        <f t="shared" ca="1" si="718"/>
        <v>7099.3730518906195</v>
      </c>
      <c r="BC259" s="292">
        <f t="shared" ref="BC259:BL259" ca="1" si="720">SUM(BC254:BC258)</f>
        <v>7263.9373849363183</v>
      </c>
      <c r="BD259" s="261">
        <f t="shared" ca="1" si="720"/>
        <v>7377.4395438004049</v>
      </c>
      <c r="BE259" s="261">
        <f t="shared" ca="1" si="720"/>
        <v>7489.7401019626177</v>
      </c>
      <c r="BF259" s="293">
        <f t="shared" ca="1" si="720"/>
        <v>7600.849345499003</v>
      </c>
      <c r="BG259" s="228">
        <f t="shared" ca="1" si="720"/>
        <v>7600.8493454990039</v>
      </c>
      <c r="BH259" s="292">
        <f t="shared" ca="1" si="720"/>
        <v>7777.8122046269091</v>
      </c>
      <c r="BI259" s="261">
        <f t="shared" ca="1" si="720"/>
        <v>7853.7013481554204</v>
      </c>
      <c r="BJ259" s="261">
        <f t="shared" ca="1" si="720"/>
        <v>7928.6744864861957</v>
      </c>
      <c r="BK259" s="293">
        <f t="shared" ca="1" si="720"/>
        <v>8002.739460908866</v>
      </c>
      <c r="BL259" s="228">
        <f t="shared" ca="1" si="720"/>
        <v>8002.739460908866</v>
      </c>
      <c r="BM259" s="292">
        <f t="shared" ref="BM259:BQ259" ca="1" si="721">SUM(BM254:BM258)</f>
        <v>8374.6105580129588</v>
      </c>
      <c r="BN259" s="261">
        <f t="shared" ca="1" si="721"/>
        <v>8445.5889729911687</v>
      </c>
      <c r="BO259" s="261">
        <f t="shared" ca="1" si="721"/>
        <v>8515.6823474803714</v>
      </c>
      <c r="BP259" s="293">
        <f t="shared" ca="1" si="721"/>
        <v>8584.8982577026491</v>
      </c>
      <c r="BQ259" s="228">
        <f t="shared" ca="1" si="721"/>
        <v>8584.8982577026527</v>
      </c>
      <c r="BR259" s="330"/>
      <c r="BS259" s="45"/>
      <c r="BT259" s="45"/>
      <c r="BU259" s="45"/>
      <c r="BV259" s="45"/>
      <c r="BW259" s="45"/>
      <c r="BX259" s="45"/>
      <c r="BY259" s="45"/>
      <c r="BZ259" s="45"/>
      <c r="CA259" s="45"/>
      <c r="CB259" s="45"/>
      <c r="CC259" s="45"/>
      <c r="CD259" s="45"/>
      <c r="CE259" s="45"/>
      <c r="CF259" s="45"/>
      <c r="CG259" s="45"/>
      <c r="CH259" s="45"/>
      <c r="CI259" s="45"/>
      <c r="CJ259" s="45"/>
      <c r="CK259" s="45"/>
      <c r="CL259" s="45"/>
      <c r="CM259" s="45"/>
      <c r="CN259" s="45"/>
      <c r="CO259" s="45"/>
      <c r="CP259" s="45"/>
      <c r="CQ259" s="45"/>
      <c r="CR259" s="45"/>
      <c r="CS259" s="45"/>
      <c r="CT259" s="45"/>
      <c r="CU259" s="45"/>
    </row>
    <row r="260" spans="1:99" ht="12.75" customHeight="1">
      <c r="A260" s="45"/>
      <c r="B260" s="45"/>
      <c r="C260" s="389"/>
      <c r="D260" s="45"/>
      <c r="E260" s="292"/>
      <c r="F260" s="261"/>
      <c r="G260" s="261"/>
      <c r="H260" s="293"/>
      <c r="I260" s="344"/>
      <c r="J260" s="292"/>
      <c r="K260" s="261"/>
      <c r="L260" s="261"/>
      <c r="M260" s="293"/>
      <c r="N260" s="344"/>
      <c r="O260" s="292"/>
      <c r="P260" s="261"/>
      <c r="Q260" s="261"/>
      <c r="R260" s="293"/>
      <c r="S260" s="344"/>
      <c r="T260" s="292"/>
      <c r="U260" s="261"/>
      <c r="V260" s="261"/>
      <c r="W260" s="293"/>
      <c r="X260" s="344"/>
      <c r="Y260" s="585"/>
      <c r="Z260" s="261"/>
      <c r="AA260" s="1462"/>
      <c r="AB260" s="1473"/>
      <c r="AC260" s="1472"/>
      <c r="AD260" s="585"/>
      <c r="AE260" s="261"/>
      <c r="AF260" s="343"/>
      <c r="AG260" s="670"/>
      <c r="AH260" s="344"/>
      <c r="AI260" s="585"/>
      <c r="AJ260" s="343"/>
      <c r="AK260" s="343"/>
      <c r="AL260" s="670"/>
      <c r="AM260" s="344"/>
      <c r="AN260" s="585"/>
      <c r="AO260" s="343"/>
      <c r="AP260" s="343"/>
      <c r="AQ260" s="670"/>
      <c r="AR260" s="344"/>
      <c r="AS260" s="585"/>
      <c r="AT260" s="343"/>
      <c r="AU260" s="343"/>
      <c r="AV260" s="670"/>
      <c r="AW260" s="344"/>
      <c r="AX260" s="585"/>
      <c r="AY260" s="343"/>
      <c r="AZ260" s="343"/>
      <c r="BA260" s="670"/>
      <c r="BB260" s="344"/>
      <c r="BC260" s="585"/>
      <c r="BD260" s="343"/>
      <c r="BE260" s="343"/>
      <c r="BF260" s="670"/>
      <c r="BG260" s="344"/>
      <c r="BH260" s="585"/>
      <c r="BI260" s="343"/>
      <c r="BJ260" s="343"/>
      <c r="BK260" s="670"/>
      <c r="BL260" s="344"/>
      <c r="BM260" s="585"/>
      <c r="BN260" s="343"/>
      <c r="BO260" s="343"/>
      <c r="BP260" s="670"/>
      <c r="BQ260" s="344"/>
      <c r="BR260" s="330"/>
      <c r="BS260" s="45"/>
      <c r="BT260" s="45"/>
      <c r="BU260" s="45"/>
      <c r="BV260" s="45"/>
      <c r="BW260" s="45"/>
      <c r="BX260" s="45"/>
      <c r="BY260" s="45"/>
      <c r="BZ260" s="45"/>
      <c r="CA260" s="45"/>
      <c r="CB260" s="45"/>
      <c r="CC260" s="45"/>
      <c r="CD260" s="45"/>
      <c r="CE260" s="45"/>
      <c r="CF260" s="45"/>
      <c r="CG260" s="45"/>
      <c r="CH260" s="45"/>
      <c r="CI260" s="45"/>
      <c r="CJ260" s="45"/>
      <c r="CK260" s="45"/>
      <c r="CL260" s="45"/>
      <c r="CM260" s="45"/>
      <c r="CN260" s="45"/>
      <c r="CO260" s="45"/>
      <c r="CP260" s="45"/>
      <c r="CQ260" s="45"/>
      <c r="CR260" s="45"/>
      <c r="CS260" s="45"/>
      <c r="CT260" s="45"/>
      <c r="CU260" s="45"/>
    </row>
    <row r="261" spans="1:99" s="34" customFormat="1" ht="12.75" customHeight="1">
      <c r="A261" s="228"/>
      <c r="B261" s="228"/>
      <c r="C261" s="389" t="s">
        <v>157</v>
      </c>
      <c r="D261" s="228"/>
      <c r="E261" s="292"/>
      <c r="F261" s="261"/>
      <c r="G261" s="261"/>
      <c r="H261" s="293"/>
      <c r="I261" s="228">
        <f>AVERAGE(I259,I254)</f>
        <v>3916.5</v>
      </c>
      <c r="J261" s="292"/>
      <c r="K261" s="261"/>
      <c r="L261" s="261"/>
      <c r="M261" s="293"/>
      <c r="N261" s="228">
        <f>AVERAGE(N259,N254)</f>
        <v>4518</v>
      </c>
      <c r="O261" s="292"/>
      <c r="P261" s="261"/>
      <c r="Q261" s="261"/>
      <c r="R261" s="293"/>
      <c r="S261" s="228">
        <f>AVERAGE(S259,S254)</f>
        <v>4916</v>
      </c>
      <c r="T261" s="292"/>
      <c r="U261" s="261"/>
      <c r="V261" s="261"/>
      <c r="W261" s="293"/>
      <c r="X261" s="228">
        <f>AVERAGE(X259,X254)</f>
        <v>5013</v>
      </c>
      <c r="Y261" s="292"/>
      <c r="Z261" s="261"/>
      <c r="AA261" s="1438"/>
      <c r="AB261" s="1439"/>
      <c r="AC261" s="1440">
        <f>AVERAGE(AC259,AC254)</f>
        <v>5241.5</v>
      </c>
      <c r="AD261" s="292"/>
      <c r="AE261" s="261"/>
      <c r="AF261" s="261"/>
      <c r="AG261" s="293"/>
      <c r="AH261" s="228">
        <f>AVERAGE(AH259,AH254)</f>
        <v>5554.5</v>
      </c>
      <c r="AI261" s="292"/>
      <c r="AJ261" s="261"/>
      <c r="AK261" s="261"/>
      <c r="AL261" s="293"/>
      <c r="AM261" s="228">
        <f>AVERAGE(AM259,AM254)</f>
        <v>5858.5</v>
      </c>
      <c r="AN261" s="292"/>
      <c r="AO261" s="261"/>
      <c r="AP261" s="261"/>
      <c r="AQ261" s="293"/>
      <c r="AR261" s="228">
        <f>AVERAGE(AR259,AR254)</f>
        <v>6101</v>
      </c>
      <c r="AS261" s="292"/>
      <c r="AT261" s="261"/>
      <c r="AU261" s="261"/>
      <c r="AV261" s="293"/>
      <c r="AW261" s="228">
        <f>AVERAGE(AW259,AW254)</f>
        <v>6372</v>
      </c>
      <c r="AX261" s="292"/>
      <c r="AY261" s="261"/>
      <c r="AZ261" s="261"/>
      <c r="BA261" s="293"/>
      <c r="BB261" s="228">
        <f ca="1">AVERAGE(BB259,BB254)</f>
        <v>6817.6865259453098</v>
      </c>
      <c r="BC261" s="292"/>
      <c r="BD261" s="261"/>
      <c r="BE261" s="261"/>
      <c r="BF261" s="293"/>
      <c r="BG261" s="228">
        <f ca="1">AVERAGE(BG259,BG254)</f>
        <v>7350.1111986948117</v>
      </c>
      <c r="BH261" s="292"/>
      <c r="BI261" s="261"/>
      <c r="BJ261" s="261"/>
      <c r="BK261" s="293"/>
      <c r="BL261" s="228">
        <f ca="1">AVERAGE(BL259,BL254)</f>
        <v>7801.794403203935</v>
      </c>
      <c r="BM261" s="292"/>
      <c r="BN261" s="261"/>
      <c r="BO261" s="261"/>
      <c r="BP261" s="293"/>
      <c r="BQ261" s="228">
        <f ca="1">AVERAGE(BQ259,BQ254)</f>
        <v>8293.8188593057603</v>
      </c>
      <c r="BR261" s="45"/>
      <c r="BS261" s="228"/>
      <c r="BT261" s="228"/>
      <c r="BU261" s="228"/>
      <c r="BV261" s="228"/>
      <c r="BW261" s="228"/>
      <c r="BX261" s="228"/>
      <c r="BY261" s="228"/>
      <c r="BZ261" s="228"/>
      <c r="CA261" s="228"/>
      <c r="CB261" s="228"/>
      <c r="CC261" s="228"/>
      <c r="CD261" s="228"/>
      <c r="CE261" s="228"/>
      <c r="CF261" s="228"/>
      <c r="CG261" s="228"/>
      <c r="CH261" s="228"/>
      <c r="CI261" s="228"/>
      <c r="CJ261" s="228"/>
      <c r="CK261" s="228"/>
      <c r="CL261" s="228"/>
      <c r="CM261" s="228"/>
      <c r="CN261" s="228"/>
      <c r="CO261" s="228"/>
      <c r="CP261" s="228"/>
      <c r="CQ261" s="228"/>
      <c r="CR261" s="228"/>
      <c r="CS261" s="228"/>
      <c r="CT261" s="228"/>
      <c r="CU261" s="228"/>
    </row>
    <row r="262" spans="1:99" s="212" customFormat="1" ht="12.75" customHeight="1">
      <c r="A262" s="1039"/>
      <c r="B262" s="1039"/>
      <c r="C262" s="1373" t="s">
        <v>996</v>
      </c>
      <c r="D262" s="1039"/>
      <c r="E262" s="1374"/>
      <c r="F262" s="1375"/>
      <c r="G262" s="1375"/>
      <c r="H262" s="1376"/>
      <c r="I262" s="1377"/>
      <c r="J262" s="1374"/>
      <c r="K262" s="1375"/>
      <c r="L262" s="1375"/>
      <c r="M262" s="1376"/>
      <c r="O262" s="1374"/>
      <c r="P262" s="1375"/>
      <c r="Q262" s="1375"/>
      <c r="R262" s="1376"/>
      <c r="S262" s="1039"/>
      <c r="T262" s="1374"/>
      <c r="U262" s="1375"/>
      <c r="V262" s="1375"/>
      <c r="W262" s="1376"/>
      <c r="X262" s="1379">
        <f>+X261/S261-1</f>
        <v>1.9731489015459625E-2</v>
      </c>
      <c r="Y262" s="1380"/>
      <c r="Z262" s="1375"/>
      <c r="AA262" s="1474"/>
      <c r="AB262" s="1475"/>
      <c r="AC262" s="1476">
        <f>+AC261/X261-1</f>
        <v>4.5581488130859826E-2</v>
      </c>
      <c r="AD262" s="1380"/>
      <c r="AE262" s="1375"/>
      <c r="AF262" s="1381"/>
      <c r="AG262" s="1382"/>
      <c r="AH262" s="1379">
        <f>+AH261/AC261-1</f>
        <v>5.9715730229896069E-2</v>
      </c>
      <c r="AI262" s="1380"/>
      <c r="AJ262" s="1381"/>
      <c r="AK262" s="1381"/>
      <c r="AL262" s="1382"/>
      <c r="AM262" s="1379">
        <f>+AM261/AH261-1</f>
        <v>5.4730398775767464E-2</v>
      </c>
      <c r="AN262" s="1374"/>
      <c r="AO262" s="1375"/>
      <c r="AP262" s="1381"/>
      <c r="AQ262" s="1376"/>
      <c r="AR262" s="1379">
        <f>+AR261/AM261-1</f>
        <v>4.1392847998634519E-2</v>
      </c>
      <c r="AS262" s="1374"/>
      <c r="AT262" s="1375"/>
      <c r="AU262" s="1375"/>
      <c r="AV262" s="1376"/>
      <c r="AW262" s="1379">
        <f>+AW261/AR261-1</f>
        <v>4.4418947713489532E-2</v>
      </c>
      <c r="AX262" s="1374"/>
      <c r="AY262" s="1375"/>
      <c r="AZ262" s="1375"/>
      <c r="BA262" s="1376"/>
      <c r="BB262" s="1379">
        <f ca="1">+BB261/AW261-1</f>
        <v>6.9944526984511812E-2</v>
      </c>
      <c r="BC262" s="1374"/>
      <c r="BD262" s="1375"/>
      <c r="BE262" s="1375"/>
      <c r="BF262" s="1376"/>
      <c r="BG262" s="1379">
        <f ca="1">+BG261/BB261-1</f>
        <v>7.8094625020278086E-2</v>
      </c>
      <c r="BH262" s="1374"/>
      <c r="BI262" s="1375"/>
      <c r="BJ262" s="1375"/>
      <c r="BK262" s="1376"/>
      <c r="BL262" s="1379">
        <f ca="1">+BL261/BG261-1</f>
        <v>6.1452567491676824E-2</v>
      </c>
      <c r="BM262" s="1374"/>
      <c r="BN262" s="1375"/>
      <c r="BO262" s="1375"/>
      <c r="BP262" s="1376"/>
      <c r="BQ262" s="1379">
        <f ca="1">+BQ261/BL261-1</f>
        <v>6.3065550138025506E-2</v>
      </c>
      <c r="BR262" s="1039"/>
      <c r="BS262" s="1039"/>
      <c r="BT262" s="1039"/>
      <c r="BU262" s="1039"/>
      <c r="BV262" s="1039"/>
      <c r="BW262" s="1039"/>
      <c r="BX262" s="1039"/>
      <c r="BY262" s="1039"/>
      <c r="BZ262" s="1039"/>
      <c r="CA262" s="1039"/>
      <c r="CB262" s="1039"/>
      <c r="CC262" s="1039"/>
      <c r="CD262" s="1039"/>
      <c r="CE262" s="1039"/>
      <c r="CF262" s="1039"/>
      <c r="CG262" s="1039"/>
      <c r="CH262" s="1039"/>
      <c r="CI262" s="1039"/>
      <c r="CJ262" s="1039"/>
      <c r="CK262" s="1039"/>
      <c r="CL262" s="1039"/>
      <c r="CM262" s="1039"/>
      <c r="CN262" s="1039"/>
      <c r="CO262" s="1039"/>
      <c r="CP262" s="1039"/>
      <c r="CQ262" s="1039"/>
      <c r="CR262" s="1039"/>
      <c r="CS262" s="1039"/>
      <c r="CT262" s="1039"/>
      <c r="CU262" s="1039"/>
    </row>
    <row r="263" spans="1:99" ht="12.75" customHeight="1">
      <c r="A263" s="45"/>
      <c r="B263" s="45"/>
      <c r="C263" s="389"/>
      <c r="D263" s="45"/>
      <c r="E263" s="292"/>
      <c r="F263" s="261"/>
      <c r="G263" s="261"/>
      <c r="H263" s="293"/>
      <c r="I263" s="344"/>
      <c r="J263" s="292"/>
      <c r="K263" s="261"/>
      <c r="L263" s="261"/>
      <c r="M263" s="293"/>
      <c r="O263" s="292"/>
      <c r="P263" s="261"/>
      <c r="Q263" s="261"/>
      <c r="R263" s="293"/>
      <c r="S263" s="228"/>
      <c r="T263" s="292"/>
      <c r="U263" s="261"/>
      <c r="V263" s="261"/>
      <c r="W263" s="293"/>
      <c r="X263" s="1112"/>
      <c r="Y263" s="1113"/>
      <c r="Z263" s="261"/>
      <c r="AA263" s="1484"/>
      <c r="AB263" s="1485"/>
      <c r="AC263" s="1486"/>
      <c r="AD263" s="1113"/>
      <c r="AE263" s="261"/>
      <c r="AF263" s="1114"/>
      <c r="AG263" s="1115"/>
      <c r="AH263" s="1112"/>
      <c r="AI263" s="1113"/>
      <c r="AJ263" s="1114"/>
      <c r="AK263" s="1114"/>
      <c r="AL263" s="1115"/>
      <c r="AM263" s="1112"/>
      <c r="AN263" s="292"/>
      <c r="AO263" s="261"/>
      <c r="AP263" s="1114"/>
      <c r="AQ263" s="293"/>
      <c r="AR263" s="228"/>
      <c r="AS263" s="292"/>
      <c r="AT263" s="261"/>
      <c r="AU263" s="261"/>
      <c r="AV263" s="293"/>
      <c r="AW263" s="228"/>
      <c r="AX263" s="292"/>
      <c r="AY263" s="261"/>
      <c r="AZ263" s="261"/>
      <c r="BA263" s="293"/>
      <c r="BB263" s="228"/>
      <c r="BC263" s="292"/>
      <c r="BD263" s="261"/>
      <c r="BE263" s="261"/>
      <c r="BF263" s="293"/>
      <c r="BG263" s="228"/>
      <c r="BH263" s="292"/>
      <c r="BI263" s="261"/>
      <c r="BJ263" s="261"/>
      <c r="BK263" s="293"/>
      <c r="BL263" s="228"/>
      <c r="BM263" s="292"/>
      <c r="BN263" s="261"/>
      <c r="BO263" s="261"/>
      <c r="BP263" s="293"/>
      <c r="BQ263" s="228"/>
      <c r="BR263" s="45"/>
      <c r="BS263" s="45"/>
      <c r="BT263" s="45"/>
      <c r="BU263" s="45"/>
      <c r="BV263" s="45"/>
      <c r="BW263" s="45"/>
      <c r="BX263" s="45"/>
      <c r="BY263" s="45"/>
      <c r="BZ263" s="45"/>
      <c r="CA263" s="45"/>
      <c r="CB263" s="45"/>
      <c r="CC263" s="45"/>
      <c r="CD263" s="45"/>
      <c r="CE263" s="45"/>
      <c r="CF263" s="45"/>
      <c r="CG263" s="45"/>
      <c r="CH263" s="45"/>
      <c r="CI263" s="45"/>
      <c r="CJ263" s="45"/>
      <c r="CK263" s="45"/>
      <c r="CL263" s="45"/>
      <c r="CM263" s="45"/>
      <c r="CN263" s="45"/>
      <c r="CO263" s="45"/>
      <c r="CP263" s="45"/>
      <c r="CQ263" s="45"/>
      <c r="CR263" s="45"/>
      <c r="CS263" s="45"/>
      <c r="CT263" s="45"/>
      <c r="CU263" s="45"/>
    </row>
    <row r="264" spans="1:99" s="34" customFormat="1" ht="12.75" customHeight="1">
      <c r="A264" s="228"/>
      <c r="B264" s="228"/>
      <c r="C264" s="389" t="s">
        <v>713</v>
      </c>
      <c r="D264" s="228"/>
      <c r="E264" s="292"/>
      <c r="F264" s="261"/>
      <c r="G264" s="261"/>
      <c r="H264" s="293"/>
      <c r="I264" s="228"/>
      <c r="J264" s="292"/>
      <c r="K264" s="261"/>
      <c r="L264" s="261"/>
      <c r="M264" s="293"/>
      <c r="O264" s="292"/>
      <c r="P264" s="261"/>
      <c r="Q264" s="261"/>
      <c r="R264" s="293"/>
      <c r="S264" s="669"/>
      <c r="T264" s="292"/>
      <c r="U264" s="261"/>
      <c r="V264" s="261"/>
      <c r="W264" s="293"/>
      <c r="X264" s="669"/>
      <c r="Y264" s="292"/>
      <c r="Z264" s="261"/>
      <c r="AA264" s="1438"/>
      <c r="AB264" s="1439"/>
      <c r="AC264" s="1478">
        <v>5400</v>
      </c>
      <c r="AD264" s="292"/>
      <c r="AE264" s="261"/>
      <c r="AF264" s="261"/>
      <c r="AG264" s="293"/>
      <c r="AH264" s="669">
        <v>5600</v>
      </c>
      <c r="AI264" s="292"/>
      <c r="AJ264" s="261"/>
      <c r="AK264" s="261"/>
      <c r="AL264" s="293"/>
      <c r="AM264" s="669">
        <v>6000</v>
      </c>
      <c r="AN264" s="292"/>
      <c r="AO264" s="261"/>
      <c r="AP264" s="261"/>
      <c r="AQ264" s="293"/>
      <c r="AR264" s="669">
        <v>6200</v>
      </c>
      <c r="AS264" s="292"/>
      <c r="AT264" s="261"/>
      <c r="AU264" s="261"/>
      <c r="AV264" s="293"/>
      <c r="AW264" s="669">
        <v>6600</v>
      </c>
      <c r="AX264" s="292"/>
      <c r="AY264" s="261"/>
      <c r="AZ264" s="261"/>
      <c r="BA264" s="293"/>
      <c r="BB264" s="669">
        <v>7100</v>
      </c>
      <c r="BC264" s="292"/>
      <c r="BD264" s="261"/>
      <c r="BE264" s="261"/>
      <c r="BF264" s="293"/>
      <c r="BG264" s="669">
        <v>7600</v>
      </c>
      <c r="BH264" s="292"/>
      <c r="BI264" s="261"/>
      <c r="BJ264" s="261"/>
      <c r="BK264" s="293"/>
      <c r="BL264" s="669">
        <v>8000</v>
      </c>
      <c r="BM264" s="292"/>
      <c r="BN264" s="261"/>
      <c r="BO264" s="261"/>
      <c r="BP264" s="293"/>
      <c r="BQ264" s="669">
        <v>8600</v>
      </c>
      <c r="BR264" s="45"/>
      <c r="BS264" s="228"/>
      <c r="BT264" s="228"/>
      <c r="BU264" s="228"/>
      <c r="BV264" s="228"/>
      <c r="BW264" s="228"/>
      <c r="BX264" s="228"/>
      <c r="BY264" s="228"/>
      <c r="BZ264" s="228"/>
      <c r="CA264" s="228"/>
      <c r="CB264" s="228"/>
      <c r="CC264" s="228"/>
      <c r="CD264" s="228"/>
      <c r="CE264" s="228"/>
      <c r="CF264" s="228"/>
      <c r="CG264" s="228"/>
      <c r="CH264" s="228"/>
      <c r="CI264" s="228"/>
      <c r="CJ264" s="228"/>
      <c r="CK264" s="228"/>
      <c r="CL264" s="228"/>
      <c r="CM264" s="228"/>
      <c r="CN264" s="228"/>
      <c r="CO264" s="228"/>
      <c r="CP264" s="228"/>
      <c r="CQ264" s="228"/>
      <c r="CR264" s="228"/>
      <c r="CS264" s="228"/>
      <c r="CT264" s="228"/>
      <c r="CU264" s="228"/>
    </row>
    <row r="265" spans="1:99" ht="12.75" customHeight="1">
      <c r="A265" s="45"/>
      <c r="B265" s="45"/>
      <c r="C265" s="45"/>
      <c r="D265" s="45"/>
      <c r="E265" s="290"/>
      <c r="F265" s="260"/>
      <c r="G265" s="260"/>
      <c r="H265" s="291"/>
      <c r="I265" s="45"/>
      <c r="J265" s="290"/>
      <c r="K265" s="260"/>
      <c r="L265" s="260"/>
      <c r="M265" s="291"/>
      <c r="N265" s="45"/>
      <c r="O265" s="290"/>
      <c r="P265" s="260"/>
      <c r="Q265" s="260"/>
      <c r="R265" s="291"/>
      <c r="S265" s="45"/>
      <c r="T265" s="290"/>
      <c r="U265" s="260"/>
      <c r="V265" s="260"/>
      <c r="W265" s="291"/>
      <c r="X265" s="45"/>
      <c r="Y265" s="290"/>
      <c r="Z265" s="260"/>
      <c r="AA265" s="1441"/>
      <c r="AB265" s="1442"/>
      <c r="AC265" s="1443"/>
      <c r="AD265" s="290"/>
      <c r="AE265" s="260"/>
      <c r="AF265" s="260"/>
      <c r="AG265" s="291"/>
      <c r="AH265" s="45"/>
      <c r="AI265" s="290"/>
      <c r="AJ265" s="260"/>
      <c r="AK265" s="260"/>
      <c r="AL265" s="291"/>
      <c r="AM265" s="45"/>
      <c r="AN265" s="290"/>
      <c r="AO265" s="260"/>
      <c r="AP265" s="260"/>
      <c r="AQ265" s="291"/>
      <c r="AR265" s="45"/>
      <c r="AS265" s="290"/>
      <c r="AT265" s="260"/>
      <c r="AU265" s="260"/>
      <c r="AV265" s="291"/>
      <c r="AW265" s="45"/>
      <c r="AX265" s="290"/>
      <c r="AY265" s="260"/>
      <c r="AZ265" s="260"/>
      <c r="BA265" s="291"/>
      <c r="BB265" s="45"/>
      <c r="BC265" s="290"/>
      <c r="BD265" s="260"/>
      <c r="BE265" s="260"/>
      <c r="BF265" s="291"/>
      <c r="BG265" s="45"/>
      <c r="BH265" s="290"/>
      <c r="BI265" s="260"/>
      <c r="BJ265" s="260"/>
      <c r="BK265" s="291"/>
      <c r="BL265" s="45"/>
      <c r="BM265" s="290"/>
      <c r="BN265" s="260"/>
      <c r="BO265" s="260"/>
      <c r="BP265" s="291"/>
      <c r="BQ265" s="45"/>
      <c r="BR265" s="45"/>
      <c r="BS265" s="45"/>
      <c r="BT265" s="45"/>
      <c r="BU265" s="45"/>
      <c r="BV265" s="45"/>
      <c r="BW265" s="45"/>
      <c r="BX265" s="45"/>
      <c r="BY265" s="45"/>
      <c r="BZ265" s="45"/>
      <c r="CA265" s="45"/>
      <c r="CB265" s="45"/>
      <c r="CC265" s="45"/>
      <c r="CD265" s="45"/>
      <c r="CE265" s="45"/>
      <c r="CF265" s="45"/>
      <c r="CG265" s="45"/>
      <c r="CH265" s="45"/>
      <c r="CI265" s="45"/>
      <c r="CJ265" s="45"/>
      <c r="CK265" s="45"/>
      <c r="CL265" s="45"/>
      <c r="CM265" s="45"/>
      <c r="CN265" s="45"/>
      <c r="CO265" s="45"/>
      <c r="CP265" s="45"/>
      <c r="CQ265" s="45"/>
      <c r="CR265" s="45"/>
      <c r="CS265" s="45"/>
      <c r="CT265" s="45"/>
      <c r="CU265" s="45"/>
    </row>
    <row r="266" spans="1:99" ht="12.75" customHeight="1">
      <c r="A266" s="45"/>
      <c r="B266" s="45"/>
      <c r="C266" s="389" t="s">
        <v>281</v>
      </c>
      <c r="D266" s="45"/>
      <c r="E266" s="290"/>
      <c r="F266" s="260"/>
      <c r="G266" s="260"/>
      <c r="H266" s="291"/>
      <c r="I266" s="45"/>
      <c r="J266" s="290"/>
      <c r="K266" s="260"/>
      <c r="L266" s="260"/>
      <c r="M266" s="291"/>
      <c r="N266" s="45"/>
      <c r="O266" s="290"/>
      <c r="P266" s="260"/>
      <c r="Q266" s="260"/>
      <c r="R266" s="291"/>
      <c r="S266" s="45"/>
      <c r="T266" s="290"/>
      <c r="U266" s="260"/>
      <c r="V266" s="260"/>
      <c r="W266" s="291"/>
      <c r="X266" s="45"/>
      <c r="Y266" s="290"/>
      <c r="Z266" s="260"/>
      <c r="AA266" s="1441"/>
      <c r="AB266" s="1442"/>
      <c r="AC266" s="1443"/>
      <c r="AD266" s="290"/>
      <c r="AE266" s="260"/>
      <c r="AF266" s="260"/>
      <c r="AG266" s="291"/>
      <c r="AH266" s="45"/>
      <c r="AI266" s="290"/>
      <c r="AJ266" s="260"/>
      <c r="AK266" s="260"/>
      <c r="AL266" s="291"/>
      <c r="AM266" s="45"/>
      <c r="AN266" s="290"/>
      <c r="AO266" s="260"/>
      <c r="AP266" s="260"/>
      <c r="AQ266" s="291"/>
      <c r="AR266" s="45"/>
      <c r="AS266" s="290"/>
      <c r="AT266" s="260"/>
      <c r="AU266" s="260"/>
      <c r="AV266" s="291"/>
      <c r="AW266" s="45"/>
      <c r="AX266" s="290"/>
      <c r="AY266" s="260"/>
      <c r="AZ266" s="260"/>
      <c r="BA266" s="291"/>
      <c r="BB266" s="45"/>
      <c r="BC266" s="290"/>
      <c r="BD266" s="260"/>
      <c r="BE266" s="260"/>
      <c r="BF266" s="291"/>
      <c r="BG266" s="45"/>
      <c r="BH266" s="290"/>
      <c r="BI266" s="260"/>
      <c r="BJ266" s="260"/>
      <c r="BK266" s="291"/>
      <c r="BL266" s="45"/>
      <c r="BM266" s="290"/>
      <c r="BN266" s="260"/>
      <c r="BO266" s="260"/>
      <c r="BP266" s="291"/>
      <c r="BQ266" s="45"/>
      <c r="BR266" s="45"/>
      <c r="BS266" s="45"/>
      <c r="BT266" s="45"/>
      <c r="BU266" s="45"/>
      <c r="BV266" s="45"/>
      <c r="BW266" s="45"/>
      <c r="BX266" s="45"/>
      <c r="BY266" s="45"/>
      <c r="BZ266" s="45"/>
      <c r="CA266" s="45"/>
      <c r="CB266" s="45"/>
      <c r="CC266" s="45"/>
      <c r="CD266" s="45"/>
      <c r="CE266" s="45"/>
      <c r="CF266" s="45"/>
      <c r="CG266" s="45"/>
      <c r="CH266" s="45"/>
      <c r="CI266" s="45"/>
      <c r="CJ266" s="45"/>
      <c r="CK266" s="45"/>
      <c r="CL266" s="45"/>
      <c r="CM266" s="45"/>
      <c r="CN266" s="45"/>
      <c r="CO266" s="45"/>
      <c r="CP266" s="45"/>
      <c r="CQ266" s="45"/>
      <c r="CR266" s="45"/>
      <c r="CS266" s="45"/>
      <c r="CT266" s="45"/>
      <c r="CU266" s="45"/>
    </row>
    <row r="267" spans="1:99" ht="12.75" customHeight="1">
      <c r="A267" s="383"/>
      <c r="B267" s="383"/>
      <c r="C267" s="391" t="s">
        <v>430</v>
      </c>
      <c r="D267" s="383"/>
      <c r="E267" s="671">
        <v>0.53</v>
      </c>
      <c r="F267" s="257">
        <v>0.53</v>
      </c>
      <c r="G267" s="257">
        <v>0.53</v>
      </c>
      <c r="H267" s="672">
        <v>0.53</v>
      </c>
      <c r="I267" s="612">
        <v>0.53</v>
      </c>
      <c r="J267" s="671">
        <v>0.53</v>
      </c>
      <c r="K267" s="257">
        <v>0.53</v>
      </c>
      <c r="L267" s="257">
        <v>0.53</v>
      </c>
      <c r="M267" s="672">
        <v>0.53</v>
      </c>
      <c r="N267" s="612">
        <v>0.53</v>
      </c>
      <c r="O267" s="671">
        <v>0.53</v>
      </c>
      <c r="P267" s="257">
        <v>0.53</v>
      </c>
      <c r="Q267" s="257">
        <v>0.53</v>
      </c>
      <c r="R267" s="672">
        <v>0.53</v>
      </c>
      <c r="S267" s="612">
        <v>0.53</v>
      </c>
      <c r="T267" s="671">
        <v>0.53</v>
      </c>
      <c r="U267" s="257">
        <v>0.53</v>
      </c>
      <c r="V267" s="257">
        <v>0.53</v>
      </c>
      <c r="W267" s="672">
        <v>0.53</v>
      </c>
      <c r="X267" s="612">
        <v>0.53</v>
      </c>
      <c r="Y267" s="671">
        <v>0.53</v>
      </c>
      <c r="Z267" s="257">
        <v>0.53</v>
      </c>
      <c r="AA267" s="1433">
        <v>0.53</v>
      </c>
      <c r="AB267" s="1430">
        <v>0.53</v>
      </c>
      <c r="AC267" s="883">
        <v>0.53</v>
      </c>
      <c r="AD267" s="671">
        <v>0.53</v>
      </c>
      <c r="AE267" s="257">
        <v>0.53</v>
      </c>
      <c r="AF267" s="257">
        <v>0.53</v>
      </c>
      <c r="AG267" s="672">
        <v>0.53</v>
      </c>
      <c r="AH267" s="612">
        <v>0.53</v>
      </c>
      <c r="AI267" s="671">
        <f>AJ267</f>
        <v>0.54</v>
      </c>
      <c r="AJ267" s="257">
        <f>AK267</f>
        <v>0.54</v>
      </c>
      <c r="AK267" s="257">
        <f>AL267</f>
        <v>0.54</v>
      </c>
      <c r="AL267" s="672">
        <f>AM267</f>
        <v>0.54</v>
      </c>
      <c r="AM267" s="612">
        <v>0.54</v>
      </c>
      <c r="AN267" s="671">
        <f>AM267</f>
        <v>0.54</v>
      </c>
      <c r="AO267" s="257">
        <f t="shared" ref="AO267:BL267" si="722">AN267</f>
        <v>0.54</v>
      </c>
      <c r="AP267" s="257">
        <f t="shared" si="722"/>
        <v>0.54</v>
      </c>
      <c r="AQ267" s="672">
        <f t="shared" si="722"/>
        <v>0.54</v>
      </c>
      <c r="AR267" s="612">
        <f t="shared" si="722"/>
        <v>0.54</v>
      </c>
      <c r="AS267" s="671">
        <f t="shared" si="722"/>
        <v>0.54</v>
      </c>
      <c r="AT267" s="257">
        <f t="shared" si="722"/>
        <v>0.54</v>
      </c>
      <c r="AU267" s="257">
        <f t="shared" ref="AU267" si="723">AT267</f>
        <v>0.54</v>
      </c>
      <c r="AV267" s="672">
        <f t="shared" si="722"/>
        <v>0.54</v>
      </c>
      <c r="AW267" s="612">
        <f t="shared" si="722"/>
        <v>0.54</v>
      </c>
      <c r="AX267" s="671">
        <f t="shared" si="722"/>
        <v>0.54</v>
      </c>
      <c r="AY267" s="257">
        <f t="shared" si="722"/>
        <v>0.54</v>
      </c>
      <c r="AZ267" s="257">
        <f t="shared" si="722"/>
        <v>0.54</v>
      </c>
      <c r="BA267" s="672">
        <f t="shared" si="722"/>
        <v>0.54</v>
      </c>
      <c r="BB267" s="612">
        <f t="shared" si="722"/>
        <v>0.54</v>
      </c>
      <c r="BC267" s="671">
        <f t="shared" si="722"/>
        <v>0.54</v>
      </c>
      <c r="BD267" s="257">
        <f t="shared" si="722"/>
        <v>0.54</v>
      </c>
      <c r="BE267" s="257">
        <f t="shared" si="722"/>
        <v>0.54</v>
      </c>
      <c r="BF267" s="672">
        <f t="shared" si="722"/>
        <v>0.54</v>
      </c>
      <c r="BG267" s="612">
        <f t="shared" si="722"/>
        <v>0.54</v>
      </c>
      <c r="BH267" s="671">
        <f t="shared" si="722"/>
        <v>0.54</v>
      </c>
      <c r="BI267" s="257">
        <f t="shared" si="722"/>
        <v>0.54</v>
      </c>
      <c r="BJ267" s="257">
        <f t="shared" si="722"/>
        <v>0.54</v>
      </c>
      <c r="BK267" s="672">
        <f t="shared" si="722"/>
        <v>0.54</v>
      </c>
      <c r="BL267" s="612">
        <f t="shared" si="722"/>
        <v>0.54</v>
      </c>
      <c r="BM267" s="1956">
        <f t="shared" ref="BM267" si="724">BL267</f>
        <v>0.54</v>
      </c>
      <c r="BN267" s="1957">
        <f t="shared" ref="BN267" si="725">BM267</f>
        <v>0.54</v>
      </c>
      <c r="BO267" s="1957">
        <f t="shared" ref="BO267" si="726">BN267</f>
        <v>0.54</v>
      </c>
      <c r="BP267" s="1958">
        <f t="shared" ref="BP267" si="727">BO267</f>
        <v>0.54</v>
      </c>
      <c r="BQ267" s="612">
        <f>+BL267</f>
        <v>0.54</v>
      </c>
      <c r="BR267" s="383"/>
      <c r="BS267" s="383"/>
      <c r="BT267" s="383"/>
      <c r="BU267" s="383"/>
      <c r="BV267" s="383"/>
      <c r="BW267" s="383"/>
      <c r="BX267" s="383"/>
      <c r="BY267" s="383"/>
      <c r="BZ267" s="383"/>
      <c r="CA267" s="383"/>
      <c r="CB267" s="383"/>
      <c r="CC267" s="383"/>
      <c r="CD267" s="383"/>
      <c r="CE267" s="383"/>
      <c r="CF267" s="383"/>
      <c r="CG267" s="383"/>
      <c r="CH267" s="383"/>
      <c r="CI267" s="383"/>
      <c r="CJ267" s="383"/>
      <c r="CK267" s="383"/>
      <c r="CL267" s="383"/>
      <c r="CM267" s="383"/>
      <c r="CN267" s="383"/>
      <c r="CO267" s="383"/>
      <c r="CP267" s="383"/>
      <c r="CQ267" s="383"/>
      <c r="CR267" s="383"/>
      <c r="CS267" s="383"/>
      <c r="CT267" s="383"/>
      <c r="CU267" s="383"/>
    </row>
    <row r="268" spans="1:99" ht="12.75" customHeight="1">
      <c r="A268" s="383"/>
      <c r="B268" s="383"/>
      <c r="C268" s="391" t="s">
        <v>1289</v>
      </c>
      <c r="D268" s="383"/>
      <c r="E268" s="655">
        <f t="shared" ref="E268:AR268" si="728">(E228/(E221+E225+E228))</f>
        <v>0.40773195876288659</v>
      </c>
      <c r="F268" s="653">
        <f t="shared" si="728"/>
        <v>0.41892130857648097</v>
      </c>
      <c r="G268" s="653">
        <f t="shared" si="728"/>
        <v>0.44510439164866811</v>
      </c>
      <c r="H268" s="654">
        <f t="shared" si="728"/>
        <v>0.46875</v>
      </c>
      <c r="I268" s="673">
        <f t="shared" si="728"/>
        <v>0.46875</v>
      </c>
      <c r="J268" s="655">
        <f t="shared" si="728"/>
        <v>0.47744496571634787</v>
      </c>
      <c r="K268" s="653">
        <f t="shared" si="728"/>
        <v>0.48368693171688359</v>
      </c>
      <c r="L268" s="653">
        <f t="shared" si="728"/>
        <v>0.53095014111006589</v>
      </c>
      <c r="M268" s="654">
        <f t="shared" si="728"/>
        <v>0.5362723214285714</v>
      </c>
      <c r="N268" s="673">
        <f t="shared" si="728"/>
        <v>0.5362723214285714</v>
      </c>
      <c r="O268" s="655">
        <f t="shared" si="728"/>
        <v>0.5374768089053803</v>
      </c>
      <c r="P268" s="653">
        <f t="shared" si="728"/>
        <v>0.53833333333333333</v>
      </c>
      <c r="Q268" s="653">
        <f t="shared" si="728"/>
        <v>0.54147507816810736</v>
      </c>
      <c r="R268" s="654">
        <f t="shared" si="728"/>
        <v>0.5670719938235862</v>
      </c>
      <c r="S268" s="673">
        <f t="shared" si="728"/>
        <v>0.5670719938235862</v>
      </c>
      <c r="T268" s="655">
        <f t="shared" si="728"/>
        <v>0.56790599113850893</v>
      </c>
      <c r="U268" s="653">
        <f>(U228/(U221+U225+U228))</f>
        <v>0.61151527748908752</v>
      </c>
      <c r="V268" s="653">
        <f t="shared" si="728"/>
        <v>0.53455394004667023</v>
      </c>
      <c r="W268" s="654">
        <f t="shared" si="728"/>
        <v>0.57346153846153847</v>
      </c>
      <c r="X268" s="673">
        <f t="shared" si="728"/>
        <v>0.57346153846153847</v>
      </c>
      <c r="Y268" s="655">
        <f t="shared" si="728"/>
        <v>0.57644588661958385</v>
      </c>
      <c r="Z268" s="653">
        <f t="shared" si="728"/>
        <v>0.58529468974907606</v>
      </c>
      <c r="AA268" s="653">
        <f t="shared" si="728"/>
        <v>0.52974206001052815</v>
      </c>
      <c r="AB268" s="654">
        <f t="shared" si="728"/>
        <v>0.56279838413514505</v>
      </c>
      <c r="AC268" s="673">
        <f t="shared" si="728"/>
        <v>0.56279838413514505</v>
      </c>
      <c r="AD268" s="655">
        <f t="shared" si="728"/>
        <v>0.56351970669110907</v>
      </c>
      <c r="AE268" s="653">
        <f t="shared" si="728"/>
        <v>0.56383953104964279</v>
      </c>
      <c r="AF268" s="653">
        <f t="shared" si="728"/>
        <v>0.53665283540802211</v>
      </c>
      <c r="AG268" s="654">
        <f t="shared" si="728"/>
        <v>0.56224103765087374</v>
      </c>
      <c r="AH268" s="673">
        <f t="shared" si="728"/>
        <v>0.56224103765087374</v>
      </c>
      <c r="AI268" s="655">
        <f t="shared" si="728"/>
        <v>0.56761565836298933</v>
      </c>
      <c r="AJ268" s="653">
        <f t="shared" si="728"/>
        <v>0.56769258139121148</v>
      </c>
      <c r="AK268" s="653">
        <f t="shared" si="728"/>
        <v>0.57044369807318362</v>
      </c>
      <c r="AL268" s="654">
        <f t="shared" si="728"/>
        <v>0.53933333333333333</v>
      </c>
      <c r="AM268" s="673">
        <f t="shared" si="728"/>
        <v>0.53933333333333333</v>
      </c>
      <c r="AN268" s="655">
        <f t="shared" si="728"/>
        <v>0.5434280052840158</v>
      </c>
      <c r="AO268" s="653">
        <f t="shared" si="728"/>
        <v>0.54567860663818601</v>
      </c>
      <c r="AP268" s="653">
        <f t="shared" ref="AP268" si="729">(AP228/(AP221+AP225+AP228))</f>
        <v>0.52548412083656082</v>
      </c>
      <c r="AQ268" s="654">
        <f t="shared" si="728"/>
        <v>0.55267842692992397</v>
      </c>
      <c r="AR268" s="673">
        <f t="shared" si="728"/>
        <v>0.55267842692992397</v>
      </c>
      <c r="AS268" s="655">
        <f t="shared" ref="AS268:BB268" si="730">(AS228/(AS221+AS225+AS228))</f>
        <v>0.55662495989733718</v>
      </c>
      <c r="AT268" s="653">
        <f t="shared" si="730"/>
        <v>0.55776000000000003</v>
      </c>
      <c r="AU268" s="653">
        <f t="shared" ref="AU268" si="731">(AU228/(AU221+AU225+AU228))</f>
        <v>0.53439951719975864</v>
      </c>
      <c r="AV268" s="654">
        <f t="shared" si="730"/>
        <v>0.53676470588235292</v>
      </c>
      <c r="AW268" s="673">
        <f t="shared" si="730"/>
        <v>0.53676470588235292</v>
      </c>
      <c r="AX268" s="655">
        <f t="shared" si="730"/>
        <v>0.58482085236529113</v>
      </c>
      <c r="AY268" s="653">
        <f t="shared" ca="1" si="730"/>
        <v>0.586279366402499</v>
      </c>
      <c r="AZ268" s="653">
        <f t="shared" ca="1" si="730"/>
        <v>0.53940281806452683</v>
      </c>
      <c r="BA268" s="654">
        <f t="shared" ca="1" si="730"/>
        <v>0.54147874024100628</v>
      </c>
      <c r="BB268" s="673">
        <f t="shared" ca="1" si="730"/>
        <v>0.54147874024100628</v>
      </c>
      <c r="BC268" s="655">
        <f t="shared" ref="BC268:BL268" ca="1" si="732">(BC228/(BC221+BC225+BC228))</f>
        <v>0.54747253822889952</v>
      </c>
      <c r="BD268" s="653">
        <f t="shared" ca="1" si="732"/>
        <v>0.55020003740484036</v>
      </c>
      <c r="BE268" s="653">
        <f t="shared" ca="1" si="732"/>
        <v>0.53616279253084109</v>
      </c>
      <c r="BF268" s="654">
        <f t="shared" ca="1" si="732"/>
        <v>0.53953565045664187</v>
      </c>
      <c r="BG268" s="673">
        <f t="shared" ca="1" si="732"/>
        <v>0.53953565045664187</v>
      </c>
      <c r="BH268" s="655">
        <f t="shared" ca="1" si="732"/>
        <v>0.54416784677780672</v>
      </c>
      <c r="BI268" s="653">
        <f t="shared" ca="1" si="732"/>
        <v>0.54573320837552719</v>
      </c>
      <c r="BJ268" s="653">
        <f t="shared" ca="1" si="732"/>
        <v>0.53759820172896156</v>
      </c>
      <c r="BK268" s="654">
        <f t="shared" ca="1" si="732"/>
        <v>0.53989427396081913</v>
      </c>
      <c r="BL268" s="673">
        <f t="shared" ca="1" si="732"/>
        <v>0.53989427396081913</v>
      </c>
      <c r="BM268" s="1956">
        <f t="shared" ref="BM268:BQ268" ca="1" si="733">(BM228/(BM221+BM225+BM228))</f>
        <v>0.54401835100858154</v>
      </c>
      <c r="BN268" s="1957">
        <f t="shared" ca="1" si="733"/>
        <v>0.54519670289622857</v>
      </c>
      <c r="BO268" s="1957">
        <f t="shared" ca="1" si="733"/>
        <v>0.53774350731561993</v>
      </c>
      <c r="BP268" s="1958">
        <f t="shared" ca="1" si="733"/>
        <v>0.5396479402433153</v>
      </c>
      <c r="BQ268" s="673">
        <f t="shared" ca="1" si="733"/>
        <v>0.5396479402433153</v>
      </c>
      <c r="BR268" s="383"/>
      <c r="BS268" s="383"/>
      <c r="BT268" s="383"/>
      <c r="BU268" s="383"/>
      <c r="BV268" s="383"/>
      <c r="BW268" s="383"/>
      <c r="BX268" s="383"/>
      <c r="BY268" s="383"/>
      <c r="BZ268" s="383"/>
      <c r="CA268" s="383"/>
      <c r="CB268" s="383"/>
      <c r="CC268" s="383"/>
      <c r="CD268" s="383"/>
      <c r="CE268" s="383"/>
      <c r="CF268" s="383"/>
      <c r="CG268" s="383"/>
      <c r="CH268" s="383"/>
      <c r="CI268" s="383"/>
      <c r="CJ268" s="383"/>
      <c r="CK268" s="383"/>
      <c r="CL268" s="383"/>
      <c r="CM268" s="383"/>
      <c r="CN268" s="383"/>
      <c r="CO268" s="383"/>
      <c r="CP268" s="383"/>
      <c r="CQ268" s="383"/>
      <c r="CR268" s="383"/>
      <c r="CS268" s="383"/>
      <c r="CT268" s="383"/>
      <c r="CU268" s="383"/>
    </row>
    <row r="269" spans="1:99" ht="12.75" customHeight="1">
      <c r="A269" s="383"/>
      <c r="B269" s="383"/>
      <c r="C269" s="383"/>
      <c r="D269" s="383"/>
      <c r="E269" s="613"/>
      <c r="F269" s="614"/>
      <c r="G269" s="614"/>
      <c r="H269" s="615"/>
      <c r="I269" s="25"/>
      <c r="J269" s="284"/>
      <c r="K269" s="241"/>
      <c r="L269" s="241"/>
      <c r="M269" s="285"/>
      <c r="N269" s="25"/>
      <c r="O269" s="284"/>
      <c r="P269" s="241"/>
      <c r="Q269" s="241"/>
      <c r="R269" s="285"/>
      <c r="S269" s="25"/>
      <c r="T269" s="284"/>
      <c r="U269" s="241"/>
      <c r="V269" s="241"/>
      <c r="W269" s="285"/>
      <c r="X269" s="25"/>
      <c r="Y269" s="284"/>
      <c r="Z269" s="241"/>
      <c r="AA269" s="241"/>
      <c r="AB269" s="285"/>
      <c r="AC269" s="25"/>
      <c r="AD269" s="284"/>
      <c r="AE269" s="241"/>
      <c r="AF269" s="241"/>
      <c r="AG269" s="285"/>
      <c r="AH269" s="25"/>
      <c r="AI269" s="284"/>
      <c r="AJ269" s="241"/>
      <c r="AK269" s="241"/>
      <c r="AL269" s="285"/>
      <c r="AM269" s="25"/>
      <c r="AN269" s="284"/>
      <c r="AO269" s="241"/>
      <c r="AP269" s="241"/>
      <c r="AQ269" s="285"/>
      <c r="AR269" s="25"/>
      <c r="AS269" s="284"/>
      <c r="AT269" s="241"/>
      <c r="AU269" s="241"/>
      <c r="AV269" s="285"/>
      <c r="AW269" s="25"/>
      <c r="AX269" s="284"/>
      <c r="AY269" s="241"/>
      <c r="AZ269" s="241"/>
      <c r="BA269" s="285"/>
      <c r="BB269" s="25"/>
      <c r="BC269" s="284"/>
      <c r="BD269" s="241"/>
      <c r="BE269" s="241"/>
      <c r="BF269" s="285"/>
      <c r="BG269" s="25"/>
      <c r="BH269" s="284"/>
      <c r="BI269" s="241"/>
      <c r="BJ269" s="241"/>
      <c r="BK269" s="285"/>
      <c r="BL269" s="25"/>
      <c r="BM269" s="1956"/>
      <c r="BN269" s="1957"/>
      <c r="BO269" s="1957"/>
      <c r="BP269" s="1958"/>
      <c r="BQ269" s="25"/>
      <c r="BR269" s="383"/>
      <c r="BS269" s="383"/>
      <c r="BT269" s="383"/>
      <c r="BU269" s="383"/>
      <c r="BV269" s="383"/>
      <c r="BW269" s="383"/>
      <c r="BX269" s="383"/>
      <c r="BY269" s="383"/>
      <c r="BZ269" s="383"/>
      <c r="CA269" s="383"/>
      <c r="CB269" s="383"/>
      <c r="CC269" s="383"/>
      <c r="CD269" s="383"/>
      <c r="CE269" s="383"/>
      <c r="CF269" s="383"/>
      <c r="CG269" s="383"/>
      <c r="CH269" s="383"/>
      <c r="CI269" s="383"/>
      <c r="CJ269" s="383"/>
      <c r="CK269" s="383"/>
      <c r="CL269" s="383"/>
      <c r="CM269" s="383"/>
      <c r="CN269" s="383"/>
      <c r="CO269" s="383"/>
      <c r="CP269" s="383"/>
      <c r="CQ269" s="383"/>
      <c r="CR269" s="383"/>
      <c r="CS269" s="383"/>
      <c r="CT269" s="383"/>
      <c r="CU269" s="383"/>
    </row>
    <row r="270" spans="1:99" ht="12.75" customHeight="1">
      <c r="A270" s="383"/>
      <c r="B270" s="383"/>
      <c r="C270" s="389" t="s">
        <v>1312</v>
      </c>
      <c r="D270" s="383"/>
      <c r="E270" s="613"/>
      <c r="F270" s="614"/>
      <c r="G270" s="614"/>
      <c r="H270" s="615"/>
      <c r="I270" s="612"/>
      <c r="J270" s="671"/>
      <c r="K270" s="257"/>
      <c r="L270" s="257"/>
      <c r="M270" s="672"/>
      <c r="N270" s="612"/>
      <c r="O270" s="671"/>
      <c r="P270" s="257"/>
      <c r="Q270" s="257"/>
      <c r="R270" s="672"/>
      <c r="S270" s="612"/>
      <c r="T270" s="671"/>
      <c r="U270" s="257"/>
      <c r="V270" s="257"/>
      <c r="W270" s="672"/>
      <c r="X270" s="612"/>
      <c r="Y270" s="671"/>
      <c r="Z270" s="257"/>
      <c r="AA270" s="1433"/>
      <c r="AB270" s="1430"/>
      <c r="AC270" s="883"/>
      <c r="AD270" s="671"/>
      <c r="AE270" s="257"/>
      <c r="AF270" s="257"/>
      <c r="AG270" s="672"/>
      <c r="AH270" s="612"/>
      <c r="AI270" s="671"/>
      <c r="AJ270" s="257"/>
      <c r="AK270" s="257"/>
      <c r="AL270" s="672"/>
      <c r="AM270" s="612"/>
      <c r="AN270" s="671"/>
      <c r="AO270" s="257"/>
      <c r="AP270" s="257"/>
      <c r="AQ270" s="672"/>
      <c r="AR270" s="612"/>
      <c r="AS270" s="671"/>
      <c r="AT270" s="257"/>
      <c r="AU270" s="257"/>
      <c r="AV270" s="672"/>
      <c r="AW270" s="612"/>
      <c r="AX270" s="671"/>
      <c r="AY270" s="257"/>
      <c r="AZ270" s="257"/>
      <c r="BA270" s="672"/>
      <c r="BB270" s="612"/>
      <c r="BC270" s="671"/>
      <c r="BD270" s="257"/>
      <c r="BE270" s="257"/>
      <c r="BF270" s="672"/>
      <c r="BG270" s="612"/>
      <c r="BH270" s="671"/>
      <c r="BI270" s="257"/>
      <c r="BJ270" s="257"/>
      <c r="BK270" s="672"/>
      <c r="BL270" s="612"/>
      <c r="BM270" s="1956"/>
      <c r="BN270" s="1957"/>
      <c r="BO270" s="1957"/>
      <c r="BP270" s="1958"/>
      <c r="BQ270" s="612"/>
      <c r="BR270" s="383"/>
      <c r="BS270" s="383"/>
      <c r="BT270" s="383"/>
      <c r="BU270" s="383"/>
      <c r="BV270" s="383"/>
      <c r="BW270" s="383"/>
      <c r="BX270" s="383"/>
      <c r="BY270" s="383"/>
      <c r="BZ270" s="383"/>
      <c r="CA270" s="383"/>
      <c r="CB270" s="383"/>
      <c r="CC270" s="383"/>
      <c r="CD270" s="383"/>
      <c r="CE270" s="383"/>
      <c r="CF270" s="383"/>
      <c r="CG270" s="383"/>
      <c r="CH270" s="383"/>
      <c r="CI270" s="383"/>
      <c r="CJ270" s="383"/>
      <c r="CK270" s="383"/>
      <c r="CL270" s="383"/>
      <c r="CM270" s="383"/>
      <c r="CN270" s="383"/>
      <c r="CO270" s="383"/>
      <c r="CP270" s="383"/>
      <c r="CQ270" s="383"/>
      <c r="CR270" s="383"/>
      <c r="CS270" s="383"/>
      <c r="CT270" s="383"/>
      <c r="CU270" s="383"/>
    </row>
    <row r="271" spans="1:99" ht="12.75" customHeight="1">
      <c r="A271" s="383"/>
      <c r="B271" s="383"/>
      <c r="C271" s="383" t="s">
        <v>1313</v>
      </c>
      <c r="D271" s="383"/>
      <c r="E271" s="671">
        <v>0.105</v>
      </c>
      <c r="F271" s="257">
        <v>0.105</v>
      </c>
      <c r="G271" s="257">
        <v>0.105</v>
      </c>
      <c r="H271" s="672">
        <v>0.105</v>
      </c>
      <c r="I271" s="612">
        <v>0.105</v>
      </c>
      <c r="J271" s="671">
        <v>0.105</v>
      </c>
      <c r="K271" s="257">
        <v>0.105</v>
      </c>
      <c r="L271" s="257">
        <v>0.105</v>
      </c>
      <c r="M271" s="672">
        <v>0.105</v>
      </c>
      <c r="N271" s="612">
        <v>0.105</v>
      </c>
      <c r="O271" s="671">
        <v>0.105</v>
      </c>
      <c r="P271" s="257">
        <v>0.105</v>
      </c>
      <c r="Q271" s="257">
        <v>0.105</v>
      </c>
      <c r="R271" s="672">
        <v>0.105</v>
      </c>
      <c r="S271" s="612">
        <v>0.105</v>
      </c>
      <c r="T271" s="671">
        <v>0.105</v>
      </c>
      <c r="U271" s="257">
        <v>0.105</v>
      </c>
      <c r="V271" s="257">
        <v>0.105</v>
      </c>
      <c r="W271" s="672">
        <v>0.105</v>
      </c>
      <c r="X271" s="612">
        <v>0.105</v>
      </c>
      <c r="Y271" s="671">
        <v>0.105</v>
      </c>
      <c r="Z271" s="257">
        <v>0.105</v>
      </c>
      <c r="AA271" s="1433">
        <v>0.105</v>
      </c>
      <c r="AB271" s="1430">
        <v>0.105</v>
      </c>
      <c r="AC271" s="883">
        <v>0.105</v>
      </c>
      <c r="AD271" s="671">
        <v>0.105</v>
      </c>
      <c r="AE271" s="257">
        <v>0.105</v>
      </c>
      <c r="AF271" s="257">
        <v>0.105</v>
      </c>
      <c r="AG271" s="672">
        <v>0.105</v>
      </c>
      <c r="AH271" s="612">
        <v>0.105</v>
      </c>
      <c r="AI271" s="671">
        <f>AJ271</f>
        <v>0.1095</v>
      </c>
      <c r="AJ271" s="257">
        <f t="shared" ref="AJ271:AL271" si="734">AK271</f>
        <v>0.1095</v>
      </c>
      <c r="AK271" s="257">
        <f t="shared" si="734"/>
        <v>0.1095</v>
      </c>
      <c r="AL271" s="672">
        <f t="shared" si="734"/>
        <v>0.1095</v>
      </c>
      <c r="AM271" s="612">
        <v>0.1095</v>
      </c>
      <c r="AN271" s="671">
        <f>AO271</f>
        <v>0.1095</v>
      </c>
      <c r="AO271" s="257">
        <f t="shared" ref="AO271:AQ271" si="735">AP271</f>
        <v>0.1095</v>
      </c>
      <c r="AP271" s="257">
        <f t="shared" si="735"/>
        <v>0.1095</v>
      </c>
      <c r="AQ271" s="672">
        <f t="shared" si="735"/>
        <v>0.1095</v>
      </c>
      <c r="AR271" s="612">
        <f>AM271</f>
        <v>0.1095</v>
      </c>
      <c r="AS271" s="671">
        <f>AT271</f>
        <v>0.1095</v>
      </c>
      <c r="AT271" s="257">
        <f t="shared" ref="AT271:AV271" si="736">AU271</f>
        <v>0.1095</v>
      </c>
      <c r="AU271" s="257">
        <f t="shared" si="736"/>
        <v>0.1095</v>
      </c>
      <c r="AV271" s="672">
        <f t="shared" si="736"/>
        <v>0.1095</v>
      </c>
      <c r="AW271" s="612">
        <f>AR271</f>
        <v>0.1095</v>
      </c>
      <c r="AX271" s="671">
        <f>AY271</f>
        <v>0.1095</v>
      </c>
      <c r="AY271" s="257">
        <f t="shared" ref="AY271:BA271" si="737">AZ271</f>
        <v>0.1095</v>
      </c>
      <c r="AZ271" s="257">
        <f t="shared" si="737"/>
        <v>0.1095</v>
      </c>
      <c r="BA271" s="672">
        <f t="shared" si="737"/>
        <v>0.1095</v>
      </c>
      <c r="BB271" s="612">
        <f>AW271</f>
        <v>0.1095</v>
      </c>
      <c r="BC271" s="671">
        <f>BD271</f>
        <v>0.1095</v>
      </c>
      <c r="BD271" s="257">
        <f t="shared" ref="BD271:BF271" si="738">BE271</f>
        <v>0.1095</v>
      </c>
      <c r="BE271" s="257">
        <f t="shared" si="738"/>
        <v>0.1095</v>
      </c>
      <c r="BF271" s="672">
        <f t="shared" si="738"/>
        <v>0.1095</v>
      </c>
      <c r="BG271" s="612">
        <f>BB271</f>
        <v>0.1095</v>
      </c>
      <c r="BH271" s="671">
        <f>BI271</f>
        <v>0.1095</v>
      </c>
      <c r="BI271" s="257">
        <f t="shared" ref="BI271:BK271" si="739">BJ271</f>
        <v>0.1095</v>
      </c>
      <c r="BJ271" s="257">
        <f t="shared" si="739"/>
        <v>0.1095</v>
      </c>
      <c r="BK271" s="672">
        <f t="shared" si="739"/>
        <v>0.1095</v>
      </c>
      <c r="BL271" s="612">
        <f>BG271</f>
        <v>0.1095</v>
      </c>
      <c r="BM271" s="1956">
        <f>BN271</f>
        <v>0.1095</v>
      </c>
      <c r="BN271" s="1957">
        <f t="shared" ref="BN271" si="740">BO271</f>
        <v>0.1095</v>
      </c>
      <c r="BO271" s="1957">
        <f t="shared" ref="BO271" si="741">BP271</f>
        <v>0.1095</v>
      </c>
      <c r="BP271" s="1958">
        <f t="shared" ref="BP271" si="742">BQ271</f>
        <v>0.1095</v>
      </c>
      <c r="BQ271" s="612">
        <f>+BL271</f>
        <v>0.1095</v>
      </c>
      <c r="BR271" s="383"/>
      <c r="BS271" s="383"/>
      <c r="BT271" s="383"/>
      <c r="BU271" s="383"/>
      <c r="BV271" s="383"/>
      <c r="BW271" s="383"/>
      <c r="BX271" s="383"/>
      <c r="BY271" s="383"/>
      <c r="BZ271" s="383"/>
      <c r="CA271" s="383"/>
      <c r="CB271" s="383"/>
      <c r="CC271" s="383"/>
      <c r="CD271" s="383"/>
      <c r="CE271" s="383"/>
      <c r="CF271" s="383"/>
      <c r="CG271" s="383"/>
      <c r="CH271" s="383"/>
      <c r="CI271" s="383"/>
      <c r="CJ271" s="383"/>
      <c r="CK271" s="383"/>
      <c r="CL271" s="383"/>
      <c r="CM271" s="383"/>
      <c r="CN271" s="383"/>
      <c r="CO271" s="383"/>
      <c r="CP271" s="383"/>
      <c r="CQ271" s="383"/>
      <c r="CR271" s="383"/>
      <c r="CS271" s="383"/>
      <c r="CT271" s="383"/>
      <c r="CU271" s="383"/>
    </row>
    <row r="272" spans="1:99" ht="12.75" customHeight="1">
      <c r="A272" s="383"/>
      <c r="B272" s="383"/>
      <c r="C272" s="383" t="s">
        <v>420</v>
      </c>
      <c r="D272" s="383"/>
      <c r="E272" s="613"/>
      <c r="F272" s="614"/>
      <c r="G272" s="614"/>
      <c r="H272" s="615"/>
      <c r="I272" s="673">
        <f>I240/((I268)*(AVERAGE(I259,I254)))</f>
        <v>0.19282522660538745</v>
      </c>
      <c r="J272" s="655"/>
      <c r="K272" s="653"/>
      <c r="L272" s="653"/>
      <c r="M272" s="654"/>
      <c r="N272" s="673">
        <f>N240/((N268)*(AVERAGE(N259,N254)))</f>
        <v>0.14651994404161595</v>
      </c>
      <c r="O272" s="655"/>
      <c r="P272" s="653"/>
      <c r="Q272" s="653"/>
      <c r="R272" s="654"/>
      <c r="S272" s="673">
        <f>S240/((S268)*(AVERAGE(S259,S254)))</f>
        <v>0.1391815447094579</v>
      </c>
      <c r="T272" s="655"/>
      <c r="U272" s="653"/>
      <c r="V272" s="653"/>
      <c r="W272" s="654"/>
      <c r="X272" s="673">
        <f>X240/((X268)*(AVERAGE(X259,X254)))</f>
        <v>0.13461980741420379</v>
      </c>
      <c r="Y272" s="655"/>
      <c r="Z272" s="653"/>
      <c r="AA272" s="653"/>
      <c r="AB272" s="654"/>
      <c r="AC272" s="673">
        <f>AC240/((AC268)*(AVERAGE(AC259,AC254)))</f>
        <v>0.13322450595456423</v>
      </c>
      <c r="AD272" s="655"/>
      <c r="AE272" s="653"/>
      <c r="AF272" s="653"/>
      <c r="AG272" s="654"/>
      <c r="AH272" s="673">
        <f>AH240/((AH268)*(AVERAGE(AH259,AH254)))</f>
        <v>0.11303350456195776</v>
      </c>
      <c r="AI272" s="655"/>
      <c r="AJ272" s="653"/>
      <c r="AK272" s="653"/>
      <c r="AL272" s="654"/>
      <c r="AM272" s="673">
        <f>AM240/((AM268)*(AVERAGE(AM259,AM254)))</f>
        <v>0.12026517838860064</v>
      </c>
      <c r="AN272" s="655"/>
      <c r="AO272" s="653"/>
      <c r="AP272" s="653"/>
      <c r="AQ272" s="654"/>
      <c r="AR272" s="673">
        <f>AR240/((AR268)*(AVERAGE(AR259,AR254)))</f>
        <v>0.13167685109346497</v>
      </c>
      <c r="AS272" s="655"/>
      <c r="AT272" s="653"/>
      <c r="AU272" s="653"/>
      <c r="AV272" s="654"/>
      <c r="AW272" s="673">
        <f>AW240/((AW268)*(AVERAGE(AW259,AW254)))</f>
        <v>0.12484413831058828</v>
      </c>
      <c r="AX272" s="655"/>
      <c r="AY272" s="653"/>
      <c r="AZ272" s="653"/>
      <c r="BA272" s="654"/>
      <c r="BB272" s="673">
        <f ca="1">BB240/((BB268)*(AVERAGE(BB259,BB254)))</f>
        <v>0.1170434957192505</v>
      </c>
      <c r="BC272" s="655"/>
      <c r="BD272" s="653"/>
      <c r="BE272" s="653"/>
      <c r="BF272" s="654"/>
      <c r="BG272" s="673">
        <f ca="1">BG240/((BG268)*(AVERAGE(BG259,BG254)))</f>
        <v>0.11757323907339734</v>
      </c>
      <c r="BH272" s="655"/>
      <c r="BI272" s="653"/>
      <c r="BJ272" s="653"/>
      <c r="BK272" s="654"/>
      <c r="BL272" s="673">
        <f ca="1">BL240/((BL268)*(AVERAGE(BL259,BL254)))</f>
        <v>0.12030979488105117</v>
      </c>
      <c r="BM272" s="655"/>
      <c r="BN272" s="653"/>
      <c r="BO272" s="653"/>
      <c r="BP272" s="654"/>
      <c r="BQ272" s="673">
        <f ca="1">BQ240/((BQ268)*(AVERAGE(BQ259,BQ254)))</f>
        <v>0.11953099930461737</v>
      </c>
      <c r="BR272" s="383"/>
      <c r="BS272" s="383"/>
      <c r="BT272" s="383"/>
      <c r="BU272" s="383"/>
      <c r="BV272" s="383"/>
      <c r="BW272" s="383"/>
      <c r="BX272" s="383"/>
      <c r="BY272" s="383"/>
      <c r="BZ272" s="383"/>
      <c r="CA272" s="383"/>
      <c r="CB272" s="383"/>
      <c r="CC272" s="383"/>
      <c r="CD272" s="383"/>
      <c r="CE272" s="383"/>
      <c r="CF272" s="383"/>
      <c r="CG272" s="383"/>
      <c r="CH272" s="383"/>
      <c r="CI272" s="383"/>
      <c r="CJ272" s="383"/>
      <c r="CK272" s="383"/>
      <c r="CL272" s="383"/>
      <c r="CM272" s="383"/>
      <c r="CN272" s="383"/>
      <c r="CO272" s="383"/>
      <c r="CP272" s="383"/>
      <c r="CQ272" s="383"/>
      <c r="CR272" s="383"/>
      <c r="CS272" s="383"/>
      <c r="CT272" s="383"/>
      <c r="CU272" s="383"/>
    </row>
    <row r="273" spans="1:99" ht="12.75" customHeight="1">
      <c r="A273" s="383"/>
      <c r="B273" s="383"/>
      <c r="C273" s="383" t="s">
        <v>1290</v>
      </c>
      <c r="D273" s="383"/>
      <c r="E273" s="613"/>
      <c r="F273" s="614"/>
      <c r="G273" s="614"/>
      <c r="H273" s="615"/>
      <c r="I273" s="673">
        <f>(I240-I22)/(I268*(AVERAGE(I259,I254)))</f>
        <v>0.19064641048555259</v>
      </c>
      <c r="J273" s="655"/>
      <c r="K273" s="653"/>
      <c r="L273" s="653"/>
      <c r="M273" s="654"/>
      <c r="N273" s="673">
        <f>(N240-N22)/(N268*(AVERAGE(N259,N254)))</f>
        <v>0.14363081838445732</v>
      </c>
      <c r="O273" s="655"/>
      <c r="P273" s="653"/>
      <c r="Q273" s="653"/>
      <c r="R273" s="654"/>
      <c r="S273" s="673">
        <f>(S240-S22)/(S268*(AVERAGE(S259,S254)))</f>
        <v>0.13595310681671274</v>
      </c>
      <c r="T273" s="655"/>
      <c r="U273" s="653"/>
      <c r="V273" s="653"/>
      <c r="W273" s="654"/>
      <c r="X273" s="673">
        <f>(X240-X22)/(X268*(AVERAGE(X259,X254)))</f>
        <v>0.13322838821612418</v>
      </c>
      <c r="Y273" s="655"/>
      <c r="Z273" s="653"/>
      <c r="AA273" s="653"/>
      <c r="AB273" s="654"/>
      <c r="AC273" s="673">
        <f>(AC240-AC22)/(AC268*(AVERAGE(AC259,AC254)))</f>
        <v>0.13186853133925058</v>
      </c>
      <c r="AD273" s="655"/>
      <c r="AE273" s="653"/>
      <c r="AF273" s="653"/>
      <c r="AG273" s="654"/>
      <c r="AH273" s="673">
        <f>(AH240-AH22)/(AH268*(AVERAGE(AH259,AH254)))</f>
        <v>0.11111225519263271</v>
      </c>
      <c r="AI273" s="655"/>
      <c r="AJ273" s="653"/>
      <c r="AK273" s="653"/>
      <c r="AL273" s="654"/>
      <c r="AM273" s="673">
        <f>(AM240-AM22)/(AM268*(AVERAGE(AM259,AM254)))</f>
        <v>0.11868274183085589</v>
      </c>
      <c r="AN273" s="655"/>
      <c r="AO273" s="653"/>
      <c r="AP273" s="653"/>
      <c r="AQ273" s="654"/>
      <c r="AR273" s="673">
        <f>(AR240-AR22)/(AR268*(AVERAGE(AR259,AR254)))</f>
        <v>0.12930429521790704</v>
      </c>
      <c r="AS273" s="655"/>
      <c r="AT273" s="653"/>
      <c r="AU273" s="653"/>
      <c r="AV273" s="654"/>
      <c r="AW273" s="673">
        <f>(AW240-AW22)/(AW268*(AVERAGE(AW259,AW254)))</f>
        <v>0.12221276303003724</v>
      </c>
      <c r="AX273" s="655"/>
      <c r="AY273" s="653"/>
      <c r="AZ273" s="653"/>
      <c r="BA273" s="654"/>
      <c r="BB273" s="673">
        <f ca="1">(BB240-BB22)/(BB268*(AVERAGE(BB259,BB254)))</f>
        <v>0.11349093333166772</v>
      </c>
      <c r="BC273" s="655"/>
      <c r="BD273" s="653"/>
      <c r="BE273" s="653"/>
      <c r="BF273" s="654"/>
      <c r="BG273" s="673">
        <f ca="1">(BG240-BG22)/(BG268*(AVERAGE(BG259,BG254)))</f>
        <v>0.11405945528569887</v>
      </c>
      <c r="BH273" s="655"/>
      <c r="BI273" s="653"/>
      <c r="BJ273" s="653"/>
      <c r="BK273" s="654"/>
      <c r="BL273" s="673">
        <f ca="1">(BL240-BL22)/(BL268*(AVERAGE(BL259,BL254)))</f>
        <v>0.11719623710395521</v>
      </c>
      <c r="BM273" s="655"/>
      <c r="BN273" s="653"/>
      <c r="BO273" s="653"/>
      <c r="BP273" s="654"/>
      <c r="BQ273" s="673">
        <f ca="1">(BQ240-BQ22)/(BQ268*(AVERAGE(BQ259,BQ254)))</f>
        <v>0.11660081402488555</v>
      </c>
      <c r="BR273" s="383"/>
      <c r="BS273" s="383"/>
      <c r="BT273" s="383"/>
      <c r="BU273" s="383"/>
      <c r="BV273" s="383"/>
      <c r="BW273" s="383"/>
      <c r="BX273" s="383"/>
      <c r="BY273" s="383"/>
      <c r="BZ273" s="383"/>
      <c r="CA273" s="383"/>
      <c r="CB273" s="383"/>
      <c r="CC273" s="383"/>
      <c r="CD273" s="383"/>
      <c r="CE273" s="383"/>
      <c r="CF273" s="383"/>
      <c r="CG273" s="383"/>
      <c r="CH273" s="383"/>
      <c r="CI273" s="383"/>
      <c r="CJ273" s="383"/>
      <c r="CK273" s="383"/>
      <c r="CL273" s="383"/>
      <c r="CM273" s="383"/>
      <c r="CN273" s="383"/>
      <c r="CO273" s="383"/>
      <c r="CP273" s="383"/>
      <c r="CQ273" s="383"/>
      <c r="CR273" s="383"/>
      <c r="CS273" s="383"/>
      <c r="CT273" s="383"/>
      <c r="CU273" s="383"/>
    </row>
    <row r="274" spans="1:99" ht="12.75" customHeight="1">
      <c r="A274" s="383"/>
      <c r="B274" s="383"/>
      <c r="C274" s="383"/>
      <c r="D274" s="383"/>
      <c r="E274" s="613"/>
      <c r="F274" s="614"/>
      <c r="G274" s="614"/>
      <c r="H274" s="615"/>
      <c r="I274" s="583"/>
      <c r="J274" s="655"/>
      <c r="K274" s="653"/>
      <c r="L274" s="653"/>
      <c r="M274" s="654"/>
      <c r="N274" s="583"/>
      <c r="O274" s="655"/>
      <c r="P274" s="653"/>
      <c r="Q274" s="653"/>
      <c r="R274" s="654"/>
      <c r="S274" s="583"/>
      <c r="T274" s="655"/>
      <c r="U274" s="653"/>
      <c r="V274" s="653"/>
      <c r="W274" s="654"/>
      <c r="X274" s="583"/>
      <c r="Y274" s="655"/>
      <c r="Z274" s="653"/>
      <c r="AA274" s="653"/>
      <c r="AB274" s="654"/>
      <c r="AC274" s="673"/>
      <c r="AD274" s="655"/>
      <c r="AE274" s="653"/>
      <c r="AF274" s="653"/>
      <c r="AG274" s="654"/>
      <c r="AH274" s="673"/>
      <c r="AI274" s="655"/>
      <c r="AJ274" s="653"/>
      <c r="AK274" s="653"/>
      <c r="AL274" s="654"/>
      <c r="AM274" s="673"/>
      <c r="AN274" s="655"/>
      <c r="AO274" s="653"/>
      <c r="AP274" s="653"/>
      <c r="AQ274" s="654"/>
      <c r="AR274" s="673"/>
      <c r="AS274" s="655"/>
      <c r="AT274" s="653"/>
      <c r="AU274" s="653"/>
      <c r="AV274" s="654"/>
      <c r="AW274" s="673"/>
      <c r="AX274" s="655"/>
      <c r="AY274" s="653"/>
      <c r="AZ274" s="653"/>
      <c r="BA274" s="654"/>
      <c r="BB274" s="673"/>
      <c r="BC274" s="655"/>
      <c r="BD274" s="653"/>
      <c r="BE274" s="653"/>
      <c r="BF274" s="654"/>
      <c r="BG274" s="673"/>
      <c r="BH274" s="655"/>
      <c r="BI274" s="653"/>
      <c r="BJ274" s="653"/>
      <c r="BK274" s="654"/>
      <c r="BL274" s="673"/>
      <c r="BM274" s="655"/>
      <c r="BN274" s="653"/>
      <c r="BO274" s="653"/>
      <c r="BP274" s="654"/>
      <c r="BQ274" s="673"/>
      <c r="BR274" s="383"/>
      <c r="BS274" s="383"/>
      <c r="BT274" s="383"/>
      <c r="BU274" s="383"/>
      <c r="BV274" s="383"/>
      <c r="BW274" s="383"/>
      <c r="BX274" s="383"/>
      <c r="BY274" s="383"/>
      <c r="BZ274" s="383"/>
      <c r="CA274" s="383"/>
      <c r="CB274" s="383"/>
      <c r="CC274" s="383"/>
      <c r="CD274" s="383"/>
      <c r="CE274" s="383"/>
      <c r="CF274" s="383"/>
      <c r="CG274" s="383"/>
      <c r="CH274" s="383"/>
      <c r="CI274" s="383"/>
      <c r="CJ274" s="383"/>
      <c r="CK274" s="383"/>
      <c r="CL274" s="383"/>
      <c r="CM274" s="383"/>
      <c r="CN274" s="383"/>
      <c r="CO274" s="383"/>
      <c r="CP274" s="383"/>
      <c r="CQ274" s="383"/>
      <c r="CR274" s="383"/>
      <c r="CS274" s="383"/>
      <c r="CT274" s="383"/>
      <c r="CU274" s="383"/>
    </row>
    <row r="275" spans="1:99" ht="12.75" customHeight="1">
      <c r="E275" s="674"/>
      <c r="F275" s="674"/>
      <c r="G275" s="674"/>
      <c r="H275" s="674"/>
      <c r="J275" s="674"/>
      <c r="K275" s="674"/>
      <c r="L275" s="674"/>
      <c r="M275" s="674"/>
      <c r="O275" s="674"/>
      <c r="P275" s="674"/>
      <c r="Q275" s="674"/>
      <c r="R275" s="674"/>
      <c r="T275" s="674"/>
      <c r="U275" s="674"/>
      <c r="V275" s="674"/>
      <c r="W275" s="674"/>
      <c r="Y275" s="674"/>
      <c r="Z275" s="674"/>
      <c r="AA275" s="674"/>
      <c r="AB275" s="674"/>
      <c r="AD275" s="674"/>
      <c r="AE275" s="674"/>
      <c r="AF275" s="674"/>
      <c r="AG275" s="674"/>
      <c r="AI275" s="674"/>
      <c r="AJ275" s="674"/>
      <c r="AK275" s="674"/>
      <c r="AL275" s="674"/>
      <c r="AN275" s="674"/>
      <c r="AO275" s="674"/>
      <c r="AP275" s="674"/>
      <c r="AQ275" s="674"/>
      <c r="AS275" s="674"/>
      <c r="AT275" s="674"/>
      <c r="AU275" s="674"/>
      <c r="AV275" s="674"/>
      <c r="AX275" s="674"/>
      <c r="AY275" s="674"/>
      <c r="AZ275" s="674"/>
      <c r="BA275" s="674"/>
      <c r="BC275" s="674"/>
      <c r="BD275" s="674"/>
      <c r="BE275" s="674"/>
      <c r="BF275" s="674"/>
      <c r="BH275" s="674"/>
      <c r="BI275" s="674"/>
      <c r="BJ275" s="674"/>
      <c r="BK275" s="674"/>
      <c r="BM275" s="674"/>
      <c r="BN275" s="674"/>
      <c r="BO275" s="674"/>
      <c r="BP275" s="674"/>
    </row>
    <row r="276" spans="1:99" ht="12.75" customHeight="1">
      <c r="AD276" s="19"/>
      <c r="AF276" s="19"/>
      <c r="AG276" s="19"/>
    </row>
    <row r="277" spans="1:99" ht="12.75" customHeight="1">
      <c r="N277" s="535"/>
    </row>
    <row r="278" spans="1:99" ht="12.75" customHeight="1"/>
    <row r="279" spans="1:99" ht="12.75" customHeight="1">
      <c r="Q279" s="497"/>
      <c r="S279" s="497"/>
      <c r="X279" s="497"/>
      <c r="AC279" s="497"/>
      <c r="AH279" s="497"/>
      <c r="AM279" s="497"/>
      <c r="AR279" s="497"/>
      <c r="AW279" s="497"/>
      <c r="BB279" s="497"/>
      <c r="BG279" s="497"/>
      <c r="BL279" s="497"/>
      <c r="BQ279" s="497"/>
    </row>
    <row r="280" spans="1:99" ht="12.75" customHeight="1"/>
    <row r="281" spans="1:99" ht="12.75" customHeight="1">
      <c r="N281" s="675"/>
      <c r="AH281" s="497"/>
    </row>
    <row r="282" spans="1:99" ht="12.75" customHeight="1"/>
    <row r="283" spans="1:99" ht="12.75" customHeight="1"/>
    <row r="284" spans="1:99" ht="12.75" customHeight="1"/>
    <row r="285" spans="1:99" ht="12.75" customHeight="1"/>
    <row r="286" spans="1:99" ht="12.75" customHeight="1"/>
    <row r="287" spans="1:99" ht="12.75" customHeight="1"/>
    <row r="288" spans="1:99"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sheetData>
  <phoneticPr fontId="2" type="noConversion"/>
  <pageMargins left="0.5" right="0.5" top="0.5" bottom="0.5" header="0" footer="0"/>
  <pageSetup scale="55" fitToHeight="4" orientation="landscape" r:id="rId1"/>
  <headerFooter alignWithMargins="0"/>
  <rowBreaks count="4" manualBreakCount="4">
    <brk id="68" max="39" man="1"/>
    <brk id="139" max="39" man="1"/>
    <brk id="190" max="39" man="1"/>
    <brk id="234" max="39"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Y282"/>
  <sheetViews>
    <sheetView zoomScale="85" zoomScaleNormal="85" workbookViewId="0">
      <pane xSplit="4" ySplit="5" topLeftCell="I6" activePane="bottomRight" state="frozen"/>
      <selection activeCell="I6" sqref="I6"/>
      <selection pane="topRight" activeCell="I6" sqref="I6"/>
      <selection pane="bottomLeft" activeCell="I6" sqref="I6"/>
      <selection pane="bottomRight" activeCell="I6" sqref="I6"/>
    </sheetView>
  </sheetViews>
  <sheetFormatPr defaultRowHeight="12.75" outlineLevelCol="1"/>
  <cols>
    <col min="1" max="2" width="2.7109375" customWidth="1"/>
    <col min="3" max="3" width="45.7109375" customWidth="1"/>
    <col min="4" max="4" width="6.7109375" customWidth="1"/>
    <col min="5" max="7" width="9" hidden="1" customWidth="1" outlineLevel="1"/>
    <col min="8" max="8" width="9.85546875" hidden="1" customWidth="1" outlineLevel="1"/>
    <col min="9" max="9" width="9.140625" collapsed="1"/>
    <col min="10" max="13" width="9.140625" hidden="1" customWidth="1" outlineLevel="1"/>
    <col min="14" max="14" width="9.140625" collapsed="1"/>
    <col min="15" max="18" width="9.140625" hidden="1" customWidth="1" outlineLevel="1"/>
    <col min="19" max="19" width="9.140625" collapsed="1"/>
    <col min="20" max="23" width="9.140625" hidden="1" customWidth="1" outlineLevel="1"/>
    <col min="24" max="24" width="9.140625" collapsed="1"/>
    <col min="25" max="28" width="9.140625" hidden="1" customWidth="1" outlineLevel="1"/>
    <col min="29" max="29" width="9.140625" collapsed="1"/>
    <col min="30" max="33" width="9.140625" hidden="1" customWidth="1" outlineLevel="1"/>
    <col min="34" max="34" width="9.140625" collapsed="1"/>
    <col min="35" max="38" width="9.140625" hidden="1" customWidth="1" outlineLevel="1"/>
    <col min="39" max="39" width="9.140625" collapsed="1"/>
    <col min="40" max="43" width="9.140625" hidden="1" customWidth="1" outlineLevel="1"/>
    <col min="44" max="44" width="9.140625" customWidth="1" collapsed="1"/>
    <col min="45" max="48" width="9.140625" hidden="1" customWidth="1" outlineLevel="1"/>
    <col min="49" max="49" width="9.140625" collapsed="1"/>
    <col min="50" max="53" width="9.140625" hidden="1" customWidth="1" outlineLevel="1"/>
    <col min="54" max="54" width="9.140625" collapsed="1"/>
    <col min="55" max="58" width="9.140625" hidden="1" customWidth="1" outlineLevel="1"/>
    <col min="59" max="59" width="9.140625" collapsed="1"/>
    <col min="60" max="63" width="9.140625" hidden="1" customWidth="1" outlineLevel="1"/>
    <col min="64" max="64" width="9.140625" collapsed="1"/>
    <col min="65" max="68" width="9.140625" hidden="1" customWidth="1" outlineLevel="1"/>
    <col min="69" max="69" width="9.140625" collapsed="1"/>
    <col min="85" max="87" width="11.42578125" customWidth="1"/>
    <col min="88" max="88" width="9.7109375" customWidth="1"/>
    <col min="89" max="92" width="11.42578125" customWidth="1"/>
    <col min="93" max="93" width="10.7109375" customWidth="1"/>
    <col min="94" max="96" width="11.42578125" customWidth="1"/>
    <col min="97" max="99" width="9.7109375" customWidth="1"/>
  </cols>
  <sheetData>
    <row r="1" spans="1:99" ht="15" customHeight="1">
      <c r="A1" s="469"/>
      <c r="B1" s="469"/>
      <c r="C1" s="469"/>
      <c r="D1" s="470"/>
      <c r="E1" s="471"/>
      <c r="F1" s="471"/>
      <c r="G1" s="471"/>
      <c r="H1" s="471"/>
      <c r="I1" s="471"/>
      <c r="J1" s="471"/>
      <c r="K1" s="471"/>
      <c r="L1" s="471"/>
      <c r="M1" s="471"/>
      <c r="N1" s="471"/>
      <c r="O1" s="471"/>
      <c r="P1" s="471"/>
      <c r="Q1" s="471"/>
      <c r="R1" s="471"/>
      <c r="S1" s="471"/>
      <c r="T1" s="471"/>
      <c r="U1" s="471"/>
      <c r="V1" s="471"/>
      <c r="W1" s="471"/>
      <c r="X1" s="471"/>
      <c r="Y1" s="471"/>
      <c r="Z1" s="471"/>
      <c r="AA1" s="471"/>
      <c r="AB1" s="471"/>
      <c r="AC1" s="471"/>
      <c r="AD1" s="471"/>
      <c r="AE1" s="471"/>
      <c r="AF1" s="471"/>
      <c r="AG1" s="471"/>
      <c r="AH1" s="471"/>
      <c r="AI1" s="471"/>
      <c r="AJ1" s="471"/>
      <c r="AK1" s="471"/>
      <c r="AL1" s="471"/>
      <c r="AM1" s="471"/>
      <c r="AN1" s="471"/>
      <c r="AO1" s="471"/>
      <c r="AP1" s="471"/>
      <c r="AQ1" s="471"/>
      <c r="AR1" s="471"/>
      <c r="AS1" s="471"/>
      <c r="AT1" s="471"/>
      <c r="AU1" s="471"/>
      <c r="AV1" s="471"/>
      <c r="AW1" s="471"/>
      <c r="AX1" s="471"/>
      <c r="AY1" s="471"/>
      <c r="AZ1" s="471"/>
      <c r="BA1" s="471"/>
      <c r="BB1" s="471"/>
      <c r="BC1" s="471"/>
      <c r="BD1" s="471"/>
      <c r="BE1" s="471"/>
      <c r="BF1" s="471"/>
      <c r="BG1" s="471"/>
      <c r="BH1" s="471"/>
      <c r="BI1" s="471"/>
      <c r="BJ1" s="471"/>
      <c r="BK1" s="471"/>
      <c r="BL1" s="471"/>
      <c r="BM1" s="471"/>
      <c r="BN1" s="471"/>
      <c r="BO1" s="471"/>
      <c r="BP1" s="471"/>
      <c r="BQ1" s="471"/>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row>
    <row r="2" spans="1:99" ht="15" customHeight="1">
      <c r="A2" s="469"/>
      <c r="B2" s="469" t="str">
        <f>Cover!B2</f>
        <v>Exelon Corporation</v>
      </c>
      <c r="C2" s="469"/>
      <c r="D2" s="470"/>
      <c r="E2" s="471"/>
      <c r="F2" s="471"/>
      <c r="G2" s="471"/>
      <c r="H2" s="471"/>
      <c r="I2" s="471"/>
      <c r="J2" s="471"/>
      <c r="K2" s="471"/>
      <c r="L2" s="471"/>
      <c r="M2" s="471"/>
      <c r="N2" s="471"/>
      <c r="O2" s="471"/>
      <c r="P2" s="471"/>
      <c r="Q2" s="471"/>
      <c r="R2" s="471"/>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c r="BP2" s="471"/>
      <c r="BQ2" s="471"/>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row>
    <row r="3" spans="1:99" ht="15" customHeight="1">
      <c r="A3" s="579"/>
      <c r="B3" s="472" t="s">
        <v>634</v>
      </c>
      <c r="C3" s="472"/>
      <c r="D3" s="471"/>
      <c r="E3" s="471"/>
      <c r="F3" s="471"/>
      <c r="G3" s="471"/>
      <c r="H3" s="471"/>
      <c r="I3" s="471"/>
      <c r="J3" s="471"/>
      <c r="K3" s="471"/>
      <c r="L3" s="471"/>
      <c r="M3" s="471"/>
      <c r="N3" s="471"/>
      <c r="O3" s="471"/>
      <c r="P3" s="471"/>
      <c r="Q3" s="471"/>
      <c r="R3" s="471"/>
      <c r="S3" s="471"/>
      <c r="T3" s="471"/>
      <c r="U3" s="471"/>
      <c r="V3" s="471"/>
      <c r="W3" s="471"/>
      <c r="X3" s="471"/>
      <c r="Y3" s="471"/>
      <c r="Z3" s="471"/>
      <c r="AA3" s="471"/>
      <c r="AB3" s="471"/>
      <c r="AC3" s="471"/>
      <c r="AD3" s="471"/>
      <c r="AE3" s="471"/>
      <c r="AF3" s="471"/>
      <c r="AG3" s="471"/>
      <c r="AH3" s="471"/>
      <c r="AI3" s="471"/>
      <c r="AJ3" s="471"/>
      <c r="AK3" s="471"/>
      <c r="AL3" s="471"/>
      <c r="AM3" s="471"/>
      <c r="AN3" s="471"/>
      <c r="AO3" s="471"/>
      <c r="AP3" s="471"/>
      <c r="AQ3" s="471"/>
      <c r="AR3" s="471"/>
      <c r="AS3" s="471"/>
      <c r="AT3" s="471"/>
      <c r="AU3" s="471"/>
      <c r="AV3" s="471"/>
      <c r="AW3" s="471"/>
      <c r="AX3" s="471"/>
      <c r="AY3" s="471"/>
      <c r="AZ3" s="471"/>
      <c r="BA3" s="471"/>
      <c r="BB3" s="471"/>
      <c r="BC3" s="471"/>
      <c r="BD3" s="471"/>
      <c r="BE3" s="471"/>
      <c r="BF3" s="471"/>
      <c r="BG3" s="471"/>
      <c r="BH3" s="471"/>
      <c r="BI3" s="471"/>
      <c r="BJ3" s="471"/>
      <c r="BK3" s="471"/>
      <c r="BL3" s="471"/>
      <c r="BM3" s="471"/>
      <c r="BN3" s="471"/>
      <c r="BO3" s="471"/>
      <c r="BP3" s="471"/>
      <c r="BQ3" s="471"/>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row>
    <row r="4" spans="1:99" ht="15" customHeight="1">
      <c r="A4" s="549"/>
      <c r="B4" s="12" t="s">
        <v>69</v>
      </c>
      <c r="C4" s="12"/>
      <c r="D4" s="550"/>
      <c r="E4" s="473"/>
      <c r="F4" s="473"/>
      <c r="G4" s="473"/>
      <c r="H4" s="473"/>
      <c r="I4" s="473"/>
      <c r="J4" s="473"/>
      <c r="K4" s="473"/>
      <c r="L4" s="473"/>
      <c r="M4" s="473"/>
      <c r="N4" s="473"/>
      <c r="O4" s="473"/>
      <c r="P4" s="473"/>
      <c r="Q4" s="473"/>
      <c r="R4" s="473"/>
      <c r="S4" s="473"/>
      <c r="T4" s="473"/>
      <c r="U4" s="473"/>
      <c r="V4" s="473"/>
      <c r="W4" s="473"/>
      <c r="X4" s="473"/>
      <c r="Y4" s="473"/>
      <c r="Z4" s="473"/>
      <c r="AA4" s="473"/>
      <c r="AB4" s="473"/>
      <c r="AC4" s="473"/>
      <c r="AD4" s="473"/>
      <c r="AE4" s="473"/>
      <c r="AF4" s="473"/>
      <c r="AG4" s="473"/>
      <c r="AH4" s="473"/>
      <c r="AI4" s="473"/>
      <c r="AJ4" s="473"/>
      <c r="AK4" s="473"/>
      <c r="AL4" s="473"/>
      <c r="AM4" s="473"/>
      <c r="AN4" s="473"/>
      <c r="AO4" s="473"/>
      <c r="AP4" s="473"/>
      <c r="AQ4" s="473"/>
      <c r="AR4" s="473"/>
      <c r="AS4" s="473"/>
      <c r="AT4" s="473"/>
      <c r="AU4" s="473"/>
      <c r="AV4" s="473"/>
      <c r="AW4" s="473"/>
      <c r="AX4" s="473"/>
      <c r="AY4" s="473"/>
      <c r="AZ4" s="473"/>
      <c r="BA4" s="473"/>
      <c r="BB4" s="473"/>
      <c r="BC4" s="473"/>
      <c r="BD4" s="473"/>
      <c r="BE4" s="473"/>
      <c r="BF4" s="473"/>
      <c r="BG4" s="473"/>
      <c r="BH4" s="473"/>
      <c r="BI4" s="473"/>
      <c r="BJ4" s="473"/>
      <c r="BK4" s="473"/>
      <c r="BL4" s="473"/>
      <c r="BM4" s="473"/>
      <c r="BN4" s="473"/>
      <c r="BO4" s="473"/>
      <c r="BP4" s="473"/>
      <c r="BQ4" s="473"/>
    </row>
    <row r="5" spans="1:99" ht="12" customHeight="1">
      <c r="B5" s="552" t="s">
        <v>504</v>
      </c>
      <c r="C5" s="552"/>
      <c r="D5" s="553"/>
      <c r="E5" s="554" t="s">
        <v>358</v>
      </c>
      <c r="F5" s="555" t="s">
        <v>359</v>
      </c>
      <c r="G5" s="555" t="s">
        <v>322</v>
      </c>
      <c r="H5" s="556" t="s">
        <v>323</v>
      </c>
      <c r="I5" s="557">
        <v>2009</v>
      </c>
      <c r="J5" s="554" t="s">
        <v>324</v>
      </c>
      <c r="K5" s="555" t="s">
        <v>325</v>
      </c>
      <c r="L5" s="555" t="s">
        <v>326</v>
      </c>
      <c r="M5" s="556" t="s">
        <v>327</v>
      </c>
      <c r="N5" s="557" t="s">
        <v>112</v>
      </c>
      <c r="O5" s="554" t="s">
        <v>268</v>
      </c>
      <c r="P5" s="555" t="s">
        <v>269</v>
      </c>
      <c r="Q5" s="555" t="s">
        <v>270</v>
      </c>
      <c r="R5" s="556" t="s">
        <v>271</v>
      </c>
      <c r="S5" s="558" t="s">
        <v>619</v>
      </c>
      <c r="T5" s="554" t="s">
        <v>616</v>
      </c>
      <c r="U5" s="555" t="s">
        <v>1201</v>
      </c>
      <c r="V5" s="555" t="s">
        <v>1251</v>
      </c>
      <c r="W5" s="556" t="s">
        <v>1252</v>
      </c>
      <c r="X5" s="558" t="s">
        <v>1253</v>
      </c>
      <c r="Y5" s="554" t="s">
        <v>674</v>
      </c>
      <c r="Z5" s="555" t="s">
        <v>673</v>
      </c>
      <c r="AA5" s="555" t="s">
        <v>919</v>
      </c>
      <c r="AB5" s="556" t="s">
        <v>920</v>
      </c>
      <c r="AC5" s="558" t="s">
        <v>921</v>
      </c>
      <c r="AD5" s="554" t="s">
        <v>1218</v>
      </c>
      <c r="AE5" s="555" t="s">
        <v>1211</v>
      </c>
      <c r="AF5" s="555" t="s">
        <v>1344</v>
      </c>
      <c r="AG5" s="556" t="s">
        <v>1345</v>
      </c>
      <c r="AH5" s="558" t="s">
        <v>1343</v>
      </c>
      <c r="AI5" s="554" t="s">
        <v>1409</v>
      </c>
      <c r="AJ5" s="555" t="s">
        <v>1405</v>
      </c>
      <c r="AK5" s="555" t="s">
        <v>1406</v>
      </c>
      <c r="AL5" s="556" t="s">
        <v>1407</v>
      </c>
      <c r="AM5" s="558" t="s">
        <v>1410</v>
      </c>
      <c r="AN5" s="554" t="s">
        <v>1436</v>
      </c>
      <c r="AO5" s="555" t="s">
        <v>1439</v>
      </c>
      <c r="AP5" s="555" t="s">
        <v>1480</v>
      </c>
      <c r="AQ5" s="556" t="s">
        <v>1501</v>
      </c>
      <c r="AR5" s="558" t="s">
        <v>1502</v>
      </c>
      <c r="AS5" s="554" t="s">
        <v>1515</v>
      </c>
      <c r="AT5" s="555" t="s">
        <v>1534</v>
      </c>
      <c r="AU5" s="555" t="s">
        <v>1536</v>
      </c>
      <c r="AV5" s="556" t="s">
        <v>1538</v>
      </c>
      <c r="AW5" s="558" t="s">
        <v>1539</v>
      </c>
      <c r="AX5" s="554" t="s">
        <v>926</v>
      </c>
      <c r="AY5" s="555" t="s">
        <v>927</v>
      </c>
      <c r="AZ5" s="555" t="s">
        <v>928</v>
      </c>
      <c r="BA5" s="556" t="s">
        <v>929</v>
      </c>
      <c r="BB5" s="558">
        <v>2018</v>
      </c>
      <c r="BC5" s="554" t="s">
        <v>1361</v>
      </c>
      <c r="BD5" s="555" t="s">
        <v>1362</v>
      </c>
      <c r="BE5" s="555" t="s">
        <v>1363</v>
      </c>
      <c r="BF5" s="556" t="s">
        <v>1364</v>
      </c>
      <c r="BG5" s="558">
        <v>2019</v>
      </c>
      <c r="BH5" s="554" t="s">
        <v>1365</v>
      </c>
      <c r="BI5" s="555" t="s">
        <v>1366</v>
      </c>
      <c r="BJ5" s="555" t="s">
        <v>1367</v>
      </c>
      <c r="BK5" s="556" t="s">
        <v>1368</v>
      </c>
      <c r="BL5" s="558">
        <v>2020</v>
      </c>
      <c r="BM5" s="554" t="s">
        <v>1516</v>
      </c>
      <c r="BN5" s="555" t="s">
        <v>1517</v>
      </c>
      <c r="BO5" s="555" t="s">
        <v>1518</v>
      </c>
      <c r="BP5" s="556" t="s">
        <v>1519</v>
      </c>
      <c r="BQ5" s="558">
        <v>2021</v>
      </c>
    </row>
    <row r="6" spans="1:99">
      <c r="A6" s="1"/>
      <c r="B6" s="1"/>
      <c r="C6" s="1"/>
      <c r="D6" s="1"/>
      <c r="E6" s="300"/>
      <c r="F6" s="264"/>
      <c r="G6" s="264"/>
      <c r="H6" s="299"/>
      <c r="I6" s="330"/>
      <c r="J6" s="878"/>
      <c r="K6" s="877"/>
      <c r="L6" s="877"/>
      <c r="M6" s="879"/>
      <c r="N6" s="530"/>
      <c r="O6" s="878"/>
      <c r="P6" s="877"/>
      <c r="Q6" s="877"/>
      <c r="R6" s="879"/>
      <c r="S6" s="530"/>
      <c r="T6" s="300"/>
      <c r="U6" s="264"/>
      <c r="V6" s="264"/>
      <c r="W6" s="299"/>
      <c r="X6" s="530"/>
      <c r="Y6" s="300"/>
      <c r="Z6" s="264"/>
      <c r="AA6" s="1441"/>
      <c r="AB6" s="1442"/>
      <c r="AC6" s="1487"/>
      <c r="AD6" s="300"/>
      <c r="AE6" s="264"/>
      <c r="AF6" s="264"/>
      <c r="AG6" s="299"/>
      <c r="AH6" s="530"/>
      <c r="AI6" s="300"/>
      <c r="AJ6" s="264"/>
      <c r="AK6" s="264"/>
      <c r="AL6" s="299"/>
      <c r="AM6" s="530"/>
      <c r="AN6" s="300"/>
      <c r="AO6" s="264"/>
      <c r="AP6" s="264"/>
      <c r="AQ6" s="299"/>
      <c r="AR6" s="530"/>
      <c r="AS6" s="300"/>
      <c r="AT6" s="264"/>
      <c r="AU6" s="264"/>
      <c r="AV6" s="299"/>
      <c r="AW6" s="530"/>
      <c r="AX6" s="300"/>
      <c r="AY6" s="264"/>
      <c r="AZ6" s="264"/>
      <c r="BA6" s="299"/>
      <c r="BB6" s="530"/>
      <c r="BC6" s="300"/>
      <c r="BD6" s="264"/>
      <c r="BE6" s="264"/>
      <c r="BF6" s="299"/>
      <c r="BG6" s="530"/>
      <c r="BH6" s="300"/>
      <c r="BI6" s="264"/>
      <c r="BJ6" s="264"/>
      <c r="BK6" s="299"/>
      <c r="BL6" s="530"/>
      <c r="BM6" s="300"/>
      <c r="BN6" s="264"/>
      <c r="BO6" s="264"/>
      <c r="BP6" s="299"/>
      <c r="BQ6" s="530"/>
      <c r="BR6" s="19"/>
      <c r="BS6" s="19"/>
      <c r="BT6" s="19"/>
      <c r="BU6" s="19"/>
      <c r="BV6" s="19"/>
      <c r="BW6" s="19"/>
      <c r="BX6" s="19"/>
      <c r="BY6" s="19"/>
      <c r="BZ6" s="19"/>
      <c r="CA6" s="19"/>
      <c r="CB6" s="19"/>
      <c r="CC6" s="19"/>
      <c r="CD6" s="19"/>
      <c r="CE6" s="19"/>
      <c r="CF6" s="19"/>
      <c r="CG6" s="19"/>
      <c r="CH6" s="19"/>
      <c r="CI6" s="19"/>
      <c r="CJ6" s="19"/>
      <c r="CK6" s="19"/>
      <c r="CL6" s="19"/>
      <c r="CM6" s="19"/>
      <c r="CN6" s="19"/>
      <c r="CO6" s="19"/>
      <c r="CP6" s="19"/>
      <c r="CQ6" s="19"/>
      <c r="CR6" s="19"/>
      <c r="CS6" s="19"/>
      <c r="CT6" s="19"/>
      <c r="CU6" s="19"/>
    </row>
    <row r="7" spans="1:99">
      <c r="A7" s="1"/>
      <c r="B7" s="73" t="s">
        <v>277</v>
      </c>
      <c r="C7" s="246"/>
      <c r="D7" s="15"/>
      <c r="E7" s="300"/>
      <c r="F7" s="264"/>
      <c r="G7" s="264"/>
      <c r="H7" s="299"/>
      <c r="I7" s="330"/>
      <c r="J7" s="300"/>
      <c r="K7" s="264"/>
      <c r="L7" s="264"/>
      <c r="M7" s="299"/>
      <c r="N7" s="330"/>
      <c r="O7" s="300"/>
      <c r="P7" s="264"/>
      <c r="Q7" s="264"/>
      <c r="R7" s="299"/>
      <c r="S7" s="530"/>
      <c r="T7" s="300"/>
      <c r="U7" s="264"/>
      <c r="V7" s="264"/>
      <c r="W7" s="299"/>
      <c r="X7" s="530"/>
      <c r="Y7" s="300"/>
      <c r="Z7" s="264"/>
      <c r="AA7" s="1441"/>
      <c r="AB7" s="1442"/>
      <c r="AC7" s="1487"/>
      <c r="AD7" s="300"/>
      <c r="AE7" s="264"/>
      <c r="AF7" s="264"/>
      <c r="AG7" s="299"/>
      <c r="AH7" s="530"/>
      <c r="AI7" s="300"/>
      <c r="AJ7" s="264"/>
      <c r="AK7" s="264"/>
      <c r="AL7" s="299"/>
      <c r="AM7" s="530"/>
      <c r="AN7" s="300"/>
      <c r="AO7" s="264"/>
      <c r="AP7" s="264"/>
      <c r="AQ7" s="299"/>
      <c r="AR7" s="530"/>
      <c r="AS7" s="300"/>
      <c r="AT7" s="264"/>
      <c r="AU7" s="264"/>
      <c r="AV7" s="299"/>
      <c r="AW7" s="530"/>
      <c r="AX7" s="300"/>
      <c r="AY7" s="264"/>
      <c r="AZ7" s="264"/>
      <c r="BA7" s="299"/>
      <c r="BB7" s="530"/>
      <c r="BC7" s="300"/>
      <c r="BD7" s="264"/>
      <c r="BE7" s="264"/>
      <c r="BF7" s="299"/>
      <c r="BG7" s="530"/>
      <c r="BH7" s="300"/>
      <c r="BI7" s="264"/>
      <c r="BJ7" s="264"/>
      <c r="BK7" s="299"/>
      <c r="BL7" s="530"/>
      <c r="BM7" s="300"/>
      <c r="BN7" s="264"/>
      <c r="BO7" s="264"/>
      <c r="BP7" s="299"/>
      <c r="BQ7" s="530"/>
      <c r="BR7" s="19"/>
      <c r="BS7" s="19"/>
      <c r="BT7" s="19"/>
      <c r="BU7" s="19"/>
      <c r="BV7" s="19"/>
      <c r="BW7" s="19"/>
      <c r="BX7" s="19"/>
      <c r="BY7" s="19"/>
      <c r="BZ7" s="19"/>
      <c r="CA7" s="19"/>
      <c r="CB7" s="19"/>
      <c r="CC7" s="19"/>
      <c r="CD7" s="19"/>
      <c r="CE7" s="19"/>
      <c r="CF7" s="19"/>
      <c r="CG7" s="19"/>
      <c r="CH7" s="19"/>
      <c r="CI7" s="19"/>
      <c r="CJ7" s="19"/>
      <c r="CK7" s="19"/>
      <c r="CL7" s="19"/>
      <c r="CM7" s="19"/>
      <c r="CN7" s="19"/>
      <c r="CO7" s="19"/>
      <c r="CP7" s="19"/>
      <c r="CQ7" s="19"/>
      <c r="CR7" s="19"/>
      <c r="CS7" s="19"/>
      <c r="CT7" s="19"/>
      <c r="CU7" s="19"/>
    </row>
    <row r="8" spans="1:99" s="232" customFormat="1">
      <c r="A8" s="45"/>
      <c r="B8" s="45"/>
      <c r="C8" s="28" t="s">
        <v>1286</v>
      </c>
      <c r="D8" s="45"/>
      <c r="E8" s="335">
        <f>806.8+386.9</f>
        <v>1193.6999999999998</v>
      </c>
      <c r="F8" s="336">
        <f>655.7+111.7</f>
        <v>767.40000000000009</v>
      </c>
      <c r="G8" s="336">
        <f>788.3+78.2</f>
        <v>866.5</v>
      </c>
      <c r="H8" s="586">
        <f>I8-SUM(E8:G8)</f>
        <v>751.40000000000009</v>
      </c>
      <c r="I8" s="427">
        <f>2820.7+758.3</f>
        <v>3579</v>
      </c>
      <c r="J8" s="335">
        <f>751.3+318</f>
        <v>1069.3</v>
      </c>
      <c r="K8" s="336">
        <f>651.1+100.4</f>
        <v>751.5</v>
      </c>
      <c r="L8" s="336">
        <f>776.4+79.7</f>
        <v>856.1</v>
      </c>
      <c r="M8" s="586">
        <f>N8-SUM(J8:L8)</f>
        <v>784.80000000000018</v>
      </c>
      <c r="N8" s="427">
        <f>2752.3+709.4</f>
        <v>3461.7000000000003</v>
      </c>
      <c r="O8" s="335">
        <f>650.2+307.3</f>
        <v>957.5</v>
      </c>
      <c r="P8" s="336">
        <f>547.1+109.1</f>
        <v>656.2</v>
      </c>
      <c r="Q8" s="336">
        <f>638.9+84</f>
        <v>722.9</v>
      </c>
      <c r="R8" s="586">
        <f>S8-SUM(O8:Q8)</f>
        <v>656.50000000000045</v>
      </c>
      <c r="S8" s="427">
        <f>2321.4+671.7</f>
        <v>2993.1000000000004</v>
      </c>
      <c r="T8" s="335">
        <f>489+207</f>
        <v>696</v>
      </c>
      <c r="U8" s="336">
        <v>616</v>
      </c>
      <c r="V8" s="336">
        <f>716+4</f>
        <v>720</v>
      </c>
      <c r="W8" s="586">
        <f>X8-SUM(T8:V8)</f>
        <v>703</v>
      </c>
      <c r="X8" s="427">
        <f>2725+10</f>
        <v>2735</v>
      </c>
      <c r="Y8" s="335">
        <v>880</v>
      </c>
      <c r="Z8" s="336">
        <v>653</v>
      </c>
      <c r="AA8" s="1435">
        <v>737</v>
      </c>
      <c r="AB8" s="1436">
        <f>AC8-SUM(Y8:AA8)</f>
        <v>795</v>
      </c>
      <c r="AC8" s="1437">
        <v>3065</v>
      </c>
      <c r="AD8" s="335">
        <v>1054</v>
      </c>
      <c r="AE8" s="336">
        <v>653</v>
      </c>
      <c r="AF8" s="1435">
        <v>697</v>
      </c>
      <c r="AG8" s="1436">
        <f>AH8-SUM(AD8:AF8)</f>
        <v>761</v>
      </c>
      <c r="AH8" s="1437">
        <v>3165</v>
      </c>
      <c r="AI8" s="335">
        <v>1036</v>
      </c>
      <c r="AJ8" s="336">
        <v>628</v>
      </c>
      <c r="AK8" s="1435">
        <v>725</v>
      </c>
      <c r="AL8" s="1436">
        <f>AM8-SUM(AI8:AK8)</f>
        <v>746</v>
      </c>
      <c r="AM8" s="1437">
        <v>3135</v>
      </c>
      <c r="AN8" s="335">
        <v>929</v>
      </c>
      <c r="AO8" s="336">
        <v>680</v>
      </c>
      <c r="AP8" s="1435">
        <v>812</v>
      </c>
      <c r="AQ8" s="1436">
        <f>AR8-SUM(AN8:AP8)</f>
        <v>812</v>
      </c>
      <c r="AR8" s="1437">
        <v>3233</v>
      </c>
      <c r="AS8" s="335">
        <v>951</v>
      </c>
      <c r="AT8" s="336">
        <v>674</v>
      </c>
      <c r="AU8" s="336">
        <v>738</v>
      </c>
      <c r="AV8" s="1436">
        <f>AW8-SUM(AS8:AU8)</f>
        <v>813</v>
      </c>
      <c r="AW8" s="1437">
        <v>3176</v>
      </c>
      <c r="AX8" s="290">
        <f>AX74+AX116</f>
        <v>937.35618298206703</v>
      </c>
      <c r="AY8" s="260">
        <f>AY74+AY116</f>
        <v>681.89727480417753</v>
      </c>
      <c r="AZ8" s="260">
        <f>AZ74+AZ116</f>
        <v>721.16570845697333</v>
      </c>
      <c r="BA8" s="291">
        <f>BA74+BA116</f>
        <v>787.68032053168542</v>
      </c>
      <c r="BB8" s="45">
        <f>SUM(AX8:BA8)</f>
        <v>3128.0994867749032</v>
      </c>
      <c r="BC8" s="290">
        <f>BC74+BC116</f>
        <v>943.26243298206703</v>
      </c>
      <c r="BD8" s="260">
        <f>BD74+BD116</f>
        <v>687.80352480417753</v>
      </c>
      <c r="BE8" s="260">
        <f>BE74+BE116</f>
        <v>760.82195845697333</v>
      </c>
      <c r="BF8" s="291">
        <f>BF74+BF116</f>
        <v>827.33657053168542</v>
      </c>
      <c r="BG8" s="45">
        <f>SUM(BC8:BF8)</f>
        <v>3219.2244867749032</v>
      </c>
      <c r="BH8" s="290">
        <f>BH74+BH116</f>
        <v>982.26243298206703</v>
      </c>
      <c r="BI8" s="260">
        <f>BI74+BI116</f>
        <v>726.80352480417741</v>
      </c>
      <c r="BJ8" s="260">
        <f>BJ74+BJ116</f>
        <v>777.32195845697345</v>
      </c>
      <c r="BK8" s="291">
        <f>BK74+BK116</f>
        <v>843.83657053168542</v>
      </c>
      <c r="BL8" s="45">
        <f>SUM(BH8:BK8)</f>
        <v>3330.2244867749032</v>
      </c>
      <c r="BM8" s="290">
        <f>BM74+BM116</f>
        <v>998.76243298206691</v>
      </c>
      <c r="BN8" s="260">
        <f>BN74+BN116</f>
        <v>743.30352480417753</v>
      </c>
      <c r="BO8" s="260">
        <f>BO74+BO116</f>
        <v>806.32195845697345</v>
      </c>
      <c r="BP8" s="291">
        <f>BP74+BP116</f>
        <v>872.83657053168554</v>
      </c>
      <c r="BQ8" s="45">
        <f>SUM(BM8:BP8)</f>
        <v>3421.2244867749032</v>
      </c>
      <c r="BR8" s="45"/>
      <c r="BS8" s="45"/>
      <c r="BT8" s="45"/>
      <c r="BU8" s="45"/>
      <c r="BV8" s="45"/>
      <c r="BW8" s="45"/>
      <c r="BX8" s="45"/>
      <c r="BY8" s="45"/>
      <c r="BZ8" s="45"/>
      <c r="CA8" s="45"/>
      <c r="CB8" s="45"/>
      <c r="CC8" s="45"/>
      <c r="CD8" s="45"/>
      <c r="CE8" s="45"/>
      <c r="CF8" s="45"/>
      <c r="CG8" s="45"/>
      <c r="CH8" s="45"/>
      <c r="CI8" s="45"/>
      <c r="CJ8" s="45"/>
      <c r="CK8" s="45"/>
      <c r="CL8" s="45"/>
      <c r="CM8" s="45"/>
      <c r="CN8" s="45"/>
      <c r="CO8" s="45"/>
      <c r="CP8" s="45"/>
      <c r="CQ8" s="45"/>
      <c r="CR8" s="45"/>
      <c r="CS8" s="45"/>
      <c r="CT8" s="45"/>
      <c r="CU8" s="45"/>
    </row>
    <row r="9" spans="1:99" s="232" customFormat="1">
      <c r="A9" s="45"/>
      <c r="B9" s="45"/>
      <c r="C9" s="1" t="s">
        <v>1299</v>
      </c>
      <c r="D9" s="45"/>
      <c r="E9" s="335">
        <f>320.9+204.3</f>
        <v>525.20000000000005</v>
      </c>
      <c r="F9" s="336">
        <f>260+142.5</f>
        <v>402.5</v>
      </c>
      <c r="G9" s="336">
        <f>352.3+155.9</f>
        <v>508.20000000000005</v>
      </c>
      <c r="H9" s="586">
        <f>I9-SUM(E9:G9)</f>
        <v>405</v>
      </c>
      <c r="I9" s="427">
        <f>1217.4+623.5</f>
        <v>1840.9</v>
      </c>
      <c r="J9" s="335">
        <f>349.6+124</f>
        <v>473.6</v>
      </c>
      <c r="K9" s="336">
        <f>286.8+114.6</f>
        <v>401.4</v>
      </c>
      <c r="L9" s="336">
        <f>362.5+134.3</f>
        <v>496.8</v>
      </c>
      <c r="M9" s="586">
        <f>N9-SUM(J9:L9)</f>
        <v>309.10000000000014</v>
      </c>
      <c r="N9" s="427">
        <f>1252.9+428</f>
        <v>1680.9</v>
      </c>
      <c r="O9" s="335">
        <f>297.2+56.7</f>
        <v>353.9</v>
      </c>
      <c r="P9" s="336">
        <f>199.5+73.2</f>
        <v>272.7</v>
      </c>
      <c r="Q9" s="336">
        <f>210.3+136.7</f>
        <v>347</v>
      </c>
      <c r="R9" s="586">
        <f>S9-SUM(O9:Q9)</f>
        <v>211.10000000000014</v>
      </c>
      <c r="S9" s="427">
        <f>836.5+348.2</f>
        <v>1184.7</v>
      </c>
      <c r="T9" s="290">
        <f>O9/(O9+O10)*(293+92)</f>
        <v>259.52666666666664</v>
      </c>
      <c r="U9" s="260">
        <f>P9/(P9+P10)*(201+84)</f>
        <v>240.99069767441858</v>
      </c>
      <c r="V9" s="260">
        <f>Q9/(Q9+Q10)*(253+120)</f>
        <v>338.38169934640524</v>
      </c>
      <c r="W9" s="586">
        <f>X9-SUM(T9:V9)</f>
        <v>228.88308128584549</v>
      </c>
      <c r="X9" s="427">
        <f>S9/(S9+S10)*(973+396)</f>
        <v>1067.782144973336</v>
      </c>
      <c r="Y9" s="290">
        <f>T9/(T9+T10)*(313+113)</f>
        <v>287.16457142857143</v>
      </c>
      <c r="Z9" s="260">
        <f>U9/(U9+U10)*(189+99)</f>
        <v>243.5274418604651</v>
      </c>
      <c r="AA9" s="1441">
        <f>V9/(V9+V10)*(253+120)</f>
        <v>338.38169934640524</v>
      </c>
      <c r="AB9" s="1436">
        <f>AC9-SUM(Y9:AA9)</f>
        <v>239.26699445521604</v>
      </c>
      <c r="AC9" s="1437">
        <f>X9/(X9+X10)*(969+452)</f>
        <v>1108.3407070906578</v>
      </c>
      <c r="AD9" s="290">
        <f>Y9/(Y9+Y10)*(409+120)</f>
        <v>356.59638095238097</v>
      </c>
      <c r="AE9" s="260">
        <f>Z9/(Z9+Z10)*(183+85)</f>
        <v>226.61581395348836</v>
      </c>
      <c r="AF9" s="1441">
        <f>AA9/(AA9+AA10)*(216+81)</f>
        <v>290.46059163549813</v>
      </c>
      <c r="AG9" s="1436">
        <f>AH9-SUM(AD9:AF9)</f>
        <v>233.88794820088015</v>
      </c>
      <c r="AH9" s="1437">
        <f>AC9/(AC9+AC10)*(1035+385)</f>
        <v>1107.5607347422476</v>
      </c>
      <c r="AI9" s="290">
        <f>AD9/(AD9+AD10)*(350+137)</f>
        <v>328.28438095238096</v>
      </c>
      <c r="AJ9" s="260">
        <f>AE9/(AE9+AE10)*(143+96)</f>
        <v>202.09395348837208</v>
      </c>
      <c r="AK9" s="1441">
        <f>AF9/(AF9+AF10)*(170+141)</f>
        <v>304.1523366957573</v>
      </c>
      <c r="AL9" s="1436">
        <f>AM9-SUM(AI9:AK9)</f>
        <v>185.48821301213695</v>
      </c>
      <c r="AM9" s="1437">
        <f>AH9/(AH9+AH10)*(602+205+498)</f>
        <v>1020.0188841486473</v>
      </c>
      <c r="AN9" s="290">
        <f>AI9/(AI9+AI10)*(127+75+171)</f>
        <v>251.43752380952381</v>
      </c>
      <c r="AO9" s="260">
        <f>AJ9/(AJ9+AJ10)*(108+20+133)</f>
        <v>220.69674418604649</v>
      </c>
      <c r="AP9" s="1441">
        <f>AK9/(AK9+AK10)*(164+14+182)</f>
        <v>352.07344440666441</v>
      </c>
      <c r="AQ9" s="1436">
        <f>AR9-SUM(AN9:AP9)</f>
        <v>187.21331142025542</v>
      </c>
      <c r="AR9" s="1437">
        <f>AM9/(AM9+AM10)*(528+162+604)</f>
        <v>1011.4210238224902</v>
      </c>
      <c r="AS9" s="290">
        <f>AN9/(AN9+AN10)*(133+83+134)</f>
        <v>235.93333333333334</v>
      </c>
      <c r="AT9" s="260">
        <f>AO9/(AO9+AO10)*(115+22+97)</f>
        <v>197.8660465116279</v>
      </c>
      <c r="AU9" s="260">
        <f>AP9/(AP9+AP10)*(159+13+97)</f>
        <v>263.0771015149798</v>
      </c>
      <c r="AV9" s="1436">
        <f>AW9-SUM(AS9:AU9)</f>
        <v>188.70313223424864</v>
      </c>
      <c r="AW9" s="1437">
        <f>AR9/(AR9+AR10)*(566+183+384)</f>
        <v>885.5796135941896</v>
      </c>
      <c r="AX9" s="290">
        <f>AX92</f>
        <v>239.65182412029338</v>
      </c>
      <c r="AY9" s="260">
        <f>AY92</f>
        <v>208.97340943590987</v>
      </c>
      <c r="AZ9" s="260">
        <f>AZ92</f>
        <v>266.00451733302486</v>
      </c>
      <c r="BA9" s="291">
        <f>BA92</f>
        <v>188.33290831383616</v>
      </c>
      <c r="BB9" s="45">
        <f>SUM(AX9:BA9)</f>
        <v>902.96265920306428</v>
      </c>
      <c r="BC9" s="290">
        <f>BC92</f>
        <v>239.65182412029338</v>
      </c>
      <c r="BD9" s="260">
        <f>BD92</f>
        <v>208.97340943590987</v>
      </c>
      <c r="BE9" s="260">
        <f>BE92</f>
        <v>266.00451733302486</v>
      </c>
      <c r="BF9" s="291">
        <f>BF92</f>
        <v>188.33290831383616</v>
      </c>
      <c r="BG9" s="45">
        <f>SUM(BC9:BF9)</f>
        <v>902.96265920306428</v>
      </c>
      <c r="BH9" s="290">
        <f>BH92</f>
        <v>239.65182412029338</v>
      </c>
      <c r="BI9" s="260">
        <f>BI92</f>
        <v>208.97340943590987</v>
      </c>
      <c r="BJ9" s="260">
        <f>BJ92</f>
        <v>266.00451733302486</v>
      </c>
      <c r="BK9" s="291">
        <f>BK92</f>
        <v>188.33290831383616</v>
      </c>
      <c r="BL9" s="45">
        <f>SUM(BH9:BK9)</f>
        <v>902.96265920306428</v>
      </c>
      <c r="BM9" s="290">
        <f>BM92</f>
        <v>239.65182412029338</v>
      </c>
      <c r="BN9" s="260">
        <f>BN92</f>
        <v>208.97340943590987</v>
      </c>
      <c r="BO9" s="260">
        <f>BO92</f>
        <v>266.00451733302486</v>
      </c>
      <c r="BP9" s="291">
        <f>BP92</f>
        <v>188.33290831383616</v>
      </c>
      <c r="BQ9" s="45">
        <f>SUM(BM9:BP9)</f>
        <v>902.96265920306428</v>
      </c>
      <c r="BR9" s="45"/>
      <c r="BS9" s="45"/>
      <c r="BT9" s="45"/>
      <c r="BU9" s="45"/>
      <c r="BV9" s="45"/>
      <c r="BW9" s="45"/>
      <c r="BX9" s="45"/>
      <c r="BY9" s="45"/>
      <c r="BZ9" s="45"/>
      <c r="CA9" s="45"/>
      <c r="CB9" s="45"/>
      <c r="CC9" s="45"/>
      <c r="CD9" s="45"/>
      <c r="CE9" s="45"/>
      <c r="CF9" s="45"/>
      <c r="CG9" s="45"/>
      <c r="CH9" s="45"/>
      <c r="CI9" s="45"/>
      <c r="CJ9" s="45"/>
      <c r="CK9" s="45"/>
      <c r="CL9" s="45"/>
      <c r="CM9" s="45"/>
      <c r="CN9" s="45"/>
      <c r="CO9" s="45"/>
      <c r="CP9" s="45"/>
      <c r="CQ9" s="45"/>
      <c r="CR9" s="45"/>
      <c r="CS9" s="45"/>
      <c r="CT9" s="45"/>
      <c r="CU9" s="45"/>
    </row>
    <row r="10" spans="1:99" s="232" customFormat="1">
      <c r="A10" s="45"/>
      <c r="B10" s="45"/>
      <c r="C10" s="1" t="s">
        <v>709</v>
      </c>
      <c r="D10" s="45"/>
      <c r="E10" s="335">
        <v>258.10000000000002</v>
      </c>
      <c r="F10" s="336">
        <v>51.6</v>
      </c>
      <c r="G10" s="336">
        <v>31.2</v>
      </c>
      <c r="H10" s="586">
        <f>I10-SUM(E10:G10)</f>
        <v>108.99999999999994</v>
      </c>
      <c r="I10" s="427">
        <v>449.9</v>
      </c>
      <c r="J10" s="335">
        <v>194.5</v>
      </c>
      <c r="K10" s="336">
        <v>42.1</v>
      </c>
      <c r="L10" s="336">
        <v>32.700000000000003</v>
      </c>
      <c r="M10" s="586">
        <f>N10-SUM(J10:L10)</f>
        <v>118.19999999999999</v>
      </c>
      <c r="N10" s="427">
        <v>387.5</v>
      </c>
      <c r="O10" s="335">
        <v>171.1</v>
      </c>
      <c r="P10" s="336">
        <v>49.8</v>
      </c>
      <c r="Q10" s="336">
        <v>35.5</v>
      </c>
      <c r="R10" s="586">
        <f>S10-SUM(O10:Q10)</f>
        <v>77.800000000000011</v>
      </c>
      <c r="S10" s="427">
        <v>334.2</v>
      </c>
      <c r="T10" s="290">
        <f>293+92-T9</f>
        <v>125.47333333333336</v>
      </c>
      <c r="U10" s="260">
        <f>201+84-U9</f>
        <v>44.009302325581416</v>
      </c>
      <c r="V10" s="260">
        <f>253+120-V9</f>
        <v>34.618300653594758</v>
      </c>
      <c r="W10" s="586">
        <f>X10-SUM(T10:V10)</f>
        <v>97.116918714154451</v>
      </c>
      <c r="X10" s="427">
        <f>973+396-X9</f>
        <v>301.21785502666398</v>
      </c>
      <c r="Y10" s="290">
        <f>313+113-Y9</f>
        <v>138.83542857142857</v>
      </c>
      <c r="Z10" s="260">
        <f>189+99-Z9</f>
        <v>44.472558139534897</v>
      </c>
      <c r="AA10" s="1441">
        <f>202+144-AA9</f>
        <v>7.6183006535947584</v>
      </c>
      <c r="AB10" s="1436">
        <f>AC10-SUM(Y10:AA10)</f>
        <v>121.73300554478396</v>
      </c>
      <c r="AC10" s="1437">
        <f>969+452-AC9</f>
        <v>312.65929290934218</v>
      </c>
      <c r="AD10" s="290">
        <f>409+120-AD9</f>
        <v>172.40361904761903</v>
      </c>
      <c r="AE10" s="260">
        <f>183+85-AE9</f>
        <v>41.384186046511644</v>
      </c>
      <c r="AF10" s="1441">
        <f>216+81-AF9</f>
        <v>6.5394083645018668</v>
      </c>
      <c r="AG10" s="1436">
        <f>AH10-SUM(AD10:AF10)</f>
        <v>89.112051799119826</v>
      </c>
      <c r="AH10" s="1437">
        <f>1035+382-AH9</f>
        <v>309.43926525775237</v>
      </c>
      <c r="AI10" s="290">
        <f>350+137-AI9</f>
        <v>158.71561904761904</v>
      </c>
      <c r="AJ10" s="260">
        <f>143+96-AJ9</f>
        <v>36.90604651162792</v>
      </c>
      <c r="AK10" s="1441">
        <f>170+141-AK9</f>
        <v>6.8476633042427011</v>
      </c>
      <c r="AL10" s="1436">
        <f>AM10-SUM(AI10:AK10)</f>
        <v>82.511786987863019</v>
      </c>
      <c r="AM10" s="1437">
        <f>602+205+498-AM9</f>
        <v>284.98111585135268</v>
      </c>
      <c r="AN10" s="290">
        <f>127+75+171-AN9</f>
        <v>121.56247619047619</v>
      </c>
      <c r="AO10" s="260">
        <f>108+20+133-AO9</f>
        <v>40.303255813953513</v>
      </c>
      <c r="AP10" s="1441">
        <f>164+14+182-AP9</f>
        <v>7.9265555933355927</v>
      </c>
      <c r="AQ10" s="1436">
        <f>AR10-SUM(AN10:AP10)</f>
        <v>112.78668857974455</v>
      </c>
      <c r="AR10" s="1437">
        <f>528+162+604-AR9</f>
        <v>282.57897617750984</v>
      </c>
      <c r="AS10" s="290">
        <f>133+83+134-AS9</f>
        <v>114.06666666666666</v>
      </c>
      <c r="AT10" s="260">
        <f>115+22+97-AT9</f>
        <v>36.1339534883721</v>
      </c>
      <c r="AU10" s="260">
        <f>159+13+97-AU9</f>
        <v>5.9228984850201982</v>
      </c>
      <c r="AV10" s="1436">
        <f>AW10-SUM(AS10:AU10)</f>
        <v>91.296867765751443</v>
      </c>
      <c r="AW10" s="1437">
        <f>566+183+384-AW9</f>
        <v>247.4203864058104</v>
      </c>
      <c r="AX10" s="290">
        <f>AX132</f>
        <v>114.06666666666666</v>
      </c>
      <c r="AY10" s="260">
        <f>AY132</f>
        <v>36.1339534883721</v>
      </c>
      <c r="AZ10" s="260">
        <f>AZ132</f>
        <v>5.9228984850201991</v>
      </c>
      <c r="BA10" s="291">
        <f>BA132</f>
        <v>91.296867765751443</v>
      </c>
      <c r="BB10" s="45">
        <f>SUM(AX10:BA10)</f>
        <v>247.4203864058104</v>
      </c>
      <c r="BC10" s="290">
        <f>BC132</f>
        <v>114.06666666666666</v>
      </c>
      <c r="BD10" s="260">
        <f>BD132</f>
        <v>36.1339534883721</v>
      </c>
      <c r="BE10" s="260">
        <f>BE132</f>
        <v>5.9228984850201991</v>
      </c>
      <c r="BF10" s="291">
        <f>BF132</f>
        <v>91.296867765751443</v>
      </c>
      <c r="BG10" s="45">
        <f>SUM(BC10:BF10)</f>
        <v>247.4203864058104</v>
      </c>
      <c r="BH10" s="290">
        <f>BH132</f>
        <v>114.06666666666666</v>
      </c>
      <c r="BI10" s="260">
        <f>BI132</f>
        <v>36.1339534883721</v>
      </c>
      <c r="BJ10" s="260">
        <f>BJ132</f>
        <v>5.9228984850201991</v>
      </c>
      <c r="BK10" s="291">
        <f>BK132</f>
        <v>91.296867765751443</v>
      </c>
      <c r="BL10" s="45">
        <f>SUM(BH10:BK10)</f>
        <v>247.4203864058104</v>
      </c>
      <c r="BM10" s="290">
        <f>BM132</f>
        <v>114.06666666666666</v>
      </c>
      <c r="BN10" s="260">
        <f>BN132</f>
        <v>36.1339534883721</v>
      </c>
      <c r="BO10" s="260">
        <f>BO132</f>
        <v>5.9228984850201991</v>
      </c>
      <c r="BP10" s="291">
        <f>BP132</f>
        <v>91.296867765751443</v>
      </c>
      <c r="BQ10" s="45">
        <f>SUM(BM10:BP10)</f>
        <v>247.4203864058104</v>
      </c>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row>
    <row r="11" spans="1:99">
      <c r="A11" s="228"/>
      <c r="B11" s="228"/>
      <c r="C11" s="32" t="s">
        <v>63</v>
      </c>
      <c r="D11" s="228"/>
      <c r="E11" s="292">
        <f t="shared" ref="E11:AE11" si="0">E8-E9-E10</f>
        <v>410.39999999999975</v>
      </c>
      <c r="F11" s="261">
        <f t="shared" si="0"/>
        <v>313.30000000000007</v>
      </c>
      <c r="G11" s="261">
        <f t="shared" si="0"/>
        <v>327.09999999999997</v>
      </c>
      <c r="H11" s="293">
        <f t="shared" si="0"/>
        <v>237.40000000000015</v>
      </c>
      <c r="I11" s="228">
        <f t="shared" si="0"/>
        <v>1288.1999999999998</v>
      </c>
      <c r="J11" s="292">
        <f t="shared" si="0"/>
        <v>401.19999999999993</v>
      </c>
      <c r="K11" s="261">
        <f t="shared" si="0"/>
        <v>308</v>
      </c>
      <c r="L11" s="261">
        <f t="shared" si="0"/>
        <v>326.60000000000002</v>
      </c>
      <c r="M11" s="293">
        <f t="shared" si="0"/>
        <v>357.50000000000006</v>
      </c>
      <c r="N11" s="228">
        <f t="shared" si="0"/>
        <v>1393.3000000000002</v>
      </c>
      <c r="O11" s="292">
        <f t="shared" si="0"/>
        <v>432.5</v>
      </c>
      <c r="P11" s="261">
        <f t="shared" si="0"/>
        <v>333.70000000000005</v>
      </c>
      <c r="Q11" s="261">
        <f t="shared" si="0"/>
        <v>340.4</v>
      </c>
      <c r="R11" s="293">
        <f t="shared" si="0"/>
        <v>367.60000000000031</v>
      </c>
      <c r="S11" s="228">
        <f t="shared" si="0"/>
        <v>1474.2000000000003</v>
      </c>
      <c r="T11" s="292">
        <f t="shared" si="0"/>
        <v>311</v>
      </c>
      <c r="U11" s="261">
        <f t="shared" si="0"/>
        <v>331</v>
      </c>
      <c r="V11" s="261">
        <f t="shared" si="0"/>
        <v>347</v>
      </c>
      <c r="W11" s="293">
        <f t="shared" si="0"/>
        <v>377.00000000000006</v>
      </c>
      <c r="X11" s="228">
        <f t="shared" si="0"/>
        <v>1366</v>
      </c>
      <c r="Y11" s="292">
        <f t="shared" si="0"/>
        <v>454</v>
      </c>
      <c r="Z11" s="261">
        <f t="shared" si="0"/>
        <v>365</v>
      </c>
      <c r="AA11" s="1438">
        <f t="shared" si="0"/>
        <v>391</v>
      </c>
      <c r="AB11" s="1439">
        <f>AB8-AB9-AB10</f>
        <v>434</v>
      </c>
      <c r="AC11" s="1440">
        <f>AC8-AC9-AC10</f>
        <v>1644</v>
      </c>
      <c r="AD11" s="292">
        <f t="shared" si="0"/>
        <v>525</v>
      </c>
      <c r="AE11" s="261">
        <f t="shared" si="0"/>
        <v>385</v>
      </c>
      <c r="AF11" s="1438">
        <f t="shared" ref="AF11" si="1">AF8-AF9-AF10</f>
        <v>400</v>
      </c>
      <c r="AG11" s="1439">
        <f>AG8-AG9-AG10</f>
        <v>438</v>
      </c>
      <c r="AH11" s="1440">
        <f>AH8-AH9-AH10</f>
        <v>1748.0000000000002</v>
      </c>
      <c r="AI11" s="292">
        <f t="shared" ref="AI11:AK11" si="2">AI8-AI9-AI10</f>
        <v>549</v>
      </c>
      <c r="AJ11" s="261">
        <f t="shared" si="2"/>
        <v>389</v>
      </c>
      <c r="AK11" s="1438">
        <f t="shared" si="2"/>
        <v>414</v>
      </c>
      <c r="AL11" s="1439">
        <f>AL8-AL9-AL10</f>
        <v>478</v>
      </c>
      <c r="AM11" s="1440">
        <f>AM8-AM9-AM10</f>
        <v>1830</v>
      </c>
      <c r="AN11" s="292">
        <f t="shared" ref="AN11:AP11" si="3">AN8-AN9-AN10</f>
        <v>556</v>
      </c>
      <c r="AO11" s="261">
        <f t="shared" si="3"/>
        <v>419</v>
      </c>
      <c r="AP11" s="1438">
        <f t="shared" si="3"/>
        <v>452</v>
      </c>
      <c r="AQ11" s="1439">
        <f>AQ8-AQ9-AQ10</f>
        <v>512</v>
      </c>
      <c r="AR11" s="1440">
        <f>AR8-AR9-AR10</f>
        <v>1939</v>
      </c>
      <c r="AS11" s="292">
        <f t="shared" ref="AS11:AU11" si="4">AS8-AS9-AS10</f>
        <v>601</v>
      </c>
      <c r="AT11" s="261">
        <f t="shared" si="4"/>
        <v>440</v>
      </c>
      <c r="AU11" s="261">
        <f t="shared" si="4"/>
        <v>469</v>
      </c>
      <c r="AV11" s="1439">
        <f>AV8-AV9-AV10</f>
        <v>532.99999999999989</v>
      </c>
      <c r="AW11" s="1440">
        <f>AW8-AW9-AW10</f>
        <v>2043</v>
      </c>
      <c r="AX11" s="292">
        <f t="shared" ref="AX11:BB11" si="5">AX8-AX9-AX10</f>
        <v>583.63769219510709</v>
      </c>
      <c r="AY11" s="261">
        <f t="shared" si="5"/>
        <v>436.78991187989561</v>
      </c>
      <c r="AZ11" s="261">
        <f t="shared" si="5"/>
        <v>449.23829263892827</v>
      </c>
      <c r="BA11" s="293">
        <f t="shared" si="5"/>
        <v>508.05054445209782</v>
      </c>
      <c r="BB11" s="228">
        <f t="shared" si="5"/>
        <v>1977.7164411660283</v>
      </c>
      <c r="BC11" s="292">
        <f t="shared" ref="BC11:BL11" si="6">BC8-BC9-BC10</f>
        <v>589.54394219510709</v>
      </c>
      <c r="BD11" s="261">
        <f t="shared" si="6"/>
        <v>442.69616187989561</v>
      </c>
      <c r="BE11" s="261">
        <f t="shared" si="6"/>
        <v>488.89454263892827</v>
      </c>
      <c r="BF11" s="293">
        <f t="shared" si="6"/>
        <v>547.70679445209782</v>
      </c>
      <c r="BG11" s="228">
        <f t="shared" si="6"/>
        <v>2068.8414411660283</v>
      </c>
      <c r="BH11" s="292">
        <f t="shared" si="6"/>
        <v>628.54394219510709</v>
      </c>
      <c r="BI11" s="261">
        <f t="shared" si="6"/>
        <v>481.6961618798955</v>
      </c>
      <c r="BJ11" s="261">
        <f t="shared" si="6"/>
        <v>505.39454263892839</v>
      </c>
      <c r="BK11" s="293">
        <f t="shared" si="6"/>
        <v>564.20679445209782</v>
      </c>
      <c r="BL11" s="228">
        <f t="shared" si="6"/>
        <v>2179.8414411660283</v>
      </c>
      <c r="BM11" s="292">
        <f t="shared" ref="BM11:BQ11" si="7">BM8-BM9-BM10</f>
        <v>645.04394219510687</v>
      </c>
      <c r="BN11" s="261">
        <f t="shared" si="7"/>
        <v>498.19616187989561</v>
      </c>
      <c r="BO11" s="261">
        <f t="shared" si="7"/>
        <v>534.39454263892833</v>
      </c>
      <c r="BP11" s="293">
        <f t="shared" si="7"/>
        <v>593.20679445209794</v>
      </c>
      <c r="BQ11" s="228">
        <f t="shared" si="7"/>
        <v>2270.8414411660283</v>
      </c>
      <c r="BR11" s="1920"/>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row>
    <row r="12" spans="1:99">
      <c r="A12" s="330"/>
      <c r="B12" s="330"/>
      <c r="C12" s="28"/>
      <c r="D12" s="330"/>
      <c r="E12" s="300"/>
      <c r="F12" s="264"/>
      <c r="G12" s="264"/>
      <c r="H12" s="299"/>
      <c r="I12" s="330"/>
      <c r="J12" s="300"/>
      <c r="K12" s="264"/>
      <c r="L12" s="264"/>
      <c r="M12" s="299"/>
      <c r="N12" s="330"/>
      <c r="O12" s="300"/>
      <c r="P12" s="264"/>
      <c r="Q12" s="264"/>
      <c r="R12" s="299"/>
      <c r="S12" s="330"/>
      <c r="T12" s="292"/>
      <c r="U12" s="261"/>
      <c r="V12" s="264"/>
      <c r="W12" s="299"/>
      <c r="X12" s="330"/>
      <c r="Y12" s="292"/>
      <c r="Z12" s="261"/>
      <c r="AA12" s="1441"/>
      <c r="AB12" s="1442"/>
      <c r="AC12" s="1443"/>
      <c r="AD12" s="292"/>
      <c r="AE12" s="261"/>
      <c r="AF12" s="1441"/>
      <c r="AG12" s="1442"/>
      <c r="AH12" s="1443"/>
      <c r="AI12" s="292"/>
      <c r="AJ12" s="261"/>
      <c r="AK12" s="1441"/>
      <c r="AL12" s="1442"/>
      <c r="AM12" s="1443"/>
      <c r="AN12" s="292"/>
      <c r="AO12" s="261"/>
      <c r="AP12" s="1441"/>
      <c r="AQ12" s="1442"/>
      <c r="AR12" s="1443"/>
      <c r="AS12" s="300"/>
      <c r="AT12" s="261"/>
      <c r="AU12" s="261"/>
      <c r="AV12" s="1442"/>
      <c r="AW12" s="1443"/>
      <c r="AX12" s="300"/>
      <c r="AY12" s="264"/>
      <c r="AZ12" s="264"/>
      <c r="BA12" s="299"/>
      <c r="BB12" s="330"/>
      <c r="BC12" s="300"/>
      <c r="BD12" s="264"/>
      <c r="BE12" s="264"/>
      <c r="BF12" s="299"/>
      <c r="BG12" s="330"/>
      <c r="BH12" s="300"/>
      <c r="BI12" s="264"/>
      <c r="BJ12" s="264"/>
      <c r="BK12" s="299"/>
      <c r="BL12" s="330"/>
      <c r="BM12" s="300"/>
      <c r="BN12" s="264"/>
      <c r="BO12" s="264"/>
      <c r="BP12" s="299"/>
      <c r="BQ12" s="330"/>
      <c r="BR12" s="330"/>
      <c r="BS12" s="330"/>
      <c r="BT12" s="330"/>
      <c r="BU12" s="330"/>
      <c r="BV12" s="330"/>
      <c r="BW12" s="330"/>
      <c r="BX12" s="330"/>
      <c r="BY12" s="330"/>
      <c r="BZ12" s="330"/>
      <c r="CA12" s="330"/>
      <c r="CB12" s="330"/>
      <c r="CC12" s="330"/>
      <c r="CD12" s="330"/>
      <c r="CE12" s="330"/>
      <c r="CF12" s="330"/>
      <c r="CG12" s="330"/>
      <c r="CH12" s="330"/>
      <c r="CI12" s="330"/>
      <c r="CJ12" s="330"/>
      <c r="CK12" s="330"/>
      <c r="CL12" s="330"/>
      <c r="CM12" s="330"/>
      <c r="CN12" s="330"/>
      <c r="CO12" s="330"/>
      <c r="CP12" s="330"/>
      <c r="CQ12" s="330"/>
      <c r="CR12" s="330"/>
      <c r="CS12" s="330"/>
      <c r="CT12" s="330"/>
      <c r="CU12" s="330"/>
    </row>
    <row r="13" spans="1:99">
      <c r="A13" s="330"/>
      <c r="B13" s="330"/>
      <c r="C13" s="28" t="s">
        <v>64</v>
      </c>
      <c r="D13" s="330"/>
      <c r="E13" s="335">
        <f>105.1+21.9</f>
        <v>127</v>
      </c>
      <c r="F13" s="336">
        <f>121.3+27.6</f>
        <v>148.9</v>
      </c>
      <c r="G13" s="336">
        <f>110.6+32</f>
        <v>142.6</v>
      </c>
      <c r="H13" s="586">
        <f>I13-SUM(E13:G13)</f>
        <v>141.39999999999998</v>
      </c>
      <c r="I13" s="427">
        <f>433.7+126.2</f>
        <v>559.9</v>
      </c>
      <c r="J13" s="335">
        <f>120.5+28.5</f>
        <v>149</v>
      </c>
      <c r="K13" s="336">
        <f>118.6+27.9</f>
        <v>146.5</v>
      </c>
      <c r="L13" s="336">
        <f>124.3+28.4</f>
        <v>152.69999999999999</v>
      </c>
      <c r="M13" s="586">
        <f>N13-SUM(J13:L13)</f>
        <v>157.90000000000003</v>
      </c>
      <c r="N13" s="427">
        <f>484.5+121.6</f>
        <v>606.1</v>
      </c>
      <c r="O13" s="335">
        <f>120.6+32.4</f>
        <v>153</v>
      </c>
      <c r="P13" s="336">
        <f>130.1+28.5</f>
        <v>158.6</v>
      </c>
      <c r="Q13" s="336">
        <f>184.7+23.6</f>
        <v>208.29999999999998</v>
      </c>
      <c r="R13" s="586">
        <f>S13-SUM(O13:Q13)</f>
        <v>146.89999999999998</v>
      </c>
      <c r="S13" s="427">
        <f>551.5+115.3</f>
        <v>666.8</v>
      </c>
      <c r="T13" s="335">
        <f>153+42</f>
        <v>195</v>
      </c>
      <c r="U13" s="336">
        <f>135+26</f>
        <v>161</v>
      </c>
      <c r="V13" s="336">
        <f>172+29</f>
        <v>201</v>
      </c>
      <c r="W13" s="586">
        <f>X13-SUM(T13:V13)</f>
        <v>171</v>
      </c>
      <c r="X13" s="427">
        <f>622+106</f>
        <v>728</v>
      </c>
      <c r="Y13" s="335">
        <f>124+19</f>
        <v>143</v>
      </c>
      <c r="Z13" s="336">
        <f>139+21</f>
        <v>160</v>
      </c>
      <c r="AA13" s="1435">
        <f>125+21</f>
        <v>146</v>
      </c>
      <c r="AB13" s="1436">
        <f>AC13-SUM(Y13:AA13)</f>
        <v>185</v>
      </c>
      <c r="AC13" s="1437">
        <f>551+83</f>
        <v>634</v>
      </c>
      <c r="AD13" s="335">
        <f>163+25</f>
        <v>188</v>
      </c>
      <c r="AE13" s="336">
        <f>163+25</f>
        <v>188</v>
      </c>
      <c r="AF13" s="1435">
        <f>142+23</f>
        <v>165</v>
      </c>
      <c r="AG13" s="1436">
        <f>AH13-SUM(AD13:AF13)</f>
        <v>176</v>
      </c>
      <c r="AH13" s="1437">
        <f>614+103</f>
        <v>717</v>
      </c>
      <c r="AI13" s="335">
        <f>156+26</f>
        <v>182</v>
      </c>
      <c r="AJ13" s="336">
        <f>120+29</f>
        <v>149</v>
      </c>
      <c r="AK13" s="1435">
        <f>138+31</f>
        <v>169</v>
      </c>
      <c r="AL13" s="1436">
        <f>AM13-SUM(AI13:AK13)</f>
        <v>183</v>
      </c>
      <c r="AM13" s="1437">
        <f>565+118</f>
        <v>683</v>
      </c>
      <c r="AN13" s="335">
        <f>168+34</f>
        <v>202</v>
      </c>
      <c r="AO13" s="336">
        <f>177+31</f>
        <v>208</v>
      </c>
      <c r="AP13" s="1435">
        <f>150+28</f>
        <v>178</v>
      </c>
      <c r="AQ13" s="1436">
        <f>AR13-SUM(AN13:AP13)</f>
        <v>149</v>
      </c>
      <c r="AR13" s="1437">
        <v>737</v>
      </c>
      <c r="AS13" s="335">
        <f>148+35</f>
        <v>183</v>
      </c>
      <c r="AT13" s="336">
        <f>135+39</f>
        <v>174</v>
      </c>
      <c r="AU13" s="336">
        <f>138+37</f>
        <v>175</v>
      </c>
      <c r="AV13" s="1436">
        <f>AW13-SUM(AS13:AU13)</f>
        <v>184</v>
      </c>
      <c r="AW13" s="1437">
        <f>563+153</f>
        <v>716</v>
      </c>
      <c r="AX13" s="300">
        <f>+AX140</f>
        <v>198.9</v>
      </c>
      <c r="AY13" s="264">
        <f>+AY140</f>
        <v>177.48</v>
      </c>
      <c r="AZ13" s="264">
        <f>+AZ140</f>
        <v>178.5</v>
      </c>
      <c r="BA13" s="299">
        <f>+BA140</f>
        <v>187.68</v>
      </c>
      <c r="BB13" s="330">
        <f>SUM(AX13:BA13)</f>
        <v>742.56</v>
      </c>
      <c r="BC13" s="300">
        <f>+BC140</f>
        <v>202.87800000000001</v>
      </c>
      <c r="BD13" s="264">
        <f>+BD140</f>
        <v>181.02959999999999</v>
      </c>
      <c r="BE13" s="264">
        <f>+BE140</f>
        <v>182.07</v>
      </c>
      <c r="BF13" s="299">
        <f>+BF140</f>
        <v>191.43360000000001</v>
      </c>
      <c r="BG13" s="330">
        <f>SUM(BC13:BF13)</f>
        <v>757.41120000000001</v>
      </c>
      <c r="BH13" s="300">
        <f>+BH140</f>
        <v>206.93556000000001</v>
      </c>
      <c r="BI13" s="264">
        <f>+BI140</f>
        <v>184.650192</v>
      </c>
      <c r="BJ13" s="264">
        <f>+BJ140</f>
        <v>185.7114</v>
      </c>
      <c r="BK13" s="299">
        <f>+BK140</f>
        <v>195.26227200000002</v>
      </c>
      <c r="BL13" s="330">
        <f>SUM(BH13:BK13)</f>
        <v>772.55942400000004</v>
      </c>
      <c r="BM13" s="300">
        <f>+BM140</f>
        <v>211.07427120000003</v>
      </c>
      <c r="BN13" s="264">
        <f>+BN140</f>
        <v>188.34319584000002</v>
      </c>
      <c r="BO13" s="264">
        <f>+BO140</f>
        <v>189.42562799999999</v>
      </c>
      <c r="BP13" s="299">
        <f>+BP140</f>
        <v>199.16751744000004</v>
      </c>
      <c r="BQ13" s="330">
        <f>SUM(BM13:BP13)</f>
        <v>788.01061247999996</v>
      </c>
      <c r="BR13" s="330"/>
      <c r="BS13" s="330"/>
      <c r="BT13" s="330"/>
      <c r="BU13" s="330"/>
      <c r="BV13" s="330"/>
      <c r="BW13" s="330"/>
      <c r="BX13" s="330"/>
      <c r="BY13" s="330"/>
      <c r="BZ13" s="330"/>
      <c r="CA13" s="330"/>
      <c r="CB13" s="330"/>
      <c r="CC13" s="330"/>
      <c r="CD13" s="330"/>
      <c r="CE13" s="330"/>
      <c r="CF13" s="330"/>
      <c r="CG13" s="330"/>
      <c r="CH13" s="330"/>
      <c r="CI13" s="330"/>
      <c r="CJ13" s="330"/>
      <c r="CK13" s="330"/>
      <c r="CL13" s="330"/>
      <c r="CM13" s="330"/>
      <c r="CN13" s="330"/>
      <c r="CO13" s="330"/>
      <c r="CP13" s="330"/>
      <c r="CQ13" s="330"/>
      <c r="CR13" s="330"/>
      <c r="CS13" s="330"/>
      <c r="CT13" s="330"/>
      <c r="CU13" s="330"/>
    </row>
    <row r="14" spans="1:99">
      <c r="A14" s="330"/>
      <c r="B14" s="330"/>
      <c r="C14" s="28" t="s">
        <v>67</v>
      </c>
      <c r="D14" s="330"/>
      <c r="E14" s="335">
        <v>66.900000000000006</v>
      </c>
      <c r="F14" s="336">
        <v>65.7</v>
      </c>
      <c r="G14" s="336">
        <v>61.7</v>
      </c>
      <c r="H14" s="586">
        <f>I14-SUM(E14:G14)</f>
        <v>67.800000000000011</v>
      </c>
      <c r="I14" s="427">
        <v>262.10000000000002</v>
      </c>
      <c r="J14" s="335">
        <v>67.7</v>
      </c>
      <c r="K14" s="336">
        <v>60.6</v>
      </c>
      <c r="L14" s="336">
        <v>52.7</v>
      </c>
      <c r="M14" s="586">
        <f>N14-SUM(J14:L14)</f>
        <v>68.199999999999989</v>
      </c>
      <c r="N14" s="427">
        <v>249.2</v>
      </c>
      <c r="O14" s="335">
        <v>76.3</v>
      </c>
      <c r="P14" s="336">
        <v>66.8</v>
      </c>
      <c r="Q14" s="336">
        <v>60</v>
      </c>
      <c r="R14" s="586">
        <f>S14-SUM(O14:Q14)</f>
        <v>69.000000000000028</v>
      </c>
      <c r="S14" s="427">
        <f>272.1</f>
        <v>272.10000000000002</v>
      </c>
      <c r="T14" s="335">
        <v>79</v>
      </c>
      <c r="U14" s="336">
        <v>71</v>
      </c>
      <c r="V14" s="336">
        <v>68</v>
      </c>
      <c r="W14" s="586">
        <f>X14-SUM(T14:V14)</f>
        <v>80</v>
      </c>
      <c r="X14" s="427">
        <v>298</v>
      </c>
      <c r="Y14" s="335">
        <v>93</v>
      </c>
      <c r="Z14" s="336">
        <v>82</v>
      </c>
      <c r="AA14" s="1435">
        <v>78</v>
      </c>
      <c r="AB14" s="1436">
        <f>AC14-SUM(Y14:AA14)</f>
        <v>95</v>
      </c>
      <c r="AC14" s="1437">
        <v>348</v>
      </c>
      <c r="AD14" s="335">
        <v>108</v>
      </c>
      <c r="AE14" s="336">
        <v>89</v>
      </c>
      <c r="AF14" s="1435">
        <v>78</v>
      </c>
      <c r="AG14" s="1436">
        <f>AH14-SUM(AD14:AF14)</f>
        <v>96</v>
      </c>
      <c r="AH14" s="1437">
        <v>371</v>
      </c>
      <c r="AI14" s="335">
        <v>106</v>
      </c>
      <c r="AJ14" s="336">
        <v>87</v>
      </c>
      <c r="AK14" s="1435">
        <v>79</v>
      </c>
      <c r="AL14" s="1436">
        <f>AM14-SUM(AI14:AK14)</f>
        <v>94</v>
      </c>
      <c r="AM14" s="1437">
        <v>366</v>
      </c>
      <c r="AN14" s="335">
        <v>109</v>
      </c>
      <c r="AO14" s="336">
        <v>97</v>
      </c>
      <c r="AP14" s="1435">
        <v>101</v>
      </c>
      <c r="AQ14" s="1436">
        <f>AR14-SUM(AN14:AP14)</f>
        <v>116</v>
      </c>
      <c r="AR14" s="1437">
        <v>423</v>
      </c>
      <c r="AS14" s="335">
        <v>128</v>
      </c>
      <c r="AT14" s="336">
        <v>112</v>
      </c>
      <c r="AU14" s="336">
        <v>109</v>
      </c>
      <c r="AV14" s="1436">
        <f>AW14-SUM(AS14:AU14)</f>
        <v>124</v>
      </c>
      <c r="AW14" s="1437">
        <v>473</v>
      </c>
      <c r="AX14" s="300">
        <f>AX156</f>
        <v>128.01749965000701</v>
      </c>
      <c r="AY14" s="264">
        <f>AY156</f>
        <v>117.4003615418782</v>
      </c>
      <c r="AZ14" s="264">
        <f>AZ156</f>
        <v>114.1959126322032</v>
      </c>
      <c r="BA14" s="299">
        <f>BA156</f>
        <v>130.97160532463721</v>
      </c>
      <c r="BB14" s="330">
        <f>SUM(AX14:BA14)</f>
        <v>490.58537914872562</v>
      </c>
      <c r="BC14" s="300">
        <f>BC156</f>
        <v>134.72765924866823</v>
      </c>
      <c r="BD14" s="264">
        <f>BD156</f>
        <v>124.18873759200157</v>
      </c>
      <c r="BE14" s="264">
        <f>BE156</f>
        <v>121.32395244993688</v>
      </c>
      <c r="BF14" s="299">
        <f>BF156</f>
        <v>138.43555230384351</v>
      </c>
      <c r="BG14" s="330">
        <f>SUM(BC14:BF14)</f>
        <v>518.67590159445012</v>
      </c>
      <c r="BH14" s="300">
        <f>BH156</f>
        <v>142.52379833044245</v>
      </c>
      <c r="BI14" s="264">
        <f>BI156</f>
        <v>132.68080015547446</v>
      </c>
      <c r="BJ14" s="264">
        <f>BJ156</f>
        <v>129.58384744480912</v>
      </c>
      <c r="BK14" s="299">
        <f>BK156</f>
        <v>146.46584745206937</v>
      </c>
      <c r="BL14" s="330">
        <f>SUM(BH14:BK14)</f>
        <v>551.25429338279537</v>
      </c>
      <c r="BM14" s="300">
        <f>BM156</f>
        <v>150.32703295553941</v>
      </c>
      <c r="BN14" s="264">
        <f>BN156</f>
        <v>140.3513368341799</v>
      </c>
      <c r="BO14" s="264">
        <f>BO156</f>
        <v>136.89305521442628</v>
      </c>
      <c r="BP14" s="299">
        <f>BP156</f>
        <v>153.41772253040841</v>
      </c>
      <c r="BQ14" s="330">
        <f>SUM(BM14:BP14)</f>
        <v>580.98914753455404</v>
      </c>
      <c r="BR14" s="330"/>
      <c r="BS14" s="330"/>
      <c r="BT14" s="330"/>
      <c r="BU14" s="330"/>
      <c r="BV14" s="330"/>
      <c r="BW14" s="330"/>
      <c r="BX14" s="330"/>
      <c r="BY14" s="330"/>
      <c r="BZ14" s="330"/>
      <c r="CA14" s="330"/>
      <c r="CB14" s="330"/>
      <c r="CC14" s="330"/>
      <c r="CD14" s="330"/>
      <c r="CE14" s="330"/>
      <c r="CF14" s="330"/>
      <c r="CG14" s="330"/>
      <c r="CH14" s="330"/>
      <c r="CI14" s="330"/>
      <c r="CJ14" s="330"/>
      <c r="CK14" s="330"/>
      <c r="CL14" s="330"/>
      <c r="CM14" s="330"/>
      <c r="CN14" s="330"/>
      <c r="CO14" s="330"/>
      <c r="CP14" s="330"/>
      <c r="CQ14" s="330"/>
      <c r="CR14" s="330"/>
      <c r="CS14" s="330"/>
      <c r="CT14" s="330"/>
      <c r="CU14" s="330"/>
    </row>
    <row r="15" spans="1:99">
      <c r="A15" s="330"/>
      <c r="B15" s="330"/>
      <c r="C15" s="1" t="s">
        <v>65</v>
      </c>
      <c r="D15" s="330"/>
      <c r="E15" s="335">
        <v>47.8</v>
      </c>
      <c r="F15" s="336">
        <v>44.4</v>
      </c>
      <c r="G15" s="336">
        <v>44.1</v>
      </c>
      <c r="H15" s="586">
        <f>I15-SUM(E15:G15)</f>
        <v>41.500000000000028</v>
      </c>
      <c r="I15" s="427">
        <v>177.8</v>
      </c>
      <c r="J15" s="335">
        <v>47.6</v>
      </c>
      <c r="K15" s="336">
        <v>45</v>
      </c>
      <c r="L15" s="336">
        <v>45.6</v>
      </c>
      <c r="M15" s="586">
        <f>N15-SUM(J15:L15)</f>
        <v>45.600000000000023</v>
      </c>
      <c r="N15" s="427">
        <v>183.8</v>
      </c>
      <c r="O15" s="335">
        <v>49.8</v>
      </c>
      <c r="P15" s="336">
        <v>46.4</v>
      </c>
      <c r="Q15" s="336">
        <v>47.1</v>
      </c>
      <c r="R15" s="586">
        <f>S15-SUM(O15:Q15)</f>
        <v>46.900000000000006</v>
      </c>
      <c r="S15" s="427">
        <v>190.2</v>
      </c>
      <c r="T15" s="335">
        <v>48</v>
      </c>
      <c r="U15" s="336">
        <v>47</v>
      </c>
      <c r="V15" s="336">
        <v>48</v>
      </c>
      <c r="W15" s="586">
        <f>X15-SUM(T15:V15)</f>
        <v>65</v>
      </c>
      <c r="X15" s="427">
        <v>208</v>
      </c>
      <c r="Y15" s="335">
        <v>55</v>
      </c>
      <c r="Z15" s="336">
        <v>54</v>
      </c>
      <c r="AA15" s="1435">
        <v>53</v>
      </c>
      <c r="AB15" s="1436">
        <f>AC15-SUM(Y15:AA15)</f>
        <v>51</v>
      </c>
      <c r="AC15" s="1437">
        <v>213</v>
      </c>
      <c r="AD15" s="335">
        <v>60</v>
      </c>
      <c r="AE15" s="336">
        <v>53</v>
      </c>
      <c r="AF15" s="1435">
        <v>55</v>
      </c>
      <c r="AG15" s="1436">
        <f>AH15-SUM(AD15:AF15)</f>
        <v>53</v>
      </c>
      <c r="AH15" s="1437">
        <v>221</v>
      </c>
      <c r="AI15" s="335">
        <v>57</v>
      </c>
      <c r="AJ15" s="336">
        <v>54</v>
      </c>
      <c r="AK15" s="1435">
        <v>57</v>
      </c>
      <c r="AL15" s="1436">
        <f>AM15-SUM(AI15:AK15)</f>
        <v>56</v>
      </c>
      <c r="AM15" s="1437">
        <v>224</v>
      </c>
      <c r="AN15" s="335">
        <v>58</v>
      </c>
      <c r="AO15" s="336">
        <v>55</v>
      </c>
      <c r="AP15" s="1435">
        <v>58</v>
      </c>
      <c r="AQ15" s="1436">
        <f>AR15-SUM(AN15:AP15)</f>
        <v>58</v>
      </c>
      <c r="AR15" s="1437">
        <v>229</v>
      </c>
      <c r="AS15" s="335">
        <v>62</v>
      </c>
      <c r="AT15" s="336">
        <v>56</v>
      </c>
      <c r="AU15" s="336">
        <v>61</v>
      </c>
      <c r="AV15" s="1436">
        <f>AW15-SUM(AS15:AU15)</f>
        <v>61</v>
      </c>
      <c r="AW15" s="1437">
        <v>240</v>
      </c>
      <c r="AX15" s="300">
        <f>AX145</f>
        <v>63.24</v>
      </c>
      <c r="AY15" s="264">
        <f>AY145</f>
        <v>57.120000000000005</v>
      </c>
      <c r="AZ15" s="264">
        <f>AZ145</f>
        <v>62.22</v>
      </c>
      <c r="BA15" s="299">
        <f>BA145</f>
        <v>62.22</v>
      </c>
      <c r="BB15" s="330">
        <f>SUM(AX15:BA15)</f>
        <v>244.8</v>
      </c>
      <c r="BC15" s="300">
        <f>BC145</f>
        <v>64.504800000000003</v>
      </c>
      <c r="BD15" s="264">
        <f>BD145</f>
        <v>58.262400000000007</v>
      </c>
      <c r="BE15" s="264">
        <f>BE145</f>
        <v>63.464399999999998</v>
      </c>
      <c r="BF15" s="299">
        <f>BF145</f>
        <v>63.464399999999998</v>
      </c>
      <c r="BG15" s="330">
        <f>SUM(BC15:BF15)</f>
        <v>249.69600000000003</v>
      </c>
      <c r="BH15" s="300">
        <f>BH145</f>
        <v>65.794896000000008</v>
      </c>
      <c r="BI15" s="264">
        <f>BI145</f>
        <v>59.427648000000005</v>
      </c>
      <c r="BJ15" s="264">
        <f>BJ145</f>
        <v>64.733688000000001</v>
      </c>
      <c r="BK15" s="299">
        <f>BK145</f>
        <v>64.733688000000001</v>
      </c>
      <c r="BL15" s="330">
        <f>SUM(BH15:BK15)</f>
        <v>254.68992</v>
      </c>
      <c r="BM15" s="300">
        <f>BM145</f>
        <v>67.110793920000006</v>
      </c>
      <c r="BN15" s="264">
        <f>BN145</f>
        <v>60.616200960000008</v>
      </c>
      <c r="BO15" s="264">
        <f>BO145</f>
        <v>66.028361759999996</v>
      </c>
      <c r="BP15" s="299">
        <f>BP145</f>
        <v>66.028361759999996</v>
      </c>
      <c r="BQ15" s="330">
        <f>SUM(BM15:BP15)</f>
        <v>259.7837184</v>
      </c>
      <c r="BR15" s="330"/>
      <c r="BS15" s="330"/>
      <c r="BT15" s="330"/>
      <c r="BU15" s="330"/>
      <c r="BV15" s="330"/>
      <c r="BW15" s="330"/>
      <c r="BX15" s="330"/>
      <c r="BY15" s="330"/>
      <c r="BZ15" s="330"/>
      <c r="CA15" s="330"/>
      <c r="CB15" s="330"/>
      <c r="CC15" s="330"/>
      <c r="CD15" s="330"/>
      <c r="CE15" s="330"/>
      <c r="CF15" s="330"/>
      <c r="CG15" s="330"/>
      <c r="CH15" s="330"/>
      <c r="CI15" s="330"/>
      <c r="CJ15" s="330"/>
      <c r="CK15" s="330"/>
      <c r="CL15" s="330"/>
      <c r="CM15" s="330"/>
      <c r="CN15" s="330"/>
      <c r="CO15" s="330"/>
      <c r="CP15" s="330"/>
      <c r="CQ15" s="330"/>
      <c r="CR15" s="330"/>
      <c r="CS15" s="330"/>
      <c r="CT15" s="330"/>
      <c r="CU15" s="330"/>
    </row>
    <row r="16" spans="1:99">
      <c r="A16" s="330"/>
      <c r="B16" s="330"/>
      <c r="C16" s="32" t="s">
        <v>79</v>
      </c>
      <c r="D16" s="330"/>
      <c r="E16" s="292">
        <f t="shared" ref="E16:L16" si="8">SUM(E13:E15,E9:E10)</f>
        <v>1025</v>
      </c>
      <c r="F16" s="261">
        <f t="shared" si="8"/>
        <v>713.1</v>
      </c>
      <c r="G16" s="261">
        <f t="shared" si="8"/>
        <v>787.80000000000007</v>
      </c>
      <c r="H16" s="293">
        <f t="shared" si="8"/>
        <v>764.7</v>
      </c>
      <c r="I16" s="228">
        <f t="shared" si="8"/>
        <v>3290.6</v>
      </c>
      <c r="J16" s="292">
        <f t="shared" si="8"/>
        <v>932.40000000000009</v>
      </c>
      <c r="K16" s="261">
        <f t="shared" si="8"/>
        <v>695.6</v>
      </c>
      <c r="L16" s="261">
        <f t="shared" si="8"/>
        <v>780.5</v>
      </c>
      <c r="M16" s="293">
        <f t="shared" ref="M16:Y16" si="9">SUM(M13:M15,M9:M10)</f>
        <v>699.00000000000023</v>
      </c>
      <c r="N16" s="228">
        <f t="shared" si="9"/>
        <v>3107.5</v>
      </c>
      <c r="O16" s="292">
        <f t="shared" si="9"/>
        <v>804.1</v>
      </c>
      <c r="P16" s="261">
        <f t="shared" si="9"/>
        <v>594.29999999999995</v>
      </c>
      <c r="Q16" s="261">
        <f t="shared" si="9"/>
        <v>697.9</v>
      </c>
      <c r="R16" s="293">
        <f t="shared" si="9"/>
        <v>551.70000000000016</v>
      </c>
      <c r="S16" s="228">
        <f t="shared" si="9"/>
        <v>2648</v>
      </c>
      <c r="T16" s="292">
        <f t="shared" si="9"/>
        <v>707</v>
      </c>
      <c r="U16" s="261">
        <f t="shared" si="9"/>
        <v>564</v>
      </c>
      <c r="V16" s="261">
        <f t="shared" si="9"/>
        <v>690</v>
      </c>
      <c r="W16" s="293">
        <f t="shared" si="9"/>
        <v>642</v>
      </c>
      <c r="X16" s="228">
        <f t="shared" si="9"/>
        <v>2603</v>
      </c>
      <c r="Y16" s="292">
        <f t="shared" si="9"/>
        <v>717</v>
      </c>
      <c r="Z16" s="261">
        <f t="shared" ref="Z16:AE16" si="10">SUM(Z13:Z15,Z9:Z10)</f>
        <v>584</v>
      </c>
      <c r="AA16" s="1438">
        <f t="shared" si="10"/>
        <v>623</v>
      </c>
      <c r="AB16" s="1439">
        <f>SUM(AB13:AB15,AB9:AB10)</f>
        <v>692</v>
      </c>
      <c r="AC16" s="1440">
        <f>SUM(AC13:AC15,AC9:AC10)</f>
        <v>2616</v>
      </c>
      <c r="AD16" s="292">
        <f>SUM(AD13:AD15,AD9:AD10)</f>
        <v>885</v>
      </c>
      <c r="AE16" s="261">
        <f t="shared" si="10"/>
        <v>598</v>
      </c>
      <c r="AF16" s="1438">
        <f t="shared" ref="AF16" si="11">SUM(AF13:AF15,AF9:AF10)</f>
        <v>595</v>
      </c>
      <c r="AG16" s="1439">
        <f>SUM(AG13:AG15,AG9:AG10)</f>
        <v>648</v>
      </c>
      <c r="AH16" s="1440">
        <f>SUM(AH13:AH15,AH9:AH10)</f>
        <v>2726</v>
      </c>
      <c r="AI16" s="292">
        <f>SUM(AI13:AI15,AI9:AI10)</f>
        <v>832</v>
      </c>
      <c r="AJ16" s="261">
        <f t="shared" ref="AJ16:AK16" si="12">SUM(AJ13:AJ15,AJ9:AJ10)</f>
        <v>529</v>
      </c>
      <c r="AK16" s="1438">
        <f t="shared" si="12"/>
        <v>616</v>
      </c>
      <c r="AL16" s="1439">
        <f>SUM(AL13:AL15,AL9:AL10)</f>
        <v>601</v>
      </c>
      <c r="AM16" s="1440">
        <f>SUM(AM13:AM15,AM9:AM10)</f>
        <v>2578</v>
      </c>
      <c r="AN16" s="292">
        <f>SUM(AN13:AN15,AN9:AN10)</f>
        <v>742</v>
      </c>
      <c r="AO16" s="261">
        <f t="shared" ref="AO16:AP16" si="13">SUM(AO13:AO15,AO9:AO10)</f>
        <v>621</v>
      </c>
      <c r="AP16" s="1438">
        <f t="shared" si="13"/>
        <v>697</v>
      </c>
      <c r="AQ16" s="1439">
        <f>SUM(AQ13:AQ15,AQ9:AQ10)</f>
        <v>623</v>
      </c>
      <c r="AR16" s="1440">
        <f>SUM(AR13:AR15,AR9:AR10)</f>
        <v>2683</v>
      </c>
      <c r="AS16" s="292">
        <f>SUM(AS13:AS15,AS9:AS10)</f>
        <v>723</v>
      </c>
      <c r="AT16" s="261">
        <f t="shared" ref="AT16:AU16" si="14">SUM(AT13:AT15,AT9:AT10)</f>
        <v>576</v>
      </c>
      <c r="AU16" s="261">
        <f t="shared" si="14"/>
        <v>614</v>
      </c>
      <c r="AV16" s="1439">
        <f>SUM(AV13:AV15,AV9:AV10)</f>
        <v>649.00000000000011</v>
      </c>
      <c r="AW16" s="1440">
        <f>SUM(AW13:AW15,AW9:AW10)</f>
        <v>2562</v>
      </c>
      <c r="AX16" s="292">
        <f t="shared" ref="AX16:BB16" si="15">SUM(AX13:AX15,AX9:AX10)</f>
        <v>743.87599043696696</v>
      </c>
      <c r="AY16" s="261">
        <f t="shared" si="15"/>
        <v>597.10772446616011</v>
      </c>
      <c r="AZ16" s="261">
        <f t="shared" si="15"/>
        <v>626.84332845024835</v>
      </c>
      <c r="BA16" s="293">
        <f t="shared" si="15"/>
        <v>660.50138140422484</v>
      </c>
      <c r="BB16" s="228">
        <f t="shared" si="15"/>
        <v>2628.3284247576003</v>
      </c>
      <c r="BC16" s="292">
        <f t="shared" ref="BC16:BL16" si="16">SUM(BC13:BC15,BC9:BC10)</f>
        <v>755.82895003562817</v>
      </c>
      <c r="BD16" s="261">
        <f t="shared" si="16"/>
        <v>608.58810051628348</v>
      </c>
      <c r="BE16" s="261">
        <f t="shared" si="16"/>
        <v>638.78576826798201</v>
      </c>
      <c r="BF16" s="293">
        <f t="shared" si="16"/>
        <v>672.96332838343119</v>
      </c>
      <c r="BG16" s="228">
        <f t="shared" si="16"/>
        <v>2676.1661472033252</v>
      </c>
      <c r="BH16" s="292">
        <f t="shared" si="16"/>
        <v>768.97274511740238</v>
      </c>
      <c r="BI16" s="261">
        <f t="shared" si="16"/>
        <v>621.86600307975641</v>
      </c>
      <c r="BJ16" s="261">
        <f t="shared" si="16"/>
        <v>651.95635126285424</v>
      </c>
      <c r="BK16" s="293">
        <f t="shared" si="16"/>
        <v>686.09158353165697</v>
      </c>
      <c r="BL16" s="228">
        <f t="shared" si="16"/>
        <v>2728.8866829916701</v>
      </c>
      <c r="BM16" s="292">
        <f t="shared" ref="BM16:BQ16" si="17">SUM(BM13:BM15,BM9:BM10)</f>
        <v>782.23058886249942</v>
      </c>
      <c r="BN16" s="261">
        <f t="shared" si="17"/>
        <v>634.41809655846191</v>
      </c>
      <c r="BO16" s="261">
        <f t="shared" si="17"/>
        <v>664.27446079247136</v>
      </c>
      <c r="BP16" s="293">
        <f t="shared" si="17"/>
        <v>698.2433778099961</v>
      </c>
      <c r="BQ16" s="228">
        <f t="shared" si="17"/>
        <v>2779.1665240234283</v>
      </c>
      <c r="BR16" s="330"/>
      <c r="BS16" s="330"/>
      <c r="BT16" s="330"/>
      <c r="BU16" s="330"/>
      <c r="BV16" s="330"/>
      <c r="BW16" s="330"/>
      <c r="BX16" s="330"/>
      <c r="BY16" s="330"/>
      <c r="BZ16" s="330"/>
      <c r="CA16" s="330"/>
      <c r="CB16" s="330"/>
      <c r="CC16" s="330"/>
      <c r="CD16" s="330"/>
      <c r="CE16" s="330"/>
      <c r="CF16" s="330"/>
      <c r="CG16" s="330"/>
      <c r="CH16" s="330"/>
      <c r="CI16" s="330"/>
      <c r="CJ16" s="330"/>
      <c r="CK16" s="330"/>
      <c r="CL16" s="330"/>
      <c r="CM16" s="330"/>
      <c r="CN16" s="330"/>
      <c r="CO16" s="330"/>
      <c r="CP16" s="330"/>
      <c r="CQ16" s="330"/>
      <c r="CR16" s="330"/>
      <c r="CS16" s="330"/>
      <c r="CT16" s="330"/>
      <c r="CU16" s="330"/>
    </row>
    <row r="17" spans="1:104">
      <c r="A17" s="330"/>
      <c r="B17" s="330"/>
      <c r="C17" s="32"/>
      <c r="D17" s="330"/>
      <c r="E17" s="292"/>
      <c r="F17" s="261"/>
      <c r="G17" s="261"/>
      <c r="H17" s="293"/>
      <c r="I17" s="228"/>
      <c r="J17" s="292"/>
      <c r="K17" s="261"/>
      <c r="L17" s="261"/>
      <c r="M17" s="293"/>
      <c r="N17" s="228"/>
      <c r="O17" s="292"/>
      <c r="P17" s="261"/>
      <c r="Q17" s="261"/>
      <c r="R17" s="293"/>
      <c r="S17" s="228"/>
      <c r="T17" s="292"/>
      <c r="U17" s="261"/>
      <c r="V17" s="261"/>
      <c r="W17" s="293"/>
      <c r="X17" s="228"/>
      <c r="Y17" s="292"/>
      <c r="Z17" s="261"/>
      <c r="AA17" s="1438"/>
      <c r="AB17" s="1439"/>
      <c r="AC17" s="1440"/>
      <c r="AD17" s="292"/>
      <c r="AE17" s="261"/>
      <c r="AF17" s="1438"/>
      <c r="AG17" s="1439"/>
      <c r="AH17" s="1440"/>
      <c r="AI17" s="292"/>
      <c r="AJ17" s="261"/>
      <c r="AK17" s="1438"/>
      <c r="AL17" s="1439"/>
      <c r="AM17" s="1440"/>
      <c r="AN17" s="292"/>
      <c r="AO17" s="261"/>
      <c r="AP17" s="1438"/>
      <c r="AQ17" s="1439"/>
      <c r="AR17" s="1440"/>
      <c r="AS17" s="292"/>
      <c r="AT17" s="261"/>
      <c r="AU17" s="261"/>
      <c r="AV17" s="1439"/>
      <c r="AW17" s="1440"/>
      <c r="AX17" s="292"/>
      <c r="AY17" s="261"/>
      <c r="AZ17" s="261"/>
      <c r="BA17" s="293"/>
      <c r="BB17" s="228"/>
      <c r="BC17" s="292"/>
      <c r="BD17" s="261"/>
      <c r="BE17" s="261"/>
      <c r="BF17" s="293"/>
      <c r="BG17" s="228"/>
      <c r="BH17" s="292"/>
      <c r="BI17" s="261"/>
      <c r="BJ17" s="261"/>
      <c r="BK17" s="293"/>
      <c r="BL17" s="228"/>
      <c r="BM17" s="292"/>
      <c r="BN17" s="261"/>
      <c r="BO17" s="261"/>
      <c r="BP17" s="293"/>
      <c r="BQ17" s="228"/>
      <c r="BR17" s="330"/>
      <c r="BS17" s="330"/>
      <c r="BT17" s="330"/>
      <c r="BU17" s="330"/>
      <c r="BV17" s="330"/>
      <c r="BW17" s="330"/>
      <c r="BX17" s="330"/>
      <c r="BY17" s="330"/>
      <c r="BZ17" s="330"/>
      <c r="CA17" s="330"/>
      <c r="CB17" s="330"/>
      <c r="CC17" s="330"/>
      <c r="CD17" s="330"/>
      <c r="CE17" s="330"/>
      <c r="CF17" s="330"/>
      <c r="CG17" s="330"/>
      <c r="CH17" s="330"/>
      <c r="CI17" s="330"/>
      <c r="CJ17" s="330"/>
      <c r="CK17" s="330"/>
      <c r="CL17" s="330"/>
      <c r="CM17" s="330"/>
      <c r="CN17" s="330"/>
      <c r="CO17" s="330"/>
      <c r="CP17" s="330"/>
      <c r="CQ17" s="330"/>
      <c r="CR17" s="330"/>
      <c r="CS17" s="330"/>
      <c r="CT17" s="330"/>
      <c r="CU17" s="330"/>
    </row>
    <row r="18" spans="1:104">
      <c r="A18" s="330"/>
      <c r="B18" s="330"/>
      <c r="C18" s="32" t="s">
        <v>70</v>
      </c>
      <c r="D18" s="330"/>
      <c r="E18" s="292">
        <f>+E8-E16</f>
        <v>168.69999999999982</v>
      </c>
      <c r="F18" s="261">
        <f t="shared" ref="F18:AE18" si="18">+F8-F16</f>
        <v>54.300000000000068</v>
      </c>
      <c r="G18" s="261">
        <f t="shared" si="18"/>
        <v>78.699999999999932</v>
      </c>
      <c r="H18" s="293">
        <f t="shared" si="18"/>
        <v>-13.299999999999955</v>
      </c>
      <c r="I18" s="228">
        <f t="shared" si="18"/>
        <v>288.40000000000009</v>
      </c>
      <c r="J18" s="292">
        <f t="shared" si="18"/>
        <v>136.89999999999986</v>
      </c>
      <c r="K18" s="261">
        <f t="shared" si="18"/>
        <v>55.899999999999977</v>
      </c>
      <c r="L18" s="261">
        <f t="shared" si="18"/>
        <v>75.600000000000023</v>
      </c>
      <c r="M18" s="293">
        <f t="shared" si="18"/>
        <v>85.799999999999955</v>
      </c>
      <c r="N18" s="228">
        <f t="shared" si="18"/>
        <v>354.20000000000027</v>
      </c>
      <c r="O18" s="292">
        <f t="shared" si="18"/>
        <v>153.39999999999998</v>
      </c>
      <c r="P18" s="261">
        <f t="shared" si="18"/>
        <v>61.900000000000091</v>
      </c>
      <c r="Q18" s="261">
        <f t="shared" si="18"/>
        <v>25</v>
      </c>
      <c r="R18" s="293">
        <f t="shared" si="18"/>
        <v>104.8000000000003</v>
      </c>
      <c r="S18" s="228">
        <f t="shared" si="18"/>
        <v>345.10000000000036</v>
      </c>
      <c r="T18" s="292">
        <f t="shared" si="18"/>
        <v>-11</v>
      </c>
      <c r="U18" s="261">
        <f>+U8-U16</f>
        <v>52</v>
      </c>
      <c r="V18" s="261">
        <f>+V8-V16</f>
        <v>30</v>
      </c>
      <c r="W18" s="293">
        <f>+W8-W16</f>
        <v>61</v>
      </c>
      <c r="X18" s="228">
        <f>+X8-X16</f>
        <v>132</v>
      </c>
      <c r="Y18" s="292">
        <f>+Y8-Y16</f>
        <v>163</v>
      </c>
      <c r="Z18" s="261">
        <f t="shared" si="18"/>
        <v>69</v>
      </c>
      <c r="AA18" s="1438">
        <f>+AA8-AA16</f>
        <v>114</v>
      </c>
      <c r="AB18" s="1439">
        <f>+AB8-AB16</f>
        <v>103</v>
      </c>
      <c r="AC18" s="1440">
        <f>+AC8-AC16</f>
        <v>449</v>
      </c>
      <c r="AD18" s="292">
        <f>+AD8-AD16</f>
        <v>169</v>
      </c>
      <c r="AE18" s="261">
        <f t="shared" si="18"/>
        <v>55</v>
      </c>
      <c r="AF18" s="1438">
        <f>+AF8-AF16</f>
        <v>102</v>
      </c>
      <c r="AG18" s="1439">
        <f>+AG8-AG16</f>
        <v>113</v>
      </c>
      <c r="AH18" s="1440">
        <f>+AH8-AH16</f>
        <v>439</v>
      </c>
      <c r="AI18" s="292">
        <f>+AI8-AI16</f>
        <v>204</v>
      </c>
      <c r="AJ18" s="261">
        <f t="shared" ref="AJ18" si="19">+AJ8-AJ16</f>
        <v>99</v>
      </c>
      <c r="AK18" s="1438">
        <f>+AK8-AK16</f>
        <v>109</v>
      </c>
      <c r="AL18" s="1439">
        <f>+AL8-AL16</f>
        <v>145</v>
      </c>
      <c r="AM18" s="1440">
        <f>+AM8-AM16</f>
        <v>557</v>
      </c>
      <c r="AN18" s="292">
        <f>+AN8-AN16</f>
        <v>187</v>
      </c>
      <c r="AO18" s="261">
        <f t="shared" ref="AO18" si="20">+AO8-AO16</f>
        <v>59</v>
      </c>
      <c r="AP18" s="1438">
        <f>+AP8-AP16</f>
        <v>115</v>
      </c>
      <c r="AQ18" s="1439">
        <f>+AQ8-AQ16</f>
        <v>189</v>
      </c>
      <c r="AR18" s="1440">
        <f>+AR8-AR16</f>
        <v>550</v>
      </c>
      <c r="AS18" s="292">
        <f>+AS8-AS16</f>
        <v>228</v>
      </c>
      <c r="AT18" s="261">
        <f t="shared" ref="AT18:AU18" si="21">+AT8-AT16</f>
        <v>98</v>
      </c>
      <c r="AU18" s="261">
        <f t="shared" si="21"/>
        <v>124</v>
      </c>
      <c r="AV18" s="1439">
        <f>+AV8-AV16</f>
        <v>163.99999999999989</v>
      </c>
      <c r="AW18" s="1440">
        <f>+AW8-AW16</f>
        <v>614</v>
      </c>
      <c r="AX18" s="292">
        <f t="shared" ref="AX18:BB18" si="22">+AX8-AX16</f>
        <v>193.48019254510007</v>
      </c>
      <c r="AY18" s="261">
        <f t="shared" si="22"/>
        <v>84.78955033801742</v>
      </c>
      <c r="AZ18" s="261">
        <f t="shared" si="22"/>
        <v>94.322380006724984</v>
      </c>
      <c r="BA18" s="293">
        <f t="shared" si="22"/>
        <v>127.17893912746058</v>
      </c>
      <c r="BB18" s="228">
        <f t="shared" si="22"/>
        <v>499.77106201730294</v>
      </c>
      <c r="BC18" s="292">
        <f t="shared" ref="BC18:BL18" si="23">+BC8-BC16</f>
        <v>187.43348294643886</v>
      </c>
      <c r="BD18" s="261">
        <f t="shared" si="23"/>
        <v>79.215424287894052</v>
      </c>
      <c r="BE18" s="261">
        <f t="shared" si="23"/>
        <v>122.03619018899133</v>
      </c>
      <c r="BF18" s="293">
        <f t="shared" si="23"/>
        <v>154.37324214825423</v>
      </c>
      <c r="BG18" s="228">
        <f t="shared" si="23"/>
        <v>543.05833957157802</v>
      </c>
      <c r="BH18" s="292">
        <f t="shared" si="23"/>
        <v>213.28968786466464</v>
      </c>
      <c r="BI18" s="261">
        <f t="shared" si="23"/>
        <v>104.937521724421</v>
      </c>
      <c r="BJ18" s="261">
        <f t="shared" si="23"/>
        <v>125.36560719411921</v>
      </c>
      <c r="BK18" s="293">
        <f t="shared" si="23"/>
        <v>157.74498700002846</v>
      </c>
      <c r="BL18" s="228">
        <f t="shared" si="23"/>
        <v>601.33780378323308</v>
      </c>
      <c r="BM18" s="292">
        <f t="shared" ref="BM18:BQ18" si="24">+BM8-BM16</f>
        <v>216.53184411956749</v>
      </c>
      <c r="BN18" s="261">
        <f t="shared" si="24"/>
        <v>108.88542824571562</v>
      </c>
      <c r="BO18" s="261">
        <f t="shared" si="24"/>
        <v>142.04749766450209</v>
      </c>
      <c r="BP18" s="293">
        <f t="shared" si="24"/>
        <v>174.59319272168943</v>
      </c>
      <c r="BQ18" s="228">
        <f t="shared" si="24"/>
        <v>642.05796275147486</v>
      </c>
      <c r="BR18" s="330"/>
      <c r="BS18" s="330"/>
      <c r="BT18" s="330"/>
      <c r="BU18" s="330"/>
      <c r="BV18" s="330"/>
      <c r="BW18" s="330"/>
      <c r="BX18" s="330"/>
      <c r="BY18" s="330"/>
      <c r="BZ18" s="330"/>
      <c r="CA18" s="330"/>
      <c r="CB18" s="330"/>
      <c r="CC18" s="330"/>
      <c r="CD18" s="330"/>
      <c r="CE18" s="330"/>
      <c r="CF18" s="330"/>
      <c r="CG18" s="330"/>
      <c r="CH18" s="330"/>
      <c r="CI18" s="330"/>
      <c r="CJ18" s="330"/>
      <c r="CK18" s="330"/>
      <c r="CL18" s="330"/>
      <c r="CM18" s="330"/>
      <c r="CN18" s="330"/>
      <c r="CO18" s="330"/>
      <c r="CP18" s="330"/>
      <c r="CQ18" s="330"/>
      <c r="CR18" s="330"/>
      <c r="CS18" s="330"/>
      <c r="CT18" s="330"/>
      <c r="CU18" s="330"/>
    </row>
    <row r="19" spans="1:104">
      <c r="A19" s="330"/>
      <c r="B19" s="330"/>
      <c r="C19" s="28"/>
      <c r="D19" s="330"/>
      <c r="E19" s="300"/>
      <c r="F19" s="264"/>
      <c r="G19" s="264"/>
      <c r="H19" s="299"/>
      <c r="I19" s="330"/>
      <c r="J19" s="300"/>
      <c r="K19" s="264"/>
      <c r="L19" s="264"/>
      <c r="M19" s="299"/>
      <c r="N19" s="330"/>
      <c r="O19" s="300"/>
      <c r="P19" s="264"/>
      <c r="Q19" s="264"/>
      <c r="R19" s="299"/>
      <c r="S19" s="330"/>
      <c r="T19" s="300"/>
      <c r="U19" s="264"/>
      <c r="V19" s="264"/>
      <c r="W19" s="299"/>
      <c r="X19" s="330"/>
      <c r="Y19" s="300"/>
      <c r="Z19" s="264"/>
      <c r="AA19" s="1441"/>
      <c r="AB19" s="1442"/>
      <c r="AC19" s="1443"/>
      <c r="AD19" s="300"/>
      <c r="AE19" s="264"/>
      <c r="AF19" s="1441"/>
      <c r="AG19" s="1442"/>
      <c r="AH19" s="1443"/>
      <c r="AI19" s="300"/>
      <c r="AJ19" s="264"/>
      <c r="AK19" s="1441"/>
      <c r="AL19" s="1442"/>
      <c r="AM19" s="1443"/>
      <c r="AN19" s="300"/>
      <c r="AO19" s="264"/>
      <c r="AP19" s="1441"/>
      <c r="AQ19" s="1442"/>
      <c r="AR19" s="1443"/>
      <c r="AS19" s="300"/>
      <c r="AT19" s="264"/>
      <c r="AU19" s="264"/>
      <c r="AV19" s="1442"/>
      <c r="AW19" s="1443"/>
      <c r="AX19" s="300"/>
      <c r="AY19" s="264"/>
      <c r="AZ19" s="264"/>
      <c r="BA19" s="299"/>
      <c r="BB19" s="330"/>
      <c r="BC19" s="300"/>
      <c r="BD19" s="264"/>
      <c r="BE19" s="264"/>
      <c r="BF19" s="299"/>
      <c r="BG19" s="330"/>
      <c r="BH19" s="300"/>
      <c r="BI19" s="264"/>
      <c r="BJ19" s="264"/>
      <c r="BK19" s="299"/>
      <c r="BL19" s="330"/>
      <c r="BM19" s="300"/>
      <c r="BN19" s="264"/>
      <c r="BO19" s="264"/>
      <c r="BP19" s="299"/>
      <c r="BQ19" s="330"/>
      <c r="BR19" s="330"/>
      <c r="BS19" s="330"/>
      <c r="BT19" s="330"/>
      <c r="BU19" s="330"/>
      <c r="BV19" s="330"/>
      <c r="BW19" s="330"/>
      <c r="BX19" s="330"/>
      <c r="BY19" s="330"/>
      <c r="BZ19" s="330"/>
      <c r="CA19" s="330"/>
      <c r="CB19" s="330"/>
      <c r="CC19" s="330"/>
      <c r="CD19" s="330"/>
      <c r="CE19" s="330"/>
      <c r="CF19" s="330"/>
      <c r="CG19" s="330"/>
      <c r="CH19" s="330"/>
      <c r="CI19" s="330"/>
      <c r="CJ19" s="330"/>
      <c r="CK19" s="330"/>
      <c r="CL19" s="330"/>
      <c r="CM19" s="330"/>
      <c r="CN19" s="330"/>
      <c r="CO19" s="330"/>
      <c r="CP19" s="330"/>
      <c r="CQ19" s="330"/>
      <c r="CR19" s="330"/>
      <c r="CS19" s="330"/>
      <c r="CT19" s="330"/>
      <c r="CU19" s="330"/>
    </row>
    <row r="20" spans="1:104">
      <c r="A20" s="330"/>
      <c r="B20" s="330"/>
      <c r="C20" s="28" t="s">
        <v>620</v>
      </c>
      <c r="D20" s="330"/>
      <c r="E20" s="335">
        <v>2</v>
      </c>
      <c r="F20" s="336">
        <f>4.2-E20</f>
        <v>2.2000000000000002</v>
      </c>
      <c r="G20" s="336">
        <f>6.1-E20-F20</f>
        <v>1.8999999999999995</v>
      </c>
      <c r="H20" s="588">
        <f>I20-SUM(E20:G20)</f>
        <v>2.0999999999999996</v>
      </c>
      <c r="I20" s="427">
        <v>8.1999999999999993</v>
      </c>
      <c r="J20" s="335">
        <v>2.5</v>
      </c>
      <c r="K20" s="336">
        <f>5.2-J20</f>
        <v>2.7</v>
      </c>
      <c r="L20" s="336">
        <f>7.7-J20-K20</f>
        <v>2.5</v>
      </c>
      <c r="M20" s="588">
        <f>N20-SUM(J20:L20)</f>
        <v>2.8</v>
      </c>
      <c r="N20" s="427">
        <v>10.5</v>
      </c>
      <c r="O20" s="335">
        <v>3.5</v>
      </c>
      <c r="P20" s="336">
        <f>7-O20</f>
        <v>3.5</v>
      </c>
      <c r="Q20" s="336">
        <f>10.7-O20-P20</f>
        <v>3.6999999999999993</v>
      </c>
      <c r="R20" s="291">
        <f>S20-SUM(O20:Q20)</f>
        <v>4.4000000000000004</v>
      </c>
      <c r="S20" s="427">
        <v>15.1</v>
      </c>
      <c r="T20" s="335">
        <v>3</v>
      </c>
      <c r="U20" s="336">
        <v>2</v>
      </c>
      <c r="V20" s="336">
        <v>2</v>
      </c>
      <c r="W20" s="291">
        <f>X20-SUM(T20:V20)</f>
        <v>3</v>
      </c>
      <c r="X20" s="427">
        <v>10</v>
      </c>
      <c r="Y20" s="335">
        <v>2</v>
      </c>
      <c r="Z20" s="336">
        <v>2</v>
      </c>
      <c r="AA20" s="1435">
        <v>1</v>
      </c>
      <c r="AB20" s="1442">
        <f>AC20-SUM(Y20:AA20)</f>
        <v>2</v>
      </c>
      <c r="AC20" s="1437">
        <v>7</v>
      </c>
      <c r="AD20" s="335">
        <v>3</v>
      </c>
      <c r="AE20" s="336">
        <v>3</v>
      </c>
      <c r="AF20" s="1435">
        <v>3</v>
      </c>
      <c r="AG20" s="1442">
        <f>AH20-SUM(AD20:AF20)</f>
        <v>3</v>
      </c>
      <c r="AH20" s="1437">
        <v>12</v>
      </c>
      <c r="AI20" s="335">
        <v>3</v>
      </c>
      <c r="AJ20" s="336">
        <v>3</v>
      </c>
      <c r="AK20" s="1435">
        <v>4</v>
      </c>
      <c r="AL20" s="1442">
        <f>AM20-SUM(AI20:AK20)</f>
        <v>4</v>
      </c>
      <c r="AM20" s="1437">
        <v>14</v>
      </c>
      <c r="AN20" s="335">
        <v>3</v>
      </c>
      <c r="AO20" s="336">
        <v>5</v>
      </c>
      <c r="AP20" s="1435">
        <v>5</v>
      </c>
      <c r="AQ20" s="1442">
        <f>AR20-SUM(AN20:AP20)</f>
        <v>6</v>
      </c>
      <c r="AR20" s="1437">
        <v>19</v>
      </c>
      <c r="AS20" s="335">
        <v>4</v>
      </c>
      <c r="AT20" s="336">
        <v>4</v>
      </c>
      <c r="AU20" s="336">
        <v>4</v>
      </c>
      <c r="AV20" s="1442">
        <f>AW20-SUM(AS20:AU20)</f>
        <v>4</v>
      </c>
      <c r="AW20" s="1437">
        <v>16</v>
      </c>
      <c r="AX20" s="300">
        <f>AX171</f>
        <v>4.4217687074829923</v>
      </c>
      <c r="AY20" s="264">
        <f>AY171</f>
        <v>4.4217687074829923</v>
      </c>
      <c r="AZ20" s="264">
        <f>AZ171</f>
        <v>4.4217687074829923</v>
      </c>
      <c r="BA20" s="299">
        <f>BA171</f>
        <v>4.4217687074829923</v>
      </c>
      <c r="BB20" s="330">
        <f>SUM(AX20:BA20)</f>
        <v>17.687074829931969</v>
      </c>
      <c r="BC20" s="300">
        <f>BC171</f>
        <v>5.1020408163265305</v>
      </c>
      <c r="BD20" s="264">
        <f>BD171</f>
        <v>5.1020408163265305</v>
      </c>
      <c r="BE20" s="264">
        <f>BE171</f>
        <v>5.1020408163265305</v>
      </c>
      <c r="BF20" s="299">
        <f>BF171</f>
        <v>5.1020408163265305</v>
      </c>
      <c r="BG20" s="330">
        <f>SUM(BC20:BF20)</f>
        <v>20.408163265306122</v>
      </c>
      <c r="BH20" s="300">
        <f>BH171</f>
        <v>4.8752834467120181</v>
      </c>
      <c r="BI20" s="264">
        <f>BI171</f>
        <v>4.8752834467120181</v>
      </c>
      <c r="BJ20" s="264">
        <f>BJ171</f>
        <v>4.8752834467120181</v>
      </c>
      <c r="BK20" s="299">
        <f>BK171</f>
        <v>4.8752834467120181</v>
      </c>
      <c r="BL20" s="330">
        <f>SUM(BH20:BK20)</f>
        <v>19.501133786848072</v>
      </c>
      <c r="BM20" s="300">
        <f>BM171</f>
        <v>4.4217687074829923</v>
      </c>
      <c r="BN20" s="264">
        <f>BN171</f>
        <v>4.4217687074829923</v>
      </c>
      <c r="BO20" s="264">
        <f>BO171</f>
        <v>4.4217687074829923</v>
      </c>
      <c r="BP20" s="299">
        <f>BP171</f>
        <v>4.4217687074829923</v>
      </c>
      <c r="BQ20" s="330">
        <f>SUM(BM20:BP20)</f>
        <v>17.687074829931969</v>
      </c>
      <c r="BR20" s="330"/>
      <c r="BS20" s="330"/>
      <c r="BT20" s="330"/>
      <c r="BU20" s="330"/>
      <c r="BV20" s="330"/>
      <c r="BW20" s="330"/>
      <c r="BX20" s="330"/>
      <c r="BY20" s="330"/>
      <c r="BZ20" s="330"/>
      <c r="CA20" s="330"/>
      <c r="CB20" s="330"/>
      <c r="CC20" s="330"/>
      <c r="CD20" s="330"/>
      <c r="CE20" s="330"/>
      <c r="CF20" s="330"/>
      <c r="CG20" s="330"/>
      <c r="CH20" s="330"/>
      <c r="CI20" s="330"/>
      <c r="CJ20" s="330"/>
      <c r="CK20" s="330"/>
      <c r="CL20" s="330"/>
      <c r="CM20" s="330"/>
      <c r="CN20" s="330"/>
      <c r="CO20" s="330"/>
      <c r="CP20" s="330"/>
      <c r="CQ20" s="330"/>
      <c r="CR20" s="330"/>
      <c r="CS20" s="330"/>
      <c r="CT20" s="330"/>
      <c r="CU20" s="330"/>
    </row>
    <row r="21" spans="1:104">
      <c r="A21" s="330"/>
      <c r="B21" s="330"/>
      <c r="C21" s="28" t="s">
        <v>123</v>
      </c>
      <c r="D21" s="330"/>
      <c r="E21" s="335">
        <f>7.5-E20</f>
        <v>5.5</v>
      </c>
      <c r="F21" s="336">
        <f>7.2-F20</f>
        <v>5</v>
      </c>
      <c r="G21" s="336">
        <f>7-G20</f>
        <v>5.1000000000000005</v>
      </c>
      <c r="H21" s="588">
        <f>I21-SUM(E21:G21)</f>
        <v>-18.400000000000002</v>
      </c>
      <c r="I21" s="427">
        <f>25.4-20-I20</f>
        <v>-2.8000000000000007</v>
      </c>
      <c r="J21" s="335">
        <f>6.5-J20</f>
        <v>4</v>
      </c>
      <c r="K21" s="336">
        <f>5.5-K20</f>
        <v>2.8</v>
      </c>
      <c r="L21" s="336">
        <f>5.2-L20</f>
        <v>2.7</v>
      </c>
      <c r="M21" s="588">
        <f>N21-SUM(J21:L21)</f>
        <v>0.80000000000000071</v>
      </c>
      <c r="N21" s="427">
        <f>20.8-N20</f>
        <v>10.3</v>
      </c>
      <c r="O21" s="335">
        <f>6.1-O20</f>
        <v>2.5999999999999996</v>
      </c>
      <c r="P21" s="336">
        <f>6.1-9.2-P20</f>
        <v>-6.6</v>
      </c>
      <c r="Q21" s="336">
        <f>6.4-2.2-Q20</f>
        <v>0.50000000000000089</v>
      </c>
      <c r="R21" s="291">
        <f>S21-SUM(O21:Q21)</f>
        <v>-20.9</v>
      </c>
      <c r="S21" s="427">
        <f>21-30.3-S20</f>
        <v>-24.4</v>
      </c>
      <c r="T21" s="335">
        <f>6-T20</f>
        <v>3</v>
      </c>
      <c r="U21" s="336">
        <f>7-U20</f>
        <v>5</v>
      </c>
      <c r="V21" s="336">
        <f>5-V20</f>
        <v>3</v>
      </c>
      <c r="W21" s="291">
        <f>X21-SUM(T21:V21)</f>
        <v>2</v>
      </c>
      <c r="X21" s="427">
        <f>23-X20</f>
        <v>13</v>
      </c>
      <c r="Y21" s="335">
        <f>5-Y20</f>
        <v>3</v>
      </c>
      <c r="Z21" s="336">
        <f>4-Z20</f>
        <v>2</v>
      </c>
      <c r="AA21" s="1435">
        <f>4-AA20</f>
        <v>3</v>
      </c>
      <c r="AB21" s="1442">
        <f>AC21-SUM(Y21:AA21)</f>
        <v>2</v>
      </c>
      <c r="AC21" s="1437">
        <f>17-AC20</f>
        <v>10</v>
      </c>
      <c r="AD21" s="335">
        <f>4-AD20</f>
        <v>1</v>
      </c>
      <c r="AE21" s="336">
        <f>5-AE20</f>
        <v>2</v>
      </c>
      <c r="AF21" s="1435">
        <f>4-AF20</f>
        <v>1</v>
      </c>
      <c r="AG21" s="1442">
        <f>AH21-SUM(AD21:AF21)</f>
        <v>2</v>
      </c>
      <c r="AH21" s="1437">
        <f>18-AH20</f>
        <v>6</v>
      </c>
      <c r="AI21" s="335">
        <f>4-AI20</f>
        <v>1</v>
      </c>
      <c r="AJ21" s="336">
        <f>4-AJ20</f>
        <v>1</v>
      </c>
      <c r="AK21" s="1435">
        <f>4+1-AK20</f>
        <v>1</v>
      </c>
      <c r="AL21" s="1442">
        <f>AM21-SUM(AI21:AK21)</f>
        <v>2</v>
      </c>
      <c r="AM21" s="1437">
        <f>1+18-AM20</f>
        <v>5</v>
      </c>
      <c r="AN21" s="335">
        <f>4-AN20</f>
        <v>1</v>
      </c>
      <c r="AO21" s="336">
        <f>5-AO20</f>
        <v>0</v>
      </c>
      <c r="AP21" s="1435">
        <f>5-AP20</f>
        <v>0</v>
      </c>
      <c r="AQ21" s="1442">
        <f>AR21-SUM(AN21:AP21)</f>
        <v>1</v>
      </c>
      <c r="AR21" s="1437">
        <f>21-AR20</f>
        <v>2</v>
      </c>
      <c r="AS21" s="335">
        <f>4-AS20</f>
        <v>0</v>
      </c>
      <c r="AT21" s="336">
        <f>4-AT20</f>
        <v>0</v>
      </c>
      <c r="AU21" s="336">
        <f t="shared" ref="AU21" si="25">4-AU20</f>
        <v>0</v>
      </c>
      <c r="AV21" s="1442">
        <f>AW21-SUM(AS21:AU21)</f>
        <v>0</v>
      </c>
      <c r="AW21" s="1437">
        <f>16-AW20</f>
        <v>0</v>
      </c>
      <c r="AX21" s="814">
        <v>0</v>
      </c>
      <c r="AY21" s="262">
        <v>0</v>
      </c>
      <c r="AZ21" s="262">
        <v>0</v>
      </c>
      <c r="BA21" s="294">
        <v>0</v>
      </c>
      <c r="BB21" s="330">
        <f>SUM(AX21:BA21)</f>
        <v>0</v>
      </c>
      <c r="BC21" s="814">
        <v>0</v>
      </c>
      <c r="BD21" s="262">
        <v>0</v>
      </c>
      <c r="BE21" s="262">
        <v>0</v>
      </c>
      <c r="BF21" s="294">
        <v>0</v>
      </c>
      <c r="BG21" s="330">
        <f>SUM(BC21:BF21)</f>
        <v>0</v>
      </c>
      <c r="BH21" s="814">
        <v>0</v>
      </c>
      <c r="BI21" s="262">
        <v>0</v>
      </c>
      <c r="BJ21" s="262">
        <v>0</v>
      </c>
      <c r="BK21" s="294">
        <v>0</v>
      </c>
      <c r="BL21" s="330">
        <f>SUM(BH21:BK21)</f>
        <v>0</v>
      </c>
      <c r="BM21" s="814">
        <v>0</v>
      </c>
      <c r="BN21" s="262">
        <v>0</v>
      </c>
      <c r="BO21" s="262">
        <v>0</v>
      </c>
      <c r="BP21" s="294">
        <v>0</v>
      </c>
      <c r="BQ21" s="330">
        <f>SUM(BM21:BP21)</f>
        <v>0</v>
      </c>
      <c r="BR21" s="330"/>
      <c r="BS21" s="330"/>
      <c r="BT21" s="330"/>
      <c r="BU21" s="330"/>
      <c r="BV21" s="330"/>
      <c r="BW21" s="330"/>
      <c r="BX21" s="330"/>
      <c r="BY21" s="330"/>
      <c r="BZ21" s="330"/>
      <c r="CA21" s="330"/>
      <c r="CB21" s="330"/>
      <c r="CC21" s="330"/>
      <c r="CD21" s="330"/>
      <c r="CE21" s="330"/>
      <c r="CF21" s="330"/>
      <c r="CG21" s="330"/>
      <c r="CH21" s="330"/>
      <c r="CI21" s="330"/>
      <c r="CJ21" s="330"/>
      <c r="CK21" s="330"/>
      <c r="CL21" s="330"/>
      <c r="CM21" s="330"/>
      <c r="CN21" s="330"/>
      <c r="CO21" s="330"/>
      <c r="CP21" s="330"/>
      <c r="CQ21" s="330"/>
      <c r="CR21" s="330"/>
      <c r="CS21" s="330"/>
      <c r="CT21" s="330"/>
      <c r="CU21" s="330"/>
    </row>
    <row r="22" spans="1:104" s="34" customFormat="1">
      <c r="A22" s="228"/>
      <c r="B22" s="228"/>
      <c r="C22" s="32" t="s">
        <v>86</v>
      </c>
      <c r="D22" s="228"/>
      <c r="E22" s="292">
        <f t="shared" ref="E22:L22" si="26">SUM(E20:E21)</f>
        <v>7.5</v>
      </c>
      <c r="F22" s="261">
        <f t="shared" si="26"/>
        <v>7.2</v>
      </c>
      <c r="G22" s="261">
        <f t="shared" si="26"/>
        <v>7</v>
      </c>
      <c r="H22" s="293">
        <f t="shared" si="26"/>
        <v>-16.300000000000004</v>
      </c>
      <c r="I22" s="228">
        <f t="shared" si="26"/>
        <v>5.3999999999999986</v>
      </c>
      <c r="J22" s="292">
        <f t="shared" si="26"/>
        <v>6.5</v>
      </c>
      <c r="K22" s="261">
        <f t="shared" si="26"/>
        <v>5.5</v>
      </c>
      <c r="L22" s="261">
        <f t="shared" si="26"/>
        <v>5.2</v>
      </c>
      <c r="M22" s="293">
        <f t="shared" ref="M22:U22" si="27">SUM(M20:M21)</f>
        <v>3.6000000000000005</v>
      </c>
      <c r="N22" s="228">
        <f t="shared" si="27"/>
        <v>20.8</v>
      </c>
      <c r="O22" s="292">
        <f t="shared" si="27"/>
        <v>6.1</v>
      </c>
      <c r="P22" s="261">
        <f t="shared" si="27"/>
        <v>-3.0999999999999996</v>
      </c>
      <c r="Q22" s="261">
        <f t="shared" si="27"/>
        <v>4.2</v>
      </c>
      <c r="R22" s="293">
        <f t="shared" si="27"/>
        <v>-16.5</v>
      </c>
      <c r="S22" s="228">
        <f t="shared" si="27"/>
        <v>-9.2999999999999989</v>
      </c>
      <c r="T22" s="292">
        <f t="shared" si="27"/>
        <v>6</v>
      </c>
      <c r="U22" s="261">
        <f t="shared" si="27"/>
        <v>7</v>
      </c>
      <c r="V22" s="261">
        <f>SUM(V20:V21)</f>
        <v>5</v>
      </c>
      <c r="W22" s="293">
        <f>SUM(W20:W21)</f>
        <v>5</v>
      </c>
      <c r="X22" s="228">
        <f>SUM(X20:X21)</f>
        <v>23</v>
      </c>
      <c r="Y22" s="292">
        <f>SUM(Y20:Y21)</f>
        <v>5</v>
      </c>
      <c r="Z22" s="261">
        <f t="shared" ref="Z22:AE22" si="28">SUM(Z20:Z21)</f>
        <v>4</v>
      </c>
      <c r="AA22" s="1438">
        <f>SUM(AA20:AA21)</f>
        <v>4</v>
      </c>
      <c r="AB22" s="1439">
        <f>SUM(AB20:AB21)</f>
        <v>4</v>
      </c>
      <c r="AC22" s="1440">
        <f>SUM(AC20:AC21)</f>
        <v>17</v>
      </c>
      <c r="AD22" s="292">
        <f>SUM(AD20:AD21)</f>
        <v>4</v>
      </c>
      <c r="AE22" s="261">
        <f t="shared" si="28"/>
        <v>5</v>
      </c>
      <c r="AF22" s="1438">
        <f>SUM(AF20:AF21)</f>
        <v>4</v>
      </c>
      <c r="AG22" s="1439">
        <f>SUM(AG20:AG21)</f>
        <v>5</v>
      </c>
      <c r="AH22" s="1440">
        <f>SUM(AH20:AH21)</f>
        <v>18</v>
      </c>
      <c r="AI22" s="292">
        <f>SUM(AI20:AI21)</f>
        <v>4</v>
      </c>
      <c r="AJ22" s="261">
        <f t="shared" ref="AJ22" si="29">SUM(AJ20:AJ21)</f>
        <v>4</v>
      </c>
      <c r="AK22" s="1438">
        <f>SUM(AK20:AK21)</f>
        <v>5</v>
      </c>
      <c r="AL22" s="1439">
        <f>SUM(AL20:AL21)</f>
        <v>6</v>
      </c>
      <c r="AM22" s="1440">
        <f>SUM(AM20:AM21)</f>
        <v>19</v>
      </c>
      <c r="AN22" s="292">
        <f>SUM(AN20:AN21)</f>
        <v>4</v>
      </c>
      <c r="AO22" s="261">
        <f t="shared" ref="AO22" si="30">SUM(AO20:AO21)</f>
        <v>5</v>
      </c>
      <c r="AP22" s="1438">
        <f>SUM(AP20:AP21)</f>
        <v>5</v>
      </c>
      <c r="AQ22" s="1439">
        <f>SUM(AQ20:AQ21)</f>
        <v>7</v>
      </c>
      <c r="AR22" s="1440">
        <f>SUM(AR20:AR21)</f>
        <v>21</v>
      </c>
      <c r="AS22" s="292">
        <f>SUM(AS20:AS21)</f>
        <v>4</v>
      </c>
      <c r="AT22" s="261">
        <f t="shared" ref="AT22:AU22" si="31">SUM(AT20:AT21)</f>
        <v>4</v>
      </c>
      <c r="AU22" s="261">
        <f t="shared" si="31"/>
        <v>4</v>
      </c>
      <c r="AV22" s="1439">
        <f>SUM(AV20:AV21)</f>
        <v>4</v>
      </c>
      <c r="AW22" s="1440">
        <f>SUM(AW20:AW21)</f>
        <v>16</v>
      </c>
      <c r="AX22" s="292">
        <f t="shared" ref="AX22:BB22" si="32">SUM(AX20:AX21)</f>
        <v>4.4217687074829923</v>
      </c>
      <c r="AY22" s="261">
        <f t="shared" si="32"/>
        <v>4.4217687074829923</v>
      </c>
      <c r="AZ22" s="261">
        <f t="shared" si="32"/>
        <v>4.4217687074829923</v>
      </c>
      <c r="BA22" s="293">
        <f t="shared" si="32"/>
        <v>4.4217687074829923</v>
      </c>
      <c r="BB22" s="228">
        <f t="shared" si="32"/>
        <v>17.687074829931969</v>
      </c>
      <c r="BC22" s="292">
        <f t="shared" ref="BC22:BL22" si="33">SUM(BC20:BC21)</f>
        <v>5.1020408163265305</v>
      </c>
      <c r="BD22" s="261">
        <f t="shared" si="33"/>
        <v>5.1020408163265305</v>
      </c>
      <c r="BE22" s="261">
        <f t="shared" si="33"/>
        <v>5.1020408163265305</v>
      </c>
      <c r="BF22" s="293">
        <f t="shared" si="33"/>
        <v>5.1020408163265305</v>
      </c>
      <c r="BG22" s="228">
        <f t="shared" si="33"/>
        <v>20.408163265306122</v>
      </c>
      <c r="BH22" s="292">
        <f t="shared" si="33"/>
        <v>4.8752834467120181</v>
      </c>
      <c r="BI22" s="261">
        <f t="shared" si="33"/>
        <v>4.8752834467120181</v>
      </c>
      <c r="BJ22" s="261">
        <f t="shared" si="33"/>
        <v>4.8752834467120181</v>
      </c>
      <c r="BK22" s="293">
        <f t="shared" si="33"/>
        <v>4.8752834467120181</v>
      </c>
      <c r="BL22" s="228">
        <f t="shared" si="33"/>
        <v>19.501133786848072</v>
      </c>
      <c r="BM22" s="292">
        <f t="shared" ref="BM22:BQ22" si="34">SUM(BM20:BM21)</f>
        <v>4.4217687074829923</v>
      </c>
      <c r="BN22" s="261">
        <f t="shared" si="34"/>
        <v>4.4217687074829923</v>
      </c>
      <c r="BO22" s="261">
        <f t="shared" si="34"/>
        <v>4.4217687074829923</v>
      </c>
      <c r="BP22" s="293">
        <f t="shared" si="34"/>
        <v>4.4217687074829923</v>
      </c>
      <c r="BQ22" s="228">
        <f t="shared" si="34"/>
        <v>17.687074829931969</v>
      </c>
      <c r="BR22" s="228"/>
      <c r="BS22" s="228"/>
      <c r="BT22" s="228"/>
      <c r="BU22" s="228"/>
      <c r="BV22" s="228"/>
      <c r="BW22" s="228"/>
      <c r="BX22" s="228"/>
      <c r="BY22" s="228"/>
      <c r="BZ22" s="228"/>
      <c r="CA22" s="228"/>
      <c r="CB22" s="228"/>
      <c r="CC22" s="228"/>
      <c r="CD22" s="228"/>
      <c r="CE22" s="228"/>
      <c r="CF22" s="228"/>
      <c r="CG22" s="228"/>
      <c r="CH22" s="228"/>
      <c r="CI22" s="228"/>
      <c r="CJ22" s="228"/>
      <c r="CK22" s="228"/>
      <c r="CL22" s="228"/>
      <c r="CM22" s="228"/>
      <c r="CN22" s="228"/>
      <c r="CO22" s="228"/>
      <c r="CP22" s="228"/>
      <c r="CQ22" s="228"/>
      <c r="CR22" s="228"/>
      <c r="CS22" s="228"/>
      <c r="CT22" s="228"/>
      <c r="CU22" s="228"/>
    </row>
    <row r="23" spans="1:104">
      <c r="A23" s="330"/>
      <c r="B23" s="330"/>
      <c r="C23" s="28"/>
      <c r="D23" s="330"/>
      <c r="E23" s="306"/>
      <c r="F23" s="266"/>
      <c r="G23" s="266"/>
      <c r="H23" s="307"/>
      <c r="I23" s="426"/>
      <c r="J23" s="306"/>
      <c r="K23" s="266"/>
      <c r="L23" s="266"/>
      <c r="M23" s="307"/>
      <c r="N23" s="426"/>
      <c r="O23" s="306"/>
      <c r="P23" s="264"/>
      <c r="Q23" s="266"/>
      <c r="R23" s="307"/>
      <c r="S23" s="426"/>
      <c r="T23" s="306"/>
      <c r="U23" s="266"/>
      <c r="V23" s="266"/>
      <c r="W23" s="307"/>
      <c r="X23" s="426"/>
      <c r="Y23" s="306"/>
      <c r="Z23" s="266"/>
      <c r="AA23" s="1444"/>
      <c r="AB23" s="1445"/>
      <c r="AC23" s="1446"/>
      <c r="AD23" s="306"/>
      <c r="AE23" s="266"/>
      <c r="AF23" s="1444"/>
      <c r="AG23" s="1445"/>
      <c r="AH23" s="1446"/>
      <c r="AI23" s="306"/>
      <c r="AJ23" s="266"/>
      <c r="AK23" s="1444"/>
      <c r="AL23" s="1445"/>
      <c r="AM23" s="1446"/>
      <c r="AN23" s="306"/>
      <c r="AO23" s="266"/>
      <c r="AP23" s="1444"/>
      <c r="AQ23" s="1445"/>
      <c r="AR23" s="1446"/>
      <c r="AS23" s="306"/>
      <c r="AT23" s="266"/>
      <c r="AU23" s="264"/>
      <c r="AV23" s="1445"/>
      <c r="AW23" s="1446"/>
      <c r="AX23" s="300"/>
      <c r="AY23" s="264"/>
      <c r="AZ23" s="264"/>
      <c r="BA23" s="299"/>
      <c r="BB23" s="330"/>
      <c r="BC23" s="300"/>
      <c r="BD23" s="264"/>
      <c r="BE23" s="264"/>
      <c r="BF23" s="299"/>
      <c r="BG23" s="330"/>
      <c r="BH23" s="300"/>
      <c r="BI23" s="264"/>
      <c r="BJ23" s="264"/>
      <c r="BK23" s="299"/>
      <c r="BL23" s="330"/>
      <c r="BM23" s="300"/>
      <c r="BN23" s="264"/>
      <c r="BO23" s="264"/>
      <c r="BP23" s="299"/>
      <c r="BQ23" s="330"/>
      <c r="BR23" s="330"/>
      <c r="BS23" s="330"/>
      <c r="BT23" s="330"/>
      <c r="BU23" s="330"/>
      <c r="BV23" s="330"/>
      <c r="BW23" s="330"/>
      <c r="BX23" s="330"/>
      <c r="BY23" s="330"/>
      <c r="BZ23" s="584"/>
      <c r="CA23" s="330"/>
      <c r="CB23" s="330"/>
      <c r="CC23" s="330"/>
      <c r="CD23" s="330"/>
      <c r="CE23" s="330"/>
      <c r="CF23" s="330"/>
      <c r="CG23" s="330"/>
      <c r="CH23" s="330"/>
      <c r="CI23" s="330"/>
      <c r="CJ23" s="330"/>
      <c r="CK23" s="330"/>
      <c r="CL23" s="330"/>
      <c r="CM23" s="330"/>
      <c r="CN23" s="330"/>
      <c r="CO23" s="330"/>
      <c r="CP23" s="330"/>
      <c r="CQ23" s="330"/>
      <c r="CR23" s="330"/>
      <c r="CS23" s="330"/>
      <c r="CT23" s="330"/>
      <c r="CU23" s="330"/>
    </row>
    <row r="24" spans="1:104">
      <c r="A24" s="330"/>
      <c r="B24" s="330"/>
      <c r="C24" s="32" t="s">
        <v>475</v>
      </c>
      <c r="D24" s="330"/>
      <c r="E24" s="292">
        <f t="shared" ref="E24:M24" si="35">E18+E22</f>
        <v>176.19999999999982</v>
      </c>
      <c r="F24" s="261">
        <f t="shared" si="35"/>
        <v>61.500000000000071</v>
      </c>
      <c r="G24" s="261">
        <f t="shared" si="35"/>
        <v>85.699999999999932</v>
      </c>
      <c r="H24" s="293">
        <f>H18+H22</f>
        <v>-29.599999999999959</v>
      </c>
      <c r="I24" s="228">
        <f t="shared" si="35"/>
        <v>293.80000000000007</v>
      </c>
      <c r="J24" s="292">
        <f t="shared" si="35"/>
        <v>143.39999999999986</v>
      </c>
      <c r="K24" s="261">
        <f t="shared" si="35"/>
        <v>61.399999999999977</v>
      </c>
      <c r="L24" s="261">
        <f t="shared" si="35"/>
        <v>80.800000000000026</v>
      </c>
      <c r="M24" s="293">
        <f t="shared" si="35"/>
        <v>89.399999999999949</v>
      </c>
      <c r="N24" s="228">
        <f t="shared" ref="N24:S24" si="36">N18+N22</f>
        <v>375.00000000000028</v>
      </c>
      <c r="O24" s="292">
        <f t="shared" si="36"/>
        <v>159.49999999999997</v>
      </c>
      <c r="P24" s="261">
        <f t="shared" si="36"/>
        <v>58.80000000000009</v>
      </c>
      <c r="Q24" s="261">
        <f t="shared" si="36"/>
        <v>29.2</v>
      </c>
      <c r="R24" s="293">
        <f t="shared" si="36"/>
        <v>88.300000000000296</v>
      </c>
      <c r="S24" s="228">
        <f t="shared" si="36"/>
        <v>335.80000000000035</v>
      </c>
      <c r="T24" s="292">
        <f t="shared" ref="T24:Z24" si="37">T18+T22</f>
        <v>-5</v>
      </c>
      <c r="U24" s="261">
        <f>U18+U22</f>
        <v>59</v>
      </c>
      <c r="V24" s="261">
        <f>V18+V22</f>
        <v>35</v>
      </c>
      <c r="W24" s="293">
        <f>W18+W22</f>
        <v>66</v>
      </c>
      <c r="X24" s="228">
        <f>X18+X22</f>
        <v>155</v>
      </c>
      <c r="Y24" s="292">
        <f>Y18+Y22</f>
        <v>168</v>
      </c>
      <c r="Z24" s="261">
        <f t="shared" si="37"/>
        <v>73</v>
      </c>
      <c r="AA24" s="1438">
        <f t="shared" ref="AA24:AH24" si="38">AA18+AA22</f>
        <v>118</v>
      </c>
      <c r="AB24" s="1439">
        <f t="shared" si="38"/>
        <v>107</v>
      </c>
      <c r="AC24" s="1440">
        <f t="shared" si="38"/>
        <v>466</v>
      </c>
      <c r="AD24" s="292">
        <f t="shared" si="38"/>
        <v>173</v>
      </c>
      <c r="AE24" s="261">
        <f t="shared" si="38"/>
        <v>60</v>
      </c>
      <c r="AF24" s="1438">
        <f t="shared" si="38"/>
        <v>106</v>
      </c>
      <c r="AG24" s="1439">
        <f t="shared" si="38"/>
        <v>118</v>
      </c>
      <c r="AH24" s="1440">
        <f t="shared" si="38"/>
        <v>457</v>
      </c>
      <c r="AI24" s="292">
        <f t="shared" ref="AI24:AM24" si="39">AI18+AI22</f>
        <v>208</v>
      </c>
      <c r="AJ24" s="261">
        <f t="shared" si="39"/>
        <v>103</v>
      </c>
      <c r="AK24" s="1438">
        <f t="shared" si="39"/>
        <v>114</v>
      </c>
      <c r="AL24" s="1439">
        <f t="shared" si="39"/>
        <v>151</v>
      </c>
      <c r="AM24" s="1440">
        <f t="shared" si="39"/>
        <v>576</v>
      </c>
      <c r="AN24" s="292">
        <f t="shared" ref="AN24:AR24" si="40">AN18+AN22</f>
        <v>191</v>
      </c>
      <c r="AO24" s="261">
        <f t="shared" si="40"/>
        <v>64</v>
      </c>
      <c r="AP24" s="1438">
        <f t="shared" si="40"/>
        <v>120</v>
      </c>
      <c r="AQ24" s="1439">
        <f t="shared" si="40"/>
        <v>196</v>
      </c>
      <c r="AR24" s="1440">
        <f t="shared" si="40"/>
        <v>571</v>
      </c>
      <c r="AS24" s="292">
        <f t="shared" ref="AS24:AT24" si="41">AS18+AS22</f>
        <v>232</v>
      </c>
      <c r="AT24" s="261">
        <f t="shared" si="41"/>
        <v>102</v>
      </c>
      <c r="AU24" s="261">
        <f t="shared" ref="AU24:AW24" si="42">AU18+AU22</f>
        <v>128</v>
      </c>
      <c r="AV24" s="1439">
        <f t="shared" si="42"/>
        <v>167.99999999999989</v>
      </c>
      <c r="AW24" s="1440">
        <f t="shared" si="42"/>
        <v>630</v>
      </c>
      <c r="AX24" s="292">
        <f t="shared" ref="AX24:BB24" si="43">AX18+AX22</f>
        <v>197.90196125258305</v>
      </c>
      <c r="AY24" s="261">
        <f t="shared" si="43"/>
        <v>89.211319045500417</v>
      </c>
      <c r="AZ24" s="261">
        <f t="shared" si="43"/>
        <v>98.744148714207981</v>
      </c>
      <c r="BA24" s="293">
        <f t="shared" si="43"/>
        <v>131.60070783494356</v>
      </c>
      <c r="BB24" s="228">
        <f t="shared" si="43"/>
        <v>517.45813684723487</v>
      </c>
      <c r="BC24" s="292">
        <f t="shared" ref="BC24:BL24" si="44">BC18+BC22</f>
        <v>192.53552376276539</v>
      </c>
      <c r="BD24" s="261">
        <f t="shared" si="44"/>
        <v>84.317465104220588</v>
      </c>
      <c r="BE24" s="261">
        <f t="shared" si="44"/>
        <v>127.13823100531786</v>
      </c>
      <c r="BF24" s="293">
        <f t="shared" si="44"/>
        <v>159.47528296458077</v>
      </c>
      <c r="BG24" s="228">
        <f t="shared" si="44"/>
        <v>563.46650283688416</v>
      </c>
      <c r="BH24" s="292">
        <f t="shared" si="44"/>
        <v>218.16497131137666</v>
      </c>
      <c r="BI24" s="261">
        <f t="shared" si="44"/>
        <v>109.81280517113302</v>
      </c>
      <c r="BJ24" s="261">
        <f t="shared" si="44"/>
        <v>130.24089064083122</v>
      </c>
      <c r="BK24" s="293">
        <f t="shared" si="44"/>
        <v>162.62027044674048</v>
      </c>
      <c r="BL24" s="228">
        <f t="shared" si="44"/>
        <v>620.83893757008116</v>
      </c>
      <c r="BM24" s="292">
        <f t="shared" ref="BM24:BQ24" si="45">BM18+BM22</f>
        <v>220.95361282705048</v>
      </c>
      <c r="BN24" s="261">
        <f t="shared" si="45"/>
        <v>113.30719695319861</v>
      </c>
      <c r="BO24" s="261">
        <f t="shared" si="45"/>
        <v>146.46926637198507</v>
      </c>
      <c r="BP24" s="293">
        <f t="shared" si="45"/>
        <v>179.01496142917242</v>
      </c>
      <c r="BQ24" s="228">
        <f t="shared" si="45"/>
        <v>659.74503758140679</v>
      </c>
      <c r="BR24" s="330"/>
      <c r="BS24" s="330"/>
      <c r="BT24" s="330"/>
      <c r="BU24" s="330"/>
      <c r="BV24" s="330"/>
      <c r="BW24" s="330"/>
      <c r="BX24" s="330"/>
      <c r="BY24" s="330"/>
      <c r="BZ24" s="584"/>
      <c r="CA24" s="330"/>
      <c r="CB24" s="330"/>
      <c r="CC24" s="330"/>
      <c r="CD24" s="330"/>
      <c r="CE24" s="330"/>
      <c r="CF24" s="330"/>
      <c r="CG24" s="330"/>
      <c r="CH24" s="330"/>
      <c r="CI24" s="330"/>
      <c r="CJ24" s="330"/>
      <c r="CK24" s="330"/>
      <c r="CL24" s="330"/>
      <c r="CM24" s="330"/>
      <c r="CN24" s="330"/>
      <c r="CO24" s="330"/>
      <c r="CP24" s="330"/>
      <c r="CQ24" s="330"/>
      <c r="CR24" s="330"/>
      <c r="CS24" s="330"/>
      <c r="CT24" s="330"/>
      <c r="CU24" s="330"/>
    </row>
    <row r="25" spans="1:104">
      <c r="A25" s="330"/>
      <c r="B25" s="330"/>
      <c r="C25" s="32" t="s">
        <v>66</v>
      </c>
      <c r="D25" s="330"/>
      <c r="E25" s="292">
        <f t="shared" ref="E25:AE25" si="46">+E24+E14</f>
        <v>243.09999999999982</v>
      </c>
      <c r="F25" s="261">
        <f t="shared" si="46"/>
        <v>127.20000000000007</v>
      </c>
      <c r="G25" s="261">
        <f t="shared" si="46"/>
        <v>147.39999999999992</v>
      </c>
      <c r="H25" s="293">
        <f t="shared" si="46"/>
        <v>38.200000000000053</v>
      </c>
      <c r="I25" s="228">
        <f t="shared" si="46"/>
        <v>555.90000000000009</v>
      </c>
      <c r="J25" s="292">
        <f t="shared" si="46"/>
        <v>211.09999999999985</v>
      </c>
      <c r="K25" s="261">
        <f t="shared" si="46"/>
        <v>121.99999999999997</v>
      </c>
      <c r="L25" s="261">
        <f t="shared" si="46"/>
        <v>133.50000000000003</v>
      </c>
      <c r="M25" s="293">
        <f t="shared" si="46"/>
        <v>157.59999999999994</v>
      </c>
      <c r="N25" s="228">
        <f t="shared" si="46"/>
        <v>624.20000000000027</v>
      </c>
      <c r="O25" s="292">
        <f t="shared" si="46"/>
        <v>235.79999999999995</v>
      </c>
      <c r="P25" s="261">
        <f t="shared" si="46"/>
        <v>125.60000000000008</v>
      </c>
      <c r="Q25" s="261">
        <f t="shared" si="46"/>
        <v>89.2</v>
      </c>
      <c r="R25" s="293">
        <f t="shared" si="46"/>
        <v>157.30000000000032</v>
      </c>
      <c r="S25" s="228">
        <f t="shared" si="46"/>
        <v>607.90000000000032</v>
      </c>
      <c r="T25" s="292">
        <f t="shared" si="46"/>
        <v>74</v>
      </c>
      <c r="U25" s="261">
        <f t="shared" si="46"/>
        <v>130</v>
      </c>
      <c r="V25" s="261">
        <f t="shared" si="46"/>
        <v>103</v>
      </c>
      <c r="W25" s="293">
        <f t="shared" si="46"/>
        <v>146</v>
      </c>
      <c r="X25" s="228">
        <f t="shared" si="46"/>
        <v>453</v>
      </c>
      <c r="Y25" s="292">
        <f t="shared" si="46"/>
        <v>261</v>
      </c>
      <c r="Z25" s="261">
        <f t="shared" si="46"/>
        <v>155</v>
      </c>
      <c r="AA25" s="1438">
        <f t="shared" si="46"/>
        <v>196</v>
      </c>
      <c r="AB25" s="1439">
        <f>+AB24+AB14</f>
        <v>202</v>
      </c>
      <c r="AC25" s="1440">
        <f>+AC24+AC14</f>
        <v>814</v>
      </c>
      <c r="AD25" s="292">
        <f t="shared" si="46"/>
        <v>281</v>
      </c>
      <c r="AE25" s="261">
        <f t="shared" si="46"/>
        <v>149</v>
      </c>
      <c r="AF25" s="1438">
        <f t="shared" ref="AF25" si="47">+AF24+AF14</f>
        <v>184</v>
      </c>
      <c r="AG25" s="1439">
        <f>+AG24+AG14</f>
        <v>214</v>
      </c>
      <c r="AH25" s="1440">
        <f>+AH24+AH14</f>
        <v>828</v>
      </c>
      <c r="AI25" s="292">
        <f t="shared" ref="AI25:AK25" si="48">+AI24+AI14</f>
        <v>314</v>
      </c>
      <c r="AJ25" s="261">
        <f t="shared" si="48"/>
        <v>190</v>
      </c>
      <c r="AK25" s="1438">
        <f t="shared" si="48"/>
        <v>193</v>
      </c>
      <c r="AL25" s="1439">
        <f>+AL24+AL14</f>
        <v>245</v>
      </c>
      <c r="AM25" s="1440">
        <f>+AM24+AM14</f>
        <v>942</v>
      </c>
      <c r="AN25" s="292">
        <f t="shared" ref="AN25:AP25" si="49">+AN24+AN14</f>
        <v>300</v>
      </c>
      <c r="AO25" s="261">
        <f t="shared" si="49"/>
        <v>161</v>
      </c>
      <c r="AP25" s="1438">
        <f t="shared" si="49"/>
        <v>221</v>
      </c>
      <c r="AQ25" s="1439">
        <f>+AQ24+AQ14</f>
        <v>312</v>
      </c>
      <c r="AR25" s="1440">
        <f>+AR24+AR14</f>
        <v>994</v>
      </c>
      <c r="AS25" s="292">
        <f t="shared" ref="AS25:AT25" si="50">+AS24+AS14</f>
        <v>360</v>
      </c>
      <c r="AT25" s="261">
        <f t="shared" si="50"/>
        <v>214</v>
      </c>
      <c r="AU25" s="261">
        <f t="shared" ref="AU25" si="51">+AU24+AU14</f>
        <v>237</v>
      </c>
      <c r="AV25" s="1439">
        <f>+AV24+AV14</f>
        <v>291.99999999999989</v>
      </c>
      <c r="AW25" s="1440">
        <f>+AW24+AW14</f>
        <v>1103</v>
      </c>
      <c r="AX25" s="292">
        <f t="shared" ref="AX25:BB25" si="52">+AX24+AX14</f>
        <v>325.91946090259006</v>
      </c>
      <c r="AY25" s="261">
        <f t="shared" si="52"/>
        <v>206.6116805873786</v>
      </c>
      <c r="AZ25" s="261">
        <f t="shared" si="52"/>
        <v>212.9400613464112</v>
      </c>
      <c r="BA25" s="293">
        <f t="shared" si="52"/>
        <v>262.57231315958074</v>
      </c>
      <c r="BB25" s="228">
        <f t="shared" si="52"/>
        <v>1008.0435159959604</v>
      </c>
      <c r="BC25" s="292">
        <f t="shared" ref="BC25:BL25" si="53">+BC24+BC14</f>
        <v>327.26318301143363</v>
      </c>
      <c r="BD25" s="261">
        <f t="shared" si="53"/>
        <v>208.50620269622215</v>
      </c>
      <c r="BE25" s="261">
        <f t="shared" si="53"/>
        <v>248.46218345525475</v>
      </c>
      <c r="BF25" s="293">
        <f t="shared" si="53"/>
        <v>297.91083526842431</v>
      </c>
      <c r="BG25" s="228">
        <f t="shared" si="53"/>
        <v>1082.1424044313344</v>
      </c>
      <c r="BH25" s="292">
        <f t="shared" si="53"/>
        <v>360.68876964181914</v>
      </c>
      <c r="BI25" s="261">
        <f t="shared" si="53"/>
        <v>242.49360532660748</v>
      </c>
      <c r="BJ25" s="261">
        <f t="shared" si="53"/>
        <v>259.82473808564032</v>
      </c>
      <c r="BK25" s="293">
        <f t="shared" si="53"/>
        <v>309.08611789880985</v>
      </c>
      <c r="BL25" s="228">
        <f t="shared" si="53"/>
        <v>1172.0932309528766</v>
      </c>
      <c r="BM25" s="292">
        <f t="shared" ref="BM25:BQ25" si="54">+BM24+BM14</f>
        <v>371.28064578258989</v>
      </c>
      <c r="BN25" s="261">
        <f t="shared" si="54"/>
        <v>253.65853378737853</v>
      </c>
      <c r="BO25" s="261">
        <f t="shared" si="54"/>
        <v>283.36232158641133</v>
      </c>
      <c r="BP25" s="293">
        <f t="shared" si="54"/>
        <v>332.4326839595808</v>
      </c>
      <c r="BQ25" s="228">
        <f t="shared" si="54"/>
        <v>1240.7341851159608</v>
      </c>
      <c r="BR25" s="330"/>
      <c r="BS25" s="330"/>
      <c r="BT25" s="330"/>
      <c r="BU25" s="330"/>
      <c r="BV25" s="330"/>
      <c r="BW25" s="330"/>
      <c r="BX25" s="330"/>
      <c r="BY25" s="330"/>
      <c r="BZ25" s="584"/>
      <c r="CA25" s="330"/>
      <c r="CB25" s="330"/>
      <c r="CC25" s="330"/>
      <c r="CD25" s="330"/>
      <c r="CE25" s="330"/>
      <c r="CF25" s="330"/>
      <c r="CG25" s="330"/>
      <c r="CH25" s="330"/>
      <c r="CI25" s="330"/>
      <c r="CJ25" s="330"/>
      <c r="CK25" s="330"/>
      <c r="CL25" s="330"/>
      <c r="CM25" s="330"/>
      <c r="CN25" s="330"/>
      <c r="CO25" s="330"/>
      <c r="CP25" s="330"/>
      <c r="CQ25" s="330"/>
      <c r="CR25" s="330"/>
      <c r="CS25" s="330"/>
      <c r="CT25" s="330"/>
      <c r="CU25" s="330"/>
    </row>
    <row r="26" spans="1:104">
      <c r="A26" s="330"/>
      <c r="B26" s="330"/>
      <c r="C26" s="32"/>
      <c r="D26" s="330"/>
      <c r="E26" s="292"/>
      <c r="F26" s="261"/>
      <c r="G26" s="261"/>
      <c r="H26" s="293"/>
      <c r="I26" s="228"/>
      <c r="J26" s="292"/>
      <c r="K26" s="261"/>
      <c r="L26" s="261"/>
      <c r="M26" s="293"/>
      <c r="N26" s="228"/>
      <c r="O26" s="292"/>
      <c r="P26" s="261"/>
      <c r="Q26" s="261"/>
      <c r="R26" s="293"/>
      <c r="S26" s="228"/>
      <c r="T26" s="306"/>
      <c r="U26" s="266"/>
      <c r="V26" s="261"/>
      <c r="W26" s="293"/>
      <c r="X26" s="228"/>
      <c r="Y26" s="306"/>
      <c r="Z26" s="266"/>
      <c r="AA26" s="1438"/>
      <c r="AB26" s="1439"/>
      <c r="AC26" s="1440"/>
      <c r="AD26" s="306"/>
      <c r="AE26" s="266"/>
      <c r="AF26" s="1438"/>
      <c r="AG26" s="1439"/>
      <c r="AH26" s="1440"/>
      <c r="AI26" s="306"/>
      <c r="AJ26" s="266"/>
      <c r="AK26" s="1438"/>
      <c r="AL26" s="1439"/>
      <c r="AM26" s="1440"/>
      <c r="AN26" s="306"/>
      <c r="AO26" s="266"/>
      <c r="AP26" s="1438"/>
      <c r="AQ26" s="1439"/>
      <c r="AR26" s="1440"/>
      <c r="AS26" s="306"/>
      <c r="AT26" s="266"/>
      <c r="AU26" s="261"/>
      <c r="AV26" s="1439"/>
      <c r="AW26" s="1440"/>
      <c r="AX26" s="292"/>
      <c r="AY26" s="261"/>
      <c r="AZ26" s="261"/>
      <c r="BA26" s="293"/>
      <c r="BB26" s="228"/>
      <c r="BC26" s="292"/>
      <c r="BD26" s="261"/>
      <c r="BE26" s="261"/>
      <c r="BF26" s="293"/>
      <c r="BG26" s="228"/>
      <c r="BH26" s="292"/>
      <c r="BI26" s="261"/>
      <c r="BJ26" s="261"/>
      <c r="BK26" s="293"/>
      <c r="BL26" s="228"/>
      <c r="BM26" s="292"/>
      <c r="BN26" s="261"/>
      <c r="BO26" s="261"/>
      <c r="BP26" s="293"/>
      <c r="BQ26" s="228"/>
      <c r="BR26" s="330"/>
      <c r="BS26" s="330"/>
      <c r="BT26" s="330"/>
      <c r="BU26" s="330"/>
      <c r="BV26" s="330"/>
      <c r="BW26" s="330"/>
      <c r="BX26" s="330"/>
      <c r="BY26" s="330"/>
      <c r="BZ26" s="584"/>
      <c r="CA26" s="330"/>
      <c r="CB26" s="330"/>
      <c r="CC26" s="330"/>
      <c r="CD26" s="330"/>
      <c r="CE26" s="330"/>
      <c r="CF26" s="330"/>
      <c r="CG26" s="330"/>
      <c r="CH26" s="330"/>
      <c r="CI26" s="330"/>
      <c r="CJ26" s="330"/>
      <c r="CK26" s="330"/>
      <c r="CL26" s="330"/>
      <c r="CM26" s="330"/>
      <c r="CN26" s="330"/>
      <c r="CO26" s="330"/>
      <c r="CP26" s="330"/>
      <c r="CQ26" s="330"/>
      <c r="CR26" s="330"/>
      <c r="CS26" s="330"/>
      <c r="CT26" s="330"/>
      <c r="CU26" s="330"/>
    </row>
    <row r="27" spans="1:104" s="232" customFormat="1">
      <c r="A27" s="45"/>
      <c r="B27" s="45"/>
      <c r="C27" s="28" t="s">
        <v>80</v>
      </c>
      <c r="D27" s="45"/>
      <c r="E27" s="335">
        <v>35.700000000000003</v>
      </c>
      <c r="F27" s="336">
        <v>34.9</v>
      </c>
      <c r="G27" s="336">
        <v>34.799999999999997</v>
      </c>
      <c r="H27" s="588">
        <v>33.9</v>
      </c>
      <c r="I27" s="427">
        <v>139.30000000000001</v>
      </c>
      <c r="J27" s="335">
        <v>33.1</v>
      </c>
      <c r="K27" s="336">
        <v>32.4</v>
      </c>
      <c r="L27" s="336">
        <v>32.6</v>
      </c>
      <c r="M27" s="588">
        <v>32.200000000000003</v>
      </c>
      <c r="N27" s="427">
        <v>130.30000000000001</v>
      </c>
      <c r="O27" s="335">
        <v>31.8</v>
      </c>
      <c r="P27" s="336">
        <v>31.5</v>
      </c>
      <c r="Q27" s="336">
        <v>31.3</v>
      </c>
      <c r="R27" s="588">
        <v>32</v>
      </c>
      <c r="S27" s="427">
        <v>126.6</v>
      </c>
      <c r="T27" s="335">
        <v>41</v>
      </c>
      <c r="U27" s="336">
        <v>34</v>
      </c>
      <c r="V27" s="336">
        <v>35</v>
      </c>
      <c r="W27" s="291">
        <f>X27-SUM(T27:V27)</f>
        <v>34</v>
      </c>
      <c r="X27" s="427">
        <v>144</v>
      </c>
      <c r="Y27" s="335">
        <v>33</v>
      </c>
      <c r="Z27" s="336">
        <v>32</v>
      </c>
      <c r="AA27" s="1435">
        <v>29</v>
      </c>
      <c r="AB27" s="1442">
        <f>AC27-SUM(Y27:AA27)</f>
        <v>28</v>
      </c>
      <c r="AC27" s="1437">
        <f>106+16</f>
        <v>122</v>
      </c>
      <c r="AD27" s="335">
        <f>23+4</f>
        <v>27</v>
      </c>
      <c r="AE27" s="336">
        <v>27</v>
      </c>
      <c r="AF27" s="1435">
        <f>22+4</f>
        <v>26</v>
      </c>
      <c r="AG27" s="1442">
        <f>AH27-SUM(AD27:AF27)</f>
        <v>26</v>
      </c>
      <c r="AH27" s="1437">
        <f>90+16</f>
        <v>106</v>
      </c>
      <c r="AI27" s="335">
        <f>21+4</f>
        <v>25</v>
      </c>
      <c r="AJ27" s="336">
        <f>20+4</f>
        <v>24</v>
      </c>
      <c r="AK27" s="1435">
        <f>21+4</f>
        <v>25</v>
      </c>
      <c r="AL27" s="1442">
        <f>AM27-SUM(AI27:AK27)</f>
        <v>25</v>
      </c>
      <c r="AM27" s="1437">
        <f>83+16</f>
        <v>99</v>
      </c>
      <c r="AN27" s="335">
        <f>20+4</f>
        <v>24</v>
      </c>
      <c r="AO27" s="336">
        <f>20+4</f>
        <v>24</v>
      </c>
      <c r="AP27" s="1435">
        <f>24+4</f>
        <v>28</v>
      </c>
      <c r="AQ27" s="1442">
        <f>AR27-SUM(AN27:AP27)</f>
        <v>27</v>
      </c>
      <c r="AR27" s="1437">
        <v>103</v>
      </c>
      <c r="AS27" s="337">
        <f>23+4</f>
        <v>27</v>
      </c>
      <c r="AT27" s="336">
        <f>22+4</f>
        <v>26</v>
      </c>
      <c r="AU27" s="336">
        <f>24+2</f>
        <v>26</v>
      </c>
      <c r="AV27" s="1442">
        <f>AW27-SUM(AS27:AU27)</f>
        <v>26</v>
      </c>
      <c r="AW27" s="1437">
        <f>95+10</f>
        <v>105</v>
      </c>
      <c r="AX27" s="290">
        <f>+AS27+SUM(AX181:AX183)</f>
        <v>25.8325</v>
      </c>
      <c r="AY27" s="260">
        <f ca="1">+AT27+SUM(AY181:AY183)</f>
        <v>24.973824532926407</v>
      </c>
      <c r="AZ27" s="260">
        <f ca="1">+AU27+SUM(AZ181:AZ183)</f>
        <v>32.072504358349825</v>
      </c>
      <c r="BA27" s="291">
        <f ca="1">+AV27+SUM(BA181:BA183)</f>
        <v>30.736712434886993</v>
      </c>
      <c r="BB27" s="45">
        <f ca="1">SUM(AX27:BA27)</f>
        <v>113.61554132616324</v>
      </c>
      <c r="BC27" s="290">
        <f ca="1">+AX27+SUM(BC181:BC183)</f>
        <v>30.679295699295952</v>
      </c>
      <c r="BD27" s="260">
        <f ca="1">+AY27+SUM(BD181:BD183)</f>
        <v>29.277625420418321</v>
      </c>
      <c r="BE27" s="260">
        <f ca="1">+AZ27+SUM(BE181:BE183)</f>
        <v>36.352614626417946</v>
      </c>
      <c r="BF27" s="291">
        <f ca="1">+BA27+SUM(BF181:BF183)</f>
        <v>34.050493003247887</v>
      </c>
      <c r="BG27" s="45">
        <f ca="1">SUM(BC27:BF27)</f>
        <v>130.36002874938009</v>
      </c>
      <c r="BH27" s="290">
        <f ca="1">+BC27+SUM(BH181:BH183)</f>
        <v>34.039272669016427</v>
      </c>
      <c r="BI27" s="260">
        <f ca="1">+BD27+SUM(BI181:BI183)</f>
        <v>32.067609663962827</v>
      </c>
      <c r="BJ27" s="260">
        <f ca="1">+BE27+SUM(BJ181:BJ183)</f>
        <v>39.728961825634244</v>
      </c>
      <c r="BK27" s="291">
        <f ca="1">+BF27+SUM(BK181:BK183)</f>
        <v>36.771513257812252</v>
      </c>
      <c r="BL27" s="45">
        <f ca="1">SUM(BH27:BK27)</f>
        <v>142.60735741642574</v>
      </c>
      <c r="BM27" s="290">
        <f ca="1">+BH27+SUM(BM181:BM183)</f>
        <v>36.865534760147256</v>
      </c>
      <c r="BN27" s="260">
        <f ca="1">+BI27+SUM(BN181:BN183)</f>
        <v>34.408789777271068</v>
      </c>
      <c r="BO27" s="260">
        <f ca="1">+BJ27+SUM(BO181:BO183)</f>
        <v>45.741944746637422</v>
      </c>
      <c r="BP27" s="291">
        <f ca="1">+BK27+SUM(BP181:BP183)</f>
        <v>39.829001762882221</v>
      </c>
      <c r="BQ27" s="45">
        <f ca="1">SUM(BM27:BP27)</f>
        <v>156.84527104693797</v>
      </c>
      <c r="BR27" s="45"/>
      <c r="BS27" s="45"/>
      <c r="BT27" s="45"/>
      <c r="BU27" s="45"/>
      <c r="BV27" s="45"/>
      <c r="BW27" s="45"/>
      <c r="BX27" s="45"/>
      <c r="BY27" s="45"/>
      <c r="CB27" s="45"/>
      <c r="CC27" s="45"/>
      <c r="CD27" s="45"/>
      <c r="CE27" s="45"/>
      <c r="CF27" s="45"/>
      <c r="CG27" s="45"/>
      <c r="CH27" s="45"/>
      <c r="CI27" s="45"/>
      <c r="CJ27" s="45"/>
      <c r="CK27" s="45"/>
      <c r="CL27" s="45"/>
      <c r="CM27" s="45"/>
      <c r="CN27" s="45"/>
      <c r="CO27" s="45"/>
      <c r="CP27" s="45"/>
      <c r="CQ27" s="45"/>
      <c r="CR27" s="45"/>
      <c r="CS27" s="45"/>
      <c r="CT27" s="45"/>
      <c r="CU27" s="45"/>
      <c r="CV27" s="45"/>
      <c r="CW27" s="45"/>
      <c r="CX27" s="45"/>
      <c r="CY27" s="45"/>
      <c r="CZ27" s="45"/>
    </row>
    <row r="28" spans="1:104">
      <c r="A28" s="330"/>
      <c r="B28" s="330"/>
      <c r="C28" s="28"/>
      <c r="D28" s="330"/>
      <c r="E28" s="306"/>
      <c r="F28" s="266"/>
      <c r="G28" s="266"/>
      <c r="H28" s="307"/>
      <c r="I28" s="426"/>
      <c r="J28" s="306"/>
      <c r="K28" s="266"/>
      <c r="L28" s="266"/>
      <c r="M28" s="307"/>
      <c r="N28" s="426"/>
      <c r="O28" s="306"/>
      <c r="P28" s="264"/>
      <c r="Q28" s="266"/>
      <c r="R28" s="307"/>
      <c r="S28" s="426"/>
      <c r="T28" s="306"/>
      <c r="U28" s="266"/>
      <c r="V28" s="266"/>
      <c r="W28" s="307"/>
      <c r="X28" s="426"/>
      <c r="Y28" s="306"/>
      <c r="Z28" s="266"/>
      <c r="AA28" s="1444"/>
      <c r="AB28" s="1445"/>
      <c r="AC28" s="1446"/>
      <c r="AD28" s="306"/>
      <c r="AE28" s="266"/>
      <c r="AF28" s="1444"/>
      <c r="AG28" s="1445"/>
      <c r="AH28" s="1446"/>
      <c r="AI28" s="306"/>
      <c r="AJ28" s="266"/>
      <c r="AK28" s="1444"/>
      <c r="AL28" s="1445"/>
      <c r="AM28" s="1446"/>
      <c r="AN28" s="306"/>
      <c r="AO28" s="266"/>
      <c r="AP28" s="1444"/>
      <c r="AQ28" s="1445"/>
      <c r="AR28" s="1446"/>
      <c r="AS28" s="306"/>
      <c r="AT28" s="266"/>
      <c r="AU28" s="264"/>
      <c r="AV28" s="1445"/>
      <c r="AW28" s="1446"/>
      <c r="AX28" s="300"/>
      <c r="AY28" s="264"/>
      <c r="AZ28" s="264"/>
      <c r="BA28" s="299"/>
      <c r="BB28" s="330"/>
      <c r="BC28" s="300"/>
      <c r="BD28" s="264"/>
      <c r="BE28" s="264"/>
      <c r="BF28" s="299"/>
      <c r="BG28" s="330"/>
      <c r="BH28" s="300"/>
      <c r="BI28" s="264"/>
      <c r="BJ28" s="264"/>
      <c r="BK28" s="299"/>
      <c r="BL28" s="330"/>
      <c r="BM28" s="300"/>
      <c r="BN28" s="264"/>
      <c r="BO28" s="264"/>
      <c r="BP28" s="299"/>
      <c r="BQ28" s="330"/>
      <c r="BR28" s="330"/>
      <c r="BS28" s="330"/>
      <c r="BT28" s="330"/>
      <c r="BU28" s="330"/>
      <c r="BV28" s="330"/>
      <c r="BW28" s="330"/>
      <c r="BX28" s="330"/>
      <c r="BY28" s="330"/>
      <c r="BZ28" s="584"/>
      <c r="CA28" s="330"/>
      <c r="CB28" s="330"/>
      <c r="CC28" s="330"/>
      <c r="CD28" s="330"/>
      <c r="CE28" s="330"/>
      <c r="CF28" s="330"/>
      <c r="CG28" s="330"/>
      <c r="CH28" s="330"/>
      <c r="CI28" s="330"/>
      <c r="CJ28" s="330"/>
      <c r="CK28" s="330"/>
      <c r="CL28" s="330"/>
      <c r="CM28" s="330"/>
      <c r="CN28" s="330"/>
      <c r="CO28" s="330"/>
      <c r="CP28" s="330"/>
      <c r="CQ28" s="330"/>
      <c r="CR28" s="330"/>
      <c r="CS28" s="330"/>
      <c r="CT28" s="330"/>
      <c r="CU28" s="330"/>
    </row>
    <row r="29" spans="1:104">
      <c r="A29" s="330"/>
      <c r="B29" s="330"/>
      <c r="C29" s="32" t="s">
        <v>576</v>
      </c>
      <c r="D29" s="45"/>
      <c r="E29" s="292">
        <f t="shared" ref="E29:AE29" si="55">+E24-E27</f>
        <v>140.49999999999983</v>
      </c>
      <c r="F29" s="261">
        <f t="shared" si="55"/>
        <v>26.600000000000072</v>
      </c>
      <c r="G29" s="261">
        <f t="shared" si="55"/>
        <v>50.899999999999935</v>
      </c>
      <c r="H29" s="293">
        <f t="shared" si="55"/>
        <v>-63.499999999999957</v>
      </c>
      <c r="I29" s="228">
        <f t="shared" si="55"/>
        <v>154.50000000000006</v>
      </c>
      <c r="J29" s="292">
        <f t="shared" si="55"/>
        <v>110.29999999999987</v>
      </c>
      <c r="K29" s="261">
        <f t="shared" si="55"/>
        <v>28.999999999999979</v>
      </c>
      <c r="L29" s="261">
        <f t="shared" si="55"/>
        <v>48.200000000000024</v>
      </c>
      <c r="M29" s="293">
        <f t="shared" si="55"/>
        <v>57.199999999999946</v>
      </c>
      <c r="N29" s="228">
        <f t="shared" si="55"/>
        <v>244.70000000000027</v>
      </c>
      <c r="O29" s="292">
        <f t="shared" si="55"/>
        <v>127.69999999999997</v>
      </c>
      <c r="P29" s="261">
        <f t="shared" si="55"/>
        <v>27.30000000000009</v>
      </c>
      <c r="Q29" s="261">
        <f t="shared" si="55"/>
        <v>-2.1000000000000014</v>
      </c>
      <c r="R29" s="293">
        <f t="shared" si="55"/>
        <v>56.300000000000296</v>
      </c>
      <c r="S29" s="228">
        <f t="shared" si="55"/>
        <v>209.20000000000036</v>
      </c>
      <c r="T29" s="292">
        <f t="shared" si="55"/>
        <v>-46</v>
      </c>
      <c r="U29" s="261">
        <f>+U24-U27</f>
        <v>25</v>
      </c>
      <c r="V29" s="261">
        <f>+V24-V27</f>
        <v>0</v>
      </c>
      <c r="W29" s="293">
        <f>+W24-W27</f>
        <v>32</v>
      </c>
      <c r="X29" s="228">
        <f>+X24-X27</f>
        <v>11</v>
      </c>
      <c r="Y29" s="292">
        <f>+Y24-Y27</f>
        <v>135</v>
      </c>
      <c r="Z29" s="261">
        <f t="shared" si="55"/>
        <v>41</v>
      </c>
      <c r="AA29" s="1438">
        <f>+AA24-AA27</f>
        <v>89</v>
      </c>
      <c r="AB29" s="1439">
        <f>+AB24-AB27</f>
        <v>79</v>
      </c>
      <c r="AC29" s="1440">
        <f>+AC24-AC27</f>
        <v>344</v>
      </c>
      <c r="AD29" s="292">
        <f>+AD24-AD27</f>
        <v>146</v>
      </c>
      <c r="AE29" s="261">
        <f t="shared" si="55"/>
        <v>33</v>
      </c>
      <c r="AF29" s="1438">
        <f>+AF24-AF27</f>
        <v>80</v>
      </c>
      <c r="AG29" s="1439">
        <f>+AG24-AG27</f>
        <v>92</v>
      </c>
      <c r="AH29" s="1440">
        <f>+AH24-AH27</f>
        <v>351</v>
      </c>
      <c r="AI29" s="292">
        <f>+AI24-AI27</f>
        <v>183</v>
      </c>
      <c r="AJ29" s="261">
        <f t="shared" ref="AJ29" si="56">+AJ24-AJ27</f>
        <v>79</v>
      </c>
      <c r="AK29" s="1438">
        <f>+AK24-AK27</f>
        <v>89</v>
      </c>
      <c r="AL29" s="1439">
        <f>+AL24-AL27</f>
        <v>126</v>
      </c>
      <c r="AM29" s="1440">
        <f>+AM24-AM27</f>
        <v>477</v>
      </c>
      <c r="AN29" s="292">
        <f>+AN24-AN27</f>
        <v>167</v>
      </c>
      <c r="AO29" s="261">
        <f t="shared" ref="AO29" si="57">+AO24-AO27</f>
        <v>40</v>
      </c>
      <c r="AP29" s="1438">
        <f>+AP24-AP27</f>
        <v>92</v>
      </c>
      <c r="AQ29" s="1439">
        <f>+AQ24-AQ27</f>
        <v>169</v>
      </c>
      <c r="AR29" s="1440">
        <f>+AR24-AR27</f>
        <v>468</v>
      </c>
      <c r="AS29" s="292">
        <f>+AS24-AS27</f>
        <v>205</v>
      </c>
      <c r="AT29" s="261">
        <f t="shared" ref="AT29:AU29" si="58">+AT24-AT27</f>
        <v>76</v>
      </c>
      <c r="AU29" s="261">
        <f t="shared" si="58"/>
        <v>102</v>
      </c>
      <c r="AV29" s="1439">
        <f>+AV24-AV27</f>
        <v>141.99999999999989</v>
      </c>
      <c r="AW29" s="1440">
        <f>+AW24-AW27</f>
        <v>525</v>
      </c>
      <c r="AX29" s="292">
        <f t="shared" ref="AX29:BB29" si="59">+AX24-AX27</f>
        <v>172.06946125258304</v>
      </c>
      <c r="AY29" s="261">
        <f t="shared" ca="1" si="59"/>
        <v>64.237494512574017</v>
      </c>
      <c r="AZ29" s="261">
        <f t="shared" ca="1" si="59"/>
        <v>66.671644355858149</v>
      </c>
      <c r="BA29" s="293">
        <f t="shared" ca="1" si="59"/>
        <v>100.86399540005657</v>
      </c>
      <c r="BB29" s="228">
        <f t="shared" ca="1" si="59"/>
        <v>403.84259552107164</v>
      </c>
      <c r="BC29" s="292">
        <f t="shared" ref="BC29:BL29" ca="1" si="60">+BC24-BC27</f>
        <v>161.85622806346944</v>
      </c>
      <c r="BD29" s="261">
        <f t="shared" ca="1" si="60"/>
        <v>55.039839683802271</v>
      </c>
      <c r="BE29" s="261">
        <f t="shared" ca="1" si="60"/>
        <v>90.785616378899917</v>
      </c>
      <c r="BF29" s="293">
        <f t="shared" ca="1" si="60"/>
        <v>125.42478996133289</v>
      </c>
      <c r="BG29" s="228">
        <f t="shared" ca="1" si="60"/>
        <v>433.10647408750407</v>
      </c>
      <c r="BH29" s="292">
        <f t="shared" ca="1" si="60"/>
        <v>184.12569864236025</v>
      </c>
      <c r="BI29" s="261">
        <f t="shared" ca="1" si="60"/>
        <v>77.745195507170195</v>
      </c>
      <c r="BJ29" s="261">
        <f t="shared" ca="1" si="60"/>
        <v>90.511928815196981</v>
      </c>
      <c r="BK29" s="293">
        <f t="shared" ca="1" si="60"/>
        <v>125.84875718892823</v>
      </c>
      <c r="BL29" s="228">
        <f t="shared" ca="1" si="60"/>
        <v>478.23158015365539</v>
      </c>
      <c r="BM29" s="292">
        <f t="shared" ref="BM29:BQ29" ca="1" si="61">+BM24-BM27</f>
        <v>184.08807806690322</v>
      </c>
      <c r="BN29" s="261">
        <f t="shared" ca="1" si="61"/>
        <v>78.898407175927545</v>
      </c>
      <c r="BO29" s="261">
        <f t="shared" ca="1" si="61"/>
        <v>100.72732162534766</v>
      </c>
      <c r="BP29" s="293">
        <f t="shared" ca="1" si="61"/>
        <v>139.18595966629019</v>
      </c>
      <c r="BQ29" s="228">
        <f t="shared" ca="1" si="61"/>
        <v>502.89976653446882</v>
      </c>
      <c r="BR29" s="330"/>
      <c r="BS29" s="330"/>
      <c r="BT29" s="330"/>
      <c r="BU29" s="330"/>
      <c r="BV29" s="330"/>
      <c r="BW29" s="330"/>
      <c r="BX29" s="330"/>
      <c r="BY29" s="330"/>
      <c r="BZ29" s="330"/>
      <c r="CA29" s="330"/>
      <c r="CB29" s="330"/>
      <c r="CC29" s="330"/>
      <c r="CD29" s="330"/>
      <c r="CE29" s="330"/>
      <c r="CF29" s="330"/>
      <c r="CG29" s="330"/>
      <c r="CH29" s="330"/>
      <c r="CI29" s="330"/>
      <c r="CJ29" s="330"/>
      <c r="CK29" s="330"/>
      <c r="CL29" s="330"/>
      <c r="CM29" s="330"/>
      <c r="CN29" s="330"/>
      <c r="CO29" s="330"/>
      <c r="CP29" s="330"/>
      <c r="CQ29" s="330"/>
      <c r="CR29" s="330"/>
      <c r="CS29" s="330"/>
      <c r="CT29" s="330"/>
      <c r="CU29" s="330"/>
    </row>
    <row r="30" spans="1:104">
      <c r="A30" s="330"/>
      <c r="B30" s="330"/>
      <c r="C30" s="28"/>
      <c r="D30" s="330"/>
      <c r="E30" s="300"/>
      <c r="F30" s="264"/>
      <c r="G30" s="264"/>
      <c r="H30" s="299"/>
      <c r="I30" s="330"/>
      <c r="J30" s="300"/>
      <c r="K30" s="264"/>
      <c r="L30" s="264"/>
      <c r="M30" s="299"/>
      <c r="N30" s="330"/>
      <c r="O30" s="300"/>
      <c r="P30" s="264"/>
      <c r="Q30" s="264"/>
      <c r="R30" s="299"/>
      <c r="S30" s="330"/>
      <c r="T30" s="300"/>
      <c r="U30" s="264"/>
      <c r="V30" s="264"/>
      <c r="W30" s="299"/>
      <c r="X30" s="330"/>
      <c r="Y30" s="300"/>
      <c r="Z30" s="264"/>
      <c r="AA30" s="1441"/>
      <c r="AB30" s="1442"/>
      <c r="AC30" s="1443"/>
      <c r="AD30" s="300"/>
      <c r="AE30" s="264"/>
      <c r="AF30" s="1441"/>
      <c r="AG30" s="1442"/>
      <c r="AH30" s="1443"/>
      <c r="AI30" s="300"/>
      <c r="AJ30" s="264"/>
      <c r="AK30" s="1441"/>
      <c r="AL30" s="1442"/>
      <c r="AM30" s="1443"/>
      <c r="AN30" s="300"/>
      <c r="AO30" s="264"/>
      <c r="AP30" s="1441"/>
      <c r="AQ30" s="1442"/>
      <c r="AR30" s="1443"/>
      <c r="AS30" s="300"/>
      <c r="AT30" s="264"/>
      <c r="AU30" s="264"/>
      <c r="AV30" s="1442"/>
      <c r="AW30" s="1443"/>
      <c r="AX30" s="300"/>
      <c r="AY30" s="264"/>
      <c r="AZ30" s="264"/>
      <c r="BA30" s="299"/>
      <c r="BB30" s="330"/>
      <c r="BC30" s="300"/>
      <c r="BD30" s="264"/>
      <c r="BE30" s="264"/>
      <c r="BF30" s="299"/>
      <c r="BG30" s="330"/>
      <c r="BH30" s="300"/>
      <c r="BI30" s="264"/>
      <c r="BJ30" s="264"/>
      <c r="BK30" s="299"/>
      <c r="BL30" s="330"/>
      <c r="BM30" s="300"/>
      <c r="BN30" s="264"/>
      <c r="BO30" s="264"/>
      <c r="BP30" s="299"/>
      <c r="BQ30" s="330"/>
      <c r="BR30" s="330"/>
      <c r="BS30" s="330"/>
      <c r="BT30" s="330"/>
      <c r="BU30" s="330"/>
      <c r="BV30" s="330"/>
      <c r="BW30" s="330"/>
      <c r="BX30" s="330"/>
      <c r="BY30" s="330"/>
      <c r="BZ30" s="330"/>
      <c r="CA30" s="330"/>
      <c r="CB30" s="330"/>
      <c r="CC30" s="330"/>
      <c r="CD30" s="330"/>
      <c r="CE30" s="330"/>
      <c r="CF30" s="330"/>
      <c r="CG30" s="330"/>
      <c r="CH30" s="330"/>
      <c r="CI30" s="330"/>
      <c r="CJ30" s="330"/>
      <c r="CK30" s="330"/>
      <c r="CL30" s="330"/>
      <c r="CM30" s="330"/>
      <c r="CN30" s="330"/>
      <c r="CO30" s="330"/>
      <c r="CP30" s="330"/>
      <c r="CQ30" s="330"/>
      <c r="CR30" s="330"/>
      <c r="CS30" s="330"/>
      <c r="CT30" s="330"/>
      <c r="CU30" s="330"/>
    </row>
    <row r="31" spans="1:104">
      <c r="A31" s="330"/>
      <c r="B31" s="330"/>
      <c r="C31" s="28" t="s">
        <v>320</v>
      </c>
      <c r="D31" s="330"/>
      <c r="E31" s="335">
        <v>55.5</v>
      </c>
      <c r="F31" s="336">
        <v>10.6</v>
      </c>
      <c r="G31" s="336">
        <v>18.600000000000001</v>
      </c>
      <c r="H31" s="586">
        <f>I31-SUM(E31:G31)</f>
        <v>-20.899999999999991</v>
      </c>
      <c r="I31" s="427">
        <v>63.8</v>
      </c>
      <c r="J31" s="335">
        <v>45.9</v>
      </c>
      <c r="K31" s="336">
        <v>12</v>
      </c>
      <c r="L31" s="336">
        <v>16.399999999999999</v>
      </c>
      <c r="M31" s="586">
        <f>N31-SUM(J31:L31)</f>
        <v>22.799999999999997</v>
      </c>
      <c r="N31" s="427">
        <v>97.1</v>
      </c>
      <c r="O31" s="335">
        <v>46.6</v>
      </c>
      <c r="P31" s="336">
        <v>10.7</v>
      </c>
      <c r="Q31" s="336">
        <v>-3.7</v>
      </c>
      <c r="R31" s="586">
        <f>S31-SUM(O31:Q31)</f>
        <v>19.900000000000006</v>
      </c>
      <c r="S31" s="427">
        <v>73.5</v>
      </c>
      <c r="T31" s="335">
        <v>-16</v>
      </c>
      <c r="U31" s="336">
        <v>9</v>
      </c>
      <c r="V31" s="336">
        <v>0</v>
      </c>
      <c r="W31" s="586">
        <f>X31-SUM(T31:V31)</f>
        <v>14</v>
      </c>
      <c r="X31" s="427">
        <v>7</v>
      </c>
      <c r="Y31" s="335">
        <v>55</v>
      </c>
      <c r="Z31" s="336">
        <v>16</v>
      </c>
      <c r="AA31" s="1435">
        <v>36</v>
      </c>
      <c r="AB31" s="1436">
        <f>AC31-SUM(Y31:AA31)</f>
        <v>27</v>
      </c>
      <c r="AC31" s="1437">
        <v>134</v>
      </c>
      <c r="AD31" s="335">
        <v>58</v>
      </c>
      <c r="AE31" s="336">
        <v>14</v>
      </c>
      <c r="AF31" s="1435">
        <v>31</v>
      </c>
      <c r="AG31" s="1436">
        <f>AH31-SUM(AD31:AF31)</f>
        <v>37</v>
      </c>
      <c r="AH31" s="1437">
        <v>140</v>
      </c>
      <c r="AI31" s="335">
        <v>74</v>
      </c>
      <c r="AJ31" s="336">
        <v>32</v>
      </c>
      <c r="AK31" s="1435">
        <v>35</v>
      </c>
      <c r="AL31" s="1436">
        <f>AM31-SUM(AI31:AK31)</f>
        <v>48</v>
      </c>
      <c r="AM31" s="1437">
        <v>189</v>
      </c>
      <c r="AN31" s="335">
        <v>66</v>
      </c>
      <c r="AO31" s="336">
        <v>6</v>
      </c>
      <c r="AP31" s="1435">
        <v>36</v>
      </c>
      <c r="AQ31" s="1436">
        <f>AR31-SUM(AN31:AP31)</f>
        <v>66</v>
      </c>
      <c r="AR31" s="1437">
        <v>174</v>
      </c>
      <c r="AS31" s="335">
        <v>80</v>
      </c>
      <c r="AT31" s="336">
        <v>31</v>
      </c>
      <c r="AU31" s="336">
        <v>40</v>
      </c>
      <c r="AV31" s="1436">
        <f>AW31-SUM(AS31:AU31)</f>
        <v>67</v>
      </c>
      <c r="AW31" s="1437">
        <v>218</v>
      </c>
      <c r="AX31" s="300">
        <f>AX60*(AX29-AX20)</f>
        <v>35.206015434471013</v>
      </c>
      <c r="AY31" s="264">
        <f ca="1">AY60*(AY29-AY20)</f>
        <v>12.561302419069115</v>
      </c>
      <c r="AZ31" s="264">
        <f ca="1">AZ60*(AZ29-AZ20)</f>
        <v>13.072473886158782</v>
      </c>
      <c r="BA31" s="299">
        <f ca="1">BA60*(BA29-BA20)</f>
        <v>20.25286760544045</v>
      </c>
      <c r="BB31" s="330">
        <f ca="1">SUM(AX31:BA31)</f>
        <v>81.092659345139367</v>
      </c>
      <c r="BC31" s="300">
        <f ca="1">BC60*(BC29-BC20)</f>
        <v>32.918379321900012</v>
      </c>
      <c r="BD31" s="264">
        <f ca="1">BD60*(BD29-BD20)</f>
        <v>10.486937762169905</v>
      </c>
      <c r="BE31" s="264">
        <f ca="1">BE60*(BE29-BE20)</f>
        <v>17.99355086814041</v>
      </c>
      <c r="BF31" s="299">
        <f ca="1">BF60*(BF29-BF20)</f>
        <v>25.267777320451334</v>
      </c>
      <c r="BG31" s="330">
        <f ca="1">SUM(BC31:BF31)</f>
        <v>86.666645272661668</v>
      </c>
      <c r="BH31" s="300">
        <f ca="1">BH60*(BH29-BH20)</f>
        <v>37.642587191086129</v>
      </c>
      <c r="BI31" s="264">
        <f ca="1">BI60*(BI29-BI20)</f>
        <v>15.302681532696216</v>
      </c>
      <c r="BJ31" s="264">
        <f ca="1">BJ60*(BJ29-BJ20)</f>
        <v>17.98369552738184</v>
      </c>
      <c r="BK31" s="299">
        <f ca="1">BK60*(BK29-BK20)</f>
        <v>25.404429485865403</v>
      </c>
      <c r="BL31" s="330">
        <f ca="1">SUM(BH31:BK31)</f>
        <v>96.333393737029596</v>
      </c>
      <c r="BM31" s="300">
        <f ca="1">BM60*(BM29-BM20)</f>
        <v>37.729924965478247</v>
      </c>
      <c r="BN31" s="264">
        <f ca="1">BN60*(BN29-BN20)</f>
        <v>15.640094078373355</v>
      </c>
      <c r="BO31" s="264">
        <f ca="1">BO60*(BO29-BO20)</f>
        <v>20.224166112751579</v>
      </c>
      <c r="BP31" s="299">
        <f ca="1">BP60*(BP29-BP20)</f>
        <v>28.30048010134951</v>
      </c>
      <c r="BQ31" s="330">
        <f ca="1">SUM(BM31:BP31)</f>
        <v>101.89466525795268</v>
      </c>
      <c r="BR31" s="330"/>
      <c r="BS31" s="330"/>
      <c r="BT31" s="330"/>
      <c r="BU31" s="330"/>
      <c r="BV31" s="330"/>
      <c r="BW31" s="330"/>
      <c r="BX31" s="330"/>
      <c r="BY31" s="330"/>
      <c r="BZ31" s="587"/>
      <c r="CA31" s="330"/>
      <c r="CB31" s="330"/>
      <c r="CC31" s="330"/>
      <c r="CD31" s="330"/>
      <c r="CE31" s="330"/>
      <c r="CF31" s="330"/>
      <c r="CG31" s="330"/>
      <c r="CH31" s="330"/>
      <c r="CI31" s="330"/>
      <c r="CJ31" s="330"/>
      <c r="CK31" s="330"/>
      <c r="CL31" s="330"/>
      <c r="CM31" s="330"/>
      <c r="CN31" s="330"/>
      <c r="CO31" s="330"/>
      <c r="CP31" s="330"/>
      <c r="CQ31" s="330"/>
      <c r="CR31" s="330"/>
      <c r="CS31" s="330"/>
      <c r="CT31" s="330"/>
      <c r="CU31" s="330"/>
    </row>
    <row r="32" spans="1:104">
      <c r="A32" s="330"/>
      <c r="B32" s="330"/>
      <c r="C32" s="28"/>
      <c r="D32" s="330"/>
      <c r="E32" s="335"/>
      <c r="F32" s="336"/>
      <c r="G32" s="336"/>
      <c r="H32" s="586"/>
      <c r="I32" s="427"/>
      <c r="J32" s="335"/>
      <c r="K32" s="336"/>
      <c r="L32" s="336"/>
      <c r="M32" s="586"/>
      <c r="N32" s="427"/>
      <c r="O32" s="335"/>
      <c r="P32" s="336"/>
      <c r="Q32" s="336"/>
      <c r="R32" s="586"/>
      <c r="S32" s="427"/>
      <c r="T32" s="335"/>
      <c r="U32" s="336"/>
      <c r="V32" s="336"/>
      <c r="W32" s="586"/>
      <c r="X32" s="427"/>
      <c r="Y32" s="335"/>
      <c r="Z32" s="336"/>
      <c r="AA32" s="1435"/>
      <c r="AB32" s="1436"/>
      <c r="AC32" s="1437"/>
      <c r="AD32" s="335"/>
      <c r="AE32" s="336"/>
      <c r="AF32" s="1435"/>
      <c r="AG32" s="1436"/>
      <c r="AH32" s="1437"/>
      <c r="AI32" s="335"/>
      <c r="AJ32" s="336"/>
      <c r="AK32" s="1435"/>
      <c r="AL32" s="1436"/>
      <c r="AM32" s="1437"/>
      <c r="AN32" s="335"/>
      <c r="AO32" s="336"/>
      <c r="AP32" s="1435"/>
      <c r="AQ32" s="1436"/>
      <c r="AR32" s="1437"/>
      <c r="AS32" s="335"/>
      <c r="AT32" s="336"/>
      <c r="AU32" s="336"/>
      <c r="AV32" s="1436"/>
      <c r="AW32" s="1437"/>
      <c r="AX32" s="300"/>
      <c r="AY32" s="264"/>
      <c r="AZ32" s="264"/>
      <c r="BA32" s="299"/>
      <c r="BB32" s="330"/>
      <c r="BC32" s="300"/>
      <c r="BD32" s="264"/>
      <c r="BE32" s="264"/>
      <c r="BF32" s="299"/>
      <c r="BG32" s="330"/>
      <c r="BH32" s="300"/>
      <c r="BI32" s="264"/>
      <c r="BJ32" s="264"/>
      <c r="BK32" s="299"/>
      <c r="BL32" s="330"/>
      <c r="BM32" s="300"/>
      <c r="BN32" s="264"/>
      <c r="BO32" s="264"/>
      <c r="BP32" s="299"/>
      <c r="BQ32" s="330"/>
      <c r="BR32" s="330"/>
      <c r="BS32" s="330"/>
      <c r="BT32" s="330"/>
      <c r="BU32" s="330"/>
      <c r="BV32" s="330"/>
      <c r="BW32" s="330"/>
      <c r="BX32" s="330"/>
      <c r="BY32" s="330"/>
      <c r="BZ32" s="587"/>
      <c r="CA32" s="330"/>
      <c r="CB32" s="330"/>
      <c r="CC32" s="330"/>
      <c r="CD32" s="330"/>
      <c r="CE32" s="330"/>
      <c r="CF32" s="330"/>
      <c r="CG32" s="330"/>
      <c r="CH32" s="330"/>
      <c r="CI32" s="330"/>
      <c r="CJ32" s="330"/>
      <c r="CK32" s="330"/>
      <c r="CL32" s="330"/>
      <c r="CM32" s="330"/>
      <c r="CN32" s="330"/>
      <c r="CO32" s="330"/>
      <c r="CP32" s="330"/>
      <c r="CQ32" s="330"/>
      <c r="CR32" s="330"/>
      <c r="CS32" s="330"/>
      <c r="CT32" s="330"/>
      <c r="CU32" s="330"/>
    </row>
    <row r="33" spans="1:99" s="1" customFormat="1">
      <c r="C33" s="808" t="s">
        <v>1309</v>
      </c>
      <c r="E33" s="292">
        <f t="shared" ref="E33:AE33" si="62">E29-E31</f>
        <v>84.999999999999829</v>
      </c>
      <c r="F33" s="261">
        <f t="shared" si="62"/>
        <v>16.000000000000071</v>
      </c>
      <c r="G33" s="261">
        <f t="shared" si="62"/>
        <v>32.299999999999933</v>
      </c>
      <c r="H33" s="293">
        <f t="shared" si="62"/>
        <v>-42.599999999999966</v>
      </c>
      <c r="I33" s="228">
        <f t="shared" si="62"/>
        <v>90.70000000000006</v>
      </c>
      <c r="J33" s="292">
        <f t="shared" si="62"/>
        <v>64.399999999999864</v>
      </c>
      <c r="K33" s="261">
        <f t="shared" si="62"/>
        <v>16.999999999999979</v>
      </c>
      <c r="L33" s="261">
        <f t="shared" si="62"/>
        <v>31.800000000000026</v>
      </c>
      <c r="M33" s="293">
        <f>M29-M31</f>
        <v>34.399999999999949</v>
      </c>
      <c r="N33" s="228">
        <f t="shared" si="62"/>
        <v>147.60000000000028</v>
      </c>
      <c r="O33" s="292">
        <f t="shared" si="62"/>
        <v>81.099999999999966</v>
      </c>
      <c r="P33" s="261">
        <f t="shared" si="62"/>
        <v>16.60000000000009</v>
      </c>
      <c r="Q33" s="261">
        <f t="shared" si="62"/>
        <v>1.5999999999999988</v>
      </c>
      <c r="R33" s="293">
        <f t="shared" si="62"/>
        <v>36.40000000000029</v>
      </c>
      <c r="S33" s="228">
        <f t="shared" si="62"/>
        <v>135.70000000000036</v>
      </c>
      <c r="T33" s="292">
        <f t="shared" si="62"/>
        <v>-30</v>
      </c>
      <c r="U33" s="261">
        <f>U29-U31</f>
        <v>16</v>
      </c>
      <c r="V33" s="261">
        <f>V29-V31</f>
        <v>0</v>
      </c>
      <c r="W33" s="293">
        <f>W29-W31</f>
        <v>18</v>
      </c>
      <c r="X33" s="228">
        <f>X29-X31</f>
        <v>4</v>
      </c>
      <c r="Y33" s="292">
        <f>Y29-Y31</f>
        <v>80</v>
      </c>
      <c r="Z33" s="261">
        <f t="shared" si="62"/>
        <v>25</v>
      </c>
      <c r="AA33" s="1438">
        <f>AA29-AA31</f>
        <v>53</v>
      </c>
      <c r="AB33" s="1439">
        <f>AB29-AB31</f>
        <v>52</v>
      </c>
      <c r="AC33" s="1440">
        <f>AC29-AC31</f>
        <v>210</v>
      </c>
      <c r="AD33" s="292">
        <f>AD29-AD31</f>
        <v>88</v>
      </c>
      <c r="AE33" s="261">
        <f t="shared" si="62"/>
        <v>19</v>
      </c>
      <c r="AF33" s="1438">
        <f>AF29-AF31</f>
        <v>49</v>
      </c>
      <c r="AG33" s="1439">
        <f>AG29-AG31</f>
        <v>55</v>
      </c>
      <c r="AH33" s="1440">
        <f>AH29-AH31</f>
        <v>211</v>
      </c>
      <c r="AI33" s="292">
        <f>AI29-AI31</f>
        <v>109</v>
      </c>
      <c r="AJ33" s="261">
        <f t="shared" ref="AJ33" si="63">AJ29-AJ31</f>
        <v>47</v>
      </c>
      <c r="AK33" s="1438">
        <f>AK29-AK31</f>
        <v>54</v>
      </c>
      <c r="AL33" s="1439">
        <f>AL29-AL31</f>
        <v>78</v>
      </c>
      <c r="AM33" s="1440">
        <f>AM29-AM31</f>
        <v>288</v>
      </c>
      <c r="AN33" s="292">
        <f>AN29-AN31</f>
        <v>101</v>
      </c>
      <c r="AO33" s="261">
        <f t="shared" ref="AO33" si="64">AO29-AO31</f>
        <v>34</v>
      </c>
      <c r="AP33" s="1438">
        <f>AP29-AP31</f>
        <v>56</v>
      </c>
      <c r="AQ33" s="1439">
        <f>AQ29-AQ31</f>
        <v>103</v>
      </c>
      <c r="AR33" s="1440">
        <f>AR29-AR31</f>
        <v>294</v>
      </c>
      <c r="AS33" s="292">
        <f>AS29-AS31</f>
        <v>125</v>
      </c>
      <c r="AT33" s="261">
        <f t="shared" ref="AT33" si="65">AT29-AT31</f>
        <v>45</v>
      </c>
      <c r="AU33" s="261">
        <f t="shared" ref="AU33:BB33" si="66">AU29-AU31</f>
        <v>62</v>
      </c>
      <c r="AV33" s="1439">
        <f>AV29-AV31</f>
        <v>74.999999999999886</v>
      </c>
      <c r="AW33" s="1440">
        <f>AW29-AW31</f>
        <v>307</v>
      </c>
      <c r="AX33" s="292">
        <f t="shared" si="66"/>
        <v>136.86344581811204</v>
      </c>
      <c r="AY33" s="261">
        <f t="shared" ca="1" si="66"/>
        <v>51.676192093504902</v>
      </c>
      <c r="AZ33" s="261">
        <f t="shared" ca="1" si="66"/>
        <v>53.599170469699366</v>
      </c>
      <c r="BA33" s="293">
        <f t="shared" ca="1" si="66"/>
        <v>80.611127794616124</v>
      </c>
      <c r="BB33" s="228">
        <f t="shared" ca="1" si="66"/>
        <v>322.74993617593225</v>
      </c>
      <c r="BC33" s="292">
        <f t="shared" ref="BC33:BL33" ca="1" si="67">BC29-BC31</f>
        <v>128.93784874156944</v>
      </c>
      <c r="BD33" s="261">
        <f t="shared" ca="1" si="67"/>
        <v>44.552901921632369</v>
      </c>
      <c r="BE33" s="261">
        <f t="shared" ca="1" si="67"/>
        <v>72.7920655107595</v>
      </c>
      <c r="BF33" s="293">
        <f t="shared" ca="1" si="67"/>
        <v>100.15701264088156</v>
      </c>
      <c r="BG33" s="228">
        <f t="shared" ca="1" si="67"/>
        <v>346.43982881484237</v>
      </c>
      <c r="BH33" s="292">
        <f t="shared" ca="1" si="67"/>
        <v>146.48311145127411</v>
      </c>
      <c r="BI33" s="261">
        <f t="shared" ca="1" si="67"/>
        <v>62.442513974473982</v>
      </c>
      <c r="BJ33" s="261">
        <f t="shared" ca="1" si="67"/>
        <v>72.528233287815141</v>
      </c>
      <c r="BK33" s="293">
        <f t="shared" ca="1" si="67"/>
        <v>100.44432770306283</v>
      </c>
      <c r="BL33" s="228">
        <f t="shared" ca="1" si="67"/>
        <v>381.89818641662578</v>
      </c>
      <c r="BM33" s="292">
        <f t="shared" ref="BM33:BQ33" ca="1" si="68">BM29-BM31</f>
        <v>146.35815310142499</v>
      </c>
      <c r="BN33" s="261">
        <f t="shared" ca="1" si="68"/>
        <v>63.258313097554193</v>
      </c>
      <c r="BO33" s="261">
        <f t="shared" ca="1" si="68"/>
        <v>80.503155512596081</v>
      </c>
      <c r="BP33" s="293">
        <f t="shared" ca="1" si="68"/>
        <v>110.88547956494068</v>
      </c>
      <c r="BQ33" s="228">
        <f t="shared" ca="1" si="68"/>
        <v>401.00510127651614</v>
      </c>
      <c r="CH33" s="13"/>
      <c r="CI33" s="13"/>
      <c r="CJ33" s="13"/>
      <c r="CK33" s="13"/>
      <c r="CL33" s="806"/>
      <c r="CM33" s="806"/>
    </row>
    <row r="34" spans="1:99" s="1" customFormat="1">
      <c r="C34" s="28" t="s">
        <v>1294</v>
      </c>
      <c r="E34" s="337">
        <v>3.3</v>
      </c>
      <c r="F34" s="338">
        <v>3.3</v>
      </c>
      <c r="G34" s="338">
        <f>3.3+0.4</f>
        <v>3.6999999999999997</v>
      </c>
      <c r="H34" s="586">
        <f>I34-SUM(E34:G34)</f>
        <v>-4.3999999999999995</v>
      </c>
      <c r="I34" s="339">
        <f>13.2-7.3</f>
        <v>5.8999999999999995</v>
      </c>
      <c r="J34" s="337">
        <v>3.3</v>
      </c>
      <c r="K34" s="338">
        <v>3.3</v>
      </c>
      <c r="L34" s="338">
        <v>3.3</v>
      </c>
      <c r="M34" s="586">
        <f>N34-SUM(J34:L34)</f>
        <v>3.3000000000000007</v>
      </c>
      <c r="N34" s="339">
        <v>13.2</v>
      </c>
      <c r="O34" s="337">
        <v>3.3</v>
      </c>
      <c r="P34" s="338">
        <v>3.3</v>
      </c>
      <c r="Q34" s="338">
        <v>3.3</v>
      </c>
      <c r="R34" s="586">
        <f>S34-SUM(O34:Q34)</f>
        <v>3.3000000000000007</v>
      </c>
      <c r="S34" s="339">
        <v>13.2</v>
      </c>
      <c r="T34" s="337">
        <v>3</v>
      </c>
      <c r="U34" s="338">
        <v>3</v>
      </c>
      <c r="V34" s="338">
        <v>4</v>
      </c>
      <c r="W34" s="586">
        <f>X34-SUM(T34:V34)</f>
        <v>3</v>
      </c>
      <c r="X34" s="339">
        <v>13</v>
      </c>
      <c r="Y34" s="337">
        <v>3</v>
      </c>
      <c r="Z34" s="338">
        <v>3</v>
      </c>
      <c r="AA34" s="1435">
        <v>3</v>
      </c>
      <c r="AB34" s="1436">
        <f>AC34-SUM(Y34:AA34)</f>
        <v>4</v>
      </c>
      <c r="AC34" s="1437">
        <v>13</v>
      </c>
      <c r="AD34" s="337">
        <v>3</v>
      </c>
      <c r="AE34" s="338">
        <v>3</v>
      </c>
      <c r="AF34" s="1435">
        <v>3</v>
      </c>
      <c r="AG34" s="1436">
        <f>AH34-SUM(AD34:AF34)</f>
        <v>4</v>
      </c>
      <c r="AH34" s="1437">
        <v>13</v>
      </c>
      <c r="AI34" s="337">
        <v>3</v>
      </c>
      <c r="AJ34" s="338">
        <v>3</v>
      </c>
      <c r="AK34" s="1435">
        <v>3</v>
      </c>
      <c r="AL34" s="1436">
        <f>AM34-SUM(AI34:AK34)</f>
        <v>4</v>
      </c>
      <c r="AM34" s="1437">
        <v>13</v>
      </c>
      <c r="AN34" s="337">
        <v>3</v>
      </c>
      <c r="AO34" s="338">
        <v>3</v>
      </c>
      <c r="AP34" s="1435">
        <v>2</v>
      </c>
      <c r="AQ34" s="1436">
        <f>AR34-SUM(AN34:AP34)</f>
        <v>0</v>
      </c>
      <c r="AR34" s="1437">
        <v>8</v>
      </c>
      <c r="AS34" s="337">
        <v>0</v>
      </c>
      <c r="AT34" s="338">
        <v>0</v>
      </c>
      <c r="AU34" s="338">
        <v>0</v>
      </c>
      <c r="AV34" s="1436">
        <f>AW34-SUM(AS34:AU34)</f>
        <v>0</v>
      </c>
      <c r="AW34" s="1437">
        <v>0</v>
      </c>
      <c r="AX34" s="814">
        <v>0</v>
      </c>
      <c r="AY34" s="262">
        <v>0</v>
      </c>
      <c r="AZ34" s="262">
        <v>0</v>
      </c>
      <c r="BA34" s="294">
        <v>0</v>
      </c>
      <c r="BB34" s="330">
        <f>SUM(AX34:BA34)</f>
        <v>0</v>
      </c>
      <c r="BC34" s="814">
        <v>0</v>
      </c>
      <c r="BD34" s="262">
        <v>0</v>
      </c>
      <c r="BE34" s="262">
        <v>0</v>
      </c>
      <c r="BF34" s="294">
        <v>0</v>
      </c>
      <c r="BG34" s="330">
        <f>SUM(BC34:BF34)</f>
        <v>0</v>
      </c>
      <c r="BH34" s="814">
        <v>0</v>
      </c>
      <c r="BI34" s="262">
        <v>0</v>
      </c>
      <c r="BJ34" s="262">
        <v>0</v>
      </c>
      <c r="BK34" s="294">
        <v>0</v>
      </c>
      <c r="BL34" s="330">
        <f>SUM(BH34:BK34)</f>
        <v>0</v>
      </c>
      <c r="BM34" s="814">
        <v>0</v>
      </c>
      <c r="BN34" s="262">
        <v>0</v>
      </c>
      <c r="BO34" s="262">
        <v>0</v>
      </c>
      <c r="BP34" s="294">
        <v>0</v>
      </c>
      <c r="BQ34" s="330">
        <f>SUM(BM34:BP34)</f>
        <v>0</v>
      </c>
      <c r="CH34" s="13"/>
      <c r="CI34" s="13"/>
      <c r="CJ34" s="13"/>
      <c r="CK34" s="13"/>
      <c r="CL34" s="806"/>
      <c r="CM34" s="806"/>
    </row>
    <row r="35" spans="1:99" s="1" customFormat="1">
      <c r="C35" s="28"/>
      <c r="E35" s="337"/>
      <c r="F35" s="338"/>
      <c r="G35" s="338"/>
      <c r="H35" s="586"/>
      <c r="I35" s="339"/>
      <c r="J35" s="337"/>
      <c r="K35" s="338"/>
      <c r="L35" s="338"/>
      <c r="M35" s="586"/>
      <c r="N35" s="339"/>
      <c r="O35" s="337"/>
      <c r="P35" s="338"/>
      <c r="Q35" s="338"/>
      <c r="R35" s="586"/>
      <c r="S35" s="330"/>
      <c r="T35" s="337"/>
      <c r="U35" s="338"/>
      <c r="V35" s="338"/>
      <c r="W35" s="586"/>
      <c r="X35" s="330"/>
      <c r="Y35" s="337"/>
      <c r="Z35" s="338"/>
      <c r="AA35" s="1435"/>
      <c r="AB35" s="1436"/>
      <c r="AC35" s="1443"/>
      <c r="AD35" s="337"/>
      <c r="AE35" s="338"/>
      <c r="AF35" s="1435"/>
      <c r="AG35" s="1436"/>
      <c r="AH35" s="1443"/>
      <c r="AI35" s="337"/>
      <c r="AJ35" s="338"/>
      <c r="AK35" s="1435"/>
      <c r="AL35" s="1436"/>
      <c r="AM35" s="1443"/>
      <c r="AN35" s="337"/>
      <c r="AO35" s="338"/>
      <c r="AP35" s="1435"/>
      <c r="AQ35" s="1436"/>
      <c r="AR35" s="1443"/>
      <c r="AS35" s="337"/>
      <c r="AT35" s="338"/>
      <c r="AU35" s="353"/>
      <c r="AV35" s="1436"/>
      <c r="AW35" s="1443"/>
      <c r="AX35" s="369"/>
      <c r="AY35" s="353"/>
      <c r="AZ35" s="353"/>
      <c r="BA35" s="354"/>
      <c r="BB35" s="340"/>
      <c r="BC35" s="369"/>
      <c r="BD35" s="353"/>
      <c r="BE35" s="353"/>
      <c r="BF35" s="354"/>
      <c r="BG35" s="340"/>
      <c r="BH35" s="369"/>
      <c r="BI35" s="353"/>
      <c r="BJ35" s="353"/>
      <c r="BK35" s="354"/>
      <c r="BL35" s="340"/>
      <c r="BM35" s="369"/>
      <c r="BN35" s="353"/>
      <c r="BO35" s="353"/>
      <c r="BP35" s="354"/>
      <c r="BQ35" s="340"/>
      <c r="CH35" s="13"/>
      <c r="CI35" s="13"/>
      <c r="CJ35" s="13"/>
      <c r="CK35" s="13"/>
      <c r="CL35" s="806"/>
      <c r="CM35" s="806"/>
    </row>
    <row r="36" spans="1:99">
      <c r="A36" s="330"/>
      <c r="B36" s="330"/>
      <c r="C36" s="32" t="s">
        <v>82</v>
      </c>
      <c r="D36" s="45"/>
      <c r="E36" s="292">
        <f t="shared" ref="E36:M36" si="69">E33-E34</f>
        <v>81.699999999999832</v>
      </c>
      <c r="F36" s="261">
        <f t="shared" si="69"/>
        <v>12.70000000000007</v>
      </c>
      <c r="G36" s="261">
        <f t="shared" si="69"/>
        <v>28.599999999999934</v>
      </c>
      <c r="H36" s="293">
        <f>H33-H34</f>
        <v>-38.199999999999967</v>
      </c>
      <c r="I36" s="228">
        <f t="shared" si="69"/>
        <v>84.800000000000054</v>
      </c>
      <c r="J36" s="292">
        <f t="shared" si="69"/>
        <v>61.099999999999866</v>
      </c>
      <c r="K36" s="261">
        <f t="shared" si="69"/>
        <v>13.699999999999978</v>
      </c>
      <c r="L36" s="261">
        <f t="shared" si="69"/>
        <v>28.500000000000025</v>
      </c>
      <c r="M36" s="293">
        <f t="shared" si="69"/>
        <v>31.099999999999948</v>
      </c>
      <c r="N36" s="228">
        <f t="shared" ref="N36:AE36" si="70">N33-N34</f>
        <v>134.40000000000029</v>
      </c>
      <c r="O36" s="292">
        <f t="shared" si="70"/>
        <v>77.799999999999969</v>
      </c>
      <c r="P36" s="261">
        <f t="shared" si="70"/>
        <v>13.30000000000009</v>
      </c>
      <c r="Q36" s="261">
        <f t="shared" si="70"/>
        <v>-1.7000000000000011</v>
      </c>
      <c r="R36" s="293">
        <f t="shared" si="70"/>
        <v>33.100000000000293</v>
      </c>
      <c r="S36" s="228">
        <f t="shared" si="70"/>
        <v>122.50000000000036</v>
      </c>
      <c r="T36" s="292">
        <f t="shared" si="70"/>
        <v>-33</v>
      </c>
      <c r="U36" s="261">
        <f>U33-U34</f>
        <v>13</v>
      </c>
      <c r="V36" s="261">
        <f>V33-V34</f>
        <v>-4</v>
      </c>
      <c r="W36" s="293">
        <f>W33-W34</f>
        <v>15</v>
      </c>
      <c r="X36" s="228">
        <f>X33-X34</f>
        <v>-9</v>
      </c>
      <c r="Y36" s="292">
        <f>Y33-Y34</f>
        <v>77</v>
      </c>
      <c r="Z36" s="261">
        <f t="shared" si="70"/>
        <v>22</v>
      </c>
      <c r="AA36" s="1438">
        <f>AA33-AA34</f>
        <v>50</v>
      </c>
      <c r="AB36" s="1439">
        <f>AB33-AB34</f>
        <v>48</v>
      </c>
      <c r="AC36" s="1440">
        <f>AC33-AC34</f>
        <v>197</v>
      </c>
      <c r="AD36" s="292">
        <f>AD33-AD34</f>
        <v>85</v>
      </c>
      <c r="AE36" s="261">
        <f t="shared" si="70"/>
        <v>16</v>
      </c>
      <c r="AF36" s="1438">
        <f>AF33-AF34</f>
        <v>46</v>
      </c>
      <c r="AG36" s="1439">
        <f>AG33-AG34</f>
        <v>51</v>
      </c>
      <c r="AH36" s="1440">
        <f>AH33-AH34</f>
        <v>198</v>
      </c>
      <c r="AI36" s="292">
        <f>AI33-AI34</f>
        <v>106</v>
      </c>
      <c r="AJ36" s="261">
        <f t="shared" ref="AJ36" si="71">AJ33-AJ34</f>
        <v>44</v>
      </c>
      <c r="AK36" s="1438">
        <f>AK33-AK34</f>
        <v>51</v>
      </c>
      <c r="AL36" s="1439">
        <f>AL33-AL34</f>
        <v>74</v>
      </c>
      <c r="AM36" s="1440">
        <f>AM33-AM34</f>
        <v>275</v>
      </c>
      <c r="AN36" s="292">
        <f>AN33-AN34</f>
        <v>98</v>
      </c>
      <c r="AO36" s="261">
        <f t="shared" ref="AO36" si="72">AO33-AO34</f>
        <v>31</v>
      </c>
      <c r="AP36" s="1438">
        <f t="shared" ref="AP36:BL36" si="73">AP33-AP34</f>
        <v>54</v>
      </c>
      <c r="AQ36" s="1439">
        <f>AQ33-AQ34</f>
        <v>103</v>
      </c>
      <c r="AR36" s="1440">
        <f>AR33-AR34</f>
        <v>286</v>
      </c>
      <c r="AS36" s="292">
        <f>AS33-AS34</f>
        <v>125</v>
      </c>
      <c r="AT36" s="261">
        <f t="shared" ref="AT36" si="74">AT33-AT34</f>
        <v>45</v>
      </c>
      <c r="AU36" s="261">
        <f t="shared" si="73"/>
        <v>62</v>
      </c>
      <c r="AV36" s="1439">
        <f>AV33-AV34</f>
        <v>74.999999999999886</v>
      </c>
      <c r="AW36" s="1440">
        <f>AW33-AW34</f>
        <v>307</v>
      </c>
      <c r="AX36" s="292">
        <f t="shared" si="73"/>
        <v>136.86344581811204</v>
      </c>
      <c r="AY36" s="261">
        <f t="shared" ca="1" si="73"/>
        <v>51.676192093504902</v>
      </c>
      <c r="AZ36" s="261">
        <f t="shared" ca="1" si="73"/>
        <v>53.599170469699366</v>
      </c>
      <c r="BA36" s="293">
        <f t="shared" ca="1" si="73"/>
        <v>80.611127794616124</v>
      </c>
      <c r="BB36" s="228">
        <f t="shared" ca="1" si="73"/>
        <v>322.74993617593225</v>
      </c>
      <c r="BC36" s="292">
        <f t="shared" ca="1" si="73"/>
        <v>128.93784874156944</v>
      </c>
      <c r="BD36" s="261">
        <f t="shared" ca="1" si="73"/>
        <v>44.552901921632369</v>
      </c>
      <c r="BE36" s="261">
        <f t="shared" ca="1" si="73"/>
        <v>72.7920655107595</v>
      </c>
      <c r="BF36" s="293">
        <f t="shared" ca="1" si="73"/>
        <v>100.15701264088156</v>
      </c>
      <c r="BG36" s="228">
        <f t="shared" ca="1" si="73"/>
        <v>346.43982881484237</v>
      </c>
      <c r="BH36" s="292">
        <f t="shared" ca="1" si="73"/>
        <v>146.48311145127411</v>
      </c>
      <c r="BI36" s="261">
        <f t="shared" ca="1" si="73"/>
        <v>62.442513974473982</v>
      </c>
      <c r="BJ36" s="261">
        <f t="shared" ca="1" si="73"/>
        <v>72.528233287815141</v>
      </c>
      <c r="BK36" s="293">
        <f t="shared" ca="1" si="73"/>
        <v>100.44432770306283</v>
      </c>
      <c r="BL36" s="228">
        <f t="shared" ca="1" si="73"/>
        <v>381.89818641662578</v>
      </c>
      <c r="BM36" s="292">
        <f t="shared" ref="BM36:BQ36" ca="1" si="75">BM33-BM34</f>
        <v>146.35815310142499</v>
      </c>
      <c r="BN36" s="261">
        <f t="shared" ca="1" si="75"/>
        <v>63.258313097554193</v>
      </c>
      <c r="BO36" s="261">
        <f t="shared" ca="1" si="75"/>
        <v>80.503155512596081</v>
      </c>
      <c r="BP36" s="293">
        <f t="shared" ca="1" si="75"/>
        <v>110.88547956494068</v>
      </c>
      <c r="BQ36" s="228">
        <f t="shared" ca="1" si="75"/>
        <v>401.00510127651614</v>
      </c>
      <c r="BR36" s="330"/>
      <c r="BS36" s="330"/>
      <c r="BT36" s="330"/>
      <c r="BU36" s="330"/>
      <c r="BV36" s="330"/>
      <c r="BW36" s="330"/>
      <c r="BX36" s="330"/>
      <c r="BY36" s="330"/>
      <c r="BZ36" s="330"/>
      <c r="CA36" s="330"/>
      <c r="CB36" s="330"/>
      <c r="CC36" s="330"/>
      <c r="CD36" s="330"/>
      <c r="CE36" s="330"/>
      <c r="CF36" s="330"/>
      <c r="CG36" s="330"/>
      <c r="CH36" s="330"/>
      <c r="CI36" s="330"/>
      <c r="CJ36" s="330"/>
      <c r="CK36" s="330"/>
      <c r="CL36" s="330"/>
      <c r="CM36" s="330"/>
      <c r="CN36" s="330"/>
      <c r="CO36" s="330"/>
      <c r="CP36" s="330"/>
      <c r="CQ36" s="330"/>
      <c r="CR36" s="330"/>
      <c r="CS36" s="330"/>
      <c r="CT36" s="330"/>
      <c r="CU36" s="330"/>
    </row>
    <row r="37" spans="1:99">
      <c r="C37" s="40" t="s">
        <v>83</v>
      </c>
      <c r="E37" s="335">
        <v>0</v>
      </c>
      <c r="F37" s="336">
        <v>0</v>
      </c>
      <c r="G37" s="336">
        <v>0</v>
      </c>
      <c r="H37" s="291">
        <f>I37-E37-F37-G37</f>
        <v>225.08</v>
      </c>
      <c r="I37" s="427">
        <f>0.34*I41</f>
        <v>225.08</v>
      </c>
      <c r="J37" s="335">
        <f>0.02*J41</f>
        <v>13.24</v>
      </c>
      <c r="K37" s="336">
        <v>0</v>
      </c>
      <c r="L37" s="336">
        <v>0</v>
      </c>
      <c r="M37" s="291">
        <f>N37-J37-K37-L37</f>
        <v>1.9999999999999574E-2</v>
      </c>
      <c r="N37" s="427">
        <f>0.02*N41</f>
        <v>13.26</v>
      </c>
      <c r="O37" s="335">
        <v>0</v>
      </c>
      <c r="P37" s="336">
        <f>0.03*P41</f>
        <v>19.919999999999998</v>
      </c>
      <c r="Q37" s="336">
        <f>0.01*Q41</f>
        <v>6.65</v>
      </c>
      <c r="R37" s="291">
        <f>S37-O37-P37-Q37</f>
        <v>26.630000000000003</v>
      </c>
      <c r="S37" s="427">
        <f>0.08*S41</f>
        <v>53.2</v>
      </c>
      <c r="T37" s="335">
        <f>+(113+28)*65%</f>
        <v>91.65</v>
      </c>
      <c r="U37" s="336">
        <v>3</v>
      </c>
      <c r="V37" s="1314">
        <v>1</v>
      </c>
      <c r="W37" s="291">
        <f>X37-SUM(T37:V37)</f>
        <v>-7.6500000000000057</v>
      </c>
      <c r="X37" s="427">
        <f>5+83</f>
        <v>88</v>
      </c>
      <c r="Y37" s="335">
        <v>-3</v>
      </c>
      <c r="Z37" s="336">
        <v>1</v>
      </c>
      <c r="AA37" s="1435">
        <v>1</v>
      </c>
      <c r="AB37" s="1442">
        <f>AC37-SUM(Y37:AA37)</f>
        <v>-1</v>
      </c>
      <c r="AC37" s="1437">
        <v>-2</v>
      </c>
      <c r="AD37" s="337">
        <v>0</v>
      </c>
      <c r="AE37" s="336">
        <v>0</v>
      </c>
      <c r="AF37" s="1435">
        <v>0</v>
      </c>
      <c r="AG37" s="1442">
        <f>AH37-SUM(AD37:AF37)</f>
        <v>1</v>
      </c>
      <c r="AH37" s="1437">
        <v>1</v>
      </c>
      <c r="AI37" s="337">
        <v>1</v>
      </c>
      <c r="AJ37" s="336">
        <v>1</v>
      </c>
      <c r="AK37" s="1435">
        <v>1</v>
      </c>
      <c r="AL37" s="1442">
        <f>AM37-SUM(AI37:AK37)</f>
        <v>-1</v>
      </c>
      <c r="AM37" s="1437">
        <v>2</v>
      </c>
      <c r="AN37" s="337">
        <f>1+1</f>
        <v>2</v>
      </c>
      <c r="AO37" s="338">
        <f>-3+1</f>
        <v>-2</v>
      </c>
      <c r="AP37" s="1435">
        <v>1</v>
      </c>
      <c r="AQ37" s="1442">
        <f>AR37-SUM(AN37:AP37)</f>
        <v>2</v>
      </c>
      <c r="AR37" s="1437">
        <v>3</v>
      </c>
      <c r="AS37" s="337">
        <v>1</v>
      </c>
      <c r="AT37" s="338">
        <v>1</v>
      </c>
      <c r="AU37" s="338">
        <v>2</v>
      </c>
      <c r="AV37" s="1442">
        <f>AW37-SUM(AS37:AU37)</f>
        <v>7</v>
      </c>
      <c r="AW37" s="1437">
        <f>2+5+5-1</f>
        <v>11</v>
      </c>
      <c r="AX37" s="814">
        <v>0</v>
      </c>
      <c r="AY37" s="262">
        <v>0</v>
      </c>
      <c r="AZ37" s="262">
        <v>0</v>
      </c>
      <c r="BA37" s="294">
        <v>0</v>
      </c>
      <c r="BB37" s="330">
        <f>SUM(AX37:BA37)</f>
        <v>0</v>
      </c>
      <c r="BC37" s="814">
        <v>0</v>
      </c>
      <c r="BD37" s="262">
        <v>0</v>
      </c>
      <c r="BE37" s="262">
        <v>0</v>
      </c>
      <c r="BF37" s="294">
        <v>0</v>
      </c>
      <c r="BG37" s="330">
        <f>SUM(BC37:BF37)</f>
        <v>0</v>
      </c>
      <c r="BH37" s="814">
        <v>0</v>
      </c>
      <c r="BI37" s="262">
        <v>0</v>
      </c>
      <c r="BJ37" s="262">
        <v>0</v>
      </c>
      <c r="BK37" s="294">
        <v>0</v>
      </c>
      <c r="BL37" s="330">
        <f>SUM(BH37:BK37)</f>
        <v>0</v>
      </c>
      <c r="BM37" s="814">
        <v>0</v>
      </c>
      <c r="BN37" s="262">
        <v>0</v>
      </c>
      <c r="BO37" s="262">
        <v>0</v>
      </c>
      <c r="BP37" s="294">
        <v>0</v>
      </c>
      <c r="BQ37" s="330">
        <f>SUM(BM37:BP37)</f>
        <v>0</v>
      </c>
    </row>
    <row r="38" spans="1:99">
      <c r="A38" s="330"/>
      <c r="B38" s="330"/>
      <c r="C38" s="32" t="s">
        <v>360</v>
      </c>
      <c r="D38" s="330"/>
      <c r="E38" s="292">
        <f t="shared" ref="E38:M38" si="76">SUM(E36:E37)</f>
        <v>81.699999999999832</v>
      </c>
      <c r="F38" s="261">
        <f t="shared" si="76"/>
        <v>12.70000000000007</v>
      </c>
      <c r="G38" s="261">
        <f t="shared" si="76"/>
        <v>28.599999999999934</v>
      </c>
      <c r="H38" s="293">
        <f t="shared" si="76"/>
        <v>186.88000000000005</v>
      </c>
      <c r="I38" s="228">
        <f t="shared" si="76"/>
        <v>309.88000000000005</v>
      </c>
      <c r="J38" s="292">
        <f t="shared" si="76"/>
        <v>74.339999999999861</v>
      </c>
      <c r="K38" s="261">
        <f t="shared" si="76"/>
        <v>13.699999999999978</v>
      </c>
      <c r="L38" s="261">
        <f t="shared" si="76"/>
        <v>28.500000000000025</v>
      </c>
      <c r="M38" s="293">
        <f t="shared" si="76"/>
        <v>31.119999999999948</v>
      </c>
      <c r="N38" s="228">
        <f>SUM(N36:N37)</f>
        <v>147.66000000000028</v>
      </c>
      <c r="O38" s="292">
        <f>SUM(O36:O37)</f>
        <v>77.799999999999969</v>
      </c>
      <c r="P38" s="261">
        <f>SUM(P36:P37)</f>
        <v>33.220000000000084</v>
      </c>
      <c r="Q38" s="261">
        <f>SUM(Q36:Q37)</f>
        <v>4.9499999999999993</v>
      </c>
      <c r="R38" s="293">
        <f>SUM(R36:R37)</f>
        <v>59.730000000000295</v>
      </c>
      <c r="S38" s="228">
        <f t="shared" ref="S38:AE38" si="77">SUM(S36:S37)</f>
        <v>175.70000000000036</v>
      </c>
      <c r="T38" s="292">
        <f>SUM(T36:T37)</f>
        <v>58.650000000000006</v>
      </c>
      <c r="U38" s="261">
        <f>SUM(U36:U37)</f>
        <v>16</v>
      </c>
      <c r="V38" s="261">
        <f t="shared" si="77"/>
        <v>-3</v>
      </c>
      <c r="W38" s="293">
        <f t="shared" si="77"/>
        <v>7.3499999999999943</v>
      </c>
      <c r="X38" s="228">
        <f>SUM(X36:X37)</f>
        <v>79</v>
      </c>
      <c r="Y38" s="292">
        <f>SUM(Y36:Y37)</f>
        <v>74</v>
      </c>
      <c r="Z38" s="261">
        <f t="shared" si="77"/>
        <v>23</v>
      </c>
      <c r="AA38" s="1438">
        <f t="shared" si="77"/>
        <v>51</v>
      </c>
      <c r="AB38" s="1439">
        <f>SUM(AB36:AB37)</f>
        <v>47</v>
      </c>
      <c r="AC38" s="1440">
        <f>SUM(AC36:AC37)</f>
        <v>195</v>
      </c>
      <c r="AD38" s="292">
        <f>SUM(AD36:AD37)</f>
        <v>85</v>
      </c>
      <c r="AE38" s="261">
        <f t="shared" si="77"/>
        <v>16</v>
      </c>
      <c r="AF38" s="1438">
        <f t="shared" ref="AF38" si="78">SUM(AF36:AF37)</f>
        <v>46</v>
      </c>
      <c r="AG38" s="1439">
        <f>SUM(AG36:AG37)</f>
        <v>52</v>
      </c>
      <c r="AH38" s="1440">
        <f>SUM(AH36:AH37)</f>
        <v>199</v>
      </c>
      <c r="AI38" s="292">
        <f>SUM(AI36:AI37)</f>
        <v>107</v>
      </c>
      <c r="AJ38" s="261">
        <f t="shared" ref="AJ38:AK38" si="79">SUM(AJ36:AJ37)</f>
        <v>45</v>
      </c>
      <c r="AK38" s="1438">
        <f t="shared" si="79"/>
        <v>52</v>
      </c>
      <c r="AL38" s="1439">
        <f>SUM(AL36:AL37)</f>
        <v>73</v>
      </c>
      <c r="AM38" s="1440">
        <f>SUM(AM36:AM37)</f>
        <v>277</v>
      </c>
      <c r="AN38" s="292">
        <f>SUM(AN36:AN37)</f>
        <v>100</v>
      </c>
      <c r="AO38" s="261">
        <f t="shared" ref="AO38:AP38" si="80">SUM(AO36:AO37)</f>
        <v>29</v>
      </c>
      <c r="AP38" s="1438">
        <f t="shared" si="80"/>
        <v>55</v>
      </c>
      <c r="AQ38" s="1439">
        <f>SUM(AQ36:AQ37)</f>
        <v>105</v>
      </c>
      <c r="AR38" s="1440">
        <f>SUM(AR36:AR37)</f>
        <v>289</v>
      </c>
      <c r="AS38" s="292">
        <f>SUM(AS36:AS37)</f>
        <v>126</v>
      </c>
      <c r="AT38" s="261">
        <f t="shared" ref="AT38" si="81">SUM(AT36:AT37)</f>
        <v>46</v>
      </c>
      <c r="AU38" s="261">
        <f t="shared" ref="AU38:BB38" si="82">SUM(AU36:AU37)</f>
        <v>64</v>
      </c>
      <c r="AV38" s="1439">
        <f>SUM(AV36:AV37)</f>
        <v>81.999999999999886</v>
      </c>
      <c r="AW38" s="1440">
        <f>SUM(AW36:AW37)</f>
        <v>318</v>
      </c>
      <c r="AX38" s="292">
        <f t="shared" si="82"/>
        <v>136.86344581811204</v>
      </c>
      <c r="AY38" s="261">
        <f t="shared" ca="1" si="82"/>
        <v>51.676192093504902</v>
      </c>
      <c r="AZ38" s="261">
        <f t="shared" ca="1" si="82"/>
        <v>53.599170469699366</v>
      </c>
      <c r="BA38" s="293">
        <f t="shared" ca="1" si="82"/>
        <v>80.611127794616124</v>
      </c>
      <c r="BB38" s="228">
        <f t="shared" ca="1" si="82"/>
        <v>322.74993617593225</v>
      </c>
      <c r="BC38" s="292">
        <f t="shared" ref="BC38:BL38" ca="1" si="83">SUM(BC36:BC37)</f>
        <v>128.93784874156944</v>
      </c>
      <c r="BD38" s="261">
        <f t="shared" ca="1" si="83"/>
        <v>44.552901921632369</v>
      </c>
      <c r="BE38" s="261">
        <f t="shared" ca="1" si="83"/>
        <v>72.7920655107595</v>
      </c>
      <c r="BF38" s="293">
        <f t="shared" ca="1" si="83"/>
        <v>100.15701264088156</v>
      </c>
      <c r="BG38" s="228">
        <f t="shared" ca="1" si="83"/>
        <v>346.43982881484237</v>
      </c>
      <c r="BH38" s="292">
        <f t="shared" ca="1" si="83"/>
        <v>146.48311145127411</v>
      </c>
      <c r="BI38" s="261">
        <f t="shared" ca="1" si="83"/>
        <v>62.442513974473982</v>
      </c>
      <c r="BJ38" s="261">
        <f t="shared" ca="1" si="83"/>
        <v>72.528233287815141</v>
      </c>
      <c r="BK38" s="293">
        <f t="shared" ca="1" si="83"/>
        <v>100.44432770306283</v>
      </c>
      <c r="BL38" s="228">
        <f t="shared" ca="1" si="83"/>
        <v>381.89818641662578</v>
      </c>
      <c r="BM38" s="292">
        <f t="shared" ref="BM38:BQ38" ca="1" si="84">SUM(BM36:BM37)</f>
        <v>146.35815310142499</v>
      </c>
      <c r="BN38" s="261">
        <f t="shared" ca="1" si="84"/>
        <v>63.258313097554193</v>
      </c>
      <c r="BO38" s="261">
        <f t="shared" ca="1" si="84"/>
        <v>80.503155512596081</v>
      </c>
      <c r="BP38" s="293">
        <f t="shared" ca="1" si="84"/>
        <v>110.88547956494068</v>
      </c>
      <c r="BQ38" s="228">
        <f t="shared" ca="1" si="84"/>
        <v>401.00510127651614</v>
      </c>
      <c r="BR38" s="330"/>
      <c r="BS38" s="330"/>
      <c r="BT38" s="330"/>
      <c r="BU38" s="330"/>
      <c r="BV38" s="330"/>
      <c r="BW38" s="330"/>
      <c r="BX38" s="330"/>
      <c r="BY38" s="330"/>
      <c r="BZ38" s="330"/>
      <c r="CA38" s="330"/>
      <c r="CB38" s="330"/>
      <c r="CC38" s="330"/>
      <c r="CD38" s="330"/>
      <c r="CE38" s="330"/>
      <c r="CF38" s="330"/>
      <c r="CG38" s="330"/>
      <c r="CH38" s="330"/>
      <c r="CI38" s="330"/>
      <c r="CJ38" s="330"/>
      <c r="CK38" s="330"/>
      <c r="CL38" s="330"/>
      <c r="CM38" s="330"/>
      <c r="CN38" s="330"/>
      <c r="CO38" s="330"/>
      <c r="CP38" s="330"/>
      <c r="CQ38" s="330"/>
      <c r="CR38" s="330"/>
      <c r="CS38" s="330"/>
      <c r="CT38" s="330"/>
      <c r="CU38" s="330"/>
    </row>
    <row r="39" spans="1:99">
      <c r="A39" s="330"/>
      <c r="B39" s="330"/>
      <c r="C39" s="28"/>
      <c r="D39" s="330"/>
      <c r="E39" s="300"/>
      <c r="F39" s="264"/>
      <c r="G39" s="264"/>
      <c r="H39" s="299"/>
      <c r="I39" s="330"/>
      <c r="J39" s="300"/>
      <c r="K39" s="264"/>
      <c r="L39" s="264"/>
      <c r="M39" s="299"/>
      <c r="N39" s="330"/>
      <c r="O39" s="300"/>
      <c r="P39" s="264"/>
      <c r="Q39" s="264"/>
      <c r="R39" s="299"/>
      <c r="S39" s="330"/>
      <c r="T39" s="300"/>
      <c r="U39" s="264"/>
      <c r="V39" s="264"/>
      <c r="W39" s="299"/>
      <c r="X39" s="330"/>
      <c r="Y39" s="300"/>
      <c r="Z39" s="264"/>
      <c r="AA39" s="1441"/>
      <c r="AB39" s="1442"/>
      <c r="AC39" s="1443"/>
      <c r="AD39" s="300"/>
      <c r="AE39" s="264"/>
      <c r="AF39" s="1441"/>
      <c r="AG39" s="1442"/>
      <c r="AH39" s="1443"/>
      <c r="AI39" s="300"/>
      <c r="AJ39" s="264"/>
      <c r="AK39" s="1441"/>
      <c r="AL39" s="1442"/>
      <c r="AM39" s="1443"/>
      <c r="AN39" s="300"/>
      <c r="AO39" s="264"/>
      <c r="AP39" s="1441"/>
      <c r="AQ39" s="1442"/>
      <c r="AR39" s="1443"/>
      <c r="AS39" s="300"/>
      <c r="AT39" s="264"/>
      <c r="AU39" s="264"/>
      <c r="AV39" s="1442"/>
      <c r="AW39" s="1443"/>
      <c r="AX39" s="300"/>
      <c r="AY39" s="264"/>
      <c r="AZ39" s="264"/>
      <c r="BA39" s="299"/>
      <c r="BB39" s="330"/>
      <c r="BC39" s="300"/>
      <c r="BD39" s="264"/>
      <c r="BE39" s="264"/>
      <c r="BF39" s="299"/>
      <c r="BG39" s="330"/>
      <c r="BH39" s="300"/>
      <c r="BI39" s="264"/>
      <c r="BJ39" s="264"/>
      <c r="BK39" s="299"/>
      <c r="BL39" s="330"/>
      <c r="BM39" s="300"/>
      <c r="BN39" s="264"/>
      <c r="BO39" s="264"/>
      <c r="BP39" s="299"/>
      <c r="BQ39" s="330"/>
      <c r="BR39" s="330"/>
      <c r="BS39" s="330"/>
      <c r="BT39" s="330"/>
      <c r="BU39" s="330"/>
      <c r="BV39" s="330"/>
      <c r="BW39" s="330"/>
      <c r="BX39" s="330"/>
      <c r="BY39" s="330"/>
      <c r="BZ39" s="330"/>
      <c r="CA39" s="330"/>
      <c r="CB39" s="330"/>
      <c r="CC39" s="330"/>
      <c r="CD39" s="330"/>
      <c r="CE39" s="330"/>
      <c r="CF39" s="330"/>
      <c r="CG39" s="330"/>
      <c r="CH39" s="330"/>
      <c r="CI39" s="330"/>
      <c r="CJ39" s="330"/>
      <c r="CK39" s="330"/>
      <c r="CL39" s="330"/>
      <c r="CM39" s="330"/>
      <c r="CN39" s="330"/>
      <c r="CO39" s="330"/>
      <c r="CP39" s="330"/>
      <c r="CQ39" s="330"/>
      <c r="CR39" s="330"/>
      <c r="CS39" s="330"/>
      <c r="CT39" s="330"/>
      <c r="CU39" s="330"/>
    </row>
    <row r="40" spans="1:99">
      <c r="A40" s="330"/>
      <c r="B40" s="330"/>
      <c r="C40" s="28" t="s">
        <v>95</v>
      </c>
      <c r="D40" s="330"/>
      <c r="E40" s="290">
        <f>EXC!E49</f>
        <v>659</v>
      </c>
      <c r="F40" s="260">
        <f>EXC!F49</f>
        <v>659</v>
      </c>
      <c r="G40" s="260">
        <f>EXC!G49</f>
        <v>660</v>
      </c>
      <c r="H40" s="291">
        <f>EXC!H49</f>
        <v>660</v>
      </c>
      <c r="I40" s="45">
        <f>EXC!I49</f>
        <v>659</v>
      </c>
      <c r="J40" s="290">
        <f>EXC!J49</f>
        <v>661</v>
      </c>
      <c r="K40" s="260">
        <f>EXC!K49</f>
        <v>661</v>
      </c>
      <c r="L40" s="260">
        <f>EXC!L49</f>
        <v>662</v>
      </c>
      <c r="M40" s="291">
        <f>EXC!M49</f>
        <v>662</v>
      </c>
      <c r="N40" s="45">
        <f>EXC!N49</f>
        <v>661</v>
      </c>
      <c r="O40" s="290">
        <f>EXC!O49</f>
        <v>662</v>
      </c>
      <c r="P40" s="260">
        <f>EXC!P49</f>
        <v>663</v>
      </c>
      <c r="Q40" s="260">
        <f>EXC!Q49</f>
        <v>663</v>
      </c>
      <c r="R40" s="291">
        <f>EXC!R49</f>
        <v>664</v>
      </c>
      <c r="S40" s="45">
        <f>EXC!S49</f>
        <v>663</v>
      </c>
      <c r="T40" s="290">
        <f>EXC!T49</f>
        <v>705</v>
      </c>
      <c r="U40" s="260">
        <f>EXC!U49</f>
        <v>853</v>
      </c>
      <c r="V40" s="260">
        <f>EXC!V49</f>
        <v>854</v>
      </c>
      <c r="W40" s="291">
        <f>EXC!W49</f>
        <v>816</v>
      </c>
      <c r="X40" s="45">
        <f>EXC!X49</f>
        <v>816</v>
      </c>
      <c r="Y40" s="290">
        <f>EXC!Y49</f>
        <v>855</v>
      </c>
      <c r="Z40" s="260">
        <f>EXC!Z49</f>
        <v>856</v>
      </c>
      <c r="AA40" s="1441">
        <f>EXC!AA49</f>
        <v>857</v>
      </c>
      <c r="AB40" s="1442">
        <f>EXC!AB49</f>
        <v>857</v>
      </c>
      <c r="AC40" s="1443">
        <f>EXC!AC49</f>
        <v>856</v>
      </c>
      <c r="AD40" s="290">
        <f>EXC!AD49</f>
        <v>858</v>
      </c>
      <c r="AE40" s="260">
        <f>EXC!AE49</f>
        <v>860</v>
      </c>
      <c r="AF40" s="1441">
        <f>EXC!AF49</f>
        <v>861</v>
      </c>
      <c r="AG40" s="1442">
        <f>EXC!AG49</f>
        <v>861</v>
      </c>
      <c r="AH40" s="1443">
        <f>EXC!AH49</f>
        <v>860</v>
      </c>
      <c r="AI40" s="290">
        <f>EXC!AI49</f>
        <v>862</v>
      </c>
      <c r="AJ40" s="260">
        <f>EXC!AJ49</f>
        <v>863</v>
      </c>
      <c r="AK40" s="1441">
        <f>EXC!AK49</f>
        <v>913</v>
      </c>
      <c r="AL40" s="1442">
        <f>EXC!AL49</f>
        <v>921</v>
      </c>
      <c r="AM40" s="1443">
        <f>EXC!AM49</f>
        <v>890</v>
      </c>
      <c r="AN40" s="290">
        <f>EXC!AN49</f>
        <v>923</v>
      </c>
      <c r="AO40" s="260">
        <f>EXC!AO49</f>
        <v>924</v>
      </c>
      <c r="AP40" s="1441">
        <f>EXC!AP49</f>
        <v>925</v>
      </c>
      <c r="AQ40" s="1442">
        <f>EXC!AQ49</f>
        <v>925</v>
      </c>
      <c r="AR40" s="1443">
        <f>EXC!AR49</f>
        <v>924</v>
      </c>
      <c r="AS40" s="290">
        <f>EXC!AS49</f>
        <v>928</v>
      </c>
      <c r="AT40" s="260">
        <f>EXC!AT49</f>
        <v>934</v>
      </c>
      <c r="AU40" s="260">
        <f>EXC!AU49</f>
        <v>962</v>
      </c>
      <c r="AV40" s="1442">
        <f>EXC!AV49</f>
        <v>964</v>
      </c>
      <c r="AW40" s="1443">
        <f>EXC!AW49</f>
        <v>947</v>
      </c>
      <c r="AX40" s="290">
        <f>EXC!AX49</f>
        <v>963</v>
      </c>
      <c r="AY40" s="260">
        <f>EXC!AY49</f>
        <v>963</v>
      </c>
      <c r="AZ40" s="260">
        <f>EXC!AZ49</f>
        <v>963</v>
      </c>
      <c r="BA40" s="291">
        <f>EXC!BA49</f>
        <v>963</v>
      </c>
      <c r="BB40" s="45">
        <f>EXC!BB49</f>
        <v>963</v>
      </c>
      <c r="BC40" s="290">
        <f>EXC!BC49</f>
        <v>963</v>
      </c>
      <c r="BD40" s="260">
        <f>EXC!BD49</f>
        <v>963</v>
      </c>
      <c r="BE40" s="260">
        <f>EXC!BE49</f>
        <v>963</v>
      </c>
      <c r="BF40" s="291">
        <f>EXC!BF49</f>
        <v>963</v>
      </c>
      <c r="BG40" s="45">
        <f>EXC!BG49</f>
        <v>963</v>
      </c>
      <c r="BH40" s="290">
        <f>EXC!BH49</f>
        <v>963</v>
      </c>
      <c r="BI40" s="260">
        <f>EXC!BI49</f>
        <v>963</v>
      </c>
      <c r="BJ40" s="260">
        <f>EXC!BJ49</f>
        <v>963</v>
      </c>
      <c r="BK40" s="291">
        <f>EXC!BK49</f>
        <v>963</v>
      </c>
      <c r="BL40" s="45">
        <f>EXC!BL49</f>
        <v>963</v>
      </c>
      <c r="BM40" s="290">
        <f>EXC!BM49</f>
        <v>963</v>
      </c>
      <c r="BN40" s="260">
        <f>EXC!BN49</f>
        <v>963</v>
      </c>
      <c r="BO40" s="260">
        <f>EXC!BO49</f>
        <v>963</v>
      </c>
      <c r="BP40" s="291">
        <f>EXC!BP49</f>
        <v>963</v>
      </c>
      <c r="BQ40" s="45">
        <f>EXC!BQ49</f>
        <v>963</v>
      </c>
      <c r="BR40" s="330"/>
      <c r="BS40" s="330"/>
      <c r="BT40" s="330"/>
      <c r="BU40" s="330"/>
      <c r="BV40" s="330"/>
      <c r="BW40" s="330"/>
      <c r="BX40" s="330"/>
      <c r="BY40" s="330"/>
      <c r="BZ40" s="330"/>
      <c r="CA40" s="330"/>
      <c r="CB40" s="330"/>
      <c r="CC40" s="330"/>
      <c r="CD40" s="330"/>
      <c r="CE40" s="330"/>
      <c r="CF40" s="330"/>
      <c r="CG40" s="330"/>
      <c r="CH40" s="330"/>
      <c r="CI40" s="330"/>
      <c r="CJ40" s="330"/>
      <c r="CK40" s="330"/>
      <c r="CL40" s="330"/>
      <c r="CM40" s="330"/>
      <c r="CN40" s="330"/>
      <c r="CO40" s="330"/>
      <c r="CP40" s="330"/>
      <c r="CQ40" s="330"/>
      <c r="CR40" s="330"/>
      <c r="CS40" s="330"/>
      <c r="CT40" s="330"/>
      <c r="CU40" s="330"/>
    </row>
    <row r="41" spans="1:99">
      <c r="A41" s="330"/>
      <c r="B41" s="330"/>
      <c r="C41" s="28" t="s">
        <v>109</v>
      </c>
      <c r="D41" s="330"/>
      <c r="E41" s="290">
        <f>EXC!E50</f>
        <v>661</v>
      </c>
      <c r="F41" s="260">
        <f>EXC!F50</f>
        <v>661</v>
      </c>
      <c r="G41" s="260">
        <f>EXC!G50</f>
        <v>662</v>
      </c>
      <c r="H41" s="291">
        <f>EXC!H50</f>
        <v>662</v>
      </c>
      <c r="I41" s="45">
        <f>EXC!I50</f>
        <v>662</v>
      </c>
      <c r="J41" s="290">
        <f>EXC!J50</f>
        <v>662</v>
      </c>
      <c r="K41" s="260">
        <f>EXC!K50</f>
        <v>662</v>
      </c>
      <c r="L41" s="260">
        <f>EXC!L50</f>
        <v>663</v>
      </c>
      <c r="M41" s="291">
        <f>EXC!M50</f>
        <v>663</v>
      </c>
      <c r="N41" s="45">
        <f>EXC!N50</f>
        <v>663</v>
      </c>
      <c r="O41" s="290">
        <f>EXC!O50</f>
        <v>664</v>
      </c>
      <c r="P41" s="260">
        <f>EXC!P50</f>
        <v>664</v>
      </c>
      <c r="Q41" s="260">
        <f>EXC!Q50</f>
        <v>665</v>
      </c>
      <c r="R41" s="291">
        <f>EXC!R50</f>
        <v>666</v>
      </c>
      <c r="S41" s="45">
        <f>EXC!S50</f>
        <v>665</v>
      </c>
      <c r="T41" s="290">
        <f>EXC!T50</f>
        <v>707</v>
      </c>
      <c r="U41" s="260">
        <f>EXC!U50</f>
        <v>856</v>
      </c>
      <c r="V41" s="260">
        <f>EXC!V50</f>
        <v>857</v>
      </c>
      <c r="W41" s="291">
        <f>EXC!W50</f>
        <v>819</v>
      </c>
      <c r="X41" s="45">
        <f>EXC!X50</f>
        <v>819</v>
      </c>
      <c r="Y41" s="290">
        <f>EXC!Y50</f>
        <v>855</v>
      </c>
      <c r="Z41" s="260">
        <f>EXC!Z50</f>
        <v>860</v>
      </c>
      <c r="AA41" s="1441">
        <f>EXC!AA50</f>
        <v>860</v>
      </c>
      <c r="AB41" s="1442">
        <f>EXC!AB50</f>
        <v>861</v>
      </c>
      <c r="AC41" s="1443">
        <f>EXC!AC50</f>
        <v>860</v>
      </c>
      <c r="AD41" s="290">
        <f>EXC!AD50</f>
        <v>861</v>
      </c>
      <c r="AE41" s="260">
        <f>EXC!AE50</f>
        <v>864</v>
      </c>
      <c r="AF41" s="1441">
        <f>EXC!AF50</f>
        <v>863</v>
      </c>
      <c r="AG41" s="1442">
        <f>EXC!AG50</f>
        <v>868</v>
      </c>
      <c r="AH41" s="1443">
        <f>EXC!AH50</f>
        <v>864</v>
      </c>
      <c r="AI41" s="290">
        <f>EXC!AI50</f>
        <v>867</v>
      </c>
      <c r="AJ41" s="260">
        <f>EXC!AJ50</f>
        <v>864</v>
      </c>
      <c r="AK41" s="1441">
        <f>EXC!AK50</f>
        <v>915</v>
      </c>
      <c r="AL41" s="1442">
        <f>EXC!AL50</f>
        <v>924</v>
      </c>
      <c r="AM41" s="1443">
        <f>EXC!AM50</f>
        <v>893</v>
      </c>
      <c r="AN41" s="290">
        <f>EXC!AN50</f>
        <v>925</v>
      </c>
      <c r="AO41" s="260">
        <f>EXC!AO50</f>
        <v>926</v>
      </c>
      <c r="AP41" s="1441">
        <f>EXC!AP50</f>
        <v>927</v>
      </c>
      <c r="AQ41" s="1442">
        <f>EXC!AQ50</f>
        <v>928</v>
      </c>
      <c r="AR41" s="1443">
        <f>EXC!AR50</f>
        <v>927</v>
      </c>
      <c r="AS41" s="290">
        <f>EXC!AS50</f>
        <v>930</v>
      </c>
      <c r="AT41" s="260">
        <f>EXC!AT50</f>
        <v>936</v>
      </c>
      <c r="AU41" s="260">
        <f>EXC!AU50</f>
        <v>965</v>
      </c>
      <c r="AV41" s="1442">
        <f>EXC!AV50</f>
        <v>967</v>
      </c>
      <c r="AW41" s="1443">
        <f>EXC!AW50</f>
        <v>949</v>
      </c>
      <c r="AX41" s="290">
        <f>EXC!AX50</f>
        <v>966</v>
      </c>
      <c r="AY41" s="260">
        <f>EXC!AY50</f>
        <v>966</v>
      </c>
      <c r="AZ41" s="260">
        <f>EXC!AZ50</f>
        <v>966</v>
      </c>
      <c r="BA41" s="291">
        <f>EXC!BA50</f>
        <v>966</v>
      </c>
      <c r="BB41" s="45">
        <f>EXC!BB50</f>
        <v>966</v>
      </c>
      <c r="BC41" s="290">
        <f>EXC!BC50</f>
        <v>966</v>
      </c>
      <c r="BD41" s="260">
        <f>EXC!BD50</f>
        <v>966</v>
      </c>
      <c r="BE41" s="260">
        <f>EXC!BE50</f>
        <v>966</v>
      </c>
      <c r="BF41" s="291">
        <f>EXC!BF50</f>
        <v>966</v>
      </c>
      <c r="BG41" s="45">
        <f>EXC!BG50</f>
        <v>966</v>
      </c>
      <c r="BH41" s="290">
        <f>EXC!BH50</f>
        <v>966</v>
      </c>
      <c r="BI41" s="260">
        <f>EXC!BI50</f>
        <v>966</v>
      </c>
      <c r="BJ41" s="260">
        <f>EXC!BJ50</f>
        <v>966</v>
      </c>
      <c r="BK41" s="291">
        <f>EXC!BK50</f>
        <v>966</v>
      </c>
      <c r="BL41" s="45">
        <f>EXC!BL50</f>
        <v>966</v>
      </c>
      <c r="BM41" s="290">
        <f>EXC!BM50</f>
        <v>966</v>
      </c>
      <c r="BN41" s="260">
        <f>EXC!BN50</f>
        <v>966</v>
      </c>
      <c r="BO41" s="260">
        <f>EXC!BO50</f>
        <v>966</v>
      </c>
      <c r="BP41" s="291">
        <f>EXC!BP50</f>
        <v>966</v>
      </c>
      <c r="BQ41" s="45">
        <f>EXC!BQ50</f>
        <v>966</v>
      </c>
      <c r="BR41" s="330"/>
      <c r="BS41" s="330"/>
      <c r="BT41" s="330"/>
      <c r="BU41" s="330"/>
      <c r="BV41" s="330"/>
      <c r="BW41" s="330"/>
      <c r="BX41" s="330"/>
      <c r="BY41" s="330"/>
      <c r="BZ41" s="330"/>
      <c r="CA41" s="330"/>
      <c r="CB41" s="330"/>
      <c r="CC41" s="330"/>
      <c r="CD41" s="330"/>
      <c r="CE41" s="330"/>
      <c r="CF41" s="330"/>
      <c r="CG41" s="330"/>
      <c r="CH41" s="330"/>
      <c r="CI41" s="330"/>
      <c r="CJ41" s="330"/>
      <c r="CK41" s="330"/>
      <c r="CL41" s="330"/>
      <c r="CM41" s="330"/>
      <c r="CN41" s="330"/>
      <c r="CO41" s="330"/>
      <c r="CP41" s="330"/>
      <c r="CQ41" s="330"/>
      <c r="CR41" s="330"/>
      <c r="CS41" s="330"/>
      <c r="CT41" s="330"/>
      <c r="CU41" s="330"/>
    </row>
    <row r="42" spans="1:99">
      <c r="A42" s="330"/>
      <c r="B42" s="330"/>
      <c r="C42" s="228"/>
      <c r="D42" s="330"/>
      <c r="E42" s="300"/>
      <c r="F42" s="264"/>
      <c r="G42" s="264"/>
      <c r="H42" s="299"/>
      <c r="I42" s="330"/>
      <c r="J42" s="300"/>
      <c r="K42" s="264"/>
      <c r="L42" s="264"/>
      <c r="M42" s="299"/>
      <c r="N42" s="330"/>
      <c r="O42" s="300"/>
      <c r="P42" s="264"/>
      <c r="Q42" s="264"/>
      <c r="R42" s="299"/>
      <c r="S42" s="330"/>
      <c r="T42" s="300"/>
      <c r="U42" s="264"/>
      <c r="V42" s="264"/>
      <c r="W42" s="299"/>
      <c r="X42" s="330"/>
      <c r="Y42" s="300"/>
      <c r="Z42" s="264"/>
      <c r="AA42" s="1441"/>
      <c r="AB42" s="1442"/>
      <c r="AC42" s="1443"/>
      <c r="AD42" s="300"/>
      <c r="AE42" s="264"/>
      <c r="AF42" s="1441"/>
      <c r="AG42" s="1442"/>
      <c r="AH42" s="1443"/>
      <c r="AI42" s="300"/>
      <c r="AJ42" s="264"/>
      <c r="AK42" s="1441"/>
      <c r="AL42" s="1442"/>
      <c r="AM42" s="1443"/>
      <c r="AN42" s="300"/>
      <c r="AO42" s="264"/>
      <c r="AP42" s="1441"/>
      <c r="AQ42" s="1442"/>
      <c r="AR42" s="1443"/>
      <c r="AS42" s="300"/>
      <c r="AT42" s="264"/>
      <c r="AU42" s="264"/>
      <c r="AV42" s="1442"/>
      <c r="AW42" s="1443"/>
      <c r="AX42" s="300"/>
      <c r="AY42" s="264"/>
      <c r="AZ42" s="264"/>
      <c r="BA42" s="299"/>
      <c r="BB42" s="330"/>
      <c r="BC42" s="300"/>
      <c r="BD42" s="264"/>
      <c r="BE42" s="264"/>
      <c r="BF42" s="299"/>
      <c r="BG42" s="330"/>
      <c r="BH42" s="300"/>
      <c r="BI42" s="264"/>
      <c r="BJ42" s="264"/>
      <c r="BK42" s="299"/>
      <c r="BL42" s="330"/>
      <c r="BM42" s="300"/>
      <c r="BN42" s="264"/>
      <c r="BO42" s="264"/>
      <c r="BP42" s="299"/>
      <c r="BQ42" s="330"/>
      <c r="BR42" s="330"/>
      <c r="BS42" s="330"/>
      <c r="BT42" s="330"/>
      <c r="BU42" s="330"/>
      <c r="BV42" s="330"/>
      <c r="BW42" s="330"/>
      <c r="BX42" s="330"/>
      <c r="BY42" s="330"/>
      <c r="BZ42" s="330"/>
      <c r="CA42" s="330"/>
      <c r="CB42" s="330"/>
      <c r="CC42" s="330"/>
      <c r="CD42" s="330"/>
      <c r="CE42" s="330"/>
      <c r="CF42" s="330"/>
      <c r="CG42" s="330"/>
      <c r="CH42" s="330"/>
      <c r="CI42" s="330"/>
      <c r="CJ42" s="330"/>
      <c r="CK42" s="330"/>
      <c r="CL42" s="330"/>
      <c r="CM42" s="330"/>
      <c r="CN42" s="330"/>
      <c r="CO42" s="330"/>
      <c r="CP42" s="330"/>
      <c r="CQ42" s="330"/>
      <c r="CR42" s="330"/>
      <c r="CS42" s="330"/>
      <c r="CT42" s="330"/>
      <c r="CU42" s="330"/>
    </row>
    <row r="43" spans="1:99">
      <c r="A43" s="28"/>
      <c r="B43" s="28"/>
      <c r="C43" s="28" t="s">
        <v>447</v>
      </c>
      <c r="D43" s="28"/>
      <c r="E43" s="363">
        <f t="shared" ref="E43:M43" si="85">+E36/E41</f>
        <v>0.12360060514372138</v>
      </c>
      <c r="F43" s="364">
        <f t="shared" si="85"/>
        <v>1.9213313161876053E-2</v>
      </c>
      <c r="G43" s="364">
        <f t="shared" si="85"/>
        <v>4.3202416918428903E-2</v>
      </c>
      <c r="H43" s="365">
        <f t="shared" si="85"/>
        <v>-5.7703927492447078E-2</v>
      </c>
      <c r="I43" s="366">
        <f t="shared" si="85"/>
        <v>0.12809667673716021</v>
      </c>
      <c r="J43" s="363">
        <f t="shared" si="85"/>
        <v>9.2296072507552673E-2</v>
      </c>
      <c r="K43" s="364">
        <f t="shared" si="85"/>
        <v>2.0694864048338334E-2</v>
      </c>
      <c r="L43" s="364">
        <f t="shared" si="85"/>
        <v>4.298642533936655E-2</v>
      </c>
      <c r="M43" s="365">
        <f t="shared" si="85"/>
        <v>4.690799396681742E-2</v>
      </c>
      <c r="N43" s="366">
        <f t="shared" ref="N43:S43" si="86">+N36/N41</f>
        <v>0.20271493212669728</v>
      </c>
      <c r="O43" s="363">
        <f t="shared" si="86"/>
        <v>0.11716867469879513</v>
      </c>
      <c r="P43" s="364">
        <f t="shared" si="86"/>
        <v>2.0030120481927847E-2</v>
      </c>
      <c r="Q43" s="364">
        <f t="shared" si="86"/>
        <v>-2.5563909774436108E-3</v>
      </c>
      <c r="R43" s="365">
        <f t="shared" si="86"/>
        <v>4.9699699699700138E-2</v>
      </c>
      <c r="S43" s="366">
        <f t="shared" si="86"/>
        <v>0.18421052631579002</v>
      </c>
      <c r="T43" s="363">
        <f t="shared" ref="T43:Z43" si="87">+T36/T41</f>
        <v>-4.6676096181046678E-2</v>
      </c>
      <c r="U43" s="364">
        <f>+U36/U41</f>
        <v>1.5186915887850467E-2</v>
      </c>
      <c r="V43" s="364">
        <f t="shared" si="87"/>
        <v>-4.6674445740956822E-3</v>
      </c>
      <c r="W43" s="365">
        <f t="shared" si="87"/>
        <v>1.8315018315018316E-2</v>
      </c>
      <c r="X43" s="366">
        <f t="shared" si="87"/>
        <v>-1.098901098901099E-2</v>
      </c>
      <c r="Y43" s="363">
        <f>+Y36/Y41</f>
        <v>9.005847953216374E-2</v>
      </c>
      <c r="Z43" s="364">
        <f t="shared" si="87"/>
        <v>2.5581395348837209E-2</v>
      </c>
      <c r="AA43" s="364">
        <f t="shared" ref="AA43:AH43" si="88">+AA36/AA41</f>
        <v>5.8139534883720929E-2</v>
      </c>
      <c r="AB43" s="365">
        <f t="shared" si="88"/>
        <v>5.5749128919860627E-2</v>
      </c>
      <c r="AC43" s="366">
        <f t="shared" si="88"/>
        <v>0.22906976744186047</v>
      </c>
      <c r="AD43" s="363">
        <f t="shared" si="88"/>
        <v>9.8722415795586521E-2</v>
      </c>
      <c r="AE43" s="364">
        <f t="shared" si="88"/>
        <v>1.8518518518518517E-2</v>
      </c>
      <c r="AF43" s="364">
        <f t="shared" si="88"/>
        <v>5.3302433371958287E-2</v>
      </c>
      <c r="AG43" s="365">
        <f t="shared" si="88"/>
        <v>5.8755760368663597E-2</v>
      </c>
      <c r="AH43" s="366">
        <f t="shared" si="88"/>
        <v>0.22916666666666666</v>
      </c>
      <c r="AI43" s="363">
        <f t="shared" ref="AI43:AM43" si="89">+AI36/AI41</f>
        <v>0.12226066897347174</v>
      </c>
      <c r="AJ43" s="364">
        <f t="shared" si="89"/>
        <v>5.0925925925925923E-2</v>
      </c>
      <c r="AK43" s="364">
        <f t="shared" si="89"/>
        <v>5.5737704918032788E-2</v>
      </c>
      <c r="AL43" s="365">
        <f t="shared" si="89"/>
        <v>8.0086580086580081E-2</v>
      </c>
      <c r="AM43" s="366">
        <f t="shared" si="89"/>
        <v>0.30795072788353861</v>
      </c>
      <c r="AN43" s="363">
        <f t="shared" ref="AN43:AR43" si="90">+AN36/AN41</f>
        <v>0.10594594594594595</v>
      </c>
      <c r="AO43" s="364">
        <f t="shared" si="90"/>
        <v>3.3477321814254862E-2</v>
      </c>
      <c r="AP43" s="364">
        <f t="shared" si="90"/>
        <v>5.8252427184466021E-2</v>
      </c>
      <c r="AQ43" s="365">
        <f t="shared" si="90"/>
        <v>0.11099137931034483</v>
      </c>
      <c r="AR43" s="366">
        <f t="shared" si="90"/>
        <v>0.30852211434735705</v>
      </c>
      <c r="AS43" s="363">
        <f t="shared" ref="AS43:AT43" si="91">+AS36/AS41</f>
        <v>0.13440860215053763</v>
      </c>
      <c r="AT43" s="364">
        <f t="shared" si="91"/>
        <v>4.807692307692308E-2</v>
      </c>
      <c r="AU43" s="364">
        <f t="shared" ref="AU43:BB43" si="92">+AU36/AU41</f>
        <v>6.4248704663212433E-2</v>
      </c>
      <c r="AV43" s="365">
        <f t="shared" si="92"/>
        <v>7.7559462254394917E-2</v>
      </c>
      <c r="AW43" s="366">
        <f t="shared" si="92"/>
        <v>0.32349841938883034</v>
      </c>
      <c r="AX43" s="363">
        <f t="shared" si="92"/>
        <v>0.14168058573303524</v>
      </c>
      <c r="AY43" s="364">
        <f t="shared" ca="1" si="92"/>
        <v>5.3495022871123087E-2</v>
      </c>
      <c r="AZ43" s="364">
        <f t="shared" ca="1" si="92"/>
        <v>5.5485683716044891E-2</v>
      </c>
      <c r="BA43" s="365">
        <f t="shared" ca="1" si="92"/>
        <v>8.3448372458194739E-2</v>
      </c>
      <c r="BB43" s="366">
        <f t="shared" ca="1" si="92"/>
        <v>0.33410966477839776</v>
      </c>
      <c r="BC43" s="363">
        <f t="shared" ref="BC43:BL43" ca="1" si="93">+BC36/BC41</f>
        <v>0.13347603389396423</v>
      </c>
      <c r="BD43" s="364">
        <f t="shared" ca="1" si="93"/>
        <v>4.6121016482021084E-2</v>
      </c>
      <c r="BE43" s="364">
        <f t="shared" ca="1" si="93"/>
        <v>7.5354105083601963E-2</v>
      </c>
      <c r="BF43" s="365">
        <f t="shared" ca="1" si="93"/>
        <v>0.10368220770277595</v>
      </c>
      <c r="BG43" s="366">
        <f t="shared" ca="1" si="93"/>
        <v>0.35863336316236272</v>
      </c>
      <c r="BH43" s="363">
        <f t="shared" ca="1" si="93"/>
        <v>0.15163883173009743</v>
      </c>
      <c r="BI43" s="364">
        <f t="shared" ca="1" si="93"/>
        <v>6.4640283617467889E-2</v>
      </c>
      <c r="BJ43" s="364">
        <f t="shared" ca="1" si="93"/>
        <v>7.5080986840388345E-2</v>
      </c>
      <c r="BK43" s="365">
        <f t="shared" ca="1" si="93"/>
        <v>0.10397963530337767</v>
      </c>
      <c r="BL43" s="366">
        <f t="shared" ca="1" si="93"/>
        <v>0.39533973749133106</v>
      </c>
      <c r="BM43" s="363">
        <f t="shared" ref="BM43:BQ43" ca="1" si="94">+BM36/BM41</f>
        <v>0.15150947526027431</v>
      </c>
      <c r="BN43" s="364">
        <f t="shared" ca="1" si="94"/>
        <v>6.5484796167240372E-2</v>
      </c>
      <c r="BO43" s="364">
        <f t="shared" ca="1" si="94"/>
        <v>8.3336599909519748E-2</v>
      </c>
      <c r="BP43" s="365">
        <f t="shared" ca="1" si="94"/>
        <v>0.114788281123127</v>
      </c>
      <c r="BQ43" s="366">
        <f t="shared" ca="1" si="94"/>
        <v>0.41511915246016162</v>
      </c>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row>
    <row r="44" spans="1:99">
      <c r="A44" s="28"/>
      <c r="B44" s="13"/>
      <c r="C44" s="367" t="s">
        <v>445</v>
      </c>
      <c r="D44" s="368"/>
      <c r="E44" s="591">
        <f t="shared" ref="E44:M44" si="95">+E38/E41</f>
        <v>0.12360060514372138</v>
      </c>
      <c r="F44" s="592">
        <f t="shared" si="95"/>
        <v>1.9213313161876053E-2</v>
      </c>
      <c r="G44" s="592">
        <f t="shared" si="95"/>
        <v>4.3202416918428903E-2</v>
      </c>
      <c r="H44" s="593">
        <f t="shared" si="95"/>
        <v>0.28229607250755295</v>
      </c>
      <c r="I44" s="594">
        <f t="shared" si="95"/>
        <v>0.46809667673716021</v>
      </c>
      <c r="J44" s="591">
        <f t="shared" si="95"/>
        <v>0.11229607250755266</v>
      </c>
      <c r="K44" s="592">
        <f t="shared" si="95"/>
        <v>2.0694864048338334E-2</v>
      </c>
      <c r="L44" s="592">
        <f t="shared" si="95"/>
        <v>4.298642533936655E-2</v>
      </c>
      <c r="M44" s="593">
        <f t="shared" si="95"/>
        <v>4.6938159879336271E-2</v>
      </c>
      <c r="N44" s="594">
        <f t="shared" ref="N44:S44" si="96">+N38/N41</f>
        <v>0.22271493212669727</v>
      </c>
      <c r="O44" s="591">
        <f t="shared" si="96"/>
        <v>0.11716867469879513</v>
      </c>
      <c r="P44" s="592">
        <f t="shared" si="96"/>
        <v>5.0030120481927835E-2</v>
      </c>
      <c r="Q44" s="592">
        <f t="shared" si="96"/>
        <v>7.4436090225563903E-3</v>
      </c>
      <c r="R44" s="593">
        <f t="shared" si="96"/>
        <v>8.9684684684685129E-2</v>
      </c>
      <c r="S44" s="594">
        <f t="shared" si="96"/>
        <v>0.26421052631579001</v>
      </c>
      <c r="T44" s="591">
        <f t="shared" ref="T44:Z44" si="97">+T38/T41</f>
        <v>8.2956152758132964E-2</v>
      </c>
      <c r="U44" s="592">
        <f>+U38/U41</f>
        <v>1.8691588785046728E-2</v>
      </c>
      <c r="V44" s="592">
        <f t="shared" si="97"/>
        <v>-3.5005834305717621E-3</v>
      </c>
      <c r="W44" s="593">
        <f t="shared" si="97"/>
        <v>8.9743589743589668E-3</v>
      </c>
      <c r="X44" s="594">
        <f t="shared" si="97"/>
        <v>9.6459096459096463E-2</v>
      </c>
      <c r="Y44" s="591">
        <f>+Y38/Y41</f>
        <v>8.6549707602339182E-2</v>
      </c>
      <c r="Z44" s="592">
        <f t="shared" si="97"/>
        <v>2.6744186046511628E-2</v>
      </c>
      <c r="AA44" s="592">
        <f t="shared" ref="AA44:AH44" si="98">+AA38/AA41</f>
        <v>5.9302325581395351E-2</v>
      </c>
      <c r="AB44" s="593">
        <f t="shared" si="98"/>
        <v>5.45876887340302E-2</v>
      </c>
      <c r="AC44" s="594">
        <f t="shared" si="98"/>
        <v>0.22674418604651161</v>
      </c>
      <c r="AD44" s="591">
        <f t="shared" si="98"/>
        <v>9.8722415795586521E-2</v>
      </c>
      <c r="AE44" s="592">
        <f t="shared" si="98"/>
        <v>1.8518518518518517E-2</v>
      </c>
      <c r="AF44" s="592">
        <f t="shared" si="98"/>
        <v>5.3302433371958287E-2</v>
      </c>
      <c r="AG44" s="593">
        <f t="shared" si="98"/>
        <v>5.9907834101382486E-2</v>
      </c>
      <c r="AH44" s="594">
        <f t="shared" si="98"/>
        <v>0.23032407407407407</v>
      </c>
      <c r="AI44" s="591">
        <f t="shared" ref="AI44:AM44" si="99">+AI38/AI41</f>
        <v>0.12341407151095732</v>
      </c>
      <c r="AJ44" s="592">
        <f t="shared" si="99"/>
        <v>5.2083333333333336E-2</v>
      </c>
      <c r="AK44" s="592">
        <f t="shared" si="99"/>
        <v>5.6830601092896178E-2</v>
      </c>
      <c r="AL44" s="593">
        <f t="shared" si="99"/>
        <v>7.9004329004329008E-2</v>
      </c>
      <c r="AM44" s="594">
        <f t="shared" si="99"/>
        <v>0.31019036954087348</v>
      </c>
      <c r="AN44" s="591">
        <f t="shared" ref="AN44:AR44" si="100">+AN38/AN41</f>
        <v>0.10810810810810811</v>
      </c>
      <c r="AO44" s="592">
        <f t="shared" si="100"/>
        <v>3.1317494600431962E-2</v>
      </c>
      <c r="AP44" s="592">
        <f t="shared" si="100"/>
        <v>5.9331175836030203E-2</v>
      </c>
      <c r="AQ44" s="593">
        <f t="shared" si="100"/>
        <v>0.11314655172413793</v>
      </c>
      <c r="AR44" s="594">
        <f t="shared" si="100"/>
        <v>0.31175836030204962</v>
      </c>
      <c r="AS44" s="591">
        <f t="shared" ref="AS44:AT44" si="101">+AS38/AS41</f>
        <v>0.13548387096774195</v>
      </c>
      <c r="AT44" s="592">
        <f t="shared" si="101"/>
        <v>4.9145299145299144E-2</v>
      </c>
      <c r="AU44" s="592">
        <f t="shared" ref="AU44:BB44" si="102">+AU38/AU41</f>
        <v>6.6321243523316059E-2</v>
      </c>
      <c r="AV44" s="593">
        <f t="shared" si="102"/>
        <v>8.479834539813845E-2</v>
      </c>
      <c r="AW44" s="594">
        <f t="shared" si="102"/>
        <v>0.33508956796628031</v>
      </c>
      <c r="AX44" s="591">
        <f t="shared" si="102"/>
        <v>0.14168058573303524</v>
      </c>
      <c r="AY44" s="592">
        <f t="shared" ca="1" si="102"/>
        <v>5.3495022871123087E-2</v>
      </c>
      <c r="AZ44" s="592">
        <f t="shared" ca="1" si="102"/>
        <v>5.5485683716044891E-2</v>
      </c>
      <c r="BA44" s="593">
        <f t="shared" ca="1" si="102"/>
        <v>8.3448372458194739E-2</v>
      </c>
      <c r="BB44" s="594">
        <f t="shared" ca="1" si="102"/>
        <v>0.33410966477839776</v>
      </c>
      <c r="BC44" s="591">
        <f t="shared" ref="BC44:BL44" ca="1" si="103">+BC38/BC41</f>
        <v>0.13347603389396423</v>
      </c>
      <c r="BD44" s="592">
        <f t="shared" ca="1" si="103"/>
        <v>4.6121016482021084E-2</v>
      </c>
      <c r="BE44" s="592">
        <f t="shared" ca="1" si="103"/>
        <v>7.5354105083601963E-2</v>
      </c>
      <c r="BF44" s="593">
        <f t="shared" ca="1" si="103"/>
        <v>0.10368220770277595</v>
      </c>
      <c r="BG44" s="594">
        <f t="shared" ca="1" si="103"/>
        <v>0.35863336316236272</v>
      </c>
      <c r="BH44" s="591">
        <f t="shared" ca="1" si="103"/>
        <v>0.15163883173009743</v>
      </c>
      <c r="BI44" s="592">
        <f t="shared" ca="1" si="103"/>
        <v>6.4640283617467889E-2</v>
      </c>
      <c r="BJ44" s="592">
        <f t="shared" ca="1" si="103"/>
        <v>7.5080986840388345E-2</v>
      </c>
      <c r="BK44" s="593">
        <f t="shared" ca="1" si="103"/>
        <v>0.10397963530337767</v>
      </c>
      <c r="BL44" s="594">
        <f t="shared" ca="1" si="103"/>
        <v>0.39533973749133106</v>
      </c>
      <c r="BM44" s="591">
        <f t="shared" ref="BM44:BQ44" ca="1" si="104">+BM38/BM41</f>
        <v>0.15150947526027431</v>
      </c>
      <c r="BN44" s="592">
        <f t="shared" ca="1" si="104"/>
        <v>6.5484796167240372E-2</v>
      </c>
      <c r="BO44" s="592">
        <f t="shared" ca="1" si="104"/>
        <v>8.3336599909519748E-2</v>
      </c>
      <c r="BP44" s="593">
        <f t="shared" ca="1" si="104"/>
        <v>0.114788281123127</v>
      </c>
      <c r="BQ44" s="1650">
        <f t="shared" ca="1" si="104"/>
        <v>0.41511915246016162</v>
      </c>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row>
    <row r="45" spans="1:99">
      <c r="A45" s="40"/>
      <c r="B45" s="40"/>
      <c r="C45" s="223" t="s">
        <v>309</v>
      </c>
      <c r="D45" s="28"/>
      <c r="E45" s="303"/>
      <c r="F45" s="239"/>
      <c r="G45" s="239"/>
      <c r="H45" s="304"/>
      <c r="I45" s="766"/>
      <c r="J45" s="376">
        <f t="shared" ref="J45:S45" si="105">J44/E44-1</f>
        <v>-9.1460172246114357E-2</v>
      </c>
      <c r="K45" s="377">
        <f t="shared" si="105"/>
        <v>7.7110640626107285E-2</v>
      </c>
      <c r="L45" s="377">
        <f t="shared" si="105"/>
        <v>-4.9995253615131574E-3</v>
      </c>
      <c r="M45" s="378">
        <f t="shared" si="105"/>
        <v>-0.83372719477675195</v>
      </c>
      <c r="N45" s="869">
        <f t="shared" si="105"/>
        <v>-0.52421167849530925</v>
      </c>
      <c r="O45" s="376">
        <f t="shared" si="105"/>
        <v>4.3390673266108681E-2</v>
      </c>
      <c r="P45" s="377">
        <f t="shared" si="105"/>
        <v>1.4175138510245464</v>
      </c>
      <c r="Q45" s="377">
        <f t="shared" si="105"/>
        <v>-0.82683814800158306</v>
      </c>
      <c r="R45" s="378">
        <f t="shared" si="105"/>
        <v>0.91069877718336567</v>
      </c>
      <c r="S45" s="869">
        <f t="shared" si="105"/>
        <v>0.18631707264911568</v>
      </c>
      <c r="T45" s="376">
        <f t="shared" ref="T45:AP45" si="106">T44/O44-1</f>
        <v>-0.29199376052184689</v>
      </c>
      <c r="U45" s="377">
        <f t="shared" si="106"/>
        <v>-0.62639328858305254</v>
      </c>
      <c r="V45" s="377">
        <f t="shared" si="106"/>
        <v>-1.4702804002687317</v>
      </c>
      <c r="W45" s="378">
        <f t="shared" si="106"/>
        <v>-0.89993431982382321</v>
      </c>
      <c r="X45" s="869">
        <f t="shared" si="106"/>
        <v>-0.63491577037393843</v>
      </c>
      <c r="Y45" s="376">
        <f t="shared" si="106"/>
        <v>4.3318725913960687E-2</v>
      </c>
      <c r="Z45" s="377">
        <f t="shared" si="106"/>
        <v>0.43081395348837215</v>
      </c>
      <c r="AA45" s="377">
        <f t="shared" si="106"/>
        <v>-17.940697674418605</v>
      </c>
      <c r="AB45" s="378">
        <f>AB44/W44-1</f>
        <v>5.0826281732205132</v>
      </c>
      <c r="AC45" s="869">
        <f>AC44/X44-1</f>
        <v>1.3506770680011773</v>
      </c>
      <c r="AD45" s="376">
        <f t="shared" si="106"/>
        <v>0.14064412844900631</v>
      </c>
      <c r="AE45" s="377">
        <f t="shared" si="106"/>
        <v>-0.30756843800322065</v>
      </c>
      <c r="AF45" s="377">
        <f t="shared" si="106"/>
        <v>-0.10117465294344852</v>
      </c>
      <c r="AG45" s="378">
        <f>AG44/AB44-1</f>
        <v>9.7460535346602484E-2</v>
      </c>
      <c r="AH45" s="869">
        <f>AH44/AC44-1</f>
        <v>1.5788224121557448E-2</v>
      </c>
      <c r="AI45" s="376">
        <f t="shared" si="106"/>
        <v>0.25011194789334423</v>
      </c>
      <c r="AJ45" s="377">
        <f t="shared" si="106"/>
        <v>1.8125000000000004</v>
      </c>
      <c r="AK45" s="377">
        <f t="shared" si="106"/>
        <v>6.6191494416726115E-2</v>
      </c>
      <c r="AL45" s="378">
        <f t="shared" si="106"/>
        <v>0.31876456876456882</v>
      </c>
      <c r="AM45" s="869">
        <f t="shared" si="106"/>
        <v>0.34675617730308894</v>
      </c>
      <c r="AN45" s="376">
        <f t="shared" si="106"/>
        <v>-0.12402121747916128</v>
      </c>
      <c r="AO45" s="377">
        <f t="shared" si="106"/>
        <v>-0.39870410367170639</v>
      </c>
      <c r="AP45" s="377">
        <f t="shared" si="106"/>
        <v>4.4000497883992962E-2</v>
      </c>
      <c r="AQ45" s="378">
        <f t="shared" ref="AQ45" si="107">AQ44/AL44-1</f>
        <v>0.43215635333018421</v>
      </c>
      <c r="AR45" s="869">
        <f t="shared" ref="AR45:AT45" si="108">AR44/AM44-1</f>
        <v>5.0549305044413906E-3</v>
      </c>
      <c r="AS45" s="376">
        <f t="shared" si="108"/>
        <v>0.25322580645161286</v>
      </c>
      <c r="AT45" s="377">
        <f t="shared" si="108"/>
        <v>0.56926024167403488</v>
      </c>
      <c r="AU45" s="377">
        <f t="shared" ref="AU45:BB45" si="109">AU44/AP44-1</f>
        <v>0.11781441356570888</v>
      </c>
      <c r="AV45" s="378">
        <f t="shared" ref="AV45" si="110">AV44/AQ44-1</f>
        <v>-0.25054414733835728</v>
      </c>
      <c r="AW45" s="869">
        <f t="shared" ref="AW45" si="111">AW44/AR44-1</f>
        <v>7.4837472334746913E-2</v>
      </c>
      <c r="AX45" s="376">
        <f t="shared" si="109"/>
        <v>4.5737656600974397E-2</v>
      </c>
      <c r="AY45" s="377">
        <f t="shared" ca="1" si="109"/>
        <v>8.8507421899374217E-2</v>
      </c>
      <c r="AZ45" s="377">
        <f t="shared" ca="1" si="109"/>
        <v>-0.16337992521901057</v>
      </c>
      <c r="BA45" s="378">
        <f t="shared" ca="1" si="109"/>
        <v>-1.5919802840555719E-2</v>
      </c>
      <c r="BB45" s="869">
        <f t="shared" ca="1" si="109"/>
        <v>-2.924302280819302E-3</v>
      </c>
      <c r="BC45" s="376">
        <f t="shared" ref="BC45" ca="1" si="112">BC44/AX44-1</f>
        <v>-5.7908793901590871E-2</v>
      </c>
      <c r="BD45" s="377">
        <f t="shared" ref="BD45" ca="1" si="113">BD44/AY44-1</f>
        <v>-0.13784471887911898</v>
      </c>
      <c r="BE45" s="377">
        <f t="shared" ref="BE45" ca="1" si="114">BE44/AZ44-1</f>
        <v>0.35808194180748076</v>
      </c>
      <c r="BF45" s="378">
        <f t="shared" ref="BF45" ca="1" si="115">BF44/BA44-1</f>
        <v>0.24247129870289297</v>
      </c>
      <c r="BG45" s="869">
        <f t="shared" ref="BG45" ca="1" si="116">BG44/BB44-1</f>
        <v>7.340014662619998E-2</v>
      </c>
      <c r="BH45" s="376">
        <f t="shared" ref="BH45" ca="1" si="117">BH44/BC44-1</f>
        <v>0.13607534855704539</v>
      </c>
      <c r="BI45" s="377">
        <f t="shared" ref="BI45" ca="1" si="118">BI44/BD44-1</f>
        <v>0.40153640461645068</v>
      </c>
      <c r="BJ45" s="377">
        <f t="shared" ref="BJ45" ca="1" si="119">BJ44/BE44-1</f>
        <v>-3.6244640276811291E-3</v>
      </c>
      <c r="BK45" s="378">
        <f t="shared" ref="BK45" ca="1" si="120">BK44/BF44-1</f>
        <v>2.8686464842102577E-3</v>
      </c>
      <c r="BL45" s="869">
        <f t="shared" ref="BL45" ca="1" si="121">BL44/BG44-1</f>
        <v>0.10235069600133784</v>
      </c>
      <c r="BM45" s="376">
        <f t="shared" ref="BM45" ca="1" si="122">BM44/BH44-1</f>
        <v>-8.5305635995247542E-4</v>
      </c>
      <c r="BN45" s="377">
        <f t="shared" ref="BN45" ca="1" si="123">BN44/BI44-1</f>
        <v>1.3064802666556741E-2</v>
      </c>
      <c r="BO45" s="377">
        <f t="shared" ref="BO45" ca="1" si="124">BO44/BJ44-1</f>
        <v>0.10995610761858621</v>
      </c>
      <c r="BP45" s="378">
        <f t="shared" ref="BP45" ca="1" si="125">BP44/BK44-1</f>
        <v>0.10394964156407482</v>
      </c>
      <c r="BQ45" s="869">
        <f t="shared" ref="BQ45" ca="1" si="126">BQ44/BL44-1</f>
        <v>5.0031436491415837E-2</v>
      </c>
      <c r="BR45" s="40"/>
      <c r="BS45" s="40"/>
      <c r="BT45" s="40"/>
      <c r="BU45" s="40"/>
      <c r="BV45" s="40"/>
      <c r="BW45" s="40"/>
      <c r="BX45" s="40"/>
      <c r="BY45" s="40"/>
      <c r="BZ45" s="40"/>
      <c r="CA45" s="232"/>
      <c r="CB45" s="232"/>
      <c r="CC45" s="232"/>
      <c r="CD45" s="232"/>
      <c r="CE45" s="232"/>
      <c r="CF45" s="232"/>
      <c r="CG45" s="232"/>
      <c r="CH45" s="40"/>
      <c r="CI45" s="40"/>
      <c r="CJ45" s="40"/>
      <c r="CK45" s="40"/>
      <c r="CL45" s="40"/>
      <c r="CM45" s="40"/>
      <c r="CN45" s="232"/>
      <c r="CO45" s="232"/>
      <c r="CP45" s="232"/>
      <c r="CQ45" s="232"/>
      <c r="CR45" s="232"/>
      <c r="CS45" s="232"/>
      <c r="CT45" s="232"/>
      <c r="CU45" s="232"/>
    </row>
    <row r="46" spans="1:99">
      <c r="A46" s="40"/>
      <c r="B46" s="40"/>
      <c r="C46" s="223"/>
      <c r="D46" s="28"/>
      <c r="E46" s="345"/>
      <c r="F46" s="460"/>
      <c r="G46" s="460"/>
      <c r="H46" s="596"/>
      <c r="I46" s="597"/>
      <c r="J46" s="595"/>
      <c r="K46" s="460"/>
      <c r="L46" s="460"/>
      <c r="M46" s="596"/>
      <c r="N46" s="598"/>
      <c r="O46" s="595"/>
      <c r="P46" s="460"/>
      <c r="Q46" s="460"/>
      <c r="R46" s="596"/>
      <c r="S46" s="598"/>
      <c r="T46" s="595"/>
      <c r="U46" s="460"/>
      <c r="V46" s="239"/>
      <c r="W46" s="304"/>
      <c r="X46" s="767"/>
      <c r="Y46" s="303"/>
      <c r="Z46" s="239"/>
      <c r="AA46" s="239"/>
      <c r="AB46" s="304"/>
      <c r="AC46" s="767"/>
      <c r="AD46" s="303"/>
      <c r="AE46" s="239"/>
      <c r="AF46" s="239"/>
      <c r="AG46" s="304"/>
      <c r="AH46" s="767"/>
      <c r="AI46" s="303"/>
      <c r="AJ46" s="239"/>
      <c r="AK46" s="239"/>
      <c r="AL46" s="304"/>
      <c r="AM46" s="767"/>
      <c r="AN46" s="303"/>
      <c r="AO46" s="239"/>
      <c r="AP46" s="239"/>
      <c r="AQ46" s="304"/>
      <c r="AR46" s="767"/>
      <c r="AS46" s="303"/>
      <c r="AT46" s="239"/>
      <c r="AU46" s="239"/>
      <c r="AV46" s="304"/>
      <c r="AW46" s="767"/>
      <c r="AX46" s="303"/>
      <c r="AY46" s="239"/>
      <c r="AZ46" s="239"/>
      <c r="BA46" s="304"/>
      <c r="BB46" s="767"/>
      <c r="BC46" s="303"/>
      <c r="BD46" s="239"/>
      <c r="BE46" s="239"/>
      <c r="BF46" s="304"/>
      <c r="BG46" s="767"/>
      <c r="BH46" s="303"/>
      <c r="BI46" s="239"/>
      <c r="BJ46" s="239"/>
      <c r="BK46" s="304"/>
      <c r="BL46" s="767"/>
      <c r="BM46" s="303"/>
      <c r="BN46" s="239"/>
      <c r="BO46" s="239"/>
      <c r="BP46" s="304"/>
      <c r="BQ46" s="767"/>
      <c r="BR46" s="40"/>
      <c r="BS46" s="40"/>
      <c r="BT46" s="40"/>
      <c r="BU46" s="40"/>
      <c r="BV46" s="40"/>
      <c r="BW46" s="40"/>
      <c r="BX46" s="40"/>
      <c r="BY46" s="40"/>
      <c r="BZ46" s="40"/>
      <c r="CA46" s="232"/>
      <c r="CB46" s="232"/>
      <c r="CC46" s="232"/>
      <c r="CD46" s="232"/>
      <c r="CE46" s="232"/>
      <c r="CF46" s="232"/>
      <c r="CG46" s="232"/>
      <c r="CH46" s="40"/>
      <c r="CI46" s="40"/>
      <c r="CJ46" s="40"/>
      <c r="CK46" s="40"/>
      <c r="CL46" s="40"/>
      <c r="CM46" s="40"/>
      <c r="CN46" s="232"/>
      <c r="CO46" s="232"/>
      <c r="CP46" s="232"/>
      <c r="CQ46" s="232"/>
      <c r="CR46" s="232"/>
      <c r="CS46" s="232"/>
      <c r="CT46" s="232"/>
      <c r="CU46" s="232"/>
    </row>
    <row r="47" spans="1:99">
      <c r="A47" s="1"/>
      <c r="B47" s="1"/>
      <c r="C47" s="32"/>
      <c r="D47" s="1"/>
      <c r="E47" s="845"/>
      <c r="F47" s="846"/>
      <c r="G47" s="846"/>
      <c r="H47" s="847"/>
      <c r="I47" s="848"/>
      <c r="J47" s="845"/>
      <c r="K47" s="846"/>
      <c r="L47" s="846"/>
      <c r="M47" s="847"/>
      <c r="N47" s="848"/>
      <c r="O47" s="845"/>
      <c r="P47" s="846"/>
      <c r="Q47" s="846"/>
      <c r="R47" s="847"/>
      <c r="S47" s="848"/>
      <c r="T47" s="845"/>
      <c r="U47" s="846"/>
      <c r="V47" s="251"/>
      <c r="W47" s="601"/>
      <c r="X47" s="45"/>
      <c r="Y47" s="290"/>
      <c r="Z47" s="260"/>
      <c r="AA47" s="1441"/>
      <c r="AB47" s="1442"/>
      <c r="AC47" s="1479"/>
      <c r="AD47" s="290"/>
      <c r="AE47" s="260"/>
      <c r="AF47" s="260"/>
      <c r="AG47" s="291"/>
      <c r="AH47" s="602"/>
      <c r="AI47" s="290"/>
      <c r="AJ47" s="260"/>
      <c r="AK47" s="260"/>
      <c r="AL47" s="291"/>
      <c r="AM47" s="602"/>
      <c r="AN47" s="290"/>
      <c r="AO47" s="260"/>
      <c r="AP47" s="260"/>
      <c r="AQ47" s="291"/>
      <c r="AR47" s="602"/>
      <c r="AS47" s="290"/>
      <c r="AT47" s="260"/>
      <c r="AU47" s="260"/>
      <c r="AV47" s="291"/>
      <c r="AW47" s="602"/>
      <c r="AX47" s="290"/>
      <c r="AY47" s="260"/>
      <c r="AZ47" s="260"/>
      <c r="BA47" s="291"/>
      <c r="BB47" s="602"/>
      <c r="BC47" s="290"/>
      <c r="BD47" s="260"/>
      <c r="BE47" s="260"/>
      <c r="BF47" s="291"/>
      <c r="BG47" s="602"/>
      <c r="BH47" s="290"/>
      <c r="BI47" s="260"/>
      <c r="BJ47" s="260"/>
      <c r="BK47" s="291"/>
      <c r="BL47" s="602"/>
      <c r="BM47" s="290"/>
      <c r="BN47" s="260"/>
      <c r="BO47" s="260"/>
      <c r="BP47" s="291"/>
      <c r="BQ47" s="602"/>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row>
    <row r="48" spans="1:99">
      <c r="A48" s="1"/>
      <c r="B48" s="73" t="s">
        <v>369</v>
      </c>
      <c r="C48" s="246"/>
      <c r="D48" s="15"/>
      <c r="E48" s="837"/>
      <c r="F48" s="838"/>
      <c r="G48" s="838"/>
      <c r="H48" s="875"/>
      <c r="I48" s="873"/>
      <c r="J48" s="876"/>
      <c r="K48" s="874"/>
      <c r="L48" s="874"/>
      <c r="M48" s="875"/>
      <c r="N48" s="873"/>
      <c r="O48" s="876"/>
      <c r="P48" s="874"/>
      <c r="Q48" s="874"/>
      <c r="R48" s="875"/>
      <c r="S48" s="873"/>
      <c r="T48" s="876"/>
      <c r="U48" s="874"/>
      <c r="V48" s="680"/>
      <c r="W48" s="875"/>
      <c r="X48" s="873"/>
      <c r="Y48" s="876"/>
      <c r="Z48" s="680"/>
      <c r="AA48" s="680"/>
      <c r="AB48" s="1488"/>
      <c r="AC48" s="1489"/>
      <c r="AD48" s="876"/>
      <c r="AE48" s="680"/>
      <c r="AF48" s="251"/>
      <c r="AG48" s="601"/>
      <c r="AH48" s="26"/>
      <c r="AI48" s="600"/>
      <c r="AJ48" s="251"/>
      <c r="AK48" s="251"/>
      <c r="AL48" s="601"/>
      <c r="AM48" s="26"/>
      <c r="AN48" s="600"/>
      <c r="AO48" s="251"/>
      <c r="AP48" s="251"/>
      <c r="AQ48" s="601"/>
      <c r="AR48" s="26"/>
      <c r="AS48" s="600"/>
      <c r="AT48" s="251"/>
      <c r="AU48" s="251"/>
      <c r="AV48" s="601"/>
      <c r="AW48" s="26"/>
      <c r="AX48" s="600"/>
      <c r="AY48" s="251"/>
      <c r="AZ48" s="251"/>
      <c r="BA48" s="601"/>
      <c r="BB48" s="26"/>
      <c r="BC48" s="600"/>
      <c r="BD48" s="251"/>
      <c r="BE48" s="251"/>
      <c r="BF48" s="601"/>
      <c r="BG48" s="26"/>
      <c r="BH48" s="600"/>
      <c r="BI48" s="251"/>
      <c r="BJ48" s="251"/>
      <c r="BK48" s="601"/>
      <c r="BL48" s="26"/>
      <c r="BM48" s="600"/>
      <c r="BN48" s="251"/>
      <c r="BO48" s="251"/>
      <c r="BP48" s="601"/>
      <c r="BQ48" s="26"/>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row>
    <row r="49" spans="1:99">
      <c r="A49" s="1"/>
      <c r="B49" s="1"/>
      <c r="C49" s="2129" t="s">
        <v>1421</v>
      </c>
      <c r="D49" s="380"/>
      <c r="E49" s="603"/>
      <c r="F49" s="604"/>
      <c r="G49" s="604"/>
      <c r="H49" s="605"/>
      <c r="I49" s="606"/>
      <c r="J49" s="607"/>
      <c r="K49" s="608"/>
      <c r="L49" s="608"/>
      <c r="M49" s="609"/>
      <c r="N49" s="610"/>
      <c r="O49" s="607"/>
      <c r="P49" s="608"/>
      <c r="Q49" s="608"/>
      <c r="R49" s="609"/>
      <c r="S49" s="610"/>
      <c r="T49" s="607"/>
      <c r="U49" s="608"/>
      <c r="V49" s="608"/>
      <c r="W49" s="609"/>
      <c r="X49" s="610"/>
      <c r="Y49" s="607"/>
      <c r="Z49" s="608"/>
      <c r="AA49" s="608"/>
      <c r="AB49" s="609"/>
      <c r="AC49" s="610"/>
      <c r="AD49" s="607"/>
      <c r="AE49" s="608"/>
      <c r="AF49" s="608"/>
      <c r="AG49" s="609"/>
      <c r="AH49" s="611"/>
      <c r="AI49" s="607"/>
      <c r="AJ49" s="608"/>
      <c r="AK49" s="608"/>
      <c r="AL49" s="609"/>
      <c r="AM49" s="611"/>
      <c r="AN49" s="607"/>
      <c r="AO49" s="608"/>
      <c r="AP49" s="608"/>
      <c r="AQ49" s="609"/>
      <c r="AR49" s="611"/>
      <c r="AS49" s="607"/>
      <c r="AT49" s="608"/>
      <c r="AU49" s="608"/>
      <c r="AV49" s="609"/>
      <c r="AW49" s="611"/>
      <c r="AX49" s="607">
        <f>+BB49-AS108</f>
        <v>1.5760769088556108E-2</v>
      </c>
      <c r="AY49" s="608">
        <f>+BB49-AT108</f>
        <v>5.6135770234986948E-2</v>
      </c>
      <c r="AZ49" s="608">
        <f>+BB49-AU108</f>
        <v>1.1127596439169163E-2</v>
      </c>
      <c r="BA49" s="609">
        <f>+BB49-AV108</f>
        <v>-1.9619383951343908E-3</v>
      </c>
      <c r="BB49" s="611">
        <v>0</v>
      </c>
      <c r="BC49" s="607">
        <f>+BG49-AX108</f>
        <v>0</v>
      </c>
      <c r="BD49" s="608">
        <f>+BG49-AY108</f>
        <v>0</v>
      </c>
      <c r="BE49" s="608">
        <f>+BG49-AZ108</f>
        <v>0</v>
      </c>
      <c r="BF49" s="609">
        <f>+BG49-BA108</f>
        <v>0</v>
      </c>
      <c r="BG49" s="611">
        <v>0</v>
      </c>
      <c r="BH49" s="607">
        <f>+BL49-BC108</f>
        <v>0</v>
      </c>
      <c r="BI49" s="608">
        <f>+BL49-BD108</f>
        <v>0</v>
      </c>
      <c r="BJ49" s="608">
        <f>+BL49-BE108</f>
        <v>0</v>
      </c>
      <c r="BK49" s="609">
        <f>+BL49-BF108</f>
        <v>0</v>
      </c>
      <c r="BL49" s="611">
        <v>0</v>
      </c>
      <c r="BM49" s="607">
        <f>+BQ49-BH108</f>
        <v>0</v>
      </c>
      <c r="BN49" s="608">
        <f>+BQ49-BI108</f>
        <v>0</v>
      </c>
      <c r="BO49" s="608">
        <f>+BQ49-BJ108</f>
        <v>0</v>
      </c>
      <c r="BP49" s="609">
        <f>+BQ49-BK108</f>
        <v>0</v>
      </c>
      <c r="BQ49" s="2276">
        <f>+BL49</f>
        <v>0</v>
      </c>
      <c r="BR49" s="567"/>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row>
    <row r="50" spans="1:99">
      <c r="A50" s="1"/>
      <c r="B50" s="1"/>
      <c r="C50" s="1948" t="s">
        <v>1422</v>
      </c>
      <c r="D50" s="1"/>
      <c r="E50" s="600"/>
      <c r="F50" s="251"/>
      <c r="G50" s="251"/>
      <c r="H50" s="601"/>
      <c r="I50" s="26"/>
      <c r="J50" s="284"/>
      <c r="K50" s="241"/>
      <c r="L50" s="241"/>
      <c r="M50" s="285"/>
      <c r="N50" s="25"/>
      <c r="O50" s="284"/>
      <c r="P50" s="241"/>
      <c r="Q50" s="241"/>
      <c r="R50" s="285"/>
      <c r="S50" s="25"/>
      <c r="T50" s="284"/>
      <c r="U50" s="241"/>
      <c r="V50" s="241"/>
      <c r="W50" s="285"/>
      <c r="X50" s="25"/>
      <c r="Y50" s="284"/>
      <c r="Z50" s="241"/>
      <c r="AA50" s="241"/>
      <c r="AB50" s="285"/>
      <c r="AC50" s="25"/>
      <c r="AD50" s="284"/>
      <c r="AE50" s="241"/>
      <c r="AF50" s="241"/>
      <c r="AG50" s="285"/>
      <c r="AH50" s="612"/>
      <c r="AI50" s="284"/>
      <c r="AJ50" s="241"/>
      <c r="AK50" s="241"/>
      <c r="AL50" s="285"/>
      <c r="AM50" s="612"/>
      <c r="AN50" s="284"/>
      <c r="AO50" s="241"/>
      <c r="AP50" s="241"/>
      <c r="AQ50" s="285"/>
      <c r="AR50" s="612"/>
      <c r="AS50" s="284"/>
      <c r="AT50" s="241"/>
      <c r="AU50" s="241"/>
      <c r="AV50" s="285"/>
      <c r="AW50" s="612"/>
      <c r="AX50" s="284">
        <f t="shared" ref="AX50:BA50" si="127">+AY50</f>
        <v>0</v>
      </c>
      <c r="AY50" s="241">
        <f t="shared" si="127"/>
        <v>0</v>
      </c>
      <c r="AZ50" s="241">
        <f t="shared" si="127"/>
        <v>0</v>
      </c>
      <c r="BA50" s="285">
        <f t="shared" si="127"/>
        <v>0</v>
      </c>
      <c r="BB50" s="612">
        <v>0</v>
      </c>
      <c r="BC50" s="284">
        <f t="shared" ref="BC50" si="128">+BD50</f>
        <v>0</v>
      </c>
      <c r="BD50" s="241">
        <f t="shared" ref="BD50" si="129">+BE50</f>
        <v>0</v>
      </c>
      <c r="BE50" s="241">
        <f t="shared" ref="BE50" si="130">+BF50</f>
        <v>0</v>
      </c>
      <c r="BF50" s="285">
        <f t="shared" ref="BF50" si="131">+BG50</f>
        <v>0</v>
      </c>
      <c r="BG50" s="612">
        <v>0</v>
      </c>
      <c r="BH50" s="1956">
        <f t="shared" ref="BH50" si="132">+BI50</f>
        <v>0</v>
      </c>
      <c r="BI50" s="1957">
        <f t="shared" ref="BI50" si="133">+BJ50</f>
        <v>0</v>
      </c>
      <c r="BJ50" s="1957">
        <f t="shared" ref="BJ50" si="134">+BK50</f>
        <v>0</v>
      </c>
      <c r="BK50" s="1958">
        <f t="shared" ref="BK50" si="135">+BL50</f>
        <v>0</v>
      </c>
      <c r="BL50" s="612">
        <v>0</v>
      </c>
      <c r="BM50" s="1956">
        <f t="shared" ref="BM50" si="136">+BN50</f>
        <v>0</v>
      </c>
      <c r="BN50" s="1957">
        <f t="shared" ref="BN50" si="137">+BO50</f>
        <v>0</v>
      </c>
      <c r="BO50" s="1957">
        <f t="shared" ref="BO50" si="138">+BP50</f>
        <v>0</v>
      </c>
      <c r="BP50" s="1958">
        <f t="shared" ref="BP50" si="139">+BQ50</f>
        <v>0</v>
      </c>
      <c r="BQ50" s="2027">
        <f>+BL50</f>
        <v>0</v>
      </c>
      <c r="BR50" s="567"/>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row>
    <row r="51" spans="1:99">
      <c r="A51" s="1"/>
      <c r="B51" s="1"/>
      <c r="C51" s="564"/>
      <c r="D51" s="1"/>
      <c r="E51" s="600"/>
      <c r="F51" s="251"/>
      <c r="G51" s="251"/>
      <c r="H51" s="601"/>
      <c r="I51" s="26"/>
      <c r="J51" s="284"/>
      <c r="K51" s="241"/>
      <c r="L51" s="241"/>
      <c r="M51" s="285"/>
      <c r="N51" s="25"/>
      <c r="O51" s="284"/>
      <c r="P51" s="241"/>
      <c r="Q51" s="241"/>
      <c r="R51" s="285"/>
      <c r="S51" s="612"/>
      <c r="T51" s="284"/>
      <c r="U51" s="241"/>
      <c r="V51" s="241"/>
      <c r="W51" s="285"/>
      <c r="X51" s="612"/>
      <c r="Y51" s="284"/>
      <c r="Z51" s="241"/>
      <c r="AA51" s="241"/>
      <c r="AB51" s="285"/>
      <c r="AC51" s="883"/>
      <c r="AD51" s="284"/>
      <c r="AE51" s="241"/>
      <c r="AF51" s="241"/>
      <c r="AG51" s="285"/>
      <c r="AH51" s="612"/>
      <c r="AI51" s="284"/>
      <c r="AJ51" s="241"/>
      <c r="AK51" s="241"/>
      <c r="AL51" s="285"/>
      <c r="AM51" s="612"/>
      <c r="AN51" s="284"/>
      <c r="AO51" s="241"/>
      <c r="AP51" s="241"/>
      <c r="AQ51" s="285"/>
      <c r="AR51" s="612"/>
      <c r="AS51" s="284"/>
      <c r="AT51" s="241"/>
      <c r="AU51" s="241"/>
      <c r="AV51" s="285"/>
      <c r="AW51" s="612"/>
      <c r="AX51" s="284"/>
      <c r="AY51" s="241"/>
      <c r="AZ51" s="241"/>
      <c r="BA51" s="285"/>
      <c r="BB51" s="612"/>
      <c r="BC51" s="284"/>
      <c r="BD51" s="241"/>
      <c r="BE51" s="241"/>
      <c r="BF51" s="285"/>
      <c r="BG51" s="612"/>
      <c r="BH51" s="1956"/>
      <c r="BI51" s="1957"/>
      <c r="BJ51" s="1957"/>
      <c r="BK51" s="1958"/>
      <c r="BL51" s="612"/>
      <c r="BM51" s="1956"/>
      <c r="BN51" s="1957"/>
      <c r="BO51" s="1957"/>
      <c r="BP51" s="1958"/>
      <c r="BQ51" s="612"/>
      <c r="BR51" s="567"/>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row>
    <row r="52" spans="1:99">
      <c r="A52" s="383"/>
      <c r="B52" s="383"/>
      <c r="C52" s="679" t="s">
        <v>704</v>
      </c>
      <c r="D52" s="383"/>
      <c r="E52" s="613"/>
      <c r="F52" s="614"/>
      <c r="G52" s="614"/>
      <c r="H52" s="615"/>
      <c r="I52" s="383"/>
      <c r="J52" s="613"/>
      <c r="K52" s="614"/>
      <c r="L52" s="614"/>
      <c r="M52" s="615"/>
      <c r="N52" s="383"/>
      <c r="O52" s="616"/>
      <c r="P52" s="617"/>
      <c r="Q52" s="617"/>
      <c r="R52" s="656"/>
      <c r="S52" s="757"/>
      <c r="T52" s="616"/>
      <c r="U52" s="617"/>
      <c r="V52" s="617"/>
      <c r="W52" s="656"/>
      <c r="X52" s="757"/>
      <c r="Y52" s="616"/>
      <c r="Z52" s="617"/>
      <c r="AA52" s="1450"/>
      <c r="AB52" s="1451"/>
      <c r="AC52" s="1480"/>
      <c r="AD52" s="616"/>
      <c r="AE52" s="617"/>
      <c r="AF52" s="617"/>
      <c r="AG52" s="656"/>
      <c r="AH52" s="757"/>
      <c r="AI52" s="616"/>
      <c r="AJ52" s="617"/>
      <c r="AK52" s="617"/>
      <c r="AL52" s="656"/>
      <c r="AM52" s="757"/>
      <c r="AN52" s="616"/>
      <c r="AO52" s="617"/>
      <c r="AP52" s="617"/>
      <c r="AQ52" s="656"/>
      <c r="AR52" s="757"/>
      <c r="AS52" s="616"/>
      <c r="AT52" s="617"/>
      <c r="AU52" s="617"/>
      <c r="AV52" s="656"/>
      <c r="AW52" s="757"/>
      <c r="AX52" s="616">
        <f>BB52/4</f>
        <v>-16.25</v>
      </c>
      <c r="AY52" s="617">
        <f>BB52/4</f>
        <v>-16.25</v>
      </c>
      <c r="AZ52" s="617">
        <f>BB52/4</f>
        <v>-16.25</v>
      </c>
      <c r="BA52" s="656">
        <f>BB52/4</f>
        <v>-16.25</v>
      </c>
      <c r="BB52" s="757">
        <v>-65</v>
      </c>
      <c r="BC52" s="616">
        <v>0</v>
      </c>
      <c r="BD52" s="617">
        <v>0</v>
      </c>
      <c r="BE52" s="617">
        <f>BG52/4</f>
        <v>22.5</v>
      </c>
      <c r="BF52" s="656">
        <f>BG52/4</f>
        <v>22.5</v>
      </c>
      <c r="BG52" s="757">
        <v>90</v>
      </c>
      <c r="BH52" s="616">
        <f>BG52/4</f>
        <v>22.5</v>
      </c>
      <c r="BI52" s="617">
        <f>BG52/4</f>
        <v>22.5</v>
      </c>
      <c r="BJ52" s="617">
        <f>BL52/4</f>
        <v>6.25</v>
      </c>
      <c r="BK52" s="656">
        <f>BL52/4</f>
        <v>6.25</v>
      </c>
      <c r="BL52" s="757">
        <v>25</v>
      </c>
      <c r="BM52" s="616">
        <f>BL52/4</f>
        <v>6.25</v>
      </c>
      <c r="BN52" s="617">
        <f>BL52/4</f>
        <v>6.25</v>
      </c>
      <c r="BO52" s="617">
        <f>BQ52/4</f>
        <v>13.75</v>
      </c>
      <c r="BP52" s="656">
        <f>BQ52/4</f>
        <v>13.75</v>
      </c>
      <c r="BQ52" s="2031">
        <v>55</v>
      </c>
      <c r="BR52" s="567"/>
      <c r="BS52" s="1"/>
      <c r="BT52" s="383"/>
      <c r="BU52" s="383"/>
      <c r="BV52" s="383"/>
      <c r="BW52" s="383"/>
      <c r="BX52" s="383"/>
      <c r="BY52" s="383"/>
      <c r="BZ52" s="383"/>
      <c r="CA52" s="383"/>
      <c r="CB52" s="383"/>
      <c r="CC52" s="383"/>
      <c r="CD52" s="383"/>
      <c r="CE52" s="383"/>
      <c r="CF52" s="383"/>
      <c r="CG52" s="383"/>
      <c r="CH52" s="383"/>
      <c r="CI52" s="383"/>
      <c r="CJ52" s="383"/>
      <c r="CK52" s="383"/>
      <c r="CL52" s="383"/>
      <c r="CM52" s="383"/>
      <c r="CN52" s="383"/>
      <c r="CO52" s="383"/>
      <c r="CP52" s="383"/>
      <c r="CQ52" s="383"/>
      <c r="CR52" s="383"/>
      <c r="CS52" s="383"/>
      <c r="CT52" s="383"/>
      <c r="CU52" s="383"/>
    </row>
    <row r="53" spans="1:99">
      <c r="A53" s="383"/>
      <c r="B53" s="383"/>
      <c r="C53" s="679" t="s">
        <v>159</v>
      </c>
      <c r="D53" s="383"/>
      <c r="E53" s="613"/>
      <c r="F53" s="614"/>
      <c r="G53" s="614"/>
      <c r="H53" s="615"/>
      <c r="I53" s="383"/>
      <c r="J53" s="613"/>
      <c r="K53" s="614"/>
      <c r="L53" s="614"/>
      <c r="M53" s="615"/>
      <c r="N53" s="383"/>
      <c r="O53" s="768"/>
      <c r="P53" s="769"/>
      <c r="Q53" s="769"/>
      <c r="R53" s="770"/>
      <c r="S53" s="657"/>
      <c r="T53" s="768"/>
      <c r="U53" s="769"/>
      <c r="V53" s="769"/>
      <c r="W53" s="770"/>
      <c r="X53" s="657"/>
      <c r="Y53" s="768"/>
      <c r="Z53" s="769"/>
      <c r="AA53" s="1447"/>
      <c r="AB53" s="1448"/>
      <c r="AC53" s="1449"/>
      <c r="AD53" s="616"/>
      <c r="AE53" s="617"/>
      <c r="AF53" s="617"/>
      <c r="AG53" s="656"/>
      <c r="AH53" s="757"/>
      <c r="AI53" s="616"/>
      <c r="AJ53" s="617"/>
      <c r="AK53" s="617"/>
      <c r="AL53" s="656"/>
      <c r="AM53" s="757"/>
      <c r="AN53" s="616"/>
      <c r="AO53" s="617"/>
      <c r="AP53" s="617"/>
      <c r="AQ53" s="656"/>
      <c r="AR53" s="757"/>
      <c r="AS53" s="616"/>
      <c r="AT53" s="617"/>
      <c r="AU53" s="617"/>
      <c r="AV53" s="656"/>
      <c r="AW53" s="757"/>
      <c r="AX53" s="616">
        <f>BB53/4</f>
        <v>4.59375</v>
      </c>
      <c r="AY53" s="617">
        <f>BB53/4</f>
        <v>4.59375</v>
      </c>
      <c r="AZ53" s="617">
        <f>BB53/4</f>
        <v>4.59375</v>
      </c>
      <c r="BA53" s="656">
        <f>BB53/4</f>
        <v>4.59375</v>
      </c>
      <c r="BB53" s="757">
        <f>10.5%*BB164</f>
        <v>18.375</v>
      </c>
      <c r="BC53" s="616">
        <f>BG53/4</f>
        <v>5.90625</v>
      </c>
      <c r="BD53" s="617">
        <f>BG53/4</f>
        <v>5.90625</v>
      </c>
      <c r="BE53" s="617">
        <f>BG53/4</f>
        <v>5.90625</v>
      </c>
      <c r="BF53" s="656">
        <f>BG53/4</f>
        <v>5.90625</v>
      </c>
      <c r="BG53" s="757">
        <f>10.5%*BG164</f>
        <v>23.625</v>
      </c>
      <c r="BH53" s="2017">
        <f>BL53/4</f>
        <v>5.25</v>
      </c>
      <c r="BI53" s="2018">
        <f>BL53/4</f>
        <v>5.25</v>
      </c>
      <c r="BJ53" s="2018">
        <f>BL53/4</f>
        <v>5.25</v>
      </c>
      <c r="BK53" s="2019">
        <f>BL53/4</f>
        <v>5.25</v>
      </c>
      <c r="BL53" s="757">
        <f>10.5%*BL164</f>
        <v>21</v>
      </c>
      <c r="BM53" s="2017">
        <f>BQ53/4</f>
        <v>5.25</v>
      </c>
      <c r="BN53" s="2018">
        <f>BQ53/4</f>
        <v>5.25</v>
      </c>
      <c r="BO53" s="2018">
        <f>BQ53/4</f>
        <v>5.25</v>
      </c>
      <c r="BP53" s="2019">
        <f>BQ53/4</f>
        <v>5.25</v>
      </c>
      <c r="BQ53" s="2031">
        <f>10.5%*BQ164</f>
        <v>21</v>
      </c>
      <c r="BR53" s="567"/>
      <c r="BS53" s="1"/>
      <c r="BT53" s="383"/>
      <c r="BU53" s="383"/>
      <c r="BV53" s="383"/>
      <c r="BW53" s="383"/>
      <c r="BX53" s="383"/>
      <c r="BY53" s="383"/>
      <c r="BZ53" s="383"/>
      <c r="CA53" s="383"/>
      <c r="CB53" s="383"/>
      <c r="CC53" s="383"/>
      <c r="CD53" s="383"/>
      <c r="CE53" s="383"/>
      <c r="CF53" s="383"/>
      <c r="CG53" s="383"/>
      <c r="CH53" s="383"/>
      <c r="CI53" s="383"/>
      <c r="CJ53" s="383"/>
      <c r="CK53" s="383"/>
      <c r="CL53" s="383"/>
      <c r="CM53" s="383"/>
      <c r="CN53" s="383"/>
      <c r="CO53" s="383"/>
      <c r="CP53" s="383"/>
      <c r="CQ53" s="383"/>
      <c r="CR53" s="383"/>
      <c r="CS53" s="383"/>
      <c r="CT53" s="383"/>
      <c r="CU53" s="383"/>
    </row>
    <row r="54" spans="1:99">
      <c r="A54" s="383"/>
      <c r="B54" s="383"/>
      <c r="C54" s="679" t="s">
        <v>702</v>
      </c>
      <c r="D54" s="383"/>
      <c r="E54" s="613"/>
      <c r="F54" s="614"/>
      <c r="G54" s="614"/>
      <c r="H54" s="615"/>
      <c r="I54" s="383"/>
      <c r="J54" s="613"/>
      <c r="K54" s="614"/>
      <c r="L54" s="614"/>
      <c r="M54" s="615"/>
      <c r="N54" s="383"/>
      <c r="O54" s="616"/>
      <c r="P54" s="617"/>
      <c r="Q54" s="617"/>
      <c r="R54" s="656"/>
      <c r="S54" s="657"/>
      <c r="T54" s="616"/>
      <c r="U54" s="617"/>
      <c r="V54" s="617"/>
      <c r="W54" s="656"/>
      <c r="X54" s="657"/>
      <c r="Y54" s="616"/>
      <c r="Z54" s="617"/>
      <c r="AA54" s="1450"/>
      <c r="AB54" s="1451"/>
      <c r="AC54" s="1449"/>
      <c r="AD54" s="616"/>
      <c r="AE54" s="617"/>
      <c r="AF54" s="617"/>
      <c r="AG54" s="656"/>
      <c r="AH54" s="757"/>
      <c r="AI54" s="616"/>
      <c r="AJ54" s="617"/>
      <c r="AK54" s="617"/>
      <c r="AL54" s="656"/>
      <c r="AM54" s="757"/>
      <c r="AN54" s="616"/>
      <c r="AO54" s="2153"/>
      <c r="AP54" s="617"/>
      <c r="AQ54" s="656"/>
      <c r="AR54" s="757"/>
      <c r="AS54" s="616"/>
      <c r="AT54" s="617"/>
      <c r="AU54" s="617"/>
      <c r="AV54" s="656"/>
      <c r="AW54" s="757"/>
      <c r="AX54" s="616">
        <f>BB54/4</f>
        <v>0</v>
      </c>
      <c r="AY54" s="617">
        <f>BB54/4</f>
        <v>0</v>
      </c>
      <c r="AZ54" s="617">
        <f>BB54/4</f>
        <v>0</v>
      </c>
      <c r="BA54" s="656">
        <f>BB54/4</f>
        <v>0</v>
      </c>
      <c r="BB54" s="757">
        <f>12%*BB165</f>
        <v>0</v>
      </c>
      <c r="BC54" s="616">
        <f>BG54/4</f>
        <v>0</v>
      </c>
      <c r="BD54" s="617">
        <f>BG54/4</f>
        <v>0</v>
      </c>
      <c r="BE54" s="617">
        <f>BG54/4</f>
        <v>0</v>
      </c>
      <c r="BF54" s="656">
        <f>BG54/4</f>
        <v>0</v>
      </c>
      <c r="BG54" s="757">
        <f>12%*BG165</f>
        <v>0</v>
      </c>
      <c r="BH54" s="2017">
        <f>BL54/4</f>
        <v>0</v>
      </c>
      <c r="BI54" s="2018">
        <f>BL54/4</f>
        <v>0</v>
      </c>
      <c r="BJ54" s="2018">
        <f>BL54/4</f>
        <v>0</v>
      </c>
      <c r="BK54" s="2019">
        <f>BL54/4</f>
        <v>0</v>
      </c>
      <c r="BL54" s="757">
        <f>12%*BL165</f>
        <v>0</v>
      </c>
      <c r="BM54" s="2017">
        <f>BQ54/4</f>
        <v>0</v>
      </c>
      <c r="BN54" s="2018">
        <f>BQ54/4</f>
        <v>0</v>
      </c>
      <c r="BO54" s="2018">
        <f>BQ54/4</f>
        <v>0</v>
      </c>
      <c r="BP54" s="2019">
        <f>BQ54/4</f>
        <v>0</v>
      </c>
      <c r="BQ54" s="2031">
        <f>12%*BQ165</f>
        <v>0</v>
      </c>
      <c r="BR54" s="567"/>
      <c r="BS54" s="1"/>
      <c r="BT54" s="383"/>
      <c r="BU54" s="383"/>
      <c r="BV54" s="383"/>
      <c r="BW54" s="383"/>
      <c r="BX54" s="383"/>
      <c r="BY54" s="383"/>
      <c r="BZ54" s="383"/>
      <c r="CA54" s="383"/>
      <c r="CB54" s="383"/>
      <c r="CC54" s="383"/>
      <c r="CD54" s="383"/>
      <c r="CE54" s="383"/>
      <c r="CF54" s="383"/>
      <c r="CG54" s="383"/>
      <c r="CH54" s="383"/>
      <c r="CI54" s="383"/>
      <c r="CJ54" s="383"/>
      <c r="CK54" s="383"/>
      <c r="CL54" s="383"/>
      <c r="CM54" s="383"/>
      <c r="CN54" s="383"/>
      <c r="CO54" s="383"/>
      <c r="CP54" s="383"/>
      <c r="CQ54" s="383"/>
      <c r="CR54" s="383"/>
      <c r="CS54" s="383"/>
      <c r="CT54" s="383"/>
      <c r="CU54" s="383"/>
    </row>
    <row r="55" spans="1:99">
      <c r="A55" s="383"/>
      <c r="B55" s="383"/>
      <c r="C55" s="679" t="s">
        <v>642</v>
      </c>
      <c r="D55" s="383"/>
      <c r="E55" s="613"/>
      <c r="F55" s="614"/>
      <c r="G55" s="614"/>
      <c r="H55" s="615"/>
      <c r="I55" s="383"/>
      <c r="J55" s="613"/>
      <c r="K55" s="614"/>
      <c r="L55" s="614"/>
      <c r="M55" s="615"/>
      <c r="N55" s="383"/>
      <c r="O55" s="616"/>
      <c r="P55" s="617"/>
      <c r="Q55" s="617"/>
      <c r="R55" s="656"/>
      <c r="S55" s="657"/>
      <c r="T55" s="616"/>
      <c r="U55" s="617"/>
      <c r="V55" s="617"/>
      <c r="W55" s="656"/>
      <c r="X55" s="657"/>
      <c r="Y55" s="616"/>
      <c r="Z55" s="617"/>
      <c r="AA55" s="1450"/>
      <c r="AB55" s="1451"/>
      <c r="AC55" s="1449"/>
      <c r="AD55" s="616"/>
      <c r="AE55" s="617"/>
      <c r="AF55" s="617"/>
      <c r="AG55" s="656"/>
      <c r="AH55" s="757"/>
      <c r="AI55" s="616"/>
      <c r="AJ55" s="617"/>
      <c r="AK55" s="617"/>
      <c r="AL55" s="656"/>
      <c r="AM55" s="757"/>
      <c r="AN55" s="616"/>
      <c r="AO55" s="2153"/>
      <c r="AP55" s="617"/>
      <c r="AQ55" s="656"/>
      <c r="AR55" s="757"/>
      <c r="AS55" s="616"/>
      <c r="AT55" s="617"/>
      <c r="AU55" s="617"/>
      <c r="AV55" s="656"/>
      <c r="AW55" s="757"/>
      <c r="AX55" s="616">
        <f>BB55/4</f>
        <v>-12.5</v>
      </c>
      <c r="AY55" s="617">
        <f>BB55/4</f>
        <v>-12.5</v>
      </c>
      <c r="AZ55" s="617">
        <f>BB55/4</f>
        <v>-12.5</v>
      </c>
      <c r="BA55" s="656">
        <f>BB55/4</f>
        <v>-12.5</v>
      </c>
      <c r="BB55" s="757">
        <v>-50</v>
      </c>
      <c r="BC55" s="616">
        <v>0</v>
      </c>
      <c r="BD55" s="617">
        <v>0</v>
      </c>
      <c r="BE55" s="617">
        <f>BG55/4</f>
        <v>11.25</v>
      </c>
      <c r="BF55" s="656">
        <f>BG55/4</f>
        <v>11.25</v>
      </c>
      <c r="BG55" s="757">
        <v>45</v>
      </c>
      <c r="BH55" s="2017">
        <f>BG55/4</f>
        <v>11.25</v>
      </c>
      <c r="BI55" s="2018">
        <f>BG55/4</f>
        <v>11.25</v>
      </c>
      <c r="BJ55" s="2018">
        <f>BL55/4</f>
        <v>5</v>
      </c>
      <c r="BK55" s="2019">
        <f>BL55/4</f>
        <v>5</v>
      </c>
      <c r="BL55" s="757">
        <v>20</v>
      </c>
      <c r="BM55" s="2017">
        <f>BL55/4</f>
        <v>5</v>
      </c>
      <c r="BN55" s="2018">
        <f>BL55/4</f>
        <v>5</v>
      </c>
      <c r="BO55" s="2018">
        <f>BQ55/4</f>
        <v>10</v>
      </c>
      <c r="BP55" s="2019">
        <f>BQ55/4</f>
        <v>10</v>
      </c>
      <c r="BQ55" s="2031">
        <v>40</v>
      </c>
      <c r="BR55" s="567"/>
      <c r="BS55" s="1"/>
      <c r="BT55" s="383"/>
      <c r="BU55" s="383"/>
      <c r="BV55" s="383"/>
      <c r="BW55" s="383"/>
      <c r="BX55" s="383"/>
      <c r="BY55" s="383"/>
      <c r="BZ55" s="383"/>
      <c r="CA55" s="383"/>
      <c r="CB55" s="383"/>
      <c r="CC55" s="383"/>
      <c r="CD55" s="383"/>
      <c r="CE55" s="383"/>
      <c r="CF55" s="383"/>
      <c r="CG55" s="383"/>
      <c r="CH55" s="383"/>
      <c r="CI55" s="383"/>
      <c r="CJ55" s="383"/>
      <c r="CK55" s="383"/>
      <c r="CL55" s="383"/>
      <c r="CM55" s="383"/>
      <c r="CN55" s="383"/>
      <c r="CO55" s="383"/>
      <c r="CP55" s="383"/>
      <c r="CQ55" s="383"/>
      <c r="CR55" s="383"/>
      <c r="CS55" s="383"/>
      <c r="CT55" s="383"/>
      <c r="CU55" s="383"/>
    </row>
    <row r="56" spans="1:99">
      <c r="A56" s="1"/>
      <c r="B56" s="1"/>
      <c r="C56" s="618"/>
      <c r="D56" s="1"/>
      <c r="E56" s="600"/>
      <c r="F56" s="251"/>
      <c r="G56" s="251"/>
      <c r="H56" s="601"/>
      <c r="I56" s="26"/>
      <c r="J56" s="600"/>
      <c r="K56" s="251"/>
      <c r="L56" s="251"/>
      <c r="M56" s="601"/>
      <c r="N56" s="26"/>
      <c r="O56" s="600"/>
      <c r="P56" s="251"/>
      <c r="Q56" s="251"/>
      <c r="R56" s="601"/>
      <c r="S56" s="26"/>
      <c r="T56" s="600"/>
      <c r="U56" s="251"/>
      <c r="V56" s="251"/>
      <c r="W56" s="601"/>
      <c r="X56" s="26"/>
      <c r="Y56" s="600"/>
      <c r="Z56" s="251"/>
      <c r="AA56" s="251"/>
      <c r="AB56" s="601"/>
      <c r="AC56" s="26"/>
      <c r="AD56" s="600"/>
      <c r="AE56" s="251"/>
      <c r="AF56" s="251"/>
      <c r="AG56" s="601"/>
      <c r="AH56" s="26"/>
      <c r="AI56" s="600"/>
      <c r="AJ56" s="251"/>
      <c r="AK56" s="251"/>
      <c r="AL56" s="601"/>
      <c r="AM56" s="26"/>
      <c r="AN56" s="600"/>
      <c r="AO56" s="251"/>
      <c r="AP56" s="251"/>
      <c r="AQ56" s="601"/>
      <c r="AR56" s="26"/>
      <c r="AS56" s="600"/>
      <c r="AT56" s="251"/>
      <c r="AU56" s="251"/>
      <c r="AV56" s="601"/>
      <c r="AW56" s="26"/>
      <c r="AX56" s="600"/>
      <c r="AY56" s="251"/>
      <c r="AZ56" s="251"/>
      <c r="BA56" s="601"/>
      <c r="BB56" s="26"/>
      <c r="BC56" s="600"/>
      <c r="BD56" s="251"/>
      <c r="BE56" s="251"/>
      <c r="BF56" s="601"/>
      <c r="BG56" s="26"/>
      <c r="BH56" s="600"/>
      <c r="BI56" s="251"/>
      <c r="BJ56" s="251"/>
      <c r="BK56" s="601"/>
      <c r="BL56" s="26"/>
      <c r="BM56" s="600"/>
      <c r="BN56" s="251"/>
      <c r="BO56" s="251"/>
      <c r="BP56" s="601"/>
      <c r="BQ56" s="26"/>
      <c r="BR56" s="567"/>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row>
    <row r="57" spans="1:99">
      <c r="A57" s="1"/>
      <c r="B57" s="1"/>
      <c r="C57" s="565" t="s">
        <v>125</v>
      </c>
      <c r="D57" s="1"/>
      <c r="E57" s="600"/>
      <c r="F57" s="251"/>
      <c r="G57" s="251"/>
      <c r="H57" s="601"/>
      <c r="I57" s="25"/>
      <c r="J57" s="284">
        <f t="shared" ref="J57:AP57" si="140">+J143</f>
        <v>5.3748231966053828E-2</v>
      </c>
      <c r="K57" s="241">
        <f t="shared" si="140"/>
        <v>-1.6778523489932917E-2</v>
      </c>
      <c r="L57" s="241">
        <f t="shared" si="140"/>
        <v>4.2320819112627861E-2</v>
      </c>
      <c r="M57" s="285">
        <f t="shared" si="140"/>
        <v>3.4053700065488135E-2</v>
      </c>
      <c r="N57" s="25">
        <f t="shared" si="140"/>
        <v>8.25147347740669E-2</v>
      </c>
      <c r="O57" s="284">
        <f t="shared" si="140"/>
        <v>-3.103229892336945E-2</v>
      </c>
      <c r="P57" s="241">
        <f t="shared" si="140"/>
        <v>3.6601307189542354E-2</v>
      </c>
      <c r="Q57" s="241">
        <f t="shared" si="140"/>
        <v>-3.5308953341740223E-2</v>
      </c>
      <c r="R57" s="285">
        <f t="shared" si="140"/>
        <v>-3.9869281045751825E-2</v>
      </c>
      <c r="S57" s="25">
        <f t="shared" si="140"/>
        <v>8.9094208876423497E-3</v>
      </c>
      <c r="T57" s="284">
        <f t="shared" si="140"/>
        <v>0.13682777399591584</v>
      </c>
      <c r="U57" s="241">
        <f t="shared" si="140"/>
        <v>-0.73671300081766145</v>
      </c>
      <c r="V57" s="241">
        <f t="shared" si="140"/>
        <v>0.20359281437125754</v>
      </c>
      <c r="W57" s="285">
        <f t="shared" si="140"/>
        <v>6.211180124223592E-2</v>
      </c>
      <c r="X57" s="25">
        <f t="shared" si="140"/>
        <v>0.14472608340147186</v>
      </c>
      <c r="Y57" s="284">
        <f t="shared" si="140"/>
        <v>-0.14371257485029942</v>
      </c>
      <c r="Z57" s="241">
        <f t="shared" si="140"/>
        <v>-6.2111801242236142E-3</v>
      </c>
      <c r="AA57" s="241">
        <f t="shared" si="140"/>
        <v>-0.27363184079601988</v>
      </c>
      <c r="AB57" s="285">
        <f t="shared" si="140"/>
        <v>8.1871345029239873E-2</v>
      </c>
      <c r="AC57" s="25">
        <f t="shared" si="140"/>
        <v>-9.4285714285714306E-2</v>
      </c>
      <c r="AD57" s="284">
        <f t="shared" si="140"/>
        <v>0.31468531468531458</v>
      </c>
      <c r="AE57" s="241">
        <f t="shared" si="140"/>
        <v>0.17500000000000004</v>
      </c>
      <c r="AF57" s="241">
        <f t="shared" si="140"/>
        <v>0.13013698630136994</v>
      </c>
      <c r="AG57" s="285">
        <f t="shared" si="140"/>
        <v>-4.8648648648648596E-2</v>
      </c>
      <c r="AH57" s="25">
        <f t="shared" si="140"/>
        <v>0.13091482649842279</v>
      </c>
      <c r="AI57" s="284">
        <f t="shared" si="140"/>
        <v>-0.13297872340425532</v>
      </c>
      <c r="AJ57" s="241">
        <f t="shared" si="140"/>
        <v>-0.2021276595744681</v>
      </c>
      <c r="AK57" s="241">
        <f t="shared" si="140"/>
        <v>-6.0606060606060996E-3</v>
      </c>
      <c r="AL57" s="285">
        <f t="shared" si="140"/>
        <v>-7.9545454545454586E-2</v>
      </c>
      <c r="AM57" s="25">
        <f t="shared" si="140"/>
        <v>-0.10878661087866104</v>
      </c>
      <c r="AN57" s="284">
        <f t="shared" si="140"/>
        <v>0.34355828220858897</v>
      </c>
      <c r="AO57" s="241">
        <f t="shared" si="140"/>
        <v>0.39333333333333331</v>
      </c>
      <c r="AP57" s="241">
        <f t="shared" si="140"/>
        <v>-0.1402439024390244</v>
      </c>
      <c r="AQ57" s="285">
        <f t="shared" ref="AQ57:AT57" si="141">+AQ143</f>
        <v>-0.29629629629629628</v>
      </c>
      <c r="AR57" s="25">
        <f t="shared" si="141"/>
        <v>6.8857589984350653E-2</v>
      </c>
      <c r="AS57" s="284">
        <f t="shared" si="141"/>
        <v>-0.1095890410958904</v>
      </c>
      <c r="AT57" s="241">
        <f t="shared" si="141"/>
        <v>-0.16746411483253587</v>
      </c>
      <c r="AU57" s="241">
        <f>+AU143</f>
        <v>0.24113475177304955</v>
      </c>
      <c r="AV57" s="285">
        <f t="shared" ref="AV57:AW57" si="142">+AV143</f>
        <v>0.61403508771929816</v>
      </c>
      <c r="AW57" s="25">
        <f t="shared" si="142"/>
        <v>6.5885797950219649E-2</v>
      </c>
      <c r="AX57" s="284">
        <f>AY57</f>
        <v>0.02</v>
      </c>
      <c r="AY57" s="241">
        <f>AZ57</f>
        <v>0.02</v>
      </c>
      <c r="AZ57" s="241">
        <f t="shared" ref="AX57:BA58" si="143">+BA57</f>
        <v>0.02</v>
      </c>
      <c r="BA57" s="285">
        <f t="shared" si="143"/>
        <v>0.02</v>
      </c>
      <c r="BB57" s="612">
        <v>0.02</v>
      </c>
      <c r="BC57" s="284">
        <f t="shared" ref="BC57:BF58" si="144">+BD57</f>
        <v>0.02</v>
      </c>
      <c r="BD57" s="241">
        <f t="shared" si="144"/>
        <v>0.02</v>
      </c>
      <c r="BE57" s="241">
        <f t="shared" si="144"/>
        <v>0.02</v>
      </c>
      <c r="BF57" s="285">
        <f t="shared" si="144"/>
        <v>0.02</v>
      </c>
      <c r="BG57" s="612">
        <v>0.02</v>
      </c>
      <c r="BH57" s="1956">
        <f t="shared" ref="BH57:BK58" si="145">+BI57</f>
        <v>0.02</v>
      </c>
      <c r="BI57" s="1957">
        <f t="shared" si="145"/>
        <v>0.02</v>
      </c>
      <c r="BJ57" s="1957">
        <f t="shared" si="145"/>
        <v>0.02</v>
      </c>
      <c r="BK57" s="1958">
        <f t="shared" si="145"/>
        <v>0.02</v>
      </c>
      <c r="BL57" s="612">
        <v>0.02</v>
      </c>
      <c r="BM57" s="1956">
        <f t="shared" ref="BM57:BM58" si="146">+BN57</f>
        <v>0.02</v>
      </c>
      <c r="BN57" s="1957">
        <f t="shared" ref="BN57:BN58" si="147">+BO57</f>
        <v>0.02</v>
      </c>
      <c r="BO57" s="1957">
        <f t="shared" ref="BO57:BO58" si="148">+BP57</f>
        <v>0.02</v>
      </c>
      <c r="BP57" s="1958">
        <f t="shared" ref="BP57:BP58" si="149">+BQ57</f>
        <v>0.02</v>
      </c>
      <c r="BQ57" s="2027">
        <v>0.02</v>
      </c>
      <c r="BR57" s="567"/>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row>
    <row r="58" spans="1:99">
      <c r="A58" s="1"/>
      <c r="B58" s="1"/>
      <c r="C58" s="565" t="s">
        <v>126</v>
      </c>
      <c r="D58" s="1"/>
      <c r="E58" s="600"/>
      <c r="F58" s="251"/>
      <c r="G58" s="251"/>
      <c r="H58" s="601"/>
      <c r="I58" s="25"/>
      <c r="J58" s="284">
        <f t="shared" ref="J58:AP58" si="150">+J146</f>
        <v>0.14698795180722812</v>
      </c>
      <c r="K58" s="241">
        <f t="shared" si="150"/>
        <v>-5.4621848739495826E-2</v>
      </c>
      <c r="L58" s="241">
        <f t="shared" si="150"/>
        <v>1.3333333333333419E-2</v>
      </c>
      <c r="M58" s="285">
        <f t="shared" si="150"/>
        <v>0</v>
      </c>
      <c r="N58" s="25">
        <f t="shared" si="150"/>
        <v>3.3745781777277939E-2</v>
      </c>
      <c r="O58" s="284">
        <f t="shared" si="150"/>
        <v>4.6218487394957819E-2</v>
      </c>
      <c r="P58" s="241">
        <f t="shared" si="150"/>
        <v>3.1111111111111089E-2</v>
      </c>
      <c r="Q58" s="241">
        <f t="shared" si="150"/>
        <v>3.289473684210531E-2</v>
      </c>
      <c r="R58" s="285">
        <f t="shared" si="150"/>
        <v>2.8508771929824261E-2</v>
      </c>
      <c r="S58" s="25">
        <f t="shared" si="150"/>
        <v>3.482045701849823E-2</v>
      </c>
      <c r="T58" s="284">
        <f t="shared" si="150"/>
        <v>-3.6144578313252906E-2</v>
      </c>
      <c r="U58" s="241">
        <f t="shared" si="150"/>
        <v>1.2931034482758674E-2</v>
      </c>
      <c r="V58" s="241">
        <f t="shared" si="150"/>
        <v>1.9108280254777066E-2</v>
      </c>
      <c r="W58" s="285">
        <f t="shared" si="150"/>
        <v>0.38592750533049025</v>
      </c>
      <c r="X58" s="25">
        <f t="shared" si="150"/>
        <v>9.3585699263932787E-2</v>
      </c>
      <c r="Y58" s="284">
        <f t="shared" si="150"/>
        <v>0.14583333333333326</v>
      </c>
      <c r="Z58" s="241">
        <f t="shared" si="150"/>
        <v>0.14893617021276606</v>
      </c>
      <c r="AA58" s="241">
        <f t="shared" si="150"/>
        <v>0.10416666666666674</v>
      </c>
      <c r="AB58" s="285">
        <f t="shared" si="150"/>
        <v>-0.2153846153846154</v>
      </c>
      <c r="AC58" s="25">
        <f t="shared" si="150"/>
        <v>2.4038461538461453E-2</v>
      </c>
      <c r="AD58" s="284">
        <f t="shared" si="150"/>
        <v>9.0909090909090828E-2</v>
      </c>
      <c r="AE58" s="241">
        <f t="shared" si="150"/>
        <v>-1.851851851851849E-2</v>
      </c>
      <c r="AF58" s="241">
        <f t="shared" si="150"/>
        <v>3.7735849056603765E-2</v>
      </c>
      <c r="AG58" s="285">
        <f t="shared" si="150"/>
        <v>3.9215686274509887E-2</v>
      </c>
      <c r="AH58" s="25">
        <f t="shared" si="150"/>
        <v>3.7558685446009488E-2</v>
      </c>
      <c r="AI58" s="284">
        <f t="shared" si="150"/>
        <v>-5.0000000000000044E-2</v>
      </c>
      <c r="AJ58" s="241">
        <f t="shared" si="150"/>
        <v>1.8867924528301883E-2</v>
      </c>
      <c r="AK58" s="241">
        <f t="shared" si="150"/>
        <v>3.6363636363636376E-2</v>
      </c>
      <c r="AL58" s="285">
        <f t="shared" si="150"/>
        <v>5.6603773584905648E-2</v>
      </c>
      <c r="AM58" s="25">
        <f t="shared" si="150"/>
        <v>1.3574660633484115E-2</v>
      </c>
      <c r="AN58" s="284">
        <f t="shared" si="150"/>
        <v>1.7543859649122862E-2</v>
      </c>
      <c r="AO58" s="241">
        <f t="shared" si="150"/>
        <v>1.8518518518518601E-2</v>
      </c>
      <c r="AP58" s="241">
        <f t="shared" si="150"/>
        <v>1.7543859649122862E-2</v>
      </c>
      <c r="AQ58" s="285">
        <f t="shared" ref="AQ58:AT58" si="151">+AQ146</f>
        <v>3.5714285714285809E-2</v>
      </c>
      <c r="AR58" s="25">
        <f t="shared" si="151"/>
        <v>2.2321428571428603E-2</v>
      </c>
      <c r="AS58" s="284">
        <f t="shared" si="151"/>
        <v>6.8965517241379226E-2</v>
      </c>
      <c r="AT58" s="241">
        <f t="shared" si="151"/>
        <v>1.8181818181818077E-2</v>
      </c>
      <c r="AU58" s="241">
        <f>+AU146</f>
        <v>5.1724137931034475E-2</v>
      </c>
      <c r="AV58" s="285">
        <f t="shared" ref="AV58:AW58" si="152">+AV146</f>
        <v>5.1724137931034475E-2</v>
      </c>
      <c r="AW58" s="25">
        <f t="shared" si="152"/>
        <v>4.8034934497816595E-2</v>
      </c>
      <c r="AX58" s="284">
        <f t="shared" si="143"/>
        <v>0.02</v>
      </c>
      <c r="AY58" s="241">
        <f t="shared" si="143"/>
        <v>0.02</v>
      </c>
      <c r="AZ58" s="241">
        <f t="shared" si="143"/>
        <v>0.02</v>
      </c>
      <c r="BA58" s="285">
        <f t="shared" si="143"/>
        <v>0.02</v>
      </c>
      <c r="BB58" s="612">
        <v>0.02</v>
      </c>
      <c r="BC58" s="284">
        <f t="shared" si="144"/>
        <v>0.02</v>
      </c>
      <c r="BD58" s="241">
        <f t="shared" si="144"/>
        <v>0.02</v>
      </c>
      <c r="BE58" s="241">
        <f t="shared" si="144"/>
        <v>0.02</v>
      </c>
      <c r="BF58" s="285">
        <f t="shared" si="144"/>
        <v>0.02</v>
      </c>
      <c r="BG58" s="612">
        <v>0.02</v>
      </c>
      <c r="BH58" s="1956">
        <f t="shared" si="145"/>
        <v>0.02</v>
      </c>
      <c r="BI58" s="1957">
        <f t="shared" si="145"/>
        <v>0.02</v>
      </c>
      <c r="BJ58" s="1957">
        <f t="shared" si="145"/>
        <v>0.02</v>
      </c>
      <c r="BK58" s="1958">
        <f t="shared" si="145"/>
        <v>0.02</v>
      </c>
      <c r="BL58" s="612">
        <v>0.02</v>
      </c>
      <c r="BM58" s="1956">
        <f t="shared" si="146"/>
        <v>0.02</v>
      </c>
      <c r="BN58" s="1957">
        <f t="shared" si="147"/>
        <v>0.02</v>
      </c>
      <c r="BO58" s="1957">
        <f t="shared" si="148"/>
        <v>0.02</v>
      </c>
      <c r="BP58" s="1958">
        <f t="shared" si="149"/>
        <v>0.02</v>
      </c>
      <c r="BQ58" s="2027">
        <f>+BL58</f>
        <v>0.02</v>
      </c>
      <c r="BR58" s="567"/>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row>
    <row r="59" spans="1:99">
      <c r="A59" s="1"/>
      <c r="B59" s="1"/>
      <c r="C59" s="618"/>
      <c r="D59" s="1"/>
      <c r="E59" s="600"/>
      <c r="F59" s="251"/>
      <c r="G59" s="251"/>
      <c r="H59" s="601"/>
      <c r="I59" s="26"/>
      <c r="J59" s="600"/>
      <c r="K59" s="251"/>
      <c r="L59" s="251"/>
      <c r="M59" s="601"/>
      <c r="N59" s="26"/>
      <c r="O59" s="600"/>
      <c r="P59" s="251"/>
      <c r="Q59" s="251"/>
      <c r="R59" s="601"/>
      <c r="S59" s="26"/>
      <c r="T59" s="600"/>
      <c r="U59" s="251"/>
      <c r="V59" s="251"/>
      <c r="W59" s="601"/>
      <c r="X59" s="26"/>
      <c r="Y59" s="600"/>
      <c r="Z59" s="251"/>
      <c r="AA59" s="251"/>
      <c r="AB59" s="601"/>
      <c r="AC59" s="26"/>
      <c r="AD59" s="600"/>
      <c r="AE59" s="251"/>
      <c r="AF59" s="251"/>
      <c r="AG59" s="601"/>
      <c r="AH59" s="26"/>
      <c r="AI59" s="600"/>
      <c r="AJ59" s="251"/>
      <c r="AK59" s="251"/>
      <c r="AL59" s="601"/>
      <c r="AM59" s="26"/>
      <c r="AN59" s="600"/>
      <c r="AO59" s="251"/>
      <c r="AP59" s="251"/>
      <c r="AQ59" s="601"/>
      <c r="AR59" s="26"/>
      <c r="AS59" s="600"/>
      <c r="AT59" s="251"/>
      <c r="AU59" s="251"/>
      <c r="AV59" s="601"/>
      <c r="AW59" s="26"/>
      <c r="AX59" s="600"/>
      <c r="AY59" s="251"/>
      <c r="AZ59" s="251"/>
      <c r="BA59" s="601"/>
      <c r="BB59" s="26"/>
      <c r="BC59" s="600"/>
      <c r="BD59" s="251"/>
      <c r="BE59" s="251"/>
      <c r="BF59" s="601"/>
      <c r="BG59" s="26"/>
      <c r="BH59" s="600"/>
      <c r="BI59" s="251"/>
      <c r="BJ59" s="251"/>
      <c r="BK59" s="601"/>
      <c r="BL59" s="26"/>
      <c r="BM59" s="600"/>
      <c r="BN59" s="251"/>
      <c r="BO59" s="251"/>
      <c r="BP59" s="601"/>
      <c r="BQ59" s="26"/>
      <c r="BR59" s="567"/>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row>
    <row r="60" spans="1:99">
      <c r="A60" s="1"/>
      <c r="B60" s="1"/>
      <c r="C60" s="565" t="s">
        <v>229</v>
      </c>
      <c r="D60" s="1"/>
      <c r="E60" s="284">
        <f t="shared" ref="E60:S60" si="153">E31/(E29-E20)</f>
        <v>0.4007220216606503</v>
      </c>
      <c r="F60" s="241">
        <f t="shared" si="153"/>
        <v>0.43442622950819543</v>
      </c>
      <c r="G60" s="241">
        <f t="shared" si="153"/>
        <v>0.37959183673469438</v>
      </c>
      <c r="H60" s="285">
        <f t="shared" si="153"/>
        <v>0.31859756097560987</v>
      </c>
      <c r="I60" s="25">
        <f t="shared" si="153"/>
        <v>0.43609022556390953</v>
      </c>
      <c r="J60" s="284">
        <f t="shared" si="153"/>
        <v>0.42578849721706913</v>
      </c>
      <c r="K60" s="241">
        <f t="shared" si="153"/>
        <v>0.45627376425855548</v>
      </c>
      <c r="L60" s="241">
        <f t="shared" si="153"/>
        <v>0.35886214442013109</v>
      </c>
      <c r="M60" s="285">
        <f t="shared" si="153"/>
        <v>0.41911764705882387</v>
      </c>
      <c r="N60" s="25">
        <f t="shared" si="153"/>
        <v>0.41460290350128043</v>
      </c>
      <c r="O60" s="284">
        <f t="shared" si="153"/>
        <v>0.37520128824476662</v>
      </c>
      <c r="P60" s="241">
        <f t="shared" si="153"/>
        <v>0.4495798319327714</v>
      </c>
      <c r="Q60" s="241">
        <f t="shared" si="153"/>
        <v>0.63793103448275856</v>
      </c>
      <c r="R60" s="285">
        <f t="shared" si="153"/>
        <v>0.38342967244701143</v>
      </c>
      <c r="S60" s="25">
        <f t="shared" si="153"/>
        <v>0.37867078825347689</v>
      </c>
      <c r="T60" s="284">
        <f t="shared" ref="T60:Z60" si="154">T31/(T29-T20)</f>
        <v>0.32653061224489793</v>
      </c>
      <c r="U60" s="241">
        <f t="shared" si="154"/>
        <v>0.39130434782608697</v>
      </c>
      <c r="V60" s="241">
        <f t="shared" si="154"/>
        <v>0</v>
      </c>
      <c r="W60" s="285">
        <f t="shared" si="154"/>
        <v>0.48275862068965519</v>
      </c>
      <c r="X60" s="25">
        <f t="shared" si="154"/>
        <v>7</v>
      </c>
      <c r="Y60" s="284">
        <f t="shared" si="154"/>
        <v>0.41353383458646614</v>
      </c>
      <c r="Z60" s="241">
        <f t="shared" si="154"/>
        <v>0.41025641025641024</v>
      </c>
      <c r="AA60" s="241">
        <f t="shared" ref="AA60:AH60" si="155">AA31/(AA29-AA20)</f>
        <v>0.40909090909090912</v>
      </c>
      <c r="AB60" s="285">
        <f t="shared" si="155"/>
        <v>0.35064935064935066</v>
      </c>
      <c r="AC60" s="25">
        <f t="shared" si="155"/>
        <v>0.39762611275964393</v>
      </c>
      <c r="AD60" s="284">
        <f t="shared" si="155"/>
        <v>0.40559440559440557</v>
      </c>
      <c r="AE60" s="241">
        <f t="shared" si="155"/>
        <v>0.46666666666666667</v>
      </c>
      <c r="AF60" s="241">
        <f t="shared" si="155"/>
        <v>0.40259740259740262</v>
      </c>
      <c r="AG60" s="285">
        <f t="shared" si="155"/>
        <v>0.4157303370786517</v>
      </c>
      <c r="AH60" s="25">
        <f t="shared" si="155"/>
        <v>0.41297935103244837</v>
      </c>
      <c r="AI60" s="284">
        <f t="shared" ref="AI60:AM60" si="156">AI31/(AI29-AI20)</f>
        <v>0.41111111111111109</v>
      </c>
      <c r="AJ60" s="241">
        <f t="shared" si="156"/>
        <v>0.42105263157894735</v>
      </c>
      <c r="AK60" s="241">
        <f t="shared" si="156"/>
        <v>0.41176470588235292</v>
      </c>
      <c r="AL60" s="285">
        <f t="shared" si="156"/>
        <v>0.39344262295081966</v>
      </c>
      <c r="AM60" s="25">
        <f t="shared" si="156"/>
        <v>0.40820734341252701</v>
      </c>
      <c r="AN60" s="284">
        <f t="shared" ref="AN60:AR60" si="157">AN31/(AN29-AN20)</f>
        <v>0.40243902439024393</v>
      </c>
      <c r="AO60" s="241">
        <f t="shared" si="157"/>
        <v>0.17142857142857143</v>
      </c>
      <c r="AP60" s="241">
        <f t="shared" si="157"/>
        <v>0.41379310344827586</v>
      </c>
      <c r="AQ60" s="285">
        <f t="shared" si="157"/>
        <v>0.40490797546012269</v>
      </c>
      <c r="AR60" s="25">
        <f t="shared" si="157"/>
        <v>0.38752783964365256</v>
      </c>
      <c r="AS60" s="284">
        <f t="shared" ref="AS60:AT60" si="158">AS31/(AS29-AS20)</f>
        <v>0.39800995024875624</v>
      </c>
      <c r="AT60" s="241">
        <f t="shared" si="158"/>
        <v>0.43055555555555558</v>
      </c>
      <c r="AU60" s="241">
        <f>AU31/(AU29-AU20)</f>
        <v>0.40816326530612246</v>
      </c>
      <c r="AV60" s="285">
        <f t="shared" ref="AV60:AW60" si="159">AV31/(AV29-AV20)</f>
        <v>0.48550724637681197</v>
      </c>
      <c r="AW60" s="25">
        <f t="shared" si="159"/>
        <v>0.42829076620825146</v>
      </c>
      <c r="AX60" s="284">
        <f>+AY60</f>
        <v>0.21</v>
      </c>
      <c r="AY60" s="241">
        <f>+AZ60</f>
        <v>0.21</v>
      </c>
      <c r="AZ60" s="241">
        <f>+BA60</f>
        <v>0.21</v>
      </c>
      <c r="BA60" s="285">
        <f>+BB60</f>
        <v>0.21</v>
      </c>
      <c r="BB60" s="612">
        <v>0.21</v>
      </c>
      <c r="BC60" s="284">
        <f>+BD60</f>
        <v>0.21</v>
      </c>
      <c r="BD60" s="241">
        <f>+BE60</f>
        <v>0.21</v>
      </c>
      <c r="BE60" s="241">
        <f>+BF60</f>
        <v>0.21</v>
      </c>
      <c r="BF60" s="285">
        <f>+BG60</f>
        <v>0.21</v>
      </c>
      <c r="BG60" s="612">
        <v>0.21</v>
      </c>
      <c r="BH60" s="1956">
        <f>+BI60</f>
        <v>0.21</v>
      </c>
      <c r="BI60" s="1957">
        <f>+BJ60</f>
        <v>0.21</v>
      </c>
      <c r="BJ60" s="1957">
        <f>+BK60</f>
        <v>0.21</v>
      </c>
      <c r="BK60" s="1958">
        <f>+BL60</f>
        <v>0.21</v>
      </c>
      <c r="BL60" s="612">
        <v>0.21</v>
      </c>
      <c r="BM60" s="1956">
        <f>+BN60</f>
        <v>0.21</v>
      </c>
      <c r="BN60" s="1957">
        <f>+BO60</f>
        <v>0.21</v>
      </c>
      <c r="BO60" s="1957">
        <f>+BP60</f>
        <v>0.21</v>
      </c>
      <c r="BP60" s="1958">
        <f>+BQ60</f>
        <v>0.21</v>
      </c>
      <c r="BQ60" s="2027">
        <v>0.21</v>
      </c>
      <c r="BR60" s="567"/>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row>
    <row r="61" spans="1:99">
      <c r="A61" s="1"/>
      <c r="B61" s="1"/>
      <c r="C61" s="565" t="s">
        <v>230</v>
      </c>
      <c r="D61" s="1"/>
      <c r="E61" s="284">
        <f t="shared" ref="E61:S61" si="160">E31/E29</f>
        <v>0.39501779359430655</v>
      </c>
      <c r="F61" s="241">
        <f t="shared" si="160"/>
        <v>0.39849624060150268</v>
      </c>
      <c r="G61" s="241">
        <f t="shared" si="160"/>
        <v>0.36542239685658201</v>
      </c>
      <c r="H61" s="285">
        <f t="shared" si="160"/>
        <v>0.32913385826771663</v>
      </c>
      <c r="I61" s="25">
        <f t="shared" si="160"/>
        <v>0.41294498381877004</v>
      </c>
      <c r="J61" s="284">
        <f t="shared" si="160"/>
        <v>0.41613780598368133</v>
      </c>
      <c r="K61" s="241">
        <f t="shared" si="160"/>
        <v>0.41379310344827619</v>
      </c>
      <c r="L61" s="241">
        <f t="shared" si="160"/>
        <v>0.34024896265560145</v>
      </c>
      <c r="M61" s="285">
        <f t="shared" si="160"/>
        <v>0.39860139860139893</v>
      </c>
      <c r="N61" s="25">
        <f t="shared" si="160"/>
        <v>0.39681242337556144</v>
      </c>
      <c r="O61" s="284">
        <f t="shared" si="160"/>
        <v>0.36491777603758818</v>
      </c>
      <c r="P61" s="241">
        <f t="shared" si="160"/>
        <v>0.3919413919413906</v>
      </c>
      <c r="Q61" s="241">
        <f t="shared" si="160"/>
        <v>1.7619047619047608</v>
      </c>
      <c r="R61" s="285">
        <f t="shared" si="160"/>
        <v>0.35346358792184551</v>
      </c>
      <c r="S61" s="25">
        <f t="shared" si="160"/>
        <v>0.35133843212237031</v>
      </c>
      <c r="T61" s="284">
        <f t="shared" ref="T61:Z61" si="161">T31/T29</f>
        <v>0.34782608695652173</v>
      </c>
      <c r="U61" s="241">
        <f t="shared" si="161"/>
        <v>0.36</v>
      </c>
      <c r="V61" s="241" t="e">
        <f t="shared" si="161"/>
        <v>#DIV/0!</v>
      </c>
      <c r="W61" s="285">
        <f t="shared" si="161"/>
        <v>0.4375</v>
      </c>
      <c r="X61" s="25">
        <f t="shared" si="161"/>
        <v>0.63636363636363635</v>
      </c>
      <c r="Y61" s="284">
        <f t="shared" si="161"/>
        <v>0.40740740740740738</v>
      </c>
      <c r="Z61" s="241">
        <f t="shared" si="161"/>
        <v>0.3902439024390244</v>
      </c>
      <c r="AA61" s="241">
        <f t="shared" ref="AA61:AH61" si="162">AA31/AA29</f>
        <v>0.4044943820224719</v>
      </c>
      <c r="AB61" s="285">
        <f t="shared" si="162"/>
        <v>0.34177215189873417</v>
      </c>
      <c r="AC61" s="25">
        <f t="shared" si="162"/>
        <v>0.38953488372093026</v>
      </c>
      <c r="AD61" s="284">
        <f t="shared" si="162"/>
        <v>0.39726027397260272</v>
      </c>
      <c r="AE61" s="241">
        <f t="shared" si="162"/>
        <v>0.42424242424242425</v>
      </c>
      <c r="AF61" s="241">
        <f t="shared" si="162"/>
        <v>0.38750000000000001</v>
      </c>
      <c r="AG61" s="285">
        <f t="shared" si="162"/>
        <v>0.40217391304347827</v>
      </c>
      <c r="AH61" s="25">
        <f t="shared" si="162"/>
        <v>0.39886039886039887</v>
      </c>
      <c r="AI61" s="284">
        <f t="shared" ref="AI61:AM61" si="163">AI31/AI29</f>
        <v>0.40437158469945356</v>
      </c>
      <c r="AJ61" s="241">
        <f t="shared" si="163"/>
        <v>0.4050632911392405</v>
      </c>
      <c r="AK61" s="241">
        <f t="shared" si="163"/>
        <v>0.39325842696629215</v>
      </c>
      <c r="AL61" s="285">
        <f t="shared" si="163"/>
        <v>0.38095238095238093</v>
      </c>
      <c r="AM61" s="25">
        <f t="shared" si="163"/>
        <v>0.39622641509433965</v>
      </c>
      <c r="AN61" s="284">
        <f t="shared" ref="AN61:AR61" si="164">AN31/AN29</f>
        <v>0.39520958083832336</v>
      </c>
      <c r="AO61" s="241">
        <f t="shared" si="164"/>
        <v>0.15</v>
      </c>
      <c r="AP61" s="241">
        <f t="shared" si="164"/>
        <v>0.39130434782608697</v>
      </c>
      <c r="AQ61" s="285">
        <f t="shared" si="164"/>
        <v>0.39053254437869822</v>
      </c>
      <c r="AR61" s="25">
        <f t="shared" si="164"/>
        <v>0.37179487179487181</v>
      </c>
      <c r="AS61" s="284">
        <f t="shared" ref="AS61:AT61" si="165">AS31/AS29</f>
        <v>0.3902439024390244</v>
      </c>
      <c r="AT61" s="241">
        <f t="shared" si="165"/>
        <v>0.40789473684210525</v>
      </c>
      <c r="AU61" s="241">
        <f t="shared" ref="AU61:BA61" si="166">AU31/AU29</f>
        <v>0.39215686274509803</v>
      </c>
      <c r="AV61" s="285">
        <f t="shared" si="166"/>
        <v>0.47183098591549333</v>
      </c>
      <c r="AW61" s="25">
        <f t="shared" si="166"/>
        <v>0.41523809523809524</v>
      </c>
      <c r="AX61" s="284">
        <f t="shared" si="166"/>
        <v>0.20460350824712373</v>
      </c>
      <c r="AY61" s="241">
        <f t="shared" ca="1" si="166"/>
        <v>0.19554471285629504</v>
      </c>
      <c r="AZ61" s="241">
        <f t="shared" ca="1" si="166"/>
        <v>0.1960724684752756</v>
      </c>
      <c r="BA61" s="285">
        <f t="shared" ca="1" si="166"/>
        <v>0.20079382662873468</v>
      </c>
      <c r="BB61" s="25">
        <f ca="1">BB31/BB29</f>
        <v>0.20080264004966292</v>
      </c>
      <c r="BC61" s="284">
        <f t="shared" ref="BC61:BF61" ca="1" si="167">BC31/BC29</f>
        <v>0.20338036858854497</v>
      </c>
      <c r="BD61" s="241">
        <f t="shared" ca="1" si="167"/>
        <v>0.19053358117349525</v>
      </c>
      <c r="BE61" s="241">
        <f t="shared" ca="1" si="167"/>
        <v>0.19819825635200963</v>
      </c>
      <c r="BF61" s="285">
        <f t="shared" ca="1" si="167"/>
        <v>0.20145760123051526</v>
      </c>
      <c r="BG61" s="25">
        <f ca="1">BG31/BG29</f>
        <v>0.20010470971429462</v>
      </c>
      <c r="BH61" s="284">
        <f t="shared" ref="BH61:BK61" ca="1" si="168">BH31/BH29</f>
        <v>0.20443961635253241</v>
      </c>
      <c r="BI61" s="241">
        <f t="shared" ca="1" si="168"/>
        <v>0.19683121809481974</v>
      </c>
      <c r="BJ61" s="241">
        <f t="shared" ca="1" si="168"/>
        <v>0.19868867852877281</v>
      </c>
      <c r="BK61" s="285">
        <f t="shared" ca="1" si="168"/>
        <v>0.20186476253974803</v>
      </c>
      <c r="BL61" s="25">
        <f ca="1">BL31/BL29</f>
        <v>0.20143670500822586</v>
      </c>
      <c r="BM61" s="284">
        <f t="shared" ref="BM61:BP61" ca="1" si="169">BM31/BM29</f>
        <v>0.2049558307179786</v>
      </c>
      <c r="BN61" s="241">
        <f t="shared" ca="1" si="169"/>
        <v>0.19823079626308676</v>
      </c>
      <c r="BO61" s="241">
        <f t="shared" ca="1" si="169"/>
        <v>0.20078133505797738</v>
      </c>
      <c r="BP61" s="285">
        <f t="shared" ca="1" si="169"/>
        <v>0.20332855533131536</v>
      </c>
      <c r="BQ61" s="25">
        <f ca="1">BQ31/BQ29</f>
        <v>0.2026142624008731</v>
      </c>
      <c r="BR61" s="567"/>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row>
    <row r="62" spans="1:99">
      <c r="A62" s="1"/>
      <c r="B62" s="1"/>
      <c r="C62" s="618"/>
      <c r="D62" s="1"/>
      <c r="E62" s="600"/>
      <c r="F62" s="251"/>
      <c r="G62" s="251"/>
      <c r="H62" s="601"/>
      <c r="I62" s="26"/>
      <c r="J62" s="600"/>
      <c r="K62" s="251"/>
      <c r="L62" s="251"/>
      <c r="M62" s="601"/>
      <c r="N62" s="26"/>
      <c r="O62" s="600"/>
      <c r="P62" s="251"/>
      <c r="Q62" s="251"/>
      <c r="R62" s="601"/>
      <c r="S62" s="26"/>
      <c r="T62" s="600"/>
      <c r="U62" s="251"/>
      <c r="V62" s="251"/>
      <c r="W62" s="601"/>
      <c r="X62" s="26"/>
      <c r="Y62" s="600"/>
      <c r="Z62" s="251"/>
      <c r="AA62" s="251"/>
      <c r="AB62" s="601"/>
      <c r="AC62" s="26"/>
      <c r="AD62" s="600"/>
      <c r="AE62" s="251"/>
      <c r="AF62" s="251"/>
      <c r="AG62" s="601"/>
      <c r="AH62" s="26"/>
      <c r="AI62" s="600"/>
      <c r="AJ62" s="251"/>
      <c r="AK62" s="251"/>
      <c r="AL62" s="601"/>
      <c r="AM62" s="26"/>
      <c r="AN62" s="600"/>
      <c r="AO62" s="251"/>
      <c r="AP62" s="251"/>
      <c r="AQ62" s="601"/>
      <c r="AR62" s="26"/>
      <c r="AS62" s="600"/>
      <c r="AT62" s="251"/>
      <c r="AU62" s="251"/>
      <c r="AV62" s="601"/>
      <c r="AW62" s="26"/>
      <c r="AX62" s="600"/>
      <c r="AY62" s="251"/>
      <c r="AZ62" s="251"/>
      <c r="BA62" s="601"/>
      <c r="BB62" s="26"/>
      <c r="BC62" s="600"/>
      <c r="BD62" s="251"/>
      <c r="BE62" s="251"/>
      <c r="BF62" s="601"/>
      <c r="BG62" s="26"/>
      <c r="BH62" s="600"/>
      <c r="BI62" s="251"/>
      <c r="BJ62" s="251"/>
      <c r="BK62" s="601"/>
      <c r="BL62" s="26"/>
      <c r="BM62" s="600"/>
      <c r="BN62" s="251"/>
      <c r="BO62" s="251"/>
      <c r="BP62" s="601"/>
      <c r="BQ62" s="26"/>
      <c r="BR62" s="567"/>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row>
    <row r="63" spans="1:99">
      <c r="A63" s="1"/>
      <c r="B63" s="1"/>
      <c r="C63" s="618" t="s">
        <v>621</v>
      </c>
      <c r="D63" s="1"/>
      <c r="E63" s="600"/>
      <c r="F63" s="251"/>
      <c r="G63" s="251"/>
      <c r="H63" s="601"/>
      <c r="I63" s="25">
        <f t="shared" ref="I63:Z63" si="170">+I272</f>
        <v>0.1</v>
      </c>
      <c r="J63" s="284">
        <f t="shared" si="170"/>
        <v>0.1</v>
      </c>
      <c r="K63" s="241">
        <f t="shared" si="170"/>
        <v>0.1</v>
      </c>
      <c r="L63" s="241">
        <f t="shared" si="170"/>
        <v>0.1</v>
      </c>
      <c r="M63" s="285">
        <f t="shared" si="170"/>
        <v>0.1</v>
      </c>
      <c r="N63" s="25">
        <f t="shared" si="170"/>
        <v>0.1</v>
      </c>
      <c r="O63" s="284">
        <f t="shared" si="170"/>
        <v>0.1</v>
      </c>
      <c r="P63" s="241">
        <f t="shared" si="170"/>
        <v>0.1</v>
      </c>
      <c r="Q63" s="241">
        <f t="shared" si="170"/>
        <v>0.1</v>
      </c>
      <c r="R63" s="285">
        <f t="shared" si="170"/>
        <v>0.1</v>
      </c>
      <c r="S63" s="25">
        <f t="shared" si="170"/>
        <v>0.1</v>
      </c>
      <c r="T63" s="284">
        <f t="shared" si="170"/>
        <v>0.1</v>
      </c>
      <c r="U63" s="241">
        <f t="shared" si="170"/>
        <v>0.1</v>
      </c>
      <c r="V63" s="241">
        <f t="shared" si="170"/>
        <v>0.1</v>
      </c>
      <c r="W63" s="285">
        <f t="shared" si="170"/>
        <v>0.1</v>
      </c>
      <c r="X63" s="25">
        <f t="shared" si="170"/>
        <v>0.1</v>
      </c>
      <c r="Y63" s="284">
        <f t="shared" si="170"/>
        <v>0.1</v>
      </c>
      <c r="Z63" s="241">
        <f t="shared" si="170"/>
        <v>0.1</v>
      </c>
      <c r="AA63" s="241">
        <f t="shared" ref="AA63:AH63" si="171">+AA272</f>
        <v>0.1</v>
      </c>
      <c r="AB63" s="285">
        <f t="shared" si="171"/>
        <v>0.1</v>
      </c>
      <c r="AC63" s="25">
        <f t="shared" si="171"/>
        <v>0.1</v>
      </c>
      <c r="AD63" s="284">
        <f t="shared" si="171"/>
        <v>0.1</v>
      </c>
      <c r="AE63" s="241">
        <f t="shared" si="171"/>
        <v>0.1</v>
      </c>
      <c r="AF63" s="241">
        <f t="shared" si="171"/>
        <v>0.1</v>
      </c>
      <c r="AG63" s="285">
        <f t="shared" si="171"/>
        <v>0.1</v>
      </c>
      <c r="AH63" s="25">
        <f t="shared" si="171"/>
        <v>0.1</v>
      </c>
      <c r="AI63" s="284">
        <f t="shared" ref="AI63:AM63" si="172">+AI272</f>
        <v>0.1</v>
      </c>
      <c r="AJ63" s="241">
        <f t="shared" si="172"/>
        <v>0.1</v>
      </c>
      <c r="AK63" s="241">
        <f t="shared" si="172"/>
        <v>0.1</v>
      </c>
      <c r="AL63" s="285">
        <f t="shared" si="172"/>
        <v>0.1</v>
      </c>
      <c r="AM63" s="25">
        <f t="shared" si="172"/>
        <v>9.7500000000000003E-2</v>
      </c>
      <c r="AN63" s="284">
        <f t="shared" ref="AN63:AR63" si="173">+AN272</f>
        <v>0.1</v>
      </c>
      <c r="AO63" s="241">
        <f t="shared" si="173"/>
        <v>9.7500000000000003E-2</v>
      </c>
      <c r="AP63" s="241">
        <f t="shared" si="173"/>
        <v>9.8610000000000003E-2</v>
      </c>
      <c r="AQ63" s="285">
        <f t="shared" si="173"/>
        <v>9.8610000000000003E-2</v>
      </c>
      <c r="AR63" s="25">
        <f t="shared" si="173"/>
        <v>9.8610000000000003E-2</v>
      </c>
      <c r="AS63" s="284">
        <f t="shared" ref="AS63:AT63" si="174">+AS272</f>
        <v>9.8610000000000003E-2</v>
      </c>
      <c r="AT63" s="241">
        <f t="shared" si="174"/>
        <v>9.8610000000000003E-2</v>
      </c>
      <c r="AU63" s="241">
        <f t="shared" ref="AU63:BA63" si="175">+AU272</f>
        <v>9.8610000000000003E-2</v>
      </c>
      <c r="AV63" s="285">
        <f t="shared" si="175"/>
        <v>9.8610000000000003E-2</v>
      </c>
      <c r="AW63" s="25">
        <f t="shared" si="175"/>
        <v>9.8610000000000003E-2</v>
      </c>
      <c r="AX63" s="284">
        <f t="shared" si="175"/>
        <v>9.8610000000000003E-2</v>
      </c>
      <c r="AY63" s="241">
        <f t="shared" si="175"/>
        <v>9.8610000000000003E-2</v>
      </c>
      <c r="AZ63" s="241">
        <f t="shared" si="175"/>
        <v>9.8610000000000003E-2</v>
      </c>
      <c r="BA63" s="285">
        <f t="shared" si="175"/>
        <v>9.8610000000000003E-2</v>
      </c>
      <c r="BB63" s="25">
        <f>+BB272</f>
        <v>9.8610000000000003E-2</v>
      </c>
      <c r="BC63" s="284">
        <f t="shared" ref="BC63:BF63" si="176">+BC272</f>
        <v>9.8610000000000003E-2</v>
      </c>
      <c r="BD63" s="241">
        <f t="shared" si="176"/>
        <v>9.8610000000000003E-2</v>
      </c>
      <c r="BE63" s="241">
        <f t="shared" si="176"/>
        <v>9.8610000000000003E-2</v>
      </c>
      <c r="BF63" s="285">
        <f t="shared" si="176"/>
        <v>9.8610000000000003E-2</v>
      </c>
      <c r="BG63" s="25">
        <f>+BG272</f>
        <v>9.8610000000000003E-2</v>
      </c>
      <c r="BH63" s="284">
        <f t="shared" ref="BH63:BK63" si="177">+BH272</f>
        <v>9.8610000000000003E-2</v>
      </c>
      <c r="BI63" s="241">
        <f t="shared" si="177"/>
        <v>9.8610000000000003E-2</v>
      </c>
      <c r="BJ63" s="241">
        <f t="shared" si="177"/>
        <v>9.8610000000000003E-2</v>
      </c>
      <c r="BK63" s="285">
        <f t="shared" si="177"/>
        <v>9.8610000000000003E-2</v>
      </c>
      <c r="BL63" s="25">
        <f>+BL272</f>
        <v>9.8610000000000003E-2</v>
      </c>
      <c r="BM63" s="284">
        <f t="shared" ref="BM63:BP63" si="178">+BM272</f>
        <v>9.8610000000000003E-2</v>
      </c>
      <c r="BN63" s="241">
        <f t="shared" si="178"/>
        <v>9.8610000000000003E-2</v>
      </c>
      <c r="BO63" s="241">
        <f t="shared" si="178"/>
        <v>9.8610000000000003E-2</v>
      </c>
      <c r="BP63" s="285">
        <f t="shared" si="178"/>
        <v>9.8610000000000003E-2</v>
      </c>
      <c r="BQ63" s="25">
        <f>+BQ272</f>
        <v>9.8610000000000003E-2</v>
      </c>
      <c r="BR63" s="567"/>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row>
    <row r="64" spans="1:99">
      <c r="A64" s="1"/>
      <c r="B64" s="1"/>
      <c r="C64" s="618" t="s">
        <v>127</v>
      </c>
      <c r="D64" s="1"/>
      <c r="E64" s="600"/>
      <c r="F64" s="251"/>
      <c r="G64" s="251"/>
      <c r="H64" s="601"/>
      <c r="I64" s="25"/>
      <c r="J64" s="284"/>
      <c r="K64" s="241"/>
      <c r="L64" s="241"/>
      <c r="M64" s="285"/>
      <c r="N64" s="25"/>
      <c r="O64" s="284"/>
      <c r="P64" s="241"/>
      <c r="Q64" s="241"/>
      <c r="R64" s="285"/>
      <c r="S64" s="25"/>
      <c r="T64" s="284"/>
      <c r="U64" s="241"/>
      <c r="V64" s="241"/>
      <c r="W64" s="285"/>
      <c r="X64" s="25">
        <f>+X273</f>
        <v>0</v>
      </c>
      <c r="Y64" s="284"/>
      <c r="Z64" s="241"/>
      <c r="AA64" s="241"/>
      <c r="AB64" s="285"/>
      <c r="AC64" s="25">
        <f>+AC273</f>
        <v>9.1205105120413923E-2</v>
      </c>
      <c r="AD64" s="284"/>
      <c r="AE64" s="241"/>
      <c r="AF64" s="241"/>
      <c r="AG64" s="285"/>
      <c r="AH64" s="25">
        <f>+AH273</f>
        <v>8.3982196649798099E-2</v>
      </c>
      <c r="AI64" s="284"/>
      <c r="AJ64" s="241"/>
      <c r="AK64" s="241"/>
      <c r="AL64" s="285"/>
      <c r="AM64" s="25">
        <f>+AM273</f>
        <v>0.109772006806499</v>
      </c>
      <c r="AN64" s="284"/>
      <c r="AO64" s="241"/>
      <c r="AP64" s="241"/>
      <c r="AQ64" s="285"/>
      <c r="AR64" s="25">
        <f>+AR273</f>
        <v>0.10810707953188921</v>
      </c>
      <c r="AS64" s="284"/>
      <c r="AT64" s="241"/>
      <c r="AU64" s="241"/>
      <c r="AV64" s="285"/>
      <c r="AW64" s="25">
        <f>+AW273</f>
        <v>0.1083943612980445</v>
      </c>
      <c r="AX64" s="284"/>
      <c r="AY64" s="241"/>
      <c r="AZ64" s="241"/>
      <c r="BA64" s="285"/>
      <c r="BB64" s="25">
        <f ca="1">+BB273</f>
        <v>0.1043248560455203</v>
      </c>
      <c r="BC64" s="284"/>
      <c r="BD64" s="241"/>
      <c r="BE64" s="241"/>
      <c r="BF64" s="285"/>
      <c r="BG64" s="25">
        <f ca="1">+BG273</f>
        <v>0.10051773017869861</v>
      </c>
      <c r="BH64" s="284"/>
      <c r="BI64" s="241"/>
      <c r="BJ64" s="241"/>
      <c r="BK64" s="285"/>
      <c r="BL64" s="25">
        <f ca="1">+BL273</f>
        <v>0.10166935655600355</v>
      </c>
      <c r="BM64" s="284"/>
      <c r="BN64" s="241"/>
      <c r="BO64" s="241"/>
      <c r="BP64" s="285"/>
      <c r="BQ64" s="25">
        <f ca="1">+BQ273</f>
        <v>9.8954274934402925E-2</v>
      </c>
      <c r="BR64" s="567"/>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row>
    <row r="65" spans="1:99">
      <c r="A65" s="1"/>
      <c r="B65" s="1"/>
      <c r="C65" s="619" t="s">
        <v>622</v>
      </c>
      <c r="D65" s="381"/>
      <c r="E65" s="620"/>
      <c r="F65" s="680"/>
      <c r="G65" s="680"/>
      <c r="H65" s="621"/>
      <c r="I65" s="771"/>
      <c r="J65" s="622"/>
      <c r="K65" s="772"/>
      <c r="L65" s="772"/>
      <c r="M65" s="623"/>
      <c r="N65" s="771"/>
      <c r="O65" s="622"/>
      <c r="P65" s="772"/>
      <c r="Q65" s="772"/>
      <c r="R65" s="623"/>
      <c r="S65" s="771"/>
      <c r="T65" s="622"/>
      <c r="U65" s="772"/>
      <c r="V65" s="772"/>
      <c r="W65" s="623"/>
      <c r="X65" s="771">
        <f>+X274</f>
        <v>0</v>
      </c>
      <c r="Y65" s="622"/>
      <c r="Z65" s="772"/>
      <c r="AA65" s="772"/>
      <c r="AB65" s="623"/>
      <c r="AC65" s="771">
        <f>+AC274</f>
        <v>8.7931075705834957E-2</v>
      </c>
      <c r="AD65" s="622"/>
      <c r="AE65" s="772"/>
      <c r="AF65" s="772"/>
      <c r="AG65" s="623"/>
      <c r="AH65" s="771">
        <f>+AH274</f>
        <v>7.8917943585488662E-2</v>
      </c>
      <c r="AI65" s="622"/>
      <c r="AJ65" s="772"/>
      <c r="AK65" s="772"/>
      <c r="AL65" s="623"/>
      <c r="AM65" s="771">
        <f>+AM274</f>
        <v>0.10422396314118858</v>
      </c>
      <c r="AN65" s="622"/>
      <c r="AO65" s="772"/>
      <c r="AP65" s="772"/>
      <c r="AQ65" s="623"/>
      <c r="AR65" s="771">
        <f>+AR274</f>
        <v>0.10099969368031171</v>
      </c>
      <c r="AS65" s="622"/>
      <c r="AT65" s="772"/>
      <c r="AU65" s="772"/>
      <c r="AV65" s="623"/>
      <c r="AW65" s="771">
        <f>+AW274</f>
        <v>0.10294055695600453</v>
      </c>
      <c r="AX65" s="622"/>
      <c r="AY65" s="772"/>
      <c r="AZ65" s="772"/>
      <c r="BA65" s="623"/>
      <c r="BB65" s="771">
        <f ca="1">+BB274</f>
        <v>9.8607731644624455E-2</v>
      </c>
      <c r="BC65" s="622"/>
      <c r="BD65" s="772"/>
      <c r="BE65" s="772"/>
      <c r="BF65" s="623"/>
      <c r="BG65" s="771">
        <f ca="1">+BG274</f>
        <v>9.4596406826350315E-2</v>
      </c>
      <c r="BH65" s="622"/>
      <c r="BI65" s="772"/>
      <c r="BJ65" s="772"/>
      <c r="BK65" s="623"/>
      <c r="BL65" s="771">
        <f ca="1">+BL274</f>
        <v>9.6477743202651761E-2</v>
      </c>
      <c r="BM65" s="622"/>
      <c r="BN65" s="772"/>
      <c r="BO65" s="772"/>
      <c r="BP65" s="623"/>
      <c r="BQ65" s="771">
        <f ca="1">+BQ274</f>
        <v>9.4589712837973197E-2</v>
      </c>
      <c r="BR65" s="567"/>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row>
    <row r="66" spans="1:99">
      <c r="A66" s="1"/>
      <c r="B66" s="1"/>
      <c r="C66" s="32"/>
      <c r="D66" s="1"/>
      <c r="E66" s="600"/>
      <c r="F66" s="251"/>
      <c r="G66" s="251"/>
      <c r="H66" s="601"/>
      <c r="I66" s="26"/>
      <c r="J66" s="600"/>
      <c r="K66" s="251"/>
      <c r="L66" s="251"/>
      <c r="M66" s="601"/>
      <c r="N66" s="26"/>
      <c r="O66" s="600"/>
      <c r="P66" s="251"/>
      <c r="Q66" s="251"/>
      <c r="R66" s="601"/>
      <c r="S66" s="26"/>
      <c r="T66" s="600"/>
      <c r="U66" s="251"/>
      <c r="V66" s="251"/>
      <c r="W66" s="601"/>
      <c r="X66" s="26"/>
      <c r="Y66" s="600"/>
      <c r="Z66" s="251"/>
      <c r="AA66" s="251"/>
      <c r="AB66" s="601"/>
      <c r="AC66" s="26"/>
      <c r="AD66" s="600"/>
      <c r="AE66" s="251"/>
      <c r="AF66" s="251"/>
      <c r="AG66" s="601"/>
      <c r="AH66" s="26"/>
      <c r="AI66" s="600"/>
      <c r="AJ66" s="251"/>
      <c r="AK66" s="251"/>
      <c r="AL66" s="601"/>
      <c r="AM66" s="26"/>
      <c r="AN66" s="600"/>
      <c r="AO66" s="251"/>
      <c r="AP66" s="251"/>
      <c r="AQ66" s="601"/>
      <c r="AR66" s="26"/>
      <c r="AS66" s="600"/>
      <c r="AT66" s="251"/>
      <c r="AU66" s="251"/>
      <c r="AV66" s="601"/>
      <c r="AW66" s="26"/>
      <c r="AX66" s="1956"/>
      <c r="AY66" s="1957"/>
      <c r="AZ66" s="1957"/>
      <c r="BA66" s="1958"/>
      <c r="BB66" s="26"/>
      <c r="BC66" s="1956"/>
      <c r="BD66" s="1957"/>
      <c r="BE66" s="1957"/>
      <c r="BF66" s="1958"/>
      <c r="BG66" s="26"/>
      <c r="BH66" s="1956"/>
      <c r="BI66" s="1957"/>
      <c r="BJ66" s="1957"/>
      <c r="BK66" s="1958"/>
      <c r="BL66" s="26"/>
      <c r="BM66" s="1956"/>
      <c r="BN66" s="1957"/>
      <c r="BO66" s="1957"/>
      <c r="BP66" s="1958"/>
      <c r="BQ66" s="26"/>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row>
    <row r="67" spans="1:99">
      <c r="A67" s="1"/>
      <c r="B67" s="1"/>
      <c r="C67" s="32"/>
      <c r="D67" s="1"/>
      <c r="E67" s="600"/>
      <c r="F67" s="251"/>
      <c r="G67" s="251"/>
      <c r="H67" s="601"/>
      <c r="I67" s="26"/>
      <c r="J67" s="600"/>
      <c r="K67" s="251"/>
      <c r="L67" s="251"/>
      <c r="M67" s="601"/>
      <c r="N67" s="26"/>
      <c r="O67" s="600"/>
      <c r="P67" s="251"/>
      <c r="Q67" s="251"/>
      <c r="R67" s="601"/>
      <c r="S67" s="26"/>
      <c r="T67" s="600"/>
      <c r="U67" s="251"/>
      <c r="V67" s="251"/>
      <c r="W67" s="601"/>
      <c r="X67" s="26"/>
      <c r="Y67" s="600"/>
      <c r="Z67" s="251"/>
      <c r="AA67" s="251"/>
      <c r="AB67" s="601"/>
      <c r="AC67" s="26"/>
      <c r="AD67" s="600"/>
      <c r="AE67" s="251"/>
      <c r="AF67" s="251"/>
      <c r="AG67" s="601"/>
      <c r="AH67" s="26"/>
      <c r="AI67" s="600"/>
      <c r="AJ67" s="251"/>
      <c r="AK67" s="251"/>
      <c r="AL67" s="601"/>
      <c r="AM67" s="26"/>
      <c r="AN67" s="600"/>
      <c r="AO67" s="251"/>
      <c r="AP67" s="251"/>
      <c r="AQ67" s="601"/>
      <c r="AR67" s="26"/>
      <c r="AS67" s="600"/>
      <c r="AT67" s="251"/>
      <c r="AU67" s="251"/>
      <c r="AV67" s="601"/>
      <c r="AW67" s="26"/>
      <c r="AX67" s="955"/>
      <c r="AY67" s="956"/>
      <c r="AZ67" s="956"/>
      <c r="BA67" s="957"/>
      <c r="BB67" s="26"/>
      <c r="BC67" s="1956"/>
      <c r="BD67" s="1957"/>
      <c r="BE67" s="1957"/>
      <c r="BF67" s="1958"/>
      <c r="BG67" s="26"/>
      <c r="BH67" s="1956"/>
      <c r="BI67" s="1957"/>
      <c r="BJ67" s="1957"/>
      <c r="BK67" s="1958"/>
      <c r="BL67" s="26"/>
      <c r="BM67" s="1956"/>
      <c r="BN67" s="1957"/>
      <c r="BO67" s="1957"/>
      <c r="BP67" s="1958"/>
      <c r="BQ67" s="26"/>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row>
    <row r="68" spans="1:99">
      <c r="A68" s="1"/>
      <c r="B68" s="73" t="s">
        <v>128</v>
      </c>
      <c r="C68" s="246"/>
      <c r="D68" s="15"/>
      <c r="E68" s="600"/>
      <c r="F68" s="251"/>
      <c r="G68" s="251"/>
      <c r="H68" s="601"/>
      <c r="I68" s="26"/>
      <c r="J68" s="600"/>
      <c r="K68" s="251"/>
      <c r="L68" s="251"/>
      <c r="M68" s="601"/>
      <c r="N68" s="26"/>
      <c r="O68" s="600"/>
      <c r="P68" s="251"/>
      <c r="Q68" s="251"/>
      <c r="R68" s="601"/>
      <c r="S68" s="26"/>
      <c r="T68" s="600"/>
      <c r="U68" s="251"/>
      <c r="V68" s="251"/>
      <c r="W68" s="601"/>
      <c r="X68" s="26"/>
      <c r="Y68" s="600"/>
      <c r="Z68" s="251"/>
      <c r="AA68" s="251"/>
      <c r="AB68" s="601"/>
      <c r="AC68" s="26"/>
      <c r="AD68" s="600"/>
      <c r="AE68" s="251"/>
      <c r="AF68" s="251"/>
      <c r="AG68" s="601"/>
      <c r="AH68" s="26"/>
      <c r="AI68" s="600"/>
      <c r="AJ68" s="251"/>
      <c r="AK68" s="251"/>
      <c r="AL68" s="601"/>
      <c r="AM68" s="26"/>
      <c r="AN68" s="600"/>
      <c r="AO68" s="251"/>
      <c r="AP68" s="251"/>
      <c r="AQ68" s="601"/>
      <c r="AR68" s="26"/>
      <c r="AS68" s="600"/>
      <c r="AT68" s="251"/>
      <c r="AU68" s="251"/>
      <c r="AV68" s="601"/>
      <c r="AW68" s="26"/>
      <c r="AX68" s="600"/>
      <c r="AY68" s="251"/>
      <c r="AZ68" s="251"/>
      <c r="BA68" s="601"/>
      <c r="BB68" s="26"/>
      <c r="BC68" s="600"/>
      <c r="BD68" s="251"/>
      <c r="BE68" s="251"/>
      <c r="BF68" s="601"/>
      <c r="BG68" s="26"/>
      <c r="BH68" s="600"/>
      <c r="BI68" s="251"/>
      <c r="BJ68" s="251"/>
      <c r="BK68" s="601"/>
      <c r="BL68" s="26"/>
      <c r="BM68" s="600"/>
      <c r="BN68" s="251"/>
      <c r="BO68" s="251"/>
      <c r="BP68" s="601"/>
      <c r="BQ68" s="26"/>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row>
    <row r="69" spans="1:99">
      <c r="A69" s="330"/>
      <c r="B69" s="330"/>
      <c r="C69" s="576" t="s">
        <v>406</v>
      </c>
      <c r="D69" s="330"/>
      <c r="E69" s="345"/>
      <c r="F69" s="346"/>
      <c r="G69" s="346"/>
      <c r="H69" s="347"/>
      <c r="I69" s="773"/>
      <c r="J69" s="345"/>
      <c r="K69" s="346"/>
      <c r="L69" s="346"/>
      <c r="M69" s="347"/>
      <c r="N69" s="45"/>
      <c r="O69" s="345"/>
      <c r="P69" s="346"/>
      <c r="Q69" s="346"/>
      <c r="R69" s="347"/>
      <c r="S69" s="45"/>
      <c r="T69" s="624">
        <v>265</v>
      </c>
      <c r="U69" s="625">
        <v>295</v>
      </c>
      <c r="V69" s="625">
        <v>400</v>
      </c>
      <c r="W69" s="1059">
        <v>314</v>
      </c>
      <c r="X69" s="1443">
        <f>SUM(T69:W69)</f>
        <v>1274</v>
      </c>
      <c r="Y69" s="624">
        <v>365</v>
      </c>
      <c r="Z69" s="625">
        <v>302</v>
      </c>
      <c r="AA69" s="1452">
        <v>390</v>
      </c>
      <c r="AB69" s="1490">
        <v>347</v>
      </c>
      <c r="AC69" s="1443">
        <f>SUM(Y69:AB69)</f>
        <v>1404</v>
      </c>
      <c r="AD69" s="624">
        <v>436</v>
      </c>
      <c r="AE69" s="625">
        <v>293</v>
      </c>
      <c r="AF69" s="1452">
        <v>348</v>
      </c>
      <c r="AG69" s="1490">
        <v>327</v>
      </c>
      <c r="AH69" s="1443">
        <f>SUM(AD69:AG69)</f>
        <v>1404</v>
      </c>
      <c r="AI69" s="624">
        <v>449</v>
      </c>
      <c r="AJ69" s="625">
        <v>303</v>
      </c>
      <c r="AK69" s="1452">
        <v>379</v>
      </c>
      <c r="AL69" s="2104">
        <f>AM69-AI69-AJ69-AK69</f>
        <v>318</v>
      </c>
      <c r="AM69" s="1437">
        <v>1449</v>
      </c>
      <c r="AN69" s="624">
        <v>428</v>
      </c>
      <c r="AO69" s="625">
        <v>324</v>
      </c>
      <c r="AP69" s="1452">
        <v>451</v>
      </c>
      <c r="AQ69" s="2104">
        <f>AR69-AN69-AO69-AP69</f>
        <v>351</v>
      </c>
      <c r="AR69" s="1437">
        <v>1554</v>
      </c>
      <c r="AS69" s="624">
        <v>405</v>
      </c>
      <c r="AT69" s="625">
        <v>315</v>
      </c>
      <c r="AU69" s="625">
        <v>376</v>
      </c>
      <c r="AV69" s="2104">
        <f>AW69-AS69-AT69-AU69</f>
        <v>332</v>
      </c>
      <c r="AW69" s="1437">
        <v>1428</v>
      </c>
      <c r="AX69" s="292"/>
      <c r="AY69" s="261"/>
      <c r="AZ69" s="261"/>
      <c r="BA69" s="293"/>
      <c r="BB69" s="228"/>
      <c r="BC69" s="292"/>
      <c r="BD69" s="261"/>
      <c r="BE69" s="261"/>
      <c r="BF69" s="293"/>
      <c r="BG69" s="228"/>
      <c r="BH69" s="292"/>
      <c r="BI69" s="261"/>
      <c r="BJ69" s="261"/>
      <c r="BK69" s="293"/>
      <c r="BL69" s="228"/>
      <c r="BM69" s="292"/>
      <c r="BN69" s="261"/>
      <c r="BO69" s="261"/>
      <c r="BP69" s="293"/>
      <c r="BQ69" s="228"/>
      <c r="BR69" s="330"/>
      <c r="BS69" s="330"/>
      <c r="BT69" s="330"/>
      <c r="BU69" s="330"/>
      <c r="BV69" s="330"/>
      <c r="BW69" s="330"/>
      <c r="BX69" s="330"/>
      <c r="BY69" s="330"/>
      <c r="BZ69" s="330"/>
      <c r="CA69" s="330"/>
      <c r="CB69" s="330"/>
      <c r="CC69" s="330"/>
      <c r="CD69" s="330"/>
      <c r="CE69" s="330"/>
      <c r="CF69" s="330"/>
      <c r="CG69" s="330"/>
      <c r="CH69" s="330"/>
      <c r="CI69" s="330"/>
      <c r="CJ69" s="330"/>
      <c r="CK69" s="330"/>
      <c r="CL69" s="330"/>
      <c r="CM69" s="330"/>
      <c r="CN69" s="330"/>
      <c r="CO69" s="330"/>
      <c r="CP69" s="330"/>
      <c r="CQ69" s="330"/>
      <c r="CR69" s="330"/>
      <c r="CS69" s="330"/>
      <c r="CT69" s="330"/>
      <c r="CU69" s="330"/>
    </row>
    <row r="70" spans="1:99">
      <c r="A70" s="330"/>
      <c r="B70" s="330"/>
      <c r="C70" s="576" t="s">
        <v>716</v>
      </c>
      <c r="D70" s="330"/>
      <c r="E70" s="345"/>
      <c r="F70" s="346"/>
      <c r="G70" s="346"/>
      <c r="H70" s="347"/>
      <c r="I70" s="773"/>
      <c r="J70" s="345"/>
      <c r="K70" s="346"/>
      <c r="L70" s="346"/>
      <c r="M70" s="347"/>
      <c r="N70" s="45"/>
      <c r="O70" s="345"/>
      <c r="P70" s="346"/>
      <c r="Q70" s="346"/>
      <c r="R70" s="347"/>
      <c r="S70" s="45"/>
      <c r="T70" s="624">
        <v>58</v>
      </c>
      <c r="U70" s="625">
        <v>149</v>
      </c>
      <c r="V70" s="625">
        <v>166</v>
      </c>
      <c r="W70" s="1059">
        <v>136</v>
      </c>
      <c r="X70" s="1443">
        <f t="shared" ref="X70:X73" si="179">SUM(T70:W70)</f>
        <v>509</v>
      </c>
      <c r="Y70" s="624">
        <v>159</v>
      </c>
      <c r="Z70" s="625">
        <v>60</v>
      </c>
      <c r="AA70" s="1452">
        <v>72</v>
      </c>
      <c r="AB70" s="1490">
        <v>60</v>
      </c>
      <c r="AC70" s="1443">
        <f t="shared" ref="AC70:AC73" si="180">SUM(Y70:AB70)</f>
        <v>351</v>
      </c>
      <c r="AD70" s="624">
        <v>71</v>
      </c>
      <c r="AE70" s="625">
        <v>64</v>
      </c>
      <c r="AF70" s="1452">
        <v>72</v>
      </c>
      <c r="AG70" s="1490">
        <v>63</v>
      </c>
      <c r="AH70" s="1443">
        <f t="shared" ref="AH70:AH73" si="181">SUM(AD70:AG70)</f>
        <v>270</v>
      </c>
      <c r="AI70" s="624">
        <v>76</v>
      </c>
      <c r="AJ70" s="625">
        <v>61</v>
      </c>
      <c r="AK70" s="1452">
        <v>70</v>
      </c>
      <c r="AL70" s="2104">
        <f t="shared" ref="AL70:AL73" si="182">AM70-AI70-AJ70-AK70</f>
        <v>66</v>
      </c>
      <c r="AM70" s="1437">
        <v>273</v>
      </c>
      <c r="AN70" s="624">
        <v>73</v>
      </c>
      <c r="AO70" s="625">
        <v>65</v>
      </c>
      <c r="AP70" s="1452">
        <v>74</v>
      </c>
      <c r="AQ70" s="2104">
        <f t="shared" ref="AQ70:AQ73" si="183">AR70-AN70-AO70-AP70</f>
        <v>65</v>
      </c>
      <c r="AR70" s="1437">
        <v>277</v>
      </c>
      <c r="AS70" s="624">
        <v>72</v>
      </c>
      <c r="AT70" s="625">
        <v>63</v>
      </c>
      <c r="AU70" s="625">
        <v>67</v>
      </c>
      <c r="AV70" s="2104">
        <f t="shared" ref="AV70:AV73" si="184">AW70-AS70-AT70-AU70</f>
        <v>64</v>
      </c>
      <c r="AW70" s="1437">
        <v>266</v>
      </c>
      <c r="AX70" s="292"/>
      <c r="AY70" s="261"/>
      <c r="AZ70" s="261"/>
      <c r="BA70" s="293"/>
      <c r="BB70" s="228"/>
      <c r="BC70" s="292"/>
      <c r="BD70" s="261"/>
      <c r="BE70" s="261"/>
      <c r="BF70" s="293"/>
      <c r="BG70" s="228"/>
      <c r="BH70" s="292"/>
      <c r="BI70" s="261"/>
      <c r="BJ70" s="261"/>
      <c r="BK70" s="293"/>
      <c r="BL70" s="228"/>
      <c r="BM70" s="292"/>
      <c r="BN70" s="261"/>
      <c r="BO70" s="261"/>
      <c r="BP70" s="293"/>
      <c r="BQ70" s="228"/>
      <c r="BR70" s="330"/>
      <c r="BS70" s="330"/>
      <c r="BT70" s="330"/>
      <c r="BU70" s="330"/>
      <c r="BV70" s="330"/>
      <c r="BW70" s="330"/>
      <c r="BX70" s="330"/>
      <c r="BY70" s="330"/>
      <c r="BZ70" s="330"/>
      <c r="CA70" s="330"/>
      <c r="CB70" s="330"/>
      <c r="CC70" s="330"/>
      <c r="CD70" s="330"/>
      <c r="CE70" s="330"/>
      <c r="CF70" s="330"/>
      <c r="CG70" s="330"/>
      <c r="CH70" s="330"/>
      <c r="CI70" s="330"/>
      <c r="CJ70" s="330"/>
      <c r="CK70" s="330"/>
      <c r="CL70" s="330"/>
      <c r="CM70" s="330"/>
      <c r="CN70" s="330"/>
      <c r="CO70" s="330"/>
      <c r="CP70" s="330"/>
      <c r="CQ70" s="330"/>
      <c r="CR70" s="330"/>
      <c r="CS70" s="330"/>
      <c r="CT70" s="330"/>
      <c r="CU70" s="330"/>
    </row>
    <row r="71" spans="1:99">
      <c r="A71" s="330"/>
      <c r="B71" s="330"/>
      <c r="C71" s="576" t="s">
        <v>717</v>
      </c>
      <c r="D71" s="330"/>
      <c r="E71" s="345"/>
      <c r="F71" s="346"/>
      <c r="G71" s="346"/>
      <c r="H71" s="347"/>
      <c r="I71" s="773"/>
      <c r="J71" s="345"/>
      <c r="K71" s="346"/>
      <c r="L71" s="346"/>
      <c r="M71" s="347"/>
      <c r="N71" s="45"/>
      <c r="O71" s="345"/>
      <c r="P71" s="346"/>
      <c r="Q71" s="346"/>
      <c r="R71" s="347"/>
      <c r="S71" s="45"/>
      <c r="T71" s="624">
        <v>96</v>
      </c>
      <c r="U71" s="625">
        <v>10</v>
      </c>
      <c r="V71" s="625">
        <v>10</v>
      </c>
      <c r="W71" s="1059">
        <v>9</v>
      </c>
      <c r="X71" s="1443">
        <f t="shared" si="179"/>
        <v>125</v>
      </c>
      <c r="Y71" s="624">
        <v>10</v>
      </c>
      <c r="Z71" s="625">
        <v>112</v>
      </c>
      <c r="AA71" s="1452">
        <v>116</v>
      </c>
      <c r="AB71" s="1490">
        <v>106</v>
      </c>
      <c r="AC71" s="1443">
        <f t="shared" si="180"/>
        <v>344</v>
      </c>
      <c r="AD71" s="624">
        <v>123</v>
      </c>
      <c r="AE71" s="625">
        <v>120</v>
      </c>
      <c r="AF71" s="1452">
        <v>134</v>
      </c>
      <c r="AG71" s="1490">
        <v>114</v>
      </c>
      <c r="AH71" s="1443">
        <f t="shared" si="181"/>
        <v>491</v>
      </c>
      <c r="AI71" s="624">
        <v>120</v>
      </c>
      <c r="AJ71" s="625">
        <v>109</v>
      </c>
      <c r="AK71" s="1452">
        <v>122</v>
      </c>
      <c r="AL71" s="2104">
        <f t="shared" si="182"/>
        <v>118</v>
      </c>
      <c r="AM71" s="1437">
        <v>469</v>
      </c>
      <c r="AN71" s="624">
        <v>100</v>
      </c>
      <c r="AO71" s="625">
        <v>115</v>
      </c>
      <c r="AP71" s="1452">
        <v>123</v>
      </c>
      <c r="AQ71" s="2104">
        <f t="shared" si="183"/>
        <v>111</v>
      </c>
      <c r="AR71" s="1437">
        <v>449</v>
      </c>
      <c r="AS71" s="624">
        <v>113</v>
      </c>
      <c r="AT71" s="625">
        <v>110</v>
      </c>
      <c r="AU71" s="625">
        <v>120</v>
      </c>
      <c r="AV71" s="2104">
        <f t="shared" si="184"/>
        <v>107</v>
      </c>
      <c r="AW71" s="1437">
        <v>450</v>
      </c>
      <c r="AX71" s="292"/>
      <c r="AY71" s="261"/>
      <c r="AZ71" s="261"/>
      <c r="BA71" s="293"/>
      <c r="BB71" s="228"/>
      <c r="BC71" s="292"/>
      <c r="BD71" s="261"/>
      <c r="BE71" s="261"/>
      <c r="BF71" s="293"/>
      <c r="BG71" s="228"/>
      <c r="BH71" s="292"/>
      <c r="BI71" s="261"/>
      <c r="BJ71" s="261"/>
      <c r="BK71" s="293"/>
      <c r="BL71" s="228"/>
      <c r="BM71" s="292"/>
      <c r="BN71" s="261"/>
      <c r="BO71" s="261"/>
      <c r="BP71" s="293"/>
      <c r="BQ71" s="228"/>
      <c r="BR71" s="330"/>
      <c r="BS71" s="330"/>
      <c r="BT71" s="330"/>
      <c r="BU71" s="330"/>
      <c r="BV71" s="330"/>
      <c r="BW71" s="330"/>
      <c r="BX71" s="330"/>
      <c r="BY71" s="330"/>
      <c r="BZ71" s="330"/>
      <c r="CA71" s="330"/>
      <c r="CB71" s="330"/>
      <c r="CC71" s="330"/>
      <c r="CD71" s="330"/>
      <c r="CE71" s="330"/>
      <c r="CF71" s="330"/>
      <c r="CG71" s="330"/>
      <c r="CH71" s="330"/>
      <c r="CI71" s="330"/>
      <c r="CJ71" s="330"/>
      <c r="CK71" s="330"/>
      <c r="CL71" s="330"/>
      <c r="CM71" s="330"/>
      <c r="CN71" s="330"/>
      <c r="CO71" s="330"/>
      <c r="CP71" s="330"/>
      <c r="CQ71" s="330"/>
      <c r="CR71" s="330"/>
      <c r="CS71" s="330"/>
      <c r="CT71" s="330"/>
      <c r="CU71" s="330"/>
    </row>
    <row r="72" spans="1:99">
      <c r="A72" s="330"/>
      <c r="B72" s="330"/>
      <c r="C72" s="576" t="s">
        <v>718</v>
      </c>
      <c r="D72" s="330"/>
      <c r="E72" s="345"/>
      <c r="F72" s="346"/>
      <c r="G72" s="346"/>
      <c r="H72" s="347"/>
      <c r="I72" s="773"/>
      <c r="J72" s="345"/>
      <c r="K72" s="346"/>
      <c r="L72" s="346"/>
      <c r="M72" s="347"/>
      <c r="N72" s="45"/>
      <c r="O72" s="345"/>
      <c r="P72" s="346"/>
      <c r="Q72" s="346"/>
      <c r="R72" s="347"/>
      <c r="S72" s="45"/>
      <c r="T72" s="624">
        <v>13</v>
      </c>
      <c r="U72" s="625">
        <v>7</v>
      </c>
      <c r="V72" s="625">
        <v>8</v>
      </c>
      <c r="W72" s="1059">
        <v>7</v>
      </c>
      <c r="X72" s="1443">
        <f t="shared" si="179"/>
        <v>35</v>
      </c>
      <c r="Y72" s="624">
        <v>8</v>
      </c>
      <c r="Z72" s="625">
        <v>8</v>
      </c>
      <c r="AA72" s="1452">
        <v>8</v>
      </c>
      <c r="AB72" s="1490">
        <v>8</v>
      </c>
      <c r="AC72" s="1443">
        <f t="shared" si="180"/>
        <v>32</v>
      </c>
      <c r="AD72" s="624">
        <v>8</v>
      </c>
      <c r="AE72" s="625">
        <v>8</v>
      </c>
      <c r="AF72" s="1452">
        <v>8</v>
      </c>
      <c r="AG72" s="1490">
        <v>8</v>
      </c>
      <c r="AH72" s="1443">
        <f t="shared" si="181"/>
        <v>32</v>
      </c>
      <c r="AI72" s="624">
        <v>8</v>
      </c>
      <c r="AJ72" s="625">
        <v>8</v>
      </c>
      <c r="AK72" s="1452">
        <v>9</v>
      </c>
      <c r="AL72" s="2104">
        <f t="shared" si="182"/>
        <v>7</v>
      </c>
      <c r="AM72" s="1437">
        <v>32</v>
      </c>
      <c r="AN72" s="624">
        <v>9</v>
      </c>
      <c r="AO72" s="625">
        <v>9</v>
      </c>
      <c r="AP72" s="1452">
        <v>9</v>
      </c>
      <c r="AQ72" s="2104">
        <f t="shared" si="183"/>
        <v>8</v>
      </c>
      <c r="AR72" s="1437">
        <v>35</v>
      </c>
      <c r="AS72" s="624">
        <v>7</v>
      </c>
      <c r="AT72" s="625">
        <v>8</v>
      </c>
      <c r="AU72" s="625">
        <v>8</v>
      </c>
      <c r="AV72" s="2104">
        <f t="shared" si="184"/>
        <v>8</v>
      </c>
      <c r="AW72" s="1437">
        <v>31</v>
      </c>
      <c r="AX72" s="292"/>
      <c r="AY72" s="261"/>
      <c r="AZ72" s="261"/>
      <c r="BA72" s="293"/>
      <c r="BB72" s="228"/>
      <c r="BC72" s="292"/>
      <c r="BD72" s="261"/>
      <c r="BE72" s="261"/>
      <c r="BF72" s="293"/>
      <c r="BG72" s="228"/>
      <c r="BH72" s="292"/>
      <c r="BI72" s="261"/>
      <c r="BJ72" s="261"/>
      <c r="BK72" s="293"/>
      <c r="BL72" s="228"/>
      <c r="BM72" s="292"/>
      <c r="BN72" s="261"/>
      <c r="BO72" s="261"/>
      <c r="BP72" s="293"/>
      <c r="BQ72" s="228"/>
      <c r="BR72" s="330"/>
      <c r="BS72" s="330"/>
      <c r="BT72" s="330"/>
      <c r="BU72" s="330"/>
      <c r="BV72" s="330"/>
      <c r="BW72" s="330"/>
      <c r="BX72" s="330"/>
      <c r="BY72" s="330"/>
      <c r="BZ72" s="330"/>
      <c r="CA72" s="330"/>
      <c r="CB72" s="330"/>
      <c r="CC72" s="330"/>
      <c r="CD72" s="330"/>
      <c r="CE72" s="330"/>
      <c r="CF72" s="330"/>
      <c r="CG72" s="330"/>
      <c r="CH72" s="330"/>
      <c r="CI72" s="330"/>
      <c r="CJ72" s="330"/>
      <c r="CK72" s="330"/>
      <c r="CL72" s="330"/>
      <c r="CM72" s="330"/>
      <c r="CN72" s="330"/>
      <c r="CO72" s="330"/>
      <c r="CP72" s="330"/>
      <c r="CQ72" s="330"/>
      <c r="CR72" s="330"/>
      <c r="CS72" s="330"/>
      <c r="CT72" s="330"/>
      <c r="CU72" s="330"/>
    </row>
    <row r="73" spans="1:99">
      <c r="A73" s="330"/>
      <c r="B73" s="330"/>
      <c r="C73" s="28" t="s">
        <v>62</v>
      </c>
      <c r="D73" s="330"/>
      <c r="E73" s="345"/>
      <c r="F73" s="346"/>
      <c r="G73" s="346"/>
      <c r="H73" s="347"/>
      <c r="I73" s="773"/>
      <c r="J73" s="345"/>
      <c r="K73" s="346"/>
      <c r="L73" s="346"/>
      <c r="M73" s="347"/>
      <c r="N73" s="774"/>
      <c r="O73" s="345"/>
      <c r="P73" s="346"/>
      <c r="Q73" s="346"/>
      <c r="R73" s="347"/>
      <c r="S73" s="774"/>
      <c r="T73" s="624">
        <v>57</v>
      </c>
      <c r="U73" s="625">
        <v>57</v>
      </c>
      <c r="V73" s="625">
        <v>64</v>
      </c>
      <c r="W73" s="1059">
        <v>62</v>
      </c>
      <c r="X73" s="1443">
        <f t="shared" si="179"/>
        <v>240</v>
      </c>
      <c r="Y73" s="624">
        <v>63</v>
      </c>
      <c r="Z73" s="625">
        <v>61</v>
      </c>
      <c r="AA73" s="1452">
        <v>78</v>
      </c>
      <c r="AB73" s="1490">
        <v>71</v>
      </c>
      <c r="AC73" s="1443">
        <f t="shared" si="180"/>
        <v>273</v>
      </c>
      <c r="AD73" s="624">
        <v>71</v>
      </c>
      <c r="AE73" s="625">
        <v>67</v>
      </c>
      <c r="AF73" s="1452">
        <v>69</v>
      </c>
      <c r="AG73" s="1490">
        <v>71</v>
      </c>
      <c r="AH73" s="1443">
        <f t="shared" si="181"/>
        <v>278</v>
      </c>
      <c r="AI73" s="624">
        <v>60</v>
      </c>
      <c r="AJ73" s="625">
        <v>60</v>
      </c>
      <c r="AK73" s="1452">
        <v>75</v>
      </c>
      <c r="AL73" s="2104">
        <f t="shared" si="182"/>
        <v>72</v>
      </c>
      <c r="AM73" s="1437">
        <v>267</v>
      </c>
      <c r="AN73" s="624">
        <v>70</v>
      </c>
      <c r="AO73" s="625">
        <v>71</v>
      </c>
      <c r="AP73" s="1452">
        <v>78</v>
      </c>
      <c r="AQ73" s="2104">
        <f t="shared" si="183"/>
        <v>75</v>
      </c>
      <c r="AR73" s="1437">
        <v>294</v>
      </c>
      <c r="AS73" s="624">
        <v>70</v>
      </c>
      <c r="AT73" s="625">
        <v>75</v>
      </c>
      <c r="AU73" s="625">
        <v>87</v>
      </c>
      <c r="AV73" s="2104">
        <f t="shared" si="184"/>
        <v>82</v>
      </c>
      <c r="AW73" s="1437">
        <v>314</v>
      </c>
      <c r="AX73" s="292"/>
      <c r="AY73" s="261"/>
      <c r="AZ73" s="261"/>
      <c r="BA73" s="293"/>
      <c r="BB73" s="228"/>
      <c r="BC73" s="292"/>
      <c r="BD73" s="261"/>
      <c r="BE73" s="261"/>
      <c r="BF73" s="293"/>
      <c r="BG73" s="228"/>
      <c r="BH73" s="292"/>
      <c r="BI73" s="261"/>
      <c r="BJ73" s="261"/>
      <c r="BK73" s="293"/>
      <c r="BL73" s="228"/>
      <c r="BM73" s="292"/>
      <c r="BN73" s="261"/>
      <c r="BO73" s="261"/>
      <c r="BP73" s="293"/>
      <c r="BQ73" s="228"/>
      <c r="BR73" s="330"/>
      <c r="BS73" s="330"/>
      <c r="BT73" s="330"/>
      <c r="BU73" s="330"/>
      <c r="BV73" s="330"/>
      <c r="BW73" s="330"/>
      <c r="BX73" s="330"/>
      <c r="BY73" s="330"/>
      <c r="BZ73" s="330"/>
      <c r="CA73" s="330"/>
      <c r="CB73" s="330"/>
      <c r="CC73" s="330"/>
      <c r="CD73" s="330"/>
      <c r="CE73" s="330"/>
      <c r="CF73" s="330"/>
      <c r="CG73" s="330"/>
      <c r="CH73" s="330"/>
      <c r="CI73" s="330"/>
      <c r="CJ73" s="330"/>
      <c r="CK73" s="330"/>
      <c r="CL73" s="330"/>
      <c r="CM73" s="330"/>
      <c r="CN73" s="330"/>
      <c r="CO73" s="330"/>
      <c r="CP73" s="330"/>
      <c r="CQ73" s="330"/>
      <c r="CR73" s="330"/>
      <c r="CS73" s="330"/>
      <c r="CT73" s="330"/>
      <c r="CU73" s="330"/>
    </row>
    <row r="74" spans="1:99" s="34" customFormat="1">
      <c r="A74" s="228"/>
      <c r="B74" s="228"/>
      <c r="C74" s="32" t="s">
        <v>129</v>
      </c>
      <c r="D74" s="228"/>
      <c r="E74" s="585">
        <v>806.8</v>
      </c>
      <c r="F74" s="343">
        <v>655.7</v>
      </c>
      <c r="G74" s="343">
        <v>788.3</v>
      </c>
      <c r="H74" s="293">
        <f>+I74-SUM(E74:G74)</f>
        <v>569.89999999999964</v>
      </c>
      <c r="I74" s="344">
        <v>2820.7</v>
      </c>
      <c r="J74" s="585">
        <v>751.3</v>
      </c>
      <c r="K74" s="343">
        <v>651.1</v>
      </c>
      <c r="L74" s="343">
        <v>776.4</v>
      </c>
      <c r="M74" s="293">
        <f>+N74-SUM(J74:L74)</f>
        <v>573.5</v>
      </c>
      <c r="N74" s="344">
        <v>2752.3</v>
      </c>
      <c r="O74" s="585">
        <v>650.20000000000005</v>
      </c>
      <c r="P74" s="343">
        <v>547.1</v>
      </c>
      <c r="Q74" s="343">
        <v>638.9</v>
      </c>
      <c r="R74" s="293">
        <f>+S74-SUM(O74:Q74)</f>
        <v>485.19999999999982</v>
      </c>
      <c r="S74" s="344">
        <v>2321.4</v>
      </c>
      <c r="T74" s="292">
        <f>SUM(T69:T73)</f>
        <v>489</v>
      </c>
      <c r="U74" s="261">
        <f>SUM(U69:U73)</f>
        <v>518</v>
      </c>
      <c r="V74" s="261">
        <f>SUM(V69:V73)</f>
        <v>648</v>
      </c>
      <c r="W74" s="261">
        <f>SUM(W69:W73)</f>
        <v>528</v>
      </c>
      <c r="X74" s="348">
        <f>SUM(T74:W74)</f>
        <v>2183</v>
      </c>
      <c r="Y74" s="350">
        <f>SUM(Y69:Y73)</f>
        <v>605</v>
      </c>
      <c r="Z74" s="351">
        <f>SUM(Z69:Z73)</f>
        <v>543</v>
      </c>
      <c r="AA74" s="351">
        <f>SUM(AA69:AA73)</f>
        <v>664</v>
      </c>
      <c r="AB74" s="352">
        <f>SUM(AB69:AB73)</f>
        <v>592</v>
      </c>
      <c r="AC74" s="348">
        <f>SUM(Y74:AB74)</f>
        <v>2404</v>
      </c>
      <c r="AD74" s="350">
        <f>SUM(AD69:AD73)</f>
        <v>709</v>
      </c>
      <c r="AE74" s="351">
        <f>SUM(AE69:AE73)</f>
        <v>552</v>
      </c>
      <c r="AF74" s="351">
        <f>SUM(AF69:AF73)</f>
        <v>631</v>
      </c>
      <c r="AG74" s="352">
        <f>SUM(AG69:AG73)</f>
        <v>583</v>
      </c>
      <c r="AH74" s="348">
        <f>SUM(AD74:AG74)</f>
        <v>2475</v>
      </c>
      <c r="AI74" s="350">
        <f>SUM(AI69:AI73)</f>
        <v>713</v>
      </c>
      <c r="AJ74" s="351">
        <f>SUM(AJ69:AJ73)</f>
        <v>541</v>
      </c>
      <c r="AK74" s="351">
        <f>SUM(AK69:AK73)</f>
        <v>655</v>
      </c>
      <c r="AL74" s="352">
        <f t="shared" ref="AL74:AM74" si="185">SUM(AL69:AL73)</f>
        <v>581</v>
      </c>
      <c r="AM74" s="348">
        <f t="shared" si="185"/>
        <v>2490</v>
      </c>
      <c r="AN74" s="350">
        <f>SUM(AN69:AN73)</f>
        <v>680</v>
      </c>
      <c r="AO74" s="351">
        <f>SUM(AO69:AO73)</f>
        <v>584</v>
      </c>
      <c r="AP74" s="351">
        <f>SUM(AP69:AP73)</f>
        <v>735</v>
      </c>
      <c r="AQ74" s="352">
        <f t="shared" ref="AQ74:AR74" si="186">SUM(AQ69:AQ73)</f>
        <v>610</v>
      </c>
      <c r="AR74" s="348">
        <f t="shared" si="186"/>
        <v>2609</v>
      </c>
      <c r="AS74" s="350">
        <f>SUM(AS69:AS73)</f>
        <v>667</v>
      </c>
      <c r="AT74" s="351">
        <f>SUM(AT69:AT73)</f>
        <v>571</v>
      </c>
      <c r="AU74" s="351">
        <f>SUM(AU69:AU73)</f>
        <v>658</v>
      </c>
      <c r="AV74" s="352">
        <f t="shared" ref="AV74:AW74" si="187">SUM(AV69:AV73)</f>
        <v>593</v>
      </c>
      <c r="AW74" s="348">
        <f t="shared" si="187"/>
        <v>2489</v>
      </c>
      <c r="AX74" s="292">
        <f>AX81*AX85/1000</f>
        <v>665.85618298206703</v>
      </c>
      <c r="AY74" s="261">
        <f>AY81*AY85/1000</f>
        <v>591.39727480417753</v>
      </c>
      <c r="AZ74" s="261">
        <f>AZ81*AZ85/1000</f>
        <v>653.66570845697333</v>
      </c>
      <c r="BA74" s="293">
        <f>BA81*BA85/1000</f>
        <v>580.18032053168542</v>
      </c>
      <c r="BB74" s="228">
        <f>SUM(AX74:BA74)</f>
        <v>2491.0994867749032</v>
      </c>
      <c r="BC74" s="292">
        <f>BC81*BC85/1000</f>
        <v>671.76243298206703</v>
      </c>
      <c r="BD74" s="261">
        <f>BD81*BD85/1000</f>
        <v>597.30352480417753</v>
      </c>
      <c r="BE74" s="261">
        <f>BE81*BE85/1000</f>
        <v>682.07195845697333</v>
      </c>
      <c r="BF74" s="293">
        <f>BF81*BF85/1000</f>
        <v>608.58657053168542</v>
      </c>
      <c r="BG74" s="228">
        <f>SUM(BC74:BF74)</f>
        <v>2559.7244867749032</v>
      </c>
      <c r="BH74" s="292">
        <f>BH81*BH85/1000</f>
        <v>699.51243298206703</v>
      </c>
      <c r="BI74" s="261">
        <f>BI81*BI85/1000</f>
        <v>625.05352480417741</v>
      </c>
      <c r="BJ74" s="261">
        <f>BJ81*BJ85/1000</f>
        <v>693.57195845697345</v>
      </c>
      <c r="BK74" s="293">
        <f>BK81*BK85/1000</f>
        <v>620.08657053168542</v>
      </c>
      <c r="BL74" s="228">
        <f>SUM(BH74:BK74)</f>
        <v>2638.2244867749032</v>
      </c>
      <c r="BM74" s="292">
        <f>BM81*BM85/1000</f>
        <v>711.01243298206691</v>
      </c>
      <c r="BN74" s="261">
        <f>BN81*BN85/1000</f>
        <v>636.55352480417753</v>
      </c>
      <c r="BO74" s="261">
        <f>BO81*BO85/1000</f>
        <v>712.57195845697345</v>
      </c>
      <c r="BP74" s="293">
        <f>BP81*BP85/1000</f>
        <v>639.08657053168554</v>
      </c>
      <c r="BQ74" s="228">
        <f>SUM(BM74:BP74)</f>
        <v>2699.2244867749032</v>
      </c>
      <c r="BR74" s="228"/>
      <c r="BS74" s="228"/>
      <c r="BT74" s="228"/>
      <c r="BU74" s="228"/>
      <c r="BV74" s="228"/>
      <c r="BW74" s="228"/>
      <c r="BX74" s="228"/>
      <c r="BY74" s="228"/>
      <c r="BZ74" s="228"/>
      <c r="CA74" s="228"/>
      <c r="CB74" s="228"/>
      <c r="CC74" s="228"/>
      <c r="CD74" s="228"/>
      <c r="CE74" s="228"/>
      <c r="CF74" s="228"/>
      <c r="CG74" s="228"/>
      <c r="CH74" s="228"/>
      <c r="CI74" s="228"/>
      <c r="CJ74" s="228"/>
      <c r="CK74" s="228"/>
      <c r="CL74" s="228"/>
      <c r="CM74" s="228"/>
      <c r="CN74" s="228"/>
      <c r="CO74" s="228"/>
      <c r="CP74" s="228"/>
      <c r="CQ74" s="228"/>
      <c r="CR74" s="228"/>
      <c r="CS74" s="228"/>
      <c r="CT74" s="228"/>
      <c r="CU74" s="228"/>
    </row>
    <row r="75" spans="1:99">
      <c r="A75" s="330"/>
      <c r="B75" s="330"/>
      <c r="C75" s="228"/>
      <c r="D75" s="330"/>
      <c r="E75" s="292"/>
      <c r="F75" s="261"/>
      <c r="G75" s="261"/>
      <c r="H75" s="293"/>
      <c r="I75" s="228"/>
      <c r="J75" s="292"/>
      <c r="K75" s="261"/>
      <c r="L75" s="261"/>
      <c r="M75" s="293"/>
      <c r="N75" s="228"/>
      <c r="O75" s="292"/>
      <c r="P75" s="261"/>
      <c r="Q75" s="261"/>
      <c r="R75" s="293"/>
      <c r="S75" s="228"/>
      <c r="T75" s="292"/>
      <c r="U75" s="261"/>
      <c r="V75" s="261"/>
      <c r="W75" s="293"/>
      <c r="X75" s="228"/>
      <c r="Y75" s="292"/>
      <c r="Z75" s="261"/>
      <c r="AA75" s="1438"/>
      <c r="AB75" s="1439"/>
      <c r="AC75" s="1440"/>
      <c r="AD75" s="292"/>
      <c r="AE75" s="261"/>
      <c r="AF75" s="1438"/>
      <c r="AG75" s="293"/>
      <c r="AH75" s="228"/>
      <c r="AI75" s="292"/>
      <c r="AJ75" s="261"/>
      <c r="AK75" s="1438"/>
      <c r="AL75" s="293"/>
      <c r="AM75" s="228"/>
      <c r="AN75" s="292"/>
      <c r="AO75" s="261"/>
      <c r="AP75" s="261"/>
      <c r="AQ75" s="293"/>
      <c r="AR75" s="228"/>
      <c r="AS75" s="292"/>
      <c r="AT75" s="261"/>
      <c r="AU75" s="261"/>
      <c r="AV75" s="293"/>
      <c r="AW75" s="228"/>
      <c r="AX75" s="292"/>
      <c r="AY75" s="261"/>
      <c r="AZ75" s="261"/>
      <c r="BA75" s="293"/>
      <c r="BB75" s="228"/>
      <c r="BC75" s="292"/>
      <c r="BD75" s="261"/>
      <c r="BE75" s="261"/>
      <c r="BF75" s="293"/>
      <c r="BG75" s="228"/>
      <c r="BH75" s="292"/>
      <c r="BI75" s="261"/>
      <c r="BJ75" s="261"/>
      <c r="BK75" s="293"/>
      <c r="BL75" s="228"/>
      <c r="BM75" s="292"/>
      <c r="BN75" s="261"/>
      <c r="BO75" s="261"/>
      <c r="BP75" s="293"/>
      <c r="BQ75" s="228"/>
      <c r="BR75" s="330"/>
      <c r="BS75" s="330"/>
      <c r="BT75" s="330"/>
      <c r="BU75" s="330"/>
      <c r="BV75" s="330"/>
      <c r="BW75" s="330"/>
      <c r="BX75" s="330"/>
      <c r="BY75" s="330"/>
      <c r="BZ75" s="330"/>
      <c r="CA75" s="330"/>
      <c r="CB75" s="330"/>
      <c r="CC75" s="330"/>
      <c r="CD75" s="330"/>
      <c r="CE75" s="330"/>
      <c r="CF75" s="330"/>
      <c r="CG75" s="330"/>
      <c r="CH75" s="330"/>
      <c r="CI75" s="330"/>
      <c r="CJ75" s="330"/>
      <c r="CK75" s="330"/>
      <c r="CL75" s="330"/>
      <c r="CM75" s="330"/>
      <c r="CN75" s="330"/>
      <c r="CO75" s="330"/>
      <c r="CP75" s="330"/>
      <c r="CQ75" s="330"/>
      <c r="CR75" s="330"/>
      <c r="CS75" s="330"/>
      <c r="CT75" s="330"/>
      <c r="CU75" s="330"/>
    </row>
    <row r="76" spans="1:99">
      <c r="A76" s="330"/>
      <c r="B76" s="330"/>
      <c r="C76" s="32" t="s">
        <v>130</v>
      </c>
      <c r="D76" s="330"/>
      <c r="E76" s="292"/>
      <c r="F76" s="261"/>
      <c r="G76" s="261"/>
      <c r="H76" s="293"/>
      <c r="I76" s="228"/>
      <c r="J76" s="292"/>
      <c r="K76" s="261"/>
      <c r="L76" s="261"/>
      <c r="M76" s="293"/>
      <c r="N76" s="228"/>
      <c r="O76" s="292"/>
      <c r="P76" s="261"/>
      <c r="Q76" s="261"/>
      <c r="R76" s="293"/>
      <c r="S76" s="228"/>
      <c r="T76" s="292"/>
      <c r="U76" s="261"/>
      <c r="V76" s="625"/>
      <c r="W76" s="293"/>
      <c r="X76" s="228"/>
      <c r="Y76" s="292"/>
      <c r="Z76" s="261"/>
      <c r="AA76" s="1452"/>
      <c r="AB76" s="1439"/>
      <c r="AC76" s="1440"/>
      <c r="AD76" s="292"/>
      <c r="AE76" s="261"/>
      <c r="AF76" s="1452"/>
      <c r="AG76" s="293"/>
      <c r="AH76" s="228"/>
      <c r="AI76" s="292"/>
      <c r="AJ76" s="261"/>
      <c r="AK76" s="1452"/>
      <c r="AL76" s="293"/>
      <c r="AM76" s="228"/>
      <c r="AN76" s="292"/>
      <c r="AO76" s="261"/>
      <c r="AP76" s="261"/>
      <c r="AQ76" s="293"/>
      <c r="AR76" s="228"/>
      <c r="AS76" s="292"/>
      <c r="AT76" s="261"/>
      <c r="AU76" s="261"/>
      <c r="AV76" s="293"/>
      <c r="AW76" s="228"/>
      <c r="AX76" s="292"/>
      <c r="AY76" s="261"/>
      <c r="AZ76" s="261"/>
      <c r="BA76" s="293"/>
      <c r="BB76" s="228"/>
      <c r="BC76" s="292"/>
      <c r="BD76" s="261"/>
      <c r="BE76" s="261"/>
      <c r="BF76" s="293"/>
      <c r="BG76" s="228"/>
      <c r="BH76" s="292"/>
      <c r="BI76" s="261"/>
      <c r="BJ76" s="261"/>
      <c r="BK76" s="293"/>
      <c r="BL76" s="228"/>
      <c r="BM76" s="292"/>
      <c r="BN76" s="261"/>
      <c r="BO76" s="261"/>
      <c r="BP76" s="293"/>
      <c r="BQ76" s="228"/>
      <c r="BR76" s="330"/>
      <c r="BS76" s="330"/>
      <c r="BT76" s="330"/>
      <c r="BU76" s="330"/>
      <c r="BV76" s="330"/>
      <c r="BW76" s="330"/>
      <c r="BX76" s="330"/>
      <c r="BY76" s="330"/>
      <c r="BZ76" s="330"/>
      <c r="CA76" s="330"/>
      <c r="CB76" s="330"/>
      <c r="CC76" s="330"/>
      <c r="CD76" s="330"/>
      <c r="CE76" s="330"/>
      <c r="CF76" s="330"/>
      <c r="CG76" s="330"/>
      <c r="CH76" s="330"/>
      <c r="CI76" s="330"/>
      <c r="CJ76" s="330"/>
      <c r="CK76" s="330"/>
      <c r="CL76" s="330"/>
      <c r="CM76" s="330"/>
      <c r="CN76" s="330"/>
      <c r="CO76" s="330"/>
      <c r="CP76" s="330"/>
      <c r="CQ76" s="330"/>
      <c r="CR76" s="330"/>
      <c r="CS76" s="330"/>
      <c r="CT76" s="330"/>
      <c r="CU76" s="330"/>
    </row>
    <row r="77" spans="1:99">
      <c r="A77" s="330"/>
      <c r="B77" s="330"/>
      <c r="C77" s="576" t="s">
        <v>406</v>
      </c>
      <c r="D77" s="330"/>
      <c r="E77" s="624"/>
      <c r="F77" s="625"/>
      <c r="G77" s="625"/>
      <c r="H77" s="347"/>
      <c r="I77" s="626"/>
      <c r="J77" s="624"/>
      <c r="K77" s="625"/>
      <c r="L77" s="625"/>
      <c r="M77" s="347"/>
      <c r="N77" s="626"/>
      <c r="O77" s="624"/>
      <c r="P77" s="625"/>
      <c r="Q77" s="625"/>
      <c r="R77" s="347"/>
      <c r="S77" s="626"/>
      <c r="T77" s="624">
        <v>3201</v>
      </c>
      <c r="U77" s="625">
        <v>2663</v>
      </c>
      <c r="V77" s="625">
        <v>3829</v>
      </c>
      <c r="W77" s="1059">
        <v>3026</v>
      </c>
      <c r="X77" s="1443">
        <f t="shared" ref="X77:X80" si="188">SUM(T77:W77)</f>
        <v>12719</v>
      </c>
      <c r="Y77" s="624">
        <v>3537</v>
      </c>
      <c r="Z77" s="625">
        <v>2757</v>
      </c>
      <c r="AA77" s="1452">
        <v>3557</v>
      </c>
      <c r="AB77" s="1490">
        <v>3227</v>
      </c>
      <c r="AC77" s="1443">
        <f t="shared" ref="AC77:AC80" si="189">SUM(Y77:AB77)</f>
        <v>13078</v>
      </c>
      <c r="AD77" s="624">
        <v>4092</v>
      </c>
      <c r="AE77" s="625">
        <v>2639</v>
      </c>
      <c r="AF77" s="1452">
        <v>3291</v>
      </c>
      <c r="AG77" s="1490">
        <v>2952</v>
      </c>
      <c r="AH77" s="1443">
        <f t="shared" ref="AH77:AH80" si="190">SUM(AD77:AG77)</f>
        <v>12974</v>
      </c>
      <c r="AI77" s="624">
        <v>4173</v>
      </c>
      <c r="AJ77" s="625">
        <v>2635</v>
      </c>
      <c r="AK77" s="1452">
        <v>3458</v>
      </c>
      <c r="AL77" s="2104">
        <f t="shared" ref="AL77:AL80" si="191">AM77-AI77-AJ77-AK77</f>
        <v>2332</v>
      </c>
      <c r="AM77" s="1437">
        <v>12598</v>
      </c>
      <c r="AN77" s="624">
        <v>3479</v>
      </c>
      <c r="AO77" s="625">
        <v>2616</v>
      </c>
      <c r="AP77" s="1452">
        <v>3900</v>
      </c>
      <c r="AQ77" s="2104">
        <f t="shared" ref="AQ77:AQ80" si="192">AR77-AN77-AO77-AP77</f>
        <v>2745</v>
      </c>
      <c r="AR77" s="1437">
        <v>12740</v>
      </c>
      <c r="AS77" s="624">
        <v>3127</v>
      </c>
      <c r="AT77" s="625">
        <v>2629</v>
      </c>
      <c r="AU77" s="625">
        <v>3370</v>
      </c>
      <c r="AV77" s="2104">
        <f t="shared" ref="AV77:AV80" si="193">AW77-AS77-AT77-AU77</f>
        <v>2968</v>
      </c>
      <c r="AW77" s="1437">
        <v>12094</v>
      </c>
      <c r="AX77" s="292"/>
      <c r="AY77" s="261"/>
      <c r="AZ77" s="261"/>
      <c r="BA77" s="293"/>
      <c r="BB77" s="228"/>
      <c r="BC77" s="292"/>
      <c r="BD77" s="261"/>
      <c r="BE77" s="261"/>
      <c r="BF77" s="293"/>
      <c r="BG77" s="228"/>
      <c r="BH77" s="292"/>
      <c r="BI77" s="261"/>
      <c r="BJ77" s="261"/>
      <c r="BK77" s="293"/>
      <c r="BL77" s="228"/>
      <c r="BM77" s="292"/>
      <c r="BN77" s="261"/>
      <c r="BO77" s="261"/>
      <c r="BP77" s="293"/>
      <c r="BQ77" s="228"/>
      <c r="BR77" s="330"/>
      <c r="BS77" s="330"/>
      <c r="BT77" s="330"/>
      <c r="BU77" s="330"/>
      <c r="BV77" s="330"/>
      <c r="BW77" s="330"/>
      <c r="BX77" s="330"/>
      <c r="BY77" s="330"/>
      <c r="BZ77" s="330"/>
      <c r="CA77" s="330"/>
      <c r="CB77" s="330"/>
      <c r="CC77" s="330"/>
      <c r="CD77" s="330"/>
      <c r="CE77" s="330"/>
      <c r="CF77" s="330"/>
      <c r="CG77" s="330"/>
      <c r="CH77" s="330"/>
      <c r="CI77" s="330"/>
      <c r="CJ77" s="330"/>
      <c r="CK77" s="330"/>
      <c r="CL77" s="330"/>
      <c r="CM77" s="330"/>
      <c r="CN77" s="330"/>
      <c r="CO77" s="330"/>
      <c r="CP77" s="330"/>
      <c r="CQ77" s="330"/>
      <c r="CR77" s="330"/>
      <c r="CS77" s="330"/>
      <c r="CT77" s="330"/>
      <c r="CU77" s="330"/>
    </row>
    <row r="78" spans="1:99">
      <c r="A78" s="330"/>
      <c r="B78" s="330"/>
      <c r="C78" s="576" t="s">
        <v>716</v>
      </c>
      <c r="D78" s="330"/>
      <c r="E78" s="624"/>
      <c r="F78" s="625"/>
      <c r="G78" s="625"/>
      <c r="H78" s="347"/>
      <c r="I78" s="626"/>
      <c r="J78" s="624"/>
      <c r="K78" s="625"/>
      <c r="L78" s="625"/>
      <c r="M78" s="347"/>
      <c r="N78" s="626"/>
      <c r="O78" s="624"/>
      <c r="P78" s="625"/>
      <c r="Q78" s="625"/>
      <c r="R78" s="347"/>
      <c r="S78" s="626"/>
      <c r="T78" s="624">
        <v>711</v>
      </c>
      <c r="U78" s="625">
        <v>4035</v>
      </c>
      <c r="V78" s="625">
        <v>4458</v>
      </c>
      <c r="W78" s="1059">
        <v>3686</v>
      </c>
      <c r="X78" s="1443">
        <f t="shared" si="188"/>
        <v>12890</v>
      </c>
      <c r="Y78" s="624">
        <v>3980</v>
      </c>
      <c r="Z78" s="625">
        <v>716</v>
      </c>
      <c r="AA78" s="1452">
        <v>808</v>
      </c>
      <c r="AB78" s="1490">
        <v>735</v>
      </c>
      <c r="AC78" s="1443">
        <f t="shared" si="189"/>
        <v>6239</v>
      </c>
      <c r="AD78" s="624">
        <v>834</v>
      </c>
      <c r="AE78" s="625">
        <v>704</v>
      </c>
      <c r="AF78" s="1452">
        <v>805</v>
      </c>
      <c r="AG78" s="1490">
        <v>743</v>
      </c>
      <c r="AH78" s="1443">
        <f t="shared" si="190"/>
        <v>3086</v>
      </c>
      <c r="AI78" s="624">
        <v>845</v>
      </c>
      <c r="AJ78" s="625">
        <v>780</v>
      </c>
      <c r="AK78" s="1452">
        <v>788</v>
      </c>
      <c r="AL78" s="2104">
        <f t="shared" si="191"/>
        <v>706</v>
      </c>
      <c r="AM78" s="1437">
        <v>3119</v>
      </c>
      <c r="AN78" s="624">
        <v>774</v>
      </c>
      <c r="AO78" s="625">
        <v>692</v>
      </c>
      <c r="AP78" s="1452">
        <v>877</v>
      </c>
      <c r="AQ78" s="2104">
        <f t="shared" si="192"/>
        <v>697</v>
      </c>
      <c r="AR78" s="1437">
        <v>3040</v>
      </c>
      <c r="AS78" s="624">
        <v>748</v>
      </c>
      <c r="AT78" s="625">
        <v>677</v>
      </c>
      <c r="AU78" s="625">
        <v>785</v>
      </c>
      <c r="AV78" s="2104">
        <f t="shared" si="193"/>
        <v>711</v>
      </c>
      <c r="AW78" s="1437">
        <v>2921</v>
      </c>
      <c r="AX78" s="292"/>
      <c r="AY78" s="261"/>
      <c r="AZ78" s="261"/>
      <c r="BA78" s="293"/>
      <c r="BB78" s="228"/>
      <c r="BC78" s="292"/>
      <c r="BD78" s="261"/>
      <c r="BE78" s="261"/>
      <c r="BF78" s="293"/>
      <c r="BG78" s="228"/>
      <c r="BH78" s="292"/>
      <c r="BI78" s="261"/>
      <c r="BJ78" s="261"/>
      <c r="BK78" s="293"/>
      <c r="BL78" s="228"/>
      <c r="BM78" s="292"/>
      <c r="BN78" s="261"/>
      <c r="BO78" s="261"/>
      <c r="BP78" s="293"/>
      <c r="BQ78" s="228"/>
      <c r="BR78" s="330"/>
      <c r="BS78" s="330"/>
      <c r="BT78" s="330"/>
      <c r="BU78" s="330"/>
      <c r="BV78" s="330"/>
      <c r="BW78" s="330"/>
      <c r="BX78" s="330"/>
      <c r="BY78" s="330"/>
      <c r="BZ78" s="330"/>
      <c r="CA78" s="330"/>
      <c r="CB78" s="330"/>
      <c r="CC78" s="330"/>
      <c r="CD78" s="330"/>
      <c r="CE78" s="330"/>
      <c r="CF78" s="330"/>
      <c r="CG78" s="330"/>
      <c r="CH78" s="330"/>
      <c r="CI78" s="330"/>
      <c r="CJ78" s="330"/>
      <c r="CK78" s="330"/>
      <c r="CL78" s="330"/>
      <c r="CM78" s="330"/>
      <c r="CN78" s="330"/>
      <c r="CO78" s="330"/>
      <c r="CP78" s="330"/>
      <c r="CQ78" s="330"/>
      <c r="CR78" s="330"/>
      <c r="CS78" s="330"/>
      <c r="CT78" s="330"/>
      <c r="CU78" s="330"/>
    </row>
    <row r="79" spans="1:99">
      <c r="A79" s="330"/>
      <c r="B79" s="330"/>
      <c r="C79" s="576" t="s">
        <v>717</v>
      </c>
      <c r="D79" s="330"/>
      <c r="E79" s="624"/>
      <c r="F79" s="625"/>
      <c r="G79" s="625"/>
      <c r="H79" s="347"/>
      <c r="I79" s="626"/>
      <c r="J79" s="624"/>
      <c r="K79" s="625"/>
      <c r="L79" s="625"/>
      <c r="M79" s="347"/>
      <c r="N79" s="626"/>
      <c r="O79" s="624"/>
      <c r="P79" s="625"/>
      <c r="Q79" s="625"/>
      <c r="R79" s="347"/>
      <c r="S79" s="626"/>
      <c r="T79" s="624">
        <v>3639</v>
      </c>
      <c r="U79" s="625">
        <v>637</v>
      </c>
      <c r="V79" s="625">
        <v>462</v>
      </c>
      <c r="W79" s="1059">
        <v>365</v>
      </c>
      <c r="X79" s="1443">
        <f t="shared" si="188"/>
        <v>5103</v>
      </c>
      <c r="Y79" s="624">
        <v>349</v>
      </c>
      <c r="Z79" s="625">
        <v>3610</v>
      </c>
      <c r="AA79" s="1452">
        <v>3882</v>
      </c>
      <c r="AB79" s="1490">
        <v>3293</v>
      </c>
      <c r="AC79" s="1443">
        <f t="shared" si="189"/>
        <v>11134</v>
      </c>
      <c r="AD79" s="624">
        <v>3470</v>
      </c>
      <c r="AE79" s="625">
        <v>3593</v>
      </c>
      <c r="AF79" s="1452">
        <v>3818</v>
      </c>
      <c r="AG79" s="1490">
        <v>3311</v>
      </c>
      <c r="AH79" s="1443">
        <f t="shared" si="190"/>
        <v>14192</v>
      </c>
      <c r="AI79" s="624">
        <v>3439</v>
      </c>
      <c r="AJ79" s="625">
        <v>3467</v>
      </c>
      <c r="AK79" s="1452">
        <v>3829</v>
      </c>
      <c r="AL79" s="2104">
        <f t="shared" si="191"/>
        <v>3558</v>
      </c>
      <c r="AM79" s="1437">
        <v>14293</v>
      </c>
      <c r="AN79" s="624">
        <v>3219</v>
      </c>
      <c r="AO79" s="625">
        <v>3417</v>
      </c>
      <c r="AP79" s="1452">
        <v>3992</v>
      </c>
      <c r="AQ79" s="2104">
        <f t="shared" si="192"/>
        <v>3329</v>
      </c>
      <c r="AR79" s="1437">
        <v>13957</v>
      </c>
      <c r="AS79" s="624">
        <v>3268</v>
      </c>
      <c r="AT79" s="625">
        <v>3373</v>
      </c>
      <c r="AU79" s="625">
        <v>3781</v>
      </c>
      <c r="AV79" s="2104">
        <f t="shared" si="193"/>
        <v>3266</v>
      </c>
      <c r="AW79" s="1437">
        <v>13688</v>
      </c>
      <c r="AX79" s="292"/>
      <c r="AY79" s="261"/>
      <c r="AZ79" s="261"/>
      <c r="BA79" s="293"/>
      <c r="BB79" s="228"/>
      <c r="BC79" s="292"/>
      <c r="BD79" s="261"/>
      <c r="BE79" s="261"/>
      <c r="BF79" s="293"/>
      <c r="BG79" s="228"/>
      <c r="BH79" s="292"/>
      <c r="BI79" s="261"/>
      <c r="BJ79" s="261"/>
      <c r="BK79" s="293"/>
      <c r="BL79" s="228"/>
      <c r="BM79" s="292"/>
      <c r="BN79" s="261"/>
      <c r="BO79" s="261"/>
      <c r="BP79" s="293"/>
      <c r="BQ79" s="228"/>
      <c r="BR79" s="330"/>
      <c r="BS79" s="330"/>
      <c r="BT79" s="330"/>
      <c r="BU79" s="330"/>
      <c r="BV79" s="330"/>
      <c r="BW79" s="330"/>
      <c r="BX79" s="330"/>
      <c r="BY79" s="330"/>
      <c r="BZ79" s="330"/>
      <c r="CA79" s="330"/>
      <c r="CB79" s="330"/>
      <c r="CC79" s="330"/>
      <c r="CD79" s="330"/>
      <c r="CE79" s="330"/>
      <c r="CF79" s="330"/>
      <c r="CG79" s="330"/>
      <c r="CH79" s="330"/>
      <c r="CI79" s="330"/>
      <c r="CJ79" s="330"/>
      <c r="CK79" s="330"/>
      <c r="CL79" s="330"/>
      <c r="CM79" s="330"/>
      <c r="CN79" s="330"/>
      <c r="CO79" s="330"/>
      <c r="CP79" s="330"/>
      <c r="CQ79" s="330"/>
      <c r="CR79" s="330"/>
      <c r="CS79" s="330"/>
      <c r="CT79" s="330"/>
      <c r="CU79" s="330"/>
    </row>
    <row r="80" spans="1:99">
      <c r="A80" s="330"/>
      <c r="B80" s="330"/>
      <c r="C80" s="576" t="s">
        <v>718</v>
      </c>
      <c r="D80" s="330"/>
      <c r="E80" s="624"/>
      <c r="F80" s="625"/>
      <c r="G80" s="625"/>
      <c r="H80" s="347"/>
      <c r="I80" s="626"/>
      <c r="J80" s="624"/>
      <c r="K80" s="625"/>
      <c r="L80" s="625"/>
      <c r="M80" s="347"/>
      <c r="N80" s="626"/>
      <c r="O80" s="624"/>
      <c r="P80" s="625"/>
      <c r="Q80" s="625"/>
      <c r="R80" s="347"/>
      <c r="S80" s="626"/>
      <c r="T80" s="624">
        <v>106</v>
      </c>
      <c r="U80" s="625">
        <v>48</v>
      </c>
      <c r="V80" s="625">
        <v>47</v>
      </c>
      <c r="W80" s="1059">
        <v>80</v>
      </c>
      <c r="X80" s="1443">
        <f t="shared" si="188"/>
        <v>281</v>
      </c>
      <c r="Y80" s="624">
        <v>82</v>
      </c>
      <c r="Z80" s="625">
        <v>80</v>
      </c>
      <c r="AA80" s="1452">
        <v>78</v>
      </c>
      <c r="AB80" s="1490">
        <v>78</v>
      </c>
      <c r="AC80" s="1443">
        <f t="shared" si="189"/>
        <v>318</v>
      </c>
      <c r="AD80" s="624">
        <v>78</v>
      </c>
      <c r="AE80" s="625">
        <v>79</v>
      </c>
      <c r="AF80" s="1452">
        <v>79</v>
      </c>
      <c r="AG80" s="1490">
        <v>75</v>
      </c>
      <c r="AH80" s="1443">
        <f t="shared" si="190"/>
        <v>311</v>
      </c>
      <c r="AI80" s="624">
        <v>75</v>
      </c>
      <c r="AJ80" s="625">
        <v>74</v>
      </c>
      <c r="AK80" s="1452">
        <v>75</v>
      </c>
      <c r="AL80" s="2104">
        <f t="shared" si="191"/>
        <v>70</v>
      </c>
      <c r="AM80" s="1437">
        <v>294</v>
      </c>
      <c r="AN80" s="624">
        <v>71</v>
      </c>
      <c r="AO80" s="625">
        <v>72</v>
      </c>
      <c r="AP80" s="1452">
        <v>72</v>
      </c>
      <c r="AQ80" s="2104">
        <f t="shared" si="192"/>
        <v>68</v>
      </c>
      <c r="AR80" s="1437">
        <v>283</v>
      </c>
      <c r="AS80" s="624">
        <v>68</v>
      </c>
      <c r="AT80" s="625">
        <v>72</v>
      </c>
      <c r="AU80" s="625">
        <v>64</v>
      </c>
      <c r="AV80" s="2104">
        <f t="shared" si="193"/>
        <v>64</v>
      </c>
      <c r="AW80" s="1437">
        <v>268</v>
      </c>
      <c r="AX80" s="292"/>
      <c r="AY80" s="261"/>
      <c r="AZ80" s="261"/>
      <c r="BA80" s="293"/>
      <c r="BB80" s="228"/>
      <c r="BC80" s="292"/>
      <c r="BD80" s="261"/>
      <c r="BE80" s="261"/>
      <c r="BF80" s="293"/>
      <c r="BG80" s="228"/>
      <c r="BH80" s="292"/>
      <c r="BI80" s="261"/>
      <c r="BJ80" s="261"/>
      <c r="BK80" s="293"/>
      <c r="BL80" s="228"/>
      <c r="BM80" s="292"/>
      <c r="BN80" s="261"/>
      <c r="BO80" s="261"/>
      <c r="BP80" s="293"/>
      <c r="BQ80" s="228"/>
      <c r="BR80" s="330"/>
      <c r="BS80" s="330"/>
      <c r="BT80" s="330"/>
      <c r="BU80" s="330"/>
      <c r="BV80" s="330"/>
      <c r="BW80" s="330"/>
      <c r="BX80" s="330"/>
      <c r="BY80" s="330"/>
      <c r="BZ80" s="330"/>
      <c r="CA80" s="330"/>
      <c r="CB80" s="330"/>
      <c r="CC80" s="330"/>
      <c r="CD80" s="330"/>
      <c r="CE80" s="330"/>
      <c r="CF80" s="330"/>
      <c r="CG80" s="330"/>
      <c r="CH80" s="330"/>
      <c r="CI80" s="330"/>
      <c r="CJ80" s="330"/>
      <c r="CK80" s="330"/>
      <c r="CL80" s="330"/>
      <c r="CM80" s="330"/>
      <c r="CN80" s="330"/>
      <c r="CO80" s="330"/>
      <c r="CP80" s="330"/>
      <c r="CQ80" s="330"/>
      <c r="CR80" s="330"/>
      <c r="CS80" s="330"/>
      <c r="CT80" s="330"/>
      <c r="CU80" s="330"/>
    </row>
    <row r="81" spans="1:99" s="34" customFormat="1">
      <c r="A81" s="228"/>
      <c r="B81" s="228"/>
      <c r="C81" s="32" t="s">
        <v>131</v>
      </c>
      <c r="D81" s="228"/>
      <c r="E81" s="585">
        <v>8222</v>
      </c>
      <c r="F81" s="343">
        <v>7346</v>
      </c>
      <c r="G81" s="343">
        <v>8461</v>
      </c>
      <c r="H81" s="293">
        <f>+I81-SUM(E81:G81)</f>
        <v>7547</v>
      </c>
      <c r="I81" s="344">
        <v>31576</v>
      </c>
      <c r="J81" s="585">
        <v>8266</v>
      </c>
      <c r="K81" s="343">
        <v>7892</v>
      </c>
      <c r="L81" s="343">
        <v>9164</v>
      </c>
      <c r="M81" s="293">
        <f>+N81-SUM(J81:L81)</f>
        <v>7542</v>
      </c>
      <c r="N81" s="344">
        <v>32864</v>
      </c>
      <c r="O81" s="585">
        <v>8083</v>
      </c>
      <c r="P81" s="343">
        <v>7635</v>
      </c>
      <c r="Q81" s="343">
        <v>8893</v>
      </c>
      <c r="R81" s="293">
        <f>+S81-SUM(O81:Q81)</f>
        <v>7198</v>
      </c>
      <c r="S81" s="344">
        <v>31809</v>
      </c>
      <c r="T81" s="292">
        <f>SUM(T77:T80)</f>
        <v>7657</v>
      </c>
      <c r="U81" s="261">
        <f>SUM(U77:U80)</f>
        <v>7383</v>
      </c>
      <c r="V81" s="261">
        <f>SUM(V77:V80)</f>
        <v>8796</v>
      </c>
      <c r="W81" s="261">
        <f>SUM(W77:W80)</f>
        <v>7157</v>
      </c>
      <c r="X81" s="348">
        <f>SUM(T81:W81)</f>
        <v>30993</v>
      </c>
      <c r="Y81" s="350">
        <f>SUM(Y77:Y80)</f>
        <v>7948</v>
      </c>
      <c r="Z81" s="351">
        <f>SUM(Z77:Z80)</f>
        <v>7163</v>
      </c>
      <c r="AA81" s="351">
        <f>SUM(AA77:AA80)</f>
        <v>8325</v>
      </c>
      <c r="AB81" s="352">
        <f>SUM(AB77:AB80)</f>
        <v>7333</v>
      </c>
      <c r="AC81" s="348">
        <f>SUM(Y81:AB81)</f>
        <v>30769</v>
      </c>
      <c r="AD81" s="350">
        <f>SUM(AD77:AD80)</f>
        <v>8474</v>
      </c>
      <c r="AE81" s="351">
        <f>SUM(AE77:AE80)</f>
        <v>7015</v>
      </c>
      <c r="AF81" s="351">
        <f>SUM(AF77:AF80)</f>
        <v>7993</v>
      </c>
      <c r="AG81" s="352">
        <f>SUM(AG77:AG80)</f>
        <v>7081</v>
      </c>
      <c r="AH81" s="348">
        <f>SUM(AD81:AG81)</f>
        <v>30563</v>
      </c>
      <c r="AI81" s="350">
        <f>SUM(AI77:AI80)</f>
        <v>8532</v>
      </c>
      <c r="AJ81" s="351">
        <f>SUM(AJ77:AJ80)</f>
        <v>6956</v>
      </c>
      <c r="AK81" s="351">
        <f>SUM(AK77:AK80)</f>
        <v>8150</v>
      </c>
      <c r="AL81" s="352">
        <f>SUM(AL77:AL80)</f>
        <v>6666</v>
      </c>
      <c r="AM81" s="348">
        <f>SUM(AI81:AL81)</f>
        <v>30304</v>
      </c>
      <c r="AN81" s="350">
        <f>SUM(AN77:AN80)</f>
        <v>7543</v>
      </c>
      <c r="AO81" s="351">
        <f>SUM(AO77:AO80)</f>
        <v>6797</v>
      </c>
      <c r="AP81" s="351">
        <f>SUM(AP77:AP80)</f>
        <v>8841</v>
      </c>
      <c r="AQ81" s="352">
        <f>SUM(AQ77:AQ80)</f>
        <v>6839</v>
      </c>
      <c r="AR81" s="348">
        <f>SUM(AN81:AQ81)</f>
        <v>30020</v>
      </c>
      <c r="AS81" s="350">
        <f>SUM(AS77:AS80)</f>
        <v>7211</v>
      </c>
      <c r="AT81" s="351">
        <f>SUM(AT77:AT80)</f>
        <v>6751</v>
      </c>
      <c r="AU81" s="351">
        <f>SUM(AU77:AU80)</f>
        <v>8000</v>
      </c>
      <c r="AV81" s="352">
        <f>SUM(AV77:AV80)</f>
        <v>7009</v>
      </c>
      <c r="AW81" s="348">
        <f>SUM(AS81:AV81)</f>
        <v>28971</v>
      </c>
      <c r="AX81" s="292">
        <f>+(AS81)*(1+AX49)</f>
        <v>7324.6509058975789</v>
      </c>
      <c r="AY81" s="261">
        <f>+(AT81)*(1+AY49)</f>
        <v>7129.9725848563967</v>
      </c>
      <c r="AZ81" s="261">
        <f>+(AU81)*(1+AZ49)</f>
        <v>8089.0207715133538</v>
      </c>
      <c r="BA81" s="293">
        <f>+(AV81)*(1+BA49)</f>
        <v>6995.2487737885031</v>
      </c>
      <c r="BB81" s="228">
        <f>SUM(AX81:BA81)</f>
        <v>29538.893036055833</v>
      </c>
      <c r="BC81" s="292">
        <f>+(AX81)*(1+BC49)</f>
        <v>7324.6509058975789</v>
      </c>
      <c r="BD81" s="261">
        <f>+(AY81)*(1+BD49)</f>
        <v>7129.9725848563967</v>
      </c>
      <c r="BE81" s="261">
        <f>+(AZ81)*(1+BE49)</f>
        <v>8089.0207715133538</v>
      </c>
      <c r="BF81" s="293">
        <f>+(BA81)*(1+BF49)</f>
        <v>6995.2487737885031</v>
      </c>
      <c r="BG81" s="228">
        <f>SUM(BC81:BF81)</f>
        <v>29538.893036055833</v>
      </c>
      <c r="BH81" s="292">
        <f>+(BC81)*(1+BH49)</f>
        <v>7324.6509058975789</v>
      </c>
      <c r="BI81" s="261">
        <f>+(BD81)*(1+BI49)</f>
        <v>7129.9725848563967</v>
      </c>
      <c r="BJ81" s="261">
        <f>+(BE81)*(1+BJ49)</f>
        <v>8089.0207715133538</v>
      </c>
      <c r="BK81" s="293">
        <f>+(BF81)*(1+BK49)</f>
        <v>6995.2487737885031</v>
      </c>
      <c r="BL81" s="228">
        <f>SUM(BH81:BK81)</f>
        <v>29538.893036055833</v>
      </c>
      <c r="BM81" s="292">
        <f>+(BH81)*(1+BM49)</f>
        <v>7324.6509058975789</v>
      </c>
      <c r="BN81" s="261">
        <f>+(BI81)*(1+BN49)</f>
        <v>7129.9725848563967</v>
      </c>
      <c r="BO81" s="261">
        <f>+(BJ81)*(1+BO49)</f>
        <v>8089.0207715133538</v>
      </c>
      <c r="BP81" s="293">
        <f>+(BK81)*(1+BP49)</f>
        <v>6995.2487737885031</v>
      </c>
      <c r="BQ81" s="228">
        <f>SUM(BM81:BP81)</f>
        <v>29538.893036055833</v>
      </c>
      <c r="BR81" s="228"/>
      <c r="BS81" s="228"/>
      <c r="BT81" s="228"/>
      <c r="BU81" s="228"/>
      <c r="BV81" s="228"/>
      <c r="BW81" s="228"/>
      <c r="BX81" s="228"/>
      <c r="BY81" s="228"/>
      <c r="BZ81" s="228"/>
      <c r="CA81" s="228"/>
      <c r="CB81" s="228"/>
      <c r="CC81" s="228"/>
      <c r="CD81" s="228"/>
      <c r="CE81" s="228"/>
      <c r="CF81" s="228"/>
      <c r="CG81" s="228"/>
      <c r="CH81" s="228"/>
      <c r="CI81" s="228"/>
      <c r="CJ81" s="228"/>
      <c r="CK81" s="228"/>
      <c r="CL81" s="228"/>
      <c r="CM81" s="228"/>
      <c r="CN81" s="228"/>
      <c r="CO81" s="228"/>
      <c r="CP81" s="228"/>
      <c r="CQ81" s="228"/>
      <c r="CR81" s="228"/>
      <c r="CS81" s="228"/>
      <c r="CT81" s="228"/>
      <c r="CU81" s="228"/>
    </row>
    <row r="82" spans="1:99">
      <c r="A82" s="330"/>
      <c r="B82" s="330"/>
      <c r="C82" s="45"/>
      <c r="D82" s="330"/>
      <c r="E82" s="292"/>
      <c r="F82" s="261"/>
      <c r="G82" s="261"/>
      <c r="H82" s="293"/>
      <c r="I82" s="228"/>
      <c r="J82" s="292"/>
      <c r="K82" s="261"/>
      <c r="L82" s="261"/>
      <c r="M82" s="293"/>
      <c r="N82" s="228"/>
      <c r="O82" s="292"/>
      <c r="P82" s="261"/>
      <c r="Q82" s="261"/>
      <c r="R82" s="293"/>
      <c r="S82" s="228"/>
      <c r="T82" s="292"/>
      <c r="U82" s="261"/>
      <c r="V82" s="261"/>
      <c r="W82" s="293"/>
      <c r="X82" s="228"/>
      <c r="Y82" s="292"/>
      <c r="Z82" s="261"/>
      <c r="AA82" s="1438"/>
      <c r="AB82" s="1439"/>
      <c r="AC82" s="1440"/>
      <c r="AD82" s="292"/>
      <c r="AE82" s="261"/>
      <c r="AF82" s="1438"/>
      <c r="AG82" s="1439"/>
      <c r="AH82" s="1440"/>
      <c r="AI82" s="292"/>
      <c r="AJ82" s="261"/>
      <c r="AK82" s="1438"/>
      <c r="AL82" s="1439"/>
      <c r="AM82" s="1440"/>
      <c r="AN82" s="292"/>
      <c r="AO82" s="261"/>
      <c r="AP82" s="1438"/>
      <c r="AQ82" s="1439"/>
      <c r="AR82" s="1440"/>
      <c r="AS82" s="292"/>
      <c r="AT82" s="261"/>
      <c r="AU82" s="261"/>
      <c r="AV82" s="1439"/>
      <c r="AW82" s="1440"/>
      <c r="AX82" s="292"/>
      <c r="AY82" s="261"/>
      <c r="AZ82" s="261"/>
      <c r="BA82" s="293"/>
      <c r="BB82" s="228"/>
      <c r="BC82" s="292"/>
      <c r="BD82" s="261"/>
      <c r="BE82" s="261"/>
      <c r="BF82" s="293"/>
      <c r="BG82" s="228"/>
      <c r="BH82" s="292"/>
      <c r="BI82" s="261"/>
      <c r="BJ82" s="261"/>
      <c r="BK82" s="293"/>
      <c r="BL82" s="228"/>
      <c r="BM82" s="292"/>
      <c r="BN82" s="261"/>
      <c r="BO82" s="261"/>
      <c r="BP82" s="293"/>
      <c r="BQ82" s="228"/>
      <c r="BR82" s="330"/>
      <c r="BS82" s="330"/>
      <c r="BT82" s="330"/>
      <c r="BU82" s="330"/>
      <c r="BV82" s="330"/>
      <c r="BW82" s="330"/>
      <c r="BX82" s="330"/>
      <c r="BY82" s="330"/>
      <c r="BZ82" s="330"/>
      <c r="CA82" s="330"/>
      <c r="CB82" s="330"/>
      <c r="CC82" s="330"/>
      <c r="CD82" s="330"/>
      <c r="CE82" s="330"/>
      <c r="CF82" s="330"/>
      <c r="CG82" s="330"/>
      <c r="CH82" s="330"/>
      <c r="CI82" s="330"/>
      <c r="CJ82" s="330"/>
      <c r="CK82" s="330"/>
      <c r="CL82" s="330"/>
      <c r="CM82" s="330"/>
      <c r="CN82" s="330"/>
      <c r="CO82" s="330"/>
      <c r="CP82" s="330"/>
      <c r="CQ82" s="330"/>
      <c r="CR82" s="330"/>
      <c r="CS82" s="330"/>
      <c r="CT82" s="330"/>
      <c r="CU82" s="330"/>
    </row>
    <row r="83" spans="1:99">
      <c r="A83" s="28"/>
      <c r="B83" s="28"/>
      <c r="C83" s="28" t="s">
        <v>132</v>
      </c>
      <c r="D83" s="28"/>
      <c r="E83" s="415"/>
      <c r="F83" s="242"/>
      <c r="G83" s="242"/>
      <c r="H83" s="416"/>
      <c r="I83" s="23"/>
      <c r="J83" s="284">
        <f t="shared" ref="J83:S83" si="194">+J81/E81-1</f>
        <v>5.3514959863780742E-3</v>
      </c>
      <c r="K83" s="241">
        <f t="shared" si="194"/>
        <v>7.4326163898720488E-2</v>
      </c>
      <c r="L83" s="241">
        <f t="shared" si="194"/>
        <v>8.3087105543079964E-2</v>
      </c>
      <c r="M83" s="285">
        <f t="shared" si="194"/>
        <v>-6.6251490658542078E-4</v>
      </c>
      <c r="N83" s="25">
        <f t="shared" si="194"/>
        <v>4.0790473777552627E-2</v>
      </c>
      <c r="O83" s="284">
        <f t="shared" si="194"/>
        <v>-2.2138882167916818E-2</v>
      </c>
      <c r="P83" s="241">
        <f t="shared" si="194"/>
        <v>-3.2564622402432852E-2</v>
      </c>
      <c r="Q83" s="241">
        <f t="shared" si="194"/>
        <v>-2.9572239196857253E-2</v>
      </c>
      <c r="R83" s="285">
        <f t="shared" si="194"/>
        <v>-4.5611243701935811E-2</v>
      </c>
      <c r="S83" s="25">
        <f t="shared" si="194"/>
        <v>-3.2101996105160624E-2</v>
      </c>
      <c r="T83" s="284">
        <f t="shared" ref="T83:AA83" si="195">+T81/O81-1</f>
        <v>-5.2703204255845626E-2</v>
      </c>
      <c r="U83" s="241">
        <f t="shared" si="195"/>
        <v>-3.3005893909626716E-2</v>
      </c>
      <c r="V83" s="241">
        <f t="shared" si="195"/>
        <v>-1.090745530192283E-2</v>
      </c>
      <c r="W83" s="285">
        <f t="shared" si="195"/>
        <v>-5.6960266740760934E-3</v>
      </c>
      <c r="X83" s="25">
        <f t="shared" si="195"/>
        <v>-2.5653117042346518E-2</v>
      </c>
      <c r="Y83" s="284">
        <f t="shared" si="195"/>
        <v>3.8004440381350424E-2</v>
      </c>
      <c r="Z83" s="241">
        <f t="shared" si="195"/>
        <v>-2.9798185019639711E-2</v>
      </c>
      <c r="AA83" s="241">
        <f t="shared" si="195"/>
        <v>-5.3547066848567582E-2</v>
      </c>
      <c r="AB83" s="285">
        <f>+AB81/W81-1</f>
        <v>2.459130920776853E-2</v>
      </c>
      <c r="AC83" s="25">
        <f>+AC81/X81-1</f>
        <v>-7.2274384538444369E-3</v>
      </c>
      <c r="AD83" s="284">
        <f>+AD81/Y81-1</f>
        <v>6.6180171112229402E-2</v>
      </c>
      <c r="AE83" s="241">
        <f>+AE81/Z81-1</f>
        <v>-2.0661733910372737E-2</v>
      </c>
      <c r="AF83" s="241">
        <f t="shared" ref="AF83" si="196">+AF81/AA81-1</f>
        <v>-3.9879879879879843E-2</v>
      </c>
      <c r="AG83" s="285">
        <f>+AG81/AB81-1</f>
        <v>-3.4365198418109921E-2</v>
      </c>
      <c r="AH83" s="25">
        <f>+AH81/AC81-1</f>
        <v>-6.6950502128766409E-3</v>
      </c>
      <c r="AI83" s="284">
        <f>+AI81/AD81-1</f>
        <v>6.8444654236488045E-3</v>
      </c>
      <c r="AJ83" s="241">
        <f>+AJ81/AE81-1</f>
        <v>-8.4105488239486492E-3</v>
      </c>
      <c r="AK83" s="241">
        <f t="shared" ref="AK83" si="197">+AK81/AF81-1</f>
        <v>1.9642186913549464E-2</v>
      </c>
      <c r="AL83" s="285">
        <f>+AL81/AG81-1</f>
        <v>-5.8607541307724942E-2</v>
      </c>
      <c r="AM83" s="25">
        <f>+AM81/AH81-1</f>
        <v>-8.4742989889735609E-3</v>
      </c>
      <c r="AN83" s="284">
        <f>+AN81/AI81-1</f>
        <v>-0.11591654946085328</v>
      </c>
      <c r="AO83" s="241">
        <f>+AO81/AJ81-1</f>
        <v>-2.285796434732601E-2</v>
      </c>
      <c r="AP83" s="241">
        <f t="shared" ref="AP83" si="198">+AP81/AK81-1</f>
        <v>8.4785276073619631E-2</v>
      </c>
      <c r="AQ83" s="285">
        <f t="shared" ref="AQ83:AW83" si="199">+AQ81/AL81-1</f>
        <v>2.5952595259525868E-2</v>
      </c>
      <c r="AR83" s="25">
        <f t="shared" si="199"/>
        <v>-9.3717001055966254E-3</v>
      </c>
      <c r="AS83" s="284">
        <f t="shared" si="199"/>
        <v>-4.4014317910645584E-2</v>
      </c>
      <c r="AT83" s="241">
        <f t="shared" si="199"/>
        <v>-6.7676916286597555E-3</v>
      </c>
      <c r="AU83" s="241">
        <f t="shared" si="199"/>
        <v>-9.5124985861327893E-2</v>
      </c>
      <c r="AV83" s="285">
        <f t="shared" si="199"/>
        <v>2.4857435297558128E-2</v>
      </c>
      <c r="AW83" s="25">
        <f t="shared" si="199"/>
        <v>-3.4943371085942698E-2</v>
      </c>
      <c r="AX83" s="284">
        <f t="shared" ref="AX83:BB83" si="200">+AX81/AS81-1</f>
        <v>1.576076908855617E-2</v>
      </c>
      <c r="AY83" s="241">
        <f t="shared" si="200"/>
        <v>5.6135770234986948E-2</v>
      </c>
      <c r="AZ83" s="241">
        <f t="shared" si="200"/>
        <v>1.1127596439169274E-2</v>
      </c>
      <c r="BA83" s="285">
        <f t="shared" si="200"/>
        <v>-1.9619383951343661E-3</v>
      </c>
      <c r="BB83" s="25">
        <f t="shared" si="200"/>
        <v>1.9602120605289208E-2</v>
      </c>
      <c r="BC83" s="284">
        <f t="shared" ref="BC83" si="201">+BC81/AX81-1</f>
        <v>0</v>
      </c>
      <c r="BD83" s="241">
        <f t="shared" ref="BD83" si="202">+BD81/AY81-1</f>
        <v>0</v>
      </c>
      <c r="BE83" s="241">
        <f t="shared" ref="BE83" si="203">+BE81/AZ81-1</f>
        <v>0</v>
      </c>
      <c r="BF83" s="285">
        <f t="shared" ref="BF83" si="204">+BF81/BA81-1</f>
        <v>0</v>
      </c>
      <c r="BG83" s="25">
        <f t="shared" ref="BG83" si="205">+BG81/BB81-1</f>
        <v>0</v>
      </c>
      <c r="BH83" s="284">
        <f t="shared" ref="BH83" si="206">+BH81/BC81-1</f>
        <v>0</v>
      </c>
      <c r="BI83" s="241">
        <f t="shared" ref="BI83" si="207">+BI81/BD81-1</f>
        <v>0</v>
      </c>
      <c r="BJ83" s="241">
        <f t="shared" ref="BJ83" si="208">+BJ81/BE81-1</f>
        <v>0</v>
      </c>
      <c r="BK83" s="285">
        <f t="shared" ref="BK83" si="209">+BK81/BF81-1</f>
        <v>0</v>
      </c>
      <c r="BL83" s="25">
        <f t="shared" ref="BL83" si="210">+BL81/BG81-1</f>
        <v>0</v>
      </c>
      <c r="BM83" s="284">
        <f t="shared" ref="BM83" si="211">+BM81/BH81-1</f>
        <v>0</v>
      </c>
      <c r="BN83" s="241">
        <f t="shared" ref="BN83" si="212">+BN81/BI81-1</f>
        <v>0</v>
      </c>
      <c r="BO83" s="241">
        <f t="shared" ref="BO83" si="213">+BO81/BJ81-1</f>
        <v>0</v>
      </c>
      <c r="BP83" s="285">
        <f t="shared" ref="BP83" si="214">+BP81/BK81-1</f>
        <v>0</v>
      </c>
      <c r="BQ83" s="25">
        <f t="shared" ref="BQ83" si="215">+BQ81/BL81-1</f>
        <v>0</v>
      </c>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row>
    <row r="84" spans="1:99">
      <c r="A84" s="28"/>
      <c r="B84" s="28"/>
      <c r="C84" s="28"/>
      <c r="D84" s="28"/>
      <c r="E84" s="415"/>
      <c r="F84" s="242"/>
      <c r="G84" s="242"/>
      <c r="H84" s="416"/>
      <c r="I84" s="23"/>
      <c r="J84" s="284"/>
      <c r="K84" s="241"/>
      <c r="L84" s="241"/>
      <c r="M84" s="285"/>
      <c r="N84" s="25"/>
      <c r="O84" s="284"/>
      <c r="P84" s="241"/>
      <c r="Q84" s="241"/>
      <c r="R84" s="285"/>
      <c r="S84" s="25"/>
      <c r="T84" s="284"/>
      <c r="U84" s="241"/>
      <c r="V84" s="241"/>
      <c r="W84" s="285"/>
      <c r="X84" s="25"/>
      <c r="Y84" s="284"/>
      <c r="Z84" s="241"/>
      <c r="AA84" s="241"/>
      <c r="AB84" s="285"/>
      <c r="AC84" s="25"/>
      <c r="AD84" s="284"/>
      <c r="AE84" s="241"/>
      <c r="AF84" s="241"/>
      <c r="AG84" s="285"/>
      <c r="AH84" s="25"/>
      <c r="AI84" s="284"/>
      <c r="AJ84" s="241"/>
      <c r="AK84" s="241"/>
      <c r="AL84" s="285"/>
      <c r="AM84" s="25"/>
      <c r="AN84" s="284"/>
      <c r="AO84" s="241"/>
      <c r="AP84" s="241"/>
      <c r="AQ84" s="285"/>
      <c r="AR84" s="25"/>
      <c r="AS84" s="284"/>
      <c r="AT84" s="241"/>
      <c r="AU84" s="241"/>
      <c r="AV84" s="285"/>
      <c r="AW84" s="25"/>
      <c r="AX84" s="284"/>
      <c r="AY84" s="241"/>
      <c r="AZ84" s="241"/>
      <c r="BA84" s="285"/>
      <c r="BB84" s="25"/>
      <c r="BC84" s="284"/>
      <c r="BD84" s="241"/>
      <c r="BE84" s="241"/>
      <c r="BF84" s="285"/>
      <c r="BG84" s="25"/>
      <c r="BH84" s="284"/>
      <c r="BI84" s="241"/>
      <c r="BJ84" s="241"/>
      <c r="BK84" s="285"/>
      <c r="BL84" s="25"/>
      <c r="BM84" s="284"/>
      <c r="BN84" s="241"/>
      <c r="BO84" s="241"/>
      <c r="BP84" s="285"/>
      <c r="BQ84" s="25"/>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row>
    <row r="85" spans="1:99">
      <c r="A85" s="1"/>
      <c r="B85" s="1"/>
      <c r="C85" s="32" t="s">
        <v>133</v>
      </c>
      <c r="D85" s="1"/>
      <c r="E85" s="627">
        <f t="shared" ref="E85:S85" si="216">E74/E81*1000</f>
        <v>98.126976404767703</v>
      </c>
      <c r="F85" s="628">
        <f t="shared" si="216"/>
        <v>89.25946093111898</v>
      </c>
      <c r="G85" s="628">
        <f t="shared" si="216"/>
        <v>93.168656187211894</v>
      </c>
      <c r="H85" s="629">
        <f t="shared" si="216"/>
        <v>75.513449052603633</v>
      </c>
      <c r="I85" s="630">
        <f t="shared" si="216"/>
        <v>89.330504180390164</v>
      </c>
      <c r="J85" s="631">
        <f t="shared" si="216"/>
        <v>90.890394386644076</v>
      </c>
      <c r="K85" s="632">
        <f t="shared" si="216"/>
        <v>82.501267105930054</v>
      </c>
      <c r="L85" s="632">
        <f t="shared" si="216"/>
        <v>84.722828459188122</v>
      </c>
      <c r="M85" s="629">
        <f t="shared" si="216"/>
        <v>76.040837974012206</v>
      </c>
      <c r="N85" s="630">
        <f t="shared" si="216"/>
        <v>83.748174294060377</v>
      </c>
      <c r="O85" s="631">
        <f t="shared" si="216"/>
        <v>80.440430533217864</v>
      </c>
      <c r="P85" s="632">
        <f t="shared" si="216"/>
        <v>71.65684348395547</v>
      </c>
      <c r="Q85" s="632">
        <f t="shared" si="216"/>
        <v>71.843022602046545</v>
      </c>
      <c r="R85" s="629">
        <f t="shared" si="216"/>
        <v>67.407613225896057</v>
      </c>
      <c r="S85" s="630">
        <f t="shared" si="216"/>
        <v>72.979345468263702</v>
      </c>
      <c r="T85" s="631">
        <f t="shared" ref="T85:Z85" si="217">T74/T81*1000</f>
        <v>63.863131774846551</v>
      </c>
      <c r="U85" s="632">
        <f t="shared" si="217"/>
        <v>70.161181091697145</v>
      </c>
      <c r="V85" s="632">
        <f t="shared" si="217"/>
        <v>73.669849931787169</v>
      </c>
      <c r="W85" s="629">
        <f t="shared" si="217"/>
        <v>73.773927623305852</v>
      </c>
      <c r="X85" s="630">
        <f t="shared" si="217"/>
        <v>70.435259574742688</v>
      </c>
      <c r="Y85" s="631">
        <f t="shared" si="217"/>
        <v>76.119778560644178</v>
      </c>
      <c r="Z85" s="632">
        <f t="shared" si="217"/>
        <v>75.806226441435157</v>
      </c>
      <c r="AA85" s="632">
        <f t="shared" ref="AA85:AH85" si="218">AA74/AA81*1000</f>
        <v>79.75975975975976</v>
      </c>
      <c r="AB85" s="629">
        <f t="shared" si="218"/>
        <v>80.730942315559801</v>
      </c>
      <c r="AC85" s="630">
        <f t="shared" si="218"/>
        <v>78.130585979394851</v>
      </c>
      <c r="AD85" s="631">
        <f t="shared" si="218"/>
        <v>83.667689402879404</v>
      </c>
      <c r="AE85" s="632">
        <f t="shared" si="218"/>
        <v>78.688524590163937</v>
      </c>
      <c r="AF85" s="632">
        <f t="shared" si="218"/>
        <v>78.944076066558239</v>
      </c>
      <c r="AG85" s="629">
        <f t="shared" si="218"/>
        <v>82.333003813020767</v>
      </c>
      <c r="AH85" s="630">
        <f t="shared" si="218"/>
        <v>80.980270261427222</v>
      </c>
      <c r="AI85" s="631">
        <f t="shared" ref="AI85:AM85" si="219">AI74/AI81*1000</f>
        <v>83.567744960150023</v>
      </c>
      <c r="AJ85" s="632">
        <f t="shared" si="219"/>
        <v>77.774583093732033</v>
      </c>
      <c r="AK85" s="632">
        <f t="shared" si="219"/>
        <v>80.368098159509202</v>
      </c>
      <c r="AL85" s="629">
        <f t="shared" si="219"/>
        <v>87.158715871587162</v>
      </c>
      <c r="AM85" s="630">
        <f t="shared" si="219"/>
        <v>82.167370644139382</v>
      </c>
      <c r="AN85" s="631">
        <f t="shared" ref="AN85:AR85" si="220">AN74/AN81*1000</f>
        <v>90.149807768792257</v>
      </c>
      <c r="AO85" s="632">
        <f t="shared" si="220"/>
        <v>85.920258937766661</v>
      </c>
      <c r="AP85" s="632">
        <f t="shared" si="220"/>
        <v>83.135391923990497</v>
      </c>
      <c r="AQ85" s="629">
        <f t="shared" si="220"/>
        <v>89.19432665594384</v>
      </c>
      <c r="AR85" s="630">
        <f t="shared" si="220"/>
        <v>86.908727514990005</v>
      </c>
      <c r="AS85" s="631">
        <f t="shared" ref="AS85:AT85" si="221">AS74/AS81*1000</f>
        <v>92.497573152128695</v>
      </c>
      <c r="AT85" s="632">
        <f t="shared" si="221"/>
        <v>84.58006221300549</v>
      </c>
      <c r="AU85" s="632">
        <f t="shared" ref="AU85:AW85" si="222">AU74/AU81*1000</f>
        <v>82.25</v>
      </c>
      <c r="AV85" s="629">
        <f t="shared" si="222"/>
        <v>84.605507205022121</v>
      </c>
      <c r="AW85" s="630">
        <f t="shared" si="222"/>
        <v>85.913499706603162</v>
      </c>
      <c r="AX85" s="627">
        <f>AS85+(AX87/AX81*1000)</f>
        <v>90.906200382319994</v>
      </c>
      <c r="AY85" s="628">
        <f>AT85+(AY87/AY81*1000)</f>
        <v>82.945238255230791</v>
      </c>
      <c r="AZ85" s="628">
        <f>AU85+(AZ87/AZ81*1000)</f>
        <v>80.809003576669113</v>
      </c>
      <c r="BA85" s="629">
        <f>AV85+(BA87/BA81*1000)</f>
        <v>82.939197631633334</v>
      </c>
      <c r="BB85" s="630">
        <f>BB74/BB81*1000</f>
        <v>84.332865274748499</v>
      </c>
      <c r="BC85" s="627">
        <f>AX85+(BC87/BC81*1000)</f>
        <v>91.7125528045555</v>
      </c>
      <c r="BD85" s="628">
        <f>AY85+(BD87/BD81*1000)</f>
        <v>83.773607499250673</v>
      </c>
      <c r="BE85" s="628">
        <f>AZ85+(BE87/BE81*1000)</f>
        <v>84.320707997065298</v>
      </c>
      <c r="BF85" s="629">
        <f>BA85+(BF87/BF81*1000)</f>
        <v>86.99998959466393</v>
      </c>
      <c r="BG85" s="630">
        <f>BG74/BG81*1000</f>
        <v>86.656073524842185</v>
      </c>
      <c r="BH85" s="627">
        <f>BC85+(BH87/BH81*1000)</f>
        <v>95.50112926458263</v>
      </c>
      <c r="BI85" s="628">
        <f>BD85+(BI87/BI81*1000)</f>
        <v>87.665628074328225</v>
      </c>
      <c r="BJ85" s="628">
        <f>BE85+(BJ87/BJ81*1000)</f>
        <v>85.742388114453419</v>
      </c>
      <c r="BK85" s="629">
        <f>BF85+(BK87/BK81*1000)</f>
        <v>88.643962578597112</v>
      </c>
      <c r="BL85" s="630">
        <f>BL74/BL81*1000</f>
        <v>89.313586787244446</v>
      </c>
      <c r="BM85" s="627">
        <f>BH85+(BM87/BM81*1000)</f>
        <v>97.071169959729005</v>
      </c>
      <c r="BN85" s="628">
        <f>BI85+(BN87/BN81*1000)</f>
        <v>89.278537501837846</v>
      </c>
      <c r="BO85" s="628">
        <f>BJ85+(BO87/BO81*1000)</f>
        <v>88.091250917094655</v>
      </c>
      <c r="BP85" s="629">
        <f>BK85+(BP87/BP81*1000)</f>
        <v>91.360091856399762</v>
      </c>
      <c r="BQ85" s="630">
        <f>BQ74/BQ81*1000</f>
        <v>91.378660787327732</v>
      </c>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row>
    <row r="86" spans="1:99">
      <c r="A86" s="1"/>
      <c r="B86" s="1"/>
      <c r="C86" s="391"/>
      <c r="D86" s="1"/>
      <c r="E86" s="600"/>
      <c r="F86" s="251"/>
      <c r="G86" s="251"/>
      <c r="H86" s="601"/>
      <c r="I86" s="26"/>
      <c r="J86" s="600"/>
      <c r="K86" s="251"/>
      <c r="L86" s="251"/>
      <c r="M86" s="601"/>
      <c r="N86" s="26"/>
      <c r="O86" s="600"/>
      <c r="P86" s="251"/>
      <c r="Q86" s="251"/>
      <c r="R86" s="601"/>
      <c r="S86" s="26"/>
      <c r="T86" s="600"/>
      <c r="U86" s="251"/>
      <c r="V86" s="251"/>
      <c r="W86" s="601"/>
      <c r="X86" s="26"/>
      <c r="Y86" s="600"/>
      <c r="Z86" s="251"/>
      <c r="AA86" s="251"/>
      <c r="AB86" s="601"/>
      <c r="AC86" s="26"/>
      <c r="AD86" s="600"/>
      <c r="AE86" s="251"/>
      <c r="AF86" s="251"/>
      <c r="AG86" s="601"/>
      <c r="AH86" s="26"/>
      <c r="AI86" s="600"/>
      <c r="AJ86" s="251"/>
      <c r="AK86" s="251"/>
      <c r="AL86" s="601"/>
      <c r="AM86" s="26"/>
      <c r="AN86" s="600"/>
      <c r="AO86" s="251"/>
      <c r="AP86" s="251"/>
      <c r="AQ86" s="601"/>
      <c r="AR86" s="26"/>
      <c r="AS86" s="600"/>
      <c r="AT86" s="251"/>
      <c r="AU86" s="251"/>
      <c r="AV86" s="601"/>
      <c r="AW86" s="26"/>
      <c r="AX86" s="600"/>
      <c r="AY86" s="251"/>
      <c r="AZ86" s="251"/>
      <c r="BA86" s="601"/>
      <c r="BB86" s="26"/>
      <c r="BC86" s="600"/>
      <c r="BD86" s="251"/>
      <c r="BE86" s="251"/>
      <c r="BF86" s="601"/>
      <c r="BG86" s="26"/>
      <c r="BH86" s="600"/>
      <c r="BI86" s="251"/>
      <c r="BJ86" s="251"/>
      <c r="BK86" s="601"/>
      <c r="BL86" s="26"/>
      <c r="BM86" s="600"/>
      <c r="BN86" s="251"/>
      <c r="BO86" s="251"/>
      <c r="BP86" s="601"/>
      <c r="BQ86" s="26"/>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row>
    <row r="87" spans="1:99">
      <c r="A87" s="1"/>
      <c r="B87" s="1"/>
      <c r="C87" s="28" t="s">
        <v>134</v>
      </c>
      <c r="D87" s="1"/>
      <c r="E87" s="600"/>
      <c r="F87" s="251"/>
      <c r="G87" s="251"/>
      <c r="H87" s="601"/>
      <c r="I87" s="633"/>
      <c r="J87" s="600"/>
      <c r="K87" s="251"/>
      <c r="L87" s="251"/>
      <c r="M87" s="601"/>
      <c r="N87" s="45"/>
      <c r="O87" s="290"/>
      <c r="P87" s="260"/>
      <c r="Q87" s="260"/>
      <c r="R87" s="291"/>
      <c r="S87" s="45"/>
      <c r="T87" s="290"/>
      <c r="U87" s="260"/>
      <c r="V87" s="260"/>
      <c r="W87" s="291"/>
      <c r="X87" s="45"/>
      <c r="Y87" s="290"/>
      <c r="Z87" s="260"/>
      <c r="AA87" s="1441"/>
      <c r="AB87" s="1442"/>
      <c r="AC87" s="1443"/>
      <c r="AD87" s="290"/>
      <c r="AE87" s="260"/>
      <c r="AF87" s="1441"/>
      <c r="AG87" s="1442"/>
      <c r="AH87" s="1443"/>
      <c r="AI87" s="290"/>
      <c r="AJ87" s="260"/>
      <c r="AK87" s="1441"/>
      <c r="AL87" s="1442"/>
      <c r="AM87" s="1443"/>
      <c r="AN87" s="290"/>
      <c r="AO87" s="260"/>
      <c r="AP87" s="1441"/>
      <c r="AQ87" s="1442"/>
      <c r="AR87" s="1443"/>
      <c r="AS87" s="290"/>
      <c r="AT87" s="260"/>
      <c r="AU87" s="260"/>
      <c r="AV87" s="291"/>
      <c r="AW87" s="45"/>
      <c r="AX87" s="290">
        <f>SUM(AX52:AX54)</f>
        <v>-11.65625</v>
      </c>
      <c r="AY87" s="260">
        <f>SUM(AY52:AY54)</f>
        <v>-11.65625</v>
      </c>
      <c r="AZ87" s="260">
        <f>SUM(AZ52:AZ54)</f>
        <v>-11.65625</v>
      </c>
      <c r="BA87" s="291">
        <f>SUM(BA52:BA54)</f>
        <v>-11.65625</v>
      </c>
      <c r="BB87" s="45">
        <f>SUM(AX87:BA87)</f>
        <v>-46.625</v>
      </c>
      <c r="BC87" s="290">
        <f>SUM(BC52:BC54)</f>
        <v>5.90625</v>
      </c>
      <c r="BD87" s="260">
        <f>SUM(BD52:BD54)</f>
        <v>5.90625</v>
      </c>
      <c r="BE87" s="260">
        <f>SUM(BE52:BE54)</f>
        <v>28.40625</v>
      </c>
      <c r="BF87" s="291">
        <f>SUM(BF52:BF54)</f>
        <v>28.40625</v>
      </c>
      <c r="BG87" s="45">
        <f>SUM(BC87:BF87)</f>
        <v>68.625</v>
      </c>
      <c r="BH87" s="290">
        <f>SUM(BH52:BH54)</f>
        <v>27.75</v>
      </c>
      <c r="BI87" s="260">
        <f>SUM(BI52:BI54)</f>
        <v>27.75</v>
      </c>
      <c r="BJ87" s="260">
        <f>SUM(BJ52:BJ54)</f>
        <v>11.5</v>
      </c>
      <c r="BK87" s="291">
        <f>SUM(BK52:BK54)</f>
        <v>11.5</v>
      </c>
      <c r="BL87" s="45">
        <f>SUM(BH87:BK87)</f>
        <v>78.5</v>
      </c>
      <c r="BM87" s="290">
        <f>SUM(BM52:BM54)</f>
        <v>11.5</v>
      </c>
      <c r="BN87" s="260">
        <f>SUM(BN52:BN54)</f>
        <v>11.5</v>
      </c>
      <c r="BO87" s="260">
        <f>SUM(BO52:BO54)</f>
        <v>19</v>
      </c>
      <c r="BP87" s="291">
        <f>SUM(BP52:BP54)</f>
        <v>19</v>
      </c>
      <c r="BQ87" s="45">
        <f>SUM(BM87:BP87)</f>
        <v>61</v>
      </c>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row>
    <row r="88" spans="1:99">
      <c r="A88" s="1"/>
      <c r="B88" s="1"/>
      <c r="C88" s="32"/>
      <c r="D88" s="1"/>
      <c r="E88" s="600"/>
      <c r="F88" s="251"/>
      <c r="G88" s="251"/>
      <c r="H88" s="601"/>
      <c r="I88" s="633"/>
      <c r="J88" s="600"/>
      <c r="K88" s="251"/>
      <c r="L88" s="251"/>
      <c r="M88" s="601"/>
      <c r="N88" s="633"/>
      <c r="O88" s="600"/>
      <c r="P88" s="251"/>
      <c r="Q88" s="251"/>
      <c r="R88" s="601"/>
      <c r="S88" s="26"/>
      <c r="T88" s="600"/>
      <c r="U88" s="251"/>
      <c r="V88" s="251"/>
      <c r="W88" s="601"/>
      <c r="X88" s="26"/>
      <c r="Y88" s="600"/>
      <c r="Z88" s="251"/>
      <c r="AA88" s="251"/>
      <c r="AB88" s="601"/>
      <c r="AC88" s="26"/>
      <c r="AD88" s="600"/>
      <c r="AE88" s="251"/>
      <c r="AF88" s="251"/>
      <c r="AG88" s="601"/>
      <c r="AH88" s="26"/>
      <c r="AI88" s="600"/>
      <c r="AJ88" s="251"/>
      <c r="AK88" s="251"/>
      <c r="AL88" s="601"/>
      <c r="AM88" s="26"/>
      <c r="AN88" s="600"/>
      <c r="AO88" s="251"/>
      <c r="AP88" s="251"/>
      <c r="AQ88" s="601"/>
      <c r="AR88" s="26"/>
      <c r="AS88" s="600"/>
      <c r="AT88" s="251"/>
      <c r="AU88" s="251"/>
      <c r="AV88" s="601"/>
      <c r="AW88" s="26"/>
      <c r="AX88" s="600"/>
      <c r="AY88" s="251"/>
      <c r="AZ88" s="251"/>
      <c r="BA88" s="601"/>
      <c r="BB88" s="26"/>
      <c r="BC88" s="600"/>
      <c r="BD88" s="251"/>
      <c r="BE88" s="251"/>
      <c r="BF88" s="601"/>
      <c r="BG88" s="26"/>
      <c r="BH88" s="600"/>
      <c r="BI88" s="251"/>
      <c r="BJ88" s="251"/>
      <c r="BK88" s="601"/>
      <c r="BL88" s="26"/>
      <c r="BM88" s="600"/>
      <c r="BN88" s="251"/>
      <c r="BO88" s="251"/>
      <c r="BP88" s="601"/>
      <c r="BQ88" s="26"/>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row>
    <row r="89" spans="1:99" s="801" customFormat="1">
      <c r="A89" s="24"/>
      <c r="B89" s="24"/>
      <c r="C89" s="28" t="s">
        <v>700</v>
      </c>
      <c r="D89" s="45"/>
      <c r="E89" s="335"/>
      <c r="F89" s="336"/>
      <c r="G89" s="336"/>
      <c r="H89" s="588"/>
      <c r="I89" s="427">
        <v>1235.7</v>
      </c>
      <c r="J89" s="335"/>
      <c r="K89" s="336"/>
      <c r="L89" s="336"/>
      <c r="M89" s="588"/>
      <c r="N89" s="427">
        <v>1238.8</v>
      </c>
      <c r="O89" s="335"/>
      <c r="P89" s="336"/>
      <c r="Q89" s="336"/>
      <c r="R89" s="588"/>
      <c r="S89" s="427">
        <v>1241.0999999999999</v>
      </c>
      <c r="T89" s="335">
        <v>1241.1679999999999</v>
      </c>
      <c r="U89" s="336">
        <v>1240.173</v>
      </c>
      <c r="V89" s="625">
        <v>1240.961</v>
      </c>
      <c r="W89" s="347">
        <f>X89</f>
        <v>1241.126</v>
      </c>
      <c r="X89" s="427">
        <v>1241.126</v>
      </c>
      <c r="Y89" s="335">
        <v>1243.7819999999999</v>
      </c>
      <c r="Z89" s="336">
        <v>1242.4839999999999</v>
      </c>
      <c r="AA89" s="1452">
        <v>1244.124</v>
      </c>
      <c r="AB89" s="347">
        <f>AC89</f>
        <v>1245.2249999999999</v>
      </c>
      <c r="AC89" s="1437">
        <v>1245.2249999999999</v>
      </c>
      <c r="AD89" s="335">
        <v>1248.75</v>
      </c>
      <c r="AE89" s="336">
        <v>1248.5809999999999</v>
      </c>
      <c r="AF89" s="1452">
        <v>1248.221</v>
      </c>
      <c r="AG89" s="347">
        <f>AH89</f>
        <v>1250.3610000000001</v>
      </c>
      <c r="AH89" s="1437">
        <v>1250.3610000000001</v>
      </c>
      <c r="AI89" s="335">
        <v>1256.4949999999999</v>
      </c>
      <c r="AJ89" s="336">
        <v>1257.3820000000001</v>
      </c>
      <c r="AK89" s="1452">
        <v>1257.873</v>
      </c>
      <c r="AL89" s="347">
        <f>AM89</f>
        <v>1263.2629999999999</v>
      </c>
      <c r="AM89" s="1437">
        <v>1263.2629999999999</v>
      </c>
      <c r="AN89" s="335">
        <v>1267.0619999999999</v>
      </c>
      <c r="AO89" s="336">
        <v>1267.3140000000001</v>
      </c>
      <c r="AP89" s="1452">
        <v>1269.941</v>
      </c>
      <c r="AQ89" s="347">
        <f>AR89</f>
        <v>1275.6590000000001</v>
      </c>
      <c r="AR89" s="1437">
        <v>1275.6590000000001</v>
      </c>
      <c r="AS89" s="335">
        <v>1279.289</v>
      </c>
      <c r="AT89" s="336">
        <v>1280.048</v>
      </c>
      <c r="AU89" s="336">
        <v>1282.3009999999999</v>
      </c>
      <c r="AV89" s="347">
        <f>AW89</f>
        <v>1286.8040000000001</v>
      </c>
      <c r="AW89" s="1437">
        <v>1286.8040000000001</v>
      </c>
      <c r="AX89" s="290"/>
      <c r="AY89" s="260"/>
      <c r="AZ89" s="260"/>
      <c r="BA89" s="291"/>
      <c r="BB89" s="45"/>
      <c r="BC89" s="290"/>
      <c r="BD89" s="260"/>
      <c r="BE89" s="260"/>
      <c r="BF89" s="291"/>
      <c r="BG89" s="45"/>
      <c r="BH89" s="290"/>
      <c r="BI89" s="260"/>
      <c r="BJ89" s="260"/>
      <c r="BK89" s="291"/>
      <c r="BL89" s="45"/>
      <c r="BM89" s="290"/>
      <c r="BN89" s="260"/>
      <c r="BO89" s="260"/>
      <c r="BP89" s="291"/>
      <c r="BQ89" s="45"/>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row>
    <row r="90" spans="1:99" s="527" customFormat="1">
      <c r="A90" s="331"/>
      <c r="B90" s="331"/>
      <c r="C90" s="445"/>
      <c r="D90" s="331"/>
      <c r="E90" s="301"/>
      <c r="F90" s="265"/>
      <c r="G90" s="265"/>
      <c r="H90" s="302"/>
      <c r="I90" s="24"/>
      <c r="J90" s="301"/>
      <c r="K90" s="265"/>
      <c r="L90" s="265"/>
      <c r="M90" s="302"/>
      <c r="N90" s="24"/>
      <c r="O90" s="301"/>
      <c r="P90" s="265"/>
      <c r="Q90" s="265"/>
      <c r="R90" s="302"/>
      <c r="S90" s="445"/>
      <c r="T90" s="301"/>
      <c r="U90" s="265"/>
      <c r="V90" s="265"/>
      <c r="W90" s="302"/>
      <c r="X90" s="445"/>
      <c r="Y90" s="301"/>
      <c r="Z90" s="265"/>
      <c r="AA90" s="265"/>
      <c r="AB90" s="302"/>
      <c r="AC90" s="445"/>
      <c r="AD90" s="301"/>
      <c r="AE90" s="265"/>
      <c r="AF90" s="265"/>
      <c r="AG90" s="302"/>
      <c r="AH90" s="445"/>
      <c r="AI90" s="301"/>
      <c r="AJ90" s="265"/>
      <c r="AK90" s="265"/>
      <c r="AL90" s="302"/>
      <c r="AM90" s="445"/>
      <c r="AN90" s="301"/>
      <c r="AO90" s="265"/>
      <c r="AP90" s="265"/>
      <c r="AQ90" s="302"/>
      <c r="AR90" s="445"/>
      <c r="AS90" s="301"/>
      <c r="AT90" s="265"/>
      <c r="AU90" s="265"/>
      <c r="AV90" s="302"/>
      <c r="AW90" s="445"/>
      <c r="AX90" s="301"/>
      <c r="AY90" s="265"/>
      <c r="AZ90" s="265"/>
      <c r="BA90" s="302"/>
      <c r="BB90" s="445"/>
      <c r="BC90" s="301"/>
      <c r="BD90" s="265"/>
      <c r="BE90" s="265"/>
      <c r="BF90" s="302"/>
      <c r="BG90" s="445"/>
      <c r="BH90" s="301"/>
      <c r="BI90" s="265"/>
      <c r="BJ90" s="265"/>
      <c r="BK90" s="302"/>
      <c r="BL90" s="445"/>
      <c r="BM90" s="301"/>
      <c r="BN90" s="265"/>
      <c r="BO90" s="265"/>
      <c r="BP90" s="302"/>
      <c r="BQ90" s="445"/>
      <c r="BR90" s="331"/>
      <c r="BS90" s="331"/>
      <c r="BT90" s="331"/>
      <c r="BU90" s="331"/>
      <c r="BV90" s="331"/>
      <c r="BW90" s="331"/>
      <c r="BX90" s="331"/>
      <c r="BY90" s="331"/>
      <c r="BZ90" s="331"/>
      <c r="CA90" s="331"/>
      <c r="CB90" s="331"/>
      <c r="CC90" s="331"/>
      <c r="CD90" s="331"/>
      <c r="CE90" s="331"/>
      <c r="CF90" s="331"/>
      <c r="CG90" s="331"/>
      <c r="CH90" s="331"/>
      <c r="CI90" s="331"/>
      <c r="CJ90" s="331"/>
      <c r="CK90" s="331"/>
      <c r="CL90" s="331"/>
      <c r="CM90" s="331"/>
      <c r="CN90" s="331"/>
      <c r="CO90" s="331"/>
      <c r="CP90" s="331"/>
      <c r="CQ90" s="331"/>
      <c r="CR90" s="331"/>
      <c r="CS90" s="331"/>
      <c r="CT90" s="331"/>
      <c r="CU90" s="331"/>
    </row>
    <row r="91" spans="1:99">
      <c r="A91" s="1"/>
      <c r="B91" s="1"/>
      <c r="C91" s="32" t="s">
        <v>707</v>
      </c>
      <c r="D91" s="1"/>
      <c r="E91" s="600"/>
      <c r="F91" s="251"/>
      <c r="G91" s="251"/>
      <c r="H91" s="601"/>
      <c r="I91" s="26"/>
      <c r="J91" s="600"/>
      <c r="K91" s="251"/>
      <c r="L91" s="251"/>
      <c r="M91" s="601"/>
      <c r="N91" s="26"/>
      <c r="O91" s="600"/>
      <c r="P91" s="251"/>
      <c r="Q91" s="251"/>
      <c r="R91" s="601"/>
      <c r="S91" s="26"/>
      <c r="T91" s="600"/>
      <c r="U91" s="251"/>
      <c r="V91" s="251"/>
      <c r="W91" s="601"/>
      <c r="X91" s="26"/>
      <c r="Y91" s="600"/>
      <c r="Z91" s="251"/>
      <c r="AA91" s="251"/>
      <c r="AB91" s="601"/>
      <c r="AC91" s="26"/>
      <c r="AD91" s="600"/>
      <c r="AE91" s="251"/>
      <c r="AF91" s="251"/>
      <c r="AG91" s="601"/>
      <c r="AH91" s="26"/>
      <c r="AI91" s="600"/>
      <c r="AJ91" s="251"/>
      <c r="AK91" s="251"/>
      <c r="AL91" s="601"/>
      <c r="AM91" s="26"/>
      <c r="AN91" s="600"/>
      <c r="AO91" s="251"/>
      <c r="AP91" s="251"/>
      <c r="AQ91" s="601"/>
      <c r="AR91" s="26"/>
      <c r="AS91" s="600"/>
      <c r="AT91" s="251"/>
      <c r="AU91" s="251"/>
      <c r="AV91" s="601"/>
      <c r="AW91" s="26"/>
      <c r="AX91" s="600"/>
      <c r="AY91" s="251"/>
      <c r="AZ91" s="251"/>
      <c r="BA91" s="601"/>
      <c r="BB91" s="26"/>
      <c r="BC91" s="600"/>
      <c r="BD91" s="251"/>
      <c r="BE91" s="251"/>
      <c r="BF91" s="601"/>
      <c r="BG91" s="26"/>
      <c r="BH91" s="600"/>
      <c r="BI91" s="251"/>
      <c r="BJ91" s="251"/>
      <c r="BK91" s="601"/>
      <c r="BL91" s="26"/>
      <c r="BM91" s="600"/>
      <c r="BN91" s="251"/>
      <c r="BO91" s="251"/>
      <c r="BP91" s="601"/>
      <c r="BQ91" s="26"/>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row>
    <row r="92" spans="1:99">
      <c r="A92" s="330"/>
      <c r="B92" s="330"/>
      <c r="C92" s="28" t="s">
        <v>1299</v>
      </c>
      <c r="D92" s="330"/>
      <c r="E92" s="300">
        <f t="shared" ref="E92:S92" si="223">E9</f>
        <v>525.20000000000005</v>
      </c>
      <c r="F92" s="264">
        <f t="shared" si="223"/>
        <v>402.5</v>
      </c>
      <c r="G92" s="264">
        <f t="shared" si="223"/>
        <v>508.20000000000005</v>
      </c>
      <c r="H92" s="291">
        <f t="shared" si="223"/>
        <v>405</v>
      </c>
      <c r="I92" s="330">
        <f t="shared" si="223"/>
        <v>1840.9</v>
      </c>
      <c r="J92" s="300">
        <f t="shared" si="223"/>
        <v>473.6</v>
      </c>
      <c r="K92" s="264">
        <f t="shared" si="223"/>
        <v>401.4</v>
      </c>
      <c r="L92" s="264">
        <f t="shared" si="223"/>
        <v>496.8</v>
      </c>
      <c r="M92" s="291">
        <f t="shared" si="223"/>
        <v>309.10000000000014</v>
      </c>
      <c r="N92" s="330">
        <f t="shared" si="223"/>
        <v>1680.9</v>
      </c>
      <c r="O92" s="300">
        <f t="shared" si="223"/>
        <v>353.9</v>
      </c>
      <c r="P92" s="264">
        <f t="shared" si="223"/>
        <v>272.7</v>
      </c>
      <c r="Q92" s="264">
        <f t="shared" si="223"/>
        <v>347</v>
      </c>
      <c r="R92" s="291">
        <f t="shared" si="223"/>
        <v>211.10000000000014</v>
      </c>
      <c r="S92" s="330">
        <f t="shared" si="223"/>
        <v>1184.7</v>
      </c>
      <c r="T92" s="300">
        <f t="shared" ref="T92:Z92" si="224">T9</f>
        <v>259.52666666666664</v>
      </c>
      <c r="U92" s="264">
        <f t="shared" si="224"/>
        <v>240.99069767441858</v>
      </c>
      <c r="V92" s="264">
        <f t="shared" si="224"/>
        <v>338.38169934640524</v>
      </c>
      <c r="W92" s="291">
        <f t="shared" si="224"/>
        <v>228.88308128584549</v>
      </c>
      <c r="X92" s="330">
        <f t="shared" si="224"/>
        <v>1067.782144973336</v>
      </c>
      <c r="Y92" s="300">
        <f t="shared" si="224"/>
        <v>287.16457142857143</v>
      </c>
      <c r="Z92" s="264">
        <f t="shared" si="224"/>
        <v>243.5274418604651</v>
      </c>
      <c r="AA92" s="1441">
        <f t="shared" ref="AA92:AH92" si="225">AA9</f>
        <v>338.38169934640524</v>
      </c>
      <c r="AB92" s="1442">
        <f t="shared" si="225"/>
        <v>239.26699445521604</v>
      </c>
      <c r="AC92" s="1443">
        <f t="shared" si="225"/>
        <v>1108.3407070906578</v>
      </c>
      <c r="AD92" s="300">
        <f t="shared" si="225"/>
        <v>356.59638095238097</v>
      </c>
      <c r="AE92" s="264">
        <f t="shared" si="225"/>
        <v>226.61581395348836</v>
      </c>
      <c r="AF92" s="1441">
        <f t="shared" si="225"/>
        <v>290.46059163549813</v>
      </c>
      <c r="AG92" s="1442">
        <f t="shared" si="225"/>
        <v>233.88794820088015</v>
      </c>
      <c r="AH92" s="1443">
        <f t="shared" si="225"/>
        <v>1107.5607347422476</v>
      </c>
      <c r="AI92" s="300">
        <f t="shared" ref="AI92:AM92" si="226">AI9</f>
        <v>328.28438095238096</v>
      </c>
      <c r="AJ92" s="264">
        <f t="shared" si="226"/>
        <v>202.09395348837208</v>
      </c>
      <c r="AK92" s="1441">
        <f t="shared" si="226"/>
        <v>304.1523366957573</v>
      </c>
      <c r="AL92" s="1442">
        <f t="shared" si="226"/>
        <v>185.48821301213695</v>
      </c>
      <c r="AM92" s="1443">
        <f t="shared" si="226"/>
        <v>1020.0188841486473</v>
      </c>
      <c r="AN92" s="300">
        <f t="shared" ref="AN92:AR92" si="227">AN9</f>
        <v>251.43752380952381</v>
      </c>
      <c r="AO92" s="264">
        <f t="shared" si="227"/>
        <v>220.69674418604649</v>
      </c>
      <c r="AP92" s="1441">
        <f t="shared" si="227"/>
        <v>352.07344440666441</v>
      </c>
      <c r="AQ92" s="1442">
        <f t="shared" si="227"/>
        <v>187.21331142025542</v>
      </c>
      <c r="AR92" s="1443">
        <f t="shared" si="227"/>
        <v>1011.4210238224902</v>
      </c>
      <c r="AS92" s="300">
        <f t="shared" ref="AS92:AT92" si="228">AS9</f>
        <v>235.93333333333334</v>
      </c>
      <c r="AT92" s="264">
        <f t="shared" si="228"/>
        <v>197.8660465116279</v>
      </c>
      <c r="AU92" s="264">
        <f t="shared" ref="AU92:AW92" si="229">AU9</f>
        <v>263.0771015149798</v>
      </c>
      <c r="AV92" s="1442">
        <f t="shared" si="229"/>
        <v>188.70313223424864</v>
      </c>
      <c r="AW92" s="1443">
        <f t="shared" si="229"/>
        <v>885.5796135941896</v>
      </c>
      <c r="AX92" s="290">
        <f>+AX93*AX81/1000</f>
        <v>239.65182412029338</v>
      </c>
      <c r="AY92" s="260">
        <f>+AY93*AY81/1000</f>
        <v>208.97340943590987</v>
      </c>
      <c r="AZ92" s="260">
        <f>+AZ93*AZ81/1000</f>
        <v>266.00451733302486</v>
      </c>
      <c r="BA92" s="291">
        <f>+BA93*BA81/1000</f>
        <v>188.33290831383616</v>
      </c>
      <c r="BB92" s="45">
        <f>SUM(AX92:BA92)</f>
        <v>902.96265920306428</v>
      </c>
      <c r="BC92" s="290">
        <f>+BC93*BC81/1000</f>
        <v>239.65182412029338</v>
      </c>
      <c r="BD92" s="260">
        <f>+BD93*BD81/1000</f>
        <v>208.97340943590987</v>
      </c>
      <c r="BE92" s="260">
        <f>+BE93*BE81/1000</f>
        <v>266.00451733302486</v>
      </c>
      <c r="BF92" s="291">
        <f>+BF93*BF81/1000</f>
        <v>188.33290831383616</v>
      </c>
      <c r="BG92" s="45">
        <f>SUM(BC92:BF92)</f>
        <v>902.96265920306428</v>
      </c>
      <c r="BH92" s="290">
        <f>+BH93*BH81/1000</f>
        <v>239.65182412029338</v>
      </c>
      <c r="BI92" s="260">
        <f>+BI93*BI81/1000</f>
        <v>208.97340943590987</v>
      </c>
      <c r="BJ92" s="260">
        <f>+BJ93*BJ81/1000</f>
        <v>266.00451733302486</v>
      </c>
      <c r="BK92" s="291">
        <f>+BK93*BK81/1000</f>
        <v>188.33290831383616</v>
      </c>
      <c r="BL92" s="45">
        <f>SUM(BH92:BK92)</f>
        <v>902.96265920306428</v>
      </c>
      <c r="BM92" s="290">
        <f>+BM93*BM81/1000</f>
        <v>239.65182412029338</v>
      </c>
      <c r="BN92" s="260">
        <f>+BN93*BN81/1000</f>
        <v>208.97340943590987</v>
      </c>
      <c r="BO92" s="260">
        <f>+BO93*BO81/1000</f>
        <v>266.00451733302486</v>
      </c>
      <c r="BP92" s="291">
        <f>+BP93*BP81/1000</f>
        <v>188.33290831383616</v>
      </c>
      <c r="BQ92" s="45">
        <f>SUM(BM92:BP92)</f>
        <v>902.96265920306428</v>
      </c>
      <c r="BR92" s="330"/>
      <c r="BS92" s="330"/>
      <c r="BT92" s="330"/>
      <c r="BU92" s="330"/>
      <c r="BV92" s="330"/>
      <c r="BW92" s="330"/>
      <c r="BX92" s="330"/>
      <c r="BY92" s="330"/>
      <c r="BZ92" s="330"/>
      <c r="CA92" s="330"/>
      <c r="CB92" s="330"/>
      <c r="CC92" s="330"/>
      <c r="CD92" s="330"/>
      <c r="CE92" s="330"/>
      <c r="CF92" s="330"/>
      <c r="CG92" s="330"/>
      <c r="CH92" s="330"/>
      <c r="CI92" s="330"/>
      <c r="CJ92" s="330"/>
      <c r="CK92" s="330"/>
      <c r="CL92" s="330"/>
      <c r="CM92" s="330"/>
      <c r="CN92" s="330"/>
      <c r="CO92" s="330"/>
      <c r="CP92" s="330"/>
      <c r="CQ92" s="330"/>
      <c r="CR92" s="330"/>
      <c r="CS92" s="330"/>
      <c r="CT92" s="330"/>
      <c r="CU92" s="330"/>
    </row>
    <row r="93" spans="1:99">
      <c r="A93" s="1"/>
      <c r="B93" s="1"/>
      <c r="C93" s="28" t="s">
        <v>650</v>
      </c>
      <c r="D93" s="1"/>
      <c r="E93" s="634">
        <f t="shared" ref="E93:S93" si="230">+E92/E81*1000</f>
        <v>63.877402091948433</v>
      </c>
      <c r="F93" s="635">
        <f t="shared" si="230"/>
        <v>54.791723386877209</v>
      </c>
      <c r="G93" s="635">
        <f t="shared" si="230"/>
        <v>60.063822243233666</v>
      </c>
      <c r="H93" s="636">
        <f t="shared" si="230"/>
        <v>53.663707433417251</v>
      </c>
      <c r="I93" s="637">
        <f t="shared" si="230"/>
        <v>58.300608056751969</v>
      </c>
      <c r="J93" s="634">
        <f t="shared" si="230"/>
        <v>57.29494314057586</v>
      </c>
      <c r="K93" s="635">
        <f t="shared" si="230"/>
        <v>50.86163203243791</v>
      </c>
      <c r="L93" s="635">
        <f t="shared" si="230"/>
        <v>54.212134439109562</v>
      </c>
      <c r="M93" s="636">
        <f t="shared" si="230"/>
        <v>40.983823919384797</v>
      </c>
      <c r="N93" s="637">
        <f t="shared" si="230"/>
        <v>51.14715189873418</v>
      </c>
      <c r="O93" s="634">
        <f t="shared" si="230"/>
        <v>43.783248793764692</v>
      </c>
      <c r="P93" s="635">
        <f t="shared" si="230"/>
        <v>35.717092337917485</v>
      </c>
      <c r="Q93" s="635">
        <f t="shared" si="230"/>
        <v>39.019453502754978</v>
      </c>
      <c r="R93" s="636">
        <f t="shared" si="230"/>
        <v>29.327590997499325</v>
      </c>
      <c r="S93" s="637">
        <f t="shared" si="230"/>
        <v>37.244176176553808</v>
      </c>
      <c r="T93" s="634">
        <f t="shared" ref="T93:AA93" si="231">+T92/T81*1000</f>
        <v>33.894040311697353</v>
      </c>
      <c r="U93" s="635">
        <f t="shared" si="231"/>
        <v>32.641297260519927</v>
      </c>
      <c r="V93" s="635">
        <f t="shared" si="231"/>
        <v>38.469952176717285</v>
      </c>
      <c r="W93" s="636">
        <f t="shared" si="231"/>
        <v>31.980310365494688</v>
      </c>
      <c r="X93" s="637">
        <f t="shared" si="231"/>
        <v>34.452364887985546</v>
      </c>
      <c r="Y93" s="634">
        <f t="shared" si="231"/>
        <v>36.130419153066363</v>
      </c>
      <c r="Z93" s="635">
        <f t="shared" si="231"/>
        <v>33.997967591856082</v>
      </c>
      <c r="AA93" s="635">
        <f t="shared" si="231"/>
        <v>40.646450371940567</v>
      </c>
      <c r="AB93" s="636">
        <f>+AB92/AB81*1000</f>
        <v>32.628800553009143</v>
      </c>
      <c r="AC93" s="637">
        <f>+AC92/AC81*1000</f>
        <v>36.021343140519932</v>
      </c>
      <c r="AD93" s="634">
        <f>+AD92/AD81*1000</f>
        <v>42.081234476325342</v>
      </c>
      <c r="AE93" s="635">
        <f>+AE92/AE81*1000</f>
        <v>32.30446385652008</v>
      </c>
      <c r="AF93" s="635">
        <f t="shared" ref="AF93" si="232">+AF92/AF81*1000</f>
        <v>36.339370903978249</v>
      </c>
      <c r="AG93" s="636">
        <f>+AG92/AG81*1000</f>
        <v>33.030355627860487</v>
      </c>
      <c r="AH93" s="637">
        <f>+AH92/AH81*1000</f>
        <v>36.238613183988733</v>
      </c>
      <c r="AI93" s="634">
        <f>+AI92/AI81*1000</f>
        <v>38.476837898778832</v>
      </c>
      <c r="AJ93" s="635">
        <f>+AJ92/AJ81*1000</f>
        <v>29.053184802813696</v>
      </c>
      <c r="AK93" s="635">
        <f t="shared" ref="AK93" si="233">+AK92/AK81*1000</f>
        <v>37.319305116043836</v>
      </c>
      <c r="AL93" s="636">
        <f>+AL92/AL81*1000</f>
        <v>27.826014553275868</v>
      </c>
      <c r="AM93" s="637">
        <f>+AM92/AM81*1000</f>
        <v>33.659546071431073</v>
      </c>
      <c r="AN93" s="634">
        <f>+AN92/AN81*1000</f>
        <v>33.333888878367205</v>
      </c>
      <c r="AO93" s="635">
        <f>+AO92/AO81*1000</f>
        <v>32.469728436964324</v>
      </c>
      <c r="AP93" s="635">
        <f t="shared" ref="AP93" si="234">+AP92/AP81*1000</f>
        <v>39.822807873166433</v>
      </c>
      <c r="AQ93" s="636">
        <f t="shared" ref="AQ93:AW93" si="235">+AQ92/AQ81*1000</f>
        <v>27.374369267474108</v>
      </c>
      <c r="AR93" s="637">
        <f t="shared" si="235"/>
        <v>33.691573078697203</v>
      </c>
      <c r="AS93" s="634">
        <f t="shared" si="235"/>
        <v>32.718531872602043</v>
      </c>
      <c r="AT93" s="635">
        <f t="shared" si="235"/>
        <v>29.309146276348379</v>
      </c>
      <c r="AU93" s="635">
        <f t="shared" si="235"/>
        <v>32.884637689372475</v>
      </c>
      <c r="AV93" s="636">
        <f t="shared" si="235"/>
        <v>26.922975065522706</v>
      </c>
      <c r="AW93" s="637">
        <f t="shared" si="235"/>
        <v>30.567795850822879</v>
      </c>
      <c r="AX93" s="634">
        <f>+AS93</f>
        <v>32.718531872602043</v>
      </c>
      <c r="AY93" s="635">
        <f>+AT93</f>
        <v>29.309146276348379</v>
      </c>
      <c r="AZ93" s="635">
        <f>+AU93</f>
        <v>32.884637689372475</v>
      </c>
      <c r="BA93" s="636">
        <f>+AV93</f>
        <v>26.922975065522706</v>
      </c>
      <c r="BB93" s="637">
        <f>+BB92/BB81*1000</f>
        <v>30.568601812562434</v>
      </c>
      <c r="BC93" s="634">
        <f>+AX93</f>
        <v>32.718531872602043</v>
      </c>
      <c r="BD93" s="635">
        <f>+AY93</f>
        <v>29.309146276348379</v>
      </c>
      <c r="BE93" s="635">
        <f>+AZ93</f>
        <v>32.884637689372475</v>
      </c>
      <c r="BF93" s="636">
        <f>+BA93</f>
        <v>26.922975065522706</v>
      </c>
      <c r="BG93" s="637">
        <f>+BG92/BG81*1000</f>
        <v>30.568601812562434</v>
      </c>
      <c r="BH93" s="634">
        <f>+BC93</f>
        <v>32.718531872602043</v>
      </c>
      <c r="BI93" s="635">
        <f>+BD93</f>
        <v>29.309146276348379</v>
      </c>
      <c r="BJ93" s="635">
        <f>+BE93</f>
        <v>32.884637689372475</v>
      </c>
      <c r="BK93" s="636">
        <f>+BF93</f>
        <v>26.922975065522706</v>
      </c>
      <c r="BL93" s="637">
        <f>+BL92/BL81*1000</f>
        <v>30.568601812562434</v>
      </c>
      <c r="BM93" s="634">
        <f>+BH93</f>
        <v>32.718531872602043</v>
      </c>
      <c r="BN93" s="635">
        <f>+BI93</f>
        <v>29.309146276348379</v>
      </c>
      <c r="BO93" s="635">
        <f>+BJ93</f>
        <v>32.884637689372475</v>
      </c>
      <c r="BP93" s="636">
        <f>+BK93</f>
        <v>26.922975065522706</v>
      </c>
      <c r="BQ93" s="637">
        <f>+BQ92/BQ81*1000</f>
        <v>30.568601812562434</v>
      </c>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row>
    <row r="94" spans="1:99">
      <c r="A94" s="1"/>
      <c r="B94" s="1"/>
      <c r="C94" s="32"/>
      <c r="D94" s="1"/>
      <c r="E94" s="600"/>
      <c r="F94" s="251"/>
      <c r="G94" s="251"/>
      <c r="H94" s="601"/>
      <c r="I94" s="26"/>
      <c r="J94" s="600"/>
      <c r="K94" s="251"/>
      <c r="L94" s="251"/>
      <c r="M94" s="601"/>
      <c r="N94" s="26"/>
      <c r="O94" s="600"/>
      <c r="P94" s="251"/>
      <c r="Q94" s="251"/>
      <c r="R94" s="601"/>
      <c r="S94" s="26"/>
      <c r="T94" s="600"/>
      <c r="U94" s="251"/>
      <c r="V94" s="251"/>
      <c r="W94" s="601"/>
      <c r="X94" s="26"/>
      <c r="Y94" s="600"/>
      <c r="Z94" s="251"/>
      <c r="AA94" s="251"/>
      <c r="AB94" s="601"/>
      <c r="AC94" s="26"/>
      <c r="AD94" s="600"/>
      <c r="AE94" s="251"/>
      <c r="AF94" s="251"/>
      <c r="AG94" s="601"/>
      <c r="AH94" s="26"/>
      <c r="AI94" s="600"/>
      <c r="AJ94" s="251"/>
      <c r="AK94" s="251"/>
      <c r="AL94" s="601"/>
      <c r="AM94" s="26"/>
      <c r="AN94" s="600"/>
      <c r="AO94" s="251"/>
      <c r="AP94" s="251"/>
      <c r="AQ94" s="601"/>
      <c r="AR94" s="26"/>
      <c r="AS94" s="600"/>
      <c r="AT94" s="251"/>
      <c r="AU94" s="251"/>
      <c r="AV94" s="601"/>
      <c r="AW94" s="26"/>
      <c r="AX94" s="600"/>
      <c r="AY94" s="251"/>
      <c r="AZ94" s="251"/>
      <c r="BA94" s="601"/>
      <c r="BB94" s="26"/>
      <c r="BC94" s="600"/>
      <c r="BD94" s="251"/>
      <c r="BE94" s="251"/>
      <c r="BF94" s="601"/>
      <c r="BG94" s="26"/>
      <c r="BH94" s="600"/>
      <c r="BI94" s="251"/>
      <c r="BJ94" s="251"/>
      <c r="BK94" s="601"/>
      <c r="BL94" s="26"/>
      <c r="BM94" s="600"/>
      <c r="BN94" s="251"/>
      <c r="BO94" s="251"/>
      <c r="BP94" s="601"/>
      <c r="BQ94" s="26"/>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row>
    <row r="95" spans="1:99">
      <c r="A95" s="1"/>
      <c r="B95" s="1"/>
      <c r="C95" s="32" t="s">
        <v>138</v>
      </c>
      <c r="D95" s="1"/>
      <c r="E95" s="350">
        <f t="shared" ref="E95:S95" si="236">+E74-E92</f>
        <v>281.59999999999991</v>
      </c>
      <c r="F95" s="351">
        <f t="shared" si="236"/>
        <v>253.20000000000005</v>
      </c>
      <c r="G95" s="351">
        <f t="shared" si="236"/>
        <v>280.09999999999991</v>
      </c>
      <c r="H95" s="352">
        <f t="shared" si="236"/>
        <v>164.89999999999964</v>
      </c>
      <c r="I95" s="348">
        <f t="shared" si="236"/>
        <v>979.79999999999973</v>
      </c>
      <c r="J95" s="350">
        <f t="shared" si="236"/>
        <v>277.69999999999993</v>
      </c>
      <c r="K95" s="351">
        <f t="shared" si="236"/>
        <v>249.70000000000005</v>
      </c>
      <c r="L95" s="351">
        <f t="shared" si="236"/>
        <v>279.59999999999997</v>
      </c>
      <c r="M95" s="352">
        <f t="shared" si="236"/>
        <v>264.39999999999986</v>
      </c>
      <c r="N95" s="348">
        <f t="shared" si="236"/>
        <v>1071.4000000000001</v>
      </c>
      <c r="O95" s="350">
        <f t="shared" si="236"/>
        <v>296.30000000000007</v>
      </c>
      <c r="P95" s="351">
        <f t="shared" si="236"/>
        <v>274.40000000000003</v>
      </c>
      <c r="Q95" s="351">
        <f t="shared" si="236"/>
        <v>291.89999999999998</v>
      </c>
      <c r="R95" s="352">
        <f t="shared" si="236"/>
        <v>274.09999999999968</v>
      </c>
      <c r="S95" s="348">
        <f t="shared" si="236"/>
        <v>1136.7</v>
      </c>
      <c r="T95" s="350">
        <f t="shared" ref="T95:Z95" si="237">+T74-T92</f>
        <v>229.47333333333336</v>
      </c>
      <c r="U95" s="351">
        <f t="shared" si="237"/>
        <v>277.00930232558142</v>
      </c>
      <c r="V95" s="351">
        <f t="shared" si="237"/>
        <v>309.61830065359476</v>
      </c>
      <c r="W95" s="352">
        <f t="shared" si="237"/>
        <v>299.11691871415451</v>
      </c>
      <c r="X95" s="348">
        <f t="shared" si="237"/>
        <v>1115.217855026664</v>
      </c>
      <c r="Y95" s="350">
        <f t="shared" si="237"/>
        <v>317.83542857142857</v>
      </c>
      <c r="Z95" s="351">
        <f t="shared" si="237"/>
        <v>299.4725581395349</v>
      </c>
      <c r="AA95" s="351">
        <f t="shared" ref="AA95:AH95" si="238">+AA74-AA92</f>
        <v>325.61830065359476</v>
      </c>
      <c r="AB95" s="352">
        <f t="shared" si="238"/>
        <v>352.73300554478396</v>
      </c>
      <c r="AC95" s="348">
        <f t="shared" si="238"/>
        <v>1295.6592929093422</v>
      </c>
      <c r="AD95" s="350">
        <f t="shared" si="238"/>
        <v>352.40361904761903</v>
      </c>
      <c r="AE95" s="351">
        <f t="shared" si="238"/>
        <v>325.38418604651167</v>
      </c>
      <c r="AF95" s="351">
        <f t="shared" si="238"/>
        <v>340.53940836450187</v>
      </c>
      <c r="AG95" s="352">
        <f t="shared" si="238"/>
        <v>349.11205179911985</v>
      </c>
      <c r="AH95" s="348">
        <f t="shared" si="238"/>
        <v>1367.4392652577524</v>
      </c>
      <c r="AI95" s="350">
        <f t="shared" ref="AI95:AM95" si="239">+AI74-AI92</f>
        <v>384.71561904761904</v>
      </c>
      <c r="AJ95" s="351">
        <f t="shared" si="239"/>
        <v>338.90604651162789</v>
      </c>
      <c r="AK95" s="351">
        <f t="shared" si="239"/>
        <v>350.8476633042427</v>
      </c>
      <c r="AL95" s="352">
        <f t="shared" si="239"/>
        <v>395.51178698786305</v>
      </c>
      <c r="AM95" s="348">
        <f t="shared" si="239"/>
        <v>1469.9811158513526</v>
      </c>
      <c r="AN95" s="350">
        <f t="shared" ref="AN95:AR95" si="240">+AN74-AN92</f>
        <v>428.56247619047622</v>
      </c>
      <c r="AO95" s="351">
        <f t="shared" si="240"/>
        <v>363.30325581395351</v>
      </c>
      <c r="AP95" s="351">
        <f t="shared" si="240"/>
        <v>382.92655559333559</v>
      </c>
      <c r="AQ95" s="352">
        <f t="shared" si="240"/>
        <v>422.78668857974458</v>
      </c>
      <c r="AR95" s="348">
        <f t="shared" si="240"/>
        <v>1597.57897617751</v>
      </c>
      <c r="AS95" s="350">
        <f t="shared" ref="AS95:AT95" si="241">+AS74-AS92</f>
        <v>431.06666666666666</v>
      </c>
      <c r="AT95" s="351">
        <f t="shared" si="241"/>
        <v>373.13395348837207</v>
      </c>
      <c r="AU95" s="351">
        <f t="shared" ref="AU95:AW95" si="242">+AU74-AU92</f>
        <v>394.9228984850202</v>
      </c>
      <c r="AV95" s="352">
        <f t="shared" si="242"/>
        <v>404.29686776575136</v>
      </c>
      <c r="AW95" s="348">
        <f t="shared" si="242"/>
        <v>1603.4203864058104</v>
      </c>
      <c r="AX95" s="350">
        <f t="shared" ref="AX95:BB95" si="243">+AX74-AX92</f>
        <v>426.20435886177364</v>
      </c>
      <c r="AY95" s="351">
        <f t="shared" si="243"/>
        <v>382.42386536826768</v>
      </c>
      <c r="AZ95" s="351">
        <f t="shared" si="243"/>
        <v>387.66119112394847</v>
      </c>
      <c r="BA95" s="352">
        <f t="shared" si="243"/>
        <v>391.8474122178493</v>
      </c>
      <c r="BB95" s="348">
        <f t="shared" si="243"/>
        <v>1588.1368275718389</v>
      </c>
      <c r="BC95" s="350">
        <f t="shared" ref="BC95:BL95" si="244">+BC74-BC92</f>
        <v>432.11060886177364</v>
      </c>
      <c r="BD95" s="351">
        <f t="shared" si="244"/>
        <v>388.33011536826768</v>
      </c>
      <c r="BE95" s="351">
        <f t="shared" si="244"/>
        <v>416.06744112394847</v>
      </c>
      <c r="BF95" s="352">
        <f t="shared" si="244"/>
        <v>420.2536622178493</v>
      </c>
      <c r="BG95" s="348">
        <f t="shared" si="244"/>
        <v>1656.7618275718389</v>
      </c>
      <c r="BH95" s="350">
        <f t="shared" si="244"/>
        <v>459.86060886177364</v>
      </c>
      <c r="BI95" s="351">
        <f t="shared" si="244"/>
        <v>416.08011536826757</v>
      </c>
      <c r="BJ95" s="351">
        <f t="shared" si="244"/>
        <v>427.56744112394858</v>
      </c>
      <c r="BK95" s="352">
        <f t="shared" si="244"/>
        <v>431.7536622178493</v>
      </c>
      <c r="BL95" s="348">
        <f t="shared" si="244"/>
        <v>1735.2618275718389</v>
      </c>
      <c r="BM95" s="350">
        <f t="shared" ref="BM95:BQ95" si="245">+BM74-BM92</f>
        <v>471.36060886177353</v>
      </c>
      <c r="BN95" s="351">
        <f t="shared" si="245"/>
        <v>427.58011536826768</v>
      </c>
      <c r="BO95" s="351">
        <f t="shared" si="245"/>
        <v>446.56744112394858</v>
      </c>
      <c r="BP95" s="352">
        <f t="shared" si="245"/>
        <v>450.75366221784941</v>
      </c>
      <c r="BQ95" s="348">
        <f t="shared" si="245"/>
        <v>1796.2618275718389</v>
      </c>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row>
    <row r="96" spans="1:99">
      <c r="A96" s="223"/>
      <c r="B96" s="223"/>
      <c r="C96" s="223" t="s">
        <v>623</v>
      </c>
      <c r="D96" s="223"/>
      <c r="E96" s="638"/>
      <c r="F96" s="639"/>
      <c r="G96" s="639"/>
      <c r="H96" s="640"/>
      <c r="I96" s="392"/>
      <c r="J96" s="376">
        <f t="shared" ref="J96:S96" si="246">+J95/E95-1</f>
        <v>-1.3849431818181768E-2</v>
      </c>
      <c r="K96" s="377">
        <f t="shared" si="246"/>
        <v>-1.3823064770932092E-2</v>
      </c>
      <c r="L96" s="377">
        <f t="shared" si="246"/>
        <v>-1.785076758300419E-3</v>
      </c>
      <c r="M96" s="378">
        <f t="shared" si="246"/>
        <v>0.60339599757429019</v>
      </c>
      <c r="N96" s="375">
        <f t="shared" si="246"/>
        <v>9.3488467034088973E-2</v>
      </c>
      <c r="O96" s="376">
        <f t="shared" si="246"/>
        <v>6.6978754051134848E-2</v>
      </c>
      <c r="P96" s="377">
        <f t="shared" si="246"/>
        <v>9.8918702442931439E-2</v>
      </c>
      <c r="Q96" s="377">
        <f t="shared" si="246"/>
        <v>4.3991416309012932E-2</v>
      </c>
      <c r="R96" s="378">
        <f t="shared" si="246"/>
        <v>3.6686838124053711E-2</v>
      </c>
      <c r="S96" s="375">
        <f t="shared" si="246"/>
        <v>6.0948291954452172E-2</v>
      </c>
      <c r="T96" s="376">
        <f t="shared" ref="T96:AA96" si="247">+T95/O95-1</f>
        <v>-0.22553718078524032</v>
      </c>
      <c r="U96" s="377">
        <f t="shared" si="247"/>
        <v>9.5091192623228959E-3</v>
      </c>
      <c r="V96" s="377">
        <f t="shared" si="247"/>
        <v>6.0699899464182305E-2</v>
      </c>
      <c r="W96" s="378">
        <f t="shared" si="247"/>
        <v>9.1269313076084879E-2</v>
      </c>
      <c r="X96" s="375">
        <f t="shared" si="247"/>
        <v>-1.8898693563241031E-2</v>
      </c>
      <c r="Y96" s="376">
        <f t="shared" si="247"/>
        <v>0.38506476528033118</v>
      </c>
      <c r="Z96" s="377">
        <f t="shared" si="247"/>
        <v>8.1092063065634656E-2</v>
      </c>
      <c r="AA96" s="377">
        <f t="shared" si="247"/>
        <v>5.1676531930523684E-2</v>
      </c>
      <c r="AB96" s="378">
        <f>+AB95/W95-1</f>
        <v>0.17924792439396131</v>
      </c>
      <c r="AC96" s="375">
        <f>+AC95/X95-1</f>
        <v>0.16179927273345518</v>
      </c>
      <c r="AD96" s="376">
        <f>+AD95/Y95-1</f>
        <v>0.10876128766249793</v>
      </c>
      <c r="AE96" s="377">
        <f>+AE95/Z95-1</f>
        <v>8.6524214665784527E-2</v>
      </c>
      <c r="AF96" s="377">
        <f t="shared" ref="AF96" si="248">+AF95/AA95-1</f>
        <v>4.5823922307059561E-2</v>
      </c>
      <c r="AG96" s="378">
        <f>+AG95/AB95-1</f>
        <v>-1.0265423673839869E-2</v>
      </c>
      <c r="AH96" s="375">
        <f>+AH95/AC95-1</f>
        <v>5.5400345400395734E-2</v>
      </c>
      <c r="AI96" s="376">
        <f>+AI95/AD95-1</f>
        <v>9.169031829844454E-2</v>
      </c>
      <c r="AJ96" s="377">
        <f>+AJ95/AE95-1</f>
        <v>4.1556599997712773E-2</v>
      </c>
      <c r="AK96" s="377">
        <f t="shared" ref="AK96" si="249">+AK95/AF95-1</f>
        <v>3.0270373080308E-2</v>
      </c>
      <c r="AL96" s="378">
        <f>+AL95/AG95-1</f>
        <v>0.13290785852171538</v>
      </c>
      <c r="AM96" s="375">
        <f>+AM95/AH95-1</f>
        <v>7.4988230335971684E-2</v>
      </c>
      <c r="AN96" s="376">
        <f>+AN95/AI95-1</f>
        <v>0.11397212634985299</v>
      </c>
      <c r="AO96" s="377">
        <f>+AO95/AJ95-1</f>
        <v>7.1988120464202332E-2</v>
      </c>
      <c r="AP96" s="377">
        <f t="shared" ref="AP96" si="250">+AP95/AK95-1</f>
        <v>9.1432537948172632E-2</v>
      </c>
      <c r="AQ96" s="378">
        <f t="shared" ref="AQ96:AW96" si="251">+AQ95/AL95-1</f>
        <v>6.8961033499409963E-2</v>
      </c>
      <c r="AR96" s="375">
        <f t="shared" si="251"/>
        <v>8.6802380622595932E-2</v>
      </c>
      <c r="AS96" s="376">
        <f t="shared" si="251"/>
        <v>5.843233169759543E-3</v>
      </c>
      <c r="AT96" s="377">
        <f t="shared" si="251"/>
        <v>2.7059206096002653E-2</v>
      </c>
      <c r="AU96" s="377">
        <f t="shared" si="251"/>
        <v>3.1328051597509399E-2</v>
      </c>
      <c r="AV96" s="378">
        <f t="shared" si="251"/>
        <v>-4.3733214203374171E-2</v>
      </c>
      <c r="AW96" s="375">
        <f t="shared" si="251"/>
        <v>3.6564140586508032E-3</v>
      </c>
      <c r="AX96" s="376">
        <f t="shared" ref="AX96:BB96" si="252">+AX95/AS95-1</f>
        <v>-1.1279711888864119E-2</v>
      </c>
      <c r="AY96" s="377">
        <f t="shared" si="252"/>
        <v>2.4896988850908963E-2</v>
      </c>
      <c r="AZ96" s="377">
        <f t="shared" si="252"/>
        <v>-1.8387658423780096E-2</v>
      </c>
      <c r="BA96" s="378">
        <f t="shared" si="252"/>
        <v>-3.0792856785413547E-2</v>
      </c>
      <c r="BB96" s="375">
        <f t="shared" si="252"/>
        <v>-9.5318476449153255E-3</v>
      </c>
      <c r="BC96" s="376">
        <f t="shared" ref="BC96" si="253">+BC95/AX95-1</f>
        <v>1.3857788821712846E-2</v>
      </c>
      <c r="BD96" s="377">
        <f t="shared" ref="BD96" si="254">+BD95/AY95-1</f>
        <v>1.5444250568181328E-2</v>
      </c>
      <c r="BE96" s="377">
        <f t="shared" ref="BE96" si="255">+BE95/AZ95-1</f>
        <v>7.3275970487635345E-2</v>
      </c>
      <c r="BF96" s="378">
        <f t="shared" ref="BF96" si="256">+BF95/BA95-1</f>
        <v>7.2493141754391477E-2</v>
      </c>
      <c r="BG96" s="375">
        <f t="shared" ref="BG96" si="257">+BG95/BB95-1</f>
        <v>4.3211012306114238E-2</v>
      </c>
      <c r="BH96" s="376">
        <f t="shared" ref="BH96" si="258">+BH95/BC95-1</f>
        <v>6.4219668369393856E-2</v>
      </c>
      <c r="BI96" s="377">
        <f t="shared" ref="BI96" si="259">+BI95/BD95-1</f>
        <v>7.1459819627132326E-2</v>
      </c>
      <c r="BJ96" s="377">
        <f t="shared" ref="BJ96" si="260">+BJ95/BE95-1</f>
        <v>2.7639749865873808E-2</v>
      </c>
      <c r="BK96" s="378">
        <f t="shared" ref="BK96" si="261">+BK95/BF95-1</f>
        <v>2.7364425426562144E-2</v>
      </c>
      <c r="BL96" s="375">
        <f t="shared" ref="BL96" si="262">+BL95/BG95-1</f>
        <v>4.7381584180419045E-2</v>
      </c>
      <c r="BM96" s="376">
        <f t="shared" ref="BM96" si="263">+BM95/BH95-1</f>
        <v>2.5007577901625888E-2</v>
      </c>
      <c r="BN96" s="377">
        <f t="shared" ref="BN96" si="264">+BN95/BI95-1</f>
        <v>2.7638907929598222E-2</v>
      </c>
      <c r="BO96" s="377">
        <f t="shared" ref="BO96" si="265">+BO95/BJ95-1</f>
        <v>4.443743412747847E-2</v>
      </c>
      <c r="BP96" s="378">
        <f t="shared" ref="BP96" si="266">+BP95/BK95-1</f>
        <v>4.4006575190121522E-2</v>
      </c>
      <c r="BQ96" s="375">
        <f t="shared" ref="BQ96" si="267">+BQ95/BL95-1</f>
        <v>3.515319649793569E-2</v>
      </c>
      <c r="BR96" s="223"/>
      <c r="BS96" s="223"/>
      <c r="BT96" s="223"/>
      <c r="BU96" s="223"/>
      <c r="BV96" s="223"/>
      <c r="BW96" s="223"/>
      <c r="BX96" s="223"/>
      <c r="BY96" s="223"/>
      <c r="BZ96" s="223"/>
      <c r="CA96" s="223"/>
      <c r="CB96" s="223"/>
      <c r="CC96" s="223"/>
      <c r="CD96" s="223"/>
      <c r="CE96" s="223"/>
      <c r="CF96" s="223"/>
      <c r="CG96" s="223"/>
      <c r="CH96" s="223"/>
      <c r="CI96" s="223"/>
      <c r="CJ96" s="223"/>
      <c r="CK96" s="223"/>
      <c r="CL96" s="223"/>
      <c r="CM96" s="223"/>
      <c r="CN96" s="223"/>
      <c r="CO96" s="223"/>
      <c r="CP96" s="223"/>
      <c r="CQ96" s="223"/>
      <c r="CR96" s="223"/>
      <c r="CS96" s="223"/>
      <c r="CT96" s="223"/>
      <c r="CU96" s="223"/>
    </row>
    <row r="97" spans="1:99">
      <c r="A97" s="223"/>
      <c r="B97" s="223"/>
      <c r="C97" s="223"/>
      <c r="D97" s="223"/>
      <c r="E97" s="638"/>
      <c r="F97" s="639"/>
      <c r="G97" s="639"/>
      <c r="H97" s="640"/>
      <c r="I97" s="392"/>
      <c r="J97" s="376"/>
      <c r="K97" s="377"/>
      <c r="L97" s="377"/>
      <c r="M97" s="378"/>
      <c r="N97" s="375"/>
      <c r="O97" s="376"/>
      <c r="P97" s="377"/>
      <c r="Q97" s="377"/>
      <c r="R97" s="378"/>
      <c r="S97" s="375"/>
      <c r="T97" s="376"/>
      <c r="U97" s="377"/>
      <c r="V97" s="377"/>
      <c r="W97" s="378"/>
      <c r="X97" s="375"/>
      <c r="Y97" s="376"/>
      <c r="Z97" s="377"/>
      <c r="AA97" s="377"/>
      <c r="AB97" s="378"/>
      <c r="AC97" s="375"/>
      <c r="AD97" s="376"/>
      <c r="AE97" s="377"/>
      <c r="AF97" s="377"/>
      <c r="AG97" s="378"/>
      <c r="AH97" s="375"/>
      <c r="AI97" s="376"/>
      <c r="AJ97" s="377"/>
      <c r="AK97" s="377"/>
      <c r="AL97" s="378"/>
      <c r="AM97" s="375"/>
      <c r="AN97" s="376"/>
      <c r="AO97" s="377"/>
      <c r="AP97" s="377"/>
      <c r="AQ97" s="378"/>
      <c r="AR97" s="375"/>
      <c r="AS97" s="376"/>
      <c r="AT97" s="377"/>
      <c r="AU97" s="377"/>
      <c r="AV97" s="378"/>
      <c r="AW97" s="375"/>
      <c r="AX97" s="376"/>
      <c r="AY97" s="377"/>
      <c r="AZ97" s="377"/>
      <c r="BA97" s="378"/>
      <c r="BB97" s="375"/>
      <c r="BC97" s="376"/>
      <c r="BD97" s="377"/>
      <c r="BE97" s="377"/>
      <c r="BF97" s="378"/>
      <c r="BG97" s="375"/>
      <c r="BH97" s="376"/>
      <c r="BI97" s="377"/>
      <c r="BJ97" s="377"/>
      <c r="BK97" s="378"/>
      <c r="BL97" s="375"/>
      <c r="BM97" s="376"/>
      <c r="BN97" s="377"/>
      <c r="BO97" s="377"/>
      <c r="BP97" s="378"/>
      <c r="BQ97" s="375"/>
      <c r="BR97" s="223"/>
      <c r="BS97" s="223"/>
      <c r="BT97" s="223"/>
      <c r="BU97" s="223"/>
      <c r="BV97" s="223"/>
      <c r="BW97" s="223"/>
      <c r="BX97" s="223"/>
      <c r="BY97" s="223"/>
      <c r="BZ97" s="223"/>
      <c r="CA97" s="223"/>
      <c r="CB97" s="223"/>
      <c r="CC97" s="223"/>
      <c r="CD97" s="223"/>
      <c r="CE97" s="223"/>
      <c r="CF97" s="223"/>
      <c r="CG97" s="223"/>
      <c r="CH97" s="223"/>
      <c r="CI97" s="223"/>
      <c r="CJ97" s="223"/>
      <c r="CK97" s="223"/>
      <c r="CL97" s="223"/>
      <c r="CM97" s="223"/>
      <c r="CN97" s="223"/>
      <c r="CO97" s="223"/>
      <c r="CP97" s="223"/>
      <c r="CQ97" s="223"/>
      <c r="CR97" s="223"/>
      <c r="CS97" s="223"/>
      <c r="CT97" s="223"/>
      <c r="CU97" s="223"/>
    </row>
    <row r="98" spans="1:99">
      <c r="A98" s="223"/>
      <c r="B98" s="223"/>
      <c r="C98" s="32" t="s">
        <v>1254</v>
      </c>
      <c r="D98" s="223"/>
      <c r="E98" s="638"/>
      <c r="F98" s="639"/>
      <c r="G98" s="639"/>
      <c r="H98" s="640"/>
      <c r="I98" s="392"/>
      <c r="J98" s="376"/>
      <c r="K98" s="377"/>
      <c r="L98" s="377"/>
      <c r="M98" s="378"/>
      <c r="N98" s="375"/>
      <c r="O98" s="376"/>
      <c r="P98" s="377"/>
      <c r="Q98" s="377"/>
      <c r="R98" s="378"/>
      <c r="S98" s="375"/>
      <c r="T98" s="376"/>
      <c r="U98" s="377"/>
      <c r="V98" s="377"/>
      <c r="W98" s="378"/>
      <c r="X98" s="375"/>
      <c r="Y98" s="376"/>
      <c r="Z98" s="377"/>
      <c r="AA98" s="377"/>
      <c r="AB98" s="378"/>
      <c r="AC98" s="375"/>
      <c r="AD98" s="376"/>
      <c r="AE98" s="377"/>
      <c r="AF98" s="377"/>
      <c r="AG98" s="378"/>
      <c r="AH98" s="375"/>
      <c r="AI98" s="376"/>
      <c r="AJ98" s="377"/>
      <c r="AK98" s="377"/>
      <c r="AL98" s="378"/>
      <c r="AM98" s="375"/>
      <c r="AN98" s="376"/>
      <c r="AO98" s="377"/>
      <c r="AP98" s="377"/>
      <c r="AQ98" s="378"/>
      <c r="AR98" s="375"/>
      <c r="AS98" s="376"/>
      <c r="AT98" s="377"/>
      <c r="AU98" s="377"/>
      <c r="AV98" s="378"/>
      <c r="AW98" s="375"/>
      <c r="AX98" s="376"/>
      <c r="AY98" s="377"/>
      <c r="AZ98" s="377"/>
      <c r="BA98" s="378"/>
      <c r="BB98" s="375"/>
      <c r="BC98" s="376"/>
      <c r="BD98" s="377"/>
      <c r="BE98" s="377"/>
      <c r="BF98" s="378"/>
      <c r="BG98" s="375"/>
      <c r="BH98" s="376"/>
      <c r="BI98" s="377"/>
      <c r="BJ98" s="377"/>
      <c r="BK98" s="378"/>
      <c r="BL98" s="375"/>
      <c r="BM98" s="376"/>
      <c r="BN98" s="377"/>
      <c r="BO98" s="377"/>
      <c r="BP98" s="378"/>
      <c r="BQ98" s="375"/>
      <c r="BR98" s="223"/>
      <c r="BS98" s="223"/>
      <c r="BT98" s="223"/>
      <c r="BU98" s="223"/>
      <c r="BV98" s="223"/>
      <c r="BW98" s="223"/>
      <c r="BX98" s="223"/>
      <c r="BY98" s="223"/>
      <c r="BZ98" s="223"/>
      <c r="CA98" s="223"/>
      <c r="CB98" s="223"/>
      <c r="CC98" s="223"/>
      <c r="CD98" s="223"/>
      <c r="CE98" s="223"/>
      <c r="CF98" s="223"/>
      <c r="CG98" s="223"/>
      <c r="CH98" s="223"/>
      <c r="CI98" s="223"/>
      <c r="CJ98" s="223"/>
      <c r="CK98" s="223"/>
      <c r="CL98" s="223"/>
      <c r="CM98" s="223"/>
      <c r="CN98" s="223"/>
      <c r="CO98" s="223"/>
      <c r="CP98" s="223"/>
      <c r="CQ98" s="223"/>
      <c r="CR98" s="223"/>
      <c r="CS98" s="223"/>
      <c r="CT98" s="223"/>
      <c r="CU98" s="223"/>
    </row>
    <row r="99" spans="1:99">
      <c r="A99" s="223"/>
      <c r="B99" s="223"/>
      <c r="C99" s="28" t="s">
        <v>1255</v>
      </c>
      <c r="D99" s="223"/>
      <c r="E99" s="638"/>
      <c r="F99" s="639"/>
      <c r="G99" s="639"/>
      <c r="H99" s="640"/>
      <c r="I99" s="392"/>
      <c r="J99" s="376"/>
      <c r="K99" s="377"/>
      <c r="L99" s="377"/>
      <c r="M99" s="378"/>
      <c r="N99" s="375"/>
      <c r="O99" s="376"/>
      <c r="P99" s="377"/>
      <c r="Q99" s="377"/>
      <c r="R99" s="378"/>
      <c r="S99" s="375"/>
      <c r="T99" s="376"/>
      <c r="U99" s="377"/>
      <c r="V99" s="377"/>
      <c r="W99" s="378"/>
      <c r="X99" s="375"/>
      <c r="Y99" s="376"/>
      <c r="Z99" s="377"/>
      <c r="AA99" s="377"/>
      <c r="AB99" s="378"/>
      <c r="AC99" s="375"/>
      <c r="AD99" s="376"/>
      <c r="AE99" s="377"/>
      <c r="AF99" s="377"/>
      <c r="AG99" s="378"/>
      <c r="AH99" s="375"/>
      <c r="AI99" s="376"/>
      <c r="AJ99" s="377"/>
      <c r="AK99" s="377"/>
      <c r="AL99" s="378"/>
      <c r="AM99" s="375"/>
      <c r="AN99" s="376"/>
      <c r="AO99" s="377"/>
      <c r="AP99" s="377"/>
      <c r="AQ99" s="378"/>
      <c r="AR99" s="375"/>
      <c r="AS99" s="376"/>
      <c r="AT99" s="377"/>
      <c r="AU99" s="377"/>
      <c r="AV99" s="378"/>
      <c r="AW99" s="375"/>
      <c r="AX99" s="376"/>
      <c r="AY99" s="377"/>
      <c r="AZ99" s="377"/>
      <c r="BA99" s="378"/>
      <c r="BB99" s="375"/>
      <c r="BC99" s="376"/>
      <c r="BD99" s="377"/>
      <c r="BE99" s="377"/>
      <c r="BF99" s="378"/>
      <c r="BG99" s="375"/>
      <c r="BH99" s="376"/>
      <c r="BI99" s="377"/>
      <c r="BJ99" s="377"/>
      <c r="BK99" s="378"/>
      <c r="BL99" s="375"/>
      <c r="BM99" s="376"/>
      <c r="BN99" s="377"/>
      <c r="BO99" s="377"/>
      <c r="BP99" s="378"/>
      <c r="BQ99" s="375"/>
      <c r="BR99" s="223"/>
      <c r="BS99" s="223"/>
      <c r="BT99" s="223"/>
      <c r="BU99" s="223"/>
      <c r="BV99" s="223"/>
      <c r="BW99" s="223"/>
      <c r="BX99" s="223"/>
      <c r="BY99" s="223"/>
      <c r="BZ99" s="223"/>
      <c r="CA99" s="223"/>
      <c r="CB99" s="223"/>
      <c r="CC99" s="223"/>
      <c r="CD99" s="223"/>
      <c r="CE99" s="223"/>
      <c r="CF99" s="223"/>
      <c r="CG99" s="223"/>
      <c r="CH99" s="223"/>
      <c r="CI99" s="223"/>
      <c r="CJ99" s="223"/>
      <c r="CK99" s="223"/>
      <c r="CL99" s="223"/>
      <c r="CM99" s="223"/>
      <c r="CN99" s="223"/>
      <c r="CO99" s="223"/>
      <c r="CP99" s="223"/>
      <c r="CQ99" s="223"/>
      <c r="CR99" s="223"/>
      <c r="CS99" s="223"/>
      <c r="CT99" s="223"/>
      <c r="CU99" s="223"/>
    </row>
    <row r="100" spans="1:99">
      <c r="A100" s="223"/>
      <c r="B100" s="223"/>
      <c r="C100" s="1319" t="s">
        <v>1256</v>
      </c>
      <c r="D100" s="223"/>
      <c r="E100" s="638"/>
      <c r="F100" s="639"/>
      <c r="G100" s="639"/>
      <c r="H100" s="640"/>
      <c r="I100" s="392"/>
      <c r="J100" s="376"/>
      <c r="K100" s="377"/>
      <c r="L100" s="377"/>
      <c r="M100" s="378"/>
      <c r="N100" s="375"/>
      <c r="O100" s="376"/>
      <c r="P100" s="377"/>
      <c r="Q100" s="377"/>
      <c r="R100" s="378"/>
      <c r="S100" s="375"/>
      <c r="T100" s="376"/>
      <c r="U100" s="377"/>
      <c r="V100" s="377"/>
      <c r="W100" s="378"/>
      <c r="X100" s="375"/>
      <c r="Y100" s="624">
        <v>2451</v>
      </c>
      <c r="Z100" s="625">
        <v>492</v>
      </c>
      <c r="AA100" s="1452">
        <v>111</v>
      </c>
      <c r="AB100" s="1457">
        <v>1690</v>
      </c>
      <c r="AC100" s="1443">
        <f>SUM(Y100:AB100)</f>
        <v>4744</v>
      </c>
      <c r="AD100" s="624">
        <v>2861</v>
      </c>
      <c r="AE100" s="625">
        <v>497</v>
      </c>
      <c r="AF100" s="1452">
        <v>82</v>
      </c>
      <c r="AG100" s="1457">
        <v>1652</v>
      </c>
      <c r="AH100" s="1443">
        <f>SUM(AD100:AG100)</f>
        <v>5092</v>
      </c>
      <c r="AI100" s="624">
        <v>2950</v>
      </c>
      <c r="AJ100" s="625">
        <v>422</v>
      </c>
      <c r="AK100" s="1452">
        <v>46</v>
      </c>
      <c r="AL100" s="1457">
        <f>4666-AI100-AJ100-AK100</f>
        <v>1248</v>
      </c>
      <c r="AM100" s="1443">
        <f>SUM(AI100:AL100)</f>
        <v>4666</v>
      </c>
      <c r="AN100" s="624">
        <v>2280</v>
      </c>
      <c r="AO100" s="625">
        <v>574</v>
      </c>
      <c r="AP100" s="1452">
        <v>24</v>
      </c>
      <c r="AQ100" s="1457">
        <f>4427-AN100-AO100-AP100</f>
        <v>1549</v>
      </c>
      <c r="AR100" s="1443">
        <f>SUM(AN100:AQ100)</f>
        <v>4427</v>
      </c>
      <c r="AS100" s="624">
        <v>2063</v>
      </c>
      <c r="AT100" s="625">
        <v>397</v>
      </c>
      <c r="AU100" s="625">
        <v>64</v>
      </c>
      <c r="AV100" s="1457">
        <f>4190-AS100-AT100-AU100</f>
        <v>1666</v>
      </c>
      <c r="AW100" s="1443">
        <f>SUM(AS100:AV100)</f>
        <v>4190</v>
      </c>
      <c r="AX100" s="376"/>
      <c r="AY100" s="377"/>
      <c r="AZ100" s="377"/>
      <c r="BA100" s="378"/>
      <c r="BB100" s="375"/>
      <c r="BC100" s="376"/>
      <c r="BD100" s="377"/>
      <c r="BE100" s="377"/>
      <c r="BF100" s="378"/>
      <c r="BG100" s="375"/>
      <c r="BH100" s="376"/>
      <c r="BI100" s="377"/>
      <c r="BJ100" s="377"/>
      <c r="BK100" s="378"/>
      <c r="BL100" s="375"/>
      <c r="BM100" s="376"/>
      <c r="BN100" s="377"/>
      <c r="BO100" s="377"/>
      <c r="BP100" s="378"/>
      <c r="BQ100" s="375"/>
      <c r="BR100" s="223"/>
      <c r="BS100" s="223"/>
      <c r="BT100" s="223"/>
      <c r="BU100" s="223"/>
      <c r="BV100" s="223"/>
      <c r="BW100" s="223"/>
      <c r="BX100" s="223"/>
      <c r="BY100" s="223"/>
      <c r="BZ100" s="223"/>
      <c r="CA100" s="223"/>
      <c r="CB100" s="223"/>
      <c r="CC100" s="223"/>
      <c r="CD100" s="223"/>
      <c r="CE100" s="223"/>
      <c r="CF100" s="223"/>
      <c r="CG100" s="223"/>
      <c r="CH100" s="223"/>
      <c r="CI100" s="223"/>
      <c r="CJ100" s="223"/>
      <c r="CK100" s="223"/>
      <c r="CL100" s="223"/>
      <c r="CM100" s="223"/>
      <c r="CN100" s="223"/>
      <c r="CO100" s="223"/>
      <c r="CP100" s="223"/>
      <c r="CQ100" s="223"/>
      <c r="CR100" s="223"/>
      <c r="CS100" s="223"/>
      <c r="CT100" s="223"/>
      <c r="CU100" s="223"/>
    </row>
    <row r="101" spans="1:99">
      <c r="A101" s="223"/>
      <c r="B101" s="223"/>
      <c r="C101" s="1319" t="s">
        <v>1257</v>
      </c>
      <c r="D101" s="223"/>
      <c r="E101" s="638"/>
      <c r="F101" s="639"/>
      <c r="G101" s="639"/>
      <c r="H101" s="640"/>
      <c r="I101" s="392"/>
      <c r="J101" s="376"/>
      <c r="K101" s="377"/>
      <c r="L101" s="377"/>
      <c r="M101" s="378"/>
      <c r="N101" s="375"/>
      <c r="O101" s="376"/>
      <c r="P101" s="377"/>
      <c r="Q101" s="377"/>
      <c r="R101" s="378"/>
      <c r="S101" s="375"/>
      <c r="T101" s="376"/>
      <c r="U101" s="377"/>
      <c r="V101" s="377"/>
      <c r="W101" s="378"/>
      <c r="X101" s="375"/>
      <c r="Y101" s="624">
        <v>1</v>
      </c>
      <c r="Z101" s="625">
        <v>263</v>
      </c>
      <c r="AA101" s="1452">
        <v>567</v>
      </c>
      <c r="AB101" s="1457">
        <v>39</v>
      </c>
      <c r="AC101" s="1443">
        <f>SUM(Y101:AB101)</f>
        <v>870</v>
      </c>
      <c r="AD101" s="624">
        <v>0</v>
      </c>
      <c r="AE101" s="625">
        <v>233</v>
      </c>
      <c r="AF101" s="1452">
        <v>484</v>
      </c>
      <c r="AG101" s="1457">
        <v>16</v>
      </c>
      <c r="AH101" s="1443">
        <f>SUM(AD101:AG101)</f>
        <v>733</v>
      </c>
      <c r="AI101" s="624">
        <v>0</v>
      </c>
      <c r="AJ101" s="625">
        <v>317</v>
      </c>
      <c r="AK101" s="1452">
        <v>592</v>
      </c>
      <c r="AL101" s="1457">
        <f>924-AI101-AJ101-AK101</f>
        <v>15</v>
      </c>
      <c r="AM101" s="1443">
        <f>SUM(AI101:AL101)</f>
        <v>924</v>
      </c>
      <c r="AN101" s="624">
        <v>0</v>
      </c>
      <c r="AO101" s="625">
        <v>219</v>
      </c>
      <c r="AP101" s="1452">
        <v>747</v>
      </c>
      <c r="AQ101" s="1457">
        <f>998-AN101-AO101-AP101</f>
        <v>32</v>
      </c>
      <c r="AR101" s="1443">
        <f>SUM(AN101:AQ101)</f>
        <v>998</v>
      </c>
      <c r="AS101" s="624">
        <v>0</v>
      </c>
      <c r="AT101" s="625">
        <v>283</v>
      </c>
      <c r="AU101" s="625">
        <v>595</v>
      </c>
      <c r="AV101" s="1457">
        <v>63</v>
      </c>
      <c r="AW101" s="1443">
        <f>SUM(AS101:AV101)</f>
        <v>941</v>
      </c>
      <c r="AX101" s="376"/>
      <c r="AY101" s="377"/>
      <c r="AZ101" s="377"/>
      <c r="BA101" s="378"/>
      <c r="BB101" s="375"/>
      <c r="BC101" s="376"/>
      <c r="BD101" s="377"/>
      <c r="BE101" s="377"/>
      <c r="BF101" s="378"/>
      <c r="BG101" s="375"/>
      <c r="BH101" s="376"/>
      <c r="BI101" s="377"/>
      <c r="BJ101" s="377"/>
      <c r="BK101" s="378"/>
      <c r="BL101" s="375"/>
      <c r="BM101" s="376"/>
      <c r="BN101" s="377"/>
      <c r="BO101" s="377"/>
      <c r="BP101" s="378"/>
      <c r="BQ101" s="375"/>
      <c r="BR101" s="223"/>
      <c r="BS101" s="223"/>
      <c r="BT101" s="223"/>
      <c r="BU101" s="223"/>
      <c r="BV101" s="223"/>
      <c r="BW101" s="223"/>
      <c r="BX101" s="223"/>
      <c r="BY101" s="223"/>
      <c r="BZ101" s="223"/>
      <c r="CA101" s="223"/>
      <c r="CB101" s="223"/>
      <c r="CC101" s="223"/>
      <c r="CD101" s="223"/>
      <c r="CE101" s="223"/>
      <c r="CF101" s="223"/>
      <c r="CG101" s="223"/>
      <c r="CH101" s="223"/>
      <c r="CI101" s="223"/>
      <c r="CJ101" s="223"/>
      <c r="CK101" s="223"/>
      <c r="CL101" s="223"/>
      <c r="CM101" s="223"/>
      <c r="CN101" s="223"/>
      <c r="CO101" s="223"/>
      <c r="CP101" s="223"/>
      <c r="CQ101" s="223"/>
      <c r="CR101" s="223"/>
      <c r="CS101" s="223"/>
      <c r="CT101" s="223"/>
      <c r="CU101" s="223"/>
    </row>
    <row r="102" spans="1:99">
      <c r="A102" s="223"/>
      <c r="B102" s="223"/>
      <c r="C102" s="1319"/>
      <c r="D102" s="223"/>
      <c r="E102" s="638"/>
      <c r="F102" s="639"/>
      <c r="G102" s="639"/>
      <c r="H102" s="640"/>
      <c r="I102" s="392"/>
      <c r="J102" s="376"/>
      <c r="K102" s="377"/>
      <c r="L102" s="377"/>
      <c r="M102" s="378"/>
      <c r="N102" s="375"/>
      <c r="O102" s="376"/>
      <c r="P102" s="377"/>
      <c r="Q102" s="377"/>
      <c r="R102" s="378"/>
      <c r="S102" s="375"/>
      <c r="T102" s="376"/>
      <c r="U102" s="377"/>
      <c r="V102" s="377"/>
      <c r="W102" s="378"/>
      <c r="X102" s="375"/>
      <c r="Y102" s="624"/>
      <c r="Z102" s="625"/>
      <c r="AA102" s="1452"/>
      <c r="AB102" s="1457"/>
      <c r="AC102" s="1443"/>
      <c r="AD102" s="624"/>
      <c r="AE102" s="625"/>
      <c r="AF102" s="1452"/>
      <c r="AG102" s="1457"/>
      <c r="AH102" s="1443"/>
      <c r="AI102" s="624"/>
      <c r="AJ102" s="625"/>
      <c r="AK102" s="1452"/>
      <c r="AL102" s="1457"/>
      <c r="AM102" s="1443"/>
      <c r="AN102" s="624"/>
      <c r="AO102" s="625"/>
      <c r="AP102" s="1452"/>
      <c r="AQ102" s="1457"/>
      <c r="AR102" s="1443"/>
      <c r="AS102" s="624"/>
      <c r="AT102" s="625"/>
      <c r="AU102" s="377"/>
      <c r="AV102" s="1457"/>
      <c r="AW102" s="1443"/>
      <c r="AX102" s="376"/>
      <c r="AY102" s="377"/>
      <c r="AZ102" s="377"/>
      <c r="BA102" s="378"/>
      <c r="BB102" s="375"/>
      <c r="BC102" s="376"/>
      <c r="BD102" s="377"/>
      <c r="BE102" s="377"/>
      <c r="BF102" s="378"/>
      <c r="BG102" s="375"/>
      <c r="BH102" s="376"/>
      <c r="BI102" s="377"/>
      <c r="BJ102" s="377"/>
      <c r="BK102" s="378"/>
      <c r="BL102" s="375"/>
      <c r="BM102" s="376"/>
      <c r="BN102" s="377"/>
      <c r="BO102" s="377"/>
      <c r="BP102" s="378"/>
      <c r="BQ102" s="375"/>
      <c r="BR102" s="223"/>
      <c r="BS102" s="223"/>
      <c r="BT102" s="223"/>
      <c r="BU102" s="223"/>
      <c r="BV102" s="223"/>
      <c r="BW102" s="223"/>
      <c r="BX102" s="223"/>
      <c r="BY102" s="223"/>
      <c r="BZ102" s="223"/>
      <c r="CA102" s="223"/>
      <c r="CB102" s="223"/>
      <c r="CC102" s="223"/>
      <c r="CD102" s="223"/>
      <c r="CE102" s="223"/>
      <c r="CF102" s="223"/>
      <c r="CG102" s="223"/>
      <c r="CH102" s="223"/>
      <c r="CI102" s="223"/>
      <c r="CJ102" s="223"/>
      <c r="CK102" s="223"/>
      <c r="CL102" s="223"/>
      <c r="CM102" s="223"/>
      <c r="CN102" s="223"/>
      <c r="CO102" s="223"/>
      <c r="CP102" s="223"/>
      <c r="CQ102" s="223"/>
      <c r="CR102" s="223"/>
      <c r="CS102" s="223"/>
      <c r="CT102" s="223"/>
      <c r="CU102" s="223"/>
    </row>
    <row r="103" spans="1:99">
      <c r="A103" s="223"/>
      <c r="B103" s="223"/>
      <c r="C103" s="24" t="s">
        <v>1258</v>
      </c>
      <c r="D103" s="223"/>
      <c r="E103" s="638"/>
      <c r="F103" s="639"/>
      <c r="G103" s="639"/>
      <c r="H103" s="640"/>
      <c r="I103" s="392"/>
      <c r="J103" s="376"/>
      <c r="K103" s="377"/>
      <c r="L103" s="377"/>
      <c r="M103" s="378"/>
      <c r="N103" s="375"/>
      <c r="O103" s="376"/>
      <c r="P103" s="377"/>
      <c r="Q103" s="377"/>
      <c r="R103" s="378"/>
      <c r="S103" s="375"/>
      <c r="T103" s="376"/>
      <c r="U103" s="377"/>
      <c r="V103" s="377"/>
      <c r="W103" s="378"/>
      <c r="X103" s="375"/>
      <c r="Y103" s="624"/>
      <c r="Z103" s="625"/>
      <c r="AA103" s="1452"/>
      <c r="AB103" s="1457"/>
      <c r="AC103" s="1443"/>
      <c r="AD103" s="624"/>
      <c r="AE103" s="625"/>
      <c r="AF103" s="1452"/>
      <c r="AG103" s="1457"/>
      <c r="AH103" s="1443"/>
      <c r="AI103" s="624"/>
      <c r="AJ103" s="625"/>
      <c r="AK103" s="1452"/>
      <c r="AL103" s="1457"/>
      <c r="AM103" s="1443"/>
      <c r="AN103" s="624"/>
      <c r="AO103" s="625"/>
      <c r="AP103" s="1452"/>
      <c r="AQ103" s="1457"/>
      <c r="AR103" s="1443"/>
      <c r="AS103" s="624"/>
      <c r="AT103" s="625"/>
      <c r="AU103" s="377"/>
      <c r="AV103" s="1457"/>
      <c r="AW103" s="1443"/>
      <c r="AX103" s="376"/>
      <c r="AY103" s="377"/>
      <c r="AZ103" s="377"/>
      <c r="BA103" s="378"/>
      <c r="BB103" s="375"/>
      <c r="BC103" s="376"/>
      <c r="BD103" s="377"/>
      <c r="BE103" s="377"/>
      <c r="BF103" s="378"/>
      <c r="BG103" s="375"/>
      <c r="BH103" s="376"/>
      <c r="BI103" s="377"/>
      <c r="BJ103" s="377"/>
      <c r="BK103" s="378"/>
      <c r="BL103" s="375"/>
      <c r="BM103" s="376"/>
      <c r="BN103" s="377"/>
      <c r="BO103" s="377"/>
      <c r="BP103" s="378"/>
      <c r="BQ103" s="375"/>
      <c r="BR103" s="223"/>
      <c r="BS103" s="223"/>
      <c r="BT103" s="223"/>
      <c r="BU103" s="223"/>
      <c r="BV103" s="223"/>
      <c r="BW103" s="223"/>
      <c r="BX103" s="223"/>
      <c r="BY103" s="223"/>
      <c r="BZ103" s="223"/>
      <c r="CA103" s="223"/>
      <c r="CB103" s="223"/>
      <c r="CC103" s="223"/>
      <c r="CD103" s="223"/>
      <c r="CE103" s="223"/>
      <c r="CF103" s="223"/>
      <c r="CG103" s="223"/>
      <c r="CH103" s="223"/>
      <c r="CI103" s="223"/>
      <c r="CJ103" s="223"/>
      <c r="CK103" s="223"/>
      <c r="CL103" s="223"/>
      <c r="CM103" s="223"/>
      <c r="CN103" s="223"/>
      <c r="CO103" s="223"/>
      <c r="CP103" s="223"/>
      <c r="CQ103" s="223"/>
      <c r="CR103" s="223"/>
      <c r="CS103" s="223"/>
      <c r="CT103" s="223"/>
      <c r="CU103" s="223"/>
    </row>
    <row r="104" spans="1:99">
      <c r="A104" s="223"/>
      <c r="B104" s="223"/>
      <c r="C104" s="1319" t="s">
        <v>1256</v>
      </c>
      <c r="D104" s="223"/>
      <c r="E104" s="638"/>
      <c r="F104" s="639"/>
      <c r="G104" s="639"/>
      <c r="H104" s="640"/>
      <c r="I104" s="392"/>
      <c r="J104" s="376"/>
      <c r="K104" s="377"/>
      <c r="L104" s="377"/>
      <c r="M104" s="378"/>
      <c r="N104" s="375"/>
      <c r="O104" s="376"/>
      <c r="P104" s="377"/>
      <c r="Q104" s="377"/>
      <c r="R104" s="378"/>
      <c r="S104" s="375"/>
      <c r="T104" s="376"/>
      <c r="U104" s="377"/>
      <c r="V104" s="377"/>
      <c r="W104" s="378"/>
      <c r="X104" s="375"/>
      <c r="Y104" s="624">
        <v>2384</v>
      </c>
      <c r="Z104" s="625">
        <v>517</v>
      </c>
      <c r="AA104" s="1452">
        <v>81</v>
      </c>
      <c r="AB104" s="1457">
        <v>1678</v>
      </c>
      <c r="AC104" s="1443">
        <f>SUM(Y104:AB104)</f>
        <v>4660</v>
      </c>
      <c r="AD104" s="624">
        <v>2387</v>
      </c>
      <c r="AE104" s="625">
        <v>513</v>
      </c>
      <c r="AF104" s="1452">
        <v>81</v>
      </c>
      <c r="AG104" s="1457">
        <v>1681</v>
      </c>
      <c r="AH104" s="1443">
        <f>SUM(AD104:AG104)</f>
        <v>4662</v>
      </c>
      <c r="AI104" s="624">
        <v>2395</v>
      </c>
      <c r="AJ104" s="625">
        <v>509</v>
      </c>
      <c r="AK104" s="1452">
        <v>81</v>
      </c>
      <c r="AL104" s="1457">
        <f>4663-AI104-AJ104-AK104</f>
        <v>1678</v>
      </c>
      <c r="AM104" s="1443">
        <f>SUM(AI104:AL104)</f>
        <v>4663</v>
      </c>
      <c r="AN104" s="624">
        <v>2412</v>
      </c>
      <c r="AO104" s="625">
        <v>509</v>
      </c>
      <c r="AP104" s="1452">
        <v>79</v>
      </c>
      <c r="AQ104" s="1457">
        <f>4684-AN104-AO104-AP104</f>
        <v>1684</v>
      </c>
      <c r="AR104" s="1443">
        <f>SUM(AN104:AQ104)</f>
        <v>4684</v>
      </c>
      <c r="AS104" s="624">
        <v>2404</v>
      </c>
      <c r="AT104" s="625">
        <v>511</v>
      </c>
      <c r="AU104" s="625">
        <v>78</v>
      </c>
      <c r="AV104" s="1457">
        <v>1674</v>
      </c>
      <c r="AW104" s="1443">
        <f>SUM(AS104:AV104)</f>
        <v>4667</v>
      </c>
      <c r="AX104" s="376"/>
      <c r="AY104" s="377"/>
      <c r="AZ104" s="377"/>
      <c r="BA104" s="378"/>
      <c r="BB104" s="375"/>
      <c r="BC104" s="376"/>
      <c r="BD104" s="377"/>
      <c r="BE104" s="377"/>
      <c r="BF104" s="378"/>
      <c r="BG104" s="375"/>
      <c r="BH104" s="376"/>
      <c r="BI104" s="377"/>
      <c r="BJ104" s="377"/>
      <c r="BK104" s="378"/>
      <c r="BL104" s="375"/>
      <c r="BM104" s="376"/>
      <c r="BN104" s="377"/>
      <c r="BO104" s="377"/>
      <c r="BP104" s="378"/>
      <c r="BQ104" s="375"/>
      <c r="BR104" s="223"/>
      <c r="BS104" s="223"/>
      <c r="BT104" s="223"/>
      <c r="BU104" s="223"/>
      <c r="BV104" s="223"/>
      <c r="BW104" s="223"/>
      <c r="BX104" s="223"/>
      <c r="BY104" s="223"/>
      <c r="BZ104" s="223"/>
      <c r="CA104" s="223"/>
      <c r="CB104" s="223"/>
      <c r="CC104" s="223"/>
      <c r="CD104" s="223"/>
      <c r="CE104" s="223"/>
      <c r="CF104" s="223"/>
      <c r="CG104" s="223"/>
      <c r="CH104" s="223"/>
      <c r="CI104" s="223"/>
      <c r="CJ104" s="223"/>
      <c r="CK104" s="223"/>
      <c r="CL104" s="223"/>
      <c r="CM104" s="223"/>
      <c r="CN104" s="223"/>
      <c r="CO104" s="223"/>
      <c r="CP104" s="223"/>
      <c r="CQ104" s="223"/>
      <c r="CR104" s="223"/>
      <c r="CS104" s="223"/>
      <c r="CT104" s="223"/>
      <c r="CU104" s="223"/>
    </row>
    <row r="105" spans="1:99">
      <c r="A105" s="223"/>
      <c r="B105" s="223"/>
      <c r="C105" s="1319" t="s">
        <v>1257</v>
      </c>
      <c r="D105" s="223"/>
      <c r="E105" s="638"/>
      <c r="F105" s="639"/>
      <c r="G105" s="639"/>
      <c r="H105" s="640"/>
      <c r="I105" s="392"/>
      <c r="J105" s="376"/>
      <c r="K105" s="377"/>
      <c r="L105" s="377"/>
      <c r="M105" s="378"/>
      <c r="N105" s="375"/>
      <c r="O105" s="376"/>
      <c r="P105" s="377"/>
      <c r="Q105" s="377"/>
      <c r="R105" s="378"/>
      <c r="S105" s="375"/>
      <c r="T105" s="376"/>
      <c r="U105" s="377"/>
      <c r="V105" s="377"/>
      <c r="W105" s="378"/>
      <c r="X105" s="375"/>
      <c r="Y105" s="624">
        <v>0</v>
      </c>
      <c r="Z105" s="625">
        <v>250</v>
      </c>
      <c r="AA105" s="1452">
        <v>596</v>
      </c>
      <c r="AB105" s="1457">
        <v>26</v>
      </c>
      <c r="AC105" s="1443">
        <f>SUM(Y105:AB105)</f>
        <v>872</v>
      </c>
      <c r="AD105" s="624">
        <v>0</v>
      </c>
      <c r="AE105" s="625">
        <v>252</v>
      </c>
      <c r="AF105" s="1452">
        <v>596</v>
      </c>
      <c r="AG105" s="1457">
        <v>25</v>
      </c>
      <c r="AH105" s="1443">
        <f>SUM(AD105:AG105)</f>
        <v>873</v>
      </c>
      <c r="AI105" s="624">
        <v>0</v>
      </c>
      <c r="AJ105" s="625">
        <v>253</v>
      </c>
      <c r="AK105" s="1452">
        <v>593</v>
      </c>
      <c r="AL105" s="1457">
        <v>26</v>
      </c>
      <c r="AM105" s="1443">
        <f>SUM(AI105:AL105)</f>
        <v>872</v>
      </c>
      <c r="AN105" s="624">
        <v>0</v>
      </c>
      <c r="AO105" s="625">
        <v>253</v>
      </c>
      <c r="AP105" s="1452">
        <v>594</v>
      </c>
      <c r="AQ105" s="1457">
        <f>876-AN105-AO105-AP105</f>
        <v>29</v>
      </c>
      <c r="AR105" s="1443">
        <f>SUM(AN105:AQ105)</f>
        <v>876</v>
      </c>
      <c r="AS105" s="624">
        <v>0</v>
      </c>
      <c r="AT105" s="625">
        <v>255</v>
      </c>
      <c r="AU105" s="625">
        <v>596</v>
      </c>
      <c r="AV105" s="1457">
        <v>25</v>
      </c>
      <c r="AW105" s="1443">
        <f>SUM(AS105:AV105)</f>
        <v>876</v>
      </c>
      <c r="AX105" s="376"/>
      <c r="AY105" s="377"/>
      <c r="AZ105" s="377"/>
      <c r="BA105" s="378"/>
      <c r="BB105" s="375"/>
      <c r="BC105" s="376"/>
      <c r="BD105" s="377"/>
      <c r="BE105" s="377"/>
      <c r="BF105" s="378"/>
      <c r="BG105" s="375"/>
      <c r="BH105" s="376"/>
      <c r="BI105" s="377"/>
      <c r="BJ105" s="377"/>
      <c r="BK105" s="378"/>
      <c r="BL105" s="375"/>
      <c r="BM105" s="376"/>
      <c r="BN105" s="377"/>
      <c r="BO105" s="377"/>
      <c r="BP105" s="378"/>
      <c r="BQ105" s="375"/>
      <c r="BR105" s="223"/>
      <c r="BS105" s="223"/>
      <c r="BT105" s="223"/>
      <c r="BU105" s="223"/>
      <c r="BV105" s="223"/>
      <c r="BW105" s="223"/>
      <c r="BX105" s="223"/>
      <c r="BY105" s="223"/>
      <c r="BZ105" s="223"/>
      <c r="CA105" s="223"/>
      <c r="CB105" s="223"/>
      <c r="CC105" s="223"/>
      <c r="CD105" s="223"/>
      <c r="CE105" s="223"/>
      <c r="CF105" s="223"/>
      <c r="CG105" s="223"/>
      <c r="CH105" s="223"/>
      <c r="CI105" s="223"/>
      <c r="CJ105" s="223"/>
      <c r="CK105" s="223"/>
      <c r="CL105" s="223"/>
      <c r="CM105" s="223"/>
      <c r="CN105" s="223"/>
      <c r="CO105" s="223"/>
      <c r="CP105" s="223"/>
      <c r="CQ105" s="223"/>
      <c r="CR105" s="223"/>
      <c r="CS105" s="223"/>
      <c r="CT105" s="223"/>
      <c r="CU105" s="223"/>
    </row>
    <row r="106" spans="1:99">
      <c r="A106" s="223"/>
      <c r="B106" s="223"/>
      <c r="C106" s="223"/>
      <c r="D106" s="223"/>
      <c r="E106" s="638"/>
      <c r="F106" s="639"/>
      <c r="G106" s="639"/>
      <c r="H106" s="640"/>
      <c r="I106" s="392"/>
      <c r="J106" s="376"/>
      <c r="K106" s="377"/>
      <c r="L106" s="377"/>
      <c r="M106" s="378"/>
      <c r="N106" s="375"/>
      <c r="O106" s="376"/>
      <c r="P106" s="377"/>
      <c r="Q106" s="377"/>
      <c r="R106" s="378"/>
      <c r="S106" s="375"/>
      <c r="T106" s="376"/>
      <c r="U106" s="377"/>
      <c r="V106" s="377"/>
      <c r="W106" s="378"/>
      <c r="X106" s="375"/>
      <c r="Y106" s="376"/>
      <c r="Z106" s="377"/>
      <c r="AA106" s="377"/>
      <c r="AB106" s="1457"/>
      <c r="AC106" s="375"/>
      <c r="AD106" s="376"/>
      <c r="AE106" s="377"/>
      <c r="AF106" s="377"/>
      <c r="AG106" s="1457"/>
      <c r="AH106" s="375"/>
      <c r="AI106" s="376"/>
      <c r="AJ106" s="377"/>
      <c r="AK106" s="377"/>
      <c r="AL106" s="1457"/>
      <c r="AM106" s="375"/>
      <c r="AN106" s="376"/>
      <c r="AO106" s="377"/>
      <c r="AP106" s="377"/>
      <c r="AQ106" s="1457"/>
      <c r="AR106" s="375"/>
      <c r="AS106" s="376"/>
      <c r="AT106" s="377"/>
      <c r="AU106" s="377"/>
      <c r="AV106" s="1457"/>
      <c r="AW106" s="375"/>
      <c r="AX106" s="376"/>
      <c r="AY106" s="377"/>
      <c r="AZ106" s="377"/>
      <c r="BA106" s="378"/>
      <c r="BB106" s="375"/>
      <c r="BC106" s="376"/>
      <c r="BD106" s="377"/>
      <c r="BE106" s="377"/>
      <c r="BF106" s="378"/>
      <c r="BG106" s="375"/>
      <c r="BH106" s="376"/>
      <c r="BI106" s="377"/>
      <c r="BJ106" s="377"/>
      <c r="BK106" s="378"/>
      <c r="BL106" s="375"/>
      <c r="BM106" s="376"/>
      <c r="BN106" s="377"/>
      <c r="BO106" s="377"/>
      <c r="BP106" s="378"/>
      <c r="BQ106" s="375"/>
      <c r="BR106" s="223"/>
      <c r="BS106" s="223"/>
      <c r="BT106" s="223"/>
      <c r="BU106" s="223"/>
      <c r="BV106" s="223"/>
      <c r="BW106" s="223"/>
      <c r="BX106" s="223"/>
      <c r="BY106" s="223"/>
      <c r="BZ106" s="223"/>
      <c r="CA106" s="223"/>
      <c r="CB106" s="223"/>
      <c r="CC106" s="223"/>
      <c r="CD106" s="223"/>
      <c r="CE106" s="223"/>
      <c r="CF106" s="223"/>
      <c r="CG106" s="223"/>
      <c r="CH106" s="223"/>
      <c r="CI106" s="223"/>
      <c r="CJ106" s="223"/>
      <c r="CK106" s="223"/>
      <c r="CL106" s="223"/>
      <c r="CM106" s="223"/>
      <c r="CN106" s="223"/>
      <c r="CO106" s="223"/>
      <c r="CP106" s="223"/>
      <c r="CQ106" s="223"/>
      <c r="CR106" s="223"/>
      <c r="CS106" s="223"/>
      <c r="CT106" s="223"/>
      <c r="CU106" s="223"/>
    </row>
    <row r="107" spans="1:99">
      <c r="A107" s="223"/>
      <c r="B107" s="223"/>
      <c r="C107" s="1336" t="s">
        <v>951</v>
      </c>
      <c r="D107" s="223"/>
      <c r="E107" s="638"/>
      <c r="F107" s="639"/>
      <c r="G107" s="639"/>
      <c r="H107" s="640"/>
      <c r="I107" s="392"/>
      <c r="J107" s="376"/>
      <c r="K107" s="377"/>
      <c r="L107" s="377"/>
      <c r="M107" s="378"/>
      <c r="N107" s="375"/>
      <c r="O107" s="376"/>
      <c r="P107" s="377"/>
      <c r="Q107" s="377"/>
      <c r="R107" s="378"/>
      <c r="S107" s="375"/>
      <c r="T107" s="376"/>
      <c r="U107" s="377"/>
      <c r="V107" s="377"/>
      <c r="W107" s="378"/>
      <c r="X107" s="375"/>
      <c r="Y107" s="310">
        <f>SUM(Y100:Y101)/SUM(Y104:Y105)-1</f>
        <v>2.8523489932885893E-2</v>
      </c>
      <c r="Z107" s="319">
        <f>SUM(Z100:Z101)/SUM(Z104:Z105)-1</f>
        <v>-1.5645371577574951E-2</v>
      </c>
      <c r="AA107" s="1460">
        <f>SUM(AA100:AA101)/SUM(AA104:AA105)-1</f>
        <v>1.477104874446189E-3</v>
      </c>
      <c r="AB107" s="1458">
        <f>SUM(AB100:AB101)/SUM(AB104:AB105)-1</f>
        <v>1.4671361502347491E-2</v>
      </c>
      <c r="AC107" s="1459"/>
      <c r="AD107" s="310">
        <f>SUM(AD100:AD101)/SUM(AD104:AD105)-1</f>
        <v>0.19857561793045675</v>
      </c>
      <c r="AE107" s="319">
        <f>SUM(AE100:AE101)/SUM(AE104:AE105)-1</f>
        <v>-4.5751633986928053E-2</v>
      </c>
      <c r="AF107" s="1460">
        <f>SUM(AF100:AF101)/SUM(AF104:AF105)-1</f>
        <v>-0.16395864106351554</v>
      </c>
      <c r="AG107" s="1458">
        <f>SUM(AG100:AG101)/SUM(AG104:AG105)-1</f>
        <v>-2.2274325908558046E-2</v>
      </c>
      <c r="AH107" s="1459"/>
      <c r="AI107" s="310">
        <f>SUM(AI100:AI101)/SUM(AI104:AI105)-1</f>
        <v>0.23173277661795399</v>
      </c>
      <c r="AJ107" s="319">
        <f>SUM(AJ100:AJ101)/SUM(AJ104:AJ105)-1</f>
        <v>-3.0183727034120755E-2</v>
      </c>
      <c r="AK107" s="1460">
        <f>SUM(AK100:AK101)/SUM(AK104:AK105)-1</f>
        <v>-5.3412462908011826E-2</v>
      </c>
      <c r="AL107" s="1458">
        <f>SUM(AL100:AL101)/SUM(AL104:AL105)-1</f>
        <v>-0.25880281690140849</v>
      </c>
      <c r="AM107" s="1459"/>
      <c r="AN107" s="310">
        <f>SUM(AN100:AN101)/SUM(AN104:AN105)-1</f>
        <v>-5.4726368159203953E-2</v>
      </c>
      <c r="AO107" s="1337">
        <f>SUM(AO100:AO101)/SUM(AO104:AO105)-1</f>
        <v>4.0682414698162805E-2</v>
      </c>
      <c r="AP107" s="1460">
        <f>SUM(AP100:AP101)/SUM(AP104:AP105)-1</f>
        <v>0.14561664190193158</v>
      </c>
      <c r="AQ107" s="1458">
        <f>SUM(AQ100:AQ101)/SUM(AQ104:AQ105)-1</f>
        <v>-7.7057793345008729E-2</v>
      </c>
      <c r="AR107" s="1459"/>
      <c r="AS107" s="310">
        <f>SUM(AS100:AS101)/SUM(AS104:AS105)-1</f>
        <v>-0.14184692179700498</v>
      </c>
      <c r="AT107" s="1337">
        <f>SUM(AT100:AT101)/SUM(AT104:AT105)-1</f>
        <v>-0.1122715404699739</v>
      </c>
      <c r="AU107" s="1337">
        <f t="shared" ref="AU107" si="268">SUM(AU100:AU101)/SUM(AU104:AU105)-1</f>
        <v>-2.2255192878338326E-2</v>
      </c>
      <c r="AV107" s="1458">
        <f>SUM(AV100:AV101)/SUM(AV104:AV105)-1</f>
        <v>1.7657445556209517E-2</v>
      </c>
      <c r="AW107" s="1459"/>
      <c r="AX107" s="376"/>
      <c r="AY107" s="377"/>
      <c r="AZ107" s="377"/>
      <c r="BA107" s="378"/>
      <c r="BB107" s="375"/>
      <c r="BC107" s="376"/>
      <c r="BD107" s="377"/>
      <c r="BE107" s="377"/>
      <c r="BF107" s="378"/>
      <c r="BG107" s="375"/>
      <c r="BH107" s="376"/>
      <c r="BI107" s="377"/>
      <c r="BJ107" s="377"/>
      <c r="BK107" s="378"/>
      <c r="BL107" s="375"/>
      <c r="BM107" s="376"/>
      <c r="BN107" s="377"/>
      <c r="BO107" s="377"/>
      <c r="BP107" s="378"/>
      <c r="BQ107" s="375"/>
      <c r="BR107" s="223"/>
      <c r="BS107" s="223"/>
      <c r="BT107" s="223"/>
      <c r="BU107" s="223"/>
      <c r="BV107" s="223"/>
      <c r="BW107" s="223"/>
      <c r="BX107" s="223"/>
      <c r="BY107" s="223"/>
      <c r="BZ107" s="223"/>
      <c r="CA107" s="223"/>
      <c r="CB107" s="223"/>
      <c r="CC107" s="223"/>
      <c r="CD107" s="223"/>
      <c r="CE107" s="223"/>
      <c r="CF107" s="223"/>
      <c r="CG107" s="223"/>
      <c r="CH107" s="223"/>
      <c r="CI107" s="223"/>
      <c r="CJ107" s="223"/>
      <c r="CK107" s="223"/>
      <c r="CL107" s="223"/>
      <c r="CM107" s="223"/>
      <c r="CN107" s="223"/>
      <c r="CO107" s="223"/>
      <c r="CP107" s="223"/>
      <c r="CQ107" s="223"/>
      <c r="CR107" s="223"/>
      <c r="CS107" s="223"/>
      <c r="CT107" s="223"/>
      <c r="CU107" s="223"/>
    </row>
    <row r="108" spans="1:99">
      <c r="A108" s="223"/>
      <c r="B108" s="223"/>
      <c r="C108" s="359" t="s">
        <v>952</v>
      </c>
      <c r="D108" s="223"/>
      <c r="E108" s="638"/>
      <c r="F108" s="639"/>
      <c r="G108" s="639"/>
      <c r="H108" s="640"/>
      <c r="I108" s="392"/>
      <c r="J108" s="376"/>
      <c r="K108" s="377"/>
      <c r="L108" s="377"/>
      <c r="M108" s="378"/>
      <c r="N108" s="375"/>
      <c r="O108" s="376"/>
      <c r="P108" s="377"/>
      <c r="Q108" s="377"/>
      <c r="R108" s="378"/>
      <c r="S108" s="375"/>
      <c r="T108" s="376"/>
      <c r="U108" s="377"/>
      <c r="V108" s="377"/>
      <c r="W108" s="378"/>
      <c r="X108" s="375"/>
      <c r="Y108" s="310">
        <f>Y107/9</f>
        <v>3.1692766592095437E-3</v>
      </c>
      <c r="Z108" s="319">
        <f>Z107/9</f>
        <v>-1.7383746197305501E-3</v>
      </c>
      <c r="AA108" s="1460">
        <f>AA107/9</f>
        <v>1.6412276382735434E-4</v>
      </c>
      <c r="AB108" s="1458">
        <f>AB107/9</f>
        <v>1.6301512780386102E-3</v>
      </c>
      <c r="AC108" s="1459"/>
      <c r="AD108" s="310">
        <f>AD107/9</f>
        <v>2.2063957547828528E-2</v>
      </c>
      <c r="AE108" s="319">
        <f>AE107/9</f>
        <v>-5.0835148874364506E-3</v>
      </c>
      <c r="AF108" s="1460">
        <f>AF107/9</f>
        <v>-1.8217626784835059E-2</v>
      </c>
      <c r="AG108" s="1458">
        <f>AG107/9</f>
        <v>-2.4749251009508941E-3</v>
      </c>
      <c r="AH108" s="1459"/>
      <c r="AI108" s="310">
        <f>AI107/9</f>
        <v>2.5748086290883779E-2</v>
      </c>
      <c r="AJ108" s="319">
        <f>AJ107/9</f>
        <v>-3.3537474482356394E-3</v>
      </c>
      <c r="AK108" s="1460">
        <f>AK107/9</f>
        <v>-5.9347181008902027E-3</v>
      </c>
      <c r="AL108" s="1458">
        <f>AL107/9</f>
        <v>-2.8755868544600945E-2</v>
      </c>
      <c r="AM108" s="1459"/>
      <c r="AN108" s="310">
        <f>AN107/9</f>
        <v>-6.0807075732448833E-3</v>
      </c>
      <c r="AO108" s="1338">
        <f>AO107/2</f>
        <v>2.0341207349081403E-2</v>
      </c>
      <c r="AP108" s="1460">
        <f>AP107/9</f>
        <v>1.6179626877992397E-2</v>
      </c>
      <c r="AQ108" s="1458">
        <f>AQ107/9</f>
        <v>-8.5619770383343029E-3</v>
      </c>
      <c r="AR108" s="1459"/>
      <c r="AS108" s="310">
        <f>AS107/9</f>
        <v>-1.5760769088556108E-2</v>
      </c>
      <c r="AT108" s="1338">
        <f>AT107/2</f>
        <v>-5.6135770234986948E-2</v>
      </c>
      <c r="AU108" s="1338">
        <f t="shared" ref="AU108" si="269">AU107/2</f>
        <v>-1.1127596439169163E-2</v>
      </c>
      <c r="AV108" s="1458">
        <f>AV107/9</f>
        <v>1.9619383951343908E-3</v>
      </c>
      <c r="AW108" s="1459"/>
      <c r="AX108" s="376"/>
      <c r="AY108" s="377"/>
      <c r="AZ108" s="377"/>
      <c r="BA108" s="378"/>
      <c r="BB108" s="375"/>
      <c r="BC108" s="376"/>
      <c r="BD108" s="377"/>
      <c r="BE108" s="377"/>
      <c r="BF108" s="378"/>
      <c r="BG108" s="375"/>
      <c r="BH108" s="376"/>
      <c r="BI108" s="377"/>
      <c r="BJ108" s="377"/>
      <c r="BK108" s="378"/>
      <c r="BL108" s="375"/>
      <c r="BM108" s="376"/>
      <c r="BN108" s="377"/>
      <c r="BO108" s="377"/>
      <c r="BP108" s="378"/>
      <c r="BQ108" s="375"/>
      <c r="BR108" s="223"/>
      <c r="BS108" s="223"/>
      <c r="BT108" s="223"/>
      <c r="BU108" s="223"/>
      <c r="BV108" s="223"/>
      <c r="BW108" s="223"/>
      <c r="BX108" s="223"/>
      <c r="BY108" s="223"/>
      <c r="BZ108" s="223"/>
      <c r="CA108" s="223"/>
      <c r="CB108" s="223"/>
      <c r="CC108" s="223"/>
      <c r="CD108" s="223"/>
      <c r="CE108" s="223"/>
      <c r="CF108" s="223"/>
      <c r="CG108" s="223"/>
      <c r="CH108" s="223"/>
      <c r="CI108" s="223"/>
      <c r="CJ108" s="223"/>
      <c r="CK108" s="223"/>
      <c r="CL108" s="223"/>
      <c r="CM108" s="223"/>
      <c r="CN108" s="223"/>
      <c r="CO108" s="223"/>
      <c r="CP108" s="223"/>
      <c r="CQ108" s="223"/>
      <c r="CR108" s="223"/>
      <c r="CS108" s="223"/>
      <c r="CT108" s="223"/>
      <c r="CU108" s="223"/>
    </row>
    <row r="109" spans="1:99">
      <c r="A109" s="223"/>
      <c r="B109" s="223"/>
      <c r="C109" s="359"/>
      <c r="D109" s="223"/>
      <c r="E109" s="638"/>
      <c r="F109" s="639"/>
      <c r="G109" s="639"/>
      <c r="H109" s="640"/>
      <c r="I109" s="392"/>
      <c r="J109" s="376"/>
      <c r="K109" s="377"/>
      <c r="L109" s="377"/>
      <c r="M109" s="378"/>
      <c r="N109" s="375"/>
      <c r="O109" s="376"/>
      <c r="P109" s="377"/>
      <c r="Q109" s="377"/>
      <c r="R109" s="378"/>
      <c r="S109" s="375"/>
      <c r="T109" s="376"/>
      <c r="U109" s="377"/>
      <c r="V109" s="377"/>
      <c r="W109" s="378"/>
      <c r="X109" s="375"/>
      <c r="Y109" s="600"/>
      <c r="Z109" s="251"/>
      <c r="AA109" s="251"/>
      <c r="AB109" s="601"/>
      <c r="AC109" s="26"/>
      <c r="AD109" s="600"/>
      <c r="AE109" s="251"/>
      <c r="AF109" s="251"/>
      <c r="AG109" s="601"/>
      <c r="AH109" s="26"/>
      <c r="AI109" s="600"/>
      <c r="AJ109" s="251"/>
      <c r="AK109" s="251"/>
      <c r="AL109" s="601"/>
      <c r="AM109" s="26"/>
      <c r="AN109" s="600"/>
      <c r="AO109" s="251"/>
      <c r="AP109" s="251"/>
      <c r="AQ109" s="601"/>
      <c r="AR109" s="26"/>
      <c r="AS109" s="600"/>
      <c r="AT109" s="251"/>
      <c r="AU109" s="377"/>
      <c r="AV109" s="601"/>
      <c r="AW109" s="26"/>
      <c r="AX109" s="376"/>
      <c r="AY109" s="377"/>
      <c r="AZ109" s="377"/>
      <c r="BA109" s="378"/>
      <c r="BB109" s="375"/>
      <c r="BC109" s="376"/>
      <c r="BD109" s="377"/>
      <c r="BE109" s="377"/>
      <c r="BF109" s="378"/>
      <c r="BG109" s="375"/>
      <c r="BH109" s="376"/>
      <c r="BI109" s="377"/>
      <c r="BJ109" s="377"/>
      <c r="BK109" s="378"/>
      <c r="BL109" s="375"/>
      <c r="BM109" s="376"/>
      <c r="BN109" s="377"/>
      <c r="BO109" s="377"/>
      <c r="BP109" s="378"/>
      <c r="BQ109" s="375"/>
      <c r="BR109" s="223"/>
      <c r="BS109" s="223"/>
      <c r="BT109" s="223"/>
      <c r="BU109" s="223"/>
      <c r="BV109" s="223"/>
      <c r="BW109" s="223"/>
      <c r="BX109" s="223"/>
      <c r="BY109" s="223"/>
      <c r="BZ109" s="223"/>
      <c r="CA109" s="223"/>
      <c r="CB109" s="223"/>
      <c r="CC109" s="223"/>
      <c r="CD109" s="223"/>
      <c r="CE109" s="223"/>
      <c r="CF109" s="223"/>
      <c r="CG109" s="223"/>
      <c r="CH109" s="223"/>
      <c r="CI109" s="223"/>
      <c r="CJ109" s="223"/>
      <c r="CK109" s="223"/>
      <c r="CL109" s="223"/>
      <c r="CM109" s="223"/>
      <c r="CN109" s="223"/>
      <c r="CO109" s="223"/>
      <c r="CP109" s="223"/>
      <c r="CQ109" s="223"/>
      <c r="CR109" s="223"/>
      <c r="CS109" s="223"/>
      <c r="CT109" s="223"/>
      <c r="CU109" s="223"/>
    </row>
    <row r="110" spans="1:99">
      <c r="A110" s="223"/>
      <c r="B110" s="223"/>
      <c r="C110" s="895" t="s">
        <v>953</v>
      </c>
      <c r="D110" s="223"/>
      <c r="E110" s="638"/>
      <c r="F110" s="639"/>
      <c r="G110" s="639"/>
      <c r="H110" s="640"/>
      <c r="I110" s="392"/>
      <c r="J110" s="376"/>
      <c r="K110" s="377"/>
      <c r="L110" s="377"/>
      <c r="M110" s="378"/>
      <c r="N110" s="375"/>
      <c r="O110" s="376"/>
      <c r="P110" s="377"/>
      <c r="Q110" s="377"/>
      <c r="R110" s="378"/>
      <c r="S110" s="375"/>
      <c r="T110" s="376"/>
      <c r="U110" s="377"/>
      <c r="V110" s="377"/>
      <c r="W110" s="378"/>
      <c r="X110" s="375"/>
      <c r="Y110" s="360">
        <f>+((Y108*Y95)*0.65)/Y41</f>
        <v>7.6579001568051345E-4</v>
      </c>
      <c r="Z110" s="361">
        <f>+((Z108*Z95)*0.65)/Z41</f>
        <v>-3.9347333877221723E-4</v>
      </c>
      <c r="AA110" s="361">
        <f>+((AA108*AA95)*0.65)/AA41</f>
        <v>4.039173726328181E-5</v>
      </c>
      <c r="AB110" s="362">
        <f>+((AB108*AB95)*0.65)/AB41</f>
        <v>4.3409442957828033E-4</v>
      </c>
      <c r="AC110" s="26"/>
      <c r="AD110" s="360">
        <f>+((AD108*AD95)*0.65)/AD41</f>
        <v>5.8699442726353919E-3</v>
      </c>
      <c r="AE110" s="361">
        <f>+((AE108*AE95)*0.65)/AE41</f>
        <v>-1.2444004398582083E-3</v>
      </c>
      <c r="AF110" s="361">
        <f>+((AF108*AF95)*0.65)/AF41</f>
        <v>-4.6726337203052979E-3</v>
      </c>
      <c r="AG110" s="362">
        <f>+((AG108*AG95)*0.65)/AG41</f>
        <v>-6.4702421316517502E-4</v>
      </c>
      <c r="AH110" s="26"/>
      <c r="AI110" s="360">
        <f>+((AI108*AI95)*0.65)/AI41</f>
        <v>7.426411905245402E-3</v>
      </c>
      <c r="AJ110" s="361">
        <f>+((AJ108*AJ95)*0.65)/AJ41</f>
        <v>-8.5508499727083393E-4</v>
      </c>
      <c r="AK110" s="361">
        <f>+((AK108*AK95)*0.65)/AK41</f>
        <v>-1.4791456674790909E-3</v>
      </c>
      <c r="AL110" s="362">
        <f>+((AL108*AL95)*0.65)/AL41</f>
        <v>-8.0006874679665364E-3</v>
      </c>
      <c r="AM110" s="26"/>
      <c r="AN110" s="360">
        <f>+((AN108*AN95)*0.65)/AN41</f>
        <v>-1.8312173097048711E-3</v>
      </c>
      <c r="AO110" s="400">
        <f>+((AO108*AO95)*0.65)/AO41</f>
        <v>5.1873838629807722E-3</v>
      </c>
      <c r="AP110" s="361">
        <f>+((AP108*AP95)*0.65)/AP41</f>
        <v>4.3442780089144968E-3</v>
      </c>
      <c r="AQ110" s="362">
        <f>+((AQ108*AQ95)*0.65)/AQ41</f>
        <v>-2.5354832411924135E-3</v>
      </c>
      <c r="AR110" s="26"/>
      <c r="AS110" s="360">
        <f>+((AS108*AS95)*0.65)/AS41</f>
        <v>-4.7484542223865571E-3</v>
      </c>
      <c r="AT110" s="400">
        <f>+((AT108*AT95)*0.65)/AT41</f>
        <v>-1.4545945749927474E-2</v>
      </c>
      <c r="AU110" s="400">
        <f t="shared" ref="AU110" si="270">+((AU108*AU95)*0.65)/AU41</f>
        <v>-2.9600546272573872E-3</v>
      </c>
      <c r="AV110" s="362">
        <f>+((AV108*AV95)*0.65)/AV41</f>
        <v>5.3317849652164372E-4</v>
      </c>
      <c r="AW110" s="26"/>
      <c r="AX110" s="376"/>
      <c r="AY110" s="377"/>
      <c r="AZ110" s="377"/>
      <c r="BA110" s="378"/>
      <c r="BB110" s="375"/>
      <c r="BC110" s="376"/>
      <c r="BD110" s="377"/>
      <c r="BE110" s="377"/>
      <c r="BF110" s="378"/>
      <c r="BG110" s="375"/>
      <c r="BH110" s="376"/>
      <c r="BI110" s="377"/>
      <c r="BJ110" s="377"/>
      <c r="BK110" s="378"/>
      <c r="BL110" s="375"/>
      <c r="BM110" s="376"/>
      <c r="BN110" s="377"/>
      <c r="BO110" s="377"/>
      <c r="BP110" s="378"/>
      <c r="BQ110" s="375"/>
      <c r="BR110" s="223"/>
      <c r="BS110" s="223"/>
      <c r="BT110" s="223"/>
      <c r="BU110" s="223"/>
      <c r="BV110" s="223"/>
      <c r="BW110" s="223"/>
      <c r="BX110" s="223"/>
      <c r="BY110" s="223"/>
      <c r="BZ110" s="223"/>
      <c r="CA110" s="223"/>
      <c r="CB110" s="223"/>
      <c r="CC110" s="223"/>
      <c r="CD110" s="223"/>
      <c r="CE110" s="223"/>
      <c r="CF110" s="223"/>
      <c r="CG110" s="223"/>
      <c r="CH110" s="223"/>
      <c r="CI110" s="223"/>
      <c r="CJ110" s="223"/>
      <c r="CK110" s="223"/>
      <c r="CL110" s="223"/>
      <c r="CM110" s="223"/>
      <c r="CN110" s="223"/>
      <c r="CO110" s="223"/>
      <c r="CP110" s="223"/>
      <c r="CQ110" s="223"/>
      <c r="CR110" s="223"/>
      <c r="CS110" s="223"/>
      <c r="CT110" s="223"/>
      <c r="CU110" s="223"/>
    </row>
    <row r="111" spans="1:99">
      <c r="A111" s="223"/>
      <c r="B111" s="223"/>
      <c r="C111" s="223"/>
      <c r="D111" s="223"/>
      <c r="E111" s="638"/>
      <c r="F111" s="639"/>
      <c r="G111" s="639"/>
      <c r="H111" s="640"/>
      <c r="I111" s="392"/>
      <c r="J111" s="376"/>
      <c r="K111" s="377"/>
      <c r="L111" s="377"/>
      <c r="M111" s="378"/>
      <c r="N111" s="375"/>
      <c r="O111" s="376"/>
      <c r="P111" s="377"/>
      <c r="Q111" s="377"/>
      <c r="R111" s="378"/>
      <c r="S111" s="375"/>
      <c r="T111" s="376"/>
      <c r="U111" s="377"/>
      <c r="V111" s="377"/>
      <c r="W111" s="378"/>
      <c r="X111" s="375"/>
      <c r="Y111" s="376"/>
      <c r="Z111" s="377"/>
      <c r="AA111" s="377"/>
      <c r="AB111" s="378"/>
      <c r="AC111" s="375"/>
      <c r="AD111" s="376"/>
      <c r="AE111" s="377"/>
      <c r="AF111" s="377"/>
      <c r="AG111" s="378"/>
      <c r="AH111" s="375"/>
      <c r="AI111" s="376"/>
      <c r="AJ111" s="377"/>
      <c r="AK111" s="377"/>
      <c r="AL111" s="378"/>
      <c r="AM111" s="375"/>
      <c r="AN111" s="376"/>
      <c r="AO111" s="377"/>
      <c r="AP111" s="377"/>
      <c r="AQ111" s="378"/>
      <c r="AR111" s="375"/>
      <c r="AS111" s="376"/>
      <c r="AT111" s="377"/>
      <c r="AU111" s="377"/>
      <c r="AV111" s="378"/>
      <c r="AW111" s="375"/>
      <c r="AX111" s="376"/>
      <c r="AY111" s="377"/>
      <c r="AZ111" s="377"/>
      <c r="BA111" s="378"/>
      <c r="BB111" s="375"/>
      <c r="BC111" s="376"/>
      <c r="BD111" s="377"/>
      <c r="BE111" s="377"/>
      <c r="BF111" s="378"/>
      <c r="BG111" s="375"/>
      <c r="BH111" s="376"/>
      <c r="BI111" s="377"/>
      <c r="BJ111" s="377"/>
      <c r="BK111" s="378"/>
      <c r="BL111" s="375"/>
      <c r="BM111" s="376"/>
      <c r="BN111" s="377"/>
      <c r="BO111" s="377"/>
      <c r="BP111" s="378"/>
      <c r="BQ111" s="375"/>
      <c r="BR111" s="223"/>
      <c r="BS111" s="223"/>
      <c r="BT111" s="223"/>
      <c r="BU111" s="223"/>
      <c r="BV111" s="223"/>
      <c r="BW111" s="223"/>
      <c r="BX111" s="223"/>
      <c r="BY111" s="223"/>
      <c r="BZ111" s="223"/>
      <c r="CA111" s="223"/>
      <c r="CB111" s="223"/>
      <c r="CC111" s="223"/>
      <c r="CD111" s="223"/>
      <c r="CE111" s="223"/>
      <c r="CF111" s="223"/>
      <c r="CG111" s="223"/>
      <c r="CH111" s="223"/>
      <c r="CI111" s="223"/>
      <c r="CJ111" s="223"/>
      <c r="CK111" s="223"/>
      <c r="CL111" s="223"/>
      <c r="CM111" s="223"/>
      <c r="CN111" s="223"/>
      <c r="CO111" s="223"/>
      <c r="CP111" s="223"/>
      <c r="CQ111" s="223"/>
      <c r="CR111" s="223"/>
      <c r="CS111" s="223"/>
      <c r="CT111" s="223"/>
      <c r="CU111" s="223"/>
    </row>
    <row r="112" spans="1:99">
      <c r="A112" s="223"/>
      <c r="B112" s="223"/>
      <c r="C112" s="223"/>
      <c r="D112" s="223"/>
      <c r="E112" s="638"/>
      <c r="F112" s="639"/>
      <c r="G112" s="639"/>
      <c r="H112" s="640"/>
      <c r="I112" s="392"/>
      <c r="J112" s="376"/>
      <c r="K112" s="377"/>
      <c r="L112" s="377"/>
      <c r="M112" s="378"/>
      <c r="N112" s="375"/>
      <c r="O112" s="376"/>
      <c r="P112" s="377"/>
      <c r="Q112" s="377"/>
      <c r="R112" s="378"/>
      <c r="S112" s="375"/>
      <c r="T112" s="376"/>
      <c r="U112" s="377"/>
      <c r="V112" s="377"/>
      <c r="W112" s="378"/>
      <c r="X112" s="375"/>
      <c r="Y112" s="376"/>
      <c r="Z112" s="377"/>
      <c r="AA112" s="377"/>
      <c r="AB112" s="378"/>
      <c r="AC112" s="375"/>
      <c r="AD112" s="376"/>
      <c r="AE112" s="377"/>
      <c r="AF112" s="377"/>
      <c r="AG112" s="378"/>
      <c r="AH112" s="375"/>
      <c r="AI112" s="376"/>
      <c r="AJ112" s="377"/>
      <c r="AK112" s="377"/>
      <c r="AL112" s="378"/>
      <c r="AM112" s="375"/>
      <c r="AN112" s="376"/>
      <c r="AO112" s="377"/>
      <c r="AP112" s="377"/>
      <c r="AQ112" s="378"/>
      <c r="AR112" s="375"/>
      <c r="AS112" s="376"/>
      <c r="AT112" s="377"/>
      <c r="AU112" s="377"/>
      <c r="AV112" s="378"/>
      <c r="AW112" s="375"/>
      <c r="AX112" s="376"/>
      <c r="AY112" s="377"/>
      <c r="AZ112" s="377"/>
      <c r="BA112" s="378"/>
      <c r="BB112" s="375"/>
      <c r="BC112" s="376"/>
      <c r="BD112" s="377"/>
      <c r="BE112" s="377"/>
      <c r="BF112" s="378"/>
      <c r="BG112" s="375"/>
      <c r="BH112" s="376"/>
      <c r="BI112" s="377"/>
      <c r="BJ112" s="377"/>
      <c r="BK112" s="378"/>
      <c r="BL112" s="375"/>
      <c r="BM112" s="376"/>
      <c r="BN112" s="377"/>
      <c r="BO112" s="377"/>
      <c r="BP112" s="378"/>
      <c r="BQ112" s="375"/>
      <c r="BR112" s="223"/>
      <c r="BS112" s="223"/>
      <c r="BT112" s="223"/>
      <c r="BU112" s="223"/>
      <c r="BV112" s="223"/>
      <c r="BW112" s="223"/>
      <c r="BX112" s="223"/>
      <c r="BY112" s="223"/>
      <c r="BZ112" s="223"/>
      <c r="CA112" s="223"/>
      <c r="CB112" s="223"/>
      <c r="CC112" s="223"/>
      <c r="CD112" s="223"/>
      <c r="CE112" s="223"/>
      <c r="CF112" s="223"/>
      <c r="CG112" s="223"/>
      <c r="CH112" s="223"/>
      <c r="CI112" s="223"/>
      <c r="CJ112" s="223"/>
      <c r="CK112" s="223"/>
      <c r="CL112" s="223"/>
      <c r="CM112" s="223"/>
      <c r="CN112" s="223"/>
      <c r="CO112" s="223"/>
      <c r="CP112" s="223"/>
      <c r="CQ112" s="223"/>
      <c r="CR112" s="223"/>
      <c r="CS112" s="223"/>
      <c r="CT112" s="223"/>
      <c r="CU112" s="223"/>
    </row>
    <row r="113" spans="1:99">
      <c r="A113" s="1"/>
      <c r="B113" s="73" t="s">
        <v>139</v>
      </c>
      <c r="C113" s="246"/>
      <c r="D113" s="15"/>
      <c r="E113" s="600"/>
      <c r="F113" s="251"/>
      <c r="G113" s="251"/>
      <c r="H113" s="601"/>
      <c r="I113" s="26"/>
      <c r="J113" s="600"/>
      <c r="K113" s="251"/>
      <c r="L113" s="251"/>
      <c r="M113" s="601"/>
      <c r="N113" s="26"/>
      <c r="O113" s="600"/>
      <c r="P113" s="251"/>
      <c r="Q113" s="251"/>
      <c r="R113" s="601"/>
      <c r="S113" s="26"/>
      <c r="T113" s="600"/>
      <c r="U113" s="251"/>
      <c r="V113" s="251"/>
      <c r="W113" s="601"/>
      <c r="X113" s="26"/>
      <c r="Y113" s="600"/>
      <c r="Z113" s="251"/>
      <c r="AA113" s="251"/>
      <c r="AB113" s="601"/>
      <c r="AC113" s="26"/>
      <c r="AD113" s="600"/>
      <c r="AE113" s="251"/>
      <c r="AF113" s="251"/>
      <c r="AG113" s="601"/>
      <c r="AH113" s="26"/>
      <c r="AI113" s="600"/>
      <c r="AJ113" s="251"/>
      <c r="AK113" s="251"/>
      <c r="AL113" s="601"/>
      <c r="AM113" s="26"/>
      <c r="AN113" s="600"/>
      <c r="AO113" s="251"/>
      <c r="AP113" s="251"/>
      <c r="AQ113" s="601"/>
      <c r="AR113" s="26"/>
      <c r="AS113" s="600"/>
      <c r="AT113" s="251"/>
      <c r="AU113" s="251"/>
      <c r="AV113" s="601"/>
      <c r="AW113" s="26"/>
      <c r="AX113" s="600"/>
      <c r="AY113" s="251"/>
      <c r="AZ113" s="251"/>
      <c r="BA113" s="601"/>
      <c r="BB113" s="26"/>
      <c r="BC113" s="600"/>
      <c r="BD113" s="251"/>
      <c r="BE113" s="251"/>
      <c r="BF113" s="601"/>
      <c r="BG113" s="26"/>
      <c r="BH113" s="600"/>
      <c r="BI113" s="251"/>
      <c r="BJ113" s="251"/>
      <c r="BK113" s="601"/>
      <c r="BL113" s="26"/>
      <c r="BM113" s="600"/>
      <c r="BN113" s="251"/>
      <c r="BO113" s="251"/>
      <c r="BP113" s="601"/>
      <c r="BQ113" s="26"/>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row>
    <row r="114" spans="1:99">
      <c r="A114" s="330"/>
      <c r="B114" s="330"/>
      <c r="C114" s="576" t="s">
        <v>721</v>
      </c>
      <c r="D114" s="330"/>
      <c r="E114" s="345"/>
      <c r="F114" s="346"/>
      <c r="G114" s="346"/>
      <c r="H114" s="347"/>
      <c r="I114" s="773"/>
      <c r="J114" s="345"/>
      <c r="K114" s="346"/>
      <c r="L114" s="346"/>
      <c r="M114" s="347"/>
      <c r="N114" s="45"/>
      <c r="O114" s="345"/>
      <c r="P114" s="346"/>
      <c r="Q114" s="346"/>
      <c r="R114" s="347"/>
      <c r="S114" s="45"/>
      <c r="T114" s="624">
        <v>188</v>
      </c>
      <c r="U114" s="625">
        <v>84</v>
      </c>
      <c r="V114" s="625">
        <v>63</v>
      </c>
      <c r="W114" s="1059">
        <v>160</v>
      </c>
      <c r="X114" s="1443">
        <f t="shared" ref="X114:X115" si="271">SUM(T114:W114)</f>
        <v>495</v>
      </c>
      <c r="Y114" s="624">
        <v>246</v>
      </c>
      <c r="Z114" s="625">
        <v>100</v>
      </c>
      <c r="AA114" s="1452">
        <v>66</v>
      </c>
      <c r="AB114" s="1490">
        <v>180</v>
      </c>
      <c r="AC114" s="1443">
        <f t="shared" ref="AC114:AC115" si="272">SUM(Y114:AB114)</f>
        <v>592</v>
      </c>
      <c r="AD114" s="624">
        <v>285</v>
      </c>
      <c r="AE114" s="625">
        <v>92</v>
      </c>
      <c r="AF114" s="1452">
        <v>62</v>
      </c>
      <c r="AG114" s="1490">
        <v>183</v>
      </c>
      <c r="AH114" s="1443">
        <f t="shared" ref="AH114:AH115" si="273">SUM(AD114:AG114)</f>
        <v>622</v>
      </c>
      <c r="AI114" s="624">
        <v>299</v>
      </c>
      <c r="AJ114" s="625">
        <v>85</v>
      </c>
      <c r="AK114" s="1452">
        <v>66</v>
      </c>
      <c r="AL114" s="1490">
        <f>607-AI114-AJ114-AK114</f>
        <v>157</v>
      </c>
      <c r="AM114" s="1443">
        <f t="shared" ref="AM114:AM115" si="274">SUM(AI114:AL114)</f>
        <v>607</v>
      </c>
      <c r="AN114" s="624">
        <v>238</v>
      </c>
      <c r="AO114" s="625">
        <v>93</v>
      </c>
      <c r="AP114" s="1452">
        <v>71</v>
      </c>
      <c r="AQ114" s="1490">
        <f>593-AN114-AO114-AP114</f>
        <v>191</v>
      </c>
      <c r="AR114" s="1443">
        <f t="shared" ref="AR114:AR115" si="275">SUM(AN114:AQ114)</f>
        <v>593</v>
      </c>
      <c r="AS114" s="624">
        <v>269</v>
      </c>
      <c r="AT114" s="625">
        <v>99</v>
      </c>
      <c r="AU114" s="625">
        <v>77</v>
      </c>
      <c r="AV114" s="1490">
        <f>655-AS114-AT114-AU114</f>
        <v>210</v>
      </c>
      <c r="AW114" s="1443">
        <f t="shared" ref="AW114:AW115" si="276">SUM(AS114:AV114)</f>
        <v>655</v>
      </c>
      <c r="AX114" s="292"/>
      <c r="AY114" s="261"/>
      <c r="AZ114" s="261"/>
      <c r="BA114" s="293"/>
      <c r="BB114" s="228"/>
      <c r="BC114" s="292"/>
      <c r="BD114" s="261"/>
      <c r="BE114" s="261"/>
      <c r="BF114" s="293"/>
      <c r="BG114" s="228"/>
      <c r="BH114" s="292"/>
      <c r="BI114" s="261"/>
      <c r="BJ114" s="261"/>
      <c r="BK114" s="293"/>
      <c r="BL114" s="228"/>
      <c r="BM114" s="292"/>
      <c r="BN114" s="261"/>
      <c r="BO114" s="261"/>
      <c r="BP114" s="293"/>
      <c r="BQ114" s="228"/>
      <c r="BR114" s="330"/>
      <c r="BS114" s="330"/>
      <c r="BT114" s="330"/>
      <c r="BU114" s="330"/>
      <c r="BV114" s="330"/>
      <c r="BW114" s="330"/>
      <c r="BX114" s="330"/>
      <c r="BY114" s="330"/>
      <c r="BZ114" s="330"/>
      <c r="CA114" s="330"/>
      <c r="CB114" s="330"/>
      <c r="CC114" s="330"/>
      <c r="CD114" s="330"/>
      <c r="CE114" s="330"/>
      <c r="CF114" s="330"/>
      <c r="CG114" s="330"/>
      <c r="CH114" s="330"/>
      <c r="CI114" s="330"/>
      <c r="CJ114" s="330"/>
      <c r="CK114" s="330"/>
      <c r="CL114" s="330"/>
      <c r="CM114" s="330"/>
      <c r="CN114" s="330"/>
      <c r="CO114" s="330"/>
      <c r="CP114" s="330"/>
      <c r="CQ114" s="330"/>
      <c r="CR114" s="330"/>
      <c r="CS114" s="330"/>
      <c r="CT114" s="330"/>
      <c r="CU114" s="330"/>
    </row>
    <row r="115" spans="1:99">
      <c r="A115" s="330"/>
      <c r="B115" s="330"/>
      <c r="C115" s="576" t="s">
        <v>785</v>
      </c>
      <c r="D115" s="330"/>
      <c r="E115" s="345"/>
      <c r="F115" s="346"/>
      <c r="G115" s="346"/>
      <c r="H115" s="347"/>
      <c r="I115" s="773"/>
      <c r="J115" s="345"/>
      <c r="K115" s="346"/>
      <c r="L115" s="346"/>
      <c r="M115" s="347"/>
      <c r="N115" s="45"/>
      <c r="O115" s="345"/>
      <c r="P115" s="346"/>
      <c r="Q115" s="346"/>
      <c r="R115" s="347"/>
      <c r="S115" s="45"/>
      <c r="T115" s="624">
        <v>19</v>
      </c>
      <c r="U115" s="625">
        <v>14</v>
      </c>
      <c r="V115" s="625">
        <v>9</v>
      </c>
      <c r="W115" s="1059">
        <v>15</v>
      </c>
      <c r="X115" s="1443">
        <f t="shared" si="271"/>
        <v>57</v>
      </c>
      <c r="Y115" s="624">
        <v>29</v>
      </c>
      <c r="Z115" s="625">
        <v>10</v>
      </c>
      <c r="AA115" s="1452">
        <v>7</v>
      </c>
      <c r="AB115" s="1490">
        <v>22</v>
      </c>
      <c r="AC115" s="1443">
        <f t="shared" si="272"/>
        <v>68</v>
      </c>
      <c r="AD115" s="624">
        <v>60</v>
      </c>
      <c r="AE115" s="625">
        <v>9</v>
      </c>
      <c r="AF115" s="1452">
        <v>4</v>
      </c>
      <c r="AG115" s="1490">
        <v>11</v>
      </c>
      <c r="AH115" s="1443">
        <f t="shared" si="273"/>
        <v>84</v>
      </c>
      <c r="AI115" s="624">
        <v>24</v>
      </c>
      <c r="AJ115" s="625">
        <v>2</v>
      </c>
      <c r="AK115" s="1452">
        <v>4</v>
      </c>
      <c r="AL115" s="1490">
        <f>38-AI115-AJ115-AK115</f>
        <v>8</v>
      </c>
      <c r="AM115" s="1443">
        <f t="shared" si="274"/>
        <v>38</v>
      </c>
      <c r="AN115" s="624">
        <v>11</v>
      </c>
      <c r="AO115" s="625">
        <v>3</v>
      </c>
      <c r="AP115" s="1452">
        <v>6</v>
      </c>
      <c r="AQ115" s="1490">
        <f>31-AN115-AO115-AP115</f>
        <v>11</v>
      </c>
      <c r="AR115" s="1443">
        <f t="shared" si="275"/>
        <v>31</v>
      </c>
      <c r="AS115" s="624">
        <v>15</v>
      </c>
      <c r="AT115" s="625">
        <v>4</v>
      </c>
      <c r="AU115" s="625">
        <v>3</v>
      </c>
      <c r="AV115" s="1490">
        <f>32-AS115-AT115-AU115</f>
        <v>10</v>
      </c>
      <c r="AW115" s="1443">
        <f t="shared" si="276"/>
        <v>32</v>
      </c>
      <c r="AX115" s="292"/>
      <c r="AY115" s="261"/>
      <c r="AZ115" s="261"/>
      <c r="BA115" s="293"/>
      <c r="BB115" s="228"/>
      <c r="BC115" s="292"/>
      <c r="BD115" s="261"/>
      <c r="BE115" s="261"/>
      <c r="BF115" s="293"/>
      <c r="BG115" s="228"/>
      <c r="BH115" s="292"/>
      <c r="BI115" s="261"/>
      <c r="BJ115" s="261"/>
      <c r="BK115" s="293"/>
      <c r="BL115" s="228"/>
      <c r="BM115" s="292"/>
      <c r="BN115" s="261"/>
      <c r="BO115" s="261"/>
      <c r="BP115" s="293"/>
      <c r="BQ115" s="228"/>
      <c r="BR115" s="330"/>
      <c r="BS115" s="330"/>
      <c r="BT115" s="330"/>
      <c r="BU115" s="330"/>
      <c r="BV115" s="330"/>
      <c r="BW115" s="330"/>
      <c r="BX115" s="330"/>
      <c r="BY115" s="330"/>
      <c r="BZ115" s="330"/>
      <c r="CA115" s="330"/>
      <c r="CB115" s="330"/>
      <c r="CC115" s="330"/>
      <c r="CD115" s="330"/>
      <c r="CE115" s="330"/>
      <c r="CF115" s="330"/>
      <c r="CG115" s="330"/>
      <c r="CH115" s="330"/>
      <c r="CI115" s="330"/>
      <c r="CJ115" s="330"/>
      <c r="CK115" s="330"/>
      <c r="CL115" s="330"/>
      <c r="CM115" s="330"/>
      <c r="CN115" s="330"/>
      <c r="CO115" s="330"/>
      <c r="CP115" s="330"/>
      <c r="CQ115" s="330"/>
      <c r="CR115" s="330"/>
      <c r="CS115" s="330"/>
      <c r="CT115" s="330"/>
      <c r="CU115" s="330"/>
    </row>
    <row r="116" spans="1:99" s="34" customFormat="1">
      <c r="A116" s="228"/>
      <c r="B116" s="228"/>
      <c r="C116" s="32" t="s">
        <v>1296</v>
      </c>
      <c r="D116" s="228"/>
      <c r="E116" s="585">
        <v>386.9</v>
      </c>
      <c r="F116" s="343">
        <v>111.7</v>
      </c>
      <c r="G116" s="343">
        <v>78.2</v>
      </c>
      <c r="H116" s="670">
        <v>181.5</v>
      </c>
      <c r="I116" s="344">
        <v>758.3</v>
      </c>
      <c r="J116" s="585">
        <v>318</v>
      </c>
      <c r="K116" s="343">
        <v>100.4</v>
      </c>
      <c r="L116" s="343">
        <v>79.7</v>
      </c>
      <c r="M116" s="670">
        <v>211.3</v>
      </c>
      <c r="N116" s="344">
        <v>709.4</v>
      </c>
      <c r="O116" s="585">
        <v>307.3</v>
      </c>
      <c r="P116" s="343">
        <v>109.1</v>
      </c>
      <c r="Q116" s="343">
        <v>84</v>
      </c>
      <c r="R116" s="670">
        <v>171.3</v>
      </c>
      <c r="S116" s="344">
        <v>671.7</v>
      </c>
      <c r="T116" s="292">
        <f>SUM(T114:T115)</f>
        <v>207</v>
      </c>
      <c r="U116" s="261">
        <f>SUM(U114:U115)</f>
        <v>98</v>
      </c>
      <c r="V116" s="261">
        <f>SUM(V114:V115)</f>
        <v>72</v>
      </c>
      <c r="W116" s="293">
        <f>SUM(W114:W115)</f>
        <v>175</v>
      </c>
      <c r="X116" s="228">
        <f>SUM(T116:W116)</f>
        <v>552</v>
      </c>
      <c r="Y116" s="292">
        <f>SUM(Y114:Y115)</f>
        <v>275</v>
      </c>
      <c r="Z116" s="261">
        <f>SUM(Z114:Z115)</f>
        <v>110</v>
      </c>
      <c r="AA116" s="1438">
        <f>SUM(AA114:AA115)</f>
        <v>73</v>
      </c>
      <c r="AB116" s="1439">
        <f>SUM(AB114:AB115)</f>
        <v>202</v>
      </c>
      <c r="AC116" s="1440">
        <f>SUM(Y116:AB116)</f>
        <v>660</v>
      </c>
      <c r="AD116" s="292">
        <f>SUM(AD114:AD115)</f>
        <v>345</v>
      </c>
      <c r="AE116" s="261">
        <f>SUM(AE114:AE115)</f>
        <v>101</v>
      </c>
      <c r="AF116" s="1438">
        <f>SUM(AF114:AF115)</f>
        <v>66</v>
      </c>
      <c r="AG116" s="1439">
        <f>SUM(AG114:AG115)</f>
        <v>194</v>
      </c>
      <c r="AH116" s="1440">
        <f>SUM(AD116:AG116)</f>
        <v>706</v>
      </c>
      <c r="AI116" s="292">
        <f>SUM(AI114:AI115)</f>
        <v>323</v>
      </c>
      <c r="AJ116" s="261">
        <f>SUM(AJ114:AJ115)</f>
        <v>87</v>
      </c>
      <c r="AK116" s="1438">
        <f>SUM(AK114:AK115)</f>
        <v>70</v>
      </c>
      <c r="AL116" s="1439">
        <f>SUM(AL114:AL115)</f>
        <v>165</v>
      </c>
      <c r="AM116" s="1440">
        <f>SUM(AI116:AL116)</f>
        <v>645</v>
      </c>
      <c r="AN116" s="292">
        <f>SUM(AN114:AN115)</f>
        <v>249</v>
      </c>
      <c r="AO116" s="261">
        <f>SUM(AO114:AO115)</f>
        <v>96</v>
      </c>
      <c r="AP116" s="1438">
        <f>SUM(AP114:AP115)</f>
        <v>77</v>
      </c>
      <c r="AQ116" s="1439">
        <f>SUM(AQ114:AQ115)</f>
        <v>202</v>
      </c>
      <c r="AR116" s="1440">
        <f>SUM(AN116:AQ116)</f>
        <v>624</v>
      </c>
      <c r="AS116" s="292">
        <f>SUM(AS114:AS115)</f>
        <v>284</v>
      </c>
      <c r="AT116" s="261">
        <f>SUM(AT114:AT115)</f>
        <v>103</v>
      </c>
      <c r="AU116" s="261">
        <f>SUM(AU114:AU115)</f>
        <v>80</v>
      </c>
      <c r="AV116" s="1439">
        <f>SUM(AV114:AV115)</f>
        <v>220</v>
      </c>
      <c r="AW116" s="1440">
        <f>SUM(AS116:AV116)</f>
        <v>687</v>
      </c>
      <c r="AX116" s="292">
        <f>AX121*AX125/1000</f>
        <v>271.5</v>
      </c>
      <c r="AY116" s="261">
        <f>AY121*AY125/1000</f>
        <v>90.5</v>
      </c>
      <c r="AZ116" s="261">
        <f>AZ121*AZ125/1000</f>
        <v>67.5</v>
      </c>
      <c r="BA116" s="293">
        <f>BA121*BA125/1000</f>
        <v>207.50000000000003</v>
      </c>
      <c r="BB116" s="228">
        <f>SUM(AX116:BA116)</f>
        <v>637</v>
      </c>
      <c r="BC116" s="292">
        <f>BC121*BC125/1000</f>
        <v>271.5</v>
      </c>
      <c r="BD116" s="261">
        <f>BD121*BD125/1000</f>
        <v>90.5</v>
      </c>
      <c r="BE116" s="261">
        <f>BE121*BE125/1000</f>
        <v>78.75</v>
      </c>
      <c r="BF116" s="293">
        <f>BF121*BF125/1000</f>
        <v>218.75000000000003</v>
      </c>
      <c r="BG116" s="228">
        <f>SUM(BC116:BF116)</f>
        <v>659.5</v>
      </c>
      <c r="BH116" s="292">
        <f>BH121*BH125/1000</f>
        <v>282.75</v>
      </c>
      <c r="BI116" s="261">
        <f>BI121*BI125/1000</f>
        <v>101.75</v>
      </c>
      <c r="BJ116" s="261">
        <f>BJ121*BJ125/1000</f>
        <v>83.75</v>
      </c>
      <c r="BK116" s="293">
        <f>BK121*BK125/1000</f>
        <v>223.75000000000003</v>
      </c>
      <c r="BL116" s="228">
        <f>SUM(BH116:BK116)</f>
        <v>692</v>
      </c>
      <c r="BM116" s="292">
        <f>BM121*BM125/1000</f>
        <v>287.75</v>
      </c>
      <c r="BN116" s="261">
        <f>BN121*BN125/1000</f>
        <v>106.75</v>
      </c>
      <c r="BO116" s="261">
        <f>BO121*BO125/1000</f>
        <v>93.75</v>
      </c>
      <c r="BP116" s="293">
        <f>BP121*BP125/1000</f>
        <v>233.75000000000003</v>
      </c>
      <c r="BQ116" s="228">
        <f>SUM(BM116:BP116)</f>
        <v>722</v>
      </c>
      <c r="BR116" s="228"/>
      <c r="BS116" s="228"/>
      <c r="BT116" s="228"/>
      <c r="BU116" s="228"/>
      <c r="BV116" s="228"/>
      <c r="BW116" s="228"/>
      <c r="BX116" s="228"/>
      <c r="BY116" s="228"/>
      <c r="BZ116" s="228"/>
      <c r="CA116" s="228"/>
      <c r="CB116" s="228"/>
      <c r="CC116" s="228"/>
      <c r="CD116" s="228"/>
      <c r="CE116" s="228"/>
      <c r="CF116" s="228"/>
      <c r="CG116" s="228"/>
      <c r="CH116" s="228"/>
      <c r="CI116" s="228"/>
      <c r="CJ116" s="228"/>
      <c r="CK116" s="228"/>
      <c r="CL116" s="228"/>
      <c r="CM116" s="228"/>
      <c r="CN116" s="228"/>
      <c r="CO116" s="228"/>
      <c r="CP116" s="228"/>
      <c r="CQ116" s="228"/>
      <c r="CR116" s="228"/>
      <c r="CS116" s="228"/>
      <c r="CT116" s="228"/>
      <c r="CU116" s="228"/>
    </row>
    <row r="117" spans="1:99">
      <c r="A117" s="330"/>
      <c r="B117" s="330"/>
      <c r="C117" s="228"/>
      <c r="D117" s="330"/>
      <c r="E117" s="292"/>
      <c r="F117" s="261"/>
      <c r="G117" s="261"/>
      <c r="H117" s="293"/>
      <c r="I117" s="228"/>
      <c r="J117" s="292"/>
      <c r="K117" s="261"/>
      <c r="L117" s="261"/>
      <c r="M117" s="293"/>
      <c r="N117" s="228"/>
      <c r="O117" s="292"/>
      <c r="P117" s="261"/>
      <c r="Q117" s="261"/>
      <c r="R117" s="293"/>
      <c r="S117" s="228"/>
      <c r="T117" s="292"/>
      <c r="U117" s="261"/>
      <c r="V117" s="261"/>
      <c r="W117" s="293"/>
      <c r="X117" s="228"/>
      <c r="Y117" s="292"/>
      <c r="Z117" s="261"/>
      <c r="AA117" s="1438"/>
      <c r="AB117" s="1439"/>
      <c r="AC117" s="1440"/>
      <c r="AD117" s="292"/>
      <c r="AE117" s="261"/>
      <c r="AF117" s="1438"/>
      <c r="AG117" s="1439"/>
      <c r="AH117" s="1440"/>
      <c r="AI117" s="292"/>
      <c r="AJ117" s="261"/>
      <c r="AK117" s="1438"/>
      <c r="AL117" s="1439"/>
      <c r="AM117" s="1440"/>
      <c r="AN117" s="292"/>
      <c r="AO117" s="261"/>
      <c r="AP117" s="1438"/>
      <c r="AQ117" s="1439"/>
      <c r="AR117" s="1440"/>
      <c r="AS117" s="292"/>
      <c r="AT117" s="261"/>
      <c r="AU117" s="261"/>
      <c r="AV117" s="1439"/>
      <c r="AW117" s="1440"/>
      <c r="AX117" s="292"/>
      <c r="AY117" s="261"/>
      <c r="AZ117" s="261"/>
      <c r="BA117" s="293"/>
      <c r="BB117" s="228"/>
      <c r="BC117" s="292"/>
      <c r="BD117" s="261"/>
      <c r="BE117" s="261"/>
      <c r="BF117" s="293"/>
      <c r="BG117" s="228"/>
      <c r="BH117" s="292"/>
      <c r="BI117" s="261"/>
      <c r="BJ117" s="261"/>
      <c r="BK117" s="293"/>
      <c r="BL117" s="228"/>
      <c r="BM117" s="292"/>
      <c r="BN117" s="261"/>
      <c r="BO117" s="261"/>
      <c r="BP117" s="293"/>
      <c r="BQ117" s="228"/>
      <c r="BR117" s="330"/>
      <c r="BS117" s="330"/>
      <c r="BT117" s="330"/>
      <c r="BU117" s="330"/>
      <c r="BV117" s="330"/>
      <c r="BW117" s="330"/>
      <c r="BX117" s="330"/>
      <c r="BY117" s="330"/>
      <c r="BZ117" s="330"/>
      <c r="CA117" s="330"/>
      <c r="CB117" s="330"/>
      <c r="CC117" s="330"/>
      <c r="CD117" s="330"/>
      <c r="CE117" s="330"/>
      <c r="CF117" s="330"/>
      <c r="CG117" s="330"/>
      <c r="CH117" s="330"/>
      <c r="CI117" s="330"/>
      <c r="CJ117" s="330"/>
      <c r="CK117" s="330"/>
      <c r="CL117" s="330"/>
      <c r="CM117" s="330"/>
      <c r="CN117" s="330"/>
      <c r="CO117" s="330"/>
      <c r="CP117" s="330"/>
      <c r="CQ117" s="330"/>
      <c r="CR117" s="330"/>
      <c r="CS117" s="330"/>
      <c r="CT117" s="330"/>
      <c r="CU117" s="330"/>
    </row>
    <row r="118" spans="1:99">
      <c r="A118" s="330"/>
      <c r="B118" s="330"/>
      <c r="C118" s="32" t="s">
        <v>1297</v>
      </c>
      <c r="D118" s="330"/>
      <c r="E118" s="292"/>
      <c r="F118" s="261"/>
      <c r="G118" s="261"/>
      <c r="H118" s="293"/>
      <c r="I118" s="228"/>
      <c r="J118" s="292"/>
      <c r="K118" s="261"/>
      <c r="L118" s="261"/>
      <c r="M118" s="293"/>
      <c r="N118" s="228"/>
      <c r="O118" s="292"/>
      <c r="P118" s="261"/>
      <c r="Q118" s="261"/>
      <c r="R118" s="293"/>
      <c r="S118" s="228"/>
      <c r="T118" s="292"/>
      <c r="U118" s="261"/>
      <c r="V118" s="261"/>
      <c r="W118" s="293"/>
      <c r="X118" s="228"/>
      <c r="Y118" s="292"/>
      <c r="Z118" s="261"/>
      <c r="AA118" s="1438"/>
      <c r="AB118" s="1439"/>
      <c r="AC118" s="1440"/>
      <c r="AD118" s="292"/>
      <c r="AE118" s="261"/>
      <c r="AF118" s="1438"/>
      <c r="AG118" s="1439"/>
      <c r="AH118" s="1440"/>
      <c r="AI118" s="292"/>
      <c r="AJ118" s="261"/>
      <c r="AK118" s="1438"/>
      <c r="AL118" s="1439"/>
      <c r="AM118" s="1440"/>
      <c r="AN118" s="292"/>
      <c r="AO118" s="261"/>
      <c r="AP118" s="1438"/>
      <c r="AQ118" s="1439"/>
      <c r="AR118" s="1440"/>
      <c r="AS118" s="292"/>
      <c r="AT118" s="261"/>
      <c r="AU118" s="261"/>
      <c r="AV118" s="1439"/>
      <c r="AW118" s="1440"/>
      <c r="AX118" s="292"/>
      <c r="AY118" s="261"/>
      <c r="AZ118" s="261"/>
      <c r="BA118" s="293"/>
      <c r="BB118" s="228"/>
      <c r="BC118" s="292"/>
      <c r="BD118" s="261"/>
      <c r="BE118" s="261"/>
      <c r="BF118" s="293"/>
      <c r="BG118" s="228"/>
      <c r="BH118" s="292"/>
      <c r="BI118" s="261"/>
      <c r="BJ118" s="261"/>
      <c r="BK118" s="293"/>
      <c r="BL118" s="228"/>
      <c r="BM118" s="292"/>
      <c r="BN118" s="261"/>
      <c r="BO118" s="261"/>
      <c r="BP118" s="293"/>
      <c r="BQ118" s="228"/>
      <c r="BR118" s="330"/>
      <c r="BS118" s="330"/>
      <c r="BT118" s="330"/>
      <c r="BU118" s="330"/>
      <c r="BV118" s="330"/>
      <c r="BW118" s="330"/>
      <c r="BX118" s="330"/>
      <c r="BY118" s="330"/>
      <c r="BZ118" s="330"/>
      <c r="CA118" s="330"/>
      <c r="CB118" s="330"/>
      <c r="CC118" s="330"/>
      <c r="CD118" s="330"/>
      <c r="CE118" s="330"/>
      <c r="CF118" s="330"/>
      <c r="CG118" s="330"/>
      <c r="CH118" s="330"/>
      <c r="CI118" s="330"/>
      <c r="CJ118" s="330"/>
      <c r="CK118" s="330"/>
      <c r="CL118" s="330"/>
      <c r="CM118" s="330"/>
      <c r="CN118" s="330"/>
      <c r="CO118" s="330"/>
      <c r="CP118" s="330"/>
      <c r="CQ118" s="330"/>
      <c r="CR118" s="330"/>
      <c r="CS118" s="330"/>
      <c r="CT118" s="330"/>
      <c r="CU118" s="330"/>
    </row>
    <row r="119" spans="1:99">
      <c r="A119" s="330"/>
      <c r="B119" s="330"/>
      <c r="C119" s="576" t="s">
        <v>721</v>
      </c>
      <c r="D119" s="330"/>
      <c r="E119" s="624"/>
      <c r="F119" s="625"/>
      <c r="G119" s="625"/>
      <c r="H119" s="347"/>
      <c r="I119" s="626"/>
      <c r="J119" s="624"/>
      <c r="K119" s="625"/>
      <c r="L119" s="625"/>
      <c r="M119" s="347"/>
      <c r="N119" s="626"/>
      <c r="O119" s="624"/>
      <c r="P119" s="625"/>
      <c r="Q119" s="625"/>
      <c r="R119" s="347"/>
      <c r="S119" s="626"/>
      <c r="T119" s="624">
        <v>33931</v>
      </c>
      <c r="U119" s="625">
        <v>15535</v>
      </c>
      <c r="V119" s="625">
        <v>11147</v>
      </c>
      <c r="W119" s="1059">
        <v>26333</v>
      </c>
      <c r="X119" s="2107">
        <f t="shared" ref="X119:X120" si="277">SUM(T119:W119)</f>
        <v>86946</v>
      </c>
      <c r="Y119" s="624">
        <v>40261</v>
      </c>
      <c r="Z119" s="625">
        <v>14951</v>
      </c>
      <c r="AA119" s="1452">
        <v>10642</v>
      </c>
      <c r="AB119" s="1490">
        <v>28166</v>
      </c>
      <c r="AC119" s="2107">
        <f t="shared" ref="AC119:AC120" si="278">SUM(Y119:AB119)</f>
        <v>94020</v>
      </c>
      <c r="AD119" s="624">
        <v>46388</v>
      </c>
      <c r="AE119" s="625">
        <v>14834</v>
      </c>
      <c r="AF119" s="1452">
        <v>10257</v>
      </c>
      <c r="AG119" s="1490">
        <v>27716</v>
      </c>
      <c r="AH119" s="2107">
        <f t="shared" ref="AH119:AH120" si="279">SUM(AD119:AG119)</f>
        <v>99195</v>
      </c>
      <c r="AI119" s="624">
        <v>46877</v>
      </c>
      <c r="AJ119" s="625">
        <v>13885</v>
      </c>
      <c r="AK119" s="1452">
        <v>11719</v>
      </c>
      <c r="AL119" s="1490">
        <f>96618-AI119-AJ119-AK119</f>
        <v>24137</v>
      </c>
      <c r="AM119" s="2107">
        <f t="shared" ref="AM119:AM120" si="280">SUM(AI119:AL119)</f>
        <v>96618</v>
      </c>
      <c r="AN119" s="624">
        <v>38584</v>
      </c>
      <c r="AO119" s="625">
        <v>17672</v>
      </c>
      <c r="AP119" s="1452">
        <v>13159</v>
      </c>
      <c r="AQ119" s="1490">
        <f>96808-AN119-AO119-AP119</f>
        <v>27393</v>
      </c>
      <c r="AR119" s="2107">
        <f t="shared" ref="AR119:AR120" si="281">SUM(AN119:AQ119)</f>
        <v>96808</v>
      </c>
      <c r="AS119" s="624">
        <v>36371</v>
      </c>
      <c r="AT119" s="625">
        <v>13028</v>
      </c>
      <c r="AU119" s="625">
        <v>11221</v>
      </c>
      <c r="AV119" s="1490">
        <f>89337-AS119-AT119-AU119</f>
        <v>28717</v>
      </c>
      <c r="AW119" s="2107">
        <f t="shared" ref="AW119:AW120" si="282">SUM(AS119:AV119)</f>
        <v>89337</v>
      </c>
      <c r="AX119" s="292"/>
      <c r="AY119" s="261"/>
      <c r="AZ119" s="261"/>
      <c r="BA119" s="293"/>
      <c r="BB119" s="228"/>
      <c r="BC119" s="292"/>
      <c r="BD119" s="261"/>
      <c r="BE119" s="261"/>
      <c r="BF119" s="293"/>
      <c r="BG119" s="228"/>
      <c r="BH119" s="292"/>
      <c r="BI119" s="261"/>
      <c r="BJ119" s="261"/>
      <c r="BK119" s="293"/>
      <c r="BL119" s="228"/>
      <c r="BM119" s="292"/>
      <c r="BN119" s="261"/>
      <c r="BO119" s="261"/>
      <c r="BP119" s="293"/>
      <c r="BQ119" s="228"/>
      <c r="BR119" s="330"/>
      <c r="BS119" s="330"/>
      <c r="BT119" s="330"/>
      <c r="BU119" s="330"/>
      <c r="BV119" s="330"/>
      <c r="BW119" s="330"/>
      <c r="BX119" s="330"/>
      <c r="BY119" s="330"/>
      <c r="BZ119" s="330"/>
      <c r="CA119" s="330"/>
      <c r="CB119" s="330"/>
      <c r="CC119" s="330"/>
      <c r="CD119" s="330"/>
      <c r="CE119" s="330"/>
      <c r="CF119" s="330"/>
      <c r="CG119" s="330"/>
      <c r="CH119" s="330"/>
      <c r="CI119" s="330"/>
      <c r="CJ119" s="330"/>
      <c r="CK119" s="330"/>
      <c r="CL119" s="330"/>
      <c r="CM119" s="330"/>
      <c r="CN119" s="330"/>
      <c r="CO119" s="330"/>
      <c r="CP119" s="330"/>
      <c r="CQ119" s="330"/>
      <c r="CR119" s="330"/>
      <c r="CS119" s="330"/>
      <c r="CT119" s="330"/>
      <c r="CU119" s="330"/>
    </row>
    <row r="120" spans="1:99">
      <c r="A120" s="330"/>
      <c r="B120" s="330"/>
      <c r="C120" s="576" t="s">
        <v>785</v>
      </c>
      <c r="D120" s="330"/>
      <c r="E120" s="624"/>
      <c r="F120" s="625"/>
      <c r="G120" s="625"/>
      <c r="H120" s="347"/>
      <c r="I120" s="626"/>
      <c r="J120" s="624"/>
      <c r="K120" s="625"/>
      <c r="L120" s="625"/>
      <c r="M120" s="347"/>
      <c r="N120" s="626"/>
      <c r="O120" s="624"/>
      <c r="P120" s="625"/>
      <c r="Q120" s="625"/>
      <c r="R120" s="347"/>
      <c r="S120" s="626"/>
      <c r="T120" s="624">
        <v>5440</v>
      </c>
      <c r="U120" s="625">
        <v>4854</v>
      </c>
      <c r="V120" s="625">
        <v>2311</v>
      </c>
      <c r="W120" s="1059">
        <v>3145</v>
      </c>
      <c r="X120" s="2107">
        <f t="shared" si="277"/>
        <v>15750</v>
      </c>
      <c r="Y120" s="624">
        <v>5651</v>
      </c>
      <c r="Z120" s="625">
        <v>1545</v>
      </c>
      <c r="AA120" s="1452">
        <v>933</v>
      </c>
      <c r="AB120" s="1490">
        <v>4082</v>
      </c>
      <c r="AC120" s="2107">
        <f t="shared" si="278"/>
        <v>12211</v>
      </c>
      <c r="AD120" s="624">
        <v>6330</v>
      </c>
      <c r="AE120" s="625">
        <v>875</v>
      </c>
      <c r="AF120" s="1452">
        <v>304</v>
      </c>
      <c r="AG120" s="1490">
        <v>1733</v>
      </c>
      <c r="AH120" s="2107">
        <f t="shared" si="279"/>
        <v>9242</v>
      </c>
      <c r="AI120" s="624">
        <v>3325</v>
      </c>
      <c r="AJ120" s="625">
        <v>585</v>
      </c>
      <c r="AK120" s="1452">
        <v>612</v>
      </c>
      <c r="AL120" s="1490">
        <f>6238-AI120-AJ120-AK120</f>
        <v>1716</v>
      </c>
      <c r="AM120" s="2107">
        <f t="shared" si="280"/>
        <v>6238</v>
      </c>
      <c r="AN120" s="624">
        <v>2496</v>
      </c>
      <c r="AO120" s="625">
        <v>271</v>
      </c>
      <c r="AP120" s="1452">
        <v>1311</v>
      </c>
      <c r="AQ120" s="1490">
        <f>5977-AN120-AO120-AP120</f>
        <v>1899</v>
      </c>
      <c r="AR120" s="2107">
        <f t="shared" si="281"/>
        <v>5977</v>
      </c>
      <c r="AS120" s="624">
        <v>2279</v>
      </c>
      <c r="AT120" s="625">
        <v>116</v>
      </c>
      <c r="AU120" s="625">
        <v>68</v>
      </c>
      <c r="AV120" s="1490">
        <f>3615-AS120-AT120-AU120</f>
        <v>1152</v>
      </c>
      <c r="AW120" s="2107">
        <f t="shared" si="282"/>
        <v>3615</v>
      </c>
      <c r="AX120" s="292"/>
      <c r="AY120" s="261"/>
      <c r="AZ120" s="261"/>
      <c r="BA120" s="293"/>
      <c r="BB120" s="228"/>
      <c r="BC120" s="292"/>
      <c r="BD120" s="261"/>
      <c r="BE120" s="261"/>
      <c r="BF120" s="293"/>
      <c r="BG120" s="228"/>
      <c r="BH120" s="292"/>
      <c r="BI120" s="261"/>
      <c r="BJ120" s="261"/>
      <c r="BK120" s="293"/>
      <c r="BL120" s="228"/>
      <c r="BM120" s="292"/>
      <c r="BN120" s="261"/>
      <c r="BO120" s="261"/>
      <c r="BP120" s="293"/>
      <c r="BQ120" s="228"/>
      <c r="BR120" s="330"/>
      <c r="BS120" s="330"/>
      <c r="BT120" s="330"/>
      <c r="BU120" s="330"/>
      <c r="BV120" s="330"/>
      <c r="BW120" s="330"/>
      <c r="BX120" s="330"/>
      <c r="BY120" s="330"/>
      <c r="BZ120" s="330"/>
      <c r="CA120" s="330"/>
      <c r="CB120" s="330"/>
      <c r="CC120" s="330"/>
      <c r="CD120" s="330"/>
      <c r="CE120" s="330"/>
      <c r="CF120" s="330"/>
      <c r="CG120" s="330"/>
      <c r="CH120" s="330"/>
      <c r="CI120" s="330"/>
      <c r="CJ120" s="330"/>
      <c r="CK120" s="330"/>
      <c r="CL120" s="330"/>
      <c r="CM120" s="330"/>
      <c r="CN120" s="330"/>
      <c r="CO120" s="330"/>
      <c r="CP120" s="330"/>
      <c r="CQ120" s="330"/>
      <c r="CR120" s="330"/>
      <c r="CS120" s="330"/>
      <c r="CT120" s="330"/>
      <c r="CU120" s="330"/>
    </row>
    <row r="121" spans="1:99" s="232" customFormat="1">
      <c r="A121" s="45"/>
      <c r="B121" s="45"/>
      <c r="C121" s="28" t="s">
        <v>131</v>
      </c>
      <c r="D121" s="45"/>
      <c r="E121" s="335">
        <v>48911</v>
      </c>
      <c r="F121" s="336">
        <v>21584</v>
      </c>
      <c r="G121" s="336">
        <v>15752</v>
      </c>
      <c r="H121" s="588">
        <v>32027</v>
      </c>
      <c r="I121" s="427">
        <v>118274</v>
      </c>
      <c r="J121" s="335">
        <v>47698</v>
      </c>
      <c r="K121" s="336">
        <v>17666</v>
      </c>
      <c r="L121" s="336">
        <v>14314</v>
      </c>
      <c r="M121" s="588">
        <v>33961</v>
      </c>
      <c r="N121" s="427">
        <v>113639</v>
      </c>
      <c r="O121" s="335">
        <v>47632</v>
      </c>
      <c r="P121" s="336">
        <v>18436</v>
      </c>
      <c r="Q121" s="336">
        <v>16116</v>
      </c>
      <c r="R121" s="588">
        <v>29052</v>
      </c>
      <c r="S121" s="427">
        <v>111236</v>
      </c>
      <c r="T121" s="290">
        <f>SUM(T119:T120)</f>
        <v>39371</v>
      </c>
      <c r="U121" s="260">
        <f>SUM(U119:U120)</f>
        <v>20389</v>
      </c>
      <c r="V121" s="260">
        <f>SUM(V119:V120)</f>
        <v>13458</v>
      </c>
      <c r="W121" s="291">
        <f>SUM(W119:W120)</f>
        <v>29478</v>
      </c>
      <c r="X121" s="330">
        <f>SUM(T121:W121)</f>
        <v>102696</v>
      </c>
      <c r="Y121" s="290">
        <f>SUM(Y119:Y120)</f>
        <v>45912</v>
      </c>
      <c r="Z121" s="260">
        <f>SUM(Z119:Z120)</f>
        <v>16496</v>
      </c>
      <c r="AA121" s="1441">
        <f>SUM(AA119:AA120)</f>
        <v>11575</v>
      </c>
      <c r="AB121" s="1442">
        <f>SUM(AB119:AB120)</f>
        <v>32248</v>
      </c>
      <c r="AC121" s="2108">
        <f>SUM(Y121:AB121)</f>
        <v>106231</v>
      </c>
      <c r="AD121" s="290">
        <f>SUM(AD119:AD120)</f>
        <v>52718</v>
      </c>
      <c r="AE121" s="260">
        <f>SUM(AE119:AE120)</f>
        <v>15709</v>
      </c>
      <c r="AF121" s="1441">
        <f>SUM(AF119:AF120)</f>
        <v>10561</v>
      </c>
      <c r="AG121" s="1442">
        <f>SUM(AG119:AG120)</f>
        <v>29449</v>
      </c>
      <c r="AH121" s="2108">
        <f>SUM(AD121:AG121)</f>
        <v>108437</v>
      </c>
      <c r="AI121" s="290">
        <f>SUM(AI119:AI120)</f>
        <v>50202</v>
      </c>
      <c r="AJ121" s="260">
        <f>SUM(AJ119:AJ120)</f>
        <v>14470</v>
      </c>
      <c r="AK121" s="1441">
        <f>SUM(AK119:AK120)</f>
        <v>12331</v>
      </c>
      <c r="AL121" s="1442">
        <f>SUM(AL119:AL120)</f>
        <v>25853</v>
      </c>
      <c r="AM121" s="2108">
        <f>SUM(AI121:AL121)</f>
        <v>102856</v>
      </c>
      <c r="AN121" s="290">
        <f>SUM(AN119:AN120)</f>
        <v>41080</v>
      </c>
      <c r="AO121" s="260">
        <f>SUM(AO119:AO120)</f>
        <v>17943</v>
      </c>
      <c r="AP121" s="1441">
        <f>SUM(AP119:AP120)</f>
        <v>14470</v>
      </c>
      <c r="AQ121" s="1442">
        <f>SUM(AQ119:AQ120)</f>
        <v>29292</v>
      </c>
      <c r="AR121" s="2108">
        <f>SUM(AN121:AQ121)</f>
        <v>102785</v>
      </c>
      <c r="AS121" s="290">
        <f>SUM(AS119:AS120)</f>
        <v>38650</v>
      </c>
      <c r="AT121" s="260">
        <f>SUM(AT119:AT120)</f>
        <v>13144</v>
      </c>
      <c r="AU121" s="260">
        <f>SUM(AU119:AU120)</f>
        <v>11289</v>
      </c>
      <c r="AV121" s="1442">
        <f>SUM(AV119:AV120)</f>
        <v>29869</v>
      </c>
      <c r="AW121" s="2108">
        <f>SUM(AS121:AV121)</f>
        <v>92952</v>
      </c>
      <c r="AX121" s="290">
        <f>+AS121*(1+AX50)</f>
        <v>38650</v>
      </c>
      <c r="AY121" s="260">
        <f>+AT121*(1+AY50)</f>
        <v>13144</v>
      </c>
      <c r="AZ121" s="260">
        <f>+AU121*(1+AZ50)</f>
        <v>11289</v>
      </c>
      <c r="BA121" s="291">
        <f>+AV121*(1+BA50)</f>
        <v>29869</v>
      </c>
      <c r="BB121" s="45">
        <f>SUM(AX121:BA121)</f>
        <v>92952</v>
      </c>
      <c r="BC121" s="290">
        <f>+AX121*(1+BC50)</f>
        <v>38650</v>
      </c>
      <c r="BD121" s="260">
        <f>+AY121*(1+BD50)</f>
        <v>13144</v>
      </c>
      <c r="BE121" s="260">
        <f>+AZ121*(1+BE50)</f>
        <v>11289</v>
      </c>
      <c r="BF121" s="291">
        <f>+BA121*(1+BF50)</f>
        <v>29869</v>
      </c>
      <c r="BG121" s="45">
        <f>SUM(BC121:BF121)</f>
        <v>92952</v>
      </c>
      <c r="BH121" s="290">
        <f>+BC121*(1+BH50)</f>
        <v>38650</v>
      </c>
      <c r="BI121" s="260">
        <f>+BD121*(1+BI50)</f>
        <v>13144</v>
      </c>
      <c r="BJ121" s="260">
        <f>+BE121*(1+BJ50)</f>
        <v>11289</v>
      </c>
      <c r="BK121" s="291">
        <f>+BF121*(1+BK50)</f>
        <v>29869</v>
      </c>
      <c r="BL121" s="45">
        <f>SUM(BH121:BK121)</f>
        <v>92952</v>
      </c>
      <c r="BM121" s="290">
        <f>+BH121*(1+BM50)</f>
        <v>38650</v>
      </c>
      <c r="BN121" s="260">
        <f>+BI121*(1+BN50)</f>
        <v>13144</v>
      </c>
      <c r="BO121" s="260">
        <f>+BJ121*(1+BO50)</f>
        <v>11289</v>
      </c>
      <c r="BP121" s="291">
        <f>+BK121*(1+BP50)</f>
        <v>29869</v>
      </c>
      <c r="BQ121" s="45">
        <f>SUM(BM121:BP121)</f>
        <v>92952</v>
      </c>
      <c r="BR121" s="45"/>
      <c r="BS121" s="45"/>
      <c r="BT121" s="45"/>
      <c r="BU121" s="45"/>
      <c r="BV121" s="45"/>
      <c r="BW121" s="45"/>
      <c r="BX121" s="45"/>
      <c r="BY121" s="45"/>
      <c r="BZ121" s="45"/>
      <c r="CA121" s="45"/>
      <c r="CB121" s="45"/>
      <c r="CC121" s="45"/>
      <c r="CD121" s="45"/>
      <c r="CE121" s="45"/>
      <c r="CF121" s="45"/>
      <c r="CG121" s="45"/>
      <c r="CH121" s="45"/>
      <c r="CI121" s="45"/>
      <c r="CJ121" s="45"/>
      <c r="CK121" s="45"/>
      <c r="CL121" s="45"/>
      <c r="CM121" s="45"/>
      <c r="CN121" s="45"/>
      <c r="CO121" s="45"/>
      <c r="CP121" s="45"/>
      <c r="CQ121" s="45"/>
      <c r="CR121" s="45"/>
      <c r="CS121" s="45"/>
      <c r="CT121" s="45"/>
      <c r="CU121" s="45"/>
    </row>
    <row r="122" spans="1:99">
      <c r="A122" s="330"/>
      <c r="B122" s="330"/>
      <c r="C122" s="45"/>
      <c r="D122" s="330"/>
      <c r="E122" s="292"/>
      <c r="F122" s="261"/>
      <c r="G122" s="261"/>
      <c r="H122" s="293"/>
      <c r="I122" s="228"/>
      <c r="J122" s="292"/>
      <c r="K122" s="261"/>
      <c r="L122" s="261"/>
      <c r="M122" s="293"/>
      <c r="N122" s="228"/>
      <c r="O122" s="292"/>
      <c r="P122" s="261"/>
      <c r="Q122" s="261"/>
      <c r="R122" s="293"/>
      <c r="S122" s="228"/>
      <c r="T122" s="292"/>
      <c r="U122" s="261"/>
      <c r="V122" s="261"/>
      <c r="W122" s="293"/>
      <c r="X122" s="228"/>
      <c r="Y122" s="292"/>
      <c r="Z122" s="261"/>
      <c r="AA122" s="1438"/>
      <c r="AB122" s="1439"/>
      <c r="AC122" s="1440"/>
      <c r="AD122" s="292"/>
      <c r="AE122" s="261"/>
      <c r="AF122" s="1438"/>
      <c r="AG122" s="1439"/>
      <c r="AH122" s="1440"/>
      <c r="AI122" s="292"/>
      <c r="AJ122" s="261"/>
      <c r="AK122" s="1438"/>
      <c r="AL122" s="1439"/>
      <c r="AM122" s="1440"/>
      <c r="AN122" s="292"/>
      <c r="AO122" s="261"/>
      <c r="AP122" s="1438"/>
      <c r="AQ122" s="1439"/>
      <c r="AR122" s="1440"/>
      <c r="AS122" s="292"/>
      <c r="AT122" s="261"/>
      <c r="AU122" s="261"/>
      <c r="AV122" s="1439"/>
      <c r="AW122" s="1440"/>
      <c r="AX122" s="292"/>
      <c r="AY122" s="261"/>
      <c r="AZ122" s="261"/>
      <c r="BA122" s="293"/>
      <c r="BB122" s="228"/>
      <c r="BC122" s="292"/>
      <c r="BD122" s="261"/>
      <c r="BE122" s="261"/>
      <c r="BF122" s="293"/>
      <c r="BG122" s="228"/>
      <c r="BH122" s="292"/>
      <c r="BI122" s="261"/>
      <c r="BJ122" s="261"/>
      <c r="BK122" s="293"/>
      <c r="BL122" s="228"/>
      <c r="BM122" s="292"/>
      <c r="BN122" s="261"/>
      <c r="BO122" s="261"/>
      <c r="BP122" s="293"/>
      <c r="BQ122" s="228"/>
      <c r="BR122" s="330"/>
      <c r="BS122" s="330"/>
      <c r="BT122" s="330"/>
      <c r="BU122" s="330"/>
      <c r="BV122" s="330"/>
      <c r="BW122" s="330"/>
      <c r="BX122" s="330"/>
      <c r="BY122" s="330"/>
      <c r="BZ122" s="330"/>
      <c r="CA122" s="330"/>
      <c r="CB122" s="330"/>
      <c r="CC122" s="330"/>
      <c r="CD122" s="330"/>
      <c r="CE122" s="330"/>
      <c r="CF122" s="330"/>
      <c r="CG122" s="330"/>
      <c r="CH122" s="330"/>
      <c r="CI122" s="330"/>
      <c r="CJ122" s="330"/>
      <c r="CK122" s="330"/>
      <c r="CL122" s="330"/>
      <c r="CM122" s="330"/>
      <c r="CN122" s="330"/>
      <c r="CO122" s="330"/>
      <c r="CP122" s="330"/>
      <c r="CQ122" s="330"/>
      <c r="CR122" s="330"/>
      <c r="CS122" s="330"/>
      <c r="CT122" s="330"/>
      <c r="CU122" s="330"/>
    </row>
    <row r="123" spans="1:99">
      <c r="A123" s="28"/>
      <c r="B123" s="28"/>
      <c r="C123" s="28" t="s">
        <v>132</v>
      </c>
      <c r="D123" s="28"/>
      <c r="E123" s="415"/>
      <c r="F123" s="242"/>
      <c r="G123" s="242"/>
      <c r="H123" s="416"/>
      <c r="I123" s="23"/>
      <c r="J123" s="284">
        <f t="shared" ref="J123:S123" si="283">+J121/E121-1</f>
        <v>-2.4800147206149981E-2</v>
      </c>
      <c r="K123" s="241">
        <f t="shared" si="283"/>
        <v>-0.18152335063009639</v>
      </c>
      <c r="L123" s="241">
        <f t="shared" si="283"/>
        <v>-9.1289994921279871E-2</v>
      </c>
      <c r="M123" s="285">
        <f t="shared" si="283"/>
        <v>6.0386548849408417E-2</v>
      </c>
      <c r="N123" s="25">
        <f t="shared" si="283"/>
        <v>-3.9188663611613661E-2</v>
      </c>
      <c r="O123" s="284">
        <f t="shared" si="283"/>
        <v>-1.3837058157574189E-3</v>
      </c>
      <c r="P123" s="241">
        <f t="shared" si="283"/>
        <v>4.3586550435865457E-2</v>
      </c>
      <c r="Q123" s="241">
        <f t="shared" si="283"/>
        <v>0.12589073634204273</v>
      </c>
      <c r="R123" s="285">
        <f t="shared" si="283"/>
        <v>-0.1445481581814434</v>
      </c>
      <c r="S123" s="25">
        <f t="shared" si="283"/>
        <v>-2.1145909414901576E-2</v>
      </c>
      <c r="T123" s="284">
        <f t="shared" ref="T123:AA123" si="284">+T121/O121-1</f>
        <v>-0.17343382599932822</v>
      </c>
      <c r="U123" s="241">
        <f t="shared" si="284"/>
        <v>0.10593404209155999</v>
      </c>
      <c r="V123" s="241">
        <f t="shared" si="284"/>
        <v>-0.16492926284437825</v>
      </c>
      <c r="W123" s="285">
        <f t="shared" si="284"/>
        <v>1.4663362247005374E-2</v>
      </c>
      <c r="X123" s="25">
        <f t="shared" si="284"/>
        <v>-7.6773706354058002E-2</v>
      </c>
      <c r="Y123" s="284">
        <f t="shared" si="284"/>
        <v>0.1661375123822102</v>
      </c>
      <c r="Z123" s="241">
        <f t="shared" si="284"/>
        <v>-0.19093628917553584</v>
      </c>
      <c r="AA123" s="241">
        <f t="shared" si="284"/>
        <v>-0.13991677812453562</v>
      </c>
      <c r="AB123" s="285">
        <f>+AB121/W121-1</f>
        <v>9.396838320103118E-2</v>
      </c>
      <c r="AC123" s="25">
        <f>+AC121/X121-1</f>
        <v>3.4421983329438355E-2</v>
      </c>
      <c r="AD123" s="284">
        <f>+AD121/Y121-1</f>
        <v>0.1482401115176859</v>
      </c>
      <c r="AE123" s="241">
        <f>+AE121/Z121-1</f>
        <v>-4.7708535402521846E-2</v>
      </c>
      <c r="AF123" s="241">
        <f t="shared" ref="AF123" si="285">+AF121/AA121-1</f>
        <v>-8.7602591792656614E-2</v>
      </c>
      <c r="AG123" s="285">
        <f>+AG121/AB121-1</f>
        <v>-8.6796080377077645E-2</v>
      </c>
      <c r="AH123" s="25">
        <f>+AH121/AC121-1</f>
        <v>2.076606640246248E-2</v>
      </c>
      <c r="AI123" s="284">
        <f>+AI121/AD121-1</f>
        <v>-4.7725634508137604E-2</v>
      </c>
      <c r="AJ123" s="241">
        <f>+AJ121/AE121-1</f>
        <v>-7.887198421287156E-2</v>
      </c>
      <c r="AK123" s="241">
        <f t="shared" ref="AK123" si="286">+AK121/AF121-1</f>
        <v>0.16759776536312843</v>
      </c>
      <c r="AL123" s="285">
        <f>+AL121/AG121-1</f>
        <v>-0.12210940948758875</v>
      </c>
      <c r="AM123" s="25">
        <f>+AM121/AH121-1</f>
        <v>-5.1467672473417769E-2</v>
      </c>
      <c r="AN123" s="284">
        <f>+AN121/AI121-1</f>
        <v>-0.18170590813115017</v>
      </c>
      <c r="AO123" s="241">
        <f>+AO121/AJ121-1</f>
        <v>0.24001382170006913</v>
      </c>
      <c r="AP123" s="241">
        <f t="shared" ref="AP123" si="287">+AP121/AK121-1</f>
        <v>0.17346525018246695</v>
      </c>
      <c r="AQ123" s="285">
        <f t="shared" ref="AQ123:AW123" si="288">+AQ121/AL121-1</f>
        <v>0.13302131280702434</v>
      </c>
      <c r="AR123" s="25">
        <f t="shared" si="288"/>
        <v>-6.9028544761606803E-4</v>
      </c>
      <c r="AS123" s="284">
        <f t="shared" si="288"/>
        <v>-5.9152872444011684E-2</v>
      </c>
      <c r="AT123" s="241">
        <f t="shared" si="288"/>
        <v>-0.26745806163963659</v>
      </c>
      <c r="AU123" s="241">
        <f t="shared" si="288"/>
        <v>-0.21983413959917075</v>
      </c>
      <c r="AV123" s="285">
        <f t="shared" si="288"/>
        <v>1.9698211115662945E-2</v>
      </c>
      <c r="AW123" s="25">
        <f t="shared" si="288"/>
        <v>-9.5665709977136748E-2</v>
      </c>
      <c r="AX123" s="284">
        <f t="shared" ref="AX123:BB123" si="289">+AX121/AS121-1</f>
        <v>0</v>
      </c>
      <c r="AY123" s="241">
        <f t="shared" si="289"/>
        <v>0</v>
      </c>
      <c r="AZ123" s="241">
        <f t="shared" si="289"/>
        <v>0</v>
      </c>
      <c r="BA123" s="285">
        <f t="shared" si="289"/>
        <v>0</v>
      </c>
      <c r="BB123" s="25">
        <f t="shared" si="289"/>
        <v>0</v>
      </c>
      <c r="BC123" s="284">
        <f t="shared" ref="BC123" si="290">+BC121/AX121-1</f>
        <v>0</v>
      </c>
      <c r="BD123" s="241">
        <f t="shared" ref="BD123" si="291">+BD121/AY121-1</f>
        <v>0</v>
      </c>
      <c r="BE123" s="241">
        <f t="shared" ref="BE123" si="292">+BE121/AZ121-1</f>
        <v>0</v>
      </c>
      <c r="BF123" s="285">
        <f t="shared" ref="BF123" si="293">+BF121/BA121-1</f>
        <v>0</v>
      </c>
      <c r="BG123" s="25">
        <f t="shared" ref="BG123" si="294">+BG121/BB121-1</f>
        <v>0</v>
      </c>
      <c r="BH123" s="284">
        <f t="shared" ref="BH123" si="295">+BH121/BC121-1</f>
        <v>0</v>
      </c>
      <c r="BI123" s="241">
        <f t="shared" ref="BI123" si="296">+BI121/BD121-1</f>
        <v>0</v>
      </c>
      <c r="BJ123" s="241">
        <f t="shared" ref="BJ123" si="297">+BJ121/BE121-1</f>
        <v>0</v>
      </c>
      <c r="BK123" s="285">
        <f t="shared" ref="BK123" si="298">+BK121/BF121-1</f>
        <v>0</v>
      </c>
      <c r="BL123" s="25">
        <f t="shared" ref="BL123" si="299">+BL121/BG121-1</f>
        <v>0</v>
      </c>
      <c r="BM123" s="284">
        <f t="shared" ref="BM123" si="300">+BM121/BH121-1</f>
        <v>0</v>
      </c>
      <c r="BN123" s="241">
        <f t="shared" ref="BN123" si="301">+BN121/BI121-1</f>
        <v>0</v>
      </c>
      <c r="BO123" s="241">
        <f t="shared" ref="BO123" si="302">+BO121/BJ121-1</f>
        <v>0</v>
      </c>
      <c r="BP123" s="285">
        <f t="shared" ref="BP123" si="303">+BP121/BK121-1</f>
        <v>0</v>
      </c>
      <c r="BQ123" s="25">
        <f t="shared" ref="BQ123" si="304">+BQ121/BL121-1</f>
        <v>0</v>
      </c>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row>
    <row r="124" spans="1:99">
      <c r="A124" s="28"/>
      <c r="B124" s="28"/>
      <c r="C124" s="28"/>
      <c r="D124" s="28"/>
      <c r="E124" s="415"/>
      <c r="F124" s="242"/>
      <c r="G124" s="242"/>
      <c r="H124" s="416"/>
      <c r="I124" s="23"/>
      <c r="J124" s="284"/>
      <c r="K124" s="241"/>
      <c r="L124" s="241"/>
      <c r="M124" s="285"/>
      <c r="N124" s="25"/>
      <c r="O124" s="284"/>
      <c r="P124" s="241"/>
      <c r="Q124" s="241"/>
      <c r="R124" s="285"/>
      <c r="S124" s="25"/>
      <c r="T124" s="284"/>
      <c r="U124" s="241"/>
      <c r="V124" s="241"/>
      <c r="W124" s="285"/>
      <c r="X124" s="25"/>
      <c r="Y124" s="284"/>
      <c r="Z124" s="241"/>
      <c r="AA124" s="241"/>
      <c r="AB124" s="285"/>
      <c r="AC124" s="25"/>
      <c r="AD124" s="284"/>
      <c r="AE124" s="241"/>
      <c r="AF124" s="241"/>
      <c r="AG124" s="285"/>
      <c r="AH124" s="25"/>
      <c r="AI124" s="284"/>
      <c r="AJ124" s="241"/>
      <c r="AK124" s="241"/>
      <c r="AL124" s="285"/>
      <c r="AM124" s="25"/>
      <c r="AN124" s="284"/>
      <c r="AO124" s="241"/>
      <c r="AP124" s="241"/>
      <c r="AQ124" s="285"/>
      <c r="AR124" s="25"/>
      <c r="AS124" s="284"/>
      <c r="AT124" s="241"/>
      <c r="AU124" s="241"/>
      <c r="AV124" s="285"/>
      <c r="AW124" s="25"/>
      <c r="AX124" s="284"/>
      <c r="AY124" s="241"/>
      <c r="AZ124" s="241"/>
      <c r="BA124" s="285"/>
      <c r="BB124" s="25"/>
      <c r="BC124" s="284"/>
      <c r="BD124" s="241"/>
      <c r="BE124" s="241"/>
      <c r="BF124" s="285"/>
      <c r="BG124" s="25"/>
      <c r="BH124" s="284"/>
      <c r="BI124" s="241"/>
      <c r="BJ124" s="241"/>
      <c r="BK124" s="285"/>
      <c r="BL124" s="25"/>
      <c r="BM124" s="284"/>
      <c r="BN124" s="241"/>
      <c r="BO124" s="241"/>
      <c r="BP124" s="285"/>
      <c r="BQ124" s="25"/>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row>
    <row r="125" spans="1:99">
      <c r="A125" s="1"/>
      <c r="B125" s="1"/>
      <c r="C125" s="32" t="s">
        <v>651</v>
      </c>
      <c r="D125" s="1"/>
      <c r="E125" s="627">
        <f>E116/E121*1000</f>
        <v>7.9102860297274642</v>
      </c>
      <c r="F125" s="628">
        <f>F116/F121*1000</f>
        <v>5.1751297257227575</v>
      </c>
      <c r="G125" s="628">
        <f>G116/G121*1000</f>
        <v>4.9644489588623673</v>
      </c>
      <c r="H125" s="629">
        <f>H116/H121*1000</f>
        <v>5.6670933899522273</v>
      </c>
      <c r="I125" s="630">
        <f>I116/I121*1000</f>
        <v>6.41138373607048</v>
      </c>
      <c r="J125" s="631">
        <f t="shared" ref="J125:R125" si="305">J116/J121*1000</f>
        <v>6.6669462031951019</v>
      </c>
      <c r="K125" s="632">
        <f t="shared" si="305"/>
        <v>5.6832333295596067</v>
      </c>
      <c r="L125" s="632">
        <f t="shared" si="305"/>
        <v>5.567975408690792</v>
      </c>
      <c r="M125" s="629">
        <f t="shared" si="305"/>
        <v>6.2218427019227942</v>
      </c>
      <c r="N125" s="630">
        <f>N116/N121*1000</f>
        <v>6.2425751722560028</v>
      </c>
      <c r="O125" s="631">
        <f t="shared" si="305"/>
        <v>6.4515451797111192</v>
      </c>
      <c r="P125" s="632">
        <f t="shared" si="305"/>
        <v>5.9177695812540678</v>
      </c>
      <c r="Q125" s="632">
        <f t="shared" si="305"/>
        <v>5.2122114668652273</v>
      </c>
      <c r="R125" s="629">
        <f t="shared" si="305"/>
        <v>5.8963238331268073</v>
      </c>
      <c r="S125" s="630">
        <f t="shared" ref="S125:X125" si="306">S116/S121*1000</f>
        <v>6.0385127117120359</v>
      </c>
      <c r="T125" s="631">
        <f t="shared" si="306"/>
        <v>5.2576769703588937</v>
      </c>
      <c r="U125" s="632">
        <f t="shared" si="306"/>
        <v>4.8065133160037279</v>
      </c>
      <c r="V125" s="632">
        <f t="shared" si="306"/>
        <v>5.3499777084262146</v>
      </c>
      <c r="W125" s="629">
        <f t="shared" si="306"/>
        <v>5.9366307076463807</v>
      </c>
      <c r="X125" s="630">
        <f t="shared" si="306"/>
        <v>5.3750876372984342</v>
      </c>
      <c r="Y125" s="631">
        <f t="shared" ref="Y125:AD125" si="307">Y116/Y121*1000</f>
        <v>5.9897194633211361</v>
      </c>
      <c r="Z125" s="632">
        <f t="shared" si="307"/>
        <v>6.6682832201745876</v>
      </c>
      <c r="AA125" s="632">
        <f t="shared" si="307"/>
        <v>6.3066954643628517</v>
      </c>
      <c r="AB125" s="629">
        <f t="shared" si="307"/>
        <v>6.2639543537583728</v>
      </c>
      <c r="AC125" s="630">
        <f t="shared" si="307"/>
        <v>6.2128757142453708</v>
      </c>
      <c r="AD125" s="631">
        <f t="shared" si="307"/>
        <v>6.5442543343829431</v>
      </c>
      <c r="AE125" s="632">
        <f>AE116/AE121*1000</f>
        <v>6.4294353555286774</v>
      </c>
      <c r="AF125" s="632">
        <f t="shared" ref="AF125:AI125" si="308">AF116/AF121*1000</f>
        <v>6.2494081999810627</v>
      </c>
      <c r="AG125" s="629">
        <f t="shared" si="308"/>
        <v>6.5876600224116268</v>
      </c>
      <c r="AH125" s="630">
        <f t="shared" si="308"/>
        <v>6.5106928446932324</v>
      </c>
      <c r="AI125" s="631">
        <f t="shared" si="308"/>
        <v>6.4340066132823397</v>
      </c>
      <c r="AJ125" s="632">
        <f>AJ116/AJ121*1000</f>
        <v>6.0124395300621973</v>
      </c>
      <c r="AK125" s="632">
        <f t="shared" ref="AK125:AN125" si="309">AK116/AK121*1000</f>
        <v>5.6767496553401999</v>
      </c>
      <c r="AL125" s="629">
        <f t="shared" si="309"/>
        <v>6.3822380381387074</v>
      </c>
      <c r="AM125" s="630">
        <f t="shared" si="309"/>
        <v>6.2709030100334449</v>
      </c>
      <c r="AN125" s="631">
        <f t="shared" si="309"/>
        <v>6.0613437195715676</v>
      </c>
      <c r="AO125" s="632">
        <f>AO116/AO121*1000</f>
        <v>5.350275873599732</v>
      </c>
      <c r="AP125" s="632">
        <f t="shared" ref="AP125:AS125" si="310">AP116/AP121*1000</f>
        <v>5.3213545266067728</v>
      </c>
      <c r="AQ125" s="629">
        <f t="shared" si="310"/>
        <v>6.8960808411853067</v>
      </c>
      <c r="AR125" s="630">
        <f t="shared" si="310"/>
        <v>6.0709247458286715</v>
      </c>
      <c r="AS125" s="631">
        <f t="shared" si="310"/>
        <v>7.347994825355757</v>
      </c>
      <c r="AT125" s="632">
        <f>AT116/AT121*1000</f>
        <v>7.8362751065124776</v>
      </c>
      <c r="AU125" s="632">
        <f>AU116/AU121*1000</f>
        <v>7.0865444237753561</v>
      </c>
      <c r="AV125" s="629">
        <f t="shared" ref="AV125:AW125" si="311">AV116/AV121*1000</f>
        <v>7.3654959991964919</v>
      </c>
      <c r="AW125" s="630">
        <f t="shared" si="311"/>
        <v>7.3909114381616323</v>
      </c>
      <c r="AX125" s="627">
        <f>AS125+(AX127/AX121*1000)</f>
        <v>7.0245795601552397</v>
      </c>
      <c r="AY125" s="628">
        <f>AT125+(AY127/AY121*1000)</f>
        <v>6.8852708460133902</v>
      </c>
      <c r="AZ125" s="628">
        <f>AU125+(AZ127/AZ121*1000)</f>
        <v>5.9792718575604571</v>
      </c>
      <c r="BA125" s="629">
        <f>AV125+(BA127/BA121*1000)</f>
        <v>6.9470019083330552</v>
      </c>
      <c r="BB125" s="630">
        <f>BB116/BB121*1000</f>
        <v>6.8529993975385146</v>
      </c>
      <c r="BC125" s="627">
        <f>AX125+(BC127/BC121*1000)</f>
        <v>7.0245795601552397</v>
      </c>
      <c r="BD125" s="628">
        <f>AY125+(BD127/BD121*1000)</f>
        <v>6.8852708460133902</v>
      </c>
      <c r="BE125" s="628">
        <f>AZ125+(BE127/BE121*1000)</f>
        <v>6.9758171671538669</v>
      </c>
      <c r="BF125" s="629">
        <f>BA125+(BF127/BF121*1000)</f>
        <v>7.3236465901101484</v>
      </c>
      <c r="BG125" s="630">
        <f>BG116/BG121*1000</f>
        <v>7.0950598158189173</v>
      </c>
      <c r="BH125" s="627">
        <f>BC125+(BH127/BH121*1000)</f>
        <v>7.3156532988357057</v>
      </c>
      <c r="BI125" s="628">
        <f>BD125+(BI127/BI121*1000)</f>
        <v>7.741174680462569</v>
      </c>
      <c r="BJ125" s="628">
        <f>BE125+(BJ127/BJ121*1000)</f>
        <v>7.4187261936398263</v>
      </c>
      <c r="BK125" s="629">
        <f>BF125+(BK127/BK121*1000)</f>
        <v>7.4910442264555233</v>
      </c>
      <c r="BL125" s="630">
        <f>BL116/BL121*1000</f>
        <v>7.4447026422239437</v>
      </c>
      <c r="BM125" s="627">
        <f>BH125+(BM127/BM121*1000)</f>
        <v>7.4450194049159126</v>
      </c>
      <c r="BN125" s="628">
        <f>BI125+(BN127/BN121*1000)</f>
        <v>8.1215763846622036</v>
      </c>
      <c r="BO125" s="628">
        <f>BJ125+(BO127/BO121*1000)</f>
        <v>8.3045442466117461</v>
      </c>
      <c r="BP125" s="629">
        <f>BK125+(BP127/BP121*1000)</f>
        <v>7.825839499146273</v>
      </c>
      <c r="BQ125" s="630">
        <f>BQ116/BQ121*1000</f>
        <v>7.7674498665978131</v>
      </c>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row>
    <row r="126" spans="1:99">
      <c r="A126" s="1"/>
      <c r="B126" s="1"/>
      <c r="C126" s="391"/>
      <c r="D126" s="1"/>
      <c r="E126" s="600"/>
      <c r="F126" s="251"/>
      <c r="G126" s="251"/>
      <c r="H126" s="601"/>
      <c r="I126" s="26"/>
      <c r="J126" s="600"/>
      <c r="K126" s="251"/>
      <c r="L126" s="251"/>
      <c r="M126" s="601"/>
      <c r="N126" s="26"/>
      <c r="O126" s="600"/>
      <c r="P126" s="251"/>
      <c r="Q126" s="251"/>
      <c r="R126" s="601"/>
      <c r="S126" s="26"/>
      <c r="T126" s="600"/>
      <c r="U126" s="251"/>
      <c r="V126" s="251"/>
      <c r="W126" s="601"/>
      <c r="X126" s="26"/>
      <c r="Y126" s="600"/>
      <c r="Z126" s="251"/>
      <c r="AA126" s="251"/>
      <c r="AB126" s="601"/>
      <c r="AC126" s="26"/>
      <c r="AD126" s="600"/>
      <c r="AE126" s="251"/>
      <c r="AF126" s="251"/>
      <c r="AG126" s="601"/>
      <c r="AH126" s="26"/>
      <c r="AI126" s="600"/>
      <c r="AJ126" s="251"/>
      <c r="AK126" s="251"/>
      <c r="AL126" s="601"/>
      <c r="AM126" s="26"/>
      <c r="AN126" s="600"/>
      <c r="AO126" s="251"/>
      <c r="AP126" s="251"/>
      <c r="AQ126" s="601"/>
      <c r="AR126" s="26"/>
      <c r="AS126" s="600"/>
      <c r="AT126" s="251"/>
      <c r="AU126" s="251"/>
      <c r="AV126" s="601"/>
      <c r="AW126" s="26"/>
      <c r="AX126" s="600"/>
      <c r="AY126" s="251"/>
      <c r="AZ126" s="251"/>
      <c r="BA126" s="601"/>
      <c r="BB126" s="26"/>
      <c r="BC126" s="600"/>
      <c r="BD126" s="251"/>
      <c r="BE126" s="251"/>
      <c r="BF126" s="601"/>
      <c r="BG126" s="26"/>
      <c r="BH126" s="600"/>
      <c r="BI126" s="251"/>
      <c r="BJ126" s="251"/>
      <c r="BK126" s="601"/>
      <c r="BL126" s="26"/>
      <c r="BM126" s="600"/>
      <c r="BN126" s="251"/>
      <c r="BO126" s="251"/>
      <c r="BP126" s="601"/>
      <c r="BQ126" s="26"/>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row>
    <row r="127" spans="1:99">
      <c r="A127" s="1"/>
      <c r="B127" s="1"/>
      <c r="C127" s="28" t="s">
        <v>643</v>
      </c>
      <c r="D127" s="1"/>
      <c r="E127" s="600"/>
      <c r="F127" s="251"/>
      <c r="G127" s="251"/>
      <c r="H127" s="601"/>
      <c r="I127" s="633"/>
      <c r="J127" s="600"/>
      <c r="K127" s="251"/>
      <c r="L127" s="251"/>
      <c r="M127" s="601"/>
      <c r="N127" s="45"/>
      <c r="O127" s="290"/>
      <c r="P127" s="260"/>
      <c r="Q127" s="260"/>
      <c r="R127" s="291"/>
      <c r="S127" s="45"/>
      <c r="T127" s="290"/>
      <c r="U127" s="260"/>
      <c r="V127" s="260"/>
      <c r="W127" s="291"/>
      <c r="X127" s="45"/>
      <c r="Y127" s="290"/>
      <c r="Z127" s="260"/>
      <c r="AA127" s="1441"/>
      <c r="AB127" s="1442"/>
      <c r="AC127" s="1443"/>
      <c r="AD127" s="290"/>
      <c r="AE127" s="260"/>
      <c r="AF127" s="1441"/>
      <c r="AG127" s="1442"/>
      <c r="AH127" s="1443"/>
      <c r="AI127" s="290"/>
      <c r="AJ127" s="260"/>
      <c r="AK127" s="1441"/>
      <c r="AL127" s="1442"/>
      <c r="AM127" s="1443"/>
      <c r="AN127" s="290"/>
      <c r="AO127" s="260"/>
      <c r="AP127" s="260"/>
      <c r="AQ127" s="1442"/>
      <c r="AR127" s="1443"/>
      <c r="AS127" s="290"/>
      <c r="AT127" s="260"/>
      <c r="AU127" s="260"/>
      <c r="AV127" s="291"/>
      <c r="AW127" s="45"/>
      <c r="AX127" s="290">
        <f>AX55</f>
        <v>-12.5</v>
      </c>
      <c r="AY127" s="260">
        <f>AY55</f>
        <v>-12.5</v>
      </c>
      <c r="AZ127" s="260">
        <f>AZ55</f>
        <v>-12.5</v>
      </c>
      <c r="BA127" s="291">
        <f>BA55</f>
        <v>-12.5</v>
      </c>
      <c r="BB127" s="45">
        <f>SUM(AX127:BA127)</f>
        <v>-50</v>
      </c>
      <c r="BC127" s="290">
        <f>BC55</f>
        <v>0</v>
      </c>
      <c r="BD127" s="260">
        <f>BD55</f>
        <v>0</v>
      </c>
      <c r="BE127" s="260">
        <f>BE55</f>
        <v>11.25</v>
      </c>
      <c r="BF127" s="291">
        <f>BF55</f>
        <v>11.25</v>
      </c>
      <c r="BG127" s="45">
        <f>SUM(BC127:BF127)</f>
        <v>22.5</v>
      </c>
      <c r="BH127" s="290">
        <f>BH55</f>
        <v>11.25</v>
      </c>
      <c r="BI127" s="260">
        <f>BI55</f>
        <v>11.25</v>
      </c>
      <c r="BJ127" s="260">
        <f>BJ55</f>
        <v>5</v>
      </c>
      <c r="BK127" s="291">
        <f>BK55</f>
        <v>5</v>
      </c>
      <c r="BL127" s="45">
        <f>SUM(BH127:BK127)</f>
        <v>32.5</v>
      </c>
      <c r="BM127" s="290">
        <f>BM55</f>
        <v>5</v>
      </c>
      <c r="BN127" s="260">
        <f>BN55</f>
        <v>5</v>
      </c>
      <c r="BO127" s="260">
        <f>BO55</f>
        <v>10</v>
      </c>
      <c r="BP127" s="291">
        <f>BP55</f>
        <v>10</v>
      </c>
      <c r="BQ127" s="45">
        <f>SUM(BM127:BP127)</f>
        <v>30</v>
      </c>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row>
    <row r="128" spans="1:99">
      <c r="A128" s="1"/>
      <c r="B128" s="1"/>
      <c r="C128" s="32"/>
      <c r="D128" s="1"/>
      <c r="E128" s="600"/>
      <c r="F128" s="251"/>
      <c r="G128" s="251"/>
      <c r="H128" s="601"/>
      <c r="I128" s="633"/>
      <c r="J128" s="600"/>
      <c r="K128" s="251"/>
      <c r="L128" s="251"/>
      <c r="M128" s="601"/>
      <c r="N128" s="633"/>
      <c r="O128" s="600"/>
      <c r="P128" s="251"/>
      <c r="Q128" s="251"/>
      <c r="R128" s="601"/>
      <c r="S128" s="26"/>
      <c r="T128" s="600"/>
      <c r="U128" s="251"/>
      <c r="V128" s="251"/>
      <c r="W128" s="601"/>
      <c r="X128" s="26"/>
      <c r="Y128" s="600"/>
      <c r="Z128" s="251"/>
      <c r="AA128" s="251"/>
      <c r="AB128" s="601"/>
      <c r="AC128" s="26"/>
      <c r="AD128" s="600"/>
      <c r="AE128" s="251"/>
      <c r="AF128" s="251"/>
      <c r="AG128" s="601"/>
      <c r="AH128" s="26"/>
      <c r="AI128" s="600"/>
      <c r="AJ128" s="251"/>
      <c r="AK128" s="251"/>
      <c r="AL128" s="601"/>
      <c r="AM128" s="26"/>
      <c r="AN128" s="600"/>
      <c r="AO128" s="251"/>
      <c r="AP128" s="251"/>
      <c r="AQ128" s="601"/>
      <c r="AR128" s="26"/>
      <c r="AS128" s="600"/>
      <c r="AT128" s="251"/>
      <c r="AU128" s="251"/>
      <c r="AV128" s="601"/>
      <c r="AW128" s="26"/>
      <c r="AX128" s="600"/>
      <c r="AY128" s="251"/>
      <c r="AZ128" s="251"/>
      <c r="BA128" s="601"/>
      <c r="BB128" s="26"/>
      <c r="BC128" s="600"/>
      <c r="BD128" s="251"/>
      <c r="BE128" s="251"/>
      <c r="BF128" s="601"/>
      <c r="BG128" s="26"/>
      <c r="BH128" s="600"/>
      <c r="BI128" s="251"/>
      <c r="BJ128" s="251"/>
      <c r="BK128" s="601"/>
      <c r="BL128" s="26"/>
      <c r="BM128" s="600"/>
      <c r="BN128" s="251"/>
      <c r="BO128" s="251"/>
      <c r="BP128" s="601"/>
      <c r="BQ128" s="26"/>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row>
    <row r="129" spans="1:99" s="801" customFormat="1">
      <c r="A129" s="24"/>
      <c r="B129" s="24"/>
      <c r="C129" s="28" t="s">
        <v>701</v>
      </c>
      <c r="D129" s="24"/>
      <c r="E129" s="308"/>
      <c r="F129" s="244"/>
      <c r="G129" s="244"/>
      <c r="H129" s="309"/>
      <c r="I129" s="791">
        <v>650.79999999999995</v>
      </c>
      <c r="J129" s="802"/>
      <c r="K129" s="805"/>
      <c r="L129" s="805"/>
      <c r="M129" s="880"/>
      <c r="N129" s="791">
        <v>652.6</v>
      </c>
      <c r="O129" s="802"/>
      <c r="P129" s="805"/>
      <c r="Q129" s="805"/>
      <c r="R129" s="880"/>
      <c r="S129" s="791">
        <v>653.1</v>
      </c>
      <c r="T129" s="802">
        <v>654.78200000000004</v>
      </c>
      <c r="U129" s="805">
        <v>654.08399999999995</v>
      </c>
      <c r="V129" s="805">
        <v>654.33100000000002</v>
      </c>
      <c r="W129" s="347">
        <f>X129</f>
        <v>655.05499999999995</v>
      </c>
      <c r="X129" s="791">
        <v>655.05499999999995</v>
      </c>
      <c r="Y129" s="802">
        <v>656.37300000000005</v>
      </c>
      <c r="Z129" s="805">
        <v>655.20500000000004</v>
      </c>
      <c r="AA129" s="1455">
        <v>656.09299999999996</v>
      </c>
      <c r="AB129" s="347">
        <f>AC129</f>
        <v>655.69399999999996</v>
      </c>
      <c r="AC129" s="1456">
        <v>655.69399999999996</v>
      </c>
      <c r="AD129" s="802">
        <v>657.73500000000001</v>
      </c>
      <c r="AE129" s="805">
        <v>656.221</v>
      </c>
      <c r="AF129" s="1455">
        <v>654.71299999999997</v>
      </c>
      <c r="AG129" s="347">
        <f>AH129</f>
        <v>653.82600000000002</v>
      </c>
      <c r="AH129" s="1456">
        <v>653.82600000000002</v>
      </c>
      <c r="AI129" s="802">
        <v>657.01300000000003</v>
      </c>
      <c r="AJ129" s="805">
        <v>658.17200000000003</v>
      </c>
      <c r="AK129" s="1455">
        <v>657.45600000000002</v>
      </c>
      <c r="AL129" s="347">
        <f>AM129</f>
        <v>661.11300000000006</v>
      </c>
      <c r="AM129" s="1456">
        <v>661.11300000000006</v>
      </c>
      <c r="AN129" s="802">
        <v>663.35400000000004</v>
      </c>
      <c r="AO129" s="805">
        <v>662.346</v>
      </c>
      <c r="AP129" s="1455">
        <v>663.79399999999998</v>
      </c>
      <c r="AQ129" s="347">
        <f>AR129</f>
        <v>667.90200000000004</v>
      </c>
      <c r="AR129" s="1456">
        <v>667.90200000000004</v>
      </c>
      <c r="AS129" s="802">
        <v>669.87900000000002</v>
      </c>
      <c r="AT129" s="805">
        <v>668.41200000000003</v>
      </c>
      <c r="AU129" s="805">
        <v>670.01199999999994</v>
      </c>
      <c r="AV129" s="347">
        <f>AW129</f>
        <v>673.93700000000001</v>
      </c>
      <c r="AW129" s="1456">
        <v>673.93700000000001</v>
      </c>
      <c r="AX129" s="308"/>
      <c r="AY129" s="244"/>
      <c r="AZ129" s="244"/>
      <c r="BA129" s="309"/>
      <c r="BB129" s="24"/>
      <c r="BC129" s="308"/>
      <c r="BD129" s="244"/>
      <c r="BE129" s="244"/>
      <c r="BF129" s="309"/>
      <c r="BG129" s="24"/>
      <c r="BH129" s="308"/>
      <c r="BI129" s="244"/>
      <c r="BJ129" s="244"/>
      <c r="BK129" s="309"/>
      <c r="BL129" s="24"/>
      <c r="BM129" s="308"/>
      <c r="BN129" s="244"/>
      <c r="BO129" s="244"/>
      <c r="BP129" s="309"/>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row>
    <row r="130" spans="1:99" s="527" customFormat="1">
      <c r="A130" s="331"/>
      <c r="B130" s="331"/>
      <c r="C130" s="445"/>
      <c r="D130" s="331"/>
      <c r="E130" s="301"/>
      <c r="F130" s="265"/>
      <c r="G130" s="265"/>
      <c r="H130" s="302"/>
      <c r="I130" s="24"/>
      <c r="J130" s="301"/>
      <c r="K130" s="265"/>
      <c r="L130" s="265"/>
      <c r="M130" s="302"/>
      <c r="N130" s="24"/>
      <c r="O130" s="301"/>
      <c r="P130" s="265"/>
      <c r="Q130" s="265"/>
      <c r="R130" s="302"/>
      <c r="S130" s="445"/>
      <c r="T130" s="301"/>
      <c r="U130" s="265"/>
      <c r="V130" s="265"/>
      <c r="W130" s="302"/>
      <c r="X130" s="445"/>
      <c r="Y130" s="301"/>
      <c r="Z130" s="265"/>
      <c r="AA130" s="265"/>
      <c r="AB130" s="302"/>
      <c r="AC130" s="445"/>
      <c r="AD130" s="301"/>
      <c r="AE130" s="265"/>
      <c r="AF130" s="265"/>
      <c r="AG130" s="302"/>
      <c r="AH130" s="445"/>
      <c r="AI130" s="301"/>
      <c r="AJ130" s="265"/>
      <c r="AK130" s="265"/>
      <c r="AL130" s="302"/>
      <c r="AM130" s="445"/>
      <c r="AN130" s="301"/>
      <c r="AO130" s="265"/>
      <c r="AP130" s="265"/>
      <c r="AQ130" s="302"/>
      <c r="AR130" s="445"/>
      <c r="AS130" s="301"/>
      <c r="AT130" s="265"/>
      <c r="AU130" s="265"/>
      <c r="AV130" s="302"/>
      <c r="AW130" s="445"/>
      <c r="AX130" s="301"/>
      <c r="AY130" s="265"/>
      <c r="AZ130" s="265"/>
      <c r="BA130" s="302"/>
      <c r="BB130" s="445"/>
      <c r="BC130" s="301"/>
      <c r="BD130" s="265"/>
      <c r="BE130" s="265"/>
      <c r="BF130" s="302"/>
      <c r="BG130" s="445"/>
      <c r="BH130" s="301"/>
      <c r="BI130" s="265"/>
      <c r="BJ130" s="265"/>
      <c r="BK130" s="302"/>
      <c r="BL130" s="445"/>
      <c r="BM130" s="301"/>
      <c r="BN130" s="265"/>
      <c r="BO130" s="265"/>
      <c r="BP130" s="302"/>
      <c r="BQ130" s="445"/>
      <c r="BR130" s="331"/>
      <c r="BS130" s="331"/>
      <c r="BT130" s="331"/>
      <c r="BU130" s="331"/>
      <c r="BV130" s="331"/>
      <c r="BW130" s="331"/>
      <c r="BX130" s="331"/>
      <c r="BY130" s="331"/>
      <c r="BZ130" s="331"/>
      <c r="CA130" s="331"/>
      <c r="CB130" s="331"/>
      <c r="CC130" s="331"/>
      <c r="CD130" s="331"/>
      <c r="CE130" s="331"/>
      <c r="CF130" s="331"/>
      <c r="CG130" s="331"/>
      <c r="CH130" s="331"/>
      <c r="CI130" s="331"/>
      <c r="CJ130" s="331"/>
      <c r="CK130" s="331"/>
      <c r="CL130" s="331"/>
      <c r="CM130" s="331"/>
      <c r="CN130" s="331"/>
      <c r="CO130" s="331"/>
      <c r="CP130" s="331"/>
      <c r="CQ130" s="331"/>
      <c r="CR130" s="331"/>
      <c r="CS130" s="331"/>
      <c r="CT130" s="331"/>
      <c r="CU130" s="331"/>
    </row>
    <row r="131" spans="1:99">
      <c r="A131" s="1"/>
      <c r="B131" s="1"/>
      <c r="C131" s="32" t="s">
        <v>278</v>
      </c>
      <c r="D131" s="1"/>
      <c r="E131" s="600"/>
      <c r="F131" s="251"/>
      <c r="G131" s="251"/>
      <c r="H131" s="601"/>
      <c r="I131" s="26"/>
      <c r="J131" s="600"/>
      <c r="K131" s="251"/>
      <c r="L131" s="251"/>
      <c r="M131" s="601"/>
      <c r="N131" s="26"/>
      <c r="O131" s="600"/>
      <c r="P131" s="251"/>
      <c r="Q131" s="251"/>
      <c r="R131" s="601"/>
      <c r="S131" s="26"/>
      <c r="T131" s="600"/>
      <c r="U131" s="251"/>
      <c r="V131" s="251"/>
      <c r="W131" s="601"/>
      <c r="X131" s="26"/>
      <c r="Y131" s="600"/>
      <c r="Z131" s="251"/>
      <c r="AA131" s="251"/>
      <c r="AB131" s="601"/>
      <c r="AC131" s="26"/>
      <c r="AD131" s="600"/>
      <c r="AE131" s="251"/>
      <c r="AF131" s="251"/>
      <c r="AG131" s="601"/>
      <c r="AH131" s="26"/>
      <c r="AI131" s="600"/>
      <c r="AJ131" s="251"/>
      <c r="AK131" s="251"/>
      <c r="AL131" s="601"/>
      <c r="AM131" s="26"/>
      <c r="AN131" s="600"/>
      <c r="AO131" s="251"/>
      <c r="AP131" s="251"/>
      <c r="AQ131" s="601"/>
      <c r="AR131" s="26"/>
      <c r="AS131" s="600"/>
      <c r="AT131" s="251"/>
      <c r="AU131" s="251"/>
      <c r="AV131" s="601"/>
      <c r="AW131" s="26"/>
      <c r="AX131" s="600"/>
      <c r="AY131" s="251"/>
      <c r="AZ131" s="251"/>
      <c r="BA131" s="601"/>
      <c r="BB131" s="26"/>
      <c r="BC131" s="600"/>
      <c r="BD131" s="251"/>
      <c r="BE131" s="251"/>
      <c r="BF131" s="601"/>
      <c r="BG131" s="26"/>
      <c r="BH131" s="600"/>
      <c r="BI131" s="251"/>
      <c r="BJ131" s="251"/>
      <c r="BK131" s="601"/>
      <c r="BL131" s="26"/>
      <c r="BM131" s="600"/>
      <c r="BN131" s="251"/>
      <c r="BO131" s="251"/>
      <c r="BP131" s="601"/>
      <c r="BQ131" s="26"/>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row>
    <row r="132" spans="1:99">
      <c r="A132" s="330"/>
      <c r="B132" s="330"/>
      <c r="C132" s="28" t="s">
        <v>61</v>
      </c>
      <c r="D132" s="330"/>
      <c r="E132" s="300">
        <f t="shared" ref="E132:S132" si="312">E10</f>
        <v>258.10000000000002</v>
      </c>
      <c r="F132" s="264">
        <f t="shared" si="312"/>
        <v>51.6</v>
      </c>
      <c r="G132" s="264">
        <f t="shared" si="312"/>
        <v>31.2</v>
      </c>
      <c r="H132" s="291">
        <f t="shared" si="312"/>
        <v>108.99999999999994</v>
      </c>
      <c r="I132" s="330">
        <f t="shared" si="312"/>
        <v>449.9</v>
      </c>
      <c r="J132" s="300">
        <f t="shared" si="312"/>
        <v>194.5</v>
      </c>
      <c r="K132" s="264">
        <f t="shared" si="312"/>
        <v>42.1</v>
      </c>
      <c r="L132" s="264">
        <f t="shared" si="312"/>
        <v>32.700000000000003</v>
      </c>
      <c r="M132" s="291">
        <f t="shared" si="312"/>
        <v>118.19999999999999</v>
      </c>
      <c r="N132" s="330">
        <f t="shared" si="312"/>
        <v>387.5</v>
      </c>
      <c r="O132" s="300">
        <f t="shared" si="312"/>
        <v>171.1</v>
      </c>
      <c r="P132" s="264">
        <f t="shared" si="312"/>
        <v>49.8</v>
      </c>
      <c r="Q132" s="264">
        <f t="shared" si="312"/>
        <v>35.5</v>
      </c>
      <c r="R132" s="291">
        <f t="shared" si="312"/>
        <v>77.800000000000011</v>
      </c>
      <c r="S132" s="330">
        <f t="shared" si="312"/>
        <v>334.2</v>
      </c>
      <c r="T132" s="300">
        <f t="shared" ref="T132:Z132" si="313">T10</f>
        <v>125.47333333333336</v>
      </c>
      <c r="U132" s="264">
        <f t="shared" si="313"/>
        <v>44.009302325581416</v>
      </c>
      <c r="V132" s="264">
        <f t="shared" si="313"/>
        <v>34.618300653594758</v>
      </c>
      <c r="W132" s="291">
        <f t="shared" si="313"/>
        <v>97.116918714154451</v>
      </c>
      <c r="X132" s="330">
        <f t="shared" si="313"/>
        <v>301.21785502666398</v>
      </c>
      <c r="Y132" s="300">
        <f t="shared" si="313"/>
        <v>138.83542857142857</v>
      </c>
      <c r="Z132" s="264">
        <f t="shared" si="313"/>
        <v>44.472558139534897</v>
      </c>
      <c r="AA132" s="1441">
        <f t="shared" ref="AA132:AH132" si="314">AA10</f>
        <v>7.6183006535947584</v>
      </c>
      <c r="AB132" s="1442">
        <f t="shared" si="314"/>
        <v>121.73300554478396</v>
      </c>
      <c r="AC132" s="1443">
        <f t="shared" si="314"/>
        <v>312.65929290934218</v>
      </c>
      <c r="AD132" s="300">
        <f t="shared" si="314"/>
        <v>172.40361904761903</v>
      </c>
      <c r="AE132" s="264">
        <f t="shared" si="314"/>
        <v>41.384186046511644</v>
      </c>
      <c r="AF132" s="1441">
        <f t="shared" si="314"/>
        <v>6.5394083645018668</v>
      </c>
      <c r="AG132" s="1442">
        <f t="shared" si="314"/>
        <v>89.112051799119826</v>
      </c>
      <c r="AH132" s="1443">
        <f t="shared" si="314"/>
        <v>309.43926525775237</v>
      </c>
      <c r="AI132" s="300">
        <f t="shared" ref="AI132:AM132" si="315">AI10</f>
        <v>158.71561904761904</v>
      </c>
      <c r="AJ132" s="264">
        <f t="shared" si="315"/>
        <v>36.90604651162792</v>
      </c>
      <c r="AK132" s="1441">
        <f t="shared" si="315"/>
        <v>6.8476633042427011</v>
      </c>
      <c r="AL132" s="1442">
        <f t="shared" si="315"/>
        <v>82.511786987863019</v>
      </c>
      <c r="AM132" s="1443">
        <f t="shared" si="315"/>
        <v>284.98111585135268</v>
      </c>
      <c r="AN132" s="300">
        <f t="shared" ref="AN132:AR132" si="316">AN10</f>
        <v>121.56247619047619</v>
      </c>
      <c r="AO132" s="264">
        <f t="shared" si="316"/>
        <v>40.303255813953513</v>
      </c>
      <c r="AP132" s="1441">
        <f t="shared" si="316"/>
        <v>7.9265555933355927</v>
      </c>
      <c r="AQ132" s="1442">
        <f t="shared" si="316"/>
        <v>112.78668857974455</v>
      </c>
      <c r="AR132" s="1443">
        <f t="shared" si="316"/>
        <v>282.57897617750984</v>
      </c>
      <c r="AS132" s="300">
        <f t="shared" ref="AS132:AT132" si="317">AS10</f>
        <v>114.06666666666666</v>
      </c>
      <c r="AT132" s="264">
        <f t="shared" si="317"/>
        <v>36.1339534883721</v>
      </c>
      <c r="AU132" s="264">
        <f t="shared" ref="AU132:AW132" si="318">AU10</f>
        <v>5.9228984850201982</v>
      </c>
      <c r="AV132" s="1442">
        <f t="shared" si="318"/>
        <v>91.296867765751443</v>
      </c>
      <c r="AW132" s="1443">
        <f t="shared" si="318"/>
        <v>247.4203864058104</v>
      </c>
      <c r="AX132" s="290">
        <f>+AX133*AX121/1000</f>
        <v>114.06666666666666</v>
      </c>
      <c r="AY132" s="260">
        <f>+AY133*AY121/1000</f>
        <v>36.1339534883721</v>
      </c>
      <c r="AZ132" s="260">
        <f>+AZ133*AZ121/1000</f>
        <v>5.9228984850201991</v>
      </c>
      <c r="BA132" s="291">
        <f>+BA133*BA121/1000</f>
        <v>91.296867765751443</v>
      </c>
      <c r="BB132" s="45">
        <f>SUM(AX132:BA132)</f>
        <v>247.4203864058104</v>
      </c>
      <c r="BC132" s="290">
        <f>+BC133*BC121/1000</f>
        <v>114.06666666666666</v>
      </c>
      <c r="BD132" s="260">
        <f>+BD133*BD121/1000</f>
        <v>36.1339534883721</v>
      </c>
      <c r="BE132" s="260">
        <f>+BE133*BE121/1000</f>
        <v>5.9228984850201991</v>
      </c>
      <c r="BF132" s="291">
        <f>+BF133*BF121/1000</f>
        <v>91.296867765751443</v>
      </c>
      <c r="BG132" s="45">
        <f>SUM(BC132:BF132)</f>
        <v>247.4203864058104</v>
      </c>
      <c r="BH132" s="290">
        <f>+BH133*BH121/1000</f>
        <v>114.06666666666666</v>
      </c>
      <c r="BI132" s="260">
        <f>+BI133*BI121/1000</f>
        <v>36.1339534883721</v>
      </c>
      <c r="BJ132" s="260">
        <f>+BJ133*BJ121/1000</f>
        <v>5.9228984850201991</v>
      </c>
      <c r="BK132" s="291">
        <f>+BK133*BK121/1000</f>
        <v>91.296867765751443</v>
      </c>
      <c r="BL132" s="45">
        <f>SUM(BH132:BK132)</f>
        <v>247.4203864058104</v>
      </c>
      <c r="BM132" s="290">
        <f>+BM133*BM121/1000</f>
        <v>114.06666666666666</v>
      </c>
      <c r="BN132" s="260">
        <f>+BN133*BN121/1000</f>
        <v>36.1339534883721</v>
      </c>
      <c r="BO132" s="260">
        <f>+BO133*BO121/1000</f>
        <v>5.9228984850201991</v>
      </c>
      <c r="BP132" s="291">
        <f>+BP133*BP121/1000</f>
        <v>91.296867765751443</v>
      </c>
      <c r="BQ132" s="45">
        <f>SUM(BM132:BP132)</f>
        <v>247.4203864058104</v>
      </c>
      <c r="BR132" s="330"/>
      <c r="BS132" s="330"/>
      <c r="BT132" s="330"/>
      <c r="BU132" s="330"/>
      <c r="BV132" s="330"/>
      <c r="BW132" s="330"/>
      <c r="BX132" s="330"/>
      <c r="BY132" s="330"/>
      <c r="BZ132" s="330"/>
      <c r="CA132" s="330"/>
      <c r="CB132" s="330"/>
      <c r="CC132" s="330"/>
      <c r="CD132" s="330"/>
      <c r="CE132" s="330"/>
      <c r="CF132" s="330"/>
      <c r="CG132" s="330"/>
      <c r="CH132" s="330"/>
      <c r="CI132" s="330"/>
      <c r="CJ132" s="330"/>
      <c r="CK132" s="330"/>
      <c r="CL132" s="330"/>
      <c r="CM132" s="330"/>
      <c r="CN132" s="330"/>
      <c r="CO132" s="330"/>
      <c r="CP132" s="330"/>
      <c r="CQ132" s="330"/>
      <c r="CR132" s="330"/>
      <c r="CS132" s="330"/>
      <c r="CT132" s="330"/>
      <c r="CU132" s="330"/>
    </row>
    <row r="133" spans="1:99">
      <c r="A133" s="1"/>
      <c r="B133" s="1"/>
      <c r="C133" s="28" t="s">
        <v>652</v>
      </c>
      <c r="D133" s="1"/>
      <c r="E133" s="634">
        <f t="shared" ref="E133:S133" si="319">E132/E121*1000</f>
        <v>5.2769315695855745</v>
      </c>
      <c r="F133" s="635">
        <f t="shared" si="319"/>
        <v>2.3906597479614531</v>
      </c>
      <c r="G133" s="635">
        <f t="shared" si="319"/>
        <v>1.9807008633824277</v>
      </c>
      <c r="H133" s="636">
        <f t="shared" si="319"/>
        <v>3.4033783994754407</v>
      </c>
      <c r="I133" s="637">
        <f t="shared" si="319"/>
        <v>3.8038791281262152</v>
      </c>
      <c r="J133" s="634">
        <f t="shared" si="319"/>
        <v>4.0777391085580108</v>
      </c>
      <c r="K133" s="635">
        <f t="shared" si="319"/>
        <v>2.3831087965583606</v>
      </c>
      <c r="L133" s="635">
        <f t="shared" si="319"/>
        <v>2.2844767360625964</v>
      </c>
      <c r="M133" s="636">
        <f t="shared" si="319"/>
        <v>3.4804628838962337</v>
      </c>
      <c r="N133" s="637">
        <f t="shared" si="319"/>
        <v>3.4099208898353557</v>
      </c>
      <c r="O133" s="634">
        <f t="shared" si="319"/>
        <v>3.5921229425596239</v>
      </c>
      <c r="P133" s="635">
        <f t="shared" si="319"/>
        <v>2.7012367107832502</v>
      </c>
      <c r="Q133" s="635">
        <f t="shared" si="319"/>
        <v>2.2027798461156616</v>
      </c>
      <c r="R133" s="636">
        <f t="shared" si="319"/>
        <v>2.6779567671760982</v>
      </c>
      <c r="S133" s="637">
        <f t="shared" si="319"/>
        <v>3.0044230285159479</v>
      </c>
      <c r="T133" s="634">
        <f t="shared" ref="T133:AA133" si="320">T132/T121*1000</f>
        <v>3.1869480920813125</v>
      </c>
      <c r="U133" s="635">
        <f t="shared" si="320"/>
        <v>2.1584826291422541</v>
      </c>
      <c r="V133" s="635">
        <f t="shared" si="320"/>
        <v>2.5723213444490085</v>
      </c>
      <c r="W133" s="636">
        <f t="shared" si="320"/>
        <v>3.2945558964025525</v>
      </c>
      <c r="X133" s="637">
        <f t="shared" si="320"/>
        <v>2.9331021171872713</v>
      </c>
      <c r="Y133" s="634">
        <f t="shared" si="320"/>
        <v>3.0239464316829712</v>
      </c>
      <c r="Z133" s="635">
        <f t="shared" si="320"/>
        <v>2.6959601200009033</v>
      </c>
      <c r="AA133" s="635">
        <f t="shared" si="320"/>
        <v>0.65816852298874795</v>
      </c>
      <c r="AB133" s="636">
        <f>AB132/AB121*1000</f>
        <v>3.774900940981889</v>
      </c>
      <c r="AC133" s="637">
        <f>AC132/AC121*1000</f>
        <v>2.943202011741791</v>
      </c>
      <c r="AD133" s="634">
        <f>AD132/AD121*1000</f>
        <v>3.2702989310599611</v>
      </c>
      <c r="AE133" s="635">
        <f>AE132/AE121*1000</f>
        <v>2.6344252369031538</v>
      </c>
      <c r="AF133" s="635">
        <f t="shared" ref="AF133" si="321">AF132/AF121*1000</f>
        <v>0.6192035190324654</v>
      </c>
      <c r="AG133" s="636">
        <f>AG132/AG121*1000</f>
        <v>3.0259788719182255</v>
      </c>
      <c r="AH133" s="637">
        <f>AH132/AH121*1000</f>
        <v>2.8536317424656934</v>
      </c>
      <c r="AI133" s="634">
        <f>AI132/AI121*1000</f>
        <v>3.1615397603206854</v>
      </c>
      <c r="AJ133" s="635">
        <f>AJ132/AJ121*1000</f>
        <v>2.5505215281014459</v>
      </c>
      <c r="AK133" s="635">
        <f t="shared" ref="AK133" si="322">AK132/AK121*1000</f>
        <v>0.55532100431779263</v>
      </c>
      <c r="AL133" s="636">
        <f>AL132/AL121*1000</f>
        <v>3.1915749424771986</v>
      </c>
      <c r="AM133" s="637">
        <f>AM132/AM121*1000</f>
        <v>2.770680522782849</v>
      </c>
      <c r="AN133" s="634">
        <f>AN132/AN121*1000</f>
        <v>2.9591644642277553</v>
      </c>
      <c r="AO133" s="635">
        <f>AO132/AO121*1000</f>
        <v>2.2461826792595168</v>
      </c>
      <c r="AP133" s="635">
        <f t="shared" ref="AP133" si="323">AP132/AP121*1000</f>
        <v>0.54779236996099467</v>
      </c>
      <c r="AQ133" s="636">
        <f>AQ132/AQ121*1000</f>
        <v>3.8504263477995546</v>
      </c>
      <c r="AR133" s="637">
        <f>AR132/AR121*1000</f>
        <v>2.7492238768060497</v>
      </c>
      <c r="AS133" s="634">
        <f>AS132/AS121*1000</f>
        <v>2.9512721000431217</v>
      </c>
      <c r="AT133" s="635">
        <f>AT132/AT121*1000</f>
        <v>2.7490834972894174</v>
      </c>
      <c r="AU133" s="635">
        <f t="shared" ref="AU133" si="324">AU132/AU121*1000</f>
        <v>0.52466104039509243</v>
      </c>
      <c r="AV133" s="636">
        <f>AV132/AV121*1000</f>
        <v>3.0565759739446063</v>
      </c>
      <c r="AW133" s="637">
        <f>AW132/AW121*1000</f>
        <v>2.6618080988661932</v>
      </c>
      <c r="AX133" s="634">
        <f>+AS133</f>
        <v>2.9512721000431217</v>
      </c>
      <c r="AY133" s="635">
        <f>+AT133</f>
        <v>2.7490834972894174</v>
      </c>
      <c r="AZ133" s="635">
        <f>+AU133</f>
        <v>0.52466104039509243</v>
      </c>
      <c r="BA133" s="636">
        <f>+AV133</f>
        <v>3.0565759739446063</v>
      </c>
      <c r="BB133" s="637">
        <f>+BB132/BB121*1000</f>
        <v>2.6618080988661932</v>
      </c>
      <c r="BC133" s="634">
        <f>+AX133</f>
        <v>2.9512721000431217</v>
      </c>
      <c r="BD133" s="635">
        <f>+AY133</f>
        <v>2.7490834972894174</v>
      </c>
      <c r="BE133" s="635">
        <f>+AZ133</f>
        <v>0.52466104039509243</v>
      </c>
      <c r="BF133" s="636">
        <f>+BA133</f>
        <v>3.0565759739446063</v>
      </c>
      <c r="BG133" s="637">
        <f>+BG132/BG121*1000</f>
        <v>2.6618080988661932</v>
      </c>
      <c r="BH133" s="634">
        <f>+BC133</f>
        <v>2.9512721000431217</v>
      </c>
      <c r="BI133" s="635">
        <f>+BD133</f>
        <v>2.7490834972894174</v>
      </c>
      <c r="BJ133" s="635">
        <f>+BE133</f>
        <v>0.52466104039509243</v>
      </c>
      <c r="BK133" s="636">
        <f>+BF133</f>
        <v>3.0565759739446063</v>
      </c>
      <c r="BL133" s="637">
        <f>+BL132/BL121*1000</f>
        <v>2.6618080988661932</v>
      </c>
      <c r="BM133" s="634">
        <f>+BH133</f>
        <v>2.9512721000431217</v>
      </c>
      <c r="BN133" s="635">
        <f>+BI133</f>
        <v>2.7490834972894174</v>
      </c>
      <c r="BO133" s="635">
        <f>+BJ133</f>
        <v>0.52466104039509243</v>
      </c>
      <c r="BP133" s="636">
        <f>+BK133</f>
        <v>3.0565759739446063</v>
      </c>
      <c r="BQ133" s="637">
        <f>+BQ132/BQ121*1000</f>
        <v>2.6618080988661932</v>
      </c>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row>
    <row r="134" spans="1:99">
      <c r="A134" s="1"/>
      <c r="B134" s="1"/>
      <c r="C134" s="32"/>
      <c r="D134" s="1"/>
      <c r="E134" s="600"/>
      <c r="F134" s="251"/>
      <c r="G134" s="251"/>
      <c r="H134" s="601"/>
      <c r="I134" s="26"/>
      <c r="J134" s="600"/>
      <c r="K134" s="251"/>
      <c r="L134" s="251"/>
      <c r="M134" s="601"/>
      <c r="N134" s="26"/>
      <c r="O134" s="600"/>
      <c r="P134" s="251"/>
      <c r="Q134" s="251"/>
      <c r="R134" s="601"/>
      <c r="S134" s="26"/>
      <c r="T134" s="600"/>
      <c r="U134" s="251"/>
      <c r="V134" s="251"/>
      <c r="W134" s="601"/>
      <c r="X134" s="26"/>
      <c r="Y134" s="600"/>
      <c r="Z134" s="251"/>
      <c r="AA134" s="251"/>
      <c r="AB134" s="601"/>
      <c r="AC134" s="26"/>
      <c r="AD134" s="600"/>
      <c r="AE134" s="251"/>
      <c r="AF134" s="251"/>
      <c r="AG134" s="601"/>
      <c r="AH134" s="26"/>
      <c r="AI134" s="600"/>
      <c r="AJ134" s="251"/>
      <c r="AK134" s="251"/>
      <c r="AL134" s="601"/>
      <c r="AM134" s="26"/>
      <c r="AN134" s="600"/>
      <c r="AO134" s="251"/>
      <c r="AP134" s="251"/>
      <c r="AQ134" s="601"/>
      <c r="AR134" s="26"/>
      <c r="AS134" s="600"/>
      <c r="AT134" s="251"/>
      <c r="AU134" s="251"/>
      <c r="AV134" s="601"/>
      <c r="AW134" s="26"/>
      <c r="AX134" s="600"/>
      <c r="AY134" s="251"/>
      <c r="AZ134" s="251"/>
      <c r="BA134" s="601"/>
      <c r="BB134" s="26"/>
      <c r="BC134" s="600"/>
      <c r="BD134" s="251"/>
      <c r="BE134" s="251"/>
      <c r="BF134" s="601"/>
      <c r="BG134" s="26"/>
      <c r="BH134" s="600"/>
      <c r="BI134" s="251"/>
      <c r="BJ134" s="251"/>
      <c r="BK134" s="601"/>
      <c r="BL134" s="26"/>
      <c r="BM134" s="600"/>
      <c r="BN134" s="251"/>
      <c r="BO134" s="251"/>
      <c r="BP134" s="601"/>
      <c r="BQ134" s="26"/>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row>
    <row r="135" spans="1:99">
      <c r="A135" s="1"/>
      <c r="B135" s="1"/>
      <c r="C135" s="32" t="s">
        <v>140</v>
      </c>
      <c r="D135" s="1"/>
      <c r="E135" s="292">
        <f t="shared" ref="E135:S135" si="325">+E116-E132</f>
        <v>128.79999999999995</v>
      </c>
      <c r="F135" s="261">
        <f t="shared" si="325"/>
        <v>60.1</v>
      </c>
      <c r="G135" s="261">
        <f t="shared" si="325"/>
        <v>47</v>
      </c>
      <c r="H135" s="293">
        <f t="shared" si="325"/>
        <v>72.500000000000057</v>
      </c>
      <c r="I135" s="228">
        <f t="shared" si="325"/>
        <v>308.39999999999998</v>
      </c>
      <c r="J135" s="292">
        <f t="shared" si="325"/>
        <v>123.5</v>
      </c>
      <c r="K135" s="261">
        <f t="shared" si="325"/>
        <v>58.300000000000004</v>
      </c>
      <c r="L135" s="261">
        <f t="shared" si="325"/>
        <v>47</v>
      </c>
      <c r="M135" s="293">
        <f t="shared" si="325"/>
        <v>93.100000000000023</v>
      </c>
      <c r="N135" s="228">
        <f t="shared" si="325"/>
        <v>321.89999999999998</v>
      </c>
      <c r="O135" s="350">
        <f t="shared" si="325"/>
        <v>136.20000000000002</v>
      </c>
      <c r="P135" s="351">
        <f t="shared" si="325"/>
        <v>59.3</v>
      </c>
      <c r="Q135" s="261">
        <f t="shared" si="325"/>
        <v>48.5</v>
      </c>
      <c r="R135" s="293">
        <f t="shared" si="325"/>
        <v>93.5</v>
      </c>
      <c r="S135" s="228">
        <f t="shared" si="325"/>
        <v>337.50000000000006</v>
      </c>
      <c r="T135" s="350">
        <f t="shared" ref="T135:Z135" si="326">+T116-T132</f>
        <v>81.526666666666642</v>
      </c>
      <c r="U135" s="351">
        <f t="shared" si="326"/>
        <v>53.990697674418584</v>
      </c>
      <c r="V135" s="261">
        <f t="shared" si="326"/>
        <v>37.381699346405242</v>
      </c>
      <c r="W135" s="293">
        <f t="shared" si="326"/>
        <v>77.883081285845549</v>
      </c>
      <c r="X135" s="228">
        <f t="shared" si="326"/>
        <v>250.78214497333602</v>
      </c>
      <c r="Y135" s="350">
        <f t="shared" si="326"/>
        <v>136.16457142857143</v>
      </c>
      <c r="Z135" s="351">
        <f t="shared" si="326"/>
        <v>65.527441860465103</v>
      </c>
      <c r="AA135" s="1438">
        <f t="shared" ref="AA135:AH135" si="327">+AA116-AA132</f>
        <v>65.381699346405242</v>
      </c>
      <c r="AB135" s="1439">
        <f t="shared" si="327"/>
        <v>80.266994455216036</v>
      </c>
      <c r="AC135" s="1440">
        <f t="shared" si="327"/>
        <v>347.34070709065782</v>
      </c>
      <c r="AD135" s="350">
        <f t="shared" si="327"/>
        <v>172.59638095238097</v>
      </c>
      <c r="AE135" s="351">
        <f t="shared" si="327"/>
        <v>59.615813953488356</v>
      </c>
      <c r="AF135" s="1438">
        <f t="shared" si="327"/>
        <v>59.460591635498133</v>
      </c>
      <c r="AG135" s="1439">
        <f t="shared" si="327"/>
        <v>104.88794820088017</v>
      </c>
      <c r="AH135" s="1440">
        <f t="shared" si="327"/>
        <v>396.56073474224763</v>
      </c>
      <c r="AI135" s="350">
        <f t="shared" ref="AI135:AM135" si="328">+AI116-AI132</f>
        <v>164.28438095238096</v>
      </c>
      <c r="AJ135" s="351">
        <f t="shared" si="328"/>
        <v>50.09395348837208</v>
      </c>
      <c r="AK135" s="1438">
        <f t="shared" si="328"/>
        <v>63.152336695757299</v>
      </c>
      <c r="AL135" s="1439">
        <f t="shared" si="328"/>
        <v>82.488213012136981</v>
      </c>
      <c r="AM135" s="1440">
        <f t="shared" si="328"/>
        <v>360.01888414864732</v>
      </c>
      <c r="AN135" s="350">
        <f t="shared" ref="AN135:AR135" si="329">+AN116-AN132</f>
        <v>127.43752380952381</v>
      </c>
      <c r="AO135" s="351">
        <f t="shared" si="329"/>
        <v>55.696744186046487</v>
      </c>
      <c r="AP135" s="1438">
        <f t="shared" si="329"/>
        <v>69.073444406664407</v>
      </c>
      <c r="AQ135" s="1439">
        <f t="shared" si="329"/>
        <v>89.213311420255451</v>
      </c>
      <c r="AR135" s="1440">
        <f t="shared" si="329"/>
        <v>341.42102382249016</v>
      </c>
      <c r="AS135" s="350">
        <f t="shared" ref="AS135:AT135" si="330">+AS116-AS132</f>
        <v>169.93333333333334</v>
      </c>
      <c r="AT135" s="351">
        <f t="shared" si="330"/>
        <v>66.8660465116279</v>
      </c>
      <c r="AU135" s="351">
        <f t="shared" ref="AU135:AW135" si="331">+AU116-AU132</f>
        <v>74.077101514979802</v>
      </c>
      <c r="AV135" s="1439">
        <f t="shared" si="331"/>
        <v>128.70313223424856</v>
      </c>
      <c r="AW135" s="1440">
        <f t="shared" si="331"/>
        <v>439.5796135941896</v>
      </c>
      <c r="AX135" s="350">
        <f t="shared" ref="AX135:BB135" si="332">+AX116-AX132</f>
        <v>157.43333333333334</v>
      </c>
      <c r="AY135" s="351">
        <f t="shared" si="332"/>
        <v>54.3660465116279</v>
      </c>
      <c r="AZ135" s="351">
        <f t="shared" si="332"/>
        <v>61.577101514979802</v>
      </c>
      <c r="BA135" s="352">
        <f t="shared" si="332"/>
        <v>116.20313223424859</v>
      </c>
      <c r="BB135" s="348">
        <f t="shared" si="332"/>
        <v>389.5796135941896</v>
      </c>
      <c r="BC135" s="350">
        <f t="shared" ref="BC135:BL135" si="333">+BC116-BC132</f>
        <v>157.43333333333334</v>
      </c>
      <c r="BD135" s="351">
        <f t="shared" si="333"/>
        <v>54.3660465116279</v>
      </c>
      <c r="BE135" s="351">
        <f t="shared" si="333"/>
        <v>72.827101514979802</v>
      </c>
      <c r="BF135" s="352">
        <f t="shared" si="333"/>
        <v>127.45313223424859</v>
      </c>
      <c r="BG135" s="348">
        <f t="shared" si="333"/>
        <v>412.0796135941896</v>
      </c>
      <c r="BH135" s="350">
        <f t="shared" si="333"/>
        <v>168.68333333333334</v>
      </c>
      <c r="BI135" s="351">
        <f t="shared" si="333"/>
        <v>65.6160465116279</v>
      </c>
      <c r="BJ135" s="351">
        <f t="shared" si="333"/>
        <v>77.827101514979802</v>
      </c>
      <c r="BK135" s="352">
        <f t="shared" si="333"/>
        <v>132.45313223424859</v>
      </c>
      <c r="BL135" s="348">
        <f t="shared" si="333"/>
        <v>444.5796135941896</v>
      </c>
      <c r="BM135" s="350">
        <f t="shared" ref="BM135:BQ135" si="334">+BM116-BM132</f>
        <v>173.68333333333334</v>
      </c>
      <c r="BN135" s="351">
        <f t="shared" si="334"/>
        <v>70.6160465116279</v>
      </c>
      <c r="BO135" s="351">
        <f t="shared" si="334"/>
        <v>87.827101514979802</v>
      </c>
      <c r="BP135" s="352">
        <f t="shared" si="334"/>
        <v>142.45313223424859</v>
      </c>
      <c r="BQ135" s="348">
        <f t="shared" si="334"/>
        <v>474.5796135941896</v>
      </c>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row>
    <row r="136" spans="1:99">
      <c r="A136" s="223"/>
      <c r="B136" s="223"/>
      <c r="C136" s="223" t="s">
        <v>623</v>
      </c>
      <c r="D136" s="223"/>
      <c r="E136" s="638"/>
      <c r="F136" s="639"/>
      <c r="G136" s="639"/>
      <c r="H136" s="640"/>
      <c r="I136" s="392"/>
      <c r="J136" s="376">
        <f t="shared" ref="J136:S136" si="335">+J135/E135-1</f>
        <v>-4.1149068322981042E-2</v>
      </c>
      <c r="K136" s="377">
        <f t="shared" si="335"/>
        <v>-2.9950083194675514E-2</v>
      </c>
      <c r="L136" s="377">
        <f t="shared" si="335"/>
        <v>0</v>
      </c>
      <c r="M136" s="378">
        <f t="shared" si="335"/>
        <v>0.28413793103448204</v>
      </c>
      <c r="N136" s="375">
        <f t="shared" si="335"/>
        <v>4.3774319066147926E-2</v>
      </c>
      <c r="O136" s="376">
        <f t="shared" si="335"/>
        <v>0.10283400809716614</v>
      </c>
      <c r="P136" s="377">
        <f t="shared" si="335"/>
        <v>1.7152658662092479E-2</v>
      </c>
      <c r="Q136" s="377">
        <f t="shared" si="335"/>
        <v>3.1914893617021267E-2</v>
      </c>
      <c r="R136" s="378">
        <f t="shared" si="335"/>
        <v>4.2964554242748143E-3</v>
      </c>
      <c r="S136" s="375">
        <f t="shared" si="335"/>
        <v>4.8462255358807438E-2</v>
      </c>
      <c r="T136" s="376">
        <f t="shared" ref="T136:AA136" si="336">+T135/O135-1</f>
        <v>-0.40141948115516424</v>
      </c>
      <c r="U136" s="377">
        <f t="shared" si="336"/>
        <v>-8.9532922859720254E-2</v>
      </c>
      <c r="V136" s="377">
        <f t="shared" si="336"/>
        <v>-0.22924331244525276</v>
      </c>
      <c r="W136" s="378">
        <f t="shared" si="336"/>
        <v>-0.16702586860058233</v>
      </c>
      <c r="X136" s="375">
        <f t="shared" si="336"/>
        <v>-0.25694179267159711</v>
      </c>
      <c r="Y136" s="376">
        <f t="shared" si="336"/>
        <v>0.67018445615223832</v>
      </c>
      <c r="Z136" s="377">
        <f t="shared" si="336"/>
        <v>0.21368022053756053</v>
      </c>
      <c r="AA136" s="377">
        <f t="shared" si="336"/>
        <v>0.74902961849145</v>
      </c>
      <c r="AB136" s="378">
        <f>+AB135/W135-1</f>
        <v>3.0608870758734863E-2</v>
      </c>
      <c r="AC136" s="375">
        <f>+AC135/X135-1</f>
        <v>0.38502965244032117</v>
      </c>
      <c r="AD136" s="376">
        <f>+AD135/Y135-1</f>
        <v>0.26755718570245546</v>
      </c>
      <c r="AE136" s="377">
        <f>+AE135/Z135-1</f>
        <v>-9.0216064279833086E-2</v>
      </c>
      <c r="AF136" s="377">
        <f t="shared" ref="AF136" si="337">+AF135/AA135-1</f>
        <v>-9.0562156843551955E-2</v>
      </c>
      <c r="AG136" s="378">
        <f>+AG135/AB135-1</f>
        <v>0.30673820432383447</v>
      </c>
      <c r="AH136" s="375">
        <f>+AH135/AC135-1</f>
        <v>0.14170532461875562</v>
      </c>
      <c r="AI136" s="376">
        <f>+AI135/AD135-1</f>
        <v>-4.8158599584386841E-2</v>
      </c>
      <c r="AJ136" s="377">
        <f>+AJ135/AE135-1</f>
        <v>-0.15972038010829026</v>
      </c>
      <c r="AK136" s="377">
        <f t="shared" ref="AK136" si="338">+AK135/AF135-1</f>
        <v>6.2087257437498877E-2</v>
      </c>
      <c r="AL136" s="378">
        <f>+AL135/AG135-1</f>
        <v>-0.21355871263534953</v>
      </c>
      <c r="AM136" s="375">
        <f>+AM135/AH135-1</f>
        <v>-9.2146920741791094E-2</v>
      </c>
      <c r="AN136" s="376">
        <f>+AN135/AI135-1</f>
        <v>-0.22428703769190017</v>
      </c>
      <c r="AO136" s="377">
        <f>+AO135/AJ135-1</f>
        <v>0.11184564817737819</v>
      </c>
      <c r="AP136" s="377">
        <f t="shared" ref="AP136" si="339">+AP135/AK135-1</f>
        <v>9.3759123109452558E-2</v>
      </c>
      <c r="AQ136" s="378">
        <f>+AQ135/AL135-1</f>
        <v>8.1527992455467047E-2</v>
      </c>
      <c r="AR136" s="375">
        <f>+AR135/AM135-1</f>
        <v>-5.1658013357094745E-2</v>
      </c>
      <c r="AS136" s="376">
        <f>+AS135/AN135-1</f>
        <v>0.33346386726194122</v>
      </c>
      <c r="AT136" s="377">
        <f>+AT135/AO135-1</f>
        <v>0.20053779603834765</v>
      </c>
      <c r="AU136" s="377">
        <f t="shared" ref="AU136" si="340">+AU135/AP135-1</f>
        <v>7.2439664060427678E-2</v>
      </c>
      <c r="AV136" s="378">
        <f>+AV135/AQ135-1</f>
        <v>0.44264493925092818</v>
      </c>
      <c r="AW136" s="375">
        <f>+AW135/AR135-1</f>
        <v>0.28750013304023581</v>
      </c>
      <c r="AX136" s="376">
        <f t="shared" ref="AX136:BB136" si="341">+AX135/AS135-1</f>
        <v>-7.3558258140447252E-2</v>
      </c>
      <c r="AY136" s="377">
        <f t="shared" si="341"/>
        <v>-0.18694091623655762</v>
      </c>
      <c r="AZ136" s="377">
        <f t="shared" si="341"/>
        <v>-0.16874310339305409</v>
      </c>
      <c r="BA136" s="378">
        <f t="shared" si="341"/>
        <v>-9.7122733402083106E-2</v>
      </c>
      <c r="BB136" s="375">
        <f t="shared" si="341"/>
        <v>-0.11374503833601102</v>
      </c>
      <c r="BC136" s="376">
        <f t="shared" ref="BC136" si="342">+BC135/AX135-1</f>
        <v>0</v>
      </c>
      <c r="BD136" s="377">
        <f t="shared" ref="BD136" si="343">+BD135/AY135-1</f>
        <v>0</v>
      </c>
      <c r="BE136" s="377">
        <f t="shared" ref="BE136" si="344">+BE135/AZ135-1</f>
        <v>0.18269778413105753</v>
      </c>
      <c r="BF136" s="378">
        <f t="shared" ref="BF136" si="345">+BF135/BA135-1</f>
        <v>9.6813225114462886E-2</v>
      </c>
      <c r="BG136" s="375">
        <f t="shared" ref="BG136" si="346">+BG135/BB135-1</f>
        <v>5.7754562135372334E-2</v>
      </c>
      <c r="BH136" s="376">
        <f t="shared" ref="BH136" si="347">+BH135/BC135-1</f>
        <v>7.1458818547533332E-2</v>
      </c>
      <c r="BI136" s="377">
        <f t="shared" ref="BI136" si="348">+BI135/BD135-1</f>
        <v>0.20693062530478157</v>
      </c>
      <c r="BJ136" s="377">
        <f t="shared" ref="BJ136" si="349">+BJ135/BE135-1</f>
        <v>6.8655759957322315E-2</v>
      </c>
      <c r="BK136" s="378">
        <f t="shared" ref="BK136" si="350">+BK135/BF135-1</f>
        <v>3.9230106882037319E-2</v>
      </c>
      <c r="BL136" s="375">
        <f t="shared" ref="BL136" si="351">+BL135/BG135-1</f>
        <v>7.8868254890195999E-2</v>
      </c>
      <c r="BM136" s="376">
        <f t="shared" ref="BM136" si="352">+BM135/BH135-1</f>
        <v>2.964133978855843E-2</v>
      </c>
      <c r="BN136" s="377">
        <f t="shared" ref="BN136" si="353">+BN135/BI135-1</f>
        <v>7.6200872588596757E-2</v>
      </c>
      <c r="BO136" s="377">
        <f t="shared" ref="BO136" si="354">+BO135/BJ135-1</f>
        <v>0.12848994508776923</v>
      </c>
      <c r="BP136" s="378">
        <f t="shared" ref="BP136" si="355">+BP135/BK135-1</f>
        <v>7.5498403331939468E-2</v>
      </c>
      <c r="BQ136" s="375">
        <f t="shared" ref="BQ136" si="356">+BQ135/BL135-1</f>
        <v>6.7479477426924728E-2</v>
      </c>
      <c r="BR136" s="223"/>
      <c r="BS136" s="223"/>
      <c r="BT136" s="223"/>
      <c r="BU136" s="223"/>
      <c r="BV136" s="223"/>
      <c r="BW136" s="223"/>
      <c r="BX136" s="223"/>
      <c r="BY136" s="223"/>
      <c r="BZ136" s="223"/>
      <c r="CA136" s="223"/>
      <c r="CB136" s="223"/>
      <c r="CC136" s="223"/>
      <c r="CD136" s="223"/>
      <c r="CE136" s="223"/>
      <c r="CF136" s="223"/>
      <c r="CG136" s="223"/>
      <c r="CH136" s="223"/>
      <c r="CI136" s="223"/>
      <c r="CJ136" s="223"/>
      <c r="CK136" s="223"/>
      <c r="CL136" s="223"/>
      <c r="CM136" s="223"/>
      <c r="CN136" s="223"/>
      <c r="CO136" s="223"/>
      <c r="CP136" s="223"/>
      <c r="CQ136" s="223"/>
      <c r="CR136" s="223"/>
      <c r="CS136" s="223"/>
      <c r="CT136" s="223"/>
      <c r="CU136" s="223"/>
    </row>
    <row r="137" spans="1:99">
      <c r="A137" s="223"/>
      <c r="B137" s="223"/>
      <c r="C137" s="223"/>
      <c r="D137" s="223"/>
      <c r="E137" s="638"/>
      <c r="F137" s="639"/>
      <c r="G137" s="639"/>
      <c r="H137" s="640"/>
      <c r="I137" s="392"/>
      <c r="J137" s="376"/>
      <c r="K137" s="377"/>
      <c r="L137" s="377"/>
      <c r="M137" s="378"/>
      <c r="N137" s="375"/>
      <c r="O137" s="376"/>
      <c r="P137" s="377"/>
      <c r="Q137" s="377"/>
      <c r="R137" s="378"/>
      <c r="S137" s="375"/>
      <c r="T137" s="376"/>
      <c r="U137" s="377"/>
      <c r="V137" s="377"/>
      <c r="W137" s="378"/>
      <c r="X137" s="375"/>
      <c r="Y137" s="376"/>
      <c r="Z137" s="377"/>
      <c r="AA137" s="377"/>
      <c r="AB137" s="378"/>
      <c r="AC137" s="375"/>
      <c r="AD137" s="376"/>
      <c r="AE137" s="377"/>
      <c r="AF137" s="377"/>
      <c r="AG137" s="378"/>
      <c r="AH137" s="375"/>
      <c r="AI137" s="376"/>
      <c r="AJ137" s="377"/>
      <c r="AK137" s="377"/>
      <c r="AL137" s="378"/>
      <c r="AM137" s="375"/>
      <c r="AN137" s="376"/>
      <c r="AO137" s="377"/>
      <c r="AP137" s="377"/>
      <c r="AQ137" s="378"/>
      <c r="AR137" s="375"/>
      <c r="AS137" s="376"/>
      <c r="AT137" s="377"/>
      <c r="AU137" s="377"/>
      <c r="AV137" s="378"/>
      <c r="AW137" s="375"/>
      <c r="AX137" s="376"/>
      <c r="AY137" s="377"/>
      <c r="AZ137" s="377"/>
      <c r="BA137" s="378"/>
      <c r="BB137" s="375"/>
      <c r="BC137" s="376"/>
      <c r="BD137" s="377"/>
      <c r="BE137" s="377"/>
      <c r="BF137" s="378"/>
      <c r="BG137" s="375"/>
      <c r="BH137" s="376"/>
      <c r="BI137" s="377"/>
      <c r="BJ137" s="377"/>
      <c r="BK137" s="378"/>
      <c r="BL137" s="375"/>
      <c r="BM137" s="376"/>
      <c r="BN137" s="377"/>
      <c r="BO137" s="377"/>
      <c r="BP137" s="378"/>
      <c r="BQ137" s="375"/>
      <c r="BR137" s="223"/>
      <c r="BS137" s="223"/>
      <c r="BT137" s="223"/>
      <c r="BU137" s="223"/>
      <c r="BV137" s="223"/>
      <c r="BW137" s="223"/>
      <c r="BX137" s="223"/>
      <c r="BY137" s="223"/>
      <c r="BZ137" s="223"/>
      <c r="CA137" s="223"/>
      <c r="CB137" s="223"/>
      <c r="CC137" s="223"/>
      <c r="CD137" s="223"/>
      <c r="CE137" s="223"/>
      <c r="CF137" s="223"/>
      <c r="CG137" s="223"/>
      <c r="CH137" s="223"/>
      <c r="CI137" s="223"/>
      <c r="CJ137" s="223"/>
      <c r="CK137" s="223"/>
      <c r="CL137" s="223"/>
      <c r="CM137" s="223"/>
      <c r="CN137" s="223"/>
      <c r="CO137" s="223"/>
      <c r="CP137" s="223"/>
      <c r="CQ137" s="223"/>
      <c r="CR137" s="223"/>
      <c r="CS137" s="223"/>
      <c r="CT137" s="223"/>
      <c r="CU137" s="223"/>
    </row>
    <row r="138" spans="1:99">
      <c r="A138" s="1"/>
      <c r="B138" s="1"/>
      <c r="C138" s="32"/>
      <c r="D138" s="1"/>
      <c r="E138" s="600"/>
      <c r="F138" s="251"/>
      <c r="G138" s="251"/>
      <c r="H138" s="601"/>
      <c r="I138" s="26"/>
      <c r="J138" s="600"/>
      <c r="K138" s="251"/>
      <c r="L138" s="251"/>
      <c r="M138" s="601"/>
      <c r="N138" s="26"/>
      <c r="O138" s="600"/>
      <c r="P138" s="251"/>
      <c r="Q138" s="251"/>
      <c r="R138" s="601"/>
      <c r="S138" s="26"/>
      <c r="T138" s="600"/>
      <c r="U138" s="251"/>
      <c r="V138" s="251"/>
      <c r="W138" s="601"/>
      <c r="X138" s="26"/>
      <c r="Y138" s="600"/>
      <c r="Z138" s="251"/>
      <c r="AA138" s="251"/>
      <c r="AB138" s="601"/>
      <c r="AC138" s="26"/>
      <c r="AD138" s="600"/>
      <c r="AE138" s="251"/>
      <c r="AF138" s="251"/>
      <c r="AG138" s="601"/>
      <c r="AH138" s="26"/>
      <c r="AI138" s="600"/>
      <c r="AJ138" s="251"/>
      <c r="AK138" s="251"/>
      <c r="AL138" s="601"/>
      <c r="AM138" s="26"/>
      <c r="AN138" s="600"/>
      <c r="AO138" s="251"/>
      <c r="AP138" s="251"/>
      <c r="AQ138" s="601"/>
      <c r="AR138" s="26"/>
      <c r="AS138" s="600"/>
      <c r="AT138" s="251"/>
      <c r="AU138" s="251"/>
      <c r="AV138" s="601"/>
      <c r="AW138" s="26"/>
      <c r="AX138" s="600"/>
      <c r="AY138" s="251"/>
      <c r="AZ138" s="251"/>
      <c r="BA138" s="601"/>
      <c r="BB138" s="26"/>
      <c r="BC138" s="600"/>
      <c r="BD138" s="251"/>
      <c r="BE138" s="251"/>
      <c r="BF138" s="601"/>
      <c r="BG138" s="26"/>
      <c r="BH138" s="600"/>
      <c r="BI138" s="251"/>
      <c r="BJ138" s="251"/>
      <c r="BK138" s="601"/>
      <c r="BL138" s="26"/>
      <c r="BM138" s="600"/>
      <c r="BN138" s="251"/>
      <c r="BO138" s="251"/>
      <c r="BP138" s="601"/>
      <c r="BQ138" s="26"/>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row>
    <row r="139" spans="1:99">
      <c r="A139" s="1"/>
      <c r="B139" s="73" t="s">
        <v>477</v>
      </c>
      <c r="C139" s="246"/>
      <c r="D139" s="15"/>
      <c r="E139" s="600"/>
      <c r="F139" s="251"/>
      <c r="G139" s="251"/>
      <c r="H139" s="601"/>
      <c r="I139" s="26"/>
      <c r="J139" s="600"/>
      <c r="K139" s="251"/>
      <c r="L139" s="251"/>
      <c r="M139" s="601"/>
      <c r="N139" s="26"/>
      <c r="O139" s="600"/>
      <c r="P139" s="251"/>
      <c r="Q139" s="251"/>
      <c r="R139" s="601"/>
      <c r="S139" s="26"/>
      <c r="T139" s="600"/>
      <c r="U139" s="251"/>
      <c r="V139" s="251"/>
      <c r="W139" s="601"/>
      <c r="X139" s="26"/>
      <c r="Y139" s="600"/>
      <c r="Z139" s="251"/>
      <c r="AA139" s="251"/>
      <c r="AB139" s="601"/>
      <c r="AC139" s="26"/>
      <c r="AD139" s="600"/>
      <c r="AE139" s="251"/>
      <c r="AF139" s="251"/>
      <c r="AG139" s="601"/>
      <c r="AH139" s="26"/>
      <c r="AI139" s="600"/>
      <c r="AJ139" s="251"/>
      <c r="AK139" s="251"/>
      <c r="AL139" s="601"/>
      <c r="AM139" s="26"/>
      <c r="AN139" s="600"/>
      <c r="AO139" s="251"/>
      <c r="AP139" s="251"/>
      <c r="AQ139" s="601"/>
      <c r="AR139" s="26"/>
      <c r="AS139" s="600"/>
      <c r="AT139" s="251"/>
      <c r="AU139" s="251"/>
      <c r="AV139" s="601"/>
      <c r="AW139" s="26"/>
      <c r="AX139" s="600"/>
      <c r="AY139" s="251"/>
      <c r="AZ139" s="251"/>
      <c r="BA139" s="601"/>
      <c r="BB139" s="26"/>
      <c r="BC139" s="600"/>
      <c r="BD139" s="251"/>
      <c r="BE139" s="251"/>
      <c r="BF139" s="601"/>
      <c r="BG139" s="26"/>
      <c r="BH139" s="600"/>
      <c r="BI139" s="251"/>
      <c r="BJ139" s="251"/>
      <c r="BK139" s="601"/>
      <c r="BL139" s="26"/>
      <c r="BM139" s="600"/>
      <c r="BN139" s="251"/>
      <c r="BO139" s="251"/>
      <c r="BP139" s="601"/>
      <c r="BQ139" s="26"/>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row>
    <row r="140" spans="1:99">
      <c r="A140" s="228"/>
      <c r="B140" s="228"/>
      <c r="C140" s="641" t="s">
        <v>272</v>
      </c>
      <c r="D140" s="228"/>
      <c r="E140" s="292">
        <f t="shared" ref="E140:T140" si="357">+E13</f>
        <v>127</v>
      </c>
      <c r="F140" s="261">
        <f t="shared" si="357"/>
        <v>148.9</v>
      </c>
      <c r="G140" s="261">
        <f t="shared" si="357"/>
        <v>142.6</v>
      </c>
      <c r="H140" s="293">
        <f t="shared" si="357"/>
        <v>141.39999999999998</v>
      </c>
      <c r="I140" s="228">
        <f t="shared" si="357"/>
        <v>559.9</v>
      </c>
      <c r="J140" s="292">
        <f t="shared" si="357"/>
        <v>149</v>
      </c>
      <c r="K140" s="261">
        <f t="shared" si="357"/>
        <v>146.5</v>
      </c>
      <c r="L140" s="261">
        <f t="shared" si="357"/>
        <v>152.69999999999999</v>
      </c>
      <c r="M140" s="293">
        <f t="shared" si="357"/>
        <v>157.90000000000003</v>
      </c>
      <c r="N140" s="228">
        <f t="shared" si="357"/>
        <v>606.1</v>
      </c>
      <c r="O140" s="292">
        <f t="shared" si="357"/>
        <v>153</v>
      </c>
      <c r="P140" s="261">
        <f t="shared" si="357"/>
        <v>158.6</v>
      </c>
      <c r="Q140" s="261">
        <f t="shared" si="357"/>
        <v>208.29999999999998</v>
      </c>
      <c r="R140" s="293">
        <f t="shared" si="357"/>
        <v>146.89999999999998</v>
      </c>
      <c r="S140" s="228">
        <f t="shared" si="357"/>
        <v>666.8</v>
      </c>
      <c r="T140" s="292">
        <f t="shared" si="357"/>
        <v>195</v>
      </c>
      <c r="U140" s="261">
        <f>+U13</f>
        <v>161</v>
      </c>
      <c r="V140" s="261">
        <f>+V13</f>
        <v>201</v>
      </c>
      <c r="W140" s="293">
        <f>+W13</f>
        <v>171</v>
      </c>
      <c r="X140" s="228">
        <f>+SUM(T140:W140)</f>
        <v>728</v>
      </c>
      <c r="Y140" s="292">
        <f>+Y13</f>
        <v>143</v>
      </c>
      <c r="Z140" s="261">
        <f>+Z13</f>
        <v>160</v>
      </c>
      <c r="AA140" s="1438">
        <f>+AA13</f>
        <v>146</v>
      </c>
      <c r="AB140" s="1439">
        <f>+AB13</f>
        <v>185</v>
      </c>
      <c r="AC140" s="1440">
        <f>+SUM(Y140:AB140)</f>
        <v>634</v>
      </c>
      <c r="AD140" s="292">
        <f>+AD13</f>
        <v>188</v>
      </c>
      <c r="AE140" s="261">
        <f>+AE13</f>
        <v>188</v>
      </c>
      <c r="AF140" s="1438">
        <f>+AF13</f>
        <v>165</v>
      </c>
      <c r="AG140" s="1439">
        <f>+AG13</f>
        <v>176</v>
      </c>
      <c r="AH140" s="1440">
        <f>+SUM(AD140:AG140)</f>
        <v>717</v>
      </c>
      <c r="AI140" s="292">
        <f>+AI13</f>
        <v>182</v>
      </c>
      <c r="AJ140" s="261">
        <f>+AJ13</f>
        <v>149</v>
      </c>
      <c r="AK140" s="1438">
        <f>+AK13</f>
        <v>169</v>
      </c>
      <c r="AL140" s="1439">
        <f>+AL13</f>
        <v>183</v>
      </c>
      <c r="AM140" s="1440">
        <f>+SUM(AI140:AL140)</f>
        <v>683</v>
      </c>
      <c r="AN140" s="292">
        <f>+AN13</f>
        <v>202</v>
      </c>
      <c r="AO140" s="261">
        <f>+AO13</f>
        <v>208</v>
      </c>
      <c r="AP140" s="1438">
        <f>+AP13</f>
        <v>178</v>
      </c>
      <c r="AQ140" s="1439">
        <f>+AQ13</f>
        <v>149</v>
      </c>
      <c r="AR140" s="1440">
        <f>+SUM(AN140:AQ140)</f>
        <v>737</v>
      </c>
      <c r="AS140" s="292">
        <f>+AS13</f>
        <v>183</v>
      </c>
      <c r="AT140" s="261">
        <f>+AT13</f>
        <v>174</v>
      </c>
      <c r="AU140" s="261">
        <f>+AU13</f>
        <v>175</v>
      </c>
      <c r="AV140" s="1439">
        <f>+AV13</f>
        <v>184</v>
      </c>
      <c r="AW140" s="1440">
        <f>+SUM(AS140:AV140)</f>
        <v>716</v>
      </c>
      <c r="AX140" s="292">
        <f>AX142+AX141</f>
        <v>198.9</v>
      </c>
      <c r="AY140" s="261">
        <f>AY142+AY141</f>
        <v>177.48</v>
      </c>
      <c r="AZ140" s="261">
        <f>AZ142+AZ141</f>
        <v>178.5</v>
      </c>
      <c r="BA140" s="293">
        <f>BA142+BA141</f>
        <v>187.68</v>
      </c>
      <c r="BB140" s="228">
        <f>+SUM(AX140:BA140)</f>
        <v>742.56</v>
      </c>
      <c r="BC140" s="292">
        <f>BC142+BC141</f>
        <v>202.87800000000001</v>
      </c>
      <c r="BD140" s="261">
        <f>BD142+BD141</f>
        <v>181.02959999999999</v>
      </c>
      <c r="BE140" s="261">
        <f>BE142+BE141</f>
        <v>182.07</v>
      </c>
      <c r="BF140" s="293">
        <f>BF142+BF141</f>
        <v>191.43360000000001</v>
      </c>
      <c r="BG140" s="228">
        <f>+SUM(BC140:BF140)</f>
        <v>757.41120000000001</v>
      </c>
      <c r="BH140" s="292">
        <f>BH142+BH141</f>
        <v>206.93556000000001</v>
      </c>
      <c r="BI140" s="261">
        <f>BI142+BI141</f>
        <v>184.650192</v>
      </c>
      <c r="BJ140" s="261">
        <f>BJ142+BJ141</f>
        <v>185.7114</v>
      </c>
      <c r="BK140" s="293">
        <f>BK142+BK141</f>
        <v>195.26227200000002</v>
      </c>
      <c r="BL140" s="228">
        <f>+SUM(BH140:BK140)</f>
        <v>772.55942400000004</v>
      </c>
      <c r="BM140" s="292">
        <f>BM142+BM141</f>
        <v>211.07427120000003</v>
      </c>
      <c r="BN140" s="261">
        <f>BN142+BN141</f>
        <v>188.34319584000002</v>
      </c>
      <c r="BO140" s="261">
        <f>BO142+BO141</f>
        <v>189.42562799999999</v>
      </c>
      <c r="BP140" s="293">
        <f>BP142+BP141</f>
        <v>199.16751744000004</v>
      </c>
      <c r="BQ140" s="228">
        <f>+SUM(BM140:BP140)</f>
        <v>788.01061247999996</v>
      </c>
      <c r="BR140" s="228"/>
      <c r="BS140" s="228"/>
      <c r="BT140" s="228"/>
      <c r="BU140" s="228"/>
      <c r="BV140" s="228"/>
      <c r="BW140" s="228"/>
      <c r="BX140" s="228"/>
      <c r="BY140" s="228"/>
      <c r="BZ140" s="228"/>
      <c r="CA140" s="228"/>
      <c r="CB140" s="228"/>
      <c r="CC140" s="228"/>
      <c r="CD140" s="228"/>
      <c r="CE140" s="228"/>
      <c r="CF140" s="228"/>
      <c r="CG140" s="228"/>
      <c r="CH140" s="228"/>
      <c r="CI140" s="228"/>
      <c r="CJ140" s="228"/>
      <c r="CK140" s="228"/>
      <c r="CL140" s="228"/>
      <c r="CM140" s="228"/>
      <c r="CN140" s="228"/>
      <c r="CO140" s="228"/>
      <c r="CP140" s="228"/>
      <c r="CQ140" s="228"/>
      <c r="CR140" s="228"/>
      <c r="CS140" s="228"/>
      <c r="CT140" s="228"/>
      <c r="CU140" s="228"/>
    </row>
    <row r="141" spans="1:99">
      <c r="A141" s="45"/>
      <c r="B141" s="45"/>
      <c r="C141" s="383" t="s">
        <v>608</v>
      </c>
      <c r="D141" s="45"/>
      <c r="E141" s="306">
        <v>0</v>
      </c>
      <c r="F141" s="266">
        <v>0</v>
      </c>
      <c r="G141" s="266">
        <v>0</v>
      </c>
      <c r="H141" s="307">
        <v>0</v>
      </c>
      <c r="I141" s="45"/>
      <c r="J141" s="306">
        <v>0</v>
      </c>
      <c r="K141" s="266">
        <v>0</v>
      </c>
      <c r="L141" s="663">
        <v>0</v>
      </c>
      <c r="M141" s="307">
        <v>0</v>
      </c>
      <c r="N141" s="45">
        <f>SUM(J141:M141)</f>
        <v>0</v>
      </c>
      <c r="O141" s="306">
        <v>0</v>
      </c>
      <c r="P141" s="266">
        <v>0</v>
      </c>
      <c r="Q141" s="266">
        <v>55.3</v>
      </c>
      <c r="R141" s="307">
        <v>0</v>
      </c>
      <c r="S141" s="45">
        <f>SUM(O141:R141)</f>
        <v>55.3</v>
      </c>
      <c r="T141" s="306">
        <v>28</v>
      </c>
      <c r="U141" s="266">
        <v>0</v>
      </c>
      <c r="V141" s="266">
        <v>0</v>
      </c>
      <c r="W141" s="307">
        <v>0</v>
      </c>
      <c r="X141" s="45">
        <f>SUM(T141:W141)</f>
        <v>28</v>
      </c>
      <c r="Y141" s="306">
        <v>0</v>
      </c>
      <c r="Z141" s="266">
        <v>0</v>
      </c>
      <c r="AA141" s="1444">
        <v>0</v>
      </c>
      <c r="AB141" s="1445">
        <v>0</v>
      </c>
      <c r="AC141" s="1443">
        <f>SUM(Y141:AB141)</f>
        <v>0</v>
      </c>
      <c r="AD141" s="306">
        <v>0</v>
      </c>
      <c r="AE141" s="266">
        <v>0</v>
      </c>
      <c r="AF141" s="1444">
        <v>0</v>
      </c>
      <c r="AG141" s="1445">
        <v>0</v>
      </c>
      <c r="AH141" s="1443">
        <f>SUM(AD141:AG141)</f>
        <v>0</v>
      </c>
      <c r="AI141" s="306">
        <v>19</v>
      </c>
      <c r="AJ141" s="266">
        <f>18-AI141</f>
        <v>-1</v>
      </c>
      <c r="AK141" s="1444">
        <f>23-AI141-AJ141</f>
        <v>5</v>
      </c>
      <c r="AL141" s="1445">
        <v>21</v>
      </c>
      <c r="AM141" s="1443">
        <f>SUM(AI141:AL141)</f>
        <v>44</v>
      </c>
      <c r="AN141" s="306">
        <v>-17</v>
      </c>
      <c r="AO141" s="266">
        <f>-18-AN141</f>
        <v>-1</v>
      </c>
      <c r="AP141" s="1444">
        <f>19-AN141-AO141</f>
        <v>37</v>
      </c>
      <c r="AQ141" s="1445">
        <f>54-SUM(AN141:AP141)</f>
        <v>35</v>
      </c>
      <c r="AR141" s="1443">
        <f>SUM(AN141:AQ141)</f>
        <v>54</v>
      </c>
      <c r="AS141" s="306">
        <v>-12</v>
      </c>
      <c r="AT141" s="266">
        <v>0</v>
      </c>
      <c r="AU141" s="266">
        <v>0</v>
      </c>
      <c r="AV141" s="1445">
        <v>0</v>
      </c>
      <c r="AW141" s="1443">
        <f>SUM(AS141:AV141)</f>
        <v>-12</v>
      </c>
      <c r="AX141" s="306">
        <v>0</v>
      </c>
      <c r="AY141" s="266">
        <v>0</v>
      </c>
      <c r="AZ141" s="266">
        <v>0</v>
      </c>
      <c r="BA141" s="307">
        <v>0</v>
      </c>
      <c r="BB141" s="45">
        <f>SUM(AX141:BA141)</f>
        <v>0</v>
      </c>
      <c r="BC141" s="306">
        <v>0</v>
      </c>
      <c r="BD141" s="266">
        <v>0</v>
      </c>
      <c r="BE141" s="266">
        <v>0</v>
      </c>
      <c r="BF141" s="307">
        <v>0</v>
      </c>
      <c r="BG141" s="45">
        <f>SUM(BC141:BF141)</f>
        <v>0</v>
      </c>
      <c r="BH141" s="306">
        <v>0</v>
      </c>
      <c r="BI141" s="266">
        <v>0</v>
      </c>
      <c r="BJ141" s="266">
        <v>0</v>
      </c>
      <c r="BK141" s="307">
        <v>0</v>
      </c>
      <c r="BL141" s="45">
        <f>SUM(BH141:BK141)</f>
        <v>0</v>
      </c>
      <c r="BM141" s="306">
        <v>0</v>
      </c>
      <c r="BN141" s="266">
        <v>0</v>
      </c>
      <c r="BO141" s="266">
        <v>0</v>
      </c>
      <c r="BP141" s="307">
        <v>0</v>
      </c>
      <c r="BQ141" s="45">
        <f>SUM(BM141:BP141)</f>
        <v>0</v>
      </c>
      <c r="BR141" s="45"/>
      <c r="BS141" s="45"/>
      <c r="BT141" s="45"/>
      <c r="BU141" s="45"/>
      <c r="BV141" s="45"/>
      <c r="BW141" s="45"/>
      <c r="BX141" s="45"/>
      <c r="BY141" s="45"/>
      <c r="BZ141" s="45"/>
      <c r="CA141" s="45"/>
      <c r="CB141" s="45"/>
      <c r="CC141" s="45"/>
      <c r="CD141" s="45"/>
      <c r="CE141" s="45"/>
      <c r="CF141" s="45"/>
      <c r="CG141" s="45"/>
      <c r="CH141" s="45"/>
      <c r="CI141" s="45"/>
      <c r="CJ141" s="45"/>
      <c r="CK141" s="45"/>
      <c r="CL141" s="45"/>
      <c r="CM141" s="45"/>
      <c r="CN141" s="45"/>
      <c r="CO141" s="45"/>
      <c r="CP141" s="45"/>
      <c r="CQ141" s="45"/>
      <c r="CR141" s="45"/>
      <c r="CS141" s="45"/>
      <c r="CT141" s="45"/>
      <c r="CU141" s="45"/>
    </row>
    <row r="142" spans="1:99">
      <c r="A142" s="45"/>
      <c r="B142" s="45"/>
      <c r="C142" s="383" t="s">
        <v>609</v>
      </c>
      <c r="D142" s="45"/>
      <c r="E142" s="290">
        <f>+E140-E141</f>
        <v>127</v>
      </c>
      <c r="F142" s="260">
        <f>+F140-F141</f>
        <v>148.9</v>
      </c>
      <c r="G142" s="260">
        <f>+G140-G141</f>
        <v>142.6</v>
      </c>
      <c r="H142" s="291">
        <f>+H140-H141</f>
        <v>141.39999999999998</v>
      </c>
      <c r="I142" s="45">
        <f>+SUM(E142:H142)</f>
        <v>559.9</v>
      </c>
      <c r="J142" s="290">
        <f>+J140-J141</f>
        <v>149</v>
      </c>
      <c r="K142" s="260">
        <f>+K140-K141</f>
        <v>146.5</v>
      </c>
      <c r="L142" s="260">
        <f>+L140-L141</f>
        <v>152.69999999999999</v>
      </c>
      <c r="M142" s="291">
        <f>+M140-M141</f>
        <v>157.90000000000003</v>
      </c>
      <c r="N142" s="45">
        <f>+SUM(J142:M142)</f>
        <v>606.1</v>
      </c>
      <c r="O142" s="290">
        <f>+O140-O141</f>
        <v>153</v>
      </c>
      <c r="P142" s="260">
        <f>+P140-P141</f>
        <v>158.6</v>
      </c>
      <c r="Q142" s="260">
        <f>+Q140-Q141</f>
        <v>153</v>
      </c>
      <c r="R142" s="291">
        <f>+R140-R141</f>
        <v>146.89999999999998</v>
      </c>
      <c r="S142" s="45">
        <f>+SUM(O142:R142)</f>
        <v>611.5</v>
      </c>
      <c r="T142" s="290">
        <f>+T140-T141</f>
        <v>167</v>
      </c>
      <c r="U142" s="260">
        <f>+U140-U141</f>
        <v>161</v>
      </c>
      <c r="V142" s="260">
        <f>+V140-V141</f>
        <v>201</v>
      </c>
      <c r="W142" s="291">
        <f>+W140-W141</f>
        <v>171</v>
      </c>
      <c r="X142" s="45">
        <f>+SUM(T142:W142)</f>
        <v>700</v>
      </c>
      <c r="Y142" s="290">
        <f>+Y140-Y141</f>
        <v>143</v>
      </c>
      <c r="Z142" s="260">
        <f>+Z140-Z141</f>
        <v>160</v>
      </c>
      <c r="AA142" s="1441">
        <f>+AA140-AA141</f>
        <v>146</v>
      </c>
      <c r="AB142" s="1442">
        <f>+AB140-AB141</f>
        <v>185</v>
      </c>
      <c r="AC142" s="1443">
        <f>+SUM(Y142:AB142)</f>
        <v>634</v>
      </c>
      <c r="AD142" s="290">
        <f>+AD140-AD141</f>
        <v>188</v>
      </c>
      <c r="AE142" s="260">
        <f>+AE140-AE141</f>
        <v>188</v>
      </c>
      <c r="AF142" s="1441">
        <f>+AF140-AF141</f>
        <v>165</v>
      </c>
      <c r="AG142" s="1442">
        <f>+AG140-AG141</f>
        <v>176</v>
      </c>
      <c r="AH142" s="1443">
        <f>+SUM(AD142:AG142)</f>
        <v>717</v>
      </c>
      <c r="AI142" s="290">
        <f>+AI140-AI141</f>
        <v>163</v>
      </c>
      <c r="AJ142" s="260">
        <f>+AJ140-AJ141</f>
        <v>150</v>
      </c>
      <c r="AK142" s="1441">
        <f>+AK140-AK141</f>
        <v>164</v>
      </c>
      <c r="AL142" s="1442">
        <f>+AL140-AL141</f>
        <v>162</v>
      </c>
      <c r="AM142" s="1443">
        <f>+SUM(AI142:AL142)</f>
        <v>639</v>
      </c>
      <c r="AN142" s="290">
        <f>+AN140-AN141</f>
        <v>219</v>
      </c>
      <c r="AO142" s="260">
        <f>+AO140-AO141</f>
        <v>209</v>
      </c>
      <c r="AP142" s="1441">
        <f>+AP140-AP141</f>
        <v>141</v>
      </c>
      <c r="AQ142" s="1442">
        <f>+AQ140-AQ141</f>
        <v>114</v>
      </c>
      <c r="AR142" s="1443">
        <f>+SUM(AN142:AQ142)</f>
        <v>683</v>
      </c>
      <c r="AS142" s="290">
        <f>+AS140-AS141</f>
        <v>195</v>
      </c>
      <c r="AT142" s="260">
        <f>+AT140-AT141</f>
        <v>174</v>
      </c>
      <c r="AU142" s="260">
        <f t="shared" ref="AU142" si="358">+AU140-AU141</f>
        <v>175</v>
      </c>
      <c r="AV142" s="1442">
        <f>+AV140-AV141</f>
        <v>184</v>
      </c>
      <c r="AW142" s="1443">
        <f>+SUM(AS142:AV142)</f>
        <v>728</v>
      </c>
      <c r="AX142" s="290">
        <f>AS142*(1+AX143)</f>
        <v>198.9</v>
      </c>
      <c r="AY142" s="260">
        <f>AT142*(1+AY143)</f>
        <v>177.48</v>
      </c>
      <c r="AZ142" s="260">
        <f>AU142*(1+AZ143)</f>
        <v>178.5</v>
      </c>
      <c r="BA142" s="291">
        <f>AV142*(1+BA143)</f>
        <v>187.68</v>
      </c>
      <c r="BB142" s="45">
        <f>+SUM(AX142:BA142)</f>
        <v>742.56</v>
      </c>
      <c r="BC142" s="290">
        <f>AX142*(1+BC143)</f>
        <v>202.87800000000001</v>
      </c>
      <c r="BD142" s="260">
        <f>AY142*(1+BD143)</f>
        <v>181.02959999999999</v>
      </c>
      <c r="BE142" s="260">
        <f>AZ142*(1+BE143)</f>
        <v>182.07</v>
      </c>
      <c r="BF142" s="291">
        <f>BA142*(1+BF143)</f>
        <v>191.43360000000001</v>
      </c>
      <c r="BG142" s="45">
        <f>+SUM(BC142:BF142)</f>
        <v>757.41120000000001</v>
      </c>
      <c r="BH142" s="290">
        <f>BC142*(1+BH143)</f>
        <v>206.93556000000001</v>
      </c>
      <c r="BI142" s="260">
        <f>BD142*(1+BI143)</f>
        <v>184.650192</v>
      </c>
      <c r="BJ142" s="260">
        <f>BE142*(1+BJ143)</f>
        <v>185.7114</v>
      </c>
      <c r="BK142" s="291">
        <f>BF142*(1+BK143)</f>
        <v>195.26227200000002</v>
      </c>
      <c r="BL142" s="45">
        <f>+SUM(BH142:BK142)</f>
        <v>772.55942400000004</v>
      </c>
      <c r="BM142" s="290">
        <f>BH142*(1+BM143)</f>
        <v>211.07427120000003</v>
      </c>
      <c r="BN142" s="260">
        <f>BI142*(1+BN143)</f>
        <v>188.34319584000002</v>
      </c>
      <c r="BO142" s="260">
        <f>BJ142*(1+BO143)</f>
        <v>189.42562799999999</v>
      </c>
      <c r="BP142" s="291">
        <f>BK142*(1+BP143)</f>
        <v>199.16751744000004</v>
      </c>
      <c r="BQ142" s="45">
        <f>+SUM(BM142:BP142)</f>
        <v>788.01061247999996</v>
      </c>
      <c r="BR142" s="45"/>
      <c r="BS142" s="45"/>
      <c r="BT142" s="45"/>
      <c r="BU142" s="45"/>
      <c r="BV142" s="45"/>
      <c r="BW142" s="45"/>
      <c r="BX142" s="45"/>
      <c r="BY142" s="45"/>
      <c r="BZ142" s="45"/>
      <c r="CA142" s="45"/>
      <c r="CB142" s="45"/>
      <c r="CC142" s="45"/>
      <c r="CD142" s="45"/>
      <c r="CE142" s="45"/>
      <c r="CF142" s="45"/>
      <c r="CG142" s="45"/>
      <c r="CH142" s="45"/>
      <c r="CI142" s="45"/>
      <c r="CJ142" s="45"/>
      <c r="CK142" s="45"/>
      <c r="CL142" s="45"/>
      <c r="CM142" s="45"/>
      <c r="CN142" s="45"/>
      <c r="CO142" s="45"/>
      <c r="CP142" s="45"/>
      <c r="CQ142" s="45"/>
      <c r="CR142" s="45"/>
      <c r="CS142" s="45"/>
      <c r="CT142" s="45"/>
      <c r="CU142" s="45"/>
    </row>
    <row r="143" spans="1:99">
      <c r="A143" s="223"/>
      <c r="B143" s="223"/>
      <c r="C143" s="384" t="s">
        <v>610</v>
      </c>
      <c r="D143" s="223"/>
      <c r="E143" s="643"/>
      <c r="F143" s="575">
        <f>F142/E142-1</f>
        <v>0.17244094488188977</v>
      </c>
      <c r="G143" s="577">
        <f>G142/F142-1</f>
        <v>-4.2310275352585691E-2</v>
      </c>
      <c r="H143" s="839">
        <f>H142/G142-1</f>
        <v>-8.4151472650773051E-3</v>
      </c>
      <c r="I143" s="222"/>
      <c r="J143" s="275">
        <f>+J142/H142-1</f>
        <v>5.3748231966053828E-2</v>
      </c>
      <c r="K143" s="252">
        <f>+K142/J142-1</f>
        <v>-1.6778523489932917E-2</v>
      </c>
      <c r="L143" s="252">
        <f>+L142/K142-1</f>
        <v>4.2320819112627861E-2</v>
      </c>
      <c r="M143" s="276">
        <f>+M142/L142-1</f>
        <v>3.4053700065488135E-2</v>
      </c>
      <c r="N143" s="222">
        <f>+N142/I142-1</f>
        <v>8.25147347740669E-2</v>
      </c>
      <c r="O143" s="275">
        <f>+O142/M142-1</f>
        <v>-3.103229892336945E-2</v>
      </c>
      <c r="P143" s="252">
        <f>+P142/O142-1</f>
        <v>3.6601307189542354E-2</v>
      </c>
      <c r="Q143" s="252">
        <f>+Q142/P142-1</f>
        <v>-3.5308953341740223E-2</v>
      </c>
      <c r="R143" s="276">
        <f>+R142/Q142-1</f>
        <v>-3.9869281045751825E-2</v>
      </c>
      <c r="S143" s="222">
        <f>+S142/N142-1</f>
        <v>8.9094208876423497E-3</v>
      </c>
      <c r="T143" s="275">
        <f>+T142/R142-1</f>
        <v>0.13682777399591584</v>
      </c>
      <c r="U143" s="252">
        <f>+U142/S142-1</f>
        <v>-0.73671300081766145</v>
      </c>
      <c r="V143" s="252">
        <f>+V142/T142-1</f>
        <v>0.20359281437125754</v>
      </c>
      <c r="W143" s="276">
        <f>+W142/U142-1</f>
        <v>6.211180124223592E-2</v>
      </c>
      <c r="X143" s="222">
        <f t="shared" ref="X143:AF143" si="359">+X142/S142-1</f>
        <v>0.14472608340147186</v>
      </c>
      <c r="Y143" s="275">
        <f t="shared" si="359"/>
        <v>-0.14371257485029942</v>
      </c>
      <c r="Z143" s="252">
        <f t="shared" si="359"/>
        <v>-6.2111801242236142E-3</v>
      </c>
      <c r="AA143" s="252">
        <f t="shared" si="359"/>
        <v>-0.27363184079601988</v>
      </c>
      <c r="AB143" s="276">
        <f t="shared" si="359"/>
        <v>8.1871345029239873E-2</v>
      </c>
      <c r="AC143" s="222">
        <f t="shared" si="359"/>
        <v>-9.4285714285714306E-2</v>
      </c>
      <c r="AD143" s="275">
        <f t="shared" si="359"/>
        <v>0.31468531468531458</v>
      </c>
      <c r="AE143" s="252">
        <f t="shared" si="359"/>
        <v>0.17500000000000004</v>
      </c>
      <c r="AF143" s="252">
        <f t="shared" si="359"/>
        <v>0.13013698630136994</v>
      </c>
      <c r="AG143" s="276">
        <f t="shared" ref="AG143" si="360">+AG142/AB142-1</f>
        <v>-4.8648648648648596E-2</v>
      </c>
      <c r="AH143" s="222">
        <f t="shared" ref="AH143" si="361">+AH142/AC142-1</f>
        <v>0.13091482649842279</v>
      </c>
      <c r="AI143" s="275">
        <f t="shared" ref="AI143" si="362">+AI142/AD142-1</f>
        <v>-0.13297872340425532</v>
      </c>
      <c r="AJ143" s="252">
        <f t="shared" ref="AJ143" si="363">+AJ142/AE142-1</f>
        <v>-0.2021276595744681</v>
      </c>
      <c r="AK143" s="252">
        <f t="shared" ref="AK143" si="364">+AK142/AF142-1</f>
        <v>-6.0606060606060996E-3</v>
      </c>
      <c r="AL143" s="276">
        <f t="shared" ref="AL143" si="365">+AL142/AG142-1</f>
        <v>-7.9545454545454586E-2</v>
      </c>
      <c r="AM143" s="222">
        <f t="shared" ref="AM143:AP143" si="366">+AM142/AH142-1</f>
        <v>-0.10878661087866104</v>
      </c>
      <c r="AN143" s="275">
        <f t="shared" si="366"/>
        <v>0.34355828220858897</v>
      </c>
      <c r="AO143" s="252">
        <f t="shared" si="366"/>
        <v>0.39333333333333331</v>
      </c>
      <c r="AP143" s="252">
        <f t="shared" si="366"/>
        <v>-0.1402439024390244</v>
      </c>
      <c r="AQ143" s="276">
        <f t="shared" ref="AQ143" si="367">+AQ142/AL142-1</f>
        <v>-0.29629629629629628</v>
      </c>
      <c r="AR143" s="222">
        <f t="shared" ref="AR143:AT143" si="368">+AR142/AM142-1</f>
        <v>6.8857589984350653E-2</v>
      </c>
      <c r="AS143" s="275">
        <f t="shared" si="368"/>
        <v>-0.1095890410958904</v>
      </c>
      <c r="AT143" s="252">
        <f t="shared" si="368"/>
        <v>-0.16746411483253587</v>
      </c>
      <c r="AU143" s="252">
        <f t="shared" ref="AU143" si="369">+AU142/AP142-1</f>
        <v>0.24113475177304955</v>
      </c>
      <c r="AV143" s="276">
        <f t="shared" ref="AV143" si="370">+AV142/AQ142-1</f>
        <v>0.61403508771929816</v>
      </c>
      <c r="AW143" s="222">
        <f t="shared" ref="AW143" si="371">+AW142/AR142-1</f>
        <v>6.5885797950219649E-2</v>
      </c>
      <c r="AX143" s="275">
        <f>+AX57</f>
        <v>0.02</v>
      </c>
      <c r="AY143" s="252">
        <f>+AY57</f>
        <v>0.02</v>
      </c>
      <c r="AZ143" s="252">
        <f>+AZ57</f>
        <v>0.02</v>
      </c>
      <c r="BA143" s="276">
        <f>+BA57</f>
        <v>0.02</v>
      </c>
      <c r="BB143" s="222">
        <f>+BB142/AW142-1</f>
        <v>2.0000000000000018E-2</v>
      </c>
      <c r="BC143" s="275">
        <f>+BC57</f>
        <v>0.02</v>
      </c>
      <c r="BD143" s="252">
        <f>+BD57</f>
        <v>0.02</v>
      </c>
      <c r="BE143" s="252">
        <f>+BE57</f>
        <v>0.02</v>
      </c>
      <c r="BF143" s="276">
        <f>+BF57</f>
        <v>0.02</v>
      </c>
      <c r="BG143" s="222">
        <f>+BG142/BB142-1</f>
        <v>2.0000000000000018E-2</v>
      </c>
      <c r="BH143" s="275">
        <f>+BH57</f>
        <v>0.02</v>
      </c>
      <c r="BI143" s="252">
        <f>+BI57</f>
        <v>0.02</v>
      </c>
      <c r="BJ143" s="252">
        <f>+BJ57</f>
        <v>0.02</v>
      </c>
      <c r="BK143" s="276">
        <f>+BK57</f>
        <v>0.02</v>
      </c>
      <c r="BL143" s="222">
        <f>+BL142/BG142-1</f>
        <v>2.0000000000000018E-2</v>
      </c>
      <c r="BM143" s="275">
        <f>+BM57</f>
        <v>0.02</v>
      </c>
      <c r="BN143" s="252">
        <f>+BN57</f>
        <v>0.02</v>
      </c>
      <c r="BO143" s="252">
        <f>+BO57</f>
        <v>0.02</v>
      </c>
      <c r="BP143" s="276">
        <f>+BP57</f>
        <v>0.02</v>
      </c>
      <c r="BQ143" s="222">
        <f>+BQ142/BL142-1</f>
        <v>1.9999999999999796E-2</v>
      </c>
      <c r="BR143" s="223"/>
      <c r="BS143" s="223"/>
      <c r="BT143" s="223"/>
      <c r="BU143" s="223"/>
      <c r="BV143" s="223"/>
      <c r="BW143" s="223"/>
      <c r="BX143" s="223"/>
      <c r="BY143" s="223"/>
      <c r="BZ143" s="223"/>
      <c r="CA143" s="223"/>
      <c r="CB143" s="223"/>
      <c r="CC143" s="223"/>
      <c r="CD143" s="223"/>
      <c r="CE143" s="223"/>
      <c r="CF143" s="223"/>
      <c r="CG143" s="223"/>
      <c r="CH143" s="223"/>
      <c r="CI143" s="223"/>
      <c r="CJ143" s="223"/>
      <c r="CK143" s="223"/>
      <c r="CL143" s="223"/>
      <c r="CM143" s="223"/>
      <c r="CN143" s="223"/>
      <c r="CO143" s="223"/>
      <c r="CP143" s="223"/>
      <c r="CQ143" s="223"/>
      <c r="CR143" s="223"/>
      <c r="CS143" s="223"/>
      <c r="CT143" s="223"/>
      <c r="CU143" s="223"/>
    </row>
    <row r="144" spans="1:99">
      <c r="A144" s="28"/>
      <c r="B144" s="28"/>
      <c r="C144" s="383"/>
      <c r="D144" s="28"/>
      <c r="E144" s="415"/>
      <c r="F144" s="242"/>
      <c r="G144" s="242"/>
      <c r="H144" s="416"/>
      <c r="I144" s="23"/>
      <c r="J144" s="415"/>
      <c r="K144" s="242"/>
      <c r="L144" s="242"/>
      <c r="M144" s="416"/>
      <c r="N144" s="23"/>
      <c r="O144" s="415"/>
      <c r="P144" s="242"/>
      <c r="Q144" s="242"/>
      <c r="R144" s="416"/>
      <c r="S144" s="23"/>
      <c r="T144" s="415"/>
      <c r="U144" s="242"/>
      <c r="V144" s="242"/>
      <c r="W144" s="416"/>
      <c r="X144" s="23"/>
      <c r="Y144" s="415"/>
      <c r="Z144" s="242"/>
      <c r="AA144" s="242"/>
      <c r="AB144" s="416"/>
      <c r="AC144" s="23"/>
      <c r="AD144" s="415"/>
      <c r="AE144" s="242"/>
      <c r="AF144" s="242"/>
      <c r="AG144" s="416"/>
      <c r="AH144" s="23"/>
      <c r="AI144" s="415"/>
      <c r="AJ144" s="242"/>
      <c r="AK144" s="242"/>
      <c r="AL144" s="416"/>
      <c r="AM144" s="23"/>
      <c r="AN144" s="415"/>
      <c r="AO144" s="242"/>
      <c r="AP144" s="242"/>
      <c r="AQ144" s="416"/>
      <c r="AR144" s="23"/>
      <c r="AS144" s="415"/>
      <c r="AT144" s="242"/>
      <c r="AU144" s="242"/>
      <c r="AV144" s="416"/>
      <c r="AW144" s="23"/>
      <c r="AX144" s="415"/>
      <c r="AY144" s="242"/>
      <c r="AZ144" s="242"/>
      <c r="BA144" s="416"/>
      <c r="BB144" s="23"/>
      <c r="BC144" s="415"/>
      <c r="BD144" s="242"/>
      <c r="BE144" s="242"/>
      <c r="BF144" s="416"/>
      <c r="BG144" s="23"/>
      <c r="BH144" s="415"/>
      <c r="BI144" s="242"/>
      <c r="BJ144" s="242"/>
      <c r="BK144" s="416"/>
      <c r="BL144" s="23"/>
      <c r="BM144" s="415"/>
      <c r="BN144" s="242"/>
      <c r="BO144" s="242"/>
      <c r="BP144" s="416"/>
      <c r="BQ144" s="23"/>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row>
    <row r="145" spans="1:99">
      <c r="A145" s="45"/>
      <c r="B145" s="45"/>
      <c r="C145" s="383" t="s">
        <v>65</v>
      </c>
      <c r="D145" s="45"/>
      <c r="E145" s="290">
        <f t="shared" ref="E145:S145" si="372">+E15</f>
        <v>47.8</v>
      </c>
      <c r="F145" s="260">
        <f t="shared" si="372"/>
        <v>44.4</v>
      </c>
      <c r="G145" s="260">
        <f t="shared" si="372"/>
        <v>44.1</v>
      </c>
      <c r="H145" s="291">
        <f t="shared" si="372"/>
        <v>41.500000000000028</v>
      </c>
      <c r="I145" s="45">
        <f t="shared" si="372"/>
        <v>177.8</v>
      </c>
      <c r="J145" s="290">
        <f t="shared" si="372"/>
        <v>47.6</v>
      </c>
      <c r="K145" s="260">
        <f t="shared" si="372"/>
        <v>45</v>
      </c>
      <c r="L145" s="260">
        <f t="shared" si="372"/>
        <v>45.6</v>
      </c>
      <c r="M145" s="291">
        <f t="shared" si="372"/>
        <v>45.600000000000023</v>
      </c>
      <c r="N145" s="45">
        <f t="shared" si="372"/>
        <v>183.8</v>
      </c>
      <c r="O145" s="290">
        <f t="shared" si="372"/>
        <v>49.8</v>
      </c>
      <c r="P145" s="260">
        <f t="shared" si="372"/>
        <v>46.4</v>
      </c>
      <c r="Q145" s="260">
        <f t="shared" si="372"/>
        <v>47.1</v>
      </c>
      <c r="R145" s="291">
        <f t="shared" si="372"/>
        <v>46.900000000000006</v>
      </c>
      <c r="S145" s="45">
        <f t="shared" si="372"/>
        <v>190.2</v>
      </c>
      <c r="T145" s="290">
        <f t="shared" ref="T145:Z145" si="373">+T15</f>
        <v>48</v>
      </c>
      <c r="U145" s="260">
        <f t="shared" si="373"/>
        <v>47</v>
      </c>
      <c r="V145" s="260">
        <f t="shared" si="373"/>
        <v>48</v>
      </c>
      <c r="W145" s="291">
        <f t="shared" si="373"/>
        <v>65</v>
      </c>
      <c r="X145" s="45">
        <f t="shared" si="373"/>
        <v>208</v>
      </c>
      <c r="Y145" s="290">
        <f t="shared" si="373"/>
        <v>55</v>
      </c>
      <c r="Z145" s="260">
        <f t="shared" si="373"/>
        <v>54</v>
      </c>
      <c r="AA145" s="1441">
        <f t="shared" ref="AA145:AH145" si="374">+AA15</f>
        <v>53</v>
      </c>
      <c r="AB145" s="1442">
        <f t="shared" si="374"/>
        <v>51</v>
      </c>
      <c r="AC145" s="1443">
        <f t="shared" si="374"/>
        <v>213</v>
      </c>
      <c r="AD145" s="290">
        <f t="shared" si="374"/>
        <v>60</v>
      </c>
      <c r="AE145" s="260">
        <f t="shared" si="374"/>
        <v>53</v>
      </c>
      <c r="AF145" s="1441">
        <f t="shared" si="374"/>
        <v>55</v>
      </c>
      <c r="AG145" s="1442">
        <f t="shared" si="374"/>
        <v>53</v>
      </c>
      <c r="AH145" s="1443">
        <f t="shared" si="374"/>
        <v>221</v>
      </c>
      <c r="AI145" s="290">
        <f t="shared" ref="AI145:AM145" si="375">+AI15</f>
        <v>57</v>
      </c>
      <c r="AJ145" s="260">
        <f t="shared" si="375"/>
        <v>54</v>
      </c>
      <c r="AK145" s="1441">
        <f t="shared" si="375"/>
        <v>57</v>
      </c>
      <c r="AL145" s="1442">
        <f t="shared" si="375"/>
        <v>56</v>
      </c>
      <c r="AM145" s="1443">
        <f t="shared" si="375"/>
        <v>224</v>
      </c>
      <c r="AN145" s="290">
        <f t="shared" ref="AN145:AR145" si="376">+AN15</f>
        <v>58</v>
      </c>
      <c r="AO145" s="260">
        <f t="shared" si="376"/>
        <v>55</v>
      </c>
      <c r="AP145" s="1441">
        <f t="shared" si="376"/>
        <v>58</v>
      </c>
      <c r="AQ145" s="1442">
        <f t="shared" si="376"/>
        <v>58</v>
      </c>
      <c r="AR145" s="1443">
        <f t="shared" si="376"/>
        <v>229</v>
      </c>
      <c r="AS145" s="290">
        <f t="shared" ref="AS145:AT145" si="377">+AS15</f>
        <v>62</v>
      </c>
      <c r="AT145" s="260">
        <f t="shared" si="377"/>
        <v>56</v>
      </c>
      <c r="AU145" s="260">
        <f t="shared" ref="AU145:AW145" si="378">+AU15</f>
        <v>61</v>
      </c>
      <c r="AV145" s="1442">
        <f t="shared" si="378"/>
        <v>61</v>
      </c>
      <c r="AW145" s="1443">
        <f t="shared" si="378"/>
        <v>240</v>
      </c>
      <c r="AX145" s="290">
        <f>AS145*(1+AX146)</f>
        <v>63.24</v>
      </c>
      <c r="AY145" s="260">
        <f>AT145*(1+AY146)</f>
        <v>57.120000000000005</v>
      </c>
      <c r="AZ145" s="260">
        <f>AU145*(1+AZ146)</f>
        <v>62.22</v>
      </c>
      <c r="BA145" s="291">
        <f>AV145*(1+BA146)</f>
        <v>62.22</v>
      </c>
      <c r="BB145" s="45">
        <f>+SUM(AX145:BA145)</f>
        <v>244.8</v>
      </c>
      <c r="BC145" s="290">
        <f>AX145*(1+BC146)</f>
        <v>64.504800000000003</v>
      </c>
      <c r="BD145" s="260">
        <f>AY145*(1+BD146)</f>
        <v>58.262400000000007</v>
      </c>
      <c r="BE145" s="260">
        <f>AZ145*(1+BE146)</f>
        <v>63.464399999999998</v>
      </c>
      <c r="BF145" s="291">
        <f>BA145*(1+BF146)</f>
        <v>63.464399999999998</v>
      </c>
      <c r="BG145" s="45">
        <f>+SUM(BC145:BF145)</f>
        <v>249.69600000000003</v>
      </c>
      <c r="BH145" s="290">
        <f>BC145*(1+BH146)</f>
        <v>65.794896000000008</v>
      </c>
      <c r="BI145" s="260">
        <f>BD145*(1+BI146)</f>
        <v>59.427648000000005</v>
      </c>
      <c r="BJ145" s="260">
        <f>BE145*(1+BJ146)</f>
        <v>64.733688000000001</v>
      </c>
      <c r="BK145" s="291">
        <f>BF145*(1+BK146)</f>
        <v>64.733688000000001</v>
      </c>
      <c r="BL145" s="45">
        <f>+SUM(BH145:BK145)</f>
        <v>254.68992</v>
      </c>
      <c r="BM145" s="290">
        <f>BH145*(1+BM146)</f>
        <v>67.110793920000006</v>
      </c>
      <c r="BN145" s="260">
        <f>BI145*(1+BN146)</f>
        <v>60.616200960000008</v>
      </c>
      <c r="BO145" s="260">
        <f>BJ145*(1+BO146)</f>
        <v>66.028361759999996</v>
      </c>
      <c r="BP145" s="291">
        <f>BK145*(1+BP146)</f>
        <v>66.028361759999996</v>
      </c>
      <c r="BQ145" s="45">
        <f>+SUM(BM145:BP145)</f>
        <v>259.7837184</v>
      </c>
      <c r="BR145" s="45"/>
      <c r="BS145" s="45"/>
      <c r="BT145" s="45"/>
      <c r="BU145" s="45"/>
      <c r="BV145" s="45"/>
      <c r="BW145" s="45"/>
      <c r="BX145" s="45"/>
      <c r="BY145" s="45"/>
      <c r="BZ145" s="45"/>
      <c r="CA145" s="45"/>
      <c r="CB145" s="45"/>
      <c r="CC145" s="45"/>
      <c r="CD145" s="45"/>
      <c r="CE145" s="45"/>
      <c r="CF145" s="45"/>
      <c r="CG145" s="45"/>
      <c r="CH145" s="45"/>
      <c r="CI145" s="45"/>
      <c r="CJ145" s="45"/>
      <c r="CK145" s="45"/>
      <c r="CL145" s="45"/>
      <c r="CM145" s="45"/>
      <c r="CN145" s="45"/>
      <c r="CO145" s="45"/>
      <c r="CP145" s="45"/>
      <c r="CQ145" s="45"/>
      <c r="CR145" s="45"/>
      <c r="CS145" s="45"/>
      <c r="CT145" s="45"/>
      <c r="CU145" s="45"/>
    </row>
    <row r="146" spans="1:99">
      <c r="A146" s="223"/>
      <c r="B146" s="223"/>
      <c r="C146" s="384" t="s">
        <v>610</v>
      </c>
      <c r="D146" s="223"/>
      <c r="E146" s="643"/>
      <c r="F146" s="575">
        <f>F145/E145-1</f>
        <v>-7.112970711297073E-2</v>
      </c>
      <c r="G146" s="577">
        <f>G145/F145-1</f>
        <v>-6.7567567567566877E-3</v>
      </c>
      <c r="H146" s="839">
        <f>H145/G145-1</f>
        <v>-5.8956916099772605E-2</v>
      </c>
      <c r="I146" s="222"/>
      <c r="J146" s="275">
        <f>+J145/H145-1</f>
        <v>0.14698795180722812</v>
      </c>
      <c r="K146" s="252">
        <f>+K145/J145-1</f>
        <v>-5.4621848739495826E-2</v>
      </c>
      <c r="L146" s="252">
        <f>+L145/K145-1</f>
        <v>1.3333333333333419E-2</v>
      </c>
      <c r="M146" s="276">
        <f>+M145/L145-1</f>
        <v>0</v>
      </c>
      <c r="N146" s="222">
        <f t="shared" ref="N146:AP146" si="379">+N145/I145-1</f>
        <v>3.3745781777277939E-2</v>
      </c>
      <c r="O146" s="275">
        <f t="shared" si="379"/>
        <v>4.6218487394957819E-2</v>
      </c>
      <c r="P146" s="252">
        <f t="shared" si="379"/>
        <v>3.1111111111111089E-2</v>
      </c>
      <c r="Q146" s="252">
        <f t="shared" si="379"/>
        <v>3.289473684210531E-2</v>
      </c>
      <c r="R146" s="276">
        <f t="shared" si="379"/>
        <v>2.8508771929824261E-2</v>
      </c>
      <c r="S146" s="222">
        <f t="shared" si="379"/>
        <v>3.482045701849823E-2</v>
      </c>
      <c r="T146" s="275">
        <f t="shared" si="379"/>
        <v>-3.6144578313252906E-2</v>
      </c>
      <c r="U146" s="252">
        <f t="shared" si="379"/>
        <v>1.2931034482758674E-2</v>
      </c>
      <c r="V146" s="252">
        <f t="shared" si="379"/>
        <v>1.9108280254777066E-2</v>
      </c>
      <c r="W146" s="276">
        <f t="shared" si="379"/>
        <v>0.38592750533049025</v>
      </c>
      <c r="X146" s="222">
        <f t="shared" si="379"/>
        <v>9.3585699263932787E-2</v>
      </c>
      <c r="Y146" s="275">
        <f t="shared" si="379"/>
        <v>0.14583333333333326</v>
      </c>
      <c r="Z146" s="252">
        <f t="shared" si="379"/>
        <v>0.14893617021276606</v>
      </c>
      <c r="AA146" s="252">
        <f t="shared" si="379"/>
        <v>0.10416666666666674</v>
      </c>
      <c r="AB146" s="276">
        <f t="shared" si="379"/>
        <v>-0.2153846153846154</v>
      </c>
      <c r="AC146" s="222">
        <f t="shared" si="379"/>
        <v>2.4038461538461453E-2</v>
      </c>
      <c r="AD146" s="275">
        <f t="shared" si="379"/>
        <v>9.0909090909090828E-2</v>
      </c>
      <c r="AE146" s="252">
        <f t="shared" si="379"/>
        <v>-1.851851851851849E-2</v>
      </c>
      <c r="AF146" s="252">
        <f t="shared" si="379"/>
        <v>3.7735849056603765E-2</v>
      </c>
      <c r="AG146" s="276">
        <f t="shared" si="379"/>
        <v>3.9215686274509887E-2</v>
      </c>
      <c r="AH146" s="222">
        <f t="shared" si="379"/>
        <v>3.7558685446009488E-2</v>
      </c>
      <c r="AI146" s="275">
        <f t="shared" si="379"/>
        <v>-5.0000000000000044E-2</v>
      </c>
      <c r="AJ146" s="252">
        <f t="shared" si="379"/>
        <v>1.8867924528301883E-2</v>
      </c>
      <c r="AK146" s="252">
        <f t="shared" si="379"/>
        <v>3.6363636363636376E-2</v>
      </c>
      <c r="AL146" s="276">
        <f t="shared" si="379"/>
        <v>5.6603773584905648E-2</v>
      </c>
      <c r="AM146" s="222">
        <f>+AM145/AH145-1</f>
        <v>1.3574660633484115E-2</v>
      </c>
      <c r="AN146" s="275">
        <f t="shared" si="379"/>
        <v>1.7543859649122862E-2</v>
      </c>
      <c r="AO146" s="252">
        <f t="shared" si="379"/>
        <v>1.8518518518518601E-2</v>
      </c>
      <c r="AP146" s="252">
        <f t="shared" si="379"/>
        <v>1.7543859649122862E-2</v>
      </c>
      <c r="AQ146" s="276">
        <f t="shared" ref="AQ146" si="380">+AQ145/AL145-1</f>
        <v>3.5714285714285809E-2</v>
      </c>
      <c r="AR146" s="222">
        <f>+AR145/AM145-1</f>
        <v>2.2321428571428603E-2</v>
      </c>
      <c r="AS146" s="275">
        <f t="shared" ref="AS146:AT146" si="381">+AS145/AN145-1</f>
        <v>6.8965517241379226E-2</v>
      </c>
      <c r="AT146" s="252">
        <f t="shared" si="381"/>
        <v>1.8181818181818077E-2</v>
      </c>
      <c r="AU146" s="252">
        <f t="shared" ref="AU146" si="382">+AU145/AP145-1</f>
        <v>5.1724137931034475E-2</v>
      </c>
      <c r="AV146" s="276">
        <f t="shared" ref="AV146" si="383">+AV145/AQ145-1</f>
        <v>5.1724137931034475E-2</v>
      </c>
      <c r="AW146" s="222">
        <f>+AW145/AR145-1</f>
        <v>4.8034934497816595E-2</v>
      </c>
      <c r="AX146" s="275">
        <f>+AX58</f>
        <v>0.02</v>
      </c>
      <c r="AY146" s="252">
        <f>+AY58</f>
        <v>0.02</v>
      </c>
      <c r="AZ146" s="252">
        <f>+AZ58</f>
        <v>0.02</v>
      </c>
      <c r="BA146" s="276">
        <f>+BA58</f>
        <v>0.02</v>
      </c>
      <c r="BB146" s="222">
        <f>+BB145/AW145-1</f>
        <v>2.0000000000000018E-2</v>
      </c>
      <c r="BC146" s="275">
        <f>+BC58</f>
        <v>0.02</v>
      </c>
      <c r="BD146" s="252">
        <f>+BD58</f>
        <v>0.02</v>
      </c>
      <c r="BE146" s="252">
        <f>+BE58</f>
        <v>0.02</v>
      </c>
      <c r="BF146" s="276">
        <f>+BF58</f>
        <v>0.02</v>
      </c>
      <c r="BG146" s="222">
        <f>+BG145/BB145-1</f>
        <v>2.0000000000000018E-2</v>
      </c>
      <c r="BH146" s="275">
        <f>+BH58</f>
        <v>0.02</v>
      </c>
      <c r="BI146" s="252">
        <f>+BI58</f>
        <v>0.02</v>
      </c>
      <c r="BJ146" s="252">
        <f>+BJ58</f>
        <v>0.02</v>
      </c>
      <c r="BK146" s="276">
        <f>+BK58</f>
        <v>0.02</v>
      </c>
      <c r="BL146" s="222">
        <f>+BL145/BG145-1</f>
        <v>1.9999999999999796E-2</v>
      </c>
      <c r="BM146" s="275">
        <f>+BM58</f>
        <v>0.02</v>
      </c>
      <c r="BN146" s="252">
        <f>+BN58</f>
        <v>0.02</v>
      </c>
      <c r="BO146" s="252">
        <f>+BO58</f>
        <v>0.02</v>
      </c>
      <c r="BP146" s="276">
        <f>+BP58</f>
        <v>0.02</v>
      </c>
      <c r="BQ146" s="222">
        <f>+BQ145/BL145-1</f>
        <v>2.0000000000000018E-2</v>
      </c>
      <c r="BR146" s="223"/>
      <c r="BS146" s="223"/>
      <c r="BT146" s="223"/>
      <c r="BU146" s="223"/>
      <c r="BV146" s="223"/>
      <c r="BW146" s="223"/>
      <c r="BX146" s="223"/>
      <c r="BY146" s="223"/>
      <c r="BZ146" s="223"/>
      <c r="CA146" s="223"/>
      <c r="CB146" s="223"/>
      <c r="CC146" s="223"/>
      <c r="CD146" s="223"/>
      <c r="CE146" s="223"/>
      <c r="CF146" s="223"/>
      <c r="CG146" s="223"/>
      <c r="CH146" s="223"/>
      <c r="CI146" s="223"/>
      <c r="CJ146" s="223"/>
      <c r="CK146" s="223"/>
      <c r="CL146" s="223"/>
      <c r="CM146" s="223"/>
      <c r="CN146" s="223"/>
      <c r="CO146" s="223"/>
      <c r="CP146" s="223"/>
      <c r="CQ146" s="223"/>
      <c r="CR146" s="223"/>
      <c r="CS146" s="223"/>
      <c r="CT146" s="223"/>
      <c r="CU146" s="223"/>
    </row>
    <row r="147" spans="1:99">
      <c r="A147" s="28"/>
      <c r="B147" s="28"/>
      <c r="C147" s="28"/>
      <c r="D147" s="28"/>
      <c r="E147" s="415"/>
      <c r="F147" s="242"/>
      <c r="G147" s="242"/>
      <c r="H147" s="416"/>
      <c r="I147" s="23"/>
      <c r="J147" s="415"/>
      <c r="K147" s="242"/>
      <c r="L147" s="242"/>
      <c r="M147" s="416"/>
      <c r="N147" s="23"/>
      <c r="O147" s="415"/>
      <c r="P147" s="242"/>
      <c r="Q147" s="242"/>
      <c r="R147" s="416"/>
      <c r="S147" s="23"/>
      <c r="T147" s="415"/>
      <c r="U147" s="242"/>
      <c r="V147" s="242"/>
      <c r="W147" s="416"/>
      <c r="X147" s="23"/>
      <c r="Y147" s="415"/>
      <c r="Z147" s="242"/>
      <c r="AA147" s="242"/>
      <c r="AB147" s="416"/>
      <c r="AC147" s="23"/>
      <c r="AD147" s="415"/>
      <c r="AE147" s="242"/>
      <c r="AF147" s="242"/>
      <c r="AG147" s="416"/>
      <c r="AH147" s="23"/>
      <c r="AI147" s="415"/>
      <c r="AJ147" s="242"/>
      <c r="AK147" s="242"/>
      <c r="AL147" s="416"/>
      <c r="AM147" s="23"/>
      <c r="AN147" s="415"/>
      <c r="AO147" s="242"/>
      <c r="AP147" s="242"/>
      <c r="AQ147" s="416"/>
      <c r="AR147" s="23"/>
      <c r="AS147" s="415"/>
      <c r="AT147" s="242"/>
      <c r="AU147" s="242"/>
      <c r="AV147" s="416"/>
      <c r="AW147" s="23"/>
      <c r="AX147" s="415"/>
      <c r="AY147" s="242"/>
      <c r="AZ147" s="242"/>
      <c r="BA147" s="416"/>
      <c r="BB147" s="23"/>
      <c r="BC147" s="415"/>
      <c r="BD147" s="242"/>
      <c r="BE147" s="242"/>
      <c r="BF147" s="416"/>
      <c r="BG147" s="23"/>
      <c r="BH147" s="415"/>
      <c r="BI147" s="242"/>
      <c r="BJ147" s="242"/>
      <c r="BK147" s="416"/>
      <c r="BL147" s="23"/>
      <c r="BM147" s="415"/>
      <c r="BN147" s="242"/>
      <c r="BO147" s="242"/>
      <c r="BP147" s="416"/>
      <c r="BQ147" s="23"/>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row>
    <row r="148" spans="1:99">
      <c r="A148" s="28"/>
      <c r="B148" s="28"/>
      <c r="C148" s="28"/>
      <c r="D148" s="28"/>
      <c r="E148" s="415"/>
      <c r="F148" s="242"/>
      <c r="G148" s="242"/>
      <c r="H148" s="416"/>
      <c r="I148" s="23"/>
      <c r="J148" s="415"/>
      <c r="K148" s="242"/>
      <c r="L148" s="242"/>
      <c r="M148" s="416"/>
      <c r="N148" s="23"/>
      <c r="O148" s="415"/>
      <c r="P148" s="242"/>
      <c r="Q148" s="242"/>
      <c r="R148" s="416"/>
      <c r="S148" s="23"/>
      <c r="T148" s="415"/>
      <c r="U148" s="242"/>
      <c r="V148" s="242"/>
      <c r="W148" s="416"/>
      <c r="X148" s="23"/>
      <c r="Y148" s="415"/>
      <c r="Z148" s="242"/>
      <c r="AA148" s="242"/>
      <c r="AB148" s="416"/>
      <c r="AC148" s="23"/>
      <c r="AD148" s="415"/>
      <c r="AE148" s="242"/>
      <c r="AF148" s="242"/>
      <c r="AG148" s="416"/>
      <c r="AH148" s="23"/>
      <c r="AI148" s="415"/>
      <c r="AJ148" s="242"/>
      <c r="AK148" s="242"/>
      <c r="AL148" s="416"/>
      <c r="AM148" s="23"/>
      <c r="AN148" s="415"/>
      <c r="AO148" s="242"/>
      <c r="AP148" s="242"/>
      <c r="AQ148" s="416"/>
      <c r="AR148" s="23"/>
      <c r="AS148" s="415"/>
      <c r="AT148" s="242"/>
      <c r="AU148" s="242"/>
      <c r="AV148" s="416"/>
      <c r="AW148" s="23"/>
      <c r="AX148" s="415"/>
      <c r="AY148" s="242"/>
      <c r="AZ148" s="242"/>
      <c r="BA148" s="416"/>
      <c r="BB148" s="23"/>
      <c r="BC148" s="415"/>
      <c r="BD148" s="242"/>
      <c r="BE148" s="242"/>
      <c r="BF148" s="416"/>
      <c r="BG148" s="23"/>
      <c r="BH148" s="415"/>
      <c r="BI148" s="242"/>
      <c r="BJ148" s="242"/>
      <c r="BK148" s="416"/>
      <c r="BL148" s="23"/>
      <c r="BM148" s="415"/>
      <c r="BN148" s="242"/>
      <c r="BO148" s="242"/>
      <c r="BP148" s="416"/>
      <c r="BQ148" s="23"/>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row>
    <row r="149" spans="1:99">
      <c r="A149" s="28"/>
      <c r="B149" s="73" t="s">
        <v>273</v>
      </c>
      <c r="C149" s="246"/>
      <c r="D149" s="15"/>
      <c r="E149" s="415"/>
      <c r="F149" s="242"/>
      <c r="G149" s="242"/>
      <c r="H149" s="416"/>
      <c r="I149" s="23"/>
      <c r="J149" s="415"/>
      <c r="K149" s="242"/>
      <c r="L149" s="242"/>
      <c r="M149" s="416"/>
      <c r="N149" s="23"/>
      <c r="O149" s="415"/>
      <c r="P149" s="242"/>
      <c r="Q149" s="242"/>
      <c r="R149" s="416"/>
      <c r="S149" s="23"/>
      <c r="T149" s="415"/>
      <c r="U149" s="242"/>
      <c r="V149" s="242"/>
      <c r="W149" s="416"/>
      <c r="X149" s="23"/>
      <c r="Y149" s="415"/>
      <c r="Z149" s="242"/>
      <c r="AA149" s="242"/>
      <c r="AB149" s="416"/>
      <c r="AC149" s="23"/>
      <c r="AD149" s="415"/>
      <c r="AE149" s="242"/>
      <c r="AF149" s="242"/>
      <c r="AG149" s="416"/>
      <c r="AH149" s="23"/>
      <c r="AI149" s="415"/>
      <c r="AJ149" s="242"/>
      <c r="AK149" s="242"/>
      <c r="AL149" s="416"/>
      <c r="AM149" s="23"/>
      <c r="AN149" s="415"/>
      <c r="AO149" s="242"/>
      <c r="AP149" s="242"/>
      <c r="AQ149" s="416"/>
      <c r="AR149" s="23"/>
      <c r="AS149" s="415"/>
      <c r="AT149" s="242"/>
      <c r="AU149" s="242"/>
      <c r="AV149" s="416"/>
      <c r="AW149" s="23"/>
      <c r="AX149" s="415"/>
      <c r="AY149" s="242"/>
      <c r="AZ149" s="242"/>
      <c r="BA149" s="416"/>
      <c r="BB149" s="23"/>
      <c r="BC149" s="415"/>
      <c r="BD149" s="242"/>
      <c r="BE149" s="242"/>
      <c r="BF149" s="416"/>
      <c r="BG149" s="23"/>
      <c r="BH149" s="415"/>
      <c r="BI149" s="242"/>
      <c r="BJ149" s="242"/>
      <c r="BK149" s="416"/>
      <c r="BL149" s="23"/>
      <c r="BM149" s="415"/>
      <c r="BN149" s="242"/>
      <c r="BO149" s="242"/>
      <c r="BP149" s="416"/>
      <c r="BQ149" s="23"/>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row>
    <row r="150" spans="1:99">
      <c r="A150" s="45"/>
      <c r="B150" s="45"/>
      <c r="C150" s="383" t="s">
        <v>184</v>
      </c>
      <c r="D150" s="45"/>
      <c r="E150" s="335">
        <f>6237.3+2.3</f>
        <v>6239.6</v>
      </c>
      <c r="F150" s="336">
        <f>6330.9+2.3</f>
        <v>6333.2</v>
      </c>
      <c r="G150" s="336">
        <f>6396.1+2.3</f>
        <v>6398.4000000000005</v>
      </c>
      <c r="H150" s="586">
        <f>I150</f>
        <v>6534.4</v>
      </c>
      <c r="I150" s="427">
        <f>6532+2.4</f>
        <v>6534.4</v>
      </c>
      <c r="J150" s="335">
        <f>6581+3.7</f>
        <v>6584.7</v>
      </c>
      <c r="K150" s="336">
        <f>6659.7+6.6</f>
        <v>6666.3</v>
      </c>
      <c r="L150" s="336">
        <f>6802.2+6.1</f>
        <v>6808.3</v>
      </c>
      <c r="M150" s="586">
        <f>N150</f>
        <v>6968.8</v>
      </c>
      <c r="N150" s="427">
        <f>6958.7+10.1</f>
        <v>6968.8</v>
      </c>
      <c r="O150" s="335">
        <f>7042.6+10.1</f>
        <v>7052.7000000000007</v>
      </c>
      <c r="P150" s="336">
        <f>7077.7+10.2</f>
        <v>7087.9</v>
      </c>
      <c r="Q150" s="336">
        <f>7148+11.2</f>
        <v>7159.2</v>
      </c>
      <c r="R150" s="586">
        <f>S150</f>
        <v>7296.6</v>
      </c>
      <c r="S150" s="427">
        <f>7284.5+12.1</f>
        <v>7296.6</v>
      </c>
      <c r="T150" s="335">
        <f>5211+T151-T154</f>
        <v>7526</v>
      </c>
      <c r="U150" s="336">
        <f>5960+U151-U154</f>
        <v>8316</v>
      </c>
      <c r="V150" s="336">
        <f>5378+V151-V154</f>
        <v>7764</v>
      </c>
      <c r="W150" s="586">
        <f>V150+W167-(W154-V154)</f>
        <v>7944</v>
      </c>
      <c r="X150" s="427">
        <f>5498+X151-X154</f>
        <v>7900</v>
      </c>
      <c r="Y150" s="335">
        <f>5568+Y151-Y154</f>
        <v>7999</v>
      </c>
      <c r="Z150" s="336">
        <f>5637+Z151-Z154</f>
        <v>8097</v>
      </c>
      <c r="AA150" s="1435">
        <f>5713+AA151-AA154</f>
        <v>8175</v>
      </c>
      <c r="AB150" s="1436">
        <f>+AC150</f>
        <v>8370</v>
      </c>
      <c r="AC150" s="1437">
        <f>5864+AC151-AC154</f>
        <v>8370</v>
      </c>
      <c r="AD150" s="335">
        <f>5939+AD151-AD154</f>
        <v>8363</v>
      </c>
      <c r="AE150" s="336">
        <f>6030+AE151-AE154</f>
        <v>8494</v>
      </c>
      <c r="AF150" s="1435">
        <f>6126+AF151-AF154</f>
        <v>8634</v>
      </c>
      <c r="AG150" s="1436">
        <f>AF150+AG167-(AG154-AF154)</f>
        <v>8796</v>
      </c>
      <c r="AH150" s="1437">
        <f>6204+AH151-AH154</f>
        <v>8755</v>
      </c>
      <c r="AI150" s="335">
        <f>6280+AI151-AI154</f>
        <v>8873</v>
      </c>
      <c r="AJ150" s="336">
        <f>6373+AJ151-AJ154</f>
        <v>8989</v>
      </c>
      <c r="AK150" s="1435">
        <f>6459+AK151-AK154</f>
        <v>9109</v>
      </c>
      <c r="AL150" s="1436">
        <f>+AM150</f>
        <v>9301</v>
      </c>
      <c r="AM150" s="1437">
        <f>6597+AM151-AM154</f>
        <v>9301</v>
      </c>
      <c r="AN150" s="335">
        <f>6684+AN151-AN154</f>
        <v>9435</v>
      </c>
      <c r="AO150" s="336">
        <f>6747+AO151-AO154</f>
        <v>9590</v>
      </c>
      <c r="AP150" s="1435">
        <f>6904+AP151-AP154</f>
        <v>9784</v>
      </c>
      <c r="AQ150" s="1436">
        <f>+AR150</f>
        <v>9976</v>
      </c>
      <c r="AR150" s="1437">
        <f>7040+AR151-AR154</f>
        <v>9976</v>
      </c>
      <c r="AS150" s="335">
        <f>7166+AS151-AS154</f>
        <v>10110</v>
      </c>
      <c r="AT150" s="336">
        <f>7283+AT151-AT154</f>
        <v>10274</v>
      </c>
      <c r="AU150" s="336">
        <f>7418+AU151-AU154</f>
        <v>10402</v>
      </c>
      <c r="AV150" s="1436">
        <f>+AW150</f>
        <v>10640</v>
      </c>
      <c r="AW150" s="1437">
        <f>7602+AW151-AW154</f>
        <v>10640</v>
      </c>
      <c r="AX150" s="290">
        <f>AW150+AX167-(AX154-AW154)</f>
        <v>10845.052721088436</v>
      </c>
      <c r="AY150" s="260">
        <f>AX150+AY167-(AY154-AX154)</f>
        <v>11088.802721088436</v>
      </c>
      <c r="AZ150" s="260">
        <f>AY150+AZ167-(AZ154-AY154)</f>
        <v>11332.552721088436</v>
      </c>
      <c r="BA150" s="291">
        <f>AZ150+BA167-(BA154-AZ154)</f>
        <v>11576.302721088436</v>
      </c>
      <c r="BB150" s="45">
        <f>BA150</f>
        <v>11576.302721088436</v>
      </c>
      <c r="BC150" s="290">
        <f>BB150+BC167-(BC154-BB154)</f>
        <v>11795.137755102041</v>
      </c>
      <c r="BD150" s="260">
        <f>BC150+BD167-(BD154-BC154)</f>
        <v>12076.387755102041</v>
      </c>
      <c r="BE150" s="260">
        <f>BD150+BE167-(BE154-BD154)</f>
        <v>12357.637755102041</v>
      </c>
      <c r="BF150" s="291">
        <f>BE150+BF167-(BF154-BE154)</f>
        <v>12638.887755102041</v>
      </c>
      <c r="BG150" s="45">
        <f>BF150</f>
        <v>12638.887755102041</v>
      </c>
      <c r="BH150" s="290">
        <f>BG150+BH167-(BH154-BG154)</f>
        <v>12928.442743764173</v>
      </c>
      <c r="BI150" s="260">
        <f>BH150+BI167-(BI154-BH154)</f>
        <v>13197.192743764173</v>
      </c>
      <c r="BJ150" s="260">
        <f>BI150+BJ167-(BJ154-BI154)</f>
        <v>13465.942743764173</v>
      </c>
      <c r="BK150" s="291">
        <f>BJ150+BK167-(BK154-BJ154)</f>
        <v>13734.692743764173</v>
      </c>
      <c r="BL150" s="45">
        <f>BK150</f>
        <v>13734.692743764173</v>
      </c>
      <c r="BM150" s="290">
        <f>BL150+BM167-(BM154-BL154)</f>
        <v>14020.052721088436</v>
      </c>
      <c r="BN150" s="260">
        <f>BM150+BN167-(BN154-BM154)</f>
        <v>14263.802721088436</v>
      </c>
      <c r="BO150" s="260">
        <f>BN150+BO167-(BO154-BN154)</f>
        <v>14507.552721088436</v>
      </c>
      <c r="BP150" s="291">
        <f>BO150+BP167-(BP154-BO154)</f>
        <v>14751.302721088436</v>
      </c>
      <c r="BQ150" s="45">
        <f>BP150</f>
        <v>14751.302721088436</v>
      </c>
      <c r="BR150" s="45"/>
      <c r="BS150" s="45"/>
      <c r="BT150" s="45"/>
      <c r="BU150" s="45"/>
      <c r="BV150" s="45"/>
      <c r="BW150" s="45"/>
      <c r="BX150" s="45"/>
      <c r="BY150" s="45"/>
      <c r="BZ150" s="45"/>
      <c r="CA150" s="45"/>
      <c r="CB150" s="45"/>
      <c r="CC150" s="45"/>
      <c r="CD150" s="45"/>
      <c r="CE150" s="45"/>
      <c r="CF150" s="45"/>
      <c r="CG150" s="45"/>
      <c r="CH150" s="45"/>
      <c r="CI150" s="45"/>
      <c r="CJ150" s="45"/>
      <c r="CK150" s="45"/>
      <c r="CL150" s="45"/>
      <c r="CM150" s="45"/>
      <c r="CN150" s="45"/>
      <c r="CO150" s="45"/>
      <c r="CP150" s="45"/>
      <c r="CQ150" s="45"/>
      <c r="CR150" s="45"/>
      <c r="CS150" s="45"/>
      <c r="CT150" s="45"/>
      <c r="CU150" s="45"/>
    </row>
    <row r="151" spans="1:99">
      <c r="A151" s="45"/>
      <c r="B151" s="45"/>
      <c r="C151" s="383" t="s">
        <v>396</v>
      </c>
      <c r="D151" s="45"/>
      <c r="E151" s="335">
        <v>2218.5</v>
      </c>
      <c r="F151" s="336">
        <v>2255.5</v>
      </c>
      <c r="G151" s="336">
        <v>2285.6999999999998</v>
      </c>
      <c r="H151" s="299">
        <f>I151</f>
        <v>2318.1999999999998</v>
      </c>
      <c r="I151" s="645">
        <v>2318.1999999999998</v>
      </c>
      <c r="J151" s="335">
        <v>2343.5</v>
      </c>
      <c r="K151" s="336">
        <v>2382.4</v>
      </c>
      <c r="L151" s="336">
        <v>2417.8000000000002</v>
      </c>
      <c r="M151" s="299">
        <f>N151</f>
        <v>2449.3000000000002</v>
      </c>
      <c r="N151" s="645">
        <v>2449.3000000000002</v>
      </c>
      <c r="O151" s="335">
        <v>2477.3000000000002</v>
      </c>
      <c r="P151" s="336">
        <v>2441.6999999999998</v>
      </c>
      <c r="Q151" s="336">
        <v>2462.6</v>
      </c>
      <c r="R151" s="299">
        <f>S151</f>
        <v>2464.8000000000002</v>
      </c>
      <c r="S151" s="645">
        <v>2464.8000000000002</v>
      </c>
      <c r="T151" s="335">
        <v>2508</v>
      </c>
      <c r="U151" s="336">
        <v>2549</v>
      </c>
      <c r="V151" s="336">
        <v>2579</v>
      </c>
      <c r="W151" s="299">
        <f>V151+W158</f>
        <v>2640</v>
      </c>
      <c r="X151" s="645">
        <v>2595</v>
      </c>
      <c r="Y151" s="335">
        <v>2627</v>
      </c>
      <c r="Z151" s="336">
        <v>2656</v>
      </c>
      <c r="AA151" s="1435">
        <v>2658</v>
      </c>
      <c r="AB151" s="1436">
        <f>+AC151</f>
        <v>2702</v>
      </c>
      <c r="AC151" s="1453">
        <v>2702</v>
      </c>
      <c r="AD151" s="335">
        <v>2741</v>
      </c>
      <c r="AE151" s="336">
        <v>2781</v>
      </c>
      <c r="AF151" s="1435">
        <v>2825</v>
      </c>
      <c r="AG151" s="1442">
        <f>AF151+AG158</f>
        <v>2898</v>
      </c>
      <c r="AH151" s="1453">
        <v>2868</v>
      </c>
      <c r="AI151" s="335">
        <v>2905</v>
      </c>
      <c r="AJ151" s="336">
        <v>2928</v>
      </c>
      <c r="AK151" s="1435">
        <v>2962</v>
      </c>
      <c r="AL151" s="1436">
        <f>+AM151</f>
        <v>3016</v>
      </c>
      <c r="AM151" s="1453">
        <v>3016</v>
      </c>
      <c r="AN151" s="335">
        <v>3069</v>
      </c>
      <c r="AO151" s="336">
        <v>3161</v>
      </c>
      <c r="AP151" s="1435">
        <v>3198</v>
      </c>
      <c r="AQ151" s="1436">
        <f>+AR151</f>
        <v>3254</v>
      </c>
      <c r="AR151" s="1453">
        <v>3254</v>
      </c>
      <c r="AS151" s="335">
        <v>3311</v>
      </c>
      <c r="AT151" s="336">
        <v>3358</v>
      </c>
      <c r="AU151" s="336">
        <v>3351</v>
      </c>
      <c r="AV151" s="1436">
        <f>+AW151</f>
        <v>3405</v>
      </c>
      <c r="AW151" s="1453">
        <v>3405</v>
      </c>
      <c r="AX151" s="290">
        <f>AW151+AX158</f>
        <v>3485.0174996500068</v>
      </c>
      <c r="AY151" s="260">
        <f>AX151+AY158</f>
        <v>3566.4178611918851</v>
      </c>
      <c r="AZ151" s="260">
        <f>AY151+AZ158</f>
        <v>3649.6137738240882</v>
      </c>
      <c r="BA151" s="291">
        <f>AZ151+BA158</f>
        <v>3734.5853791487252</v>
      </c>
      <c r="BB151" s="45">
        <f>BA151</f>
        <v>3734.5853791487252</v>
      </c>
      <c r="BC151" s="290">
        <f>BB151+BC158</f>
        <v>3821.3130383973935</v>
      </c>
      <c r="BD151" s="260">
        <f>BC151+BD158</f>
        <v>3909.5017759893949</v>
      </c>
      <c r="BE151" s="260">
        <f>BD151+BE158</f>
        <v>3999.8257284393317</v>
      </c>
      <c r="BF151" s="291">
        <f>BE151+BF158</f>
        <v>4092.2612807431751</v>
      </c>
      <c r="BG151" s="45">
        <f>BF151</f>
        <v>4092.2612807431751</v>
      </c>
      <c r="BH151" s="290">
        <f>BG151+BH158</f>
        <v>4186.7850790736175</v>
      </c>
      <c r="BI151" s="260">
        <f>BH151+BI158</f>
        <v>4283.465879229092</v>
      </c>
      <c r="BJ151" s="260">
        <f>BI151+BJ158</f>
        <v>4382.0497266739012</v>
      </c>
      <c r="BK151" s="291">
        <f>BJ151+BK158</f>
        <v>4482.5155741259705</v>
      </c>
      <c r="BL151" s="45">
        <f>BK151</f>
        <v>4482.5155741259705</v>
      </c>
      <c r="BM151" s="290">
        <f>BL151+BM158</f>
        <v>4584.8426070815103</v>
      </c>
      <c r="BN151" s="260">
        <f>BM151+BN158</f>
        <v>4689.1939439156904</v>
      </c>
      <c r="BO151" s="260">
        <f>BN151+BO158</f>
        <v>4795.086999130117</v>
      </c>
      <c r="BP151" s="291">
        <f>BO151+BP158</f>
        <v>4902.5047216605253</v>
      </c>
      <c r="BQ151" s="45">
        <f>BP151</f>
        <v>4902.5047216605253</v>
      </c>
      <c r="BR151" s="45"/>
      <c r="BS151" s="45"/>
      <c r="BT151" s="45"/>
      <c r="BU151" s="45"/>
      <c r="BV151" s="45"/>
      <c r="BW151" s="45"/>
      <c r="BX151" s="45"/>
      <c r="BY151" s="45"/>
      <c r="BZ151" s="45"/>
      <c r="CA151" s="45"/>
      <c r="CB151" s="45"/>
      <c r="CC151" s="45"/>
      <c r="CD151" s="45"/>
      <c r="CE151" s="45"/>
      <c r="CF151" s="45"/>
      <c r="CG151" s="45"/>
      <c r="CH151" s="45"/>
      <c r="CI151" s="45"/>
      <c r="CJ151" s="45"/>
      <c r="CK151" s="45"/>
      <c r="CL151" s="45"/>
      <c r="CM151" s="45"/>
      <c r="CN151" s="45"/>
      <c r="CO151" s="45"/>
      <c r="CP151" s="45"/>
      <c r="CQ151" s="45"/>
      <c r="CR151" s="45"/>
      <c r="CS151" s="45"/>
      <c r="CT151" s="45"/>
      <c r="CU151" s="45"/>
    </row>
    <row r="152" spans="1:99">
      <c r="A152" s="45"/>
      <c r="B152" s="45"/>
      <c r="C152" s="641" t="s">
        <v>142</v>
      </c>
      <c r="D152" s="45"/>
      <c r="E152" s="292">
        <f>E150-E151</f>
        <v>4021.1000000000004</v>
      </c>
      <c r="F152" s="261">
        <f>F150-F151</f>
        <v>4077.7</v>
      </c>
      <c r="G152" s="261">
        <f>G150-G151</f>
        <v>4112.7000000000007</v>
      </c>
      <c r="H152" s="293">
        <f>H150-H151</f>
        <v>4216.2</v>
      </c>
      <c r="I152" s="228">
        <f>I150-I151</f>
        <v>4216.2</v>
      </c>
      <c r="J152" s="292">
        <f t="shared" ref="J152:AE152" si="384">J150-J151</f>
        <v>4241.2</v>
      </c>
      <c r="K152" s="261">
        <f t="shared" si="384"/>
        <v>4283.8999999999996</v>
      </c>
      <c r="L152" s="261">
        <f t="shared" si="384"/>
        <v>4390.5</v>
      </c>
      <c r="M152" s="293">
        <f t="shared" si="384"/>
        <v>4519.5</v>
      </c>
      <c r="N152" s="228">
        <f t="shared" si="384"/>
        <v>4519.5</v>
      </c>
      <c r="O152" s="292">
        <f t="shared" si="384"/>
        <v>4575.4000000000005</v>
      </c>
      <c r="P152" s="261">
        <f t="shared" si="384"/>
        <v>4646.2</v>
      </c>
      <c r="Q152" s="261">
        <f t="shared" si="384"/>
        <v>4696.6000000000004</v>
      </c>
      <c r="R152" s="293">
        <f t="shared" si="384"/>
        <v>4831.8</v>
      </c>
      <c r="S152" s="228">
        <f t="shared" si="384"/>
        <v>4831.8</v>
      </c>
      <c r="T152" s="292">
        <f t="shared" si="384"/>
        <v>5018</v>
      </c>
      <c r="U152" s="261">
        <f t="shared" si="384"/>
        <v>5767</v>
      </c>
      <c r="V152" s="261">
        <f t="shared" si="384"/>
        <v>5185</v>
      </c>
      <c r="W152" s="293">
        <f t="shared" si="384"/>
        <v>5304</v>
      </c>
      <c r="X152" s="228">
        <f t="shared" si="384"/>
        <v>5305</v>
      </c>
      <c r="Y152" s="292">
        <f t="shared" si="384"/>
        <v>5372</v>
      </c>
      <c r="Z152" s="261">
        <f t="shared" si="384"/>
        <v>5441</v>
      </c>
      <c r="AA152" s="1438">
        <f t="shared" si="384"/>
        <v>5517</v>
      </c>
      <c r="AB152" s="1439">
        <f>AB150-AB151</f>
        <v>5668</v>
      </c>
      <c r="AC152" s="1440">
        <f>AC150-AC151</f>
        <v>5668</v>
      </c>
      <c r="AD152" s="292">
        <f t="shared" si="384"/>
        <v>5622</v>
      </c>
      <c r="AE152" s="261">
        <f t="shared" si="384"/>
        <v>5713</v>
      </c>
      <c r="AF152" s="1438">
        <f t="shared" ref="AF152" si="385">AF150-AF151</f>
        <v>5809</v>
      </c>
      <c r="AG152" s="1439">
        <f>AG150-AG151</f>
        <v>5898</v>
      </c>
      <c r="AH152" s="1440">
        <f>AH150-AH151</f>
        <v>5887</v>
      </c>
      <c r="AI152" s="292">
        <f t="shared" ref="AI152:AK152" si="386">AI150-AI151</f>
        <v>5968</v>
      </c>
      <c r="AJ152" s="261">
        <f t="shared" si="386"/>
        <v>6061</v>
      </c>
      <c r="AK152" s="1438">
        <f t="shared" si="386"/>
        <v>6147</v>
      </c>
      <c r="AL152" s="1439">
        <f>AL150-AL151</f>
        <v>6285</v>
      </c>
      <c r="AM152" s="1440">
        <f>AM150-AM151</f>
        <v>6285</v>
      </c>
      <c r="AN152" s="292">
        <f t="shared" ref="AN152:AP152" si="387">AN150-AN151</f>
        <v>6366</v>
      </c>
      <c r="AO152" s="261">
        <f t="shared" si="387"/>
        <v>6429</v>
      </c>
      <c r="AP152" s="1438">
        <f t="shared" si="387"/>
        <v>6586</v>
      </c>
      <c r="AQ152" s="1439">
        <f>AQ150-AQ151</f>
        <v>6722</v>
      </c>
      <c r="AR152" s="1440">
        <f>AR150-AR151</f>
        <v>6722</v>
      </c>
      <c r="AS152" s="292">
        <f t="shared" ref="AS152:AU152" si="388">AS150-AS151</f>
        <v>6799</v>
      </c>
      <c r="AT152" s="261">
        <f t="shared" si="388"/>
        <v>6916</v>
      </c>
      <c r="AU152" s="261">
        <f t="shared" si="388"/>
        <v>7051</v>
      </c>
      <c r="AV152" s="1439">
        <f>AV150-AV151</f>
        <v>7235</v>
      </c>
      <c r="AW152" s="1440">
        <f>AW150-AW151</f>
        <v>7235</v>
      </c>
      <c r="AX152" s="292">
        <f t="shared" ref="AX152:BB152" si="389">AX150-AX151</f>
        <v>7360.0352214384293</v>
      </c>
      <c r="AY152" s="261">
        <f t="shared" si="389"/>
        <v>7522.3848598965506</v>
      </c>
      <c r="AZ152" s="261">
        <f t="shared" si="389"/>
        <v>7682.938947264347</v>
      </c>
      <c r="BA152" s="293">
        <f t="shared" si="389"/>
        <v>7841.7173419397104</v>
      </c>
      <c r="BB152" s="228">
        <f t="shared" si="389"/>
        <v>7841.7173419397104</v>
      </c>
      <c r="BC152" s="292">
        <f t="shared" ref="BC152:BL152" si="390">BC150-BC151</f>
        <v>7973.8247167046484</v>
      </c>
      <c r="BD152" s="261">
        <f t="shared" si="390"/>
        <v>8166.885979112647</v>
      </c>
      <c r="BE152" s="261">
        <f t="shared" si="390"/>
        <v>8357.8120266627102</v>
      </c>
      <c r="BF152" s="293">
        <f t="shared" si="390"/>
        <v>8546.6264743588654</v>
      </c>
      <c r="BG152" s="228">
        <f t="shared" si="390"/>
        <v>8546.6264743588654</v>
      </c>
      <c r="BH152" s="292">
        <f t="shared" si="390"/>
        <v>8741.657664690556</v>
      </c>
      <c r="BI152" s="261">
        <f t="shared" si="390"/>
        <v>8913.7268645350814</v>
      </c>
      <c r="BJ152" s="261">
        <f t="shared" si="390"/>
        <v>9083.8930170902713</v>
      </c>
      <c r="BK152" s="293">
        <f t="shared" si="390"/>
        <v>9252.177169638202</v>
      </c>
      <c r="BL152" s="228">
        <f t="shared" si="390"/>
        <v>9252.177169638202</v>
      </c>
      <c r="BM152" s="292">
        <f t="shared" ref="BM152:BQ152" si="391">BM150-BM151</f>
        <v>9435.2101140069244</v>
      </c>
      <c r="BN152" s="261">
        <f t="shared" si="391"/>
        <v>9574.6087771727452</v>
      </c>
      <c r="BO152" s="261">
        <f t="shared" si="391"/>
        <v>9712.4657219583187</v>
      </c>
      <c r="BP152" s="293">
        <f t="shared" si="391"/>
        <v>9848.7979994279103</v>
      </c>
      <c r="BQ152" s="228">
        <f t="shared" si="391"/>
        <v>9848.7979994279103</v>
      </c>
      <c r="BR152" s="45"/>
      <c r="BS152" s="45"/>
      <c r="BT152" s="45"/>
      <c r="BU152" s="45"/>
      <c r="BV152" s="45"/>
      <c r="BW152" s="45"/>
      <c r="BX152" s="45"/>
      <c r="BY152" s="45"/>
      <c r="BZ152" s="45"/>
      <c r="CA152" s="45"/>
      <c r="CB152" s="45"/>
      <c r="CC152" s="45"/>
      <c r="CD152" s="45"/>
      <c r="CE152" s="45"/>
      <c r="CF152" s="45"/>
      <c r="CG152" s="45"/>
      <c r="CH152" s="45"/>
      <c r="CI152" s="45"/>
      <c r="CJ152" s="45"/>
      <c r="CK152" s="45"/>
      <c r="CL152" s="45"/>
      <c r="CM152" s="45"/>
      <c r="CN152" s="45"/>
      <c r="CO152" s="45"/>
      <c r="CP152" s="45"/>
      <c r="CQ152" s="45"/>
      <c r="CR152" s="45"/>
      <c r="CS152" s="45"/>
      <c r="CT152" s="45"/>
      <c r="CU152" s="45"/>
    </row>
    <row r="153" spans="1:99">
      <c r="A153" s="45"/>
      <c r="B153" s="45"/>
      <c r="C153" s="383"/>
      <c r="D153" s="45"/>
      <c r="E153" s="335"/>
      <c r="F153" s="336"/>
      <c r="G153" s="336"/>
      <c r="H153" s="299"/>
      <c r="I153" s="645"/>
      <c r="J153" s="335"/>
      <c r="K153" s="336"/>
      <c r="L153" s="336"/>
      <c r="M153" s="299"/>
      <c r="N153" s="645"/>
      <c r="O153" s="335"/>
      <c r="P153" s="336"/>
      <c r="Q153" s="646"/>
      <c r="R153" s="299"/>
      <c r="S153" s="645"/>
      <c r="T153" s="335"/>
      <c r="U153" s="336"/>
      <c r="V153" s="646"/>
      <c r="W153" s="299"/>
      <c r="X153" s="645"/>
      <c r="Y153" s="648"/>
      <c r="Z153" s="336"/>
      <c r="AA153" s="1435"/>
      <c r="AB153" s="1442"/>
      <c r="AC153" s="1453"/>
      <c r="AD153" s="648"/>
      <c r="AE153" s="336"/>
      <c r="AF153" s="1435"/>
      <c r="AG153" s="1442"/>
      <c r="AH153" s="1453"/>
      <c r="AI153" s="648"/>
      <c r="AJ153" s="336"/>
      <c r="AK153" s="1435"/>
      <c r="AL153" s="1442"/>
      <c r="AM153" s="1453"/>
      <c r="AN153" s="648"/>
      <c r="AO153" s="336"/>
      <c r="AP153" s="1435"/>
      <c r="AQ153" s="1442"/>
      <c r="AR153" s="1453"/>
      <c r="AS153" s="648"/>
      <c r="AT153" s="336"/>
      <c r="AU153" s="646"/>
      <c r="AV153" s="1442"/>
      <c r="AW153" s="1453"/>
      <c r="AX153" s="648"/>
      <c r="AY153" s="646"/>
      <c r="AZ153" s="646"/>
      <c r="BA153" s="586"/>
      <c r="BB153" s="647"/>
      <c r="BC153" s="648"/>
      <c r="BD153" s="646"/>
      <c r="BE153" s="646"/>
      <c r="BF153" s="586"/>
      <c r="BG153" s="647"/>
      <c r="BH153" s="648"/>
      <c r="BI153" s="646"/>
      <c r="BJ153" s="646"/>
      <c r="BK153" s="586"/>
      <c r="BL153" s="647"/>
      <c r="BM153" s="648"/>
      <c r="BN153" s="646"/>
      <c r="BO153" s="646"/>
      <c r="BP153" s="586"/>
      <c r="BQ153" s="647"/>
      <c r="BR153" s="45"/>
      <c r="BS153" s="45"/>
      <c r="BT153" s="45"/>
      <c r="BU153" s="45"/>
      <c r="BV153" s="45"/>
      <c r="BW153" s="45"/>
      <c r="BX153" s="45"/>
      <c r="BY153" s="45"/>
      <c r="BZ153" s="45"/>
      <c r="CA153" s="45"/>
      <c r="CB153" s="45"/>
      <c r="CC153" s="45"/>
      <c r="CD153" s="45"/>
      <c r="CE153" s="45"/>
      <c r="CF153" s="45"/>
      <c r="CG153" s="45"/>
      <c r="CH153" s="45"/>
      <c r="CI153" s="45"/>
      <c r="CJ153" s="45"/>
      <c r="CK153" s="45"/>
      <c r="CL153" s="45"/>
      <c r="CM153" s="45"/>
      <c r="CN153" s="45"/>
      <c r="CO153" s="45"/>
      <c r="CP153" s="45"/>
      <c r="CQ153" s="45"/>
      <c r="CR153" s="45"/>
      <c r="CS153" s="45"/>
      <c r="CT153" s="45"/>
      <c r="CU153" s="45"/>
    </row>
    <row r="154" spans="1:99" s="232" customFormat="1">
      <c r="A154" s="45"/>
      <c r="B154" s="45"/>
      <c r="C154" s="383" t="s">
        <v>476</v>
      </c>
      <c r="D154" s="45"/>
      <c r="E154" s="335">
        <v>244.1</v>
      </c>
      <c r="F154" s="336">
        <v>232.3</v>
      </c>
      <c r="G154" s="336">
        <v>253.3</v>
      </c>
      <c r="H154" s="291">
        <f>I154</f>
        <v>215.5</v>
      </c>
      <c r="I154" s="645">
        <v>215.5</v>
      </c>
      <c r="J154" s="335">
        <v>232.7</v>
      </c>
      <c r="K154" s="336">
        <v>249</v>
      </c>
      <c r="L154" s="336">
        <v>231.9</v>
      </c>
      <c r="M154" s="291">
        <f>N154</f>
        <v>232.9</v>
      </c>
      <c r="N154" s="645">
        <v>232.9</v>
      </c>
      <c r="O154" s="335">
        <v>267.3</v>
      </c>
      <c r="P154" s="336">
        <v>290.8</v>
      </c>
      <c r="Q154" s="336">
        <v>352.8</v>
      </c>
      <c r="R154" s="291">
        <f>S154</f>
        <v>298.39999999999998</v>
      </c>
      <c r="S154" s="645">
        <v>298.39999999999998</v>
      </c>
      <c r="T154" s="290">
        <f>U154</f>
        <v>193</v>
      </c>
      <c r="U154" s="1313">
        <f>V154</f>
        <v>193</v>
      </c>
      <c r="V154" s="260">
        <f>W154</f>
        <v>193</v>
      </c>
      <c r="W154" s="291">
        <f>X154</f>
        <v>193</v>
      </c>
      <c r="X154" s="645">
        <v>193</v>
      </c>
      <c r="Y154" s="648">
        <f>+AC154</f>
        <v>196</v>
      </c>
      <c r="Z154" s="1313">
        <f>+Y154</f>
        <v>196</v>
      </c>
      <c r="AA154" s="1491">
        <f>+Z154</f>
        <v>196</v>
      </c>
      <c r="AB154" s="1442">
        <f>+AA154</f>
        <v>196</v>
      </c>
      <c r="AC154" s="1453">
        <v>196</v>
      </c>
      <c r="AD154" s="648">
        <f>+AH154</f>
        <v>317</v>
      </c>
      <c r="AE154" s="1313">
        <f>+AD154</f>
        <v>317</v>
      </c>
      <c r="AF154" s="1491">
        <f>+AE154</f>
        <v>317</v>
      </c>
      <c r="AG154" s="1442">
        <f>+AF154</f>
        <v>317</v>
      </c>
      <c r="AH154" s="1453">
        <v>317</v>
      </c>
      <c r="AI154" s="648">
        <f>+AM154</f>
        <v>312</v>
      </c>
      <c r="AJ154" s="1313">
        <f>+AI154</f>
        <v>312</v>
      </c>
      <c r="AK154" s="1491">
        <f>+AJ154</f>
        <v>312</v>
      </c>
      <c r="AL154" s="1442">
        <f>+AK154</f>
        <v>312</v>
      </c>
      <c r="AM154" s="1453">
        <v>312</v>
      </c>
      <c r="AN154" s="648">
        <f>+AR154</f>
        <v>318</v>
      </c>
      <c r="AO154" s="1313">
        <f>+AN154</f>
        <v>318</v>
      </c>
      <c r="AP154" s="1491">
        <f>+AO154</f>
        <v>318</v>
      </c>
      <c r="AQ154" s="1442">
        <f>+AP154</f>
        <v>318</v>
      </c>
      <c r="AR154" s="1453">
        <v>318</v>
      </c>
      <c r="AS154" s="648">
        <f>+AW154</f>
        <v>367</v>
      </c>
      <c r="AT154" s="1313">
        <f>+AS154</f>
        <v>367</v>
      </c>
      <c r="AU154" s="1313">
        <f>+AT154</f>
        <v>367</v>
      </c>
      <c r="AV154" s="1442">
        <f>+AU154</f>
        <v>367</v>
      </c>
      <c r="AW154" s="1453">
        <v>367</v>
      </c>
      <c r="AX154" s="648">
        <f>AX161*BB167</f>
        <v>405.69727891156458</v>
      </c>
      <c r="AY154" s="649">
        <f>AY161*BB167</f>
        <v>405.69727891156458</v>
      </c>
      <c r="AZ154" s="649">
        <f>AZ161*BB167</f>
        <v>405.69727891156458</v>
      </c>
      <c r="BA154" s="586">
        <f>+BA161*BB167</f>
        <v>405.69727891156458</v>
      </c>
      <c r="BB154" s="590">
        <f>BA154</f>
        <v>405.69727891156458</v>
      </c>
      <c r="BC154" s="648">
        <f>BC161*BG167</f>
        <v>468.11224489795916</v>
      </c>
      <c r="BD154" s="649">
        <f>BD161*BG167</f>
        <v>468.11224489795916</v>
      </c>
      <c r="BE154" s="649">
        <f>BE161*BG167</f>
        <v>468.11224489795916</v>
      </c>
      <c r="BF154" s="586">
        <f>+BF161*BG167</f>
        <v>468.11224489795916</v>
      </c>
      <c r="BG154" s="590">
        <f>BF154</f>
        <v>468.11224489795916</v>
      </c>
      <c r="BH154" s="648">
        <f>BH161*BL167</f>
        <v>447.30725623582765</v>
      </c>
      <c r="BI154" s="649">
        <f>BI161*BL167</f>
        <v>447.30725623582765</v>
      </c>
      <c r="BJ154" s="649">
        <f>BJ161*BL167</f>
        <v>447.30725623582765</v>
      </c>
      <c r="BK154" s="586">
        <f>+BK161*BL167</f>
        <v>447.30725623582765</v>
      </c>
      <c r="BL154" s="590">
        <f>BK154</f>
        <v>447.30725623582765</v>
      </c>
      <c r="BM154" s="648">
        <f>BM161*BQ167</f>
        <v>405.69727891156458</v>
      </c>
      <c r="BN154" s="649">
        <f>BN161*BQ167</f>
        <v>405.69727891156458</v>
      </c>
      <c r="BO154" s="649">
        <f>BO161*BQ167</f>
        <v>405.69727891156458</v>
      </c>
      <c r="BP154" s="586">
        <f>+BP161*BQ167</f>
        <v>405.69727891156458</v>
      </c>
      <c r="BQ154" s="590">
        <f>BP154</f>
        <v>405.69727891156458</v>
      </c>
      <c r="BR154" s="45"/>
      <c r="BS154" s="45"/>
      <c r="BT154" s="45"/>
      <c r="BU154" s="45"/>
      <c r="BV154" s="45"/>
      <c r="BW154" s="45"/>
      <c r="BX154" s="45"/>
      <c r="BY154" s="45"/>
      <c r="BZ154" s="45"/>
      <c r="CA154" s="45"/>
      <c r="CB154" s="45"/>
      <c r="CC154" s="45"/>
      <c r="CD154" s="45"/>
      <c r="CE154" s="45"/>
      <c r="CF154" s="45"/>
      <c r="CG154" s="45"/>
      <c r="CH154" s="45"/>
      <c r="CI154" s="45"/>
      <c r="CJ154" s="45"/>
      <c r="CK154" s="45"/>
      <c r="CL154" s="45"/>
      <c r="CM154" s="45"/>
      <c r="CN154" s="45"/>
      <c r="CO154" s="45"/>
      <c r="CP154" s="45"/>
      <c r="CQ154" s="45"/>
      <c r="CR154" s="45"/>
      <c r="CS154" s="45"/>
      <c r="CT154" s="45"/>
      <c r="CU154" s="45"/>
    </row>
    <row r="155" spans="1:99">
      <c r="A155" s="228"/>
      <c r="B155" s="228"/>
      <c r="C155" s="641"/>
      <c r="D155" s="228"/>
      <c r="E155" s="585"/>
      <c r="F155" s="343"/>
      <c r="G155" s="343"/>
      <c r="H155" s="293"/>
      <c r="I155" s="650"/>
      <c r="J155" s="585"/>
      <c r="K155" s="343"/>
      <c r="L155" s="343"/>
      <c r="M155" s="293"/>
      <c r="N155" s="650"/>
      <c r="O155" s="585"/>
      <c r="P155" s="343"/>
      <c r="Q155" s="581"/>
      <c r="R155" s="582"/>
      <c r="S155" s="583"/>
      <c r="T155" s="585"/>
      <c r="U155" s="343"/>
      <c r="V155" s="581"/>
      <c r="W155" s="582"/>
      <c r="X155" s="583"/>
      <c r="Y155" s="580"/>
      <c r="Z155" s="343"/>
      <c r="AA155" s="1462"/>
      <c r="AB155" s="1463"/>
      <c r="AC155" s="1464"/>
      <c r="AD155" s="580"/>
      <c r="AE155" s="343"/>
      <c r="AF155" s="1462"/>
      <c r="AG155" s="1463"/>
      <c r="AH155" s="1464"/>
      <c r="AI155" s="580"/>
      <c r="AJ155" s="343"/>
      <c r="AK155" s="1462"/>
      <c r="AL155" s="1463"/>
      <c r="AM155" s="1464"/>
      <c r="AN155" s="580"/>
      <c r="AO155" s="343"/>
      <c r="AP155" s="1462"/>
      <c r="AQ155" s="1463"/>
      <c r="AR155" s="1464"/>
      <c r="AS155" s="580"/>
      <c r="AT155" s="343"/>
      <c r="AU155" s="581"/>
      <c r="AV155" s="1463"/>
      <c r="AW155" s="1464"/>
      <c r="AX155" s="580"/>
      <c r="AY155" s="581"/>
      <c r="AZ155" s="581"/>
      <c r="BA155" s="582"/>
      <c r="BB155" s="583"/>
      <c r="BC155" s="580"/>
      <c r="BD155" s="581"/>
      <c r="BE155" s="581"/>
      <c r="BF155" s="582"/>
      <c r="BG155" s="583"/>
      <c r="BH155" s="580"/>
      <c r="BI155" s="581"/>
      <c r="BJ155" s="581"/>
      <c r="BK155" s="582"/>
      <c r="BL155" s="583"/>
      <c r="BM155" s="580"/>
      <c r="BN155" s="581"/>
      <c r="BO155" s="581"/>
      <c r="BP155" s="582"/>
      <c r="BQ155" s="583"/>
      <c r="BR155" s="228"/>
      <c r="BS155" s="228"/>
      <c r="BT155" s="228"/>
      <c r="BU155" s="228"/>
      <c r="BV155" s="228"/>
      <c r="BW155" s="228"/>
      <c r="BX155" s="228"/>
      <c r="BY155" s="228"/>
      <c r="BZ155" s="228"/>
      <c r="CA155" s="228"/>
      <c r="CB155" s="228"/>
      <c r="CC155" s="228"/>
      <c r="CD155" s="228"/>
      <c r="CE155" s="228"/>
      <c r="CF155" s="228"/>
      <c r="CG155" s="228"/>
      <c r="CH155" s="228"/>
      <c r="CI155" s="228"/>
      <c r="CJ155" s="228"/>
      <c r="CK155" s="228"/>
      <c r="CL155" s="228"/>
      <c r="CM155" s="228"/>
      <c r="CN155" s="228"/>
      <c r="CO155" s="228"/>
      <c r="CP155" s="228"/>
      <c r="CQ155" s="228"/>
      <c r="CR155" s="228"/>
      <c r="CS155" s="228"/>
      <c r="CT155" s="228"/>
      <c r="CU155" s="228"/>
    </row>
    <row r="156" spans="1:99">
      <c r="A156" s="228"/>
      <c r="B156" s="228"/>
      <c r="C156" s="641" t="s">
        <v>143</v>
      </c>
      <c r="D156" s="228"/>
      <c r="E156" s="292">
        <f>E190</f>
        <v>67.800000000000011</v>
      </c>
      <c r="F156" s="261">
        <f>F190</f>
        <v>68.499999999999972</v>
      </c>
      <c r="G156" s="261">
        <f>G190</f>
        <v>64.600000000000023</v>
      </c>
      <c r="H156" s="293">
        <f>H190</f>
        <v>70.400000000000006</v>
      </c>
      <c r="I156" s="520">
        <f>I190</f>
        <v>271.3</v>
      </c>
      <c r="J156" s="292">
        <f t="shared" ref="J156:T156" si="392">J190</f>
        <v>67.400000000000006</v>
      </c>
      <c r="K156" s="261">
        <f t="shared" si="392"/>
        <v>62.5</v>
      </c>
      <c r="L156" s="261">
        <f t="shared" si="392"/>
        <v>54.400000000000006</v>
      </c>
      <c r="M156" s="293">
        <f t="shared" si="392"/>
        <v>70.099999999999966</v>
      </c>
      <c r="N156" s="520">
        <f t="shared" si="392"/>
        <v>254.39999999999998</v>
      </c>
      <c r="O156" s="292">
        <f t="shared" si="392"/>
        <v>78.099999999999994</v>
      </c>
      <c r="P156" s="261">
        <f t="shared" si="392"/>
        <v>68.599999999999994</v>
      </c>
      <c r="Q156" s="581">
        <f t="shared" si="392"/>
        <v>61.800000000000011</v>
      </c>
      <c r="R156" s="293">
        <f>R190</f>
        <v>70.900000000000034</v>
      </c>
      <c r="S156" s="520">
        <f>S190</f>
        <v>279.40000000000003</v>
      </c>
      <c r="T156" s="292">
        <f t="shared" si="392"/>
        <v>79</v>
      </c>
      <c r="U156" s="261">
        <f t="shared" ref="U156:Z156" si="393">U190</f>
        <v>71</v>
      </c>
      <c r="V156" s="581">
        <f t="shared" si="393"/>
        <v>68</v>
      </c>
      <c r="W156" s="293">
        <f t="shared" si="393"/>
        <v>80</v>
      </c>
      <c r="X156" s="520">
        <f t="shared" si="393"/>
        <v>298</v>
      </c>
      <c r="Y156" s="292">
        <f t="shared" si="393"/>
        <v>93</v>
      </c>
      <c r="Z156" s="261">
        <f t="shared" si="393"/>
        <v>82</v>
      </c>
      <c r="AA156" s="1438">
        <f t="shared" ref="AA156:AH156" si="394">AA190</f>
        <v>77</v>
      </c>
      <c r="AB156" s="1439">
        <f t="shared" si="394"/>
        <v>96</v>
      </c>
      <c r="AC156" s="1465">
        <f t="shared" si="394"/>
        <v>348</v>
      </c>
      <c r="AD156" s="292">
        <f t="shared" si="394"/>
        <v>108</v>
      </c>
      <c r="AE156" s="261">
        <f t="shared" si="394"/>
        <v>89</v>
      </c>
      <c r="AF156" s="1438">
        <f t="shared" si="394"/>
        <v>78</v>
      </c>
      <c r="AG156" s="1439">
        <f t="shared" si="394"/>
        <v>96</v>
      </c>
      <c r="AH156" s="1465">
        <f t="shared" si="394"/>
        <v>371</v>
      </c>
      <c r="AI156" s="292">
        <f t="shared" ref="AI156:AM156" si="395">AI190</f>
        <v>106</v>
      </c>
      <c r="AJ156" s="261">
        <f t="shared" si="395"/>
        <v>86</v>
      </c>
      <c r="AK156" s="1438">
        <f t="shared" si="395"/>
        <v>79</v>
      </c>
      <c r="AL156" s="1439">
        <f t="shared" si="395"/>
        <v>95</v>
      </c>
      <c r="AM156" s="1465">
        <f t="shared" si="395"/>
        <v>366</v>
      </c>
      <c r="AN156" s="292">
        <f t="shared" ref="AN156:AR156" si="396">AN190</f>
        <v>109</v>
      </c>
      <c r="AO156" s="261">
        <f t="shared" si="396"/>
        <v>97</v>
      </c>
      <c r="AP156" s="1438">
        <f t="shared" si="396"/>
        <v>101</v>
      </c>
      <c r="AQ156" s="1439">
        <f t="shared" si="396"/>
        <v>116</v>
      </c>
      <c r="AR156" s="1465">
        <f t="shared" si="396"/>
        <v>423</v>
      </c>
      <c r="AS156" s="292">
        <f t="shared" ref="AS156:AW156" si="397">AS190</f>
        <v>128</v>
      </c>
      <c r="AT156" s="261">
        <f t="shared" si="397"/>
        <v>111</v>
      </c>
      <c r="AU156" s="261">
        <f t="shared" si="397"/>
        <v>109</v>
      </c>
      <c r="AV156" s="1439">
        <f t="shared" si="397"/>
        <v>125</v>
      </c>
      <c r="AW156" s="1465">
        <f t="shared" si="397"/>
        <v>473</v>
      </c>
      <c r="AX156" s="580">
        <f t="shared" ref="AX156:BB156" si="398">+AX158+AX157</f>
        <v>128.01749965000701</v>
      </c>
      <c r="AY156" s="581">
        <f t="shared" si="398"/>
        <v>117.4003615418782</v>
      </c>
      <c r="AZ156" s="581">
        <f t="shared" si="398"/>
        <v>114.1959126322032</v>
      </c>
      <c r="BA156" s="582">
        <f t="shared" si="398"/>
        <v>130.97160532463721</v>
      </c>
      <c r="BB156" s="583">
        <f t="shared" si="398"/>
        <v>490.58537914872562</v>
      </c>
      <c r="BC156" s="580">
        <f t="shared" ref="BC156:BL156" si="399">+BC158+BC157</f>
        <v>134.72765924866823</v>
      </c>
      <c r="BD156" s="581">
        <f t="shared" si="399"/>
        <v>124.18873759200157</v>
      </c>
      <c r="BE156" s="581">
        <f t="shared" si="399"/>
        <v>121.32395244993688</v>
      </c>
      <c r="BF156" s="582">
        <f t="shared" si="399"/>
        <v>138.43555230384351</v>
      </c>
      <c r="BG156" s="583">
        <f t="shared" si="399"/>
        <v>518.67590159445012</v>
      </c>
      <c r="BH156" s="580">
        <f t="shared" si="399"/>
        <v>142.52379833044245</v>
      </c>
      <c r="BI156" s="581">
        <f t="shared" si="399"/>
        <v>132.68080015547446</v>
      </c>
      <c r="BJ156" s="581">
        <f t="shared" si="399"/>
        <v>129.58384744480912</v>
      </c>
      <c r="BK156" s="582">
        <f t="shared" si="399"/>
        <v>146.46584745206937</v>
      </c>
      <c r="BL156" s="583">
        <f t="shared" si="399"/>
        <v>551.25429338279537</v>
      </c>
      <c r="BM156" s="580">
        <f t="shared" ref="BM156:BQ156" si="400">+BM158+BM157</f>
        <v>150.32703295553941</v>
      </c>
      <c r="BN156" s="581">
        <f t="shared" si="400"/>
        <v>140.3513368341799</v>
      </c>
      <c r="BO156" s="581">
        <f t="shared" si="400"/>
        <v>136.89305521442628</v>
      </c>
      <c r="BP156" s="582">
        <f t="shared" si="400"/>
        <v>153.41772253040841</v>
      </c>
      <c r="BQ156" s="583">
        <f t="shared" si="400"/>
        <v>580.98914753455392</v>
      </c>
      <c r="BR156" s="228"/>
      <c r="BS156" s="228"/>
      <c r="BT156" s="228"/>
      <c r="BU156" s="228"/>
      <c r="BV156" s="228"/>
      <c r="BW156" s="228"/>
      <c r="BX156" s="228"/>
      <c r="BY156" s="228"/>
      <c r="BZ156" s="228"/>
      <c r="CA156" s="228"/>
      <c r="CB156" s="228"/>
      <c r="CC156" s="228"/>
      <c r="CD156" s="228"/>
      <c r="CE156" s="228"/>
      <c r="CF156" s="228"/>
      <c r="CG156" s="228"/>
      <c r="CH156" s="228"/>
      <c r="CI156" s="228"/>
      <c r="CJ156" s="228"/>
      <c r="CK156" s="228"/>
      <c r="CL156" s="228"/>
      <c r="CM156" s="228"/>
      <c r="CN156" s="228"/>
      <c r="CO156" s="228"/>
      <c r="CP156" s="228"/>
      <c r="CQ156" s="228"/>
      <c r="CR156" s="228"/>
      <c r="CS156" s="228"/>
      <c r="CT156" s="228"/>
      <c r="CU156" s="228"/>
    </row>
    <row r="157" spans="1:99" s="232" customFormat="1">
      <c r="A157" s="228"/>
      <c r="B157" s="228"/>
      <c r="C157" s="383" t="s">
        <v>698</v>
      </c>
      <c r="D157" s="45"/>
      <c r="E157" s="290">
        <f>I157/4</f>
        <v>5.9</v>
      </c>
      <c r="F157" s="260">
        <f>I157/4</f>
        <v>5.9</v>
      </c>
      <c r="G157" s="260">
        <f>I157/4</f>
        <v>5.9</v>
      </c>
      <c r="H157" s="291">
        <f>I157/4</f>
        <v>5.9</v>
      </c>
      <c r="I157" s="645">
        <v>23.6</v>
      </c>
      <c r="J157" s="290">
        <f>N157/4</f>
        <v>6.45</v>
      </c>
      <c r="K157" s="260">
        <f>N157/4</f>
        <v>6.45</v>
      </c>
      <c r="L157" s="260">
        <f>N157/4</f>
        <v>6.45</v>
      </c>
      <c r="M157" s="291">
        <f>N157/4</f>
        <v>6.45</v>
      </c>
      <c r="N157" s="2110">
        <v>25.8</v>
      </c>
      <c r="O157" s="290">
        <f>S157/4</f>
        <v>6.35</v>
      </c>
      <c r="P157" s="260">
        <f>S157/4</f>
        <v>6.35</v>
      </c>
      <c r="Q157" s="260">
        <f>S157/4</f>
        <v>6.35</v>
      </c>
      <c r="R157" s="291">
        <f>S157/4</f>
        <v>6.35</v>
      </c>
      <c r="S157" s="2110">
        <v>25.4</v>
      </c>
      <c r="T157" s="306">
        <v>18</v>
      </c>
      <c r="U157" s="266">
        <v>9</v>
      </c>
      <c r="V157" s="266">
        <f>34-U157-T157</f>
        <v>7</v>
      </c>
      <c r="W157" s="291">
        <f>+X157-SUM(T157:V157)</f>
        <v>19</v>
      </c>
      <c r="X157" s="2110">
        <v>53</v>
      </c>
      <c r="Y157" s="306">
        <v>29</v>
      </c>
      <c r="Z157" s="266">
        <v>27</v>
      </c>
      <c r="AA157" s="1444">
        <f>58-Z157-Y157</f>
        <v>2</v>
      </c>
      <c r="AB157" s="1442">
        <f>+AC157-SUM(Y157:AA157)</f>
        <v>26</v>
      </c>
      <c r="AC157" s="1453">
        <v>84</v>
      </c>
      <c r="AD157" s="2037">
        <v>38</v>
      </c>
      <c r="AE157" s="266">
        <f>55-AD157</f>
        <v>17</v>
      </c>
      <c r="AF157" s="1444">
        <f>60-AE157-AD157</f>
        <v>5</v>
      </c>
      <c r="AG157" s="1442">
        <f>+AH157-SUM(AD157:AF157)</f>
        <v>23</v>
      </c>
      <c r="AH157" s="2109">
        <v>83</v>
      </c>
      <c r="AI157" s="306">
        <v>35</v>
      </c>
      <c r="AJ157" s="266">
        <f>49-AI157</f>
        <v>14</v>
      </c>
      <c r="AK157" s="1444">
        <f>55-AI157-AJ157</f>
        <v>6</v>
      </c>
      <c r="AL157" s="1442">
        <f>+AM157-SUM(AI157:AK157)</f>
        <v>22</v>
      </c>
      <c r="AM157" s="2109">
        <v>77</v>
      </c>
      <c r="AN157" s="306">
        <v>34</v>
      </c>
      <c r="AO157" s="266">
        <f>56-AN157</f>
        <v>22</v>
      </c>
      <c r="AP157" s="1444">
        <f>84-AN157-AO157</f>
        <v>28</v>
      </c>
      <c r="AQ157" s="1442">
        <f>+AR157-SUM(AN157:AP157)</f>
        <v>40</v>
      </c>
      <c r="AR157" s="2109">
        <v>124</v>
      </c>
      <c r="AS157" s="306">
        <v>48</v>
      </c>
      <c r="AT157" s="266">
        <f>84-AS157</f>
        <v>36</v>
      </c>
      <c r="AU157" s="266">
        <f>115-AT157-AS157</f>
        <v>31</v>
      </c>
      <c r="AV157" s="1442">
        <f>+AW157-SUM(AS157:AU157)</f>
        <v>46</v>
      </c>
      <c r="AW157" s="2109">
        <v>161</v>
      </c>
      <c r="AX157" s="290">
        <f>+AS157</f>
        <v>48</v>
      </c>
      <c r="AY157" s="260">
        <f>+AT157</f>
        <v>36</v>
      </c>
      <c r="AZ157" s="260">
        <f>+AU157</f>
        <v>31</v>
      </c>
      <c r="BA157" s="291">
        <f>+AV157</f>
        <v>46</v>
      </c>
      <c r="BB157" s="647">
        <f>SUM(AX157:BA157)</f>
        <v>161</v>
      </c>
      <c r="BC157" s="290">
        <f>+AX157</f>
        <v>48</v>
      </c>
      <c r="BD157" s="260">
        <f>+AY157</f>
        <v>36</v>
      </c>
      <c r="BE157" s="260">
        <f>+AZ157</f>
        <v>31</v>
      </c>
      <c r="BF157" s="291">
        <f>+BA157</f>
        <v>46</v>
      </c>
      <c r="BG157" s="647">
        <f>SUM(BC157:BF157)</f>
        <v>161</v>
      </c>
      <c r="BH157" s="290">
        <f>+BC157</f>
        <v>48</v>
      </c>
      <c r="BI157" s="260">
        <f>+BD157</f>
        <v>36</v>
      </c>
      <c r="BJ157" s="260">
        <f>+BE157</f>
        <v>31</v>
      </c>
      <c r="BK157" s="291">
        <f>+BF157</f>
        <v>46</v>
      </c>
      <c r="BL157" s="647">
        <f>SUM(BH157:BK157)</f>
        <v>161</v>
      </c>
      <c r="BM157" s="290">
        <f>+BH157</f>
        <v>48</v>
      </c>
      <c r="BN157" s="260">
        <f>+BI157</f>
        <v>36</v>
      </c>
      <c r="BO157" s="260">
        <f>+BJ157</f>
        <v>31</v>
      </c>
      <c r="BP157" s="291">
        <f>+BK157</f>
        <v>46</v>
      </c>
      <c r="BQ157" s="647">
        <f>SUM(BM157:BP157)</f>
        <v>161</v>
      </c>
      <c r="BR157" s="228"/>
      <c r="BS157" s="45"/>
      <c r="BT157" s="45"/>
      <c r="BU157" s="45"/>
      <c r="BV157" s="45"/>
      <c r="BW157" s="45"/>
      <c r="BX157" s="45"/>
      <c r="BY157" s="45"/>
      <c r="BZ157" s="45"/>
      <c r="CA157" s="45"/>
      <c r="CB157" s="45"/>
      <c r="CC157" s="45"/>
      <c r="CD157" s="45"/>
      <c r="CE157" s="45"/>
      <c r="CF157" s="45"/>
      <c r="CG157" s="45"/>
      <c r="CH157" s="45"/>
      <c r="CI157" s="45"/>
      <c r="CJ157" s="45"/>
      <c r="CK157" s="45"/>
      <c r="CL157" s="45"/>
      <c r="CM157" s="45"/>
      <c r="CN157" s="45"/>
      <c r="CO157" s="45"/>
      <c r="CP157" s="45"/>
      <c r="CQ157" s="45"/>
      <c r="CR157" s="45"/>
      <c r="CS157" s="45"/>
      <c r="CT157" s="45"/>
      <c r="CU157" s="45"/>
    </row>
    <row r="158" spans="1:99">
      <c r="A158" s="228"/>
      <c r="B158" s="228"/>
      <c r="C158" s="32" t="s">
        <v>144</v>
      </c>
      <c r="D158" s="228"/>
      <c r="E158" s="292">
        <f t="shared" ref="E158:S158" si="401">+E156-E157</f>
        <v>61.900000000000013</v>
      </c>
      <c r="F158" s="261">
        <f t="shared" si="401"/>
        <v>62.599999999999973</v>
      </c>
      <c r="G158" s="261">
        <f t="shared" si="401"/>
        <v>58.700000000000024</v>
      </c>
      <c r="H158" s="293">
        <f t="shared" si="401"/>
        <v>64.5</v>
      </c>
      <c r="I158" s="228">
        <f t="shared" si="401"/>
        <v>247.70000000000002</v>
      </c>
      <c r="J158" s="292">
        <f t="shared" si="401"/>
        <v>60.95</v>
      </c>
      <c r="K158" s="261">
        <f t="shared" si="401"/>
        <v>56.05</v>
      </c>
      <c r="L158" s="261">
        <f t="shared" si="401"/>
        <v>47.95</v>
      </c>
      <c r="M158" s="293">
        <f t="shared" si="401"/>
        <v>63.649999999999963</v>
      </c>
      <c r="N158" s="228">
        <f t="shared" si="401"/>
        <v>228.59999999999997</v>
      </c>
      <c r="O158" s="292">
        <f t="shared" si="401"/>
        <v>71.75</v>
      </c>
      <c r="P158" s="261">
        <f t="shared" si="401"/>
        <v>62.249999999999993</v>
      </c>
      <c r="Q158" s="261">
        <f t="shared" si="401"/>
        <v>55.45000000000001</v>
      </c>
      <c r="R158" s="293">
        <f t="shared" si="401"/>
        <v>64.55000000000004</v>
      </c>
      <c r="S158" s="228">
        <f t="shared" si="401"/>
        <v>254.00000000000003</v>
      </c>
      <c r="T158" s="292">
        <f t="shared" ref="T158:AA158" si="402">+T156-T157</f>
        <v>61</v>
      </c>
      <c r="U158" s="261">
        <f t="shared" si="402"/>
        <v>62</v>
      </c>
      <c r="V158" s="261">
        <f t="shared" si="402"/>
        <v>61</v>
      </c>
      <c r="W158" s="293">
        <f t="shared" si="402"/>
        <v>61</v>
      </c>
      <c r="X158" s="228">
        <f t="shared" si="402"/>
        <v>245</v>
      </c>
      <c r="Y158" s="292">
        <f t="shared" si="402"/>
        <v>64</v>
      </c>
      <c r="Z158" s="261">
        <f t="shared" si="402"/>
        <v>55</v>
      </c>
      <c r="AA158" s="1438">
        <f t="shared" si="402"/>
        <v>75</v>
      </c>
      <c r="AB158" s="1439">
        <f>+AB156-AB157</f>
        <v>70</v>
      </c>
      <c r="AC158" s="1440">
        <f>+AC156-AC157</f>
        <v>264</v>
      </c>
      <c r="AD158" s="292">
        <f>+AD156-AD157</f>
        <v>70</v>
      </c>
      <c r="AE158" s="261">
        <f>+AE156-AE157</f>
        <v>72</v>
      </c>
      <c r="AF158" s="1438">
        <f t="shared" ref="AF158" si="403">+AF156-AF157</f>
        <v>73</v>
      </c>
      <c r="AG158" s="1439">
        <f>+AG156-AG157</f>
        <v>73</v>
      </c>
      <c r="AH158" s="1440">
        <f>+AH156-AH157</f>
        <v>288</v>
      </c>
      <c r="AI158" s="292">
        <f>+AI156-AI157</f>
        <v>71</v>
      </c>
      <c r="AJ158" s="261">
        <f>+AJ156-AJ157</f>
        <v>72</v>
      </c>
      <c r="AK158" s="1438">
        <f t="shared" ref="AK158" si="404">+AK156-AK157</f>
        <v>73</v>
      </c>
      <c r="AL158" s="1439">
        <f>+AL156-AL157</f>
        <v>73</v>
      </c>
      <c r="AM158" s="1440">
        <f>+AM156-AM157</f>
        <v>289</v>
      </c>
      <c r="AN158" s="292">
        <f>+AN156-AN157</f>
        <v>75</v>
      </c>
      <c r="AO158" s="261">
        <f>+AO156-AO157</f>
        <v>75</v>
      </c>
      <c r="AP158" s="1438">
        <f t="shared" ref="AP158" si="405">+AP156-AP157</f>
        <v>73</v>
      </c>
      <c r="AQ158" s="1439">
        <f t="shared" ref="AQ158:AW158" si="406">+AQ156-AQ157</f>
        <v>76</v>
      </c>
      <c r="AR158" s="1440">
        <f t="shared" si="406"/>
        <v>299</v>
      </c>
      <c r="AS158" s="292">
        <f t="shared" si="406"/>
        <v>80</v>
      </c>
      <c r="AT158" s="261">
        <f t="shared" si="406"/>
        <v>75</v>
      </c>
      <c r="AU158" s="261">
        <f t="shared" si="406"/>
        <v>78</v>
      </c>
      <c r="AV158" s="1439">
        <f t="shared" si="406"/>
        <v>79</v>
      </c>
      <c r="AW158" s="1440">
        <f t="shared" si="406"/>
        <v>312</v>
      </c>
      <c r="AX158" s="292">
        <f>(AX160*AW152)/4</f>
        <v>80.017499650007011</v>
      </c>
      <c r="AY158" s="261">
        <f>(AY160*AX152)/4</f>
        <v>81.400361541878198</v>
      </c>
      <c r="AZ158" s="261">
        <f>(AZ160*AY152)/4</f>
        <v>83.195912632203203</v>
      </c>
      <c r="BA158" s="293">
        <f>(BA160*AZ152)/4</f>
        <v>84.971605324637196</v>
      </c>
      <c r="BB158" s="228">
        <f>SUM(AX158:BA158)</f>
        <v>329.58537914872562</v>
      </c>
      <c r="BC158" s="292">
        <f>(BC160*BB152)/4</f>
        <v>86.727659248668232</v>
      </c>
      <c r="BD158" s="261">
        <f>(BD160*BC152)/4</f>
        <v>88.188737592001573</v>
      </c>
      <c r="BE158" s="261">
        <f>(BE160*BD152)/4</f>
        <v>90.323952449936883</v>
      </c>
      <c r="BF158" s="293">
        <f>(BF160*BE152)/4</f>
        <v>92.435552303843508</v>
      </c>
      <c r="BG158" s="228">
        <f>SUM(BC158:BF158)</f>
        <v>357.67590159445018</v>
      </c>
      <c r="BH158" s="292">
        <f>(BH160*BG152)/4</f>
        <v>94.523798330442446</v>
      </c>
      <c r="BI158" s="261">
        <f>(BI160*BH152)/4</f>
        <v>96.680800155474444</v>
      </c>
      <c r="BJ158" s="261">
        <f>(BJ160*BI152)/4</f>
        <v>98.583847444809109</v>
      </c>
      <c r="BK158" s="293">
        <f>(BK160*BJ152)/4</f>
        <v>100.46584745206937</v>
      </c>
      <c r="BL158" s="228">
        <f>SUM(BH158:BK158)</f>
        <v>390.25429338279537</v>
      </c>
      <c r="BM158" s="292">
        <f>(BM160*BL152)/4</f>
        <v>102.32703295553941</v>
      </c>
      <c r="BN158" s="261">
        <f>(BN160*BM152)/4</f>
        <v>104.3513368341799</v>
      </c>
      <c r="BO158" s="261">
        <f>(BO160*BN152)/4</f>
        <v>105.89305521442628</v>
      </c>
      <c r="BP158" s="293">
        <f>(BP160*BO152)/4</f>
        <v>107.4177225304084</v>
      </c>
      <c r="BQ158" s="228">
        <f>SUM(BM158:BP158)</f>
        <v>419.98914753455398</v>
      </c>
      <c r="BR158" s="228"/>
      <c r="BS158" s="228"/>
      <c r="BT158" s="228"/>
      <c r="BU158" s="228"/>
      <c r="BV158" s="228"/>
      <c r="BW158" s="228"/>
      <c r="BX158" s="228"/>
      <c r="BY158" s="228"/>
      <c r="BZ158" s="228"/>
      <c r="CA158" s="228"/>
      <c r="CB158" s="228"/>
      <c r="CC158" s="228"/>
      <c r="CD158" s="228"/>
      <c r="CE158" s="228"/>
      <c r="CF158" s="228"/>
      <c r="CG158" s="228"/>
      <c r="CH158" s="228"/>
      <c r="CI158" s="228"/>
      <c r="CJ158" s="228"/>
      <c r="CK158" s="228"/>
      <c r="CL158" s="228"/>
      <c r="CM158" s="228"/>
      <c r="CN158" s="228"/>
      <c r="CO158" s="228"/>
      <c r="CP158" s="228"/>
      <c r="CQ158" s="228"/>
      <c r="CR158" s="228"/>
      <c r="CS158" s="228"/>
      <c r="CT158" s="228"/>
      <c r="CU158" s="228"/>
    </row>
    <row r="159" spans="1:99">
      <c r="A159" s="45"/>
      <c r="B159" s="45"/>
      <c r="C159" s="383"/>
      <c r="D159" s="45"/>
      <c r="E159" s="290"/>
      <c r="F159" s="260"/>
      <c r="G159" s="260"/>
      <c r="H159" s="291"/>
      <c r="I159" s="45"/>
      <c r="J159" s="290"/>
      <c r="K159" s="260"/>
      <c r="L159" s="260"/>
      <c r="M159" s="291"/>
      <c r="N159" s="45"/>
      <c r="O159" s="290"/>
      <c r="P159" s="260"/>
      <c r="Q159" s="260"/>
      <c r="R159" s="291"/>
      <c r="S159" s="45"/>
      <c r="T159" s="290"/>
      <c r="U159" s="260"/>
      <c r="V159" s="260"/>
      <c r="W159" s="291"/>
      <c r="X159" s="45"/>
      <c r="Y159" s="290"/>
      <c r="Z159" s="260"/>
      <c r="AA159" s="1441"/>
      <c r="AB159" s="1442"/>
      <c r="AC159" s="1443"/>
      <c r="AD159" s="290"/>
      <c r="AE159" s="260"/>
      <c r="AF159" s="1441"/>
      <c r="AG159" s="1442"/>
      <c r="AH159" s="1443"/>
      <c r="AI159" s="290"/>
      <c r="AJ159" s="260"/>
      <c r="AK159" s="1441"/>
      <c r="AL159" s="1442"/>
      <c r="AM159" s="1443"/>
      <c r="AN159" s="290"/>
      <c r="AO159" s="260"/>
      <c r="AP159" s="1441"/>
      <c r="AQ159" s="1442"/>
      <c r="AR159" s="1443"/>
      <c r="AS159" s="290"/>
      <c r="AT159" s="260"/>
      <c r="AU159" s="260"/>
      <c r="AV159" s="1442"/>
      <c r="AW159" s="1443"/>
      <c r="AX159" s="290"/>
      <c r="AY159" s="260"/>
      <c r="AZ159" s="260"/>
      <c r="BA159" s="291"/>
      <c r="BB159" s="45"/>
      <c r="BC159" s="290"/>
      <c r="BD159" s="260"/>
      <c r="BE159" s="260"/>
      <c r="BF159" s="291"/>
      <c r="BG159" s="45"/>
      <c r="BH159" s="290"/>
      <c r="BI159" s="260"/>
      <c r="BJ159" s="260"/>
      <c r="BK159" s="291"/>
      <c r="BL159" s="45"/>
      <c r="BM159" s="290"/>
      <c r="BN159" s="260"/>
      <c r="BO159" s="260"/>
      <c r="BP159" s="291"/>
      <c r="BQ159" s="45"/>
      <c r="BR159" s="45"/>
      <c r="BS159" s="45"/>
      <c r="BT159" s="45"/>
      <c r="BU159" s="45"/>
      <c r="BV159" s="45"/>
      <c r="BW159" s="45"/>
      <c r="BX159" s="45"/>
      <c r="BY159" s="45"/>
      <c r="BZ159" s="45"/>
      <c r="CA159" s="45"/>
      <c r="CB159" s="45"/>
      <c r="CC159" s="45"/>
      <c r="CD159" s="45"/>
      <c r="CE159" s="45"/>
      <c r="CF159" s="45"/>
      <c r="CG159" s="45"/>
      <c r="CH159" s="45"/>
      <c r="CI159" s="45"/>
      <c r="CJ159" s="45"/>
      <c r="CK159" s="45"/>
      <c r="CL159" s="45"/>
      <c r="CM159" s="45"/>
      <c r="CN159" s="45"/>
      <c r="CO159" s="45"/>
      <c r="CP159" s="45"/>
      <c r="CQ159" s="45"/>
      <c r="CR159" s="45"/>
      <c r="CS159" s="45"/>
      <c r="CT159" s="45"/>
      <c r="CU159" s="45"/>
    </row>
    <row r="160" spans="1:99">
      <c r="A160" s="28"/>
      <c r="B160" s="28"/>
      <c r="C160" s="383" t="s">
        <v>145</v>
      </c>
      <c r="D160" s="28"/>
      <c r="E160" s="284">
        <f>E158/AVERAGE(D152:E152)*4</f>
        <v>6.1575190868170405E-2</v>
      </c>
      <c r="F160" s="241">
        <f>F158/AVERAGE(E152:F152)*4</f>
        <v>6.183632143033533E-2</v>
      </c>
      <c r="G160" s="241">
        <f>G158/AVERAGE(F152:G152)*4</f>
        <v>5.733541707364722E-2</v>
      </c>
      <c r="H160" s="285">
        <f>H158/AVERAGE(G152:H152)*4</f>
        <v>6.1952958974174251E-2</v>
      </c>
      <c r="I160" s="25">
        <f>I158/AVERAGE(D152,I152)</f>
        <v>5.8749584934301033E-2</v>
      </c>
      <c r="J160" s="284">
        <f>J158/AVERAGE(I152:J152)*4</f>
        <v>5.7653652422730392E-2</v>
      </c>
      <c r="K160" s="241">
        <f>K158/AVERAGE(J152:K152)*4</f>
        <v>5.2597623488287532E-2</v>
      </c>
      <c r="L160" s="241">
        <f>L158/AVERAGE(K152:L152)*4</f>
        <v>4.4222078760490641E-2</v>
      </c>
      <c r="M160" s="285">
        <f>M158/AVERAGE(L152:M152)*4</f>
        <v>5.7149270482603785E-2</v>
      </c>
      <c r="N160" s="25">
        <f>N158/AVERAGE(I152,N152)</f>
        <v>5.2336962120951944E-2</v>
      </c>
      <c r="O160" s="284">
        <f>O158/AVERAGE(N152:O152)*4</f>
        <v>6.3112293703064343E-2</v>
      </c>
      <c r="P160" s="241">
        <f>P158/AVERAGE(O152:P152)*4</f>
        <v>5.4003643619328523E-2</v>
      </c>
      <c r="Q160" s="241">
        <f>Q158/AVERAGE(P152:Q152)*4</f>
        <v>4.7480412724236858E-2</v>
      </c>
      <c r="R160" s="285">
        <f>R158/AVERAGE(Q152:R152)*4</f>
        <v>5.4195877587003088E-2</v>
      </c>
      <c r="S160" s="25">
        <f>S158/AVERAGE(N152,S152)</f>
        <v>5.4323997732935538E-2</v>
      </c>
      <c r="T160" s="284">
        <f>T158/AVERAGE(S152:T152)*4</f>
        <v>4.9544153180775249E-2</v>
      </c>
      <c r="U160" s="241">
        <f>U158/AVERAGE(T152:U152)*4</f>
        <v>4.5989800649049603E-2</v>
      </c>
      <c r="V160" s="241">
        <f>V158/AVERAGE(U152:V152)*4</f>
        <v>4.4558071585098613E-2</v>
      </c>
      <c r="W160" s="285">
        <f>W158/AVERAGE(V152:W152)*4</f>
        <v>4.6524930879969492E-2</v>
      </c>
      <c r="X160" s="25">
        <f>X158/AVERAGE(S152,X152)</f>
        <v>4.8338726225238736E-2</v>
      </c>
      <c r="Y160" s="284">
        <f>Y158/AVERAGE(X152:Y152)*4</f>
        <v>4.7953545003278072E-2</v>
      </c>
      <c r="Z160" s="241">
        <f>Z158/AVERAGE(Y152:Z152)*4</f>
        <v>4.0691759918616482E-2</v>
      </c>
      <c r="AA160" s="241">
        <f>AA158/AVERAGE(Z152:AA152)*4</f>
        <v>5.4754517247672933E-2</v>
      </c>
      <c r="AB160" s="285">
        <f>AB158/AVERAGE(AA152:AB152)*4</f>
        <v>5.0067054090299511E-2</v>
      </c>
      <c r="AC160" s="25">
        <f>AC158/AVERAGE(X152,AC152)</f>
        <v>4.8118108083477627E-2</v>
      </c>
      <c r="AD160" s="284">
        <f>AD158/AVERAGE(AC152:AD152)*4</f>
        <v>4.9601417183348095E-2</v>
      </c>
      <c r="AE160" s="241">
        <f>AE158/AVERAGE(AD152:AE152)*4</f>
        <v>5.0816056462284959E-2</v>
      </c>
      <c r="AF160" s="241">
        <f>AF158/AVERAGE(AE152:AF152)*4</f>
        <v>5.0685644853324073E-2</v>
      </c>
      <c r="AG160" s="285">
        <f>AG158/AVERAGE(AF152:AG152)*4</f>
        <v>4.9884684376868542E-2</v>
      </c>
      <c r="AH160" s="25">
        <f>AH158/AVERAGE(AC152,AH152)</f>
        <v>4.9848550411077455E-2</v>
      </c>
      <c r="AI160" s="284">
        <f>AI158/AVERAGE(AH152:AI152)*4</f>
        <v>4.7912273302404051E-2</v>
      </c>
      <c r="AJ160" s="241">
        <f>AJ158/AVERAGE(AI152:AJ152)*4</f>
        <v>4.7884279657494387E-2</v>
      </c>
      <c r="AK160" s="241">
        <f>AK158/AVERAGE(AJ152:AK152)*4</f>
        <v>4.7837483617300128E-2</v>
      </c>
      <c r="AL160" s="285">
        <f>AL158/AVERAGE(AK152:AL152)*4</f>
        <v>4.6975546975546977E-2</v>
      </c>
      <c r="AM160" s="25">
        <f>AM158/AVERAGE(AH152,AM152)</f>
        <v>4.7486033519553071E-2</v>
      </c>
      <c r="AN160" s="284">
        <f>AN158/AVERAGE(AM152:AN152)*4</f>
        <v>4.742708086317287E-2</v>
      </c>
      <c r="AO160" s="241">
        <f>AO158/AVERAGE(AN152:AO152)*4</f>
        <v>4.6893317702227433E-2</v>
      </c>
      <c r="AP160" s="241">
        <f>AP158/AVERAGE(AO152:AP152)*4</f>
        <v>4.4871302343449868E-2</v>
      </c>
      <c r="AQ160" s="285">
        <f>AQ158/AVERAGE(AP152:AQ152)*4</f>
        <v>4.5686804929365797E-2</v>
      </c>
      <c r="AR160" s="25">
        <f>AR158/AVERAGE(AM152,AR152)</f>
        <v>4.5975244099331132E-2</v>
      </c>
      <c r="AS160" s="284">
        <f>AS158/AVERAGE(AR152:AS152)*4</f>
        <v>4.7333777087493527E-2</v>
      </c>
      <c r="AT160" s="241">
        <f>AT158/AVERAGE(AS152:AT152)*4</f>
        <v>4.3747721472839958E-2</v>
      </c>
      <c r="AU160" s="241">
        <f t="shared" ref="AU160" si="407">AU158/AVERAGE(AT152:AU152)*4</f>
        <v>4.4676738025345455E-2</v>
      </c>
      <c r="AV160" s="285">
        <f>AV158/AVERAGE(AU152:AV152)*4</f>
        <v>4.4239115217695649E-2</v>
      </c>
      <c r="AW160" s="25">
        <f>AW158/AVERAGE(AR152,AW152)</f>
        <v>4.4708748298344918E-2</v>
      </c>
      <c r="AX160" s="284">
        <f>+AV160</f>
        <v>4.4239115217695649E-2</v>
      </c>
      <c r="AY160" s="241">
        <f t="shared" ref="AY160:BA161" si="408">+AX160</f>
        <v>4.4239115217695649E-2</v>
      </c>
      <c r="AZ160" s="241">
        <f t="shared" si="408"/>
        <v>4.4239115217695649E-2</v>
      </c>
      <c r="BA160" s="285">
        <f t="shared" si="408"/>
        <v>4.4239115217695649E-2</v>
      </c>
      <c r="BB160" s="25">
        <f>BB158/AVERAGE(AW152,BB152)</f>
        <v>4.3721106083470879E-2</v>
      </c>
      <c r="BC160" s="284">
        <f>+BA160</f>
        <v>4.4239115217695649E-2</v>
      </c>
      <c r="BD160" s="241">
        <f t="shared" ref="BD160:BD161" si="409">+BC160</f>
        <v>4.4239115217695649E-2</v>
      </c>
      <c r="BE160" s="241">
        <f t="shared" ref="BE160:BE161" si="410">+BD160</f>
        <v>4.4239115217695649E-2</v>
      </c>
      <c r="BF160" s="285">
        <f t="shared" ref="BF160:BF161" si="411">+BE160</f>
        <v>4.4239115217695649E-2</v>
      </c>
      <c r="BG160" s="25">
        <f>BG158/AVERAGE(BB152,BG152)</f>
        <v>4.3650036343359289E-2</v>
      </c>
      <c r="BH160" s="284">
        <f>+BF160</f>
        <v>4.4239115217695649E-2</v>
      </c>
      <c r="BI160" s="241">
        <f t="shared" ref="BI160:BI161" si="412">+BH160</f>
        <v>4.4239115217695649E-2</v>
      </c>
      <c r="BJ160" s="241">
        <f t="shared" ref="BJ160:BJ161" si="413">+BI160</f>
        <v>4.4239115217695649E-2</v>
      </c>
      <c r="BK160" s="285">
        <f t="shared" ref="BK160:BK161" si="414">+BJ160</f>
        <v>4.4239115217695649E-2</v>
      </c>
      <c r="BL160" s="25">
        <f>BL158/AVERAGE(BG152,BL152)</f>
        <v>4.3851744329390915E-2</v>
      </c>
      <c r="BM160" s="284">
        <f>+BK160</f>
        <v>4.4239115217695649E-2</v>
      </c>
      <c r="BN160" s="241">
        <f t="shared" ref="BN160:BN161" si="415">+BM160</f>
        <v>4.4239115217695649E-2</v>
      </c>
      <c r="BO160" s="241">
        <f t="shared" ref="BO160:BO161" si="416">+BN160</f>
        <v>4.4239115217695649E-2</v>
      </c>
      <c r="BP160" s="285">
        <f t="shared" ref="BP160:BP161" si="417">+BO160</f>
        <v>4.4239115217695649E-2</v>
      </c>
      <c r="BQ160" s="25">
        <f>BQ158/AVERAGE(BL152,BQ152)</f>
        <v>4.3975675986922723E-2</v>
      </c>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row>
    <row r="161" spans="1:99">
      <c r="A161" s="651"/>
      <c r="B161" s="651"/>
      <c r="C161" s="651" t="s">
        <v>146</v>
      </c>
      <c r="D161" s="651"/>
      <c r="E161" s="303">
        <f>E154/I167</f>
        <v>0.65512614063338692</v>
      </c>
      <c r="F161" s="652">
        <f>F154/I167</f>
        <v>0.62345679012345678</v>
      </c>
      <c r="G161" s="652">
        <f>G154/I167</f>
        <v>0.67981749865807839</v>
      </c>
      <c r="H161" s="304">
        <f>H154/I167</f>
        <v>0.57836822329575954</v>
      </c>
      <c r="I161" s="500">
        <f>I154/I167</f>
        <v>0.57836822329575954</v>
      </c>
      <c r="J161" s="303">
        <f>J154/N167</f>
        <v>0.42194016319129646</v>
      </c>
      <c r="K161" s="652">
        <f>K154/N167</f>
        <v>0.45149592021758839</v>
      </c>
      <c r="L161" s="652">
        <f>L154/N167</f>
        <v>0.42048957388939256</v>
      </c>
      <c r="M161" s="304">
        <f>M154/N167</f>
        <v>0.42230281051677243</v>
      </c>
      <c r="N161" s="500">
        <f>N154/N167</f>
        <v>0.42230281051677243</v>
      </c>
      <c r="O161" s="303">
        <f>O154/S167</f>
        <v>0.45459183673469389</v>
      </c>
      <c r="P161" s="652">
        <f>P154/S167</f>
        <v>0.49455782312925173</v>
      </c>
      <c r="Q161" s="652">
        <f>Q154/S167</f>
        <v>0.6</v>
      </c>
      <c r="R161" s="304">
        <f>R154/S167</f>
        <v>0.50748299319727885</v>
      </c>
      <c r="S161" s="500">
        <f>S154/S167</f>
        <v>0.50748299319727885</v>
      </c>
      <c r="T161" s="303">
        <f>T154/X167</f>
        <v>0.33161512027491408</v>
      </c>
      <c r="U161" s="652">
        <f>U154/X167</f>
        <v>0.33161512027491408</v>
      </c>
      <c r="V161" s="652">
        <f>V154/X167</f>
        <v>0.33161512027491408</v>
      </c>
      <c r="W161" s="304">
        <f>W154/X167</f>
        <v>0.33161512027491408</v>
      </c>
      <c r="X161" s="500">
        <f>X154/X167</f>
        <v>0.33161512027491408</v>
      </c>
      <c r="Y161" s="303">
        <f>Y154/AC167</f>
        <v>0.33390119250425893</v>
      </c>
      <c r="Z161" s="652">
        <f>Z154/AC167</f>
        <v>0.33390119250425893</v>
      </c>
      <c r="AA161" s="652">
        <f>AA154/AC167</f>
        <v>0.33390119250425893</v>
      </c>
      <c r="AB161" s="304">
        <f>AB154/AC167</f>
        <v>0.33390119250425893</v>
      </c>
      <c r="AC161" s="500">
        <f>AC154/AC167</f>
        <v>0.33390119250425893</v>
      </c>
      <c r="AD161" s="303">
        <f>AD154/AH167</f>
        <v>0.51129032258064511</v>
      </c>
      <c r="AE161" s="652">
        <f>AE154/AH167</f>
        <v>0.51129032258064511</v>
      </c>
      <c r="AF161" s="652">
        <f>AF154/AH167</f>
        <v>0.51129032258064511</v>
      </c>
      <c r="AG161" s="304">
        <f>AG154/AH167</f>
        <v>0.51129032258064511</v>
      </c>
      <c r="AH161" s="500">
        <f>AH154/AH167</f>
        <v>0.51129032258064511</v>
      </c>
      <c r="AI161" s="303">
        <f>AI154/AM167</f>
        <v>0.43393602225312933</v>
      </c>
      <c r="AJ161" s="652">
        <f>AJ154/AM167</f>
        <v>0.43393602225312933</v>
      </c>
      <c r="AK161" s="652">
        <f>AK154/AM167</f>
        <v>0.43393602225312933</v>
      </c>
      <c r="AL161" s="304">
        <f>AL154/AM167</f>
        <v>0.43393602225312933</v>
      </c>
      <c r="AM161" s="500">
        <f>AM154/AM167</f>
        <v>0.43393602225312933</v>
      </c>
      <c r="AN161" s="303">
        <f>AN154/AR167</f>
        <v>0.34047109207708781</v>
      </c>
      <c r="AO161" s="652">
        <f>AO154/AR167</f>
        <v>0.34047109207708781</v>
      </c>
      <c r="AP161" s="652">
        <f>AP154/AR167</f>
        <v>0.34047109207708781</v>
      </c>
      <c r="AQ161" s="304">
        <f>AQ154/AR167</f>
        <v>0.34047109207708781</v>
      </c>
      <c r="AR161" s="500">
        <f>AR154/AR167</f>
        <v>0.34047109207708781</v>
      </c>
      <c r="AS161" s="303">
        <f>AS154/AW167</f>
        <v>0.41609977324263037</v>
      </c>
      <c r="AT161" s="652">
        <f>AT154/AW167</f>
        <v>0.41609977324263037</v>
      </c>
      <c r="AU161" s="652">
        <f>AU154/AW167</f>
        <v>0.41609977324263037</v>
      </c>
      <c r="AV161" s="304">
        <f>AV154/AW167</f>
        <v>0.41609977324263037</v>
      </c>
      <c r="AW161" s="500">
        <f>AW154/AW167</f>
        <v>0.41609977324263037</v>
      </c>
      <c r="AX161" s="303">
        <f>+AW161</f>
        <v>0.41609977324263037</v>
      </c>
      <c r="AY161" s="652">
        <f t="shared" si="408"/>
        <v>0.41609977324263037</v>
      </c>
      <c r="AZ161" s="652">
        <f t="shared" si="408"/>
        <v>0.41609977324263037</v>
      </c>
      <c r="BA161" s="304">
        <f t="shared" si="408"/>
        <v>0.41609977324263037</v>
      </c>
      <c r="BB161" s="500">
        <f>BB154/BB167</f>
        <v>0.41609977324263037</v>
      </c>
      <c r="BC161" s="303">
        <f>+BB161</f>
        <v>0.41609977324263037</v>
      </c>
      <c r="BD161" s="652">
        <f t="shared" si="409"/>
        <v>0.41609977324263037</v>
      </c>
      <c r="BE161" s="652">
        <f t="shared" si="410"/>
        <v>0.41609977324263037</v>
      </c>
      <c r="BF161" s="304">
        <f t="shared" si="411"/>
        <v>0.41609977324263037</v>
      </c>
      <c r="BG161" s="500">
        <f>BG154/BG167</f>
        <v>0.41609977324263037</v>
      </c>
      <c r="BH161" s="303">
        <f>+BG161</f>
        <v>0.41609977324263037</v>
      </c>
      <c r="BI161" s="652">
        <f t="shared" si="412"/>
        <v>0.41609977324263037</v>
      </c>
      <c r="BJ161" s="652">
        <f t="shared" si="413"/>
        <v>0.41609977324263037</v>
      </c>
      <c r="BK161" s="304">
        <f t="shared" si="414"/>
        <v>0.41609977324263037</v>
      </c>
      <c r="BL161" s="500">
        <f>BL154/BL167</f>
        <v>0.41609977324263037</v>
      </c>
      <c r="BM161" s="303">
        <f>+BL161</f>
        <v>0.41609977324263037</v>
      </c>
      <c r="BN161" s="652">
        <f t="shared" si="415"/>
        <v>0.41609977324263037</v>
      </c>
      <c r="BO161" s="652">
        <f t="shared" si="416"/>
        <v>0.41609977324263037</v>
      </c>
      <c r="BP161" s="304">
        <f t="shared" si="417"/>
        <v>0.41609977324263037</v>
      </c>
      <c r="BQ161" s="500">
        <f>BQ154/BQ167</f>
        <v>0.41609977324263037</v>
      </c>
      <c r="BR161" s="651"/>
      <c r="BS161" s="651"/>
      <c r="BT161" s="651"/>
      <c r="BU161" s="651"/>
      <c r="BV161" s="651"/>
      <c r="BW161" s="651"/>
      <c r="BX161" s="651"/>
      <c r="BY161" s="651"/>
      <c r="BZ161" s="651"/>
      <c r="CA161" s="651"/>
      <c r="CB161" s="651"/>
      <c r="CC161" s="651"/>
      <c r="CD161" s="651"/>
      <c r="CE161" s="651"/>
      <c r="CF161" s="651"/>
      <c r="CG161" s="651"/>
      <c r="CH161" s="651"/>
      <c r="CI161" s="651"/>
      <c r="CJ161" s="651"/>
      <c r="CK161" s="651"/>
      <c r="CL161" s="651"/>
      <c r="CM161" s="651"/>
      <c r="CN161" s="651"/>
      <c r="CO161" s="651"/>
      <c r="CP161" s="651"/>
      <c r="CQ161" s="651"/>
      <c r="CR161" s="651"/>
      <c r="CS161" s="651"/>
      <c r="CT161" s="651"/>
      <c r="CU161" s="651"/>
    </row>
    <row r="162" spans="1:99">
      <c r="A162" s="28"/>
      <c r="B162" s="28"/>
      <c r="C162" s="383"/>
      <c r="D162" s="28"/>
      <c r="E162" s="284"/>
      <c r="F162" s="241"/>
      <c r="G162" s="241"/>
      <c r="H162" s="285"/>
      <c r="I162" s="25"/>
      <c r="J162" s="284"/>
      <c r="K162" s="241"/>
      <c r="L162" s="241"/>
      <c r="M162" s="285"/>
      <c r="N162" s="25"/>
      <c r="O162" s="284"/>
      <c r="P162" s="241"/>
      <c r="Q162" s="653"/>
      <c r="R162" s="654"/>
      <c r="S162" s="25"/>
      <c r="T162" s="655"/>
      <c r="U162" s="653"/>
      <c r="V162" s="653"/>
      <c r="W162" s="654"/>
      <c r="X162" s="25"/>
      <c r="Y162" s="655"/>
      <c r="Z162" s="653"/>
      <c r="AA162" s="653"/>
      <c r="AB162" s="654"/>
      <c r="AC162" s="25"/>
      <c r="AD162" s="655"/>
      <c r="AE162" s="653"/>
      <c r="AF162" s="653"/>
      <c r="AG162" s="654"/>
      <c r="AH162" s="25"/>
      <c r="AI162" s="655"/>
      <c r="AJ162" s="653"/>
      <c r="AK162" s="653"/>
      <c r="AL162" s="654"/>
      <c r="AM162" s="25"/>
      <c r="AN162" s="284"/>
      <c r="AO162" s="241"/>
      <c r="AP162" s="653"/>
      <c r="AQ162" s="654"/>
      <c r="AR162" s="25"/>
      <c r="AS162" s="284"/>
      <c r="AT162" s="241"/>
      <c r="AU162" s="241"/>
      <c r="AV162" s="654"/>
      <c r="AW162" s="25"/>
      <c r="AX162" s="284"/>
      <c r="AY162" s="241"/>
      <c r="AZ162" s="653"/>
      <c r="BA162" s="654"/>
      <c r="BB162" s="25"/>
      <c r="BC162" s="284"/>
      <c r="BD162" s="241"/>
      <c r="BE162" s="653"/>
      <c r="BF162" s="654"/>
      <c r="BG162" s="25"/>
      <c r="BH162" s="284"/>
      <c r="BI162" s="241"/>
      <c r="BJ162" s="653"/>
      <c r="BK162" s="654"/>
      <c r="BL162" s="25"/>
      <c r="BM162" s="284"/>
      <c r="BN162" s="241"/>
      <c r="BO162" s="653"/>
      <c r="BP162" s="654"/>
      <c r="BQ162" s="25"/>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row>
    <row r="163" spans="1:99">
      <c r="A163" s="28"/>
      <c r="B163" s="28"/>
      <c r="C163" s="383" t="s">
        <v>653</v>
      </c>
      <c r="D163" s="28"/>
      <c r="E163" s="284"/>
      <c r="F163" s="241"/>
      <c r="G163" s="241"/>
      <c r="H163" s="285"/>
      <c r="I163" s="645"/>
      <c r="J163" s="284"/>
      <c r="K163" s="241"/>
      <c r="L163" s="241"/>
      <c r="M163" s="285"/>
      <c r="N163" s="645"/>
      <c r="O163" s="284"/>
      <c r="P163" s="241"/>
      <c r="Q163" s="646"/>
      <c r="R163" s="586"/>
      <c r="S163" s="645"/>
      <c r="T163" s="284"/>
      <c r="U163" s="241"/>
      <c r="V163" s="646"/>
      <c r="W163" s="586"/>
      <c r="X163" s="645"/>
      <c r="Y163" s="290"/>
      <c r="Z163" s="260"/>
      <c r="AA163" s="1467"/>
      <c r="AB163" s="1436"/>
      <c r="AC163" s="1453"/>
      <c r="AD163" s="290"/>
      <c r="AE163" s="260"/>
      <c r="AF163" s="1467"/>
      <c r="AG163" s="1436"/>
      <c r="AH163" s="1453"/>
      <c r="AI163" s="290"/>
      <c r="AJ163" s="260"/>
      <c r="AK163" s="1467"/>
      <c r="AL163" s="1436"/>
      <c r="AM163" s="1453"/>
      <c r="AN163" s="290"/>
      <c r="AO163" s="260"/>
      <c r="AP163" s="646"/>
      <c r="AQ163" s="1436"/>
      <c r="AR163" s="1453"/>
      <c r="AS163" s="300"/>
      <c r="AT163" s="260"/>
      <c r="AU163" s="260"/>
      <c r="AV163" s="1436"/>
      <c r="AW163" s="1453"/>
      <c r="AX163" s="290">
        <f>+BB163/4</f>
        <v>100</v>
      </c>
      <c r="AY163" s="260">
        <f>+BB163/4</f>
        <v>100</v>
      </c>
      <c r="AZ163" s="646">
        <f>+BB163/4</f>
        <v>100</v>
      </c>
      <c r="BA163" s="586">
        <f>+BB163/4</f>
        <v>100</v>
      </c>
      <c r="BB163" s="775">
        <v>400</v>
      </c>
      <c r="BC163" s="290">
        <f>+BG163/4</f>
        <v>106.25</v>
      </c>
      <c r="BD163" s="260">
        <f>+BG163/4</f>
        <v>106.25</v>
      </c>
      <c r="BE163" s="646">
        <f>+BG163/4</f>
        <v>106.25</v>
      </c>
      <c r="BF163" s="586">
        <f>+BG163/4</f>
        <v>106.25</v>
      </c>
      <c r="BG163" s="775">
        <v>425</v>
      </c>
      <c r="BH163" s="290">
        <f>+BL163/4</f>
        <v>106.25</v>
      </c>
      <c r="BI163" s="260">
        <f>+BL163/4</f>
        <v>106.25</v>
      </c>
      <c r="BJ163" s="646">
        <f>+BL163/4</f>
        <v>106.25</v>
      </c>
      <c r="BK163" s="586">
        <f>+BL163/4</f>
        <v>106.25</v>
      </c>
      <c r="BL163" s="775">
        <v>425</v>
      </c>
      <c r="BM163" s="290">
        <f>+BQ163/4</f>
        <v>100</v>
      </c>
      <c r="BN163" s="260">
        <f>+BQ163/4</f>
        <v>100</v>
      </c>
      <c r="BO163" s="646">
        <f>+BQ163/4</f>
        <v>100</v>
      </c>
      <c r="BP163" s="586">
        <f>+BQ163/4</f>
        <v>100</v>
      </c>
      <c r="BQ163" s="775">
        <v>400</v>
      </c>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row>
    <row r="164" spans="1:99">
      <c r="A164" s="28"/>
      <c r="B164" s="28"/>
      <c r="C164" s="383" t="s">
        <v>654</v>
      </c>
      <c r="D164" s="28"/>
      <c r="E164" s="284"/>
      <c r="F164" s="241"/>
      <c r="G164" s="241"/>
      <c r="H164" s="285"/>
      <c r="I164" s="427"/>
      <c r="J164" s="284"/>
      <c r="K164" s="241"/>
      <c r="L164" s="241"/>
      <c r="M164" s="285"/>
      <c r="N164" s="427"/>
      <c r="O164" s="284"/>
      <c r="P164" s="241"/>
      <c r="Q164" s="646"/>
      <c r="R164" s="586"/>
      <c r="S164" s="427"/>
      <c r="T164" s="284"/>
      <c r="U164" s="241"/>
      <c r="V164" s="646"/>
      <c r="W164" s="586"/>
      <c r="X164" s="427"/>
      <c r="Y164" s="290"/>
      <c r="Z164" s="260"/>
      <c r="AA164" s="1467"/>
      <c r="AB164" s="1436"/>
      <c r="AC164" s="1437"/>
      <c r="AD164" s="290"/>
      <c r="AE164" s="260"/>
      <c r="AF164" s="1467"/>
      <c r="AG164" s="1436"/>
      <c r="AH164" s="1437"/>
      <c r="AI164" s="290"/>
      <c r="AJ164" s="260"/>
      <c r="AK164" s="1467"/>
      <c r="AL164" s="1436"/>
      <c r="AM164" s="1437"/>
      <c r="AN164" s="290"/>
      <c r="AO164" s="260"/>
      <c r="AP164" s="646"/>
      <c r="AQ164" s="1436"/>
      <c r="AR164" s="1437"/>
      <c r="AS164" s="300"/>
      <c r="AT164" s="260"/>
      <c r="AU164" s="260"/>
      <c r="AV164" s="1436"/>
      <c r="AW164" s="1437"/>
      <c r="AX164" s="290">
        <f>+BB164/4</f>
        <v>43.75</v>
      </c>
      <c r="AY164" s="260">
        <f>+BB164/4</f>
        <v>43.75</v>
      </c>
      <c r="AZ164" s="646">
        <f>+BB164/4</f>
        <v>43.75</v>
      </c>
      <c r="BA164" s="586">
        <f>+BB164/4</f>
        <v>43.75</v>
      </c>
      <c r="BB164" s="426">
        <v>175</v>
      </c>
      <c r="BC164" s="290">
        <f>+BG164/4</f>
        <v>56.25</v>
      </c>
      <c r="BD164" s="260">
        <f>+BG164/4</f>
        <v>56.25</v>
      </c>
      <c r="BE164" s="646">
        <f>+BG164/4</f>
        <v>56.25</v>
      </c>
      <c r="BF164" s="586">
        <f>+BG164/4</f>
        <v>56.25</v>
      </c>
      <c r="BG164" s="426">
        <v>225</v>
      </c>
      <c r="BH164" s="290">
        <f>+BL164/4</f>
        <v>50</v>
      </c>
      <c r="BI164" s="260">
        <f>+BL164/4</f>
        <v>50</v>
      </c>
      <c r="BJ164" s="646">
        <f>+BL164/4</f>
        <v>50</v>
      </c>
      <c r="BK164" s="586">
        <f>+BL164/4</f>
        <v>50</v>
      </c>
      <c r="BL164" s="426">
        <v>200</v>
      </c>
      <c r="BM164" s="290">
        <f>+BQ164/4</f>
        <v>50</v>
      </c>
      <c r="BN164" s="260">
        <f>+BQ164/4</f>
        <v>50</v>
      </c>
      <c r="BO164" s="646">
        <f>+BQ164/4</f>
        <v>50</v>
      </c>
      <c r="BP164" s="586">
        <f>+BQ164/4</f>
        <v>50</v>
      </c>
      <c r="BQ164" s="426">
        <v>200</v>
      </c>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row>
    <row r="165" spans="1:99">
      <c r="A165" s="28"/>
      <c r="B165" s="28"/>
      <c r="C165" s="383" t="s">
        <v>657</v>
      </c>
      <c r="D165" s="28"/>
      <c r="E165" s="284"/>
      <c r="F165" s="241"/>
      <c r="G165" s="241"/>
      <c r="H165" s="285"/>
      <c r="I165" s="427"/>
      <c r="J165" s="284"/>
      <c r="K165" s="241"/>
      <c r="L165" s="241"/>
      <c r="M165" s="285"/>
      <c r="N165" s="427"/>
      <c r="O165" s="284"/>
      <c r="P165" s="241"/>
      <c r="Q165" s="646"/>
      <c r="R165" s="586"/>
      <c r="S165" s="427"/>
      <c r="T165" s="284"/>
      <c r="U165" s="241"/>
      <c r="V165" s="646"/>
      <c r="W165" s="586"/>
      <c r="X165" s="427"/>
      <c r="Y165" s="290"/>
      <c r="Z165" s="260"/>
      <c r="AA165" s="1467"/>
      <c r="AB165" s="1436"/>
      <c r="AC165" s="1437"/>
      <c r="AD165" s="290"/>
      <c r="AE165" s="260"/>
      <c r="AF165" s="1467"/>
      <c r="AG165" s="1436"/>
      <c r="AH165" s="1437"/>
      <c r="AI165" s="290"/>
      <c r="AJ165" s="260"/>
      <c r="AK165" s="1467"/>
      <c r="AL165" s="1436"/>
      <c r="AM165" s="1437"/>
      <c r="AN165" s="290"/>
      <c r="AO165" s="260"/>
      <c r="AP165" s="646"/>
      <c r="AQ165" s="1436"/>
      <c r="AR165" s="1437"/>
      <c r="AS165" s="300"/>
      <c r="AT165" s="260"/>
      <c r="AU165" s="260"/>
      <c r="AV165" s="1436"/>
      <c r="AW165" s="1437"/>
      <c r="AX165" s="290">
        <f>+BB165/4</f>
        <v>0</v>
      </c>
      <c r="AY165" s="260">
        <f>+BB165/4</f>
        <v>0</v>
      </c>
      <c r="AZ165" s="646">
        <f>+BB165/4</f>
        <v>0</v>
      </c>
      <c r="BA165" s="586">
        <f>+BB165/4</f>
        <v>0</v>
      </c>
      <c r="BB165" s="426">
        <v>0</v>
      </c>
      <c r="BC165" s="290">
        <f>+BG165/4</f>
        <v>0</v>
      </c>
      <c r="BD165" s="260">
        <f>+BG165/4</f>
        <v>0</v>
      </c>
      <c r="BE165" s="646">
        <f>+BG165/4</f>
        <v>0</v>
      </c>
      <c r="BF165" s="586">
        <f>+BG165/4</f>
        <v>0</v>
      </c>
      <c r="BG165" s="426">
        <v>0</v>
      </c>
      <c r="BH165" s="290">
        <f>+BL165/4</f>
        <v>0</v>
      </c>
      <c r="BI165" s="260">
        <f>+BL165/4</f>
        <v>0</v>
      </c>
      <c r="BJ165" s="646">
        <f>+BL165/4</f>
        <v>0</v>
      </c>
      <c r="BK165" s="586">
        <f>+BL165/4</f>
        <v>0</v>
      </c>
      <c r="BL165" s="426">
        <v>0</v>
      </c>
      <c r="BM165" s="290">
        <f>+BQ165/4</f>
        <v>0</v>
      </c>
      <c r="BN165" s="260">
        <f>+BQ165/4</f>
        <v>0</v>
      </c>
      <c r="BO165" s="646">
        <f>+BQ165/4</f>
        <v>0</v>
      </c>
      <c r="BP165" s="586">
        <f>+BQ165/4</f>
        <v>0</v>
      </c>
      <c r="BQ165" s="426">
        <f>+BL165</f>
        <v>0</v>
      </c>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row>
    <row r="166" spans="1:99">
      <c r="A166" s="28"/>
      <c r="B166" s="28"/>
      <c r="C166" s="383" t="s">
        <v>656</v>
      </c>
      <c r="D166" s="28"/>
      <c r="E166" s="284"/>
      <c r="F166" s="241"/>
      <c r="G166" s="241"/>
      <c r="H166" s="285"/>
      <c r="I166" s="645"/>
      <c r="J166" s="284"/>
      <c r="K166" s="241"/>
      <c r="L166" s="241"/>
      <c r="M166" s="285"/>
      <c r="N166" s="645"/>
      <c r="O166" s="284"/>
      <c r="P166" s="241"/>
      <c r="Q166" s="646"/>
      <c r="R166" s="586"/>
      <c r="S166" s="645"/>
      <c r="T166" s="284"/>
      <c r="U166" s="241"/>
      <c r="V166" s="646"/>
      <c r="W166" s="586"/>
      <c r="X166" s="645"/>
      <c r="Y166" s="290"/>
      <c r="Z166" s="260"/>
      <c r="AA166" s="1467"/>
      <c r="AB166" s="1436"/>
      <c r="AC166" s="1453"/>
      <c r="AD166" s="290"/>
      <c r="AE166" s="260"/>
      <c r="AF166" s="1467"/>
      <c r="AG166" s="1436"/>
      <c r="AH166" s="1453"/>
      <c r="AI166" s="290"/>
      <c r="AJ166" s="260"/>
      <c r="AK166" s="1467"/>
      <c r="AL166" s="1436"/>
      <c r="AM166" s="1453"/>
      <c r="AN166" s="290"/>
      <c r="AO166" s="260"/>
      <c r="AP166" s="260"/>
      <c r="AQ166" s="1436"/>
      <c r="AR166" s="1453"/>
      <c r="AS166" s="300"/>
      <c r="AT166" s="264"/>
      <c r="AU166" s="264"/>
      <c r="AV166" s="1436"/>
      <c r="AW166" s="1453"/>
      <c r="AX166" s="290">
        <f>+BB166/4</f>
        <v>100</v>
      </c>
      <c r="AY166" s="260">
        <f>+BB166/4</f>
        <v>100</v>
      </c>
      <c r="AZ166" s="646">
        <f>+BB166/4</f>
        <v>100</v>
      </c>
      <c r="BA166" s="586">
        <f>+BB166/4</f>
        <v>100</v>
      </c>
      <c r="BB166" s="775">
        <v>400</v>
      </c>
      <c r="BC166" s="290">
        <f>+BG166/4</f>
        <v>118.75</v>
      </c>
      <c r="BD166" s="260">
        <f>+BG166/4</f>
        <v>118.75</v>
      </c>
      <c r="BE166" s="646">
        <f>+BG166/4</f>
        <v>118.75</v>
      </c>
      <c r="BF166" s="586">
        <f>+BG166/4</f>
        <v>118.75</v>
      </c>
      <c r="BG166" s="775">
        <v>475</v>
      </c>
      <c r="BH166" s="290">
        <f>+BL166/4</f>
        <v>112.5</v>
      </c>
      <c r="BI166" s="260">
        <f>+BL166/4</f>
        <v>112.5</v>
      </c>
      <c r="BJ166" s="646">
        <f>+BL166/4</f>
        <v>112.5</v>
      </c>
      <c r="BK166" s="586">
        <f>+BL166/4</f>
        <v>112.5</v>
      </c>
      <c r="BL166" s="775">
        <v>450</v>
      </c>
      <c r="BM166" s="290">
        <f>+BQ166/4</f>
        <v>93.75</v>
      </c>
      <c r="BN166" s="260">
        <f>+BQ166/4</f>
        <v>93.75</v>
      </c>
      <c r="BO166" s="646">
        <f>+BQ166/4</f>
        <v>93.75</v>
      </c>
      <c r="BP166" s="586">
        <f>+BQ166/4</f>
        <v>93.75</v>
      </c>
      <c r="BQ166" s="775">
        <v>375</v>
      </c>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row>
    <row r="167" spans="1:99">
      <c r="A167" s="228"/>
      <c r="B167" s="228"/>
      <c r="C167" s="641" t="s">
        <v>147</v>
      </c>
      <c r="D167" s="228"/>
      <c r="E167" s="580">
        <f>-E197</f>
        <v>79.3</v>
      </c>
      <c r="F167" s="581">
        <f t="shared" ref="F167:S167" si="418">-F197</f>
        <v>87.399999999999991</v>
      </c>
      <c r="G167" s="581">
        <f t="shared" si="418"/>
        <v>99.100000000000023</v>
      </c>
      <c r="H167" s="582">
        <f t="shared" si="418"/>
        <v>106.80000000000001</v>
      </c>
      <c r="I167" s="583">
        <f t="shared" si="418"/>
        <v>372.6</v>
      </c>
      <c r="J167" s="580">
        <f t="shared" si="418"/>
        <v>87.2</v>
      </c>
      <c r="K167" s="581">
        <f t="shared" si="418"/>
        <v>103.10000000000001</v>
      </c>
      <c r="L167" s="581">
        <f t="shared" si="418"/>
        <v>175.39999999999998</v>
      </c>
      <c r="M167" s="582">
        <f t="shared" si="418"/>
        <v>185.8</v>
      </c>
      <c r="N167" s="583">
        <f t="shared" si="418"/>
        <v>551.5</v>
      </c>
      <c r="O167" s="580">
        <f t="shared" si="418"/>
        <v>136.19999999999999</v>
      </c>
      <c r="P167" s="581">
        <f t="shared" si="418"/>
        <v>168.3</v>
      </c>
      <c r="Q167" s="581">
        <f t="shared" si="418"/>
        <v>140.10000000000002</v>
      </c>
      <c r="R167" s="582">
        <f t="shared" si="418"/>
        <v>143.39999999999998</v>
      </c>
      <c r="S167" s="583">
        <f t="shared" si="418"/>
        <v>588</v>
      </c>
      <c r="T167" s="580">
        <f t="shared" ref="T167:AC167" si="419">-T197</f>
        <v>115</v>
      </c>
      <c r="U167" s="581">
        <f t="shared" si="419"/>
        <v>167</v>
      </c>
      <c r="V167" s="581">
        <f t="shared" si="419"/>
        <v>120</v>
      </c>
      <c r="W167" s="582">
        <f t="shared" si="419"/>
        <v>180</v>
      </c>
      <c r="X167" s="583">
        <f t="shared" si="419"/>
        <v>582</v>
      </c>
      <c r="Y167" s="580">
        <f t="shared" si="419"/>
        <v>134</v>
      </c>
      <c r="Z167" s="261">
        <f t="shared" si="419"/>
        <v>130</v>
      </c>
      <c r="AA167" s="1468">
        <f t="shared" si="419"/>
        <v>127</v>
      </c>
      <c r="AB167" s="1463">
        <f t="shared" si="419"/>
        <v>196</v>
      </c>
      <c r="AC167" s="1464">
        <f t="shared" si="419"/>
        <v>587</v>
      </c>
      <c r="AD167" s="580">
        <f t="shared" ref="AD167:AH167" si="420">-AD197</f>
        <v>146</v>
      </c>
      <c r="AE167" s="261">
        <f t="shared" si="420"/>
        <v>167</v>
      </c>
      <c r="AF167" s="1468">
        <f t="shared" si="420"/>
        <v>145</v>
      </c>
      <c r="AG167" s="1463">
        <f t="shared" si="420"/>
        <v>162</v>
      </c>
      <c r="AH167" s="1464">
        <f t="shared" si="420"/>
        <v>620</v>
      </c>
      <c r="AI167" s="580">
        <f t="shared" ref="AI167:AM167" si="421">-AI197</f>
        <v>136</v>
      </c>
      <c r="AJ167" s="261">
        <f t="shared" si="421"/>
        <v>168</v>
      </c>
      <c r="AK167" s="1468">
        <f t="shared" si="421"/>
        <v>202</v>
      </c>
      <c r="AL167" s="1463">
        <f t="shared" si="421"/>
        <v>213</v>
      </c>
      <c r="AM167" s="1464">
        <f t="shared" si="421"/>
        <v>719</v>
      </c>
      <c r="AN167" s="580">
        <f t="shared" ref="AN167:AO167" si="422">-AN197</f>
        <v>176</v>
      </c>
      <c r="AO167" s="261">
        <f t="shared" si="422"/>
        <v>216</v>
      </c>
      <c r="AP167" s="261">
        <f t="shared" ref="AP167:AU167" si="423">-AP197</f>
        <v>219</v>
      </c>
      <c r="AQ167" s="1463">
        <f t="shared" si="423"/>
        <v>323</v>
      </c>
      <c r="AR167" s="1464">
        <f t="shared" si="423"/>
        <v>934</v>
      </c>
      <c r="AS167" s="580">
        <f t="shared" si="423"/>
        <v>166</v>
      </c>
      <c r="AT167" s="261">
        <f t="shared" si="423"/>
        <v>239</v>
      </c>
      <c r="AU167" s="261">
        <f t="shared" si="423"/>
        <v>210</v>
      </c>
      <c r="AV167" s="1463">
        <f t="shared" ref="AV167:AW167" si="424">-AV197</f>
        <v>267</v>
      </c>
      <c r="AW167" s="1464">
        <f t="shared" si="424"/>
        <v>882</v>
      </c>
      <c r="AX167" s="292">
        <f t="shared" ref="AX167:BA167" si="425">SUM(AX163:AX166)</f>
        <v>243.75</v>
      </c>
      <c r="AY167" s="261">
        <f t="shared" si="425"/>
        <v>243.75</v>
      </c>
      <c r="AZ167" s="261">
        <f t="shared" si="425"/>
        <v>243.75</v>
      </c>
      <c r="BA167" s="293">
        <f t="shared" si="425"/>
        <v>243.75</v>
      </c>
      <c r="BB167" s="583">
        <f>SUM(BB163:BB166)</f>
        <v>975</v>
      </c>
      <c r="BC167" s="292">
        <f t="shared" ref="BC167:BK167" si="426">SUM(BC163:BC166)</f>
        <v>281.25</v>
      </c>
      <c r="BD167" s="261">
        <f t="shared" si="426"/>
        <v>281.25</v>
      </c>
      <c r="BE167" s="261">
        <f t="shared" si="426"/>
        <v>281.25</v>
      </c>
      <c r="BF167" s="293">
        <f t="shared" si="426"/>
        <v>281.25</v>
      </c>
      <c r="BG167" s="583">
        <f>SUM(BG163:BG166)</f>
        <v>1125</v>
      </c>
      <c r="BH167" s="292">
        <f t="shared" si="426"/>
        <v>268.75</v>
      </c>
      <c r="BI167" s="261">
        <f t="shared" si="426"/>
        <v>268.75</v>
      </c>
      <c r="BJ167" s="261">
        <f t="shared" si="426"/>
        <v>268.75</v>
      </c>
      <c r="BK167" s="293">
        <f t="shared" si="426"/>
        <v>268.75</v>
      </c>
      <c r="BL167" s="583">
        <f>SUM(BL163:BL166)</f>
        <v>1075</v>
      </c>
      <c r="BM167" s="292">
        <f t="shared" ref="BM167:BP167" si="427">SUM(BM163:BM166)</f>
        <v>243.75</v>
      </c>
      <c r="BN167" s="261">
        <f t="shared" si="427"/>
        <v>243.75</v>
      </c>
      <c r="BO167" s="261">
        <f t="shared" si="427"/>
        <v>243.75</v>
      </c>
      <c r="BP167" s="293">
        <f t="shared" si="427"/>
        <v>243.75</v>
      </c>
      <c r="BQ167" s="583">
        <f>SUM(BQ163:BQ166)</f>
        <v>975</v>
      </c>
      <c r="BR167" s="383"/>
      <c r="BS167" s="228"/>
      <c r="BT167" s="228"/>
      <c r="BU167" s="228"/>
      <c r="BV167" s="228"/>
      <c r="BW167" s="228"/>
      <c r="BX167" s="228"/>
      <c r="BY167" s="228"/>
      <c r="BZ167" s="228"/>
      <c r="CA167" s="228"/>
      <c r="CB167" s="228"/>
      <c r="CC167" s="228"/>
      <c r="CD167" s="228"/>
      <c r="CE167" s="228"/>
      <c r="CF167" s="228"/>
      <c r="CG167" s="228"/>
      <c r="CH167" s="228"/>
      <c r="CI167" s="228"/>
      <c r="CJ167" s="228"/>
      <c r="CK167" s="228"/>
      <c r="CL167" s="228"/>
      <c r="CM167" s="228"/>
      <c r="CN167" s="228"/>
      <c r="CO167" s="228"/>
      <c r="CP167" s="228"/>
      <c r="CQ167" s="228"/>
      <c r="CR167" s="228"/>
      <c r="CS167" s="228"/>
      <c r="CT167" s="228"/>
      <c r="CU167" s="228"/>
    </row>
    <row r="168" spans="1:99">
      <c r="A168" s="383"/>
      <c r="B168" s="383"/>
      <c r="C168" s="383"/>
      <c r="D168" s="383"/>
      <c r="E168" s="616"/>
      <c r="F168" s="617"/>
      <c r="G168" s="617"/>
      <c r="H168" s="656"/>
      <c r="I168" s="657"/>
      <c r="J168" s="616"/>
      <c r="K168" s="617"/>
      <c r="L168" s="617"/>
      <c r="M168" s="656"/>
      <c r="N168" s="657"/>
      <c r="O168" s="613"/>
      <c r="P168" s="614"/>
      <c r="Q168" s="614"/>
      <c r="R168" s="615"/>
      <c r="S168" s="383"/>
      <c r="T168" s="613"/>
      <c r="U168" s="614"/>
      <c r="V168" s="614"/>
      <c r="W168" s="615"/>
      <c r="X168" s="383"/>
      <c r="Y168" s="613"/>
      <c r="Z168" s="614"/>
      <c r="AA168" s="614"/>
      <c r="AB168" s="615"/>
      <c r="AC168" s="383"/>
      <c r="AD168" s="613"/>
      <c r="AE168" s="614"/>
      <c r="AF168" s="614"/>
      <c r="AG168" s="615"/>
      <c r="AH168" s="383"/>
      <c r="AI168" s="613"/>
      <c r="AJ168" s="614"/>
      <c r="AK168" s="614"/>
      <c r="AL168" s="615"/>
      <c r="AM168" s="383"/>
      <c r="AN168" s="613"/>
      <c r="AO168" s="614"/>
      <c r="AP168" s="614"/>
      <c r="AQ168" s="615"/>
      <c r="AR168" s="383"/>
      <c r="AS168" s="613"/>
      <c r="AT168" s="614"/>
      <c r="AU168" s="614"/>
      <c r="AV168" s="615"/>
      <c r="AW168" s="383"/>
      <c r="AX168" s="613"/>
      <c r="AY168" s="614"/>
      <c r="AZ168" s="614"/>
      <c r="BA168" s="615"/>
      <c r="BB168" s="383"/>
      <c r="BC168" s="613"/>
      <c r="BD168" s="614"/>
      <c r="BE168" s="614"/>
      <c r="BF168" s="615"/>
      <c r="BG168" s="383"/>
      <c r="BH168" s="613"/>
      <c r="BI168" s="614"/>
      <c r="BJ168" s="614"/>
      <c r="BK168" s="615"/>
      <c r="BL168" s="383"/>
      <c r="BM168" s="613"/>
      <c r="BN168" s="614"/>
      <c r="BO168" s="614"/>
      <c r="BP168" s="615"/>
      <c r="BQ168" s="383"/>
      <c r="BR168" s="383"/>
      <c r="BS168" s="383"/>
      <c r="BT168" s="383"/>
      <c r="BU168" s="383"/>
      <c r="BV168" s="383"/>
      <c r="BW168" s="383"/>
      <c r="BX168" s="383"/>
      <c r="BY168" s="383"/>
      <c r="BZ168" s="383"/>
      <c r="CA168" s="383"/>
      <c r="CB168" s="383"/>
      <c r="CC168" s="383"/>
      <c r="CD168" s="383"/>
      <c r="CE168" s="383"/>
      <c r="CF168" s="383"/>
      <c r="CG168" s="383"/>
      <c r="CH168" s="383"/>
      <c r="CI168" s="383"/>
      <c r="CJ168" s="383"/>
      <c r="CK168" s="383"/>
      <c r="CL168" s="383"/>
      <c r="CM168" s="383"/>
      <c r="CN168" s="383"/>
      <c r="CO168" s="383"/>
      <c r="CP168" s="383"/>
      <c r="CQ168" s="383"/>
      <c r="CR168" s="383"/>
      <c r="CS168" s="383"/>
      <c r="CT168" s="383"/>
      <c r="CU168" s="383"/>
    </row>
    <row r="169" spans="1:99">
      <c r="A169" s="383"/>
      <c r="B169" s="383"/>
      <c r="C169" s="383"/>
      <c r="D169" s="383"/>
      <c r="E169" s="613"/>
      <c r="F169" s="614"/>
      <c r="G169" s="614"/>
      <c r="H169" s="615"/>
      <c r="I169" s="383"/>
      <c r="J169" s="613"/>
      <c r="K169" s="614"/>
      <c r="L169" s="614"/>
      <c r="M169" s="615"/>
      <c r="N169" s="383"/>
      <c r="O169" s="613"/>
      <c r="P169" s="614"/>
      <c r="Q169" s="614"/>
      <c r="R169" s="615"/>
      <c r="S169" s="383"/>
      <c r="T169" s="613"/>
      <c r="U169" s="614"/>
      <c r="V169" s="614"/>
      <c r="W169" s="615"/>
      <c r="X169" s="383"/>
      <c r="Y169" s="613"/>
      <c r="Z169" s="614"/>
      <c r="AA169" s="614"/>
      <c r="AB169" s="615"/>
      <c r="AC169" s="383"/>
      <c r="AD169" s="613"/>
      <c r="AE169" s="614"/>
      <c r="AF169" s="614"/>
      <c r="AG169" s="615"/>
      <c r="AH169" s="383"/>
      <c r="AI169" s="613"/>
      <c r="AJ169" s="614"/>
      <c r="AK169" s="614"/>
      <c r="AL169" s="615"/>
      <c r="AM169" s="383"/>
      <c r="AN169" s="613"/>
      <c r="AO169" s="614"/>
      <c r="AP169" s="614"/>
      <c r="AQ169" s="615"/>
      <c r="AR169" s="383"/>
      <c r="AS169" s="613"/>
      <c r="AT169" s="614"/>
      <c r="AU169" s="614"/>
      <c r="AV169" s="615"/>
      <c r="AW169" s="383"/>
      <c r="AX169" s="613"/>
      <c r="AY169" s="614"/>
      <c r="AZ169" s="614"/>
      <c r="BA169" s="615"/>
      <c r="BB169" s="383"/>
      <c r="BC169" s="613"/>
      <c r="BD169" s="614"/>
      <c r="BE169" s="614"/>
      <c r="BF169" s="615"/>
      <c r="BG169" s="383"/>
      <c r="BH169" s="613"/>
      <c r="BI169" s="614"/>
      <c r="BJ169" s="614"/>
      <c r="BK169" s="615"/>
      <c r="BL169" s="383"/>
      <c r="BM169" s="613"/>
      <c r="BN169" s="614"/>
      <c r="BO169" s="614"/>
      <c r="BP169" s="615"/>
      <c r="BQ169" s="383"/>
      <c r="BR169" s="383"/>
      <c r="BS169" s="383"/>
      <c r="BT169" s="383"/>
      <c r="BU169" s="383"/>
      <c r="BV169" s="383"/>
      <c r="BW169" s="383"/>
      <c r="BX169" s="383"/>
      <c r="BY169" s="383"/>
      <c r="BZ169" s="383"/>
      <c r="CA169" s="383"/>
      <c r="CB169" s="383"/>
      <c r="CC169" s="383"/>
      <c r="CD169" s="383"/>
      <c r="CE169" s="383"/>
      <c r="CF169" s="383"/>
      <c r="CG169" s="383"/>
      <c r="CH169" s="383"/>
      <c r="CI169" s="383"/>
      <c r="CJ169" s="383"/>
      <c r="CK169" s="383"/>
      <c r="CL169" s="383"/>
      <c r="CM169" s="383"/>
      <c r="CN169" s="383"/>
      <c r="CO169" s="383"/>
      <c r="CP169" s="383"/>
      <c r="CQ169" s="383"/>
      <c r="CR169" s="383"/>
      <c r="CS169" s="383"/>
      <c r="CT169" s="383"/>
      <c r="CU169" s="383"/>
    </row>
    <row r="170" spans="1:99">
      <c r="A170" s="383"/>
      <c r="B170" s="379" t="s">
        <v>699</v>
      </c>
      <c r="C170" s="658"/>
      <c r="D170" s="659"/>
      <c r="E170" s="613"/>
      <c r="F170" s="614"/>
      <c r="G170" s="614"/>
      <c r="H170" s="615"/>
      <c r="I170" s="383"/>
      <c r="J170" s="613"/>
      <c r="K170" s="614"/>
      <c r="L170" s="614"/>
      <c r="M170" s="615"/>
      <c r="N170" s="383"/>
      <c r="O170" s="613"/>
      <c r="P170" s="614"/>
      <c r="Q170" s="614"/>
      <c r="R170" s="615"/>
      <c r="S170" s="383"/>
      <c r="T170" s="613"/>
      <c r="U170" s="614"/>
      <c r="V170" s="614"/>
      <c r="W170" s="615"/>
      <c r="X170" s="383"/>
      <c r="Y170" s="613"/>
      <c r="Z170" s="614"/>
      <c r="AA170" s="614"/>
      <c r="AB170" s="615"/>
      <c r="AC170" s="383"/>
      <c r="AD170" s="613"/>
      <c r="AE170" s="614"/>
      <c r="AF170" s="614"/>
      <c r="AG170" s="615"/>
      <c r="AH170" s="383"/>
      <c r="AI170" s="613"/>
      <c r="AJ170" s="614"/>
      <c r="AK170" s="614"/>
      <c r="AL170" s="615"/>
      <c r="AM170" s="383"/>
      <c r="AN170" s="613"/>
      <c r="AO170" s="614"/>
      <c r="AP170" s="614"/>
      <c r="AQ170" s="615"/>
      <c r="AR170" s="383"/>
      <c r="AS170" s="613"/>
      <c r="AT170" s="614"/>
      <c r="AU170" s="614"/>
      <c r="AV170" s="615"/>
      <c r="AW170" s="383"/>
      <c r="AX170" s="613"/>
      <c r="AY170" s="614"/>
      <c r="AZ170" s="614"/>
      <c r="BA170" s="615"/>
      <c r="BB170" s="383"/>
      <c r="BC170" s="613"/>
      <c r="BD170" s="614"/>
      <c r="BE170" s="614"/>
      <c r="BF170" s="615"/>
      <c r="BG170" s="383"/>
      <c r="BH170" s="613"/>
      <c r="BI170" s="614"/>
      <c r="BJ170" s="614"/>
      <c r="BK170" s="615"/>
      <c r="BL170" s="383"/>
      <c r="BM170" s="613"/>
      <c r="BN170" s="614"/>
      <c r="BO170" s="614"/>
      <c r="BP170" s="615"/>
      <c r="BQ170" s="383"/>
      <c r="BR170" s="383"/>
      <c r="BS170" s="383"/>
      <c r="BT170" s="383"/>
      <c r="BU170" s="383"/>
      <c r="BV170" s="383"/>
      <c r="BW170" s="383"/>
      <c r="BX170" s="383"/>
      <c r="BY170" s="383"/>
      <c r="BZ170" s="383"/>
      <c r="CA170" s="383"/>
      <c r="CB170" s="383"/>
      <c r="CC170" s="383"/>
      <c r="CD170" s="383"/>
      <c r="CE170" s="383"/>
      <c r="CF170" s="383"/>
      <c r="CG170" s="383"/>
      <c r="CH170" s="383"/>
      <c r="CI170" s="383"/>
      <c r="CJ170" s="383"/>
      <c r="CK170" s="383"/>
      <c r="CL170" s="383"/>
      <c r="CM170" s="383"/>
      <c r="CN170" s="383"/>
      <c r="CO170" s="383"/>
      <c r="CP170" s="383"/>
      <c r="CQ170" s="383"/>
      <c r="CR170" s="383"/>
      <c r="CS170" s="383"/>
      <c r="CT170" s="383"/>
      <c r="CU170" s="383"/>
    </row>
    <row r="171" spans="1:99">
      <c r="A171" s="45"/>
      <c r="B171" s="45"/>
      <c r="C171" s="28" t="s">
        <v>620</v>
      </c>
      <c r="D171" s="45"/>
      <c r="E171" s="290">
        <f>E20</f>
        <v>2</v>
      </c>
      <c r="F171" s="260">
        <f>F20</f>
        <v>2.2000000000000002</v>
      </c>
      <c r="G171" s="260">
        <f>G20</f>
        <v>1.8999999999999995</v>
      </c>
      <c r="H171" s="291">
        <f>H20</f>
        <v>2.0999999999999996</v>
      </c>
      <c r="I171" s="45">
        <f>SUM(E171:H171)</f>
        <v>8.1999999999999993</v>
      </c>
      <c r="J171" s="290">
        <f>J20</f>
        <v>2.5</v>
      </c>
      <c r="K171" s="260">
        <f>K20</f>
        <v>2.7</v>
      </c>
      <c r="L171" s="260">
        <f>L20</f>
        <v>2.5</v>
      </c>
      <c r="M171" s="291">
        <f>M20</f>
        <v>2.8</v>
      </c>
      <c r="N171" s="45">
        <f>SUM(J171:M171)</f>
        <v>10.5</v>
      </c>
      <c r="O171" s="290">
        <f>O20</f>
        <v>3.5</v>
      </c>
      <c r="P171" s="260">
        <f>P20</f>
        <v>3.5</v>
      </c>
      <c r="Q171" s="260">
        <f>Q20</f>
        <v>3.6999999999999993</v>
      </c>
      <c r="R171" s="291">
        <f>R20</f>
        <v>4.4000000000000004</v>
      </c>
      <c r="S171" s="45">
        <f>SUM(O171:R171)</f>
        <v>15.1</v>
      </c>
      <c r="T171" s="290">
        <f>T20</f>
        <v>3</v>
      </c>
      <c r="U171" s="260">
        <f>U20</f>
        <v>2</v>
      </c>
      <c r="V171" s="260">
        <f>V20</f>
        <v>2</v>
      </c>
      <c r="W171" s="291">
        <f>W20</f>
        <v>3</v>
      </c>
      <c r="X171" s="45">
        <f>SUM(T171:W171)</f>
        <v>10</v>
      </c>
      <c r="Y171" s="290">
        <f>Y20</f>
        <v>2</v>
      </c>
      <c r="Z171" s="260">
        <f>Z20</f>
        <v>2</v>
      </c>
      <c r="AA171" s="1441">
        <f>AA20</f>
        <v>1</v>
      </c>
      <c r="AB171" s="1442">
        <f>AB20</f>
        <v>2</v>
      </c>
      <c r="AC171" s="1443">
        <f>SUM(Y171:AB171)</f>
        <v>7</v>
      </c>
      <c r="AD171" s="290">
        <f>AD20</f>
        <v>3</v>
      </c>
      <c r="AE171" s="260">
        <f>AE20</f>
        <v>3</v>
      </c>
      <c r="AF171" s="1441">
        <f>AF20</f>
        <v>3</v>
      </c>
      <c r="AG171" s="1442">
        <f>AG20</f>
        <v>3</v>
      </c>
      <c r="AH171" s="1443">
        <f>SUM(AD171:AG171)</f>
        <v>12</v>
      </c>
      <c r="AI171" s="290">
        <f>AI20</f>
        <v>3</v>
      </c>
      <c r="AJ171" s="260">
        <f>AJ20</f>
        <v>3</v>
      </c>
      <c r="AK171" s="1441">
        <f>AK20</f>
        <v>4</v>
      </c>
      <c r="AL171" s="1442">
        <f>AL20</f>
        <v>4</v>
      </c>
      <c r="AM171" s="1443">
        <f>SUM(AI171:AL171)</f>
        <v>14</v>
      </c>
      <c r="AN171" s="290">
        <f>AN20</f>
        <v>3</v>
      </c>
      <c r="AO171" s="260">
        <f>AO20</f>
        <v>5</v>
      </c>
      <c r="AP171" s="1441">
        <f>AP20</f>
        <v>5</v>
      </c>
      <c r="AQ171" s="1442">
        <f>AQ20</f>
        <v>6</v>
      </c>
      <c r="AR171" s="1443">
        <f>SUM(AN171:AQ171)</f>
        <v>19</v>
      </c>
      <c r="AS171" s="290">
        <f>AS20</f>
        <v>4</v>
      </c>
      <c r="AT171" s="260">
        <f>AT20</f>
        <v>4</v>
      </c>
      <c r="AU171" s="260">
        <f t="shared" ref="AU171" si="428">AU20</f>
        <v>4</v>
      </c>
      <c r="AV171" s="1442">
        <f>AV20</f>
        <v>4</v>
      </c>
      <c r="AW171" s="1443">
        <f>SUM(AS171:AV171)</f>
        <v>16</v>
      </c>
      <c r="AX171" s="290">
        <f>+AX154*AX172/4</f>
        <v>4.4217687074829923</v>
      </c>
      <c r="AY171" s="260">
        <f>+AY154*AY172/4</f>
        <v>4.4217687074829923</v>
      </c>
      <c r="AZ171" s="260">
        <f>+AZ154*AZ172/4</f>
        <v>4.4217687074829923</v>
      </c>
      <c r="BA171" s="291">
        <f>+BA154*BA172/4</f>
        <v>4.4217687074829923</v>
      </c>
      <c r="BB171" s="45">
        <f>SUM(AX171:BA171)</f>
        <v>17.687074829931969</v>
      </c>
      <c r="BC171" s="290">
        <f>+BC154*BC172/4</f>
        <v>5.1020408163265305</v>
      </c>
      <c r="BD171" s="260">
        <f>+BD154*BD172/4</f>
        <v>5.1020408163265305</v>
      </c>
      <c r="BE171" s="260">
        <f>+BE154*BE172/4</f>
        <v>5.1020408163265305</v>
      </c>
      <c r="BF171" s="291">
        <f>+BF154*BF172/4</f>
        <v>5.1020408163265305</v>
      </c>
      <c r="BG171" s="45">
        <f>SUM(BC171:BF171)</f>
        <v>20.408163265306122</v>
      </c>
      <c r="BH171" s="290">
        <f>+BH154*BH172/4</f>
        <v>4.8752834467120181</v>
      </c>
      <c r="BI171" s="260">
        <f>+BI154*BI172/4</f>
        <v>4.8752834467120181</v>
      </c>
      <c r="BJ171" s="260">
        <f>+BJ154*BJ172/4</f>
        <v>4.8752834467120181</v>
      </c>
      <c r="BK171" s="291">
        <f>+BK154*BK172/4</f>
        <v>4.8752834467120181</v>
      </c>
      <c r="BL171" s="45">
        <f>SUM(BH171:BK171)</f>
        <v>19.501133786848072</v>
      </c>
      <c r="BM171" s="290">
        <f>+BM154*BM172/4</f>
        <v>4.4217687074829923</v>
      </c>
      <c r="BN171" s="260">
        <f>+BN154*BN172/4</f>
        <v>4.4217687074829923</v>
      </c>
      <c r="BO171" s="260">
        <f>+BO154*BO172/4</f>
        <v>4.4217687074829923</v>
      </c>
      <c r="BP171" s="291">
        <f>+BP154*BP172/4</f>
        <v>4.4217687074829923</v>
      </c>
      <c r="BQ171" s="45">
        <f>SUM(BM171:BP171)</f>
        <v>17.687074829931969</v>
      </c>
      <c r="BR171" s="45"/>
      <c r="BS171" s="45"/>
      <c r="BT171" s="45"/>
      <c r="BU171" s="45"/>
      <c r="BV171" s="45"/>
      <c r="BW171" s="45"/>
      <c r="BX171" s="45"/>
      <c r="BY171" s="45"/>
      <c r="BZ171" s="45"/>
      <c r="CA171" s="45"/>
      <c r="CB171" s="45"/>
      <c r="CC171" s="45"/>
      <c r="CD171" s="45"/>
      <c r="CE171" s="45"/>
      <c r="CF171" s="45"/>
      <c r="CG171" s="45"/>
      <c r="CH171" s="45"/>
      <c r="CI171" s="45"/>
      <c r="CJ171" s="45"/>
      <c r="CK171" s="45"/>
      <c r="CL171" s="45"/>
      <c r="CM171" s="45"/>
      <c r="CN171" s="45"/>
      <c r="CO171" s="45"/>
      <c r="CP171" s="45"/>
      <c r="CQ171" s="45"/>
      <c r="CR171" s="45"/>
      <c r="CS171" s="45"/>
      <c r="CT171" s="45"/>
      <c r="CU171" s="45"/>
    </row>
    <row r="172" spans="1:99">
      <c r="A172" s="28"/>
      <c r="B172" s="28"/>
      <c r="C172" s="28" t="s">
        <v>626</v>
      </c>
      <c r="D172" s="28"/>
      <c r="E172" s="284">
        <f>+E171/E154*4</f>
        <v>3.2773453502662843E-2</v>
      </c>
      <c r="F172" s="241">
        <f>+F171/F154*4</f>
        <v>3.7882049074472665E-2</v>
      </c>
      <c r="G172" s="241">
        <f>+G171/G154*4</f>
        <v>3.0003947887879974E-2</v>
      </c>
      <c r="H172" s="285">
        <f>+H171/H154*4</f>
        <v>3.897911832946635E-2</v>
      </c>
      <c r="I172" s="25">
        <f>+I171/AVERAGE(I154,D154)</f>
        <v>3.8051044083526678E-2</v>
      </c>
      <c r="J172" s="284">
        <f>+J171/J154*4</f>
        <v>4.2973785990545771E-2</v>
      </c>
      <c r="K172" s="241">
        <f>+K171/K154*4</f>
        <v>4.3373493975903614E-2</v>
      </c>
      <c r="L172" s="241">
        <f>+L171/L154*4</f>
        <v>4.3122035360068992E-2</v>
      </c>
      <c r="M172" s="285">
        <f>+M171/M154*4</f>
        <v>4.8089308716187204E-2</v>
      </c>
      <c r="N172" s="25">
        <f>+N171/AVERAGE(N154,I154)</f>
        <v>4.6833184656556649E-2</v>
      </c>
      <c r="O172" s="284">
        <f>+O171/O154*4</f>
        <v>5.2375607931163484E-2</v>
      </c>
      <c r="P172" s="241">
        <f>+P171/P154*4</f>
        <v>4.8143053645116916E-2</v>
      </c>
      <c r="Q172" s="241">
        <f>+Q171/Q154*4</f>
        <v>4.1950113378684796E-2</v>
      </c>
      <c r="R172" s="285">
        <f>+R171/R154*4</f>
        <v>5.898123324396784E-2</v>
      </c>
      <c r="S172" s="25">
        <f>+S171/AVERAGE(S154,N154)</f>
        <v>5.6841709015622063E-2</v>
      </c>
      <c r="T172" s="284">
        <f>+T171/T154*4</f>
        <v>6.2176165803108807E-2</v>
      </c>
      <c r="U172" s="241">
        <f>+U171/U154*4</f>
        <v>4.145077720207254E-2</v>
      </c>
      <c r="V172" s="241">
        <f>+V171/V154*4</f>
        <v>4.145077720207254E-2</v>
      </c>
      <c r="W172" s="285">
        <f>+W171/W154*4</f>
        <v>6.2176165803108807E-2</v>
      </c>
      <c r="X172" s="25">
        <f>+X171/AVERAGE(X154,S154)</f>
        <v>4.0700040700040699E-2</v>
      </c>
      <c r="Y172" s="284">
        <f>+Y171/Y154*4</f>
        <v>4.0816326530612242E-2</v>
      </c>
      <c r="Z172" s="241">
        <f>+Z171/Z154*4</f>
        <v>4.0816326530612242E-2</v>
      </c>
      <c r="AA172" s="241">
        <f>+AA171/AA154*4</f>
        <v>2.0408163265306121E-2</v>
      </c>
      <c r="AB172" s="285">
        <f>+AB171/AB154*4</f>
        <v>4.0816326530612242E-2</v>
      </c>
      <c r="AC172" s="25">
        <f>+AC171/AVERAGE(AC154,X154)</f>
        <v>3.5989717223650387E-2</v>
      </c>
      <c r="AD172" s="284">
        <f>+AD171/AD154*4</f>
        <v>3.7854889589905363E-2</v>
      </c>
      <c r="AE172" s="241">
        <f>+AE171/AE154*4</f>
        <v>3.7854889589905363E-2</v>
      </c>
      <c r="AF172" s="241">
        <f>+AF171/AF154*4</f>
        <v>3.7854889589905363E-2</v>
      </c>
      <c r="AG172" s="285">
        <f>+AG171/AG154*4</f>
        <v>3.7854889589905363E-2</v>
      </c>
      <c r="AH172" s="25">
        <f>+AH171/AVERAGE(AH154,AC154)</f>
        <v>4.6783625730994149E-2</v>
      </c>
      <c r="AI172" s="284">
        <f>+AI171/AI154*4</f>
        <v>3.8461538461538464E-2</v>
      </c>
      <c r="AJ172" s="241">
        <f>+AJ171/AJ154*4</f>
        <v>3.8461538461538464E-2</v>
      </c>
      <c r="AK172" s="241">
        <f>+AK171/AK154*4</f>
        <v>5.128205128205128E-2</v>
      </c>
      <c r="AL172" s="285">
        <f>+AL171/AL154*4</f>
        <v>5.128205128205128E-2</v>
      </c>
      <c r="AM172" s="25">
        <f>+AM171/AVERAGE(AM154,AH154)</f>
        <v>4.4515103338632747E-2</v>
      </c>
      <c r="AN172" s="284">
        <f>+AN171/AN154*4</f>
        <v>3.7735849056603772E-2</v>
      </c>
      <c r="AO172" s="241">
        <f>+AO171/AO154*4</f>
        <v>6.2893081761006289E-2</v>
      </c>
      <c r="AP172" s="241">
        <f>+AP171/AP154*4</f>
        <v>6.2893081761006289E-2</v>
      </c>
      <c r="AQ172" s="285">
        <f>+AQ171/AQ154*4</f>
        <v>7.5471698113207544E-2</v>
      </c>
      <c r="AR172" s="25">
        <f>+AR171/AVERAGE(AR154,AM154)</f>
        <v>6.0317460317460318E-2</v>
      </c>
      <c r="AS172" s="284">
        <f>+AS171/AS154*4</f>
        <v>4.3596730245231606E-2</v>
      </c>
      <c r="AT172" s="241">
        <f>+AT171/AT154*4</f>
        <v>4.3596730245231606E-2</v>
      </c>
      <c r="AU172" s="241">
        <f t="shared" ref="AU172" si="429">+AU171/AU154*4</f>
        <v>4.3596730245231606E-2</v>
      </c>
      <c r="AV172" s="285">
        <f>+AV171/AV154*4</f>
        <v>4.3596730245231606E-2</v>
      </c>
      <c r="AW172" s="25">
        <f>+AW171/AVERAGE(AW154,AR154)</f>
        <v>4.6715328467153282E-2</v>
      </c>
      <c r="AX172" s="284">
        <f>+AV172</f>
        <v>4.3596730245231606E-2</v>
      </c>
      <c r="AY172" s="241">
        <f>+AX172</f>
        <v>4.3596730245231606E-2</v>
      </c>
      <c r="AZ172" s="241">
        <f>+AY172</f>
        <v>4.3596730245231606E-2</v>
      </c>
      <c r="BA172" s="285">
        <f>+AZ172</f>
        <v>4.3596730245231606E-2</v>
      </c>
      <c r="BB172" s="25">
        <f>+BB171/BB154</f>
        <v>4.3596730245231606E-2</v>
      </c>
      <c r="BC172" s="284">
        <f>+BA172</f>
        <v>4.3596730245231606E-2</v>
      </c>
      <c r="BD172" s="241">
        <f>+BC172</f>
        <v>4.3596730245231606E-2</v>
      </c>
      <c r="BE172" s="241">
        <f>+BD172</f>
        <v>4.3596730245231606E-2</v>
      </c>
      <c r="BF172" s="285">
        <f>+BE172</f>
        <v>4.3596730245231606E-2</v>
      </c>
      <c r="BG172" s="25">
        <f>+BG171/BG154</f>
        <v>4.3596730245231606E-2</v>
      </c>
      <c r="BH172" s="284">
        <f>+BF172</f>
        <v>4.3596730245231606E-2</v>
      </c>
      <c r="BI172" s="241">
        <f>+BH172</f>
        <v>4.3596730245231606E-2</v>
      </c>
      <c r="BJ172" s="241">
        <f>+BI172</f>
        <v>4.3596730245231606E-2</v>
      </c>
      <c r="BK172" s="285">
        <f>+BJ172</f>
        <v>4.3596730245231606E-2</v>
      </c>
      <c r="BL172" s="25">
        <f>+BL171/BL154</f>
        <v>4.3596730245231606E-2</v>
      </c>
      <c r="BM172" s="284">
        <f>+BK172</f>
        <v>4.3596730245231606E-2</v>
      </c>
      <c r="BN172" s="241">
        <f>+BM172</f>
        <v>4.3596730245231606E-2</v>
      </c>
      <c r="BO172" s="241">
        <f>+BN172</f>
        <v>4.3596730245231606E-2</v>
      </c>
      <c r="BP172" s="285">
        <f>+BO172</f>
        <v>4.3596730245231606E-2</v>
      </c>
      <c r="BQ172" s="25">
        <f>+BQ171/BQ154</f>
        <v>4.3596730245231606E-2</v>
      </c>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row>
    <row r="173" spans="1:99">
      <c r="A173" s="28"/>
      <c r="B173" s="28"/>
      <c r="C173" s="28"/>
      <c r="D173" s="28"/>
      <c r="E173" s="415"/>
      <c r="F173" s="242"/>
      <c r="G173" s="242"/>
      <c r="H173" s="416"/>
      <c r="I173" s="45"/>
      <c r="J173" s="415"/>
      <c r="K173" s="242"/>
      <c r="L173" s="242"/>
      <c r="M173" s="416"/>
      <c r="N173" s="45"/>
      <c r="O173" s="415"/>
      <c r="P173" s="242"/>
      <c r="Q173" s="242"/>
      <c r="R173" s="416"/>
      <c r="S173" s="45"/>
      <c r="T173" s="415"/>
      <c r="U173" s="242"/>
      <c r="V173" s="242"/>
      <c r="W173" s="416"/>
      <c r="X173" s="45"/>
      <c r="Y173" s="415"/>
      <c r="Z173" s="242"/>
      <c r="AA173" s="242"/>
      <c r="AB173" s="416"/>
      <c r="AC173" s="1443"/>
      <c r="AD173" s="415"/>
      <c r="AE173" s="242"/>
      <c r="AF173" s="242"/>
      <c r="AG173" s="416"/>
      <c r="AH173" s="1443"/>
      <c r="AI173" s="415"/>
      <c r="AJ173" s="242"/>
      <c r="AK173" s="242"/>
      <c r="AL173" s="416"/>
      <c r="AM173" s="1443"/>
      <c r="AN173" s="284"/>
      <c r="AO173" s="242"/>
      <c r="AP173" s="242"/>
      <c r="AQ173" s="416"/>
      <c r="AR173" s="1443"/>
      <c r="AS173" s="284"/>
      <c r="AT173" s="241"/>
      <c r="AU173" s="241"/>
      <c r="AV173" s="416"/>
      <c r="AW173" s="1443"/>
      <c r="AX173" s="284"/>
      <c r="AY173" s="241"/>
      <c r="AZ173" s="241"/>
      <c r="BA173" s="285"/>
      <c r="BB173" s="25"/>
      <c r="BC173" s="284"/>
      <c r="BD173" s="241"/>
      <c r="BE173" s="241"/>
      <c r="BF173" s="285"/>
      <c r="BG173" s="25"/>
      <c r="BH173" s="284"/>
      <c r="BI173" s="241"/>
      <c r="BJ173" s="241"/>
      <c r="BK173" s="285"/>
      <c r="BL173" s="25"/>
      <c r="BM173" s="284"/>
      <c r="BN173" s="241"/>
      <c r="BO173" s="241"/>
      <c r="BP173" s="285"/>
      <c r="BQ173" s="25"/>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row>
    <row r="174" spans="1:99">
      <c r="A174" s="383"/>
      <c r="B174" s="383"/>
      <c r="C174" s="383"/>
      <c r="D174" s="383"/>
      <c r="E174" s="613"/>
      <c r="F174" s="614"/>
      <c r="G174" s="614"/>
      <c r="H174" s="615"/>
      <c r="I174" s="383"/>
      <c r="J174" s="613"/>
      <c r="K174" s="614"/>
      <c r="L174" s="614"/>
      <c r="M174" s="615"/>
      <c r="N174" s="383"/>
      <c r="O174" s="613"/>
      <c r="P174" s="614"/>
      <c r="Q174" s="614"/>
      <c r="R174" s="615"/>
      <c r="S174" s="383"/>
      <c r="T174" s="613"/>
      <c r="U174" s="614"/>
      <c r="V174" s="614"/>
      <c r="W174" s="615"/>
      <c r="X174" s="383"/>
      <c r="Y174" s="613"/>
      <c r="Z174" s="614"/>
      <c r="AA174" s="614"/>
      <c r="AB174" s="615"/>
      <c r="AC174" s="383"/>
      <c r="AD174" s="613"/>
      <c r="AE174" s="614"/>
      <c r="AF174" s="614"/>
      <c r="AG174" s="615"/>
      <c r="AH174" s="383"/>
      <c r="AI174" s="613"/>
      <c r="AJ174" s="614"/>
      <c r="AK174" s="614"/>
      <c r="AL174" s="615"/>
      <c r="AM174" s="383"/>
      <c r="AN174" s="613"/>
      <c r="AO174" s="614"/>
      <c r="AP174" s="614"/>
      <c r="AQ174" s="615"/>
      <c r="AR174" s="383"/>
      <c r="AS174" s="613"/>
      <c r="AT174" s="614"/>
      <c r="AU174" s="614"/>
      <c r="AV174" s="615"/>
      <c r="AW174" s="383"/>
      <c r="AX174" s="613"/>
      <c r="AY174" s="614"/>
      <c r="AZ174" s="614"/>
      <c r="BA174" s="615"/>
      <c r="BB174" s="383"/>
      <c r="BC174" s="613"/>
      <c r="BD174" s="614"/>
      <c r="BE174" s="614"/>
      <c r="BF174" s="615"/>
      <c r="BG174" s="383"/>
      <c r="BH174" s="613"/>
      <c r="BI174" s="614"/>
      <c r="BJ174" s="614"/>
      <c r="BK174" s="615"/>
      <c r="BL174" s="383"/>
      <c r="BM174" s="613"/>
      <c r="BN174" s="614"/>
      <c r="BO174" s="614"/>
      <c r="BP174" s="615"/>
      <c r="BQ174" s="383"/>
      <c r="BR174" s="383"/>
      <c r="BS174" s="383"/>
      <c r="BT174" s="383"/>
      <c r="BU174" s="383"/>
      <c r="BV174" s="383"/>
      <c r="BW174" s="383"/>
      <c r="BX174" s="383"/>
      <c r="BY174" s="383"/>
      <c r="BZ174" s="383"/>
      <c r="CA174" s="383"/>
      <c r="CB174" s="383"/>
      <c r="CC174" s="383"/>
      <c r="CD174" s="383"/>
      <c r="CE174" s="383"/>
      <c r="CF174" s="383"/>
      <c r="CG174" s="383"/>
      <c r="CH174" s="383"/>
      <c r="CI174" s="383"/>
      <c r="CJ174" s="383"/>
      <c r="CK174" s="383"/>
      <c r="CL174" s="383"/>
      <c r="CM174" s="383"/>
      <c r="CN174" s="383"/>
      <c r="CO174" s="383"/>
      <c r="CP174" s="383"/>
      <c r="CQ174" s="383"/>
      <c r="CR174" s="383"/>
      <c r="CS174" s="383"/>
      <c r="CT174" s="383"/>
      <c r="CU174" s="383"/>
    </row>
    <row r="175" spans="1:99">
      <c r="A175" s="383"/>
      <c r="B175" s="379" t="s">
        <v>275</v>
      </c>
      <c r="C175" s="658"/>
      <c r="D175" s="659"/>
      <c r="E175" s="613"/>
      <c r="F175" s="614"/>
      <c r="G175" s="614"/>
      <c r="H175" s="615"/>
      <c r="I175" s="383"/>
      <c r="J175" s="613"/>
      <c r="K175" s="614"/>
      <c r="L175" s="614"/>
      <c r="M175" s="615"/>
      <c r="N175" s="383"/>
      <c r="O175" s="613"/>
      <c r="P175" s="614"/>
      <c r="Q175" s="614"/>
      <c r="R175" s="615"/>
      <c r="S175" s="383"/>
      <c r="T175" s="613"/>
      <c r="U175" s="614"/>
      <c r="V175" s="614"/>
      <c r="W175" s="615"/>
      <c r="X175" s="383"/>
      <c r="Y175" s="613"/>
      <c r="Z175" s="614"/>
      <c r="AA175" s="614"/>
      <c r="AB175" s="615"/>
      <c r="AC175" s="383"/>
      <c r="AD175" s="613"/>
      <c r="AE175" s="614"/>
      <c r="AF175" s="614"/>
      <c r="AG175" s="615"/>
      <c r="AH175" s="383"/>
      <c r="AI175" s="613"/>
      <c r="AJ175" s="614"/>
      <c r="AK175" s="614"/>
      <c r="AL175" s="615"/>
      <c r="AM175" s="383"/>
      <c r="AN175" s="613"/>
      <c r="AO175" s="614"/>
      <c r="AP175" s="614"/>
      <c r="AQ175" s="615"/>
      <c r="AR175" s="383"/>
      <c r="AS175" s="613"/>
      <c r="AT175" s="614"/>
      <c r="AU175" s="614"/>
      <c r="AV175" s="615"/>
      <c r="AW175" s="383"/>
      <c r="AX175" s="613"/>
      <c r="AY175" s="614"/>
      <c r="AZ175" s="614"/>
      <c r="BA175" s="615"/>
      <c r="BB175" s="383"/>
      <c r="BC175" s="613"/>
      <c r="BD175" s="614"/>
      <c r="BE175" s="614"/>
      <c r="BF175" s="615"/>
      <c r="BG175" s="383"/>
      <c r="BH175" s="613"/>
      <c r="BI175" s="614"/>
      <c r="BJ175" s="614"/>
      <c r="BK175" s="615"/>
      <c r="BL175" s="383"/>
      <c r="BM175" s="613"/>
      <c r="BN175" s="614"/>
      <c r="BO175" s="614"/>
      <c r="BP175" s="615"/>
      <c r="BQ175" s="383"/>
      <c r="BR175" s="383"/>
      <c r="BS175" s="383"/>
      <c r="BT175" s="383"/>
      <c r="BU175" s="383"/>
      <c r="BV175" s="383"/>
      <c r="BW175" s="383"/>
      <c r="BX175" s="383"/>
      <c r="BY175" s="383"/>
      <c r="BZ175" s="383"/>
      <c r="CA175" s="383"/>
      <c r="CB175" s="383"/>
      <c r="CC175" s="383"/>
      <c r="CD175" s="383"/>
      <c r="CE175" s="383"/>
      <c r="CF175" s="383"/>
      <c r="CG175" s="383"/>
      <c r="CH175" s="383"/>
      <c r="CI175" s="383"/>
      <c r="CJ175" s="383"/>
      <c r="CK175" s="383"/>
      <c r="CL175" s="383"/>
      <c r="CM175" s="383"/>
      <c r="CN175" s="383"/>
      <c r="CO175" s="383"/>
      <c r="CP175" s="383"/>
      <c r="CQ175" s="383"/>
      <c r="CR175" s="383"/>
      <c r="CS175" s="383"/>
      <c r="CT175" s="383"/>
      <c r="CU175" s="383"/>
    </row>
    <row r="176" spans="1:99">
      <c r="A176" s="383"/>
      <c r="B176" s="383"/>
      <c r="C176" s="389" t="s">
        <v>236</v>
      </c>
      <c r="D176" s="383"/>
      <c r="E176" s="613"/>
      <c r="F176" s="614"/>
      <c r="G176" s="614"/>
      <c r="H176" s="615"/>
      <c r="I176" s="383"/>
      <c r="J176" s="613"/>
      <c r="K176" s="614"/>
      <c r="L176" s="614"/>
      <c r="M176" s="615"/>
      <c r="N176" s="383"/>
      <c r="O176" s="613"/>
      <c r="P176" s="614"/>
      <c r="Q176" s="614"/>
      <c r="R176" s="615"/>
      <c r="S176" s="383"/>
      <c r="T176" s="613"/>
      <c r="U176" s="614"/>
      <c r="V176" s="614"/>
      <c r="W176" s="615"/>
      <c r="X176" s="383"/>
      <c r="Y176" s="613"/>
      <c r="Z176" s="614"/>
      <c r="AA176" s="614"/>
      <c r="AB176" s="615"/>
      <c r="AC176" s="383"/>
      <c r="AD176" s="613"/>
      <c r="AE176" s="614"/>
      <c r="AF176" s="614"/>
      <c r="AG176" s="615"/>
      <c r="AH176" s="383"/>
      <c r="AI176" s="613"/>
      <c r="AJ176" s="614"/>
      <c r="AK176" s="614"/>
      <c r="AL176" s="615"/>
      <c r="AM176" s="383"/>
      <c r="AN176" s="613"/>
      <c r="AO176" s="614"/>
      <c r="AP176" s="614"/>
      <c r="AQ176" s="615"/>
      <c r="AR176" s="383"/>
      <c r="AS176" s="613"/>
      <c r="AT176" s="614"/>
      <c r="AU176" s="614"/>
      <c r="AV176" s="615"/>
      <c r="AW176" s="383"/>
      <c r="AX176" s="613"/>
      <c r="AY176" s="614"/>
      <c r="AZ176" s="614"/>
      <c r="BA176" s="615"/>
      <c r="BB176" s="383"/>
      <c r="BC176" s="613"/>
      <c r="BD176" s="614"/>
      <c r="BE176" s="614"/>
      <c r="BF176" s="615"/>
      <c r="BG176" s="383"/>
      <c r="BH176" s="613"/>
      <c r="BI176" s="614"/>
      <c r="BJ176" s="614"/>
      <c r="BK176" s="615"/>
      <c r="BL176" s="383"/>
      <c r="BM176" s="613"/>
      <c r="BN176" s="614"/>
      <c r="BO176" s="614"/>
      <c r="BP176" s="615"/>
      <c r="BQ176" s="383"/>
      <c r="BR176" s="383"/>
      <c r="BS176" s="383"/>
      <c r="BT176" s="383"/>
      <c r="BU176" s="383"/>
      <c r="BV176" s="383"/>
      <c r="BW176" s="383"/>
      <c r="BX176" s="383"/>
      <c r="BY176" s="383"/>
      <c r="BZ176" s="383"/>
      <c r="CA176" s="383"/>
      <c r="CB176" s="383"/>
      <c r="CC176" s="383"/>
      <c r="CD176" s="383"/>
      <c r="CE176" s="383"/>
      <c r="CF176" s="383"/>
      <c r="CG176" s="383"/>
      <c r="CH176" s="383"/>
      <c r="CI176" s="383"/>
      <c r="CJ176" s="383"/>
      <c r="CK176" s="383"/>
      <c r="CL176" s="383"/>
      <c r="CM176" s="383"/>
      <c r="CN176" s="383"/>
      <c r="CO176" s="383"/>
      <c r="CP176" s="383"/>
      <c r="CQ176" s="383"/>
      <c r="CR176" s="383"/>
      <c r="CS176" s="383"/>
      <c r="CT176" s="383"/>
      <c r="CU176" s="383"/>
    </row>
    <row r="177" spans="1:129">
      <c r="A177" s="45"/>
      <c r="B177" s="45"/>
      <c r="C177" s="391" t="s">
        <v>234</v>
      </c>
      <c r="D177" s="45"/>
      <c r="E177" s="290">
        <f t="shared" ref="E177:I178" si="430">+E202</f>
        <v>0</v>
      </c>
      <c r="F177" s="260">
        <f t="shared" si="430"/>
        <v>0</v>
      </c>
      <c r="G177" s="260">
        <f t="shared" si="430"/>
        <v>0</v>
      </c>
      <c r="H177" s="291">
        <f t="shared" si="430"/>
        <v>0</v>
      </c>
      <c r="I177" s="45">
        <f t="shared" si="430"/>
        <v>0</v>
      </c>
      <c r="J177" s="290">
        <f t="shared" ref="J177:S177" si="431">+J202</f>
        <v>0</v>
      </c>
      <c r="K177" s="260">
        <f t="shared" si="431"/>
        <v>0</v>
      </c>
      <c r="L177" s="260">
        <f t="shared" si="431"/>
        <v>0</v>
      </c>
      <c r="M177" s="291">
        <f t="shared" si="431"/>
        <v>0</v>
      </c>
      <c r="N177" s="45">
        <f t="shared" si="431"/>
        <v>0</v>
      </c>
      <c r="O177" s="290">
        <f t="shared" si="431"/>
        <v>0</v>
      </c>
      <c r="P177" s="260">
        <f t="shared" si="431"/>
        <v>0</v>
      </c>
      <c r="Q177" s="260">
        <f t="shared" si="431"/>
        <v>0</v>
      </c>
      <c r="R177" s="291">
        <f t="shared" si="431"/>
        <v>300</v>
      </c>
      <c r="S177" s="45">
        <f t="shared" si="431"/>
        <v>300</v>
      </c>
      <c r="T177" s="290">
        <f t="shared" ref="T177:X178" si="432">+T202</f>
        <v>0</v>
      </c>
      <c r="U177" s="260">
        <f t="shared" si="432"/>
        <v>0</v>
      </c>
      <c r="V177" s="260">
        <f t="shared" si="432"/>
        <v>250</v>
      </c>
      <c r="W177" s="291">
        <f t="shared" si="432"/>
        <v>0</v>
      </c>
      <c r="X177" s="45">
        <f t="shared" si="432"/>
        <v>250</v>
      </c>
      <c r="Y177" s="290">
        <f>+Y202</f>
        <v>0</v>
      </c>
      <c r="Z177" s="260">
        <f>+Z202</f>
        <v>300</v>
      </c>
      <c r="AA177" s="1441">
        <f t="shared" ref="AA177:AC178" si="433">+AA202</f>
        <v>0</v>
      </c>
      <c r="AB177" s="1442">
        <f t="shared" si="433"/>
        <v>0</v>
      </c>
      <c r="AC177" s="1443">
        <f t="shared" si="433"/>
        <v>300</v>
      </c>
      <c r="AD177" s="290">
        <f>+AD202</f>
        <v>0</v>
      </c>
      <c r="AE177" s="260">
        <f>+AE202</f>
        <v>0</v>
      </c>
      <c r="AF177" s="1441">
        <f t="shared" ref="AF177:AH177" si="434">+AF202</f>
        <v>0</v>
      </c>
      <c r="AG177" s="1442">
        <f t="shared" si="434"/>
        <v>0</v>
      </c>
      <c r="AH177" s="1443">
        <f t="shared" si="434"/>
        <v>0</v>
      </c>
      <c r="AI177" s="290">
        <f>+AI202</f>
        <v>0</v>
      </c>
      <c r="AJ177" s="260">
        <f>+AJ202</f>
        <v>0</v>
      </c>
      <c r="AK177" s="1441">
        <f t="shared" ref="AK177:AM177" si="435">+AK202</f>
        <v>0</v>
      </c>
      <c r="AL177" s="1442">
        <f t="shared" si="435"/>
        <v>0</v>
      </c>
      <c r="AM177" s="1443">
        <f t="shared" si="435"/>
        <v>0</v>
      </c>
      <c r="AN177" s="290">
        <f>+AN202</f>
        <v>0</v>
      </c>
      <c r="AO177" s="260">
        <f>+AO202</f>
        <v>0</v>
      </c>
      <c r="AP177" s="1441">
        <f t="shared" ref="AP177:AR177" si="436">+AP202</f>
        <v>850</v>
      </c>
      <c r="AQ177" s="1442">
        <f t="shared" si="436"/>
        <v>0</v>
      </c>
      <c r="AR177" s="1443">
        <f t="shared" si="436"/>
        <v>850</v>
      </c>
      <c r="AS177" s="290">
        <f>+AS202</f>
        <v>0</v>
      </c>
      <c r="AT177" s="260">
        <f>+AT202</f>
        <v>0</v>
      </c>
      <c r="AU177" s="260">
        <f t="shared" ref="AU177:AW178" si="437">+AU202</f>
        <v>300</v>
      </c>
      <c r="AV177" s="1442">
        <f t="shared" si="437"/>
        <v>0</v>
      </c>
      <c r="AW177" s="1443">
        <f t="shared" si="437"/>
        <v>300</v>
      </c>
      <c r="AX177" s="290">
        <f>Debt!AL202</f>
        <v>0</v>
      </c>
      <c r="AY177" s="260">
        <f>Debt!AM202</f>
        <v>0</v>
      </c>
      <c r="AZ177" s="260">
        <f>Debt!AN202</f>
        <v>425</v>
      </c>
      <c r="BA177" s="291">
        <f>Debt!AO202</f>
        <v>0</v>
      </c>
      <c r="BB177" s="426">
        <v>425</v>
      </c>
      <c r="BC177" s="290">
        <f>Debt!AQ202</f>
        <v>0</v>
      </c>
      <c r="BD177" s="260">
        <f>Debt!AR202</f>
        <v>0</v>
      </c>
      <c r="BE177" s="260">
        <f>Debt!AS202</f>
        <v>275</v>
      </c>
      <c r="BF177" s="291">
        <f>Debt!AT202</f>
        <v>0</v>
      </c>
      <c r="BG177" s="2032">
        <v>275</v>
      </c>
      <c r="BH177" s="290">
        <f>Debt!AV202</f>
        <v>0</v>
      </c>
      <c r="BI177" s="260">
        <f>Debt!AW202</f>
        <v>0</v>
      </c>
      <c r="BJ177" s="260">
        <f>Debt!AX202</f>
        <v>225</v>
      </c>
      <c r="BK177" s="291">
        <f>Debt!AY202</f>
        <v>0</v>
      </c>
      <c r="BL177" s="2032">
        <v>225</v>
      </c>
      <c r="BM177" s="290">
        <f>Debt!BA202</f>
        <v>0</v>
      </c>
      <c r="BN177" s="260">
        <f>Debt!BB202</f>
        <v>0</v>
      </c>
      <c r="BO177" s="260">
        <f>Debt!BC202</f>
        <v>450</v>
      </c>
      <c r="BP177" s="291">
        <f>Debt!BD202</f>
        <v>0</v>
      </c>
      <c r="BQ177" s="2032">
        <v>450</v>
      </c>
      <c r="BR177" s="383"/>
      <c r="BS177" s="45"/>
      <c r="BT177" s="45"/>
      <c r="BU177" s="45"/>
      <c r="BV177" s="45"/>
      <c r="BW177" s="45"/>
      <c r="BX177" s="45"/>
      <c r="BY177" s="45"/>
      <c r="BZ177" s="45"/>
      <c r="CA177" s="45"/>
      <c r="CB177" s="45"/>
      <c r="CC177" s="45"/>
      <c r="CD177" s="45"/>
      <c r="CE177" s="45"/>
      <c r="CF177" s="45"/>
      <c r="CG177" s="45"/>
      <c r="CH177" s="45"/>
      <c r="CI177" s="45"/>
      <c r="CJ177" s="45"/>
      <c r="CK177" s="45"/>
      <c r="CL177" s="45"/>
      <c r="CM177" s="45"/>
      <c r="CN177" s="45"/>
      <c r="CO177" s="45"/>
      <c r="CP177" s="45"/>
      <c r="CQ177" s="45"/>
      <c r="CR177" s="45"/>
      <c r="CS177" s="45"/>
      <c r="CT177" s="45"/>
      <c r="CU177" s="45"/>
    </row>
    <row r="178" spans="1:129">
      <c r="A178" s="45"/>
      <c r="B178" s="45"/>
      <c r="C178" s="391" t="s">
        <v>235</v>
      </c>
      <c r="D178" s="45"/>
      <c r="E178" s="290">
        <f t="shared" si="430"/>
        <v>0</v>
      </c>
      <c r="F178" s="260">
        <f t="shared" si="430"/>
        <v>-51.6</v>
      </c>
      <c r="G178" s="260">
        <f t="shared" si="430"/>
        <v>0</v>
      </c>
      <c r="H178" s="291">
        <f t="shared" si="430"/>
        <v>-38.4</v>
      </c>
      <c r="I178" s="45">
        <f t="shared" si="430"/>
        <v>-90</v>
      </c>
      <c r="J178" s="290">
        <f t="shared" ref="J178:S178" si="438">+J203</f>
        <v>0</v>
      </c>
      <c r="K178" s="260">
        <f t="shared" si="438"/>
        <v>-28.1</v>
      </c>
      <c r="L178" s="260">
        <f t="shared" si="438"/>
        <v>0</v>
      </c>
      <c r="M178" s="291">
        <f t="shared" si="438"/>
        <v>-28.4</v>
      </c>
      <c r="N178" s="45">
        <f t="shared" si="438"/>
        <v>-56.5</v>
      </c>
      <c r="O178" s="290">
        <f t="shared" si="438"/>
        <v>0</v>
      </c>
      <c r="P178" s="260">
        <f t="shared" si="438"/>
        <v>-29.7</v>
      </c>
      <c r="Q178" s="260">
        <f t="shared" si="438"/>
        <v>0</v>
      </c>
      <c r="R178" s="291">
        <f t="shared" si="438"/>
        <v>-52</v>
      </c>
      <c r="S178" s="45">
        <f t="shared" si="438"/>
        <v>-81.7</v>
      </c>
      <c r="T178" s="290">
        <f t="shared" si="432"/>
        <v>0</v>
      </c>
      <c r="U178" s="260">
        <f t="shared" si="432"/>
        <v>-141</v>
      </c>
      <c r="V178" s="260">
        <f t="shared" si="432"/>
        <v>0</v>
      </c>
      <c r="W178" s="291">
        <f t="shared" si="432"/>
        <v>-32</v>
      </c>
      <c r="X178" s="45">
        <f t="shared" si="432"/>
        <v>-173</v>
      </c>
      <c r="Y178" s="290">
        <f>+Y203</f>
        <v>0</v>
      </c>
      <c r="Z178" s="260">
        <f>+Z203</f>
        <v>-33</v>
      </c>
      <c r="AA178" s="1441">
        <f t="shared" si="433"/>
        <v>-400</v>
      </c>
      <c r="AB178" s="1442">
        <f t="shared" si="433"/>
        <v>-34</v>
      </c>
      <c r="AC178" s="1443">
        <f t="shared" si="433"/>
        <v>-467</v>
      </c>
      <c r="AD178" s="290">
        <f>+AD203</f>
        <v>0</v>
      </c>
      <c r="AE178" s="260">
        <f>+AE203</f>
        <v>-35</v>
      </c>
      <c r="AF178" s="1441">
        <f t="shared" ref="AF178:AH178" si="439">+AF203</f>
        <v>0</v>
      </c>
      <c r="AG178" s="1442">
        <f t="shared" si="439"/>
        <v>-35</v>
      </c>
      <c r="AH178" s="1443">
        <f t="shared" si="439"/>
        <v>-70</v>
      </c>
      <c r="AI178" s="290">
        <f>+AI203</f>
        <v>0</v>
      </c>
      <c r="AJ178" s="260">
        <f>+AJ203</f>
        <v>-37</v>
      </c>
      <c r="AK178" s="1441">
        <f t="shared" ref="AK178:AM178" si="440">+AK203</f>
        <v>0</v>
      </c>
      <c r="AL178" s="1442">
        <f t="shared" si="440"/>
        <v>-38</v>
      </c>
      <c r="AM178" s="1443">
        <f t="shared" si="440"/>
        <v>-75</v>
      </c>
      <c r="AN178" s="290">
        <f>+AN203</f>
        <v>0</v>
      </c>
      <c r="AO178" s="260">
        <f>+AO203</f>
        <v>-39</v>
      </c>
      <c r="AP178" s="1441">
        <f t="shared" ref="AP178:AR178" si="441">+AP203</f>
        <v>0</v>
      </c>
      <c r="AQ178" s="1442">
        <f t="shared" si="441"/>
        <v>-340</v>
      </c>
      <c r="AR178" s="1443">
        <f t="shared" si="441"/>
        <v>-379</v>
      </c>
      <c r="AS178" s="290">
        <f>+AS203</f>
        <v>0</v>
      </c>
      <c r="AT178" s="260">
        <f>+AT203</f>
        <v>-41</v>
      </c>
      <c r="AU178" s="260">
        <f t="shared" si="437"/>
        <v>-250</v>
      </c>
      <c r="AV178" s="1442">
        <f t="shared" si="437"/>
        <v>0</v>
      </c>
      <c r="AW178" s="1443">
        <f t="shared" si="437"/>
        <v>-291</v>
      </c>
      <c r="AX178" s="290">
        <f>Debt!AL192</f>
        <v>0</v>
      </c>
      <c r="AY178" s="260">
        <f>Debt!AM192</f>
        <v>0</v>
      </c>
      <c r="AZ178" s="260">
        <f>Debt!AN192</f>
        <v>0</v>
      </c>
      <c r="BA178" s="291">
        <f>Debt!AO192</f>
        <v>0</v>
      </c>
      <c r="BB178" s="45">
        <f>SUM(AX178:BA178)</f>
        <v>0</v>
      </c>
      <c r="BC178" s="290">
        <f>Debt!AQ192</f>
        <v>0</v>
      </c>
      <c r="BD178" s="260">
        <f>Debt!AR192</f>
        <v>0</v>
      </c>
      <c r="BE178" s="260">
        <f>Debt!AS192</f>
        <v>0</v>
      </c>
      <c r="BF178" s="291">
        <f>Debt!AT192</f>
        <v>0</v>
      </c>
      <c r="BG178" s="45">
        <f>SUM(BC178:BF178)</f>
        <v>0</v>
      </c>
      <c r="BH178" s="290">
        <f>Debt!AV192</f>
        <v>0</v>
      </c>
      <c r="BI178" s="260">
        <f>Debt!AW192</f>
        <v>0</v>
      </c>
      <c r="BJ178" s="260">
        <f>Debt!AX192</f>
        <v>0</v>
      </c>
      <c r="BK178" s="291">
        <f>Debt!AY192</f>
        <v>0</v>
      </c>
      <c r="BL178" s="45">
        <f>SUM(BH178:BK178)</f>
        <v>0</v>
      </c>
      <c r="BM178" s="290">
        <f>Debt!BA192</f>
        <v>0</v>
      </c>
      <c r="BN178" s="260">
        <f>Debt!BB192</f>
        <v>0</v>
      </c>
      <c r="BO178" s="260">
        <f>Debt!BC192</f>
        <v>0</v>
      </c>
      <c r="BP178" s="291">
        <f>Debt!BD192</f>
        <v>-300</v>
      </c>
      <c r="BQ178" s="45">
        <f>SUM(BM178:BP178)</f>
        <v>-300</v>
      </c>
      <c r="BR178" s="45"/>
      <c r="BS178" s="45"/>
      <c r="BT178" s="45"/>
      <c r="BU178" s="45"/>
      <c r="BV178" s="45"/>
      <c r="BW178" s="45"/>
      <c r="BX178" s="45"/>
      <c r="BY178" s="45"/>
      <c r="BZ178" s="45"/>
      <c r="CA178" s="45"/>
      <c r="CB178" s="45"/>
      <c r="CC178" s="45"/>
      <c r="CD178" s="45"/>
      <c r="CE178" s="45"/>
      <c r="CF178" s="45"/>
      <c r="CG178" s="45"/>
      <c r="CH178" s="45"/>
      <c r="CI178" s="45"/>
      <c r="CJ178" s="45"/>
      <c r="CK178" s="45"/>
      <c r="CL178" s="45"/>
      <c r="CM178" s="45"/>
      <c r="CN178" s="45"/>
      <c r="CO178" s="45"/>
      <c r="CP178" s="45"/>
      <c r="CQ178" s="45"/>
      <c r="CR178" s="45"/>
      <c r="CS178" s="45"/>
      <c r="CT178" s="45"/>
      <c r="CU178" s="45"/>
    </row>
    <row r="179" spans="1:129">
      <c r="A179" s="383"/>
      <c r="B179" s="383"/>
      <c r="C179" s="391"/>
      <c r="D179" s="383"/>
      <c r="E179" s="613"/>
      <c r="F179" s="614"/>
      <c r="G179" s="614"/>
      <c r="H179" s="615"/>
      <c r="I179" s="383"/>
      <c r="J179" s="613"/>
      <c r="K179" s="614"/>
      <c r="L179" s="614"/>
      <c r="M179" s="615"/>
      <c r="N179" s="383"/>
      <c r="O179" s="613"/>
      <c r="P179" s="614"/>
      <c r="Q179" s="260"/>
      <c r="R179" s="291"/>
      <c r="S179" s="45"/>
      <c r="T179" s="613"/>
      <c r="U179" s="614"/>
      <c r="V179" s="260"/>
      <c r="W179" s="291"/>
      <c r="X179" s="45"/>
      <c r="Y179" s="613"/>
      <c r="Z179" s="614"/>
      <c r="AA179" s="1441"/>
      <c r="AB179" s="1442"/>
      <c r="AC179" s="1443"/>
      <c r="AD179" s="613"/>
      <c r="AE179" s="614"/>
      <c r="AF179" s="1441"/>
      <c r="AG179" s="1442"/>
      <c r="AH179" s="1443"/>
      <c r="AI179" s="613"/>
      <c r="AJ179" s="614"/>
      <c r="AK179" s="1441"/>
      <c r="AL179" s="1442"/>
      <c r="AM179" s="1443"/>
      <c r="AN179" s="613"/>
      <c r="AO179" s="614"/>
      <c r="AP179" s="1441"/>
      <c r="AQ179" s="1442"/>
      <c r="AR179" s="1443"/>
      <c r="AS179" s="613"/>
      <c r="AT179" s="260"/>
      <c r="AU179" s="260"/>
      <c r="AV179" s="1442"/>
      <c r="AW179" s="1443"/>
      <c r="AX179" s="290"/>
      <c r="AY179" s="260"/>
      <c r="AZ179" s="260"/>
      <c r="BA179" s="291"/>
      <c r="BB179" s="45"/>
      <c r="BC179" s="290"/>
      <c r="BD179" s="260"/>
      <c r="BE179" s="260"/>
      <c r="BF179" s="291"/>
      <c r="BG179" s="45"/>
      <c r="BH179" s="290"/>
      <c r="BI179" s="260"/>
      <c r="BJ179" s="260"/>
      <c r="BK179" s="291"/>
      <c r="BL179" s="45"/>
      <c r="BM179" s="290"/>
      <c r="BN179" s="260"/>
      <c r="BO179" s="260"/>
      <c r="BP179" s="291"/>
      <c r="BQ179" s="45"/>
      <c r="BR179" s="383"/>
      <c r="BS179" s="383"/>
      <c r="BT179" s="383"/>
      <c r="BU179" s="383"/>
      <c r="BV179" s="383"/>
      <c r="BW179" s="383"/>
      <c r="BX179" s="383"/>
      <c r="BY179" s="383"/>
      <c r="BZ179" s="383"/>
      <c r="CA179" s="383"/>
      <c r="CB179" s="383"/>
      <c r="CC179" s="383"/>
      <c r="CD179" s="383"/>
      <c r="CE179" s="383"/>
      <c r="CF179" s="383"/>
      <c r="CG179" s="383"/>
      <c r="CH179" s="383"/>
      <c r="CI179" s="383"/>
      <c r="CJ179" s="383"/>
      <c r="CK179" s="383"/>
      <c r="CL179" s="383"/>
      <c r="CM179" s="383"/>
      <c r="CN179" s="383"/>
      <c r="CO179" s="383"/>
      <c r="CP179" s="383"/>
      <c r="CQ179" s="383"/>
      <c r="CR179" s="383"/>
      <c r="CS179" s="383"/>
      <c r="CT179" s="383"/>
      <c r="CU179" s="383"/>
    </row>
    <row r="180" spans="1:129">
      <c r="A180" s="383"/>
      <c r="B180" s="383"/>
      <c r="C180" s="389" t="s">
        <v>318</v>
      </c>
      <c r="D180" s="383"/>
      <c r="E180" s="613"/>
      <c r="F180" s="614"/>
      <c r="G180" s="614"/>
      <c r="H180" s="615"/>
      <c r="I180" s="383"/>
      <c r="J180" s="613"/>
      <c r="K180" s="614"/>
      <c r="L180" s="614"/>
      <c r="M180" s="615"/>
      <c r="N180" s="383"/>
      <c r="O180" s="613"/>
      <c r="P180" s="614"/>
      <c r="Q180" s="260"/>
      <c r="R180" s="291"/>
      <c r="S180" s="45"/>
      <c r="T180" s="613"/>
      <c r="U180" s="614"/>
      <c r="V180" s="260"/>
      <c r="W180" s="291"/>
      <c r="X180" s="45"/>
      <c r="Y180" s="613"/>
      <c r="Z180" s="614"/>
      <c r="AA180" s="1441"/>
      <c r="AB180" s="1442"/>
      <c r="AC180" s="1443"/>
      <c r="AD180" s="613"/>
      <c r="AE180" s="614"/>
      <c r="AF180" s="1441"/>
      <c r="AG180" s="1442"/>
      <c r="AH180" s="1443"/>
      <c r="AI180" s="613"/>
      <c r="AJ180" s="614"/>
      <c r="AK180" s="1441"/>
      <c r="AL180" s="1442"/>
      <c r="AM180" s="1443"/>
      <c r="AN180" s="613"/>
      <c r="AO180" s="614"/>
      <c r="AP180" s="1441"/>
      <c r="AQ180" s="1442"/>
      <c r="AR180" s="1443"/>
      <c r="AS180" s="613"/>
      <c r="AT180" s="260"/>
      <c r="AU180" s="260"/>
      <c r="AV180" s="1442"/>
      <c r="AW180" s="1443"/>
      <c r="AX180" s="290"/>
      <c r="AY180" s="260"/>
      <c r="AZ180" s="260"/>
      <c r="BA180" s="291"/>
      <c r="BB180" s="45"/>
      <c r="BC180" s="290"/>
      <c r="BD180" s="260"/>
      <c r="BE180" s="260"/>
      <c r="BF180" s="291"/>
      <c r="BG180" s="45"/>
      <c r="BH180" s="290"/>
      <c r="BI180" s="260"/>
      <c r="BJ180" s="260"/>
      <c r="BK180" s="291"/>
      <c r="BL180" s="45"/>
      <c r="BM180" s="290"/>
      <c r="BN180" s="260"/>
      <c r="BO180" s="260"/>
      <c r="BP180" s="291"/>
      <c r="BQ180" s="45"/>
      <c r="BR180" s="383"/>
      <c r="BS180" s="383"/>
      <c r="BT180" s="383"/>
      <c r="BU180" s="383"/>
      <c r="BV180" s="383"/>
      <c r="BW180" s="383"/>
      <c r="BX180" s="383"/>
      <c r="BY180" s="383"/>
      <c r="BZ180" s="383"/>
      <c r="CA180" s="383"/>
      <c r="CB180" s="383"/>
      <c r="CC180" s="383"/>
      <c r="CD180" s="383"/>
      <c r="CE180" s="383"/>
      <c r="CF180" s="383"/>
      <c r="CG180" s="383"/>
      <c r="CH180" s="383"/>
      <c r="CI180" s="383"/>
      <c r="CJ180" s="383"/>
      <c r="CK180" s="383"/>
      <c r="CL180" s="383"/>
      <c r="CM180" s="383"/>
      <c r="CN180" s="383"/>
      <c r="CO180" s="383"/>
      <c r="CP180" s="383"/>
      <c r="CQ180" s="383"/>
      <c r="CR180" s="383"/>
      <c r="CS180" s="383"/>
      <c r="CT180" s="383"/>
      <c r="CU180" s="383"/>
    </row>
    <row r="181" spans="1:129">
      <c r="A181" s="45"/>
      <c r="B181" s="45"/>
      <c r="C181" s="226" t="s">
        <v>421</v>
      </c>
      <c r="D181" s="45"/>
      <c r="E181" s="290"/>
      <c r="F181" s="260"/>
      <c r="G181" s="260"/>
      <c r="H181" s="291"/>
      <c r="I181" s="45"/>
      <c r="J181" s="290"/>
      <c r="K181" s="260"/>
      <c r="L181" s="260"/>
      <c r="M181" s="291"/>
      <c r="N181" s="45"/>
      <c r="O181" s="290"/>
      <c r="P181" s="260"/>
      <c r="Q181" s="260"/>
      <c r="R181" s="291"/>
      <c r="S181" s="45"/>
      <c r="T181" s="290"/>
      <c r="U181" s="260"/>
      <c r="V181" s="260"/>
      <c r="W181" s="291"/>
      <c r="X181" s="45"/>
      <c r="Y181" s="290"/>
      <c r="Z181" s="260"/>
      <c r="AA181" s="1441"/>
      <c r="AB181" s="1442"/>
      <c r="AC181" s="1443"/>
      <c r="AD181" s="290"/>
      <c r="AE181" s="260"/>
      <c r="AF181" s="1441"/>
      <c r="AG181" s="1442"/>
      <c r="AH181" s="1443"/>
      <c r="AI181" s="290"/>
      <c r="AJ181" s="260"/>
      <c r="AK181" s="1441"/>
      <c r="AL181" s="1442"/>
      <c r="AM181" s="1443"/>
      <c r="AN181" s="290"/>
      <c r="AO181" s="260"/>
      <c r="AP181" s="1441"/>
      <c r="AQ181" s="1442"/>
      <c r="AR181" s="1443"/>
      <c r="AS181" s="290"/>
      <c r="AT181" s="260"/>
      <c r="AU181" s="260"/>
      <c r="AV181" s="1442"/>
      <c r="AW181" s="1443"/>
      <c r="AX181" s="290">
        <f>(((AV218-AS218)*AX185)/4)-((AV216-AS216)*(AX185-1%)/4)</f>
        <v>-0.105</v>
      </c>
      <c r="AY181" s="260">
        <f ca="1">(((AX218-AT218)*AY185)/4)-((AX216-AT216)*(AY185-1%)/4)</f>
        <v>3.6324532926407187E-2</v>
      </c>
      <c r="AZ181" s="260">
        <f ca="1">(((AY218-AU218)*AZ185)/4)-((AY216-AU216)*(AZ185-1%)/4)</f>
        <v>1.1141710250164942</v>
      </c>
      <c r="BA181" s="291">
        <f ca="1">(((AZ218-AV218)*BA185)/4)-((AZ216-AV216)*(BA185-1%)/4)</f>
        <v>-0.5757875651130081</v>
      </c>
      <c r="BB181" s="45">
        <f ca="1">+SUM(AX181:BA181)</f>
        <v>0.46970799282989339</v>
      </c>
      <c r="BC181" s="290">
        <f ca="1">(((BA218-AX218)*BC185)/4)-((BA216-AX216)*(BC185-1%)/4)</f>
        <v>-0.46570430070404734</v>
      </c>
      <c r="BD181" s="260">
        <f ca="1">(((BC218-AY218)*BD185)/4)-((BC216-AY216)*(BD185-1%)/4)</f>
        <v>-1.0086991125080866</v>
      </c>
      <c r="BE181" s="260">
        <f ca="1">(((BD218-AZ218)*BE185)/4)-((BD216-AZ216)*(BE185-1%)/4)</f>
        <v>0.842610268068122</v>
      </c>
      <c r="BF181" s="291">
        <f ca="1">(((BE218-BA218)*BF185)/4)-((BE216-BA216)*(BF185-1%)/4)</f>
        <v>-0.12371943163910594</v>
      </c>
      <c r="BG181" s="45">
        <f ca="1">+SUM(BC181:BF181)</f>
        <v>-0.7555125767831179</v>
      </c>
      <c r="BH181" s="290">
        <f ca="1">(((BF218-BC218)*BH185)/4)-((BF216-BC216)*(BH185-1%)/4)</f>
        <v>-7.752303027952856E-2</v>
      </c>
      <c r="BI181" s="260">
        <f ca="1">(((BH218-BD218)*BI185)/4)-((BH216-BD216)*(BI185-1%)/4)</f>
        <v>-0.64751575645549653</v>
      </c>
      <c r="BJ181" s="260">
        <f ca="1">(((BI218-BE218)*BJ185)/4)-((BI216-BE216)*(BJ185-1%)/4)</f>
        <v>0.56384719921629811</v>
      </c>
      <c r="BK181" s="291">
        <f ca="1">(((BJ218-BF218)*BK185)/4)-((BJ216-BF216)*(BK185-1%)/4)</f>
        <v>-9.1479745435634072E-2</v>
      </c>
      <c r="BL181" s="45">
        <f ca="1">+SUM(BH181:BK181)</f>
        <v>-0.25267133295436106</v>
      </c>
      <c r="BM181" s="290">
        <f ca="1">(((BK218-BH218)*BM185)/4)-((BK216-BH216)*(BM185-1%)/4)</f>
        <v>1.3762091130826874E-2</v>
      </c>
      <c r="BN181" s="260">
        <f ca="1">(((BM218-BI218)*BN185)/4)-((BM216-BI216)*(BN185-1%)/4)</f>
        <v>-0.47131988669176167</v>
      </c>
      <c r="BO181" s="260">
        <f ca="1">(((BN218-BJ218)*BO185)/4)-((BN216-BJ216)*(BO185-1%)/4)</f>
        <v>0.38798292100317905</v>
      </c>
      <c r="BP181" s="291">
        <f ca="1">(((BO218-BK218)*BP185)/4)-((BO216-BK216)*(BP185-1%)/4)</f>
        <v>-0.81751149493003117</v>
      </c>
      <c r="BQ181" s="45">
        <f ca="1">+SUM(BM181:BP181)</f>
        <v>-0.88708636948778685</v>
      </c>
      <c r="BR181" s="45"/>
      <c r="BS181" s="45"/>
      <c r="BT181" s="45"/>
      <c r="BU181" s="45"/>
      <c r="BV181" s="45"/>
      <c r="BW181" s="45"/>
      <c r="BX181" s="45"/>
      <c r="BY181" s="45"/>
      <c r="BZ181" s="45"/>
      <c r="CA181" s="45"/>
      <c r="CB181" s="45"/>
      <c r="CC181" s="45"/>
      <c r="CD181" s="45"/>
      <c r="CE181" s="45"/>
      <c r="CF181" s="45"/>
      <c r="CG181" s="45"/>
      <c r="CH181" s="45"/>
      <c r="CI181" s="45"/>
      <c r="CJ181" s="45"/>
      <c r="CK181" s="45"/>
      <c r="CL181" s="45"/>
      <c r="CM181" s="45"/>
      <c r="CN181" s="45"/>
      <c r="CO181" s="45"/>
      <c r="CP181" s="45"/>
      <c r="CQ181" s="45"/>
      <c r="CR181" s="45"/>
      <c r="CS181" s="45"/>
      <c r="CT181" s="45"/>
      <c r="CU181" s="45"/>
    </row>
    <row r="182" spans="1:129">
      <c r="A182" s="45"/>
      <c r="B182" s="45"/>
      <c r="C182" s="391" t="s">
        <v>224</v>
      </c>
      <c r="D182" s="45"/>
      <c r="E182" s="290"/>
      <c r="F182" s="260"/>
      <c r="G182" s="260"/>
      <c r="H182" s="291"/>
      <c r="I182" s="45"/>
      <c r="J182" s="290"/>
      <c r="K182" s="260"/>
      <c r="L182" s="260"/>
      <c r="M182" s="291"/>
      <c r="N182" s="45"/>
      <c r="O182" s="290"/>
      <c r="P182" s="260"/>
      <c r="Q182" s="260"/>
      <c r="R182" s="291"/>
      <c r="S182" s="45"/>
      <c r="T182" s="290"/>
      <c r="U182" s="260"/>
      <c r="V182" s="260"/>
      <c r="W182" s="291"/>
      <c r="X182" s="45"/>
      <c r="Y182" s="290"/>
      <c r="Z182" s="260"/>
      <c r="AA182" s="1441"/>
      <c r="AB182" s="1442"/>
      <c r="AC182" s="1443"/>
      <c r="AD182" s="290"/>
      <c r="AE182" s="260"/>
      <c r="AF182" s="1441"/>
      <c r="AG182" s="1442"/>
      <c r="AH182" s="1443"/>
      <c r="AI182" s="290"/>
      <c r="AJ182" s="260"/>
      <c r="AK182" s="1441"/>
      <c r="AL182" s="1442"/>
      <c r="AM182" s="1443"/>
      <c r="AN182" s="290"/>
      <c r="AO182" s="260"/>
      <c r="AP182" s="1441"/>
      <c r="AQ182" s="1442"/>
      <c r="AR182" s="1443"/>
      <c r="AS182" s="290"/>
      <c r="AT182" s="260"/>
      <c r="AU182" s="260"/>
      <c r="AV182" s="1442"/>
      <c r="AW182" s="1443"/>
      <c r="AX182" s="290">
        <f>Debt!CG202</f>
        <v>2.8125</v>
      </c>
      <c r="AY182" s="260">
        <f>Debt!CH202</f>
        <v>2.8125</v>
      </c>
      <c r="AZ182" s="260">
        <f>Debt!CI202</f>
        <v>6.25</v>
      </c>
      <c r="BA182" s="291">
        <f>Debt!CJ202</f>
        <v>5.3125</v>
      </c>
      <c r="BB182" s="45">
        <f>Debt!CK202</f>
        <v>17.1875</v>
      </c>
      <c r="BC182" s="290">
        <f>Debt!CL202</f>
        <v>5.3125</v>
      </c>
      <c r="BD182" s="260">
        <f>Debt!CM202</f>
        <v>5.3125</v>
      </c>
      <c r="BE182" s="260">
        <f>Debt!CN202</f>
        <v>3.4375</v>
      </c>
      <c r="BF182" s="291">
        <f>Debt!CO202</f>
        <v>3.4375</v>
      </c>
      <c r="BG182" s="45">
        <f>Debt!CP202</f>
        <v>17.5</v>
      </c>
      <c r="BH182" s="290">
        <f>Debt!CQ202</f>
        <v>3.4375</v>
      </c>
      <c r="BI182" s="260">
        <f>Debt!CR202</f>
        <v>3.4375</v>
      </c>
      <c r="BJ182" s="260">
        <f>Debt!CS202</f>
        <v>2.8125</v>
      </c>
      <c r="BK182" s="291">
        <f>Debt!CT202</f>
        <v>2.8125</v>
      </c>
      <c r="BL182" s="45">
        <f>Debt!CU202</f>
        <v>12.5</v>
      </c>
      <c r="BM182" s="290">
        <f>Debt!CV202</f>
        <v>2.8125</v>
      </c>
      <c r="BN182" s="260">
        <f>Debt!CW202</f>
        <v>2.8125</v>
      </c>
      <c r="BO182" s="260">
        <f>Debt!CX202</f>
        <v>5.625</v>
      </c>
      <c r="BP182" s="291">
        <f>Debt!CY202</f>
        <v>5.625</v>
      </c>
      <c r="BQ182" s="45">
        <f>Debt!CZ202</f>
        <v>16.875</v>
      </c>
      <c r="BR182" s="45"/>
      <c r="BS182" s="45"/>
      <c r="BT182" s="45"/>
      <c r="BU182" s="45"/>
      <c r="BV182" s="45"/>
      <c r="BW182" s="45"/>
      <c r="BX182" s="45"/>
      <c r="BY182" s="45"/>
      <c r="BZ182" s="45"/>
      <c r="CA182" s="45"/>
      <c r="CB182" s="45"/>
      <c r="CC182" s="45"/>
      <c r="CD182" s="45"/>
      <c r="CE182" s="45"/>
      <c r="CF182" s="45"/>
      <c r="CG182" s="45"/>
      <c r="CH182" s="45"/>
      <c r="CI182" s="45"/>
      <c r="CJ182" s="45"/>
      <c r="CK182" s="45"/>
      <c r="CL182" s="45"/>
      <c r="CM182" s="45"/>
      <c r="CN182" s="45"/>
      <c r="CO182" s="45"/>
      <c r="CP182" s="45"/>
      <c r="CQ182" s="45"/>
      <c r="CR182" s="45"/>
      <c r="CS182" s="45"/>
      <c r="CT182" s="45"/>
      <c r="CU182" s="45"/>
    </row>
    <row r="183" spans="1:129">
      <c r="A183" s="45"/>
      <c r="B183" s="45"/>
      <c r="C183" s="391" t="s">
        <v>225</v>
      </c>
      <c r="D183" s="45"/>
      <c r="E183" s="290"/>
      <c r="F183" s="260"/>
      <c r="G183" s="260"/>
      <c r="H183" s="291"/>
      <c r="I183" s="45"/>
      <c r="J183" s="290"/>
      <c r="K183" s="260"/>
      <c r="L183" s="260"/>
      <c r="M183" s="291"/>
      <c r="N183" s="45"/>
      <c r="O183" s="290"/>
      <c r="P183" s="260"/>
      <c r="Q183" s="260"/>
      <c r="R183" s="291"/>
      <c r="S183" s="45"/>
      <c r="T183" s="290"/>
      <c r="U183" s="260"/>
      <c r="V183" s="260"/>
      <c r="W183" s="291"/>
      <c r="X183" s="45"/>
      <c r="Y183" s="290"/>
      <c r="Z183" s="260"/>
      <c r="AA183" s="1441"/>
      <c r="AB183" s="1442"/>
      <c r="AC183" s="1443"/>
      <c r="AD183" s="290"/>
      <c r="AE183" s="260"/>
      <c r="AF183" s="1441"/>
      <c r="AG183" s="1442"/>
      <c r="AH183" s="1443"/>
      <c r="AI183" s="290"/>
      <c r="AJ183" s="260"/>
      <c r="AK183" s="1441"/>
      <c r="AL183" s="1442"/>
      <c r="AM183" s="1443"/>
      <c r="AN183" s="290"/>
      <c r="AO183" s="260"/>
      <c r="AP183" s="1441"/>
      <c r="AQ183" s="1442"/>
      <c r="AR183" s="1443"/>
      <c r="AS183" s="290"/>
      <c r="AT183" s="260"/>
      <c r="AU183" s="260"/>
      <c r="AV183" s="1442"/>
      <c r="AW183" s="1443"/>
      <c r="AX183" s="290">
        <f>Debt!CG192</f>
        <v>-3.875</v>
      </c>
      <c r="AY183" s="260">
        <f>Debt!CH192</f>
        <v>-3.875</v>
      </c>
      <c r="AZ183" s="260">
        <f>Debt!CI192</f>
        <v>-1.2916666666666667</v>
      </c>
      <c r="BA183" s="291">
        <f>Debt!CJ192</f>
        <v>0</v>
      </c>
      <c r="BB183" s="45">
        <f>Debt!CK192</f>
        <v>-9.0416666666666679</v>
      </c>
      <c r="BC183" s="290">
        <f>Debt!CL192</f>
        <v>0</v>
      </c>
      <c r="BD183" s="260">
        <f>Debt!CM192</f>
        <v>0</v>
      </c>
      <c r="BE183" s="260">
        <f>Debt!CN192</f>
        <v>0</v>
      </c>
      <c r="BF183" s="291">
        <f>Debt!CO192</f>
        <v>0</v>
      </c>
      <c r="BG183" s="45">
        <f>Debt!CP192</f>
        <v>0</v>
      </c>
      <c r="BH183" s="290">
        <f>Debt!CQ192</f>
        <v>0</v>
      </c>
      <c r="BI183" s="260">
        <f>Debt!CR192</f>
        <v>0</v>
      </c>
      <c r="BJ183" s="260">
        <f>Debt!CS192</f>
        <v>0</v>
      </c>
      <c r="BK183" s="291">
        <f>Debt!CT192</f>
        <v>0</v>
      </c>
      <c r="BL183" s="45">
        <f>Debt!CU192</f>
        <v>0</v>
      </c>
      <c r="BM183" s="290">
        <f>Debt!CV192</f>
        <v>0</v>
      </c>
      <c r="BN183" s="260">
        <f>Debt!CW192</f>
        <v>0</v>
      </c>
      <c r="BO183" s="260">
        <f>Debt!CX192</f>
        <v>0</v>
      </c>
      <c r="BP183" s="291">
        <f>Debt!CY192</f>
        <v>-1.7500000000000002</v>
      </c>
      <c r="BQ183" s="45">
        <f>Debt!CZ192</f>
        <v>-1.7500000000000002</v>
      </c>
      <c r="BR183" s="45"/>
      <c r="BS183" s="45"/>
      <c r="BT183" s="45"/>
      <c r="BU183" s="45"/>
      <c r="BV183" s="45"/>
      <c r="BW183" s="45"/>
      <c r="BX183" s="45"/>
      <c r="BY183" s="45"/>
      <c r="BZ183" s="45"/>
      <c r="CA183" s="45"/>
      <c r="CB183" s="45"/>
      <c r="CC183" s="45"/>
      <c r="CD183" s="45"/>
      <c r="CE183" s="45"/>
      <c r="CF183" s="45"/>
      <c r="CG183" s="45"/>
      <c r="CH183" s="45"/>
      <c r="CI183" s="45"/>
      <c r="CJ183" s="45"/>
      <c r="CK183" s="45"/>
      <c r="CL183" s="45"/>
      <c r="CM183" s="45"/>
      <c r="CN183" s="45"/>
      <c r="CO183" s="45"/>
      <c r="CP183" s="45"/>
      <c r="CQ183" s="45"/>
      <c r="CR183" s="45"/>
      <c r="CS183" s="45"/>
      <c r="CT183" s="45"/>
      <c r="CU183" s="45"/>
    </row>
    <row r="184" spans="1:129">
      <c r="A184" s="383"/>
      <c r="B184" s="383"/>
      <c r="C184" s="28"/>
      <c r="D184" s="383"/>
      <c r="E184" s="613"/>
      <c r="F184" s="614"/>
      <c r="G184" s="614"/>
      <c r="H184" s="615"/>
      <c r="I184" s="383"/>
      <c r="J184" s="613"/>
      <c r="K184" s="614"/>
      <c r="L184" s="614"/>
      <c r="M184" s="615"/>
      <c r="N184" s="383"/>
      <c r="O184" s="613"/>
      <c r="P184" s="614"/>
      <c r="Q184" s="614"/>
      <c r="R184" s="615"/>
      <c r="S184" s="383"/>
      <c r="T184" s="613"/>
      <c r="U184" s="614"/>
      <c r="V184" s="614"/>
      <c r="W184" s="615"/>
      <c r="X184" s="383"/>
      <c r="Y184" s="613"/>
      <c r="Z184" s="614"/>
      <c r="AA184" s="614"/>
      <c r="AB184" s="615"/>
      <c r="AC184" s="383"/>
      <c r="AD184" s="613"/>
      <c r="AE184" s="614"/>
      <c r="AF184" s="614"/>
      <c r="AG184" s="615"/>
      <c r="AH184" s="383"/>
      <c r="AI184" s="613"/>
      <c r="AJ184" s="614"/>
      <c r="AK184" s="614"/>
      <c r="AL184" s="615"/>
      <c r="AM184" s="383"/>
      <c r="AN184" s="613"/>
      <c r="AO184" s="614"/>
      <c r="AP184" s="614"/>
      <c r="AQ184" s="615"/>
      <c r="AR184" s="383"/>
      <c r="AS184" s="613"/>
      <c r="AT184" s="614"/>
      <c r="AU184" s="614"/>
      <c r="AV184" s="615"/>
      <c r="AW184" s="383"/>
      <c r="AX184" s="613"/>
      <c r="AY184" s="614"/>
      <c r="AZ184" s="614"/>
      <c r="BA184" s="615"/>
      <c r="BB184" s="383"/>
      <c r="BC184" s="613"/>
      <c r="BD184" s="614"/>
      <c r="BE184" s="614"/>
      <c r="BF184" s="615"/>
      <c r="BG184" s="383"/>
      <c r="BH184" s="613"/>
      <c r="BI184" s="614"/>
      <c r="BJ184" s="614"/>
      <c r="BK184" s="615"/>
      <c r="BL184" s="383"/>
      <c r="BM184" s="613"/>
      <c r="BN184" s="614"/>
      <c r="BO184" s="614"/>
      <c r="BP184" s="615"/>
      <c r="BQ184" s="383"/>
      <c r="BR184" s="383"/>
      <c r="BS184" s="383"/>
      <c r="BT184" s="383"/>
      <c r="BU184" s="383"/>
      <c r="BV184" s="383"/>
      <c r="BW184" s="383"/>
      <c r="BX184" s="383"/>
      <c r="BY184" s="383"/>
      <c r="BZ184" s="383"/>
      <c r="CA184" s="383"/>
      <c r="CB184" s="383"/>
      <c r="CC184" s="383"/>
      <c r="CD184" s="383"/>
      <c r="CE184" s="383"/>
      <c r="CF184" s="383"/>
      <c r="CG184" s="383"/>
      <c r="CH184" s="383"/>
      <c r="CI184" s="383"/>
      <c r="CJ184" s="383"/>
      <c r="CK184" s="383"/>
      <c r="CL184" s="383"/>
      <c r="CM184" s="383"/>
      <c r="CN184" s="383"/>
      <c r="CO184" s="383"/>
      <c r="CP184" s="383"/>
      <c r="CQ184" s="383"/>
      <c r="CR184" s="383"/>
      <c r="CS184" s="383"/>
      <c r="CT184" s="383"/>
      <c r="CU184" s="383"/>
    </row>
    <row r="185" spans="1:129">
      <c r="A185" s="383"/>
      <c r="B185" s="383"/>
      <c r="C185" s="391" t="s">
        <v>1249</v>
      </c>
      <c r="D185" s="383"/>
      <c r="E185" s="613"/>
      <c r="F185" s="614"/>
      <c r="G185" s="614"/>
      <c r="H185" s="615"/>
      <c r="I185" s="383"/>
      <c r="J185" s="613"/>
      <c r="K185" s="614"/>
      <c r="L185" s="614"/>
      <c r="M185" s="615"/>
      <c r="N185" s="383"/>
      <c r="O185" s="613"/>
      <c r="P185" s="614"/>
      <c r="Q185" s="241"/>
      <c r="R185" s="285"/>
      <c r="S185" s="25"/>
      <c r="T185" s="613"/>
      <c r="U185" s="614"/>
      <c r="V185" s="241"/>
      <c r="W185" s="285"/>
      <c r="X185" s="25"/>
      <c r="Y185" s="613"/>
      <c r="Z185" s="614"/>
      <c r="AA185" s="241"/>
      <c r="AB185" s="285"/>
      <c r="AC185" s="25"/>
      <c r="AD185" s="613"/>
      <c r="AE185" s="614"/>
      <c r="AF185" s="241"/>
      <c r="AG185" s="285"/>
      <c r="AH185" s="25"/>
      <c r="AI185" s="613"/>
      <c r="AJ185" s="614"/>
      <c r="AK185" s="241"/>
      <c r="AL185" s="285"/>
      <c r="AM185" s="25"/>
      <c r="AN185" s="613"/>
      <c r="AO185" s="614"/>
      <c r="AP185" s="241"/>
      <c r="AQ185" s="285"/>
      <c r="AR185" s="25"/>
      <c r="AS185" s="613"/>
      <c r="AT185" s="241"/>
      <c r="AU185" s="241"/>
      <c r="AV185" s="285"/>
      <c r="AW185" s="25"/>
      <c r="AX185" s="284">
        <f>+EXC!AX111</f>
        <v>0.02</v>
      </c>
      <c r="AY185" s="241">
        <f>+EXC!AY111</f>
        <v>0.02</v>
      </c>
      <c r="AZ185" s="241">
        <f>+EXC!AZ111</f>
        <v>0.02</v>
      </c>
      <c r="BA185" s="285">
        <f>+EXC!BA111</f>
        <v>0.02</v>
      </c>
      <c r="BB185" s="25">
        <f>+EXC!BB111</f>
        <v>0.02</v>
      </c>
      <c r="BC185" s="284">
        <f>+EXC!BC111</f>
        <v>0.02</v>
      </c>
      <c r="BD185" s="241">
        <f>+EXC!BD111</f>
        <v>0.02</v>
      </c>
      <c r="BE185" s="241">
        <f>+EXC!BE111</f>
        <v>0.02</v>
      </c>
      <c r="BF185" s="285">
        <f>+EXC!BF111</f>
        <v>0.02</v>
      </c>
      <c r="BG185" s="25">
        <f>+EXC!BG111</f>
        <v>0.02</v>
      </c>
      <c r="BH185" s="284">
        <f>+EXC!BH111</f>
        <v>0.02</v>
      </c>
      <c r="BI185" s="241">
        <f>+EXC!BI111</f>
        <v>0.02</v>
      </c>
      <c r="BJ185" s="241">
        <f>+EXC!BJ111</f>
        <v>0.02</v>
      </c>
      <c r="BK185" s="285">
        <f>+EXC!BK111</f>
        <v>0.02</v>
      </c>
      <c r="BL185" s="25">
        <f>+EXC!BL111</f>
        <v>0.02</v>
      </c>
      <c r="BM185" s="284">
        <f>+EXC!BM111</f>
        <v>0.02</v>
      </c>
      <c r="BN185" s="241">
        <f>+EXC!BN111</f>
        <v>0.02</v>
      </c>
      <c r="BO185" s="241">
        <f>+EXC!BO111</f>
        <v>0.02</v>
      </c>
      <c r="BP185" s="285">
        <f>+EXC!BP111</f>
        <v>0.02</v>
      </c>
      <c r="BQ185" s="25">
        <f>+EXC!BQ111</f>
        <v>0.02</v>
      </c>
      <c r="BR185" s="383"/>
      <c r="BS185" s="383"/>
      <c r="BT185" s="383"/>
      <c r="BU185" s="383"/>
      <c r="BV185" s="383"/>
      <c r="BW185" s="383"/>
      <c r="BX185" s="383"/>
      <c r="BY185" s="383"/>
      <c r="BZ185" s="383"/>
      <c r="CA185" s="383"/>
      <c r="CB185" s="383"/>
      <c r="CC185" s="383"/>
      <c r="CD185" s="383"/>
      <c r="CE185" s="383"/>
      <c r="CF185" s="383"/>
      <c r="CG185" s="383"/>
      <c r="CH185" s="383"/>
      <c r="CI185" s="383"/>
      <c r="CJ185" s="383"/>
      <c r="CK185" s="383"/>
      <c r="CL185" s="383"/>
      <c r="CM185" s="383"/>
      <c r="CN185" s="383"/>
      <c r="CO185" s="383"/>
      <c r="CP185" s="383"/>
      <c r="CQ185" s="383"/>
      <c r="CR185" s="383"/>
      <c r="CS185" s="383"/>
      <c r="CT185" s="383"/>
      <c r="CU185" s="383"/>
    </row>
    <row r="186" spans="1:129">
      <c r="A186" s="383"/>
      <c r="B186" s="383"/>
      <c r="C186" s="391"/>
      <c r="D186" s="383"/>
      <c r="E186" s="613"/>
      <c r="F186" s="614"/>
      <c r="G186" s="614"/>
      <c r="H186" s="615"/>
      <c r="I186" s="383"/>
      <c r="J186" s="613"/>
      <c r="K186" s="614"/>
      <c r="L186" s="614"/>
      <c r="M186" s="615"/>
      <c r="N186" s="383"/>
      <c r="O186" s="613"/>
      <c r="P186" s="614"/>
      <c r="Q186" s="241"/>
      <c r="R186" s="285"/>
      <c r="S186" s="25"/>
      <c r="T186" s="284"/>
      <c r="U186" s="241"/>
      <c r="V186" s="241"/>
      <c r="W186" s="285"/>
      <c r="X186" s="25"/>
      <c r="Y186" s="284"/>
      <c r="Z186" s="241"/>
      <c r="AA186" s="241"/>
      <c r="AB186" s="285"/>
      <c r="AC186" s="25"/>
      <c r="AD186" s="284"/>
      <c r="AE186" s="241"/>
      <c r="AF186" s="241"/>
      <c r="AG186" s="285"/>
      <c r="AH186" s="25"/>
      <c r="AI186" s="284"/>
      <c r="AJ186" s="241"/>
      <c r="AK186" s="241"/>
      <c r="AL186" s="285"/>
      <c r="AM186" s="25"/>
      <c r="AN186" s="284"/>
      <c r="AO186" s="241"/>
      <c r="AP186" s="241"/>
      <c r="AQ186" s="285"/>
      <c r="AR186" s="25"/>
      <c r="AS186" s="284"/>
      <c r="AT186" s="241"/>
      <c r="AU186" s="241"/>
      <c r="AV186" s="285"/>
      <c r="AW186" s="25"/>
      <c r="AX186" s="284"/>
      <c r="AY186" s="241"/>
      <c r="AZ186" s="241"/>
      <c r="BA186" s="285"/>
      <c r="BB186" s="25"/>
      <c r="BC186" s="284"/>
      <c r="BD186" s="241"/>
      <c r="BE186" s="241"/>
      <c r="BF186" s="285"/>
      <c r="BG186" s="25"/>
      <c r="BH186" s="284"/>
      <c r="BI186" s="241"/>
      <c r="BJ186" s="241"/>
      <c r="BK186" s="285"/>
      <c r="BL186" s="25"/>
      <c r="BM186" s="284"/>
      <c r="BN186" s="241"/>
      <c r="BO186" s="241"/>
      <c r="BP186" s="285"/>
      <c r="BQ186" s="25"/>
      <c r="BR186" s="383"/>
      <c r="BS186" s="383"/>
      <c r="BT186" s="383"/>
      <c r="BU186" s="383"/>
      <c r="BV186" s="383"/>
      <c r="BW186" s="383"/>
      <c r="BX186" s="383"/>
      <c r="BY186" s="383"/>
      <c r="BZ186" s="383"/>
      <c r="CA186" s="383"/>
      <c r="CB186" s="383"/>
      <c r="CC186" s="383"/>
      <c r="CD186" s="383"/>
      <c r="CE186" s="383"/>
      <c r="CF186" s="383"/>
      <c r="CG186" s="383"/>
      <c r="CH186" s="383"/>
      <c r="CI186" s="383"/>
      <c r="CJ186" s="383"/>
      <c r="CK186" s="383"/>
      <c r="CL186" s="383"/>
      <c r="CM186" s="383"/>
      <c r="CN186" s="383"/>
      <c r="CO186" s="383"/>
      <c r="CP186" s="383"/>
      <c r="CQ186" s="383"/>
      <c r="CR186" s="383"/>
      <c r="CS186" s="383"/>
      <c r="CT186" s="383"/>
      <c r="CU186" s="383"/>
    </row>
    <row r="187" spans="1:129">
      <c r="A187" s="383"/>
      <c r="B187" s="383"/>
      <c r="C187" s="383"/>
      <c r="D187" s="383"/>
      <c r="E187" s="613"/>
      <c r="F187" s="614"/>
      <c r="G187" s="614"/>
      <c r="H187" s="615"/>
      <c r="I187" s="383"/>
      <c r="J187" s="613"/>
      <c r="K187" s="614"/>
      <c r="L187" s="614"/>
      <c r="M187" s="615"/>
      <c r="N187" s="383"/>
      <c r="O187" s="613"/>
      <c r="P187" s="614"/>
      <c r="Q187" s="614"/>
      <c r="R187" s="615"/>
      <c r="S187" s="383"/>
      <c r="T187" s="613"/>
      <c r="U187" s="614"/>
      <c r="V187" s="614"/>
      <c r="W187" s="615"/>
      <c r="X187" s="383"/>
      <c r="Y187" s="613"/>
      <c r="Z187" s="614"/>
      <c r="AA187" s="614"/>
      <c r="AB187" s="615"/>
      <c r="AC187" s="383"/>
      <c r="AD187" s="613"/>
      <c r="AE187" s="614"/>
      <c r="AF187" s="614"/>
      <c r="AG187" s="615"/>
      <c r="AH187" s="383"/>
      <c r="AI187" s="613"/>
      <c r="AJ187" s="614"/>
      <c r="AK187" s="614"/>
      <c r="AL187" s="615"/>
      <c r="AM187" s="383"/>
      <c r="AN187" s="613"/>
      <c r="AO187" s="614"/>
      <c r="AP187" s="614"/>
      <c r="AQ187" s="615"/>
      <c r="AR187" s="383"/>
      <c r="AS187" s="613"/>
      <c r="AT187" s="614"/>
      <c r="AU187" s="614"/>
      <c r="AV187" s="615"/>
      <c r="AW187" s="383"/>
      <c r="AX187" s="613"/>
      <c r="AY187" s="614"/>
      <c r="AZ187" s="614"/>
      <c r="BA187" s="615"/>
      <c r="BB187" s="383"/>
      <c r="BC187" s="613"/>
      <c r="BD187" s="614"/>
      <c r="BE187" s="614"/>
      <c r="BF187" s="615"/>
      <c r="BG187" s="383"/>
      <c r="BH187" s="613"/>
      <c r="BI187" s="614"/>
      <c r="BJ187" s="614"/>
      <c r="BK187" s="615"/>
      <c r="BL187" s="383"/>
      <c r="BM187" s="613"/>
      <c r="BN187" s="614"/>
      <c r="BO187" s="614"/>
      <c r="BP187" s="615"/>
      <c r="BQ187" s="383"/>
      <c r="BR187" s="383"/>
      <c r="BS187" s="383"/>
      <c r="BT187" s="383"/>
      <c r="BU187" s="383"/>
      <c r="BV187" s="383"/>
      <c r="BW187" s="383"/>
      <c r="BX187" s="383"/>
      <c r="BY187" s="383"/>
      <c r="BZ187" s="383"/>
      <c r="CA187" s="383"/>
      <c r="CB187" s="383"/>
      <c r="CC187" s="383"/>
      <c r="CD187" s="383"/>
      <c r="CE187" s="383"/>
      <c r="CF187" s="383"/>
      <c r="CG187" s="776" t="s">
        <v>627</v>
      </c>
      <c r="CH187" s="28"/>
      <c r="CI187" s="28"/>
      <c r="CJ187" s="28"/>
      <c r="CK187" s="28"/>
      <c r="CL187" s="28"/>
      <c r="CM187" s="28"/>
      <c r="CN187" s="28"/>
      <c r="CO187" s="28"/>
      <c r="CP187" s="28"/>
      <c r="CQ187" s="28"/>
      <c r="CR187" s="28"/>
      <c r="CS187" s="28"/>
    </row>
    <row r="188" spans="1:129">
      <c r="A188" s="383"/>
      <c r="B188" s="379" t="s">
        <v>276</v>
      </c>
      <c r="C188" s="658"/>
      <c r="D188" s="659"/>
      <c r="E188" s="613"/>
      <c r="F188" s="614"/>
      <c r="G188" s="614"/>
      <c r="H188" s="615"/>
      <c r="I188" s="383"/>
      <c r="J188" s="613"/>
      <c r="K188" s="614"/>
      <c r="L188" s="614"/>
      <c r="M188" s="615"/>
      <c r="N188" s="383"/>
      <c r="O188" s="613"/>
      <c r="P188" s="614"/>
      <c r="Q188" s="614"/>
      <c r="R188" s="615"/>
      <c r="S188" s="383"/>
      <c r="T188" s="613"/>
      <c r="U188" s="614"/>
      <c r="V188" s="614"/>
      <c r="W188" s="615"/>
      <c r="X188" s="383"/>
      <c r="Y188" s="613"/>
      <c r="Z188" s="614"/>
      <c r="AA188" s="614"/>
      <c r="AB188" s="615"/>
      <c r="AC188" s="383"/>
      <c r="AD188" s="613"/>
      <c r="AE188" s="614"/>
      <c r="AF188" s="614"/>
      <c r="AG188" s="615"/>
      <c r="AH188" s="383"/>
      <c r="AI188" s="613"/>
      <c r="AJ188" s="614"/>
      <c r="AK188" s="614"/>
      <c r="AL188" s="615"/>
      <c r="AM188" s="383"/>
      <c r="AN188" s="613"/>
      <c r="AO188" s="614"/>
      <c r="AP188" s="614"/>
      <c r="AQ188" s="615"/>
      <c r="AR188" s="383"/>
      <c r="AS188" s="613"/>
      <c r="AT188" s="614"/>
      <c r="AU188" s="614"/>
      <c r="AV188" s="615"/>
      <c r="AW188" s="383"/>
      <c r="AX188" s="613"/>
      <c r="AY188" s="614"/>
      <c r="AZ188" s="614"/>
      <c r="BA188" s="615"/>
      <c r="BB188" s="383"/>
      <c r="BC188" s="613"/>
      <c r="BD188" s="614"/>
      <c r="BE188" s="614"/>
      <c r="BF188" s="615"/>
      <c r="BG188" s="383"/>
      <c r="BH188" s="613"/>
      <c r="BI188" s="614"/>
      <c r="BJ188" s="614"/>
      <c r="BK188" s="615"/>
      <c r="BL188" s="383"/>
      <c r="BM188" s="613"/>
      <c r="BN188" s="614"/>
      <c r="BO188" s="614"/>
      <c r="BP188" s="615"/>
      <c r="BQ188" s="383"/>
      <c r="BR188" s="383"/>
      <c r="BS188" s="383"/>
      <c r="BT188" s="383"/>
      <c r="BU188" s="383"/>
      <c r="BV188" s="383"/>
      <c r="BW188" s="383"/>
      <c r="BX188" s="383"/>
      <c r="BY188" s="383"/>
      <c r="BZ188" s="383"/>
      <c r="CA188" s="383"/>
      <c r="CB188" s="383"/>
      <c r="CC188" s="383"/>
      <c r="CD188" s="383"/>
      <c r="CE188" s="383"/>
      <c r="CF188" s="383"/>
      <c r="CG188" s="777" t="s">
        <v>358</v>
      </c>
      <c r="CH188" s="777" t="s">
        <v>359</v>
      </c>
      <c r="CI188" s="777" t="s">
        <v>322</v>
      </c>
      <c r="CJ188" s="777" t="s">
        <v>323</v>
      </c>
      <c r="CK188" s="777" t="s">
        <v>628</v>
      </c>
      <c r="CL188" s="777" t="s">
        <v>324</v>
      </c>
      <c r="CM188" s="777" t="s">
        <v>325</v>
      </c>
      <c r="CN188" s="777" t="s">
        <v>326</v>
      </c>
      <c r="CO188" s="777" t="s">
        <v>327</v>
      </c>
      <c r="CP188" s="777" t="s">
        <v>629</v>
      </c>
      <c r="CQ188" s="777" t="s">
        <v>268</v>
      </c>
      <c r="CR188" s="777" t="s">
        <v>269</v>
      </c>
      <c r="CS188" s="777" t="s">
        <v>270</v>
      </c>
      <c r="CT188" s="777" t="s">
        <v>271</v>
      </c>
      <c r="CU188" s="777" t="s">
        <v>630</v>
      </c>
      <c r="CV188" s="777" t="s">
        <v>616</v>
      </c>
      <c r="CW188" s="777" t="s">
        <v>1201</v>
      </c>
      <c r="CX188" s="777" t="s">
        <v>1251</v>
      </c>
      <c r="CY188" s="777" t="s">
        <v>1252</v>
      </c>
      <c r="CZ188" s="777" t="s">
        <v>827</v>
      </c>
      <c r="DA188" s="777" t="s">
        <v>674</v>
      </c>
      <c r="DB188" s="777" t="s">
        <v>673</v>
      </c>
      <c r="DC188" s="777" t="s">
        <v>919</v>
      </c>
      <c r="DD188" s="777" t="s">
        <v>920</v>
      </c>
      <c r="DE188" s="777" t="s">
        <v>922</v>
      </c>
      <c r="DF188" s="777" t="s">
        <v>1218</v>
      </c>
      <c r="DG188" s="777" t="s">
        <v>1211</v>
      </c>
      <c r="DH188" s="777" t="s">
        <v>1344</v>
      </c>
      <c r="DI188" s="777" t="s">
        <v>1345</v>
      </c>
      <c r="DJ188" s="777" t="s">
        <v>1346</v>
      </c>
      <c r="DK188" s="777" t="s">
        <v>1409</v>
      </c>
      <c r="DL188" s="777" t="s">
        <v>1405</v>
      </c>
      <c r="DM188" s="777" t="s">
        <v>1406</v>
      </c>
      <c r="DN188" s="777" t="s">
        <v>1407</v>
      </c>
      <c r="DO188" s="777" t="s">
        <v>1408</v>
      </c>
      <c r="DP188" s="777" t="s">
        <v>1436</v>
      </c>
      <c r="DQ188" s="777" t="s">
        <v>1439</v>
      </c>
      <c r="DR188" s="777" t="s">
        <v>1480</v>
      </c>
      <c r="DS188" s="777" t="s">
        <v>1501</v>
      </c>
      <c r="DT188" s="777" t="s">
        <v>1503</v>
      </c>
      <c r="DU188" s="777" t="s">
        <v>1515</v>
      </c>
      <c r="DV188" s="777" t="s">
        <v>1534</v>
      </c>
      <c r="DW188" s="777" t="s">
        <v>1536</v>
      </c>
      <c r="DX188" s="777" t="s">
        <v>1538</v>
      </c>
      <c r="DY188" s="777" t="s">
        <v>1540</v>
      </c>
    </row>
    <row r="189" spans="1:129">
      <c r="A189" s="45"/>
      <c r="B189" s="45"/>
      <c r="C189" s="391" t="s">
        <v>321</v>
      </c>
      <c r="D189" s="45"/>
      <c r="E189" s="290">
        <f t="shared" ref="E189:E194" si="442">+CG189</f>
        <v>85</v>
      </c>
      <c r="F189" s="260">
        <f t="shared" ref="F189:F194" si="443">+CH189-CG189</f>
        <v>16</v>
      </c>
      <c r="G189" s="260">
        <f t="shared" ref="G189:G194" si="444">+CI189-CH189</f>
        <v>32.300000000000011</v>
      </c>
      <c r="H189" s="291">
        <f t="shared" ref="H189:H194" si="445">+CK189-CI189</f>
        <v>-42.600000000000009</v>
      </c>
      <c r="I189" s="647">
        <f t="shared" ref="I189:I195" si="446">CK189</f>
        <v>90.7</v>
      </c>
      <c r="J189" s="290">
        <f t="shared" ref="J189:J194" si="447">+CL189</f>
        <v>64.400000000000006</v>
      </c>
      <c r="K189" s="260">
        <f t="shared" ref="K189:L194" si="448">+CM189-CL189</f>
        <v>17</v>
      </c>
      <c r="L189" s="260">
        <f t="shared" si="448"/>
        <v>31.799999999999997</v>
      </c>
      <c r="M189" s="291">
        <f t="shared" ref="M189:M194" si="449">+CP189-CN189</f>
        <v>34.399999999999991</v>
      </c>
      <c r="N189" s="647">
        <f t="shared" ref="N189:N195" si="450">CP189</f>
        <v>147.6</v>
      </c>
      <c r="O189" s="290">
        <f t="shared" ref="O189:O194" si="451">+CQ189</f>
        <v>81.099999999999994</v>
      </c>
      <c r="P189" s="260">
        <f t="shared" ref="P189:Q194" si="452">+CR189-CQ189</f>
        <v>16.600000000000009</v>
      </c>
      <c r="Q189" s="260">
        <f t="shared" si="452"/>
        <v>1.5999999999999943</v>
      </c>
      <c r="R189" s="291">
        <f t="shared" ref="R189:R194" si="453">+CU189-CS189</f>
        <v>36.399999999999991</v>
      </c>
      <c r="S189" s="647">
        <f t="shared" ref="S189:S195" si="454">CU189</f>
        <v>135.69999999999999</v>
      </c>
      <c r="T189" s="290">
        <f t="shared" ref="T189:T194" si="455">+CV189</f>
        <v>-30</v>
      </c>
      <c r="U189" s="260">
        <f t="shared" ref="U189:U194" si="456">+CW189-CV189</f>
        <v>16</v>
      </c>
      <c r="V189" s="260">
        <f t="shared" ref="V189:V194" si="457">+CX189-CW189</f>
        <v>0</v>
      </c>
      <c r="W189" s="291">
        <f t="shared" ref="W189:W194" si="458">+CZ189-CX189</f>
        <v>18</v>
      </c>
      <c r="X189" s="647">
        <f t="shared" ref="X189:X195" si="459">CZ189</f>
        <v>4</v>
      </c>
      <c r="Y189" s="290">
        <f t="shared" ref="Y189:Y194" si="460">+DA189</f>
        <v>80</v>
      </c>
      <c r="Z189" s="260">
        <f t="shared" ref="Z189:AA194" si="461">+DB189-DA189</f>
        <v>26</v>
      </c>
      <c r="AA189" s="1441">
        <f t="shared" si="461"/>
        <v>54</v>
      </c>
      <c r="AB189" s="1442">
        <f t="shared" ref="AB189:AB194" si="462">+DE189-DC189</f>
        <v>50</v>
      </c>
      <c r="AC189" s="1466">
        <f t="shared" ref="AC189:AC195" si="463">DE189</f>
        <v>210</v>
      </c>
      <c r="AD189" s="290">
        <f t="shared" ref="AD189:AD194" si="464">+DF189</f>
        <v>88</v>
      </c>
      <c r="AE189" s="260">
        <f t="shared" ref="AE189:AF194" si="465">+DG189-DF189</f>
        <v>18</v>
      </c>
      <c r="AF189" s="1441">
        <f t="shared" si="465"/>
        <v>50</v>
      </c>
      <c r="AG189" s="1442">
        <f t="shared" ref="AG189:AG194" si="466">+DJ189-DH189</f>
        <v>55</v>
      </c>
      <c r="AH189" s="1466">
        <f t="shared" ref="AH189:AH195" si="467">DJ189</f>
        <v>211</v>
      </c>
      <c r="AI189" s="290">
        <f t="shared" ref="AI189:AI194" si="468">+DK189</f>
        <v>109</v>
      </c>
      <c r="AJ189" s="260">
        <f t="shared" ref="AJ189:AJ194" si="469">+DL189-DK189</f>
        <v>48</v>
      </c>
      <c r="AK189" s="1441">
        <f t="shared" ref="AK189:AK194" si="470">+DM189-DL189</f>
        <v>55</v>
      </c>
      <c r="AL189" s="1442">
        <f t="shared" ref="AL189:AL194" si="471">+DO189-DM189</f>
        <v>76</v>
      </c>
      <c r="AM189" s="1466">
        <f t="shared" ref="AM189:AM195" si="472">DO189</f>
        <v>288</v>
      </c>
      <c r="AN189" s="290">
        <f t="shared" ref="AN189:AN194" si="473">+DP189</f>
        <v>101</v>
      </c>
      <c r="AO189" s="260">
        <f t="shared" ref="AO189:AP194" si="474">+DQ189-DP189</f>
        <v>34</v>
      </c>
      <c r="AP189" s="1441">
        <f t="shared" si="474"/>
        <v>56</v>
      </c>
      <c r="AQ189" s="1442">
        <f t="shared" ref="AQ189:AQ194" si="475">+DT189-DR189</f>
        <v>103</v>
      </c>
      <c r="AR189" s="1466">
        <f t="shared" ref="AR189:AR195" si="476">DT189</f>
        <v>294</v>
      </c>
      <c r="AS189" s="290">
        <f t="shared" ref="AS189:AS194" si="477">+DU189</f>
        <v>125</v>
      </c>
      <c r="AT189" s="260">
        <f t="shared" ref="AT189:AT194" si="478">+DV189-DU189</f>
        <v>44</v>
      </c>
      <c r="AU189" s="260">
        <f t="shared" ref="AU189:AU194" si="479">+DW189-DV189</f>
        <v>62</v>
      </c>
      <c r="AV189" s="1442">
        <f t="shared" ref="AV189:AV194" si="480">+DY189-DW189</f>
        <v>76</v>
      </c>
      <c r="AW189" s="1466">
        <f t="shared" ref="AW189:AW195" si="481">DY189</f>
        <v>307</v>
      </c>
      <c r="AX189" s="290">
        <f>+AX36</f>
        <v>136.86344581811204</v>
      </c>
      <c r="AY189" s="260">
        <f ca="1">+AY36</f>
        <v>51.676192093504902</v>
      </c>
      <c r="AZ189" s="260">
        <f ca="1">+AZ36</f>
        <v>53.599170469699366</v>
      </c>
      <c r="BA189" s="291">
        <f ca="1">+BA36</f>
        <v>80.611127794616124</v>
      </c>
      <c r="BB189" s="45">
        <f ca="1">SUM(AX189:BA189)</f>
        <v>322.74993617593248</v>
      </c>
      <c r="BC189" s="290">
        <f ca="1">+BC36</f>
        <v>128.93784874156944</v>
      </c>
      <c r="BD189" s="260">
        <f ca="1">+BD36</f>
        <v>44.552901921632369</v>
      </c>
      <c r="BE189" s="260">
        <f ca="1">+BE36</f>
        <v>72.7920655107595</v>
      </c>
      <c r="BF189" s="291">
        <f ca="1">+BF36</f>
        <v>100.15701264088156</v>
      </c>
      <c r="BG189" s="45">
        <f ca="1">SUM(BC189:BF189)</f>
        <v>346.43982881484288</v>
      </c>
      <c r="BH189" s="290">
        <f ca="1">+BH36</f>
        <v>146.48311145127411</v>
      </c>
      <c r="BI189" s="260">
        <f ca="1">+BI36</f>
        <v>62.442513974473982</v>
      </c>
      <c r="BJ189" s="260">
        <f ca="1">+BJ36</f>
        <v>72.528233287815141</v>
      </c>
      <c r="BK189" s="291">
        <f ca="1">+BK36</f>
        <v>100.44432770306283</v>
      </c>
      <c r="BL189" s="45">
        <f ca="1">SUM(BH189:BK189)</f>
        <v>381.89818641662606</v>
      </c>
      <c r="BM189" s="290">
        <f ca="1">+BM36</f>
        <v>146.35815310142499</v>
      </c>
      <c r="BN189" s="260">
        <f ca="1">+BN36</f>
        <v>63.258313097554193</v>
      </c>
      <c r="BO189" s="260">
        <f ca="1">+BO36</f>
        <v>80.503155512596081</v>
      </c>
      <c r="BP189" s="291">
        <f ca="1">+BP36</f>
        <v>110.88547956494068</v>
      </c>
      <c r="BQ189" s="45">
        <f ca="1">SUM(BM189:BP189)</f>
        <v>401.00510127651597</v>
      </c>
      <c r="BR189" s="45"/>
      <c r="BS189" s="45"/>
      <c r="BT189" s="45"/>
      <c r="BU189" s="45"/>
      <c r="BV189" s="45"/>
      <c r="BW189" s="45"/>
      <c r="BX189" s="45"/>
      <c r="BY189" s="45"/>
      <c r="BZ189" s="45"/>
      <c r="CA189" s="45"/>
      <c r="CB189" s="45"/>
      <c r="CC189" s="45"/>
      <c r="CD189" s="45"/>
      <c r="CE189" s="45"/>
      <c r="CF189" s="45"/>
      <c r="CG189" s="427">
        <v>85</v>
      </c>
      <c r="CH189" s="427">
        <v>101</v>
      </c>
      <c r="CI189" s="427">
        <v>133.30000000000001</v>
      </c>
      <c r="CJ189" s="45">
        <f t="shared" ref="CJ189:CJ194" si="482">CK189</f>
        <v>90.7</v>
      </c>
      <c r="CK189" s="427">
        <v>90.7</v>
      </c>
      <c r="CL189" s="427">
        <v>64.400000000000006</v>
      </c>
      <c r="CM189" s="427">
        <v>81.400000000000006</v>
      </c>
      <c r="CN189" s="427">
        <v>113.2</v>
      </c>
      <c r="CO189" s="45">
        <f t="shared" ref="CO189:CO194" si="483">CP189</f>
        <v>147.6</v>
      </c>
      <c r="CP189" s="427">
        <v>147.6</v>
      </c>
      <c r="CQ189" s="427">
        <v>81.099999999999994</v>
      </c>
      <c r="CR189" s="427">
        <v>97.7</v>
      </c>
      <c r="CS189" s="427">
        <v>99.3</v>
      </c>
      <c r="CT189" s="45">
        <f t="shared" ref="CT189:CT194" si="484">CU189</f>
        <v>135.69999999999999</v>
      </c>
      <c r="CU189" s="427">
        <f>135.7</f>
        <v>135.69999999999999</v>
      </c>
      <c r="CV189" s="427">
        <v>-30</v>
      </c>
      <c r="CW189" s="427">
        <f>-14</f>
        <v>-14</v>
      </c>
      <c r="CX189" s="427">
        <v>-14</v>
      </c>
      <c r="CY189" s="45">
        <f t="shared" ref="CY189:CY194" si="485">CZ189</f>
        <v>4</v>
      </c>
      <c r="CZ189" s="427">
        <v>4</v>
      </c>
      <c r="DA189" s="427">
        <v>80</v>
      </c>
      <c r="DB189" s="427">
        <v>106</v>
      </c>
      <c r="DC189" s="1437">
        <v>160</v>
      </c>
      <c r="DD189" s="1443">
        <f t="shared" ref="DD189:DD194" si="486">DE189</f>
        <v>210</v>
      </c>
      <c r="DE189" s="1437">
        <v>210</v>
      </c>
      <c r="DF189" s="427">
        <v>88</v>
      </c>
      <c r="DG189" s="427">
        <v>106</v>
      </c>
      <c r="DH189" s="1437">
        <v>156</v>
      </c>
      <c r="DI189" s="1443">
        <f t="shared" ref="DI189:DI194" si="487">DJ189</f>
        <v>211</v>
      </c>
      <c r="DJ189" s="1437">
        <v>211</v>
      </c>
      <c r="DK189" s="427">
        <v>109</v>
      </c>
      <c r="DL189" s="427">
        <v>157</v>
      </c>
      <c r="DM189" s="1437">
        <v>212</v>
      </c>
      <c r="DN189" s="1443">
        <f t="shared" ref="DN189:DN194" si="488">DO189</f>
        <v>288</v>
      </c>
      <c r="DO189" s="1437">
        <v>288</v>
      </c>
      <c r="DP189" s="427">
        <v>101</v>
      </c>
      <c r="DQ189" s="427">
        <v>135</v>
      </c>
      <c r="DR189" s="1437">
        <v>191</v>
      </c>
      <c r="DS189" s="1443">
        <f t="shared" ref="DS189:DS194" si="489">DT189</f>
        <v>294</v>
      </c>
      <c r="DT189" s="1437">
        <v>294</v>
      </c>
      <c r="DU189" s="427">
        <v>125</v>
      </c>
      <c r="DV189" s="427">
        <v>169</v>
      </c>
      <c r="DW189" s="427">
        <v>231</v>
      </c>
      <c r="DX189" s="1443">
        <f t="shared" ref="DX189:DX194" si="490">DY189</f>
        <v>307</v>
      </c>
      <c r="DY189" s="1437">
        <v>307</v>
      </c>
    </row>
    <row r="190" spans="1:129">
      <c r="A190" s="45"/>
      <c r="B190" s="45"/>
      <c r="C190" s="28" t="s">
        <v>67</v>
      </c>
      <c r="D190" s="45"/>
      <c r="E190" s="290">
        <f t="shared" si="442"/>
        <v>67.800000000000011</v>
      </c>
      <c r="F190" s="260">
        <f t="shared" si="443"/>
        <v>68.499999999999972</v>
      </c>
      <c r="G190" s="260">
        <f t="shared" si="444"/>
        <v>64.600000000000023</v>
      </c>
      <c r="H190" s="291">
        <f t="shared" si="445"/>
        <v>70.400000000000006</v>
      </c>
      <c r="I190" s="647">
        <f t="shared" si="446"/>
        <v>271.3</v>
      </c>
      <c r="J190" s="290">
        <f t="shared" si="447"/>
        <v>67.400000000000006</v>
      </c>
      <c r="K190" s="260">
        <f t="shared" si="448"/>
        <v>62.5</v>
      </c>
      <c r="L190" s="260">
        <f t="shared" si="448"/>
        <v>54.400000000000006</v>
      </c>
      <c r="M190" s="291">
        <f t="shared" si="449"/>
        <v>70.099999999999966</v>
      </c>
      <c r="N190" s="647">
        <f t="shared" si="450"/>
        <v>254.39999999999998</v>
      </c>
      <c r="O190" s="290">
        <f t="shared" si="451"/>
        <v>78.099999999999994</v>
      </c>
      <c r="P190" s="260">
        <f t="shared" si="452"/>
        <v>68.599999999999994</v>
      </c>
      <c r="Q190" s="260">
        <f t="shared" si="452"/>
        <v>61.800000000000011</v>
      </c>
      <c r="R190" s="291">
        <f t="shared" si="453"/>
        <v>70.900000000000034</v>
      </c>
      <c r="S190" s="647">
        <f t="shared" si="454"/>
        <v>279.40000000000003</v>
      </c>
      <c r="T190" s="290">
        <f t="shared" si="455"/>
        <v>79</v>
      </c>
      <c r="U190" s="260">
        <f t="shared" si="456"/>
        <v>71</v>
      </c>
      <c r="V190" s="260">
        <f t="shared" si="457"/>
        <v>68</v>
      </c>
      <c r="W190" s="291">
        <f t="shared" si="458"/>
        <v>80</v>
      </c>
      <c r="X190" s="647">
        <f t="shared" si="459"/>
        <v>298</v>
      </c>
      <c r="Y190" s="290">
        <f t="shared" si="460"/>
        <v>93</v>
      </c>
      <c r="Z190" s="260">
        <f t="shared" si="461"/>
        <v>82</v>
      </c>
      <c r="AA190" s="1441">
        <f t="shared" si="461"/>
        <v>77</v>
      </c>
      <c r="AB190" s="1442">
        <f t="shared" si="462"/>
        <v>96</v>
      </c>
      <c r="AC190" s="1466">
        <f t="shared" si="463"/>
        <v>348</v>
      </c>
      <c r="AD190" s="290">
        <f t="shared" si="464"/>
        <v>108</v>
      </c>
      <c r="AE190" s="260">
        <f t="shared" si="465"/>
        <v>89</v>
      </c>
      <c r="AF190" s="1441">
        <f t="shared" si="465"/>
        <v>78</v>
      </c>
      <c r="AG190" s="1442">
        <f t="shared" si="466"/>
        <v>96</v>
      </c>
      <c r="AH190" s="1466">
        <f t="shared" si="467"/>
        <v>371</v>
      </c>
      <c r="AI190" s="290">
        <f t="shared" si="468"/>
        <v>106</v>
      </c>
      <c r="AJ190" s="260">
        <f t="shared" si="469"/>
        <v>86</v>
      </c>
      <c r="AK190" s="1441">
        <f t="shared" si="470"/>
        <v>79</v>
      </c>
      <c r="AL190" s="1442">
        <f t="shared" si="471"/>
        <v>95</v>
      </c>
      <c r="AM190" s="1466">
        <f t="shared" si="472"/>
        <v>366</v>
      </c>
      <c r="AN190" s="290">
        <f t="shared" si="473"/>
        <v>109</v>
      </c>
      <c r="AO190" s="260">
        <f t="shared" si="474"/>
        <v>97</v>
      </c>
      <c r="AP190" s="1441">
        <f t="shared" si="474"/>
        <v>101</v>
      </c>
      <c r="AQ190" s="1442">
        <f t="shared" si="475"/>
        <v>116</v>
      </c>
      <c r="AR190" s="1466">
        <f t="shared" si="476"/>
        <v>423</v>
      </c>
      <c r="AS190" s="290">
        <f t="shared" si="477"/>
        <v>128</v>
      </c>
      <c r="AT190" s="260">
        <f t="shared" si="478"/>
        <v>111</v>
      </c>
      <c r="AU190" s="260">
        <f t="shared" si="479"/>
        <v>109</v>
      </c>
      <c r="AV190" s="1442">
        <f t="shared" si="480"/>
        <v>125</v>
      </c>
      <c r="AW190" s="1466">
        <f t="shared" si="481"/>
        <v>473</v>
      </c>
      <c r="AX190" s="290">
        <f>AX14</f>
        <v>128.01749965000701</v>
      </c>
      <c r="AY190" s="260">
        <f>AY14</f>
        <v>117.4003615418782</v>
      </c>
      <c r="AZ190" s="260">
        <f>AZ14</f>
        <v>114.1959126322032</v>
      </c>
      <c r="BA190" s="291">
        <f>BA14</f>
        <v>130.97160532463721</v>
      </c>
      <c r="BB190" s="45">
        <f>SUM(AX190:BA190)</f>
        <v>490.58537914872562</v>
      </c>
      <c r="BC190" s="290">
        <f>BC14</f>
        <v>134.72765924866823</v>
      </c>
      <c r="BD190" s="260">
        <f>BD14</f>
        <v>124.18873759200157</v>
      </c>
      <c r="BE190" s="260">
        <f>BE14</f>
        <v>121.32395244993688</v>
      </c>
      <c r="BF190" s="291">
        <f>BF14</f>
        <v>138.43555230384351</v>
      </c>
      <c r="BG190" s="45">
        <f>SUM(BC190:BF190)</f>
        <v>518.67590159445012</v>
      </c>
      <c r="BH190" s="290">
        <f>BH14</f>
        <v>142.52379833044245</v>
      </c>
      <c r="BI190" s="260">
        <f>BI14</f>
        <v>132.68080015547446</v>
      </c>
      <c r="BJ190" s="260">
        <f>BJ14</f>
        <v>129.58384744480912</v>
      </c>
      <c r="BK190" s="291">
        <f>BK14</f>
        <v>146.46584745206937</v>
      </c>
      <c r="BL190" s="45">
        <f>SUM(BH190:BK190)</f>
        <v>551.25429338279537</v>
      </c>
      <c r="BM190" s="290">
        <f>BM14</f>
        <v>150.32703295553941</v>
      </c>
      <c r="BN190" s="260">
        <f>BN14</f>
        <v>140.3513368341799</v>
      </c>
      <c r="BO190" s="260">
        <f>BO14</f>
        <v>136.89305521442628</v>
      </c>
      <c r="BP190" s="291">
        <f>BP14</f>
        <v>153.41772253040841</v>
      </c>
      <c r="BQ190" s="45">
        <f>SUM(BM190:BP190)</f>
        <v>580.98914753455404</v>
      </c>
      <c r="BR190" s="45"/>
      <c r="BS190" s="45"/>
      <c r="BT190" s="45"/>
      <c r="BU190" s="45"/>
      <c r="BV190" s="45"/>
      <c r="BW190" s="45"/>
      <c r="BX190" s="45"/>
      <c r="BY190" s="45"/>
      <c r="BZ190" s="45"/>
      <c r="CA190" s="45"/>
      <c r="CB190" s="45"/>
      <c r="CC190" s="45"/>
      <c r="CD190" s="45"/>
      <c r="CE190" s="45"/>
      <c r="CF190" s="45"/>
      <c r="CG190" s="427">
        <f>66.9+0.9</f>
        <v>67.800000000000011</v>
      </c>
      <c r="CH190" s="427">
        <f>132.6+3.7</f>
        <v>136.29999999999998</v>
      </c>
      <c r="CI190" s="427">
        <f>194.3+6.6</f>
        <v>200.9</v>
      </c>
      <c r="CJ190" s="45">
        <f t="shared" si="482"/>
        <v>271.3</v>
      </c>
      <c r="CK190" s="427">
        <f>262.1+9.2</f>
        <v>271.3</v>
      </c>
      <c r="CL190" s="427">
        <f>67.7-0.3</f>
        <v>67.400000000000006</v>
      </c>
      <c r="CM190" s="427">
        <f>128.3+1.6</f>
        <v>129.9</v>
      </c>
      <c r="CN190" s="427">
        <f>181+3.3</f>
        <v>184.3</v>
      </c>
      <c r="CO190" s="45">
        <f t="shared" si="483"/>
        <v>254.39999999999998</v>
      </c>
      <c r="CP190" s="427">
        <f>249.2+5.2</f>
        <v>254.39999999999998</v>
      </c>
      <c r="CQ190" s="427">
        <f>76.3+1.8</f>
        <v>78.099999999999994</v>
      </c>
      <c r="CR190" s="427">
        <f>143.1+3.6</f>
        <v>146.69999999999999</v>
      </c>
      <c r="CS190" s="427">
        <f>203.1+5.4</f>
        <v>208.5</v>
      </c>
      <c r="CT190" s="45">
        <f t="shared" si="484"/>
        <v>279.40000000000003</v>
      </c>
      <c r="CU190" s="427">
        <f>272.1+7.3</f>
        <v>279.40000000000003</v>
      </c>
      <c r="CV190" s="427">
        <v>79</v>
      </c>
      <c r="CW190" s="427">
        <f>150</f>
        <v>150</v>
      </c>
      <c r="CX190" s="427">
        <v>218</v>
      </c>
      <c r="CY190" s="45">
        <f t="shared" si="485"/>
        <v>298</v>
      </c>
      <c r="CZ190" s="427">
        <v>298</v>
      </c>
      <c r="DA190" s="427">
        <v>93</v>
      </c>
      <c r="DB190" s="427">
        <v>175</v>
      </c>
      <c r="DC190" s="1437">
        <v>252</v>
      </c>
      <c r="DD190" s="1443">
        <f t="shared" si="486"/>
        <v>348</v>
      </c>
      <c r="DE190" s="1437">
        <v>348</v>
      </c>
      <c r="DF190" s="427">
        <v>108</v>
      </c>
      <c r="DG190" s="427">
        <v>197</v>
      </c>
      <c r="DH190" s="1437">
        <v>275</v>
      </c>
      <c r="DI190" s="1443">
        <f t="shared" si="487"/>
        <v>371</v>
      </c>
      <c r="DJ190" s="1437">
        <v>371</v>
      </c>
      <c r="DK190" s="427">
        <v>106</v>
      </c>
      <c r="DL190" s="427">
        <v>192</v>
      </c>
      <c r="DM190" s="1437">
        <v>271</v>
      </c>
      <c r="DN190" s="1443">
        <f t="shared" si="488"/>
        <v>366</v>
      </c>
      <c r="DO190" s="1437">
        <v>366</v>
      </c>
      <c r="DP190" s="427">
        <v>109</v>
      </c>
      <c r="DQ190" s="427">
        <v>206</v>
      </c>
      <c r="DR190" s="1437">
        <v>307</v>
      </c>
      <c r="DS190" s="1443">
        <f t="shared" si="489"/>
        <v>423</v>
      </c>
      <c r="DT190" s="1437">
        <v>423</v>
      </c>
      <c r="DU190" s="427">
        <v>128</v>
      </c>
      <c r="DV190" s="427">
        <v>239</v>
      </c>
      <c r="DW190" s="427">
        <v>348</v>
      </c>
      <c r="DX190" s="1443">
        <f t="shared" si="490"/>
        <v>473</v>
      </c>
      <c r="DY190" s="1437">
        <v>473</v>
      </c>
    </row>
    <row r="191" spans="1:129">
      <c r="A191" s="45"/>
      <c r="B191" s="45"/>
      <c r="C191" s="391" t="s">
        <v>75</v>
      </c>
      <c r="D191" s="45"/>
      <c r="E191" s="290">
        <f t="shared" si="442"/>
        <v>9</v>
      </c>
      <c r="F191" s="260">
        <f t="shared" si="443"/>
        <v>37.700000000000003</v>
      </c>
      <c r="G191" s="260">
        <f t="shared" si="444"/>
        <v>243</v>
      </c>
      <c r="H191" s="291">
        <f t="shared" si="445"/>
        <v>-105</v>
      </c>
      <c r="I191" s="647">
        <f t="shared" si="446"/>
        <v>184.7</v>
      </c>
      <c r="J191" s="290">
        <f t="shared" si="447"/>
        <v>45.6</v>
      </c>
      <c r="K191" s="260">
        <f t="shared" si="448"/>
        <v>9.6000000000000014</v>
      </c>
      <c r="L191" s="260">
        <f t="shared" si="448"/>
        <v>41.8</v>
      </c>
      <c r="M191" s="291">
        <f t="shared" si="449"/>
        <v>203.2</v>
      </c>
      <c r="N191" s="647">
        <f t="shared" si="450"/>
        <v>300.2</v>
      </c>
      <c r="O191" s="290">
        <f t="shared" si="451"/>
        <v>29.3</v>
      </c>
      <c r="P191" s="260">
        <f t="shared" si="452"/>
        <v>30.400000000000002</v>
      </c>
      <c r="Q191" s="260">
        <f t="shared" si="452"/>
        <v>34</v>
      </c>
      <c r="R191" s="291">
        <f t="shared" si="453"/>
        <v>52.100000000000009</v>
      </c>
      <c r="S191" s="647">
        <f t="shared" si="454"/>
        <v>145.80000000000001</v>
      </c>
      <c r="T191" s="290">
        <f t="shared" si="455"/>
        <v>40</v>
      </c>
      <c r="U191" s="260">
        <f t="shared" si="456"/>
        <v>51</v>
      </c>
      <c r="V191" s="260">
        <f t="shared" si="457"/>
        <v>10</v>
      </c>
      <c r="W191" s="291">
        <f t="shared" si="458"/>
        <v>3</v>
      </c>
      <c r="X191" s="647">
        <f t="shared" si="459"/>
        <v>104</v>
      </c>
      <c r="Y191" s="290">
        <f t="shared" si="460"/>
        <v>73</v>
      </c>
      <c r="Z191" s="260">
        <f t="shared" si="461"/>
        <v>25</v>
      </c>
      <c r="AA191" s="1441">
        <f t="shared" si="461"/>
        <v>7</v>
      </c>
      <c r="AB191" s="1442">
        <f t="shared" si="462"/>
        <v>20</v>
      </c>
      <c r="AC191" s="1466">
        <f t="shared" si="463"/>
        <v>125</v>
      </c>
      <c r="AD191" s="290">
        <f t="shared" si="464"/>
        <v>27</v>
      </c>
      <c r="AE191" s="260">
        <f t="shared" si="465"/>
        <v>20</v>
      </c>
      <c r="AF191" s="1441">
        <f t="shared" si="465"/>
        <v>10</v>
      </c>
      <c r="AG191" s="1442">
        <f t="shared" si="466"/>
        <v>59</v>
      </c>
      <c r="AH191" s="1466">
        <f t="shared" si="467"/>
        <v>116</v>
      </c>
      <c r="AI191" s="290">
        <f t="shared" si="468"/>
        <v>33</v>
      </c>
      <c r="AJ191" s="260">
        <f t="shared" si="469"/>
        <v>21</v>
      </c>
      <c r="AK191" s="1441">
        <f t="shared" si="470"/>
        <v>25</v>
      </c>
      <c r="AL191" s="1442">
        <f t="shared" si="471"/>
        <v>86</v>
      </c>
      <c r="AM191" s="1466">
        <f t="shared" si="472"/>
        <v>165</v>
      </c>
      <c r="AN191" s="290">
        <f t="shared" si="473"/>
        <v>26</v>
      </c>
      <c r="AO191" s="260">
        <f t="shared" si="474"/>
        <v>-9</v>
      </c>
      <c r="AP191" s="1441">
        <f t="shared" si="474"/>
        <v>37</v>
      </c>
      <c r="AQ191" s="1442">
        <f t="shared" si="475"/>
        <v>64</v>
      </c>
      <c r="AR191" s="1466">
        <f t="shared" si="476"/>
        <v>118</v>
      </c>
      <c r="AS191" s="290">
        <f t="shared" si="477"/>
        <v>72</v>
      </c>
      <c r="AT191" s="260">
        <f t="shared" si="478"/>
        <v>27</v>
      </c>
      <c r="AU191" s="260">
        <f t="shared" si="479"/>
        <v>42</v>
      </c>
      <c r="AV191" s="1442">
        <f t="shared" si="480"/>
        <v>4</v>
      </c>
      <c r="AW191" s="1466">
        <f t="shared" si="481"/>
        <v>145</v>
      </c>
      <c r="AX191" s="290">
        <f ca="1">+BB191/4</f>
        <v>18.275916654082465</v>
      </c>
      <c r="AY191" s="260">
        <f ca="1">(BB191-SUM(AX191:AX191))/3</f>
        <v>18.275916654082465</v>
      </c>
      <c r="AZ191" s="260">
        <f ca="1">(BB191-SUM(AX191:AY191))/2</f>
        <v>18.275916654082465</v>
      </c>
      <c r="BA191" s="291">
        <f ca="1">(BB191-SUM(AX191:AZ191))/1</f>
        <v>18.275916654082465</v>
      </c>
      <c r="BB191" s="426">
        <f ca="1">(BB29/EXC!BB37)*EXC!BB152</f>
        <v>73.103666616329861</v>
      </c>
      <c r="BC191" s="290">
        <f ca="1">+BG191/4</f>
        <v>19.840243213351357</v>
      </c>
      <c r="BD191" s="260">
        <f ca="1">(BG191-SUM(BC191:BC191))/3</f>
        <v>19.840243213351357</v>
      </c>
      <c r="BE191" s="260">
        <f ca="1">(BG191-SUM(BC191:BD191))/2</f>
        <v>19.840243213351357</v>
      </c>
      <c r="BF191" s="291">
        <f ca="1">(BG191-SUM(BC191:BE191))/1</f>
        <v>19.840243213351357</v>
      </c>
      <c r="BG191" s="426">
        <f ca="1">(BG29/EXC!BG37)*EXC!BG152</f>
        <v>79.360972853405428</v>
      </c>
      <c r="BH191" s="290">
        <f ca="1">+BL191/4</f>
        <v>23.325147956700146</v>
      </c>
      <c r="BI191" s="260">
        <f ca="1">(BL191-SUM(BH191:BH191))/3</f>
        <v>23.325147956700146</v>
      </c>
      <c r="BJ191" s="260">
        <f ca="1">(BL191-SUM(BH191:BI191))/2</f>
        <v>23.325147956700146</v>
      </c>
      <c r="BK191" s="291">
        <f ca="1">(BL191-SUM(BH191:BJ191))/1</f>
        <v>23.32514795670015</v>
      </c>
      <c r="BL191" s="426">
        <f ca="1">(BL29/EXC!BL37)*EXC!BL152</f>
        <v>93.300591826800584</v>
      </c>
      <c r="BM191" s="290">
        <f ca="1">+BQ191/4</f>
        <v>24.192952459580194</v>
      </c>
      <c r="BN191" s="260">
        <f ca="1">(BQ191-SUM(BM191:BM191))/3</f>
        <v>24.192952459580194</v>
      </c>
      <c r="BO191" s="260">
        <f ca="1">(BQ191-SUM(BM191:BN191))/2</f>
        <v>24.192952459580194</v>
      </c>
      <c r="BP191" s="291">
        <f ca="1">(BQ191-SUM(BM191:BO191))/1</f>
        <v>24.192952459580198</v>
      </c>
      <c r="BQ191" s="426">
        <f ca="1">(BQ29/EXC!BQ37)*EXC!BQ152</f>
        <v>96.771809838320777</v>
      </c>
      <c r="BR191" s="45"/>
      <c r="BS191" s="45"/>
      <c r="BT191" s="45"/>
      <c r="BU191" s="45"/>
      <c r="BV191" s="45"/>
      <c r="BW191" s="45"/>
      <c r="BX191" s="45"/>
      <c r="BY191" s="45"/>
      <c r="BZ191" s="45"/>
      <c r="CA191" s="45"/>
      <c r="CB191" s="45"/>
      <c r="CC191" s="45"/>
      <c r="CD191" s="45"/>
      <c r="CE191" s="45"/>
      <c r="CF191" s="45"/>
      <c r="CG191" s="427">
        <v>9</v>
      </c>
      <c r="CH191" s="427">
        <v>46.7</v>
      </c>
      <c r="CI191" s="427">
        <v>289.7</v>
      </c>
      <c r="CJ191" s="45">
        <f t="shared" si="482"/>
        <v>184.7</v>
      </c>
      <c r="CK191" s="427">
        <v>184.7</v>
      </c>
      <c r="CL191" s="427">
        <v>45.6</v>
      </c>
      <c r="CM191" s="427">
        <v>55.2</v>
      </c>
      <c r="CN191" s="427">
        <v>97</v>
      </c>
      <c r="CO191" s="45">
        <f t="shared" si="483"/>
        <v>300.2</v>
      </c>
      <c r="CP191" s="427">
        <v>300.2</v>
      </c>
      <c r="CQ191" s="427">
        <v>29.3</v>
      </c>
      <c r="CR191" s="427">
        <v>59.7</v>
      </c>
      <c r="CS191" s="427">
        <v>93.7</v>
      </c>
      <c r="CT191" s="45">
        <f t="shared" si="484"/>
        <v>145.80000000000001</v>
      </c>
      <c r="CU191" s="427">
        <v>145.80000000000001</v>
      </c>
      <c r="CV191" s="427">
        <v>40</v>
      </c>
      <c r="CW191" s="427">
        <f>91</f>
        <v>91</v>
      </c>
      <c r="CX191" s="427">
        <v>101</v>
      </c>
      <c r="CY191" s="45">
        <f t="shared" si="485"/>
        <v>104</v>
      </c>
      <c r="CZ191" s="427">
        <v>104</v>
      </c>
      <c r="DA191" s="427">
        <v>73</v>
      </c>
      <c r="DB191" s="427">
        <v>98</v>
      </c>
      <c r="DC191" s="1437">
        <v>105</v>
      </c>
      <c r="DD191" s="1443">
        <f t="shared" si="486"/>
        <v>125</v>
      </c>
      <c r="DE191" s="1437">
        <v>125</v>
      </c>
      <c r="DF191" s="427">
        <v>27</v>
      </c>
      <c r="DG191" s="427">
        <v>47</v>
      </c>
      <c r="DH191" s="1437">
        <v>57</v>
      </c>
      <c r="DI191" s="1443">
        <f t="shared" si="487"/>
        <v>116</v>
      </c>
      <c r="DJ191" s="1437">
        <v>116</v>
      </c>
      <c r="DK191" s="427">
        <v>33</v>
      </c>
      <c r="DL191" s="427">
        <v>54</v>
      </c>
      <c r="DM191" s="1437">
        <v>79</v>
      </c>
      <c r="DN191" s="1443">
        <f t="shared" si="488"/>
        <v>165</v>
      </c>
      <c r="DO191" s="1437">
        <v>165</v>
      </c>
      <c r="DP191" s="427">
        <v>26</v>
      </c>
      <c r="DQ191" s="427">
        <v>17</v>
      </c>
      <c r="DR191" s="1437">
        <v>54</v>
      </c>
      <c r="DS191" s="1443">
        <f t="shared" si="489"/>
        <v>118</v>
      </c>
      <c r="DT191" s="1437">
        <v>118</v>
      </c>
      <c r="DU191" s="427">
        <v>72</v>
      </c>
      <c r="DV191" s="427">
        <v>99</v>
      </c>
      <c r="DW191" s="427">
        <v>141</v>
      </c>
      <c r="DX191" s="1443">
        <f t="shared" si="490"/>
        <v>145</v>
      </c>
      <c r="DY191" s="1437">
        <v>145</v>
      </c>
    </row>
    <row r="192" spans="1:129">
      <c r="A192" s="45"/>
      <c r="B192" s="45"/>
      <c r="C192" s="391" t="s">
        <v>632</v>
      </c>
      <c r="D192" s="45"/>
      <c r="E192" s="290">
        <f t="shared" si="442"/>
        <v>-2</v>
      </c>
      <c r="F192" s="260">
        <f t="shared" si="443"/>
        <v>-2.2000000000000002</v>
      </c>
      <c r="G192" s="260">
        <f t="shared" si="444"/>
        <v>-1.8999999999999995</v>
      </c>
      <c r="H192" s="291">
        <f t="shared" si="445"/>
        <v>-2.0999999999999996</v>
      </c>
      <c r="I192" s="647">
        <f t="shared" si="446"/>
        <v>-8.1999999999999993</v>
      </c>
      <c r="J192" s="290">
        <f t="shared" si="447"/>
        <v>-2.5</v>
      </c>
      <c r="K192" s="260">
        <f t="shared" si="448"/>
        <v>-2.7</v>
      </c>
      <c r="L192" s="260">
        <f t="shared" si="448"/>
        <v>-2.5</v>
      </c>
      <c r="M192" s="291">
        <f t="shared" si="449"/>
        <v>-2.8</v>
      </c>
      <c r="N192" s="647">
        <f t="shared" si="450"/>
        <v>-10.5</v>
      </c>
      <c r="O192" s="290">
        <f t="shared" si="451"/>
        <v>-3.5</v>
      </c>
      <c r="P192" s="260">
        <f t="shared" si="452"/>
        <v>-3.5</v>
      </c>
      <c r="Q192" s="260">
        <f t="shared" si="452"/>
        <v>-3.6999999999999993</v>
      </c>
      <c r="R192" s="291">
        <f t="shared" si="453"/>
        <v>-4.4000000000000004</v>
      </c>
      <c r="S192" s="647">
        <f t="shared" si="454"/>
        <v>-15.1</v>
      </c>
      <c r="T192" s="290">
        <f t="shared" si="455"/>
        <v>0</v>
      </c>
      <c r="U192" s="260">
        <f t="shared" si="456"/>
        <v>0</v>
      </c>
      <c r="V192" s="260">
        <f t="shared" si="457"/>
        <v>0</v>
      </c>
      <c r="W192" s="291">
        <f t="shared" si="458"/>
        <v>0</v>
      </c>
      <c r="X192" s="647">
        <f t="shared" si="459"/>
        <v>0</v>
      </c>
      <c r="Y192" s="290">
        <f t="shared" si="460"/>
        <v>0</v>
      </c>
      <c r="Z192" s="260">
        <f t="shared" si="461"/>
        <v>0</v>
      </c>
      <c r="AA192" s="1441">
        <f t="shared" si="461"/>
        <v>0</v>
      </c>
      <c r="AB192" s="1442">
        <f t="shared" si="462"/>
        <v>0</v>
      </c>
      <c r="AC192" s="1466">
        <f t="shared" si="463"/>
        <v>0</v>
      </c>
      <c r="AD192" s="290">
        <f t="shared" si="464"/>
        <v>0</v>
      </c>
      <c r="AE192" s="260">
        <f t="shared" si="465"/>
        <v>0</v>
      </c>
      <c r="AF192" s="1441">
        <f t="shared" si="465"/>
        <v>0</v>
      </c>
      <c r="AG192" s="1442">
        <f t="shared" si="466"/>
        <v>0</v>
      </c>
      <c r="AH192" s="1466">
        <f t="shared" si="467"/>
        <v>0</v>
      </c>
      <c r="AI192" s="290">
        <f t="shared" si="468"/>
        <v>0</v>
      </c>
      <c r="AJ192" s="260">
        <f t="shared" si="469"/>
        <v>0</v>
      </c>
      <c r="AK192" s="1441">
        <f t="shared" si="470"/>
        <v>0</v>
      </c>
      <c r="AL192" s="1442">
        <f t="shared" si="471"/>
        <v>0</v>
      </c>
      <c r="AM192" s="1466">
        <f t="shared" si="472"/>
        <v>0</v>
      </c>
      <c r="AN192" s="290">
        <f t="shared" si="473"/>
        <v>0</v>
      </c>
      <c r="AO192" s="260">
        <f t="shared" si="474"/>
        <v>0</v>
      </c>
      <c r="AP192" s="1441">
        <f t="shared" si="474"/>
        <v>0</v>
      </c>
      <c r="AQ192" s="1442">
        <f t="shared" si="475"/>
        <v>0</v>
      </c>
      <c r="AR192" s="1466">
        <f t="shared" si="476"/>
        <v>0</v>
      </c>
      <c r="AS192" s="290">
        <f t="shared" si="477"/>
        <v>0</v>
      </c>
      <c r="AT192" s="260">
        <f t="shared" si="478"/>
        <v>0</v>
      </c>
      <c r="AU192" s="260">
        <f t="shared" si="479"/>
        <v>0</v>
      </c>
      <c r="AV192" s="1442">
        <f t="shared" si="480"/>
        <v>0</v>
      </c>
      <c r="AW192" s="1466">
        <f t="shared" si="481"/>
        <v>0</v>
      </c>
      <c r="AX192" s="290">
        <f>-AX20</f>
        <v>-4.4217687074829923</v>
      </c>
      <c r="AY192" s="260">
        <f>-AY20</f>
        <v>-4.4217687074829923</v>
      </c>
      <c r="AZ192" s="260">
        <f>-AZ20</f>
        <v>-4.4217687074829923</v>
      </c>
      <c r="BA192" s="291">
        <f>-BA20</f>
        <v>-4.4217687074829923</v>
      </c>
      <c r="BB192" s="45">
        <f>SUM(AX192:BA192)</f>
        <v>-17.687074829931969</v>
      </c>
      <c r="BC192" s="290">
        <f>-BC20</f>
        <v>-5.1020408163265305</v>
      </c>
      <c r="BD192" s="260">
        <f>-BD20</f>
        <v>-5.1020408163265305</v>
      </c>
      <c r="BE192" s="260">
        <f>-BE20</f>
        <v>-5.1020408163265305</v>
      </c>
      <c r="BF192" s="291">
        <f>-BF20</f>
        <v>-5.1020408163265305</v>
      </c>
      <c r="BG192" s="45">
        <f>SUM(BC192:BF192)</f>
        <v>-20.408163265306122</v>
      </c>
      <c r="BH192" s="290">
        <f>-BH20</f>
        <v>-4.8752834467120181</v>
      </c>
      <c r="BI192" s="260">
        <f>-BI20</f>
        <v>-4.8752834467120181</v>
      </c>
      <c r="BJ192" s="260">
        <f>-BJ20</f>
        <v>-4.8752834467120181</v>
      </c>
      <c r="BK192" s="291">
        <f>-BK20</f>
        <v>-4.8752834467120181</v>
      </c>
      <c r="BL192" s="45">
        <f>SUM(BH192:BK192)</f>
        <v>-19.501133786848072</v>
      </c>
      <c r="BM192" s="290">
        <f>-BM20</f>
        <v>-4.4217687074829923</v>
      </c>
      <c r="BN192" s="260">
        <f>-BN20</f>
        <v>-4.4217687074829923</v>
      </c>
      <c r="BO192" s="260">
        <f>-BO20</f>
        <v>-4.4217687074829923</v>
      </c>
      <c r="BP192" s="291">
        <f>-BP20</f>
        <v>-4.4217687074829923</v>
      </c>
      <c r="BQ192" s="45">
        <f>SUM(BM192:BP192)</f>
        <v>-17.687074829931969</v>
      </c>
      <c r="BR192" s="45"/>
      <c r="BS192" s="45"/>
      <c r="BT192" s="45"/>
      <c r="BU192" s="45"/>
      <c r="BV192" s="45"/>
      <c r="BW192" s="45"/>
      <c r="BX192" s="45"/>
      <c r="BY192" s="45"/>
      <c r="BZ192" s="45"/>
      <c r="CA192" s="45"/>
      <c r="CB192" s="45"/>
      <c r="CC192" s="45"/>
      <c r="CD192" s="45"/>
      <c r="CE192" s="45"/>
      <c r="CF192" s="45"/>
      <c r="CG192" s="427">
        <v>-2</v>
      </c>
      <c r="CH192" s="427">
        <v>-4.2</v>
      </c>
      <c r="CI192" s="427">
        <v>-6.1</v>
      </c>
      <c r="CJ192" s="45">
        <f t="shared" si="482"/>
        <v>-8.1999999999999993</v>
      </c>
      <c r="CK192" s="427">
        <v>-8.1999999999999993</v>
      </c>
      <c r="CL192" s="427">
        <v>-2.5</v>
      </c>
      <c r="CM192" s="427">
        <v>-5.2</v>
      </c>
      <c r="CN192" s="427">
        <v>-7.7</v>
      </c>
      <c r="CO192" s="45">
        <f t="shared" si="483"/>
        <v>-10.5</v>
      </c>
      <c r="CP192" s="427">
        <v>-10.5</v>
      </c>
      <c r="CQ192" s="427">
        <v>-3.5</v>
      </c>
      <c r="CR192" s="427">
        <v>-7</v>
      </c>
      <c r="CS192" s="427">
        <v>-10.7</v>
      </c>
      <c r="CT192" s="45">
        <f t="shared" si="484"/>
        <v>-15.1</v>
      </c>
      <c r="CU192" s="427">
        <v>-15.1</v>
      </c>
      <c r="CV192" s="427">
        <v>0</v>
      </c>
      <c r="CW192" s="427">
        <v>0</v>
      </c>
      <c r="CX192" s="427">
        <v>0</v>
      </c>
      <c r="CY192" s="45">
        <f t="shared" si="485"/>
        <v>0</v>
      </c>
      <c r="CZ192" s="427">
        <v>0</v>
      </c>
      <c r="DA192" s="427">
        <v>0</v>
      </c>
      <c r="DB192" s="427">
        <v>0</v>
      </c>
      <c r="DC192" s="1437">
        <v>0</v>
      </c>
      <c r="DD192" s="1443">
        <f t="shared" si="486"/>
        <v>0</v>
      </c>
      <c r="DE192" s="1437">
        <v>0</v>
      </c>
      <c r="DF192" s="427">
        <v>0</v>
      </c>
      <c r="DG192" s="427">
        <v>0</v>
      </c>
      <c r="DH192" s="1437">
        <v>0</v>
      </c>
      <c r="DI192" s="1443">
        <f t="shared" si="487"/>
        <v>0</v>
      </c>
      <c r="DJ192" s="1437">
        <v>0</v>
      </c>
      <c r="DK192" s="427">
        <v>0</v>
      </c>
      <c r="DL192" s="427">
        <v>0</v>
      </c>
      <c r="DM192" s="1437">
        <v>0</v>
      </c>
      <c r="DN192" s="1443">
        <f t="shared" si="488"/>
        <v>0</v>
      </c>
      <c r="DO192" s="1437">
        <v>0</v>
      </c>
      <c r="DP192" s="427">
        <v>0</v>
      </c>
      <c r="DQ192" s="427">
        <v>0</v>
      </c>
      <c r="DR192" s="1437">
        <v>0</v>
      </c>
      <c r="DS192" s="1443">
        <f t="shared" si="489"/>
        <v>0</v>
      </c>
      <c r="DT192" s="1437">
        <v>0</v>
      </c>
      <c r="DU192" s="427">
        <v>0</v>
      </c>
      <c r="DV192" s="427">
        <v>0</v>
      </c>
      <c r="DW192" s="427">
        <v>0</v>
      </c>
      <c r="DX192" s="1443">
        <f t="shared" si="490"/>
        <v>0</v>
      </c>
      <c r="DY192" s="1437">
        <v>0</v>
      </c>
    </row>
    <row r="193" spans="1:129">
      <c r="A193" s="45"/>
      <c r="B193" s="45"/>
      <c r="C193" s="391" t="s">
        <v>62</v>
      </c>
      <c r="D193" s="45"/>
      <c r="E193" s="290">
        <f t="shared" si="442"/>
        <v>25.5</v>
      </c>
      <c r="F193" s="260">
        <f t="shared" si="443"/>
        <v>23.9</v>
      </c>
      <c r="G193" s="260">
        <f t="shared" si="444"/>
        <v>30.9</v>
      </c>
      <c r="H193" s="291">
        <f t="shared" si="445"/>
        <v>152.60000000000002</v>
      </c>
      <c r="I193" s="647">
        <f t="shared" si="446"/>
        <v>232.9</v>
      </c>
      <c r="J193" s="290">
        <f t="shared" si="447"/>
        <v>31.799999999999997</v>
      </c>
      <c r="K193" s="260">
        <f t="shared" si="448"/>
        <v>24.1</v>
      </c>
      <c r="L193" s="260">
        <f t="shared" si="448"/>
        <v>38.500000000000007</v>
      </c>
      <c r="M193" s="291">
        <f t="shared" si="449"/>
        <v>7.9000000000000057</v>
      </c>
      <c r="N193" s="647">
        <f t="shared" si="450"/>
        <v>102.30000000000001</v>
      </c>
      <c r="O193" s="290">
        <f t="shared" si="451"/>
        <v>12.099999999999998</v>
      </c>
      <c r="P193" s="260">
        <f t="shared" si="452"/>
        <v>9.4000000000000021</v>
      </c>
      <c r="Q193" s="260">
        <f t="shared" si="452"/>
        <v>13.399999999999999</v>
      </c>
      <c r="R193" s="291">
        <f t="shared" si="453"/>
        <v>-10.699999999999996</v>
      </c>
      <c r="S193" s="647">
        <f t="shared" si="454"/>
        <v>24.200000000000003</v>
      </c>
      <c r="T193" s="290">
        <f t="shared" si="455"/>
        <v>178</v>
      </c>
      <c r="U193" s="260">
        <f t="shared" si="456"/>
        <v>-78</v>
      </c>
      <c r="V193" s="260">
        <f t="shared" si="457"/>
        <v>47</v>
      </c>
      <c r="W193" s="291">
        <f t="shared" si="458"/>
        <v>46</v>
      </c>
      <c r="X193" s="647">
        <f t="shared" si="459"/>
        <v>193</v>
      </c>
      <c r="Y193" s="290">
        <f t="shared" si="460"/>
        <v>42</v>
      </c>
      <c r="Z193" s="260">
        <f t="shared" si="461"/>
        <v>19</v>
      </c>
      <c r="AA193" s="1441">
        <f t="shared" si="461"/>
        <v>44</v>
      </c>
      <c r="AB193" s="1442">
        <f t="shared" si="462"/>
        <v>48</v>
      </c>
      <c r="AC193" s="1466">
        <f t="shared" si="463"/>
        <v>153</v>
      </c>
      <c r="AD193" s="290">
        <f t="shared" si="464"/>
        <v>43</v>
      </c>
      <c r="AE193" s="260">
        <f t="shared" si="465"/>
        <v>46</v>
      </c>
      <c r="AF193" s="1441">
        <f t="shared" si="465"/>
        <v>40</v>
      </c>
      <c r="AG193" s="1442">
        <f t="shared" si="466"/>
        <v>51</v>
      </c>
      <c r="AH193" s="1466">
        <f t="shared" si="467"/>
        <v>180</v>
      </c>
      <c r="AI193" s="290">
        <f t="shared" si="468"/>
        <v>64</v>
      </c>
      <c r="AJ193" s="260">
        <f t="shared" si="469"/>
        <v>12</v>
      </c>
      <c r="AK193" s="1441">
        <f t="shared" si="470"/>
        <v>35</v>
      </c>
      <c r="AL193" s="1442">
        <f t="shared" si="471"/>
        <v>26</v>
      </c>
      <c r="AM193" s="1466">
        <f t="shared" si="472"/>
        <v>137</v>
      </c>
      <c r="AN193" s="290">
        <f t="shared" si="473"/>
        <v>44</v>
      </c>
      <c r="AO193" s="260">
        <f t="shared" si="474"/>
        <v>68</v>
      </c>
      <c r="AP193" s="1441">
        <f t="shared" si="474"/>
        <v>49</v>
      </c>
      <c r="AQ193" s="1442">
        <f t="shared" si="475"/>
        <v>-21</v>
      </c>
      <c r="AR193" s="1466">
        <f t="shared" si="476"/>
        <v>140</v>
      </c>
      <c r="AS193" s="290">
        <f t="shared" si="477"/>
        <v>24</v>
      </c>
      <c r="AT193" s="260">
        <f t="shared" si="478"/>
        <v>11</v>
      </c>
      <c r="AU193" s="260">
        <f t="shared" si="479"/>
        <v>17</v>
      </c>
      <c r="AV193" s="1442">
        <f t="shared" si="480"/>
        <v>20</v>
      </c>
      <c r="AW193" s="1466">
        <f t="shared" si="481"/>
        <v>72</v>
      </c>
      <c r="AX193" s="290">
        <f>+BB193/4</f>
        <v>-5</v>
      </c>
      <c r="AY193" s="260">
        <f>(BB193-SUM(AX193:AX193))/3</f>
        <v>-5</v>
      </c>
      <c r="AZ193" s="260">
        <f>(BB193-SUM(AX193:AY193))/2</f>
        <v>-5</v>
      </c>
      <c r="BA193" s="291">
        <f>(BB193-SUM(AX193:AZ193))/1</f>
        <v>-5</v>
      </c>
      <c r="BB193" s="426">
        <v>-20</v>
      </c>
      <c r="BC193" s="290">
        <f>+BG193/4</f>
        <v>-5</v>
      </c>
      <c r="BD193" s="260">
        <f>(BG193-SUM(BC193:BC193))/3</f>
        <v>-5</v>
      </c>
      <c r="BE193" s="260">
        <f>(BG193-SUM(BC193:BD193))/2</f>
        <v>-5</v>
      </c>
      <c r="BF193" s="291">
        <f>(BG193-SUM(BC193:BE193))/1</f>
        <v>-5</v>
      </c>
      <c r="BG193" s="426">
        <v>-20</v>
      </c>
      <c r="BH193" s="290">
        <f>+BL193/4</f>
        <v>-5</v>
      </c>
      <c r="BI193" s="260">
        <f>(BL193-SUM(BH193:BH193))/3</f>
        <v>-5</v>
      </c>
      <c r="BJ193" s="260">
        <f>(BL193-SUM(BH193:BI193))/2</f>
        <v>-5</v>
      </c>
      <c r="BK193" s="291">
        <f>(BL193-SUM(BH193:BJ193))/1</f>
        <v>-5</v>
      </c>
      <c r="BL193" s="426">
        <v>-20</v>
      </c>
      <c r="BM193" s="290">
        <f>+BQ193/4</f>
        <v>0</v>
      </c>
      <c r="BN193" s="260">
        <f>(BQ193-SUM(BM193:BM193))/3</f>
        <v>0</v>
      </c>
      <c r="BO193" s="260">
        <f>(BQ193-SUM(BM193:BN193))/2</f>
        <v>0</v>
      </c>
      <c r="BP193" s="291">
        <f>(BQ193-SUM(BM193:BO193))/1</f>
        <v>0</v>
      </c>
      <c r="BQ193" s="2032">
        <v>0</v>
      </c>
      <c r="BR193" s="45"/>
      <c r="BS193" s="45"/>
      <c r="BT193" s="45"/>
      <c r="BU193" s="45"/>
      <c r="BV193" s="45"/>
      <c r="BW193" s="45"/>
      <c r="BX193" s="45"/>
      <c r="BY193" s="45"/>
      <c r="BZ193" s="45"/>
      <c r="CA193" s="45"/>
      <c r="CB193" s="45"/>
      <c r="CC193" s="45"/>
      <c r="CD193" s="45"/>
      <c r="CE193" s="45"/>
      <c r="CF193" s="45"/>
      <c r="CG193" s="427">
        <f>-0.3+16.6+9.2</f>
        <v>25.5</v>
      </c>
      <c r="CH193" s="427">
        <f>-0.5+32.4+17.5</f>
        <v>49.4</v>
      </c>
      <c r="CI193" s="427">
        <f>-0.8+55.4+25.7</f>
        <v>80.3</v>
      </c>
      <c r="CJ193" s="45">
        <f t="shared" si="482"/>
        <v>232.9</v>
      </c>
      <c r="CK193" s="427">
        <f>68.9+32.7+112.4+20-1.1</f>
        <v>232.9</v>
      </c>
      <c r="CL193" s="427">
        <f>-0.3+23.9+8.2</f>
        <v>31.799999999999997</v>
      </c>
      <c r="CM193" s="427">
        <f>-0.5+39+17.4</f>
        <v>55.9</v>
      </c>
      <c r="CN193" s="427">
        <f>-0.8+69.2+26</f>
        <v>94.4</v>
      </c>
      <c r="CO193" s="45">
        <f t="shared" si="483"/>
        <v>102.30000000000001</v>
      </c>
      <c r="CP193" s="427">
        <f>-1.1+67.4+36</f>
        <v>102.30000000000001</v>
      </c>
      <c r="CQ193" s="427">
        <f>-0.3+16.9-15.5+11</f>
        <v>12.099999999999998</v>
      </c>
      <c r="CR193" s="427">
        <f>-0.5+17.2-15.5+20.3</f>
        <v>21.5</v>
      </c>
      <c r="CS193" s="427">
        <f>-0.8+20-15.5+31.2</f>
        <v>34.9</v>
      </c>
      <c r="CT193" s="45">
        <f t="shared" si="484"/>
        <v>24.200000000000003</v>
      </c>
      <c r="CU193" s="427">
        <f>-1+5-15.5+35.7</f>
        <v>24.200000000000003</v>
      </c>
      <c r="CV193" s="427">
        <v>178</v>
      </c>
      <c r="CW193" s="427">
        <f>100</f>
        <v>100</v>
      </c>
      <c r="CX193" s="427">
        <v>147</v>
      </c>
      <c r="CY193" s="45">
        <f t="shared" si="485"/>
        <v>193</v>
      </c>
      <c r="CZ193" s="427">
        <v>193</v>
      </c>
      <c r="DA193" s="427">
        <v>42</v>
      </c>
      <c r="DB193" s="427">
        <v>61</v>
      </c>
      <c r="DC193" s="1437">
        <v>105</v>
      </c>
      <c r="DD193" s="1443">
        <f t="shared" si="486"/>
        <v>153</v>
      </c>
      <c r="DE193" s="1437">
        <v>153</v>
      </c>
      <c r="DF193" s="427">
        <v>43</v>
      </c>
      <c r="DG193" s="427">
        <v>89</v>
      </c>
      <c r="DH193" s="1437">
        <v>129</v>
      </c>
      <c r="DI193" s="1443">
        <f t="shared" si="487"/>
        <v>180</v>
      </c>
      <c r="DJ193" s="1437">
        <v>180</v>
      </c>
      <c r="DK193" s="427">
        <v>64</v>
      </c>
      <c r="DL193" s="427">
        <v>76</v>
      </c>
      <c r="DM193" s="1437">
        <v>111</v>
      </c>
      <c r="DN193" s="1443">
        <f t="shared" si="488"/>
        <v>137</v>
      </c>
      <c r="DO193" s="1437">
        <v>137</v>
      </c>
      <c r="DP193" s="427">
        <v>44</v>
      </c>
      <c r="DQ193" s="427">
        <f>52+60</f>
        <v>112</v>
      </c>
      <c r="DR193" s="1437">
        <f>52+109</f>
        <v>161</v>
      </c>
      <c r="DS193" s="1443">
        <f t="shared" si="489"/>
        <v>140</v>
      </c>
      <c r="DT193" s="1437">
        <f>88+52</f>
        <v>140</v>
      </c>
      <c r="DU193" s="427">
        <v>24</v>
      </c>
      <c r="DV193" s="427">
        <v>35</v>
      </c>
      <c r="DW193" s="427">
        <v>52</v>
      </c>
      <c r="DX193" s="1443">
        <f t="shared" si="490"/>
        <v>72</v>
      </c>
      <c r="DY193" s="1437">
        <f>65+7</f>
        <v>72</v>
      </c>
    </row>
    <row r="194" spans="1:129">
      <c r="A194" s="45"/>
      <c r="B194" s="45"/>
      <c r="C194" s="391" t="s">
        <v>233</v>
      </c>
      <c r="D194" s="45"/>
      <c r="E194" s="290">
        <f t="shared" si="442"/>
        <v>162.99999999999997</v>
      </c>
      <c r="F194" s="260">
        <f t="shared" si="443"/>
        <v>-246.49999999999994</v>
      </c>
      <c r="G194" s="260">
        <f t="shared" si="444"/>
        <v>-310.5</v>
      </c>
      <c r="H194" s="291">
        <f t="shared" si="445"/>
        <v>268.39999999999998</v>
      </c>
      <c r="I194" s="647">
        <f t="shared" si="446"/>
        <v>-125.60000000000002</v>
      </c>
      <c r="J194" s="290">
        <f t="shared" si="447"/>
        <v>-85.1</v>
      </c>
      <c r="K194" s="260">
        <f t="shared" si="448"/>
        <v>-50.900000000000006</v>
      </c>
      <c r="L194" s="260">
        <f t="shared" si="448"/>
        <v>-10.600000000000023</v>
      </c>
      <c r="M194" s="291">
        <f t="shared" si="449"/>
        <v>-328.6</v>
      </c>
      <c r="N194" s="647">
        <f t="shared" si="450"/>
        <v>-475.20000000000005</v>
      </c>
      <c r="O194" s="290">
        <f t="shared" si="451"/>
        <v>153.1</v>
      </c>
      <c r="P194" s="260">
        <f t="shared" si="452"/>
        <v>-5.1999999999999886</v>
      </c>
      <c r="Q194" s="260">
        <f t="shared" si="452"/>
        <v>-158.80000000000001</v>
      </c>
      <c r="R194" s="291">
        <f t="shared" si="453"/>
        <v>-127.89999999999999</v>
      </c>
      <c r="S194" s="647">
        <f t="shared" si="454"/>
        <v>-138.79999999999998</v>
      </c>
      <c r="T194" s="290">
        <f t="shared" si="455"/>
        <v>-15</v>
      </c>
      <c r="U194" s="260">
        <f t="shared" si="456"/>
        <v>57</v>
      </c>
      <c r="V194" s="260">
        <f t="shared" si="457"/>
        <v>-171</v>
      </c>
      <c r="W194" s="291">
        <f t="shared" si="458"/>
        <v>15</v>
      </c>
      <c r="X194" s="647">
        <f t="shared" si="459"/>
        <v>-114</v>
      </c>
      <c r="Y194" s="290">
        <f t="shared" si="460"/>
        <v>-103</v>
      </c>
      <c r="Z194" s="260">
        <f t="shared" si="461"/>
        <v>29</v>
      </c>
      <c r="AA194" s="1441">
        <f t="shared" si="461"/>
        <v>-115</v>
      </c>
      <c r="AB194" s="1442">
        <f t="shared" si="462"/>
        <v>-86</v>
      </c>
      <c r="AC194" s="1466">
        <f t="shared" si="463"/>
        <v>-275</v>
      </c>
      <c r="AD194" s="290">
        <f t="shared" si="464"/>
        <v>-31</v>
      </c>
      <c r="AE194" s="260">
        <f t="shared" si="465"/>
        <v>2</v>
      </c>
      <c r="AF194" s="1441">
        <f t="shared" si="465"/>
        <v>37</v>
      </c>
      <c r="AG194" s="1442">
        <f t="shared" si="466"/>
        <v>-146</v>
      </c>
      <c r="AH194" s="1466">
        <f t="shared" si="467"/>
        <v>-138</v>
      </c>
      <c r="AI194" s="290">
        <f t="shared" si="468"/>
        <v>-31</v>
      </c>
      <c r="AJ194" s="260">
        <f t="shared" si="469"/>
        <v>41</v>
      </c>
      <c r="AK194" s="1441">
        <f t="shared" si="470"/>
        <v>13</v>
      </c>
      <c r="AL194" s="1442">
        <f t="shared" si="471"/>
        <v>-197</v>
      </c>
      <c r="AM194" s="1466">
        <f t="shared" si="472"/>
        <v>-174</v>
      </c>
      <c r="AN194" s="290">
        <f t="shared" si="473"/>
        <v>-7</v>
      </c>
      <c r="AO194" s="260">
        <f t="shared" si="474"/>
        <v>26</v>
      </c>
      <c r="AP194" s="1441">
        <f t="shared" si="474"/>
        <v>-72</v>
      </c>
      <c r="AQ194" s="1442">
        <f t="shared" si="475"/>
        <v>23</v>
      </c>
      <c r="AR194" s="1466">
        <f t="shared" si="476"/>
        <v>-30</v>
      </c>
      <c r="AS194" s="290">
        <f t="shared" si="477"/>
        <v>-181</v>
      </c>
      <c r="AT194" s="260">
        <f t="shared" si="478"/>
        <v>111</v>
      </c>
      <c r="AU194" s="260">
        <f t="shared" si="479"/>
        <v>2</v>
      </c>
      <c r="AV194" s="1442">
        <f t="shared" si="480"/>
        <v>-108</v>
      </c>
      <c r="AW194" s="1466">
        <f t="shared" si="481"/>
        <v>-176</v>
      </c>
      <c r="AX194" s="290">
        <f>+BB194/4</f>
        <v>0</v>
      </c>
      <c r="AY194" s="260">
        <f>(BB194-SUM(AX194:AX194))/3</f>
        <v>0</v>
      </c>
      <c r="AZ194" s="260">
        <f>(BB194-SUM(AX194:AY194))/2</f>
        <v>0</v>
      </c>
      <c r="BA194" s="291">
        <f>(BB194-SUM(AX194:AZ194))/1</f>
        <v>0</v>
      </c>
      <c r="BB194" s="426">
        <v>0</v>
      </c>
      <c r="BC194" s="290">
        <f>+BG194/4</f>
        <v>0</v>
      </c>
      <c r="BD194" s="260">
        <f>(BG194-SUM(BC194:BC194))/3</f>
        <v>0</v>
      </c>
      <c r="BE194" s="260">
        <f>(BG194-SUM(BC194:BD194))/2</f>
        <v>0</v>
      </c>
      <c r="BF194" s="291">
        <f>(BG194-SUM(BC194:BE194))/1</f>
        <v>0</v>
      </c>
      <c r="BG194" s="426">
        <v>0</v>
      </c>
      <c r="BH194" s="290">
        <f>+BL194/4</f>
        <v>0</v>
      </c>
      <c r="BI194" s="260">
        <f>(BL194-SUM(BH194:BH194))/3</f>
        <v>0</v>
      </c>
      <c r="BJ194" s="260">
        <f>(BL194-SUM(BH194:BI194))/2</f>
        <v>0</v>
      </c>
      <c r="BK194" s="291">
        <f>(BL194-SUM(BH194:BJ194))/1</f>
        <v>0</v>
      </c>
      <c r="BL194" s="426">
        <v>0</v>
      </c>
      <c r="BM194" s="290">
        <f>+BQ194/4</f>
        <v>0</v>
      </c>
      <c r="BN194" s="260">
        <f>(BQ194-SUM(BM194:BM194))/3</f>
        <v>0</v>
      </c>
      <c r="BO194" s="260">
        <f>(BQ194-SUM(BM194:BN194))/2</f>
        <v>0</v>
      </c>
      <c r="BP194" s="291">
        <f>(BQ194-SUM(BM194:BO194))/1</f>
        <v>0</v>
      </c>
      <c r="BQ194" s="426">
        <v>0</v>
      </c>
      <c r="BR194" s="45"/>
      <c r="BS194" s="45"/>
      <c r="BT194" s="45"/>
      <c r="BU194" s="45"/>
      <c r="BV194" s="45"/>
      <c r="BW194" s="45"/>
      <c r="BX194" s="45"/>
      <c r="BY194" s="45"/>
      <c r="BZ194" s="45"/>
      <c r="CA194" s="45"/>
      <c r="CB194" s="45"/>
      <c r="CC194" s="45"/>
      <c r="CD194" s="45"/>
      <c r="CE194" s="45"/>
      <c r="CF194" s="45"/>
      <c r="CG194" s="427">
        <f>-45.7+1.3+113.2+29.3-66.7+14.8+102.2-1.9+16.5</f>
        <v>162.99999999999997</v>
      </c>
      <c r="CH194" s="427">
        <f>82.8+2.2+87.8+57.9-111.6-38.3+10.6-171.8-3.1</f>
        <v>-83.499999999999986</v>
      </c>
      <c r="CI194" s="427">
        <f>75.2+2.6+60.7-184.6-7-106.8-20.3-66.9-185.8+38.9</f>
        <v>-394</v>
      </c>
      <c r="CJ194" s="45">
        <f t="shared" si="482"/>
        <v>-125.60000000000002</v>
      </c>
      <c r="CK194" s="427">
        <f>-5.1-11.1+76.4-10.2-65+1.3+62.7-197.8-44.4+67.6</f>
        <v>-125.60000000000002</v>
      </c>
      <c r="CL194" s="427">
        <f>0.1+13.7+40.6+31-34.5-18-64.3-1.2-20.5-32</f>
        <v>-85.1</v>
      </c>
      <c r="CM194" s="427">
        <f>16+12.9+22.9+49.9-7.8-24.5-119.8-13.9-18.8-52.9</f>
        <v>-136</v>
      </c>
      <c r="CN194" s="427">
        <f>6.1+13.5-10.1-88.9+21.6-12.1-14.6-22.5+21.6-61.2</f>
        <v>-146.60000000000002</v>
      </c>
      <c r="CO194" s="45">
        <f t="shared" si="483"/>
        <v>-475.20000000000005</v>
      </c>
      <c r="CP194" s="427">
        <f>-57.6+14.3+8-55.9-6.6+87.5-13.4-121.5-200.8-64.3-64.9</f>
        <v>-475.20000000000005</v>
      </c>
      <c r="CQ194" s="427">
        <f>35.6-0.8+41.3+55.9+30.6-57.2-5+60.5+2.3-2.7-7.4</f>
        <v>153.1</v>
      </c>
      <c r="CR194" s="427">
        <f>115-1+6.7+55.9+28-37.8-15.6+13.8+2.1-11.4-7.8</f>
        <v>147.9</v>
      </c>
      <c r="CS194" s="427">
        <f>121-0.5-20+55.9-92.1-61.5-21.3+43.5+3.5+13.1-52.5</f>
        <v>-10.899999999999991</v>
      </c>
      <c r="CT194" s="45">
        <f t="shared" si="484"/>
        <v>-138.79999999999998</v>
      </c>
      <c r="CU194" s="427">
        <f>103.4-0.6-9.6+34.7-87.6-43.3-18.8+15.3-53+9.9-89.2</f>
        <v>-138.79999999999998</v>
      </c>
      <c r="CV194" s="427">
        <f>-9+56+50-60-57-7+12</f>
        <v>-15</v>
      </c>
      <c r="CW194" s="427">
        <f>92-3+37-71-48-8+43</f>
        <v>42</v>
      </c>
      <c r="CX194" s="427">
        <f>11+4+21-16-50-13-86</f>
        <v>-129</v>
      </c>
      <c r="CY194" s="45">
        <f t="shared" si="485"/>
        <v>-114</v>
      </c>
      <c r="CZ194" s="427">
        <f>-45+26+25-33+14-16-85</f>
        <v>-114</v>
      </c>
      <c r="DA194" s="427">
        <f>-98-22+35-11-36-5+34</f>
        <v>-103</v>
      </c>
      <c r="DB194" s="427">
        <f>-58-11+4-28-33-11+63</f>
        <v>-74</v>
      </c>
      <c r="DC194" s="1437">
        <f>-28-12-15-5+6-16-119</f>
        <v>-189</v>
      </c>
      <c r="DD194" s="1443">
        <f t="shared" si="486"/>
        <v>-275</v>
      </c>
      <c r="DE194" s="1437">
        <f>-127-14+1-14-33-24-64</f>
        <v>-275</v>
      </c>
      <c r="DF194" s="427">
        <f>-132-8+33-16+22+31-5+44</f>
        <v>-31</v>
      </c>
      <c r="DG194" s="427">
        <f>44-12+8-8+27-74-14</f>
        <v>-29</v>
      </c>
      <c r="DH194" s="1437">
        <f>101-11-21-50+16+53-13-67</f>
        <v>8</v>
      </c>
      <c r="DI194" s="1443">
        <f t="shared" si="487"/>
        <v>-138</v>
      </c>
      <c r="DJ194" s="1437">
        <f>46-1-6-70+27+45-16-163</f>
        <v>-138</v>
      </c>
      <c r="DK194" s="427">
        <f>+-141-8+38-8-27+26-4+93</f>
        <v>-31</v>
      </c>
      <c r="DL194" s="427">
        <f>25-2+23-49-23-6-9+51</f>
        <v>10</v>
      </c>
      <c r="DM194" s="1437">
        <f>62-8+10+49-27-6-14-43</f>
        <v>23</v>
      </c>
      <c r="DN194" s="1443">
        <f t="shared" si="488"/>
        <v>-174</v>
      </c>
      <c r="DO194" s="1437">
        <f>84-2+18-3-27-54-17-173</f>
        <v>-174</v>
      </c>
      <c r="DP194" s="427">
        <f>-44+7+17+3+78-38-30</f>
        <v>-7</v>
      </c>
      <c r="DQ194" s="427">
        <f>11+6+6-5+46-42-3</f>
        <v>19</v>
      </c>
      <c r="DR194" s="1437">
        <f>-50-10-7+43+19-46-2</f>
        <v>-53</v>
      </c>
      <c r="DS194" s="1443">
        <f t="shared" si="489"/>
        <v>-30</v>
      </c>
      <c r="DT194" s="1437">
        <f>-98+3+1+138+18-49-43</f>
        <v>-30</v>
      </c>
      <c r="DU194" s="427">
        <f>-7-7+17-121+33-44-52</f>
        <v>-181</v>
      </c>
      <c r="DV194" s="427">
        <f>77-7-5-83+26-47-31</f>
        <v>-70</v>
      </c>
      <c r="DW194" s="427">
        <f>95-13-18-25+12-50-69</f>
        <v>-68</v>
      </c>
      <c r="DX194" s="1443">
        <f t="shared" si="490"/>
        <v>-176</v>
      </c>
      <c r="DY194" s="1437">
        <f>-5-4-9-15+60-53-150</f>
        <v>-176</v>
      </c>
    </row>
    <row r="195" spans="1:129">
      <c r="A195" s="45"/>
      <c r="B195" s="45"/>
      <c r="C195" s="389" t="s">
        <v>148</v>
      </c>
      <c r="D195" s="45"/>
      <c r="E195" s="292">
        <f>SUM(E189:E194)</f>
        <v>348.29999999999995</v>
      </c>
      <c r="F195" s="261">
        <f>SUM(F189:F194)</f>
        <v>-102.59999999999997</v>
      </c>
      <c r="G195" s="261">
        <f>SUM(G189:G194)</f>
        <v>58.400000000000034</v>
      </c>
      <c r="H195" s="293">
        <f>SUM(H189:H194)</f>
        <v>341.7</v>
      </c>
      <c r="I195" s="583">
        <f t="shared" si="446"/>
        <v>645.79999999999995</v>
      </c>
      <c r="J195" s="292">
        <f>SUM(J189:J194)</f>
        <v>121.6</v>
      </c>
      <c r="K195" s="261">
        <f>SUM(K189:K194)</f>
        <v>59.599999999999994</v>
      </c>
      <c r="L195" s="261">
        <f>SUM(L189:L194)</f>
        <v>153.39999999999998</v>
      </c>
      <c r="M195" s="293">
        <f>SUM(M189:M194)</f>
        <v>-15.800000000000068</v>
      </c>
      <c r="N195" s="583">
        <f t="shared" si="450"/>
        <v>318.79999999999995</v>
      </c>
      <c r="O195" s="292">
        <f>SUM(O189:O194)</f>
        <v>350.2</v>
      </c>
      <c r="P195" s="261">
        <f>SUM(P189:P194)</f>
        <v>116.30000000000003</v>
      </c>
      <c r="Q195" s="261">
        <f>SUM(Q189:Q194)</f>
        <v>-51.700000000000017</v>
      </c>
      <c r="R195" s="293">
        <f>SUM(R189:R194)</f>
        <v>16.400000000000048</v>
      </c>
      <c r="S195" s="583">
        <f t="shared" si="454"/>
        <v>431.20000000000016</v>
      </c>
      <c r="T195" s="292">
        <f t="shared" ref="T195:AD195" si="491">SUM(T189:T194)</f>
        <v>252</v>
      </c>
      <c r="U195" s="261">
        <f>SUM(U189:U194)</f>
        <v>117</v>
      </c>
      <c r="V195" s="261">
        <f>SUM(V189:V194)</f>
        <v>-46</v>
      </c>
      <c r="W195" s="293">
        <f>SUM(W189:W194)</f>
        <v>162</v>
      </c>
      <c r="X195" s="583">
        <f t="shared" si="459"/>
        <v>485</v>
      </c>
      <c r="Y195" s="292">
        <f t="shared" si="491"/>
        <v>185</v>
      </c>
      <c r="Z195" s="261">
        <f>SUM(Z189:Z194)</f>
        <v>181</v>
      </c>
      <c r="AA195" s="1438">
        <f>SUM(AA189:AA194)</f>
        <v>67</v>
      </c>
      <c r="AB195" s="1439">
        <f>SUM(AB189:AB194)</f>
        <v>128</v>
      </c>
      <c r="AC195" s="1464">
        <f t="shared" si="463"/>
        <v>561</v>
      </c>
      <c r="AD195" s="292">
        <f t="shared" si="491"/>
        <v>235</v>
      </c>
      <c r="AE195" s="261">
        <f>SUM(AE189:AE194)</f>
        <v>175</v>
      </c>
      <c r="AF195" s="1438">
        <f>SUM(AF189:AF194)</f>
        <v>215</v>
      </c>
      <c r="AG195" s="1439">
        <f>SUM(AG189:AG194)</f>
        <v>115</v>
      </c>
      <c r="AH195" s="1464">
        <f t="shared" si="467"/>
        <v>740</v>
      </c>
      <c r="AI195" s="292">
        <f t="shared" ref="AI195" si="492">SUM(AI189:AI194)</f>
        <v>281</v>
      </c>
      <c r="AJ195" s="261">
        <f>SUM(AJ189:AJ194)</f>
        <v>208</v>
      </c>
      <c r="AK195" s="1438">
        <f>SUM(AK189:AK194)</f>
        <v>207</v>
      </c>
      <c r="AL195" s="1439">
        <f>SUM(AL189:AL194)</f>
        <v>86</v>
      </c>
      <c r="AM195" s="1464">
        <f t="shared" si="472"/>
        <v>782</v>
      </c>
      <c r="AN195" s="292">
        <f t="shared" ref="AN195" si="493">SUM(AN189:AN194)</f>
        <v>273</v>
      </c>
      <c r="AO195" s="261">
        <f>SUM(AO189:AO194)</f>
        <v>216</v>
      </c>
      <c r="AP195" s="1438">
        <f>SUM(AP189:AP194)</f>
        <v>171</v>
      </c>
      <c r="AQ195" s="1439">
        <f>SUM(AQ189:AQ194)</f>
        <v>285</v>
      </c>
      <c r="AR195" s="1464">
        <f t="shared" si="476"/>
        <v>945</v>
      </c>
      <c r="AS195" s="292">
        <f t="shared" ref="AS195" si="494">SUM(AS189:AS194)</f>
        <v>168</v>
      </c>
      <c r="AT195" s="261">
        <f>SUM(AT189:AT194)</f>
        <v>304</v>
      </c>
      <c r="AU195" s="261">
        <f t="shared" ref="AU195" si="495">SUM(AU189:AU194)</f>
        <v>232</v>
      </c>
      <c r="AV195" s="1439">
        <f>SUM(AV189:AV194)</f>
        <v>117</v>
      </c>
      <c r="AW195" s="1464">
        <f t="shared" si="481"/>
        <v>821</v>
      </c>
      <c r="AX195" s="292">
        <f t="shared" ref="AX195:BL195" ca="1" si="496">SUM(AX189:AX194)</f>
        <v>273.73509341471856</v>
      </c>
      <c r="AY195" s="261">
        <f t="shared" ca="1" si="496"/>
        <v>177.93070158198259</v>
      </c>
      <c r="AZ195" s="261">
        <f t="shared" ca="1" si="496"/>
        <v>176.64923104850206</v>
      </c>
      <c r="BA195" s="293">
        <f t="shared" ca="1" si="496"/>
        <v>220.43688106585282</v>
      </c>
      <c r="BB195" s="228">
        <f t="shared" ca="1" si="496"/>
        <v>848.75190711105597</v>
      </c>
      <c r="BC195" s="292">
        <f t="shared" ca="1" si="496"/>
        <v>273.40371038726249</v>
      </c>
      <c r="BD195" s="261">
        <f t="shared" ca="1" si="496"/>
        <v>178.47984191065876</v>
      </c>
      <c r="BE195" s="261">
        <f t="shared" ca="1" si="496"/>
        <v>203.8542203577212</v>
      </c>
      <c r="BF195" s="293">
        <f t="shared" ca="1" si="496"/>
        <v>248.33076734174992</v>
      </c>
      <c r="BG195" s="228">
        <f t="shared" ca="1" si="496"/>
        <v>904.06853999739235</v>
      </c>
      <c r="BH195" s="292">
        <f t="shared" ca="1" si="496"/>
        <v>302.45677429170473</v>
      </c>
      <c r="BI195" s="261">
        <f t="shared" ca="1" si="496"/>
        <v>208.57317863993654</v>
      </c>
      <c r="BJ195" s="261">
        <f t="shared" ca="1" si="496"/>
        <v>215.56194524261238</v>
      </c>
      <c r="BK195" s="293">
        <f t="shared" ca="1" si="496"/>
        <v>260.36003966512033</v>
      </c>
      <c r="BL195" s="228">
        <f t="shared" ca="1" si="496"/>
        <v>986.95193783937395</v>
      </c>
      <c r="BM195" s="292">
        <f t="shared" ref="BM195:BQ195" ca="1" si="497">SUM(BM189:BM194)</f>
        <v>316.45636980906158</v>
      </c>
      <c r="BN195" s="261">
        <f t="shared" ca="1" si="497"/>
        <v>223.38083368383133</v>
      </c>
      <c r="BO195" s="261">
        <f t="shared" ca="1" si="497"/>
        <v>237.16739447911959</v>
      </c>
      <c r="BP195" s="293">
        <f t="shared" ca="1" si="497"/>
        <v>284.07438584744625</v>
      </c>
      <c r="BQ195" s="228">
        <f t="shared" ca="1" si="497"/>
        <v>1061.0789838194587</v>
      </c>
      <c r="BR195" s="45"/>
      <c r="BS195" s="45"/>
      <c r="BT195" s="45"/>
      <c r="BU195" s="45"/>
      <c r="BV195" s="45"/>
      <c r="BW195" s="45"/>
      <c r="BX195" s="45"/>
      <c r="BY195" s="45"/>
      <c r="BZ195" s="45"/>
      <c r="CA195" s="45"/>
      <c r="CB195" s="45"/>
      <c r="CC195" s="45"/>
      <c r="CD195" s="45"/>
      <c r="CE195" s="45"/>
      <c r="CF195" s="45"/>
      <c r="CG195" s="228">
        <f t="shared" ref="CG195:CP195" si="498">SUM(CG189:CG194)</f>
        <v>348.29999999999995</v>
      </c>
      <c r="CH195" s="228">
        <f t="shared" si="498"/>
        <v>245.7</v>
      </c>
      <c r="CI195" s="228">
        <f t="shared" si="498"/>
        <v>304.10000000000002</v>
      </c>
      <c r="CJ195" s="228">
        <f t="shared" si="498"/>
        <v>645.79999999999995</v>
      </c>
      <c r="CK195" s="228">
        <f t="shared" si="498"/>
        <v>645.79999999999995</v>
      </c>
      <c r="CL195" s="228">
        <f t="shared" si="498"/>
        <v>121.6</v>
      </c>
      <c r="CM195" s="228">
        <f t="shared" si="498"/>
        <v>181.2</v>
      </c>
      <c r="CN195" s="228">
        <f t="shared" si="498"/>
        <v>334.6</v>
      </c>
      <c r="CO195" s="228">
        <f t="shared" si="498"/>
        <v>318.79999999999995</v>
      </c>
      <c r="CP195" s="228">
        <f t="shared" si="498"/>
        <v>318.79999999999995</v>
      </c>
      <c r="CQ195" s="228">
        <f t="shared" ref="CQ195:CW195" si="499">SUM(CQ189:CQ194)</f>
        <v>350.2</v>
      </c>
      <c r="CR195" s="228">
        <f>SUM(CR189:CR194)</f>
        <v>466.5</v>
      </c>
      <c r="CS195" s="228">
        <f>SUM(CS189:CS194)</f>
        <v>414.8</v>
      </c>
      <c r="CT195" s="228">
        <f>SUM(CT189:CT194)</f>
        <v>431.20000000000016</v>
      </c>
      <c r="CU195" s="228">
        <f t="shared" si="499"/>
        <v>431.20000000000016</v>
      </c>
      <c r="CV195" s="228">
        <f t="shared" si="499"/>
        <v>252</v>
      </c>
      <c r="CW195" s="228">
        <f t="shared" si="499"/>
        <v>369</v>
      </c>
      <c r="CX195" s="228">
        <f t="shared" ref="CX195:DG195" si="500">SUM(CX189:CX194)</f>
        <v>323</v>
      </c>
      <c r="CY195" s="228">
        <f t="shared" si="500"/>
        <v>485</v>
      </c>
      <c r="CZ195" s="228">
        <f t="shared" si="500"/>
        <v>485</v>
      </c>
      <c r="DA195" s="228">
        <f t="shared" si="500"/>
        <v>185</v>
      </c>
      <c r="DB195" s="228">
        <f t="shared" si="500"/>
        <v>366</v>
      </c>
      <c r="DC195" s="1440">
        <f t="shared" si="500"/>
        <v>433</v>
      </c>
      <c r="DD195" s="1440">
        <f t="shared" si="500"/>
        <v>561</v>
      </c>
      <c r="DE195" s="1440">
        <f t="shared" si="500"/>
        <v>561</v>
      </c>
      <c r="DF195" s="228">
        <f t="shared" si="500"/>
        <v>235</v>
      </c>
      <c r="DG195" s="228">
        <f t="shared" si="500"/>
        <v>410</v>
      </c>
      <c r="DH195" s="1440">
        <f t="shared" ref="DH195:DL195" si="501">SUM(DH189:DH194)</f>
        <v>625</v>
      </c>
      <c r="DI195" s="1440">
        <f t="shared" si="501"/>
        <v>740</v>
      </c>
      <c r="DJ195" s="1440">
        <f t="shared" si="501"/>
        <v>740</v>
      </c>
      <c r="DK195" s="228">
        <f t="shared" si="501"/>
        <v>281</v>
      </c>
      <c r="DL195" s="228">
        <f t="shared" si="501"/>
        <v>489</v>
      </c>
      <c r="DM195" s="1440">
        <f t="shared" ref="DM195:DQ195" si="502">SUM(DM189:DM194)</f>
        <v>696</v>
      </c>
      <c r="DN195" s="1440">
        <f t="shared" si="502"/>
        <v>782</v>
      </c>
      <c r="DO195" s="1440">
        <f t="shared" si="502"/>
        <v>782</v>
      </c>
      <c r="DP195" s="228">
        <f t="shared" si="502"/>
        <v>273</v>
      </c>
      <c r="DQ195" s="228">
        <f t="shared" si="502"/>
        <v>489</v>
      </c>
      <c r="DR195" s="1440">
        <f t="shared" ref="DR195:DW195" si="503">SUM(DR189:DR194)</f>
        <v>660</v>
      </c>
      <c r="DS195" s="1440">
        <f t="shared" si="503"/>
        <v>945</v>
      </c>
      <c r="DT195" s="1440">
        <f t="shared" si="503"/>
        <v>945</v>
      </c>
      <c r="DU195" s="228">
        <f t="shared" si="503"/>
        <v>168</v>
      </c>
      <c r="DV195" s="228">
        <f t="shared" si="503"/>
        <v>472</v>
      </c>
      <c r="DW195" s="228">
        <f t="shared" si="503"/>
        <v>704</v>
      </c>
      <c r="DX195" s="1440">
        <f t="shared" ref="DX195:DY195" si="504">SUM(DX189:DX194)</f>
        <v>821</v>
      </c>
      <c r="DY195" s="1440">
        <f t="shared" si="504"/>
        <v>821</v>
      </c>
    </row>
    <row r="196" spans="1:129">
      <c r="A196" s="45"/>
      <c r="B196" s="45"/>
      <c r="C196" s="391"/>
      <c r="D196" s="45"/>
      <c r="E196" s="290"/>
      <c r="F196" s="260"/>
      <c r="G196" s="260"/>
      <c r="H196" s="291"/>
      <c r="I196" s="647"/>
      <c r="J196" s="290"/>
      <c r="K196" s="260"/>
      <c r="L196" s="260"/>
      <c r="M196" s="291"/>
      <c r="N196" s="647"/>
      <c r="O196" s="290"/>
      <c r="P196" s="260"/>
      <c r="Q196" s="260"/>
      <c r="R196" s="291"/>
      <c r="S196" s="647"/>
      <c r="T196" s="290"/>
      <c r="U196" s="260"/>
      <c r="V196" s="260"/>
      <c r="W196" s="291"/>
      <c r="X196" s="647"/>
      <c r="Y196" s="290"/>
      <c r="Z196" s="260"/>
      <c r="AA196" s="1441"/>
      <c r="AB196" s="1442"/>
      <c r="AC196" s="1466"/>
      <c r="AD196" s="290"/>
      <c r="AE196" s="260"/>
      <c r="AF196" s="1441"/>
      <c r="AG196" s="1442"/>
      <c r="AH196" s="1466"/>
      <c r="AI196" s="290"/>
      <c r="AJ196" s="260"/>
      <c r="AK196" s="1441"/>
      <c r="AL196" s="1442"/>
      <c r="AM196" s="1466"/>
      <c r="AN196" s="290"/>
      <c r="AO196" s="260"/>
      <c r="AP196" s="1441"/>
      <c r="AQ196" s="1442"/>
      <c r="AR196" s="1466"/>
      <c r="AS196" s="290"/>
      <c r="AT196" s="260"/>
      <c r="AU196" s="260"/>
      <c r="AV196" s="1442"/>
      <c r="AW196" s="1466"/>
      <c r="AX196" s="290"/>
      <c r="AY196" s="260"/>
      <c r="AZ196" s="260"/>
      <c r="BA196" s="291"/>
      <c r="BB196" s="45"/>
      <c r="BC196" s="290"/>
      <c r="BD196" s="260"/>
      <c r="BE196" s="260"/>
      <c r="BF196" s="291"/>
      <c r="BG196" s="45"/>
      <c r="BH196" s="290"/>
      <c r="BI196" s="260"/>
      <c r="BJ196" s="260"/>
      <c r="BK196" s="291"/>
      <c r="BL196" s="45"/>
      <c r="BM196" s="290"/>
      <c r="BN196" s="260"/>
      <c r="BO196" s="260"/>
      <c r="BP196" s="291"/>
      <c r="BQ196" s="45"/>
      <c r="BR196" s="45"/>
      <c r="BS196" s="45"/>
      <c r="BT196" s="45"/>
      <c r="BU196" s="45"/>
      <c r="BV196" s="45"/>
      <c r="BW196" s="45"/>
      <c r="BX196" s="45"/>
      <c r="BY196" s="45"/>
      <c r="BZ196" s="45"/>
      <c r="CA196" s="45"/>
      <c r="CB196" s="45"/>
      <c r="CC196" s="45"/>
      <c r="CD196" s="45"/>
      <c r="CE196" s="45"/>
      <c r="CF196" s="45"/>
      <c r="CG196" s="45"/>
      <c r="CH196" s="45"/>
      <c r="CI196" s="45"/>
      <c r="CJ196" s="45"/>
      <c r="CK196" s="45"/>
      <c r="CL196" s="45"/>
      <c r="CM196" s="45"/>
      <c r="CN196" s="45"/>
      <c r="CO196" s="45"/>
      <c r="CP196" s="45"/>
      <c r="CQ196" s="45"/>
      <c r="CR196" s="45"/>
      <c r="CS196" s="427"/>
      <c r="CT196" s="45"/>
      <c r="CU196" s="45"/>
      <c r="CV196" s="45"/>
      <c r="CW196" s="45"/>
      <c r="CX196" s="427"/>
      <c r="CY196" s="45"/>
      <c r="CZ196" s="45"/>
      <c r="DA196" s="45"/>
      <c r="DB196" s="45"/>
      <c r="DC196" s="1437"/>
      <c r="DD196" s="1443"/>
      <c r="DE196" s="1443"/>
      <c r="DF196" s="45"/>
      <c r="DG196" s="45"/>
      <c r="DH196" s="1437"/>
      <c r="DI196" s="1443"/>
      <c r="DJ196" s="1443"/>
      <c r="DK196" s="45"/>
      <c r="DL196" s="45"/>
      <c r="DM196" s="1437"/>
      <c r="DN196" s="1443"/>
      <c r="DO196" s="1443"/>
      <c r="DP196" s="45"/>
      <c r="DQ196" s="45"/>
      <c r="DR196" s="1437"/>
      <c r="DS196" s="1443"/>
      <c r="DT196" s="1443"/>
      <c r="DU196" s="45"/>
      <c r="DV196" s="45"/>
      <c r="DW196" s="45"/>
      <c r="DX196" s="1443"/>
      <c r="DY196" s="1443"/>
    </row>
    <row r="197" spans="1:129">
      <c r="A197" s="45"/>
      <c r="B197" s="45"/>
      <c r="C197" s="391" t="s">
        <v>283</v>
      </c>
      <c r="D197" s="45"/>
      <c r="E197" s="290">
        <f>+CG197</f>
        <v>-79.3</v>
      </c>
      <c r="F197" s="260">
        <f t="shared" ref="F197:G199" si="505">+CH197-CG197</f>
        <v>-87.399999999999991</v>
      </c>
      <c r="G197" s="260">
        <f t="shared" si="505"/>
        <v>-99.100000000000023</v>
      </c>
      <c r="H197" s="291">
        <f>+CK197-CI197</f>
        <v>-106.80000000000001</v>
      </c>
      <c r="I197" s="647">
        <f t="shared" ref="I197:I209" si="506">CK197</f>
        <v>-372.6</v>
      </c>
      <c r="J197" s="290">
        <f>+CL197</f>
        <v>-87.2</v>
      </c>
      <c r="K197" s="260">
        <f t="shared" ref="K197:L199" si="507">+CM197-CL197</f>
        <v>-103.10000000000001</v>
      </c>
      <c r="L197" s="260">
        <f t="shared" si="507"/>
        <v>-175.39999999999998</v>
      </c>
      <c r="M197" s="291">
        <f>+CP197-CN197</f>
        <v>-185.8</v>
      </c>
      <c r="N197" s="647">
        <f t="shared" ref="N197:N209" si="508">CP197</f>
        <v>-551.5</v>
      </c>
      <c r="O197" s="290">
        <f>+CQ197</f>
        <v>-136.19999999999999</v>
      </c>
      <c r="P197" s="260">
        <f t="shared" ref="P197:Q199" si="509">+CR197-CQ197</f>
        <v>-168.3</v>
      </c>
      <c r="Q197" s="260">
        <f t="shared" si="509"/>
        <v>-140.10000000000002</v>
      </c>
      <c r="R197" s="291">
        <f>+CU197-CS197</f>
        <v>-143.39999999999998</v>
      </c>
      <c r="S197" s="647">
        <f t="shared" ref="S197:S209" si="510">CU197</f>
        <v>-588</v>
      </c>
      <c r="T197" s="290">
        <f>+CV197</f>
        <v>-115</v>
      </c>
      <c r="U197" s="260">
        <f t="shared" ref="U197:V199" si="511">+CW197-CV197</f>
        <v>-167</v>
      </c>
      <c r="V197" s="260">
        <f t="shared" si="511"/>
        <v>-120</v>
      </c>
      <c r="W197" s="291">
        <f>+CZ197-CX197</f>
        <v>-180</v>
      </c>
      <c r="X197" s="647">
        <f t="shared" ref="X197:X209" si="512">CZ197</f>
        <v>-582</v>
      </c>
      <c r="Y197" s="290">
        <f>+DA197</f>
        <v>-134</v>
      </c>
      <c r="Z197" s="260">
        <f t="shared" ref="Z197:AA199" si="513">+DB197-DA197</f>
        <v>-130</v>
      </c>
      <c r="AA197" s="1441">
        <f t="shared" si="513"/>
        <v>-127</v>
      </c>
      <c r="AB197" s="1442">
        <f>+DE197-DC197</f>
        <v>-196</v>
      </c>
      <c r="AC197" s="1466">
        <f t="shared" ref="AC197:AC209" si="514">DE197</f>
        <v>-587</v>
      </c>
      <c r="AD197" s="290">
        <f>+DF197</f>
        <v>-146</v>
      </c>
      <c r="AE197" s="260">
        <f>+DG197-DF197</f>
        <v>-167</v>
      </c>
      <c r="AF197" s="1441">
        <f t="shared" ref="AF197:AF199" si="515">+DH197-DG197</f>
        <v>-145</v>
      </c>
      <c r="AG197" s="1442">
        <f>+DJ197-DH197</f>
        <v>-162</v>
      </c>
      <c r="AH197" s="1466">
        <f t="shared" ref="AH197:AH209" si="516">DJ197</f>
        <v>-620</v>
      </c>
      <c r="AI197" s="290">
        <f>+DK197</f>
        <v>-136</v>
      </c>
      <c r="AJ197" s="260">
        <f>+DL197-DK197</f>
        <v>-168</v>
      </c>
      <c r="AK197" s="1441">
        <f t="shared" ref="AK197:AK199" si="517">+DM197-DL197</f>
        <v>-202</v>
      </c>
      <c r="AL197" s="1442">
        <f>+DO197-DM197</f>
        <v>-213</v>
      </c>
      <c r="AM197" s="1466">
        <f t="shared" ref="AM197:AM209" si="518">DO197</f>
        <v>-719</v>
      </c>
      <c r="AN197" s="290">
        <f>+DP197</f>
        <v>-176</v>
      </c>
      <c r="AO197" s="260">
        <f>+DQ197-DP197</f>
        <v>-216</v>
      </c>
      <c r="AP197" s="1441">
        <f t="shared" ref="AP197:AP199" si="519">+DR197-DQ197</f>
        <v>-219</v>
      </c>
      <c r="AQ197" s="1442">
        <f>+DT197-DR197</f>
        <v>-323</v>
      </c>
      <c r="AR197" s="1466">
        <f t="shared" ref="AR197:AR200" si="520">DT197</f>
        <v>-934</v>
      </c>
      <c r="AS197" s="290">
        <f>+DU197</f>
        <v>-166</v>
      </c>
      <c r="AT197" s="260">
        <f>+DV197-DU197</f>
        <v>-239</v>
      </c>
      <c r="AU197" s="260">
        <f t="shared" ref="AU197:AU199" si="521">+DW197-DV197</f>
        <v>-210</v>
      </c>
      <c r="AV197" s="1442">
        <f>+DY197-DW197</f>
        <v>-267</v>
      </c>
      <c r="AW197" s="1466">
        <f t="shared" ref="AW197:AW200" si="522">DY197</f>
        <v>-882</v>
      </c>
      <c r="AX197" s="290">
        <f>+-AX167</f>
        <v>-243.75</v>
      </c>
      <c r="AY197" s="260">
        <f>+-AY167</f>
        <v>-243.75</v>
      </c>
      <c r="AZ197" s="260">
        <f>+-AZ167</f>
        <v>-243.75</v>
      </c>
      <c r="BA197" s="291">
        <f>+-BA167</f>
        <v>-243.75</v>
      </c>
      <c r="BB197" s="45">
        <f>SUM(AX197:BA197)</f>
        <v>-975</v>
      </c>
      <c r="BC197" s="290">
        <f>+-BC167</f>
        <v>-281.25</v>
      </c>
      <c r="BD197" s="260">
        <f>+-BD167</f>
        <v>-281.25</v>
      </c>
      <c r="BE197" s="260">
        <f>+-BE167</f>
        <v>-281.25</v>
      </c>
      <c r="BF197" s="291">
        <f>+-BF167</f>
        <v>-281.25</v>
      </c>
      <c r="BG197" s="45">
        <f>SUM(BC197:BF197)</f>
        <v>-1125</v>
      </c>
      <c r="BH197" s="290">
        <f>+-BH167</f>
        <v>-268.75</v>
      </c>
      <c r="BI197" s="260">
        <f>+-BI167</f>
        <v>-268.75</v>
      </c>
      <c r="BJ197" s="260">
        <f>+-BJ167</f>
        <v>-268.75</v>
      </c>
      <c r="BK197" s="291">
        <f>+-BK167</f>
        <v>-268.75</v>
      </c>
      <c r="BL197" s="45">
        <f>SUM(BH197:BK197)</f>
        <v>-1075</v>
      </c>
      <c r="BM197" s="290">
        <f>+-BM167</f>
        <v>-243.75</v>
      </c>
      <c r="BN197" s="260">
        <f>+-BN167</f>
        <v>-243.75</v>
      </c>
      <c r="BO197" s="260">
        <f>+-BO167</f>
        <v>-243.75</v>
      </c>
      <c r="BP197" s="291">
        <f>+-BP167</f>
        <v>-243.75</v>
      </c>
      <c r="BQ197" s="45">
        <f>SUM(BM197:BP197)</f>
        <v>-975</v>
      </c>
      <c r="BR197" s="45"/>
      <c r="BS197" s="45"/>
      <c r="BT197" s="45"/>
      <c r="BU197" s="45"/>
      <c r="BV197" s="45"/>
      <c r="BW197" s="45"/>
      <c r="BX197" s="45"/>
      <c r="BY197" s="45"/>
      <c r="BZ197" s="45"/>
      <c r="CA197" s="45"/>
      <c r="CB197" s="45"/>
      <c r="CC197" s="45"/>
      <c r="CD197" s="45"/>
      <c r="CE197" s="45"/>
      <c r="CF197" s="45"/>
      <c r="CG197" s="427">
        <v>-79.3</v>
      </c>
      <c r="CH197" s="427">
        <v>-166.7</v>
      </c>
      <c r="CI197" s="427">
        <v>-265.8</v>
      </c>
      <c r="CJ197" s="45">
        <f>CK197</f>
        <v>-372.6</v>
      </c>
      <c r="CK197" s="427">
        <v>-372.6</v>
      </c>
      <c r="CL197" s="427">
        <v>-87.2</v>
      </c>
      <c r="CM197" s="427">
        <v>-190.3</v>
      </c>
      <c r="CN197" s="427">
        <v>-365.7</v>
      </c>
      <c r="CO197" s="45">
        <f>CP197</f>
        <v>-551.5</v>
      </c>
      <c r="CP197" s="427">
        <v>-551.5</v>
      </c>
      <c r="CQ197" s="427">
        <v>-136.19999999999999</v>
      </c>
      <c r="CR197" s="427">
        <v>-304.5</v>
      </c>
      <c r="CS197" s="427">
        <v>-444.6</v>
      </c>
      <c r="CT197" s="45">
        <f>CU197</f>
        <v>-588</v>
      </c>
      <c r="CU197" s="427">
        <v>-588</v>
      </c>
      <c r="CV197" s="427">
        <v>-115</v>
      </c>
      <c r="CW197" s="427">
        <f>-282</f>
        <v>-282</v>
      </c>
      <c r="CX197" s="427">
        <v>-402</v>
      </c>
      <c r="CY197" s="45">
        <f>CZ197</f>
        <v>-582</v>
      </c>
      <c r="CZ197" s="427">
        <v>-582</v>
      </c>
      <c r="DA197" s="427">
        <v>-134</v>
      </c>
      <c r="DB197" s="427">
        <v>-264</v>
      </c>
      <c r="DC197" s="1437">
        <v>-391</v>
      </c>
      <c r="DD197" s="1443">
        <f>DE197</f>
        <v>-587</v>
      </c>
      <c r="DE197" s="1437">
        <v>-587</v>
      </c>
      <c r="DF197" s="427">
        <v>-146</v>
      </c>
      <c r="DG197" s="427">
        <v>-313</v>
      </c>
      <c r="DH197" s="1437">
        <v>-458</v>
      </c>
      <c r="DI197" s="1443">
        <f>DJ197</f>
        <v>-620</v>
      </c>
      <c r="DJ197" s="1437">
        <v>-620</v>
      </c>
      <c r="DK197" s="427">
        <v>-136</v>
      </c>
      <c r="DL197" s="427">
        <v>-304</v>
      </c>
      <c r="DM197" s="1437">
        <v>-506</v>
      </c>
      <c r="DN197" s="1443">
        <f>DO197</f>
        <v>-719</v>
      </c>
      <c r="DO197" s="1437">
        <v>-719</v>
      </c>
      <c r="DP197" s="427">
        <v>-176</v>
      </c>
      <c r="DQ197" s="427">
        <v>-392</v>
      </c>
      <c r="DR197" s="1437">
        <v>-611</v>
      </c>
      <c r="DS197" s="1443">
        <f>DT197</f>
        <v>-934</v>
      </c>
      <c r="DT197" s="1437">
        <v>-934</v>
      </c>
      <c r="DU197" s="427">
        <v>-166</v>
      </c>
      <c r="DV197" s="427">
        <v>-405</v>
      </c>
      <c r="DW197" s="427">
        <v>-615</v>
      </c>
      <c r="DX197" s="1443">
        <f>DY197</f>
        <v>-882</v>
      </c>
      <c r="DY197" s="1437">
        <v>-882</v>
      </c>
    </row>
    <row r="198" spans="1:129">
      <c r="A198" s="45"/>
      <c r="B198" s="45"/>
      <c r="C198" s="787" t="s">
        <v>243</v>
      </c>
      <c r="D198" s="45"/>
      <c r="E198" s="290">
        <f>+CG198</f>
        <v>0</v>
      </c>
      <c r="F198" s="260">
        <f t="shared" si="505"/>
        <v>0</v>
      </c>
      <c r="G198" s="260">
        <f t="shared" si="505"/>
        <v>0</v>
      </c>
      <c r="H198" s="291">
        <f>+CK198-CI198</f>
        <v>0</v>
      </c>
      <c r="I198" s="647">
        <f t="shared" si="506"/>
        <v>0</v>
      </c>
      <c r="J198" s="290">
        <f>+CL198</f>
        <v>20.9</v>
      </c>
      <c r="K198" s="260">
        <f t="shared" si="507"/>
        <v>0</v>
      </c>
      <c r="L198" s="260">
        <f t="shared" si="507"/>
        <v>0</v>
      </c>
      <c r="M198" s="291">
        <f>+CP198-CN198</f>
        <v>0</v>
      </c>
      <c r="N198" s="647">
        <f t="shared" si="508"/>
        <v>20.9</v>
      </c>
      <c r="O198" s="290">
        <f>+CQ198</f>
        <v>0</v>
      </c>
      <c r="P198" s="260">
        <f t="shared" si="509"/>
        <v>0</v>
      </c>
      <c r="Q198" s="260">
        <f t="shared" si="509"/>
        <v>0</v>
      </c>
      <c r="R198" s="291">
        <f>+CU198-CS198</f>
        <v>0</v>
      </c>
      <c r="S198" s="647">
        <f t="shared" si="510"/>
        <v>0</v>
      </c>
      <c r="T198" s="290">
        <f>+CV198</f>
        <v>0</v>
      </c>
      <c r="U198" s="260">
        <f t="shared" si="511"/>
        <v>0</v>
      </c>
      <c r="V198" s="260">
        <f t="shared" si="511"/>
        <v>0</v>
      </c>
      <c r="W198" s="291">
        <f>+CZ198-CX198</f>
        <v>0</v>
      </c>
      <c r="X198" s="647">
        <f t="shared" si="512"/>
        <v>0</v>
      </c>
      <c r="Y198" s="290">
        <f>+DA198</f>
        <v>0</v>
      </c>
      <c r="Z198" s="260">
        <f t="shared" si="513"/>
        <v>0</v>
      </c>
      <c r="AA198" s="1441">
        <f t="shared" si="513"/>
        <v>0</v>
      </c>
      <c r="AB198" s="1442">
        <f>+DE198-DC198</f>
        <v>0</v>
      </c>
      <c r="AC198" s="1466">
        <f t="shared" si="514"/>
        <v>0</v>
      </c>
      <c r="AD198" s="290">
        <f>+DF198</f>
        <v>0</v>
      </c>
      <c r="AE198" s="260">
        <f>+DG198-DF198</f>
        <v>0</v>
      </c>
      <c r="AF198" s="1441">
        <f t="shared" si="515"/>
        <v>0</v>
      </c>
      <c r="AG198" s="1442">
        <f>+DJ198-DH198</f>
        <v>0</v>
      </c>
      <c r="AH198" s="1466">
        <f t="shared" si="516"/>
        <v>0</v>
      </c>
      <c r="AI198" s="290">
        <f>+DK198</f>
        <v>0</v>
      </c>
      <c r="AJ198" s="260">
        <f>+DL198-DK198</f>
        <v>0</v>
      </c>
      <c r="AK198" s="1441">
        <f t="shared" si="517"/>
        <v>0</v>
      </c>
      <c r="AL198" s="1442">
        <f>+DO198-DM198</f>
        <v>0</v>
      </c>
      <c r="AM198" s="1466">
        <f t="shared" si="518"/>
        <v>0</v>
      </c>
      <c r="AN198" s="290">
        <f>+DP198</f>
        <v>0</v>
      </c>
      <c r="AO198" s="260">
        <f>+DQ198-DP198</f>
        <v>0</v>
      </c>
      <c r="AP198" s="1441">
        <f t="shared" si="519"/>
        <v>0</v>
      </c>
      <c r="AQ198" s="1442">
        <f>+DT198-DR198</f>
        <v>0</v>
      </c>
      <c r="AR198" s="1466">
        <f t="shared" si="520"/>
        <v>0</v>
      </c>
      <c r="AS198" s="290">
        <f>+DU198</f>
        <v>0</v>
      </c>
      <c r="AT198" s="260">
        <f>+DV198-DU198</f>
        <v>0</v>
      </c>
      <c r="AU198" s="260">
        <f t="shared" si="521"/>
        <v>0</v>
      </c>
      <c r="AV198" s="1442">
        <f>+DY198-DW198</f>
        <v>0</v>
      </c>
      <c r="AW198" s="1466">
        <f t="shared" si="522"/>
        <v>0</v>
      </c>
      <c r="AX198" s="290">
        <f>+BB198/4</f>
        <v>0</v>
      </c>
      <c r="AY198" s="260">
        <f>(BB198-SUM(AX198:AX198))/3</f>
        <v>0</v>
      </c>
      <c r="AZ198" s="260">
        <f>(BB198-SUM(AX198:AY198))/2</f>
        <v>0</v>
      </c>
      <c r="BA198" s="291">
        <f>(BB198-SUM(AX198:AZ198))/1</f>
        <v>0</v>
      </c>
      <c r="BB198" s="426">
        <v>0</v>
      </c>
      <c r="BC198" s="290">
        <f>+BG198/4</f>
        <v>0</v>
      </c>
      <c r="BD198" s="260">
        <f>(BG198-SUM(BC198:BC198))/3</f>
        <v>0</v>
      </c>
      <c r="BE198" s="260">
        <f>(BG198-SUM(BC198:BD198))/2</f>
        <v>0</v>
      </c>
      <c r="BF198" s="291">
        <f>(BG198-SUM(BC198:BE198))/1</f>
        <v>0</v>
      </c>
      <c r="BG198" s="426">
        <v>0</v>
      </c>
      <c r="BH198" s="290">
        <f>+BL198/4</f>
        <v>0</v>
      </c>
      <c r="BI198" s="260">
        <f>(BL198-SUM(BH198:BH198))/3</f>
        <v>0</v>
      </c>
      <c r="BJ198" s="260">
        <f>(BL198-SUM(BH198:BI198))/2</f>
        <v>0</v>
      </c>
      <c r="BK198" s="291">
        <f>(BL198-SUM(BH198:BJ198))/1</f>
        <v>0</v>
      </c>
      <c r="BL198" s="426">
        <v>0</v>
      </c>
      <c r="BM198" s="290">
        <f>+BQ198/4</f>
        <v>0</v>
      </c>
      <c r="BN198" s="260">
        <f>(BQ198-SUM(BM198:BM198))/3</f>
        <v>0</v>
      </c>
      <c r="BO198" s="260">
        <f>(BQ198-SUM(BM198:BN198))/2</f>
        <v>0</v>
      </c>
      <c r="BP198" s="291">
        <f>(BQ198-SUM(BM198:BO198))/1</f>
        <v>0</v>
      </c>
      <c r="BQ198" s="426">
        <v>0</v>
      </c>
      <c r="BR198" s="45"/>
      <c r="BS198" s="45"/>
      <c r="BT198" s="45"/>
      <c r="BU198" s="45"/>
      <c r="BV198" s="45"/>
      <c r="BW198" s="45"/>
      <c r="BX198" s="45"/>
      <c r="BY198" s="45"/>
      <c r="BZ198" s="45"/>
      <c r="CA198" s="45"/>
      <c r="CB198" s="45"/>
      <c r="CC198" s="45"/>
      <c r="CD198" s="45"/>
      <c r="CE198" s="45"/>
      <c r="CF198" s="45"/>
      <c r="CG198" s="427">
        <v>0</v>
      </c>
      <c r="CH198" s="427">
        <v>0</v>
      </c>
      <c r="CI198" s="427">
        <v>0</v>
      </c>
      <c r="CJ198" s="45">
        <f>CK198</f>
        <v>0</v>
      </c>
      <c r="CK198" s="427">
        <v>0</v>
      </c>
      <c r="CL198" s="427">
        <v>20.9</v>
      </c>
      <c r="CM198" s="427">
        <v>20.9</v>
      </c>
      <c r="CN198" s="427">
        <v>20.9</v>
      </c>
      <c r="CO198" s="45">
        <f>CP198</f>
        <v>20.9</v>
      </c>
      <c r="CP198" s="427">
        <v>20.9</v>
      </c>
      <c r="CQ198" s="427">
        <v>0</v>
      </c>
      <c r="CR198" s="427">
        <v>0</v>
      </c>
      <c r="CS198" s="427">
        <v>0</v>
      </c>
      <c r="CT198" s="45">
        <f>CU198</f>
        <v>0</v>
      </c>
      <c r="CU198" s="427"/>
      <c r="CV198" s="427">
        <v>0</v>
      </c>
      <c r="CW198" s="427">
        <v>0</v>
      </c>
      <c r="CX198" s="427"/>
      <c r="CY198" s="45">
        <f>CZ198</f>
        <v>0</v>
      </c>
      <c r="CZ198" s="427">
        <v>0</v>
      </c>
      <c r="DA198" s="427">
        <v>0</v>
      </c>
      <c r="DB198" s="427">
        <v>0</v>
      </c>
      <c r="DC198" s="1437"/>
      <c r="DD198" s="1443">
        <f>DE198</f>
        <v>0</v>
      </c>
      <c r="DE198" s="1437">
        <v>0</v>
      </c>
      <c r="DF198" s="427">
        <v>0</v>
      </c>
      <c r="DG198" s="427">
        <v>0</v>
      </c>
      <c r="DH198" s="1437">
        <v>0</v>
      </c>
      <c r="DI198" s="1443">
        <f>DJ198</f>
        <v>0</v>
      </c>
      <c r="DJ198" s="1437">
        <v>0</v>
      </c>
      <c r="DK198" s="427">
        <v>0</v>
      </c>
      <c r="DL198" s="427">
        <v>0</v>
      </c>
      <c r="DM198" s="1437">
        <v>0</v>
      </c>
      <c r="DN198" s="1443">
        <f>DO198</f>
        <v>0</v>
      </c>
      <c r="DO198" s="1437">
        <v>0</v>
      </c>
      <c r="DP198" s="427">
        <v>0</v>
      </c>
      <c r="DQ198" s="427">
        <v>0</v>
      </c>
      <c r="DR198" s="1437">
        <v>0</v>
      </c>
      <c r="DS198" s="1443">
        <f>DT198</f>
        <v>0</v>
      </c>
      <c r="DT198" s="1437">
        <v>0</v>
      </c>
      <c r="DU198" s="427">
        <v>0</v>
      </c>
      <c r="DV198" s="427">
        <v>0</v>
      </c>
      <c r="DW198" s="427">
        <v>0</v>
      </c>
      <c r="DX198" s="1443">
        <f>DY198</f>
        <v>0</v>
      </c>
      <c r="DY198" s="1437">
        <v>0</v>
      </c>
    </row>
    <row r="199" spans="1:129">
      <c r="A199" s="45"/>
      <c r="B199" s="45"/>
      <c r="C199" s="391" t="s">
        <v>149</v>
      </c>
      <c r="D199" s="45"/>
      <c r="E199" s="290">
        <f>+CG199</f>
        <v>-263.39999999999998</v>
      </c>
      <c r="F199" s="260">
        <f t="shared" si="505"/>
        <v>258.89999999999998</v>
      </c>
      <c r="G199" s="260">
        <f t="shared" si="505"/>
        <v>53.8</v>
      </c>
      <c r="H199" s="291">
        <f>+CK199-CI199</f>
        <v>-215.8</v>
      </c>
      <c r="I199" s="647">
        <f t="shared" si="506"/>
        <v>-166.5</v>
      </c>
      <c r="J199" s="290">
        <f>+CL199</f>
        <v>290.89999999999998</v>
      </c>
      <c r="K199" s="260">
        <f t="shared" si="507"/>
        <v>24.600000000000023</v>
      </c>
      <c r="L199" s="260">
        <f t="shared" si="507"/>
        <v>15.899999999999977</v>
      </c>
      <c r="M199" s="291">
        <f>+CP199-CN199</f>
        <v>32.800000000000011</v>
      </c>
      <c r="N199" s="647">
        <f t="shared" si="508"/>
        <v>364.2</v>
      </c>
      <c r="O199" s="290">
        <f>+CQ199</f>
        <v>-22.6</v>
      </c>
      <c r="P199" s="260">
        <f t="shared" si="509"/>
        <v>55.2</v>
      </c>
      <c r="Q199" s="260">
        <f t="shared" si="509"/>
        <v>-14.2</v>
      </c>
      <c r="R199" s="291">
        <f>+CU199-CS199</f>
        <v>21.999999999999996</v>
      </c>
      <c r="S199" s="647">
        <f t="shared" si="510"/>
        <v>40.4</v>
      </c>
      <c r="T199" s="290">
        <f>+CV199</f>
        <v>-25</v>
      </c>
      <c r="U199" s="260">
        <f t="shared" si="511"/>
        <v>23</v>
      </c>
      <c r="V199" s="260">
        <f t="shared" si="511"/>
        <v>-9</v>
      </c>
      <c r="W199" s="291">
        <f>+CZ199-CX199</f>
        <v>20</v>
      </c>
      <c r="X199" s="647">
        <f t="shared" si="512"/>
        <v>9</v>
      </c>
      <c r="Y199" s="290">
        <f>+DA199</f>
        <v>-20</v>
      </c>
      <c r="Z199" s="260">
        <f t="shared" si="513"/>
        <v>27</v>
      </c>
      <c r="AA199" s="1441">
        <f t="shared" si="513"/>
        <v>-25</v>
      </c>
      <c r="AB199" s="1442">
        <f>+DE199-DC199</f>
        <v>34</v>
      </c>
      <c r="AC199" s="1466">
        <f t="shared" si="514"/>
        <v>16</v>
      </c>
      <c r="AD199" s="290">
        <f>+DF199</f>
        <v>-41</v>
      </c>
      <c r="AE199" s="260">
        <f>+DG199-DF199</f>
        <v>22</v>
      </c>
      <c r="AF199" s="1441">
        <f t="shared" si="515"/>
        <v>-3</v>
      </c>
      <c r="AG199" s="1442">
        <f>+DJ199-DH199</f>
        <v>20</v>
      </c>
      <c r="AH199" s="1466">
        <f t="shared" si="516"/>
        <v>-2</v>
      </c>
      <c r="AI199" s="290">
        <f>+DK199</f>
        <v>4</v>
      </c>
      <c r="AJ199" s="260">
        <f>+DL199-DK199</f>
        <v>25</v>
      </c>
      <c r="AK199" s="1441">
        <f t="shared" si="517"/>
        <v>-14</v>
      </c>
      <c r="AL199" s="1442">
        <f>+DO199-DM199</f>
        <v>29</v>
      </c>
      <c r="AM199" s="1466">
        <f t="shared" si="518"/>
        <v>44</v>
      </c>
      <c r="AN199" s="290">
        <f>+DP199</f>
        <v>-15</v>
      </c>
      <c r="AO199" s="260">
        <f>+DQ199-DP199</f>
        <v>32</v>
      </c>
      <c r="AP199" s="1441">
        <f t="shared" si="519"/>
        <v>-20</v>
      </c>
      <c r="AQ199" s="1442">
        <f>+DT199-DR199</f>
        <v>27</v>
      </c>
      <c r="AR199" s="1466">
        <f t="shared" si="520"/>
        <v>24</v>
      </c>
      <c r="AS199" s="290">
        <f>+DU199</f>
        <v>-15</v>
      </c>
      <c r="AT199" s="260">
        <f>+DV199-DU199</f>
        <v>37</v>
      </c>
      <c r="AU199" s="260">
        <f t="shared" si="521"/>
        <v>7</v>
      </c>
      <c r="AV199" s="1442">
        <f>+DY199-DW199</f>
        <v>4</v>
      </c>
      <c r="AW199" s="1466">
        <f t="shared" si="522"/>
        <v>33</v>
      </c>
      <c r="AX199" s="290">
        <f>+BB199/4</f>
        <v>0</v>
      </c>
      <c r="AY199" s="260">
        <f>(BB199-SUM(AX199:AX199))/3</f>
        <v>0</v>
      </c>
      <c r="AZ199" s="260">
        <f>(BB199-SUM(AX199:AY199))/2</f>
        <v>0</v>
      </c>
      <c r="BA199" s="291">
        <f>(BB199-SUM(AX199:AZ199))/1</f>
        <v>0</v>
      </c>
      <c r="BB199" s="426">
        <v>0</v>
      </c>
      <c r="BC199" s="290">
        <f>+BG199/4</f>
        <v>0</v>
      </c>
      <c r="BD199" s="260">
        <f>(BG199-SUM(BC199:BC199))/3</f>
        <v>0</v>
      </c>
      <c r="BE199" s="260">
        <f>(BG199-SUM(BC199:BD199))/2</f>
        <v>0</v>
      </c>
      <c r="BF199" s="291">
        <f>(BG199-SUM(BC199:BE199))/1</f>
        <v>0</v>
      </c>
      <c r="BG199" s="426">
        <v>0</v>
      </c>
      <c r="BH199" s="290">
        <f>+BL199/4</f>
        <v>0</v>
      </c>
      <c r="BI199" s="260">
        <f>(BL199-SUM(BH199:BH199))/3</f>
        <v>0</v>
      </c>
      <c r="BJ199" s="260">
        <f>(BL199-SUM(BH199:BI199))/2</f>
        <v>0</v>
      </c>
      <c r="BK199" s="291">
        <f>(BL199-SUM(BH199:BJ199))/1</f>
        <v>0</v>
      </c>
      <c r="BL199" s="426">
        <v>0</v>
      </c>
      <c r="BM199" s="290">
        <f>+BQ199/4</f>
        <v>0</v>
      </c>
      <c r="BN199" s="260">
        <f>(BQ199-SUM(BM199:BM199))/3</f>
        <v>0</v>
      </c>
      <c r="BO199" s="260">
        <f>(BQ199-SUM(BM199:BN199))/2</f>
        <v>0</v>
      </c>
      <c r="BP199" s="291">
        <f>(BQ199-SUM(BM199:BO199))/1</f>
        <v>0</v>
      </c>
      <c r="BQ199" s="426">
        <v>0</v>
      </c>
      <c r="BR199" s="45"/>
      <c r="BS199" s="45"/>
      <c r="BT199" s="45"/>
      <c r="BU199" s="45"/>
      <c r="BV199" s="45"/>
      <c r="BW199" s="45"/>
      <c r="BX199" s="45"/>
      <c r="BY199" s="45"/>
      <c r="BZ199" s="45"/>
      <c r="CA199" s="45"/>
      <c r="CB199" s="45"/>
      <c r="CC199" s="45"/>
      <c r="CD199" s="45"/>
      <c r="CE199" s="45"/>
      <c r="CF199" s="45"/>
      <c r="CG199" s="427">
        <f>-24.5-238.9</f>
        <v>-263.39999999999998</v>
      </c>
      <c r="CH199" s="427">
        <f>-5.2+0.7</f>
        <v>-4.5</v>
      </c>
      <c r="CI199" s="427">
        <f>71.6-22.3</f>
        <v>49.3</v>
      </c>
      <c r="CJ199" s="45">
        <f>CK199</f>
        <v>-166.5</v>
      </c>
      <c r="CK199" s="427">
        <f>-165.9-0.6</f>
        <v>-166.5</v>
      </c>
      <c r="CL199" s="427">
        <f>-23.8+314.7</f>
        <v>290.89999999999998</v>
      </c>
      <c r="CM199" s="427">
        <f>314.7+0.8</f>
        <v>315.5</v>
      </c>
      <c r="CN199" s="427">
        <f>42.7+314.7-26</f>
        <v>331.4</v>
      </c>
      <c r="CO199" s="45">
        <f>CP199</f>
        <v>364.2</v>
      </c>
      <c r="CP199" s="427">
        <f>54.7+314.7-5.2</f>
        <v>364.2</v>
      </c>
      <c r="CQ199" s="427">
        <v>-22.6</v>
      </c>
      <c r="CR199" s="427">
        <f>28.3+4.3</f>
        <v>32.6</v>
      </c>
      <c r="CS199" s="427">
        <f>40.6-22.2</f>
        <v>18.400000000000002</v>
      </c>
      <c r="CT199" s="45">
        <f>CU199</f>
        <v>40.4</v>
      </c>
      <c r="CU199" s="427">
        <f>40.6-0.2</f>
        <v>40.4</v>
      </c>
      <c r="CV199" s="427">
        <f>-19-6</f>
        <v>-25</v>
      </c>
      <c r="CW199" s="427">
        <f>-10+8</f>
        <v>-2</v>
      </c>
      <c r="CX199" s="427">
        <f>-19+8</f>
        <v>-11</v>
      </c>
      <c r="CY199" s="45">
        <f>CZ199</f>
        <v>9</v>
      </c>
      <c r="CZ199" s="427">
        <v>9</v>
      </c>
      <c r="DA199" s="427">
        <f>-22+2</f>
        <v>-20</v>
      </c>
      <c r="DB199" s="427">
        <f>3+4</f>
        <v>7</v>
      </c>
      <c r="DC199" s="1437">
        <f>-20+2</f>
        <v>-18</v>
      </c>
      <c r="DD199" s="1443">
        <f>DE199</f>
        <v>16</v>
      </c>
      <c r="DE199" s="1437">
        <f>2+14</f>
        <v>16</v>
      </c>
      <c r="DF199" s="427">
        <f>-47+6</f>
        <v>-41</v>
      </c>
      <c r="DG199" s="427">
        <f>11-30</f>
        <v>-19</v>
      </c>
      <c r="DH199" s="1437">
        <f>-37+15</f>
        <v>-22</v>
      </c>
      <c r="DI199" s="1443">
        <f>DJ199</f>
        <v>-2</v>
      </c>
      <c r="DJ199" s="1437">
        <f>-22+20</f>
        <v>-2</v>
      </c>
      <c r="DK199" s="427">
        <f>2+2</f>
        <v>4</v>
      </c>
      <c r="DL199" s="427">
        <f>21+8</f>
        <v>29</v>
      </c>
      <c r="DM199" s="1437">
        <f>2+13</f>
        <v>15</v>
      </c>
      <c r="DN199" s="1443">
        <f>DO199</f>
        <v>44</v>
      </c>
      <c r="DO199" s="1437">
        <f>26+18</f>
        <v>44</v>
      </c>
      <c r="DP199" s="427">
        <f>-20+5</f>
        <v>-15</v>
      </c>
      <c r="DQ199" s="427">
        <f>5+12</f>
        <v>17</v>
      </c>
      <c r="DR199" s="1437">
        <f>-22+19</f>
        <v>-3</v>
      </c>
      <c r="DS199" s="1443">
        <f>DT199</f>
        <v>24</v>
      </c>
      <c r="DT199" s="1437">
        <v>24</v>
      </c>
      <c r="DU199" s="427">
        <f>-19+4</f>
        <v>-15</v>
      </c>
      <c r="DV199" s="427">
        <f>18+4</f>
        <v>22</v>
      </c>
      <c r="DW199" s="427">
        <f>23+6</f>
        <v>29</v>
      </c>
      <c r="DX199" s="1443">
        <f>DY199</f>
        <v>33</v>
      </c>
      <c r="DY199" s="1437">
        <f>26+7</f>
        <v>33</v>
      </c>
    </row>
    <row r="200" spans="1:129">
      <c r="A200" s="45"/>
      <c r="B200" s="45"/>
      <c r="C200" s="389" t="s">
        <v>150</v>
      </c>
      <c r="D200" s="45"/>
      <c r="E200" s="292">
        <f>SUM(E197:E199)</f>
        <v>-342.7</v>
      </c>
      <c r="F200" s="261">
        <f>SUM(F197:F199)</f>
        <v>171.5</v>
      </c>
      <c r="G200" s="261">
        <f>SUM(G197:G199)</f>
        <v>-45.300000000000026</v>
      </c>
      <c r="H200" s="293">
        <f>SUM(H197:H199)</f>
        <v>-322.60000000000002</v>
      </c>
      <c r="I200" s="583">
        <f t="shared" si="506"/>
        <v>-539.1</v>
      </c>
      <c r="J200" s="292">
        <f>SUM(J197:J199)</f>
        <v>224.59999999999997</v>
      </c>
      <c r="K200" s="261">
        <f>SUM(K197:K199)</f>
        <v>-78.499999999999986</v>
      </c>
      <c r="L200" s="261">
        <f>SUM(L197:L199)</f>
        <v>-159.5</v>
      </c>
      <c r="M200" s="293">
        <f>SUM(M197:M199)</f>
        <v>-153</v>
      </c>
      <c r="N200" s="583">
        <f t="shared" si="508"/>
        <v>-166.40000000000003</v>
      </c>
      <c r="O200" s="292">
        <f>SUM(O197:O199)</f>
        <v>-158.79999999999998</v>
      </c>
      <c r="P200" s="261">
        <f>SUM(P197:P199)</f>
        <v>-113.10000000000001</v>
      </c>
      <c r="Q200" s="261">
        <f>SUM(Q197:Q199)</f>
        <v>-154.30000000000001</v>
      </c>
      <c r="R200" s="293">
        <f>SUM(R197:R199)</f>
        <v>-121.39999999999998</v>
      </c>
      <c r="S200" s="583">
        <f t="shared" si="510"/>
        <v>-547.6</v>
      </c>
      <c r="T200" s="292">
        <f t="shared" ref="T200:AD200" si="523">SUM(T197:T199)</f>
        <v>-140</v>
      </c>
      <c r="U200" s="261">
        <f>SUM(U197:U199)</f>
        <v>-144</v>
      </c>
      <c r="V200" s="261">
        <f>SUM(V197:V199)</f>
        <v>-129</v>
      </c>
      <c r="W200" s="293">
        <f>SUM(W197:W199)</f>
        <v>-160</v>
      </c>
      <c r="X200" s="583">
        <f t="shared" si="512"/>
        <v>-573</v>
      </c>
      <c r="Y200" s="292">
        <f t="shared" si="523"/>
        <v>-154</v>
      </c>
      <c r="Z200" s="261">
        <f>SUM(Z197:Z199)</f>
        <v>-103</v>
      </c>
      <c r="AA200" s="1438">
        <f>SUM(AA197:AA199)</f>
        <v>-152</v>
      </c>
      <c r="AB200" s="1439">
        <f>SUM(AB197:AB199)</f>
        <v>-162</v>
      </c>
      <c r="AC200" s="1464">
        <f t="shared" si="514"/>
        <v>-571</v>
      </c>
      <c r="AD200" s="292">
        <f t="shared" si="523"/>
        <v>-187</v>
      </c>
      <c r="AE200" s="261">
        <f>SUM(AE197:AE199)</f>
        <v>-145</v>
      </c>
      <c r="AF200" s="1438">
        <f>SUM(AF197:AF199)</f>
        <v>-148</v>
      </c>
      <c r="AG200" s="1439">
        <f>SUM(AG197:AG199)</f>
        <v>-142</v>
      </c>
      <c r="AH200" s="1464">
        <f t="shared" si="516"/>
        <v>-622</v>
      </c>
      <c r="AI200" s="292">
        <f t="shared" ref="AI200" si="524">SUM(AI197:AI199)</f>
        <v>-132</v>
      </c>
      <c r="AJ200" s="261">
        <f>SUM(AJ197:AJ199)</f>
        <v>-143</v>
      </c>
      <c r="AK200" s="1438">
        <f>SUM(AK197:AK199)</f>
        <v>-216</v>
      </c>
      <c r="AL200" s="1439">
        <f>SUM(AL197:AL199)</f>
        <v>-184</v>
      </c>
      <c r="AM200" s="1464">
        <f t="shared" si="518"/>
        <v>-675</v>
      </c>
      <c r="AN200" s="292">
        <f t="shared" ref="AN200" si="525">SUM(AN197:AN199)</f>
        <v>-191</v>
      </c>
      <c r="AO200" s="261">
        <f>SUM(AO197:AO199)</f>
        <v>-184</v>
      </c>
      <c r="AP200" s="1438">
        <f>SUM(AP197:AP199)</f>
        <v>-239</v>
      </c>
      <c r="AQ200" s="1439">
        <f>SUM(AQ197:AQ199)</f>
        <v>-296</v>
      </c>
      <c r="AR200" s="1464">
        <f t="shared" si="520"/>
        <v>-910</v>
      </c>
      <c r="AS200" s="292">
        <f t="shared" ref="AS200" si="526">SUM(AS197:AS199)</f>
        <v>-181</v>
      </c>
      <c r="AT200" s="261">
        <f>SUM(AT197:AT199)</f>
        <v>-202</v>
      </c>
      <c r="AU200" s="261">
        <f t="shared" ref="AU200" si="527">SUM(AU197:AU199)</f>
        <v>-203</v>
      </c>
      <c r="AV200" s="1439">
        <f>SUM(AV197:AV199)</f>
        <v>-263</v>
      </c>
      <c r="AW200" s="1464">
        <f t="shared" si="522"/>
        <v>-849</v>
      </c>
      <c r="AX200" s="292">
        <f t="shared" ref="AX200:BB200" si="528">SUM(AX197:AX199)</f>
        <v>-243.75</v>
      </c>
      <c r="AY200" s="261">
        <f t="shared" si="528"/>
        <v>-243.75</v>
      </c>
      <c r="AZ200" s="261">
        <f t="shared" si="528"/>
        <v>-243.75</v>
      </c>
      <c r="BA200" s="293">
        <f t="shared" si="528"/>
        <v>-243.75</v>
      </c>
      <c r="BB200" s="228">
        <f t="shared" si="528"/>
        <v>-975</v>
      </c>
      <c r="BC200" s="292">
        <f t="shared" ref="BC200:BL200" si="529">SUM(BC197:BC199)</f>
        <v>-281.25</v>
      </c>
      <c r="BD200" s="261">
        <f t="shared" si="529"/>
        <v>-281.25</v>
      </c>
      <c r="BE200" s="261">
        <f t="shared" si="529"/>
        <v>-281.25</v>
      </c>
      <c r="BF200" s="293">
        <f t="shared" si="529"/>
        <v>-281.25</v>
      </c>
      <c r="BG200" s="228">
        <f t="shared" si="529"/>
        <v>-1125</v>
      </c>
      <c r="BH200" s="292">
        <f t="shared" si="529"/>
        <v>-268.75</v>
      </c>
      <c r="BI200" s="261">
        <f t="shared" si="529"/>
        <v>-268.75</v>
      </c>
      <c r="BJ200" s="261">
        <f t="shared" si="529"/>
        <v>-268.75</v>
      </c>
      <c r="BK200" s="293">
        <f t="shared" si="529"/>
        <v>-268.75</v>
      </c>
      <c r="BL200" s="228">
        <f t="shared" si="529"/>
        <v>-1075</v>
      </c>
      <c r="BM200" s="292">
        <f t="shared" ref="BM200:BQ200" si="530">SUM(BM197:BM199)</f>
        <v>-243.75</v>
      </c>
      <c r="BN200" s="261">
        <f t="shared" si="530"/>
        <v>-243.75</v>
      </c>
      <c r="BO200" s="261">
        <f t="shared" si="530"/>
        <v>-243.75</v>
      </c>
      <c r="BP200" s="293">
        <f t="shared" si="530"/>
        <v>-243.75</v>
      </c>
      <c r="BQ200" s="228">
        <f t="shared" si="530"/>
        <v>-975</v>
      </c>
      <c r="BR200" s="45"/>
      <c r="BS200" s="45"/>
      <c r="BT200" s="45"/>
      <c r="BU200" s="45"/>
      <c r="BV200" s="45"/>
      <c r="BW200" s="45"/>
      <c r="BX200" s="45"/>
      <c r="BY200" s="45"/>
      <c r="BZ200" s="45"/>
      <c r="CA200" s="45"/>
      <c r="CB200" s="45"/>
      <c r="CC200" s="45"/>
      <c r="CD200" s="45"/>
      <c r="CE200" s="45"/>
      <c r="CF200" s="45"/>
      <c r="CG200" s="228">
        <f t="shared" ref="CG200:CW200" si="531">SUM(CG197:CG199)</f>
        <v>-342.7</v>
      </c>
      <c r="CH200" s="228">
        <f t="shared" si="531"/>
        <v>-171.2</v>
      </c>
      <c r="CI200" s="228">
        <f t="shared" si="531"/>
        <v>-216.5</v>
      </c>
      <c r="CJ200" s="228">
        <f t="shared" si="531"/>
        <v>-539.1</v>
      </c>
      <c r="CK200" s="228">
        <f t="shared" si="531"/>
        <v>-539.1</v>
      </c>
      <c r="CL200" s="228">
        <f t="shared" si="531"/>
        <v>224.59999999999997</v>
      </c>
      <c r="CM200" s="228">
        <f t="shared" si="531"/>
        <v>146.1</v>
      </c>
      <c r="CN200" s="228">
        <f t="shared" si="531"/>
        <v>-13.400000000000034</v>
      </c>
      <c r="CO200" s="228">
        <f t="shared" si="531"/>
        <v>-166.40000000000003</v>
      </c>
      <c r="CP200" s="228">
        <f t="shared" si="531"/>
        <v>-166.40000000000003</v>
      </c>
      <c r="CQ200" s="228">
        <f t="shared" si="531"/>
        <v>-158.79999999999998</v>
      </c>
      <c r="CR200" s="228">
        <f t="shared" si="531"/>
        <v>-271.89999999999998</v>
      </c>
      <c r="CS200" s="228">
        <f t="shared" si="531"/>
        <v>-426.20000000000005</v>
      </c>
      <c r="CT200" s="228">
        <f t="shared" si="531"/>
        <v>-547.6</v>
      </c>
      <c r="CU200" s="228">
        <f t="shared" si="531"/>
        <v>-547.6</v>
      </c>
      <c r="CV200" s="228">
        <f t="shared" si="531"/>
        <v>-140</v>
      </c>
      <c r="CW200" s="228">
        <f t="shared" si="531"/>
        <v>-284</v>
      </c>
      <c r="CX200" s="228">
        <f t="shared" ref="CX200:DG200" si="532">SUM(CX197:CX199)</f>
        <v>-413</v>
      </c>
      <c r="CY200" s="228">
        <f t="shared" si="532"/>
        <v>-573</v>
      </c>
      <c r="CZ200" s="228">
        <f t="shared" si="532"/>
        <v>-573</v>
      </c>
      <c r="DA200" s="228">
        <f t="shared" si="532"/>
        <v>-154</v>
      </c>
      <c r="DB200" s="228">
        <f t="shared" si="532"/>
        <v>-257</v>
      </c>
      <c r="DC200" s="1440">
        <f t="shared" si="532"/>
        <v>-409</v>
      </c>
      <c r="DD200" s="1440">
        <f t="shared" si="532"/>
        <v>-571</v>
      </c>
      <c r="DE200" s="1440">
        <f t="shared" si="532"/>
        <v>-571</v>
      </c>
      <c r="DF200" s="228">
        <f t="shared" si="532"/>
        <v>-187</v>
      </c>
      <c r="DG200" s="228">
        <f t="shared" si="532"/>
        <v>-332</v>
      </c>
      <c r="DH200" s="1440">
        <f t="shared" ref="DH200:DL200" si="533">SUM(DH197:DH199)</f>
        <v>-480</v>
      </c>
      <c r="DI200" s="1440">
        <f t="shared" si="533"/>
        <v>-622</v>
      </c>
      <c r="DJ200" s="1440">
        <f t="shared" si="533"/>
        <v>-622</v>
      </c>
      <c r="DK200" s="228">
        <f t="shared" si="533"/>
        <v>-132</v>
      </c>
      <c r="DL200" s="228">
        <f t="shared" si="533"/>
        <v>-275</v>
      </c>
      <c r="DM200" s="1440">
        <f t="shared" ref="DM200:DQ200" si="534">SUM(DM197:DM199)</f>
        <v>-491</v>
      </c>
      <c r="DN200" s="1440">
        <f t="shared" si="534"/>
        <v>-675</v>
      </c>
      <c r="DO200" s="1440">
        <f t="shared" si="534"/>
        <v>-675</v>
      </c>
      <c r="DP200" s="228">
        <f t="shared" si="534"/>
        <v>-191</v>
      </c>
      <c r="DQ200" s="228">
        <f t="shared" si="534"/>
        <v>-375</v>
      </c>
      <c r="DR200" s="1440">
        <f t="shared" ref="DR200:DW200" si="535">SUM(DR197:DR199)</f>
        <v>-614</v>
      </c>
      <c r="DS200" s="1440">
        <f t="shared" si="535"/>
        <v>-910</v>
      </c>
      <c r="DT200" s="1440">
        <f t="shared" si="535"/>
        <v>-910</v>
      </c>
      <c r="DU200" s="228">
        <f t="shared" si="535"/>
        <v>-181</v>
      </c>
      <c r="DV200" s="228">
        <f t="shared" si="535"/>
        <v>-383</v>
      </c>
      <c r="DW200" s="228">
        <f t="shared" si="535"/>
        <v>-586</v>
      </c>
      <c r="DX200" s="1440">
        <f t="shared" ref="DX200:DY200" si="536">SUM(DX197:DX199)</f>
        <v>-849</v>
      </c>
      <c r="DY200" s="1440">
        <f t="shared" si="536"/>
        <v>-849</v>
      </c>
    </row>
    <row r="201" spans="1:129">
      <c r="A201" s="45"/>
      <c r="B201" s="45"/>
      <c r="C201" s="391"/>
      <c r="D201" s="45"/>
      <c r="E201" s="290"/>
      <c r="F201" s="260"/>
      <c r="G201" s="260"/>
      <c r="H201" s="291"/>
      <c r="I201" s="647"/>
      <c r="J201" s="290"/>
      <c r="K201" s="260"/>
      <c r="L201" s="260"/>
      <c r="M201" s="291"/>
      <c r="N201" s="647"/>
      <c r="O201" s="290"/>
      <c r="P201" s="260"/>
      <c r="Q201" s="260"/>
      <c r="R201" s="291"/>
      <c r="S201" s="647"/>
      <c r="T201" s="290"/>
      <c r="U201" s="260"/>
      <c r="V201" s="260"/>
      <c r="W201" s="291"/>
      <c r="X201" s="647"/>
      <c r="Y201" s="290"/>
      <c r="Z201" s="260"/>
      <c r="AA201" s="1441"/>
      <c r="AB201" s="1442"/>
      <c r="AC201" s="1466"/>
      <c r="AD201" s="290"/>
      <c r="AE201" s="260"/>
      <c r="AF201" s="1441"/>
      <c r="AG201" s="1442"/>
      <c r="AH201" s="1466"/>
      <c r="AI201" s="290"/>
      <c r="AJ201" s="260"/>
      <c r="AK201" s="1441"/>
      <c r="AL201" s="1442"/>
      <c r="AM201" s="1466"/>
      <c r="AN201" s="290"/>
      <c r="AO201" s="260"/>
      <c r="AP201" s="1441"/>
      <c r="AQ201" s="1442"/>
      <c r="AR201" s="1466"/>
      <c r="AS201" s="290"/>
      <c r="AT201" s="260"/>
      <c r="AU201" s="260"/>
      <c r="AV201" s="1442"/>
      <c r="AW201" s="1466"/>
      <c r="AX201" s="290"/>
      <c r="AY201" s="260"/>
      <c r="AZ201" s="260"/>
      <c r="BA201" s="291"/>
      <c r="BB201" s="45"/>
      <c r="BC201" s="290"/>
      <c r="BD201" s="260"/>
      <c r="BE201" s="260"/>
      <c r="BF201" s="291"/>
      <c r="BG201" s="45"/>
      <c r="BH201" s="290"/>
      <c r="BI201" s="260"/>
      <c r="BJ201" s="260"/>
      <c r="BK201" s="291"/>
      <c r="BL201" s="45"/>
      <c r="BM201" s="290"/>
      <c r="BN201" s="260"/>
      <c r="BO201" s="260"/>
      <c r="BP201" s="291"/>
      <c r="BQ201" s="45"/>
      <c r="BR201" s="45"/>
      <c r="BS201" s="45"/>
      <c r="BT201" s="45"/>
      <c r="BU201" s="45"/>
      <c r="BV201" s="45"/>
      <c r="BW201" s="45"/>
      <c r="BX201" s="45"/>
      <c r="BY201" s="45"/>
      <c r="BZ201" s="45"/>
      <c r="CA201" s="45"/>
      <c r="CB201" s="45"/>
      <c r="CC201" s="45"/>
      <c r="CD201" s="45"/>
      <c r="CE201" s="45"/>
      <c r="CF201" s="45"/>
      <c r="CG201" s="45"/>
      <c r="CH201" s="45"/>
      <c r="CI201" s="45"/>
      <c r="CJ201" s="45"/>
      <c r="CK201" s="45"/>
      <c r="CL201" s="45"/>
      <c r="CM201" s="45"/>
      <c r="CN201" s="45"/>
      <c r="CO201" s="45"/>
      <c r="CP201" s="45"/>
      <c r="CQ201" s="45"/>
      <c r="CR201" s="45"/>
      <c r="CS201" s="427"/>
      <c r="CT201" s="45"/>
      <c r="CU201" s="45"/>
      <c r="CV201" s="45"/>
      <c r="CW201" s="45"/>
      <c r="CX201" s="427"/>
      <c r="CY201" s="45"/>
      <c r="CZ201" s="45"/>
      <c r="DA201" s="45"/>
      <c r="DB201" s="45"/>
      <c r="DC201" s="1437"/>
      <c r="DD201" s="1443"/>
      <c r="DE201" s="1443"/>
      <c r="DF201" s="45"/>
      <c r="DG201" s="45"/>
      <c r="DH201" s="1437"/>
      <c r="DI201" s="1443"/>
      <c r="DJ201" s="1443"/>
      <c r="DK201" s="45"/>
      <c r="DL201" s="45"/>
      <c r="DM201" s="1437"/>
      <c r="DN201" s="1443"/>
      <c r="DO201" s="1443"/>
      <c r="DP201" s="45"/>
      <c r="DQ201" s="45"/>
      <c r="DR201" s="1437"/>
      <c r="DS201" s="1443"/>
      <c r="DT201" s="1443"/>
      <c r="DU201" s="45"/>
      <c r="DV201" s="45"/>
      <c r="DW201" s="45"/>
      <c r="DX201" s="1443"/>
      <c r="DY201" s="1443"/>
    </row>
    <row r="202" spans="1:129">
      <c r="A202" s="45"/>
      <c r="B202" s="45"/>
      <c r="C202" s="391" t="s">
        <v>240</v>
      </c>
      <c r="D202" s="45"/>
      <c r="E202" s="290">
        <f>+CG202</f>
        <v>0</v>
      </c>
      <c r="F202" s="260">
        <f t="shared" ref="F202:G206" si="537">+CH202-CG202</f>
        <v>0</v>
      </c>
      <c r="G202" s="260">
        <f t="shared" si="537"/>
        <v>0</v>
      </c>
      <c r="H202" s="291">
        <f>+CK202-CI202</f>
        <v>0</v>
      </c>
      <c r="I202" s="647">
        <f t="shared" si="506"/>
        <v>0</v>
      </c>
      <c r="J202" s="290">
        <f>+CL202</f>
        <v>0</v>
      </c>
      <c r="K202" s="260">
        <f t="shared" ref="K202:L206" si="538">+CM202-CL202</f>
        <v>0</v>
      </c>
      <c r="L202" s="260">
        <f t="shared" si="538"/>
        <v>0</v>
      </c>
      <c r="M202" s="291">
        <f>+CP202-CN202</f>
        <v>0</v>
      </c>
      <c r="N202" s="647">
        <f t="shared" si="508"/>
        <v>0</v>
      </c>
      <c r="O202" s="290">
        <f>+CQ202</f>
        <v>0</v>
      </c>
      <c r="P202" s="260">
        <f t="shared" ref="P202:Q206" si="539">+CR202-CQ202</f>
        <v>0</v>
      </c>
      <c r="Q202" s="260">
        <f t="shared" si="539"/>
        <v>0</v>
      </c>
      <c r="R202" s="291">
        <f>+CU202-CS202</f>
        <v>300</v>
      </c>
      <c r="S202" s="647">
        <f t="shared" si="510"/>
        <v>300</v>
      </c>
      <c r="T202" s="290">
        <f>+CV202</f>
        <v>0</v>
      </c>
      <c r="U202" s="260">
        <f t="shared" ref="U202:V206" si="540">+CW202-CV202</f>
        <v>0</v>
      </c>
      <c r="V202" s="260">
        <f t="shared" si="540"/>
        <v>250</v>
      </c>
      <c r="W202" s="291">
        <f>+CZ202-CX202</f>
        <v>0</v>
      </c>
      <c r="X202" s="647">
        <f t="shared" si="512"/>
        <v>250</v>
      </c>
      <c r="Y202" s="290">
        <f>+DA202</f>
        <v>0</v>
      </c>
      <c r="Z202" s="260">
        <f t="shared" ref="Z202:AA206" si="541">+DB202-DA202</f>
        <v>300</v>
      </c>
      <c r="AA202" s="1441">
        <f t="shared" si="541"/>
        <v>0</v>
      </c>
      <c r="AB202" s="1442">
        <f>+DE202-DC202</f>
        <v>0</v>
      </c>
      <c r="AC202" s="1466">
        <f t="shared" si="514"/>
        <v>300</v>
      </c>
      <c r="AD202" s="290">
        <f>+DF202</f>
        <v>0</v>
      </c>
      <c r="AE202" s="260">
        <f>+DG202-DF202</f>
        <v>0</v>
      </c>
      <c r="AF202" s="1441">
        <f t="shared" ref="AF202:AF206" si="542">+DH202-DG202</f>
        <v>0</v>
      </c>
      <c r="AG202" s="1442">
        <f>+DJ202-DH202</f>
        <v>0</v>
      </c>
      <c r="AH202" s="1466">
        <f t="shared" si="516"/>
        <v>0</v>
      </c>
      <c r="AI202" s="290">
        <f>+DK202</f>
        <v>0</v>
      </c>
      <c r="AJ202" s="260">
        <f>+DL202-DK202</f>
        <v>0</v>
      </c>
      <c r="AK202" s="1441">
        <f t="shared" ref="AK202:AK206" si="543">+DM202-DL202</f>
        <v>0</v>
      </c>
      <c r="AL202" s="1442">
        <f>+DO202-DM202</f>
        <v>0</v>
      </c>
      <c r="AM202" s="1466">
        <f t="shared" si="518"/>
        <v>0</v>
      </c>
      <c r="AN202" s="290">
        <f>+DP202</f>
        <v>0</v>
      </c>
      <c r="AO202" s="260">
        <f>+DQ202-DP202</f>
        <v>0</v>
      </c>
      <c r="AP202" s="1441">
        <f t="shared" ref="AP202:AP206" si="544">+DR202-DQ202</f>
        <v>850</v>
      </c>
      <c r="AQ202" s="1442">
        <f>+DT202-DR202</f>
        <v>0</v>
      </c>
      <c r="AR202" s="1466">
        <f t="shared" ref="AR202:AR209" si="545">DT202</f>
        <v>850</v>
      </c>
      <c r="AS202" s="290">
        <f>+DU202</f>
        <v>0</v>
      </c>
      <c r="AT202" s="260">
        <f>+DV202-DU202</f>
        <v>0</v>
      </c>
      <c r="AU202" s="260">
        <f t="shared" ref="AU202:AU206" si="546">+DW202-DV202</f>
        <v>300</v>
      </c>
      <c r="AV202" s="1442">
        <f>+DY202-DW202</f>
        <v>0</v>
      </c>
      <c r="AW202" s="1466">
        <f t="shared" ref="AW202:AW209" si="547">DY202</f>
        <v>300</v>
      </c>
      <c r="AX202" s="290">
        <f t="shared" ref="AX202:BA203" si="548">+AX177</f>
        <v>0</v>
      </c>
      <c r="AY202" s="260">
        <f t="shared" si="548"/>
        <v>0</v>
      </c>
      <c r="AZ202" s="260">
        <f t="shared" si="548"/>
        <v>425</v>
      </c>
      <c r="BA202" s="291">
        <f t="shared" si="548"/>
        <v>0</v>
      </c>
      <c r="BB202" s="45">
        <f>SUM(AX202:BA202)</f>
        <v>425</v>
      </c>
      <c r="BC202" s="290">
        <f t="shared" ref="BC202:BF202" si="549">+BC177</f>
        <v>0</v>
      </c>
      <c r="BD202" s="260">
        <f t="shared" si="549"/>
        <v>0</v>
      </c>
      <c r="BE202" s="260">
        <f t="shared" si="549"/>
        <v>275</v>
      </c>
      <c r="BF202" s="291">
        <f t="shared" si="549"/>
        <v>0</v>
      </c>
      <c r="BG202" s="45">
        <f>SUM(BC202:BF202)</f>
        <v>275</v>
      </c>
      <c r="BH202" s="290">
        <f t="shared" ref="BH202:BK202" si="550">+BH177</f>
        <v>0</v>
      </c>
      <c r="BI202" s="260">
        <f t="shared" si="550"/>
        <v>0</v>
      </c>
      <c r="BJ202" s="260">
        <f t="shared" si="550"/>
        <v>225</v>
      </c>
      <c r="BK202" s="291">
        <f t="shared" si="550"/>
        <v>0</v>
      </c>
      <c r="BL202" s="45">
        <f>SUM(BH202:BK202)</f>
        <v>225</v>
      </c>
      <c r="BM202" s="290">
        <f t="shared" ref="BM202:BP202" si="551">+BM177</f>
        <v>0</v>
      </c>
      <c r="BN202" s="260">
        <f t="shared" si="551"/>
        <v>0</v>
      </c>
      <c r="BO202" s="260">
        <f t="shared" si="551"/>
        <v>450</v>
      </c>
      <c r="BP202" s="291">
        <f t="shared" si="551"/>
        <v>0</v>
      </c>
      <c r="BQ202" s="45">
        <f>SUM(BM202:BP202)</f>
        <v>450</v>
      </c>
      <c r="BR202" s="45"/>
      <c r="BS202" s="45"/>
      <c r="BT202" s="45"/>
      <c r="BU202" s="45"/>
      <c r="BV202" s="45"/>
      <c r="BW202" s="45"/>
      <c r="BX202" s="45"/>
      <c r="BY202" s="45"/>
      <c r="BZ202" s="45"/>
      <c r="CA202" s="45"/>
      <c r="CB202" s="45"/>
      <c r="CC202" s="45"/>
      <c r="CD202" s="45"/>
      <c r="CE202" s="45"/>
      <c r="CF202" s="45"/>
      <c r="CG202" s="427">
        <v>0</v>
      </c>
      <c r="CH202" s="427">
        <v>0</v>
      </c>
      <c r="CI202" s="427">
        <v>0</v>
      </c>
      <c r="CJ202" s="45">
        <f>CK202</f>
        <v>0</v>
      </c>
      <c r="CK202" s="427">
        <v>0</v>
      </c>
      <c r="CL202" s="427">
        <v>0</v>
      </c>
      <c r="CM202" s="427">
        <v>0</v>
      </c>
      <c r="CN202" s="427">
        <v>0</v>
      </c>
      <c r="CO202" s="45">
        <f>CP202</f>
        <v>0</v>
      </c>
      <c r="CP202" s="427">
        <v>0</v>
      </c>
      <c r="CQ202" s="427">
        <v>0</v>
      </c>
      <c r="CR202" s="427">
        <v>0</v>
      </c>
      <c r="CS202" s="427">
        <v>0</v>
      </c>
      <c r="CT202" s="45">
        <f>CU202</f>
        <v>300</v>
      </c>
      <c r="CU202" s="427">
        <v>300</v>
      </c>
      <c r="CV202" s="427">
        <v>0</v>
      </c>
      <c r="CW202" s="427">
        <v>0</v>
      </c>
      <c r="CX202" s="427">
        <v>250</v>
      </c>
      <c r="CY202" s="45">
        <f>CZ202</f>
        <v>250</v>
      </c>
      <c r="CZ202" s="427">
        <v>250</v>
      </c>
      <c r="DA202" s="427">
        <v>0</v>
      </c>
      <c r="DB202" s="427">
        <v>300</v>
      </c>
      <c r="DC202" s="1437">
        <v>300</v>
      </c>
      <c r="DD202" s="1443">
        <f>DE202</f>
        <v>300</v>
      </c>
      <c r="DE202" s="1437">
        <v>300</v>
      </c>
      <c r="DF202" s="427">
        <v>0</v>
      </c>
      <c r="DG202" s="1437">
        <v>0</v>
      </c>
      <c r="DH202" s="1437">
        <v>0</v>
      </c>
      <c r="DI202" s="1443">
        <f>DJ202</f>
        <v>0</v>
      </c>
      <c r="DJ202" s="1437">
        <v>0</v>
      </c>
      <c r="DK202" s="427">
        <v>0</v>
      </c>
      <c r="DL202" s="1437">
        <v>0</v>
      </c>
      <c r="DM202" s="1437">
        <v>0</v>
      </c>
      <c r="DN202" s="1443">
        <f>DO202</f>
        <v>0</v>
      </c>
      <c r="DO202" s="1437">
        <v>0</v>
      </c>
      <c r="DP202" s="427">
        <v>0</v>
      </c>
      <c r="DQ202" s="1437">
        <v>0</v>
      </c>
      <c r="DR202" s="1437">
        <v>850</v>
      </c>
      <c r="DS202" s="1443">
        <f>DT202</f>
        <v>850</v>
      </c>
      <c r="DT202" s="1437">
        <v>850</v>
      </c>
      <c r="DU202" s="427">
        <v>0</v>
      </c>
      <c r="DV202" s="1437">
        <v>0</v>
      </c>
      <c r="DW202" s="1437">
        <v>300</v>
      </c>
      <c r="DX202" s="1443">
        <f>DY202</f>
        <v>300</v>
      </c>
      <c r="DY202" s="1437">
        <v>300</v>
      </c>
    </row>
    <row r="203" spans="1:129">
      <c r="A203" s="45"/>
      <c r="B203" s="45"/>
      <c r="C203" s="391" t="s">
        <v>543</v>
      </c>
      <c r="D203" s="45"/>
      <c r="E203" s="290">
        <f>+CG203</f>
        <v>0</v>
      </c>
      <c r="F203" s="260">
        <f t="shared" si="537"/>
        <v>-51.6</v>
      </c>
      <c r="G203" s="260">
        <f t="shared" si="537"/>
        <v>0</v>
      </c>
      <c r="H203" s="291">
        <f>+CK203-CI203</f>
        <v>-38.4</v>
      </c>
      <c r="I203" s="647">
        <f t="shared" si="506"/>
        <v>-90</v>
      </c>
      <c r="J203" s="290">
        <f>+CL203</f>
        <v>0</v>
      </c>
      <c r="K203" s="260">
        <f t="shared" si="538"/>
        <v>-28.1</v>
      </c>
      <c r="L203" s="260">
        <f t="shared" si="538"/>
        <v>0</v>
      </c>
      <c r="M203" s="291">
        <f>+CP203-CN203</f>
        <v>-28.4</v>
      </c>
      <c r="N203" s="647">
        <f t="shared" si="508"/>
        <v>-56.5</v>
      </c>
      <c r="O203" s="290">
        <f>+CQ203</f>
        <v>0</v>
      </c>
      <c r="P203" s="260">
        <f t="shared" si="539"/>
        <v>-29.7</v>
      </c>
      <c r="Q203" s="260">
        <f t="shared" si="539"/>
        <v>0</v>
      </c>
      <c r="R203" s="291">
        <f>+CU203-CS203</f>
        <v>-52</v>
      </c>
      <c r="S203" s="647">
        <f t="shared" si="510"/>
        <v>-81.7</v>
      </c>
      <c r="T203" s="290">
        <f>+CV203</f>
        <v>0</v>
      </c>
      <c r="U203" s="260">
        <f t="shared" si="540"/>
        <v>-141</v>
      </c>
      <c r="V203" s="260">
        <f t="shared" si="540"/>
        <v>0</v>
      </c>
      <c r="W203" s="291">
        <f>+CZ203-CX203</f>
        <v>-32</v>
      </c>
      <c r="X203" s="647">
        <f t="shared" si="512"/>
        <v>-173</v>
      </c>
      <c r="Y203" s="290">
        <f>+DA203</f>
        <v>0</v>
      </c>
      <c r="Z203" s="260">
        <f t="shared" si="541"/>
        <v>-33</v>
      </c>
      <c r="AA203" s="1441">
        <f t="shared" si="541"/>
        <v>-400</v>
      </c>
      <c r="AB203" s="1442">
        <f>+DE203-DC203</f>
        <v>-34</v>
      </c>
      <c r="AC203" s="1466">
        <f t="shared" si="514"/>
        <v>-467</v>
      </c>
      <c r="AD203" s="290">
        <f>+DF203</f>
        <v>0</v>
      </c>
      <c r="AE203" s="260">
        <f>+DG203-DF203</f>
        <v>-35</v>
      </c>
      <c r="AF203" s="1441">
        <f t="shared" si="542"/>
        <v>0</v>
      </c>
      <c r="AG203" s="1442">
        <f>+DJ203-DH203</f>
        <v>-35</v>
      </c>
      <c r="AH203" s="1466">
        <f t="shared" si="516"/>
        <v>-70</v>
      </c>
      <c r="AI203" s="290">
        <f>+DK203</f>
        <v>0</v>
      </c>
      <c r="AJ203" s="260">
        <f>+DL203-DK203</f>
        <v>-37</v>
      </c>
      <c r="AK203" s="1441">
        <f t="shared" si="543"/>
        <v>0</v>
      </c>
      <c r="AL203" s="1442">
        <f>+DO203-DM203</f>
        <v>-38</v>
      </c>
      <c r="AM203" s="1466">
        <f t="shared" si="518"/>
        <v>-75</v>
      </c>
      <c r="AN203" s="290">
        <f>+DP203</f>
        <v>0</v>
      </c>
      <c r="AO203" s="260">
        <f>+DQ203-DP203</f>
        <v>-39</v>
      </c>
      <c r="AP203" s="1441">
        <f t="shared" si="544"/>
        <v>0</v>
      </c>
      <c r="AQ203" s="1442">
        <f>+DT203-DR203</f>
        <v>-340</v>
      </c>
      <c r="AR203" s="1466">
        <f t="shared" si="545"/>
        <v>-379</v>
      </c>
      <c r="AS203" s="290">
        <f>+DU203</f>
        <v>0</v>
      </c>
      <c r="AT203" s="260">
        <f>+DV203-DU203</f>
        <v>-41</v>
      </c>
      <c r="AU203" s="260">
        <f t="shared" si="546"/>
        <v>-250</v>
      </c>
      <c r="AV203" s="1442">
        <f>+DY203-DW203</f>
        <v>0</v>
      </c>
      <c r="AW203" s="1466">
        <f t="shared" si="547"/>
        <v>-291</v>
      </c>
      <c r="AX203" s="290">
        <f t="shared" si="548"/>
        <v>0</v>
      </c>
      <c r="AY203" s="260">
        <f t="shared" si="548"/>
        <v>0</v>
      </c>
      <c r="AZ203" s="260">
        <f t="shared" si="548"/>
        <v>0</v>
      </c>
      <c r="BA203" s="291">
        <f t="shared" si="548"/>
        <v>0</v>
      </c>
      <c r="BB203" s="45">
        <f>SUM(AX203:BA203)</f>
        <v>0</v>
      </c>
      <c r="BC203" s="290">
        <f t="shared" ref="BC203:BF203" si="552">+BC178</f>
        <v>0</v>
      </c>
      <c r="BD203" s="260">
        <f t="shared" si="552"/>
        <v>0</v>
      </c>
      <c r="BE203" s="260">
        <f t="shared" si="552"/>
        <v>0</v>
      </c>
      <c r="BF203" s="291">
        <f t="shared" si="552"/>
        <v>0</v>
      </c>
      <c r="BG203" s="45">
        <f>SUM(BC203:BF203)</f>
        <v>0</v>
      </c>
      <c r="BH203" s="290">
        <f t="shared" ref="BH203:BK203" si="553">+BH178</f>
        <v>0</v>
      </c>
      <c r="BI203" s="260">
        <f t="shared" si="553"/>
        <v>0</v>
      </c>
      <c r="BJ203" s="260">
        <f t="shared" si="553"/>
        <v>0</v>
      </c>
      <c r="BK203" s="291">
        <f t="shared" si="553"/>
        <v>0</v>
      </c>
      <c r="BL203" s="45">
        <f>SUM(BH203:BK203)</f>
        <v>0</v>
      </c>
      <c r="BM203" s="290">
        <f t="shared" ref="BM203:BP203" si="554">+BM178</f>
        <v>0</v>
      </c>
      <c r="BN203" s="260">
        <f t="shared" si="554"/>
        <v>0</v>
      </c>
      <c r="BO203" s="260">
        <f t="shared" si="554"/>
        <v>0</v>
      </c>
      <c r="BP203" s="291">
        <f t="shared" si="554"/>
        <v>-300</v>
      </c>
      <c r="BQ203" s="45">
        <f>SUM(BM203:BP203)</f>
        <v>-300</v>
      </c>
      <c r="BR203" s="45"/>
      <c r="BS203" s="45"/>
      <c r="BT203" s="45"/>
      <c r="BU203" s="45"/>
      <c r="BV203" s="45"/>
      <c r="BW203" s="45"/>
      <c r="BX203" s="45"/>
      <c r="BY203" s="45"/>
      <c r="BZ203" s="45"/>
      <c r="CA203" s="45"/>
      <c r="CB203" s="45"/>
      <c r="CC203" s="45"/>
      <c r="CD203" s="45"/>
      <c r="CE203" s="45"/>
      <c r="CF203" s="45"/>
      <c r="CG203" s="427">
        <v>0</v>
      </c>
      <c r="CH203" s="427">
        <v>-51.6</v>
      </c>
      <c r="CI203" s="427">
        <v>-51.6</v>
      </c>
      <c r="CJ203" s="45">
        <f>CK203</f>
        <v>-90</v>
      </c>
      <c r="CK203" s="427">
        <v>-90</v>
      </c>
      <c r="CL203" s="427">
        <v>0</v>
      </c>
      <c r="CM203" s="427">
        <v>-28.1</v>
      </c>
      <c r="CN203" s="427">
        <v>-28.1</v>
      </c>
      <c r="CO203" s="45">
        <f>CP203</f>
        <v>-56.5</v>
      </c>
      <c r="CP203" s="427">
        <v>-56.5</v>
      </c>
      <c r="CQ203" s="427">
        <v>0</v>
      </c>
      <c r="CR203" s="427">
        <v>-29.7</v>
      </c>
      <c r="CS203" s="427">
        <v>-29.7</v>
      </c>
      <c r="CT203" s="45">
        <f>CU203</f>
        <v>-81.7</v>
      </c>
      <c r="CU203" s="427">
        <v>-81.7</v>
      </c>
      <c r="CV203" s="427">
        <v>0</v>
      </c>
      <c r="CW203" s="427">
        <f>-141</f>
        <v>-141</v>
      </c>
      <c r="CX203" s="427">
        <v>-141</v>
      </c>
      <c r="CY203" s="45">
        <f>CZ203</f>
        <v>-173</v>
      </c>
      <c r="CZ203" s="427">
        <v>-173</v>
      </c>
      <c r="DA203" s="427">
        <v>0</v>
      </c>
      <c r="DB203" s="427">
        <v>-33</v>
      </c>
      <c r="DC203" s="1437">
        <v>-433</v>
      </c>
      <c r="DD203" s="1443">
        <f>DE203</f>
        <v>-467</v>
      </c>
      <c r="DE203" s="1437">
        <v>-467</v>
      </c>
      <c r="DF203" s="427">
        <v>0</v>
      </c>
      <c r="DG203" s="427">
        <v>-35</v>
      </c>
      <c r="DH203" s="1437">
        <v>-35</v>
      </c>
      <c r="DI203" s="1443">
        <f>DJ203</f>
        <v>-70</v>
      </c>
      <c r="DJ203" s="1437">
        <v>-70</v>
      </c>
      <c r="DK203" s="427">
        <v>0</v>
      </c>
      <c r="DL203" s="427">
        <v>-37</v>
      </c>
      <c r="DM203" s="1437">
        <v>-37</v>
      </c>
      <c r="DN203" s="1443">
        <f>DO203</f>
        <v>-75</v>
      </c>
      <c r="DO203" s="1437">
        <v>-75</v>
      </c>
      <c r="DP203" s="427">
        <v>0</v>
      </c>
      <c r="DQ203" s="427">
        <v>-39</v>
      </c>
      <c r="DR203" s="1437">
        <v>-39</v>
      </c>
      <c r="DS203" s="1443">
        <f>DT203</f>
        <v>-379</v>
      </c>
      <c r="DT203" s="1437">
        <v>-379</v>
      </c>
      <c r="DU203" s="427">
        <v>0</v>
      </c>
      <c r="DV203" s="427">
        <v>-41</v>
      </c>
      <c r="DW203" s="427">
        <f>-41-250</f>
        <v>-291</v>
      </c>
      <c r="DX203" s="1443">
        <f>DY203</f>
        <v>-291</v>
      </c>
      <c r="DY203" s="1437">
        <f>-41-250</f>
        <v>-291</v>
      </c>
    </row>
    <row r="204" spans="1:129">
      <c r="A204" s="45"/>
      <c r="B204" s="45"/>
      <c r="C204" s="391" t="s">
        <v>151</v>
      </c>
      <c r="D204" s="45"/>
      <c r="E204" s="290">
        <f>+CG204</f>
        <v>0</v>
      </c>
      <c r="F204" s="260">
        <f t="shared" si="537"/>
        <v>-30.1</v>
      </c>
      <c r="G204" s="260">
        <f t="shared" si="537"/>
        <v>-5</v>
      </c>
      <c r="H204" s="291">
        <f>+CK204-CI204</f>
        <v>-288.89999999999998</v>
      </c>
      <c r="I204" s="647">
        <f t="shared" si="506"/>
        <v>-324</v>
      </c>
      <c r="J204" s="290">
        <f>+CL204</f>
        <v>-46</v>
      </c>
      <c r="K204" s="260">
        <f t="shared" si="538"/>
        <v>0</v>
      </c>
      <c r="L204" s="260">
        <f t="shared" si="538"/>
        <v>0</v>
      </c>
      <c r="M204" s="291">
        <f>+CP204-CN204</f>
        <v>0</v>
      </c>
      <c r="N204" s="647">
        <f t="shared" si="508"/>
        <v>-46</v>
      </c>
      <c r="O204" s="290">
        <f>+CQ204</f>
        <v>0</v>
      </c>
      <c r="P204" s="260">
        <f t="shared" si="539"/>
        <v>0</v>
      </c>
      <c r="Q204" s="260">
        <f t="shared" si="539"/>
        <v>140</v>
      </c>
      <c r="R204" s="291">
        <f>+CU204-CS204</f>
        <v>-140</v>
      </c>
      <c r="S204" s="647">
        <f t="shared" si="510"/>
        <v>0</v>
      </c>
      <c r="T204" s="290">
        <f>+CV204</f>
        <v>0</v>
      </c>
      <c r="U204" s="260">
        <f t="shared" si="540"/>
        <v>0</v>
      </c>
      <c r="V204" s="260">
        <f t="shared" si="540"/>
        <v>0</v>
      </c>
      <c r="W204" s="291">
        <f>+CZ204-CX204</f>
        <v>0</v>
      </c>
      <c r="X204" s="647">
        <f t="shared" si="512"/>
        <v>0</v>
      </c>
      <c r="Y204" s="290">
        <f>+DA204</f>
        <v>0</v>
      </c>
      <c r="Z204" s="260">
        <f t="shared" si="541"/>
        <v>0</v>
      </c>
      <c r="AA204" s="1441">
        <f t="shared" si="541"/>
        <v>40</v>
      </c>
      <c r="AB204" s="1442">
        <f>+DE204-DC204</f>
        <v>95</v>
      </c>
      <c r="AC204" s="1466">
        <f t="shared" si="514"/>
        <v>135</v>
      </c>
      <c r="AD204" s="290">
        <f>+DF204</f>
        <v>-66</v>
      </c>
      <c r="AE204" s="260">
        <f>+DG204-DF204</f>
        <v>1</v>
      </c>
      <c r="AF204" s="1441">
        <f t="shared" si="542"/>
        <v>-50</v>
      </c>
      <c r="AG204" s="1442">
        <f>+DJ204-DH204</f>
        <v>100</v>
      </c>
      <c r="AH204" s="1466">
        <f t="shared" si="516"/>
        <v>-15</v>
      </c>
      <c r="AI204" s="290">
        <f>+DK204</f>
        <v>-120</v>
      </c>
      <c r="AJ204" s="260">
        <f>+DL204-DK204</f>
        <v>0</v>
      </c>
      <c r="AK204" s="1441">
        <f t="shared" si="543"/>
        <v>50</v>
      </c>
      <c r="AL204" s="1442">
        <f>+DO204-DM204</f>
        <v>160</v>
      </c>
      <c r="AM204" s="1466">
        <f t="shared" si="518"/>
        <v>90</v>
      </c>
      <c r="AN204" s="290">
        <f>+DP204</f>
        <v>-60</v>
      </c>
      <c r="AO204" s="260">
        <f>+DQ204-DP204</f>
        <v>58</v>
      </c>
      <c r="AP204" s="1441">
        <f t="shared" si="544"/>
        <v>-208</v>
      </c>
      <c r="AQ204" s="1442">
        <f>+DT204-DR204</f>
        <v>45</v>
      </c>
      <c r="AR204" s="1466">
        <f t="shared" si="545"/>
        <v>-165</v>
      </c>
      <c r="AS204" s="290">
        <f>+DU204</f>
        <v>50</v>
      </c>
      <c r="AT204" s="260">
        <f>+DV204-DU204</f>
        <v>-10</v>
      </c>
      <c r="AU204" s="260">
        <f t="shared" si="546"/>
        <v>-85</v>
      </c>
      <c r="AV204" s="1442">
        <f>+DY204-DW204</f>
        <v>77</v>
      </c>
      <c r="AW204" s="1466">
        <f t="shared" si="547"/>
        <v>32</v>
      </c>
      <c r="AX204" s="306">
        <v>0</v>
      </c>
      <c r="AY204" s="266">
        <v>0</v>
      </c>
      <c r="AZ204" s="266">
        <v>0</v>
      </c>
      <c r="BA204" s="307">
        <v>0</v>
      </c>
      <c r="BB204" s="45">
        <f>SUM(AX204:BA204)</f>
        <v>0</v>
      </c>
      <c r="BC204" s="306">
        <v>0</v>
      </c>
      <c r="BD204" s="266">
        <v>0</v>
      </c>
      <c r="BE204" s="266">
        <v>0</v>
      </c>
      <c r="BF204" s="307">
        <v>0</v>
      </c>
      <c r="BG204" s="45">
        <f>SUM(BC204:BF204)</f>
        <v>0</v>
      </c>
      <c r="BH204" s="306">
        <v>0</v>
      </c>
      <c r="BI204" s="266">
        <v>0</v>
      </c>
      <c r="BJ204" s="266">
        <v>0</v>
      </c>
      <c r="BK204" s="307">
        <v>0</v>
      </c>
      <c r="BL204" s="45">
        <f>SUM(BH204:BK204)</f>
        <v>0</v>
      </c>
      <c r="BM204" s="306">
        <v>0</v>
      </c>
      <c r="BN204" s="266">
        <v>0</v>
      </c>
      <c r="BO204" s="266">
        <v>0</v>
      </c>
      <c r="BP204" s="307">
        <v>0</v>
      </c>
      <c r="BQ204" s="45">
        <f>SUM(BM204:BP204)</f>
        <v>0</v>
      </c>
      <c r="BR204" s="45"/>
      <c r="BS204" s="45"/>
      <c r="BT204" s="45"/>
      <c r="BU204" s="45"/>
      <c r="BV204" s="45"/>
      <c r="BW204" s="45"/>
      <c r="BX204" s="45"/>
      <c r="BY204" s="45"/>
      <c r="BZ204" s="45"/>
      <c r="CA204" s="45"/>
      <c r="CB204" s="45"/>
      <c r="CC204" s="45"/>
      <c r="CD204" s="45"/>
      <c r="CE204" s="45"/>
      <c r="CF204" s="45"/>
      <c r="CG204" s="778">
        <v>0</v>
      </c>
      <c r="CH204" s="778">
        <v>-30.1</v>
      </c>
      <c r="CI204" s="778">
        <v>-35.1</v>
      </c>
      <c r="CJ204" s="45">
        <f>CK204</f>
        <v>-324</v>
      </c>
      <c r="CK204" s="778">
        <v>-324</v>
      </c>
      <c r="CL204" s="778">
        <v>-46</v>
      </c>
      <c r="CM204" s="778">
        <v>-46</v>
      </c>
      <c r="CN204" s="778">
        <v>-46</v>
      </c>
      <c r="CO204" s="45">
        <f>CP204</f>
        <v>-46</v>
      </c>
      <c r="CP204" s="778">
        <v>-46</v>
      </c>
      <c r="CQ204" s="778">
        <v>0</v>
      </c>
      <c r="CR204" s="778">
        <v>0</v>
      </c>
      <c r="CS204" s="427">
        <v>140</v>
      </c>
      <c r="CT204" s="45">
        <f>CU204</f>
        <v>0</v>
      </c>
      <c r="CU204" s="778">
        <v>0</v>
      </c>
      <c r="CV204" s="778">
        <v>0</v>
      </c>
      <c r="CW204" s="778">
        <v>0</v>
      </c>
      <c r="CX204" s="427">
        <v>0</v>
      </c>
      <c r="CY204" s="45">
        <f>CZ204</f>
        <v>0</v>
      </c>
      <c r="CZ204" s="778">
        <v>0</v>
      </c>
      <c r="DA204" s="778">
        <v>0</v>
      </c>
      <c r="DB204" s="778">
        <v>0</v>
      </c>
      <c r="DC204" s="1437">
        <v>40</v>
      </c>
      <c r="DD204" s="1443">
        <f>DE204</f>
        <v>135</v>
      </c>
      <c r="DE204" s="1509">
        <v>135</v>
      </c>
      <c r="DF204" s="778">
        <v>-66</v>
      </c>
      <c r="DG204" s="778">
        <v>-65</v>
      </c>
      <c r="DH204" s="1437">
        <v>-115</v>
      </c>
      <c r="DI204" s="1443">
        <f>DJ204</f>
        <v>-15</v>
      </c>
      <c r="DJ204" s="1509">
        <v>-15</v>
      </c>
      <c r="DK204" s="778">
        <v>-120</v>
      </c>
      <c r="DL204" s="778">
        <v>-120</v>
      </c>
      <c r="DM204" s="1437">
        <f>+-70</f>
        <v>-70</v>
      </c>
      <c r="DN204" s="1443">
        <f>DO204</f>
        <v>90</v>
      </c>
      <c r="DO204" s="1509">
        <v>90</v>
      </c>
      <c r="DP204" s="778">
        <v>-60</v>
      </c>
      <c r="DQ204" s="778">
        <v>-2</v>
      </c>
      <c r="DR204" s="1437">
        <v>-210</v>
      </c>
      <c r="DS204" s="1443">
        <f>DT204</f>
        <v>-165</v>
      </c>
      <c r="DT204" s="1509">
        <v>-165</v>
      </c>
      <c r="DU204" s="778">
        <v>50</v>
      </c>
      <c r="DV204" s="778">
        <v>40</v>
      </c>
      <c r="DW204" s="778">
        <v>-45</v>
      </c>
      <c r="DX204" s="1443">
        <f>DY204</f>
        <v>32</v>
      </c>
      <c r="DY204" s="1509">
        <v>32</v>
      </c>
    </row>
    <row r="205" spans="1:129">
      <c r="A205" s="45"/>
      <c r="B205" s="45"/>
      <c r="C205" s="391" t="s">
        <v>152</v>
      </c>
      <c r="D205" s="45"/>
      <c r="E205" s="290">
        <f>+CG205</f>
        <v>-3.3</v>
      </c>
      <c r="F205" s="260">
        <f t="shared" si="537"/>
        <v>-3.3</v>
      </c>
      <c r="G205" s="260">
        <f t="shared" si="537"/>
        <v>-3.3000000000000007</v>
      </c>
      <c r="H205" s="291">
        <f>+CK205-CI205</f>
        <v>312.59999999999997</v>
      </c>
      <c r="I205" s="647">
        <f t="shared" si="506"/>
        <v>302.7</v>
      </c>
      <c r="J205" s="290">
        <f>+CL205</f>
        <v>-3.3</v>
      </c>
      <c r="K205" s="260">
        <f t="shared" si="538"/>
        <v>-3.3</v>
      </c>
      <c r="L205" s="260">
        <f t="shared" si="538"/>
        <v>-3.3000000000000007</v>
      </c>
      <c r="M205" s="291">
        <f>+CP205-CN205</f>
        <v>-3.2999999999999989</v>
      </c>
      <c r="N205" s="647">
        <f t="shared" si="508"/>
        <v>-13.2</v>
      </c>
      <c r="O205" s="290">
        <f>+CQ205</f>
        <v>-88.3</v>
      </c>
      <c r="P205" s="260">
        <f t="shared" si="539"/>
        <v>-3.2999999999999972</v>
      </c>
      <c r="Q205" s="260">
        <f t="shared" si="539"/>
        <v>-3.3000000000000114</v>
      </c>
      <c r="R205" s="291">
        <f>+CU205-CS205</f>
        <v>-3.2999999999999972</v>
      </c>
      <c r="S205" s="647">
        <f t="shared" si="510"/>
        <v>-98.2</v>
      </c>
      <c r="T205" s="290">
        <f>+CV205</f>
        <v>-3</v>
      </c>
      <c r="U205" s="260">
        <f t="shared" si="540"/>
        <v>63</v>
      </c>
      <c r="V205" s="260">
        <f t="shared" si="540"/>
        <v>-4</v>
      </c>
      <c r="W205" s="291">
        <f>+CZ205-CX205</f>
        <v>-3</v>
      </c>
      <c r="X205" s="647">
        <f t="shared" si="512"/>
        <v>53</v>
      </c>
      <c r="Y205" s="290">
        <f>+DA205</f>
        <v>-3</v>
      </c>
      <c r="Z205" s="260">
        <f t="shared" si="541"/>
        <v>-3</v>
      </c>
      <c r="AA205" s="1441">
        <f t="shared" si="541"/>
        <v>-4</v>
      </c>
      <c r="AB205" s="1442">
        <f>+DE205-DC205</f>
        <v>-3</v>
      </c>
      <c r="AC205" s="1466">
        <f t="shared" si="514"/>
        <v>-13</v>
      </c>
      <c r="AD205" s="290">
        <f>+DF205</f>
        <v>-3</v>
      </c>
      <c r="AE205" s="260">
        <f>+DG205-DF205</f>
        <v>-3</v>
      </c>
      <c r="AF205" s="1441">
        <f t="shared" si="542"/>
        <v>-4</v>
      </c>
      <c r="AG205" s="1442">
        <f>+DJ205-DH205</f>
        <v>-3</v>
      </c>
      <c r="AH205" s="1466">
        <f t="shared" si="516"/>
        <v>-13</v>
      </c>
      <c r="AI205" s="290">
        <f>+DK205</f>
        <v>-36</v>
      </c>
      <c r="AJ205" s="260">
        <f>+DL205-DK205</f>
        <v>-41</v>
      </c>
      <c r="AK205" s="1441">
        <f t="shared" si="543"/>
        <v>-33</v>
      </c>
      <c r="AL205" s="1442">
        <f>+DO205-DM205</f>
        <v>-48</v>
      </c>
      <c r="AM205" s="1466">
        <f t="shared" si="518"/>
        <v>-158</v>
      </c>
      <c r="AN205" s="290">
        <f>+DP205</f>
        <v>-45</v>
      </c>
      <c r="AO205" s="260">
        <f>+DQ205-DP205</f>
        <v>-24</v>
      </c>
      <c r="AP205" s="1441">
        <f t="shared" si="544"/>
        <v>-37</v>
      </c>
      <c r="AQ205" s="1442">
        <f>+DT205-DR205</f>
        <v>-12</v>
      </c>
      <c r="AR205" s="1466">
        <f t="shared" si="545"/>
        <v>-118</v>
      </c>
      <c r="AS205" s="290">
        <f>+DU205</f>
        <v>-49</v>
      </c>
      <c r="AT205" s="260">
        <f>+DV205-DU205</f>
        <v>-50</v>
      </c>
      <c r="AU205" s="260">
        <f t="shared" si="546"/>
        <v>28</v>
      </c>
      <c r="AV205" s="1442">
        <f>+DY205-DW205</f>
        <v>57</v>
      </c>
      <c r="AW205" s="1466">
        <f t="shared" si="547"/>
        <v>-14</v>
      </c>
      <c r="AX205" s="290">
        <f>+BB205/4</f>
        <v>-56.25</v>
      </c>
      <c r="AY205" s="260">
        <f>(BB205-SUM(AX205:AX205))/3</f>
        <v>-56.25</v>
      </c>
      <c r="AZ205" s="260">
        <f>(BB205-SUM(AX205:AY205))/2</f>
        <v>-56.25</v>
      </c>
      <c r="BA205" s="291">
        <f>(BB205-SUM(AX205:AZ205))/1</f>
        <v>-56.25</v>
      </c>
      <c r="BB205" s="426">
        <v>-225</v>
      </c>
      <c r="BC205" s="290">
        <f>+BG205/4</f>
        <v>-12.5</v>
      </c>
      <c r="BD205" s="260">
        <f>(BG205-SUM(BC205:BC205))/3</f>
        <v>-12.5</v>
      </c>
      <c r="BE205" s="260">
        <f>(BG205-SUM(BC205:BD205))/2</f>
        <v>-12.5</v>
      </c>
      <c r="BF205" s="291">
        <f>(BG205-SUM(BC205:BE205))/1</f>
        <v>-12.5</v>
      </c>
      <c r="BG205" s="2032">
        <v>-50</v>
      </c>
      <c r="BH205" s="290">
        <f>+BL205/4</f>
        <v>-36.25</v>
      </c>
      <c r="BI205" s="260">
        <f>(BL205-SUM(BH205:BH205))/3</f>
        <v>-36.25</v>
      </c>
      <c r="BJ205" s="260">
        <f>(BL205-SUM(BH205:BI205))/2</f>
        <v>-36.25</v>
      </c>
      <c r="BK205" s="291">
        <f>(BL205-SUM(BH205:BJ205))/1</f>
        <v>-36.25</v>
      </c>
      <c r="BL205" s="2032">
        <v>-145</v>
      </c>
      <c r="BM205" s="290">
        <f>+BQ205/4</f>
        <v>-56.25</v>
      </c>
      <c r="BN205" s="260">
        <f>(BQ205-SUM(BM205:BM205))/3</f>
        <v>-56.25</v>
      </c>
      <c r="BO205" s="260">
        <f>(BQ205-SUM(BM205:BN205))/2</f>
        <v>-56.25</v>
      </c>
      <c r="BP205" s="291">
        <f>(BQ205-SUM(BM205:BO205))/1</f>
        <v>-56.25</v>
      </c>
      <c r="BQ205" s="2032">
        <v>-225</v>
      </c>
      <c r="BR205" s="45"/>
      <c r="BS205" s="45"/>
      <c r="BT205" s="45"/>
      <c r="BU205" s="45"/>
      <c r="BV205" s="45"/>
      <c r="BW205" s="45"/>
      <c r="BX205" s="45"/>
      <c r="BY205" s="45"/>
      <c r="BZ205" s="45"/>
      <c r="CA205" s="45"/>
      <c r="CB205" s="45"/>
      <c r="CC205" s="45"/>
      <c r="CD205" s="45"/>
      <c r="CE205" s="45"/>
      <c r="CF205" s="45"/>
      <c r="CG205" s="778">
        <v>-3.3</v>
      </c>
      <c r="CH205" s="778">
        <v>-6.6</v>
      </c>
      <c r="CI205" s="778">
        <v>-9.9</v>
      </c>
      <c r="CJ205" s="45">
        <f>CK205</f>
        <v>302.7</v>
      </c>
      <c r="CK205" s="778">
        <f>-13.2+315.9</f>
        <v>302.7</v>
      </c>
      <c r="CL205" s="778">
        <v>-3.3</v>
      </c>
      <c r="CM205" s="778">
        <v>-6.6</v>
      </c>
      <c r="CN205" s="778">
        <v>-9.9</v>
      </c>
      <c r="CO205" s="45">
        <f>CP205</f>
        <v>-13.2</v>
      </c>
      <c r="CP205" s="778">
        <v>-13.2</v>
      </c>
      <c r="CQ205" s="818">
        <f>-85-3.3</f>
        <v>-88.3</v>
      </c>
      <c r="CR205" s="778">
        <f>-6.6-85</f>
        <v>-91.6</v>
      </c>
      <c r="CS205" s="427">
        <f>-9.9-85</f>
        <v>-94.9</v>
      </c>
      <c r="CT205" s="45">
        <f>CU205</f>
        <v>-98.2</v>
      </c>
      <c r="CU205" s="778">
        <f>-13.2-85</f>
        <v>-98.2</v>
      </c>
      <c r="CV205" s="778">
        <v>-3</v>
      </c>
      <c r="CW205" s="778">
        <f>66-6</f>
        <v>60</v>
      </c>
      <c r="CX205" s="427">
        <f>-10+66</f>
        <v>56</v>
      </c>
      <c r="CY205" s="45">
        <f>CZ205</f>
        <v>53</v>
      </c>
      <c r="CZ205" s="778">
        <f>-13+66</f>
        <v>53</v>
      </c>
      <c r="DA205" s="778">
        <v>-3</v>
      </c>
      <c r="DB205" s="778">
        <v>-6</v>
      </c>
      <c r="DC205" s="1437">
        <v>-10</v>
      </c>
      <c r="DD205" s="1443">
        <f>DE205</f>
        <v>-13</v>
      </c>
      <c r="DE205" s="1509">
        <v>-13</v>
      </c>
      <c r="DF205" s="778">
        <v>-3</v>
      </c>
      <c r="DG205" s="778">
        <v>-6</v>
      </c>
      <c r="DH205" s="1437">
        <v>-10</v>
      </c>
      <c r="DI205" s="1443">
        <f>DJ205</f>
        <v>-13</v>
      </c>
      <c r="DJ205" s="1509">
        <v>-13</v>
      </c>
      <c r="DK205" s="778">
        <v>-36</v>
      </c>
      <c r="DL205" s="778">
        <v>-77</v>
      </c>
      <c r="DM205" s="1437">
        <f>-116+6</f>
        <v>-110</v>
      </c>
      <c r="DN205" s="1443">
        <f>DO205</f>
        <v>-158</v>
      </c>
      <c r="DO205" s="1509">
        <v>-158</v>
      </c>
      <c r="DP205" s="778">
        <v>-45</v>
      </c>
      <c r="DQ205" s="778">
        <f>-90+21</f>
        <v>-69</v>
      </c>
      <c r="DR205" s="1437">
        <f>-134+28</f>
        <v>-106</v>
      </c>
      <c r="DS205" s="1443">
        <f>DT205</f>
        <v>-118</v>
      </c>
      <c r="DT205" s="1509">
        <f>-179+61</f>
        <v>-118</v>
      </c>
      <c r="DU205" s="778">
        <v>-49</v>
      </c>
      <c r="DV205" s="778">
        <v>-99</v>
      </c>
      <c r="DW205" s="778">
        <f>-148+77</f>
        <v>-71</v>
      </c>
      <c r="DX205" s="1443">
        <f>DY205</f>
        <v>-14</v>
      </c>
      <c r="DY205" s="1509">
        <f>-198+184</f>
        <v>-14</v>
      </c>
    </row>
    <row r="206" spans="1:129">
      <c r="A206" s="45"/>
      <c r="B206" s="45"/>
      <c r="C206" s="391" t="s">
        <v>62</v>
      </c>
      <c r="D206" s="45"/>
      <c r="E206" s="290">
        <f>+CG206</f>
        <v>0</v>
      </c>
      <c r="F206" s="260">
        <f t="shared" si="537"/>
        <v>7.7</v>
      </c>
      <c r="G206" s="260">
        <f t="shared" si="537"/>
        <v>-0.20000000000000018</v>
      </c>
      <c r="H206" s="291">
        <f>+CK206-CI206</f>
        <v>0</v>
      </c>
      <c r="I206" s="647">
        <f t="shared" si="506"/>
        <v>7.5</v>
      </c>
      <c r="J206" s="290">
        <f>+CL206</f>
        <v>0</v>
      </c>
      <c r="K206" s="260">
        <f t="shared" si="538"/>
        <v>0</v>
      </c>
      <c r="L206" s="260">
        <f t="shared" si="538"/>
        <v>-0.3</v>
      </c>
      <c r="M206" s="291">
        <f>+CP206-CN206</f>
        <v>0</v>
      </c>
      <c r="N206" s="647">
        <f t="shared" si="508"/>
        <v>-0.3</v>
      </c>
      <c r="O206" s="290">
        <f>+CQ206</f>
        <v>-2.7</v>
      </c>
      <c r="P206" s="260">
        <f t="shared" si="539"/>
        <v>0</v>
      </c>
      <c r="Q206" s="260">
        <f t="shared" si="539"/>
        <v>0</v>
      </c>
      <c r="R206" s="291">
        <f>+CU206-CS206</f>
        <v>-2.3999999999999995</v>
      </c>
      <c r="S206" s="647">
        <f t="shared" si="510"/>
        <v>-5.0999999999999996</v>
      </c>
      <c r="T206" s="290">
        <f>+CV206</f>
        <v>-1</v>
      </c>
      <c r="U206" s="260">
        <f t="shared" si="540"/>
        <v>1</v>
      </c>
      <c r="V206" s="260">
        <f t="shared" si="540"/>
        <v>-3</v>
      </c>
      <c r="W206" s="291">
        <f>+CZ206-CX206</f>
        <v>1</v>
      </c>
      <c r="X206" s="647">
        <f t="shared" si="512"/>
        <v>-2</v>
      </c>
      <c r="Y206" s="290">
        <f>+DA206</f>
        <v>-2</v>
      </c>
      <c r="Z206" s="260">
        <f t="shared" si="541"/>
        <v>0</v>
      </c>
      <c r="AA206" s="1441">
        <f t="shared" si="541"/>
        <v>-1</v>
      </c>
      <c r="AB206" s="1442">
        <f>+DE206-DC206</f>
        <v>0</v>
      </c>
      <c r="AC206" s="1466">
        <f t="shared" si="514"/>
        <v>-3</v>
      </c>
      <c r="AD206" s="290">
        <f>+DF206</f>
        <v>13</v>
      </c>
      <c r="AE206" s="260">
        <f>+DG206-DF206</f>
        <v>-1</v>
      </c>
      <c r="AF206" s="1441">
        <f t="shared" si="542"/>
        <v>-1</v>
      </c>
      <c r="AG206" s="1442">
        <f>+DJ206-DH206</f>
        <v>2</v>
      </c>
      <c r="AH206" s="1466">
        <f t="shared" si="516"/>
        <v>13</v>
      </c>
      <c r="AI206" s="290">
        <f>+DK206</f>
        <v>-16</v>
      </c>
      <c r="AJ206" s="260">
        <f>+DL206-DK206</f>
        <v>-4</v>
      </c>
      <c r="AK206" s="1441">
        <f t="shared" si="543"/>
        <v>-5</v>
      </c>
      <c r="AL206" s="1442">
        <f>+DO206-DM206</f>
        <v>6</v>
      </c>
      <c r="AM206" s="1466">
        <f t="shared" si="518"/>
        <v>-19</v>
      </c>
      <c r="AN206" s="290">
        <f>+DP206</f>
        <v>19</v>
      </c>
      <c r="AO206" s="260">
        <f>+DQ206-DP206</f>
        <v>-27</v>
      </c>
      <c r="AP206" s="1441">
        <f t="shared" si="544"/>
        <v>-201</v>
      </c>
      <c r="AQ206" s="1442">
        <f>+DT206-DR206</f>
        <v>0</v>
      </c>
      <c r="AR206" s="1466">
        <f t="shared" si="545"/>
        <v>-209</v>
      </c>
      <c r="AS206" s="290">
        <f>+DU206</f>
        <v>0</v>
      </c>
      <c r="AT206" s="260">
        <f>+DV206-DU206</f>
        <v>0</v>
      </c>
      <c r="AU206" s="260">
        <f t="shared" si="546"/>
        <v>-5</v>
      </c>
      <c r="AV206" s="1442">
        <f>+DY206-DW206</f>
        <v>0</v>
      </c>
      <c r="AW206" s="1466">
        <f t="shared" si="547"/>
        <v>-5</v>
      </c>
      <c r="AX206" s="290">
        <f>+BB206/4</f>
        <v>0</v>
      </c>
      <c r="AY206" s="260">
        <f>(BB206-SUM(AX206:AX206))/3</f>
        <v>0</v>
      </c>
      <c r="AZ206" s="260">
        <f>(BB206-SUM(AX206:AY206))/2</f>
        <v>0</v>
      </c>
      <c r="BA206" s="291">
        <f>(BB206-SUM(AX206:AZ206))/1</f>
        <v>0</v>
      </c>
      <c r="BB206" s="426">
        <v>0</v>
      </c>
      <c r="BC206" s="290">
        <f>+BG206/4</f>
        <v>0</v>
      </c>
      <c r="BD206" s="260">
        <f>(BG206-SUM(BC206:BC206))/3</f>
        <v>0</v>
      </c>
      <c r="BE206" s="260">
        <f>(BG206-SUM(BC206:BD206))/2</f>
        <v>0</v>
      </c>
      <c r="BF206" s="291">
        <f>(BG206-SUM(BC206:BE206))/1</f>
        <v>0</v>
      </c>
      <c r="BG206" s="426">
        <v>0</v>
      </c>
      <c r="BH206" s="290">
        <f>+BL206/4</f>
        <v>0</v>
      </c>
      <c r="BI206" s="260">
        <f>(BL206-SUM(BH206:BH206))/3</f>
        <v>0</v>
      </c>
      <c r="BJ206" s="260">
        <f>(BL206-SUM(BH206:BI206))/2</f>
        <v>0</v>
      </c>
      <c r="BK206" s="291">
        <f>(BL206-SUM(BH206:BJ206))/1</f>
        <v>0</v>
      </c>
      <c r="BL206" s="426">
        <v>0</v>
      </c>
      <c r="BM206" s="290">
        <f>+BQ206/4</f>
        <v>0</v>
      </c>
      <c r="BN206" s="260">
        <f>(BQ206-SUM(BM206:BM206))/3</f>
        <v>0</v>
      </c>
      <c r="BO206" s="260">
        <f>(BQ206-SUM(BM206:BN206))/2</f>
        <v>0</v>
      </c>
      <c r="BP206" s="291">
        <f>(BQ206-SUM(BM206:BO206))/1</f>
        <v>0</v>
      </c>
      <c r="BQ206" s="426">
        <v>0</v>
      </c>
      <c r="BR206" s="45"/>
      <c r="BS206" s="45"/>
      <c r="BT206" s="45"/>
      <c r="BU206" s="45"/>
      <c r="BV206" s="45"/>
      <c r="BW206" s="45"/>
      <c r="BX206" s="45"/>
      <c r="BY206" s="45"/>
      <c r="BZ206" s="45"/>
      <c r="CA206" s="45"/>
      <c r="CB206" s="45"/>
      <c r="CC206" s="45"/>
      <c r="CD206" s="45"/>
      <c r="CE206" s="45"/>
      <c r="CF206" s="45"/>
      <c r="CG206" s="427">
        <v>0</v>
      </c>
      <c r="CH206" s="778">
        <f>-0.3+8</f>
        <v>7.7</v>
      </c>
      <c r="CI206" s="427">
        <f>-0.5+8</f>
        <v>7.5</v>
      </c>
      <c r="CJ206" s="45">
        <f>CK206</f>
        <v>7.5</v>
      </c>
      <c r="CK206" s="427">
        <f>-0.5+8</f>
        <v>7.5</v>
      </c>
      <c r="CL206" s="427">
        <v>0</v>
      </c>
      <c r="CM206" s="778">
        <v>0</v>
      </c>
      <c r="CN206" s="427">
        <v>-0.3</v>
      </c>
      <c r="CO206" s="45">
        <f>CP206</f>
        <v>-0.3</v>
      </c>
      <c r="CP206" s="427">
        <v>-0.3</v>
      </c>
      <c r="CQ206" s="427">
        <v>-2.7</v>
      </c>
      <c r="CR206" s="427">
        <v>-2.7</v>
      </c>
      <c r="CS206" s="427">
        <v>-2.7</v>
      </c>
      <c r="CT206" s="45">
        <f>CU206</f>
        <v>-5.0999999999999996</v>
      </c>
      <c r="CU206" s="427">
        <v>-5.0999999999999996</v>
      </c>
      <c r="CV206" s="427">
        <v>-1</v>
      </c>
      <c r="CW206" s="427">
        <f>0</f>
        <v>0</v>
      </c>
      <c r="CX206" s="427">
        <v>-3</v>
      </c>
      <c r="CY206" s="45">
        <f>CZ206</f>
        <v>-2</v>
      </c>
      <c r="CZ206" s="427">
        <v>-2</v>
      </c>
      <c r="DA206" s="427">
        <f>-3+1</f>
        <v>-2</v>
      </c>
      <c r="DB206" s="427">
        <v>-2</v>
      </c>
      <c r="DC206" s="1437">
        <v>-3</v>
      </c>
      <c r="DD206" s="1443">
        <f>DE206</f>
        <v>-3</v>
      </c>
      <c r="DE206" s="1437">
        <v>-3</v>
      </c>
      <c r="DF206" s="427">
        <v>13</v>
      </c>
      <c r="DG206" s="427">
        <v>12</v>
      </c>
      <c r="DH206" s="1437">
        <v>11</v>
      </c>
      <c r="DI206" s="1443">
        <f>DJ206</f>
        <v>13</v>
      </c>
      <c r="DJ206" s="1437">
        <v>13</v>
      </c>
      <c r="DK206" s="427">
        <f>-3-13</f>
        <v>-16</v>
      </c>
      <c r="DL206" s="427">
        <f>-6-14</f>
        <v>-20</v>
      </c>
      <c r="DM206" s="1437">
        <f>+-10-15</f>
        <v>-25</v>
      </c>
      <c r="DN206" s="1443">
        <f>DO206</f>
        <v>-19</v>
      </c>
      <c r="DO206" s="1437">
        <f>+-13+7-13</f>
        <v>-19</v>
      </c>
      <c r="DP206" s="427">
        <f>-3+1+21</f>
        <v>19</v>
      </c>
      <c r="DQ206" s="427">
        <f>-6-2</f>
        <v>-8</v>
      </c>
      <c r="DR206" s="1437">
        <f>-190-8-11</f>
        <v>-209</v>
      </c>
      <c r="DS206" s="1443">
        <f>DT206</f>
        <v>-209</v>
      </c>
      <c r="DT206" s="1437">
        <f>-8-11-190</f>
        <v>-209</v>
      </c>
      <c r="DU206" s="427">
        <v>0</v>
      </c>
      <c r="DV206" s="427">
        <v>0</v>
      </c>
      <c r="DW206" s="427">
        <v>-5</v>
      </c>
      <c r="DX206" s="1443">
        <f>DY206</f>
        <v>-5</v>
      </c>
      <c r="DY206" s="1437">
        <v>-5</v>
      </c>
    </row>
    <row r="207" spans="1:129">
      <c r="A207" s="45"/>
      <c r="B207" s="45"/>
      <c r="C207" s="389" t="s">
        <v>153</v>
      </c>
      <c r="D207" s="45"/>
      <c r="E207" s="292">
        <f>SUM(E202:E206)</f>
        <v>-3.3</v>
      </c>
      <c r="F207" s="261">
        <f>SUM(F202:F206)</f>
        <v>-77.3</v>
      </c>
      <c r="G207" s="261">
        <f>SUM(G202:G206)</f>
        <v>-8.5</v>
      </c>
      <c r="H207" s="293">
        <f>SUM(H202:H206)</f>
        <v>-14.699999999999989</v>
      </c>
      <c r="I207" s="583">
        <f t="shared" si="506"/>
        <v>-103.80000000000001</v>
      </c>
      <c r="J207" s="292">
        <f>SUM(J202:J206)</f>
        <v>-49.3</v>
      </c>
      <c r="K207" s="261">
        <f>SUM(K202:K206)</f>
        <v>-31.400000000000002</v>
      </c>
      <c r="L207" s="261">
        <f>SUM(L202:L206)</f>
        <v>-3.6000000000000005</v>
      </c>
      <c r="M207" s="293">
        <f>SUM(M202:M206)</f>
        <v>-31.699999999999996</v>
      </c>
      <c r="N207" s="583">
        <f t="shared" si="508"/>
        <v>-116</v>
      </c>
      <c r="O207" s="292">
        <f>SUM(O202:O206)</f>
        <v>-91</v>
      </c>
      <c r="P207" s="261">
        <f>SUM(P202:P206)</f>
        <v>-33</v>
      </c>
      <c r="Q207" s="261">
        <f>SUM(Q202:Q206)</f>
        <v>136.69999999999999</v>
      </c>
      <c r="R207" s="293">
        <f>SUM(R202:R206)</f>
        <v>102.3</v>
      </c>
      <c r="S207" s="583">
        <f t="shared" si="510"/>
        <v>115.00000000000001</v>
      </c>
      <c r="T207" s="292">
        <f t="shared" ref="T207:AD207" si="555">SUM(T202:T206)</f>
        <v>-4</v>
      </c>
      <c r="U207" s="261">
        <f>SUM(U202:U206)</f>
        <v>-77</v>
      </c>
      <c r="V207" s="261">
        <f>SUM(V202:V206)</f>
        <v>243</v>
      </c>
      <c r="W207" s="293">
        <f>SUM(W202:W206)</f>
        <v>-34</v>
      </c>
      <c r="X207" s="583">
        <f t="shared" si="512"/>
        <v>128</v>
      </c>
      <c r="Y207" s="292">
        <f t="shared" si="555"/>
        <v>-5</v>
      </c>
      <c r="Z207" s="261">
        <f>SUM(Z202:Z206)</f>
        <v>264</v>
      </c>
      <c r="AA207" s="1438">
        <f>SUM(AA202:AA206)</f>
        <v>-365</v>
      </c>
      <c r="AB207" s="1439">
        <f>SUM(AB202:AB206)</f>
        <v>58</v>
      </c>
      <c r="AC207" s="1464">
        <f t="shared" si="514"/>
        <v>-48</v>
      </c>
      <c r="AD207" s="292">
        <f t="shared" si="555"/>
        <v>-56</v>
      </c>
      <c r="AE207" s="261">
        <f>SUM(AE202:AE206)</f>
        <v>-38</v>
      </c>
      <c r="AF207" s="1438">
        <f>SUM(AF202:AF206)</f>
        <v>-55</v>
      </c>
      <c r="AG207" s="1439">
        <f>SUM(AG202:AG206)</f>
        <v>64</v>
      </c>
      <c r="AH207" s="1464">
        <f t="shared" si="516"/>
        <v>-85</v>
      </c>
      <c r="AI207" s="292">
        <f t="shared" ref="AI207" si="556">SUM(AI202:AI206)</f>
        <v>-172</v>
      </c>
      <c r="AJ207" s="261">
        <f>SUM(AJ202:AJ206)</f>
        <v>-82</v>
      </c>
      <c r="AK207" s="1438">
        <f>SUM(AK202:AK206)</f>
        <v>12</v>
      </c>
      <c r="AL207" s="1439">
        <f>SUM(AL202:AL206)</f>
        <v>80</v>
      </c>
      <c r="AM207" s="1464">
        <f t="shared" si="518"/>
        <v>-162</v>
      </c>
      <c r="AN207" s="292">
        <f t="shared" ref="AN207" si="557">SUM(AN202:AN206)</f>
        <v>-86</v>
      </c>
      <c r="AO207" s="261">
        <f>SUM(AO202:AO206)</f>
        <v>-32</v>
      </c>
      <c r="AP207" s="1438">
        <f>SUM(AP202:AP206)</f>
        <v>404</v>
      </c>
      <c r="AQ207" s="1439">
        <f>SUM(AQ202:AQ206)</f>
        <v>-307</v>
      </c>
      <c r="AR207" s="1464">
        <f t="shared" si="545"/>
        <v>-21</v>
      </c>
      <c r="AS207" s="292">
        <f t="shared" ref="AS207" si="558">SUM(AS202:AS206)</f>
        <v>1</v>
      </c>
      <c r="AT207" s="261">
        <f>SUM(AT202:AT206)</f>
        <v>-101</v>
      </c>
      <c r="AU207" s="261">
        <f t="shared" ref="AU207" si="559">SUM(AU202:AU206)</f>
        <v>-12</v>
      </c>
      <c r="AV207" s="1439">
        <f>SUM(AV202:AV206)</f>
        <v>134</v>
      </c>
      <c r="AW207" s="1464">
        <f t="shared" si="547"/>
        <v>22</v>
      </c>
      <c r="AX207" s="292">
        <f t="shared" ref="AX207:BB207" si="560">SUM(AX202:AX206)</f>
        <v>-56.25</v>
      </c>
      <c r="AY207" s="261">
        <f t="shared" si="560"/>
        <v>-56.25</v>
      </c>
      <c r="AZ207" s="261">
        <f t="shared" si="560"/>
        <v>368.75</v>
      </c>
      <c r="BA207" s="293">
        <f t="shared" si="560"/>
        <v>-56.25</v>
      </c>
      <c r="BB207" s="228">
        <f t="shared" si="560"/>
        <v>200</v>
      </c>
      <c r="BC207" s="292">
        <f t="shared" ref="BC207:BL207" si="561">SUM(BC202:BC206)</f>
        <v>-12.5</v>
      </c>
      <c r="BD207" s="261">
        <f t="shared" si="561"/>
        <v>-12.5</v>
      </c>
      <c r="BE207" s="261">
        <f t="shared" si="561"/>
        <v>262.5</v>
      </c>
      <c r="BF207" s="293">
        <f t="shared" si="561"/>
        <v>-12.5</v>
      </c>
      <c r="BG207" s="228">
        <f t="shared" si="561"/>
        <v>225</v>
      </c>
      <c r="BH207" s="292">
        <f t="shared" si="561"/>
        <v>-36.25</v>
      </c>
      <c r="BI207" s="261">
        <f t="shared" si="561"/>
        <v>-36.25</v>
      </c>
      <c r="BJ207" s="261">
        <f t="shared" si="561"/>
        <v>188.75</v>
      </c>
      <c r="BK207" s="293">
        <f t="shared" si="561"/>
        <v>-36.25</v>
      </c>
      <c r="BL207" s="228">
        <f t="shared" si="561"/>
        <v>80</v>
      </c>
      <c r="BM207" s="292">
        <f t="shared" ref="BM207:BQ207" si="562">SUM(BM202:BM206)</f>
        <v>-56.25</v>
      </c>
      <c r="BN207" s="261">
        <f t="shared" si="562"/>
        <v>-56.25</v>
      </c>
      <c r="BO207" s="261">
        <f t="shared" si="562"/>
        <v>393.75</v>
      </c>
      <c r="BP207" s="293">
        <f t="shared" si="562"/>
        <v>-356.25</v>
      </c>
      <c r="BQ207" s="228">
        <f t="shared" si="562"/>
        <v>-75</v>
      </c>
      <c r="BR207" s="45"/>
      <c r="BS207" s="45"/>
      <c r="BT207" s="45"/>
      <c r="BU207" s="45"/>
      <c r="BV207" s="45"/>
      <c r="BW207" s="45"/>
      <c r="BX207" s="45"/>
      <c r="BY207" s="45"/>
      <c r="BZ207" s="45"/>
      <c r="CA207" s="45"/>
      <c r="CB207" s="45"/>
      <c r="CC207" s="45"/>
      <c r="CD207" s="45"/>
      <c r="CE207" s="45"/>
      <c r="CF207" s="45"/>
      <c r="CG207" s="228">
        <f t="shared" ref="CG207:CW207" si="563">SUM(CG202:CG206)</f>
        <v>-3.3</v>
      </c>
      <c r="CH207" s="228">
        <f t="shared" si="563"/>
        <v>-80.599999999999994</v>
      </c>
      <c r="CI207" s="228">
        <f t="shared" si="563"/>
        <v>-89.100000000000009</v>
      </c>
      <c r="CJ207" s="228">
        <f>SUM(CJ202:CJ206)</f>
        <v>-103.80000000000001</v>
      </c>
      <c r="CK207" s="228">
        <f t="shared" si="563"/>
        <v>-103.80000000000001</v>
      </c>
      <c r="CL207" s="228">
        <f>SUM(CL202:CL206)</f>
        <v>-49.3</v>
      </c>
      <c r="CM207" s="228">
        <f>SUM(CM202:CM206)</f>
        <v>-80.699999999999989</v>
      </c>
      <c r="CN207" s="228">
        <f>SUM(CN202:CN206)</f>
        <v>-84.3</v>
      </c>
      <c r="CO207" s="228">
        <f>SUM(CO202:CO206)</f>
        <v>-116</v>
      </c>
      <c r="CP207" s="228">
        <f t="shared" si="563"/>
        <v>-116</v>
      </c>
      <c r="CQ207" s="228">
        <f t="shared" si="563"/>
        <v>-91</v>
      </c>
      <c r="CR207" s="228">
        <f>SUM(CR202:CR206)</f>
        <v>-124</v>
      </c>
      <c r="CS207" s="228">
        <f>SUM(CS202:CS206)</f>
        <v>12.699999999999992</v>
      </c>
      <c r="CT207" s="228">
        <f>SUM(CT202:CT206)</f>
        <v>115.00000000000001</v>
      </c>
      <c r="CU207" s="228">
        <f t="shared" si="563"/>
        <v>115.00000000000001</v>
      </c>
      <c r="CV207" s="228">
        <f t="shared" si="563"/>
        <v>-4</v>
      </c>
      <c r="CW207" s="228">
        <f t="shared" si="563"/>
        <v>-81</v>
      </c>
      <c r="CX207" s="228">
        <f t="shared" ref="CX207:DG207" si="564">SUM(CX202:CX206)</f>
        <v>162</v>
      </c>
      <c r="CY207" s="228">
        <f t="shared" si="564"/>
        <v>128</v>
      </c>
      <c r="CZ207" s="228">
        <f t="shared" si="564"/>
        <v>128</v>
      </c>
      <c r="DA207" s="228">
        <f t="shared" si="564"/>
        <v>-5</v>
      </c>
      <c r="DB207" s="228">
        <f t="shared" si="564"/>
        <v>259</v>
      </c>
      <c r="DC207" s="1440">
        <f t="shared" si="564"/>
        <v>-106</v>
      </c>
      <c r="DD207" s="1440">
        <f t="shared" si="564"/>
        <v>-48</v>
      </c>
      <c r="DE207" s="1440">
        <f t="shared" si="564"/>
        <v>-48</v>
      </c>
      <c r="DF207" s="228">
        <f t="shared" si="564"/>
        <v>-56</v>
      </c>
      <c r="DG207" s="228">
        <f t="shared" si="564"/>
        <v>-94</v>
      </c>
      <c r="DH207" s="1440">
        <f t="shared" ref="DH207:DL207" si="565">SUM(DH202:DH206)</f>
        <v>-149</v>
      </c>
      <c r="DI207" s="1440">
        <f t="shared" si="565"/>
        <v>-85</v>
      </c>
      <c r="DJ207" s="1440">
        <f t="shared" si="565"/>
        <v>-85</v>
      </c>
      <c r="DK207" s="228">
        <f t="shared" si="565"/>
        <v>-172</v>
      </c>
      <c r="DL207" s="228">
        <f t="shared" si="565"/>
        <v>-254</v>
      </c>
      <c r="DM207" s="1440">
        <f t="shared" ref="DM207:DQ207" si="566">SUM(DM202:DM206)</f>
        <v>-242</v>
      </c>
      <c r="DN207" s="1440">
        <f t="shared" si="566"/>
        <v>-162</v>
      </c>
      <c r="DO207" s="1440">
        <f t="shared" si="566"/>
        <v>-162</v>
      </c>
      <c r="DP207" s="228">
        <f t="shared" si="566"/>
        <v>-86</v>
      </c>
      <c r="DQ207" s="228">
        <f t="shared" si="566"/>
        <v>-118</v>
      </c>
      <c r="DR207" s="1440">
        <f t="shared" ref="DR207:DW207" si="567">SUM(DR202:DR206)</f>
        <v>286</v>
      </c>
      <c r="DS207" s="1440">
        <f t="shared" si="567"/>
        <v>-21</v>
      </c>
      <c r="DT207" s="1440">
        <f t="shared" si="567"/>
        <v>-21</v>
      </c>
      <c r="DU207" s="228">
        <f t="shared" si="567"/>
        <v>1</v>
      </c>
      <c r="DV207" s="228">
        <f t="shared" si="567"/>
        <v>-100</v>
      </c>
      <c r="DW207" s="228">
        <f t="shared" si="567"/>
        <v>-112</v>
      </c>
      <c r="DX207" s="1440">
        <f t="shared" ref="DX207:DY207" si="568">SUM(DX202:DX206)</f>
        <v>22</v>
      </c>
      <c r="DY207" s="1440">
        <f t="shared" si="568"/>
        <v>22</v>
      </c>
    </row>
    <row r="208" spans="1:129">
      <c r="A208" s="45"/>
      <c r="B208" s="45"/>
      <c r="C208" s="391"/>
      <c r="D208" s="45"/>
      <c r="E208" s="290"/>
      <c r="F208" s="260"/>
      <c r="G208" s="260"/>
      <c r="H208" s="291"/>
      <c r="I208" s="647">
        <f t="shared" si="506"/>
        <v>0</v>
      </c>
      <c r="J208" s="290"/>
      <c r="K208" s="260"/>
      <c r="L208" s="260"/>
      <c r="M208" s="291"/>
      <c r="N208" s="647">
        <f t="shared" si="508"/>
        <v>0</v>
      </c>
      <c r="O208" s="290"/>
      <c r="P208" s="260"/>
      <c r="Q208" s="260"/>
      <c r="R208" s="291"/>
      <c r="S208" s="647">
        <f t="shared" si="510"/>
        <v>0</v>
      </c>
      <c r="T208" s="290"/>
      <c r="U208" s="260"/>
      <c r="V208" s="260"/>
      <c r="W208" s="291"/>
      <c r="X208" s="647">
        <f t="shared" si="512"/>
        <v>0</v>
      </c>
      <c r="Y208" s="290"/>
      <c r="Z208" s="260"/>
      <c r="AA208" s="1441"/>
      <c r="AB208" s="1442"/>
      <c r="AC208" s="1466">
        <f t="shared" si="514"/>
        <v>0</v>
      </c>
      <c r="AD208" s="290"/>
      <c r="AE208" s="260"/>
      <c r="AF208" s="1441"/>
      <c r="AG208" s="1442"/>
      <c r="AH208" s="1466">
        <f t="shared" si="516"/>
        <v>0</v>
      </c>
      <c r="AI208" s="290"/>
      <c r="AJ208" s="260"/>
      <c r="AK208" s="1441"/>
      <c r="AL208" s="1442"/>
      <c r="AM208" s="1466">
        <f t="shared" si="518"/>
        <v>0</v>
      </c>
      <c r="AN208" s="290"/>
      <c r="AO208" s="260"/>
      <c r="AP208" s="1441"/>
      <c r="AQ208" s="1442"/>
      <c r="AR208" s="1466">
        <f t="shared" si="545"/>
        <v>0</v>
      </c>
      <c r="AS208" s="290"/>
      <c r="AT208" s="260"/>
      <c r="AU208" s="260"/>
      <c r="AV208" s="1442"/>
      <c r="AW208" s="1466">
        <f t="shared" si="547"/>
        <v>0</v>
      </c>
      <c r="AX208" s="290"/>
      <c r="AY208" s="260"/>
      <c r="AZ208" s="260"/>
      <c r="BA208" s="291"/>
      <c r="BB208" s="45"/>
      <c r="BC208" s="290"/>
      <c r="BD208" s="260"/>
      <c r="BE208" s="260"/>
      <c r="BF208" s="291"/>
      <c r="BG208" s="45"/>
      <c r="BH208" s="290"/>
      <c r="BI208" s="260"/>
      <c r="BJ208" s="260"/>
      <c r="BK208" s="291"/>
      <c r="BL208" s="45"/>
      <c r="BM208" s="290"/>
      <c r="BN208" s="260"/>
      <c r="BO208" s="260"/>
      <c r="BP208" s="291"/>
      <c r="BQ208" s="45"/>
      <c r="BR208" s="45"/>
      <c r="BS208" s="45"/>
      <c r="BT208" s="45"/>
      <c r="BU208" s="45"/>
      <c r="BV208" s="45"/>
      <c r="BW208" s="45"/>
      <c r="BX208" s="45"/>
      <c r="BY208" s="45"/>
      <c r="BZ208" s="45"/>
      <c r="CA208" s="45"/>
      <c r="CB208" s="45"/>
      <c r="CC208" s="45"/>
      <c r="CD208" s="45"/>
      <c r="CE208" s="45"/>
      <c r="CF208" s="45"/>
      <c r="CG208" s="228"/>
      <c r="CH208" s="228"/>
      <c r="CI208" s="228"/>
      <c r="CJ208" s="228"/>
      <c r="CK208" s="228"/>
      <c r="CL208" s="228"/>
      <c r="CM208" s="228"/>
      <c r="CN208" s="228"/>
      <c r="CO208" s="228"/>
      <c r="CP208" s="228"/>
      <c r="CQ208" s="228"/>
      <c r="CR208" s="228"/>
      <c r="CS208" s="228"/>
      <c r="CT208" s="228"/>
      <c r="CU208" s="228"/>
      <c r="CV208" s="228"/>
      <c r="CW208" s="228"/>
      <c r="CX208" s="228"/>
      <c r="CY208" s="228"/>
      <c r="CZ208" s="228"/>
      <c r="DA208" s="228"/>
      <c r="DB208" s="228"/>
      <c r="DC208" s="1440"/>
      <c r="DD208" s="1440"/>
      <c r="DE208" s="1440"/>
      <c r="DF208" s="228"/>
      <c r="DG208" s="228"/>
      <c r="DH208" s="1440"/>
      <c r="DI208" s="1440"/>
      <c r="DJ208" s="1440"/>
      <c r="DK208" s="228"/>
      <c r="DL208" s="228"/>
      <c r="DM208" s="1440"/>
      <c r="DN208" s="1440"/>
      <c r="DO208" s="1440"/>
      <c r="DP208" s="228"/>
      <c r="DQ208" s="228"/>
      <c r="DR208" s="1440"/>
      <c r="DS208" s="1440"/>
      <c r="DT208" s="1440"/>
      <c r="DU208" s="228"/>
      <c r="DV208" s="228"/>
      <c r="DW208" s="228"/>
      <c r="DX208" s="1440"/>
      <c r="DY208" s="1440"/>
    </row>
    <row r="209" spans="1:129" ht="12.75" customHeight="1">
      <c r="A209" s="45"/>
      <c r="B209" s="45"/>
      <c r="C209" s="389" t="s">
        <v>154</v>
      </c>
      <c r="D209" s="45"/>
      <c r="E209" s="292">
        <f>+E195+E200+E207</f>
        <v>2.2999999999999661</v>
      </c>
      <c r="F209" s="261">
        <f>+F195+F200+F207</f>
        <v>-8.3999999999999631</v>
      </c>
      <c r="G209" s="261">
        <f>+G195+G200+G207</f>
        <v>4.6000000000000085</v>
      </c>
      <c r="H209" s="293">
        <f>+H195+H200+H207</f>
        <v>4.3999999999999773</v>
      </c>
      <c r="I209" s="583">
        <f t="shared" si="506"/>
        <v>2.8999999999999204</v>
      </c>
      <c r="J209" s="292">
        <f>+J195+J200+J207</f>
        <v>296.89999999999992</v>
      </c>
      <c r="K209" s="261">
        <f>+K195+K200+K207</f>
        <v>-50.3</v>
      </c>
      <c r="L209" s="261">
        <f>+L195+L200+L207</f>
        <v>-9.7000000000000242</v>
      </c>
      <c r="M209" s="293">
        <f>+M195+M200+M207</f>
        <v>-200.50000000000006</v>
      </c>
      <c r="N209" s="583">
        <f t="shared" si="508"/>
        <v>36.39999999999992</v>
      </c>
      <c r="O209" s="292">
        <f>+O195+O200+O207</f>
        <v>100.4</v>
      </c>
      <c r="P209" s="261">
        <f>+P195+P200+P207</f>
        <v>-29.799999999999983</v>
      </c>
      <c r="Q209" s="261">
        <f>+Q195+Q200+Q207</f>
        <v>-69.30000000000004</v>
      </c>
      <c r="R209" s="293">
        <f>+R195+R200+R207</f>
        <v>-2.6999999999999318</v>
      </c>
      <c r="S209" s="583">
        <f t="shared" si="510"/>
        <v>-1.3999999999998494</v>
      </c>
      <c r="T209" s="292">
        <f t="shared" ref="T209" si="569">+T195+T200+T207</f>
        <v>108</v>
      </c>
      <c r="U209" s="261">
        <f>+U195+U200+U207</f>
        <v>-104</v>
      </c>
      <c r="V209" s="261">
        <f>+V195+V200+V207</f>
        <v>68</v>
      </c>
      <c r="W209" s="293">
        <f>+W195+W200+W207</f>
        <v>-32</v>
      </c>
      <c r="X209" s="583">
        <f t="shared" si="512"/>
        <v>40</v>
      </c>
      <c r="Y209" s="292">
        <f>+Y195+Y200+Y207</f>
        <v>26</v>
      </c>
      <c r="Z209" s="261">
        <f>+Z195+Z200+Z207</f>
        <v>342</v>
      </c>
      <c r="AA209" s="1438">
        <f>+AA195+AA200+AA207</f>
        <v>-450</v>
      </c>
      <c r="AB209" s="1439">
        <f>+AB195+AB200+AB207</f>
        <v>24</v>
      </c>
      <c r="AC209" s="1464">
        <f t="shared" si="514"/>
        <v>-58</v>
      </c>
      <c r="AD209" s="292">
        <f>+AD195+AD200+AD207</f>
        <v>-8</v>
      </c>
      <c r="AE209" s="261">
        <f>+AE195+AE200+AE207</f>
        <v>-8</v>
      </c>
      <c r="AF209" s="1438">
        <f>+AF195+AF200+AF207</f>
        <v>12</v>
      </c>
      <c r="AG209" s="1439">
        <f>+AG195+AG200+AG207</f>
        <v>37</v>
      </c>
      <c r="AH209" s="1464">
        <f t="shared" si="516"/>
        <v>33</v>
      </c>
      <c r="AI209" s="292">
        <f>+AI195+AI200+AI207</f>
        <v>-23</v>
      </c>
      <c r="AJ209" s="261">
        <f>+AJ195+AJ200+AJ207</f>
        <v>-17</v>
      </c>
      <c r="AK209" s="1438">
        <f>+AK195+AK200+AK207</f>
        <v>3</v>
      </c>
      <c r="AL209" s="1439">
        <f>+AL195+AL200+AL207</f>
        <v>-18</v>
      </c>
      <c r="AM209" s="1464">
        <f t="shared" si="518"/>
        <v>-55</v>
      </c>
      <c r="AN209" s="292">
        <f>+AN195+AN200+AN207</f>
        <v>-4</v>
      </c>
      <c r="AO209" s="261">
        <f>+AO195+AO200+AO207</f>
        <v>0</v>
      </c>
      <c r="AP209" s="1438">
        <f>+AP195+AP200+AP207</f>
        <v>336</v>
      </c>
      <c r="AQ209" s="1439">
        <f>+AQ195+AQ200+AQ207</f>
        <v>-318</v>
      </c>
      <c r="AR209" s="1464">
        <f t="shared" si="545"/>
        <v>14</v>
      </c>
      <c r="AS209" s="292">
        <f>+AS195+AS200+AS207</f>
        <v>-12</v>
      </c>
      <c r="AT209" s="261">
        <f>+AT195+AT200+AT207</f>
        <v>1</v>
      </c>
      <c r="AU209" s="261">
        <f t="shared" ref="AU209" si="570">+AU195+AU200+AU207</f>
        <v>17</v>
      </c>
      <c r="AV209" s="1439">
        <f>+AV195+AV200+AV207</f>
        <v>-12</v>
      </c>
      <c r="AW209" s="1464">
        <f t="shared" si="547"/>
        <v>-6</v>
      </c>
      <c r="AX209" s="292">
        <f t="shared" ref="AX209:BB209" ca="1" si="571">+AX195+AX200+AX207</f>
        <v>-26.264906585281437</v>
      </c>
      <c r="AY209" s="261">
        <f t="shared" ca="1" si="571"/>
        <v>-122.06929841801741</v>
      </c>
      <c r="AZ209" s="261">
        <f t="shared" ca="1" si="571"/>
        <v>301.64923104850209</v>
      </c>
      <c r="BA209" s="293">
        <f t="shared" ca="1" si="571"/>
        <v>-79.563118934147184</v>
      </c>
      <c r="BB209" s="228">
        <f t="shared" ca="1" si="571"/>
        <v>73.751907111055971</v>
      </c>
      <c r="BC209" s="292">
        <f t="shared" ref="BC209:BL209" ca="1" si="572">+BC195+BC200+BC207</f>
        <v>-20.346289612737507</v>
      </c>
      <c r="BD209" s="261">
        <f t="shared" ca="1" si="572"/>
        <v>-115.27015808934124</v>
      </c>
      <c r="BE209" s="261">
        <f t="shared" ca="1" si="572"/>
        <v>185.1042203577212</v>
      </c>
      <c r="BF209" s="293">
        <f t="shared" ca="1" si="572"/>
        <v>-45.419232658250081</v>
      </c>
      <c r="BG209" s="228">
        <f t="shared" ca="1" si="572"/>
        <v>4.0685399973923495</v>
      </c>
      <c r="BH209" s="292">
        <f t="shared" ca="1" si="572"/>
        <v>-2.5432257082952674</v>
      </c>
      <c r="BI209" s="261">
        <f t="shared" ca="1" si="572"/>
        <v>-96.426821360063457</v>
      </c>
      <c r="BJ209" s="261">
        <f t="shared" ca="1" si="572"/>
        <v>135.56194524261238</v>
      </c>
      <c r="BK209" s="293">
        <f t="shared" ca="1" si="572"/>
        <v>-44.639960334879675</v>
      </c>
      <c r="BL209" s="228">
        <f t="shared" ca="1" si="572"/>
        <v>-8.0480621606260456</v>
      </c>
      <c r="BM209" s="292">
        <f t="shared" ref="BM209:BQ209" ca="1" si="573">+BM195+BM200+BM207</f>
        <v>16.456369809061584</v>
      </c>
      <c r="BN209" s="261">
        <f t="shared" ca="1" si="573"/>
        <v>-76.619166316168673</v>
      </c>
      <c r="BO209" s="261">
        <f t="shared" ca="1" si="573"/>
        <v>387.16739447911959</v>
      </c>
      <c r="BP209" s="293">
        <f t="shared" ca="1" si="573"/>
        <v>-315.92561415255375</v>
      </c>
      <c r="BQ209" s="228">
        <f t="shared" ca="1" si="573"/>
        <v>11.078983819458699</v>
      </c>
      <c r="BR209" s="45"/>
      <c r="BS209" s="45"/>
      <c r="BT209" s="45"/>
      <c r="BU209" s="45"/>
      <c r="BV209" s="45"/>
      <c r="BW209" s="45"/>
      <c r="BX209" s="45"/>
      <c r="BY209" s="45"/>
      <c r="BZ209" s="45"/>
      <c r="CA209" s="45"/>
      <c r="CB209" s="45"/>
      <c r="CC209" s="45"/>
      <c r="CD209" s="45"/>
      <c r="CE209" s="45"/>
      <c r="CF209" s="45"/>
      <c r="CG209" s="779">
        <f t="shared" ref="CG209:CV209" si="574">CG195+CG200+CG207</f>
        <v>2.2999999999999661</v>
      </c>
      <c r="CH209" s="228">
        <f t="shared" si="574"/>
        <v>-6.0999999999999943</v>
      </c>
      <c r="CI209" s="228">
        <f t="shared" si="574"/>
        <v>-1.4999999999999858</v>
      </c>
      <c r="CJ209" s="228">
        <f t="shared" si="574"/>
        <v>2.8999999999999204</v>
      </c>
      <c r="CK209" s="228">
        <f t="shared" si="574"/>
        <v>2.8999999999999204</v>
      </c>
      <c r="CL209" s="779">
        <f t="shared" si="574"/>
        <v>296.89999999999992</v>
      </c>
      <c r="CM209" s="228">
        <f t="shared" si="574"/>
        <v>246.59999999999997</v>
      </c>
      <c r="CN209" s="228">
        <f t="shared" si="574"/>
        <v>236.89999999999998</v>
      </c>
      <c r="CO209" s="228">
        <f t="shared" si="574"/>
        <v>36.39999999999992</v>
      </c>
      <c r="CP209" s="228">
        <f t="shared" si="574"/>
        <v>36.39999999999992</v>
      </c>
      <c r="CQ209" s="228">
        <f t="shared" si="574"/>
        <v>100.4</v>
      </c>
      <c r="CR209" s="228">
        <f t="shared" si="574"/>
        <v>70.600000000000023</v>
      </c>
      <c r="CS209" s="228">
        <f t="shared" si="574"/>
        <v>1.2999999999999581</v>
      </c>
      <c r="CT209" s="228">
        <f t="shared" si="574"/>
        <v>-1.3999999999998494</v>
      </c>
      <c r="CU209" s="228">
        <f t="shared" si="574"/>
        <v>-1.3999999999998494</v>
      </c>
      <c r="CV209" s="228">
        <f t="shared" si="574"/>
        <v>108</v>
      </c>
      <c r="CW209" s="228">
        <f t="shared" ref="CW209:DB209" si="575">CW195+CW200+CW207</f>
        <v>4</v>
      </c>
      <c r="CX209" s="228">
        <f t="shared" si="575"/>
        <v>72</v>
      </c>
      <c r="CY209" s="228">
        <f t="shared" si="575"/>
        <v>40</v>
      </c>
      <c r="CZ209" s="228">
        <f t="shared" si="575"/>
        <v>40</v>
      </c>
      <c r="DA209" s="228">
        <f t="shared" si="575"/>
        <v>26</v>
      </c>
      <c r="DB209" s="228">
        <f t="shared" si="575"/>
        <v>368</v>
      </c>
      <c r="DC209" s="1440">
        <f t="shared" ref="DC209:DJ209" si="576">DC195+DC200+DC207</f>
        <v>-82</v>
      </c>
      <c r="DD209" s="1440">
        <f t="shared" si="576"/>
        <v>-58</v>
      </c>
      <c r="DE209" s="1440">
        <f t="shared" si="576"/>
        <v>-58</v>
      </c>
      <c r="DF209" s="228">
        <f t="shared" si="576"/>
        <v>-8</v>
      </c>
      <c r="DG209" s="228">
        <f t="shared" si="576"/>
        <v>-16</v>
      </c>
      <c r="DH209" s="1440">
        <f t="shared" si="576"/>
        <v>-4</v>
      </c>
      <c r="DI209" s="1440">
        <f t="shared" si="576"/>
        <v>33</v>
      </c>
      <c r="DJ209" s="1440">
        <f t="shared" si="576"/>
        <v>33</v>
      </c>
      <c r="DK209" s="228">
        <f t="shared" ref="DK209:DO209" si="577">DK195+DK200+DK207</f>
        <v>-23</v>
      </c>
      <c r="DL209" s="228">
        <f t="shared" si="577"/>
        <v>-40</v>
      </c>
      <c r="DM209" s="1440">
        <f t="shared" si="577"/>
        <v>-37</v>
      </c>
      <c r="DN209" s="1440">
        <f t="shared" si="577"/>
        <v>-55</v>
      </c>
      <c r="DO209" s="1440">
        <f t="shared" si="577"/>
        <v>-55</v>
      </c>
      <c r="DP209" s="228">
        <f t="shared" ref="DP209:DT209" si="578">DP195+DP200+DP207</f>
        <v>-4</v>
      </c>
      <c r="DQ209" s="228">
        <f t="shared" si="578"/>
        <v>-4</v>
      </c>
      <c r="DR209" s="1440">
        <f t="shared" si="578"/>
        <v>332</v>
      </c>
      <c r="DS209" s="1440">
        <f t="shared" si="578"/>
        <v>14</v>
      </c>
      <c r="DT209" s="1440">
        <f t="shared" si="578"/>
        <v>14</v>
      </c>
      <c r="DU209" s="228">
        <f t="shared" ref="DU209:DV209" si="579">DU195+DU200+DU207</f>
        <v>-12</v>
      </c>
      <c r="DV209" s="228">
        <f t="shared" si="579"/>
        <v>-11</v>
      </c>
      <c r="DW209" s="228">
        <f t="shared" ref="DW209:DY209" si="580">DW195+DW200+DW207</f>
        <v>6</v>
      </c>
      <c r="DX209" s="1440">
        <f t="shared" si="580"/>
        <v>-6</v>
      </c>
      <c r="DY209" s="1440">
        <f t="shared" si="580"/>
        <v>-6</v>
      </c>
    </row>
    <row r="210" spans="1:129" ht="12.75" customHeight="1">
      <c r="A210" s="45"/>
      <c r="B210" s="45"/>
      <c r="C210" s="391" t="s">
        <v>155</v>
      </c>
      <c r="D210" s="45"/>
      <c r="E210" s="290">
        <f>CG210</f>
        <v>10.7</v>
      </c>
      <c r="F210" s="260">
        <f>+E212</f>
        <v>12.999999999999964</v>
      </c>
      <c r="G210" s="260">
        <f>+F212</f>
        <v>4.6000000000000014</v>
      </c>
      <c r="H210" s="291">
        <f>+G212</f>
        <v>9.2000000000000099</v>
      </c>
      <c r="I210" s="45">
        <f>+E210</f>
        <v>10.7</v>
      </c>
      <c r="J210" s="290">
        <f>+I212</f>
        <v>13.59999999999992</v>
      </c>
      <c r="K210" s="260">
        <f>+J212</f>
        <v>310.49999999999983</v>
      </c>
      <c r="L210" s="260">
        <f>+K212</f>
        <v>260.19999999999982</v>
      </c>
      <c r="M210" s="291">
        <f>+L212</f>
        <v>250.4999999999998</v>
      </c>
      <c r="N210" s="45">
        <f>+J210</f>
        <v>13.59999999999992</v>
      </c>
      <c r="O210" s="335">
        <v>50</v>
      </c>
      <c r="P210" s="260">
        <f>+O212</f>
        <v>150.4</v>
      </c>
      <c r="Q210" s="260">
        <f>+P212</f>
        <v>120.60000000000002</v>
      </c>
      <c r="R210" s="291">
        <f>+Q212</f>
        <v>51.299999999999983</v>
      </c>
      <c r="S210" s="45">
        <f>+O210</f>
        <v>50</v>
      </c>
      <c r="T210" s="335">
        <v>49</v>
      </c>
      <c r="U210" s="260">
        <f>+T212</f>
        <v>157</v>
      </c>
      <c r="V210" s="260">
        <f>+U212</f>
        <v>53</v>
      </c>
      <c r="W210" s="291">
        <f>+V212</f>
        <v>121</v>
      </c>
      <c r="X210" s="45">
        <f>+T210</f>
        <v>49</v>
      </c>
      <c r="Y210" s="662">
        <f>+X212</f>
        <v>89</v>
      </c>
      <c r="Z210" s="260">
        <f>+Y212</f>
        <v>115</v>
      </c>
      <c r="AA210" s="1441">
        <f>+Z212</f>
        <v>457</v>
      </c>
      <c r="AB210" s="1442">
        <f>+AA212</f>
        <v>7</v>
      </c>
      <c r="AC210" s="1443">
        <f>+Y210</f>
        <v>89</v>
      </c>
      <c r="AD210" s="662">
        <f>+AC212</f>
        <v>31</v>
      </c>
      <c r="AE210" s="260">
        <f>+AD212</f>
        <v>23</v>
      </c>
      <c r="AF210" s="1441">
        <f>+AE212</f>
        <v>15</v>
      </c>
      <c r="AG210" s="1442">
        <f>+AF212</f>
        <v>27</v>
      </c>
      <c r="AH210" s="1443">
        <f>+AD210</f>
        <v>31</v>
      </c>
      <c r="AI210" s="290">
        <f>+AH212</f>
        <v>64</v>
      </c>
      <c r="AJ210" s="260">
        <f>+AI212</f>
        <v>41</v>
      </c>
      <c r="AK210" s="1441">
        <f>+AJ212</f>
        <v>24</v>
      </c>
      <c r="AL210" s="1442">
        <f>+AK212</f>
        <v>27</v>
      </c>
      <c r="AM210" s="1443">
        <f>+AI210</f>
        <v>64</v>
      </c>
      <c r="AN210" s="290">
        <f>+AM212</f>
        <v>9</v>
      </c>
      <c r="AO210" s="260">
        <f>+AN212</f>
        <v>5</v>
      </c>
      <c r="AP210" s="1441">
        <f>+AO212</f>
        <v>5</v>
      </c>
      <c r="AQ210" s="1442">
        <f>+AP212</f>
        <v>341</v>
      </c>
      <c r="AR210" s="1443">
        <f>+AN210</f>
        <v>9</v>
      </c>
      <c r="AS210" s="290">
        <f>+AR212</f>
        <v>23</v>
      </c>
      <c r="AT210" s="260">
        <f>+AS212</f>
        <v>11</v>
      </c>
      <c r="AU210" s="260">
        <f t="shared" ref="AU210" si="581">+AT212</f>
        <v>12</v>
      </c>
      <c r="AV210" s="1442">
        <f>+AU212</f>
        <v>29</v>
      </c>
      <c r="AW210" s="1443">
        <f>+AS210</f>
        <v>23</v>
      </c>
      <c r="AX210" s="290">
        <f>+AW212</f>
        <v>17</v>
      </c>
      <c r="AY210" s="260">
        <f ca="1">+AX212</f>
        <v>0</v>
      </c>
      <c r="AZ210" s="260">
        <f ca="1">+AY212</f>
        <v>0</v>
      </c>
      <c r="BA210" s="291">
        <f ca="1">+AZ212</f>
        <v>93.31502604520324</v>
      </c>
      <c r="BB210" s="45">
        <f>+AW212</f>
        <v>17</v>
      </c>
      <c r="BC210" s="290">
        <f ca="1">+BB212</f>
        <v>13.751907111055971</v>
      </c>
      <c r="BD210" s="260">
        <f ca="1">+BC212</f>
        <v>0</v>
      </c>
      <c r="BE210" s="260">
        <f ca="1">+BD212</f>
        <v>0</v>
      </c>
      <c r="BF210" s="291">
        <f ca="1">+BE212</f>
        <v>63.23967976669843</v>
      </c>
      <c r="BG210" s="45">
        <f ca="1">+BB212</f>
        <v>13.751907111055971</v>
      </c>
      <c r="BH210" s="290">
        <f ca="1">+BG212</f>
        <v>17.82044710844832</v>
      </c>
      <c r="BI210" s="260">
        <f ca="1">+BH212</f>
        <v>15.277221400153053</v>
      </c>
      <c r="BJ210" s="260">
        <f ca="1">+BI212</f>
        <v>0</v>
      </c>
      <c r="BK210" s="291">
        <f ca="1">+BJ212</f>
        <v>54.412345282701978</v>
      </c>
      <c r="BL210" s="45">
        <f ca="1">+BG212</f>
        <v>17.82044710844832</v>
      </c>
      <c r="BM210" s="290">
        <f ca="1">+BL212</f>
        <v>9.7723849478222746</v>
      </c>
      <c r="BN210" s="260">
        <f ca="1">+BM212</f>
        <v>26.228754756883859</v>
      </c>
      <c r="BO210" s="260">
        <f ca="1">+BN212</f>
        <v>0</v>
      </c>
      <c r="BP210" s="291">
        <f ca="1">+BO212</f>
        <v>336.77698291983478</v>
      </c>
      <c r="BQ210" s="45">
        <f ca="1">+BL212</f>
        <v>9.7723849478222746</v>
      </c>
      <c r="BR210" s="45"/>
      <c r="BS210" s="45"/>
      <c r="BT210" s="45"/>
      <c r="BU210" s="45"/>
      <c r="BV210" s="45"/>
      <c r="BW210" s="45"/>
      <c r="BX210" s="45"/>
      <c r="BY210" s="45"/>
      <c r="BZ210" s="45"/>
      <c r="CA210" s="45"/>
      <c r="CB210" s="45"/>
      <c r="CC210" s="45"/>
      <c r="CD210" s="45"/>
      <c r="CE210" s="45"/>
      <c r="CF210" s="45"/>
      <c r="CG210" s="427">
        <v>10.7</v>
      </c>
      <c r="CH210" s="45">
        <f>+CG210</f>
        <v>10.7</v>
      </c>
      <c r="CI210" s="45">
        <f>+CH210</f>
        <v>10.7</v>
      </c>
      <c r="CJ210" s="45">
        <f>CG210</f>
        <v>10.7</v>
      </c>
      <c r="CK210" s="45">
        <f>CG210</f>
        <v>10.7</v>
      </c>
      <c r="CL210" s="45">
        <f>CK212</f>
        <v>13.59999999999992</v>
      </c>
      <c r="CM210" s="45">
        <f>+CL210</f>
        <v>13.59999999999992</v>
      </c>
      <c r="CN210" s="45">
        <f>+CM210</f>
        <v>13.59999999999992</v>
      </c>
      <c r="CO210" s="45">
        <f>CL210</f>
        <v>13.59999999999992</v>
      </c>
      <c r="CP210" s="45">
        <f>CK212</f>
        <v>13.59999999999992</v>
      </c>
      <c r="CQ210" s="45">
        <f>+CP212</f>
        <v>49.999999999999844</v>
      </c>
      <c r="CR210" s="45">
        <f>CQ210</f>
        <v>49.999999999999844</v>
      </c>
      <c r="CS210" s="45">
        <f>CR210</f>
        <v>49.999999999999844</v>
      </c>
      <c r="CT210" s="45">
        <f>CQ210</f>
        <v>49.999999999999844</v>
      </c>
      <c r="CU210" s="45">
        <f>CP212</f>
        <v>49.999999999999844</v>
      </c>
      <c r="CV210" s="45">
        <f>+CU212</f>
        <v>48.599999999999994</v>
      </c>
      <c r="CW210" s="45">
        <f>+CV210</f>
        <v>48.599999999999994</v>
      </c>
      <c r="CX210" s="45">
        <f>CW210</f>
        <v>48.599999999999994</v>
      </c>
      <c r="CY210" s="45">
        <f>CV210</f>
        <v>48.599999999999994</v>
      </c>
      <c r="CZ210" s="45">
        <f>CU212</f>
        <v>48.599999999999994</v>
      </c>
      <c r="DA210" s="45">
        <f>+CZ212</f>
        <v>88.6</v>
      </c>
      <c r="DB210" s="45">
        <f>+DA210</f>
        <v>88.6</v>
      </c>
      <c r="DC210" s="1443">
        <f>DB210</f>
        <v>88.6</v>
      </c>
      <c r="DD210" s="1443">
        <f>DA210</f>
        <v>88.6</v>
      </c>
      <c r="DE210" s="1443">
        <f>CZ212</f>
        <v>88.6</v>
      </c>
      <c r="DF210" s="45">
        <f>+DE212</f>
        <v>30.599999999999994</v>
      </c>
      <c r="DG210" s="45">
        <f>+DF210</f>
        <v>30.599999999999994</v>
      </c>
      <c r="DH210" s="1443">
        <f>DG210</f>
        <v>30.599999999999994</v>
      </c>
      <c r="DI210" s="1443">
        <f>DF210</f>
        <v>30.599999999999994</v>
      </c>
      <c r="DJ210" s="1443">
        <f>DE212</f>
        <v>30.599999999999994</v>
      </c>
      <c r="DK210" s="45">
        <f>+DJ212</f>
        <v>63.599999999999994</v>
      </c>
      <c r="DL210" s="45">
        <f>+DK210</f>
        <v>63.599999999999994</v>
      </c>
      <c r="DM210" s="1443">
        <f>DL210</f>
        <v>63.599999999999994</v>
      </c>
      <c r="DN210" s="1443">
        <f>DK210</f>
        <v>63.599999999999994</v>
      </c>
      <c r="DO210" s="1443">
        <f>DJ212</f>
        <v>63.599999999999994</v>
      </c>
      <c r="DP210" s="45">
        <f>+DO212</f>
        <v>8.5999999999999943</v>
      </c>
      <c r="DQ210" s="45">
        <f>+DP210</f>
        <v>8.5999999999999943</v>
      </c>
      <c r="DR210" s="1443">
        <f>DQ210</f>
        <v>8.5999999999999943</v>
      </c>
      <c r="DS210" s="1443">
        <f>DP210</f>
        <v>8.5999999999999943</v>
      </c>
      <c r="DT210" s="1443">
        <f>DO212</f>
        <v>8.5999999999999943</v>
      </c>
      <c r="DU210" s="45">
        <f>+DT212</f>
        <v>22.599999999999994</v>
      </c>
      <c r="DV210" s="45">
        <f>+DU210</f>
        <v>22.599999999999994</v>
      </c>
      <c r="DW210" s="45">
        <f t="shared" ref="DW210" si="582">+DV210</f>
        <v>22.599999999999994</v>
      </c>
      <c r="DX210" s="1443">
        <f>DU210</f>
        <v>22.599999999999994</v>
      </c>
      <c r="DY210" s="1443">
        <f>DT212</f>
        <v>22.599999999999994</v>
      </c>
    </row>
    <row r="211" spans="1:129">
      <c r="A211" s="45"/>
      <c r="B211" s="45"/>
      <c r="C211" s="391" t="s">
        <v>151</v>
      </c>
      <c r="D211" s="45"/>
      <c r="E211" s="306">
        <v>0</v>
      </c>
      <c r="F211" s="266">
        <v>0</v>
      </c>
      <c r="G211" s="266">
        <v>0</v>
      </c>
      <c r="H211" s="307">
        <v>0</v>
      </c>
      <c r="I211" s="647">
        <f>SUM(E211:H211)</f>
        <v>0</v>
      </c>
      <c r="J211" s="306">
        <v>0</v>
      </c>
      <c r="K211" s="266">
        <v>0</v>
      </c>
      <c r="L211" s="266">
        <v>0</v>
      </c>
      <c r="M211" s="307">
        <v>0</v>
      </c>
      <c r="N211" s="647">
        <f>SUM(J211:M211)</f>
        <v>0</v>
      </c>
      <c r="O211" s="306">
        <v>0</v>
      </c>
      <c r="P211" s="266">
        <v>0</v>
      </c>
      <c r="Q211" s="266">
        <v>0</v>
      </c>
      <c r="R211" s="307">
        <v>0</v>
      </c>
      <c r="S211" s="647">
        <f>SUM(O211:R211)</f>
        <v>0</v>
      </c>
      <c r="T211" s="306">
        <v>0</v>
      </c>
      <c r="U211" s="266">
        <v>0</v>
      </c>
      <c r="V211" s="266">
        <v>0</v>
      </c>
      <c r="W211" s="307">
        <v>0</v>
      </c>
      <c r="X211" s="647">
        <f>SUM(T211:W211)</f>
        <v>0</v>
      </c>
      <c r="Y211" s="306">
        <v>0</v>
      </c>
      <c r="Z211" s="266">
        <v>0</v>
      </c>
      <c r="AA211" s="1444">
        <v>0</v>
      </c>
      <c r="AB211" s="1445">
        <v>0</v>
      </c>
      <c r="AC211" s="1466">
        <f>SUM(Y211:AB211)</f>
        <v>0</v>
      </c>
      <c r="AD211" s="306">
        <v>0</v>
      </c>
      <c r="AE211" s="266">
        <v>0</v>
      </c>
      <c r="AF211" s="1444">
        <v>0</v>
      </c>
      <c r="AG211" s="1445">
        <v>0</v>
      </c>
      <c r="AH211" s="1466">
        <f>SUM(AD211:AG211)</f>
        <v>0</v>
      </c>
      <c r="AI211" s="306">
        <v>0</v>
      </c>
      <c r="AJ211" s="266">
        <v>0</v>
      </c>
      <c r="AK211" s="1444">
        <v>0</v>
      </c>
      <c r="AL211" s="1445">
        <v>0</v>
      </c>
      <c r="AM211" s="1466">
        <f>SUM(AI211:AL211)</f>
        <v>0</v>
      </c>
      <c r="AN211" s="306">
        <v>0</v>
      </c>
      <c r="AO211" s="266">
        <v>0</v>
      </c>
      <c r="AP211" s="1444">
        <v>0</v>
      </c>
      <c r="AQ211" s="1445">
        <v>0</v>
      </c>
      <c r="AR211" s="1466">
        <f>SUM(AN211:AQ211)</f>
        <v>0</v>
      </c>
      <c r="AS211" s="306">
        <v>0</v>
      </c>
      <c r="AT211" s="266">
        <v>0</v>
      </c>
      <c r="AU211" s="266">
        <v>0</v>
      </c>
      <c r="AV211" s="1445">
        <v>0</v>
      </c>
      <c r="AW211" s="1466">
        <f>SUM(AS211:AV211)</f>
        <v>0</v>
      </c>
      <c r="AX211" s="290">
        <f ca="1">IF((AX209+AX210)&gt;=AW218,-AW218,-(AX209+AX210))</f>
        <v>9.2649065852814374</v>
      </c>
      <c r="AY211" s="260">
        <f ca="1">IF((AY209+AY210)&gt;=AX218,-AX218,-(AY209+AY210))</f>
        <v>122.06929841801741</v>
      </c>
      <c r="AZ211" s="260">
        <f ca="1">IF((AZ209+AZ210)&gt;=AY218,-AY218,-(AZ209+AZ210))</f>
        <v>-208.33420500329885</v>
      </c>
      <c r="BA211" s="291">
        <f ca="1">IF((BA209+BA210)&gt;=AZ218,-AZ218,-(BA209+BA210))</f>
        <v>0</v>
      </c>
      <c r="BB211" s="45">
        <f ca="1">SUM(AX211:BA211)</f>
        <v>-77</v>
      </c>
      <c r="BC211" s="290">
        <f ca="1">IF((BC209+BC210)&gt;=BB218,-BB218,-(BC209+BC210))</f>
        <v>6.5943825016815367</v>
      </c>
      <c r="BD211" s="260">
        <f ca="1">IF((BD209+BD210)&gt;=BC218,-BC218,-(BD209+BD210))</f>
        <v>115.27015808934124</v>
      </c>
      <c r="BE211" s="260">
        <f ca="1">IF((BE209+BE210)&gt;=BD218,-BD218,-(BE209+BE210))</f>
        <v>-121.86454059102277</v>
      </c>
      <c r="BF211" s="291">
        <f ca="1">IF((BF209+BF210)&gt;=BE218,-BE218,-(BF209+BF210))</f>
        <v>0</v>
      </c>
      <c r="BG211" s="45">
        <f ca="1">SUM(BC211:BF211)</f>
        <v>0</v>
      </c>
      <c r="BH211" s="290">
        <f ca="1">IF((BH209+BH210)&gt;=BG218,-BG218,-(BH209+BH210))</f>
        <v>0</v>
      </c>
      <c r="BI211" s="260">
        <f ca="1">IF((BI209+BI210)&gt;=BH218,-BH218,-(BI209+BI210))</f>
        <v>81.149599959910404</v>
      </c>
      <c r="BJ211" s="260">
        <f ca="1">IF((BJ209+BJ210)&gt;=BI218,-BI218,-(BJ209+BJ210))</f>
        <v>-81.149599959910404</v>
      </c>
      <c r="BK211" s="291">
        <f ca="1">IF((BK209+BK210)&gt;=BJ218,-BJ218,-(BK209+BK210))</f>
        <v>0</v>
      </c>
      <c r="BL211" s="45">
        <f ca="1">SUM(BH211:BK211)</f>
        <v>0</v>
      </c>
      <c r="BM211" s="290">
        <f ca="1">IF((BM209+BM210)&gt;=BL218,-BL218,-(BM209+BM210))</f>
        <v>0</v>
      </c>
      <c r="BN211" s="260">
        <f ca="1">IF((BN209+BN210)&gt;=BM218,-BM218,-(BN209+BN210))</f>
        <v>50.390411559284814</v>
      </c>
      <c r="BO211" s="260">
        <f ca="1">IF((BO209+BO210)&gt;=BN218,-BN218,-(BO209+BO210))</f>
        <v>-50.390411559284814</v>
      </c>
      <c r="BP211" s="291">
        <f ca="1">IF((BP209+BP210)&gt;=BO218,-BO218,-(BP209+BP210))</f>
        <v>0</v>
      </c>
      <c r="BQ211" s="45">
        <f ca="1">SUM(BM211:BP211)</f>
        <v>0</v>
      </c>
      <c r="BR211" s="45"/>
      <c r="BS211" s="45"/>
      <c r="BT211" s="45"/>
      <c r="BU211" s="45"/>
      <c r="BV211" s="45"/>
      <c r="BW211" s="45"/>
      <c r="BX211" s="45"/>
      <c r="BY211" s="45"/>
      <c r="BZ211" s="45"/>
      <c r="CA211" s="45"/>
      <c r="CB211" s="45"/>
      <c r="CC211" s="45"/>
      <c r="CD211" s="45"/>
      <c r="CE211" s="45"/>
      <c r="CF211" s="45"/>
      <c r="CG211" s="45"/>
      <c r="CH211" s="45"/>
      <c r="CI211" s="45"/>
      <c r="CJ211" s="45"/>
      <c r="CK211" s="45"/>
      <c r="CL211" s="45"/>
      <c r="CM211" s="45"/>
      <c r="CN211" s="45"/>
      <c r="CO211" s="45"/>
      <c r="CP211" s="45"/>
      <c r="CQ211" s="45"/>
      <c r="CR211" s="45"/>
      <c r="CS211" s="45"/>
      <c r="CT211" s="45"/>
      <c r="CU211" s="45"/>
      <c r="CV211" s="45"/>
      <c r="CW211" s="45"/>
      <c r="CX211" s="45"/>
      <c r="CY211" s="45"/>
      <c r="CZ211" s="45"/>
      <c r="DA211" s="45"/>
      <c r="DB211" s="45"/>
      <c r="DC211" s="1443"/>
      <c r="DD211" s="1443"/>
      <c r="DE211" s="1443"/>
      <c r="DF211" s="45"/>
      <c r="DG211" s="45"/>
      <c r="DH211" s="1443"/>
      <c r="DI211" s="1443"/>
      <c r="DJ211" s="1443"/>
      <c r="DK211" s="45"/>
      <c r="DL211" s="45"/>
      <c r="DM211" s="1443"/>
      <c r="DN211" s="1443"/>
      <c r="DO211" s="1443"/>
      <c r="DP211" s="45"/>
      <c r="DQ211" s="45"/>
      <c r="DR211" s="1443"/>
      <c r="DS211" s="1443"/>
      <c r="DT211" s="1443"/>
      <c r="DU211" s="45"/>
      <c r="DV211" s="45"/>
      <c r="DW211" s="45"/>
      <c r="DX211" s="1443"/>
      <c r="DY211" s="1443"/>
    </row>
    <row r="212" spans="1:129" ht="12.75" customHeight="1">
      <c r="A212" s="45"/>
      <c r="B212" s="45"/>
      <c r="C212" s="389" t="s">
        <v>221</v>
      </c>
      <c r="D212" s="45"/>
      <c r="E212" s="292">
        <f>E211+E210+E209</f>
        <v>12.999999999999964</v>
      </c>
      <c r="F212" s="261">
        <f>F211+F210+F209</f>
        <v>4.6000000000000014</v>
      </c>
      <c r="G212" s="261">
        <f>G211+G210+G209</f>
        <v>9.2000000000000099</v>
      </c>
      <c r="H212" s="293">
        <f>H211+H210+H209</f>
        <v>13.599999999999987</v>
      </c>
      <c r="I212" s="583">
        <f>I211+I210+I209</f>
        <v>13.59999999999992</v>
      </c>
      <c r="J212" s="292">
        <f t="shared" ref="J212:AD212" si="583">J211+J210+J209</f>
        <v>310.49999999999983</v>
      </c>
      <c r="K212" s="261">
        <f t="shared" si="583"/>
        <v>260.19999999999982</v>
      </c>
      <c r="L212" s="261">
        <f t="shared" si="583"/>
        <v>250.4999999999998</v>
      </c>
      <c r="M212" s="293">
        <f t="shared" si="583"/>
        <v>49.999999999999744</v>
      </c>
      <c r="N212" s="583">
        <f t="shared" si="583"/>
        <v>49.999999999999844</v>
      </c>
      <c r="O212" s="292">
        <f t="shared" si="583"/>
        <v>150.4</v>
      </c>
      <c r="P212" s="261">
        <f t="shared" si="583"/>
        <v>120.60000000000002</v>
      </c>
      <c r="Q212" s="261">
        <f t="shared" si="583"/>
        <v>51.299999999999983</v>
      </c>
      <c r="R212" s="293">
        <f t="shared" si="583"/>
        <v>48.600000000000051</v>
      </c>
      <c r="S212" s="583">
        <f t="shared" si="583"/>
        <v>48.600000000000151</v>
      </c>
      <c r="T212" s="292">
        <f t="shared" si="583"/>
        <v>157</v>
      </c>
      <c r="U212" s="261">
        <f>U211+U210+U209</f>
        <v>53</v>
      </c>
      <c r="V212" s="261">
        <f>V211+V210+V209</f>
        <v>121</v>
      </c>
      <c r="W212" s="293">
        <f>W211+W210+W209</f>
        <v>89</v>
      </c>
      <c r="X212" s="583">
        <f>X211+X210+X209</f>
        <v>89</v>
      </c>
      <c r="Y212" s="292">
        <f t="shared" si="583"/>
        <v>115</v>
      </c>
      <c r="Z212" s="261">
        <f>Z211+Z210+Z209</f>
        <v>457</v>
      </c>
      <c r="AA212" s="1438">
        <f>AA211+AA210+AA209</f>
        <v>7</v>
      </c>
      <c r="AB212" s="1439">
        <f>AB211+AB210+AB209</f>
        <v>31</v>
      </c>
      <c r="AC212" s="1464">
        <f>AC211+AC210+AC209</f>
        <v>31</v>
      </c>
      <c r="AD212" s="292">
        <f t="shared" si="583"/>
        <v>23</v>
      </c>
      <c r="AE212" s="261">
        <f>AE211+AE210+AE209</f>
        <v>15</v>
      </c>
      <c r="AF212" s="1438">
        <f>AF211+AF210+AF209</f>
        <v>27</v>
      </c>
      <c r="AG212" s="1439">
        <f>AG211+AG210+AG209</f>
        <v>64</v>
      </c>
      <c r="AH212" s="1464">
        <f>AH211+AH210+AH209</f>
        <v>64</v>
      </c>
      <c r="AI212" s="292">
        <f t="shared" ref="AI212" si="584">AI211+AI210+AI209</f>
        <v>41</v>
      </c>
      <c r="AJ212" s="261">
        <f>AJ211+AJ210+AJ209</f>
        <v>24</v>
      </c>
      <c r="AK212" s="1438">
        <f>AK211+AK210+AK209</f>
        <v>27</v>
      </c>
      <c r="AL212" s="1439">
        <f>AL211+AL210+AL209</f>
        <v>9</v>
      </c>
      <c r="AM212" s="1464">
        <f>AM211+AM210+AM209</f>
        <v>9</v>
      </c>
      <c r="AN212" s="292">
        <f t="shared" ref="AN212" si="585">AN211+AN210+AN209</f>
        <v>5</v>
      </c>
      <c r="AO212" s="261">
        <f>AO211+AO210+AO209</f>
        <v>5</v>
      </c>
      <c r="AP212" s="1438">
        <f>AP211+AP210+AP209</f>
        <v>341</v>
      </c>
      <c r="AQ212" s="1439">
        <f>AQ211+AQ210+AQ209</f>
        <v>23</v>
      </c>
      <c r="AR212" s="1464">
        <f>AR211+AR210+AR209</f>
        <v>23</v>
      </c>
      <c r="AS212" s="292">
        <f t="shared" ref="AS212" si="586">AS211+AS210+AS209</f>
        <v>11</v>
      </c>
      <c r="AT212" s="261">
        <f>AT211+AT210+AT209</f>
        <v>12</v>
      </c>
      <c r="AU212" s="261">
        <f t="shared" ref="AU212" si="587">AU211+AU210+AU209</f>
        <v>29</v>
      </c>
      <c r="AV212" s="1439">
        <f>AV211+AV210+AV209</f>
        <v>17</v>
      </c>
      <c r="AW212" s="1464">
        <f>AW211+AW210+AW209</f>
        <v>17</v>
      </c>
      <c r="AX212" s="292">
        <f t="shared" ref="AX212:BB212" ca="1" si="588">AX211+AX210+AX209</f>
        <v>0</v>
      </c>
      <c r="AY212" s="261">
        <f t="shared" ca="1" si="588"/>
        <v>0</v>
      </c>
      <c r="AZ212" s="261">
        <f t="shared" ca="1" si="588"/>
        <v>93.31502604520324</v>
      </c>
      <c r="BA212" s="293">
        <f t="shared" ca="1" si="588"/>
        <v>13.751907111056056</v>
      </c>
      <c r="BB212" s="228">
        <f t="shared" ca="1" si="588"/>
        <v>13.751907111055971</v>
      </c>
      <c r="BC212" s="292">
        <f t="shared" ref="BC212:BL212" ca="1" si="589">BC211+BC210+BC209</f>
        <v>0</v>
      </c>
      <c r="BD212" s="261">
        <f t="shared" ca="1" si="589"/>
        <v>0</v>
      </c>
      <c r="BE212" s="261">
        <f t="shared" ca="1" si="589"/>
        <v>63.23967976669843</v>
      </c>
      <c r="BF212" s="293">
        <f t="shared" ca="1" si="589"/>
        <v>17.820447108448349</v>
      </c>
      <c r="BG212" s="228">
        <f t="shared" ca="1" si="589"/>
        <v>17.82044710844832</v>
      </c>
      <c r="BH212" s="292">
        <f t="shared" ca="1" si="589"/>
        <v>15.277221400153053</v>
      </c>
      <c r="BI212" s="261">
        <f t="shared" ca="1" si="589"/>
        <v>0</v>
      </c>
      <c r="BJ212" s="261">
        <f t="shared" ca="1" si="589"/>
        <v>54.412345282701978</v>
      </c>
      <c r="BK212" s="293">
        <f t="shared" ca="1" si="589"/>
        <v>9.772384947822303</v>
      </c>
      <c r="BL212" s="228">
        <f t="shared" ca="1" si="589"/>
        <v>9.7723849478222746</v>
      </c>
      <c r="BM212" s="292">
        <f t="shared" ref="BM212:BQ212" ca="1" si="590">BM211+BM210+BM209</f>
        <v>26.228754756883859</v>
      </c>
      <c r="BN212" s="261">
        <f t="shared" ca="1" si="590"/>
        <v>0</v>
      </c>
      <c r="BO212" s="261">
        <f t="shared" ca="1" si="590"/>
        <v>336.77698291983478</v>
      </c>
      <c r="BP212" s="293">
        <f t="shared" ca="1" si="590"/>
        <v>20.851368767281031</v>
      </c>
      <c r="BQ212" s="228">
        <f t="shared" ca="1" si="590"/>
        <v>20.851368767280974</v>
      </c>
      <c r="BR212" s="45"/>
      <c r="BS212" s="45"/>
      <c r="BT212" s="45"/>
      <c r="BU212" s="45"/>
      <c r="BV212" s="45"/>
      <c r="BW212" s="45"/>
      <c r="BX212" s="45"/>
      <c r="BY212" s="45"/>
      <c r="BZ212" s="45"/>
      <c r="CA212" s="45"/>
      <c r="CB212" s="45"/>
      <c r="CC212" s="45"/>
      <c r="CD212" s="45"/>
      <c r="CE212" s="45"/>
      <c r="CF212" s="45"/>
      <c r="CG212" s="779">
        <f t="shared" ref="CG212:CV212" si="591">CG209+CG210</f>
        <v>12.999999999999964</v>
      </c>
      <c r="CH212" s="228">
        <f t="shared" si="591"/>
        <v>4.600000000000005</v>
      </c>
      <c r="CI212" s="228">
        <f t="shared" si="591"/>
        <v>9.2000000000000135</v>
      </c>
      <c r="CJ212" s="228">
        <f>CJ209+CJ210</f>
        <v>13.59999999999992</v>
      </c>
      <c r="CK212" s="228">
        <f t="shared" si="591"/>
        <v>13.59999999999992</v>
      </c>
      <c r="CL212" s="779">
        <f>CL209+CL210</f>
        <v>310.49999999999983</v>
      </c>
      <c r="CM212" s="228">
        <f>CM209+CM210</f>
        <v>260.19999999999987</v>
      </c>
      <c r="CN212" s="228">
        <f>CN209+CN210</f>
        <v>250.49999999999989</v>
      </c>
      <c r="CO212" s="228">
        <f>CO209+CO210</f>
        <v>49.999999999999844</v>
      </c>
      <c r="CP212" s="228">
        <f t="shared" si="591"/>
        <v>49.999999999999844</v>
      </c>
      <c r="CQ212" s="228">
        <f t="shared" si="591"/>
        <v>150.39999999999986</v>
      </c>
      <c r="CR212" s="228">
        <f>CR209+CR210</f>
        <v>120.59999999999987</v>
      </c>
      <c r="CS212" s="228">
        <f>CS209+CS210</f>
        <v>51.299999999999798</v>
      </c>
      <c r="CT212" s="228">
        <f>CT209+CT210</f>
        <v>48.599999999999994</v>
      </c>
      <c r="CU212" s="228">
        <f t="shared" si="591"/>
        <v>48.599999999999994</v>
      </c>
      <c r="CV212" s="228">
        <f t="shared" si="591"/>
        <v>156.6</v>
      </c>
      <c r="CW212" s="228">
        <f t="shared" ref="CW212:DB212" si="592">CW209+CW210</f>
        <v>52.599999999999994</v>
      </c>
      <c r="CX212" s="228">
        <f t="shared" si="592"/>
        <v>120.6</v>
      </c>
      <c r="CY212" s="228">
        <f t="shared" si="592"/>
        <v>88.6</v>
      </c>
      <c r="CZ212" s="228">
        <f t="shared" si="592"/>
        <v>88.6</v>
      </c>
      <c r="DA212" s="228">
        <f t="shared" si="592"/>
        <v>114.6</v>
      </c>
      <c r="DB212" s="228">
        <f t="shared" si="592"/>
        <v>456.6</v>
      </c>
      <c r="DC212" s="1440">
        <f t="shared" ref="DC212:DJ212" si="593">DC209+DC210</f>
        <v>6.5999999999999943</v>
      </c>
      <c r="DD212" s="1440">
        <f t="shared" si="593"/>
        <v>30.599999999999994</v>
      </c>
      <c r="DE212" s="1440">
        <f t="shared" si="593"/>
        <v>30.599999999999994</v>
      </c>
      <c r="DF212" s="228">
        <f t="shared" si="593"/>
        <v>22.599999999999994</v>
      </c>
      <c r="DG212" s="228">
        <f t="shared" si="593"/>
        <v>14.599999999999994</v>
      </c>
      <c r="DH212" s="1440">
        <f t="shared" si="593"/>
        <v>26.599999999999994</v>
      </c>
      <c r="DI212" s="1440">
        <f t="shared" si="593"/>
        <v>63.599999999999994</v>
      </c>
      <c r="DJ212" s="1440">
        <f t="shared" si="593"/>
        <v>63.599999999999994</v>
      </c>
      <c r="DK212" s="228">
        <f t="shared" ref="DK212:DO212" si="594">DK209+DK210</f>
        <v>40.599999999999994</v>
      </c>
      <c r="DL212" s="228">
        <f t="shared" si="594"/>
        <v>23.599999999999994</v>
      </c>
      <c r="DM212" s="1440">
        <f t="shared" si="594"/>
        <v>26.599999999999994</v>
      </c>
      <c r="DN212" s="1440">
        <f t="shared" si="594"/>
        <v>8.5999999999999943</v>
      </c>
      <c r="DO212" s="1440">
        <f t="shared" si="594"/>
        <v>8.5999999999999943</v>
      </c>
      <c r="DP212" s="228">
        <f t="shared" ref="DP212:DT212" si="595">DP209+DP210</f>
        <v>4.5999999999999943</v>
      </c>
      <c r="DQ212" s="228">
        <f t="shared" si="595"/>
        <v>4.5999999999999943</v>
      </c>
      <c r="DR212" s="1440">
        <f t="shared" si="595"/>
        <v>340.6</v>
      </c>
      <c r="DS212" s="1440">
        <f t="shared" si="595"/>
        <v>22.599999999999994</v>
      </c>
      <c r="DT212" s="1440">
        <f t="shared" si="595"/>
        <v>22.599999999999994</v>
      </c>
      <c r="DU212" s="228">
        <f t="shared" ref="DU212:DV212" si="596">DU209+DU210</f>
        <v>10.599999999999994</v>
      </c>
      <c r="DV212" s="228">
        <f t="shared" si="596"/>
        <v>11.599999999999994</v>
      </c>
      <c r="DW212" s="228">
        <f t="shared" ref="DW212:DY212" si="597">DW209+DW210</f>
        <v>28.599999999999994</v>
      </c>
      <c r="DX212" s="1440">
        <f t="shared" si="597"/>
        <v>16.599999999999994</v>
      </c>
      <c r="DY212" s="1440">
        <f t="shared" si="597"/>
        <v>16.599999999999994</v>
      </c>
    </row>
    <row r="213" spans="1:129">
      <c r="A213" s="383"/>
      <c r="B213" s="383"/>
      <c r="C213" s="383"/>
      <c r="D213" s="383"/>
      <c r="E213" s="595"/>
      <c r="F213" s="460"/>
      <c r="G213" s="460"/>
      <c r="H213" s="596"/>
      <c r="I213" s="461"/>
      <c r="J213" s="595"/>
      <c r="K213" s="460"/>
      <c r="L213" s="460"/>
      <c r="M213" s="596"/>
      <c r="N213" s="461"/>
      <c r="O213" s="595"/>
      <c r="P213" s="460"/>
      <c r="Q213" s="614"/>
      <c r="R213" s="615"/>
      <c r="S213" s="383"/>
      <c r="T213" s="613"/>
      <c r="U213" s="614"/>
      <c r="V213" s="614"/>
      <c r="W213" s="615"/>
      <c r="X213" s="383"/>
      <c r="Y213" s="613"/>
      <c r="Z213" s="614"/>
      <c r="AA213" s="614"/>
      <c r="AB213" s="615"/>
      <c r="AC213" s="383"/>
      <c r="AD213" s="613"/>
      <c r="AE213" s="614"/>
      <c r="AF213" s="614"/>
      <c r="AG213" s="615"/>
      <c r="AH213" s="383"/>
      <c r="AI213" s="613"/>
      <c r="AJ213" s="614"/>
      <c r="AK213" s="614"/>
      <c r="AL213" s="615"/>
      <c r="AM213" s="383"/>
      <c r="AN213" s="613"/>
      <c r="AO213" s="614"/>
      <c r="AP213" s="614"/>
      <c r="AQ213" s="615"/>
      <c r="AR213" s="383"/>
      <c r="AS213" s="613"/>
      <c r="AT213" s="614"/>
      <c r="AU213" s="614"/>
      <c r="AV213" s="615"/>
      <c r="AW213" s="383"/>
      <c r="AX213" s="613"/>
      <c r="AY213" s="614"/>
      <c r="AZ213" s="614"/>
      <c r="BA213" s="615"/>
      <c r="BB213" s="383"/>
      <c r="BC213" s="613"/>
      <c r="BD213" s="614"/>
      <c r="BE213" s="614"/>
      <c r="BF213" s="615"/>
      <c r="BG213" s="383"/>
      <c r="BH213" s="613"/>
      <c r="BI213" s="614"/>
      <c r="BJ213" s="614"/>
      <c r="BK213" s="615"/>
      <c r="BL213" s="383"/>
      <c r="BM213" s="613"/>
      <c r="BN213" s="614"/>
      <c r="BO213" s="614"/>
      <c r="BP213" s="615"/>
      <c r="BQ213" s="383"/>
      <c r="BR213" s="383"/>
      <c r="BS213" s="383"/>
      <c r="BT213" s="383"/>
      <c r="BU213" s="383"/>
      <c r="BV213" s="383"/>
      <c r="BW213" s="383"/>
      <c r="BX213" s="383"/>
      <c r="BY213" s="383"/>
      <c r="BZ213" s="383"/>
      <c r="CA213" s="383"/>
      <c r="CB213" s="383"/>
      <c r="CC213" s="383"/>
      <c r="CD213" s="383"/>
      <c r="CE213" s="383"/>
      <c r="CF213" s="383"/>
      <c r="CG213" s="383"/>
      <c r="CH213" s="383"/>
      <c r="CI213" s="383"/>
      <c r="CJ213" s="383"/>
      <c r="CK213" s="809"/>
      <c r="CL213" s="809"/>
      <c r="CM213" s="809"/>
      <c r="CN213" s="809"/>
      <c r="CO213" s="809"/>
      <c r="CP213" s="809"/>
      <c r="CQ213" s="809"/>
      <c r="CR213" s="809"/>
      <c r="CS213" s="809"/>
      <c r="CT213" s="809"/>
      <c r="CU213" s="809"/>
      <c r="CV213" s="810"/>
    </row>
    <row r="214" spans="1:129">
      <c r="A214" s="383"/>
      <c r="B214" s="383"/>
      <c r="C214" s="383"/>
      <c r="D214" s="383"/>
      <c r="E214" s="595"/>
      <c r="F214" s="460"/>
      <c r="G214" s="460"/>
      <c r="H214" s="596"/>
      <c r="I214" s="461"/>
      <c r="J214" s="595"/>
      <c r="K214" s="460"/>
      <c r="L214" s="460"/>
      <c r="M214" s="596"/>
      <c r="N214" s="461"/>
      <c r="O214" s="595"/>
      <c r="P214" s="460"/>
      <c r="Q214" s="460"/>
      <c r="R214" s="596"/>
      <c r="S214" s="461"/>
      <c r="T214" s="595"/>
      <c r="U214" s="460"/>
      <c r="V214" s="614"/>
      <c r="W214" s="615"/>
      <c r="X214" s="383"/>
      <c r="Y214" s="613"/>
      <c r="Z214" s="614"/>
      <c r="AA214" s="614"/>
      <c r="AB214" s="615"/>
      <c r="AC214" s="383"/>
      <c r="AD214" s="613"/>
      <c r="AE214" s="614"/>
      <c r="AF214" s="614"/>
      <c r="AG214" s="615"/>
      <c r="AH214" s="383"/>
      <c r="AI214" s="613"/>
      <c r="AJ214" s="614"/>
      <c r="AK214" s="614"/>
      <c r="AL214" s="615"/>
      <c r="AM214" s="383"/>
      <c r="AN214" s="613"/>
      <c r="AO214" s="614"/>
      <c r="AP214" s="614"/>
      <c r="AQ214" s="615"/>
      <c r="AR214" s="383"/>
      <c r="AS214" s="613"/>
      <c r="AT214" s="614"/>
      <c r="AU214" s="614"/>
      <c r="AV214" s="615"/>
      <c r="AW214" s="383"/>
      <c r="AX214" s="613"/>
      <c r="AY214" s="614"/>
      <c r="AZ214" s="614"/>
      <c r="BA214" s="615"/>
      <c r="BB214" s="383"/>
      <c r="BC214" s="613"/>
      <c r="BD214" s="614"/>
      <c r="BE214" s="614"/>
      <c r="BF214" s="615"/>
      <c r="BG214" s="383"/>
      <c r="BH214" s="613"/>
      <c r="BI214" s="614"/>
      <c r="BJ214" s="614"/>
      <c r="BK214" s="615"/>
      <c r="BL214" s="383"/>
      <c r="BM214" s="613"/>
      <c r="BN214" s="614"/>
      <c r="BO214" s="614"/>
      <c r="BP214" s="615"/>
      <c r="BQ214" s="383"/>
      <c r="BR214" s="383"/>
      <c r="BS214" s="383"/>
      <c r="BT214" s="383"/>
      <c r="BU214" s="383"/>
      <c r="BV214" s="383"/>
      <c r="BW214" s="383"/>
      <c r="BX214" s="383"/>
      <c r="BY214" s="383"/>
      <c r="BZ214" s="383"/>
      <c r="CA214" s="383"/>
      <c r="CB214" s="383"/>
      <c r="CC214" s="383"/>
      <c r="CD214" s="383"/>
      <c r="CE214" s="383"/>
      <c r="CF214" s="383"/>
      <c r="CG214" s="383"/>
      <c r="CH214" s="383"/>
      <c r="CI214" s="383"/>
      <c r="CJ214" s="383"/>
      <c r="CK214" s="383"/>
      <c r="CL214" s="383"/>
      <c r="CM214" s="383"/>
      <c r="CN214" s="383"/>
      <c r="CO214" s="383"/>
      <c r="CP214" s="383"/>
      <c r="CQ214" s="383"/>
      <c r="CR214" s="383"/>
      <c r="CS214" s="383"/>
      <c r="CT214" s="383"/>
      <c r="CU214" s="383"/>
    </row>
    <row r="215" spans="1:129">
      <c r="A215" s="383"/>
      <c r="B215" s="379" t="s">
        <v>315</v>
      </c>
      <c r="C215" s="658"/>
      <c r="D215" s="659"/>
      <c r="E215" s="613"/>
      <c r="F215" s="614"/>
      <c r="G215" s="614"/>
      <c r="H215" s="615"/>
      <c r="I215" s="383"/>
      <c r="J215" s="613"/>
      <c r="K215" s="614"/>
      <c r="L215" s="614"/>
      <c r="M215" s="615"/>
      <c r="N215" s="383"/>
      <c r="O215" s="613"/>
      <c r="P215" s="614"/>
      <c r="Q215" s="614"/>
      <c r="R215" s="615"/>
      <c r="S215" s="383"/>
      <c r="T215" s="613"/>
      <c r="U215" s="614"/>
      <c r="V215" s="614"/>
      <c r="W215" s="615"/>
      <c r="X215" s="383"/>
      <c r="Y215" s="613"/>
      <c r="Z215" s="614"/>
      <c r="AA215" s="614"/>
      <c r="AB215" s="615"/>
      <c r="AC215" s="383"/>
      <c r="AD215" s="613"/>
      <c r="AE215" s="614"/>
      <c r="AF215" s="614"/>
      <c r="AG215" s="615"/>
      <c r="AH215" s="383"/>
      <c r="AI215" s="613"/>
      <c r="AJ215" s="614"/>
      <c r="AK215" s="614"/>
      <c r="AL215" s="615"/>
      <c r="AM215" s="383"/>
      <c r="AN215" s="613"/>
      <c r="AO215" s="614"/>
      <c r="AP215" s="614"/>
      <c r="AQ215" s="615"/>
      <c r="AR215" s="383"/>
      <c r="AS215" s="613"/>
      <c r="AT215" s="614"/>
      <c r="AU215" s="614"/>
      <c r="AV215" s="615"/>
      <c r="AW215" s="383"/>
      <c r="AX215" s="613"/>
      <c r="AY215" s="614"/>
      <c r="AZ215" s="614"/>
      <c r="BA215" s="615"/>
      <c r="BB215" s="383"/>
      <c r="BC215" s="613"/>
      <c r="BD215" s="614"/>
      <c r="BE215" s="614"/>
      <c r="BF215" s="615"/>
      <c r="BG215" s="383"/>
      <c r="BH215" s="613"/>
      <c r="BI215" s="614"/>
      <c r="BJ215" s="614"/>
      <c r="BK215" s="615"/>
      <c r="BL215" s="383"/>
      <c r="BM215" s="613"/>
      <c r="BN215" s="614"/>
      <c r="BO215" s="614"/>
      <c r="BP215" s="615"/>
      <c r="BQ215" s="383"/>
      <c r="BR215" s="383"/>
      <c r="BS215" s="383"/>
      <c r="BT215" s="383"/>
      <c r="BU215" s="383"/>
      <c r="BV215" s="383"/>
      <c r="BW215" s="383"/>
      <c r="BX215" s="383"/>
      <c r="BY215" s="383"/>
      <c r="BZ215" s="383"/>
      <c r="CA215" s="383"/>
      <c r="CB215" s="383"/>
      <c r="CC215" s="383"/>
      <c r="CD215" s="383"/>
      <c r="CE215" s="383"/>
      <c r="CF215" s="383"/>
      <c r="CG215" s="383"/>
      <c r="CH215" s="383"/>
      <c r="CI215" s="383"/>
      <c r="CJ215" s="383"/>
      <c r="CK215" s="383"/>
      <c r="CL215" s="383"/>
      <c r="CM215" s="383"/>
      <c r="CN215" s="383"/>
      <c r="CO215" s="383"/>
      <c r="CP215" s="383"/>
      <c r="CQ215" s="383"/>
      <c r="CR215" s="383"/>
      <c r="CS215" s="383"/>
      <c r="CT215" s="383"/>
      <c r="CU215" s="383"/>
    </row>
    <row r="216" spans="1:129">
      <c r="A216" s="45"/>
      <c r="B216" s="45"/>
      <c r="C216" s="391" t="s">
        <v>316</v>
      </c>
      <c r="D216" s="45"/>
      <c r="E216" s="335">
        <v>13</v>
      </c>
      <c r="F216" s="336">
        <v>4.5999999999999996</v>
      </c>
      <c r="G216" s="336">
        <v>9.1999999999999993</v>
      </c>
      <c r="H216" s="299">
        <f>I216</f>
        <v>13.6</v>
      </c>
      <c r="I216" s="645">
        <v>13.6</v>
      </c>
      <c r="J216" s="335">
        <v>310.5</v>
      </c>
      <c r="K216" s="336">
        <v>260.2</v>
      </c>
      <c r="L216" s="336">
        <v>250.5</v>
      </c>
      <c r="M216" s="299">
        <f>N216</f>
        <v>50</v>
      </c>
      <c r="N216" s="645">
        <v>50</v>
      </c>
      <c r="O216" s="335">
        <v>150.4</v>
      </c>
      <c r="P216" s="336">
        <v>120.6</v>
      </c>
      <c r="Q216" s="336">
        <v>51.3</v>
      </c>
      <c r="R216" s="299">
        <f>S216</f>
        <v>48.6</v>
      </c>
      <c r="S216" s="645">
        <v>48.6</v>
      </c>
      <c r="T216" s="335">
        <v>157</v>
      </c>
      <c r="U216" s="336">
        <v>53</v>
      </c>
      <c r="V216" s="336">
        <v>121</v>
      </c>
      <c r="W216" s="299">
        <f>X216</f>
        <v>89</v>
      </c>
      <c r="X216" s="645">
        <v>89</v>
      </c>
      <c r="Y216" s="335">
        <v>115</v>
      </c>
      <c r="Z216" s="336">
        <v>457</v>
      </c>
      <c r="AA216" s="1435">
        <v>7</v>
      </c>
      <c r="AB216" s="1442">
        <f>AC216</f>
        <v>31</v>
      </c>
      <c r="AC216" s="1453">
        <v>31</v>
      </c>
      <c r="AD216" s="335">
        <v>23</v>
      </c>
      <c r="AE216" s="336">
        <v>15</v>
      </c>
      <c r="AF216" s="1435">
        <v>27</v>
      </c>
      <c r="AG216" s="1442">
        <f>AH216</f>
        <v>64</v>
      </c>
      <c r="AH216" s="1453">
        <v>64</v>
      </c>
      <c r="AI216" s="335">
        <v>41</v>
      </c>
      <c r="AJ216" s="336">
        <v>24</v>
      </c>
      <c r="AK216" s="1435">
        <v>27</v>
      </c>
      <c r="AL216" s="1442">
        <f>AM216</f>
        <v>9</v>
      </c>
      <c r="AM216" s="1453">
        <v>9</v>
      </c>
      <c r="AN216" s="335">
        <v>5</v>
      </c>
      <c r="AO216" s="336">
        <v>5</v>
      </c>
      <c r="AP216" s="1435">
        <v>341</v>
      </c>
      <c r="AQ216" s="1442">
        <f>AR216</f>
        <v>23</v>
      </c>
      <c r="AR216" s="1453">
        <v>23</v>
      </c>
      <c r="AS216" s="335">
        <v>11</v>
      </c>
      <c r="AT216" s="336">
        <v>12</v>
      </c>
      <c r="AU216" s="336">
        <v>29</v>
      </c>
      <c r="AV216" s="1442">
        <f>AW216</f>
        <v>17</v>
      </c>
      <c r="AW216" s="1453">
        <v>17</v>
      </c>
      <c r="AX216" s="290">
        <f t="shared" ref="AX216:BB216" ca="1" si="598">+AX212</f>
        <v>0</v>
      </c>
      <c r="AY216" s="260">
        <f t="shared" ca="1" si="598"/>
        <v>0</v>
      </c>
      <c r="AZ216" s="260">
        <f t="shared" ca="1" si="598"/>
        <v>93.31502604520324</v>
      </c>
      <c r="BA216" s="291">
        <f t="shared" ca="1" si="598"/>
        <v>13.751907111056056</v>
      </c>
      <c r="BB216" s="45">
        <f t="shared" ca="1" si="598"/>
        <v>13.751907111055971</v>
      </c>
      <c r="BC216" s="290">
        <f t="shared" ref="BC216:BL216" ca="1" si="599">+BC212</f>
        <v>0</v>
      </c>
      <c r="BD216" s="260">
        <f t="shared" ca="1" si="599"/>
        <v>0</v>
      </c>
      <c r="BE216" s="260">
        <f t="shared" ca="1" si="599"/>
        <v>63.23967976669843</v>
      </c>
      <c r="BF216" s="291">
        <f t="shared" ca="1" si="599"/>
        <v>17.820447108448349</v>
      </c>
      <c r="BG216" s="45">
        <f t="shared" ca="1" si="599"/>
        <v>17.82044710844832</v>
      </c>
      <c r="BH216" s="290">
        <f t="shared" ca="1" si="599"/>
        <v>15.277221400153053</v>
      </c>
      <c r="BI216" s="260">
        <f t="shared" ca="1" si="599"/>
        <v>0</v>
      </c>
      <c r="BJ216" s="260">
        <f t="shared" ca="1" si="599"/>
        <v>54.412345282701978</v>
      </c>
      <c r="BK216" s="291">
        <f t="shared" ca="1" si="599"/>
        <v>9.772384947822303</v>
      </c>
      <c r="BL216" s="45">
        <f t="shared" ca="1" si="599"/>
        <v>9.7723849478222746</v>
      </c>
      <c r="BM216" s="290">
        <f t="shared" ref="BM216:BQ216" ca="1" si="600">+BM212</f>
        <v>26.228754756883859</v>
      </c>
      <c r="BN216" s="260">
        <f t="shared" ca="1" si="600"/>
        <v>0</v>
      </c>
      <c r="BO216" s="260">
        <f t="shared" ca="1" si="600"/>
        <v>336.77698291983478</v>
      </c>
      <c r="BP216" s="291">
        <f t="shared" ca="1" si="600"/>
        <v>20.851368767281031</v>
      </c>
      <c r="BQ216" s="45">
        <f t="shared" ca="1" si="600"/>
        <v>20.851368767280974</v>
      </c>
      <c r="BR216" s="45"/>
      <c r="BS216" s="45"/>
      <c r="BT216" s="45"/>
      <c r="BU216" s="45"/>
      <c r="BV216" s="45"/>
      <c r="BW216" s="45"/>
      <c r="BX216" s="45"/>
      <c r="BY216" s="45"/>
      <c r="BZ216" s="45"/>
      <c r="CA216" s="45"/>
      <c r="CB216" s="45"/>
      <c r="CC216" s="45"/>
      <c r="CD216" s="45"/>
      <c r="CE216" s="45"/>
      <c r="CF216" s="45"/>
      <c r="CG216" s="45"/>
      <c r="CH216" s="45"/>
      <c r="CI216" s="45"/>
      <c r="CJ216" s="45"/>
      <c r="CK216" s="45"/>
      <c r="CL216" s="45"/>
      <c r="CM216" s="45"/>
      <c r="CN216" s="45"/>
      <c r="CO216" s="45"/>
      <c r="CP216" s="45"/>
      <c r="CQ216" s="45"/>
      <c r="CR216" s="45"/>
      <c r="CS216" s="45"/>
      <c r="CT216" s="45"/>
      <c r="CU216" s="45"/>
    </row>
    <row r="217" spans="1:129">
      <c r="A217" s="45"/>
      <c r="B217" s="45"/>
      <c r="C217" s="391"/>
      <c r="D217" s="45"/>
      <c r="E217" s="914"/>
      <c r="F217" s="915"/>
      <c r="G217" s="915"/>
      <c r="H217" s="916"/>
      <c r="I217" s="917"/>
      <c r="J217" s="914"/>
      <c r="K217" s="915"/>
      <c r="L217" s="915"/>
      <c r="M217" s="916"/>
      <c r="N217" s="917"/>
      <c r="O217" s="914"/>
      <c r="P217" s="915"/>
      <c r="Q217" s="915"/>
      <c r="R217" s="916"/>
      <c r="S217" s="917"/>
      <c r="T217" s="914"/>
      <c r="U217" s="915"/>
      <c r="V217" s="915"/>
      <c r="W217" s="916"/>
      <c r="X217" s="917"/>
      <c r="Y217" s="914"/>
      <c r="Z217" s="915"/>
      <c r="AA217" s="1492"/>
      <c r="AB217" s="1493"/>
      <c r="AC217" s="1494"/>
      <c r="AD217" s="914"/>
      <c r="AE217" s="915"/>
      <c r="AF217" s="1492"/>
      <c r="AG217" s="1493"/>
      <c r="AH217" s="1494"/>
      <c r="AI217" s="914"/>
      <c r="AJ217" s="915"/>
      <c r="AK217" s="1492"/>
      <c r="AL217" s="1493"/>
      <c r="AM217" s="1494"/>
      <c r="AN217" s="914"/>
      <c r="AO217" s="915"/>
      <c r="AP217" s="1492"/>
      <c r="AQ217" s="1493"/>
      <c r="AR217" s="1494"/>
      <c r="AS217" s="914"/>
      <c r="AT217" s="915"/>
      <c r="AU217" s="915"/>
      <c r="AV217" s="1493"/>
      <c r="AW217" s="1494"/>
      <c r="AX217" s="290"/>
      <c r="AY217" s="260"/>
      <c r="AZ217" s="260"/>
      <c r="BA217" s="291"/>
      <c r="BB217" s="45"/>
      <c r="BC217" s="290"/>
      <c r="BD217" s="260"/>
      <c r="BE217" s="260"/>
      <c r="BF217" s="291"/>
      <c r="BG217" s="45"/>
      <c r="BH217" s="290"/>
      <c r="BI217" s="260"/>
      <c r="BJ217" s="260"/>
      <c r="BK217" s="291"/>
      <c r="BL217" s="45"/>
      <c r="BM217" s="290"/>
      <c r="BN217" s="260"/>
      <c r="BO217" s="260"/>
      <c r="BP217" s="291"/>
      <c r="BQ217" s="45"/>
      <c r="BR217" s="45"/>
      <c r="BS217" s="45"/>
      <c r="BT217" s="45"/>
      <c r="BU217" s="45"/>
      <c r="BV217" s="45"/>
      <c r="BW217" s="45"/>
      <c r="BX217" s="45"/>
      <c r="BY217" s="45"/>
      <c r="BZ217" s="45"/>
      <c r="CA217" s="45"/>
      <c r="CB217" s="45"/>
      <c r="CC217" s="45"/>
      <c r="CD217" s="45"/>
      <c r="CE217" s="45"/>
      <c r="CF217" s="45"/>
      <c r="CG217" s="45"/>
      <c r="CH217" s="45"/>
      <c r="CI217" s="45"/>
      <c r="CJ217" s="45"/>
      <c r="CK217" s="45"/>
      <c r="CL217" s="45"/>
      <c r="CM217" s="45"/>
      <c r="CN217" s="45"/>
      <c r="CO217" s="45"/>
      <c r="CP217" s="45"/>
      <c r="CQ217" s="45"/>
      <c r="CR217" s="45"/>
      <c r="CS217" s="45"/>
      <c r="CT217" s="45"/>
      <c r="CU217" s="45"/>
    </row>
    <row r="218" spans="1:129">
      <c r="A218" s="45"/>
      <c r="B218" s="45"/>
      <c r="C218" s="391" t="s">
        <v>317</v>
      </c>
      <c r="D218" s="45"/>
      <c r="E218" s="335">
        <v>370</v>
      </c>
      <c r="F218" s="336">
        <v>339.9</v>
      </c>
      <c r="G218" s="336">
        <v>334.9</v>
      </c>
      <c r="H218" s="299">
        <f>I218</f>
        <v>46</v>
      </c>
      <c r="I218" s="645">
        <v>46</v>
      </c>
      <c r="J218" s="335">
        <v>0</v>
      </c>
      <c r="K218" s="336">
        <v>0</v>
      </c>
      <c r="L218" s="336">
        <v>0</v>
      </c>
      <c r="M218" s="299">
        <f>N218</f>
        <v>0</v>
      </c>
      <c r="N218" s="645">
        <v>0</v>
      </c>
      <c r="O218" s="335">
        <v>0</v>
      </c>
      <c r="P218" s="336">
        <v>0</v>
      </c>
      <c r="Q218" s="336">
        <v>140</v>
      </c>
      <c r="R218" s="299">
        <f>S218</f>
        <v>0</v>
      </c>
      <c r="S218" s="645">
        <v>0</v>
      </c>
      <c r="T218" s="335">
        <v>0</v>
      </c>
      <c r="U218" s="336"/>
      <c r="V218" s="336">
        <v>0</v>
      </c>
      <c r="W218" s="299">
        <f>X218</f>
        <v>0</v>
      </c>
      <c r="X218" s="645">
        <v>0</v>
      </c>
      <c r="Y218" s="335">
        <v>0</v>
      </c>
      <c r="Z218" s="336">
        <v>0</v>
      </c>
      <c r="AA218" s="1435">
        <v>40</v>
      </c>
      <c r="AB218" s="1442">
        <f>AC218</f>
        <v>135</v>
      </c>
      <c r="AC218" s="1453">
        <v>135</v>
      </c>
      <c r="AD218" s="335">
        <v>69</v>
      </c>
      <c r="AE218" s="336">
        <v>70</v>
      </c>
      <c r="AF218" s="1435">
        <v>20</v>
      </c>
      <c r="AG218" s="1442">
        <f>AH218</f>
        <v>120</v>
      </c>
      <c r="AH218" s="1453">
        <v>120</v>
      </c>
      <c r="AI218" s="335">
        <v>0</v>
      </c>
      <c r="AJ218" s="336">
        <v>0</v>
      </c>
      <c r="AK218" s="1435">
        <v>50</v>
      </c>
      <c r="AL218" s="1442">
        <f>AM218</f>
        <v>210</v>
      </c>
      <c r="AM218" s="1453">
        <v>210</v>
      </c>
      <c r="AN218" s="335">
        <v>150</v>
      </c>
      <c r="AO218" s="336">
        <v>208</v>
      </c>
      <c r="AP218" s="1435">
        <v>0</v>
      </c>
      <c r="AQ218" s="1442">
        <f>AR218</f>
        <v>45</v>
      </c>
      <c r="AR218" s="1453">
        <v>45</v>
      </c>
      <c r="AS218" s="335">
        <v>95</v>
      </c>
      <c r="AT218" s="336">
        <v>85</v>
      </c>
      <c r="AU218" s="336">
        <v>0</v>
      </c>
      <c r="AV218" s="1442">
        <f>AW218</f>
        <v>77</v>
      </c>
      <c r="AW218" s="1453">
        <v>77</v>
      </c>
      <c r="AX218" s="290">
        <f ca="1">+AW218+AX211+AX204</f>
        <v>86.264906585281437</v>
      </c>
      <c r="AY218" s="260">
        <f ca="1">+AX218+AY211+AY204</f>
        <v>208.33420500329885</v>
      </c>
      <c r="AZ218" s="260">
        <f ca="1">+AY218+AZ211+AZ204</f>
        <v>0</v>
      </c>
      <c r="BA218" s="291">
        <f ca="1">+AZ218+BA211+BA204</f>
        <v>0</v>
      </c>
      <c r="BB218" s="45">
        <f ca="1">+BA218</f>
        <v>0</v>
      </c>
      <c r="BC218" s="290">
        <f ca="1">+BB218+BC211+BC204</f>
        <v>6.5943825016815367</v>
      </c>
      <c r="BD218" s="260">
        <f ca="1">+BC218+BD211+BD204</f>
        <v>121.86454059102277</v>
      </c>
      <c r="BE218" s="260">
        <f ca="1">+BD218+BE211+BE204</f>
        <v>0</v>
      </c>
      <c r="BF218" s="291">
        <f ca="1">+BE218+BF211+BF204</f>
        <v>0</v>
      </c>
      <c r="BG218" s="45">
        <f ca="1">+BF218</f>
        <v>0</v>
      </c>
      <c r="BH218" s="290">
        <f ca="1">+BG218+BH211+BH204</f>
        <v>0</v>
      </c>
      <c r="BI218" s="260">
        <f ca="1">+BH218+BI211+BI204</f>
        <v>81.149599959910404</v>
      </c>
      <c r="BJ218" s="260">
        <f ca="1">+BI218+BJ211+BJ204</f>
        <v>0</v>
      </c>
      <c r="BK218" s="291">
        <f ca="1">+BJ218+BK211+BK204</f>
        <v>0</v>
      </c>
      <c r="BL218" s="45">
        <f ca="1">+BK218</f>
        <v>0</v>
      </c>
      <c r="BM218" s="290">
        <f ca="1">+BL218+BM211+BM204</f>
        <v>0</v>
      </c>
      <c r="BN218" s="260">
        <f ca="1">+BM218+BN211+BN204</f>
        <v>50.390411559284814</v>
      </c>
      <c r="BO218" s="260">
        <f ca="1">+BN218+BO211+BO204</f>
        <v>0</v>
      </c>
      <c r="BP218" s="291">
        <f ca="1">+BO218+BP211+BP204</f>
        <v>0</v>
      </c>
      <c r="BQ218" s="45">
        <f ca="1">+BP218</f>
        <v>0</v>
      </c>
      <c r="BR218" s="45"/>
      <c r="BS218" s="45"/>
      <c r="BT218" s="45"/>
      <c r="BU218" s="45"/>
      <c r="BV218" s="45"/>
      <c r="BW218" s="45"/>
      <c r="BX218" s="45"/>
      <c r="BY218" s="45"/>
      <c r="BZ218" s="45"/>
      <c r="CA218" s="45"/>
      <c r="CB218" s="45"/>
      <c r="CC218" s="45"/>
      <c r="CD218" s="45"/>
      <c r="CE218" s="45"/>
      <c r="CF218" s="45"/>
      <c r="CG218" s="45"/>
      <c r="CH218" s="45"/>
      <c r="CI218" s="45"/>
      <c r="CJ218" s="45"/>
      <c r="CK218" s="45"/>
      <c r="CL218" s="45"/>
      <c r="CM218" s="45"/>
      <c r="CN218" s="45"/>
      <c r="CO218" s="45"/>
      <c r="CP218" s="45"/>
      <c r="CQ218" s="45"/>
      <c r="CR218" s="45"/>
      <c r="CS218" s="45"/>
      <c r="CT218" s="45"/>
      <c r="CU218" s="45"/>
    </row>
    <row r="219" spans="1:129">
      <c r="A219" s="45"/>
      <c r="B219" s="45"/>
      <c r="C219" s="391" t="s">
        <v>178</v>
      </c>
      <c r="D219" s="45"/>
      <c r="E219" s="335">
        <f>90+2197.8</f>
        <v>2287.8000000000002</v>
      </c>
      <c r="F219" s="336">
        <f>66.5+2169.7</f>
        <v>2236.1999999999998</v>
      </c>
      <c r="G219" s="336">
        <f>66.5+2169.8</f>
        <v>2236.3000000000002</v>
      </c>
      <c r="H219" s="291">
        <f>I219</f>
        <v>2197.9</v>
      </c>
      <c r="I219" s="427">
        <f>56.5+2141.4</f>
        <v>2197.9</v>
      </c>
      <c r="J219" s="335">
        <f>56.5+2141.5</f>
        <v>2198</v>
      </c>
      <c r="K219" s="336">
        <f>58.1+2111.8</f>
        <v>2169.9</v>
      </c>
      <c r="L219" s="336">
        <f>58.1+2111.9</f>
        <v>2170</v>
      </c>
      <c r="M219" s="291">
        <f>N219</f>
        <v>2141.6</v>
      </c>
      <c r="N219" s="427">
        <f>22+59.7+2059.9</f>
        <v>2141.6</v>
      </c>
      <c r="O219" s="335">
        <f>22+59.7+2059.9</f>
        <v>2141.6</v>
      </c>
      <c r="P219" s="336">
        <f>131.5+61.3+1919.2</f>
        <v>2112</v>
      </c>
      <c r="Q219" s="336">
        <f>131.5+61.3+1919.2</f>
        <v>2112</v>
      </c>
      <c r="R219" s="291">
        <f>S219</f>
        <v>2358.4</v>
      </c>
      <c r="S219" s="427">
        <f>2185.9+109.5+63</f>
        <v>2358.4</v>
      </c>
      <c r="T219" s="335">
        <f>1596+258+110+63+332</f>
        <v>2359</v>
      </c>
      <c r="U219" s="336">
        <f>1597+258+299+65</f>
        <v>2219</v>
      </c>
      <c r="V219" s="336">
        <f>1446+258+299+400+65</f>
        <v>2468</v>
      </c>
      <c r="W219" s="291">
        <f>X219</f>
        <v>2436</v>
      </c>
      <c r="X219" s="427">
        <f>1446+258+265+400+67</f>
        <v>2436</v>
      </c>
      <c r="Y219" s="335">
        <f>1446+258+265+400+67</f>
        <v>2436</v>
      </c>
      <c r="Z219" s="336">
        <f>1746+258+230+400+68</f>
        <v>2702</v>
      </c>
      <c r="AA219" s="1435">
        <f>1746+258+230+69</f>
        <v>2303</v>
      </c>
      <c r="AB219" s="1442">
        <f>AC219</f>
        <v>2269</v>
      </c>
      <c r="AC219" s="1437">
        <f>1746+258+195+70</f>
        <v>2269</v>
      </c>
      <c r="AD219" s="335">
        <f>1746+258+195+70</f>
        <v>2269</v>
      </c>
      <c r="AE219" s="336">
        <f>1904+72+258</f>
        <v>2234</v>
      </c>
      <c r="AF219" s="1435">
        <f>1904+258+72</f>
        <v>2234</v>
      </c>
      <c r="AG219" s="1442">
        <f>AH219</f>
        <v>2200</v>
      </c>
      <c r="AH219" s="1437">
        <f>1867+258+75</f>
        <v>2200</v>
      </c>
      <c r="AI219" s="335">
        <f>75+1867+258</f>
        <v>2200</v>
      </c>
      <c r="AJ219" s="336">
        <f>77+1828+258</f>
        <v>2163</v>
      </c>
      <c r="AK219" s="1435">
        <f>77+1828+258</f>
        <v>2163</v>
      </c>
      <c r="AL219" s="1442">
        <f>AM219</f>
        <v>2110</v>
      </c>
      <c r="AM219" s="1437">
        <f>378+1480+252</f>
        <v>2110</v>
      </c>
      <c r="AN219" s="335">
        <f>378+1481+252</f>
        <v>2111</v>
      </c>
      <c r="AO219" s="336">
        <f>380+1440+252</f>
        <v>2072</v>
      </c>
      <c r="AP219" s="1435">
        <f>381+2281+252</f>
        <v>2914</v>
      </c>
      <c r="AQ219" s="1442">
        <f>AR219</f>
        <v>2574</v>
      </c>
      <c r="AR219" s="1437">
        <f>41+2281+252</f>
        <v>2574</v>
      </c>
      <c r="AS219" s="335">
        <f>41+2282+252</f>
        <v>2575</v>
      </c>
      <c r="AT219" s="336">
        <f>2282+252</f>
        <v>2534</v>
      </c>
      <c r="AU219" s="336">
        <v>2577</v>
      </c>
      <c r="AV219" s="1442">
        <f>AW219</f>
        <v>2577</v>
      </c>
      <c r="AW219" s="1437">
        <f>2577</f>
        <v>2577</v>
      </c>
      <c r="AX219" s="290">
        <f>+AW219+AX202+AX203</f>
        <v>2577</v>
      </c>
      <c r="AY219" s="260">
        <f>+AX219+AY202+AY203</f>
        <v>2577</v>
      </c>
      <c r="AZ219" s="260">
        <f>+AY219+AZ202+AZ203</f>
        <v>3002</v>
      </c>
      <c r="BA219" s="291">
        <f>+AZ219+BA202+BA203</f>
        <v>3002</v>
      </c>
      <c r="BB219" s="45">
        <f>+BA219</f>
        <v>3002</v>
      </c>
      <c r="BC219" s="290">
        <f>+BB219+BC202+BC203</f>
        <v>3002</v>
      </c>
      <c r="BD219" s="260">
        <f>+BC219+BD202+BD203</f>
        <v>3002</v>
      </c>
      <c r="BE219" s="260">
        <f>+BD219+BE202+BE203</f>
        <v>3277</v>
      </c>
      <c r="BF219" s="291">
        <f>+BE219+BF202+BF203</f>
        <v>3277</v>
      </c>
      <c r="BG219" s="45">
        <f>+BF219</f>
        <v>3277</v>
      </c>
      <c r="BH219" s="290">
        <f>+BG219+BH202+BH203</f>
        <v>3277</v>
      </c>
      <c r="BI219" s="260">
        <f>+BH219+BI202+BI203</f>
        <v>3277</v>
      </c>
      <c r="BJ219" s="260">
        <f>+BI219+BJ202+BJ203</f>
        <v>3502</v>
      </c>
      <c r="BK219" s="291">
        <f>+BJ219+BK202+BK203</f>
        <v>3502</v>
      </c>
      <c r="BL219" s="45">
        <f>+BK219</f>
        <v>3502</v>
      </c>
      <c r="BM219" s="290">
        <f>+BL219+BM202+BM203</f>
        <v>3502</v>
      </c>
      <c r="BN219" s="260">
        <f>+BM219+BN202+BN203</f>
        <v>3502</v>
      </c>
      <c r="BO219" s="260">
        <f>+BN219+BO202+BO203</f>
        <v>3952</v>
      </c>
      <c r="BP219" s="291">
        <f>+BO219+BP202+BP203</f>
        <v>3652</v>
      </c>
      <c r="BQ219" s="45">
        <f>+BP219</f>
        <v>3652</v>
      </c>
      <c r="BR219" s="45"/>
      <c r="BS219" s="45"/>
      <c r="BT219" s="45"/>
      <c r="BU219" s="45"/>
      <c r="BV219" s="45"/>
      <c r="BW219" s="45"/>
      <c r="BX219" s="45"/>
      <c r="BY219" s="45"/>
      <c r="BZ219" s="45"/>
      <c r="CA219" s="45"/>
      <c r="CB219" s="45"/>
      <c r="CC219" s="45"/>
      <c r="CD219" s="45"/>
      <c r="CE219" s="45"/>
      <c r="CF219" s="45"/>
      <c r="CG219" s="45"/>
      <c r="CH219" s="45"/>
      <c r="CI219" s="45"/>
      <c r="CJ219" s="45"/>
      <c r="CK219" s="45"/>
      <c r="CL219" s="45"/>
      <c r="CM219" s="45"/>
      <c r="CN219" s="45"/>
      <c r="CO219" s="45"/>
      <c r="CP219" s="45"/>
      <c r="CQ219" s="45"/>
      <c r="CR219" s="45"/>
      <c r="CS219" s="45"/>
      <c r="CT219" s="45"/>
      <c r="CU219" s="45"/>
    </row>
    <row r="220" spans="1:129">
      <c r="A220" s="45"/>
      <c r="B220" s="45"/>
      <c r="C220" s="389" t="s">
        <v>373</v>
      </c>
      <c r="D220" s="45"/>
      <c r="E220" s="292">
        <f t="shared" ref="E220:L220" si="601">SUM(E218:E219)</f>
        <v>2657.8</v>
      </c>
      <c r="F220" s="261">
        <f t="shared" si="601"/>
        <v>2576.1</v>
      </c>
      <c r="G220" s="261">
        <f t="shared" si="601"/>
        <v>2571.2000000000003</v>
      </c>
      <c r="H220" s="293">
        <f t="shared" si="601"/>
        <v>2243.9</v>
      </c>
      <c r="I220" s="228">
        <f t="shared" si="601"/>
        <v>2243.9</v>
      </c>
      <c r="J220" s="292">
        <f t="shared" si="601"/>
        <v>2198</v>
      </c>
      <c r="K220" s="261">
        <f t="shared" si="601"/>
        <v>2169.9</v>
      </c>
      <c r="L220" s="261">
        <f t="shared" si="601"/>
        <v>2170</v>
      </c>
      <c r="M220" s="293">
        <f t="shared" ref="M220:Y220" si="602">SUM(M218:M219)</f>
        <v>2141.6</v>
      </c>
      <c r="N220" s="228">
        <f t="shared" si="602"/>
        <v>2141.6</v>
      </c>
      <c r="O220" s="292">
        <f t="shared" si="602"/>
        <v>2141.6</v>
      </c>
      <c r="P220" s="261">
        <f t="shared" si="602"/>
        <v>2112</v>
      </c>
      <c r="Q220" s="261">
        <f t="shared" si="602"/>
        <v>2252</v>
      </c>
      <c r="R220" s="293">
        <f t="shared" si="602"/>
        <v>2358.4</v>
      </c>
      <c r="S220" s="228">
        <f t="shared" si="602"/>
        <v>2358.4</v>
      </c>
      <c r="T220" s="292">
        <f t="shared" si="602"/>
        <v>2359</v>
      </c>
      <c r="U220" s="261">
        <f t="shared" si="602"/>
        <v>2219</v>
      </c>
      <c r="V220" s="261">
        <f t="shared" si="602"/>
        <v>2468</v>
      </c>
      <c r="W220" s="293">
        <f t="shared" si="602"/>
        <v>2436</v>
      </c>
      <c r="X220" s="228">
        <f t="shared" si="602"/>
        <v>2436</v>
      </c>
      <c r="Y220" s="292">
        <f t="shared" si="602"/>
        <v>2436</v>
      </c>
      <c r="Z220" s="261">
        <f t="shared" ref="Z220:AE220" si="603">SUM(Z218:Z219)</f>
        <v>2702</v>
      </c>
      <c r="AA220" s="1438">
        <f t="shared" si="603"/>
        <v>2343</v>
      </c>
      <c r="AB220" s="1439">
        <f>SUM(AB218:AB219)</f>
        <v>2404</v>
      </c>
      <c r="AC220" s="1440">
        <f>SUM(AC218:AC219)</f>
        <v>2404</v>
      </c>
      <c r="AD220" s="292">
        <f>SUM(AD218:AD219)</f>
        <v>2338</v>
      </c>
      <c r="AE220" s="261">
        <f t="shared" si="603"/>
        <v>2304</v>
      </c>
      <c r="AF220" s="1438">
        <f>SUM(AF218:AF219)</f>
        <v>2254</v>
      </c>
      <c r="AG220" s="1439">
        <f>SUM(AG218:AG219)</f>
        <v>2320</v>
      </c>
      <c r="AH220" s="1440">
        <f>SUM(AH218:AH219)</f>
        <v>2320</v>
      </c>
      <c r="AI220" s="292">
        <f>SUM(AI218:AI219)</f>
        <v>2200</v>
      </c>
      <c r="AJ220" s="261">
        <f t="shared" ref="AJ220" si="604">SUM(AJ218:AJ219)</f>
        <v>2163</v>
      </c>
      <c r="AK220" s="1438">
        <f t="shared" ref="AK220:AP220" si="605">SUM(AK218:AK219)</f>
        <v>2213</v>
      </c>
      <c r="AL220" s="1439">
        <f t="shared" si="605"/>
        <v>2320</v>
      </c>
      <c r="AM220" s="1440">
        <f t="shared" si="605"/>
        <v>2320</v>
      </c>
      <c r="AN220" s="292">
        <f t="shared" si="605"/>
        <v>2261</v>
      </c>
      <c r="AO220" s="261">
        <f t="shared" si="605"/>
        <v>2280</v>
      </c>
      <c r="AP220" s="1438">
        <f t="shared" si="605"/>
        <v>2914</v>
      </c>
      <c r="AQ220" s="1439">
        <f t="shared" ref="AQ220:AT220" si="606">SUM(AQ218:AQ219)</f>
        <v>2619</v>
      </c>
      <c r="AR220" s="1440">
        <f t="shared" si="606"/>
        <v>2619</v>
      </c>
      <c r="AS220" s="292">
        <f t="shared" si="606"/>
        <v>2670</v>
      </c>
      <c r="AT220" s="261">
        <f t="shared" si="606"/>
        <v>2619</v>
      </c>
      <c r="AU220" s="261">
        <f t="shared" ref="AU220:AW220" si="607">SUM(AU218:AU219)</f>
        <v>2577</v>
      </c>
      <c r="AV220" s="1439">
        <f t="shared" si="607"/>
        <v>2654</v>
      </c>
      <c r="AW220" s="1440">
        <f t="shared" si="607"/>
        <v>2654</v>
      </c>
      <c r="AX220" s="292">
        <f t="shared" ref="AX220:BB220" ca="1" si="608">SUM(AX218:AX219)</f>
        <v>2663.2649065852816</v>
      </c>
      <c r="AY220" s="261">
        <f t="shared" ca="1" si="608"/>
        <v>2785.3342050032988</v>
      </c>
      <c r="AZ220" s="261">
        <f t="shared" ca="1" si="608"/>
        <v>3002</v>
      </c>
      <c r="BA220" s="293">
        <f t="shared" ca="1" si="608"/>
        <v>3002</v>
      </c>
      <c r="BB220" s="228">
        <f t="shared" ca="1" si="608"/>
        <v>3002</v>
      </c>
      <c r="BC220" s="292">
        <f t="shared" ref="BC220:BL220" ca="1" si="609">SUM(BC218:BC219)</f>
        <v>3008.5943825016816</v>
      </c>
      <c r="BD220" s="261">
        <f t="shared" ca="1" si="609"/>
        <v>3123.8645405910229</v>
      </c>
      <c r="BE220" s="261">
        <f t="shared" ca="1" si="609"/>
        <v>3277</v>
      </c>
      <c r="BF220" s="293">
        <f t="shared" ca="1" si="609"/>
        <v>3277</v>
      </c>
      <c r="BG220" s="228">
        <f t="shared" ca="1" si="609"/>
        <v>3277</v>
      </c>
      <c r="BH220" s="292">
        <f t="shared" ca="1" si="609"/>
        <v>3277</v>
      </c>
      <c r="BI220" s="261">
        <f t="shared" ca="1" si="609"/>
        <v>3358.1495999599106</v>
      </c>
      <c r="BJ220" s="261">
        <f t="shared" ca="1" si="609"/>
        <v>3502</v>
      </c>
      <c r="BK220" s="293">
        <f t="shared" ca="1" si="609"/>
        <v>3502</v>
      </c>
      <c r="BL220" s="228">
        <f t="shared" ca="1" si="609"/>
        <v>3502</v>
      </c>
      <c r="BM220" s="292">
        <f t="shared" ref="BM220:BQ220" ca="1" si="610">SUM(BM218:BM219)</f>
        <v>3502</v>
      </c>
      <c r="BN220" s="261">
        <f t="shared" ca="1" si="610"/>
        <v>3552.390411559285</v>
      </c>
      <c r="BO220" s="261">
        <f t="shared" ca="1" si="610"/>
        <v>3952</v>
      </c>
      <c r="BP220" s="293">
        <f t="shared" ca="1" si="610"/>
        <v>3652</v>
      </c>
      <c r="BQ220" s="228">
        <f t="shared" ca="1" si="610"/>
        <v>3652</v>
      </c>
      <c r="BR220" s="45"/>
      <c r="BS220" s="45"/>
      <c r="BT220" s="45"/>
      <c r="BU220" s="45"/>
      <c r="BV220" s="45"/>
      <c r="BW220" s="45"/>
      <c r="BX220" s="45"/>
      <c r="BY220" s="45"/>
      <c r="BZ220" s="45"/>
      <c r="CA220" s="45"/>
      <c r="CB220" s="45"/>
      <c r="CC220" s="45"/>
      <c r="CD220" s="45"/>
      <c r="CE220" s="45"/>
      <c r="CF220" s="45"/>
      <c r="CG220" s="45"/>
      <c r="CH220" s="45"/>
      <c r="CI220" s="45"/>
      <c r="CJ220" s="45"/>
      <c r="CK220" s="45"/>
      <c r="CL220" s="45"/>
      <c r="CM220" s="45"/>
      <c r="CN220" s="45"/>
      <c r="CO220" s="45"/>
      <c r="CP220" s="45"/>
      <c r="CQ220" s="45"/>
      <c r="CR220" s="45"/>
      <c r="CS220" s="45"/>
      <c r="CT220" s="45"/>
      <c r="CU220" s="45"/>
    </row>
    <row r="221" spans="1:129">
      <c r="A221" s="223"/>
      <c r="B221" s="223"/>
      <c r="C221" s="390" t="s">
        <v>612</v>
      </c>
      <c r="D221" s="223"/>
      <c r="E221" s="275">
        <f t="shared" ref="E221:AE221" si="611">+E220/E230</f>
        <v>0.59489222642522988</v>
      </c>
      <c r="F221" s="252">
        <f t="shared" si="611"/>
        <v>0.58565030577215993</v>
      </c>
      <c r="G221" s="252">
        <f t="shared" si="611"/>
        <v>0.58140376266280747</v>
      </c>
      <c r="H221" s="276">
        <f t="shared" si="611"/>
        <v>0.51316120474763871</v>
      </c>
      <c r="I221" s="222">
        <f t="shared" si="611"/>
        <v>0.51316120474763871</v>
      </c>
      <c r="J221" s="275">
        <f t="shared" si="611"/>
        <v>0.50092299277558749</v>
      </c>
      <c r="K221" s="252">
        <f t="shared" si="611"/>
        <v>0.49614725048588088</v>
      </c>
      <c r="L221" s="252">
        <f t="shared" si="611"/>
        <v>0.4929353505065649</v>
      </c>
      <c r="M221" s="276">
        <f t="shared" si="611"/>
        <v>0.48619687613512536</v>
      </c>
      <c r="N221" s="222">
        <f t="shared" si="611"/>
        <v>0.48619687613512536</v>
      </c>
      <c r="O221" s="275">
        <f t="shared" si="611"/>
        <v>0.48699290522102961</v>
      </c>
      <c r="P221" s="252">
        <f t="shared" si="611"/>
        <v>0.48204870700477026</v>
      </c>
      <c r="Q221" s="252">
        <f t="shared" si="611"/>
        <v>0.49827418355606684</v>
      </c>
      <c r="R221" s="276">
        <f t="shared" si="611"/>
        <v>0.50619218303964286</v>
      </c>
      <c r="S221" s="222">
        <f t="shared" si="611"/>
        <v>0.50619218303964286</v>
      </c>
      <c r="T221" s="275">
        <f t="shared" si="611"/>
        <v>0.50983358547655067</v>
      </c>
      <c r="U221" s="252">
        <f t="shared" si="611"/>
        <v>0.48598335523434077</v>
      </c>
      <c r="V221" s="252">
        <f t="shared" si="611"/>
        <v>0.51299106214924128</v>
      </c>
      <c r="W221" s="276">
        <f t="shared" si="611"/>
        <v>0.50813516896120148</v>
      </c>
      <c r="X221" s="222">
        <f t="shared" si="611"/>
        <v>0.50813516896120148</v>
      </c>
      <c r="Y221" s="275">
        <f t="shared" si="611"/>
        <v>0.50010264832683227</v>
      </c>
      <c r="Z221" s="252">
        <f t="shared" si="611"/>
        <v>0.52364341085271315</v>
      </c>
      <c r="AA221" s="252">
        <f t="shared" si="611"/>
        <v>0.48299319727891155</v>
      </c>
      <c r="AB221" s="276">
        <f>+AB220/AB230</f>
        <v>0.48477515628150836</v>
      </c>
      <c r="AC221" s="222">
        <f>+AC220/AC230</f>
        <v>0.48477515628150836</v>
      </c>
      <c r="AD221" s="275">
        <f>+AD220/AD230</f>
        <v>0.46966653274407394</v>
      </c>
      <c r="AE221" s="252">
        <f t="shared" si="611"/>
        <v>0.46460980036297639</v>
      </c>
      <c r="AF221" s="252">
        <f>+AF220/AF230</f>
        <v>0.45489404641775982</v>
      </c>
      <c r="AG221" s="276">
        <f>+AG220/AG230</f>
        <v>0.45732308298836982</v>
      </c>
      <c r="AH221" s="222">
        <f>+AH220/AH230</f>
        <v>0.45732308298836982</v>
      </c>
      <c r="AI221" s="275">
        <f>+AI220/AI230</f>
        <v>0.43798526776826596</v>
      </c>
      <c r="AJ221" s="252">
        <f t="shared" ref="AJ221" si="612">+AJ220/AJ230</f>
        <v>0.43346693386773549</v>
      </c>
      <c r="AK221" s="252">
        <f t="shared" ref="AK221:AP221" si="613">+AK220/AK230</f>
        <v>0.43752471332542509</v>
      </c>
      <c r="AL221" s="276">
        <f t="shared" si="613"/>
        <v>0.44641139118722339</v>
      </c>
      <c r="AM221" s="222">
        <f t="shared" si="613"/>
        <v>0.44641139118722339</v>
      </c>
      <c r="AN221" s="275">
        <f t="shared" si="613"/>
        <v>0.43439000960614793</v>
      </c>
      <c r="AO221" s="252">
        <f t="shared" si="613"/>
        <v>0.43761996161228406</v>
      </c>
      <c r="AP221" s="252">
        <f t="shared" si="613"/>
        <v>0.51384235584552984</v>
      </c>
      <c r="AQ221" s="276">
        <f t="shared" ref="AQ221:AT221" si="614">+AQ220/AQ230</f>
        <v>0.47905615511249316</v>
      </c>
      <c r="AR221" s="222">
        <f t="shared" si="614"/>
        <v>0.47905615511249316</v>
      </c>
      <c r="AS221" s="275">
        <f t="shared" si="614"/>
        <v>0.47729710404004289</v>
      </c>
      <c r="AT221" s="252">
        <f t="shared" si="614"/>
        <v>0.47299981939678526</v>
      </c>
      <c r="AU221" s="252">
        <f t="shared" ref="AU221:AW221" si="615">+AU220/AU230</f>
        <v>0.46141450313339299</v>
      </c>
      <c r="AV221" s="276">
        <f t="shared" si="615"/>
        <v>0.45798101811906816</v>
      </c>
      <c r="AW221" s="222">
        <f t="shared" si="615"/>
        <v>0.45798101811906816</v>
      </c>
      <c r="AX221" s="275">
        <f t="shared" ref="AX221:BB221" ca="1" si="616">+AX220/AX230</f>
        <v>0.45256074078363917</v>
      </c>
      <c r="AY221" s="252">
        <f t="shared" ca="1" si="616"/>
        <v>0.46403877497418</v>
      </c>
      <c r="AZ221" s="252">
        <f t="shared" ca="1" si="616"/>
        <v>0.48291702667512038</v>
      </c>
      <c r="BA221" s="276">
        <f t="shared" ca="1" si="616"/>
        <v>0.48103193217184065</v>
      </c>
      <c r="BB221" s="222">
        <f t="shared" ca="1" si="616"/>
        <v>0.48103193217184065</v>
      </c>
      <c r="BC221" s="275">
        <f t="shared" ref="BC221:BL221" ca="1" si="617">+BC220/BC230</f>
        <v>0.4727682851724338</v>
      </c>
      <c r="BD221" s="252">
        <f t="shared" ca="1" si="617"/>
        <v>0.47977485103922501</v>
      </c>
      <c r="BE221" s="252">
        <f t="shared" ca="1" si="617"/>
        <v>0.48732010396630893</v>
      </c>
      <c r="BF221" s="276">
        <f t="shared" ca="1" si="617"/>
        <v>0.48104942948612028</v>
      </c>
      <c r="BG221" s="222">
        <f t="shared" ca="1" si="617"/>
        <v>0.48104942948612028</v>
      </c>
      <c r="BH221" s="275">
        <f t="shared" ca="1" si="617"/>
        <v>0.47338916712991902</v>
      </c>
      <c r="BI221" s="252">
        <f t="shared" ca="1" si="617"/>
        <v>0.47770439048206165</v>
      </c>
      <c r="BJ221" s="252">
        <f t="shared" ca="1" si="617"/>
        <v>0.48572145204560224</v>
      </c>
      <c r="BK221" s="276">
        <f t="shared" ca="1" si="617"/>
        <v>0.48143492674190552</v>
      </c>
      <c r="BL221" s="222">
        <f t="shared" ca="1" si="617"/>
        <v>0.48143492674190552</v>
      </c>
      <c r="BM221" s="275">
        <f t="shared" ref="BM221:BQ221" ca="1" si="618">+BM220/BM230</f>
        <v>0.4755440988128839</v>
      </c>
      <c r="BN221" s="252">
        <f t="shared" ca="1" si="618"/>
        <v>0.47865593492101804</v>
      </c>
      <c r="BO221" s="252">
        <f t="shared" ca="1" si="618"/>
        <v>0.5037309759396067</v>
      </c>
      <c r="BP221" s="276">
        <f t="shared" ca="1" si="618"/>
        <v>0.480520432405801</v>
      </c>
      <c r="BQ221" s="222">
        <f t="shared" ca="1" si="618"/>
        <v>0.480520432405801</v>
      </c>
      <c r="BR221" s="223"/>
      <c r="BS221" s="223"/>
      <c r="BT221" s="223"/>
      <c r="BU221" s="223"/>
      <c r="BV221" s="223"/>
      <c r="BW221" s="223"/>
      <c r="BX221" s="223"/>
      <c r="BY221" s="223"/>
      <c r="BZ221" s="223"/>
      <c r="CA221" s="223"/>
      <c r="CB221" s="223"/>
      <c r="CC221" s="223"/>
      <c r="CD221" s="223"/>
      <c r="CE221" s="223"/>
      <c r="CF221" s="223"/>
      <c r="CG221" s="223"/>
      <c r="CH221" s="223"/>
      <c r="CI221" s="223"/>
      <c r="CJ221" s="223"/>
      <c r="CK221" s="223"/>
      <c r="CL221" s="223"/>
      <c r="CM221" s="223"/>
      <c r="CN221" s="223"/>
      <c r="CO221" s="223"/>
      <c r="CP221" s="223"/>
      <c r="CQ221" s="223"/>
      <c r="CR221" s="223"/>
      <c r="CS221" s="223"/>
      <c r="CT221" s="223"/>
      <c r="CU221" s="223"/>
    </row>
    <row r="222" spans="1:129">
      <c r="A222" s="383"/>
      <c r="B222" s="383"/>
      <c r="C222" s="578"/>
      <c r="D222" s="383"/>
      <c r="E222" s="613"/>
      <c r="F222" s="614"/>
      <c r="G222" s="614"/>
      <c r="H222" s="615"/>
      <c r="I222" s="383"/>
      <c r="J222" s="613"/>
      <c r="K222" s="614"/>
      <c r="L222" s="614"/>
      <c r="M222" s="615"/>
      <c r="N222" s="383"/>
      <c r="O222" s="613"/>
      <c r="P222" s="614"/>
      <c r="Q222" s="614"/>
      <c r="R222" s="615"/>
      <c r="S222" s="383"/>
      <c r="T222" s="613"/>
      <c r="U222" s="614"/>
      <c r="V222" s="614"/>
      <c r="W222" s="615"/>
      <c r="X222" s="383"/>
      <c r="Y222" s="613"/>
      <c r="Z222" s="614"/>
      <c r="AA222" s="614"/>
      <c r="AB222" s="615"/>
      <c r="AC222" s="383"/>
      <c r="AD222" s="613"/>
      <c r="AE222" s="614"/>
      <c r="AF222" s="614"/>
      <c r="AG222" s="615"/>
      <c r="AH222" s="383"/>
      <c r="AI222" s="613"/>
      <c r="AJ222" s="614"/>
      <c r="AK222" s="614"/>
      <c r="AL222" s="615"/>
      <c r="AM222" s="383"/>
      <c r="AN222" s="613"/>
      <c r="AO222" s="614"/>
      <c r="AP222" s="614"/>
      <c r="AQ222" s="615"/>
      <c r="AR222" s="383"/>
      <c r="AS222" s="613"/>
      <c r="AT222" s="614"/>
      <c r="AU222" s="614"/>
      <c r="AV222" s="615"/>
      <c r="AW222" s="383"/>
      <c r="AX222" s="613"/>
      <c r="AY222" s="614"/>
      <c r="AZ222" s="614"/>
      <c r="BA222" s="615"/>
      <c r="BB222" s="383"/>
      <c r="BC222" s="613"/>
      <c r="BD222" s="614"/>
      <c r="BE222" s="614"/>
      <c r="BF222" s="615"/>
      <c r="BG222" s="383"/>
      <c r="BH222" s="613"/>
      <c r="BI222" s="614"/>
      <c r="BJ222" s="614"/>
      <c r="BK222" s="615"/>
      <c r="BL222" s="383"/>
      <c r="BM222" s="613"/>
      <c r="BN222" s="614"/>
      <c r="BO222" s="614"/>
      <c r="BP222" s="615"/>
      <c r="BQ222" s="383"/>
      <c r="BR222" s="383"/>
      <c r="BS222" s="383"/>
      <c r="BT222" s="383"/>
      <c r="BU222" s="383"/>
      <c r="BV222" s="383"/>
      <c r="BW222" s="383"/>
      <c r="BX222" s="383"/>
      <c r="BY222" s="383"/>
      <c r="BZ222" s="383"/>
      <c r="CA222" s="383"/>
      <c r="CB222" s="383"/>
      <c r="CC222" s="383"/>
      <c r="CD222" s="383"/>
      <c r="CE222" s="383"/>
      <c r="CF222" s="383"/>
      <c r="CG222" s="383"/>
      <c r="CH222" s="383"/>
      <c r="CI222" s="383"/>
      <c r="CJ222" s="383"/>
      <c r="CK222" s="383"/>
      <c r="CL222" s="383"/>
      <c r="CM222" s="383"/>
      <c r="CN222" s="383"/>
      <c r="CO222" s="383"/>
      <c r="CP222" s="383"/>
      <c r="CQ222" s="383"/>
      <c r="CR222" s="383"/>
      <c r="CS222" s="383"/>
      <c r="CT222" s="383"/>
      <c r="CU222" s="383"/>
    </row>
    <row r="223" spans="1:129" s="34" customFormat="1">
      <c r="A223" s="228"/>
      <c r="B223" s="228"/>
      <c r="C223" s="389" t="s">
        <v>611</v>
      </c>
      <c r="D223" s="228"/>
      <c r="E223" s="585">
        <v>190</v>
      </c>
      <c r="F223" s="343">
        <v>190</v>
      </c>
      <c r="G223" s="343">
        <v>190</v>
      </c>
      <c r="H223" s="293">
        <f>I223</f>
        <v>190</v>
      </c>
      <c r="I223" s="650">
        <v>190</v>
      </c>
      <c r="J223" s="585">
        <v>190</v>
      </c>
      <c r="K223" s="343">
        <v>190</v>
      </c>
      <c r="L223" s="343">
        <v>190</v>
      </c>
      <c r="M223" s="293">
        <f>N223</f>
        <v>190</v>
      </c>
      <c r="N223" s="650">
        <v>190</v>
      </c>
      <c r="O223" s="585">
        <v>190</v>
      </c>
      <c r="P223" s="343">
        <v>190</v>
      </c>
      <c r="Q223" s="343">
        <v>190</v>
      </c>
      <c r="R223" s="293">
        <f>S223</f>
        <v>190</v>
      </c>
      <c r="S223" s="650">
        <v>190</v>
      </c>
      <c r="T223" s="585">
        <v>190</v>
      </c>
      <c r="U223" s="343">
        <v>190</v>
      </c>
      <c r="V223" s="343">
        <v>190</v>
      </c>
      <c r="W223" s="293">
        <f>X223</f>
        <v>190</v>
      </c>
      <c r="X223" s="650">
        <v>190</v>
      </c>
      <c r="Y223" s="585">
        <v>190</v>
      </c>
      <c r="Z223" s="343">
        <v>190</v>
      </c>
      <c r="AA223" s="1462">
        <v>190</v>
      </c>
      <c r="AB223" s="1439">
        <f>AC223</f>
        <v>190</v>
      </c>
      <c r="AC223" s="1481">
        <v>190</v>
      </c>
      <c r="AD223" s="585">
        <v>190</v>
      </c>
      <c r="AE223" s="343">
        <v>190</v>
      </c>
      <c r="AF223" s="1462">
        <v>190</v>
      </c>
      <c r="AG223" s="1439">
        <f>AH223</f>
        <v>190</v>
      </c>
      <c r="AH223" s="1481">
        <v>190</v>
      </c>
      <c r="AI223" s="585">
        <v>190</v>
      </c>
      <c r="AJ223" s="343">
        <v>190</v>
      </c>
      <c r="AK223" s="1462">
        <v>190</v>
      </c>
      <c r="AL223" s="1439">
        <f>AM223</f>
        <v>190</v>
      </c>
      <c r="AM223" s="1481">
        <v>190</v>
      </c>
      <c r="AN223" s="585">
        <v>190</v>
      </c>
      <c r="AO223" s="343">
        <v>190</v>
      </c>
      <c r="AP223" s="1462">
        <v>0</v>
      </c>
      <c r="AQ223" s="1439">
        <f>AR223</f>
        <v>0</v>
      </c>
      <c r="AR223" s="1481">
        <v>0</v>
      </c>
      <c r="AS223" s="585">
        <v>0</v>
      </c>
      <c r="AT223" s="343">
        <v>0</v>
      </c>
      <c r="AU223" s="343">
        <v>0</v>
      </c>
      <c r="AV223" s="1439">
        <f>AW223</f>
        <v>0</v>
      </c>
      <c r="AW223" s="1481">
        <v>0</v>
      </c>
      <c r="AX223" s="292">
        <f t="shared" ref="AX223:BB223" si="619">+AW223</f>
        <v>0</v>
      </c>
      <c r="AY223" s="261">
        <f t="shared" si="619"/>
        <v>0</v>
      </c>
      <c r="AZ223" s="261">
        <f t="shared" si="619"/>
        <v>0</v>
      </c>
      <c r="BA223" s="293">
        <f t="shared" si="619"/>
        <v>0</v>
      </c>
      <c r="BB223" s="228">
        <f t="shared" si="619"/>
        <v>0</v>
      </c>
      <c r="BC223" s="292">
        <f t="shared" ref="BC223" si="620">+BB223</f>
        <v>0</v>
      </c>
      <c r="BD223" s="261">
        <f t="shared" ref="BD223" si="621">+BC223</f>
        <v>0</v>
      </c>
      <c r="BE223" s="261">
        <f t="shared" ref="BE223" si="622">+BD223</f>
        <v>0</v>
      </c>
      <c r="BF223" s="293">
        <f t="shared" ref="BF223" si="623">+BE223</f>
        <v>0</v>
      </c>
      <c r="BG223" s="228">
        <f t="shared" ref="BG223" si="624">+BF223</f>
        <v>0</v>
      </c>
      <c r="BH223" s="292">
        <f t="shared" ref="BH223" si="625">+BG223</f>
        <v>0</v>
      </c>
      <c r="BI223" s="261">
        <f t="shared" ref="BI223" si="626">+BH223</f>
        <v>0</v>
      </c>
      <c r="BJ223" s="261">
        <f t="shared" ref="BJ223" si="627">+BI223</f>
        <v>0</v>
      </c>
      <c r="BK223" s="293">
        <f t="shared" ref="BK223" si="628">+BJ223</f>
        <v>0</v>
      </c>
      <c r="BL223" s="228">
        <f t="shared" ref="BL223" si="629">+BK223</f>
        <v>0</v>
      </c>
      <c r="BM223" s="292">
        <f t="shared" ref="BM223" si="630">+BL223</f>
        <v>0</v>
      </c>
      <c r="BN223" s="261">
        <f t="shared" ref="BN223" si="631">+BM223</f>
        <v>0</v>
      </c>
      <c r="BO223" s="261">
        <f t="shared" ref="BO223" si="632">+BN223</f>
        <v>0</v>
      </c>
      <c r="BP223" s="293">
        <f t="shared" ref="BP223" si="633">+BO223</f>
        <v>0</v>
      </c>
      <c r="BQ223" s="228">
        <f t="shared" ref="BQ223" si="634">+BP223</f>
        <v>0</v>
      </c>
      <c r="BR223" s="228"/>
      <c r="BS223" s="228"/>
      <c r="BT223" s="228"/>
      <c r="BU223" s="228"/>
      <c r="BV223" s="228"/>
      <c r="BW223" s="228"/>
      <c r="BX223" s="228"/>
      <c r="BY223" s="228"/>
      <c r="BZ223" s="228"/>
      <c r="CA223" s="228"/>
      <c r="CB223" s="228"/>
      <c r="CC223" s="228"/>
      <c r="CD223" s="228"/>
      <c r="CE223" s="228"/>
      <c r="CF223" s="228"/>
      <c r="CG223" s="228"/>
      <c r="CH223" s="228"/>
      <c r="CI223" s="228"/>
      <c r="CJ223" s="228"/>
      <c r="CK223" s="228"/>
      <c r="CL223" s="228"/>
      <c r="CM223" s="228"/>
      <c r="CN223" s="228"/>
      <c r="CO223" s="228"/>
      <c r="CP223" s="228"/>
      <c r="CQ223" s="228"/>
      <c r="CR223" s="228"/>
      <c r="CS223" s="228"/>
      <c r="CT223" s="228"/>
      <c r="CU223" s="228"/>
    </row>
    <row r="224" spans="1:129">
      <c r="A224" s="223"/>
      <c r="B224" s="223"/>
      <c r="C224" s="390" t="s">
        <v>612</v>
      </c>
      <c r="D224" s="223"/>
      <c r="E224" s="275">
        <f t="shared" ref="E224:AE224" si="635">+E223/E230</f>
        <v>4.2527474987129839E-2</v>
      </c>
      <c r="F224" s="252">
        <f t="shared" si="635"/>
        <v>4.3194580216882265E-2</v>
      </c>
      <c r="G224" s="252">
        <f t="shared" si="635"/>
        <v>4.2963096960926192E-2</v>
      </c>
      <c r="H224" s="276">
        <f t="shared" si="635"/>
        <v>4.3451414457886424E-2</v>
      </c>
      <c r="I224" s="222">
        <f t="shared" si="635"/>
        <v>4.3451414457886424E-2</v>
      </c>
      <c r="J224" s="275">
        <f t="shared" si="635"/>
        <v>4.3300895644841499E-2</v>
      </c>
      <c r="K224" s="252">
        <f t="shared" si="635"/>
        <v>4.3443466331313595E-2</v>
      </c>
      <c r="L224" s="252">
        <f t="shared" si="635"/>
        <v>4.3160238062786793E-2</v>
      </c>
      <c r="M224" s="276">
        <f t="shared" si="635"/>
        <v>4.3134762077733389E-2</v>
      </c>
      <c r="N224" s="222">
        <f t="shared" si="635"/>
        <v>4.3134762077733389E-2</v>
      </c>
      <c r="O224" s="275">
        <f t="shared" si="635"/>
        <v>4.3205384755321083E-2</v>
      </c>
      <c r="P224" s="252">
        <f t="shared" si="635"/>
        <v>4.3366124209709443E-2</v>
      </c>
      <c r="Q224" s="252">
        <f t="shared" si="635"/>
        <v>4.2039118506062477E-2</v>
      </c>
      <c r="R224" s="276">
        <f t="shared" si="635"/>
        <v>4.0780408233349788E-2</v>
      </c>
      <c r="S224" s="222">
        <f t="shared" si="635"/>
        <v>4.0780408233349788E-2</v>
      </c>
      <c r="T224" s="275">
        <f t="shared" si="635"/>
        <v>4.1063323968013835E-2</v>
      </c>
      <c r="U224" s="252">
        <f t="shared" si="635"/>
        <v>4.1611914148050808E-2</v>
      </c>
      <c r="V224" s="252">
        <f t="shared" si="635"/>
        <v>3.9492828933693616E-2</v>
      </c>
      <c r="W224" s="276">
        <f t="shared" si="635"/>
        <v>3.9632874426366288E-2</v>
      </c>
      <c r="X224" s="222">
        <f t="shared" si="635"/>
        <v>3.9632874426366288E-2</v>
      </c>
      <c r="Y224" s="275">
        <f t="shared" si="635"/>
        <v>3.9006364196263604E-2</v>
      </c>
      <c r="Z224" s="252">
        <f t="shared" si="635"/>
        <v>3.6821705426356592E-2</v>
      </c>
      <c r="AA224" s="252">
        <f t="shared" si="635"/>
        <v>3.9167182024324884E-2</v>
      </c>
      <c r="AB224" s="276">
        <f>+AB223/AB230</f>
        <v>3.8314176245210725E-2</v>
      </c>
      <c r="AC224" s="222">
        <f>+AC223/AC230</f>
        <v>3.8314176245210725E-2</v>
      </c>
      <c r="AD224" s="275">
        <f>+AD223/AD230</f>
        <v>3.8167938931297711E-2</v>
      </c>
      <c r="AE224" s="252">
        <f t="shared" si="635"/>
        <v>3.8314176245210725E-2</v>
      </c>
      <c r="AF224" s="252">
        <f>+AF223/AF230</f>
        <v>3.8345105953582238E-2</v>
      </c>
      <c r="AG224" s="276">
        <f>+AG223/AG230</f>
        <v>3.7453183520599252E-2</v>
      </c>
      <c r="AH224" s="222">
        <f>+AH223/AH230</f>
        <v>3.7453183520599252E-2</v>
      </c>
      <c r="AI224" s="275">
        <f>+AI223/AI230</f>
        <v>3.7826000398168427E-2</v>
      </c>
      <c r="AJ224" s="252">
        <f t="shared" ref="AJ224" si="636">+AJ223/AJ230</f>
        <v>3.8076152304609222E-2</v>
      </c>
      <c r="AK224" s="252">
        <f t="shared" ref="AK224:AP224" si="637">+AK223/AK230</f>
        <v>3.7564254646105182E-2</v>
      </c>
      <c r="AL224" s="276">
        <f t="shared" si="637"/>
        <v>3.6559553588608816E-2</v>
      </c>
      <c r="AM224" s="222">
        <f t="shared" si="637"/>
        <v>3.6559553588608816E-2</v>
      </c>
      <c r="AN224" s="275">
        <f t="shared" si="637"/>
        <v>3.6503362151777137E-2</v>
      </c>
      <c r="AO224" s="252">
        <f t="shared" si="637"/>
        <v>3.6468330134357005E-2</v>
      </c>
      <c r="AP224" s="252">
        <f t="shared" si="637"/>
        <v>0</v>
      </c>
      <c r="AQ224" s="276">
        <f t="shared" ref="AQ224:AT224" si="638">+AQ223/AQ230</f>
        <v>0</v>
      </c>
      <c r="AR224" s="222">
        <f t="shared" si="638"/>
        <v>0</v>
      </c>
      <c r="AS224" s="275">
        <f t="shared" si="638"/>
        <v>0</v>
      </c>
      <c r="AT224" s="252">
        <f t="shared" si="638"/>
        <v>0</v>
      </c>
      <c r="AU224" s="252">
        <f t="shared" ref="AU224:AW224" si="639">+AU223/AU230</f>
        <v>0</v>
      </c>
      <c r="AV224" s="276">
        <f t="shared" si="639"/>
        <v>0</v>
      </c>
      <c r="AW224" s="222">
        <f t="shared" si="639"/>
        <v>0</v>
      </c>
      <c r="AX224" s="275">
        <f t="shared" ref="AX224:BB224" ca="1" si="640">+AX223/AX230</f>
        <v>0</v>
      </c>
      <c r="AY224" s="252">
        <f t="shared" ca="1" si="640"/>
        <v>0</v>
      </c>
      <c r="AZ224" s="252">
        <f t="shared" ca="1" si="640"/>
        <v>0</v>
      </c>
      <c r="BA224" s="276">
        <f t="shared" ca="1" si="640"/>
        <v>0</v>
      </c>
      <c r="BB224" s="222">
        <f t="shared" ca="1" si="640"/>
        <v>0</v>
      </c>
      <c r="BC224" s="275">
        <f t="shared" ref="BC224:BL224" ca="1" si="641">+BC223/BC230</f>
        <v>0</v>
      </c>
      <c r="BD224" s="252">
        <f t="shared" ca="1" si="641"/>
        <v>0</v>
      </c>
      <c r="BE224" s="252">
        <f t="shared" ca="1" si="641"/>
        <v>0</v>
      </c>
      <c r="BF224" s="276">
        <f t="shared" ca="1" si="641"/>
        <v>0</v>
      </c>
      <c r="BG224" s="222">
        <f t="shared" ca="1" si="641"/>
        <v>0</v>
      </c>
      <c r="BH224" s="275">
        <f t="shared" ca="1" si="641"/>
        <v>0</v>
      </c>
      <c r="BI224" s="252">
        <f t="shared" ca="1" si="641"/>
        <v>0</v>
      </c>
      <c r="BJ224" s="252">
        <f t="shared" ca="1" si="641"/>
        <v>0</v>
      </c>
      <c r="BK224" s="276">
        <f t="shared" ca="1" si="641"/>
        <v>0</v>
      </c>
      <c r="BL224" s="222">
        <f t="shared" ca="1" si="641"/>
        <v>0</v>
      </c>
      <c r="BM224" s="275">
        <f t="shared" ref="BM224:BQ224" ca="1" si="642">+BM223/BM230</f>
        <v>0</v>
      </c>
      <c r="BN224" s="252">
        <f t="shared" ca="1" si="642"/>
        <v>0</v>
      </c>
      <c r="BO224" s="252">
        <f t="shared" ca="1" si="642"/>
        <v>0</v>
      </c>
      <c r="BP224" s="276">
        <f t="shared" ca="1" si="642"/>
        <v>0</v>
      </c>
      <c r="BQ224" s="222">
        <f t="shared" ca="1" si="642"/>
        <v>0</v>
      </c>
      <c r="BR224" s="223"/>
      <c r="BS224" s="223"/>
      <c r="BT224" s="223"/>
      <c r="BU224" s="223"/>
      <c r="BV224" s="223"/>
      <c r="BW224" s="223"/>
      <c r="BX224" s="223"/>
      <c r="BY224" s="223"/>
      <c r="BZ224" s="223"/>
      <c r="CA224" s="223"/>
      <c r="CB224" s="223"/>
      <c r="CC224" s="223"/>
      <c r="CD224" s="223"/>
      <c r="CE224" s="223"/>
      <c r="CF224" s="223"/>
      <c r="CG224" s="223"/>
      <c r="CH224" s="223"/>
      <c r="CI224" s="223"/>
      <c r="CJ224" s="223"/>
      <c r="CK224" s="223"/>
      <c r="CL224" s="223"/>
      <c r="CM224" s="223"/>
      <c r="CN224" s="223"/>
      <c r="CO224" s="223"/>
      <c r="CP224" s="223"/>
      <c r="CQ224" s="223"/>
      <c r="CR224" s="223"/>
      <c r="CS224" s="223"/>
      <c r="CT224" s="223"/>
      <c r="CU224" s="223"/>
    </row>
    <row r="225" spans="1:99">
      <c r="A225" s="28"/>
      <c r="B225" s="28"/>
      <c r="C225" s="391"/>
      <c r="D225" s="28"/>
      <c r="E225" s="415"/>
      <c r="F225" s="242"/>
      <c r="G225" s="242"/>
      <c r="H225" s="416"/>
      <c r="I225" s="23"/>
      <c r="J225" s="415"/>
      <c r="K225" s="242"/>
      <c r="L225" s="242"/>
      <c r="M225" s="416"/>
      <c r="N225" s="23"/>
      <c r="O225" s="415"/>
      <c r="P225" s="242"/>
      <c r="Q225" s="242"/>
      <c r="R225" s="416"/>
      <c r="S225" s="23"/>
      <c r="T225" s="415"/>
      <c r="U225" s="242"/>
      <c r="V225" s="242"/>
      <c r="W225" s="416"/>
      <c r="X225" s="23"/>
      <c r="Y225" s="415"/>
      <c r="Z225" s="242"/>
      <c r="AA225" s="242"/>
      <c r="AB225" s="416"/>
      <c r="AC225" s="23"/>
      <c r="AD225" s="415"/>
      <c r="AE225" s="242"/>
      <c r="AF225" s="242"/>
      <c r="AG225" s="416"/>
      <c r="AH225" s="23"/>
      <c r="AI225" s="415"/>
      <c r="AJ225" s="242"/>
      <c r="AK225" s="242"/>
      <c r="AL225" s="416"/>
      <c r="AM225" s="23"/>
      <c r="AN225" s="415"/>
      <c r="AO225" s="242"/>
      <c r="AP225" s="242"/>
      <c r="AQ225" s="416"/>
      <c r="AR225" s="23"/>
      <c r="AS225" s="415"/>
      <c r="AT225" s="242"/>
      <c r="AU225" s="242"/>
      <c r="AV225" s="416"/>
      <c r="AW225" s="23"/>
      <c r="AX225" s="415"/>
      <c r="AY225" s="242"/>
      <c r="AZ225" s="242"/>
      <c r="BA225" s="416"/>
      <c r="BB225" s="23"/>
      <c r="BC225" s="415"/>
      <c r="BD225" s="242"/>
      <c r="BE225" s="242"/>
      <c r="BF225" s="416"/>
      <c r="BG225" s="23"/>
      <c r="BH225" s="415"/>
      <c r="BI225" s="242"/>
      <c r="BJ225" s="242"/>
      <c r="BK225" s="416"/>
      <c r="BL225" s="23"/>
      <c r="BM225" s="415"/>
      <c r="BN225" s="242"/>
      <c r="BO225" s="242"/>
      <c r="BP225" s="416"/>
      <c r="BQ225" s="23"/>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row>
    <row r="226" spans="1:99">
      <c r="A226" s="45"/>
      <c r="B226" s="45"/>
      <c r="C226" s="389" t="s">
        <v>193</v>
      </c>
      <c r="D226" s="427"/>
      <c r="E226" s="585">
        <v>1619.9</v>
      </c>
      <c r="F226" s="343">
        <v>1632.6</v>
      </c>
      <c r="G226" s="343">
        <v>1661.2</v>
      </c>
      <c r="H226" s="293">
        <f>+I226</f>
        <v>1938.8</v>
      </c>
      <c r="I226" s="344">
        <v>1938.8</v>
      </c>
      <c r="J226" s="585">
        <v>1999.9</v>
      </c>
      <c r="K226" s="343">
        <v>2013.6</v>
      </c>
      <c r="L226" s="343">
        <v>2042.2</v>
      </c>
      <c r="M226" s="293">
        <f>+N226</f>
        <v>2073.1999999999998</v>
      </c>
      <c r="N226" s="344">
        <v>2073.1999999999998</v>
      </c>
      <c r="O226" s="585">
        <v>2066</v>
      </c>
      <c r="P226" s="343">
        <v>2079.3000000000002</v>
      </c>
      <c r="Q226" s="343">
        <v>2077.6</v>
      </c>
      <c r="R226" s="293">
        <f>+S226</f>
        <v>2110.6999999999998</v>
      </c>
      <c r="S226" s="344">
        <v>2110.6999999999998</v>
      </c>
      <c r="T226" s="585">
        <v>2078</v>
      </c>
      <c r="U226" s="343">
        <v>2157</v>
      </c>
      <c r="V226" s="343">
        <v>2153</v>
      </c>
      <c r="W226" s="293">
        <f>+X226</f>
        <v>2168</v>
      </c>
      <c r="X226" s="344">
        <v>2168</v>
      </c>
      <c r="Y226" s="585">
        <v>2245</v>
      </c>
      <c r="Z226" s="343">
        <v>2268</v>
      </c>
      <c r="AA226" s="1462">
        <v>2318</v>
      </c>
      <c r="AB226" s="1439">
        <f>+AC226</f>
        <v>2365</v>
      </c>
      <c r="AC226" s="1472">
        <v>2365</v>
      </c>
      <c r="AD226" s="585">
        <v>2450</v>
      </c>
      <c r="AE226" s="343">
        <v>2465</v>
      </c>
      <c r="AF226" s="1462">
        <v>2511</v>
      </c>
      <c r="AG226" s="1439">
        <f>+AH226</f>
        <v>2563</v>
      </c>
      <c r="AH226" s="1472">
        <v>2563</v>
      </c>
      <c r="AI226" s="585">
        <v>2633</v>
      </c>
      <c r="AJ226" s="343">
        <v>2637</v>
      </c>
      <c r="AK226" s="1462">
        <v>2655</v>
      </c>
      <c r="AL226" s="1439">
        <f>+AM226</f>
        <v>2687</v>
      </c>
      <c r="AM226" s="1472">
        <v>2687</v>
      </c>
      <c r="AN226" s="585">
        <v>2754</v>
      </c>
      <c r="AO226" s="343">
        <v>2740</v>
      </c>
      <c r="AP226" s="1462">
        <v>2757</v>
      </c>
      <c r="AQ226" s="1439">
        <f>+AR226</f>
        <v>2848</v>
      </c>
      <c r="AR226" s="1472">
        <v>2848</v>
      </c>
      <c r="AS226" s="585">
        <v>2924</v>
      </c>
      <c r="AT226" s="343">
        <v>2918</v>
      </c>
      <c r="AU226" s="343">
        <v>3008</v>
      </c>
      <c r="AV226" s="1439">
        <f>+AW226</f>
        <v>3141</v>
      </c>
      <c r="AW226" s="1472">
        <v>3141</v>
      </c>
      <c r="AX226" s="292">
        <f>+AW226+AX189+AX205</f>
        <v>3221.6134458181123</v>
      </c>
      <c r="AY226" s="261">
        <f ca="1">+AX226+AY189+AY205</f>
        <v>3217.0396379116173</v>
      </c>
      <c r="AZ226" s="261">
        <f ca="1">+AY226+AZ189+AZ205</f>
        <v>3214.3888083813167</v>
      </c>
      <c r="BA226" s="293">
        <f ca="1">+AZ226+BA189+BA205</f>
        <v>3238.7499361759328</v>
      </c>
      <c r="BB226" s="228">
        <f ca="1">+BA226</f>
        <v>3238.7499361759328</v>
      </c>
      <c r="BC226" s="292">
        <f ca="1">+BB226+BC189+BC205</f>
        <v>3355.1877849175021</v>
      </c>
      <c r="BD226" s="261">
        <f ca="1">+BC226+BD189+BD205</f>
        <v>3387.2406868391345</v>
      </c>
      <c r="BE226" s="261">
        <f ca="1">+BD226+BE189+BE205</f>
        <v>3447.5327523498941</v>
      </c>
      <c r="BF226" s="293">
        <f ca="1">+BE226+BF189+BF205</f>
        <v>3535.1897649907755</v>
      </c>
      <c r="BG226" s="228">
        <f ca="1">+BF226</f>
        <v>3535.1897649907755</v>
      </c>
      <c r="BH226" s="292">
        <f ca="1">+BG226+BH189+BH205</f>
        <v>3645.4228764420495</v>
      </c>
      <c r="BI226" s="261">
        <f ca="1">+BH226+BI189+BI205</f>
        <v>3671.6153904165235</v>
      </c>
      <c r="BJ226" s="261">
        <f ca="1">+BI226+BJ189+BJ205</f>
        <v>3707.8936237043386</v>
      </c>
      <c r="BK226" s="293">
        <f ca="1">+BJ226+BK189+BK205</f>
        <v>3772.0879514074013</v>
      </c>
      <c r="BL226" s="228">
        <f ca="1">+BK226</f>
        <v>3772.0879514074013</v>
      </c>
      <c r="BM226" s="292">
        <f ca="1">+BL226+BM189+BM205</f>
        <v>3862.1961045088265</v>
      </c>
      <c r="BN226" s="261">
        <f ca="1">+BM226+BN189+BN205</f>
        <v>3869.2044176063805</v>
      </c>
      <c r="BO226" s="261">
        <f ca="1">+BN226+BO189+BO205</f>
        <v>3893.4575731189766</v>
      </c>
      <c r="BP226" s="293">
        <f ca="1">+BO226+BP189+BP205</f>
        <v>3948.0930526839174</v>
      </c>
      <c r="BQ226" s="228">
        <f ca="1">+BP226</f>
        <v>3948.0930526839174</v>
      </c>
      <c r="BR226" s="45"/>
      <c r="BS226" s="45"/>
      <c r="BT226" s="45"/>
      <c r="BU226" s="45"/>
      <c r="BV226" s="45"/>
      <c r="BW226" s="45"/>
      <c r="BX226" s="45"/>
      <c r="BY226" s="45"/>
      <c r="BZ226" s="45"/>
      <c r="CA226" s="45"/>
      <c r="CB226" s="45"/>
      <c r="CC226" s="45"/>
      <c r="CD226" s="45"/>
      <c r="CE226" s="45"/>
      <c r="CF226" s="45"/>
      <c r="CG226" s="45"/>
      <c r="CH226" s="45"/>
      <c r="CI226" s="45"/>
      <c r="CJ226" s="45"/>
      <c r="CK226" s="45"/>
      <c r="CL226" s="45"/>
      <c r="CM226" s="45"/>
      <c r="CN226" s="45"/>
      <c r="CO226" s="45"/>
      <c r="CP226" s="45"/>
      <c r="CQ226" s="45"/>
      <c r="CR226" s="45"/>
      <c r="CS226" s="45"/>
      <c r="CT226" s="45"/>
      <c r="CU226" s="45"/>
    </row>
    <row r="227" spans="1:99">
      <c r="A227" s="223"/>
      <c r="B227" s="223"/>
      <c r="C227" s="408" t="s">
        <v>612</v>
      </c>
      <c r="D227" s="223"/>
      <c r="E227" s="275">
        <f t="shared" ref="E227:AE227" si="643">+E226/E230</f>
        <v>0.36258029858764013</v>
      </c>
      <c r="F227" s="252">
        <f t="shared" si="643"/>
        <v>0.3711551140109578</v>
      </c>
      <c r="G227" s="252">
        <f t="shared" si="643"/>
        <v>0.37563314037626627</v>
      </c>
      <c r="H227" s="276">
        <f t="shared" si="643"/>
        <v>0.44338738079447471</v>
      </c>
      <c r="I227" s="222">
        <f t="shared" si="643"/>
        <v>0.44338738079447471</v>
      </c>
      <c r="J227" s="275">
        <f t="shared" si="643"/>
        <v>0.45577611157957115</v>
      </c>
      <c r="K227" s="252">
        <f t="shared" si="643"/>
        <v>0.4604092831828055</v>
      </c>
      <c r="L227" s="252">
        <f t="shared" si="643"/>
        <v>0.46390441143064837</v>
      </c>
      <c r="M227" s="276">
        <f t="shared" si="643"/>
        <v>0.47066836178714133</v>
      </c>
      <c r="N227" s="222">
        <f t="shared" si="643"/>
        <v>0.47066836178714133</v>
      </c>
      <c r="O227" s="275">
        <f t="shared" si="643"/>
        <v>0.46980171002364923</v>
      </c>
      <c r="P227" s="252">
        <f t="shared" si="643"/>
        <v>0.47458516878552032</v>
      </c>
      <c r="Q227" s="252">
        <f t="shared" si="643"/>
        <v>0.45968669793787054</v>
      </c>
      <c r="R227" s="276">
        <f t="shared" si="643"/>
        <v>0.45302740872700731</v>
      </c>
      <c r="S227" s="222">
        <f t="shared" si="643"/>
        <v>0.45302740872700731</v>
      </c>
      <c r="T227" s="275">
        <f t="shared" si="643"/>
        <v>0.44910309055543551</v>
      </c>
      <c r="U227" s="252">
        <f t="shared" si="643"/>
        <v>0.4724047306176084</v>
      </c>
      <c r="V227" s="252">
        <f t="shared" si="643"/>
        <v>0.44751610891706506</v>
      </c>
      <c r="W227" s="276">
        <f t="shared" si="643"/>
        <v>0.45223195661243221</v>
      </c>
      <c r="X227" s="222">
        <f t="shared" si="643"/>
        <v>0.45223195661243221</v>
      </c>
      <c r="Y227" s="275">
        <f t="shared" si="643"/>
        <v>0.4608909874769041</v>
      </c>
      <c r="Z227" s="252">
        <f t="shared" si="643"/>
        <v>0.43953488372093025</v>
      </c>
      <c r="AA227" s="252">
        <f t="shared" si="643"/>
        <v>0.47783962069676356</v>
      </c>
      <c r="AB227" s="276">
        <f>+AB226/AB230</f>
        <v>0.47691066747328092</v>
      </c>
      <c r="AC227" s="222">
        <f>+AC226/AC230</f>
        <v>0.47691066747328092</v>
      </c>
      <c r="AD227" s="275">
        <f>+AD226/AD230</f>
        <v>0.49216552832462834</v>
      </c>
      <c r="AE227" s="252">
        <f t="shared" si="643"/>
        <v>0.49707602339181284</v>
      </c>
      <c r="AF227" s="252">
        <f>+AF226/AF230</f>
        <v>0.50676084762865792</v>
      </c>
      <c r="AG227" s="276">
        <f>+AG226/AG230</f>
        <v>0.505223733491031</v>
      </c>
      <c r="AH227" s="222">
        <f>+AH226/AH230</f>
        <v>0.505223733491031</v>
      </c>
      <c r="AI227" s="275">
        <f>+AI226/AI230</f>
        <v>0.52418873183356562</v>
      </c>
      <c r="AJ227" s="252">
        <f t="shared" ref="AJ227" si="644">+AJ226/AJ230</f>
        <v>0.52845691382765536</v>
      </c>
      <c r="AK227" s="252">
        <f t="shared" ref="AK227:AP227" si="645">+AK226/AK230</f>
        <v>0.52491103202846978</v>
      </c>
      <c r="AL227" s="276">
        <f t="shared" si="645"/>
        <v>0.51702905522416776</v>
      </c>
      <c r="AM227" s="222">
        <f t="shared" si="645"/>
        <v>0.51702905522416776</v>
      </c>
      <c r="AN227" s="275">
        <f t="shared" si="645"/>
        <v>0.52910662824207488</v>
      </c>
      <c r="AO227" s="252">
        <f t="shared" si="645"/>
        <v>0.52591170825335898</v>
      </c>
      <c r="AP227" s="252">
        <f t="shared" si="645"/>
        <v>0.4861576441544701</v>
      </c>
      <c r="AQ227" s="276">
        <f t="shared" ref="AQ227:AT227" si="646">+AQ226/AQ230</f>
        <v>0.52094384488750689</v>
      </c>
      <c r="AR227" s="222">
        <f t="shared" si="646"/>
        <v>0.52094384488750689</v>
      </c>
      <c r="AS227" s="275">
        <f t="shared" si="646"/>
        <v>0.52270289595995711</v>
      </c>
      <c r="AT227" s="252">
        <f t="shared" si="646"/>
        <v>0.52700018060321474</v>
      </c>
      <c r="AU227" s="252">
        <f t="shared" ref="AU227:AW227" si="647">+AU226/AU230</f>
        <v>0.53858549686660695</v>
      </c>
      <c r="AV227" s="276">
        <f t="shared" si="647"/>
        <v>0.54201898188093178</v>
      </c>
      <c r="AW227" s="222">
        <f t="shared" si="647"/>
        <v>0.54201898188093178</v>
      </c>
      <c r="AX227" s="275">
        <f t="shared" ref="AX227:BB227" ca="1" si="648">+AX226/AX230</f>
        <v>0.54743925921636094</v>
      </c>
      <c r="AY227" s="252">
        <f t="shared" ca="1" si="648"/>
        <v>0.53596122502582</v>
      </c>
      <c r="AZ227" s="252">
        <f t="shared" ca="1" si="648"/>
        <v>0.51708297332487962</v>
      </c>
      <c r="BA227" s="276">
        <f t="shared" ca="1" si="648"/>
        <v>0.51896806782815941</v>
      </c>
      <c r="BB227" s="222">
        <f t="shared" ca="1" si="648"/>
        <v>0.51896806782815941</v>
      </c>
      <c r="BC227" s="275">
        <f t="shared" ref="BC227:BL227" ca="1" si="649">+BC226/BC230</f>
        <v>0.52723171482756614</v>
      </c>
      <c r="BD227" s="252">
        <f t="shared" ca="1" si="649"/>
        <v>0.52022514896077499</v>
      </c>
      <c r="BE227" s="252">
        <f t="shared" ca="1" si="649"/>
        <v>0.51267989603369102</v>
      </c>
      <c r="BF227" s="276">
        <f t="shared" ca="1" si="649"/>
        <v>0.51895057051387983</v>
      </c>
      <c r="BG227" s="222">
        <f t="shared" ca="1" si="649"/>
        <v>0.51895057051387983</v>
      </c>
      <c r="BH227" s="275">
        <f t="shared" ca="1" si="649"/>
        <v>0.52661083287008104</v>
      </c>
      <c r="BI227" s="252">
        <f t="shared" ca="1" si="649"/>
        <v>0.5222956095179383</v>
      </c>
      <c r="BJ227" s="252">
        <f t="shared" ca="1" si="649"/>
        <v>0.51427854795439787</v>
      </c>
      <c r="BK227" s="276">
        <f t="shared" ca="1" si="649"/>
        <v>0.51856507325809442</v>
      </c>
      <c r="BL227" s="222">
        <f t="shared" ca="1" si="649"/>
        <v>0.51856507325809442</v>
      </c>
      <c r="BM227" s="275">
        <f t="shared" ref="BM227:BQ227" ca="1" si="650">+BM226/BM230</f>
        <v>0.52445590118711616</v>
      </c>
      <c r="BN227" s="252">
        <f t="shared" ca="1" si="650"/>
        <v>0.5213440650789819</v>
      </c>
      <c r="BO227" s="252">
        <f t="shared" ca="1" si="650"/>
        <v>0.49626902406039336</v>
      </c>
      <c r="BP227" s="276">
        <f t="shared" ca="1" si="650"/>
        <v>0.519479567594199</v>
      </c>
      <c r="BQ227" s="222">
        <f t="shared" ca="1" si="650"/>
        <v>0.519479567594199</v>
      </c>
      <c r="BR227" s="223"/>
      <c r="BS227" s="223"/>
      <c r="BT227" s="223"/>
      <c r="BU227" s="223"/>
      <c r="BV227" s="223"/>
      <c r="BW227" s="223"/>
      <c r="BX227" s="223"/>
      <c r="BY227" s="223"/>
      <c r="BZ227" s="223"/>
      <c r="CA227" s="223"/>
      <c r="CB227" s="223"/>
      <c r="CC227" s="223"/>
      <c r="CD227" s="223"/>
      <c r="CE227" s="223"/>
      <c r="CF227" s="223"/>
      <c r="CG227" s="223"/>
      <c r="CH227" s="223"/>
      <c r="CI227" s="223"/>
      <c r="CJ227" s="223"/>
      <c r="CK227" s="223"/>
      <c r="CL227" s="223"/>
      <c r="CM227" s="223"/>
      <c r="CN227" s="223"/>
      <c r="CO227" s="223"/>
      <c r="CP227" s="223"/>
      <c r="CQ227" s="223"/>
      <c r="CR227" s="223"/>
      <c r="CS227" s="223"/>
      <c r="CT227" s="223"/>
      <c r="CU227" s="223"/>
    </row>
    <row r="228" spans="1:99">
      <c r="A228" s="223"/>
      <c r="B228" s="223"/>
      <c r="C228" s="408" t="s">
        <v>708</v>
      </c>
      <c r="D228" s="223"/>
      <c r="E228" s="275"/>
      <c r="F228" s="252"/>
      <c r="G228" s="252"/>
      <c r="H228" s="276"/>
      <c r="I228" s="222"/>
      <c r="J228" s="275"/>
      <c r="K228" s="252"/>
      <c r="L228" s="252"/>
      <c r="M228" s="276"/>
      <c r="N228" s="222"/>
      <c r="O228" s="275"/>
      <c r="P228" s="252"/>
      <c r="Q228" s="252"/>
      <c r="R228" s="276"/>
      <c r="S228" s="222"/>
      <c r="T228" s="275"/>
      <c r="U228" s="252"/>
      <c r="V228" s="252"/>
      <c r="W228" s="276"/>
      <c r="X228" s="222">
        <f>(X226/(X230-X233))</f>
        <v>0.45223195661243221</v>
      </c>
      <c r="Y228" s="275">
        <f>(Y226/(Y230-Y233))</f>
        <v>0.4608909874769041</v>
      </c>
      <c r="Z228" s="252">
        <f t="shared" ref="Z228:AE228" si="651">(Z226/(Z230-Z233))</f>
        <v>0.43953488372093025</v>
      </c>
      <c r="AA228" s="252">
        <f t="shared" si="651"/>
        <v>0.47783962069676356</v>
      </c>
      <c r="AB228" s="276">
        <f>(AB226/(AB230-AB233))</f>
        <v>0.47691066747328092</v>
      </c>
      <c r="AC228" s="222">
        <f>(AC226/(AC230-AC233))</f>
        <v>0.47691066747328092</v>
      </c>
      <c r="AD228" s="275">
        <f>(AD226/(AD230-AD233))</f>
        <v>0.49216552832462834</v>
      </c>
      <c r="AE228" s="252">
        <f t="shared" si="651"/>
        <v>0.49707602339181284</v>
      </c>
      <c r="AF228" s="252">
        <f>(AF226/(AF230-AF233))</f>
        <v>0.50676084762865792</v>
      </c>
      <c r="AG228" s="276">
        <f>(AG226/(AG230-AG233))</f>
        <v>0.505223733491031</v>
      </c>
      <c r="AH228" s="222">
        <f>(AH226/(AH230-AH233))</f>
        <v>0.505223733491031</v>
      </c>
      <c r="AI228" s="275">
        <f>(AI226/(AI230-AI233))</f>
        <v>0.52418873183356562</v>
      </c>
      <c r="AJ228" s="252">
        <f t="shared" ref="AJ228" si="652">(AJ226/(AJ230-AJ233))</f>
        <v>0.52845691382765536</v>
      </c>
      <c r="AK228" s="252">
        <f t="shared" ref="AK228:AP228" si="653">(AK226/(AK230-AK233))</f>
        <v>0.52491103202846978</v>
      </c>
      <c r="AL228" s="276">
        <f t="shared" si="653"/>
        <v>0.51702905522416776</v>
      </c>
      <c r="AM228" s="222">
        <f t="shared" si="653"/>
        <v>0.51702905522416776</v>
      </c>
      <c r="AN228" s="275">
        <f t="shared" si="653"/>
        <v>0.52910662824207488</v>
      </c>
      <c r="AO228" s="252">
        <f t="shared" si="653"/>
        <v>0.52591170825335898</v>
      </c>
      <c r="AP228" s="252">
        <f t="shared" si="653"/>
        <v>0.4861576441544701</v>
      </c>
      <c r="AQ228" s="276">
        <f t="shared" ref="AQ228:AT228" si="654">(AQ226/(AQ230-AQ233))</f>
        <v>0.52094384488750689</v>
      </c>
      <c r="AR228" s="222">
        <f t="shared" si="654"/>
        <v>0.52094384488750689</v>
      </c>
      <c r="AS228" s="275">
        <f t="shared" si="654"/>
        <v>0.52270289595995711</v>
      </c>
      <c r="AT228" s="252">
        <f t="shared" si="654"/>
        <v>0.52700018060321474</v>
      </c>
      <c r="AU228" s="252">
        <f t="shared" ref="AU228:AW228" si="655">(AU226/(AU230-AU233))</f>
        <v>0.53858549686660695</v>
      </c>
      <c r="AV228" s="276">
        <f t="shared" si="655"/>
        <v>0.54201898188093178</v>
      </c>
      <c r="AW228" s="222">
        <f t="shared" si="655"/>
        <v>0.54201898188093178</v>
      </c>
      <c r="AX228" s="275">
        <f t="shared" ref="AX228:BA228" ca="1" si="656">(AX226/(AX230-AX233))</f>
        <v>0.54743925921636094</v>
      </c>
      <c r="AY228" s="252">
        <f t="shared" ca="1" si="656"/>
        <v>0.53596122502582</v>
      </c>
      <c r="AZ228" s="252">
        <f t="shared" ca="1" si="656"/>
        <v>0.51708297332487962</v>
      </c>
      <c r="BA228" s="276">
        <f t="shared" ca="1" si="656"/>
        <v>0.51896806782815941</v>
      </c>
      <c r="BB228" s="222">
        <f ca="1">(BB226/(BB230-BB233))</f>
        <v>0.51896806782815941</v>
      </c>
      <c r="BC228" s="275">
        <f t="shared" ref="BC228:BF228" ca="1" si="657">(BC226/(BC230-BC233))</f>
        <v>0.52723171482756614</v>
      </c>
      <c r="BD228" s="252">
        <f t="shared" ca="1" si="657"/>
        <v>0.52022514896077499</v>
      </c>
      <c r="BE228" s="252">
        <f t="shared" ca="1" si="657"/>
        <v>0.51267989603369102</v>
      </c>
      <c r="BF228" s="276">
        <f t="shared" ca="1" si="657"/>
        <v>0.51895057051387983</v>
      </c>
      <c r="BG228" s="222">
        <f ca="1">(BG226/(BG230-BG233))</f>
        <v>0.51895057051387983</v>
      </c>
      <c r="BH228" s="275">
        <f t="shared" ref="BH228:BK228" ca="1" si="658">(BH226/(BH230-BH233))</f>
        <v>0.52661083287008104</v>
      </c>
      <c r="BI228" s="252">
        <f t="shared" ca="1" si="658"/>
        <v>0.5222956095179383</v>
      </c>
      <c r="BJ228" s="252">
        <f t="shared" ca="1" si="658"/>
        <v>0.51427854795439787</v>
      </c>
      <c r="BK228" s="276">
        <f t="shared" ca="1" si="658"/>
        <v>0.51856507325809442</v>
      </c>
      <c r="BL228" s="222">
        <f ca="1">(BL226/(BL230-BL233))</f>
        <v>0.51856507325809442</v>
      </c>
      <c r="BM228" s="275">
        <f t="shared" ref="BM228:BP228" ca="1" si="659">(BM226/(BM230-BM233))</f>
        <v>0.52445590118711616</v>
      </c>
      <c r="BN228" s="252">
        <f t="shared" ca="1" si="659"/>
        <v>0.5213440650789819</v>
      </c>
      <c r="BO228" s="252">
        <f t="shared" ca="1" si="659"/>
        <v>0.49626902406039336</v>
      </c>
      <c r="BP228" s="276">
        <f t="shared" ca="1" si="659"/>
        <v>0.519479567594199</v>
      </c>
      <c r="BQ228" s="222">
        <f ca="1">(BQ226/(BQ230-BQ233))</f>
        <v>0.519479567594199</v>
      </c>
      <c r="BR228" s="223"/>
      <c r="BS228" s="223"/>
      <c r="BT228" s="223"/>
      <c r="BU228" s="223"/>
      <c r="BV228" s="223"/>
      <c r="BW228" s="223"/>
      <c r="BX228" s="223"/>
      <c r="BY228" s="223"/>
      <c r="BZ228" s="223"/>
      <c r="CA228" s="223"/>
      <c r="CB228" s="223"/>
      <c r="CC228" s="223"/>
      <c r="CD228" s="223"/>
      <c r="CE228" s="223"/>
      <c r="CF228" s="223"/>
      <c r="CG228" s="223"/>
      <c r="CH228" s="223"/>
      <c r="CI228" s="223"/>
      <c r="CJ228" s="223"/>
      <c r="CK228" s="223"/>
      <c r="CL228" s="223"/>
      <c r="CM228" s="223"/>
      <c r="CN228" s="223"/>
      <c r="CO228" s="223"/>
      <c r="CP228" s="223"/>
      <c r="CQ228" s="223"/>
      <c r="CR228" s="223"/>
      <c r="CS228" s="223"/>
      <c r="CT228" s="223"/>
      <c r="CU228" s="223"/>
    </row>
    <row r="229" spans="1:99">
      <c r="A229" s="28"/>
      <c r="B229" s="28"/>
      <c r="C229" s="409"/>
      <c r="D229" s="28"/>
      <c r="E229" s="415"/>
      <c r="F229" s="242"/>
      <c r="G229" s="242"/>
      <c r="H229" s="416"/>
      <c r="I229" s="23"/>
      <c r="J229" s="415"/>
      <c r="K229" s="242"/>
      <c r="L229" s="242"/>
      <c r="M229" s="416"/>
      <c r="N229" s="23"/>
      <c r="O229" s="415"/>
      <c r="P229" s="242"/>
      <c r="Q229" s="242"/>
      <c r="R229" s="416"/>
      <c r="S229" s="23"/>
      <c r="T229" s="415"/>
      <c r="U229" s="242"/>
      <c r="V229" s="242"/>
      <c r="W229" s="416"/>
      <c r="X229" s="23"/>
      <c r="Y229" s="415"/>
      <c r="Z229" s="242"/>
      <c r="AA229" s="242"/>
      <c r="AB229" s="416"/>
      <c r="AC229" s="23"/>
      <c r="AD229" s="415"/>
      <c r="AE229" s="242"/>
      <c r="AF229" s="242"/>
      <c r="AG229" s="416"/>
      <c r="AH229" s="23"/>
      <c r="AI229" s="415"/>
      <c r="AJ229" s="242"/>
      <c r="AK229" s="242"/>
      <c r="AL229" s="416"/>
      <c r="AM229" s="23"/>
      <c r="AN229" s="415"/>
      <c r="AO229" s="242"/>
      <c r="AP229" s="242"/>
      <c r="AQ229" s="416"/>
      <c r="AR229" s="23"/>
      <c r="AS229" s="415"/>
      <c r="AT229" s="242"/>
      <c r="AU229" s="242"/>
      <c r="AV229" s="416"/>
      <c r="AW229" s="23"/>
      <c r="AX229" s="415"/>
      <c r="AY229" s="242"/>
      <c r="AZ229" s="242"/>
      <c r="BA229" s="416"/>
      <c r="BB229" s="23"/>
      <c r="BC229" s="415"/>
      <c r="BD229" s="242"/>
      <c r="BE229" s="242"/>
      <c r="BF229" s="416"/>
      <c r="BG229" s="23"/>
      <c r="BH229" s="415"/>
      <c r="BI229" s="242"/>
      <c r="BJ229" s="242"/>
      <c r="BK229" s="416"/>
      <c r="BL229" s="23"/>
      <c r="BM229" s="415"/>
      <c r="BN229" s="242"/>
      <c r="BO229" s="242"/>
      <c r="BP229" s="416"/>
      <c r="BQ229" s="23"/>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row>
    <row r="230" spans="1:99">
      <c r="A230" s="45"/>
      <c r="B230" s="45"/>
      <c r="C230" s="389" t="s">
        <v>494</v>
      </c>
      <c r="D230" s="45"/>
      <c r="E230" s="292">
        <f t="shared" ref="E230:M230" si="660">+E226+E223+E220</f>
        <v>4467.7000000000007</v>
      </c>
      <c r="F230" s="261">
        <f t="shared" si="660"/>
        <v>4398.7</v>
      </c>
      <c r="G230" s="261">
        <f t="shared" si="660"/>
        <v>4422.4000000000005</v>
      </c>
      <c r="H230" s="293">
        <f t="shared" si="660"/>
        <v>4372.7000000000007</v>
      </c>
      <c r="I230" s="228">
        <f t="shared" si="660"/>
        <v>4372.7000000000007</v>
      </c>
      <c r="J230" s="292">
        <f t="shared" si="660"/>
        <v>4387.8999999999996</v>
      </c>
      <c r="K230" s="261">
        <f t="shared" si="660"/>
        <v>4373.5</v>
      </c>
      <c r="L230" s="261">
        <f t="shared" si="660"/>
        <v>4402.2</v>
      </c>
      <c r="M230" s="293">
        <f t="shared" si="660"/>
        <v>4404.7999999999993</v>
      </c>
      <c r="N230" s="228">
        <f t="shared" ref="N230:T230" si="661">+N226+N223+N220</f>
        <v>4404.7999999999993</v>
      </c>
      <c r="O230" s="292">
        <f t="shared" si="661"/>
        <v>4397.6000000000004</v>
      </c>
      <c r="P230" s="261">
        <f t="shared" si="661"/>
        <v>4381.3</v>
      </c>
      <c r="Q230" s="261">
        <f t="shared" si="661"/>
        <v>4519.6000000000004</v>
      </c>
      <c r="R230" s="293">
        <f t="shared" si="661"/>
        <v>4659.1000000000004</v>
      </c>
      <c r="S230" s="228">
        <f t="shared" si="661"/>
        <v>4659.1000000000004</v>
      </c>
      <c r="T230" s="292">
        <f t="shared" si="661"/>
        <v>4627</v>
      </c>
      <c r="U230" s="261">
        <f t="shared" ref="U230:AA230" si="662">+U226+U223+U220</f>
        <v>4566</v>
      </c>
      <c r="V230" s="261">
        <f t="shared" si="662"/>
        <v>4811</v>
      </c>
      <c r="W230" s="293">
        <f t="shared" si="662"/>
        <v>4794</v>
      </c>
      <c r="X230" s="228">
        <f t="shared" si="662"/>
        <v>4794</v>
      </c>
      <c r="Y230" s="292">
        <f t="shared" si="662"/>
        <v>4871</v>
      </c>
      <c r="Z230" s="261">
        <f t="shared" si="662"/>
        <v>5160</v>
      </c>
      <c r="AA230" s="1438">
        <f t="shared" si="662"/>
        <v>4851</v>
      </c>
      <c r="AB230" s="1439">
        <f t="shared" ref="AB230:AH230" si="663">+AB226+AB223+AB220</f>
        <v>4959</v>
      </c>
      <c r="AC230" s="1440">
        <f t="shared" si="663"/>
        <v>4959</v>
      </c>
      <c r="AD230" s="292">
        <f t="shared" si="663"/>
        <v>4978</v>
      </c>
      <c r="AE230" s="261">
        <f t="shared" si="663"/>
        <v>4959</v>
      </c>
      <c r="AF230" s="1438">
        <f t="shared" si="663"/>
        <v>4955</v>
      </c>
      <c r="AG230" s="1439">
        <f t="shared" si="663"/>
        <v>5073</v>
      </c>
      <c r="AH230" s="1440">
        <f t="shared" si="663"/>
        <v>5073</v>
      </c>
      <c r="AI230" s="292">
        <f t="shared" ref="AI230:AM230" si="664">+AI226+AI223+AI220</f>
        <v>5023</v>
      </c>
      <c r="AJ230" s="261">
        <f t="shared" si="664"/>
        <v>4990</v>
      </c>
      <c r="AK230" s="1438">
        <f t="shared" si="664"/>
        <v>5058</v>
      </c>
      <c r="AL230" s="1439">
        <f t="shared" si="664"/>
        <v>5197</v>
      </c>
      <c r="AM230" s="1440">
        <f t="shared" si="664"/>
        <v>5197</v>
      </c>
      <c r="AN230" s="292">
        <f t="shared" ref="AN230:AR230" si="665">+AN226+AN223+AN220</f>
        <v>5205</v>
      </c>
      <c r="AO230" s="261">
        <f t="shared" si="665"/>
        <v>5210</v>
      </c>
      <c r="AP230" s="1438">
        <f t="shared" si="665"/>
        <v>5671</v>
      </c>
      <c r="AQ230" s="1439">
        <f t="shared" si="665"/>
        <v>5467</v>
      </c>
      <c r="AR230" s="1440">
        <f t="shared" si="665"/>
        <v>5467</v>
      </c>
      <c r="AS230" s="292">
        <f t="shared" ref="AS230:AT230" si="666">+AS226+AS223+AS220</f>
        <v>5594</v>
      </c>
      <c r="AT230" s="261">
        <f t="shared" si="666"/>
        <v>5537</v>
      </c>
      <c r="AU230" s="261">
        <f t="shared" ref="AU230:AW230" si="667">+AU226+AU223+AU220</f>
        <v>5585</v>
      </c>
      <c r="AV230" s="1439">
        <f t="shared" si="667"/>
        <v>5795</v>
      </c>
      <c r="AW230" s="1440">
        <f t="shared" si="667"/>
        <v>5795</v>
      </c>
      <c r="AX230" s="292">
        <f ca="1">+AX226+AX223+AX220</f>
        <v>5884.8783524033934</v>
      </c>
      <c r="AY230" s="261">
        <f ca="1">+AY226+AY223+AY220</f>
        <v>6002.3738429149162</v>
      </c>
      <c r="AZ230" s="261">
        <f ca="1">+AZ226+AZ223+AZ220</f>
        <v>6216.3888083813163</v>
      </c>
      <c r="BA230" s="293">
        <f ca="1">+BB230</f>
        <v>6240.7499361759328</v>
      </c>
      <c r="BB230" s="228">
        <f ca="1">+BB226+BB223+BB220</f>
        <v>6240.7499361759328</v>
      </c>
      <c r="BC230" s="292">
        <f ca="1">+BC226+BC223+BC220</f>
        <v>6363.7821674191837</v>
      </c>
      <c r="BD230" s="261">
        <f ca="1">+BD226+BD223+BD220</f>
        <v>6511.1052274301574</v>
      </c>
      <c r="BE230" s="261">
        <f ca="1">+BE226+BE223+BE220</f>
        <v>6724.5327523498945</v>
      </c>
      <c r="BF230" s="293">
        <f ca="1">+BG230</f>
        <v>6812.1897649907751</v>
      </c>
      <c r="BG230" s="228">
        <f ca="1">+BG226+BG223+BG220</f>
        <v>6812.1897649907751</v>
      </c>
      <c r="BH230" s="292">
        <f ca="1">+BH226+BH223+BH220</f>
        <v>6922.4228764420495</v>
      </c>
      <c r="BI230" s="261">
        <f ca="1">+BI226+BI223+BI220</f>
        <v>7029.7649903764341</v>
      </c>
      <c r="BJ230" s="261">
        <f ca="1">+BJ226+BJ223+BJ220</f>
        <v>7209.8936237043381</v>
      </c>
      <c r="BK230" s="293">
        <f ca="1">+BL230</f>
        <v>7274.0879514074013</v>
      </c>
      <c r="BL230" s="228">
        <f ca="1">+BL226+BL223+BL220</f>
        <v>7274.0879514074013</v>
      </c>
      <c r="BM230" s="292">
        <f ca="1">+BM226+BM223+BM220</f>
        <v>7364.1961045088265</v>
      </c>
      <c r="BN230" s="261">
        <f ca="1">+BN226+BN223+BN220</f>
        <v>7421.5948291656659</v>
      </c>
      <c r="BO230" s="261">
        <f ca="1">+BO226+BO223+BO220</f>
        <v>7845.4575731189761</v>
      </c>
      <c r="BP230" s="293">
        <f ca="1">+BQ230</f>
        <v>7600.0930526839174</v>
      </c>
      <c r="BQ230" s="228">
        <f ca="1">+BQ226+BQ223+BQ220</f>
        <v>7600.0930526839174</v>
      </c>
      <c r="BR230" s="45"/>
      <c r="BS230" s="45"/>
      <c r="BT230" s="45"/>
      <c r="BU230" s="45"/>
      <c r="BV230" s="45"/>
      <c r="BW230" s="45"/>
      <c r="BX230" s="45"/>
      <c r="BY230" s="45"/>
      <c r="BZ230" s="45"/>
      <c r="CA230" s="45"/>
      <c r="CB230" s="45"/>
      <c r="CC230" s="45"/>
      <c r="CD230" s="45"/>
      <c r="CE230" s="45"/>
      <c r="CF230" s="45"/>
      <c r="CG230" s="45"/>
      <c r="CH230" s="45"/>
      <c r="CI230" s="45"/>
      <c r="CJ230" s="45"/>
      <c r="CK230" s="45"/>
      <c r="CL230" s="45"/>
      <c r="CM230" s="45"/>
      <c r="CN230" s="45"/>
      <c r="CO230" s="45"/>
      <c r="CP230" s="45"/>
      <c r="CQ230" s="45"/>
      <c r="CR230" s="45"/>
      <c r="CS230" s="45"/>
      <c r="CT230" s="45"/>
      <c r="CU230" s="45"/>
    </row>
    <row r="231" spans="1:99">
      <c r="A231" s="223"/>
      <c r="B231" s="223"/>
      <c r="C231" s="408" t="s">
        <v>612</v>
      </c>
      <c r="D231" s="223"/>
      <c r="E231" s="275">
        <f t="shared" ref="E231:AE231" si="668">(E220+E223+E226)/E230</f>
        <v>1</v>
      </c>
      <c r="F231" s="252">
        <f t="shared" si="668"/>
        <v>1</v>
      </c>
      <c r="G231" s="252">
        <f t="shared" si="668"/>
        <v>1</v>
      </c>
      <c r="H231" s="276">
        <f t="shared" si="668"/>
        <v>0.99999999999999978</v>
      </c>
      <c r="I231" s="222">
        <f t="shared" si="668"/>
        <v>0.99999999999999978</v>
      </c>
      <c r="J231" s="275">
        <f t="shared" si="668"/>
        <v>1</v>
      </c>
      <c r="K231" s="252">
        <f t="shared" si="668"/>
        <v>1</v>
      </c>
      <c r="L231" s="252">
        <f t="shared" si="668"/>
        <v>1</v>
      </c>
      <c r="M231" s="276">
        <f t="shared" si="668"/>
        <v>1</v>
      </c>
      <c r="N231" s="222">
        <f t="shared" si="668"/>
        <v>1</v>
      </c>
      <c r="O231" s="275">
        <f t="shared" si="668"/>
        <v>1</v>
      </c>
      <c r="P231" s="252">
        <f t="shared" si="668"/>
        <v>1</v>
      </c>
      <c r="Q231" s="252">
        <f t="shared" si="668"/>
        <v>1</v>
      </c>
      <c r="R231" s="276">
        <f t="shared" si="668"/>
        <v>1</v>
      </c>
      <c r="S231" s="222">
        <f t="shared" si="668"/>
        <v>1</v>
      </c>
      <c r="T231" s="275">
        <f t="shared" si="668"/>
        <v>1</v>
      </c>
      <c r="U231" s="252">
        <f t="shared" si="668"/>
        <v>1</v>
      </c>
      <c r="V231" s="252">
        <f t="shared" si="668"/>
        <v>1</v>
      </c>
      <c r="W231" s="276">
        <f t="shared" si="668"/>
        <v>1</v>
      </c>
      <c r="X231" s="222">
        <f t="shared" si="668"/>
        <v>1</v>
      </c>
      <c r="Y231" s="275">
        <f t="shared" si="668"/>
        <v>1</v>
      </c>
      <c r="Z231" s="252">
        <f t="shared" si="668"/>
        <v>1</v>
      </c>
      <c r="AA231" s="252">
        <f t="shared" si="668"/>
        <v>1</v>
      </c>
      <c r="AB231" s="276">
        <f>(AB220+AB223+AB226)/AB230</f>
        <v>1</v>
      </c>
      <c r="AC231" s="222">
        <f>(AC220+AC223+AC226)/AC230</f>
        <v>1</v>
      </c>
      <c r="AD231" s="275">
        <f>(AD220+AD223+AD226)/AD230</f>
        <v>1</v>
      </c>
      <c r="AE231" s="252">
        <f t="shared" si="668"/>
        <v>1</v>
      </c>
      <c r="AF231" s="252">
        <f>(AF220+AF223+AF226)/AF230</f>
        <v>1</v>
      </c>
      <c r="AG231" s="276">
        <f>(AG220+AG223+AG226)/AG230</f>
        <v>1</v>
      </c>
      <c r="AH231" s="222">
        <f>(AH220+AH223+AH226)/AH230</f>
        <v>1</v>
      </c>
      <c r="AI231" s="275">
        <f>(AI220+AI223+AI226)/AI230</f>
        <v>1</v>
      </c>
      <c r="AJ231" s="252">
        <f t="shared" ref="AJ231" si="669">(AJ220+AJ223+AJ226)/AJ230</f>
        <v>1</v>
      </c>
      <c r="AK231" s="252">
        <f t="shared" ref="AK231:AP231" si="670">(AK220+AK223+AK226)/AK230</f>
        <v>1</v>
      </c>
      <c r="AL231" s="276">
        <f t="shared" si="670"/>
        <v>1</v>
      </c>
      <c r="AM231" s="222">
        <f t="shared" si="670"/>
        <v>1</v>
      </c>
      <c r="AN231" s="275">
        <f t="shared" si="670"/>
        <v>1</v>
      </c>
      <c r="AO231" s="252">
        <f t="shared" si="670"/>
        <v>1</v>
      </c>
      <c r="AP231" s="252">
        <f t="shared" si="670"/>
        <v>1</v>
      </c>
      <c r="AQ231" s="276">
        <f t="shared" ref="AQ231:AT231" si="671">(AQ220+AQ223+AQ226)/AQ230</f>
        <v>1</v>
      </c>
      <c r="AR231" s="222">
        <f t="shared" si="671"/>
        <v>1</v>
      </c>
      <c r="AS231" s="275">
        <f t="shared" si="671"/>
        <v>1</v>
      </c>
      <c r="AT231" s="252">
        <f t="shared" si="671"/>
        <v>1</v>
      </c>
      <c r="AU231" s="252">
        <f t="shared" ref="AU231:AW231" si="672">(AU220+AU223+AU226)/AU230</f>
        <v>1</v>
      </c>
      <c r="AV231" s="276">
        <f t="shared" si="672"/>
        <v>1</v>
      </c>
      <c r="AW231" s="222">
        <f t="shared" si="672"/>
        <v>1</v>
      </c>
      <c r="AX231" s="275">
        <f t="shared" ref="AX231:BB231" ca="1" si="673">(AX220+AX223+AX226)/AX230</f>
        <v>1</v>
      </c>
      <c r="AY231" s="252">
        <f t="shared" ca="1" si="673"/>
        <v>1</v>
      </c>
      <c r="AZ231" s="252">
        <f t="shared" ca="1" si="673"/>
        <v>1</v>
      </c>
      <c r="BA231" s="276">
        <f t="shared" ca="1" si="673"/>
        <v>1</v>
      </c>
      <c r="BB231" s="222">
        <f t="shared" ca="1" si="673"/>
        <v>1</v>
      </c>
      <c r="BC231" s="275">
        <f t="shared" ref="BC231:BL231" ca="1" si="674">(BC220+BC223+BC226)/BC230</f>
        <v>1</v>
      </c>
      <c r="BD231" s="252">
        <f t="shared" ca="1" si="674"/>
        <v>1</v>
      </c>
      <c r="BE231" s="252">
        <f t="shared" ca="1" si="674"/>
        <v>1</v>
      </c>
      <c r="BF231" s="276">
        <f t="shared" ca="1" si="674"/>
        <v>1</v>
      </c>
      <c r="BG231" s="222">
        <f t="shared" ca="1" si="674"/>
        <v>1</v>
      </c>
      <c r="BH231" s="275">
        <f t="shared" ca="1" si="674"/>
        <v>1</v>
      </c>
      <c r="BI231" s="252">
        <f t="shared" ca="1" si="674"/>
        <v>1</v>
      </c>
      <c r="BJ231" s="252">
        <f t="shared" ca="1" si="674"/>
        <v>1</v>
      </c>
      <c r="BK231" s="276">
        <f t="shared" ca="1" si="674"/>
        <v>1</v>
      </c>
      <c r="BL231" s="222">
        <f t="shared" ca="1" si="674"/>
        <v>1</v>
      </c>
      <c r="BM231" s="275">
        <f t="shared" ref="BM231:BQ231" ca="1" si="675">(BM220+BM223+BM226)/BM230</f>
        <v>1</v>
      </c>
      <c r="BN231" s="252">
        <f t="shared" ca="1" si="675"/>
        <v>1</v>
      </c>
      <c r="BO231" s="252">
        <f t="shared" ca="1" si="675"/>
        <v>1</v>
      </c>
      <c r="BP231" s="276">
        <f t="shared" ca="1" si="675"/>
        <v>1</v>
      </c>
      <c r="BQ231" s="222">
        <f t="shared" ca="1" si="675"/>
        <v>1</v>
      </c>
      <c r="BR231" s="223"/>
      <c r="BS231" s="223"/>
      <c r="BT231" s="223"/>
      <c r="BU231" s="223"/>
      <c r="BV231" s="223"/>
      <c r="BW231" s="223"/>
      <c r="BX231" s="223"/>
      <c r="BY231" s="223"/>
      <c r="BZ231" s="223"/>
      <c r="CA231" s="223"/>
      <c r="CB231" s="223"/>
      <c r="CC231" s="223"/>
      <c r="CD231" s="223"/>
      <c r="CE231" s="223"/>
      <c r="CF231" s="223"/>
      <c r="CG231" s="223"/>
      <c r="CH231" s="223"/>
      <c r="CI231" s="223"/>
      <c r="CJ231" s="223"/>
      <c r="CK231" s="223"/>
      <c r="CL231" s="223"/>
      <c r="CM231" s="223"/>
      <c r="CN231" s="223"/>
      <c r="CO231" s="223"/>
      <c r="CP231" s="223"/>
      <c r="CQ231" s="223"/>
      <c r="CR231" s="223"/>
      <c r="CS231" s="223"/>
      <c r="CT231" s="223"/>
      <c r="CU231" s="223"/>
    </row>
    <row r="232" spans="1:99">
      <c r="A232" s="28"/>
      <c r="B232" s="28"/>
      <c r="C232" s="28"/>
      <c r="D232" s="28"/>
      <c r="E232" s="415"/>
      <c r="F232" s="242"/>
      <c r="G232" s="242"/>
      <c r="H232" s="416"/>
      <c r="I232" s="23"/>
      <c r="J232" s="415"/>
      <c r="K232" s="242"/>
      <c r="L232" s="242"/>
      <c r="M232" s="416"/>
      <c r="N232" s="23"/>
      <c r="O232" s="415"/>
      <c r="P232" s="242"/>
      <c r="Q232" s="242"/>
      <c r="R232" s="416"/>
      <c r="S232" s="23"/>
      <c r="T232" s="415"/>
      <c r="U232" s="242"/>
      <c r="V232" s="242"/>
      <c r="W232" s="416"/>
      <c r="X232" s="23"/>
      <c r="Y232" s="415"/>
      <c r="Z232" s="242"/>
      <c r="AA232" s="242"/>
      <c r="AB232" s="416"/>
      <c r="AC232" s="23"/>
      <c r="AD232" s="415"/>
      <c r="AE232" s="242"/>
      <c r="AF232" s="242"/>
      <c r="AG232" s="416"/>
      <c r="AH232" s="23"/>
      <c r="AI232" s="415"/>
      <c r="AJ232" s="242"/>
      <c r="AK232" s="242"/>
      <c r="AL232" s="416"/>
      <c r="AM232" s="23"/>
      <c r="AN232" s="415"/>
      <c r="AO232" s="242"/>
      <c r="AP232" s="242"/>
      <c r="AQ232" s="416"/>
      <c r="AR232" s="23"/>
      <c r="AS232" s="415"/>
      <c r="AT232" s="242"/>
      <c r="AU232" s="242"/>
      <c r="AV232" s="416"/>
      <c r="AW232" s="23"/>
      <c r="AX232" s="415"/>
      <c r="AY232" s="242"/>
      <c r="AZ232" s="242"/>
      <c r="BA232" s="416"/>
      <c r="BB232" s="23"/>
      <c r="BC232" s="415"/>
      <c r="BD232" s="242"/>
      <c r="BE232" s="242"/>
      <c r="BF232" s="416"/>
      <c r="BG232" s="23"/>
      <c r="BH232" s="415"/>
      <c r="BI232" s="242"/>
      <c r="BJ232" s="242"/>
      <c r="BK232" s="416"/>
      <c r="BL232" s="23"/>
      <c r="BM232" s="415"/>
      <c r="BN232" s="242"/>
      <c r="BO232" s="242"/>
      <c r="BP232" s="416"/>
      <c r="BQ232" s="23"/>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row>
    <row r="233" spans="1:99">
      <c r="A233" s="28"/>
      <c r="B233" s="28"/>
      <c r="C233" s="409" t="s">
        <v>705</v>
      </c>
      <c r="D233" s="28"/>
      <c r="E233" s="290">
        <f>+F233</f>
        <v>0</v>
      </c>
      <c r="F233" s="260">
        <f>+G233</f>
        <v>0</v>
      </c>
      <c r="G233" s="260">
        <f>+H233</f>
        <v>0</v>
      </c>
      <c r="H233" s="291">
        <f>+I233</f>
        <v>0</v>
      </c>
      <c r="I233" s="45"/>
      <c r="J233" s="290"/>
      <c r="K233" s="260"/>
      <c r="L233" s="260"/>
      <c r="M233" s="291"/>
      <c r="N233" s="45"/>
      <c r="O233" s="290"/>
      <c r="P233" s="260"/>
      <c r="Q233" s="260"/>
      <c r="R233" s="291"/>
      <c r="S233" s="45"/>
      <c r="T233" s="290"/>
      <c r="U233" s="260"/>
      <c r="V233" s="260"/>
      <c r="W233" s="291"/>
      <c r="X233" s="45"/>
      <c r="Y233" s="290"/>
      <c r="Z233" s="260"/>
      <c r="AA233" s="260"/>
      <c r="AB233" s="1442"/>
      <c r="AC233" s="45"/>
      <c r="AD233" s="290"/>
      <c r="AE233" s="260"/>
      <c r="AF233" s="260"/>
      <c r="AG233" s="1442"/>
      <c r="AH233" s="45"/>
      <c r="AI233" s="290"/>
      <c r="AJ233" s="260"/>
      <c r="AK233" s="260"/>
      <c r="AL233" s="291"/>
      <c r="AM233" s="45"/>
      <c r="AN233" s="290"/>
      <c r="AO233" s="260"/>
      <c r="AP233" s="260"/>
      <c r="AQ233" s="291"/>
      <c r="AR233" s="45"/>
      <c r="AS233" s="290"/>
      <c r="AT233" s="260"/>
      <c r="AU233" s="260"/>
      <c r="AV233" s="291"/>
      <c r="AW233" s="45"/>
      <c r="AX233" s="290"/>
      <c r="AY233" s="260"/>
      <c r="AZ233" s="260"/>
      <c r="BA233" s="291"/>
      <c r="BB233" s="45"/>
      <c r="BC233" s="290"/>
      <c r="BD233" s="260"/>
      <c r="BE233" s="260"/>
      <c r="BF233" s="291"/>
      <c r="BG233" s="45"/>
      <c r="BH233" s="290"/>
      <c r="BI233" s="260"/>
      <c r="BJ233" s="260"/>
      <c r="BK233" s="291"/>
      <c r="BL233" s="45"/>
      <c r="BM233" s="290"/>
      <c r="BN233" s="260"/>
      <c r="BO233" s="260"/>
      <c r="BP233" s="291"/>
      <c r="BQ233" s="45"/>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row>
    <row r="234" spans="1:99">
      <c r="A234" s="28"/>
      <c r="B234" s="28"/>
      <c r="C234" s="409"/>
      <c r="D234" s="28"/>
      <c r="E234" s="415"/>
      <c r="F234" s="242"/>
      <c r="G234" s="242"/>
      <c r="H234" s="416"/>
      <c r="I234" s="23"/>
      <c r="J234" s="415"/>
      <c r="K234" s="242"/>
      <c r="L234" s="242"/>
      <c r="M234" s="416"/>
      <c r="N234" s="23"/>
      <c r="O234" s="415"/>
      <c r="P234" s="242"/>
      <c r="Q234" s="242"/>
      <c r="R234" s="416"/>
      <c r="S234" s="23"/>
      <c r="T234" s="415"/>
      <c r="U234" s="242"/>
      <c r="V234" s="242"/>
      <c r="W234" s="416"/>
      <c r="X234" s="23"/>
      <c r="Y234" s="415"/>
      <c r="Z234" s="242"/>
      <c r="AA234" s="242"/>
      <c r="AB234" s="416"/>
      <c r="AC234" s="23"/>
      <c r="AD234" s="415"/>
      <c r="AE234" s="242"/>
      <c r="AF234" s="242"/>
      <c r="AG234" s="416"/>
      <c r="AH234" s="23"/>
      <c r="AI234" s="415"/>
      <c r="AJ234" s="242"/>
      <c r="AK234" s="242"/>
      <c r="AL234" s="416"/>
      <c r="AM234" s="23"/>
      <c r="AN234" s="415"/>
      <c r="AO234" s="242"/>
      <c r="AP234" s="242"/>
      <c r="AQ234" s="416"/>
      <c r="AR234" s="23"/>
      <c r="AS234" s="415"/>
      <c r="AT234" s="242"/>
      <c r="AU234" s="242"/>
      <c r="AV234" s="416"/>
      <c r="AW234" s="23"/>
      <c r="AX234" s="415"/>
      <c r="AY234" s="242"/>
      <c r="AZ234" s="242"/>
      <c r="BA234" s="416"/>
      <c r="BB234" s="23"/>
      <c r="BC234" s="415"/>
      <c r="BD234" s="242"/>
      <c r="BE234" s="242"/>
      <c r="BF234" s="416"/>
      <c r="BG234" s="23"/>
      <c r="BH234" s="415"/>
      <c r="BI234" s="242"/>
      <c r="BJ234" s="242"/>
      <c r="BK234" s="416"/>
      <c r="BL234" s="23"/>
      <c r="BM234" s="415"/>
      <c r="BN234" s="242"/>
      <c r="BO234" s="242"/>
      <c r="BP234" s="416"/>
      <c r="BQ234" s="23"/>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row>
    <row r="235" spans="1:99">
      <c r="A235" s="28"/>
      <c r="B235" s="28"/>
      <c r="C235" s="28"/>
      <c r="D235" s="28"/>
      <c r="E235" s="415"/>
      <c r="F235" s="242"/>
      <c r="G235" s="242"/>
      <c r="H235" s="416"/>
      <c r="I235" s="23"/>
      <c r="J235" s="415"/>
      <c r="K235" s="242"/>
      <c r="L235" s="242"/>
      <c r="M235" s="416"/>
      <c r="N235" s="23"/>
      <c r="O235" s="415"/>
      <c r="P235" s="242"/>
      <c r="Q235" s="242"/>
      <c r="R235" s="416"/>
      <c r="S235" s="23"/>
      <c r="T235" s="415"/>
      <c r="U235" s="242"/>
      <c r="V235" s="242"/>
      <c r="W235" s="416"/>
      <c r="X235" s="23"/>
      <c r="Y235" s="415"/>
      <c r="Z235" s="242"/>
      <c r="AA235" s="242"/>
      <c r="AB235" s="416"/>
      <c r="AC235" s="23"/>
      <c r="AD235" s="415"/>
      <c r="AE235" s="242"/>
      <c r="AF235" s="242"/>
      <c r="AG235" s="416"/>
      <c r="AH235" s="23"/>
      <c r="AI235" s="415"/>
      <c r="AJ235" s="242"/>
      <c r="AK235" s="242"/>
      <c r="AL235" s="416"/>
      <c r="AM235" s="23"/>
      <c r="AN235" s="415"/>
      <c r="AO235" s="242"/>
      <c r="AP235" s="242"/>
      <c r="AQ235" s="416"/>
      <c r="AR235" s="23"/>
      <c r="AS235" s="415"/>
      <c r="AT235" s="242"/>
      <c r="AU235" s="242"/>
      <c r="AV235" s="416"/>
      <c r="AW235" s="23"/>
      <c r="AX235" s="415"/>
      <c r="AY235" s="242"/>
      <c r="AZ235" s="242"/>
      <c r="BA235" s="416"/>
      <c r="BB235" s="23"/>
      <c r="BC235" s="415"/>
      <c r="BD235" s="242"/>
      <c r="BE235" s="242"/>
      <c r="BF235" s="416"/>
      <c r="BG235" s="23"/>
      <c r="BH235" s="415"/>
      <c r="BI235" s="242"/>
      <c r="BJ235" s="242"/>
      <c r="BK235" s="416"/>
      <c r="BL235" s="23"/>
      <c r="BM235" s="415"/>
      <c r="BN235" s="242"/>
      <c r="BO235" s="242"/>
      <c r="BP235" s="416"/>
      <c r="BQ235" s="23"/>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row>
    <row r="236" spans="1:99">
      <c r="A236" s="28"/>
      <c r="B236" s="73" t="s">
        <v>613</v>
      </c>
      <c r="C236" s="246"/>
      <c r="D236" s="15"/>
      <c r="E236" s="415"/>
      <c r="F236" s="242"/>
      <c r="G236" s="242"/>
      <c r="H236" s="416"/>
      <c r="I236" s="23"/>
      <c r="J236" s="415"/>
      <c r="K236" s="242"/>
      <c r="L236" s="242"/>
      <c r="M236" s="416"/>
      <c r="N236" s="23"/>
      <c r="O236" s="415"/>
      <c r="P236" s="242"/>
      <c r="Q236" s="242"/>
      <c r="R236" s="416"/>
      <c r="S236" s="23"/>
      <c r="T236" s="415"/>
      <c r="U236" s="242"/>
      <c r="V236" s="242"/>
      <c r="W236" s="416"/>
      <c r="X236" s="23"/>
      <c r="Y236" s="415"/>
      <c r="Z236" s="242"/>
      <c r="AA236" s="242"/>
      <c r="AB236" s="416"/>
      <c r="AC236" s="23"/>
      <c r="AD236" s="415"/>
      <c r="AE236" s="242"/>
      <c r="AF236" s="242"/>
      <c r="AG236" s="416"/>
      <c r="AH236" s="23"/>
      <c r="AI236" s="415"/>
      <c r="AJ236" s="242"/>
      <c r="AK236" s="242"/>
      <c r="AL236" s="416"/>
      <c r="AM236" s="23"/>
      <c r="AN236" s="415"/>
      <c r="AO236" s="242"/>
      <c r="AP236" s="242"/>
      <c r="AQ236" s="416"/>
      <c r="AR236" s="23"/>
      <c r="AS236" s="415"/>
      <c r="AT236" s="242"/>
      <c r="AU236" s="242"/>
      <c r="AV236" s="416"/>
      <c r="AW236" s="23"/>
      <c r="AX236" s="415"/>
      <c r="AY236" s="242"/>
      <c r="AZ236" s="242"/>
      <c r="BA236" s="416"/>
      <c r="BB236" s="23"/>
      <c r="BC236" s="415"/>
      <c r="BD236" s="242"/>
      <c r="BE236" s="242"/>
      <c r="BF236" s="416"/>
      <c r="BG236" s="23"/>
      <c r="BH236" s="415"/>
      <c r="BI236" s="242"/>
      <c r="BJ236" s="242"/>
      <c r="BK236" s="416"/>
      <c r="BL236" s="23"/>
      <c r="BM236" s="415"/>
      <c r="BN236" s="242"/>
      <c r="BO236" s="242"/>
      <c r="BP236" s="416"/>
      <c r="BQ236" s="23"/>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row>
    <row r="237" spans="1:99">
      <c r="A237" s="45"/>
      <c r="B237" s="45"/>
      <c r="C237" s="391" t="s">
        <v>222</v>
      </c>
      <c r="D237" s="45"/>
      <c r="E237" s="290"/>
      <c r="F237" s="260"/>
      <c r="G237" s="261"/>
      <c r="H237" s="291">
        <f>SUM(E38:H38)+SUM(E14:H14)</f>
        <v>571.9799999999999</v>
      </c>
      <c r="I237" s="45">
        <f>I38+I14</f>
        <v>571.98</v>
      </c>
      <c r="J237" s="290">
        <f>SUM(J38,F38:H38)+SUM(J14,F14:H14)</f>
        <v>565.41999999999996</v>
      </c>
      <c r="K237" s="260">
        <f>SUM(J38:K38,G38:H38)+SUM(J14:K14,G14:H14)</f>
        <v>561.31999999999982</v>
      </c>
      <c r="L237" s="260">
        <f>SUM(J38:L38,H38)+SUM(J14:L14,H14)</f>
        <v>552.21999999999991</v>
      </c>
      <c r="M237" s="291">
        <f>SUM(J38:M38)+SUM(J14:M14)</f>
        <v>396.85999999999979</v>
      </c>
      <c r="N237" s="45">
        <f>N38+N14</f>
        <v>396.86000000000024</v>
      </c>
      <c r="O237" s="290">
        <f>SUM(O38,K38:M38)+SUM(O14,K14:M14)</f>
        <v>408.91999999999996</v>
      </c>
      <c r="P237" s="260">
        <f>SUM(O38:P38,L38:M38)+SUM(O14:P14,L14:M14)</f>
        <v>434.64</v>
      </c>
      <c r="Q237" s="260">
        <f>SUM(O38:Q38,M38)+SUM(O14:Q14,M14)</f>
        <v>418.39</v>
      </c>
      <c r="R237" s="291">
        <f>SUM(O38:R38)+SUM(O14:R14)</f>
        <v>447.80000000000041</v>
      </c>
      <c r="S237" s="45">
        <f>S38+S14</f>
        <v>447.80000000000041</v>
      </c>
      <c r="T237" s="290">
        <f>SUM(T38,P38:R38)+SUM(T14,P14:R14)</f>
        <v>431.35000000000048</v>
      </c>
      <c r="U237" s="260">
        <f>SUM(U38,Q38:S38)+SUM(U14,Q14:S14)</f>
        <v>728.4800000000007</v>
      </c>
      <c r="V237" s="260">
        <f>SUM(T38:V38,R38)+SUM(T14:V14,R14)</f>
        <v>418.38000000000034</v>
      </c>
      <c r="W237" s="291">
        <f>SUM(T38:W38)+SUM(T14:W14)</f>
        <v>377</v>
      </c>
      <c r="X237" s="45">
        <f>X38+X14</f>
        <v>377</v>
      </c>
      <c r="Y237" s="290">
        <f>SUM(Y38,U38:W38)+SUM(Y14,U14:W14)</f>
        <v>406.35</v>
      </c>
      <c r="Z237" s="260">
        <f>SUM(Y38:Z38,V38:W38)+SUM(Y14:Z14,V14:W14)</f>
        <v>424.35</v>
      </c>
      <c r="AA237" s="1441">
        <f>SUM(Y38:AA38,W38)+SUM(Y14:AA14,W14)</f>
        <v>488.35</v>
      </c>
      <c r="AB237" s="1442">
        <f>SUM(Y38:AB38)+SUM(Y14:AB14)</f>
        <v>543</v>
      </c>
      <c r="AC237" s="1443">
        <f>AC38+AC14</f>
        <v>543</v>
      </c>
      <c r="AD237" s="290">
        <f>SUM(AD38,Z38:AB38)+SUM(AD14,Z14:AB14)</f>
        <v>569</v>
      </c>
      <c r="AE237" s="260">
        <f>SUM(AD38:AE38,AA38:AB38)+SUM(AD14:AE14,AA14:AB14)</f>
        <v>569</v>
      </c>
      <c r="AF237" s="260">
        <f>SUM(AD38:AF38,AB38)+SUM(AD14:AF14,AB14)</f>
        <v>564</v>
      </c>
      <c r="AG237" s="291">
        <f>SUM(AD38:AG38)+SUM(AD14:AG14)</f>
        <v>570</v>
      </c>
      <c r="AH237" s="45">
        <f>AH38+AH14</f>
        <v>570</v>
      </c>
      <c r="AI237" s="290">
        <f>SUM(AI38,AE38:AG38)+SUM(AI14,AE14:AG14)</f>
        <v>590</v>
      </c>
      <c r="AJ237" s="260">
        <f>SUM(AI38:AJ38,AF38:AG38)+SUM(AI14:AJ14,AF14:AG14)</f>
        <v>617</v>
      </c>
      <c r="AK237" s="260">
        <f>SUM(AI38:AK38,AG38)+SUM(AI14:AK14,AG14)</f>
        <v>624</v>
      </c>
      <c r="AL237" s="291">
        <f>SUM(AI38:AL38)+SUM(AI14:AL14)</f>
        <v>643</v>
      </c>
      <c r="AM237" s="45">
        <f>AM38+AM14</f>
        <v>643</v>
      </c>
      <c r="AN237" s="290">
        <f>SUM(AN38,AJ38:AL38)+SUM(AN14,AJ14:AL14)</f>
        <v>639</v>
      </c>
      <c r="AO237" s="260">
        <f>SUM(AN38:AO38,AK38:AL38)+SUM(AN14:AO14,AK14:AL14)</f>
        <v>633</v>
      </c>
      <c r="AP237" s="260">
        <f>SUM(AN38:AP38,AL38)+SUM(AN14:AP14,AL14)</f>
        <v>658</v>
      </c>
      <c r="AQ237" s="291">
        <f>SUM(AN38:AQ38)+SUM(AN14:AQ14)</f>
        <v>712</v>
      </c>
      <c r="AR237" s="45">
        <f>AR38+AR14</f>
        <v>712</v>
      </c>
      <c r="AS237" s="290">
        <f>SUM(AS38,AO38:AQ38)+SUM(AS14,AO14:AQ14)</f>
        <v>757</v>
      </c>
      <c r="AT237" s="260">
        <f>SUM(AS38:AT38,AP38:AQ38)+SUM(AS14:AT14,AP14:AQ14)</f>
        <v>789</v>
      </c>
      <c r="AU237" s="260">
        <f>SUM(AS38:AU38,AQ38)+SUM(AS14:AU14,AQ14)</f>
        <v>806</v>
      </c>
      <c r="AV237" s="291">
        <f>SUM(AS38:AV38)+SUM(AS14:AV14)</f>
        <v>790.99999999999989</v>
      </c>
      <c r="AW237" s="45">
        <f>AW38+AW14</f>
        <v>791</v>
      </c>
      <c r="AX237" s="290">
        <f>SUM(AX38,AT38:AV38)+SUM(AX14,AT14:AV14)</f>
        <v>801.88094546811897</v>
      </c>
      <c r="AY237" s="260">
        <f ca="1">SUM(AX38:AY38,AU38:AV38)+SUM(AX14:AY14,AU14:AV14)</f>
        <v>812.95749910350207</v>
      </c>
      <c r="AZ237" s="260">
        <f ca="1">SUM(AX38:AZ38,AV38)+SUM(AX14:AZ14,AV14)</f>
        <v>807.75258220540468</v>
      </c>
      <c r="BA237" s="291">
        <f ca="1">SUM(AX38:BA38)+SUM(AX14:BA14)</f>
        <v>813.33531532465804</v>
      </c>
      <c r="BB237" s="45">
        <f ca="1">BB38+BB14</f>
        <v>813.33531532465781</v>
      </c>
      <c r="BC237" s="290">
        <f ca="1">SUM(BC38,AY38:BA38)+SUM(BC14,AY14:BA14)</f>
        <v>812.11987784677672</v>
      </c>
      <c r="BD237" s="260">
        <f ca="1">SUM(BC38:BD38,AZ38:BA38)+SUM(BC14:BD14,AZ14:BA14)</f>
        <v>811.78496372502752</v>
      </c>
      <c r="BE237" s="260">
        <f ca="1">SUM(BC38:BE38,BA38)+SUM(BC14:BE14,BA14)</f>
        <v>838.10589858382127</v>
      </c>
      <c r="BF237" s="291">
        <f ca="1">SUM(BC38:BF38)+SUM(BC14:BF14)</f>
        <v>865.11573040929306</v>
      </c>
      <c r="BG237" s="45">
        <f ca="1">BG38+BG14</f>
        <v>865.1157304092925</v>
      </c>
      <c r="BH237" s="290">
        <f ca="1">SUM(BH38,BD38:BF38)+SUM(BH14,BD14:BF14)</f>
        <v>890.45713220077198</v>
      </c>
      <c r="BI237" s="260">
        <f ca="1">SUM(BH38:BI38,BE38:BF38)+SUM(BH14:BI14,BE14:BF14)</f>
        <v>916.83880681708649</v>
      </c>
      <c r="BJ237" s="260">
        <f ca="1">SUM(BH38:BJ38,BF38)+SUM(BH14:BJ14,BF14)</f>
        <v>924.83486958901437</v>
      </c>
      <c r="BK237" s="291">
        <f ca="1">SUM(BH38:BK38)+SUM(BH14:BK14)</f>
        <v>933.15247979942137</v>
      </c>
      <c r="BL237" s="45">
        <f ca="1">BL38+BL14</f>
        <v>933.15247979942114</v>
      </c>
      <c r="BM237" s="290">
        <f ca="1">SUM(BM38,BI38:BK38)+SUM(BM14,BI14:BK14)</f>
        <v>940.83075607466913</v>
      </c>
      <c r="BN237" s="260">
        <f ca="1">SUM(BM38:BN38,BJ38:BK38)+SUM(BM14:BN14,BJ14:BK14)</f>
        <v>949.31709187645492</v>
      </c>
      <c r="BO237" s="260">
        <f ca="1">SUM(BM38:BO38,BK38)+SUM(BM14:BO14,BK14)</f>
        <v>964.60122187085312</v>
      </c>
      <c r="BP237" s="291">
        <f ca="1">SUM(BM38:BP38)+SUM(BM14:BP14)</f>
        <v>981.99424881107007</v>
      </c>
      <c r="BQ237" s="45">
        <f ca="1">BQ38+BQ14</f>
        <v>981.99424881107018</v>
      </c>
      <c r="BR237" s="45"/>
      <c r="BS237" s="45"/>
      <c r="BT237" s="45"/>
      <c r="BU237" s="45"/>
      <c r="BV237" s="45"/>
      <c r="BW237" s="45"/>
      <c r="BX237" s="45"/>
      <c r="BY237" s="45"/>
      <c r="BZ237" s="45"/>
      <c r="CA237" s="45"/>
      <c r="CB237" s="45"/>
      <c r="CC237" s="45"/>
      <c r="CD237" s="45"/>
      <c r="CE237" s="45"/>
      <c r="CF237" s="45"/>
      <c r="CG237" s="45"/>
      <c r="CH237" s="45"/>
      <c r="CI237" s="45"/>
      <c r="CJ237" s="45"/>
      <c r="CK237" s="45"/>
      <c r="CL237" s="45"/>
      <c r="CM237" s="45"/>
      <c r="CN237" s="45"/>
      <c r="CO237" s="45"/>
      <c r="CP237" s="45"/>
      <c r="CQ237" s="45"/>
      <c r="CR237" s="45"/>
      <c r="CS237" s="45"/>
      <c r="CT237" s="45"/>
      <c r="CU237" s="45"/>
    </row>
    <row r="238" spans="1:99">
      <c r="A238" s="45"/>
      <c r="B238" s="45"/>
      <c r="C238" s="391" t="s">
        <v>227</v>
      </c>
      <c r="D238" s="45"/>
      <c r="E238" s="290"/>
      <c r="F238" s="260"/>
      <c r="G238" s="261"/>
      <c r="H238" s="291">
        <f>SUM(E24:H24)</f>
        <v>293.79999999999984</v>
      </c>
      <c r="I238" s="45">
        <f>+I24</f>
        <v>293.80000000000007</v>
      </c>
      <c r="J238" s="290">
        <f>SUM(J24,F24:H24)</f>
        <v>260.99999999999989</v>
      </c>
      <c r="K238" s="260">
        <f>SUM(J24:K24,G24:H24)</f>
        <v>260.89999999999981</v>
      </c>
      <c r="L238" s="260">
        <f>SUM(J24:L24,H24)</f>
        <v>255.99999999999989</v>
      </c>
      <c r="M238" s="291">
        <f>SUM(J24:M24)</f>
        <v>374.99999999999977</v>
      </c>
      <c r="N238" s="45">
        <f>+N24</f>
        <v>375.00000000000028</v>
      </c>
      <c r="O238" s="290">
        <f>SUM(O24,K24:M24)</f>
        <v>391.09999999999991</v>
      </c>
      <c r="P238" s="260">
        <f>SUM(O24:P24,L24:M24)</f>
        <v>388.5</v>
      </c>
      <c r="Q238" s="260">
        <f>SUM(O24:Q24,M24)</f>
        <v>336.9</v>
      </c>
      <c r="R238" s="291">
        <f>SUM(O24:R24)</f>
        <v>335.80000000000035</v>
      </c>
      <c r="S238" s="45">
        <f>+S24</f>
        <v>335.80000000000035</v>
      </c>
      <c r="T238" s="290">
        <f>SUM(T24,P24:R24)</f>
        <v>171.30000000000038</v>
      </c>
      <c r="U238" s="260">
        <f>SUM(U24,Q24:S24)</f>
        <v>512.30000000000064</v>
      </c>
      <c r="V238" s="260">
        <f>SUM(T24:V24,R24)</f>
        <v>177.3000000000003</v>
      </c>
      <c r="W238" s="291">
        <f>SUM(T24:W24)</f>
        <v>155</v>
      </c>
      <c r="X238" s="45">
        <f>+X24</f>
        <v>155</v>
      </c>
      <c r="Y238" s="290">
        <f>SUM(Y24,U24:W24)</f>
        <v>328</v>
      </c>
      <c r="Z238" s="260">
        <f>SUM(Y24:Z24,V24:W24)</f>
        <v>342</v>
      </c>
      <c r="AA238" s="1441">
        <f>SUM(Y24:AA24,W24)</f>
        <v>425</v>
      </c>
      <c r="AB238" s="1442">
        <f>SUM(Y24:AB24)</f>
        <v>466</v>
      </c>
      <c r="AC238" s="1443">
        <f>+AC24</f>
        <v>466</v>
      </c>
      <c r="AD238" s="290">
        <f>SUM(AD24,Z24:AB24)</f>
        <v>471</v>
      </c>
      <c r="AE238" s="260">
        <f>SUM(AD24:AE24,AA24:AB24)</f>
        <v>458</v>
      </c>
      <c r="AF238" s="260">
        <f>SUM(AD24:AF24,AB24)</f>
        <v>446</v>
      </c>
      <c r="AG238" s="291">
        <f>SUM(AD24:AG24)</f>
        <v>457</v>
      </c>
      <c r="AH238" s="45">
        <f>+AH24</f>
        <v>457</v>
      </c>
      <c r="AI238" s="290">
        <f>SUM(AI24,AE24:AG24)</f>
        <v>492</v>
      </c>
      <c r="AJ238" s="260">
        <f>SUM(AI24:AJ24,AF24:AG24)</f>
        <v>535</v>
      </c>
      <c r="AK238" s="260">
        <f>SUM(AI24:AK24,AG24)</f>
        <v>543</v>
      </c>
      <c r="AL238" s="291">
        <f>SUM(AI24:AL24)</f>
        <v>576</v>
      </c>
      <c r="AM238" s="45">
        <f>+AM24</f>
        <v>576</v>
      </c>
      <c r="AN238" s="290">
        <f>SUM(AN24,AJ24:AL24)</f>
        <v>559</v>
      </c>
      <c r="AO238" s="260">
        <f>SUM(AN24:AO24,AK24:AL24)</f>
        <v>520</v>
      </c>
      <c r="AP238" s="260">
        <f>SUM(AN24:AP24,AL24)</f>
        <v>526</v>
      </c>
      <c r="AQ238" s="291">
        <f>SUM(AN24:AQ24)</f>
        <v>571</v>
      </c>
      <c r="AR238" s="45">
        <f>+AR24</f>
        <v>571</v>
      </c>
      <c r="AS238" s="290">
        <f>SUM(AS24,AO24:AQ24)</f>
        <v>612</v>
      </c>
      <c r="AT238" s="260">
        <f>SUM(AS24:AT24,AP24:AQ24)</f>
        <v>650</v>
      </c>
      <c r="AU238" s="260">
        <f>SUM(AS24:AU24,AQ24)</f>
        <v>658</v>
      </c>
      <c r="AV238" s="291">
        <f>SUM(AS24:AV24)</f>
        <v>629.99999999999989</v>
      </c>
      <c r="AW238" s="45">
        <f>+AW24</f>
        <v>630</v>
      </c>
      <c r="AX238" s="290">
        <f>SUM(AX24,AT24:AV24)</f>
        <v>595.90196125258296</v>
      </c>
      <c r="AY238" s="260">
        <f>SUM(AX24:AY24,AU24:AV24)</f>
        <v>583.11328029808328</v>
      </c>
      <c r="AZ238" s="260">
        <f>SUM(AX24:AZ24,AV24)</f>
        <v>553.85742901229128</v>
      </c>
      <c r="BA238" s="291">
        <f>SUM(AX24:BA24)</f>
        <v>517.45813684723498</v>
      </c>
      <c r="BB238" s="45">
        <f>+BB24</f>
        <v>517.45813684723487</v>
      </c>
      <c r="BC238" s="290">
        <f>SUM(BC24,AY24:BA24)</f>
        <v>512.09169935741738</v>
      </c>
      <c r="BD238" s="260">
        <f>SUM(BC24:BD24,AZ24:BA24)</f>
        <v>507.19784541613751</v>
      </c>
      <c r="BE238" s="260">
        <f>SUM(BC24:BE24,BA24)</f>
        <v>535.59192770724746</v>
      </c>
      <c r="BF238" s="291">
        <f>SUM(BC24:BF24)</f>
        <v>563.46650283688462</v>
      </c>
      <c r="BG238" s="45">
        <f>+BG24</f>
        <v>563.46650283688416</v>
      </c>
      <c r="BH238" s="290">
        <f>SUM(BH24,BD24:BF24)</f>
        <v>589.09595038549583</v>
      </c>
      <c r="BI238" s="260">
        <f>SUM(BH24:BI24,BE24:BF24)</f>
        <v>614.59129045240832</v>
      </c>
      <c r="BJ238" s="260">
        <f>SUM(BH24:BJ24,BF24)</f>
        <v>617.69395008792162</v>
      </c>
      <c r="BK238" s="291">
        <f>SUM(BH24:BK24)</f>
        <v>620.83893757008138</v>
      </c>
      <c r="BL238" s="45">
        <f>+BL24</f>
        <v>620.83893757008116</v>
      </c>
      <c r="BM238" s="290">
        <f>SUM(BM24,BI24:BK24)</f>
        <v>623.6275790857552</v>
      </c>
      <c r="BN238" s="260">
        <f>SUM(BM24:BN24,BJ24:BK24)</f>
        <v>627.12197086782078</v>
      </c>
      <c r="BO238" s="260">
        <f>SUM(BM24:BO24,BK24)</f>
        <v>643.35034659897462</v>
      </c>
      <c r="BP238" s="291">
        <f>SUM(BM24:BP24)</f>
        <v>659.74503758140656</v>
      </c>
      <c r="BQ238" s="45">
        <f>+BQ24</f>
        <v>659.74503758140679</v>
      </c>
      <c r="BR238" s="45"/>
      <c r="BS238" s="45"/>
      <c r="BT238" s="45"/>
      <c r="BU238" s="45"/>
      <c r="BV238" s="45"/>
      <c r="BW238" s="45"/>
      <c r="BX238" s="45"/>
      <c r="BY238" s="45"/>
      <c r="BZ238" s="45"/>
      <c r="CA238" s="45"/>
      <c r="CB238" s="45"/>
      <c r="CC238" s="45"/>
      <c r="CD238" s="45"/>
      <c r="CE238" s="45"/>
      <c r="CF238" s="45"/>
      <c r="CG238" s="45"/>
      <c r="CH238" s="45"/>
      <c r="CI238" s="45"/>
      <c r="CJ238" s="45"/>
      <c r="CK238" s="45"/>
      <c r="CL238" s="45"/>
      <c r="CM238" s="45"/>
      <c r="CN238" s="45"/>
      <c r="CO238" s="45"/>
      <c r="CP238" s="45"/>
      <c r="CQ238" s="45"/>
      <c r="CR238" s="45"/>
      <c r="CS238" s="45"/>
      <c r="CT238" s="45"/>
      <c r="CU238" s="45"/>
    </row>
    <row r="239" spans="1:99">
      <c r="A239" s="45"/>
      <c r="B239" s="45"/>
      <c r="C239" s="391" t="s">
        <v>228</v>
      </c>
      <c r="D239" s="45"/>
      <c r="E239" s="290"/>
      <c r="F239" s="260"/>
      <c r="G239" s="261"/>
      <c r="H239" s="291">
        <f>SUM(E25:H25)</f>
        <v>555.89999999999986</v>
      </c>
      <c r="I239" s="45">
        <f>+I25</f>
        <v>555.90000000000009</v>
      </c>
      <c r="J239" s="290">
        <f>SUM(J25,F25:H25)</f>
        <v>523.9</v>
      </c>
      <c r="K239" s="260">
        <f>SUM(J25:K25,G25:H25)</f>
        <v>518.69999999999982</v>
      </c>
      <c r="L239" s="260">
        <f>SUM(J25:L25,H25)</f>
        <v>504.79999999999984</v>
      </c>
      <c r="M239" s="291">
        <f>SUM(J25:M25)</f>
        <v>624.1999999999997</v>
      </c>
      <c r="N239" s="45">
        <f>+N25</f>
        <v>624.20000000000027</v>
      </c>
      <c r="O239" s="290">
        <f>SUM(O25,K25:M25)</f>
        <v>648.89999999999986</v>
      </c>
      <c r="P239" s="260">
        <f>SUM(O25:P25,L25:M25)</f>
        <v>652.5</v>
      </c>
      <c r="Q239" s="260">
        <f>SUM(O25:Q25,M25)</f>
        <v>608.19999999999993</v>
      </c>
      <c r="R239" s="291">
        <f>SUM(O25:R25)</f>
        <v>607.90000000000032</v>
      </c>
      <c r="S239" s="45">
        <f>+S25</f>
        <v>607.90000000000032</v>
      </c>
      <c r="T239" s="290">
        <f>SUM(T25,P25:R25)</f>
        <v>446.10000000000036</v>
      </c>
      <c r="U239" s="260">
        <f>SUM(U25,Q25:S25)</f>
        <v>984.40000000000066</v>
      </c>
      <c r="V239" s="260">
        <f>SUM(T25:V25,R25)</f>
        <v>464.3000000000003</v>
      </c>
      <c r="W239" s="291">
        <f>SUM(T25:W25)</f>
        <v>453</v>
      </c>
      <c r="X239" s="45">
        <f>+X25</f>
        <v>453</v>
      </c>
      <c r="Y239" s="290">
        <f>SUM(Y25,U25:W25)</f>
        <v>640</v>
      </c>
      <c r="Z239" s="260">
        <f>SUM(Y25:Z25,V25:W25)</f>
        <v>665</v>
      </c>
      <c r="AA239" s="1441">
        <f>SUM(Y25:AA25,W25)</f>
        <v>758</v>
      </c>
      <c r="AB239" s="1442">
        <f>SUM(Y25:AB25)</f>
        <v>814</v>
      </c>
      <c r="AC239" s="1443">
        <f>+AC25</f>
        <v>814</v>
      </c>
      <c r="AD239" s="290">
        <f>SUM(AD25,Z25:AB25)</f>
        <v>834</v>
      </c>
      <c r="AE239" s="260">
        <f>SUM(AD25:AE25,AA25:AB25)</f>
        <v>828</v>
      </c>
      <c r="AF239" s="260">
        <f>SUM(AD25:AF25,AB25)</f>
        <v>816</v>
      </c>
      <c r="AG239" s="291">
        <f>SUM(AD25:AG25)</f>
        <v>828</v>
      </c>
      <c r="AH239" s="45">
        <f>+AH25</f>
        <v>828</v>
      </c>
      <c r="AI239" s="290">
        <f>SUM(AI25,AE25:AG25)</f>
        <v>861</v>
      </c>
      <c r="AJ239" s="260">
        <f>SUM(AI25:AJ25,AF25:AG25)</f>
        <v>902</v>
      </c>
      <c r="AK239" s="260">
        <f>SUM(AI25:AK25,AG25)</f>
        <v>911</v>
      </c>
      <c r="AL239" s="291">
        <f>SUM(AI25:AL25)</f>
        <v>942</v>
      </c>
      <c r="AM239" s="45">
        <f>+AM25</f>
        <v>942</v>
      </c>
      <c r="AN239" s="290">
        <f>SUM(AN25,AJ25:AL25)</f>
        <v>928</v>
      </c>
      <c r="AO239" s="260">
        <f>SUM(AN25:AO25,AK25:AL25)</f>
        <v>899</v>
      </c>
      <c r="AP239" s="260">
        <f>SUM(AN25:AP25,AL25)</f>
        <v>927</v>
      </c>
      <c r="AQ239" s="291">
        <f>SUM(AN25:AQ25)</f>
        <v>994</v>
      </c>
      <c r="AR239" s="45">
        <f>+AR25</f>
        <v>994</v>
      </c>
      <c r="AS239" s="290">
        <f>SUM(AS25,AO25:AQ25)</f>
        <v>1054</v>
      </c>
      <c r="AT239" s="260">
        <f>SUM(AS25:AT25,AP25:AQ25)</f>
        <v>1107</v>
      </c>
      <c r="AU239" s="260">
        <f>SUM(AS25:AU25,AQ25)</f>
        <v>1123</v>
      </c>
      <c r="AV239" s="291">
        <f>SUM(AS25:AV25)</f>
        <v>1103</v>
      </c>
      <c r="AW239" s="45">
        <f>+AW25</f>
        <v>1103</v>
      </c>
      <c r="AX239" s="290">
        <f>SUM(AX25,AT25:AV25)</f>
        <v>1068.9194609025899</v>
      </c>
      <c r="AY239" s="260">
        <f>SUM(AX25:AY25,AU25:AV25)</f>
        <v>1061.5311414899684</v>
      </c>
      <c r="AZ239" s="260">
        <f>SUM(AX25:AZ25,AV25)</f>
        <v>1037.4712028363797</v>
      </c>
      <c r="BA239" s="291">
        <f>SUM(AX25:BA25)</f>
        <v>1008.0435159959605</v>
      </c>
      <c r="BB239" s="45">
        <f>+BB25</f>
        <v>1008.0435159959604</v>
      </c>
      <c r="BC239" s="290">
        <f>SUM(BC25,AY25:BA25)</f>
        <v>1009.3872381048042</v>
      </c>
      <c r="BD239" s="260">
        <f>SUM(BC25:BD25,AZ25:BA25)</f>
        <v>1011.2817602136478</v>
      </c>
      <c r="BE239" s="260">
        <f>SUM(BC25:BE25,BA25)</f>
        <v>1046.8038823224913</v>
      </c>
      <c r="BF239" s="291">
        <f>SUM(BC25:BF25)</f>
        <v>1082.1424044313349</v>
      </c>
      <c r="BG239" s="45">
        <f>+BG25</f>
        <v>1082.1424044313344</v>
      </c>
      <c r="BH239" s="290">
        <f>SUM(BH25,BD25:BF25)</f>
        <v>1115.5679910617202</v>
      </c>
      <c r="BI239" s="260">
        <f>SUM(BH25:BI25,BE25:BF25)</f>
        <v>1149.5553936921056</v>
      </c>
      <c r="BJ239" s="260">
        <f>SUM(BH25:BJ25,BF25)</f>
        <v>1160.9179483224912</v>
      </c>
      <c r="BK239" s="291">
        <f>SUM(BH25:BK25)</f>
        <v>1172.0932309528769</v>
      </c>
      <c r="BL239" s="45">
        <f>+BL25</f>
        <v>1172.0932309528766</v>
      </c>
      <c r="BM239" s="290">
        <f>SUM(BM25,BI25:BK25)</f>
        <v>1182.6851070936475</v>
      </c>
      <c r="BN239" s="260">
        <f>SUM(BM25:BN25,BJ25:BK25)</f>
        <v>1193.8500355544186</v>
      </c>
      <c r="BO239" s="260">
        <f>SUM(BM25:BO25,BK25)</f>
        <v>1217.3876190551896</v>
      </c>
      <c r="BP239" s="291">
        <f>SUM(BM25:BP25)</f>
        <v>1240.7341851159606</v>
      </c>
      <c r="BQ239" s="45">
        <f>+BQ25</f>
        <v>1240.7341851159608</v>
      </c>
      <c r="BR239" s="45"/>
      <c r="BS239" s="45"/>
      <c r="BT239" s="45"/>
      <c r="BU239" s="45"/>
      <c r="BV239" s="45"/>
      <c r="BW239" s="45"/>
      <c r="BX239" s="45"/>
      <c r="BY239" s="45"/>
      <c r="BZ239" s="45"/>
      <c r="CA239" s="45"/>
      <c r="CB239" s="45"/>
      <c r="CC239" s="45"/>
      <c r="CD239" s="45"/>
      <c r="CE239" s="45"/>
      <c r="CF239" s="45"/>
      <c r="CG239" s="45"/>
      <c r="CH239" s="45"/>
      <c r="CI239" s="45"/>
      <c r="CJ239" s="45"/>
      <c r="CK239" s="45"/>
      <c r="CL239" s="45"/>
      <c r="CM239" s="45"/>
      <c r="CN239" s="45"/>
      <c r="CO239" s="45"/>
      <c r="CP239" s="45"/>
      <c r="CQ239" s="45"/>
      <c r="CR239" s="45"/>
      <c r="CS239" s="45"/>
      <c r="CT239" s="45"/>
      <c r="CU239" s="45"/>
    </row>
    <row r="240" spans="1:99">
      <c r="A240" s="45"/>
      <c r="B240" s="45"/>
      <c r="C240" s="391" t="s">
        <v>226</v>
      </c>
      <c r="D240" s="45"/>
      <c r="E240" s="290"/>
      <c r="F240" s="260"/>
      <c r="G240" s="261"/>
      <c r="H240" s="291">
        <f>SUM(E27:H27)</f>
        <v>139.29999999999998</v>
      </c>
      <c r="I240" s="45">
        <f>+I27</f>
        <v>139.30000000000001</v>
      </c>
      <c r="J240" s="290">
        <f>SUM(J27,F27:H27)</f>
        <v>136.69999999999999</v>
      </c>
      <c r="K240" s="260">
        <f>SUM(J27:K27,G27:H27)</f>
        <v>134.19999999999999</v>
      </c>
      <c r="L240" s="260">
        <f>SUM(J27:L27,H27)</f>
        <v>132</v>
      </c>
      <c r="M240" s="291">
        <f>SUM(J27:M27)</f>
        <v>130.30000000000001</v>
      </c>
      <c r="N240" s="45">
        <f>+N27</f>
        <v>130.30000000000001</v>
      </c>
      <c r="O240" s="290">
        <f>SUM(O27,K27:M27)</f>
        <v>129</v>
      </c>
      <c r="P240" s="260">
        <f>SUM(O27:P27,L27:M27)</f>
        <v>128.10000000000002</v>
      </c>
      <c r="Q240" s="260">
        <f>SUM(O27:Q27,M27)</f>
        <v>126.8</v>
      </c>
      <c r="R240" s="291">
        <f>SUM(O27:R27)</f>
        <v>126.6</v>
      </c>
      <c r="S240" s="45">
        <f>+S27</f>
        <v>126.6</v>
      </c>
      <c r="T240" s="290">
        <f>SUM(T27,P27:R27)</f>
        <v>135.80000000000001</v>
      </c>
      <c r="U240" s="260">
        <f>SUM(U27,Q27:S27)</f>
        <v>223.89999999999998</v>
      </c>
      <c r="V240" s="260">
        <f>SUM(T27:V27,R27)</f>
        <v>142</v>
      </c>
      <c r="W240" s="291">
        <f>SUM(T27:W27)</f>
        <v>144</v>
      </c>
      <c r="X240" s="45">
        <f>+X27</f>
        <v>144</v>
      </c>
      <c r="Y240" s="290">
        <f>SUM(Y27,U27:W27)</f>
        <v>136</v>
      </c>
      <c r="Z240" s="260">
        <f>SUM(Y27:Z27,V27:W27)</f>
        <v>134</v>
      </c>
      <c r="AA240" s="1441">
        <f>SUM(Y27:AA27,W27)</f>
        <v>128</v>
      </c>
      <c r="AB240" s="1442">
        <f>SUM(Y27:AB27)</f>
        <v>122</v>
      </c>
      <c r="AC240" s="1443">
        <f>+AC27</f>
        <v>122</v>
      </c>
      <c r="AD240" s="290">
        <f>SUM(AD27,Z27:AB27)</f>
        <v>116</v>
      </c>
      <c r="AE240" s="260">
        <f>SUM(AD27:AE27,AA27:AB27)</f>
        <v>111</v>
      </c>
      <c r="AF240" s="260">
        <f>SUM(AD27:AF27,AB27)</f>
        <v>108</v>
      </c>
      <c r="AG240" s="291">
        <f>SUM(AD27:AG27)</f>
        <v>106</v>
      </c>
      <c r="AH240" s="45">
        <f>+AH27</f>
        <v>106</v>
      </c>
      <c r="AI240" s="290">
        <f>SUM(AI27,AE27:AG27)</f>
        <v>104</v>
      </c>
      <c r="AJ240" s="260">
        <f>SUM(AI27:AJ27,AF27:AG27)</f>
        <v>101</v>
      </c>
      <c r="AK240" s="260">
        <f>SUM(AI27:AK27,AG27)</f>
        <v>100</v>
      </c>
      <c r="AL240" s="291">
        <f>SUM(AI27:AL27)</f>
        <v>99</v>
      </c>
      <c r="AM240" s="45">
        <f>+AM27</f>
        <v>99</v>
      </c>
      <c r="AN240" s="290">
        <f>SUM(AN27,AJ27:AL27)</f>
        <v>98</v>
      </c>
      <c r="AO240" s="260">
        <f>SUM(AN27:AO27,AK27:AL27)</f>
        <v>98</v>
      </c>
      <c r="AP240" s="260">
        <f>SUM(AN27:AP27,AL27)</f>
        <v>101</v>
      </c>
      <c r="AQ240" s="291">
        <f>SUM(AN27:AQ27)</f>
        <v>103</v>
      </c>
      <c r="AR240" s="45">
        <f>+AR27</f>
        <v>103</v>
      </c>
      <c r="AS240" s="290">
        <f>SUM(AS27,AO27:AQ27)</f>
        <v>106</v>
      </c>
      <c r="AT240" s="260">
        <f>SUM(AS27:AT27,AP27:AQ27)</f>
        <v>108</v>
      </c>
      <c r="AU240" s="260">
        <f>SUM(AS27:AU27,AQ27)</f>
        <v>106</v>
      </c>
      <c r="AV240" s="291">
        <f>SUM(AS27:AV27)</f>
        <v>105</v>
      </c>
      <c r="AW240" s="45">
        <f>+AW27</f>
        <v>105</v>
      </c>
      <c r="AX240" s="290">
        <f>SUM(AX27,AT27:AV27)</f>
        <v>103.8325</v>
      </c>
      <c r="AY240" s="260">
        <f ca="1">SUM(AX27:AY27,AU27:AV27)</f>
        <v>102.80632453292641</v>
      </c>
      <c r="AZ240" s="260">
        <f ca="1">SUM(AX27:AZ27,AV27)</f>
        <v>108.87882889127624</v>
      </c>
      <c r="BA240" s="291">
        <f ca="1">SUM(AX27:BA27)</f>
        <v>113.61554132616324</v>
      </c>
      <c r="BB240" s="45">
        <f ca="1">+BB27</f>
        <v>113.61554132616324</v>
      </c>
      <c r="BC240" s="290">
        <f ca="1">SUM(BC27,AY27:BA27)</f>
        <v>118.46233702545918</v>
      </c>
      <c r="BD240" s="260">
        <f ca="1">SUM(BC27:BD27,AZ27:BA27)</f>
        <v>122.76613791295109</v>
      </c>
      <c r="BE240" s="260">
        <f ca="1">SUM(BC27:BE27,BA27)</f>
        <v>127.04624818101921</v>
      </c>
      <c r="BF240" s="291">
        <f ca="1">SUM(BC27:BF27)</f>
        <v>130.36002874938009</v>
      </c>
      <c r="BG240" s="45">
        <f ca="1">+BG27</f>
        <v>130.36002874938009</v>
      </c>
      <c r="BH240" s="290">
        <f ca="1">SUM(BH27,BD27:BF27)</f>
        <v>133.72000571910058</v>
      </c>
      <c r="BI240" s="260">
        <f ca="1">SUM(BH27:BI27,BE27:BF27)</f>
        <v>136.50998996264508</v>
      </c>
      <c r="BJ240" s="260">
        <f ca="1">SUM(BH27:BJ27,BF27)</f>
        <v>139.88633716186138</v>
      </c>
      <c r="BK240" s="291">
        <f ca="1">SUM(BH27:BK27)</f>
        <v>142.60735741642574</v>
      </c>
      <c r="BL240" s="45">
        <f ca="1">+BL27</f>
        <v>142.60735741642574</v>
      </c>
      <c r="BM240" s="290">
        <f ca="1">SUM(BM27,BI27:BK27)</f>
        <v>145.43361950755659</v>
      </c>
      <c r="BN240" s="260">
        <f ca="1">SUM(BM27:BN27,BJ27:BK27)</f>
        <v>147.77479962086483</v>
      </c>
      <c r="BO240" s="260">
        <f ca="1">SUM(BM27:BO27,BK27)</f>
        <v>153.78778254186798</v>
      </c>
      <c r="BP240" s="291">
        <f ca="1">SUM(BM27:BP27)</f>
        <v>156.84527104693797</v>
      </c>
      <c r="BQ240" s="45">
        <f ca="1">+BQ27</f>
        <v>156.84527104693797</v>
      </c>
      <c r="BR240" s="45"/>
      <c r="BS240" s="45"/>
      <c r="BT240" s="45"/>
      <c r="BU240" s="45"/>
      <c r="BV240" s="45"/>
      <c r="BW240" s="45"/>
      <c r="BX240" s="45"/>
      <c r="BY240" s="45"/>
      <c r="BZ240" s="45"/>
      <c r="CA240" s="45"/>
      <c r="CB240" s="45"/>
      <c r="CC240" s="45"/>
      <c r="CD240" s="45"/>
      <c r="CE240" s="45"/>
      <c r="CF240" s="45"/>
      <c r="CG240" s="45"/>
      <c r="CH240" s="45"/>
      <c r="CI240" s="45"/>
      <c r="CJ240" s="45"/>
      <c r="CK240" s="45"/>
      <c r="CL240" s="45"/>
      <c r="CM240" s="45"/>
      <c r="CN240" s="45"/>
      <c r="CO240" s="45"/>
      <c r="CP240" s="45"/>
      <c r="CQ240" s="45"/>
      <c r="CR240" s="45"/>
      <c r="CS240" s="45"/>
      <c r="CT240" s="45"/>
      <c r="CU240" s="45"/>
    </row>
    <row r="241" spans="1:99">
      <c r="A241" s="45"/>
      <c r="B241" s="45"/>
      <c r="C241" s="391" t="s">
        <v>231</v>
      </c>
      <c r="D241" s="45"/>
      <c r="E241" s="290"/>
      <c r="F241" s="260"/>
      <c r="G241" s="261"/>
      <c r="H241" s="291">
        <f>SUM(E38:H38)</f>
        <v>309.87999999999988</v>
      </c>
      <c r="I241" s="45">
        <f>I38</f>
        <v>309.88000000000005</v>
      </c>
      <c r="J241" s="290">
        <f>SUM(J38,F38:H38)</f>
        <v>302.51999999999992</v>
      </c>
      <c r="K241" s="260">
        <f>SUM(J38:K38,G38:H38)</f>
        <v>303.51999999999981</v>
      </c>
      <c r="L241" s="260">
        <f>SUM(J38:L38,H38)</f>
        <v>303.4199999999999</v>
      </c>
      <c r="M241" s="291">
        <f>SUM(J38:M38)</f>
        <v>147.6599999999998</v>
      </c>
      <c r="N241" s="45">
        <f>N38</f>
        <v>147.66000000000028</v>
      </c>
      <c r="O241" s="290">
        <f>SUM(O38,K38:M38)</f>
        <v>151.11999999999992</v>
      </c>
      <c r="P241" s="260">
        <f>SUM(O38:P38,L38:M38)</f>
        <v>170.64000000000001</v>
      </c>
      <c r="Q241" s="260">
        <f>SUM(O38:Q38,M38)</f>
        <v>147.09</v>
      </c>
      <c r="R241" s="291">
        <f>SUM(O38:R38)</f>
        <v>175.70000000000036</v>
      </c>
      <c r="S241" s="45">
        <f>S38</f>
        <v>175.70000000000036</v>
      </c>
      <c r="T241" s="290">
        <f>SUM(T38,P38:R38)</f>
        <v>156.55000000000038</v>
      </c>
      <c r="U241" s="260">
        <f>SUM(U38,Q38:S38)</f>
        <v>256.38000000000068</v>
      </c>
      <c r="V241" s="260">
        <f>SUM(T38:V38,R38)</f>
        <v>131.38000000000031</v>
      </c>
      <c r="W241" s="291">
        <f>SUM(T38:W38)</f>
        <v>79</v>
      </c>
      <c r="X241" s="45">
        <f>X38</f>
        <v>79</v>
      </c>
      <c r="Y241" s="290">
        <f>SUM(Y38,U38:W38)</f>
        <v>94.35</v>
      </c>
      <c r="Z241" s="260">
        <f>SUM(Y38:Z38,V38:W38)</f>
        <v>101.35</v>
      </c>
      <c r="AA241" s="1441">
        <f>SUM(Y38:AA38,W38)</f>
        <v>155.35</v>
      </c>
      <c r="AB241" s="1442">
        <f>SUM(Y38:AB38)</f>
        <v>195</v>
      </c>
      <c r="AC241" s="1443">
        <f>AC38</f>
        <v>195</v>
      </c>
      <c r="AD241" s="290">
        <f>SUM(AD38,Z38:AB38)</f>
        <v>206</v>
      </c>
      <c r="AE241" s="260">
        <f>SUM(AD38:AE38,AA38:AB38)</f>
        <v>199</v>
      </c>
      <c r="AF241" s="260">
        <f>SUM(AD38:AF38,AB38)</f>
        <v>194</v>
      </c>
      <c r="AG241" s="291">
        <f>SUM(AD38:AG38)</f>
        <v>199</v>
      </c>
      <c r="AH241" s="45">
        <f>AH38</f>
        <v>199</v>
      </c>
      <c r="AI241" s="290">
        <f>SUM(AI38,AE38:AG38)</f>
        <v>221</v>
      </c>
      <c r="AJ241" s="260">
        <f>SUM(AI38:AJ38,AF38:AG38)</f>
        <v>250</v>
      </c>
      <c r="AK241" s="260">
        <f>SUM(AI38:AK38,AG38)</f>
        <v>256</v>
      </c>
      <c r="AL241" s="291">
        <f>SUM(AI38:AL38)</f>
        <v>277</v>
      </c>
      <c r="AM241" s="45">
        <f>AM38</f>
        <v>277</v>
      </c>
      <c r="AN241" s="290">
        <f>SUM(AN38,AJ38:AL38)</f>
        <v>270</v>
      </c>
      <c r="AO241" s="260">
        <f>SUM(AN38:AO38,AK38:AL38)</f>
        <v>254</v>
      </c>
      <c r="AP241" s="260">
        <f>SUM(AN38:AP38,AL38)</f>
        <v>257</v>
      </c>
      <c r="AQ241" s="291">
        <f>SUM(AN38:AQ38)</f>
        <v>289</v>
      </c>
      <c r="AR241" s="45">
        <f>AR38</f>
        <v>289</v>
      </c>
      <c r="AS241" s="290">
        <f>SUM(AS38,AO38:AQ38)</f>
        <v>315</v>
      </c>
      <c r="AT241" s="260">
        <f>SUM(AS38:AT38,AP38:AQ38)</f>
        <v>332</v>
      </c>
      <c r="AU241" s="260">
        <f>SUM(AS38:AU38,AQ38)</f>
        <v>341</v>
      </c>
      <c r="AV241" s="291">
        <f>SUM(AS38:AV38)</f>
        <v>317.99999999999989</v>
      </c>
      <c r="AW241" s="45">
        <f>AW38</f>
        <v>318</v>
      </c>
      <c r="AX241" s="290">
        <f>SUM(AX38,AT38:AV38)</f>
        <v>328.86344581811193</v>
      </c>
      <c r="AY241" s="260">
        <f ca="1">SUM(AX38:AY38,AU38:AV38)</f>
        <v>334.53963791161686</v>
      </c>
      <c r="AZ241" s="260">
        <f ca="1">SUM(AX38:AZ38,AV38)</f>
        <v>324.13880838131621</v>
      </c>
      <c r="BA241" s="291">
        <f ca="1">SUM(AX38:BA38)</f>
        <v>322.74993617593248</v>
      </c>
      <c r="BB241" s="45">
        <f ca="1">BB38</f>
        <v>322.74993617593225</v>
      </c>
      <c r="BC241" s="290">
        <f ca="1">SUM(BC38,AY38:BA38)</f>
        <v>314.82433909938982</v>
      </c>
      <c r="BD241" s="260">
        <f ca="1">SUM(BC38:BD38,AZ38:BA38)</f>
        <v>307.70104892751732</v>
      </c>
      <c r="BE241" s="260">
        <f ca="1">SUM(BC38:BE38,BA38)</f>
        <v>326.89394396857745</v>
      </c>
      <c r="BF241" s="291">
        <f ca="1">SUM(BC38:BF38)</f>
        <v>346.43982881484288</v>
      </c>
      <c r="BG241" s="45">
        <f ca="1">BG38</f>
        <v>346.43982881484237</v>
      </c>
      <c r="BH241" s="290">
        <f ca="1">SUM(BH38,BD38:BF38)</f>
        <v>363.98509152454756</v>
      </c>
      <c r="BI241" s="260">
        <f ca="1">SUM(BH38:BI38,BE38:BF38)</f>
        <v>381.87470357738914</v>
      </c>
      <c r="BJ241" s="260">
        <f ca="1">SUM(BH38:BJ38,BF38)</f>
        <v>381.61087135444484</v>
      </c>
      <c r="BK241" s="291">
        <f ca="1">SUM(BH38:BK38)</f>
        <v>381.89818641662606</v>
      </c>
      <c r="BL241" s="45">
        <f ca="1">BL38</f>
        <v>381.89818641662578</v>
      </c>
      <c r="BM241" s="290">
        <f ca="1">SUM(BM38,BI38:BK38)</f>
        <v>381.77322806677688</v>
      </c>
      <c r="BN241" s="260">
        <f ca="1">SUM(BM38:BN38,BJ38:BK38)</f>
        <v>382.58902718985718</v>
      </c>
      <c r="BO241" s="260">
        <f ca="1">SUM(BM38:BO38,BK38)</f>
        <v>390.5639494146381</v>
      </c>
      <c r="BP241" s="291">
        <f ca="1">SUM(BM38:BP38)</f>
        <v>401.00510127651597</v>
      </c>
      <c r="BQ241" s="45">
        <f ca="1">BQ38</f>
        <v>401.00510127651614</v>
      </c>
      <c r="BR241" s="45"/>
      <c r="BS241" s="45"/>
      <c r="BT241" s="45"/>
      <c r="BU241" s="45"/>
      <c r="BV241" s="45"/>
      <c r="BW241" s="45"/>
      <c r="BX241" s="45"/>
      <c r="BY241" s="45"/>
      <c r="BZ241" s="45"/>
      <c r="CA241" s="45"/>
      <c r="CB241" s="45"/>
      <c r="CC241" s="45"/>
      <c r="CD241" s="45"/>
      <c r="CE241" s="45"/>
      <c r="CF241" s="45"/>
      <c r="CG241" s="45"/>
      <c r="CH241" s="45"/>
      <c r="CI241" s="45"/>
      <c r="CJ241" s="45"/>
      <c r="CK241" s="45"/>
      <c r="CL241" s="45"/>
      <c r="CM241" s="45"/>
      <c r="CN241" s="45"/>
      <c r="CO241" s="45"/>
      <c r="CP241" s="45"/>
      <c r="CQ241" s="45"/>
      <c r="CR241" s="45"/>
      <c r="CS241" s="45"/>
      <c r="CT241" s="45"/>
      <c r="CU241" s="45"/>
    </row>
    <row r="242" spans="1:99">
      <c r="A242" s="383"/>
      <c r="B242" s="383"/>
      <c r="C242" s="383"/>
      <c r="D242" s="383"/>
      <c r="E242" s="613"/>
      <c r="F242" s="614"/>
      <c r="G242" s="614"/>
      <c r="H242" s="615"/>
      <c r="I242" s="383"/>
      <c r="J242" s="613"/>
      <c r="K242" s="614"/>
      <c r="L242" s="614"/>
      <c r="M242" s="615"/>
      <c r="N242" s="383"/>
      <c r="O242" s="613"/>
      <c r="P242" s="614"/>
      <c r="Q242" s="614"/>
      <c r="R242" s="615"/>
      <c r="S242" s="383"/>
      <c r="T242" s="613"/>
      <c r="U242" s="614"/>
      <c r="V242" s="614"/>
      <c r="W242" s="615"/>
      <c r="X242" s="383"/>
      <c r="Y242" s="613"/>
      <c r="Z242" s="614"/>
      <c r="AA242" s="614"/>
      <c r="AB242" s="615"/>
      <c r="AC242" s="383"/>
      <c r="AD242" s="613"/>
      <c r="AE242" s="614"/>
      <c r="AF242" s="614"/>
      <c r="AG242" s="615"/>
      <c r="AH242" s="383"/>
      <c r="AI242" s="613"/>
      <c r="AJ242" s="614"/>
      <c r="AK242" s="614"/>
      <c r="AL242" s="615"/>
      <c r="AM242" s="383"/>
      <c r="AN242" s="613"/>
      <c r="AO242" s="614"/>
      <c r="AP242" s="614"/>
      <c r="AQ242" s="615"/>
      <c r="AR242" s="383"/>
      <c r="AS242" s="613"/>
      <c r="AT242" s="614"/>
      <c r="AU242" s="614"/>
      <c r="AV242" s="615"/>
      <c r="AW242" s="383"/>
      <c r="AX242" s="613"/>
      <c r="AY242" s="614"/>
      <c r="AZ242" s="614"/>
      <c r="BA242" s="615"/>
      <c r="BB242" s="383"/>
      <c r="BC242" s="613"/>
      <c r="BD242" s="614"/>
      <c r="BE242" s="614"/>
      <c r="BF242" s="615"/>
      <c r="BG242" s="383"/>
      <c r="BH242" s="613"/>
      <c r="BI242" s="614"/>
      <c r="BJ242" s="614"/>
      <c r="BK242" s="615"/>
      <c r="BL242" s="383"/>
      <c r="BM242" s="613"/>
      <c r="BN242" s="614"/>
      <c r="BO242" s="614"/>
      <c r="BP242" s="615"/>
      <c r="BQ242" s="383"/>
      <c r="BR242" s="383"/>
      <c r="BS242" s="383"/>
      <c r="BT242" s="383"/>
      <c r="BU242" s="383"/>
      <c r="BV242" s="383"/>
      <c r="BW242" s="383"/>
      <c r="BX242" s="383"/>
      <c r="BY242" s="383"/>
      <c r="BZ242" s="383"/>
      <c r="CA242" s="383"/>
      <c r="CB242" s="383"/>
      <c r="CC242" s="383"/>
      <c r="CD242" s="383"/>
      <c r="CE242" s="383"/>
      <c r="CF242" s="383"/>
      <c r="CG242" s="383"/>
      <c r="CH242" s="383"/>
      <c r="CI242" s="383"/>
      <c r="CJ242" s="383"/>
      <c r="CK242" s="383"/>
      <c r="CL242" s="383"/>
      <c r="CM242" s="383"/>
      <c r="CN242" s="383"/>
      <c r="CO242" s="383"/>
      <c r="CP242" s="383"/>
      <c r="CQ242" s="383"/>
      <c r="CR242" s="383"/>
      <c r="CS242" s="383"/>
      <c r="CT242" s="383"/>
      <c r="CU242" s="383"/>
    </row>
    <row r="243" spans="1:99">
      <c r="A243" s="383"/>
      <c r="B243" s="383"/>
      <c r="C243" s="389" t="s">
        <v>374</v>
      </c>
      <c r="D243" s="383"/>
      <c r="E243" s="613"/>
      <c r="F243" s="614"/>
      <c r="G243" s="614"/>
      <c r="H243" s="615"/>
      <c r="I243" s="383"/>
      <c r="J243" s="613"/>
      <c r="K243" s="614"/>
      <c r="L243" s="614"/>
      <c r="M243" s="615"/>
      <c r="N243" s="383"/>
      <c r="O243" s="613"/>
      <c r="P243" s="614"/>
      <c r="Q243" s="614"/>
      <c r="R243" s="615"/>
      <c r="S243" s="383"/>
      <c r="T243" s="613"/>
      <c r="U243" s="614"/>
      <c r="V243" s="614"/>
      <c r="W243" s="615"/>
      <c r="X243" s="383"/>
      <c r="Y243" s="613"/>
      <c r="Z243" s="614"/>
      <c r="AA243" s="614"/>
      <c r="AB243" s="615"/>
      <c r="AC243" s="383"/>
      <c r="AD243" s="613"/>
      <c r="AE243" s="614"/>
      <c r="AF243" s="614"/>
      <c r="AG243" s="615"/>
      <c r="AH243" s="383"/>
      <c r="AI243" s="613"/>
      <c r="AJ243" s="614"/>
      <c r="AK243" s="614"/>
      <c r="AL243" s="615"/>
      <c r="AM243" s="383"/>
      <c r="AN243" s="613"/>
      <c r="AO243" s="614"/>
      <c r="AP243" s="614"/>
      <c r="AQ243" s="615"/>
      <c r="AR243" s="383"/>
      <c r="AS243" s="613"/>
      <c r="AT243" s="614"/>
      <c r="AU243" s="614"/>
      <c r="AV243" s="615"/>
      <c r="AW243" s="383"/>
      <c r="AX243" s="613"/>
      <c r="AY243" s="614"/>
      <c r="AZ243" s="614"/>
      <c r="BA243" s="615"/>
      <c r="BB243" s="383"/>
      <c r="BC243" s="613"/>
      <c r="BD243" s="614"/>
      <c r="BE243" s="614"/>
      <c r="BF243" s="615"/>
      <c r="BG243" s="383"/>
      <c r="BH243" s="613"/>
      <c r="BI243" s="614"/>
      <c r="BJ243" s="614"/>
      <c r="BK243" s="615"/>
      <c r="BL243" s="383"/>
      <c r="BM243" s="613"/>
      <c r="BN243" s="614"/>
      <c r="BO243" s="614"/>
      <c r="BP243" s="615"/>
      <c r="BQ243" s="383"/>
      <c r="BR243" s="383"/>
      <c r="BS243" s="383"/>
      <c r="BT243" s="383"/>
      <c r="BU243" s="383"/>
      <c r="BV243" s="383"/>
      <c r="BW243" s="383"/>
      <c r="BX243" s="383"/>
      <c r="BY243" s="383"/>
      <c r="BZ243" s="383"/>
      <c r="CA243" s="383"/>
      <c r="CB243" s="383"/>
      <c r="CC243" s="383"/>
      <c r="CD243" s="383"/>
      <c r="CE243" s="383"/>
      <c r="CF243" s="383"/>
      <c r="CG243" s="383"/>
      <c r="CH243" s="383"/>
      <c r="CI243" s="383"/>
      <c r="CJ243" s="383"/>
      <c r="CK243" s="383"/>
      <c r="CL243" s="383"/>
      <c r="CM243" s="383"/>
      <c r="CN243" s="383"/>
      <c r="CO243" s="383"/>
      <c r="CP243" s="383"/>
      <c r="CQ243" s="383"/>
      <c r="CR243" s="383"/>
      <c r="CS243" s="383"/>
      <c r="CT243" s="383"/>
      <c r="CU243" s="383"/>
    </row>
    <row r="244" spans="1:99">
      <c r="A244" s="28"/>
      <c r="B244" s="28"/>
      <c r="C244" s="28" t="s">
        <v>706</v>
      </c>
      <c r="D244" s="28"/>
      <c r="E244" s="303"/>
      <c r="F244" s="239"/>
      <c r="G244" s="239"/>
      <c r="H244" s="304">
        <f t="shared" ref="H244:AR244" si="676">H219/H230</f>
        <v>0.50264138861572938</v>
      </c>
      <c r="I244" s="546">
        <f t="shared" si="676"/>
        <v>0.50264138861572938</v>
      </c>
      <c r="J244" s="303">
        <f t="shared" si="676"/>
        <v>0.50092299277558749</v>
      </c>
      <c r="K244" s="239">
        <f t="shared" si="676"/>
        <v>0.49614725048588088</v>
      </c>
      <c r="L244" s="239">
        <f t="shared" si="676"/>
        <v>0.4929353505065649</v>
      </c>
      <c r="M244" s="304">
        <f t="shared" si="676"/>
        <v>0.48619687613512536</v>
      </c>
      <c r="N244" s="546">
        <f t="shared" si="676"/>
        <v>0.48619687613512536</v>
      </c>
      <c r="O244" s="303">
        <f t="shared" si="676"/>
        <v>0.48699290522102961</v>
      </c>
      <c r="P244" s="239">
        <f t="shared" si="676"/>
        <v>0.48204870700477026</v>
      </c>
      <c r="Q244" s="239">
        <f t="shared" si="676"/>
        <v>0.4672979909726524</v>
      </c>
      <c r="R244" s="304">
        <f t="shared" si="676"/>
        <v>0.50619218303964286</v>
      </c>
      <c r="S244" s="546">
        <f t="shared" si="676"/>
        <v>0.50619218303964286</v>
      </c>
      <c r="T244" s="303">
        <f t="shared" si="676"/>
        <v>0.50983358547655067</v>
      </c>
      <c r="U244" s="239">
        <f>U219/U230</f>
        <v>0.48598335523434077</v>
      </c>
      <c r="V244" s="239">
        <f t="shared" si="676"/>
        <v>0.51299106214924128</v>
      </c>
      <c r="W244" s="304">
        <f t="shared" si="676"/>
        <v>0.50813516896120148</v>
      </c>
      <c r="X244" s="546">
        <f t="shared" si="676"/>
        <v>0.50813516896120148</v>
      </c>
      <c r="Y244" s="303">
        <f t="shared" si="676"/>
        <v>0.50010264832683227</v>
      </c>
      <c r="Z244" s="239">
        <f t="shared" si="676"/>
        <v>0.52364341085271315</v>
      </c>
      <c r="AA244" s="239">
        <f t="shared" si="676"/>
        <v>0.47474747474747475</v>
      </c>
      <c r="AB244" s="304">
        <f t="shared" si="676"/>
        <v>0.45755192579149023</v>
      </c>
      <c r="AC244" s="546">
        <f t="shared" si="676"/>
        <v>0.45755192579149023</v>
      </c>
      <c r="AD244" s="303">
        <f t="shared" si="676"/>
        <v>0.45580554439533949</v>
      </c>
      <c r="AE244" s="239">
        <f>AE219/AE230</f>
        <v>0.45049405122000402</v>
      </c>
      <c r="AF244" s="239">
        <f t="shared" si="676"/>
        <v>0.45085771947527747</v>
      </c>
      <c r="AG244" s="304">
        <f t="shared" si="676"/>
        <v>0.43366844076483341</v>
      </c>
      <c r="AH244" s="546">
        <f t="shared" si="676"/>
        <v>0.43366844076483341</v>
      </c>
      <c r="AI244" s="303">
        <f t="shared" si="676"/>
        <v>0.43798526776826596</v>
      </c>
      <c r="AJ244" s="239">
        <f t="shared" si="676"/>
        <v>0.43346693386773549</v>
      </c>
      <c r="AK244" s="239">
        <f t="shared" si="676"/>
        <v>0.4276393831553974</v>
      </c>
      <c r="AL244" s="304">
        <f t="shared" si="676"/>
        <v>0.40600346353665578</v>
      </c>
      <c r="AM244" s="546">
        <f t="shared" si="676"/>
        <v>0.40600346353665578</v>
      </c>
      <c r="AN244" s="303">
        <f t="shared" ref="AN244" si="677">AN219/AN230</f>
        <v>0.40557156580211334</v>
      </c>
      <c r="AO244" s="239">
        <f t="shared" si="676"/>
        <v>0.39769673704414588</v>
      </c>
      <c r="AP244" s="239">
        <f t="shared" ref="AP244" si="678">AP219/AP230</f>
        <v>0.51384235584552984</v>
      </c>
      <c r="AQ244" s="304">
        <f t="shared" si="676"/>
        <v>0.47082494969818911</v>
      </c>
      <c r="AR244" s="546">
        <f t="shared" si="676"/>
        <v>0.47082494969818911</v>
      </c>
      <c r="AS244" s="303">
        <f t="shared" ref="AS244:BB244" si="679">AS219/AS230</f>
        <v>0.46031462281015373</v>
      </c>
      <c r="AT244" s="239">
        <f t="shared" si="679"/>
        <v>0.45764854614412137</v>
      </c>
      <c r="AU244" s="239">
        <f t="shared" ref="AU244" si="680">AU219/AU230</f>
        <v>0.46141450313339299</v>
      </c>
      <c r="AV244" s="304">
        <f t="shared" si="679"/>
        <v>0.44469370146678172</v>
      </c>
      <c r="AW244" s="546">
        <f t="shared" si="679"/>
        <v>0.44469370146678172</v>
      </c>
      <c r="AX244" s="303">
        <f t="shared" ca="1" si="679"/>
        <v>0.43790199995341439</v>
      </c>
      <c r="AY244" s="239">
        <f t="shared" ca="1" si="679"/>
        <v>0.42933013961498584</v>
      </c>
      <c r="AZ244" s="239">
        <f t="shared" ca="1" si="679"/>
        <v>0.48291702667512038</v>
      </c>
      <c r="BA244" s="304">
        <f t="shared" ca="1" si="679"/>
        <v>0.48103193217184065</v>
      </c>
      <c r="BB244" s="546">
        <f t="shared" ca="1" si="679"/>
        <v>0.48103193217184065</v>
      </c>
      <c r="BC244" s="303">
        <f t="shared" ref="BC244:BL244" ca="1" si="681">BC219/BC230</f>
        <v>0.47173204880729813</v>
      </c>
      <c r="BD244" s="239">
        <f t="shared" ca="1" si="681"/>
        <v>0.46105843710728167</v>
      </c>
      <c r="BE244" s="239">
        <f t="shared" ca="1" si="681"/>
        <v>0.48732010396630893</v>
      </c>
      <c r="BF244" s="304">
        <f t="shared" ca="1" si="681"/>
        <v>0.48104942948612028</v>
      </c>
      <c r="BG244" s="546">
        <f t="shared" ca="1" si="681"/>
        <v>0.48104942948612028</v>
      </c>
      <c r="BH244" s="303">
        <f t="shared" ca="1" si="681"/>
        <v>0.47338916712991902</v>
      </c>
      <c r="BI244" s="239">
        <f t="shared" ca="1" si="681"/>
        <v>0.46616067599501948</v>
      </c>
      <c r="BJ244" s="239">
        <f t="shared" ca="1" si="681"/>
        <v>0.48572145204560224</v>
      </c>
      <c r="BK244" s="304">
        <f t="shared" ca="1" si="681"/>
        <v>0.48143492674190552</v>
      </c>
      <c r="BL244" s="546">
        <f t="shared" ca="1" si="681"/>
        <v>0.48143492674190552</v>
      </c>
      <c r="BM244" s="303">
        <f t="shared" ref="BM244:BQ244" ca="1" si="682">BM219/BM230</f>
        <v>0.4755440988128839</v>
      </c>
      <c r="BN244" s="239">
        <f t="shared" ca="1" si="682"/>
        <v>0.47186623368843944</v>
      </c>
      <c r="BO244" s="239">
        <f t="shared" ca="1" si="682"/>
        <v>0.5037309759396067</v>
      </c>
      <c r="BP244" s="304">
        <f t="shared" ca="1" si="682"/>
        <v>0.480520432405801</v>
      </c>
      <c r="BQ244" s="546">
        <f t="shared" ca="1" si="682"/>
        <v>0.480520432405801</v>
      </c>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row>
    <row r="245" spans="1:99">
      <c r="A245" s="28"/>
      <c r="B245" s="28"/>
      <c r="C245" s="28" t="s">
        <v>1311</v>
      </c>
      <c r="D245" s="28"/>
      <c r="E245" s="303"/>
      <c r="F245" s="239"/>
      <c r="G245" s="239"/>
      <c r="H245" s="304">
        <f t="shared" ref="H245:AR245" si="683">+H220/H230</f>
        <v>0.51316120474763871</v>
      </c>
      <c r="I245" s="546">
        <f t="shared" si="683"/>
        <v>0.51316120474763871</v>
      </c>
      <c r="J245" s="303">
        <f t="shared" si="683"/>
        <v>0.50092299277558749</v>
      </c>
      <c r="K245" s="239">
        <f t="shared" si="683"/>
        <v>0.49614725048588088</v>
      </c>
      <c r="L245" s="239">
        <f t="shared" si="683"/>
        <v>0.4929353505065649</v>
      </c>
      <c r="M245" s="304">
        <f t="shared" si="683"/>
        <v>0.48619687613512536</v>
      </c>
      <c r="N245" s="546">
        <f t="shared" si="683"/>
        <v>0.48619687613512536</v>
      </c>
      <c r="O245" s="303">
        <f t="shared" si="683"/>
        <v>0.48699290522102961</v>
      </c>
      <c r="P245" s="239">
        <f t="shared" si="683"/>
        <v>0.48204870700477026</v>
      </c>
      <c r="Q245" s="239">
        <f t="shared" si="683"/>
        <v>0.49827418355606684</v>
      </c>
      <c r="R245" s="304">
        <f t="shared" si="683"/>
        <v>0.50619218303964286</v>
      </c>
      <c r="S245" s="546">
        <f t="shared" si="683"/>
        <v>0.50619218303964286</v>
      </c>
      <c r="T245" s="303">
        <f t="shared" si="683"/>
        <v>0.50983358547655067</v>
      </c>
      <c r="U245" s="239">
        <f>+U220/U230</f>
        <v>0.48598335523434077</v>
      </c>
      <c r="V245" s="239">
        <f t="shared" si="683"/>
        <v>0.51299106214924128</v>
      </c>
      <c r="W245" s="304">
        <f t="shared" si="683"/>
        <v>0.50813516896120148</v>
      </c>
      <c r="X245" s="546">
        <f t="shared" si="683"/>
        <v>0.50813516896120148</v>
      </c>
      <c r="Y245" s="303">
        <f t="shared" si="683"/>
        <v>0.50010264832683227</v>
      </c>
      <c r="Z245" s="239">
        <f t="shared" si="683"/>
        <v>0.52364341085271315</v>
      </c>
      <c r="AA245" s="239">
        <f t="shared" si="683"/>
        <v>0.48299319727891155</v>
      </c>
      <c r="AB245" s="304">
        <f t="shared" si="683"/>
        <v>0.48477515628150836</v>
      </c>
      <c r="AC245" s="546">
        <f t="shared" si="683"/>
        <v>0.48477515628150836</v>
      </c>
      <c r="AD245" s="303">
        <f t="shared" si="683"/>
        <v>0.46966653274407394</v>
      </c>
      <c r="AE245" s="239">
        <f>+AE220/AE230</f>
        <v>0.46460980036297639</v>
      </c>
      <c r="AF245" s="239">
        <f t="shared" si="683"/>
        <v>0.45489404641775982</v>
      </c>
      <c r="AG245" s="304">
        <f t="shared" si="683"/>
        <v>0.45732308298836982</v>
      </c>
      <c r="AH245" s="546">
        <f t="shared" si="683"/>
        <v>0.45732308298836982</v>
      </c>
      <c r="AI245" s="303">
        <f t="shared" si="683"/>
        <v>0.43798526776826596</v>
      </c>
      <c r="AJ245" s="239">
        <f t="shared" si="683"/>
        <v>0.43346693386773549</v>
      </c>
      <c r="AK245" s="239">
        <f t="shared" si="683"/>
        <v>0.43752471332542509</v>
      </c>
      <c r="AL245" s="304">
        <f t="shared" si="683"/>
        <v>0.44641139118722339</v>
      </c>
      <c r="AM245" s="546">
        <f t="shared" si="683"/>
        <v>0.44641139118722339</v>
      </c>
      <c r="AN245" s="303">
        <f t="shared" ref="AN245" si="684">+AN220/AN230</f>
        <v>0.43439000960614793</v>
      </c>
      <c r="AO245" s="239">
        <f t="shared" si="683"/>
        <v>0.43761996161228406</v>
      </c>
      <c r="AP245" s="239">
        <f t="shared" ref="AP245" si="685">+AP220/AP230</f>
        <v>0.51384235584552984</v>
      </c>
      <c r="AQ245" s="304">
        <f t="shared" si="683"/>
        <v>0.47905615511249316</v>
      </c>
      <c r="AR245" s="546">
        <f t="shared" si="683"/>
        <v>0.47905615511249316</v>
      </c>
      <c r="AS245" s="303">
        <f t="shared" ref="AS245:BB245" si="686">+AS220/AS230</f>
        <v>0.47729710404004289</v>
      </c>
      <c r="AT245" s="239">
        <f t="shared" si="686"/>
        <v>0.47299981939678526</v>
      </c>
      <c r="AU245" s="239">
        <f t="shared" ref="AU245" si="687">+AU220/AU230</f>
        <v>0.46141450313339299</v>
      </c>
      <c r="AV245" s="304">
        <f t="shared" si="686"/>
        <v>0.45798101811906816</v>
      </c>
      <c r="AW245" s="546">
        <f t="shared" si="686"/>
        <v>0.45798101811906816</v>
      </c>
      <c r="AX245" s="303">
        <f t="shared" ca="1" si="686"/>
        <v>0.45256074078363917</v>
      </c>
      <c r="AY245" s="239">
        <f t="shared" ca="1" si="686"/>
        <v>0.46403877497418</v>
      </c>
      <c r="AZ245" s="239">
        <f t="shared" ca="1" si="686"/>
        <v>0.48291702667512038</v>
      </c>
      <c r="BA245" s="304">
        <f t="shared" ca="1" si="686"/>
        <v>0.48103193217184065</v>
      </c>
      <c r="BB245" s="546">
        <f t="shared" ca="1" si="686"/>
        <v>0.48103193217184065</v>
      </c>
      <c r="BC245" s="303">
        <f t="shared" ref="BC245:BL245" ca="1" si="688">+BC220/BC230</f>
        <v>0.4727682851724338</v>
      </c>
      <c r="BD245" s="239">
        <f t="shared" ca="1" si="688"/>
        <v>0.47977485103922501</v>
      </c>
      <c r="BE245" s="239">
        <f t="shared" ca="1" si="688"/>
        <v>0.48732010396630893</v>
      </c>
      <c r="BF245" s="304">
        <f t="shared" ca="1" si="688"/>
        <v>0.48104942948612028</v>
      </c>
      <c r="BG245" s="546">
        <f t="shared" ca="1" si="688"/>
        <v>0.48104942948612028</v>
      </c>
      <c r="BH245" s="303">
        <f t="shared" ca="1" si="688"/>
        <v>0.47338916712991902</v>
      </c>
      <c r="BI245" s="239">
        <f t="shared" ca="1" si="688"/>
        <v>0.47770439048206165</v>
      </c>
      <c r="BJ245" s="239">
        <f t="shared" ca="1" si="688"/>
        <v>0.48572145204560224</v>
      </c>
      <c r="BK245" s="304">
        <f t="shared" ca="1" si="688"/>
        <v>0.48143492674190552</v>
      </c>
      <c r="BL245" s="546">
        <f t="shared" ca="1" si="688"/>
        <v>0.48143492674190552</v>
      </c>
      <c r="BM245" s="303">
        <f t="shared" ref="BM245:BQ245" ca="1" si="689">+BM220/BM230</f>
        <v>0.4755440988128839</v>
      </c>
      <c r="BN245" s="239">
        <f t="shared" ca="1" si="689"/>
        <v>0.47865593492101804</v>
      </c>
      <c r="BO245" s="239">
        <f t="shared" ca="1" si="689"/>
        <v>0.5037309759396067</v>
      </c>
      <c r="BP245" s="304">
        <f t="shared" ca="1" si="689"/>
        <v>0.480520432405801</v>
      </c>
      <c r="BQ245" s="546">
        <f t="shared" ca="1" si="689"/>
        <v>0.480520432405801</v>
      </c>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row>
    <row r="246" spans="1:99">
      <c r="A246" s="28"/>
      <c r="B246" s="28"/>
      <c r="C246" s="28" t="s">
        <v>614</v>
      </c>
      <c r="D246" s="28"/>
      <c r="E246" s="415"/>
      <c r="F246" s="242"/>
      <c r="G246" s="242"/>
      <c r="H246" s="666">
        <f>(H220-H216)/H239</f>
        <v>4.012052527432993</v>
      </c>
      <c r="I246" s="229">
        <f>(I220-I216)/I25</f>
        <v>4.0120525274329912</v>
      </c>
      <c r="J246" s="667">
        <f t="shared" ref="J246:AR246" si="690">(J220-J216)/J239</f>
        <v>3.6027867913723997</v>
      </c>
      <c r="K246" s="240">
        <f t="shared" si="690"/>
        <v>3.6817042606516304</v>
      </c>
      <c r="L246" s="240">
        <f t="shared" si="690"/>
        <v>3.8024960380348665</v>
      </c>
      <c r="M246" s="666">
        <f t="shared" si="690"/>
        <v>3.3508490868311451</v>
      </c>
      <c r="N246" s="229">
        <f t="shared" si="690"/>
        <v>3.3508490868311425</v>
      </c>
      <c r="O246" s="667">
        <f t="shared" si="690"/>
        <v>3.0685775928494379</v>
      </c>
      <c r="P246" s="240">
        <f t="shared" si="690"/>
        <v>3.051954022988506</v>
      </c>
      <c r="Q246" s="240">
        <f t="shared" si="690"/>
        <v>3.6183821111476488</v>
      </c>
      <c r="R246" s="666">
        <f t="shared" si="690"/>
        <v>3.7996380983714411</v>
      </c>
      <c r="S246" s="229">
        <f t="shared" si="690"/>
        <v>3.7996380983714411</v>
      </c>
      <c r="T246" s="667">
        <f t="shared" si="690"/>
        <v>4.9361129791526519</v>
      </c>
      <c r="U246" s="240">
        <f>(U220-U216)/U239</f>
        <v>2.2003250711093036</v>
      </c>
      <c r="V246" s="240">
        <f t="shared" si="690"/>
        <v>5.0549213870342422</v>
      </c>
      <c r="W246" s="666">
        <f t="shared" si="690"/>
        <v>5.1810154525386309</v>
      </c>
      <c r="X246" s="229">
        <f t="shared" si="690"/>
        <v>5.1810154525386309</v>
      </c>
      <c r="Y246" s="667">
        <f t="shared" si="690"/>
        <v>3.6265624999999999</v>
      </c>
      <c r="Z246" s="240">
        <f t="shared" si="690"/>
        <v>3.3759398496240602</v>
      </c>
      <c r="AA246" s="240">
        <f t="shared" si="690"/>
        <v>3.0817941952506596</v>
      </c>
      <c r="AB246" s="666">
        <f t="shared" si="690"/>
        <v>2.9152334152334154</v>
      </c>
      <c r="AC246" s="229">
        <f t="shared" si="690"/>
        <v>2.9152334152334154</v>
      </c>
      <c r="AD246" s="667">
        <f t="shared" si="690"/>
        <v>2.775779376498801</v>
      </c>
      <c r="AE246" s="240">
        <f>(AE220-AE216)/AE239</f>
        <v>2.7644927536231885</v>
      </c>
      <c r="AF246" s="240">
        <f t="shared" si="690"/>
        <v>2.7291666666666665</v>
      </c>
      <c r="AG246" s="666">
        <f t="shared" si="690"/>
        <v>2.7246376811594204</v>
      </c>
      <c r="AH246" s="229">
        <f t="shared" si="690"/>
        <v>2.7246376811594204</v>
      </c>
      <c r="AI246" s="667">
        <f t="shared" si="690"/>
        <v>2.5075493612078978</v>
      </c>
      <c r="AJ246" s="240">
        <f t="shared" si="690"/>
        <v>2.3713968957871399</v>
      </c>
      <c r="AK246" s="240">
        <f t="shared" si="690"/>
        <v>2.3995609220636664</v>
      </c>
      <c r="AL246" s="666">
        <f t="shared" si="690"/>
        <v>2.4532908704883227</v>
      </c>
      <c r="AM246" s="229">
        <f t="shared" si="690"/>
        <v>2.4532908704883227</v>
      </c>
      <c r="AN246" s="667">
        <f t="shared" ref="AN246" si="691">(AN220-AN216)/AN239</f>
        <v>2.4310344827586206</v>
      </c>
      <c r="AO246" s="240">
        <f t="shared" si="690"/>
        <v>2.5305895439377086</v>
      </c>
      <c r="AP246" s="240">
        <f t="shared" ref="AP246" si="692">(AP220-AP216)/AP239</f>
        <v>2.7756202804746493</v>
      </c>
      <c r="AQ246" s="666">
        <f t="shared" si="690"/>
        <v>2.6116700201207244</v>
      </c>
      <c r="AR246" s="229">
        <f t="shared" si="690"/>
        <v>2.6116700201207244</v>
      </c>
      <c r="AS246" s="667">
        <f t="shared" ref="AS246:BB246" si="693">(AS220-AS216)/AS239</f>
        <v>2.5227703984819736</v>
      </c>
      <c r="AT246" s="240">
        <f t="shared" si="693"/>
        <v>2.3550135501355012</v>
      </c>
      <c r="AU246" s="240">
        <f t="shared" ref="AU246" si="694">(AU220-AU216)/AU239</f>
        <v>2.2689225289403385</v>
      </c>
      <c r="AV246" s="666">
        <f t="shared" si="693"/>
        <v>2.3907524932003628</v>
      </c>
      <c r="AW246" s="229">
        <f t="shared" si="693"/>
        <v>2.3907524932003628</v>
      </c>
      <c r="AX246" s="667">
        <f t="shared" ca="1" si="693"/>
        <v>2.491548712506773</v>
      </c>
      <c r="AY246" s="240">
        <f t="shared" ca="1" si="693"/>
        <v>2.6238836489467423</v>
      </c>
      <c r="AZ246" s="240">
        <f t="shared" ca="1" si="693"/>
        <v>2.8036296005157917</v>
      </c>
      <c r="BA246" s="666">
        <f t="shared" ca="1" si="693"/>
        <v>2.9644038629984291</v>
      </c>
      <c r="BB246" s="229">
        <f t="shared" ca="1" si="693"/>
        <v>2.9644038629984291</v>
      </c>
      <c r="BC246" s="667">
        <f t="shared" ref="BC246:BL246" ca="1" si="695">(BC220-BC216)/BC239</f>
        <v>2.9806146431477876</v>
      </c>
      <c r="BD246" s="240">
        <f t="shared" ca="1" si="695"/>
        <v>3.0890150139077579</v>
      </c>
      <c r="BE246" s="240">
        <f t="shared" ca="1" si="695"/>
        <v>3.0700691643434612</v>
      </c>
      <c r="BF246" s="666">
        <f t="shared" ca="1" si="695"/>
        <v>3.0117843451521047</v>
      </c>
      <c r="BG246" s="229">
        <f t="shared" ca="1" si="695"/>
        <v>3.011784345152106</v>
      </c>
      <c r="BH246" s="667">
        <f t="shared" ca="1" si="695"/>
        <v>2.923822487498557</v>
      </c>
      <c r="BI246" s="240">
        <f t="shared" ca="1" si="695"/>
        <v>2.9212594872651696</v>
      </c>
      <c r="BJ246" s="240">
        <f t="shared" ca="1" si="695"/>
        <v>2.9697082896332252</v>
      </c>
      <c r="BK246" s="666">
        <f t="shared" ca="1" si="695"/>
        <v>2.9794793816982463</v>
      </c>
      <c r="BL246" s="229">
        <f t="shared" ca="1" si="695"/>
        <v>2.9794793816982468</v>
      </c>
      <c r="BM246" s="667">
        <f t="shared" ref="BM246:BQ246" ca="1" si="696">(BM220-BM216)/BM239</f>
        <v>2.938881384736924</v>
      </c>
      <c r="BN246" s="240">
        <f t="shared" ca="1" si="696"/>
        <v>2.9755750770737053</v>
      </c>
      <c r="BO246" s="240">
        <f t="shared" ca="1" si="696"/>
        <v>2.9696564680737656</v>
      </c>
      <c r="BP246" s="666">
        <f t="shared" ca="1" si="696"/>
        <v>2.9266128674397303</v>
      </c>
      <c r="BQ246" s="229">
        <f t="shared" ca="1" si="696"/>
        <v>2.9266128674397298</v>
      </c>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row>
    <row r="247" spans="1:99">
      <c r="A247" s="28"/>
      <c r="B247" s="28"/>
      <c r="C247" s="28" t="s">
        <v>393</v>
      </c>
      <c r="D247" s="28"/>
      <c r="E247" s="415"/>
      <c r="F247" s="242"/>
      <c r="G247" s="242"/>
      <c r="H247" s="304">
        <f t="shared" ref="H247:AR247" si="697">H237/H220</f>
        <v>0.25490440750479071</v>
      </c>
      <c r="I247" s="546">
        <f t="shared" si="697"/>
        <v>0.25490440750479076</v>
      </c>
      <c r="J247" s="303">
        <f t="shared" si="697"/>
        <v>0.25724294813466786</v>
      </c>
      <c r="K247" s="239">
        <f t="shared" si="697"/>
        <v>0.25868473201530018</v>
      </c>
      <c r="L247" s="239">
        <f t="shared" si="697"/>
        <v>0.25447926267281101</v>
      </c>
      <c r="M247" s="304">
        <f t="shared" si="697"/>
        <v>0.18531004856182284</v>
      </c>
      <c r="N247" s="546">
        <f t="shared" si="697"/>
        <v>0.18531004856182307</v>
      </c>
      <c r="O247" s="303">
        <f t="shared" si="697"/>
        <v>0.19094135225999251</v>
      </c>
      <c r="P247" s="239">
        <f t="shared" si="697"/>
        <v>0.20579545454545453</v>
      </c>
      <c r="Q247" s="239">
        <f t="shared" si="697"/>
        <v>0.18578596802841918</v>
      </c>
      <c r="R247" s="304">
        <f t="shared" si="697"/>
        <v>0.18987449118046149</v>
      </c>
      <c r="S247" s="546">
        <f t="shared" si="697"/>
        <v>0.18987449118046149</v>
      </c>
      <c r="T247" s="303">
        <f t="shared" si="697"/>
        <v>0.18285290377278529</v>
      </c>
      <c r="U247" s="239">
        <f>U237/U220</f>
        <v>0.32829202343397956</v>
      </c>
      <c r="V247" s="239">
        <f t="shared" si="697"/>
        <v>0.16952188006482996</v>
      </c>
      <c r="W247" s="304">
        <f t="shared" si="697"/>
        <v>0.15476190476190477</v>
      </c>
      <c r="X247" s="546">
        <f t="shared" si="697"/>
        <v>0.15476190476190477</v>
      </c>
      <c r="Y247" s="303">
        <f t="shared" si="697"/>
        <v>0.16681034482758622</v>
      </c>
      <c r="Z247" s="239">
        <f t="shared" si="697"/>
        <v>0.15705033308660252</v>
      </c>
      <c r="AA247" s="239">
        <f t="shared" si="697"/>
        <v>0.20842936406316689</v>
      </c>
      <c r="AB247" s="304">
        <f t="shared" si="697"/>
        <v>0.22587354409317803</v>
      </c>
      <c r="AC247" s="546">
        <f t="shared" si="697"/>
        <v>0.22587354409317803</v>
      </c>
      <c r="AD247" s="303">
        <f t="shared" si="697"/>
        <v>0.24337040205303678</v>
      </c>
      <c r="AE247" s="239">
        <f>AE237/AE220</f>
        <v>0.24696180555555555</v>
      </c>
      <c r="AF247" s="239">
        <f t="shared" si="697"/>
        <v>0.25022182786157943</v>
      </c>
      <c r="AG247" s="304">
        <f t="shared" si="697"/>
        <v>0.24568965517241378</v>
      </c>
      <c r="AH247" s="546">
        <f t="shared" si="697"/>
        <v>0.24568965517241378</v>
      </c>
      <c r="AI247" s="303">
        <f t="shared" si="697"/>
        <v>0.26818181818181819</v>
      </c>
      <c r="AJ247" s="239">
        <f t="shared" si="697"/>
        <v>0.28525196486361537</v>
      </c>
      <c r="AK247" s="239">
        <f t="shared" si="697"/>
        <v>0.28197017623136017</v>
      </c>
      <c r="AL247" s="304">
        <f t="shared" si="697"/>
        <v>0.27715517241379312</v>
      </c>
      <c r="AM247" s="546">
        <f t="shared" si="697"/>
        <v>0.27715517241379312</v>
      </c>
      <c r="AN247" s="303">
        <f t="shared" ref="AN247" si="698">AN237/AN220</f>
        <v>0.28261831048208758</v>
      </c>
      <c r="AO247" s="239">
        <f t="shared" si="697"/>
        <v>0.2776315789473684</v>
      </c>
      <c r="AP247" s="239">
        <f t="shared" ref="AP247" si="699">AP237/AP220</f>
        <v>0.22580645161290322</v>
      </c>
      <c r="AQ247" s="304">
        <f t="shared" si="697"/>
        <v>0.27185948835433371</v>
      </c>
      <c r="AR247" s="546">
        <f t="shared" si="697"/>
        <v>0.27185948835433371</v>
      </c>
      <c r="AS247" s="303">
        <f t="shared" ref="AS247:BB247" si="700">AS237/AS220</f>
        <v>0.28352059925093631</v>
      </c>
      <c r="AT247" s="239">
        <f t="shared" si="700"/>
        <v>0.30126002290950743</v>
      </c>
      <c r="AU247" s="239">
        <f t="shared" ref="AU247" si="701">AU237/AU220</f>
        <v>0.31276678308110206</v>
      </c>
      <c r="AV247" s="304">
        <f t="shared" si="700"/>
        <v>0.29804069329314237</v>
      </c>
      <c r="AW247" s="546">
        <f t="shared" si="700"/>
        <v>0.29804069329314242</v>
      </c>
      <c r="AX247" s="303">
        <f t="shared" ca="1" si="700"/>
        <v>0.30108944231772072</v>
      </c>
      <c r="AY247" s="239">
        <f t="shared" ca="1" si="700"/>
        <v>0.29187071973021611</v>
      </c>
      <c r="AZ247" s="239">
        <f t="shared" ca="1" si="700"/>
        <v>0.26907147974863582</v>
      </c>
      <c r="BA247" s="304">
        <f t="shared" ca="1" si="700"/>
        <v>0.27093115100754767</v>
      </c>
      <c r="BB247" s="546">
        <f t="shared" ca="1" si="700"/>
        <v>0.27093115100754755</v>
      </c>
      <c r="BC247" s="303">
        <f t="shared" ref="BC247:BL247" ca="1" si="702">BC237/BC220</f>
        <v>0.26993332254096997</v>
      </c>
      <c r="BD247" s="239">
        <f t="shared" ca="1" si="702"/>
        <v>0.25986560978455264</v>
      </c>
      <c r="BE247" s="239">
        <f t="shared" ca="1" si="702"/>
        <v>0.25575401238444345</v>
      </c>
      <c r="BF247" s="304">
        <f t="shared" ca="1" si="702"/>
        <v>0.26399625584659536</v>
      </c>
      <c r="BG247" s="546">
        <f t="shared" ca="1" si="702"/>
        <v>0.2639962558465952</v>
      </c>
      <c r="BH247" s="303">
        <f t="shared" ca="1" si="702"/>
        <v>0.27172936594469699</v>
      </c>
      <c r="BI247" s="239">
        <f t="shared" ca="1" si="702"/>
        <v>0.27301904799834759</v>
      </c>
      <c r="BJ247" s="239">
        <f t="shared" ca="1" si="702"/>
        <v>0.26408762695288818</v>
      </c>
      <c r="BK247" s="304">
        <f t="shared" ca="1" si="702"/>
        <v>0.26646272981137104</v>
      </c>
      <c r="BL247" s="546">
        <f t="shared" ca="1" si="702"/>
        <v>0.26646272981137098</v>
      </c>
      <c r="BM247" s="303">
        <f t="shared" ref="BM247:BQ247" ca="1" si="703">BM237/BM220</f>
        <v>0.26865527015267537</v>
      </c>
      <c r="BN247" s="239">
        <f t="shared" ca="1" si="703"/>
        <v>0.26723332232499808</v>
      </c>
      <c r="BO247" s="239">
        <f t="shared" ca="1" si="703"/>
        <v>0.2440792565462685</v>
      </c>
      <c r="BP247" s="304">
        <f t="shared" ca="1" si="703"/>
        <v>0.2688921820402711</v>
      </c>
      <c r="BQ247" s="546">
        <f t="shared" ca="1" si="703"/>
        <v>0.26889218204027115</v>
      </c>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row>
    <row r="248" spans="1:99">
      <c r="A248" s="383"/>
      <c r="B248" s="383"/>
      <c r="C248" s="383"/>
      <c r="D248" s="383"/>
      <c r="E248" s="613"/>
      <c r="F248" s="614"/>
      <c r="G248" s="614"/>
      <c r="H248" s="615"/>
      <c r="I248" s="383"/>
      <c r="J248" s="613"/>
      <c r="K248" s="614"/>
      <c r="L248" s="614"/>
      <c r="M248" s="615"/>
      <c r="N248" s="383"/>
      <c r="O248" s="613"/>
      <c r="P248" s="614"/>
      <c r="Q248" s="614"/>
      <c r="R248" s="615"/>
      <c r="S248" s="383"/>
      <c r="T248" s="613"/>
      <c r="U248" s="614"/>
      <c r="V248" s="614"/>
      <c r="W248" s="615"/>
      <c r="X248" s="383"/>
      <c r="Y248" s="613"/>
      <c r="Z248" s="614"/>
      <c r="AA248" s="614"/>
      <c r="AB248" s="615"/>
      <c r="AC248" s="383"/>
      <c r="AD248" s="613"/>
      <c r="AE248" s="614"/>
      <c r="AF248" s="614"/>
      <c r="AG248" s="615"/>
      <c r="AH248" s="383"/>
      <c r="AI248" s="613"/>
      <c r="AJ248" s="614"/>
      <c r="AK248" s="614"/>
      <c r="AL248" s="615"/>
      <c r="AM248" s="383"/>
      <c r="AN248" s="613"/>
      <c r="AO248" s="614"/>
      <c r="AP248" s="614"/>
      <c r="AQ248" s="615"/>
      <c r="AR248" s="383"/>
      <c r="AS248" s="613"/>
      <c r="AT248" s="614"/>
      <c r="AU248" s="614"/>
      <c r="AV248" s="615"/>
      <c r="AW248" s="383"/>
      <c r="AX248" s="613"/>
      <c r="AY248" s="614"/>
      <c r="AZ248" s="614"/>
      <c r="BA248" s="615"/>
      <c r="BB248" s="383"/>
      <c r="BC248" s="613"/>
      <c r="BD248" s="614"/>
      <c r="BE248" s="614"/>
      <c r="BF248" s="615"/>
      <c r="BG248" s="383"/>
      <c r="BH248" s="613"/>
      <c r="BI248" s="614"/>
      <c r="BJ248" s="614"/>
      <c r="BK248" s="615"/>
      <c r="BL248" s="383"/>
      <c r="BM248" s="613"/>
      <c r="BN248" s="614"/>
      <c r="BO248" s="614"/>
      <c r="BP248" s="615"/>
      <c r="BQ248" s="383"/>
      <c r="BR248" s="383"/>
      <c r="BS248" s="383"/>
      <c r="BT248" s="383"/>
      <c r="BU248" s="383"/>
      <c r="BV248" s="383"/>
      <c r="BW248" s="383"/>
      <c r="BX248" s="383"/>
      <c r="BY248" s="383"/>
      <c r="BZ248" s="383"/>
      <c r="CA248" s="383"/>
      <c r="CB248" s="383"/>
      <c r="CC248" s="383"/>
      <c r="CD248" s="383"/>
      <c r="CE248" s="383"/>
      <c r="CF248" s="383"/>
      <c r="CG248" s="383"/>
      <c r="CH248" s="383"/>
      <c r="CI248" s="383"/>
      <c r="CJ248" s="383"/>
      <c r="CK248" s="383"/>
      <c r="CL248" s="383"/>
      <c r="CM248" s="383"/>
      <c r="CN248" s="383"/>
      <c r="CO248" s="383"/>
      <c r="CP248" s="383"/>
      <c r="CQ248" s="383"/>
      <c r="CR248" s="383"/>
      <c r="CS248" s="383"/>
      <c r="CT248" s="383"/>
      <c r="CU248" s="383"/>
    </row>
    <row r="249" spans="1:99">
      <c r="A249" s="383"/>
      <c r="B249" s="383"/>
      <c r="C249" s="389" t="s">
        <v>201</v>
      </c>
      <c r="D249" s="383"/>
      <c r="E249" s="613"/>
      <c r="F249" s="614"/>
      <c r="G249" s="614"/>
      <c r="H249" s="615"/>
      <c r="I249" s="383"/>
      <c r="J249" s="613"/>
      <c r="K249" s="614"/>
      <c r="L249" s="614"/>
      <c r="M249" s="615"/>
      <c r="N249" s="383"/>
      <c r="O249" s="613"/>
      <c r="P249" s="614"/>
      <c r="Q249" s="614"/>
      <c r="R249" s="615"/>
      <c r="S249" s="383"/>
      <c r="T249" s="613"/>
      <c r="U249" s="614"/>
      <c r="V249" s="614"/>
      <c r="W249" s="615"/>
      <c r="X249" s="383"/>
      <c r="Y249" s="613"/>
      <c r="Z249" s="614"/>
      <c r="AA249" s="614"/>
      <c r="AB249" s="615"/>
      <c r="AC249" s="383"/>
      <c r="AD249" s="613"/>
      <c r="AE249" s="614"/>
      <c r="AF249" s="614"/>
      <c r="AG249" s="615"/>
      <c r="AH249" s="383"/>
      <c r="AI249" s="613"/>
      <c r="AJ249" s="614"/>
      <c r="AK249" s="614"/>
      <c r="AL249" s="615"/>
      <c r="AM249" s="383"/>
      <c r="AN249" s="613"/>
      <c r="AO249" s="614"/>
      <c r="AP249" s="614"/>
      <c r="AQ249" s="615"/>
      <c r="AR249" s="383"/>
      <c r="AS249" s="613"/>
      <c r="AT249" s="614"/>
      <c r="AU249" s="614"/>
      <c r="AV249" s="615"/>
      <c r="AW249" s="383"/>
      <c r="AX249" s="613"/>
      <c r="AY249" s="614"/>
      <c r="AZ249" s="614"/>
      <c r="BA249" s="615"/>
      <c r="BB249" s="383"/>
      <c r="BC249" s="613"/>
      <c r="BD249" s="614"/>
      <c r="BE249" s="614"/>
      <c r="BF249" s="615"/>
      <c r="BG249" s="383"/>
      <c r="BH249" s="613"/>
      <c r="BI249" s="614"/>
      <c r="BJ249" s="614"/>
      <c r="BK249" s="615"/>
      <c r="BL249" s="383"/>
      <c r="BM249" s="613"/>
      <c r="BN249" s="614"/>
      <c r="BO249" s="614"/>
      <c r="BP249" s="615"/>
      <c r="BQ249" s="383"/>
      <c r="BR249" s="383"/>
      <c r="BS249" s="383"/>
      <c r="BT249" s="383"/>
      <c r="BU249" s="383"/>
      <c r="BV249" s="383"/>
      <c r="BW249" s="383"/>
      <c r="BX249" s="383"/>
      <c r="BY249" s="383"/>
      <c r="BZ249" s="383"/>
      <c r="CA249" s="383"/>
      <c r="CB249" s="383"/>
      <c r="CC249" s="383"/>
      <c r="CD249" s="383"/>
      <c r="CE249" s="383"/>
      <c r="CF249" s="383"/>
      <c r="CG249" s="383"/>
      <c r="CH249" s="383"/>
      <c r="CI249" s="383"/>
      <c r="CJ249" s="383"/>
      <c r="CK249" s="383"/>
      <c r="CL249" s="383"/>
      <c r="CM249" s="383"/>
      <c r="CN249" s="383"/>
      <c r="CO249" s="383"/>
      <c r="CP249" s="383"/>
      <c r="CQ249" s="383"/>
      <c r="CR249" s="383"/>
      <c r="CS249" s="383"/>
      <c r="CT249" s="383"/>
      <c r="CU249" s="383"/>
    </row>
    <row r="250" spans="1:99">
      <c r="A250" s="383"/>
      <c r="B250" s="383"/>
      <c r="C250" s="383" t="s">
        <v>279</v>
      </c>
      <c r="D250" s="383"/>
      <c r="E250" s="613"/>
      <c r="F250" s="614"/>
      <c r="G250" s="614"/>
      <c r="H250" s="666">
        <f t="shared" ref="H250:AR250" si="704">(H237+H240)/H240</f>
        <v>5.1061019382627419</v>
      </c>
      <c r="I250" s="229">
        <f t="shared" si="704"/>
        <v>5.1061019382627419</v>
      </c>
      <c r="J250" s="667">
        <f t="shared" si="704"/>
        <v>5.1362106803218728</v>
      </c>
      <c r="K250" s="240">
        <f t="shared" si="704"/>
        <v>5.1827123695976143</v>
      </c>
      <c r="L250" s="240">
        <f t="shared" si="704"/>
        <v>5.1834848484848477</v>
      </c>
      <c r="M250" s="666">
        <f t="shared" si="704"/>
        <v>4.045740598618571</v>
      </c>
      <c r="N250" s="229">
        <f t="shared" si="704"/>
        <v>4.0457405986185746</v>
      </c>
      <c r="O250" s="667">
        <f t="shared" si="704"/>
        <v>4.1699224806201549</v>
      </c>
      <c r="P250" s="240">
        <f t="shared" si="704"/>
        <v>4.3929742388758779</v>
      </c>
      <c r="Q250" s="240">
        <f t="shared" si="704"/>
        <v>4.299605678233438</v>
      </c>
      <c r="R250" s="666">
        <f t="shared" si="704"/>
        <v>4.53712480252765</v>
      </c>
      <c r="S250" s="229">
        <f t="shared" si="704"/>
        <v>4.53712480252765</v>
      </c>
      <c r="T250" s="667">
        <f t="shared" si="704"/>
        <v>4.1763622974963219</v>
      </c>
      <c r="U250" s="240">
        <f>(U237+U240)/U240</f>
        <v>4.2535953550692307</v>
      </c>
      <c r="V250" s="240">
        <f t="shared" si="704"/>
        <v>3.9463380281690164</v>
      </c>
      <c r="W250" s="666">
        <f t="shared" si="704"/>
        <v>3.6180555555555554</v>
      </c>
      <c r="X250" s="229">
        <f t="shared" si="704"/>
        <v>3.6180555555555554</v>
      </c>
      <c r="Y250" s="667">
        <f t="shared" si="704"/>
        <v>3.9878676470588239</v>
      </c>
      <c r="Z250" s="240">
        <f t="shared" si="704"/>
        <v>4.1667910447761196</v>
      </c>
      <c r="AA250" s="240">
        <f t="shared" si="704"/>
        <v>4.8152343750000002</v>
      </c>
      <c r="AB250" s="666">
        <f t="shared" si="704"/>
        <v>5.4508196721311473</v>
      </c>
      <c r="AC250" s="229">
        <f t="shared" si="704"/>
        <v>5.4508196721311473</v>
      </c>
      <c r="AD250" s="667">
        <f t="shared" si="704"/>
        <v>5.9051724137931032</v>
      </c>
      <c r="AE250" s="240">
        <f>(AE237+AE240)/AE240</f>
        <v>6.1261261261261257</v>
      </c>
      <c r="AF250" s="240">
        <f t="shared" si="704"/>
        <v>6.2222222222222223</v>
      </c>
      <c r="AG250" s="666">
        <f t="shared" si="704"/>
        <v>6.3773584905660377</v>
      </c>
      <c r="AH250" s="229">
        <f t="shared" si="704"/>
        <v>6.3773584905660377</v>
      </c>
      <c r="AI250" s="667">
        <f t="shared" si="704"/>
        <v>6.6730769230769234</v>
      </c>
      <c r="AJ250" s="240">
        <f t="shared" si="704"/>
        <v>7.108910891089109</v>
      </c>
      <c r="AK250" s="240">
        <f t="shared" si="704"/>
        <v>7.24</v>
      </c>
      <c r="AL250" s="666">
        <f t="shared" si="704"/>
        <v>7.4949494949494948</v>
      </c>
      <c r="AM250" s="229">
        <f t="shared" si="704"/>
        <v>7.4949494949494948</v>
      </c>
      <c r="AN250" s="667">
        <f t="shared" ref="AN250" si="705">(AN237+AN240)/AN240</f>
        <v>7.5204081632653059</v>
      </c>
      <c r="AO250" s="240">
        <f t="shared" si="704"/>
        <v>7.4591836734693882</v>
      </c>
      <c r="AP250" s="240">
        <f t="shared" ref="AP250" si="706">(AP237+AP240)/AP240</f>
        <v>7.5148514851485144</v>
      </c>
      <c r="AQ250" s="666">
        <f t="shared" si="704"/>
        <v>7.9126213592233006</v>
      </c>
      <c r="AR250" s="229">
        <f t="shared" si="704"/>
        <v>7.9126213592233006</v>
      </c>
      <c r="AS250" s="667">
        <f t="shared" ref="AS250:BB250" si="707">(AS237+AS240)/AS240</f>
        <v>8.1415094339622645</v>
      </c>
      <c r="AT250" s="240">
        <f t="shared" si="707"/>
        <v>8.3055555555555554</v>
      </c>
      <c r="AU250" s="240">
        <f t="shared" ref="AU250" si="708">(AU237+AU240)/AU240</f>
        <v>8.6037735849056602</v>
      </c>
      <c r="AV250" s="666">
        <f t="shared" si="707"/>
        <v>8.5333333333333314</v>
      </c>
      <c r="AW250" s="229">
        <f t="shared" si="707"/>
        <v>8.5333333333333332</v>
      </c>
      <c r="AX250" s="667">
        <f t="shared" si="707"/>
        <v>8.7228319212974643</v>
      </c>
      <c r="AY250" s="240">
        <f t="shared" ca="1" si="707"/>
        <v>8.9076603778703447</v>
      </c>
      <c r="AZ250" s="240">
        <f t="shared" ca="1" si="707"/>
        <v>8.4188213671181824</v>
      </c>
      <c r="BA250" s="666">
        <f t="shared" ca="1" si="707"/>
        <v>8.1586625018998546</v>
      </c>
      <c r="BB250" s="229">
        <f t="shared" ca="1" si="707"/>
        <v>8.1586625018998529</v>
      </c>
      <c r="BC250" s="667">
        <f t="shared" ref="BC250:BL250" ca="1" si="709">(BC237+BC240)/BC240</f>
        <v>7.8555111965437678</v>
      </c>
      <c r="BD250" s="240">
        <f t="shared" ca="1" si="709"/>
        <v>7.6124501228558161</v>
      </c>
      <c r="BE250" s="240">
        <f t="shared" ca="1" si="709"/>
        <v>7.5968567398359017</v>
      </c>
      <c r="BF250" s="666">
        <f t="shared" ca="1" si="709"/>
        <v>7.6363573152664479</v>
      </c>
      <c r="BG250" s="229">
        <f t="shared" ca="1" si="709"/>
        <v>7.6363573152664443</v>
      </c>
      <c r="BH250" s="667">
        <f t="shared" ca="1" si="709"/>
        <v>7.6591167672495768</v>
      </c>
      <c r="BI250" s="240">
        <f t="shared" ca="1" si="709"/>
        <v>7.716276274490772</v>
      </c>
      <c r="BJ250" s="240">
        <f t="shared" ca="1" si="709"/>
        <v>7.6113309444859887</v>
      </c>
      <c r="BK250" s="666">
        <f t="shared" ca="1" si="709"/>
        <v>7.543508670976462</v>
      </c>
      <c r="BL250" s="229">
        <f t="shared" ca="1" si="709"/>
        <v>7.5435086709764603</v>
      </c>
      <c r="BM250" s="667">
        <f t="shared" ref="BM250:BQ250" ca="1" si="710">(BM237+BM240)/BM240</f>
        <v>7.469142136875611</v>
      </c>
      <c r="BN250" s="240">
        <f t="shared" ca="1" si="710"/>
        <v>7.4240797098832108</v>
      </c>
      <c r="BO250" s="240">
        <f t="shared" ca="1" si="710"/>
        <v>7.2722877326633215</v>
      </c>
      <c r="BP250" s="666">
        <f t="shared" ca="1" si="710"/>
        <v>7.260910783323494</v>
      </c>
      <c r="BQ250" s="229">
        <f t="shared" ca="1" si="710"/>
        <v>7.260910783323494</v>
      </c>
      <c r="BR250" s="383"/>
      <c r="BS250" s="383"/>
      <c r="BT250" s="383"/>
      <c r="BU250" s="383"/>
      <c r="BV250" s="383"/>
      <c r="BW250" s="383"/>
      <c r="BX250" s="383"/>
      <c r="BY250" s="383"/>
      <c r="BZ250" s="383"/>
      <c r="CA250" s="383"/>
      <c r="CB250" s="383"/>
      <c r="CC250" s="383"/>
      <c r="CD250" s="383"/>
      <c r="CE250" s="383"/>
      <c r="CF250" s="383"/>
      <c r="CG250" s="383"/>
      <c r="CH250" s="383"/>
      <c r="CI250" s="383"/>
      <c r="CJ250" s="383"/>
      <c r="CK250" s="383"/>
      <c r="CL250" s="383"/>
      <c r="CM250" s="383"/>
      <c r="CN250" s="383"/>
      <c r="CO250" s="383"/>
      <c r="CP250" s="383"/>
      <c r="CQ250" s="383"/>
      <c r="CR250" s="383"/>
      <c r="CS250" s="383"/>
      <c r="CT250" s="383"/>
      <c r="CU250" s="383"/>
    </row>
    <row r="251" spans="1:99">
      <c r="A251" s="383"/>
      <c r="B251" s="383"/>
      <c r="C251" s="383" t="s">
        <v>280</v>
      </c>
      <c r="D251" s="383"/>
      <c r="E251" s="613"/>
      <c r="F251" s="614"/>
      <c r="G251" s="614"/>
      <c r="H251" s="666">
        <f t="shared" ref="H251:AR251" si="711">H238/H240</f>
        <v>2.1091170136396258</v>
      </c>
      <c r="I251" s="229">
        <f t="shared" si="711"/>
        <v>2.1091170136396271</v>
      </c>
      <c r="J251" s="667">
        <f t="shared" si="711"/>
        <v>1.9092904169714697</v>
      </c>
      <c r="K251" s="240">
        <f t="shared" si="711"/>
        <v>1.9441132637853937</v>
      </c>
      <c r="L251" s="240">
        <f t="shared" si="711"/>
        <v>1.9393939393939386</v>
      </c>
      <c r="M251" s="666">
        <f t="shared" si="711"/>
        <v>2.8779739063699137</v>
      </c>
      <c r="N251" s="229">
        <f t="shared" si="711"/>
        <v>2.8779739063699177</v>
      </c>
      <c r="O251" s="667">
        <f t="shared" si="711"/>
        <v>3.0317829457364334</v>
      </c>
      <c r="P251" s="240">
        <f t="shared" si="711"/>
        <v>3.0327868852459012</v>
      </c>
      <c r="Q251" s="240">
        <f t="shared" si="711"/>
        <v>2.6569400630914823</v>
      </c>
      <c r="R251" s="666">
        <f t="shared" si="711"/>
        <v>2.6524486571879966</v>
      </c>
      <c r="S251" s="229">
        <f t="shared" si="711"/>
        <v>2.6524486571879966</v>
      </c>
      <c r="T251" s="667">
        <f t="shared" si="711"/>
        <v>1.2614138438880733</v>
      </c>
      <c r="U251" s="240">
        <f>U238/U240</f>
        <v>2.2880750334970998</v>
      </c>
      <c r="V251" s="240">
        <f t="shared" si="711"/>
        <v>1.2485915492957766</v>
      </c>
      <c r="W251" s="666">
        <f t="shared" si="711"/>
        <v>1.0763888888888888</v>
      </c>
      <c r="X251" s="229">
        <f t="shared" si="711"/>
        <v>1.0763888888888888</v>
      </c>
      <c r="Y251" s="667">
        <f t="shared" si="711"/>
        <v>2.4117647058823528</v>
      </c>
      <c r="Z251" s="240">
        <f t="shared" si="711"/>
        <v>2.5522388059701493</v>
      </c>
      <c r="AA251" s="240">
        <f t="shared" si="711"/>
        <v>3.3203125</v>
      </c>
      <c r="AB251" s="666">
        <f t="shared" si="711"/>
        <v>3.819672131147541</v>
      </c>
      <c r="AC251" s="229">
        <f t="shared" si="711"/>
        <v>3.819672131147541</v>
      </c>
      <c r="AD251" s="667">
        <f t="shared" si="711"/>
        <v>4.0603448275862073</v>
      </c>
      <c r="AE251" s="240">
        <f>AE238/AE240</f>
        <v>4.1261261261261257</v>
      </c>
      <c r="AF251" s="240">
        <f t="shared" si="711"/>
        <v>4.1296296296296298</v>
      </c>
      <c r="AG251" s="666">
        <f t="shared" si="711"/>
        <v>4.3113207547169807</v>
      </c>
      <c r="AH251" s="229">
        <f t="shared" si="711"/>
        <v>4.3113207547169807</v>
      </c>
      <c r="AI251" s="667">
        <f t="shared" si="711"/>
        <v>4.7307692307692308</v>
      </c>
      <c r="AJ251" s="240">
        <f t="shared" si="711"/>
        <v>5.2970297029702973</v>
      </c>
      <c r="AK251" s="240">
        <f t="shared" si="711"/>
        <v>5.43</v>
      </c>
      <c r="AL251" s="666">
        <f t="shared" si="711"/>
        <v>5.8181818181818183</v>
      </c>
      <c r="AM251" s="229">
        <f t="shared" si="711"/>
        <v>5.8181818181818183</v>
      </c>
      <c r="AN251" s="667">
        <f t="shared" ref="AN251" si="712">AN238/AN240</f>
        <v>5.704081632653061</v>
      </c>
      <c r="AO251" s="240">
        <f t="shared" si="711"/>
        <v>5.3061224489795915</v>
      </c>
      <c r="AP251" s="240">
        <f t="shared" ref="AP251" si="713">AP238/AP240</f>
        <v>5.2079207920792081</v>
      </c>
      <c r="AQ251" s="666">
        <f t="shared" si="711"/>
        <v>5.5436893203883493</v>
      </c>
      <c r="AR251" s="229">
        <f t="shared" si="711"/>
        <v>5.5436893203883493</v>
      </c>
      <c r="AS251" s="667">
        <f t="shared" ref="AS251:BB251" si="714">AS238/AS240</f>
        <v>5.7735849056603774</v>
      </c>
      <c r="AT251" s="240">
        <f t="shared" si="714"/>
        <v>6.0185185185185182</v>
      </c>
      <c r="AU251" s="240">
        <f t="shared" ref="AU251" si="715">AU238/AU240</f>
        <v>6.2075471698113205</v>
      </c>
      <c r="AV251" s="666">
        <f t="shared" si="714"/>
        <v>5.9999999999999991</v>
      </c>
      <c r="AW251" s="229">
        <f t="shared" si="714"/>
        <v>6</v>
      </c>
      <c r="AX251" s="667">
        <f t="shared" si="714"/>
        <v>5.7390697638271542</v>
      </c>
      <c r="AY251" s="240">
        <f t="shared" ca="1" si="714"/>
        <v>5.6719592198953288</v>
      </c>
      <c r="AZ251" s="240">
        <f t="shared" ca="1" si="714"/>
        <v>5.08691574525806</v>
      </c>
      <c r="BA251" s="666">
        <f t="shared" ca="1" si="714"/>
        <v>4.5544661479166439</v>
      </c>
      <c r="BB251" s="229">
        <f t="shared" ca="1" si="714"/>
        <v>4.5544661479166431</v>
      </c>
      <c r="BC251" s="667">
        <f t="shared" ref="BC251:BL251" ca="1" si="716">BC238/BC240</f>
        <v>4.3228228668776127</v>
      </c>
      <c r="BD251" s="240">
        <f t="shared" ca="1" si="716"/>
        <v>4.1314148513474676</v>
      </c>
      <c r="BE251" s="240">
        <f t="shared" ca="1" si="716"/>
        <v>4.215724079817929</v>
      </c>
      <c r="BF251" s="666">
        <f t="shared" ca="1" si="716"/>
        <v>4.3223870709645276</v>
      </c>
      <c r="BG251" s="229">
        <f t="shared" ca="1" si="716"/>
        <v>4.322387070964524</v>
      </c>
      <c r="BH251" s="667">
        <f t="shared" ca="1" si="716"/>
        <v>4.40544365233563</v>
      </c>
      <c r="BI251" s="240">
        <f t="shared" ca="1" si="716"/>
        <v>4.5021707980535828</v>
      </c>
      <c r="BJ251" s="240">
        <f t="shared" ca="1" si="716"/>
        <v>4.4156846381158212</v>
      </c>
      <c r="BK251" s="666">
        <f t="shared" ca="1" si="716"/>
        <v>4.3534846225162021</v>
      </c>
      <c r="BL251" s="229">
        <f t="shared" ca="1" si="716"/>
        <v>4.3534846225162012</v>
      </c>
      <c r="BM251" s="667">
        <f t="shared" ref="BM251:BQ251" ca="1" si="717">BM238/BM240</f>
        <v>4.2880565112618418</v>
      </c>
      <c r="BN251" s="240">
        <f t="shared" ca="1" si="717"/>
        <v>4.2437680340408681</v>
      </c>
      <c r="BO251" s="240">
        <f t="shared" ca="1" si="717"/>
        <v>4.1833644777589898</v>
      </c>
      <c r="BP251" s="666">
        <f t="shared" ca="1" si="717"/>
        <v>4.206343188912399</v>
      </c>
      <c r="BQ251" s="229">
        <f t="shared" ca="1" si="717"/>
        <v>4.2063431889123999</v>
      </c>
      <c r="BR251" s="383"/>
      <c r="BS251" s="383"/>
      <c r="BT251" s="383"/>
      <c r="BU251" s="383"/>
      <c r="BV251" s="383"/>
      <c r="BW251" s="383"/>
      <c r="BX251" s="383"/>
      <c r="BY251" s="383"/>
      <c r="BZ251" s="383"/>
      <c r="CA251" s="383"/>
      <c r="CB251" s="383"/>
      <c r="CC251" s="383"/>
      <c r="CD251" s="383"/>
      <c r="CE251" s="383"/>
      <c r="CF251" s="383"/>
      <c r="CG251" s="383"/>
      <c r="CH251" s="383"/>
      <c r="CI251" s="383"/>
      <c r="CJ251" s="383"/>
      <c r="CK251" s="383"/>
      <c r="CL251" s="383"/>
      <c r="CM251" s="383"/>
      <c r="CN251" s="383"/>
      <c r="CO251" s="383"/>
      <c r="CP251" s="383"/>
      <c r="CQ251" s="383"/>
      <c r="CR251" s="383"/>
      <c r="CS251" s="383"/>
      <c r="CT251" s="383"/>
      <c r="CU251" s="383"/>
    </row>
    <row r="252" spans="1:99">
      <c r="A252" s="383"/>
      <c r="B252" s="383"/>
      <c r="C252" s="383"/>
      <c r="D252" s="383"/>
      <c r="E252" s="613"/>
      <c r="F252" s="614"/>
      <c r="G252" s="614"/>
      <c r="H252" s="615"/>
      <c r="I252" s="383"/>
      <c r="J252" s="613"/>
      <c r="K252" s="614"/>
      <c r="L252" s="614"/>
      <c r="M252" s="615"/>
      <c r="N252" s="383"/>
      <c r="O252" s="613"/>
      <c r="P252" s="614"/>
      <c r="Q252" s="614"/>
      <c r="R252" s="615"/>
      <c r="S252" s="383"/>
      <c r="T252" s="613"/>
      <c r="U252" s="614"/>
      <c r="V252" s="614"/>
      <c r="W252" s="615"/>
      <c r="X252" s="383"/>
      <c r="Y252" s="613"/>
      <c r="Z252" s="614"/>
      <c r="AA252" s="614"/>
      <c r="AB252" s="615"/>
      <c r="AC252" s="383"/>
      <c r="AD252" s="613"/>
      <c r="AE252" s="614"/>
      <c r="AF252" s="614"/>
      <c r="AG252" s="615"/>
      <c r="AH252" s="383"/>
      <c r="AI252" s="613"/>
      <c r="AJ252" s="614"/>
      <c r="AK252" s="614"/>
      <c r="AL252" s="615"/>
      <c r="AM252" s="383"/>
      <c r="AN252" s="613"/>
      <c r="AO252" s="614"/>
      <c r="AP252" s="614"/>
      <c r="AQ252" s="615"/>
      <c r="AR252" s="383"/>
      <c r="AS252" s="613"/>
      <c r="AT252" s="614"/>
      <c r="AU252" s="614"/>
      <c r="AV252" s="615"/>
      <c r="AW252" s="383"/>
      <c r="AX252" s="613"/>
      <c r="AY252" s="614"/>
      <c r="AZ252" s="614"/>
      <c r="BA252" s="615"/>
      <c r="BB252" s="383"/>
      <c r="BC252" s="613"/>
      <c r="BD252" s="614"/>
      <c r="BE252" s="614"/>
      <c r="BF252" s="615"/>
      <c r="BG252" s="383"/>
      <c r="BH252" s="613"/>
      <c r="BI252" s="614"/>
      <c r="BJ252" s="614"/>
      <c r="BK252" s="615"/>
      <c r="BL252" s="383"/>
      <c r="BM252" s="613"/>
      <c r="BN252" s="614"/>
      <c r="BO252" s="614"/>
      <c r="BP252" s="615"/>
      <c r="BQ252" s="383"/>
      <c r="BR252" s="383"/>
      <c r="BS252" s="383"/>
      <c r="BT252" s="383"/>
      <c r="BU252" s="383"/>
      <c r="BV252" s="383"/>
      <c r="BW252" s="383"/>
      <c r="BX252" s="383"/>
      <c r="BY252" s="383"/>
      <c r="BZ252" s="383"/>
      <c r="CA252" s="383"/>
      <c r="CB252" s="383"/>
      <c r="CC252" s="383"/>
      <c r="CD252" s="383"/>
      <c r="CE252" s="383"/>
      <c r="CF252" s="383"/>
      <c r="CG252" s="383"/>
      <c r="CH252" s="383"/>
      <c r="CI252" s="383"/>
      <c r="CJ252" s="383"/>
      <c r="CK252" s="383"/>
      <c r="CL252" s="383"/>
      <c r="CM252" s="383"/>
      <c r="CN252" s="383"/>
      <c r="CO252" s="383"/>
      <c r="CP252" s="383"/>
      <c r="CQ252" s="383"/>
      <c r="CR252" s="383"/>
      <c r="CS252" s="383"/>
      <c r="CT252" s="383"/>
      <c r="CU252" s="383"/>
    </row>
    <row r="253" spans="1:99">
      <c r="A253" s="383"/>
      <c r="B253" s="383"/>
      <c r="C253" s="383"/>
      <c r="D253" s="383"/>
      <c r="E253" s="613"/>
      <c r="F253" s="614"/>
      <c r="G253" s="614"/>
      <c r="H253" s="615"/>
      <c r="I253" s="383"/>
      <c r="J253" s="613"/>
      <c r="K253" s="614"/>
      <c r="L253" s="614"/>
      <c r="M253" s="615"/>
      <c r="N253" s="383"/>
      <c r="O253" s="613"/>
      <c r="P253" s="614"/>
      <c r="Q253" s="614"/>
      <c r="R253" s="615"/>
      <c r="S253" s="383"/>
      <c r="T253" s="613"/>
      <c r="U253" s="614"/>
      <c r="V253" s="614"/>
      <c r="W253" s="615"/>
      <c r="X253" s="383"/>
      <c r="Y253" s="613"/>
      <c r="Z253" s="614"/>
      <c r="AA253" s="614"/>
      <c r="AB253" s="615"/>
      <c r="AC253" s="383"/>
      <c r="AD253" s="613"/>
      <c r="AE253" s="614"/>
      <c r="AF253" s="614"/>
      <c r="AG253" s="615"/>
      <c r="AH253" s="383"/>
      <c r="AI253" s="613"/>
      <c r="AJ253" s="614"/>
      <c r="AK253" s="614"/>
      <c r="AL253" s="615"/>
      <c r="AM253" s="383"/>
      <c r="AN253" s="613"/>
      <c r="AO253" s="614"/>
      <c r="AP253" s="614"/>
      <c r="AQ253" s="615"/>
      <c r="AR253" s="383"/>
      <c r="AS253" s="613"/>
      <c r="AT253" s="614"/>
      <c r="AU253" s="614"/>
      <c r="AV253" s="615"/>
      <c r="AW253" s="383"/>
      <c r="AX253" s="613"/>
      <c r="AY253" s="614"/>
      <c r="AZ253" s="614"/>
      <c r="BA253" s="615"/>
      <c r="BB253" s="383"/>
      <c r="BC253" s="613"/>
      <c r="BD253" s="614"/>
      <c r="BE253" s="614"/>
      <c r="BF253" s="615"/>
      <c r="BG253" s="383"/>
      <c r="BH253" s="613"/>
      <c r="BI253" s="614"/>
      <c r="BJ253" s="614"/>
      <c r="BK253" s="615"/>
      <c r="BL253" s="383"/>
      <c r="BM253" s="613"/>
      <c r="BN253" s="614"/>
      <c r="BO253" s="614"/>
      <c r="BP253" s="615"/>
      <c r="BQ253" s="383"/>
      <c r="BR253" s="383"/>
      <c r="BS253" s="383"/>
      <c r="BT253" s="383"/>
      <c r="BU253" s="383"/>
      <c r="BV253" s="383"/>
      <c r="BW253" s="383"/>
      <c r="BX253" s="383"/>
      <c r="BY253" s="383"/>
      <c r="BZ253" s="383"/>
      <c r="CA253" s="383"/>
      <c r="CB253" s="383"/>
      <c r="CC253" s="383"/>
      <c r="CD253" s="383"/>
      <c r="CE253" s="383"/>
      <c r="CF253" s="383"/>
      <c r="CG253" s="383"/>
      <c r="CH253" s="383"/>
      <c r="CI253" s="383"/>
      <c r="CJ253" s="383"/>
      <c r="CK253" s="383"/>
      <c r="CL253" s="383"/>
      <c r="CM253" s="383"/>
      <c r="CN253" s="383"/>
      <c r="CO253" s="383"/>
      <c r="CP253" s="383"/>
      <c r="CQ253" s="383"/>
      <c r="CR253" s="383"/>
      <c r="CS253" s="383"/>
      <c r="CT253" s="383"/>
      <c r="CU253" s="383"/>
    </row>
    <row r="254" spans="1:99">
      <c r="A254" s="383"/>
      <c r="B254" s="379" t="s">
        <v>156</v>
      </c>
      <c r="C254" s="658"/>
      <c r="D254" s="659"/>
      <c r="E254" s="613"/>
      <c r="F254" s="614"/>
      <c r="G254" s="614"/>
      <c r="H254" s="615"/>
      <c r="I254" s="383"/>
      <c r="J254" s="613"/>
      <c r="K254" s="614"/>
      <c r="L254" s="614"/>
      <c r="M254" s="615"/>
      <c r="N254" s="383"/>
      <c r="O254" s="613"/>
      <c r="P254" s="614"/>
      <c r="Q254" s="614"/>
      <c r="R254" s="615"/>
      <c r="S254" s="383"/>
      <c r="T254" s="613"/>
      <c r="U254" s="614"/>
      <c r="V254" s="614"/>
      <c r="W254" s="615"/>
      <c r="X254" s="383"/>
      <c r="Y254" s="613"/>
      <c r="Z254" s="614"/>
      <c r="AA254" s="614"/>
      <c r="AB254" s="615"/>
      <c r="AC254" s="383"/>
      <c r="AD254" s="613"/>
      <c r="AE254" s="614"/>
      <c r="AF254" s="614"/>
      <c r="AG254" s="615"/>
      <c r="AH254" s="383"/>
      <c r="AI254" s="613"/>
      <c r="AJ254" s="614"/>
      <c r="AK254" s="614"/>
      <c r="AL254" s="615"/>
      <c r="AM254" s="383"/>
      <c r="AN254" s="613"/>
      <c r="AO254" s="614"/>
      <c r="AP254" s="614"/>
      <c r="AQ254" s="615"/>
      <c r="AR254" s="383"/>
      <c r="AS254" s="613"/>
      <c r="AT254" s="614"/>
      <c r="AU254" s="614"/>
      <c r="AV254" s="615"/>
      <c r="AW254" s="383"/>
      <c r="AX254" s="613"/>
      <c r="AY254" s="614"/>
      <c r="AZ254" s="614"/>
      <c r="BA254" s="615"/>
      <c r="BB254" s="383"/>
      <c r="BC254" s="613"/>
      <c r="BD254" s="614"/>
      <c r="BE254" s="614"/>
      <c r="BF254" s="615"/>
      <c r="BG254" s="383"/>
      <c r="BH254" s="613"/>
      <c r="BI254" s="614"/>
      <c r="BJ254" s="614"/>
      <c r="BK254" s="615"/>
      <c r="BL254" s="383"/>
      <c r="BM254" s="613"/>
      <c r="BN254" s="614"/>
      <c r="BO254" s="614"/>
      <c r="BP254" s="615"/>
      <c r="BQ254" s="383"/>
      <c r="BR254" s="383"/>
      <c r="BS254" s="383"/>
      <c r="BT254" s="383"/>
      <c r="BU254" s="383"/>
      <c r="BV254" s="383"/>
      <c r="BW254" s="383"/>
      <c r="BX254" s="383"/>
      <c r="BY254" s="383"/>
      <c r="BZ254" s="383"/>
      <c r="CA254" s="383"/>
      <c r="CB254" s="383"/>
      <c r="CC254" s="383"/>
      <c r="CD254" s="383"/>
      <c r="CE254" s="383"/>
      <c r="CF254" s="383"/>
      <c r="CG254" s="383"/>
      <c r="CH254" s="383"/>
      <c r="CI254" s="383"/>
      <c r="CJ254" s="383"/>
      <c r="CK254" s="383"/>
      <c r="CL254" s="383"/>
      <c r="CM254" s="383"/>
      <c r="CN254" s="383"/>
      <c r="CO254" s="383"/>
      <c r="CP254" s="383"/>
      <c r="CQ254" s="383"/>
      <c r="CR254" s="383"/>
      <c r="CS254" s="383"/>
      <c r="CT254" s="383"/>
      <c r="CU254" s="383"/>
    </row>
    <row r="255" spans="1:99">
      <c r="A255" s="45"/>
      <c r="B255" s="45"/>
      <c r="C255" s="389" t="s">
        <v>403</v>
      </c>
      <c r="D255" s="521"/>
      <c r="E255" s="295">
        <v>4000</v>
      </c>
      <c r="F255" s="668">
        <f>+E260</f>
        <v>4008.4</v>
      </c>
      <c r="G255" s="668">
        <f>+F260</f>
        <v>3995.5000000000005</v>
      </c>
      <c r="H255" s="293">
        <f>+G260</f>
        <v>3792.9000000000005</v>
      </c>
      <c r="I255" s="521">
        <f>+E255</f>
        <v>4000</v>
      </c>
      <c r="J255" s="292">
        <f>+I260</f>
        <v>3940.2000000000007</v>
      </c>
      <c r="K255" s="668">
        <f>+J260</f>
        <v>3920.8500000000008</v>
      </c>
      <c r="L255" s="668">
        <f>+K260</f>
        <v>3958.3000000000006</v>
      </c>
      <c r="M255" s="293">
        <f>+L260</f>
        <v>4043.9500000000007</v>
      </c>
      <c r="N255" s="521">
        <f>+I260</f>
        <v>3940.2000000000007</v>
      </c>
      <c r="O255" s="292">
        <f>+N260</f>
        <v>3962.9000000000005</v>
      </c>
      <c r="P255" s="668">
        <f>+O260</f>
        <v>3998.05</v>
      </c>
      <c r="Q255" s="668">
        <f>+P260</f>
        <v>4073.7000000000003</v>
      </c>
      <c r="R255" s="293">
        <f>+Q260</f>
        <v>4124.3500000000004</v>
      </c>
      <c r="S255" s="521">
        <f>+N260</f>
        <v>3962.9000000000005</v>
      </c>
      <c r="T255" s="292">
        <f>+S260</f>
        <v>4151.1000000000004</v>
      </c>
      <c r="U255" s="261">
        <f>+T260</f>
        <v>4165.1000000000004</v>
      </c>
      <c r="V255" s="668">
        <f>+U260</f>
        <v>4219.1000000000004</v>
      </c>
      <c r="W255" s="293">
        <f>+V260</f>
        <v>4268.1000000000004</v>
      </c>
      <c r="X255" s="521">
        <f>+S260</f>
        <v>4151.1000000000004</v>
      </c>
      <c r="Y255" s="292">
        <f>+X260</f>
        <v>4384.1000000000004</v>
      </c>
      <c r="Z255" s="668">
        <f>+Y260</f>
        <v>4381.1000000000004</v>
      </c>
      <c r="AA255" s="1482">
        <f>+Z260</f>
        <v>4431.1000000000004</v>
      </c>
      <c r="AB255" s="1439">
        <f>+AA260</f>
        <v>4476.1000000000004</v>
      </c>
      <c r="AC255" s="1483">
        <f>+X260</f>
        <v>4384.1000000000004</v>
      </c>
      <c r="AD255" s="292">
        <f>+AC260</f>
        <v>4582.1000000000004</v>
      </c>
      <c r="AE255" s="668">
        <f>+AD260</f>
        <v>4631.1000000000004</v>
      </c>
      <c r="AF255" s="668">
        <f>+AE260</f>
        <v>4706.1000000000004</v>
      </c>
      <c r="AG255" s="293">
        <f>+AF260</f>
        <v>4768.1000000000004</v>
      </c>
      <c r="AH255" s="521">
        <f>+AC260</f>
        <v>4582.1000000000004</v>
      </c>
      <c r="AI255" s="292">
        <f>+AH260</f>
        <v>4798.1000000000004</v>
      </c>
      <c r="AJ255" s="668">
        <f>+AI260</f>
        <v>4805.1000000000004</v>
      </c>
      <c r="AK255" s="668">
        <f>+AJ260</f>
        <v>4855.1000000000004</v>
      </c>
      <c r="AL255" s="293">
        <f>+AK260</f>
        <v>4934.1000000000004</v>
      </c>
      <c r="AM255" s="521">
        <f>+AH260</f>
        <v>4798.1000000000004</v>
      </c>
      <c r="AN255" s="292">
        <f>+AM260</f>
        <v>4963.1000000000004</v>
      </c>
      <c r="AO255" s="668">
        <f>+AN260</f>
        <v>4858.1000000000004</v>
      </c>
      <c r="AP255" s="668">
        <f>+AO260</f>
        <v>5008.1000000000004</v>
      </c>
      <c r="AQ255" s="293">
        <f>+AP260</f>
        <v>5117.1000000000004</v>
      </c>
      <c r="AR255" s="521">
        <f>+AM260</f>
        <v>4963.1000000000004</v>
      </c>
      <c r="AS255" s="292">
        <f>+AR260</f>
        <v>5300.1</v>
      </c>
      <c r="AT255" s="668">
        <f>+AS260</f>
        <v>5114.1000000000004</v>
      </c>
      <c r="AU255" s="668">
        <f>+AT260</f>
        <v>5251.1</v>
      </c>
      <c r="AV255" s="293">
        <f>+AU260</f>
        <v>5341.1</v>
      </c>
      <c r="AW255" s="521">
        <f>+AR260</f>
        <v>5300.1</v>
      </c>
      <c r="AX255" s="292">
        <f>+AW260</f>
        <v>5525.1</v>
      </c>
      <c r="AY255" s="668">
        <f ca="1">+AX260</f>
        <v>5970.5565836959104</v>
      </c>
      <c r="AZ255" s="668">
        <f ca="1">+AY260</f>
        <v>6114.6303054999498</v>
      </c>
      <c r="BA255" s="293">
        <f ca="1">+AZ260</f>
        <v>6256.9084762136636</v>
      </c>
      <c r="BB255" s="521">
        <f>+AW260</f>
        <v>5525.1</v>
      </c>
      <c r="BC255" s="292">
        <f ca="1">+BB260</f>
        <v>6397.4109542349452</v>
      </c>
      <c r="BD255" s="668">
        <f ca="1">+BC260</f>
        <v>6372.0930517729257</v>
      </c>
      <c r="BE255" s="668">
        <f ca="1">+BD260</f>
        <v>6545.3140709675727</v>
      </c>
      <c r="BF255" s="293">
        <f ca="1">+BE260</f>
        <v>6716.3998753042843</v>
      </c>
      <c r="BG255" s="521">
        <f ca="1">+BB260</f>
        <v>6397.4109542349452</v>
      </c>
      <c r="BH255" s="292">
        <f ca="1">+BG260</f>
        <v>6885.3740797870896</v>
      </c>
      <c r="BI255" s="668">
        <f ca="1">+BH260</f>
        <v>7161.2751334999475</v>
      </c>
      <c r="BJ255" s="668">
        <f ca="1">+BI260</f>
        <v>7310.0191853877732</v>
      </c>
      <c r="BK255" s="293">
        <f ca="1">+BJ260</f>
        <v>7456.8601899862642</v>
      </c>
      <c r="BL255" s="521">
        <f ca="1">+BG260</f>
        <v>6885.3740797870896</v>
      </c>
      <c r="BM255" s="292">
        <f ca="1">+BL260</f>
        <v>7601.8191945774934</v>
      </c>
      <c r="BN255" s="668">
        <f ca="1">+BM260</f>
        <v>7659.0492091623737</v>
      </c>
      <c r="BO255" s="668">
        <f ca="1">+BN260</f>
        <v>7774.2549198686138</v>
      </c>
      <c r="BP255" s="293">
        <f ca="1">+BO260</f>
        <v>7887.9189121946074</v>
      </c>
      <c r="BQ255" s="521">
        <f ca="1">+BL260</f>
        <v>7601.8191945774934</v>
      </c>
      <c r="BR255" s="45"/>
      <c r="BS255" s="45"/>
      <c r="BT255" s="45"/>
      <c r="BU255" s="45"/>
      <c r="BV255" s="45"/>
      <c r="BW255" s="45"/>
      <c r="BX255" s="45"/>
      <c r="BY255" s="45"/>
      <c r="BZ255" s="45"/>
      <c r="CA255" s="45"/>
      <c r="CB255" s="45"/>
      <c r="CC255" s="45"/>
      <c r="CD255" s="45"/>
      <c r="CE255" s="45"/>
      <c r="CF255" s="45"/>
      <c r="CG255" s="45"/>
      <c r="CH255" s="45"/>
      <c r="CI255" s="45"/>
      <c r="CJ255" s="45"/>
      <c r="CK255" s="45"/>
      <c r="CL255" s="45"/>
      <c r="CM255" s="45"/>
      <c r="CN255" s="45"/>
      <c r="CO255" s="45"/>
      <c r="CP255" s="45"/>
      <c r="CQ255" s="45"/>
      <c r="CR255" s="45"/>
      <c r="CS255" s="45"/>
      <c r="CT255" s="45"/>
      <c r="CU255" s="45"/>
    </row>
    <row r="256" spans="1:99">
      <c r="A256" s="45"/>
      <c r="B256" s="45"/>
      <c r="C256" s="391" t="s">
        <v>404</v>
      </c>
      <c r="D256" s="45"/>
      <c r="E256" s="290">
        <f>E167</f>
        <v>79.3</v>
      </c>
      <c r="F256" s="260">
        <f>F167</f>
        <v>87.399999999999991</v>
      </c>
      <c r="G256" s="260">
        <f>G167</f>
        <v>99.100000000000023</v>
      </c>
      <c r="H256" s="291">
        <f>H167</f>
        <v>106.80000000000001</v>
      </c>
      <c r="I256" s="45">
        <f>SUM(E256:H256)</f>
        <v>372.6</v>
      </c>
      <c r="J256" s="290">
        <f>J167</f>
        <v>87.2</v>
      </c>
      <c r="K256" s="260">
        <f>K167</f>
        <v>103.10000000000001</v>
      </c>
      <c r="L256" s="260">
        <f>L167</f>
        <v>175.39999999999998</v>
      </c>
      <c r="M256" s="291">
        <f>M167</f>
        <v>185.8</v>
      </c>
      <c r="N256" s="45">
        <f>SUM(J256:M256)</f>
        <v>551.5</v>
      </c>
      <c r="O256" s="290">
        <f>O167</f>
        <v>136.19999999999999</v>
      </c>
      <c r="P256" s="260">
        <f>P167</f>
        <v>168.3</v>
      </c>
      <c r="Q256" s="260">
        <f>Q167</f>
        <v>140.10000000000002</v>
      </c>
      <c r="R256" s="291">
        <f>R167</f>
        <v>143.39999999999998</v>
      </c>
      <c r="S256" s="45">
        <f>SUM(O256:R256)</f>
        <v>588</v>
      </c>
      <c r="T256" s="290">
        <f>T167</f>
        <v>115</v>
      </c>
      <c r="U256" s="260">
        <f>U167</f>
        <v>167</v>
      </c>
      <c r="V256" s="260">
        <f>V167</f>
        <v>120</v>
      </c>
      <c r="W256" s="291">
        <f>W167</f>
        <v>180</v>
      </c>
      <c r="X256" s="45">
        <f>SUM(T256:W256)</f>
        <v>582</v>
      </c>
      <c r="Y256" s="290">
        <f>Y167</f>
        <v>134</v>
      </c>
      <c r="Z256" s="260">
        <f>Z167</f>
        <v>130</v>
      </c>
      <c r="AA256" s="1441">
        <f>AA167</f>
        <v>127</v>
      </c>
      <c r="AB256" s="1442">
        <f>AB167</f>
        <v>196</v>
      </c>
      <c r="AC256" s="1443">
        <f>SUM(Y256:AB256)</f>
        <v>587</v>
      </c>
      <c r="AD256" s="290">
        <f>AD167</f>
        <v>146</v>
      </c>
      <c r="AE256" s="260">
        <f>AE167</f>
        <v>167</v>
      </c>
      <c r="AF256" s="260">
        <f>AF167</f>
        <v>145</v>
      </c>
      <c r="AG256" s="291">
        <f>AG167</f>
        <v>162</v>
      </c>
      <c r="AH256" s="45">
        <f>SUM(AD256:AG256)</f>
        <v>620</v>
      </c>
      <c r="AI256" s="290">
        <f>AI167</f>
        <v>136</v>
      </c>
      <c r="AJ256" s="260">
        <f>AJ167</f>
        <v>168</v>
      </c>
      <c r="AK256" s="260">
        <f>AK167</f>
        <v>202</v>
      </c>
      <c r="AL256" s="291">
        <f>AL167</f>
        <v>213</v>
      </c>
      <c r="AM256" s="45">
        <f>SUM(AI256:AL256)</f>
        <v>719</v>
      </c>
      <c r="AN256" s="290">
        <f>AN167</f>
        <v>176</v>
      </c>
      <c r="AO256" s="260">
        <f>AO167</f>
        <v>216</v>
      </c>
      <c r="AP256" s="260">
        <f>AP167</f>
        <v>219</v>
      </c>
      <c r="AQ256" s="291">
        <f>AQ167</f>
        <v>323</v>
      </c>
      <c r="AR256" s="45">
        <f>SUM(AN256:AQ256)</f>
        <v>934</v>
      </c>
      <c r="AS256" s="290">
        <f>AS167</f>
        <v>166</v>
      </c>
      <c r="AT256" s="260">
        <f>AT167</f>
        <v>239</v>
      </c>
      <c r="AU256" s="260">
        <f>AU167</f>
        <v>210</v>
      </c>
      <c r="AV256" s="291">
        <f>AV167</f>
        <v>267</v>
      </c>
      <c r="AW256" s="45">
        <f>SUM(AS256:AV256)</f>
        <v>882</v>
      </c>
      <c r="AX256" s="290">
        <f>AX167</f>
        <v>243.75</v>
      </c>
      <c r="AY256" s="260">
        <f>AY167</f>
        <v>243.75</v>
      </c>
      <c r="AZ256" s="260">
        <f>AZ167</f>
        <v>243.75</v>
      </c>
      <c r="BA256" s="291">
        <f>BA167</f>
        <v>243.75</v>
      </c>
      <c r="BB256" s="45">
        <f>SUM(AX256:BA256)</f>
        <v>975</v>
      </c>
      <c r="BC256" s="290">
        <f>BC167</f>
        <v>281.25</v>
      </c>
      <c r="BD256" s="260">
        <f>BD167</f>
        <v>281.25</v>
      </c>
      <c r="BE256" s="260">
        <f>BE167</f>
        <v>281.25</v>
      </c>
      <c r="BF256" s="291">
        <f>BF167</f>
        <v>281.25</v>
      </c>
      <c r="BG256" s="45">
        <f>SUM(BC256:BF256)</f>
        <v>1125</v>
      </c>
      <c r="BH256" s="290">
        <f>BH167</f>
        <v>268.75</v>
      </c>
      <c r="BI256" s="260">
        <f>BI167</f>
        <v>268.75</v>
      </c>
      <c r="BJ256" s="260">
        <f>BJ167</f>
        <v>268.75</v>
      </c>
      <c r="BK256" s="291">
        <f>BK167</f>
        <v>268.75</v>
      </c>
      <c r="BL256" s="45">
        <f>SUM(BH256:BK256)</f>
        <v>1075</v>
      </c>
      <c r="BM256" s="290">
        <f>BM167</f>
        <v>243.75</v>
      </c>
      <c r="BN256" s="260">
        <f>BN167</f>
        <v>243.75</v>
      </c>
      <c r="BO256" s="260">
        <f>BO167</f>
        <v>243.75</v>
      </c>
      <c r="BP256" s="291">
        <f>BP167</f>
        <v>243.75</v>
      </c>
      <c r="BQ256" s="45">
        <f>SUM(BM256:BP256)</f>
        <v>975</v>
      </c>
      <c r="BR256" s="45"/>
      <c r="BS256" s="45"/>
      <c r="BT256" s="45"/>
      <c r="BU256" s="45"/>
      <c r="BV256" s="45"/>
      <c r="BW256" s="45"/>
      <c r="BX256" s="45"/>
      <c r="BY256" s="45"/>
      <c r="BZ256" s="45"/>
      <c r="CA256" s="45"/>
      <c r="CB256" s="45"/>
      <c r="CC256" s="45"/>
      <c r="CD256" s="45"/>
      <c r="CE256" s="45"/>
      <c r="CF256" s="45"/>
      <c r="CG256" s="45"/>
      <c r="CH256" s="45"/>
      <c r="CI256" s="45"/>
      <c r="CJ256" s="45"/>
      <c r="CK256" s="45"/>
      <c r="CL256" s="45"/>
      <c r="CM256" s="45"/>
      <c r="CN256" s="45"/>
      <c r="CO256" s="45"/>
      <c r="CP256" s="45"/>
      <c r="CQ256" s="45"/>
      <c r="CR256" s="45"/>
      <c r="CS256" s="45"/>
      <c r="CT256" s="45"/>
      <c r="CU256" s="45"/>
    </row>
    <row r="257" spans="1:99">
      <c r="A257" s="45"/>
      <c r="B257" s="45"/>
      <c r="C257" s="391" t="s">
        <v>587</v>
      </c>
      <c r="D257" s="45"/>
      <c r="E257" s="290">
        <f>-E158</f>
        <v>-61.900000000000013</v>
      </c>
      <c r="F257" s="260">
        <f>-F158</f>
        <v>-62.599999999999973</v>
      </c>
      <c r="G257" s="260">
        <f>-G158</f>
        <v>-58.700000000000024</v>
      </c>
      <c r="H257" s="291">
        <f>-H158</f>
        <v>-64.5</v>
      </c>
      <c r="I257" s="45">
        <f>SUM(E257:H257)</f>
        <v>-247.70000000000002</v>
      </c>
      <c r="J257" s="290">
        <f>-J158</f>
        <v>-60.95</v>
      </c>
      <c r="K257" s="260">
        <f>-K158</f>
        <v>-56.05</v>
      </c>
      <c r="L257" s="260">
        <f>-L158</f>
        <v>-47.95</v>
      </c>
      <c r="M257" s="291">
        <f>-M158</f>
        <v>-63.649999999999963</v>
      </c>
      <c r="N257" s="45">
        <f>SUM(J257:M257)</f>
        <v>-228.59999999999997</v>
      </c>
      <c r="O257" s="290">
        <f>-O158</f>
        <v>-71.75</v>
      </c>
      <c r="P257" s="260">
        <f>-P158</f>
        <v>-62.249999999999993</v>
      </c>
      <c r="Q257" s="260">
        <f>-Q158</f>
        <v>-55.45000000000001</v>
      </c>
      <c r="R257" s="291">
        <f>-R158</f>
        <v>-64.55000000000004</v>
      </c>
      <c r="S257" s="45">
        <f>SUM(O257:R257)</f>
        <v>-254.00000000000006</v>
      </c>
      <c r="T257" s="290">
        <f>-T158</f>
        <v>-61</v>
      </c>
      <c r="U257" s="260">
        <f>-U158</f>
        <v>-62</v>
      </c>
      <c r="V257" s="260">
        <f>-V158</f>
        <v>-61</v>
      </c>
      <c r="W257" s="291">
        <f>-W158</f>
        <v>-61</v>
      </c>
      <c r="X257" s="45">
        <f>SUM(T257:W257)</f>
        <v>-245</v>
      </c>
      <c r="Y257" s="290">
        <f>-Y158</f>
        <v>-64</v>
      </c>
      <c r="Z257" s="260">
        <f>-Z158</f>
        <v>-55</v>
      </c>
      <c r="AA257" s="1441">
        <f>-AA158</f>
        <v>-75</v>
      </c>
      <c r="AB257" s="1442">
        <f>-AB158</f>
        <v>-70</v>
      </c>
      <c r="AC257" s="1443">
        <f>SUM(Y257:AB257)</f>
        <v>-264</v>
      </c>
      <c r="AD257" s="290">
        <f>-AD158</f>
        <v>-70</v>
      </c>
      <c r="AE257" s="260">
        <f>-AE158</f>
        <v>-72</v>
      </c>
      <c r="AF257" s="260">
        <f>-AF158</f>
        <v>-73</v>
      </c>
      <c r="AG257" s="291">
        <f>-AG158</f>
        <v>-73</v>
      </c>
      <c r="AH257" s="45">
        <f>SUM(AD257:AG257)</f>
        <v>-288</v>
      </c>
      <c r="AI257" s="290">
        <f>-AI158</f>
        <v>-71</v>
      </c>
      <c r="AJ257" s="260">
        <f>-AJ158</f>
        <v>-72</v>
      </c>
      <c r="AK257" s="260">
        <f>-AK158</f>
        <v>-73</v>
      </c>
      <c r="AL257" s="291">
        <f>-AL158</f>
        <v>-73</v>
      </c>
      <c r="AM257" s="45">
        <f>SUM(AI257:AL257)</f>
        <v>-289</v>
      </c>
      <c r="AN257" s="290">
        <f>-AN158</f>
        <v>-75</v>
      </c>
      <c r="AO257" s="260">
        <f>-AO158</f>
        <v>-75</v>
      </c>
      <c r="AP257" s="260">
        <f>-AP158</f>
        <v>-73</v>
      </c>
      <c r="AQ257" s="291">
        <f>-AQ158</f>
        <v>-76</v>
      </c>
      <c r="AR257" s="45">
        <f>SUM(AN257:AQ257)</f>
        <v>-299</v>
      </c>
      <c r="AS257" s="290">
        <f>-AS158</f>
        <v>-80</v>
      </c>
      <c r="AT257" s="260">
        <f>-AT158</f>
        <v>-75</v>
      </c>
      <c r="AU257" s="260">
        <f>-AU158</f>
        <v>-78</v>
      </c>
      <c r="AV257" s="291">
        <f>-AV158</f>
        <v>-79</v>
      </c>
      <c r="AW257" s="45">
        <f>SUM(AS257:AV257)</f>
        <v>-312</v>
      </c>
      <c r="AX257" s="290">
        <f>-AX158</f>
        <v>-80.017499650007011</v>
      </c>
      <c r="AY257" s="260">
        <f>-AY158</f>
        <v>-81.400361541878198</v>
      </c>
      <c r="AZ257" s="260">
        <f>-AZ158</f>
        <v>-83.195912632203203</v>
      </c>
      <c r="BA257" s="291">
        <f>-BA158</f>
        <v>-84.971605324637196</v>
      </c>
      <c r="BB257" s="45">
        <f>SUM(AX257:BA257)</f>
        <v>-329.58537914872562</v>
      </c>
      <c r="BC257" s="290">
        <f>-BC158</f>
        <v>-86.727659248668232</v>
      </c>
      <c r="BD257" s="260">
        <f>-BD158</f>
        <v>-88.188737592001573</v>
      </c>
      <c r="BE257" s="260">
        <f>-BE158</f>
        <v>-90.323952449936883</v>
      </c>
      <c r="BF257" s="291">
        <f>-BF158</f>
        <v>-92.435552303843508</v>
      </c>
      <c r="BG257" s="45">
        <f>SUM(BC257:BF257)</f>
        <v>-357.67590159445018</v>
      </c>
      <c r="BH257" s="290">
        <f>-BH158</f>
        <v>-94.523798330442446</v>
      </c>
      <c r="BI257" s="260">
        <f>-BI158</f>
        <v>-96.680800155474444</v>
      </c>
      <c r="BJ257" s="260">
        <f>-BJ158</f>
        <v>-98.583847444809109</v>
      </c>
      <c r="BK257" s="291">
        <f>-BK158</f>
        <v>-100.46584745206937</v>
      </c>
      <c r="BL257" s="45">
        <f>SUM(BH257:BK257)</f>
        <v>-390.25429338279537</v>
      </c>
      <c r="BM257" s="290">
        <f>-BM158</f>
        <v>-102.32703295553941</v>
      </c>
      <c r="BN257" s="260">
        <f>-BN158</f>
        <v>-104.3513368341799</v>
      </c>
      <c r="BO257" s="260">
        <f>-BO158</f>
        <v>-105.89305521442628</v>
      </c>
      <c r="BP257" s="291">
        <f>-BP158</f>
        <v>-107.4177225304084</v>
      </c>
      <c r="BQ257" s="45">
        <f>SUM(BM257:BP257)</f>
        <v>-419.98914753455398</v>
      </c>
      <c r="BR257" s="45"/>
      <c r="BS257" s="45"/>
      <c r="BT257" s="45"/>
      <c r="BU257" s="45"/>
      <c r="BV257" s="45"/>
      <c r="BW257" s="45"/>
      <c r="BX257" s="45"/>
      <c r="BY257" s="45"/>
      <c r="BZ257" s="45"/>
      <c r="CA257" s="45"/>
      <c r="CB257" s="45"/>
      <c r="CC257" s="45"/>
      <c r="CD257" s="45"/>
      <c r="CE257" s="45"/>
      <c r="CF257" s="45"/>
      <c r="CG257" s="45"/>
      <c r="CH257" s="45"/>
      <c r="CI257" s="45"/>
      <c r="CJ257" s="45"/>
      <c r="CK257" s="45"/>
      <c r="CL257" s="45"/>
      <c r="CM257" s="45"/>
      <c r="CN257" s="45"/>
      <c r="CO257" s="45"/>
      <c r="CP257" s="45"/>
      <c r="CQ257" s="45"/>
      <c r="CR257" s="45"/>
      <c r="CS257" s="45"/>
      <c r="CT257" s="45"/>
      <c r="CU257" s="45"/>
    </row>
    <row r="258" spans="1:99">
      <c r="A258" s="45"/>
      <c r="B258" s="45"/>
      <c r="C258" s="391" t="s">
        <v>158</v>
      </c>
      <c r="D258" s="45"/>
      <c r="E258" s="290">
        <f>-E191</f>
        <v>-9</v>
      </c>
      <c r="F258" s="260">
        <f>-F191</f>
        <v>-37.700000000000003</v>
      </c>
      <c r="G258" s="260">
        <f>-G191</f>
        <v>-243</v>
      </c>
      <c r="H258" s="291">
        <f>-H191</f>
        <v>105</v>
      </c>
      <c r="I258" s="45">
        <f>SUM(E258:H258)</f>
        <v>-184.7</v>
      </c>
      <c r="J258" s="290">
        <f>-J191</f>
        <v>-45.6</v>
      </c>
      <c r="K258" s="260">
        <f>-K191</f>
        <v>-9.6000000000000014</v>
      </c>
      <c r="L258" s="260">
        <f>-L191</f>
        <v>-41.8</v>
      </c>
      <c r="M258" s="291">
        <f>-M191</f>
        <v>-203.2</v>
      </c>
      <c r="N258" s="45">
        <f>SUM(J258:M258)</f>
        <v>-300.2</v>
      </c>
      <c r="O258" s="290">
        <f>-O191</f>
        <v>-29.3</v>
      </c>
      <c r="P258" s="260">
        <f>-P191</f>
        <v>-30.400000000000002</v>
      </c>
      <c r="Q258" s="260">
        <f>-Q191</f>
        <v>-34</v>
      </c>
      <c r="R258" s="291">
        <f>-R191</f>
        <v>-52.100000000000009</v>
      </c>
      <c r="S258" s="45">
        <f>SUM(O258:R258)</f>
        <v>-145.80000000000001</v>
      </c>
      <c r="T258" s="290">
        <f>-T191</f>
        <v>-40</v>
      </c>
      <c r="U258" s="260">
        <f>-U191</f>
        <v>-51</v>
      </c>
      <c r="V258" s="260">
        <f>-V191</f>
        <v>-10</v>
      </c>
      <c r="W258" s="291">
        <f>-W191</f>
        <v>-3</v>
      </c>
      <c r="X258" s="45">
        <f>SUM(T258:W258)</f>
        <v>-104</v>
      </c>
      <c r="Y258" s="290">
        <f>-Y191</f>
        <v>-73</v>
      </c>
      <c r="Z258" s="260">
        <f>-Z191</f>
        <v>-25</v>
      </c>
      <c r="AA258" s="1441">
        <f>-AA191</f>
        <v>-7</v>
      </c>
      <c r="AB258" s="1442">
        <f>-AB191</f>
        <v>-20</v>
      </c>
      <c r="AC258" s="1443">
        <f>SUM(Y258:AB258)</f>
        <v>-125</v>
      </c>
      <c r="AD258" s="290">
        <f>-AD191</f>
        <v>-27</v>
      </c>
      <c r="AE258" s="260">
        <f>-AE191</f>
        <v>-20</v>
      </c>
      <c r="AF258" s="260">
        <f>-AF191</f>
        <v>-10</v>
      </c>
      <c r="AG258" s="291">
        <f>-AG191</f>
        <v>-59</v>
      </c>
      <c r="AH258" s="45">
        <f>SUM(AD258:AG258)</f>
        <v>-116</v>
      </c>
      <c r="AI258" s="290">
        <f>-AI191</f>
        <v>-33</v>
      </c>
      <c r="AJ258" s="260">
        <f>-AJ191</f>
        <v>-21</v>
      </c>
      <c r="AK258" s="260">
        <f>-AK191</f>
        <v>-25</v>
      </c>
      <c r="AL258" s="291">
        <f>-AL191</f>
        <v>-86</v>
      </c>
      <c r="AM258" s="45">
        <f>SUM(AI258:AL258)</f>
        <v>-165</v>
      </c>
      <c r="AN258" s="290">
        <f>-AN191</f>
        <v>-26</v>
      </c>
      <c r="AO258" s="260">
        <f>-AO191</f>
        <v>9</v>
      </c>
      <c r="AP258" s="260">
        <f>-AP191</f>
        <v>-37</v>
      </c>
      <c r="AQ258" s="291">
        <f>-AQ191</f>
        <v>-64</v>
      </c>
      <c r="AR258" s="45">
        <f>SUM(AN258:AQ258)</f>
        <v>-118</v>
      </c>
      <c r="AS258" s="290">
        <f>-AS191</f>
        <v>-72</v>
      </c>
      <c r="AT258" s="260">
        <f>-AT191</f>
        <v>-27</v>
      </c>
      <c r="AU258" s="260">
        <f>-AU191</f>
        <v>-42</v>
      </c>
      <c r="AV258" s="291">
        <f>-AV191</f>
        <v>-4</v>
      </c>
      <c r="AW258" s="45">
        <f>SUM(AS258:AV258)</f>
        <v>-145</v>
      </c>
      <c r="AX258" s="290">
        <f ca="1">-AX191</f>
        <v>-18.275916654082465</v>
      </c>
      <c r="AY258" s="260">
        <f ca="1">-AY191</f>
        <v>-18.275916654082465</v>
      </c>
      <c r="AZ258" s="260">
        <f ca="1">-AZ191</f>
        <v>-18.275916654082465</v>
      </c>
      <c r="BA258" s="291">
        <f ca="1">-BA191</f>
        <v>-18.275916654082465</v>
      </c>
      <c r="BB258" s="45">
        <f ca="1">SUM(AX258:BA258)</f>
        <v>-73.103666616329861</v>
      </c>
      <c r="BC258" s="290">
        <f ca="1">-BC191</f>
        <v>-19.840243213351357</v>
      </c>
      <c r="BD258" s="260">
        <f ca="1">-BD191</f>
        <v>-19.840243213351357</v>
      </c>
      <c r="BE258" s="260">
        <f ca="1">-BE191</f>
        <v>-19.840243213351357</v>
      </c>
      <c r="BF258" s="291">
        <f ca="1">-BF191</f>
        <v>-19.840243213351357</v>
      </c>
      <c r="BG258" s="45">
        <f ca="1">SUM(BC258:BF258)</f>
        <v>-79.360972853405428</v>
      </c>
      <c r="BH258" s="290">
        <f ca="1">-BH191</f>
        <v>-23.325147956700146</v>
      </c>
      <c r="BI258" s="260">
        <f ca="1">-BI191</f>
        <v>-23.325147956700146</v>
      </c>
      <c r="BJ258" s="260">
        <f ca="1">-BJ191</f>
        <v>-23.325147956700146</v>
      </c>
      <c r="BK258" s="291">
        <f ca="1">-BK191</f>
        <v>-23.32514795670015</v>
      </c>
      <c r="BL258" s="45">
        <f ca="1">SUM(BH258:BK258)</f>
        <v>-93.300591826800584</v>
      </c>
      <c r="BM258" s="300">
        <f ca="1">-BM191</f>
        <v>-24.192952459580194</v>
      </c>
      <c r="BN258" s="264">
        <f ca="1">-BN191</f>
        <v>-24.192952459580194</v>
      </c>
      <c r="BO258" s="264">
        <f ca="1">-BO191</f>
        <v>-24.192952459580194</v>
      </c>
      <c r="BP258" s="299">
        <f ca="1">-BP191</f>
        <v>-24.192952459580198</v>
      </c>
      <c r="BQ258" s="45">
        <f ca="1">SUM(BM258:BP258)</f>
        <v>-96.771809838320777</v>
      </c>
      <c r="BR258" s="45"/>
      <c r="BS258" s="45"/>
      <c r="BT258" s="45"/>
      <c r="BU258" s="45"/>
      <c r="BV258" s="45"/>
      <c r="BW258" s="45"/>
      <c r="BX258" s="45"/>
      <c r="BY258" s="45"/>
      <c r="BZ258" s="45"/>
      <c r="CA258" s="45"/>
      <c r="CB258" s="45"/>
      <c r="CC258" s="45"/>
      <c r="CD258" s="45"/>
      <c r="CE258" s="45"/>
      <c r="CF258" s="45"/>
      <c r="CG258" s="45"/>
      <c r="CH258" s="45"/>
      <c r="CI258" s="45"/>
      <c r="CJ258" s="45"/>
      <c r="CK258" s="45"/>
      <c r="CL258" s="45"/>
      <c r="CM258" s="45"/>
      <c r="CN258" s="45"/>
      <c r="CO258" s="45"/>
      <c r="CP258" s="45"/>
      <c r="CQ258" s="45"/>
      <c r="CR258" s="45"/>
      <c r="CS258" s="45"/>
      <c r="CT258" s="45"/>
      <c r="CU258" s="45"/>
    </row>
    <row r="259" spans="1:99">
      <c r="A259" s="45"/>
      <c r="B259" s="45"/>
      <c r="C259" s="391" t="s">
        <v>1288</v>
      </c>
      <c r="D259" s="45"/>
      <c r="E259" s="814">
        <v>0</v>
      </c>
      <c r="F259" s="262">
        <v>0</v>
      </c>
      <c r="G259" s="262">
        <v>0</v>
      </c>
      <c r="H259" s="294">
        <v>0</v>
      </c>
      <c r="I259" s="45">
        <f>SUM(E259:H259)</f>
        <v>0</v>
      </c>
      <c r="J259" s="814">
        <v>0</v>
      </c>
      <c r="K259" s="262">
        <v>0</v>
      </c>
      <c r="L259" s="262">
        <v>0</v>
      </c>
      <c r="M259" s="294">
        <v>0</v>
      </c>
      <c r="N259" s="45">
        <f>SUM(J259:M259)</f>
        <v>0</v>
      </c>
      <c r="O259" s="814">
        <v>0</v>
      </c>
      <c r="P259" s="262">
        <v>0</v>
      </c>
      <c r="Q259" s="262">
        <v>0</v>
      </c>
      <c r="R259" s="294">
        <v>0</v>
      </c>
      <c r="S259" s="45">
        <f>SUM(O259:R259)</f>
        <v>0</v>
      </c>
      <c r="T259" s="814">
        <v>0</v>
      </c>
      <c r="U259" s="262">
        <v>0</v>
      </c>
      <c r="V259" s="262">
        <v>0</v>
      </c>
      <c r="W259" s="294">
        <v>0</v>
      </c>
      <c r="X259" s="45">
        <f>SUM(T259:W259)</f>
        <v>0</v>
      </c>
      <c r="Y259" s="814">
        <v>0</v>
      </c>
      <c r="Z259" s="262">
        <v>0</v>
      </c>
      <c r="AA259" s="262">
        <v>0</v>
      </c>
      <c r="AB259" s="294">
        <v>0</v>
      </c>
      <c r="AC259" s="45">
        <f>SUM(Y259:AB259)</f>
        <v>0</v>
      </c>
      <c r="AD259" s="814">
        <v>0</v>
      </c>
      <c r="AE259" s="262">
        <v>0</v>
      </c>
      <c r="AF259" s="262">
        <v>0</v>
      </c>
      <c r="AG259" s="294">
        <v>0</v>
      </c>
      <c r="AH259" s="45">
        <f>SUM(AD259:AG259)</f>
        <v>0</v>
      </c>
      <c r="AI259" s="814">
        <v>-25</v>
      </c>
      <c r="AJ259" s="262">
        <v>-25</v>
      </c>
      <c r="AK259" s="262">
        <v>-25</v>
      </c>
      <c r="AL259" s="294">
        <v>-25</v>
      </c>
      <c r="AM259" s="45">
        <f>SUM(AI259:AL259)</f>
        <v>-100</v>
      </c>
      <c r="AN259" s="814">
        <v>-180</v>
      </c>
      <c r="AO259" s="262">
        <v>0</v>
      </c>
      <c r="AP259" s="262">
        <v>0</v>
      </c>
      <c r="AQ259" s="294">
        <v>0</v>
      </c>
      <c r="AR259" s="45">
        <f>SUM(AN259:AQ259)</f>
        <v>-180</v>
      </c>
      <c r="AS259" s="814">
        <v>-200</v>
      </c>
      <c r="AT259" s="262">
        <v>0</v>
      </c>
      <c r="AU259" s="262">
        <v>0</v>
      </c>
      <c r="AV259" s="294">
        <v>0</v>
      </c>
      <c r="AW259" s="45">
        <f>SUM(AS259:AV259)</f>
        <v>-200</v>
      </c>
      <c r="AX259" s="814">
        <v>300</v>
      </c>
      <c r="AY259" s="262">
        <v>0</v>
      </c>
      <c r="AZ259" s="262">
        <v>0</v>
      </c>
      <c r="BA259" s="294">
        <v>0</v>
      </c>
      <c r="BB259" s="45">
        <f>SUM(AX259:BA259)</f>
        <v>300</v>
      </c>
      <c r="BC259" s="814">
        <v>-200</v>
      </c>
      <c r="BD259" s="262">
        <v>0</v>
      </c>
      <c r="BE259" s="262">
        <v>0</v>
      </c>
      <c r="BF259" s="294">
        <v>0</v>
      </c>
      <c r="BG259" s="45">
        <f>SUM(BC259:BF259)</f>
        <v>-200</v>
      </c>
      <c r="BH259" s="814">
        <v>125</v>
      </c>
      <c r="BI259" s="262">
        <v>0</v>
      </c>
      <c r="BJ259" s="262">
        <v>0</v>
      </c>
      <c r="BK259" s="294">
        <v>0</v>
      </c>
      <c r="BL259" s="45">
        <f>SUM(BH259:BK259)</f>
        <v>125</v>
      </c>
      <c r="BM259" s="300">
        <v>-60</v>
      </c>
      <c r="BN259" s="264">
        <v>0</v>
      </c>
      <c r="BO259" s="264">
        <v>0</v>
      </c>
      <c r="BP259" s="299">
        <v>0</v>
      </c>
      <c r="BQ259" s="45">
        <f>SUM(BM259:BP259)</f>
        <v>-60</v>
      </c>
      <c r="BR259" s="45"/>
      <c r="BS259" s="45"/>
      <c r="BT259" s="45"/>
      <c r="BU259" s="45"/>
      <c r="BV259" s="45"/>
      <c r="BW259" s="45"/>
      <c r="BX259" s="45"/>
      <c r="BY259" s="45"/>
      <c r="BZ259" s="45"/>
      <c r="CA259" s="45"/>
      <c r="CB259" s="45"/>
      <c r="CC259" s="45"/>
      <c r="CD259" s="45"/>
      <c r="CE259" s="45"/>
      <c r="CF259" s="45"/>
      <c r="CG259" s="45"/>
      <c r="CH259" s="45"/>
      <c r="CI259" s="45"/>
      <c r="CJ259" s="45"/>
      <c r="CK259" s="45"/>
      <c r="CL259" s="45"/>
      <c r="CM259" s="45"/>
      <c r="CN259" s="45"/>
      <c r="CO259" s="45"/>
      <c r="CP259" s="45"/>
      <c r="CQ259" s="45"/>
      <c r="CR259" s="45"/>
      <c r="CS259" s="45"/>
      <c r="CT259" s="45"/>
      <c r="CU259" s="45"/>
    </row>
    <row r="260" spans="1:99">
      <c r="A260" s="45"/>
      <c r="B260" s="45"/>
      <c r="C260" s="389" t="s">
        <v>405</v>
      </c>
      <c r="D260" s="228"/>
      <c r="E260" s="292">
        <f t="shared" ref="E260:AR260" si="718">SUM(E255:E259)</f>
        <v>4008.4</v>
      </c>
      <c r="F260" s="261">
        <f t="shared" si="718"/>
        <v>3995.5000000000005</v>
      </c>
      <c r="G260" s="261">
        <f t="shared" si="718"/>
        <v>3792.9000000000005</v>
      </c>
      <c r="H260" s="293">
        <f t="shared" si="718"/>
        <v>3940.2000000000007</v>
      </c>
      <c r="I260" s="228">
        <f t="shared" si="718"/>
        <v>3940.2000000000007</v>
      </c>
      <c r="J260" s="292">
        <f t="shared" si="718"/>
        <v>3920.8500000000008</v>
      </c>
      <c r="K260" s="261">
        <f t="shared" si="718"/>
        <v>3958.3000000000006</v>
      </c>
      <c r="L260" s="261">
        <f t="shared" si="718"/>
        <v>4043.9500000000007</v>
      </c>
      <c r="M260" s="293">
        <f t="shared" si="718"/>
        <v>3962.9000000000015</v>
      </c>
      <c r="N260" s="228">
        <f t="shared" si="718"/>
        <v>3962.9000000000005</v>
      </c>
      <c r="O260" s="292">
        <f t="shared" si="718"/>
        <v>3998.05</v>
      </c>
      <c r="P260" s="261">
        <f t="shared" si="718"/>
        <v>4073.7000000000003</v>
      </c>
      <c r="Q260" s="261">
        <f t="shared" si="718"/>
        <v>4124.3500000000004</v>
      </c>
      <c r="R260" s="293">
        <f t="shared" si="718"/>
        <v>4151.0999999999995</v>
      </c>
      <c r="S260" s="228">
        <f t="shared" si="718"/>
        <v>4151.1000000000004</v>
      </c>
      <c r="T260" s="292">
        <f t="shared" si="718"/>
        <v>4165.1000000000004</v>
      </c>
      <c r="U260" s="261">
        <f t="shared" si="718"/>
        <v>4219.1000000000004</v>
      </c>
      <c r="V260" s="261">
        <f t="shared" si="718"/>
        <v>4268.1000000000004</v>
      </c>
      <c r="W260" s="293">
        <f t="shared" si="718"/>
        <v>4384.1000000000004</v>
      </c>
      <c r="X260" s="228">
        <f t="shared" si="718"/>
        <v>4384.1000000000004</v>
      </c>
      <c r="Y260" s="292">
        <f t="shared" si="718"/>
        <v>4381.1000000000004</v>
      </c>
      <c r="Z260" s="261">
        <f t="shared" si="718"/>
        <v>4431.1000000000004</v>
      </c>
      <c r="AA260" s="1438">
        <f t="shared" si="718"/>
        <v>4476.1000000000004</v>
      </c>
      <c r="AB260" s="1439">
        <f t="shared" si="718"/>
        <v>4582.1000000000004</v>
      </c>
      <c r="AC260" s="1440">
        <f t="shared" si="718"/>
        <v>4582.1000000000004</v>
      </c>
      <c r="AD260" s="292">
        <f t="shared" si="718"/>
        <v>4631.1000000000004</v>
      </c>
      <c r="AE260" s="261">
        <f t="shared" si="718"/>
        <v>4706.1000000000004</v>
      </c>
      <c r="AF260" s="261">
        <f t="shared" si="718"/>
        <v>4768.1000000000004</v>
      </c>
      <c r="AG260" s="293">
        <f t="shared" si="718"/>
        <v>4798.1000000000004</v>
      </c>
      <c r="AH260" s="228">
        <f t="shared" si="718"/>
        <v>4798.1000000000004</v>
      </c>
      <c r="AI260" s="292">
        <f t="shared" si="718"/>
        <v>4805.1000000000004</v>
      </c>
      <c r="AJ260" s="261">
        <f t="shared" si="718"/>
        <v>4855.1000000000004</v>
      </c>
      <c r="AK260" s="261">
        <f t="shared" si="718"/>
        <v>4934.1000000000004</v>
      </c>
      <c r="AL260" s="293">
        <f t="shared" si="718"/>
        <v>4963.1000000000004</v>
      </c>
      <c r="AM260" s="228">
        <f t="shared" si="718"/>
        <v>4963.1000000000004</v>
      </c>
      <c r="AN260" s="292">
        <f t="shared" ref="AN260" si="719">SUM(AN255:AN259)</f>
        <v>4858.1000000000004</v>
      </c>
      <c r="AO260" s="261">
        <f t="shared" si="718"/>
        <v>5008.1000000000004</v>
      </c>
      <c r="AP260" s="261">
        <f t="shared" ref="AP260" si="720">SUM(AP255:AP259)</f>
        <v>5117.1000000000004</v>
      </c>
      <c r="AQ260" s="293">
        <f t="shared" si="718"/>
        <v>5300.1</v>
      </c>
      <c r="AR260" s="228">
        <f t="shared" si="718"/>
        <v>5300.1</v>
      </c>
      <c r="AS260" s="292">
        <f t="shared" ref="AS260:BB260" si="721">SUM(AS255:AS259)</f>
        <v>5114.1000000000004</v>
      </c>
      <c r="AT260" s="261">
        <f t="shared" si="721"/>
        <v>5251.1</v>
      </c>
      <c r="AU260" s="261">
        <f t="shared" si="721"/>
        <v>5341.1</v>
      </c>
      <c r="AV260" s="293">
        <f t="shared" si="721"/>
        <v>5525.1</v>
      </c>
      <c r="AW260" s="228">
        <f t="shared" si="721"/>
        <v>5525.1</v>
      </c>
      <c r="AX260" s="292">
        <f t="shared" ca="1" si="721"/>
        <v>5970.5565836959104</v>
      </c>
      <c r="AY260" s="261">
        <f t="shared" ca="1" si="721"/>
        <v>6114.6303054999498</v>
      </c>
      <c r="AZ260" s="261">
        <f t="shared" ca="1" si="721"/>
        <v>6256.9084762136636</v>
      </c>
      <c r="BA260" s="293">
        <f t="shared" ca="1" si="721"/>
        <v>6397.4109542349433</v>
      </c>
      <c r="BB260" s="228">
        <f t="shared" ca="1" si="721"/>
        <v>6397.4109542349452</v>
      </c>
      <c r="BC260" s="292">
        <f t="shared" ref="BC260:BL260" ca="1" si="722">SUM(BC255:BC259)</f>
        <v>6372.0930517729257</v>
      </c>
      <c r="BD260" s="261">
        <f t="shared" ca="1" si="722"/>
        <v>6545.3140709675727</v>
      </c>
      <c r="BE260" s="261">
        <f t="shared" ca="1" si="722"/>
        <v>6716.3998753042843</v>
      </c>
      <c r="BF260" s="293">
        <f t="shared" ca="1" si="722"/>
        <v>6885.3740797870887</v>
      </c>
      <c r="BG260" s="228">
        <f t="shared" ca="1" si="722"/>
        <v>6885.3740797870896</v>
      </c>
      <c r="BH260" s="292">
        <f t="shared" ca="1" si="722"/>
        <v>7161.2751334999475</v>
      </c>
      <c r="BI260" s="261">
        <f t="shared" ca="1" si="722"/>
        <v>7310.0191853877732</v>
      </c>
      <c r="BJ260" s="261">
        <f t="shared" ca="1" si="722"/>
        <v>7456.8601899862642</v>
      </c>
      <c r="BK260" s="293">
        <f t="shared" ca="1" si="722"/>
        <v>7601.8191945774952</v>
      </c>
      <c r="BL260" s="228">
        <f t="shared" ca="1" si="722"/>
        <v>7601.8191945774934</v>
      </c>
      <c r="BM260" s="292">
        <f t="shared" ref="BM260:BQ260" ca="1" si="723">SUM(BM255:BM259)</f>
        <v>7659.0492091623737</v>
      </c>
      <c r="BN260" s="261">
        <f t="shared" ca="1" si="723"/>
        <v>7774.2549198686138</v>
      </c>
      <c r="BO260" s="261">
        <f t="shared" ca="1" si="723"/>
        <v>7887.9189121946074</v>
      </c>
      <c r="BP260" s="293">
        <f t="shared" ca="1" si="723"/>
        <v>8000.0582372046192</v>
      </c>
      <c r="BQ260" s="228">
        <f t="shared" ca="1" si="723"/>
        <v>8000.0582372046174</v>
      </c>
      <c r="BR260" s="45"/>
      <c r="BS260" s="45"/>
      <c r="BT260" s="45"/>
      <c r="BU260" s="45"/>
      <c r="BV260" s="45"/>
      <c r="BW260" s="45"/>
      <c r="BX260" s="45"/>
      <c r="BY260" s="45"/>
      <c r="BZ260" s="45"/>
      <c r="CA260" s="45"/>
      <c r="CB260" s="45"/>
      <c r="CC260" s="45"/>
      <c r="CD260" s="45"/>
      <c r="CE260" s="45"/>
      <c r="CF260" s="45"/>
      <c r="CG260" s="45"/>
      <c r="CH260" s="45"/>
      <c r="CI260" s="45"/>
      <c r="CJ260" s="45"/>
      <c r="CK260" s="45"/>
      <c r="CL260" s="45"/>
      <c r="CM260" s="45"/>
      <c r="CN260" s="45"/>
      <c r="CO260" s="45"/>
      <c r="CP260" s="45"/>
      <c r="CQ260" s="45"/>
      <c r="CR260" s="45"/>
      <c r="CS260" s="45"/>
      <c r="CT260" s="45"/>
      <c r="CU260" s="45"/>
    </row>
    <row r="261" spans="1:99">
      <c r="A261" s="45"/>
      <c r="B261" s="45"/>
      <c r="C261" s="389"/>
      <c r="D261" s="45"/>
      <c r="E261" s="292"/>
      <c r="F261" s="261"/>
      <c r="G261" s="261"/>
      <c r="H261" s="293"/>
      <c r="I261" s="344"/>
      <c r="J261" s="292"/>
      <c r="K261" s="261"/>
      <c r="L261" s="261"/>
      <c r="M261" s="293"/>
      <c r="N261" s="344"/>
      <c r="O261" s="585"/>
      <c r="P261" s="343"/>
      <c r="Q261" s="343"/>
      <c r="R261" s="670"/>
      <c r="S261" s="344"/>
      <c r="T261" s="292"/>
      <c r="U261" s="261"/>
      <c r="V261" s="261"/>
      <c r="W261" s="293"/>
      <c r="X261" s="344"/>
      <c r="Y261" s="585"/>
      <c r="Z261" s="343"/>
      <c r="AA261" s="1462"/>
      <c r="AB261" s="1473"/>
      <c r="AC261" s="1472"/>
      <c r="AD261" s="585"/>
      <c r="AE261" s="343"/>
      <c r="AF261" s="343"/>
      <c r="AG261" s="670"/>
      <c r="AH261" s="344"/>
      <c r="AI261" s="585"/>
      <c r="AJ261" s="343"/>
      <c r="AK261" s="343"/>
      <c r="AL261" s="670"/>
      <c r="AM261" s="344"/>
      <c r="AN261" s="585"/>
      <c r="AO261" s="343"/>
      <c r="AP261" s="343"/>
      <c r="AQ261" s="670"/>
      <c r="AR261" s="344"/>
      <c r="AS261" s="585"/>
      <c r="AT261" s="343"/>
      <c r="AU261" s="343"/>
      <c r="AV261" s="670"/>
      <c r="AW261" s="344"/>
      <c r="AX261" s="585"/>
      <c r="AY261" s="343"/>
      <c r="AZ261" s="343"/>
      <c r="BA261" s="670"/>
      <c r="BB261" s="344"/>
      <c r="BC261" s="585"/>
      <c r="BD261" s="343"/>
      <c r="BE261" s="343"/>
      <c r="BF261" s="670"/>
      <c r="BG261" s="344"/>
      <c r="BH261" s="585"/>
      <c r="BI261" s="343"/>
      <c r="BJ261" s="343"/>
      <c r="BK261" s="670"/>
      <c r="BL261" s="344"/>
      <c r="BM261" s="292"/>
      <c r="BN261" s="261"/>
      <c r="BO261" s="261"/>
      <c r="BP261" s="293"/>
      <c r="BQ261" s="344"/>
      <c r="BR261" s="45"/>
      <c r="BS261" s="45"/>
      <c r="BT261" s="45"/>
      <c r="BU261" s="45"/>
      <c r="BV261" s="45"/>
      <c r="BW261" s="45"/>
      <c r="BX261" s="45"/>
      <c r="BY261" s="45"/>
      <c r="BZ261" s="45"/>
      <c r="CA261" s="45"/>
      <c r="CB261" s="45"/>
      <c r="CC261" s="45"/>
      <c r="CD261" s="45"/>
      <c r="CE261" s="45"/>
      <c r="CF261" s="45"/>
      <c r="CG261" s="45"/>
      <c r="CH261" s="45"/>
      <c r="CI261" s="45"/>
      <c r="CJ261" s="45"/>
      <c r="CK261" s="45"/>
      <c r="CL261" s="45"/>
      <c r="CM261" s="45"/>
      <c r="CN261" s="45"/>
      <c r="CO261" s="45"/>
      <c r="CP261" s="45"/>
      <c r="CQ261" s="45"/>
      <c r="CR261" s="45"/>
      <c r="CS261" s="45"/>
      <c r="CT261" s="45"/>
      <c r="CU261" s="45"/>
    </row>
    <row r="262" spans="1:99" s="34" customFormat="1">
      <c r="A262" s="228"/>
      <c r="B262" s="228"/>
      <c r="C262" s="389" t="s">
        <v>157</v>
      </c>
      <c r="D262" s="228"/>
      <c r="E262" s="292"/>
      <c r="F262" s="261"/>
      <c r="G262" s="261"/>
      <c r="H262" s="293"/>
      <c r="I262" s="228">
        <f>AVERAGE(I260,I255)</f>
        <v>3970.1000000000004</v>
      </c>
      <c r="J262" s="292"/>
      <c r="K262" s="261"/>
      <c r="L262" s="261"/>
      <c r="M262" s="293"/>
      <c r="N262" s="228">
        <f>AVERAGE(N260,N255)</f>
        <v>3951.5500000000006</v>
      </c>
      <c r="O262" s="292"/>
      <c r="P262" s="261"/>
      <c r="Q262" s="261"/>
      <c r="R262" s="293"/>
      <c r="S262" s="228">
        <f>AVERAGE(S260,S255)</f>
        <v>4057.0000000000005</v>
      </c>
      <c r="T262" s="292"/>
      <c r="U262" s="261"/>
      <c r="V262" s="261"/>
      <c r="W262" s="293"/>
      <c r="X262" s="228">
        <f>AVERAGE(X260,X255)</f>
        <v>4267.6000000000004</v>
      </c>
      <c r="Y262" s="292"/>
      <c r="Z262" s="261"/>
      <c r="AA262" s="1438"/>
      <c r="AB262" s="1439"/>
      <c r="AC262" s="1440">
        <f>AVERAGE(AC260,AC255)</f>
        <v>4483.1000000000004</v>
      </c>
      <c r="AD262" s="292"/>
      <c r="AE262" s="261"/>
      <c r="AF262" s="261"/>
      <c r="AG262" s="293"/>
      <c r="AH262" s="228">
        <f>AVERAGE(AH260,AH255)</f>
        <v>4690.1000000000004</v>
      </c>
      <c r="AI262" s="292"/>
      <c r="AJ262" s="261"/>
      <c r="AK262" s="261"/>
      <c r="AL262" s="293"/>
      <c r="AM262" s="228">
        <f>AVERAGE(AM260,AM255)</f>
        <v>4880.6000000000004</v>
      </c>
      <c r="AN262" s="292"/>
      <c r="AO262" s="261"/>
      <c r="AP262" s="261"/>
      <c r="AQ262" s="293"/>
      <c r="AR262" s="228">
        <f>AVERAGE(AR260,AR255)</f>
        <v>5131.6000000000004</v>
      </c>
      <c r="AS262" s="292"/>
      <c r="AT262" s="261"/>
      <c r="AU262" s="261"/>
      <c r="AV262" s="293"/>
      <c r="AW262" s="228">
        <f>AVERAGE(AW260,AW255)</f>
        <v>5412.6</v>
      </c>
      <c r="AX262" s="292"/>
      <c r="AY262" s="261"/>
      <c r="AZ262" s="261"/>
      <c r="BA262" s="293"/>
      <c r="BB262" s="228">
        <f ca="1">AVERAGE(BB260,BB255)</f>
        <v>5961.2554771174728</v>
      </c>
      <c r="BC262" s="292"/>
      <c r="BD262" s="261"/>
      <c r="BE262" s="261"/>
      <c r="BF262" s="293"/>
      <c r="BG262" s="228">
        <f ca="1">AVERAGE(BG260,BG255)</f>
        <v>6641.3925170110178</v>
      </c>
      <c r="BH262" s="292"/>
      <c r="BI262" s="261"/>
      <c r="BJ262" s="261"/>
      <c r="BK262" s="293"/>
      <c r="BL262" s="228">
        <f ca="1">AVERAGE(BL260,BL255)</f>
        <v>7243.5966371822915</v>
      </c>
      <c r="BM262" s="292"/>
      <c r="BN262" s="261"/>
      <c r="BO262" s="261"/>
      <c r="BP262" s="293"/>
      <c r="BQ262" s="228">
        <f ca="1">AVERAGE(BQ260,BQ255)</f>
        <v>7800.9387158910558</v>
      </c>
      <c r="BR262" s="45"/>
      <c r="BS262" s="228"/>
      <c r="BT262" s="228"/>
      <c r="BU262" s="228"/>
      <c r="BV262" s="228"/>
      <c r="BW262" s="228"/>
      <c r="BX262" s="228"/>
      <c r="BY262" s="228"/>
      <c r="BZ262" s="228"/>
      <c r="CA262" s="228"/>
      <c r="CB262" s="228"/>
      <c r="CC262" s="228"/>
      <c r="CD262" s="228"/>
      <c r="CE262" s="228"/>
      <c r="CF262" s="228"/>
      <c r="CG262" s="228"/>
      <c r="CH262" s="228"/>
      <c r="CI262" s="228"/>
      <c r="CJ262" s="228"/>
      <c r="CK262" s="228"/>
      <c r="CL262" s="228"/>
      <c r="CM262" s="228"/>
      <c r="CN262" s="228"/>
      <c r="CO262" s="228"/>
      <c r="CP262" s="228"/>
      <c r="CQ262" s="228"/>
      <c r="CR262" s="228"/>
      <c r="CS262" s="228"/>
      <c r="CT262" s="228"/>
      <c r="CU262" s="228"/>
    </row>
    <row r="263" spans="1:99" s="212" customFormat="1">
      <c r="A263" s="1039"/>
      <c r="B263" s="1039"/>
      <c r="C263" s="1373" t="s">
        <v>996</v>
      </c>
      <c r="D263" s="1039"/>
      <c r="E263" s="1374"/>
      <c r="F263" s="1375"/>
      <c r="G263" s="1375"/>
      <c r="H263" s="1376"/>
      <c r="I263" s="1377"/>
      <c r="J263" s="1374"/>
      <c r="K263" s="1375"/>
      <c r="L263" s="1375"/>
      <c r="M263" s="1376"/>
      <c r="O263" s="1374"/>
      <c r="P263" s="1375"/>
      <c r="Q263" s="1375"/>
      <c r="R263" s="1376"/>
      <c r="S263" s="1039"/>
      <c r="T263" s="1374"/>
      <c r="U263" s="1375"/>
      <c r="V263" s="1375"/>
      <c r="W263" s="1376"/>
      <c r="X263" s="1378">
        <f>+X262/S262-1</f>
        <v>5.1910278530934217E-2</v>
      </c>
      <c r="Y263" s="1374"/>
      <c r="Z263" s="1375"/>
      <c r="AA263" s="1495"/>
      <c r="AB263" s="1496"/>
      <c r="AC263" s="1497">
        <f>+AC262/X262-1</f>
        <v>5.0496766332364773E-2</v>
      </c>
      <c r="AD263" s="1374"/>
      <c r="AE263" s="1375"/>
      <c r="AF263" s="1375"/>
      <c r="AG263" s="1376"/>
      <c r="AH263" s="1378">
        <f>+AH262/AC262-1</f>
        <v>4.6173406794405736E-2</v>
      </c>
      <c r="AI263" s="1374"/>
      <c r="AJ263" s="1375"/>
      <c r="AK263" s="1375"/>
      <c r="AL263" s="1376"/>
      <c r="AM263" s="1378">
        <f>+AM262/AH262-1</f>
        <v>4.0617470842839065E-2</v>
      </c>
      <c r="AN263" s="1374"/>
      <c r="AO263" s="1375"/>
      <c r="AP263" s="1375"/>
      <c r="AQ263" s="1376"/>
      <c r="AR263" s="1378">
        <f>+AR262/AM262-1</f>
        <v>5.1428103102077571E-2</v>
      </c>
      <c r="AS263" s="1374"/>
      <c r="AT263" s="1375"/>
      <c r="AU263" s="1375"/>
      <c r="AV263" s="1376"/>
      <c r="AW263" s="1378">
        <f>+AW262/AR262-1</f>
        <v>5.4758749707693566E-2</v>
      </c>
      <c r="AX263" s="1374"/>
      <c r="AY263" s="1375"/>
      <c r="AZ263" s="1375"/>
      <c r="BA263" s="1376"/>
      <c r="BB263" s="1378">
        <f ca="1">+BB262/AW262-1</f>
        <v>0.10136634466198724</v>
      </c>
      <c r="BC263" s="1374"/>
      <c r="BD263" s="1375"/>
      <c r="BE263" s="1375"/>
      <c r="BF263" s="1376"/>
      <c r="BG263" s="1378">
        <f ca="1">+BG262/BB262-1</f>
        <v>0.11409291926915044</v>
      </c>
      <c r="BH263" s="1374"/>
      <c r="BI263" s="1375"/>
      <c r="BJ263" s="1375"/>
      <c r="BK263" s="1376"/>
      <c r="BL263" s="1378">
        <f ca="1">+BL262/BG262-1</f>
        <v>9.0674375686847331E-2</v>
      </c>
      <c r="BM263" s="1374"/>
      <c r="BN263" s="1375"/>
      <c r="BO263" s="1375"/>
      <c r="BP263" s="1376"/>
      <c r="BQ263" s="1378">
        <f ca="1">+BQ262/BL262-1</f>
        <v>7.6942727021526602E-2</v>
      </c>
      <c r="BR263" s="45"/>
      <c r="BS263" s="1039"/>
      <c r="BT263" s="1039"/>
      <c r="BU263" s="1039"/>
      <c r="BV263" s="1039"/>
      <c r="BW263" s="1039"/>
      <c r="BX263" s="1039"/>
      <c r="BY263" s="1039"/>
      <c r="BZ263" s="1039"/>
      <c r="CA263" s="1039"/>
      <c r="CB263" s="1039"/>
      <c r="CC263" s="1039"/>
      <c r="CD263" s="1039"/>
      <c r="CE263" s="1039"/>
      <c r="CF263" s="1039"/>
      <c r="CG263" s="1039"/>
      <c r="CH263" s="1039"/>
      <c r="CI263" s="1039"/>
      <c r="CJ263" s="1039"/>
      <c r="CK263" s="1039"/>
      <c r="CL263" s="1039"/>
      <c r="CM263" s="1039"/>
      <c r="CN263" s="1039"/>
      <c r="CO263" s="1039"/>
      <c r="CP263" s="1039"/>
      <c r="CQ263" s="1039"/>
      <c r="CR263" s="1039"/>
      <c r="CS263" s="1039"/>
      <c r="CT263" s="1039"/>
      <c r="CU263" s="1039"/>
    </row>
    <row r="264" spans="1:99">
      <c r="A264" s="45"/>
      <c r="B264" s="45"/>
      <c r="C264" s="389"/>
      <c r="D264" s="45"/>
      <c r="E264" s="292"/>
      <c r="F264" s="261"/>
      <c r="G264" s="261"/>
      <c r="H264" s="293"/>
      <c r="I264" s="344"/>
      <c r="J264" s="292"/>
      <c r="K264" s="261"/>
      <c r="L264" s="261"/>
      <c r="M264" s="293"/>
      <c r="O264" s="292"/>
      <c r="P264" s="261"/>
      <c r="Q264" s="261"/>
      <c r="R264" s="293"/>
      <c r="S264" s="228"/>
      <c r="T264" s="292"/>
      <c r="U264" s="261"/>
      <c r="V264" s="261"/>
      <c r="W264" s="293"/>
      <c r="X264" s="1110"/>
      <c r="Y264" s="292"/>
      <c r="Z264" s="261"/>
      <c r="AA264" s="1438"/>
      <c r="AB264" s="1439"/>
      <c r="AC264" s="1477"/>
      <c r="AD264" s="292"/>
      <c r="AE264" s="261"/>
      <c r="AF264" s="261"/>
      <c r="AG264" s="293"/>
      <c r="AH264" s="1110"/>
      <c r="AI264" s="292"/>
      <c r="AJ264" s="261"/>
      <c r="AK264" s="261"/>
      <c r="AL264" s="293"/>
      <c r="AM264" s="1110"/>
      <c r="AN264" s="292"/>
      <c r="AO264" s="261"/>
      <c r="AP264" s="261"/>
      <c r="AQ264" s="293"/>
      <c r="AR264" s="228"/>
      <c r="AS264" s="292"/>
      <c r="AT264" s="261"/>
      <c r="AU264" s="261"/>
      <c r="AV264" s="293"/>
      <c r="AW264" s="228"/>
      <c r="AX264" s="292"/>
      <c r="AY264" s="261"/>
      <c r="AZ264" s="261"/>
      <c r="BA264" s="293"/>
      <c r="BB264" s="228"/>
      <c r="BC264" s="292"/>
      <c r="BD264" s="261"/>
      <c r="BE264" s="261"/>
      <c r="BF264" s="293"/>
      <c r="BG264" s="228"/>
      <c r="BH264" s="292"/>
      <c r="BI264" s="261"/>
      <c r="BJ264" s="261"/>
      <c r="BK264" s="293"/>
      <c r="BL264" s="228"/>
      <c r="BM264" s="292"/>
      <c r="BN264" s="261"/>
      <c r="BO264" s="261"/>
      <c r="BP264" s="293"/>
      <c r="BQ264" s="228"/>
      <c r="BR264" s="45"/>
      <c r="BS264" s="45"/>
      <c r="BT264" s="45"/>
      <c r="BU264" s="45"/>
      <c r="BV264" s="45"/>
      <c r="BW264" s="45"/>
      <c r="BX264" s="45"/>
      <c r="BY264" s="45"/>
      <c r="BZ264" s="45"/>
      <c r="CA264" s="45"/>
      <c r="CB264" s="45"/>
      <c r="CC264" s="45"/>
      <c r="CD264" s="45"/>
      <c r="CE264" s="45"/>
      <c r="CF264" s="45"/>
      <c r="CG264" s="45"/>
      <c r="CH264" s="45"/>
      <c r="CI264" s="45"/>
      <c r="CJ264" s="45"/>
      <c r="CK264" s="45"/>
      <c r="CL264" s="45"/>
      <c r="CM264" s="45"/>
      <c r="CN264" s="45"/>
      <c r="CO264" s="45"/>
      <c r="CP264" s="45"/>
      <c r="CQ264" s="45"/>
      <c r="CR264" s="45"/>
      <c r="CS264" s="45"/>
      <c r="CT264" s="45"/>
      <c r="CU264" s="45"/>
    </row>
    <row r="265" spans="1:99" s="232" customFormat="1">
      <c r="A265" s="45"/>
      <c r="B265" s="45"/>
      <c r="C265" s="1960" t="s">
        <v>1334</v>
      </c>
      <c r="D265" s="45"/>
      <c r="E265" s="290"/>
      <c r="F265" s="260"/>
      <c r="G265" s="260"/>
      <c r="H265" s="291"/>
      <c r="I265" s="45"/>
      <c r="J265" s="290"/>
      <c r="K265" s="260"/>
      <c r="L265" s="260"/>
      <c r="M265" s="291"/>
      <c r="O265" s="290"/>
      <c r="P265" s="260"/>
      <c r="Q265" s="260"/>
      <c r="R265" s="291"/>
      <c r="S265" s="426"/>
      <c r="T265" s="290"/>
      <c r="U265" s="260"/>
      <c r="V265" s="260"/>
      <c r="W265" s="291"/>
      <c r="X265" s="426"/>
      <c r="Y265" s="290"/>
      <c r="Z265" s="260"/>
      <c r="AA265" s="1441"/>
      <c r="AB265" s="1442"/>
      <c r="AC265" s="1446"/>
      <c r="AD265" s="290"/>
      <c r="AE265" s="260"/>
      <c r="AF265" s="260"/>
      <c r="AG265" s="291"/>
      <c r="AH265" s="426"/>
      <c r="AI265" s="290"/>
      <c r="AJ265" s="260"/>
      <c r="AK265" s="260"/>
      <c r="AL265" s="291"/>
      <c r="AM265" s="669">
        <v>5000</v>
      </c>
      <c r="AN265" s="290"/>
      <c r="AO265" s="260"/>
      <c r="AP265" s="260"/>
      <c r="AQ265" s="291"/>
      <c r="AR265" s="669">
        <v>5300</v>
      </c>
      <c r="AS265" s="290"/>
      <c r="AT265" s="260"/>
      <c r="AU265" s="260"/>
      <c r="AV265" s="291"/>
      <c r="AW265" s="669">
        <v>5700</v>
      </c>
      <c r="AX265" s="290"/>
      <c r="AY265" s="260"/>
      <c r="AZ265" s="260"/>
      <c r="BA265" s="291"/>
      <c r="BB265" s="669">
        <v>6400</v>
      </c>
      <c r="BC265" s="290"/>
      <c r="BD265" s="260"/>
      <c r="BE265" s="260"/>
      <c r="BF265" s="291"/>
      <c r="BG265" s="669">
        <v>6900</v>
      </c>
      <c r="BH265" s="290"/>
      <c r="BI265" s="260"/>
      <c r="BJ265" s="260"/>
      <c r="BK265" s="291"/>
      <c r="BL265" s="669">
        <v>7600</v>
      </c>
      <c r="BM265" s="300"/>
      <c r="BN265" s="264"/>
      <c r="BO265" s="264"/>
      <c r="BP265" s="299"/>
      <c r="BQ265" s="669">
        <v>8000</v>
      </c>
      <c r="BR265" s="45"/>
      <c r="BS265" s="45"/>
      <c r="BT265" s="45"/>
      <c r="BU265" s="45"/>
      <c r="BV265" s="45"/>
      <c r="BW265" s="45"/>
      <c r="BX265" s="45"/>
      <c r="BY265" s="45"/>
      <c r="BZ265" s="45"/>
      <c r="CA265" s="45"/>
      <c r="CB265" s="45"/>
      <c r="CC265" s="45"/>
      <c r="CD265" s="45"/>
      <c r="CE265" s="45"/>
      <c r="CF265" s="45"/>
      <c r="CG265" s="45"/>
      <c r="CH265" s="45"/>
      <c r="CI265" s="45"/>
      <c r="CJ265" s="45"/>
      <c r="CK265" s="45"/>
      <c r="CL265" s="45"/>
      <c r="CM265" s="45"/>
      <c r="CN265" s="45"/>
      <c r="CO265" s="45"/>
      <c r="CP265" s="45"/>
      <c r="CQ265" s="45"/>
      <c r="CR265" s="45"/>
      <c r="CS265" s="45"/>
      <c r="CT265" s="45"/>
      <c r="CU265" s="45"/>
    </row>
    <row r="266" spans="1:99">
      <c r="A266" s="45"/>
      <c r="B266" s="45"/>
      <c r="C266" s="45"/>
      <c r="D266" s="45"/>
      <c r="E266" s="290"/>
      <c r="F266" s="260"/>
      <c r="G266" s="260"/>
      <c r="H266" s="291"/>
      <c r="I266" s="45"/>
      <c r="J266" s="290"/>
      <c r="K266" s="260"/>
      <c r="L266" s="260"/>
      <c r="M266" s="291"/>
      <c r="N266" s="45"/>
      <c r="O266" s="290"/>
      <c r="P266" s="260"/>
      <c r="Q266" s="260"/>
      <c r="R266" s="291"/>
      <c r="S266" s="45"/>
      <c r="T266" s="290"/>
      <c r="U266" s="260"/>
      <c r="V266" s="260"/>
      <c r="W266" s="291"/>
      <c r="X266" s="45"/>
      <c r="Y266" s="290"/>
      <c r="Z266" s="260"/>
      <c r="AA266" s="1441"/>
      <c r="AB266" s="1442"/>
      <c r="AC266" s="1443"/>
      <c r="AD266" s="290"/>
      <c r="AE266" s="260"/>
      <c r="AF266" s="260"/>
      <c r="AG266" s="291"/>
      <c r="AH266" s="45"/>
      <c r="AI266" s="290"/>
      <c r="AJ266" s="260"/>
      <c r="AK266" s="260"/>
      <c r="AL266" s="291"/>
      <c r="AM266" s="45"/>
      <c r="AN266" s="290"/>
      <c r="AO266" s="260"/>
      <c r="AP266" s="260"/>
      <c r="AQ266" s="291"/>
      <c r="AR266" s="330"/>
      <c r="AS266" s="290"/>
      <c r="AT266" s="260"/>
      <c r="AU266" s="260"/>
      <c r="AV266" s="291"/>
      <c r="AW266" s="45"/>
      <c r="AX266" s="290"/>
      <c r="AY266" s="260"/>
      <c r="AZ266" s="260"/>
      <c r="BA266" s="291"/>
      <c r="BB266" s="45"/>
      <c r="BC266" s="290"/>
      <c r="BD266" s="260"/>
      <c r="BE266" s="260"/>
      <c r="BF266" s="291"/>
      <c r="BG266" s="45"/>
      <c r="BH266" s="290"/>
      <c r="BI266" s="260"/>
      <c r="BJ266" s="260"/>
      <c r="BK266" s="291"/>
      <c r="BL266" s="45"/>
      <c r="BM266" s="300"/>
      <c r="BN266" s="264"/>
      <c r="BO266" s="264"/>
      <c r="BP266" s="299"/>
      <c r="BQ266" s="45"/>
      <c r="BR266" s="45"/>
      <c r="BS266" s="45"/>
      <c r="BT266" s="45"/>
      <c r="BU266" s="45"/>
      <c r="BV266" s="45"/>
      <c r="BW266" s="45"/>
      <c r="BX266" s="45"/>
      <c r="BY266" s="45"/>
      <c r="BZ266" s="45"/>
      <c r="CA266" s="45"/>
      <c r="CB266" s="45"/>
      <c r="CC266" s="45"/>
      <c r="CD266" s="45"/>
      <c r="CE266" s="45"/>
      <c r="CF266" s="45"/>
      <c r="CG266" s="45"/>
      <c r="CH266" s="45"/>
      <c r="CI266" s="45"/>
      <c r="CJ266" s="45"/>
      <c r="CK266" s="45"/>
      <c r="CL266" s="45"/>
      <c r="CM266" s="45"/>
      <c r="CN266" s="45"/>
      <c r="CO266" s="45"/>
      <c r="CP266" s="45"/>
      <c r="CQ266" s="45"/>
      <c r="CR266" s="45"/>
      <c r="CS266" s="45"/>
      <c r="CT266" s="45"/>
      <c r="CU266" s="45"/>
    </row>
    <row r="267" spans="1:99">
      <c r="A267" s="45"/>
      <c r="B267" s="45"/>
      <c r="C267" s="389" t="s">
        <v>281</v>
      </c>
      <c r="D267" s="45"/>
      <c r="E267" s="290"/>
      <c r="F267" s="260"/>
      <c r="G267" s="260"/>
      <c r="H267" s="291"/>
      <c r="I267" s="45"/>
      <c r="J267" s="290"/>
      <c r="K267" s="260"/>
      <c r="L267" s="260"/>
      <c r="M267" s="291"/>
      <c r="N267" s="45"/>
      <c r="O267" s="290"/>
      <c r="P267" s="260"/>
      <c r="Q267" s="260"/>
      <c r="R267" s="291"/>
      <c r="S267" s="45"/>
      <c r="T267" s="290"/>
      <c r="U267" s="260"/>
      <c r="V267" s="260"/>
      <c r="W267" s="291"/>
      <c r="X267" s="45"/>
      <c r="Y267" s="290"/>
      <c r="Z267" s="260"/>
      <c r="AA267" s="1441"/>
      <c r="AB267" s="1442"/>
      <c r="AC267" s="1443"/>
      <c r="AD267" s="290"/>
      <c r="AE267" s="260"/>
      <c r="AF267" s="260"/>
      <c r="AG267" s="291"/>
      <c r="AH267" s="45"/>
      <c r="AI267" s="290"/>
      <c r="AJ267" s="260"/>
      <c r="AK267" s="260"/>
      <c r="AL267" s="291"/>
      <c r="AM267" s="45"/>
      <c r="AN267" s="290"/>
      <c r="AO267" s="260"/>
      <c r="AP267" s="260"/>
      <c r="AQ267" s="291"/>
      <c r="AR267" s="45"/>
      <c r="AS267" s="290"/>
      <c r="AT267" s="260"/>
      <c r="AU267" s="260"/>
      <c r="AV267" s="291"/>
      <c r="AW267" s="45"/>
      <c r="AX267" s="290"/>
      <c r="AY267" s="260"/>
      <c r="AZ267" s="260"/>
      <c r="BA267" s="291"/>
      <c r="BB267" s="45"/>
      <c r="BC267" s="290"/>
      <c r="BD267" s="260"/>
      <c r="BE267" s="260"/>
      <c r="BF267" s="291"/>
      <c r="BG267" s="45"/>
      <c r="BH267" s="290"/>
      <c r="BI267" s="260"/>
      <c r="BJ267" s="260"/>
      <c r="BK267" s="291"/>
      <c r="BL267" s="45"/>
      <c r="BM267" s="300"/>
      <c r="BN267" s="264"/>
      <c r="BO267" s="264"/>
      <c r="BP267" s="299"/>
      <c r="BQ267" s="45"/>
      <c r="BR267" s="45"/>
      <c r="BS267" s="45"/>
      <c r="BT267" s="45"/>
      <c r="BU267" s="45"/>
      <c r="BV267" s="45"/>
      <c r="BW267" s="45"/>
      <c r="BX267" s="45"/>
      <c r="BY267" s="45"/>
      <c r="BZ267" s="45"/>
      <c r="CA267" s="45"/>
      <c r="CB267" s="45"/>
      <c r="CC267" s="45"/>
      <c r="CD267" s="45"/>
      <c r="CE267" s="45"/>
      <c r="CF267" s="45"/>
      <c r="CG267" s="45"/>
      <c r="CH267" s="45"/>
      <c r="CI267" s="45"/>
      <c r="CJ267" s="45"/>
      <c r="CK267" s="45"/>
      <c r="CL267" s="45"/>
      <c r="CM267" s="45"/>
      <c r="CN267" s="45"/>
      <c r="CO267" s="45"/>
      <c r="CP267" s="45"/>
      <c r="CQ267" s="45"/>
      <c r="CR267" s="45"/>
      <c r="CS267" s="45"/>
      <c r="CT267" s="45"/>
      <c r="CU267" s="45"/>
    </row>
    <row r="268" spans="1:99">
      <c r="A268" s="383"/>
      <c r="B268" s="383"/>
      <c r="C268" s="391" t="s">
        <v>430</v>
      </c>
      <c r="D268" s="383"/>
      <c r="E268" s="671">
        <v>0.48</v>
      </c>
      <c r="F268" s="257">
        <v>0.48</v>
      </c>
      <c r="G268" s="257">
        <v>0.48</v>
      </c>
      <c r="H268" s="672">
        <v>0.48</v>
      </c>
      <c r="I268" s="612">
        <v>0.48</v>
      </c>
      <c r="J268" s="671">
        <v>0.48</v>
      </c>
      <c r="K268" s="257">
        <v>0.48</v>
      </c>
      <c r="L268" s="257">
        <v>0.48</v>
      </c>
      <c r="M268" s="672">
        <v>0.48</v>
      </c>
      <c r="N268" s="612">
        <v>0.48</v>
      </c>
      <c r="O268" s="671">
        <v>0.48</v>
      </c>
      <c r="P268" s="257">
        <v>0.48</v>
      </c>
      <c r="Q268" s="257">
        <v>0.48</v>
      </c>
      <c r="R268" s="672">
        <v>0.48</v>
      </c>
      <c r="S268" s="612">
        <v>0.48</v>
      </c>
      <c r="T268" s="671">
        <v>0.48</v>
      </c>
      <c r="U268" s="257">
        <v>0.48</v>
      </c>
      <c r="V268" s="257">
        <v>0.48</v>
      </c>
      <c r="W268" s="672">
        <v>0.48</v>
      </c>
      <c r="X268" s="612">
        <v>0.49</v>
      </c>
      <c r="Y268" s="671">
        <v>0.48</v>
      </c>
      <c r="Z268" s="257">
        <v>0.48</v>
      </c>
      <c r="AA268" s="1433">
        <v>0.48</v>
      </c>
      <c r="AB268" s="1430">
        <v>0.48</v>
      </c>
      <c r="AC268" s="883">
        <v>0.49</v>
      </c>
      <c r="AD268" s="1956">
        <f>+AE268</f>
        <v>0.51049999999999995</v>
      </c>
      <c r="AE268" s="1957">
        <f>+AF268</f>
        <v>0.51049999999999995</v>
      </c>
      <c r="AF268" s="1957">
        <f>+AG268</f>
        <v>0.51049999999999995</v>
      </c>
      <c r="AG268" s="1958">
        <f>+AH268</f>
        <v>0.51049999999999995</v>
      </c>
      <c r="AH268" s="883">
        <v>0.51049999999999995</v>
      </c>
      <c r="AI268" s="1956">
        <f>+AJ268</f>
        <v>0.52300000000000002</v>
      </c>
      <c r="AJ268" s="1957">
        <f>+AK268</f>
        <v>0.52300000000000002</v>
      </c>
      <c r="AK268" s="1957">
        <f>+AL268</f>
        <v>0.52300000000000002</v>
      </c>
      <c r="AL268" s="1958">
        <f>+AM268</f>
        <v>0.52300000000000002</v>
      </c>
      <c r="AM268" s="612">
        <v>0.52300000000000002</v>
      </c>
      <c r="AN268" s="1956">
        <f>AM268</f>
        <v>0.52300000000000002</v>
      </c>
      <c r="AO268" s="1957">
        <f>AN268</f>
        <v>0.52300000000000002</v>
      </c>
      <c r="AP268" s="257">
        <v>0.51900000000000002</v>
      </c>
      <c r="AQ268" s="1958">
        <f>AP268</f>
        <v>0.51900000000000002</v>
      </c>
      <c r="AR268" s="612">
        <f>AQ268</f>
        <v>0.51900000000000002</v>
      </c>
      <c r="AS268" s="1956">
        <f>+AT268</f>
        <v>0.51900000000000002</v>
      </c>
      <c r="AT268" s="1957">
        <f>+AU268</f>
        <v>0.51900000000000002</v>
      </c>
      <c r="AU268" s="1957">
        <f t="shared" ref="AU268" si="724">+AV268</f>
        <v>0.51900000000000002</v>
      </c>
      <c r="AV268" s="1958">
        <f>+AW268</f>
        <v>0.51900000000000002</v>
      </c>
      <c r="AW268" s="1959">
        <f>+AR268</f>
        <v>0.51900000000000002</v>
      </c>
      <c r="AX268" s="1956">
        <f>+AY268</f>
        <v>0.51900000000000002</v>
      </c>
      <c r="AY268" s="1957">
        <f>+AZ268</f>
        <v>0.51900000000000002</v>
      </c>
      <c r="AZ268" s="1957">
        <f>+BA268</f>
        <v>0.51900000000000002</v>
      </c>
      <c r="BA268" s="1958">
        <f>+BB268</f>
        <v>0.51900000000000002</v>
      </c>
      <c r="BB268" s="1959">
        <f>+AW268</f>
        <v>0.51900000000000002</v>
      </c>
      <c r="BC268" s="1956">
        <f>+BD268</f>
        <v>0.51900000000000002</v>
      </c>
      <c r="BD268" s="1957">
        <f>+BE268</f>
        <v>0.51900000000000002</v>
      </c>
      <c r="BE268" s="1957">
        <f>+BF268</f>
        <v>0.51900000000000002</v>
      </c>
      <c r="BF268" s="1958">
        <f>+BG268</f>
        <v>0.51900000000000002</v>
      </c>
      <c r="BG268" s="1959">
        <f>+BB268</f>
        <v>0.51900000000000002</v>
      </c>
      <c r="BH268" s="1956">
        <f>+BI268</f>
        <v>0.51900000000000002</v>
      </c>
      <c r="BI268" s="1957">
        <f>+BJ268</f>
        <v>0.51900000000000002</v>
      </c>
      <c r="BJ268" s="1957">
        <f>+BK268</f>
        <v>0.51900000000000002</v>
      </c>
      <c r="BK268" s="1958">
        <f>+BL268</f>
        <v>0.51900000000000002</v>
      </c>
      <c r="BL268" s="1959">
        <f>+BG268</f>
        <v>0.51900000000000002</v>
      </c>
      <c r="BM268" s="1956">
        <f>+BN268</f>
        <v>0.51900000000000002</v>
      </c>
      <c r="BN268" s="1957">
        <f>+BO268</f>
        <v>0.51900000000000002</v>
      </c>
      <c r="BO268" s="1957">
        <f>+BP268</f>
        <v>0.51900000000000002</v>
      </c>
      <c r="BP268" s="1958">
        <f>+BQ268</f>
        <v>0.51900000000000002</v>
      </c>
      <c r="BQ268" s="1959">
        <f>+BL268</f>
        <v>0.51900000000000002</v>
      </c>
      <c r="BR268" s="45"/>
      <c r="BS268" s="383"/>
      <c r="BT268" s="383"/>
      <c r="BU268" s="383"/>
      <c r="BV268" s="383"/>
      <c r="BW268" s="383"/>
      <c r="BX268" s="383"/>
      <c r="BY268" s="383"/>
      <c r="BZ268" s="383"/>
      <c r="CA268" s="383"/>
      <c r="CB268" s="383"/>
      <c r="CC268" s="383"/>
      <c r="CD268" s="383"/>
      <c r="CE268" s="383"/>
      <c r="CF268" s="383"/>
      <c r="CG268" s="383"/>
      <c r="CH268" s="383"/>
      <c r="CI268" s="383"/>
      <c r="CJ268" s="383"/>
      <c r="CK268" s="383"/>
      <c r="CL268" s="383"/>
      <c r="CM268" s="383"/>
      <c r="CN268" s="383"/>
      <c r="CO268" s="383"/>
      <c r="CP268" s="383"/>
      <c r="CQ268" s="383"/>
      <c r="CR268" s="383"/>
      <c r="CS268" s="383"/>
      <c r="CT268" s="383"/>
      <c r="CU268" s="383"/>
    </row>
    <row r="269" spans="1:99">
      <c r="A269" s="383"/>
      <c r="B269" s="383"/>
      <c r="C269" s="391" t="s">
        <v>419</v>
      </c>
      <c r="D269" s="383"/>
      <c r="E269" s="655">
        <f>+E228</f>
        <v>0</v>
      </c>
      <c r="F269" s="653">
        <f t="shared" ref="F269:AR269" si="725">+F228</f>
        <v>0</v>
      </c>
      <c r="G269" s="653">
        <f t="shared" si="725"/>
        <v>0</v>
      </c>
      <c r="H269" s="654">
        <f t="shared" si="725"/>
        <v>0</v>
      </c>
      <c r="I269" s="673">
        <f t="shared" si="725"/>
        <v>0</v>
      </c>
      <c r="J269" s="655">
        <f t="shared" si="725"/>
        <v>0</v>
      </c>
      <c r="K269" s="653">
        <f t="shared" si="725"/>
        <v>0</v>
      </c>
      <c r="L269" s="653">
        <f t="shared" si="725"/>
        <v>0</v>
      </c>
      <c r="M269" s="654">
        <f t="shared" si="725"/>
        <v>0</v>
      </c>
      <c r="N269" s="673">
        <f t="shared" si="725"/>
        <v>0</v>
      </c>
      <c r="O269" s="655">
        <f t="shared" si="725"/>
        <v>0</v>
      </c>
      <c r="P269" s="653">
        <f t="shared" si="725"/>
        <v>0</v>
      </c>
      <c r="Q269" s="653">
        <f t="shared" si="725"/>
        <v>0</v>
      </c>
      <c r="R269" s="654">
        <f t="shared" si="725"/>
        <v>0</v>
      </c>
      <c r="S269" s="673">
        <f t="shared" si="725"/>
        <v>0</v>
      </c>
      <c r="T269" s="655">
        <f t="shared" si="725"/>
        <v>0</v>
      </c>
      <c r="U269" s="653">
        <f>+U228</f>
        <v>0</v>
      </c>
      <c r="V269" s="653">
        <f t="shared" si="725"/>
        <v>0</v>
      </c>
      <c r="W269" s="654">
        <f t="shared" si="725"/>
        <v>0</v>
      </c>
      <c r="X269" s="673">
        <f t="shared" si="725"/>
        <v>0.45223195661243221</v>
      </c>
      <c r="Y269" s="655">
        <f t="shared" si="725"/>
        <v>0.4608909874769041</v>
      </c>
      <c r="Z269" s="653">
        <f t="shared" si="725"/>
        <v>0.43953488372093025</v>
      </c>
      <c r="AA269" s="653">
        <f t="shared" si="725"/>
        <v>0.47783962069676356</v>
      </c>
      <c r="AB269" s="654">
        <f t="shared" si="725"/>
        <v>0.47691066747328092</v>
      </c>
      <c r="AC269" s="673">
        <f t="shared" si="725"/>
        <v>0.47691066747328092</v>
      </c>
      <c r="AD269" s="655">
        <f t="shared" si="725"/>
        <v>0.49216552832462834</v>
      </c>
      <c r="AE269" s="653">
        <f t="shared" si="725"/>
        <v>0.49707602339181284</v>
      </c>
      <c r="AF269" s="653">
        <f t="shared" si="725"/>
        <v>0.50676084762865792</v>
      </c>
      <c r="AG269" s="654">
        <f t="shared" si="725"/>
        <v>0.505223733491031</v>
      </c>
      <c r="AH269" s="673">
        <f t="shared" si="725"/>
        <v>0.505223733491031</v>
      </c>
      <c r="AI269" s="655">
        <f t="shared" si="725"/>
        <v>0.52418873183356562</v>
      </c>
      <c r="AJ269" s="653">
        <f t="shared" si="725"/>
        <v>0.52845691382765536</v>
      </c>
      <c r="AK269" s="653">
        <f t="shared" si="725"/>
        <v>0.52491103202846978</v>
      </c>
      <c r="AL269" s="654">
        <f t="shared" si="725"/>
        <v>0.51702905522416776</v>
      </c>
      <c r="AM269" s="673">
        <f t="shared" si="725"/>
        <v>0.51702905522416776</v>
      </c>
      <c r="AN269" s="655">
        <f t="shared" ref="AN269" si="726">+AN228</f>
        <v>0.52910662824207488</v>
      </c>
      <c r="AO269" s="653">
        <f t="shared" si="725"/>
        <v>0.52591170825335898</v>
      </c>
      <c r="AP269" s="653">
        <f t="shared" si="725"/>
        <v>0.4861576441544701</v>
      </c>
      <c r="AQ269" s="654">
        <f t="shared" si="725"/>
        <v>0.52094384488750689</v>
      </c>
      <c r="AR269" s="1959">
        <f t="shared" si="725"/>
        <v>0.52094384488750689</v>
      </c>
      <c r="AS269" s="655">
        <f t="shared" ref="AS269:BB269" si="727">+AS228</f>
        <v>0.52270289595995711</v>
      </c>
      <c r="AT269" s="653">
        <f t="shared" si="727"/>
        <v>0.52700018060321474</v>
      </c>
      <c r="AU269" s="653">
        <f t="shared" ref="AU269" si="728">+AU228</f>
        <v>0.53858549686660695</v>
      </c>
      <c r="AV269" s="654">
        <f t="shared" si="727"/>
        <v>0.54201898188093178</v>
      </c>
      <c r="AW269" s="673">
        <f t="shared" si="727"/>
        <v>0.54201898188093178</v>
      </c>
      <c r="AX269" s="655">
        <f t="shared" ca="1" si="727"/>
        <v>0.54743925921636094</v>
      </c>
      <c r="AY269" s="653">
        <f t="shared" ca="1" si="727"/>
        <v>0.53596122502582</v>
      </c>
      <c r="AZ269" s="653">
        <f t="shared" ca="1" si="727"/>
        <v>0.51708297332487962</v>
      </c>
      <c r="BA269" s="654">
        <f t="shared" ca="1" si="727"/>
        <v>0.51896806782815941</v>
      </c>
      <c r="BB269" s="673">
        <f t="shared" ca="1" si="727"/>
        <v>0.51896806782815941</v>
      </c>
      <c r="BC269" s="655">
        <f t="shared" ref="BC269:BL269" ca="1" si="729">+BC228</f>
        <v>0.52723171482756614</v>
      </c>
      <c r="BD269" s="653">
        <f t="shared" ca="1" si="729"/>
        <v>0.52022514896077499</v>
      </c>
      <c r="BE269" s="653">
        <f t="shared" ca="1" si="729"/>
        <v>0.51267989603369102</v>
      </c>
      <c r="BF269" s="654">
        <f t="shared" ca="1" si="729"/>
        <v>0.51895057051387983</v>
      </c>
      <c r="BG269" s="673">
        <f t="shared" ca="1" si="729"/>
        <v>0.51895057051387983</v>
      </c>
      <c r="BH269" s="655">
        <f t="shared" ca="1" si="729"/>
        <v>0.52661083287008104</v>
      </c>
      <c r="BI269" s="653">
        <f t="shared" ca="1" si="729"/>
        <v>0.5222956095179383</v>
      </c>
      <c r="BJ269" s="653">
        <f t="shared" ca="1" si="729"/>
        <v>0.51427854795439787</v>
      </c>
      <c r="BK269" s="654">
        <f t="shared" ca="1" si="729"/>
        <v>0.51856507325809442</v>
      </c>
      <c r="BL269" s="673">
        <f t="shared" ca="1" si="729"/>
        <v>0.51856507325809442</v>
      </c>
      <c r="BM269" s="1956">
        <f t="shared" ref="BM269:BQ269" ca="1" si="730">+BM228</f>
        <v>0.52445590118711616</v>
      </c>
      <c r="BN269" s="1957">
        <f t="shared" ca="1" si="730"/>
        <v>0.5213440650789819</v>
      </c>
      <c r="BO269" s="1957">
        <f t="shared" ca="1" si="730"/>
        <v>0.49626902406039336</v>
      </c>
      <c r="BP269" s="1958">
        <f t="shared" ca="1" si="730"/>
        <v>0.519479567594199</v>
      </c>
      <c r="BQ269" s="673">
        <f t="shared" ca="1" si="730"/>
        <v>0.519479567594199</v>
      </c>
      <c r="BR269" s="45"/>
      <c r="BS269" s="383"/>
      <c r="BT269" s="383"/>
      <c r="BU269" s="383"/>
      <c r="BV269" s="383"/>
      <c r="BW269" s="383"/>
      <c r="BX269" s="383"/>
      <c r="BY269" s="383"/>
      <c r="BZ269" s="383"/>
      <c r="CA269" s="383"/>
      <c r="CB269" s="383"/>
      <c r="CC269" s="383"/>
      <c r="CD269" s="383"/>
      <c r="CE269" s="383"/>
      <c r="CF269" s="383"/>
      <c r="CG269" s="383"/>
      <c r="CH269" s="383"/>
      <c r="CI269" s="383"/>
      <c r="CJ269" s="383"/>
      <c r="CK269" s="383"/>
      <c r="CL269" s="383"/>
      <c r="CM269" s="383"/>
      <c r="CN269" s="383"/>
      <c r="CO269" s="383"/>
      <c r="CP269" s="383"/>
      <c r="CQ269" s="383"/>
      <c r="CR269" s="383"/>
      <c r="CS269" s="383"/>
      <c r="CT269" s="383"/>
      <c r="CU269" s="383"/>
    </row>
    <row r="270" spans="1:99">
      <c r="A270" s="383"/>
      <c r="B270" s="383"/>
      <c r="C270" s="383"/>
      <c r="D270" s="383"/>
      <c r="E270" s="613"/>
      <c r="F270" s="614"/>
      <c r="G270" s="614"/>
      <c r="H270" s="615"/>
      <c r="I270" s="25"/>
      <c r="J270" s="284"/>
      <c r="K270" s="241"/>
      <c r="L270" s="241"/>
      <c r="M270" s="285"/>
      <c r="N270" s="25"/>
      <c r="O270" s="284"/>
      <c r="P270" s="241"/>
      <c r="Q270" s="241"/>
      <c r="R270" s="285"/>
      <c r="S270" s="25"/>
      <c r="T270" s="284"/>
      <c r="U270" s="241"/>
      <c r="V270" s="241"/>
      <c r="W270" s="285"/>
      <c r="X270" s="25"/>
      <c r="Y270" s="284"/>
      <c r="Z270" s="241"/>
      <c r="AA270" s="241"/>
      <c r="AB270" s="285"/>
      <c r="AC270" s="25"/>
      <c r="AD270" s="284"/>
      <c r="AE270" s="241"/>
      <c r="AF270" s="241"/>
      <c r="AG270" s="285"/>
      <c r="AH270" s="25"/>
      <c r="AI270" s="284"/>
      <c r="AJ270" s="241"/>
      <c r="AK270" s="241"/>
      <c r="AL270" s="285"/>
      <c r="AM270" s="25"/>
      <c r="AN270" s="284"/>
      <c r="AO270" s="241"/>
      <c r="AP270" s="241"/>
      <c r="AQ270" s="285"/>
      <c r="AR270" s="25"/>
      <c r="AS270" s="284"/>
      <c r="AT270" s="241"/>
      <c r="AU270" s="241"/>
      <c r="AV270" s="285"/>
      <c r="AW270" s="25"/>
      <c r="AX270" s="284"/>
      <c r="AY270" s="241"/>
      <c r="AZ270" s="241"/>
      <c r="BA270" s="285"/>
      <c r="BB270" s="25"/>
      <c r="BC270" s="284"/>
      <c r="BD270" s="241"/>
      <c r="BE270" s="241"/>
      <c r="BF270" s="285"/>
      <c r="BG270" s="25"/>
      <c r="BH270" s="284"/>
      <c r="BI270" s="241"/>
      <c r="BJ270" s="241"/>
      <c r="BK270" s="285"/>
      <c r="BL270" s="25"/>
      <c r="BM270" s="1956"/>
      <c r="BN270" s="1957"/>
      <c r="BO270" s="1957"/>
      <c r="BP270" s="1958"/>
      <c r="BQ270" s="25"/>
      <c r="BR270" s="45"/>
      <c r="BS270" s="383"/>
      <c r="BT270" s="383"/>
      <c r="BU270" s="383"/>
      <c r="BV270" s="383"/>
      <c r="BW270" s="383"/>
      <c r="BX270" s="383"/>
      <c r="BY270" s="383"/>
      <c r="BZ270" s="383"/>
      <c r="CA270" s="383"/>
      <c r="CB270" s="383"/>
      <c r="CC270" s="383"/>
      <c r="CD270" s="383"/>
      <c r="CE270" s="383"/>
      <c r="CF270" s="383"/>
      <c r="CG270" s="383"/>
      <c r="CH270" s="383"/>
      <c r="CI270" s="383"/>
      <c r="CJ270" s="383"/>
      <c r="CK270" s="383"/>
      <c r="CL270" s="383"/>
      <c r="CM270" s="383"/>
      <c r="CN270" s="383"/>
      <c r="CO270" s="383"/>
      <c r="CP270" s="383"/>
      <c r="CQ270" s="383"/>
      <c r="CR270" s="383"/>
      <c r="CS270" s="383"/>
      <c r="CT270" s="383"/>
      <c r="CU270" s="383"/>
    </row>
    <row r="271" spans="1:99">
      <c r="A271" s="383"/>
      <c r="B271" s="383"/>
      <c r="C271" s="389" t="s">
        <v>1312</v>
      </c>
      <c r="D271" s="383"/>
      <c r="E271" s="613"/>
      <c r="F271" s="614"/>
      <c r="G271" s="614"/>
      <c r="H271" s="615"/>
      <c r="I271" s="612"/>
      <c r="J271" s="671"/>
      <c r="K271" s="257"/>
      <c r="L271" s="257"/>
      <c r="M271" s="672"/>
      <c r="N271" s="612"/>
      <c r="O271" s="671"/>
      <c r="P271" s="257"/>
      <c r="Q271" s="257"/>
      <c r="R271" s="672"/>
      <c r="S271" s="612"/>
      <c r="T271" s="671"/>
      <c r="U271" s="257"/>
      <c r="V271" s="257"/>
      <c r="W271" s="672"/>
      <c r="X271" s="612"/>
      <c r="Y271" s="671"/>
      <c r="Z271" s="257"/>
      <c r="AA271" s="1433"/>
      <c r="AB271" s="1430"/>
      <c r="AC271" s="883"/>
      <c r="AD271" s="671"/>
      <c r="AE271" s="257"/>
      <c r="AF271" s="257"/>
      <c r="AG271" s="672"/>
      <c r="AH271" s="612"/>
      <c r="AI271" s="671"/>
      <c r="AJ271" s="257"/>
      <c r="AK271" s="257"/>
      <c r="AL271" s="672"/>
      <c r="AM271" s="612"/>
      <c r="AN271" s="671"/>
      <c r="AO271" s="257"/>
      <c r="AP271" s="257"/>
      <c r="AQ271" s="672"/>
      <c r="AR271" s="612"/>
      <c r="AS271" s="671"/>
      <c r="AT271" s="257"/>
      <c r="AU271" s="257"/>
      <c r="AV271" s="672"/>
      <c r="AW271" s="612"/>
      <c r="AX271" s="671"/>
      <c r="AY271" s="257"/>
      <c r="AZ271" s="257"/>
      <c r="BA271" s="672"/>
      <c r="BB271" s="612"/>
      <c r="BC271" s="671"/>
      <c r="BD271" s="257"/>
      <c r="BE271" s="257"/>
      <c r="BF271" s="672"/>
      <c r="BG271" s="612"/>
      <c r="BH271" s="671"/>
      <c r="BI271" s="257"/>
      <c r="BJ271" s="257"/>
      <c r="BK271" s="672"/>
      <c r="BL271" s="612"/>
      <c r="BM271" s="1956"/>
      <c r="BN271" s="1957"/>
      <c r="BO271" s="1957"/>
      <c r="BP271" s="1958"/>
      <c r="BQ271" s="612"/>
      <c r="BR271" s="45"/>
      <c r="BS271" s="383"/>
      <c r="BT271" s="383"/>
      <c r="BU271" s="383"/>
      <c r="BV271" s="383"/>
      <c r="BW271" s="383"/>
      <c r="BX271" s="383"/>
      <c r="BY271" s="383"/>
      <c r="BZ271" s="383"/>
      <c r="CA271" s="383"/>
      <c r="CB271" s="383"/>
      <c r="CC271" s="383"/>
      <c r="CD271" s="383"/>
      <c r="CE271" s="383"/>
      <c r="CF271" s="383"/>
      <c r="CG271" s="383"/>
      <c r="CH271" s="383"/>
      <c r="CI271" s="383"/>
      <c r="CJ271" s="383"/>
      <c r="CK271" s="383"/>
      <c r="CL271" s="383"/>
      <c r="CM271" s="383"/>
      <c r="CN271" s="383"/>
      <c r="CO271" s="383"/>
      <c r="CP271" s="383"/>
      <c r="CQ271" s="383"/>
      <c r="CR271" s="383"/>
      <c r="CS271" s="383"/>
      <c r="CT271" s="383"/>
      <c r="CU271" s="383"/>
    </row>
    <row r="272" spans="1:99">
      <c r="A272" s="383"/>
      <c r="B272" s="383"/>
      <c r="C272" s="383" t="s">
        <v>1313</v>
      </c>
      <c r="D272" s="383"/>
      <c r="E272" s="671">
        <v>0.1</v>
      </c>
      <c r="F272" s="257">
        <v>0.1</v>
      </c>
      <c r="G272" s="257">
        <v>0.1</v>
      </c>
      <c r="H272" s="672">
        <v>0.1</v>
      </c>
      <c r="I272" s="612">
        <v>0.1</v>
      </c>
      <c r="J272" s="671">
        <v>0.1</v>
      </c>
      <c r="K272" s="257">
        <v>0.1</v>
      </c>
      <c r="L272" s="257">
        <v>0.1</v>
      </c>
      <c r="M272" s="672">
        <v>0.1</v>
      </c>
      <c r="N272" s="612">
        <v>0.1</v>
      </c>
      <c r="O272" s="671">
        <v>0.1</v>
      </c>
      <c r="P272" s="257">
        <v>0.1</v>
      </c>
      <c r="Q272" s="257">
        <v>0.1</v>
      </c>
      <c r="R272" s="672">
        <v>0.1</v>
      </c>
      <c r="S272" s="612">
        <v>0.1</v>
      </c>
      <c r="T272" s="671">
        <v>0.1</v>
      </c>
      <c r="U272" s="257">
        <v>0.1</v>
      </c>
      <c r="V272" s="257">
        <v>0.1</v>
      </c>
      <c r="W272" s="672">
        <v>0.1</v>
      </c>
      <c r="X272" s="612">
        <v>0.1</v>
      </c>
      <c r="Y272" s="671">
        <v>0.1</v>
      </c>
      <c r="Z272" s="257">
        <v>0.1</v>
      </c>
      <c r="AA272" s="1433">
        <v>0.1</v>
      </c>
      <c r="AB272" s="1430">
        <v>0.1</v>
      </c>
      <c r="AC272" s="883">
        <v>0.1</v>
      </c>
      <c r="AD272" s="671">
        <v>0.1</v>
      </c>
      <c r="AE272" s="257">
        <v>0.1</v>
      </c>
      <c r="AF272" s="257">
        <v>0.1</v>
      </c>
      <c r="AG272" s="672">
        <v>0.1</v>
      </c>
      <c r="AH272" s="612">
        <v>0.1</v>
      </c>
      <c r="AI272" s="671">
        <v>0.1</v>
      </c>
      <c r="AJ272" s="257">
        <v>0.1</v>
      </c>
      <c r="AK272" s="257">
        <v>0.1</v>
      </c>
      <c r="AL272" s="672">
        <v>0.1</v>
      </c>
      <c r="AM272" s="612">
        <v>9.7500000000000003E-2</v>
      </c>
      <c r="AN272" s="671">
        <v>0.1</v>
      </c>
      <c r="AO272" s="257">
        <v>9.7500000000000003E-2</v>
      </c>
      <c r="AP272" s="257">
        <f>(2900/AM265*9.75%)+(1200/AM265*9.65%)+((AM265-2900-1200)/AM265*10.5%)</f>
        <v>9.8610000000000003E-2</v>
      </c>
      <c r="AQ272" s="672">
        <f>AP272</f>
        <v>9.8610000000000003E-2</v>
      </c>
      <c r="AR272" s="612">
        <f>AQ272</f>
        <v>9.8610000000000003E-2</v>
      </c>
      <c r="AS272" s="671">
        <f>AR272</f>
        <v>9.8610000000000003E-2</v>
      </c>
      <c r="AT272" s="257">
        <f t="shared" ref="AT272:AV272" si="731">AS272</f>
        <v>9.8610000000000003E-2</v>
      </c>
      <c r="AU272" s="257">
        <f t="shared" si="731"/>
        <v>9.8610000000000003E-2</v>
      </c>
      <c r="AV272" s="672">
        <f t="shared" si="731"/>
        <v>9.8610000000000003E-2</v>
      </c>
      <c r="AW272" s="612">
        <f>AV272</f>
        <v>9.8610000000000003E-2</v>
      </c>
      <c r="AX272" s="671">
        <f>AW272</f>
        <v>9.8610000000000003E-2</v>
      </c>
      <c r="AY272" s="257">
        <f t="shared" ref="AY272:BA272" si="732">AX272</f>
        <v>9.8610000000000003E-2</v>
      </c>
      <c r="AZ272" s="257">
        <f t="shared" si="732"/>
        <v>9.8610000000000003E-2</v>
      </c>
      <c r="BA272" s="672">
        <f t="shared" si="732"/>
        <v>9.8610000000000003E-2</v>
      </c>
      <c r="BB272" s="612">
        <f>BA272</f>
        <v>9.8610000000000003E-2</v>
      </c>
      <c r="BC272" s="671">
        <f>BB272</f>
        <v>9.8610000000000003E-2</v>
      </c>
      <c r="BD272" s="257">
        <f t="shared" ref="BD272:BF272" si="733">BC272</f>
        <v>9.8610000000000003E-2</v>
      </c>
      <c r="BE272" s="257">
        <f t="shared" si="733"/>
        <v>9.8610000000000003E-2</v>
      </c>
      <c r="BF272" s="672">
        <f t="shared" si="733"/>
        <v>9.8610000000000003E-2</v>
      </c>
      <c r="BG272" s="612">
        <f>BF272</f>
        <v>9.8610000000000003E-2</v>
      </c>
      <c r="BH272" s="671">
        <f>BG272</f>
        <v>9.8610000000000003E-2</v>
      </c>
      <c r="BI272" s="257">
        <f t="shared" ref="BI272:BK272" si="734">BH272</f>
        <v>9.8610000000000003E-2</v>
      </c>
      <c r="BJ272" s="257">
        <f t="shared" si="734"/>
        <v>9.8610000000000003E-2</v>
      </c>
      <c r="BK272" s="672">
        <f t="shared" si="734"/>
        <v>9.8610000000000003E-2</v>
      </c>
      <c r="BL272" s="612">
        <f>BK272</f>
        <v>9.8610000000000003E-2</v>
      </c>
      <c r="BM272" s="1956">
        <f>BL272</f>
        <v>9.8610000000000003E-2</v>
      </c>
      <c r="BN272" s="1957">
        <f t="shared" ref="BN272" si="735">BM272</f>
        <v>9.8610000000000003E-2</v>
      </c>
      <c r="BO272" s="1957">
        <f t="shared" ref="BO272" si="736">BN272</f>
        <v>9.8610000000000003E-2</v>
      </c>
      <c r="BP272" s="1958">
        <f t="shared" ref="BP272" si="737">BO272</f>
        <v>9.8610000000000003E-2</v>
      </c>
      <c r="BQ272" s="2027">
        <f>+BL272</f>
        <v>9.8610000000000003E-2</v>
      </c>
      <c r="BR272" s="45"/>
      <c r="BS272" s="383"/>
      <c r="BT272" s="383"/>
      <c r="BU272" s="383"/>
      <c r="BV272" s="383"/>
      <c r="BW272" s="383"/>
      <c r="BX272" s="383"/>
      <c r="BY272" s="383"/>
      <c r="BZ272" s="383"/>
      <c r="CA272" s="383"/>
      <c r="CB272" s="383"/>
      <c r="CC272" s="383"/>
      <c r="CD272" s="383"/>
      <c r="CE272" s="383"/>
      <c r="CF272" s="383"/>
      <c r="CG272" s="383"/>
      <c r="CH272" s="383"/>
      <c r="CI272" s="383"/>
      <c r="CJ272" s="383"/>
      <c r="CK272" s="383"/>
      <c r="CL272" s="383"/>
      <c r="CM272" s="383"/>
      <c r="CN272" s="383"/>
      <c r="CO272" s="383"/>
      <c r="CP272" s="383"/>
      <c r="CQ272" s="383"/>
      <c r="CR272" s="383"/>
      <c r="CS272" s="383"/>
      <c r="CT272" s="383"/>
      <c r="CU272" s="383"/>
    </row>
    <row r="273" spans="1:99">
      <c r="A273" s="383"/>
      <c r="B273" s="383"/>
      <c r="C273" s="383" t="s">
        <v>420</v>
      </c>
      <c r="D273" s="383"/>
      <c r="E273" s="613"/>
      <c r="F273" s="614"/>
      <c r="G273" s="614"/>
      <c r="H273" s="615"/>
      <c r="I273" s="673"/>
      <c r="J273" s="655"/>
      <c r="K273" s="653"/>
      <c r="L273" s="653"/>
      <c r="M273" s="654"/>
      <c r="N273" s="673"/>
      <c r="O273" s="655"/>
      <c r="P273" s="653"/>
      <c r="Q273" s="653"/>
      <c r="R273" s="654"/>
      <c r="S273" s="673"/>
      <c r="T273" s="655"/>
      <c r="U273" s="653"/>
      <c r="V273" s="653"/>
      <c r="W273" s="654"/>
      <c r="X273" s="673"/>
      <c r="Y273" s="655"/>
      <c r="Z273" s="653"/>
      <c r="AA273" s="653"/>
      <c r="AB273" s="654"/>
      <c r="AC273" s="673">
        <f>AC241/((AC269)*(AVERAGE(AC260,AC255)))</f>
        <v>9.1205105120413923E-2</v>
      </c>
      <c r="AD273" s="655"/>
      <c r="AE273" s="653"/>
      <c r="AF273" s="653"/>
      <c r="AG273" s="654"/>
      <c r="AH273" s="673">
        <f>AH241/((AH269)*(AVERAGE(AH260,AH255)))</f>
        <v>8.3982196649798099E-2</v>
      </c>
      <c r="AI273" s="655"/>
      <c r="AJ273" s="653"/>
      <c r="AK273" s="653"/>
      <c r="AL273" s="654"/>
      <c r="AM273" s="673">
        <f>AM241/((AM269)*(AVERAGE(AM260,AM255)))</f>
        <v>0.109772006806499</v>
      </c>
      <c r="AN273" s="655"/>
      <c r="AO273" s="653"/>
      <c r="AP273" s="653"/>
      <c r="AQ273" s="654"/>
      <c r="AR273" s="673">
        <f>AR241/((AR269)*(AVERAGE(AR260,AR255)))</f>
        <v>0.10810707953188921</v>
      </c>
      <c r="AS273" s="655"/>
      <c r="AT273" s="653"/>
      <c r="AU273" s="653"/>
      <c r="AV273" s="654"/>
      <c r="AW273" s="673">
        <f>AW241/((AW269)*(AVERAGE(AW260,AW255)))</f>
        <v>0.1083943612980445</v>
      </c>
      <c r="AX273" s="655"/>
      <c r="AY273" s="653"/>
      <c r="AZ273" s="653"/>
      <c r="BA273" s="654"/>
      <c r="BB273" s="673">
        <f ca="1">BB241/((BB269)*(AVERAGE(BB260,BB255)))</f>
        <v>0.1043248560455203</v>
      </c>
      <c r="BC273" s="655"/>
      <c r="BD273" s="653"/>
      <c r="BE273" s="653"/>
      <c r="BF273" s="654"/>
      <c r="BG273" s="673">
        <f ca="1">BG241/((BG269)*(AVERAGE(BG260,BG255)))</f>
        <v>0.10051773017869861</v>
      </c>
      <c r="BH273" s="655"/>
      <c r="BI273" s="653"/>
      <c r="BJ273" s="653"/>
      <c r="BK273" s="654"/>
      <c r="BL273" s="673">
        <f ca="1">BL241/((BL269)*(AVERAGE(BL260,BL255)))</f>
        <v>0.10166935655600355</v>
      </c>
      <c r="BM273" s="1956"/>
      <c r="BN273" s="1957"/>
      <c r="BO273" s="1957"/>
      <c r="BP273" s="1958"/>
      <c r="BQ273" s="673">
        <f ca="1">BQ241/((BQ269)*(AVERAGE(BQ260,BQ255)))</f>
        <v>9.8954274934402925E-2</v>
      </c>
      <c r="BR273" s="45"/>
      <c r="BS273" s="383"/>
      <c r="BT273" s="383"/>
      <c r="BU273" s="383"/>
      <c r="BV273" s="383"/>
      <c r="BW273" s="383"/>
      <c r="BX273" s="383"/>
      <c r="BY273" s="383"/>
      <c r="BZ273" s="383"/>
      <c r="CA273" s="383"/>
      <c r="CB273" s="383"/>
      <c r="CC273" s="383"/>
      <c r="CD273" s="383"/>
      <c r="CE273" s="383"/>
      <c r="CF273" s="383"/>
      <c r="CG273" s="383"/>
      <c r="CH273" s="383"/>
      <c r="CI273" s="383"/>
      <c r="CJ273" s="383"/>
      <c r="CK273" s="383"/>
      <c r="CL273" s="383"/>
      <c r="CM273" s="383"/>
      <c r="CN273" s="383"/>
      <c r="CO273" s="383"/>
      <c r="CP273" s="383"/>
      <c r="CQ273" s="383"/>
      <c r="CR273" s="383"/>
      <c r="CS273" s="383"/>
      <c r="CT273" s="383"/>
      <c r="CU273" s="383"/>
    </row>
    <row r="274" spans="1:99">
      <c r="A274" s="383"/>
      <c r="B274" s="383"/>
      <c r="C274" s="383" t="s">
        <v>1290</v>
      </c>
      <c r="D274" s="383"/>
      <c r="E274" s="613"/>
      <c r="F274" s="614"/>
      <c r="G274" s="614"/>
      <c r="H274" s="615"/>
      <c r="I274" s="673"/>
      <c r="J274" s="655"/>
      <c r="K274" s="653"/>
      <c r="L274" s="653"/>
      <c r="M274" s="654"/>
      <c r="N274" s="673"/>
      <c r="O274" s="655"/>
      <c r="P274" s="653"/>
      <c r="Q274" s="653"/>
      <c r="R274" s="654"/>
      <c r="S274" s="673"/>
      <c r="T274" s="655"/>
      <c r="U274" s="653"/>
      <c r="V274" s="653"/>
      <c r="W274" s="654"/>
      <c r="X274" s="673"/>
      <c r="Y274" s="655"/>
      <c r="Z274" s="653"/>
      <c r="AA274" s="653"/>
      <c r="AB274" s="654"/>
      <c r="AC274" s="673">
        <f>(AC241-AC20)/(AC269*(AVERAGE(AC260,AC255)))</f>
        <v>8.7931075705834957E-2</v>
      </c>
      <c r="AD274" s="655"/>
      <c r="AE274" s="653"/>
      <c r="AF274" s="653"/>
      <c r="AG274" s="654"/>
      <c r="AH274" s="673">
        <f>(AH241-AH20)/(AH269*(AVERAGE(AH260,AH255)))</f>
        <v>7.8917943585488662E-2</v>
      </c>
      <c r="AI274" s="655"/>
      <c r="AJ274" s="653"/>
      <c r="AK274" s="653"/>
      <c r="AL274" s="654"/>
      <c r="AM274" s="673">
        <f>(AM241-AM20)/(AM269*(AVERAGE(AM260,AM255)))</f>
        <v>0.10422396314118858</v>
      </c>
      <c r="AN274" s="655"/>
      <c r="AO274" s="653"/>
      <c r="AP274" s="653"/>
      <c r="AQ274" s="654"/>
      <c r="AR274" s="673">
        <f>(AR241-AR20)/(AR269*(AVERAGE(AR260,AR255)))</f>
        <v>0.10099969368031171</v>
      </c>
      <c r="AS274" s="655"/>
      <c r="AT274" s="653"/>
      <c r="AU274" s="653"/>
      <c r="AV274" s="654"/>
      <c r="AW274" s="673">
        <f>(AW241-AW20)/(AW269*(AVERAGE(AW260,AW255)))</f>
        <v>0.10294055695600453</v>
      </c>
      <c r="AX274" s="655"/>
      <c r="AY274" s="653"/>
      <c r="AZ274" s="653"/>
      <c r="BA274" s="654"/>
      <c r="BB274" s="673">
        <f ca="1">(BB241-BB20)/(BB269*(AVERAGE(BB260,BB255)))</f>
        <v>9.8607731644624455E-2</v>
      </c>
      <c r="BC274" s="655"/>
      <c r="BD274" s="653"/>
      <c r="BE274" s="653"/>
      <c r="BF274" s="654"/>
      <c r="BG274" s="673">
        <f ca="1">(BG241-BG20)/(BG269*(AVERAGE(BG260,BG255)))</f>
        <v>9.4596406826350315E-2</v>
      </c>
      <c r="BH274" s="655"/>
      <c r="BI274" s="653"/>
      <c r="BJ274" s="653"/>
      <c r="BK274" s="654"/>
      <c r="BL274" s="673">
        <f ca="1">(BL241-BL20)/(BL269*(AVERAGE(BL260,BL255)))</f>
        <v>9.6477743202651761E-2</v>
      </c>
      <c r="BM274" s="655"/>
      <c r="BN274" s="653"/>
      <c r="BO274" s="653"/>
      <c r="BP274" s="654"/>
      <c r="BQ274" s="673">
        <f ca="1">(BQ241-BQ20)/(BQ269*(AVERAGE(BQ260,BQ255)))</f>
        <v>9.4589712837973197E-2</v>
      </c>
      <c r="BR274" s="383"/>
      <c r="BS274" s="383"/>
      <c r="BT274" s="383"/>
      <c r="BU274" s="383"/>
      <c r="BV274" s="383"/>
      <c r="BW274" s="383"/>
      <c r="BX274" s="383"/>
      <c r="BY274" s="383"/>
      <c r="BZ274" s="383"/>
      <c r="CA274" s="383"/>
      <c r="CB274" s="383"/>
      <c r="CC274" s="383"/>
      <c r="CD274" s="383"/>
      <c r="CE274" s="383"/>
      <c r="CF274" s="383"/>
      <c r="CG274" s="383"/>
      <c r="CH274" s="383"/>
      <c r="CI274" s="383"/>
      <c r="CJ274" s="383"/>
      <c r="CK274" s="383"/>
      <c r="CL274" s="383"/>
      <c r="CM274" s="383"/>
      <c r="CN274" s="383"/>
      <c r="CO274" s="383"/>
      <c r="CP274" s="383"/>
      <c r="CQ274" s="383"/>
      <c r="CR274" s="383"/>
      <c r="CS274" s="383"/>
      <c r="CT274" s="383"/>
      <c r="CU274" s="383"/>
    </row>
    <row r="275" spans="1:99" collapsed="1">
      <c r="A275" s="383"/>
      <c r="B275" s="383"/>
      <c r="C275" s="383"/>
      <c r="D275" s="383"/>
      <c r="E275" s="613"/>
      <c r="F275" s="614"/>
      <c r="G275" s="614"/>
      <c r="H275" s="615"/>
      <c r="I275" s="583"/>
      <c r="J275" s="655"/>
      <c r="K275" s="653"/>
      <c r="L275" s="653"/>
      <c r="M275" s="654"/>
      <c r="N275" s="583"/>
      <c r="O275" s="655"/>
      <c r="P275" s="653"/>
      <c r="Q275" s="653"/>
      <c r="R275" s="654"/>
      <c r="S275" s="583"/>
      <c r="T275" s="655"/>
      <c r="U275" s="653"/>
      <c r="V275" s="653"/>
      <c r="W275" s="654"/>
      <c r="X275" s="583"/>
      <c r="Y275" s="655"/>
      <c r="Z275" s="653"/>
      <c r="AA275" s="653"/>
      <c r="AB275" s="654"/>
      <c r="AC275" s="673"/>
      <c r="AD275" s="655"/>
      <c r="AE275" s="653"/>
      <c r="AF275" s="653"/>
      <c r="AG275" s="654"/>
      <c r="AH275" s="673"/>
      <c r="AI275" s="655"/>
      <c r="AJ275" s="653"/>
      <c r="AK275" s="653"/>
      <c r="AL275" s="654"/>
      <c r="AM275" s="673"/>
      <c r="AN275" s="655"/>
      <c r="AO275" s="653"/>
      <c r="AP275" s="653"/>
      <c r="AQ275" s="654"/>
      <c r="AR275" s="673"/>
      <c r="AS275" s="655"/>
      <c r="AT275" s="653"/>
      <c r="AU275" s="653"/>
      <c r="AV275" s="654"/>
      <c r="AW275" s="673"/>
      <c r="AX275" s="655"/>
      <c r="AY275" s="653"/>
      <c r="AZ275" s="653"/>
      <c r="BA275" s="654"/>
      <c r="BB275" s="673"/>
      <c r="BC275" s="655"/>
      <c r="BD275" s="653"/>
      <c r="BE275" s="653"/>
      <c r="BF275" s="654"/>
      <c r="BG275" s="673"/>
      <c r="BH275" s="655"/>
      <c r="BI275" s="653"/>
      <c r="BJ275" s="653"/>
      <c r="BK275" s="654"/>
      <c r="BL275" s="673"/>
      <c r="BM275" s="655"/>
      <c r="BN275" s="653"/>
      <c r="BO275" s="653"/>
      <c r="BP275" s="654"/>
      <c r="BQ275" s="673"/>
      <c r="BR275" s="383"/>
      <c r="BS275" s="383"/>
      <c r="BT275" s="383"/>
      <c r="BU275" s="383"/>
      <c r="BV275" s="383"/>
      <c r="BW275" s="383"/>
      <c r="BX275" s="383"/>
      <c r="BY275" s="383"/>
      <c r="BZ275" s="383"/>
      <c r="CA275" s="383"/>
      <c r="CB275" s="383"/>
      <c r="CC275" s="383"/>
      <c r="CD275" s="383"/>
      <c r="CE275" s="383"/>
      <c r="CF275" s="383"/>
      <c r="CG275" s="383"/>
      <c r="CH275" s="383"/>
      <c r="CI275" s="383"/>
      <c r="CJ275" s="383"/>
      <c r="CK275" s="383"/>
      <c r="CL275" s="383"/>
      <c r="CM275" s="383"/>
      <c r="CN275" s="383"/>
      <c r="CO275" s="383"/>
      <c r="CP275" s="383"/>
      <c r="CQ275" s="383"/>
      <c r="CR275" s="383"/>
      <c r="CS275" s="383"/>
      <c r="CT275" s="383"/>
      <c r="CU275" s="383"/>
    </row>
    <row r="276" spans="1:99">
      <c r="E276" s="674"/>
      <c r="F276" s="674"/>
      <c r="G276" s="674"/>
      <c r="H276" s="674"/>
      <c r="J276" s="674"/>
      <c r="K276" s="674"/>
      <c r="L276" s="674"/>
      <c r="M276" s="674"/>
      <c r="O276" s="674"/>
      <c r="P276" s="674"/>
      <c r="Q276" s="674"/>
      <c r="R276" s="674"/>
      <c r="T276" s="674"/>
      <c r="U276" s="674"/>
      <c r="V276" s="674"/>
      <c r="W276" s="674"/>
      <c r="Y276" s="674"/>
      <c r="Z276" s="674"/>
      <c r="AA276" s="674"/>
      <c r="AB276" s="674"/>
      <c r="AD276" s="674"/>
      <c r="AE276" s="674"/>
      <c r="AF276" s="674"/>
      <c r="AG276" s="674"/>
      <c r="AI276" s="674"/>
      <c r="AJ276" s="674"/>
      <c r="AK276" s="674"/>
      <c r="AL276" s="674"/>
      <c r="AN276" s="674"/>
      <c r="AO276" s="674"/>
      <c r="AP276" s="674"/>
      <c r="AQ276" s="674"/>
      <c r="AS276" s="674"/>
      <c r="AT276" s="674"/>
      <c r="AU276" s="674"/>
      <c r="AV276" s="674"/>
      <c r="AX276" s="674"/>
      <c r="AY276" s="674"/>
      <c r="AZ276" s="674"/>
      <c r="BA276" s="674"/>
      <c r="BC276" s="674"/>
      <c r="BD276" s="674"/>
      <c r="BE276" s="674"/>
      <c r="BF276" s="674"/>
      <c r="BH276" s="674"/>
      <c r="BI276" s="674"/>
      <c r="BJ276" s="674"/>
      <c r="BK276" s="674"/>
      <c r="BM276" s="674"/>
      <c r="BN276" s="674"/>
      <c r="BO276" s="674"/>
      <c r="BP276" s="674"/>
    </row>
    <row r="277" spans="1:99">
      <c r="T277" s="206"/>
      <c r="U277" s="206"/>
      <c r="AD277" s="19"/>
      <c r="AF277" s="19"/>
      <c r="AG277" s="19"/>
      <c r="AI277" s="19"/>
      <c r="AN277" s="19"/>
      <c r="AS277" s="19"/>
      <c r="AW277" s="675"/>
      <c r="AX277" s="19"/>
      <c r="BC277" s="19"/>
      <c r="BH277" s="19"/>
      <c r="BM277" s="19"/>
    </row>
    <row r="278" spans="1:99">
      <c r="N278" s="535"/>
      <c r="AR278" s="31"/>
      <c r="BB278" s="675"/>
    </row>
    <row r="279" spans="1:99">
      <c r="AR279" s="31"/>
      <c r="BB279" s="675"/>
    </row>
    <row r="280" spans="1:99">
      <c r="Q280" s="497"/>
      <c r="S280" s="497"/>
      <c r="X280" s="497"/>
      <c r="AC280" s="497"/>
      <c r="AH280" s="497"/>
      <c r="AM280" s="497"/>
      <c r="AR280" s="1116"/>
      <c r="BB280" s="675"/>
      <c r="BG280" s="497"/>
      <c r="BL280" s="497"/>
      <c r="BQ280" s="497"/>
    </row>
    <row r="282" spans="1:99">
      <c r="N282" s="675"/>
      <c r="AH282" s="497"/>
    </row>
  </sheetData>
  <phoneticPr fontId="2" type="noConversion"/>
  <pageMargins left="0.5" right="0.5" top="0.5" bottom="0.5" header="0" footer="0"/>
  <pageSetup scale="55" fitToHeight="4" orientation="landscape" r:id="rId1"/>
  <headerFooter alignWithMargins="0"/>
  <rowBreaks count="4" manualBreakCount="4">
    <brk id="67" max="39" man="1"/>
    <brk id="138" max="39" man="1"/>
    <brk id="187" max="39" man="1"/>
    <brk id="235" max="39"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DT267"/>
  <sheetViews>
    <sheetView zoomScale="85" zoomScaleNormal="85" workbookViewId="0">
      <pane xSplit="4" ySplit="5" topLeftCell="I6" activePane="bottomRight" state="frozen"/>
      <selection activeCell="I6" sqref="I6"/>
      <selection pane="topRight" activeCell="I6" sqref="I6"/>
      <selection pane="bottomLeft" activeCell="I6" sqref="I6"/>
      <selection pane="bottomRight" activeCell="I6" sqref="I6"/>
    </sheetView>
  </sheetViews>
  <sheetFormatPr defaultRowHeight="12.75" outlineLevelCol="1"/>
  <cols>
    <col min="1" max="2" width="2.7109375" style="1663" customWidth="1"/>
    <col min="3" max="3" width="50.85546875" style="1663" customWidth="1"/>
    <col min="4" max="4" width="2.7109375" style="1663" customWidth="1"/>
    <col min="5" max="8" width="9" style="1663" hidden="1" customWidth="1" outlineLevel="1"/>
    <col min="9" max="9" width="9" style="1663" customWidth="1" collapsed="1"/>
    <col min="10" max="13" width="9" style="1663" hidden="1" customWidth="1" outlineLevel="1"/>
    <col min="14" max="14" width="9" style="1663" customWidth="1" collapsed="1"/>
    <col min="15" max="18" width="9" style="1663" hidden="1" customWidth="1" outlineLevel="1"/>
    <col min="19" max="19" width="9" style="1663" customWidth="1" collapsed="1"/>
    <col min="20" max="23" width="9" style="1663" hidden="1" customWidth="1" outlineLevel="1"/>
    <col min="24" max="24" width="9" style="1663" customWidth="1" collapsed="1"/>
    <col min="25" max="28" width="9" style="1663" hidden="1" customWidth="1" outlineLevel="1"/>
    <col min="29" max="29" width="9" style="1663" customWidth="1" collapsed="1"/>
    <col min="30" max="33" width="9" style="1663" hidden="1" customWidth="1" outlineLevel="1"/>
    <col min="34" max="34" width="9" style="1663" customWidth="1" collapsed="1"/>
    <col min="35" max="38" width="9" style="1663" hidden="1" customWidth="1" outlineLevel="1"/>
    <col min="39" max="39" width="9" style="1663" customWidth="1" collapsed="1"/>
    <col min="40" max="43" width="9" style="1663" hidden="1" customWidth="1" outlineLevel="1"/>
    <col min="44" max="44" width="9" style="1663" customWidth="1" collapsed="1"/>
    <col min="45" max="48" width="9" style="1663" hidden="1" customWidth="1" outlineLevel="1"/>
    <col min="49" max="49" width="9" style="1663" customWidth="1" collapsed="1"/>
    <col min="50" max="53" width="9" style="1663" hidden="1" customWidth="1" outlineLevel="1"/>
    <col min="54" max="54" width="9" style="1663" customWidth="1" collapsed="1"/>
    <col min="55" max="58" width="9" style="1663" hidden="1" customWidth="1" outlineLevel="1"/>
    <col min="59" max="59" width="9" style="1663" customWidth="1" collapsed="1"/>
    <col min="60" max="63" width="9" style="1663" hidden="1" customWidth="1" outlineLevel="1"/>
    <col min="64" max="64" width="9" style="1663" customWidth="1" collapsed="1"/>
    <col min="65" max="67" width="9.140625" style="1663"/>
    <col min="68" max="68" width="10.5703125" style="1663" bestFit="1" customWidth="1"/>
    <col min="69" max="69" width="17.85546875" style="1663" bestFit="1" customWidth="1"/>
    <col min="70" max="79" width="9.140625" style="1663"/>
    <col min="80" max="82" width="11.42578125" style="1663" bestFit="1" customWidth="1"/>
    <col min="83" max="83" width="9.7109375" style="1663" bestFit="1" customWidth="1"/>
    <col min="84" max="87" width="11.42578125" style="1663" bestFit="1" customWidth="1"/>
    <col min="88" max="88" width="10.7109375" style="1663" bestFit="1" customWidth="1"/>
    <col min="89" max="91" width="11.42578125" style="1663" bestFit="1" customWidth="1"/>
    <col min="92" max="94" width="9.7109375" style="1663" bestFit="1" customWidth="1"/>
    <col min="95" max="16384" width="9.140625" style="1663"/>
  </cols>
  <sheetData>
    <row r="1" spans="1:94" ht="15" customHeight="1">
      <c r="A1" s="1658"/>
      <c r="B1" s="1658"/>
      <c r="C1" s="1658"/>
      <c r="D1" s="1659"/>
      <c r="E1" s="1660"/>
      <c r="F1" s="1660"/>
      <c r="G1" s="1660"/>
      <c r="H1" s="1660"/>
      <c r="I1" s="1660"/>
      <c r="J1" s="1660"/>
      <c r="K1" s="1660"/>
      <c r="L1" s="1660"/>
      <c r="M1" s="1660"/>
      <c r="N1" s="1660"/>
      <c r="O1" s="1660"/>
      <c r="P1" s="1660"/>
      <c r="Q1" s="1660"/>
      <c r="R1" s="1660"/>
      <c r="S1" s="1660"/>
      <c r="T1" s="1660"/>
      <c r="U1" s="1660"/>
      <c r="V1" s="1660"/>
      <c r="W1" s="1661"/>
      <c r="X1" s="1660"/>
      <c r="Y1" s="1660"/>
      <c r="Z1" s="1660"/>
      <c r="AA1" s="1660"/>
      <c r="AB1" s="1661"/>
      <c r="AC1" s="1660"/>
      <c r="AD1" s="1660"/>
      <c r="AE1" s="1660"/>
      <c r="AF1" s="1660"/>
      <c r="AG1" s="1661"/>
      <c r="AH1" s="1660"/>
      <c r="AI1" s="1660"/>
      <c r="AJ1" s="1660"/>
      <c r="AK1" s="1660"/>
      <c r="AL1" s="1661"/>
      <c r="AM1" s="1660"/>
      <c r="AN1" s="1660"/>
      <c r="AO1" s="1660"/>
      <c r="AP1" s="1660"/>
      <c r="AQ1" s="1661"/>
      <c r="AR1" s="1660"/>
      <c r="AS1" s="1660"/>
      <c r="AT1" s="1660"/>
      <c r="AU1" s="1660"/>
      <c r="AV1" s="1661"/>
      <c r="AW1" s="1660"/>
      <c r="AX1" s="1660"/>
      <c r="AY1" s="1660"/>
      <c r="AZ1" s="1660"/>
      <c r="BA1" s="1661"/>
      <c r="BB1" s="1660"/>
      <c r="BC1" s="1660"/>
      <c r="BD1" s="1660"/>
      <c r="BE1" s="1660"/>
      <c r="BF1" s="1661"/>
      <c r="BG1" s="1660"/>
      <c r="BH1" s="1660"/>
      <c r="BI1" s="1660"/>
      <c r="BJ1" s="1660"/>
      <c r="BK1" s="1661"/>
      <c r="BL1" s="1660"/>
      <c r="BM1" s="1662"/>
      <c r="BN1" s="1662"/>
      <c r="BO1" s="1662"/>
      <c r="BP1" s="1662"/>
      <c r="BQ1" s="1662"/>
      <c r="BR1" s="1662"/>
      <c r="BS1" s="1662"/>
      <c r="BT1" s="1662"/>
      <c r="BU1" s="1662"/>
      <c r="BV1" s="1662"/>
      <c r="BW1" s="1662"/>
      <c r="BX1" s="1662"/>
      <c r="BY1" s="1662"/>
      <c r="BZ1" s="1662"/>
      <c r="CA1" s="1662"/>
      <c r="CB1" s="1662"/>
      <c r="CC1" s="1662"/>
      <c r="CD1" s="1662"/>
      <c r="CE1" s="1662"/>
      <c r="CF1" s="1662"/>
      <c r="CG1" s="1662"/>
      <c r="CH1" s="1662"/>
      <c r="CI1" s="1662"/>
      <c r="CJ1" s="1662"/>
      <c r="CK1" s="1662"/>
      <c r="CL1" s="1662"/>
      <c r="CM1" s="1662"/>
      <c r="CN1" s="1662"/>
      <c r="CO1" s="1662"/>
      <c r="CP1" s="1662"/>
    </row>
    <row r="2" spans="1:94" ht="15" customHeight="1">
      <c r="A2" s="1658"/>
      <c r="B2" s="1658" t="str">
        <f>Cover!B2</f>
        <v>Exelon Corporation</v>
      </c>
      <c r="C2" s="1658"/>
      <c r="D2" s="1659"/>
      <c r="E2" s="1660"/>
      <c r="F2" s="1660"/>
      <c r="G2" s="1660"/>
      <c r="H2" s="1660"/>
      <c r="I2" s="1660"/>
      <c r="J2" s="1660"/>
      <c r="K2" s="1660"/>
      <c r="L2" s="1660"/>
      <c r="M2" s="1660"/>
      <c r="N2" s="1660"/>
      <c r="O2" s="1660"/>
      <c r="P2" s="1660"/>
      <c r="Q2" s="1660"/>
      <c r="R2" s="1660"/>
      <c r="S2" s="1660"/>
      <c r="T2" s="1660"/>
      <c r="U2" s="1660"/>
      <c r="V2" s="1660"/>
      <c r="W2" s="1661"/>
      <c r="X2" s="1660"/>
      <c r="Y2" s="1660"/>
      <c r="Z2" s="1660"/>
      <c r="AA2" s="1660"/>
      <c r="AB2" s="1661"/>
      <c r="AC2" s="1660"/>
      <c r="AD2" s="1660"/>
      <c r="AE2" s="1660"/>
      <c r="AF2" s="1660"/>
      <c r="AG2" s="1661"/>
      <c r="AH2" s="1660"/>
      <c r="AI2" s="1660"/>
      <c r="AJ2" s="1660"/>
      <c r="AK2" s="1660"/>
      <c r="AL2" s="1661"/>
      <c r="AM2" s="1660"/>
      <c r="AN2" s="1660"/>
      <c r="AO2" s="1660"/>
      <c r="AP2" s="1660"/>
      <c r="AQ2" s="1661"/>
      <c r="AR2" s="1660"/>
      <c r="AS2" s="1660"/>
      <c r="AT2" s="1660"/>
      <c r="AU2" s="1660"/>
      <c r="AV2" s="1661"/>
      <c r="AW2" s="1660"/>
      <c r="AX2" s="1660"/>
      <c r="AY2" s="1660"/>
      <c r="AZ2" s="1660"/>
      <c r="BA2" s="1661"/>
      <c r="BB2" s="1660"/>
      <c r="BC2" s="1660"/>
      <c r="BD2" s="1660"/>
      <c r="BE2" s="1660"/>
      <c r="BF2" s="1661"/>
      <c r="BG2" s="1660"/>
      <c r="BH2" s="1660"/>
      <c r="BI2" s="1660"/>
      <c r="BJ2" s="1660"/>
      <c r="BK2" s="1661"/>
      <c r="BL2" s="1660"/>
      <c r="BM2" s="1662"/>
      <c r="BN2" s="1662"/>
      <c r="BO2" s="1662"/>
      <c r="BP2" s="1662"/>
      <c r="BQ2" s="1662"/>
      <c r="BR2" s="1662"/>
      <c r="BS2" s="1662"/>
      <c r="BT2" s="1662"/>
      <c r="BU2" s="1662"/>
      <c r="BV2" s="1662"/>
      <c r="BW2" s="1662"/>
      <c r="BX2" s="1662"/>
      <c r="BY2" s="1662"/>
      <c r="BZ2" s="1662"/>
      <c r="CA2" s="1662"/>
      <c r="CB2" s="1662"/>
      <c r="CC2" s="1662"/>
      <c r="CD2" s="1662"/>
      <c r="CE2" s="1662"/>
      <c r="CF2" s="1662"/>
      <c r="CG2" s="1662"/>
      <c r="CH2" s="1662"/>
      <c r="CI2" s="1662"/>
      <c r="CJ2" s="1662"/>
      <c r="CK2" s="1662"/>
      <c r="CL2" s="1662"/>
      <c r="CM2" s="1662"/>
      <c r="CN2" s="1662"/>
      <c r="CO2" s="1662"/>
      <c r="CP2" s="1662"/>
    </row>
    <row r="3" spans="1:94" ht="15" customHeight="1">
      <c r="A3" s="1664"/>
      <c r="B3" s="1665" t="s">
        <v>722</v>
      </c>
      <c r="C3" s="1664"/>
      <c r="D3" s="1660"/>
      <c r="E3" s="1660"/>
      <c r="F3" s="1660"/>
      <c r="G3" s="1660"/>
      <c r="H3" s="1660"/>
      <c r="I3" s="1660"/>
      <c r="J3" s="1660"/>
      <c r="K3" s="1660"/>
      <c r="L3" s="1660"/>
      <c r="M3" s="1660"/>
      <c r="N3" s="1660"/>
      <c r="O3" s="1660"/>
      <c r="P3" s="1660"/>
      <c r="Q3" s="1660"/>
      <c r="R3" s="1660"/>
      <c r="S3" s="1660"/>
      <c r="T3" s="1660"/>
      <c r="U3" s="1660"/>
      <c r="V3" s="1660"/>
      <c r="W3" s="1660"/>
      <c r="X3" s="1660"/>
      <c r="Y3" s="1660"/>
      <c r="Z3" s="1660"/>
      <c r="AA3" s="1660"/>
      <c r="AB3" s="1660"/>
      <c r="AC3" s="1660"/>
      <c r="AD3" s="1660"/>
      <c r="AE3" s="1660"/>
      <c r="AF3" s="1660"/>
      <c r="AG3" s="1660"/>
      <c r="AH3" s="1660"/>
      <c r="AI3" s="1660"/>
      <c r="AJ3" s="1660"/>
      <c r="AK3" s="1660"/>
      <c r="AL3" s="1660"/>
      <c r="AM3" s="1660"/>
      <c r="AN3" s="1660"/>
      <c r="AO3" s="1660"/>
      <c r="AP3" s="1660"/>
      <c r="AQ3" s="1660"/>
      <c r="AR3" s="1660"/>
      <c r="AS3" s="1660"/>
      <c r="AT3" s="1660"/>
      <c r="AU3" s="1660"/>
      <c r="AV3" s="1660"/>
      <c r="AW3" s="1660"/>
      <c r="AX3" s="1660"/>
      <c r="AY3" s="1660"/>
      <c r="AZ3" s="1660"/>
      <c r="BA3" s="1660"/>
      <c r="BB3" s="1660"/>
      <c r="BC3" s="1660"/>
      <c r="BD3" s="1660"/>
      <c r="BE3" s="1660"/>
      <c r="BF3" s="1660"/>
      <c r="BG3" s="1660"/>
      <c r="BH3" s="1660"/>
      <c r="BI3" s="1660"/>
      <c r="BJ3" s="1660"/>
      <c r="BK3" s="1660"/>
      <c r="BL3" s="1660"/>
      <c r="BM3" s="1662"/>
      <c r="BN3" s="1662"/>
      <c r="BO3" s="1662"/>
      <c r="BP3" s="1662"/>
      <c r="BQ3" s="1662"/>
      <c r="BR3" s="1662"/>
      <c r="BS3" s="1662"/>
      <c r="BT3" s="1662"/>
      <c r="BU3" s="1662"/>
      <c r="BV3" s="1662"/>
      <c r="BW3" s="1662"/>
      <c r="BX3" s="1662"/>
      <c r="BY3" s="1662"/>
      <c r="BZ3" s="1662"/>
      <c r="CA3" s="1662"/>
      <c r="CB3" s="1662"/>
      <c r="CC3" s="1662"/>
      <c r="CD3" s="1662"/>
      <c r="CE3" s="1662"/>
      <c r="CF3" s="1662"/>
      <c r="CG3" s="1662"/>
      <c r="CH3" s="1662"/>
      <c r="CI3" s="1662"/>
      <c r="CJ3" s="1662"/>
      <c r="CK3" s="1662"/>
      <c r="CL3" s="1662"/>
      <c r="CM3" s="1662"/>
      <c r="CN3" s="1662"/>
      <c r="CO3" s="1662"/>
      <c r="CP3" s="1662"/>
    </row>
    <row r="4" spans="1:94">
      <c r="A4" s="1666"/>
      <c r="B4" s="1667" t="s">
        <v>69</v>
      </c>
      <c r="C4" s="1666"/>
      <c r="D4" s="1668"/>
      <c r="E4" s="1669"/>
      <c r="F4" s="1669"/>
      <c r="G4" s="1669"/>
      <c r="H4" s="1669"/>
      <c r="I4" s="1669"/>
      <c r="J4" s="1669"/>
      <c r="K4" s="1669"/>
      <c r="L4" s="1669"/>
      <c r="M4" s="1669"/>
      <c r="N4" s="1669"/>
      <c r="O4" s="1669"/>
      <c r="P4" s="1669"/>
      <c r="Q4" s="1669"/>
      <c r="R4" s="1669"/>
      <c r="S4" s="1669"/>
      <c r="T4" s="1669"/>
      <c r="U4" s="1669"/>
      <c r="V4" s="1669"/>
      <c r="W4" s="1669"/>
      <c r="X4" s="1669"/>
      <c r="Y4" s="1669"/>
      <c r="Z4" s="1669"/>
      <c r="AA4" s="1669"/>
      <c r="AB4" s="1669"/>
      <c r="AC4" s="1669"/>
      <c r="AD4" s="1669"/>
      <c r="AE4" s="1669"/>
      <c r="AF4" s="1669"/>
      <c r="AG4" s="1669"/>
      <c r="AH4" s="1669"/>
      <c r="AI4" s="1669"/>
      <c r="AJ4" s="1669"/>
      <c r="AK4" s="1669"/>
      <c r="AL4" s="1669"/>
      <c r="AM4" s="1669"/>
      <c r="AN4" s="1669"/>
      <c r="AO4" s="1669"/>
      <c r="AP4" s="1669"/>
      <c r="AQ4" s="1669"/>
      <c r="AR4" s="1669"/>
      <c r="AS4" s="1669"/>
      <c r="AT4" s="1669"/>
      <c r="AU4" s="1669"/>
      <c r="AV4" s="1669"/>
      <c r="AW4" s="1669"/>
      <c r="AX4" s="1669"/>
      <c r="AY4" s="1669"/>
      <c r="AZ4" s="1669"/>
      <c r="BA4" s="1669"/>
      <c r="BB4" s="1669"/>
      <c r="BC4" s="1669"/>
      <c r="BD4" s="1669"/>
      <c r="BE4" s="1669"/>
      <c r="BF4" s="1669"/>
      <c r="BG4" s="1669"/>
      <c r="BH4" s="1669"/>
      <c r="BI4" s="1669"/>
      <c r="BJ4" s="1669"/>
      <c r="BK4" s="1669"/>
      <c r="BL4" s="1669"/>
      <c r="BM4" s="1670"/>
      <c r="BN4" s="1670"/>
      <c r="BO4" s="1670"/>
      <c r="BP4" s="1670"/>
      <c r="BQ4" s="1670"/>
      <c r="BR4" s="1670"/>
      <c r="BS4" s="1670"/>
      <c r="BT4" s="1670"/>
      <c r="BU4" s="1670"/>
      <c r="BV4" s="1670"/>
      <c r="BW4" s="1670"/>
      <c r="BX4" s="1670"/>
      <c r="BY4" s="1670"/>
      <c r="BZ4" s="1670"/>
      <c r="CA4" s="1670"/>
      <c r="CB4" s="1670"/>
      <c r="CC4" s="1670"/>
      <c r="CD4" s="1670"/>
      <c r="CE4" s="1670"/>
      <c r="CF4" s="1670"/>
      <c r="CG4" s="1670"/>
      <c r="CH4" s="1670"/>
      <c r="CI4" s="1670"/>
      <c r="CJ4" s="1670"/>
      <c r="CK4" s="1670"/>
      <c r="CL4" s="1670"/>
      <c r="CM4" s="1670"/>
      <c r="CN4" s="1670"/>
      <c r="CO4" s="1670"/>
      <c r="CP4" s="1670"/>
    </row>
    <row r="5" spans="1:94">
      <c r="A5" s="890"/>
      <c r="B5" s="1671" t="s">
        <v>504</v>
      </c>
      <c r="C5" s="1672"/>
      <c r="D5" s="1673"/>
      <c r="E5" s="1674" t="s">
        <v>324</v>
      </c>
      <c r="F5" s="1675" t="s">
        <v>325</v>
      </c>
      <c r="G5" s="1675" t="s">
        <v>326</v>
      </c>
      <c r="H5" s="1676" t="s">
        <v>327</v>
      </c>
      <c r="I5" s="1677" t="s">
        <v>112</v>
      </c>
      <c r="J5" s="1674" t="s">
        <v>268</v>
      </c>
      <c r="K5" s="1675" t="s">
        <v>269</v>
      </c>
      <c r="L5" s="1675" t="s">
        <v>270</v>
      </c>
      <c r="M5" s="1676" t="s">
        <v>271</v>
      </c>
      <c r="N5" s="1677">
        <v>2011</v>
      </c>
      <c r="O5" s="1674" t="s">
        <v>616</v>
      </c>
      <c r="P5" s="1675" t="s">
        <v>1201</v>
      </c>
      <c r="Q5" s="1675" t="s">
        <v>1251</v>
      </c>
      <c r="R5" s="1676" t="s">
        <v>1252</v>
      </c>
      <c r="S5" s="1678" t="s">
        <v>1253</v>
      </c>
      <c r="T5" s="1674" t="s">
        <v>674</v>
      </c>
      <c r="U5" s="1675" t="s">
        <v>673</v>
      </c>
      <c r="V5" s="1675" t="s">
        <v>919</v>
      </c>
      <c r="W5" s="1676" t="s">
        <v>920</v>
      </c>
      <c r="X5" s="1678" t="s">
        <v>921</v>
      </c>
      <c r="Y5" s="1674" t="s">
        <v>1218</v>
      </c>
      <c r="Z5" s="1675" t="s">
        <v>1211</v>
      </c>
      <c r="AA5" s="1675" t="s">
        <v>1344</v>
      </c>
      <c r="AB5" s="1676" t="s">
        <v>1345</v>
      </c>
      <c r="AC5" s="1678" t="s">
        <v>1343</v>
      </c>
      <c r="AD5" s="1674" t="s">
        <v>1409</v>
      </c>
      <c r="AE5" s="1675" t="s">
        <v>1405</v>
      </c>
      <c r="AF5" s="1675" t="s">
        <v>1406</v>
      </c>
      <c r="AG5" s="1676" t="s">
        <v>1407</v>
      </c>
      <c r="AH5" s="1678" t="s">
        <v>1410</v>
      </c>
      <c r="AI5" s="1674" t="s">
        <v>1436</v>
      </c>
      <c r="AJ5" s="555" t="s">
        <v>1439</v>
      </c>
      <c r="AK5" s="555" t="s">
        <v>1480</v>
      </c>
      <c r="AL5" s="556" t="s">
        <v>1501</v>
      </c>
      <c r="AM5" s="558" t="s">
        <v>1502</v>
      </c>
      <c r="AN5" s="1674" t="s">
        <v>1515</v>
      </c>
      <c r="AO5" s="1675" t="s">
        <v>1534</v>
      </c>
      <c r="AP5" s="1675" t="s">
        <v>1536</v>
      </c>
      <c r="AQ5" s="556" t="s">
        <v>1538</v>
      </c>
      <c r="AR5" s="558" t="s">
        <v>1539</v>
      </c>
      <c r="AS5" s="1674" t="s">
        <v>926</v>
      </c>
      <c r="AT5" s="1675" t="s">
        <v>927</v>
      </c>
      <c r="AU5" s="1675" t="s">
        <v>928</v>
      </c>
      <c r="AV5" s="1676" t="s">
        <v>929</v>
      </c>
      <c r="AW5" s="1678" t="s">
        <v>935</v>
      </c>
      <c r="AX5" s="554" t="s">
        <v>1361</v>
      </c>
      <c r="AY5" s="555" t="s">
        <v>1362</v>
      </c>
      <c r="AZ5" s="555" t="s">
        <v>1363</v>
      </c>
      <c r="BA5" s="556" t="s">
        <v>1364</v>
      </c>
      <c r="BB5" s="558">
        <v>2019</v>
      </c>
      <c r="BC5" s="554" t="s">
        <v>1365</v>
      </c>
      <c r="BD5" s="555" t="s">
        <v>1366</v>
      </c>
      <c r="BE5" s="555" t="s">
        <v>1367</v>
      </c>
      <c r="BF5" s="556" t="s">
        <v>1368</v>
      </c>
      <c r="BG5" s="558">
        <v>2020</v>
      </c>
      <c r="BH5" s="554" t="s">
        <v>1516</v>
      </c>
      <c r="BI5" s="555" t="s">
        <v>1517</v>
      </c>
      <c r="BJ5" s="555" t="s">
        <v>1518</v>
      </c>
      <c r="BK5" s="556" t="s">
        <v>1519</v>
      </c>
      <c r="BL5" s="558">
        <v>2021</v>
      </c>
      <c r="BM5" s="1679"/>
      <c r="BN5" s="1679"/>
      <c r="BO5" s="1679"/>
      <c r="BP5" s="1679"/>
      <c r="BQ5" s="1679"/>
      <c r="BR5" s="1679"/>
      <c r="BS5" s="1679"/>
      <c r="BT5" s="1679"/>
      <c r="BU5" s="1679"/>
      <c r="BV5" s="1679"/>
      <c r="BW5" s="1679"/>
      <c r="BX5" s="1679"/>
      <c r="BY5" s="1679"/>
      <c r="BZ5" s="1679"/>
      <c r="CA5" s="1679"/>
      <c r="CB5" s="1679"/>
      <c r="CC5" s="1679"/>
      <c r="CD5" s="1679"/>
      <c r="CE5" s="1679"/>
      <c r="CF5" s="1679"/>
      <c r="CG5" s="1679"/>
      <c r="CH5" s="1679"/>
      <c r="CI5" s="1679"/>
      <c r="CJ5" s="1679"/>
      <c r="CK5" s="1679"/>
      <c r="CL5" s="1679"/>
      <c r="CM5" s="1679"/>
      <c r="CN5" s="1679"/>
      <c r="CO5" s="1679"/>
      <c r="CP5" s="1679"/>
    </row>
    <row r="6" spans="1:94">
      <c r="A6" s="890"/>
      <c r="B6" s="890"/>
      <c r="C6" s="890"/>
      <c r="D6" s="890"/>
      <c r="E6" s="290"/>
      <c r="F6" s="260"/>
      <c r="G6" s="260"/>
      <c r="H6" s="291"/>
      <c r="I6" s="774"/>
      <c r="J6" s="290"/>
      <c r="K6" s="260"/>
      <c r="L6" s="260"/>
      <c r="M6" s="291"/>
      <c r="N6" s="774"/>
      <c r="O6" s="290"/>
      <c r="P6" s="260"/>
      <c r="Q6" s="260"/>
      <c r="R6" s="291"/>
      <c r="S6" s="774"/>
      <c r="T6" s="290"/>
      <c r="U6" s="260"/>
      <c r="V6" s="260"/>
      <c r="W6" s="291"/>
      <c r="X6" s="774"/>
      <c r="Y6" s="290"/>
      <c r="Z6" s="260"/>
      <c r="AA6" s="260"/>
      <c r="AB6" s="291"/>
      <c r="AC6" s="774"/>
      <c r="AD6" s="290"/>
      <c r="AE6" s="260"/>
      <c r="AF6" s="260"/>
      <c r="AG6" s="291"/>
      <c r="AH6" s="774"/>
      <c r="AI6" s="290"/>
      <c r="AJ6" s="260"/>
      <c r="AK6" s="260"/>
      <c r="AL6" s="291"/>
      <c r="AM6" s="774"/>
      <c r="AN6" s="290"/>
      <c r="AO6" s="260"/>
      <c r="AP6" s="260"/>
      <c r="AQ6" s="291"/>
      <c r="AR6" s="774"/>
      <c r="AS6" s="290"/>
      <c r="AT6" s="260"/>
      <c r="AU6" s="260"/>
      <c r="AV6" s="291"/>
      <c r="AW6" s="774"/>
      <c r="AX6" s="290"/>
      <c r="AY6" s="260"/>
      <c r="AZ6" s="260"/>
      <c r="BA6" s="291"/>
      <c r="BB6" s="774"/>
      <c r="BC6" s="290"/>
      <c r="BD6" s="260"/>
      <c r="BE6" s="260"/>
      <c r="BF6" s="291"/>
      <c r="BG6" s="774"/>
      <c r="BH6" s="290"/>
      <c r="BI6" s="260"/>
      <c r="BJ6" s="260"/>
      <c r="BK6" s="291"/>
      <c r="BL6" s="774"/>
      <c r="BM6" s="1680"/>
      <c r="BN6" s="1680"/>
      <c r="BO6" s="1680"/>
      <c r="BP6" s="1680"/>
      <c r="BQ6" s="1680"/>
      <c r="BR6" s="1680"/>
      <c r="BS6" s="1680"/>
      <c r="BT6" s="1680"/>
      <c r="BU6" s="1680"/>
      <c r="BV6" s="1680"/>
      <c r="BW6" s="1680"/>
      <c r="BX6" s="1680"/>
      <c r="BY6" s="1680"/>
      <c r="BZ6" s="1680"/>
      <c r="CA6" s="1680"/>
      <c r="CB6" s="1680"/>
      <c r="CC6" s="1680"/>
      <c r="CD6" s="1680"/>
      <c r="CE6" s="1680"/>
      <c r="CF6" s="1680"/>
      <c r="CG6" s="1680"/>
      <c r="CH6" s="1680"/>
      <c r="CI6" s="1680"/>
      <c r="CJ6" s="1680"/>
      <c r="CK6" s="1680"/>
      <c r="CL6" s="1680"/>
      <c r="CM6" s="1680"/>
      <c r="CN6" s="1680"/>
      <c r="CO6" s="1680"/>
      <c r="CP6" s="1680"/>
    </row>
    <row r="7" spans="1:94">
      <c r="A7" s="890"/>
      <c r="B7" s="1681" t="s">
        <v>277</v>
      </c>
      <c r="C7" s="1682"/>
      <c r="D7" s="1683"/>
      <c r="E7" s="290"/>
      <c r="F7" s="260"/>
      <c r="G7" s="260"/>
      <c r="H7" s="291"/>
      <c r="I7" s="45"/>
      <c r="J7" s="290"/>
      <c r="K7" s="260"/>
      <c r="L7" s="260"/>
      <c r="M7" s="291"/>
      <c r="N7" s="774"/>
      <c r="O7" s="290"/>
      <c r="P7" s="260"/>
      <c r="Q7" s="260"/>
      <c r="R7" s="291"/>
      <c r="S7" s="774"/>
      <c r="T7" s="290"/>
      <c r="U7" s="260"/>
      <c r="V7" s="260"/>
      <c r="W7" s="291"/>
      <c r="X7" s="774"/>
      <c r="Y7" s="290"/>
      <c r="Z7" s="260"/>
      <c r="AA7" s="260"/>
      <c r="AB7" s="291"/>
      <c r="AC7" s="774"/>
      <c r="AD7" s="290"/>
      <c r="AE7" s="260"/>
      <c r="AF7" s="260"/>
      <c r="AG7" s="291"/>
      <c r="AH7" s="774"/>
      <c r="AI7" s="290"/>
      <c r="AJ7" s="260"/>
      <c r="AK7" s="260"/>
      <c r="AL7" s="291"/>
      <c r="AM7" s="774"/>
      <c r="AN7" s="290"/>
      <c r="AO7" s="260"/>
      <c r="AP7" s="260"/>
      <c r="AQ7" s="291"/>
      <c r="AR7" s="774"/>
      <c r="AS7" s="290"/>
      <c r="AT7" s="260"/>
      <c r="AU7" s="260"/>
      <c r="AV7" s="291"/>
      <c r="AW7" s="774"/>
      <c r="AX7" s="290"/>
      <c r="AY7" s="260"/>
      <c r="AZ7" s="260"/>
      <c r="BA7" s="291"/>
      <c r="BB7" s="774"/>
      <c r="BC7" s="290"/>
      <c r="BD7" s="260"/>
      <c r="BE7" s="260"/>
      <c r="BF7" s="291"/>
      <c r="BG7" s="774"/>
      <c r="BH7" s="290"/>
      <c r="BI7" s="260"/>
      <c r="BJ7" s="260"/>
      <c r="BK7" s="291"/>
      <c r="BL7" s="774"/>
      <c r="BM7" s="1680"/>
      <c r="BN7" s="1680"/>
      <c r="BO7" s="1680"/>
      <c r="BP7" s="1680"/>
      <c r="BQ7" s="1680"/>
      <c r="BR7" s="1680"/>
      <c r="BS7" s="1680"/>
      <c r="BT7" s="1680"/>
      <c r="BU7" s="1680"/>
      <c r="BV7" s="1680"/>
      <c r="BW7" s="1680"/>
      <c r="BX7" s="1680"/>
      <c r="BY7" s="1680"/>
      <c r="BZ7" s="1680"/>
      <c r="CA7" s="1680"/>
      <c r="CB7" s="1680"/>
      <c r="CC7" s="1680"/>
      <c r="CD7" s="1680"/>
      <c r="CE7" s="1680"/>
      <c r="CF7" s="1680"/>
      <c r="CG7" s="1680"/>
      <c r="CH7" s="1680"/>
      <c r="CI7" s="1680"/>
      <c r="CJ7" s="1680"/>
      <c r="CK7" s="1680"/>
      <c r="CL7" s="1680"/>
      <c r="CM7" s="1680"/>
      <c r="CN7" s="1680"/>
      <c r="CO7" s="1680"/>
      <c r="CP7" s="1680"/>
    </row>
    <row r="8" spans="1:94" s="1685" customFormat="1">
      <c r="A8" s="339"/>
      <c r="B8" s="339"/>
      <c r="C8" s="895" t="s">
        <v>60</v>
      </c>
      <c r="D8" s="339"/>
      <c r="E8" s="337"/>
      <c r="F8" s="338"/>
      <c r="G8" s="338"/>
      <c r="H8" s="1684"/>
      <c r="I8" s="339">
        <v>2288</v>
      </c>
      <c r="J8" s="337">
        <v>534</v>
      </c>
      <c r="K8" s="338">
        <v>506</v>
      </c>
      <c r="L8" s="338">
        <v>603</v>
      </c>
      <c r="M8" s="586">
        <f>N8-SUM(J8:L8)</f>
        <v>435</v>
      </c>
      <c r="N8" s="339">
        <v>2078</v>
      </c>
      <c r="O8" s="337">
        <v>465</v>
      </c>
      <c r="P8" s="338">
        <v>456</v>
      </c>
      <c r="Q8" s="338">
        <v>582</v>
      </c>
      <c r="R8" s="586">
        <f>S8-SUM(O8:Q8)</f>
        <v>445</v>
      </c>
      <c r="S8" s="339">
        <v>1948</v>
      </c>
      <c r="T8" s="337">
        <v>477</v>
      </c>
      <c r="U8" s="338">
        <v>469</v>
      </c>
      <c r="V8" s="338">
        <v>605</v>
      </c>
      <c r="W8" s="586">
        <f>X8-SUM(T8:V8)</f>
        <v>475</v>
      </c>
      <c r="X8" s="339">
        <v>2026</v>
      </c>
      <c r="Y8" s="337">
        <v>535</v>
      </c>
      <c r="Z8" s="338">
        <v>508</v>
      </c>
      <c r="AA8" s="338">
        <v>587</v>
      </c>
      <c r="AB8" s="586">
        <f>AC8-SUM(Y8:AA8)</f>
        <v>471</v>
      </c>
      <c r="AC8" s="339">
        <v>2101</v>
      </c>
      <c r="AD8" s="337">
        <v>556</v>
      </c>
      <c r="AE8" s="338">
        <v>518</v>
      </c>
      <c r="AF8" s="338">
        <v>612</v>
      </c>
      <c r="AG8" s="586">
        <f>AH8-SUM(AD8:AF8)</f>
        <v>503</v>
      </c>
      <c r="AH8" s="2056">
        <v>2189</v>
      </c>
      <c r="AI8" s="337">
        <v>551</v>
      </c>
      <c r="AJ8" s="338">
        <v>509</v>
      </c>
      <c r="AK8" s="338">
        <v>635</v>
      </c>
      <c r="AL8" s="586">
        <f>AM8-SUM(AI8:AK8)</f>
        <v>491</v>
      </c>
      <c r="AM8" s="2056">
        <v>2186</v>
      </c>
      <c r="AN8" s="337">
        <v>530</v>
      </c>
      <c r="AO8" s="338">
        <v>514</v>
      </c>
      <c r="AP8" s="338">
        <v>604</v>
      </c>
      <c r="AQ8" s="586">
        <f>AR8-SUM(AN8:AP8)</f>
        <v>510</v>
      </c>
      <c r="AR8" s="2056">
        <v>2158</v>
      </c>
      <c r="AS8" s="290">
        <f t="shared" ref="AS8:AW8" si="0">+AS62</f>
        <v>521.14394213381559</v>
      </c>
      <c r="AT8" s="260">
        <f t="shared" si="0"/>
        <v>505.14394213381553</v>
      </c>
      <c r="AU8" s="260">
        <f t="shared" si="0"/>
        <v>595.96894213381552</v>
      </c>
      <c r="AV8" s="291">
        <f t="shared" si="0"/>
        <v>501.96894213381557</v>
      </c>
      <c r="AW8" s="45">
        <f t="shared" si="0"/>
        <v>2124.2257685352624</v>
      </c>
      <c r="AX8" s="290">
        <f t="shared" ref="AX8:BG8" si="1">+AX62</f>
        <v>526.32021188877593</v>
      </c>
      <c r="AY8" s="260">
        <f t="shared" si="1"/>
        <v>510.32021188877582</v>
      </c>
      <c r="AZ8" s="260">
        <f t="shared" si="1"/>
        <v>612.85646188877593</v>
      </c>
      <c r="BA8" s="291">
        <f t="shared" si="1"/>
        <v>518.85646188877593</v>
      </c>
      <c r="BB8" s="45">
        <f t="shared" si="1"/>
        <v>2168.3533475551035</v>
      </c>
      <c r="BC8" s="290">
        <f t="shared" si="1"/>
        <v>533.52030080286079</v>
      </c>
      <c r="BD8" s="260">
        <f t="shared" si="1"/>
        <v>517.52030080286067</v>
      </c>
      <c r="BE8" s="260">
        <f t="shared" si="1"/>
        <v>621.30655080286067</v>
      </c>
      <c r="BF8" s="291">
        <f t="shared" si="1"/>
        <v>527.30655080286078</v>
      </c>
      <c r="BG8" s="45">
        <f t="shared" si="1"/>
        <v>2199.6537032114429</v>
      </c>
      <c r="BH8" s="290">
        <f t="shared" ref="BH8:BL8" si="2">+BH62</f>
        <v>547.08436347957377</v>
      </c>
      <c r="BI8" s="260">
        <f t="shared" si="2"/>
        <v>531.08436347957377</v>
      </c>
      <c r="BJ8" s="260">
        <f t="shared" si="2"/>
        <v>633.62061347957365</v>
      </c>
      <c r="BK8" s="291">
        <f t="shared" si="2"/>
        <v>539.62061347957376</v>
      </c>
      <c r="BL8" s="45">
        <f t="shared" si="2"/>
        <v>2251.4099539182948</v>
      </c>
      <c r="BM8" s="339"/>
      <c r="BN8" s="339"/>
      <c r="BO8" s="339"/>
      <c r="BP8" s="339"/>
      <c r="BQ8" s="339"/>
      <c r="BR8" s="339"/>
      <c r="BS8" s="339"/>
      <c r="BT8" s="339"/>
      <c r="BU8" s="339"/>
      <c r="BV8" s="339"/>
      <c r="BW8" s="339"/>
      <c r="BX8" s="339"/>
      <c r="BY8" s="339"/>
      <c r="BZ8" s="339"/>
      <c r="CA8" s="339"/>
      <c r="CB8" s="339"/>
      <c r="CC8" s="339"/>
      <c r="CD8" s="339"/>
      <c r="CE8" s="339"/>
      <c r="CF8" s="339"/>
      <c r="CG8" s="339"/>
      <c r="CH8" s="339"/>
      <c r="CI8" s="339"/>
      <c r="CJ8" s="339"/>
      <c r="CK8" s="339"/>
      <c r="CL8" s="339"/>
      <c r="CM8" s="339"/>
      <c r="CN8" s="339"/>
      <c r="CO8" s="339"/>
      <c r="CP8" s="339"/>
    </row>
    <row r="9" spans="1:94" s="1686" customFormat="1">
      <c r="A9" s="45"/>
      <c r="B9" s="45"/>
      <c r="C9" s="895" t="s">
        <v>723</v>
      </c>
      <c r="D9" s="45"/>
      <c r="E9" s="290"/>
      <c r="F9" s="260"/>
      <c r="G9" s="260"/>
      <c r="H9" s="291"/>
      <c r="I9" s="339">
        <v>1152</v>
      </c>
      <c r="J9" s="337">
        <v>255</v>
      </c>
      <c r="K9" s="338">
        <v>218</v>
      </c>
      <c r="L9" s="338">
        <v>258</v>
      </c>
      <c r="M9" s="586">
        <f>N9-SUM(J9:L9)</f>
        <v>162</v>
      </c>
      <c r="N9" s="339">
        <v>893</v>
      </c>
      <c r="O9" s="337">
        <v>185</v>
      </c>
      <c r="P9" s="338">
        <v>160</v>
      </c>
      <c r="Q9" s="338">
        <v>227</v>
      </c>
      <c r="R9" s="586">
        <f>S9-SUM(O9:Q9)</f>
        <v>154</v>
      </c>
      <c r="S9" s="339">
        <v>726</v>
      </c>
      <c r="T9" s="337">
        <v>192</v>
      </c>
      <c r="U9" s="338">
        <v>157</v>
      </c>
      <c r="V9" s="338">
        <v>227</v>
      </c>
      <c r="W9" s="586">
        <f>X9-SUM(T9:V9)</f>
        <v>174</v>
      </c>
      <c r="X9" s="339">
        <v>750</v>
      </c>
      <c r="Y9" s="337">
        <v>230</v>
      </c>
      <c r="Z9" s="338">
        <v>177</v>
      </c>
      <c r="AA9" s="338">
        <v>205</v>
      </c>
      <c r="AB9" s="586">
        <f>AC9-SUM(Y9:AA9)</f>
        <v>159</v>
      </c>
      <c r="AC9" s="339">
        <v>771</v>
      </c>
      <c r="AD9" s="337">
        <v>221</v>
      </c>
      <c r="AE9" s="338">
        <v>172</v>
      </c>
      <c r="AF9" s="338">
        <v>213</v>
      </c>
      <c r="AG9" s="586">
        <f>AH9-SUM(AD9:AF9)</f>
        <v>157</v>
      </c>
      <c r="AH9" s="2056">
        <v>763</v>
      </c>
      <c r="AI9" s="337">
        <f>191+6</f>
        <v>197</v>
      </c>
      <c r="AJ9" s="338">
        <f>64+88</f>
        <v>152</v>
      </c>
      <c r="AK9" s="338">
        <f>129+84</f>
        <v>213</v>
      </c>
      <c r="AL9" s="586">
        <f>AM9-SUM(AI9:AK9)</f>
        <v>144</v>
      </c>
      <c r="AM9" s="2056">
        <f>411+295</f>
        <v>706</v>
      </c>
      <c r="AN9" s="337">
        <f>83+83</f>
        <v>166</v>
      </c>
      <c r="AO9" s="338">
        <f>74+69</f>
        <v>143</v>
      </c>
      <c r="AP9" s="338">
        <f>111+57</f>
        <v>168</v>
      </c>
      <c r="AQ9" s="586">
        <f>AR9-SUM(AN9:AP9)</f>
        <v>137</v>
      </c>
      <c r="AR9" s="2056">
        <f>359+255</f>
        <v>614</v>
      </c>
      <c r="AS9" s="290">
        <f>+AS71</f>
        <v>166</v>
      </c>
      <c r="AT9" s="260">
        <f>+AT71</f>
        <v>143</v>
      </c>
      <c r="AU9" s="260">
        <f>+AU71</f>
        <v>168</v>
      </c>
      <c r="AV9" s="291">
        <f>+AV71</f>
        <v>137</v>
      </c>
      <c r="AW9" s="45">
        <f>+SUM(AS9:AV9)</f>
        <v>614</v>
      </c>
      <c r="AX9" s="290">
        <f>+AX71</f>
        <v>166</v>
      </c>
      <c r="AY9" s="260">
        <f>+AY71</f>
        <v>143</v>
      </c>
      <c r="AZ9" s="260">
        <f>+AZ71</f>
        <v>168</v>
      </c>
      <c r="BA9" s="291">
        <f>+BA71</f>
        <v>137</v>
      </c>
      <c r="BB9" s="45">
        <f>+SUM(AX9:BA9)</f>
        <v>614</v>
      </c>
      <c r="BC9" s="290">
        <f>+BC71</f>
        <v>166</v>
      </c>
      <c r="BD9" s="260">
        <f>+BD71</f>
        <v>143</v>
      </c>
      <c r="BE9" s="260">
        <f>+BE71</f>
        <v>168</v>
      </c>
      <c r="BF9" s="291">
        <f>+BF71</f>
        <v>137</v>
      </c>
      <c r="BG9" s="45">
        <f>+SUM(BC9:BF9)</f>
        <v>614</v>
      </c>
      <c r="BH9" s="290">
        <f>+BH71</f>
        <v>166</v>
      </c>
      <c r="BI9" s="260">
        <f>+BI71</f>
        <v>143</v>
      </c>
      <c r="BJ9" s="260">
        <f>+BJ71</f>
        <v>168</v>
      </c>
      <c r="BK9" s="291">
        <f>+BK71</f>
        <v>137</v>
      </c>
      <c r="BL9" s="45">
        <f>+SUM(BH9:BK9)</f>
        <v>614</v>
      </c>
      <c r="BW9" s="45"/>
      <c r="BX9" s="45"/>
      <c r="BY9" s="45"/>
      <c r="BZ9" s="45"/>
      <c r="CA9" s="45"/>
      <c r="CB9" s="45"/>
      <c r="CC9" s="45"/>
      <c r="CD9" s="45"/>
      <c r="CE9" s="45"/>
      <c r="CF9" s="45"/>
      <c r="CG9" s="45"/>
      <c r="CH9" s="45"/>
      <c r="CI9" s="45"/>
      <c r="CJ9" s="45"/>
      <c r="CK9" s="45"/>
      <c r="CL9" s="45"/>
      <c r="CM9" s="45"/>
      <c r="CN9" s="45"/>
      <c r="CO9" s="45"/>
      <c r="CP9" s="45"/>
    </row>
    <row r="10" spans="1:94">
      <c r="A10" s="228"/>
      <c r="B10" s="228"/>
      <c r="C10" s="909" t="s">
        <v>63</v>
      </c>
      <c r="D10" s="228"/>
      <c r="E10" s="292"/>
      <c r="F10" s="261"/>
      <c r="G10" s="261"/>
      <c r="H10" s="293"/>
      <c r="I10" s="228">
        <f t="shared" ref="I10:AW10" si="3">+I8-I9</f>
        <v>1136</v>
      </c>
      <c r="J10" s="292">
        <f t="shared" si="3"/>
        <v>279</v>
      </c>
      <c r="K10" s="261">
        <f t="shared" si="3"/>
        <v>288</v>
      </c>
      <c r="L10" s="261">
        <f t="shared" si="3"/>
        <v>345</v>
      </c>
      <c r="M10" s="293">
        <f t="shared" si="3"/>
        <v>273</v>
      </c>
      <c r="N10" s="228">
        <f t="shared" si="3"/>
        <v>1185</v>
      </c>
      <c r="O10" s="292">
        <f t="shared" si="3"/>
        <v>280</v>
      </c>
      <c r="P10" s="261">
        <f t="shared" si="3"/>
        <v>296</v>
      </c>
      <c r="Q10" s="261">
        <f t="shared" si="3"/>
        <v>355</v>
      </c>
      <c r="R10" s="293">
        <f t="shared" si="3"/>
        <v>291</v>
      </c>
      <c r="S10" s="228">
        <f t="shared" si="3"/>
        <v>1222</v>
      </c>
      <c r="T10" s="292">
        <f t="shared" si="3"/>
        <v>285</v>
      </c>
      <c r="U10" s="261">
        <f t="shared" si="3"/>
        <v>312</v>
      </c>
      <c r="V10" s="261">
        <f t="shared" si="3"/>
        <v>378</v>
      </c>
      <c r="W10" s="293">
        <f t="shared" si="3"/>
        <v>301</v>
      </c>
      <c r="X10" s="228">
        <f t="shared" si="3"/>
        <v>1276</v>
      </c>
      <c r="Y10" s="292">
        <f t="shared" si="3"/>
        <v>305</v>
      </c>
      <c r="Z10" s="261">
        <f t="shared" si="3"/>
        <v>331</v>
      </c>
      <c r="AA10" s="261">
        <f t="shared" ref="AA10:AE10" si="4">+AA8-AA9</f>
        <v>382</v>
      </c>
      <c r="AB10" s="293">
        <f t="shared" si="4"/>
        <v>312</v>
      </c>
      <c r="AC10" s="228">
        <f t="shared" si="4"/>
        <v>1330</v>
      </c>
      <c r="AD10" s="292">
        <f t="shared" si="4"/>
        <v>335</v>
      </c>
      <c r="AE10" s="261">
        <f t="shared" si="4"/>
        <v>346</v>
      </c>
      <c r="AF10" s="261">
        <f t="shared" ref="AF10:AJ10" si="5">+AF8-AF9</f>
        <v>399</v>
      </c>
      <c r="AG10" s="293">
        <f t="shared" si="5"/>
        <v>346</v>
      </c>
      <c r="AH10" s="228">
        <f t="shared" si="5"/>
        <v>1426</v>
      </c>
      <c r="AI10" s="292">
        <f t="shared" si="5"/>
        <v>354</v>
      </c>
      <c r="AJ10" s="261">
        <f t="shared" si="5"/>
        <v>357</v>
      </c>
      <c r="AK10" s="261">
        <f t="shared" ref="AK10:AO10" si="6">+AK8-AK9</f>
        <v>422</v>
      </c>
      <c r="AL10" s="293">
        <f t="shared" si="6"/>
        <v>347</v>
      </c>
      <c r="AM10" s="228">
        <f t="shared" si="6"/>
        <v>1480</v>
      </c>
      <c r="AN10" s="292">
        <f t="shared" si="6"/>
        <v>364</v>
      </c>
      <c r="AO10" s="261">
        <f t="shared" si="6"/>
        <v>371</v>
      </c>
      <c r="AP10" s="261">
        <f t="shared" si="3"/>
        <v>436</v>
      </c>
      <c r="AQ10" s="293">
        <f t="shared" si="3"/>
        <v>373</v>
      </c>
      <c r="AR10" s="228">
        <f t="shared" si="3"/>
        <v>1544</v>
      </c>
      <c r="AS10" s="292">
        <f t="shared" si="3"/>
        <v>355.14394213381559</v>
      </c>
      <c r="AT10" s="261">
        <f t="shared" si="3"/>
        <v>362.14394213381553</v>
      </c>
      <c r="AU10" s="261">
        <f t="shared" si="3"/>
        <v>427.96894213381552</v>
      </c>
      <c r="AV10" s="293">
        <f t="shared" si="3"/>
        <v>364.96894213381557</v>
      </c>
      <c r="AW10" s="228">
        <f t="shared" si="3"/>
        <v>1510.2257685352624</v>
      </c>
      <c r="AX10" s="292">
        <f t="shared" ref="AX10:BG10" si="7">+AX8-AX9</f>
        <v>360.32021188877593</v>
      </c>
      <c r="AY10" s="261">
        <f t="shared" si="7"/>
        <v>367.32021188877582</v>
      </c>
      <c r="AZ10" s="261">
        <f t="shared" si="7"/>
        <v>444.85646188877593</v>
      </c>
      <c r="BA10" s="293">
        <f t="shared" si="7"/>
        <v>381.85646188877593</v>
      </c>
      <c r="BB10" s="228">
        <f t="shared" si="7"/>
        <v>1554.3533475551035</v>
      </c>
      <c r="BC10" s="292">
        <f t="shared" si="7"/>
        <v>367.52030080286079</v>
      </c>
      <c r="BD10" s="261">
        <f t="shared" si="7"/>
        <v>374.52030080286067</v>
      </c>
      <c r="BE10" s="261">
        <f t="shared" si="7"/>
        <v>453.30655080286067</v>
      </c>
      <c r="BF10" s="293">
        <f t="shared" si="7"/>
        <v>390.30655080286078</v>
      </c>
      <c r="BG10" s="228">
        <f t="shared" si="7"/>
        <v>1585.6537032114429</v>
      </c>
      <c r="BH10" s="292">
        <f t="shared" ref="BH10:BL10" si="8">+BH8-BH9</f>
        <v>381.08436347957377</v>
      </c>
      <c r="BI10" s="261">
        <f t="shared" si="8"/>
        <v>388.08436347957377</v>
      </c>
      <c r="BJ10" s="261">
        <f t="shared" si="8"/>
        <v>465.62061347957365</v>
      </c>
      <c r="BK10" s="293">
        <f t="shared" si="8"/>
        <v>402.62061347957376</v>
      </c>
      <c r="BL10" s="228">
        <f t="shared" si="8"/>
        <v>1637.4099539182948</v>
      </c>
      <c r="BW10" s="228"/>
      <c r="BX10" s="228"/>
      <c r="BY10" s="228"/>
      <c r="BZ10" s="228"/>
      <c r="CA10" s="228"/>
      <c r="CB10" s="228"/>
      <c r="CC10" s="228"/>
      <c r="CD10" s="228"/>
      <c r="CE10" s="228"/>
      <c r="CF10" s="228"/>
      <c r="CG10" s="228"/>
      <c r="CH10" s="228"/>
      <c r="CI10" s="228"/>
      <c r="CJ10" s="228"/>
      <c r="CK10" s="228"/>
      <c r="CL10" s="228"/>
      <c r="CM10" s="228"/>
      <c r="CN10" s="228"/>
      <c r="CO10" s="228"/>
      <c r="CP10" s="228"/>
    </row>
    <row r="11" spans="1:94">
      <c r="A11" s="45"/>
      <c r="B11" s="45"/>
      <c r="C11" s="895"/>
      <c r="D11" s="45"/>
      <c r="E11" s="290"/>
      <c r="F11" s="260"/>
      <c r="G11" s="260"/>
      <c r="H11" s="291"/>
      <c r="I11" s="45"/>
      <c r="J11" s="290"/>
      <c r="K11" s="260"/>
      <c r="L11" s="260"/>
      <c r="M11" s="291"/>
      <c r="N11" s="45"/>
      <c r="O11" s="290"/>
      <c r="P11" s="260"/>
      <c r="Q11" s="260"/>
      <c r="R11" s="291"/>
      <c r="S11" s="45"/>
      <c r="T11" s="290"/>
      <c r="U11" s="260"/>
      <c r="V11" s="260"/>
      <c r="W11" s="291"/>
      <c r="X11" s="45"/>
      <c r="Y11" s="290"/>
      <c r="Z11" s="260"/>
      <c r="AA11" s="260"/>
      <c r="AB11" s="291"/>
      <c r="AC11" s="45"/>
      <c r="AD11" s="290"/>
      <c r="AE11" s="260"/>
      <c r="AF11" s="260"/>
      <c r="AG11" s="291"/>
      <c r="AH11" s="45"/>
      <c r="AI11" s="290"/>
      <c r="AJ11" s="260"/>
      <c r="AK11" s="260"/>
      <c r="AL11" s="291"/>
      <c r="AM11" s="45"/>
      <c r="AN11" s="290"/>
      <c r="AO11" s="260"/>
      <c r="AP11" s="260"/>
      <c r="AQ11" s="291"/>
      <c r="AR11" s="45"/>
      <c r="AS11" s="290"/>
      <c r="AT11" s="260"/>
      <c r="AU11" s="260"/>
      <c r="AV11" s="291"/>
      <c r="AW11" s="45"/>
      <c r="AX11" s="290"/>
      <c r="AY11" s="260"/>
      <c r="AZ11" s="260"/>
      <c r="BA11" s="291"/>
      <c r="BB11" s="45"/>
      <c r="BC11" s="290"/>
      <c r="BD11" s="260"/>
      <c r="BE11" s="260"/>
      <c r="BF11" s="291"/>
      <c r="BG11" s="45"/>
      <c r="BH11" s="290"/>
      <c r="BI11" s="260"/>
      <c r="BJ11" s="260"/>
      <c r="BK11" s="291"/>
      <c r="BL11" s="45"/>
      <c r="BN11" s="2168">
        <v>2015</v>
      </c>
      <c r="BO11" s="2168">
        <v>2020</v>
      </c>
      <c r="BP11" s="2169" t="s">
        <v>1236</v>
      </c>
      <c r="BQ11" s="2169" t="s">
        <v>515</v>
      </c>
      <c r="BR11" s="1909"/>
      <c r="BW11" s="45"/>
      <c r="BX11" s="45"/>
      <c r="BY11" s="45"/>
      <c r="BZ11" s="45"/>
      <c r="CA11" s="45"/>
      <c r="CB11" s="45"/>
      <c r="CC11" s="45"/>
      <c r="CD11" s="45"/>
      <c r="CE11" s="45"/>
      <c r="CF11" s="45"/>
      <c r="CG11" s="45"/>
      <c r="CH11" s="45"/>
      <c r="CI11" s="45"/>
      <c r="CJ11" s="45"/>
      <c r="CK11" s="45"/>
      <c r="CL11" s="45"/>
      <c r="CM11" s="45"/>
      <c r="CN11" s="45"/>
      <c r="CO11" s="45"/>
      <c r="CP11" s="45"/>
    </row>
    <row r="12" spans="1:94">
      <c r="A12" s="45"/>
      <c r="B12" s="45"/>
      <c r="C12" s="895" t="s">
        <v>64</v>
      </c>
      <c r="D12" s="45"/>
      <c r="E12" s="337"/>
      <c r="F12" s="338"/>
      <c r="G12" s="338"/>
      <c r="H12" s="586"/>
      <c r="I12" s="339">
        <v>354</v>
      </c>
      <c r="J12" s="337">
        <v>102</v>
      </c>
      <c r="K12" s="338">
        <v>100</v>
      </c>
      <c r="L12" s="338">
        <v>111</v>
      </c>
      <c r="M12" s="586">
        <f>N12-SUM(J12:L12)</f>
        <v>107</v>
      </c>
      <c r="N12" s="339">
        <v>420</v>
      </c>
      <c r="O12" s="337">
        <v>103</v>
      </c>
      <c r="P12" s="338">
        <v>101</v>
      </c>
      <c r="Q12" s="338">
        <v>97</v>
      </c>
      <c r="R12" s="586">
        <f>S12-SUM(O12:Q12)</f>
        <v>102</v>
      </c>
      <c r="S12" s="339">
        <v>403</v>
      </c>
      <c r="T12" s="337">
        <v>102</v>
      </c>
      <c r="U12" s="338">
        <v>95</v>
      </c>
      <c r="V12" s="338">
        <v>95</v>
      </c>
      <c r="W12" s="586">
        <f>X12-SUM(T12:V12)</f>
        <v>99</v>
      </c>
      <c r="X12" s="339">
        <v>391</v>
      </c>
      <c r="Y12" s="337">
        <v>93</v>
      </c>
      <c r="Z12" s="338">
        <v>91</v>
      </c>
      <c r="AA12" s="338">
        <v>103</v>
      </c>
      <c r="AB12" s="586">
        <f>AC12-SUM(Y12:AA12)</f>
        <v>103</v>
      </c>
      <c r="AC12" s="339">
        <v>390</v>
      </c>
      <c r="AD12" s="337">
        <v>113</v>
      </c>
      <c r="AE12" s="338">
        <v>103</v>
      </c>
      <c r="AF12" s="338">
        <v>112</v>
      </c>
      <c r="AG12" s="586">
        <f>AH12-SUM(AD12:AF12)</f>
        <v>113</v>
      </c>
      <c r="AH12" s="2056">
        <v>441</v>
      </c>
      <c r="AI12" s="337">
        <f>288+2</f>
        <v>290</v>
      </c>
      <c r="AJ12" s="338">
        <f>100+9</f>
        <v>109</v>
      </c>
      <c r="AK12" s="338">
        <f>100+9</f>
        <v>109</v>
      </c>
      <c r="AL12" s="586">
        <f>AM12-SUM(AI12:AK12)</f>
        <v>134</v>
      </c>
      <c r="AM12" s="2056">
        <f>607+35</f>
        <v>642</v>
      </c>
      <c r="AN12" s="337">
        <f>101+12</f>
        <v>113</v>
      </c>
      <c r="AO12" s="338">
        <f>106+14</f>
        <v>120</v>
      </c>
      <c r="AP12" s="338">
        <f>89+14</f>
        <v>103</v>
      </c>
      <c r="AQ12" s="586">
        <f>AR12-SUM(AN12:AP12)</f>
        <v>118</v>
      </c>
      <c r="AR12" s="2056">
        <f>396+58</f>
        <v>454</v>
      </c>
      <c r="AS12" s="290">
        <f>+AS85</f>
        <v>113</v>
      </c>
      <c r="AT12" s="260">
        <f>+AT85</f>
        <v>120</v>
      </c>
      <c r="AU12" s="260">
        <f>+AU85</f>
        <v>103</v>
      </c>
      <c r="AV12" s="291">
        <f>+AV85</f>
        <v>118</v>
      </c>
      <c r="AW12" s="45">
        <f>SUM(AS12:AV12)</f>
        <v>454</v>
      </c>
      <c r="AX12" s="290">
        <f>+AX85</f>
        <v>110.175</v>
      </c>
      <c r="AY12" s="260">
        <f>+AY85</f>
        <v>117</v>
      </c>
      <c r="AZ12" s="260">
        <f>+AZ85</f>
        <v>100.425</v>
      </c>
      <c r="BA12" s="291">
        <f>+BA85</f>
        <v>115.05</v>
      </c>
      <c r="BB12" s="45">
        <f>SUM(AX12:BA12)</f>
        <v>442.65000000000003</v>
      </c>
      <c r="BC12" s="290">
        <f>+BC85</f>
        <v>101.91187500000001</v>
      </c>
      <c r="BD12" s="260">
        <f>+BD85</f>
        <v>108.22500000000001</v>
      </c>
      <c r="BE12" s="260">
        <f>+BE85</f>
        <v>92.893124999999998</v>
      </c>
      <c r="BF12" s="291">
        <f>+BF85</f>
        <v>106.42125</v>
      </c>
      <c r="BG12" s="45">
        <f>SUM(BC12:BF12)</f>
        <v>409.45125000000002</v>
      </c>
      <c r="BH12" s="290">
        <f>+BH85</f>
        <v>96.306721875000008</v>
      </c>
      <c r="BI12" s="260">
        <f>+BI85</f>
        <v>102.27262500000001</v>
      </c>
      <c r="BJ12" s="260">
        <f>+BJ85</f>
        <v>87.784003124999998</v>
      </c>
      <c r="BK12" s="291">
        <f>+BK85</f>
        <v>100.56808124999999</v>
      </c>
      <c r="BL12" s="45">
        <f>SUM(BH12:BK12)</f>
        <v>386.93143124999995</v>
      </c>
      <c r="BM12" s="1791"/>
      <c r="BN12" s="1953">
        <f>AH12+DPL!AH18+ACE!AH12</f>
        <v>1019</v>
      </c>
      <c r="BO12" s="1953">
        <f>BG12+DPL!BG18+ACE!BG12</f>
        <v>983.0264924999999</v>
      </c>
      <c r="BP12" s="2163">
        <f>BN12-BO12</f>
        <v>35.973507500000096</v>
      </c>
      <c r="BQ12" s="2164">
        <v>130</v>
      </c>
      <c r="BR12" s="1953"/>
      <c r="BS12" s="1953"/>
      <c r="BW12" s="45"/>
      <c r="BX12" s="45"/>
      <c r="BY12" s="45"/>
      <c r="BZ12" s="45"/>
      <c r="CA12" s="45"/>
      <c r="CB12" s="45"/>
      <c r="CC12" s="45"/>
      <c r="CD12" s="45"/>
      <c r="CE12" s="45"/>
      <c r="CF12" s="45"/>
      <c r="CG12" s="45"/>
      <c r="CH12" s="45"/>
      <c r="CI12" s="45"/>
      <c r="CJ12" s="45"/>
      <c r="CK12" s="45"/>
      <c r="CL12" s="45"/>
      <c r="CM12" s="45"/>
      <c r="CN12" s="45"/>
      <c r="CO12" s="45"/>
      <c r="CP12" s="45"/>
    </row>
    <row r="13" spans="1:94">
      <c r="A13" s="45"/>
      <c r="B13" s="45"/>
      <c r="C13" s="895" t="s">
        <v>724</v>
      </c>
      <c r="D13" s="45"/>
      <c r="E13" s="337"/>
      <c r="F13" s="338"/>
      <c r="G13" s="338"/>
      <c r="H13" s="586"/>
      <c r="I13" s="339">
        <v>162</v>
      </c>
      <c r="J13" s="337">
        <v>42</v>
      </c>
      <c r="K13" s="338">
        <v>42</v>
      </c>
      <c r="L13" s="338">
        <v>44</v>
      </c>
      <c r="M13" s="586">
        <f>N13-SUM(J13:L13)</f>
        <v>43</v>
      </c>
      <c r="N13" s="339">
        <v>171</v>
      </c>
      <c r="O13" s="337">
        <v>47</v>
      </c>
      <c r="P13" s="338">
        <v>48</v>
      </c>
      <c r="Q13" s="338">
        <v>48</v>
      </c>
      <c r="R13" s="586">
        <f>S13-SUM(O13:Q13)</f>
        <v>47</v>
      </c>
      <c r="S13" s="339">
        <v>190</v>
      </c>
      <c r="T13" s="337">
        <v>47</v>
      </c>
      <c r="U13" s="338">
        <v>49</v>
      </c>
      <c r="V13" s="338">
        <v>51</v>
      </c>
      <c r="W13" s="586">
        <f>X13-SUM(T13:V13)</f>
        <v>49</v>
      </c>
      <c r="X13" s="339">
        <v>196</v>
      </c>
      <c r="Y13" s="337">
        <v>56</v>
      </c>
      <c r="Z13" s="338">
        <v>56</v>
      </c>
      <c r="AA13" s="338">
        <v>59</v>
      </c>
      <c r="AB13" s="586">
        <f>AC13-SUM(Y13:AA13)</f>
        <v>58</v>
      </c>
      <c r="AC13" s="339">
        <v>229</v>
      </c>
      <c r="AD13" s="337">
        <v>65</v>
      </c>
      <c r="AE13" s="338">
        <v>68</v>
      </c>
      <c r="AF13" s="338">
        <v>74</v>
      </c>
      <c r="AG13" s="586">
        <f>AH13-SUM(AD13:AF13)</f>
        <v>70</v>
      </c>
      <c r="AH13" s="2056">
        <v>277</v>
      </c>
      <c r="AI13" s="337">
        <v>75</v>
      </c>
      <c r="AJ13" s="338">
        <v>70</v>
      </c>
      <c r="AK13" s="338">
        <v>76</v>
      </c>
      <c r="AL13" s="586">
        <f>AM13-SUM(AI13:AK13)</f>
        <v>74</v>
      </c>
      <c r="AM13" s="2056">
        <v>295</v>
      </c>
      <c r="AN13" s="337">
        <v>82</v>
      </c>
      <c r="AO13" s="338">
        <v>78</v>
      </c>
      <c r="AP13" s="338">
        <v>82</v>
      </c>
      <c r="AQ13" s="586">
        <f>AR13-SUM(AN13:AP13)</f>
        <v>79</v>
      </c>
      <c r="AR13" s="2056">
        <v>321</v>
      </c>
      <c r="AS13" s="290">
        <f>AS107</f>
        <v>79.976558923175531</v>
      </c>
      <c r="AT13" s="260">
        <f>AT107</f>
        <v>80.38475366476888</v>
      </c>
      <c r="AU13" s="260">
        <f>AU107</f>
        <v>81.844025610649894</v>
      </c>
      <c r="AV13" s="291">
        <f>AV107</f>
        <v>83.282185481862896</v>
      </c>
      <c r="AW13" s="45">
        <f>SUM(AS13:AV13)</f>
        <v>325.48752368045717</v>
      </c>
      <c r="AX13" s="290">
        <f>AX107</f>
        <v>84.699538718184257</v>
      </c>
      <c r="AY13" s="260">
        <f>AY107</f>
        <v>86.096386340428296</v>
      </c>
      <c r="AZ13" s="260">
        <f>AZ107</f>
        <v>87.473025014378692</v>
      </c>
      <c r="BA13" s="291">
        <f>BA107</f>
        <v>88.829747113795236</v>
      </c>
      <c r="BB13" s="45">
        <f>SUM(AX13:BA13)</f>
        <v>347.09869718678652</v>
      </c>
      <c r="BC13" s="290">
        <f>BC107</f>
        <v>90.166840782508757</v>
      </c>
      <c r="BD13" s="260">
        <f>BD107</f>
        <v>90.574609399594323</v>
      </c>
      <c r="BE13" s="260">
        <f>BE107</f>
        <v>92.33856981666824</v>
      </c>
      <c r="BF13" s="291">
        <f>BF107</f>
        <v>94.077010066550699</v>
      </c>
      <c r="BG13" s="45">
        <f>SUM(BC13:BF13)</f>
        <v>367.15703006532203</v>
      </c>
      <c r="BH13" s="290">
        <f>BH107</f>
        <v>95.790299363271245</v>
      </c>
      <c r="BI13" s="260">
        <f>BI107</f>
        <v>96.932813221626702</v>
      </c>
      <c r="BJ13" s="260">
        <f>BJ107</f>
        <v>98.8760524406527</v>
      </c>
      <c r="BK13" s="291">
        <f>BK107</f>
        <v>100.79117776932013</v>
      </c>
      <c r="BL13" s="45">
        <f>SUM(BH13:BK13)</f>
        <v>392.39034279487078</v>
      </c>
      <c r="BN13" s="1953"/>
      <c r="BS13" s="1953"/>
      <c r="BT13" s="1953"/>
      <c r="BW13" s="45"/>
      <c r="BX13" s="45"/>
      <c r="BY13" s="45"/>
      <c r="BZ13" s="45"/>
      <c r="CA13" s="45"/>
      <c r="CB13" s="45"/>
      <c r="CC13" s="45"/>
      <c r="CD13" s="45"/>
      <c r="CE13" s="45"/>
      <c r="CF13" s="45"/>
      <c r="CG13" s="45"/>
      <c r="CH13" s="45"/>
      <c r="CI13" s="45"/>
      <c r="CJ13" s="45"/>
      <c r="CK13" s="45"/>
      <c r="CL13" s="45"/>
      <c r="CM13" s="45"/>
      <c r="CN13" s="45"/>
      <c r="CO13" s="45"/>
      <c r="CP13" s="45"/>
    </row>
    <row r="14" spans="1:94">
      <c r="A14" s="45"/>
      <c r="B14" s="45"/>
      <c r="C14" s="890" t="s">
        <v>65</v>
      </c>
      <c r="D14" s="45"/>
      <c r="E14" s="337"/>
      <c r="F14" s="338"/>
      <c r="G14" s="338"/>
      <c r="H14" s="586"/>
      <c r="I14" s="339">
        <v>364</v>
      </c>
      <c r="J14" s="337">
        <v>92</v>
      </c>
      <c r="K14" s="338">
        <v>94</v>
      </c>
      <c r="L14" s="338">
        <v>108</v>
      </c>
      <c r="M14" s="586">
        <f>N14-SUM(J14:L14)</f>
        <v>88</v>
      </c>
      <c r="N14" s="339">
        <v>382</v>
      </c>
      <c r="O14" s="337">
        <v>90</v>
      </c>
      <c r="P14" s="338">
        <v>92</v>
      </c>
      <c r="Q14" s="338">
        <v>103</v>
      </c>
      <c r="R14" s="586">
        <f>S14-SUM(O14:Q14)</f>
        <v>87</v>
      </c>
      <c r="S14" s="339">
        <v>372</v>
      </c>
      <c r="T14" s="337">
        <v>89</v>
      </c>
      <c r="U14" s="338">
        <v>88</v>
      </c>
      <c r="V14" s="338">
        <v>103</v>
      </c>
      <c r="W14" s="586">
        <f>X14-SUM(T14:V14)</f>
        <v>88</v>
      </c>
      <c r="X14" s="339">
        <v>368</v>
      </c>
      <c r="Y14" s="337">
        <v>90</v>
      </c>
      <c r="Z14" s="338">
        <v>90</v>
      </c>
      <c r="AA14" s="338">
        <v>95</v>
      </c>
      <c r="AB14" s="586">
        <f>AC14-SUM(Y14:AA14)</f>
        <v>88</v>
      </c>
      <c r="AC14" s="339">
        <v>363</v>
      </c>
      <c r="AD14" s="337">
        <v>94</v>
      </c>
      <c r="AE14" s="338">
        <v>92</v>
      </c>
      <c r="AF14" s="338">
        <v>98</v>
      </c>
      <c r="AG14" s="586">
        <f>AH14-SUM(AD14:AF14)</f>
        <v>85</v>
      </c>
      <c r="AH14" s="2056">
        <v>369</v>
      </c>
      <c r="AI14" s="337">
        <v>94</v>
      </c>
      <c r="AJ14" s="338">
        <v>89</v>
      </c>
      <c r="AK14" s="338">
        <v>105</v>
      </c>
      <c r="AL14" s="586">
        <f>AM14-SUM(AI14:AK14)</f>
        <v>89</v>
      </c>
      <c r="AM14" s="2056">
        <v>377</v>
      </c>
      <c r="AN14" s="337">
        <v>90</v>
      </c>
      <c r="AO14" s="338">
        <v>90</v>
      </c>
      <c r="AP14" s="338">
        <v>102</v>
      </c>
      <c r="AQ14" s="586">
        <f>AR14-SUM(AN14:AP14)</f>
        <v>89</v>
      </c>
      <c r="AR14" s="2056">
        <v>371</v>
      </c>
      <c r="AS14" s="290">
        <f>AS90</f>
        <v>92.7</v>
      </c>
      <c r="AT14" s="260">
        <f>AT90</f>
        <v>92.7</v>
      </c>
      <c r="AU14" s="260">
        <f>AU90</f>
        <v>105.06</v>
      </c>
      <c r="AV14" s="291">
        <f>AV90</f>
        <v>91.67</v>
      </c>
      <c r="AW14" s="45">
        <f>SUM(AS14:AV14)</f>
        <v>382.13000000000005</v>
      </c>
      <c r="AX14" s="290">
        <f>AX90</f>
        <v>95.481000000000009</v>
      </c>
      <c r="AY14" s="260">
        <f>AY90</f>
        <v>95.481000000000009</v>
      </c>
      <c r="AZ14" s="260">
        <f>AZ90</f>
        <v>108.21180000000001</v>
      </c>
      <c r="BA14" s="291">
        <f>BA90</f>
        <v>94.420100000000005</v>
      </c>
      <c r="BB14" s="45">
        <f>SUM(AX14:BA14)</f>
        <v>393.59390000000002</v>
      </c>
      <c r="BC14" s="290">
        <f>BC90</f>
        <v>98.345430000000007</v>
      </c>
      <c r="BD14" s="260">
        <f>BD90</f>
        <v>98.345430000000007</v>
      </c>
      <c r="BE14" s="260">
        <f>BE90</f>
        <v>111.45815400000001</v>
      </c>
      <c r="BF14" s="291">
        <f>BF90</f>
        <v>97.252703000000011</v>
      </c>
      <c r="BG14" s="45">
        <f>SUM(BC14:BF14)</f>
        <v>405.40171700000002</v>
      </c>
      <c r="BH14" s="290">
        <f>BH90</f>
        <v>101.29579290000001</v>
      </c>
      <c r="BI14" s="260">
        <f>BI90</f>
        <v>101.29579290000001</v>
      </c>
      <c r="BJ14" s="260">
        <f>BJ90</f>
        <v>114.80189862000002</v>
      </c>
      <c r="BK14" s="291">
        <f>BK90</f>
        <v>100.17028409000001</v>
      </c>
      <c r="BL14" s="45">
        <f>SUM(BH14:BK14)</f>
        <v>417.56376851000005</v>
      </c>
      <c r="BM14" s="45"/>
      <c r="BN14" s="45"/>
      <c r="BO14" s="45"/>
      <c r="BP14" s="45"/>
      <c r="BQ14" s="45"/>
      <c r="BR14" s="45"/>
      <c r="BS14" s="45"/>
      <c r="BT14" s="45"/>
      <c r="BU14" s="45"/>
      <c r="BV14" s="45"/>
      <c r="BW14" s="45"/>
      <c r="BX14" s="45"/>
      <c r="BY14" s="45"/>
      <c r="BZ14" s="45"/>
      <c r="CA14" s="45"/>
      <c r="CB14" s="45"/>
      <c r="CC14" s="45"/>
      <c r="CD14" s="45"/>
      <c r="CE14" s="45"/>
      <c r="CF14" s="45"/>
      <c r="CG14" s="45"/>
      <c r="CH14" s="45"/>
      <c r="CI14" s="45"/>
      <c r="CJ14" s="45"/>
      <c r="CK14" s="45"/>
      <c r="CL14" s="45"/>
      <c r="CM14" s="45"/>
      <c r="CN14" s="45"/>
      <c r="CO14" s="45"/>
      <c r="CP14" s="45"/>
    </row>
    <row r="15" spans="1:94">
      <c r="A15" s="45"/>
      <c r="B15" s="45"/>
      <c r="C15" s="909" t="s">
        <v>79</v>
      </c>
      <c r="D15" s="45"/>
      <c r="E15" s="292"/>
      <c r="F15" s="261"/>
      <c r="G15" s="261"/>
      <c r="H15" s="293"/>
      <c r="I15" s="228">
        <f t="shared" ref="I15:AW15" si="9">SUM(I12:I14,I9)</f>
        <v>2032</v>
      </c>
      <c r="J15" s="292">
        <f t="shared" si="9"/>
        <v>491</v>
      </c>
      <c r="K15" s="261">
        <f t="shared" si="9"/>
        <v>454</v>
      </c>
      <c r="L15" s="261">
        <f t="shared" si="9"/>
        <v>521</v>
      </c>
      <c r="M15" s="293">
        <f t="shared" si="9"/>
        <v>400</v>
      </c>
      <c r="N15" s="228">
        <f t="shared" si="9"/>
        <v>1866</v>
      </c>
      <c r="O15" s="292">
        <f t="shared" si="9"/>
        <v>425</v>
      </c>
      <c r="P15" s="261">
        <f t="shared" si="9"/>
        <v>401</v>
      </c>
      <c r="Q15" s="261">
        <f t="shared" si="9"/>
        <v>475</v>
      </c>
      <c r="R15" s="293">
        <f t="shared" si="9"/>
        <v>390</v>
      </c>
      <c r="S15" s="228">
        <f t="shared" si="9"/>
        <v>1691</v>
      </c>
      <c r="T15" s="292">
        <f t="shared" si="9"/>
        <v>430</v>
      </c>
      <c r="U15" s="261">
        <f t="shared" si="9"/>
        <v>389</v>
      </c>
      <c r="V15" s="261">
        <f t="shared" si="9"/>
        <v>476</v>
      </c>
      <c r="W15" s="293">
        <f t="shared" si="9"/>
        <v>410</v>
      </c>
      <c r="X15" s="228">
        <f t="shared" si="9"/>
        <v>1705</v>
      </c>
      <c r="Y15" s="292">
        <f t="shared" si="9"/>
        <v>469</v>
      </c>
      <c r="Z15" s="261">
        <f t="shared" si="9"/>
        <v>414</v>
      </c>
      <c r="AA15" s="261">
        <f t="shared" ref="AA15:AE15" si="10">SUM(AA12:AA14,AA9)</f>
        <v>462</v>
      </c>
      <c r="AB15" s="293">
        <f t="shared" si="10"/>
        <v>408</v>
      </c>
      <c r="AC15" s="228">
        <f t="shared" si="10"/>
        <v>1753</v>
      </c>
      <c r="AD15" s="292">
        <f t="shared" si="10"/>
        <v>493</v>
      </c>
      <c r="AE15" s="261">
        <f t="shared" si="10"/>
        <v>435</v>
      </c>
      <c r="AF15" s="261">
        <f t="shared" ref="AF15:AJ15" si="11">SUM(AF12:AF14,AF9)</f>
        <v>497</v>
      </c>
      <c r="AG15" s="293">
        <f t="shared" si="11"/>
        <v>425</v>
      </c>
      <c r="AH15" s="228">
        <f t="shared" si="11"/>
        <v>1850</v>
      </c>
      <c r="AI15" s="292">
        <f t="shared" si="11"/>
        <v>656</v>
      </c>
      <c r="AJ15" s="261">
        <f t="shared" si="11"/>
        <v>420</v>
      </c>
      <c r="AK15" s="261">
        <f t="shared" ref="AK15:AO15" si="12">SUM(AK12:AK14,AK9)</f>
        <v>503</v>
      </c>
      <c r="AL15" s="293">
        <f t="shared" si="12"/>
        <v>441</v>
      </c>
      <c r="AM15" s="228">
        <f t="shared" si="12"/>
        <v>2020</v>
      </c>
      <c r="AN15" s="292">
        <f t="shared" si="12"/>
        <v>451</v>
      </c>
      <c r="AO15" s="261">
        <f t="shared" si="12"/>
        <v>431</v>
      </c>
      <c r="AP15" s="261">
        <f t="shared" si="9"/>
        <v>455</v>
      </c>
      <c r="AQ15" s="293">
        <f t="shared" si="9"/>
        <v>423</v>
      </c>
      <c r="AR15" s="228">
        <f t="shared" si="9"/>
        <v>1760</v>
      </c>
      <c r="AS15" s="292">
        <f t="shared" si="9"/>
        <v>451.67655892317555</v>
      </c>
      <c r="AT15" s="261">
        <f t="shared" si="9"/>
        <v>436.08475366476887</v>
      </c>
      <c r="AU15" s="261">
        <f t="shared" si="9"/>
        <v>457.90402561064991</v>
      </c>
      <c r="AV15" s="293">
        <f t="shared" si="9"/>
        <v>429.9521854818629</v>
      </c>
      <c r="AW15" s="228">
        <f t="shared" si="9"/>
        <v>1775.6175236804572</v>
      </c>
      <c r="AX15" s="292">
        <f t="shared" ref="AX15:BG15" si="13">SUM(AX12:AX14,AX9)</f>
        <v>456.35553871818428</v>
      </c>
      <c r="AY15" s="261">
        <f t="shared" si="13"/>
        <v>441.57738634042829</v>
      </c>
      <c r="AZ15" s="261">
        <f t="shared" si="13"/>
        <v>464.10982501437866</v>
      </c>
      <c r="BA15" s="293">
        <f t="shared" si="13"/>
        <v>435.29984711379524</v>
      </c>
      <c r="BB15" s="228">
        <f t="shared" si="13"/>
        <v>1797.3425971867866</v>
      </c>
      <c r="BC15" s="292">
        <f t="shared" si="13"/>
        <v>456.42414578250879</v>
      </c>
      <c r="BD15" s="261">
        <f t="shared" si="13"/>
        <v>440.14503939959434</v>
      </c>
      <c r="BE15" s="261">
        <f t="shared" si="13"/>
        <v>464.68984881666825</v>
      </c>
      <c r="BF15" s="293">
        <f t="shared" si="13"/>
        <v>434.7509630665507</v>
      </c>
      <c r="BG15" s="228">
        <f t="shared" si="13"/>
        <v>1796.0099970653221</v>
      </c>
      <c r="BH15" s="292">
        <f t="shared" ref="BH15:BL15" si="14">SUM(BH12:BH14,BH9)</f>
        <v>459.39281413827126</v>
      </c>
      <c r="BI15" s="261">
        <f t="shared" si="14"/>
        <v>443.50123112162669</v>
      </c>
      <c r="BJ15" s="261">
        <f t="shared" si="14"/>
        <v>469.4619541856527</v>
      </c>
      <c r="BK15" s="293">
        <f t="shared" si="14"/>
        <v>438.52954310932012</v>
      </c>
      <c r="BL15" s="228">
        <f t="shared" si="14"/>
        <v>1810.8855425548709</v>
      </c>
      <c r="BM15" s="45"/>
      <c r="BN15" s="45"/>
      <c r="BO15" s="45"/>
      <c r="BP15" s="45"/>
      <c r="BQ15" s="45"/>
      <c r="BR15" s="45"/>
      <c r="BS15" s="45"/>
      <c r="BT15" s="45"/>
      <c r="BU15" s="45"/>
      <c r="BV15" s="45"/>
      <c r="BW15" s="45"/>
      <c r="BX15" s="45"/>
      <c r="BY15" s="45"/>
      <c r="BZ15" s="45"/>
      <c r="CA15" s="45"/>
      <c r="CB15" s="45"/>
      <c r="CC15" s="45"/>
      <c r="CD15" s="45"/>
      <c r="CE15" s="45"/>
      <c r="CF15" s="45"/>
      <c r="CG15" s="45"/>
      <c r="CH15" s="45"/>
      <c r="CI15" s="45"/>
      <c r="CJ15" s="45"/>
      <c r="CK15" s="45"/>
      <c r="CL15" s="45"/>
      <c r="CM15" s="45"/>
      <c r="CN15" s="45"/>
      <c r="CO15" s="45"/>
      <c r="CP15" s="45"/>
    </row>
    <row r="16" spans="1:94">
      <c r="A16" s="45"/>
      <c r="B16" s="45"/>
      <c r="C16" s="895"/>
      <c r="D16" s="45"/>
      <c r="E16" s="337"/>
      <c r="F16" s="338"/>
      <c r="G16" s="338"/>
      <c r="H16" s="291"/>
      <c r="I16" s="339"/>
      <c r="J16" s="290"/>
      <c r="K16" s="260"/>
      <c r="L16" s="260"/>
      <c r="M16" s="291"/>
      <c r="N16" s="339"/>
      <c r="O16" s="290"/>
      <c r="P16" s="260"/>
      <c r="Q16" s="260"/>
      <c r="R16" s="291"/>
      <c r="S16" s="339"/>
      <c r="T16" s="290"/>
      <c r="U16" s="260"/>
      <c r="V16" s="260"/>
      <c r="W16" s="291"/>
      <c r="X16" s="339"/>
      <c r="Y16" s="290"/>
      <c r="Z16" s="260"/>
      <c r="AA16" s="260"/>
      <c r="AB16" s="291"/>
      <c r="AC16" s="339"/>
      <c r="AD16" s="290"/>
      <c r="AE16" s="260"/>
      <c r="AF16" s="260"/>
      <c r="AG16" s="291"/>
      <c r="AH16" s="2056"/>
      <c r="AI16" s="290"/>
      <c r="AJ16" s="260"/>
      <c r="AK16" s="260"/>
      <c r="AL16" s="291"/>
      <c r="AM16" s="2056"/>
      <c r="AN16" s="290"/>
      <c r="AO16" s="260"/>
      <c r="AP16" s="260"/>
      <c r="AQ16" s="291"/>
      <c r="AR16" s="2056"/>
      <c r="AS16" s="290"/>
      <c r="AT16" s="260"/>
      <c r="AU16" s="260"/>
      <c r="AV16" s="291"/>
      <c r="AW16" s="45"/>
      <c r="AX16" s="290"/>
      <c r="AY16" s="260"/>
      <c r="AZ16" s="260"/>
      <c r="BA16" s="291"/>
      <c r="BB16" s="45"/>
      <c r="BC16" s="290"/>
      <c r="BD16" s="260"/>
      <c r="BE16" s="260"/>
      <c r="BF16" s="291"/>
      <c r="BG16" s="45"/>
      <c r="BH16" s="290"/>
      <c r="BI16" s="260"/>
      <c r="BJ16" s="260"/>
      <c r="BK16" s="291"/>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row>
    <row r="17" spans="1:94">
      <c r="A17" s="45"/>
      <c r="B17" s="45"/>
      <c r="C17" s="909" t="s">
        <v>70</v>
      </c>
      <c r="D17" s="45"/>
      <c r="E17" s="292"/>
      <c r="F17" s="261"/>
      <c r="G17" s="261"/>
      <c r="H17" s="293"/>
      <c r="I17" s="228">
        <f>+I8-I15</f>
        <v>256</v>
      </c>
      <c r="J17" s="292">
        <f>J8-J15</f>
        <v>43</v>
      </c>
      <c r="K17" s="261">
        <f>K8-K15</f>
        <v>52</v>
      </c>
      <c r="L17" s="261">
        <f>L8-L15</f>
        <v>82</v>
      </c>
      <c r="M17" s="293">
        <f>+M8-M15</f>
        <v>35</v>
      </c>
      <c r="N17" s="228">
        <f>+N8-N15</f>
        <v>212</v>
      </c>
      <c r="O17" s="292">
        <f>O8-O15</f>
        <v>40</v>
      </c>
      <c r="P17" s="261">
        <f>P8-P15</f>
        <v>55</v>
      </c>
      <c r="Q17" s="261">
        <f>Q8-Q15</f>
        <v>107</v>
      </c>
      <c r="R17" s="293">
        <f>+R8-R15</f>
        <v>55</v>
      </c>
      <c r="S17" s="228">
        <f>+S8-S15</f>
        <v>257</v>
      </c>
      <c r="T17" s="292">
        <f>T8-T15</f>
        <v>47</v>
      </c>
      <c r="U17" s="261">
        <f>U8-U15</f>
        <v>80</v>
      </c>
      <c r="V17" s="261">
        <f>V8-V15</f>
        <v>129</v>
      </c>
      <c r="W17" s="293">
        <f>+W8-W15</f>
        <v>65</v>
      </c>
      <c r="X17" s="228">
        <f>+X8-X15</f>
        <v>321</v>
      </c>
      <c r="Y17" s="292">
        <f>Y8-Y15</f>
        <v>66</v>
      </c>
      <c r="Z17" s="261">
        <f>Z8-Z15</f>
        <v>94</v>
      </c>
      <c r="AA17" s="261">
        <f>AA8-AA15</f>
        <v>125</v>
      </c>
      <c r="AB17" s="293">
        <f>+AB8-AB15</f>
        <v>63</v>
      </c>
      <c r="AC17" s="228">
        <f>+AC8-AC15</f>
        <v>348</v>
      </c>
      <c r="AD17" s="292">
        <f>AD8-AD15</f>
        <v>63</v>
      </c>
      <c r="AE17" s="261">
        <f>AE8-AE15</f>
        <v>83</v>
      </c>
      <c r="AF17" s="261">
        <f>AF8-AF15</f>
        <v>115</v>
      </c>
      <c r="AG17" s="293">
        <f>+AG8-AG15</f>
        <v>78</v>
      </c>
      <c r="AH17" s="228">
        <f>+AH8-AH15</f>
        <v>339</v>
      </c>
      <c r="AI17" s="292">
        <f>AI8-AI15</f>
        <v>-105</v>
      </c>
      <c r="AJ17" s="261">
        <f>AJ8-AJ15</f>
        <v>89</v>
      </c>
      <c r="AK17" s="261">
        <f>AK8-AK15</f>
        <v>132</v>
      </c>
      <c r="AL17" s="293">
        <f>+AL8-AL15</f>
        <v>50</v>
      </c>
      <c r="AM17" s="228">
        <f>+AM8-AM15</f>
        <v>166</v>
      </c>
      <c r="AN17" s="292">
        <f>AN8-AN15</f>
        <v>79</v>
      </c>
      <c r="AO17" s="261">
        <f>AO8-AO15</f>
        <v>83</v>
      </c>
      <c r="AP17" s="261">
        <f t="shared" ref="AP17:AW17" si="15">+AP8-AP15</f>
        <v>149</v>
      </c>
      <c r="AQ17" s="293">
        <f>+AQ8-AQ15</f>
        <v>87</v>
      </c>
      <c r="AR17" s="228">
        <f>+AR8-AR15</f>
        <v>398</v>
      </c>
      <c r="AS17" s="292">
        <f t="shared" si="15"/>
        <v>69.467383210640037</v>
      </c>
      <c r="AT17" s="261">
        <f t="shared" si="15"/>
        <v>69.05918846904666</v>
      </c>
      <c r="AU17" s="261">
        <f t="shared" si="15"/>
        <v>138.06491652316561</v>
      </c>
      <c r="AV17" s="293">
        <f t="shared" si="15"/>
        <v>72.016756651952676</v>
      </c>
      <c r="AW17" s="228">
        <f t="shared" si="15"/>
        <v>348.60824485480521</v>
      </c>
      <c r="AX17" s="292">
        <f t="shared" ref="AX17:BG17" si="16">+AX8-AX15</f>
        <v>69.964673170591652</v>
      </c>
      <c r="AY17" s="261">
        <f t="shared" si="16"/>
        <v>68.742825548347525</v>
      </c>
      <c r="AZ17" s="261">
        <f t="shared" si="16"/>
        <v>148.74663687439727</v>
      </c>
      <c r="BA17" s="293">
        <f t="shared" si="16"/>
        <v>83.556614774980687</v>
      </c>
      <c r="BB17" s="228">
        <f t="shared" si="16"/>
        <v>371.01075036831685</v>
      </c>
      <c r="BC17" s="292">
        <f t="shared" si="16"/>
        <v>77.096155020352001</v>
      </c>
      <c r="BD17" s="261">
        <f t="shared" si="16"/>
        <v>77.375261403266336</v>
      </c>
      <c r="BE17" s="261">
        <f t="shared" si="16"/>
        <v>156.61670198619242</v>
      </c>
      <c r="BF17" s="293">
        <f t="shared" si="16"/>
        <v>92.555587736310088</v>
      </c>
      <c r="BG17" s="228">
        <f t="shared" si="16"/>
        <v>403.64370614612085</v>
      </c>
      <c r="BH17" s="292">
        <f t="shared" ref="BH17:BL17" si="17">+BH8-BH15</f>
        <v>87.691549341302505</v>
      </c>
      <c r="BI17" s="261">
        <f t="shared" si="17"/>
        <v>87.583132357947079</v>
      </c>
      <c r="BJ17" s="261">
        <f t="shared" si="17"/>
        <v>164.15865929392095</v>
      </c>
      <c r="BK17" s="293">
        <f t="shared" si="17"/>
        <v>101.09107037025365</v>
      </c>
      <c r="BL17" s="228">
        <f t="shared" si="17"/>
        <v>440.52441136342395</v>
      </c>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row>
    <row r="18" spans="1:94">
      <c r="A18" s="45"/>
      <c r="B18" s="45"/>
      <c r="C18" s="909"/>
      <c r="D18" s="45"/>
      <c r="E18" s="292"/>
      <c r="F18" s="261"/>
      <c r="G18" s="261"/>
      <c r="H18" s="293"/>
      <c r="I18" s="228"/>
      <c r="J18" s="292"/>
      <c r="K18" s="261"/>
      <c r="L18" s="261"/>
      <c r="M18" s="293"/>
      <c r="N18" s="228"/>
      <c r="O18" s="292"/>
      <c r="P18" s="261"/>
      <c r="Q18" s="261"/>
      <c r="R18" s="293"/>
      <c r="S18" s="228"/>
      <c r="T18" s="292"/>
      <c r="U18" s="261"/>
      <c r="V18" s="261"/>
      <c r="W18" s="293"/>
      <c r="X18" s="228"/>
      <c r="Y18" s="292"/>
      <c r="Z18" s="261"/>
      <c r="AA18" s="261"/>
      <c r="AB18" s="293"/>
      <c r="AC18" s="228"/>
      <c r="AD18" s="292"/>
      <c r="AE18" s="261"/>
      <c r="AF18" s="261"/>
      <c r="AG18" s="293"/>
      <c r="AH18" s="228"/>
      <c r="AI18" s="292"/>
      <c r="AJ18" s="261"/>
      <c r="AK18" s="261"/>
      <c r="AL18" s="293"/>
      <c r="AM18" s="228"/>
      <c r="AN18" s="292"/>
      <c r="AO18" s="261"/>
      <c r="AP18" s="261"/>
      <c r="AQ18" s="293"/>
      <c r="AR18" s="228"/>
      <c r="AS18" s="292"/>
      <c r="AT18" s="261"/>
      <c r="AU18" s="261"/>
      <c r="AV18" s="293"/>
      <c r="AW18" s="228"/>
      <c r="AX18" s="292"/>
      <c r="AY18" s="261"/>
      <c r="AZ18" s="261"/>
      <c r="BA18" s="293"/>
      <c r="BB18" s="228"/>
      <c r="BC18" s="292"/>
      <c r="BD18" s="261"/>
      <c r="BE18" s="261"/>
      <c r="BF18" s="293"/>
      <c r="BG18" s="228"/>
      <c r="BH18" s="292"/>
      <c r="BI18" s="261"/>
      <c r="BJ18" s="261"/>
      <c r="BK18" s="293"/>
      <c r="BL18" s="228"/>
      <c r="BM18" s="45"/>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row>
    <row r="19" spans="1:94">
      <c r="A19" s="45"/>
      <c r="B19" s="45"/>
      <c r="C19" s="895" t="s">
        <v>620</v>
      </c>
      <c r="D19" s="45"/>
      <c r="E19" s="290"/>
      <c r="F19" s="260"/>
      <c r="G19" s="260"/>
      <c r="H19" s="291"/>
      <c r="I19" s="339">
        <v>6</v>
      </c>
      <c r="J19" s="290">
        <f>$N$19/4</f>
        <v>3</v>
      </c>
      <c r="K19" s="260">
        <f>$N$19/4</f>
        <v>3</v>
      </c>
      <c r="L19" s="260">
        <f>$N$19/4</f>
        <v>3</v>
      </c>
      <c r="M19" s="291">
        <f>N19-SUM(J19:L19)</f>
        <v>3</v>
      </c>
      <c r="N19" s="339">
        <v>12</v>
      </c>
      <c r="O19" s="290">
        <f>$S$19/4</f>
        <v>2</v>
      </c>
      <c r="P19" s="260">
        <f>$S$19/4</f>
        <v>2</v>
      </c>
      <c r="Q19" s="260">
        <f>$S$19/4</f>
        <v>2</v>
      </c>
      <c r="R19" s="291">
        <f>S19-SUM(O19:Q19)</f>
        <v>2</v>
      </c>
      <c r="S19" s="339">
        <v>8</v>
      </c>
      <c r="T19" s="290">
        <f>$X$19/4</f>
        <v>2.25</v>
      </c>
      <c r="U19" s="260">
        <f>+T19</f>
        <v>2.25</v>
      </c>
      <c r="V19" s="260">
        <f>+U19</f>
        <v>2.25</v>
      </c>
      <c r="W19" s="291">
        <f>X19-SUM(T19:V19)</f>
        <v>2.25</v>
      </c>
      <c r="X19" s="339">
        <v>9</v>
      </c>
      <c r="Y19" s="290">
        <f>$AC$19/4</f>
        <v>2.5</v>
      </c>
      <c r="Z19" s="260">
        <f>+Y19</f>
        <v>2.5</v>
      </c>
      <c r="AA19" s="260">
        <f>+Z19</f>
        <v>2.5</v>
      </c>
      <c r="AB19" s="291">
        <f>AC19-SUM(Y19:AA19)</f>
        <v>2.5</v>
      </c>
      <c r="AC19" s="339">
        <v>10</v>
      </c>
      <c r="AD19" s="290">
        <f>$AH$19/4</f>
        <v>3</v>
      </c>
      <c r="AE19" s="260">
        <f>+AD19</f>
        <v>3</v>
      </c>
      <c r="AF19" s="260">
        <f>+AE19</f>
        <v>3</v>
      </c>
      <c r="AG19" s="291">
        <f>AH19-SUM(AD19:AF19)</f>
        <v>3</v>
      </c>
      <c r="AH19" s="2056">
        <v>12</v>
      </c>
      <c r="AI19" s="290">
        <f>$AH$19/4</f>
        <v>3</v>
      </c>
      <c r="AJ19" s="260">
        <f>+AI19</f>
        <v>3</v>
      </c>
      <c r="AK19" s="338">
        <v>5</v>
      </c>
      <c r="AL19" s="291">
        <f>AM19-SUM(AI19:AK19)</f>
        <v>8</v>
      </c>
      <c r="AM19" s="2056">
        <v>19</v>
      </c>
      <c r="AN19" s="337">
        <v>5</v>
      </c>
      <c r="AO19" s="338">
        <v>5</v>
      </c>
      <c r="AP19" s="338">
        <v>6</v>
      </c>
      <c r="AQ19" s="291">
        <f>AR19-SUM(AN19:AP19)</f>
        <v>7</v>
      </c>
      <c r="AR19" s="2056">
        <v>23</v>
      </c>
      <c r="AS19" s="290">
        <f>AS121</f>
        <v>5.8015730434508423</v>
      </c>
      <c r="AT19" s="260">
        <f>AT121</f>
        <v>5.8015730434508423</v>
      </c>
      <c r="AU19" s="260">
        <f>AU121</f>
        <v>5.8015730434508423</v>
      </c>
      <c r="AV19" s="291">
        <f>AV121</f>
        <v>5.8015730434508423</v>
      </c>
      <c r="AW19" s="45">
        <f>SUM(AS19:AV19)</f>
        <v>23.206292173803369</v>
      </c>
      <c r="AX19" s="290">
        <f>AX121</f>
        <v>6.2175025225452485</v>
      </c>
      <c r="AY19" s="260">
        <f>AY121</f>
        <v>6.2175025225452485</v>
      </c>
      <c r="AZ19" s="260">
        <f>AZ121</f>
        <v>6.2175025225452485</v>
      </c>
      <c r="BA19" s="291">
        <f>BA121</f>
        <v>6.2175025225452485</v>
      </c>
      <c r="BB19" s="45">
        <f>SUM(AX19:BA19)</f>
        <v>24.870010090180994</v>
      </c>
      <c r="BC19" s="290">
        <f>BC121</f>
        <v>6.7534941193163904</v>
      </c>
      <c r="BD19" s="260">
        <f>BD121</f>
        <v>6.7534941193163904</v>
      </c>
      <c r="BE19" s="260">
        <f>BE121</f>
        <v>6.7534941193163904</v>
      </c>
      <c r="BF19" s="291">
        <f>BF121</f>
        <v>6.7534941193163904</v>
      </c>
      <c r="BG19" s="45">
        <f>SUM(BC19:BF19)</f>
        <v>27.013976477265562</v>
      </c>
      <c r="BH19" s="290">
        <f>BH121</f>
        <v>7.6110806741502177</v>
      </c>
      <c r="BI19" s="260">
        <f>BI121</f>
        <v>7.6110806741502177</v>
      </c>
      <c r="BJ19" s="260">
        <f>BJ121</f>
        <v>7.6110806741502177</v>
      </c>
      <c r="BK19" s="291">
        <f>BK121</f>
        <v>7.6110806741502177</v>
      </c>
      <c r="BL19" s="45">
        <f>SUM(BH19:BK19)</f>
        <v>30.444322696600871</v>
      </c>
      <c r="BM19" s="45"/>
      <c r="BN19" s="45"/>
      <c r="BO19" s="45"/>
      <c r="BP19" s="45"/>
      <c r="BQ19" s="45"/>
      <c r="BR19" s="45"/>
      <c r="BS19" s="45"/>
      <c r="BT19" s="45"/>
      <c r="BU19" s="45"/>
      <c r="BV19" s="45"/>
      <c r="BW19" s="45"/>
      <c r="BX19" s="45"/>
      <c r="BY19" s="45"/>
      <c r="BZ19" s="45"/>
      <c r="CA19" s="45"/>
      <c r="CB19" s="45"/>
      <c r="CC19" s="45"/>
      <c r="CD19" s="45"/>
      <c r="CE19" s="45"/>
      <c r="CF19" s="45"/>
      <c r="CG19" s="45"/>
      <c r="CH19" s="45"/>
      <c r="CI19" s="45"/>
      <c r="CJ19" s="45"/>
      <c r="CK19" s="45"/>
      <c r="CL19" s="45"/>
      <c r="CM19" s="45"/>
      <c r="CN19" s="45"/>
      <c r="CO19" s="45"/>
      <c r="CP19" s="45"/>
    </row>
    <row r="20" spans="1:94">
      <c r="A20" s="45"/>
      <c r="B20" s="45"/>
      <c r="C20" s="895" t="s">
        <v>123</v>
      </c>
      <c r="D20" s="45"/>
      <c r="E20" s="337"/>
      <c r="F20" s="338"/>
      <c r="G20" s="338"/>
      <c r="H20" s="291"/>
      <c r="I20" s="339">
        <f>1+12-11-15-I19</f>
        <v>-19</v>
      </c>
      <c r="J20" s="337">
        <f>6-J19</f>
        <v>3</v>
      </c>
      <c r="K20" s="338">
        <f>4-K19</f>
        <v>1</v>
      </c>
      <c r="L20" s="338">
        <f>3-L19</f>
        <v>0</v>
      </c>
      <c r="M20" s="291">
        <f>+N20-SUM(J20:L20)</f>
        <v>1</v>
      </c>
      <c r="N20" s="339">
        <f>17-N19</f>
        <v>5</v>
      </c>
      <c r="O20" s="337">
        <f>4-O19</f>
        <v>2</v>
      </c>
      <c r="P20" s="338">
        <f>4-P19</f>
        <v>2</v>
      </c>
      <c r="Q20" s="338">
        <f>5-Q19</f>
        <v>3</v>
      </c>
      <c r="R20" s="291">
        <f>+S20-SUM(O20:Q20)</f>
        <v>3</v>
      </c>
      <c r="S20" s="339">
        <f>18-S19</f>
        <v>10</v>
      </c>
      <c r="T20" s="337">
        <f>4-T19</f>
        <v>1.75</v>
      </c>
      <c r="U20" s="338">
        <f>5-U19</f>
        <v>2.75</v>
      </c>
      <c r="V20" s="338">
        <f>5-V19</f>
        <v>2.75</v>
      </c>
      <c r="W20" s="291">
        <f>+X20-SUM(T20:V20)</f>
        <v>1.75</v>
      </c>
      <c r="X20" s="339">
        <f>18-X19</f>
        <v>9</v>
      </c>
      <c r="Y20" s="337">
        <f>9-Y19</f>
        <v>6.5</v>
      </c>
      <c r="Z20" s="338">
        <f>10-Z19</f>
        <v>7.5</v>
      </c>
      <c r="AA20" s="338">
        <f>9-AA19</f>
        <v>6.5</v>
      </c>
      <c r="AB20" s="291">
        <f>+AC20-SUM(Y20:AA20)</f>
        <v>-0.5</v>
      </c>
      <c r="AC20" s="339">
        <f>30-AC19</f>
        <v>20</v>
      </c>
      <c r="AD20" s="337">
        <f>5-AD19</f>
        <v>2</v>
      </c>
      <c r="AE20" s="338">
        <f>8-AE19</f>
        <v>5</v>
      </c>
      <c r="AF20" s="338">
        <f>8-AF19</f>
        <v>5</v>
      </c>
      <c r="AG20" s="291">
        <f>+AH20-SUM(AD20:AF20)</f>
        <v>45</v>
      </c>
      <c r="AH20" s="2056">
        <f>23+46-AH19</f>
        <v>57</v>
      </c>
      <c r="AI20" s="337">
        <f>9-AI19</f>
        <v>6</v>
      </c>
      <c r="AJ20" s="338">
        <f>6+8-AJ19</f>
        <v>11</v>
      </c>
      <c r="AK20" s="338">
        <f>12-AK19</f>
        <v>7</v>
      </c>
      <c r="AL20" s="291">
        <f>+AM20-SUM(AI20:AK20)</f>
        <v>1</v>
      </c>
      <c r="AM20" s="2056">
        <f>8+36-AM19</f>
        <v>25</v>
      </c>
      <c r="AN20" s="337">
        <f>8-AN19</f>
        <v>3</v>
      </c>
      <c r="AO20" s="338">
        <f>7+1-AO19</f>
        <v>3</v>
      </c>
      <c r="AP20" s="338">
        <f>7-AP19</f>
        <v>1</v>
      </c>
      <c r="AQ20" s="291">
        <f>+AR20-SUM(AN20:AP20)</f>
        <v>3</v>
      </c>
      <c r="AR20" s="2056">
        <f>32+1-AR19</f>
        <v>10</v>
      </c>
      <c r="AS20" s="290">
        <f>AN20</f>
        <v>3</v>
      </c>
      <c r="AT20" s="260">
        <f t="shared" ref="AT20" si="18">AO20</f>
        <v>3</v>
      </c>
      <c r="AU20" s="260">
        <f t="shared" ref="AU20" si="19">AP20</f>
        <v>1</v>
      </c>
      <c r="AV20" s="291">
        <f t="shared" ref="AV20" si="20">AQ20</f>
        <v>3</v>
      </c>
      <c r="AW20" s="45">
        <f>SUM(AS20:AV20)</f>
        <v>10</v>
      </c>
      <c r="AX20" s="290">
        <f>AS20</f>
        <v>3</v>
      </c>
      <c r="AY20" s="260">
        <f t="shared" ref="AY20" si="21">AT20</f>
        <v>3</v>
      </c>
      <c r="AZ20" s="260">
        <f t="shared" ref="AZ20" si="22">AU20</f>
        <v>1</v>
      </c>
      <c r="BA20" s="291">
        <f t="shared" ref="BA20" si="23">AV20</f>
        <v>3</v>
      </c>
      <c r="BB20" s="45">
        <f>SUM(AX20:BA20)</f>
        <v>10</v>
      </c>
      <c r="BC20" s="290">
        <f>AX20</f>
        <v>3</v>
      </c>
      <c r="BD20" s="260">
        <f t="shared" ref="BD20" si="24">AY20</f>
        <v>3</v>
      </c>
      <c r="BE20" s="260">
        <f t="shared" ref="BE20" si="25">AZ20</f>
        <v>1</v>
      </c>
      <c r="BF20" s="291">
        <f t="shared" ref="BF20" si="26">BA20</f>
        <v>3</v>
      </c>
      <c r="BG20" s="45">
        <f>SUM(BC20:BF20)</f>
        <v>10</v>
      </c>
      <c r="BH20" s="290">
        <f>BC20</f>
        <v>3</v>
      </c>
      <c r="BI20" s="260">
        <f t="shared" ref="BI20" si="27">BD20</f>
        <v>3</v>
      </c>
      <c r="BJ20" s="260">
        <f t="shared" ref="BJ20" si="28">BE20</f>
        <v>1</v>
      </c>
      <c r="BK20" s="291">
        <f t="shared" ref="BK20" si="29">BF20</f>
        <v>3</v>
      </c>
      <c r="BL20" s="45">
        <f>SUM(BH20:BK20)</f>
        <v>10</v>
      </c>
      <c r="BM20" s="45"/>
      <c r="BN20" s="45"/>
      <c r="BO20" s="45"/>
      <c r="BP20" s="45"/>
      <c r="BQ20" s="45"/>
      <c r="BR20" s="45"/>
      <c r="BS20" s="45"/>
      <c r="BT20" s="45"/>
      <c r="BU20" s="45"/>
      <c r="BV20" s="45"/>
      <c r="BW20" s="45"/>
      <c r="BX20" s="45"/>
      <c r="BY20" s="45"/>
      <c r="BZ20" s="45"/>
      <c r="CA20" s="45"/>
      <c r="CB20" s="45"/>
      <c r="CC20" s="45"/>
      <c r="CD20" s="45"/>
      <c r="CE20" s="45"/>
      <c r="CF20" s="45"/>
      <c r="CG20" s="45"/>
      <c r="CH20" s="45"/>
      <c r="CI20" s="45"/>
      <c r="CJ20" s="45"/>
      <c r="CK20" s="45"/>
      <c r="CL20" s="45"/>
      <c r="CM20" s="45"/>
      <c r="CN20" s="45"/>
      <c r="CO20" s="45"/>
      <c r="CP20" s="45"/>
    </row>
    <row r="21" spans="1:94">
      <c r="A21" s="45"/>
      <c r="B21" s="45"/>
      <c r="C21" s="909" t="s">
        <v>86</v>
      </c>
      <c r="D21" s="45"/>
      <c r="E21" s="580"/>
      <c r="F21" s="581"/>
      <c r="G21" s="581"/>
      <c r="H21" s="582"/>
      <c r="I21" s="583">
        <f t="shared" ref="I21:AW21" si="30">SUM(I19:I20)</f>
        <v>-13</v>
      </c>
      <c r="J21" s="580">
        <f t="shared" si="30"/>
        <v>6</v>
      </c>
      <c r="K21" s="581">
        <f t="shared" si="30"/>
        <v>4</v>
      </c>
      <c r="L21" s="581">
        <f t="shared" si="30"/>
        <v>3</v>
      </c>
      <c r="M21" s="582">
        <f t="shared" si="30"/>
        <v>4</v>
      </c>
      <c r="N21" s="583">
        <f t="shared" si="30"/>
        <v>17</v>
      </c>
      <c r="O21" s="580">
        <f t="shared" si="30"/>
        <v>4</v>
      </c>
      <c r="P21" s="581">
        <f t="shared" si="30"/>
        <v>4</v>
      </c>
      <c r="Q21" s="581">
        <f t="shared" si="30"/>
        <v>5</v>
      </c>
      <c r="R21" s="582">
        <f t="shared" si="30"/>
        <v>5</v>
      </c>
      <c r="S21" s="583">
        <f t="shared" si="30"/>
        <v>18</v>
      </c>
      <c r="T21" s="580">
        <f t="shared" si="30"/>
        <v>4</v>
      </c>
      <c r="U21" s="581">
        <f t="shared" si="30"/>
        <v>5</v>
      </c>
      <c r="V21" s="581">
        <f t="shared" si="30"/>
        <v>5</v>
      </c>
      <c r="W21" s="582">
        <f t="shared" si="30"/>
        <v>4</v>
      </c>
      <c r="X21" s="583">
        <f t="shared" si="30"/>
        <v>18</v>
      </c>
      <c r="Y21" s="580">
        <f t="shared" si="30"/>
        <v>9</v>
      </c>
      <c r="Z21" s="581">
        <f t="shared" si="30"/>
        <v>10</v>
      </c>
      <c r="AA21" s="581">
        <f t="shared" ref="AA21:AE21" si="31">SUM(AA19:AA20)</f>
        <v>9</v>
      </c>
      <c r="AB21" s="582">
        <f t="shared" si="31"/>
        <v>2</v>
      </c>
      <c r="AC21" s="583">
        <f t="shared" si="31"/>
        <v>30</v>
      </c>
      <c r="AD21" s="580">
        <f t="shared" si="31"/>
        <v>5</v>
      </c>
      <c r="AE21" s="581">
        <f t="shared" si="31"/>
        <v>8</v>
      </c>
      <c r="AF21" s="581">
        <f t="shared" ref="AF21:AJ21" si="32">SUM(AF19:AF20)</f>
        <v>8</v>
      </c>
      <c r="AG21" s="582">
        <f t="shared" si="32"/>
        <v>48</v>
      </c>
      <c r="AH21" s="583">
        <f t="shared" si="32"/>
        <v>69</v>
      </c>
      <c r="AI21" s="580">
        <f t="shared" si="32"/>
        <v>9</v>
      </c>
      <c r="AJ21" s="581">
        <f t="shared" si="32"/>
        <v>14</v>
      </c>
      <c r="AK21" s="581">
        <f t="shared" ref="AK21:AO21" si="33">SUM(AK19:AK20)</f>
        <v>12</v>
      </c>
      <c r="AL21" s="582">
        <f t="shared" si="33"/>
        <v>9</v>
      </c>
      <c r="AM21" s="583">
        <f t="shared" si="33"/>
        <v>44</v>
      </c>
      <c r="AN21" s="580">
        <f t="shared" si="33"/>
        <v>8</v>
      </c>
      <c r="AO21" s="581">
        <f t="shared" si="33"/>
        <v>8</v>
      </c>
      <c r="AP21" s="261">
        <f t="shared" si="30"/>
        <v>7</v>
      </c>
      <c r="AQ21" s="582">
        <f t="shared" si="30"/>
        <v>10</v>
      </c>
      <c r="AR21" s="583">
        <f t="shared" si="30"/>
        <v>33</v>
      </c>
      <c r="AS21" s="292">
        <f t="shared" si="30"/>
        <v>8.8015730434508423</v>
      </c>
      <c r="AT21" s="261">
        <f t="shared" si="30"/>
        <v>8.8015730434508423</v>
      </c>
      <c r="AU21" s="261">
        <f t="shared" si="30"/>
        <v>6.8015730434508423</v>
      </c>
      <c r="AV21" s="293">
        <f t="shared" si="30"/>
        <v>8.8015730434508423</v>
      </c>
      <c r="AW21" s="228">
        <f t="shared" si="30"/>
        <v>33.206292173803369</v>
      </c>
      <c r="AX21" s="292">
        <f t="shared" ref="AX21:BG21" si="34">SUM(AX19:AX20)</f>
        <v>9.2175025225452494</v>
      </c>
      <c r="AY21" s="261">
        <f t="shared" si="34"/>
        <v>9.2175025225452494</v>
      </c>
      <c r="AZ21" s="261">
        <f t="shared" si="34"/>
        <v>7.2175025225452485</v>
      </c>
      <c r="BA21" s="293">
        <f t="shared" si="34"/>
        <v>9.2175025225452494</v>
      </c>
      <c r="BB21" s="228">
        <f t="shared" si="34"/>
        <v>34.870010090180998</v>
      </c>
      <c r="BC21" s="292">
        <f t="shared" si="34"/>
        <v>9.7534941193163895</v>
      </c>
      <c r="BD21" s="261">
        <f t="shared" si="34"/>
        <v>9.7534941193163895</v>
      </c>
      <c r="BE21" s="261">
        <f t="shared" si="34"/>
        <v>7.7534941193163904</v>
      </c>
      <c r="BF21" s="293">
        <f t="shared" si="34"/>
        <v>9.7534941193163895</v>
      </c>
      <c r="BG21" s="228">
        <f t="shared" si="34"/>
        <v>37.013976477265558</v>
      </c>
      <c r="BH21" s="292">
        <f t="shared" ref="BH21:BL21" si="35">SUM(BH19:BH20)</f>
        <v>10.611080674150218</v>
      </c>
      <c r="BI21" s="261">
        <f t="shared" si="35"/>
        <v>10.611080674150218</v>
      </c>
      <c r="BJ21" s="261">
        <f t="shared" si="35"/>
        <v>8.6110806741502177</v>
      </c>
      <c r="BK21" s="293">
        <f t="shared" si="35"/>
        <v>10.611080674150218</v>
      </c>
      <c r="BL21" s="228">
        <f t="shared" si="35"/>
        <v>40.444322696600871</v>
      </c>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row>
    <row r="22" spans="1:94">
      <c r="A22" s="45"/>
      <c r="B22" s="45"/>
      <c r="C22" s="895"/>
      <c r="D22" s="45"/>
      <c r="E22" s="814"/>
      <c r="F22" s="262"/>
      <c r="G22" s="262"/>
      <c r="H22" s="294"/>
      <c r="I22" s="1003"/>
      <c r="J22" s="814"/>
      <c r="K22" s="262"/>
      <c r="L22" s="262"/>
      <c r="M22" s="294"/>
      <c r="N22" s="1003"/>
      <c r="O22" s="814"/>
      <c r="P22" s="262"/>
      <c r="Q22" s="262"/>
      <c r="R22" s="294"/>
      <c r="S22" s="1003"/>
      <c r="T22" s="814"/>
      <c r="U22" s="262"/>
      <c r="V22" s="262"/>
      <c r="W22" s="294"/>
      <c r="X22" s="1003"/>
      <c r="Y22" s="814"/>
      <c r="Z22" s="262"/>
      <c r="AA22" s="262"/>
      <c r="AB22" s="294"/>
      <c r="AC22" s="1003"/>
      <c r="AD22" s="814"/>
      <c r="AE22" s="262"/>
      <c r="AF22" s="262"/>
      <c r="AG22" s="294"/>
      <c r="AH22" s="2058"/>
      <c r="AI22" s="814"/>
      <c r="AJ22" s="262"/>
      <c r="AK22" s="262"/>
      <c r="AL22" s="294"/>
      <c r="AM22" s="2058"/>
      <c r="AN22" s="814"/>
      <c r="AO22" s="262"/>
      <c r="AP22" s="260"/>
      <c r="AQ22" s="294"/>
      <c r="AR22" s="2058"/>
      <c r="AS22" s="290"/>
      <c r="AT22" s="260"/>
      <c r="AU22" s="260"/>
      <c r="AV22" s="291"/>
      <c r="AW22" s="45"/>
      <c r="AX22" s="290"/>
      <c r="AY22" s="260"/>
      <c r="AZ22" s="260"/>
      <c r="BA22" s="291"/>
      <c r="BB22" s="45"/>
      <c r="BC22" s="290"/>
      <c r="BD22" s="260"/>
      <c r="BE22" s="260"/>
      <c r="BF22" s="291"/>
      <c r="BG22" s="45"/>
      <c r="BH22" s="290"/>
      <c r="BI22" s="260"/>
      <c r="BJ22" s="260"/>
      <c r="BK22" s="291"/>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row>
    <row r="23" spans="1:94">
      <c r="A23" s="45"/>
      <c r="B23" s="45"/>
      <c r="C23" s="909" t="s">
        <v>475</v>
      </c>
      <c r="D23" s="45"/>
      <c r="E23" s="292"/>
      <c r="F23" s="261"/>
      <c r="G23" s="261"/>
      <c r="H23" s="293"/>
      <c r="I23" s="228">
        <f t="shared" ref="I23:AW23" si="36">I17+I21</f>
        <v>243</v>
      </c>
      <c r="J23" s="292">
        <f t="shared" si="36"/>
        <v>49</v>
      </c>
      <c r="K23" s="261">
        <f t="shared" si="36"/>
        <v>56</v>
      </c>
      <c r="L23" s="261">
        <f t="shared" si="36"/>
        <v>85</v>
      </c>
      <c r="M23" s="293">
        <f t="shared" si="36"/>
        <v>39</v>
      </c>
      <c r="N23" s="228">
        <f t="shared" si="36"/>
        <v>229</v>
      </c>
      <c r="O23" s="292">
        <f t="shared" si="36"/>
        <v>44</v>
      </c>
      <c r="P23" s="261">
        <f t="shared" si="36"/>
        <v>59</v>
      </c>
      <c r="Q23" s="261">
        <f t="shared" si="36"/>
        <v>112</v>
      </c>
      <c r="R23" s="293">
        <f t="shared" si="36"/>
        <v>60</v>
      </c>
      <c r="S23" s="228">
        <f t="shared" si="36"/>
        <v>275</v>
      </c>
      <c r="T23" s="292">
        <f t="shared" si="36"/>
        <v>51</v>
      </c>
      <c r="U23" s="261">
        <f t="shared" si="36"/>
        <v>85</v>
      </c>
      <c r="V23" s="261">
        <f t="shared" si="36"/>
        <v>134</v>
      </c>
      <c r="W23" s="293">
        <f t="shared" si="36"/>
        <v>69</v>
      </c>
      <c r="X23" s="228">
        <f t="shared" si="36"/>
        <v>339</v>
      </c>
      <c r="Y23" s="292">
        <f t="shared" si="36"/>
        <v>75</v>
      </c>
      <c r="Z23" s="261">
        <f t="shared" si="36"/>
        <v>104</v>
      </c>
      <c r="AA23" s="261">
        <f t="shared" ref="AA23:AE23" si="37">AA17+AA21</f>
        <v>134</v>
      </c>
      <c r="AB23" s="293">
        <f t="shared" si="37"/>
        <v>65</v>
      </c>
      <c r="AC23" s="228">
        <f t="shared" si="37"/>
        <v>378</v>
      </c>
      <c r="AD23" s="292">
        <f t="shared" si="37"/>
        <v>68</v>
      </c>
      <c r="AE23" s="261">
        <f t="shared" si="37"/>
        <v>91</v>
      </c>
      <c r="AF23" s="261">
        <f t="shared" ref="AF23:AJ23" si="38">AF17+AF21</f>
        <v>123</v>
      </c>
      <c r="AG23" s="293">
        <f t="shared" si="38"/>
        <v>126</v>
      </c>
      <c r="AH23" s="228">
        <f t="shared" si="38"/>
        <v>408</v>
      </c>
      <c r="AI23" s="292">
        <f t="shared" si="38"/>
        <v>-96</v>
      </c>
      <c r="AJ23" s="261">
        <f t="shared" si="38"/>
        <v>103</v>
      </c>
      <c r="AK23" s="261">
        <f t="shared" ref="AK23:AO23" si="39">AK17+AK21</f>
        <v>144</v>
      </c>
      <c r="AL23" s="293">
        <f t="shared" si="39"/>
        <v>59</v>
      </c>
      <c r="AM23" s="228">
        <f t="shared" si="39"/>
        <v>210</v>
      </c>
      <c r="AN23" s="292">
        <f t="shared" si="39"/>
        <v>87</v>
      </c>
      <c r="AO23" s="261">
        <f t="shared" si="39"/>
        <v>91</v>
      </c>
      <c r="AP23" s="261">
        <f t="shared" ref="AP23:AR23" si="40">AP17+AP21</f>
        <v>156</v>
      </c>
      <c r="AQ23" s="293">
        <f t="shared" si="40"/>
        <v>97</v>
      </c>
      <c r="AR23" s="228">
        <f t="shared" si="40"/>
        <v>431</v>
      </c>
      <c r="AS23" s="292">
        <f t="shared" si="36"/>
        <v>78.268956254090881</v>
      </c>
      <c r="AT23" s="261">
        <f t="shared" si="36"/>
        <v>77.860761512497504</v>
      </c>
      <c r="AU23" s="261">
        <f t="shared" si="36"/>
        <v>144.86648956661645</v>
      </c>
      <c r="AV23" s="293">
        <f t="shared" si="36"/>
        <v>80.81832969540352</v>
      </c>
      <c r="AW23" s="228">
        <f t="shared" si="36"/>
        <v>381.81453702860858</v>
      </c>
      <c r="AX23" s="292">
        <f t="shared" ref="AX23:BG23" si="41">AX17+AX21</f>
        <v>79.182175693136898</v>
      </c>
      <c r="AY23" s="261">
        <f t="shared" si="41"/>
        <v>77.960328070892771</v>
      </c>
      <c r="AZ23" s="261">
        <f t="shared" si="41"/>
        <v>155.96413939694253</v>
      </c>
      <c r="BA23" s="293">
        <f t="shared" si="41"/>
        <v>92.774117297525933</v>
      </c>
      <c r="BB23" s="228">
        <f t="shared" si="41"/>
        <v>405.88076045849783</v>
      </c>
      <c r="BC23" s="292">
        <f t="shared" si="41"/>
        <v>86.849649139668387</v>
      </c>
      <c r="BD23" s="261">
        <f t="shared" si="41"/>
        <v>87.128755522582722</v>
      </c>
      <c r="BE23" s="261">
        <f t="shared" si="41"/>
        <v>164.37019610550882</v>
      </c>
      <c r="BF23" s="293">
        <f t="shared" si="41"/>
        <v>102.30908185562647</v>
      </c>
      <c r="BG23" s="228">
        <f t="shared" si="41"/>
        <v>440.65768262338639</v>
      </c>
      <c r="BH23" s="292">
        <f t="shared" ref="BH23:BL23" si="42">BH17+BH21</f>
        <v>98.302630015452721</v>
      </c>
      <c r="BI23" s="261">
        <f t="shared" si="42"/>
        <v>98.194213032097295</v>
      </c>
      <c r="BJ23" s="261">
        <f t="shared" si="42"/>
        <v>172.76973996807118</v>
      </c>
      <c r="BK23" s="293">
        <f t="shared" si="42"/>
        <v>111.70215104440386</v>
      </c>
      <c r="BL23" s="228">
        <f t="shared" si="42"/>
        <v>480.96873406002481</v>
      </c>
      <c r="BM23" s="45"/>
      <c r="BN23" s="45"/>
      <c r="BO23" s="45"/>
      <c r="BP23" s="45"/>
      <c r="BQ23" s="45"/>
      <c r="BR23" s="45"/>
      <c r="BS23" s="45"/>
      <c r="BT23" s="45"/>
      <c r="BU23" s="45"/>
      <c r="BV23" s="45"/>
      <c r="BW23" s="45"/>
      <c r="BX23" s="45"/>
      <c r="BY23" s="45"/>
      <c r="BZ23" s="45"/>
      <c r="CA23" s="45"/>
      <c r="CB23" s="45"/>
      <c r="CC23" s="45"/>
      <c r="CD23" s="45"/>
      <c r="CE23" s="45"/>
      <c r="CF23" s="45"/>
      <c r="CG23" s="45"/>
      <c r="CH23" s="45"/>
      <c r="CI23" s="45"/>
      <c r="CJ23" s="45"/>
      <c r="CK23" s="45"/>
      <c r="CL23" s="45"/>
      <c r="CM23" s="45"/>
      <c r="CN23" s="45"/>
      <c r="CO23" s="45"/>
      <c r="CP23" s="45"/>
    </row>
    <row r="24" spans="1:94">
      <c r="A24" s="45"/>
      <c r="B24" s="45"/>
      <c r="C24" s="909" t="s">
        <v>66</v>
      </c>
      <c r="D24" s="45"/>
      <c r="E24" s="292"/>
      <c r="F24" s="261"/>
      <c r="G24" s="261"/>
      <c r="H24" s="293"/>
      <c r="I24" s="228">
        <f t="shared" ref="I24:AW24" si="43">+I23+I13</f>
        <v>405</v>
      </c>
      <c r="J24" s="292">
        <f t="shared" si="43"/>
        <v>91</v>
      </c>
      <c r="K24" s="261">
        <f t="shared" si="43"/>
        <v>98</v>
      </c>
      <c r="L24" s="261">
        <f t="shared" si="43"/>
        <v>129</v>
      </c>
      <c r="M24" s="293">
        <f t="shared" si="43"/>
        <v>82</v>
      </c>
      <c r="N24" s="228">
        <f t="shared" si="43"/>
        <v>400</v>
      </c>
      <c r="O24" s="292">
        <f t="shared" si="43"/>
        <v>91</v>
      </c>
      <c r="P24" s="261">
        <f t="shared" si="43"/>
        <v>107</v>
      </c>
      <c r="Q24" s="261">
        <f t="shared" si="43"/>
        <v>160</v>
      </c>
      <c r="R24" s="293">
        <f t="shared" si="43"/>
        <v>107</v>
      </c>
      <c r="S24" s="228">
        <f t="shared" si="43"/>
        <v>465</v>
      </c>
      <c r="T24" s="292">
        <f t="shared" si="43"/>
        <v>98</v>
      </c>
      <c r="U24" s="261">
        <f t="shared" si="43"/>
        <v>134</v>
      </c>
      <c r="V24" s="261">
        <f t="shared" si="43"/>
        <v>185</v>
      </c>
      <c r="W24" s="293">
        <f t="shared" si="43"/>
        <v>118</v>
      </c>
      <c r="X24" s="228">
        <f t="shared" si="43"/>
        <v>535</v>
      </c>
      <c r="Y24" s="292">
        <f t="shared" si="43"/>
        <v>131</v>
      </c>
      <c r="Z24" s="261">
        <f t="shared" si="43"/>
        <v>160</v>
      </c>
      <c r="AA24" s="261">
        <f t="shared" ref="AA24:AE24" si="44">+AA23+AA13</f>
        <v>193</v>
      </c>
      <c r="AB24" s="293">
        <f t="shared" si="44"/>
        <v>123</v>
      </c>
      <c r="AC24" s="228">
        <f t="shared" si="44"/>
        <v>607</v>
      </c>
      <c r="AD24" s="292">
        <f t="shared" si="44"/>
        <v>133</v>
      </c>
      <c r="AE24" s="261">
        <f t="shared" si="44"/>
        <v>159</v>
      </c>
      <c r="AF24" s="261">
        <f t="shared" ref="AF24:AJ24" si="45">+AF23+AF13</f>
        <v>197</v>
      </c>
      <c r="AG24" s="293">
        <f t="shared" si="45"/>
        <v>196</v>
      </c>
      <c r="AH24" s="228">
        <f t="shared" si="45"/>
        <v>685</v>
      </c>
      <c r="AI24" s="292">
        <f t="shared" si="45"/>
        <v>-21</v>
      </c>
      <c r="AJ24" s="261">
        <f t="shared" si="45"/>
        <v>173</v>
      </c>
      <c r="AK24" s="261">
        <f t="shared" ref="AK24:AO24" si="46">+AK23+AK13</f>
        <v>220</v>
      </c>
      <c r="AL24" s="293">
        <f t="shared" si="46"/>
        <v>133</v>
      </c>
      <c r="AM24" s="228">
        <f t="shared" si="46"/>
        <v>505</v>
      </c>
      <c r="AN24" s="292">
        <f t="shared" si="46"/>
        <v>169</v>
      </c>
      <c r="AO24" s="261">
        <f t="shared" si="46"/>
        <v>169</v>
      </c>
      <c r="AP24" s="261">
        <f t="shared" ref="AP24:AR24" si="47">+AP23+AP13</f>
        <v>238</v>
      </c>
      <c r="AQ24" s="293">
        <f t="shared" si="47"/>
        <v>176</v>
      </c>
      <c r="AR24" s="228">
        <f t="shared" si="47"/>
        <v>752</v>
      </c>
      <c r="AS24" s="292">
        <f t="shared" si="43"/>
        <v>158.24551517726641</v>
      </c>
      <c r="AT24" s="261">
        <f t="shared" si="43"/>
        <v>158.24551517726638</v>
      </c>
      <c r="AU24" s="261">
        <f t="shared" si="43"/>
        <v>226.71051517726636</v>
      </c>
      <c r="AV24" s="293">
        <f t="shared" si="43"/>
        <v>164.1005151772664</v>
      </c>
      <c r="AW24" s="228">
        <f t="shared" si="43"/>
        <v>707.3020607090657</v>
      </c>
      <c r="AX24" s="292">
        <f t="shared" ref="AX24:BG24" si="48">+AX23+AX13</f>
        <v>163.88171441132116</v>
      </c>
      <c r="AY24" s="261">
        <f t="shared" si="48"/>
        <v>164.05671441132108</v>
      </c>
      <c r="AZ24" s="261">
        <f t="shared" si="48"/>
        <v>243.43716441132122</v>
      </c>
      <c r="BA24" s="293">
        <f t="shared" si="48"/>
        <v>181.60386441132118</v>
      </c>
      <c r="BB24" s="228">
        <f t="shared" si="48"/>
        <v>752.97945764528436</v>
      </c>
      <c r="BC24" s="292">
        <f t="shared" si="48"/>
        <v>177.01648992217713</v>
      </c>
      <c r="BD24" s="261">
        <f t="shared" si="48"/>
        <v>177.70336492217706</v>
      </c>
      <c r="BE24" s="261">
        <f t="shared" si="48"/>
        <v>256.70876592217707</v>
      </c>
      <c r="BF24" s="293">
        <f t="shared" si="48"/>
        <v>196.38609192217717</v>
      </c>
      <c r="BG24" s="228">
        <f t="shared" si="48"/>
        <v>807.81471268870837</v>
      </c>
      <c r="BH24" s="292">
        <f t="shared" ref="BH24:BL24" si="49">+BH23+BH13</f>
        <v>194.09292937872397</v>
      </c>
      <c r="BI24" s="261">
        <f t="shared" si="49"/>
        <v>195.12702625372401</v>
      </c>
      <c r="BJ24" s="261">
        <f t="shared" si="49"/>
        <v>271.64579240872388</v>
      </c>
      <c r="BK24" s="293">
        <f t="shared" si="49"/>
        <v>212.49332881372399</v>
      </c>
      <c r="BL24" s="228">
        <f t="shared" si="49"/>
        <v>873.35907685489565</v>
      </c>
      <c r="BM24" s="45"/>
      <c r="BN24" s="45"/>
      <c r="BO24" s="45"/>
      <c r="BP24" s="45"/>
      <c r="BQ24" s="45"/>
      <c r="BR24" s="45"/>
      <c r="BS24" s="45"/>
      <c r="BT24" s="45"/>
      <c r="BU24" s="45"/>
      <c r="BV24" s="45"/>
      <c r="BW24" s="45"/>
      <c r="BX24" s="45"/>
      <c r="BY24" s="45"/>
      <c r="BZ24" s="45"/>
      <c r="CA24" s="45"/>
      <c r="CB24" s="45"/>
      <c r="CC24" s="45"/>
      <c r="CD24" s="45"/>
      <c r="CE24" s="45"/>
      <c r="CF24" s="45"/>
      <c r="CG24" s="45"/>
      <c r="CH24" s="45"/>
      <c r="CI24" s="45"/>
      <c r="CJ24" s="45"/>
      <c r="CK24" s="45"/>
      <c r="CL24" s="45"/>
      <c r="CM24" s="45"/>
      <c r="CN24" s="45"/>
      <c r="CO24" s="45"/>
      <c r="CP24" s="45"/>
    </row>
    <row r="25" spans="1:94">
      <c r="A25" s="45"/>
      <c r="B25" s="45"/>
      <c r="C25" s="895"/>
      <c r="D25" s="45"/>
      <c r="E25" s="814"/>
      <c r="F25" s="262"/>
      <c r="G25" s="262"/>
      <c r="H25" s="294"/>
      <c r="I25" s="1003"/>
      <c r="J25" s="814"/>
      <c r="K25" s="262"/>
      <c r="L25" s="262"/>
      <c r="M25" s="294"/>
      <c r="N25" s="1003"/>
      <c r="O25" s="814"/>
      <c r="P25" s="262"/>
      <c r="Q25" s="262"/>
      <c r="R25" s="294"/>
      <c r="S25" s="1003"/>
      <c r="T25" s="814"/>
      <c r="U25" s="262"/>
      <c r="V25" s="262"/>
      <c r="W25" s="294"/>
      <c r="X25" s="1003"/>
      <c r="Y25" s="814"/>
      <c r="Z25" s="262"/>
      <c r="AA25" s="262"/>
      <c r="AB25" s="294"/>
      <c r="AC25" s="1003"/>
      <c r="AD25" s="814"/>
      <c r="AE25" s="262"/>
      <c r="AF25" s="262"/>
      <c r="AG25" s="294"/>
      <c r="AH25" s="2058"/>
      <c r="AI25" s="814"/>
      <c r="AJ25" s="262"/>
      <c r="AK25" s="262"/>
      <c r="AL25" s="294"/>
      <c r="AM25" s="2058"/>
      <c r="AN25" s="814"/>
      <c r="AO25" s="262"/>
      <c r="AP25" s="260"/>
      <c r="AQ25" s="294"/>
      <c r="AR25" s="2058"/>
      <c r="AS25" s="290"/>
      <c r="AT25" s="260"/>
      <c r="AU25" s="260"/>
      <c r="AV25" s="291"/>
      <c r="AW25" s="45"/>
      <c r="AX25" s="290"/>
      <c r="AY25" s="260"/>
      <c r="AZ25" s="260"/>
      <c r="BA25" s="291"/>
      <c r="BB25" s="45"/>
      <c r="BC25" s="290"/>
      <c r="BD25" s="260"/>
      <c r="BE25" s="260"/>
      <c r="BF25" s="291"/>
      <c r="BG25" s="45"/>
      <c r="BH25" s="290"/>
      <c r="BI25" s="260"/>
      <c r="BJ25" s="260"/>
      <c r="BK25" s="291"/>
      <c r="BL25" s="45"/>
      <c r="BM25" s="45"/>
      <c r="BN25" s="45"/>
      <c r="BO25" s="45"/>
      <c r="BP25" s="45"/>
      <c r="BQ25" s="45"/>
      <c r="BR25" s="45"/>
      <c r="BS25" s="45"/>
      <c r="BT25" s="45"/>
      <c r="BU25" s="45"/>
      <c r="BV25" s="45"/>
      <c r="BW25" s="45"/>
      <c r="BX25" s="45"/>
      <c r="BY25" s="45"/>
      <c r="BZ25" s="45"/>
      <c r="CA25" s="45"/>
      <c r="CB25" s="45"/>
      <c r="CC25" s="45"/>
      <c r="CD25" s="45"/>
      <c r="CE25" s="45"/>
      <c r="CF25" s="45"/>
      <c r="CG25" s="45"/>
      <c r="CH25" s="45"/>
      <c r="CI25" s="45"/>
      <c r="CJ25" s="45"/>
      <c r="CK25" s="45"/>
      <c r="CL25" s="45"/>
      <c r="CM25" s="45"/>
      <c r="CN25" s="45"/>
      <c r="CO25" s="45"/>
      <c r="CP25" s="45"/>
    </row>
    <row r="26" spans="1:94" s="1914" customFormat="1">
      <c r="A26" s="330"/>
      <c r="B26" s="330"/>
      <c r="C26" s="890" t="s">
        <v>80</v>
      </c>
      <c r="D26" s="330"/>
      <c r="E26" s="337"/>
      <c r="F26" s="338"/>
      <c r="G26" s="338"/>
      <c r="H26" s="586"/>
      <c r="I26" s="339">
        <v>98</v>
      </c>
      <c r="J26" s="337">
        <v>24</v>
      </c>
      <c r="K26" s="338">
        <v>22</v>
      </c>
      <c r="L26" s="338">
        <v>24</v>
      </c>
      <c r="M26" s="586">
        <f>N26-SUM(J26:L26)</f>
        <v>24</v>
      </c>
      <c r="N26" s="339">
        <v>94</v>
      </c>
      <c r="O26" s="337">
        <v>25</v>
      </c>
      <c r="P26" s="338">
        <v>24</v>
      </c>
      <c r="Q26" s="338">
        <v>27</v>
      </c>
      <c r="R26" s="586">
        <f>S26-SUM(O26:Q26)</f>
        <v>25</v>
      </c>
      <c r="S26" s="339">
        <v>101</v>
      </c>
      <c r="T26" s="337">
        <v>26</v>
      </c>
      <c r="U26" s="338">
        <v>28</v>
      </c>
      <c r="V26" s="338">
        <v>28</v>
      </c>
      <c r="W26" s="586">
        <f>X26-SUM(T26:V26)</f>
        <v>28</v>
      </c>
      <c r="X26" s="339">
        <v>110</v>
      </c>
      <c r="Y26" s="337">
        <v>27</v>
      </c>
      <c r="Z26" s="338">
        <v>30</v>
      </c>
      <c r="AA26" s="338">
        <v>29</v>
      </c>
      <c r="AB26" s="586">
        <f>AC26-SUM(Y26:AA26)</f>
        <v>29</v>
      </c>
      <c r="AC26" s="339">
        <v>115</v>
      </c>
      <c r="AD26" s="337">
        <v>30</v>
      </c>
      <c r="AE26" s="338">
        <v>31</v>
      </c>
      <c r="AF26" s="338">
        <v>31</v>
      </c>
      <c r="AG26" s="586">
        <f>AH26-SUM(AD26:AF26)</f>
        <v>31</v>
      </c>
      <c r="AH26" s="2056">
        <v>123</v>
      </c>
      <c r="AI26" s="337">
        <v>37</v>
      </c>
      <c r="AJ26" s="338">
        <v>31</v>
      </c>
      <c r="AK26" s="338">
        <v>30</v>
      </c>
      <c r="AL26" s="586">
        <f>AM26-SUM(AI26:AK26)</f>
        <v>29</v>
      </c>
      <c r="AM26" s="2056">
        <v>127</v>
      </c>
      <c r="AN26" s="337">
        <v>29</v>
      </c>
      <c r="AO26" s="338">
        <v>28</v>
      </c>
      <c r="AP26" s="338">
        <v>31</v>
      </c>
      <c r="AQ26" s="586">
        <f>AR26-SUM(AN26:AP26)</f>
        <v>33</v>
      </c>
      <c r="AR26" s="2056">
        <v>121</v>
      </c>
      <c r="AS26" s="369">
        <f>+AN26+AS133+AS134+AS131</f>
        <v>30.377499999999998</v>
      </c>
      <c r="AT26" s="353">
        <f ca="1">+AO26+AT133+AT134+AT131</f>
        <v>29.429698489372417</v>
      </c>
      <c r="AU26" s="353">
        <f ca="1">+AP26+AU133+AU134+AU131</f>
        <v>35.126891224965853</v>
      </c>
      <c r="AV26" s="354">
        <f ca="1">+AQ26+AV133+AV134+AV131</f>
        <v>35.759392776494181</v>
      </c>
      <c r="AW26" s="340">
        <f ca="1">SUM(AS26:AV26)</f>
        <v>130.69348249083242</v>
      </c>
      <c r="AX26" s="369">
        <f ca="1">+AS26+AX133+AX134+AX131</f>
        <v>32.978957024431573</v>
      </c>
      <c r="AY26" s="353">
        <f ca="1">+AT26+AY133+AY134+AY131</f>
        <v>31.974738579984347</v>
      </c>
      <c r="AZ26" s="353">
        <f ca="1">+AU26+AZ133+AZ134+AZ131</f>
        <v>37.918758782493668</v>
      </c>
      <c r="BA26" s="354">
        <f ca="1">+AV26+BA133+BA134+BA131</f>
        <v>37.700688921436097</v>
      </c>
      <c r="BB26" s="340">
        <f ca="1">SUM(AX26:BA26)</f>
        <v>140.57314330834566</v>
      </c>
      <c r="BC26" s="369">
        <f ca="1">+AX26+BC133+BC134+BC131</f>
        <v>34.765193326423478</v>
      </c>
      <c r="BD26" s="353">
        <f ca="1">+AY26+BD133+BD134+BD131</f>
        <v>33.809078495815449</v>
      </c>
      <c r="BE26" s="353">
        <f ca="1">+AZ26+BE133+BE134+BE131</f>
        <v>41.415921088102408</v>
      </c>
      <c r="BF26" s="354">
        <f ca="1">+BA26+BF133+BF134+BF131</f>
        <v>40.240730244553632</v>
      </c>
      <c r="BG26" s="340">
        <f ca="1">SUM(BC26:BF26)</f>
        <v>150.23092315489498</v>
      </c>
      <c r="BH26" s="369">
        <f ca="1">+BC26+BH133+BH134+BH131</f>
        <v>37.117940907203646</v>
      </c>
      <c r="BI26" s="353">
        <f ca="1">+BD26+BI133+BI134+BI131</f>
        <v>36.178656956471059</v>
      </c>
      <c r="BJ26" s="353">
        <f ca="1">+BE26+BJ133+BJ134+BJ131</f>
        <v>45.3145735090229</v>
      </c>
      <c r="BK26" s="354">
        <f ca="1">+BF26+BK133+BK134+BK131</f>
        <v>43.080129567801464</v>
      </c>
      <c r="BL26" s="340">
        <f ca="1">SUM(BH26:BK26)</f>
        <v>161.69130094049908</v>
      </c>
      <c r="BM26" s="340"/>
      <c r="BN26" s="340"/>
      <c r="BO26" s="340"/>
      <c r="BP26" s="340"/>
      <c r="BQ26" s="340"/>
      <c r="BR26" s="340"/>
      <c r="BS26" s="340"/>
      <c r="BT26" s="340"/>
      <c r="BU26" s="340"/>
      <c r="BV26" s="340"/>
      <c r="BW26" s="340"/>
      <c r="BX26" s="340"/>
      <c r="BY26" s="340"/>
      <c r="BZ26" s="340"/>
      <c r="CA26" s="340"/>
      <c r="CB26" s="340"/>
      <c r="CC26" s="340"/>
      <c r="CD26" s="340"/>
      <c r="CE26" s="340"/>
      <c r="CF26" s="340"/>
      <c r="CG26" s="340"/>
      <c r="CH26" s="340"/>
      <c r="CI26" s="340"/>
      <c r="CJ26" s="340"/>
      <c r="CK26" s="340"/>
      <c r="CL26" s="340"/>
      <c r="CM26" s="340"/>
      <c r="CN26" s="340"/>
      <c r="CO26" s="340"/>
      <c r="CP26" s="340"/>
    </row>
    <row r="27" spans="1:94">
      <c r="A27" s="45"/>
      <c r="B27" s="45"/>
      <c r="C27" s="895"/>
      <c r="D27" s="45"/>
      <c r="E27" s="814"/>
      <c r="F27" s="262"/>
      <c r="G27" s="262"/>
      <c r="H27" s="294"/>
      <c r="I27" s="1003"/>
      <c r="J27" s="814"/>
      <c r="K27" s="262"/>
      <c r="L27" s="262"/>
      <c r="M27" s="294"/>
      <c r="N27" s="1003"/>
      <c r="O27" s="814"/>
      <c r="P27" s="262"/>
      <c r="Q27" s="262"/>
      <c r="R27" s="294"/>
      <c r="S27" s="1003"/>
      <c r="T27" s="814"/>
      <c r="U27" s="262"/>
      <c r="V27" s="262"/>
      <c r="W27" s="294"/>
      <c r="X27" s="1003"/>
      <c r="Y27" s="814"/>
      <c r="Z27" s="262"/>
      <c r="AA27" s="262"/>
      <c r="AB27" s="294"/>
      <c r="AC27" s="1003"/>
      <c r="AD27" s="814"/>
      <c r="AE27" s="262"/>
      <c r="AF27" s="262"/>
      <c r="AG27" s="294"/>
      <c r="AH27" s="2058"/>
      <c r="AI27" s="814"/>
      <c r="AJ27" s="262"/>
      <c r="AK27" s="262"/>
      <c r="AL27" s="294"/>
      <c r="AM27" s="2058"/>
      <c r="AN27" s="814"/>
      <c r="AO27" s="262"/>
      <c r="AP27" s="262"/>
      <c r="AQ27" s="294"/>
      <c r="AR27" s="2058"/>
      <c r="AS27" s="290"/>
      <c r="AT27" s="260"/>
      <c r="AU27" s="260"/>
      <c r="AV27" s="291"/>
      <c r="AW27" s="45"/>
      <c r="AX27" s="290"/>
      <c r="AY27" s="260"/>
      <c r="AZ27" s="260"/>
      <c r="BA27" s="291"/>
      <c r="BB27" s="45"/>
      <c r="BC27" s="290"/>
      <c r="BD27" s="260"/>
      <c r="BE27" s="260"/>
      <c r="BF27" s="291"/>
      <c r="BG27" s="45"/>
      <c r="BH27" s="290"/>
      <c r="BI27" s="260"/>
      <c r="BJ27" s="260"/>
      <c r="BK27" s="291"/>
      <c r="BL27" s="45"/>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row>
    <row r="28" spans="1:94">
      <c r="A28" s="45"/>
      <c r="B28" s="45"/>
      <c r="C28" s="909" t="s">
        <v>576</v>
      </c>
      <c r="D28" s="45"/>
      <c r="E28" s="292"/>
      <c r="F28" s="261"/>
      <c r="G28" s="261"/>
      <c r="H28" s="293"/>
      <c r="I28" s="228">
        <f t="shared" ref="I28:AW28" si="50">+I23-I26</f>
        <v>145</v>
      </c>
      <c r="J28" s="292">
        <f t="shared" si="50"/>
        <v>25</v>
      </c>
      <c r="K28" s="261">
        <f t="shared" si="50"/>
        <v>34</v>
      </c>
      <c r="L28" s="261">
        <f t="shared" si="50"/>
        <v>61</v>
      </c>
      <c r="M28" s="293">
        <f t="shared" si="50"/>
        <v>15</v>
      </c>
      <c r="N28" s="228">
        <f t="shared" si="50"/>
        <v>135</v>
      </c>
      <c r="O28" s="292">
        <f t="shared" si="50"/>
        <v>19</v>
      </c>
      <c r="P28" s="261">
        <f t="shared" si="50"/>
        <v>35</v>
      </c>
      <c r="Q28" s="261">
        <f t="shared" si="50"/>
        <v>85</v>
      </c>
      <c r="R28" s="293">
        <f t="shared" si="50"/>
        <v>35</v>
      </c>
      <c r="S28" s="228">
        <f t="shared" si="50"/>
        <v>174</v>
      </c>
      <c r="T28" s="292">
        <f t="shared" si="50"/>
        <v>25</v>
      </c>
      <c r="U28" s="261">
        <f t="shared" si="50"/>
        <v>57</v>
      </c>
      <c r="V28" s="261">
        <f t="shared" si="50"/>
        <v>106</v>
      </c>
      <c r="W28" s="293">
        <f t="shared" si="50"/>
        <v>41</v>
      </c>
      <c r="X28" s="228">
        <f t="shared" si="50"/>
        <v>229</v>
      </c>
      <c r="Y28" s="292">
        <f t="shared" si="50"/>
        <v>48</v>
      </c>
      <c r="Z28" s="261">
        <f t="shared" si="50"/>
        <v>74</v>
      </c>
      <c r="AA28" s="261">
        <f t="shared" ref="AA28:AE28" si="51">+AA23-AA26</f>
        <v>105</v>
      </c>
      <c r="AB28" s="293">
        <f t="shared" si="51"/>
        <v>36</v>
      </c>
      <c r="AC28" s="228">
        <f t="shared" si="51"/>
        <v>263</v>
      </c>
      <c r="AD28" s="292">
        <f t="shared" si="51"/>
        <v>38</v>
      </c>
      <c r="AE28" s="261">
        <f t="shared" si="51"/>
        <v>60</v>
      </c>
      <c r="AF28" s="261">
        <f t="shared" ref="AF28:AJ28" si="52">+AF23-AF26</f>
        <v>92</v>
      </c>
      <c r="AG28" s="293">
        <f t="shared" si="52"/>
        <v>95</v>
      </c>
      <c r="AH28" s="228">
        <f t="shared" si="52"/>
        <v>285</v>
      </c>
      <c r="AI28" s="292">
        <f t="shared" si="52"/>
        <v>-133</v>
      </c>
      <c r="AJ28" s="261">
        <f t="shared" si="52"/>
        <v>72</v>
      </c>
      <c r="AK28" s="261">
        <f t="shared" ref="AK28:AO28" si="53">+AK23-AK26</f>
        <v>114</v>
      </c>
      <c r="AL28" s="293">
        <f t="shared" si="53"/>
        <v>30</v>
      </c>
      <c r="AM28" s="228">
        <f t="shared" si="53"/>
        <v>83</v>
      </c>
      <c r="AN28" s="292">
        <f t="shared" si="53"/>
        <v>58</v>
      </c>
      <c r="AO28" s="261">
        <f t="shared" si="53"/>
        <v>63</v>
      </c>
      <c r="AP28" s="261">
        <f t="shared" si="50"/>
        <v>125</v>
      </c>
      <c r="AQ28" s="293">
        <f t="shared" si="50"/>
        <v>64</v>
      </c>
      <c r="AR28" s="228">
        <f t="shared" si="50"/>
        <v>310</v>
      </c>
      <c r="AS28" s="292">
        <f t="shared" si="50"/>
        <v>47.891456254090883</v>
      </c>
      <c r="AT28" s="261">
        <f t="shared" ca="1" si="50"/>
        <v>48.431063023125091</v>
      </c>
      <c r="AU28" s="261">
        <f t="shared" ca="1" si="50"/>
        <v>109.73959834165061</v>
      </c>
      <c r="AV28" s="293">
        <f t="shared" ca="1" si="50"/>
        <v>45.058936918909339</v>
      </c>
      <c r="AW28" s="228">
        <f t="shared" ca="1" si="50"/>
        <v>251.12105453777616</v>
      </c>
      <c r="AX28" s="292">
        <f t="shared" ref="AX28:BG28" ca="1" si="54">+AX23-AX26</f>
        <v>46.203218668705325</v>
      </c>
      <c r="AY28" s="261">
        <f t="shared" ca="1" si="54"/>
        <v>45.985589490908424</v>
      </c>
      <c r="AZ28" s="261">
        <f t="shared" ca="1" si="54"/>
        <v>118.04538061444886</v>
      </c>
      <c r="BA28" s="293">
        <f t="shared" ca="1" si="54"/>
        <v>55.073428376089836</v>
      </c>
      <c r="BB28" s="228">
        <f t="shared" ca="1" si="54"/>
        <v>265.30761715015217</v>
      </c>
      <c r="BC28" s="292">
        <f t="shared" ca="1" si="54"/>
        <v>52.084455813244908</v>
      </c>
      <c r="BD28" s="261">
        <f t="shared" ca="1" si="54"/>
        <v>53.319677026767273</v>
      </c>
      <c r="BE28" s="261">
        <f t="shared" ca="1" si="54"/>
        <v>122.95427501740642</v>
      </c>
      <c r="BF28" s="293">
        <f t="shared" ca="1" si="54"/>
        <v>62.068351611072842</v>
      </c>
      <c r="BG28" s="228">
        <f t="shared" ca="1" si="54"/>
        <v>290.42675946849141</v>
      </c>
      <c r="BH28" s="292">
        <f t="shared" ref="BH28:BL28" ca="1" si="55">+BH23-BH26</f>
        <v>61.184689108249074</v>
      </c>
      <c r="BI28" s="261">
        <f t="shared" ca="1" si="55"/>
        <v>62.015556075626236</v>
      </c>
      <c r="BJ28" s="261">
        <f t="shared" ca="1" si="55"/>
        <v>127.45516645904829</v>
      </c>
      <c r="BK28" s="293">
        <f t="shared" ca="1" si="55"/>
        <v>68.622021476602399</v>
      </c>
      <c r="BL28" s="228">
        <f t="shared" ca="1" si="55"/>
        <v>319.27743311952577</v>
      </c>
      <c r="BM28" s="45"/>
      <c r="BN28" s="45"/>
      <c r="BO28" s="45"/>
      <c r="BP28" s="45"/>
      <c r="BQ28" s="45"/>
      <c r="BR28" s="45"/>
      <c r="BS28" s="45"/>
      <c r="BT28" s="45"/>
      <c r="BU28" s="45"/>
      <c r="BV28" s="45"/>
      <c r="BW28" s="45"/>
      <c r="BX28" s="45"/>
      <c r="BY28" s="45"/>
      <c r="BZ28" s="45"/>
      <c r="CA28" s="45"/>
      <c r="CB28" s="45"/>
      <c r="CC28" s="45"/>
      <c r="CD28" s="45"/>
      <c r="CE28" s="45"/>
      <c r="CF28" s="45"/>
      <c r="CG28" s="45"/>
      <c r="CH28" s="45"/>
      <c r="CI28" s="45"/>
      <c r="CJ28" s="45"/>
      <c r="CK28" s="45"/>
      <c r="CL28" s="45"/>
      <c r="CM28" s="45"/>
      <c r="CN28" s="45"/>
      <c r="CO28" s="45"/>
      <c r="CP28" s="45"/>
    </row>
    <row r="29" spans="1:94">
      <c r="A29" s="45"/>
      <c r="B29" s="45"/>
      <c r="C29" s="895"/>
      <c r="D29" s="45"/>
      <c r="E29" s="290"/>
      <c r="F29" s="260"/>
      <c r="G29" s="260"/>
      <c r="H29" s="291"/>
      <c r="I29" s="45"/>
      <c r="J29" s="290"/>
      <c r="K29" s="260"/>
      <c r="L29" s="260"/>
      <c r="M29" s="291"/>
      <c r="N29" s="45"/>
      <c r="O29" s="290"/>
      <c r="P29" s="260"/>
      <c r="Q29" s="260"/>
      <c r="R29" s="291"/>
      <c r="S29" s="45"/>
      <c r="T29" s="290"/>
      <c r="U29" s="260"/>
      <c r="V29" s="260"/>
      <c r="W29" s="291"/>
      <c r="X29" s="45"/>
      <c r="Y29" s="290"/>
      <c r="Z29" s="260"/>
      <c r="AA29" s="260"/>
      <c r="AB29" s="291"/>
      <c r="AC29" s="45"/>
      <c r="AD29" s="290"/>
      <c r="AE29" s="260"/>
      <c r="AF29" s="260"/>
      <c r="AG29" s="291"/>
      <c r="AH29" s="45"/>
      <c r="AI29" s="290"/>
      <c r="AJ29" s="260"/>
      <c r="AK29" s="260"/>
      <c r="AL29" s="291"/>
      <c r="AM29" s="45"/>
      <c r="AN29" s="290"/>
      <c r="AO29" s="260"/>
      <c r="AP29" s="260"/>
      <c r="AQ29" s="291"/>
      <c r="AR29" s="45"/>
      <c r="AS29" s="290"/>
      <c r="AT29" s="260"/>
      <c r="AU29" s="260"/>
      <c r="AV29" s="291"/>
      <c r="AW29" s="45"/>
      <c r="AX29" s="290"/>
      <c r="AY29" s="260"/>
      <c r="AZ29" s="260"/>
      <c r="BA29" s="291"/>
      <c r="BB29" s="45"/>
      <c r="BC29" s="290"/>
      <c r="BD29" s="260"/>
      <c r="BE29" s="260"/>
      <c r="BF29" s="291"/>
      <c r="BG29" s="45"/>
      <c r="BH29" s="290"/>
      <c r="BI29" s="260"/>
      <c r="BJ29" s="260"/>
      <c r="BK29" s="291"/>
      <c r="BL29" s="45"/>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row>
    <row r="30" spans="1:94">
      <c r="A30" s="45"/>
      <c r="B30" s="45"/>
      <c r="C30" s="895" t="s">
        <v>320</v>
      </c>
      <c r="D30" s="45"/>
      <c r="E30" s="337"/>
      <c r="F30" s="338"/>
      <c r="G30" s="338"/>
      <c r="H30" s="586"/>
      <c r="I30" s="339">
        <v>37</v>
      </c>
      <c r="J30" s="337">
        <v>7</v>
      </c>
      <c r="K30" s="338">
        <v>2</v>
      </c>
      <c r="L30" s="338">
        <v>23</v>
      </c>
      <c r="M30" s="586">
        <f>N30-SUM(J30:L30)</f>
        <v>4</v>
      </c>
      <c r="N30" s="339">
        <v>36</v>
      </c>
      <c r="O30" s="337">
        <v>-5</v>
      </c>
      <c r="P30" s="338">
        <v>8</v>
      </c>
      <c r="Q30" s="338">
        <v>35</v>
      </c>
      <c r="R30" s="586">
        <f>S30-SUM(O30:Q30)</f>
        <v>10</v>
      </c>
      <c r="S30" s="339">
        <v>48</v>
      </c>
      <c r="T30" s="337">
        <v>2</v>
      </c>
      <c r="U30" s="338">
        <v>20</v>
      </c>
      <c r="V30" s="338">
        <v>40</v>
      </c>
      <c r="W30" s="586">
        <f>X30-SUM(T30:V30)</f>
        <v>17</v>
      </c>
      <c r="X30" s="339">
        <v>79</v>
      </c>
      <c r="Y30" s="337">
        <v>16</v>
      </c>
      <c r="Z30" s="338">
        <v>28</v>
      </c>
      <c r="AA30" s="338">
        <v>38</v>
      </c>
      <c r="AB30" s="586">
        <f>AC30-SUM(Y30:AA30)</f>
        <v>10</v>
      </c>
      <c r="AC30" s="339">
        <v>92</v>
      </c>
      <c r="AD30" s="337">
        <v>12</v>
      </c>
      <c r="AE30" s="338">
        <v>18</v>
      </c>
      <c r="AF30" s="338">
        <v>32</v>
      </c>
      <c r="AG30" s="586">
        <f>AH30-SUM(AD30:AF30)</f>
        <v>36</v>
      </c>
      <c r="AH30" s="2056">
        <v>98</v>
      </c>
      <c r="AI30" s="337">
        <v>-25</v>
      </c>
      <c r="AJ30" s="338">
        <v>23</v>
      </c>
      <c r="AK30" s="338">
        <v>35</v>
      </c>
      <c r="AL30" s="586">
        <f>AM30-SUM(AI30:AK30)</f>
        <v>8</v>
      </c>
      <c r="AM30" s="2056">
        <v>41</v>
      </c>
      <c r="AN30" s="337">
        <v>0</v>
      </c>
      <c r="AO30" s="338">
        <v>20</v>
      </c>
      <c r="AP30" s="338">
        <v>38</v>
      </c>
      <c r="AQ30" s="586">
        <f>AR30-SUM(AN30:AP30)</f>
        <v>47</v>
      </c>
      <c r="AR30" s="2056">
        <v>105</v>
      </c>
      <c r="AS30" s="290">
        <f>AS54*(AS28-AS19)</f>
        <v>8.838875474234408</v>
      </c>
      <c r="AT30" s="260">
        <f ca="1">AT54*(AT28-AT19)</f>
        <v>8.9521928957315922</v>
      </c>
      <c r="AU30" s="260">
        <f ca="1">AU54*(AU28-AU19)</f>
        <v>21.82698531262195</v>
      </c>
      <c r="AV30" s="291">
        <f ca="1">AV54*(AV28-AV19)</f>
        <v>8.2440464138462843</v>
      </c>
      <c r="AW30" s="45">
        <f ca="1">SUM(AS30:AV30)</f>
        <v>47.862100096434233</v>
      </c>
      <c r="AX30" s="290">
        <f ca="1">AX54*(AX28-AX19)</f>
        <v>8.3970003906936164</v>
      </c>
      <c r="AY30" s="260">
        <f ca="1">AY54*(AY28-AY19)</f>
        <v>8.3512982633562665</v>
      </c>
      <c r="AZ30" s="260">
        <f ca="1">AZ54*(AZ28-AZ19)</f>
        <v>23.483854399299759</v>
      </c>
      <c r="BA30" s="291">
        <f ca="1">BA54*(BA28-BA19)</f>
        <v>10.259744429244364</v>
      </c>
      <c r="BB30" s="45">
        <f ca="1">SUM(AX30:BA30)</f>
        <v>50.491897482594005</v>
      </c>
      <c r="BC30" s="290">
        <f ca="1">BC54*(BC28-BC19)</f>
        <v>9.5195019557249871</v>
      </c>
      <c r="BD30" s="260">
        <f ca="1">BD54*(BD28-BD19)</f>
        <v>9.7788984105646843</v>
      </c>
      <c r="BE30" s="260">
        <f ca="1">BE54*(BE28-BE19)</f>
        <v>24.402163988598904</v>
      </c>
      <c r="BF30" s="291">
        <f ca="1">BF54*(BF28-BF19)</f>
        <v>11.616120073268855</v>
      </c>
      <c r="BG30" s="45">
        <f ca="1">SUM(BC30:BF30)</f>
        <v>55.316684428157423</v>
      </c>
      <c r="BH30" s="290">
        <f ca="1">BH54*(BH28-BH19)</f>
        <v>11.250457771160759</v>
      </c>
      <c r="BI30" s="260">
        <f ca="1">BI54*(BI28-BI19)</f>
        <v>11.424939834309964</v>
      </c>
      <c r="BJ30" s="260">
        <f ca="1">BJ54*(BJ28-BJ19)</f>
        <v>25.167258014828594</v>
      </c>
      <c r="BK30" s="291">
        <f ca="1">BK54*(BK28-BK19)</f>
        <v>12.812297568514959</v>
      </c>
      <c r="BL30" s="45">
        <f ca="1">SUM(BH30:BK30)</f>
        <v>60.654953188814268</v>
      </c>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row>
    <row r="31" spans="1:94">
      <c r="A31" s="45"/>
      <c r="B31" s="45"/>
      <c r="C31" s="895"/>
      <c r="D31" s="45"/>
      <c r="E31" s="337"/>
      <c r="F31" s="338"/>
      <c r="G31" s="338"/>
      <c r="H31" s="1684"/>
      <c r="I31" s="339"/>
      <c r="J31" s="337"/>
      <c r="K31" s="338"/>
      <c r="L31" s="338"/>
      <c r="M31" s="1684"/>
      <c r="N31" s="339"/>
      <c r="O31" s="337"/>
      <c r="P31" s="338"/>
      <c r="Q31" s="338"/>
      <c r="R31" s="1684"/>
      <c r="S31" s="339"/>
      <c r="T31" s="337"/>
      <c r="U31" s="338"/>
      <c r="V31" s="338"/>
      <c r="W31" s="1684"/>
      <c r="X31" s="339"/>
      <c r="Y31" s="337"/>
      <c r="Z31" s="338"/>
      <c r="AA31" s="338"/>
      <c r="AB31" s="1684"/>
      <c r="AC31" s="339"/>
      <c r="AD31" s="337"/>
      <c r="AE31" s="338"/>
      <c r="AF31" s="338"/>
      <c r="AG31" s="1684"/>
      <c r="AH31" s="2056"/>
      <c r="AI31" s="337"/>
      <c r="AJ31" s="338"/>
      <c r="AK31" s="338"/>
      <c r="AL31" s="1684"/>
      <c r="AM31" s="2056"/>
      <c r="AN31" s="337"/>
      <c r="AO31" s="338"/>
      <c r="AP31" s="338"/>
      <c r="AQ31" s="1684"/>
      <c r="AR31" s="2056"/>
      <c r="AS31" s="290"/>
      <c r="AT31" s="260"/>
      <c r="AU31" s="260"/>
      <c r="AV31" s="291"/>
      <c r="AW31" s="45"/>
      <c r="AX31" s="290"/>
      <c r="AY31" s="260"/>
      <c r="AZ31" s="260"/>
      <c r="BA31" s="291"/>
      <c r="BB31" s="45"/>
      <c r="BC31" s="290"/>
      <c r="BD31" s="260"/>
      <c r="BE31" s="260"/>
      <c r="BF31" s="291"/>
      <c r="BG31" s="45"/>
      <c r="BH31" s="290"/>
      <c r="BI31" s="260"/>
      <c r="BJ31" s="260"/>
      <c r="BK31" s="291"/>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c r="CK31" s="45"/>
      <c r="CL31" s="45"/>
      <c r="CM31" s="45"/>
      <c r="CN31" s="45"/>
      <c r="CO31" s="45"/>
      <c r="CP31" s="45"/>
    </row>
    <row r="32" spans="1:94">
      <c r="A32" s="228"/>
      <c r="B32" s="228"/>
      <c r="C32" s="909" t="s">
        <v>82</v>
      </c>
      <c r="D32" s="228"/>
      <c r="E32" s="292"/>
      <c r="F32" s="261"/>
      <c r="G32" s="261"/>
      <c r="H32" s="293"/>
      <c r="I32" s="228">
        <f t="shared" ref="I32:AW32" si="56">+I28-I30</f>
        <v>108</v>
      </c>
      <c r="J32" s="292">
        <f t="shared" si="56"/>
        <v>18</v>
      </c>
      <c r="K32" s="261">
        <f t="shared" si="56"/>
        <v>32</v>
      </c>
      <c r="L32" s="261">
        <f t="shared" si="56"/>
        <v>38</v>
      </c>
      <c r="M32" s="293">
        <f t="shared" si="56"/>
        <v>11</v>
      </c>
      <c r="N32" s="228">
        <f t="shared" si="56"/>
        <v>99</v>
      </c>
      <c r="O32" s="292">
        <f t="shared" si="56"/>
        <v>24</v>
      </c>
      <c r="P32" s="261">
        <f t="shared" si="56"/>
        <v>27</v>
      </c>
      <c r="Q32" s="261">
        <f t="shared" si="56"/>
        <v>50</v>
      </c>
      <c r="R32" s="293">
        <f t="shared" si="56"/>
        <v>25</v>
      </c>
      <c r="S32" s="228">
        <f t="shared" si="56"/>
        <v>126</v>
      </c>
      <c r="T32" s="292">
        <f t="shared" si="56"/>
        <v>23</v>
      </c>
      <c r="U32" s="261">
        <f t="shared" si="56"/>
        <v>37</v>
      </c>
      <c r="V32" s="261">
        <f t="shared" si="56"/>
        <v>66</v>
      </c>
      <c r="W32" s="293">
        <f t="shared" si="56"/>
        <v>24</v>
      </c>
      <c r="X32" s="228">
        <f t="shared" si="56"/>
        <v>150</v>
      </c>
      <c r="Y32" s="292">
        <f t="shared" si="56"/>
        <v>32</v>
      </c>
      <c r="Z32" s="261">
        <f t="shared" si="56"/>
        <v>46</v>
      </c>
      <c r="AA32" s="261">
        <f t="shared" ref="AA32:AE32" si="57">+AA28-AA30</f>
        <v>67</v>
      </c>
      <c r="AB32" s="293">
        <f t="shared" si="57"/>
        <v>26</v>
      </c>
      <c r="AC32" s="228">
        <f t="shared" si="57"/>
        <v>171</v>
      </c>
      <c r="AD32" s="292">
        <f t="shared" si="57"/>
        <v>26</v>
      </c>
      <c r="AE32" s="261">
        <f t="shared" si="57"/>
        <v>42</v>
      </c>
      <c r="AF32" s="261">
        <f t="shared" ref="AF32:AJ32" si="58">+AF28-AF30</f>
        <v>60</v>
      </c>
      <c r="AG32" s="293">
        <f t="shared" si="58"/>
        <v>59</v>
      </c>
      <c r="AH32" s="228">
        <f t="shared" si="58"/>
        <v>187</v>
      </c>
      <c r="AI32" s="292">
        <f t="shared" si="58"/>
        <v>-108</v>
      </c>
      <c r="AJ32" s="261">
        <f t="shared" si="58"/>
        <v>49</v>
      </c>
      <c r="AK32" s="261">
        <f t="shared" ref="AK32:AO32" si="59">+AK28-AK30</f>
        <v>79</v>
      </c>
      <c r="AL32" s="293">
        <f t="shared" si="59"/>
        <v>22</v>
      </c>
      <c r="AM32" s="228">
        <f t="shared" si="59"/>
        <v>42</v>
      </c>
      <c r="AN32" s="292">
        <f t="shared" si="59"/>
        <v>58</v>
      </c>
      <c r="AO32" s="261">
        <f t="shared" si="59"/>
        <v>43</v>
      </c>
      <c r="AP32" s="261">
        <f t="shared" si="56"/>
        <v>87</v>
      </c>
      <c r="AQ32" s="293">
        <f t="shared" si="56"/>
        <v>17</v>
      </c>
      <c r="AR32" s="228">
        <f t="shared" si="56"/>
        <v>205</v>
      </c>
      <c r="AS32" s="292">
        <f t="shared" si="56"/>
        <v>39.052580779856477</v>
      </c>
      <c r="AT32" s="261">
        <f t="shared" ca="1" si="56"/>
        <v>39.478870127393499</v>
      </c>
      <c r="AU32" s="261">
        <f t="shared" ca="1" si="56"/>
        <v>87.912613029028648</v>
      </c>
      <c r="AV32" s="293">
        <f t="shared" ca="1" si="56"/>
        <v>36.814890505063055</v>
      </c>
      <c r="AW32" s="228">
        <f t="shared" ca="1" si="56"/>
        <v>203.25895444134193</v>
      </c>
      <c r="AX32" s="292">
        <f t="shared" ref="AX32:BG32" ca="1" si="60">+AX28-AX30</f>
        <v>37.806218278011713</v>
      </c>
      <c r="AY32" s="261">
        <f t="shared" ca="1" si="60"/>
        <v>37.634291227552154</v>
      </c>
      <c r="AZ32" s="261">
        <f t="shared" ca="1" si="60"/>
        <v>94.561526215149101</v>
      </c>
      <c r="BA32" s="293">
        <f t="shared" ca="1" si="60"/>
        <v>44.813683946845472</v>
      </c>
      <c r="BB32" s="228">
        <f t="shared" ca="1" si="60"/>
        <v>214.81571966755817</v>
      </c>
      <c r="BC32" s="292">
        <f t="shared" ca="1" si="60"/>
        <v>42.564953857519924</v>
      </c>
      <c r="BD32" s="261">
        <f t="shared" ca="1" si="60"/>
        <v>43.540778616202587</v>
      </c>
      <c r="BE32" s="261">
        <f t="shared" ca="1" si="60"/>
        <v>98.552111028807516</v>
      </c>
      <c r="BF32" s="293">
        <f t="shared" ca="1" si="60"/>
        <v>50.452231537803989</v>
      </c>
      <c r="BG32" s="228">
        <f t="shared" ca="1" si="60"/>
        <v>235.11007504033398</v>
      </c>
      <c r="BH32" s="292">
        <f t="shared" ref="BH32:BL32" ca="1" si="61">+BH28-BH30</f>
        <v>49.934231337088313</v>
      </c>
      <c r="BI32" s="261">
        <f t="shared" ca="1" si="61"/>
        <v>50.590616241316269</v>
      </c>
      <c r="BJ32" s="261">
        <f t="shared" ca="1" si="61"/>
        <v>102.2879084442197</v>
      </c>
      <c r="BK32" s="293">
        <f t="shared" ca="1" si="61"/>
        <v>55.809723908087442</v>
      </c>
      <c r="BL32" s="228">
        <f t="shared" ca="1" si="61"/>
        <v>258.62247993071151</v>
      </c>
      <c r="BM32" s="228"/>
      <c r="BN32" s="228"/>
      <c r="BO32" s="228"/>
      <c r="BP32" s="228"/>
      <c r="BQ32" s="228"/>
      <c r="BR32" s="228"/>
      <c r="BS32" s="228"/>
      <c r="BT32" s="228"/>
      <c r="BU32" s="228"/>
      <c r="BV32" s="228"/>
      <c r="BW32" s="228"/>
      <c r="BX32" s="228"/>
      <c r="BY32" s="228"/>
      <c r="BZ32" s="228"/>
      <c r="CA32" s="228"/>
      <c r="CB32" s="228"/>
      <c r="CC32" s="228"/>
      <c r="CD32" s="228"/>
      <c r="CE32" s="228"/>
      <c r="CF32" s="228"/>
      <c r="CG32" s="228"/>
      <c r="CH32" s="228"/>
      <c r="CI32" s="228"/>
      <c r="CJ32" s="228"/>
      <c r="CK32" s="228"/>
      <c r="CL32" s="228"/>
      <c r="CM32" s="228"/>
      <c r="CN32" s="228"/>
      <c r="CO32" s="228"/>
      <c r="CP32" s="228"/>
    </row>
    <row r="33" spans="1:94">
      <c r="A33" s="45"/>
      <c r="B33" s="45"/>
      <c r="C33" s="895" t="s">
        <v>725</v>
      </c>
      <c r="D33" s="45"/>
      <c r="E33" s="337"/>
      <c r="F33" s="338"/>
      <c r="G33" s="338"/>
      <c r="H33" s="586"/>
      <c r="I33" s="339">
        <v>0</v>
      </c>
      <c r="J33" s="337">
        <v>0</v>
      </c>
      <c r="K33" s="338">
        <v>0</v>
      </c>
      <c r="L33" s="338">
        <v>0</v>
      </c>
      <c r="M33" s="586">
        <f>N33-SUM(J33:L33)</f>
        <v>0</v>
      </c>
      <c r="N33" s="339">
        <v>0</v>
      </c>
      <c r="O33" s="337">
        <v>0</v>
      </c>
      <c r="P33" s="338">
        <v>0</v>
      </c>
      <c r="Q33" s="338">
        <v>0</v>
      </c>
      <c r="R33" s="586">
        <f>S33-SUM(O33:Q33)</f>
        <v>0</v>
      </c>
      <c r="S33" s="339">
        <v>0</v>
      </c>
      <c r="T33" s="337">
        <v>0</v>
      </c>
      <c r="U33" s="338">
        <v>0</v>
      </c>
      <c r="V33" s="338">
        <v>0</v>
      </c>
      <c r="W33" s="586">
        <f>X33-SUM(T33:V33)</f>
        <v>0</v>
      </c>
      <c r="X33" s="339">
        <v>0</v>
      </c>
      <c r="Y33" s="337">
        <v>0</v>
      </c>
      <c r="Z33" s="338">
        <v>0</v>
      </c>
      <c r="AA33" s="338">
        <v>0</v>
      </c>
      <c r="AB33" s="586">
        <f>AC33-SUM(Y33:AA33)</f>
        <v>0</v>
      </c>
      <c r="AC33" s="339">
        <v>0</v>
      </c>
      <c r="AD33" s="337">
        <v>0</v>
      </c>
      <c r="AE33" s="338">
        <v>0</v>
      </c>
      <c r="AF33" s="338">
        <v>0</v>
      </c>
      <c r="AG33" s="586">
        <f>AH33-SUM(AD33:AF33)</f>
        <v>0</v>
      </c>
      <c r="AH33" s="2056">
        <v>0</v>
      </c>
      <c r="AI33" s="337">
        <v>0</v>
      </c>
      <c r="AJ33" s="338">
        <v>1</v>
      </c>
      <c r="AK33" s="338">
        <f>-40+4</f>
        <v>-36</v>
      </c>
      <c r="AL33" s="586">
        <f>AM33-SUM(AI33:AK33)</f>
        <v>-254</v>
      </c>
      <c r="AM33" s="2056">
        <f>-42-247</f>
        <v>-289</v>
      </c>
      <c r="AN33" s="337">
        <f>-3-56</f>
        <v>-59</v>
      </c>
      <c r="AO33" s="338">
        <f>1-4</f>
        <v>-3</v>
      </c>
      <c r="AP33" s="338">
        <f>-9+2</f>
        <v>-7</v>
      </c>
      <c r="AQ33" s="586">
        <f>AR33-SUM(AN33:AP33)</f>
        <v>45</v>
      </c>
      <c r="AR33" s="1437">
        <f>-10-59+16+34-5</f>
        <v>-24</v>
      </c>
      <c r="AS33" s="290"/>
      <c r="AT33" s="260"/>
      <c r="AU33" s="260"/>
      <c r="AV33" s="291"/>
      <c r="AW33" s="45">
        <f>SUM(AS33:AV33)</f>
        <v>0</v>
      </c>
      <c r="AX33" s="290"/>
      <c r="AY33" s="260"/>
      <c r="AZ33" s="260"/>
      <c r="BA33" s="291"/>
      <c r="BB33" s="45">
        <f>SUM(AX33:BA33)</f>
        <v>0</v>
      </c>
      <c r="BC33" s="290"/>
      <c r="BD33" s="260"/>
      <c r="BE33" s="260"/>
      <c r="BF33" s="291"/>
      <c r="BG33" s="45">
        <f>SUM(BC33:BF33)</f>
        <v>0</v>
      </c>
      <c r="BH33" s="290"/>
      <c r="BI33" s="260"/>
      <c r="BJ33" s="260"/>
      <c r="BK33" s="291"/>
      <c r="BL33" s="45">
        <f>SUM(BH33:BK33)</f>
        <v>0</v>
      </c>
      <c r="BM33" s="45"/>
      <c r="BN33" s="45"/>
      <c r="BO33" s="45"/>
      <c r="BP33" s="45"/>
      <c r="BQ33" s="45"/>
      <c r="BR33" s="45"/>
      <c r="BS33" s="45"/>
      <c r="BT33" s="45"/>
      <c r="BU33" s="45"/>
      <c r="BV33" s="45"/>
      <c r="BW33" s="45"/>
      <c r="BX33" s="45"/>
      <c r="BY33" s="45"/>
      <c r="BZ33" s="45"/>
      <c r="CA33" s="45"/>
      <c r="CB33" s="45"/>
      <c r="CC33" s="45"/>
      <c r="CD33" s="45"/>
      <c r="CE33" s="45"/>
      <c r="CF33" s="45"/>
      <c r="CG33" s="45"/>
      <c r="CH33" s="45"/>
      <c r="CI33" s="45"/>
      <c r="CJ33" s="45"/>
      <c r="CK33" s="45"/>
      <c r="CL33" s="45"/>
      <c r="CM33" s="45"/>
      <c r="CN33" s="45"/>
      <c r="CO33" s="45"/>
      <c r="CP33" s="45"/>
    </row>
    <row r="34" spans="1:94">
      <c r="A34" s="45"/>
      <c r="B34" s="45"/>
      <c r="C34" s="909" t="s">
        <v>360</v>
      </c>
      <c r="D34" s="45"/>
      <c r="E34" s="292"/>
      <c r="F34" s="261"/>
      <c r="G34" s="261"/>
      <c r="H34" s="293"/>
      <c r="I34" s="228">
        <f t="shared" ref="I34:AW34" si="62">I32+I33</f>
        <v>108</v>
      </c>
      <c r="J34" s="292">
        <f t="shared" si="62"/>
        <v>18</v>
      </c>
      <c r="K34" s="261">
        <f t="shared" si="62"/>
        <v>32</v>
      </c>
      <c r="L34" s="261">
        <f t="shared" si="62"/>
        <v>38</v>
      </c>
      <c r="M34" s="293">
        <f t="shared" si="62"/>
        <v>11</v>
      </c>
      <c r="N34" s="228">
        <f t="shared" si="62"/>
        <v>99</v>
      </c>
      <c r="O34" s="292">
        <f t="shared" si="62"/>
        <v>24</v>
      </c>
      <c r="P34" s="261">
        <f t="shared" si="62"/>
        <v>27</v>
      </c>
      <c r="Q34" s="261">
        <f t="shared" si="62"/>
        <v>50</v>
      </c>
      <c r="R34" s="293">
        <f t="shared" si="62"/>
        <v>25</v>
      </c>
      <c r="S34" s="228">
        <f t="shared" si="62"/>
        <v>126</v>
      </c>
      <c r="T34" s="292">
        <f t="shared" si="62"/>
        <v>23</v>
      </c>
      <c r="U34" s="261">
        <f t="shared" si="62"/>
        <v>37</v>
      </c>
      <c r="V34" s="261">
        <f t="shared" si="62"/>
        <v>66</v>
      </c>
      <c r="W34" s="293">
        <f t="shared" si="62"/>
        <v>24</v>
      </c>
      <c r="X34" s="228">
        <f t="shared" si="62"/>
        <v>150</v>
      </c>
      <c r="Y34" s="292">
        <f t="shared" si="62"/>
        <v>32</v>
      </c>
      <c r="Z34" s="261">
        <f t="shared" si="62"/>
        <v>46</v>
      </c>
      <c r="AA34" s="261">
        <f t="shared" ref="AA34:AE34" si="63">AA32+AA33</f>
        <v>67</v>
      </c>
      <c r="AB34" s="293">
        <f t="shared" si="63"/>
        <v>26</v>
      </c>
      <c r="AC34" s="228">
        <f t="shared" si="63"/>
        <v>171</v>
      </c>
      <c r="AD34" s="292">
        <f t="shared" si="63"/>
        <v>26</v>
      </c>
      <c r="AE34" s="261">
        <f t="shared" si="63"/>
        <v>42</v>
      </c>
      <c r="AF34" s="261">
        <f t="shared" ref="AF34:AJ34" si="64">AF32+AF33</f>
        <v>60</v>
      </c>
      <c r="AG34" s="293">
        <f t="shared" si="64"/>
        <v>59</v>
      </c>
      <c r="AH34" s="228">
        <f t="shared" si="64"/>
        <v>187</v>
      </c>
      <c r="AI34" s="292">
        <f t="shared" si="64"/>
        <v>-108</v>
      </c>
      <c r="AJ34" s="261">
        <f t="shared" si="64"/>
        <v>50</v>
      </c>
      <c r="AK34" s="261">
        <f t="shared" ref="AK34:AO34" si="65">AK32+AK33</f>
        <v>43</v>
      </c>
      <c r="AL34" s="293">
        <f t="shared" si="65"/>
        <v>-232</v>
      </c>
      <c r="AM34" s="228">
        <f t="shared" si="65"/>
        <v>-247</v>
      </c>
      <c r="AN34" s="292">
        <f t="shared" si="65"/>
        <v>-1</v>
      </c>
      <c r="AO34" s="261">
        <f t="shared" si="65"/>
        <v>40</v>
      </c>
      <c r="AP34" s="261">
        <f t="shared" si="62"/>
        <v>80</v>
      </c>
      <c r="AQ34" s="293">
        <f t="shared" si="62"/>
        <v>62</v>
      </c>
      <c r="AR34" s="228">
        <f t="shared" si="62"/>
        <v>181</v>
      </c>
      <c r="AS34" s="292">
        <f t="shared" si="62"/>
        <v>39.052580779856477</v>
      </c>
      <c r="AT34" s="261">
        <f t="shared" ca="1" si="62"/>
        <v>39.478870127393499</v>
      </c>
      <c r="AU34" s="261">
        <f t="shared" ca="1" si="62"/>
        <v>87.912613029028648</v>
      </c>
      <c r="AV34" s="293">
        <f t="shared" ca="1" si="62"/>
        <v>36.814890505063055</v>
      </c>
      <c r="AW34" s="228">
        <f t="shared" ca="1" si="62"/>
        <v>203.25895444134193</v>
      </c>
      <c r="AX34" s="292">
        <f t="shared" ref="AX34:BG34" ca="1" si="66">AX32+AX33</f>
        <v>37.806218278011713</v>
      </c>
      <c r="AY34" s="261">
        <f t="shared" ca="1" si="66"/>
        <v>37.634291227552154</v>
      </c>
      <c r="AZ34" s="261">
        <f t="shared" ca="1" si="66"/>
        <v>94.561526215149101</v>
      </c>
      <c r="BA34" s="293">
        <f t="shared" ca="1" si="66"/>
        <v>44.813683946845472</v>
      </c>
      <c r="BB34" s="228">
        <f t="shared" ca="1" si="66"/>
        <v>214.81571966755817</v>
      </c>
      <c r="BC34" s="292">
        <f t="shared" ca="1" si="66"/>
        <v>42.564953857519924</v>
      </c>
      <c r="BD34" s="261">
        <f t="shared" ca="1" si="66"/>
        <v>43.540778616202587</v>
      </c>
      <c r="BE34" s="261">
        <f t="shared" ca="1" si="66"/>
        <v>98.552111028807516</v>
      </c>
      <c r="BF34" s="293">
        <f t="shared" ca="1" si="66"/>
        <v>50.452231537803989</v>
      </c>
      <c r="BG34" s="228">
        <f t="shared" ca="1" si="66"/>
        <v>235.11007504033398</v>
      </c>
      <c r="BH34" s="292">
        <f t="shared" ref="BH34:BL34" ca="1" si="67">BH32+BH33</f>
        <v>49.934231337088313</v>
      </c>
      <c r="BI34" s="261">
        <f t="shared" ca="1" si="67"/>
        <v>50.590616241316269</v>
      </c>
      <c r="BJ34" s="261">
        <f t="shared" ca="1" si="67"/>
        <v>102.2879084442197</v>
      </c>
      <c r="BK34" s="293">
        <f t="shared" ca="1" si="67"/>
        <v>55.809723908087442</v>
      </c>
      <c r="BL34" s="228">
        <f t="shared" ca="1" si="67"/>
        <v>258.62247993071151</v>
      </c>
      <c r="BM34" s="45"/>
      <c r="BN34" s="2189"/>
      <c r="BO34" s="45"/>
      <c r="BP34" s="45"/>
      <c r="BQ34" s="45"/>
      <c r="BR34" s="45"/>
      <c r="BS34" s="45"/>
      <c r="BT34" s="45"/>
      <c r="BU34" s="45"/>
      <c r="BV34" s="45"/>
      <c r="BW34" s="45"/>
      <c r="BX34" s="45"/>
      <c r="BY34" s="45"/>
      <c r="BZ34" s="45"/>
      <c r="CA34" s="45"/>
      <c r="CB34" s="45"/>
      <c r="CC34" s="45"/>
      <c r="CD34" s="45"/>
      <c r="CE34" s="45"/>
      <c r="CF34" s="45"/>
      <c r="CG34" s="45"/>
      <c r="CH34" s="45"/>
      <c r="CI34" s="45"/>
      <c r="CJ34" s="45"/>
      <c r="CK34" s="45"/>
      <c r="CL34" s="45"/>
      <c r="CM34" s="45"/>
      <c r="CN34" s="45"/>
      <c r="CO34" s="45"/>
      <c r="CP34" s="45"/>
    </row>
    <row r="35" spans="1:94">
      <c r="A35" s="45"/>
      <c r="B35" s="45"/>
      <c r="C35" s="895"/>
      <c r="D35" s="45"/>
      <c r="E35" s="290"/>
      <c r="F35" s="260"/>
      <c r="G35" s="260"/>
      <c r="H35" s="291"/>
      <c r="I35" s="45"/>
      <c r="J35" s="290"/>
      <c r="K35" s="260"/>
      <c r="L35" s="260"/>
      <c r="M35" s="291"/>
      <c r="N35" s="45"/>
      <c r="O35" s="290"/>
      <c r="P35" s="260"/>
      <c r="Q35" s="260"/>
      <c r="R35" s="291"/>
      <c r="S35" s="45"/>
      <c r="T35" s="290"/>
      <c r="U35" s="260"/>
      <c r="V35" s="260"/>
      <c r="W35" s="291"/>
      <c r="X35" s="45"/>
      <c r="Y35" s="290"/>
      <c r="Z35" s="260"/>
      <c r="AA35" s="260"/>
      <c r="AB35" s="291"/>
      <c r="AC35" s="45"/>
      <c r="AD35" s="290"/>
      <c r="AE35" s="260"/>
      <c r="AF35" s="260"/>
      <c r="AG35" s="291"/>
      <c r="AH35" s="45"/>
      <c r="AI35" s="290"/>
      <c r="AJ35" s="260"/>
      <c r="AK35" s="260"/>
      <c r="AL35" s="291"/>
      <c r="AM35" s="45"/>
      <c r="AN35" s="290"/>
      <c r="AO35" s="260"/>
      <c r="AP35" s="260"/>
      <c r="AQ35" s="291"/>
      <c r="AR35" s="45"/>
      <c r="AS35" s="290"/>
      <c r="AT35" s="260"/>
      <c r="AU35" s="260"/>
      <c r="AV35" s="291"/>
      <c r="AW35" s="45"/>
      <c r="AX35" s="290"/>
      <c r="AY35" s="260"/>
      <c r="AZ35" s="260"/>
      <c r="BA35" s="291"/>
      <c r="BB35" s="45"/>
      <c r="BC35" s="290"/>
      <c r="BD35" s="260"/>
      <c r="BE35" s="260"/>
      <c r="BF35" s="291"/>
      <c r="BG35" s="45"/>
      <c r="BH35" s="290"/>
      <c r="BI35" s="260"/>
      <c r="BJ35" s="260"/>
      <c r="BK35" s="291"/>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row>
    <row r="36" spans="1:94">
      <c r="A36" s="45"/>
      <c r="B36" s="45"/>
      <c r="C36" s="895" t="s">
        <v>95</v>
      </c>
      <c r="D36" s="45"/>
      <c r="E36" s="290"/>
      <c r="F36" s="260"/>
      <c r="G36" s="260"/>
      <c r="H36" s="291"/>
      <c r="I36" s="45">
        <f>EXC!N49</f>
        <v>661</v>
      </c>
      <c r="J36" s="290">
        <f>EXC!O49</f>
        <v>662</v>
      </c>
      <c r="K36" s="260">
        <f>EXC!P49</f>
        <v>663</v>
      </c>
      <c r="L36" s="260">
        <f>EXC!Q49</f>
        <v>663</v>
      </c>
      <c r="M36" s="291">
        <f>EXC!R49</f>
        <v>664</v>
      </c>
      <c r="N36" s="45">
        <f>EXC!S49</f>
        <v>663</v>
      </c>
      <c r="O36" s="290">
        <f>EXC!T49</f>
        <v>705</v>
      </c>
      <c r="P36" s="260">
        <f>EXC!U49</f>
        <v>853</v>
      </c>
      <c r="Q36" s="260">
        <f>EXC!V49</f>
        <v>854</v>
      </c>
      <c r="R36" s="291">
        <f>EXC!W49</f>
        <v>816</v>
      </c>
      <c r="S36" s="45">
        <f>EXC!X49</f>
        <v>816</v>
      </c>
      <c r="T36" s="290">
        <f>EXC!Y49</f>
        <v>855</v>
      </c>
      <c r="U36" s="260">
        <f>EXC!Z49</f>
        <v>856</v>
      </c>
      <c r="V36" s="260">
        <f>EXC!AA49</f>
        <v>857</v>
      </c>
      <c r="W36" s="291">
        <f>EXC!AB49</f>
        <v>857</v>
      </c>
      <c r="X36" s="45">
        <f>EXC!AC49</f>
        <v>856</v>
      </c>
      <c r="Y36" s="290">
        <f>EXC!AD49</f>
        <v>858</v>
      </c>
      <c r="Z36" s="260">
        <f>EXC!AE49</f>
        <v>860</v>
      </c>
      <c r="AA36" s="260">
        <f>EXC!AF49</f>
        <v>861</v>
      </c>
      <c r="AB36" s="291">
        <f>EXC!AG49</f>
        <v>861</v>
      </c>
      <c r="AC36" s="45">
        <f>EXC!AH49</f>
        <v>860</v>
      </c>
      <c r="AD36" s="290">
        <f>EXC!AI49</f>
        <v>862</v>
      </c>
      <c r="AE36" s="260">
        <f>EXC!AJ49</f>
        <v>863</v>
      </c>
      <c r="AF36" s="260">
        <f>EXC!AK49</f>
        <v>913</v>
      </c>
      <c r="AG36" s="291">
        <f>EXC!AL49</f>
        <v>921</v>
      </c>
      <c r="AH36" s="45">
        <f>EXC!AM49</f>
        <v>890</v>
      </c>
      <c r="AI36" s="290">
        <f>EXC!AN49</f>
        <v>923</v>
      </c>
      <c r="AJ36" s="260">
        <f>EXC!AO49</f>
        <v>924</v>
      </c>
      <c r="AK36" s="260">
        <f>EXC!AP49</f>
        <v>925</v>
      </c>
      <c r="AL36" s="291">
        <f>EXC!AQ49</f>
        <v>925</v>
      </c>
      <c r="AM36" s="45">
        <f>EXC!AR49</f>
        <v>924</v>
      </c>
      <c r="AN36" s="290">
        <f>EXC!AS49</f>
        <v>928</v>
      </c>
      <c r="AO36" s="260">
        <f>EXC!AT49</f>
        <v>934</v>
      </c>
      <c r="AP36" s="260">
        <f>EXC!AU49</f>
        <v>962</v>
      </c>
      <c r="AQ36" s="291">
        <f>EXC!AV49</f>
        <v>964</v>
      </c>
      <c r="AR36" s="45">
        <f>EXC!AW49</f>
        <v>947</v>
      </c>
      <c r="AS36" s="290">
        <f>EXC!AX49</f>
        <v>963</v>
      </c>
      <c r="AT36" s="260">
        <f>EXC!AY49</f>
        <v>963</v>
      </c>
      <c r="AU36" s="260">
        <f>EXC!AZ49</f>
        <v>963</v>
      </c>
      <c r="AV36" s="291">
        <f>EXC!BA49</f>
        <v>963</v>
      </c>
      <c r="AW36" s="45">
        <f>EXC!BB49</f>
        <v>963</v>
      </c>
      <c r="AX36" s="290">
        <f>EXC!BC49</f>
        <v>963</v>
      </c>
      <c r="AY36" s="260">
        <f>EXC!BD49</f>
        <v>963</v>
      </c>
      <c r="AZ36" s="260">
        <f>EXC!BE49</f>
        <v>963</v>
      </c>
      <c r="BA36" s="291">
        <f>EXC!BF49</f>
        <v>963</v>
      </c>
      <c r="BB36" s="45">
        <f>EXC!BG49</f>
        <v>963</v>
      </c>
      <c r="BC36" s="290">
        <f>EXC!BH49</f>
        <v>963</v>
      </c>
      <c r="BD36" s="260">
        <f>EXC!BI49</f>
        <v>963</v>
      </c>
      <c r="BE36" s="260">
        <f>EXC!BJ49</f>
        <v>963</v>
      </c>
      <c r="BF36" s="291">
        <f>EXC!BK49</f>
        <v>963</v>
      </c>
      <c r="BG36" s="45">
        <f>EXC!BL49</f>
        <v>963</v>
      </c>
      <c r="BH36" s="290">
        <f>EXC!BM49</f>
        <v>963</v>
      </c>
      <c r="BI36" s="260">
        <f>EXC!BN49</f>
        <v>963</v>
      </c>
      <c r="BJ36" s="260">
        <f>EXC!BO49</f>
        <v>963</v>
      </c>
      <c r="BK36" s="291">
        <f>EXC!BP49</f>
        <v>963</v>
      </c>
      <c r="BL36" s="45">
        <f>EXC!BQ49</f>
        <v>963</v>
      </c>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row>
    <row r="37" spans="1:94">
      <c r="A37" s="45"/>
      <c r="B37" s="45"/>
      <c r="C37" s="895" t="s">
        <v>109</v>
      </c>
      <c r="D37" s="45"/>
      <c r="E37" s="290"/>
      <c r="F37" s="260"/>
      <c r="G37" s="260"/>
      <c r="H37" s="291"/>
      <c r="I37" s="45">
        <f>EXC!N50</f>
        <v>663</v>
      </c>
      <c r="J37" s="290">
        <f>EXC!O50</f>
        <v>664</v>
      </c>
      <c r="K37" s="260">
        <f>EXC!P50</f>
        <v>664</v>
      </c>
      <c r="L37" s="260">
        <f>EXC!Q50</f>
        <v>665</v>
      </c>
      <c r="M37" s="291">
        <f>EXC!R50</f>
        <v>666</v>
      </c>
      <c r="N37" s="45">
        <f>EXC!S50</f>
        <v>665</v>
      </c>
      <c r="O37" s="290">
        <f>EXC!T50</f>
        <v>707</v>
      </c>
      <c r="P37" s="260">
        <f>EXC!U50</f>
        <v>856</v>
      </c>
      <c r="Q37" s="260">
        <f>EXC!V50</f>
        <v>857</v>
      </c>
      <c r="R37" s="291">
        <f>EXC!W50</f>
        <v>819</v>
      </c>
      <c r="S37" s="45">
        <f>EXC!X50</f>
        <v>819</v>
      </c>
      <c r="T37" s="290">
        <f>EXC!Y50</f>
        <v>855</v>
      </c>
      <c r="U37" s="260">
        <f>EXC!Z50</f>
        <v>860</v>
      </c>
      <c r="V37" s="260">
        <f>EXC!AA50</f>
        <v>860</v>
      </c>
      <c r="W37" s="291">
        <f>EXC!AB50</f>
        <v>861</v>
      </c>
      <c r="X37" s="45">
        <f>EXC!AC50</f>
        <v>860</v>
      </c>
      <c r="Y37" s="290">
        <f>EXC!AD50</f>
        <v>861</v>
      </c>
      <c r="Z37" s="260">
        <f>EXC!AE50</f>
        <v>864</v>
      </c>
      <c r="AA37" s="260">
        <f>EXC!AF50</f>
        <v>863</v>
      </c>
      <c r="AB37" s="291">
        <f>EXC!AG50</f>
        <v>868</v>
      </c>
      <c r="AC37" s="45">
        <f>EXC!AH50</f>
        <v>864</v>
      </c>
      <c r="AD37" s="290">
        <f>EXC!AI50</f>
        <v>867</v>
      </c>
      <c r="AE37" s="260">
        <f>EXC!AJ50</f>
        <v>864</v>
      </c>
      <c r="AF37" s="260">
        <f>EXC!AK50</f>
        <v>915</v>
      </c>
      <c r="AG37" s="291">
        <f>EXC!AL50</f>
        <v>924</v>
      </c>
      <c r="AH37" s="45">
        <f>EXC!AM50</f>
        <v>893</v>
      </c>
      <c r="AI37" s="290">
        <f>EXC!AN50</f>
        <v>925</v>
      </c>
      <c r="AJ37" s="260">
        <f>EXC!AO50</f>
        <v>926</v>
      </c>
      <c r="AK37" s="260">
        <f>EXC!AP50</f>
        <v>927</v>
      </c>
      <c r="AL37" s="291">
        <f>EXC!AQ50</f>
        <v>928</v>
      </c>
      <c r="AM37" s="45">
        <f>EXC!AR50</f>
        <v>927</v>
      </c>
      <c r="AN37" s="290">
        <f>EXC!AS50</f>
        <v>930</v>
      </c>
      <c r="AO37" s="260">
        <f>EXC!AT50</f>
        <v>936</v>
      </c>
      <c r="AP37" s="260">
        <f>EXC!AU50</f>
        <v>965</v>
      </c>
      <c r="AQ37" s="291">
        <f>EXC!AV50</f>
        <v>967</v>
      </c>
      <c r="AR37" s="45">
        <f>EXC!AW50</f>
        <v>949</v>
      </c>
      <c r="AS37" s="290">
        <f>EXC!AX50</f>
        <v>966</v>
      </c>
      <c r="AT37" s="260">
        <f>EXC!AY50</f>
        <v>966</v>
      </c>
      <c r="AU37" s="260">
        <f>EXC!AZ50</f>
        <v>966</v>
      </c>
      <c r="AV37" s="291">
        <f>EXC!BA50</f>
        <v>966</v>
      </c>
      <c r="AW37" s="45">
        <f>EXC!BB50</f>
        <v>966</v>
      </c>
      <c r="AX37" s="290">
        <f>EXC!BC50</f>
        <v>966</v>
      </c>
      <c r="AY37" s="260">
        <f>EXC!BD50</f>
        <v>966</v>
      </c>
      <c r="AZ37" s="260">
        <f>EXC!BE50</f>
        <v>966</v>
      </c>
      <c r="BA37" s="291">
        <f>EXC!BF50</f>
        <v>966</v>
      </c>
      <c r="BB37" s="45">
        <f>EXC!BG50</f>
        <v>966</v>
      </c>
      <c r="BC37" s="290">
        <f>EXC!BH50</f>
        <v>966</v>
      </c>
      <c r="BD37" s="260">
        <f>EXC!BI50</f>
        <v>966</v>
      </c>
      <c r="BE37" s="260">
        <f>EXC!BJ50</f>
        <v>966</v>
      </c>
      <c r="BF37" s="291">
        <f>EXC!BK50</f>
        <v>966</v>
      </c>
      <c r="BG37" s="45">
        <f>EXC!BL50</f>
        <v>966</v>
      </c>
      <c r="BH37" s="290">
        <f>EXC!BM50</f>
        <v>966</v>
      </c>
      <c r="BI37" s="260">
        <f>EXC!BN50</f>
        <v>966</v>
      </c>
      <c r="BJ37" s="260">
        <f>EXC!BO50</f>
        <v>966</v>
      </c>
      <c r="BK37" s="291">
        <f>EXC!BP50</f>
        <v>966</v>
      </c>
      <c r="BL37" s="45">
        <f>EXC!BQ50</f>
        <v>966</v>
      </c>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row>
    <row r="38" spans="1:94">
      <c r="A38" s="45"/>
      <c r="B38" s="45"/>
      <c r="C38" s="228"/>
      <c r="D38" s="45"/>
      <c r="E38" s="290"/>
      <c r="F38" s="260"/>
      <c r="G38" s="260"/>
      <c r="H38" s="291"/>
      <c r="I38" s="45"/>
      <c r="J38" s="290"/>
      <c r="K38" s="260"/>
      <c r="L38" s="260"/>
      <c r="M38" s="291"/>
      <c r="N38" s="45"/>
      <c r="O38" s="290"/>
      <c r="P38" s="260"/>
      <c r="Q38" s="260"/>
      <c r="R38" s="291"/>
      <c r="S38" s="45"/>
      <c r="T38" s="290"/>
      <c r="U38" s="260"/>
      <c r="V38" s="260"/>
      <c r="W38" s="291"/>
      <c r="X38" s="45"/>
      <c r="Y38" s="290"/>
      <c r="Z38" s="260"/>
      <c r="AA38" s="260"/>
      <c r="AB38" s="291"/>
      <c r="AC38" s="45"/>
      <c r="AD38" s="290"/>
      <c r="AE38" s="260"/>
      <c r="AF38" s="260"/>
      <c r="AG38" s="291"/>
      <c r="AH38" s="45"/>
      <c r="AI38" s="290"/>
      <c r="AJ38" s="260"/>
      <c r="AK38" s="260"/>
      <c r="AL38" s="291"/>
      <c r="AM38" s="45"/>
      <c r="AN38" s="290"/>
      <c r="AO38" s="260"/>
      <c r="AP38" s="260"/>
      <c r="AQ38" s="291"/>
      <c r="AR38" s="45"/>
      <c r="AS38" s="290"/>
      <c r="AT38" s="260"/>
      <c r="AU38" s="260"/>
      <c r="AV38" s="291"/>
      <c r="AW38" s="45"/>
      <c r="AX38" s="290"/>
      <c r="AY38" s="260"/>
      <c r="AZ38" s="260"/>
      <c r="BA38" s="291"/>
      <c r="BB38" s="45"/>
      <c r="BC38" s="290"/>
      <c r="BD38" s="260"/>
      <c r="BE38" s="260"/>
      <c r="BF38" s="291"/>
      <c r="BG38" s="45"/>
      <c r="BH38" s="290"/>
      <c r="BI38" s="260"/>
      <c r="BJ38" s="260"/>
      <c r="BK38" s="291"/>
      <c r="BL38" s="45"/>
      <c r="BM38" s="45"/>
      <c r="BN38" s="45"/>
      <c r="BO38" s="45"/>
      <c r="BP38" s="45"/>
      <c r="BQ38" s="45"/>
      <c r="BR38" s="45"/>
      <c r="BS38" s="45"/>
      <c r="BT38" s="45"/>
      <c r="BU38" s="45"/>
      <c r="BV38" s="45"/>
      <c r="BW38" s="45"/>
      <c r="BX38" s="45"/>
      <c r="BY38" s="45"/>
      <c r="BZ38" s="45"/>
      <c r="CA38" s="45"/>
      <c r="CB38" s="45"/>
      <c r="CC38" s="45"/>
      <c r="CD38" s="45"/>
      <c r="CE38" s="45"/>
      <c r="CF38" s="45"/>
      <c r="CG38" s="45"/>
      <c r="CH38" s="45"/>
      <c r="CI38" s="45"/>
      <c r="CJ38" s="45"/>
      <c r="CK38" s="45"/>
      <c r="CL38" s="45"/>
      <c r="CM38" s="45"/>
      <c r="CN38" s="45"/>
      <c r="CO38" s="45"/>
      <c r="CP38" s="45"/>
    </row>
    <row r="39" spans="1:94">
      <c r="A39" s="895"/>
      <c r="B39" s="895"/>
      <c r="C39" s="895" t="s">
        <v>447</v>
      </c>
      <c r="D39" s="895"/>
      <c r="E39" s="1687"/>
      <c r="F39" s="1688"/>
      <c r="G39" s="1688"/>
      <c r="H39" s="1689"/>
      <c r="I39" s="1690">
        <f t="shared" ref="I39:AW39" si="68">+I32/I37</f>
        <v>0.16289592760180996</v>
      </c>
      <c r="J39" s="1687">
        <f t="shared" si="68"/>
        <v>2.710843373493976E-2</v>
      </c>
      <c r="K39" s="1688">
        <f t="shared" si="68"/>
        <v>4.8192771084337352E-2</v>
      </c>
      <c r="L39" s="1688">
        <f t="shared" si="68"/>
        <v>5.7142857142857141E-2</v>
      </c>
      <c r="M39" s="1689">
        <f t="shared" si="68"/>
        <v>1.6516516516516516E-2</v>
      </c>
      <c r="N39" s="1690">
        <f t="shared" si="68"/>
        <v>0.14887218045112782</v>
      </c>
      <c r="O39" s="1687">
        <f t="shared" si="68"/>
        <v>3.3946251768033946E-2</v>
      </c>
      <c r="P39" s="1688">
        <f t="shared" si="68"/>
        <v>3.1542056074766352E-2</v>
      </c>
      <c r="Q39" s="1688">
        <f t="shared" si="68"/>
        <v>5.8343057176196034E-2</v>
      </c>
      <c r="R39" s="1689">
        <f t="shared" si="68"/>
        <v>3.0525030525030524E-2</v>
      </c>
      <c r="S39" s="1690">
        <f t="shared" si="68"/>
        <v>0.15384615384615385</v>
      </c>
      <c r="T39" s="1687">
        <f t="shared" si="68"/>
        <v>2.6900584795321637E-2</v>
      </c>
      <c r="U39" s="1688">
        <f t="shared" si="68"/>
        <v>4.3023255813953491E-2</v>
      </c>
      <c r="V39" s="1688">
        <f t="shared" si="68"/>
        <v>7.6744186046511634E-2</v>
      </c>
      <c r="W39" s="1689">
        <f t="shared" si="68"/>
        <v>2.7874564459930314E-2</v>
      </c>
      <c r="X39" s="1690">
        <f t="shared" si="68"/>
        <v>0.1744186046511628</v>
      </c>
      <c r="Y39" s="1687">
        <f t="shared" si="68"/>
        <v>3.7166085946573751E-2</v>
      </c>
      <c r="Z39" s="1688">
        <f t="shared" si="68"/>
        <v>5.3240740740740741E-2</v>
      </c>
      <c r="AA39" s="1688">
        <f t="shared" ref="AA39:AE39" si="69">+AA32/AA37</f>
        <v>7.7636152954808801E-2</v>
      </c>
      <c r="AB39" s="1689">
        <f t="shared" si="69"/>
        <v>2.9953917050691243E-2</v>
      </c>
      <c r="AC39" s="1690">
        <f t="shared" si="69"/>
        <v>0.19791666666666666</v>
      </c>
      <c r="AD39" s="1687">
        <f t="shared" si="69"/>
        <v>2.9988465974625143E-2</v>
      </c>
      <c r="AE39" s="1688">
        <f t="shared" si="69"/>
        <v>4.8611111111111112E-2</v>
      </c>
      <c r="AF39" s="1688">
        <f t="shared" ref="AF39:AJ39" si="70">+AF32/AF37</f>
        <v>6.5573770491803282E-2</v>
      </c>
      <c r="AG39" s="1689">
        <f t="shared" si="70"/>
        <v>6.3852813852813856E-2</v>
      </c>
      <c r="AH39" s="1690">
        <f t="shared" si="70"/>
        <v>0.20940649496080627</v>
      </c>
      <c r="AI39" s="1687">
        <f t="shared" si="70"/>
        <v>-0.11675675675675676</v>
      </c>
      <c r="AJ39" s="1688">
        <f t="shared" si="70"/>
        <v>5.2915766738660906E-2</v>
      </c>
      <c r="AK39" s="1688">
        <f t="shared" ref="AK39:AO39" si="71">+AK32/AK37</f>
        <v>8.5221143473570654E-2</v>
      </c>
      <c r="AL39" s="1689">
        <f t="shared" si="71"/>
        <v>2.3706896551724137E-2</v>
      </c>
      <c r="AM39" s="1690">
        <f t="shared" si="71"/>
        <v>4.5307443365695796E-2</v>
      </c>
      <c r="AN39" s="1687">
        <f t="shared" si="71"/>
        <v>6.236559139784946E-2</v>
      </c>
      <c r="AO39" s="1688">
        <f t="shared" si="71"/>
        <v>4.5940170940170943E-2</v>
      </c>
      <c r="AP39" s="1688">
        <f t="shared" ref="AP39:AR39" si="72">+AP32/AP37</f>
        <v>9.0155440414507779E-2</v>
      </c>
      <c r="AQ39" s="1689">
        <f t="shared" si="72"/>
        <v>1.7580144777662874E-2</v>
      </c>
      <c r="AR39" s="1690">
        <f t="shared" si="72"/>
        <v>0.21601685985247629</v>
      </c>
      <c r="AS39" s="1687">
        <f t="shared" si="68"/>
        <v>4.0427102256580201E-2</v>
      </c>
      <c r="AT39" s="1688">
        <f t="shared" ca="1" si="68"/>
        <v>4.0868395577011905E-2</v>
      </c>
      <c r="AU39" s="1688">
        <f t="shared" ca="1" si="68"/>
        <v>9.1006845785743945E-2</v>
      </c>
      <c r="AV39" s="1689">
        <f t="shared" ca="1" si="68"/>
        <v>3.8110652696752643E-2</v>
      </c>
      <c r="AW39" s="1690">
        <f t="shared" ca="1" si="68"/>
        <v>0.21041299631608895</v>
      </c>
      <c r="AX39" s="1687">
        <f t="shared" ref="AX39:BG39" ca="1" si="73">+AX32/AX37</f>
        <v>3.9136871923407569E-2</v>
      </c>
      <c r="AY39" s="1688">
        <f t="shared" ca="1" si="73"/>
        <v>3.8958893610302435E-2</v>
      </c>
      <c r="AZ39" s="1688">
        <f t="shared" ca="1" si="73"/>
        <v>9.7889778690630536E-2</v>
      </c>
      <c r="BA39" s="1689">
        <f t="shared" ca="1" si="73"/>
        <v>4.6390977170647489E-2</v>
      </c>
      <c r="BB39" s="1690">
        <f t="shared" ca="1" si="73"/>
        <v>0.22237652139498776</v>
      </c>
      <c r="BC39" s="1687">
        <f t="shared" ca="1" si="73"/>
        <v>4.4063099231387085E-2</v>
      </c>
      <c r="BD39" s="1688">
        <f t="shared" ca="1" si="73"/>
        <v>4.5073269789029591E-2</v>
      </c>
      <c r="BE39" s="1688">
        <f t="shared" ca="1" si="73"/>
        <v>0.10202081887040115</v>
      </c>
      <c r="BF39" s="1689">
        <f t="shared" ca="1" si="73"/>
        <v>5.2227982958389221E-2</v>
      </c>
      <c r="BG39" s="1690">
        <f t="shared" ca="1" si="73"/>
        <v>0.24338517084920702</v>
      </c>
      <c r="BH39" s="1687">
        <f t="shared" ref="BH39:BL39" ca="1" si="74">+BH32/BH37</f>
        <v>5.1691750866551048E-2</v>
      </c>
      <c r="BI39" s="1688">
        <f t="shared" ca="1" si="74"/>
        <v>5.23712383450479E-2</v>
      </c>
      <c r="BJ39" s="1688">
        <f t="shared" ca="1" si="74"/>
        <v>0.10588810397952349</v>
      </c>
      <c r="BK39" s="1689">
        <f t="shared" ca="1" si="74"/>
        <v>5.7774041312719918E-2</v>
      </c>
      <c r="BL39" s="1690">
        <f t="shared" ca="1" si="74"/>
        <v>0.26772513450384217</v>
      </c>
      <c r="BM39" s="895"/>
      <c r="BN39" s="890"/>
      <c r="BO39" s="890"/>
      <c r="BP39" s="890"/>
      <c r="BQ39" s="890"/>
      <c r="BR39" s="890"/>
      <c r="BS39" s="890"/>
      <c r="BT39" s="890"/>
      <c r="BU39" s="890"/>
      <c r="BV39" s="895"/>
      <c r="BW39" s="895"/>
      <c r="BX39" s="895"/>
      <c r="BY39" s="895"/>
      <c r="BZ39" s="895"/>
      <c r="CA39" s="895"/>
      <c r="CB39" s="895"/>
      <c r="CC39" s="895"/>
      <c r="CD39" s="895"/>
      <c r="CE39" s="895"/>
      <c r="CF39" s="895"/>
      <c r="CG39" s="895"/>
      <c r="CH39" s="895"/>
      <c r="CI39" s="895"/>
      <c r="CJ39" s="895"/>
      <c r="CK39" s="895"/>
      <c r="CL39" s="895"/>
      <c r="CM39" s="895"/>
      <c r="CN39" s="895"/>
      <c r="CO39" s="895"/>
      <c r="CP39" s="895"/>
    </row>
    <row r="40" spans="1:94">
      <c r="A40" s="895"/>
      <c r="B40" s="895"/>
      <c r="C40" s="1691" t="s">
        <v>445</v>
      </c>
      <c r="D40" s="1692"/>
      <c r="E40" s="1693"/>
      <c r="F40" s="1693"/>
      <c r="G40" s="1693"/>
      <c r="H40" s="1694"/>
      <c r="I40" s="1695">
        <f t="shared" ref="I40:AW40" si="75">+I34/I37</f>
        <v>0.16289592760180996</v>
      </c>
      <c r="J40" s="1696">
        <f t="shared" si="75"/>
        <v>2.710843373493976E-2</v>
      </c>
      <c r="K40" s="1693">
        <f t="shared" si="75"/>
        <v>4.8192771084337352E-2</v>
      </c>
      <c r="L40" s="1693">
        <f t="shared" si="75"/>
        <v>5.7142857142857141E-2</v>
      </c>
      <c r="M40" s="1694">
        <f t="shared" si="75"/>
        <v>1.6516516516516516E-2</v>
      </c>
      <c r="N40" s="1695">
        <f t="shared" si="75"/>
        <v>0.14887218045112782</v>
      </c>
      <c r="O40" s="1696">
        <f t="shared" si="75"/>
        <v>3.3946251768033946E-2</v>
      </c>
      <c r="P40" s="1693">
        <f t="shared" si="75"/>
        <v>3.1542056074766352E-2</v>
      </c>
      <c r="Q40" s="1693">
        <f t="shared" si="75"/>
        <v>5.8343057176196034E-2</v>
      </c>
      <c r="R40" s="1694">
        <f t="shared" si="75"/>
        <v>3.0525030525030524E-2</v>
      </c>
      <c r="S40" s="1695">
        <f t="shared" si="75"/>
        <v>0.15384615384615385</v>
      </c>
      <c r="T40" s="1696">
        <f t="shared" si="75"/>
        <v>2.6900584795321637E-2</v>
      </c>
      <c r="U40" s="1693">
        <f t="shared" si="75"/>
        <v>4.3023255813953491E-2</v>
      </c>
      <c r="V40" s="1693">
        <f t="shared" si="75"/>
        <v>7.6744186046511634E-2</v>
      </c>
      <c r="W40" s="1694">
        <f t="shared" si="75"/>
        <v>2.7874564459930314E-2</v>
      </c>
      <c r="X40" s="1695">
        <f t="shared" si="75"/>
        <v>0.1744186046511628</v>
      </c>
      <c r="Y40" s="1696">
        <f t="shared" si="75"/>
        <v>3.7166085946573751E-2</v>
      </c>
      <c r="Z40" s="1693">
        <f t="shared" si="75"/>
        <v>5.3240740740740741E-2</v>
      </c>
      <c r="AA40" s="1693">
        <f t="shared" ref="AA40:AE40" si="76">+AA34/AA37</f>
        <v>7.7636152954808801E-2</v>
      </c>
      <c r="AB40" s="1694">
        <f t="shared" si="76"/>
        <v>2.9953917050691243E-2</v>
      </c>
      <c r="AC40" s="1695">
        <f t="shared" si="76"/>
        <v>0.19791666666666666</v>
      </c>
      <c r="AD40" s="1696">
        <f t="shared" si="76"/>
        <v>2.9988465974625143E-2</v>
      </c>
      <c r="AE40" s="1693">
        <f t="shared" si="76"/>
        <v>4.8611111111111112E-2</v>
      </c>
      <c r="AF40" s="1693">
        <f t="shared" ref="AF40:AJ40" si="77">+AF34/AF37</f>
        <v>6.5573770491803282E-2</v>
      </c>
      <c r="AG40" s="1694">
        <f t="shared" si="77"/>
        <v>6.3852813852813856E-2</v>
      </c>
      <c r="AH40" s="1695">
        <f t="shared" si="77"/>
        <v>0.20940649496080627</v>
      </c>
      <c r="AI40" s="1696">
        <f t="shared" si="77"/>
        <v>-0.11675675675675676</v>
      </c>
      <c r="AJ40" s="1693">
        <f t="shared" si="77"/>
        <v>5.3995680345572353E-2</v>
      </c>
      <c r="AK40" s="1693">
        <f t="shared" ref="AK40:AO40" si="78">+AK34/AK37</f>
        <v>4.6386192017259978E-2</v>
      </c>
      <c r="AL40" s="1694">
        <f t="shared" si="78"/>
        <v>-0.25</v>
      </c>
      <c r="AM40" s="1695">
        <f t="shared" si="78"/>
        <v>-0.26645091693635381</v>
      </c>
      <c r="AN40" s="1696">
        <f t="shared" si="78"/>
        <v>-1.0752688172043011E-3</v>
      </c>
      <c r="AO40" s="1693">
        <f t="shared" si="78"/>
        <v>4.2735042735042736E-2</v>
      </c>
      <c r="AP40" s="1693">
        <f t="shared" ref="AP40:AR40" si="79">+AP34/AP37</f>
        <v>8.2901554404145081E-2</v>
      </c>
      <c r="AQ40" s="1694">
        <f t="shared" si="79"/>
        <v>6.4115822130299899E-2</v>
      </c>
      <c r="AR40" s="1695">
        <f t="shared" si="79"/>
        <v>0.19072708113804004</v>
      </c>
      <c r="AS40" s="1696">
        <f t="shared" si="75"/>
        <v>4.0427102256580201E-2</v>
      </c>
      <c r="AT40" s="1693">
        <f t="shared" ca="1" si="75"/>
        <v>4.0868395577011905E-2</v>
      </c>
      <c r="AU40" s="1693">
        <f t="shared" ca="1" si="75"/>
        <v>9.1006845785743945E-2</v>
      </c>
      <c r="AV40" s="1694">
        <f t="shared" ca="1" si="75"/>
        <v>3.8110652696752643E-2</v>
      </c>
      <c r="AW40" s="1695">
        <f t="shared" ca="1" si="75"/>
        <v>0.21041299631608895</v>
      </c>
      <c r="AX40" s="1696">
        <f t="shared" ref="AX40:BG40" ca="1" si="80">+AX34/AX37</f>
        <v>3.9136871923407569E-2</v>
      </c>
      <c r="AY40" s="1693">
        <f t="shared" ca="1" si="80"/>
        <v>3.8958893610302435E-2</v>
      </c>
      <c r="AZ40" s="1693">
        <f t="shared" ca="1" si="80"/>
        <v>9.7889778690630536E-2</v>
      </c>
      <c r="BA40" s="1694">
        <f t="shared" ca="1" si="80"/>
        <v>4.6390977170647489E-2</v>
      </c>
      <c r="BB40" s="1695">
        <f t="shared" ca="1" si="80"/>
        <v>0.22237652139498776</v>
      </c>
      <c r="BC40" s="1696">
        <f t="shared" ca="1" si="80"/>
        <v>4.4063099231387085E-2</v>
      </c>
      <c r="BD40" s="1693">
        <f t="shared" ca="1" si="80"/>
        <v>4.5073269789029591E-2</v>
      </c>
      <c r="BE40" s="1693">
        <f t="shared" ca="1" si="80"/>
        <v>0.10202081887040115</v>
      </c>
      <c r="BF40" s="1694">
        <f t="shared" ca="1" si="80"/>
        <v>5.2227982958389221E-2</v>
      </c>
      <c r="BG40" s="1695">
        <f t="shared" ca="1" si="80"/>
        <v>0.24338517084920702</v>
      </c>
      <c r="BH40" s="1696">
        <f t="shared" ref="BH40:BL40" ca="1" si="81">+BH34/BH37</f>
        <v>5.1691750866551048E-2</v>
      </c>
      <c r="BI40" s="1693">
        <f t="shared" ca="1" si="81"/>
        <v>5.23712383450479E-2</v>
      </c>
      <c r="BJ40" s="1693">
        <f t="shared" ca="1" si="81"/>
        <v>0.10588810397952349</v>
      </c>
      <c r="BK40" s="1694">
        <f t="shared" ca="1" si="81"/>
        <v>5.7774041312719918E-2</v>
      </c>
      <c r="BL40" s="1697">
        <f t="shared" ca="1" si="81"/>
        <v>0.26772513450384217</v>
      </c>
      <c r="BM40" s="895"/>
      <c r="BN40" s="890"/>
      <c r="BO40" s="890"/>
      <c r="BP40" s="890"/>
      <c r="BQ40" s="890"/>
      <c r="BR40" s="890"/>
      <c r="BS40" s="890"/>
      <c r="BT40" s="890"/>
      <c r="BU40" s="890"/>
      <c r="BV40" s="895"/>
      <c r="BW40" s="895"/>
      <c r="BX40" s="895"/>
      <c r="BY40" s="895"/>
      <c r="BZ40" s="895"/>
      <c r="CA40" s="895"/>
      <c r="CB40" s="895"/>
      <c r="CC40" s="895"/>
      <c r="CD40" s="895"/>
      <c r="CE40" s="895"/>
      <c r="CF40" s="895"/>
      <c r="CG40" s="895"/>
      <c r="CH40" s="895"/>
      <c r="CI40" s="895"/>
      <c r="CJ40" s="895"/>
      <c r="CK40" s="895"/>
      <c r="CL40" s="895"/>
      <c r="CM40" s="895"/>
      <c r="CN40" s="895"/>
      <c r="CO40" s="895"/>
      <c r="CP40" s="895"/>
    </row>
    <row r="41" spans="1:94">
      <c r="A41" s="1698"/>
      <c r="B41" s="1698"/>
      <c r="C41" s="1699" t="s">
        <v>309</v>
      </c>
      <c r="D41" s="895"/>
      <c r="E41" s="1700"/>
      <c r="F41" s="1337"/>
      <c r="G41" s="1337"/>
      <c r="H41" s="1701"/>
      <c r="I41" s="1702"/>
      <c r="J41" s="1700"/>
      <c r="K41" s="1337"/>
      <c r="L41" s="906"/>
      <c r="M41" s="1701"/>
      <c r="N41" s="1702">
        <f>N40/I40-1</f>
        <v>-8.6090225563909772E-2</v>
      </c>
      <c r="O41" s="905"/>
      <c r="P41" s="906"/>
      <c r="Q41" s="906"/>
      <c r="R41" s="1701"/>
      <c r="S41" s="1702">
        <f>S40/N40-1</f>
        <v>3.3411033411033353E-2</v>
      </c>
      <c r="T41" s="905"/>
      <c r="U41" s="906"/>
      <c r="V41" s="906"/>
      <c r="W41" s="1701"/>
      <c r="X41" s="1702">
        <f>X40/S40-1</f>
        <v>0.13372093023255816</v>
      </c>
      <c r="Y41" s="905"/>
      <c r="Z41" s="906"/>
      <c r="AA41" s="906"/>
      <c r="AB41" s="1701"/>
      <c r="AC41" s="1702">
        <f>AC40/X40-1</f>
        <v>0.13472222222222219</v>
      </c>
      <c r="AD41" s="905"/>
      <c r="AE41" s="906"/>
      <c r="AF41" s="906"/>
      <c r="AG41" s="1701"/>
      <c r="AH41" s="1702">
        <f>AH40/AC40-1</f>
        <v>5.8053869275652703E-2</v>
      </c>
      <c r="AI41" s="905"/>
      <c r="AJ41" s="906"/>
      <c r="AK41" s="906"/>
      <c r="AL41" s="1701"/>
      <c r="AM41" s="1702">
        <f>AM40/AH40-1</f>
        <v>-2.2724099937121069</v>
      </c>
      <c r="AN41" s="905"/>
      <c r="AO41" s="906"/>
      <c r="AP41" s="906"/>
      <c r="AQ41" s="1701"/>
      <c r="AR41" s="1702">
        <f>AR40/AM40-1</f>
        <v>-1.7158056850808223</v>
      </c>
      <c r="AS41" s="905"/>
      <c r="AT41" s="906"/>
      <c r="AU41" s="906"/>
      <c r="AV41" s="907"/>
      <c r="AW41" s="1703">
        <f ca="1">AW40/AR40-1</f>
        <v>0.10321510223186969</v>
      </c>
      <c r="AX41" s="905"/>
      <c r="AY41" s="906"/>
      <c r="AZ41" s="906"/>
      <c r="BA41" s="907"/>
      <c r="BB41" s="1703">
        <f ca="1">BB40/AW40-1</f>
        <v>5.6857348587569412E-2</v>
      </c>
      <c r="BC41" s="905"/>
      <c r="BD41" s="906"/>
      <c r="BE41" s="906"/>
      <c r="BF41" s="907"/>
      <c r="BG41" s="1703">
        <f ca="1">BG40/BB40-1</f>
        <v>9.4473325342217418E-2</v>
      </c>
      <c r="BH41" s="905"/>
      <c r="BI41" s="906"/>
      <c r="BJ41" s="906"/>
      <c r="BK41" s="907"/>
      <c r="BL41" s="1703">
        <f ca="1">BL40/BG40-1</f>
        <v>0.10000594354088777</v>
      </c>
      <c r="BM41" s="1698"/>
      <c r="BN41" s="890"/>
      <c r="BO41" s="890"/>
      <c r="BP41" s="890"/>
      <c r="BQ41" s="890"/>
      <c r="BR41" s="890"/>
      <c r="BS41" s="890"/>
      <c r="BT41" s="890"/>
      <c r="BU41" s="890"/>
      <c r="BV41" s="1704"/>
      <c r="BW41" s="1704"/>
      <c r="BX41" s="1704"/>
      <c r="BY41" s="1704"/>
      <c r="BZ41" s="1704"/>
      <c r="CA41" s="1704"/>
      <c r="CB41" s="1704"/>
      <c r="CC41" s="1704"/>
      <c r="CD41" s="1704"/>
      <c r="CE41" s="1704"/>
      <c r="CF41" s="1704"/>
      <c r="CG41" s="1704"/>
      <c r="CH41" s="1704"/>
      <c r="CI41" s="1704"/>
      <c r="CJ41" s="1704"/>
      <c r="CK41" s="1704"/>
      <c r="CL41" s="1704"/>
      <c r="CM41" s="1704"/>
      <c r="CN41" s="1704"/>
      <c r="CO41" s="1704"/>
      <c r="CP41" s="1704"/>
    </row>
    <row r="42" spans="1:94">
      <c r="A42" s="1698"/>
      <c r="B42" s="1698"/>
      <c r="C42" s="1699"/>
      <c r="D42" s="895"/>
      <c r="E42" s="1700"/>
      <c r="F42" s="1337"/>
      <c r="G42" s="1337"/>
      <c r="H42" s="1701"/>
      <c r="I42" s="1702"/>
      <c r="J42" s="1700"/>
      <c r="K42" s="1337"/>
      <c r="L42" s="906"/>
      <c r="M42" s="1701"/>
      <c r="N42" s="1702"/>
      <c r="O42" s="905"/>
      <c r="P42" s="906"/>
      <c r="Q42" s="906"/>
      <c r="R42" s="1701"/>
      <c r="S42" s="1702"/>
      <c r="T42" s="905"/>
      <c r="U42" s="906"/>
      <c r="V42" s="906"/>
      <c r="W42" s="907"/>
      <c r="X42" s="1703"/>
      <c r="Y42" s="905"/>
      <c r="Z42" s="906"/>
      <c r="AA42" s="906"/>
      <c r="AB42" s="907"/>
      <c r="AC42" s="1703"/>
      <c r="AD42" s="905"/>
      <c r="AE42" s="906"/>
      <c r="AF42" s="906"/>
      <c r="AG42" s="907"/>
      <c r="AH42" s="1703"/>
      <c r="AI42" s="905"/>
      <c r="AJ42" s="906"/>
      <c r="AK42" s="906"/>
      <c r="AL42" s="907"/>
      <c r="AM42" s="1703"/>
      <c r="AN42" s="905"/>
      <c r="AO42" s="906"/>
      <c r="AP42" s="906"/>
      <c r="AQ42" s="907"/>
      <c r="AR42" s="1703"/>
      <c r="AS42" s="905"/>
      <c r="AT42" s="906"/>
      <c r="AU42" s="906"/>
      <c r="AV42" s="907"/>
      <c r="AW42" s="1703"/>
      <c r="AX42" s="905"/>
      <c r="AY42" s="906"/>
      <c r="AZ42" s="906"/>
      <c r="BA42" s="907"/>
      <c r="BB42" s="1703"/>
      <c r="BC42" s="905"/>
      <c r="BD42" s="906"/>
      <c r="BE42" s="906"/>
      <c r="BF42" s="907"/>
      <c r="BG42" s="1703"/>
      <c r="BH42" s="905"/>
      <c r="BI42" s="906"/>
      <c r="BJ42" s="906"/>
      <c r="BK42" s="907"/>
      <c r="BL42" s="1703"/>
      <c r="BM42" s="1698"/>
      <c r="BN42" s="890"/>
      <c r="BO42" s="890"/>
      <c r="BP42" s="890"/>
      <c r="BQ42" s="890"/>
      <c r="BR42" s="890"/>
      <c r="BS42" s="890"/>
      <c r="BT42" s="890"/>
      <c r="BU42" s="890"/>
      <c r="BV42" s="1704"/>
      <c r="BW42" s="1704"/>
      <c r="BX42" s="1704"/>
      <c r="BY42" s="1704"/>
      <c r="BZ42" s="1704"/>
      <c r="CA42" s="1704"/>
      <c r="CB42" s="1704"/>
      <c r="CC42" s="1704"/>
      <c r="CD42" s="1704"/>
      <c r="CE42" s="1704"/>
      <c r="CF42" s="1704"/>
      <c r="CG42" s="1704"/>
      <c r="CH42" s="1704"/>
      <c r="CI42" s="1704"/>
      <c r="CJ42" s="1704"/>
      <c r="CK42" s="1704"/>
      <c r="CL42" s="1704"/>
      <c r="CM42" s="1704"/>
      <c r="CN42" s="1704"/>
      <c r="CO42" s="1704"/>
      <c r="CP42" s="1704"/>
    </row>
    <row r="43" spans="1:94">
      <c r="A43" s="890"/>
      <c r="B43" s="1681" t="s">
        <v>369</v>
      </c>
      <c r="C43" s="1682"/>
      <c r="D43" s="1683"/>
      <c r="E43" s="891"/>
      <c r="F43" s="892"/>
      <c r="G43" s="892"/>
      <c r="H43" s="893"/>
      <c r="I43" s="894"/>
      <c r="J43" s="891"/>
      <c r="K43" s="892"/>
      <c r="L43" s="892"/>
      <c r="M43" s="893"/>
      <c r="N43" s="894"/>
      <c r="O43" s="891"/>
      <c r="P43" s="892"/>
      <c r="Q43" s="892"/>
      <c r="R43" s="893"/>
      <c r="S43" s="894"/>
      <c r="T43" s="891"/>
      <c r="U43" s="892"/>
      <c r="V43" s="892"/>
      <c r="W43" s="893"/>
      <c r="X43" s="894"/>
      <c r="Y43" s="891"/>
      <c r="Z43" s="892"/>
      <c r="AA43" s="892"/>
      <c r="AB43" s="893"/>
      <c r="AC43" s="894"/>
      <c r="AD43" s="891"/>
      <c r="AE43" s="892"/>
      <c r="AF43" s="892"/>
      <c r="AG43" s="893"/>
      <c r="AH43" s="894"/>
      <c r="AI43" s="891"/>
      <c r="AJ43" s="892"/>
      <c r="AK43" s="892"/>
      <c r="AL43" s="893"/>
      <c r="AM43" s="894"/>
      <c r="AN43" s="891"/>
      <c r="AO43" s="892"/>
      <c r="AP43" s="892"/>
      <c r="AQ43" s="893"/>
      <c r="AR43" s="894"/>
      <c r="AS43" s="891"/>
      <c r="AT43" s="892"/>
      <c r="AU43" s="892"/>
      <c r="AV43" s="893"/>
      <c r="AW43" s="894"/>
      <c r="AX43" s="891"/>
      <c r="AY43" s="892"/>
      <c r="AZ43" s="892"/>
      <c r="BA43" s="893"/>
      <c r="BB43" s="894"/>
      <c r="BC43" s="891"/>
      <c r="BD43" s="892"/>
      <c r="BE43" s="892"/>
      <c r="BF43" s="893"/>
      <c r="BG43" s="894"/>
      <c r="BH43" s="891"/>
      <c r="BI43" s="892"/>
      <c r="BJ43" s="892"/>
      <c r="BK43" s="893"/>
      <c r="BL43" s="894"/>
      <c r="BM43" s="890"/>
      <c r="BN43" s="890"/>
      <c r="BO43" s="890"/>
      <c r="BP43" s="890"/>
      <c r="BQ43" s="890"/>
      <c r="BR43" s="890"/>
      <c r="BS43" s="890"/>
      <c r="BT43" s="890"/>
      <c r="BU43" s="890"/>
      <c r="BV43" s="890"/>
      <c r="BW43" s="890"/>
      <c r="BX43" s="890"/>
      <c r="BY43" s="890"/>
      <c r="BZ43" s="890"/>
      <c r="CA43" s="890"/>
      <c r="CB43" s="890"/>
      <c r="CC43" s="890"/>
      <c r="CD43" s="890"/>
      <c r="CE43" s="890"/>
      <c r="CF43" s="890"/>
      <c r="CG43" s="890"/>
      <c r="CH43" s="890"/>
      <c r="CI43" s="890"/>
      <c r="CJ43" s="890"/>
      <c r="CK43" s="890"/>
      <c r="CL43" s="890"/>
      <c r="CM43" s="890"/>
      <c r="CN43" s="890"/>
      <c r="CO43" s="890"/>
      <c r="CP43" s="890"/>
    </row>
    <row r="44" spans="1:94">
      <c r="A44" s="890"/>
      <c r="B44" s="890"/>
      <c r="C44" s="1705" t="s">
        <v>726</v>
      </c>
      <c r="D44" s="1706"/>
      <c r="E44" s="1707"/>
      <c r="F44" s="1708"/>
      <c r="G44" s="1708"/>
      <c r="H44" s="1709"/>
      <c r="I44" s="1710"/>
      <c r="J44" s="1707"/>
      <c r="K44" s="1708"/>
      <c r="L44" s="1708"/>
      <c r="M44" s="1709"/>
      <c r="N44" s="1710">
        <f t="shared" ref="N44:Z44" si="82">+N68</f>
        <v>-2.7833001988071593E-2</v>
      </c>
      <c r="O44" s="1707">
        <f t="shared" si="82"/>
        <v>-5.9651778955336909E-2</v>
      </c>
      <c r="P44" s="1708">
        <f t="shared" si="82"/>
        <v>-4.231591811793467E-2</v>
      </c>
      <c r="Q44" s="1708">
        <f t="shared" si="82"/>
        <v>-1.840331778123383E-2</v>
      </c>
      <c r="R44" s="1709">
        <f t="shared" si="82"/>
        <v>-1.2607830126078357E-2</v>
      </c>
      <c r="S44" s="1710">
        <f t="shared" si="82"/>
        <v>-3.3054471091280901E-2</v>
      </c>
      <c r="T44" s="1707">
        <f t="shared" si="82"/>
        <v>2.3184672355498259E-2</v>
      </c>
      <c r="U44" s="1708">
        <f t="shared" si="82"/>
        <v>-1.8025203381719535E-2</v>
      </c>
      <c r="V44" s="1708">
        <f t="shared" si="82"/>
        <v>-4.0137311856350721E-2</v>
      </c>
      <c r="W44" s="1709">
        <f t="shared" si="82"/>
        <v>1.1424731182795744E-2</v>
      </c>
      <c r="X44" s="1710">
        <f t="shared" si="82"/>
        <v>-7.8827962777821003E-3</v>
      </c>
      <c r="Y44" s="1707">
        <f t="shared" si="82"/>
        <v>4.8151062155782798E-2</v>
      </c>
      <c r="Z44" s="1708">
        <f t="shared" si="82"/>
        <v>6.1728395061728669E-3</v>
      </c>
      <c r="AA44" s="1708">
        <f t="shared" ref="AA44:AE44" si="83">+AA68</f>
        <v>-5.4607977991746881E-2</v>
      </c>
      <c r="AB44" s="1709">
        <f t="shared" si="83"/>
        <v>4.9833887043182479E-4</v>
      </c>
      <c r="AC44" s="1710">
        <f t="shared" si="83"/>
        <v>-1.9379093833572503E-3</v>
      </c>
      <c r="AD44" s="1707">
        <f t="shared" si="83"/>
        <v>2.7773607566431435E-2</v>
      </c>
      <c r="AE44" s="1708">
        <f t="shared" si="83"/>
        <v>1.420729738456572E-2</v>
      </c>
      <c r="AF44" s="1708">
        <f t="shared" ref="AF44:AJ44" si="84">+AF68</f>
        <v>4.2485086570638764E-2</v>
      </c>
      <c r="AG44" s="1709">
        <f t="shared" si="84"/>
        <v>-5.4457911339863885E-2</v>
      </c>
      <c r="AH44" s="1710">
        <f t="shared" si="84"/>
        <v>9.203526076657198E-3</v>
      </c>
      <c r="AI44" s="1707">
        <f t="shared" si="84"/>
        <v>-1.6505988898626978E-2</v>
      </c>
      <c r="AJ44" s="1708">
        <f t="shared" si="84"/>
        <v>-5.8420885068449557E-2</v>
      </c>
      <c r="AK44" s="1708">
        <f t="shared" ref="AK44:AP44" si="85">+AK68</f>
        <v>5.5408234473133255E-2</v>
      </c>
      <c r="AL44" s="1709">
        <f t="shared" si="85"/>
        <v>3.6698858647936872E-2</v>
      </c>
      <c r="AM44" s="1710">
        <f t="shared" si="85"/>
        <v>4.8483915653378951E-3</v>
      </c>
      <c r="AN44" s="1707">
        <f t="shared" si="85"/>
        <v>-0.10871825337888019</v>
      </c>
      <c r="AO44" s="1708">
        <f t="shared" si="85"/>
        <v>2.5359256128487662E-3</v>
      </c>
      <c r="AP44" s="1708">
        <f t="shared" si="85"/>
        <v>-8.0402010050251271E-2</v>
      </c>
      <c r="AQ44" s="1709">
        <f t="shared" ref="AQ44:AR44" si="86">+AQ68</f>
        <v>1.1348238482384865E-2</v>
      </c>
      <c r="AR44" s="1710">
        <f t="shared" si="86"/>
        <v>-4.817339358198669E-2</v>
      </c>
      <c r="AS44" s="1707">
        <f>+AW44</f>
        <v>0</v>
      </c>
      <c r="AT44" s="1708">
        <f>+AW44</f>
        <v>0</v>
      </c>
      <c r="AU44" s="1708">
        <f>+AW44</f>
        <v>0</v>
      </c>
      <c r="AV44" s="1709">
        <f>+AW44</f>
        <v>0</v>
      </c>
      <c r="AW44" s="1711">
        <v>0</v>
      </c>
      <c r="AX44" s="1707">
        <f>+BB44</f>
        <v>0</v>
      </c>
      <c r="AY44" s="1708">
        <f>+BB44</f>
        <v>0</v>
      </c>
      <c r="AZ44" s="1708">
        <f>+BB44</f>
        <v>0</v>
      </c>
      <c r="BA44" s="1709">
        <f>+BB44</f>
        <v>0</v>
      </c>
      <c r="BB44" s="1711">
        <v>0</v>
      </c>
      <c r="BC44" s="1707">
        <f>+BG44</f>
        <v>0</v>
      </c>
      <c r="BD44" s="2021">
        <f>+BG44</f>
        <v>0</v>
      </c>
      <c r="BE44" s="2021">
        <f>+BG44</f>
        <v>0</v>
      </c>
      <c r="BF44" s="1709">
        <f>+BG44</f>
        <v>0</v>
      </c>
      <c r="BG44" s="1711">
        <v>0</v>
      </c>
      <c r="BH44" s="1707">
        <f>+BL44</f>
        <v>0</v>
      </c>
      <c r="BI44" s="2021">
        <f>+BL44</f>
        <v>0</v>
      </c>
      <c r="BJ44" s="2021">
        <f>+BL44</f>
        <v>0</v>
      </c>
      <c r="BK44" s="2022">
        <f>+BL44</f>
        <v>0</v>
      </c>
      <c r="BL44" s="2279">
        <f>+BG44</f>
        <v>0</v>
      </c>
      <c r="BM44" s="2274"/>
      <c r="BN44" s="890"/>
      <c r="BO44" s="890"/>
      <c r="BP44" s="890"/>
      <c r="BQ44" s="890"/>
      <c r="BR44" s="890"/>
      <c r="BS44" s="890"/>
      <c r="BT44" s="890"/>
      <c r="BU44" s="890"/>
      <c r="BV44" s="890"/>
      <c r="BW44" s="890"/>
      <c r="BX44" s="890"/>
      <c r="BY44" s="890"/>
      <c r="BZ44" s="890"/>
      <c r="CA44" s="890"/>
      <c r="CB44" s="890"/>
      <c r="CC44" s="890"/>
      <c r="CD44" s="890"/>
      <c r="CE44" s="890"/>
      <c r="CF44" s="890"/>
      <c r="CG44" s="890"/>
      <c r="CH44" s="890"/>
      <c r="CI44" s="890"/>
      <c r="CJ44" s="890"/>
      <c r="CK44" s="890"/>
      <c r="CL44" s="890"/>
      <c r="CM44" s="890"/>
      <c r="CN44" s="890"/>
      <c r="CO44" s="890"/>
      <c r="CP44" s="890"/>
    </row>
    <row r="45" spans="1:94">
      <c r="A45" s="890"/>
      <c r="B45" s="890"/>
      <c r="C45" s="1712"/>
      <c r="D45" s="890"/>
      <c r="E45" s="1700"/>
      <c r="F45" s="1337"/>
      <c r="G45" s="1337"/>
      <c r="H45" s="1701"/>
      <c r="I45" s="1713"/>
      <c r="J45" s="1700"/>
      <c r="K45" s="1337"/>
      <c r="L45" s="1337"/>
      <c r="M45" s="1701"/>
      <c r="N45" s="1714"/>
      <c r="O45" s="1700"/>
      <c r="P45" s="1337"/>
      <c r="Q45" s="1337"/>
      <c r="R45" s="1701"/>
      <c r="S45" s="1714"/>
      <c r="T45" s="1700"/>
      <c r="U45" s="1337"/>
      <c r="V45" s="1337"/>
      <c r="W45" s="1701"/>
      <c r="X45" s="1714"/>
      <c r="Y45" s="1700"/>
      <c r="Z45" s="1337"/>
      <c r="AA45" s="1337"/>
      <c r="AB45" s="1701"/>
      <c r="AC45" s="1714"/>
      <c r="AD45" s="1700"/>
      <c r="AE45" s="1337"/>
      <c r="AF45" s="1337"/>
      <c r="AG45" s="1701"/>
      <c r="AH45" s="1714"/>
      <c r="AI45" s="1700"/>
      <c r="AJ45" s="1337"/>
      <c r="AK45" s="1337"/>
      <c r="AL45" s="1701"/>
      <c r="AM45" s="1714"/>
      <c r="AN45" s="1700"/>
      <c r="AO45" s="1337"/>
      <c r="AP45" s="1337"/>
      <c r="AQ45" s="1701"/>
      <c r="AR45" s="1714"/>
      <c r="AS45" s="1700"/>
      <c r="AT45" s="1337"/>
      <c r="AU45" s="1337"/>
      <c r="AV45" s="1701"/>
      <c r="AW45" s="1714"/>
      <c r="AX45" s="1700"/>
      <c r="AY45" s="1337"/>
      <c r="AZ45" s="1337"/>
      <c r="BA45" s="1701"/>
      <c r="BB45" s="1714"/>
      <c r="BC45" s="1700"/>
      <c r="BD45" s="2024"/>
      <c r="BE45" s="2024"/>
      <c r="BF45" s="1701"/>
      <c r="BG45" s="1714"/>
      <c r="BH45" s="1700"/>
      <c r="BI45" s="2024"/>
      <c r="BJ45" s="2024"/>
      <c r="BK45" s="2025"/>
      <c r="BL45" s="2275"/>
      <c r="BM45" s="2274"/>
      <c r="BN45" s="890"/>
      <c r="BO45" s="890"/>
      <c r="BP45" s="890"/>
      <c r="BQ45" s="890"/>
      <c r="BR45" s="890"/>
      <c r="BS45" s="890"/>
      <c r="BT45" s="890"/>
      <c r="BU45" s="890"/>
      <c r="BV45" s="890"/>
      <c r="BW45" s="890"/>
      <c r="BX45" s="890"/>
      <c r="BY45" s="890"/>
      <c r="BZ45" s="890"/>
      <c r="CA45" s="890"/>
      <c r="CB45" s="890"/>
      <c r="CC45" s="890"/>
      <c r="CD45" s="890"/>
      <c r="CE45" s="890"/>
      <c r="CF45" s="890"/>
      <c r="CG45" s="890"/>
      <c r="CH45" s="890"/>
      <c r="CI45" s="890"/>
      <c r="CJ45" s="890"/>
      <c r="CK45" s="890"/>
      <c r="CL45" s="890"/>
      <c r="CM45" s="890"/>
      <c r="CN45" s="890"/>
      <c r="CO45" s="890"/>
      <c r="CP45" s="890"/>
    </row>
    <row r="46" spans="1:94">
      <c r="A46" s="1716"/>
      <c r="B46" s="1716"/>
      <c r="C46" s="679" t="s">
        <v>727</v>
      </c>
      <c r="D46" s="1716"/>
      <c r="E46" s="1717"/>
      <c r="F46" s="1718"/>
      <c r="G46" s="1718"/>
      <c r="H46" s="1719"/>
      <c r="I46" s="1716"/>
      <c r="J46" s="616"/>
      <c r="K46" s="617"/>
      <c r="L46" s="617"/>
      <c r="M46" s="656"/>
      <c r="N46" s="1720"/>
      <c r="O46" s="616"/>
      <c r="P46" s="617"/>
      <c r="Q46" s="617"/>
      <c r="R46" s="656"/>
      <c r="S46" s="1720"/>
      <c r="T46" s="1721"/>
      <c r="U46" s="1722"/>
      <c r="V46" s="1722"/>
      <c r="W46" s="656"/>
      <c r="X46" s="1720"/>
      <c r="Y46" s="1721"/>
      <c r="Z46" s="1722"/>
      <c r="AA46" s="1722"/>
      <c r="AB46" s="656"/>
      <c r="AC46" s="2059"/>
      <c r="AD46" s="1721"/>
      <c r="AE46" s="1722"/>
      <c r="AF46" s="1722"/>
      <c r="AG46" s="656"/>
      <c r="AH46" s="2059"/>
      <c r="AI46" s="1721"/>
      <c r="AJ46" s="1722"/>
      <c r="AK46" s="1722"/>
      <c r="AL46" s="656"/>
      <c r="AM46" s="2059"/>
      <c r="AN46" s="1721"/>
      <c r="AO46" s="617"/>
      <c r="AP46" s="617"/>
      <c r="AQ46" s="656"/>
      <c r="AR46" s="2059"/>
      <c r="AS46" s="616">
        <f>(AR46/4)</f>
        <v>0</v>
      </c>
      <c r="AT46" s="617">
        <f>AR46/4</f>
        <v>0</v>
      </c>
      <c r="AU46" s="617">
        <f>AR46/4+(AW46/4)</f>
        <v>0.82499999999999996</v>
      </c>
      <c r="AV46" s="656">
        <f>AR46/12*1.5+(AW46/4)</f>
        <v>0.82499999999999996</v>
      </c>
      <c r="AW46" s="1720">
        <v>3.3</v>
      </c>
      <c r="AX46" s="616">
        <f>BB46/4+(AW46/4)</f>
        <v>13.324999999999999</v>
      </c>
      <c r="AY46" s="617">
        <f>BB46/4+(AW46/4)</f>
        <v>13.324999999999999</v>
      </c>
      <c r="AZ46" s="617">
        <f>BB46/4</f>
        <v>12.5</v>
      </c>
      <c r="BA46" s="656">
        <f>BB46/4</f>
        <v>12.5</v>
      </c>
      <c r="BB46" s="2059">
        <v>50</v>
      </c>
      <c r="BC46" s="616">
        <f>BG46/4</f>
        <v>0</v>
      </c>
      <c r="BD46" s="617">
        <f>BG46/4</f>
        <v>0</v>
      </c>
      <c r="BE46" s="617">
        <f>BG46/4</f>
        <v>0</v>
      </c>
      <c r="BF46" s="656">
        <f>BG46/4</f>
        <v>0</v>
      </c>
      <c r="BG46" s="2059">
        <v>0</v>
      </c>
      <c r="BH46" s="616">
        <f>BL46/4</f>
        <v>3.75</v>
      </c>
      <c r="BI46" s="617">
        <f>BL46/4</f>
        <v>3.75</v>
      </c>
      <c r="BJ46" s="617">
        <f>BL46/4</f>
        <v>3.75</v>
      </c>
      <c r="BK46" s="656">
        <f>BL46/4</f>
        <v>3.75</v>
      </c>
      <c r="BL46" s="2059">
        <v>15</v>
      </c>
      <c r="BM46" s="2274"/>
      <c r="BN46" s="1716"/>
      <c r="BS46" s="890"/>
      <c r="BT46" s="1716"/>
      <c r="BU46" s="1716"/>
      <c r="BV46" s="1716"/>
      <c r="BW46" s="1716"/>
      <c r="BX46" s="1716"/>
      <c r="BY46" s="1716"/>
      <c r="BZ46" s="1716"/>
      <c r="CA46" s="1716"/>
      <c r="CB46" s="1716"/>
      <c r="CC46" s="1716"/>
      <c r="CD46" s="1716"/>
      <c r="CE46" s="1716"/>
      <c r="CF46" s="1716"/>
      <c r="CG46" s="1716"/>
      <c r="CH46" s="1716"/>
      <c r="CI46" s="1716"/>
      <c r="CJ46" s="1716"/>
      <c r="CK46" s="1716"/>
      <c r="CL46" s="1716"/>
      <c r="CM46" s="1716"/>
      <c r="CN46" s="1716"/>
      <c r="CO46" s="1716"/>
      <c r="CP46" s="1716"/>
    </row>
    <row r="47" spans="1:94">
      <c r="A47" s="1716"/>
      <c r="B47" s="1716"/>
      <c r="C47" s="679" t="s">
        <v>728</v>
      </c>
      <c r="D47" s="1716"/>
      <c r="E47" s="1717"/>
      <c r="F47" s="1718"/>
      <c r="G47" s="1718"/>
      <c r="H47" s="1719"/>
      <c r="I47" s="1716"/>
      <c r="J47" s="616"/>
      <c r="K47" s="617"/>
      <c r="L47" s="617"/>
      <c r="M47" s="656"/>
      <c r="N47" s="1720"/>
      <c r="O47" s="616"/>
      <c r="P47" s="617"/>
      <c r="Q47" s="617"/>
      <c r="R47" s="656"/>
      <c r="S47" s="1720"/>
      <c r="T47" s="1721"/>
      <c r="U47" s="1722"/>
      <c r="V47" s="1722"/>
      <c r="W47" s="656"/>
      <c r="X47" s="1720"/>
      <c r="Y47" s="1721"/>
      <c r="Z47" s="1722"/>
      <c r="AA47" s="1722"/>
      <c r="AB47" s="656"/>
      <c r="AC47" s="2059"/>
      <c r="AD47" s="1721"/>
      <c r="AE47" s="1722"/>
      <c r="AF47" s="1722"/>
      <c r="AG47" s="656"/>
      <c r="AH47" s="2059"/>
      <c r="AI47" s="1721"/>
      <c r="AJ47" s="1722"/>
      <c r="AK47" s="1722"/>
      <c r="AL47" s="656"/>
      <c r="AM47" s="2059"/>
      <c r="AN47" s="1721"/>
      <c r="AO47" s="617"/>
      <c r="AP47" s="617"/>
      <c r="AQ47" s="656"/>
      <c r="AR47" s="2059"/>
      <c r="AS47" s="616">
        <f>(AW47/4)+(AR47/4)</f>
        <v>-12.536249999999999</v>
      </c>
      <c r="AT47" s="617">
        <f>AW47/4+(AR47/4)</f>
        <v>-12.536249999999999</v>
      </c>
      <c r="AU47" s="617">
        <f>AW47/4+(AR47/12*1.5)</f>
        <v>-12.536249999999999</v>
      </c>
      <c r="AV47" s="656">
        <f>AW47/4</f>
        <v>-12.536249999999999</v>
      </c>
      <c r="AW47" s="1720">
        <f>65.7*0.15-60</f>
        <v>-50.144999999999996</v>
      </c>
      <c r="AX47" s="616">
        <f>AW47/4</f>
        <v>-12.536249999999999</v>
      </c>
      <c r="AY47" s="617">
        <f>AW47/4</f>
        <v>-12.536249999999999</v>
      </c>
      <c r="AZ47" s="617">
        <f>BB47/4</f>
        <v>0</v>
      </c>
      <c r="BA47" s="656">
        <f>BB47/4</f>
        <v>0</v>
      </c>
      <c r="BB47" s="2059">
        <v>0</v>
      </c>
      <c r="BC47" s="616">
        <f>BB47/4</f>
        <v>0</v>
      </c>
      <c r="BD47" s="617">
        <f>BB47/4</f>
        <v>0</v>
      </c>
      <c r="BE47" s="617">
        <f>BG47/4</f>
        <v>1.25</v>
      </c>
      <c r="BF47" s="656">
        <f>BG47/4</f>
        <v>1.25</v>
      </c>
      <c r="BG47" s="2059">
        <v>5</v>
      </c>
      <c r="BH47" s="616">
        <f>BG47/4</f>
        <v>1.25</v>
      </c>
      <c r="BI47" s="617">
        <f>BG47/4</f>
        <v>1.25</v>
      </c>
      <c r="BJ47" s="617">
        <f>BL47/4</f>
        <v>0</v>
      </c>
      <c r="BK47" s="656">
        <f>BL47/4</f>
        <v>0</v>
      </c>
      <c r="BL47" s="2059">
        <v>0</v>
      </c>
      <c r="BM47" s="2274"/>
      <c r="BN47" s="1716"/>
      <c r="BO47" s="1716"/>
      <c r="BS47" s="890"/>
      <c r="BT47" s="1716"/>
      <c r="BU47" s="1716"/>
      <c r="BV47" s="1716"/>
      <c r="BW47" s="1716"/>
      <c r="BX47" s="1716"/>
      <c r="BY47" s="1716"/>
      <c r="BZ47" s="1716"/>
      <c r="CA47" s="1716"/>
      <c r="CB47" s="1716"/>
      <c r="CC47" s="1716"/>
      <c r="CD47" s="1716"/>
      <c r="CE47" s="1716"/>
      <c r="CF47" s="1716"/>
      <c r="CG47" s="1716"/>
      <c r="CH47" s="1716"/>
      <c r="CI47" s="1716"/>
      <c r="CJ47" s="1716"/>
      <c r="CK47" s="1716"/>
      <c r="CL47" s="1716"/>
      <c r="CM47" s="1716"/>
      <c r="CN47" s="1716"/>
      <c r="CO47" s="1716"/>
      <c r="CP47" s="1716"/>
    </row>
    <row r="48" spans="1:94">
      <c r="A48" s="1716"/>
      <c r="B48" s="1716"/>
      <c r="C48" s="679" t="s">
        <v>729</v>
      </c>
      <c r="D48" s="1716"/>
      <c r="E48" s="1717"/>
      <c r="F48" s="1718"/>
      <c r="G48" s="1718"/>
      <c r="H48" s="1719"/>
      <c r="I48" s="1716"/>
      <c r="J48" s="616"/>
      <c r="K48" s="617"/>
      <c r="L48" s="617"/>
      <c r="M48" s="656"/>
      <c r="N48" s="1720"/>
      <c r="O48" s="616"/>
      <c r="P48" s="617"/>
      <c r="Q48" s="617"/>
      <c r="R48" s="656"/>
      <c r="S48" s="1720"/>
      <c r="T48" s="1721"/>
      <c r="U48" s="1722"/>
      <c r="V48" s="1722"/>
      <c r="W48" s="656"/>
      <c r="X48" s="1720"/>
      <c r="Y48" s="1721"/>
      <c r="Z48" s="1722"/>
      <c r="AA48" s="1722"/>
      <c r="AB48" s="656"/>
      <c r="AC48" s="1720"/>
      <c r="AD48" s="1721"/>
      <c r="AE48" s="1722"/>
      <c r="AF48" s="1722"/>
      <c r="AG48" s="656"/>
      <c r="AH48" s="2059"/>
      <c r="AI48" s="1721"/>
      <c r="AJ48" s="1722"/>
      <c r="AK48" s="1722"/>
      <c r="AL48" s="656"/>
      <c r="AM48" s="2059"/>
      <c r="AN48" s="1721"/>
      <c r="AO48" s="617"/>
      <c r="AP48" s="617"/>
      <c r="AQ48" s="656"/>
      <c r="AR48" s="2059"/>
      <c r="AS48" s="616">
        <f>AW48/4</f>
        <v>1.5088155515370705</v>
      </c>
      <c r="AT48" s="617">
        <f>AW48/4</f>
        <v>1.5088155515370705</v>
      </c>
      <c r="AU48" s="617">
        <f>AW48/4</f>
        <v>1.5088155515370705</v>
      </c>
      <c r="AV48" s="656">
        <f>AW48/4</f>
        <v>1.5088155515370705</v>
      </c>
      <c r="AW48" s="1720">
        <f>(AW$114*50%*$BN$48)/(1-AW54)+5%*(1-50%)*AW$114</f>
        <v>6.0352622061482819</v>
      </c>
      <c r="AX48" s="616">
        <f>BB48/4</f>
        <v>1.5088155515370705</v>
      </c>
      <c r="AY48" s="617">
        <f>BB48/4</f>
        <v>1.5088155515370705</v>
      </c>
      <c r="AZ48" s="617">
        <f>BB48/4</f>
        <v>1.5088155515370705</v>
      </c>
      <c r="BA48" s="656">
        <f>BB48/4</f>
        <v>1.5088155515370705</v>
      </c>
      <c r="BB48" s="2059">
        <f>(BB$114*50%*$BN$48)/(1-BB54)+5%*(1-50%)*BB$114</f>
        <v>6.0352622061482819</v>
      </c>
      <c r="BC48" s="616">
        <f>BG48/4</f>
        <v>1.5088155515370705</v>
      </c>
      <c r="BD48" s="2018">
        <f>BG48/4</f>
        <v>1.5088155515370705</v>
      </c>
      <c r="BE48" s="2018">
        <f>BG48/4</f>
        <v>1.5088155515370705</v>
      </c>
      <c r="BF48" s="656">
        <f>BG48/4</f>
        <v>1.5088155515370705</v>
      </c>
      <c r="BG48" s="2059">
        <f>(BG$114*50%*$BN$48)/(1-BG54)+5%*(1-50%)*BG$114</f>
        <v>6.0352622061482819</v>
      </c>
      <c r="BH48" s="616">
        <f>BL48/4</f>
        <v>1.5088155515370705</v>
      </c>
      <c r="BI48" s="2018">
        <f>BL48/4</f>
        <v>1.5088155515370705</v>
      </c>
      <c r="BJ48" s="2018">
        <f>BL48/4</f>
        <v>1.5088155515370705</v>
      </c>
      <c r="BK48" s="2019">
        <f>BL48/4</f>
        <v>1.5088155515370705</v>
      </c>
      <c r="BL48" s="2059">
        <f>(BL$114*50%*$BN$48)/(1-BL54)+5%*(1-50%)*BL$114</f>
        <v>6.0352622061482819</v>
      </c>
      <c r="BM48" s="2269"/>
      <c r="BN48" s="1723">
        <v>9.4E-2</v>
      </c>
      <c r="BO48" s="1716"/>
      <c r="BS48" s="890"/>
      <c r="BT48" s="1716"/>
      <c r="BU48" s="1716"/>
      <c r="BV48" s="1716"/>
      <c r="BW48" s="1716"/>
      <c r="BX48" s="1716"/>
      <c r="BY48" s="1716"/>
      <c r="BZ48" s="1716"/>
      <c r="CA48" s="1716"/>
      <c r="CB48" s="1716"/>
      <c r="CC48" s="1716"/>
      <c r="CD48" s="1716"/>
      <c r="CE48" s="1716"/>
      <c r="CF48" s="1716"/>
      <c r="CG48" s="1716"/>
      <c r="CH48" s="1716"/>
      <c r="CI48" s="1716"/>
      <c r="CJ48" s="1716"/>
      <c r="CK48" s="1716"/>
      <c r="CL48" s="1716"/>
      <c r="CM48" s="1716"/>
      <c r="CN48" s="1716"/>
      <c r="CO48" s="1716"/>
      <c r="CP48" s="1716"/>
    </row>
    <row r="49" spans="1:94">
      <c r="A49" s="1716"/>
      <c r="B49" s="1716"/>
      <c r="C49" s="679" t="s">
        <v>730</v>
      </c>
      <c r="D49" s="1716"/>
      <c r="E49" s="1717"/>
      <c r="F49" s="1718"/>
      <c r="G49" s="1718"/>
      <c r="H49" s="1719"/>
      <c r="I49" s="1716"/>
      <c r="J49" s="616"/>
      <c r="K49" s="617"/>
      <c r="L49" s="617"/>
      <c r="M49" s="656"/>
      <c r="N49" s="1720"/>
      <c r="O49" s="616"/>
      <c r="P49" s="617"/>
      <c r="Q49" s="617"/>
      <c r="R49" s="656"/>
      <c r="S49" s="1720"/>
      <c r="T49" s="616"/>
      <c r="U49" s="617"/>
      <c r="V49" s="617"/>
      <c r="W49" s="656"/>
      <c r="X49" s="1720"/>
      <c r="Y49" s="616"/>
      <c r="Z49" s="617"/>
      <c r="AA49" s="617"/>
      <c r="AB49" s="656"/>
      <c r="AC49" s="1720"/>
      <c r="AD49" s="616"/>
      <c r="AE49" s="617"/>
      <c r="AF49" s="617"/>
      <c r="AG49" s="656"/>
      <c r="AH49" s="2059"/>
      <c r="AI49" s="616"/>
      <c r="AJ49" s="617"/>
      <c r="AK49" s="617"/>
      <c r="AL49" s="656"/>
      <c r="AM49" s="2059"/>
      <c r="AN49" s="616"/>
      <c r="AO49" s="617"/>
      <c r="AP49" s="617"/>
      <c r="AQ49" s="656"/>
      <c r="AR49" s="2059"/>
      <c r="AS49" s="616">
        <f>AW49/4</f>
        <v>2.171376582278481</v>
      </c>
      <c r="AT49" s="617">
        <f>AW49/4</f>
        <v>2.171376582278481</v>
      </c>
      <c r="AU49" s="617">
        <f>AW49/4</f>
        <v>2.171376582278481</v>
      </c>
      <c r="AV49" s="656">
        <f>AW49/4</f>
        <v>2.171376582278481</v>
      </c>
      <c r="AW49" s="1720">
        <f>((AW$115-20%*AR13)*50%*10.5%)/(1-AW54)+5%*(1-50%)*(AW$115-20%*AR13)+2.5%*AW$115</f>
        <v>8.6855063291139238</v>
      </c>
      <c r="AX49" s="616">
        <f>BB49/4</f>
        <v>2.8787042034232257</v>
      </c>
      <c r="AY49" s="617">
        <f>BB49/4</f>
        <v>2.8787042034232257</v>
      </c>
      <c r="AZ49" s="617">
        <f>BB49/4</f>
        <v>2.8787042034232257</v>
      </c>
      <c r="BA49" s="656">
        <f>BB49/4</f>
        <v>2.8787042034232257</v>
      </c>
      <c r="BB49" s="2059">
        <f>((BB$115-20%*AW13)*50%*10.5%)/(1-BB54)+5%*(1-50%)*(BB$115-20%*AW13)+2.5%*BB$115</f>
        <v>11.514816813692903</v>
      </c>
      <c r="BC49" s="616">
        <f>BG49/4</f>
        <v>5.6912733625477641</v>
      </c>
      <c r="BD49" s="2018">
        <f>BG49/4</f>
        <v>5.6912733625477641</v>
      </c>
      <c r="BE49" s="2018">
        <f>BG49/4</f>
        <v>5.6912733625477641</v>
      </c>
      <c r="BF49" s="656">
        <f>BG49/4</f>
        <v>5.6912733625477641</v>
      </c>
      <c r="BG49" s="2059">
        <f>((BG$115-20%*BB13)*50%*10.5%)/(1-BG54)+5%*(1-50%)*(BG$115-20%*BB13)+2.5%*BG$115</f>
        <v>22.765093450191056</v>
      </c>
      <c r="BH49" s="616">
        <f>BL49/4</f>
        <v>7.0552471251759794</v>
      </c>
      <c r="BI49" s="2018">
        <f>BL49/4</f>
        <v>7.0552471251759794</v>
      </c>
      <c r="BJ49" s="2018">
        <f>BL49/4</f>
        <v>7.0552471251759794</v>
      </c>
      <c r="BK49" s="2019">
        <f>BL49/4</f>
        <v>7.0552471251759794</v>
      </c>
      <c r="BL49" s="2059">
        <f>((BL$115-20%*BG13)*50%*10.5%)/(1-BL54)+5%*(1-50%)*(BL$115-20%*BG13)+2.5%*BL$115</f>
        <v>28.220988500703918</v>
      </c>
      <c r="BM49" s="2269"/>
      <c r="BN49" s="1723">
        <v>0.105</v>
      </c>
      <c r="BO49" s="1716"/>
      <c r="BS49" s="890"/>
      <c r="BT49" s="1716"/>
      <c r="BU49" s="1716"/>
      <c r="BV49" s="1716"/>
      <c r="BW49" s="1716"/>
      <c r="BX49" s="1716"/>
      <c r="BY49" s="1716"/>
      <c r="BZ49" s="1716"/>
      <c r="CA49" s="1716"/>
      <c r="CB49" s="1716"/>
      <c r="CC49" s="1716"/>
      <c r="CD49" s="1716"/>
      <c r="CE49" s="1716"/>
      <c r="CF49" s="1716"/>
      <c r="CG49" s="1716"/>
      <c r="CH49" s="1716"/>
      <c r="CI49" s="1716"/>
      <c r="CJ49" s="1716"/>
      <c r="CK49" s="1716"/>
      <c r="CL49" s="1716"/>
      <c r="CM49" s="1716"/>
      <c r="CN49" s="1716"/>
      <c r="CO49" s="1716"/>
      <c r="CP49" s="1716"/>
    </row>
    <row r="50" spans="1:94">
      <c r="A50" s="890"/>
      <c r="B50" s="890"/>
      <c r="C50" s="618"/>
      <c r="D50" s="890"/>
      <c r="E50" s="891"/>
      <c r="F50" s="892"/>
      <c r="G50" s="892"/>
      <c r="H50" s="893"/>
      <c r="I50" s="894"/>
      <c r="J50" s="891"/>
      <c r="K50" s="892"/>
      <c r="L50" s="892"/>
      <c r="M50" s="893"/>
      <c r="N50" s="894"/>
      <c r="O50" s="891"/>
      <c r="P50" s="892"/>
      <c r="Q50" s="892"/>
      <c r="R50" s="893"/>
      <c r="S50" s="894"/>
      <c r="T50" s="891"/>
      <c r="U50" s="892"/>
      <c r="V50" s="892"/>
      <c r="W50" s="893"/>
      <c r="X50" s="894"/>
      <c r="Y50" s="891"/>
      <c r="Z50" s="892"/>
      <c r="AA50" s="892"/>
      <c r="AB50" s="893"/>
      <c r="AC50" s="894"/>
      <c r="AD50" s="891"/>
      <c r="AE50" s="892"/>
      <c r="AF50" s="892"/>
      <c r="AG50" s="893"/>
      <c r="AH50" s="894"/>
      <c r="AI50" s="891"/>
      <c r="AJ50" s="892"/>
      <c r="AK50" s="892"/>
      <c r="AL50" s="893"/>
      <c r="AM50" s="894"/>
      <c r="AN50" s="891"/>
      <c r="AO50" s="892"/>
      <c r="AP50" s="892"/>
      <c r="AQ50" s="893"/>
      <c r="AR50" s="894"/>
      <c r="AS50" s="891"/>
      <c r="AT50" s="892"/>
      <c r="AU50" s="892"/>
      <c r="AV50" s="893"/>
      <c r="AW50" s="894"/>
      <c r="AX50" s="891"/>
      <c r="AY50" s="892"/>
      <c r="AZ50" s="892"/>
      <c r="BA50" s="893"/>
      <c r="BB50" s="894"/>
      <c r="BC50" s="891"/>
      <c r="BD50" s="892"/>
      <c r="BE50" s="892"/>
      <c r="BF50" s="893"/>
      <c r="BG50" s="894"/>
      <c r="BH50" s="891"/>
      <c r="BI50" s="892"/>
      <c r="BJ50" s="892"/>
      <c r="BK50" s="893"/>
      <c r="BL50" s="2273"/>
      <c r="BM50" s="2274"/>
      <c r="BN50" s="890"/>
      <c r="BO50" s="890"/>
      <c r="BS50" s="890"/>
      <c r="BT50" s="890"/>
      <c r="BU50" s="890"/>
      <c r="BV50" s="890"/>
      <c r="BW50" s="890"/>
      <c r="BX50" s="890"/>
      <c r="BY50" s="890"/>
      <c r="BZ50" s="890"/>
      <c r="CA50" s="890"/>
      <c r="CB50" s="890"/>
      <c r="CC50" s="890"/>
      <c r="CD50" s="890"/>
      <c r="CE50" s="890"/>
      <c r="CF50" s="890"/>
      <c r="CG50" s="890"/>
      <c r="CH50" s="890"/>
      <c r="CI50" s="890"/>
      <c r="CJ50" s="890"/>
      <c r="CK50" s="890"/>
      <c r="CL50" s="890"/>
      <c r="CM50" s="890"/>
      <c r="CN50" s="890"/>
      <c r="CO50" s="890"/>
      <c r="CP50" s="890"/>
    </row>
    <row r="51" spans="1:94">
      <c r="A51" s="890"/>
      <c r="B51" s="890"/>
      <c r="C51" s="565" t="s">
        <v>125</v>
      </c>
      <c r="D51" s="890"/>
      <c r="E51" s="1700"/>
      <c r="F51" s="1337"/>
      <c r="G51" s="1337"/>
      <c r="H51" s="1701"/>
      <c r="I51" s="1713"/>
      <c r="J51" s="1700"/>
      <c r="K51" s="1337"/>
      <c r="L51" s="1337"/>
      <c r="M51" s="1701"/>
      <c r="N51" s="1713">
        <f t="shared" ref="N51:Z51" si="87">+N88</f>
        <v>0.18644067796610164</v>
      </c>
      <c r="O51" s="1700">
        <f t="shared" si="87"/>
        <v>9.8039215686274161E-3</v>
      </c>
      <c r="P51" s="1337">
        <f t="shared" si="87"/>
        <v>1.0000000000000009E-2</v>
      </c>
      <c r="Q51" s="1337">
        <f t="shared" si="87"/>
        <v>-0.12612612612612617</v>
      </c>
      <c r="R51" s="1701">
        <f t="shared" si="87"/>
        <v>-4.6728971962616828E-2</v>
      </c>
      <c r="S51" s="1713">
        <f t="shared" si="87"/>
        <v>-4.0476190476190443E-2</v>
      </c>
      <c r="T51" s="1700">
        <f t="shared" si="87"/>
        <v>-9.7087378640776656E-3</v>
      </c>
      <c r="U51" s="1337">
        <f t="shared" si="87"/>
        <v>-5.9405940594059459E-2</v>
      </c>
      <c r="V51" s="1337">
        <f t="shared" si="87"/>
        <v>-2.0618556701030966E-2</v>
      </c>
      <c r="W51" s="1701">
        <f t="shared" si="87"/>
        <v>-2.9411764705882359E-2</v>
      </c>
      <c r="X51" s="1713">
        <f t="shared" si="87"/>
        <v>-2.9776674937965208E-2</v>
      </c>
      <c r="Y51" s="1700">
        <f t="shared" si="87"/>
        <v>-8.8235294117647078E-2</v>
      </c>
      <c r="Z51" s="1337">
        <f t="shared" si="87"/>
        <v>-4.2105263157894757E-2</v>
      </c>
      <c r="AA51" s="1337">
        <f t="shared" ref="AA51:AE51" si="88">+AA88</f>
        <v>8.4210526315789513E-2</v>
      </c>
      <c r="AB51" s="1701">
        <f t="shared" si="88"/>
        <v>4.0404040404040442E-2</v>
      </c>
      <c r="AC51" s="1713">
        <f t="shared" si="88"/>
        <v>-2.5575447570332921E-3</v>
      </c>
      <c r="AD51" s="1700">
        <f t="shared" si="88"/>
        <v>0.21505376344086025</v>
      </c>
      <c r="AE51" s="1337">
        <f t="shared" si="88"/>
        <v>0.13186813186813184</v>
      </c>
      <c r="AF51" s="1337">
        <f t="shared" ref="AF51:AJ51" si="89">+AF88</f>
        <v>8.737864077669899E-2</v>
      </c>
      <c r="AG51" s="1701">
        <f t="shared" si="89"/>
        <v>9.7087378640776656E-2</v>
      </c>
      <c r="AH51" s="1713">
        <f t="shared" si="89"/>
        <v>0.13076923076923075</v>
      </c>
      <c r="AI51" s="1700">
        <f t="shared" si="89"/>
        <v>1.5663716814159292</v>
      </c>
      <c r="AJ51" s="1337">
        <f t="shared" si="89"/>
        <v>5.8252427184465994E-2</v>
      </c>
      <c r="AK51" s="1337">
        <f t="shared" ref="AK51:AO51" si="90">+AK88</f>
        <v>-2.6785714285714302E-2</v>
      </c>
      <c r="AL51" s="1701">
        <f t="shared" si="90"/>
        <v>0.18584070796460184</v>
      </c>
      <c r="AM51" s="1713">
        <f t="shared" si="90"/>
        <v>0.45578231292517013</v>
      </c>
      <c r="AN51" s="1700">
        <f t="shared" si="90"/>
        <v>-0.6103448275862069</v>
      </c>
      <c r="AO51" s="1337">
        <f t="shared" si="90"/>
        <v>0.10091743119266061</v>
      </c>
      <c r="AP51" s="1337">
        <f>+AP88</f>
        <v>-5.5045871559633031E-2</v>
      </c>
      <c r="AQ51" s="1701">
        <f t="shared" ref="AQ51:AR51" si="91">+AQ88</f>
        <v>-0.11940298507462688</v>
      </c>
      <c r="AR51" s="1713">
        <f t="shared" si="91"/>
        <v>-0.29283489096573212</v>
      </c>
      <c r="AS51" s="1700">
        <f t="shared" ref="AS51:AV52" si="92">+AT51</f>
        <v>0</v>
      </c>
      <c r="AT51" s="1337">
        <f t="shared" si="92"/>
        <v>0</v>
      </c>
      <c r="AU51" s="1337">
        <f t="shared" si="92"/>
        <v>0</v>
      </c>
      <c r="AV51" s="1701">
        <f t="shared" si="92"/>
        <v>0</v>
      </c>
      <c r="AW51" s="1714">
        <v>0</v>
      </c>
      <c r="AX51" s="1700">
        <f t="shared" ref="AX51:AX52" si="93">+AY51</f>
        <v>-2.5000000000000001E-2</v>
      </c>
      <c r="AY51" s="1337">
        <f t="shared" ref="AY51:AY52" si="94">+AZ51</f>
        <v>-2.5000000000000001E-2</v>
      </c>
      <c r="AZ51" s="1337">
        <f t="shared" ref="AZ51:AZ52" si="95">+BA51</f>
        <v>-2.5000000000000001E-2</v>
      </c>
      <c r="BA51" s="1701">
        <f t="shared" ref="BA51:BA52" si="96">+BB51</f>
        <v>-2.5000000000000001E-2</v>
      </c>
      <c r="BB51" s="1714">
        <v>-2.5000000000000001E-2</v>
      </c>
      <c r="BC51" s="1700">
        <f t="shared" ref="BC51:BC52" si="97">+BD51</f>
        <v>-7.4999999999999997E-2</v>
      </c>
      <c r="BD51" s="2024">
        <f t="shared" ref="BD51:BD52" si="98">+BE51</f>
        <v>-7.4999999999999997E-2</v>
      </c>
      <c r="BE51" s="2024">
        <f t="shared" ref="BE51:BE52" si="99">+BF51</f>
        <v>-7.4999999999999997E-2</v>
      </c>
      <c r="BF51" s="1701">
        <f t="shared" ref="BF51:BF52" si="100">+BG51</f>
        <v>-7.4999999999999997E-2</v>
      </c>
      <c r="BG51" s="1714">
        <v>-7.4999999999999997E-2</v>
      </c>
      <c r="BH51" s="1700">
        <f t="shared" ref="BH51:BH52" si="101">+BI51</f>
        <v>-5.5E-2</v>
      </c>
      <c r="BI51" s="2024">
        <f t="shared" ref="BI51:BI52" si="102">+BJ51</f>
        <v>-5.5E-2</v>
      </c>
      <c r="BJ51" s="2024">
        <f t="shared" ref="BJ51:BJ52" si="103">+BK51</f>
        <v>-5.5E-2</v>
      </c>
      <c r="BK51" s="2025">
        <f t="shared" ref="BK51:BK52" si="104">+BL51</f>
        <v>-5.5E-2</v>
      </c>
      <c r="BL51" s="2278">
        <v>-5.5E-2</v>
      </c>
      <c r="BM51" s="2274"/>
      <c r="BN51" s="890"/>
      <c r="BO51" s="890"/>
      <c r="BS51" s="890"/>
      <c r="BT51" s="890"/>
      <c r="BU51" s="890"/>
      <c r="BV51" s="890"/>
      <c r="BW51" s="890"/>
      <c r="BX51" s="890"/>
      <c r="BY51" s="890"/>
      <c r="BZ51" s="890"/>
      <c r="CA51" s="890"/>
      <c r="CB51" s="890"/>
      <c r="CC51" s="890"/>
      <c r="CD51" s="890"/>
      <c r="CE51" s="890"/>
      <c r="CF51" s="890"/>
      <c r="CG51" s="890"/>
      <c r="CH51" s="890"/>
      <c r="CI51" s="890"/>
      <c r="CJ51" s="890"/>
      <c r="CK51" s="890"/>
      <c r="CL51" s="890"/>
      <c r="CM51" s="890"/>
      <c r="CN51" s="890"/>
      <c r="CO51" s="890"/>
      <c r="CP51" s="890"/>
    </row>
    <row r="52" spans="1:94">
      <c r="A52" s="890"/>
      <c r="B52" s="890"/>
      <c r="C52" s="565" t="s">
        <v>126</v>
      </c>
      <c r="D52" s="890"/>
      <c r="E52" s="1700"/>
      <c r="F52" s="1337"/>
      <c r="G52" s="1337"/>
      <c r="H52" s="1701"/>
      <c r="I52" s="1713"/>
      <c r="J52" s="1700"/>
      <c r="K52" s="1337"/>
      <c r="L52" s="1337"/>
      <c r="M52" s="1701"/>
      <c r="N52" s="1713">
        <f t="shared" ref="N52:Z52" si="105">+N91</f>
        <v>4.9450549450549497E-2</v>
      </c>
      <c r="O52" s="1700">
        <f t="shared" si="105"/>
        <v>-2.1739130434782594E-2</v>
      </c>
      <c r="P52" s="1337">
        <f t="shared" si="105"/>
        <v>-2.1276595744680882E-2</v>
      </c>
      <c r="Q52" s="1337">
        <f t="shared" si="105"/>
        <v>-4.629629629629628E-2</v>
      </c>
      <c r="R52" s="1701">
        <f t="shared" si="105"/>
        <v>-1.1363636363636354E-2</v>
      </c>
      <c r="S52" s="1713">
        <f t="shared" si="105"/>
        <v>-2.6178010471204161E-2</v>
      </c>
      <c r="T52" s="1700">
        <f t="shared" si="105"/>
        <v>-1.1111111111111072E-2</v>
      </c>
      <c r="U52" s="1337">
        <f t="shared" si="105"/>
        <v>-4.3478260869565188E-2</v>
      </c>
      <c r="V52" s="1337">
        <f t="shared" si="105"/>
        <v>0</v>
      </c>
      <c r="W52" s="1701">
        <f t="shared" si="105"/>
        <v>1.1494252873563315E-2</v>
      </c>
      <c r="X52" s="1713">
        <f t="shared" si="105"/>
        <v>-1.0752688172043001E-2</v>
      </c>
      <c r="Y52" s="1700">
        <f t="shared" si="105"/>
        <v>1.1235955056179803E-2</v>
      </c>
      <c r="Z52" s="1337">
        <f t="shared" si="105"/>
        <v>2.2727272727272707E-2</v>
      </c>
      <c r="AA52" s="1337">
        <f t="shared" ref="AA52:AE52" si="106">+AA91</f>
        <v>-7.7669902912621325E-2</v>
      </c>
      <c r="AB52" s="1701">
        <f t="shared" si="106"/>
        <v>0</v>
      </c>
      <c r="AC52" s="1713">
        <f t="shared" si="106"/>
        <v>-1.3586956521739135E-2</v>
      </c>
      <c r="AD52" s="1700">
        <f t="shared" si="106"/>
        <v>4.4444444444444509E-2</v>
      </c>
      <c r="AE52" s="1337">
        <f t="shared" si="106"/>
        <v>2.2222222222222143E-2</v>
      </c>
      <c r="AF52" s="1337">
        <f t="shared" ref="AF52:AJ52" si="107">+AF91</f>
        <v>3.1578947368421151E-2</v>
      </c>
      <c r="AG52" s="1701">
        <f t="shared" si="107"/>
        <v>-3.4090909090909061E-2</v>
      </c>
      <c r="AH52" s="1713">
        <f t="shared" si="107"/>
        <v>1.6528925619834656E-2</v>
      </c>
      <c r="AI52" s="1700">
        <f t="shared" si="107"/>
        <v>0</v>
      </c>
      <c r="AJ52" s="1337">
        <f t="shared" si="107"/>
        <v>-3.2608695652173947E-2</v>
      </c>
      <c r="AK52" s="1337">
        <f t="shared" ref="AK52:AO52" si="108">+AK91</f>
        <v>7.1428571428571397E-2</v>
      </c>
      <c r="AL52" s="1701">
        <f t="shared" si="108"/>
        <v>4.705882352941182E-2</v>
      </c>
      <c r="AM52" s="1713">
        <f t="shared" si="108"/>
        <v>2.1680216802167918E-2</v>
      </c>
      <c r="AN52" s="1700">
        <f t="shared" si="108"/>
        <v>-4.2553191489361653E-2</v>
      </c>
      <c r="AO52" s="1337">
        <f t="shared" si="108"/>
        <v>1.1235955056179803E-2</v>
      </c>
      <c r="AP52" s="1337">
        <f t="shared" ref="AP52:AR52" si="109">+AP91</f>
        <v>-2.8571428571428581E-2</v>
      </c>
      <c r="AQ52" s="1701">
        <f t="shared" si="109"/>
        <v>0</v>
      </c>
      <c r="AR52" s="1713">
        <f t="shared" si="109"/>
        <v>-1.591511936339518E-2</v>
      </c>
      <c r="AS52" s="1700">
        <f t="shared" si="92"/>
        <v>0.03</v>
      </c>
      <c r="AT52" s="1337">
        <f t="shared" si="92"/>
        <v>0.03</v>
      </c>
      <c r="AU52" s="1337">
        <f t="shared" si="92"/>
        <v>0.03</v>
      </c>
      <c r="AV52" s="1701">
        <f t="shared" si="92"/>
        <v>0.03</v>
      </c>
      <c r="AW52" s="1714">
        <v>0.03</v>
      </c>
      <c r="AX52" s="1700">
        <f t="shared" si="93"/>
        <v>0.03</v>
      </c>
      <c r="AY52" s="1337">
        <f t="shared" si="94"/>
        <v>0.03</v>
      </c>
      <c r="AZ52" s="1337">
        <f t="shared" si="95"/>
        <v>0.03</v>
      </c>
      <c r="BA52" s="1701">
        <f t="shared" si="96"/>
        <v>0.03</v>
      </c>
      <c r="BB52" s="1714">
        <v>0.03</v>
      </c>
      <c r="BC52" s="1700">
        <f t="shared" si="97"/>
        <v>0.03</v>
      </c>
      <c r="BD52" s="2024">
        <f t="shared" si="98"/>
        <v>0.03</v>
      </c>
      <c r="BE52" s="2024">
        <f t="shared" si="99"/>
        <v>0.03</v>
      </c>
      <c r="BF52" s="1701">
        <f t="shared" si="100"/>
        <v>0.03</v>
      </c>
      <c r="BG52" s="1714">
        <v>0.03</v>
      </c>
      <c r="BH52" s="1700">
        <f t="shared" si="101"/>
        <v>0.03</v>
      </c>
      <c r="BI52" s="2024">
        <f t="shared" si="102"/>
        <v>0.03</v>
      </c>
      <c r="BJ52" s="2024">
        <f t="shared" si="103"/>
        <v>0.03</v>
      </c>
      <c r="BK52" s="2025">
        <f t="shared" si="104"/>
        <v>0.03</v>
      </c>
      <c r="BL52" s="2275">
        <f t="shared" ref="BL52" si="110">+BG52</f>
        <v>0.03</v>
      </c>
      <c r="BM52" s="2274"/>
      <c r="BN52" s="2159"/>
      <c r="BO52" s="2159"/>
      <c r="BS52" s="890"/>
      <c r="BT52" s="890"/>
      <c r="BU52" s="890"/>
      <c r="BV52" s="890"/>
      <c r="BW52" s="890"/>
      <c r="BX52" s="890"/>
      <c r="BY52" s="890"/>
      <c r="BZ52" s="890"/>
      <c r="CA52" s="890"/>
      <c r="CB52" s="890"/>
      <c r="CC52" s="890"/>
      <c r="CD52" s="890"/>
      <c r="CE52" s="890"/>
      <c r="CF52" s="890"/>
      <c r="CG52" s="890"/>
      <c r="CH52" s="890"/>
      <c r="CI52" s="890"/>
      <c r="CJ52" s="890"/>
      <c r="CK52" s="890"/>
      <c r="CL52" s="890"/>
      <c r="CM52" s="890"/>
      <c r="CN52" s="890"/>
      <c r="CO52" s="890"/>
      <c r="CP52" s="890"/>
    </row>
    <row r="53" spans="1:94">
      <c r="A53" s="890"/>
      <c r="B53" s="890"/>
      <c r="C53" s="618"/>
      <c r="D53" s="890"/>
      <c r="E53" s="891"/>
      <c r="F53" s="892"/>
      <c r="G53" s="892"/>
      <c r="H53" s="893"/>
      <c r="I53" s="894"/>
      <c r="J53" s="891"/>
      <c r="K53" s="892"/>
      <c r="L53" s="892"/>
      <c r="M53" s="893"/>
      <c r="N53" s="894"/>
      <c r="O53" s="891"/>
      <c r="P53" s="892"/>
      <c r="Q53" s="892"/>
      <c r="R53" s="893"/>
      <c r="S53" s="894"/>
      <c r="T53" s="891"/>
      <c r="U53" s="892"/>
      <c r="V53" s="892"/>
      <c r="W53" s="893"/>
      <c r="X53" s="894"/>
      <c r="Y53" s="891"/>
      <c r="Z53" s="892"/>
      <c r="AA53" s="892"/>
      <c r="AB53" s="893"/>
      <c r="AC53" s="894"/>
      <c r="AD53" s="891"/>
      <c r="AE53" s="892"/>
      <c r="AF53" s="892"/>
      <c r="AG53" s="893"/>
      <c r="AH53" s="894"/>
      <c r="AI53" s="891"/>
      <c r="AJ53" s="892"/>
      <c r="AK53" s="892"/>
      <c r="AL53" s="893"/>
      <c r="AM53" s="894"/>
      <c r="AN53" s="891"/>
      <c r="AO53" s="892"/>
      <c r="AP53" s="892"/>
      <c r="AQ53" s="893"/>
      <c r="AR53" s="894"/>
      <c r="AS53" s="891"/>
      <c r="AT53" s="892"/>
      <c r="AU53" s="892"/>
      <c r="AV53" s="893"/>
      <c r="AW53" s="894"/>
      <c r="AX53" s="891"/>
      <c r="AY53" s="892"/>
      <c r="AZ53" s="892"/>
      <c r="BA53" s="893"/>
      <c r="BB53" s="894"/>
      <c r="BC53" s="891"/>
      <c r="BD53" s="892"/>
      <c r="BE53" s="892"/>
      <c r="BF53" s="893"/>
      <c r="BG53" s="894"/>
      <c r="BH53" s="891"/>
      <c r="BI53" s="892"/>
      <c r="BJ53" s="892"/>
      <c r="BK53" s="893"/>
      <c r="BL53" s="2275"/>
      <c r="BM53" s="2274"/>
      <c r="BS53" s="890"/>
      <c r="BT53" s="890"/>
      <c r="BU53" s="890"/>
      <c r="BV53" s="890"/>
      <c r="BW53" s="890"/>
      <c r="BX53" s="890"/>
      <c r="BY53" s="890"/>
      <c r="BZ53" s="890"/>
      <c r="CA53" s="890"/>
      <c r="CB53" s="890"/>
      <c r="CC53" s="890"/>
      <c r="CD53" s="890"/>
      <c r="CE53" s="890"/>
      <c r="CF53" s="890"/>
      <c r="CG53" s="890"/>
      <c r="CH53" s="890"/>
      <c r="CI53" s="890"/>
      <c r="CJ53" s="890"/>
      <c r="CK53" s="890"/>
      <c r="CL53" s="890"/>
      <c r="CM53" s="890"/>
      <c r="CN53" s="890"/>
      <c r="CO53" s="890"/>
      <c r="CP53" s="890"/>
    </row>
    <row r="54" spans="1:94">
      <c r="A54" s="890"/>
      <c r="B54" s="890"/>
      <c r="C54" s="565" t="s">
        <v>229</v>
      </c>
      <c r="D54" s="890"/>
      <c r="E54" s="1700"/>
      <c r="F54" s="1337"/>
      <c r="G54" s="1337"/>
      <c r="H54" s="1701"/>
      <c r="I54" s="1713">
        <f>(I30)/(I28)</f>
        <v>0.25517241379310346</v>
      </c>
      <c r="J54" s="1700"/>
      <c r="K54" s="1337"/>
      <c r="L54" s="1337"/>
      <c r="M54" s="1701"/>
      <c r="N54" s="1713">
        <f t="shared" ref="N54:Y54" si="111">(N30)/(N28)</f>
        <v>0.26666666666666666</v>
      </c>
      <c r="O54" s="1700">
        <f t="shared" si="111"/>
        <v>-0.26315789473684209</v>
      </c>
      <c r="P54" s="1337">
        <f t="shared" si="111"/>
        <v>0.22857142857142856</v>
      </c>
      <c r="Q54" s="1337">
        <f t="shared" si="111"/>
        <v>0.41176470588235292</v>
      </c>
      <c r="R54" s="1701">
        <f t="shared" si="111"/>
        <v>0.2857142857142857</v>
      </c>
      <c r="S54" s="1713">
        <f t="shared" si="111"/>
        <v>0.27586206896551724</v>
      </c>
      <c r="T54" s="1700">
        <f t="shared" si="111"/>
        <v>0.08</v>
      </c>
      <c r="U54" s="1337">
        <f t="shared" si="111"/>
        <v>0.35087719298245612</v>
      </c>
      <c r="V54" s="1337">
        <f t="shared" si="111"/>
        <v>0.37735849056603776</v>
      </c>
      <c r="W54" s="1701">
        <f t="shared" si="111"/>
        <v>0.41463414634146339</v>
      </c>
      <c r="X54" s="1713">
        <f t="shared" si="111"/>
        <v>0.34497816593886466</v>
      </c>
      <c r="Y54" s="1700">
        <f t="shared" si="111"/>
        <v>0.33333333333333331</v>
      </c>
      <c r="Z54" s="1337">
        <f>(Z30)/(Z28)</f>
        <v>0.3783783783783784</v>
      </c>
      <c r="AA54" s="1337">
        <f t="shared" ref="AA54:AD54" si="112">(AA30)/(AA28)</f>
        <v>0.3619047619047619</v>
      </c>
      <c r="AB54" s="1701">
        <f t="shared" si="112"/>
        <v>0.27777777777777779</v>
      </c>
      <c r="AC54" s="1713">
        <f t="shared" si="112"/>
        <v>0.34980988593155893</v>
      </c>
      <c r="AD54" s="1700">
        <f t="shared" si="112"/>
        <v>0.31578947368421051</v>
      </c>
      <c r="AE54" s="1337">
        <f>(AE30)/(AE28)</f>
        <v>0.3</v>
      </c>
      <c r="AF54" s="1337">
        <f t="shared" ref="AF54:AI54" si="113">(AF30)/(AF28)</f>
        <v>0.34782608695652173</v>
      </c>
      <c r="AG54" s="1701">
        <f t="shared" si="113"/>
        <v>0.37894736842105264</v>
      </c>
      <c r="AH54" s="1713">
        <f t="shared" si="113"/>
        <v>0.34385964912280703</v>
      </c>
      <c r="AI54" s="1700">
        <f t="shared" si="113"/>
        <v>0.18796992481203006</v>
      </c>
      <c r="AJ54" s="1337">
        <f>(AJ30)/(AJ28)</f>
        <v>0.31944444444444442</v>
      </c>
      <c r="AK54" s="1337">
        <f t="shared" ref="AK54:AN54" si="114">(AK30)/(AK28)</f>
        <v>0.30701754385964913</v>
      </c>
      <c r="AL54" s="1701">
        <f t="shared" si="114"/>
        <v>0.26666666666666666</v>
      </c>
      <c r="AM54" s="1713">
        <f t="shared" si="114"/>
        <v>0.49397590361445781</v>
      </c>
      <c r="AN54" s="1700">
        <f t="shared" si="114"/>
        <v>0</v>
      </c>
      <c r="AO54" s="1337">
        <f>(AO30)/(AO28)</f>
        <v>0.31746031746031744</v>
      </c>
      <c r="AP54" s="1337">
        <f t="shared" ref="AP54:AR54" si="115">(AP30)/(AP28)</f>
        <v>0.30399999999999999</v>
      </c>
      <c r="AQ54" s="1701">
        <f t="shared" si="115"/>
        <v>0.734375</v>
      </c>
      <c r="AR54" s="1713">
        <f t="shared" si="115"/>
        <v>0.33870967741935482</v>
      </c>
      <c r="AS54" s="1700">
        <f>+AT54</f>
        <v>0.21</v>
      </c>
      <c r="AT54" s="1337">
        <f>+AU54</f>
        <v>0.21</v>
      </c>
      <c r="AU54" s="1337">
        <f>+AV54</f>
        <v>0.21</v>
      </c>
      <c r="AV54" s="1701">
        <f>+AW54</f>
        <v>0.21</v>
      </c>
      <c r="AW54" s="1714">
        <v>0.21</v>
      </c>
      <c r="AX54" s="1700">
        <f>+AY54</f>
        <v>0.21</v>
      </c>
      <c r="AY54" s="1337">
        <f>+AZ54</f>
        <v>0.21</v>
      </c>
      <c r="AZ54" s="1337">
        <f>+BA54</f>
        <v>0.21</v>
      </c>
      <c r="BA54" s="1701">
        <f>+BB54</f>
        <v>0.21</v>
      </c>
      <c r="BB54" s="1714">
        <v>0.21</v>
      </c>
      <c r="BC54" s="1700">
        <f>+BD54</f>
        <v>0.21</v>
      </c>
      <c r="BD54" s="2024">
        <f>+BE54</f>
        <v>0.21</v>
      </c>
      <c r="BE54" s="2024">
        <f>+BF54</f>
        <v>0.21</v>
      </c>
      <c r="BF54" s="1701">
        <f>+BG54</f>
        <v>0.21</v>
      </c>
      <c r="BG54" s="1714">
        <v>0.21</v>
      </c>
      <c r="BH54" s="1700">
        <f>+BI54</f>
        <v>0.21</v>
      </c>
      <c r="BI54" s="2024">
        <f>+BJ54</f>
        <v>0.21</v>
      </c>
      <c r="BJ54" s="2024">
        <f>+BK54</f>
        <v>0.21</v>
      </c>
      <c r="BK54" s="2025">
        <f>+BL54</f>
        <v>0.21</v>
      </c>
      <c r="BL54" s="2278">
        <v>0.21</v>
      </c>
      <c r="BM54" s="2274"/>
      <c r="BS54" s="890"/>
      <c r="BT54" s="890"/>
      <c r="BU54" s="890"/>
      <c r="BV54" s="890"/>
      <c r="BW54" s="890"/>
      <c r="BX54" s="890"/>
      <c r="BY54" s="890"/>
      <c r="BZ54" s="890"/>
      <c r="CA54" s="890"/>
      <c r="CB54" s="890"/>
      <c r="CC54" s="890"/>
      <c r="CD54" s="890"/>
      <c r="CE54" s="890"/>
      <c r="CF54" s="890"/>
      <c r="CG54" s="890"/>
      <c r="CH54" s="890"/>
      <c r="CI54" s="890"/>
      <c r="CJ54" s="890"/>
      <c r="CK54" s="890"/>
      <c r="CL54" s="890"/>
      <c r="CM54" s="890"/>
      <c r="CN54" s="890"/>
      <c r="CO54" s="890"/>
      <c r="CP54" s="890"/>
    </row>
    <row r="55" spans="1:94">
      <c r="A55" s="890"/>
      <c r="B55" s="890"/>
      <c r="C55" s="565" t="s">
        <v>230</v>
      </c>
      <c r="D55" s="890"/>
      <c r="E55" s="1700"/>
      <c r="F55" s="1337"/>
      <c r="G55" s="1337"/>
      <c r="H55" s="1701"/>
      <c r="I55" s="1713">
        <f>I30/I28</f>
        <v>0.25517241379310346</v>
      </c>
      <c r="J55" s="1700"/>
      <c r="K55" s="1337"/>
      <c r="L55" s="1337"/>
      <c r="M55" s="1701"/>
      <c r="N55" s="1713">
        <f t="shared" ref="N55:AW55" si="116">N30/N28</f>
        <v>0.26666666666666666</v>
      </c>
      <c r="O55" s="1700">
        <f t="shared" si="116"/>
        <v>-0.26315789473684209</v>
      </c>
      <c r="P55" s="1337">
        <f t="shared" si="116"/>
        <v>0.22857142857142856</v>
      </c>
      <c r="Q55" s="1337">
        <f t="shared" si="116"/>
        <v>0.41176470588235292</v>
      </c>
      <c r="R55" s="1701">
        <f t="shared" si="116"/>
        <v>0.2857142857142857</v>
      </c>
      <c r="S55" s="1713">
        <f t="shared" si="116"/>
        <v>0.27586206896551724</v>
      </c>
      <c r="T55" s="1700">
        <f t="shared" si="116"/>
        <v>0.08</v>
      </c>
      <c r="U55" s="1337">
        <f t="shared" si="116"/>
        <v>0.35087719298245612</v>
      </c>
      <c r="V55" s="1337">
        <f t="shared" si="116"/>
        <v>0.37735849056603776</v>
      </c>
      <c r="W55" s="1701">
        <f t="shared" si="116"/>
        <v>0.41463414634146339</v>
      </c>
      <c r="X55" s="1713">
        <f t="shared" si="116"/>
        <v>0.34497816593886466</v>
      </c>
      <c r="Y55" s="1700">
        <f t="shared" si="116"/>
        <v>0.33333333333333331</v>
      </c>
      <c r="Z55" s="1337">
        <f t="shared" si="116"/>
        <v>0.3783783783783784</v>
      </c>
      <c r="AA55" s="1337">
        <f t="shared" ref="AA55:AE55" si="117">AA30/AA28</f>
        <v>0.3619047619047619</v>
      </c>
      <c r="AB55" s="1701">
        <f t="shared" si="117"/>
        <v>0.27777777777777779</v>
      </c>
      <c r="AC55" s="1713">
        <f t="shared" si="117"/>
        <v>0.34980988593155893</v>
      </c>
      <c r="AD55" s="1700">
        <f t="shared" si="117"/>
        <v>0.31578947368421051</v>
      </c>
      <c r="AE55" s="1337">
        <f t="shared" si="117"/>
        <v>0.3</v>
      </c>
      <c r="AF55" s="1337">
        <f t="shared" ref="AF55:AJ55" si="118">AF30/AF28</f>
        <v>0.34782608695652173</v>
      </c>
      <c r="AG55" s="1701">
        <f t="shared" si="118"/>
        <v>0.37894736842105264</v>
      </c>
      <c r="AH55" s="1713">
        <f t="shared" si="118"/>
        <v>0.34385964912280703</v>
      </c>
      <c r="AI55" s="1700">
        <f t="shared" si="118"/>
        <v>0.18796992481203006</v>
      </c>
      <c r="AJ55" s="1337">
        <f t="shared" si="118"/>
        <v>0.31944444444444442</v>
      </c>
      <c r="AK55" s="1337">
        <f t="shared" ref="AK55:AO55" si="119">AK30/AK28</f>
        <v>0.30701754385964913</v>
      </c>
      <c r="AL55" s="1701">
        <f t="shared" si="119"/>
        <v>0.26666666666666666</v>
      </c>
      <c r="AM55" s="1713">
        <f t="shared" si="119"/>
        <v>0.49397590361445781</v>
      </c>
      <c r="AN55" s="1700">
        <f t="shared" si="119"/>
        <v>0</v>
      </c>
      <c r="AO55" s="1337">
        <f t="shared" si="119"/>
        <v>0.31746031746031744</v>
      </c>
      <c r="AP55" s="1337">
        <f t="shared" ref="AP55:AR55" si="120">AP30/AP28</f>
        <v>0.30399999999999999</v>
      </c>
      <c r="AQ55" s="1701">
        <f t="shared" si="120"/>
        <v>0.734375</v>
      </c>
      <c r="AR55" s="1713">
        <f t="shared" si="120"/>
        <v>0.33870967741935482</v>
      </c>
      <c r="AS55" s="1700">
        <f t="shared" si="116"/>
        <v>0.18456059108621053</v>
      </c>
      <c r="AT55" s="1337">
        <f t="shared" ca="1" si="116"/>
        <v>0.1848440306060814</v>
      </c>
      <c r="AU55" s="1337">
        <f t="shared" ca="1" si="116"/>
        <v>0.19889798798669128</v>
      </c>
      <c r="AV55" s="1701">
        <f t="shared" ca="1" si="116"/>
        <v>0.18296140516325865</v>
      </c>
      <c r="AW55" s="1713">
        <f t="shared" ca="1" si="116"/>
        <v>0.19059373649306785</v>
      </c>
      <c r="AX55" s="1700">
        <f t="shared" ref="AX55:BG55" ca="1" si="121">AX30/AX28</f>
        <v>0.18174059367818737</v>
      </c>
      <c r="AY55" s="1337">
        <f t="shared" ca="1" si="121"/>
        <v>0.18160685457794032</v>
      </c>
      <c r="AZ55" s="1337">
        <f t="shared" ca="1" si="121"/>
        <v>0.19893920691400027</v>
      </c>
      <c r="BA55" s="1701">
        <f t="shared" ca="1" si="121"/>
        <v>0.18629209642046979</v>
      </c>
      <c r="BB55" s="1713">
        <f t="shared" ca="1" si="121"/>
        <v>0.19031454138015896</v>
      </c>
      <c r="BC55" s="1700">
        <f t="shared" ca="1" si="121"/>
        <v>0.18277049855062916</v>
      </c>
      <c r="BD55" s="1337">
        <f t="shared" ca="1" si="121"/>
        <v>0.1834013061567408</v>
      </c>
      <c r="BE55" s="1337">
        <f t="shared" ca="1" si="121"/>
        <v>0.19846535620777994</v>
      </c>
      <c r="BF55" s="1701">
        <f t="shared" ca="1" si="121"/>
        <v>0.18715045223138432</v>
      </c>
      <c r="BG55" s="1713">
        <f t="shared" ca="1" si="121"/>
        <v>0.19046689957010923</v>
      </c>
      <c r="BH55" s="1700">
        <f t="shared" ref="BH55:BL55" ca="1" si="122">BH30/BH28</f>
        <v>0.18387701131007209</v>
      </c>
      <c r="BI55" s="1337">
        <f t="shared" ca="1" si="122"/>
        <v>0.18422699976079501</v>
      </c>
      <c r="BJ55" s="1337">
        <f t="shared" ca="1" si="122"/>
        <v>0.19745969280040843</v>
      </c>
      <c r="BK55" s="1701">
        <f t="shared" ca="1" si="122"/>
        <v>0.1867082503957346</v>
      </c>
      <c r="BL55" s="1725">
        <f t="shared" ca="1" si="122"/>
        <v>0.18997569792571992</v>
      </c>
      <c r="BM55" s="2274"/>
      <c r="BS55" s="890"/>
      <c r="BT55" s="890"/>
      <c r="BU55" s="890"/>
      <c r="BV55" s="890"/>
      <c r="BW55" s="890"/>
      <c r="BX55" s="890"/>
      <c r="BY55" s="890"/>
      <c r="BZ55" s="890"/>
      <c r="CA55" s="890"/>
      <c r="CB55" s="890"/>
      <c r="CC55" s="890"/>
      <c r="CD55" s="890"/>
      <c r="CE55" s="890"/>
      <c r="CF55" s="890"/>
      <c r="CG55" s="890"/>
      <c r="CH55" s="890"/>
      <c r="CI55" s="890"/>
      <c r="CJ55" s="890"/>
      <c r="CK55" s="890"/>
      <c r="CL55" s="890"/>
      <c r="CM55" s="890"/>
      <c r="CN55" s="890"/>
      <c r="CO55" s="890"/>
      <c r="CP55" s="890"/>
    </row>
    <row r="56" spans="1:94">
      <c r="A56" s="890"/>
      <c r="B56" s="890"/>
      <c r="C56" s="618"/>
      <c r="D56" s="890"/>
      <c r="E56" s="891"/>
      <c r="F56" s="892"/>
      <c r="G56" s="892"/>
      <c r="H56" s="893"/>
      <c r="I56" s="894"/>
      <c r="J56" s="891"/>
      <c r="K56" s="892"/>
      <c r="L56" s="892"/>
      <c r="M56" s="893"/>
      <c r="N56" s="894"/>
      <c r="O56" s="891"/>
      <c r="P56" s="892"/>
      <c r="Q56" s="892"/>
      <c r="R56" s="893"/>
      <c r="S56" s="894"/>
      <c r="T56" s="891"/>
      <c r="U56" s="892"/>
      <c r="V56" s="892"/>
      <c r="W56" s="893"/>
      <c r="X56" s="894"/>
      <c r="Y56" s="891"/>
      <c r="Z56" s="892"/>
      <c r="AA56" s="892"/>
      <c r="AB56" s="893"/>
      <c r="AC56" s="894"/>
      <c r="AD56" s="891"/>
      <c r="AE56" s="892"/>
      <c r="AF56" s="892"/>
      <c r="AG56" s="893"/>
      <c r="AH56" s="894"/>
      <c r="AI56" s="891"/>
      <c r="AJ56" s="892"/>
      <c r="AK56" s="892"/>
      <c r="AL56" s="893"/>
      <c r="AM56" s="894"/>
      <c r="AN56" s="891"/>
      <c r="AO56" s="892"/>
      <c r="AP56" s="892"/>
      <c r="AQ56" s="893"/>
      <c r="AR56" s="894"/>
      <c r="AS56" s="891"/>
      <c r="AT56" s="892"/>
      <c r="AU56" s="892"/>
      <c r="AV56" s="893"/>
      <c r="AW56" s="894"/>
      <c r="AX56" s="891"/>
      <c r="AY56" s="892"/>
      <c r="AZ56" s="892"/>
      <c r="BA56" s="893"/>
      <c r="BB56" s="894"/>
      <c r="BC56" s="891"/>
      <c r="BD56" s="892"/>
      <c r="BE56" s="892"/>
      <c r="BF56" s="893"/>
      <c r="BG56" s="894"/>
      <c r="BH56" s="891"/>
      <c r="BI56" s="892"/>
      <c r="BJ56" s="892"/>
      <c r="BK56" s="893"/>
      <c r="BL56" s="1724"/>
      <c r="BM56" s="2274"/>
      <c r="BS56" s="890"/>
      <c r="BT56" s="890"/>
      <c r="BU56" s="890"/>
      <c r="BV56" s="890"/>
      <c r="BW56" s="890"/>
      <c r="BX56" s="890"/>
      <c r="BY56" s="890"/>
      <c r="BZ56" s="890"/>
      <c r="CA56" s="890"/>
      <c r="CB56" s="890"/>
      <c r="CC56" s="890"/>
      <c r="CD56" s="890"/>
      <c r="CE56" s="890"/>
      <c r="CF56" s="890"/>
      <c r="CG56" s="890"/>
      <c r="CH56" s="890"/>
      <c r="CI56" s="890"/>
      <c r="CJ56" s="890"/>
      <c r="CK56" s="890"/>
      <c r="CL56" s="890"/>
      <c r="CM56" s="890"/>
      <c r="CN56" s="890"/>
      <c r="CO56" s="890"/>
      <c r="CP56" s="890"/>
    </row>
    <row r="57" spans="1:94">
      <c r="A57" s="890"/>
      <c r="B57" s="890"/>
      <c r="C57" s="618" t="s">
        <v>621</v>
      </c>
      <c r="D57" s="890"/>
      <c r="E57" s="1700"/>
      <c r="F57" s="1337"/>
      <c r="G57" s="1337"/>
      <c r="H57" s="1701"/>
      <c r="I57" s="1713">
        <f>+I262</f>
        <v>0</v>
      </c>
      <c r="J57" s="1700"/>
      <c r="K57" s="1337"/>
      <c r="L57" s="1337"/>
      <c r="M57" s="1701"/>
      <c r="N57" s="1713">
        <f>+N262</f>
        <v>0</v>
      </c>
      <c r="O57" s="1700"/>
      <c r="P57" s="1337"/>
      <c r="Q57" s="1337"/>
      <c r="R57" s="1701"/>
      <c r="S57" s="1713">
        <f>+S262</f>
        <v>9.8336439588688956E-2</v>
      </c>
      <c r="T57" s="1700"/>
      <c r="U57" s="1337"/>
      <c r="V57" s="1337"/>
      <c r="W57" s="1701"/>
      <c r="X57" s="1713">
        <f>+X262</f>
        <v>9.8336439588688956E-2</v>
      </c>
      <c r="Y57" s="1700"/>
      <c r="Z57" s="1337"/>
      <c r="AA57" s="1337"/>
      <c r="AB57" s="1701"/>
      <c r="AC57" s="1713">
        <f>+AC262</f>
        <v>9.8336439588688956E-2</v>
      </c>
      <c r="AD57" s="1700"/>
      <c r="AE57" s="1337"/>
      <c r="AF57" s="1337"/>
      <c r="AG57" s="1701"/>
      <c r="AH57" s="1713">
        <f>+AH262</f>
        <v>9.8336439588688956E-2</v>
      </c>
      <c r="AI57" s="1700"/>
      <c r="AJ57" s="1337"/>
      <c r="AK57" s="1337"/>
      <c r="AL57" s="1701"/>
      <c r="AM57" s="1713">
        <f>+AM262</f>
        <v>9.6349764000000004E-2</v>
      </c>
      <c r="AN57" s="1700"/>
      <c r="AO57" s="1337"/>
      <c r="AP57" s="1337"/>
      <c r="AQ57" s="1701"/>
      <c r="AR57" s="1713">
        <f>+AR262</f>
        <v>9.6349764000000004E-2</v>
      </c>
      <c r="AS57" s="1700"/>
      <c r="AT57" s="1337"/>
      <c r="AU57" s="1337"/>
      <c r="AV57" s="1701"/>
      <c r="AW57" s="1713">
        <f>+AW262</f>
        <v>9.6349764000000004E-2</v>
      </c>
      <c r="AX57" s="1700"/>
      <c r="AY57" s="1337"/>
      <c r="AZ57" s="1337"/>
      <c r="BA57" s="1701"/>
      <c r="BB57" s="1713">
        <f>+BB262</f>
        <v>9.6349764000000004E-2</v>
      </c>
      <c r="BC57" s="1700"/>
      <c r="BD57" s="1337"/>
      <c r="BE57" s="1337"/>
      <c r="BF57" s="1701"/>
      <c r="BG57" s="1713">
        <f>+BG262</f>
        <v>9.6349764000000004E-2</v>
      </c>
      <c r="BH57" s="1700"/>
      <c r="BI57" s="1337"/>
      <c r="BJ57" s="1337"/>
      <c r="BK57" s="1701"/>
      <c r="BL57" s="1725">
        <f>+BL262</f>
        <v>9.6349764000000004E-2</v>
      </c>
      <c r="BM57" s="2274"/>
      <c r="BS57" s="890"/>
      <c r="BT57" s="890"/>
      <c r="BU57" s="890"/>
      <c r="BV57" s="890"/>
      <c r="BW57" s="890"/>
      <c r="BX57" s="890"/>
      <c r="BY57" s="890"/>
      <c r="BZ57" s="890"/>
      <c r="CA57" s="890"/>
      <c r="CB57" s="890"/>
      <c r="CC57" s="890"/>
      <c r="CD57" s="890"/>
      <c r="CE57" s="890"/>
      <c r="CF57" s="890"/>
      <c r="CG57" s="890"/>
      <c r="CH57" s="890"/>
      <c r="CI57" s="890"/>
      <c r="CJ57" s="890"/>
      <c r="CK57" s="890"/>
      <c r="CL57" s="890"/>
      <c r="CM57" s="890"/>
      <c r="CN57" s="890"/>
      <c r="CO57" s="890"/>
      <c r="CP57" s="890"/>
    </row>
    <row r="58" spans="1:94">
      <c r="A58" s="890"/>
      <c r="B58" s="890"/>
      <c r="C58" s="619" t="s">
        <v>731</v>
      </c>
      <c r="D58" s="1726"/>
      <c r="E58" s="1727"/>
      <c r="F58" s="1728"/>
      <c r="G58" s="1728"/>
      <c r="H58" s="1729"/>
      <c r="I58" s="1730">
        <f>+I263</f>
        <v>9.9257390331768336E-2</v>
      </c>
      <c r="J58" s="1727"/>
      <c r="K58" s="1728"/>
      <c r="L58" s="1728"/>
      <c r="M58" s="1729"/>
      <c r="N58" s="1730">
        <f>+N263</f>
        <v>8.1018602415713958E-2</v>
      </c>
      <c r="O58" s="1727"/>
      <c r="P58" s="1728"/>
      <c r="Q58" s="1728"/>
      <c r="R58" s="1729"/>
      <c r="S58" s="1730">
        <f>+S263</f>
        <v>8.8334887373018603E-2</v>
      </c>
      <c r="T58" s="1727"/>
      <c r="U58" s="1728"/>
      <c r="V58" s="1728"/>
      <c r="W58" s="1729"/>
      <c r="X58" s="1730">
        <f>+X263</f>
        <v>9.3879344086231609E-2</v>
      </c>
      <c r="Y58" s="1727"/>
      <c r="Z58" s="1728"/>
      <c r="AA58" s="1728"/>
      <c r="AB58" s="1729"/>
      <c r="AC58" s="1730">
        <f>+AC263</f>
        <v>9.9198706303766038E-2</v>
      </c>
      <c r="AD58" s="1727"/>
      <c r="AE58" s="1728"/>
      <c r="AF58" s="1728"/>
      <c r="AG58" s="1729"/>
      <c r="AH58" s="1730">
        <f>+AH263</f>
        <v>0.10176975985629196</v>
      </c>
      <c r="AI58" s="1727"/>
      <c r="AJ58" s="1728"/>
      <c r="AK58" s="1728"/>
      <c r="AL58" s="1729"/>
      <c r="AM58" s="1730">
        <f>+AM263</f>
        <v>-0.12644460028050492</v>
      </c>
      <c r="AN58" s="1727"/>
      <c r="AO58" s="1728"/>
      <c r="AP58" s="1728"/>
      <c r="AQ58" s="1729"/>
      <c r="AR58" s="1730">
        <f>+AR263</f>
        <v>8.7607134751313917E-2</v>
      </c>
      <c r="AS58" s="1727"/>
      <c r="AT58" s="1728"/>
      <c r="AU58" s="1728"/>
      <c r="AV58" s="1729"/>
      <c r="AW58" s="1730">
        <f ca="1">+AW263</f>
        <v>9.2506699274681914E-2</v>
      </c>
      <c r="AX58" s="1727"/>
      <c r="AY58" s="1728"/>
      <c r="AZ58" s="1728"/>
      <c r="BA58" s="1729"/>
      <c r="BB58" s="1730">
        <f ca="1">+BB263</f>
        <v>8.9504777277551364E-2</v>
      </c>
      <c r="BC58" s="1727"/>
      <c r="BD58" s="1728"/>
      <c r="BE58" s="1728"/>
      <c r="BF58" s="1729"/>
      <c r="BG58" s="1730">
        <f ca="1">+BG263</f>
        <v>9.1337762313749044E-2</v>
      </c>
      <c r="BH58" s="1727"/>
      <c r="BI58" s="1728"/>
      <c r="BJ58" s="1728"/>
      <c r="BK58" s="1729"/>
      <c r="BL58" s="1731">
        <f ca="1">+BL263</f>
        <v>9.4205844652850729E-2</v>
      </c>
      <c r="BM58" s="2274"/>
      <c r="BS58" s="890"/>
      <c r="BT58" s="890"/>
      <c r="BU58" s="890"/>
      <c r="BV58" s="890"/>
      <c r="BW58" s="890"/>
      <c r="BX58" s="890"/>
      <c r="BY58" s="890"/>
      <c r="BZ58" s="890"/>
      <c r="CA58" s="890"/>
      <c r="CB58" s="890"/>
      <c r="CC58" s="890"/>
      <c r="CD58" s="890"/>
      <c r="CE58" s="890"/>
      <c r="CF58" s="890"/>
      <c r="CG58" s="890"/>
      <c r="CH58" s="890"/>
      <c r="CI58" s="890"/>
      <c r="CJ58" s="890"/>
      <c r="CK58" s="890"/>
      <c r="CL58" s="890"/>
      <c r="CM58" s="890"/>
      <c r="CN58" s="890"/>
      <c r="CO58" s="890"/>
      <c r="CP58" s="890"/>
    </row>
    <row r="59" spans="1:94">
      <c r="A59" s="890"/>
      <c r="B59" s="890"/>
      <c r="C59" s="909"/>
      <c r="D59" s="890"/>
      <c r="E59" s="891"/>
      <c r="F59" s="892"/>
      <c r="G59" s="892"/>
      <c r="H59" s="893"/>
      <c r="I59" s="894"/>
      <c r="J59" s="891"/>
      <c r="K59" s="892"/>
      <c r="L59" s="892"/>
      <c r="M59" s="893"/>
      <c r="N59" s="894"/>
      <c r="O59" s="891"/>
      <c r="P59" s="892"/>
      <c r="Q59" s="892"/>
      <c r="R59" s="893"/>
      <c r="S59" s="894"/>
      <c r="T59" s="891"/>
      <c r="U59" s="892"/>
      <c r="V59" s="892"/>
      <c r="W59" s="893"/>
      <c r="X59" s="894"/>
      <c r="Y59" s="891"/>
      <c r="Z59" s="892"/>
      <c r="AA59" s="892"/>
      <c r="AB59" s="893"/>
      <c r="AC59" s="894"/>
      <c r="AD59" s="891"/>
      <c r="AE59" s="892"/>
      <c r="AF59" s="892"/>
      <c r="AG59" s="893"/>
      <c r="AH59" s="894"/>
      <c r="AI59" s="891"/>
      <c r="AJ59" s="892"/>
      <c r="AK59" s="892"/>
      <c r="AL59" s="893"/>
      <c r="AM59" s="894"/>
      <c r="AN59" s="891"/>
      <c r="AO59" s="892"/>
      <c r="AP59" s="892"/>
      <c r="AQ59" s="893"/>
      <c r="AR59" s="894"/>
      <c r="AS59" s="2023"/>
      <c r="AT59" s="2024"/>
      <c r="AU59" s="2024"/>
      <c r="AV59" s="2025"/>
      <c r="AW59" s="894"/>
      <c r="AX59" s="2023"/>
      <c r="AY59" s="2024"/>
      <c r="AZ59" s="2024"/>
      <c r="BA59" s="2025"/>
      <c r="BB59" s="894"/>
      <c r="BC59" s="2023"/>
      <c r="BD59" s="2024"/>
      <c r="BE59" s="2024"/>
      <c r="BF59" s="2025"/>
      <c r="BG59" s="894"/>
      <c r="BH59" s="2023"/>
      <c r="BI59" s="2024"/>
      <c r="BJ59" s="2024"/>
      <c r="BK59" s="2025"/>
      <c r="BL59" s="894"/>
      <c r="BM59" s="890"/>
      <c r="BS59" s="890"/>
      <c r="BT59" s="890"/>
      <c r="BU59" s="890"/>
      <c r="BV59" s="890"/>
      <c r="BW59" s="890"/>
      <c r="BX59" s="890"/>
      <c r="BY59" s="890"/>
      <c r="BZ59" s="890"/>
      <c r="CA59" s="890"/>
      <c r="CB59" s="890"/>
      <c r="CC59" s="890"/>
      <c r="CD59" s="890"/>
      <c r="CE59" s="890"/>
      <c r="CF59" s="890"/>
      <c r="CG59" s="890"/>
      <c r="CH59" s="890"/>
      <c r="CI59" s="890"/>
      <c r="CJ59" s="890"/>
      <c r="CK59" s="890"/>
      <c r="CL59" s="890"/>
      <c r="CM59" s="890"/>
      <c r="CN59" s="890"/>
      <c r="CO59" s="890"/>
      <c r="CP59" s="890"/>
    </row>
    <row r="60" spans="1:94">
      <c r="A60" s="890"/>
      <c r="B60" s="890"/>
      <c r="C60" s="909"/>
      <c r="D60" s="890"/>
      <c r="E60" s="891"/>
      <c r="F60" s="892"/>
      <c r="G60" s="892"/>
      <c r="H60" s="893"/>
      <c r="I60" s="894"/>
      <c r="J60" s="891"/>
      <c r="K60" s="892"/>
      <c r="L60" s="892"/>
      <c r="M60" s="893"/>
      <c r="N60" s="894"/>
      <c r="O60" s="891"/>
      <c r="P60" s="892"/>
      <c r="Q60" s="892"/>
      <c r="R60" s="893"/>
      <c r="S60" s="894"/>
      <c r="T60" s="891"/>
      <c r="U60" s="892"/>
      <c r="V60" s="892"/>
      <c r="W60" s="893"/>
      <c r="X60" s="894"/>
      <c r="Y60" s="891"/>
      <c r="Z60" s="892"/>
      <c r="AA60" s="892"/>
      <c r="AB60" s="893"/>
      <c r="AC60" s="894"/>
      <c r="AD60" s="891"/>
      <c r="AE60" s="892"/>
      <c r="AF60" s="892"/>
      <c r="AG60" s="893"/>
      <c r="AH60" s="894"/>
      <c r="AI60" s="891"/>
      <c r="AJ60" s="892"/>
      <c r="AK60" s="892"/>
      <c r="AL60" s="893"/>
      <c r="AM60" s="894"/>
      <c r="AN60" s="891"/>
      <c r="AO60" s="892"/>
      <c r="AP60" s="892"/>
      <c r="AQ60" s="893"/>
      <c r="AR60" s="894"/>
      <c r="AS60" s="891"/>
      <c r="AT60" s="892"/>
      <c r="AU60" s="892"/>
      <c r="AV60" s="893"/>
      <c r="AW60" s="894"/>
      <c r="AX60" s="2023"/>
      <c r="AY60" s="2024"/>
      <c r="AZ60" s="2024"/>
      <c r="BA60" s="2025"/>
      <c r="BB60" s="894"/>
      <c r="BC60" s="2023"/>
      <c r="BD60" s="2024"/>
      <c r="BE60" s="2024"/>
      <c r="BF60" s="2025"/>
      <c r="BG60" s="894"/>
      <c r="BH60" s="2023"/>
      <c r="BI60" s="2024"/>
      <c r="BJ60" s="2024"/>
      <c r="BK60" s="2025"/>
      <c r="BL60" s="894"/>
      <c r="BM60" s="890"/>
      <c r="BN60" s="890"/>
      <c r="BO60" s="890"/>
      <c r="BP60" s="890"/>
      <c r="BQ60" s="890"/>
      <c r="BR60" s="890"/>
      <c r="BS60" s="890"/>
      <c r="BT60" s="890"/>
      <c r="BU60" s="890"/>
      <c r="BV60" s="890"/>
      <c r="BW60" s="890"/>
      <c r="BX60" s="890"/>
      <c r="BY60" s="890"/>
      <c r="BZ60" s="890"/>
      <c r="CA60" s="890"/>
      <c r="CB60" s="890"/>
      <c r="CC60" s="890"/>
      <c r="CD60" s="890"/>
      <c r="CE60" s="890"/>
      <c r="CF60" s="890"/>
      <c r="CG60" s="890"/>
      <c r="CH60" s="890"/>
      <c r="CI60" s="890"/>
      <c r="CJ60" s="890"/>
      <c r="CK60" s="890"/>
      <c r="CL60" s="890"/>
      <c r="CM60" s="890"/>
      <c r="CN60" s="890"/>
      <c r="CO60" s="890"/>
      <c r="CP60" s="890"/>
    </row>
    <row r="61" spans="1:94">
      <c r="A61" s="890"/>
      <c r="B61" s="1681" t="s">
        <v>128</v>
      </c>
      <c r="C61" s="1682"/>
      <c r="D61" s="1683"/>
      <c r="E61" s="891"/>
      <c r="F61" s="892"/>
      <c r="G61" s="892"/>
      <c r="H61" s="893"/>
      <c r="I61" s="894"/>
      <c r="J61" s="891"/>
      <c r="K61" s="892"/>
      <c r="L61" s="892"/>
      <c r="M61" s="893"/>
      <c r="N61" s="894"/>
      <c r="O61" s="891"/>
      <c r="P61" s="892"/>
      <c r="Q61" s="892"/>
      <c r="R61" s="893"/>
      <c r="S61" s="894"/>
      <c r="T61" s="891"/>
      <c r="U61" s="892"/>
      <c r="V61" s="892"/>
      <c r="W61" s="893"/>
      <c r="X61" s="894"/>
      <c r="Y61" s="891"/>
      <c r="Z61" s="892"/>
      <c r="AA61" s="892"/>
      <c r="AB61" s="893"/>
      <c r="AC61" s="894"/>
      <c r="AD61" s="891"/>
      <c r="AE61" s="892"/>
      <c r="AF61" s="892"/>
      <c r="AG61" s="893"/>
      <c r="AH61" s="894"/>
      <c r="AI61" s="891"/>
      <c r="AJ61" s="892"/>
      <c r="AK61" s="892"/>
      <c r="AL61" s="893"/>
      <c r="AM61" s="894"/>
      <c r="AN61" s="891"/>
      <c r="AO61" s="892"/>
      <c r="AP61" s="892"/>
      <c r="AQ61" s="893"/>
      <c r="AR61" s="894"/>
      <c r="AS61" s="891"/>
      <c r="AT61" s="892"/>
      <c r="AU61" s="892"/>
      <c r="AV61" s="893"/>
      <c r="AW61" s="894"/>
      <c r="AX61" s="891"/>
      <c r="AY61" s="892"/>
      <c r="AZ61" s="892"/>
      <c r="BA61" s="893"/>
      <c r="BB61" s="894"/>
      <c r="BC61" s="891"/>
      <c r="BD61" s="892"/>
      <c r="BE61" s="892"/>
      <c r="BF61" s="893"/>
      <c r="BG61" s="894"/>
      <c r="BH61" s="891"/>
      <c r="BI61" s="892"/>
      <c r="BJ61" s="892"/>
      <c r="BK61" s="893"/>
      <c r="BL61" s="894"/>
      <c r="BM61" s="890"/>
      <c r="BN61" s="890"/>
      <c r="BO61" s="890"/>
      <c r="BP61" s="890"/>
      <c r="BQ61" s="890"/>
      <c r="BR61" s="890"/>
      <c r="BS61" s="890"/>
      <c r="BT61" s="890"/>
      <c r="BU61" s="890"/>
      <c r="BV61" s="890"/>
      <c r="BW61" s="890"/>
      <c r="BX61" s="890"/>
      <c r="BY61" s="890"/>
      <c r="BZ61" s="890"/>
      <c r="CA61" s="890"/>
      <c r="CB61" s="890"/>
      <c r="CC61" s="890"/>
      <c r="CD61" s="890"/>
      <c r="CE61" s="890"/>
      <c r="CF61" s="890"/>
      <c r="CG61" s="890"/>
      <c r="CH61" s="890"/>
      <c r="CI61" s="890"/>
      <c r="CJ61" s="890"/>
      <c r="CK61" s="890"/>
      <c r="CL61" s="890"/>
      <c r="CM61" s="890"/>
      <c r="CN61" s="890"/>
      <c r="CO61" s="890"/>
      <c r="CP61" s="890"/>
    </row>
    <row r="62" spans="1:94">
      <c r="A62" s="45"/>
      <c r="B62" s="45"/>
      <c r="C62" s="909" t="s">
        <v>129</v>
      </c>
      <c r="D62" s="45"/>
      <c r="E62" s="292"/>
      <c r="F62" s="261"/>
      <c r="G62" s="261"/>
      <c r="H62" s="293"/>
      <c r="I62" s="228">
        <f>+I8</f>
        <v>2288</v>
      </c>
      <c r="J62" s="292">
        <f>+J8</f>
        <v>534</v>
      </c>
      <c r="K62" s="261">
        <f>+K8</f>
        <v>506</v>
      </c>
      <c r="L62" s="261">
        <f>+L8</f>
        <v>603</v>
      </c>
      <c r="M62" s="293">
        <f>+M8</f>
        <v>435</v>
      </c>
      <c r="N62" s="228">
        <f>SUM(J62:M62)</f>
        <v>2078</v>
      </c>
      <c r="O62" s="292">
        <f>+O8</f>
        <v>465</v>
      </c>
      <c r="P62" s="261">
        <f>+P8</f>
        <v>456</v>
      </c>
      <c r="Q62" s="261">
        <f>+Q8</f>
        <v>582</v>
      </c>
      <c r="R62" s="293">
        <f>+R8</f>
        <v>445</v>
      </c>
      <c r="S62" s="228">
        <f>SUM(O62:R62)</f>
        <v>1948</v>
      </c>
      <c r="T62" s="292">
        <f>+T8</f>
        <v>477</v>
      </c>
      <c r="U62" s="261">
        <f>+U8</f>
        <v>469</v>
      </c>
      <c r="V62" s="261">
        <f>+V8</f>
        <v>605</v>
      </c>
      <c r="W62" s="293">
        <f>+W8</f>
        <v>475</v>
      </c>
      <c r="X62" s="228">
        <f>SUM(T62:W62)</f>
        <v>2026</v>
      </c>
      <c r="Y62" s="292">
        <f>+Y8</f>
        <v>535</v>
      </c>
      <c r="Z62" s="261">
        <f>+Z8</f>
        <v>508</v>
      </c>
      <c r="AA62" s="261">
        <f>+AA8</f>
        <v>587</v>
      </c>
      <c r="AB62" s="293">
        <f>+AB8</f>
        <v>471</v>
      </c>
      <c r="AC62" s="228">
        <f>SUM(Y62:AB62)</f>
        <v>2101</v>
      </c>
      <c r="AD62" s="292">
        <f>+AD8</f>
        <v>556</v>
      </c>
      <c r="AE62" s="261">
        <f>+AE8</f>
        <v>518</v>
      </c>
      <c r="AF62" s="261">
        <f>+AF8</f>
        <v>612</v>
      </c>
      <c r="AG62" s="293">
        <f>+AG8</f>
        <v>503</v>
      </c>
      <c r="AH62" s="228">
        <f>SUM(AD62:AG62)</f>
        <v>2189</v>
      </c>
      <c r="AI62" s="292">
        <f>+AI8</f>
        <v>551</v>
      </c>
      <c r="AJ62" s="261">
        <f>+AJ8</f>
        <v>509</v>
      </c>
      <c r="AK62" s="261">
        <f>+AK8</f>
        <v>635</v>
      </c>
      <c r="AL62" s="293">
        <f>+AL8</f>
        <v>491</v>
      </c>
      <c r="AM62" s="228">
        <f>SUM(AI62:AL62)</f>
        <v>2186</v>
      </c>
      <c r="AN62" s="292">
        <f>+AN8</f>
        <v>530</v>
      </c>
      <c r="AO62" s="261">
        <f>+AO8</f>
        <v>514</v>
      </c>
      <c r="AP62" s="261">
        <f>+AP8</f>
        <v>604</v>
      </c>
      <c r="AQ62" s="293">
        <f>+AQ8</f>
        <v>510</v>
      </c>
      <c r="AR62" s="228">
        <f>SUM(AN62:AQ62)</f>
        <v>2158</v>
      </c>
      <c r="AS62" s="292">
        <f>AS66*AS81/1000</f>
        <v>521.14394213381559</v>
      </c>
      <c r="AT62" s="261">
        <f>AT66*AT81/1000</f>
        <v>505.14394213381553</v>
      </c>
      <c r="AU62" s="261">
        <f>AU66*AU81/1000</f>
        <v>595.96894213381552</v>
      </c>
      <c r="AV62" s="293">
        <f>AV66*AV81/1000</f>
        <v>501.96894213381557</v>
      </c>
      <c r="AW62" s="228">
        <f>SUM(AS62:AV62)</f>
        <v>2124.2257685352624</v>
      </c>
      <c r="AX62" s="292">
        <f>AX66*AX81/1000</f>
        <v>526.32021188877593</v>
      </c>
      <c r="AY62" s="261">
        <f>AY66*AY81/1000</f>
        <v>510.32021188877582</v>
      </c>
      <c r="AZ62" s="261">
        <f>AZ66*AZ81/1000</f>
        <v>612.85646188877593</v>
      </c>
      <c r="BA62" s="293">
        <f>BA66*BA81/1000</f>
        <v>518.85646188877593</v>
      </c>
      <c r="BB62" s="228">
        <f>SUM(AX62:BA62)</f>
        <v>2168.3533475551035</v>
      </c>
      <c r="BC62" s="292">
        <f>BC66*BC81/1000</f>
        <v>533.52030080286079</v>
      </c>
      <c r="BD62" s="261">
        <f>BD66*BD81/1000</f>
        <v>517.52030080286067</v>
      </c>
      <c r="BE62" s="261">
        <f>BE66*BE81/1000</f>
        <v>621.30655080286067</v>
      </c>
      <c r="BF62" s="293">
        <f>BF66*BF81/1000</f>
        <v>527.30655080286078</v>
      </c>
      <c r="BG62" s="228">
        <f>SUM(BC62:BF62)</f>
        <v>2199.6537032114429</v>
      </c>
      <c r="BH62" s="292">
        <f>BH66*BH81/1000</f>
        <v>547.08436347957377</v>
      </c>
      <c r="BI62" s="261">
        <f>BI66*BI81/1000</f>
        <v>531.08436347957377</v>
      </c>
      <c r="BJ62" s="261">
        <f>BJ66*BJ81/1000</f>
        <v>633.62061347957365</v>
      </c>
      <c r="BK62" s="293">
        <f>BK66*BK81/1000</f>
        <v>539.62061347957376</v>
      </c>
      <c r="BL62" s="228">
        <f>SUM(BH62:BK62)</f>
        <v>2251.4099539182948</v>
      </c>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45"/>
      <c r="CP62" s="45"/>
    </row>
    <row r="63" spans="1:94">
      <c r="A63" s="45"/>
      <c r="B63" s="45"/>
      <c r="C63" s="228"/>
      <c r="D63" s="45"/>
      <c r="E63" s="292"/>
      <c r="F63" s="261"/>
      <c r="G63" s="261"/>
      <c r="H63" s="293"/>
      <c r="I63" s="228"/>
      <c r="J63" s="292"/>
      <c r="K63" s="261"/>
      <c r="L63" s="261"/>
      <c r="M63" s="293"/>
      <c r="N63" s="228"/>
      <c r="O63" s="292"/>
      <c r="P63" s="261"/>
      <c r="Q63" s="261"/>
      <c r="R63" s="293"/>
      <c r="S63" s="228"/>
      <c r="T63" s="292"/>
      <c r="U63" s="261"/>
      <c r="V63" s="261"/>
      <c r="W63" s="293"/>
      <c r="X63" s="228"/>
      <c r="Y63" s="292"/>
      <c r="Z63" s="261"/>
      <c r="AA63" s="261"/>
      <c r="AB63" s="293"/>
      <c r="AC63" s="228"/>
      <c r="AD63" s="292"/>
      <c r="AE63" s="261"/>
      <c r="AF63" s="261"/>
      <c r="AG63" s="293"/>
      <c r="AH63" s="228"/>
      <c r="AI63" s="292"/>
      <c r="AJ63" s="261"/>
      <c r="AK63" s="261"/>
      <c r="AL63" s="293"/>
      <c r="AM63" s="228"/>
      <c r="AN63" s="292"/>
      <c r="AO63" s="261"/>
      <c r="AP63" s="261"/>
      <c r="AQ63" s="293"/>
      <c r="AR63" s="228"/>
      <c r="AS63" s="292"/>
      <c r="AT63" s="261"/>
      <c r="AU63" s="261"/>
      <c r="AV63" s="293"/>
      <c r="AW63" s="228"/>
      <c r="AX63" s="292"/>
      <c r="AY63" s="261"/>
      <c r="AZ63" s="261"/>
      <c r="BA63" s="293"/>
      <c r="BB63" s="228"/>
      <c r="BC63" s="292"/>
      <c r="BD63" s="261"/>
      <c r="BE63" s="261"/>
      <c r="BF63" s="293"/>
      <c r="BG63" s="228"/>
      <c r="BH63" s="292"/>
      <c r="BI63" s="261"/>
      <c r="BJ63" s="261"/>
      <c r="BK63" s="293"/>
      <c r="BL63" s="228"/>
      <c r="BM63" s="45"/>
      <c r="BN63" s="45"/>
      <c r="BO63" s="45"/>
      <c r="BP63" s="45"/>
      <c r="BQ63" s="45"/>
      <c r="BR63" s="45"/>
      <c r="BS63" s="45"/>
      <c r="BT63" s="45"/>
      <c r="BU63" s="45"/>
      <c r="BV63" s="45"/>
      <c r="BW63" s="45"/>
      <c r="BX63" s="45"/>
      <c r="BY63" s="45"/>
      <c r="BZ63" s="45"/>
      <c r="CA63" s="45"/>
      <c r="CB63" s="45"/>
      <c r="CC63" s="45"/>
      <c r="CD63" s="45"/>
      <c r="CE63" s="45"/>
      <c r="CF63" s="45"/>
      <c r="CG63" s="45"/>
      <c r="CH63" s="45"/>
      <c r="CI63" s="45"/>
      <c r="CJ63" s="45"/>
      <c r="CK63" s="45"/>
      <c r="CL63" s="45"/>
      <c r="CM63" s="45"/>
      <c r="CN63" s="45"/>
      <c r="CO63" s="45"/>
      <c r="CP63" s="45"/>
    </row>
    <row r="64" spans="1:94">
      <c r="A64" s="45"/>
      <c r="B64" s="45"/>
      <c r="C64" s="909" t="s">
        <v>130</v>
      </c>
      <c r="D64" s="45"/>
      <c r="E64" s="292"/>
      <c r="F64" s="261"/>
      <c r="G64" s="261"/>
      <c r="H64" s="293"/>
      <c r="I64" s="228"/>
      <c r="J64" s="292"/>
      <c r="K64" s="261"/>
      <c r="L64" s="261"/>
      <c r="M64" s="293"/>
      <c r="N64" s="228"/>
      <c r="O64" s="292"/>
      <c r="P64" s="261"/>
      <c r="Q64" s="261"/>
      <c r="R64" s="293"/>
      <c r="S64" s="228"/>
      <c r="T64" s="292"/>
      <c r="U64" s="261"/>
      <c r="V64" s="261"/>
      <c r="W64" s="293"/>
      <c r="X64" s="228"/>
      <c r="Y64" s="292"/>
      <c r="Z64" s="261"/>
      <c r="AA64" s="261"/>
      <c r="AB64" s="293"/>
      <c r="AC64" s="228"/>
      <c r="AD64" s="292"/>
      <c r="AE64" s="261"/>
      <c r="AF64" s="261"/>
      <c r="AG64" s="293"/>
      <c r="AH64" s="228"/>
      <c r="AI64" s="292"/>
      <c r="AJ64" s="261"/>
      <c r="AK64" s="261"/>
      <c r="AL64" s="293"/>
      <c r="AM64" s="228"/>
      <c r="AN64" s="292"/>
      <c r="AO64" s="261"/>
      <c r="AP64" s="261"/>
      <c r="AQ64" s="293"/>
      <c r="AR64" s="228"/>
      <c r="AS64" s="292"/>
      <c r="AT64" s="261"/>
      <c r="AU64" s="261"/>
      <c r="AV64" s="293"/>
      <c r="AW64" s="228"/>
      <c r="AX64" s="292"/>
      <c r="AY64" s="261"/>
      <c r="AZ64" s="261"/>
      <c r="BA64" s="293"/>
      <c r="BB64" s="228"/>
      <c r="BC64" s="292"/>
      <c r="BD64" s="261"/>
      <c r="BE64" s="261"/>
      <c r="BF64" s="293"/>
      <c r="BG64" s="228"/>
      <c r="BH64" s="292"/>
      <c r="BI64" s="261"/>
      <c r="BJ64" s="261"/>
      <c r="BK64" s="293"/>
      <c r="BL64" s="228"/>
      <c r="BM64" s="45"/>
      <c r="BN64" s="45"/>
      <c r="BO64" s="45"/>
      <c r="BP64" s="45"/>
      <c r="BQ64" s="45"/>
      <c r="BR64" s="45"/>
      <c r="BS64" s="45"/>
      <c r="BT64" s="45"/>
      <c r="BU64" s="45"/>
      <c r="BV64" s="45"/>
      <c r="BW64" s="45"/>
      <c r="BX64" s="45"/>
      <c r="BY64" s="45"/>
      <c r="BZ64" s="45"/>
      <c r="CA64" s="45"/>
      <c r="CB64" s="45"/>
      <c r="CC64" s="45"/>
      <c r="CD64" s="45"/>
      <c r="CE64" s="45"/>
      <c r="CF64" s="45"/>
      <c r="CG64" s="45"/>
      <c r="CH64" s="45"/>
      <c r="CI64" s="45"/>
      <c r="CJ64" s="45"/>
      <c r="CK64" s="45"/>
      <c r="CL64" s="45"/>
      <c r="CM64" s="45"/>
      <c r="CN64" s="45"/>
      <c r="CO64" s="45"/>
      <c r="CP64" s="45"/>
    </row>
    <row r="65" spans="1:94">
      <c r="A65" s="45"/>
      <c r="B65" s="45"/>
      <c r="C65" s="895" t="s">
        <v>770</v>
      </c>
      <c r="D65" s="45"/>
      <c r="E65" s="1732"/>
      <c r="F65" s="1733"/>
      <c r="G65" s="1733"/>
      <c r="H65" s="1734"/>
      <c r="I65" s="1735">
        <v>27665</v>
      </c>
      <c r="J65" s="1732">
        <v>6605</v>
      </c>
      <c r="K65" s="1733">
        <f>13151-J65</f>
        <v>6546</v>
      </c>
      <c r="L65" s="1733">
        <f>20867-SUM(J65:K65)</f>
        <v>7716</v>
      </c>
      <c r="M65" s="1734">
        <f>N65-SUM(J65:L65)</f>
        <v>6028</v>
      </c>
      <c r="N65" s="1735">
        <v>26895</v>
      </c>
      <c r="O65" s="1732">
        <v>6211</v>
      </c>
      <c r="P65" s="1733">
        <f>12480-O65</f>
        <v>6269</v>
      </c>
      <c r="Q65" s="1733">
        <f>20054-SUM(O65:P65)</f>
        <v>7574</v>
      </c>
      <c r="R65" s="1734">
        <f>S65-SUM(O65:Q65)</f>
        <v>5952</v>
      </c>
      <c r="S65" s="1735">
        <v>26006</v>
      </c>
      <c r="T65" s="1732">
        <v>6355</v>
      </c>
      <c r="U65" s="1733">
        <f>12511-T65</f>
        <v>6156</v>
      </c>
      <c r="V65" s="1733">
        <f>19781-SUM(T65:U65)</f>
        <v>7270</v>
      </c>
      <c r="W65" s="1734">
        <f>X65-SUM(T65:V65)</f>
        <v>6020</v>
      </c>
      <c r="X65" s="1735">
        <v>25801</v>
      </c>
      <c r="Y65" s="1732">
        <v>6661</v>
      </c>
      <c r="Z65" s="1733">
        <f>12855-Y65</f>
        <v>6194</v>
      </c>
      <c r="AA65" s="1733">
        <f>19728-SUM(Y65:Z65)</f>
        <v>6873</v>
      </c>
      <c r="AB65" s="1734">
        <f>AC65-SUM(Y65:AA65)</f>
        <v>6023</v>
      </c>
      <c r="AC65" s="1735">
        <v>25751</v>
      </c>
      <c r="AD65" s="1732">
        <v>6846</v>
      </c>
      <c r="AE65" s="1733">
        <f>13128-AD65</f>
        <v>6282</v>
      </c>
      <c r="AF65" s="1733">
        <f>20293-SUM(AD65:AE65)</f>
        <v>7165</v>
      </c>
      <c r="AG65" s="1734">
        <f>AH65-SUM(AD65:AF65)</f>
        <v>5695</v>
      </c>
      <c r="AH65" s="1735">
        <v>25988</v>
      </c>
      <c r="AI65" s="1732">
        <v>6733</v>
      </c>
      <c r="AJ65" s="1733">
        <f>12648-AI65</f>
        <v>5915</v>
      </c>
      <c r="AK65" s="1733">
        <f>20210-SUM(AI65:AJ65)</f>
        <v>7562</v>
      </c>
      <c r="AL65" s="1734">
        <f>AM65-SUM(AI65:AK65)</f>
        <v>5904</v>
      </c>
      <c r="AM65" s="1735">
        <v>26114</v>
      </c>
      <c r="AN65" s="1732">
        <v>6001</v>
      </c>
      <c r="AO65" s="1733">
        <f>11931-AN65</f>
        <v>5930</v>
      </c>
      <c r="AP65" s="1733">
        <f>18885-SUM(AN65:AO65)</f>
        <v>6954</v>
      </c>
      <c r="AQ65" s="1734">
        <f>AR65-SUM(AN65:AP65)</f>
        <v>5971</v>
      </c>
      <c r="AR65" s="1735">
        <v>24856</v>
      </c>
      <c r="AS65" s="290">
        <f>AN65*(1+AS$44)</f>
        <v>6001</v>
      </c>
      <c r="AT65" s="260">
        <f>AO65*(1+AT$44)</f>
        <v>5930</v>
      </c>
      <c r="AU65" s="260">
        <f>AP65*(1+AU$44)</f>
        <v>6954</v>
      </c>
      <c r="AV65" s="291">
        <f>AQ65*(1+AV$44)</f>
        <v>5971</v>
      </c>
      <c r="AW65" s="45">
        <f>SUM(AS65:AV65)</f>
        <v>24856</v>
      </c>
      <c r="AX65" s="290">
        <f>AS65*(1+AX$44)</f>
        <v>6001</v>
      </c>
      <c r="AY65" s="260">
        <f>AT65*(1+AY$44)</f>
        <v>5930</v>
      </c>
      <c r="AZ65" s="260">
        <f>AU65*(1+AZ$44)</f>
        <v>6954</v>
      </c>
      <c r="BA65" s="291">
        <f>AV65*(1+BA$44)</f>
        <v>5971</v>
      </c>
      <c r="BB65" s="45">
        <f>SUM(AX65:BA65)</f>
        <v>24856</v>
      </c>
      <c r="BC65" s="290">
        <f>AX65*(1+BC$44)</f>
        <v>6001</v>
      </c>
      <c r="BD65" s="260">
        <f>AY65*(1+BD$44)</f>
        <v>5930</v>
      </c>
      <c r="BE65" s="260">
        <f>AZ65*(1+BE$44)</f>
        <v>6954</v>
      </c>
      <c r="BF65" s="291">
        <f>BA65*(1+BF$44)</f>
        <v>5971</v>
      </c>
      <c r="BG65" s="45">
        <f>SUM(BC65:BF65)</f>
        <v>24856</v>
      </c>
      <c r="BH65" s="290">
        <f>BC65*(1+BH$44)</f>
        <v>6001</v>
      </c>
      <c r="BI65" s="260">
        <f>BD65*(1+BI$44)</f>
        <v>5930</v>
      </c>
      <c r="BJ65" s="260">
        <f>BE65*(1+BJ$44)</f>
        <v>6954</v>
      </c>
      <c r="BK65" s="291">
        <f>BF65*(1+BK$44)</f>
        <v>5971</v>
      </c>
      <c r="BL65" s="45">
        <f>SUM(BH65:BK65)</f>
        <v>24856</v>
      </c>
      <c r="BM65" s="45"/>
      <c r="BN65" s="45"/>
      <c r="BO65" s="45"/>
      <c r="BP65" s="45"/>
      <c r="BQ65" s="45"/>
      <c r="BR65" s="45"/>
      <c r="BS65" s="45"/>
      <c r="BT65" s="45"/>
      <c r="BU65" s="45"/>
      <c r="BV65" s="45"/>
      <c r="BW65" s="45"/>
      <c r="BX65" s="45"/>
      <c r="BY65" s="45"/>
      <c r="BZ65" s="45"/>
      <c r="CA65" s="45"/>
      <c r="CB65" s="45"/>
      <c r="CC65" s="45"/>
      <c r="CD65" s="45"/>
      <c r="CE65" s="45"/>
      <c r="CF65" s="45"/>
      <c r="CG65" s="45"/>
      <c r="CH65" s="45"/>
      <c r="CI65" s="45"/>
      <c r="CJ65" s="45"/>
      <c r="CK65" s="45"/>
      <c r="CL65" s="45"/>
      <c r="CM65" s="45"/>
      <c r="CN65" s="45"/>
      <c r="CO65" s="45"/>
      <c r="CP65" s="45"/>
    </row>
    <row r="66" spans="1:94">
      <c r="A66" s="45"/>
      <c r="B66" s="45"/>
      <c r="C66" s="909" t="s">
        <v>732</v>
      </c>
      <c r="D66" s="45"/>
      <c r="E66" s="292">
        <f t="shared" ref="E66:AW66" si="123">SUM(E65:E65)</f>
        <v>0</v>
      </c>
      <c r="F66" s="261">
        <f t="shared" si="123"/>
        <v>0</v>
      </c>
      <c r="G66" s="261">
        <f t="shared" si="123"/>
        <v>0</v>
      </c>
      <c r="H66" s="582">
        <f t="shared" si="123"/>
        <v>0</v>
      </c>
      <c r="I66" s="228">
        <f t="shared" si="123"/>
        <v>27665</v>
      </c>
      <c r="J66" s="292">
        <f t="shared" si="123"/>
        <v>6605</v>
      </c>
      <c r="K66" s="261">
        <f t="shared" si="123"/>
        <v>6546</v>
      </c>
      <c r="L66" s="261">
        <f t="shared" si="123"/>
        <v>7716</v>
      </c>
      <c r="M66" s="582">
        <f t="shared" si="123"/>
        <v>6028</v>
      </c>
      <c r="N66" s="228">
        <f t="shared" si="123"/>
        <v>26895</v>
      </c>
      <c r="O66" s="292">
        <f t="shared" si="123"/>
        <v>6211</v>
      </c>
      <c r="P66" s="261">
        <f t="shared" si="123"/>
        <v>6269</v>
      </c>
      <c r="Q66" s="261">
        <f t="shared" si="123"/>
        <v>7574</v>
      </c>
      <c r="R66" s="582">
        <f t="shared" si="123"/>
        <v>5952</v>
      </c>
      <c r="S66" s="228">
        <f t="shared" si="123"/>
        <v>26006</v>
      </c>
      <c r="T66" s="292">
        <f t="shared" si="123"/>
        <v>6355</v>
      </c>
      <c r="U66" s="261">
        <f t="shared" si="123"/>
        <v>6156</v>
      </c>
      <c r="V66" s="261">
        <f t="shared" si="123"/>
        <v>7270</v>
      </c>
      <c r="W66" s="582">
        <f t="shared" si="123"/>
        <v>6020</v>
      </c>
      <c r="X66" s="228">
        <f t="shared" si="123"/>
        <v>25801</v>
      </c>
      <c r="Y66" s="292">
        <f t="shared" si="123"/>
        <v>6661</v>
      </c>
      <c r="Z66" s="261">
        <f t="shared" si="123"/>
        <v>6194</v>
      </c>
      <c r="AA66" s="261">
        <f t="shared" ref="AA66:AE66" si="124">SUM(AA65:AA65)</f>
        <v>6873</v>
      </c>
      <c r="AB66" s="582">
        <f t="shared" si="124"/>
        <v>6023</v>
      </c>
      <c r="AC66" s="228">
        <f t="shared" si="124"/>
        <v>25751</v>
      </c>
      <c r="AD66" s="292">
        <f t="shared" si="124"/>
        <v>6846</v>
      </c>
      <c r="AE66" s="261">
        <f t="shared" si="124"/>
        <v>6282</v>
      </c>
      <c r="AF66" s="261">
        <f t="shared" ref="AF66:AJ66" si="125">SUM(AF65:AF65)</f>
        <v>7165</v>
      </c>
      <c r="AG66" s="582">
        <f t="shared" si="125"/>
        <v>5695</v>
      </c>
      <c r="AH66" s="228">
        <f t="shared" si="125"/>
        <v>25988</v>
      </c>
      <c r="AI66" s="292">
        <f t="shared" si="125"/>
        <v>6733</v>
      </c>
      <c r="AJ66" s="261">
        <f t="shared" si="125"/>
        <v>5915</v>
      </c>
      <c r="AK66" s="261">
        <f t="shared" ref="AK66:AO66" si="126">SUM(AK65:AK65)</f>
        <v>7562</v>
      </c>
      <c r="AL66" s="582">
        <f t="shared" si="126"/>
        <v>5904</v>
      </c>
      <c r="AM66" s="228">
        <f t="shared" si="126"/>
        <v>26114</v>
      </c>
      <c r="AN66" s="292">
        <f t="shared" si="126"/>
        <v>6001</v>
      </c>
      <c r="AO66" s="261">
        <f t="shared" si="126"/>
        <v>5930</v>
      </c>
      <c r="AP66" s="261">
        <f t="shared" si="123"/>
        <v>6954</v>
      </c>
      <c r="AQ66" s="2319">
        <f t="shared" si="123"/>
        <v>5971</v>
      </c>
      <c r="AR66" s="228">
        <f t="shared" si="123"/>
        <v>24856</v>
      </c>
      <c r="AS66" s="292">
        <f t="shared" si="123"/>
        <v>6001</v>
      </c>
      <c r="AT66" s="261">
        <f t="shared" si="123"/>
        <v>5930</v>
      </c>
      <c r="AU66" s="261">
        <f t="shared" si="123"/>
        <v>6954</v>
      </c>
      <c r="AV66" s="293">
        <f t="shared" si="123"/>
        <v>5971</v>
      </c>
      <c r="AW66" s="228">
        <f t="shared" si="123"/>
        <v>24856</v>
      </c>
      <c r="AX66" s="292">
        <f t="shared" ref="AX66:BG66" si="127">SUM(AX65:AX65)</f>
        <v>6001</v>
      </c>
      <c r="AY66" s="261">
        <f t="shared" si="127"/>
        <v>5930</v>
      </c>
      <c r="AZ66" s="261">
        <f t="shared" si="127"/>
        <v>6954</v>
      </c>
      <c r="BA66" s="293">
        <f t="shared" si="127"/>
        <v>5971</v>
      </c>
      <c r="BB66" s="228">
        <f t="shared" si="127"/>
        <v>24856</v>
      </c>
      <c r="BC66" s="292">
        <f t="shared" si="127"/>
        <v>6001</v>
      </c>
      <c r="BD66" s="261">
        <f t="shared" si="127"/>
        <v>5930</v>
      </c>
      <c r="BE66" s="261">
        <f t="shared" si="127"/>
        <v>6954</v>
      </c>
      <c r="BF66" s="293">
        <f t="shared" si="127"/>
        <v>5971</v>
      </c>
      <c r="BG66" s="228">
        <f t="shared" si="127"/>
        <v>24856</v>
      </c>
      <c r="BH66" s="292">
        <f t="shared" ref="BH66:BL66" si="128">SUM(BH65:BH65)</f>
        <v>6001</v>
      </c>
      <c r="BI66" s="261">
        <f t="shared" si="128"/>
        <v>5930</v>
      </c>
      <c r="BJ66" s="261">
        <f t="shared" si="128"/>
        <v>6954</v>
      </c>
      <c r="BK66" s="293">
        <f t="shared" si="128"/>
        <v>5971</v>
      </c>
      <c r="BL66" s="228">
        <f t="shared" si="128"/>
        <v>24856</v>
      </c>
      <c r="BM66" s="45"/>
      <c r="BN66" s="45"/>
      <c r="BO66" s="45"/>
      <c r="BP66" s="45"/>
      <c r="BQ66" s="45"/>
      <c r="BR66" s="45"/>
      <c r="BS66" s="45"/>
      <c r="BT66" s="45"/>
      <c r="BU66" s="45"/>
      <c r="BV66" s="45"/>
      <c r="BW66" s="45"/>
      <c r="BX66" s="45"/>
      <c r="BY66" s="45"/>
      <c r="BZ66" s="45"/>
      <c r="CA66" s="45"/>
      <c r="CB66" s="45"/>
      <c r="CC66" s="45"/>
      <c r="CD66" s="45"/>
      <c r="CE66" s="45"/>
      <c r="CF66" s="45"/>
      <c r="CG66" s="45"/>
      <c r="CH66" s="45"/>
      <c r="CI66" s="45"/>
      <c r="CJ66" s="45"/>
      <c r="CK66" s="45"/>
      <c r="CL66" s="45"/>
      <c r="CM66" s="45"/>
      <c r="CN66" s="45"/>
      <c r="CO66" s="45"/>
      <c r="CP66" s="45"/>
    </row>
    <row r="67" spans="1:94">
      <c r="A67" s="45"/>
      <c r="B67" s="45"/>
      <c r="C67" s="45"/>
      <c r="D67" s="45"/>
      <c r="E67" s="292"/>
      <c r="F67" s="261"/>
      <c r="G67" s="261"/>
      <c r="H67" s="293"/>
      <c r="I67" s="228"/>
      <c r="J67" s="292"/>
      <c r="K67" s="261"/>
      <c r="L67" s="261"/>
      <c r="M67" s="293"/>
      <c r="N67" s="228"/>
      <c r="O67" s="292"/>
      <c r="P67" s="261"/>
      <c r="Q67" s="261"/>
      <c r="R67" s="293"/>
      <c r="S67" s="228"/>
      <c r="T67" s="292"/>
      <c r="U67" s="261"/>
      <c r="V67" s="261"/>
      <c r="W67" s="293"/>
      <c r="X67" s="228"/>
      <c r="Y67" s="292"/>
      <c r="Z67" s="261"/>
      <c r="AA67" s="261"/>
      <c r="AB67" s="293"/>
      <c r="AC67" s="228"/>
      <c r="AD67" s="292"/>
      <c r="AE67" s="261"/>
      <c r="AF67" s="261"/>
      <c r="AG67" s="293"/>
      <c r="AH67" s="228"/>
      <c r="AI67" s="292"/>
      <c r="AJ67" s="261"/>
      <c r="AK67" s="261"/>
      <c r="AL67" s="293"/>
      <c r="AM67" s="228"/>
      <c r="AN67" s="292"/>
      <c r="AO67" s="261"/>
      <c r="AP67" s="261"/>
      <c r="AQ67" s="293"/>
      <c r="AR67" s="228"/>
      <c r="AS67" s="292"/>
      <c r="AT67" s="261"/>
      <c r="AU67" s="261"/>
      <c r="AV67" s="293"/>
      <c r="AW67" s="228"/>
      <c r="AX67" s="292"/>
      <c r="AY67" s="261"/>
      <c r="AZ67" s="261"/>
      <c r="BA67" s="293"/>
      <c r="BB67" s="228"/>
      <c r="BC67" s="292"/>
      <c r="BD67" s="261"/>
      <c r="BE67" s="261"/>
      <c r="BF67" s="293"/>
      <c r="BG67" s="228"/>
      <c r="BH67" s="292"/>
      <c r="BI67" s="261"/>
      <c r="BJ67" s="261"/>
      <c r="BK67" s="293"/>
      <c r="BL67" s="228"/>
      <c r="BM67" s="45"/>
      <c r="BN67" s="45"/>
      <c r="BO67" s="45"/>
      <c r="BP67" s="45"/>
      <c r="BQ67" s="45"/>
      <c r="BR67" s="45"/>
      <c r="BS67" s="45"/>
      <c r="BT67" s="45"/>
      <c r="BU67" s="45"/>
      <c r="BV67" s="45"/>
      <c r="BW67" s="45"/>
      <c r="BX67" s="45"/>
      <c r="BY67" s="45"/>
      <c r="BZ67" s="45"/>
      <c r="CA67" s="45"/>
      <c r="CB67" s="45"/>
      <c r="CC67" s="45"/>
      <c r="CD67" s="45"/>
      <c r="CE67" s="45"/>
      <c r="CF67" s="45"/>
      <c r="CG67" s="45"/>
      <c r="CH67" s="45"/>
      <c r="CI67" s="45"/>
      <c r="CJ67" s="45"/>
      <c r="CK67" s="45"/>
      <c r="CL67" s="45"/>
      <c r="CM67" s="45"/>
      <c r="CN67" s="45"/>
      <c r="CO67" s="45"/>
      <c r="CP67" s="45"/>
    </row>
    <row r="68" spans="1:94">
      <c r="A68" s="895"/>
      <c r="B68" s="895"/>
      <c r="C68" s="895" t="s">
        <v>733</v>
      </c>
      <c r="D68" s="895"/>
      <c r="E68" s="1700"/>
      <c r="F68" s="1337"/>
      <c r="G68" s="1337"/>
      <c r="H68" s="1701"/>
      <c r="I68" s="1713"/>
      <c r="J68" s="1700"/>
      <c r="K68" s="1337"/>
      <c r="L68" s="1337"/>
      <c r="M68" s="1701"/>
      <c r="N68" s="1713">
        <f t="shared" ref="N68:AW68" si="129">+N66/I66-1</f>
        <v>-2.7833001988071593E-2</v>
      </c>
      <c r="O68" s="1700">
        <f t="shared" si="129"/>
        <v>-5.9651778955336909E-2</v>
      </c>
      <c r="P68" s="1337">
        <f t="shared" si="129"/>
        <v>-4.231591811793467E-2</v>
      </c>
      <c r="Q68" s="1337">
        <f t="shared" si="129"/>
        <v>-1.840331778123383E-2</v>
      </c>
      <c r="R68" s="1701">
        <f t="shared" si="129"/>
        <v>-1.2607830126078357E-2</v>
      </c>
      <c r="S68" s="1713">
        <f t="shared" si="129"/>
        <v>-3.3054471091280901E-2</v>
      </c>
      <c r="T68" s="1700">
        <f t="shared" si="129"/>
        <v>2.3184672355498259E-2</v>
      </c>
      <c r="U68" s="1337">
        <f t="shared" si="129"/>
        <v>-1.8025203381719535E-2</v>
      </c>
      <c r="V68" s="1337">
        <f t="shared" si="129"/>
        <v>-4.0137311856350721E-2</v>
      </c>
      <c r="W68" s="1701">
        <f t="shared" si="129"/>
        <v>1.1424731182795744E-2</v>
      </c>
      <c r="X68" s="1713">
        <f t="shared" si="129"/>
        <v>-7.8827962777821003E-3</v>
      </c>
      <c r="Y68" s="1700">
        <f t="shared" si="129"/>
        <v>4.8151062155782798E-2</v>
      </c>
      <c r="Z68" s="1337">
        <f t="shared" si="129"/>
        <v>6.1728395061728669E-3</v>
      </c>
      <c r="AA68" s="1337">
        <f t="shared" si="129"/>
        <v>-5.4607977991746881E-2</v>
      </c>
      <c r="AB68" s="1701">
        <f t="shared" ref="AB68" si="130">+AB66/W66-1</f>
        <v>4.9833887043182479E-4</v>
      </c>
      <c r="AC68" s="1713">
        <f t="shared" ref="AC68" si="131">+AC66/X66-1</f>
        <v>-1.9379093833572503E-3</v>
      </c>
      <c r="AD68" s="1700">
        <f t="shared" ref="AD68" si="132">+AD66/Y66-1</f>
        <v>2.7773607566431435E-2</v>
      </c>
      <c r="AE68" s="1337">
        <f t="shared" ref="AE68" si="133">+AE66/Z66-1</f>
        <v>1.420729738456572E-2</v>
      </c>
      <c r="AF68" s="1337">
        <f t="shared" ref="AF68" si="134">+AF66/AA66-1</f>
        <v>4.2485086570638764E-2</v>
      </c>
      <c r="AG68" s="1701">
        <f t="shared" ref="AG68" si="135">+AG66/AB66-1</f>
        <v>-5.4457911339863885E-2</v>
      </c>
      <c r="AH68" s="1713">
        <f t="shared" ref="AH68:AK68" si="136">+AH66/AC66-1</f>
        <v>9.203526076657198E-3</v>
      </c>
      <c r="AI68" s="1700">
        <f t="shared" si="136"/>
        <v>-1.6505988898626978E-2</v>
      </c>
      <c r="AJ68" s="1337">
        <f t="shared" si="136"/>
        <v>-5.8420885068449557E-2</v>
      </c>
      <c r="AK68" s="1337">
        <f t="shared" si="136"/>
        <v>5.5408234473133255E-2</v>
      </c>
      <c r="AL68" s="1701">
        <f t="shared" ref="AL68" si="137">+AL66/AG66-1</f>
        <v>3.6698858647936872E-2</v>
      </c>
      <c r="AM68" s="1713">
        <f t="shared" ref="AM68:AP68" si="138">+AM66/AH66-1</f>
        <v>4.8483915653378951E-3</v>
      </c>
      <c r="AN68" s="1700">
        <f t="shared" si="138"/>
        <v>-0.10871825337888019</v>
      </c>
      <c r="AO68" s="1337">
        <f t="shared" si="138"/>
        <v>2.5359256128487662E-3</v>
      </c>
      <c r="AP68" s="1337">
        <f t="shared" si="138"/>
        <v>-8.0402010050251271E-2</v>
      </c>
      <c r="AQ68" s="1701">
        <f t="shared" ref="AQ68" si="139">+AQ66/AL66-1</f>
        <v>1.1348238482384865E-2</v>
      </c>
      <c r="AR68" s="1713">
        <f t="shared" ref="AR68" si="140">+AR66/AM66-1</f>
        <v>-4.817339358198669E-2</v>
      </c>
      <c r="AS68" s="1700">
        <f t="shared" si="129"/>
        <v>0</v>
      </c>
      <c r="AT68" s="1337">
        <f t="shared" si="129"/>
        <v>0</v>
      </c>
      <c r="AU68" s="1337">
        <f t="shared" si="129"/>
        <v>0</v>
      </c>
      <c r="AV68" s="1701">
        <f t="shared" si="129"/>
        <v>0</v>
      </c>
      <c r="AW68" s="1713">
        <f t="shared" si="129"/>
        <v>0</v>
      </c>
      <c r="AX68" s="1700">
        <f t="shared" ref="AX68" si="141">+AX66/AS66-1</f>
        <v>0</v>
      </c>
      <c r="AY68" s="1337">
        <f t="shared" ref="AY68" si="142">+AY66/AT66-1</f>
        <v>0</v>
      </c>
      <c r="AZ68" s="1337">
        <f t="shared" ref="AZ68" si="143">+AZ66/AU66-1</f>
        <v>0</v>
      </c>
      <c r="BA68" s="1701">
        <f t="shared" ref="BA68" si="144">+BA66/AV66-1</f>
        <v>0</v>
      </c>
      <c r="BB68" s="1713">
        <f t="shared" ref="BB68" si="145">+BB66/AW66-1</f>
        <v>0</v>
      </c>
      <c r="BC68" s="1700">
        <f t="shared" ref="BC68" si="146">+BC66/AX66-1</f>
        <v>0</v>
      </c>
      <c r="BD68" s="1337">
        <f t="shared" ref="BD68" si="147">+BD66/AY66-1</f>
        <v>0</v>
      </c>
      <c r="BE68" s="1337">
        <f t="shared" ref="BE68" si="148">+BE66/AZ66-1</f>
        <v>0</v>
      </c>
      <c r="BF68" s="1701">
        <f t="shared" ref="BF68" si="149">+BF66/BA66-1</f>
        <v>0</v>
      </c>
      <c r="BG68" s="1713">
        <f t="shared" ref="BG68" si="150">+BG66/BB66-1</f>
        <v>0</v>
      </c>
      <c r="BH68" s="1700">
        <f t="shared" ref="BH68" si="151">+BH66/BC66-1</f>
        <v>0</v>
      </c>
      <c r="BI68" s="1337">
        <f t="shared" ref="BI68" si="152">+BI66/BD66-1</f>
        <v>0</v>
      </c>
      <c r="BJ68" s="1337">
        <f t="shared" ref="BJ68" si="153">+BJ66/BE66-1</f>
        <v>0</v>
      </c>
      <c r="BK68" s="1701">
        <f t="shared" ref="BK68" si="154">+BK66/BF66-1</f>
        <v>0</v>
      </c>
      <c r="BL68" s="1713">
        <f t="shared" ref="BL68" si="155">+BL66/BG66-1</f>
        <v>0</v>
      </c>
      <c r="BM68" s="895"/>
      <c r="BN68" s="895"/>
      <c r="BO68" s="895"/>
      <c r="BP68" s="895"/>
      <c r="BQ68" s="895"/>
      <c r="BR68" s="895"/>
      <c r="BS68" s="895"/>
      <c r="BT68" s="895"/>
      <c r="BU68" s="895"/>
      <c r="BV68" s="895"/>
      <c r="BW68" s="895"/>
      <c r="BX68" s="895"/>
      <c r="BY68" s="895"/>
      <c r="BZ68" s="895"/>
      <c r="CA68" s="895"/>
      <c r="CB68" s="895"/>
      <c r="CC68" s="895"/>
      <c r="CD68" s="895"/>
      <c r="CE68" s="895"/>
      <c r="CF68" s="895"/>
      <c r="CG68" s="895"/>
      <c r="CH68" s="895"/>
      <c r="CI68" s="895"/>
      <c r="CJ68" s="895"/>
      <c r="CK68" s="895"/>
      <c r="CL68" s="895"/>
      <c r="CM68" s="895"/>
      <c r="CN68" s="895"/>
      <c r="CO68" s="895"/>
      <c r="CP68" s="895"/>
    </row>
    <row r="69" spans="1:94">
      <c r="A69" s="890"/>
      <c r="B69" s="890"/>
      <c r="C69" s="1736"/>
      <c r="D69" s="890"/>
      <c r="E69" s="891"/>
      <c r="F69" s="892"/>
      <c r="G69" s="892"/>
      <c r="H69" s="893"/>
      <c r="I69" s="894"/>
      <c r="J69" s="891"/>
      <c r="K69" s="892"/>
      <c r="L69" s="892"/>
      <c r="M69" s="893"/>
      <c r="N69" s="894"/>
      <c r="O69" s="891"/>
      <c r="P69" s="892"/>
      <c r="Q69" s="892"/>
      <c r="R69" s="893"/>
      <c r="S69" s="894"/>
      <c r="T69" s="891"/>
      <c r="U69" s="892"/>
      <c r="V69" s="892"/>
      <c r="W69" s="893"/>
      <c r="X69" s="894"/>
      <c r="Y69" s="891"/>
      <c r="Z69" s="892"/>
      <c r="AA69" s="892"/>
      <c r="AB69" s="893"/>
      <c r="AC69" s="894"/>
      <c r="AD69" s="891"/>
      <c r="AE69" s="892"/>
      <c r="AF69" s="892"/>
      <c r="AG69" s="893"/>
      <c r="AH69" s="894"/>
      <c r="AI69" s="891"/>
      <c r="AJ69" s="892"/>
      <c r="AK69" s="892"/>
      <c r="AL69" s="893"/>
      <c r="AM69" s="894"/>
      <c r="AN69" s="891"/>
      <c r="AO69" s="892"/>
      <c r="AP69" s="892"/>
      <c r="AQ69" s="893"/>
      <c r="AR69" s="894"/>
      <c r="AS69" s="891"/>
      <c r="AT69" s="892"/>
      <c r="AU69" s="892"/>
      <c r="AV69" s="893"/>
      <c r="AW69" s="894"/>
      <c r="AX69" s="891"/>
      <c r="AY69" s="892"/>
      <c r="AZ69" s="892"/>
      <c r="BA69" s="893"/>
      <c r="BB69" s="894"/>
      <c r="BC69" s="891"/>
      <c r="BD69" s="892"/>
      <c r="BE69" s="892"/>
      <c r="BF69" s="893"/>
      <c r="BG69" s="894"/>
      <c r="BH69" s="891"/>
      <c r="BI69" s="892"/>
      <c r="BJ69" s="892"/>
      <c r="BK69" s="893"/>
      <c r="BL69" s="894"/>
      <c r="BM69" s="890"/>
      <c r="BN69" s="890"/>
      <c r="BO69" s="890"/>
      <c r="BP69" s="890"/>
      <c r="BQ69" s="890"/>
      <c r="BR69" s="890"/>
      <c r="BS69" s="890"/>
      <c r="BT69" s="890"/>
      <c r="BU69" s="890"/>
      <c r="BV69" s="890"/>
      <c r="BW69" s="890"/>
      <c r="BX69" s="890"/>
      <c r="BY69" s="890"/>
      <c r="BZ69" s="890"/>
      <c r="CA69" s="890"/>
      <c r="CB69" s="890"/>
      <c r="CC69" s="890"/>
      <c r="CD69" s="890"/>
      <c r="CE69" s="890"/>
      <c r="CF69" s="890"/>
      <c r="CG69" s="890"/>
      <c r="CH69" s="890"/>
      <c r="CI69" s="890"/>
      <c r="CJ69" s="890"/>
      <c r="CK69" s="890"/>
      <c r="CL69" s="890"/>
      <c r="CM69" s="890"/>
      <c r="CN69" s="890"/>
      <c r="CO69" s="890"/>
      <c r="CP69" s="890"/>
    </row>
    <row r="70" spans="1:94">
      <c r="A70" s="890"/>
      <c r="B70" s="890"/>
      <c r="C70" s="909" t="s">
        <v>135</v>
      </c>
      <c r="D70" s="890"/>
      <c r="E70" s="891"/>
      <c r="F70" s="892"/>
      <c r="G70" s="892"/>
      <c r="H70" s="893"/>
      <c r="I70" s="894"/>
      <c r="J70" s="891"/>
      <c r="K70" s="892"/>
      <c r="L70" s="892"/>
      <c r="M70" s="893"/>
      <c r="N70" s="894"/>
      <c r="O70" s="891"/>
      <c r="P70" s="892"/>
      <c r="Q70" s="892"/>
      <c r="R70" s="893"/>
      <c r="S70" s="894"/>
      <c r="T70" s="891"/>
      <c r="U70" s="892"/>
      <c r="V70" s="892"/>
      <c r="W70" s="893"/>
      <c r="X70" s="894"/>
      <c r="Y70" s="891"/>
      <c r="Z70" s="892"/>
      <c r="AA70" s="892"/>
      <c r="AB70" s="893"/>
      <c r="AC70" s="894"/>
      <c r="AD70" s="891"/>
      <c r="AE70" s="892"/>
      <c r="AF70" s="892"/>
      <c r="AG70" s="893"/>
      <c r="AH70" s="894"/>
      <c r="AI70" s="891"/>
      <c r="AJ70" s="892"/>
      <c r="AK70" s="892"/>
      <c r="AL70" s="893"/>
      <c r="AM70" s="894"/>
      <c r="AN70" s="891"/>
      <c r="AO70" s="892"/>
      <c r="AP70" s="892"/>
      <c r="AQ70" s="893"/>
      <c r="AR70" s="894"/>
      <c r="AS70" s="891"/>
      <c r="AT70" s="892"/>
      <c r="AU70" s="892"/>
      <c r="AV70" s="893"/>
      <c r="AW70" s="894"/>
      <c r="AX70" s="891"/>
      <c r="AY70" s="892"/>
      <c r="AZ70" s="892"/>
      <c r="BA70" s="893"/>
      <c r="BB70" s="894"/>
      <c r="BC70" s="891"/>
      <c r="BD70" s="892"/>
      <c r="BE70" s="892"/>
      <c r="BF70" s="893"/>
      <c r="BG70" s="894"/>
      <c r="BH70" s="891"/>
      <c r="BI70" s="892"/>
      <c r="BJ70" s="892"/>
      <c r="BK70" s="893"/>
      <c r="BL70" s="894"/>
      <c r="BM70" s="890"/>
      <c r="BN70" s="890"/>
      <c r="BO70" s="890"/>
      <c r="BP70" s="890"/>
      <c r="BQ70" s="890"/>
      <c r="BR70" s="890"/>
      <c r="BS70" s="890"/>
      <c r="BT70" s="890"/>
      <c r="BU70" s="890"/>
      <c r="BV70" s="890"/>
      <c r="BW70" s="890"/>
      <c r="BX70" s="890"/>
      <c r="BY70" s="890"/>
      <c r="BZ70" s="890"/>
      <c r="CA70" s="890"/>
      <c r="CB70" s="890"/>
      <c r="CC70" s="890"/>
      <c r="CD70" s="890"/>
      <c r="CE70" s="890"/>
      <c r="CF70" s="890"/>
      <c r="CG70" s="890"/>
      <c r="CH70" s="890"/>
      <c r="CI70" s="890"/>
      <c r="CJ70" s="890"/>
      <c r="CK70" s="890"/>
      <c r="CL70" s="890"/>
      <c r="CM70" s="890"/>
      <c r="CN70" s="890"/>
      <c r="CO70" s="890"/>
      <c r="CP70" s="890"/>
    </row>
    <row r="71" spans="1:94">
      <c r="A71" s="890"/>
      <c r="B71" s="890"/>
      <c r="C71" s="895" t="s">
        <v>723</v>
      </c>
      <c r="D71" s="45"/>
      <c r="E71" s="1732"/>
      <c r="F71" s="1733"/>
      <c r="G71" s="1733"/>
      <c r="H71" s="1734"/>
      <c r="I71" s="1737">
        <f>I9</f>
        <v>1152</v>
      </c>
      <c r="J71" s="1738">
        <f>J9</f>
        <v>255</v>
      </c>
      <c r="K71" s="1739">
        <f>K9</f>
        <v>218</v>
      </c>
      <c r="L71" s="1739">
        <f>L9</f>
        <v>258</v>
      </c>
      <c r="M71" s="1734">
        <f>M9</f>
        <v>162</v>
      </c>
      <c r="N71" s="1737">
        <f>SUM(J71:M71)</f>
        <v>893</v>
      </c>
      <c r="O71" s="1738">
        <f>O9</f>
        <v>185</v>
      </c>
      <c r="P71" s="1739">
        <f>P9</f>
        <v>160</v>
      </c>
      <c r="Q71" s="1739">
        <f>Q9</f>
        <v>227</v>
      </c>
      <c r="R71" s="1734">
        <f>R9</f>
        <v>154</v>
      </c>
      <c r="S71" s="1737">
        <f>SUM(O71:R71)</f>
        <v>726</v>
      </c>
      <c r="T71" s="1738">
        <f>T9</f>
        <v>192</v>
      </c>
      <c r="U71" s="1739">
        <f>U9</f>
        <v>157</v>
      </c>
      <c r="V71" s="1739">
        <f>V9</f>
        <v>227</v>
      </c>
      <c r="W71" s="1734">
        <f>W9</f>
        <v>174</v>
      </c>
      <c r="X71" s="1737">
        <f>SUM(T71:W71)</f>
        <v>750</v>
      </c>
      <c r="Y71" s="1738">
        <f>Y9</f>
        <v>230</v>
      </c>
      <c r="Z71" s="1739">
        <f>Z9</f>
        <v>177</v>
      </c>
      <c r="AA71" s="1739">
        <f>AA9</f>
        <v>205</v>
      </c>
      <c r="AB71" s="1734">
        <f>AB9</f>
        <v>159</v>
      </c>
      <c r="AC71" s="1737">
        <f>SUM(Y71:AB71)</f>
        <v>771</v>
      </c>
      <c r="AD71" s="1738">
        <f>AD9</f>
        <v>221</v>
      </c>
      <c r="AE71" s="1739">
        <f>AE9</f>
        <v>172</v>
      </c>
      <c r="AF71" s="1739">
        <f>AF9</f>
        <v>213</v>
      </c>
      <c r="AG71" s="1734">
        <f>AG9</f>
        <v>157</v>
      </c>
      <c r="AH71" s="1737">
        <f>SUM(AD71:AG71)</f>
        <v>763</v>
      </c>
      <c r="AI71" s="1738">
        <f>AI9</f>
        <v>197</v>
      </c>
      <c r="AJ71" s="1739">
        <f>AJ9</f>
        <v>152</v>
      </c>
      <c r="AK71" s="1739">
        <f>AK9</f>
        <v>213</v>
      </c>
      <c r="AL71" s="1734">
        <f>AL9</f>
        <v>144</v>
      </c>
      <c r="AM71" s="1737">
        <f>SUM(AI71:AL71)</f>
        <v>706</v>
      </c>
      <c r="AN71" s="1738">
        <f>AN9</f>
        <v>166</v>
      </c>
      <c r="AO71" s="1739">
        <f>AO9</f>
        <v>143</v>
      </c>
      <c r="AP71" s="1739">
        <f>AP9</f>
        <v>168</v>
      </c>
      <c r="AQ71" s="1734">
        <f>AQ9</f>
        <v>137</v>
      </c>
      <c r="AR71" s="1737">
        <f>SUM(AN71:AQ71)</f>
        <v>614</v>
      </c>
      <c r="AS71" s="290">
        <f>+AS72*AS66/1000</f>
        <v>166</v>
      </c>
      <c r="AT71" s="260">
        <f>+AT72*AT66/1000</f>
        <v>143</v>
      </c>
      <c r="AU71" s="260">
        <f>+AU72*AU66/1000</f>
        <v>168</v>
      </c>
      <c r="AV71" s="291">
        <f>+AV72*AV66/1000</f>
        <v>137</v>
      </c>
      <c r="AW71" s="228">
        <f>SUM(AS71:AV71)</f>
        <v>614</v>
      </c>
      <c r="AX71" s="290">
        <f>+AX72*AX66/1000</f>
        <v>166</v>
      </c>
      <c r="AY71" s="260">
        <f>+AY72*AY66/1000</f>
        <v>143</v>
      </c>
      <c r="AZ71" s="260">
        <f>+AZ72*AZ66/1000</f>
        <v>168</v>
      </c>
      <c r="BA71" s="291">
        <f>+BA72*BA66/1000</f>
        <v>137</v>
      </c>
      <c r="BB71" s="228">
        <f>SUM(AX71:BA71)</f>
        <v>614</v>
      </c>
      <c r="BC71" s="290">
        <f>+BC72*BC66/1000</f>
        <v>166</v>
      </c>
      <c r="BD71" s="260">
        <f>+BD72*BD66/1000</f>
        <v>143</v>
      </c>
      <c r="BE71" s="260">
        <f>+BE72*BE66/1000</f>
        <v>168</v>
      </c>
      <c r="BF71" s="291">
        <f>+BF72*BF66/1000</f>
        <v>137</v>
      </c>
      <c r="BG71" s="228">
        <f>SUM(BC71:BF71)</f>
        <v>614</v>
      </c>
      <c r="BH71" s="290">
        <f>+BH72*BH66/1000</f>
        <v>166</v>
      </c>
      <c r="BI71" s="260">
        <f>+BI72*BI66/1000</f>
        <v>143</v>
      </c>
      <c r="BJ71" s="260">
        <f>+BJ72*BJ66/1000</f>
        <v>168</v>
      </c>
      <c r="BK71" s="291">
        <f>+BK72*BK66/1000</f>
        <v>137</v>
      </c>
      <c r="BL71" s="228">
        <f>SUM(BH71:BK71)</f>
        <v>614</v>
      </c>
      <c r="BM71" s="890"/>
      <c r="BN71" s="890"/>
      <c r="BO71" s="890"/>
      <c r="BP71" s="890"/>
      <c r="BQ71" s="890"/>
      <c r="BR71" s="890"/>
      <c r="BS71" s="890"/>
      <c r="BT71" s="890"/>
      <c r="BU71" s="890"/>
      <c r="BV71" s="890"/>
      <c r="BW71" s="890"/>
      <c r="BX71" s="890"/>
      <c r="BY71" s="890"/>
      <c r="BZ71" s="890"/>
      <c r="CA71" s="890"/>
      <c r="CB71" s="890"/>
      <c r="CC71" s="890"/>
      <c r="CD71" s="890"/>
      <c r="CE71" s="890"/>
      <c r="CF71" s="890"/>
      <c r="CG71" s="890"/>
      <c r="CH71" s="890"/>
      <c r="CI71" s="890"/>
      <c r="CJ71" s="890"/>
      <c r="CK71" s="890"/>
      <c r="CL71" s="890"/>
      <c r="CM71" s="890"/>
      <c r="CN71" s="890"/>
      <c r="CO71" s="890"/>
      <c r="CP71" s="890"/>
    </row>
    <row r="72" spans="1:94">
      <c r="A72" s="890"/>
      <c r="B72" s="890"/>
      <c r="C72" s="895" t="s">
        <v>137</v>
      </c>
      <c r="D72" s="890"/>
      <c r="E72" s="1740"/>
      <c r="F72" s="1741"/>
      <c r="G72" s="1741"/>
      <c r="H72" s="1742"/>
      <c r="I72" s="1743">
        <f t="shared" ref="I72:Z72" si="156">+I71/I66*1000</f>
        <v>41.641062714621363</v>
      </c>
      <c r="J72" s="1740">
        <f t="shared" si="156"/>
        <v>38.607115821347463</v>
      </c>
      <c r="K72" s="1741">
        <f t="shared" si="156"/>
        <v>33.302780323861903</v>
      </c>
      <c r="L72" s="1741">
        <f t="shared" si="156"/>
        <v>33.437013996889583</v>
      </c>
      <c r="M72" s="1742">
        <f t="shared" si="156"/>
        <v>26.87458526874585</v>
      </c>
      <c r="N72" s="1743">
        <f t="shared" si="156"/>
        <v>33.203197620375533</v>
      </c>
      <c r="O72" s="1740">
        <f t="shared" si="156"/>
        <v>29.785863790049909</v>
      </c>
      <c r="P72" s="1741">
        <f t="shared" si="156"/>
        <v>25.522411867921516</v>
      </c>
      <c r="Q72" s="1741">
        <f t="shared" si="156"/>
        <v>29.970953261156588</v>
      </c>
      <c r="R72" s="1742">
        <f t="shared" si="156"/>
        <v>25.873655913978496</v>
      </c>
      <c r="S72" s="1743">
        <f t="shared" si="156"/>
        <v>27.916634622779359</v>
      </c>
      <c r="T72" s="1740">
        <f t="shared" si="156"/>
        <v>30.212431156569629</v>
      </c>
      <c r="U72" s="1741">
        <f t="shared" si="156"/>
        <v>25.503573749187783</v>
      </c>
      <c r="V72" s="1741">
        <f t="shared" si="156"/>
        <v>31.2242090784044</v>
      </c>
      <c r="W72" s="1742">
        <f t="shared" si="156"/>
        <v>28.903654485049834</v>
      </c>
      <c r="X72" s="1743">
        <f t="shared" si="156"/>
        <v>29.068640750358515</v>
      </c>
      <c r="Y72" s="1740">
        <f t="shared" si="156"/>
        <v>34.529349947455337</v>
      </c>
      <c r="Z72" s="1741">
        <f t="shared" si="156"/>
        <v>28.576041330319665</v>
      </c>
      <c r="AA72" s="1741">
        <f t="shared" ref="AA72:AE72" si="157">+AA71/AA66*1000</f>
        <v>29.826858722537466</v>
      </c>
      <c r="AB72" s="1742">
        <f t="shared" si="157"/>
        <v>26.398804582434003</v>
      </c>
      <c r="AC72" s="1743">
        <f t="shared" si="157"/>
        <v>29.940584831657024</v>
      </c>
      <c r="AD72" s="1740">
        <f t="shared" si="157"/>
        <v>32.281624306164183</v>
      </c>
      <c r="AE72" s="1741">
        <f t="shared" si="157"/>
        <v>27.379815345431389</v>
      </c>
      <c r="AF72" s="1741">
        <f t="shared" ref="AF72:AJ72" si="158">+AF71/AF66*1000</f>
        <v>29.72784368457781</v>
      </c>
      <c r="AG72" s="1742">
        <f t="shared" si="158"/>
        <v>27.568042142230027</v>
      </c>
      <c r="AH72" s="1743">
        <f t="shared" si="158"/>
        <v>29.359704478990302</v>
      </c>
      <c r="AI72" s="1740">
        <f t="shared" si="158"/>
        <v>29.258874201693153</v>
      </c>
      <c r="AJ72" s="1741">
        <f t="shared" si="158"/>
        <v>25.69737954353339</v>
      </c>
      <c r="AK72" s="1741">
        <f t="shared" ref="AK72:AO72" si="159">+AK71/AK66*1000</f>
        <v>28.167151547209734</v>
      </c>
      <c r="AL72" s="1742">
        <f t="shared" si="159"/>
        <v>24.390243902439025</v>
      </c>
      <c r="AM72" s="1743">
        <f t="shared" si="159"/>
        <v>27.035306732021137</v>
      </c>
      <c r="AN72" s="1740">
        <f t="shared" si="159"/>
        <v>27.662056323946011</v>
      </c>
      <c r="AO72" s="1741">
        <f t="shared" si="159"/>
        <v>24.114671163575043</v>
      </c>
      <c r="AP72" s="1741">
        <f t="shared" ref="AP72:AR72" si="160">+AP71/AP66*1000</f>
        <v>24.158757549611735</v>
      </c>
      <c r="AQ72" s="1742">
        <f t="shared" si="160"/>
        <v>22.944230447161281</v>
      </c>
      <c r="AR72" s="1743">
        <f t="shared" si="160"/>
        <v>24.702285162536207</v>
      </c>
      <c r="AS72" s="1740">
        <f>+AN72</f>
        <v>27.662056323946011</v>
      </c>
      <c r="AT72" s="1741">
        <f>+AO72</f>
        <v>24.114671163575043</v>
      </c>
      <c r="AU72" s="1741">
        <f>+AP72</f>
        <v>24.158757549611735</v>
      </c>
      <c r="AV72" s="1742">
        <f>+AQ72</f>
        <v>22.944230447161281</v>
      </c>
      <c r="AW72" s="1743">
        <f>+AW71/AW66*1000</f>
        <v>24.702285162536207</v>
      </c>
      <c r="AX72" s="1740">
        <f>+AS72</f>
        <v>27.662056323946011</v>
      </c>
      <c r="AY72" s="1741">
        <f>+AT72</f>
        <v>24.114671163575043</v>
      </c>
      <c r="AZ72" s="1741">
        <f>+AU72</f>
        <v>24.158757549611735</v>
      </c>
      <c r="BA72" s="1742">
        <f>+AV72</f>
        <v>22.944230447161281</v>
      </c>
      <c r="BB72" s="1743">
        <f>+BB71/BB66*1000</f>
        <v>24.702285162536207</v>
      </c>
      <c r="BC72" s="1740">
        <f>+AX72</f>
        <v>27.662056323946011</v>
      </c>
      <c r="BD72" s="1741">
        <f>+AY72</f>
        <v>24.114671163575043</v>
      </c>
      <c r="BE72" s="1741">
        <f>+AZ72</f>
        <v>24.158757549611735</v>
      </c>
      <c r="BF72" s="1742">
        <f>+BA72</f>
        <v>22.944230447161281</v>
      </c>
      <c r="BG72" s="1743">
        <f>+BG71/BG66*1000</f>
        <v>24.702285162536207</v>
      </c>
      <c r="BH72" s="1740">
        <f>+BC72</f>
        <v>27.662056323946011</v>
      </c>
      <c r="BI72" s="1741">
        <f>+BD72</f>
        <v>24.114671163575043</v>
      </c>
      <c r="BJ72" s="1741">
        <f>+BE72</f>
        <v>24.158757549611735</v>
      </c>
      <c r="BK72" s="1742">
        <f>+BF72</f>
        <v>22.944230447161281</v>
      </c>
      <c r="BL72" s="1743">
        <f>+BL71/BL66*1000</f>
        <v>24.702285162536207</v>
      </c>
      <c r="BM72" s="890"/>
      <c r="BN72" s="890"/>
      <c r="BO72" s="890"/>
      <c r="BP72" s="890"/>
      <c r="BQ72" s="890"/>
      <c r="BR72" s="890"/>
      <c r="BS72" s="890"/>
      <c r="BT72" s="890"/>
      <c r="BU72" s="890"/>
      <c r="BV72" s="890"/>
      <c r="BW72" s="890"/>
      <c r="BX72" s="890"/>
      <c r="BY72" s="890"/>
      <c r="BZ72" s="890"/>
      <c r="CA72" s="890"/>
      <c r="CB72" s="890"/>
      <c r="CC72" s="890"/>
      <c r="CD72" s="890"/>
      <c r="CE72" s="890"/>
      <c r="CF72" s="890"/>
      <c r="CG72" s="890"/>
      <c r="CH72" s="890"/>
      <c r="CI72" s="890"/>
      <c r="CJ72" s="890"/>
      <c r="CK72" s="890"/>
      <c r="CL72" s="890"/>
      <c r="CM72" s="890"/>
      <c r="CN72" s="890"/>
      <c r="CO72" s="890"/>
      <c r="CP72" s="890"/>
    </row>
    <row r="73" spans="1:94">
      <c r="A73" s="890"/>
      <c r="B73" s="890"/>
      <c r="C73" s="1736"/>
      <c r="D73" s="890"/>
      <c r="E73" s="891"/>
      <c r="F73" s="892"/>
      <c r="G73" s="892"/>
      <c r="H73" s="893"/>
      <c r="I73" s="894"/>
      <c r="J73" s="891"/>
      <c r="K73" s="892"/>
      <c r="L73" s="892"/>
      <c r="M73" s="893"/>
      <c r="N73" s="894"/>
      <c r="O73" s="891"/>
      <c r="P73" s="892"/>
      <c r="Q73" s="892"/>
      <c r="R73" s="893"/>
      <c r="S73" s="894"/>
      <c r="T73" s="891"/>
      <c r="U73" s="892"/>
      <c r="V73" s="892"/>
      <c r="W73" s="893"/>
      <c r="X73" s="894"/>
      <c r="Y73" s="891"/>
      <c r="Z73" s="892"/>
      <c r="AA73" s="892"/>
      <c r="AB73" s="893"/>
      <c r="AC73" s="894"/>
      <c r="AD73" s="891"/>
      <c r="AE73" s="892"/>
      <c r="AF73" s="892"/>
      <c r="AG73" s="893"/>
      <c r="AH73" s="894"/>
      <c r="AI73" s="891"/>
      <c r="AJ73" s="892"/>
      <c r="AK73" s="892"/>
      <c r="AL73" s="893"/>
      <c r="AM73" s="894"/>
      <c r="AN73" s="891"/>
      <c r="AO73" s="892"/>
      <c r="AP73" s="892"/>
      <c r="AQ73" s="893"/>
      <c r="AR73" s="894"/>
      <c r="AS73" s="891"/>
      <c r="AT73" s="892"/>
      <c r="AU73" s="892"/>
      <c r="AV73" s="893"/>
      <c r="AW73" s="894"/>
      <c r="AX73" s="891"/>
      <c r="AY73" s="892"/>
      <c r="AZ73" s="892"/>
      <c r="BA73" s="893"/>
      <c r="BB73" s="894"/>
      <c r="BC73" s="891"/>
      <c r="BD73" s="892"/>
      <c r="BE73" s="892"/>
      <c r="BF73" s="893"/>
      <c r="BG73" s="894"/>
      <c r="BH73" s="891"/>
      <c r="BI73" s="892"/>
      <c r="BJ73" s="892"/>
      <c r="BK73" s="893"/>
      <c r="BL73" s="894"/>
      <c r="BM73" s="890"/>
      <c r="BN73" s="890"/>
      <c r="BO73" s="890"/>
      <c r="BP73" s="890"/>
      <c r="BQ73" s="890"/>
      <c r="BR73" s="890"/>
      <c r="BS73" s="890"/>
      <c r="BT73" s="890"/>
      <c r="BU73" s="890"/>
      <c r="BV73" s="890"/>
      <c r="BW73" s="890"/>
      <c r="BX73" s="890"/>
      <c r="BY73" s="890"/>
      <c r="BZ73" s="890"/>
      <c r="CA73" s="890"/>
      <c r="CB73" s="890"/>
      <c r="CC73" s="890"/>
      <c r="CD73" s="890"/>
      <c r="CE73" s="890"/>
      <c r="CF73" s="890"/>
      <c r="CG73" s="890"/>
      <c r="CH73" s="890"/>
      <c r="CI73" s="890"/>
      <c r="CJ73" s="890"/>
      <c r="CK73" s="890"/>
      <c r="CL73" s="890"/>
      <c r="CM73" s="890"/>
      <c r="CN73" s="890"/>
      <c r="CO73" s="890"/>
      <c r="CP73" s="890"/>
    </row>
    <row r="74" spans="1:94">
      <c r="A74" s="890"/>
      <c r="B74" s="890"/>
      <c r="C74" s="909" t="s">
        <v>138</v>
      </c>
      <c r="D74" s="890"/>
      <c r="E74" s="292"/>
      <c r="F74" s="261"/>
      <c r="G74" s="261"/>
      <c r="H74" s="293"/>
      <c r="I74" s="228">
        <f t="shared" ref="I74:AW74" si="161">+I62-I71</f>
        <v>1136</v>
      </c>
      <c r="J74" s="1744">
        <f t="shared" si="161"/>
        <v>279</v>
      </c>
      <c r="K74" s="1745">
        <f t="shared" si="161"/>
        <v>288</v>
      </c>
      <c r="L74" s="261">
        <f t="shared" si="161"/>
        <v>345</v>
      </c>
      <c r="M74" s="293">
        <f t="shared" si="161"/>
        <v>273</v>
      </c>
      <c r="N74" s="228">
        <f t="shared" si="161"/>
        <v>1185</v>
      </c>
      <c r="O74" s="1744">
        <f t="shared" si="161"/>
        <v>280</v>
      </c>
      <c r="P74" s="1745">
        <f t="shared" si="161"/>
        <v>296</v>
      </c>
      <c r="Q74" s="1745">
        <f t="shared" si="161"/>
        <v>355</v>
      </c>
      <c r="R74" s="293">
        <f t="shared" si="161"/>
        <v>291</v>
      </c>
      <c r="S74" s="228">
        <f t="shared" si="161"/>
        <v>1222</v>
      </c>
      <c r="T74" s="1744">
        <f t="shared" si="161"/>
        <v>285</v>
      </c>
      <c r="U74" s="1745">
        <f t="shared" si="161"/>
        <v>312</v>
      </c>
      <c r="V74" s="1745">
        <f t="shared" si="161"/>
        <v>378</v>
      </c>
      <c r="W74" s="293">
        <f t="shared" si="161"/>
        <v>301</v>
      </c>
      <c r="X74" s="228">
        <f t="shared" si="161"/>
        <v>1276</v>
      </c>
      <c r="Y74" s="1744">
        <f t="shared" si="161"/>
        <v>305</v>
      </c>
      <c r="Z74" s="1745">
        <f t="shared" si="161"/>
        <v>331</v>
      </c>
      <c r="AA74" s="1745">
        <f t="shared" ref="AA74:AE74" si="162">+AA62-AA71</f>
        <v>382</v>
      </c>
      <c r="AB74" s="293">
        <f t="shared" si="162"/>
        <v>312</v>
      </c>
      <c r="AC74" s="228">
        <f t="shared" si="162"/>
        <v>1330</v>
      </c>
      <c r="AD74" s="1744">
        <f t="shared" si="162"/>
        <v>335</v>
      </c>
      <c r="AE74" s="1745">
        <f t="shared" si="162"/>
        <v>346</v>
      </c>
      <c r="AF74" s="1745">
        <f t="shared" ref="AF74:AJ74" si="163">+AF62-AF71</f>
        <v>399</v>
      </c>
      <c r="AG74" s="293">
        <f t="shared" si="163"/>
        <v>346</v>
      </c>
      <c r="AH74" s="228">
        <f t="shared" si="163"/>
        <v>1426</v>
      </c>
      <c r="AI74" s="1744">
        <f t="shared" si="163"/>
        <v>354</v>
      </c>
      <c r="AJ74" s="1745">
        <f t="shared" si="163"/>
        <v>357</v>
      </c>
      <c r="AK74" s="1745">
        <f t="shared" ref="AK74:AO74" si="164">+AK62-AK71</f>
        <v>422</v>
      </c>
      <c r="AL74" s="293">
        <f t="shared" si="164"/>
        <v>347</v>
      </c>
      <c r="AM74" s="228">
        <f t="shared" si="164"/>
        <v>1480</v>
      </c>
      <c r="AN74" s="1744">
        <f t="shared" si="164"/>
        <v>364</v>
      </c>
      <c r="AO74" s="1745">
        <f t="shared" si="164"/>
        <v>371</v>
      </c>
      <c r="AP74" s="1745">
        <f t="shared" ref="AP74:AR74" si="165">+AP62-AP71</f>
        <v>436</v>
      </c>
      <c r="AQ74" s="293">
        <f t="shared" si="165"/>
        <v>373</v>
      </c>
      <c r="AR74" s="228">
        <f t="shared" si="165"/>
        <v>1544</v>
      </c>
      <c r="AS74" s="1744">
        <f t="shared" si="161"/>
        <v>355.14394213381559</v>
      </c>
      <c r="AT74" s="1745">
        <f t="shared" si="161"/>
        <v>362.14394213381553</v>
      </c>
      <c r="AU74" s="1745">
        <f t="shared" si="161"/>
        <v>427.96894213381552</v>
      </c>
      <c r="AV74" s="1746">
        <f t="shared" si="161"/>
        <v>364.96894213381557</v>
      </c>
      <c r="AW74" s="1747">
        <f t="shared" si="161"/>
        <v>1510.2257685352624</v>
      </c>
      <c r="AX74" s="1744">
        <f t="shared" ref="AX74:BG74" si="166">+AX62-AX71</f>
        <v>360.32021188877593</v>
      </c>
      <c r="AY74" s="1745">
        <f t="shared" si="166"/>
        <v>367.32021188877582</v>
      </c>
      <c r="AZ74" s="1745">
        <f t="shared" si="166"/>
        <v>444.85646188877593</v>
      </c>
      <c r="BA74" s="1746">
        <f t="shared" si="166"/>
        <v>381.85646188877593</v>
      </c>
      <c r="BB74" s="1747">
        <f t="shared" si="166"/>
        <v>1554.3533475551035</v>
      </c>
      <c r="BC74" s="1744">
        <f t="shared" si="166"/>
        <v>367.52030080286079</v>
      </c>
      <c r="BD74" s="1745">
        <f t="shared" si="166"/>
        <v>374.52030080286067</v>
      </c>
      <c r="BE74" s="1745">
        <f t="shared" si="166"/>
        <v>453.30655080286067</v>
      </c>
      <c r="BF74" s="1746">
        <f t="shared" si="166"/>
        <v>390.30655080286078</v>
      </c>
      <c r="BG74" s="1747">
        <f t="shared" si="166"/>
        <v>1585.6537032114429</v>
      </c>
      <c r="BH74" s="1744">
        <f t="shared" ref="BH74:BL74" si="167">+BH62-BH71</f>
        <v>381.08436347957377</v>
      </c>
      <c r="BI74" s="1745">
        <f t="shared" si="167"/>
        <v>388.08436347957377</v>
      </c>
      <c r="BJ74" s="1745">
        <f t="shared" si="167"/>
        <v>465.62061347957365</v>
      </c>
      <c r="BK74" s="1746">
        <f t="shared" si="167"/>
        <v>402.62061347957376</v>
      </c>
      <c r="BL74" s="1747">
        <f t="shared" si="167"/>
        <v>1637.4099539182948</v>
      </c>
      <c r="BM74" s="890"/>
      <c r="BN74" s="890"/>
      <c r="BO74" s="890"/>
      <c r="BP74" s="890"/>
      <c r="BQ74" s="890"/>
      <c r="BR74" s="890"/>
      <c r="BS74" s="890"/>
      <c r="BT74" s="890"/>
      <c r="BU74" s="890"/>
      <c r="BV74" s="890"/>
      <c r="BW74" s="890"/>
      <c r="BX74" s="890"/>
      <c r="BY74" s="890"/>
      <c r="BZ74" s="890"/>
      <c r="CA74" s="890"/>
      <c r="CB74" s="890"/>
      <c r="CC74" s="890"/>
      <c r="CD74" s="890"/>
      <c r="CE74" s="890"/>
      <c r="CF74" s="890"/>
      <c r="CG74" s="890"/>
      <c r="CH74" s="890"/>
      <c r="CI74" s="890"/>
      <c r="CJ74" s="890"/>
      <c r="CK74" s="890"/>
      <c r="CL74" s="890"/>
      <c r="CM74" s="890"/>
      <c r="CN74" s="890"/>
      <c r="CO74" s="890"/>
      <c r="CP74" s="890"/>
    </row>
    <row r="75" spans="1:94">
      <c r="A75" s="890"/>
      <c r="B75" s="890"/>
      <c r="C75" s="1699" t="s">
        <v>623</v>
      </c>
      <c r="D75" s="1699"/>
      <c r="E75" s="1748"/>
      <c r="F75" s="1749"/>
      <c r="G75" s="1749"/>
      <c r="H75" s="1750"/>
      <c r="I75" s="1751"/>
      <c r="J75" s="1748"/>
      <c r="K75" s="1749"/>
      <c r="L75" s="1749"/>
      <c r="M75" s="1750"/>
      <c r="N75" s="1751">
        <f t="shared" ref="N75:AW75" si="168">+N74/I74-1</f>
        <v>4.313380281690149E-2</v>
      </c>
      <c r="O75" s="1748">
        <f t="shared" si="168"/>
        <v>3.5842293906809264E-3</v>
      </c>
      <c r="P75" s="1749">
        <f t="shared" si="168"/>
        <v>2.7777777777777679E-2</v>
      </c>
      <c r="Q75" s="1749">
        <f t="shared" si="168"/>
        <v>2.8985507246376718E-2</v>
      </c>
      <c r="R75" s="1750">
        <f t="shared" si="168"/>
        <v>6.5934065934065922E-2</v>
      </c>
      <c r="S75" s="1751">
        <f t="shared" si="168"/>
        <v>3.1223628691983141E-2</v>
      </c>
      <c r="T75" s="1748">
        <f t="shared" si="168"/>
        <v>1.7857142857142794E-2</v>
      </c>
      <c r="U75" s="1749">
        <f t="shared" si="168"/>
        <v>5.4054054054053946E-2</v>
      </c>
      <c r="V75" s="1749">
        <f t="shared" si="168"/>
        <v>6.4788732394366111E-2</v>
      </c>
      <c r="W75" s="1750">
        <f t="shared" si="168"/>
        <v>3.436426116838498E-2</v>
      </c>
      <c r="X75" s="1751">
        <f t="shared" si="168"/>
        <v>4.4189852700490917E-2</v>
      </c>
      <c r="Y75" s="1748">
        <f t="shared" si="168"/>
        <v>7.0175438596491224E-2</v>
      </c>
      <c r="Z75" s="1749">
        <f t="shared" si="168"/>
        <v>6.0897435897435903E-2</v>
      </c>
      <c r="AA75" s="1749">
        <f t="shared" si="168"/>
        <v>1.0582010582010692E-2</v>
      </c>
      <c r="AB75" s="1750">
        <f t="shared" ref="AB75" si="169">+AB74/W74-1</f>
        <v>3.6544850498338777E-2</v>
      </c>
      <c r="AC75" s="1751">
        <f t="shared" ref="AC75" si="170">+AC74/X74-1</f>
        <v>4.2319749216300995E-2</v>
      </c>
      <c r="AD75" s="1748">
        <f t="shared" ref="AD75" si="171">+AD74/Y74-1</f>
        <v>9.8360655737705027E-2</v>
      </c>
      <c r="AE75" s="1749">
        <f t="shared" ref="AE75" si="172">+AE74/Z74-1</f>
        <v>4.5317220543806602E-2</v>
      </c>
      <c r="AF75" s="1749">
        <f t="shared" ref="AF75" si="173">+AF74/AA74-1</f>
        <v>4.4502617801047029E-2</v>
      </c>
      <c r="AG75" s="1750">
        <f t="shared" ref="AG75" si="174">+AG74/AB74-1</f>
        <v>0.10897435897435903</v>
      </c>
      <c r="AH75" s="1751">
        <f t="shared" ref="AH75:AK75" si="175">+AH74/AC74-1</f>
        <v>7.2180451127819456E-2</v>
      </c>
      <c r="AI75" s="1748">
        <f t="shared" si="175"/>
        <v>5.6716417910447792E-2</v>
      </c>
      <c r="AJ75" s="1749">
        <f t="shared" si="175"/>
        <v>3.1791907514450823E-2</v>
      </c>
      <c r="AK75" s="1749">
        <f t="shared" si="175"/>
        <v>5.7644110275689275E-2</v>
      </c>
      <c r="AL75" s="1750">
        <f t="shared" ref="AL75" si="176">+AL74/AG74-1</f>
        <v>2.8901734104045396E-3</v>
      </c>
      <c r="AM75" s="1751">
        <f t="shared" ref="AM75:AP75" si="177">+AM74/AH74-1</f>
        <v>3.7868162692847207E-2</v>
      </c>
      <c r="AN75" s="1748">
        <f t="shared" si="177"/>
        <v>2.8248587570621542E-2</v>
      </c>
      <c r="AO75" s="1749">
        <f t="shared" si="177"/>
        <v>3.9215686274509887E-2</v>
      </c>
      <c r="AP75" s="1749">
        <f t="shared" si="177"/>
        <v>3.3175355450236976E-2</v>
      </c>
      <c r="AQ75" s="1750">
        <f t="shared" ref="AQ75" si="178">+AQ74/AL74-1</f>
        <v>7.4927953890489896E-2</v>
      </c>
      <c r="AR75" s="1751">
        <f t="shared" ref="AR75" si="179">+AR74/AM74-1</f>
        <v>4.3243243243243246E-2</v>
      </c>
      <c r="AS75" s="1748">
        <f t="shared" si="168"/>
        <v>-2.4329829302704442E-2</v>
      </c>
      <c r="AT75" s="1749">
        <f t="shared" si="168"/>
        <v>-2.3870775919634712E-2</v>
      </c>
      <c r="AU75" s="1749">
        <f t="shared" si="168"/>
        <v>-1.8419857491248859E-2</v>
      </c>
      <c r="AV75" s="1750">
        <f t="shared" si="168"/>
        <v>-2.1530986236419358E-2</v>
      </c>
      <c r="AW75" s="1751">
        <f t="shared" si="168"/>
        <v>-2.1874502244001004E-2</v>
      </c>
      <c r="AX75" s="1748">
        <f t="shared" ref="AX75" si="180">+AX74/AS74-1</f>
        <v>1.4575131772936123E-2</v>
      </c>
      <c r="AY75" s="1749">
        <f t="shared" ref="AY75" si="181">+AY74/AT74-1</f>
        <v>1.4293404231645601E-2</v>
      </c>
      <c r="AZ75" s="1749">
        <f t="shared" ref="AZ75" si="182">+AZ74/AU74-1</f>
        <v>3.9459685253702581E-2</v>
      </c>
      <c r="BA75" s="1750">
        <f t="shared" ref="BA75" si="183">+BA74/AV74-1</f>
        <v>4.627111462204514E-2</v>
      </c>
      <c r="BB75" s="1751">
        <f t="shared" ref="BB75" si="184">+BB74/AW74-1</f>
        <v>2.9219193539943067E-2</v>
      </c>
      <c r="BC75" s="1748">
        <f t="shared" ref="BC75" si="185">+BC74/AX74-1</f>
        <v>1.9982473024042768E-2</v>
      </c>
      <c r="BD75" s="1749">
        <f t="shared" ref="BD75" si="186">+BD74/AY74-1</f>
        <v>1.9601668193159671E-2</v>
      </c>
      <c r="BE75" s="1749">
        <f t="shared" ref="BE75" si="187">+BE74/AZ74-1</f>
        <v>1.8995090861909203E-2</v>
      </c>
      <c r="BF75" s="1750">
        <f t="shared" ref="BF75" si="188">+BF74/BA74-1</f>
        <v>2.2128966660111438E-2</v>
      </c>
      <c r="BG75" s="1751">
        <f t="shared" ref="BG75" si="189">+BG74/BB74-1</f>
        <v>2.0137220218023666E-2</v>
      </c>
      <c r="BH75" s="1748">
        <f t="shared" ref="BH75" si="190">+BH74/BC74-1</f>
        <v>3.6906975334646264E-2</v>
      </c>
      <c r="BI75" s="1749">
        <f t="shared" ref="BI75" si="191">+BI74/BD74-1</f>
        <v>3.6217162721582152E-2</v>
      </c>
      <c r="BJ75" s="1749">
        <f t="shared" ref="BJ75" si="192">+BJ74/BE74-1</f>
        <v>2.7164978434358167E-2</v>
      </c>
      <c r="BK75" s="1750">
        <f t="shared" ref="BK75" si="193">+BK74/BF74-1</f>
        <v>3.1549720729470154E-2</v>
      </c>
      <c r="BL75" s="1751">
        <f t="shared" ref="BL75" si="194">+BL74/BG74-1</f>
        <v>3.2640324051859126E-2</v>
      </c>
      <c r="BM75" s="890"/>
      <c r="BN75" s="890"/>
      <c r="BO75" s="890"/>
      <c r="BP75" s="890"/>
      <c r="BQ75" s="890"/>
      <c r="BR75" s="890"/>
      <c r="BS75" s="890"/>
      <c r="BT75" s="890"/>
      <c r="BU75" s="890"/>
      <c r="BV75" s="890"/>
      <c r="BW75" s="890"/>
      <c r="BX75" s="890"/>
      <c r="BY75" s="890"/>
      <c r="BZ75" s="890"/>
      <c r="CA75" s="890"/>
      <c r="CB75" s="890"/>
      <c r="CC75" s="890"/>
      <c r="CD75" s="890"/>
      <c r="CE75" s="890"/>
      <c r="CF75" s="890"/>
      <c r="CG75" s="890"/>
      <c r="CH75" s="890"/>
      <c r="CI75" s="890"/>
      <c r="CJ75" s="890"/>
      <c r="CK75" s="890"/>
      <c r="CL75" s="890"/>
      <c r="CM75" s="890"/>
      <c r="CN75" s="890"/>
      <c r="CO75" s="890"/>
      <c r="CP75" s="890"/>
    </row>
    <row r="76" spans="1:94">
      <c r="A76" s="890"/>
      <c r="B76" s="890"/>
      <c r="C76" s="1736"/>
      <c r="D76" s="890"/>
      <c r="E76" s="891"/>
      <c r="F76" s="892"/>
      <c r="G76" s="892"/>
      <c r="H76" s="893"/>
      <c r="I76" s="894"/>
      <c r="J76" s="891"/>
      <c r="K76" s="892"/>
      <c r="L76" s="892"/>
      <c r="M76" s="893"/>
      <c r="N76" s="894"/>
      <c r="O76" s="891"/>
      <c r="P76" s="892"/>
      <c r="Q76" s="892"/>
      <c r="R76" s="893"/>
      <c r="S76" s="894"/>
      <c r="T76" s="891"/>
      <c r="U76" s="892"/>
      <c r="V76" s="892"/>
      <c r="W76" s="893"/>
      <c r="X76" s="894"/>
      <c r="Y76" s="891"/>
      <c r="Z76" s="892"/>
      <c r="AA76" s="892"/>
      <c r="AB76" s="893"/>
      <c r="AC76" s="894"/>
      <c r="AD76" s="891"/>
      <c r="AE76" s="892"/>
      <c r="AF76" s="892"/>
      <c r="AG76" s="893"/>
      <c r="AH76" s="894"/>
      <c r="AI76" s="891"/>
      <c r="AJ76" s="892"/>
      <c r="AK76" s="892"/>
      <c r="AL76" s="893"/>
      <c r="AM76" s="894"/>
      <c r="AN76" s="891"/>
      <c r="AO76" s="892"/>
      <c r="AP76" s="892"/>
      <c r="AQ76" s="893"/>
      <c r="AR76" s="894"/>
      <c r="AS76" s="891"/>
      <c r="AT76" s="892"/>
      <c r="AU76" s="892"/>
      <c r="AV76" s="893"/>
      <c r="AW76" s="894"/>
      <c r="AX76" s="891"/>
      <c r="AY76" s="892"/>
      <c r="AZ76" s="892"/>
      <c r="BA76" s="893"/>
      <c r="BB76" s="894"/>
      <c r="BC76" s="891"/>
      <c r="BD76" s="892"/>
      <c r="BE76" s="892"/>
      <c r="BF76" s="893"/>
      <c r="BG76" s="894"/>
      <c r="BH76" s="891"/>
      <c r="BI76" s="892"/>
      <c r="BJ76" s="892"/>
      <c r="BK76" s="893"/>
      <c r="BL76" s="894"/>
      <c r="BM76" s="890"/>
      <c r="BN76" s="890"/>
      <c r="BO76" s="890"/>
      <c r="BP76" s="890"/>
      <c r="BQ76" s="890"/>
      <c r="BR76" s="890"/>
      <c r="BS76" s="890"/>
      <c r="BT76" s="890"/>
      <c r="BU76" s="890"/>
      <c r="BV76" s="890"/>
      <c r="BW76" s="890"/>
      <c r="BX76" s="890"/>
      <c r="BY76" s="890"/>
      <c r="BZ76" s="890"/>
      <c r="CA76" s="890"/>
      <c r="CB76" s="890"/>
      <c r="CC76" s="890"/>
      <c r="CD76" s="890"/>
      <c r="CE76" s="890"/>
      <c r="CF76" s="890"/>
      <c r="CG76" s="890"/>
      <c r="CH76" s="890"/>
      <c r="CI76" s="890"/>
      <c r="CJ76" s="890"/>
      <c r="CK76" s="890"/>
      <c r="CL76" s="890"/>
      <c r="CM76" s="890"/>
      <c r="CN76" s="890"/>
      <c r="CO76" s="890"/>
      <c r="CP76" s="890"/>
    </row>
    <row r="77" spans="1:94">
      <c r="A77" s="890"/>
      <c r="B77" s="890"/>
      <c r="C77" s="909" t="s">
        <v>734</v>
      </c>
      <c r="D77" s="890"/>
      <c r="E77" s="891"/>
      <c r="F77" s="892"/>
      <c r="G77" s="892"/>
      <c r="H77" s="893"/>
      <c r="I77" s="630">
        <f t="shared" ref="I77:Z77" si="195">I74/I66*1000</f>
        <v>41.06271462136273</v>
      </c>
      <c r="J77" s="627">
        <f t="shared" si="195"/>
        <v>42.24072672218017</v>
      </c>
      <c r="K77" s="628">
        <f t="shared" si="195"/>
        <v>43.996333638863426</v>
      </c>
      <c r="L77" s="628">
        <f t="shared" si="195"/>
        <v>44.712286158631414</v>
      </c>
      <c r="M77" s="629">
        <f t="shared" si="195"/>
        <v>45.28865295288653</v>
      </c>
      <c r="N77" s="630">
        <f t="shared" si="195"/>
        <v>44.060234244283329</v>
      </c>
      <c r="O77" s="627">
        <f t="shared" si="195"/>
        <v>45.081307357913381</v>
      </c>
      <c r="P77" s="628">
        <f t="shared" si="195"/>
        <v>47.216461955654808</v>
      </c>
      <c r="Q77" s="628">
        <f t="shared" si="195"/>
        <v>46.870874042777928</v>
      </c>
      <c r="R77" s="629">
        <f t="shared" si="195"/>
        <v>48.891129032258064</v>
      </c>
      <c r="S77" s="630">
        <f t="shared" si="195"/>
        <v>46.989156348534955</v>
      </c>
      <c r="T77" s="627">
        <f t="shared" si="195"/>
        <v>44.846577498033042</v>
      </c>
      <c r="U77" s="628">
        <f t="shared" si="195"/>
        <v>50.682261208576996</v>
      </c>
      <c r="V77" s="628">
        <f t="shared" si="195"/>
        <v>51.994497936726276</v>
      </c>
      <c r="W77" s="629">
        <f t="shared" si="195"/>
        <v>50</v>
      </c>
      <c r="X77" s="630">
        <f t="shared" si="195"/>
        <v>49.45544746327662</v>
      </c>
      <c r="Y77" s="627">
        <f t="shared" si="195"/>
        <v>45.788920582495116</v>
      </c>
      <c r="Z77" s="628">
        <f t="shared" si="195"/>
        <v>53.43881175330965</v>
      </c>
      <c r="AA77" s="628">
        <f t="shared" ref="AA77:AE77" si="196">AA74/AA66*1000</f>
        <v>55.579805034191764</v>
      </c>
      <c r="AB77" s="629">
        <f t="shared" si="196"/>
        <v>51.8014278598705</v>
      </c>
      <c r="AC77" s="630">
        <f t="shared" si="196"/>
        <v>51.648479670692403</v>
      </c>
      <c r="AD77" s="627">
        <f t="shared" si="196"/>
        <v>48.933683903009054</v>
      </c>
      <c r="AE77" s="628">
        <f t="shared" si="196"/>
        <v>55.078000636739894</v>
      </c>
      <c r="AF77" s="628">
        <f t="shared" ref="AF77:AJ77" si="197">AF74/AF66*1000</f>
        <v>55.687369155617588</v>
      </c>
      <c r="AG77" s="629">
        <f t="shared" si="197"/>
        <v>60.755048287971903</v>
      </c>
      <c r="AH77" s="630">
        <f t="shared" si="197"/>
        <v>54.871479144220409</v>
      </c>
      <c r="AI77" s="627">
        <f t="shared" si="197"/>
        <v>52.576860240605967</v>
      </c>
      <c r="AJ77" s="628">
        <f t="shared" si="197"/>
        <v>60.355029585798817</v>
      </c>
      <c r="AK77" s="628">
        <f t="shared" ref="AK77:AO77" si="198">AK74/AK66*1000</f>
        <v>55.805342501983603</v>
      </c>
      <c r="AL77" s="629">
        <f t="shared" si="198"/>
        <v>58.773712737127369</v>
      </c>
      <c r="AM77" s="630">
        <f t="shared" si="198"/>
        <v>56.674580684690206</v>
      </c>
      <c r="AN77" s="627">
        <f t="shared" si="198"/>
        <v>60.656557240459925</v>
      </c>
      <c r="AO77" s="628">
        <f t="shared" si="198"/>
        <v>62.563237774030348</v>
      </c>
      <c r="AP77" s="628">
        <f t="shared" ref="AP77:AR77" si="199">AP74/AP66*1000</f>
        <v>62.697727926373304</v>
      </c>
      <c r="AQ77" s="629">
        <f t="shared" si="199"/>
        <v>62.468598224752974</v>
      </c>
      <c r="AR77" s="630">
        <f t="shared" si="199"/>
        <v>62.11779851947216</v>
      </c>
      <c r="AS77" s="627">
        <f t="shared" ref="AS77:AW77" si="200">AN77+(AS79/AS66*1000)</f>
        <v>59.180793556709808</v>
      </c>
      <c r="AT77" s="628">
        <f t="shared" si="200"/>
        <v>61.069804744319647</v>
      </c>
      <c r="AU77" s="628">
        <f t="shared" si="200"/>
        <v>61.542844712944422</v>
      </c>
      <c r="AV77" s="629">
        <f t="shared" si="200"/>
        <v>61.123587696167405</v>
      </c>
      <c r="AW77" s="630">
        <f t="shared" si="200"/>
        <v>60.825384958773022</v>
      </c>
      <c r="AX77" s="627">
        <f t="shared" ref="AX77" si="201">AS77+(AX79/AX66*1000)</f>
        <v>60.043361421225775</v>
      </c>
      <c r="AY77" s="628">
        <f t="shared" ref="AY77" si="202">AT77+(AY79/AY66*1000)</f>
        <v>61.942700149877879</v>
      </c>
      <c r="AZ77" s="628">
        <f t="shared" ref="AZ77" si="203">AU77+(AZ79/AZ66*1000)</f>
        <v>63.971305994934688</v>
      </c>
      <c r="BA77" s="629">
        <f t="shared" ref="BA77" si="204">AV77+(BA79/BA66*1000)</f>
        <v>63.951844228567388</v>
      </c>
      <c r="BB77" s="630">
        <f t="shared" ref="BB77" si="205">AW77+(BB79/BB66*1000)</f>
        <v>63.54304182310522</v>
      </c>
      <c r="BC77" s="627">
        <f t="shared" ref="BC77" si="206">AX77+(BC79/BC66*1000)</f>
        <v>61.243176271098271</v>
      </c>
      <c r="BD77" s="628">
        <f t="shared" ref="BD77" si="207">AY77+(BD79/BD66*1000)</f>
        <v>63.156880405204156</v>
      </c>
      <c r="BE77" s="628">
        <f t="shared" ref="BE77" si="208">AZ77+(BE79/BE66*1000)</f>
        <v>65.186446764863476</v>
      </c>
      <c r="BF77" s="629">
        <f t="shared" ref="BF77" si="209">BA77+(BF79/BF66*1000)</f>
        <v>65.367032457354</v>
      </c>
      <c r="BG77" s="630">
        <f t="shared" ref="BG77" si="210">BB77+(BG79/BG66*1000)</f>
        <v>64.902888767760004</v>
      </c>
      <c r="BH77" s="627">
        <f t="shared" ref="BH77" si="211">BC77+(BH79/BH66*1000)</f>
        <v>63.503476667151105</v>
      </c>
      <c r="BI77" s="628">
        <f t="shared" ref="BI77" si="212">BD77+(BI79/BI66*1000)</f>
        <v>65.444243419826932</v>
      </c>
      <c r="BJ77" s="628">
        <f t="shared" ref="BJ77" si="213">BE77+(BJ79/BJ66*1000)</f>
        <v>66.957235185443437</v>
      </c>
      <c r="BK77" s="629">
        <f t="shared" ref="BK77" si="214">BF77+(BK79/BK66*1000)</f>
        <v>67.429344076297738</v>
      </c>
      <c r="BL77" s="630">
        <f t="shared" ref="BL77" si="215">BG77+(BL79/BL66*1000)</f>
        <v>66.884553183066259</v>
      </c>
      <c r="BM77" s="890"/>
      <c r="BN77" s="890"/>
      <c r="BO77" s="890"/>
      <c r="BP77" s="890"/>
      <c r="BQ77" s="890"/>
      <c r="BR77" s="890"/>
      <c r="BS77" s="890"/>
      <c r="BT77" s="890"/>
      <c r="BU77" s="890"/>
      <c r="BV77" s="890"/>
      <c r="BW77" s="890"/>
      <c r="BX77" s="890"/>
      <c r="BY77" s="890"/>
      <c r="BZ77" s="890"/>
      <c r="CA77" s="890"/>
      <c r="CB77" s="890"/>
      <c r="CC77" s="890"/>
      <c r="CD77" s="890"/>
      <c r="CE77" s="890"/>
      <c r="CF77" s="890"/>
      <c r="CG77" s="890"/>
      <c r="CH77" s="890"/>
      <c r="CI77" s="890"/>
      <c r="CJ77" s="890"/>
      <c r="CK77" s="890"/>
      <c r="CL77" s="890"/>
      <c r="CM77" s="890"/>
      <c r="CN77" s="890"/>
      <c r="CO77" s="890"/>
      <c r="CP77" s="890"/>
    </row>
    <row r="78" spans="1:94">
      <c r="A78" s="890"/>
      <c r="B78" s="890"/>
      <c r="C78" s="1736"/>
      <c r="D78" s="890"/>
      <c r="E78" s="891"/>
      <c r="F78" s="892"/>
      <c r="G78" s="892"/>
      <c r="H78" s="893"/>
      <c r="I78" s="630"/>
      <c r="J78" s="627"/>
      <c r="K78" s="628"/>
      <c r="L78" s="628"/>
      <c r="M78" s="629"/>
      <c r="N78" s="630"/>
      <c r="O78" s="627"/>
      <c r="P78" s="628"/>
      <c r="Q78" s="628"/>
      <c r="R78" s="629"/>
      <c r="S78" s="630"/>
      <c r="T78" s="627"/>
      <c r="U78" s="628"/>
      <c r="V78" s="628"/>
      <c r="W78" s="629"/>
      <c r="X78" s="630"/>
      <c r="Y78" s="627"/>
      <c r="Z78" s="628"/>
      <c r="AA78" s="628"/>
      <c r="AB78" s="629"/>
      <c r="AC78" s="630"/>
      <c r="AD78" s="627"/>
      <c r="AE78" s="628"/>
      <c r="AF78" s="628"/>
      <c r="AG78" s="629"/>
      <c r="AH78" s="630"/>
      <c r="AI78" s="627"/>
      <c r="AJ78" s="628"/>
      <c r="AK78" s="628"/>
      <c r="AL78" s="629"/>
      <c r="AM78" s="630"/>
      <c r="AN78" s="627"/>
      <c r="AO78" s="628"/>
      <c r="AP78" s="628"/>
      <c r="AQ78" s="629"/>
      <c r="AR78" s="630"/>
      <c r="AS78" s="627"/>
      <c r="AT78" s="628"/>
      <c r="AU78" s="628"/>
      <c r="AV78" s="629"/>
      <c r="AW78" s="630"/>
      <c r="AX78" s="627"/>
      <c r="AY78" s="628"/>
      <c r="AZ78" s="628"/>
      <c r="BA78" s="629"/>
      <c r="BB78" s="630"/>
      <c r="BC78" s="627"/>
      <c r="BD78" s="628"/>
      <c r="BE78" s="628"/>
      <c r="BF78" s="629"/>
      <c r="BG78" s="630"/>
      <c r="BH78" s="627"/>
      <c r="BI78" s="628"/>
      <c r="BJ78" s="628"/>
      <c r="BK78" s="629"/>
      <c r="BL78" s="630"/>
      <c r="BM78" s="890"/>
      <c r="BN78" s="890"/>
      <c r="BO78" s="890"/>
      <c r="BP78" s="890"/>
      <c r="BQ78" s="890"/>
      <c r="BR78" s="890"/>
      <c r="BS78" s="890"/>
      <c r="BT78" s="890"/>
      <c r="BU78" s="890"/>
      <c r="BV78" s="890"/>
      <c r="BW78" s="890"/>
      <c r="BX78" s="890"/>
      <c r="BY78" s="890"/>
      <c r="BZ78" s="890"/>
      <c r="CA78" s="890"/>
      <c r="CB78" s="890"/>
      <c r="CC78" s="890"/>
      <c r="CD78" s="890"/>
      <c r="CE78" s="890"/>
      <c r="CF78" s="890"/>
      <c r="CG78" s="890"/>
      <c r="CH78" s="890"/>
      <c r="CI78" s="890"/>
      <c r="CJ78" s="890"/>
      <c r="CK78" s="890"/>
      <c r="CL78" s="890"/>
      <c r="CM78" s="890"/>
      <c r="CN78" s="890"/>
      <c r="CO78" s="890"/>
      <c r="CP78" s="890"/>
    </row>
    <row r="79" spans="1:94">
      <c r="A79" s="890"/>
      <c r="B79" s="890"/>
      <c r="C79" s="895" t="s">
        <v>134</v>
      </c>
      <c r="D79" s="890"/>
      <c r="E79" s="891"/>
      <c r="F79" s="892"/>
      <c r="G79" s="892"/>
      <c r="H79" s="893"/>
      <c r="I79" s="894"/>
      <c r="J79" s="290"/>
      <c r="K79" s="260"/>
      <c r="L79" s="260"/>
      <c r="M79" s="291"/>
      <c r="N79" s="45"/>
      <c r="O79" s="290"/>
      <c r="P79" s="260"/>
      <c r="Q79" s="260"/>
      <c r="R79" s="291"/>
      <c r="S79" s="45"/>
      <c r="T79" s="290"/>
      <c r="U79" s="260"/>
      <c r="V79" s="260"/>
      <c r="W79" s="291"/>
      <c r="X79" s="45"/>
      <c r="Y79" s="290"/>
      <c r="Z79" s="260"/>
      <c r="AA79" s="260"/>
      <c r="AB79" s="291"/>
      <c r="AC79" s="45"/>
      <c r="AD79" s="290"/>
      <c r="AE79" s="260"/>
      <c r="AF79" s="260"/>
      <c r="AG79" s="291"/>
      <c r="AH79" s="45"/>
      <c r="AI79" s="290"/>
      <c r="AJ79" s="260"/>
      <c r="AK79" s="260"/>
      <c r="AL79" s="291"/>
      <c r="AM79" s="45"/>
      <c r="AN79" s="290"/>
      <c r="AO79" s="260"/>
      <c r="AP79" s="260"/>
      <c r="AQ79" s="291"/>
      <c r="AR79" s="45"/>
      <c r="AS79" s="290">
        <f t="shared" ref="AS79:AW79" si="216">SUM(AS46:AS49)</f>
        <v>-8.8560578661844467</v>
      </c>
      <c r="AT79" s="260">
        <f t="shared" si="216"/>
        <v>-8.8560578661844467</v>
      </c>
      <c r="AU79" s="260">
        <f t="shared" si="216"/>
        <v>-8.0310578661844474</v>
      </c>
      <c r="AV79" s="291">
        <f t="shared" si="216"/>
        <v>-8.0310578661844474</v>
      </c>
      <c r="AW79" s="45">
        <f t="shared" si="216"/>
        <v>-32.12423146473779</v>
      </c>
      <c r="AX79" s="290">
        <f t="shared" ref="AX79:BG79" si="217">SUM(AX46:AX49)</f>
        <v>5.1762697549602965</v>
      </c>
      <c r="AY79" s="260">
        <f t="shared" si="217"/>
        <v>5.1762697549602965</v>
      </c>
      <c r="AZ79" s="260">
        <f t="shared" si="217"/>
        <v>16.887519754960294</v>
      </c>
      <c r="BA79" s="291">
        <f t="shared" si="217"/>
        <v>16.887519754960294</v>
      </c>
      <c r="BB79" s="45">
        <f t="shared" si="217"/>
        <v>67.550079019841178</v>
      </c>
      <c r="BC79" s="290">
        <f t="shared" si="217"/>
        <v>7.2000889140848345</v>
      </c>
      <c r="BD79" s="260">
        <f t="shared" si="217"/>
        <v>7.2000889140848345</v>
      </c>
      <c r="BE79" s="260">
        <f t="shared" si="217"/>
        <v>8.4500889140848336</v>
      </c>
      <c r="BF79" s="291">
        <f t="shared" si="217"/>
        <v>8.4500889140848336</v>
      </c>
      <c r="BG79" s="45">
        <f t="shared" si="217"/>
        <v>33.800355656339335</v>
      </c>
      <c r="BH79" s="290">
        <f t="shared" ref="BH79:BL79" si="218">SUM(BH46:BH49)</f>
        <v>13.56406267671305</v>
      </c>
      <c r="BI79" s="260">
        <f t="shared" si="218"/>
        <v>13.56406267671305</v>
      </c>
      <c r="BJ79" s="260">
        <f t="shared" si="218"/>
        <v>12.31406267671305</v>
      </c>
      <c r="BK79" s="291">
        <f t="shared" si="218"/>
        <v>12.31406267671305</v>
      </c>
      <c r="BL79" s="45">
        <f t="shared" si="218"/>
        <v>49.2562507068522</v>
      </c>
      <c r="BM79" s="890"/>
      <c r="BN79" s="890"/>
      <c r="BO79" s="890"/>
      <c r="BP79" s="890"/>
      <c r="BQ79" s="890"/>
      <c r="BR79" s="890"/>
      <c r="BS79" s="890"/>
      <c r="BT79" s="890"/>
      <c r="BU79" s="890"/>
      <c r="BV79" s="890"/>
      <c r="BW79" s="890"/>
      <c r="BX79" s="890"/>
      <c r="BY79" s="890"/>
      <c r="BZ79" s="890"/>
      <c r="CA79" s="890"/>
      <c r="CB79" s="890"/>
      <c r="CC79" s="890"/>
      <c r="CD79" s="890"/>
      <c r="CE79" s="890"/>
      <c r="CF79" s="890"/>
      <c r="CG79" s="890"/>
      <c r="CH79" s="890"/>
      <c r="CI79" s="890"/>
      <c r="CJ79" s="890"/>
      <c r="CK79" s="890"/>
      <c r="CL79" s="890"/>
      <c r="CM79" s="890"/>
      <c r="CN79" s="890"/>
      <c r="CO79" s="890"/>
      <c r="CP79" s="890"/>
    </row>
    <row r="80" spans="1:94">
      <c r="A80" s="890"/>
      <c r="B80" s="890"/>
      <c r="C80" s="895"/>
      <c r="D80" s="890"/>
      <c r="E80" s="891"/>
      <c r="F80" s="892"/>
      <c r="G80" s="892"/>
      <c r="H80" s="893"/>
      <c r="I80" s="894"/>
      <c r="J80" s="290"/>
      <c r="K80" s="260"/>
      <c r="L80" s="260"/>
      <c r="M80" s="291"/>
      <c r="N80" s="45"/>
      <c r="O80" s="290"/>
      <c r="P80" s="260"/>
      <c r="Q80" s="260"/>
      <c r="R80" s="291"/>
      <c r="S80" s="45"/>
      <c r="T80" s="290"/>
      <c r="U80" s="260"/>
      <c r="V80" s="260"/>
      <c r="W80" s="291"/>
      <c r="X80" s="45"/>
      <c r="Y80" s="290"/>
      <c r="Z80" s="260"/>
      <c r="AA80" s="260"/>
      <c r="AB80" s="291"/>
      <c r="AC80" s="45"/>
      <c r="AD80" s="290"/>
      <c r="AE80" s="260"/>
      <c r="AF80" s="260"/>
      <c r="AG80" s="291"/>
      <c r="AH80" s="45"/>
      <c r="AI80" s="290"/>
      <c r="AJ80" s="260"/>
      <c r="AK80" s="260"/>
      <c r="AL80" s="291"/>
      <c r="AM80" s="45"/>
      <c r="AN80" s="290"/>
      <c r="AO80" s="260"/>
      <c r="AP80" s="260"/>
      <c r="AQ80" s="291"/>
      <c r="AR80" s="45"/>
      <c r="AS80" s="290"/>
      <c r="AT80" s="260"/>
      <c r="AU80" s="260"/>
      <c r="AV80" s="291"/>
      <c r="AW80" s="45"/>
      <c r="AX80" s="290"/>
      <c r="AY80" s="260"/>
      <c r="AZ80" s="260"/>
      <c r="BA80" s="291"/>
      <c r="BB80" s="45"/>
      <c r="BC80" s="290"/>
      <c r="BD80" s="260"/>
      <c r="BE80" s="260"/>
      <c r="BF80" s="291"/>
      <c r="BG80" s="45"/>
      <c r="BH80" s="290"/>
      <c r="BI80" s="260"/>
      <c r="BJ80" s="260"/>
      <c r="BK80" s="291"/>
      <c r="BL80" s="45"/>
      <c r="BM80" s="890"/>
      <c r="BN80" s="890"/>
      <c r="BO80" s="890"/>
      <c r="BP80" s="890"/>
      <c r="BQ80" s="890"/>
      <c r="BR80" s="890"/>
      <c r="BS80" s="890"/>
      <c r="BT80" s="890"/>
      <c r="BU80" s="890"/>
      <c r="BV80" s="890"/>
      <c r="BW80" s="890"/>
      <c r="BX80" s="890"/>
      <c r="BY80" s="890"/>
      <c r="BZ80" s="890"/>
      <c r="CA80" s="890"/>
      <c r="CB80" s="890"/>
      <c r="CC80" s="890"/>
      <c r="CD80" s="890"/>
      <c r="CE80" s="890"/>
      <c r="CF80" s="890"/>
      <c r="CG80" s="890"/>
      <c r="CH80" s="890"/>
      <c r="CI80" s="890"/>
      <c r="CJ80" s="890"/>
      <c r="CK80" s="890"/>
      <c r="CL80" s="890"/>
      <c r="CM80" s="890"/>
      <c r="CN80" s="890"/>
      <c r="CO80" s="890"/>
      <c r="CP80" s="890"/>
    </row>
    <row r="81" spans="1:94" s="1704" customFormat="1">
      <c r="A81" s="895"/>
      <c r="B81" s="895"/>
      <c r="C81" s="895" t="s">
        <v>133</v>
      </c>
      <c r="D81" s="895"/>
      <c r="E81" s="1752"/>
      <c r="F81" s="1753"/>
      <c r="G81" s="1753"/>
      <c r="H81" s="1754"/>
      <c r="I81" s="1755">
        <f t="shared" ref="I81:AW81" si="219">I77+I72</f>
        <v>82.703777335984086</v>
      </c>
      <c r="J81" s="1752">
        <f t="shared" si="219"/>
        <v>80.847842543527634</v>
      </c>
      <c r="K81" s="1753">
        <f t="shared" si="219"/>
        <v>77.299113962725329</v>
      </c>
      <c r="L81" s="1753">
        <f t="shared" si="219"/>
        <v>78.14930015552099</v>
      </c>
      <c r="M81" s="1754">
        <f t="shared" si="219"/>
        <v>72.163238221632383</v>
      </c>
      <c r="N81" s="1755">
        <f t="shared" si="219"/>
        <v>77.263431864658855</v>
      </c>
      <c r="O81" s="1752">
        <f t="shared" si="219"/>
        <v>74.86717114796329</v>
      </c>
      <c r="P81" s="1753">
        <f t="shared" si="219"/>
        <v>72.738873823576327</v>
      </c>
      <c r="Q81" s="1753">
        <f t="shared" si="219"/>
        <v>76.841827303934508</v>
      </c>
      <c r="R81" s="1754">
        <f t="shared" si="219"/>
        <v>74.76478494623656</v>
      </c>
      <c r="S81" s="1755">
        <f t="shared" si="219"/>
        <v>74.905790971314318</v>
      </c>
      <c r="T81" s="1752">
        <f t="shared" si="219"/>
        <v>75.059008654602678</v>
      </c>
      <c r="U81" s="1753">
        <f t="shared" si="219"/>
        <v>76.185834957764783</v>
      </c>
      <c r="V81" s="1753">
        <f t="shared" si="219"/>
        <v>83.218707015130676</v>
      </c>
      <c r="W81" s="1754">
        <f t="shared" si="219"/>
        <v>78.903654485049827</v>
      </c>
      <c r="X81" s="1755">
        <f t="shared" si="219"/>
        <v>78.524088213635139</v>
      </c>
      <c r="Y81" s="1752">
        <f t="shared" si="219"/>
        <v>80.318270529950453</v>
      </c>
      <c r="Z81" s="1753">
        <f t="shared" si="219"/>
        <v>82.014853083629319</v>
      </c>
      <c r="AA81" s="1753">
        <f t="shared" ref="AA81:AE81" si="220">AA77+AA72</f>
        <v>85.40666375672923</v>
      </c>
      <c r="AB81" s="1754">
        <f t="shared" si="220"/>
        <v>78.200232442304497</v>
      </c>
      <c r="AC81" s="1755">
        <f t="shared" si="220"/>
        <v>81.58906450234943</v>
      </c>
      <c r="AD81" s="1752">
        <f t="shared" si="220"/>
        <v>81.21530820917323</v>
      </c>
      <c r="AE81" s="1753">
        <f t="shared" si="220"/>
        <v>82.457815982171283</v>
      </c>
      <c r="AF81" s="1753">
        <f t="shared" ref="AF81:AJ81" si="221">AF77+AF72</f>
        <v>85.415212840195395</v>
      </c>
      <c r="AG81" s="1754">
        <f t="shared" si="221"/>
        <v>88.32309043020193</v>
      </c>
      <c r="AH81" s="1755">
        <f t="shared" si="221"/>
        <v>84.231183623210711</v>
      </c>
      <c r="AI81" s="1752">
        <f t="shared" si="221"/>
        <v>81.835734442299128</v>
      </c>
      <c r="AJ81" s="1753">
        <f t="shared" si="221"/>
        <v>86.052409129332204</v>
      </c>
      <c r="AK81" s="1753">
        <f t="shared" ref="AK81:AO81" si="222">AK77+AK72</f>
        <v>83.97249404919333</v>
      </c>
      <c r="AL81" s="1754">
        <f t="shared" si="222"/>
        <v>83.163956639566393</v>
      </c>
      <c r="AM81" s="1755">
        <f t="shared" si="222"/>
        <v>83.709887416711339</v>
      </c>
      <c r="AN81" s="1752">
        <f t="shared" si="222"/>
        <v>88.318613564405936</v>
      </c>
      <c r="AO81" s="1753">
        <f t="shared" si="222"/>
        <v>86.677908937605395</v>
      </c>
      <c r="AP81" s="1753">
        <f t="shared" ref="AP81:AR81" si="223">AP77+AP72</f>
        <v>86.856485475985039</v>
      </c>
      <c r="AQ81" s="1754">
        <f t="shared" si="223"/>
        <v>85.412828671914255</v>
      </c>
      <c r="AR81" s="1755">
        <f t="shared" si="223"/>
        <v>86.820083682008374</v>
      </c>
      <c r="AS81" s="1752">
        <f t="shared" si="219"/>
        <v>86.84284988065582</v>
      </c>
      <c r="AT81" s="1753">
        <f t="shared" si="219"/>
        <v>85.184475907894694</v>
      </c>
      <c r="AU81" s="1753">
        <f t="shared" si="219"/>
        <v>85.70160226255615</v>
      </c>
      <c r="AV81" s="1754">
        <f t="shared" si="219"/>
        <v>84.06781814332868</v>
      </c>
      <c r="AW81" s="1755">
        <f t="shared" si="219"/>
        <v>85.527670121309228</v>
      </c>
      <c r="AX81" s="1752">
        <f t="shared" ref="AX81:BG81" si="224">AX77+AX72</f>
        <v>87.705417745171786</v>
      </c>
      <c r="AY81" s="1753">
        <f t="shared" si="224"/>
        <v>86.057371313452919</v>
      </c>
      <c r="AZ81" s="1753">
        <f t="shared" si="224"/>
        <v>88.130063544546431</v>
      </c>
      <c r="BA81" s="1754">
        <f t="shared" si="224"/>
        <v>86.89607467572867</v>
      </c>
      <c r="BB81" s="1755">
        <f t="shared" si="224"/>
        <v>88.245326985641427</v>
      </c>
      <c r="BC81" s="1752">
        <f t="shared" si="224"/>
        <v>88.905232595044282</v>
      </c>
      <c r="BD81" s="1753">
        <f t="shared" si="224"/>
        <v>87.271551568779202</v>
      </c>
      <c r="BE81" s="1753">
        <f t="shared" si="224"/>
        <v>89.345204314475211</v>
      </c>
      <c r="BF81" s="1754">
        <f t="shared" si="224"/>
        <v>88.311262904515274</v>
      </c>
      <c r="BG81" s="1755">
        <f t="shared" si="224"/>
        <v>89.605173930296218</v>
      </c>
      <c r="BH81" s="1752">
        <f t="shared" ref="BH81:BL81" si="225">BH77+BH72</f>
        <v>91.165532991097109</v>
      </c>
      <c r="BI81" s="1753">
        <f t="shared" si="225"/>
        <v>89.558914583401972</v>
      </c>
      <c r="BJ81" s="1753">
        <f t="shared" si="225"/>
        <v>91.115992735055173</v>
      </c>
      <c r="BK81" s="1754">
        <f t="shared" si="225"/>
        <v>90.373574523459013</v>
      </c>
      <c r="BL81" s="1755">
        <f t="shared" si="225"/>
        <v>91.586838345602473</v>
      </c>
      <c r="BM81" s="895"/>
      <c r="BN81" s="895"/>
      <c r="BO81" s="895"/>
      <c r="BP81" s="895"/>
      <c r="BQ81" s="895"/>
      <c r="BR81" s="895"/>
      <c r="BS81" s="895"/>
      <c r="BT81" s="895"/>
      <c r="BU81" s="895"/>
      <c r="BV81" s="895"/>
      <c r="BW81" s="895"/>
      <c r="BX81" s="895"/>
      <c r="BY81" s="895"/>
      <c r="BZ81" s="895"/>
      <c r="CA81" s="895"/>
      <c r="CB81" s="895"/>
      <c r="CC81" s="895"/>
      <c r="CD81" s="895"/>
      <c r="CE81" s="895"/>
      <c r="CF81" s="895"/>
      <c r="CG81" s="895"/>
      <c r="CH81" s="895"/>
      <c r="CI81" s="895"/>
      <c r="CJ81" s="895"/>
      <c r="CK81" s="895"/>
      <c r="CL81" s="895"/>
      <c r="CM81" s="895"/>
      <c r="CN81" s="895"/>
      <c r="CO81" s="895"/>
      <c r="CP81" s="895"/>
    </row>
    <row r="82" spans="1:94">
      <c r="A82" s="1699"/>
      <c r="B82" s="1699"/>
      <c r="C82" s="1699"/>
      <c r="D82" s="1699"/>
      <c r="E82" s="1748"/>
      <c r="F82" s="1749"/>
      <c r="G82" s="1749"/>
      <c r="H82" s="1750"/>
      <c r="I82" s="1751"/>
      <c r="J82" s="1748"/>
      <c r="K82" s="1749"/>
      <c r="L82" s="1749"/>
      <c r="M82" s="1750"/>
      <c r="N82" s="1751"/>
      <c r="O82" s="1748"/>
      <c r="P82" s="1749"/>
      <c r="Q82" s="1749"/>
      <c r="R82" s="1750"/>
      <c r="S82" s="1751"/>
      <c r="T82" s="1748"/>
      <c r="U82" s="1749"/>
      <c r="V82" s="1749"/>
      <c r="W82" s="1750"/>
      <c r="X82" s="1751"/>
      <c r="Y82" s="1748"/>
      <c r="Z82" s="1749"/>
      <c r="AA82" s="1749"/>
      <c r="AB82" s="1750"/>
      <c r="AC82" s="1751"/>
      <c r="AD82" s="1748"/>
      <c r="AE82" s="1749"/>
      <c r="AF82" s="1749"/>
      <c r="AG82" s="1750"/>
      <c r="AH82" s="1751"/>
      <c r="AI82" s="1748"/>
      <c r="AJ82" s="1749"/>
      <c r="AK82" s="1749"/>
      <c r="AL82" s="1750"/>
      <c r="AM82" s="1751"/>
      <c r="AN82" s="1748"/>
      <c r="AO82" s="1749"/>
      <c r="AP82" s="1749"/>
      <c r="AQ82" s="1750"/>
      <c r="AR82" s="1751"/>
      <c r="AS82" s="1748"/>
      <c r="AT82" s="1749"/>
      <c r="AU82" s="1749"/>
      <c r="AV82" s="1750"/>
      <c r="AW82" s="1751"/>
      <c r="AX82" s="1748"/>
      <c r="AY82" s="1749"/>
      <c r="AZ82" s="1749"/>
      <c r="BA82" s="1750"/>
      <c r="BB82" s="1751"/>
      <c r="BC82" s="1748"/>
      <c r="BD82" s="1749"/>
      <c r="BE82" s="1749"/>
      <c r="BF82" s="1750"/>
      <c r="BG82" s="1751"/>
      <c r="BH82" s="1748"/>
      <c r="BI82" s="1749"/>
      <c r="BJ82" s="1749"/>
      <c r="BK82" s="1750"/>
      <c r="BL82" s="1751"/>
      <c r="BM82" s="1699"/>
      <c r="BN82" s="1699"/>
      <c r="BO82" s="1699"/>
      <c r="BP82" s="1699"/>
      <c r="BQ82" s="1699"/>
      <c r="BR82" s="1699"/>
      <c r="BS82" s="1699"/>
      <c r="BT82" s="1699"/>
      <c r="BU82" s="1699"/>
      <c r="BV82" s="1699"/>
      <c r="BW82" s="1699"/>
      <c r="BX82" s="1699"/>
      <c r="BY82" s="1699"/>
      <c r="BZ82" s="1699"/>
      <c r="CA82" s="1699"/>
      <c r="CB82" s="1699"/>
      <c r="CC82" s="1699"/>
      <c r="CD82" s="1699"/>
      <c r="CE82" s="1699"/>
      <c r="CF82" s="1699"/>
      <c r="CG82" s="1699"/>
      <c r="CH82" s="1699"/>
      <c r="CI82" s="1699"/>
      <c r="CJ82" s="1699"/>
      <c r="CK82" s="1699"/>
      <c r="CL82" s="1699"/>
      <c r="CM82" s="1699"/>
      <c r="CN82" s="1699"/>
      <c r="CO82" s="1699"/>
      <c r="CP82" s="1699"/>
    </row>
    <row r="83" spans="1:94">
      <c r="A83" s="895"/>
      <c r="B83" s="895"/>
      <c r="C83" s="895"/>
      <c r="D83" s="895"/>
      <c r="E83" s="896"/>
      <c r="F83" s="897"/>
      <c r="G83" s="897"/>
      <c r="H83" s="898"/>
      <c r="I83" s="899"/>
      <c r="J83" s="896"/>
      <c r="K83" s="897"/>
      <c r="L83" s="897"/>
      <c r="M83" s="898"/>
      <c r="N83" s="899"/>
      <c r="O83" s="896"/>
      <c r="P83" s="897"/>
      <c r="Q83" s="897"/>
      <c r="R83" s="898"/>
      <c r="S83" s="899"/>
      <c r="T83" s="896"/>
      <c r="U83" s="897"/>
      <c r="V83" s="897"/>
      <c r="W83" s="898"/>
      <c r="X83" s="899"/>
      <c r="Y83" s="896"/>
      <c r="Z83" s="897"/>
      <c r="AA83" s="897"/>
      <c r="AB83" s="898"/>
      <c r="AC83" s="899"/>
      <c r="AD83" s="896"/>
      <c r="AE83" s="897"/>
      <c r="AF83" s="897"/>
      <c r="AG83" s="898"/>
      <c r="AH83" s="899"/>
      <c r="AI83" s="896"/>
      <c r="AJ83" s="897"/>
      <c r="AK83" s="897"/>
      <c r="AL83" s="898"/>
      <c r="AM83" s="899"/>
      <c r="AN83" s="896"/>
      <c r="AO83" s="897"/>
      <c r="AP83" s="897"/>
      <c r="AQ83" s="898"/>
      <c r="AR83" s="899"/>
      <c r="AS83" s="896"/>
      <c r="AT83" s="897"/>
      <c r="AU83" s="897"/>
      <c r="AV83" s="898"/>
      <c r="AW83" s="899"/>
      <c r="AX83" s="896"/>
      <c r="AY83" s="897"/>
      <c r="AZ83" s="897"/>
      <c r="BA83" s="898"/>
      <c r="BB83" s="899"/>
      <c r="BC83" s="896"/>
      <c r="BD83" s="897"/>
      <c r="BE83" s="897"/>
      <c r="BF83" s="898"/>
      <c r="BG83" s="899"/>
      <c r="BH83" s="896"/>
      <c r="BI83" s="897"/>
      <c r="BJ83" s="897"/>
      <c r="BK83" s="898"/>
      <c r="BL83" s="899"/>
      <c r="BM83" s="895"/>
      <c r="BN83" s="895"/>
      <c r="BO83" s="895"/>
      <c r="BP83" s="895"/>
      <c r="BQ83" s="895"/>
      <c r="BR83" s="895"/>
      <c r="BS83" s="895"/>
      <c r="BT83" s="895"/>
      <c r="BU83" s="895"/>
      <c r="BV83" s="895"/>
      <c r="BW83" s="895"/>
      <c r="BX83" s="895"/>
      <c r="BY83" s="895"/>
      <c r="BZ83" s="895"/>
      <c r="CA83" s="895"/>
      <c r="CB83" s="895"/>
      <c r="CC83" s="895"/>
      <c r="CD83" s="895"/>
      <c r="CE83" s="895"/>
      <c r="CF83" s="895"/>
      <c r="CG83" s="895"/>
      <c r="CH83" s="895"/>
      <c r="CI83" s="895"/>
      <c r="CJ83" s="895"/>
      <c r="CK83" s="895"/>
      <c r="CL83" s="895"/>
      <c r="CM83" s="895"/>
      <c r="CN83" s="895"/>
      <c r="CO83" s="895"/>
      <c r="CP83" s="895"/>
    </row>
    <row r="84" spans="1:94">
      <c r="A84" s="890"/>
      <c r="B84" s="1681" t="s">
        <v>735</v>
      </c>
      <c r="C84" s="1682"/>
      <c r="D84" s="1683"/>
      <c r="E84" s="891"/>
      <c r="F84" s="892"/>
      <c r="G84" s="892"/>
      <c r="H84" s="893"/>
      <c r="I84" s="894"/>
      <c r="J84" s="891"/>
      <c r="K84" s="892"/>
      <c r="L84" s="892"/>
      <c r="M84" s="893"/>
      <c r="N84" s="894"/>
      <c r="O84" s="891"/>
      <c r="P84" s="892"/>
      <c r="Q84" s="892"/>
      <c r="R84" s="893"/>
      <c r="S84" s="894"/>
      <c r="T84" s="891"/>
      <c r="U84" s="892"/>
      <c r="V84" s="892"/>
      <c r="W84" s="893"/>
      <c r="X84" s="894"/>
      <c r="Y84" s="891"/>
      <c r="Z84" s="892"/>
      <c r="AA84" s="892"/>
      <c r="AB84" s="893"/>
      <c r="AC84" s="894"/>
      <c r="AD84" s="891"/>
      <c r="AE84" s="892"/>
      <c r="AF84" s="892"/>
      <c r="AG84" s="893"/>
      <c r="AH84" s="894"/>
      <c r="AI84" s="891"/>
      <c r="AJ84" s="892"/>
      <c r="AK84" s="892"/>
      <c r="AL84" s="893"/>
      <c r="AM84" s="894"/>
      <c r="AN84" s="891"/>
      <c r="AO84" s="892"/>
      <c r="AP84" s="892"/>
      <c r="AQ84" s="893"/>
      <c r="AR84" s="894"/>
      <c r="AS84" s="891"/>
      <c r="AT84" s="892"/>
      <c r="AU84" s="892"/>
      <c r="AV84" s="893"/>
      <c r="AW84" s="894"/>
      <c r="AX84" s="891"/>
      <c r="AY84" s="892"/>
      <c r="AZ84" s="892"/>
      <c r="BA84" s="893"/>
      <c r="BB84" s="894"/>
      <c r="BC84" s="891"/>
      <c r="BD84" s="892"/>
      <c r="BE84" s="892"/>
      <c r="BF84" s="893"/>
      <c r="BG84" s="894"/>
      <c r="BH84" s="891"/>
      <c r="BI84" s="892"/>
      <c r="BJ84" s="892"/>
      <c r="BK84" s="893"/>
      <c r="BL84" s="894"/>
      <c r="BM84" s="890"/>
      <c r="BN84" s="890"/>
      <c r="BO84" s="890"/>
      <c r="BP84" s="890"/>
      <c r="BQ84" s="890"/>
      <c r="BR84" s="890"/>
      <c r="BS84" s="890"/>
      <c r="BT84" s="890"/>
      <c r="BU84" s="890"/>
      <c r="BV84" s="890"/>
      <c r="BW84" s="890"/>
      <c r="BX84" s="890"/>
      <c r="BY84" s="890"/>
      <c r="BZ84" s="890"/>
      <c r="CA84" s="890"/>
      <c r="CB84" s="890"/>
      <c r="CC84" s="890"/>
      <c r="CD84" s="890"/>
      <c r="CE84" s="890"/>
      <c r="CF84" s="890"/>
      <c r="CG84" s="890"/>
      <c r="CH84" s="890"/>
      <c r="CI84" s="890"/>
      <c r="CJ84" s="890"/>
      <c r="CK84" s="890"/>
      <c r="CL84" s="890"/>
      <c r="CM84" s="890"/>
      <c r="CN84" s="890"/>
      <c r="CO84" s="890"/>
      <c r="CP84" s="890"/>
    </row>
    <row r="85" spans="1:94">
      <c r="A85" s="228"/>
      <c r="B85" s="228"/>
      <c r="C85" s="1756" t="s">
        <v>272</v>
      </c>
      <c r="D85" s="228"/>
      <c r="E85" s="292"/>
      <c r="F85" s="261"/>
      <c r="G85" s="261"/>
      <c r="H85" s="293"/>
      <c r="I85" s="228">
        <f t="shared" ref="I85:Z85" si="226">+I12</f>
        <v>354</v>
      </c>
      <c r="J85" s="292">
        <f t="shared" si="226"/>
        <v>102</v>
      </c>
      <c r="K85" s="261">
        <f t="shared" si="226"/>
        <v>100</v>
      </c>
      <c r="L85" s="261">
        <f t="shared" si="226"/>
        <v>111</v>
      </c>
      <c r="M85" s="293">
        <f t="shared" si="226"/>
        <v>107</v>
      </c>
      <c r="N85" s="228">
        <f t="shared" si="226"/>
        <v>420</v>
      </c>
      <c r="O85" s="292">
        <f t="shared" si="226"/>
        <v>103</v>
      </c>
      <c r="P85" s="261">
        <f t="shared" si="226"/>
        <v>101</v>
      </c>
      <c r="Q85" s="261">
        <f t="shared" si="226"/>
        <v>97</v>
      </c>
      <c r="R85" s="293">
        <f t="shared" si="226"/>
        <v>102</v>
      </c>
      <c r="S85" s="228">
        <f t="shared" si="226"/>
        <v>403</v>
      </c>
      <c r="T85" s="292">
        <f t="shared" si="226"/>
        <v>102</v>
      </c>
      <c r="U85" s="261">
        <f t="shared" si="226"/>
        <v>95</v>
      </c>
      <c r="V85" s="261">
        <f t="shared" si="226"/>
        <v>95</v>
      </c>
      <c r="W85" s="293">
        <f t="shared" si="226"/>
        <v>99</v>
      </c>
      <c r="X85" s="228">
        <f t="shared" si="226"/>
        <v>391</v>
      </c>
      <c r="Y85" s="292">
        <f t="shared" si="226"/>
        <v>93</v>
      </c>
      <c r="Z85" s="261">
        <f t="shared" si="226"/>
        <v>91</v>
      </c>
      <c r="AA85" s="261">
        <f t="shared" ref="AA85:AE85" si="227">+AA12</f>
        <v>103</v>
      </c>
      <c r="AB85" s="293">
        <f t="shared" si="227"/>
        <v>103</v>
      </c>
      <c r="AC85" s="228">
        <f t="shared" si="227"/>
        <v>390</v>
      </c>
      <c r="AD85" s="292">
        <f t="shared" si="227"/>
        <v>113</v>
      </c>
      <c r="AE85" s="261">
        <f t="shared" si="227"/>
        <v>103</v>
      </c>
      <c r="AF85" s="261">
        <f t="shared" ref="AF85:AJ85" si="228">+AF12</f>
        <v>112</v>
      </c>
      <c r="AG85" s="293">
        <f t="shared" si="228"/>
        <v>113</v>
      </c>
      <c r="AH85" s="228">
        <f t="shared" si="228"/>
        <v>441</v>
      </c>
      <c r="AI85" s="292">
        <f t="shared" si="228"/>
        <v>290</v>
      </c>
      <c r="AJ85" s="261">
        <f t="shared" si="228"/>
        <v>109</v>
      </c>
      <c r="AK85" s="261">
        <f t="shared" ref="AK85:AO85" si="229">+AK12</f>
        <v>109</v>
      </c>
      <c r="AL85" s="293">
        <f t="shared" si="229"/>
        <v>134</v>
      </c>
      <c r="AM85" s="228">
        <f t="shared" si="229"/>
        <v>642</v>
      </c>
      <c r="AN85" s="292">
        <f t="shared" si="229"/>
        <v>113</v>
      </c>
      <c r="AO85" s="261">
        <f t="shared" si="229"/>
        <v>120</v>
      </c>
      <c r="AP85" s="261">
        <f t="shared" ref="AP85:AR85" si="230">+AP12</f>
        <v>103</v>
      </c>
      <c r="AQ85" s="293">
        <f t="shared" si="230"/>
        <v>118</v>
      </c>
      <c r="AR85" s="228">
        <f t="shared" si="230"/>
        <v>454</v>
      </c>
      <c r="AS85" s="292">
        <f>AS87+AS86</f>
        <v>113</v>
      </c>
      <c r="AT85" s="261">
        <f>AT87+AT86</f>
        <v>120</v>
      </c>
      <c r="AU85" s="261">
        <f>AU87+AU86</f>
        <v>103</v>
      </c>
      <c r="AV85" s="293">
        <f>AV87+AV86</f>
        <v>118</v>
      </c>
      <c r="AW85" s="228">
        <f>+SUM(AS85:AV85)</f>
        <v>454</v>
      </c>
      <c r="AX85" s="292">
        <f>AX87+AX86</f>
        <v>110.175</v>
      </c>
      <c r="AY85" s="261">
        <f>AY87+AY86</f>
        <v>117</v>
      </c>
      <c r="AZ85" s="261">
        <f>AZ87+AZ86</f>
        <v>100.425</v>
      </c>
      <c r="BA85" s="293">
        <f>BA87+BA86</f>
        <v>115.05</v>
      </c>
      <c r="BB85" s="228">
        <f>+SUM(AX85:BA85)</f>
        <v>442.65000000000003</v>
      </c>
      <c r="BC85" s="292">
        <f>BC87+BC86</f>
        <v>101.91187500000001</v>
      </c>
      <c r="BD85" s="261">
        <f>BD87+BD86</f>
        <v>108.22500000000001</v>
      </c>
      <c r="BE85" s="261">
        <f>BE87+BE86</f>
        <v>92.893124999999998</v>
      </c>
      <c r="BF85" s="293">
        <f>BF87+BF86</f>
        <v>106.42125</v>
      </c>
      <c r="BG85" s="228">
        <f>+SUM(BC85:BF85)</f>
        <v>409.45125000000002</v>
      </c>
      <c r="BH85" s="292">
        <f>BH87+BH86</f>
        <v>96.306721875000008</v>
      </c>
      <c r="BI85" s="261">
        <f>BI87+BI86</f>
        <v>102.27262500000001</v>
      </c>
      <c r="BJ85" s="261">
        <f>BJ87+BJ86</f>
        <v>87.784003124999998</v>
      </c>
      <c r="BK85" s="293">
        <f>BK87+BK86</f>
        <v>100.56808124999999</v>
      </c>
      <c r="BL85" s="228">
        <f>+SUM(BH85:BK85)</f>
        <v>386.93143124999995</v>
      </c>
      <c r="BM85" s="228"/>
      <c r="BN85" s="228"/>
      <c r="BO85" s="228"/>
      <c r="BP85" s="228"/>
      <c r="BQ85" s="228"/>
      <c r="BR85" s="228"/>
      <c r="BS85" s="228"/>
      <c r="BT85" s="228"/>
      <c r="BU85" s="228"/>
      <c r="BV85" s="228"/>
      <c r="BW85" s="228"/>
      <c r="BX85" s="228"/>
      <c r="BY85" s="228"/>
      <c r="BZ85" s="228"/>
      <c r="CA85" s="228"/>
      <c r="CB85" s="228"/>
      <c r="CC85" s="228"/>
      <c r="CD85" s="228"/>
      <c r="CE85" s="228"/>
      <c r="CF85" s="228"/>
      <c r="CG85" s="228"/>
      <c r="CH85" s="228"/>
      <c r="CI85" s="228"/>
      <c r="CJ85" s="228"/>
      <c r="CK85" s="228"/>
      <c r="CL85" s="228"/>
      <c r="CM85" s="228"/>
      <c r="CN85" s="228"/>
      <c r="CO85" s="228"/>
      <c r="CP85" s="228"/>
    </row>
    <row r="86" spans="1:94">
      <c r="A86" s="45"/>
      <c r="B86" s="45"/>
      <c r="C86" s="1716" t="s">
        <v>608</v>
      </c>
      <c r="D86" s="45"/>
      <c r="E86" s="814"/>
      <c r="F86" s="262"/>
      <c r="G86" s="262"/>
      <c r="H86" s="294"/>
      <c r="I86" s="45">
        <f>SUM(E86:H86)</f>
        <v>0</v>
      </c>
      <c r="J86" s="814">
        <v>0</v>
      </c>
      <c r="K86" s="262">
        <v>0</v>
      </c>
      <c r="L86" s="262">
        <v>0</v>
      </c>
      <c r="M86" s="294">
        <v>0</v>
      </c>
      <c r="N86" s="45">
        <f>SUM(J86:M86)</f>
        <v>0</v>
      </c>
      <c r="O86" s="814">
        <v>0</v>
      </c>
      <c r="P86" s="262">
        <v>0</v>
      </c>
      <c r="Q86" s="262">
        <v>0</v>
      </c>
      <c r="R86" s="294">
        <v>0</v>
      </c>
      <c r="S86" s="45">
        <f>SUM(O86:R86)</f>
        <v>0</v>
      </c>
      <c r="T86" s="814">
        <v>0</v>
      </c>
      <c r="U86" s="262">
        <v>0</v>
      </c>
      <c r="V86" s="262">
        <v>0</v>
      </c>
      <c r="W86" s="294">
        <v>0</v>
      </c>
      <c r="X86" s="45">
        <f>SUM(T86:W86)</f>
        <v>0</v>
      </c>
      <c r="Y86" s="814">
        <v>0</v>
      </c>
      <c r="Z86" s="262">
        <v>0</v>
      </c>
      <c r="AA86" s="262">
        <v>0</v>
      </c>
      <c r="AB86" s="294">
        <v>0</v>
      </c>
      <c r="AC86" s="45">
        <f>SUM(Y86:AB86)</f>
        <v>0</v>
      </c>
      <c r="AD86" s="814">
        <v>0</v>
      </c>
      <c r="AE86" s="262">
        <v>0</v>
      </c>
      <c r="AF86" s="262">
        <v>0</v>
      </c>
      <c r="AG86" s="294">
        <v>0</v>
      </c>
      <c r="AH86" s="45">
        <f>SUM(AD86:AG86)</f>
        <v>0</v>
      </c>
      <c r="AI86" s="814">
        <v>0</v>
      </c>
      <c r="AJ86" s="262">
        <v>0</v>
      </c>
      <c r="AK86" s="262">
        <v>0</v>
      </c>
      <c r="AL86" s="294">
        <v>0</v>
      </c>
      <c r="AM86" s="45">
        <f>SUM(AI86:AL86)</f>
        <v>0</v>
      </c>
      <c r="AN86" s="814">
        <v>0</v>
      </c>
      <c r="AO86" s="262">
        <v>0</v>
      </c>
      <c r="AP86" s="262">
        <v>0</v>
      </c>
      <c r="AQ86" s="294">
        <v>0</v>
      </c>
      <c r="AR86" s="45">
        <f>SUM(AN86:AQ86)</f>
        <v>0</v>
      </c>
      <c r="AS86" s="814">
        <v>0</v>
      </c>
      <c r="AT86" s="262">
        <v>0</v>
      </c>
      <c r="AU86" s="262">
        <v>0</v>
      </c>
      <c r="AV86" s="294">
        <v>0</v>
      </c>
      <c r="AW86" s="45">
        <f>SUM(AS86:AV86)</f>
        <v>0</v>
      </c>
      <c r="AX86" s="814">
        <v>0</v>
      </c>
      <c r="AY86" s="262">
        <v>0</v>
      </c>
      <c r="AZ86" s="262">
        <v>0</v>
      </c>
      <c r="BA86" s="294">
        <v>0</v>
      </c>
      <c r="BB86" s="45">
        <f>SUM(AX86:BA86)</f>
        <v>0</v>
      </c>
      <c r="BC86" s="814">
        <v>0</v>
      </c>
      <c r="BD86" s="262">
        <v>0</v>
      </c>
      <c r="BE86" s="262">
        <v>0</v>
      </c>
      <c r="BF86" s="294">
        <v>0</v>
      </c>
      <c r="BG86" s="45">
        <f>SUM(BC86:BF86)</f>
        <v>0</v>
      </c>
      <c r="BH86" s="814">
        <v>0</v>
      </c>
      <c r="BI86" s="262">
        <v>0</v>
      </c>
      <c r="BJ86" s="262">
        <v>0</v>
      </c>
      <c r="BK86" s="294">
        <v>0</v>
      </c>
      <c r="BL86" s="45">
        <f>SUM(BH86:BK86)</f>
        <v>0</v>
      </c>
      <c r="BM86" s="45"/>
      <c r="BN86" s="45"/>
      <c r="BO86" s="45"/>
      <c r="BP86" s="45"/>
      <c r="BQ86" s="45"/>
      <c r="BR86" s="45"/>
      <c r="BS86" s="45"/>
      <c r="BT86" s="45"/>
      <c r="BU86" s="45"/>
      <c r="BV86" s="45"/>
      <c r="BW86" s="45"/>
      <c r="BX86" s="45"/>
      <c r="BY86" s="45"/>
      <c r="BZ86" s="45"/>
      <c r="CA86" s="45"/>
      <c r="CB86" s="45"/>
      <c r="CC86" s="45"/>
      <c r="CD86" s="45"/>
      <c r="CE86" s="45"/>
      <c r="CF86" s="45"/>
      <c r="CG86" s="45"/>
      <c r="CH86" s="45"/>
      <c r="CI86" s="45"/>
      <c r="CJ86" s="45"/>
      <c r="CK86" s="45"/>
      <c r="CL86" s="45"/>
      <c r="CM86" s="45"/>
      <c r="CN86" s="45"/>
      <c r="CO86" s="45"/>
      <c r="CP86" s="45"/>
    </row>
    <row r="87" spans="1:94">
      <c r="A87" s="45"/>
      <c r="B87" s="45"/>
      <c r="C87" s="1716" t="s">
        <v>609</v>
      </c>
      <c r="D87" s="45"/>
      <c r="E87" s="290"/>
      <c r="F87" s="260"/>
      <c r="G87" s="260"/>
      <c r="H87" s="291"/>
      <c r="I87" s="45">
        <f>I85</f>
        <v>354</v>
      </c>
      <c r="J87" s="290">
        <f>+J85-J86</f>
        <v>102</v>
      </c>
      <c r="K87" s="260">
        <f>+K85-K86</f>
        <v>100</v>
      </c>
      <c r="L87" s="260">
        <f>+L85-L86</f>
        <v>111</v>
      </c>
      <c r="M87" s="291">
        <f>+M85-M86</f>
        <v>107</v>
      </c>
      <c r="N87" s="45">
        <f>+SUM(J87:M87)</f>
        <v>420</v>
      </c>
      <c r="O87" s="290">
        <f>+O85-O86</f>
        <v>103</v>
      </c>
      <c r="P87" s="260">
        <f>+P85-P86</f>
        <v>101</v>
      </c>
      <c r="Q87" s="260">
        <f>+Q85-Q86</f>
        <v>97</v>
      </c>
      <c r="R87" s="291">
        <f>+R85-R86</f>
        <v>102</v>
      </c>
      <c r="S87" s="45">
        <f>+SUM(O87:R87)</f>
        <v>403</v>
      </c>
      <c r="T87" s="290">
        <f>+T85-T86</f>
        <v>102</v>
      </c>
      <c r="U87" s="260">
        <f>+U85-U86</f>
        <v>95</v>
      </c>
      <c r="V87" s="260">
        <f>+V85-V86</f>
        <v>95</v>
      </c>
      <c r="W87" s="291">
        <f>+W85-W86</f>
        <v>99</v>
      </c>
      <c r="X87" s="45">
        <f>+SUM(T87:W87)</f>
        <v>391</v>
      </c>
      <c r="Y87" s="290">
        <f>+Y85-Y86</f>
        <v>93</v>
      </c>
      <c r="Z87" s="260">
        <f>+Z85-Z86</f>
        <v>91</v>
      </c>
      <c r="AA87" s="260">
        <f>+AA85-AA86</f>
        <v>103</v>
      </c>
      <c r="AB87" s="291">
        <f>+AB85-AB86</f>
        <v>103</v>
      </c>
      <c r="AC87" s="45">
        <f>+SUM(Y87:AB87)</f>
        <v>390</v>
      </c>
      <c r="AD87" s="290">
        <f>+AD85-AD86</f>
        <v>113</v>
      </c>
      <c r="AE87" s="260">
        <f>+AE85-AE86</f>
        <v>103</v>
      </c>
      <c r="AF87" s="260">
        <f>+AF85-AF86</f>
        <v>112</v>
      </c>
      <c r="AG87" s="291">
        <f>+AG85-AG86</f>
        <v>113</v>
      </c>
      <c r="AH87" s="45">
        <f>+SUM(AD87:AG87)</f>
        <v>441</v>
      </c>
      <c r="AI87" s="290">
        <f>+AI85-AI86</f>
        <v>290</v>
      </c>
      <c r="AJ87" s="260">
        <f>+AJ85-AJ86</f>
        <v>109</v>
      </c>
      <c r="AK87" s="260">
        <f>+AK85-AK86</f>
        <v>109</v>
      </c>
      <c r="AL87" s="291">
        <f>+AL85-AL86</f>
        <v>134</v>
      </c>
      <c r="AM87" s="45">
        <f>+SUM(AI87:AL87)</f>
        <v>642</v>
      </c>
      <c r="AN87" s="290">
        <f>+AN85-AN86</f>
        <v>113</v>
      </c>
      <c r="AO87" s="260">
        <f>+AO85-AO86</f>
        <v>120</v>
      </c>
      <c r="AP87" s="260">
        <f t="shared" ref="AP87" si="231">+AP85-AP86</f>
        <v>103</v>
      </c>
      <c r="AQ87" s="291">
        <f>+AQ85-AQ86</f>
        <v>118</v>
      </c>
      <c r="AR87" s="45">
        <f>+SUM(AN87:AQ87)</f>
        <v>454</v>
      </c>
      <c r="AS87" s="290">
        <f>AN87*(1+AS88)</f>
        <v>113</v>
      </c>
      <c r="AT87" s="260">
        <f>AO87*(1+AT88)</f>
        <v>120</v>
      </c>
      <c r="AU87" s="260">
        <f>AP87*(1+AU88)</f>
        <v>103</v>
      </c>
      <c r="AV87" s="291">
        <f>AQ87*(1+AV88)</f>
        <v>118</v>
      </c>
      <c r="AW87" s="45">
        <f>+SUM(AS87:AV87)</f>
        <v>454</v>
      </c>
      <c r="AX87" s="290">
        <f>AS87*(1+AX88)</f>
        <v>110.175</v>
      </c>
      <c r="AY87" s="260">
        <f>AT87*(1+AY88)</f>
        <v>117</v>
      </c>
      <c r="AZ87" s="260">
        <f>AU87*(1+AZ88)</f>
        <v>100.425</v>
      </c>
      <c r="BA87" s="291">
        <f>AV87*(1+BA88)</f>
        <v>115.05</v>
      </c>
      <c r="BB87" s="45">
        <f>+SUM(AX87:BA87)</f>
        <v>442.65000000000003</v>
      </c>
      <c r="BC87" s="290">
        <f>AX87*(1+BC88)</f>
        <v>101.91187500000001</v>
      </c>
      <c r="BD87" s="260">
        <f>AY87*(1+BD88)</f>
        <v>108.22500000000001</v>
      </c>
      <c r="BE87" s="260">
        <f>AZ87*(1+BE88)</f>
        <v>92.893124999999998</v>
      </c>
      <c r="BF87" s="291">
        <f>BA87*(1+BF88)</f>
        <v>106.42125</v>
      </c>
      <c r="BG87" s="45">
        <f>+SUM(BC87:BF87)</f>
        <v>409.45125000000002</v>
      </c>
      <c r="BH87" s="290">
        <f>BC87*(1+BH88)</f>
        <v>96.306721875000008</v>
      </c>
      <c r="BI87" s="260">
        <f>BD87*(1+BI88)</f>
        <v>102.27262500000001</v>
      </c>
      <c r="BJ87" s="260">
        <f>BE87*(1+BJ88)</f>
        <v>87.784003124999998</v>
      </c>
      <c r="BK87" s="291">
        <f>BF87*(1+BK88)</f>
        <v>100.56808124999999</v>
      </c>
      <c r="BL87" s="45">
        <f>+SUM(BH87:BK87)</f>
        <v>386.93143124999995</v>
      </c>
      <c r="BM87" s="45"/>
      <c r="BN87" s="45"/>
      <c r="BO87" s="45"/>
      <c r="BP87" s="45"/>
      <c r="BQ87" s="45"/>
      <c r="BR87" s="45"/>
      <c r="BS87" s="45"/>
      <c r="BT87" s="45"/>
      <c r="BU87" s="45"/>
      <c r="BV87" s="45"/>
      <c r="BW87" s="45"/>
      <c r="BX87" s="45"/>
      <c r="BY87" s="45"/>
      <c r="BZ87" s="45"/>
      <c r="CA87" s="45"/>
      <c r="CB87" s="45"/>
      <c r="CC87" s="45"/>
      <c r="CD87" s="45"/>
      <c r="CE87" s="45"/>
      <c r="CF87" s="45"/>
      <c r="CG87" s="45"/>
      <c r="CH87" s="45"/>
      <c r="CI87" s="45"/>
      <c r="CJ87" s="45"/>
      <c r="CK87" s="45"/>
      <c r="CL87" s="45"/>
      <c r="CM87" s="45"/>
      <c r="CN87" s="45"/>
      <c r="CO87" s="45"/>
      <c r="CP87" s="45"/>
    </row>
    <row r="88" spans="1:94">
      <c r="A88" s="1699"/>
      <c r="B88" s="1699"/>
      <c r="C88" s="1757" t="s">
        <v>610</v>
      </c>
      <c r="D88" s="1699"/>
      <c r="E88" s="1758"/>
      <c r="F88" s="1759"/>
      <c r="G88" s="1759"/>
      <c r="H88" s="1760"/>
      <c r="I88" s="1761"/>
      <c r="J88" s="1758"/>
      <c r="K88" s="1759"/>
      <c r="L88" s="1759"/>
      <c r="M88" s="1760"/>
      <c r="N88" s="1761">
        <f t="shared" ref="N88:AA88" si="232">+N87/I87-1</f>
        <v>0.18644067796610164</v>
      </c>
      <c r="O88" s="1758">
        <f t="shared" si="232"/>
        <v>9.8039215686274161E-3</v>
      </c>
      <c r="P88" s="1759">
        <f t="shared" si="232"/>
        <v>1.0000000000000009E-2</v>
      </c>
      <c r="Q88" s="1759">
        <f t="shared" si="232"/>
        <v>-0.12612612612612617</v>
      </c>
      <c r="R88" s="1760">
        <f t="shared" si="232"/>
        <v>-4.6728971962616828E-2</v>
      </c>
      <c r="S88" s="1761">
        <f t="shared" si="232"/>
        <v>-4.0476190476190443E-2</v>
      </c>
      <c r="T88" s="1758">
        <f t="shared" si="232"/>
        <v>-9.7087378640776656E-3</v>
      </c>
      <c r="U88" s="1759">
        <f t="shared" si="232"/>
        <v>-5.9405940594059459E-2</v>
      </c>
      <c r="V88" s="1759">
        <f t="shared" si="232"/>
        <v>-2.0618556701030966E-2</v>
      </c>
      <c r="W88" s="1760">
        <f t="shared" si="232"/>
        <v>-2.9411764705882359E-2</v>
      </c>
      <c r="X88" s="1761">
        <f t="shared" si="232"/>
        <v>-2.9776674937965208E-2</v>
      </c>
      <c r="Y88" s="1758">
        <f t="shared" si="232"/>
        <v>-8.8235294117647078E-2</v>
      </c>
      <c r="Z88" s="1759">
        <f t="shared" si="232"/>
        <v>-4.2105263157894757E-2</v>
      </c>
      <c r="AA88" s="1759">
        <f t="shared" si="232"/>
        <v>8.4210526315789513E-2</v>
      </c>
      <c r="AB88" s="1760">
        <f t="shared" ref="AB88" si="233">+AB87/W87-1</f>
        <v>4.0404040404040442E-2</v>
      </c>
      <c r="AC88" s="1761">
        <f t="shared" ref="AC88" si="234">+AC87/X87-1</f>
        <v>-2.5575447570332921E-3</v>
      </c>
      <c r="AD88" s="1758">
        <f t="shared" ref="AD88" si="235">+AD87/Y87-1</f>
        <v>0.21505376344086025</v>
      </c>
      <c r="AE88" s="1759">
        <f t="shared" ref="AE88" si="236">+AE87/Z87-1</f>
        <v>0.13186813186813184</v>
      </c>
      <c r="AF88" s="1759">
        <f t="shared" ref="AF88" si="237">+AF87/AA87-1</f>
        <v>8.737864077669899E-2</v>
      </c>
      <c r="AG88" s="1760">
        <f t="shared" ref="AG88" si="238">+AG87/AB87-1</f>
        <v>9.7087378640776656E-2</v>
      </c>
      <c r="AH88" s="1761">
        <f t="shared" ref="AH88:AK88" si="239">+AH87/AC87-1</f>
        <v>0.13076923076923075</v>
      </c>
      <c r="AI88" s="1758">
        <f t="shared" si="239"/>
        <v>1.5663716814159292</v>
      </c>
      <c r="AJ88" s="1759">
        <f t="shared" si="239"/>
        <v>5.8252427184465994E-2</v>
      </c>
      <c r="AK88" s="1759">
        <f t="shared" si="239"/>
        <v>-2.6785714285714302E-2</v>
      </c>
      <c r="AL88" s="1760">
        <f t="shared" ref="AL88" si="240">+AL87/AG87-1</f>
        <v>0.18584070796460184</v>
      </c>
      <c r="AM88" s="1761">
        <f t="shared" ref="AM88:AO88" si="241">+AM87/AH87-1</f>
        <v>0.45578231292517013</v>
      </c>
      <c r="AN88" s="1758">
        <f t="shared" si="241"/>
        <v>-0.6103448275862069</v>
      </c>
      <c r="AO88" s="1759">
        <f t="shared" si="241"/>
        <v>0.10091743119266061</v>
      </c>
      <c r="AP88" s="1759">
        <f t="shared" ref="AP88" si="242">+AP87/AK87-1</f>
        <v>-5.5045871559633031E-2</v>
      </c>
      <c r="AQ88" s="1760">
        <f t="shared" ref="AQ88" si="243">+AQ87/AL87-1</f>
        <v>-0.11940298507462688</v>
      </c>
      <c r="AR88" s="1761">
        <f t="shared" ref="AR88" si="244">+AR87/AM87-1</f>
        <v>-0.29283489096573212</v>
      </c>
      <c r="AS88" s="1758">
        <f>+AS51</f>
        <v>0</v>
      </c>
      <c r="AT88" s="1759">
        <f>+AT51</f>
        <v>0</v>
      </c>
      <c r="AU88" s="1759">
        <f>+AU51</f>
        <v>0</v>
      </c>
      <c r="AV88" s="1760">
        <f>+AV51</f>
        <v>0</v>
      </c>
      <c r="AW88" s="1761">
        <f>+AW87/AR87-1</f>
        <v>0</v>
      </c>
      <c r="AX88" s="1758">
        <f>+AX51</f>
        <v>-2.5000000000000001E-2</v>
      </c>
      <c r="AY88" s="1759">
        <f>+AY51</f>
        <v>-2.5000000000000001E-2</v>
      </c>
      <c r="AZ88" s="1759">
        <f>+AZ51</f>
        <v>-2.5000000000000001E-2</v>
      </c>
      <c r="BA88" s="1760">
        <f>+BA51</f>
        <v>-2.5000000000000001E-2</v>
      </c>
      <c r="BB88" s="1761">
        <f>+BB87/AW87-1</f>
        <v>-2.4999999999999911E-2</v>
      </c>
      <c r="BC88" s="1758">
        <f>+BC51</f>
        <v>-7.4999999999999997E-2</v>
      </c>
      <c r="BD88" s="1759">
        <f>+BD51</f>
        <v>-7.4999999999999997E-2</v>
      </c>
      <c r="BE88" s="1759">
        <f>+BE51</f>
        <v>-7.4999999999999997E-2</v>
      </c>
      <c r="BF88" s="1760">
        <f>+BF51</f>
        <v>-7.4999999999999997E-2</v>
      </c>
      <c r="BG88" s="1761">
        <f>+BG87/BB87-1</f>
        <v>-7.5000000000000067E-2</v>
      </c>
      <c r="BH88" s="1758">
        <f>+BH51</f>
        <v>-5.5E-2</v>
      </c>
      <c r="BI88" s="1759">
        <f>+BI51</f>
        <v>-5.5E-2</v>
      </c>
      <c r="BJ88" s="1759">
        <f>+BJ51</f>
        <v>-5.5E-2</v>
      </c>
      <c r="BK88" s="1760">
        <f>+BK51</f>
        <v>-5.5E-2</v>
      </c>
      <c r="BL88" s="1761">
        <f>+BL87/BG87-1</f>
        <v>-5.500000000000016E-2</v>
      </c>
      <c r="BM88" s="1699"/>
      <c r="BN88" s="1699"/>
      <c r="BO88" s="1699"/>
      <c r="BP88" s="1699"/>
      <c r="BQ88" s="1699"/>
      <c r="BR88" s="1699"/>
      <c r="BS88" s="1699"/>
      <c r="BT88" s="1699"/>
      <c r="BU88" s="1699"/>
      <c r="BV88" s="1699"/>
      <c r="BW88" s="1699"/>
      <c r="BX88" s="1699"/>
      <c r="BY88" s="1699"/>
      <c r="BZ88" s="1699"/>
      <c r="CA88" s="1699"/>
      <c r="CB88" s="1699"/>
      <c r="CC88" s="1699"/>
      <c r="CD88" s="1699"/>
      <c r="CE88" s="1699"/>
      <c r="CF88" s="1699"/>
      <c r="CG88" s="1699"/>
      <c r="CH88" s="1699"/>
      <c r="CI88" s="1699"/>
      <c r="CJ88" s="1699"/>
      <c r="CK88" s="1699"/>
      <c r="CL88" s="1699"/>
      <c r="CM88" s="1699"/>
      <c r="CN88" s="1699"/>
      <c r="CO88" s="1699"/>
      <c r="CP88" s="1699"/>
    </row>
    <row r="89" spans="1:94">
      <c r="A89" s="895"/>
      <c r="B89" s="895"/>
      <c r="C89" s="1716"/>
      <c r="D89" s="895"/>
      <c r="E89" s="896"/>
      <c r="F89" s="897"/>
      <c r="G89" s="897"/>
      <c r="H89" s="898"/>
      <c r="I89" s="899"/>
      <c r="J89" s="896"/>
      <c r="K89" s="897"/>
      <c r="L89" s="897"/>
      <c r="M89" s="898"/>
      <c r="N89" s="899"/>
      <c r="O89" s="896"/>
      <c r="P89" s="897"/>
      <c r="Q89" s="897"/>
      <c r="R89" s="898"/>
      <c r="S89" s="899"/>
      <c r="T89" s="896"/>
      <c r="U89" s="897"/>
      <c r="V89" s="897"/>
      <c r="W89" s="898"/>
      <c r="X89" s="899"/>
      <c r="Y89" s="896"/>
      <c r="Z89" s="897"/>
      <c r="AA89" s="897"/>
      <c r="AB89" s="898"/>
      <c r="AC89" s="899"/>
      <c r="AD89" s="896"/>
      <c r="AE89" s="897"/>
      <c r="AF89" s="897"/>
      <c r="AG89" s="898"/>
      <c r="AH89" s="899"/>
      <c r="AI89" s="896"/>
      <c r="AJ89" s="897"/>
      <c r="AK89" s="897"/>
      <c r="AL89" s="898"/>
      <c r="AM89" s="899"/>
      <c r="AN89" s="896"/>
      <c r="AO89" s="897"/>
      <c r="AP89" s="897"/>
      <c r="AQ89" s="898"/>
      <c r="AR89" s="899"/>
      <c r="AS89" s="896"/>
      <c r="AT89" s="897"/>
      <c r="AU89" s="897"/>
      <c r="AV89" s="898"/>
      <c r="AW89" s="899"/>
      <c r="AX89" s="896"/>
      <c r="AY89" s="897"/>
      <c r="AZ89" s="897"/>
      <c r="BA89" s="898"/>
      <c r="BB89" s="899"/>
      <c r="BC89" s="896"/>
      <c r="BD89" s="897"/>
      <c r="BE89" s="897"/>
      <c r="BF89" s="898"/>
      <c r="BG89" s="899"/>
      <c r="BH89" s="896"/>
      <c r="BI89" s="897"/>
      <c r="BJ89" s="897"/>
      <c r="BK89" s="898"/>
      <c r="BL89" s="899"/>
      <c r="BM89" s="895"/>
      <c r="BN89" s="895"/>
      <c r="BO89" s="895"/>
      <c r="BP89" s="895"/>
      <c r="BQ89" s="895"/>
      <c r="BR89" s="895"/>
      <c r="BS89" s="895"/>
      <c r="BT89" s="895"/>
      <c r="BU89" s="895"/>
      <c r="BV89" s="895"/>
      <c r="BW89" s="895"/>
      <c r="BX89" s="895"/>
      <c r="BY89" s="895"/>
      <c r="BZ89" s="895"/>
      <c r="CA89" s="895"/>
      <c r="CB89" s="895"/>
      <c r="CC89" s="895"/>
      <c r="CD89" s="895"/>
      <c r="CE89" s="895"/>
      <c r="CF89" s="895"/>
      <c r="CG89" s="895"/>
      <c r="CH89" s="895"/>
      <c r="CI89" s="895"/>
      <c r="CJ89" s="895"/>
      <c r="CK89" s="895"/>
      <c r="CL89" s="895"/>
      <c r="CM89" s="895"/>
      <c r="CN89" s="895"/>
      <c r="CO89" s="895"/>
      <c r="CP89" s="895"/>
    </row>
    <row r="90" spans="1:94">
      <c r="A90" s="45"/>
      <c r="B90" s="45"/>
      <c r="C90" s="1716" t="s">
        <v>65</v>
      </c>
      <c r="D90" s="45"/>
      <c r="E90" s="290"/>
      <c r="F90" s="260"/>
      <c r="G90" s="260"/>
      <c r="H90" s="291"/>
      <c r="I90" s="45">
        <f t="shared" ref="I90:Z90" si="245">+I14</f>
        <v>364</v>
      </c>
      <c r="J90" s="290">
        <f t="shared" si="245"/>
        <v>92</v>
      </c>
      <c r="K90" s="260">
        <f t="shared" si="245"/>
        <v>94</v>
      </c>
      <c r="L90" s="260">
        <f t="shared" si="245"/>
        <v>108</v>
      </c>
      <c r="M90" s="291">
        <f t="shared" si="245"/>
        <v>88</v>
      </c>
      <c r="N90" s="45">
        <f t="shared" si="245"/>
        <v>382</v>
      </c>
      <c r="O90" s="290">
        <f t="shared" si="245"/>
        <v>90</v>
      </c>
      <c r="P90" s="260">
        <f t="shared" si="245"/>
        <v>92</v>
      </c>
      <c r="Q90" s="260">
        <f t="shared" si="245"/>
        <v>103</v>
      </c>
      <c r="R90" s="291">
        <f t="shared" si="245"/>
        <v>87</v>
      </c>
      <c r="S90" s="45">
        <f t="shared" si="245"/>
        <v>372</v>
      </c>
      <c r="T90" s="290">
        <f t="shared" si="245"/>
        <v>89</v>
      </c>
      <c r="U90" s="260">
        <f t="shared" si="245"/>
        <v>88</v>
      </c>
      <c r="V90" s="260">
        <f t="shared" si="245"/>
        <v>103</v>
      </c>
      <c r="W90" s="291">
        <f t="shared" si="245"/>
        <v>88</v>
      </c>
      <c r="X90" s="45">
        <f t="shared" si="245"/>
        <v>368</v>
      </c>
      <c r="Y90" s="290">
        <f t="shared" si="245"/>
        <v>90</v>
      </c>
      <c r="Z90" s="260">
        <f t="shared" si="245"/>
        <v>90</v>
      </c>
      <c r="AA90" s="260">
        <f t="shared" ref="AA90:AE90" si="246">+AA14</f>
        <v>95</v>
      </c>
      <c r="AB90" s="291">
        <f t="shared" si="246"/>
        <v>88</v>
      </c>
      <c r="AC90" s="45">
        <f t="shared" si="246"/>
        <v>363</v>
      </c>
      <c r="AD90" s="290">
        <f t="shared" si="246"/>
        <v>94</v>
      </c>
      <c r="AE90" s="260">
        <f t="shared" si="246"/>
        <v>92</v>
      </c>
      <c r="AF90" s="260">
        <f t="shared" ref="AF90:AJ90" si="247">+AF14</f>
        <v>98</v>
      </c>
      <c r="AG90" s="291">
        <f t="shared" si="247"/>
        <v>85</v>
      </c>
      <c r="AH90" s="45">
        <f t="shared" si="247"/>
        <v>369</v>
      </c>
      <c r="AI90" s="290">
        <f t="shared" si="247"/>
        <v>94</v>
      </c>
      <c r="AJ90" s="260">
        <f t="shared" si="247"/>
        <v>89</v>
      </c>
      <c r="AK90" s="260">
        <f t="shared" ref="AK90:AO90" si="248">+AK14</f>
        <v>105</v>
      </c>
      <c r="AL90" s="291">
        <f t="shared" si="248"/>
        <v>89</v>
      </c>
      <c r="AM90" s="45">
        <f t="shared" si="248"/>
        <v>377</v>
      </c>
      <c r="AN90" s="290">
        <f t="shared" si="248"/>
        <v>90</v>
      </c>
      <c r="AO90" s="260">
        <f t="shared" si="248"/>
        <v>90</v>
      </c>
      <c r="AP90" s="260">
        <f t="shared" ref="AP90:AR90" si="249">+AP14</f>
        <v>102</v>
      </c>
      <c r="AQ90" s="291">
        <f t="shared" si="249"/>
        <v>89</v>
      </c>
      <c r="AR90" s="45">
        <f t="shared" si="249"/>
        <v>371</v>
      </c>
      <c r="AS90" s="290">
        <f>AN90*(1+AS91)</f>
        <v>92.7</v>
      </c>
      <c r="AT90" s="260">
        <f>AO90*(1+AT91)</f>
        <v>92.7</v>
      </c>
      <c r="AU90" s="260">
        <f>AP90*(1+AU91)</f>
        <v>105.06</v>
      </c>
      <c r="AV90" s="291">
        <f>AQ90*(1+AV91)</f>
        <v>91.67</v>
      </c>
      <c r="AW90" s="45">
        <f>+SUM(AS90:AV90)</f>
        <v>382.13000000000005</v>
      </c>
      <c r="AX90" s="290">
        <f>AS90*(1+AX91)</f>
        <v>95.481000000000009</v>
      </c>
      <c r="AY90" s="260">
        <f>AT90*(1+AY91)</f>
        <v>95.481000000000009</v>
      </c>
      <c r="AZ90" s="260">
        <f>AU90*(1+AZ91)</f>
        <v>108.21180000000001</v>
      </c>
      <c r="BA90" s="291">
        <f>AV90*(1+BA91)</f>
        <v>94.420100000000005</v>
      </c>
      <c r="BB90" s="45">
        <f>+SUM(AX90:BA90)</f>
        <v>393.59390000000002</v>
      </c>
      <c r="BC90" s="290">
        <f>AX90*(1+BC91)</f>
        <v>98.345430000000007</v>
      </c>
      <c r="BD90" s="260">
        <f>AY90*(1+BD91)</f>
        <v>98.345430000000007</v>
      </c>
      <c r="BE90" s="260">
        <f>AZ90*(1+BE91)</f>
        <v>111.45815400000001</v>
      </c>
      <c r="BF90" s="291">
        <f>BA90*(1+BF91)</f>
        <v>97.252703000000011</v>
      </c>
      <c r="BG90" s="45">
        <f>+SUM(BC90:BF90)</f>
        <v>405.40171700000002</v>
      </c>
      <c r="BH90" s="290">
        <f>BC90*(1+BH91)</f>
        <v>101.29579290000001</v>
      </c>
      <c r="BI90" s="260">
        <f>BD90*(1+BI91)</f>
        <v>101.29579290000001</v>
      </c>
      <c r="BJ90" s="260">
        <f>BE90*(1+BJ91)</f>
        <v>114.80189862000002</v>
      </c>
      <c r="BK90" s="291">
        <f>BF90*(1+BK91)</f>
        <v>100.17028409000001</v>
      </c>
      <c r="BL90" s="45">
        <f>+SUM(BH90:BK90)</f>
        <v>417.56376851000005</v>
      </c>
      <c r="BM90" s="45"/>
      <c r="BN90" s="45"/>
      <c r="BO90" s="45"/>
      <c r="BP90" s="45"/>
      <c r="BQ90" s="45"/>
      <c r="BR90" s="45"/>
      <c r="BS90" s="45"/>
      <c r="BT90" s="45"/>
      <c r="BU90" s="45"/>
      <c r="BV90" s="45"/>
      <c r="BW90" s="45"/>
      <c r="BX90" s="45"/>
      <c r="BY90" s="45"/>
      <c r="BZ90" s="45"/>
      <c r="CA90" s="45"/>
      <c r="CB90" s="45"/>
      <c r="CC90" s="45"/>
      <c r="CD90" s="45"/>
      <c r="CE90" s="45"/>
      <c r="CF90" s="45"/>
      <c r="CG90" s="45"/>
      <c r="CH90" s="45"/>
      <c r="CI90" s="45"/>
      <c r="CJ90" s="45"/>
      <c r="CK90" s="45"/>
      <c r="CL90" s="45"/>
      <c r="CM90" s="45"/>
      <c r="CN90" s="45"/>
      <c r="CO90" s="45"/>
      <c r="CP90" s="45"/>
    </row>
    <row r="91" spans="1:94">
      <c r="A91" s="1699"/>
      <c r="B91" s="1699"/>
      <c r="C91" s="1757" t="s">
        <v>610</v>
      </c>
      <c r="D91" s="1699"/>
      <c r="E91" s="1758"/>
      <c r="F91" s="1759"/>
      <c r="G91" s="1759"/>
      <c r="H91" s="1760"/>
      <c r="I91" s="1761"/>
      <c r="J91" s="1758"/>
      <c r="K91" s="1759"/>
      <c r="L91" s="1759"/>
      <c r="M91" s="1760"/>
      <c r="N91" s="1761">
        <f t="shared" ref="N91:AA91" si="250">+N90/I90-1</f>
        <v>4.9450549450549497E-2</v>
      </c>
      <c r="O91" s="1758">
        <f t="shared" si="250"/>
        <v>-2.1739130434782594E-2</v>
      </c>
      <c r="P91" s="1759">
        <f t="shared" si="250"/>
        <v>-2.1276595744680882E-2</v>
      </c>
      <c r="Q91" s="1759">
        <f t="shared" si="250"/>
        <v>-4.629629629629628E-2</v>
      </c>
      <c r="R91" s="1760">
        <f t="shared" si="250"/>
        <v>-1.1363636363636354E-2</v>
      </c>
      <c r="S91" s="1761">
        <f t="shared" si="250"/>
        <v>-2.6178010471204161E-2</v>
      </c>
      <c r="T91" s="1758">
        <f t="shared" si="250"/>
        <v>-1.1111111111111072E-2</v>
      </c>
      <c r="U91" s="1759">
        <f t="shared" si="250"/>
        <v>-4.3478260869565188E-2</v>
      </c>
      <c r="V91" s="1759">
        <f t="shared" si="250"/>
        <v>0</v>
      </c>
      <c r="W91" s="1760">
        <f t="shared" si="250"/>
        <v>1.1494252873563315E-2</v>
      </c>
      <c r="X91" s="1761">
        <f t="shared" si="250"/>
        <v>-1.0752688172043001E-2</v>
      </c>
      <c r="Y91" s="1758">
        <f t="shared" si="250"/>
        <v>1.1235955056179803E-2</v>
      </c>
      <c r="Z91" s="1759">
        <f t="shared" si="250"/>
        <v>2.2727272727272707E-2</v>
      </c>
      <c r="AA91" s="1759">
        <f t="shared" si="250"/>
        <v>-7.7669902912621325E-2</v>
      </c>
      <c r="AB91" s="1760">
        <f t="shared" ref="AB91" si="251">+AB90/W90-1</f>
        <v>0</v>
      </c>
      <c r="AC91" s="1761">
        <f t="shared" ref="AC91" si="252">+AC90/X90-1</f>
        <v>-1.3586956521739135E-2</v>
      </c>
      <c r="AD91" s="1758">
        <f t="shared" ref="AD91" si="253">+AD90/Y90-1</f>
        <v>4.4444444444444509E-2</v>
      </c>
      <c r="AE91" s="1759">
        <f t="shared" ref="AE91" si="254">+AE90/Z90-1</f>
        <v>2.2222222222222143E-2</v>
      </c>
      <c r="AF91" s="1759">
        <f t="shared" ref="AF91" si="255">+AF90/AA90-1</f>
        <v>3.1578947368421151E-2</v>
      </c>
      <c r="AG91" s="1760">
        <f t="shared" ref="AG91" si="256">+AG90/AB90-1</f>
        <v>-3.4090909090909061E-2</v>
      </c>
      <c r="AH91" s="1761">
        <f t="shared" ref="AH91:AK91" si="257">+AH90/AC90-1</f>
        <v>1.6528925619834656E-2</v>
      </c>
      <c r="AI91" s="1758">
        <f t="shared" si="257"/>
        <v>0</v>
      </c>
      <c r="AJ91" s="1759">
        <f t="shared" si="257"/>
        <v>-3.2608695652173947E-2</v>
      </c>
      <c r="AK91" s="1759">
        <f t="shared" si="257"/>
        <v>7.1428571428571397E-2</v>
      </c>
      <c r="AL91" s="1760">
        <f t="shared" ref="AL91" si="258">+AL90/AG90-1</f>
        <v>4.705882352941182E-2</v>
      </c>
      <c r="AM91" s="1761">
        <f t="shared" ref="AM91:AP91" si="259">+AM90/AH90-1</f>
        <v>2.1680216802167918E-2</v>
      </c>
      <c r="AN91" s="1758">
        <f t="shared" si="259"/>
        <v>-4.2553191489361653E-2</v>
      </c>
      <c r="AO91" s="1759">
        <f t="shared" si="259"/>
        <v>1.1235955056179803E-2</v>
      </c>
      <c r="AP91" s="1759">
        <f t="shared" si="259"/>
        <v>-2.8571428571428581E-2</v>
      </c>
      <c r="AQ91" s="1760">
        <f t="shared" ref="AQ91" si="260">+AQ90/AL90-1</f>
        <v>0</v>
      </c>
      <c r="AR91" s="1761">
        <f t="shared" ref="AR91" si="261">+AR90/AM90-1</f>
        <v>-1.591511936339518E-2</v>
      </c>
      <c r="AS91" s="1758">
        <f>+AS52</f>
        <v>0.03</v>
      </c>
      <c r="AT91" s="1759">
        <f>+AT52</f>
        <v>0.03</v>
      </c>
      <c r="AU91" s="1759">
        <f>+AU52</f>
        <v>0.03</v>
      </c>
      <c r="AV91" s="1760">
        <f>+AV52</f>
        <v>0.03</v>
      </c>
      <c r="AW91" s="1761">
        <f>+AW90/AR90-1</f>
        <v>3.0000000000000249E-2</v>
      </c>
      <c r="AX91" s="1758">
        <f>+AX52</f>
        <v>0.03</v>
      </c>
      <c r="AY91" s="1759">
        <f>+AY52</f>
        <v>0.03</v>
      </c>
      <c r="AZ91" s="1759">
        <f>+AZ52</f>
        <v>0.03</v>
      </c>
      <c r="BA91" s="1760">
        <f>+BA52</f>
        <v>0.03</v>
      </c>
      <c r="BB91" s="1761">
        <f>+BB90/AW90-1</f>
        <v>2.9999999999999805E-2</v>
      </c>
      <c r="BC91" s="1758">
        <f>+BC52</f>
        <v>0.03</v>
      </c>
      <c r="BD91" s="1759">
        <f>+BD52</f>
        <v>0.03</v>
      </c>
      <c r="BE91" s="1759">
        <f>+BE52</f>
        <v>0.03</v>
      </c>
      <c r="BF91" s="1760">
        <f>+BF52</f>
        <v>0.03</v>
      </c>
      <c r="BG91" s="1761">
        <f>+BG90/BB90-1</f>
        <v>3.0000000000000027E-2</v>
      </c>
      <c r="BH91" s="1758">
        <f>+BH52</f>
        <v>0.03</v>
      </c>
      <c r="BI91" s="1759">
        <f>+BI52</f>
        <v>0.03</v>
      </c>
      <c r="BJ91" s="1759">
        <f>+BJ52</f>
        <v>0.03</v>
      </c>
      <c r="BK91" s="1760">
        <f>+BK52</f>
        <v>0.03</v>
      </c>
      <c r="BL91" s="1761">
        <f>+BL90/BG90-1</f>
        <v>3.0000000000000027E-2</v>
      </c>
      <c r="BM91" s="1699"/>
      <c r="BN91" s="1699"/>
      <c r="BO91" s="1699"/>
      <c r="BP91" s="1699"/>
      <c r="BQ91" s="1699"/>
      <c r="BR91" s="1699"/>
      <c r="BS91" s="1699"/>
      <c r="BT91" s="1699"/>
      <c r="BU91" s="1699"/>
      <c r="BV91" s="1699"/>
      <c r="BW91" s="1699"/>
      <c r="BX91" s="1699"/>
      <c r="BY91" s="1699"/>
      <c r="BZ91" s="1699"/>
      <c r="CA91" s="1699"/>
      <c r="CB91" s="1699"/>
      <c r="CC91" s="1699"/>
      <c r="CD91" s="1699"/>
      <c r="CE91" s="1699"/>
      <c r="CF91" s="1699"/>
      <c r="CG91" s="1699"/>
      <c r="CH91" s="1699"/>
      <c r="CI91" s="1699"/>
      <c r="CJ91" s="1699"/>
      <c r="CK91" s="1699"/>
      <c r="CL91" s="1699"/>
      <c r="CM91" s="1699"/>
      <c r="CN91" s="1699"/>
      <c r="CO91" s="1699"/>
      <c r="CP91" s="1699"/>
    </row>
    <row r="92" spans="1:94">
      <c r="A92" s="895"/>
      <c r="B92" s="895"/>
      <c r="C92" s="1716"/>
      <c r="D92" s="895"/>
      <c r="E92" s="896"/>
      <c r="F92" s="897"/>
      <c r="G92" s="897"/>
      <c r="H92" s="898"/>
      <c r="I92" s="899"/>
      <c r="J92" s="896"/>
      <c r="K92" s="897"/>
      <c r="L92" s="897"/>
      <c r="M92" s="898"/>
      <c r="N92" s="899"/>
      <c r="O92" s="896"/>
      <c r="P92" s="897"/>
      <c r="Q92" s="897"/>
      <c r="R92" s="898"/>
      <c r="S92" s="899"/>
      <c r="T92" s="896"/>
      <c r="U92" s="897"/>
      <c r="V92" s="897"/>
      <c r="W92" s="898"/>
      <c r="X92" s="899"/>
      <c r="Y92" s="896"/>
      <c r="Z92" s="897"/>
      <c r="AA92" s="897"/>
      <c r="AB92" s="898"/>
      <c r="AC92" s="899"/>
      <c r="AD92" s="896"/>
      <c r="AE92" s="897"/>
      <c r="AF92" s="897"/>
      <c r="AG92" s="898"/>
      <c r="AH92" s="899"/>
      <c r="AI92" s="896"/>
      <c r="AJ92" s="897"/>
      <c r="AK92" s="897"/>
      <c r="AL92" s="898"/>
      <c r="AM92" s="899"/>
      <c r="AN92" s="896"/>
      <c r="AO92" s="897"/>
      <c r="AP92" s="897"/>
      <c r="AQ92" s="898"/>
      <c r="AR92" s="899"/>
      <c r="AS92" s="896"/>
      <c r="AT92" s="897"/>
      <c r="AU92" s="897"/>
      <c r="AV92" s="898"/>
      <c r="AW92" s="899"/>
      <c r="AX92" s="896"/>
      <c r="AY92" s="897"/>
      <c r="AZ92" s="897"/>
      <c r="BA92" s="898"/>
      <c r="BB92" s="899"/>
      <c r="BC92" s="896"/>
      <c r="BD92" s="897"/>
      <c r="BE92" s="897"/>
      <c r="BF92" s="898"/>
      <c r="BG92" s="899"/>
      <c r="BH92" s="896"/>
      <c r="BI92" s="897"/>
      <c r="BJ92" s="897"/>
      <c r="BK92" s="898"/>
      <c r="BL92" s="899"/>
      <c r="BM92" s="895"/>
      <c r="BN92" s="895"/>
      <c r="BO92" s="895"/>
      <c r="BP92" s="895"/>
      <c r="BQ92" s="895"/>
      <c r="BR92" s="895"/>
      <c r="BS92" s="895"/>
      <c r="BT92" s="895"/>
      <c r="BU92" s="895"/>
      <c r="BV92" s="895"/>
      <c r="BW92" s="895"/>
      <c r="BX92" s="895"/>
      <c r="BY92" s="895"/>
      <c r="BZ92" s="895"/>
      <c r="CA92" s="895"/>
      <c r="CB92" s="895"/>
      <c r="CC92" s="895"/>
      <c r="CD92" s="895"/>
      <c r="CE92" s="895"/>
      <c r="CF92" s="895"/>
      <c r="CG92" s="895"/>
      <c r="CH92" s="895"/>
      <c r="CI92" s="895"/>
      <c r="CJ92" s="895"/>
      <c r="CK92" s="895"/>
      <c r="CL92" s="895"/>
      <c r="CM92" s="895"/>
      <c r="CN92" s="895"/>
      <c r="CO92" s="895"/>
      <c r="CP92" s="895"/>
    </row>
    <row r="93" spans="1:94">
      <c r="A93" s="895"/>
      <c r="B93" s="895"/>
      <c r="C93" s="895"/>
      <c r="D93" s="895"/>
      <c r="E93" s="896"/>
      <c r="F93" s="897"/>
      <c r="G93" s="897"/>
      <c r="H93" s="898"/>
      <c r="I93" s="899"/>
      <c r="J93" s="896"/>
      <c r="K93" s="897"/>
      <c r="L93" s="897"/>
      <c r="M93" s="898"/>
      <c r="N93" s="899"/>
      <c r="O93" s="896"/>
      <c r="P93" s="897"/>
      <c r="Q93" s="897"/>
      <c r="R93" s="898"/>
      <c r="S93" s="899"/>
      <c r="T93" s="896"/>
      <c r="U93" s="897"/>
      <c r="V93" s="897"/>
      <c r="W93" s="898"/>
      <c r="X93" s="899"/>
      <c r="Y93" s="896"/>
      <c r="Z93" s="897"/>
      <c r="AA93" s="897"/>
      <c r="AB93" s="898"/>
      <c r="AC93" s="899"/>
      <c r="AD93" s="896"/>
      <c r="AE93" s="897"/>
      <c r="AF93" s="897"/>
      <c r="AG93" s="898"/>
      <c r="AH93" s="899"/>
      <c r="AI93" s="896"/>
      <c r="AJ93" s="897"/>
      <c r="AK93" s="897"/>
      <c r="AL93" s="898"/>
      <c r="AM93" s="899"/>
      <c r="AN93" s="896"/>
      <c r="AO93" s="897"/>
      <c r="AP93" s="897"/>
      <c r="AQ93" s="898"/>
      <c r="AR93" s="899"/>
      <c r="AS93" s="896"/>
      <c r="AT93" s="897"/>
      <c r="AU93" s="897"/>
      <c r="AV93" s="898"/>
      <c r="AW93" s="899"/>
      <c r="AX93" s="896"/>
      <c r="AY93" s="897"/>
      <c r="AZ93" s="897"/>
      <c r="BA93" s="898"/>
      <c r="BB93" s="899"/>
      <c r="BC93" s="896"/>
      <c r="BD93" s="897"/>
      <c r="BE93" s="897"/>
      <c r="BF93" s="898"/>
      <c r="BG93" s="899"/>
      <c r="BH93" s="896"/>
      <c r="BI93" s="897"/>
      <c r="BJ93" s="897"/>
      <c r="BK93" s="898"/>
      <c r="BL93" s="899"/>
      <c r="BM93" s="895"/>
      <c r="BN93" s="895"/>
      <c r="BO93" s="895"/>
      <c r="BP93" s="895"/>
      <c r="BQ93" s="895"/>
      <c r="BR93" s="895"/>
      <c r="BS93" s="895"/>
      <c r="BT93" s="895"/>
      <c r="BU93" s="895"/>
      <c r="BV93" s="895"/>
      <c r="BW93" s="895"/>
      <c r="BX93" s="895"/>
      <c r="BY93" s="895"/>
      <c r="BZ93" s="895"/>
      <c r="CA93" s="895"/>
      <c r="CB93" s="895"/>
      <c r="CC93" s="895"/>
      <c r="CD93" s="895"/>
      <c r="CE93" s="895"/>
      <c r="CF93" s="895"/>
      <c r="CG93" s="895"/>
      <c r="CH93" s="895"/>
      <c r="CI93" s="895"/>
      <c r="CJ93" s="895"/>
      <c r="CK93" s="895"/>
      <c r="CL93" s="895"/>
      <c r="CM93" s="895"/>
      <c r="CN93" s="895"/>
      <c r="CO93" s="895"/>
      <c r="CP93" s="895"/>
    </row>
    <row r="94" spans="1:94">
      <c r="A94" s="895"/>
      <c r="B94" s="1681" t="s">
        <v>273</v>
      </c>
      <c r="C94" s="1682"/>
      <c r="D94" s="1683"/>
      <c r="E94" s="896"/>
      <c r="F94" s="897"/>
      <c r="G94" s="897"/>
      <c r="H94" s="898"/>
      <c r="I94" s="899"/>
      <c r="J94" s="896"/>
      <c r="K94" s="897"/>
      <c r="L94" s="897"/>
      <c r="M94" s="898"/>
      <c r="N94" s="899"/>
      <c r="O94" s="896"/>
      <c r="P94" s="897"/>
      <c r="Q94" s="897"/>
      <c r="R94" s="898"/>
      <c r="S94" s="899"/>
      <c r="T94" s="896"/>
      <c r="U94" s="897"/>
      <c r="V94" s="897"/>
      <c r="W94" s="898"/>
      <c r="X94" s="899"/>
      <c r="Y94" s="896"/>
      <c r="Z94" s="897"/>
      <c r="AA94" s="897"/>
      <c r="AB94" s="898"/>
      <c r="AC94" s="899"/>
      <c r="AD94" s="896"/>
      <c r="AE94" s="897"/>
      <c r="AF94" s="897"/>
      <c r="AG94" s="898"/>
      <c r="AH94" s="899"/>
      <c r="AI94" s="896"/>
      <c r="AJ94" s="897"/>
      <c r="AK94" s="897"/>
      <c r="AL94" s="898"/>
      <c r="AM94" s="899"/>
      <c r="AN94" s="896"/>
      <c r="AO94" s="897"/>
      <c r="AP94" s="897"/>
      <c r="AQ94" s="898"/>
      <c r="AR94" s="899"/>
      <c r="AS94" s="896"/>
      <c r="AT94" s="897"/>
      <c r="AU94" s="897"/>
      <c r="AV94" s="898"/>
      <c r="AW94" s="899"/>
      <c r="AX94" s="896"/>
      <c r="AY94" s="897"/>
      <c r="AZ94" s="897"/>
      <c r="BA94" s="898"/>
      <c r="BB94" s="899"/>
      <c r="BC94" s="896"/>
      <c r="BD94" s="897"/>
      <c r="BE94" s="897"/>
      <c r="BF94" s="898"/>
      <c r="BG94" s="899"/>
      <c r="BH94" s="896"/>
      <c r="BI94" s="897"/>
      <c r="BJ94" s="897"/>
      <c r="BK94" s="898"/>
      <c r="BL94" s="899"/>
      <c r="BM94" s="895"/>
      <c r="BN94" s="895"/>
      <c r="BO94" s="895"/>
      <c r="BP94" s="895"/>
      <c r="BQ94" s="895"/>
      <c r="BR94" s="895"/>
      <c r="BS94" s="895"/>
      <c r="BT94" s="895"/>
      <c r="BU94" s="895"/>
      <c r="BV94" s="895"/>
      <c r="BW94" s="895"/>
      <c r="BX94" s="895"/>
      <c r="BY94" s="895"/>
      <c r="BZ94" s="895"/>
      <c r="CA94" s="895"/>
      <c r="CB94" s="895"/>
      <c r="CC94" s="895"/>
      <c r="CD94" s="895"/>
      <c r="CE94" s="895"/>
      <c r="CF94" s="895"/>
      <c r="CG94" s="895"/>
      <c r="CH94" s="895"/>
      <c r="CI94" s="895"/>
      <c r="CJ94" s="895"/>
      <c r="CK94" s="895"/>
      <c r="CL94" s="895"/>
      <c r="CM94" s="895"/>
      <c r="CN94" s="895"/>
      <c r="CO94" s="895"/>
      <c r="CP94" s="895"/>
    </row>
    <row r="95" spans="1:94">
      <c r="A95" s="895"/>
      <c r="B95" s="895"/>
      <c r="C95" s="895"/>
      <c r="D95" s="895"/>
      <c r="E95" s="896"/>
      <c r="F95" s="897"/>
      <c r="G95" s="897"/>
      <c r="H95" s="898"/>
      <c r="I95" s="899"/>
      <c r="J95" s="896"/>
      <c r="K95" s="897"/>
      <c r="L95" s="897"/>
      <c r="M95" s="898"/>
      <c r="N95" s="899"/>
      <c r="O95" s="896"/>
      <c r="P95" s="897"/>
      <c r="Q95" s="897"/>
      <c r="R95" s="898"/>
      <c r="S95" s="899"/>
      <c r="T95" s="896"/>
      <c r="U95" s="897"/>
      <c r="V95" s="897"/>
      <c r="W95" s="898"/>
      <c r="X95" s="899"/>
      <c r="Y95" s="896"/>
      <c r="Z95" s="897"/>
      <c r="AA95" s="897"/>
      <c r="AB95" s="898"/>
      <c r="AC95" s="899"/>
      <c r="AD95" s="896"/>
      <c r="AE95" s="897"/>
      <c r="AF95" s="897"/>
      <c r="AG95" s="898"/>
      <c r="AH95" s="899"/>
      <c r="AI95" s="896"/>
      <c r="AJ95" s="897"/>
      <c r="AK95" s="897"/>
      <c r="AL95" s="898"/>
      <c r="AM95" s="899"/>
      <c r="AN95" s="896"/>
      <c r="AO95" s="897"/>
      <c r="AP95" s="897"/>
      <c r="AQ95" s="898"/>
      <c r="AR95" s="899"/>
      <c r="AS95" s="896"/>
      <c r="AT95" s="897"/>
      <c r="AU95" s="897"/>
      <c r="AV95" s="898"/>
      <c r="AW95" s="899"/>
      <c r="AX95" s="896"/>
      <c r="AY95" s="897"/>
      <c r="AZ95" s="897"/>
      <c r="BA95" s="898"/>
      <c r="BB95" s="899"/>
      <c r="BC95" s="896"/>
      <c r="BD95" s="897"/>
      <c r="BE95" s="897"/>
      <c r="BF95" s="898"/>
      <c r="BG95" s="899"/>
      <c r="BH95" s="896"/>
      <c r="BI95" s="897"/>
      <c r="BJ95" s="897"/>
      <c r="BK95" s="898"/>
      <c r="BL95" s="899"/>
      <c r="BM95" s="895"/>
      <c r="BN95" s="895"/>
      <c r="BO95" s="895"/>
      <c r="BP95" s="895"/>
      <c r="BQ95" s="895"/>
      <c r="BR95" s="895"/>
      <c r="BS95" s="895"/>
      <c r="BT95" s="895"/>
      <c r="BU95" s="895"/>
      <c r="BV95" s="895"/>
      <c r="BW95" s="895"/>
      <c r="BX95" s="895"/>
      <c r="BY95" s="895"/>
      <c r="BZ95" s="895"/>
      <c r="CA95" s="895"/>
      <c r="CB95" s="895"/>
      <c r="CC95" s="895"/>
      <c r="CD95" s="895"/>
      <c r="CE95" s="895"/>
      <c r="CF95" s="895"/>
      <c r="CG95" s="895"/>
      <c r="CH95" s="895"/>
      <c r="CI95" s="895"/>
      <c r="CJ95" s="895"/>
      <c r="CK95" s="895"/>
      <c r="CL95" s="895"/>
      <c r="CM95" s="895"/>
      <c r="CN95" s="895"/>
      <c r="CO95" s="895"/>
      <c r="CP95" s="895"/>
    </row>
    <row r="96" spans="1:94">
      <c r="A96" s="895"/>
      <c r="B96" s="895"/>
      <c r="C96" s="1762" t="s">
        <v>886</v>
      </c>
      <c r="D96" s="895"/>
      <c r="E96" s="896"/>
      <c r="F96" s="897"/>
      <c r="G96" s="897"/>
      <c r="H96" s="898"/>
      <c r="I96" s="1432">
        <v>4541</v>
      </c>
      <c r="J96" s="896"/>
      <c r="K96" s="897"/>
      <c r="L96" s="897"/>
      <c r="M96" s="291">
        <f>+N96</f>
        <v>4661</v>
      </c>
      <c r="N96" s="1432">
        <v>4661</v>
      </c>
      <c r="O96" s="896"/>
      <c r="P96" s="897"/>
      <c r="Q96" s="897"/>
      <c r="R96" s="291">
        <f>+S96</f>
        <v>4949</v>
      </c>
      <c r="S96" s="1432">
        <v>4949</v>
      </c>
      <c r="T96" s="896"/>
      <c r="U96" s="897"/>
      <c r="V96" s="897"/>
      <c r="W96" s="291">
        <f>+X96</f>
        <v>5287</v>
      </c>
      <c r="X96" s="1432">
        <v>5287</v>
      </c>
      <c r="Y96" s="896"/>
      <c r="Z96" s="897"/>
      <c r="AA96" s="897"/>
      <c r="AB96" s="291">
        <f>+AC96</f>
        <v>5668</v>
      </c>
      <c r="AC96" s="1432">
        <v>5668</v>
      </c>
      <c r="AD96" s="896"/>
      <c r="AE96" s="897"/>
      <c r="AF96" s="897"/>
      <c r="AG96" s="291">
        <f>+AH96</f>
        <v>5996</v>
      </c>
      <c r="AH96" s="1432">
        <v>5996</v>
      </c>
      <c r="AI96" s="896"/>
      <c r="AJ96" s="897"/>
      <c r="AK96" s="897"/>
      <c r="AL96" s="291"/>
      <c r="AM96" s="330"/>
      <c r="AN96" s="896"/>
      <c r="AO96" s="897"/>
      <c r="AP96" s="897"/>
      <c r="AQ96" s="898"/>
      <c r="AR96" s="899"/>
      <c r="AS96" s="896"/>
      <c r="AT96" s="897"/>
      <c r="AU96" s="897"/>
      <c r="AV96" s="898"/>
      <c r="AW96" s="899"/>
      <c r="AX96" s="896"/>
      <c r="AY96" s="897"/>
      <c r="AZ96" s="897"/>
      <c r="BA96" s="898"/>
      <c r="BB96" s="899"/>
      <c r="BC96" s="896"/>
      <c r="BD96" s="897"/>
      <c r="BE96" s="897"/>
      <c r="BF96" s="898"/>
      <c r="BG96" s="899"/>
      <c r="BH96" s="896"/>
      <c r="BI96" s="897"/>
      <c r="BJ96" s="897"/>
      <c r="BK96" s="898"/>
      <c r="BL96" s="899"/>
      <c r="BM96" s="895"/>
      <c r="BN96" s="895"/>
      <c r="BO96" s="895"/>
      <c r="BP96" s="895"/>
      <c r="BQ96" s="895"/>
      <c r="BR96" s="895"/>
      <c r="BS96" s="895"/>
      <c r="BT96" s="895"/>
      <c r="BU96" s="895"/>
      <c r="BV96" s="895"/>
      <c r="BW96" s="895"/>
      <c r="BX96" s="895"/>
      <c r="BY96" s="895"/>
      <c r="BZ96" s="895"/>
      <c r="CA96" s="895"/>
      <c r="CB96" s="895"/>
      <c r="CC96" s="895"/>
      <c r="CD96" s="895"/>
      <c r="CE96" s="895"/>
      <c r="CF96" s="895"/>
      <c r="CG96" s="895"/>
      <c r="CH96" s="895"/>
      <c r="CI96" s="895"/>
      <c r="CJ96" s="895"/>
      <c r="CK96" s="895"/>
      <c r="CL96" s="895"/>
      <c r="CM96" s="895"/>
      <c r="CN96" s="895"/>
      <c r="CO96" s="895"/>
      <c r="CP96" s="895"/>
    </row>
    <row r="97" spans="1:96">
      <c r="A97" s="895"/>
      <c r="B97" s="895"/>
      <c r="C97" s="1762" t="s">
        <v>736</v>
      </c>
      <c r="D97" s="895"/>
      <c r="E97" s="896"/>
      <c r="F97" s="897"/>
      <c r="G97" s="897"/>
      <c r="H97" s="898"/>
      <c r="I97" s="1432">
        <v>884</v>
      </c>
      <c r="J97" s="896"/>
      <c r="K97" s="897"/>
      <c r="L97" s="897"/>
      <c r="M97" s="291">
        <f>+N97</f>
        <v>986</v>
      </c>
      <c r="N97" s="1432">
        <v>986</v>
      </c>
      <c r="O97" s="896"/>
      <c r="P97" s="897"/>
      <c r="Q97" s="897"/>
      <c r="R97" s="291">
        <f>+S97</f>
        <v>1166</v>
      </c>
      <c r="S97" s="1432">
        <v>1166</v>
      </c>
      <c r="T97" s="896"/>
      <c r="U97" s="897"/>
      <c r="V97" s="897"/>
      <c r="W97" s="291">
        <f>+X97</f>
        <v>1223</v>
      </c>
      <c r="X97" s="1432">
        <v>1223</v>
      </c>
      <c r="Y97" s="896"/>
      <c r="Z97" s="897"/>
      <c r="AA97" s="897"/>
      <c r="AB97" s="291">
        <f>+AC97</f>
        <v>1306</v>
      </c>
      <c r="AC97" s="1432">
        <v>1306</v>
      </c>
      <c r="AD97" s="896"/>
      <c r="AE97" s="897"/>
      <c r="AF97" s="897"/>
      <c r="AG97" s="291">
        <f>+AH97</f>
        <v>1378</v>
      </c>
      <c r="AH97" s="1432">
        <v>1378</v>
      </c>
      <c r="AI97" s="896"/>
      <c r="AJ97" s="897"/>
      <c r="AK97" s="897"/>
      <c r="AL97" s="291"/>
      <c r="AM97" s="330"/>
      <c r="AN97" s="896"/>
      <c r="AO97" s="897"/>
      <c r="AP97" s="897"/>
      <c r="AQ97" s="898"/>
      <c r="AR97" s="899"/>
      <c r="AS97" s="896"/>
      <c r="AT97" s="897"/>
      <c r="AU97" s="897"/>
      <c r="AV97" s="898"/>
      <c r="AW97" s="899"/>
      <c r="AX97" s="896"/>
      <c r="AY97" s="897"/>
      <c r="AZ97" s="897"/>
      <c r="BA97" s="898"/>
      <c r="BB97" s="899"/>
      <c r="BC97" s="896"/>
      <c r="BD97" s="897"/>
      <c r="BE97" s="897"/>
      <c r="BF97" s="898"/>
      <c r="BG97" s="899"/>
      <c r="BH97" s="896"/>
      <c r="BI97" s="897"/>
      <c r="BJ97" s="897"/>
      <c r="BK97" s="898"/>
      <c r="BL97" s="899"/>
      <c r="BM97" s="895"/>
      <c r="BN97" s="895"/>
      <c r="BO97" s="895"/>
      <c r="BP97" s="895"/>
      <c r="BQ97" s="895"/>
      <c r="BR97" s="895"/>
      <c r="BS97" s="895"/>
      <c r="BT97" s="895"/>
      <c r="BU97" s="895"/>
      <c r="BV97" s="895"/>
      <c r="BW97" s="895"/>
      <c r="BX97" s="895"/>
      <c r="BY97" s="895"/>
      <c r="BZ97" s="895"/>
      <c r="CA97" s="895"/>
      <c r="CB97" s="895"/>
      <c r="CC97" s="895"/>
      <c r="CD97" s="895"/>
      <c r="CE97" s="895"/>
      <c r="CF97" s="895"/>
      <c r="CG97" s="895"/>
      <c r="CH97" s="895"/>
      <c r="CI97" s="895"/>
      <c r="CJ97" s="895"/>
      <c r="CK97" s="895"/>
      <c r="CL97" s="895"/>
      <c r="CM97" s="895"/>
      <c r="CN97" s="895"/>
      <c r="CO97" s="895"/>
      <c r="CP97" s="895"/>
    </row>
    <row r="98" spans="1:96">
      <c r="A98" s="895"/>
      <c r="B98" s="895"/>
      <c r="C98" s="1762" t="s">
        <v>737</v>
      </c>
      <c r="D98" s="895"/>
      <c r="E98" s="896"/>
      <c r="F98" s="897"/>
      <c r="G98" s="897"/>
      <c r="H98" s="898"/>
      <c r="I98" s="1432">
        <v>460</v>
      </c>
      <c r="J98" s="896"/>
      <c r="K98" s="897"/>
      <c r="L98" s="897"/>
      <c r="M98" s="291">
        <f>+N98</f>
        <v>493</v>
      </c>
      <c r="N98" s="1432">
        <v>493</v>
      </c>
      <c r="O98" s="896"/>
      <c r="P98" s="897"/>
      <c r="Q98" s="897"/>
      <c r="R98" s="291">
        <f>+S98</f>
        <v>432</v>
      </c>
      <c r="S98" s="1432">
        <v>432</v>
      </c>
      <c r="T98" s="896"/>
      <c r="U98" s="897"/>
      <c r="V98" s="897"/>
      <c r="W98" s="291">
        <f>+X98</f>
        <v>488</v>
      </c>
      <c r="X98" s="1432">
        <v>488</v>
      </c>
      <c r="Y98" s="896"/>
      <c r="Z98" s="897"/>
      <c r="AA98" s="897"/>
      <c r="AB98" s="291">
        <f>+AC98</f>
        <v>478</v>
      </c>
      <c r="AC98" s="1432">
        <v>478</v>
      </c>
      <c r="AD98" s="896"/>
      <c r="AE98" s="897"/>
      <c r="AF98" s="897"/>
      <c r="AG98" s="291">
        <f>+AH98</f>
        <v>399</v>
      </c>
      <c r="AH98" s="1432">
        <v>399</v>
      </c>
      <c r="AI98" s="896"/>
      <c r="AJ98" s="897"/>
      <c r="AK98" s="897"/>
      <c r="AL98" s="291"/>
      <c r="AM98" s="330"/>
      <c r="AN98" s="896"/>
      <c r="AO98" s="897"/>
      <c r="AP98" s="897"/>
      <c r="AQ98" s="898"/>
      <c r="AR98" s="899"/>
      <c r="AS98" s="896"/>
      <c r="AT98" s="897"/>
      <c r="AU98" s="897"/>
      <c r="AV98" s="898"/>
      <c r="AW98" s="899"/>
      <c r="AX98" s="896"/>
      <c r="AY98" s="897"/>
      <c r="AZ98" s="897"/>
      <c r="BA98" s="898"/>
      <c r="BB98" s="899"/>
      <c r="BC98" s="896"/>
      <c r="BD98" s="897"/>
      <c r="BE98" s="897"/>
      <c r="BF98" s="898"/>
      <c r="BG98" s="899"/>
      <c r="BH98" s="896"/>
      <c r="BI98" s="897"/>
      <c r="BJ98" s="897"/>
      <c r="BK98" s="898"/>
      <c r="BL98" s="899"/>
      <c r="BM98" s="895"/>
      <c r="BN98" s="895"/>
      <c r="BO98" s="895"/>
      <c r="BP98" s="895"/>
      <c r="BQ98" s="895"/>
      <c r="BR98" s="895"/>
      <c r="BS98" s="895"/>
      <c r="BT98" s="895"/>
      <c r="BU98" s="895"/>
      <c r="BV98" s="895"/>
      <c r="BW98" s="895"/>
      <c r="BX98" s="895"/>
      <c r="BY98" s="895"/>
      <c r="BZ98" s="895"/>
      <c r="CA98" s="895"/>
      <c r="CB98" s="895"/>
      <c r="CC98" s="895"/>
      <c r="CD98" s="895"/>
      <c r="CE98" s="895"/>
      <c r="CF98" s="895"/>
      <c r="CG98" s="895"/>
      <c r="CH98" s="895"/>
      <c r="CI98" s="895"/>
      <c r="CJ98" s="895"/>
      <c r="CK98" s="895"/>
      <c r="CL98" s="895"/>
      <c r="CM98" s="895"/>
      <c r="CN98" s="895"/>
      <c r="CO98" s="895"/>
      <c r="CP98" s="895"/>
    </row>
    <row r="99" spans="1:96">
      <c r="A99" s="228"/>
      <c r="B99" s="228"/>
      <c r="C99" s="1756" t="s">
        <v>738</v>
      </c>
      <c r="D99" s="228"/>
      <c r="E99" s="292"/>
      <c r="F99" s="261"/>
      <c r="G99" s="261"/>
      <c r="H99" s="293"/>
      <c r="I99" s="228">
        <f>+SUM(I96:I98)</f>
        <v>5885</v>
      </c>
      <c r="J99" s="585">
        <f>6268-J103</f>
        <v>6268</v>
      </c>
      <c r="K99" s="343">
        <f>6353-K103</f>
        <v>6353</v>
      </c>
      <c r="L99" s="343">
        <f>6475-L103</f>
        <v>6475</v>
      </c>
      <c r="M99" s="293">
        <f>+SUM(M96:M98)</f>
        <v>6140</v>
      </c>
      <c r="N99" s="228">
        <f>+SUM(N96:N98)</f>
        <v>6140</v>
      </c>
      <c r="O99" s="585">
        <f>6691-O103</f>
        <v>6388</v>
      </c>
      <c r="P99" s="343">
        <f>6790-P103</f>
        <v>6487</v>
      </c>
      <c r="Q99" s="343">
        <f>6753-Q103</f>
        <v>6450</v>
      </c>
      <c r="R99" s="293">
        <f>+SUM(R96:R98)</f>
        <v>6547</v>
      </c>
      <c r="S99" s="228">
        <f>+SUM(S96:S98)</f>
        <v>6547</v>
      </c>
      <c r="T99" s="585">
        <f>6939-T103</f>
        <v>6627</v>
      </c>
      <c r="U99" s="343">
        <f>7054-U103</f>
        <v>6742</v>
      </c>
      <c r="V99" s="343">
        <f>7164-V103</f>
        <v>6852</v>
      </c>
      <c r="W99" s="293">
        <f>+SUM(W96:W98)</f>
        <v>6998</v>
      </c>
      <c r="X99" s="228">
        <f>+SUM(X96:X98)</f>
        <v>6998</v>
      </c>
      <c r="Y99" s="585">
        <f>7415-Y103</f>
        <v>7103</v>
      </c>
      <c r="Z99" s="343">
        <f>7527-Z103</f>
        <v>7215</v>
      </c>
      <c r="AA99" s="343">
        <f>7652-AA103</f>
        <v>7340</v>
      </c>
      <c r="AB99" s="293">
        <f>+SUM(AB96:AB98)</f>
        <v>7452</v>
      </c>
      <c r="AC99" s="228">
        <f>+SUM(AC96:AC98)</f>
        <v>7452</v>
      </c>
      <c r="AD99" s="585">
        <f>7753-AD103</f>
        <v>7435</v>
      </c>
      <c r="AE99" s="343">
        <f>7848-AE103</f>
        <v>7530</v>
      </c>
      <c r="AF99" s="343">
        <f>7949-AF103</f>
        <v>7631</v>
      </c>
      <c r="AG99" s="293">
        <f>+SUM(AG96:AG98)</f>
        <v>7773</v>
      </c>
      <c r="AH99" s="228">
        <f>+SUM(AH96:AH98)</f>
        <v>7773</v>
      </c>
      <c r="AI99" s="585">
        <f>5225-AI103+AI100</f>
        <v>7648</v>
      </c>
      <c r="AJ99" s="343">
        <f>5321-AJ103+AJ100</f>
        <v>7779</v>
      </c>
      <c r="AK99" s="343">
        <f>5409-AK103+AK100</f>
        <v>7898</v>
      </c>
      <c r="AL99" s="293">
        <f>AM99</f>
        <v>8084</v>
      </c>
      <c r="AM99" s="344">
        <f>5571-AM103+AM100</f>
        <v>8084</v>
      </c>
      <c r="AN99" s="585">
        <f>5659-AN103+AN100</f>
        <v>8276</v>
      </c>
      <c r="AO99" s="343">
        <f>5759-AO103+AO100</f>
        <v>8417</v>
      </c>
      <c r="AP99" s="343">
        <f>5866-AP103+AP100</f>
        <v>8564</v>
      </c>
      <c r="AQ99" s="293">
        <f>AR99</f>
        <v>8705</v>
      </c>
      <c r="AR99" s="344">
        <f>6001-AR103+AR100</f>
        <v>8705</v>
      </c>
      <c r="AS99" s="292">
        <f>+AR99+AS117-(AS103-AR103)</f>
        <v>8813.1910828025484</v>
      </c>
      <c r="AT99" s="261">
        <f>+AS99+AT117-(AT103-AS103)</f>
        <v>8994.4410828025484</v>
      </c>
      <c r="AU99" s="261">
        <f>+AT99+AU117-(AU103-AT103)</f>
        <v>9175.6910828025484</v>
      </c>
      <c r="AV99" s="293">
        <f>+AU99+AV117-(AV103-AU103)</f>
        <v>9356.9410828025484</v>
      </c>
      <c r="AW99" s="228">
        <f>+AV99</f>
        <v>9356.9410828025484</v>
      </c>
      <c r="AX99" s="292">
        <f>+AW99+AX117-(AX103-AW103)</f>
        <v>9538.1910828025484</v>
      </c>
      <c r="AY99" s="261">
        <f>+AX99+AY117-(AY103-AX103)</f>
        <v>9719.4410828025484</v>
      </c>
      <c r="AZ99" s="261">
        <f>+AY99+AZ117-(AZ103-AY103)</f>
        <v>9900.6910828025484</v>
      </c>
      <c r="BA99" s="293">
        <f>+AZ99+BA117-(BA103-AZ103)</f>
        <v>10081.941082802548</v>
      </c>
      <c r="BB99" s="228">
        <f>+BA99</f>
        <v>10081.941082802548</v>
      </c>
      <c r="BC99" s="292">
        <f>+BB99+BC117-(BC103-BB103)</f>
        <v>10200.292993630574</v>
      </c>
      <c r="BD99" s="261">
        <f>+BC99+BD117-(BD103-BC103)</f>
        <v>10412.792993630574</v>
      </c>
      <c r="BE99" s="261">
        <f>+BD99+BE117-(BE103-BD103)</f>
        <v>10625.292993630574</v>
      </c>
      <c r="BF99" s="293">
        <f>+BE99+BF117-(BF103-BE103)</f>
        <v>10837.792993630574</v>
      </c>
      <c r="BG99" s="228">
        <f>+BF99</f>
        <v>10837.792993630574</v>
      </c>
      <c r="BH99" s="292">
        <f>+BG99+BH117-(BH103-BG103)</f>
        <v>11012.554140127389</v>
      </c>
      <c r="BI99" s="261">
        <f>+BH99+BI117-(BI103-BH103)</f>
        <v>11243.804140127389</v>
      </c>
      <c r="BJ99" s="261">
        <f>+BI99+BJ117-(BJ103-BI103)</f>
        <v>11475.054140127389</v>
      </c>
      <c r="BK99" s="293">
        <f>+BJ99+BK117-(BK103-BJ103)</f>
        <v>11706.304140127389</v>
      </c>
      <c r="BL99" s="228">
        <f>+BK99</f>
        <v>11706.304140127389</v>
      </c>
      <c r="BM99" s="228"/>
      <c r="BN99" s="228"/>
      <c r="BO99" s="228"/>
      <c r="BP99" s="228"/>
      <c r="BQ99" s="228"/>
      <c r="BR99" s="228"/>
      <c r="BS99" s="228"/>
      <c r="BT99" s="228"/>
      <c r="BU99" s="228"/>
      <c r="BV99" s="228"/>
      <c r="BW99" s="228"/>
      <c r="BX99" s="228"/>
      <c r="BY99" s="228"/>
      <c r="BZ99" s="228"/>
      <c r="CA99" s="228"/>
      <c r="CB99" s="228"/>
      <c r="CC99" s="228"/>
      <c r="CD99" s="228"/>
      <c r="CE99" s="228"/>
      <c r="CF99" s="228"/>
      <c r="CG99" s="228"/>
      <c r="CH99" s="228"/>
      <c r="CI99" s="228"/>
      <c r="CJ99" s="228"/>
      <c r="CK99" s="228"/>
      <c r="CL99" s="228"/>
      <c r="CM99" s="228"/>
      <c r="CN99" s="228"/>
      <c r="CO99" s="228"/>
      <c r="CP99" s="228"/>
    </row>
    <row r="100" spans="1:96">
      <c r="A100" s="45"/>
      <c r="B100" s="45"/>
      <c r="C100" s="1716" t="s">
        <v>396</v>
      </c>
      <c r="D100" s="45"/>
      <c r="E100" s="337"/>
      <c r="F100" s="338"/>
      <c r="G100" s="338"/>
      <c r="H100" s="291"/>
      <c r="I100" s="1432">
        <v>2609</v>
      </c>
      <c r="J100" s="337">
        <v>2636</v>
      </c>
      <c r="K100" s="338">
        <v>2666</v>
      </c>
      <c r="L100" s="338">
        <v>2697</v>
      </c>
      <c r="M100" s="291">
        <f>N100</f>
        <v>2704</v>
      </c>
      <c r="N100" s="1432">
        <v>2704</v>
      </c>
      <c r="O100" s="337">
        <v>2722</v>
      </c>
      <c r="P100" s="338">
        <v>2726</v>
      </c>
      <c r="Q100" s="338">
        <v>2704</v>
      </c>
      <c r="R100" s="291">
        <f>S100</f>
        <v>2705</v>
      </c>
      <c r="S100" s="1432">
        <v>2705</v>
      </c>
      <c r="T100" s="337">
        <v>2704</v>
      </c>
      <c r="U100" s="338">
        <v>2722</v>
      </c>
      <c r="V100" s="338">
        <v>2730</v>
      </c>
      <c r="W100" s="291">
        <f>X100</f>
        <v>2772</v>
      </c>
      <c r="X100" s="1432">
        <v>2772</v>
      </c>
      <c r="Y100" s="337">
        <v>2787</v>
      </c>
      <c r="Z100" s="338">
        <v>2810</v>
      </c>
      <c r="AA100" s="338">
        <v>2836</v>
      </c>
      <c r="AB100" s="291">
        <f>AC100</f>
        <v>2816</v>
      </c>
      <c r="AC100" s="1432">
        <v>2816</v>
      </c>
      <c r="AD100" s="337">
        <v>2734</v>
      </c>
      <c r="AE100" s="338">
        <v>2746</v>
      </c>
      <c r="AF100" s="338">
        <v>2773</v>
      </c>
      <c r="AG100" s="291">
        <f>AH100</f>
        <v>2799</v>
      </c>
      <c r="AH100" s="1432">
        <v>2799</v>
      </c>
      <c r="AI100" s="337">
        <v>2960</v>
      </c>
      <c r="AJ100" s="338">
        <v>2995</v>
      </c>
      <c r="AK100" s="338">
        <v>3026</v>
      </c>
      <c r="AL100" s="291">
        <f>AM100</f>
        <v>3050</v>
      </c>
      <c r="AM100" s="1432">
        <v>3050</v>
      </c>
      <c r="AN100" s="337">
        <v>3090</v>
      </c>
      <c r="AO100" s="338">
        <v>3131</v>
      </c>
      <c r="AP100" s="338">
        <v>3171</v>
      </c>
      <c r="AQ100" s="291">
        <f>AR100</f>
        <v>3177</v>
      </c>
      <c r="AR100" s="1432">
        <v>3177</v>
      </c>
      <c r="AS100" s="290">
        <f>+AR100+AS107</f>
        <v>3256.9765589231756</v>
      </c>
      <c r="AT100" s="260">
        <f>+AS100+AT107</f>
        <v>3337.3613125879447</v>
      </c>
      <c r="AU100" s="260">
        <f>+AT100+AU107</f>
        <v>3419.2053381985947</v>
      </c>
      <c r="AV100" s="291">
        <f>+AU100+AV107</f>
        <v>3502.4875236804578</v>
      </c>
      <c r="AW100" s="45">
        <f>+AV100</f>
        <v>3502.4875236804578</v>
      </c>
      <c r="AX100" s="290">
        <f>+AW100+AX107</f>
        <v>3587.187062398642</v>
      </c>
      <c r="AY100" s="260">
        <f>+AX100+AY107</f>
        <v>3673.2834487390701</v>
      </c>
      <c r="AZ100" s="260">
        <f>+AY100+AZ107</f>
        <v>3760.756473753449</v>
      </c>
      <c r="BA100" s="291">
        <f>+AZ100+BA107</f>
        <v>3849.5862208672443</v>
      </c>
      <c r="BB100" s="45">
        <f>+BA100</f>
        <v>3849.5862208672443</v>
      </c>
      <c r="BC100" s="290">
        <f>+BB100+BC107</f>
        <v>3939.7530616497529</v>
      </c>
      <c r="BD100" s="260">
        <f>+BC100+BD107</f>
        <v>4030.3276710493474</v>
      </c>
      <c r="BE100" s="260">
        <f>+BD100+BE107</f>
        <v>4122.6662408660159</v>
      </c>
      <c r="BF100" s="291">
        <f>+BE100+BF107</f>
        <v>4216.7432509325663</v>
      </c>
      <c r="BG100" s="45">
        <f>+BF100</f>
        <v>4216.7432509325663</v>
      </c>
      <c r="BH100" s="290">
        <f>+BG100+BH107</f>
        <v>4312.5335502958378</v>
      </c>
      <c r="BI100" s="260">
        <f>+BH100+BI107</f>
        <v>4409.4663635174647</v>
      </c>
      <c r="BJ100" s="260">
        <f>+BI100+BJ107</f>
        <v>4508.3424159581173</v>
      </c>
      <c r="BK100" s="291">
        <f>+BJ100+BK107</f>
        <v>4609.1335937274371</v>
      </c>
      <c r="BL100" s="45">
        <f>+BK100</f>
        <v>4609.1335937274371</v>
      </c>
      <c r="BM100" s="45"/>
      <c r="BN100" s="45"/>
      <c r="BO100" s="45"/>
      <c r="BP100" s="45"/>
      <c r="BQ100" s="45"/>
      <c r="BR100" s="45"/>
      <c r="BS100" s="45"/>
      <c r="BT100" s="45"/>
      <c r="BU100" s="45"/>
      <c r="BV100" s="45"/>
      <c r="BW100" s="45"/>
      <c r="BX100" s="45"/>
      <c r="BY100" s="45"/>
      <c r="BZ100" s="45"/>
      <c r="CA100" s="45"/>
      <c r="CB100" s="45"/>
      <c r="CC100" s="45"/>
      <c r="CD100" s="45"/>
      <c r="CE100" s="45"/>
      <c r="CF100" s="45"/>
      <c r="CG100" s="45"/>
      <c r="CH100" s="45"/>
      <c r="CI100" s="45"/>
      <c r="CJ100" s="45"/>
      <c r="CK100" s="45"/>
      <c r="CL100" s="45"/>
      <c r="CM100" s="45"/>
      <c r="CN100" s="45"/>
      <c r="CO100" s="45"/>
      <c r="CP100" s="45"/>
    </row>
    <row r="101" spans="1:96">
      <c r="A101" s="45"/>
      <c r="B101" s="45"/>
      <c r="C101" s="1756" t="s">
        <v>142</v>
      </c>
      <c r="D101" s="45"/>
      <c r="E101" s="292"/>
      <c r="F101" s="261"/>
      <c r="G101" s="261"/>
      <c r="H101" s="293"/>
      <c r="I101" s="228">
        <f t="shared" ref="I101:AW101" si="262">I99-I100</f>
        <v>3276</v>
      </c>
      <c r="J101" s="292">
        <f t="shared" si="262"/>
        <v>3632</v>
      </c>
      <c r="K101" s="261">
        <f t="shared" si="262"/>
        <v>3687</v>
      </c>
      <c r="L101" s="261">
        <f t="shared" si="262"/>
        <v>3778</v>
      </c>
      <c r="M101" s="293">
        <f t="shared" si="262"/>
        <v>3436</v>
      </c>
      <c r="N101" s="228">
        <f t="shared" si="262"/>
        <v>3436</v>
      </c>
      <c r="O101" s="292">
        <f t="shared" si="262"/>
        <v>3666</v>
      </c>
      <c r="P101" s="261">
        <f t="shared" si="262"/>
        <v>3761</v>
      </c>
      <c r="Q101" s="261">
        <f t="shared" si="262"/>
        <v>3746</v>
      </c>
      <c r="R101" s="293">
        <f t="shared" si="262"/>
        <v>3842</v>
      </c>
      <c r="S101" s="228">
        <f t="shared" si="262"/>
        <v>3842</v>
      </c>
      <c r="T101" s="292">
        <f t="shared" si="262"/>
        <v>3923</v>
      </c>
      <c r="U101" s="261">
        <f t="shared" si="262"/>
        <v>4020</v>
      </c>
      <c r="V101" s="261">
        <f t="shared" si="262"/>
        <v>4122</v>
      </c>
      <c r="W101" s="293">
        <f t="shared" si="262"/>
        <v>4226</v>
      </c>
      <c r="X101" s="228">
        <f t="shared" si="262"/>
        <v>4226</v>
      </c>
      <c r="Y101" s="292">
        <f t="shared" si="262"/>
        <v>4316</v>
      </c>
      <c r="Z101" s="261">
        <f t="shared" si="262"/>
        <v>4405</v>
      </c>
      <c r="AA101" s="261">
        <f t="shared" ref="AA101:AE101" si="263">AA99-AA100</f>
        <v>4504</v>
      </c>
      <c r="AB101" s="293">
        <f t="shared" si="263"/>
        <v>4636</v>
      </c>
      <c r="AC101" s="228">
        <f t="shared" si="263"/>
        <v>4636</v>
      </c>
      <c r="AD101" s="292">
        <f t="shared" si="263"/>
        <v>4701</v>
      </c>
      <c r="AE101" s="261">
        <f t="shared" si="263"/>
        <v>4784</v>
      </c>
      <c r="AF101" s="261">
        <f t="shared" ref="AF101:AJ101" si="264">AF99-AF100</f>
        <v>4858</v>
      </c>
      <c r="AG101" s="293">
        <f t="shared" si="264"/>
        <v>4974</v>
      </c>
      <c r="AH101" s="228">
        <f t="shared" si="264"/>
        <v>4974</v>
      </c>
      <c r="AI101" s="292">
        <f t="shared" si="264"/>
        <v>4688</v>
      </c>
      <c r="AJ101" s="261">
        <f t="shared" si="264"/>
        <v>4784</v>
      </c>
      <c r="AK101" s="261">
        <f t="shared" ref="AK101:AO101" si="265">AK99-AK100</f>
        <v>4872</v>
      </c>
      <c r="AL101" s="293">
        <f t="shared" si="265"/>
        <v>5034</v>
      </c>
      <c r="AM101" s="228">
        <f t="shared" si="265"/>
        <v>5034</v>
      </c>
      <c r="AN101" s="292">
        <f t="shared" si="265"/>
        <v>5186</v>
      </c>
      <c r="AO101" s="261">
        <f t="shared" si="265"/>
        <v>5286</v>
      </c>
      <c r="AP101" s="261">
        <f t="shared" si="262"/>
        <v>5393</v>
      </c>
      <c r="AQ101" s="293">
        <f t="shared" si="262"/>
        <v>5528</v>
      </c>
      <c r="AR101" s="228">
        <f t="shared" si="262"/>
        <v>5528</v>
      </c>
      <c r="AS101" s="292">
        <f t="shared" si="262"/>
        <v>5556.2145238793728</v>
      </c>
      <c r="AT101" s="261">
        <f t="shared" si="262"/>
        <v>5657.0797702146037</v>
      </c>
      <c r="AU101" s="261">
        <f t="shared" si="262"/>
        <v>5756.4857446039532</v>
      </c>
      <c r="AV101" s="293">
        <f t="shared" si="262"/>
        <v>5854.4535591220902</v>
      </c>
      <c r="AW101" s="228">
        <f t="shared" si="262"/>
        <v>5854.4535591220902</v>
      </c>
      <c r="AX101" s="292">
        <f t="shared" ref="AX101:BG101" si="266">AX99-AX100</f>
        <v>5951.0040204039069</v>
      </c>
      <c r="AY101" s="261">
        <f t="shared" si="266"/>
        <v>6046.1576340634783</v>
      </c>
      <c r="AZ101" s="261">
        <f t="shared" si="266"/>
        <v>6139.9346090490999</v>
      </c>
      <c r="BA101" s="293">
        <f t="shared" si="266"/>
        <v>6232.3548619353041</v>
      </c>
      <c r="BB101" s="228">
        <f t="shared" si="266"/>
        <v>6232.3548619353041</v>
      </c>
      <c r="BC101" s="292">
        <f t="shared" si="266"/>
        <v>6260.5399319808203</v>
      </c>
      <c r="BD101" s="261">
        <f t="shared" si="266"/>
        <v>6382.4653225812262</v>
      </c>
      <c r="BE101" s="261">
        <f t="shared" si="266"/>
        <v>6502.6267527645578</v>
      </c>
      <c r="BF101" s="293">
        <f t="shared" si="266"/>
        <v>6621.0497426980073</v>
      </c>
      <c r="BG101" s="228">
        <f t="shared" si="266"/>
        <v>6621.0497426980073</v>
      </c>
      <c r="BH101" s="292">
        <f t="shared" ref="BH101:BL101" si="267">BH99-BH100</f>
        <v>6700.0205898315517</v>
      </c>
      <c r="BI101" s="261">
        <f t="shared" si="267"/>
        <v>6834.3377766099247</v>
      </c>
      <c r="BJ101" s="261">
        <f t="shared" si="267"/>
        <v>6966.7117241692722</v>
      </c>
      <c r="BK101" s="293">
        <f t="shared" si="267"/>
        <v>7097.1705463999524</v>
      </c>
      <c r="BL101" s="228">
        <f t="shared" si="267"/>
        <v>7097.1705463999524</v>
      </c>
      <c r="BM101" s="45"/>
      <c r="BN101" s="45"/>
      <c r="BO101" s="45"/>
      <c r="BP101" s="45"/>
      <c r="BQ101" s="45"/>
      <c r="BR101" s="45"/>
      <c r="BS101" s="45"/>
      <c r="BT101" s="45"/>
      <c r="BU101" s="45"/>
      <c r="BV101" s="45"/>
      <c r="BW101" s="45"/>
      <c r="BX101" s="45"/>
      <c r="BY101" s="45"/>
      <c r="BZ101" s="45"/>
      <c r="CA101" s="45"/>
      <c r="CB101" s="45"/>
      <c r="CC101" s="45"/>
      <c r="CD101" s="45"/>
      <c r="CE101" s="45"/>
      <c r="CF101" s="45"/>
      <c r="CG101" s="45"/>
      <c r="CH101" s="45"/>
      <c r="CI101" s="45"/>
      <c r="CJ101" s="45"/>
      <c r="CK101" s="45"/>
      <c r="CL101" s="45"/>
      <c r="CM101" s="45"/>
      <c r="CN101" s="45"/>
      <c r="CO101" s="45"/>
      <c r="CP101" s="45"/>
    </row>
    <row r="102" spans="1:96">
      <c r="A102" s="45"/>
      <c r="B102" s="45"/>
      <c r="C102" s="1716"/>
      <c r="D102" s="45"/>
      <c r="E102" s="290"/>
      <c r="F102" s="260"/>
      <c r="G102" s="260"/>
      <c r="H102" s="291"/>
      <c r="I102" s="45"/>
      <c r="J102" s="290"/>
      <c r="K102" s="260"/>
      <c r="L102" s="260"/>
      <c r="M102" s="291"/>
      <c r="N102" s="45"/>
      <c r="O102" s="290"/>
      <c r="P102" s="260"/>
      <c r="Q102" s="260"/>
      <c r="R102" s="291"/>
      <c r="S102" s="45"/>
      <c r="T102" s="290"/>
      <c r="U102" s="260"/>
      <c r="V102" s="260"/>
      <c r="W102" s="291"/>
      <c r="X102" s="45"/>
      <c r="Y102" s="290"/>
      <c r="Z102" s="260"/>
      <c r="AA102" s="260"/>
      <c r="AB102" s="291"/>
      <c r="AC102" s="45"/>
      <c r="AD102" s="290"/>
      <c r="AE102" s="260"/>
      <c r="AF102" s="260"/>
      <c r="AG102" s="291"/>
      <c r="AH102" s="45"/>
      <c r="AI102" s="290"/>
      <c r="AJ102" s="260"/>
      <c r="AK102" s="260"/>
      <c r="AL102" s="291"/>
      <c r="AM102" s="45"/>
      <c r="AN102" s="290"/>
      <c r="AO102" s="260"/>
      <c r="AP102" s="260"/>
      <c r="AQ102" s="291"/>
      <c r="AR102" s="45"/>
      <c r="AS102" s="290"/>
      <c r="AT102" s="260"/>
      <c r="AU102" s="260"/>
      <c r="AV102" s="291"/>
      <c r="AW102" s="45"/>
      <c r="AX102" s="290"/>
      <c r="AY102" s="260"/>
      <c r="AZ102" s="260"/>
      <c r="BA102" s="291"/>
      <c r="BB102" s="45"/>
      <c r="BC102" s="290"/>
      <c r="BD102" s="260"/>
      <c r="BE102" s="260"/>
      <c r="BF102" s="291"/>
      <c r="BG102" s="45"/>
      <c r="BH102" s="290"/>
      <c r="BI102" s="260"/>
      <c r="BJ102" s="260"/>
      <c r="BK102" s="291"/>
      <c r="BL102" s="45"/>
      <c r="BM102" s="45"/>
      <c r="BN102" s="45"/>
      <c r="BO102" s="45"/>
      <c r="BP102" s="45"/>
      <c r="BQ102" s="45"/>
      <c r="BR102" s="45"/>
      <c r="BS102" s="45"/>
      <c r="BT102" s="45"/>
      <c r="BU102" s="45"/>
      <c r="BV102" s="45"/>
      <c r="BW102" s="45"/>
      <c r="BX102" s="45"/>
      <c r="BY102" s="45"/>
      <c r="BZ102" s="45"/>
      <c r="CA102" s="45"/>
      <c r="CB102" s="45"/>
      <c r="CC102" s="45"/>
      <c r="CD102" s="45"/>
      <c r="CE102" s="45"/>
      <c r="CF102" s="45"/>
      <c r="CG102" s="45"/>
      <c r="CH102" s="45"/>
      <c r="CI102" s="45"/>
      <c r="CJ102" s="45"/>
      <c r="CK102" s="45"/>
      <c r="CL102" s="45"/>
      <c r="CM102" s="45"/>
      <c r="CN102" s="45"/>
      <c r="CO102" s="45"/>
      <c r="CP102" s="45"/>
    </row>
    <row r="103" spans="1:96">
      <c r="A103" s="45"/>
      <c r="B103" s="45"/>
      <c r="C103" s="1716" t="s">
        <v>476</v>
      </c>
      <c r="D103" s="45"/>
      <c r="E103" s="337"/>
      <c r="F103" s="338"/>
      <c r="G103" s="338"/>
      <c r="H103" s="291"/>
      <c r="I103" s="1432">
        <v>300</v>
      </c>
      <c r="J103" s="290"/>
      <c r="K103" s="260"/>
      <c r="L103" s="260"/>
      <c r="M103" s="291"/>
      <c r="N103" s="1432">
        <v>438</v>
      </c>
      <c r="O103" s="290">
        <f>P103</f>
        <v>303</v>
      </c>
      <c r="P103" s="260">
        <f>Q103</f>
        <v>303</v>
      </c>
      <c r="Q103" s="260">
        <f>S103</f>
        <v>303</v>
      </c>
      <c r="R103" s="291">
        <f>S103</f>
        <v>303</v>
      </c>
      <c r="S103" s="1432">
        <v>303</v>
      </c>
      <c r="T103" s="290">
        <f>U103</f>
        <v>312</v>
      </c>
      <c r="U103" s="260">
        <f>V103</f>
        <v>312</v>
      </c>
      <c r="V103" s="260">
        <f>X103</f>
        <v>312</v>
      </c>
      <c r="W103" s="291">
        <f>X103</f>
        <v>312</v>
      </c>
      <c r="X103" s="1432">
        <v>312</v>
      </c>
      <c r="Y103" s="290">
        <f>+AC103</f>
        <v>312</v>
      </c>
      <c r="Z103" s="260">
        <f>+AC103</f>
        <v>312</v>
      </c>
      <c r="AA103" s="260">
        <f>+AC103</f>
        <v>312</v>
      </c>
      <c r="AB103" s="291">
        <f>AC103</f>
        <v>312</v>
      </c>
      <c r="AC103" s="1432">
        <v>312</v>
      </c>
      <c r="AD103" s="290">
        <f>+AH103</f>
        <v>318</v>
      </c>
      <c r="AE103" s="260">
        <f>+AH103</f>
        <v>318</v>
      </c>
      <c r="AF103" s="260">
        <f>+AH103</f>
        <v>318</v>
      </c>
      <c r="AG103" s="291">
        <f>AH103</f>
        <v>318</v>
      </c>
      <c r="AH103" s="1432">
        <v>318</v>
      </c>
      <c r="AI103" s="290">
        <f>+AM103</f>
        <v>537</v>
      </c>
      <c r="AJ103" s="260">
        <f>+AI103</f>
        <v>537</v>
      </c>
      <c r="AK103" s="260">
        <f>+AJ103</f>
        <v>537</v>
      </c>
      <c r="AL103" s="291">
        <f>AM103</f>
        <v>537</v>
      </c>
      <c r="AM103" s="1432">
        <v>537</v>
      </c>
      <c r="AN103" s="290">
        <f>+AR103</f>
        <v>473</v>
      </c>
      <c r="AO103" s="260">
        <f>+AN103</f>
        <v>473</v>
      </c>
      <c r="AP103" s="260">
        <f>+AO103</f>
        <v>473</v>
      </c>
      <c r="AQ103" s="291">
        <f>AR103</f>
        <v>473</v>
      </c>
      <c r="AR103" s="1432">
        <v>473</v>
      </c>
      <c r="AS103" s="290">
        <f>+AS104*AW117</f>
        <v>546.05891719745227</v>
      </c>
      <c r="AT103" s="646">
        <f>+AT104*AW117</f>
        <v>546.05891719745227</v>
      </c>
      <c r="AU103" s="646">
        <f>+AU104*AW117</f>
        <v>546.05891719745227</v>
      </c>
      <c r="AV103" s="586">
        <f>+AV104*AW117</f>
        <v>546.05891719745227</v>
      </c>
      <c r="AW103" s="647">
        <f>+AV103</f>
        <v>546.05891719745227</v>
      </c>
      <c r="AX103" s="290">
        <f>+AX104*BB117</f>
        <v>546.05891719745227</v>
      </c>
      <c r="AY103" s="646">
        <f>+AY104*BB117</f>
        <v>546.05891719745227</v>
      </c>
      <c r="AZ103" s="646">
        <f>+AZ104*BB117</f>
        <v>546.05891719745227</v>
      </c>
      <c r="BA103" s="586">
        <f>+BA104*BB117</f>
        <v>546.05891719745227</v>
      </c>
      <c r="BB103" s="647">
        <f>+BA103</f>
        <v>546.05891719745227</v>
      </c>
      <c r="BC103" s="290">
        <f>+BC104*BG117</f>
        <v>640.20700636942684</v>
      </c>
      <c r="BD103" s="646">
        <f>+BD104*BG117</f>
        <v>640.20700636942684</v>
      </c>
      <c r="BE103" s="646">
        <f>+BE104*BG117</f>
        <v>640.20700636942684</v>
      </c>
      <c r="BF103" s="586">
        <f>+BF104*BG117</f>
        <v>640.20700636942684</v>
      </c>
      <c r="BG103" s="647">
        <f>+BF103</f>
        <v>640.20700636942684</v>
      </c>
      <c r="BH103" s="290">
        <f>+BH104*BL117</f>
        <v>696.69585987261155</v>
      </c>
      <c r="BI103" s="646">
        <f>+BI104*BL117</f>
        <v>696.69585987261155</v>
      </c>
      <c r="BJ103" s="646">
        <f>+BJ104*BL117</f>
        <v>696.69585987261155</v>
      </c>
      <c r="BK103" s="586">
        <f>+BK104*BL117</f>
        <v>696.69585987261155</v>
      </c>
      <c r="BL103" s="647">
        <f>+BK103</f>
        <v>696.69585987261155</v>
      </c>
      <c r="BM103" s="45"/>
      <c r="BN103" s="45"/>
      <c r="BO103" s="45"/>
      <c r="BP103" s="45"/>
      <c r="BQ103" s="45"/>
      <c r="BR103" s="45"/>
      <c r="BS103" s="45"/>
      <c r="BT103" s="45"/>
      <c r="BU103" s="45"/>
      <c r="BV103" s="45"/>
      <c r="BW103" s="45"/>
      <c r="BX103" s="45"/>
      <c r="BY103" s="45"/>
      <c r="BZ103" s="45"/>
      <c r="CA103" s="45"/>
      <c r="CB103" s="45"/>
      <c r="CC103" s="45"/>
      <c r="CD103" s="45"/>
      <c r="CE103" s="45"/>
      <c r="CF103" s="45"/>
      <c r="CG103" s="45"/>
      <c r="CH103" s="45"/>
      <c r="CI103" s="45"/>
      <c r="CJ103" s="45"/>
      <c r="CK103" s="45"/>
      <c r="CL103" s="45"/>
      <c r="CM103" s="45"/>
      <c r="CN103" s="45"/>
      <c r="CO103" s="45"/>
      <c r="CP103" s="45"/>
    </row>
    <row r="104" spans="1:96">
      <c r="A104" s="1763"/>
      <c r="B104" s="1763"/>
      <c r="C104" s="1763" t="s">
        <v>146</v>
      </c>
      <c r="D104" s="1763"/>
      <c r="E104" s="1764"/>
      <c r="F104" s="1765"/>
      <c r="G104" s="1765"/>
      <c r="H104" s="1766"/>
      <c r="I104" s="1767"/>
      <c r="J104" s="1764"/>
      <c r="K104" s="1765"/>
      <c r="L104" s="1765"/>
      <c r="M104" s="1766"/>
      <c r="N104" s="1767">
        <f>N103/N117</f>
        <v>0.84069097888675626</v>
      </c>
      <c r="O104" s="1764"/>
      <c r="P104" s="1765"/>
      <c r="Q104" s="1765"/>
      <c r="R104" s="1766"/>
      <c r="S104" s="1767">
        <f>S103/S117</f>
        <v>0.51182432432432434</v>
      </c>
      <c r="T104" s="1764"/>
      <c r="U104" s="1765"/>
      <c r="V104" s="1765"/>
      <c r="W104" s="1766"/>
      <c r="X104" s="1767">
        <f>X103/X117</f>
        <v>0.54166666666666663</v>
      </c>
      <c r="Y104" s="1946">
        <f>Y103/AC117</f>
        <v>0.55026455026455023</v>
      </c>
      <c r="Z104" s="1947">
        <f>Z103/AC117</f>
        <v>0.55026455026455023</v>
      </c>
      <c r="AA104" s="1947">
        <f>AA103/AC117</f>
        <v>0.55026455026455023</v>
      </c>
      <c r="AB104" s="1766">
        <f>AB103/AC117</f>
        <v>0.55026455026455023</v>
      </c>
      <c r="AC104" s="1767">
        <f>AC103/AC117</f>
        <v>0.55026455026455023</v>
      </c>
      <c r="AD104" s="1946">
        <f>AD103/AH117</f>
        <v>0.5845588235294118</v>
      </c>
      <c r="AE104" s="1947">
        <f>AE103/AH117</f>
        <v>0.5845588235294118</v>
      </c>
      <c r="AF104" s="1947">
        <f>AF103/$AH$117</f>
        <v>0.5845588235294118</v>
      </c>
      <c r="AG104" s="1766">
        <f>AG103/AH117</f>
        <v>0.5845588235294118</v>
      </c>
      <c r="AH104" s="1767">
        <f>AH103/AH117</f>
        <v>0.5845588235294118</v>
      </c>
      <c r="AI104" s="1946">
        <f>AI103/AM117</f>
        <v>0.91638225255972694</v>
      </c>
      <c r="AJ104" s="1947">
        <f>AJ103/AM117</f>
        <v>0.91638225255972694</v>
      </c>
      <c r="AK104" s="1947">
        <f>AK103/$AM$117</f>
        <v>0.91638225255972694</v>
      </c>
      <c r="AL104" s="1766">
        <f>AL103/AM117</f>
        <v>0.91638225255972694</v>
      </c>
      <c r="AM104" s="1767">
        <f>AM103/AM117</f>
        <v>0.91638225255972694</v>
      </c>
      <c r="AN104" s="1946">
        <f>AN103/AR117</f>
        <v>0.75318471337579618</v>
      </c>
      <c r="AO104" s="1947">
        <f>AO103/AR117</f>
        <v>0.75318471337579618</v>
      </c>
      <c r="AP104" s="1765">
        <f>AP103/AR117</f>
        <v>0.75318471337579618</v>
      </c>
      <c r="AQ104" s="1766">
        <f>AQ103/AR117</f>
        <v>0.75318471337579618</v>
      </c>
      <c r="AR104" s="1767">
        <f>AR103/AR117</f>
        <v>0.75318471337579618</v>
      </c>
      <c r="AS104" s="1764">
        <f>+AR104</f>
        <v>0.75318471337579618</v>
      </c>
      <c r="AT104" s="1765">
        <f>+AS104</f>
        <v>0.75318471337579618</v>
      </c>
      <c r="AU104" s="1765">
        <f>+AT104</f>
        <v>0.75318471337579618</v>
      </c>
      <c r="AV104" s="1766">
        <f>+AU104</f>
        <v>0.75318471337579618</v>
      </c>
      <c r="AW104" s="1767">
        <f>AW103/AW117</f>
        <v>0.75318471337579629</v>
      </c>
      <c r="AX104" s="1764">
        <f>+AW104</f>
        <v>0.75318471337579629</v>
      </c>
      <c r="AY104" s="1765">
        <f>+AX104</f>
        <v>0.75318471337579629</v>
      </c>
      <c r="AZ104" s="1765">
        <f>+AY104</f>
        <v>0.75318471337579629</v>
      </c>
      <c r="BA104" s="1766">
        <f>+AZ104</f>
        <v>0.75318471337579629</v>
      </c>
      <c r="BB104" s="1767">
        <f>BB103/BB117</f>
        <v>0.75318471337579629</v>
      </c>
      <c r="BC104" s="1764">
        <f>+BB104</f>
        <v>0.75318471337579629</v>
      </c>
      <c r="BD104" s="1765">
        <f>+BC104</f>
        <v>0.75318471337579629</v>
      </c>
      <c r="BE104" s="1765">
        <f>+BD104</f>
        <v>0.75318471337579629</v>
      </c>
      <c r="BF104" s="1766">
        <f>+BE104</f>
        <v>0.75318471337579629</v>
      </c>
      <c r="BG104" s="1767">
        <f>BG103/BG117</f>
        <v>0.75318471337579629</v>
      </c>
      <c r="BH104" s="1764">
        <f>+BG104</f>
        <v>0.75318471337579629</v>
      </c>
      <c r="BI104" s="1765">
        <f>+BH104</f>
        <v>0.75318471337579629</v>
      </c>
      <c r="BJ104" s="1765">
        <f>+BI104</f>
        <v>0.75318471337579629</v>
      </c>
      <c r="BK104" s="1766">
        <f>+BJ104</f>
        <v>0.75318471337579629</v>
      </c>
      <c r="BL104" s="1767">
        <f>BL103/BL117</f>
        <v>0.75318471337579629</v>
      </c>
      <c r="BM104" s="1763"/>
      <c r="BN104" s="1763"/>
      <c r="BO104" s="1763"/>
      <c r="BP104" s="1763"/>
      <c r="BQ104" s="1763"/>
      <c r="BR104" s="1763"/>
      <c r="BS104" s="1763"/>
      <c r="BT104" s="1763"/>
      <c r="BU104" s="1763"/>
      <c r="BV104" s="1763"/>
      <c r="BW104" s="1763"/>
      <c r="BX104" s="1763"/>
      <c r="BY104" s="1763"/>
      <c r="BZ104" s="1763"/>
      <c r="CA104" s="1763"/>
      <c r="CB104" s="1763"/>
      <c r="CC104" s="1763"/>
      <c r="CD104" s="1763"/>
      <c r="CE104" s="1763"/>
      <c r="CF104" s="1763"/>
      <c r="CG104" s="1763"/>
      <c r="CH104" s="1763"/>
      <c r="CI104" s="1763"/>
      <c r="CJ104" s="1763"/>
      <c r="CK104" s="1763"/>
      <c r="CL104" s="1763"/>
      <c r="CM104" s="1763"/>
      <c r="CN104" s="1763"/>
      <c r="CO104" s="1763"/>
      <c r="CP104" s="1763"/>
      <c r="CQ104" s="1763"/>
      <c r="CR104" s="1763"/>
    </row>
    <row r="105" spans="1:96">
      <c r="A105" s="45"/>
      <c r="B105" s="45"/>
      <c r="C105" s="1716"/>
      <c r="D105" s="45"/>
      <c r="E105" s="290"/>
      <c r="F105" s="260"/>
      <c r="G105" s="260"/>
      <c r="H105" s="291"/>
      <c r="I105" s="45"/>
      <c r="J105" s="290"/>
      <c r="K105" s="260"/>
      <c r="L105" s="260"/>
      <c r="M105" s="291"/>
      <c r="N105" s="45"/>
      <c r="O105" s="290"/>
      <c r="P105" s="260"/>
      <c r="Q105" s="260"/>
      <c r="R105" s="291"/>
      <c r="S105" s="45"/>
      <c r="T105" s="290"/>
      <c r="U105" s="260"/>
      <c r="V105" s="260"/>
      <c r="W105" s="291"/>
      <c r="X105" s="45"/>
      <c r="Y105" s="290"/>
      <c r="Z105" s="260"/>
      <c r="AA105" s="260"/>
      <c r="AB105" s="291"/>
      <c r="AC105" s="45"/>
      <c r="AD105" s="290"/>
      <c r="AE105" s="260"/>
      <c r="AF105" s="260"/>
      <c r="AG105" s="291"/>
      <c r="AH105" s="45"/>
      <c r="AI105" s="290"/>
      <c r="AJ105" s="260"/>
      <c r="AK105" s="260"/>
      <c r="AL105" s="291"/>
      <c r="AM105" s="45"/>
      <c r="AN105" s="290"/>
      <c r="AO105" s="260"/>
      <c r="AP105" s="260"/>
      <c r="AQ105" s="291"/>
      <c r="AR105" s="45"/>
      <c r="AS105" s="290"/>
      <c r="AT105" s="260"/>
      <c r="AU105" s="260"/>
      <c r="AV105" s="291"/>
      <c r="AW105" s="45"/>
      <c r="AX105" s="290"/>
      <c r="AY105" s="260"/>
      <c r="AZ105" s="260"/>
      <c r="BA105" s="291"/>
      <c r="BB105" s="45"/>
      <c r="BC105" s="290"/>
      <c r="BD105" s="260"/>
      <c r="BE105" s="260"/>
      <c r="BF105" s="291"/>
      <c r="BG105" s="45"/>
      <c r="BH105" s="290"/>
      <c r="BI105" s="260"/>
      <c r="BJ105" s="260"/>
      <c r="BK105" s="291"/>
      <c r="BL105" s="45"/>
      <c r="BM105" s="45"/>
      <c r="BN105" s="45"/>
      <c r="BO105" s="45"/>
      <c r="BP105" s="45"/>
      <c r="BQ105" s="45"/>
      <c r="BR105" s="45"/>
      <c r="BS105" s="45"/>
      <c r="BT105" s="45"/>
      <c r="BU105" s="45"/>
      <c r="BV105" s="45"/>
      <c r="BW105" s="45"/>
      <c r="BX105" s="45"/>
      <c r="BY105" s="45"/>
      <c r="BZ105" s="45"/>
      <c r="CA105" s="45"/>
      <c r="CB105" s="45"/>
      <c r="CC105" s="45"/>
      <c r="CD105" s="45"/>
      <c r="CE105" s="45"/>
      <c r="CF105" s="45"/>
      <c r="CG105" s="45"/>
      <c r="CH105" s="45"/>
      <c r="CI105" s="45"/>
      <c r="CJ105" s="45"/>
      <c r="CK105" s="45"/>
      <c r="CL105" s="45"/>
      <c r="CM105" s="45"/>
      <c r="CN105" s="45"/>
      <c r="CO105" s="45"/>
      <c r="CP105" s="45"/>
    </row>
    <row r="106" spans="1:96">
      <c r="A106" s="45"/>
      <c r="B106" s="45"/>
      <c r="C106" s="1756" t="s">
        <v>587</v>
      </c>
      <c r="D106" s="45"/>
      <c r="E106" s="290"/>
      <c r="F106" s="260"/>
      <c r="G106" s="260"/>
      <c r="H106" s="291"/>
      <c r="I106" s="45"/>
      <c r="J106" s="290"/>
      <c r="K106" s="260"/>
      <c r="L106" s="260"/>
      <c r="M106" s="291"/>
      <c r="N106" s="1004"/>
      <c r="O106" s="290"/>
      <c r="P106" s="260"/>
      <c r="Q106" s="260"/>
      <c r="R106" s="291"/>
      <c r="S106" s="1004"/>
      <c r="T106" s="290"/>
      <c r="U106" s="260"/>
      <c r="V106" s="260"/>
      <c r="W106" s="291"/>
      <c r="X106" s="1004"/>
      <c r="Y106" s="290"/>
      <c r="Z106" s="260"/>
      <c r="AA106" s="260"/>
      <c r="AB106" s="291"/>
      <c r="AC106" s="1004"/>
      <c r="AD106" s="290"/>
      <c r="AE106" s="260"/>
      <c r="AF106" s="260"/>
      <c r="AG106" s="291"/>
      <c r="AH106" s="1004"/>
      <c r="AI106" s="290"/>
      <c r="AJ106" s="260"/>
      <c r="AK106" s="260"/>
      <c r="AL106" s="291"/>
      <c r="AM106" s="1004"/>
      <c r="AN106" s="290"/>
      <c r="AO106" s="260"/>
      <c r="AP106" s="260"/>
      <c r="AQ106" s="291"/>
      <c r="AR106" s="1004"/>
      <c r="AS106" s="290"/>
      <c r="AT106" s="260"/>
      <c r="AU106" s="260"/>
      <c r="AV106" s="291"/>
      <c r="AW106" s="45"/>
      <c r="AX106" s="290"/>
      <c r="AY106" s="260"/>
      <c r="AZ106" s="260"/>
      <c r="BA106" s="291"/>
      <c r="BB106" s="45"/>
      <c r="BC106" s="290"/>
      <c r="BD106" s="260"/>
      <c r="BE106" s="260"/>
      <c r="BF106" s="291"/>
      <c r="BG106" s="45"/>
      <c r="BH106" s="290"/>
      <c r="BI106" s="260"/>
      <c r="BJ106" s="260"/>
      <c r="BK106" s="291"/>
      <c r="BL106" s="45"/>
      <c r="BM106" s="45"/>
      <c r="BN106" s="45"/>
      <c r="BO106" s="45"/>
      <c r="BP106" s="45"/>
      <c r="BQ106" s="45"/>
      <c r="BR106" s="45"/>
      <c r="BS106" s="45"/>
      <c r="BT106" s="45"/>
      <c r="BU106" s="45"/>
      <c r="BV106" s="45"/>
      <c r="BW106" s="45"/>
      <c r="BX106" s="45"/>
      <c r="BY106" s="45"/>
      <c r="BZ106" s="45"/>
      <c r="CA106" s="45"/>
      <c r="CB106" s="45"/>
      <c r="CC106" s="45"/>
      <c r="CD106" s="45"/>
      <c r="CE106" s="45"/>
      <c r="CF106" s="45"/>
      <c r="CG106" s="45"/>
      <c r="CH106" s="45"/>
      <c r="CI106" s="45"/>
      <c r="CJ106" s="45"/>
      <c r="CK106" s="45"/>
      <c r="CL106" s="45"/>
      <c r="CM106" s="45"/>
      <c r="CN106" s="45"/>
      <c r="CO106" s="45"/>
      <c r="CP106" s="45"/>
    </row>
    <row r="107" spans="1:96">
      <c r="A107" s="45"/>
      <c r="B107" s="45"/>
      <c r="C107" s="1716" t="s">
        <v>739</v>
      </c>
      <c r="D107" s="45"/>
      <c r="E107" s="290"/>
      <c r="F107" s="260"/>
      <c r="G107" s="260"/>
      <c r="H107" s="291"/>
      <c r="I107" s="45">
        <f t="shared" ref="I107:Z107" si="268">+I13</f>
        <v>162</v>
      </c>
      <c r="J107" s="290">
        <f t="shared" si="268"/>
        <v>42</v>
      </c>
      <c r="K107" s="260">
        <f t="shared" si="268"/>
        <v>42</v>
      </c>
      <c r="L107" s="260">
        <f t="shared" si="268"/>
        <v>44</v>
      </c>
      <c r="M107" s="291">
        <f t="shared" si="268"/>
        <v>43</v>
      </c>
      <c r="N107" s="45">
        <f t="shared" si="268"/>
        <v>171</v>
      </c>
      <c r="O107" s="290">
        <f t="shared" si="268"/>
        <v>47</v>
      </c>
      <c r="P107" s="260">
        <f t="shared" si="268"/>
        <v>48</v>
      </c>
      <c r="Q107" s="260">
        <f t="shared" si="268"/>
        <v>48</v>
      </c>
      <c r="R107" s="291">
        <f t="shared" si="268"/>
        <v>47</v>
      </c>
      <c r="S107" s="45">
        <f t="shared" si="268"/>
        <v>190</v>
      </c>
      <c r="T107" s="290">
        <f t="shared" si="268"/>
        <v>47</v>
      </c>
      <c r="U107" s="260">
        <f t="shared" si="268"/>
        <v>49</v>
      </c>
      <c r="V107" s="260">
        <f t="shared" si="268"/>
        <v>51</v>
      </c>
      <c r="W107" s="291">
        <f t="shared" si="268"/>
        <v>49</v>
      </c>
      <c r="X107" s="45">
        <f t="shared" si="268"/>
        <v>196</v>
      </c>
      <c r="Y107" s="290">
        <f t="shared" si="268"/>
        <v>56</v>
      </c>
      <c r="Z107" s="260">
        <f t="shared" si="268"/>
        <v>56</v>
      </c>
      <c r="AA107" s="260">
        <f t="shared" ref="AA107:AE107" si="269">+AA13</f>
        <v>59</v>
      </c>
      <c r="AB107" s="291">
        <f t="shared" si="269"/>
        <v>58</v>
      </c>
      <c r="AC107" s="45">
        <f t="shared" si="269"/>
        <v>229</v>
      </c>
      <c r="AD107" s="290">
        <f t="shared" si="269"/>
        <v>65</v>
      </c>
      <c r="AE107" s="260">
        <f t="shared" si="269"/>
        <v>68</v>
      </c>
      <c r="AF107" s="260">
        <f t="shared" ref="AF107:AJ107" si="270">+AF13</f>
        <v>74</v>
      </c>
      <c r="AG107" s="291">
        <f t="shared" si="270"/>
        <v>70</v>
      </c>
      <c r="AH107" s="45">
        <f t="shared" si="270"/>
        <v>277</v>
      </c>
      <c r="AI107" s="290">
        <f t="shared" si="270"/>
        <v>75</v>
      </c>
      <c r="AJ107" s="260">
        <f t="shared" si="270"/>
        <v>70</v>
      </c>
      <c r="AK107" s="260">
        <f t="shared" ref="AK107:AO107" si="271">+AK13</f>
        <v>76</v>
      </c>
      <c r="AL107" s="291">
        <f t="shared" si="271"/>
        <v>74</v>
      </c>
      <c r="AM107" s="45">
        <f t="shared" si="271"/>
        <v>295</v>
      </c>
      <c r="AN107" s="290">
        <f t="shared" si="271"/>
        <v>82</v>
      </c>
      <c r="AO107" s="260">
        <f t="shared" si="271"/>
        <v>78</v>
      </c>
      <c r="AP107" s="260">
        <f t="shared" ref="AP107:AR107" si="272">+AP13</f>
        <v>82</v>
      </c>
      <c r="AQ107" s="291">
        <f t="shared" si="272"/>
        <v>79</v>
      </c>
      <c r="AR107" s="45">
        <f t="shared" si="272"/>
        <v>321</v>
      </c>
      <c r="AS107" s="290">
        <f>+AS108+AS109</f>
        <v>79.976558923175531</v>
      </c>
      <c r="AT107" s="260">
        <f>+AT108+AT109</f>
        <v>80.38475366476888</v>
      </c>
      <c r="AU107" s="260">
        <f>+AU108+AU109</f>
        <v>81.844025610649894</v>
      </c>
      <c r="AV107" s="291">
        <f>+AV108+AV109</f>
        <v>83.282185481862896</v>
      </c>
      <c r="AW107" s="45">
        <f>SUM(AS107:AV107)</f>
        <v>325.48752368045717</v>
      </c>
      <c r="AX107" s="290">
        <f>+AX108+AX109</f>
        <v>84.699538718184257</v>
      </c>
      <c r="AY107" s="260">
        <f>+AY108+AY109</f>
        <v>86.096386340428296</v>
      </c>
      <c r="AZ107" s="260">
        <f>+AZ108+AZ109</f>
        <v>87.473025014378692</v>
      </c>
      <c r="BA107" s="291">
        <f>+BA108+BA109</f>
        <v>88.829747113795236</v>
      </c>
      <c r="BB107" s="45">
        <f>SUM(AX107:BA107)</f>
        <v>347.09869718678652</v>
      </c>
      <c r="BC107" s="290">
        <f>+BC108+BC109</f>
        <v>90.166840782508757</v>
      </c>
      <c r="BD107" s="260">
        <f>+BD108+BD109</f>
        <v>90.574609399594323</v>
      </c>
      <c r="BE107" s="260">
        <f>+BE108+BE109</f>
        <v>92.33856981666824</v>
      </c>
      <c r="BF107" s="291">
        <f>+BF108+BF109</f>
        <v>94.077010066550699</v>
      </c>
      <c r="BG107" s="45">
        <f>SUM(BC107:BF107)</f>
        <v>367.15703006532203</v>
      </c>
      <c r="BH107" s="290">
        <f>+BH108+BH109</f>
        <v>95.790299363271245</v>
      </c>
      <c r="BI107" s="260">
        <f>+BI108+BI109</f>
        <v>96.932813221626702</v>
      </c>
      <c r="BJ107" s="260">
        <f>+BJ108+BJ109</f>
        <v>98.8760524406527</v>
      </c>
      <c r="BK107" s="291">
        <f>+BK108+BK109</f>
        <v>100.79117776932013</v>
      </c>
      <c r="BL107" s="45">
        <f>SUM(BH107:BK107)</f>
        <v>392.39034279487078</v>
      </c>
      <c r="BM107" s="45"/>
      <c r="BN107" s="45"/>
      <c r="BO107" s="45"/>
      <c r="BP107" s="45"/>
      <c r="BQ107" s="45"/>
      <c r="BR107" s="45"/>
      <c r="BS107" s="45"/>
      <c r="BT107" s="45"/>
      <c r="BU107" s="45"/>
      <c r="BV107" s="45"/>
      <c r="BW107" s="45"/>
      <c r="BX107" s="45"/>
      <c r="BY107" s="45"/>
      <c r="BZ107" s="45"/>
      <c r="CA107" s="45"/>
      <c r="CB107" s="45"/>
      <c r="CC107" s="45"/>
      <c r="CD107" s="45"/>
      <c r="CE107" s="45"/>
      <c r="CF107" s="45"/>
      <c r="CG107" s="45"/>
      <c r="CH107" s="45"/>
      <c r="CI107" s="45"/>
      <c r="CJ107" s="45"/>
      <c r="CK107" s="45"/>
      <c r="CL107" s="45"/>
      <c r="CM107" s="45"/>
      <c r="CN107" s="45"/>
      <c r="CO107" s="45"/>
      <c r="CP107" s="45"/>
    </row>
    <row r="108" spans="1:96">
      <c r="A108" s="45"/>
      <c r="B108" s="45"/>
      <c r="C108" s="1716" t="s">
        <v>740</v>
      </c>
      <c r="D108" s="45"/>
      <c r="E108" s="337"/>
      <c r="F108" s="338"/>
      <c r="G108" s="338"/>
      <c r="H108" s="1684"/>
      <c r="I108" s="339">
        <v>0</v>
      </c>
      <c r="J108" s="337">
        <v>0</v>
      </c>
      <c r="K108" s="338">
        <v>0</v>
      </c>
      <c r="L108" s="338">
        <v>0</v>
      </c>
      <c r="M108" s="1684">
        <v>0</v>
      </c>
      <c r="N108" s="339">
        <v>0</v>
      </c>
      <c r="O108" s="337">
        <v>0</v>
      </c>
      <c r="P108" s="338">
        <v>0</v>
      </c>
      <c r="Q108" s="338">
        <v>0</v>
      </c>
      <c r="R108" s="1684">
        <v>0</v>
      </c>
      <c r="S108" s="339">
        <v>0</v>
      </c>
      <c r="T108" s="337">
        <v>0</v>
      </c>
      <c r="U108" s="338">
        <v>0</v>
      </c>
      <c r="V108" s="338">
        <v>0</v>
      </c>
      <c r="W108" s="1684">
        <v>0</v>
      </c>
      <c r="X108" s="339">
        <v>0</v>
      </c>
      <c r="Y108" s="337">
        <v>0</v>
      </c>
      <c r="Z108" s="338">
        <v>0</v>
      </c>
      <c r="AA108" s="338">
        <v>0</v>
      </c>
      <c r="AB108" s="1684">
        <v>0</v>
      </c>
      <c r="AC108" s="339">
        <v>0</v>
      </c>
      <c r="AD108" s="337">
        <v>0</v>
      </c>
      <c r="AE108" s="338">
        <v>0</v>
      </c>
      <c r="AF108" s="338">
        <v>0</v>
      </c>
      <c r="AG108" s="1684">
        <v>0</v>
      </c>
      <c r="AH108" s="2056">
        <v>0</v>
      </c>
      <c r="AI108" s="337">
        <v>0</v>
      </c>
      <c r="AJ108" s="338">
        <v>0</v>
      </c>
      <c r="AK108" s="338">
        <v>0</v>
      </c>
      <c r="AL108" s="1684">
        <v>0</v>
      </c>
      <c r="AM108" s="2056">
        <v>0</v>
      </c>
      <c r="AN108" s="337">
        <v>0</v>
      </c>
      <c r="AO108" s="338">
        <v>0</v>
      </c>
      <c r="AP108" s="338">
        <v>0</v>
      </c>
      <c r="AQ108" s="1684">
        <v>0</v>
      </c>
      <c r="AR108" s="2056">
        <v>0</v>
      </c>
      <c r="AS108" s="337">
        <v>0</v>
      </c>
      <c r="AT108" s="338">
        <v>0</v>
      </c>
      <c r="AU108" s="338">
        <v>0</v>
      </c>
      <c r="AV108" s="1684">
        <v>0</v>
      </c>
      <c r="AW108" s="339">
        <v>0</v>
      </c>
      <c r="AX108" s="337">
        <v>0</v>
      </c>
      <c r="AY108" s="338">
        <v>0</v>
      </c>
      <c r="AZ108" s="338">
        <v>0</v>
      </c>
      <c r="BA108" s="1684">
        <v>0</v>
      </c>
      <c r="BB108" s="339">
        <v>0</v>
      </c>
      <c r="BC108" s="337">
        <v>0</v>
      </c>
      <c r="BD108" s="338">
        <v>0</v>
      </c>
      <c r="BE108" s="338">
        <v>0</v>
      </c>
      <c r="BF108" s="1684">
        <v>0</v>
      </c>
      <c r="BG108" s="2056">
        <v>0</v>
      </c>
      <c r="BH108" s="337">
        <v>0</v>
      </c>
      <c r="BI108" s="338">
        <v>0</v>
      </c>
      <c r="BJ108" s="338">
        <v>0</v>
      </c>
      <c r="BK108" s="1684">
        <v>0</v>
      </c>
      <c r="BL108" s="2056">
        <v>0</v>
      </c>
      <c r="BM108" s="45"/>
      <c r="BN108" s="45"/>
      <c r="BO108" s="45"/>
      <c r="BP108" s="45"/>
      <c r="BQ108" s="45"/>
      <c r="BR108" s="45"/>
      <c r="BS108" s="45"/>
      <c r="BT108" s="45"/>
      <c r="BU108" s="45"/>
      <c r="BV108" s="45"/>
      <c r="BW108" s="45"/>
      <c r="BX108" s="45"/>
      <c r="BY108" s="45"/>
      <c r="BZ108" s="45"/>
      <c r="CA108" s="45"/>
      <c r="CB108" s="45"/>
      <c r="CC108" s="45"/>
      <c r="CD108" s="45"/>
      <c r="CE108" s="45"/>
      <c r="CF108" s="45"/>
      <c r="CG108" s="45"/>
      <c r="CH108" s="45"/>
      <c r="CI108" s="45"/>
      <c r="CJ108" s="45"/>
      <c r="CK108" s="45"/>
      <c r="CL108" s="45"/>
      <c r="CM108" s="45"/>
      <c r="CN108" s="45"/>
      <c r="CO108" s="45"/>
      <c r="CP108" s="45"/>
    </row>
    <row r="109" spans="1:96">
      <c r="A109" s="228"/>
      <c r="B109" s="228"/>
      <c r="C109" s="1756" t="s">
        <v>741</v>
      </c>
      <c r="D109" s="228"/>
      <c r="E109" s="292"/>
      <c r="F109" s="261"/>
      <c r="G109" s="261"/>
      <c r="H109" s="293"/>
      <c r="I109" s="228">
        <f t="shared" ref="I109:Z109" si="273">+I107-I108</f>
        <v>162</v>
      </c>
      <c r="J109" s="292">
        <f t="shared" si="273"/>
        <v>42</v>
      </c>
      <c r="K109" s="261">
        <f t="shared" si="273"/>
        <v>42</v>
      </c>
      <c r="L109" s="261">
        <f t="shared" si="273"/>
        <v>44</v>
      </c>
      <c r="M109" s="293">
        <f t="shared" si="273"/>
        <v>43</v>
      </c>
      <c r="N109" s="228">
        <f t="shared" si="273"/>
        <v>171</v>
      </c>
      <c r="O109" s="292">
        <f t="shared" si="273"/>
        <v>47</v>
      </c>
      <c r="P109" s="261">
        <f t="shared" si="273"/>
        <v>48</v>
      </c>
      <c r="Q109" s="261">
        <f t="shared" si="273"/>
        <v>48</v>
      </c>
      <c r="R109" s="293">
        <f t="shared" si="273"/>
        <v>47</v>
      </c>
      <c r="S109" s="228">
        <f t="shared" si="273"/>
        <v>190</v>
      </c>
      <c r="T109" s="292">
        <f t="shared" si="273"/>
        <v>47</v>
      </c>
      <c r="U109" s="261">
        <f t="shared" si="273"/>
        <v>49</v>
      </c>
      <c r="V109" s="261">
        <f t="shared" si="273"/>
        <v>51</v>
      </c>
      <c r="W109" s="293">
        <f t="shared" si="273"/>
        <v>49</v>
      </c>
      <c r="X109" s="228">
        <f t="shared" si="273"/>
        <v>196</v>
      </c>
      <c r="Y109" s="292">
        <f t="shared" si="273"/>
        <v>56</v>
      </c>
      <c r="Z109" s="261">
        <f t="shared" si="273"/>
        <v>56</v>
      </c>
      <c r="AA109" s="261">
        <f t="shared" ref="AA109:AE109" si="274">+AA107-AA108</f>
        <v>59</v>
      </c>
      <c r="AB109" s="293">
        <f t="shared" si="274"/>
        <v>58</v>
      </c>
      <c r="AC109" s="228">
        <f t="shared" si="274"/>
        <v>229</v>
      </c>
      <c r="AD109" s="292">
        <f t="shared" si="274"/>
        <v>65</v>
      </c>
      <c r="AE109" s="261">
        <f t="shared" si="274"/>
        <v>68</v>
      </c>
      <c r="AF109" s="261">
        <f t="shared" ref="AF109:AJ109" si="275">+AF107-AF108</f>
        <v>74</v>
      </c>
      <c r="AG109" s="293">
        <f t="shared" si="275"/>
        <v>70</v>
      </c>
      <c r="AH109" s="228">
        <f t="shared" si="275"/>
        <v>277</v>
      </c>
      <c r="AI109" s="292">
        <f t="shared" si="275"/>
        <v>75</v>
      </c>
      <c r="AJ109" s="261">
        <f t="shared" si="275"/>
        <v>70</v>
      </c>
      <c r="AK109" s="261">
        <f t="shared" ref="AK109:AO109" si="276">+AK107-AK108</f>
        <v>76</v>
      </c>
      <c r="AL109" s="293">
        <f t="shared" si="276"/>
        <v>74</v>
      </c>
      <c r="AM109" s="228">
        <f t="shared" si="276"/>
        <v>295</v>
      </c>
      <c r="AN109" s="292">
        <f t="shared" si="276"/>
        <v>82</v>
      </c>
      <c r="AO109" s="261">
        <f t="shared" si="276"/>
        <v>78</v>
      </c>
      <c r="AP109" s="261">
        <f t="shared" ref="AP109:AR109" si="277">+AP107-AP108</f>
        <v>82</v>
      </c>
      <c r="AQ109" s="293">
        <f t="shared" si="277"/>
        <v>79</v>
      </c>
      <c r="AR109" s="228">
        <f t="shared" si="277"/>
        <v>321</v>
      </c>
      <c r="AS109" s="292">
        <f>+AS111*AVERAGE(AR101)/4</f>
        <v>79.976558923175531</v>
      </c>
      <c r="AT109" s="261">
        <f>+AT111*AVERAGE(AS101)/4</f>
        <v>80.38475366476888</v>
      </c>
      <c r="AU109" s="261">
        <f>+AU111*AVERAGE(AT101)/4</f>
        <v>81.844025610649894</v>
      </c>
      <c r="AV109" s="293">
        <f>+AV111*AVERAGE(AU101)/4</f>
        <v>83.282185481862896</v>
      </c>
      <c r="AW109" s="228">
        <f>+AW107-AW108</f>
        <v>325.48752368045717</v>
      </c>
      <c r="AX109" s="292">
        <f>+AX111*AVERAGE(AW101)/4</f>
        <v>84.699538718184257</v>
      </c>
      <c r="AY109" s="261">
        <f>+AY111*AVERAGE(AX101)/4</f>
        <v>86.096386340428296</v>
      </c>
      <c r="AZ109" s="261">
        <f>+AZ111*AVERAGE(AY101)/4</f>
        <v>87.473025014378692</v>
      </c>
      <c r="BA109" s="293">
        <f>+BA111*AVERAGE(AZ101)/4</f>
        <v>88.829747113795236</v>
      </c>
      <c r="BB109" s="228">
        <f>+BB107-BB108</f>
        <v>347.09869718678652</v>
      </c>
      <c r="BC109" s="292">
        <f>+BC111*AVERAGE(BB101)/4</f>
        <v>90.166840782508757</v>
      </c>
      <c r="BD109" s="261">
        <f>+BD111*AVERAGE(BC101)/4</f>
        <v>90.574609399594323</v>
      </c>
      <c r="BE109" s="261">
        <f>+BE111*AVERAGE(BD101)/4</f>
        <v>92.33856981666824</v>
      </c>
      <c r="BF109" s="293">
        <f>+BF111*AVERAGE(BE101)/4</f>
        <v>94.077010066550699</v>
      </c>
      <c r="BG109" s="228">
        <f>+BG107-BG108</f>
        <v>367.15703006532203</v>
      </c>
      <c r="BH109" s="292">
        <f>+BH111*AVERAGE(BG101)/4</f>
        <v>95.790299363271245</v>
      </c>
      <c r="BI109" s="261">
        <f>+BI111*AVERAGE(BH101)/4</f>
        <v>96.932813221626702</v>
      </c>
      <c r="BJ109" s="261">
        <f>+BJ111*AVERAGE(BI101)/4</f>
        <v>98.8760524406527</v>
      </c>
      <c r="BK109" s="293">
        <f>+BK111*AVERAGE(BJ101)/4</f>
        <v>100.79117776932013</v>
      </c>
      <c r="BL109" s="228">
        <f>+BL107-BL108</f>
        <v>392.39034279487078</v>
      </c>
      <c r="BM109" s="228"/>
      <c r="BN109" s="228"/>
      <c r="BO109" s="228"/>
      <c r="BP109" s="228"/>
      <c r="BQ109" s="228"/>
      <c r="BR109" s="228"/>
      <c r="BS109" s="228"/>
      <c r="BT109" s="228"/>
      <c r="BU109" s="228"/>
      <c r="BV109" s="228"/>
      <c r="BW109" s="228"/>
      <c r="BX109" s="228"/>
      <c r="BY109" s="228"/>
      <c r="BZ109" s="228"/>
      <c r="CA109" s="228"/>
      <c r="CB109" s="228"/>
      <c r="CC109" s="228"/>
      <c r="CD109" s="228"/>
      <c r="CE109" s="228"/>
      <c r="CF109" s="228"/>
      <c r="CG109" s="228"/>
      <c r="CH109" s="228"/>
      <c r="CI109" s="228"/>
      <c r="CJ109" s="228"/>
      <c r="CK109" s="228"/>
      <c r="CL109" s="228"/>
      <c r="CM109" s="228"/>
      <c r="CN109" s="228"/>
      <c r="CO109" s="228"/>
      <c r="CP109" s="228"/>
    </row>
    <row r="110" spans="1:96">
      <c r="A110" s="45"/>
      <c r="B110" s="45"/>
      <c r="C110" s="1716"/>
      <c r="D110" s="45"/>
      <c r="E110" s="290"/>
      <c r="F110" s="260"/>
      <c r="G110" s="260"/>
      <c r="H110" s="291"/>
      <c r="I110" s="45"/>
      <c r="J110" s="290"/>
      <c r="K110" s="260"/>
      <c r="L110" s="260"/>
      <c r="M110" s="291"/>
      <c r="N110" s="45"/>
      <c r="O110" s="290"/>
      <c r="P110" s="260"/>
      <c r="Q110" s="260"/>
      <c r="R110" s="291"/>
      <c r="S110" s="45"/>
      <c r="T110" s="290"/>
      <c r="U110" s="260"/>
      <c r="V110" s="260"/>
      <c r="W110" s="291"/>
      <c r="X110" s="45"/>
      <c r="Y110" s="290"/>
      <c r="Z110" s="260"/>
      <c r="AA110" s="260"/>
      <c r="AB110" s="291"/>
      <c r="AC110" s="45"/>
      <c r="AD110" s="290"/>
      <c r="AE110" s="260"/>
      <c r="AF110" s="260"/>
      <c r="AG110" s="291"/>
      <c r="AH110" s="45"/>
      <c r="AI110" s="290"/>
      <c r="AJ110" s="260"/>
      <c r="AK110" s="260"/>
      <c r="AL110" s="291"/>
      <c r="AM110" s="45"/>
      <c r="AN110" s="290"/>
      <c r="AO110" s="260"/>
      <c r="AP110" s="260"/>
      <c r="AQ110" s="291"/>
      <c r="AR110" s="45"/>
      <c r="AS110" s="290"/>
      <c r="AT110" s="260"/>
      <c r="AU110" s="260"/>
      <c r="AV110" s="291"/>
      <c r="AW110" s="45"/>
      <c r="AX110" s="290"/>
      <c r="AY110" s="260"/>
      <c r="AZ110" s="260"/>
      <c r="BA110" s="291"/>
      <c r="BB110" s="45"/>
      <c r="BC110" s="290"/>
      <c r="BD110" s="260"/>
      <c r="BE110" s="260"/>
      <c r="BF110" s="291"/>
      <c r="BG110" s="45"/>
      <c r="BH110" s="290"/>
      <c r="BI110" s="260"/>
      <c r="BJ110" s="260"/>
      <c r="BK110" s="291"/>
      <c r="BL110" s="45"/>
      <c r="BM110" s="45"/>
      <c r="BN110" s="45"/>
      <c r="BO110" s="45"/>
      <c r="BP110" s="45"/>
      <c r="BQ110" s="45"/>
      <c r="BR110" s="45"/>
      <c r="BS110" s="45"/>
      <c r="BT110" s="45"/>
      <c r="BU110" s="45"/>
      <c r="BV110" s="45"/>
      <c r="BW110" s="45"/>
      <c r="BX110" s="45"/>
      <c r="BY110" s="45"/>
      <c r="BZ110" s="45"/>
      <c r="CA110" s="45"/>
      <c r="CB110" s="45"/>
      <c r="CC110" s="45"/>
      <c r="CD110" s="45"/>
      <c r="CE110" s="45"/>
      <c r="CF110" s="45"/>
      <c r="CG110" s="45"/>
      <c r="CH110" s="45"/>
      <c r="CI110" s="45"/>
      <c r="CJ110" s="45"/>
      <c r="CK110" s="45"/>
      <c r="CL110" s="45"/>
      <c r="CM110" s="45"/>
      <c r="CN110" s="45"/>
      <c r="CO110" s="45"/>
      <c r="CP110" s="45"/>
    </row>
    <row r="111" spans="1:96">
      <c r="A111" s="895"/>
      <c r="B111" s="895"/>
      <c r="C111" s="1716" t="s">
        <v>145</v>
      </c>
      <c r="D111" s="895"/>
      <c r="E111" s="1700"/>
      <c r="F111" s="1337"/>
      <c r="G111" s="1337"/>
      <c r="H111" s="1701"/>
      <c r="I111" s="1713"/>
      <c r="J111" s="1700">
        <f>J109/AVERAGE(I101:J101)*4</f>
        <v>4.8639258830341633E-2</v>
      </c>
      <c r="K111" s="1337">
        <f>K109/AVERAGE(J101:K101)*4</f>
        <v>4.5907910916791909E-2</v>
      </c>
      <c r="L111" s="1337">
        <f>L109/AVERAGE(K101:L101)*4</f>
        <v>4.7153382451440053E-2</v>
      </c>
      <c r="M111" s="1701">
        <f>M109/AVERAGE(L101:M101)*4</f>
        <v>4.7685056833934016E-2</v>
      </c>
      <c r="N111" s="1713">
        <f>N109/AVERAGE(I101,N101)</f>
        <v>5.0953516090584031E-2</v>
      </c>
      <c r="O111" s="1700">
        <f>O109/AVERAGE(N101:O101)*4</f>
        <v>5.294283300478738E-2</v>
      </c>
      <c r="P111" s="1337">
        <f>P109/AVERAGE(O101:P101)*4</f>
        <v>5.1703244917194024E-2</v>
      </c>
      <c r="Q111" s="1337">
        <f>Q109/AVERAGE(P101:Q101)*4</f>
        <v>5.1152257892633543E-2</v>
      </c>
      <c r="R111" s="1701">
        <f>R109/AVERAGE(Q101:R101)*4</f>
        <v>4.9551924090669476E-2</v>
      </c>
      <c r="S111" s="1713">
        <f>S109/AVERAGE(N101,S101)</f>
        <v>5.2212146194009344E-2</v>
      </c>
      <c r="T111" s="1700">
        <f>T109/AVERAGE(S101:T101)*4</f>
        <v>4.8422408242112039E-2</v>
      </c>
      <c r="U111" s="1337">
        <f>U109/AVERAGE(T101:U101)*4</f>
        <v>4.9351630366360318E-2</v>
      </c>
      <c r="V111" s="1337">
        <f>V109/AVERAGE(U101:V101)*4</f>
        <v>5.0110537951363304E-2</v>
      </c>
      <c r="W111" s="1701">
        <f>W109/AVERAGE(V101:W101)*4</f>
        <v>4.6957355055103019E-2</v>
      </c>
      <c r="X111" s="1713">
        <f>X109/AVERAGE(S101,X101)</f>
        <v>4.8587010411502228E-2</v>
      </c>
      <c r="Y111" s="1700">
        <f>Y109/AVERAGE(X101:Y101)*4</f>
        <v>5.2446733785998595E-2</v>
      </c>
      <c r="Z111" s="1337">
        <f>Z109/AVERAGE(Y101:Z101)*4</f>
        <v>5.1370255704621032E-2</v>
      </c>
      <c r="AA111" s="1337">
        <f>AA109/AVERAGE(Z101:AA101)*4</f>
        <v>5.2980132450331126E-2</v>
      </c>
      <c r="AB111" s="1701">
        <f>AB109/AVERAGE(AA101:AB101)*4</f>
        <v>5.0765864332603938E-2</v>
      </c>
      <c r="AC111" s="1713">
        <f>AC109/AVERAGE(X101,AC101)</f>
        <v>5.1681336041525618E-2</v>
      </c>
      <c r="AD111" s="1700">
        <f>AD109/AVERAGE(AC101:AD101)*4</f>
        <v>5.569240655456785E-2</v>
      </c>
      <c r="AE111" s="1337">
        <f>AE109/AVERAGE(AD101:AE101)*4</f>
        <v>5.7353716394306802E-2</v>
      </c>
      <c r="AF111" s="1337">
        <f>AF109/AVERAGE(AE101:AF101)*4</f>
        <v>6.1398050197054556E-2</v>
      </c>
      <c r="AG111" s="1701">
        <f>AG109/AVERAGE(AF101:AG101)*4</f>
        <v>5.6956875508543531E-2</v>
      </c>
      <c r="AH111" s="1713">
        <f>AH109/AVERAGE(AC101,AH101)</f>
        <v>5.7648283038501558E-2</v>
      </c>
      <c r="AI111" s="1700">
        <f>AI109/AVERAGE(AH101:AI101)*4</f>
        <v>6.2098944317946596E-2</v>
      </c>
      <c r="AJ111" s="1337">
        <f>AJ109/AVERAGE(AI101:AJ101)*4</f>
        <v>5.9121621621621621E-2</v>
      </c>
      <c r="AK111" s="1337">
        <f>AK109/AVERAGE(AJ101:AK101)*4</f>
        <v>6.2966031483015744E-2</v>
      </c>
      <c r="AL111" s="1701">
        <f>AL109/AVERAGE(AK101:AL101)*4</f>
        <v>5.9761760549162123E-2</v>
      </c>
      <c r="AM111" s="1713">
        <f>AM109/AVERAGE(AH101,AM101)</f>
        <v>5.8952837729816146E-2</v>
      </c>
      <c r="AN111" s="1700">
        <f>AN109/AVERAGE(AM101:AN101)*4</f>
        <v>6.4187866927592957E-2</v>
      </c>
      <c r="AO111" s="1337">
        <f>AO109/AVERAGE(AN101:AO101)*4</f>
        <v>5.9587471352177235E-2</v>
      </c>
      <c r="AP111" s="1337">
        <f>AP109/AVERAGE(AO101:AP101)*4</f>
        <v>6.1428972750257514E-2</v>
      </c>
      <c r="AQ111" s="1701">
        <f>AQ109/AVERAGE(AP101:AQ101)*4</f>
        <v>5.7870158410401981E-2</v>
      </c>
      <c r="AR111" s="1713">
        <f>AR109/AVERAGE(AM101,AR101)</f>
        <v>6.0783942435144858E-2</v>
      </c>
      <c r="AS111" s="1700">
        <f>+AQ111</f>
        <v>5.7870158410401981E-2</v>
      </c>
      <c r="AT111" s="1337">
        <f>AS111</f>
        <v>5.7870158410401981E-2</v>
      </c>
      <c r="AU111" s="1768">
        <f>AT111</f>
        <v>5.7870158410401981E-2</v>
      </c>
      <c r="AV111" s="1769">
        <f>AU111</f>
        <v>5.7870158410401981E-2</v>
      </c>
      <c r="AW111" s="1713">
        <f>AW109/AVERAGE(AR101,AW101)</f>
        <v>5.7191100669083068E-2</v>
      </c>
      <c r="AX111" s="1700">
        <f>+AV111</f>
        <v>5.7870158410401981E-2</v>
      </c>
      <c r="AY111" s="1337">
        <f>AX111</f>
        <v>5.7870158410401981E-2</v>
      </c>
      <c r="AZ111" s="1768">
        <f>AY111</f>
        <v>5.7870158410401981E-2</v>
      </c>
      <c r="BA111" s="1769">
        <f>AZ111</f>
        <v>5.7870158410401981E-2</v>
      </c>
      <c r="BB111" s="1713">
        <f>BB109/AVERAGE(AW101,BB101)</f>
        <v>5.7434301114937532E-2</v>
      </c>
      <c r="BC111" s="1700">
        <f>+BA111</f>
        <v>5.7870158410401981E-2</v>
      </c>
      <c r="BD111" s="1337">
        <f>BC111</f>
        <v>5.7870158410401981E-2</v>
      </c>
      <c r="BE111" s="1768">
        <f>BD111</f>
        <v>5.7870158410401981E-2</v>
      </c>
      <c r="BF111" s="1769">
        <f>BE111</f>
        <v>5.7870158410401981E-2</v>
      </c>
      <c r="BG111" s="1713">
        <f>BG109/AVERAGE(BB101,BG101)</f>
        <v>5.7129926483909431E-2</v>
      </c>
      <c r="BH111" s="1700">
        <f>+BF111</f>
        <v>5.7870158410401981E-2</v>
      </c>
      <c r="BI111" s="1337">
        <f>BH111</f>
        <v>5.7870158410401981E-2</v>
      </c>
      <c r="BJ111" s="1768">
        <f>BI111</f>
        <v>5.7870158410401981E-2</v>
      </c>
      <c r="BK111" s="1769">
        <f>BJ111</f>
        <v>5.7870158410401981E-2</v>
      </c>
      <c r="BL111" s="1713">
        <f>BL109/AVERAGE(BG101,BL101)</f>
        <v>5.7207179142138173E-2</v>
      </c>
      <c r="BM111" s="895"/>
      <c r="BN111" s="895"/>
      <c r="BO111" s="895"/>
      <c r="BP111" s="895"/>
      <c r="BQ111" s="895"/>
      <c r="BR111" s="895"/>
      <c r="BS111" s="895"/>
      <c r="BT111" s="895"/>
      <c r="BU111" s="895"/>
      <c r="BV111" s="895"/>
      <c r="BW111" s="895"/>
      <c r="BX111" s="895"/>
      <c r="BY111" s="895"/>
      <c r="BZ111" s="895"/>
      <c r="CA111" s="895"/>
      <c r="CB111" s="895"/>
      <c r="CC111" s="895"/>
      <c r="CD111" s="895"/>
      <c r="CE111" s="895"/>
      <c r="CF111" s="895"/>
      <c r="CG111" s="895"/>
      <c r="CH111" s="895"/>
      <c r="CI111" s="895"/>
      <c r="CJ111" s="895"/>
      <c r="CK111" s="895"/>
      <c r="CL111" s="895"/>
      <c r="CM111" s="895"/>
      <c r="CN111" s="895"/>
      <c r="CO111" s="895"/>
      <c r="CP111" s="895"/>
    </row>
    <row r="112" spans="1:96">
      <c r="A112" s="1716"/>
      <c r="B112" s="1716"/>
      <c r="C112" s="1716"/>
      <c r="D112" s="1716"/>
      <c r="E112" s="1717"/>
      <c r="F112" s="1718"/>
      <c r="G112" s="1718"/>
      <c r="H112" s="1719"/>
      <c r="I112" s="1716"/>
      <c r="J112" s="1717"/>
      <c r="K112" s="1718"/>
      <c r="L112" s="1718"/>
      <c r="M112" s="1719"/>
      <c r="N112" s="1716"/>
      <c r="O112" s="1717"/>
      <c r="P112" s="1718"/>
      <c r="Q112" s="1718"/>
      <c r="R112" s="1719"/>
      <c r="S112" s="1716"/>
      <c r="T112" s="1717"/>
      <c r="U112" s="260"/>
      <c r="V112" s="1718"/>
      <c r="W112" s="1719"/>
      <c r="X112" s="1716"/>
      <c r="Y112" s="290"/>
      <c r="Z112" s="260"/>
      <c r="AA112" s="260"/>
      <c r="AB112" s="291"/>
      <c r="AC112" s="1770"/>
      <c r="AD112" s="290"/>
      <c r="AE112" s="260"/>
      <c r="AF112" s="260"/>
      <c r="AG112" s="291"/>
      <c r="AH112" s="1770"/>
      <c r="AI112" s="290"/>
      <c r="AJ112" s="260"/>
      <c r="AK112" s="260"/>
      <c r="AL112" s="291"/>
      <c r="AM112" s="1770"/>
      <c r="AN112" s="290"/>
      <c r="AO112" s="260"/>
      <c r="AP112" s="260"/>
      <c r="AQ112" s="291"/>
      <c r="AR112" s="2057"/>
      <c r="AS112" s="290"/>
      <c r="AT112" s="260"/>
      <c r="AU112" s="260"/>
      <c r="AV112" s="291"/>
      <c r="AW112" s="1770"/>
      <c r="AX112" s="290"/>
      <c r="AY112" s="260"/>
      <c r="AZ112" s="260"/>
      <c r="BA112" s="291"/>
      <c r="BB112" s="1770"/>
      <c r="BC112" s="290"/>
      <c r="BD112" s="260"/>
      <c r="BE112" s="260"/>
      <c r="BF112" s="291"/>
      <c r="BG112" s="2057"/>
      <c r="BH112" s="290"/>
      <c r="BI112" s="260"/>
      <c r="BJ112" s="260"/>
      <c r="BK112" s="291"/>
      <c r="BL112" s="2057"/>
      <c r="BM112" s="1770"/>
      <c r="BN112" s="1716"/>
      <c r="BO112" s="1716"/>
      <c r="BP112" s="1716"/>
      <c r="BQ112" s="1716"/>
      <c r="BR112" s="1716"/>
      <c r="BS112" s="1716"/>
      <c r="BT112" s="1716"/>
      <c r="BU112" s="1716"/>
      <c r="BV112" s="1716"/>
      <c r="BW112" s="1716"/>
      <c r="BX112" s="1716"/>
      <c r="BY112" s="1716"/>
      <c r="BZ112" s="1716"/>
      <c r="CA112" s="1716"/>
      <c r="CB112" s="1716"/>
      <c r="CC112" s="1716"/>
      <c r="CD112" s="1716"/>
      <c r="CE112" s="1716"/>
      <c r="CF112" s="1716"/>
      <c r="CG112" s="1716"/>
      <c r="CH112" s="1716"/>
      <c r="CI112" s="1716"/>
      <c r="CJ112" s="1716"/>
      <c r="CK112" s="1716"/>
      <c r="CL112" s="1716"/>
      <c r="CM112" s="1716"/>
      <c r="CN112" s="1716"/>
      <c r="CO112" s="1716"/>
      <c r="CP112" s="1716"/>
    </row>
    <row r="113" spans="1:94">
      <c r="A113" s="1716"/>
      <c r="B113" s="1716"/>
      <c r="C113" s="1942" t="s">
        <v>1375</v>
      </c>
      <c r="D113" s="1716"/>
      <c r="E113" s="1717"/>
      <c r="F113" s="1718"/>
      <c r="G113" s="1718"/>
      <c r="H113" s="1719"/>
      <c r="I113" s="1716"/>
      <c r="J113" s="1717"/>
      <c r="K113" s="1718"/>
      <c r="L113" s="1718"/>
      <c r="M113" s="1719"/>
      <c r="N113" s="1716"/>
      <c r="O113" s="1717"/>
      <c r="P113" s="1718"/>
      <c r="Q113" s="1718"/>
      <c r="R113" s="1719"/>
      <c r="S113" s="1716"/>
      <c r="T113" s="290"/>
      <c r="U113" s="260"/>
      <c r="V113" s="1718"/>
      <c r="W113" s="1719"/>
      <c r="X113" s="1716"/>
      <c r="Y113" s="290"/>
      <c r="Z113" s="260"/>
      <c r="AA113" s="1718"/>
      <c r="AB113" s="1719"/>
      <c r="AC113" s="1716"/>
      <c r="AD113" s="290"/>
      <c r="AE113" s="260"/>
      <c r="AF113" s="1718"/>
      <c r="AG113" s="1719"/>
      <c r="AH113" s="1716"/>
      <c r="AI113" s="290"/>
      <c r="AJ113" s="260"/>
      <c r="AK113" s="1718"/>
      <c r="AL113" s="1719"/>
      <c r="AM113" s="1716"/>
      <c r="AN113" s="290"/>
      <c r="AO113" s="260"/>
      <c r="AP113" s="1718"/>
      <c r="AQ113" s="1719"/>
      <c r="AR113" s="1716"/>
      <c r="AS113" s="290">
        <f>+AW113/4</f>
        <v>132.14285714285714</v>
      </c>
      <c r="AT113" s="260">
        <f>(AW113-SUM(AS113:AS113))/3</f>
        <v>132.14285714285714</v>
      </c>
      <c r="AU113" s="260">
        <f>(AW113-SUM(AS113:AT113))/2</f>
        <v>132.14285714285714</v>
      </c>
      <c r="AV113" s="291">
        <f>(AW113-SUM(AS113:AU113))/1</f>
        <v>132.14285714285711</v>
      </c>
      <c r="AW113" s="1770">
        <f>600-AW114</f>
        <v>528.57142857142856</v>
      </c>
      <c r="AX113" s="290">
        <f>+BB113/4</f>
        <v>125.89285714285714</v>
      </c>
      <c r="AY113" s="260">
        <f>(BB113-SUM(AX113:AX113))/3</f>
        <v>125.89285714285715</v>
      </c>
      <c r="AZ113" s="260">
        <f>(BB113-SUM(AX113:AY113))/2</f>
        <v>125.89285714285714</v>
      </c>
      <c r="BA113" s="291">
        <f>(BB113-SUM(AX113:AZ113))/1</f>
        <v>125.89285714285711</v>
      </c>
      <c r="BB113" s="1770">
        <f>575-BB114</f>
        <v>503.57142857142856</v>
      </c>
      <c r="BC113" s="290">
        <f>+BG113/4</f>
        <v>132.14285714285714</v>
      </c>
      <c r="BD113" s="260">
        <f>(BG113-SUM(BC113:BC113))/3</f>
        <v>132.14285714285714</v>
      </c>
      <c r="BE113" s="260">
        <f>(BG113-SUM(BC113:BD113))/2</f>
        <v>132.14285714285714</v>
      </c>
      <c r="BF113" s="291">
        <f>(BG113-SUM(BC113:BE113))/1</f>
        <v>132.14285714285711</v>
      </c>
      <c r="BG113" s="2057">
        <f>600-BG114</f>
        <v>528.57142857142856</v>
      </c>
      <c r="BH113" s="290">
        <f>+BL113/4</f>
        <v>138.39285714285714</v>
      </c>
      <c r="BI113" s="260">
        <f>(BL113-SUM(BH113:BH113))/3</f>
        <v>138.39285714285714</v>
      </c>
      <c r="BJ113" s="260">
        <f>(BL113-SUM(BH113:BI113))/2</f>
        <v>138.39285714285714</v>
      </c>
      <c r="BK113" s="291">
        <f>(BL113-SUM(BH113:BJ113))/1</f>
        <v>138.39285714285711</v>
      </c>
      <c r="BL113" s="2282">
        <f>625-BL114</f>
        <v>553.57142857142856</v>
      </c>
      <c r="BM113" s="1770"/>
      <c r="BN113" s="1716"/>
      <c r="BO113" s="1716"/>
      <c r="BP113" s="1716"/>
      <c r="BQ113" s="1716"/>
      <c r="BR113" s="1716"/>
      <c r="BS113" s="1716"/>
      <c r="BT113" s="1716"/>
      <c r="BU113" s="1716"/>
      <c r="BV113" s="1716"/>
      <c r="BW113" s="1716"/>
      <c r="BX113" s="1716"/>
      <c r="BY113" s="1716"/>
      <c r="BZ113" s="1716"/>
      <c r="CA113" s="1716"/>
      <c r="CB113" s="1716"/>
      <c r="CC113" s="1716"/>
      <c r="CD113" s="1716"/>
      <c r="CE113" s="1716"/>
      <c r="CF113" s="1716"/>
      <c r="CG113" s="1716"/>
      <c r="CH113" s="1716"/>
      <c r="CI113" s="1716"/>
      <c r="CJ113" s="1716"/>
      <c r="CK113" s="1716"/>
      <c r="CL113" s="1716"/>
      <c r="CM113" s="1716"/>
      <c r="CN113" s="1716"/>
      <c r="CO113" s="1716"/>
      <c r="CP113" s="1716"/>
    </row>
    <row r="114" spans="1:94">
      <c r="A114" s="1716"/>
      <c r="B114" s="1716"/>
      <c r="C114" s="1942" t="s">
        <v>1376</v>
      </c>
      <c r="D114" s="1716"/>
      <c r="E114" s="1717"/>
      <c r="F114" s="1718"/>
      <c r="G114" s="1718"/>
      <c r="H114" s="1719"/>
      <c r="I114" s="1716"/>
      <c r="J114" s="1717"/>
      <c r="K114" s="1718"/>
      <c r="L114" s="1718"/>
      <c r="M114" s="1719"/>
      <c r="N114" s="1716"/>
      <c r="O114" s="1717"/>
      <c r="P114" s="1718"/>
      <c r="Q114" s="1718"/>
      <c r="R114" s="1719"/>
      <c r="S114" s="1716"/>
      <c r="T114" s="290"/>
      <c r="U114" s="260"/>
      <c r="V114" s="1718"/>
      <c r="W114" s="1719"/>
      <c r="X114" s="1716"/>
      <c r="Y114" s="290"/>
      <c r="Z114" s="260"/>
      <c r="AA114" s="1718"/>
      <c r="AB114" s="1719"/>
      <c r="AC114" s="1716"/>
      <c r="AD114" s="290"/>
      <c r="AE114" s="260"/>
      <c r="AF114" s="1718"/>
      <c r="AG114" s="1719"/>
      <c r="AH114" s="1716"/>
      <c r="AI114" s="290"/>
      <c r="AJ114" s="260"/>
      <c r="AK114" s="1718"/>
      <c r="AL114" s="1719"/>
      <c r="AM114" s="1716"/>
      <c r="AN114" s="290"/>
      <c r="AO114" s="260"/>
      <c r="AP114" s="1718"/>
      <c r="AQ114" s="1719"/>
      <c r="AR114" s="1716"/>
      <c r="AS114" s="290">
        <f>+AW114/4</f>
        <v>17.857142857142858</v>
      </c>
      <c r="AT114" s="260">
        <f>(AW114-SUM(AS114:AS114))/3</f>
        <v>17.857142857142858</v>
      </c>
      <c r="AU114" s="260">
        <f>(AW114-SUM(AS114:AT114))/2</f>
        <v>17.857142857142858</v>
      </c>
      <c r="AV114" s="291">
        <f>(AW114-SUM(AS114:AU114))/1</f>
        <v>17.857142857142861</v>
      </c>
      <c r="AW114" s="2057">
        <v>71.428571428571431</v>
      </c>
      <c r="AX114" s="290">
        <f>+BB114/4</f>
        <v>17.857142857142858</v>
      </c>
      <c r="AY114" s="260">
        <f>(BB114-SUM(AX114:AX114))/3</f>
        <v>17.857142857142858</v>
      </c>
      <c r="AZ114" s="260">
        <f>(BB114-SUM(AX114:AY114))/2</f>
        <v>17.857142857142858</v>
      </c>
      <c r="BA114" s="291">
        <f>(BB114-SUM(AX114:AZ114))/1</f>
        <v>17.857142857142861</v>
      </c>
      <c r="BB114" s="2057">
        <v>71.428571428571431</v>
      </c>
      <c r="BC114" s="290">
        <f>+BG114/4</f>
        <v>17.857142857142858</v>
      </c>
      <c r="BD114" s="260">
        <f>(BG114-SUM(BC114:BC114))/3</f>
        <v>17.857142857142858</v>
      </c>
      <c r="BE114" s="260">
        <f>(BG114-SUM(BC114:BD114))/2</f>
        <v>17.857142857142858</v>
      </c>
      <c r="BF114" s="291">
        <f>(BG114-SUM(BC114:BE114))/1</f>
        <v>17.857142857142861</v>
      </c>
      <c r="BG114" s="2057">
        <v>71.428571428571431</v>
      </c>
      <c r="BH114" s="290">
        <f>+BL114/4</f>
        <v>17.857142857142858</v>
      </c>
      <c r="BI114" s="260">
        <f>(BL114-SUM(BH114:BH114))/3</f>
        <v>17.857142857142858</v>
      </c>
      <c r="BJ114" s="260">
        <f>(BL114-SUM(BH114:BI114))/2</f>
        <v>17.857142857142858</v>
      </c>
      <c r="BK114" s="291">
        <f>(BL114-SUM(BH114:BJ114))/1</f>
        <v>17.857142857142861</v>
      </c>
      <c r="BL114" s="2282">
        <f>+BG114</f>
        <v>71.428571428571431</v>
      </c>
      <c r="BM114" s="2057"/>
      <c r="BN114" s="1716"/>
      <c r="BO114" s="1716"/>
      <c r="BP114" s="1716"/>
      <c r="BQ114" s="1716"/>
      <c r="BR114" s="1716"/>
      <c r="BS114" s="1716"/>
      <c r="BT114" s="1716"/>
      <c r="BU114" s="1716"/>
      <c r="BV114" s="1716"/>
      <c r="BW114" s="1716"/>
      <c r="BX114" s="1716"/>
      <c r="BY114" s="1716"/>
      <c r="BZ114" s="1716"/>
      <c r="CA114" s="1716"/>
      <c r="CB114" s="1716"/>
      <c r="CC114" s="1716"/>
      <c r="CD114" s="1716"/>
      <c r="CE114" s="1716"/>
      <c r="CF114" s="1716"/>
      <c r="CG114" s="1716"/>
      <c r="CH114" s="1716"/>
      <c r="CI114" s="1716"/>
      <c r="CJ114" s="1716"/>
      <c r="CK114" s="1716"/>
      <c r="CL114" s="1716"/>
      <c r="CM114" s="1716"/>
      <c r="CN114" s="1716"/>
      <c r="CO114" s="1716"/>
      <c r="CP114" s="1716"/>
    </row>
    <row r="115" spans="1:94">
      <c r="A115" s="1716"/>
      <c r="B115" s="1716"/>
      <c r="C115" s="1716" t="s">
        <v>736</v>
      </c>
      <c r="D115" s="1716"/>
      <c r="E115" s="1717"/>
      <c r="F115" s="1718"/>
      <c r="G115" s="1718"/>
      <c r="H115" s="1719"/>
      <c r="I115" s="1716"/>
      <c r="J115" s="1717"/>
      <c r="K115" s="1718"/>
      <c r="L115" s="1718"/>
      <c r="M115" s="1719"/>
      <c r="N115" s="1716"/>
      <c r="O115" s="1717"/>
      <c r="P115" s="1718"/>
      <c r="Q115" s="1718"/>
      <c r="R115" s="1719"/>
      <c r="S115" s="1942"/>
      <c r="T115" s="290"/>
      <c r="U115" s="260"/>
      <c r="V115" s="1718"/>
      <c r="W115" s="1719"/>
      <c r="X115" s="1716"/>
      <c r="Y115" s="290"/>
      <c r="Z115" s="260"/>
      <c r="AA115" s="1718"/>
      <c r="AB115" s="1719"/>
      <c r="AC115" s="1716"/>
      <c r="AD115" s="290"/>
      <c r="AE115" s="260"/>
      <c r="AF115" s="1718"/>
      <c r="AG115" s="1719"/>
      <c r="AH115" s="1716"/>
      <c r="AI115" s="290"/>
      <c r="AJ115" s="260"/>
      <c r="AK115" s="1718"/>
      <c r="AL115" s="1719"/>
      <c r="AM115" s="1716"/>
      <c r="AN115" s="290"/>
      <c r="AO115" s="260"/>
      <c r="AP115" s="1718"/>
      <c r="AQ115" s="1719"/>
      <c r="AR115" s="1716"/>
      <c r="AS115" s="290">
        <f>+AW115/4</f>
        <v>31.25</v>
      </c>
      <c r="AT115" s="260">
        <f>(AW115-SUM(AS115:AS115))/3</f>
        <v>31.25</v>
      </c>
      <c r="AU115" s="260">
        <f>(AW115-SUM(AS115:AT115))/2</f>
        <v>31.25</v>
      </c>
      <c r="AV115" s="291">
        <f>(AW115-SUM(AS115:AU115))/1</f>
        <v>31.25</v>
      </c>
      <c r="AW115" s="1770">
        <v>125</v>
      </c>
      <c r="AX115" s="290">
        <f>+BB115/4</f>
        <v>37.5</v>
      </c>
      <c r="AY115" s="260">
        <f>(BB115-SUM(AX115:AX115))/3</f>
        <v>37.5</v>
      </c>
      <c r="AZ115" s="260">
        <f>(BB115-SUM(AX115:AY115))/2</f>
        <v>37.5</v>
      </c>
      <c r="BA115" s="291">
        <f>(BB115-SUM(AX115:AZ115))/1</f>
        <v>37.5</v>
      </c>
      <c r="BB115" s="1770">
        <v>150</v>
      </c>
      <c r="BC115" s="290">
        <f>+BG115/4</f>
        <v>62.5</v>
      </c>
      <c r="BD115" s="260">
        <f>(BG115-SUM(BC115:BC115))/3</f>
        <v>62.5</v>
      </c>
      <c r="BE115" s="260">
        <f>(BG115-SUM(BC115:BD115))/2</f>
        <v>62.5</v>
      </c>
      <c r="BF115" s="291">
        <f>(BG115-SUM(BC115:BE115))/1</f>
        <v>62.5</v>
      </c>
      <c r="BG115" s="2057">
        <v>250</v>
      </c>
      <c r="BH115" s="290">
        <f>+BL115/4</f>
        <v>75</v>
      </c>
      <c r="BI115" s="260">
        <f>(BL115-SUM(BH115:BH115))/3</f>
        <v>75</v>
      </c>
      <c r="BJ115" s="260">
        <f>(BL115-SUM(BH115:BI115))/2</f>
        <v>75</v>
      </c>
      <c r="BK115" s="291">
        <f>(BL115-SUM(BH115:BJ115))/1</f>
        <v>75</v>
      </c>
      <c r="BL115" s="2282">
        <v>300</v>
      </c>
      <c r="BM115" s="1770"/>
      <c r="BN115" s="1716"/>
      <c r="BO115" s="1716"/>
      <c r="BP115" s="1716"/>
      <c r="BQ115" s="1716"/>
      <c r="BR115" s="1716"/>
      <c r="BS115" s="1716"/>
      <c r="BT115" s="1716"/>
      <c r="BU115" s="1716"/>
      <c r="BV115" s="1716"/>
      <c r="BW115" s="1716"/>
      <c r="BX115" s="1716"/>
      <c r="BY115" s="1716"/>
      <c r="BZ115" s="1716"/>
      <c r="CA115" s="1716"/>
      <c r="CB115" s="1716"/>
      <c r="CC115" s="1716"/>
      <c r="CD115" s="1716"/>
      <c r="CE115" s="1716"/>
      <c r="CF115" s="1716"/>
      <c r="CG115" s="1716"/>
      <c r="CH115" s="1716"/>
      <c r="CI115" s="1716"/>
      <c r="CJ115" s="1716"/>
      <c r="CK115" s="1716"/>
      <c r="CL115" s="1716"/>
      <c r="CM115" s="1716"/>
      <c r="CN115" s="1716"/>
      <c r="CO115" s="1716"/>
      <c r="CP115" s="1716"/>
    </row>
    <row r="116" spans="1:94">
      <c r="A116" s="1716"/>
      <c r="B116" s="1716"/>
      <c r="C116" s="1716" t="s">
        <v>62</v>
      </c>
      <c r="D116" s="1716"/>
      <c r="E116" s="1717"/>
      <c r="F116" s="1718"/>
      <c r="G116" s="1718"/>
      <c r="H116" s="1719"/>
      <c r="I116" s="1716"/>
      <c r="J116" s="1717"/>
      <c r="K116" s="1718"/>
      <c r="L116" s="1718"/>
      <c r="M116" s="1719"/>
      <c r="N116" s="1716"/>
      <c r="O116" s="1717"/>
      <c r="P116" s="1718"/>
      <c r="Q116" s="1718"/>
      <c r="R116" s="1719"/>
      <c r="S116" s="1716"/>
      <c r="T116" s="1717"/>
      <c r="U116" s="260"/>
      <c r="V116" s="1718"/>
      <c r="W116" s="1719"/>
      <c r="X116" s="1716"/>
      <c r="Y116" s="1717"/>
      <c r="Z116" s="260"/>
      <c r="AA116" s="1718"/>
      <c r="AB116" s="1719"/>
      <c r="AC116" s="1716"/>
      <c r="AD116" s="1717"/>
      <c r="AE116" s="260"/>
      <c r="AF116" s="1718"/>
      <c r="AG116" s="1719"/>
      <c r="AH116" s="1716"/>
      <c r="AI116" s="1717"/>
      <c r="AJ116" s="260"/>
      <c r="AK116" s="1718"/>
      <c r="AL116" s="1719"/>
      <c r="AM116" s="1716"/>
      <c r="AN116" s="1717"/>
      <c r="AO116" s="260"/>
      <c r="AP116" s="1718"/>
      <c r="AQ116" s="1719"/>
      <c r="AR116" s="1716"/>
      <c r="AS116" s="290">
        <f>+AW116/4</f>
        <v>0</v>
      </c>
      <c r="AT116" s="260">
        <f>(AW116-SUM(AS116:AS116))/3</f>
        <v>0</v>
      </c>
      <c r="AU116" s="260">
        <f>(AW116-SUM(AS116:AT116))/2</f>
        <v>0</v>
      </c>
      <c r="AV116" s="291">
        <f>(AW116-SUM(AS116:AU116))/1</f>
        <v>0</v>
      </c>
      <c r="AW116" s="1770">
        <v>0</v>
      </c>
      <c r="AX116" s="290">
        <f>+BB116/4</f>
        <v>0</v>
      </c>
      <c r="AY116" s="260">
        <f>(BB116-SUM(AX116:AX116))/3</f>
        <v>0</v>
      </c>
      <c r="AZ116" s="260">
        <f>(BB116-SUM(AX116:AY116))/2</f>
        <v>0</v>
      </c>
      <c r="BA116" s="291">
        <f>(BB116-SUM(AX116:AZ116))/1</f>
        <v>0</v>
      </c>
      <c r="BB116" s="1770">
        <v>0</v>
      </c>
      <c r="BC116" s="290">
        <f>+BG116/4</f>
        <v>0</v>
      </c>
      <c r="BD116" s="260">
        <f>(BG116-SUM(BC116:BC116))/3</f>
        <v>0</v>
      </c>
      <c r="BE116" s="260">
        <f>(BG116-SUM(BC116:BD116))/2</f>
        <v>0</v>
      </c>
      <c r="BF116" s="291">
        <f>(BG116-SUM(BC116:BE116))/1</f>
        <v>0</v>
      </c>
      <c r="BG116" s="2057">
        <v>0</v>
      </c>
      <c r="BH116" s="290">
        <f>+BL116/4</f>
        <v>0</v>
      </c>
      <c r="BI116" s="260">
        <f>(BL116-SUM(BH116:BH116))/3</f>
        <v>0</v>
      </c>
      <c r="BJ116" s="260">
        <f>(BL116-SUM(BH116:BI116))/2</f>
        <v>0</v>
      </c>
      <c r="BK116" s="291">
        <f>(BL116-SUM(BH116:BJ116))/1</f>
        <v>0</v>
      </c>
      <c r="BL116" s="2282">
        <f>+BG116</f>
        <v>0</v>
      </c>
      <c r="BM116" s="2057"/>
      <c r="BN116" s="1716"/>
      <c r="BO116" s="1716"/>
      <c r="BP116" s="1716"/>
      <c r="BQ116" s="1716"/>
      <c r="BR116" s="1716"/>
      <c r="BS116" s="1716"/>
      <c r="BT116" s="1716"/>
      <c r="BU116" s="1716"/>
      <c r="BV116" s="1716"/>
      <c r="BW116" s="1716"/>
      <c r="BX116" s="1716"/>
      <c r="BY116" s="1716"/>
      <c r="BZ116" s="1716"/>
      <c r="CA116" s="1716"/>
      <c r="CB116" s="1716"/>
      <c r="CC116" s="1716"/>
      <c r="CD116" s="1716"/>
      <c r="CE116" s="1716"/>
      <c r="CF116" s="1716"/>
      <c r="CG116" s="1716"/>
      <c r="CH116" s="1716"/>
      <c r="CI116" s="1716"/>
      <c r="CJ116" s="1716"/>
      <c r="CK116" s="1716"/>
      <c r="CL116" s="1716"/>
      <c r="CM116" s="1716"/>
      <c r="CN116" s="1716"/>
      <c r="CO116" s="1716"/>
      <c r="CP116" s="1716"/>
    </row>
    <row r="117" spans="1:94">
      <c r="A117" s="228"/>
      <c r="B117" s="228"/>
      <c r="C117" s="1756" t="s">
        <v>147</v>
      </c>
      <c r="D117" s="228"/>
      <c r="E117" s="580"/>
      <c r="F117" s="581"/>
      <c r="G117" s="581"/>
      <c r="H117" s="582"/>
      <c r="I117" s="583">
        <f t="shared" ref="I117:X117" si="278">-I150</f>
        <v>359</v>
      </c>
      <c r="J117" s="580">
        <f t="shared" si="278"/>
        <v>97</v>
      </c>
      <c r="K117" s="581">
        <f t="shared" si="278"/>
        <v>108</v>
      </c>
      <c r="L117" s="581">
        <f t="shared" si="278"/>
        <v>156</v>
      </c>
      <c r="M117" s="582">
        <f t="shared" si="278"/>
        <v>160</v>
      </c>
      <c r="N117" s="583">
        <f t="shared" si="278"/>
        <v>521</v>
      </c>
      <c r="O117" s="580">
        <f t="shared" si="278"/>
        <v>158</v>
      </c>
      <c r="P117" s="581">
        <f t="shared" si="278"/>
        <v>148</v>
      </c>
      <c r="Q117" s="581">
        <f t="shared" si="278"/>
        <v>143</v>
      </c>
      <c r="R117" s="582">
        <f t="shared" si="278"/>
        <v>143</v>
      </c>
      <c r="S117" s="583">
        <f t="shared" si="278"/>
        <v>592</v>
      </c>
      <c r="T117" s="580">
        <f t="shared" si="278"/>
        <v>125</v>
      </c>
      <c r="U117" s="261">
        <f t="shared" si="278"/>
        <v>133</v>
      </c>
      <c r="V117" s="581">
        <f t="shared" si="278"/>
        <v>145</v>
      </c>
      <c r="W117" s="582">
        <f t="shared" si="278"/>
        <v>173</v>
      </c>
      <c r="X117" s="583">
        <f t="shared" si="278"/>
        <v>576</v>
      </c>
      <c r="Y117" s="580">
        <f t="shared" ref="Y117:AC117" si="279">-Y150</f>
        <v>124</v>
      </c>
      <c r="Z117" s="261">
        <f t="shared" si="279"/>
        <v>117</v>
      </c>
      <c r="AA117" s="581">
        <f t="shared" si="279"/>
        <v>139</v>
      </c>
      <c r="AB117" s="582">
        <f t="shared" si="279"/>
        <v>187</v>
      </c>
      <c r="AC117" s="583">
        <f t="shared" si="279"/>
        <v>567</v>
      </c>
      <c r="AD117" s="580">
        <f t="shared" ref="AD117:AH117" si="280">-AD150</f>
        <v>119</v>
      </c>
      <c r="AE117" s="261">
        <f>-AE150</f>
        <v>135</v>
      </c>
      <c r="AF117" s="581">
        <f t="shared" si="280"/>
        <v>120</v>
      </c>
      <c r="AG117" s="582">
        <f t="shared" si="280"/>
        <v>170</v>
      </c>
      <c r="AH117" s="583">
        <f t="shared" si="280"/>
        <v>544</v>
      </c>
      <c r="AI117" s="580">
        <f t="shared" ref="AI117" si="281">-AI150</f>
        <v>109</v>
      </c>
      <c r="AJ117" s="261">
        <f>-AJ150</f>
        <v>147</v>
      </c>
      <c r="AK117" s="581">
        <f t="shared" ref="AK117:AN117" si="282">-AK150</f>
        <v>136</v>
      </c>
      <c r="AL117" s="582">
        <f t="shared" si="282"/>
        <v>194</v>
      </c>
      <c r="AM117" s="583">
        <f t="shared" si="282"/>
        <v>586</v>
      </c>
      <c r="AN117" s="580">
        <f t="shared" si="282"/>
        <v>139</v>
      </c>
      <c r="AO117" s="261">
        <f>-AO150</f>
        <v>152</v>
      </c>
      <c r="AP117" s="581">
        <f t="shared" ref="AP117:AR117" si="283">-AP150</f>
        <v>148</v>
      </c>
      <c r="AQ117" s="2319">
        <f t="shared" si="283"/>
        <v>189</v>
      </c>
      <c r="AR117" s="583">
        <f t="shared" si="283"/>
        <v>628</v>
      </c>
      <c r="AS117" s="292">
        <f t="shared" ref="AS117:AW117" si="284">SUM(AS113:AS116)</f>
        <v>181.25</v>
      </c>
      <c r="AT117" s="261">
        <f t="shared" si="284"/>
        <v>181.25</v>
      </c>
      <c r="AU117" s="261">
        <f t="shared" si="284"/>
        <v>181.25</v>
      </c>
      <c r="AV117" s="293">
        <f t="shared" si="284"/>
        <v>181.24999999999997</v>
      </c>
      <c r="AW117" s="228">
        <f t="shared" si="284"/>
        <v>725</v>
      </c>
      <c r="AX117" s="292">
        <f t="shared" ref="AX117:BG117" si="285">SUM(AX113:AX116)</f>
        <v>181.25</v>
      </c>
      <c r="AY117" s="261">
        <f t="shared" si="285"/>
        <v>181.25</v>
      </c>
      <c r="AZ117" s="261">
        <f t="shared" si="285"/>
        <v>181.25</v>
      </c>
      <c r="BA117" s="293">
        <f t="shared" si="285"/>
        <v>181.24999999999997</v>
      </c>
      <c r="BB117" s="228">
        <f>SUM(BB113:BB116)</f>
        <v>725</v>
      </c>
      <c r="BC117" s="292">
        <f t="shared" si="285"/>
        <v>212.5</v>
      </c>
      <c r="BD117" s="261">
        <f t="shared" si="285"/>
        <v>212.5</v>
      </c>
      <c r="BE117" s="261">
        <f t="shared" si="285"/>
        <v>212.5</v>
      </c>
      <c r="BF117" s="293">
        <f t="shared" si="285"/>
        <v>212.49999999999997</v>
      </c>
      <c r="BG117" s="228">
        <f t="shared" si="285"/>
        <v>850</v>
      </c>
      <c r="BH117" s="292">
        <f t="shared" ref="BH117:BL117" si="286">SUM(BH113:BH116)</f>
        <v>231.25</v>
      </c>
      <c r="BI117" s="261">
        <f t="shared" si="286"/>
        <v>231.25</v>
      </c>
      <c r="BJ117" s="261">
        <f t="shared" si="286"/>
        <v>231.25</v>
      </c>
      <c r="BK117" s="293">
        <f t="shared" si="286"/>
        <v>231.24999999999997</v>
      </c>
      <c r="BL117" s="228">
        <f t="shared" si="286"/>
        <v>925</v>
      </c>
      <c r="BM117" s="2057"/>
      <c r="BN117" s="228"/>
      <c r="BO117" s="228"/>
      <c r="BP117" s="228"/>
      <c r="BQ117" s="228"/>
      <c r="BR117" s="228"/>
      <c r="BS117" s="228"/>
      <c r="BT117" s="228"/>
      <c r="BU117" s="228"/>
      <c r="BV117" s="228"/>
      <c r="BW117" s="228"/>
      <c r="BX117" s="228"/>
      <c r="BY117" s="228"/>
      <c r="BZ117" s="228"/>
      <c r="CA117" s="228"/>
      <c r="CB117" s="228"/>
      <c r="CC117" s="228"/>
      <c r="CD117" s="228"/>
      <c r="CE117" s="228"/>
      <c r="CF117" s="228"/>
      <c r="CG117" s="228"/>
      <c r="CH117" s="228"/>
      <c r="CI117" s="228"/>
      <c r="CJ117" s="228"/>
      <c r="CK117" s="228"/>
      <c r="CL117" s="228"/>
      <c r="CM117" s="228"/>
      <c r="CN117" s="228"/>
      <c r="CO117" s="228"/>
      <c r="CP117" s="228"/>
    </row>
    <row r="118" spans="1:94">
      <c r="A118" s="228"/>
      <c r="B118" s="228"/>
      <c r="C118" s="1756"/>
      <c r="D118" s="228"/>
      <c r="E118" s="580"/>
      <c r="F118" s="581"/>
      <c r="G118" s="581"/>
      <c r="H118" s="582"/>
      <c r="I118" s="583"/>
      <c r="J118" s="580"/>
      <c r="K118" s="581"/>
      <c r="L118" s="581"/>
      <c r="M118" s="582"/>
      <c r="N118" s="583"/>
      <c r="O118" s="580"/>
      <c r="P118" s="581"/>
      <c r="Q118" s="581"/>
      <c r="R118" s="582"/>
      <c r="S118" s="583"/>
      <c r="T118" s="292"/>
      <c r="U118" s="261"/>
      <c r="V118" s="261"/>
      <c r="W118" s="293"/>
      <c r="X118" s="228"/>
      <c r="Y118" s="292"/>
      <c r="Z118" s="261"/>
      <c r="AA118" s="261"/>
      <c r="AB118" s="293"/>
      <c r="AC118" s="228"/>
      <c r="AD118" s="292"/>
      <c r="AE118" s="261"/>
      <c r="AF118" s="261"/>
      <c r="AG118" s="293"/>
      <c r="AH118" s="228"/>
      <c r="AI118" s="292"/>
      <c r="AJ118" s="261"/>
      <c r="AK118" s="261"/>
      <c r="AL118" s="293"/>
      <c r="AM118" s="228"/>
      <c r="AN118" s="292"/>
      <c r="AO118" s="261"/>
      <c r="AP118" s="261"/>
      <c r="AQ118" s="293"/>
      <c r="AR118" s="228"/>
      <c r="AS118" s="292"/>
      <c r="AT118" s="261"/>
      <c r="AU118" s="261"/>
      <c r="AV118" s="293"/>
      <c r="AW118" s="228"/>
      <c r="AX118" s="292"/>
      <c r="AY118" s="261"/>
      <c r="AZ118" s="261"/>
      <c r="BA118" s="293"/>
      <c r="BB118" s="228"/>
      <c r="BC118" s="292"/>
      <c r="BD118" s="261"/>
      <c r="BE118" s="261"/>
      <c r="BF118" s="293"/>
      <c r="BG118" s="228"/>
      <c r="BH118" s="292"/>
      <c r="BI118" s="261"/>
      <c r="BJ118" s="261"/>
      <c r="BK118" s="293"/>
      <c r="BL118" s="228"/>
      <c r="BM118" s="1770"/>
      <c r="BN118" s="228"/>
      <c r="BO118" s="228"/>
      <c r="BP118" s="228"/>
      <c r="BQ118" s="228"/>
      <c r="BR118" s="228"/>
      <c r="BS118" s="228"/>
      <c r="BT118" s="228"/>
      <c r="BU118" s="228"/>
      <c r="BV118" s="228"/>
      <c r="BW118" s="228"/>
      <c r="BX118" s="228"/>
      <c r="BY118" s="228"/>
      <c r="BZ118" s="228"/>
      <c r="CA118" s="228"/>
      <c r="CB118" s="228"/>
      <c r="CC118" s="228"/>
      <c r="CD118" s="228"/>
      <c r="CE118" s="228"/>
      <c r="CF118" s="228"/>
      <c r="CG118" s="228"/>
      <c r="CH118" s="228"/>
      <c r="CI118" s="228"/>
      <c r="CJ118" s="228"/>
      <c r="CK118" s="228"/>
      <c r="CL118" s="228"/>
      <c r="CM118" s="228"/>
      <c r="CN118" s="228"/>
      <c r="CO118" s="228"/>
      <c r="CP118" s="228"/>
    </row>
    <row r="119" spans="1:94">
      <c r="A119" s="228"/>
      <c r="B119" s="228"/>
      <c r="C119" s="1756"/>
      <c r="D119" s="228"/>
      <c r="E119" s="580"/>
      <c r="F119" s="581"/>
      <c r="G119" s="581"/>
      <c r="H119" s="582"/>
      <c r="I119" s="583"/>
      <c r="J119" s="580"/>
      <c r="K119" s="581"/>
      <c r="L119" s="581"/>
      <c r="M119" s="582"/>
      <c r="N119" s="583"/>
      <c r="O119" s="580"/>
      <c r="P119" s="581"/>
      <c r="Q119" s="581"/>
      <c r="R119" s="582"/>
      <c r="S119" s="583"/>
      <c r="T119" s="292"/>
      <c r="U119" s="261"/>
      <c r="V119" s="261"/>
      <c r="W119" s="293"/>
      <c r="X119" s="228"/>
      <c r="Y119" s="292"/>
      <c r="Z119" s="261"/>
      <c r="AA119" s="261"/>
      <c r="AB119" s="293"/>
      <c r="AC119" s="228"/>
      <c r="AD119" s="292"/>
      <c r="AE119" s="261"/>
      <c r="AF119" s="261"/>
      <c r="AG119" s="293"/>
      <c r="AH119" s="228"/>
      <c r="AI119" s="292"/>
      <c r="AJ119" s="261"/>
      <c r="AK119" s="261"/>
      <c r="AL119" s="293"/>
      <c r="AM119" s="228"/>
      <c r="AN119" s="292"/>
      <c r="AO119" s="261"/>
      <c r="AP119" s="261"/>
      <c r="AQ119" s="293"/>
      <c r="AR119" s="228"/>
      <c r="AS119" s="292"/>
      <c r="AT119" s="261"/>
      <c r="AU119" s="261"/>
      <c r="AV119" s="293"/>
      <c r="AW119" s="228"/>
      <c r="AX119" s="292"/>
      <c r="AY119" s="261"/>
      <c r="AZ119" s="261"/>
      <c r="BA119" s="293"/>
      <c r="BB119" s="228"/>
      <c r="BC119" s="292"/>
      <c r="BD119" s="261"/>
      <c r="BE119" s="261"/>
      <c r="BF119" s="293"/>
      <c r="BG119" s="228"/>
      <c r="BH119" s="292"/>
      <c r="BI119" s="261"/>
      <c r="BJ119" s="261"/>
      <c r="BK119" s="293"/>
      <c r="BL119" s="228"/>
      <c r="BM119" s="1770"/>
      <c r="BN119" s="228"/>
      <c r="BO119" s="228"/>
      <c r="BP119" s="228"/>
      <c r="BQ119" s="228"/>
      <c r="BR119" s="228"/>
      <c r="BS119" s="228"/>
      <c r="BT119" s="228"/>
      <c r="BU119" s="228"/>
      <c r="BV119" s="228"/>
      <c r="BW119" s="228"/>
      <c r="BX119" s="228"/>
      <c r="BY119" s="228"/>
      <c r="BZ119" s="228"/>
      <c r="CA119" s="228"/>
      <c r="CB119" s="228"/>
      <c r="CC119" s="228"/>
      <c r="CD119" s="228"/>
      <c r="CE119" s="228"/>
      <c r="CF119" s="228"/>
      <c r="CG119" s="228"/>
      <c r="CH119" s="228"/>
      <c r="CI119" s="228"/>
      <c r="CJ119" s="228"/>
      <c r="CK119" s="228"/>
      <c r="CL119" s="228"/>
      <c r="CM119" s="228"/>
      <c r="CN119" s="228"/>
      <c r="CO119" s="228"/>
      <c r="CP119" s="228"/>
    </row>
    <row r="120" spans="1:94">
      <c r="A120" s="228"/>
      <c r="B120" s="1771" t="s">
        <v>625</v>
      </c>
      <c r="C120" s="1772"/>
      <c r="D120" s="1773"/>
      <c r="E120" s="1717"/>
      <c r="F120" s="1718"/>
      <c r="G120" s="1718"/>
      <c r="H120" s="1719"/>
      <c r="I120" s="1716"/>
      <c r="J120" s="1717"/>
      <c r="K120" s="1718"/>
      <c r="L120" s="1718"/>
      <c r="M120" s="1719"/>
      <c r="N120" s="1716"/>
      <c r="O120" s="1717"/>
      <c r="P120" s="1718"/>
      <c r="Q120" s="1718"/>
      <c r="R120" s="1719"/>
      <c r="S120" s="1716"/>
      <c r="T120" s="1717"/>
      <c r="U120" s="1718"/>
      <c r="V120" s="1718"/>
      <c r="W120" s="1719"/>
      <c r="X120" s="1716"/>
      <c r="Y120" s="1717"/>
      <c r="Z120" s="1718"/>
      <c r="AA120" s="1718"/>
      <c r="AB120" s="1719"/>
      <c r="AC120" s="1716"/>
      <c r="AD120" s="1717"/>
      <c r="AE120" s="1718"/>
      <c r="AF120" s="1718"/>
      <c r="AG120" s="1719"/>
      <c r="AH120" s="1716"/>
      <c r="AI120" s="1717"/>
      <c r="AJ120" s="1718"/>
      <c r="AK120" s="1718"/>
      <c r="AL120" s="1719"/>
      <c r="AM120" s="1716"/>
      <c r="AN120" s="1717"/>
      <c r="AO120" s="1718"/>
      <c r="AP120" s="1718"/>
      <c r="AQ120" s="1719"/>
      <c r="AR120" s="1716"/>
      <c r="AS120" s="1717"/>
      <c r="AT120" s="1718"/>
      <c r="AU120" s="1718"/>
      <c r="AV120" s="1719"/>
      <c r="AW120" s="1716"/>
      <c r="AX120" s="1717"/>
      <c r="AY120" s="1718"/>
      <c r="AZ120" s="1718"/>
      <c r="BA120" s="1719"/>
      <c r="BB120" s="1716"/>
      <c r="BC120" s="1717"/>
      <c r="BD120" s="1718"/>
      <c r="BE120" s="1718"/>
      <c r="BF120" s="1719"/>
      <c r="BG120" s="1716"/>
      <c r="BH120" s="1717"/>
      <c r="BI120" s="1718"/>
      <c r="BJ120" s="1718"/>
      <c r="BK120" s="1719"/>
      <c r="BL120" s="1716"/>
      <c r="BM120" s="1770"/>
      <c r="BN120" s="228"/>
      <c r="BO120" s="228"/>
      <c r="BP120" s="228"/>
      <c r="BQ120" s="228"/>
      <c r="BR120" s="228"/>
      <c r="BS120" s="228"/>
      <c r="BT120" s="228"/>
      <c r="BU120" s="228"/>
      <c r="BV120" s="228"/>
      <c r="BW120" s="228"/>
      <c r="BX120" s="228"/>
      <c r="BY120" s="228"/>
      <c r="BZ120" s="228"/>
      <c r="CA120" s="228"/>
      <c r="CB120" s="228"/>
      <c r="CC120" s="228"/>
      <c r="CD120" s="228"/>
      <c r="CE120" s="228"/>
      <c r="CF120" s="228"/>
      <c r="CG120" s="228"/>
      <c r="CH120" s="228"/>
      <c r="CI120" s="228"/>
      <c r="CJ120" s="228"/>
      <c r="CK120" s="228"/>
      <c r="CL120" s="228"/>
      <c r="CM120" s="228"/>
      <c r="CN120" s="228"/>
      <c r="CO120" s="228"/>
      <c r="CP120" s="228"/>
    </row>
    <row r="121" spans="1:94">
      <c r="A121" s="228"/>
      <c r="B121" s="45"/>
      <c r="C121" s="895" t="s">
        <v>620</v>
      </c>
      <c r="D121" s="45"/>
      <c r="E121" s="290"/>
      <c r="F121" s="260"/>
      <c r="G121" s="260"/>
      <c r="H121" s="291"/>
      <c r="I121" s="45">
        <f>I19</f>
        <v>6</v>
      </c>
      <c r="J121" s="290"/>
      <c r="K121" s="260"/>
      <c r="L121" s="260"/>
      <c r="M121" s="291"/>
      <c r="N121" s="45">
        <f>N19</f>
        <v>12</v>
      </c>
      <c r="O121" s="290"/>
      <c r="P121" s="260"/>
      <c r="Q121" s="260"/>
      <c r="R121" s="291"/>
      <c r="S121" s="45">
        <f>S19</f>
        <v>8</v>
      </c>
      <c r="T121" s="290"/>
      <c r="U121" s="260"/>
      <c r="V121" s="260"/>
      <c r="W121" s="291"/>
      <c r="X121" s="45">
        <f>X19</f>
        <v>9</v>
      </c>
      <c r="Y121" s="290"/>
      <c r="Z121" s="260"/>
      <c r="AA121" s="260"/>
      <c r="AB121" s="291"/>
      <c r="AC121" s="45">
        <f>AC19</f>
        <v>10</v>
      </c>
      <c r="AD121" s="290"/>
      <c r="AE121" s="260"/>
      <c r="AF121" s="260"/>
      <c r="AG121" s="291"/>
      <c r="AH121" s="45">
        <f>AH19</f>
        <v>12</v>
      </c>
      <c r="AI121" s="290"/>
      <c r="AJ121" s="260"/>
      <c r="AK121" s="260"/>
      <c r="AL121" s="291"/>
      <c r="AM121" s="45">
        <f>AM19</f>
        <v>19</v>
      </c>
      <c r="AN121" s="300"/>
      <c r="AO121" s="260"/>
      <c r="AP121" s="260"/>
      <c r="AQ121" s="291"/>
      <c r="AR121" s="45">
        <f>AR19</f>
        <v>23</v>
      </c>
      <c r="AS121" s="290">
        <f>AW121/4</f>
        <v>5.8015730434508423</v>
      </c>
      <c r="AT121" s="260">
        <f>AW121/4</f>
        <v>5.8015730434508423</v>
      </c>
      <c r="AU121" s="260">
        <f>AW121/4</f>
        <v>5.8015730434508423</v>
      </c>
      <c r="AV121" s="291">
        <f>AW121/4</f>
        <v>5.8015730434508423</v>
      </c>
      <c r="AW121" s="45">
        <f>+AW122*AVERAGE(AW103,AR103)</f>
        <v>23.206292173803369</v>
      </c>
      <c r="AX121" s="290">
        <f>BB121/4</f>
        <v>6.2175025225452485</v>
      </c>
      <c r="AY121" s="260">
        <f>BB121/4</f>
        <v>6.2175025225452485</v>
      </c>
      <c r="AZ121" s="260">
        <f>BB121/4</f>
        <v>6.2175025225452485</v>
      </c>
      <c r="BA121" s="291">
        <f>BB121/4</f>
        <v>6.2175025225452485</v>
      </c>
      <c r="BB121" s="45">
        <f>+BB122*AVERAGE(BB103,AW103)</f>
        <v>24.870010090180994</v>
      </c>
      <c r="BC121" s="290">
        <f>BG121/4</f>
        <v>6.7534941193163904</v>
      </c>
      <c r="BD121" s="260">
        <f>BG121/4</f>
        <v>6.7534941193163904</v>
      </c>
      <c r="BE121" s="260">
        <f>BG121/4</f>
        <v>6.7534941193163904</v>
      </c>
      <c r="BF121" s="291">
        <f>BG121/4</f>
        <v>6.7534941193163904</v>
      </c>
      <c r="BG121" s="45">
        <f>+BG122*AVERAGE(BG103,BB103)</f>
        <v>27.013976477265562</v>
      </c>
      <c r="BH121" s="290">
        <f>BL121/4</f>
        <v>7.6110806741502177</v>
      </c>
      <c r="BI121" s="260">
        <f>BL121/4</f>
        <v>7.6110806741502177</v>
      </c>
      <c r="BJ121" s="260">
        <f>BL121/4</f>
        <v>7.6110806741502177</v>
      </c>
      <c r="BK121" s="291">
        <f>BL121/4</f>
        <v>7.6110806741502177</v>
      </c>
      <c r="BL121" s="45">
        <f>+BL122*AVERAGE(BL103,BG103)</f>
        <v>30.444322696600871</v>
      </c>
      <c r="BM121" s="1770"/>
      <c r="BN121" s="228"/>
      <c r="BO121" s="228"/>
      <c r="BP121" s="228"/>
      <c r="BQ121" s="228"/>
      <c r="BR121" s="228"/>
      <c r="BS121" s="228"/>
      <c r="BT121" s="228"/>
      <c r="BU121" s="228"/>
      <c r="BV121" s="228"/>
      <c r="BW121" s="228"/>
      <c r="BX121" s="228"/>
      <c r="BY121" s="228"/>
      <c r="BZ121" s="228"/>
      <c r="CA121" s="228"/>
      <c r="CB121" s="228"/>
      <c r="CC121" s="228"/>
      <c r="CD121" s="228"/>
      <c r="CE121" s="228"/>
      <c r="CF121" s="228"/>
      <c r="CG121" s="228"/>
      <c r="CH121" s="228"/>
      <c r="CI121" s="228"/>
      <c r="CJ121" s="228"/>
      <c r="CK121" s="228"/>
      <c r="CL121" s="228"/>
      <c r="CM121" s="228"/>
      <c r="CN121" s="228"/>
      <c r="CO121" s="228"/>
      <c r="CP121" s="228"/>
    </row>
    <row r="122" spans="1:94">
      <c r="A122" s="228"/>
      <c r="B122" s="895"/>
      <c r="C122" s="895" t="s">
        <v>626</v>
      </c>
      <c r="D122" s="895"/>
      <c r="E122" s="1700"/>
      <c r="F122" s="1337"/>
      <c r="G122" s="1337"/>
      <c r="H122" s="1701"/>
      <c r="I122" s="1713">
        <f>+I121/AVERAGE(I103,I103)</f>
        <v>0.02</v>
      </c>
      <c r="J122" s="1700"/>
      <c r="K122" s="1337"/>
      <c r="L122" s="1337"/>
      <c r="M122" s="1701"/>
      <c r="N122" s="1713">
        <f>+N121/AVERAGE(N103,I103)</f>
        <v>3.2520325203252036E-2</v>
      </c>
      <c r="O122" s="1700"/>
      <c r="P122" s="1337"/>
      <c r="Q122" s="1337"/>
      <c r="R122" s="1701"/>
      <c r="S122" s="1713">
        <f>+S121/AVERAGE(S103,N103)</f>
        <v>2.1592442645074223E-2</v>
      </c>
      <c r="T122" s="1700"/>
      <c r="U122" s="1337"/>
      <c r="V122" s="1337"/>
      <c r="W122" s="1701"/>
      <c r="X122" s="1713">
        <f>+X121/AVERAGE(X103,S103)</f>
        <v>2.9268292682926831E-2</v>
      </c>
      <c r="Y122" s="1700"/>
      <c r="Z122" s="1337"/>
      <c r="AA122" s="1337"/>
      <c r="AB122" s="1701"/>
      <c r="AC122" s="1713">
        <f>+AC121/AVERAGE(AC103,X103)</f>
        <v>3.2051282051282048E-2</v>
      </c>
      <c r="AD122" s="1700"/>
      <c r="AE122" s="1337"/>
      <c r="AF122" s="1337"/>
      <c r="AG122" s="1701"/>
      <c r="AH122" s="1713">
        <f>+AH121/AVERAGE(AH103,AC103)</f>
        <v>3.8095238095238099E-2</v>
      </c>
      <c r="AI122" s="1700"/>
      <c r="AJ122" s="1337"/>
      <c r="AK122" s="1337"/>
      <c r="AL122" s="1701"/>
      <c r="AM122" s="1713">
        <f>+AM121/AVERAGE(AM103,AH103)</f>
        <v>4.4444444444444446E-2</v>
      </c>
      <c r="AN122" s="1700"/>
      <c r="AO122" s="1337"/>
      <c r="AP122" s="1337"/>
      <c r="AQ122" s="1701"/>
      <c r="AR122" s="1713">
        <f>+AR121/AVERAGE(AR103,AM103)</f>
        <v>4.5544554455445543E-2</v>
      </c>
      <c r="AS122" s="1700"/>
      <c r="AT122" s="1337"/>
      <c r="AU122" s="1337"/>
      <c r="AV122" s="1701"/>
      <c r="AW122" s="1713">
        <f>+AR122</f>
        <v>4.5544554455445543E-2</v>
      </c>
      <c r="AX122" s="1700"/>
      <c r="AY122" s="1337"/>
      <c r="AZ122" s="1337"/>
      <c r="BA122" s="1701"/>
      <c r="BB122" s="1713">
        <f>+AW122</f>
        <v>4.5544554455445543E-2</v>
      </c>
      <c r="BC122" s="1700"/>
      <c r="BD122" s="1337"/>
      <c r="BE122" s="1337"/>
      <c r="BF122" s="1701"/>
      <c r="BG122" s="1713">
        <f>+BB122</f>
        <v>4.5544554455445543E-2</v>
      </c>
      <c r="BH122" s="1700"/>
      <c r="BI122" s="1337"/>
      <c r="BJ122" s="1337"/>
      <c r="BK122" s="1701"/>
      <c r="BL122" s="1713">
        <f>+BG122</f>
        <v>4.5544554455445543E-2</v>
      </c>
      <c r="BM122" s="1770"/>
      <c r="BN122" s="228"/>
      <c r="BO122" s="228"/>
      <c r="BP122" s="228"/>
      <c r="BQ122" s="228"/>
      <c r="BR122" s="228"/>
      <c r="BS122" s="228"/>
      <c r="BT122" s="228"/>
      <c r="BU122" s="228"/>
      <c r="BV122" s="228"/>
      <c r="BW122" s="228"/>
      <c r="BX122" s="228"/>
      <c r="BY122" s="228"/>
      <c r="BZ122" s="228"/>
      <c r="CA122" s="228"/>
      <c r="CB122" s="228"/>
      <c r="CC122" s="228"/>
      <c r="CD122" s="228"/>
      <c r="CE122" s="228"/>
      <c r="CF122" s="228"/>
      <c r="CG122" s="228"/>
      <c r="CH122" s="228"/>
      <c r="CI122" s="228"/>
      <c r="CJ122" s="228"/>
      <c r="CK122" s="228"/>
      <c r="CL122" s="228"/>
      <c r="CM122" s="228"/>
      <c r="CN122" s="228"/>
      <c r="CO122" s="228"/>
      <c r="CP122" s="228"/>
    </row>
    <row r="123" spans="1:94">
      <c r="A123" s="228"/>
      <c r="B123" s="895"/>
      <c r="C123" s="895"/>
      <c r="D123" s="895"/>
      <c r="E123" s="896"/>
      <c r="F123" s="897"/>
      <c r="G123" s="897"/>
      <c r="H123" s="898"/>
      <c r="I123" s="45"/>
      <c r="J123" s="896"/>
      <c r="K123" s="897"/>
      <c r="L123" s="897"/>
      <c r="M123" s="898"/>
      <c r="N123" s="45"/>
      <c r="O123" s="896"/>
      <c r="P123" s="897"/>
      <c r="Q123" s="897"/>
      <c r="R123" s="898"/>
      <c r="S123" s="45"/>
      <c r="T123" s="896"/>
      <c r="U123" s="1337"/>
      <c r="V123" s="1337"/>
      <c r="W123" s="898"/>
      <c r="X123" s="45"/>
      <c r="Y123" s="896"/>
      <c r="Z123" s="1337"/>
      <c r="AA123" s="1337"/>
      <c r="AB123" s="898"/>
      <c r="AC123" s="45"/>
      <c r="AD123" s="1700"/>
      <c r="AE123" s="1337"/>
      <c r="AF123" s="1337"/>
      <c r="AG123" s="1701"/>
      <c r="AH123" s="1713"/>
      <c r="AI123" s="1700"/>
      <c r="AJ123" s="1337"/>
      <c r="AK123" s="1337"/>
      <c r="AL123" s="1701"/>
      <c r="AM123" s="1713"/>
      <c r="AN123" s="1700"/>
      <c r="AO123" s="1337"/>
      <c r="AP123" s="1337"/>
      <c r="AQ123" s="1701"/>
      <c r="AR123" s="1713"/>
      <c r="AS123" s="1700"/>
      <c r="AT123" s="1337"/>
      <c r="AU123" s="1337"/>
      <c r="AV123" s="1701"/>
      <c r="AW123" s="1713"/>
      <c r="AX123" s="1700"/>
      <c r="AY123" s="1337"/>
      <c r="AZ123" s="1337"/>
      <c r="BA123" s="1701"/>
      <c r="BB123" s="1713"/>
      <c r="BC123" s="1700"/>
      <c r="BD123" s="1337"/>
      <c r="BE123" s="1337"/>
      <c r="BF123" s="1701"/>
      <c r="BG123" s="1713"/>
      <c r="BH123" s="1700"/>
      <c r="BI123" s="1337"/>
      <c r="BJ123" s="1337"/>
      <c r="BK123" s="1701"/>
      <c r="BL123" s="1713"/>
      <c r="BM123" s="1770"/>
      <c r="BN123" s="228"/>
      <c r="BO123" s="228"/>
      <c r="BP123" s="228"/>
      <c r="BQ123" s="228"/>
      <c r="BR123" s="228"/>
      <c r="BS123" s="228"/>
      <c r="BT123" s="228"/>
      <c r="BU123" s="228"/>
      <c r="BV123" s="228"/>
      <c r="BW123" s="228"/>
      <c r="BX123" s="228"/>
      <c r="BY123" s="228"/>
      <c r="BZ123" s="228"/>
      <c r="CA123" s="228"/>
      <c r="CB123" s="228"/>
      <c r="CC123" s="228"/>
      <c r="CD123" s="228"/>
      <c r="CE123" s="228"/>
      <c r="CF123" s="228"/>
      <c r="CG123" s="228"/>
      <c r="CH123" s="228"/>
      <c r="CI123" s="228"/>
      <c r="CJ123" s="228"/>
      <c r="CK123" s="228"/>
      <c r="CL123" s="228"/>
      <c r="CM123" s="228"/>
      <c r="CN123" s="228"/>
      <c r="CO123" s="228"/>
      <c r="CP123" s="228"/>
    </row>
    <row r="124" spans="1:94">
      <c r="A124" s="1716"/>
      <c r="B124" s="1716"/>
      <c r="C124" s="1716"/>
      <c r="D124" s="1716"/>
      <c r="E124" s="1717"/>
      <c r="F124" s="1718"/>
      <c r="G124" s="1718"/>
      <c r="H124" s="1719"/>
      <c r="I124" s="1716"/>
      <c r="J124" s="1717"/>
      <c r="K124" s="1718"/>
      <c r="L124" s="1718"/>
      <c r="M124" s="1719"/>
      <c r="N124" s="1716"/>
      <c r="O124" s="1717"/>
      <c r="P124" s="1718"/>
      <c r="Q124" s="1718"/>
      <c r="R124" s="1719"/>
      <c r="S124" s="1716"/>
      <c r="T124" s="1717"/>
      <c r="U124" s="1718"/>
      <c r="V124" s="1718"/>
      <c r="W124" s="1719"/>
      <c r="X124" s="1716"/>
      <c r="Y124" s="1717"/>
      <c r="Z124" s="1718"/>
      <c r="AA124" s="1718"/>
      <c r="AB124" s="1719"/>
      <c r="AC124" s="1716"/>
      <c r="AD124" s="1717"/>
      <c r="AE124" s="1718"/>
      <c r="AF124" s="1718"/>
      <c r="AG124" s="1719"/>
      <c r="AH124" s="1716"/>
      <c r="AI124" s="1717"/>
      <c r="AJ124" s="1718"/>
      <c r="AK124" s="1718"/>
      <c r="AL124" s="1719"/>
      <c r="AM124" s="1716"/>
      <c r="AN124" s="1717"/>
      <c r="AO124" s="1718"/>
      <c r="AP124" s="1718"/>
      <c r="AQ124" s="1719"/>
      <c r="AR124" s="1716"/>
      <c r="AS124" s="1717"/>
      <c r="AT124" s="1718"/>
      <c r="AU124" s="1718"/>
      <c r="AV124" s="1719"/>
      <c r="AW124" s="1716"/>
      <c r="AX124" s="1717"/>
      <c r="AY124" s="1718"/>
      <c r="AZ124" s="1718"/>
      <c r="BA124" s="1719"/>
      <c r="BB124" s="1716"/>
      <c r="BC124" s="1717"/>
      <c r="BD124" s="1718"/>
      <c r="BE124" s="1718"/>
      <c r="BF124" s="1719"/>
      <c r="BG124" s="1716"/>
      <c r="BH124" s="1717"/>
      <c r="BI124" s="1718"/>
      <c r="BJ124" s="1718"/>
      <c r="BK124" s="1719"/>
      <c r="BL124" s="1716"/>
      <c r="BM124" s="1716"/>
      <c r="BN124" s="1716"/>
      <c r="BO124" s="1716"/>
      <c r="BP124" s="1716"/>
      <c r="BQ124" s="1716"/>
      <c r="BR124" s="1716"/>
      <c r="BS124" s="1716"/>
      <c r="BT124" s="1716"/>
      <c r="BU124" s="1716"/>
      <c r="BV124" s="1716"/>
      <c r="BW124" s="1716"/>
      <c r="BX124" s="1716"/>
      <c r="BY124" s="1716"/>
      <c r="BZ124" s="1716"/>
      <c r="CA124" s="1716"/>
      <c r="CB124" s="1716"/>
      <c r="CC124" s="1716"/>
      <c r="CD124" s="1716"/>
      <c r="CE124" s="1716"/>
      <c r="CF124" s="1716"/>
      <c r="CG124" s="1716"/>
      <c r="CH124" s="1716"/>
      <c r="CI124" s="1716"/>
      <c r="CJ124" s="1716"/>
      <c r="CK124" s="1716"/>
      <c r="CL124" s="1716"/>
      <c r="CM124" s="1716"/>
      <c r="CN124" s="1716"/>
      <c r="CO124" s="1716"/>
      <c r="CP124" s="1716"/>
    </row>
    <row r="125" spans="1:94">
      <c r="A125" s="1716"/>
      <c r="B125" s="1771" t="s">
        <v>275</v>
      </c>
      <c r="C125" s="1772"/>
      <c r="D125" s="1773"/>
      <c r="E125" s="1717"/>
      <c r="F125" s="1718"/>
      <c r="G125" s="1718"/>
      <c r="H125" s="1719"/>
      <c r="I125" s="1716"/>
      <c r="J125" s="1717"/>
      <c r="K125" s="1718"/>
      <c r="L125" s="1718"/>
      <c r="M125" s="1719"/>
      <c r="N125" s="1716"/>
      <c r="O125" s="1717"/>
      <c r="P125" s="1718"/>
      <c r="Q125" s="1718"/>
      <c r="R125" s="1719"/>
      <c r="S125" s="1716"/>
      <c r="T125" s="1717"/>
      <c r="U125" s="1718"/>
      <c r="V125" s="1718"/>
      <c r="W125" s="1719"/>
      <c r="X125" s="1716"/>
      <c r="Y125" s="1717"/>
      <c r="Z125" s="1718"/>
      <c r="AA125" s="1718"/>
      <c r="AB125" s="1719"/>
      <c r="AC125" s="1716"/>
      <c r="AD125" s="1717"/>
      <c r="AE125" s="1718"/>
      <c r="AF125" s="1718"/>
      <c r="AG125" s="1719"/>
      <c r="AH125" s="1716"/>
      <c r="AI125" s="1717"/>
      <c r="AJ125" s="1718"/>
      <c r="AK125" s="1718"/>
      <c r="AL125" s="1719"/>
      <c r="AM125" s="1716"/>
      <c r="AN125" s="1717"/>
      <c r="AO125" s="1718"/>
      <c r="AP125" s="1718"/>
      <c r="AQ125" s="1719"/>
      <c r="AR125" s="1716"/>
      <c r="AS125" s="1717"/>
      <c r="AT125" s="1718"/>
      <c r="AU125" s="1718"/>
      <c r="AV125" s="1719"/>
      <c r="AW125" s="1716"/>
      <c r="AX125" s="1717"/>
      <c r="AY125" s="1718"/>
      <c r="AZ125" s="1718"/>
      <c r="BA125" s="1719"/>
      <c r="BB125" s="1716"/>
      <c r="BC125" s="1717"/>
      <c r="BD125" s="1718"/>
      <c r="BE125" s="1718"/>
      <c r="BF125" s="1719"/>
      <c r="BG125" s="1716"/>
      <c r="BH125" s="1717"/>
      <c r="BI125" s="1718"/>
      <c r="BJ125" s="1718"/>
      <c r="BK125" s="1719"/>
      <c r="BL125" s="1716"/>
      <c r="BM125" s="1716"/>
      <c r="BN125" s="1716"/>
      <c r="BO125" s="1716"/>
      <c r="BP125" s="1716"/>
      <c r="BQ125" s="1716"/>
      <c r="BR125" s="1716"/>
      <c r="BS125" s="1716"/>
      <c r="BT125" s="1716"/>
      <c r="BU125" s="1716"/>
      <c r="BV125" s="1716"/>
      <c r="BW125" s="1716"/>
      <c r="BX125" s="1716"/>
      <c r="BY125" s="1716"/>
      <c r="BZ125" s="1716"/>
      <c r="CA125" s="1716"/>
      <c r="CB125" s="1716"/>
      <c r="CC125" s="1716"/>
      <c r="CD125" s="1716"/>
      <c r="CE125" s="1716"/>
      <c r="CF125" s="1716"/>
      <c r="CG125" s="1716"/>
      <c r="CH125" s="1716"/>
      <c r="CI125" s="1716"/>
      <c r="CJ125" s="1716"/>
      <c r="CK125" s="1716"/>
      <c r="CL125" s="1716"/>
      <c r="CM125" s="1716"/>
      <c r="CN125" s="1716"/>
      <c r="CO125" s="1716"/>
      <c r="CP125" s="1716"/>
    </row>
    <row r="126" spans="1:94">
      <c r="A126" s="1716"/>
      <c r="B126" s="1716"/>
      <c r="C126" s="389" t="s">
        <v>236</v>
      </c>
      <c r="D126" s="1716"/>
      <c r="E126" s="1717"/>
      <c r="F126" s="1718"/>
      <c r="G126" s="1718"/>
      <c r="H126" s="1719"/>
      <c r="I126" s="1716"/>
      <c r="J126" s="1717"/>
      <c r="K126" s="1718"/>
      <c r="L126" s="1718"/>
      <c r="M126" s="1719"/>
      <c r="N126" s="1716"/>
      <c r="O126" s="1717"/>
      <c r="P126" s="1718"/>
      <c r="Q126" s="1718"/>
      <c r="R126" s="1719"/>
      <c r="S126" s="1716"/>
      <c r="T126" s="1717"/>
      <c r="U126" s="1718"/>
      <c r="V126" s="1718"/>
      <c r="W126" s="1719"/>
      <c r="X126" s="1716"/>
      <c r="Y126" s="1717"/>
      <c r="Z126" s="1718"/>
      <c r="AA126" s="1718"/>
      <c r="AB126" s="1719"/>
      <c r="AC126" s="1716"/>
      <c r="AD126" s="1717"/>
      <c r="AE126" s="1718"/>
      <c r="AF126" s="1718"/>
      <c r="AG126" s="1719"/>
      <c r="AH126" s="1716"/>
      <c r="AI126" s="1717"/>
      <c r="AJ126" s="1718"/>
      <c r="AK126" s="1718"/>
      <c r="AL126" s="1719"/>
      <c r="AM126" s="1716"/>
      <c r="AN126" s="1717"/>
      <c r="AO126" s="1718"/>
      <c r="AP126" s="1718"/>
      <c r="AQ126" s="1719"/>
      <c r="AR126" s="1716"/>
      <c r="AS126" s="1717"/>
      <c r="AT126" s="1718"/>
      <c r="AU126" s="1718"/>
      <c r="AV126" s="1719"/>
      <c r="AW126" s="1716"/>
      <c r="AX126" s="1717"/>
      <c r="AY126" s="1718"/>
      <c r="AZ126" s="1718"/>
      <c r="BA126" s="1719"/>
      <c r="BB126" s="1716"/>
      <c r="BC126" s="1717"/>
      <c r="BD126" s="1718"/>
      <c r="BE126" s="1718"/>
      <c r="BF126" s="1719"/>
      <c r="BG126" s="1716"/>
      <c r="BH126" s="1717"/>
      <c r="BI126" s="1718"/>
      <c r="BJ126" s="1718"/>
      <c r="BK126" s="1719"/>
      <c r="BL126" s="1716"/>
      <c r="BM126" s="1716"/>
      <c r="BN126" s="1716"/>
      <c r="BO126" s="1716"/>
      <c r="BP126" s="1716"/>
      <c r="BQ126" s="1716"/>
      <c r="BR126" s="1716"/>
      <c r="BS126" s="1716"/>
      <c r="BT126" s="1716"/>
      <c r="BU126" s="1716"/>
      <c r="BV126" s="1716"/>
      <c r="BW126" s="1716"/>
      <c r="BX126" s="1716"/>
      <c r="BY126" s="1716"/>
      <c r="BZ126" s="1716"/>
      <c r="CA126" s="1716"/>
      <c r="CB126" s="1716"/>
      <c r="CC126" s="1716"/>
      <c r="CD126" s="1716"/>
      <c r="CE126" s="1716"/>
      <c r="CF126" s="1716"/>
      <c r="CG126" s="1716"/>
      <c r="CH126" s="1716"/>
      <c r="CI126" s="1716"/>
      <c r="CJ126" s="1716"/>
      <c r="CK126" s="1716"/>
      <c r="CL126" s="1716"/>
      <c r="CM126" s="1716"/>
      <c r="CN126" s="1716"/>
      <c r="CO126" s="1716"/>
      <c r="CP126" s="1716"/>
    </row>
    <row r="127" spans="1:94">
      <c r="A127" s="45"/>
      <c r="B127" s="45"/>
      <c r="C127" s="391" t="s">
        <v>234</v>
      </c>
      <c r="D127" s="45"/>
      <c r="E127" s="290"/>
      <c r="F127" s="260"/>
      <c r="G127" s="260"/>
      <c r="H127" s="291"/>
      <c r="I127" s="45">
        <f t="shared" ref="I127:Z127" si="287">+I155</f>
        <v>0</v>
      </c>
      <c r="J127" s="290">
        <f t="shared" si="287"/>
        <v>0</v>
      </c>
      <c r="K127" s="260">
        <f t="shared" si="287"/>
        <v>0</v>
      </c>
      <c r="L127" s="260">
        <f t="shared" si="287"/>
        <v>0</v>
      </c>
      <c r="M127" s="291">
        <f t="shared" si="287"/>
        <v>0</v>
      </c>
      <c r="N127" s="45">
        <f t="shared" si="287"/>
        <v>0</v>
      </c>
      <c r="O127" s="290">
        <f t="shared" si="287"/>
        <v>0</v>
      </c>
      <c r="P127" s="260">
        <f t="shared" si="287"/>
        <v>200</v>
      </c>
      <c r="Q127" s="260">
        <f t="shared" si="287"/>
        <v>0</v>
      </c>
      <c r="R127" s="291">
        <f t="shared" si="287"/>
        <v>0</v>
      </c>
      <c r="S127" s="45">
        <f t="shared" si="287"/>
        <v>200</v>
      </c>
      <c r="T127" s="290">
        <f t="shared" si="287"/>
        <v>250</v>
      </c>
      <c r="U127" s="646">
        <f t="shared" si="287"/>
        <v>0</v>
      </c>
      <c r="V127" s="646">
        <f t="shared" si="287"/>
        <v>0</v>
      </c>
      <c r="W127" s="291">
        <f t="shared" si="287"/>
        <v>150</v>
      </c>
      <c r="X127" s="45">
        <f t="shared" si="287"/>
        <v>400</v>
      </c>
      <c r="Y127" s="290">
        <f t="shared" si="287"/>
        <v>400</v>
      </c>
      <c r="Z127" s="646">
        <f t="shared" si="287"/>
        <v>4</v>
      </c>
      <c r="AA127" s="646">
        <f t="shared" ref="AA127:AE127" si="288">+AA155</f>
        <v>6</v>
      </c>
      <c r="AB127" s="291">
        <f t="shared" si="288"/>
        <v>2</v>
      </c>
      <c r="AC127" s="45">
        <f t="shared" si="288"/>
        <v>412</v>
      </c>
      <c r="AD127" s="290">
        <f t="shared" si="288"/>
        <v>208</v>
      </c>
      <c r="AE127" s="646">
        <f t="shared" si="288"/>
        <v>0</v>
      </c>
      <c r="AF127" s="646">
        <f t="shared" ref="AF127:AJ127" si="289">+AF155</f>
        <v>0</v>
      </c>
      <c r="AG127" s="291">
        <f t="shared" si="289"/>
        <v>0</v>
      </c>
      <c r="AH127" s="45">
        <f t="shared" si="289"/>
        <v>208</v>
      </c>
      <c r="AI127" s="290">
        <f t="shared" si="289"/>
        <v>0</v>
      </c>
      <c r="AJ127" s="646">
        <f t="shared" si="289"/>
        <v>1</v>
      </c>
      <c r="AK127" s="646">
        <f t="shared" ref="AK127:AO127" si="290">+AK155</f>
        <v>1</v>
      </c>
      <c r="AL127" s="291">
        <f t="shared" si="290"/>
        <v>2</v>
      </c>
      <c r="AM127" s="45">
        <f t="shared" si="290"/>
        <v>4</v>
      </c>
      <c r="AN127" s="290">
        <f t="shared" si="290"/>
        <v>1</v>
      </c>
      <c r="AO127" s="646">
        <f t="shared" si="290"/>
        <v>201</v>
      </c>
      <c r="AP127" s="646">
        <f t="shared" ref="AP127:AR127" si="291">+AP155</f>
        <v>0</v>
      </c>
      <c r="AQ127" s="291">
        <f t="shared" si="291"/>
        <v>0</v>
      </c>
      <c r="AR127" s="45">
        <f t="shared" si="291"/>
        <v>202</v>
      </c>
      <c r="AS127" s="648">
        <f>Debt!AL256</f>
        <v>0</v>
      </c>
      <c r="AT127" s="646">
        <f>Debt!AM256</f>
        <v>0</v>
      </c>
      <c r="AU127" s="646">
        <f>Debt!AN256</f>
        <v>245</v>
      </c>
      <c r="AV127" s="586">
        <f>Debt!AO256</f>
        <v>0</v>
      </c>
      <c r="AW127" s="1003">
        <v>245</v>
      </c>
      <c r="AX127" s="648">
        <f>Debt!AQ256</f>
        <v>0</v>
      </c>
      <c r="AY127" s="646">
        <f>Debt!AR256</f>
        <v>0</v>
      </c>
      <c r="AZ127" s="646">
        <f>Debt!AS256</f>
        <v>165</v>
      </c>
      <c r="BA127" s="586">
        <f>Debt!AT256</f>
        <v>0</v>
      </c>
      <c r="BB127" s="2032">
        <v>165</v>
      </c>
      <c r="BC127" s="648">
        <f>Debt!AV256</f>
        <v>0</v>
      </c>
      <c r="BD127" s="646">
        <f>Debt!AW256</f>
        <v>0</v>
      </c>
      <c r="BE127" s="646">
        <f>Debt!AX256</f>
        <v>215</v>
      </c>
      <c r="BF127" s="586">
        <f>Debt!AY256</f>
        <v>0</v>
      </c>
      <c r="BG127" s="2032">
        <v>215</v>
      </c>
      <c r="BH127" s="648">
        <f>Debt!BA256</f>
        <v>0</v>
      </c>
      <c r="BI127" s="646">
        <f>Debt!BB256</f>
        <v>0</v>
      </c>
      <c r="BJ127" s="646">
        <f>Debt!BC256</f>
        <v>240</v>
      </c>
      <c r="BK127" s="586">
        <f>Debt!BD256</f>
        <v>0</v>
      </c>
      <c r="BL127" s="2282">
        <v>240</v>
      </c>
      <c r="BM127" s="1716"/>
      <c r="BN127" s="45"/>
      <c r="BO127" s="45"/>
      <c r="BP127" s="45"/>
      <c r="BQ127" s="45"/>
      <c r="BR127" s="45"/>
      <c r="BS127" s="45"/>
      <c r="BT127" s="45"/>
      <c r="BU127" s="45"/>
      <c r="BV127" s="45"/>
      <c r="BW127" s="45"/>
      <c r="BX127" s="45"/>
      <c r="BY127" s="45"/>
      <c r="BZ127" s="45"/>
      <c r="CA127" s="45"/>
      <c r="CB127" s="45"/>
      <c r="CC127" s="45"/>
      <c r="CD127" s="45"/>
      <c r="CE127" s="45"/>
      <c r="CF127" s="45"/>
      <c r="CG127" s="45"/>
      <c r="CH127" s="45"/>
      <c r="CI127" s="45"/>
      <c r="CJ127" s="45"/>
      <c r="CK127" s="45"/>
      <c r="CL127" s="45"/>
      <c r="CM127" s="45"/>
      <c r="CN127" s="45"/>
      <c r="CO127" s="45"/>
      <c r="CP127" s="45"/>
    </row>
    <row r="128" spans="1:94">
      <c r="A128" s="45"/>
      <c r="B128" s="45"/>
      <c r="C128" s="391" t="s">
        <v>235</v>
      </c>
      <c r="D128" s="45"/>
      <c r="E128" s="290"/>
      <c r="F128" s="260"/>
      <c r="G128" s="260"/>
      <c r="H128" s="291"/>
      <c r="I128" s="45">
        <f t="shared" ref="I128:Z128" si="292">+I156</f>
        <v>-16</v>
      </c>
      <c r="J128" s="290">
        <f t="shared" si="292"/>
        <v>0</v>
      </c>
      <c r="K128" s="260">
        <f t="shared" si="292"/>
        <v>0</v>
      </c>
      <c r="L128" s="260">
        <f t="shared" si="292"/>
        <v>0</v>
      </c>
      <c r="M128" s="291">
        <f t="shared" si="292"/>
        <v>0</v>
      </c>
      <c r="N128" s="45">
        <f t="shared" si="292"/>
        <v>0</v>
      </c>
      <c r="O128" s="290">
        <f t="shared" si="292"/>
        <v>0</v>
      </c>
      <c r="P128" s="260">
        <f t="shared" si="292"/>
        <v>-38</v>
      </c>
      <c r="Q128" s="260">
        <f t="shared" si="292"/>
        <v>0</v>
      </c>
      <c r="R128" s="291">
        <f t="shared" si="292"/>
        <v>0</v>
      </c>
      <c r="S128" s="45">
        <f t="shared" si="292"/>
        <v>-38</v>
      </c>
      <c r="T128" s="290">
        <f t="shared" si="292"/>
        <v>0</v>
      </c>
      <c r="U128" s="646">
        <f t="shared" si="292"/>
        <v>0</v>
      </c>
      <c r="V128" s="646">
        <f t="shared" si="292"/>
        <v>0</v>
      </c>
      <c r="W128" s="291">
        <f t="shared" si="292"/>
        <v>-200</v>
      </c>
      <c r="X128" s="45">
        <f t="shared" si="292"/>
        <v>-200</v>
      </c>
      <c r="Y128" s="290">
        <f t="shared" si="292"/>
        <v>0</v>
      </c>
      <c r="Z128" s="646">
        <f t="shared" si="292"/>
        <v>-175</v>
      </c>
      <c r="AA128" s="646">
        <f t="shared" ref="AA128:AE128" si="293">+AA156</f>
        <v>0</v>
      </c>
      <c r="AB128" s="291">
        <f t="shared" si="293"/>
        <v>0</v>
      </c>
      <c r="AC128" s="45">
        <f t="shared" si="293"/>
        <v>-175</v>
      </c>
      <c r="AD128" s="290">
        <f t="shared" si="293"/>
        <v>-12</v>
      </c>
      <c r="AE128" s="646">
        <f t="shared" si="293"/>
        <v>0</v>
      </c>
      <c r="AF128" s="646">
        <f t="shared" ref="AF128:AJ128" si="294">+AF156</f>
        <v>0</v>
      </c>
      <c r="AG128" s="291">
        <f t="shared" si="294"/>
        <v>0</v>
      </c>
      <c r="AH128" s="45">
        <f t="shared" si="294"/>
        <v>-12</v>
      </c>
      <c r="AI128" s="290">
        <f t="shared" si="294"/>
        <v>0</v>
      </c>
      <c r="AJ128" s="646">
        <f t="shared" si="294"/>
        <v>-5</v>
      </c>
      <c r="AK128" s="646">
        <f t="shared" ref="AK128:AO128" si="295">+AK156</f>
        <v>0</v>
      </c>
      <c r="AL128" s="291">
        <f t="shared" si="295"/>
        <v>-6</v>
      </c>
      <c r="AM128" s="45">
        <f t="shared" si="295"/>
        <v>-11</v>
      </c>
      <c r="AN128" s="290">
        <f t="shared" si="295"/>
        <v>0</v>
      </c>
      <c r="AO128" s="646">
        <f t="shared" si="295"/>
        <v>-7</v>
      </c>
      <c r="AP128" s="646">
        <f t="shared" ref="AP128:AR128" si="296">+AP156</f>
        <v>0</v>
      </c>
      <c r="AQ128" s="291">
        <f t="shared" si="296"/>
        <v>-6</v>
      </c>
      <c r="AR128" s="45">
        <f t="shared" si="296"/>
        <v>-13</v>
      </c>
      <c r="AS128" s="648">
        <f>Debt!AL247</f>
        <v>0</v>
      </c>
      <c r="AT128" s="646">
        <f>Debt!AM247</f>
        <v>0</v>
      </c>
      <c r="AU128" s="646">
        <f>Debt!AN247</f>
        <v>0</v>
      </c>
      <c r="AV128" s="586">
        <f>Debt!AO247</f>
        <v>0</v>
      </c>
      <c r="AW128" s="647">
        <f>Debt!AP247</f>
        <v>0</v>
      </c>
      <c r="AX128" s="648">
        <f>Debt!AQ247</f>
        <v>0</v>
      </c>
      <c r="AY128" s="646">
        <f>Debt!AR247</f>
        <v>0</v>
      </c>
      <c r="AZ128" s="646">
        <f>Debt!AS247</f>
        <v>0</v>
      </c>
      <c r="BA128" s="586">
        <f>Debt!AT247</f>
        <v>0</v>
      </c>
      <c r="BB128" s="647">
        <f>Debt!AU247</f>
        <v>0</v>
      </c>
      <c r="BC128" s="648">
        <f>Debt!AV247</f>
        <v>0</v>
      </c>
      <c r="BD128" s="646">
        <f>Debt!AW247</f>
        <v>0</v>
      </c>
      <c r="BE128" s="646">
        <f>Debt!AX247</f>
        <v>0</v>
      </c>
      <c r="BF128" s="586">
        <f>Debt!AY247</f>
        <v>0</v>
      </c>
      <c r="BG128" s="647">
        <f>Debt!AZ247</f>
        <v>0</v>
      </c>
      <c r="BH128" s="648">
        <f>Debt!BA247</f>
        <v>0</v>
      </c>
      <c r="BI128" s="646">
        <f>Debt!BB247</f>
        <v>0</v>
      </c>
      <c r="BJ128" s="646">
        <f>Debt!BC247</f>
        <v>0</v>
      </c>
      <c r="BK128" s="586">
        <f>Debt!BD247</f>
        <v>0</v>
      </c>
      <c r="BL128" s="647">
        <f>Debt!BE247</f>
        <v>0</v>
      </c>
      <c r="BM128" s="45"/>
      <c r="BN128" s="45"/>
      <c r="BO128" s="45"/>
      <c r="BP128" s="45"/>
      <c r="BQ128" s="45"/>
      <c r="BR128" s="45"/>
      <c r="BS128" s="45"/>
      <c r="BT128" s="45"/>
      <c r="BU128" s="45"/>
      <c r="BV128" s="45"/>
      <c r="BW128" s="45"/>
      <c r="BX128" s="45"/>
      <c r="BY128" s="45"/>
      <c r="BZ128" s="45"/>
      <c r="CA128" s="45"/>
      <c r="CB128" s="45"/>
      <c r="CC128" s="45"/>
      <c r="CD128" s="45"/>
      <c r="CE128" s="45"/>
      <c r="CF128" s="45"/>
      <c r="CG128" s="45"/>
      <c r="CH128" s="45"/>
      <c r="CI128" s="45"/>
      <c r="CJ128" s="45"/>
      <c r="CK128" s="45"/>
      <c r="CL128" s="45"/>
      <c r="CM128" s="45"/>
      <c r="CN128" s="45"/>
      <c r="CO128" s="45"/>
      <c r="CP128" s="45"/>
    </row>
    <row r="129" spans="1:124">
      <c r="A129" s="1716"/>
      <c r="B129" s="1716"/>
      <c r="C129" s="391"/>
      <c r="D129" s="1716"/>
      <c r="E129" s="1717"/>
      <c r="F129" s="1718"/>
      <c r="G129" s="1718"/>
      <c r="H129" s="1719"/>
      <c r="I129" s="1716"/>
      <c r="J129" s="1717"/>
      <c r="K129" s="1718"/>
      <c r="L129" s="260"/>
      <c r="M129" s="291"/>
      <c r="N129" s="45"/>
      <c r="O129" s="1717"/>
      <c r="P129" s="1718"/>
      <c r="Q129" s="1718"/>
      <c r="R129" s="291"/>
      <c r="S129" s="45"/>
      <c r="T129" s="290"/>
      <c r="U129" s="260"/>
      <c r="V129" s="260"/>
      <c r="W129" s="291"/>
      <c r="X129" s="45"/>
      <c r="Y129" s="290"/>
      <c r="Z129" s="260"/>
      <c r="AA129" s="260"/>
      <c r="AB129" s="291"/>
      <c r="AC129" s="45"/>
      <c r="AD129" s="290"/>
      <c r="AE129" s="260"/>
      <c r="AF129" s="260"/>
      <c r="AG129" s="291"/>
      <c r="AH129" s="45"/>
      <c r="AI129" s="290"/>
      <c r="AJ129" s="260"/>
      <c r="AK129" s="260"/>
      <c r="AL129" s="291"/>
      <c r="AM129" s="45"/>
      <c r="AN129" s="290"/>
      <c r="AO129" s="260"/>
      <c r="AP129" s="260"/>
      <c r="AQ129" s="291"/>
      <c r="AR129" s="45"/>
      <c r="AS129" s="290"/>
      <c r="AT129" s="260"/>
      <c r="AU129" s="260"/>
      <c r="AV129" s="291"/>
      <c r="AW129" s="45"/>
      <c r="AX129" s="290"/>
      <c r="AY129" s="260"/>
      <c r="AZ129" s="260"/>
      <c r="BA129" s="291"/>
      <c r="BB129" s="45"/>
      <c r="BC129" s="290"/>
      <c r="BD129" s="260"/>
      <c r="BE129" s="260"/>
      <c r="BF129" s="291"/>
      <c r="BG129" s="45"/>
      <c r="BH129" s="290"/>
      <c r="BI129" s="260"/>
      <c r="BJ129" s="260"/>
      <c r="BK129" s="291"/>
      <c r="BL129" s="45"/>
      <c r="BM129" s="1716"/>
      <c r="BN129" s="1716"/>
      <c r="BO129" s="1716"/>
      <c r="BP129" s="1716"/>
      <c r="BQ129" s="1716"/>
      <c r="BR129" s="1716"/>
      <c r="BS129" s="1716"/>
      <c r="BT129" s="1716"/>
      <c r="BU129" s="1716"/>
      <c r="BV129" s="1716"/>
      <c r="BW129" s="1716"/>
      <c r="BX129" s="1716"/>
      <c r="BY129" s="1716"/>
      <c r="BZ129" s="1716"/>
      <c r="CA129" s="1716"/>
      <c r="CB129" s="1716"/>
      <c r="CC129" s="1716"/>
      <c r="CD129" s="1716"/>
      <c r="CE129" s="1716"/>
      <c r="CF129" s="1716"/>
      <c r="CG129" s="1716"/>
      <c r="CH129" s="1716"/>
      <c r="CI129" s="1716"/>
      <c r="CJ129" s="1716"/>
      <c r="CK129" s="1716"/>
      <c r="CL129" s="1716"/>
      <c r="CM129" s="1716"/>
      <c r="CN129" s="1716"/>
      <c r="CO129" s="1716"/>
      <c r="CP129" s="1716"/>
    </row>
    <row r="130" spans="1:124">
      <c r="A130" s="1716"/>
      <c r="B130" s="1716"/>
      <c r="C130" s="389" t="s">
        <v>318</v>
      </c>
      <c r="D130" s="1716"/>
      <c r="E130" s="1717"/>
      <c r="F130" s="1718"/>
      <c r="G130" s="1718"/>
      <c r="H130" s="1719"/>
      <c r="I130" s="1716"/>
      <c r="J130" s="1717"/>
      <c r="K130" s="1718"/>
      <c r="L130" s="260"/>
      <c r="M130" s="291"/>
      <c r="N130" s="45"/>
      <c r="O130" s="1717"/>
      <c r="P130" s="1718"/>
      <c r="Q130" s="1718"/>
      <c r="R130" s="291"/>
      <c r="S130" s="45"/>
      <c r="T130" s="290"/>
      <c r="U130" s="260"/>
      <c r="V130" s="260"/>
      <c r="W130" s="291"/>
      <c r="X130" s="45"/>
      <c r="Y130" s="290"/>
      <c r="Z130" s="260"/>
      <c r="AA130" s="260"/>
      <c r="AB130" s="291"/>
      <c r="AC130" s="45"/>
      <c r="AD130" s="290"/>
      <c r="AE130" s="260"/>
      <c r="AF130" s="260"/>
      <c r="AG130" s="291"/>
      <c r="AH130" s="45"/>
      <c r="AI130" s="290"/>
      <c r="AJ130" s="260"/>
      <c r="AK130" s="260"/>
      <c r="AL130" s="291"/>
      <c r="AM130" s="45"/>
      <c r="AN130" s="290"/>
      <c r="AO130" s="260"/>
      <c r="AP130" s="260"/>
      <c r="AQ130" s="291"/>
      <c r="AR130" s="45"/>
      <c r="AS130" s="290"/>
      <c r="AT130" s="260"/>
      <c r="AU130" s="260"/>
      <c r="AV130" s="291"/>
      <c r="AW130" s="45"/>
      <c r="AX130" s="290"/>
      <c r="AY130" s="260"/>
      <c r="AZ130" s="260"/>
      <c r="BA130" s="291"/>
      <c r="BB130" s="45"/>
      <c r="BC130" s="290"/>
      <c r="BD130" s="260"/>
      <c r="BE130" s="260"/>
      <c r="BF130" s="291"/>
      <c r="BG130" s="45"/>
      <c r="BH130" s="290"/>
      <c r="BI130" s="260"/>
      <c r="BJ130" s="260"/>
      <c r="BK130" s="291"/>
      <c r="BL130" s="45"/>
      <c r="BM130" s="1716"/>
      <c r="BN130" s="1716"/>
      <c r="BO130" s="1716"/>
      <c r="BP130" s="1716"/>
      <c r="BQ130" s="1716"/>
      <c r="BR130" s="1716"/>
      <c r="BS130" s="1716"/>
      <c r="BT130" s="1716"/>
      <c r="BU130" s="1716"/>
      <c r="BV130" s="1716"/>
      <c r="BW130" s="1716"/>
      <c r="BX130" s="1716"/>
      <c r="BY130" s="1716"/>
      <c r="BZ130" s="1716"/>
      <c r="CA130" s="1716"/>
      <c r="CB130" s="1716"/>
      <c r="CC130" s="1716"/>
      <c r="CD130" s="1716"/>
      <c r="CE130" s="1716"/>
      <c r="CF130" s="1716"/>
      <c r="CG130" s="1716"/>
      <c r="CH130" s="1716"/>
      <c r="CI130" s="1716"/>
      <c r="CJ130" s="1716"/>
      <c r="CK130" s="1716"/>
      <c r="CL130" s="1716"/>
      <c r="CM130" s="1716"/>
      <c r="CN130" s="1716"/>
      <c r="CO130" s="1716"/>
      <c r="CP130" s="1716"/>
    </row>
    <row r="131" spans="1:124">
      <c r="A131" s="45"/>
      <c r="B131" s="45"/>
      <c r="C131" s="391" t="s">
        <v>742</v>
      </c>
      <c r="D131" s="45"/>
      <c r="E131" s="290"/>
      <c r="F131" s="260"/>
      <c r="G131" s="260"/>
      <c r="H131" s="291"/>
      <c r="I131" s="45"/>
      <c r="J131" s="290"/>
      <c r="K131" s="260"/>
      <c r="L131" s="260"/>
      <c r="M131" s="291"/>
      <c r="N131" s="45"/>
      <c r="O131" s="290"/>
      <c r="P131" s="260"/>
      <c r="Q131" s="260"/>
      <c r="R131" s="291"/>
      <c r="S131" s="45"/>
      <c r="T131" s="290"/>
      <c r="U131" s="260"/>
      <c r="V131" s="260"/>
      <c r="W131" s="291"/>
      <c r="X131" s="45"/>
      <c r="Y131" s="290"/>
      <c r="Z131" s="260"/>
      <c r="AA131" s="260"/>
      <c r="AB131" s="291"/>
      <c r="AC131" s="45"/>
      <c r="AD131" s="290"/>
      <c r="AE131" s="260"/>
      <c r="AF131" s="260"/>
      <c r="AG131" s="291"/>
      <c r="AH131" s="45"/>
      <c r="AI131" s="290"/>
      <c r="AJ131" s="260"/>
      <c r="AK131" s="260"/>
      <c r="AL131" s="291"/>
      <c r="AM131" s="45"/>
      <c r="AN131" s="290"/>
      <c r="AO131" s="260"/>
      <c r="AP131" s="260"/>
      <c r="AQ131" s="291"/>
      <c r="AR131" s="45"/>
      <c r="AS131" s="290">
        <f>(((AR211-AN211)*AS136)/4)-((AR209-AN209)*(AS136-1%)/4)</f>
        <v>-0.69750000000000001</v>
      </c>
      <c r="AT131" s="260">
        <f ca="1">(((AS211-AO211)*AT136)/4)-((AS209-AO209)*(AT136-1%)/4)</f>
        <v>0.73803182270575063</v>
      </c>
      <c r="AU131" s="260">
        <f ca="1">(((AT211-AP211)*AU136)/4)-((AT209-AP209)*(AU136-1%)/4)</f>
        <v>1.0643912249658496</v>
      </c>
      <c r="AV131" s="291">
        <f ca="1">(((AU211-AQ211)*AV136)/4)-((AU209-AQ209)*(AV136-1%)/4)</f>
        <v>-0.30310722350581637</v>
      </c>
      <c r="AW131" s="45">
        <f ca="1">+SUM(AS131:AV131)</f>
        <v>0.80181582416578401</v>
      </c>
      <c r="AX131" s="290">
        <f ca="1">(((AW211-AS211)*AX136)/4)-((AW209-AS209)*(AX136-1%)/4)</f>
        <v>-0.46104297556842655</v>
      </c>
      <c r="AY131" s="260">
        <f ca="1">(((AX211-AT211)*AY136)/4)-((AX209-AT209)*(AY136-1%)/4)</f>
        <v>-0.51745990938806541</v>
      </c>
      <c r="AZ131" s="260">
        <f ca="1">(((AY211-AU211)*AZ136)/4)-((AY209-AU209)*(AZ136-1%)/4)</f>
        <v>0.72936755752781379</v>
      </c>
      <c r="BA131" s="291">
        <f ca="1">(((AZ211-AV211)*BA136)/4)-((AZ209-AV209)*(BA136-1%)/4)</f>
        <v>-0.12120385505808699</v>
      </c>
      <c r="BB131" s="45">
        <f ca="1">+SUM(AX131:BA131)</f>
        <v>-0.37033918248676517</v>
      </c>
      <c r="BC131" s="290">
        <f ca="1">(((BB211-AX211)*BC136)/4)-((BB209-AX209)*(BC136-1%)/4)</f>
        <v>-0.27626369800809103</v>
      </c>
      <c r="BD131" s="260">
        <f ca="1">(((BC211-AY211)*BD136)/4)-((BC209-AY209)*(BD136-1%)/4)</f>
        <v>-0.22816008416889688</v>
      </c>
      <c r="BE131" s="260">
        <f ca="1">(((BD211-AZ211)*BE136)/4)-((BD209-AZ209)*(BE136-1%)/4)</f>
        <v>0.80966230560873698</v>
      </c>
      <c r="BF131" s="291">
        <f ca="1">(((BE211-BA211)*BF136)/4)-((BE209-BA209)*(BF136-1%)/4)</f>
        <v>-0.14745867688246647</v>
      </c>
      <c r="BG131" s="45">
        <f ca="1">+SUM(BC131:BF131)</f>
        <v>0.15777984654928259</v>
      </c>
      <c r="BH131" s="290">
        <f ca="1">(((BG211-BC211)*BH136)/4)-((BG209-BC209)*(BH136-1%)/4)</f>
        <v>-0.33475241921983173</v>
      </c>
      <c r="BI131" s="260">
        <f ca="1">(((BH211-BD211)*BI136)/4)-((BH209-BD209)*(BI136-1%)/4)</f>
        <v>-0.3179215393443876</v>
      </c>
      <c r="BJ131" s="260">
        <f ca="1">(((BI211-BE211)*BJ136)/4)-((BI209-BE209)*(BJ136-1%)/4)</f>
        <v>0.89865242092049158</v>
      </c>
      <c r="BK131" s="291">
        <f ca="1">(((BJ211-BF211)*BK136)/4)-((BJ209-BF209)*(BK136-1%)/4)</f>
        <v>-0.16060067675216735</v>
      </c>
      <c r="BL131" s="45">
        <f ca="1">+SUM(BH131:BK131)</f>
        <v>8.5377785604104833E-2</v>
      </c>
      <c r="BM131" s="45"/>
      <c r="BN131" s="45"/>
      <c r="BO131" s="45"/>
      <c r="BP131" s="45"/>
      <c r="BQ131" s="45"/>
      <c r="BR131" s="45"/>
      <c r="BS131" s="45"/>
      <c r="BT131" s="45"/>
      <c r="BU131" s="45"/>
      <c r="BV131" s="45"/>
      <c r="BW131" s="45"/>
      <c r="BX131" s="45"/>
      <c r="BY131" s="45"/>
      <c r="BZ131" s="45"/>
      <c r="CA131" s="45"/>
      <c r="CB131" s="45"/>
      <c r="CC131" s="45"/>
      <c r="CD131" s="45"/>
      <c r="CE131" s="45"/>
      <c r="CF131" s="45"/>
      <c r="CG131" s="45"/>
      <c r="CH131" s="45"/>
      <c r="CI131" s="45"/>
      <c r="CJ131" s="45"/>
      <c r="CK131" s="45"/>
      <c r="CL131" s="45"/>
      <c r="CM131" s="45"/>
      <c r="CN131" s="45"/>
      <c r="CO131" s="45"/>
      <c r="CP131" s="45"/>
    </row>
    <row r="132" spans="1:124">
      <c r="A132" s="45"/>
      <c r="B132" s="45"/>
      <c r="C132" s="391"/>
      <c r="D132" s="45"/>
      <c r="E132" s="290"/>
      <c r="F132" s="260"/>
      <c r="G132" s="260"/>
      <c r="H132" s="291"/>
      <c r="I132" s="45"/>
      <c r="J132" s="290"/>
      <c r="K132" s="260"/>
      <c r="L132" s="260"/>
      <c r="M132" s="291"/>
      <c r="N132" s="45"/>
      <c r="O132" s="290"/>
      <c r="P132" s="260"/>
      <c r="Q132" s="260"/>
      <c r="R132" s="291"/>
      <c r="S132" s="45"/>
      <c r="T132" s="290"/>
      <c r="U132" s="260"/>
      <c r="V132" s="260"/>
      <c r="W132" s="291"/>
      <c r="X132" s="45"/>
      <c r="Y132" s="290"/>
      <c r="Z132" s="260"/>
      <c r="AA132" s="260"/>
      <c r="AB132" s="291"/>
      <c r="AC132" s="45"/>
      <c r="AD132" s="290"/>
      <c r="AE132" s="260"/>
      <c r="AF132" s="260"/>
      <c r="AG132" s="291"/>
      <c r="AH132" s="45"/>
      <c r="AI132" s="290"/>
      <c r="AJ132" s="260"/>
      <c r="AK132" s="260"/>
      <c r="AL132" s="291"/>
      <c r="AM132" s="45"/>
      <c r="AN132" s="290"/>
      <c r="AO132" s="260"/>
      <c r="AP132" s="260"/>
      <c r="AQ132" s="291"/>
      <c r="AR132" s="45"/>
      <c r="AS132" s="290"/>
      <c r="AT132" s="260"/>
      <c r="AU132" s="260"/>
      <c r="AV132" s="291"/>
      <c r="AW132" s="45"/>
      <c r="AX132" s="290"/>
      <c r="AY132" s="260"/>
      <c r="AZ132" s="260"/>
      <c r="BA132" s="291"/>
      <c r="BB132" s="45"/>
      <c r="BC132" s="290"/>
      <c r="BD132" s="260"/>
      <c r="BE132" s="260"/>
      <c r="BF132" s="291"/>
      <c r="BG132" s="45"/>
      <c r="BH132" s="290"/>
      <c r="BI132" s="260"/>
      <c r="BJ132" s="260"/>
      <c r="BK132" s="291"/>
      <c r="BL132" s="45"/>
      <c r="BM132" s="45"/>
      <c r="BN132" s="45"/>
      <c r="BO132" s="45"/>
      <c r="BP132" s="45"/>
      <c r="BQ132" s="45"/>
      <c r="BR132" s="45"/>
      <c r="BS132" s="45"/>
      <c r="BT132" s="45"/>
      <c r="BU132" s="45"/>
      <c r="BV132" s="45"/>
      <c r="BW132" s="45"/>
      <c r="BX132" s="45"/>
      <c r="BY132" s="45"/>
      <c r="BZ132" s="45"/>
      <c r="CA132" s="45"/>
      <c r="CB132" s="45"/>
      <c r="CC132" s="45"/>
      <c r="CD132" s="45"/>
      <c r="CE132" s="45"/>
      <c r="CF132" s="45"/>
      <c r="CG132" s="45"/>
      <c r="CH132" s="45"/>
      <c r="CI132" s="45"/>
      <c r="CJ132" s="45"/>
      <c r="CK132" s="45"/>
      <c r="CL132" s="45"/>
      <c r="CM132" s="45"/>
      <c r="CN132" s="45"/>
      <c r="CO132" s="45"/>
      <c r="CP132" s="45"/>
    </row>
    <row r="133" spans="1:124">
      <c r="A133" s="45"/>
      <c r="B133" s="45"/>
      <c r="C133" s="391" t="s">
        <v>224</v>
      </c>
      <c r="D133" s="45"/>
      <c r="E133" s="290"/>
      <c r="F133" s="260"/>
      <c r="G133" s="260"/>
      <c r="H133" s="291"/>
      <c r="I133" s="45"/>
      <c r="J133" s="290"/>
      <c r="K133" s="260"/>
      <c r="L133" s="646"/>
      <c r="M133" s="291"/>
      <c r="N133" s="45"/>
      <c r="O133" s="290"/>
      <c r="P133" s="260"/>
      <c r="Q133" s="260"/>
      <c r="R133" s="291"/>
      <c r="S133" s="45"/>
      <c r="T133" s="290"/>
      <c r="U133" s="260"/>
      <c r="V133" s="260"/>
      <c r="W133" s="291"/>
      <c r="X133" s="45"/>
      <c r="Y133" s="290"/>
      <c r="Z133" s="260"/>
      <c r="AA133" s="260"/>
      <c r="AB133" s="291"/>
      <c r="AC133" s="45"/>
      <c r="AD133" s="290"/>
      <c r="AE133" s="260"/>
      <c r="AF133" s="260"/>
      <c r="AG133" s="291"/>
      <c r="AH133" s="45"/>
      <c r="AI133" s="290"/>
      <c r="AJ133" s="260"/>
      <c r="AK133" s="260"/>
      <c r="AL133" s="291"/>
      <c r="AM133" s="45"/>
      <c r="AN133" s="290"/>
      <c r="AO133" s="260"/>
      <c r="AP133" s="260"/>
      <c r="AQ133" s="291"/>
      <c r="AR133" s="45"/>
      <c r="AS133" s="290">
        <f>Debt!CG256</f>
        <v>2.0750000000000002</v>
      </c>
      <c r="AT133" s="260">
        <f>Debt!CH256</f>
        <v>0.69166666666666676</v>
      </c>
      <c r="AU133" s="260">
        <f>Debt!CI256</f>
        <v>3.0625</v>
      </c>
      <c r="AV133" s="291">
        <f>Debt!CJ256</f>
        <v>3.0625</v>
      </c>
      <c r="AW133" s="45">
        <f>+SUM(AS133:AV133)</f>
        <v>8.8916666666666675</v>
      </c>
      <c r="AX133" s="290">
        <f>Debt!CL256</f>
        <v>3.0625</v>
      </c>
      <c r="AY133" s="260">
        <f>Debt!CM256</f>
        <v>3.0625</v>
      </c>
      <c r="AZ133" s="260">
        <f>Debt!CN256</f>
        <v>2.0625</v>
      </c>
      <c r="BA133" s="291">
        <f>Debt!CO256</f>
        <v>2.0625</v>
      </c>
      <c r="BB133" s="45">
        <f>+SUM(AX133:BA133)</f>
        <v>10.25</v>
      </c>
      <c r="BC133" s="290">
        <f>Debt!CQ256</f>
        <v>2.0625</v>
      </c>
      <c r="BD133" s="260">
        <f>Debt!CR256</f>
        <v>2.0625</v>
      </c>
      <c r="BE133" s="260">
        <f>Debt!CS256</f>
        <v>2.6875</v>
      </c>
      <c r="BF133" s="291">
        <f>Debt!CT256</f>
        <v>2.6875</v>
      </c>
      <c r="BG133" s="45">
        <f>+SUM(BC133:BF133)</f>
        <v>9.5</v>
      </c>
      <c r="BH133" s="290">
        <f>Debt!CV256</f>
        <v>2.6875</v>
      </c>
      <c r="BI133" s="260">
        <f>Debt!CW256</f>
        <v>2.6875</v>
      </c>
      <c r="BJ133" s="260">
        <f>Debt!CX256</f>
        <v>3</v>
      </c>
      <c r="BK133" s="291">
        <f>Debt!CY256</f>
        <v>3</v>
      </c>
      <c r="BL133" s="45">
        <f>+SUM(BH133:BK133)</f>
        <v>11.375</v>
      </c>
      <c r="BM133" s="45"/>
      <c r="BN133" s="45"/>
      <c r="BO133" s="45"/>
      <c r="BP133" s="45"/>
      <c r="BQ133" s="45"/>
      <c r="BR133" s="45"/>
      <c r="BS133" s="45"/>
      <c r="BT133" s="45"/>
      <c r="BU133" s="45"/>
      <c r="BV133" s="45"/>
      <c r="BW133" s="45"/>
      <c r="BX133" s="45"/>
      <c r="BY133" s="45"/>
      <c r="BZ133" s="45"/>
      <c r="CA133" s="45"/>
      <c r="CB133" s="45"/>
      <c r="CC133" s="45"/>
      <c r="CD133" s="45"/>
      <c r="CE133" s="45"/>
      <c r="CF133" s="45"/>
      <c r="CG133" s="45"/>
      <c r="CH133" s="45"/>
      <c r="CI133" s="45"/>
      <c r="CJ133" s="45"/>
      <c r="CK133" s="45"/>
      <c r="CL133" s="45"/>
      <c r="CM133" s="45"/>
      <c r="CN133" s="45"/>
      <c r="CO133" s="45"/>
      <c r="CP133" s="45"/>
    </row>
    <row r="134" spans="1:124">
      <c r="A134" s="45"/>
      <c r="B134" s="45"/>
      <c r="C134" s="391" t="s">
        <v>225</v>
      </c>
      <c r="D134" s="45"/>
      <c r="E134" s="290"/>
      <c r="F134" s="260"/>
      <c r="G134" s="260"/>
      <c r="H134" s="291"/>
      <c r="I134" s="45"/>
      <c r="J134" s="290"/>
      <c r="K134" s="260"/>
      <c r="L134" s="646"/>
      <c r="M134" s="291"/>
      <c r="N134" s="45"/>
      <c r="O134" s="290"/>
      <c r="P134" s="260"/>
      <c r="Q134" s="260"/>
      <c r="R134" s="291"/>
      <c r="S134" s="45"/>
      <c r="T134" s="290"/>
      <c r="U134" s="260"/>
      <c r="V134" s="260"/>
      <c r="W134" s="291"/>
      <c r="X134" s="45"/>
      <c r="Y134" s="290"/>
      <c r="Z134" s="260"/>
      <c r="AA134" s="260"/>
      <c r="AB134" s="291"/>
      <c r="AC134" s="45"/>
      <c r="AD134" s="290"/>
      <c r="AE134" s="260"/>
      <c r="AF134" s="260"/>
      <c r="AG134" s="291"/>
      <c r="AH134" s="45"/>
      <c r="AI134" s="290"/>
      <c r="AJ134" s="260"/>
      <c r="AK134" s="260"/>
      <c r="AL134" s="291"/>
      <c r="AM134" s="45"/>
      <c r="AN134" s="290"/>
      <c r="AO134" s="260"/>
      <c r="AP134" s="260"/>
      <c r="AQ134" s="291"/>
      <c r="AR134" s="45"/>
      <c r="AS134" s="290">
        <f>Debt!CG247</f>
        <v>0</v>
      </c>
      <c r="AT134" s="260">
        <f>Debt!CH247</f>
        <v>0</v>
      </c>
      <c r="AU134" s="260">
        <f>Debt!CI247</f>
        <v>0</v>
      </c>
      <c r="AV134" s="291">
        <f>Debt!CJ247</f>
        <v>0</v>
      </c>
      <c r="AW134" s="45">
        <f>SUM(AS134:AV134)</f>
        <v>0</v>
      </c>
      <c r="AX134" s="290">
        <f>Debt!CL247</f>
        <v>0</v>
      </c>
      <c r="AY134" s="260">
        <f>Debt!CM247</f>
        <v>0</v>
      </c>
      <c r="AZ134" s="260">
        <f>Debt!CN247</f>
        <v>0</v>
      </c>
      <c r="BA134" s="291">
        <f>Debt!CO247</f>
        <v>0</v>
      </c>
      <c r="BB134" s="45">
        <f>SUM(AX134:BA134)</f>
        <v>0</v>
      </c>
      <c r="BC134" s="290">
        <f>Debt!CQ247</f>
        <v>0</v>
      </c>
      <c r="BD134" s="260">
        <f>Debt!CR247</f>
        <v>0</v>
      </c>
      <c r="BE134" s="260">
        <f>Debt!CS247</f>
        <v>0</v>
      </c>
      <c r="BF134" s="291">
        <f>Debt!CT247</f>
        <v>0</v>
      </c>
      <c r="BG134" s="45">
        <f>SUM(BC134:BF134)</f>
        <v>0</v>
      </c>
      <c r="BH134" s="290">
        <f>Debt!CV247</f>
        <v>0</v>
      </c>
      <c r="BI134" s="260">
        <f>Debt!CW247</f>
        <v>0</v>
      </c>
      <c r="BJ134" s="260">
        <f>Debt!CX247</f>
        <v>0</v>
      </c>
      <c r="BK134" s="291">
        <f>Debt!CY247</f>
        <v>0</v>
      </c>
      <c r="BL134" s="45">
        <f>SUM(BH134:BK134)</f>
        <v>0</v>
      </c>
      <c r="BM134" s="45"/>
      <c r="BN134" s="45"/>
      <c r="BO134" s="45"/>
      <c r="BP134" s="45"/>
      <c r="BQ134" s="45"/>
      <c r="BR134" s="45"/>
      <c r="BS134" s="45"/>
      <c r="BT134" s="45"/>
      <c r="BU134" s="45"/>
      <c r="BV134" s="45"/>
      <c r="BW134" s="45"/>
      <c r="BX134" s="45"/>
      <c r="BY134" s="45"/>
      <c r="BZ134" s="45"/>
      <c r="CA134" s="45"/>
      <c r="CB134" s="45"/>
      <c r="CC134" s="45"/>
      <c r="CD134" s="45"/>
      <c r="CE134" s="45"/>
      <c r="CF134" s="45"/>
      <c r="CG134" s="45"/>
      <c r="CH134" s="45"/>
      <c r="CI134" s="45"/>
      <c r="CJ134" s="45"/>
      <c r="CK134" s="45"/>
      <c r="CL134" s="45"/>
      <c r="CM134" s="45"/>
      <c r="CN134" s="45"/>
      <c r="CO134" s="45"/>
      <c r="CP134" s="45"/>
    </row>
    <row r="135" spans="1:124">
      <c r="A135" s="1716"/>
      <c r="B135" s="1716"/>
      <c r="C135" s="895"/>
      <c r="D135" s="1716"/>
      <c r="E135" s="1717"/>
      <c r="F135" s="1718"/>
      <c r="G135" s="1718"/>
      <c r="H135" s="1719"/>
      <c r="I135" s="1716"/>
      <c r="J135" s="1717"/>
      <c r="K135" s="1718"/>
      <c r="L135" s="1718"/>
      <c r="M135" s="1719"/>
      <c r="N135" s="1716"/>
      <c r="O135" s="1717"/>
      <c r="P135" s="1718"/>
      <c r="Q135" s="1718"/>
      <c r="R135" s="1719"/>
      <c r="S135" s="1716"/>
      <c r="T135" s="1717"/>
      <c r="U135" s="1718"/>
      <c r="V135" s="1718"/>
      <c r="W135" s="1719"/>
      <c r="X135" s="1716"/>
      <c r="Y135" s="1717"/>
      <c r="Z135" s="1718"/>
      <c r="AA135" s="1718"/>
      <c r="AB135" s="1719"/>
      <c r="AC135" s="1716"/>
      <c r="AD135" s="1717"/>
      <c r="AE135" s="1718"/>
      <c r="AF135" s="1718"/>
      <c r="AG135" s="1719"/>
      <c r="AH135" s="1716"/>
      <c r="AI135" s="1717"/>
      <c r="AJ135" s="1718"/>
      <c r="AK135" s="1718"/>
      <c r="AL135" s="1719"/>
      <c r="AM135" s="1716"/>
      <c r="AN135" s="1717"/>
      <c r="AO135" s="1718"/>
      <c r="AP135" s="1718"/>
      <c r="AQ135" s="1719"/>
      <c r="AR135" s="1716"/>
      <c r="AS135" s="1717"/>
      <c r="AT135" s="1718"/>
      <c r="AU135" s="1718"/>
      <c r="AV135" s="1719"/>
      <c r="AW135" s="1716"/>
      <c r="AX135" s="1717"/>
      <c r="AY135" s="1718"/>
      <c r="AZ135" s="1718"/>
      <c r="BA135" s="1719"/>
      <c r="BB135" s="1716"/>
      <c r="BC135" s="1717"/>
      <c r="BD135" s="1718"/>
      <c r="BE135" s="1718"/>
      <c r="BF135" s="1719"/>
      <c r="BG135" s="1716"/>
      <c r="BH135" s="1717"/>
      <c r="BI135" s="1718"/>
      <c r="BJ135" s="1718"/>
      <c r="BK135" s="1719"/>
      <c r="BL135" s="1716"/>
      <c r="BM135" s="1716"/>
      <c r="BN135" s="1716"/>
      <c r="BO135" s="1716"/>
      <c r="BP135" s="1716"/>
      <c r="BQ135" s="1716"/>
      <c r="BR135" s="1716"/>
      <c r="BS135" s="1716"/>
      <c r="BT135" s="1716"/>
      <c r="BU135" s="1716"/>
      <c r="BV135" s="1716"/>
      <c r="BW135" s="1716"/>
      <c r="BX135" s="1716"/>
      <c r="BY135" s="1716"/>
      <c r="BZ135" s="1716"/>
      <c r="CA135" s="1716"/>
      <c r="CB135" s="1716"/>
      <c r="CC135" s="1716"/>
      <c r="CD135" s="1716"/>
      <c r="CE135" s="1716"/>
      <c r="CF135" s="1716"/>
      <c r="CG135" s="1716"/>
      <c r="CH135" s="1716"/>
      <c r="CI135" s="1716"/>
      <c r="CJ135" s="1716"/>
      <c r="CK135" s="1716"/>
      <c r="CL135" s="1716"/>
      <c r="CM135" s="1716"/>
      <c r="CN135" s="1716"/>
      <c r="CO135" s="1716"/>
      <c r="CP135" s="1716"/>
    </row>
    <row r="136" spans="1:124">
      <c r="A136" s="1716"/>
      <c r="B136" s="1716"/>
      <c r="C136" s="391" t="s">
        <v>239</v>
      </c>
      <c r="D136" s="1716"/>
      <c r="E136" s="1717"/>
      <c r="F136" s="1718"/>
      <c r="G136" s="1718"/>
      <c r="H136" s="1719"/>
      <c r="I136" s="1716"/>
      <c r="J136" s="1717"/>
      <c r="K136" s="1718"/>
      <c r="L136" s="1337"/>
      <c r="M136" s="1701"/>
      <c r="N136" s="1713"/>
      <c r="O136" s="1717"/>
      <c r="P136" s="1718"/>
      <c r="Q136" s="1718"/>
      <c r="R136" s="1701"/>
      <c r="S136" s="1713"/>
      <c r="T136" s="1700"/>
      <c r="U136" s="1337"/>
      <c r="V136" s="1337"/>
      <c r="W136" s="1701"/>
      <c r="X136" s="1713"/>
      <c r="Y136" s="1700"/>
      <c r="Z136" s="1337"/>
      <c r="AA136" s="1337"/>
      <c r="AB136" s="1701"/>
      <c r="AC136" s="1713"/>
      <c r="AD136" s="1700"/>
      <c r="AE136" s="1337"/>
      <c r="AF136" s="1337"/>
      <c r="AG136" s="1701"/>
      <c r="AH136" s="1713"/>
      <c r="AI136" s="1700"/>
      <c r="AJ136" s="1337"/>
      <c r="AK136" s="1337"/>
      <c r="AL136" s="1701"/>
      <c r="AM136" s="1713"/>
      <c r="AN136" s="1700"/>
      <c r="AO136" s="1337"/>
      <c r="AP136" s="1337"/>
      <c r="AQ136" s="1701"/>
      <c r="AR136" s="1713"/>
      <c r="AS136" s="1700">
        <f>EXC!AX111</f>
        <v>0.02</v>
      </c>
      <c r="AT136" s="1337">
        <f>EXC!AY111</f>
        <v>0.02</v>
      </c>
      <c r="AU136" s="1337">
        <f>EXC!AZ111</f>
        <v>0.02</v>
      </c>
      <c r="AV136" s="1701">
        <f>EXC!BA111</f>
        <v>0.02</v>
      </c>
      <c r="AW136" s="1713">
        <f>EXC!BB111</f>
        <v>0.02</v>
      </c>
      <c r="AX136" s="1700">
        <f>EXC!BC111</f>
        <v>0.02</v>
      </c>
      <c r="AY136" s="1337">
        <f>EXC!BD111</f>
        <v>0.02</v>
      </c>
      <c r="AZ136" s="1337">
        <f>EXC!BE111</f>
        <v>0.02</v>
      </c>
      <c r="BA136" s="1701">
        <f>EXC!BF111</f>
        <v>0.02</v>
      </c>
      <c r="BB136" s="1713">
        <f>EXC!BG111</f>
        <v>0.02</v>
      </c>
      <c r="BC136" s="1700">
        <f>EXC!BH111</f>
        <v>0.02</v>
      </c>
      <c r="BD136" s="1337">
        <f>EXC!BI111</f>
        <v>0.02</v>
      </c>
      <c r="BE136" s="1337">
        <f>EXC!BJ111</f>
        <v>0.02</v>
      </c>
      <c r="BF136" s="1701">
        <f>EXC!BK111</f>
        <v>0.02</v>
      </c>
      <c r="BG136" s="1713">
        <f>EXC!BL111</f>
        <v>0.02</v>
      </c>
      <c r="BH136" s="1700">
        <f>EXC!BM111</f>
        <v>0.02</v>
      </c>
      <c r="BI136" s="1337">
        <f>EXC!BN111</f>
        <v>0.02</v>
      </c>
      <c r="BJ136" s="1337">
        <f>EXC!BO111</f>
        <v>0.02</v>
      </c>
      <c r="BK136" s="1701">
        <f>EXC!BP111</f>
        <v>0.02</v>
      </c>
      <c r="BL136" s="1713">
        <f>EXC!BQ111</f>
        <v>0.02</v>
      </c>
      <c r="BM136" s="1716"/>
      <c r="BN136" s="1716"/>
      <c r="BO136" s="1716"/>
      <c r="BP136" s="1716"/>
      <c r="BQ136" s="1716"/>
      <c r="BR136" s="1716"/>
      <c r="BS136" s="1716"/>
      <c r="BT136" s="1716"/>
      <c r="BU136" s="1716"/>
      <c r="BV136" s="1716"/>
      <c r="BW136" s="1716"/>
      <c r="BX136" s="1716"/>
      <c r="BY136" s="1716"/>
      <c r="BZ136" s="1716"/>
      <c r="CA136" s="1716"/>
      <c r="CB136" s="1716"/>
      <c r="CC136" s="1716"/>
      <c r="CD136" s="1716"/>
      <c r="CE136" s="1716"/>
      <c r="CF136" s="1716"/>
      <c r="CG136" s="1716"/>
      <c r="CH136" s="1716"/>
      <c r="CI136" s="1716"/>
      <c r="CJ136" s="1716"/>
      <c r="CK136" s="1716"/>
      <c r="CL136" s="1716"/>
      <c r="CM136" s="1716"/>
      <c r="CN136" s="1716"/>
      <c r="CO136" s="1716"/>
      <c r="CP136" s="1716"/>
    </row>
    <row r="137" spans="1:124">
      <c r="A137" s="1716"/>
      <c r="B137" s="1716"/>
      <c r="C137" s="1716"/>
      <c r="D137" s="1716"/>
      <c r="E137" s="1717"/>
      <c r="F137" s="1718"/>
      <c r="G137" s="1718"/>
      <c r="H137" s="1719"/>
      <c r="I137" s="1716"/>
      <c r="J137" s="1717"/>
      <c r="K137" s="1718"/>
      <c r="L137" s="1718"/>
      <c r="M137" s="1719"/>
      <c r="N137" s="1716"/>
      <c r="O137" s="1717"/>
      <c r="P137" s="1718"/>
      <c r="Q137" s="1718"/>
      <c r="R137" s="1719"/>
      <c r="S137" s="1716"/>
      <c r="T137" s="1717"/>
      <c r="U137" s="1718"/>
      <c r="V137" s="1718"/>
      <c r="W137" s="1719"/>
      <c r="X137" s="1716"/>
      <c r="Y137" s="1717"/>
      <c r="Z137" s="1718"/>
      <c r="AA137" s="1718"/>
      <c r="AB137" s="1719"/>
      <c r="AC137" s="1716"/>
      <c r="AD137" s="1717"/>
      <c r="AE137" s="1718"/>
      <c r="AF137" s="1718"/>
      <c r="AG137" s="1719"/>
      <c r="AH137" s="1716"/>
      <c r="AI137" s="1717"/>
      <c r="AJ137" s="1718"/>
      <c r="AK137" s="1718"/>
      <c r="AL137" s="1719"/>
      <c r="AM137" s="1716"/>
      <c r="AN137" s="1717"/>
      <c r="AO137" s="1718"/>
      <c r="AP137" s="1718"/>
      <c r="AQ137" s="1719"/>
      <c r="AR137" s="1716"/>
      <c r="AS137" s="1717"/>
      <c r="AT137" s="1718"/>
      <c r="AU137" s="1718"/>
      <c r="AV137" s="1719"/>
      <c r="AW137" s="1716"/>
      <c r="AX137" s="1717"/>
      <c r="AY137" s="1718"/>
      <c r="AZ137" s="1718"/>
      <c r="BA137" s="1719"/>
      <c r="BB137" s="1716"/>
      <c r="BC137" s="1717"/>
      <c r="BD137" s="1718"/>
      <c r="BE137" s="1718"/>
      <c r="BF137" s="1719"/>
      <c r="BG137" s="1716"/>
      <c r="BH137" s="1717"/>
      <c r="BI137" s="1718"/>
      <c r="BJ137" s="1718"/>
      <c r="BK137" s="1719"/>
      <c r="BL137" s="1716"/>
      <c r="BM137" s="1716"/>
      <c r="BN137" s="1716"/>
      <c r="BO137" s="1716"/>
      <c r="BP137" s="1716"/>
      <c r="BQ137" s="1716"/>
      <c r="BR137" s="1716"/>
      <c r="BS137" s="1716"/>
      <c r="BT137" s="1716"/>
      <c r="BU137" s="1716"/>
      <c r="BV137" s="1716"/>
      <c r="BW137" s="1716"/>
      <c r="BX137" s="1716"/>
      <c r="BY137" s="1716"/>
      <c r="BZ137" s="1716"/>
      <c r="CA137" s="1716"/>
      <c r="CB137" s="1774"/>
      <c r="CC137" s="1774"/>
      <c r="CD137" s="1774"/>
      <c r="CE137" s="657"/>
      <c r="CF137" s="1774"/>
      <c r="CG137" s="1774"/>
      <c r="CH137" s="1774"/>
      <c r="CI137" s="1774"/>
      <c r="CJ137" s="657"/>
      <c r="CK137" s="1774"/>
      <c r="CL137" s="1774"/>
      <c r="CM137" s="1774"/>
      <c r="CN137" s="1774"/>
      <c r="CO137" s="657"/>
      <c r="CP137" s="1716"/>
    </row>
    <row r="138" spans="1:124">
      <c r="A138" s="1716"/>
      <c r="B138" s="1716"/>
      <c r="C138" s="1716" t="s">
        <v>743</v>
      </c>
      <c r="D138" s="1716"/>
      <c r="E138" s="1700"/>
      <c r="F138" s="1337"/>
      <c r="G138" s="1337"/>
      <c r="H138" s="1701"/>
      <c r="I138" s="1713"/>
      <c r="J138" s="1700"/>
      <c r="K138" s="1337"/>
      <c r="L138" s="1337"/>
      <c r="M138" s="1701"/>
      <c r="N138" s="1713"/>
      <c r="O138" s="1700"/>
      <c r="P138" s="1337"/>
      <c r="Q138" s="1337"/>
      <c r="R138" s="1701"/>
      <c r="S138" s="1713"/>
      <c r="T138" s="1700"/>
      <c r="U138" s="1337"/>
      <c r="V138" s="1337"/>
      <c r="W138" s="1701"/>
      <c r="X138" s="1713"/>
      <c r="Y138" s="1700"/>
      <c r="Z138" s="1337"/>
      <c r="AA138" s="1337"/>
      <c r="AB138" s="1701"/>
      <c r="AC138" s="1713"/>
      <c r="AD138" s="1700"/>
      <c r="AE138" s="1337"/>
      <c r="AF138" s="1337"/>
      <c r="AG138" s="1701"/>
      <c r="AH138" s="1713"/>
      <c r="AI138" s="1700"/>
      <c r="AJ138" s="1337"/>
      <c r="AK138" s="1337"/>
      <c r="AL138" s="1701"/>
      <c r="AM138" s="1713"/>
      <c r="AN138" s="1700"/>
      <c r="AO138" s="1337"/>
      <c r="AP138" s="1337"/>
      <c r="AQ138" s="1701"/>
      <c r="AR138" s="1713"/>
      <c r="AS138" s="1700"/>
      <c r="AT138" s="1337"/>
      <c r="AU138" s="1337"/>
      <c r="AV138" s="1701"/>
      <c r="AW138" s="1713"/>
      <c r="AX138" s="1700"/>
      <c r="AY138" s="1337"/>
      <c r="AZ138" s="1337"/>
      <c r="BA138" s="1701"/>
      <c r="BB138" s="1713"/>
      <c r="BC138" s="1700"/>
      <c r="BD138" s="1337"/>
      <c r="BE138" s="1337"/>
      <c r="BF138" s="1701"/>
      <c r="BG138" s="1713"/>
      <c r="BH138" s="1700"/>
      <c r="BI138" s="1337"/>
      <c r="BJ138" s="1337"/>
      <c r="BK138" s="1701"/>
      <c r="BL138" s="1713"/>
      <c r="BM138" s="1716"/>
      <c r="BN138" s="1716"/>
      <c r="BO138" s="1716"/>
      <c r="BP138" s="1716"/>
      <c r="BQ138" s="1716"/>
      <c r="BR138" s="1716"/>
      <c r="BS138" s="1716"/>
      <c r="BT138" s="1716"/>
      <c r="BU138" s="1716"/>
      <c r="BV138" s="1716"/>
      <c r="BW138" s="1716"/>
      <c r="BX138" s="1716"/>
      <c r="BY138" s="1716"/>
      <c r="BZ138" s="1716"/>
      <c r="CA138" s="1716"/>
      <c r="CB138" s="1774"/>
      <c r="CC138" s="1774"/>
      <c r="CD138" s="1774"/>
      <c r="CE138" s="657"/>
      <c r="CF138" s="1774"/>
      <c r="CG138" s="1774"/>
      <c r="CH138" s="1774"/>
      <c r="CI138" s="1774"/>
      <c r="CJ138" s="657"/>
      <c r="CK138" s="1774"/>
      <c r="CL138" s="1774"/>
      <c r="CM138" s="1774"/>
      <c r="CN138" s="1774"/>
      <c r="CO138" s="657"/>
      <c r="CP138" s="1716"/>
    </row>
    <row r="139" spans="1:124">
      <c r="A139" s="1716"/>
      <c r="B139" s="1716"/>
      <c r="C139" s="1716" t="s">
        <v>744</v>
      </c>
      <c r="D139" s="1716"/>
      <c r="E139" s="1717"/>
      <c r="F139" s="1718"/>
      <c r="G139" s="1718"/>
      <c r="H139" s="1719"/>
      <c r="I139" s="1716"/>
      <c r="J139" s="1717"/>
      <c r="K139" s="1718"/>
      <c r="L139" s="1718"/>
      <c r="M139" s="1719"/>
      <c r="N139" s="1716"/>
      <c r="O139" s="1717"/>
      <c r="P139" s="1718"/>
      <c r="Q139" s="1718"/>
      <c r="R139" s="1719"/>
      <c r="S139" s="1716"/>
      <c r="T139" s="1717"/>
      <c r="U139" s="1718"/>
      <c r="V139" s="1718"/>
      <c r="W139" s="1719"/>
      <c r="X139" s="1716"/>
      <c r="Y139" s="1717"/>
      <c r="Z139" s="1718"/>
      <c r="AA139" s="1718"/>
      <c r="AB139" s="1719"/>
      <c r="AC139" s="1716"/>
      <c r="AD139" s="1717"/>
      <c r="AE139" s="1718"/>
      <c r="AF139" s="1718"/>
      <c r="AG139" s="1719"/>
      <c r="AH139" s="1716"/>
      <c r="AI139" s="1717"/>
      <c r="AJ139" s="1718"/>
      <c r="AK139" s="1718"/>
      <c r="AL139" s="1719"/>
      <c r="AM139" s="1716"/>
      <c r="AN139" s="1717"/>
      <c r="AO139" s="1718"/>
      <c r="AP139" s="1718"/>
      <c r="AQ139" s="1719"/>
      <c r="AR139" s="1716"/>
      <c r="AS139" s="1717"/>
      <c r="AT139" s="1718"/>
      <c r="AU139" s="1718"/>
      <c r="AV139" s="1719"/>
      <c r="AW139" s="1716"/>
      <c r="AX139" s="1717"/>
      <c r="AY139" s="1718"/>
      <c r="AZ139" s="1718"/>
      <c r="BA139" s="1719"/>
      <c r="BB139" s="1716"/>
      <c r="BC139" s="1717"/>
      <c r="BD139" s="1718"/>
      <c r="BE139" s="1718"/>
      <c r="BF139" s="1719"/>
      <c r="BG139" s="1716"/>
      <c r="BH139" s="1717"/>
      <c r="BI139" s="1718"/>
      <c r="BJ139" s="1718"/>
      <c r="BK139" s="1719"/>
      <c r="BL139" s="1716"/>
      <c r="BM139" s="1716"/>
      <c r="BN139" s="1716"/>
      <c r="BO139" s="1716"/>
      <c r="BP139" s="1716"/>
      <c r="BQ139" s="1716"/>
      <c r="BR139" s="1716"/>
      <c r="BS139" s="1716"/>
      <c r="BT139" s="1716"/>
      <c r="BU139" s="1716"/>
      <c r="BV139" s="1716"/>
      <c r="BW139" s="1716"/>
      <c r="BX139" s="1716"/>
      <c r="BY139" s="1716"/>
      <c r="BZ139" s="1716"/>
      <c r="CA139" s="1716"/>
      <c r="CB139" s="1774"/>
      <c r="CC139" s="1774"/>
      <c r="CD139" s="1774"/>
      <c r="CE139" s="657"/>
      <c r="CF139" s="1774"/>
      <c r="CG139" s="1774"/>
      <c r="CH139" s="1774"/>
      <c r="CI139" s="1774"/>
      <c r="CJ139" s="657"/>
      <c r="CK139" s="1774"/>
      <c r="CL139" s="1774"/>
      <c r="CM139" s="1774"/>
      <c r="CN139" s="1774"/>
      <c r="CO139" s="657"/>
      <c r="CP139" s="1716"/>
    </row>
    <row r="140" spans="1:124">
      <c r="A140" s="1716"/>
      <c r="B140" s="1716"/>
      <c r="C140" s="1716"/>
      <c r="D140" s="1716"/>
      <c r="E140" s="1717"/>
      <c r="F140" s="1718"/>
      <c r="G140" s="1718"/>
      <c r="H140" s="1719"/>
      <c r="I140" s="1716"/>
      <c r="J140" s="1717"/>
      <c r="K140" s="1718"/>
      <c r="L140" s="1718"/>
      <c r="M140" s="1719"/>
      <c r="N140" s="1716"/>
      <c r="O140" s="1717"/>
      <c r="P140" s="1718"/>
      <c r="Q140" s="1718"/>
      <c r="R140" s="1719"/>
      <c r="S140" s="1716"/>
      <c r="T140" s="1717"/>
      <c r="U140" s="1718"/>
      <c r="V140" s="1718"/>
      <c r="W140" s="1719"/>
      <c r="X140" s="1716"/>
      <c r="Y140" s="1717"/>
      <c r="Z140" s="1718"/>
      <c r="AA140" s="1718"/>
      <c r="AB140" s="1719"/>
      <c r="AC140" s="1716"/>
      <c r="AD140" s="1717"/>
      <c r="AE140" s="1718"/>
      <c r="AF140" s="1718"/>
      <c r="AG140" s="1719"/>
      <c r="AH140" s="1716"/>
      <c r="AI140" s="1717"/>
      <c r="AJ140" s="1718"/>
      <c r="AK140" s="1718"/>
      <c r="AL140" s="1719"/>
      <c r="AM140" s="1716"/>
      <c r="AN140" s="1717"/>
      <c r="AO140" s="1718"/>
      <c r="AP140" s="1718"/>
      <c r="AQ140" s="1719"/>
      <c r="AR140" s="1716"/>
      <c r="AS140" s="1717"/>
      <c r="AT140" s="1718"/>
      <c r="AU140" s="1718"/>
      <c r="AV140" s="1719"/>
      <c r="AW140" s="1716"/>
      <c r="AX140" s="1717"/>
      <c r="AY140" s="1718"/>
      <c r="AZ140" s="1718"/>
      <c r="BA140" s="1719"/>
      <c r="BB140" s="1716"/>
      <c r="BC140" s="1717"/>
      <c r="BD140" s="1718"/>
      <c r="BE140" s="1718"/>
      <c r="BF140" s="1719"/>
      <c r="BG140" s="1716"/>
      <c r="BH140" s="1717"/>
      <c r="BI140" s="1718"/>
      <c r="BJ140" s="1718"/>
      <c r="BK140" s="1719"/>
      <c r="BL140" s="1716"/>
      <c r="BM140" s="1716"/>
      <c r="BN140" s="1716"/>
      <c r="BO140" s="1716"/>
      <c r="BP140" s="1716"/>
      <c r="BQ140" s="1716"/>
      <c r="BR140" s="1716"/>
      <c r="BS140" s="1716"/>
      <c r="BT140" s="1716"/>
      <c r="BU140" s="1716"/>
      <c r="BV140" s="1716"/>
      <c r="BW140" s="1716"/>
      <c r="BX140" s="1716"/>
      <c r="BY140" s="1716"/>
      <c r="BZ140" s="1716"/>
      <c r="CA140" s="1716"/>
      <c r="CB140" s="1774"/>
      <c r="CC140" s="1774"/>
      <c r="CD140" s="1774"/>
      <c r="CE140" s="657"/>
      <c r="CF140" s="1774"/>
      <c r="CG140" s="1774"/>
      <c r="CH140" s="1774"/>
      <c r="CI140" s="1774"/>
      <c r="CJ140" s="657"/>
      <c r="CK140" s="1774"/>
      <c r="CL140" s="1774"/>
      <c r="CM140" s="1774"/>
      <c r="CN140" s="1774"/>
      <c r="CO140" s="657"/>
      <c r="CP140" s="1716"/>
    </row>
    <row r="141" spans="1:124">
      <c r="A141" s="1716"/>
      <c r="B141" s="1716"/>
      <c r="C141" s="1716"/>
      <c r="D141" s="1716"/>
      <c r="E141" s="1717"/>
      <c r="F141" s="1718"/>
      <c r="G141" s="1718"/>
      <c r="H141" s="1719"/>
      <c r="I141" s="1716"/>
      <c r="J141" s="1717"/>
      <c r="K141" s="1718"/>
      <c r="L141" s="1718"/>
      <c r="M141" s="1719"/>
      <c r="N141" s="1716"/>
      <c r="O141" s="1717"/>
      <c r="P141" s="1718"/>
      <c r="Q141" s="1718"/>
      <c r="R141" s="1719"/>
      <c r="S141" s="1716"/>
      <c r="T141" s="1717"/>
      <c r="U141" s="1718"/>
      <c r="V141" s="1718"/>
      <c r="W141" s="1719"/>
      <c r="X141" s="1716"/>
      <c r="Y141" s="1717"/>
      <c r="Z141" s="1718"/>
      <c r="AA141" s="1718"/>
      <c r="AB141" s="1719"/>
      <c r="AC141" s="1716"/>
      <c r="AD141" s="1717"/>
      <c r="AE141" s="1718"/>
      <c r="AF141" s="1718"/>
      <c r="AG141" s="1719"/>
      <c r="AH141" s="1716"/>
      <c r="AI141" s="1717"/>
      <c r="AJ141" s="1718"/>
      <c r="AK141" s="1718"/>
      <c r="AL141" s="1719"/>
      <c r="AM141" s="1716"/>
      <c r="AN141" s="1717"/>
      <c r="AO141" s="1718"/>
      <c r="AP141" s="1718"/>
      <c r="AQ141" s="1719"/>
      <c r="AR141" s="1716"/>
      <c r="AS141" s="1717"/>
      <c r="AT141" s="1718"/>
      <c r="AU141" s="1718"/>
      <c r="AV141" s="1719"/>
      <c r="AW141" s="1716"/>
      <c r="AX141" s="1717"/>
      <c r="AY141" s="1718"/>
      <c r="AZ141" s="1718"/>
      <c r="BA141" s="1719"/>
      <c r="BB141" s="1716"/>
      <c r="BC141" s="1717"/>
      <c r="BD141" s="1718"/>
      <c r="BE141" s="1718"/>
      <c r="BF141" s="1719"/>
      <c r="BG141" s="1716"/>
      <c r="BH141" s="1717"/>
      <c r="BI141" s="1718"/>
      <c r="BJ141" s="1718"/>
      <c r="BK141" s="1719"/>
      <c r="BL141" s="1716"/>
      <c r="BM141" s="1716"/>
      <c r="BN141" s="1716"/>
      <c r="BO141" s="1716"/>
      <c r="BP141" s="1716"/>
      <c r="BQ141" s="1716"/>
      <c r="BR141" s="1716"/>
      <c r="BS141" s="1716"/>
      <c r="BT141" s="1716"/>
      <c r="BU141" s="1716"/>
      <c r="BV141" s="1716"/>
      <c r="BW141" s="1716"/>
      <c r="BX141" s="1716"/>
      <c r="BY141" s="1716"/>
      <c r="BZ141" s="1716"/>
      <c r="CA141" s="1716"/>
      <c r="CB141" s="1775" t="s">
        <v>627</v>
      </c>
      <c r="CC141" s="895"/>
      <c r="CD141" s="895"/>
      <c r="CE141" s="895"/>
      <c r="CF141" s="895"/>
      <c r="CG141" s="895"/>
      <c r="CH141" s="895"/>
      <c r="CI141" s="895"/>
      <c r="CJ141" s="895"/>
      <c r="CK141" s="895"/>
      <c r="CL141" s="895"/>
      <c r="CM141" s="895"/>
      <c r="CN141" s="895"/>
    </row>
    <row r="142" spans="1:124">
      <c r="A142" s="1716"/>
      <c r="B142" s="1771" t="s">
        <v>276</v>
      </c>
      <c r="C142" s="1772"/>
      <c r="D142" s="1773"/>
      <c r="E142" s="1717"/>
      <c r="F142" s="1718"/>
      <c r="G142" s="1718"/>
      <c r="H142" s="1719"/>
      <c r="I142" s="1716"/>
      <c r="J142" s="1717"/>
      <c r="K142" s="1718"/>
      <c r="L142" s="1718"/>
      <c r="M142" s="1719"/>
      <c r="N142" s="1716"/>
      <c r="O142" s="1717"/>
      <c r="P142" s="1718"/>
      <c r="Q142" s="1718"/>
      <c r="R142" s="1719"/>
      <c r="S142" s="1716"/>
      <c r="T142" s="1717"/>
      <c r="U142" s="1718"/>
      <c r="V142" s="1718"/>
      <c r="W142" s="1719"/>
      <c r="X142" s="1716"/>
      <c r="Y142" s="1717"/>
      <c r="Z142" s="1718"/>
      <c r="AA142" s="1718"/>
      <c r="AB142" s="1719"/>
      <c r="AC142" s="1716"/>
      <c r="AD142" s="1717"/>
      <c r="AE142" s="1718"/>
      <c r="AF142" s="1718"/>
      <c r="AG142" s="1719"/>
      <c r="AH142" s="1716"/>
      <c r="AI142" s="1717"/>
      <c r="AJ142" s="1718"/>
      <c r="AK142" s="1718"/>
      <c r="AL142" s="1719"/>
      <c r="AM142" s="1716"/>
      <c r="AN142" s="1717"/>
      <c r="AO142" s="1718"/>
      <c r="AP142" s="1718"/>
      <c r="AQ142" s="1719"/>
      <c r="AR142" s="1716"/>
      <c r="AS142" s="1717"/>
      <c r="AT142" s="1718"/>
      <c r="AU142" s="1718"/>
      <c r="AV142" s="1719"/>
      <c r="AW142" s="1716"/>
      <c r="AX142" s="1717"/>
      <c r="AY142" s="1718"/>
      <c r="AZ142" s="1718"/>
      <c r="BA142" s="1719"/>
      <c r="BB142" s="1716"/>
      <c r="BC142" s="1717"/>
      <c r="BD142" s="1718"/>
      <c r="BE142" s="1718"/>
      <c r="BF142" s="1719"/>
      <c r="BG142" s="1716"/>
      <c r="BH142" s="1717"/>
      <c r="BI142" s="1718"/>
      <c r="BJ142" s="1718"/>
      <c r="BK142" s="1719"/>
      <c r="BL142" s="1716"/>
      <c r="BM142" s="1716"/>
      <c r="BN142" s="1716"/>
      <c r="BO142" s="1716"/>
      <c r="BP142" s="1716"/>
      <c r="BQ142" s="1716"/>
      <c r="BR142" s="1716"/>
      <c r="BS142" s="1716"/>
      <c r="BT142" s="1716"/>
      <c r="BU142" s="1716"/>
      <c r="BV142" s="1716"/>
      <c r="BW142" s="1716"/>
      <c r="BX142" s="1716"/>
      <c r="BY142" s="1716"/>
      <c r="BZ142" s="1716"/>
      <c r="CA142" s="1716"/>
      <c r="CB142" s="1776" t="s">
        <v>358</v>
      </c>
      <c r="CC142" s="1776" t="s">
        <v>359</v>
      </c>
      <c r="CD142" s="1776" t="s">
        <v>322</v>
      </c>
      <c r="CE142" s="1776" t="s">
        <v>323</v>
      </c>
      <c r="CF142" s="1776" t="s">
        <v>628</v>
      </c>
      <c r="CG142" s="1776" t="s">
        <v>324</v>
      </c>
      <c r="CH142" s="1776" t="s">
        <v>325</v>
      </c>
      <c r="CI142" s="1776" t="s">
        <v>326</v>
      </c>
      <c r="CJ142" s="1776" t="s">
        <v>327</v>
      </c>
      <c r="CK142" s="1776" t="s">
        <v>629</v>
      </c>
      <c r="CL142" s="1776" t="s">
        <v>268</v>
      </c>
      <c r="CM142" s="1776" t="s">
        <v>269</v>
      </c>
      <c r="CN142" s="1776" t="s">
        <v>270</v>
      </c>
      <c r="CO142" s="1776" t="s">
        <v>271</v>
      </c>
      <c r="CP142" s="1776" t="s">
        <v>630</v>
      </c>
      <c r="CQ142" s="1776" t="s">
        <v>616</v>
      </c>
      <c r="CR142" s="1776" t="s">
        <v>1201</v>
      </c>
      <c r="CS142" s="1776" t="s">
        <v>1251</v>
      </c>
      <c r="CT142" s="1776" t="s">
        <v>1252</v>
      </c>
      <c r="CU142" s="1776" t="s">
        <v>827</v>
      </c>
      <c r="CV142" s="1776" t="s">
        <v>674</v>
      </c>
      <c r="CW142" s="1776" t="s">
        <v>673</v>
      </c>
      <c r="CX142" s="1776" t="s">
        <v>919</v>
      </c>
      <c r="CY142" s="1776" t="s">
        <v>920</v>
      </c>
      <c r="CZ142" s="1776" t="s">
        <v>922</v>
      </c>
      <c r="DA142" s="1776" t="s">
        <v>1218</v>
      </c>
      <c r="DB142" s="1776" t="s">
        <v>1211</v>
      </c>
      <c r="DC142" s="1776" t="s">
        <v>1344</v>
      </c>
      <c r="DD142" s="1776" t="s">
        <v>1345</v>
      </c>
      <c r="DE142" s="1776" t="s">
        <v>1346</v>
      </c>
      <c r="DF142" s="1776" t="s">
        <v>1409</v>
      </c>
      <c r="DG142" s="1776" t="s">
        <v>1405</v>
      </c>
      <c r="DH142" s="1776" t="s">
        <v>1406</v>
      </c>
      <c r="DI142" s="1776" t="s">
        <v>1407</v>
      </c>
      <c r="DJ142" s="1776" t="s">
        <v>1408</v>
      </c>
      <c r="DK142" s="1776" t="s">
        <v>1436</v>
      </c>
      <c r="DL142" s="1776" t="s">
        <v>1439</v>
      </c>
      <c r="DM142" s="1776" t="s">
        <v>1480</v>
      </c>
      <c r="DN142" s="1776" t="s">
        <v>1501</v>
      </c>
      <c r="DO142" s="1776" t="s">
        <v>1503</v>
      </c>
      <c r="DP142" s="1776" t="s">
        <v>1515</v>
      </c>
      <c r="DQ142" s="1776" t="s">
        <v>1534</v>
      </c>
      <c r="DR142" s="1776" t="s">
        <v>1536</v>
      </c>
      <c r="DS142" s="1776" t="s">
        <v>1538</v>
      </c>
      <c r="DT142" s="1776" t="s">
        <v>1540</v>
      </c>
    </row>
    <row r="143" spans="1:124">
      <c r="A143" s="45"/>
      <c r="B143" s="45"/>
      <c r="C143" s="391" t="s">
        <v>321</v>
      </c>
      <c r="D143" s="45"/>
      <c r="E143" s="290"/>
      <c r="F143" s="260"/>
      <c r="G143" s="260"/>
      <c r="H143" s="291"/>
      <c r="I143" s="647">
        <f t="shared" ref="I143:I161" si="297">CK143</f>
        <v>108</v>
      </c>
      <c r="J143" s="290">
        <f>+CL143</f>
        <v>18</v>
      </c>
      <c r="K143" s="260">
        <f t="shared" ref="K143:L147" si="298">+CM143-CL143</f>
        <v>32</v>
      </c>
      <c r="L143" s="260">
        <f t="shared" si="298"/>
        <v>38</v>
      </c>
      <c r="M143" s="291">
        <f>CO143-CN143</f>
        <v>11</v>
      </c>
      <c r="N143" s="647">
        <f t="shared" ref="N143:O147" si="299">+CP143</f>
        <v>99</v>
      </c>
      <c r="O143" s="290">
        <f t="shared" si="299"/>
        <v>24</v>
      </c>
      <c r="P143" s="260">
        <f t="shared" ref="P143:Q147" si="300">+CR143-CQ143</f>
        <v>27</v>
      </c>
      <c r="Q143" s="260">
        <f t="shared" si="300"/>
        <v>50</v>
      </c>
      <c r="R143" s="291">
        <f>CT143-CS143</f>
        <v>25</v>
      </c>
      <c r="S143" s="647">
        <f t="shared" ref="S143:T147" si="301">+CU143</f>
        <v>126</v>
      </c>
      <c r="T143" s="290">
        <f t="shared" si="301"/>
        <v>23</v>
      </c>
      <c r="U143" s="260">
        <f t="shared" ref="U143:V147" si="302">+CW143-CV143</f>
        <v>37</v>
      </c>
      <c r="V143" s="260">
        <f t="shared" si="302"/>
        <v>66</v>
      </c>
      <c r="W143" s="291">
        <f>CY143-CX143</f>
        <v>24</v>
      </c>
      <c r="X143" s="647">
        <f t="shared" ref="X143:Y147" si="303">+CZ143</f>
        <v>150</v>
      </c>
      <c r="Y143" s="290">
        <f t="shared" si="303"/>
        <v>32</v>
      </c>
      <c r="Z143" s="260">
        <f>+DB143-DA143</f>
        <v>46</v>
      </c>
      <c r="AA143" s="260">
        <f t="shared" ref="AA143:AA147" si="304">+DC143-DB143</f>
        <v>67</v>
      </c>
      <c r="AB143" s="291">
        <f>DD143-DC143</f>
        <v>26</v>
      </c>
      <c r="AC143" s="647">
        <f t="shared" ref="AC143:AC147" si="305">+DE143</f>
        <v>171</v>
      </c>
      <c r="AD143" s="290">
        <f t="shared" ref="AD143:AD147" si="306">+DF143</f>
        <v>26</v>
      </c>
      <c r="AE143" s="260">
        <f>+DG143-DF143</f>
        <v>42</v>
      </c>
      <c r="AF143" s="260">
        <f t="shared" ref="AF143:AF147" si="307">+DH143-DG143</f>
        <v>60</v>
      </c>
      <c r="AG143" s="291">
        <f>DI143-DH143</f>
        <v>59</v>
      </c>
      <c r="AH143" s="647">
        <f t="shared" ref="AH143:AI147" si="308">+DJ143</f>
        <v>187</v>
      </c>
      <c r="AI143" s="290">
        <f t="shared" si="308"/>
        <v>-108</v>
      </c>
      <c r="AJ143" s="260">
        <f>+DL143-DK143</f>
        <v>48</v>
      </c>
      <c r="AK143" s="260">
        <f t="shared" ref="AK143:AK147" si="309">+DM143-DL143</f>
        <v>80</v>
      </c>
      <c r="AL143" s="291">
        <f>DN143-DM143</f>
        <v>22</v>
      </c>
      <c r="AM143" s="647">
        <f t="shared" ref="AM143:AN147" si="310">+DO143</f>
        <v>42</v>
      </c>
      <c r="AN143" s="290">
        <f t="shared" si="310"/>
        <v>58</v>
      </c>
      <c r="AO143" s="260">
        <f>+DQ143-DP143</f>
        <v>43</v>
      </c>
      <c r="AP143" s="260">
        <f t="shared" ref="AP143:AP147" si="311">+DR143-DQ143</f>
        <v>87</v>
      </c>
      <c r="AQ143" s="291">
        <f>DS143-DR143</f>
        <v>17</v>
      </c>
      <c r="AR143" s="647">
        <f t="shared" ref="AR143:AR147" si="312">+DT143</f>
        <v>205</v>
      </c>
      <c r="AS143" s="290">
        <f>+AS32</f>
        <v>39.052580779856477</v>
      </c>
      <c r="AT143" s="260">
        <f ca="1">+AT32</f>
        <v>39.478870127393499</v>
      </c>
      <c r="AU143" s="260">
        <f ca="1">+AU32</f>
        <v>87.912613029028648</v>
      </c>
      <c r="AV143" s="291">
        <f ca="1">+AV32</f>
        <v>36.814890505063055</v>
      </c>
      <c r="AW143" s="45">
        <f ca="1">SUM(AS143:AV143)</f>
        <v>203.25895444134167</v>
      </c>
      <c r="AX143" s="290">
        <f ca="1">+AX32</f>
        <v>37.806218278011713</v>
      </c>
      <c r="AY143" s="260">
        <f ca="1">+AY32</f>
        <v>37.634291227552154</v>
      </c>
      <c r="AZ143" s="260">
        <f ca="1">+AZ32</f>
        <v>94.561526215149101</v>
      </c>
      <c r="BA143" s="291">
        <f ca="1">+BA32</f>
        <v>44.813683946845472</v>
      </c>
      <c r="BB143" s="45">
        <f ca="1">SUM(AX143:BA143)</f>
        <v>214.81571966755843</v>
      </c>
      <c r="BC143" s="290">
        <f ca="1">+BC32</f>
        <v>42.564953857519924</v>
      </c>
      <c r="BD143" s="260">
        <f ca="1">+BD32</f>
        <v>43.540778616202587</v>
      </c>
      <c r="BE143" s="260">
        <f ca="1">+BE32</f>
        <v>98.552111028807516</v>
      </c>
      <c r="BF143" s="291">
        <f ca="1">+BF32</f>
        <v>50.452231537803989</v>
      </c>
      <c r="BG143" s="45">
        <f ca="1">SUM(BC143:BF143)</f>
        <v>235.11007504033401</v>
      </c>
      <c r="BH143" s="290">
        <f ca="1">+BH32</f>
        <v>49.934231337088313</v>
      </c>
      <c r="BI143" s="260">
        <f ca="1">+BI32</f>
        <v>50.590616241316269</v>
      </c>
      <c r="BJ143" s="260">
        <f ca="1">+BJ32</f>
        <v>102.2879084442197</v>
      </c>
      <c r="BK143" s="291">
        <f ca="1">+BK32</f>
        <v>55.809723908087442</v>
      </c>
      <c r="BL143" s="45">
        <f ca="1">SUM(BH143:BK143)</f>
        <v>258.62247993071173</v>
      </c>
      <c r="BM143" s="45"/>
      <c r="BN143" s="45"/>
      <c r="BO143" s="45"/>
      <c r="BP143" s="45"/>
      <c r="BQ143" s="45"/>
      <c r="BR143" s="45"/>
      <c r="BS143" s="45"/>
      <c r="BT143" s="45"/>
      <c r="BU143" s="45"/>
      <c r="BV143" s="45"/>
      <c r="BW143" s="45"/>
      <c r="BX143" s="45"/>
      <c r="BY143" s="45"/>
      <c r="BZ143" s="45"/>
      <c r="CA143" s="45"/>
      <c r="CB143" s="339"/>
      <c r="CC143" s="339"/>
      <c r="CD143" s="339"/>
      <c r="CE143" s="45">
        <f>CF143-CD143</f>
        <v>0</v>
      </c>
      <c r="CF143" s="339"/>
      <c r="CG143" s="339"/>
      <c r="CH143" s="339"/>
      <c r="CI143" s="339"/>
      <c r="CJ143" s="45">
        <f>CK143</f>
        <v>108</v>
      </c>
      <c r="CK143" s="339">
        <v>108</v>
      </c>
      <c r="CL143" s="339">
        <v>18</v>
      </c>
      <c r="CM143" s="339">
        <v>50</v>
      </c>
      <c r="CN143" s="339">
        <v>88</v>
      </c>
      <c r="CO143" s="45">
        <f>CP143</f>
        <v>99</v>
      </c>
      <c r="CP143" s="339">
        <v>99</v>
      </c>
      <c r="CQ143" s="339">
        <v>24</v>
      </c>
      <c r="CR143" s="339">
        <v>51</v>
      </c>
      <c r="CS143" s="339">
        <v>101</v>
      </c>
      <c r="CT143" s="45">
        <f>CU143</f>
        <v>126</v>
      </c>
      <c r="CU143" s="339">
        <v>126</v>
      </c>
      <c r="CV143" s="339">
        <v>23</v>
      </c>
      <c r="CW143" s="339">
        <v>60</v>
      </c>
      <c r="CX143" s="339">
        <v>126</v>
      </c>
      <c r="CY143" s="45">
        <f>CZ143</f>
        <v>150</v>
      </c>
      <c r="CZ143" s="339">
        <v>150</v>
      </c>
      <c r="DA143" s="339">
        <v>32</v>
      </c>
      <c r="DB143" s="339">
        <v>78</v>
      </c>
      <c r="DC143" s="339">
        <v>145</v>
      </c>
      <c r="DD143" s="45">
        <f>DE143</f>
        <v>171</v>
      </c>
      <c r="DE143" s="339">
        <v>171</v>
      </c>
      <c r="DF143" s="2056">
        <v>26</v>
      </c>
      <c r="DG143" s="2056">
        <v>68</v>
      </c>
      <c r="DH143" s="2056">
        <v>128</v>
      </c>
      <c r="DI143" s="45">
        <f>DJ143</f>
        <v>187</v>
      </c>
      <c r="DJ143" s="2056">
        <v>187</v>
      </c>
      <c r="DK143" s="2056">
        <v>-108</v>
      </c>
      <c r="DL143" s="2056">
        <v>-60</v>
      </c>
      <c r="DM143" s="2056">
        <v>20</v>
      </c>
      <c r="DN143" s="45">
        <f>DO143</f>
        <v>42</v>
      </c>
      <c r="DO143" s="2056">
        <v>42</v>
      </c>
      <c r="DP143" s="2056">
        <v>58</v>
      </c>
      <c r="DQ143" s="2056">
        <v>101</v>
      </c>
      <c r="DR143" s="2056">
        <v>188</v>
      </c>
      <c r="DS143" s="45">
        <f>DT143</f>
        <v>205</v>
      </c>
      <c r="DT143" s="2056">
        <v>205</v>
      </c>
    </row>
    <row r="144" spans="1:124">
      <c r="A144" s="45"/>
      <c r="B144" s="45"/>
      <c r="C144" s="391" t="s">
        <v>587</v>
      </c>
      <c r="D144" s="45"/>
      <c r="E144" s="290"/>
      <c r="F144" s="260"/>
      <c r="G144" s="260"/>
      <c r="H144" s="291"/>
      <c r="I144" s="647">
        <f t="shared" si="297"/>
        <v>162</v>
      </c>
      <c r="J144" s="290">
        <f>+CL144</f>
        <v>42</v>
      </c>
      <c r="K144" s="260">
        <f t="shared" si="298"/>
        <v>42</v>
      </c>
      <c r="L144" s="260">
        <f t="shared" si="298"/>
        <v>44</v>
      </c>
      <c r="M144" s="291">
        <f>CO144-CN144</f>
        <v>43</v>
      </c>
      <c r="N144" s="647">
        <f t="shared" si="299"/>
        <v>171</v>
      </c>
      <c r="O144" s="290">
        <f t="shared" si="299"/>
        <v>47</v>
      </c>
      <c r="P144" s="260">
        <f t="shared" si="300"/>
        <v>48</v>
      </c>
      <c r="Q144" s="260">
        <f t="shared" si="300"/>
        <v>48</v>
      </c>
      <c r="R144" s="291">
        <f>CT144-CS144</f>
        <v>47</v>
      </c>
      <c r="S144" s="647">
        <f t="shared" si="301"/>
        <v>190</v>
      </c>
      <c r="T144" s="290">
        <f t="shared" si="301"/>
        <v>47</v>
      </c>
      <c r="U144" s="260">
        <f t="shared" si="302"/>
        <v>49</v>
      </c>
      <c r="V144" s="260">
        <f t="shared" si="302"/>
        <v>51</v>
      </c>
      <c r="W144" s="291">
        <f>CY144-CX144</f>
        <v>49</v>
      </c>
      <c r="X144" s="647">
        <f t="shared" si="303"/>
        <v>196</v>
      </c>
      <c r="Y144" s="290">
        <f t="shared" si="303"/>
        <v>56</v>
      </c>
      <c r="Z144" s="260">
        <f>+DB144-DA144</f>
        <v>56</v>
      </c>
      <c r="AA144" s="260">
        <f t="shared" si="304"/>
        <v>59</v>
      </c>
      <c r="AB144" s="291">
        <f>DD144-DC144</f>
        <v>58</v>
      </c>
      <c r="AC144" s="647">
        <f t="shared" si="305"/>
        <v>229</v>
      </c>
      <c r="AD144" s="290">
        <f t="shared" si="306"/>
        <v>65</v>
      </c>
      <c r="AE144" s="260">
        <f>+DG144-DF144</f>
        <v>68</v>
      </c>
      <c r="AF144" s="260">
        <f t="shared" si="307"/>
        <v>74</v>
      </c>
      <c r="AG144" s="291">
        <f>DI144-DH144</f>
        <v>70</v>
      </c>
      <c r="AH144" s="647">
        <f t="shared" si="308"/>
        <v>277</v>
      </c>
      <c r="AI144" s="290">
        <f t="shared" si="308"/>
        <v>75</v>
      </c>
      <c r="AJ144" s="260">
        <f>+DL144-DK144</f>
        <v>69</v>
      </c>
      <c r="AK144" s="260">
        <f t="shared" si="309"/>
        <v>77</v>
      </c>
      <c r="AL144" s="291">
        <f>DN144-DM144</f>
        <v>74</v>
      </c>
      <c r="AM144" s="647">
        <f t="shared" si="310"/>
        <v>295</v>
      </c>
      <c r="AN144" s="290">
        <f t="shared" si="310"/>
        <v>82</v>
      </c>
      <c r="AO144" s="260">
        <f>+DQ144-DP144</f>
        <v>78</v>
      </c>
      <c r="AP144" s="260">
        <f t="shared" si="311"/>
        <v>82</v>
      </c>
      <c r="AQ144" s="291">
        <f>DS144-DR144</f>
        <v>79</v>
      </c>
      <c r="AR144" s="647">
        <f t="shared" si="312"/>
        <v>321</v>
      </c>
      <c r="AS144" s="290">
        <f>AS13+(AN144-AN13)</f>
        <v>79.976558923175531</v>
      </c>
      <c r="AT144" s="260">
        <f>AT13+(AO144-AO13)</f>
        <v>80.38475366476888</v>
      </c>
      <c r="AU144" s="260">
        <f>AU13+(AP144-AP13)</f>
        <v>81.844025610649894</v>
      </c>
      <c r="AV144" s="291">
        <f>AV13+(AQ144-AQ13)</f>
        <v>83.282185481862896</v>
      </c>
      <c r="AW144" s="45">
        <f>SUM(AS144:AV144)</f>
        <v>325.48752368045717</v>
      </c>
      <c r="AX144" s="290">
        <f>AX13+(AS144-AS13)</f>
        <v>84.699538718184257</v>
      </c>
      <c r="AY144" s="260">
        <f>AY13+(AT144-AT13)</f>
        <v>86.096386340428296</v>
      </c>
      <c r="AZ144" s="260">
        <f>AZ13+(AU144-AU13)</f>
        <v>87.473025014378692</v>
      </c>
      <c r="BA144" s="291">
        <f>BA13+(AV144-AV13)</f>
        <v>88.829747113795236</v>
      </c>
      <c r="BB144" s="45">
        <f>SUM(AX144:BA144)</f>
        <v>347.09869718678652</v>
      </c>
      <c r="BC144" s="290">
        <f>BC13+(AX144-AX13)</f>
        <v>90.166840782508757</v>
      </c>
      <c r="BD144" s="260">
        <f>BD13+(AY144-AY13)</f>
        <v>90.574609399594323</v>
      </c>
      <c r="BE144" s="260">
        <f>BE13+(AZ144-AZ13)</f>
        <v>92.33856981666824</v>
      </c>
      <c r="BF144" s="291">
        <f>BF13+(BA144-BA13)</f>
        <v>94.077010066550699</v>
      </c>
      <c r="BG144" s="45">
        <f>SUM(BC144:BF144)</f>
        <v>367.15703006532203</v>
      </c>
      <c r="BH144" s="290">
        <f>BH13+(BC144-BC13)</f>
        <v>95.790299363271245</v>
      </c>
      <c r="BI144" s="260">
        <f>BI13+(BD144-BD13)</f>
        <v>96.932813221626702</v>
      </c>
      <c r="BJ144" s="260">
        <f>BJ13+(BE144-BE13)</f>
        <v>98.8760524406527</v>
      </c>
      <c r="BK144" s="291">
        <f>BK13+(BF144-BF13)</f>
        <v>100.79117776932013</v>
      </c>
      <c r="BL144" s="45">
        <f>SUM(BH144:BK144)</f>
        <v>392.39034279487078</v>
      </c>
      <c r="BM144" s="45"/>
      <c r="BN144" s="45"/>
      <c r="BO144" s="45"/>
      <c r="BP144" s="45"/>
      <c r="BQ144" s="45"/>
      <c r="BR144" s="45"/>
      <c r="BS144" s="45"/>
      <c r="BT144" s="45"/>
      <c r="BU144" s="45"/>
      <c r="BV144" s="45"/>
      <c r="BW144" s="45"/>
      <c r="BX144" s="45"/>
      <c r="BY144" s="45"/>
      <c r="BZ144" s="45"/>
      <c r="CA144" s="45"/>
      <c r="CB144" s="339"/>
      <c r="CC144" s="339"/>
      <c r="CD144" s="339"/>
      <c r="CE144" s="45">
        <f>CF144-CD144</f>
        <v>0</v>
      </c>
      <c r="CF144" s="339"/>
      <c r="CG144" s="339"/>
      <c r="CH144" s="339"/>
      <c r="CI144" s="339"/>
      <c r="CJ144" s="45">
        <f>CK144</f>
        <v>162</v>
      </c>
      <c r="CK144" s="339">
        <v>162</v>
      </c>
      <c r="CL144" s="339">
        <v>42</v>
      </c>
      <c r="CM144" s="339">
        <v>84</v>
      </c>
      <c r="CN144" s="339">
        <v>128</v>
      </c>
      <c r="CO144" s="45">
        <f>CP144</f>
        <v>171</v>
      </c>
      <c r="CP144" s="339">
        <v>171</v>
      </c>
      <c r="CQ144" s="339">
        <v>47</v>
      </c>
      <c r="CR144" s="339">
        <v>95</v>
      </c>
      <c r="CS144" s="339">
        <v>143</v>
      </c>
      <c r="CT144" s="45">
        <f>CU144</f>
        <v>190</v>
      </c>
      <c r="CU144" s="339">
        <v>190</v>
      </c>
      <c r="CV144" s="339">
        <v>47</v>
      </c>
      <c r="CW144" s="339">
        <v>96</v>
      </c>
      <c r="CX144" s="339">
        <v>147</v>
      </c>
      <c r="CY144" s="45">
        <f>CZ144</f>
        <v>196</v>
      </c>
      <c r="CZ144" s="339">
        <v>196</v>
      </c>
      <c r="DA144" s="339">
        <v>56</v>
      </c>
      <c r="DB144" s="339">
        <v>112</v>
      </c>
      <c r="DC144" s="339">
        <v>171</v>
      </c>
      <c r="DD144" s="45">
        <f>DE144</f>
        <v>229</v>
      </c>
      <c r="DE144" s="339">
        <v>229</v>
      </c>
      <c r="DF144" s="2056">
        <v>65</v>
      </c>
      <c r="DG144" s="2056">
        <v>133</v>
      </c>
      <c r="DH144" s="2056">
        <v>207</v>
      </c>
      <c r="DI144" s="45">
        <f>DJ144</f>
        <v>277</v>
      </c>
      <c r="DJ144" s="2056">
        <v>277</v>
      </c>
      <c r="DK144" s="2056">
        <v>75</v>
      </c>
      <c r="DL144" s="2056">
        <v>144</v>
      </c>
      <c r="DM144" s="2056">
        <v>221</v>
      </c>
      <c r="DN144" s="45">
        <f>DO144</f>
        <v>295</v>
      </c>
      <c r="DO144" s="2056">
        <v>295</v>
      </c>
      <c r="DP144" s="2056">
        <v>82</v>
      </c>
      <c r="DQ144" s="2056">
        <v>160</v>
      </c>
      <c r="DR144" s="2056">
        <v>242</v>
      </c>
      <c r="DS144" s="45">
        <f>DT144</f>
        <v>321</v>
      </c>
      <c r="DT144" s="2056">
        <v>321</v>
      </c>
    </row>
    <row r="145" spans="1:124">
      <c r="A145" s="45"/>
      <c r="B145" s="45"/>
      <c r="C145" s="391" t="s">
        <v>75</v>
      </c>
      <c r="D145" s="45"/>
      <c r="E145" s="290"/>
      <c r="F145" s="260"/>
      <c r="G145" s="260"/>
      <c r="H145" s="291"/>
      <c r="I145" s="647">
        <f t="shared" si="297"/>
        <v>74</v>
      </c>
      <c r="J145" s="290">
        <f>+CL145</f>
        <v>26</v>
      </c>
      <c r="K145" s="260">
        <f t="shared" si="298"/>
        <v>-9</v>
      </c>
      <c r="L145" s="260">
        <f t="shared" si="298"/>
        <v>41</v>
      </c>
      <c r="M145" s="291">
        <f>CO145-CN145</f>
        <v>15</v>
      </c>
      <c r="N145" s="647">
        <f t="shared" si="299"/>
        <v>73</v>
      </c>
      <c r="O145" s="290">
        <f t="shared" si="299"/>
        <v>127</v>
      </c>
      <c r="P145" s="260">
        <f t="shared" si="300"/>
        <v>0</v>
      </c>
      <c r="Q145" s="260">
        <f t="shared" si="300"/>
        <v>43</v>
      </c>
      <c r="R145" s="291">
        <f>CT145-CS145</f>
        <v>-10</v>
      </c>
      <c r="S145" s="647">
        <f t="shared" si="301"/>
        <v>160</v>
      </c>
      <c r="T145" s="290">
        <f t="shared" si="301"/>
        <v>26</v>
      </c>
      <c r="U145" s="260">
        <f t="shared" si="302"/>
        <v>20</v>
      </c>
      <c r="V145" s="260">
        <f t="shared" si="302"/>
        <v>64</v>
      </c>
      <c r="W145" s="291">
        <f>CY145-CX145</f>
        <v>10</v>
      </c>
      <c r="X145" s="647">
        <f t="shared" si="303"/>
        <v>120</v>
      </c>
      <c r="Y145" s="290">
        <f t="shared" si="303"/>
        <v>39</v>
      </c>
      <c r="Z145" s="260">
        <f>+DB145-DA145</f>
        <v>29</v>
      </c>
      <c r="AA145" s="260">
        <f t="shared" si="304"/>
        <v>93</v>
      </c>
      <c r="AB145" s="291">
        <f>DD145-DC145</f>
        <v>13</v>
      </c>
      <c r="AC145" s="647">
        <f t="shared" si="305"/>
        <v>174</v>
      </c>
      <c r="AD145" s="290">
        <f t="shared" si="306"/>
        <v>12</v>
      </c>
      <c r="AE145" s="260">
        <f>+DG145-DF145</f>
        <v>18</v>
      </c>
      <c r="AF145" s="260">
        <f t="shared" si="307"/>
        <v>39</v>
      </c>
      <c r="AG145" s="291">
        <f>DI145-DH145</f>
        <v>80</v>
      </c>
      <c r="AH145" s="647">
        <f t="shared" si="308"/>
        <v>149</v>
      </c>
      <c r="AI145" s="290">
        <f t="shared" si="308"/>
        <v>-31</v>
      </c>
      <c r="AJ145" s="260">
        <f>+DL145-DK145</f>
        <v>51</v>
      </c>
      <c r="AK145" s="260">
        <f t="shared" si="309"/>
        <v>76</v>
      </c>
      <c r="AL145" s="291">
        <f>DN145-DM145</f>
        <v>57</v>
      </c>
      <c r="AM145" s="647">
        <f t="shared" si="310"/>
        <v>153</v>
      </c>
      <c r="AN145" s="290">
        <f t="shared" si="310"/>
        <v>5</v>
      </c>
      <c r="AO145" s="260">
        <f>+DQ145-DP145</f>
        <v>30</v>
      </c>
      <c r="AP145" s="260">
        <f t="shared" si="311"/>
        <v>55</v>
      </c>
      <c r="AQ145" s="291">
        <f>DS145-DR145</f>
        <v>23</v>
      </c>
      <c r="AR145" s="647">
        <f t="shared" si="312"/>
        <v>113</v>
      </c>
      <c r="AS145" s="290">
        <f ca="1">+AW145/4</f>
        <v>11.364495755817877</v>
      </c>
      <c r="AT145" s="260">
        <f ca="1">(AW145-SUM(AS145:AS145))/3</f>
        <v>11.364495755817877</v>
      </c>
      <c r="AU145" s="260">
        <f ca="1">(AW145-SUM(AS145:AT145))/2</f>
        <v>11.364495755817877</v>
      </c>
      <c r="AV145" s="291">
        <f ca="1">(AW145-SUM(AS145:AU145))/1</f>
        <v>11.364495755817877</v>
      </c>
      <c r="AW145" s="1003">
        <f ca="1">(AW28/EXC!BB37)*EXC!BB152</f>
        <v>45.45798302327151</v>
      </c>
      <c r="AX145" s="290">
        <f ca="1">+BB145/4</f>
        <v>12.153518743176866</v>
      </c>
      <c r="AY145" s="260">
        <f ca="1">(BB145-SUM(AX145:AX145))/3</f>
        <v>12.153518743176866</v>
      </c>
      <c r="AZ145" s="260">
        <f ca="1">(BB145-SUM(AX145:AY145))/2</f>
        <v>12.153518743176866</v>
      </c>
      <c r="BA145" s="291">
        <f ca="1">(BB145-SUM(AX145:AZ145))/1</f>
        <v>12.153518743176868</v>
      </c>
      <c r="BB145" s="1003">
        <f ca="1">(BB28/EXC!BG37)*EXC!BG152</f>
        <v>48.614074972707463</v>
      </c>
      <c r="BC145" s="290">
        <f ca="1">+BG145/4</f>
        <v>14.165202417228423</v>
      </c>
      <c r="BD145" s="260">
        <f ca="1">(BG145-SUM(BC145:BC145))/3</f>
        <v>14.165202417228423</v>
      </c>
      <c r="BE145" s="260">
        <f ca="1">(BG145-SUM(BC145:BD145))/2</f>
        <v>14.165202417228423</v>
      </c>
      <c r="BF145" s="291">
        <f ca="1">(BG145-SUM(BC145:BE145))/1</f>
        <v>14.165202417228421</v>
      </c>
      <c r="BG145" s="2058">
        <f ca="1">(BG28/EXC!BL37)*EXC!BL152</f>
        <v>56.660809668913693</v>
      </c>
      <c r="BH145" s="290">
        <f ca="1">+BL145/4</f>
        <v>15.359449884230678</v>
      </c>
      <c r="BI145" s="260">
        <f ca="1">(BL145-SUM(BH145:BH145))/3</f>
        <v>15.359449884230678</v>
      </c>
      <c r="BJ145" s="260">
        <f ca="1">(BL145-SUM(BH145:BI145))/2</f>
        <v>15.359449884230678</v>
      </c>
      <c r="BK145" s="291">
        <f ca="1">(BL145-SUM(BH145:BJ145))/1</f>
        <v>15.359449884230678</v>
      </c>
      <c r="BL145" s="2058">
        <f ca="1">(BL28/EXC!BQ37)*EXC!BQ152</f>
        <v>61.437799536922711</v>
      </c>
      <c r="BM145" s="45"/>
      <c r="BN145" s="45"/>
      <c r="BO145" s="45"/>
      <c r="BP145" s="45"/>
      <c r="BQ145" s="45"/>
      <c r="BR145" s="45"/>
      <c r="BS145" s="45"/>
      <c r="BT145" s="45"/>
      <c r="BU145" s="45"/>
      <c r="BV145" s="45"/>
      <c r="BW145" s="45"/>
      <c r="BX145" s="45"/>
      <c r="BY145" s="45"/>
      <c r="BZ145" s="45"/>
      <c r="CA145" s="45"/>
      <c r="CB145" s="339"/>
      <c r="CC145" s="339"/>
      <c r="CD145" s="339"/>
      <c r="CE145" s="45">
        <f>CF145-CD145</f>
        <v>0</v>
      </c>
      <c r="CF145" s="339"/>
      <c r="CG145" s="339"/>
      <c r="CH145" s="339"/>
      <c r="CI145" s="339"/>
      <c r="CJ145" s="45">
        <f>CK145</f>
        <v>74</v>
      </c>
      <c r="CK145" s="339">
        <v>74</v>
      </c>
      <c r="CL145" s="339">
        <v>26</v>
      </c>
      <c r="CM145" s="339">
        <v>17</v>
      </c>
      <c r="CN145" s="339">
        <v>58</v>
      </c>
      <c r="CO145" s="45">
        <f>CP145</f>
        <v>73</v>
      </c>
      <c r="CP145" s="339">
        <v>73</v>
      </c>
      <c r="CQ145" s="339">
        <v>127</v>
      </c>
      <c r="CR145" s="339">
        <v>127</v>
      </c>
      <c r="CS145" s="339">
        <v>170</v>
      </c>
      <c r="CT145" s="45">
        <f>CU145</f>
        <v>160</v>
      </c>
      <c r="CU145" s="339">
        <v>160</v>
      </c>
      <c r="CV145" s="339">
        <v>26</v>
      </c>
      <c r="CW145" s="339">
        <v>46</v>
      </c>
      <c r="CX145" s="339">
        <v>110</v>
      </c>
      <c r="CY145" s="45">
        <f>CZ145</f>
        <v>120</v>
      </c>
      <c r="CZ145" s="339">
        <v>120</v>
      </c>
      <c r="DA145" s="339">
        <v>39</v>
      </c>
      <c r="DB145" s="339">
        <v>68</v>
      </c>
      <c r="DC145" s="339">
        <v>161</v>
      </c>
      <c r="DD145" s="45">
        <f>DE145</f>
        <v>174</v>
      </c>
      <c r="DE145" s="339">
        <v>174</v>
      </c>
      <c r="DF145" s="2056">
        <v>12</v>
      </c>
      <c r="DG145" s="2056">
        <v>30</v>
      </c>
      <c r="DH145" s="2056">
        <v>69</v>
      </c>
      <c r="DI145" s="45">
        <f>DJ145</f>
        <v>149</v>
      </c>
      <c r="DJ145" s="2056">
        <v>149</v>
      </c>
      <c r="DK145" s="2056">
        <v>-31</v>
      </c>
      <c r="DL145" s="2056">
        <v>20</v>
      </c>
      <c r="DM145" s="2056">
        <v>96</v>
      </c>
      <c r="DN145" s="45">
        <f>DO145</f>
        <v>153</v>
      </c>
      <c r="DO145" s="2056">
        <v>153</v>
      </c>
      <c r="DP145" s="2056">
        <v>5</v>
      </c>
      <c r="DQ145" s="2056">
        <v>35</v>
      </c>
      <c r="DR145" s="2056">
        <v>90</v>
      </c>
      <c r="DS145" s="45">
        <f>DT145</f>
        <v>113</v>
      </c>
      <c r="DT145" s="2056">
        <v>113</v>
      </c>
    </row>
    <row r="146" spans="1:124">
      <c r="A146" s="45"/>
      <c r="B146" s="45"/>
      <c r="C146" s="391" t="s">
        <v>62</v>
      </c>
      <c r="D146" s="45"/>
      <c r="E146" s="290"/>
      <c r="F146" s="260"/>
      <c r="G146" s="260"/>
      <c r="H146" s="291"/>
      <c r="I146" s="647">
        <f t="shared" si="297"/>
        <v>9</v>
      </c>
      <c r="J146" s="290">
        <f>+CL146</f>
        <v>0</v>
      </c>
      <c r="K146" s="260">
        <f t="shared" si="298"/>
        <v>0</v>
      </c>
      <c r="L146" s="260">
        <f t="shared" si="298"/>
        <v>0</v>
      </c>
      <c r="M146" s="291">
        <f>CO146-CN146</f>
        <v>-2</v>
      </c>
      <c r="N146" s="647">
        <f t="shared" si="299"/>
        <v>-2</v>
      </c>
      <c r="O146" s="290">
        <f t="shared" si="299"/>
        <v>0</v>
      </c>
      <c r="P146" s="260">
        <f t="shared" si="300"/>
        <v>0</v>
      </c>
      <c r="Q146" s="260">
        <f t="shared" si="300"/>
        <v>0</v>
      </c>
      <c r="R146" s="291">
        <f>CT146-CS146</f>
        <v>-1</v>
      </c>
      <c r="S146" s="647">
        <f t="shared" si="301"/>
        <v>-1</v>
      </c>
      <c r="T146" s="290">
        <f t="shared" si="301"/>
        <v>0</v>
      </c>
      <c r="U146" s="260">
        <f t="shared" si="302"/>
        <v>0</v>
      </c>
      <c r="V146" s="260">
        <f t="shared" si="302"/>
        <v>0</v>
      </c>
      <c r="W146" s="291">
        <f>CY146-CX146</f>
        <v>-1</v>
      </c>
      <c r="X146" s="647">
        <f t="shared" si="303"/>
        <v>-1</v>
      </c>
      <c r="Y146" s="290">
        <f t="shared" si="303"/>
        <v>-4</v>
      </c>
      <c r="Z146" s="260">
        <f>+DB146-DA146</f>
        <v>-4</v>
      </c>
      <c r="AA146" s="260">
        <f t="shared" si="304"/>
        <v>-1</v>
      </c>
      <c r="AB146" s="291">
        <f>DD146-DC146</f>
        <v>0</v>
      </c>
      <c r="AC146" s="647">
        <f t="shared" si="305"/>
        <v>-9</v>
      </c>
      <c r="AD146" s="290">
        <f t="shared" si="306"/>
        <v>0</v>
      </c>
      <c r="AE146" s="260">
        <f>+DG146-DF146</f>
        <v>0</v>
      </c>
      <c r="AF146" s="260">
        <f t="shared" si="307"/>
        <v>0</v>
      </c>
      <c r="AG146" s="291">
        <f>DI146-DH146</f>
        <v>-46</v>
      </c>
      <c r="AH146" s="647">
        <f t="shared" si="308"/>
        <v>-46</v>
      </c>
      <c r="AI146" s="290">
        <f t="shared" si="308"/>
        <v>153</v>
      </c>
      <c r="AJ146" s="260">
        <f>+DL146-DK146</f>
        <v>5</v>
      </c>
      <c r="AK146" s="260">
        <f t="shared" si="309"/>
        <v>10</v>
      </c>
      <c r="AL146" s="291">
        <f>DN146-DM146</f>
        <v>7</v>
      </c>
      <c r="AM146" s="647">
        <f t="shared" si="310"/>
        <v>175</v>
      </c>
      <c r="AN146" s="290">
        <f t="shared" si="310"/>
        <v>-15</v>
      </c>
      <c r="AO146" s="260">
        <f>+DQ146-DP146</f>
        <v>14</v>
      </c>
      <c r="AP146" s="260">
        <f t="shared" si="311"/>
        <v>9</v>
      </c>
      <c r="AQ146" s="291">
        <f>DS146-DR146</f>
        <v>0</v>
      </c>
      <c r="AR146" s="647">
        <f t="shared" si="312"/>
        <v>8</v>
      </c>
      <c r="AS146" s="290">
        <f>+AW146/4</f>
        <v>0</v>
      </c>
      <c r="AT146" s="260">
        <f>(AW146-SUM(AS146:AS146))/3</f>
        <v>0</v>
      </c>
      <c r="AU146" s="260">
        <f>(AW146-SUM(AS146:AT146))/2</f>
        <v>0</v>
      </c>
      <c r="AV146" s="291">
        <f>(AW146-SUM(AS146:AU146))/1</f>
        <v>0</v>
      </c>
      <c r="AW146" s="1003">
        <v>0</v>
      </c>
      <c r="AX146" s="290">
        <f>+BB146/4</f>
        <v>0</v>
      </c>
      <c r="AY146" s="260">
        <f>(BB146-SUM(AX146:AX146))/3</f>
        <v>0</v>
      </c>
      <c r="AZ146" s="260">
        <f>(BB146-SUM(AX146:AY146))/2</f>
        <v>0</v>
      </c>
      <c r="BA146" s="291">
        <f>(BB146-SUM(AX146:AZ146))/1</f>
        <v>0</v>
      </c>
      <c r="BB146" s="1003">
        <v>0</v>
      </c>
      <c r="BC146" s="290">
        <f>+BG146/4</f>
        <v>0</v>
      </c>
      <c r="BD146" s="260">
        <f>(BG146-SUM(BC146:BC146))/3</f>
        <v>0</v>
      </c>
      <c r="BE146" s="260">
        <f>(BG146-SUM(BC146:BD146))/2</f>
        <v>0</v>
      </c>
      <c r="BF146" s="291">
        <f>(BG146-SUM(BC146:BE146))/1</f>
        <v>0</v>
      </c>
      <c r="BG146" s="2058">
        <v>0</v>
      </c>
      <c r="BH146" s="290">
        <f>+BL146/4</f>
        <v>0</v>
      </c>
      <c r="BI146" s="260">
        <f>(BL146-SUM(BH146:BH146))/3</f>
        <v>0</v>
      </c>
      <c r="BJ146" s="260">
        <f>(BL146-SUM(BH146:BI146))/2</f>
        <v>0</v>
      </c>
      <c r="BK146" s="291">
        <f>(BL146-SUM(BH146:BJ146))/1</f>
        <v>0</v>
      </c>
      <c r="BL146" s="2058">
        <v>0</v>
      </c>
      <c r="BM146" s="45"/>
      <c r="BN146" s="45"/>
      <c r="BO146" s="45"/>
      <c r="BP146" s="45"/>
      <c r="BQ146" s="45"/>
      <c r="BR146" s="45"/>
      <c r="BS146" s="45"/>
      <c r="BT146" s="45"/>
      <c r="BU146" s="45"/>
      <c r="BV146" s="45"/>
      <c r="BW146" s="45"/>
      <c r="BX146" s="45"/>
      <c r="BY146" s="45"/>
      <c r="BZ146" s="45"/>
      <c r="CA146" s="45"/>
      <c r="CB146" s="339"/>
      <c r="CC146" s="339"/>
      <c r="CD146" s="339"/>
      <c r="CE146" s="45">
        <f>CF146-CD146</f>
        <v>0</v>
      </c>
      <c r="CF146" s="339"/>
      <c r="CG146" s="339"/>
      <c r="CH146" s="339"/>
      <c r="CI146" s="339"/>
      <c r="CJ146" s="45">
        <f>CK146</f>
        <v>9</v>
      </c>
      <c r="CK146" s="339">
        <f>11-2</f>
        <v>9</v>
      </c>
      <c r="CL146" s="339">
        <v>0</v>
      </c>
      <c r="CM146" s="339">
        <v>0</v>
      </c>
      <c r="CN146" s="339">
        <v>0</v>
      </c>
      <c r="CO146" s="45">
        <f>CP146</f>
        <v>-2</v>
      </c>
      <c r="CP146" s="339">
        <v>-2</v>
      </c>
      <c r="CQ146" s="339">
        <v>0</v>
      </c>
      <c r="CR146" s="339">
        <v>0</v>
      </c>
      <c r="CS146" s="339">
        <v>0</v>
      </c>
      <c r="CT146" s="45">
        <f>CU146</f>
        <v>-1</v>
      </c>
      <c r="CU146" s="339">
        <v>-1</v>
      </c>
      <c r="CV146" s="339">
        <v>0</v>
      </c>
      <c r="CW146" s="339">
        <v>0</v>
      </c>
      <c r="CX146" s="339">
        <v>0</v>
      </c>
      <c r="CY146" s="45">
        <f>CZ146</f>
        <v>-1</v>
      </c>
      <c r="CZ146" s="339">
        <v>-1</v>
      </c>
      <c r="DA146" s="339">
        <v>-4</v>
      </c>
      <c r="DB146" s="339">
        <v>-8</v>
      </c>
      <c r="DC146" s="339">
        <v>-9</v>
      </c>
      <c r="DD146" s="45">
        <f>DE146</f>
        <v>-9</v>
      </c>
      <c r="DE146" s="339">
        <v>-9</v>
      </c>
      <c r="DF146" s="2056">
        <v>0</v>
      </c>
      <c r="DG146" s="2056">
        <v>0</v>
      </c>
      <c r="DH146" s="2056">
        <v>0</v>
      </c>
      <c r="DI146" s="45">
        <f>DJ146</f>
        <v>-46</v>
      </c>
      <c r="DJ146" s="2056">
        <v>-46</v>
      </c>
      <c r="DK146" s="2056">
        <v>153</v>
      </c>
      <c r="DL146" s="2056">
        <v>158</v>
      </c>
      <c r="DM146" s="2056">
        <v>168</v>
      </c>
      <c r="DN146" s="45">
        <f>DO146</f>
        <v>175</v>
      </c>
      <c r="DO146" s="2056">
        <f>-8+183</f>
        <v>175</v>
      </c>
      <c r="DP146" s="2056">
        <v>-15</v>
      </c>
      <c r="DQ146" s="2056">
        <v>-1</v>
      </c>
      <c r="DR146" s="2056">
        <v>8</v>
      </c>
      <c r="DS146" s="45">
        <f>DT146</f>
        <v>8</v>
      </c>
      <c r="DT146" s="2056">
        <f>-5-1+14</f>
        <v>8</v>
      </c>
    </row>
    <row r="147" spans="1:124">
      <c r="A147" s="45"/>
      <c r="B147" s="45"/>
      <c r="C147" s="391" t="s">
        <v>233</v>
      </c>
      <c r="D147" s="45"/>
      <c r="E147" s="290"/>
      <c r="F147" s="260"/>
      <c r="G147" s="260"/>
      <c r="H147" s="291"/>
      <c r="I147" s="647">
        <f t="shared" si="297"/>
        <v>6</v>
      </c>
      <c r="J147" s="290">
        <f>+CL147</f>
        <v>32</v>
      </c>
      <c r="K147" s="260">
        <f t="shared" si="298"/>
        <v>-11</v>
      </c>
      <c r="L147" s="260">
        <f t="shared" si="298"/>
        <v>35</v>
      </c>
      <c r="M147" s="291">
        <f>CO147-CN147</f>
        <v>-40</v>
      </c>
      <c r="N147" s="647">
        <f t="shared" si="299"/>
        <v>16</v>
      </c>
      <c r="O147" s="290">
        <f t="shared" si="299"/>
        <v>-188</v>
      </c>
      <c r="P147" s="260">
        <f t="shared" si="300"/>
        <v>-49</v>
      </c>
      <c r="Q147" s="260">
        <f t="shared" si="300"/>
        <v>13</v>
      </c>
      <c r="R147" s="291">
        <f>CT147-CS147</f>
        <v>-28</v>
      </c>
      <c r="S147" s="647">
        <f t="shared" si="301"/>
        <v>-252</v>
      </c>
      <c r="T147" s="290">
        <f t="shared" si="301"/>
        <v>-59</v>
      </c>
      <c r="U147" s="260">
        <f t="shared" si="302"/>
        <v>-59</v>
      </c>
      <c r="V147" s="260">
        <f t="shared" si="302"/>
        <v>-38</v>
      </c>
      <c r="W147" s="291">
        <f>CY147-CX147</f>
        <v>21</v>
      </c>
      <c r="X147" s="647">
        <f t="shared" si="303"/>
        <v>-135</v>
      </c>
      <c r="Y147" s="290">
        <f t="shared" si="303"/>
        <v>-57</v>
      </c>
      <c r="Z147" s="260">
        <f>+DB147-DA147</f>
        <v>-44</v>
      </c>
      <c r="AA147" s="260">
        <f t="shared" si="304"/>
        <v>-42</v>
      </c>
      <c r="AB147" s="291">
        <f>DD147-DC147</f>
        <v>-36</v>
      </c>
      <c r="AC147" s="647">
        <f t="shared" si="305"/>
        <v>-179</v>
      </c>
      <c r="AD147" s="290">
        <f t="shared" si="306"/>
        <v>-70</v>
      </c>
      <c r="AE147" s="260">
        <f>+DG147-DF147</f>
        <v>-56</v>
      </c>
      <c r="AF147" s="260">
        <f t="shared" si="307"/>
        <v>-65</v>
      </c>
      <c r="AG147" s="291">
        <f>DI147-DH147</f>
        <v>-3</v>
      </c>
      <c r="AH147" s="647">
        <f t="shared" si="308"/>
        <v>-194</v>
      </c>
      <c r="AI147" s="290">
        <f t="shared" si="308"/>
        <v>169</v>
      </c>
      <c r="AJ147" s="260">
        <f>+DL147-DK147</f>
        <v>-66</v>
      </c>
      <c r="AK147" s="260">
        <f t="shared" si="309"/>
        <v>-104</v>
      </c>
      <c r="AL147" s="291">
        <f>DN147-DM147</f>
        <v>-13</v>
      </c>
      <c r="AM147" s="647">
        <f t="shared" si="310"/>
        <v>-14</v>
      </c>
      <c r="AN147" s="290">
        <f t="shared" si="310"/>
        <v>-101</v>
      </c>
      <c r="AO147" s="260">
        <f>+DQ147-DP147</f>
        <v>-65</v>
      </c>
      <c r="AP147" s="260">
        <f t="shared" si="311"/>
        <v>-14</v>
      </c>
      <c r="AQ147" s="291">
        <f>DS147-DR147</f>
        <v>-60</v>
      </c>
      <c r="AR147" s="647">
        <f t="shared" si="312"/>
        <v>-240</v>
      </c>
      <c r="AS147" s="290">
        <f>+AW147/4</f>
        <v>0</v>
      </c>
      <c r="AT147" s="260">
        <f>(AW147-SUM(AS147:AS147))/3</f>
        <v>0</v>
      </c>
      <c r="AU147" s="260">
        <f>(AW147-SUM(AS147:AT147))/2</f>
        <v>0</v>
      </c>
      <c r="AV147" s="291">
        <f>(AW147-SUM(AS147:AU147))/1</f>
        <v>0</v>
      </c>
      <c r="AW147" s="1003">
        <v>0</v>
      </c>
      <c r="AX147" s="290">
        <f>+BB147/4</f>
        <v>0</v>
      </c>
      <c r="AY147" s="260">
        <f>(BB147-SUM(AX147:AX147))/3</f>
        <v>0</v>
      </c>
      <c r="AZ147" s="260">
        <f>(BB147-SUM(AX147:AY147))/2</f>
        <v>0</v>
      </c>
      <c r="BA147" s="291">
        <f>(BB147-SUM(AX147:AZ147))/1</f>
        <v>0</v>
      </c>
      <c r="BB147" s="1003">
        <v>0</v>
      </c>
      <c r="BC147" s="290">
        <f>+BG147/4</f>
        <v>0</v>
      </c>
      <c r="BD147" s="260">
        <f>(BG147-SUM(BC147:BC147))/3</f>
        <v>0</v>
      </c>
      <c r="BE147" s="260">
        <f>(BG147-SUM(BC147:BD147))/2</f>
        <v>0</v>
      </c>
      <c r="BF147" s="291">
        <f>(BG147-SUM(BC147:BE147))/1</f>
        <v>0</v>
      </c>
      <c r="BG147" s="2058">
        <v>0</v>
      </c>
      <c r="BH147" s="290">
        <f>+BL147/4</f>
        <v>0</v>
      </c>
      <c r="BI147" s="260">
        <f>(BL147-SUM(BH147:BH147))/3</f>
        <v>0</v>
      </c>
      <c r="BJ147" s="260">
        <f>(BL147-SUM(BH147:BI147))/2</f>
        <v>0</v>
      </c>
      <c r="BK147" s="291">
        <f>(BL147-SUM(BH147:BJ147))/1</f>
        <v>0</v>
      </c>
      <c r="BL147" s="2058">
        <v>0</v>
      </c>
      <c r="BM147" s="45"/>
      <c r="BN147" s="45"/>
      <c r="BO147" s="45"/>
      <c r="BP147" s="45"/>
      <c r="BQ147" s="45"/>
      <c r="BR147" s="45"/>
      <c r="BS147" s="45"/>
      <c r="BT147" s="45"/>
      <c r="BU147" s="45"/>
      <c r="BV147" s="45"/>
      <c r="BW147" s="45"/>
      <c r="BX147" s="45"/>
      <c r="BY147" s="45"/>
      <c r="BZ147" s="45"/>
      <c r="CA147" s="45"/>
      <c r="CB147" s="339"/>
      <c r="CC147" s="339"/>
      <c r="CD147" s="339"/>
      <c r="CE147" s="45">
        <f>CF147-CD147</f>
        <v>0</v>
      </c>
      <c r="CF147" s="339"/>
      <c r="CG147" s="339"/>
      <c r="CH147" s="339"/>
      <c r="CI147" s="339"/>
      <c r="CJ147" s="45">
        <f>CK147</f>
        <v>6</v>
      </c>
      <c r="CK147" s="339">
        <f>-15-1+3-34+15+22+6-1+11</f>
        <v>6</v>
      </c>
      <c r="CL147" s="339">
        <f>28-4-4-33-40+50+19+16</f>
        <v>32</v>
      </c>
      <c r="CM147" s="339">
        <f>-9+14-1-8+9-40+62-6</f>
        <v>21</v>
      </c>
      <c r="CN147" s="339">
        <f>5-10+6-16-21+18-40+92+19+3</f>
        <v>56</v>
      </c>
      <c r="CO147" s="45">
        <f>CP147</f>
        <v>16</v>
      </c>
      <c r="CP147" s="339">
        <f>33-6+1-43-27-40+24+73-1+2</f>
        <v>16</v>
      </c>
      <c r="CQ147" s="339">
        <f>35-4+4-14-7+6-85-139+19-3</f>
        <v>-188</v>
      </c>
      <c r="CR147" s="339">
        <f>4-11+14-34-2+11-85-129-5</f>
        <v>-237</v>
      </c>
      <c r="CS147" s="339">
        <f>-31-21+5-67+29+16-85-86+22-6</f>
        <v>-224</v>
      </c>
      <c r="CT147" s="45">
        <f>CU147</f>
        <v>-252</v>
      </c>
      <c r="CU147" s="339">
        <f>22-19+6-110-10-85+21-69-8</f>
        <v>-252</v>
      </c>
      <c r="CV147" s="339">
        <f>-2-2+3-9-14+4-60+21</f>
        <v>-59</v>
      </c>
      <c r="CW147" s="339">
        <f>-18-3+13-49-17+10-55+3-2</f>
        <v>-118</v>
      </c>
      <c r="CX147" s="339">
        <f>-59-3-8-74+3+16-50+21-2</f>
        <v>-156</v>
      </c>
      <c r="CY147" s="45">
        <f>CZ147</f>
        <v>-135</v>
      </c>
      <c r="CZ147" s="339">
        <f>-39+2-1-99+26+21-36+2-11</f>
        <v>-135</v>
      </c>
      <c r="DA147" s="339">
        <f>-19+1-2-18-9+5-34+18+1</f>
        <v>-57</v>
      </c>
      <c r="DB147" s="339">
        <f>10-61-28+8-29+2-3</f>
        <v>-101</v>
      </c>
      <c r="DC147" s="339">
        <f>-8+2-3-112+12-16-30+15-3</f>
        <v>-143</v>
      </c>
      <c r="DD147" s="45">
        <f>DE147</f>
        <v>-179</v>
      </c>
      <c r="DE147" s="339">
        <f>27+5-2-163+16-34-25-3</f>
        <v>-179</v>
      </c>
      <c r="DF147" s="2056">
        <f>-91-7-3+17+7-7+13+1</f>
        <v>-70</v>
      </c>
      <c r="DG147" s="2056">
        <f>+-97-4+12-43-8+12-1+2+1</f>
        <v>-126</v>
      </c>
      <c r="DH147" s="2056">
        <f>+-103-5-3-90-17+18-4+13</f>
        <v>-191</v>
      </c>
      <c r="DI147" s="45">
        <f>DJ147</f>
        <v>-194</v>
      </c>
      <c r="DJ147" s="2056">
        <f>-32-5+2-129+24-19-40+2+3</f>
        <v>-194</v>
      </c>
      <c r="DK147" s="2056">
        <f>-24+55+1-4+151-1-9</f>
        <v>169</v>
      </c>
      <c r="DL147" s="2056">
        <f>-41+47+1-19+165-3-47</f>
        <v>103</v>
      </c>
      <c r="DM147" s="2056">
        <f>-105+44+3+7+139-6-83</f>
        <v>-1</v>
      </c>
      <c r="DN147" s="45">
        <f>DO147</f>
        <v>-14</v>
      </c>
      <c r="DO147" s="2056">
        <f>-41+44+1+32+110-32-128</f>
        <v>-14</v>
      </c>
      <c r="DP147" s="2056">
        <f>45-6-10-49+20-64-37</f>
        <v>-101</v>
      </c>
      <c r="DQ147" s="2056">
        <f>-33-4-10-45+46-65-55</f>
        <v>-166</v>
      </c>
      <c r="DR147" s="2056">
        <f>-43-10-15-24+80-69-99</f>
        <v>-180</v>
      </c>
      <c r="DS147" s="45">
        <f>DT147</f>
        <v>-240</v>
      </c>
      <c r="DT147" s="2056">
        <f>-20-24-63+81-72-142</f>
        <v>-240</v>
      </c>
    </row>
    <row r="148" spans="1:124">
      <c r="A148" s="45"/>
      <c r="B148" s="45"/>
      <c r="C148" s="389" t="s">
        <v>148</v>
      </c>
      <c r="D148" s="45"/>
      <c r="E148" s="292"/>
      <c r="F148" s="261"/>
      <c r="G148" s="261"/>
      <c r="H148" s="293"/>
      <c r="I148" s="583">
        <f t="shared" si="297"/>
        <v>359</v>
      </c>
      <c r="J148" s="292">
        <f t="shared" ref="J148:AW148" si="313">SUM(J143:J147)</f>
        <v>118</v>
      </c>
      <c r="K148" s="261">
        <f t="shared" si="313"/>
        <v>54</v>
      </c>
      <c r="L148" s="261">
        <f t="shared" si="313"/>
        <v>158</v>
      </c>
      <c r="M148" s="293">
        <f t="shared" si="313"/>
        <v>27</v>
      </c>
      <c r="N148" s="583">
        <f t="shared" si="313"/>
        <v>357</v>
      </c>
      <c r="O148" s="292">
        <f t="shared" si="313"/>
        <v>10</v>
      </c>
      <c r="P148" s="261">
        <f t="shared" si="313"/>
        <v>26</v>
      </c>
      <c r="Q148" s="261">
        <f t="shared" si="313"/>
        <v>154</v>
      </c>
      <c r="R148" s="293">
        <f t="shared" si="313"/>
        <v>33</v>
      </c>
      <c r="S148" s="583">
        <f t="shared" si="313"/>
        <v>223</v>
      </c>
      <c r="T148" s="292">
        <f t="shared" si="313"/>
        <v>37</v>
      </c>
      <c r="U148" s="261">
        <f t="shared" si="313"/>
        <v>47</v>
      </c>
      <c r="V148" s="261">
        <f t="shared" si="313"/>
        <v>143</v>
      </c>
      <c r="W148" s="293">
        <f t="shared" si="313"/>
        <v>103</v>
      </c>
      <c r="X148" s="583">
        <f t="shared" si="313"/>
        <v>330</v>
      </c>
      <c r="Y148" s="292">
        <f t="shared" si="313"/>
        <v>66</v>
      </c>
      <c r="Z148" s="261">
        <f t="shared" si="313"/>
        <v>83</v>
      </c>
      <c r="AA148" s="261">
        <f t="shared" ref="AA148" si="314">SUM(AA143:AA147)</f>
        <v>176</v>
      </c>
      <c r="AB148" s="293">
        <f t="shared" ref="AB148:AC148" si="315">SUM(AB143:AB147)</f>
        <v>61</v>
      </c>
      <c r="AC148" s="583">
        <f t="shared" si="315"/>
        <v>386</v>
      </c>
      <c r="AD148" s="292">
        <f t="shared" ref="AD148:AE148" si="316">SUM(AD143:AD147)</f>
        <v>33</v>
      </c>
      <c r="AE148" s="261">
        <f t="shared" si="316"/>
        <v>72</v>
      </c>
      <c r="AF148" s="261">
        <f t="shared" ref="AF148:AJ148" si="317">SUM(AF143:AF147)</f>
        <v>108</v>
      </c>
      <c r="AG148" s="293">
        <f t="shared" si="317"/>
        <v>160</v>
      </c>
      <c r="AH148" s="583">
        <f t="shared" si="317"/>
        <v>373</v>
      </c>
      <c r="AI148" s="292">
        <f t="shared" si="317"/>
        <v>258</v>
      </c>
      <c r="AJ148" s="261">
        <f t="shared" si="317"/>
        <v>107</v>
      </c>
      <c r="AK148" s="261">
        <f t="shared" ref="AK148:AO148" si="318">SUM(AK143:AK147)</f>
        <v>139</v>
      </c>
      <c r="AL148" s="293">
        <f t="shared" si="318"/>
        <v>147</v>
      </c>
      <c r="AM148" s="583">
        <f t="shared" si="318"/>
        <v>651</v>
      </c>
      <c r="AN148" s="292">
        <f t="shared" si="318"/>
        <v>29</v>
      </c>
      <c r="AO148" s="261">
        <f t="shared" si="318"/>
        <v>100</v>
      </c>
      <c r="AP148" s="261">
        <f t="shared" ref="AP148:AR148" si="319">SUM(AP143:AP147)</f>
        <v>219</v>
      </c>
      <c r="AQ148" s="293">
        <f t="shared" si="319"/>
        <v>59</v>
      </c>
      <c r="AR148" s="583">
        <f t="shared" si="319"/>
        <v>407</v>
      </c>
      <c r="AS148" s="292">
        <f t="shared" ca="1" si="313"/>
        <v>130.39363545884987</v>
      </c>
      <c r="AT148" s="261">
        <f t="shared" ca="1" si="313"/>
        <v>131.22811954798024</v>
      </c>
      <c r="AU148" s="261">
        <f t="shared" ca="1" si="313"/>
        <v>181.12113439549643</v>
      </c>
      <c r="AV148" s="293">
        <f t="shared" ca="1" si="313"/>
        <v>131.46157174274381</v>
      </c>
      <c r="AW148" s="228">
        <f t="shared" ca="1" si="313"/>
        <v>574.20446114507035</v>
      </c>
      <c r="AX148" s="292">
        <f t="shared" ref="AX148:BG148" ca="1" si="320">SUM(AX143:AX147)</f>
        <v>134.65927573937284</v>
      </c>
      <c r="AY148" s="261">
        <f t="shared" ca="1" si="320"/>
        <v>135.88419631115732</v>
      </c>
      <c r="AZ148" s="261">
        <f t="shared" ca="1" si="320"/>
        <v>194.18806997270465</v>
      </c>
      <c r="BA148" s="293">
        <f t="shared" ca="1" si="320"/>
        <v>145.79694980381757</v>
      </c>
      <c r="BB148" s="228">
        <f t="shared" ca="1" si="320"/>
        <v>610.52849182705245</v>
      </c>
      <c r="BC148" s="292">
        <f t="shared" ca="1" si="320"/>
        <v>146.8969970572571</v>
      </c>
      <c r="BD148" s="261">
        <f t="shared" ca="1" si="320"/>
        <v>148.28059043302531</v>
      </c>
      <c r="BE148" s="261">
        <f t="shared" ca="1" si="320"/>
        <v>205.05588326270416</v>
      </c>
      <c r="BF148" s="293">
        <f t="shared" ca="1" si="320"/>
        <v>158.69444402158311</v>
      </c>
      <c r="BG148" s="228">
        <f t="shared" ca="1" si="320"/>
        <v>658.92791477456967</v>
      </c>
      <c r="BH148" s="292">
        <f t="shared" ref="BH148:BL148" ca="1" si="321">SUM(BH143:BH147)</f>
        <v>161.08398058459025</v>
      </c>
      <c r="BI148" s="261">
        <f t="shared" ca="1" si="321"/>
        <v>162.88287934717366</v>
      </c>
      <c r="BJ148" s="261">
        <f t="shared" ca="1" si="321"/>
        <v>216.52341076910307</v>
      </c>
      <c r="BK148" s="293">
        <f t="shared" ca="1" si="321"/>
        <v>171.96035156163825</v>
      </c>
      <c r="BL148" s="228">
        <f t="shared" ca="1" si="321"/>
        <v>712.45062226250525</v>
      </c>
      <c r="BM148" s="45"/>
      <c r="BN148" s="45"/>
      <c r="BO148" s="45"/>
      <c r="BP148" s="45"/>
      <c r="BQ148" s="45"/>
      <c r="BR148" s="45"/>
      <c r="BS148" s="45"/>
      <c r="BT148" s="45"/>
      <c r="BU148" s="45"/>
      <c r="BV148" s="45"/>
      <c r="BW148" s="45"/>
      <c r="BX148" s="45"/>
      <c r="BY148" s="45"/>
      <c r="BZ148" s="45"/>
      <c r="CA148" s="45"/>
      <c r="CB148" s="228">
        <f t="shared" ref="CB148:DB148" si="322">SUM(CB143:CB147)</f>
        <v>0</v>
      </c>
      <c r="CC148" s="228">
        <f t="shared" si="322"/>
        <v>0</v>
      </c>
      <c r="CD148" s="228">
        <f t="shared" si="322"/>
        <v>0</v>
      </c>
      <c r="CE148" s="228">
        <f t="shared" si="322"/>
        <v>0</v>
      </c>
      <c r="CF148" s="228">
        <f t="shared" si="322"/>
        <v>0</v>
      </c>
      <c r="CG148" s="228">
        <f t="shared" si="322"/>
        <v>0</v>
      </c>
      <c r="CH148" s="228">
        <f t="shared" si="322"/>
        <v>0</v>
      </c>
      <c r="CI148" s="228">
        <f t="shared" si="322"/>
        <v>0</v>
      </c>
      <c r="CJ148" s="228">
        <f t="shared" si="322"/>
        <v>359</v>
      </c>
      <c r="CK148" s="228">
        <f t="shared" si="322"/>
        <v>359</v>
      </c>
      <c r="CL148" s="228">
        <f t="shared" si="322"/>
        <v>118</v>
      </c>
      <c r="CM148" s="228">
        <f t="shared" si="322"/>
        <v>172</v>
      </c>
      <c r="CN148" s="228">
        <f t="shared" si="322"/>
        <v>330</v>
      </c>
      <c r="CO148" s="228">
        <f t="shared" si="322"/>
        <v>357</v>
      </c>
      <c r="CP148" s="228">
        <f t="shared" si="322"/>
        <v>357</v>
      </c>
      <c r="CQ148" s="228">
        <f t="shared" si="322"/>
        <v>10</v>
      </c>
      <c r="CR148" s="228">
        <f t="shared" si="322"/>
        <v>36</v>
      </c>
      <c r="CS148" s="228">
        <f t="shared" si="322"/>
        <v>190</v>
      </c>
      <c r="CT148" s="228">
        <f t="shared" si="322"/>
        <v>223</v>
      </c>
      <c r="CU148" s="228">
        <f t="shared" si="322"/>
        <v>223</v>
      </c>
      <c r="CV148" s="228">
        <f t="shared" si="322"/>
        <v>37</v>
      </c>
      <c r="CW148" s="228">
        <f t="shared" si="322"/>
        <v>84</v>
      </c>
      <c r="CX148" s="228">
        <f t="shared" si="322"/>
        <v>227</v>
      </c>
      <c r="CY148" s="228">
        <f t="shared" si="322"/>
        <v>330</v>
      </c>
      <c r="CZ148" s="228">
        <f t="shared" si="322"/>
        <v>330</v>
      </c>
      <c r="DA148" s="228">
        <f t="shared" si="322"/>
        <v>66</v>
      </c>
      <c r="DB148" s="228">
        <f t="shared" si="322"/>
        <v>149</v>
      </c>
      <c r="DC148" s="228">
        <f t="shared" ref="DC148:DG148" si="323">SUM(DC143:DC147)</f>
        <v>325</v>
      </c>
      <c r="DD148" s="228">
        <f t="shared" si="323"/>
        <v>386</v>
      </c>
      <c r="DE148" s="228">
        <f t="shared" si="323"/>
        <v>386</v>
      </c>
      <c r="DF148" s="228">
        <f t="shared" si="323"/>
        <v>33</v>
      </c>
      <c r="DG148" s="228">
        <f t="shared" si="323"/>
        <v>105</v>
      </c>
      <c r="DH148" s="228">
        <f t="shared" ref="DH148:DL148" si="324">SUM(DH143:DH147)</f>
        <v>213</v>
      </c>
      <c r="DI148" s="228">
        <f t="shared" si="324"/>
        <v>373</v>
      </c>
      <c r="DJ148" s="228">
        <f t="shared" si="324"/>
        <v>373</v>
      </c>
      <c r="DK148" s="228">
        <f t="shared" si="324"/>
        <v>258</v>
      </c>
      <c r="DL148" s="228">
        <f t="shared" si="324"/>
        <v>365</v>
      </c>
      <c r="DM148" s="228">
        <f t="shared" ref="DM148:DR148" si="325">SUM(DM143:DM147)</f>
        <v>504</v>
      </c>
      <c r="DN148" s="228">
        <f t="shared" si="325"/>
        <v>651</v>
      </c>
      <c r="DO148" s="228">
        <f t="shared" si="325"/>
        <v>651</v>
      </c>
      <c r="DP148" s="228">
        <f t="shared" si="325"/>
        <v>29</v>
      </c>
      <c r="DQ148" s="228">
        <f t="shared" si="325"/>
        <v>129</v>
      </c>
      <c r="DR148" s="228">
        <f t="shared" si="325"/>
        <v>348</v>
      </c>
      <c r="DS148" s="228">
        <f t="shared" ref="DS148:DT148" si="326">SUM(DS143:DS147)</f>
        <v>407</v>
      </c>
      <c r="DT148" s="228">
        <f t="shared" si="326"/>
        <v>407</v>
      </c>
    </row>
    <row r="149" spans="1:124">
      <c r="A149" s="45"/>
      <c r="B149" s="45"/>
      <c r="C149" s="391"/>
      <c r="D149" s="45"/>
      <c r="E149" s="290"/>
      <c r="F149" s="260"/>
      <c r="G149" s="260"/>
      <c r="H149" s="291"/>
      <c r="I149" s="647">
        <f t="shared" si="297"/>
        <v>0</v>
      </c>
      <c r="J149" s="290"/>
      <c r="K149" s="260"/>
      <c r="L149" s="260"/>
      <c r="M149" s="291"/>
      <c r="N149" s="647"/>
      <c r="O149" s="290"/>
      <c r="P149" s="260"/>
      <c r="Q149" s="260"/>
      <c r="R149" s="291"/>
      <c r="S149" s="647"/>
      <c r="T149" s="290"/>
      <c r="U149" s="260"/>
      <c r="V149" s="260"/>
      <c r="W149" s="291"/>
      <c r="X149" s="647"/>
      <c r="Y149" s="290"/>
      <c r="Z149" s="260"/>
      <c r="AA149" s="260"/>
      <c r="AB149" s="291"/>
      <c r="AC149" s="647"/>
      <c r="AD149" s="290"/>
      <c r="AE149" s="260"/>
      <c r="AF149" s="260"/>
      <c r="AG149" s="291"/>
      <c r="AH149" s="647"/>
      <c r="AI149" s="290"/>
      <c r="AJ149" s="260"/>
      <c r="AK149" s="260"/>
      <c r="AL149" s="291"/>
      <c r="AM149" s="647"/>
      <c r="AN149" s="290"/>
      <c r="AO149" s="260"/>
      <c r="AP149" s="260"/>
      <c r="AQ149" s="291"/>
      <c r="AR149" s="647"/>
      <c r="AS149" s="290"/>
      <c r="AT149" s="260"/>
      <c r="AU149" s="260"/>
      <c r="AV149" s="291"/>
      <c r="AW149" s="45"/>
      <c r="AX149" s="290"/>
      <c r="AY149" s="260"/>
      <c r="AZ149" s="260"/>
      <c r="BA149" s="291"/>
      <c r="BB149" s="45"/>
      <c r="BC149" s="290"/>
      <c r="BD149" s="260"/>
      <c r="BE149" s="260"/>
      <c r="BF149" s="291"/>
      <c r="BG149" s="45"/>
      <c r="BH149" s="290"/>
      <c r="BI149" s="260"/>
      <c r="BJ149" s="260"/>
      <c r="BK149" s="291"/>
      <c r="BL149" s="45"/>
      <c r="BM149" s="45"/>
      <c r="BN149" s="45"/>
      <c r="BO149" s="45"/>
      <c r="BP149" s="45"/>
      <c r="BQ149" s="45"/>
      <c r="BR149" s="45"/>
      <c r="BS149" s="45"/>
      <c r="BT149" s="45"/>
      <c r="BU149" s="45"/>
      <c r="BV149" s="45"/>
      <c r="BW149" s="45"/>
      <c r="BX149" s="45"/>
      <c r="BY149" s="45"/>
      <c r="BZ149" s="45"/>
      <c r="CA149" s="45"/>
      <c r="CB149" s="45"/>
      <c r="CC149" s="45"/>
      <c r="CD149" s="45"/>
      <c r="CE149" s="45"/>
      <c r="CF149" s="45"/>
      <c r="CG149" s="45"/>
      <c r="CH149" s="45"/>
      <c r="CI149" s="45"/>
      <c r="CJ149" s="45"/>
      <c r="CK149" s="45"/>
      <c r="CL149" s="45"/>
      <c r="CM149" s="45"/>
      <c r="CN149" s="45"/>
      <c r="CO149" s="45"/>
      <c r="CP149" s="45"/>
      <c r="CQ149" s="45"/>
      <c r="CR149" s="45"/>
      <c r="CS149" s="45"/>
      <c r="CT149" s="45"/>
      <c r="CU149" s="45"/>
      <c r="CV149" s="45"/>
      <c r="CW149" s="45"/>
      <c r="CX149" s="45"/>
      <c r="CY149" s="45"/>
      <c r="CZ149" s="45"/>
      <c r="DA149" s="45"/>
      <c r="DB149" s="45"/>
      <c r="DC149" s="45"/>
      <c r="DD149" s="45"/>
      <c r="DE149" s="45"/>
      <c r="DF149" s="45"/>
      <c r="DG149" s="45"/>
      <c r="DH149" s="45"/>
      <c r="DI149" s="45"/>
      <c r="DJ149" s="45"/>
      <c r="DK149" s="45"/>
      <c r="DL149" s="45"/>
      <c r="DM149" s="45"/>
      <c r="DN149" s="45"/>
      <c r="DO149" s="45"/>
      <c r="DP149" s="45"/>
      <c r="DQ149" s="45"/>
      <c r="DR149" s="45"/>
      <c r="DS149" s="45"/>
      <c r="DT149" s="45"/>
    </row>
    <row r="150" spans="1:124">
      <c r="A150" s="45"/>
      <c r="B150" s="45"/>
      <c r="C150" s="391" t="s">
        <v>283</v>
      </c>
      <c r="D150" s="45"/>
      <c r="E150" s="290"/>
      <c r="F150" s="260"/>
      <c r="G150" s="260"/>
      <c r="H150" s="291"/>
      <c r="I150" s="647">
        <f t="shared" si="297"/>
        <v>-359</v>
      </c>
      <c r="J150" s="290">
        <f>+CL150</f>
        <v>-97</v>
      </c>
      <c r="K150" s="260">
        <f t="shared" ref="K150:L152" si="327">+CM150-CL150</f>
        <v>-108</v>
      </c>
      <c r="L150" s="260">
        <f t="shared" si="327"/>
        <v>-156</v>
      </c>
      <c r="M150" s="291">
        <f>CO150-CN150</f>
        <v>-160</v>
      </c>
      <c r="N150" s="647">
        <f t="shared" ref="N150:O152" si="328">+CP150</f>
        <v>-521</v>
      </c>
      <c r="O150" s="290">
        <f t="shared" si="328"/>
        <v>-158</v>
      </c>
      <c r="P150" s="260">
        <f t="shared" ref="P150:Q152" si="329">+CR150-CQ150</f>
        <v>-148</v>
      </c>
      <c r="Q150" s="260">
        <f t="shared" si="329"/>
        <v>-143</v>
      </c>
      <c r="R150" s="291">
        <f>CT150-CS150</f>
        <v>-143</v>
      </c>
      <c r="S150" s="647">
        <f t="shared" ref="S150:T152" si="330">+CU150</f>
        <v>-592</v>
      </c>
      <c r="T150" s="290">
        <f t="shared" si="330"/>
        <v>-125</v>
      </c>
      <c r="U150" s="260">
        <f t="shared" ref="U150:V152" si="331">+CW150-CV150</f>
        <v>-133</v>
      </c>
      <c r="V150" s="260">
        <f t="shared" si="331"/>
        <v>-145</v>
      </c>
      <c r="W150" s="291">
        <f>CY150-CX150</f>
        <v>-173</v>
      </c>
      <c r="X150" s="647">
        <f t="shared" ref="X150:Y152" si="332">+CZ150</f>
        <v>-576</v>
      </c>
      <c r="Y150" s="290">
        <f t="shared" si="332"/>
        <v>-124</v>
      </c>
      <c r="Z150" s="260">
        <f>+DB150-DA150</f>
        <v>-117</v>
      </c>
      <c r="AA150" s="260">
        <f t="shared" ref="AA150:AA152" si="333">+DC150-DB150</f>
        <v>-139</v>
      </c>
      <c r="AB150" s="291">
        <f>DD150-DC150</f>
        <v>-187</v>
      </c>
      <c r="AC150" s="647">
        <f t="shared" ref="AC150:AC152" si="334">+DE150</f>
        <v>-567</v>
      </c>
      <c r="AD150" s="290">
        <f t="shared" ref="AD150:AD152" si="335">+DF150</f>
        <v>-119</v>
      </c>
      <c r="AE150" s="260">
        <f>+DG150-DF150</f>
        <v>-135</v>
      </c>
      <c r="AF150" s="260">
        <f t="shared" ref="AF150:AF152" si="336">+DH150-DG150</f>
        <v>-120</v>
      </c>
      <c r="AG150" s="291">
        <f>DI150-DH150</f>
        <v>-170</v>
      </c>
      <c r="AH150" s="647">
        <f t="shared" ref="AH150:AI152" si="337">+DJ150</f>
        <v>-544</v>
      </c>
      <c r="AI150" s="290">
        <f t="shared" si="337"/>
        <v>-109</v>
      </c>
      <c r="AJ150" s="260">
        <f>+DL150-DK150</f>
        <v>-147</v>
      </c>
      <c r="AK150" s="260">
        <f t="shared" ref="AK150:AK152" si="338">+DM150-DL150</f>
        <v>-136</v>
      </c>
      <c r="AL150" s="291">
        <f>DN150-DM150</f>
        <v>-194</v>
      </c>
      <c r="AM150" s="647">
        <f t="shared" ref="AM150:AN152" si="339">+DO150</f>
        <v>-586</v>
      </c>
      <c r="AN150" s="290">
        <f t="shared" si="339"/>
        <v>-139</v>
      </c>
      <c r="AO150" s="260">
        <f>+DQ150-DP150</f>
        <v>-152</v>
      </c>
      <c r="AP150" s="260">
        <f t="shared" ref="AP150:AP152" si="340">+DR150-DQ150</f>
        <v>-148</v>
      </c>
      <c r="AQ150" s="291">
        <f>DS150-DR150</f>
        <v>-189</v>
      </c>
      <c r="AR150" s="647">
        <f t="shared" ref="AR150:AR152" si="341">+DT150</f>
        <v>-628</v>
      </c>
      <c r="AS150" s="290">
        <f>+-AS117</f>
        <v>-181.25</v>
      </c>
      <c r="AT150" s="260">
        <f>+-AT117</f>
        <v>-181.25</v>
      </c>
      <c r="AU150" s="260">
        <f>+-AU117</f>
        <v>-181.25</v>
      </c>
      <c r="AV150" s="291">
        <f>+-AV117</f>
        <v>-181.24999999999997</v>
      </c>
      <c r="AW150" s="45">
        <f>SUM(AS150:AV150)</f>
        <v>-725</v>
      </c>
      <c r="AX150" s="290">
        <f>+-AX117</f>
        <v>-181.25</v>
      </c>
      <c r="AY150" s="260">
        <f>+-AY117</f>
        <v>-181.25</v>
      </c>
      <c r="AZ150" s="260">
        <f>+-AZ117</f>
        <v>-181.25</v>
      </c>
      <c r="BA150" s="291">
        <f>+-BA117</f>
        <v>-181.24999999999997</v>
      </c>
      <c r="BB150" s="45">
        <f>SUM(AX150:BA150)</f>
        <v>-725</v>
      </c>
      <c r="BC150" s="290">
        <f>+-BC117</f>
        <v>-212.5</v>
      </c>
      <c r="BD150" s="260">
        <f>+-BD117</f>
        <v>-212.5</v>
      </c>
      <c r="BE150" s="260">
        <f>+-BE117</f>
        <v>-212.5</v>
      </c>
      <c r="BF150" s="291">
        <f>+-BF117</f>
        <v>-212.49999999999997</v>
      </c>
      <c r="BG150" s="45">
        <f>SUM(BC150:BF150)</f>
        <v>-850</v>
      </c>
      <c r="BH150" s="290">
        <f>+-BH117</f>
        <v>-231.25</v>
      </c>
      <c r="BI150" s="260">
        <f>+-BI117</f>
        <v>-231.25</v>
      </c>
      <c r="BJ150" s="260">
        <f>+-BJ117</f>
        <v>-231.25</v>
      </c>
      <c r="BK150" s="291">
        <f>+-BK117</f>
        <v>-231.24999999999997</v>
      </c>
      <c r="BL150" s="45">
        <f>SUM(BH150:BK150)</f>
        <v>-925</v>
      </c>
      <c r="BM150" s="45"/>
      <c r="BN150" s="45"/>
      <c r="BO150" s="45"/>
      <c r="BP150" s="45"/>
      <c r="BQ150" s="45"/>
      <c r="BR150" s="45"/>
      <c r="BS150" s="45"/>
      <c r="BT150" s="45"/>
      <c r="BU150" s="45"/>
      <c r="BV150" s="45"/>
      <c r="BW150" s="45"/>
      <c r="BX150" s="45"/>
      <c r="BY150" s="45"/>
      <c r="BZ150" s="45"/>
      <c r="CA150" s="45"/>
      <c r="CB150" s="339"/>
      <c r="CC150" s="339"/>
      <c r="CD150" s="339"/>
      <c r="CE150" s="45">
        <f>CF150-CD150</f>
        <v>0</v>
      </c>
      <c r="CF150" s="339"/>
      <c r="CG150" s="339"/>
      <c r="CH150" s="339"/>
      <c r="CI150" s="339"/>
      <c r="CJ150" s="45">
        <f>CK150</f>
        <v>-359</v>
      </c>
      <c r="CK150" s="339">
        <v>-359</v>
      </c>
      <c r="CL150" s="339">
        <v>-97</v>
      </c>
      <c r="CM150" s="339">
        <v>-205</v>
      </c>
      <c r="CN150" s="339">
        <v>-361</v>
      </c>
      <c r="CO150" s="45">
        <f>CP150</f>
        <v>-521</v>
      </c>
      <c r="CP150" s="339">
        <v>-521</v>
      </c>
      <c r="CQ150" s="339">
        <v>-158</v>
      </c>
      <c r="CR150" s="339">
        <v>-306</v>
      </c>
      <c r="CS150" s="339">
        <v>-449</v>
      </c>
      <c r="CT150" s="45">
        <f>CU150</f>
        <v>-592</v>
      </c>
      <c r="CU150" s="339">
        <v>-592</v>
      </c>
      <c r="CV150" s="339">
        <v>-125</v>
      </c>
      <c r="CW150" s="339">
        <v>-258</v>
      </c>
      <c r="CX150" s="339">
        <v>-403</v>
      </c>
      <c r="CY150" s="45">
        <f>CZ150</f>
        <v>-576</v>
      </c>
      <c r="CZ150" s="339">
        <v>-576</v>
      </c>
      <c r="DA150" s="339">
        <v>-124</v>
      </c>
      <c r="DB150" s="339">
        <v>-241</v>
      </c>
      <c r="DC150" s="339">
        <v>-380</v>
      </c>
      <c r="DD150" s="45">
        <f>DE150</f>
        <v>-567</v>
      </c>
      <c r="DE150" s="339">
        <v>-567</v>
      </c>
      <c r="DF150" s="2056">
        <v>-119</v>
      </c>
      <c r="DG150" s="2056">
        <v>-254</v>
      </c>
      <c r="DH150" s="2056">
        <v>-374</v>
      </c>
      <c r="DI150" s="45">
        <f>DJ150</f>
        <v>-544</v>
      </c>
      <c r="DJ150" s="2056">
        <v>-544</v>
      </c>
      <c r="DK150" s="2056">
        <v>-109</v>
      </c>
      <c r="DL150" s="2056">
        <v>-256</v>
      </c>
      <c r="DM150" s="2056">
        <v>-392</v>
      </c>
      <c r="DN150" s="45">
        <f>DO150</f>
        <v>-586</v>
      </c>
      <c r="DO150" s="2056">
        <v>-586</v>
      </c>
      <c r="DP150" s="2056">
        <v>-139</v>
      </c>
      <c r="DQ150" s="2056">
        <v>-291</v>
      </c>
      <c r="DR150" s="2056">
        <v>-439</v>
      </c>
      <c r="DS150" s="45">
        <f>DT150</f>
        <v>-628</v>
      </c>
      <c r="DT150" s="2056">
        <v>-628</v>
      </c>
    </row>
    <row r="151" spans="1:124">
      <c r="A151" s="45"/>
      <c r="B151" s="45"/>
      <c r="C151" s="1777" t="s">
        <v>243</v>
      </c>
      <c r="D151" s="45"/>
      <c r="E151" s="290"/>
      <c r="F151" s="260"/>
      <c r="G151" s="260"/>
      <c r="H151" s="291"/>
      <c r="I151" s="647">
        <f t="shared" si="297"/>
        <v>0</v>
      </c>
      <c r="J151" s="290">
        <f>+CL151</f>
        <v>0</v>
      </c>
      <c r="K151" s="260">
        <f t="shared" si="327"/>
        <v>0</v>
      </c>
      <c r="L151" s="260">
        <f t="shared" si="327"/>
        <v>0</v>
      </c>
      <c r="M151" s="291">
        <f>CO151-CN151</f>
        <v>0</v>
      </c>
      <c r="N151" s="647">
        <f t="shared" si="328"/>
        <v>0</v>
      </c>
      <c r="O151" s="290">
        <f t="shared" si="328"/>
        <v>0</v>
      </c>
      <c r="P151" s="260">
        <f t="shared" si="329"/>
        <v>0</v>
      </c>
      <c r="Q151" s="260">
        <f t="shared" si="329"/>
        <v>0</v>
      </c>
      <c r="R151" s="291">
        <f>CT151-CS151</f>
        <v>0</v>
      </c>
      <c r="S151" s="647">
        <f t="shared" si="330"/>
        <v>0</v>
      </c>
      <c r="T151" s="290">
        <f t="shared" si="330"/>
        <v>0</v>
      </c>
      <c r="U151" s="260">
        <f t="shared" si="331"/>
        <v>0</v>
      </c>
      <c r="V151" s="260">
        <f t="shared" si="331"/>
        <v>0</v>
      </c>
      <c r="W151" s="291">
        <f>CY151-CX151</f>
        <v>0</v>
      </c>
      <c r="X151" s="647">
        <f t="shared" si="332"/>
        <v>0</v>
      </c>
      <c r="Y151" s="290">
        <f t="shared" si="332"/>
        <v>0</v>
      </c>
      <c r="Z151" s="260">
        <f>+DB151-DA151</f>
        <v>0</v>
      </c>
      <c r="AA151" s="260">
        <f t="shared" si="333"/>
        <v>9</v>
      </c>
      <c r="AB151" s="291">
        <f>DD151-DC151</f>
        <v>0</v>
      </c>
      <c r="AC151" s="647">
        <f t="shared" si="334"/>
        <v>9</v>
      </c>
      <c r="AD151" s="290">
        <f t="shared" si="335"/>
        <v>0</v>
      </c>
      <c r="AE151" s="260">
        <f>+DG151-DF151</f>
        <v>0</v>
      </c>
      <c r="AF151" s="260">
        <f t="shared" si="336"/>
        <v>0</v>
      </c>
      <c r="AG151" s="291">
        <f>DI151-DH151</f>
        <v>54</v>
      </c>
      <c r="AH151" s="647">
        <f t="shared" si="337"/>
        <v>54</v>
      </c>
      <c r="AI151" s="290">
        <f t="shared" si="337"/>
        <v>-31</v>
      </c>
      <c r="AJ151" s="260">
        <f>+DL151-DK151</f>
        <v>12</v>
      </c>
      <c r="AK151" s="260">
        <f t="shared" si="338"/>
        <v>-1</v>
      </c>
      <c r="AL151" s="291">
        <f>DN151-DM151</f>
        <v>2</v>
      </c>
      <c r="AM151" s="647">
        <f t="shared" si="339"/>
        <v>-18</v>
      </c>
      <c r="AN151" s="290">
        <f t="shared" si="339"/>
        <v>0</v>
      </c>
      <c r="AO151" s="260">
        <f>+DQ151-DP151</f>
        <v>1</v>
      </c>
      <c r="AP151" s="260">
        <f t="shared" si="340"/>
        <v>0</v>
      </c>
      <c r="AQ151" s="291">
        <f>DS151-DR151</f>
        <v>0</v>
      </c>
      <c r="AR151" s="647">
        <f t="shared" si="341"/>
        <v>1</v>
      </c>
      <c r="AS151" s="290"/>
      <c r="AT151" s="260"/>
      <c r="AU151" s="260"/>
      <c r="AV151" s="291"/>
      <c r="AW151" s="45"/>
      <c r="AX151" s="290"/>
      <c r="AY151" s="260"/>
      <c r="AZ151" s="260"/>
      <c r="BA151" s="291"/>
      <c r="BB151" s="45"/>
      <c r="BC151" s="290"/>
      <c r="BD151" s="260"/>
      <c r="BE151" s="260"/>
      <c r="BF151" s="291"/>
      <c r="BG151" s="45"/>
      <c r="BH151" s="290"/>
      <c r="BI151" s="260"/>
      <c r="BJ151" s="260"/>
      <c r="BK151" s="291"/>
      <c r="BL151" s="45"/>
      <c r="BM151" s="45"/>
      <c r="BN151" s="45"/>
      <c r="BO151" s="45"/>
      <c r="BP151" s="45"/>
      <c r="BQ151" s="45"/>
      <c r="BR151" s="45"/>
      <c r="BS151" s="45"/>
      <c r="BT151" s="45"/>
      <c r="BU151" s="45"/>
      <c r="BV151" s="45"/>
      <c r="BW151" s="45"/>
      <c r="BX151" s="45"/>
      <c r="BY151" s="45"/>
      <c r="BZ151" s="45"/>
      <c r="CA151" s="45"/>
      <c r="CB151" s="339"/>
      <c r="CC151" s="339"/>
      <c r="CD151" s="339"/>
      <c r="CE151" s="45">
        <f>CF151-CD151</f>
        <v>0</v>
      </c>
      <c r="CF151" s="339"/>
      <c r="CG151" s="339"/>
      <c r="CH151" s="339"/>
      <c r="CI151" s="339"/>
      <c r="CJ151" s="45">
        <f>CK151</f>
        <v>0</v>
      </c>
      <c r="CK151" s="339">
        <v>0</v>
      </c>
      <c r="CL151" s="339">
        <v>0</v>
      </c>
      <c r="CM151" s="339">
        <v>0</v>
      </c>
      <c r="CN151" s="339">
        <v>0</v>
      </c>
      <c r="CO151" s="45">
        <f>CP151</f>
        <v>0</v>
      </c>
      <c r="CP151" s="339">
        <v>0</v>
      </c>
      <c r="CQ151" s="339">
        <v>0</v>
      </c>
      <c r="CR151" s="339">
        <v>0</v>
      </c>
      <c r="CS151" s="339">
        <v>0</v>
      </c>
      <c r="CT151" s="45">
        <f>CU151</f>
        <v>0</v>
      </c>
      <c r="CU151" s="339">
        <v>0</v>
      </c>
      <c r="CV151" s="339">
        <v>0</v>
      </c>
      <c r="CW151" s="339">
        <v>0</v>
      </c>
      <c r="CX151" s="339">
        <v>0</v>
      </c>
      <c r="CY151" s="45">
        <f>CZ151</f>
        <v>0</v>
      </c>
      <c r="CZ151" s="339">
        <v>0</v>
      </c>
      <c r="DA151" s="339">
        <v>0</v>
      </c>
      <c r="DB151" s="339">
        <v>0</v>
      </c>
      <c r="DC151" s="339">
        <v>9</v>
      </c>
      <c r="DD151" s="45">
        <f>DE151</f>
        <v>9</v>
      </c>
      <c r="DE151" s="339">
        <v>9</v>
      </c>
      <c r="DF151" s="2056">
        <v>0</v>
      </c>
      <c r="DG151" s="2056">
        <v>0</v>
      </c>
      <c r="DH151" s="2056">
        <v>0</v>
      </c>
      <c r="DI151" s="45">
        <f>DJ151</f>
        <v>54</v>
      </c>
      <c r="DJ151" s="2056">
        <v>54</v>
      </c>
      <c r="DK151" s="2056">
        <v>-31</v>
      </c>
      <c r="DL151" s="2056">
        <f>12-31</f>
        <v>-19</v>
      </c>
      <c r="DM151" s="2056">
        <f>12-32</f>
        <v>-20</v>
      </c>
      <c r="DN151" s="45">
        <f>DO151</f>
        <v>-18</v>
      </c>
      <c r="DO151" s="2056">
        <f>12-30</f>
        <v>-18</v>
      </c>
      <c r="DP151" s="2056">
        <v>0</v>
      </c>
      <c r="DQ151" s="2056">
        <v>1</v>
      </c>
      <c r="DR151" s="2056">
        <v>1</v>
      </c>
      <c r="DS151" s="45">
        <f>DT151</f>
        <v>1</v>
      </c>
      <c r="DT151" s="2056">
        <v>1</v>
      </c>
    </row>
    <row r="152" spans="1:124">
      <c r="A152" s="45"/>
      <c r="B152" s="45"/>
      <c r="C152" s="391" t="s">
        <v>62</v>
      </c>
      <c r="D152" s="45"/>
      <c r="E152" s="290"/>
      <c r="F152" s="260"/>
      <c r="G152" s="260"/>
      <c r="H152" s="291"/>
      <c r="I152" s="647">
        <f t="shared" si="297"/>
        <v>15</v>
      </c>
      <c r="J152" s="290">
        <f>+CL152</f>
        <v>7</v>
      </c>
      <c r="K152" s="260">
        <f t="shared" si="327"/>
        <v>1</v>
      </c>
      <c r="L152" s="260">
        <f t="shared" si="327"/>
        <v>8</v>
      </c>
      <c r="M152" s="291">
        <f>CO152-CN152</f>
        <v>25</v>
      </c>
      <c r="N152" s="647">
        <f t="shared" si="328"/>
        <v>41</v>
      </c>
      <c r="O152" s="290">
        <f t="shared" si="328"/>
        <v>8</v>
      </c>
      <c r="P152" s="260">
        <f t="shared" si="329"/>
        <v>16</v>
      </c>
      <c r="Q152" s="260">
        <f t="shared" si="329"/>
        <v>-2</v>
      </c>
      <c r="R152" s="291">
        <f>CT152-CS152</f>
        <v>20</v>
      </c>
      <c r="S152" s="647">
        <f t="shared" si="330"/>
        <v>42</v>
      </c>
      <c r="T152" s="290">
        <f t="shared" si="330"/>
        <v>-2</v>
      </c>
      <c r="U152" s="260">
        <f t="shared" si="331"/>
        <v>7</v>
      </c>
      <c r="V152" s="260">
        <f t="shared" si="331"/>
        <v>0</v>
      </c>
      <c r="W152" s="291">
        <f>CY152-CX152</f>
        <v>7</v>
      </c>
      <c r="X152" s="647">
        <f t="shared" si="332"/>
        <v>12</v>
      </c>
      <c r="Y152" s="290">
        <f t="shared" si="332"/>
        <v>6</v>
      </c>
      <c r="Z152" s="260">
        <f>+DB152-DA152</f>
        <v>2</v>
      </c>
      <c r="AA152" s="260">
        <f t="shared" si="333"/>
        <v>-9</v>
      </c>
      <c r="AB152" s="291">
        <f>DD152-DC152</f>
        <v>-1</v>
      </c>
      <c r="AC152" s="647">
        <f t="shared" si="334"/>
        <v>-2</v>
      </c>
      <c r="AD152" s="290">
        <f t="shared" si="335"/>
        <v>6</v>
      </c>
      <c r="AE152" s="260">
        <f>+DG152-DF152</f>
        <v>0</v>
      </c>
      <c r="AF152" s="260">
        <f t="shared" si="336"/>
        <v>11</v>
      </c>
      <c r="AG152" s="291">
        <f>DI152-DH152</f>
        <v>-4</v>
      </c>
      <c r="AH152" s="647">
        <f t="shared" si="337"/>
        <v>13</v>
      </c>
      <c r="AI152" s="290">
        <f t="shared" si="337"/>
        <v>4</v>
      </c>
      <c r="AJ152" s="260">
        <f>+DL152-DK152</f>
        <v>-36</v>
      </c>
      <c r="AK152" s="260">
        <f t="shared" si="338"/>
        <v>9</v>
      </c>
      <c r="AL152" s="291">
        <f>DN152-DM152</f>
        <v>-20</v>
      </c>
      <c r="AM152" s="647">
        <f t="shared" si="339"/>
        <v>-43</v>
      </c>
      <c r="AN152" s="290">
        <f t="shared" si="339"/>
        <v>-5</v>
      </c>
      <c r="AO152" s="260">
        <f>+DQ152-DP152</f>
        <v>2</v>
      </c>
      <c r="AP152" s="260">
        <f t="shared" si="340"/>
        <v>2</v>
      </c>
      <c r="AQ152" s="291">
        <f>DS152-DR152</f>
        <v>-2</v>
      </c>
      <c r="AR152" s="647">
        <f t="shared" si="341"/>
        <v>-3</v>
      </c>
      <c r="AS152" s="290">
        <f>+AW152/4</f>
        <v>0</v>
      </c>
      <c r="AT152" s="260">
        <f>(AW152-SUM(AS152:AS152))/3</f>
        <v>0</v>
      </c>
      <c r="AU152" s="260">
        <f>(AW152-SUM(AS152:AT152))/2</f>
        <v>0</v>
      </c>
      <c r="AV152" s="291">
        <f>(AW152-SUM(AS152:AU152))/1</f>
        <v>0</v>
      </c>
      <c r="AW152" s="1003">
        <v>0</v>
      </c>
      <c r="AX152" s="290">
        <f>+BB152/4</f>
        <v>0</v>
      </c>
      <c r="AY152" s="260">
        <f>(BB152-SUM(AX152:AX152))/3</f>
        <v>0</v>
      </c>
      <c r="AZ152" s="260">
        <f>(BB152-SUM(AX152:AY152))/2</f>
        <v>0</v>
      </c>
      <c r="BA152" s="291">
        <f>(BB152-SUM(AX152:AZ152))/1</f>
        <v>0</v>
      </c>
      <c r="BB152" s="1003">
        <v>0</v>
      </c>
      <c r="BC152" s="290">
        <f>+BG152/4</f>
        <v>0</v>
      </c>
      <c r="BD152" s="260">
        <f>(BG152-SUM(BC152:BC152))/3</f>
        <v>0</v>
      </c>
      <c r="BE152" s="260">
        <f>(BG152-SUM(BC152:BD152))/2</f>
        <v>0</v>
      </c>
      <c r="BF152" s="291">
        <f>(BG152-SUM(BC152:BE152))/1</f>
        <v>0</v>
      </c>
      <c r="BG152" s="2058">
        <v>0</v>
      </c>
      <c r="BH152" s="290">
        <f>+BL152/4</f>
        <v>0</v>
      </c>
      <c r="BI152" s="260">
        <f>(BL152-SUM(BH152:BH152))/3</f>
        <v>0</v>
      </c>
      <c r="BJ152" s="260">
        <f>(BL152-SUM(BH152:BI152))/2</f>
        <v>0</v>
      </c>
      <c r="BK152" s="291">
        <f>(BL152-SUM(BH152:BJ152))/1</f>
        <v>0</v>
      </c>
      <c r="BL152" s="2058">
        <v>0</v>
      </c>
      <c r="BM152" s="45"/>
      <c r="BN152" s="45"/>
      <c r="BO152" s="45"/>
      <c r="BP152" s="45"/>
      <c r="BQ152" s="45"/>
      <c r="BR152" s="45"/>
      <c r="BS152" s="45"/>
      <c r="BT152" s="45"/>
      <c r="BU152" s="45"/>
      <c r="BV152" s="45"/>
      <c r="BW152" s="45"/>
      <c r="BX152" s="45"/>
      <c r="BY152" s="45"/>
      <c r="BZ152" s="45"/>
      <c r="CA152" s="45"/>
      <c r="CB152" s="339">
        <v>0</v>
      </c>
      <c r="CC152" s="339">
        <v>0</v>
      </c>
      <c r="CD152" s="339">
        <v>0</v>
      </c>
      <c r="CE152" s="45">
        <f>CF152-CD152</f>
        <v>0</v>
      </c>
      <c r="CF152" s="339">
        <v>0</v>
      </c>
      <c r="CG152" s="339">
        <v>0</v>
      </c>
      <c r="CH152" s="339">
        <v>0</v>
      </c>
      <c r="CI152" s="339">
        <v>0</v>
      </c>
      <c r="CJ152" s="45">
        <f>CK152</f>
        <v>15</v>
      </c>
      <c r="CK152" s="339">
        <f>11+1+3</f>
        <v>15</v>
      </c>
      <c r="CL152" s="339">
        <f>8-1</f>
        <v>7</v>
      </c>
      <c r="CM152" s="339">
        <f>14-6</f>
        <v>8</v>
      </c>
      <c r="CN152" s="339">
        <f>24-8</f>
        <v>16</v>
      </c>
      <c r="CO152" s="45">
        <f>CP152</f>
        <v>41</v>
      </c>
      <c r="CP152" s="339">
        <f>48-7</f>
        <v>41</v>
      </c>
      <c r="CQ152" s="339">
        <f>6+2</f>
        <v>8</v>
      </c>
      <c r="CR152" s="339">
        <f>21+3</f>
        <v>24</v>
      </c>
      <c r="CS152" s="339">
        <f>23-1</f>
        <v>22</v>
      </c>
      <c r="CT152" s="45">
        <f>CU152</f>
        <v>42</v>
      </c>
      <c r="CU152" s="339">
        <f>38+4</f>
        <v>42</v>
      </c>
      <c r="CV152" s="339">
        <f>1-3</f>
        <v>-2</v>
      </c>
      <c r="CW152" s="339">
        <f>12-3-4</f>
        <v>5</v>
      </c>
      <c r="CX152" s="339">
        <f>16-3-8</f>
        <v>5</v>
      </c>
      <c r="CY152" s="45">
        <f>CZ152</f>
        <v>12</v>
      </c>
      <c r="CZ152" s="339">
        <f>20-3-5</f>
        <v>12</v>
      </c>
      <c r="DA152" s="339">
        <f>3+4-5+4</f>
        <v>6</v>
      </c>
      <c r="DB152" s="339">
        <f>3+8-4+1</f>
        <v>8</v>
      </c>
      <c r="DC152" s="339">
        <f>3-4</f>
        <v>-1</v>
      </c>
      <c r="DD152" s="45">
        <f>DE152</f>
        <v>-2</v>
      </c>
      <c r="DE152" s="339">
        <f>-3+3-2</f>
        <v>-2</v>
      </c>
      <c r="DF152" s="2056">
        <f>3+3</f>
        <v>6</v>
      </c>
      <c r="DG152" s="2056">
        <f>3+3</f>
        <v>6</v>
      </c>
      <c r="DH152" s="2056">
        <f>3+14</f>
        <v>17</v>
      </c>
      <c r="DI152" s="45">
        <f>DJ152</f>
        <v>13</v>
      </c>
      <c r="DJ152" s="2056">
        <f>3+10</f>
        <v>13</v>
      </c>
      <c r="DK152" s="2056">
        <f>2+2</f>
        <v>4</v>
      </c>
      <c r="DL152" s="2056">
        <f>-31-1</f>
        <v>-32</v>
      </c>
      <c r="DM152" s="2056">
        <f>-31+8</f>
        <v>-23</v>
      </c>
      <c r="DN152" s="45">
        <f>DO152</f>
        <v>-43</v>
      </c>
      <c r="DO152" s="2056">
        <f>-31-12</f>
        <v>-43</v>
      </c>
      <c r="DP152" s="2056">
        <v>-5</v>
      </c>
      <c r="DQ152" s="2056">
        <f>-1-2</f>
        <v>-3</v>
      </c>
      <c r="DR152" s="2056">
        <v>-1</v>
      </c>
      <c r="DS152" s="45">
        <f>DT152</f>
        <v>-3</v>
      </c>
      <c r="DT152" s="2056">
        <f>-2-1</f>
        <v>-3</v>
      </c>
    </row>
    <row r="153" spans="1:124">
      <c r="A153" s="45"/>
      <c r="B153" s="45"/>
      <c r="C153" s="389" t="s">
        <v>150</v>
      </c>
      <c r="D153" s="45"/>
      <c r="E153" s="292"/>
      <c r="F153" s="261"/>
      <c r="G153" s="261"/>
      <c r="H153" s="293"/>
      <c r="I153" s="583">
        <f t="shared" si="297"/>
        <v>-344</v>
      </c>
      <c r="J153" s="292">
        <f t="shared" ref="J153:AW153" si="342">SUM(J150:J152)</f>
        <v>-90</v>
      </c>
      <c r="K153" s="261">
        <f t="shared" si="342"/>
        <v>-107</v>
      </c>
      <c r="L153" s="261">
        <f t="shared" si="342"/>
        <v>-148</v>
      </c>
      <c r="M153" s="293">
        <f t="shared" si="342"/>
        <v>-135</v>
      </c>
      <c r="N153" s="583">
        <f t="shared" si="342"/>
        <v>-480</v>
      </c>
      <c r="O153" s="292">
        <f t="shared" si="342"/>
        <v>-150</v>
      </c>
      <c r="P153" s="261">
        <f t="shared" si="342"/>
        <v>-132</v>
      </c>
      <c r="Q153" s="261">
        <f t="shared" si="342"/>
        <v>-145</v>
      </c>
      <c r="R153" s="293">
        <f t="shared" si="342"/>
        <v>-123</v>
      </c>
      <c r="S153" s="583">
        <f t="shared" si="342"/>
        <v>-550</v>
      </c>
      <c r="T153" s="292">
        <f t="shared" si="342"/>
        <v>-127</v>
      </c>
      <c r="U153" s="261">
        <f t="shared" si="342"/>
        <v>-126</v>
      </c>
      <c r="V153" s="261">
        <f t="shared" si="342"/>
        <v>-145</v>
      </c>
      <c r="W153" s="293">
        <f t="shared" si="342"/>
        <v>-166</v>
      </c>
      <c r="X153" s="583">
        <f t="shared" si="342"/>
        <v>-564</v>
      </c>
      <c r="Y153" s="292">
        <f t="shared" si="342"/>
        <v>-118</v>
      </c>
      <c r="Z153" s="261">
        <f t="shared" si="342"/>
        <v>-115</v>
      </c>
      <c r="AA153" s="261">
        <f t="shared" ref="AA153" si="343">SUM(AA150:AA152)</f>
        <v>-139</v>
      </c>
      <c r="AB153" s="293">
        <f t="shared" ref="AB153:AC153" si="344">SUM(AB150:AB152)</f>
        <v>-188</v>
      </c>
      <c r="AC153" s="583">
        <f t="shared" si="344"/>
        <v>-560</v>
      </c>
      <c r="AD153" s="292">
        <f t="shared" ref="AD153:AE153" si="345">SUM(AD150:AD152)</f>
        <v>-113</v>
      </c>
      <c r="AE153" s="261">
        <f t="shared" si="345"/>
        <v>-135</v>
      </c>
      <c r="AF153" s="261">
        <f t="shared" ref="AF153:AJ153" si="346">SUM(AF150:AF152)</f>
        <v>-109</v>
      </c>
      <c r="AG153" s="293">
        <f t="shared" si="346"/>
        <v>-120</v>
      </c>
      <c r="AH153" s="583">
        <f t="shared" si="346"/>
        <v>-477</v>
      </c>
      <c r="AI153" s="292">
        <f t="shared" si="346"/>
        <v>-136</v>
      </c>
      <c r="AJ153" s="261">
        <f t="shared" si="346"/>
        <v>-171</v>
      </c>
      <c r="AK153" s="261">
        <f t="shared" ref="AK153:AO153" si="347">SUM(AK150:AK152)</f>
        <v>-128</v>
      </c>
      <c r="AL153" s="293">
        <f t="shared" si="347"/>
        <v>-212</v>
      </c>
      <c r="AM153" s="583">
        <f t="shared" si="347"/>
        <v>-647</v>
      </c>
      <c r="AN153" s="292">
        <f t="shared" si="347"/>
        <v>-144</v>
      </c>
      <c r="AO153" s="261">
        <f t="shared" si="347"/>
        <v>-149</v>
      </c>
      <c r="AP153" s="261">
        <f t="shared" ref="AP153:AR153" si="348">SUM(AP150:AP152)</f>
        <v>-146</v>
      </c>
      <c r="AQ153" s="293">
        <f t="shared" si="348"/>
        <v>-191</v>
      </c>
      <c r="AR153" s="583">
        <f t="shared" si="348"/>
        <v>-630</v>
      </c>
      <c r="AS153" s="292">
        <f t="shared" si="342"/>
        <v>-181.25</v>
      </c>
      <c r="AT153" s="261">
        <f t="shared" si="342"/>
        <v>-181.25</v>
      </c>
      <c r="AU153" s="261">
        <f t="shared" si="342"/>
        <v>-181.25</v>
      </c>
      <c r="AV153" s="293">
        <f t="shared" si="342"/>
        <v>-181.24999999999997</v>
      </c>
      <c r="AW153" s="228">
        <f t="shared" si="342"/>
        <v>-725</v>
      </c>
      <c r="AX153" s="292">
        <f t="shared" ref="AX153:BG153" si="349">SUM(AX150:AX152)</f>
        <v>-181.25</v>
      </c>
      <c r="AY153" s="261">
        <f t="shared" si="349"/>
        <v>-181.25</v>
      </c>
      <c r="AZ153" s="261">
        <f t="shared" si="349"/>
        <v>-181.25</v>
      </c>
      <c r="BA153" s="293">
        <f t="shared" si="349"/>
        <v>-181.24999999999997</v>
      </c>
      <c r="BB153" s="228">
        <f t="shared" si="349"/>
        <v>-725</v>
      </c>
      <c r="BC153" s="292">
        <f t="shared" si="349"/>
        <v>-212.5</v>
      </c>
      <c r="BD153" s="261">
        <f t="shared" si="349"/>
        <v>-212.5</v>
      </c>
      <c r="BE153" s="261">
        <f t="shared" si="349"/>
        <v>-212.5</v>
      </c>
      <c r="BF153" s="293">
        <f t="shared" si="349"/>
        <v>-212.49999999999997</v>
      </c>
      <c r="BG153" s="228">
        <f t="shared" si="349"/>
        <v>-850</v>
      </c>
      <c r="BH153" s="292">
        <f t="shared" ref="BH153:BL153" si="350">SUM(BH150:BH152)</f>
        <v>-231.25</v>
      </c>
      <c r="BI153" s="261">
        <f t="shared" si="350"/>
        <v>-231.25</v>
      </c>
      <c r="BJ153" s="261">
        <f t="shared" si="350"/>
        <v>-231.25</v>
      </c>
      <c r="BK153" s="293">
        <f t="shared" si="350"/>
        <v>-231.24999999999997</v>
      </c>
      <c r="BL153" s="228">
        <f t="shared" si="350"/>
        <v>-925</v>
      </c>
      <c r="BM153" s="45"/>
      <c r="BN153" s="45"/>
      <c r="BO153" s="45"/>
      <c r="BP153" s="45"/>
      <c r="BQ153" s="45"/>
      <c r="BR153" s="45"/>
      <c r="BS153" s="45"/>
      <c r="BT153" s="45"/>
      <c r="BU153" s="45"/>
      <c r="BV153" s="45"/>
      <c r="BW153" s="45"/>
      <c r="BX153" s="45"/>
      <c r="BY153" s="45"/>
      <c r="BZ153" s="45"/>
      <c r="CA153" s="45"/>
      <c r="CB153" s="228">
        <f t="shared" ref="CB153:DB153" si="351">SUM(CB150:CB152)</f>
        <v>0</v>
      </c>
      <c r="CC153" s="228">
        <f t="shared" si="351"/>
        <v>0</v>
      </c>
      <c r="CD153" s="228">
        <f t="shared" si="351"/>
        <v>0</v>
      </c>
      <c r="CE153" s="228">
        <f t="shared" si="351"/>
        <v>0</v>
      </c>
      <c r="CF153" s="228">
        <f t="shared" si="351"/>
        <v>0</v>
      </c>
      <c r="CG153" s="228">
        <f t="shared" si="351"/>
        <v>0</v>
      </c>
      <c r="CH153" s="228">
        <f t="shared" si="351"/>
        <v>0</v>
      </c>
      <c r="CI153" s="228">
        <f t="shared" si="351"/>
        <v>0</v>
      </c>
      <c r="CJ153" s="228">
        <f t="shared" si="351"/>
        <v>-344</v>
      </c>
      <c r="CK153" s="228">
        <f t="shared" si="351"/>
        <v>-344</v>
      </c>
      <c r="CL153" s="228">
        <f t="shared" si="351"/>
        <v>-90</v>
      </c>
      <c r="CM153" s="228">
        <f t="shared" si="351"/>
        <v>-197</v>
      </c>
      <c r="CN153" s="228">
        <f t="shared" si="351"/>
        <v>-345</v>
      </c>
      <c r="CO153" s="228">
        <f t="shared" si="351"/>
        <v>-480</v>
      </c>
      <c r="CP153" s="228">
        <f t="shared" si="351"/>
        <v>-480</v>
      </c>
      <c r="CQ153" s="228">
        <f t="shared" si="351"/>
        <v>-150</v>
      </c>
      <c r="CR153" s="228">
        <f t="shared" si="351"/>
        <v>-282</v>
      </c>
      <c r="CS153" s="228">
        <f t="shared" si="351"/>
        <v>-427</v>
      </c>
      <c r="CT153" s="228">
        <f t="shared" si="351"/>
        <v>-550</v>
      </c>
      <c r="CU153" s="228">
        <f t="shared" si="351"/>
        <v>-550</v>
      </c>
      <c r="CV153" s="228">
        <f t="shared" si="351"/>
        <v>-127</v>
      </c>
      <c r="CW153" s="228">
        <f t="shared" si="351"/>
        <v>-253</v>
      </c>
      <c r="CX153" s="228">
        <f t="shared" si="351"/>
        <v>-398</v>
      </c>
      <c r="CY153" s="228">
        <f t="shared" si="351"/>
        <v>-564</v>
      </c>
      <c r="CZ153" s="228">
        <f t="shared" si="351"/>
        <v>-564</v>
      </c>
      <c r="DA153" s="228">
        <f t="shared" si="351"/>
        <v>-118</v>
      </c>
      <c r="DB153" s="228">
        <f t="shared" si="351"/>
        <v>-233</v>
      </c>
      <c r="DC153" s="228">
        <f t="shared" ref="DC153:DG153" si="352">SUM(DC150:DC152)</f>
        <v>-372</v>
      </c>
      <c r="DD153" s="228">
        <f t="shared" si="352"/>
        <v>-560</v>
      </c>
      <c r="DE153" s="228">
        <f t="shared" si="352"/>
        <v>-560</v>
      </c>
      <c r="DF153" s="228">
        <f t="shared" si="352"/>
        <v>-113</v>
      </c>
      <c r="DG153" s="228">
        <f t="shared" si="352"/>
        <v>-248</v>
      </c>
      <c r="DH153" s="228">
        <f t="shared" ref="DH153:DL153" si="353">SUM(DH150:DH152)</f>
        <v>-357</v>
      </c>
      <c r="DI153" s="228">
        <f t="shared" si="353"/>
        <v>-477</v>
      </c>
      <c r="DJ153" s="228">
        <f t="shared" si="353"/>
        <v>-477</v>
      </c>
      <c r="DK153" s="228">
        <f t="shared" si="353"/>
        <v>-136</v>
      </c>
      <c r="DL153" s="228">
        <f t="shared" si="353"/>
        <v>-307</v>
      </c>
      <c r="DM153" s="228">
        <f t="shared" ref="DM153:DR153" si="354">SUM(DM150:DM152)</f>
        <v>-435</v>
      </c>
      <c r="DN153" s="228">
        <f t="shared" si="354"/>
        <v>-647</v>
      </c>
      <c r="DO153" s="228">
        <f t="shared" si="354"/>
        <v>-647</v>
      </c>
      <c r="DP153" s="228">
        <f t="shared" si="354"/>
        <v>-144</v>
      </c>
      <c r="DQ153" s="228">
        <f t="shared" si="354"/>
        <v>-293</v>
      </c>
      <c r="DR153" s="228">
        <f t="shared" si="354"/>
        <v>-439</v>
      </c>
      <c r="DS153" s="228">
        <f t="shared" ref="DS153:DT153" si="355">SUM(DS150:DS152)</f>
        <v>-630</v>
      </c>
      <c r="DT153" s="228">
        <f t="shared" si="355"/>
        <v>-630</v>
      </c>
    </row>
    <row r="154" spans="1:124">
      <c r="A154" s="45"/>
      <c r="B154" s="45"/>
      <c r="C154" s="391"/>
      <c r="D154" s="45"/>
      <c r="E154" s="290"/>
      <c r="F154" s="260"/>
      <c r="G154" s="260"/>
      <c r="H154" s="291"/>
      <c r="I154" s="647">
        <f t="shared" si="297"/>
        <v>0</v>
      </c>
      <c r="J154" s="290"/>
      <c r="K154" s="260"/>
      <c r="L154" s="260"/>
      <c r="M154" s="291"/>
      <c r="N154" s="647"/>
      <c r="O154" s="290"/>
      <c r="P154" s="260"/>
      <c r="Q154" s="260"/>
      <c r="R154" s="291"/>
      <c r="S154" s="647"/>
      <c r="T154" s="290"/>
      <c r="U154" s="260"/>
      <c r="V154" s="260"/>
      <c r="W154" s="291"/>
      <c r="X154" s="647"/>
      <c r="Y154" s="290"/>
      <c r="Z154" s="260"/>
      <c r="AA154" s="260"/>
      <c r="AB154" s="291"/>
      <c r="AC154" s="647"/>
      <c r="AD154" s="290"/>
      <c r="AE154" s="260"/>
      <c r="AF154" s="260"/>
      <c r="AG154" s="291"/>
      <c r="AH154" s="647"/>
      <c r="AI154" s="290"/>
      <c r="AJ154" s="260"/>
      <c r="AK154" s="260"/>
      <c r="AL154" s="291"/>
      <c r="AM154" s="647"/>
      <c r="AN154" s="290"/>
      <c r="AO154" s="260"/>
      <c r="AP154" s="260"/>
      <c r="AQ154" s="291"/>
      <c r="AR154" s="647"/>
      <c r="AS154" s="290"/>
      <c r="AT154" s="260"/>
      <c r="AU154" s="260"/>
      <c r="AV154" s="291"/>
      <c r="AW154" s="45"/>
      <c r="AX154" s="290"/>
      <c r="AY154" s="260"/>
      <c r="AZ154" s="260"/>
      <c r="BA154" s="291"/>
      <c r="BB154" s="45"/>
      <c r="BC154" s="290"/>
      <c r="BD154" s="260"/>
      <c r="BE154" s="260"/>
      <c r="BF154" s="291"/>
      <c r="BG154" s="45"/>
      <c r="BH154" s="290"/>
      <c r="BI154" s="260"/>
      <c r="BJ154" s="260"/>
      <c r="BK154" s="291"/>
      <c r="BL154" s="45"/>
      <c r="BM154" s="45"/>
      <c r="BN154" s="45"/>
      <c r="BO154" s="45"/>
      <c r="BP154" s="45"/>
      <c r="BQ154" s="45"/>
      <c r="BR154" s="45"/>
      <c r="BS154" s="45"/>
      <c r="BT154" s="45"/>
      <c r="BU154" s="45"/>
      <c r="BV154" s="45"/>
      <c r="BW154" s="45"/>
      <c r="BX154" s="45"/>
      <c r="BY154" s="45"/>
      <c r="BZ154" s="45"/>
      <c r="CA154" s="45"/>
      <c r="CB154" s="45"/>
      <c r="CC154" s="45"/>
      <c r="CD154" s="45"/>
      <c r="CE154" s="45"/>
      <c r="CF154" s="45"/>
      <c r="CG154" s="45"/>
      <c r="CH154" s="45"/>
      <c r="CI154" s="45"/>
      <c r="CJ154" s="45"/>
      <c r="CK154" s="45"/>
      <c r="CL154" s="45"/>
      <c r="CM154" s="45"/>
      <c r="CN154" s="45"/>
      <c r="CO154" s="45"/>
      <c r="CP154" s="45"/>
      <c r="CQ154" s="45"/>
      <c r="CR154" s="45"/>
      <c r="CS154" s="45"/>
      <c r="CT154" s="45"/>
      <c r="CU154" s="45"/>
      <c r="CV154" s="45"/>
      <c r="CW154" s="45"/>
      <c r="CX154" s="45"/>
      <c r="CY154" s="45"/>
      <c r="CZ154" s="45"/>
      <c r="DA154" s="45"/>
      <c r="DB154" s="45"/>
      <c r="DC154" s="45"/>
      <c r="DD154" s="45"/>
      <c r="DE154" s="45"/>
      <c r="DF154" s="45"/>
      <c r="DG154" s="45"/>
      <c r="DH154" s="45"/>
      <c r="DI154" s="45"/>
      <c r="DJ154" s="45"/>
      <c r="DK154" s="45"/>
      <c r="DL154" s="45"/>
      <c r="DM154" s="45"/>
      <c r="DN154" s="45"/>
      <c r="DO154" s="45"/>
      <c r="DP154" s="45"/>
      <c r="DQ154" s="45"/>
      <c r="DR154" s="45"/>
      <c r="DS154" s="45"/>
      <c r="DT154" s="45"/>
    </row>
    <row r="155" spans="1:124">
      <c r="A155" s="45"/>
      <c r="B155" s="45"/>
      <c r="C155" s="391" t="s">
        <v>240</v>
      </c>
      <c r="D155" s="45"/>
      <c r="E155" s="290"/>
      <c r="F155" s="260"/>
      <c r="G155" s="260"/>
      <c r="H155" s="291"/>
      <c r="I155" s="647">
        <f t="shared" si="297"/>
        <v>0</v>
      </c>
      <c r="J155" s="290">
        <f>+CL155</f>
        <v>0</v>
      </c>
      <c r="K155" s="260">
        <f t="shared" ref="K155:L159" si="356">+CM155-CL155</f>
        <v>0</v>
      </c>
      <c r="L155" s="260">
        <f t="shared" si="356"/>
        <v>0</v>
      </c>
      <c r="M155" s="291">
        <f>CO155-CN155</f>
        <v>0</v>
      </c>
      <c r="N155" s="647">
        <f t="shared" ref="N155:O159" si="357">+CP155</f>
        <v>0</v>
      </c>
      <c r="O155" s="290">
        <f t="shared" si="357"/>
        <v>0</v>
      </c>
      <c r="P155" s="260">
        <f t="shared" ref="P155:Q159" si="358">+CR155-CQ155</f>
        <v>200</v>
      </c>
      <c r="Q155" s="260">
        <f t="shared" si="358"/>
        <v>0</v>
      </c>
      <c r="R155" s="291">
        <f>CT155-CS155</f>
        <v>0</v>
      </c>
      <c r="S155" s="647">
        <f t="shared" ref="S155:T159" si="359">+CU155</f>
        <v>200</v>
      </c>
      <c r="T155" s="290">
        <f t="shared" si="359"/>
        <v>250</v>
      </c>
      <c r="U155" s="260">
        <f t="shared" ref="U155:V159" si="360">+CW155-CV155</f>
        <v>0</v>
      </c>
      <c r="V155" s="260">
        <f t="shared" si="360"/>
        <v>0</v>
      </c>
      <c r="W155" s="291">
        <f>CY155-CX155</f>
        <v>150</v>
      </c>
      <c r="X155" s="647">
        <f t="shared" ref="X155:Y159" si="361">+CZ155</f>
        <v>400</v>
      </c>
      <c r="Y155" s="290">
        <f t="shared" si="361"/>
        <v>400</v>
      </c>
      <c r="Z155" s="260">
        <f>+DB155-DA155</f>
        <v>4</v>
      </c>
      <c r="AA155" s="260">
        <f t="shared" ref="AA155:AA159" si="362">+DC155-DB155</f>
        <v>6</v>
      </c>
      <c r="AB155" s="291">
        <f>DD155-DC155</f>
        <v>2</v>
      </c>
      <c r="AC155" s="647">
        <f t="shared" ref="AC155:AC159" si="363">+DE155</f>
        <v>412</v>
      </c>
      <c r="AD155" s="290">
        <f t="shared" ref="AD155:AD159" si="364">+DF155</f>
        <v>208</v>
      </c>
      <c r="AE155" s="260">
        <f>+DG155-DF155</f>
        <v>0</v>
      </c>
      <c r="AF155" s="260">
        <f t="shared" ref="AF155:AF159" si="365">+DH155-DG155</f>
        <v>0</v>
      </c>
      <c r="AG155" s="291">
        <f>DI155-DH155</f>
        <v>0</v>
      </c>
      <c r="AH155" s="647">
        <f t="shared" ref="AH155:AI159" si="366">+DJ155</f>
        <v>208</v>
      </c>
      <c r="AI155" s="290">
        <f t="shared" si="366"/>
        <v>0</v>
      </c>
      <c r="AJ155" s="260">
        <f>+DL155-DK155</f>
        <v>1</v>
      </c>
      <c r="AK155" s="260">
        <f t="shared" ref="AK155:AK159" si="367">+DM155-DL155</f>
        <v>1</v>
      </c>
      <c r="AL155" s="291">
        <f>DN155-DM155</f>
        <v>2</v>
      </c>
      <c r="AM155" s="647">
        <f t="shared" ref="AM155:AN159" si="368">+DO155</f>
        <v>4</v>
      </c>
      <c r="AN155" s="290">
        <f t="shared" si="368"/>
        <v>1</v>
      </c>
      <c r="AO155" s="260">
        <f>+DQ155-DP155</f>
        <v>201</v>
      </c>
      <c r="AP155" s="260">
        <f t="shared" ref="AP155:AP159" si="369">+DR155-DQ155</f>
        <v>0</v>
      </c>
      <c r="AQ155" s="291">
        <f>DS155-DR155</f>
        <v>0</v>
      </c>
      <c r="AR155" s="647">
        <f t="shared" ref="AR155:AR159" si="370">+DT155</f>
        <v>202</v>
      </c>
      <c r="AS155" s="290">
        <f t="shared" ref="AS155:AV156" si="371">+AS127</f>
        <v>0</v>
      </c>
      <c r="AT155" s="260">
        <f t="shared" si="371"/>
        <v>0</v>
      </c>
      <c r="AU155" s="260">
        <f t="shared" si="371"/>
        <v>245</v>
      </c>
      <c r="AV155" s="291">
        <f t="shared" si="371"/>
        <v>0</v>
      </c>
      <c r="AW155" s="45">
        <f>SUM(AS155:AV155)</f>
        <v>245</v>
      </c>
      <c r="AX155" s="290">
        <f t="shared" ref="AX155:BA155" si="372">+AX127</f>
        <v>0</v>
      </c>
      <c r="AY155" s="260">
        <f t="shared" si="372"/>
        <v>0</v>
      </c>
      <c r="AZ155" s="260">
        <f t="shared" si="372"/>
        <v>165</v>
      </c>
      <c r="BA155" s="291">
        <f t="shared" si="372"/>
        <v>0</v>
      </c>
      <c r="BB155" s="45">
        <f>SUM(AX155:BA155)</f>
        <v>165</v>
      </c>
      <c r="BC155" s="290">
        <f t="shared" ref="BC155:BF155" si="373">+BC127</f>
        <v>0</v>
      </c>
      <c r="BD155" s="260">
        <f t="shared" si="373"/>
        <v>0</v>
      </c>
      <c r="BE155" s="260">
        <f t="shared" si="373"/>
        <v>215</v>
      </c>
      <c r="BF155" s="291">
        <f t="shared" si="373"/>
        <v>0</v>
      </c>
      <c r="BG155" s="45">
        <f>SUM(BC155:BF155)</f>
        <v>215</v>
      </c>
      <c r="BH155" s="290">
        <f t="shared" ref="BH155:BK155" si="374">+BH127</f>
        <v>0</v>
      </c>
      <c r="BI155" s="260">
        <f t="shared" si="374"/>
        <v>0</v>
      </c>
      <c r="BJ155" s="260">
        <f t="shared" si="374"/>
        <v>240</v>
      </c>
      <c r="BK155" s="291">
        <f t="shared" si="374"/>
        <v>0</v>
      </c>
      <c r="BL155" s="45">
        <f>SUM(BH155:BK155)</f>
        <v>240</v>
      </c>
      <c r="BM155" s="45"/>
      <c r="BN155" s="45"/>
      <c r="BO155" s="45"/>
      <c r="BP155" s="45"/>
      <c r="BQ155" s="45"/>
      <c r="BR155" s="45"/>
      <c r="BS155" s="45"/>
      <c r="BT155" s="45"/>
      <c r="BU155" s="45"/>
      <c r="BV155" s="45"/>
      <c r="BW155" s="45"/>
      <c r="BX155" s="45"/>
      <c r="BY155" s="45"/>
      <c r="BZ155" s="45"/>
      <c r="CA155" s="45"/>
      <c r="CB155" s="339"/>
      <c r="CC155" s="339"/>
      <c r="CD155" s="339"/>
      <c r="CE155" s="45">
        <f>CF155-CD155</f>
        <v>0</v>
      </c>
      <c r="CF155" s="339"/>
      <c r="CG155" s="339"/>
      <c r="CH155" s="339"/>
      <c r="CI155" s="339"/>
      <c r="CJ155" s="45">
        <f>CK155</f>
        <v>0</v>
      </c>
      <c r="CK155" s="339">
        <v>0</v>
      </c>
      <c r="CL155" s="339">
        <v>0</v>
      </c>
      <c r="CM155" s="339">
        <v>0</v>
      </c>
      <c r="CN155" s="339">
        <v>0</v>
      </c>
      <c r="CO155" s="45">
        <f>CP155</f>
        <v>0</v>
      </c>
      <c r="CP155" s="339">
        <v>0</v>
      </c>
      <c r="CQ155" s="339">
        <v>0</v>
      </c>
      <c r="CR155" s="339">
        <v>200</v>
      </c>
      <c r="CS155" s="339">
        <v>200</v>
      </c>
      <c r="CT155" s="45">
        <f>CU155</f>
        <v>200</v>
      </c>
      <c r="CU155" s="339">
        <v>200</v>
      </c>
      <c r="CV155" s="339">
        <v>250</v>
      </c>
      <c r="CW155" s="339">
        <v>250</v>
      </c>
      <c r="CX155" s="339">
        <v>250</v>
      </c>
      <c r="CY155" s="45">
        <f>CZ155</f>
        <v>400</v>
      </c>
      <c r="CZ155" s="339">
        <v>400</v>
      </c>
      <c r="DA155" s="339">
        <v>400</v>
      </c>
      <c r="DB155" s="339">
        <v>404</v>
      </c>
      <c r="DC155" s="339">
        <v>410</v>
      </c>
      <c r="DD155" s="45">
        <f>DE155</f>
        <v>412</v>
      </c>
      <c r="DE155" s="339">
        <v>412</v>
      </c>
      <c r="DF155" s="2056">
        <v>208</v>
      </c>
      <c r="DG155" s="2056">
        <v>208</v>
      </c>
      <c r="DH155" s="2056">
        <v>208</v>
      </c>
      <c r="DI155" s="45">
        <f>DJ155</f>
        <v>208</v>
      </c>
      <c r="DJ155" s="2056">
        <v>208</v>
      </c>
      <c r="DK155" s="2056">
        <v>0</v>
      </c>
      <c r="DL155" s="2056">
        <v>1</v>
      </c>
      <c r="DM155" s="2056">
        <v>2</v>
      </c>
      <c r="DN155" s="45">
        <f>DO155</f>
        <v>4</v>
      </c>
      <c r="DO155" s="2056">
        <v>4</v>
      </c>
      <c r="DP155" s="2056">
        <v>1</v>
      </c>
      <c r="DQ155" s="2056">
        <v>202</v>
      </c>
      <c r="DR155" s="2056">
        <v>202</v>
      </c>
      <c r="DS155" s="45">
        <f>DT155</f>
        <v>202</v>
      </c>
      <c r="DT155" s="2056">
        <v>202</v>
      </c>
    </row>
    <row r="156" spans="1:124">
      <c r="A156" s="45"/>
      <c r="B156" s="45"/>
      <c r="C156" s="391" t="s">
        <v>543</v>
      </c>
      <c r="D156" s="45"/>
      <c r="E156" s="290"/>
      <c r="F156" s="260"/>
      <c r="G156" s="260"/>
      <c r="H156" s="291"/>
      <c r="I156" s="647">
        <f t="shared" si="297"/>
        <v>-16</v>
      </c>
      <c r="J156" s="290">
        <f>+CL156</f>
        <v>0</v>
      </c>
      <c r="K156" s="260">
        <f t="shared" si="356"/>
        <v>0</v>
      </c>
      <c r="L156" s="260">
        <f t="shared" si="356"/>
        <v>0</v>
      </c>
      <c r="M156" s="291">
        <f>CO156-CN156</f>
        <v>0</v>
      </c>
      <c r="N156" s="647">
        <f t="shared" si="357"/>
        <v>0</v>
      </c>
      <c r="O156" s="290">
        <f t="shared" si="357"/>
        <v>0</v>
      </c>
      <c r="P156" s="260">
        <f t="shared" si="358"/>
        <v>-38</v>
      </c>
      <c r="Q156" s="260">
        <f t="shared" si="358"/>
        <v>0</v>
      </c>
      <c r="R156" s="291">
        <f>CT156-CS156</f>
        <v>0</v>
      </c>
      <c r="S156" s="647">
        <f t="shared" si="359"/>
        <v>-38</v>
      </c>
      <c r="T156" s="290">
        <f t="shared" si="359"/>
        <v>0</v>
      </c>
      <c r="U156" s="260">
        <f t="shared" si="360"/>
        <v>0</v>
      </c>
      <c r="V156" s="260">
        <f t="shared" si="360"/>
        <v>0</v>
      </c>
      <c r="W156" s="291">
        <f>CY156-CX156</f>
        <v>-200</v>
      </c>
      <c r="X156" s="647">
        <f t="shared" si="361"/>
        <v>-200</v>
      </c>
      <c r="Y156" s="290">
        <f t="shared" si="361"/>
        <v>0</v>
      </c>
      <c r="Z156" s="260">
        <f>+DB156-DA156</f>
        <v>-175</v>
      </c>
      <c r="AA156" s="260">
        <f t="shared" si="362"/>
        <v>0</v>
      </c>
      <c r="AB156" s="291">
        <f>DD156-DC156</f>
        <v>0</v>
      </c>
      <c r="AC156" s="647">
        <f t="shared" si="363"/>
        <v>-175</v>
      </c>
      <c r="AD156" s="290">
        <f t="shared" si="364"/>
        <v>-12</v>
      </c>
      <c r="AE156" s="260">
        <f>+DG156-DF156</f>
        <v>0</v>
      </c>
      <c r="AF156" s="260">
        <f t="shared" si="365"/>
        <v>0</v>
      </c>
      <c r="AG156" s="291">
        <f>DI156-DH156</f>
        <v>0</v>
      </c>
      <c r="AH156" s="647">
        <f t="shared" si="366"/>
        <v>-12</v>
      </c>
      <c r="AI156" s="290">
        <f t="shared" si="366"/>
        <v>0</v>
      </c>
      <c r="AJ156" s="260">
        <f>+DL156-DK156</f>
        <v>-5</v>
      </c>
      <c r="AK156" s="260">
        <f t="shared" si="367"/>
        <v>0</v>
      </c>
      <c r="AL156" s="291">
        <f>DN156-DM156</f>
        <v>-6</v>
      </c>
      <c r="AM156" s="647">
        <f t="shared" si="368"/>
        <v>-11</v>
      </c>
      <c r="AN156" s="290">
        <f t="shared" si="368"/>
        <v>0</v>
      </c>
      <c r="AO156" s="260">
        <f>+DQ156-DP156</f>
        <v>-7</v>
      </c>
      <c r="AP156" s="260">
        <f t="shared" si="369"/>
        <v>0</v>
      </c>
      <c r="AQ156" s="291">
        <f>DS156-DR156</f>
        <v>-6</v>
      </c>
      <c r="AR156" s="647">
        <f t="shared" si="370"/>
        <v>-13</v>
      </c>
      <c r="AS156" s="290">
        <f t="shared" si="371"/>
        <v>0</v>
      </c>
      <c r="AT156" s="260">
        <f t="shared" si="371"/>
        <v>0</v>
      </c>
      <c r="AU156" s="260">
        <f t="shared" si="371"/>
        <v>0</v>
      </c>
      <c r="AV156" s="291">
        <f t="shared" si="371"/>
        <v>0</v>
      </c>
      <c r="AW156" s="45">
        <f>SUM(AS156:AV156)</f>
        <v>0</v>
      </c>
      <c r="AX156" s="290">
        <f t="shared" ref="AX156:BA156" si="375">+AX128</f>
        <v>0</v>
      </c>
      <c r="AY156" s="260">
        <f t="shared" si="375"/>
        <v>0</v>
      </c>
      <c r="AZ156" s="260">
        <f t="shared" si="375"/>
        <v>0</v>
      </c>
      <c r="BA156" s="291">
        <f t="shared" si="375"/>
        <v>0</v>
      </c>
      <c r="BB156" s="45">
        <f>SUM(AX156:BA156)</f>
        <v>0</v>
      </c>
      <c r="BC156" s="290">
        <f t="shared" ref="BC156:BF156" si="376">+BC128</f>
        <v>0</v>
      </c>
      <c r="BD156" s="260">
        <f t="shared" si="376"/>
        <v>0</v>
      </c>
      <c r="BE156" s="260">
        <f t="shared" si="376"/>
        <v>0</v>
      </c>
      <c r="BF156" s="291">
        <f t="shared" si="376"/>
        <v>0</v>
      </c>
      <c r="BG156" s="45">
        <f>SUM(BC156:BF156)</f>
        <v>0</v>
      </c>
      <c r="BH156" s="290">
        <f t="shared" ref="BH156:BK156" si="377">+BH128</f>
        <v>0</v>
      </c>
      <c r="BI156" s="260">
        <f t="shared" si="377"/>
        <v>0</v>
      </c>
      <c r="BJ156" s="260">
        <f t="shared" si="377"/>
        <v>0</v>
      </c>
      <c r="BK156" s="291">
        <f t="shared" si="377"/>
        <v>0</v>
      </c>
      <c r="BL156" s="45">
        <f>SUM(BH156:BK156)</f>
        <v>0</v>
      </c>
      <c r="BM156" s="45"/>
      <c r="BN156" s="45"/>
      <c r="BO156" s="45"/>
      <c r="BP156" s="45"/>
      <c r="BQ156" s="45"/>
      <c r="BR156" s="45"/>
      <c r="BS156" s="45"/>
      <c r="BT156" s="45"/>
      <c r="BU156" s="45"/>
      <c r="BV156" s="45"/>
      <c r="BW156" s="45"/>
      <c r="BX156" s="45"/>
      <c r="BY156" s="45"/>
      <c r="BZ156" s="45"/>
      <c r="CA156" s="45"/>
      <c r="CB156" s="339"/>
      <c r="CC156" s="339"/>
      <c r="CD156" s="339"/>
      <c r="CE156" s="45">
        <f>CF156-CD156</f>
        <v>0</v>
      </c>
      <c r="CF156" s="339"/>
      <c r="CG156" s="339"/>
      <c r="CH156" s="339"/>
      <c r="CI156" s="339"/>
      <c r="CJ156" s="45">
        <f>CK156</f>
        <v>-16</v>
      </c>
      <c r="CK156" s="339">
        <v>-16</v>
      </c>
      <c r="CL156" s="339">
        <v>0</v>
      </c>
      <c r="CM156" s="339">
        <v>0</v>
      </c>
      <c r="CN156" s="339">
        <v>0</v>
      </c>
      <c r="CO156" s="45">
        <f>CP156</f>
        <v>0</v>
      </c>
      <c r="CP156" s="339">
        <v>0</v>
      </c>
      <c r="CQ156" s="339">
        <v>0</v>
      </c>
      <c r="CR156" s="339">
        <v>-38</v>
      </c>
      <c r="CS156" s="339">
        <v>-38</v>
      </c>
      <c r="CT156" s="45">
        <f>CU156</f>
        <v>-38</v>
      </c>
      <c r="CU156" s="339">
        <v>-38</v>
      </c>
      <c r="CV156" s="339">
        <v>0</v>
      </c>
      <c r="CW156" s="339">
        <v>0</v>
      </c>
      <c r="CX156" s="339">
        <v>0</v>
      </c>
      <c r="CY156" s="45">
        <f>CZ156</f>
        <v>-200</v>
      </c>
      <c r="CZ156" s="339">
        <v>-200</v>
      </c>
      <c r="DA156" s="339">
        <v>0</v>
      </c>
      <c r="DB156" s="339">
        <v>-175</v>
      </c>
      <c r="DC156" s="339">
        <v>-175</v>
      </c>
      <c r="DD156" s="45">
        <f>DE156</f>
        <v>-175</v>
      </c>
      <c r="DE156" s="339">
        <v>-175</v>
      </c>
      <c r="DF156" s="2056">
        <v>-12</v>
      </c>
      <c r="DG156" s="2056">
        <v>-12</v>
      </c>
      <c r="DH156" s="2056">
        <v>-12</v>
      </c>
      <c r="DI156" s="45">
        <f>DJ156</f>
        <v>-12</v>
      </c>
      <c r="DJ156" s="2056">
        <v>-12</v>
      </c>
      <c r="DK156" s="2056">
        <v>0</v>
      </c>
      <c r="DL156" s="2056">
        <v>-5</v>
      </c>
      <c r="DM156" s="2056">
        <v>-5</v>
      </c>
      <c r="DN156" s="45">
        <f>DO156</f>
        <v>-11</v>
      </c>
      <c r="DO156" s="2056">
        <v>-11</v>
      </c>
      <c r="DP156" s="2056">
        <v>0</v>
      </c>
      <c r="DQ156" s="2056">
        <v>-7</v>
      </c>
      <c r="DR156" s="2056">
        <v>-7</v>
      </c>
      <c r="DS156" s="45">
        <f>DT156</f>
        <v>-13</v>
      </c>
      <c r="DT156" s="2056">
        <v>-13</v>
      </c>
    </row>
    <row r="157" spans="1:124">
      <c r="A157" s="45"/>
      <c r="B157" s="45"/>
      <c r="C157" s="391" t="s">
        <v>151</v>
      </c>
      <c r="D157" s="45"/>
      <c r="E157" s="290"/>
      <c r="F157" s="260"/>
      <c r="G157" s="260"/>
      <c r="H157" s="291"/>
      <c r="I157" s="647">
        <f t="shared" si="297"/>
        <v>0</v>
      </c>
      <c r="J157" s="290">
        <f>+CL157</f>
        <v>0</v>
      </c>
      <c r="K157" s="260">
        <f t="shared" si="356"/>
        <v>0</v>
      </c>
      <c r="L157" s="260">
        <f t="shared" si="356"/>
        <v>0</v>
      </c>
      <c r="M157" s="291">
        <f>CO157-CN157</f>
        <v>74</v>
      </c>
      <c r="N157" s="647">
        <f t="shared" si="357"/>
        <v>74</v>
      </c>
      <c r="O157" s="290">
        <f t="shared" si="357"/>
        <v>130</v>
      </c>
      <c r="P157" s="260">
        <f t="shared" si="358"/>
        <v>-96</v>
      </c>
      <c r="Q157" s="260">
        <f t="shared" si="358"/>
        <v>26</v>
      </c>
      <c r="R157" s="291">
        <f>CT157-CS157</f>
        <v>97</v>
      </c>
      <c r="S157" s="647">
        <f t="shared" si="359"/>
        <v>157</v>
      </c>
      <c r="T157" s="290">
        <f t="shared" si="359"/>
        <v>-231</v>
      </c>
      <c r="U157" s="260">
        <f t="shared" si="360"/>
        <v>0</v>
      </c>
      <c r="V157" s="260">
        <f t="shared" si="360"/>
        <v>31</v>
      </c>
      <c r="W157" s="291">
        <f>CY157-CX157</f>
        <v>120</v>
      </c>
      <c r="X157" s="647">
        <f t="shared" si="361"/>
        <v>-80</v>
      </c>
      <c r="Y157" s="290">
        <f t="shared" si="361"/>
        <v>-151</v>
      </c>
      <c r="Z157" s="260">
        <f>+DB157-DA157</f>
        <v>0</v>
      </c>
      <c r="AA157" s="260">
        <f t="shared" si="362"/>
        <v>0</v>
      </c>
      <c r="AB157" s="291">
        <f>DD157-DC157</f>
        <v>104</v>
      </c>
      <c r="AC157" s="647">
        <f t="shared" si="363"/>
        <v>-47</v>
      </c>
      <c r="AD157" s="290">
        <f t="shared" si="364"/>
        <v>-104</v>
      </c>
      <c r="AE157" s="260">
        <f>+DG157-DF157</f>
        <v>0</v>
      </c>
      <c r="AF157" s="260">
        <f t="shared" si="365"/>
        <v>48</v>
      </c>
      <c r="AG157" s="291">
        <f>DI157-DH157</f>
        <v>16</v>
      </c>
      <c r="AH157" s="647">
        <f t="shared" si="366"/>
        <v>-40</v>
      </c>
      <c r="AI157" s="290">
        <f t="shared" si="366"/>
        <v>-64</v>
      </c>
      <c r="AJ157" s="260">
        <f>+DL157-DK157</f>
        <v>0</v>
      </c>
      <c r="AK157" s="260">
        <f t="shared" si="367"/>
        <v>0</v>
      </c>
      <c r="AL157" s="291">
        <f>DN157-DM157</f>
        <v>23</v>
      </c>
      <c r="AM157" s="647">
        <f t="shared" si="368"/>
        <v>-41</v>
      </c>
      <c r="AN157" s="290">
        <f t="shared" si="368"/>
        <v>144</v>
      </c>
      <c r="AO157" s="260">
        <f>+DQ157-DP157</f>
        <v>-167</v>
      </c>
      <c r="AP157" s="260">
        <f t="shared" si="369"/>
        <v>0</v>
      </c>
      <c r="AQ157" s="291">
        <f>DS157-DR157</f>
        <v>26</v>
      </c>
      <c r="AR157" s="647">
        <f t="shared" si="370"/>
        <v>3</v>
      </c>
      <c r="AS157" s="814">
        <v>0</v>
      </c>
      <c r="AT157" s="262">
        <v>0</v>
      </c>
      <c r="AU157" s="262">
        <v>0</v>
      </c>
      <c r="AV157" s="294">
        <v>0</v>
      </c>
      <c r="AW157" s="45">
        <f>SUM(AS157:AV157)</f>
        <v>0</v>
      </c>
      <c r="AX157" s="814">
        <v>0</v>
      </c>
      <c r="AY157" s="262">
        <v>0</v>
      </c>
      <c r="AZ157" s="262">
        <v>0</v>
      </c>
      <c r="BA157" s="294">
        <v>0</v>
      </c>
      <c r="BB157" s="45">
        <f>SUM(AX157:BA157)</f>
        <v>0</v>
      </c>
      <c r="BC157" s="814">
        <v>0</v>
      </c>
      <c r="BD157" s="262">
        <v>0</v>
      </c>
      <c r="BE157" s="262">
        <v>0</v>
      </c>
      <c r="BF157" s="294">
        <v>0</v>
      </c>
      <c r="BG157" s="45">
        <f>SUM(BC157:BF157)</f>
        <v>0</v>
      </c>
      <c r="BH157" s="814">
        <v>0</v>
      </c>
      <c r="BI157" s="262">
        <v>0</v>
      </c>
      <c r="BJ157" s="262">
        <v>0</v>
      </c>
      <c r="BK157" s="294">
        <v>0</v>
      </c>
      <c r="BL157" s="45">
        <f>SUM(BH157:BK157)</f>
        <v>0</v>
      </c>
      <c r="BM157" s="45"/>
      <c r="BN157" s="45"/>
      <c r="BO157" s="45"/>
      <c r="BP157" s="45"/>
      <c r="BQ157" s="45"/>
      <c r="BR157" s="45"/>
      <c r="BS157" s="45"/>
      <c r="BT157" s="45"/>
      <c r="BU157" s="45"/>
      <c r="BV157" s="45"/>
      <c r="BW157" s="45"/>
      <c r="BX157" s="45"/>
      <c r="BY157" s="45"/>
      <c r="BZ157" s="45"/>
      <c r="CA157" s="45"/>
      <c r="CB157" s="1778"/>
      <c r="CC157" s="1778"/>
      <c r="CD157" s="1778"/>
      <c r="CE157" s="45">
        <f>CF157-CD157</f>
        <v>0</v>
      </c>
      <c r="CF157" s="1778"/>
      <c r="CG157" s="1778"/>
      <c r="CH157" s="1778"/>
      <c r="CI157" s="1778"/>
      <c r="CJ157" s="45">
        <f>CK157</f>
        <v>0</v>
      </c>
      <c r="CK157" s="1778">
        <v>0</v>
      </c>
      <c r="CL157" s="1778">
        <v>0</v>
      </c>
      <c r="CM157" s="1778">
        <v>0</v>
      </c>
      <c r="CN157" s="1778">
        <v>0</v>
      </c>
      <c r="CO157" s="45">
        <f>CP157</f>
        <v>74</v>
      </c>
      <c r="CP157" s="1778">
        <v>74</v>
      </c>
      <c r="CQ157" s="1778">
        <v>130</v>
      </c>
      <c r="CR157" s="1778">
        <v>34</v>
      </c>
      <c r="CS157" s="1778">
        <v>60</v>
      </c>
      <c r="CT157" s="45">
        <f>CU157</f>
        <v>157</v>
      </c>
      <c r="CU157" s="1778">
        <v>157</v>
      </c>
      <c r="CV157" s="339">
        <v>-231</v>
      </c>
      <c r="CW157" s="1778">
        <v>-231</v>
      </c>
      <c r="CX157" s="1778">
        <v>-200</v>
      </c>
      <c r="CY157" s="45">
        <f>CZ157</f>
        <v>-80</v>
      </c>
      <c r="CZ157" s="1778">
        <v>-80</v>
      </c>
      <c r="DA157" s="339">
        <v>-151</v>
      </c>
      <c r="DB157" s="1778">
        <v>-151</v>
      </c>
      <c r="DC157" s="1778">
        <v>-151</v>
      </c>
      <c r="DD157" s="45">
        <f>DE157</f>
        <v>-47</v>
      </c>
      <c r="DE157" s="1778">
        <v>-47</v>
      </c>
      <c r="DF157" s="2056">
        <f>+-104</f>
        <v>-104</v>
      </c>
      <c r="DG157" s="2056">
        <f>+-104</f>
        <v>-104</v>
      </c>
      <c r="DH157" s="1778">
        <v>-56</v>
      </c>
      <c r="DI157" s="45">
        <f>DJ157</f>
        <v>-40</v>
      </c>
      <c r="DJ157" s="1778">
        <v>-40</v>
      </c>
      <c r="DK157" s="2056">
        <v>-64</v>
      </c>
      <c r="DL157" s="2056">
        <v>-64</v>
      </c>
      <c r="DM157" s="1778">
        <v>-64</v>
      </c>
      <c r="DN157" s="45">
        <f>DO157</f>
        <v>-41</v>
      </c>
      <c r="DO157" s="1778">
        <v>-41</v>
      </c>
      <c r="DP157" s="2056">
        <v>144</v>
      </c>
      <c r="DQ157" s="2056">
        <v>-23</v>
      </c>
      <c r="DR157" s="2056">
        <v>-23</v>
      </c>
      <c r="DS157" s="45">
        <f>DT157</f>
        <v>3</v>
      </c>
      <c r="DT157" s="1778">
        <v>3</v>
      </c>
    </row>
    <row r="158" spans="1:124">
      <c r="A158" s="45"/>
      <c r="B158" s="45"/>
      <c r="C158" s="391" t="s">
        <v>152</v>
      </c>
      <c r="D158" s="45"/>
      <c r="E158" s="290"/>
      <c r="F158" s="260"/>
      <c r="G158" s="260"/>
      <c r="H158" s="291"/>
      <c r="I158" s="647">
        <f t="shared" si="297"/>
        <v>-115</v>
      </c>
      <c r="J158" s="290">
        <f>+CL158</f>
        <v>0</v>
      </c>
      <c r="K158" s="260">
        <f t="shared" si="356"/>
        <v>0</v>
      </c>
      <c r="L158" s="260">
        <f t="shared" si="356"/>
        <v>0</v>
      </c>
      <c r="M158" s="291">
        <f>CO158-CN158</f>
        <v>-25</v>
      </c>
      <c r="N158" s="647">
        <f t="shared" si="357"/>
        <v>-25</v>
      </c>
      <c r="O158" s="290">
        <f t="shared" si="357"/>
        <v>0</v>
      </c>
      <c r="P158" s="260">
        <f t="shared" si="358"/>
        <v>0</v>
      </c>
      <c r="Q158" s="260">
        <f t="shared" si="358"/>
        <v>-35</v>
      </c>
      <c r="R158" s="291">
        <f>CT158-CS158</f>
        <v>50</v>
      </c>
      <c r="S158" s="647">
        <f t="shared" si="359"/>
        <v>15</v>
      </c>
      <c r="T158" s="290">
        <f t="shared" si="359"/>
        <v>175</v>
      </c>
      <c r="U158" s="260">
        <f t="shared" si="360"/>
        <v>-15</v>
      </c>
      <c r="V158" s="260">
        <f t="shared" si="360"/>
        <v>-31</v>
      </c>
      <c r="W158" s="291">
        <f>CY158-CX158</f>
        <v>0</v>
      </c>
      <c r="X158" s="647">
        <f t="shared" si="361"/>
        <v>129</v>
      </c>
      <c r="Y158" s="290">
        <f t="shared" si="361"/>
        <v>80</v>
      </c>
      <c r="Z158" s="260">
        <f>+DB158-DA158</f>
        <v>-46</v>
      </c>
      <c r="AA158" s="260">
        <f t="shared" si="362"/>
        <v>0</v>
      </c>
      <c r="AB158" s="291">
        <f>DD158-DC158</f>
        <v>-40</v>
      </c>
      <c r="AC158" s="647">
        <f t="shared" si="363"/>
        <v>-6</v>
      </c>
      <c r="AD158" s="290">
        <f t="shared" si="364"/>
        <v>112</v>
      </c>
      <c r="AE158" s="260">
        <f>+DG158-DF158</f>
        <v>-31</v>
      </c>
      <c r="AF158" s="260">
        <f t="shared" si="365"/>
        <v>-60</v>
      </c>
      <c r="AG158" s="291">
        <f>DI158-DH158</f>
        <v>-55</v>
      </c>
      <c r="AH158" s="647">
        <f t="shared" si="366"/>
        <v>-34</v>
      </c>
      <c r="AI158" s="290">
        <f t="shared" si="366"/>
        <v>-39</v>
      </c>
      <c r="AJ158" s="260">
        <f>+DL158-DK158</f>
        <v>171</v>
      </c>
      <c r="AK158" s="260">
        <f t="shared" si="367"/>
        <v>-37</v>
      </c>
      <c r="AL158" s="291">
        <f>DN158-DM158</f>
        <v>-44</v>
      </c>
      <c r="AM158" s="647">
        <f t="shared" si="368"/>
        <v>51</v>
      </c>
      <c r="AN158" s="290">
        <f t="shared" si="368"/>
        <v>-30</v>
      </c>
      <c r="AO158" s="260">
        <f>+DQ158-DP158</f>
        <v>133</v>
      </c>
      <c r="AP158" s="260">
        <f t="shared" si="369"/>
        <v>-75</v>
      </c>
      <c r="AQ158" s="291">
        <f>DS158-DR158</f>
        <v>0</v>
      </c>
      <c r="AR158" s="647">
        <f t="shared" si="370"/>
        <v>28</v>
      </c>
      <c r="AS158" s="290">
        <f>+AW158/4</f>
        <v>-16.25</v>
      </c>
      <c r="AT158" s="260">
        <f>(AW158-SUM(AS158:AS158))/3</f>
        <v>-16.25</v>
      </c>
      <c r="AU158" s="260">
        <f>(AW158-SUM(AS158:AT158))/2</f>
        <v>-16.25</v>
      </c>
      <c r="AV158" s="291">
        <f>(AW158-SUM(AS158:AU158))/1</f>
        <v>-16.25</v>
      </c>
      <c r="AW158" s="2058">
        <v>-65</v>
      </c>
      <c r="AX158" s="290">
        <f>+BB158/4</f>
        <v>-12.5</v>
      </c>
      <c r="AY158" s="260">
        <f>(BB158-SUM(AX158:AX158))/3</f>
        <v>-12.5</v>
      </c>
      <c r="AZ158" s="260">
        <f>(BB158-SUM(AX158:AY158))/2</f>
        <v>-12.5</v>
      </c>
      <c r="BA158" s="291">
        <f>(BB158-SUM(AX158:AZ158))/1</f>
        <v>-12.5</v>
      </c>
      <c r="BB158" s="2058">
        <v>-50</v>
      </c>
      <c r="BC158" s="290">
        <f>+BG158/4</f>
        <v>-6.25</v>
      </c>
      <c r="BD158" s="260">
        <f>(BG158-SUM(BC158:BC158))/3</f>
        <v>-6.25</v>
      </c>
      <c r="BE158" s="260">
        <f>(BG158-SUM(BC158:BD158))/2</f>
        <v>-6.25</v>
      </c>
      <c r="BF158" s="291">
        <f>(BG158-SUM(BC158:BE158))/1</f>
        <v>-6.25</v>
      </c>
      <c r="BG158" s="2058">
        <v>-25</v>
      </c>
      <c r="BH158" s="290">
        <f>+BL158/4</f>
        <v>-7.5</v>
      </c>
      <c r="BI158" s="260">
        <f>(BL158-SUM(BH158:BH158))/3</f>
        <v>-7.5</v>
      </c>
      <c r="BJ158" s="260">
        <f>(BL158-SUM(BH158:BI158))/2</f>
        <v>-7.5</v>
      </c>
      <c r="BK158" s="291">
        <f>(BL158-SUM(BH158:BJ158))/1</f>
        <v>-7.5</v>
      </c>
      <c r="BL158" s="2032">
        <v>-30</v>
      </c>
      <c r="BM158" s="45"/>
      <c r="BN158" s="45"/>
      <c r="BO158" s="45"/>
      <c r="BP158" s="45"/>
      <c r="BQ158" s="45"/>
      <c r="BR158" s="45"/>
      <c r="BS158" s="45"/>
      <c r="BT158" s="45"/>
      <c r="BU158" s="45"/>
      <c r="BV158" s="45"/>
      <c r="BW158" s="45"/>
      <c r="BX158" s="45"/>
      <c r="BY158" s="45"/>
      <c r="BZ158" s="45"/>
      <c r="CA158" s="45"/>
      <c r="CB158" s="1778"/>
      <c r="CC158" s="1778"/>
      <c r="CD158" s="1778"/>
      <c r="CE158" s="45">
        <f>CF158-CD158</f>
        <v>0</v>
      </c>
      <c r="CF158" s="1778"/>
      <c r="CG158" s="1778"/>
      <c r="CH158" s="1778"/>
      <c r="CI158" s="1778"/>
      <c r="CJ158" s="45">
        <f>CK158</f>
        <v>-115</v>
      </c>
      <c r="CK158" s="1778">
        <v>-115</v>
      </c>
      <c r="CL158" s="1778">
        <v>0</v>
      </c>
      <c r="CM158" s="1778">
        <v>0</v>
      </c>
      <c r="CN158" s="1778">
        <v>0</v>
      </c>
      <c r="CO158" s="45">
        <f>CP158</f>
        <v>-25</v>
      </c>
      <c r="CP158" s="1778">
        <v>-25</v>
      </c>
      <c r="CQ158" s="1778">
        <v>0</v>
      </c>
      <c r="CR158" s="1778">
        <v>0</v>
      </c>
      <c r="CS158" s="1778">
        <v>-35</v>
      </c>
      <c r="CT158" s="45">
        <f>CU158</f>
        <v>15</v>
      </c>
      <c r="CU158" s="1778">
        <f>-35+50</f>
        <v>15</v>
      </c>
      <c r="CV158" s="1778">
        <v>175</v>
      </c>
      <c r="CW158" s="1778">
        <f>-15+175</f>
        <v>160</v>
      </c>
      <c r="CX158" s="1778">
        <f>-46+175</f>
        <v>129</v>
      </c>
      <c r="CY158" s="45">
        <f>CZ158</f>
        <v>129</v>
      </c>
      <c r="CZ158" s="1778">
        <f>-46+175</f>
        <v>129</v>
      </c>
      <c r="DA158" s="1778">
        <v>80</v>
      </c>
      <c r="DB158" s="1778">
        <f>-46+80</f>
        <v>34</v>
      </c>
      <c r="DC158" s="1778">
        <f>-46+80</f>
        <v>34</v>
      </c>
      <c r="DD158" s="45">
        <f>DE158</f>
        <v>-6</v>
      </c>
      <c r="DE158" s="1778">
        <f>-86+80</f>
        <v>-6</v>
      </c>
      <c r="DF158" s="1778">
        <v>112</v>
      </c>
      <c r="DG158" s="1778">
        <f>112-31</f>
        <v>81</v>
      </c>
      <c r="DH158" s="1778">
        <f>112-91</f>
        <v>21</v>
      </c>
      <c r="DI158" s="45">
        <f>DJ158</f>
        <v>-34</v>
      </c>
      <c r="DJ158" s="1778">
        <f>-146+112</f>
        <v>-34</v>
      </c>
      <c r="DK158" s="1778">
        <v>-39</v>
      </c>
      <c r="DL158" s="1778">
        <f>-55+187</f>
        <v>132</v>
      </c>
      <c r="DM158" s="1778">
        <f>-92+187</f>
        <v>95</v>
      </c>
      <c r="DN158" s="45">
        <f>DO158</f>
        <v>51</v>
      </c>
      <c r="DO158" s="1778">
        <f>-136+187</f>
        <v>51</v>
      </c>
      <c r="DP158" s="1778">
        <v>-30</v>
      </c>
      <c r="DQ158" s="1778">
        <f>-58+161</f>
        <v>103</v>
      </c>
      <c r="DR158" s="1778">
        <f>-133+161</f>
        <v>28</v>
      </c>
      <c r="DS158" s="45">
        <f>DT158</f>
        <v>28</v>
      </c>
      <c r="DT158" s="1778">
        <f>-133+161</f>
        <v>28</v>
      </c>
    </row>
    <row r="159" spans="1:124">
      <c r="A159" s="45"/>
      <c r="B159" s="45"/>
      <c r="C159" s="391" t="s">
        <v>62</v>
      </c>
      <c r="D159" s="45"/>
      <c r="E159" s="290"/>
      <c r="F159" s="260"/>
      <c r="G159" s="260"/>
      <c r="H159" s="291"/>
      <c r="I159" s="647">
        <f t="shared" si="297"/>
        <v>-9</v>
      </c>
      <c r="J159" s="290">
        <f>+CL159</f>
        <v>0</v>
      </c>
      <c r="K159" s="260">
        <f t="shared" si="356"/>
        <v>-5</v>
      </c>
      <c r="L159" s="260">
        <f t="shared" si="356"/>
        <v>2</v>
      </c>
      <c r="M159" s="291">
        <f>CO159-CN159</f>
        <v>1</v>
      </c>
      <c r="N159" s="647">
        <f t="shared" si="357"/>
        <v>-2</v>
      </c>
      <c r="O159" s="290">
        <f t="shared" si="357"/>
        <v>5</v>
      </c>
      <c r="P159" s="260">
        <f t="shared" si="358"/>
        <v>40</v>
      </c>
      <c r="Q159" s="260">
        <f t="shared" si="358"/>
        <v>-2</v>
      </c>
      <c r="R159" s="291">
        <f>CT159-CS159</f>
        <v>-53</v>
      </c>
      <c r="S159" s="647">
        <f t="shared" si="359"/>
        <v>-10</v>
      </c>
      <c r="T159" s="290">
        <f t="shared" si="359"/>
        <v>-16</v>
      </c>
      <c r="U159" s="260">
        <f t="shared" si="360"/>
        <v>3</v>
      </c>
      <c r="V159" s="260">
        <f t="shared" si="360"/>
        <v>4</v>
      </c>
      <c r="W159" s="291">
        <f>CY159-CX159</f>
        <v>-6</v>
      </c>
      <c r="X159" s="647">
        <f t="shared" si="361"/>
        <v>-15</v>
      </c>
      <c r="Y159" s="290">
        <f t="shared" si="361"/>
        <v>-181</v>
      </c>
      <c r="Z159" s="260">
        <f>+DB159-DA159</f>
        <v>171</v>
      </c>
      <c r="AA159" s="260">
        <f t="shared" si="362"/>
        <v>2</v>
      </c>
      <c r="AB159" s="291">
        <f>DD159-DC159</f>
        <v>-5</v>
      </c>
      <c r="AC159" s="647">
        <f t="shared" si="363"/>
        <v>-13</v>
      </c>
      <c r="AD159" s="290">
        <f t="shared" si="364"/>
        <v>-4</v>
      </c>
      <c r="AE159" s="260">
        <f>+DG159-DF159</f>
        <v>-10</v>
      </c>
      <c r="AF159" s="260">
        <f t="shared" si="365"/>
        <v>1</v>
      </c>
      <c r="AG159" s="291">
        <f>DI159-DH159</f>
        <v>-6</v>
      </c>
      <c r="AH159" s="647">
        <f t="shared" si="366"/>
        <v>-19</v>
      </c>
      <c r="AI159" s="290">
        <f t="shared" si="366"/>
        <v>0</v>
      </c>
      <c r="AJ159" s="260">
        <f>+DL159-DK159</f>
        <v>0</v>
      </c>
      <c r="AK159" s="260">
        <f t="shared" si="367"/>
        <v>0</v>
      </c>
      <c r="AL159" s="291">
        <f>DN159-DM159</f>
        <v>-3</v>
      </c>
      <c r="AM159" s="647">
        <f t="shared" si="368"/>
        <v>-3</v>
      </c>
      <c r="AN159" s="290">
        <f t="shared" si="368"/>
        <v>-1</v>
      </c>
      <c r="AO159" s="260">
        <f>+DQ159-DP159</f>
        <v>0</v>
      </c>
      <c r="AP159" s="260">
        <f t="shared" si="369"/>
        <v>0</v>
      </c>
      <c r="AQ159" s="291">
        <f>DS159-DR159</f>
        <v>0</v>
      </c>
      <c r="AR159" s="647">
        <f t="shared" si="370"/>
        <v>-1</v>
      </c>
      <c r="AS159" s="290">
        <f>+AW159/4</f>
        <v>0</v>
      </c>
      <c r="AT159" s="260">
        <f>(AW159-SUM(AS159:AS159))/3</f>
        <v>0</v>
      </c>
      <c r="AU159" s="260">
        <f>(AW159-SUM(AS159:AT159))/2</f>
        <v>0</v>
      </c>
      <c r="AV159" s="291">
        <f>(AW159-SUM(AS159:AU159))/1</f>
        <v>0</v>
      </c>
      <c r="AW159" s="1003">
        <v>0</v>
      </c>
      <c r="AX159" s="290">
        <f>+BB159/4</f>
        <v>0</v>
      </c>
      <c r="AY159" s="260">
        <f>(BB159-SUM(AX159:AX159))/3</f>
        <v>0</v>
      </c>
      <c r="AZ159" s="260">
        <f>(BB159-SUM(AX159:AY159))/2</f>
        <v>0</v>
      </c>
      <c r="BA159" s="291">
        <f>(BB159-SUM(AX159:AZ159))/1</f>
        <v>0</v>
      </c>
      <c r="BB159" s="1003">
        <v>0</v>
      </c>
      <c r="BC159" s="290">
        <f>+BG159/4</f>
        <v>0</v>
      </c>
      <c r="BD159" s="260">
        <f>(BG159-SUM(BC159:BC159))/3</f>
        <v>0</v>
      </c>
      <c r="BE159" s="260">
        <f>(BG159-SUM(BC159:BD159))/2</f>
        <v>0</v>
      </c>
      <c r="BF159" s="291">
        <f>(BG159-SUM(BC159:BE159))/1</f>
        <v>0</v>
      </c>
      <c r="BG159" s="2058">
        <v>0</v>
      </c>
      <c r="BH159" s="290">
        <f>+BL159/4</f>
        <v>0</v>
      </c>
      <c r="BI159" s="260">
        <f>(BL159-SUM(BH159:BH159))/3</f>
        <v>0</v>
      </c>
      <c r="BJ159" s="260">
        <f>(BL159-SUM(BH159:BI159))/2</f>
        <v>0</v>
      </c>
      <c r="BK159" s="291">
        <f>(BL159-SUM(BH159:BJ159))/1</f>
        <v>0</v>
      </c>
      <c r="BL159" s="2058">
        <v>0</v>
      </c>
      <c r="BM159" s="45"/>
      <c r="BN159" s="45"/>
      <c r="BO159" s="45"/>
      <c r="BP159" s="45"/>
      <c r="BQ159" s="45"/>
      <c r="BR159" s="45"/>
      <c r="BS159" s="45"/>
      <c r="BT159" s="45"/>
      <c r="BU159" s="45"/>
      <c r="BV159" s="45"/>
      <c r="BW159" s="45"/>
      <c r="BX159" s="45"/>
      <c r="BY159" s="45"/>
      <c r="BZ159" s="45"/>
      <c r="CA159" s="45"/>
      <c r="CB159" s="339"/>
      <c r="CC159" s="339"/>
      <c r="CD159" s="339"/>
      <c r="CE159" s="45">
        <f>CF159-CD159</f>
        <v>0</v>
      </c>
      <c r="CF159" s="339"/>
      <c r="CG159" s="339"/>
      <c r="CH159" s="339"/>
      <c r="CI159" s="339"/>
      <c r="CJ159" s="45">
        <f>CK159</f>
        <v>-9</v>
      </c>
      <c r="CK159" s="339">
        <v>-9</v>
      </c>
      <c r="CL159" s="339">
        <v>0</v>
      </c>
      <c r="CM159" s="339">
        <v>-5</v>
      </c>
      <c r="CN159" s="339">
        <v>-3</v>
      </c>
      <c r="CO159" s="45">
        <f>CP159</f>
        <v>-2</v>
      </c>
      <c r="CP159" s="339">
        <v>-2</v>
      </c>
      <c r="CQ159" s="339">
        <f>-3+8</f>
        <v>5</v>
      </c>
      <c r="CR159" s="339">
        <f>50-4-1</f>
        <v>45</v>
      </c>
      <c r="CS159" s="339">
        <f>50-4-3</f>
        <v>43</v>
      </c>
      <c r="CT159" s="45">
        <f>CU159</f>
        <v>-10</v>
      </c>
      <c r="CU159" s="339">
        <f>-4-6</f>
        <v>-10</v>
      </c>
      <c r="CV159" s="339">
        <f>-4-12</f>
        <v>-16</v>
      </c>
      <c r="CW159" s="339">
        <f>-4-9</f>
        <v>-13</v>
      </c>
      <c r="CX159" s="339">
        <f>-4-5</f>
        <v>-9</v>
      </c>
      <c r="CY159" s="45">
        <f>CZ159</f>
        <v>-15</v>
      </c>
      <c r="CZ159" s="339">
        <f>-7-8</f>
        <v>-15</v>
      </c>
      <c r="DA159" s="339">
        <f>-7+1-175</f>
        <v>-181</v>
      </c>
      <c r="DB159" s="339">
        <f>-7-3</f>
        <v>-10</v>
      </c>
      <c r="DC159" s="339">
        <f>-7-1</f>
        <v>-8</v>
      </c>
      <c r="DD159" s="45">
        <f>DE159</f>
        <v>-13</v>
      </c>
      <c r="DE159" s="339">
        <f>-7-6</f>
        <v>-13</v>
      </c>
      <c r="DF159" s="2056">
        <v>-4</v>
      </c>
      <c r="DG159" s="2056">
        <f>-4-10</f>
        <v>-14</v>
      </c>
      <c r="DH159" s="2056">
        <f>-4-9</f>
        <v>-13</v>
      </c>
      <c r="DI159" s="45">
        <f>DJ159</f>
        <v>-19</v>
      </c>
      <c r="DJ159" s="2056">
        <f>-4-15</f>
        <v>-19</v>
      </c>
      <c r="DK159" s="2056">
        <v>0</v>
      </c>
      <c r="DL159" s="2056">
        <v>0</v>
      </c>
      <c r="DM159" s="2056">
        <v>0</v>
      </c>
      <c r="DN159" s="45">
        <f>DO159</f>
        <v>-3</v>
      </c>
      <c r="DO159" s="2056">
        <v>-3</v>
      </c>
      <c r="DP159" s="2056">
        <v>-1</v>
      </c>
      <c r="DQ159" s="2056">
        <v>-1</v>
      </c>
      <c r="DR159" s="2056">
        <v>-1</v>
      </c>
      <c r="DS159" s="45">
        <f>DT159</f>
        <v>-1</v>
      </c>
      <c r="DT159" s="2056">
        <v>-1</v>
      </c>
    </row>
    <row r="160" spans="1:124">
      <c r="A160" s="45"/>
      <c r="B160" s="45"/>
      <c r="C160" s="389" t="s">
        <v>153</v>
      </c>
      <c r="D160" s="45"/>
      <c r="E160" s="292"/>
      <c r="F160" s="261"/>
      <c r="G160" s="261"/>
      <c r="H160" s="293"/>
      <c r="I160" s="583">
        <f t="shared" si="297"/>
        <v>-140</v>
      </c>
      <c r="J160" s="292">
        <f t="shared" ref="J160:AW160" si="378">SUM(J155:J159)</f>
        <v>0</v>
      </c>
      <c r="K160" s="261">
        <f t="shared" si="378"/>
        <v>-5</v>
      </c>
      <c r="L160" s="261">
        <f t="shared" si="378"/>
        <v>2</v>
      </c>
      <c r="M160" s="293">
        <f t="shared" si="378"/>
        <v>50</v>
      </c>
      <c r="N160" s="583">
        <f t="shared" si="378"/>
        <v>47</v>
      </c>
      <c r="O160" s="292">
        <f t="shared" si="378"/>
        <v>135</v>
      </c>
      <c r="P160" s="261">
        <f t="shared" si="378"/>
        <v>106</v>
      </c>
      <c r="Q160" s="261">
        <f t="shared" si="378"/>
        <v>-11</v>
      </c>
      <c r="R160" s="293">
        <f t="shared" si="378"/>
        <v>94</v>
      </c>
      <c r="S160" s="583">
        <f t="shared" si="378"/>
        <v>324</v>
      </c>
      <c r="T160" s="292">
        <f t="shared" si="378"/>
        <v>178</v>
      </c>
      <c r="U160" s="261">
        <f t="shared" si="378"/>
        <v>-12</v>
      </c>
      <c r="V160" s="261">
        <f t="shared" si="378"/>
        <v>4</v>
      </c>
      <c r="W160" s="293">
        <f t="shared" si="378"/>
        <v>64</v>
      </c>
      <c r="X160" s="583">
        <f t="shared" si="378"/>
        <v>234</v>
      </c>
      <c r="Y160" s="292">
        <f t="shared" si="378"/>
        <v>148</v>
      </c>
      <c r="Z160" s="261">
        <f t="shared" si="378"/>
        <v>-46</v>
      </c>
      <c r="AA160" s="261">
        <f t="shared" ref="AA160" si="379">SUM(AA155:AA159)</f>
        <v>8</v>
      </c>
      <c r="AB160" s="293">
        <f t="shared" ref="AB160:AC160" si="380">SUM(AB155:AB159)</f>
        <v>61</v>
      </c>
      <c r="AC160" s="583">
        <f t="shared" si="380"/>
        <v>171</v>
      </c>
      <c r="AD160" s="292">
        <f t="shared" ref="AD160:AE160" si="381">SUM(AD155:AD159)</f>
        <v>200</v>
      </c>
      <c r="AE160" s="261">
        <f t="shared" si="381"/>
        <v>-41</v>
      </c>
      <c r="AF160" s="261">
        <f t="shared" ref="AF160:AJ160" si="382">SUM(AF155:AF159)</f>
        <v>-11</v>
      </c>
      <c r="AG160" s="293">
        <f t="shared" si="382"/>
        <v>-45</v>
      </c>
      <c r="AH160" s="583">
        <f t="shared" si="382"/>
        <v>103</v>
      </c>
      <c r="AI160" s="292">
        <f t="shared" si="382"/>
        <v>-103</v>
      </c>
      <c r="AJ160" s="261">
        <f t="shared" si="382"/>
        <v>167</v>
      </c>
      <c r="AK160" s="261">
        <f t="shared" ref="AK160:AO160" si="383">SUM(AK155:AK159)</f>
        <v>-36</v>
      </c>
      <c r="AL160" s="293">
        <f t="shared" si="383"/>
        <v>-28</v>
      </c>
      <c r="AM160" s="583">
        <f t="shared" si="383"/>
        <v>0</v>
      </c>
      <c r="AN160" s="292">
        <f t="shared" si="383"/>
        <v>114</v>
      </c>
      <c r="AO160" s="261">
        <f t="shared" si="383"/>
        <v>160</v>
      </c>
      <c r="AP160" s="261">
        <f t="shared" ref="AP160:AR160" si="384">SUM(AP155:AP159)</f>
        <v>-75</v>
      </c>
      <c r="AQ160" s="293">
        <f t="shared" si="384"/>
        <v>20</v>
      </c>
      <c r="AR160" s="583">
        <f t="shared" si="384"/>
        <v>219</v>
      </c>
      <c r="AS160" s="292">
        <f t="shared" si="378"/>
        <v>-16.25</v>
      </c>
      <c r="AT160" s="261">
        <f t="shared" si="378"/>
        <v>-16.25</v>
      </c>
      <c r="AU160" s="261">
        <f t="shared" si="378"/>
        <v>228.75</v>
      </c>
      <c r="AV160" s="293">
        <f t="shared" si="378"/>
        <v>-16.25</v>
      </c>
      <c r="AW160" s="228">
        <f t="shared" si="378"/>
        <v>180</v>
      </c>
      <c r="AX160" s="292">
        <f t="shared" ref="AX160:BG160" si="385">SUM(AX155:AX159)</f>
        <v>-12.5</v>
      </c>
      <c r="AY160" s="261">
        <f t="shared" si="385"/>
        <v>-12.5</v>
      </c>
      <c r="AZ160" s="261">
        <f t="shared" si="385"/>
        <v>152.5</v>
      </c>
      <c r="BA160" s="293">
        <f t="shared" si="385"/>
        <v>-12.5</v>
      </c>
      <c r="BB160" s="228">
        <f t="shared" si="385"/>
        <v>115</v>
      </c>
      <c r="BC160" s="292">
        <f t="shared" si="385"/>
        <v>-6.25</v>
      </c>
      <c r="BD160" s="261">
        <f t="shared" si="385"/>
        <v>-6.25</v>
      </c>
      <c r="BE160" s="261">
        <f t="shared" si="385"/>
        <v>208.75</v>
      </c>
      <c r="BF160" s="293">
        <f t="shared" si="385"/>
        <v>-6.25</v>
      </c>
      <c r="BG160" s="228">
        <f t="shared" si="385"/>
        <v>190</v>
      </c>
      <c r="BH160" s="292">
        <f t="shared" ref="BH160:BL160" si="386">SUM(BH155:BH159)</f>
        <v>-7.5</v>
      </c>
      <c r="BI160" s="261">
        <f t="shared" si="386"/>
        <v>-7.5</v>
      </c>
      <c r="BJ160" s="261">
        <f t="shared" si="386"/>
        <v>232.5</v>
      </c>
      <c r="BK160" s="293">
        <f t="shared" si="386"/>
        <v>-7.5</v>
      </c>
      <c r="BL160" s="228">
        <f t="shared" si="386"/>
        <v>210</v>
      </c>
      <c r="BM160" s="45"/>
      <c r="BN160" s="45"/>
      <c r="BO160" s="45"/>
      <c r="BP160" s="45"/>
      <c r="BQ160" s="45"/>
      <c r="BR160" s="45"/>
      <c r="BS160" s="45"/>
      <c r="BT160" s="45"/>
      <c r="BU160" s="45"/>
      <c r="BV160" s="45"/>
      <c r="BW160" s="45"/>
      <c r="BX160" s="45"/>
      <c r="BY160" s="45"/>
      <c r="BZ160" s="45"/>
      <c r="CA160" s="45"/>
      <c r="CB160" s="228">
        <f t="shared" ref="CB160:DB160" si="387">SUM(CB155:CB159)</f>
        <v>0</v>
      </c>
      <c r="CC160" s="228">
        <f t="shared" si="387"/>
        <v>0</v>
      </c>
      <c r="CD160" s="228">
        <f t="shared" si="387"/>
        <v>0</v>
      </c>
      <c r="CE160" s="228">
        <f t="shared" si="387"/>
        <v>0</v>
      </c>
      <c r="CF160" s="228">
        <f t="shared" si="387"/>
        <v>0</v>
      </c>
      <c r="CG160" s="228">
        <f t="shared" si="387"/>
        <v>0</v>
      </c>
      <c r="CH160" s="228">
        <f t="shared" si="387"/>
        <v>0</v>
      </c>
      <c r="CI160" s="228">
        <f t="shared" si="387"/>
        <v>0</v>
      </c>
      <c r="CJ160" s="228">
        <f t="shared" si="387"/>
        <v>-140</v>
      </c>
      <c r="CK160" s="228">
        <f t="shared" si="387"/>
        <v>-140</v>
      </c>
      <c r="CL160" s="228">
        <f t="shared" si="387"/>
        <v>0</v>
      </c>
      <c r="CM160" s="228">
        <f t="shared" si="387"/>
        <v>-5</v>
      </c>
      <c r="CN160" s="228">
        <f t="shared" si="387"/>
        <v>-3</v>
      </c>
      <c r="CO160" s="228">
        <f t="shared" si="387"/>
        <v>47</v>
      </c>
      <c r="CP160" s="228">
        <f t="shared" si="387"/>
        <v>47</v>
      </c>
      <c r="CQ160" s="228">
        <f t="shared" si="387"/>
        <v>135</v>
      </c>
      <c r="CR160" s="228">
        <f t="shared" si="387"/>
        <v>241</v>
      </c>
      <c r="CS160" s="228">
        <f t="shared" si="387"/>
        <v>230</v>
      </c>
      <c r="CT160" s="228">
        <f t="shared" si="387"/>
        <v>324</v>
      </c>
      <c r="CU160" s="228">
        <f t="shared" si="387"/>
        <v>324</v>
      </c>
      <c r="CV160" s="228">
        <f t="shared" si="387"/>
        <v>178</v>
      </c>
      <c r="CW160" s="228">
        <f t="shared" si="387"/>
        <v>166</v>
      </c>
      <c r="CX160" s="228">
        <f t="shared" si="387"/>
        <v>170</v>
      </c>
      <c r="CY160" s="228">
        <f t="shared" si="387"/>
        <v>234</v>
      </c>
      <c r="CZ160" s="228">
        <f t="shared" si="387"/>
        <v>234</v>
      </c>
      <c r="DA160" s="228">
        <f t="shared" si="387"/>
        <v>148</v>
      </c>
      <c r="DB160" s="228">
        <f t="shared" si="387"/>
        <v>102</v>
      </c>
      <c r="DC160" s="228">
        <f t="shared" ref="DC160:DG160" si="388">SUM(DC155:DC159)</f>
        <v>110</v>
      </c>
      <c r="DD160" s="228">
        <f t="shared" si="388"/>
        <v>171</v>
      </c>
      <c r="DE160" s="228">
        <f t="shared" si="388"/>
        <v>171</v>
      </c>
      <c r="DF160" s="228">
        <f t="shared" si="388"/>
        <v>200</v>
      </c>
      <c r="DG160" s="228">
        <f t="shared" si="388"/>
        <v>159</v>
      </c>
      <c r="DH160" s="228">
        <f t="shared" ref="DH160:DL160" si="389">SUM(DH155:DH159)</f>
        <v>148</v>
      </c>
      <c r="DI160" s="228">
        <f t="shared" si="389"/>
        <v>103</v>
      </c>
      <c r="DJ160" s="228">
        <f t="shared" si="389"/>
        <v>103</v>
      </c>
      <c r="DK160" s="228">
        <f t="shared" si="389"/>
        <v>-103</v>
      </c>
      <c r="DL160" s="228">
        <f t="shared" si="389"/>
        <v>64</v>
      </c>
      <c r="DM160" s="228">
        <f t="shared" ref="DM160:DR160" si="390">SUM(DM155:DM159)</f>
        <v>28</v>
      </c>
      <c r="DN160" s="228">
        <f t="shared" si="390"/>
        <v>0</v>
      </c>
      <c r="DO160" s="228">
        <f t="shared" si="390"/>
        <v>0</v>
      </c>
      <c r="DP160" s="228">
        <f t="shared" si="390"/>
        <v>114</v>
      </c>
      <c r="DQ160" s="228">
        <f t="shared" si="390"/>
        <v>274</v>
      </c>
      <c r="DR160" s="228">
        <f t="shared" si="390"/>
        <v>199</v>
      </c>
      <c r="DS160" s="228">
        <f t="shared" ref="DS160:DT160" si="391">SUM(DS155:DS159)</f>
        <v>219</v>
      </c>
      <c r="DT160" s="228">
        <f t="shared" si="391"/>
        <v>219</v>
      </c>
    </row>
    <row r="161" spans="1:124">
      <c r="A161" s="45"/>
      <c r="B161" s="45"/>
      <c r="C161" s="391"/>
      <c r="D161" s="45"/>
      <c r="E161" s="290"/>
      <c r="F161" s="260"/>
      <c r="G161" s="260"/>
      <c r="H161" s="291"/>
      <c r="I161" s="647">
        <f t="shared" si="297"/>
        <v>0</v>
      </c>
      <c r="J161" s="290"/>
      <c r="K161" s="260"/>
      <c r="L161" s="260"/>
      <c r="M161" s="291"/>
      <c r="N161" s="647"/>
      <c r="O161" s="290"/>
      <c r="P161" s="260"/>
      <c r="Q161" s="260"/>
      <c r="R161" s="291"/>
      <c r="S161" s="647"/>
      <c r="T161" s="290"/>
      <c r="U161" s="260"/>
      <c r="V161" s="260"/>
      <c r="W161" s="291"/>
      <c r="X161" s="647"/>
      <c r="Y161" s="290"/>
      <c r="Z161" s="260"/>
      <c r="AA161" s="260"/>
      <c r="AB161" s="291"/>
      <c r="AC161" s="647"/>
      <c r="AD161" s="290"/>
      <c r="AE161" s="260"/>
      <c r="AF161" s="260"/>
      <c r="AG161" s="291"/>
      <c r="AH161" s="647"/>
      <c r="AI161" s="290"/>
      <c r="AJ161" s="260"/>
      <c r="AK161" s="260"/>
      <c r="AL161" s="291"/>
      <c r="AM161" s="647"/>
      <c r="AN161" s="290"/>
      <c r="AO161" s="260"/>
      <c r="AP161" s="260"/>
      <c r="AQ161" s="291"/>
      <c r="AR161" s="647"/>
      <c r="AS161" s="290"/>
      <c r="AT161" s="260"/>
      <c r="AU161" s="260"/>
      <c r="AV161" s="291"/>
      <c r="AW161" s="45"/>
      <c r="AX161" s="290"/>
      <c r="AY161" s="260"/>
      <c r="AZ161" s="260"/>
      <c r="BA161" s="291"/>
      <c r="BB161" s="45"/>
      <c r="BC161" s="290"/>
      <c r="BD161" s="260"/>
      <c r="BE161" s="260"/>
      <c r="BF161" s="291"/>
      <c r="BG161" s="45"/>
      <c r="BH161" s="290"/>
      <c r="BI161" s="260"/>
      <c r="BJ161" s="260"/>
      <c r="BK161" s="291"/>
      <c r="BL161" s="45"/>
      <c r="BM161" s="45"/>
      <c r="BN161" s="45"/>
      <c r="BO161" s="45"/>
      <c r="BP161" s="45"/>
      <c r="BQ161" s="45"/>
      <c r="BR161" s="45"/>
      <c r="BS161" s="45"/>
      <c r="BT161" s="45"/>
      <c r="BU161" s="45"/>
      <c r="BV161" s="45"/>
      <c r="BW161" s="45"/>
      <c r="BX161" s="45"/>
      <c r="BY161" s="45"/>
      <c r="BZ161" s="45"/>
      <c r="CA161" s="45"/>
      <c r="CB161" s="228"/>
      <c r="CC161" s="228"/>
      <c r="CD161" s="228"/>
      <c r="CE161" s="228"/>
      <c r="CF161" s="228"/>
      <c r="CG161" s="228"/>
      <c r="CH161" s="228"/>
      <c r="CI161" s="228"/>
      <c r="CJ161" s="228"/>
      <c r="CK161" s="228"/>
      <c r="CL161" s="228"/>
      <c r="CM161" s="228"/>
      <c r="CN161" s="228"/>
      <c r="CO161" s="228"/>
      <c r="CP161" s="228"/>
      <c r="CQ161" s="228"/>
      <c r="CR161" s="228"/>
      <c r="CS161" s="228"/>
      <c r="CT161" s="228"/>
      <c r="CU161" s="228"/>
      <c r="CV161" s="228"/>
      <c r="CW161" s="228"/>
      <c r="CX161" s="228"/>
      <c r="CY161" s="228"/>
      <c r="CZ161" s="228"/>
      <c r="DA161" s="228"/>
      <c r="DB161" s="228"/>
      <c r="DC161" s="228"/>
      <c r="DD161" s="228"/>
      <c r="DE161" s="228"/>
      <c r="DF161" s="228"/>
      <c r="DG161" s="228"/>
      <c r="DH161" s="228"/>
      <c r="DI161" s="228"/>
      <c r="DJ161" s="228"/>
      <c r="DK161" s="228"/>
      <c r="DL161" s="228"/>
      <c r="DM161" s="228"/>
      <c r="DN161" s="228"/>
      <c r="DO161" s="228"/>
      <c r="DP161" s="228"/>
      <c r="DQ161" s="228"/>
      <c r="DR161" s="228"/>
      <c r="DS161" s="228"/>
      <c r="DT161" s="228"/>
    </row>
    <row r="162" spans="1:124">
      <c r="A162" s="45"/>
      <c r="B162" s="45"/>
      <c r="C162" s="389" t="s">
        <v>154</v>
      </c>
      <c r="D162" s="45"/>
      <c r="E162" s="292"/>
      <c r="F162" s="261"/>
      <c r="G162" s="261"/>
      <c r="H162" s="293"/>
      <c r="I162" s="583">
        <f t="shared" ref="I162:AW162" si="392">+I148+I153+I160</f>
        <v>-125</v>
      </c>
      <c r="J162" s="292">
        <f t="shared" si="392"/>
        <v>28</v>
      </c>
      <c r="K162" s="261">
        <f t="shared" si="392"/>
        <v>-58</v>
      </c>
      <c r="L162" s="261">
        <f t="shared" si="392"/>
        <v>12</v>
      </c>
      <c r="M162" s="293">
        <f t="shared" si="392"/>
        <v>-58</v>
      </c>
      <c r="N162" s="583">
        <f t="shared" si="392"/>
        <v>-76</v>
      </c>
      <c r="O162" s="292">
        <f t="shared" si="392"/>
        <v>-5</v>
      </c>
      <c r="P162" s="261">
        <f t="shared" si="392"/>
        <v>0</v>
      </c>
      <c r="Q162" s="261">
        <f t="shared" si="392"/>
        <v>-2</v>
      </c>
      <c r="R162" s="293">
        <f t="shared" si="392"/>
        <v>4</v>
      </c>
      <c r="S162" s="583">
        <f t="shared" si="392"/>
        <v>-3</v>
      </c>
      <c r="T162" s="292">
        <f t="shared" si="392"/>
        <v>88</v>
      </c>
      <c r="U162" s="261">
        <f t="shared" si="392"/>
        <v>-91</v>
      </c>
      <c r="V162" s="261">
        <f t="shared" si="392"/>
        <v>2</v>
      </c>
      <c r="W162" s="293">
        <f t="shared" si="392"/>
        <v>1</v>
      </c>
      <c r="X162" s="583">
        <f t="shared" si="392"/>
        <v>0</v>
      </c>
      <c r="Y162" s="292">
        <f t="shared" si="392"/>
        <v>96</v>
      </c>
      <c r="Z162" s="261">
        <f t="shared" si="392"/>
        <v>-78</v>
      </c>
      <c r="AA162" s="261">
        <f t="shared" ref="AA162:AE162" si="393">+AA148+AA153+AA160</f>
        <v>45</v>
      </c>
      <c r="AB162" s="293">
        <f t="shared" si="393"/>
        <v>-66</v>
      </c>
      <c r="AC162" s="583">
        <f t="shared" si="393"/>
        <v>-3</v>
      </c>
      <c r="AD162" s="292">
        <f t="shared" si="393"/>
        <v>120</v>
      </c>
      <c r="AE162" s="261">
        <f t="shared" si="393"/>
        <v>-104</v>
      </c>
      <c r="AF162" s="261">
        <f t="shared" ref="AF162:AJ162" si="394">+AF148+AF153+AF160</f>
        <v>-12</v>
      </c>
      <c r="AG162" s="293">
        <f t="shared" si="394"/>
        <v>-5</v>
      </c>
      <c r="AH162" s="583">
        <f t="shared" si="394"/>
        <v>-1</v>
      </c>
      <c r="AI162" s="292">
        <f t="shared" si="394"/>
        <v>19</v>
      </c>
      <c r="AJ162" s="261">
        <f t="shared" si="394"/>
        <v>103</v>
      </c>
      <c r="AK162" s="261">
        <f t="shared" ref="AK162:AO162" si="395">+AK148+AK153+AK160</f>
        <v>-25</v>
      </c>
      <c r="AL162" s="293">
        <f t="shared" si="395"/>
        <v>-93</v>
      </c>
      <c r="AM162" s="583">
        <f t="shared" si="395"/>
        <v>4</v>
      </c>
      <c r="AN162" s="292">
        <f t="shared" si="395"/>
        <v>-1</v>
      </c>
      <c r="AO162" s="261">
        <f t="shared" si="395"/>
        <v>111</v>
      </c>
      <c r="AP162" s="261">
        <f t="shared" ref="AP162:AR162" si="396">+AP148+AP153+AP160</f>
        <v>-2</v>
      </c>
      <c r="AQ162" s="293">
        <f t="shared" si="396"/>
        <v>-112</v>
      </c>
      <c r="AR162" s="583">
        <f t="shared" si="396"/>
        <v>-4</v>
      </c>
      <c r="AS162" s="292">
        <f t="shared" ca="1" si="392"/>
        <v>-67.106364541150128</v>
      </c>
      <c r="AT162" s="261">
        <f t="shared" ca="1" si="392"/>
        <v>-66.271880452019758</v>
      </c>
      <c r="AU162" s="261">
        <f t="shared" ca="1" si="392"/>
        <v>228.62113439549643</v>
      </c>
      <c r="AV162" s="293">
        <f t="shared" ca="1" si="392"/>
        <v>-66.038428257256157</v>
      </c>
      <c r="AW162" s="228">
        <f t="shared" ca="1" si="392"/>
        <v>29.204461145070354</v>
      </c>
      <c r="AX162" s="292">
        <f t="shared" ref="AX162:BG162" ca="1" si="397">+AX148+AX153+AX160</f>
        <v>-59.090724260627155</v>
      </c>
      <c r="AY162" s="261">
        <f t="shared" ca="1" si="397"/>
        <v>-57.865803688842675</v>
      </c>
      <c r="AZ162" s="261">
        <f t="shared" ca="1" si="397"/>
        <v>165.43806997270465</v>
      </c>
      <c r="BA162" s="293">
        <f t="shared" ca="1" si="397"/>
        <v>-47.953050196182403</v>
      </c>
      <c r="BB162" s="228">
        <f t="shared" ca="1" si="397"/>
        <v>0.52849182705244857</v>
      </c>
      <c r="BC162" s="292">
        <f t="shared" ca="1" si="397"/>
        <v>-71.853002942742904</v>
      </c>
      <c r="BD162" s="261">
        <f t="shared" ca="1" si="397"/>
        <v>-70.46940956697469</v>
      </c>
      <c r="BE162" s="261">
        <f t="shared" ca="1" si="397"/>
        <v>201.30588326270416</v>
      </c>
      <c r="BF162" s="293">
        <f t="shared" ca="1" si="397"/>
        <v>-60.055555978416862</v>
      </c>
      <c r="BG162" s="228">
        <f t="shared" ca="1" si="397"/>
        <v>-1.0720852254303281</v>
      </c>
      <c r="BH162" s="292">
        <f t="shared" ref="BH162:BL162" ca="1" si="398">+BH148+BH153+BH160</f>
        <v>-77.66601941540975</v>
      </c>
      <c r="BI162" s="261">
        <f t="shared" ca="1" si="398"/>
        <v>-75.867120652826344</v>
      </c>
      <c r="BJ162" s="261">
        <f t="shared" ca="1" si="398"/>
        <v>217.77341076910307</v>
      </c>
      <c r="BK162" s="293">
        <f t="shared" ca="1" si="398"/>
        <v>-66.789648438361723</v>
      </c>
      <c r="BL162" s="228">
        <f t="shared" ca="1" si="398"/>
        <v>-2.5493777374947513</v>
      </c>
      <c r="BM162" s="45"/>
      <c r="BN162" s="45"/>
      <c r="BO162" s="45"/>
      <c r="BP162" s="45"/>
      <c r="BQ162" s="45"/>
      <c r="BR162" s="45"/>
      <c r="BS162" s="45"/>
      <c r="BT162" s="45"/>
      <c r="BU162" s="45"/>
      <c r="BV162" s="45"/>
      <c r="BW162" s="45"/>
      <c r="BX162" s="45"/>
      <c r="BY162" s="45"/>
      <c r="BZ162" s="45"/>
      <c r="CA162" s="45"/>
      <c r="CB162" s="228">
        <f t="shared" ref="CB162:DB162" si="399">CB148+CB153+CB160</f>
        <v>0</v>
      </c>
      <c r="CC162" s="228">
        <f t="shared" si="399"/>
        <v>0</v>
      </c>
      <c r="CD162" s="228">
        <f t="shared" si="399"/>
        <v>0</v>
      </c>
      <c r="CE162" s="228">
        <f t="shared" si="399"/>
        <v>0</v>
      </c>
      <c r="CF162" s="228">
        <f t="shared" si="399"/>
        <v>0</v>
      </c>
      <c r="CG162" s="228">
        <f t="shared" si="399"/>
        <v>0</v>
      </c>
      <c r="CH162" s="228">
        <f t="shared" si="399"/>
        <v>0</v>
      </c>
      <c r="CI162" s="228">
        <f t="shared" si="399"/>
        <v>0</v>
      </c>
      <c r="CJ162" s="228">
        <f t="shared" si="399"/>
        <v>-125</v>
      </c>
      <c r="CK162" s="228">
        <f t="shared" si="399"/>
        <v>-125</v>
      </c>
      <c r="CL162" s="228">
        <f t="shared" si="399"/>
        <v>28</v>
      </c>
      <c r="CM162" s="228">
        <f t="shared" si="399"/>
        <v>-30</v>
      </c>
      <c r="CN162" s="228">
        <f t="shared" si="399"/>
        <v>-18</v>
      </c>
      <c r="CO162" s="228">
        <f t="shared" si="399"/>
        <v>-76</v>
      </c>
      <c r="CP162" s="228">
        <f t="shared" si="399"/>
        <v>-76</v>
      </c>
      <c r="CQ162" s="228">
        <f t="shared" si="399"/>
        <v>-5</v>
      </c>
      <c r="CR162" s="228">
        <f t="shared" si="399"/>
        <v>-5</v>
      </c>
      <c r="CS162" s="228">
        <f t="shared" si="399"/>
        <v>-7</v>
      </c>
      <c r="CT162" s="228">
        <f t="shared" si="399"/>
        <v>-3</v>
      </c>
      <c r="CU162" s="228">
        <f t="shared" si="399"/>
        <v>-3</v>
      </c>
      <c r="CV162" s="228">
        <f t="shared" si="399"/>
        <v>88</v>
      </c>
      <c r="CW162" s="228">
        <f t="shared" si="399"/>
        <v>-3</v>
      </c>
      <c r="CX162" s="228">
        <f t="shared" si="399"/>
        <v>-1</v>
      </c>
      <c r="CY162" s="228">
        <f t="shared" si="399"/>
        <v>0</v>
      </c>
      <c r="CZ162" s="228">
        <f t="shared" si="399"/>
        <v>0</v>
      </c>
      <c r="DA162" s="228">
        <f t="shared" si="399"/>
        <v>96</v>
      </c>
      <c r="DB162" s="228">
        <f t="shared" si="399"/>
        <v>18</v>
      </c>
      <c r="DC162" s="228">
        <f t="shared" ref="DC162:DG162" si="400">DC148+DC153+DC160</f>
        <v>63</v>
      </c>
      <c r="DD162" s="228">
        <f t="shared" si="400"/>
        <v>-3</v>
      </c>
      <c r="DE162" s="228">
        <f t="shared" si="400"/>
        <v>-3</v>
      </c>
      <c r="DF162" s="228">
        <f t="shared" si="400"/>
        <v>120</v>
      </c>
      <c r="DG162" s="228">
        <f t="shared" si="400"/>
        <v>16</v>
      </c>
      <c r="DH162" s="228">
        <f t="shared" ref="DH162:DL162" si="401">DH148+DH153+DH160</f>
        <v>4</v>
      </c>
      <c r="DI162" s="228">
        <f t="shared" si="401"/>
        <v>-1</v>
      </c>
      <c r="DJ162" s="228">
        <f t="shared" si="401"/>
        <v>-1</v>
      </c>
      <c r="DK162" s="228">
        <f t="shared" si="401"/>
        <v>19</v>
      </c>
      <c r="DL162" s="228">
        <f t="shared" si="401"/>
        <v>122</v>
      </c>
      <c r="DM162" s="228">
        <f t="shared" ref="DM162:DQ162" si="402">DM148+DM153+DM160</f>
        <v>97</v>
      </c>
      <c r="DN162" s="228">
        <f t="shared" si="402"/>
        <v>4</v>
      </c>
      <c r="DO162" s="228">
        <f t="shared" si="402"/>
        <v>4</v>
      </c>
      <c r="DP162" s="228">
        <f t="shared" si="402"/>
        <v>-1</v>
      </c>
      <c r="DQ162" s="228">
        <f t="shared" si="402"/>
        <v>110</v>
      </c>
      <c r="DR162" s="228">
        <f t="shared" ref="DR162:DT162" si="403">DR148+DR153+DR160</f>
        <v>108</v>
      </c>
      <c r="DS162" s="228">
        <f t="shared" si="403"/>
        <v>-4</v>
      </c>
      <c r="DT162" s="228">
        <f t="shared" si="403"/>
        <v>-4</v>
      </c>
    </row>
    <row r="163" spans="1:124">
      <c r="A163" s="45"/>
      <c r="B163" s="45"/>
      <c r="C163" s="391" t="s">
        <v>155</v>
      </c>
      <c r="D163" s="45"/>
      <c r="E163" s="290"/>
      <c r="F163" s="260"/>
      <c r="G163" s="260"/>
      <c r="H163" s="291"/>
      <c r="I163" s="339">
        <v>213</v>
      </c>
      <c r="J163" s="290">
        <f>+I165</f>
        <v>88</v>
      </c>
      <c r="K163" s="260">
        <f>+J165</f>
        <v>116</v>
      </c>
      <c r="L163" s="260">
        <f>+K165</f>
        <v>58</v>
      </c>
      <c r="M163" s="291">
        <f>L165</f>
        <v>70</v>
      </c>
      <c r="N163" s="647">
        <f>+CP163</f>
        <v>88</v>
      </c>
      <c r="O163" s="290">
        <f>+N165</f>
        <v>12</v>
      </c>
      <c r="P163" s="260">
        <f>+O165</f>
        <v>7</v>
      </c>
      <c r="Q163" s="260">
        <f>+P165</f>
        <v>7</v>
      </c>
      <c r="R163" s="291">
        <f>Q165</f>
        <v>5</v>
      </c>
      <c r="S163" s="647">
        <f>+O163</f>
        <v>12</v>
      </c>
      <c r="T163" s="290">
        <f>+S165</f>
        <v>9</v>
      </c>
      <c r="U163" s="260">
        <f>+T165</f>
        <v>97</v>
      </c>
      <c r="V163" s="260">
        <f>+U165</f>
        <v>6</v>
      </c>
      <c r="W163" s="291">
        <f>V165</f>
        <v>8</v>
      </c>
      <c r="X163" s="647">
        <f>+T163</f>
        <v>9</v>
      </c>
      <c r="Y163" s="290">
        <f>+X165</f>
        <v>9</v>
      </c>
      <c r="Z163" s="260">
        <f>+Y165</f>
        <v>105</v>
      </c>
      <c r="AA163" s="260">
        <f>+Z165</f>
        <v>27</v>
      </c>
      <c r="AB163" s="291">
        <f>AA165</f>
        <v>72</v>
      </c>
      <c r="AC163" s="647">
        <f>+Y163</f>
        <v>9</v>
      </c>
      <c r="AD163" s="290">
        <f>+AC165</f>
        <v>6</v>
      </c>
      <c r="AE163" s="260">
        <f>+AD165</f>
        <v>126</v>
      </c>
      <c r="AF163" s="260">
        <f>+AE165</f>
        <v>22</v>
      </c>
      <c r="AG163" s="291">
        <f>AF165</f>
        <v>10</v>
      </c>
      <c r="AH163" s="647">
        <f>+AD163</f>
        <v>6</v>
      </c>
      <c r="AI163" s="290">
        <f>+AH165</f>
        <v>5</v>
      </c>
      <c r="AJ163" s="260">
        <f>+AI165</f>
        <v>24</v>
      </c>
      <c r="AK163" s="260">
        <f>+AJ165</f>
        <v>127</v>
      </c>
      <c r="AL163" s="291">
        <f>AK165</f>
        <v>102</v>
      </c>
      <c r="AM163" s="647">
        <f>+AI163</f>
        <v>5</v>
      </c>
      <c r="AN163" s="290">
        <f>+AM165</f>
        <v>9</v>
      </c>
      <c r="AO163" s="260">
        <f>+AN165</f>
        <v>8</v>
      </c>
      <c r="AP163" s="260">
        <f t="shared" ref="AP163" si="404">+AO165</f>
        <v>119</v>
      </c>
      <c r="AQ163" s="291">
        <f>AP165</f>
        <v>117</v>
      </c>
      <c r="AR163" s="647">
        <f>+AN163</f>
        <v>9</v>
      </c>
      <c r="AS163" s="290">
        <f>+AR165</f>
        <v>5</v>
      </c>
      <c r="AT163" s="260">
        <f ca="1">+AS165</f>
        <v>0</v>
      </c>
      <c r="AU163" s="260">
        <f ca="1">+AT165</f>
        <v>0</v>
      </c>
      <c r="AV163" s="291">
        <f ca="1">+AU165</f>
        <v>74.24288940232654</v>
      </c>
      <c r="AW163" s="45">
        <f>+AR165</f>
        <v>5</v>
      </c>
      <c r="AX163" s="290">
        <f ca="1">+AW165</f>
        <v>8.2044611450703542</v>
      </c>
      <c r="AY163" s="260">
        <f ca="1">+AX165</f>
        <v>0</v>
      </c>
      <c r="AZ163" s="260">
        <f ca="1">+AY165</f>
        <v>0</v>
      </c>
      <c r="BA163" s="291">
        <f ca="1">+AZ165</f>
        <v>56.686003168305177</v>
      </c>
      <c r="BB163" s="45">
        <f ca="1">+AW165</f>
        <v>8.2044611450703542</v>
      </c>
      <c r="BC163" s="290">
        <f ca="1">+BB165</f>
        <v>8.7329529721228027</v>
      </c>
      <c r="BD163" s="260">
        <f ca="1">+BC165</f>
        <v>0</v>
      </c>
      <c r="BE163" s="260">
        <f ca="1">+BD165</f>
        <v>0</v>
      </c>
      <c r="BF163" s="291">
        <f ca="1">+BE165</f>
        <v>67.716423725109365</v>
      </c>
      <c r="BG163" s="45">
        <f ca="1">+BB165</f>
        <v>8.7329529721228027</v>
      </c>
      <c r="BH163" s="290">
        <f ca="1">+BG165</f>
        <v>7.6608677466924746</v>
      </c>
      <c r="BI163" s="260">
        <f ca="1">+BH165</f>
        <v>0</v>
      </c>
      <c r="BJ163" s="260">
        <f ca="1">+BI165</f>
        <v>0</v>
      </c>
      <c r="BK163" s="291">
        <f ca="1">+BJ165</f>
        <v>71.901138447559447</v>
      </c>
      <c r="BL163" s="45">
        <f ca="1">+BG165</f>
        <v>7.6608677466924746</v>
      </c>
      <c r="BM163" s="45"/>
      <c r="BN163" s="45"/>
      <c r="BO163" s="45"/>
      <c r="BP163" s="45"/>
      <c r="BQ163" s="45"/>
      <c r="BR163" s="45"/>
      <c r="BS163" s="45"/>
      <c r="BT163" s="45"/>
      <c r="BU163" s="45"/>
      <c r="BV163" s="45"/>
      <c r="BW163" s="45"/>
      <c r="BX163" s="45"/>
      <c r="BY163" s="45"/>
      <c r="BZ163" s="45"/>
      <c r="CA163" s="45"/>
      <c r="CB163" s="339"/>
      <c r="CC163" s="647">
        <f>CB163</f>
        <v>0</v>
      </c>
      <c r="CD163" s="647">
        <f>CC163</f>
        <v>0</v>
      </c>
      <c r="CE163" s="45">
        <f>CD163</f>
        <v>0</v>
      </c>
      <c r="CF163" s="647">
        <f>CE163</f>
        <v>0</v>
      </c>
      <c r="CG163" s="647">
        <f>CF165</f>
        <v>0</v>
      </c>
      <c r="CH163" s="647">
        <f>CG163</f>
        <v>0</v>
      </c>
      <c r="CI163" s="647">
        <f>CG163</f>
        <v>0</v>
      </c>
      <c r="CJ163" s="647">
        <f>CK163</f>
        <v>213</v>
      </c>
      <c r="CK163" s="339">
        <v>213</v>
      </c>
      <c r="CL163" s="647">
        <f>CK165</f>
        <v>88</v>
      </c>
      <c r="CM163" s="647">
        <f>CL163</f>
        <v>88</v>
      </c>
      <c r="CN163" s="647">
        <f>CM163</f>
        <v>88</v>
      </c>
      <c r="CO163" s="647">
        <f>CN163</f>
        <v>88</v>
      </c>
      <c r="CP163" s="45">
        <f>CL163</f>
        <v>88</v>
      </c>
      <c r="CQ163" s="647">
        <f>CP165</f>
        <v>12</v>
      </c>
      <c r="CR163" s="647">
        <f>CQ163</f>
        <v>12</v>
      </c>
      <c r="CS163" s="647">
        <f>CR163</f>
        <v>12</v>
      </c>
      <c r="CT163" s="647">
        <f>CR163</f>
        <v>12</v>
      </c>
      <c r="CU163" s="647">
        <f>+CP165</f>
        <v>12</v>
      </c>
      <c r="CV163" s="647">
        <f>CU165</f>
        <v>9</v>
      </c>
      <c r="CW163" s="647">
        <f>CV163</f>
        <v>9</v>
      </c>
      <c r="CX163" s="647">
        <f>CW163</f>
        <v>9</v>
      </c>
      <c r="CY163" s="647">
        <f>CW163</f>
        <v>9</v>
      </c>
      <c r="CZ163" s="647">
        <f>+CU165</f>
        <v>9</v>
      </c>
      <c r="DA163" s="647">
        <f>CZ165</f>
        <v>9</v>
      </c>
      <c r="DB163" s="647">
        <f>DA163</f>
        <v>9</v>
      </c>
      <c r="DC163" s="647">
        <f>DB163</f>
        <v>9</v>
      </c>
      <c r="DD163" s="647">
        <f>DB163</f>
        <v>9</v>
      </c>
      <c r="DE163" s="647">
        <f>+CZ165</f>
        <v>9</v>
      </c>
      <c r="DF163" s="647">
        <f>DE165</f>
        <v>6</v>
      </c>
      <c r="DG163" s="647">
        <f>DF163</f>
        <v>6</v>
      </c>
      <c r="DH163" s="647">
        <f>DG163</f>
        <v>6</v>
      </c>
      <c r="DI163" s="647">
        <f>DG163</f>
        <v>6</v>
      </c>
      <c r="DJ163" s="647">
        <f>+DE165</f>
        <v>6</v>
      </c>
      <c r="DK163" s="647">
        <f>DJ165</f>
        <v>5</v>
      </c>
      <c r="DL163" s="647">
        <f>DK163</f>
        <v>5</v>
      </c>
      <c r="DM163" s="647">
        <f>DL163</f>
        <v>5</v>
      </c>
      <c r="DN163" s="647">
        <f>DL163</f>
        <v>5</v>
      </c>
      <c r="DO163" s="647">
        <f>+DJ165</f>
        <v>5</v>
      </c>
      <c r="DP163" s="647">
        <f>DO165</f>
        <v>9</v>
      </c>
      <c r="DQ163" s="647">
        <f>DP163</f>
        <v>9</v>
      </c>
      <c r="DR163" s="647">
        <f t="shared" ref="DR163" si="405">DQ163</f>
        <v>9</v>
      </c>
      <c r="DS163" s="647">
        <f>DQ163</f>
        <v>9</v>
      </c>
      <c r="DT163" s="647">
        <f>+DO165</f>
        <v>9</v>
      </c>
    </row>
    <row r="164" spans="1:124">
      <c r="A164" s="45"/>
      <c r="B164" s="45"/>
      <c r="C164" s="391" t="s">
        <v>151</v>
      </c>
      <c r="D164" s="45"/>
      <c r="E164" s="337"/>
      <c r="F164" s="338"/>
      <c r="G164" s="338"/>
      <c r="H164" s="1684"/>
      <c r="I164" s="647"/>
      <c r="J164" s="337"/>
      <c r="K164" s="338"/>
      <c r="L164" s="338"/>
      <c r="M164" s="1684"/>
      <c r="N164" s="647"/>
      <c r="O164" s="337"/>
      <c r="P164" s="338"/>
      <c r="Q164" s="338"/>
      <c r="R164" s="1684"/>
      <c r="S164" s="647"/>
      <c r="T164" s="337"/>
      <c r="U164" s="338"/>
      <c r="V164" s="338"/>
      <c r="W164" s="1684"/>
      <c r="X164" s="647"/>
      <c r="Y164" s="337"/>
      <c r="Z164" s="338"/>
      <c r="AA164" s="338"/>
      <c r="AB164" s="1684"/>
      <c r="AC164" s="647"/>
      <c r="AD164" s="337"/>
      <c r="AE164" s="338"/>
      <c r="AF164" s="338"/>
      <c r="AG164" s="1684"/>
      <c r="AH164" s="647"/>
      <c r="AI164" s="337"/>
      <c r="AJ164" s="338"/>
      <c r="AK164" s="338"/>
      <c r="AL164" s="1684"/>
      <c r="AM164" s="647"/>
      <c r="AN164" s="337"/>
      <c r="AO164" s="338"/>
      <c r="AP164" s="338"/>
      <c r="AQ164" s="1684"/>
      <c r="AR164" s="647"/>
      <c r="AS164" s="290">
        <f ca="1">IF((AS162+AS163)&gt;=AR211,-AR211,-(AS162+AS163))</f>
        <v>62.106364541150128</v>
      </c>
      <c r="AT164" s="260">
        <f ca="1">IF((AT162+AT163)&gt;=AS211,-AS211,-(AT162+AT163))</f>
        <v>66.271880452019758</v>
      </c>
      <c r="AU164" s="260">
        <f ca="1">IF((AU162+AU163)&gt;=AT211,-AT211,-(AU162+AU163))</f>
        <v>-154.37824499316989</v>
      </c>
      <c r="AV164" s="291">
        <f ca="1">IF((AV162+AV163)&gt;=AU211,-AU211,-(AV162+AV163))</f>
        <v>0</v>
      </c>
      <c r="AW164" s="45">
        <f ca="1">SUM(AS164:AV164)</f>
        <v>-26</v>
      </c>
      <c r="AX164" s="290">
        <f ca="1">IF((AX162+AX163)&gt;=AW211,-AW211,-(AX162+AX163))</f>
        <v>50.886263115556801</v>
      </c>
      <c r="AY164" s="260">
        <f ca="1">IF((AY162+AY163)&gt;=AX211,-AX211,-(AY162+AY163))</f>
        <v>57.865803688842675</v>
      </c>
      <c r="AZ164" s="260">
        <f ca="1">IF((AZ162+AZ163)&gt;=AY211,-AY211,-(AZ162+AZ163))</f>
        <v>-108.75206680439948</v>
      </c>
      <c r="BA164" s="291">
        <f ca="1">IF((BA162+BA163)&gt;=AZ211,-AZ211,-(BA162+BA163))</f>
        <v>0</v>
      </c>
      <c r="BB164" s="45">
        <f ca="1">SUM(AX164:BA164)</f>
        <v>0</v>
      </c>
      <c r="BC164" s="290">
        <f ca="1">IF((BC162+BC163)&gt;=BB211,-BB211,-(BC162+BC163))</f>
        <v>63.120049970620101</v>
      </c>
      <c r="BD164" s="260">
        <f ca="1">IF((BD162+BD163)&gt;=BC211,-BC211,-(BD162+BD163))</f>
        <v>70.46940956697469</v>
      </c>
      <c r="BE164" s="260">
        <f ca="1">IF((BE162+BE163)&gt;=BD211,-BD211,-(BE162+BE163))</f>
        <v>-133.58945953759479</v>
      </c>
      <c r="BF164" s="291">
        <f ca="1">IF((BF162+BF163)&gt;=BE211,-BE211,-(BF162+BF163))</f>
        <v>0</v>
      </c>
      <c r="BG164" s="45">
        <f ca="1">SUM(BC164:BF164)</f>
        <v>0</v>
      </c>
      <c r="BH164" s="290">
        <f ca="1">IF((BH162+BH163)&gt;=BG211,-BG211,-(BH162+BH163))</f>
        <v>70.005151668717275</v>
      </c>
      <c r="BI164" s="260">
        <f ca="1">IF((BI162+BI163)&gt;=BH211,-BH211,-(BI162+BI163))</f>
        <v>75.867120652826344</v>
      </c>
      <c r="BJ164" s="260">
        <f ca="1">IF((BJ162+BJ163)&gt;=BI211,-BI211,-(BJ162+BJ163))</f>
        <v>-145.87227232154362</v>
      </c>
      <c r="BK164" s="291">
        <f ca="1">IF((BK162+BK163)&gt;=BJ211,-BJ211,-(BK162+BK163))</f>
        <v>0</v>
      </c>
      <c r="BL164" s="45">
        <f ca="1">SUM(BH164:BK164)</f>
        <v>0</v>
      </c>
      <c r="BM164" s="45"/>
      <c r="BN164" s="45"/>
      <c r="BO164" s="45"/>
      <c r="BP164" s="45"/>
      <c r="BQ164" s="45"/>
      <c r="BR164" s="45"/>
      <c r="BS164" s="45"/>
      <c r="BT164" s="45"/>
      <c r="BU164" s="45"/>
      <c r="BV164" s="45"/>
      <c r="BW164" s="45"/>
      <c r="BX164" s="45"/>
      <c r="BY164" s="45"/>
      <c r="BZ164" s="45"/>
      <c r="CA164" s="45"/>
      <c r="CB164" s="45"/>
      <c r="CC164" s="45"/>
      <c r="CD164" s="45"/>
      <c r="CE164" s="45"/>
      <c r="CF164" s="45">
        <v>0</v>
      </c>
      <c r="CG164" s="45"/>
      <c r="CH164" s="45"/>
      <c r="CI164" s="45"/>
      <c r="CJ164" s="45"/>
      <c r="CK164" s="45"/>
      <c r="CL164" s="45"/>
      <c r="CM164" s="45"/>
      <c r="CN164" s="45"/>
      <c r="CO164" s="45"/>
      <c r="CP164" s="45"/>
      <c r="CQ164" s="45"/>
      <c r="CR164" s="45"/>
      <c r="CS164" s="45"/>
      <c r="CT164" s="45"/>
      <c r="CU164" s="45"/>
      <c r="CV164" s="45"/>
      <c r="CW164" s="45"/>
      <c r="CX164" s="45"/>
      <c r="CY164" s="45"/>
      <c r="CZ164" s="45"/>
      <c r="DA164" s="45"/>
      <c r="DB164" s="45"/>
      <c r="DC164" s="45"/>
      <c r="DD164" s="45"/>
      <c r="DE164" s="45"/>
      <c r="DF164" s="45"/>
      <c r="DG164" s="45"/>
      <c r="DH164" s="45"/>
      <c r="DI164" s="45"/>
      <c r="DJ164" s="45"/>
      <c r="DK164" s="45"/>
      <c r="DL164" s="45"/>
      <c r="DM164" s="45"/>
      <c r="DN164" s="45"/>
      <c r="DO164" s="45"/>
      <c r="DP164" s="45"/>
      <c r="DQ164" s="45"/>
      <c r="DR164" s="45"/>
      <c r="DS164" s="45"/>
      <c r="DT164" s="45"/>
    </row>
    <row r="165" spans="1:124">
      <c r="A165" s="45"/>
      <c r="B165" s="45"/>
      <c r="C165" s="389" t="s">
        <v>221</v>
      </c>
      <c r="D165" s="45"/>
      <c r="E165" s="292"/>
      <c r="F165" s="261"/>
      <c r="G165" s="261"/>
      <c r="H165" s="293"/>
      <c r="I165" s="583">
        <f t="shared" ref="I165:AW165" si="406">I164+I163+I162</f>
        <v>88</v>
      </c>
      <c r="J165" s="292">
        <f t="shared" si="406"/>
        <v>116</v>
      </c>
      <c r="K165" s="261">
        <f t="shared" si="406"/>
        <v>58</v>
      </c>
      <c r="L165" s="261">
        <f t="shared" si="406"/>
        <v>70</v>
      </c>
      <c r="M165" s="293">
        <f t="shared" si="406"/>
        <v>12</v>
      </c>
      <c r="N165" s="583">
        <f t="shared" si="406"/>
        <v>12</v>
      </c>
      <c r="O165" s="292">
        <f t="shared" si="406"/>
        <v>7</v>
      </c>
      <c r="P165" s="261">
        <f t="shared" si="406"/>
        <v>7</v>
      </c>
      <c r="Q165" s="261">
        <f t="shared" si="406"/>
        <v>5</v>
      </c>
      <c r="R165" s="293">
        <f t="shared" si="406"/>
        <v>9</v>
      </c>
      <c r="S165" s="583">
        <f t="shared" si="406"/>
        <v>9</v>
      </c>
      <c r="T165" s="292">
        <f t="shared" si="406"/>
        <v>97</v>
      </c>
      <c r="U165" s="261">
        <f t="shared" si="406"/>
        <v>6</v>
      </c>
      <c r="V165" s="261">
        <f t="shared" si="406"/>
        <v>8</v>
      </c>
      <c r="W165" s="293">
        <f t="shared" si="406"/>
        <v>9</v>
      </c>
      <c r="X165" s="583">
        <f t="shared" si="406"/>
        <v>9</v>
      </c>
      <c r="Y165" s="292">
        <f t="shared" si="406"/>
        <v>105</v>
      </c>
      <c r="Z165" s="261">
        <f t="shared" si="406"/>
        <v>27</v>
      </c>
      <c r="AA165" s="261">
        <f t="shared" ref="AA165:AE165" si="407">AA164+AA163+AA162</f>
        <v>72</v>
      </c>
      <c r="AB165" s="293">
        <f t="shared" si="407"/>
        <v>6</v>
      </c>
      <c r="AC165" s="583">
        <f t="shared" si="407"/>
        <v>6</v>
      </c>
      <c r="AD165" s="292">
        <f t="shared" si="407"/>
        <v>126</v>
      </c>
      <c r="AE165" s="261">
        <f t="shared" si="407"/>
        <v>22</v>
      </c>
      <c r="AF165" s="261">
        <f t="shared" ref="AF165:AJ165" si="408">AF164+AF163+AF162</f>
        <v>10</v>
      </c>
      <c r="AG165" s="293">
        <f t="shared" si="408"/>
        <v>5</v>
      </c>
      <c r="AH165" s="583">
        <f t="shared" si="408"/>
        <v>5</v>
      </c>
      <c r="AI165" s="292">
        <f t="shared" si="408"/>
        <v>24</v>
      </c>
      <c r="AJ165" s="261">
        <f t="shared" si="408"/>
        <v>127</v>
      </c>
      <c r="AK165" s="261">
        <f t="shared" ref="AK165:AO165" si="409">AK164+AK163+AK162</f>
        <v>102</v>
      </c>
      <c r="AL165" s="293">
        <f t="shared" si="409"/>
        <v>9</v>
      </c>
      <c r="AM165" s="583">
        <f t="shared" si="409"/>
        <v>9</v>
      </c>
      <c r="AN165" s="292">
        <f t="shared" si="409"/>
        <v>8</v>
      </c>
      <c r="AO165" s="261">
        <f t="shared" si="409"/>
        <v>119</v>
      </c>
      <c r="AP165" s="261">
        <f t="shared" ref="AP165:AR165" si="410">AP164+AP163+AP162</f>
        <v>117</v>
      </c>
      <c r="AQ165" s="293">
        <f t="shared" si="410"/>
        <v>5</v>
      </c>
      <c r="AR165" s="583">
        <f t="shared" si="410"/>
        <v>5</v>
      </c>
      <c r="AS165" s="292">
        <f t="shared" ca="1" si="406"/>
        <v>0</v>
      </c>
      <c r="AT165" s="261">
        <f t="shared" ca="1" si="406"/>
        <v>0</v>
      </c>
      <c r="AU165" s="261">
        <f t="shared" ca="1" si="406"/>
        <v>74.24288940232654</v>
      </c>
      <c r="AV165" s="293">
        <f t="shared" ca="1" si="406"/>
        <v>8.2044611450703826</v>
      </c>
      <c r="AW165" s="228">
        <f t="shared" ca="1" si="406"/>
        <v>8.2044611450703542</v>
      </c>
      <c r="AX165" s="292">
        <f t="shared" ref="AX165:BG165" ca="1" si="411">AX164+AX163+AX162</f>
        <v>0</v>
      </c>
      <c r="AY165" s="261">
        <f t="shared" ca="1" si="411"/>
        <v>0</v>
      </c>
      <c r="AZ165" s="261">
        <f t="shared" ca="1" si="411"/>
        <v>56.686003168305177</v>
      </c>
      <c r="BA165" s="293">
        <f t="shared" ca="1" si="411"/>
        <v>8.7329529721227743</v>
      </c>
      <c r="BB165" s="228">
        <f t="shared" ca="1" si="411"/>
        <v>8.7329529721228027</v>
      </c>
      <c r="BC165" s="292">
        <f t="shared" ca="1" si="411"/>
        <v>0</v>
      </c>
      <c r="BD165" s="261">
        <f t="shared" ca="1" si="411"/>
        <v>0</v>
      </c>
      <c r="BE165" s="261">
        <f t="shared" ca="1" si="411"/>
        <v>67.716423725109365</v>
      </c>
      <c r="BF165" s="293">
        <f t="shared" ca="1" si="411"/>
        <v>7.660867746692503</v>
      </c>
      <c r="BG165" s="228">
        <f t="shared" ca="1" si="411"/>
        <v>7.6608677466924746</v>
      </c>
      <c r="BH165" s="292">
        <f t="shared" ref="BH165:BL165" ca="1" si="412">BH164+BH163+BH162</f>
        <v>0</v>
      </c>
      <c r="BI165" s="261">
        <f t="shared" ca="1" si="412"/>
        <v>0</v>
      </c>
      <c r="BJ165" s="261">
        <f t="shared" ca="1" si="412"/>
        <v>71.901138447559447</v>
      </c>
      <c r="BK165" s="293">
        <f t="shared" ca="1" si="412"/>
        <v>5.1114900091977233</v>
      </c>
      <c r="BL165" s="228">
        <f t="shared" ca="1" si="412"/>
        <v>5.1114900091977233</v>
      </c>
      <c r="BM165" s="45"/>
      <c r="BN165" s="45"/>
      <c r="BO165" s="45"/>
      <c r="BP165" s="45"/>
      <c r="BQ165" s="45"/>
      <c r="BR165" s="45"/>
      <c r="BS165" s="45"/>
      <c r="BT165" s="45"/>
      <c r="BU165" s="45"/>
      <c r="BV165" s="45"/>
      <c r="BW165" s="45"/>
      <c r="BX165" s="45"/>
      <c r="BY165" s="45"/>
      <c r="BZ165" s="45"/>
      <c r="CA165" s="45"/>
      <c r="CB165" s="583">
        <f t="shared" ref="CB165:DB165" si="413">CB162+CB163+CB164</f>
        <v>0</v>
      </c>
      <c r="CC165" s="583">
        <f t="shared" si="413"/>
        <v>0</v>
      </c>
      <c r="CD165" s="583">
        <f t="shared" si="413"/>
        <v>0</v>
      </c>
      <c r="CE165" s="583">
        <f t="shared" si="413"/>
        <v>0</v>
      </c>
      <c r="CF165" s="583">
        <f t="shared" si="413"/>
        <v>0</v>
      </c>
      <c r="CG165" s="583">
        <f t="shared" si="413"/>
        <v>0</v>
      </c>
      <c r="CH165" s="583">
        <f t="shared" si="413"/>
        <v>0</v>
      </c>
      <c r="CI165" s="583">
        <f t="shared" si="413"/>
        <v>0</v>
      </c>
      <c r="CJ165" s="583">
        <f t="shared" si="413"/>
        <v>88</v>
      </c>
      <c r="CK165" s="583">
        <f t="shared" si="413"/>
        <v>88</v>
      </c>
      <c r="CL165" s="583">
        <f t="shared" si="413"/>
        <v>116</v>
      </c>
      <c r="CM165" s="583">
        <f t="shared" si="413"/>
        <v>58</v>
      </c>
      <c r="CN165" s="583">
        <f t="shared" si="413"/>
        <v>70</v>
      </c>
      <c r="CO165" s="583">
        <f t="shared" si="413"/>
        <v>12</v>
      </c>
      <c r="CP165" s="583">
        <f t="shared" si="413"/>
        <v>12</v>
      </c>
      <c r="CQ165" s="583">
        <f t="shared" si="413"/>
        <v>7</v>
      </c>
      <c r="CR165" s="583">
        <f t="shared" si="413"/>
        <v>7</v>
      </c>
      <c r="CS165" s="583">
        <f t="shared" si="413"/>
        <v>5</v>
      </c>
      <c r="CT165" s="583">
        <f t="shared" si="413"/>
        <v>9</v>
      </c>
      <c r="CU165" s="583">
        <f t="shared" si="413"/>
        <v>9</v>
      </c>
      <c r="CV165" s="583">
        <f t="shared" si="413"/>
        <v>97</v>
      </c>
      <c r="CW165" s="583">
        <f t="shared" si="413"/>
        <v>6</v>
      </c>
      <c r="CX165" s="583">
        <f t="shared" si="413"/>
        <v>8</v>
      </c>
      <c r="CY165" s="583">
        <f t="shared" si="413"/>
        <v>9</v>
      </c>
      <c r="CZ165" s="583">
        <f t="shared" si="413"/>
        <v>9</v>
      </c>
      <c r="DA165" s="583">
        <f t="shared" si="413"/>
        <v>105</v>
      </c>
      <c r="DB165" s="583">
        <f t="shared" si="413"/>
        <v>27</v>
      </c>
      <c r="DC165" s="583">
        <f t="shared" ref="DC165:DG165" si="414">DC162+DC163+DC164</f>
        <v>72</v>
      </c>
      <c r="DD165" s="583">
        <f t="shared" si="414"/>
        <v>6</v>
      </c>
      <c r="DE165" s="583">
        <f t="shared" si="414"/>
        <v>6</v>
      </c>
      <c r="DF165" s="583">
        <f t="shared" si="414"/>
        <v>126</v>
      </c>
      <c r="DG165" s="583">
        <f t="shared" si="414"/>
        <v>22</v>
      </c>
      <c r="DH165" s="583">
        <f t="shared" ref="DH165:DL165" si="415">DH162+DH163+DH164</f>
        <v>10</v>
      </c>
      <c r="DI165" s="583">
        <f t="shared" si="415"/>
        <v>5</v>
      </c>
      <c r="DJ165" s="583">
        <f t="shared" si="415"/>
        <v>5</v>
      </c>
      <c r="DK165" s="583">
        <f t="shared" si="415"/>
        <v>24</v>
      </c>
      <c r="DL165" s="583">
        <f t="shared" si="415"/>
        <v>127</v>
      </c>
      <c r="DM165" s="583">
        <f t="shared" ref="DM165:DQ165" si="416">DM162+DM163+DM164</f>
        <v>102</v>
      </c>
      <c r="DN165" s="583">
        <f t="shared" si="416"/>
        <v>9</v>
      </c>
      <c r="DO165" s="583">
        <f t="shared" si="416"/>
        <v>9</v>
      </c>
      <c r="DP165" s="583">
        <f t="shared" si="416"/>
        <v>8</v>
      </c>
      <c r="DQ165" s="583">
        <f t="shared" si="416"/>
        <v>119</v>
      </c>
      <c r="DR165" s="583">
        <f t="shared" ref="DR165:DT165" si="417">DR162+DR163+DR164</f>
        <v>117</v>
      </c>
      <c r="DS165" s="583">
        <f t="shared" si="417"/>
        <v>5</v>
      </c>
      <c r="DT165" s="583">
        <f t="shared" si="417"/>
        <v>5</v>
      </c>
    </row>
    <row r="166" spans="1:124">
      <c r="A166" s="1716"/>
      <c r="B166" s="1716"/>
      <c r="C166" s="1716"/>
      <c r="D166" s="1716"/>
      <c r="E166" s="1717"/>
      <c r="F166" s="1718"/>
      <c r="G166" s="1718"/>
      <c r="H166" s="1719"/>
      <c r="I166" s="1716"/>
      <c r="J166" s="1717"/>
      <c r="K166" s="1718"/>
      <c r="L166" s="1718"/>
      <c r="M166" s="1719"/>
      <c r="N166" s="1716"/>
      <c r="O166" s="1717"/>
      <c r="P166" s="1718"/>
      <c r="Q166" s="1718"/>
      <c r="R166" s="1719"/>
      <c r="S166" s="1716"/>
      <c r="T166" s="1717"/>
      <c r="U166" s="1718"/>
      <c r="V166" s="1718"/>
      <c r="W166" s="1719"/>
      <c r="X166" s="1716"/>
      <c r="Y166" s="1717"/>
      <c r="Z166" s="1718"/>
      <c r="AA166" s="1718"/>
      <c r="AB166" s="1719"/>
      <c r="AC166" s="1716"/>
      <c r="AD166" s="1717"/>
      <c r="AE166" s="1718"/>
      <c r="AF166" s="1718"/>
      <c r="AG166" s="1719"/>
      <c r="AH166" s="1716"/>
      <c r="AI166" s="1717"/>
      <c r="AJ166" s="1718"/>
      <c r="AK166" s="1718"/>
      <c r="AL166" s="1719"/>
      <c r="AM166" s="1716"/>
      <c r="AN166" s="1717"/>
      <c r="AO166" s="1718"/>
      <c r="AP166" s="1718"/>
      <c r="AQ166" s="1719"/>
      <c r="AR166" s="1716"/>
      <c r="AS166" s="1717"/>
      <c r="AT166" s="1718"/>
      <c r="AU166" s="1718"/>
      <c r="AV166" s="1719"/>
      <c r="AW166" s="1716"/>
      <c r="AX166" s="1717"/>
      <c r="AY166" s="1718"/>
      <c r="AZ166" s="1718"/>
      <c r="BA166" s="1719"/>
      <c r="BB166" s="1716"/>
      <c r="BC166" s="1717"/>
      <c r="BD166" s="1718"/>
      <c r="BE166" s="1718"/>
      <c r="BF166" s="1719"/>
      <c r="BG166" s="1716"/>
      <c r="BH166" s="1717"/>
      <c r="BI166" s="1718"/>
      <c r="BJ166" s="1718"/>
      <c r="BK166" s="1719"/>
      <c r="BL166" s="1716"/>
      <c r="BM166" s="1716"/>
      <c r="BN166" s="1716"/>
      <c r="BO166" s="1716"/>
      <c r="BP166" s="1716"/>
      <c r="BQ166" s="1716"/>
      <c r="BR166" s="1716"/>
      <c r="BS166" s="1716"/>
      <c r="BT166" s="1716"/>
      <c r="BU166" s="1716"/>
      <c r="BV166" s="1716"/>
      <c r="BW166" s="1716"/>
      <c r="BX166" s="1716"/>
      <c r="BY166" s="1716"/>
      <c r="BZ166" s="1716"/>
      <c r="CA166" s="1716"/>
      <c r="CB166" s="1716"/>
      <c r="CC166" s="1716"/>
      <c r="CD166" s="1716"/>
      <c r="CE166" s="1716"/>
      <c r="CF166" s="1716"/>
      <c r="CG166" s="1716"/>
      <c r="CH166" s="1716"/>
      <c r="CI166" s="1716"/>
      <c r="CJ166" s="1716"/>
      <c r="CK166" s="1716"/>
      <c r="CL166" s="1716"/>
      <c r="CM166" s="1716"/>
      <c r="CN166" s="1716"/>
      <c r="CO166" s="1716"/>
      <c r="CP166" s="1716"/>
    </row>
    <row r="167" spans="1:124">
      <c r="A167" s="1716"/>
      <c r="B167" s="1771" t="s">
        <v>958</v>
      </c>
      <c r="C167" s="1772"/>
      <c r="D167" s="1773"/>
      <c r="E167" s="1717"/>
      <c r="F167" s="1718"/>
      <c r="G167" s="1718"/>
      <c r="H167" s="1719"/>
      <c r="I167" s="1716"/>
      <c r="J167" s="1717"/>
      <c r="K167" s="1718"/>
      <c r="L167" s="1718"/>
      <c r="M167" s="1719"/>
      <c r="N167" s="1716"/>
      <c r="O167" s="1717"/>
      <c r="P167" s="1718"/>
      <c r="Q167" s="1718"/>
      <c r="R167" s="1719"/>
      <c r="S167" s="1716"/>
      <c r="T167" s="1717"/>
      <c r="U167" s="1718"/>
      <c r="V167" s="1718"/>
      <c r="W167" s="1719"/>
      <c r="X167" s="1716"/>
      <c r="Y167" s="1717"/>
      <c r="Z167" s="1718"/>
      <c r="AA167" s="1718"/>
      <c r="AB167" s="1719"/>
      <c r="AC167" s="1716"/>
      <c r="AD167" s="1717"/>
      <c r="AE167" s="1718"/>
      <c r="AF167" s="1718"/>
      <c r="AG167" s="1719"/>
      <c r="AH167" s="1716"/>
      <c r="AI167" s="1717"/>
      <c r="AJ167" s="1718"/>
      <c r="AK167" s="1718"/>
      <c r="AL167" s="1719"/>
      <c r="AM167" s="1716"/>
      <c r="AN167" s="1717"/>
      <c r="AO167" s="1718"/>
      <c r="AP167" s="1718"/>
      <c r="AQ167" s="1719"/>
      <c r="AR167" s="1716"/>
      <c r="AS167" s="1717"/>
      <c r="AT167" s="1718"/>
      <c r="AU167" s="1718"/>
      <c r="AV167" s="1719"/>
      <c r="AW167" s="1716"/>
      <c r="AX167" s="1717"/>
      <c r="AY167" s="1718"/>
      <c r="AZ167" s="1718"/>
      <c r="BA167" s="1719"/>
      <c r="BB167" s="1716"/>
      <c r="BC167" s="1717"/>
      <c r="BD167" s="1718"/>
      <c r="BE167" s="1718"/>
      <c r="BF167" s="1719"/>
      <c r="BG167" s="1716"/>
      <c r="BH167" s="1717"/>
      <c r="BI167" s="1718"/>
      <c r="BJ167" s="1718"/>
      <c r="BK167" s="1719"/>
      <c r="BL167" s="1716"/>
      <c r="BM167" s="1716"/>
      <c r="BN167" s="1716"/>
      <c r="BO167" s="1716"/>
      <c r="BP167" s="1716"/>
      <c r="BQ167" s="1716"/>
      <c r="BR167" s="1716"/>
      <c r="BS167" s="1716"/>
      <c r="BT167" s="1716"/>
      <c r="BU167" s="1716"/>
      <c r="BV167" s="1716"/>
      <c r="BW167" s="1716"/>
      <c r="BX167" s="1716"/>
      <c r="BY167" s="1716"/>
      <c r="BZ167" s="1716"/>
      <c r="CA167" s="1716"/>
      <c r="CB167" s="1716"/>
      <c r="CC167" s="1716"/>
      <c r="CD167" s="1716"/>
      <c r="CE167" s="1716"/>
      <c r="CF167" s="1716"/>
      <c r="CG167" s="1716"/>
      <c r="CH167" s="1716"/>
      <c r="CI167" s="1716"/>
      <c r="CJ167" s="1716"/>
      <c r="CK167" s="1716"/>
      <c r="CL167" s="1716"/>
      <c r="CM167" s="1716"/>
      <c r="CN167" s="1716"/>
      <c r="CO167" s="1716"/>
      <c r="CP167" s="1716"/>
    </row>
    <row r="168" spans="1:124">
      <c r="A168" s="1716"/>
      <c r="B168" s="1716"/>
      <c r="C168" s="1716"/>
      <c r="D168" s="1716"/>
      <c r="E168" s="1717"/>
      <c r="F168" s="1718"/>
      <c r="G168" s="1718"/>
      <c r="H168" s="1719"/>
      <c r="I168" s="1716"/>
      <c r="J168" s="1717"/>
      <c r="K168" s="1718"/>
      <c r="L168" s="1718"/>
      <c r="M168" s="1719"/>
      <c r="N168" s="1716"/>
      <c r="O168" s="1717"/>
      <c r="P168" s="1718"/>
      <c r="Q168" s="1718"/>
      <c r="R168" s="1719"/>
      <c r="S168" s="1716"/>
      <c r="T168" s="1717"/>
      <c r="U168" s="1718"/>
      <c r="V168" s="1718"/>
      <c r="W168" s="1719"/>
      <c r="X168" s="1716"/>
      <c r="Y168" s="1717"/>
      <c r="Z168" s="1718"/>
      <c r="AA168" s="1718"/>
      <c r="AB168" s="1719"/>
      <c r="AC168" s="1716"/>
      <c r="AD168" s="1717"/>
      <c r="AE168" s="1718"/>
      <c r="AF168" s="1718"/>
      <c r="AG168" s="1719"/>
      <c r="AH168" s="1716"/>
      <c r="AI168" s="1717"/>
      <c r="AJ168" s="1718"/>
      <c r="AK168" s="1718"/>
      <c r="AL168" s="1719"/>
      <c r="AM168" s="1716"/>
      <c r="AN168" s="1717"/>
      <c r="AO168" s="1718"/>
      <c r="AP168" s="1718"/>
      <c r="AQ168" s="1719"/>
      <c r="AR168" s="1716"/>
      <c r="AS168" s="1717"/>
      <c r="AT168" s="1718"/>
      <c r="AU168" s="1718"/>
      <c r="AV168" s="1719"/>
      <c r="AW168" s="1716"/>
      <c r="AX168" s="1717"/>
      <c r="AY168" s="1718"/>
      <c r="AZ168" s="1718"/>
      <c r="BA168" s="1719"/>
      <c r="BB168" s="1716"/>
      <c r="BC168" s="1717"/>
      <c r="BD168" s="1718"/>
      <c r="BE168" s="1718"/>
      <c r="BF168" s="1719"/>
      <c r="BG168" s="1716"/>
      <c r="BH168" s="1717"/>
      <c r="BI168" s="1718"/>
      <c r="BJ168" s="1718"/>
      <c r="BK168" s="1719"/>
      <c r="BL168" s="1716"/>
      <c r="BM168" s="1716"/>
      <c r="BN168" s="1716"/>
      <c r="BO168" s="1716"/>
      <c r="BP168" s="1716"/>
      <c r="BQ168" s="1716"/>
      <c r="BR168" s="1716"/>
      <c r="BS168" s="1716"/>
      <c r="BT168" s="1716"/>
      <c r="BU168" s="1716"/>
      <c r="BV168" s="1716"/>
      <c r="BW168" s="1716"/>
      <c r="BX168" s="1716"/>
      <c r="BY168" s="1716"/>
      <c r="BZ168" s="1716"/>
      <c r="CA168" s="1716"/>
      <c r="CB168" s="1716"/>
      <c r="CC168" s="1716"/>
      <c r="CD168" s="1716"/>
      <c r="CE168" s="1716"/>
      <c r="CF168" s="1716"/>
      <c r="CG168" s="1716"/>
      <c r="CH168" s="1716"/>
      <c r="CI168" s="1716"/>
      <c r="CJ168" s="1716"/>
      <c r="CK168" s="1716"/>
      <c r="CL168" s="1716"/>
      <c r="CM168" s="1716"/>
      <c r="CN168" s="1716"/>
      <c r="CO168" s="1716"/>
      <c r="CP168" s="1716"/>
    </row>
    <row r="169" spans="1:124">
      <c r="A169" s="1716"/>
      <c r="B169" s="1716"/>
      <c r="C169" s="1716" t="s">
        <v>955</v>
      </c>
      <c r="D169" s="1716"/>
      <c r="E169" s="1717"/>
      <c r="F169" s="1718"/>
      <c r="G169" s="1718"/>
      <c r="H169" s="1719"/>
      <c r="I169" s="1716"/>
      <c r="J169" s="1717"/>
      <c r="K169" s="1718"/>
      <c r="L169" s="1718"/>
      <c r="M169" s="1719"/>
      <c r="N169" s="1716"/>
      <c r="O169" s="1717"/>
      <c r="P169" s="1718"/>
      <c r="Q169" s="1718"/>
      <c r="R169" s="1719"/>
      <c r="S169" s="1716"/>
      <c r="T169" s="337">
        <v>97</v>
      </c>
      <c r="U169" s="338">
        <v>6</v>
      </c>
      <c r="V169" s="338">
        <v>8</v>
      </c>
      <c r="W169" s="1684">
        <v>9</v>
      </c>
      <c r="X169" s="647">
        <f>W169</f>
        <v>9</v>
      </c>
      <c r="Y169" s="337">
        <v>105</v>
      </c>
      <c r="Z169" s="338">
        <v>27</v>
      </c>
      <c r="AA169" s="338">
        <v>72</v>
      </c>
      <c r="AB169" s="1684">
        <v>6</v>
      </c>
      <c r="AC169" s="647">
        <f>AB169</f>
        <v>6</v>
      </c>
      <c r="AD169" s="337">
        <v>126</v>
      </c>
      <c r="AE169" s="338">
        <v>22</v>
      </c>
      <c r="AF169" s="338">
        <v>10</v>
      </c>
      <c r="AG169" s="1684">
        <v>5</v>
      </c>
      <c r="AH169" s="647">
        <f>AG169</f>
        <v>5</v>
      </c>
      <c r="AI169" s="337">
        <v>24</v>
      </c>
      <c r="AJ169" s="338">
        <v>127</v>
      </c>
      <c r="AK169" s="338">
        <v>102</v>
      </c>
      <c r="AL169" s="1684">
        <v>9</v>
      </c>
      <c r="AM169" s="647">
        <f>AL169</f>
        <v>9</v>
      </c>
      <c r="AN169" s="337">
        <v>8</v>
      </c>
      <c r="AO169" s="338">
        <v>119</v>
      </c>
      <c r="AP169" s="338">
        <v>117</v>
      </c>
      <c r="AQ169" s="1684">
        <v>5</v>
      </c>
      <c r="AR169" s="647">
        <f>AQ169</f>
        <v>5</v>
      </c>
      <c r="AS169" s="290">
        <f ca="1">AS165</f>
        <v>0</v>
      </c>
      <c r="AT169" s="260">
        <f ca="1">AT165</f>
        <v>0</v>
      </c>
      <c r="AU169" s="260">
        <f ca="1">AU165</f>
        <v>74.24288940232654</v>
      </c>
      <c r="AV169" s="291">
        <f ca="1">AV165</f>
        <v>8.2044611450703826</v>
      </c>
      <c r="AW169" s="45">
        <f ca="1">AV169</f>
        <v>8.2044611450703826</v>
      </c>
      <c r="AX169" s="290">
        <f ca="1">AX165</f>
        <v>0</v>
      </c>
      <c r="AY169" s="260">
        <f ca="1">AY165</f>
        <v>0</v>
      </c>
      <c r="AZ169" s="260">
        <f ca="1">AZ165</f>
        <v>56.686003168305177</v>
      </c>
      <c r="BA169" s="291">
        <f ca="1">BA165</f>
        <v>8.7329529721227743</v>
      </c>
      <c r="BB169" s="45">
        <f ca="1">BA169</f>
        <v>8.7329529721227743</v>
      </c>
      <c r="BC169" s="290">
        <f ca="1">BC165</f>
        <v>0</v>
      </c>
      <c r="BD169" s="260">
        <f ca="1">BD165</f>
        <v>0</v>
      </c>
      <c r="BE169" s="260">
        <f ca="1">BE165</f>
        <v>67.716423725109365</v>
      </c>
      <c r="BF169" s="291">
        <f ca="1">BF165</f>
        <v>7.660867746692503</v>
      </c>
      <c r="BG169" s="45">
        <f ca="1">BF169</f>
        <v>7.660867746692503</v>
      </c>
      <c r="BH169" s="290">
        <f ca="1">BH165</f>
        <v>0</v>
      </c>
      <c r="BI169" s="260">
        <f ca="1">BI165</f>
        <v>0</v>
      </c>
      <c r="BJ169" s="260">
        <f ca="1">BJ165</f>
        <v>71.901138447559447</v>
      </c>
      <c r="BK169" s="291">
        <f ca="1">BK165</f>
        <v>5.1114900091977233</v>
      </c>
      <c r="BL169" s="45">
        <f ca="1">BK169</f>
        <v>5.1114900091977233</v>
      </c>
      <c r="BM169" s="1716"/>
      <c r="BN169" s="1716"/>
      <c r="BO169" s="1716"/>
      <c r="BP169" s="1716"/>
      <c r="BQ169" s="1716"/>
      <c r="BR169" s="1716"/>
      <c r="BS169" s="1716"/>
      <c r="BT169" s="1716"/>
      <c r="BU169" s="1716"/>
      <c r="BV169" s="1716"/>
      <c r="BW169" s="1716"/>
      <c r="BX169" s="1716"/>
      <c r="BY169" s="1716"/>
      <c r="BZ169" s="1716"/>
      <c r="CA169" s="1716"/>
      <c r="CB169" s="1716"/>
      <c r="CC169" s="1716"/>
      <c r="CD169" s="1716"/>
      <c r="CE169" s="1716"/>
      <c r="CF169" s="1716"/>
      <c r="CG169" s="1716"/>
      <c r="CH169" s="1716"/>
      <c r="CI169" s="1716"/>
      <c r="CJ169" s="1716"/>
      <c r="CK169" s="1716"/>
      <c r="CL169" s="1716"/>
      <c r="CM169" s="1716"/>
      <c r="CN169" s="1716"/>
      <c r="CO169" s="1716"/>
      <c r="CP169" s="1716"/>
    </row>
    <row r="170" spans="1:124">
      <c r="A170" s="1716"/>
      <c r="B170" s="1716"/>
      <c r="C170" s="1942" t="s">
        <v>975</v>
      </c>
      <c r="D170" s="1716"/>
      <c r="E170" s="1717"/>
      <c r="F170" s="1718"/>
      <c r="G170" s="1718"/>
      <c r="H170" s="1719"/>
      <c r="I170" s="1716"/>
      <c r="J170" s="1717"/>
      <c r="K170" s="1718"/>
      <c r="L170" s="1718"/>
      <c r="M170" s="1719"/>
      <c r="N170" s="1716"/>
      <c r="O170" s="1717"/>
      <c r="P170" s="1718"/>
      <c r="Q170" s="1718"/>
      <c r="R170" s="1719"/>
      <c r="S170" s="1716"/>
      <c r="T170" s="337">
        <v>321</v>
      </c>
      <c r="U170" s="338">
        <v>331</v>
      </c>
      <c r="V170" s="338">
        <v>365</v>
      </c>
      <c r="W170" s="1684">
        <v>345</v>
      </c>
      <c r="X170" s="647">
        <f>W170</f>
        <v>345</v>
      </c>
      <c r="Y170" s="337">
        <v>360</v>
      </c>
      <c r="Z170" s="338">
        <v>342</v>
      </c>
      <c r="AA170" s="338">
        <v>350</v>
      </c>
      <c r="AB170" s="1684">
        <v>315</v>
      </c>
      <c r="AC170" s="647">
        <f>AB170</f>
        <v>315</v>
      </c>
      <c r="AD170" s="337">
        <v>406</v>
      </c>
      <c r="AE170" s="338">
        <v>412</v>
      </c>
      <c r="AF170" s="338">
        <v>418</v>
      </c>
      <c r="AG170" s="1684">
        <v>346</v>
      </c>
      <c r="AH170" s="647">
        <f>AG170</f>
        <v>346</v>
      </c>
      <c r="AI170" s="337">
        <f>240+117</f>
        <v>357</v>
      </c>
      <c r="AJ170" s="338">
        <f>255+116</f>
        <v>371</v>
      </c>
      <c r="AK170" s="338">
        <f>292+148</f>
        <v>440</v>
      </c>
      <c r="AL170" s="1684">
        <f>235+150</f>
        <v>385</v>
      </c>
      <c r="AM170" s="647">
        <f>AL170</f>
        <v>385</v>
      </c>
      <c r="AN170" s="337">
        <f>199+127</f>
        <v>326</v>
      </c>
      <c r="AO170" s="338">
        <f>256+114</f>
        <v>370</v>
      </c>
      <c r="AP170" s="338">
        <f>265+92</f>
        <v>357</v>
      </c>
      <c r="AQ170" s="1684">
        <f>250+87</f>
        <v>337</v>
      </c>
      <c r="AR170" s="647">
        <f>AQ170</f>
        <v>337</v>
      </c>
      <c r="AS170" s="290">
        <f t="shared" ref="AS170:AW170" si="418">AR170</f>
        <v>337</v>
      </c>
      <c r="AT170" s="260">
        <f t="shared" si="418"/>
        <v>337</v>
      </c>
      <c r="AU170" s="260">
        <f t="shared" si="418"/>
        <v>337</v>
      </c>
      <c r="AV170" s="291">
        <f t="shared" si="418"/>
        <v>337</v>
      </c>
      <c r="AW170" s="45">
        <f t="shared" si="418"/>
        <v>337</v>
      </c>
      <c r="AX170" s="290">
        <f t="shared" ref="AX170:AX171" si="419">AW170</f>
        <v>337</v>
      </c>
      <c r="AY170" s="260">
        <f t="shared" ref="AY170:AY171" si="420">AX170</f>
        <v>337</v>
      </c>
      <c r="AZ170" s="260">
        <f t="shared" ref="AZ170:AZ171" si="421">AY170</f>
        <v>337</v>
      </c>
      <c r="BA170" s="291">
        <f t="shared" ref="BA170:BA171" si="422">AZ170</f>
        <v>337</v>
      </c>
      <c r="BB170" s="45">
        <f t="shared" ref="BB170:BB173" si="423">BA170</f>
        <v>337</v>
      </c>
      <c r="BC170" s="290">
        <f t="shared" ref="BC170:BC171" si="424">BB170</f>
        <v>337</v>
      </c>
      <c r="BD170" s="260">
        <f t="shared" ref="BD170:BD171" si="425">BC170</f>
        <v>337</v>
      </c>
      <c r="BE170" s="260">
        <f t="shared" ref="BE170:BE171" si="426">BD170</f>
        <v>337</v>
      </c>
      <c r="BF170" s="291">
        <f t="shared" ref="BF170:BF171" si="427">BE170</f>
        <v>337</v>
      </c>
      <c r="BG170" s="45">
        <f t="shared" ref="BG170:BG173" si="428">BF170</f>
        <v>337</v>
      </c>
      <c r="BH170" s="290">
        <f t="shared" ref="BH170:BH171" si="429">BG170</f>
        <v>337</v>
      </c>
      <c r="BI170" s="260">
        <f t="shared" ref="BI170:BI171" si="430">BH170</f>
        <v>337</v>
      </c>
      <c r="BJ170" s="260">
        <f t="shared" ref="BJ170:BJ171" si="431">BI170</f>
        <v>337</v>
      </c>
      <c r="BK170" s="291">
        <f t="shared" ref="BK170:BK171" si="432">BJ170</f>
        <v>337</v>
      </c>
      <c r="BL170" s="45">
        <f t="shared" ref="BL170:BL173" si="433">BK170</f>
        <v>337</v>
      </c>
      <c r="BM170" s="1716"/>
      <c r="BN170" s="1716"/>
      <c r="BO170" s="1716"/>
      <c r="BP170" s="1716"/>
      <c r="BQ170" s="1716"/>
      <c r="BR170" s="1716"/>
      <c r="BS170" s="1716"/>
      <c r="BT170" s="1716"/>
      <c r="BU170" s="1716"/>
      <c r="BV170" s="1716"/>
      <c r="BW170" s="1716"/>
      <c r="BX170" s="1716"/>
      <c r="BY170" s="1716"/>
      <c r="BZ170" s="1716"/>
      <c r="CA170" s="1716"/>
      <c r="CB170" s="1716"/>
      <c r="CC170" s="1716"/>
      <c r="CD170" s="1716"/>
      <c r="CE170" s="1716"/>
      <c r="CF170" s="1716"/>
      <c r="CG170" s="1716"/>
      <c r="CH170" s="1716"/>
      <c r="CI170" s="1716"/>
      <c r="CJ170" s="1716"/>
      <c r="CK170" s="1716"/>
      <c r="CL170" s="1716"/>
      <c r="CM170" s="1716"/>
      <c r="CN170" s="1716"/>
      <c r="CO170" s="1716"/>
      <c r="CP170" s="1716"/>
    </row>
    <row r="171" spans="1:124">
      <c r="A171" s="1716"/>
      <c r="B171" s="1716"/>
      <c r="C171" s="1716" t="s">
        <v>362</v>
      </c>
      <c r="D171" s="1716"/>
      <c r="E171" s="1717"/>
      <c r="F171" s="1718"/>
      <c r="G171" s="1718"/>
      <c r="H171" s="1719"/>
      <c r="I171" s="1716"/>
      <c r="J171" s="1717"/>
      <c r="K171" s="1718"/>
      <c r="L171" s="1718"/>
      <c r="M171" s="1719"/>
      <c r="N171" s="1716"/>
      <c r="O171" s="1717"/>
      <c r="P171" s="1718"/>
      <c r="Q171" s="1718"/>
      <c r="R171" s="1719"/>
      <c r="S171" s="1716"/>
      <c r="T171" s="337">
        <v>71</v>
      </c>
      <c r="U171" s="338">
        <v>72</v>
      </c>
      <c r="V171" s="338">
        <v>72</v>
      </c>
      <c r="W171" s="1684">
        <v>67</v>
      </c>
      <c r="X171" s="647">
        <f>W171</f>
        <v>67</v>
      </c>
      <c r="Y171" s="337">
        <v>66</v>
      </c>
      <c r="Z171" s="338">
        <v>67</v>
      </c>
      <c r="AA171" s="338">
        <v>65</v>
      </c>
      <c r="AB171" s="1684">
        <v>62</v>
      </c>
      <c r="AC171" s="647">
        <f>AB171</f>
        <v>62</v>
      </c>
      <c r="AD171" s="337">
        <v>69</v>
      </c>
      <c r="AE171" s="338">
        <v>66</v>
      </c>
      <c r="AF171" s="338">
        <v>67</v>
      </c>
      <c r="AG171" s="1684">
        <v>67</v>
      </c>
      <c r="AH171" s="647">
        <f>AG171</f>
        <v>67</v>
      </c>
      <c r="AI171" s="337">
        <v>65</v>
      </c>
      <c r="AJ171" s="338">
        <v>65</v>
      </c>
      <c r="AK171" s="338">
        <v>63</v>
      </c>
      <c r="AL171" s="1684">
        <v>63</v>
      </c>
      <c r="AM171" s="647">
        <f>AL171</f>
        <v>63</v>
      </c>
      <c r="AN171" s="337">
        <v>73</v>
      </c>
      <c r="AO171" s="338">
        <v>73</v>
      </c>
      <c r="AP171" s="338">
        <v>78</v>
      </c>
      <c r="AQ171" s="1684">
        <v>87</v>
      </c>
      <c r="AR171" s="647">
        <f>AQ171</f>
        <v>87</v>
      </c>
      <c r="AS171" s="290">
        <f t="shared" ref="AS171:AW173" si="434">AR171</f>
        <v>87</v>
      </c>
      <c r="AT171" s="260">
        <f t="shared" si="434"/>
        <v>87</v>
      </c>
      <c r="AU171" s="260">
        <f t="shared" si="434"/>
        <v>87</v>
      </c>
      <c r="AV171" s="291">
        <f t="shared" si="434"/>
        <v>87</v>
      </c>
      <c r="AW171" s="45">
        <f t="shared" si="434"/>
        <v>87</v>
      </c>
      <c r="AX171" s="290">
        <f t="shared" si="419"/>
        <v>87</v>
      </c>
      <c r="AY171" s="260">
        <f t="shared" si="420"/>
        <v>87</v>
      </c>
      <c r="AZ171" s="260">
        <f t="shared" si="421"/>
        <v>87</v>
      </c>
      <c r="BA171" s="291">
        <f t="shared" si="422"/>
        <v>87</v>
      </c>
      <c r="BB171" s="45">
        <f t="shared" si="423"/>
        <v>87</v>
      </c>
      <c r="BC171" s="290">
        <f t="shared" si="424"/>
        <v>87</v>
      </c>
      <c r="BD171" s="260">
        <f t="shared" si="425"/>
        <v>87</v>
      </c>
      <c r="BE171" s="260">
        <f t="shared" si="426"/>
        <v>87</v>
      </c>
      <c r="BF171" s="291">
        <f t="shared" si="427"/>
        <v>87</v>
      </c>
      <c r="BG171" s="45">
        <f t="shared" si="428"/>
        <v>87</v>
      </c>
      <c r="BH171" s="290">
        <f t="shared" si="429"/>
        <v>87</v>
      </c>
      <c r="BI171" s="260">
        <f t="shared" si="430"/>
        <v>87</v>
      </c>
      <c r="BJ171" s="260">
        <f t="shared" si="431"/>
        <v>87</v>
      </c>
      <c r="BK171" s="291">
        <f t="shared" si="432"/>
        <v>87</v>
      </c>
      <c r="BL171" s="45">
        <f t="shared" si="433"/>
        <v>87</v>
      </c>
      <c r="BM171" s="1716"/>
      <c r="BN171" s="1716"/>
      <c r="BO171" s="1716"/>
      <c r="BP171" s="1716"/>
      <c r="BQ171" s="1716"/>
      <c r="BR171" s="1716"/>
      <c r="BS171" s="1716"/>
      <c r="BT171" s="1716"/>
      <c r="BU171" s="1716"/>
      <c r="BV171" s="1716"/>
      <c r="BW171" s="1716"/>
      <c r="BX171" s="1716"/>
      <c r="BY171" s="1716"/>
      <c r="BZ171" s="1716"/>
      <c r="CA171" s="1716"/>
      <c r="CB171" s="1716"/>
      <c r="CC171" s="1716"/>
      <c r="CD171" s="1716"/>
      <c r="CE171" s="1716"/>
      <c r="CF171" s="1716"/>
      <c r="CG171" s="1716"/>
      <c r="CH171" s="1716"/>
      <c r="CI171" s="1716"/>
      <c r="CJ171" s="1716"/>
      <c r="CK171" s="1716"/>
      <c r="CL171" s="1716"/>
      <c r="CM171" s="1716"/>
      <c r="CN171" s="1716"/>
      <c r="CO171" s="1716"/>
      <c r="CP171" s="1716"/>
    </row>
    <row r="172" spans="1:124">
      <c r="A172" s="1716"/>
      <c r="B172" s="1716"/>
      <c r="C172" s="1716" t="s">
        <v>956</v>
      </c>
      <c r="D172" s="1716"/>
      <c r="E172" s="1717"/>
      <c r="F172" s="1718"/>
      <c r="G172" s="1718"/>
      <c r="H172" s="1719"/>
      <c r="I172" s="1716"/>
      <c r="J172" s="1717"/>
      <c r="K172" s="1718"/>
      <c r="L172" s="1718"/>
      <c r="M172" s="1719"/>
      <c r="N172" s="1716"/>
      <c r="O172" s="1717"/>
      <c r="P172" s="1718"/>
      <c r="Q172" s="1718"/>
      <c r="R172" s="1719"/>
      <c r="S172" s="1716"/>
      <c r="T172" s="337">
        <v>0</v>
      </c>
      <c r="U172" s="338">
        <v>0</v>
      </c>
      <c r="V172" s="338">
        <v>9</v>
      </c>
      <c r="W172" s="1684">
        <v>48</v>
      </c>
      <c r="X172" s="647">
        <f>W172</f>
        <v>48</v>
      </c>
      <c r="Y172" s="337">
        <v>57</v>
      </c>
      <c r="Z172" s="338">
        <v>48</v>
      </c>
      <c r="AA172" s="338">
        <v>23</v>
      </c>
      <c r="AB172" s="1684">
        <v>14</v>
      </c>
      <c r="AC172" s="647">
        <f>AB172</f>
        <v>14</v>
      </c>
      <c r="AD172" s="337">
        <v>6</v>
      </c>
      <c r="AE172" s="338">
        <v>5</v>
      </c>
      <c r="AF172" s="338">
        <v>6</v>
      </c>
      <c r="AG172" s="1684">
        <v>0</v>
      </c>
      <c r="AH172" s="647">
        <f>AG172</f>
        <v>0</v>
      </c>
      <c r="AI172" s="337">
        <v>0</v>
      </c>
      <c r="AJ172" s="338">
        <v>0</v>
      </c>
      <c r="AK172" s="338">
        <v>0</v>
      </c>
      <c r="AL172" s="1684">
        <v>0</v>
      </c>
      <c r="AM172" s="647">
        <f>AL172</f>
        <v>0</v>
      </c>
      <c r="AN172" s="337">
        <v>0</v>
      </c>
      <c r="AO172" s="338">
        <v>0</v>
      </c>
      <c r="AP172" s="338">
        <v>0</v>
      </c>
      <c r="AQ172" s="1684">
        <v>0</v>
      </c>
      <c r="AR172" s="647">
        <f>AQ172</f>
        <v>0</v>
      </c>
      <c r="AS172" s="290">
        <f>AR172</f>
        <v>0</v>
      </c>
      <c r="AT172" s="260">
        <f>AS172</f>
        <v>0</v>
      </c>
      <c r="AU172" s="260">
        <f>AT172</f>
        <v>0</v>
      </c>
      <c r="AV172" s="291">
        <f>AU172</f>
        <v>0</v>
      </c>
      <c r="AW172" s="45">
        <f t="shared" si="434"/>
        <v>0</v>
      </c>
      <c r="AX172" s="290">
        <f>AW172</f>
        <v>0</v>
      </c>
      <c r="AY172" s="260">
        <f>AX172</f>
        <v>0</v>
      </c>
      <c r="AZ172" s="260">
        <f>AY172</f>
        <v>0</v>
      </c>
      <c r="BA172" s="291">
        <f>AZ172</f>
        <v>0</v>
      </c>
      <c r="BB172" s="45">
        <f t="shared" si="423"/>
        <v>0</v>
      </c>
      <c r="BC172" s="290">
        <f>BB172</f>
        <v>0</v>
      </c>
      <c r="BD172" s="260">
        <f>BC172</f>
        <v>0</v>
      </c>
      <c r="BE172" s="260">
        <f>BD172</f>
        <v>0</v>
      </c>
      <c r="BF172" s="291">
        <f>BE172</f>
        <v>0</v>
      </c>
      <c r="BG172" s="45">
        <f t="shared" si="428"/>
        <v>0</v>
      </c>
      <c r="BH172" s="290">
        <f>BG172</f>
        <v>0</v>
      </c>
      <c r="BI172" s="260">
        <f>BH172</f>
        <v>0</v>
      </c>
      <c r="BJ172" s="260">
        <f>BI172</f>
        <v>0</v>
      </c>
      <c r="BK172" s="291">
        <f>BJ172</f>
        <v>0</v>
      </c>
      <c r="BL172" s="45">
        <f t="shared" si="433"/>
        <v>0</v>
      </c>
      <c r="BM172" s="1716"/>
      <c r="BN172" s="1716"/>
      <c r="BO172" s="1716"/>
      <c r="BP172" s="1716"/>
      <c r="BQ172" s="1716"/>
      <c r="BR172" s="1716"/>
      <c r="BS172" s="1716"/>
      <c r="BT172" s="1716"/>
      <c r="BU172" s="1716"/>
      <c r="BV172" s="1716"/>
      <c r="BW172" s="1716"/>
      <c r="BX172" s="1716"/>
      <c r="BY172" s="1716"/>
      <c r="BZ172" s="1716"/>
      <c r="CA172" s="1716"/>
      <c r="CB172" s="1716"/>
      <c r="CC172" s="1716"/>
      <c r="CD172" s="1716"/>
      <c r="CE172" s="1716"/>
      <c r="CF172" s="1716"/>
      <c r="CG172" s="1716"/>
      <c r="CH172" s="1716"/>
      <c r="CI172" s="1716"/>
      <c r="CJ172" s="1716"/>
      <c r="CK172" s="1716"/>
      <c r="CL172" s="1716"/>
      <c r="CM172" s="1716"/>
      <c r="CN172" s="1716"/>
      <c r="CO172" s="1716"/>
      <c r="CP172" s="1716"/>
    </row>
    <row r="173" spans="1:124">
      <c r="A173" s="1716"/>
      <c r="B173" s="1716"/>
      <c r="C173" s="1716" t="s">
        <v>676</v>
      </c>
      <c r="D173" s="1716"/>
      <c r="E173" s="1717"/>
      <c r="F173" s="1718"/>
      <c r="G173" s="1718"/>
      <c r="H173" s="1719"/>
      <c r="I173" s="1716"/>
      <c r="J173" s="1717"/>
      <c r="K173" s="1718"/>
      <c r="L173" s="1718"/>
      <c r="M173" s="1719"/>
      <c r="N173" s="1716"/>
      <c r="O173" s="1717"/>
      <c r="P173" s="1718"/>
      <c r="Q173" s="1718"/>
      <c r="R173" s="1719"/>
      <c r="S173" s="1716"/>
      <c r="T173" s="337">
        <f>23+129</f>
        <v>152</v>
      </c>
      <c r="U173" s="338">
        <f>13+110+3</f>
        <v>126</v>
      </c>
      <c r="V173" s="338">
        <f>36+101+3</f>
        <v>140</v>
      </c>
      <c r="W173" s="1684">
        <f>18+3+113</f>
        <v>134</v>
      </c>
      <c r="X173" s="647">
        <f>W173</f>
        <v>134</v>
      </c>
      <c r="Y173" s="337">
        <f>21+182+94</f>
        <v>297</v>
      </c>
      <c r="Z173" s="338">
        <f>8+7+94</f>
        <v>109</v>
      </c>
      <c r="AA173" s="338">
        <f>3+93+22</f>
        <v>118</v>
      </c>
      <c r="AB173" s="1684">
        <f>5+94+21</f>
        <v>120</v>
      </c>
      <c r="AC173" s="647">
        <f>AB173</f>
        <v>120</v>
      </c>
      <c r="AD173" s="337">
        <f>2+94+21</f>
        <v>117</v>
      </c>
      <c r="AE173" s="338">
        <f>94+9+2</f>
        <v>105</v>
      </c>
      <c r="AF173" s="338">
        <f>2+95+24</f>
        <v>121</v>
      </c>
      <c r="AG173" s="1684">
        <f>170+20+2</f>
        <v>192</v>
      </c>
      <c r="AH173" s="647">
        <f>AG173</f>
        <v>192</v>
      </c>
      <c r="AI173" s="337">
        <f>133+4+22</f>
        <v>159</v>
      </c>
      <c r="AJ173" s="338">
        <f>33+129+9</f>
        <v>171</v>
      </c>
      <c r="AK173" s="338">
        <f>33+122+4</f>
        <v>159</v>
      </c>
      <c r="AL173" s="1684">
        <f>33+162+32</f>
        <v>227</v>
      </c>
      <c r="AM173" s="647">
        <f>AL173</f>
        <v>227</v>
      </c>
      <c r="AN173" s="337">
        <f>33+173+21</f>
        <v>227</v>
      </c>
      <c r="AO173" s="338">
        <f>34+165+7</f>
        <v>206</v>
      </c>
      <c r="AP173" s="338">
        <f>34+181+10</f>
        <v>225</v>
      </c>
      <c r="AQ173" s="1684">
        <f>33+213+35</f>
        <v>281</v>
      </c>
      <c r="AR173" s="647">
        <f>AQ173</f>
        <v>281</v>
      </c>
      <c r="AS173" s="290">
        <f>AR173-AS147-AS146</f>
        <v>281</v>
      </c>
      <c r="AT173" s="260">
        <f>AS173-AT147-AT146</f>
        <v>281</v>
      </c>
      <c r="AU173" s="260">
        <f>AT173-AU147-AU146</f>
        <v>281</v>
      </c>
      <c r="AV173" s="291">
        <f>AU173-AV147-AV146</f>
        <v>281</v>
      </c>
      <c r="AW173" s="45">
        <f t="shared" si="434"/>
        <v>281</v>
      </c>
      <c r="AX173" s="290">
        <f>AW173-AX147-AX146</f>
        <v>281</v>
      </c>
      <c r="AY173" s="260">
        <f>AX173-AY147-AY146</f>
        <v>281</v>
      </c>
      <c r="AZ173" s="260">
        <f>AY173-AZ147-AZ146</f>
        <v>281</v>
      </c>
      <c r="BA173" s="291">
        <f>AZ173-BA147-BA146</f>
        <v>281</v>
      </c>
      <c r="BB173" s="45">
        <f t="shared" si="423"/>
        <v>281</v>
      </c>
      <c r="BC173" s="290">
        <f>BB173-BC147-BC146</f>
        <v>281</v>
      </c>
      <c r="BD173" s="260">
        <f>BC173-BD147-BD146</f>
        <v>281</v>
      </c>
      <c r="BE173" s="260">
        <f>BD173-BE147-BE146</f>
        <v>281</v>
      </c>
      <c r="BF173" s="291">
        <f>BE173-BF147-BF146</f>
        <v>281</v>
      </c>
      <c r="BG173" s="45">
        <f t="shared" si="428"/>
        <v>281</v>
      </c>
      <c r="BH173" s="290">
        <f>BG173-BH147-BH146</f>
        <v>281</v>
      </c>
      <c r="BI173" s="260">
        <f>BH173-BI147-BI146</f>
        <v>281</v>
      </c>
      <c r="BJ173" s="260">
        <f>BI173-BJ147-BJ146</f>
        <v>281</v>
      </c>
      <c r="BK173" s="291">
        <f>BJ173-BK147-BK146</f>
        <v>281</v>
      </c>
      <c r="BL173" s="45">
        <f t="shared" si="433"/>
        <v>281</v>
      </c>
      <c r="BM173" s="1716"/>
      <c r="BN173" s="1716"/>
      <c r="BO173" s="1716"/>
      <c r="BP173" s="1716"/>
      <c r="BQ173" s="1716"/>
      <c r="BR173" s="1716"/>
      <c r="BS173" s="1716"/>
      <c r="BT173" s="1716"/>
      <c r="BU173" s="1716"/>
      <c r="BV173" s="1716"/>
      <c r="BW173" s="1716"/>
      <c r="BX173" s="1716"/>
      <c r="BY173" s="1716"/>
      <c r="BZ173" s="1716"/>
      <c r="CA173" s="1716"/>
      <c r="CB173" s="1716"/>
      <c r="CC173" s="1716"/>
      <c r="CD173" s="1716"/>
      <c r="CE173" s="1716"/>
      <c r="CF173" s="1716"/>
      <c r="CG173" s="1716"/>
      <c r="CH173" s="1716"/>
      <c r="CI173" s="1716"/>
      <c r="CJ173" s="1716"/>
      <c r="CK173" s="1716"/>
      <c r="CL173" s="1716"/>
      <c r="CM173" s="1716"/>
      <c r="CN173" s="1716"/>
      <c r="CO173" s="1716"/>
      <c r="CP173" s="1716"/>
    </row>
    <row r="174" spans="1:124" s="1909" customFormat="1">
      <c r="A174" s="1756"/>
      <c r="B174" s="1756"/>
      <c r="C174" s="1756" t="s">
        <v>363</v>
      </c>
      <c r="D174" s="1756"/>
      <c r="E174" s="1906"/>
      <c r="F174" s="1907"/>
      <c r="G174" s="1907"/>
      <c r="H174" s="1908"/>
      <c r="I174" s="1756"/>
      <c r="J174" s="1906"/>
      <c r="K174" s="1907"/>
      <c r="L174" s="1907"/>
      <c r="M174" s="1908"/>
      <c r="N174" s="1756"/>
      <c r="O174" s="1906"/>
      <c r="P174" s="1907"/>
      <c r="Q174" s="1907"/>
      <c r="R174" s="1908"/>
      <c r="S174" s="1756"/>
      <c r="T174" s="292">
        <f t="shared" ref="T174:AW174" si="435">SUM(T169:T173)</f>
        <v>641</v>
      </c>
      <c r="U174" s="261">
        <f t="shared" si="435"/>
        <v>535</v>
      </c>
      <c r="V174" s="261">
        <f t="shared" si="435"/>
        <v>594</v>
      </c>
      <c r="W174" s="293">
        <f t="shared" si="435"/>
        <v>603</v>
      </c>
      <c r="X174" s="583">
        <f t="shared" si="435"/>
        <v>603</v>
      </c>
      <c r="Y174" s="292">
        <f t="shared" si="435"/>
        <v>885</v>
      </c>
      <c r="Z174" s="261">
        <f t="shared" si="435"/>
        <v>593</v>
      </c>
      <c r="AA174" s="261">
        <f t="shared" ref="AA174" si="436">SUM(AA169:AA173)</f>
        <v>628</v>
      </c>
      <c r="AB174" s="293">
        <f t="shared" ref="AB174:AC174" si="437">SUM(AB169:AB173)</f>
        <v>517</v>
      </c>
      <c r="AC174" s="583">
        <f t="shared" si="437"/>
        <v>517</v>
      </c>
      <c r="AD174" s="292">
        <f t="shared" ref="AD174:AE174" si="438">SUM(AD169:AD173)</f>
        <v>724</v>
      </c>
      <c r="AE174" s="261">
        <f t="shared" si="438"/>
        <v>610</v>
      </c>
      <c r="AF174" s="261">
        <f t="shared" ref="AF174:AI174" si="439">SUM(AF169:AF173)</f>
        <v>622</v>
      </c>
      <c r="AG174" s="293">
        <f t="shared" si="439"/>
        <v>610</v>
      </c>
      <c r="AH174" s="583">
        <f t="shared" si="439"/>
        <v>610</v>
      </c>
      <c r="AI174" s="292">
        <f t="shared" si="439"/>
        <v>605</v>
      </c>
      <c r="AJ174" s="261">
        <f t="shared" ref="AJ174:AM174" si="440">SUM(AJ169:AJ173)</f>
        <v>734</v>
      </c>
      <c r="AK174" s="261">
        <f t="shared" si="440"/>
        <v>764</v>
      </c>
      <c r="AL174" s="293">
        <f t="shared" si="440"/>
        <v>684</v>
      </c>
      <c r="AM174" s="583">
        <f t="shared" si="440"/>
        <v>684</v>
      </c>
      <c r="AN174" s="292">
        <f t="shared" ref="AN174:AO174" si="441">SUM(AN169:AN173)</f>
        <v>634</v>
      </c>
      <c r="AO174" s="261">
        <f t="shared" si="441"/>
        <v>768</v>
      </c>
      <c r="AP174" s="261">
        <f t="shared" si="435"/>
        <v>777</v>
      </c>
      <c r="AQ174" s="293">
        <f t="shared" ref="AQ174:AR174" si="442">SUM(AQ169:AQ173)</f>
        <v>710</v>
      </c>
      <c r="AR174" s="583">
        <f t="shared" si="442"/>
        <v>710</v>
      </c>
      <c r="AS174" s="286">
        <f t="shared" ca="1" si="435"/>
        <v>705</v>
      </c>
      <c r="AT174" s="258">
        <f t="shared" ca="1" si="435"/>
        <v>705</v>
      </c>
      <c r="AU174" s="258">
        <f t="shared" ca="1" si="435"/>
        <v>779.24288940232657</v>
      </c>
      <c r="AV174" s="287">
        <f t="shared" ca="1" si="435"/>
        <v>713.20446114507035</v>
      </c>
      <c r="AW174" s="341">
        <f t="shared" ca="1" si="435"/>
        <v>713.20446114507035</v>
      </c>
      <c r="AX174" s="286">
        <f t="shared" ref="AX174:BG174" ca="1" si="443">SUM(AX169:AX173)</f>
        <v>705</v>
      </c>
      <c r="AY174" s="258">
        <f t="shared" ca="1" si="443"/>
        <v>705</v>
      </c>
      <c r="AZ174" s="258">
        <f t="shared" ca="1" si="443"/>
        <v>761.68600316830521</v>
      </c>
      <c r="BA174" s="287">
        <f t="shared" ca="1" si="443"/>
        <v>713.7329529721228</v>
      </c>
      <c r="BB174" s="341">
        <f t="shared" ca="1" si="443"/>
        <v>713.7329529721228</v>
      </c>
      <c r="BC174" s="286">
        <f t="shared" ca="1" si="443"/>
        <v>705</v>
      </c>
      <c r="BD174" s="258">
        <f t="shared" ca="1" si="443"/>
        <v>705</v>
      </c>
      <c r="BE174" s="258">
        <f t="shared" ca="1" si="443"/>
        <v>772.71642372510939</v>
      </c>
      <c r="BF174" s="287">
        <f t="shared" ca="1" si="443"/>
        <v>712.66086774669247</v>
      </c>
      <c r="BG174" s="341">
        <f t="shared" ca="1" si="443"/>
        <v>712.66086774669247</v>
      </c>
      <c r="BH174" s="286">
        <f t="shared" ref="BH174:BL174" ca="1" si="444">SUM(BH169:BH173)</f>
        <v>705</v>
      </c>
      <c r="BI174" s="258">
        <f t="shared" ca="1" si="444"/>
        <v>705</v>
      </c>
      <c r="BJ174" s="258">
        <f t="shared" ca="1" si="444"/>
        <v>776.90113844755945</v>
      </c>
      <c r="BK174" s="287">
        <f t="shared" ca="1" si="444"/>
        <v>710.11149000919772</v>
      </c>
      <c r="BL174" s="341">
        <f t="shared" ca="1" si="444"/>
        <v>710.11149000919772</v>
      </c>
      <c r="BM174" s="1756"/>
      <c r="BN174" s="1756"/>
      <c r="BO174" s="1756"/>
      <c r="BP174" s="1756"/>
      <c r="BQ174" s="1756"/>
      <c r="BR174" s="1756"/>
      <c r="BS174" s="1756"/>
      <c r="BT174" s="1756"/>
      <c r="BU174" s="1756"/>
      <c r="BV174" s="1756"/>
      <c r="BW174" s="1756"/>
      <c r="BX174" s="1756"/>
      <c r="BY174" s="1756"/>
      <c r="BZ174" s="1756"/>
      <c r="CA174" s="1756"/>
      <c r="CB174" s="1756"/>
      <c r="CC174" s="1756"/>
      <c r="CD174" s="1756"/>
      <c r="CE174" s="1756"/>
      <c r="CF174" s="1756"/>
      <c r="CG174" s="1756"/>
      <c r="CH174" s="1756"/>
      <c r="CI174" s="1756"/>
      <c r="CJ174" s="1756"/>
      <c r="CK174" s="1756"/>
      <c r="CL174" s="1756"/>
      <c r="CM174" s="1756"/>
      <c r="CN174" s="1756"/>
      <c r="CO174" s="1756"/>
      <c r="CP174" s="1756"/>
    </row>
    <row r="175" spans="1:124" s="1909" customFormat="1">
      <c r="A175" s="1756"/>
      <c r="B175" s="1756"/>
      <c r="C175" s="1756"/>
      <c r="D175" s="1756"/>
      <c r="E175" s="1906"/>
      <c r="F175" s="1907"/>
      <c r="G175" s="1907"/>
      <c r="H175" s="1908"/>
      <c r="I175" s="1756"/>
      <c r="J175" s="1906"/>
      <c r="K175" s="1907"/>
      <c r="L175" s="1907"/>
      <c r="M175" s="1908"/>
      <c r="N175" s="1756"/>
      <c r="O175" s="1906"/>
      <c r="P175" s="1907"/>
      <c r="Q175" s="1907"/>
      <c r="R175" s="1908"/>
      <c r="S175" s="1756"/>
      <c r="T175" s="292"/>
      <c r="U175" s="261"/>
      <c r="V175" s="261"/>
      <c r="W175" s="293"/>
      <c r="X175" s="583"/>
      <c r="Y175" s="292"/>
      <c r="Z175" s="261"/>
      <c r="AA175" s="261"/>
      <c r="AB175" s="293"/>
      <c r="AC175" s="583"/>
      <c r="AD175" s="292"/>
      <c r="AE175" s="261"/>
      <c r="AF175" s="261"/>
      <c r="AG175" s="293"/>
      <c r="AH175" s="583"/>
      <c r="AI175" s="292"/>
      <c r="AJ175" s="261"/>
      <c r="AK175" s="261"/>
      <c r="AL175" s="293"/>
      <c r="AM175" s="583"/>
      <c r="AN175" s="292"/>
      <c r="AO175" s="261"/>
      <c r="AP175" s="258"/>
      <c r="AQ175" s="293"/>
      <c r="AR175" s="583"/>
      <c r="AS175" s="286"/>
      <c r="AT175" s="258"/>
      <c r="AU175" s="258"/>
      <c r="AV175" s="287"/>
      <c r="AW175" s="341"/>
      <c r="AX175" s="286"/>
      <c r="AY175" s="258"/>
      <c r="AZ175" s="258"/>
      <c r="BA175" s="287"/>
      <c r="BB175" s="341"/>
      <c r="BC175" s="286"/>
      <c r="BD175" s="258"/>
      <c r="BE175" s="258"/>
      <c r="BF175" s="287"/>
      <c r="BG175" s="341"/>
      <c r="BH175" s="286"/>
      <c r="BI175" s="258"/>
      <c r="BJ175" s="258"/>
      <c r="BK175" s="287"/>
      <c r="BL175" s="341"/>
      <c r="BM175" s="1756"/>
      <c r="BN175" s="1756"/>
      <c r="BO175" s="1756"/>
      <c r="BP175" s="1756"/>
      <c r="BQ175" s="1756"/>
      <c r="BR175" s="1756"/>
      <c r="BS175" s="1756"/>
      <c r="BT175" s="1756"/>
      <c r="BU175" s="1756"/>
      <c r="BV175" s="1756"/>
      <c r="BW175" s="1756"/>
      <c r="BX175" s="1756"/>
      <c r="BY175" s="1756"/>
      <c r="BZ175" s="1756"/>
      <c r="CA175" s="1756"/>
      <c r="CB175" s="1756"/>
      <c r="CC175" s="1756"/>
      <c r="CD175" s="1756"/>
      <c r="CE175" s="1756"/>
      <c r="CF175" s="1756"/>
      <c r="CG175" s="1756"/>
      <c r="CH175" s="1756"/>
      <c r="CI175" s="1756"/>
      <c r="CJ175" s="1756"/>
      <c r="CK175" s="1756"/>
      <c r="CL175" s="1756"/>
      <c r="CM175" s="1756"/>
      <c r="CN175" s="1756"/>
      <c r="CO175" s="1756"/>
      <c r="CP175" s="1756"/>
    </row>
    <row r="176" spans="1:124" s="1914" customFormat="1">
      <c r="A176" s="1942"/>
      <c r="B176" s="1942"/>
      <c r="C176" s="13" t="s">
        <v>547</v>
      </c>
      <c r="D176" s="1942"/>
      <c r="E176" s="1943"/>
      <c r="F176" s="1944"/>
      <c r="G176" s="1944"/>
      <c r="H176" s="1945"/>
      <c r="I176" s="1942"/>
      <c r="J176" s="1943"/>
      <c r="K176" s="1944"/>
      <c r="L176" s="1944"/>
      <c r="M176" s="1945"/>
      <c r="N176" s="1942"/>
      <c r="O176" s="1943"/>
      <c r="P176" s="1944"/>
      <c r="Q176" s="1944"/>
      <c r="R176" s="1945"/>
      <c r="S176" s="1942"/>
      <c r="T176" s="337">
        <v>6939</v>
      </c>
      <c r="U176" s="338">
        <v>7054</v>
      </c>
      <c r="V176" s="338">
        <v>7164</v>
      </c>
      <c r="W176" s="1684">
        <v>7310</v>
      </c>
      <c r="X176" s="647">
        <f>W176</f>
        <v>7310</v>
      </c>
      <c r="Y176" s="337">
        <v>7415</v>
      </c>
      <c r="Z176" s="338">
        <v>7527</v>
      </c>
      <c r="AA176" s="338">
        <v>7652</v>
      </c>
      <c r="AB176" s="1684">
        <v>7764</v>
      </c>
      <c r="AC176" s="647">
        <f>AB176</f>
        <v>7764</v>
      </c>
      <c r="AD176" s="337">
        <v>7753</v>
      </c>
      <c r="AE176" s="338">
        <v>7848</v>
      </c>
      <c r="AF176" s="338">
        <v>7949</v>
      </c>
      <c r="AG176" s="1684">
        <v>8091</v>
      </c>
      <c r="AH176" s="647">
        <f>AG176</f>
        <v>8091</v>
      </c>
      <c r="AI176" s="337">
        <f>5225+AI177</f>
        <v>8185</v>
      </c>
      <c r="AJ176" s="338">
        <f>5321+AJ177</f>
        <v>8316</v>
      </c>
      <c r="AK176" s="338">
        <f>5409+AK177</f>
        <v>8435</v>
      </c>
      <c r="AL176" s="1684">
        <f>5571+AL177</f>
        <v>8621</v>
      </c>
      <c r="AM176" s="647">
        <f>AL176</f>
        <v>8621</v>
      </c>
      <c r="AN176" s="337">
        <f>5659+AN177</f>
        <v>8749</v>
      </c>
      <c r="AO176" s="338">
        <f>5759+AO177</f>
        <v>8890</v>
      </c>
      <c r="AP176" s="338">
        <f>5866+AP177</f>
        <v>9037</v>
      </c>
      <c r="AQ176" s="1684">
        <f>6001+AQ177</f>
        <v>9178</v>
      </c>
      <c r="AR176" s="647">
        <f>AQ176</f>
        <v>9178</v>
      </c>
      <c r="AS176" s="369">
        <f>AR176-AS150</f>
        <v>9359.25</v>
      </c>
      <c r="AT176" s="353">
        <f>AS176-AT150</f>
        <v>9540.5</v>
      </c>
      <c r="AU176" s="353">
        <f>AT176-AU150</f>
        <v>9721.75</v>
      </c>
      <c r="AV176" s="354">
        <f>AU176-AV150</f>
        <v>9903</v>
      </c>
      <c r="AW176" s="647">
        <f>AV176</f>
        <v>9903</v>
      </c>
      <c r="AX176" s="369">
        <f>AW176-AX150</f>
        <v>10084.25</v>
      </c>
      <c r="AY176" s="353">
        <f>AX176-AY150</f>
        <v>10265.5</v>
      </c>
      <c r="AZ176" s="353">
        <f>AY176-AZ150</f>
        <v>10446.75</v>
      </c>
      <c r="BA176" s="354">
        <f>AZ176-BA150</f>
        <v>10628</v>
      </c>
      <c r="BB176" s="647">
        <f>BA176</f>
        <v>10628</v>
      </c>
      <c r="BC176" s="369">
        <f>BB176-BC150</f>
        <v>10840.5</v>
      </c>
      <c r="BD176" s="353">
        <f>BC176-BD150</f>
        <v>11053</v>
      </c>
      <c r="BE176" s="353">
        <f>BD176-BE150</f>
        <v>11265.5</v>
      </c>
      <c r="BF176" s="354">
        <f>BE176-BF150</f>
        <v>11478</v>
      </c>
      <c r="BG176" s="647">
        <f>BF176</f>
        <v>11478</v>
      </c>
      <c r="BH176" s="369">
        <f>BG176-BH150</f>
        <v>11709.25</v>
      </c>
      <c r="BI176" s="353">
        <f>BH176-BI150</f>
        <v>11940.5</v>
      </c>
      <c r="BJ176" s="353">
        <f>BI176-BJ150</f>
        <v>12171.75</v>
      </c>
      <c r="BK176" s="354">
        <f>BJ176-BK150</f>
        <v>12403</v>
      </c>
      <c r="BL176" s="647">
        <f>BK176</f>
        <v>12403</v>
      </c>
      <c r="BM176" s="1912"/>
      <c r="BN176" s="1912"/>
      <c r="BO176" s="1912"/>
      <c r="BP176" s="1912"/>
      <c r="BQ176" s="1912"/>
      <c r="BR176" s="1912"/>
      <c r="BS176" s="1912"/>
      <c r="BT176" s="1912"/>
      <c r="BU176" s="1912"/>
      <c r="BV176" s="1912"/>
      <c r="BW176" s="1912"/>
      <c r="BX176" s="1912"/>
      <c r="BY176" s="1912"/>
      <c r="BZ176" s="1912"/>
      <c r="CA176" s="1912"/>
      <c r="CB176" s="1912"/>
      <c r="CC176" s="1912"/>
      <c r="CD176" s="1912"/>
      <c r="CE176" s="1912"/>
      <c r="CF176" s="1912"/>
      <c r="CG176" s="1912"/>
      <c r="CH176" s="1912"/>
      <c r="CI176" s="1912"/>
      <c r="CJ176" s="1912"/>
      <c r="CK176" s="1912"/>
      <c r="CL176" s="1912"/>
      <c r="CM176" s="1912"/>
      <c r="CN176" s="1912"/>
      <c r="CO176" s="1912"/>
      <c r="CP176" s="1912"/>
    </row>
    <row r="177" spans="1:94">
      <c r="A177" s="1716"/>
      <c r="B177" s="1716"/>
      <c r="C177" s="28" t="s">
        <v>396</v>
      </c>
      <c r="D177" s="1716"/>
      <c r="E177" s="1717"/>
      <c r="F177" s="1718"/>
      <c r="G177" s="1718"/>
      <c r="H177" s="1719"/>
      <c r="I177" s="1716"/>
      <c r="J177" s="1717"/>
      <c r="K177" s="1718"/>
      <c r="L177" s="1718"/>
      <c r="M177" s="1719"/>
      <c r="N177" s="1716"/>
      <c r="O177" s="1717"/>
      <c r="P177" s="1718"/>
      <c r="Q177" s="1718"/>
      <c r="R177" s="1719"/>
      <c r="S177" s="1716"/>
      <c r="T177" s="337">
        <v>2704</v>
      </c>
      <c r="U177" s="338">
        <v>2722</v>
      </c>
      <c r="V177" s="338">
        <v>2730</v>
      </c>
      <c r="W177" s="1684">
        <v>2772</v>
      </c>
      <c r="X177" s="647">
        <f>W177</f>
        <v>2772</v>
      </c>
      <c r="Y177" s="337">
        <v>2787</v>
      </c>
      <c r="Z177" s="338">
        <v>2810</v>
      </c>
      <c r="AA177" s="338">
        <v>2836</v>
      </c>
      <c r="AB177" s="1684">
        <v>2816</v>
      </c>
      <c r="AC177" s="647">
        <f>AB177</f>
        <v>2816</v>
      </c>
      <c r="AD177" s="337">
        <v>2734</v>
      </c>
      <c r="AE177" s="338">
        <v>2746</v>
      </c>
      <c r="AF177" s="338">
        <v>2773</v>
      </c>
      <c r="AG177" s="1684">
        <v>2799</v>
      </c>
      <c r="AH177" s="647">
        <f>AG177</f>
        <v>2799</v>
      </c>
      <c r="AI177" s="337">
        <f>+AI100</f>
        <v>2960</v>
      </c>
      <c r="AJ177" s="338">
        <v>2995</v>
      </c>
      <c r="AK177" s="338">
        <v>3026</v>
      </c>
      <c r="AL177" s="1684">
        <v>3050</v>
      </c>
      <c r="AM177" s="647">
        <f>AL177</f>
        <v>3050</v>
      </c>
      <c r="AN177" s="337">
        <v>3090</v>
      </c>
      <c r="AO177" s="338">
        <v>3131</v>
      </c>
      <c r="AP177" s="338">
        <v>3171</v>
      </c>
      <c r="AQ177" s="1684">
        <v>3177</v>
      </c>
      <c r="AR177" s="647">
        <f>AQ177</f>
        <v>3177</v>
      </c>
      <c r="AS177" s="290">
        <f>AR177+AS144</f>
        <v>3256.9765589231756</v>
      </c>
      <c r="AT177" s="1910">
        <f>AS177+AT144</f>
        <v>3337.3613125879447</v>
      </c>
      <c r="AU177" s="260">
        <f>AT177+AU144</f>
        <v>3419.2053381985947</v>
      </c>
      <c r="AV177" s="291">
        <f>AU177+AV144</f>
        <v>3502.4875236804578</v>
      </c>
      <c r="AW177" s="647">
        <f>AV177</f>
        <v>3502.4875236804578</v>
      </c>
      <c r="AX177" s="290">
        <f>AW177+AX144</f>
        <v>3587.187062398642</v>
      </c>
      <c r="AY177" s="1910">
        <f>AX177+AY144</f>
        <v>3673.2834487390701</v>
      </c>
      <c r="AZ177" s="260">
        <f>AY177+AZ144</f>
        <v>3760.756473753449</v>
      </c>
      <c r="BA177" s="291">
        <f>AZ177+BA144</f>
        <v>3849.5862208672443</v>
      </c>
      <c r="BB177" s="647">
        <f>BA177</f>
        <v>3849.5862208672443</v>
      </c>
      <c r="BC177" s="290">
        <f>BB177+BC144</f>
        <v>3939.7530616497529</v>
      </c>
      <c r="BD177" s="1910">
        <f>BC177+BD144</f>
        <v>4030.3276710493474</v>
      </c>
      <c r="BE177" s="260">
        <f>BD177+BE144</f>
        <v>4122.6662408660159</v>
      </c>
      <c r="BF177" s="291">
        <f>BE177+BF144</f>
        <v>4216.7432509325663</v>
      </c>
      <c r="BG177" s="647">
        <f>BF177</f>
        <v>4216.7432509325663</v>
      </c>
      <c r="BH177" s="290">
        <f>BG177+BH144</f>
        <v>4312.5335502958378</v>
      </c>
      <c r="BI177" s="1910">
        <f>BH177+BI144</f>
        <v>4409.4663635174647</v>
      </c>
      <c r="BJ177" s="260">
        <f>BI177+BJ144</f>
        <v>4508.3424159581173</v>
      </c>
      <c r="BK177" s="291">
        <f>BJ177+BK144</f>
        <v>4609.1335937274371</v>
      </c>
      <c r="BL177" s="647">
        <f>BK177</f>
        <v>4609.1335937274371</v>
      </c>
      <c r="BM177" s="1716"/>
      <c r="BN177" s="1716"/>
      <c r="BO177" s="1716"/>
      <c r="BP177" s="1716"/>
      <c r="BQ177" s="1716"/>
      <c r="BR177" s="1716"/>
      <c r="BS177" s="1716"/>
      <c r="BT177" s="1716"/>
      <c r="BU177" s="1716"/>
      <c r="BV177" s="1716"/>
      <c r="BW177" s="1716"/>
      <c r="BX177" s="1716"/>
      <c r="BY177" s="1716"/>
      <c r="BZ177" s="1716"/>
      <c r="CA177" s="1716"/>
      <c r="CB177" s="1716"/>
      <c r="CC177" s="1716"/>
      <c r="CD177" s="1716"/>
      <c r="CE177" s="1716"/>
      <c r="CF177" s="1716"/>
      <c r="CG177" s="1716"/>
      <c r="CH177" s="1716"/>
      <c r="CI177" s="1716"/>
      <c r="CJ177" s="1716"/>
      <c r="CK177" s="1716"/>
      <c r="CL177" s="1716"/>
      <c r="CM177" s="1716"/>
      <c r="CN177" s="1716"/>
      <c r="CO177" s="1716"/>
      <c r="CP177" s="1716"/>
    </row>
    <row r="178" spans="1:94" s="1909" customFormat="1">
      <c r="A178" s="1756"/>
      <c r="B178" s="1756"/>
      <c r="C178" s="1756" t="s">
        <v>960</v>
      </c>
      <c r="D178" s="1756"/>
      <c r="E178" s="1906"/>
      <c r="F178" s="1907"/>
      <c r="G178" s="1907"/>
      <c r="H178" s="1908"/>
      <c r="I178" s="1756"/>
      <c r="J178" s="1906"/>
      <c r="K178" s="1907"/>
      <c r="L178" s="1907"/>
      <c r="M178" s="1908"/>
      <c r="N178" s="1756"/>
      <c r="O178" s="1906"/>
      <c r="P178" s="1907"/>
      <c r="Q178" s="1907"/>
      <c r="R178" s="1908"/>
      <c r="S178" s="1756"/>
      <c r="T178" s="292">
        <f>T176-T177</f>
        <v>4235</v>
      </c>
      <c r="U178" s="261">
        <f t="shared" ref="U178:Z178" si="445">U176-U177</f>
        <v>4332</v>
      </c>
      <c r="V178" s="261">
        <f t="shared" si="445"/>
        <v>4434</v>
      </c>
      <c r="W178" s="293">
        <f t="shared" si="445"/>
        <v>4538</v>
      </c>
      <c r="X178" s="228">
        <f t="shared" si="445"/>
        <v>4538</v>
      </c>
      <c r="Y178" s="292">
        <f t="shared" si="445"/>
        <v>4628</v>
      </c>
      <c r="Z178" s="261">
        <f t="shared" si="445"/>
        <v>4717</v>
      </c>
      <c r="AA178" s="261">
        <f t="shared" ref="AA178:AE178" si="446">AA176-AA177</f>
        <v>4816</v>
      </c>
      <c r="AB178" s="293">
        <f t="shared" si="446"/>
        <v>4948</v>
      </c>
      <c r="AC178" s="228">
        <f t="shared" si="446"/>
        <v>4948</v>
      </c>
      <c r="AD178" s="292">
        <f t="shared" si="446"/>
        <v>5019</v>
      </c>
      <c r="AE178" s="261">
        <f t="shared" si="446"/>
        <v>5102</v>
      </c>
      <c r="AF178" s="261">
        <f t="shared" ref="AF178:AI178" si="447">AF176-AF177</f>
        <v>5176</v>
      </c>
      <c r="AG178" s="293">
        <f t="shared" si="447"/>
        <v>5292</v>
      </c>
      <c r="AH178" s="228">
        <f t="shared" si="447"/>
        <v>5292</v>
      </c>
      <c r="AI178" s="292">
        <f t="shared" si="447"/>
        <v>5225</v>
      </c>
      <c r="AJ178" s="261">
        <f t="shared" ref="AJ178:AM178" si="448">AJ176-AJ177</f>
        <v>5321</v>
      </c>
      <c r="AK178" s="261">
        <f t="shared" si="448"/>
        <v>5409</v>
      </c>
      <c r="AL178" s="293">
        <f t="shared" si="448"/>
        <v>5571</v>
      </c>
      <c r="AM178" s="228">
        <f t="shared" si="448"/>
        <v>5571</v>
      </c>
      <c r="AN178" s="292">
        <f t="shared" ref="AN178:AR178" si="449">AN176-AN177</f>
        <v>5659</v>
      </c>
      <c r="AO178" s="261">
        <f t="shared" si="449"/>
        <v>5759</v>
      </c>
      <c r="AP178" s="261">
        <f t="shared" si="449"/>
        <v>5866</v>
      </c>
      <c r="AQ178" s="293">
        <f t="shared" si="449"/>
        <v>6001</v>
      </c>
      <c r="AR178" s="228">
        <f t="shared" si="449"/>
        <v>6001</v>
      </c>
      <c r="AS178" s="292">
        <f t="shared" ref="AS178:AW178" si="450">AS176-AS177</f>
        <v>6102.2734410768244</v>
      </c>
      <c r="AT178" s="261">
        <f t="shared" si="450"/>
        <v>6203.1386874120553</v>
      </c>
      <c r="AU178" s="261">
        <f t="shared" si="450"/>
        <v>6302.5446618014048</v>
      </c>
      <c r="AV178" s="293">
        <f t="shared" si="450"/>
        <v>6400.5124763195417</v>
      </c>
      <c r="AW178" s="228">
        <f t="shared" si="450"/>
        <v>6400.5124763195417</v>
      </c>
      <c r="AX178" s="292">
        <f t="shared" ref="AX178:BG178" si="451">AX176-AX177</f>
        <v>6497.0629376013585</v>
      </c>
      <c r="AY178" s="261">
        <f t="shared" si="451"/>
        <v>6592.2165512609299</v>
      </c>
      <c r="AZ178" s="261">
        <f t="shared" si="451"/>
        <v>6685.9935262465515</v>
      </c>
      <c r="BA178" s="293">
        <f t="shared" si="451"/>
        <v>6778.4137791327557</v>
      </c>
      <c r="BB178" s="228">
        <f t="shared" si="451"/>
        <v>6778.4137791327557</v>
      </c>
      <c r="BC178" s="292">
        <f t="shared" si="451"/>
        <v>6900.7469383502466</v>
      </c>
      <c r="BD178" s="261">
        <f t="shared" si="451"/>
        <v>7022.6723289506526</v>
      </c>
      <c r="BE178" s="261">
        <f t="shared" si="451"/>
        <v>7142.8337591339841</v>
      </c>
      <c r="BF178" s="293">
        <f t="shared" si="451"/>
        <v>7261.2567490674337</v>
      </c>
      <c r="BG178" s="228">
        <f t="shared" si="451"/>
        <v>7261.2567490674337</v>
      </c>
      <c r="BH178" s="292">
        <f t="shared" ref="BH178:BL178" si="452">BH176-BH177</f>
        <v>7396.7164497041622</v>
      </c>
      <c r="BI178" s="261">
        <f t="shared" si="452"/>
        <v>7531.0336364825353</v>
      </c>
      <c r="BJ178" s="261">
        <f t="shared" si="452"/>
        <v>7663.4075840418827</v>
      </c>
      <c r="BK178" s="293">
        <f t="shared" si="452"/>
        <v>7793.8664062725629</v>
      </c>
      <c r="BL178" s="228">
        <f t="shared" si="452"/>
        <v>7793.8664062725629</v>
      </c>
      <c r="BM178" s="1756"/>
      <c r="BN178" s="1756"/>
      <c r="BO178" s="1756"/>
      <c r="BP178" s="1756"/>
      <c r="BQ178" s="1756"/>
      <c r="BR178" s="1756"/>
      <c r="BS178" s="1756"/>
      <c r="BT178" s="1756"/>
      <c r="BU178" s="1756"/>
      <c r="BV178" s="1756"/>
      <c r="BW178" s="1756"/>
      <c r="BX178" s="1756"/>
      <c r="BY178" s="1756"/>
      <c r="BZ178" s="1756"/>
      <c r="CA178" s="1756"/>
      <c r="CB178" s="1756"/>
      <c r="CC178" s="1756"/>
      <c r="CD178" s="1756"/>
      <c r="CE178" s="1756"/>
      <c r="CF178" s="1756"/>
      <c r="CG178" s="1756"/>
      <c r="CH178" s="1756"/>
      <c r="CI178" s="1756"/>
      <c r="CJ178" s="1756"/>
      <c r="CK178" s="1756"/>
      <c r="CL178" s="1756"/>
      <c r="CM178" s="1756"/>
      <c r="CN178" s="1756"/>
      <c r="CO178" s="1756"/>
      <c r="CP178" s="1756"/>
    </row>
    <row r="179" spans="1:94">
      <c r="A179" s="1716"/>
      <c r="B179" s="1716"/>
      <c r="C179" s="1716"/>
      <c r="D179" s="1716"/>
      <c r="E179" s="1717"/>
      <c r="F179" s="1718"/>
      <c r="G179" s="1718"/>
      <c r="H179" s="1719"/>
      <c r="I179" s="1716"/>
      <c r="J179" s="1717"/>
      <c r="K179" s="1718"/>
      <c r="L179" s="1718"/>
      <c r="M179" s="1719"/>
      <c r="N179" s="1716"/>
      <c r="O179" s="1717"/>
      <c r="P179" s="1718"/>
      <c r="Q179" s="1718"/>
      <c r="R179" s="1719"/>
      <c r="S179" s="1716"/>
      <c r="T179" s="337"/>
      <c r="U179" s="338"/>
      <c r="V179" s="338"/>
      <c r="W179" s="1684"/>
      <c r="X179" s="647"/>
      <c r="Y179" s="337"/>
      <c r="Z179" s="338"/>
      <c r="AA179" s="338"/>
      <c r="AB179" s="1684"/>
      <c r="AC179" s="647"/>
      <c r="AD179" s="337"/>
      <c r="AE179" s="338"/>
      <c r="AF179" s="338"/>
      <c r="AG179" s="1684"/>
      <c r="AH179" s="647"/>
      <c r="AI179" s="337"/>
      <c r="AJ179" s="338"/>
      <c r="AK179" s="338"/>
      <c r="AL179" s="1684"/>
      <c r="AM179" s="647"/>
      <c r="AN179" s="337"/>
      <c r="AO179" s="338"/>
      <c r="AP179" s="353"/>
      <c r="AQ179" s="1684"/>
      <c r="AR179" s="647"/>
      <c r="AS179" s="369"/>
      <c r="AT179" s="353"/>
      <c r="AU179" s="353"/>
      <c r="AV179" s="354"/>
      <c r="AW179" s="340"/>
      <c r="AX179" s="369"/>
      <c r="AY179" s="353"/>
      <c r="AZ179" s="353"/>
      <c r="BA179" s="354"/>
      <c r="BB179" s="340"/>
      <c r="BC179" s="369"/>
      <c r="BD179" s="353"/>
      <c r="BE179" s="353"/>
      <c r="BF179" s="354"/>
      <c r="BG179" s="340"/>
      <c r="BH179" s="369"/>
      <c r="BI179" s="353"/>
      <c r="BJ179" s="353"/>
      <c r="BK179" s="354"/>
      <c r="BL179" s="340"/>
      <c r="BM179" s="1716"/>
      <c r="BN179" s="1716"/>
      <c r="BO179" s="1716"/>
      <c r="BP179" s="1716"/>
      <c r="BQ179" s="1716"/>
      <c r="BR179" s="1716"/>
      <c r="BS179" s="1716"/>
      <c r="BT179" s="1716"/>
      <c r="BU179" s="1716"/>
      <c r="BV179" s="1716"/>
      <c r="BW179" s="1716"/>
      <c r="BX179" s="1716"/>
      <c r="BY179" s="1716"/>
      <c r="BZ179" s="1716"/>
      <c r="CA179" s="1716"/>
      <c r="CB179" s="1716"/>
      <c r="CC179" s="1716"/>
      <c r="CD179" s="1716"/>
      <c r="CE179" s="1716"/>
      <c r="CF179" s="1716"/>
      <c r="CG179" s="1716"/>
      <c r="CH179" s="1716"/>
      <c r="CI179" s="1716"/>
      <c r="CJ179" s="1716"/>
      <c r="CK179" s="1716"/>
      <c r="CL179" s="1716"/>
      <c r="CM179" s="1716"/>
      <c r="CN179" s="1716"/>
      <c r="CO179" s="1716"/>
      <c r="CP179" s="1716"/>
    </row>
    <row r="180" spans="1:94">
      <c r="A180" s="1716"/>
      <c r="B180" s="1716"/>
      <c r="C180" s="1716" t="s">
        <v>1292</v>
      </c>
      <c r="D180" s="1716"/>
      <c r="E180" s="1717"/>
      <c r="F180" s="1718"/>
      <c r="G180" s="1718"/>
      <c r="H180" s="1719"/>
      <c r="I180" s="1716"/>
      <c r="J180" s="1717"/>
      <c r="K180" s="1718"/>
      <c r="L180" s="1718"/>
      <c r="M180" s="1719"/>
      <c r="N180" s="1716"/>
      <c r="O180" s="1717"/>
      <c r="P180" s="1718"/>
      <c r="Q180" s="1718"/>
      <c r="R180" s="1719"/>
      <c r="S180" s="1716"/>
      <c r="T180" s="337">
        <v>493</v>
      </c>
      <c r="U180" s="338">
        <v>512</v>
      </c>
      <c r="V180" s="338">
        <v>536</v>
      </c>
      <c r="W180" s="1684">
        <v>563</v>
      </c>
      <c r="X180" s="647">
        <f>W180</f>
        <v>563</v>
      </c>
      <c r="Y180" s="337">
        <v>563</v>
      </c>
      <c r="Z180" s="338">
        <v>595</v>
      </c>
      <c r="AA180" s="338">
        <v>639</v>
      </c>
      <c r="AB180" s="1684">
        <v>697</v>
      </c>
      <c r="AC180" s="647">
        <f>AB180</f>
        <v>697</v>
      </c>
      <c r="AD180" s="337">
        <v>655</v>
      </c>
      <c r="AE180" s="338">
        <v>677</v>
      </c>
      <c r="AF180" s="338">
        <v>695</v>
      </c>
      <c r="AG180" s="1684">
        <v>720</v>
      </c>
      <c r="AH180" s="647">
        <f>AG180</f>
        <v>720</v>
      </c>
      <c r="AI180" s="337">
        <v>663</v>
      </c>
      <c r="AJ180" s="338">
        <v>669</v>
      </c>
      <c r="AK180" s="338">
        <v>676</v>
      </c>
      <c r="AL180" s="1684">
        <v>690</v>
      </c>
      <c r="AM180" s="647">
        <f>AL180</f>
        <v>690</v>
      </c>
      <c r="AN180" s="337">
        <v>679</v>
      </c>
      <c r="AO180" s="338">
        <v>682</v>
      </c>
      <c r="AP180" s="338">
        <v>699</v>
      </c>
      <c r="AQ180" s="1684">
        <v>678</v>
      </c>
      <c r="AR180" s="647">
        <f>AQ180</f>
        <v>678</v>
      </c>
      <c r="AS180" s="369">
        <f t="shared" ref="AS180:AW181" si="453">AR180</f>
        <v>678</v>
      </c>
      <c r="AT180" s="353">
        <f t="shared" si="453"/>
        <v>678</v>
      </c>
      <c r="AU180" s="353">
        <f t="shared" si="453"/>
        <v>678</v>
      </c>
      <c r="AV180" s="354">
        <f t="shared" si="453"/>
        <v>678</v>
      </c>
      <c r="AW180" s="340">
        <f t="shared" si="453"/>
        <v>678</v>
      </c>
      <c r="AX180" s="369">
        <f t="shared" ref="AX180" si="454">AW180</f>
        <v>678</v>
      </c>
      <c r="AY180" s="353">
        <f t="shared" ref="AY180" si="455">AX180</f>
        <v>678</v>
      </c>
      <c r="AZ180" s="353">
        <f t="shared" ref="AZ180" si="456">AY180</f>
        <v>678</v>
      </c>
      <c r="BA180" s="354">
        <f t="shared" ref="BA180" si="457">AZ180</f>
        <v>678</v>
      </c>
      <c r="BB180" s="340">
        <f t="shared" ref="BB180:BB181" si="458">BA180</f>
        <v>678</v>
      </c>
      <c r="BC180" s="369">
        <f t="shared" ref="BC180" si="459">BB180</f>
        <v>678</v>
      </c>
      <c r="BD180" s="353">
        <f t="shared" ref="BD180" si="460">BC180</f>
        <v>678</v>
      </c>
      <c r="BE180" s="353">
        <f t="shared" ref="BE180" si="461">BD180</f>
        <v>678</v>
      </c>
      <c r="BF180" s="354">
        <f t="shared" ref="BF180" si="462">BE180</f>
        <v>678</v>
      </c>
      <c r="BG180" s="340">
        <f t="shared" ref="BG180:BG181" si="463">BF180</f>
        <v>678</v>
      </c>
      <c r="BH180" s="369">
        <f t="shared" ref="BH180" si="464">BG180</f>
        <v>678</v>
      </c>
      <c r="BI180" s="353">
        <f t="shared" ref="BI180" si="465">BH180</f>
        <v>678</v>
      </c>
      <c r="BJ180" s="353">
        <f t="shared" ref="BJ180" si="466">BI180</f>
        <v>678</v>
      </c>
      <c r="BK180" s="354">
        <f t="shared" ref="BK180" si="467">BJ180</f>
        <v>678</v>
      </c>
      <c r="BL180" s="340">
        <f t="shared" ref="BL180:BL181" si="468">BK180</f>
        <v>678</v>
      </c>
      <c r="BM180" s="1716"/>
      <c r="BN180" s="1716"/>
      <c r="BO180" s="1716"/>
      <c r="BP180" s="1716"/>
      <c r="BQ180" s="1716"/>
      <c r="BR180" s="1716"/>
      <c r="BS180" s="1716"/>
      <c r="BT180" s="1716"/>
      <c r="BU180" s="1716"/>
      <c r="BV180" s="1716"/>
      <c r="BW180" s="1716"/>
      <c r="BX180" s="1716"/>
      <c r="BY180" s="1716"/>
      <c r="BZ180" s="1716"/>
      <c r="CA180" s="1716"/>
      <c r="CB180" s="1716"/>
      <c r="CC180" s="1716"/>
      <c r="CD180" s="1716"/>
      <c r="CE180" s="1716"/>
      <c r="CF180" s="1716"/>
      <c r="CG180" s="1716"/>
      <c r="CH180" s="1716"/>
      <c r="CI180" s="1716"/>
      <c r="CJ180" s="1716"/>
      <c r="CK180" s="1716"/>
      <c r="CL180" s="1716"/>
      <c r="CM180" s="1716"/>
      <c r="CN180" s="1716"/>
      <c r="CO180" s="1716"/>
      <c r="CP180" s="1716"/>
    </row>
    <row r="181" spans="1:94">
      <c r="A181" s="1716"/>
      <c r="B181" s="1716"/>
      <c r="C181" s="1716" t="s">
        <v>62</v>
      </c>
      <c r="D181" s="1716"/>
      <c r="E181" s="1717"/>
      <c r="F181" s="1718"/>
      <c r="G181" s="1718"/>
      <c r="H181" s="1719"/>
      <c r="I181" s="1716"/>
      <c r="J181" s="1717"/>
      <c r="K181" s="1718"/>
      <c r="L181" s="1718"/>
      <c r="M181" s="1719"/>
      <c r="N181" s="1716"/>
      <c r="O181" s="1717"/>
      <c r="P181" s="1718"/>
      <c r="Q181" s="1718"/>
      <c r="R181" s="1719"/>
      <c r="S181" s="1716"/>
      <c r="T181" s="337">
        <f>63+18+31+349</f>
        <v>461</v>
      </c>
      <c r="U181" s="338">
        <f>64+35+31+343</f>
        <v>473</v>
      </c>
      <c r="V181" s="338">
        <f>63+35+33+337</f>
        <v>468</v>
      </c>
      <c r="W181" s="1684">
        <f>66+36+33+332</f>
        <v>467</v>
      </c>
      <c r="X181" s="647">
        <f>W181</f>
        <v>467</v>
      </c>
      <c r="Y181" s="337">
        <f>74+28+33+327</f>
        <v>462</v>
      </c>
      <c r="Z181" s="338">
        <f>74+28+32+324</f>
        <v>458</v>
      </c>
      <c r="AA181" s="338">
        <f>320+34+28+72</f>
        <v>454</v>
      </c>
      <c r="AB181" s="1684">
        <f>316+34+30+71</f>
        <v>451</v>
      </c>
      <c r="AC181" s="647">
        <f>AB181</f>
        <v>451</v>
      </c>
      <c r="AD181" s="337">
        <f>309+34+30+75</f>
        <v>448</v>
      </c>
      <c r="AE181" s="338">
        <f>304+34+30+75</f>
        <v>443</v>
      </c>
      <c r="AF181" s="338">
        <f>298+26+30+73</f>
        <v>427</v>
      </c>
      <c r="AG181" s="1684">
        <f>291+27+3+42</f>
        <v>363</v>
      </c>
      <c r="AH181" s="647">
        <f>AG181</f>
        <v>363</v>
      </c>
      <c r="AI181" s="337">
        <f>99+280+5</f>
        <v>384</v>
      </c>
      <c r="AJ181" s="338">
        <f>99+272+4</f>
        <v>375</v>
      </c>
      <c r="AK181" s="338">
        <f>100+266+4</f>
        <v>370</v>
      </c>
      <c r="AL181" s="1684">
        <f>102+282+6</f>
        <v>390</v>
      </c>
      <c r="AM181" s="647">
        <f>AL181</f>
        <v>390</v>
      </c>
      <c r="AN181" s="337">
        <f>101+337+7</f>
        <v>445</v>
      </c>
      <c r="AO181" s="338">
        <f>102+332+5</f>
        <v>439</v>
      </c>
      <c r="AP181" s="338">
        <f>102+327+4</f>
        <v>433</v>
      </c>
      <c r="AQ181" s="1684">
        <f>102+322+19</f>
        <v>443</v>
      </c>
      <c r="AR181" s="647">
        <f>AQ181</f>
        <v>443</v>
      </c>
      <c r="AS181" s="369">
        <f>AR181-AS152-AS151</f>
        <v>443</v>
      </c>
      <c r="AT181" s="353">
        <f>AS181-AT152-AT151</f>
        <v>443</v>
      </c>
      <c r="AU181" s="353">
        <f>AT181-AU152-AU151</f>
        <v>443</v>
      </c>
      <c r="AV181" s="354">
        <f>AU181-AV152-AV151</f>
        <v>443</v>
      </c>
      <c r="AW181" s="340">
        <f t="shared" si="453"/>
        <v>443</v>
      </c>
      <c r="AX181" s="369">
        <f>AW181-AX152-AX151</f>
        <v>443</v>
      </c>
      <c r="AY181" s="353">
        <f>AX181-AY152-AY151</f>
        <v>443</v>
      </c>
      <c r="AZ181" s="353">
        <f>AY181-AZ152-AZ151</f>
        <v>443</v>
      </c>
      <c r="BA181" s="354">
        <f>AZ181-BA152-BA151</f>
        <v>443</v>
      </c>
      <c r="BB181" s="340">
        <f t="shared" si="458"/>
        <v>443</v>
      </c>
      <c r="BC181" s="369">
        <f>BB181-BC152-BC151</f>
        <v>443</v>
      </c>
      <c r="BD181" s="353">
        <f>BC181-BD152-BD151</f>
        <v>443</v>
      </c>
      <c r="BE181" s="353">
        <f>BD181-BE152-BE151</f>
        <v>443</v>
      </c>
      <c r="BF181" s="354">
        <f>BE181-BF152-BF151</f>
        <v>443</v>
      </c>
      <c r="BG181" s="340">
        <f t="shared" si="463"/>
        <v>443</v>
      </c>
      <c r="BH181" s="369">
        <f>BG181-BH152-BH151</f>
        <v>443</v>
      </c>
      <c r="BI181" s="353">
        <f>BH181-BI152-BI151</f>
        <v>443</v>
      </c>
      <c r="BJ181" s="353">
        <f>BI181-BJ152-BJ151</f>
        <v>443</v>
      </c>
      <c r="BK181" s="354">
        <f>BJ181-BK152-BK151</f>
        <v>443</v>
      </c>
      <c r="BL181" s="340">
        <f t="shared" si="468"/>
        <v>443</v>
      </c>
      <c r="BM181" s="1716"/>
      <c r="BN181" s="1716"/>
      <c r="BO181" s="1716"/>
      <c r="BP181" s="1716"/>
      <c r="BQ181" s="1716"/>
      <c r="BR181" s="1716"/>
      <c r="BS181" s="1716"/>
      <c r="BT181" s="1716"/>
      <c r="BU181" s="1716"/>
      <c r="BV181" s="1716"/>
      <c r="BW181" s="1716"/>
      <c r="BX181" s="1716"/>
      <c r="BY181" s="1716"/>
      <c r="BZ181" s="1716"/>
      <c r="CA181" s="1716"/>
      <c r="CB181" s="1716"/>
      <c r="CC181" s="1716"/>
      <c r="CD181" s="1716"/>
      <c r="CE181" s="1716"/>
      <c r="CF181" s="1716"/>
      <c r="CG181" s="1716"/>
      <c r="CH181" s="1716"/>
      <c r="CI181" s="1716"/>
      <c r="CJ181" s="1716"/>
      <c r="CK181" s="1716"/>
      <c r="CL181" s="1716"/>
      <c r="CM181" s="1716"/>
      <c r="CN181" s="1716"/>
      <c r="CO181" s="1716"/>
      <c r="CP181" s="1716"/>
    </row>
    <row r="182" spans="1:94">
      <c r="A182" s="1716"/>
      <c r="B182" s="1716"/>
      <c r="C182" s="1716"/>
      <c r="D182" s="1716"/>
      <c r="E182" s="1717"/>
      <c r="F182" s="1718"/>
      <c r="G182" s="1718"/>
      <c r="H182" s="1719"/>
      <c r="I182" s="1716"/>
      <c r="J182" s="1717"/>
      <c r="K182" s="1718"/>
      <c r="L182" s="1718"/>
      <c r="M182" s="1719"/>
      <c r="N182" s="1716"/>
      <c r="O182" s="1717"/>
      <c r="P182" s="1718"/>
      <c r="Q182" s="1718"/>
      <c r="R182" s="1719"/>
      <c r="S182" s="1716"/>
      <c r="T182" s="1717"/>
      <c r="U182" s="1718"/>
      <c r="V182" s="1718"/>
      <c r="W182" s="1719"/>
      <c r="X182" s="647"/>
      <c r="Y182" s="1717"/>
      <c r="Z182" s="1718"/>
      <c r="AA182" s="1718"/>
      <c r="AB182" s="1719"/>
      <c r="AC182" s="647"/>
      <c r="AD182" s="1717"/>
      <c r="AE182" s="1718"/>
      <c r="AF182" s="1718"/>
      <c r="AG182" s="1719"/>
      <c r="AH182" s="647"/>
      <c r="AI182" s="1717"/>
      <c r="AJ182" s="1718"/>
      <c r="AK182" s="1718"/>
      <c r="AL182" s="1719"/>
      <c r="AM182" s="647"/>
      <c r="AN182" s="1717"/>
      <c r="AO182" s="1718"/>
      <c r="AP182" s="1718"/>
      <c r="AQ182" s="1719"/>
      <c r="AR182" s="647"/>
      <c r="AS182" s="1913"/>
      <c r="AT182" s="1910"/>
      <c r="AU182" s="1910"/>
      <c r="AV182" s="1911"/>
      <c r="AW182" s="340"/>
      <c r="AX182" s="1913"/>
      <c r="AY182" s="1910"/>
      <c r="AZ182" s="1910"/>
      <c r="BA182" s="1911"/>
      <c r="BB182" s="340"/>
      <c r="BC182" s="1913"/>
      <c r="BD182" s="1910"/>
      <c r="BE182" s="1910"/>
      <c r="BF182" s="1911"/>
      <c r="BG182" s="340"/>
      <c r="BH182" s="1913"/>
      <c r="BI182" s="1910"/>
      <c r="BJ182" s="1910"/>
      <c r="BK182" s="1911"/>
      <c r="BL182" s="340"/>
      <c r="BM182" s="1716"/>
      <c r="BN182" s="1716"/>
      <c r="BO182" s="1716"/>
      <c r="BP182" s="1716"/>
      <c r="BQ182" s="1716"/>
      <c r="BR182" s="1716"/>
      <c r="BS182" s="1716"/>
      <c r="BT182" s="1716"/>
      <c r="BU182" s="1716"/>
      <c r="BV182" s="1716"/>
      <c r="BW182" s="1716"/>
      <c r="BX182" s="1716"/>
      <c r="BY182" s="1716"/>
      <c r="BZ182" s="1716"/>
      <c r="CA182" s="1716"/>
      <c r="CB182" s="1716"/>
      <c r="CC182" s="1716"/>
      <c r="CD182" s="1716"/>
      <c r="CE182" s="1716"/>
      <c r="CF182" s="1716"/>
      <c r="CG182" s="1716"/>
      <c r="CH182" s="1716"/>
      <c r="CI182" s="1716"/>
      <c r="CJ182" s="1716"/>
      <c r="CK182" s="1716"/>
      <c r="CL182" s="1716"/>
      <c r="CM182" s="1716"/>
      <c r="CN182" s="1716"/>
      <c r="CO182" s="1716"/>
      <c r="CP182" s="1716"/>
    </row>
    <row r="183" spans="1:94" s="1909" customFormat="1">
      <c r="A183" s="1756"/>
      <c r="B183" s="1756"/>
      <c r="C183" s="1756" t="s">
        <v>971</v>
      </c>
      <c r="D183" s="1756"/>
      <c r="E183" s="1906"/>
      <c r="F183" s="1907"/>
      <c r="G183" s="1907"/>
      <c r="H183" s="1908"/>
      <c r="I183" s="1756"/>
      <c r="J183" s="1906"/>
      <c r="K183" s="1907"/>
      <c r="L183" s="1907"/>
      <c r="M183" s="1908"/>
      <c r="N183" s="1756"/>
      <c r="O183" s="1906"/>
      <c r="P183" s="1907"/>
      <c r="Q183" s="1907"/>
      <c r="R183" s="1908"/>
      <c r="S183" s="1756"/>
      <c r="T183" s="292">
        <f>SUM(T174,T178,T180:T181)</f>
        <v>5830</v>
      </c>
      <c r="U183" s="261">
        <f t="shared" ref="U183:Z183" si="469">SUM(U174,U178,U180:U181)</f>
        <v>5852</v>
      </c>
      <c r="V183" s="261">
        <f t="shared" si="469"/>
        <v>6032</v>
      </c>
      <c r="W183" s="293">
        <f t="shared" si="469"/>
        <v>6171</v>
      </c>
      <c r="X183" s="583">
        <f t="shared" si="469"/>
        <v>6171</v>
      </c>
      <c r="Y183" s="292">
        <f t="shared" si="469"/>
        <v>6538</v>
      </c>
      <c r="Z183" s="261">
        <f t="shared" si="469"/>
        <v>6363</v>
      </c>
      <c r="AA183" s="261">
        <f t="shared" ref="AA183:AE183" si="470">SUM(AA174,AA178,AA180:AA181)</f>
        <v>6537</v>
      </c>
      <c r="AB183" s="293">
        <f t="shared" si="470"/>
        <v>6613</v>
      </c>
      <c r="AC183" s="583">
        <f t="shared" si="470"/>
        <v>6613</v>
      </c>
      <c r="AD183" s="292">
        <f t="shared" si="470"/>
        <v>6846</v>
      </c>
      <c r="AE183" s="261">
        <f t="shared" si="470"/>
        <v>6832</v>
      </c>
      <c r="AF183" s="261">
        <f t="shared" ref="AF183:AI183" si="471">SUM(AF174,AF178,AF180:AF181)</f>
        <v>6920</v>
      </c>
      <c r="AG183" s="293">
        <f t="shared" si="471"/>
        <v>6985</v>
      </c>
      <c r="AH183" s="583">
        <f t="shared" si="471"/>
        <v>6985</v>
      </c>
      <c r="AI183" s="292">
        <f t="shared" si="471"/>
        <v>6877</v>
      </c>
      <c r="AJ183" s="261">
        <f t="shared" ref="AJ183:AM183" si="472">SUM(AJ174,AJ178,AJ180:AJ181)</f>
        <v>7099</v>
      </c>
      <c r="AK183" s="261">
        <f t="shared" si="472"/>
        <v>7219</v>
      </c>
      <c r="AL183" s="293">
        <f t="shared" si="472"/>
        <v>7335</v>
      </c>
      <c r="AM183" s="583">
        <f t="shared" si="472"/>
        <v>7335</v>
      </c>
      <c r="AN183" s="292">
        <f t="shared" ref="AN183:AR183" si="473">SUM(AN174,AN178,AN180:AN181)</f>
        <v>7417</v>
      </c>
      <c r="AO183" s="261">
        <f t="shared" si="473"/>
        <v>7648</v>
      </c>
      <c r="AP183" s="261">
        <f t="shared" si="473"/>
        <v>7775</v>
      </c>
      <c r="AQ183" s="293">
        <f t="shared" si="473"/>
        <v>7832</v>
      </c>
      <c r="AR183" s="583">
        <f t="shared" si="473"/>
        <v>7832</v>
      </c>
      <c r="AS183" s="292">
        <f t="shared" ref="AS183:AW183" ca="1" si="474">SUM(AS174,AS178,AS180:AS181)</f>
        <v>7928.2734410768244</v>
      </c>
      <c r="AT183" s="261">
        <f t="shared" ca="1" si="474"/>
        <v>8029.1386874120553</v>
      </c>
      <c r="AU183" s="261">
        <f t="shared" ca="1" si="474"/>
        <v>8202.7875512037317</v>
      </c>
      <c r="AV183" s="293">
        <f t="shared" ca="1" si="474"/>
        <v>8234.716937464611</v>
      </c>
      <c r="AW183" s="228">
        <f t="shared" ca="1" si="474"/>
        <v>8234.716937464611</v>
      </c>
      <c r="AX183" s="292">
        <f t="shared" ref="AX183:BG183" ca="1" si="475">SUM(AX174,AX178,AX180:AX181)</f>
        <v>8323.0629376013585</v>
      </c>
      <c r="AY183" s="261">
        <f t="shared" ca="1" si="475"/>
        <v>8418.2165512609299</v>
      </c>
      <c r="AZ183" s="261">
        <f t="shared" ca="1" si="475"/>
        <v>8568.6795294148578</v>
      </c>
      <c r="BA183" s="293">
        <f t="shared" ca="1" si="475"/>
        <v>8613.1467321048785</v>
      </c>
      <c r="BB183" s="228">
        <f t="shared" ca="1" si="475"/>
        <v>8613.1467321048785</v>
      </c>
      <c r="BC183" s="292">
        <f t="shared" ca="1" si="475"/>
        <v>8726.7469383502466</v>
      </c>
      <c r="BD183" s="261">
        <f t="shared" ca="1" si="475"/>
        <v>8848.6723289506517</v>
      </c>
      <c r="BE183" s="261">
        <f t="shared" ca="1" si="475"/>
        <v>9036.5501828590932</v>
      </c>
      <c r="BF183" s="293">
        <f t="shared" ca="1" si="475"/>
        <v>9094.9176168141257</v>
      </c>
      <c r="BG183" s="228">
        <f t="shared" ca="1" si="475"/>
        <v>9094.9176168141257</v>
      </c>
      <c r="BH183" s="292">
        <f t="shared" ref="BH183:BL183" ca="1" si="476">SUM(BH174,BH178,BH180:BH181)</f>
        <v>9222.7164497041631</v>
      </c>
      <c r="BI183" s="261">
        <f t="shared" ca="1" si="476"/>
        <v>9357.0336364825343</v>
      </c>
      <c r="BJ183" s="261">
        <f t="shared" ca="1" si="476"/>
        <v>9561.3087224894425</v>
      </c>
      <c r="BK183" s="293">
        <f t="shared" ca="1" si="476"/>
        <v>9624.97789628176</v>
      </c>
      <c r="BL183" s="228">
        <f t="shared" ca="1" si="476"/>
        <v>9624.97789628176</v>
      </c>
      <c r="BM183" s="1756"/>
      <c r="BN183" s="1756"/>
      <c r="BO183" s="1756"/>
      <c r="BP183" s="1756"/>
      <c r="BQ183" s="1756"/>
      <c r="BR183" s="1756"/>
      <c r="BS183" s="1756"/>
      <c r="BT183" s="1756"/>
      <c r="BU183" s="1756"/>
      <c r="BV183" s="1756"/>
      <c r="BW183" s="1756"/>
      <c r="BX183" s="1756"/>
      <c r="BY183" s="1756"/>
      <c r="BZ183" s="1756"/>
      <c r="CA183" s="1756"/>
      <c r="CB183" s="1756"/>
      <c r="CC183" s="1756"/>
      <c r="CD183" s="1756"/>
      <c r="CE183" s="1756"/>
      <c r="CF183" s="1756"/>
      <c r="CG183" s="1756"/>
      <c r="CH183" s="1756"/>
      <c r="CI183" s="1756"/>
      <c r="CJ183" s="1756"/>
      <c r="CK183" s="1756"/>
      <c r="CL183" s="1756"/>
      <c r="CM183" s="1756"/>
      <c r="CN183" s="1756"/>
      <c r="CO183" s="1756"/>
      <c r="CP183" s="1756"/>
    </row>
    <row r="184" spans="1:94">
      <c r="A184" s="1716"/>
      <c r="B184" s="1716"/>
      <c r="C184" s="1716"/>
      <c r="D184" s="1716"/>
      <c r="E184" s="1717"/>
      <c r="F184" s="1718"/>
      <c r="G184" s="1718"/>
      <c r="H184" s="1719"/>
      <c r="I184" s="1716"/>
      <c r="J184" s="1717"/>
      <c r="K184" s="1718"/>
      <c r="L184" s="1718"/>
      <c r="M184" s="1719"/>
      <c r="N184" s="1716"/>
      <c r="O184" s="1717"/>
      <c r="P184" s="1718"/>
      <c r="Q184" s="1718"/>
      <c r="R184" s="1719"/>
      <c r="S184" s="1716"/>
      <c r="T184" s="1717"/>
      <c r="U184" s="1718"/>
      <c r="V184" s="1718"/>
      <c r="W184" s="1719"/>
      <c r="X184" s="647"/>
      <c r="Y184" s="1717"/>
      <c r="Z184" s="1718"/>
      <c r="AA184" s="1718"/>
      <c r="AB184" s="1719"/>
      <c r="AC184" s="647"/>
      <c r="AD184" s="1717"/>
      <c r="AE184" s="1718"/>
      <c r="AF184" s="1718"/>
      <c r="AG184" s="1719"/>
      <c r="AH184" s="647"/>
      <c r="AI184" s="1717"/>
      <c r="AJ184" s="1718"/>
      <c r="AK184" s="1718"/>
      <c r="AL184" s="1719"/>
      <c r="AM184" s="647"/>
      <c r="AN184" s="1717"/>
      <c r="AO184" s="1718"/>
      <c r="AP184" s="1718"/>
      <c r="AQ184" s="1719"/>
      <c r="AR184" s="647"/>
      <c r="AS184" s="1717"/>
      <c r="AT184" s="1718"/>
      <c r="AU184" s="1718"/>
      <c r="AV184" s="1719"/>
      <c r="AW184" s="45"/>
      <c r="AX184" s="1717"/>
      <c r="AY184" s="1718"/>
      <c r="AZ184" s="1718"/>
      <c r="BA184" s="1719"/>
      <c r="BB184" s="45"/>
      <c r="BC184" s="1717"/>
      <c r="BD184" s="1718"/>
      <c r="BE184" s="1718"/>
      <c r="BF184" s="1719"/>
      <c r="BG184" s="45"/>
      <c r="BH184" s="1717"/>
      <c r="BI184" s="1718"/>
      <c r="BJ184" s="1718"/>
      <c r="BK184" s="1719"/>
      <c r="BL184" s="45"/>
      <c r="BM184" s="1716"/>
      <c r="BN184" s="1716"/>
      <c r="BO184" s="1716"/>
      <c r="BP184" s="1716"/>
      <c r="BQ184" s="1716"/>
      <c r="BR184" s="1716"/>
      <c r="BS184" s="1716"/>
      <c r="BT184" s="1716"/>
      <c r="BU184" s="1716"/>
      <c r="BV184" s="1716"/>
      <c r="BW184" s="1716"/>
      <c r="BX184" s="1716"/>
      <c r="BY184" s="1716"/>
      <c r="BZ184" s="1716"/>
      <c r="CA184" s="1716"/>
      <c r="CB184" s="1716"/>
      <c r="CC184" s="1716"/>
      <c r="CD184" s="1716"/>
      <c r="CE184" s="1716"/>
      <c r="CF184" s="1716"/>
      <c r="CG184" s="1716"/>
      <c r="CH184" s="1716"/>
      <c r="CI184" s="1716"/>
      <c r="CJ184" s="1716"/>
      <c r="CK184" s="1716"/>
      <c r="CL184" s="1716"/>
      <c r="CM184" s="1716"/>
      <c r="CN184" s="1716"/>
      <c r="CO184" s="1716"/>
      <c r="CP184" s="1716"/>
    </row>
    <row r="185" spans="1:94">
      <c r="A185" s="1716"/>
      <c r="B185" s="1716"/>
      <c r="C185" s="1716" t="s">
        <v>962</v>
      </c>
      <c r="D185" s="1716"/>
      <c r="E185" s="1717"/>
      <c r="F185" s="1718"/>
      <c r="G185" s="1718"/>
      <c r="H185" s="1719"/>
      <c r="I185" s="1716"/>
      <c r="J185" s="1717"/>
      <c r="K185" s="1718"/>
      <c r="L185" s="1718"/>
      <c r="M185" s="1719"/>
      <c r="N185" s="1716"/>
      <c r="O185" s="1717"/>
      <c r="P185" s="1718"/>
      <c r="Q185" s="1718"/>
      <c r="R185" s="1719"/>
      <c r="S185" s="1716"/>
      <c r="T185" s="337">
        <v>0</v>
      </c>
      <c r="U185" s="338">
        <v>0</v>
      </c>
      <c r="V185" s="338">
        <v>32</v>
      </c>
      <c r="W185" s="1684">
        <v>151</v>
      </c>
      <c r="X185" s="647">
        <f>W185</f>
        <v>151</v>
      </c>
      <c r="Y185" s="337">
        <v>0</v>
      </c>
      <c r="Z185" s="338">
        <v>0</v>
      </c>
      <c r="AA185" s="338">
        <v>0</v>
      </c>
      <c r="AB185" s="1684">
        <v>104</v>
      </c>
      <c r="AC185" s="647">
        <f>AB185</f>
        <v>104</v>
      </c>
      <c r="AD185" s="337">
        <v>0</v>
      </c>
      <c r="AE185" s="338">
        <v>0</v>
      </c>
      <c r="AF185" s="338">
        <v>48</v>
      </c>
      <c r="AG185" s="1684">
        <v>64</v>
      </c>
      <c r="AH185" s="647">
        <f>AG185</f>
        <v>64</v>
      </c>
      <c r="AI185" s="337">
        <v>0</v>
      </c>
      <c r="AJ185" s="338">
        <v>0</v>
      </c>
      <c r="AK185" s="338">
        <v>0</v>
      </c>
      <c r="AL185" s="1684">
        <v>23</v>
      </c>
      <c r="AM185" s="647">
        <f>AL185</f>
        <v>23</v>
      </c>
      <c r="AN185" s="337">
        <v>167</v>
      </c>
      <c r="AO185" s="338">
        <v>0</v>
      </c>
      <c r="AP185" s="338">
        <v>0</v>
      </c>
      <c r="AQ185" s="1684">
        <v>26</v>
      </c>
      <c r="AR185" s="647">
        <f>AQ185</f>
        <v>26</v>
      </c>
      <c r="AS185" s="290">
        <f t="shared" ref="AS185:AV185" ca="1" si="477">AR185+AS164+AS157</f>
        <v>88.106364541150128</v>
      </c>
      <c r="AT185" s="260">
        <f t="shared" ca="1" si="477"/>
        <v>154.37824499316989</v>
      </c>
      <c r="AU185" s="260">
        <f t="shared" ca="1" si="477"/>
        <v>0</v>
      </c>
      <c r="AV185" s="291">
        <f t="shared" ca="1" si="477"/>
        <v>0</v>
      </c>
      <c r="AW185" s="45">
        <f t="shared" ref="AW185:AW186" ca="1" si="478">AV185</f>
        <v>0</v>
      </c>
      <c r="AX185" s="290">
        <f t="shared" ref="AX185" ca="1" si="479">AW185+AX164+AX157</f>
        <v>50.886263115556801</v>
      </c>
      <c r="AY185" s="260">
        <f t="shared" ref="AY185" ca="1" si="480">AX185+AY164+AY157</f>
        <v>108.75206680439948</v>
      </c>
      <c r="AZ185" s="260">
        <f t="shared" ref="AZ185" ca="1" si="481">AY185+AZ164+AZ157</f>
        <v>0</v>
      </c>
      <c r="BA185" s="291">
        <f t="shared" ref="BA185" ca="1" si="482">AZ185+BA164+BA157</f>
        <v>0</v>
      </c>
      <c r="BB185" s="45">
        <f t="shared" ref="BB185:BB188" ca="1" si="483">BA185</f>
        <v>0</v>
      </c>
      <c r="BC185" s="290">
        <f t="shared" ref="BC185" ca="1" si="484">BB185+BC164+BC157</f>
        <v>63.120049970620101</v>
      </c>
      <c r="BD185" s="260">
        <f t="shared" ref="BD185" ca="1" si="485">BC185+BD164+BD157</f>
        <v>133.58945953759479</v>
      </c>
      <c r="BE185" s="260">
        <f t="shared" ref="BE185" ca="1" si="486">BD185+BE164+BE157</f>
        <v>0</v>
      </c>
      <c r="BF185" s="291">
        <f t="shared" ref="BF185" ca="1" si="487">BE185+BF164+BF157</f>
        <v>0</v>
      </c>
      <c r="BG185" s="45">
        <f t="shared" ref="BG185:BG188" ca="1" si="488">BF185</f>
        <v>0</v>
      </c>
      <c r="BH185" s="290">
        <f t="shared" ref="BH185" ca="1" si="489">BG185+BH164+BH157</f>
        <v>70.005151668717275</v>
      </c>
      <c r="BI185" s="260">
        <f t="shared" ref="BI185" ca="1" si="490">BH185+BI164+BI157</f>
        <v>145.87227232154362</v>
      </c>
      <c r="BJ185" s="260">
        <f t="shared" ref="BJ185" ca="1" si="491">BI185+BJ164+BJ157</f>
        <v>0</v>
      </c>
      <c r="BK185" s="291">
        <f t="shared" ref="BK185" ca="1" si="492">BJ185+BK164+BK157</f>
        <v>0</v>
      </c>
      <c r="BL185" s="45">
        <f t="shared" ref="BL185:BL188" ca="1" si="493">BK185</f>
        <v>0</v>
      </c>
      <c r="BM185" s="1716"/>
      <c r="BN185" s="1716"/>
      <c r="BO185" s="1716"/>
      <c r="BP185" s="1716"/>
      <c r="BQ185" s="1716"/>
      <c r="BR185" s="1716"/>
      <c r="BS185" s="1716"/>
      <c r="BT185" s="1716"/>
      <c r="BU185" s="1716"/>
      <c r="BV185" s="1716"/>
      <c r="BW185" s="1716"/>
      <c r="BX185" s="1716"/>
      <c r="BY185" s="1716"/>
      <c r="BZ185" s="1716"/>
      <c r="CA185" s="1716"/>
      <c r="CB185" s="1716"/>
      <c r="CC185" s="1716"/>
      <c r="CD185" s="1716"/>
      <c r="CE185" s="1716"/>
      <c r="CF185" s="1716"/>
      <c r="CG185" s="1716"/>
      <c r="CH185" s="1716"/>
      <c r="CI185" s="1716"/>
      <c r="CJ185" s="1716"/>
      <c r="CK185" s="1716"/>
      <c r="CL185" s="1716"/>
      <c r="CM185" s="1716"/>
      <c r="CN185" s="1716"/>
      <c r="CO185" s="1716"/>
      <c r="CP185" s="1716"/>
    </row>
    <row r="186" spans="1:94">
      <c r="A186" s="1716"/>
      <c r="B186" s="1716"/>
      <c r="C186" s="1716" t="s">
        <v>972</v>
      </c>
      <c r="D186" s="1716"/>
      <c r="E186" s="1717"/>
      <c r="F186" s="1718"/>
      <c r="G186" s="1718"/>
      <c r="H186" s="1719"/>
      <c r="I186" s="1716"/>
      <c r="J186" s="1717"/>
      <c r="K186" s="1718"/>
      <c r="L186" s="1718"/>
      <c r="M186" s="1719"/>
      <c r="N186" s="1716"/>
      <c r="O186" s="1717"/>
      <c r="P186" s="1718"/>
      <c r="Q186" s="1718"/>
      <c r="R186" s="1719"/>
      <c r="S186" s="1716"/>
      <c r="T186" s="337">
        <v>200</v>
      </c>
      <c r="U186" s="338">
        <v>375</v>
      </c>
      <c r="V186" s="338">
        <v>375</v>
      </c>
      <c r="W186" s="1684">
        <v>175</v>
      </c>
      <c r="X186" s="647">
        <f>W186</f>
        <v>175</v>
      </c>
      <c r="Y186" s="337">
        <v>175</v>
      </c>
      <c r="Z186" s="338">
        <v>5</v>
      </c>
      <c r="AA186" s="338">
        <v>10</v>
      </c>
      <c r="AB186" s="1684">
        <v>12</v>
      </c>
      <c r="AC186" s="647">
        <f>AB186</f>
        <v>12</v>
      </c>
      <c r="AD186" s="337">
        <v>0</v>
      </c>
      <c r="AE186" s="338">
        <v>0</v>
      </c>
      <c r="AF186" s="338">
        <v>0</v>
      </c>
      <c r="AG186" s="1684">
        <v>0</v>
      </c>
      <c r="AH186" s="647">
        <f>AG186</f>
        <v>0</v>
      </c>
      <c r="AI186" s="337">
        <v>11</v>
      </c>
      <c r="AJ186" s="338">
        <v>12</v>
      </c>
      <c r="AK186" s="338">
        <v>12</v>
      </c>
      <c r="AL186" s="1684">
        <v>16</v>
      </c>
      <c r="AM186" s="647">
        <f>AL186</f>
        <v>16</v>
      </c>
      <c r="AN186" s="337">
        <v>17</v>
      </c>
      <c r="AO186" s="338">
        <v>18</v>
      </c>
      <c r="AP186" s="338">
        <v>19</v>
      </c>
      <c r="AQ186" s="1684">
        <v>19</v>
      </c>
      <c r="AR186" s="647">
        <f>AQ186</f>
        <v>19</v>
      </c>
      <c r="AS186" s="290">
        <f>-SUM(AT128:AV128)</f>
        <v>0</v>
      </c>
      <c r="AT186" s="260">
        <f>-SUM(AU128:AV128)</f>
        <v>0</v>
      </c>
      <c r="AU186" s="260">
        <f>-AV128</f>
        <v>0</v>
      </c>
      <c r="AV186" s="291">
        <f>-AV128</f>
        <v>0</v>
      </c>
      <c r="AW186" s="45">
        <f t="shared" si="478"/>
        <v>0</v>
      </c>
      <c r="AX186" s="290">
        <f>-SUM(AY128:BA128)</f>
        <v>0</v>
      </c>
      <c r="AY186" s="260">
        <f>-SUM(AZ128:BA128)</f>
        <v>0</v>
      </c>
      <c r="AZ186" s="260">
        <f>-BA128</f>
        <v>0</v>
      </c>
      <c r="BA186" s="291">
        <f>-BA128</f>
        <v>0</v>
      </c>
      <c r="BB186" s="45">
        <f t="shared" si="483"/>
        <v>0</v>
      </c>
      <c r="BC186" s="290">
        <f>-SUM(BD128:BF128)</f>
        <v>0</v>
      </c>
      <c r="BD186" s="260">
        <f>-SUM(BE128:BF128)</f>
        <v>0</v>
      </c>
      <c r="BE186" s="260">
        <f>-BF128</f>
        <v>0</v>
      </c>
      <c r="BF186" s="291">
        <f>-BF128</f>
        <v>0</v>
      </c>
      <c r="BG186" s="45">
        <f t="shared" si="488"/>
        <v>0</v>
      </c>
      <c r="BH186" s="290">
        <f>-SUM(BI128:BK128)</f>
        <v>0</v>
      </c>
      <c r="BI186" s="260">
        <f>-SUM(BJ128:BK128)</f>
        <v>0</v>
      </c>
      <c r="BJ186" s="260">
        <f>-BK128</f>
        <v>0</v>
      </c>
      <c r="BK186" s="291">
        <f>-BK128</f>
        <v>0</v>
      </c>
      <c r="BL186" s="45">
        <f t="shared" si="493"/>
        <v>0</v>
      </c>
      <c r="BM186" s="1716"/>
      <c r="BN186" s="1716"/>
      <c r="BO186" s="1716"/>
      <c r="BP186" s="1716"/>
      <c r="BQ186" s="1716"/>
      <c r="BR186" s="1716"/>
      <c r="BS186" s="1716"/>
      <c r="BT186" s="1716"/>
      <c r="BU186" s="1716"/>
      <c r="BV186" s="1716"/>
      <c r="BW186" s="1716"/>
      <c r="BX186" s="1716"/>
      <c r="BY186" s="1716"/>
      <c r="BZ186" s="1716"/>
      <c r="CA186" s="1716"/>
      <c r="CB186" s="1716"/>
      <c r="CC186" s="1716"/>
      <c r="CD186" s="1716"/>
      <c r="CE186" s="1716"/>
      <c r="CF186" s="1716"/>
      <c r="CG186" s="1716"/>
      <c r="CH186" s="1716"/>
      <c r="CI186" s="1716"/>
      <c r="CJ186" s="1716"/>
      <c r="CK186" s="1716"/>
      <c r="CL186" s="1716"/>
      <c r="CM186" s="1716"/>
      <c r="CN186" s="1716"/>
      <c r="CO186" s="1716"/>
      <c r="CP186" s="1716"/>
    </row>
    <row r="187" spans="1:94">
      <c r="A187" s="1716"/>
      <c r="B187" s="1716"/>
      <c r="C187" s="1716" t="s">
        <v>677</v>
      </c>
      <c r="D187" s="1716"/>
      <c r="E187" s="1717"/>
      <c r="F187" s="1718"/>
      <c r="G187" s="1718"/>
      <c r="H187" s="1719"/>
      <c r="I187" s="1716"/>
      <c r="J187" s="1717"/>
      <c r="K187" s="1718"/>
      <c r="L187" s="1718"/>
      <c r="M187" s="1719"/>
      <c r="N187" s="1716"/>
      <c r="O187" s="1717"/>
      <c r="P187" s="1718"/>
      <c r="Q187" s="1718"/>
      <c r="R187" s="1719"/>
      <c r="S187" s="1716"/>
      <c r="T187" s="337">
        <v>175</v>
      </c>
      <c r="U187" s="338">
        <v>202</v>
      </c>
      <c r="V187" s="338">
        <v>217</v>
      </c>
      <c r="W187" s="1684">
        <f>132+90</f>
        <v>222</v>
      </c>
      <c r="X187" s="647">
        <f>W187</f>
        <v>222</v>
      </c>
      <c r="Y187" s="337">
        <f>111+97</f>
        <v>208</v>
      </c>
      <c r="Z187" s="338">
        <f>106+100</f>
        <v>206</v>
      </c>
      <c r="AA187" s="338">
        <f>114+99</f>
        <v>213</v>
      </c>
      <c r="AB187" s="1684">
        <f>94+91</f>
        <v>185</v>
      </c>
      <c r="AC187" s="647">
        <f>AB187</f>
        <v>185</v>
      </c>
      <c r="AD187" s="337">
        <f>101+80</f>
        <v>181</v>
      </c>
      <c r="AE187" s="338">
        <f>93+100</f>
        <v>193</v>
      </c>
      <c r="AF187" s="338">
        <f>113+78</f>
        <v>191</v>
      </c>
      <c r="AG187" s="1684">
        <f>87+101</f>
        <v>188</v>
      </c>
      <c r="AH187" s="647">
        <f>AG187</f>
        <v>188</v>
      </c>
      <c r="AI187" s="337">
        <f>129+138</f>
        <v>267</v>
      </c>
      <c r="AJ187" s="338">
        <f>127+141</f>
        <v>268</v>
      </c>
      <c r="AK187" s="338">
        <f>139+145</f>
        <v>284</v>
      </c>
      <c r="AL187" s="1684">
        <f>209+113</f>
        <v>322</v>
      </c>
      <c r="AM187" s="647">
        <f>AL187</f>
        <v>322</v>
      </c>
      <c r="AN187" s="337">
        <f>141+125</f>
        <v>266</v>
      </c>
      <c r="AO187" s="338">
        <f>157+117</f>
        <v>274</v>
      </c>
      <c r="AP187" s="338">
        <f>168+153</f>
        <v>321</v>
      </c>
      <c r="AQ187" s="1684">
        <f>139+137</f>
        <v>276</v>
      </c>
      <c r="AR187" s="647">
        <f>AQ187</f>
        <v>276</v>
      </c>
      <c r="AS187" s="290">
        <f t="shared" ref="AS187:AW187" si="494">AR187</f>
        <v>276</v>
      </c>
      <c r="AT187" s="260">
        <f t="shared" si="494"/>
        <v>276</v>
      </c>
      <c r="AU187" s="260">
        <f t="shared" si="494"/>
        <v>276</v>
      </c>
      <c r="AV187" s="291">
        <f t="shared" si="494"/>
        <v>276</v>
      </c>
      <c r="AW187" s="45">
        <f t="shared" si="494"/>
        <v>276</v>
      </c>
      <c r="AX187" s="290">
        <f t="shared" ref="AX187:AX188" si="495">AW187</f>
        <v>276</v>
      </c>
      <c r="AY187" s="260">
        <f t="shared" ref="AY187:AY188" si="496">AX187</f>
        <v>276</v>
      </c>
      <c r="AZ187" s="260">
        <f t="shared" ref="AZ187:AZ188" si="497">AY187</f>
        <v>276</v>
      </c>
      <c r="BA187" s="291">
        <f t="shared" ref="BA187:BA188" si="498">AZ187</f>
        <v>276</v>
      </c>
      <c r="BB187" s="45">
        <f t="shared" si="483"/>
        <v>276</v>
      </c>
      <c r="BC187" s="290">
        <f t="shared" ref="BC187:BC188" si="499">BB187</f>
        <v>276</v>
      </c>
      <c r="BD187" s="260">
        <f t="shared" ref="BD187:BD188" si="500">BC187</f>
        <v>276</v>
      </c>
      <c r="BE187" s="260">
        <f t="shared" ref="BE187:BE188" si="501">BD187</f>
        <v>276</v>
      </c>
      <c r="BF187" s="291">
        <f t="shared" ref="BF187:BF188" si="502">BE187</f>
        <v>276</v>
      </c>
      <c r="BG187" s="45">
        <f t="shared" si="488"/>
        <v>276</v>
      </c>
      <c r="BH187" s="290">
        <f t="shared" ref="BH187:BH188" si="503">BG187</f>
        <v>276</v>
      </c>
      <c r="BI187" s="260">
        <f t="shared" ref="BI187:BI188" si="504">BH187</f>
        <v>276</v>
      </c>
      <c r="BJ187" s="260">
        <f t="shared" ref="BJ187:BJ188" si="505">BI187</f>
        <v>276</v>
      </c>
      <c r="BK187" s="291">
        <f t="shared" ref="BK187:BK188" si="506">BJ187</f>
        <v>276</v>
      </c>
      <c r="BL187" s="45">
        <f t="shared" si="493"/>
        <v>276</v>
      </c>
      <c r="BM187" s="1716"/>
      <c r="BN187" s="1716"/>
      <c r="BO187" s="1716"/>
      <c r="BP187" s="1716"/>
      <c r="BQ187" s="1716"/>
      <c r="BR187" s="1716"/>
      <c r="BS187" s="1716"/>
      <c r="BT187" s="1716"/>
      <c r="BU187" s="1716"/>
      <c r="BV187" s="1716"/>
      <c r="BW187" s="1716"/>
      <c r="BX187" s="1716"/>
      <c r="BY187" s="1716"/>
      <c r="BZ187" s="1716"/>
      <c r="CA187" s="1716"/>
      <c r="CB187" s="1716"/>
      <c r="CC187" s="1716"/>
      <c r="CD187" s="1716"/>
      <c r="CE187" s="1716"/>
      <c r="CF187" s="1716"/>
      <c r="CG187" s="1716"/>
      <c r="CH187" s="1716"/>
      <c r="CI187" s="1716"/>
      <c r="CJ187" s="1716"/>
      <c r="CK187" s="1716"/>
      <c r="CL187" s="1716"/>
      <c r="CM187" s="1716"/>
      <c r="CN187" s="1716"/>
      <c r="CO187" s="1716"/>
      <c r="CP187" s="1716"/>
    </row>
    <row r="188" spans="1:94">
      <c r="A188" s="1716"/>
      <c r="B188" s="1716"/>
      <c r="C188" s="1716" t="s">
        <v>62</v>
      </c>
      <c r="D188" s="1716"/>
      <c r="E188" s="1717"/>
      <c r="F188" s="1718"/>
      <c r="G188" s="1718"/>
      <c r="H188" s="1719"/>
      <c r="I188" s="1716"/>
      <c r="J188" s="1717"/>
      <c r="K188" s="1718"/>
      <c r="L188" s="1718"/>
      <c r="M188" s="1719"/>
      <c r="N188" s="1716"/>
      <c r="O188" s="1717"/>
      <c r="P188" s="1718"/>
      <c r="Q188" s="1718"/>
      <c r="R188" s="1719"/>
      <c r="S188" s="1716"/>
      <c r="T188" s="337">
        <f>110+24+39+22+9+49</f>
        <v>253</v>
      </c>
      <c r="U188" s="338">
        <f>60+48+24+20+26+9+35</f>
        <v>222</v>
      </c>
      <c r="V188" s="338">
        <f>59+47+25+39+30+9+31</f>
        <v>240</v>
      </c>
      <c r="W188" s="1684">
        <f>75+46+37+20+34+9+32</f>
        <v>253</v>
      </c>
      <c r="X188" s="647">
        <f>W188</f>
        <v>253</v>
      </c>
      <c r="Y188" s="337">
        <f>86+46+38+21+9+29</f>
        <v>229</v>
      </c>
      <c r="Z188" s="338">
        <f>80+46+22+26+10+29</f>
        <v>213</v>
      </c>
      <c r="AA188" s="338">
        <f>31+10+25+34+46+89</f>
        <v>235</v>
      </c>
      <c r="AB188" s="1684">
        <f>30+10+32+19+44+102</f>
        <v>237</v>
      </c>
      <c r="AC188" s="647">
        <f>AB188</f>
        <v>237</v>
      </c>
      <c r="AD188" s="337">
        <f>51+10+25+32+43+91</f>
        <v>252</v>
      </c>
      <c r="AE188" s="338">
        <f>32+11+31+22+43+71</f>
        <v>210</v>
      </c>
      <c r="AF188" s="338">
        <f>11+28+32+42+69+32</f>
        <v>214</v>
      </c>
      <c r="AG188" s="1684">
        <f>30+11+37+22+3+46+68</f>
        <v>217</v>
      </c>
      <c r="AH188" s="647">
        <f>AG188</f>
        <v>217</v>
      </c>
      <c r="AI188" s="337">
        <f>85+51+26+49+20</f>
        <v>231</v>
      </c>
      <c r="AJ188" s="338">
        <f>77+54+27+42+13</f>
        <v>213</v>
      </c>
      <c r="AK188" s="338">
        <f>74+53+20+63+14</f>
        <v>224</v>
      </c>
      <c r="AL188" s="1684">
        <f>74+53+11+68+29</f>
        <v>235</v>
      </c>
      <c r="AM188" s="647">
        <f>AL188</f>
        <v>235</v>
      </c>
      <c r="AN188" s="337">
        <f>68+53+10+47+23</f>
        <v>201</v>
      </c>
      <c r="AO188" s="338">
        <f>70+53+5+49+16</f>
        <v>193</v>
      </c>
      <c r="AP188" s="338">
        <f>64+53+5+42+20</f>
        <v>184</v>
      </c>
      <c r="AQ188" s="1684">
        <f>74+54+3+42+28+28</f>
        <v>229</v>
      </c>
      <c r="AR188" s="647">
        <f>AQ188</f>
        <v>229</v>
      </c>
      <c r="AS188" s="290">
        <f t="shared" ref="AS188:AW188" si="507">AR188</f>
        <v>229</v>
      </c>
      <c r="AT188" s="260">
        <f t="shared" si="507"/>
        <v>229</v>
      </c>
      <c r="AU188" s="260">
        <f t="shared" si="507"/>
        <v>229</v>
      </c>
      <c r="AV188" s="291">
        <f t="shared" si="507"/>
        <v>229</v>
      </c>
      <c r="AW188" s="45">
        <f t="shared" si="507"/>
        <v>229</v>
      </c>
      <c r="AX188" s="290">
        <f t="shared" si="495"/>
        <v>229</v>
      </c>
      <c r="AY188" s="260">
        <f t="shared" si="496"/>
        <v>229</v>
      </c>
      <c r="AZ188" s="260">
        <f t="shared" si="497"/>
        <v>229</v>
      </c>
      <c r="BA188" s="291">
        <f t="shared" si="498"/>
        <v>229</v>
      </c>
      <c r="BB188" s="45">
        <f t="shared" si="483"/>
        <v>229</v>
      </c>
      <c r="BC188" s="290">
        <f t="shared" si="499"/>
        <v>229</v>
      </c>
      <c r="BD188" s="260">
        <f t="shared" si="500"/>
        <v>229</v>
      </c>
      <c r="BE188" s="260">
        <f t="shared" si="501"/>
        <v>229</v>
      </c>
      <c r="BF188" s="291">
        <f t="shared" si="502"/>
        <v>229</v>
      </c>
      <c r="BG188" s="45">
        <f t="shared" si="488"/>
        <v>229</v>
      </c>
      <c r="BH188" s="290">
        <f t="shared" si="503"/>
        <v>229</v>
      </c>
      <c r="BI188" s="260">
        <f t="shared" si="504"/>
        <v>229</v>
      </c>
      <c r="BJ188" s="260">
        <f t="shared" si="505"/>
        <v>229</v>
      </c>
      <c r="BK188" s="291">
        <f t="shared" si="506"/>
        <v>229</v>
      </c>
      <c r="BL188" s="45">
        <f t="shared" si="493"/>
        <v>229</v>
      </c>
      <c r="BM188" s="1716"/>
      <c r="BN188" s="1716"/>
      <c r="BO188" s="1716"/>
      <c r="BP188" s="1716"/>
      <c r="BQ188" s="1716"/>
      <c r="BR188" s="1716"/>
      <c r="BS188" s="1716"/>
      <c r="BT188" s="1716"/>
      <c r="BU188" s="1716"/>
      <c r="BV188" s="1716"/>
      <c r="BW188" s="1716"/>
      <c r="BX188" s="1716"/>
      <c r="BY188" s="1716"/>
      <c r="BZ188" s="1716"/>
      <c r="CA188" s="1716"/>
      <c r="CB188" s="1716"/>
      <c r="CC188" s="1716"/>
      <c r="CD188" s="1716"/>
      <c r="CE188" s="1716"/>
      <c r="CF188" s="1716"/>
      <c r="CG188" s="1716"/>
      <c r="CH188" s="1716"/>
      <c r="CI188" s="1716"/>
      <c r="CJ188" s="1716"/>
      <c r="CK188" s="1716"/>
      <c r="CL188" s="1716"/>
      <c r="CM188" s="1716"/>
      <c r="CN188" s="1716"/>
      <c r="CO188" s="1716"/>
      <c r="CP188" s="1716"/>
    </row>
    <row r="189" spans="1:94" s="1909" customFormat="1">
      <c r="A189" s="1756"/>
      <c r="B189" s="1756"/>
      <c r="C189" s="1756" t="s">
        <v>187</v>
      </c>
      <c r="D189" s="1756"/>
      <c r="E189" s="1906"/>
      <c r="F189" s="1907"/>
      <c r="G189" s="1907"/>
      <c r="H189" s="1908"/>
      <c r="I189" s="1756"/>
      <c r="J189" s="1906"/>
      <c r="K189" s="1907"/>
      <c r="L189" s="1907"/>
      <c r="M189" s="1908"/>
      <c r="N189" s="1756"/>
      <c r="O189" s="1906"/>
      <c r="P189" s="1907"/>
      <c r="Q189" s="1907"/>
      <c r="R189" s="1908"/>
      <c r="S189" s="1756"/>
      <c r="T189" s="292">
        <f t="shared" ref="T189:AW189" si="508">SUM(T185:T188)</f>
        <v>628</v>
      </c>
      <c r="U189" s="261">
        <f t="shared" si="508"/>
        <v>799</v>
      </c>
      <c r="V189" s="261">
        <f t="shared" si="508"/>
        <v>864</v>
      </c>
      <c r="W189" s="293">
        <f t="shared" si="508"/>
        <v>801</v>
      </c>
      <c r="X189" s="583">
        <f t="shared" si="508"/>
        <v>801</v>
      </c>
      <c r="Y189" s="292">
        <f t="shared" si="508"/>
        <v>612</v>
      </c>
      <c r="Z189" s="261">
        <f t="shared" si="508"/>
        <v>424</v>
      </c>
      <c r="AA189" s="261">
        <f t="shared" ref="AA189" si="509">SUM(AA185:AA188)</f>
        <v>458</v>
      </c>
      <c r="AB189" s="293">
        <f t="shared" ref="AB189:AC189" si="510">SUM(AB185:AB188)</f>
        <v>538</v>
      </c>
      <c r="AC189" s="583">
        <f t="shared" si="510"/>
        <v>538</v>
      </c>
      <c r="AD189" s="292">
        <f t="shared" ref="AD189:AE189" si="511">SUM(AD185:AD188)</f>
        <v>433</v>
      </c>
      <c r="AE189" s="261">
        <f t="shared" si="511"/>
        <v>403</v>
      </c>
      <c r="AF189" s="261">
        <f t="shared" ref="AF189:AI189" si="512">SUM(AF185:AF188)</f>
        <v>453</v>
      </c>
      <c r="AG189" s="293">
        <f t="shared" si="512"/>
        <v>469</v>
      </c>
      <c r="AH189" s="583">
        <f t="shared" si="512"/>
        <v>469</v>
      </c>
      <c r="AI189" s="292">
        <f t="shared" si="512"/>
        <v>509</v>
      </c>
      <c r="AJ189" s="261">
        <f t="shared" ref="AJ189:AM189" si="513">SUM(AJ185:AJ188)</f>
        <v>493</v>
      </c>
      <c r="AK189" s="261">
        <f t="shared" si="513"/>
        <v>520</v>
      </c>
      <c r="AL189" s="293">
        <f t="shared" si="513"/>
        <v>596</v>
      </c>
      <c r="AM189" s="583">
        <f t="shared" si="513"/>
        <v>596</v>
      </c>
      <c r="AN189" s="292">
        <f t="shared" ref="AN189:AO189" si="514">SUM(AN185:AN188)</f>
        <v>651</v>
      </c>
      <c r="AO189" s="261">
        <f t="shared" si="514"/>
        <v>485</v>
      </c>
      <c r="AP189" s="261">
        <f t="shared" si="508"/>
        <v>524</v>
      </c>
      <c r="AQ189" s="293">
        <f t="shared" ref="AQ189:AR189" si="515">SUM(AQ185:AQ188)</f>
        <v>550</v>
      </c>
      <c r="AR189" s="583">
        <f t="shared" si="515"/>
        <v>550</v>
      </c>
      <c r="AS189" s="286">
        <f t="shared" ca="1" si="508"/>
        <v>593.10636454115013</v>
      </c>
      <c r="AT189" s="258">
        <f t="shared" ca="1" si="508"/>
        <v>659.37824499316991</v>
      </c>
      <c r="AU189" s="258">
        <f t="shared" ca="1" si="508"/>
        <v>505</v>
      </c>
      <c r="AV189" s="287">
        <f t="shared" ca="1" si="508"/>
        <v>505</v>
      </c>
      <c r="AW189" s="341">
        <f t="shared" ca="1" si="508"/>
        <v>505</v>
      </c>
      <c r="AX189" s="286">
        <f t="shared" ref="AX189:BG189" ca="1" si="516">SUM(AX185:AX188)</f>
        <v>555.88626311555686</v>
      </c>
      <c r="AY189" s="258">
        <f t="shared" ca="1" si="516"/>
        <v>613.75206680439942</v>
      </c>
      <c r="AZ189" s="258">
        <f t="shared" ca="1" si="516"/>
        <v>505</v>
      </c>
      <c r="BA189" s="287">
        <f t="shared" ca="1" si="516"/>
        <v>505</v>
      </c>
      <c r="BB189" s="341">
        <f t="shared" ca="1" si="516"/>
        <v>505</v>
      </c>
      <c r="BC189" s="286">
        <f t="shared" ca="1" si="516"/>
        <v>568.12004997062013</v>
      </c>
      <c r="BD189" s="258">
        <f t="shared" ca="1" si="516"/>
        <v>638.58945953759485</v>
      </c>
      <c r="BE189" s="258">
        <f t="shared" ca="1" si="516"/>
        <v>505</v>
      </c>
      <c r="BF189" s="287">
        <f t="shared" ca="1" si="516"/>
        <v>505</v>
      </c>
      <c r="BG189" s="341">
        <f t="shared" ca="1" si="516"/>
        <v>505</v>
      </c>
      <c r="BH189" s="286">
        <f t="shared" ref="BH189:BL189" ca="1" si="517">SUM(BH185:BH188)</f>
        <v>575.0051516687173</v>
      </c>
      <c r="BI189" s="258">
        <f t="shared" ca="1" si="517"/>
        <v>650.87227232154362</v>
      </c>
      <c r="BJ189" s="258">
        <f t="shared" ca="1" si="517"/>
        <v>505</v>
      </c>
      <c r="BK189" s="287">
        <f t="shared" ca="1" si="517"/>
        <v>505</v>
      </c>
      <c r="BL189" s="341">
        <f t="shared" ca="1" si="517"/>
        <v>505</v>
      </c>
      <c r="BM189" s="1756"/>
      <c r="BN189" s="1756"/>
      <c r="BO189" s="1756"/>
      <c r="BP189" s="1756"/>
      <c r="BQ189" s="1756"/>
      <c r="BR189" s="1756"/>
      <c r="BS189" s="1756"/>
      <c r="BT189" s="1756"/>
      <c r="BU189" s="1756"/>
      <c r="BV189" s="1756"/>
      <c r="BW189" s="1756"/>
      <c r="BX189" s="1756"/>
      <c r="BY189" s="1756"/>
      <c r="BZ189" s="1756"/>
      <c r="CA189" s="1756"/>
      <c r="CB189" s="1756"/>
      <c r="CC189" s="1756"/>
      <c r="CD189" s="1756"/>
      <c r="CE189" s="1756"/>
      <c r="CF189" s="1756"/>
      <c r="CG189" s="1756"/>
      <c r="CH189" s="1756"/>
      <c r="CI189" s="1756"/>
      <c r="CJ189" s="1756"/>
      <c r="CK189" s="1756"/>
      <c r="CL189" s="1756"/>
      <c r="CM189" s="1756"/>
      <c r="CN189" s="1756"/>
      <c r="CO189" s="1756"/>
      <c r="CP189" s="1756"/>
    </row>
    <row r="190" spans="1:94">
      <c r="A190" s="1716"/>
      <c r="B190" s="1716"/>
      <c r="C190" s="1716"/>
      <c r="D190" s="1716"/>
      <c r="E190" s="1717"/>
      <c r="F190" s="1718"/>
      <c r="G190" s="1718"/>
      <c r="H190" s="1719"/>
      <c r="I190" s="1716"/>
      <c r="J190" s="1717"/>
      <c r="K190" s="1718"/>
      <c r="L190" s="1718"/>
      <c r="M190" s="1719"/>
      <c r="N190" s="1716"/>
      <c r="O190" s="1717"/>
      <c r="P190" s="1718"/>
      <c r="Q190" s="1718"/>
      <c r="R190" s="1719"/>
      <c r="S190" s="1716"/>
      <c r="T190" s="1717"/>
      <c r="U190" s="1718"/>
      <c r="V190" s="1718"/>
      <c r="W190" s="1719"/>
      <c r="X190" s="647"/>
      <c r="Y190" s="1717"/>
      <c r="Z190" s="1718"/>
      <c r="AA190" s="1718"/>
      <c r="AB190" s="1719"/>
      <c r="AC190" s="647"/>
      <c r="AD190" s="1717"/>
      <c r="AE190" s="1718"/>
      <c r="AF190" s="1718"/>
      <c r="AG190" s="1719"/>
      <c r="AH190" s="647"/>
      <c r="AI190" s="1717"/>
      <c r="AJ190" s="1718"/>
      <c r="AK190" s="1718"/>
      <c r="AL190" s="1719"/>
      <c r="AM190" s="647"/>
      <c r="AN190" s="1717"/>
      <c r="AO190" s="1718"/>
      <c r="AP190" s="1910"/>
      <c r="AQ190" s="1719"/>
      <c r="AR190" s="647"/>
      <c r="AS190" s="1913"/>
      <c r="AT190" s="1910"/>
      <c r="AU190" s="1910"/>
      <c r="AV190" s="1911"/>
      <c r="AW190" s="340"/>
      <c r="AX190" s="1913"/>
      <c r="AY190" s="1910"/>
      <c r="AZ190" s="1910"/>
      <c r="BA190" s="1911"/>
      <c r="BB190" s="340"/>
      <c r="BC190" s="1913"/>
      <c r="BD190" s="1910"/>
      <c r="BE190" s="1910"/>
      <c r="BF190" s="1911"/>
      <c r="BG190" s="340"/>
      <c r="BH190" s="1913"/>
      <c r="BI190" s="1910"/>
      <c r="BJ190" s="1910"/>
      <c r="BK190" s="1911"/>
      <c r="BL190" s="340"/>
      <c r="BM190" s="1716"/>
      <c r="BN190" s="1716"/>
      <c r="BO190" s="1716"/>
      <c r="BP190" s="1716"/>
      <c r="BQ190" s="1716"/>
      <c r="BR190" s="1716"/>
      <c r="BS190" s="1716"/>
      <c r="BT190" s="1716"/>
      <c r="BU190" s="1716"/>
      <c r="BV190" s="1716"/>
      <c r="BW190" s="1716"/>
      <c r="BX190" s="1716"/>
      <c r="BY190" s="1716"/>
      <c r="BZ190" s="1716"/>
      <c r="CA190" s="1716"/>
      <c r="CB190" s="1716"/>
      <c r="CC190" s="1716"/>
      <c r="CD190" s="1716"/>
      <c r="CE190" s="1716"/>
      <c r="CF190" s="1716"/>
      <c r="CG190" s="1716"/>
      <c r="CH190" s="1716"/>
      <c r="CI190" s="1716"/>
      <c r="CJ190" s="1716"/>
      <c r="CK190" s="1716"/>
      <c r="CL190" s="1716"/>
      <c r="CM190" s="1716"/>
      <c r="CN190" s="1716"/>
      <c r="CO190" s="1716"/>
      <c r="CP190" s="1716"/>
    </row>
    <row r="191" spans="1:94">
      <c r="A191" s="1716"/>
      <c r="B191" s="1716"/>
      <c r="C191" s="1716" t="s">
        <v>1293</v>
      </c>
      <c r="D191" s="1716"/>
      <c r="E191" s="1717"/>
      <c r="F191" s="1718"/>
      <c r="G191" s="1718"/>
      <c r="H191" s="1719"/>
      <c r="I191" s="1716"/>
      <c r="J191" s="1717"/>
      <c r="K191" s="1718"/>
      <c r="L191" s="1718"/>
      <c r="M191" s="1719"/>
      <c r="N191" s="1716"/>
      <c r="O191" s="1717"/>
      <c r="P191" s="1718"/>
      <c r="Q191" s="1718"/>
      <c r="R191" s="1719"/>
      <c r="S191" s="1716"/>
      <c r="T191" s="337">
        <v>145</v>
      </c>
      <c r="U191" s="338">
        <v>130</v>
      </c>
      <c r="V191" s="338">
        <v>141</v>
      </c>
      <c r="W191" s="1684">
        <v>113</v>
      </c>
      <c r="X191" s="647">
        <f>W191</f>
        <v>113</v>
      </c>
      <c r="Y191" s="337">
        <v>113</v>
      </c>
      <c r="Z191" s="338">
        <v>112</v>
      </c>
      <c r="AA191" s="338">
        <v>110</v>
      </c>
      <c r="AB191" s="1684">
        <v>104</v>
      </c>
      <c r="AC191" s="647">
        <f>AB191</f>
        <v>104</v>
      </c>
      <c r="AD191" s="337">
        <v>114</v>
      </c>
      <c r="AE191" s="338">
        <v>105</v>
      </c>
      <c r="AF191" s="338">
        <v>97</v>
      </c>
      <c r="AG191" s="1684">
        <v>92</v>
      </c>
      <c r="AH191" s="647">
        <f>AG191</f>
        <v>92</v>
      </c>
      <c r="AI191" s="337">
        <v>29</v>
      </c>
      <c r="AJ191" s="338">
        <v>24</v>
      </c>
      <c r="AK191" s="338">
        <v>24</v>
      </c>
      <c r="AL191" s="1684">
        <v>20</v>
      </c>
      <c r="AM191" s="647">
        <f>AL191</f>
        <v>20</v>
      </c>
      <c r="AN191" s="337">
        <v>19</v>
      </c>
      <c r="AO191" s="338">
        <v>17</v>
      </c>
      <c r="AP191" s="338">
        <v>21</v>
      </c>
      <c r="AQ191" s="1684">
        <v>829</v>
      </c>
      <c r="AR191" s="647">
        <f>AQ191</f>
        <v>829</v>
      </c>
      <c r="AS191" s="369">
        <f t="shared" ref="AS191:AW191" si="518">AR191</f>
        <v>829</v>
      </c>
      <c r="AT191" s="353">
        <f t="shared" si="518"/>
        <v>829</v>
      </c>
      <c r="AU191" s="353">
        <f t="shared" si="518"/>
        <v>829</v>
      </c>
      <c r="AV191" s="354">
        <f t="shared" si="518"/>
        <v>829</v>
      </c>
      <c r="AW191" s="340">
        <f t="shared" si="518"/>
        <v>829</v>
      </c>
      <c r="AX191" s="369">
        <f t="shared" ref="AX191" si="519">AW191</f>
        <v>829</v>
      </c>
      <c r="AY191" s="353">
        <f t="shared" ref="AY191" si="520">AX191</f>
        <v>829</v>
      </c>
      <c r="AZ191" s="353">
        <f t="shared" ref="AZ191" si="521">AY191</f>
        <v>829</v>
      </c>
      <c r="BA191" s="354">
        <f t="shared" ref="BA191" si="522">AZ191</f>
        <v>829</v>
      </c>
      <c r="BB191" s="340">
        <f t="shared" ref="BB191" si="523">BA191</f>
        <v>829</v>
      </c>
      <c r="BC191" s="369">
        <f t="shared" ref="BC191" si="524">BB191</f>
        <v>829</v>
      </c>
      <c r="BD191" s="353">
        <f t="shared" ref="BD191" si="525">BC191</f>
        <v>829</v>
      </c>
      <c r="BE191" s="353">
        <f t="shared" ref="BE191" si="526">BD191</f>
        <v>829</v>
      </c>
      <c r="BF191" s="354">
        <f t="shared" ref="BF191" si="527">BE191</f>
        <v>829</v>
      </c>
      <c r="BG191" s="340">
        <f t="shared" ref="BG191" si="528">BF191</f>
        <v>829</v>
      </c>
      <c r="BH191" s="369">
        <f t="shared" ref="BH191" si="529">BG191</f>
        <v>829</v>
      </c>
      <c r="BI191" s="353">
        <f t="shared" ref="BI191" si="530">BH191</f>
        <v>829</v>
      </c>
      <c r="BJ191" s="353">
        <f t="shared" ref="BJ191" si="531">BI191</f>
        <v>829</v>
      </c>
      <c r="BK191" s="354">
        <f t="shared" ref="BK191" si="532">BJ191</f>
        <v>829</v>
      </c>
      <c r="BL191" s="340">
        <f t="shared" ref="BL191" si="533">BK191</f>
        <v>829</v>
      </c>
      <c r="BM191" s="1716"/>
      <c r="BN191" s="1716"/>
      <c r="BO191" s="1716"/>
      <c r="BP191" s="1716"/>
      <c r="BQ191" s="1716"/>
      <c r="BR191" s="1716"/>
      <c r="BS191" s="1716"/>
      <c r="BT191" s="1716"/>
      <c r="BU191" s="1716"/>
      <c r="BV191" s="1716"/>
      <c r="BW191" s="1716"/>
      <c r="BX191" s="1716"/>
      <c r="BY191" s="1716"/>
      <c r="BZ191" s="1716"/>
      <c r="CA191" s="1716"/>
      <c r="CB191" s="1716"/>
      <c r="CC191" s="1716"/>
      <c r="CD191" s="1716"/>
      <c r="CE191" s="1716"/>
      <c r="CF191" s="1716"/>
      <c r="CG191" s="1716"/>
      <c r="CH191" s="1716"/>
      <c r="CI191" s="1716"/>
      <c r="CJ191" s="1716"/>
      <c r="CK191" s="1716"/>
      <c r="CL191" s="1716"/>
      <c r="CM191" s="1716"/>
      <c r="CN191" s="1716"/>
      <c r="CO191" s="1716"/>
      <c r="CP191" s="1716"/>
    </row>
    <row r="192" spans="1:94">
      <c r="A192" s="1716"/>
      <c r="B192" s="1716"/>
      <c r="C192" s="1716" t="s">
        <v>678</v>
      </c>
      <c r="D192" s="1716"/>
      <c r="E192" s="1717"/>
      <c r="F192" s="1718"/>
      <c r="G192" s="1718"/>
      <c r="H192" s="1719"/>
      <c r="I192" s="1716"/>
      <c r="J192" s="1717"/>
      <c r="K192" s="1718"/>
      <c r="L192" s="1718"/>
      <c r="M192" s="1719"/>
      <c r="N192" s="1716"/>
      <c r="O192" s="1717"/>
      <c r="P192" s="1718"/>
      <c r="Q192" s="1718"/>
      <c r="R192" s="1719"/>
      <c r="S192" s="1716"/>
      <c r="T192" s="337">
        <v>1249</v>
      </c>
      <c r="U192" s="338">
        <v>1274</v>
      </c>
      <c r="V192" s="338">
        <v>1343</v>
      </c>
      <c r="W192" s="1684">
        <v>1412</v>
      </c>
      <c r="X192" s="647">
        <f>W192</f>
        <v>1412</v>
      </c>
      <c r="Y192" s="337">
        <v>1465</v>
      </c>
      <c r="Z192" s="338">
        <v>1488</v>
      </c>
      <c r="AA192" s="338">
        <v>1564</v>
      </c>
      <c r="AB192" s="1684">
        <v>1584</v>
      </c>
      <c r="AC192" s="647">
        <f>AB192</f>
        <v>1584</v>
      </c>
      <c r="AD192" s="337">
        <v>1564</v>
      </c>
      <c r="AE192" s="338">
        <v>1590</v>
      </c>
      <c r="AF192" s="338">
        <v>1636</v>
      </c>
      <c r="AG192" s="1684">
        <v>1721</v>
      </c>
      <c r="AH192" s="647">
        <f>AG192</f>
        <v>1721</v>
      </c>
      <c r="AI192" s="337">
        <v>1695</v>
      </c>
      <c r="AJ192" s="338">
        <v>1755</v>
      </c>
      <c r="AK192" s="338">
        <v>1845</v>
      </c>
      <c r="AL192" s="1684">
        <v>1910</v>
      </c>
      <c r="AM192" s="647">
        <f>AL192</f>
        <v>1910</v>
      </c>
      <c r="AN192" s="337">
        <v>1913</v>
      </c>
      <c r="AO192" s="338">
        <v>1950</v>
      </c>
      <c r="AP192" s="338">
        <v>2024</v>
      </c>
      <c r="AQ192" s="1684">
        <v>1063</v>
      </c>
      <c r="AR192" s="647">
        <f>AQ192</f>
        <v>1063</v>
      </c>
      <c r="AS192" s="369">
        <f ca="1">AR192+AS145</f>
        <v>1074.3644957558179</v>
      </c>
      <c r="AT192" s="353">
        <f ca="1">AS192+AT145</f>
        <v>1085.7289915116357</v>
      </c>
      <c r="AU192" s="353">
        <f ca="1">AT192+AU145</f>
        <v>1097.0934872674536</v>
      </c>
      <c r="AV192" s="354">
        <f ca="1">AU192+AV145</f>
        <v>1108.4579830232715</v>
      </c>
      <c r="AW192" s="340">
        <f ca="1">AV192</f>
        <v>1108.4579830232715</v>
      </c>
      <c r="AX192" s="369">
        <f ca="1">AW192+AX145</f>
        <v>1120.6115017664483</v>
      </c>
      <c r="AY192" s="353">
        <f ca="1">AX192+AY145</f>
        <v>1132.7650205096252</v>
      </c>
      <c r="AZ192" s="353">
        <f ca="1">AY192+AZ145</f>
        <v>1144.918539252802</v>
      </c>
      <c r="BA192" s="354">
        <f ca="1">AZ192+BA145</f>
        <v>1157.0720579959789</v>
      </c>
      <c r="BB192" s="340">
        <f ca="1">BA192</f>
        <v>1157.0720579959789</v>
      </c>
      <c r="BC192" s="369">
        <f ca="1">BB192+BC145</f>
        <v>1171.2372604132072</v>
      </c>
      <c r="BD192" s="353">
        <f ca="1">BC192+BD145</f>
        <v>1185.4024628304355</v>
      </c>
      <c r="BE192" s="353">
        <f ca="1">BD192+BE145</f>
        <v>1199.5676652476639</v>
      </c>
      <c r="BF192" s="354">
        <f ca="1">BE192+BF145</f>
        <v>1213.7328676648922</v>
      </c>
      <c r="BG192" s="340">
        <f ca="1">BF192</f>
        <v>1213.7328676648922</v>
      </c>
      <c r="BH192" s="369">
        <f ca="1">BG192+BH145</f>
        <v>1229.0923175491228</v>
      </c>
      <c r="BI192" s="353">
        <f ca="1">BH192+BI145</f>
        <v>1244.4517674333533</v>
      </c>
      <c r="BJ192" s="353">
        <f ca="1">BI192+BJ145</f>
        <v>1259.8112173175839</v>
      </c>
      <c r="BK192" s="354">
        <f ca="1">BJ192+BK145</f>
        <v>1275.1706672018145</v>
      </c>
      <c r="BL192" s="340">
        <f ca="1">BK192</f>
        <v>1275.1706672018145</v>
      </c>
      <c r="BM192" s="1716"/>
      <c r="BN192" s="1716"/>
      <c r="BO192" s="1716"/>
      <c r="BP192" s="1716"/>
      <c r="BQ192" s="1716"/>
      <c r="BR192" s="1716"/>
      <c r="BS192" s="1716"/>
      <c r="BT192" s="1716"/>
      <c r="BU192" s="1716"/>
      <c r="BV192" s="1716"/>
      <c r="BW192" s="1716"/>
      <c r="BX192" s="1716"/>
      <c r="BY192" s="1716"/>
      <c r="BZ192" s="1716"/>
      <c r="CA192" s="1716"/>
      <c r="CB192" s="1716"/>
      <c r="CC192" s="1716"/>
      <c r="CD192" s="1716"/>
      <c r="CE192" s="1716"/>
      <c r="CF192" s="1716"/>
      <c r="CG192" s="1716"/>
      <c r="CH192" s="1716"/>
      <c r="CI192" s="1716"/>
      <c r="CJ192" s="1716"/>
      <c r="CK192" s="1716"/>
      <c r="CL192" s="1716"/>
      <c r="CM192" s="1716"/>
      <c r="CN192" s="1716"/>
      <c r="CO192" s="1716"/>
      <c r="CP192" s="1716"/>
    </row>
    <row r="193" spans="1:94">
      <c r="A193" s="1716"/>
      <c r="B193" s="1716"/>
      <c r="C193" s="1716" t="s">
        <v>964</v>
      </c>
      <c r="D193" s="1716"/>
      <c r="E193" s="1717"/>
      <c r="F193" s="1718"/>
      <c r="G193" s="1718"/>
      <c r="H193" s="1719"/>
      <c r="I193" s="1716"/>
      <c r="J193" s="1717"/>
      <c r="K193" s="1718"/>
      <c r="L193" s="1718"/>
      <c r="M193" s="1719"/>
      <c r="N193" s="1716"/>
      <c r="O193" s="1717"/>
      <c r="P193" s="1718"/>
      <c r="Q193" s="1718"/>
      <c r="R193" s="1719"/>
      <c r="S193" s="1716"/>
      <c r="T193" s="337">
        <v>1751</v>
      </c>
      <c r="U193" s="338">
        <v>1575</v>
      </c>
      <c r="V193" s="338">
        <v>1575</v>
      </c>
      <c r="W193" s="1684">
        <v>1724</v>
      </c>
      <c r="X193" s="647">
        <f>W193</f>
        <v>1724</v>
      </c>
      <c r="Y193" s="337">
        <v>2124</v>
      </c>
      <c r="Z193" s="338">
        <v>2123</v>
      </c>
      <c r="AA193" s="338">
        <v>2124</v>
      </c>
      <c r="AB193" s="1684">
        <v>2124</v>
      </c>
      <c r="AC193" s="647">
        <f>AB193</f>
        <v>2124</v>
      </c>
      <c r="AD193" s="337">
        <v>2332</v>
      </c>
      <c r="AE193" s="338">
        <v>2332</v>
      </c>
      <c r="AF193" s="338">
        <v>2332</v>
      </c>
      <c r="AG193" s="1684">
        <v>2301</v>
      </c>
      <c r="AH193" s="647">
        <f>AG193</f>
        <v>2301</v>
      </c>
      <c r="AI193" s="337">
        <v>2341</v>
      </c>
      <c r="AJ193" s="338">
        <v>2337</v>
      </c>
      <c r="AK193" s="338">
        <v>2338</v>
      </c>
      <c r="AL193" s="1684">
        <v>2333</v>
      </c>
      <c r="AM193" s="647">
        <f>AL193</f>
        <v>2333</v>
      </c>
      <c r="AN193" s="337">
        <v>2333</v>
      </c>
      <c r="AO193" s="338">
        <v>2527</v>
      </c>
      <c r="AP193" s="338">
        <v>2527</v>
      </c>
      <c r="AQ193" s="1684">
        <v>2521</v>
      </c>
      <c r="AR193" s="647">
        <f>AQ193</f>
        <v>2521</v>
      </c>
      <c r="AS193" s="369">
        <f>AS212-AS186</f>
        <v>2540</v>
      </c>
      <c r="AT193" s="353">
        <f>AT212-AT186</f>
        <v>2540</v>
      </c>
      <c r="AU193" s="353">
        <f>AU212-AU186</f>
        <v>2785</v>
      </c>
      <c r="AV193" s="354">
        <f>AV212-AV186</f>
        <v>2785</v>
      </c>
      <c r="AW193" s="340">
        <f>AV193</f>
        <v>2785</v>
      </c>
      <c r="AX193" s="369">
        <f>AX212-AX186</f>
        <v>2785</v>
      </c>
      <c r="AY193" s="353">
        <f>AY212-AY186</f>
        <v>2785</v>
      </c>
      <c r="AZ193" s="353">
        <f>AZ212-AZ186</f>
        <v>2950</v>
      </c>
      <c r="BA193" s="354">
        <f>BA212-BA186</f>
        <v>2950</v>
      </c>
      <c r="BB193" s="340">
        <f>BA193</f>
        <v>2950</v>
      </c>
      <c r="BC193" s="369">
        <f>BC212-BC186</f>
        <v>2950</v>
      </c>
      <c r="BD193" s="353">
        <f>BD212-BD186</f>
        <v>2950</v>
      </c>
      <c r="BE193" s="353">
        <f>BE212-BE186</f>
        <v>3165</v>
      </c>
      <c r="BF193" s="354">
        <f>BF212-BF186</f>
        <v>3165</v>
      </c>
      <c r="BG193" s="340">
        <f>BF193</f>
        <v>3165</v>
      </c>
      <c r="BH193" s="369">
        <f>BH212-BH186</f>
        <v>3165</v>
      </c>
      <c r="BI193" s="353">
        <f>BI212-BI186</f>
        <v>3165</v>
      </c>
      <c r="BJ193" s="353">
        <f>BJ212-BJ186</f>
        <v>3405</v>
      </c>
      <c r="BK193" s="354">
        <f>BK212-BK186</f>
        <v>3405</v>
      </c>
      <c r="BL193" s="340">
        <f>BK193</f>
        <v>3405</v>
      </c>
      <c r="BM193" s="1716"/>
      <c r="BN193" s="1716"/>
      <c r="BO193" s="1716"/>
      <c r="BP193" s="1716"/>
      <c r="BQ193" s="1716"/>
      <c r="BR193" s="1716"/>
      <c r="BS193" s="1716"/>
      <c r="BT193" s="1716"/>
      <c r="BU193" s="1716"/>
      <c r="BV193" s="1716"/>
      <c r="BW193" s="1716"/>
      <c r="BX193" s="1716"/>
      <c r="BY193" s="1716"/>
      <c r="BZ193" s="1716"/>
      <c r="CA193" s="1716"/>
      <c r="CB193" s="1716"/>
      <c r="CC193" s="1716"/>
      <c r="CD193" s="1716"/>
      <c r="CE193" s="1716"/>
      <c r="CF193" s="1716"/>
      <c r="CG193" s="1716"/>
      <c r="CH193" s="1716"/>
      <c r="CI193" s="1716"/>
      <c r="CJ193" s="1716"/>
      <c r="CK193" s="1716"/>
      <c r="CL193" s="1716"/>
      <c r="CM193" s="1716"/>
      <c r="CN193" s="1716"/>
      <c r="CO193" s="1716"/>
      <c r="CP193" s="1716"/>
    </row>
    <row r="194" spans="1:94">
      <c r="A194" s="1716"/>
      <c r="B194" s="1716"/>
      <c r="C194" s="1716" t="s">
        <v>973</v>
      </c>
      <c r="D194" s="1716"/>
      <c r="E194" s="1717"/>
      <c r="F194" s="1718"/>
      <c r="G194" s="1718"/>
      <c r="H194" s="1719"/>
      <c r="I194" s="1716"/>
      <c r="J194" s="1717"/>
      <c r="K194" s="1718"/>
      <c r="L194" s="1718"/>
      <c r="M194" s="1719"/>
      <c r="N194" s="1716"/>
      <c r="O194" s="1717"/>
      <c r="P194" s="1718"/>
      <c r="Q194" s="1718"/>
      <c r="R194" s="1719"/>
      <c r="S194" s="1716"/>
      <c r="T194" s="337">
        <v>69</v>
      </c>
      <c r="U194" s="338">
        <v>65</v>
      </c>
      <c r="V194" s="338">
        <v>65</v>
      </c>
      <c r="W194" s="1684">
        <v>60</v>
      </c>
      <c r="X194" s="647">
        <f>W194</f>
        <v>60</v>
      </c>
      <c r="Y194" s="337">
        <v>60</v>
      </c>
      <c r="Z194" s="338">
        <v>55</v>
      </c>
      <c r="AA194" s="338">
        <v>55</v>
      </c>
      <c r="AB194" s="1684">
        <v>50</v>
      </c>
      <c r="AC194" s="647">
        <f>AB194</f>
        <v>50</v>
      </c>
      <c r="AD194" s="337">
        <v>50</v>
      </c>
      <c r="AE194" s="338">
        <v>45</v>
      </c>
      <c r="AF194" s="338">
        <v>45</v>
      </c>
      <c r="AG194" s="1684">
        <v>39</v>
      </c>
      <c r="AH194" s="647">
        <f>AG194</f>
        <v>39</v>
      </c>
      <c r="AI194" s="337">
        <v>0</v>
      </c>
      <c r="AJ194" s="338">
        <v>0</v>
      </c>
      <c r="AK194" s="338">
        <v>0</v>
      </c>
      <c r="AL194" s="1684">
        <v>0</v>
      </c>
      <c r="AM194" s="647">
        <f>AL194</f>
        <v>0</v>
      </c>
      <c r="AN194" s="337">
        <v>0</v>
      </c>
      <c r="AO194" s="338">
        <v>0</v>
      </c>
      <c r="AP194" s="338">
        <v>0</v>
      </c>
      <c r="AQ194" s="1684">
        <v>0</v>
      </c>
      <c r="AR194" s="647">
        <f>AQ194</f>
        <v>0</v>
      </c>
      <c r="AS194" s="369">
        <f t="shared" ref="AS194:AW194" si="534">AR194</f>
        <v>0</v>
      </c>
      <c r="AT194" s="353">
        <f t="shared" si="534"/>
        <v>0</v>
      </c>
      <c r="AU194" s="353">
        <f t="shared" si="534"/>
        <v>0</v>
      </c>
      <c r="AV194" s="354">
        <f t="shared" si="534"/>
        <v>0</v>
      </c>
      <c r="AW194" s="340">
        <f t="shared" si="534"/>
        <v>0</v>
      </c>
      <c r="AX194" s="369">
        <f t="shared" ref="AX194:AX195" si="535">AW194</f>
        <v>0</v>
      </c>
      <c r="AY194" s="353">
        <f t="shared" ref="AY194:AY195" si="536">AX194</f>
        <v>0</v>
      </c>
      <c r="AZ194" s="353">
        <f t="shared" ref="AZ194:AZ195" si="537">AY194</f>
        <v>0</v>
      </c>
      <c r="BA194" s="354">
        <f t="shared" ref="BA194:BA195" si="538">AZ194</f>
        <v>0</v>
      </c>
      <c r="BB194" s="340">
        <f t="shared" ref="BB194:BB195" si="539">BA194</f>
        <v>0</v>
      </c>
      <c r="BC194" s="369">
        <f t="shared" ref="BC194:BC195" si="540">BB194</f>
        <v>0</v>
      </c>
      <c r="BD194" s="353">
        <f t="shared" ref="BD194:BD195" si="541">BC194</f>
        <v>0</v>
      </c>
      <c r="BE194" s="353">
        <f t="shared" ref="BE194:BE195" si="542">BD194</f>
        <v>0</v>
      </c>
      <c r="BF194" s="354">
        <f t="shared" ref="BF194:BF195" si="543">BE194</f>
        <v>0</v>
      </c>
      <c r="BG194" s="340">
        <f t="shared" ref="BG194:BG195" si="544">BF194</f>
        <v>0</v>
      </c>
      <c r="BH194" s="369">
        <f t="shared" ref="BH194:BH195" si="545">BG194</f>
        <v>0</v>
      </c>
      <c r="BI194" s="353">
        <f t="shared" ref="BI194:BI195" si="546">BH194</f>
        <v>0</v>
      </c>
      <c r="BJ194" s="353">
        <f t="shared" ref="BJ194:BJ195" si="547">BI194</f>
        <v>0</v>
      </c>
      <c r="BK194" s="354">
        <f t="shared" ref="BK194:BK195" si="548">BJ194</f>
        <v>0</v>
      </c>
      <c r="BL194" s="340">
        <f t="shared" ref="BL194:BL195" si="549">BK194</f>
        <v>0</v>
      </c>
      <c r="BM194" s="1716"/>
      <c r="BN194" s="1716"/>
      <c r="BO194" s="1716"/>
      <c r="BP194" s="1716"/>
      <c r="BQ194" s="1716"/>
      <c r="BR194" s="1716"/>
      <c r="BS194" s="1716"/>
      <c r="BT194" s="1716"/>
      <c r="BU194" s="1716"/>
      <c r="BV194" s="1716"/>
      <c r="BW194" s="1716"/>
      <c r="BX194" s="1716"/>
      <c r="BY194" s="1716"/>
      <c r="BZ194" s="1716"/>
      <c r="CA194" s="1716"/>
      <c r="CB194" s="1716"/>
      <c r="CC194" s="1716"/>
      <c r="CD194" s="1716"/>
      <c r="CE194" s="1716"/>
      <c r="CF194" s="1716"/>
      <c r="CG194" s="1716"/>
      <c r="CH194" s="1716"/>
      <c r="CI194" s="1716"/>
      <c r="CJ194" s="1716"/>
      <c r="CK194" s="1716"/>
      <c r="CL194" s="1716"/>
      <c r="CM194" s="1716"/>
      <c r="CN194" s="1716"/>
      <c r="CO194" s="1716"/>
      <c r="CP194" s="1716"/>
    </row>
    <row r="195" spans="1:94">
      <c r="A195" s="1716"/>
      <c r="B195" s="1716"/>
      <c r="C195" s="1716" t="s">
        <v>676</v>
      </c>
      <c r="D195" s="1716"/>
      <c r="E195" s="1717"/>
      <c r="F195" s="1718"/>
      <c r="G195" s="1718"/>
      <c r="H195" s="1719"/>
      <c r="I195" s="1716"/>
      <c r="J195" s="1717"/>
      <c r="K195" s="1718"/>
      <c r="L195" s="1718"/>
      <c r="M195" s="1719"/>
      <c r="N195" s="1716"/>
      <c r="O195" s="1717"/>
      <c r="P195" s="1718"/>
      <c r="Q195" s="1718"/>
      <c r="R195" s="1719"/>
      <c r="S195" s="1716"/>
      <c r="T195" s="337">
        <f>3+66+10+68</f>
        <v>147</v>
      </c>
      <c r="U195" s="338">
        <f>3+68+9+66</f>
        <v>146</v>
      </c>
      <c r="V195" s="338">
        <f>3+68+10+65</f>
        <v>146</v>
      </c>
      <c r="W195" s="1684">
        <f>3+61+10+65</f>
        <v>139</v>
      </c>
      <c r="X195" s="647">
        <f>W195</f>
        <v>139</v>
      </c>
      <c r="Y195" s="337">
        <f>3+60+67</f>
        <v>130</v>
      </c>
      <c r="Z195" s="338">
        <f>3+59+65</f>
        <v>127</v>
      </c>
      <c r="AA195" s="338">
        <f>3+58+64</f>
        <v>125</v>
      </c>
      <c r="AB195" s="1684">
        <f>2+57+67</f>
        <v>126</v>
      </c>
      <c r="AC195" s="647">
        <f>AB195</f>
        <v>126</v>
      </c>
      <c r="AD195" s="337">
        <f>2+55+71</f>
        <v>128</v>
      </c>
      <c r="AE195" s="338">
        <f>2+53+66</f>
        <v>121</v>
      </c>
      <c r="AF195" s="338">
        <f>2+52+67</f>
        <v>121</v>
      </c>
      <c r="AG195" s="1684">
        <f>2+49+72</f>
        <v>123</v>
      </c>
      <c r="AH195" s="647">
        <f>AG195</f>
        <v>123</v>
      </c>
      <c r="AI195" s="337">
        <f>49+161</f>
        <v>210</v>
      </c>
      <c r="AJ195" s="338">
        <f>48+163</f>
        <v>211</v>
      </c>
      <c r="AK195" s="338">
        <f>46+124</f>
        <v>170</v>
      </c>
      <c r="AL195" s="1684">
        <f>43+133</f>
        <v>176</v>
      </c>
      <c r="AM195" s="647">
        <f>AL195</f>
        <v>176</v>
      </c>
      <c r="AN195" s="337">
        <f>41+132</f>
        <v>173</v>
      </c>
      <c r="AO195" s="338">
        <f>40+125</f>
        <v>165</v>
      </c>
      <c r="AP195" s="338">
        <f>37+126</f>
        <v>163</v>
      </c>
      <c r="AQ195" s="1684">
        <f>36+300</f>
        <v>336</v>
      </c>
      <c r="AR195" s="647">
        <f>AQ195</f>
        <v>336</v>
      </c>
      <c r="AS195" s="369">
        <f t="shared" ref="AS195:AW195" si="550">AR195</f>
        <v>336</v>
      </c>
      <c r="AT195" s="353">
        <f t="shared" si="550"/>
        <v>336</v>
      </c>
      <c r="AU195" s="353">
        <f t="shared" si="550"/>
        <v>336</v>
      </c>
      <c r="AV195" s="354">
        <f t="shared" si="550"/>
        <v>336</v>
      </c>
      <c r="AW195" s="340">
        <f t="shared" si="550"/>
        <v>336</v>
      </c>
      <c r="AX195" s="369">
        <f t="shared" si="535"/>
        <v>336</v>
      </c>
      <c r="AY195" s="353">
        <f t="shared" si="536"/>
        <v>336</v>
      </c>
      <c r="AZ195" s="353">
        <f t="shared" si="537"/>
        <v>336</v>
      </c>
      <c r="BA195" s="354">
        <f t="shared" si="538"/>
        <v>336</v>
      </c>
      <c r="BB195" s="340">
        <f t="shared" si="539"/>
        <v>336</v>
      </c>
      <c r="BC195" s="369">
        <f t="shared" si="540"/>
        <v>336</v>
      </c>
      <c r="BD195" s="353">
        <f t="shared" si="541"/>
        <v>336</v>
      </c>
      <c r="BE195" s="353">
        <f t="shared" si="542"/>
        <v>336</v>
      </c>
      <c r="BF195" s="354">
        <f t="shared" si="543"/>
        <v>336</v>
      </c>
      <c r="BG195" s="340">
        <f t="shared" si="544"/>
        <v>336</v>
      </c>
      <c r="BH195" s="369">
        <f t="shared" si="545"/>
        <v>336</v>
      </c>
      <c r="BI195" s="353">
        <f t="shared" si="546"/>
        <v>336</v>
      </c>
      <c r="BJ195" s="353">
        <f t="shared" si="547"/>
        <v>336</v>
      </c>
      <c r="BK195" s="354">
        <f t="shared" si="548"/>
        <v>336</v>
      </c>
      <c r="BL195" s="340">
        <f t="shared" si="549"/>
        <v>336</v>
      </c>
      <c r="BM195" s="1716"/>
      <c r="BN195" s="1716"/>
      <c r="BO195" s="1716"/>
      <c r="BP195" s="1716"/>
      <c r="BQ195" s="1716"/>
      <c r="BR195" s="1716"/>
      <c r="BS195" s="1716"/>
      <c r="BT195" s="1716"/>
      <c r="BU195" s="1716"/>
      <c r="BV195" s="1716"/>
      <c r="BW195" s="1716"/>
      <c r="BX195" s="1716"/>
      <c r="BY195" s="1716"/>
      <c r="BZ195" s="1716"/>
      <c r="CA195" s="1716"/>
      <c r="CB195" s="1716"/>
      <c r="CC195" s="1716"/>
      <c r="CD195" s="1716"/>
      <c r="CE195" s="1716"/>
      <c r="CF195" s="1716"/>
      <c r="CG195" s="1716"/>
      <c r="CH195" s="1716"/>
      <c r="CI195" s="1716"/>
      <c r="CJ195" s="1716"/>
      <c r="CK195" s="1716"/>
      <c r="CL195" s="1716"/>
      <c r="CM195" s="1716"/>
      <c r="CN195" s="1716"/>
      <c r="CO195" s="1716"/>
      <c r="CP195" s="1716"/>
    </row>
    <row r="196" spans="1:94">
      <c r="A196" s="1716"/>
      <c r="B196" s="1716"/>
      <c r="C196" s="1716"/>
      <c r="D196" s="1716"/>
      <c r="E196" s="1717"/>
      <c r="F196" s="1718"/>
      <c r="G196" s="1718"/>
      <c r="H196" s="1719"/>
      <c r="I196" s="1716"/>
      <c r="J196" s="1717"/>
      <c r="K196" s="1718"/>
      <c r="L196" s="1718"/>
      <c r="M196" s="1719"/>
      <c r="N196" s="1716"/>
      <c r="O196" s="1717"/>
      <c r="P196" s="1718"/>
      <c r="Q196" s="1718"/>
      <c r="R196" s="1719"/>
      <c r="S196" s="1716"/>
      <c r="T196" s="1717"/>
      <c r="U196" s="1718"/>
      <c r="V196" s="1718"/>
      <c r="W196" s="1719"/>
      <c r="X196" s="647"/>
      <c r="Y196" s="1717"/>
      <c r="Z196" s="1718"/>
      <c r="AA196" s="1718"/>
      <c r="AB196" s="1719"/>
      <c r="AC196" s="647"/>
      <c r="AD196" s="1717"/>
      <c r="AE196" s="1718"/>
      <c r="AF196" s="1718"/>
      <c r="AG196" s="1719"/>
      <c r="AH196" s="647"/>
      <c r="AI196" s="1717"/>
      <c r="AJ196" s="1718"/>
      <c r="AK196" s="1718"/>
      <c r="AL196" s="1719"/>
      <c r="AM196" s="647"/>
      <c r="AN196" s="1717"/>
      <c r="AO196" s="1718"/>
      <c r="AP196" s="1718"/>
      <c r="AQ196" s="1719"/>
      <c r="AR196" s="647"/>
      <c r="AS196" s="1913"/>
      <c r="AT196" s="1910"/>
      <c r="AU196" s="1910"/>
      <c r="AV196" s="1911"/>
      <c r="AW196" s="340"/>
      <c r="AX196" s="1913"/>
      <c r="AY196" s="1910"/>
      <c r="AZ196" s="1910"/>
      <c r="BA196" s="1911"/>
      <c r="BB196" s="340"/>
      <c r="BC196" s="1913"/>
      <c r="BD196" s="1910"/>
      <c r="BE196" s="1910"/>
      <c r="BF196" s="1911"/>
      <c r="BG196" s="340"/>
      <c r="BH196" s="1913"/>
      <c r="BI196" s="1910"/>
      <c r="BJ196" s="1910"/>
      <c r="BK196" s="1911"/>
      <c r="BL196" s="340"/>
      <c r="BM196" s="1716"/>
      <c r="BN196" s="1716"/>
      <c r="BO196" s="1716"/>
      <c r="BP196" s="1716"/>
      <c r="BQ196" s="1716"/>
      <c r="BR196" s="1716"/>
      <c r="BS196" s="1716"/>
      <c r="BT196" s="1716"/>
      <c r="BU196" s="1716"/>
      <c r="BV196" s="1716"/>
      <c r="BW196" s="1716"/>
      <c r="BX196" s="1716"/>
      <c r="BY196" s="1716"/>
      <c r="BZ196" s="1716"/>
      <c r="CA196" s="1716"/>
      <c r="CB196" s="1716"/>
      <c r="CC196" s="1716"/>
      <c r="CD196" s="1716"/>
      <c r="CE196" s="1716"/>
      <c r="CF196" s="1716"/>
      <c r="CG196" s="1716"/>
      <c r="CH196" s="1716"/>
      <c r="CI196" s="1716"/>
      <c r="CJ196" s="1716"/>
      <c r="CK196" s="1716"/>
      <c r="CL196" s="1716"/>
      <c r="CM196" s="1716"/>
      <c r="CN196" s="1716"/>
      <c r="CO196" s="1716"/>
      <c r="CP196" s="1716"/>
    </row>
    <row r="197" spans="1:94" s="1909" customFormat="1">
      <c r="A197" s="1756"/>
      <c r="B197" s="1756"/>
      <c r="C197" s="1756" t="s">
        <v>190</v>
      </c>
      <c r="D197" s="1756"/>
      <c r="E197" s="1906"/>
      <c r="F197" s="1907"/>
      <c r="G197" s="1907"/>
      <c r="H197" s="1908"/>
      <c r="I197" s="1756"/>
      <c r="J197" s="1906"/>
      <c r="K197" s="1907"/>
      <c r="L197" s="1907"/>
      <c r="M197" s="1908"/>
      <c r="N197" s="1756"/>
      <c r="O197" s="1906"/>
      <c r="P197" s="1907"/>
      <c r="Q197" s="1907"/>
      <c r="R197" s="1908"/>
      <c r="S197" s="1756"/>
      <c r="T197" s="292">
        <f t="shared" ref="T197:Y197" si="551">SUM(T191:T195,T189)</f>
        <v>3989</v>
      </c>
      <c r="U197" s="261">
        <f t="shared" si="551"/>
        <v>3989</v>
      </c>
      <c r="V197" s="261">
        <f t="shared" si="551"/>
        <v>4134</v>
      </c>
      <c r="W197" s="293">
        <f t="shared" si="551"/>
        <v>4249</v>
      </c>
      <c r="X197" s="583">
        <f t="shared" si="551"/>
        <v>4249</v>
      </c>
      <c r="Y197" s="292">
        <f t="shared" si="551"/>
        <v>4504</v>
      </c>
      <c r="Z197" s="261">
        <f t="shared" ref="Z197:AD197" si="552">SUM(Z191:Z195,Z189)</f>
        <v>4329</v>
      </c>
      <c r="AA197" s="261">
        <f t="shared" si="552"/>
        <v>4436</v>
      </c>
      <c r="AB197" s="293">
        <f t="shared" si="552"/>
        <v>4526</v>
      </c>
      <c r="AC197" s="583">
        <f t="shared" si="552"/>
        <v>4526</v>
      </c>
      <c r="AD197" s="292">
        <f t="shared" si="552"/>
        <v>4621</v>
      </c>
      <c r="AE197" s="261">
        <f t="shared" ref="AE197:AI197" si="553">SUM(AE191:AE195,AE189)</f>
        <v>4596</v>
      </c>
      <c r="AF197" s="261">
        <f t="shared" si="553"/>
        <v>4684</v>
      </c>
      <c r="AG197" s="293">
        <f t="shared" si="553"/>
        <v>4745</v>
      </c>
      <c r="AH197" s="583">
        <f t="shared" si="553"/>
        <v>4745</v>
      </c>
      <c r="AI197" s="292">
        <f t="shared" si="553"/>
        <v>4784</v>
      </c>
      <c r="AJ197" s="261">
        <f t="shared" ref="AJ197:AM197" si="554">SUM(AJ191:AJ195,AJ189)</f>
        <v>4820</v>
      </c>
      <c r="AK197" s="261">
        <f t="shared" si="554"/>
        <v>4897</v>
      </c>
      <c r="AL197" s="293">
        <f t="shared" si="554"/>
        <v>5035</v>
      </c>
      <c r="AM197" s="583">
        <f t="shared" si="554"/>
        <v>5035</v>
      </c>
      <c r="AN197" s="292">
        <f t="shared" ref="AN197:AO197" si="555">SUM(AN191:AN195,AN189)</f>
        <v>5089</v>
      </c>
      <c r="AO197" s="261">
        <f t="shared" si="555"/>
        <v>5144</v>
      </c>
      <c r="AP197" s="261">
        <f t="shared" ref="AP197:AW197" si="556">SUM(AP191:AP195,AP189)</f>
        <v>5259</v>
      </c>
      <c r="AQ197" s="293">
        <f t="shared" si="556"/>
        <v>5299</v>
      </c>
      <c r="AR197" s="583">
        <f t="shared" si="556"/>
        <v>5299</v>
      </c>
      <c r="AS197" s="292">
        <f t="shared" ca="1" si="556"/>
        <v>5372.4708602969686</v>
      </c>
      <c r="AT197" s="261">
        <f t="shared" ca="1" si="556"/>
        <v>5450.1072365048058</v>
      </c>
      <c r="AU197" s="261">
        <f t="shared" ca="1" si="556"/>
        <v>5552.0934872674534</v>
      </c>
      <c r="AV197" s="293">
        <f t="shared" ca="1" si="556"/>
        <v>5563.4579830232715</v>
      </c>
      <c r="AW197" s="228">
        <f t="shared" ca="1" si="556"/>
        <v>5563.4579830232715</v>
      </c>
      <c r="AX197" s="292">
        <f t="shared" ref="AX197:BG197" ca="1" si="557">SUM(AX191:AX195,AX189)</f>
        <v>5626.4977648820059</v>
      </c>
      <c r="AY197" s="261">
        <f t="shared" ca="1" si="557"/>
        <v>5696.517087314025</v>
      </c>
      <c r="AZ197" s="261">
        <f t="shared" ca="1" si="557"/>
        <v>5764.9185392528016</v>
      </c>
      <c r="BA197" s="293">
        <f t="shared" ca="1" si="557"/>
        <v>5777.0720579959789</v>
      </c>
      <c r="BB197" s="228">
        <f t="shared" ca="1" si="557"/>
        <v>5777.0720579959789</v>
      </c>
      <c r="BC197" s="292">
        <f t="shared" ca="1" si="557"/>
        <v>5854.3573103838271</v>
      </c>
      <c r="BD197" s="261">
        <f t="shared" ca="1" si="557"/>
        <v>5938.9919223680308</v>
      </c>
      <c r="BE197" s="261">
        <f t="shared" ca="1" si="557"/>
        <v>6034.5676652476641</v>
      </c>
      <c r="BF197" s="293">
        <f t="shared" ca="1" si="557"/>
        <v>6048.7328676648922</v>
      </c>
      <c r="BG197" s="228">
        <f t="shared" ca="1" si="557"/>
        <v>6048.7328676648922</v>
      </c>
      <c r="BH197" s="292">
        <f t="shared" ref="BH197:BL197" ca="1" si="558">SUM(BH191:BH195,BH189)</f>
        <v>6134.0974692178397</v>
      </c>
      <c r="BI197" s="261">
        <f t="shared" ca="1" si="558"/>
        <v>6225.3240397548961</v>
      </c>
      <c r="BJ197" s="261">
        <f t="shared" ca="1" si="558"/>
        <v>6334.8112173175841</v>
      </c>
      <c r="BK197" s="293">
        <f t="shared" ca="1" si="558"/>
        <v>6350.1706672018145</v>
      </c>
      <c r="BL197" s="228">
        <f t="shared" ca="1" si="558"/>
        <v>6350.1706672018145</v>
      </c>
      <c r="BM197" s="1756"/>
      <c r="BN197" s="1756"/>
      <c r="BO197" s="1756"/>
      <c r="BP197" s="1756"/>
      <c r="BQ197" s="1756"/>
      <c r="BR197" s="1756"/>
      <c r="BS197" s="1756"/>
      <c r="BT197" s="1756"/>
      <c r="BU197" s="1756"/>
      <c r="BV197" s="1756"/>
      <c r="BW197" s="1756"/>
      <c r="BX197" s="1756"/>
      <c r="BY197" s="1756"/>
      <c r="BZ197" s="1756"/>
      <c r="CA197" s="1756"/>
      <c r="CB197" s="1756"/>
      <c r="CC197" s="1756"/>
      <c r="CD197" s="1756"/>
      <c r="CE197" s="1756"/>
      <c r="CF197" s="1756"/>
      <c r="CG197" s="1756"/>
      <c r="CH197" s="1756"/>
      <c r="CI197" s="1756"/>
      <c r="CJ197" s="1756"/>
      <c r="CK197" s="1756"/>
      <c r="CL197" s="1756"/>
      <c r="CM197" s="1756"/>
      <c r="CN197" s="1756"/>
      <c r="CO197" s="1756"/>
      <c r="CP197" s="1756"/>
    </row>
    <row r="198" spans="1:94">
      <c r="A198" s="1716"/>
      <c r="B198" s="1716"/>
      <c r="C198" s="1716"/>
      <c r="D198" s="1716"/>
      <c r="E198" s="1717"/>
      <c r="F198" s="1718"/>
      <c r="G198" s="1718"/>
      <c r="H198" s="1719"/>
      <c r="I198" s="1716"/>
      <c r="J198" s="1717"/>
      <c r="K198" s="1718"/>
      <c r="L198" s="1718"/>
      <c r="M198" s="1719"/>
      <c r="N198" s="1716"/>
      <c r="O198" s="1717"/>
      <c r="P198" s="1718"/>
      <c r="Q198" s="1718"/>
      <c r="R198" s="1719"/>
      <c r="S198" s="1716"/>
      <c r="T198" s="1717"/>
      <c r="U198" s="1718"/>
      <c r="V198" s="1718"/>
      <c r="W198" s="1719"/>
      <c r="X198" s="647"/>
      <c r="Y198" s="1717"/>
      <c r="Z198" s="1718"/>
      <c r="AA198" s="1718"/>
      <c r="AB198" s="1719"/>
      <c r="AC198" s="647"/>
      <c r="AD198" s="1717"/>
      <c r="AE198" s="1718"/>
      <c r="AF198" s="1718"/>
      <c r="AG198" s="1719"/>
      <c r="AH198" s="647"/>
      <c r="AI198" s="1717"/>
      <c r="AJ198" s="1718"/>
      <c r="AK198" s="1718"/>
      <c r="AL198" s="1719"/>
      <c r="AM198" s="647"/>
      <c r="AN198" s="1717"/>
      <c r="AO198" s="1718"/>
      <c r="AP198" s="1718"/>
      <c r="AQ198" s="1719"/>
      <c r="AR198" s="647"/>
      <c r="AS198" s="1717"/>
      <c r="AT198" s="1718"/>
      <c r="AU198" s="1718"/>
      <c r="AV198" s="1719"/>
      <c r="AW198" s="45"/>
      <c r="AX198" s="1717"/>
      <c r="AY198" s="1718"/>
      <c r="AZ198" s="1718"/>
      <c r="BA198" s="1719"/>
      <c r="BB198" s="45"/>
      <c r="BC198" s="1717"/>
      <c r="BD198" s="1718"/>
      <c r="BE198" s="1718"/>
      <c r="BF198" s="1719"/>
      <c r="BG198" s="45"/>
      <c r="BH198" s="1717"/>
      <c r="BI198" s="1718"/>
      <c r="BJ198" s="1718"/>
      <c r="BK198" s="1719"/>
      <c r="BL198" s="45"/>
      <c r="BM198" s="1716"/>
      <c r="BN198" s="1716"/>
      <c r="BO198" s="1716"/>
      <c r="BP198" s="1716"/>
      <c r="BQ198" s="1716"/>
      <c r="BR198" s="1716"/>
      <c r="BS198" s="1716"/>
      <c r="BT198" s="1716"/>
      <c r="BU198" s="1716"/>
      <c r="BV198" s="1716"/>
      <c r="BW198" s="1716"/>
      <c r="BX198" s="1716"/>
      <c r="BY198" s="1716"/>
      <c r="BZ198" s="1716"/>
      <c r="CA198" s="1716"/>
      <c r="CB198" s="1716"/>
      <c r="CC198" s="1716"/>
      <c r="CD198" s="1716"/>
      <c r="CE198" s="1716"/>
      <c r="CF198" s="1716"/>
      <c r="CG198" s="1716"/>
      <c r="CH198" s="1716"/>
      <c r="CI198" s="1716"/>
      <c r="CJ198" s="1716"/>
      <c r="CK198" s="1716"/>
      <c r="CL198" s="1716"/>
      <c r="CM198" s="1716"/>
      <c r="CN198" s="1716"/>
      <c r="CO198" s="1716"/>
      <c r="CP198" s="1716"/>
    </row>
    <row r="199" spans="1:94">
      <c r="A199" s="1716"/>
      <c r="B199" s="1716"/>
      <c r="C199" s="1716" t="s">
        <v>974</v>
      </c>
      <c r="D199" s="1716"/>
      <c r="E199" s="1717"/>
      <c r="F199" s="1718"/>
      <c r="G199" s="1718"/>
      <c r="H199" s="1719"/>
      <c r="I199" s="1716"/>
      <c r="J199" s="1717"/>
      <c r="K199" s="1718"/>
      <c r="L199" s="1718"/>
      <c r="M199" s="1719"/>
      <c r="N199" s="1716"/>
      <c r="O199" s="1717"/>
      <c r="P199" s="1718"/>
      <c r="Q199" s="1718"/>
      <c r="R199" s="1719"/>
      <c r="S199" s="1716"/>
      <c r="T199" s="337">
        <v>0</v>
      </c>
      <c r="U199" s="338">
        <v>0</v>
      </c>
      <c r="V199" s="338">
        <v>0</v>
      </c>
      <c r="W199" s="1684">
        <v>0</v>
      </c>
      <c r="X199" s="647">
        <f>W199</f>
        <v>0</v>
      </c>
      <c r="Y199" s="337">
        <v>0</v>
      </c>
      <c r="Z199" s="338">
        <v>0</v>
      </c>
      <c r="AA199" s="338">
        <v>0</v>
      </c>
      <c r="AB199" s="1684">
        <v>0</v>
      </c>
      <c r="AC199" s="647">
        <f>AB199</f>
        <v>0</v>
      </c>
      <c r="AD199" s="337">
        <v>0</v>
      </c>
      <c r="AE199" s="338">
        <v>0</v>
      </c>
      <c r="AF199" s="338">
        <v>0</v>
      </c>
      <c r="AG199" s="1684">
        <v>0</v>
      </c>
      <c r="AH199" s="647">
        <f>AG199</f>
        <v>0</v>
      </c>
      <c r="AI199" s="337">
        <v>0</v>
      </c>
      <c r="AJ199" s="338">
        <v>0</v>
      </c>
      <c r="AK199" s="338">
        <v>0</v>
      </c>
      <c r="AL199" s="1684">
        <v>0</v>
      </c>
      <c r="AM199" s="647">
        <f>AL199</f>
        <v>0</v>
      </c>
      <c r="AN199" s="337">
        <v>0</v>
      </c>
      <c r="AO199" s="338">
        <v>0</v>
      </c>
      <c r="AP199" s="338">
        <v>0</v>
      </c>
      <c r="AQ199" s="1684">
        <v>0</v>
      </c>
      <c r="AR199" s="647">
        <f>AQ199</f>
        <v>0</v>
      </c>
      <c r="AS199" s="290">
        <f t="shared" ref="AS199:AW199" si="559">AR199</f>
        <v>0</v>
      </c>
      <c r="AT199" s="260">
        <f t="shared" si="559"/>
        <v>0</v>
      </c>
      <c r="AU199" s="260">
        <f t="shared" si="559"/>
        <v>0</v>
      </c>
      <c r="AV199" s="291">
        <f t="shared" si="559"/>
        <v>0</v>
      </c>
      <c r="AW199" s="45">
        <f t="shared" si="559"/>
        <v>0</v>
      </c>
      <c r="AX199" s="290">
        <f t="shared" ref="AX199:AX200" si="560">AW199</f>
        <v>0</v>
      </c>
      <c r="AY199" s="260">
        <f t="shared" ref="AY199:AY200" si="561">AX199</f>
        <v>0</v>
      </c>
      <c r="AZ199" s="260">
        <f t="shared" ref="AZ199:AZ200" si="562">AY199</f>
        <v>0</v>
      </c>
      <c r="BA199" s="291">
        <f t="shared" ref="BA199:BA200" si="563">AZ199</f>
        <v>0</v>
      </c>
      <c r="BB199" s="45">
        <f t="shared" ref="BB199:BB201" si="564">BA199</f>
        <v>0</v>
      </c>
      <c r="BC199" s="290">
        <f t="shared" ref="BC199:BC200" si="565">BB199</f>
        <v>0</v>
      </c>
      <c r="BD199" s="260">
        <f t="shared" ref="BD199:BD200" si="566">BC199</f>
        <v>0</v>
      </c>
      <c r="BE199" s="260">
        <f t="shared" ref="BE199:BE200" si="567">BD199</f>
        <v>0</v>
      </c>
      <c r="BF199" s="291">
        <f t="shared" ref="BF199:BF200" si="568">BE199</f>
        <v>0</v>
      </c>
      <c r="BG199" s="45">
        <f t="shared" ref="BG199:BG201" si="569">BF199</f>
        <v>0</v>
      </c>
      <c r="BH199" s="290">
        <f t="shared" ref="BH199:BH200" si="570">BG199</f>
        <v>0</v>
      </c>
      <c r="BI199" s="260">
        <f t="shared" ref="BI199:BI200" si="571">BH199</f>
        <v>0</v>
      </c>
      <c r="BJ199" s="260">
        <f t="shared" ref="BJ199:BJ200" si="572">BI199</f>
        <v>0</v>
      </c>
      <c r="BK199" s="291">
        <f t="shared" ref="BK199:BK200" si="573">BJ199</f>
        <v>0</v>
      </c>
      <c r="BL199" s="45">
        <f t="shared" ref="BL199:BL201" si="574">BK199</f>
        <v>0</v>
      </c>
      <c r="BM199" s="1716"/>
      <c r="BN199" s="1716"/>
      <c r="BO199" s="1716"/>
      <c r="BP199" s="1716"/>
      <c r="BQ199" s="1716"/>
      <c r="BR199" s="1716"/>
      <c r="BS199" s="1716"/>
      <c r="BT199" s="1716"/>
      <c r="BU199" s="1716"/>
      <c r="BV199" s="1716"/>
      <c r="BW199" s="1716"/>
      <c r="BX199" s="1716"/>
      <c r="BY199" s="1716"/>
      <c r="BZ199" s="1716"/>
      <c r="CA199" s="1716"/>
      <c r="CB199" s="1716"/>
      <c r="CC199" s="1716"/>
      <c r="CD199" s="1716"/>
      <c r="CE199" s="1716"/>
      <c r="CF199" s="1716"/>
      <c r="CG199" s="1716"/>
      <c r="CH199" s="1716"/>
      <c r="CI199" s="1716"/>
      <c r="CJ199" s="1716"/>
      <c r="CK199" s="1716"/>
      <c r="CL199" s="1716"/>
      <c r="CM199" s="1716"/>
      <c r="CN199" s="1716"/>
      <c r="CO199" s="1716"/>
      <c r="CP199" s="1716"/>
    </row>
    <row r="200" spans="1:94">
      <c r="A200" s="1716"/>
      <c r="B200" s="1716"/>
      <c r="C200" s="1716" t="s">
        <v>965</v>
      </c>
      <c r="D200" s="1716"/>
      <c r="E200" s="1717"/>
      <c r="F200" s="1718"/>
      <c r="G200" s="1718"/>
      <c r="H200" s="1719"/>
      <c r="I200" s="1716"/>
      <c r="J200" s="1717"/>
      <c r="K200" s="1718"/>
      <c r="L200" s="1718"/>
      <c r="M200" s="1719"/>
      <c r="N200" s="1716"/>
      <c r="O200" s="1717"/>
      <c r="P200" s="1718"/>
      <c r="Q200" s="1718"/>
      <c r="R200" s="1719"/>
      <c r="S200" s="1716"/>
      <c r="T200" s="337">
        <v>930</v>
      </c>
      <c r="U200" s="338">
        <v>930</v>
      </c>
      <c r="V200" s="338">
        <v>930</v>
      </c>
      <c r="W200" s="1684">
        <v>930</v>
      </c>
      <c r="X200" s="647">
        <f>W200</f>
        <v>930</v>
      </c>
      <c r="Y200" s="337">
        <v>1010</v>
      </c>
      <c r="Z200" s="338">
        <v>1010</v>
      </c>
      <c r="AA200" s="338">
        <v>1010</v>
      </c>
      <c r="AB200" s="1684">
        <v>1010</v>
      </c>
      <c r="AC200" s="647">
        <f>AB200</f>
        <v>1010</v>
      </c>
      <c r="AD200" s="337">
        <v>1122</v>
      </c>
      <c r="AE200" s="338">
        <v>1122</v>
      </c>
      <c r="AF200" s="338">
        <v>1122</v>
      </c>
      <c r="AG200" s="1684">
        <v>1122</v>
      </c>
      <c r="AH200" s="647">
        <f>AG200</f>
        <v>1122</v>
      </c>
      <c r="AI200" s="337">
        <v>1122</v>
      </c>
      <c r="AJ200" s="338">
        <v>1309</v>
      </c>
      <c r="AK200" s="338">
        <v>1309</v>
      </c>
      <c r="AL200" s="1684">
        <v>1309</v>
      </c>
      <c r="AM200" s="647">
        <f>AL200</f>
        <v>1309</v>
      </c>
      <c r="AN200" s="337">
        <v>1309</v>
      </c>
      <c r="AO200" s="338">
        <v>1470</v>
      </c>
      <c r="AP200" s="338">
        <v>1470</v>
      </c>
      <c r="AQ200" s="1684">
        <v>1470</v>
      </c>
      <c r="AR200" s="647">
        <f>AQ200</f>
        <v>1470</v>
      </c>
      <c r="AS200" s="290">
        <f t="shared" ref="AS200:AW201" si="575">AR200</f>
        <v>1470</v>
      </c>
      <c r="AT200" s="260">
        <f t="shared" si="575"/>
        <v>1470</v>
      </c>
      <c r="AU200" s="260">
        <f t="shared" si="575"/>
        <v>1470</v>
      </c>
      <c r="AV200" s="291">
        <f t="shared" si="575"/>
        <v>1470</v>
      </c>
      <c r="AW200" s="45">
        <f t="shared" si="575"/>
        <v>1470</v>
      </c>
      <c r="AX200" s="290">
        <f t="shared" si="560"/>
        <v>1470</v>
      </c>
      <c r="AY200" s="260">
        <f t="shared" si="561"/>
        <v>1470</v>
      </c>
      <c r="AZ200" s="260">
        <f t="shared" si="562"/>
        <v>1470</v>
      </c>
      <c r="BA200" s="291">
        <f t="shared" si="563"/>
        <v>1470</v>
      </c>
      <c r="BB200" s="45">
        <f t="shared" si="564"/>
        <v>1470</v>
      </c>
      <c r="BC200" s="290">
        <f t="shared" si="565"/>
        <v>1470</v>
      </c>
      <c r="BD200" s="260">
        <f t="shared" si="566"/>
        <v>1470</v>
      </c>
      <c r="BE200" s="260">
        <f t="shared" si="567"/>
        <v>1470</v>
      </c>
      <c r="BF200" s="291">
        <f t="shared" si="568"/>
        <v>1470</v>
      </c>
      <c r="BG200" s="45">
        <f t="shared" si="569"/>
        <v>1470</v>
      </c>
      <c r="BH200" s="290">
        <f t="shared" si="570"/>
        <v>1470</v>
      </c>
      <c r="BI200" s="260">
        <f t="shared" si="571"/>
        <v>1470</v>
      </c>
      <c r="BJ200" s="260">
        <f t="shared" si="572"/>
        <v>1470</v>
      </c>
      <c r="BK200" s="291">
        <f t="shared" si="573"/>
        <v>1470</v>
      </c>
      <c r="BL200" s="45">
        <f t="shared" si="574"/>
        <v>1470</v>
      </c>
      <c r="BM200" s="1716"/>
      <c r="BN200" s="1716"/>
      <c r="BO200" s="1716"/>
      <c r="BP200" s="1716"/>
      <c r="BQ200" s="1716"/>
      <c r="BR200" s="1716"/>
      <c r="BS200" s="1716"/>
      <c r="BT200" s="1716"/>
      <c r="BU200" s="1716"/>
      <c r="BV200" s="1716"/>
      <c r="BW200" s="1716"/>
      <c r="BX200" s="1716"/>
      <c r="BY200" s="1716"/>
      <c r="BZ200" s="1716"/>
      <c r="CA200" s="1716"/>
      <c r="CB200" s="1716"/>
      <c r="CC200" s="1716"/>
      <c r="CD200" s="1716"/>
      <c r="CE200" s="1716"/>
      <c r="CF200" s="1716"/>
      <c r="CG200" s="1716"/>
      <c r="CH200" s="1716"/>
      <c r="CI200" s="1716"/>
      <c r="CJ200" s="1716"/>
      <c r="CK200" s="1716"/>
      <c r="CL200" s="1716"/>
      <c r="CM200" s="1716"/>
      <c r="CN200" s="1716"/>
      <c r="CO200" s="1716"/>
      <c r="CP200" s="1716"/>
    </row>
    <row r="201" spans="1:94">
      <c r="A201" s="1716"/>
      <c r="B201" s="1716"/>
      <c r="C201" s="1716" t="s">
        <v>966</v>
      </c>
      <c r="D201" s="1716"/>
      <c r="E201" s="1717"/>
      <c r="F201" s="1718"/>
      <c r="G201" s="1718"/>
      <c r="H201" s="1719"/>
      <c r="I201" s="1716"/>
      <c r="J201" s="1717"/>
      <c r="K201" s="1718"/>
      <c r="L201" s="1718"/>
      <c r="M201" s="1719"/>
      <c r="N201" s="1716"/>
      <c r="O201" s="1717"/>
      <c r="P201" s="1718"/>
      <c r="Q201" s="1718"/>
      <c r="R201" s="1719"/>
      <c r="S201" s="1716"/>
      <c r="T201" s="337">
        <v>911</v>
      </c>
      <c r="U201" s="338">
        <v>933</v>
      </c>
      <c r="V201" s="338">
        <v>968</v>
      </c>
      <c r="W201" s="1684">
        <v>992</v>
      </c>
      <c r="X201" s="647">
        <f>W201</f>
        <v>992</v>
      </c>
      <c r="Y201" s="337">
        <v>1024</v>
      </c>
      <c r="Z201" s="338">
        <v>1024</v>
      </c>
      <c r="AA201" s="338">
        <v>1091</v>
      </c>
      <c r="AB201" s="1684">
        <v>1077</v>
      </c>
      <c r="AC201" s="647">
        <f>AB201</f>
        <v>1077</v>
      </c>
      <c r="AD201" s="337">
        <v>1103</v>
      </c>
      <c r="AE201" s="338">
        <v>1114</v>
      </c>
      <c r="AF201" s="338">
        <v>1114</v>
      </c>
      <c r="AG201" s="1684">
        <v>1118</v>
      </c>
      <c r="AH201" s="647">
        <f>AG201</f>
        <v>1118</v>
      </c>
      <c r="AI201" s="337">
        <v>971</v>
      </c>
      <c r="AJ201" s="338">
        <v>970</v>
      </c>
      <c r="AK201" s="338">
        <v>1013</v>
      </c>
      <c r="AL201" s="1684">
        <v>991</v>
      </c>
      <c r="AM201" s="647">
        <f>AL201</f>
        <v>991</v>
      </c>
      <c r="AN201" s="337">
        <v>1019</v>
      </c>
      <c r="AO201" s="338">
        <v>1034</v>
      </c>
      <c r="AP201" s="338">
        <v>1046</v>
      </c>
      <c r="AQ201" s="1684">
        <v>1063</v>
      </c>
      <c r="AR201" s="647">
        <f>AQ201</f>
        <v>1063</v>
      </c>
      <c r="AS201" s="290">
        <f>AR201+AS158+AS159+AS143</f>
        <v>1085.8025807798565</v>
      </c>
      <c r="AT201" s="260">
        <f ca="1">AS201+AT158+AT159+AT143</f>
        <v>1109.03145090725</v>
      </c>
      <c r="AU201" s="260">
        <f ca="1">AT201+AU158+AU159+AU143</f>
        <v>1180.6940639362788</v>
      </c>
      <c r="AV201" s="291">
        <f ca="1">AU201+AV158+AV159+AV143</f>
        <v>1201.2589544413418</v>
      </c>
      <c r="AW201" s="45">
        <f t="shared" ca="1" si="575"/>
        <v>1201.2589544413418</v>
      </c>
      <c r="AX201" s="290">
        <f ca="1">AW201+AX158+AX159+AX143</f>
        <v>1226.5651727193535</v>
      </c>
      <c r="AY201" s="260">
        <f ca="1">AX201+AY158+AY159+AY143</f>
        <v>1251.6994639469058</v>
      </c>
      <c r="AZ201" s="260">
        <f ca="1">AY201+AZ158+AZ159+AZ143</f>
        <v>1333.7609901620549</v>
      </c>
      <c r="BA201" s="291">
        <f ca="1">AZ201+BA158+BA159+BA143</f>
        <v>1366.0746741089004</v>
      </c>
      <c r="BB201" s="45">
        <f t="shared" ca="1" si="564"/>
        <v>1366.0746741089004</v>
      </c>
      <c r="BC201" s="290">
        <f ca="1">BB201+BC158+BC159+BC143</f>
        <v>1402.3896279664202</v>
      </c>
      <c r="BD201" s="260">
        <f ca="1">BC201+BD158+BD159+BD143</f>
        <v>1439.6804065826227</v>
      </c>
      <c r="BE201" s="260">
        <f ca="1">BD201+BE158+BE159+BE143</f>
        <v>1531.9825176114302</v>
      </c>
      <c r="BF201" s="291">
        <f ca="1">BE201+BF158+BF159+BF143</f>
        <v>1576.1847491492342</v>
      </c>
      <c r="BG201" s="45">
        <f t="shared" ca="1" si="569"/>
        <v>1576.1847491492342</v>
      </c>
      <c r="BH201" s="290">
        <f ca="1">BG201+BH158+BH159+BH143</f>
        <v>1618.6189804863225</v>
      </c>
      <c r="BI201" s="260">
        <f ca="1">BH201+BI158+BI159+BI143</f>
        <v>1661.7095967276387</v>
      </c>
      <c r="BJ201" s="260">
        <f ca="1">BI201+BJ158+BJ159+BJ143</f>
        <v>1756.4975051718584</v>
      </c>
      <c r="BK201" s="291">
        <f ca="1">BJ201+BK158+BK159+BK143</f>
        <v>1804.8072290799457</v>
      </c>
      <c r="BL201" s="45">
        <f t="shared" ca="1" si="574"/>
        <v>1804.8072290799457</v>
      </c>
      <c r="BM201" s="1716"/>
      <c r="BN201" s="1716"/>
      <c r="BO201" s="1716"/>
      <c r="BP201" s="1716"/>
      <c r="BQ201" s="1716"/>
      <c r="BR201" s="1716"/>
      <c r="BS201" s="1716"/>
      <c r="BT201" s="1716"/>
      <c r="BU201" s="1716"/>
      <c r="BV201" s="1716"/>
      <c r="BW201" s="1716"/>
      <c r="BX201" s="1716"/>
      <c r="BY201" s="1716"/>
      <c r="BZ201" s="1716"/>
      <c r="CA201" s="1716"/>
      <c r="CB201" s="1716"/>
      <c r="CC201" s="1716"/>
      <c r="CD201" s="1716"/>
      <c r="CE201" s="1716"/>
      <c r="CF201" s="1716"/>
      <c r="CG201" s="1716"/>
      <c r="CH201" s="1716"/>
      <c r="CI201" s="1716"/>
      <c r="CJ201" s="1716"/>
      <c r="CK201" s="1716"/>
      <c r="CL201" s="1716"/>
      <c r="CM201" s="1716"/>
      <c r="CN201" s="1716"/>
      <c r="CO201" s="1716"/>
      <c r="CP201" s="1716"/>
    </row>
    <row r="202" spans="1:94" s="1909" customFormat="1">
      <c r="A202" s="1756"/>
      <c r="B202" s="1756"/>
      <c r="C202" s="1756" t="s">
        <v>967</v>
      </c>
      <c r="D202" s="1756"/>
      <c r="E202" s="1906"/>
      <c r="F202" s="1907"/>
      <c r="G202" s="1907"/>
      <c r="H202" s="1908"/>
      <c r="I202" s="1756"/>
      <c r="J202" s="1906"/>
      <c r="K202" s="1907"/>
      <c r="L202" s="1907"/>
      <c r="M202" s="1908"/>
      <c r="N202" s="1756"/>
      <c r="O202" s="1906"/>
      <c r="P202" s="1907"/>
      <c r="Q202" s="1907"/>
      <c r="R202" s="1908"/>
      <c r="S202" s="1756"/>
      <c r="T202" s="292">
        <f t="shared" ref="T202:Y202" si="576">SUM(T199:T201)</f>
        <v>1841</v>
      </c>
      <c r="U202" s="261">
        <f t="shared" si="576"/>
        <v>1863</v>
      </c>
      <c r="V202" s="261">
        <f t="shared" si="576"/>
        <v>1898</v>
      </c>
      <c r="W202" s="293">
        <f t="shared" si="576"/>
        <v>1922</v>
      </c>
      <c r="X202" s="583">
        <f t="shared" si="576"/>
        <v>1922</v>
      </c>
      <c r="Y202" s="292">
        <f t="shared" si="576"/>
        <v>2034</v>
      </c>
      <c r="Z202" s="261">
        <f t="shared" ref="Z202:AW202" si="577">SUM(Z199:Z201)</f>
        <v>2034</v>
      </c>
      <c r="AA202" s="261">
        <f t="shared" ref="AA202" si="578">SUM(AA199:AA201)</f>
        <v>2101</v>
      </c>
      <c r="AB202" s="293">
        <f t="shared" ref="AB202:AC202" si="579">SUM(AB199:AB201)</f>
        <v>2087</v>
      </c>
      <c r="AC202" s="583">
        <f t="shared" si="579"/>
        <v>2087</v>
      </c>
      <c r="AD202" s="292">
        <f t="shared" ref="AD202" si="580">SUM(AD199:AD201)</f>
        <v>2225</v>
      </c>
      <c r="AE202" s="261">
        <f t="shared" ref="AE202:AI202" si="581">SUM(AE199:AE201)</f>
        <v>2236</v>
      </c>
      <c r="AF202" s="261">
        <f t="shared" si="581"/>
        <v>2236</v>
      </c>
      <c r="AG202" s="293">
        <f t="shared" si="581"/>
        <v>2240</v>
      </c>
      <c r="AH202" s="583">
        <f t="shared" si="581"/>
        <v>2240</v>
      </c>
      <c r="AI202" s="292">
        <f t="shared" si="581"/>
        <v>2093</v>
      </c>
      <c r="AJ202" s="261">
        <f t="shared" ref="AJ202:AM202" si="582">SUM(AJ199:AJ201)</f>
        <v>2279</v>
      </c>
      <c r="AK202" s="261">
        <f t="shared" si="582"/>
        <v>2322</v>
      </c>
      <c r="AL202" s="293">
        <f t="shared" si="582"/>
        <v>2300</v>
      </c>
      <c r="AM202" s="583">
        <f t="shared" si="582"/>
        <v>2300</v>
      </c>
      <c r="AN202" s="292">
        <f t="shared" ref="AN202:AR202" si="583">SUM(AN199:AN201)</f>
        <v>2328</v>
      </c>
      <c r="AO202" s="261">
        <f t="shared" si="583"/>
        <v>2504</v>
      </c>
      <c r="AP202" s="261">
        <f t="shared" si="583"/>
        <v>2516</v>
      </c>
      <c r="AQ202" s="293">
        <f t="shared" si="583"/>
        <v>2533</v>
      </c>
      <c r="AR202" s="583">
        <f t="shared" si="583"/>
        <v>2533</v>
      </c>
      <c r="AS202" s="286">
        <f t="shared" si="577"/>
        <v>2555.8025807798567</v>
      </c>
      <c r="AT202" s="258">
        <f t="shared" ca="1" si="577"/>
        <v>2579.03145090725</v>
      </c>
      <c r="AU202" s="258">
        <f t="shared" ca="1" si="577"/>
        <v>2650.6940639362788</v>
      </c>
      <c r="AV202" s="287">
        <f t="shared" ca="1" si="577"/>
        <v>2671.2589544413418</v>
      </c>
      <c r="AW202" s="341">
        <f t="shared" ca="1" si="577"/>
        <v>2671.2589544413418</v>
      </c>
      <c r="AX202" s="286">
        <f t="shared" ref="AX202:BG202" ca="1" si="584">SUM(AX199:AX201)</f>
        <v>2696.5651727193535</v>
      </c>
      <c r="AY202" s="258">
        <f t="shared" ca="1" si="584"/>
        <v>2721.6994639469058</v>
      </c>
      <c r="AZ202" s="258">
        <f t="shared" ca="1" si="584"/>
        <v>2803.7609901620549</v>
      </c>
      <c r="BA202" s="287">
        <f t="shared" ca="1" si="584"/>
        <v>2836.0746741089006</v>
      </c>
      <c r="BB202" s="341">
        <f t="shared" ca="1" si="584"/>
        <v>2836.0746741089006</v>
      </c>
      <c r="BC202" s="286">
        <f t="shared" ca="1" si="584"/>
        <v>2872.3896279664204</v>
      </c>
      <c r="BD202" s="258">
        <f t="shared" ca="1" si="584"/>
        <v>2909.6804065826227</v>
      </c>
      <c r="BE202" s="258">
        <f t="shared" ca="1" si="584"/>
        <v>3001.98251761143</v>
      </c>
      <c r="BF202" s="287">
        <f t="shared" ca="1" si="584"/>
        <v>3046.1847491492344</v>
      </c>
      <c r="BG202" s="341">
        <f t="shared" ca="1" si="584"/>
        <v>3046.1847491492344</v>
      </c>
      <c r="BH202" s="286">
        <f t="shared" ref="BH202:BL202" ca="1" si="585">SUM(BH199:BH201)</f>
        <v>3088.6189804863225</v>
      </c>
      <c r="BI202" s="258">
        <f t="shared" ca="1" si="585"/>
        <v>3131.7095967276387</v>
      </c>
      <c r="BJ202" s="258">
        <f t="shared" ca="1" si="585"/>
        <v>3226.4975051718584</v>
      </c>
      <c r="BK202" s="287">
        <f t="shared" ca="1" si="585"/>
        <v>3274.8072290799455</v>
      </c>
      <c r="BL202" s="341">
        <f t="shared" ca="1" si="585"/>
        <v>3274.8072290799455</v>
      </c>
      <c r="BM202" s="1756"/>
      <c r="BN202" s="1756"/>
      <c r="BO202" s="1756"/>
      <c r="BP202" s="1756"/>
      <c r="BQ202" s="1756"/>
      <c r="BR202" s="1756"/>
      <c r="BS202" s="1756"/>
      <c r="BT202" s="1756"/>
      <c r="BU202" s="1756"/>
      <c r="BV202" s="1756"/>
      <c r="BW202" s="1756"/>
      <c r="BX202" s="1756"/>
      <c r="BY202" s="1756"/>
      <c r="BZ202" s="1756"/>
      <c r="CA202" s="1756"/>
      <c r="CB202" s="1756"/>
      <c r="CC202" s="1756"/>
      <c r="CD202" s="1756"/>
      <c r="CE202" s="1756"/>
      <c r="CF202" s="1756"/>
      <c r="CG202" s="1756"/>
      <c r="CH202" s="1756"/>
      <c r="CI202" s="1756"/>
      <c r="CJ202" s="1756"/>
      <c r="CK202" s="1756"/>
      <c r="CL202" s="1756"/>
      <c r="CM202" s="1756"/>
      <c r="CN202" s="1756"/>
      <c r="CO202" s="1756"/>
      <c r="CP202" s="1756"/>
    </row>
    <row r="203" spans="1:94">
      <c r="A203" s="1716"/>
      <c r="B203" s="1716"/>
      <c r="C203" s="1716"/>
      <c r="D203" s="1716"/>
      <c r="E203" s="1717"/>
      <c r="F203" s="1718"/>
      <c r="G203" s="1718"/>
      <c r="H203" s="1719"/>
      <c r="I203" s="1716"/>
      <c r="J203" s="1717"/>
      <c r="K203" s="1718"/>
      <c r="L203" s="1718"/>
      <c r="M203" s="1719"/>
      <c r="N203" s="1716"/>
      <c r="O203" s="1717"/>
      <c r="P203" s="1718"/>
      <c r="Q203" s="1718"/>
      <c r="R203" s="1719"/>
      <c r="S203" s="1716"/>
      <c r="T203" s="1717"/>
      <c r="U203" s="1718"/>
      <c r="V203" s="1718"/>
      <c r="W203" s="1719"/>
      <c r="X203" s="647"/>
      <c r="Y203" s="1717"/>
      <c r="Z203" s="1718"/>
      <c r="AA203" s="1718"/>
      <c r="AB203" s="1719"/>
      <c r="AC203" s="647"/>
      <c r="AD203" s="1717"/>
      <c r="AE203" s="1718"/>
      <c r="AF203" s="1718"/>
      <c r="AG203" s="1719"/>
      <c r="AH203" s="647"/>
      <c r="AI203" s="1717"/>
      <c r="AJ203" s="1718"/>
      <c r="AK203" s="1718"/>
      <c r="AL203" s="1719"/>
      <c r="AM203" s="647"/>
      <c r="AN203" s="1717"/>
      <c r="AO203" s="1718"/>
      <c r="AP203" s="1910"/>
      <c r="AQ203" s="1719"/>
      <c r="AR203" s="647"/>
      <c r="AS203" s="1913"/>
      <c r="AT203" s="1910"/>
      <c r="AU203" s="1910"/>
      <c r="AV203" s="1911"/>
      <c r="AW203" s="340"/>
      <c r="AX203" s="1913"/>
      <c r="AY203" s="1910"/>
      <c r="AZ203" s="1910"/>
      <c r="BA203" s="1911"/>
      <c r="BB203" s="340"/>
      <c r="BC203" s="1913"/>
      <c r="BD203" s="1910"/>
      <c r="BE203" s="1910"/>
      <c r="BF203" s="1911"/>
      <c r="BG203" s="340"/>
      <c r="BH203" s="1913"/>
      <c r="BI203" s="1910"/>
      <c r="BJ203" s="1910"/>
      <c r="BK203" s="1911"/>
      <c r="BL203" s="340"/>
      <c r="BM203" s="1716"/>
      <c r="BN203" s="1716"/>
      <c r="BO203" s="1716"/>
      <c r="BP203" s="1716"/>
      <c r="BQ203" s="1716"/>
      <c r="BR203" s="1716"/>
      <c r="BS203" s="1716"/>
      <c r="BT203" s="1716"/>
      <c r="BU203" s="1716"/>
      <c r="BV203" s="1716"/>
      <c r="BW203" s="1716"/>
      <c r="BX203" s="1716"/>
      <c r="BY203" s="1716"/>
      <c r="BZ203" s="1716"/>
      <c r="CA203" s="1716"/>
      <c r="CB203" s="1716"/>
      <c r="CC203" s="1716"/>
      <c r="CD203" s="1716"/>
      <c r="CE203" s="1716"/>
      <c r="CF203" s="1716"/>
      <c r="CG203" s="1716"/>
      <c r="CH203" s="1716"/>
      <c r="CI203" s="1716"/>
      <c r="CJ203" s="1716"/>
      <c r="CK203" s="1716"/>
      <c r="CL203" s="1716"/>
      <c r="CM203" s="1716"/>
      <c r="CN203" s="1716"/>
      <c r="CO203" s="1716"/>
      <c r="CP203" s="1716"/>
    </row>
    <row r="204" spans="1:94" s="1909" customFormat="1">
      <c r="A204" s="1756"/>
      <c r="B204" s="1756"/>
      <c r="C204" s="1756" t="s">
        <v>970</v>
      </c>
      <c r="D204" s="1756"/>
      <c r="E204" s="1906"/>
      <c r="F204" s="1907"/>
      <c r="G204" s="1907"/>
      <c r="H204" s="1908"/>
      <c r="I204" s="1756"/>
      <c r="J204" s="1906"/>
      <c r="K204" s="1907"/>
      <c r="L204" s="1907"/>
      <c r="M204" s="1908"/>
      <c r="N204" s="1756"/>
      <c r="O204" s="1906"/>
      <c r="P204" s="1907"/>
      <c r="Q204" s="1907"/>
      <c r="R204" s="1908"/>
      <c r="S204" s="1756"/>
      <c r="T204" s="292">
        <f t="shared" ref="T204:Y204" si="586">SUM(T202,T197)</f>
        <v>5830</v>
      </c>
      <c r="U204" s="261">
        <f>SUM(U202,U197)</f>
        <v>5852</v>
      </c>
      <c r="V204" s="261">
        <f t="shared" si="586"/>
        <v>6032</v>
      </c>
      <c r="W204" s="293">
        <f t="shared" si="586"/>
        <v>6171</v>
      </c>
      <c r="X204" s="583">
        <f t="shared" si="586"/>
        <v>6171</v>
      </c>
      <c r="Y204" s="292">
        <f t="shared" si="586"/>
        <v>6538</v>
      </c>
      <c r="Z204" s="261">
        <f t="shared" ref="Z204:AD204" si="587">SUM(Z202,Z197)</f>
        <v>6363</v>
      </c>
      <c r="AA204" s="261">
        <f t="shared" si="587"/>
        <v>6537</v>
      </c>
      <c r="AB204" s="293">
        <f t="shared" si="587"/>
        <v>6613</v>
      </c>
      <c r="AC204" s="583">
        <f t="shared" si="587"/>
        <v>6613</v>
      </c>
      <c r="AD204" s="292">
        <f t="shared" si="587"/>
        <v>6846</v>
      </c>
      <c r="AE204" s="261">
        <f t="shared" ref="AE204:AI204" si="588">SUM(AE202,AE197)</f>
        <v>6832</v>
      </c>
      <c r="AF204" s="261">
        <f t="shared" si="588"/>
        <v>6920</v>
      </c>
      <c r="AG204" s="293">
        <f t="shared" si="588"/>
        <v>6985</v>
      </c>
      <c r="AH204" s="583">
        <f t="shared" si="588"/>
        <v>6985</v>
      </c>
      <c r="AI204" s="292">
        <f t="shared" si="588"/>
        <v>6877</v>
      </c>
      <c r="AJ204" s="261">
        <f t="shared" ref="AJ204:AM204" si="589">SUM(AJ202,AJ197)</f>
        <v>7099</v>
      </c>
      <c r="AK204" s="261">
        <f t="shared" si="589"/>
        <v>7219</v>
      </c>
      <c r="AL204" s="293">
        <f t="shared" si="589"/>
        <v>7335</v>
      </c>
      <c r="AM204" s="583">
        <f t="shared" si="589"/>
        <v>7335</v>
      </c>
      <c r="AN204" s="292">
        <f t="shared" ref="AN204:AO204" si="590">SUM(AN202,AN197)</f>
        <v>7417</v>
      </c>
      <c r="AO204" s="261">
        <f t="shared" si="590"/>
        <v>7648</v>
      </c>
      <c r="AP204" s="261">
        <f t="shared" ref="AP204:AW204" si="591">SUM(AP202,AP197)</f>
        <v>7775</v>
      </c>
      <c r="AQ204" s="293">
        <f t="shared" si="591"/>
        <v>7832</v>
      </c>
      <c r="AR204" s="583">
        <f t="shared" si="591"/>
        <v>7832</v>
      </c>
      <c r="AS204" s="292">
        <f t="shared" ca="1" si="591"/>
        <v>7928.2734410768253</v>
      </c>
      <c r="AT204" s="261">
        <f t="shared" ca="1" si="591"/>
        <v>8029.1386874120562</v>
      </c>
      <c r="AU204" s="261">
        <f t="shared" ca="1" si="591"/>
        <v>8202.7875512037317</v>
      </c>
      <c r="AV204" s="293">
        <f t="shared" ca="1" si="591"/>
        <v>8234.7169374646128</v>
      </c>
      <c r="AW204" s="228">
        <f t="shared" ca="1" si="591"/>
        <v>8234.7169374646128</v>
      </c>
      <c r="AX204" s="292">
        <f t="shared" ref="AX204:BG204" ca="1" si="592">SUM(AX202,AX197)</f>
        <v>8323.0629376013603</v>
      </c>
      <c r="AY204" s="261">
        <f t="shared" ca="1" si="592"/>
        <v>8418.2165512609317</v>
      </c>
      <c r="AZ204" s="261">
        <f t="shared" ca="1" si="592"/>
        <v>8568.679529414856</v>
      </c>
      <c r="BA204" s="293">
        <f t="shared" ca="1" si="592"/>
        <v>8613.1467321048804</v>
      </c>
      <c r="BB204" s="228">
        <f t="shared" ca="1" si="592"/>
        <v>8613.1467321048804</v>
      </c>
      <c r="BC204" s="292">
        <f t="shared" ca="1" si="592"/>
        <v>8726.7469383502466</v>
      </c>
      <c r="BD204" s="261">
        <f t="shared" ca="1" si="592"/>
        <v>8848.6723289506535</v>
      </c>
      <c r="BE204" s="261">
        <f t="shared" ca="1" si="592"/>
        <v>9036.5501828590932</v>
      </c>
      <c r="BF204" s="293">
        <f t="shared" ca="1" si="592"/>
        <v>9094.9176168141275</v>
      </c>
      <c r="BG204" s="228">
        <f t="shared" ca="1" si="592"/>
        <v>9094.9176168141275</v>
      </c>
      <c r="BH204" s="292">
        <f t="shared" ref="BH204:BL204" ca="1" si="593">SUM(BH202,BH197)</f>
        <v>9222.7164497041631</v>
      </c>
      <c r="BI204" s="261">
        <f t="shared" ca="1" si="593"/>
        <v>9357.0336364825343</v>
      </c>
      <c r="BJ204" s="261">
        <f t="shared" ca="1" si="593"/>
        <v>9561.3087224894425</v>
      </c>
      <c r="BK204" s="293">
        <f t="shared" ca="1" si="593"/>
        <v>9624.97789628176</v>
      </c>
      <c r="BL204" s="228">
        <f t="shared" ca="1" si="593"/>
        <v>9624.97789628176</v>
      </c>
      <c r="BM204" s="1756"/>
      <c r="BN204" s="1756"/>
      <c r="BO204" s="1756"/>
      <c r="BP204" s="1756"/>
      <c r="BQ204" s="1756"/>
      <c r="BR204" s="1756"/>
      <c r="BS204" s="1756"/>
      <c r="BT204" s="1756"/>
      <c r="BU204" s="1756"/>
      <c r="BV204" s="1756"/>
      <c r="BW204" s="1756"/>
      <c r="BX204" s="1756"/>
      <c r="BY204" s="1756"/>
      <c r="BZ204" s="1756"/>
      <c r="CA204" s="1756"/>
      <c r="CB204" s="1756"/>
      <c r="CC204" s="1756"/>
      <c r="CD204" s="1756"/>
      <c r="CE204" s="1756"/>
      <c r="CF204" s="1756"/>
      <c r="CG204" s="1756"/>
      <c r="CH204" s="1756"/>
      <c r="CI204" s="1756"/>
      <c r="CJ204" s="1756"/>
      <c r="CK204" s="1756"/>
      <c r="CL204" s="1756"/>
      <c r="CM204" s="1756"/>
      <c r="CN204" s="1756"/>
      <c r="CO204" s="1756"/>
      <c r="CP204" s="1756"/>
    </row>
    <row r="205" spans="1:94">
      <c r="A205" s="1716"/>
      <c r="B205" s="1716"/>
      <c r="C205" s="1716"/>
      <c r="D205" s="1716"/>
      <c r="E205" s="1717"/>
      <c r="F205" s="1718"/>
      <c r="G205" s="1718"/>
      <c r="H205" s="1719"/>
      <c r="I205" s="1716"/>
      <c r="J205" s="1717"/>
      <c r="K205" s="1718"/>
      <c r="L205" s="1718"/>
      <c r="M205" s="1719"/>
      <c r="N205" s="1716"/>
      <c r="O205" s="1717"/>
      <c r="P205" s="1718"/>
      <c r="Q205" s="1718"/>
      <c r="R205" s="1719"/>
      <c r="S205" s="1716"/>
      <c r="T205" s="1717"/>
      <c r="U205" s="1718"/>
      <c r="V205" s="1718"/>
      <c r="W205" s="1719"/>
      <c r="X205" s="647"/>
      <c r="Y205" s="1717"/>
      <c r="Z205" s="1718"/>
      <c r="AA205" s="1718"/>
      <c r="AB205" s="1719"/>
      <c r="AC205" s="647"/>
      <c r="AD205" s="1717"/>
      <c r="AE205" s="1718"/>
      <c r="AF205" s="1718"/>
      <c r="AG205" s="1719"/>
      <c r="AH205" s="1716"/>
      <c r="AI205" s="1717"/>
      <c r="AJ205" s="1718"/>
      <c r="AK205" s="1718"/>
      <c r="AL205" s="1719"/>
      <c r="AM205" s="1716"/>
      <c r="AN205" s="1717"/>
      <c r="AO205" s="1718"/>
      <c r="AP205" s="1718"/>
      <c r="AQ205" s="1719"/>
      <c r="AR205" s="1716"/>
      <c r="AS205" s="1717"/>
      <c r="AT205" s="1718"/>
      <c r="AU205" s="1718"/>
      <c r="AV205" s="1719"/>
      <c r="AW205" s="1716"/>
      <c r="AX205" s="1717"/>
      <c r="AY205" s="1718"/>
      <c r="AZ205" s="1718"/>
      <c r="BA205" s="1719"/>
      <c r="BB205" s="1716"/>
      <c r="BC205" s="1717"/>
      <c r="BD205" s="1718"/>
      <c r="BE205" s="1718"/>
      <c r="BF205" s="1719"/>
      <c r="BG205" s="1716"/>
      <c r="BH205" s="1717"/>
      <c r="BI205" s="1718"/>
      <c r="BJ205" s="1718"/>
      <c r="BK205" s="1719"/>
      <c r="BL205" s="1716"/>
      <c r="BM205" s="1716"/>
      <c r="BN205" s="1716"/>
      <c r="BO205" s="1716"/>
      <c r="BP205" s="1716"/>
      <c r="BQ205" s="1716"/>
      <c r="BR205" s="1716"/>
      <c r="BS205" s="1716"/>
      <c r="BT205" s="1716"/>
      <c r="BU205" s="1716"/>
      <c r="BV205" s="1716"/>
      <c r="BW205" s="1716"/>
      <c r="BX205" s="1716"/>
      <c r="BY205" s="1716"/>
      <c r="BZ205" s="1716"/>
      <c r="CA205" s="1716"/>
      <c r="CB205" s="1716"/>
      <c r="CC205" s="1716"/>
      <c r="CD205" s="1716"/>
      <c r="CE205" s="1716"/>
      <c r="CF205" s="1716"/>
      <c r="CG205" s="1716"/>
      <c r="CH205" s="1716"/>
      <c r="CI205" s="1716"/>
      <c r="CJ205" s="1716"/>
      <c r="CK205" s="1716"/>
      <c r="CL205" s="1716"/>
      <c r="CM205" s="1716"/>
      <c r="CN205" s="1716"/>
      <c r="CO205" s="1716"/>
      <c r="CP205" s="1716"/>
    </row>
    <row r="206" spans="1:94">
      <c r="A206" s="1716"/>
      <c r="B206" s="1716"/>
      <c r="C206" s="1716" t="s">
        <v>969</v>
      </c>
      <c r="D206" s="1716"/>
      <c r="E206" s="1717"/>
      <c r="F206" s="1718"/>
      <c r="G206" s="1718"/>
      <c r="H206" s="1719"/>
      <c r="I206" s="1716"/>
      <c r="J206" s="1717"/>
      <c r="K206" s="1718"/>
      <c r="L206" s="1718"/>
      <c r="M206" s="1719"/>
      <c r="N206" s="1716"/>
      <c r="O206" s="1717"/>
      <c r="P206" s="1718"/>
      <c r="Q206" s="1718"/>
      <c r="R206" s="1719"/>
      <c r="S206" s="1716"/>
      <c r="T206" s="290">
        <f t="shared" ref="T206:AV206" si="594">T183-T204</f>
        <v>0</v>
      </c>
      <c r="U206" s="260">
        <f t="shared" si="594"/>
        <v>0</v>
      </c>
      <c r="V206" s="260">
        <f t="shared" si="594"/>
        <v>0</v>
      </c>
      <c r="W206" s="291">
        <f t="shared" si="594"/>
        <v>0</v>
      </c>
      <c r="X206" s="647">
        <f t="shared" si="594"/>
        <v>0</v>
      </c>
      <c r="Y206" s="290">
        <f t="shared" si="594"/>
        <v>0</v>
      </c>
      <c r="Z206" s="260">
        <f t="shared" si="594"/>
        <v>0</v>
      </c>
      <c r="AA206" s="260">
        <f t="shared" ref="AA206:AC206" si="595">AA183-AA204</f>
        <v>0</v>
      </c>
      <c r="AB206" s="291">
        <f t="shared" si="595"/>
        <v>0</v>
      </c>
      <c r="AC206" s="647">
        <f t="shared" si="595"/>
        <v>0</v>
      </c>
      <c r="AD206" s="290">
        <f>AD183-AD204</f>
        <v>0</v>
      </c>
      <c r="AE206" s="260">
        <f t="shared" si="594"/>
        <v>0</v>
      </c>
      <c r="AF206" s="260">
        <f t="shared" si="594"/>
        <v>0</v>
      </c>
      <c r="AG206" s="291">
        <f t="shared" si="594"/>
        <v>0</v>
      </c>
      <c r="AH206" s="647">
        <f t="shared" si="594"/>
        <v>0</v>
      </c>
      <c r="AI206" s="290">
        <f t="shared" si="594"/>
        <v>0</v>
      </c>
      <c r="AJ206" s="260">
        <f t="shared" ref="AJ206:AM206" si="596">AJ183-AJ204</f>
        <v>0</v>
      </c>
      <c r="AK206" s="260">
        <f t="shared" si="596"/>
        <v>0</v>
      </c>
      <c r="AL206" s="291">
        <f t="shared" si="596"/>
        <v>0</v>
      </c>
      <c r="AM206" s="647">
        <f t="shared" si="596"/>
        <v>0</v>
      </c>
      <c r="AN206" s="290">
        <f t="shared" ref="AN206:AO206" si="597">AN183-AN204</f>
        <v>0</v>
      </c>
      <c r="AO206" s="260">
        <f t="shared" si="597"/>
        <v>0</v>
      </c>
      <c r="AP206" s="260">
        <f t="shared" si="594"/>
        <v>0</v>
      </c>
      <c r="AQ206" s="291">
        <f t="shared" si="594"/>
        <v>0</v>
      </c>
      <c r="AR206" s="647">
        <f t="shared" si="594"/>
        <v>0</v>
      </c>
      <c r="AS206" s="290">
        <f t="shared" ca="1" si="594"/>
        <v>0</v>
      </c>
      <c r="AT206" s="260">
        <f t="shared" ca="1" si="594"/>
        <v>0</v>
      </c>
      <c r="AU206" s="260">
        <f t="shared" ca="1" si="594"/>
        <v>0</v>
      </c>
      <c r="AV206" s="291">
        <f t="shared" ca="1" si="594"/>
        <v>0</v>
      </c>
      <c r="AW206" s="2289">
        <f ca="1">AW183-AW204</f>
        <v>0</v>
      </c>
      <c r="AX206" s="290">
        <f t="shared" ref="AX206:BG206" ca="1" si="598">AX183-AX204</f>
        <v>0</v>
      </c>
      <c r="AY206" s="260">
        <f t="shared" ca="1" si="598"/>
        <v>0</v>
      </c>
      <c r="AZ206" s="260">
        <f t="shared" ca="1" si="598"/>
        <v>0</v>
      </c>
      <c r="BA206" s="291">
        <f t="shared" ca="1" si="598"/>
        <v>0</v>
      </c>
      <c r="BB206" s="647">
        <f t="shared" ca="1" si="598"/>
        <v>0</v>
      </c>
      <c r="BC206" s="290">
        <f t="shared" ca="1" si="598"/>
        <v>0</v>
      </c>
      <c r="BD206" s="260">
        <f t="shared" ca="1" si="598"/>
        <v>0</v>
      </c>
      <c r="BE206" s="260">
        <f t="shared" ca="1" si="598"/>
        <v>0</v>
      </c>
      <c r="BF206" s="291">
        <f t="shared" ca="1" si="598"/>
        <v>0</v>
      </c>
      <c r="BG206" s="647">
        <f t="shared" ca="1" si="598"/>
        <v>0</v>
      </c>
      <c r="BH206" s="290">
        <f t="shared" ref="BH206:BL206" ca="1" si="599">BH183-BH204</f>
        <v>0</v>
      </c>
      <c r="BI206" s="260">
        <f t="shared" ca="1" si="599"/>
        <v>0</v>
      </c>
      <c r="BJ206" s="260">
        <f t="shared" ca="1" si="599"/>
        <v>0</v>
      </c>
      <c r="BK206" s="291">
        <f t="shared" ca="1" si="599"/>
        <v>0</v>
      </c>
      <c r="BL206" s="647">
        <f t="shared" ca="1" si="599"/>
        <v>0</v>
      </c>
      <c r="BM206" s="1716"/>
      <c r="BN206" s="1716"/>
      <c r="BO206" s="1716"/>
      <c r="BP206" s="1716"/>
      <c r="BQ206" s="1716"/>
      <c r="BR206" s="1716"/>
      <c r="BS206" s="1716"/>
      <c r="BT206" s="1716"/>
      <c r="BU206" s="1716"/>
      <c r="BV206" s="1716"/>
      <c r="BW206" s="1716"/>
      <c r="BX206" s="1716"/>
      <c r="BY206" s="1716"/>
      <c r="BZ206" s="1716"/>
      <c r="CA206" s="1716"/>
      <c r="CB206" s="1716"/>
      <c r="CC206" s="1716"/>
      <c r="CD206" s="1716"/>
      <c r="CE206" s="1716"/>
      <c r="CF206" s="1716"/>
      <c r="CG206" s="1716"/>
      <c r="CH206" s="1716"/>
      <c r="CI206" s="1716"/>
      <c r="CJ206" s="1716"/>
      <c r="CK206" s="1716"/>
      <c r="CL206" s="1716"/>
      <c r="CM206" s="1716"/>
      <c r="CN206" s="1716"/>
      <c r="CO206" s="1716"/>
      <c r="CP206" s="1716"/>
    </row>
    <row r="207" spans="1:94">
      <c r="A207" s="1716"/>
      <c r="B207" s="1716"/>
      <c r="C207" s="1716"/>
      <c r="D207" s="1716"/>
      <c r="E207" s="1717"/>
      <c r="F207" s="1718"/>
      <c r="G207" s="1718"/>
      <c r="H207" s="1719"/>
      <c r="I207" s="1716"/>
      <c r="J207" s="1717"/>
      <c r="K207" s="1718"/>
      <c r="L207" s="1718"/>
      <c r="M207" s="1719"/>
      <c r="N207" s="1716"/>
      <c r="O207" s="1717"/>
      <c r="P207" s="1718"/>
      <c r="Q207" s="1718"/>
      <c r="R207" s="1719"/>
      <c r="S207" s="1716"/>
      <c r="T207" s="1717"/>
      <c r="U207" s="1718"/>
      <c r="V207" s="1718"/>
      <c r="W207" s="1719"/>
      <c r="X207" s="1716"/>
      <c r="Y207" s="1717"/>
      <c r="Z207" s="1718"/>
      <c r="AA207" s="1718"/>
      <c r="AB207" s="1719"/>
      <c r="AC207" s="1716"/>
      <c r="AD207" s="1717"/>
      <c r="AE207" s="1718"/>
      <c r="AF207" s="1718"/>
      <c r="AG207" s="1719"/>
      <c r="AH207" s="1716"/>
      <c r="AI207" s="1717"/>
      <c r="AJ207" s="1718"/>
      <c r="AK207" s="1718"/>
      <c r="AL207" s="1719"/>
      <c r="AM207" s="1716"/>
      <c r="AN207" s="290"/>
      <c r="AO207" s="1718"/>
      <c r="AP207" s="1718"/>
      <c r="AQ207" s="1719"/>
      <c r="AR207" s="1716"/>
      <c r="AS207" s="1717"/>
      <c r="AT207" s="1718"/>
      <c r="AU207" s="1718"/>
      <c r="AV207" s="1719"/>
      <c r="AW207" s="1716"/>
      <c r="AX207" s="1717"/>
      <c r="AY207" s="1718"/>
      <c r="AZ207" s="1718"/>
      <c r="BA207" s="1719"/>
      <c r="BB207" s="1716"/>
      <c r="BC207" s="1717"/>
      <c r="BD207" s="1718"/>
      <c r="BE207" s="1718"/>
      <c r="BF207" s="1719"/>
      <c r="BG207" s="1716"/>
      <c r="BH207" s="1717"/>
      <c r="BI207" s="1718"/>
      <c r="BJ207" s="1718"/>
      <c r="BK207" s="1719"/>
      <c r="BL207" s="1716"/>
      <c r="BM207" s="1716"/>
      <c r="BN207" s="1716"/>
      <c r="BO207" s="1716"/>
      <c r="BP207" s="1716"/>
      <c r="BQ207" s="1716"/>
      <c r="BR207" s="1716"/>
      <c r="BS207" s="1716"/>
      <c r="BT207" s="1716"/>
      <c r="BU207" s="1716"/>
      <c r="BV207" s="1716"/>
      <c r="BW207" s="1716"/>
      <c r="BX207" s="1716"/>
      <c r="BY207" s="1716"/>
      <c r="BZ207" s="1716"/>
      <c r="CA207" s="1716"/>
      <c r="CB207" s="1716"/>
      <c r="CC207" s="1716"/>
      <c r="CD207" s="1716"/>
      <c r="CE207" s="1716"/>
      <c r="CF207" s="1716"/>
      <c r="CG207" s="1716"/>
      <c r="CH207" s="1716"/>
      <c r="CI207" s="1716"/>
      <c r="CJ207" s="1716"/>
      <c r="CK207" s="1716"/>
      <c r="CL207" s="1716"/>
      <c r="CM207" s="1716"/>
      <c r="CN207" s="1716"/>
      <c r="CO207" s="1716"/>
      <c r="CP207" s="1716"/>
    </row>
    <row r="208" spans="1:94">
      <c r="A208" s="1716"/>
      <c r="B208" s="1771" t="s">
        <v>315</v>
      </c>
      <c r="C208" s="1772"/>
      <c r="D208" s="1773"/>
      <c r="E208" s="1717"/>
      <c r="F208" s="1718"/>
      <c r="G208" s="1718"/>
      <c r="H208" s="1719"/>
      <c r="I208" s="1716"/>
      <c r="J208" s="1717"/>
      <c r="K208" s="1718"/>
      <c r="L208" s="1718"/>
      <c r="M208" s="1719"/>
      <c r="N208" s="1716"/>
      <c r="O208" s="1717"/>
      <c r="P208" s="1718"/>
      <c r="Q208" s="1718"/>
      <c r="R208" s="1719"/>
      <c r="S208" s="1716"/>
      <c r="T208" s="1717"/>
      <c r="U208" s="1718"/>
      <c r="V208" s="1718"/>
      <c r="W208" s="1719"/>
      <c r="X208" s="1716"/>
      <c r="Y208" s="1717"/>
      <c r="Z208" s="1718"/>
      <c r="AA208" s="1718"/>
      <c r="AB208" s="1719"/>
      <c r="AC208" s="1716"/>
      <c r="AD208" s="1717"/>
      <c r="AE208" s="1718"/>
      <c r="AF208" s="1718"/>
      <c r="AG208" s="1719"/>
      <c r="AH208" s="1716"/>
      <c r="AI208" s="1717"/>
      <c r="AJ208" s="1718"/>
      <c r="AK208" s="1718"/>
      <c r="AL208" s="1719"/>
      <c r="AM208" s="1716"/>
      <c r="AN208" s="1717"/>
      <c r="AO208" s="1718"/>
      <c r="AP208" s="1718"/>
      <c r="AQ208" s="1719"/>
      <c r="AR208" s="1716"/>
      <c r="AS208" s="1717"/>
      <c r="AT208" s="1718"/>
      <c r="AU208" s="1718"/>
      <c r="AV208" s="1719"/>
      <c r="AW208" s="1716"/>
      <c r="AX208" s="1717"/>
      <c r="AY208" s="1718"/>
      <c r="AZ208" s="1718"/>
      <c r="BA208" s="1719"/>
      <c r="BB208" s="1716"/>
      <c r="BC208" s="1717"/>
      <c r="BD208" s="1718"/>
      <c r="BE208" s="1718"/>
      <c r="BF208" s="1719"/>
      <c r="BG208" s="1716"/>
      <c r="BH208" s="1717"/>
      <c r="BI208" s="1718"/>
      <c r="BJ208" s="1718"/>
      <c r="BK208" s="1719"/>
      <c r="BL208" s="1716"/>
      <c r="BM208" s="1716"/>
      <c r="BN208" s="1716"/>
      <c r="BO208" s="1716"/>
      <c r="BP208" s="1716"/>
      <c r="BQ208" s="1716"/>
      <c r="BR208" s="1716"/>
      <c r="BS208" s="1716"/>
      <c r="BT208" s="1716"/>
      <c r="BU208" s="1716"/>
      <c r="BV208" s="1716"/>
      <c r="BW208" s="1716"/>
      <c r="BX208" s="1716"/>
      <c r="BY208" s="1716"/>
      <c r="BZ208" s="1716"/>
      <c r="CA208" s="1716"/>
      <c r="CB208" s="1716"/>
      <c r="CC208" s="1716"/>
      <c r="CD208" s="1716"/>
      <c r="CE208" s="1716"/>
      <c r="CF208" s="1716"/>
      <c r="CG208" s="1716"/>
      <c r="CH208" s="1716"/>
      <c r="CI208" s="1716"/>
      <c r="CJ208" s="1716"/>
      <c r="CK208" s="1716"/>
      <c r="CL208" s="1716"/>
      <c r="CM208" s="1716"/>
      <c r="CN208" s="1716"/>
      <c r="CO208" s="1716"/>
      <c r="CP208" s="1716"/>
    </row>
    <row r="209" spans="1:94">
      <c r="A209" s="45"/>
      <c r="B209" s="45"/>
      <c r="C209" s="391" t="s">
        <v>316</v>
      </c>
      <c r="D209" s="45"/>
      <c r="E209" s="337"/>
      <c r="F209" s="338"/>
      <c r="G209" s="338"/>
      <c r="H209" s="291"/>
      <c r="I209" s="1432">
        <v>88</v>
      </c>
      <c r="J209" s="337">
        <v>116</v>
      </c>
      <c r="K209" s="338">
        <v>58</v>
      </c>
      <c r="L209" s="338">
        <v>70</v>
      </c>
      <c r="M209" s="291">
        <f>N209</f>
        <v>12</v>
      </c>
      <c r="N209" s="1432">
        <v>12</v>
      </c>
      <c r="O209" s="337">
        <v>7</v>
      </c>
      <c r="P209" s="338">
        <v>7</v>
      </c>
      <c r="Q209" s="338">
        <v>5</v>
      </c>
      <c r="R209" s="291">
        <f>S209</f>
        <v>9</v>
      </c>
      <c r="S209" s="1432">
        <v>9</v>
      </c>
      <c r="T209" s="337">
        <v>97</v>
      </c>
      <c r="U209" s="338">
        <v>6</v>
      </c>
      <c r="V209" s="338">
        <v>8</v>
      </c>
      <c r="W209" s="1684">
        <v>9</v>
      </c>
      <c r="X209" s="647">
        <f>W209</f>
        <v>9</v>
      </c>
      <c r="Y209" s="290">
        <f t="shared" ref="Y209:AB209" si="600">Y165</f>
        <v>105</v>
      </c>
      <c r="Z209" s="260">
        <f t="shared" si="600"/>
        <v>27</v>
      </c>
      <c r="AA209" s="260">
        <f t="shared" si="600"/>
        <v>72</v>
      </c>
      <c r="AB209" s="291">
        <f t="shared" si="600"/>
        <v>6</v>
      </c>
      <c r="AC209" s="647">
        <f>AB209</f>
        <v>6</v>
      </c>
      <c r="AD209" s="290">
        <f t="shared" ref="AD209:AG209" si="601">AD165</f>
        <v>126</v>
      </c>
      <c r="AE209" s="260">
        <f t="shared" si="601"/>
        <v>22</v>
      </c>
      <c r="AF209" s="260">
        <f t="shared" si="601"/>
        <v>10</v>
      </c>
      <c r="AG209" s="291">
        <f t="shared" si="601"/>
        <v>5</v>
      </c>
      <c r="AH209" s="647">
        <f>AG209</f>
        <v>5</v>
      </c>
      <c r="AI209" s="290">
        <f t="shared" ref="AI209:AL209" si="602">AI165</f>
        <v>24</v>
      </c>
      <c r="AJ209" s="260">
        <f t="shared" si="602"/>
        <v>127</v>
      </c>
      <c r="AK209" s="260">
        <f t="shared" si="602"/>
        <v>102</v>
      </c>
      <c r="AL209" s="291">
        <f t="shared" si="602"/>
        <v>9</v>
      </c>
      <c r="AM209" s="647">
        <f>AL209</f>
        <v>9</v>
      </c>
      <c r="AN209" s="290">
        <f t="shared" ref="AN209:AQ209" si="603">AN165</f>
        <v>8</v>
      </c>
      <c r="AO209" s="260">
        <f t="shared" si="603"/>
        <v>119</v>
      </c>
      <c r="AP209" s="260">
        <f t="shared" si="603"/>
        <v>117</v>
      </c>
      <c r="AQ209" s="291">
        <f t="shared" si="603"/>
        <v>5</v>
      </c>
      <c r="AR209" s="647">
        <f>AQ209</f>
        <v>5</v>
      </c>
      <c r="AS209" s="290">
        <f t="shared" ref="AS209:AW209" ca="1" si="604">AS165</f>
        <v>0</v>
      </c>
      <c r="AT209" s="260">
        <f t="shared" ca="1" si="604"/>
        <v>0</v>
      </c>
      <c r="AU209" s="260">
        <f t="shared" ca="1" si="604"/>
        <v>74.24288940232654</v>
      </c>
      <c r="AV209" s="291">
        <f t="shared" ca="1" si="604"/>
        <v>8.2044611450703826</v>
      </c>
      <c r="AW209" s="45">
        <f t="shared" ca="1" si="604"/>
        <v>8.2044611450703542</v>
      </c>
      <c r="AX209" s="290">
        <f t="shared" ref="AX209:BG209" ca="1" si="605">AX165</f>
        <v>0</v>
      </c>
      <c r="AY209" s="260">
        <f t="shared" ca="1" si="605"/>
        <v>0</v>
      </c>
      <c r="AZ209" s="260">
        <f t="shared" ca="1" si="605"/>
        <v>56.686003168305177</v>
      </c>
      <c r="BA209" s="291">
        <f t="shared" ca="1" si="605"/>
        <v>8.7329529721227743</v>
      </c>
      <c r="BB209" s="45">
        <f t="shared" ca="1" si="605"/>
        <v>8.7329529721228027</v>
      </c>
      <c r="BC209" s="290">
        <f t="shared" ca="1" si="605"/>
        <v>0</v>
      </c>
      <c r="BD209" s="260">
        <f t="shared" ca="1" si="605"/>
        <v>0</v>
      </c>
      <c r="BE209" s="260">
        <f t="shared" ca="1" si="605"/>
        <v>67.716423725109365</v>
      </c>
      <c r="BF209" s="291">
        <f t="shared" ca="1" si="605"/>
        <v>7.660867746692503</v>
      </c>
      <c r="BG209" s="45">
        <f t="shared" ca="1" si="605"/>
        <v>7.6608677466924746</v>
      </c>
      <c r="BH209" s="290">
        <f t="shared" ref="BH209:BL209" ca="1" si="606">BH165</f>
        <v>0</v>
      </c>
      <c r="BI209" s="260">
        <f t="shared" ca="1" si="606"/>
        <v>0</v>
      </c>
      <c r="BJ209" s="260">
        <f t="shared" ca="1" si="606"/>
        <v>71.901138447559447</v>
      </c>
      <c r="BK209" s="291">
        <f t="shared" ca="1" si="606"/>
        <v>5.1114900091977233</v>
      </c>
      <c r="BL209" s="45">
        <f t="shared" ca="1" si="606"/>
        <v>5.1114900091977233</v>
      </c>
      <c r="BM209" s="45"/>
      <c r="BN209" s="45"/>
      <c r="BO209" s="45"/>
      <c r="BP209" s="45"/>
      <c r="BQ209" s="45"/>
      <c r="BR209" s="45"/>
      <c r="BS209" s="45"/>
      <c r="BT209" s="45"/>
      <c r="BU209" s="45"/>
      <c r="BV209" s="45"/>
      <c r="BW209" s="45"/>
      <c r="BX209" s="45"/>
      <c r="BY209" s="45"/>
      <c r="BZ209" s="45"/>
      <c r="CA209" s="45"/>
      <c r="CB209" s="45"/>
      <c r="CC209" s="45"/>
      <c r="CD209" s="45"/>
      <c r="CE209" s="45"/>
      <c r="CF209" s="45"/>
      <c r="CG209" s="45"/>
      <c r="CH209" s="45"/>
      <c r="CI209" s="45"/>
      <c r="CJ209" s="45"/>
      <c r="CK209" s="45"/>
      <c r="CL209" s="45"/>
      <c r="CM209" s="45"/>
      <c r="CN209" s="45"/>
      <c r="CO209" s="45"/>
      <c r="CP209" s="45"/>
    </row>
    <row r="210" spans="1:94">
      <c r="A210" s="45"/>
      <c r="B210" s="45"/>
      <c r="C210" s="391"/>
      <c r="D210" s="45"/>
      <c r="E210" s="662"/>
      <c r="F210" s="663"/>
      <c r="G210" s="663"/>
      <c r="H210" s="664"/>
      <c r="I210" s="665"/>
      <c r="J210" s="662"/>
      <c r="K210" s="663"/>
      <c r="L210" s="663"/>
      <c r="M210" s="664"/>
      <c r="N210" s="665"/>
      <c r="O210" s="662"/>
      <c r="P210" s="663"/>
      <c r="Q210" s="663"/>
      <c r="R210" s="664"/>
      <c r="S210" s="665"/>
      <c r="T210" s="290"/>
      <c r="U210" s="260"/>
      <c r="V210" s="260"/>
      <c r="W210" s="291"/>
      <c r="X210" s="45"/>
      <c r="Y210" s="290"/>
      <c r="Z210" s="260"/>
      <c r="AA210" s="260"/>
      <c r="AB210" s="291"/>
      <c r="AC210" s="45"/>
      <c r="AD210" s="290"/>
      <c r="AE210" s="260"/>
      <c r="AF210" s="260"/>
      <c r="AG210" s="291"/>
      <c r="AH210" s="45"/>
      <c r="AI210" s="290"/>
      <c r="AJ210" s="260"/>
      <c r="AK210" s="260"/>
      <c r="AL210" s="291"/>
      <c r="AM210" s="45"/>
      <c r="AN210" s="290"/>
      <c r="AO210" s="260"/>
      <c r="AP210" s="260"/>
      <c r="AQ210" s="291"/>
      <c r="AR210" s="45"/>
      <c r="AS210" s="290"/>
      <c r="AT210" s="260"/>
      <c r="AU210" s="260"/>
      <c r="AV210" s="291"/>
      <c r="AW210" s="45"/>
      <c r="AX210" s="290"/>
      <c r="AY210" s="260"/>
      <c r="AZ210" s="260"/>
      <c r="BA210" s="291"/>
      <c r="BB210" s="45"/>
      <c r="BC210" s="290"/>
      <c r="BD210" s="260"/>
      <c r="BE210" s="260"/>
      <c r="BF210" s="291"/>
      <c r="BG210" s="45"/>
      <c r="BH210" s="290"/>
      <c r="BI210" s="260"/>
      <c r="BJ210" s="260"/>
      <c r="BK210" s="291"/>
      <c r="BL210" s="45"/>
      <c r="BM210" s="45"/>
      <c r="BN210" s="45"/>
      <c r="BO210" s="45"/>
      <c r="BP210" s="45"/>
      <c r="BQ210" s="45"/>
      <c r="BR210" s="45"/>
      <c r="BS210" s="45"/>
      <c r="BT210" s="45"/>
      <c r="BU210" s="45"/>
      <c r="BV210" s="45"/>
      <c r="BW210" s="45"/>
      <c r="BX210" s="45"/>
      <c r="BY210" s="45"/>
      <c r="BZ210" s="45"/>
      <c r="CA210" s="45"/>
      <c r="CB210" s="45"/>
      <c r="CC210" s="45"/>
      <c r="CD210" s="45"/>
      <c r="CE210" s="45"/>
      <c r="CF210" s="45"/>
      <c r="CG210" s="45"/>
      <c r="CH210" s="45"/>
      <c r="CI210" s="45"/>
      <c r="CJ210" s="45"/>
      <c r="CK210" s="45"/>
      <c r="CL210" s="45"/>
      <c r="CM210" s="45"/>
      <c r="CN210" s="45"/>
      <c r="CO210" s="45"/>
      <c r="CP210" s="45"/>
    </row>
    <row r="211" spans="1:94">
      <c r="A211" s="45"/>
      <c r="B211" s="45"/>
      <c r="C211" s="391" t="s">
        <v>317</v>
      </c>
      <c r="D211" s="45"/>
      <c r="E211" s="337"/>
      <c r="F211" s="338"/>
      <c r="G211" s="338"/>
      <c r="H211" s="291"/>
      <c r="I211" s="1432">
        <v>0</v>
      </c>
      <c r="J211" s="337">
        <v>0</v>
      </c>
      <c r="K211" s="338">
        <v>0</v>
      </c>
      <c r="L211" s="338">
        <v>0</v>
      </c>
      <c r="M211" s="291">
        <f>N211</f>
        <v>74</v>
      </c>
      <c r="N211" s="1432">
        <v>74</v>
      </c>
      <c r="O211" s="337">
        <v>204</v>
      </c>
      <c r="P211" s="338">
        <v>108</v>
      </c>
      <c r="Q211" s="338">
        <v>134</v>
      </c>
      <c r="R211" s="291">
        <f>S211</f>
        <v>231</v>
      </c>
      <c r="S211" s="1432">
        <v>231</v>
      </c>
      <c r="T211" s="290">
        <f t="shared" ref="T211:Z211" si="607">T185</f>
        <v>0</v>
      </c>
      <c r="U211" s="260">
        <f t="shared" si="607"/>
        <v>0</v>
      </c>
      <c r="V211" s="260">
        <f t="shared" si="607"/>
        <v>32</v>
      </c>
      <c r="W211" s="291">
        <f t="shared" si="607"/>
        <v>151</v>
      </c>
      <c r="X211" s="774">
        <f t="shared" si="607"/>
        <v>151</v>
      </c>
      <c r="Y211" s="290">
        <f t="shared" si="607"/>
        <v>0</v>
      </c>
      <c r="Z211" s="260">
        <f t="shared" si="607"/>
        <v>0</v>
      </c>
      <c r="AA211" s="260">
        <f t="shared" ref="AA211:AE211" si="608">AA185</f>
        <v>0</v>
      </c>
      <c r="AB211" s="291">
        <f t="shared" si="608"/>
        <v>104</v>
      </c>
      <c r="AC211" s="774">
        <f t="shared" si="608"/>
        <v>104</v>
      </c>
      <c r="AD211" s="290">
        <f t="shared" si="608"/>
        <v>0</v>
      </c>
      <c r="AE211" s="260">
        <f t="shared" si="608"/>
        <v>0</v>
      </c>
      <c r="AF211" s="260">
        <f t="shared" ref="AF211:AJ211" si="609">AF185</f>
        <v>48</v>
      </c>
      <c r="AG211" s="291">
        <f t="shared" si="609"/>
        <v>64</v>
      </c>
      <c r="AH211" s="774">
        <f t="shared" si="609"/>
        <v>64</v>
      </c>
      <c r="AI211" s="290">
        <f t="shared" si="609"/>
        <v>0</v>
      </c>
      <c r="AJ211" s="260">
        <f t="shared" si="609"/>
        <v>0</v>
      </c>
      <c r="AK211" s="260">
        <f t="shared" ref="AK211:AO211" si="610">AK185</f>
        <v>0</v>
      </c>
      <c r="AL211" s="291">
        <f t="shared" si="610"/>
        <v>23</v>
      </c>
      <c r="AM211" s="774">
        <f t="shared" si="610"/>
        <v>23</v>
      </c>
      <c r="AN211" s="290">
        <f t="shared" si="610"/>
        <v>167</v>
      </c>
      <c r="AO211" s="260">
        <f t="shared" si="610"/>
        <v>0</v>
      </c>
      <c r="AP211" s="260">
        <f t="shared" ref="AP211:AR211" si="611">AP185</f>
        <v>0</v>
      </c>
      <c r="AQ211" s="291">
        <f t="shared" si="611"/>
        <v>26</v>
      </c>
      <c r="AR211" s="774">
        <f t="shared" si="611"/>
        <v>26</v>
      </c>
      <c r="AS211" s="290">
        <f t="shared" ref="AS211:AV211" ca="1" si="612">+AS185</f>
        <v>88.106364541150128</v>
      </c>
      <c r="AT211" s="260">
        <f t="shared" ca="1" si="612"/>
        <v>154.37824499316989</v>
      </c>
      <c r="AU211" s="260">
        <f t="shared" ca="1" si="612"/>
        <v>0</v>
      </c>
      <c r="AV211" s="291">
        <f t="shared" ca="1" si="612"/>
        <v>0</v>
      </c>
      <c r="AW211" s="45">
        <f ca="1">+AV211</f>
        <v>0</v>
      </c>
      <c r="AX211" s="290">
        <f t="shared" ref="AX211:BA211" ca="1" si="613">+AX185</f>
        <v>50.886263115556801</v>
      </c>
      <c r="AY211" s="260">
        <f t="shared" ca="1" si="613"/>
        <v>108.75206680439948</v>
      </c>
      <c r="AZ211" s="260">
        <f t="shared" ca="1" si="613"/>
        <v>0</v>
      </c>
      <c r="BA211" s="291">
        <f t="shared" ca="1" si="613"/>
        <v>0</v>
      </c>
      <c r="BB211" s="45">
        <f ca="1">+BA211</f>
        <v>0</v>
      </c>
      <c r="BC211" s="290">
        <f t="shared" ref="BC211:BF211" ca="1" si="614">+BC185</f>
        <v>63.120049970620101</v>
      </c>
      <c r="BD211" s="260">
        <f t="shared" ca="1" si="614"/>
        <v>133.58945953759479</v>
      </c>
      <c r="BE211" s="260">
        <f t="shared" ca="1" si="614"/>
        <v>0</v>
      </c>
      <c r="BF211" s="291">
        <f t="shared" ca="1" si="614"/>
        <v>0</v>
      </c>
      <c r="BG211" s="45">
        <f ca="1">+BF211</f>
        <v>0</v>
      </c>
      <c r="BH211" s="290">
        <f t="shared" ref="BH211:BK211" ca="1" si="615">+BH185</f>
        <v>70.005151668717275</v>
      </c>
      <c r="BI211" s="260">
        <f t="shared" ca="1" si="615"/>
        <v>145.87227232154362</v>
      </c>
      <c r="BJ211" s="260">
        <f t="shared" ca="1" si="615"/>
        <v>0</v>
      </c>
      <c r="BK211" s="291">
        <f t="shared" ca="1" si="615"/>
        <v>0</v>
      </c>
      <c r="BL211" s="45">
        <f ca="1">+BK211</f>
        <v>0</v>
      </c>
      <c r="BM211" s="45"/>
      <c r="BN211" s="45"/>
      <c r="BO211" s="45"/>
      <c r="BP211" s="45"/>
      <c r="BQ211" s="45"/>
      <c r="BR211" s="45"/>
      <c r="BS211" s="45"/>
      <c r="BT211" s="45"/>
      <c r="BU211" s="45"/>
      <c r="BV211" s="45"/>
      <c r="BW211" s="45"/>
      <c r="BX211" s="45"/>
      <c r="BY211" s="45"/>
      <c r="BZ211" s="45"/>
      <c r="CA211" s="45"/>
      <c r="CB211" s="45"/>
      <c r="CC211" s="45"/>
      <c r="CD211" s="45"/>
      <c r="CE211" s="45"/>
      <c r="CF211" s="45"/>
      <c r="CG211" s="45"/>
      <c r="CH211" s="45"/>
      <c r="CI211" s="45"/>
      <c r="CJ211" s="45"/>
      <c r="CK211" s="45"/>
      <c r="CL211" s="45"/>
      <c r="CM211" s="45"/>
      <c r="CN211" s="45"/>
      <c r="CO211" s="45"/>
      <c r="CP211" s="45"/>
    </row>
    <row r="212" spans="1:94">
      <c r="A212" s="45"/>
      <c r="B212" s="45"/>
      <c r="C212" s="391" t="s">
        <v>745</v>
      </c>
      <c r="D212" s="45"/>
      <c r="E212" s="337"/>
      <c r="F212" s="338"/>
      <c r="G212" s="338"/>
      <c r="H212" s="291"/>
      <c r="I212" s="339">
        <v>1540</v>
      </c>
      <c r="J212" s="337">
        <v>1540</v>
      </c>
      <c r="K212" s="338">
        <v>1540</v>
      </c>
      <c r="L212" s="338">
        <v>1540</v>
      </c>
      <c r="M212" s="291">
        <f>+N212</f>
        <v>1540</v>
      </c>
      <c r="N212" s="339">
        <v>1540</v>
      </c>
      <c r="O212" s="337">
        <v>1540</v>
      </c>
      <c r="P212" s="338">
        <v>1701</v>
      </c>
      <c r="Q212" s="338">
        <v>1701</v>
      </c>
      <c r="R212" s="291">
        <f>+S212</f>
        <v>1701</v>
      </c>
      <c r="S212" s="339">
        <f>200+1501</f>
        <v>1701</v>
      </c>
      <c r="T212" s="290">
        <f t="shared" ref="T212:Z212" si="616">T186+T193</f>
        <v>1951</v>
      </c>
      <c r="U212" s="260">
        <f t="shared" si="616"/>
        <v>1950</v>
      </c>
      <c r="V212" s="260">
        <f t="shared" si="616"/>
        <v>1950</v>
      </c>
      <c r="W212" s="291">
        <f t="shared" si="616"/>
        <v>1899</v>
      </c>
      <c r="X212" s="45">
        <f t="shared" si="616"/>
        <v>1899</v>
      </c>
      <c r="Y212" s="290">
        <f t="shared" si="616"/>
        <v>2299</v>
      </c>
      <c r="Z212" s="260">
        <f t="shared" si="616"/>
        <v>2128</v>
      </c>
      <c r="AA212" s="260">
        <f t="shared" ref="AA212:AE212" si="617">AA186+AA193</f>
        <v>2134</v>
      </c>
      <c r="AB212" s="291">
        <f t="shared" si="617"/>
        <v>2136</v>
      </c>
      <c r="AC212" s="45">
        <f t="shared" si="617"/>
        <v>2136</v>
      </c>
      <c r="AD212" s="290">
        <f t="shared" si="617"/>
        <v>2332</v>
      </c>
      <c r="AE212" s="260">
        <f t="shared" si="617"/>
        <v>2332</v>
      </c>
      <c r="AF212" s="260">
        <f t="shared" ref="AF212:AJ212" si="618">AF186+AF193</f>
        <v>2332</v>
      </c>
      <c r="AG212" s="291">
        <f t="shared" si="618"/>
        <v>2301</v>
      </c>
      <c r="AH212" s="45">
        <f t="shared" si="618"/>
        <v>2301</v>
      </c>
      <c r="AI212" s="290">
        <f t="shared" si="618"/>
        <v>2352</v>
      </c>
      <c r="AJ212" s="260">
        <f t="shared" si="618"/>
        <v>2349</v>
      </c>
      <c r="AK212" s="260">
        <f t="shared" ref="AK212:AO212" si="619">AK186+AK193</f>
        <v>2350</v>
      </c>
      <c r="AL212" s="291">
        <f t="shared" si="619"/>
        <v>2349</v>
      </c>
      <c r="AM212" s="45">
        <f t="shared" si="619"/>
        <v>2349</v>
      </c>
      <c r="AN212" s="290">
        <f t="shared" si="619"/>
        <v>2350</v>
      </c>
      <c r="AO212" s="260">
        <f t="shared" si="619"/>
        <v>2545</v>
      </c>
      <c r="AP212" s="260">
        <f t="shared" ref="AP212:AR212" si="620">AP186+AP193</f>
        <v>2546</v>
      </c>
      <c r="AQ212" s="291">
        <f t="shared" si="620"/>
        <v>2540</v>
      </c>
      <c r="AR212" s="45">
        <f t="shared" si="620"/>
        <v>2540</v>
      </c>
      <c r="AS212" s="290">
        <f>+AR212+AS155+AS156</f>
        <v>2540</v>
      </c>
      <c r="AT212" s="260">
        <f>+AS212+AT155+AT156</f>
        <v>2540</v>
      </c>
      <c r="AU212" s="260">
        <f>+AT212+AU155+AU156</f>
        <v>2785</v>
      </c>
      <c r="AV212" s="291">
        <f>+AU212+AV155+AV156</f>
        <v>2785</v>
      </c>
      <c r="AW212" s="45">
        <f>+AV212</f>
        <v>2785</v>
      </c>
      <c r="AX212" s="290">
        <f>+AW212+AX155+AX156</f>
        <v>2785</v>
      </c>
      <c r="AY212" s="260">
        <f>+AX212+AY155+AY156</f>
        <v>2785</v>
      </c>
      <c r="AZ212" s="260">
        <f>+AY212+AZ155+AZ156</f>
        <v>2950</v>
      </c>
      <c r="BA212" s="291">
        <f>+AZ212+BA155+BA156</f>
        <v>2950</v>
      </c>
      <c r="BB212" s="45">
        <f>+BA212</f>
        <v>2950</v>
      </c>
      <c r="BC212" s="290">
        <f>+BB212+BC155+BC156</f>
        <v>2950</v>
      </c>
      <c r="BD212" s="260">
        <f>+BC212+BD155+BD156</f>
        <v>2950</v>
      </c>
      <c r="BE212" s="260">
        <f>+BD212+BE155+BE156</f>
        <v>3165</v>
      </c>
      <c r="BF212" s="291">
        <f>+BE212+BF155+BF156</f>
        <v>3165</v>
      </c>
      <c r="BG212" s="45">
        <f>+BF212</f>
        <v>3165</v>
      </c>
      <c r="BH212" s="290">
        <f>+BG212+BH155+BH156</f>
        <v>3165</v>
      </c>
      <c r="BI212" s="260">
        <f>+BH212+BI155+BI156</f>
        <v>3165</v>
      </c>
      <c r="BJ212" s="260">
        <f>+BI212+BJ155+BJ156</f>
        <v>3405</v>
      </c>
      <c r="BK212" s="291">
        <f>+BJ212+BK155+BK156</f>
        <v>3405</v>
      </c>
      <c r="BL212" s="45">
        <f>+BK212</f>
        <v>3405</v>
      </c>
      <c r="BM212" s="45"/>
      <c r="BN212" s="45"/>
      <c r="BO212" s="45"/>
      <c r="BP212" s="45"/>
      <c r="BQ212" s="45"/>
      <c r="BR212" s="45"/>
      <c r="BS212" s="45"/>
      <c r="BT212" s="45"/>
      <c r="BU212" s="45"/>
      <c r="BV212" s="45"/>
      <c r="BW212" s="45"/>
      <c r="BX212" s="45"/>
      <c r="BY212" s="45"/>
      <c r="BZ212" s="45"/>
      <c r="CA212" s="45"/>
      <c r="CB212" s="45"/>
      <c r="CC212" s="45"/>
      <c r="CD212" s="45"/>
      <c r="CE212" s="45"/>
      <c r="CF212" s="45"/>
      <c r="CG212" s="45"/>
      <c r="CH212" s="45"/>
      <c r="CI212" s="45"/>
      <c r="CJ212" s="45"/>
      <c r="CK212" s="45"/>
      <c r="CL212" s="45"/>
      <c r="CM212" s="45"/>
      <c r="CN212" s="45"/>
      <c r="CO212" s="45"/>
      <c r="CP212" s="45"/>
    </row>
    <row r="213" spans="1:94">
      <c r="A213" s="45"/>
      <c r="B213" s="45"/>
      <c r="C213" s="389" t="s">
        <v>373</v>
      </c>
      <c r="D213" s="45"/>
      <c r="E213" s="292"/>
      <c r="F213" s="261"/>
      <c r="G213" s="261"/>
      <c r="H213" s="293"/>
      <c r="I213" s="228">
        <f>SUM(I211:I212)</f>
        <v>1540</v>
      </c>
      <c r="J213" s="292">
        <f>SUM(J211:J212)</f>
        <v>1540</v>
      </c>
      <c r="K213" s="261">
        <f>SUM(K211:K212)</f>
        <v>1540</v>
      </c>
      <c r="L213" s="261">
        <f>SUM(L211:L212)</f>
        <v>1540</v>
      </c>
      <c r="M213" s="293">
        <f>+N213</f>
        <v>1614</v>
      </c>
      <c r="N213" s="228">
        <f>SUM(N211:N212)</f>
        <v>1614</v>
      </c>
      <c r="O213" s="292">
        <f>SUM(O211:O212)</f>
        <v>1744</v>
      </c>
      <c r="P213" s="261">
        <f>SUM(P211:P212)</f>
        <v>1809</v>
      </c>
      <c r="Q213" s="261">
        <f>SUM(Q211:Q212)</f>
        <v>1835</v>
      </c>
      <c r="R213" s="293">
        <f>+S213</f>
        <v>1932</v>
      </c>
      <c r="S213" s="228">
        <f>SUM(S211:S212)</f>
        <v>1932</v>
      </c>
      <c r="T213" s="286">
        <f>SUM(T211:T212)</f>
        <v>1951</v>
      </c>
      <c r="U213" s="258">
        <f t="shared" ref="U213:Z213" si="621">SUM(U211:U212)</f>
        <v>1950</v>
      </c>
      <c r="V213" s="258">
        <f t="shared" si="621"/>
        <v>1982</v>
      </c>
      <c r="W213" s="287">
        <f t="shared" si="621"/>
        <v>2050</v>
      </c>
      <c r="X213" s="341">
        <f t="shared" si="621"/>
        <v>2050</v>
      </c>
      <c r="Y213" s="286">
        <f t="shared" si="621"/>
        <v>2299</v>
      </c>
      <c r="Z213" s="258">
        <f t="shared" si="621"/>
        <v>2128</v>
      </c>
      <c r="AA213" s="258">
        <f t="shared" ref="AA213:AE213" si="622">SUM(AA211:AA212)</f>
        <v>2134</v>
      </c>
      <c r="AB213" s="287">
        <f t="shared" si="622"/>
        <v>2240</v>
      </c>
      <c r="AC213" s="341">
        <f t="shared" si="622"/>
        <v>2240</v>
      </c>
      <c r="AD213" s="286">
        <f t="shared" si="622"/>
        <v>2332</v>
      </c>
      <c r="AE213" s="258">
        <f t="shared" si="622"/>
        <v>2332</v>
      </c>
      <c r="AF213" s="258">
        <f t="shared" ref="AF213:AJ213" si="623">SUM(AF211:AF212)</f>
        <v>2380</v>
      </c>
      <c r="AG213" s="287">
        <f t="shared" si="623"/>
        <v>2365</v>
      </c>
      <c r="AH213" s="341">
        <f t="shared" si="623"/>
        <v>2365</v>
      </c>
      <c r="AI213" s="286">
        <f t="shared" si="623"/>
        <v>2352</v>
      </c>
      <c r="AJ213" s="258">
        <f t="shared" si="623"/>
        <v>2349</v>
      </c>
      <c r="AK213" s="258">
        <f t="shared" ref="AK213:AO213" si="624">SUM(AK211:AK212)</f>
        <v>2350</v>
      </c>
      <c r="AL213" s="287">
        <f t="shared" si="624"/>
        <v>2372</v>
      </c>
      <c r="AM213" s="341">
        <f t="shared" si="624"/>
        <v>2372</v>
      </c>
      <c r="AN213" s="286">
        <f t="shared" si="624"/>
        <v>2517</v>
      </c>
      <c r="AO213" s="258">
        <f t="shared" si="624"/>
        <v>2545</v>
      </c>
      <c r="AP213" s="258">
        <f t="shared" ref="AP213:AR213" si="625">SUM(AP211:AP212)</f>
        <v>2546</v>
      </c>
      <c r="AQ213" s="287">
        <f t="shared" si="625"/>
        <v>2566</v>
      </c>
      <c r="AR213" s="341">
        <f t="shared" si="625"/>
        <v>2566</v>
      </c>
      <c r="AS213" s="292">
        <f t="shared" ref="AS213:AW213" ca="1" si="626">SUM(AS211:AS212)</f>
        <v>2628.10636454115</v>
      </c>
      <c r="AT213" s="261">
        <f t="shared" ca="1" si="626"/>
        <v>2694.37824499317</v>
      </c>
      <c r="AU213" s="261">
        <f t="shared" ca="1" si="626"/>
        <v>2785</v>
      </c>
      <c r="AV213" s="293">
        <f t="shared" ca="1" si="626"/>
        <v>2785</v>
      </c>
      <c r="AW213" s="228">
        <f t="shared" ca="1" si="626"/>
        <v>2785</v>
      </c>
      <c r="AX213" s="292">
        <f t="shared" ref="AX213:BG213" ca="1" si="627">SUM(AX211:AX212)</f>
        <v>2835.8862631155566</v>
      </c>
      <c r="AY213" s="261">
        <f t="shared" ca="1" si="627"/>
        <v>2893.7520668043994</v>
      </c>
      <c r="AZ213" s="261">
        <f t="shared" ca="1" si="627"/>
        <v>2950</v>
      </c>
      <c r="BA213" s="293">
        <f t="shared" ca="1" si="627"/>
        <v>2950</v>
      </c>
      <c r="BB213" s="228">
        <f t="shared" ca="1" si="627"/>
        <v>2950</v>
      </c>
      <c r="BC213" s="292">
        <f t="shared" ca="1" si="627"/>
        <v>3013.1200499706201</v>
      </c>
      <c r="BD213" s="261">
        <f t="shared" ca="1" si="627"/>
        <v>3083.5894595375948</v>
      </c>
      <c r="BE213" s="261">
        <f t="shared" ca="1" si="627"/>
        <v>3165</v>
      </c>
      <c r="BF213" s="293">
        <f t="shared" ca="1" si="627"/>
        <v>3165</v>
      </c>
      <c r="BG213" s="228">
        <f t="shared" ca="1" si="627"/>
        <v>3165</v>
      </c>
      <c r="BH213" s="292">
        <f t="shared" ref="BH213:BL213" ca="1" si="628">SUM(BH211:BH212)</f>
        <v>3235.0051516687172</v>
      </c>
      <c r="BI213" s="261">
        <f t="shared" ca="1" si="628"/>
        <v>3310.8722723215437</v>
      </c>
      <c r="BJ213" s="261">
        <f t="shared" ca="1" si="628"/>
        <v>3405</v>
      </c>
      <c r="BK213" s="293">
        <f t="shared" ca="1" si="628"/>
        <v>3405</v>
      </c>
      <c r="BL213" s="228">
        <f t="shared" ca="1" si="628"/>
        <v>3405</v>
      </c>
      <c r="BM213" s="45"/>
      <c r="BN213" s="45"/>
      <c r="BO213" s="45"/>
      <c r="BP213" s="45"/>
      <c r="BQ213" s="45"/>
      <c r="BR213" s="45"/>
      <c r="BS213" s="45"/>
      <c r="BT213" s="45"/>
      <c r="BU213" s="45"/>
      <c r="BV213" s="45"/>
      <c r="BW213" s="45"/>
      <c r="BX213" s="45"/>
      <c r="BY213" s="45"/>
      <c r="BZ213" s="45"/>
      <c r="CA213" s="45"/>
      <c r="CB213" s="45"/>
      <c r="CC213" s="45"/>
      <c r="CD213" s="45"/>
      <c r="CE213" s="45"/>
      <c r="CF213" s="45"/>
      <c r="CG213" s="45"/>
      <c r="CH213" s="45"/>
      <c r="CI213" s="45"/>
      <c r="CJ213" s="45"/>
      <c r="CK213" s="45"/>
      <c r="CL213" s="45"/>
      <c r="CM213" s="45"/>
      <c r="CN213" s="45"/>
      <c r="CO213" s="45"/>
      <c r="CP213" s="45"/>
    </row>
    <row r="214" spans="1:94">
      <c r="A214" s="1699"/>
      <c r="B214" s="1699"/>
      <c r="C214" s="390" t="s">
        <v>612</v>
      </c>
      <c r="D214" s="1699"/>
      <c r="E214" s="1758"/>
      <c r="F214" s="1759"/>
      <c r="G214" s="1759"/>
      <c r="H214" s="1760"/>
      <c r="I214" s="1761">
        <f t="shared" ref="I214:AW214" si="629">+I213/I222</f>
        <v>0.51886792452830188</v>
      </c>
      <c r="J214" s="1758">
        <f t="shared" si="629"/>
        <v>0.51574012056262564</v>
      </c>
      <c r="K214" s="1759">
        <f t="shared" si="629"/>
        <v>0.51027170311464543</v>
      </c>
      <c r="L214" s="1759">
        <f t="shared" si="629"/>
        <v>0.50392670157068065</v>
      </c>
      <c r="M214" s="1760">
        <f t="shared" si="629"/>
        <v>0.51797175866495504</v>
      </c>
      <c r="N214" s="1761">
        <f t="shared" si="629"/>
        <v>0.51797175866495504</v>
      </c>
      <c r="O214" s="1758">
        <f t="shared" si="629"/>
        <v>0.53333333333333333</v>
      </c>
      <c r="P214" s="1759">
        <f t="shared" si="629"/>
        <v>0.5301875732708089</v>
      </c>
      <c r="Q214" s="1759">
        <f t="shared" si="629"/>
        <v>0.53142195192586161</v>
      </c>
      <c r="R214" s="1760">
        <f t="shared" si="629"/>
        <v>0.54041958041958038</v>
      </c>
      <c r="S214" s="1761">
        <f t="shared" si="629"/>
        <v>0.54041958041958038</v>
      </c>
      <c r="T214" s="1758">
        <f t="shared" si="629"/>
        <v>0.5145042194092827</v>
      </c>
      <c r="U214" s="1759">
        <f t="shared" ref="U214:Z214" si="630">+U213/U222</f>
        <v>0.51140833988985046</v>
      </c>
      <c r="V214" s="1759">
        <f t="shared" si="630"/>
        <v>0.5108247422680412</v>
      </c>
      <c r="W214" s="1760">
        <f t="shared" si="630"/>
        <v>0.51611278952668682</v>
      </c>
      <c r="X214" s="1761">
        <f t="shared" si="630"/>
        <v>0.51611278952668682</v>
      </c>
      <c r="Y214" s="1758">
        <f t="shared" si="630"/>
        <v>0.5305792753288715</v>
      </c>
      <c r="Z214" s="1759">
        <f t="shared" si="630"/>
        <v>0.51129264776549732</v>
      </c>
      <c r="AA214" s="1759">
        <f t="shared" ref="AA214:AE214" si="631">+AA213/AA222</f>
        <v>0.50389610389610384</v>
      </c>
      <c r="AB214" s="1760">
        <f t="shared" si="631"/>
        <v>0.51767968569447653</v>
      </c>
      <c r="AC214" s="1761">
        <f t="shared" si="631"/>
        <v>0.51767968569447653</v>
      </c>
      <c r="AD214" s="1758">
        <f t="shared" si="631"/>
        <v>0.51174017994294496</v>
      </c>
      <c r="AE214" s="1759">
        <f t="shared" si="631"/>
        <v>0.510507880910683</v>
      </c>
      <c r="AF214" s="1759">
        <f t="shared" ref="AF214:AJ214" si="632">+AF213/AF222</f>
        <v>0.51559792027729634</v>
      </c>
      <c r="AG214" s="1760">
        <f t="shared" si="632"/>
        <v>0.51357220412595006</v>
      </c>
      <c r="AH214" s="1761">
        <f t="shared" si="632"/>
        <v>0.51357220412595006</v>
      </c>
      <c r="AI214" s="1758">
        <f t="shared" si="632"/>
        <v>0.52913385826771653</v>
      </c>
      <c r="AJ214" s="1759">
        <f t="shared" si="632"/>
        <v>0.50756266205704403</v>
      </c>
      <c r="AK214" s="1759">
        <f t="shared" ref="AK214:AO214" si="633">+AK213/AK222</f>
        <v>0.50299657534246578</v>
      </c>
      <c r="AL214" s="1760">
        <f t="shared" si="633"/>
        <v>0.5077054794520548</v>
      </c>
      <c r="AM214" s="1761">
        <f t="shared" si="633"/>
        <v>0.5077054794520548</v>
      </c>
      <c r="AN214" s="1758">
        <f t="shared" si="633"/>
        <v>0.51950464396284834</v>
      </c>
      <c r="AO214" s="1759">
        <f t="shared" si="633"/>
        <v>0.50406020994256284</v>
      </c>
      <c r="AP214" s="1759">
        <f t="shared" ref="AP214:AR214" si="634">+AP213/AP222</f>
        <v>0.50296325563018573</v>
      </c>
      <c r="AQ214" s="1760">
        <f t="shared" si="634"/>
        <v>0.50323592861345356</v>
      </c>
      <c r="AR214" s="1761">
        <f t="shared" si="634"/>
        <v>0.50323592861345356</v>
      </c>
      <c r="AS214" s="1758">
        <f t="shared" ca="1" si="629"/>
        <v>0.50697386706864844</v>
      </c>
      <c r="AT214" s="1759">
        <f t="shared" ca="1" si="629"/>
        <v>0.51093664258398042</v>
      </c>
      <c r="AU214" s="1759">
        <f t="shared" ca="1" si="629"/>
        <v>0.51235407424369128</v>
      </c>
      <c r="AV214" s="1760">
        <f t="shared" ca="1" si="629"/>
        <v>0.5104229882148531</v>
      </c>
      <c r="AW214" s="1761">
        <f t="shared" ca="1" si="629"/>
        <v>0.5104229882148531</v>
      </c>
      <c r="AX214" s="1758">
        <f t="shared" ref="AX214:BG214" ca="1" si="635">+AX213/AX222</f>
        <v>0.51259126193985094</v>
      </c>
      <c r="AY214" s="1759">
        <f t="shared" ca="1" si="635"/>
        <v>0.51531956975456916</v>
      </c>
      <c r="AZ214" s="1759">
        <f t="shared" ca="1" si="635"/>
        <v>0.51270812344203986</v>
      </c>
      <c r="BA214" s="1760">
        <f t="shared" ca="1" si="635"/>
        <v>0.50984478530849975</v>
      </c>
      <c r="BB214" s="1761">
        <f t="shared" ca="1" si="635"/>
        <v>0.50984478530849975</v>
      </c>
      <c r="BC214" s="1758">
        <f t="shared" ca="1" si="635"/>
        <v>0.5119556699168939</v>
      </c>
      <c r="BD214" s="1759">
        <f t="shared" ca="1" si="635"/>
        <v>0.51450869532323873</v>
      </c>
      <c r="BE214" s="1759">
        <f t="shared" ca="1" si="635"/>
        <v>0.51321695674692047</v>
      </c>
      <c r="BF214" s="1760">
        <f t="shared" ca="1" si="635"/>
        <v>0.5095646205715455</v>
      </c>
      <c r="BG214" s="1761">
        <f t="shared" ca="1" si="635"/>
        <v>0.5095646205715455</v>
      </c>
      <c r="BH214" s="1758">
        <f t="shared" ref="BH214:BL214" ca="1" si="636">+BH213/BH222</f>
        <v>0.51157454713650952</v>
      </c>
      <c r="BI214" s="1759">
        <f t="shared" ca="1" si="636"/>
        <v>0.51390457112036259</v>
      </c>
      <c r="BJ214" s="1759">
        <f t="shared" ca="1" si="636"/>
        <v>0.51345868672113115</v>
      </c>
      <c r="BK214" s="1760">
        <f t="shared" ca="1" si="636"/>
        <v>0.50974524911087793</v>
      </c>
      <c r="BL214" s="1761">
        <f t="shared" ca="1" si="636"/>
        <v>0.50974524911087793</v>
      </c>
      <c r="BM214" s="1699"/>
      <c r="BN214" s="1699"/>
      <c r="BO214" s="1699"/>
      <c r="BP214" s="1699"/>
      <c r="BQ214" s="1699"/>
      <c r="BR214" s="1699"/>
      <c r="BS214" s="1699"/>
      <c r="BT214" s="1699"/>
      <c r="BU214" s="1699"/>
      <c r="BV214" s="1699"/>
      <c r="BW214" s="1699"/>
      <c r="BX214" s="1699"/>
      <c r="BY214" s="1699"/>
      <c r="BZ214" s="1699"/>
      <c r="CA214" s="1699"/>
      <c r="CB214" s="1699"/>
      <c r="CC214" s="1699"/>
      <c r="CD214" s="1699"/>
      <c r="CE214" s="1699"/>
      <c r="CF214" s="1699"/>
      <c r="CG214" s="1699"/>
      <c r="CH214" s="1699"/>
      <c r="CI214" s="1699"/>
      <c r="CJ214" s="1699"/>
      <c r="CK214" s="1699"/>
      <c r="CL214" s="1699"/>
      <c r="CM214" s="1699"/>
      <c r="CN214" s="1699"/>
      <c r="CO214" s="1699"/>
      <c r="CP214" s="1699"/>
    </row>
    <row r="215" spans="1:94">
      <c r="A215" s="1716"/>
      <c r="B215" s="1716"/>
      <c r="C215" s="578"/>
      <c r="D215" s="1716"/>
      <c r="E215" s="1717"/>
      <c r="F215" s="1718"/>
      <c r="G215" s="1718"/>
      <c r="H215" s="1719"/>
      <c r="I215" s="1716"/>
      <c r="J215" s="1717"/>
      <c r="K215" s="1718"/>
      <c r="L215" s="1718"/>
      <c r="M215" s="1719"/>
      <c r="N215" s="1716"/>
      <c r="O215" s="1717"/>
      <c r="P215" s="1718"/>
      <c r="Q215" s="1718"/>
      <c r="R215" s="1719"/>
      <c r="S215" s="1716"/>
      <c r="T215" s="1913"/>
      <c r="U215" s="1910"/>
      <c r="V215" s="1910"/>
      <c r="W215" s="1911"/>
      <c r="X215" s="1912"/>
      <c r="Y215" s="1913"/>
      <c r="Z215" s="1910"/>
      <c r="AA215" s="1910"/>
      <c r="AB215" s="1911"/>
      <c r="AC215" s="1912"/>
      <c r="AD215" s="1913"/>
      <c r="AE215" s="1910"/>
      <c r="AF215" s="1910"/>
      <c r="AG215" s="1911"/>
      <c r="AH215" s="1912"/>
      <c r="AI215" s="1913"/>
      <c r="AJ215" s="1910"/>
      <c r="AK215" s="1910"/>
      <c r="AL215" s="1911"/>
      <c r="AM215" s="1912"/>
      <c r="AN215" s="1913"/>
      <c r="AO215" s="1910"/>
      <c r="AP215" s="1718"/>
      <c r="AQ215" s="1911"/>
      <c r="AR215" s="1912"/>
      <c r="AS215" s="1717"/>
      <c r="AT215" s="1718"/>
      <c r="AU215" s="1718"/>
      <c r="AV215" s="1719"/>
      <c r="AW215" s="1716"/>
      <c r="AX215" s="1717"/>
      <c r="AY215" s="1718"/>
      <c r="AZ215" s="1718"/>
      <c r="BA215" s="1719"/>
      <c r="BB215" s="1716"/>
      <c r="BC215" s="1717"/>
      <c r="BD215" s="1718"/>
      <c r="BE215" s="1718"/>
      <c r="BF215" s="1719"/>
      <c r="BG215" s="1716"/>
      <c r="BH215" s="1717"/>
      <c r="BI215" s="1718"/>
      <c r="BJ215" s="1718"/>
      <c r="BK215" s="1719"/>
      <c r="BL215" s="1716"/>
      <c r="BM215" s="1716"/>
      <c r="BN215" s="1716"/>
      <c r="BO215" s="1716"/>
      <c r="BP215" s="1716"/>
      <c r="BQ215" s="1716"/>
      <c r="BR215" s="1716"/>
      <c r="BS215" s="1716"/>
      <c r="BT215" s="1716"/>
      <c r="BU215" s="1716"/>
      <c r="BV215" s="1716"/>
      <c r="BW215" s="1716"/>
      <c r="BX215" s="1716"/>
      <c r="BY215" s="1716"/>
      <c r="BZ215" s="1716"/>
      <c r="CA215" s="1716"/>
      <c r="CB215" s="1716"/>
      <c r="CC215" s="1716"/>
      <c r="CD215" s="1716"/>
      <c r="CE215" s="1716"/>
      <c r="CF215" s="1716"/>
      <c r="CG215" s="1716"/>
      <c r="CH215" s="1716"/>
      <c r="CI215" s="1716"/>
      <c r="CJ215" s="1716"/>
      <c r="CK215" s="1716"/>
      <c r="CL215" s="1716"/>
      <c r="CM215" s="1716"/>
      <c r="CN215" s="1716"/>
      <c r="CO215" s="1716"/>
      <c r="CP215" s="1716"/>
    </row>
    <row r="216" spans="1:94">
      <c r="A216" s="45"/>
      <c r="B216" s="45"/>
      <c r="C216" s="389" t="s">
        <v>611</v>
      </c>
      <c r="D216" s="45"/>
      <c r="E216" s="585"/>
      <c r="F216" s="343"/>
      <c r="G216" s="343"/>
      <c r="H216" s="291"/>
      <c r="I216" s="650">
        <v>0</v>
      </c>
      <c r="J216" s="585">
        <v>0</v>
      </c>
      <c r="K216" s="343">
        <v>0</v>
      </c>
      <c r="L216" s="343">
        <v>0</v>
      </c>
      <c r="M216" s="291">
        <f>N216</f>
        <v>0</v>
      </c>
      <c r="N216" s="650">
        <v>0</v>
      </c>
      <c r="O216" s="585">
        <v>0</v>
      </c>
      <c r="P216" s="343">
        <v>0</v>
      </c>
      <c r="Q216" s="343">
        <v>0</v>
      </c>
      <c r="R216" s="291">
        <f>S216</f>
        <v>0</v>
      </c>
      <c r="S216" s="650">
        <v>0</v>
      </c>
      <c r="T216" s="292">
        <v>0</v>
      </c>
      <c r="U216" s="261">
        <v>0</v>
      </c>
      <c r="V216" s="261">
        <v>0</v>
      </c>
      <c r="W216" s="291">
        <v>0</v>
      </c>
      <c r="X216" s="1915">
        <v>0</v>
      </c>
      <c r="Y216" s="286">
        <v>0</v>
      </c>
      <c r="Z216" s="258">
        <v>0</v>
      </c>
      <c r="AA216" s="261">
        <v>0</v>
      </c>
      <c r="AB216" s="291">
        <v>0</v>
      </c>
      <c r="AC216" s="1915">
        <v>0</v>
      </c>
      <c r="AD216" s="286">
        <v>0</v>
      </c>
      <c r="AE216" s="258">
        <v>0</v>
      </c>
      <c r="AF216" s="261">
        <v>0</v>
      </c>
      <c r="AG216" s="291">
        <v>0</v>
      </c>
      <c r="AH216" s="1915">
        <v>0</v>
      </c>
      <c r="AI216" s="286">
        <v>0</v>
      </c>
      <c r="AJ216" s="258">
        <v>0</v>
      </c>
      <c r="AK216" s="261">
        <v>0</v>
      </c>
      <c r="AL216" s="291">
        <v>0</v>
      </c>
      <c r="AM216" s="1915">
        <v>0</v>
      </c>
      <c r="AN216" s="286">
        <v>0</v>
      </c>
      <c r="AO216" s="258">
        <v>0</v>
      </c>
      <c r="AP216" s="258">
        <v>0</v>
      </c>
      <c r="AQ216" s="291">
        <v>0</v>
      </c>
      <c r="AR216" s="1915">
        <v>0</v>
      </c>
      <c r="AS216" s="292">
        <f t="shared" ref="AS216:AW216" si="637">+AR216</f>
        <v>0</v>
      </c>
      <c r="AT216" s="261">
        <f t="shared" si="637"/>
        <v>0</v>
      </c>
      <c r="AU216" s="261">
        <f t="shared" si="637"/>
        <v>0</v>
      </c>
      <c r="AV216" s="293">
        <f t="shared" si="637"/>
        <v>0</v>
      </c>
      <c r="AW216" s="228">
        <f t="shared" si="637"/>
        <v>0</v>
      </c>
      <c r="AX216" s="292">
        <f t="shared" ref="AX216" si="638">+AW216</f>
        <v>0</v>
      </c>
      <c r="AY216" s="261">
        <f t="shared" ref="AY216" si="639">+AX216</f>
        <v>0</v>
      </c>
      <c r="AZ216" s="261">
        <f t="shared" ref="AZ216" si="640">+AY216</f>
        <v>0</v>
      </c>
      <c r="BA216" s="293">
        <f t="shared" ref="BA216" si="641">+AZ216</f>
        <v>0</v>
      </c>
      <c r="BB216" s="228">
        <f t="shared" ref="BB216" si="642">+BA216</f>
        <v>0</v>
      </c>
      <c r="BC216" s="292">
        <f t="shared" ref="BC216" si="643">+BB216</f>
        <v>0</v>
      </c>
      <c r="BD216" s="261">
        <f t="shared" ref="BD216" si="644">+BC216</f>
        <v>0</v>
      </c>
      <c r="BE216" s="261">
        <f t="shared" ref="BE216" si="645">+BD216</f>
        <v>0</v>
      </c>
      <c r="BF216" s="293">
        <f t="shared" ref="BF216" si="646">+BE216</f>
        <v>0</v>
      </c>
      <c r="BG216" s="228">
        <f t="shared" ref="BG216" si="647">+BF216</f>
        <v>0</v>
      </c>
      <c r="BH216" s="292">
        <f t="shared" ref="BH216" si="648">+BG216</f>
        <v>0</v>
      </c>
      <c r="BI216" s="261">
        <f t="shared" ref="BI216" si="649">+BH216</f>
        <v>0</v>
      </c>
      <c r="BJ216" s="261">
        <f t="shared" ref="BJ216" si="650">+BI216</f>
        <v>0</v>
      </c>
      <c r="BK216" s="293">
        <f t="shared" ref="BK216" si="651">+BJ216</f>
        <v>0</v>
      </c>
      <c r="BL216" s="228">
        <f t="shared" ref="BL216" si="652">+BK216</f>
        <v>0</v>
      </c>
      <c r="BM216" s="45"/>
      <c r="BN216" s="45"/>
      <c r="BO216" s="45"/>
      <c r="BP216" s="45"/>
      <c r="BQ216" s="45"/>
      <c r="BR216" s="45"/>
      <c r="BS216" s="45"/>
      <c r="BT216" s="45"/>
      <c r="BU216" s="45"/>
      <c r="BV216" s="45"/>
      <c r="BW216" s="45"/>
      <c r="BX216" s="45"/>
      <c r="BY216" s="45"/>
      <c r="BZ216" s="45"/>
      <c r="CA216" s="45"/>
      <c r="CB216" s="45"/>
      <c r="CC216" s="45"/>
      <c r="CD216" s="45"/>
      <c r="CE216" s="45"/>
      <c r="CF216" s="45"/>
      <c r="CG216" s="45"/>
      <c r="CH216" s="45"/>
      <c r="CI216" s="45"/>
      <c r="CJ216" s="45"/>
      <c r="CK216" s="45"/>
      <c r="CL216" s="45"/>
      <c r="CM216" s="45"/>
      <c r="CN216" s="45"/>
      <c r="CO216" s="45"/>
      <c r="CP216" s="45"/>
    </row>
    <row r="217" spans="1:94">
      <c r="E217" s="896"/>
      <c r="F217" s="897"/>
      <c r="G217" s="897"/>
      <c r="H217" s="898"/>
      <c r="J217" s="896"/>
      <c r="K217" s="897"/>
      <c r="L217" s="897"/>
      <c r="M217" s="898"/>
      <c r="O217" s="896"/>
      <c r="P217" s="897"/>
      <c r="Q217" s="897"/>
      <c r="R217" s="898"/>
      <c r="T217" s="1916"/>
      <c r="U217" s="1917"/>
      <c r="V217" s="1917"/>
      <c r="W217" s="1918"/>
      <c r="X217" s="1914"/>
      <c r="Y217" s="1916"/>
      <c r="Z217" s="1917"/>
      <c r="AA217" s="1917"/>
      <c r="AB217" s="1918"/>
      <c r="AC217" s="1914"/>
      <c r="AD217" s="1916"/>
      <c r="AE217" s="1917"/>
      <c r="AF217" s="1917"/>
      <c r="AG217" s="1918"/>
      <c r="AH217" s="1914"/>
      <c r="AI217" s="1916"/>
      <c r="AJ217" s="1917"/>
      <c r="AK217" s="1917"/>
      <c r="AL217" s="1918"/>
      <c r="AM217" s="1914"/>
      <c r="AN217" s="1916"/>
      <c r="AO217" s="1917"/>
      <c r="AP217" s="897"/>
      <c r="AQ217" s="1918"/>
      <c r="AR217" s="1914"/>
      <c r="AS217" s="896"/>
      <c r="AT217" s="897"/>
      <c r="AU217" s="897"/>
      <c r="AV217" s="898"/>
      <c r="AX217" s="896"/>
      <c r="AY217" s="897"/>
      <c r="AZ217" s="897"/>
      <c r="BA217" s="898"/>
      <c r="BC217" s="896"/>
      <c r="BD217" s="897"/>
      <c r="BE217" s="897"/>
      <c r="BF217" s="898"/>
      <c r="BH217" s="896"/>
      <c r="BI217" s="897"/>
      <c r="BJ217" s="897"/>
      <c r="BK217" s="898"/>
    </row>
    <row r="218" spans="1:94">
      <c r="A218" s="895"/>
      <c r="B218" s="895"/>
      <c r="C218" s="391"/>
      <c r="D218" s="895"/>
      <c r="E218" s="896"/>
      <c r="F218" s="897"/>
      <c r="G218" s="897"/>
      <c r="H218" s="898"/>
      <c r="I218" s="899"/>
      <c r="J218" s="896"/>
      <c r="K218" s="897"/>
      <c r="L218" s="897"/>
      <c r="M218" s="898"/>
      <c r="N218" s="899"/>
      <c r="O218" s="896"/>
      <c r="P218" s="897"/>
      <c r="Q218" s="897"/>
      <c r="R218" s="898"/>
      <c r="S218" s="899"/>
      <c r="T218" s="1916"/>
      <c r="U218" s="1917"/>
      <c r="V218" s="1917"/>
      <c r="W218" s="1918"/>
      <c r="X218" s="1919"/>
      <c r="Y218" s="1916"/>
      <c r="Z218" s="1917"/>
      <c r="AA218" s="1917"/>
      <c r="AB218" s="1918"/>
      <c r="AC218" s="1919"/>
      <c r="AD218" s="1916"/>
      <c r="AE218" s="1917"/>
      <c r="AF218" s="1917"/>
      <c r="AG218" s="1918"/>
      <c r="AH218" s="1919"/>
      <c r="AI218" s="1916"/>
      <c r="AJ218" s="1917"/>
      <c r="AK218" s="1917"/>
      <c r="AL218" s="1918"/>
      <c r="AM218" s="1919"/>
      <c r="AN218" s="1916"/>
      <c r="AO218" s="1917"/>
      <c r="AP218" s="897"/>
      <c r="AQ218" s="1918"/>
      <c r="AR218" s="1919"/>
      <c r="AS218" s="896"/>
      <c r="AT218" s="897"/>
      <c r="AU218" s="897"/>
      <c r="AV218" s="898"/>
      <c r="AW218" s="899"/>
      <c r="AX218" s="896"/>
      <c r="AY218" s="897"/>
      <c r="AZ218" s="897"/>
      <c r="BA218" s="898"/>
      <c r="BB218" s="899"/>
      <c r="BC218" s="896"/>
      <c r="BD218" s="897"/>
      <c r="BE218" s="897"/>
      <c r="BF218" s="898"/>
      <c r="BG218" s="899"/>
      <c r="BH218" s="896"/>
      <c r="BI218" s="897"/>
      <c r="BJ218" s="897"/>
      <c r="BK218" s="898"/>
      <c r="BL218" s="899"/>
      <c r="BM218" s="895"/>
      <c r="BN218" s="895"/>
      <c r="BO218" s="895"/>
      <c r="BP218" s="895"/>
      <c r="BQ218" s="895"/>
      <c r="BR218" s="895"/>
      <c r="BS218" s="895"/>
      <c r="BT218" s="895"/>
      <c r="BU218" s="895"/>
      <c r="BV218" s="895"/>
      <c r="BW218" s="895"/>
      <c r="BX218" s="895"/>
      <c r="BY218" s="895"/>
      <c r="BZ218" s="895"/>
      <c r="CA218" s="895"/>
      <c r="CB218" s="895"/>
      <c r="CC218" s="895"/>
      <c r="CD218" s="895"/>
      <c r="CE218" s="895"/>
      <c r="CF218" s="895"/>
      <c r="CG218" s="895"/>
      <c r="CH218" s="895"/>
      <c r="CI218" s="895"/>
      <c r="CJ218" s="895"/>
      <c r="CK218" s="895"/>
      <c r="CL218" s="895"/>
      <c r="CM218" s="895"/>
      <c r="CN218" s="895"/>
      <c r="CO218" s="895"/>
      <c r="CP218" s="895"/>
    </row>
    <row r="219" spans="1:94">
      <c r="A219" s="45"/>
      <c r="B219" s="45"/>
      <c r="C219" s="389" t="s">
        <v>193</v>
      </c>
      <c r="D219" s="339"/>
      <c r="E219" s="585"/>
      <c r="F219" s="343"/>
      <c r="G219" s="343"/>
      <c r="H219" s="293"/>
      <c r="I219" s="344">
        <v>1428</v>
      </c>
      <c r="J219" s="585">
        <v>1446</v>
      </c>
      <c r="K219" s="343">
        <v>1478</v>
      </c>
      <c r="L219" s="343">
        <v>1516</v>
      </c>
      <c r="M219" s="293">
        <f>+N219</f>
        <v>1502</v>
      </c>
      <c r="N219" s="344">
        <v>1502</v>
      </c>
      <c r="O219" s="585">
        <v>1526</v>
      </c>
      <c r="P219" s="343">
        <v>1603</v>
      </c>
      <c r="Q219" s="343">
        <v>1618</v>
      </c>
      <c r="R219" s="293">
        <f>+S219</f>
        <v>1643</v>
      </c>
      <c r="S219" s="344">
        <v>1643</v>
      </c>
      <c r="T219" s="292">
        <f t="shared" ref="T219:AW219" si="653">T202</f>
        <v>1841</v>
      </c>
      <c r="U219" s="261">
        <f t="shared" si="653"/>
        <v>1863</v>
      </c>
      <c r="V219" s="261">
        <f t="shared" si="653"/>
        <v>1898</v>
      </c>
      <c r="W219" s="293">
        <f t="shared" si="653"/>
        <v>1922</v>
      </c>
      <c r="X219" s="228">
        <f t="shared" si="653"/>
        <v>1922</v>
      </c>
      <c r="Y219" s="292">
        <f t="shared" si="653"/>
        <v>2034</v>
      </c>
      <c r="Z219" s="261">
        <f t="shared" si="653"/>
        <v>2034</v>
      </c>
      <c r="AA219" s="261">
        <f t="shared" ref="AA219:AE219" si="654">AA202</f>
        <v>2101</v>
      </c>
      <c r="AB219" s="293">
        <f t="shared" si="654"/>
        <v>2087</v>
      </c>
      <c r="AC219" s="228">
        <f t="shared" si="654"/>
        <v>2087</v>
      </c>
      <c r="AD219" s="292">
        <f t="shared" si="654"/>
        <v>2225</v>
      </c>
      <c r="AE219" s="261">
        <f t="shared" si="654"/>
        <v>2236</v>
      </c>
      <c r="AF219" s="261">
        <f t="shared" ref="AF219:AJ219" si="655">AF202</f>
        <v>2236</v>
      </c>
      <c r="AG219" s="293">
        <f t="shared" si="655"/>
        <v>2240</v>
      </c>
      <c r="AH219" s="228">
        <f t="shared" si="655"/>
        <v>2240</v>
      </c>
      <c r="AI219" s="292">
        <f t="shared" si="655"/>
        <v>2093</v>
      </c>
      <c r="AJ219" s="261">
        <f t="shared" si="655"/>
        <v>2279</v>
      </c>
      <c r="AK219" s="261">
        <f t="shared" ref="AK219:AO219" si="656">AK202</f>
        <v>2322</v>
      </c>
      <c r="AL219" s="293">
        <f t="shared" si="656"/>
        <v>2300</v>
      </c>
      <c r="AM219" s="228">
        <f t="shared" si="656"/>
        <v>2300</v>
      </c>
      <c r="AN219" s="292">
        <f t="shared" si="656"/>
        <v>2328</v>
      </c>
      <c r="AO219" s="261">
        <f t="shared" si="656"/>
        <v>2504</v>
      </c>
      <c r="AP219" s="261">
        <f t="shared" ref="AP219:AR219" si="657">AP202</f>
        <v>2516</v>
      </c>
      <c r="AQ219" s="293">
        <f t="shared" si="657"/>
        <v>2533</v>
      </c>
      <c r="AR219" s="228">
        <f t="shared" si="657"/>
        <v>2533</v>
      </c>
      <c r="AS219" s="292">
        <f t="shared" si="653"/>
        <v>2555.8025807798567</v>
      </c>
      <c r="AT219" s="261">
        <f t="shared" ca="1" si="653"/>
        <v>2579.03145090725</v>
      </c>
      <c r="AU219" s="261">
        <f t="shared" ca="1" si="653"/>
        <v>2650.6940639362788</v>
      </c>
      <c r="AV219" s="293">
        <f t="shared" ca="1" si="653"/>
        <v>2671.2589544413418</v>
      </c>
      <c r="AW219" s="228">
        <f t="shared" ca="1" si="653"/>
        <v>2671.2589544413418</v>
      </c>
      <c r="AX219" s="292">
        <f t="shared" ref="AX219:BG219" ca="1" si="658">AX202</f>
        <v>2696.5651727193535</v>
      </c>
      <c r="AY219" s="261">
        <f t="shared" ca="1" si="658"/>
        <v>2721.6994639469058</v>
      </c>
      <c r="AZ219" s="261">
        <f t="shared" ca="1" si="658"/>
        <v>2803.7609901620549</v>
      </c>
      <c r="BA219" s="293">
        <f t="shared" ca="1" si="658"/>
        <v>2836.0746741089006</v>
      </c>
      <c r="BB219" s="228">
        <f t="shared" ca="1" si="658"/>
        <v>2836.0746741089006</v>
      </c>
      <c r="BC219" s="292">
        <f t="shared" ca="1" si="658"/>
        <v>2872.3896279664204</v>
      </c>
      <c r="BD219" s="261">
        <f t="shared" ca="1" si="658"/>
        <v>2909.6804065826227</v>
      </c>
      <c r="BE219" s="261">
        <f t="shared" ca="1" si="658"/>
        <v>3001.98251761143</v>
      </c>
      <c r="BF219" s="293">
        <f t="shared" ca="1" si="658"/>
        <v>3046.1847491492344</v>
      </c>
      <c r="BG219" s="228">
        <f t="shared" ca="1" si="658"/>
        <v>3046.1847491492344</v>
      </c>
      <c r="BH219" s="292">
        <f t="shared" ref="BH219:BL219" ca="1" si="659">BH202</f>
        <v>3088.6189804863225</v>
      </c>
      <c r="BI219" s="261">
        <f t="shared" ca="1" si="659"/>
        <v>3131.7095967276387</v>
      </c>
      <c r="BJ219" s="261">
        <f t="shared" ca="1" si="659"/>
        <v>3226.4975051718584</v>
      </c>
      <c r="BK219" s="293">
        <f t="shared" ca="1" si="659"/>
        <v>3274.8072290799455</v>
      </c>
      <c r="BL219" s="228">
        <f t="shared" ca="1" si="659"/>
        <v>3274.8072290799455</v>
      </c>
      <c r="BM219" s="45"/>
      <c r="BN219" s="45"/>
      <c r="BO219" s="45"/>
      <c r="BP219" s="45"/>
      <c r="BQ219" s="45"/>
      <c r="BR219" s="45"/>
      <c r="BS219" s="45"/>
      <c r="BT219" s="45"/>
      <c r="BU219" s="45"/>
      <c r="BV219" s="45"/>
      <c r="BW219" s="45"/>
      <c r="BX219" s="45"/>
      <c r="BY219" s="45"/>
      <c r="BZ219" s="45"/>
      <c r="CA219" s="45"/>
      <c r="CB219" s="45"/>
      <c r="CC219" s="45"/>
      <c r="CD219" s="45"/>
      <c r="CE219" s="45"/>
      <c r="CF219" s="45"/>
      <c r="CG219" s="45"/>
      <c r="CH219" s="45"/>
      <c r="CI219" s="45"/>
      <c r="CJ219" s="45"/>
      <c r="CK219" s="45"/>
      <c r="CL219" s="45"/>
      <c r="CM219" s="45"/>
      <c r="CN219" s="45"/>
      <c r="CO219" s="45"/>
      <c r="CP219" s="45"/>
    </row>
    <row r="220" spans="1:94">
      <c r="A220" s="1699"/>
      <c r="B220" s="1699"/>
      <c r="C220" s="408" t="s">
        <v>612</v>
      </c>
      <c r="D220" s="1699"/>
      <c r="E220" s="1758"/>
      <c r="F220" s="1759"/>
      <c r="G220" s="1759"/>
      <c r="H220" s="1760"/>
      <c r="I220" s="1761">
        <f t="shared" ref="I220:AW220" si="660">+I219/I222</f>
        <v>0.48113207547169812</v>
      </c>
      <c r="J220" s="1758">
        <f t="shared" si="660"/>
        <v>0.48425987943737442</v>
      </c>
      <c r="K220" s="1759">
        <f t="shared" si="660"/>
        <v>0.48972829688535452</v>
      </c>
      <c r="L220" s="1759">
        <f t="shared" si="660"/>
        <v>0.49607329842931935</v>
      </c>
      <c r="M220" s="1760">
        <f t="shared" si="660"/>
        <v>0.4820282413350449</v>
      </c>
      <c r="N220" s="1761">
        <f t="shared" si="660"/>
        <v>0.4820282413350449</v>
      </c>
      <c r="O220" s="1758">
        <f t="shared" si="660"/>
        <v>0.46666666666666667</v>
      </c>
      <c r="P220" s="1759">
        <f t="shared" si="660"/>
        <v>0.4698124267291911</v>
      </c>
      <c r="Q220" s="1759">
        <f t="shared" si="660"/>
        <v>0.46857804807413844</v>
      </c>
      <c r="R220" s="1760">
        <f t="shared" si="660"/>
        <v>0.45958041958041956</v>
      </c>
      <c r="S220" s="1761">
        <f t="shared" si="660"/>
        <v>0.45958041958041956</v>
      </c>
      <c r="T220" s="1758">
        <f t="shared" si="660"/>
        <v>0.4854957805907173</v>
      </c>
      <c r="U220" s="1759">
        <f t="shared" si="660"/>
        <v>0.48859166011014948</v>
      </c>
      <c r="V220" s="1759">
        <f t="shared" si="660"/>
        <v>0.48917525773195875</v>
      </c>
      <c r="W220" s="1760">
        <f t="shared" si="660"/>
        <v>0.48388721047331318</v>
      </c>
      <c r="X220" s="1761">
        <f t="shared" si="660"/>
        <v>0.48388721047331318</v>
      </c>
      <c r="Y220" s="1758">
        <f t="shared" si="660"/>
        <v>0.46942072467112855</v>
      </c>
      <c r="Z220" s="1759">
        <f t="shared" si="660"/>
        <v>0.48870735223450262</v>
      </c>
      <c r="AA220" s="1759">
        <f t="shared" ref="AA220:AE220" si="661">+AA219/AA222</f>
        <v>0.4961038961038961</v>
      </c>
      <c r="AB220" s="1760">
        <f t="shared" si="661"/>
        <v>0.48232031430552347</v>
      </c>
      <c r="AC220" s="1761">
        <f t="shared" si="661"/>
        <v>0.48232031430552347</v>
      </c>
      <c r="AD220" s="1758">
        <f t="shared" si="661"/>
        <v>0.48825982005705509</v>
      </c>
      <c r="AE220" s="1759">
        <f t="shared" si="661"/>
        <v>0.489492119089317</v>
      </c>
      <c r="AF220" s="1759">
        <f t="shared" ref="AF220:AJ220" si="662">+AF219/AF222</f>
        <v>0.48440207972270366</v>
      </c>
      <c r="AG220" s="1760">
        <f t="shared" si="662"/>
        <v>0.48642779587404994</v>
      </c>
      <c r="AH220" s="1761">
        <f t="shared" si="662"/>
        <v>0.48642779587404994</v>
      </c>
      <c r="AI220" s="1758">
        <f t="shared" si="662"/>
        <v>0.47086614173228347</v>
      </c>
      <c r="AJ220" s="1759">
        <f t="shared" si="662"/>
        <v>0.49243733794295591</v>
      </c>
      <c r="AK220" s="1759">
        <f t="shared" ref="AK220:AO220" si="663">+AK219/AK222</f>
        <v>0.49700342465753422</v>
      </c>
      <c r="AL220" s="1760">
        <f t="shared" si="663"/>
        <v>0.4922945205479452</v>
      </c>
      <c r="AM220" s="1761">
        <f t="shared" si="663"/>
        <v>0.4922945205479452</v>
      </c>
      <c r="AN220" s="1758">
        <f t="shared" si="663"/>
        <v>0.48049535603715171</v>
      </c>
      <c r="AO220" s="1759">
        <f t="shared" si="663"/>
        <v>0.4959397900574371</v>
      </c>
      <c r="AP220" s="1759">
        <f t="shared" ref="AP220:AR220" si="664">+AP219/AP222</f>
        <v>0.49703674436981432</v>
      </c>
      <c r="AQ220" s="1760">
        <f t="shared" si="664"/>
        <v>0.49676407138654638</v>
      </c>
      <c r="AR220" s="1761">
        <f t="shared" si="664"/>
        <v>0.49676407138654638</v>
      </c>
      <c r="AS220" s="1758">
        <f t="shared" ca="1" si="660"/>
        <v>0.49302613293135145</v>
      </c>
      <c r="AT220" s="1759">
        <f t="shared" ca="1" si="660"/>
        <v>0.48906335741601953</v>
      </c>
      <c r="AU220" s="1759">
        <f t="shared" ca="1" si="660"/>
        <v>0.48764592575630877</v>
      </c>
      <c r="AV220" s="1760">
        <f t="shared" ca="1" si="660"/>
        <v>0.48957701178514679</v>
      </c>
      <c r="AW220" s="1761">
        <f t="shared" ca="1" si="660"/>
        <v>0.48957701178514679</v>
      </c>
      <c r="AX220" s="1758">
        <f t="shared" ref="AX220:BG220" ca="1" si="665">+AX219/AX222</f>
        <v>0.48740873806014917</v>
      </c>
      <c r="AY220" s="1759">
        <f t="shared" ca="1" si="665"/>
        <v>0.48468043024543089</v>
      </c>
      <c r="AZ220" s="1759">
        <f t="shared" ca="1" si="665"/>
        <v>0.48729187655796025</v>
      </c>
      <c r="BA220" s="1760">
        <f t="shared" ca="1" si="665"/>
        <v>0.49015521469150025</v>
      </c>
      <c r="BB220" s="1761">
        <f t="shared" ca="1" si="665"/>
        <v>0.49015521469150025</v>
      </c>
      <c r="BC220" s="1758">
        <f t="shared" ca="1" si="665"/>
        <v>0.4880443300831061</v>
      </c>
      <c r="BD220" s="1759">
        <f t="shared" ca="1" si="665"/>
        <v>0.48549130467676127</v>
      </c>
      <c r="BE220" s="1759">
        <f t="shared" ca="1" si="665"/>
        <v>0.48678304325307953</v>
      </c>
      <c r="BF220" s="1760">
        <f t="shared" ca="1" si="665"/>
        <v>0.49043537942845444</v>
      </c>
      <c r="BG220" s="1761">
        <f t="shared" ca="1" si="665"/>
        <v>0.49043537942845444</v>
      </c>
      <c r="BH220" s="1758">
        <f t="shared" ref="BH220:BL220" ca="1" si="666">+BH219/BH222</f>
        <v>0.48842545286349054</v>
      </c>
      <c r="BI220" s="1759">
        <f t="shared" ca="1" si="666"/>
        <v>0.48609542887963747</v>
      </c>
      <c r="BJ220" s="1759">
        <f t="shared" ca="1" si="666"/>
        <v>0.48654131327886885</v>
      </c>
      <c r="BK220" s="1760">
        <f t="shared" ca="1" si="666"/>
        <v>0.49025475088912207</v>
      </c>
      <c r="BL220" s="1761">
        <f t="shared" ca="1" si="666"/>
        <v>0.49025475088912207</v>
      </c>
      <c r="BM220" s="1699"/>
      <c r="BN220" s="1699"/>
      <c r="BO220" s="1699"/>
      <c r="BP220" s="1699"/>
      <c r="BQ220" s="1699"/>
      <c r="BR220" s="1699"/>
      <c r="BS220" s="1699"/>
      <c r="BT220" s="1699"/>
      <c r="BU220" s="1699"/>
      <c r="BV220" s="1699"/>
      <c r="BW220" s="1699"/>
      <c r="BX220" s="1699"/>
      <c r="BY220" s="1699"/>
      <c r="BZ220" s="1699"/>
      <c r="CA220" s="1699"/>
      <c r="CB220" s="1699"/>
      <c r="CC220" s="1699"/>
      <c r="CD220" s="1699"/>
      <c r="CE220" s="1699"/>
      <c r="CF220" s="1699"/>
      <c r="CG220" s="1699"/>
      <c r="CH220" s="1699"/>
      <c r="CI220" s="1699"/>
      <c r="CJ220" s="1699"/>
      <c r="CK220" s="1699"/>
      <c r="CL220" s="1699"/>
      <c r="CM220" s="1699"/>
      <c r="CN220" s="1699"/>
      <c r="CO220" s="1699"/>
      <c r="CP220" s="1699"/>
    </row>
    <row r="221" spans="1:94">
      <c r="A221" s="895"/>
      <c r="B221" s="895"/>
      <c r="C221" s="409"/>
      <c r="D221" s="895"/>
      <c r="E221" s="896"/>
      <c r="F221" s="897"/>
      <c r="G221" s="897"/>
      <c r="H221" s="898"/>
      <c r="I221" s="899"/>
      <c r="J221" s="896"/>
      <c r="K221" s="897"/>
      <c r="L221" s="897"/>
      <c r="M221" s="898"/>
      <c r="N221" s="899"/>
      <c r="O221" s="896"/>
      <c r="P221" s="897"/>
      <c r="Q221" s="897"/>
      <c r="R221" s="898"/>
      <c r="S221" s="899"/>
      <c r="T221" s="1916"/>
      <c r="U221" s="1917"/>
      <c r="V221" s="1917"/>
      <c r="W221" s="1918"/>
      <c r="X221" s="1919"/>
      <c r="Y221" s="1916"/>
      <c r="Z221" s="1917"/>
      <c r="AA221" s="1917"/>
      <c r="AB221" s="1918"/>
      <c r="AC221" s="1919"/>
      <c r="AD221" s="1916"/>
      <c r="AE221" s="1917"/>
      <c r="AF221" s="1917"/>
      <c r="AG221" s="1918"/>
      <c r="AH221" s="1919"/>
      <c r="AI221" s="1916"/>
      <c r="AJ221" s="1917"/>
      <c r="AK221" s="1917"/>
      <c r="AL221" s="1918"/>
      <c r="AM221" s="1919"/>
      <c r="AN221" s="1916"/>
      <c r="AO221" s="1917"/>
      <c r="AP221" s="897"/>
      <c r="AQ221" s="1918"/>
      <c r="AR221" s="1919"/>
      <c r="AS221" s="896"/>
      <c r="AT221" s="897"/>
      <c r="AU221" s="897"/>
      <c r="AV221" s="898"/>
      <c r="AW221" s="899"/>
      <c r="AX221" s="896"/>
      <c r="AY221" s="897"/>
      <c r="AZ221" s="897"/>
      <c r="BA221" s="898"/>
      <c r="BB221" s="899"/>
      <c r="BC221" s="896"/>
      <c r="BD221" s="897"/>
      <c r="BE221" s="897"/>
      <c r="BF221" s="898"/>
      <c r="BG221" s="899"/>
      <c r="BH221" s="896"/>
      <c r="BI221" s="897"/>
      <c r="BJ221" s="897"/>
      <c r="BK221" s="898"/>
      <c r="BL221" s="899"/>
      <c r="BM221" s="895"/>
      <c r="BN221" s="895"/>
      <c r="BO221" s="895"/>
      <c r="BP221" s="895"/>
      <c r="BQ221" s="895"/>
      <c r="BR221" s="895"/>
      <c r="BS221" s="895"/>
      <c r="BT221" s="895"/>
      <c r="BU221" s="895"/>
      <c r="BV221" s="895"/>
      <c r="BW221" s="895"/>
      <c r="BX221" s="895"/>
      <c r="BY221" s="895"/>
      <c r="BZ221" s="895"/>
      <c r="CA221" s="895"/>
      <c r="CB221" s="895"/>
      <c r="CC221" s="895"/>
      <c r="CD221" s="895"/>
      <c r="CE221" s="895"/>
      <c r="CF221" s="895"/>
      <c r="CG221" s="895"/>
      <c r="CH221" s="895"/>
      <c r="CI221" s="895"/>
      <c r="CJ221" s="895"/>
      <c r="CK221" s="895"/>
      <c r="CL221" s="895"/>
      <c r="CM221" s="895"/>
      <c r="CN221" s="895"/>
      <c r="CO221" s="895"/>
      <c r="CP221" s="895"/>
    </row>
    <row r="222" spans="1:94">
      <c r="A222" s="45"/>
      <c r="B222" s="45"/>
      <c r="C222" s="389" t="s">
        <v>494</v>
      </c>
      <c r="D222" s="45"/>
      <c r="E222" s="292"/>
      <c r="F222" s="261"/>
      <c r="G222" s="261"/>
      <c r="H222" s="293"/>
      <c r="I222" s="228">
        <f>+I219+I216+I213</f>
        <v>2968</v>
      </c>
      <c r="J222" s="292">
        <f>+J219+J216+J213</f>
        <v>2986</v>
      </c>
      <c r="K222" s="261">
        <f>+K219+K216+K213</f>
        <v>3018</v>
      </c>
      <c r="L222" s="261">
        <f>+L219+L216+L213</f>
        <v>3056</v>
      </c>
      <c r="M222" s="293">
        <f>+N222</f>
        <v>3116</v>
      </c>
      <c r="N222" s="228">
        <f>+N219+N216+N213</f>
        <v>3116</v>
      </c>
      <c r="O222" s="292">
        <f>+O219+O216+O213</f>
        <v>3270</v>
      </c>
      <c r="P222" s="261">
        <f>+P219+P216+P213</f>
        <v>3412</v>
      </c>
      <c r="Q222" s="261">
        <f>+Q219+Q216+Q213</f>
        <v>3453</v>
      </c>
      <c r="R222" s="293">
        <f>+S222</f>
        <v>3575</v>
      </c>
      <c r="S222" s="228">
        <f>+S219+S216+S213</f>
        <v>3575</v>
      </c>
      <c r="T222" s="292">
        <f>+T219+T216+T213</f>
        <v>3792</v>
      </c>
      <c r="U222" s="261">
        <f t="shared" ref="U222:Z222" si="667">+U219+U216+U213</f>
        <v>3813</v>
      </c>
      <c r="V222" s="261">
        <f t="shared" si="667"/>
        <v>3880</v>
      </c>
      <c r="W222" s="293">
        <f t="shared" si="667"/>
        <v>3972</v>
      </c>
      <c r="X222" s="228">
        <f t="shared" si="667"/>
        <v>3972</v>
      </c>
      <c r="Y222" s="292">
        <f t="shared" si="667"/>
        <v>4333</v>
      </c>
      <c r="Z222" s="261">
        <f t="shared" si="667"/>
        <v>4162</v>
      </c>
      <c r="AA222" s="261">
        <f t="shared" ref="AA222:AE222" si="668">+AA219+AA216+AA213</f>
        <v>4235</v>
      </c>
      <c r="AB222" s="293">
        <f t="shared" si="668"/>
        <v>4327</v>
      </c>
      <c r="AC222" s="228">
        <f t="shared" si="668"/>
        <v>4327</v>
      </c>
      <c r="AD222" s="292">
        <f t="shared" si="668"/>
        <v>4557</v>
      </c>
      <c r="AE222" s="261">
        <f t="shared" si="668"/>
        <v>4568</v>
      </c>
      <c r="AF222" s="261">
        <f t="shared" ref="AF222:AJ222" si="669">+AF219+AF216+AF213</f>
        <v>4616</v>
      </c>
      <c r="AG222" s="293">
        <f t="shared" si="669"/>
        <v>4605</v>
      </c>
      <c r="AH222" s="228">
        <f t="shared" si="669"/>
        <v>4605</v>
      </c>
      <c r="AI222" s="292">
        <f t="shared" si="669"/>
        <v>4445</v>
      </c>
      <c r="AJ222" s="261">
        <f t="shared" si="669"/>
        <v>4628</v>
      </c>
      <c r="AK222" s="261">
        <f t="shared" ref="AK222:AO222" si="670">+AK219+AK216+AK213</f>
        <v>4672</v>
      </c>
      <c r="AL222" s="293">
        <f t="shared" si="670"/>
        <v>4672</v>
      </c>
      <c r="AM222" s="228">
        <f t="shared" si="670"/>
        <v>4672</v>
      </c>
      <c r="AN222" s="292">
        <f t="shared" si="670"/>
        <v>4845</v>
      </c>
      <c r="AO222" s="261">
        <f t="shared" si="670"/>
        <v>5049</v>
      </c>
      <c r="AP222" s="261">
        <f t="shared" ref="AP222:AR222" si="671">+AP219+AP216+AP213</f>
        <v>5062</v>
      </c>
      <c r="AQ222" s="293">
        <f t="shared" si="671"/>
        <v>5099</v>
      </c>
      <c r="AR222" s="228">
        <f t="shared" si="671"/>
        <v>5099</v>
      </c>
      <c r="AS222" s="292">
        <f t="shared" ref="AS222:AW222" ca="1" si="672">+AS219+AS216+AS213</f>
        <v>5183.9089453210072</v>
      </c>
      <c r="AT222" s="261">
        <f t="shared" ca="1" si="672"/>
        <v>5273.40969590042</v>
      </c>
      <c r="AU222" s="261">
        <f t="shared" ca="1" si="672"/>
        <v>5435.6940639362783</v>
      </c>
      <c r="AV222" s="293">
        <f t="shared" ca="1" si="672"/>
        <v>5456.2589544413422</v>
      </c>
      <c r="AW222" s="228">
        <f t="shared" ca="1" si="672"/>
        <v>5456.2589544413422</v>
      </c>
      <c r="AX222" s="292">
        <f t="shared" ref="AX222:BG222" ca="1" si="673">+AX219+AX216+AX213</f>
        <v>5532.4514358349097</v>
      </c>
      <c r="AY222" s="261">
        <f t="shared" ca="1" si="673"/>
        <v>5615.4515307513047</v>
      </c>
      <c r="AZ222" s="261">
        <f t="shared" ca="1" si="673"/>
        <v>5753.7609901620544</v>
      </c>
      <c r="BA222" s="293">
        <f t="shared" ca="1" si="673"/>
        <v>5786.0746741089006</v>
      </c>
      <c r="BB222" s="228">
        <f t="shared" ca="1" si="673"/>
        <v>5786.0746741089006</v>
      </c>
      <c r="BC222" s="292">
        <f t="shared" ca="1" si="673"/>
        <v>5885.5096779370406</v>
      </c>
      <c r="BD222" s="261">
        <f t="shared" ca="1" si="673"/>
        <v>5993.2698661202176</v>
      </c>
      <c r="BE222" s="261">
        <f t="shared" ca="1" si="673"/>
        <v>6166.98251761143</v>
      </c>
      <c r="BF222" s="293">
        <f t="shared" ca="1" si="673"/>
        <v>6211.1847491492344</v>
      </c>
      <c r="BG222" s="228">
        <f t="shared" ca="1" si="673"/>
        <v>6211.1847491492344</v>
      </c>
      <c r="BH222" s="292">
        <f t="shared" ref="BH222:BL222" ca="1" si="674">+BH219+BH216+BH213</f>
        <v>6323.6241321550397</v>
      </c>
      <c r="BI222" s="261">
        <f t="shared" ca="1" si="674"/>
        <v>6442.5818690491824</v>
      </c>
      <c r="BJ222" s="261">
        <f t="shared" ca="1" si="674"/>
        <v>6631.4975051718584</v>
      </c>
      <c r="BK222" s="293">
        <f t="shared" ca="1" si="674"/>
        <v>6679.8072290799455</v>
      </c>
      <c r="BL222" s="228">
        <f t="shared" ca="1" si="674"/>
        <v>6679.8072290799455</v>
      </c>
      <c r="BM222" s="45"/>
      <c r="BN222" s="45"/>
      <c r="BO222" s="45"/>
      <c r="BP222" s="45"/>
      <c r="BQ222" s="45"/>
      <c r="BR222" s="45"/>
      <c r="BS222" s="45"/>
      <c r="BT222" s="45"/>
      <c r="BU222" s="45"/>
      <c r="BV222" s="45"/>
      <c r="BW222" s="45"/>
      <c r="BX222" s="45"/>
      <c r="BY222" s="45"/>
      <c r="BZ222" s="45"/>
      <c r="CA222" s="45"/>
      <c r="CB222" s="45"/>
      <c r="CC222" s="45"/>
      <c r="CD222" s="45"/>
      <c r="CE222" s="45"/>
      <c r="CF222" s="45"/>
      <c r="CG222" s="45"/>
      <c r="CH222" s="45"/>
      <c r="CI222" s="45"/>
      <c r="CJ222" s="45"/>
      <c r="CK222" s="45"/>
      <c r="CL222" s="45"/>
      <c r="CM222" s="45"/>
      <c r="CN222" s="45"/>
      <c r="CO222" s="45"/>
      <c r="CP222" s="45"/>
    </row>
    <row r="223" spans="1:94">
      <c r="A223" s="1699"/>
      <c r="B223" s="1699"/>
      <c r="C223" s="408" t="s">
        <v>612</v>
      </c>
      <c r="D223" s="1699"/>
      <c r="E223" s="1758"/>
      <c r="F223" s="1759"/>
      <c r="G223" s="1759"/>
      <c r="H223" s="1760"/>
      <c r="I223" s="1761">
        <f t="shared" ref="I223:AW223" si="675">(I213+I216+I219)/I222</f>
        <v>1</v>
      </c>
      <c r="J223" s="1758">
        <f t="shared" si="675"/>
        <v>1</v>
      </c>
      <c r="K223" s="1759">
        <f t="shared" si="675"/>
        <v>1</v>
      </c>
      <c r="L223" s="1759">
        <f t="shared" si="675"/>
        <v>1</v>
      </c>
      <c r="M223" s="1760">
        <f t="shared" si="675"/>
        <v>1</v>
      </c>
      <c r="N223" s="1761">
        <f t="shared" si="675"/>
        <v>1</v>
      </c>
      <c r="O223" s="1758">
        <f t="shared" si="675"/>
        <v>1</v>
      </c>
      <c r="P223" s="1759">
        <f t="shared" si="675"/>
        <v>1</v>
      </c>
      <c r="Q223" s="1759">
        <f t="shared" si="675"/>
        <v>1</v>
      </c>
      <c r="R223" s="1760">
        <f t="shared" si="675"/>
        <v>1</v>
      </c>
      <c r="S223" s="1761">
        <f t="shared" si="675"/>
        <v>1</v>
      </c>
      <c r="T223" s="1758">
        <f t="shared" si="675"/>
        <v>1</v>
      </c>
      <c r="U223" s="1759">
        <f t="shared" si="675"/>
        <v>1</v>
      </c>
      <c r="V223" s="1759">
        <f t="shared" si="675"/>
        <v>1</v>
      </c>
      <c r="W223" s="1760">
        <f t="shared" si="675"/>
        <v>1</v>
      </c>
      <c r="X223" s="1761">
        <f t="shared" si="675"/>
        <v>1</v>
      </c>
      <c r="Y223" s="1758">
        <f t="shared" si="675"/>
        <v>1</v>
      </c>
      <c r="Z223" s="1759">
        <f t="shared" si="675"/>
        <v>1</v>
      </c>
      <c r="AA223" s="1759">
        <f t="shared" ref="AA223:AE223" si="676">(AA213+AA216+AA219)/AA222</f>
        <v>1</v>
      </c>
      <c r="AB223" s="1760">
        <f t="shared" si="676"/>
        <v>1</v>
      </c>
      <c r="AC223" s="1761">
        <f t="shared" si="676"/>
        <v>1</v>
      </c>
      <c r="AD223" s="1758">
        <f t="shared" si="676"/>
        <v>1</v>
      </c>
      <c r="AE223" s="1759">
        <f t="shared" si="676"/>
        <v>1</v>
      </c>
      <c r="AF223" s="1759">
        <f t="shared" ref="AF223:AJ223" si="677">(AF213+AF216+AF219)/AF222</f>
        <v>1</v>
      </c>
      <c r="AG223" s="1760">
        <f t="shared" si="677"/>
        <v>1</v>
      </c>
      <c r="AH223" s="1761">
        <f t="shared" si="677"/>
        <v>1</v>
      </c>
      <c r="AI223" s="1758">
        <f t="shared" si="677"/>
        <v>1</v>
      </c>
      <c r="AJ223" s="1759">
        <f t="shared" si="677"/>
        <v>1</v>
      </c>
      <c r="AK223" s="1759">
        <f t="shared" ref="AK223:AO223" si="678">(AK213+AK216+AK219)/AK222</f>
        <v>1</v>
      </c>
      <c r="AL223" s="1760">
        <f t="shared" si="678"/>
        <v>1</v>
      </c>
      <c r="AM223" s="1761">
        <f t="shared" si="678"/>
        <v>1</v>
      </c>
      <c r="AN223" s="1758">
        <f t="shared" si="678"/>
        <v>1</v>
      </c>
      <c r="AO223" s="1759">
        <f t="shared" si="678"/>
        <v>1</v>
      </c>
      <c r="AP223" s="1759">
        <f t="shared" ref="AP223:AR223" si="679">(AP213+AP216+AP219)/AP222</f>
        <v>1</v>
      </c>
      <c r="AQ223" s="1760">
        <f t="shared" si="679"/>
        <v>1</v>
      </c>
      <c r="AR223" s="1761">
        <f t="shared" si="679"/>
        <v>1</v>
      </c>
      <c r="AS223" s="1758">
        <f t="shared" ca="1" si="675"/>
        <v>1</v>
      </c>
      <c r="AT223" s="1759">
        <f t="shared" ca="1" si="675"/>
        <v>1</v>
      </c>
      <c r="AU223" s="1759">
        <f t="shared" ca="1" si="675"/>
        <v>1</v>
      </c>
      <c r="AV223" s="1760">
        <f t="shared" ca="1" si="675"/>
        <v>1</v>
      </c>
      <c r="AW223" s="1761">
        <f t="shared" ca="1" si="675"/>
        <v>1</v>
      </c>
      <c r="AX223" s="1758">
        <f t="shared" ref="AX223:BG223" ca="1" si="680">(AX213+AX216+AX219)/AX222</f>
        <v>1</v>
      </c>
      <c r="AY223" s="1759">
        <f t="shared" ca="1" si="680"/>
        <v>1</v>
      </c>
      <c r="AZ223" s="1759">
        <f t="shared" ca="1" si="680"/>
        <v>1</v>
      </c>
      <c r="BA223" s="1760">
        <f t="shared" ca="1" si="680"/>
        <v>1</v>
      </c>
      <c r="BB223" s="1761">
        <f t="shared" ca="1" si="680"/>
        <v>1</v>
      </c>
      <c r="BC223" s="1758">
        <f t="shared" ca="1" si="680"/>
        <v>1</v>
      </c>
      <c r="BD223" s="1759">
        <f t="shared" ca="1" si="680"/>
        <v>1</v>
      </c>
      <c r="BE223" s="1759">
        <f t="shared" ca="1" si="680"/>
        <v>1</v>
      </c>
      <c r="BF223" s="1760">
        <f t="shared" ca="1" si="680"/>
        <v>1</v>
      </c>
      <c r="BG223" s="1761">
        <f t="shared" ca="1" si="680"/>
        <v>1</v>
      </c>
      <c r="BH223" s="1758">
        <f t="shared" ref="BH223:BL223" ca="1" si="681">(BH213+BH216+BH219)/BH222</f>
        <v>1</v>
      </c>
      <c r="BI223" s="1759">
        <f t="shared" ca="1" si="681"/>
        <v>1</v>
      </c>
      <c r="BJ223" s="1759">
        <f t="shared" ca="1" si="681"/>
        <v>1</v>
      </c>
      <c r="BK223" s="1760">
        <f t="shared" ca="1" si="681"/>
        <v>1</v>
      </c>
      <c r="BL223" s="1761">
        <f t="shared" ca="1" si="681"/>
        <v>1</v>
      </c>
      <c r="BM223" s="1699"/>
      <c r="BN223" s="1699"/>
      <c r="BO223" s="1699"/>
      <c r="BP223" s="1699"/>
      <c r="BQ223" s="1699"/>
      <c r="BR223" s="1699"/>
      <c r="BS223" s="1699"/>
      <c r="BT223" s="1699"/>
      <c r="BU223" s="1699"/>
      <c r="BV223" s="1699"/>
      <c r="BW223" s="1699"/>
      <c r="BX223" s="1699"/>
      <c r="BY223" s="1699"/>
      <c r="BZ223" s="1699"/>
      <c r="CA223" s="1699"/>
      <c r="CB223" s="1699"/>
      <c r="CC223" s="1699"/>
      <c r="CD223" s="1699"/>
      <c r="CE223" s="1699"/>
      <c r="CF223" s="1699"/>
      <c r="CG223" s="1699"/>
      <c r="CH223" s="1699"/>
      <c r="CI223" s="1699"/>
      <c r="CJ223" s="1699"/>
      <c r="CK223" s="1699"/>
      <c r="CL223" s="1699"/>
      <c r="CM223" s="1699"/>
      <c r="CN223" s="1699"/>
      <c r="CO223" s="1699"/>
      <c r="CP223" s="1699"/>
    </row>
    <row r="224" spans="1:94">
      <c r="A224" s="895"/>
      <c r="B224" s="895"/>
      <c r="C224" s="895"/>
      <c r="D224" s="895"/>
      <c r="E224" s="896"/>
      <c r="F224" s="897"/>
      <c r="G224" s="897"/>
      <c r="H224" s="898"/>
      <c r="I224" s="899"/>
      <c r="J224" s="896"/>
      <c r="K224" s="897"/>
      <c r="L224" s="897"/>
      <c r="M224" s="898"/>
      <c r="N224" s="899"/>
      <c r="O224" s="896"/>
      <c r="P224" s="897"/>
      <c r="Q224" s="897"/>
      <c r="R224" s="898"/>
      <c r="S224" s="899"/>
      <c r="T224" s="896"/>
      <c r="U224" s="897"/>
      <c r="V224" s="897"/>
      <c r="W224" s="898"/>
      <c r="X224" s="899"/>
      <c r="Y224" s="896"/>
      <c r="Z224" s="897"/>
      <c r="AA224" s="897"/>
      <c r="AB224" s="898"/>
      <c r="AC224" s="899"/>
      <c r="AD224" s="896"/>
      <c r="AE224" s="897"/>
      <c r="AF224" s="897"/>
      <c r="AG224" s="898"/>
      <c r="AH224" s="899"/>
      <c r="AI224" s="896"/>
      <c r="AJ224" s="897"/>
      <c r="AK224" s="897"/>
      <c r="AL224" s="898"/>
      <c r="AM224" s="899"/>
      <c r="AN224" s="896"/>
      <c r="AO224" s="897"/>
      <c r="AP224" s="897"/>
      <c r="AQ224" s="898"/>
      <c r="AR224" s="899"/>
      <c r="AS224" s="896"/>
      <c r="AT224" s="897"/>
      <c r="AU224" s="897"/>
      <c r="AV224" s="898"/>
      <c r="AW224" s="899"/>
      <c r="AX224" s="896"/>
      <c r="AY224" s="897"/>
      <c r="AZ224" s="897"/>
      <c r="BA224" s="898"/>
      <c r="BB224" s="899"/>
      <c r="BC224" s="896"/>
      <c r="BD224" s="897"/>
      <c r="BE224" s="897"/>
      <c r="BF224" s="898"/>
      <c r="BG224" s="899"/>
      <c r="BH224" s="896"/>
      <c r="BI224" s="897"/>
      <c r="BJ224" s="897"/>
      <c r="BK224" s="898"/>
      <c r="BL224" s="899"/>
      <c r="BM224" s="895"/>
      <c r="BN224" s="895"/>
      <c r="BO224" s="895"/>
      <c r="BP224" s="895"/>
      <c r="BQ224" s="895"/>
      <c r="BR224" s="895"/>
      <c r="BS224" s="895"/>
      <c r="BT224" s="895"/>
      <c r="BU224" s="895"/>
      <c r="BV224" s="895"/>
      <c r="BW224" s="895"/>
      <c r="BX224" s="895"/>
      <c r="BY224" s="895"/>
      <c r="BZ224" s="895"/>
      <c r="CA224" s="895"/>
      <c r="CB224" s="895"/>
      <c r="CC224" s="895"/>
      <c r="CD224" s="895"/>
      <c r="CE224" s="895"/>
      <c r="CF224" s="895"/>
      <c r="CG224" s="895"/>
      <c r="CH224" s="895"/>
      <c r="CI224" s="895"/>
      <c r="CJ224" s="895"/>
      <c r="CK224" s="895"/>
      <c r="CL224" s="895"/>
      <c r="CM224" s="895"/>
      <c r="CN224" s="895"/>
      <c r="CO224" s="895"/>
      <c r="CP224" s="895"/>
    </row>
    <row r="225" spans="1:94">
      <c r="A225" s="895"/>
      <c r="B225" s="895"/>
      <c r="C225" s="895"/>
      <c r="D225" s="895"/>
      <c r="E225" s="896"/>
      <c r="F225" s="897"/>
      <c r="G225" s="897"/>
      <c r="H225" s="898"/>
      <c r="I225" s="899"/>
      <c r="J225" s="896"/>
      <c r="K225" s="897"/>
      <c r="L225" s="897"/>
      <c r="M225" s="898"/>
      <c r="N225" s="899"/>
      <c r="O225" s="896"/>
      <c r="P225" s="897"/>
      <c r="Q225" s="897"/>
      <c r="R225" s="898"/>
      <c r="S225" s="899"/>
      <c r="T225" s="896"/>
      <c r="U225" s="897"/>
      <c r="V225" s="897"/>
      <c r="W225" s="898"/>
      <c r="X225" s="899"/>
      <c r="Y225" s="896"/>
      <c r="Z225" s="897"/>
      <c r="AA225" s="897"/>
      <c r="AB225" s="898"/>
      <c r="AC225" s="899"/>
      <c r="AD225" s="896"/>
      <c r="AE225" s="897"/>
      <c r="AF225" s="897"/>
      <c r="AG225" s="898"/>
      <c r="AH225" s="899"/>
      <c r="AI225" s="896"/>
      <c r="AJ225" s="897"/>
      <c r="AK225" s="897"/>
      <c r="AL225" s="898"/>
      <c r="AM225" s="899"/>
      <c r="AN225" s="896"/>
      <c r="AO225" s="897"/>
      <c r="AP225" s="897"/>
      <c r="AQ225" s="898"/>
      <c r="AR225" s="899"/>
      <c r="AS225" s="896"/>
      <c r="AT225" s="897"/>
      <c r="AU225" s="897"/>
      <c r="AV225" s="898"/>
      <c r="AW225" s="899"/>
      <c r="AX225" s="896"/>
      <c r="AY225" s="897"/>
      <c r="AZ225" s="897"/>
      <c r="BA225" s="898"/>
      <c r="BB225" s="899"/>
      <c r="BC225" s="896"/>
      <c r="BD225" s="897"/>
      <c r="BE225" s="897"/>
      <c r="BF225" s="898"/>
      <c r="BG225" s="899"/>
      <c r="BH225" s="896"/>
      <c r="BI225" s="897"/>
      <c r="BJ225" s="897"/>
      <c r="BK225" s="898"/>
      <c r="BL225" s="899"/>
      <c r="BM225" s="895"/>
      <c r="BN225" s="895"/>
      <c r="BO225" s="895"/>
      <c r="BP225" s="895"/>
      <c r="BQ225" s="895"/>
      <c r="BR225" s="895"/>
      <c r="BS225" s="895"/>
      <c r="BT225" s="895"/>
      <c r="BU225" s="895"/>
      <c r="BV225" s="895"/>
      <c r="BW225" s="895"/>
      <c r="BX225" s="895"/>
      <c r="BY225" s="895"/>
      <c r="BZ225" s="895"/>
      <c r="CA225" s="895"/>
      <c r="CB225" s="895"/>
      <c r="CC225" s="895"/>
      <c r="CD225" s="895"/>
      <c r="CE225" s="895"/>
      <c r="CF225" s="895"/>
      <c r="CG225" s="895"/>
      <c r="CH225" s="895"/>
      <c r="CI225" s="895"/>
      <c r="CJ225" s="895"/>
      <c r="CK225" s="895"/>
      <c r="CL225" s="895"/>
      <c r="CM225" s="895"/>
      <c r="CN225" s="895"/>
      <c r="CO225" s="895"/>
      <c r="CP225" s="895"/>
    </row>
    <row r="226" spans="1:94">
      <c r="A226" s="895"/>
      <c r="B226" s="1681" t="s">
        <v>613</v>
      </c>
      <c r="C226" s="1682"/>
      <c r="D226" s="1683"/>
      <c r="E226" s="896"/>
      <c r="F226" s="897"/>
      <c r="G226" s="897"/>
      <c r="H226" s="898"/>
      <c r="I226" s="899"/>
      <c r="J226" s="896"/>
      <c r="K226" s="897"/>
      <c r="L226" s="897"/>
      <c r="M226" s="898"/>
      <c r="N226" s="899"/>
      <c r="O226" s="896"/>
      <c r="P226" s="897"/>
      <c r="Q226" s="897"/>
      <c r="R226" s="898"/>
      <c r="S226" s="899"/>
      <c r="T226" s="896"/>
      <c r="U226" s="897"/>
      <c r="V226" s="897"/>
      <c r="W226" s="898"/>
      <c r="X226" s="899"/>
      <c r="Y226" s="896"/>
      <c r="Z226" s="897"/>
      <c r="AA226" s="897"/>
      <c r="AB226" s="898"/>
      <c r="AC226" s="899"/>
      <c r="AD226" s="896"/>
      <c r="AE226" s="897"/>
      <c r="AF226" s="897"/>
      <c r="AG226" s="898"/>
      <c r="AH226" s="899"/>
      <c r="AI226" s="896"/>
      <c r="AJ226" s="897"/>
      <c r="AK226" s="897"/>
      <c r="AL226" s="898"/>
      <c r="AM226" s="899"/>
      <c r="AN226" s="896"/>
      <c r="AO226" s="897"/>
      <c r="AP226" s="897"/>
      <c r="AQ226" s="898"/>
      <c r="AR226" s="899"/>
      <c r="AS226" s="896"/>
      <c r="AT226" s="897"/>
      <c r="AU226" s="897"/>
      <c r="AV226" s="898"/>
      <c r="AW226" s="899"/>
      <c r="AX226" s="896"/>
      <c r="AY226" s="897"/>
      <c r="AZ226" s="897"/>
      <c r="BA226" s="898"/>
      <c r="BB226" s="899"/>
      <c r="BC226" s="896"/>
      <c r="BD226" s="897"/>
      <c r="BE226" s="897"/>
      <c r="BF226" s="898"/>
      <c r="BG226" s="899"/>
      <c r="BH226" s="896"/>
      <c r="BI226" s="897"/>
      <c r="BJ226" s="897"/>
      <c r="BK226" s="898"/>
      <c r="BL226" s="899"/>
      <c r="BM226" s="895"/>
      <c r="BN226" s="895"/>
      <c r="BO226" s="895"/>
      <c r="BP226" s="895"/>
      <c r="BQ226" s="895"/>
      <c r="BR226" s="895"/>
      <c r="BS226" s="895"/>
      <c r="BT226" s="895"/>
      <c r="BU226" s="895"/>
      <c r="BV226" s="895"/>
      <c r="BW226" s="895"/>
      <c r="BX226" s="895"/>
      <c r="BY226" s="895"/>
      <c r="BZ226" s="895"/>
      <c r="CA226" s="895"/>
      <c r="CB226" s="895"/>
      <c r="CC226" s="895"/>
      <c r="CD226" s="895"/>
      <c r="CE226" s="895"/>
      <c r="CF226" s="895"/>
      <c r="CG226" s="895"/>
      <c r="CH226" s="895"/>
      <c r="CI226" s="895"/>
      <c r="CJ226" s="895"/>
      <c r="CK226" s="895"/>
      <c r="CL226" s="895"/>
      <c r="CM226" s="895"/>
      <c r="CN226" s="895"/>
      <c r="CO226" s="895"/>
      <c r="CP226" s="895"/>
    </row>
    <row r="227" spans="1:94">
      <c r="A227" s="45"/>
      <c r="B227" s="45"/>
      <c r="C227" s="391" t="s">
        <v>222</v>
      </c>
      <c r="D227" s="45"/>
      <c r="E227" s="290"/>
      <c r="F227" s="260"/>
      <c r="G227" s="260"/>
      <c r="H227" s="291"/>
      <c r="I227" s="45">
        <f>I34+I13</f>
        <v>270</v>
      </c>
      <c r="J227" s="290">
        <f>SUM(J34,F34:H34)+SUM(J13,F13:H13)</f>
        <v>60</v>
      </c>
      <c r="K227" s="260">
        <f>SUM(J34:K34,G34:H34)+SUM(J13:K13,G13:H13)</f>
        <v>134</v>
      </c>
      <c r="L227" s="260">
        <f>SUM(J34:L34,H34)+SUM(J13:L13,H13)</f>
        <v>216</v>
      </c>
      <c r="M227" s="291">
        <f>SUM(J34:M34)+SUM(J13:M13)</f>
        <v>270</v>
      </c>
      <c r="N227" s="45">
        <f>N34+N13</f>
        <v>270</v>
      </c>
      <c r="O227" s="290">
        <f>SUM(O34,K34:M34)+SUM(O13,K13:M13)</f>
        <v>281</v>
      </c>
      <c r="P227" s="260">
        <f>SUM(O34:P34,L34:M34)+SUM(O13:P13,L13:M13)</f>
        <v>282</v>
      </c>
      <c r="Q227" s="260">
        <f>SUM(O34:Q34,M34)+SUM(O13:Q13,M13)</f>
        <v>298</v>
      </c>
      <c r="R227" s="291">
        <f>SUM(O34:R34)+SUM(O13:R13)</f>
        <v>316</v>
      </c>
      <c r="S227" s="45">
        <f>S34+S13</f>
        <v>316</v>
      </c>
      <c r="T227" s="290">
        <f>SUM(T34,P34:R34)+SUM(T13,P13:R13)</f>
        <v>315</v>
      </c>
      <c r="U227" s="260">
        <f>SUM(T34:U34,Q34:R34)+SUM(T13:U13,Q13:R13)</f>
        <v>326</v>
      </c>
      <c r="V227" s="260">
        <f>SUM(T34:V34,R34)+SUM(T13:V13,R13)</f>
        <v>345</v>
      </c>
      <c r="W227" s="291">
        <f>SUM(T34:W34)+SUM(T13:W13)</f>
        <v>346</v>
      </c>
      <c r="X227" s="45">
        <f>X34+X13</f>
        <v>346</v>
      </c>
      <c r="Y227" s="290">
        <f>SUM(Y34,U34:W34)+SUM(Y13,U13:W13)</f>
        <v>364</v>
      </c>
      <c r="Z227" s="260">
        <f>SUM(Y34:Z34,V34:W34)+SUM(Y13:Z13,V13:W13)</f>
        <v>380</v>
      </c>
      <c r="AA227" s="260">
        <f>SUM(Y34:AA34,W34)+SUM(Y13:AA13,W13)</f>
        <v>389</v>
      </c>
      <c r="AB227" s="291">
        <f>SUM(Y34:AB34)+SUM(Y13:AB13)</f>
        <v>400</v>
      </c>
      <c r="AC227" s="45">
        <f>AC34+AC13</f>
        <v>400</v>
      </c>
      <c r="AD227" s="290">
        <f>SUM(AD34,Z34:AB34)+SUM(AD13,Z13:AB13)</f>
        <v>403</v>
      </c>
      <c r="AE227" s="260">
        <f>SUM(AD34:AE34,AA34:AB34)+SUM(AD13:AE13,AA13:AB13)</f>
        <v>411</v>
      </c>
      <c r="AF227" s="260">
        <f>SUM(AD34:AF34,AB34)+SUM(AD13:AF13,AB13)</f>
        <v>419</v>
      </c>
      <c r="AG227" s="291">
        <f>SUM(AD34:AG34)+SUM(AD13:AG13)</f>
        <v>464</v>
      </c>
      <c r="AH227" s="45">
        <f>AH34+AH13</f>
        <v>464</v>
      </c>
      <c r="AI227" s="290">
        <f>SUM(AI34,AE34:AG34)+SUM(AI13,AE13:AG13)</f>
        <v>340</v>
      </c>
      <c r="AJ227" s="260">
        <f>SUM(AI34:AJ34,AF34:AG34)+SUM(AI13:AJ13,AF13:AG13)</f>
        <v>350</v>
      </c>
      <c r="AK227" s="260">
        <f>SUM(AI34:AK34,AG34)+SUM(AI13:AK13,AG13)</f>
        <v>335</v>
      </c>
      <c r="AL227" s="291">
        <f>SUM(AI34:AL34)+SUM(AI13:AL13)</f>
        <v>48</v>
      </c>
      <c r="AM227" s="45">
        <f>AM34+AM13</f>
        <v>48</v>
      </c>
      <c r="AN227" s="290">
        <f>SUM(AN34,AJ34:AL34)+SUM(AN13,AJ13:AL13)</f>
        <v>162</v>
      </c>
      <c r="AO227" s="260">
        <f>SUM(AN34:AO34,AK34:AL34)+SUM(AN13:AO13,AK13:AL13)</f>
        <v>160</v>
      </c>
      <c r="AP227" s="260">
        <f>SUM(AN34:AP34,AL34)+SUM(AN13:AP13,AL13)</f>
        <v>203</v>
      </c>
      <c r="AQ227" s="291">
        <f>SUM(AN34:AQ34)+SUM(AN13:AQ13)</f>
        <v>502</v>
      </c>
      <c r="AR227" s="45">
        <f>AR34+AR13</f>
        <v>502</v>
      </c>
      <c r="AS227" s="290">
        <f>SUM(AS34,AO34:AQ34)+SUM(AS13,AO13:AQ13)</f>
        <v>540.029139703032</v>
      </c>
      <c r="AT227" s="260">
        <f ca="1">SUM(AS34:AT34,AP34:AQ34)+SUM(AS13:AT13,AP13:AQ13)</f>
        <v>541.89276349519446</v>
      </c>
      <c r="AU227" s="260">
        <f ca="1">SUM(AS34:AU34,AQ34)+SUM(AS13:AU13,AQ13)</f>
        <v>549.64940213487284</v>
      </c>
      <c r="AV227" s="291">
        <f ca="1">SUM(AS34:AV34)+SUM(AS13:AV13)</f>
        <v>528.74647812179887</v>
      </c>
      <c r="AW227" s="45">
        <f ca="1">AW34+AW13</f>
        <v>528.7464781217991</v>
      </c>
      <c r="AX227" s="290">
        <f ca="1">SUM(AX34,AT34:AV34)+SUM(AX13,AT13:AV13)</f>
        <v>532.22309541496293</v>
      </c>
      <c r="AY227" s="260">
        <f ca="1">SUM(AX34:AY34,AU34:AV34)+SUM(AX13:AY13,AU13:AV13)</f>
        <v>536.09014919078095</v>
      </c>
      <c r="AZ227" s="260">
        <f ca="1">SUM(AX34:AZ34,AV34)+SUM(AX13:AZ13,AV13)</f>
        <v>548.36806178063023</v>
      </c>
      <c r="BA227" s="291">
        <f ca="1">SUM(AX34:BA34)+SUM(AX13:BA13)</f>
        <v>561.91441685434495</v>
      </c>
      <c r="BB227" s="45">
        <f ca="1">BB34+BB13</f>
        <v>561.91441685434472</v>
      </c>
      <c r="BC227" s="290">
        <f ca="1">SUM(BC34,AY34:BA34)+SUM(BC13,AY13:BA13)</f>
        <v>572.14045449817763</v>
      </c>
      <c r="BD227" s="260">
        <f ca="1">SUM(BC34:BD34,AZ34:BA34)+SUM(BC13:BD13,AZ13:BA13)</f>
        <v>582.52516494599411</v>
      </c>
      <c r="BE227" s="260">
        <f ca="1">SUM(BC34:BE34,BA34)+SUM(BC13:BE13,BA13)</f>
        <v>591.38129456194201</v>
      </c>
      <c r="BF227" s="291">
        <f ca="1">SUM(BC34:BF34)+SUM(BC13:BF13)</f>
        <v>602.26710510565601</v>
      </c>
      <c r="BG227" s="45">
        <f ca="1">BG34+BG13</f>
        <v>602.26710510565601</v>
      </c>
      <c r="BH227" s="290">
        <f ca="1">SUM(BH34,BD34:BF34)+SUM(BH13,BD13:BF13)</f>
        <v>615.25984116598693</v>
      </c>
      <c r="BI227" s="260">
        <f ca="1">SUM(BH34:BI34,BE34:BF34)+SUM(BH13:BI13,BE13:BF13)</f>
        <v>628.66788261313286</v>
      </c>
      <c r="BJ227" s="260">
        <f ca="1">SUM(BH34:BJ34,BF34)+SUM(BH13:BJ13,BF13)</f>
        <v>638.94116265252956</v>
      </c>
      <c r="BK227" s="291">
        <f ca="1">SUM(BH34:BK34)+SUM(BH13:BK13)</f>
        <v>651.01282272558251</v>
      </c>
      <c r="BL227" s="45">
        <f ca="1">BL34+BL13</f>
        <v>651.01282272558228</v>
      </c>
      <c r="BM227" s="45"/>
      <c r="BN227" s="45"/>
      <c r="BO227" s="45"/>
      <c r="BP227" s="45"/>
      <c r="BQ227" s="45"/>
      <c r="BR227" s="45"/>
      <c r="BS227" s="45"/>
      <c r="BT227" s="45"/>
      <c r="BU227" s="45"/>
      <c r="BV227" s="45"/>
      <c r="BW227" s="45"/>
      <c r="BX227" s="45"/>
      <c r="BY227" s="45"/>
      <c r="BZ227" s="45"/>
      <c r="CA227" s="45"/>
      <c r="CB227" s="45"/>
      <c r="CC227" s="45"/>
      <c r="CD227" s="45"/>
      <c r="CE227" s="45"/>
      <c r="CF227" s="45"/>
      <c r="CG227" s="45"/>
      <c r="CH227" s="45"/>
      <c r="CI227" s="45"/>
      <c r="CJ227" s="45"/>
      <c r="CK227" s="45"/>
      <c r="CL227" s="45"/>
      <c r="CM227" s="45"/>
      <c r="CN227" s="45"/>
      <c r="CO227" s="45"/>
      <c r="CP227" s="45"/>
    </row>
    <row r="228" spans="1:94">
      <c r="A228" s="45"/>
      <c r="B228" s="45"/>
      <c r="C228" s="391" t="s">
        <v>227</v>
      </c>
      <c r="D228" s="45"/>
      <c r="E228" s="290"/>
      <c r="F228" s="260"/>
      <c r="G228" s="260"/>
      <c r="H228" s="291"/>
      <c r="I228" s="45">
        <f>+I23</f>
        <v>243</v>
      </c>
      <c r="J228" s="290">
        <f>SUM(J23,F23:H23)</f>
        <v>49</v>
      </c>
      <c r="K228" s="260">
        <f>SUM(J23:K23,G23:H23)</f>
        <v>105</v>
      </c>
      <c r="L228" s="260">
        <f>SUM(J23:L23,H23)</f>
        <v>190</v>
      </c>
      <c r="M228" s="291">
        <f>SUM(J23:M23)</f>
        <v>229</v>
      </c>
      <c r="N228" s="45">
        <f>+N23</f>
        <v>229</v>
      </c>
      <c r="O228" s="290">
        <f>SUM(O23,K23:M23)</f>
        <v>224</v>
      </c>
      <c r="P228" s="260">
        <f>SUM(O23:P23,L23:M23)</f>
        <v>227</v>
      </c>
      <c r="Q228" s="260">
        <f>SUM(O23:Q23,M23)</f>
        <v>254</v>
      </c>
      <c r="R228" s="291">
        <f>SUM(O23:R23)</f>
        <v>275</v>
      </c>
      <c r="S228" s="45">
        <f>+S23</f>
        <v>275</v>
      </c>
      <c r="T228" s="290">
        <f>SUM(T23,P23:R23)</f>
        <v>282</v>
      </c>
      <c r="U228" s="260">
        <f>SUM(T23:U23,Q23:R23)</f>
        <v>308</v>
      </c>
      <c r="V228" s="260">
        <f>SUM(T23:V23,R23)</f>
        <v>330</v>
      </c>
      <c r="W228" s="291">
        <f>SUM(T23:W23)</f>
        <v>339</v>
      </c>
      <c r="X228" s="45">
        <f>+X23</f>
        <v>339</v>
      </c>
      <c r="Y228" s="290">
        <f>SUM(Y23,U23:W23)</f>
        <v>363</v>
      </c>
      <c r="Z228" s="260">
        <f>SUM(Y23:Z23,V23:W23)</f>
        <v>382</v>
      </c>
      <c r="AA228" s="260">
        <f>SUM(Y23:AA23,W23)</f>
        <v>382</v>
      </c>
      <c r="AB228" s="291">
        <f>SUM(Y23:AB23)</f>
        <v>378</v>
      </c>
      <c r="AC228" s="45">
        <f>+AC23</f>
        <v>378</v>
      </c>
      <c r="AD228" s="290">
        <f>SUM(AD23,Z23:AB23)</f>
        <v>371</v>
      </c>
      <c r="AE228" s="260">
        <f>SUM(AD23:AE23,AA23:AB23)</f>
        <v>358</v>
      </c>
      <c r="AF228" s="260">
        <f>SUM(AD23:AF23,AB23)</f>
        <v>347</v>
      </c>
      <c r="AG228" s="291">
        <f>SUM(AD23:AG23)</f>
        <v>408</v>
      </c>
      <c r="AH228" s="45">
        <f>+AH23</f>
        <v>408</v>
      </c>
      <c r="AI228" s="290">
        <f>SUM(AI23,AE23:AG23)</f>
        <v>244</v>
      </c>
      <c r="AJ228" s="260">
        <f>SUM(AI23:AJ23,AF23:AG23)</f>
        <v>256</v>
      </c>
      <c r="AK228" s="260">
        <f>SUM(AI23:AK23,AG23)</f>
        <v>277</v>
      </c>
      <c r="AL228" s="291">
        <f>SUM(AI23:AL23)</f>
        <v>210</v>
      </c>
      <c r="AM228" s="45">
        <f>+AM23</f>
        <v>210</v>
      </c>
      <c r="AN228" s="290">
        <f>SUM(AN23,AJ23:AL23)</f>
        <v>393</v>
      </c>
      <c r="AO228" s="260">
        <f>SUM(AN23:AO23,AK23:AL23)</f>
        <v>381</v>
      </c>
      <c r="AP228" s="260">
        <f>SUM(AN23:AP23,AL23)</f>
        <v>393</v>
      </c>
      <c r="AQ228" s="291">
        <f>SUM(AN23:AQ23)</f>
        <v>431</v>
      </c>
      <c r="AR228" s="45">
        <f>+AR23</f>
        <v>431</v>
      </c>
      <c r="AS228" s="290">
        <f>SUM(AS23,AO23:AQ23)</f>
        <v>422.26895625409088</v>
      </c>
      <c r="AT228" s="260">
        <f>SUM(AS23:AT23,AP23:AQ23)</f>
        <v>409.12971776658839</v>
      </c>
      <c r="AU228" s="260">
        <f>SUM(AS23:AU23,AQ23)</f>
        <v>397.99620733320484</v>
      </c>
      <c r="AV228" s="291">
        <f>SUM(AS23:AV23)</f>
        <v>381.81453702860836</v>
      </c>
      <c r="AW228" s="45">
        <f>+AW23</f>
        <v>381.81453702860858</v>
      </c>
      <c r="AX228" s="290">
        <f>SUM(AX23,AT23:AV23)</f>
        <v>382.72775646765439</v>
      </c>
      <c r="AY228" s="260">
        <f>SUM(AX23:AY23,AU23:AV23)</f>
        <v>382.82732302604967</v>
      </c>
      <c r="AZ228" s="260">
        <f>SUM(AX23:AZ23,AV23)</f>
        <v>393.92497285637575</v>
      </c>
      <c r="BA228" s="291">
        <f>SUM(AX23:BA23)</f>
        <v>405.88076045849817</v>
      </c>
      <c r="BB228" s="45">
        <f>+BB23</f>
        <v>405.88076045849783</v>
      </c>
      <c r="BC228" s="290">
        <f>SUM(BC23,AY23:BA23)</f>
        <v>413.54823390502963</v>
      </c>
      <c r="BD228" s="260">
        <f>SUM(BC23:BD23,AZ23:BA23)</f>
        <v>422.71666135671961</v>
      </c>
      <c r="BE228" s="260">
        <f>SUM(BC23:BE23,BA23)</f>
        <v>431.12271806528588</v>
      </c>
      <c r="BF228" s="291">
        <f>SUM(BC23:BF23)</f>
        <v>440.65768262338639</v>
      </c>
      <c r="BG228" s="45">
        <f>+BG23</f>
        <v>440.65768262338639</v>
      </c>
      <c r="BH228" s="290">
        <f>SUM(BH23,BD23:BF23)</f>
        <v>452.11066349917076</v>
      </c>
      <c r="BI228" s="260">
        <f>SUM(BH23:BI23,BE23:BF23)</f>
        <v>463.1761210086853</v>
      </c>
      <c r="BJ228" s="260">
        <f>SUM(BH23:BJ23,BF23)</f>
        <v>471.57566487124768</v>
      </c>
      <c r="BK228" s="291">
        <f>SUM(BH23:BK23)</f>
        <v>480.9687340600251</v>
      </c>
      <c r="BL228" s="45">
        <f>+BL23</f>
        <v>480.96873406002481</v>
      </c>
      <c r="BM228" s="45"/>
      <c r="BN228" s="45"/>
      <c r="BO228" s="45"/>
      <c r="BP228" s="45"/>
      <c r="BQ228" s="45"/>
      <c r="BR228" s="45"/>
      <c r="BS228" s="45"/>
      <c r="BT228" s="45"/>
      <c r="BU228" s="45"/>
      <c r="BV228" s="45"/>
      <c r="BW228" s="45"/>
      <c r="BX228" s="45"/>
      <c r="BY228" s="45"/>
      <c r="BZ228" s="45"/>
      <c r="CA228" s="45"/>
      <c r="CB228" s="45"/>
      <c r="CC228" s="45"/>
      <c r="CD228" s="45"/>
      <c r="CE228" s="45"/>
      <c r="CF228" s="45"/>
      <c r="CG228" s="45"/>
      <c r="CH228" s="45"/>
      <c r="CI228" s="45"/>
      <c r="CJ228" s="45"/>
      <c r="CK228" s="45"/>
      <c r="CL228" s="45"/>
      <c r="CM228" s="45"/>
      <c r="CN228" s="45"/>
      <c r="CO228" s="45"/>
      <c r="CP228" s="45"/>
    </row>
    <row r="229" spans="1:94">
      <c r="A229" s="45"/>
      <c r="B229" s="45"/>
      <c r="C229" s="391" t="s">
        <v>228</v>
      </c>
      <c r="D229" s="45"/>
      <c r="E229" s="290"/>
      <c r="F229" s="260"/>
      <c r="G229" s="260"/>
      <c r="H229" s="291"/>
      <c r="I229" s="45">
        <f>+I24</f>
        <v>405</v>
      </c>
      <c r="J229" s="290">
        <f>SUM(J24,F24:H24)</f>
        <v>91</v>
      </c>
      <c r="K229" s="260">
        <f>SUM(J24:K24,G24:H24)</f>
        <v>189</v>
      </c>
      <c r="L229" s="260">
        <f>SUM(J24:L24,H24)</f>
        <v>318</v>
      </c>
      <c r="M229" s="291">
        <f>SUM(J24:M24)</f>
        <v>400</v>
      </c>
      <c r="N229" s="45">
        <f>+N24</f>
        <v>400</v>
      </c>
      <c r="O229" s="290">
        <f>SUM(O24,K24:M24)</f>
        <v>400</v>
      </c>
      <c r="P229" s="260">
        <f>SUM(O24:P24,L24:M24)</f>
        <v>409</v>
      </c>
      <c r="Q229" s="260">
        <f>SUM(O24:Q24,M24)</f>
        <v>440</v>
      </c>
      <c r="R229" s="291">
        <f>SUM(O24:R24)</f>
        <v>465</v>
      </c>
      <c r="S229" s="45">
        <f>+S24</f>
        <v>465</v>
      </c>
      <c r="T229" s="290">
        <f>SUM(T24,P24:R24)</f>
        <v>472</v>
      </c>
      <c r="U229" s="260">
        <f>SUM(T24:U24,Q24:R24)</f>
        <v>499</v>
      </c>
      <c r="V229" s="260">
        <f>SUM(T24:V24,R24)</f>
        <v>524</v>
      </c>
      <c r="W229" s="291">
        <f>SUM(T24:W24)</f>
        <v>535</v>
      </c>
      <c r="X229" s="45">
        <f>+X24</f>
        <v>535</v>
      </c>
      <c r="Y229" s="290">
        <f>SUM(Y24,U24:W24)</f>
        <v>568</v>
      </c>
      <c r="Z229" s="260">
        <f>SUM(Y24:Z24,V24:W24)</f>
        <v>594</v>
      </c>
      <c r="AA229" s="260">
        <f>SUM(Y24:AA24,W24)</f>
        <v>602</v>
      </c>
      <c r="AB229" s="291">
        <f>SUM(Y24:AB24)</f>
        <v>607</v>
      </c>
      <c r="AC229" s="45">
        <f>+AC24</f>
        <v>607</v>
      </c>
      <c r="AD229" s="290">
        <f>SUM(AD24,Z24:AB24)</f>
        <v>609</v>
      </c>
      <c r="AE229" s="260">
        <f>SUM(AD24:AE24,AA24:AB24)</f>
        <v>608</v>
      </c>
      <c r="AF229" s="260">
        <f>SUM(AD24:AF24,AB24)</f>
        <v>612</v>
      </c>
      <c r="AG229" s="291">
        <f>SUM(AD24:AG24)</f>
        <v>685</v>
      </c>
      <c r="AH229" s="45">
        <f>+AH24</f>
        <v>685</v>
      </c>
      <c r="AI229" s="290">
        <f>SUM(AI24,AE24:AG24)</f>
        <v>531</v>
      </c>
      <c r="AJ229" s="260">
        <f>SUM(AI24:AJ24,AF24:AG24)</f>
        <v>545</v>
      </c>
      <c r="AK229" s="260">
        <f>SUM(AI24:AK24,AG24)</f>
        <v>568</v>
      </c>
      <c r="AL229" s="291">
        <f>SUM(AI24:AL24)</f>
        <v>505</v>
      </c>
      <c r="AM229" s="45">
        <f>+AM24</f>
        <v>505</v>
      </c>
      <c r="AN229" s="290">
        <f>SUM(AN24,AJ24:AL24)</f>
        <v>695</v>
      </c>
      <c r="AO229" s="260">
        <f>SUM(AN24:AO24,AK24:AL24)</f>
        <v>691</v>
      </c>
      <c r="AP229" s="260">
        <f>SUM(AN24:AP24,AL24)</f>
        <v>709</v>
      </c>
      <c r="AQ229" s="291">
        <f>SUM(AN24:AQ24)</f>
        <v>752</v>
      </c>
      <c r="AR229" s="45">
        <f>+AR24</f>
        <v>752</v>
      </c>
      <c r="AS229" s="290">
        <f>SUM(AS24,AO24:AQ24)</f>
        <v>741.24551517726638</v>
      </c>
      <c r="AT229" s="260">
        <f>SUM(AS24:AT24,AP24:AQ24)</f>
        <v>730.49103035453277</v>
      </c>
      <c r="AU229" s="260">
        <f>SUM(AS24:AU24,AQ24)</f>
        <v>719.20154553179918</v>
      </c>
      <c r="AV229" s="291">
        <f>SUM(AS24:AV24)</f>
        <v>707.30206070906559</v>
      </c>
      <c r="AW229" s="45">
        <f>+AW24</f>
        <v>707.3020607090657</v>
      </c>
      <c r="AX229" s="290">
        <f>SUM(AX24,AT24:AV24)</f>
        <v>712.93825994312022</v>
      </c>
      <c r="AY229" s="260">
        <f>SUM(AX24:AY24,AU24:AV24)</f>
        <v>718.74945917717503</v>
      </c>
      <c r="AZ229" s="260">
        <f>SUM(AX24:AZ24,AV24)</f>
        <v>735.4761084112298</v>
      </c>
      <c r="BA229" s="291">
        <f>SUM(AX24:BA24)</f>
        <v>752.97945764528458</v>
      </c>
      <c r="BB229" s="45">
        <f>+BB24</f>
        <v>752.97945764528436</v>
      </c>
      <c r="BC229" s="290">
        <f>SUM(BC24,AY24:BA24)</f>
        <v>766.11423315614059</v>
      </c>
      <c r="BD229" s="260">
        <f>SUM(BC24:BD24,AZ24:BA24)</f>
        <v>779.76088366699662</v>
      </c>
      <c r="BE229" s="260">
        <f>SUM(BC24:BE24,BA24)</f>
        <v>793.03248517785244</v>
      </c>
      <c r="BF229" s="291">
        <f>SUM(BC24:BF24)</f>
        <v>807.81471268870837</v>
      </c>
      <c r="BG229" s="45">
        <f>+BG24</f>
        <v>807.81471268870837</v>
      </c>
      <c r="BH229" s="290">
        <f>SUM(BH24,BD24:BF24)</f>
        <v>824.89115214525532</v>
      </c>
      <c r="BI229" s="260">
        <f>SUM(BH24:BI24,BE24:BF24)</f>
        <v>842.31481347680233</v>
      </c>
      <c r="BJ229" s="260">
        <f>SUM(BH24:BJ24,BF24)</f>
        <v>857.25183996334908</v>
      </c>
      <c r="BK229" s="291">
        <f>SUM(BH24:BK24)</f>
        <v>873.35907685489587</v>
      </c>
      <c r="BL229" s="45">
        <f>+BL24</f>
        <v>873.35907685489565</v>
      </c>
      <c r="BM229" s="45"/>
      <c r="BN229" s="45"/>
      <c r="BO229" s="45"/>
      <c r="BP229" s="45"/>
      <c r="BQ229" s="45"/>
      <c r="BR229" s="45"/>
      <c r="BS229" s="45"/>
      <c r="BT229" s="45"/>
      <c r="BU229" s="45"/>
      <c r="BV229" s="45"/>
      <c r="BW229" s="45"/>
      <c r="BX229" s="45"/>
      <c r="BY229" s="45"/>
      <c r="BZ229" s="45"/>
      <c r="CA229" s="45"/>
      <c r="CB229" s="45"/>
      <c r="CC229" s="45"/>
      <c r="CD229" s="45"/>
      <c r="CE229" s="45"/>
      <c r="CF229" s="45"/>
      <c r="CG229" s="45"/>
      <c r="CH229" s="45"/>
      <c r="CI229" s="45"/>
      <c r="CJ229" s="45"/>
      <c r="CK229" s="45"/>
      <c r="CL229" s="45"/>
      <c r="CM229" s="45"/>
      <c r="CN229" s="45"/>
      <c r="CO229" s="45"/>
      <c r="CP229" s="45"/>
    </row>
    <row r="230" spans="1:94">
      <c r="A230" s="45"/>
      <c r="B230" s="45"/>
      <c r="C230" s="391" t="s">
        <v>226</v>
      </c>
      <c r="D230" s="45"/>
      <c r="E230" s="290"/>
      <c r="F230" s="260"/>
      <c r="G230" s="260"/>
      <c r="H230" s="291"/>
      <c r="I230" s="45">
        <f>+I26</f>
        <v>98</v>
      </c>
      <c r="J230" s="290">
        <f>SUM(J26,F26:H26)</f>
        <v>24</v>
      </c>
      <c r="K230" s="260">
        <f>SUM(J26:K26,G26:H26)</f>
        <v>46</v>
      </c>
      <c r="L230" s="260">
        <f>SUM(J26:L26,H26)</f>
        <v>70</v>
      </c>
      <c r="M230" s="291">
        <f>SUM(J26:M26)</f>
        <v>94</v>
      </c>
      <c r="N230" s="45">
        <f>+N26</f>
        <v>94</v>
      </c>
      <c r="O230" s="290">
        <f>SUM(O26,K26:M26)</f>
        <v>95</v>
      </c>
      <c r="P230" s="260">
        <f>SUM(O26:P26,L26:M26)</f>
        <v>97</v>
      </c>
      <c r="Q230" s="260">
        <f>SUM(O26:Q26,M26)</f>
        <v>100</v>
      </c>
      <c r="R230" s="291">
        <f>SUM(O26:R26)</f>
        <v>101</v>
      </c>
      <c r="S230" s="45">
        <f>+S26</f>
        <v>101</v>
      </c>
      <c r="T230" s="290">
        <f>SUM(T26,P26:R26)</f>
        <v>102</v>
      </c>
      <c r="U230" s="260">
        <f>SUM(T26:U26,Q26:R26)</f>
        <v>106</v>
      </c>
      <c r="V230" s="260">
        <f>SUM(T26:V26,R26)</f>
        <v>107</v>
      </c>
      <c r="W230" s="291">
        <f>SUM(T26:W26)</f>
        <v>110</v>
      </c>
      <c r="X230" s="45">
        <f>+X26</f>
        <v>110</v>
      </c>
      <c r="Y230" s="290">
        <f>SUM(Y26,U26:W26)</f>
        <v>111</v>
      </c>
      <c r="Z230" s="260">
        <f>SUM(Y26:Z26,V26:W26)</f>
        <v>113</v>
      </c>
      <c r="AA230" s="260">
        <f>SUM(Y26:AA26,W26)</f>
        <v>114</v>
      </c>
      <c r="AB230" s="291">
        <f>SUM(Y26:AB26)</f>
        <v>115</v>
      </c>
      <c r="AC230" s="45">
        <f>+AC26</f>
        <v>115</v>
      </c>
      <c r="AD230" s="290">
        <f>SUM(AD26,Z26:AB26)</f>
        <v>118</v>
      </c>
      <c r="AE230" s="260">
        <f>SUM(AD26:AE26,AA26:AB26)</f>
        <v>119</v>
      </c>
      <c r="AF230" s="260">
        <f>SUM(AD26:AF26,AB26)</f>
        <v>121</v>
      </c>
      <c r="AG230" s="291">
        <f>SUM(AD26:AG26)</f>
        <v>123</v>
      </c>
      <c r="AH230" s="45">
        <f>+AH26</f>
        <v>123</v>
      </c>
      <c r="AI230" s="290">
        <f>SUM(AI26,AE26:AG26)</f>
        <v>130</v>
      </c>
      <c r="AJ230" s="260">
        <f>SUM(AI26:AJ26,AF26:AG26)</f>
        <v>130</v>
      </c>
      <c r="AK230" s="260">
        <f>SUM(AI26:AK26,AG26)</f>
        <v>129</v>
      </c>
      <c r="AL230" s="291">
        <f>SUM(AI26:AL26)</f>
        <v>127</v>
      </c>
      <c r="AM230" s="45">
        <f>+AM26</f>
        <v>127</v>
      </c>
      <c r="AN230" s="290">
        <f>SUM(AN26,AJ26:AL26)</f>
        <v>119</v>
      </c>
      <c r="AO230" s="260">
        <f>SUM(AN26:AO26,AK26:AL26)</f>
        <v>116</v>
      </c>
      <c r="AP230" s="260">
        <f>SUM(AN26:AP26,AL26)</f>
        <v>117</v>
      </c>
      <c r="AQ230" s="291">
        <f>SUM(AN26:AQ26)</f>
        <v>121</v>
      </c>
      <c r="AR230" s="45">
        <f>+AR26</f>
        <v>121</v>
      </c>
      <c r="AS230" s="290">
        <f>SUM(AS26,AO26:AQ26)</f>
        <v>122.3775</v>
      </c>
      <c r="AT230" s="260">
        <f ca="1">SUM(AS26:AT26,AP26:AQ26)</f>
        <v>123.80719848937241</v>
      </c>
      <c r="AU230" s="260">
        <f ca="1">SUM(AS26:AU26,AQ26)</f>
        <v>127.93408971433826</v>
      </c>
      <c r="AV230" s="291">
        <f ca="1">SUM(AS26:AV26)</f>
        <v>130.69348249083242</v>
      </c>
      <c r="AW230" s="45">
        <f ca="1">+AW26</f>
        <v>130.69348249083242</v>
      </c>
      <c r="AX230" s="290">
        <f ca="1">SUM(AX26,AT26:AV26)</f>
        <v>133.29493951526405</v>
      </c>
      <c r="AY230" s="260">
        <f ca="1">SUM(AX26:AY26,AU26:AV26)</f>
        <v>135.83997960587595</v>
      </c>
      <c r="AZ230" s="260">
        <f ca="1">SUM(AX26:AZ26,AV26)</f>
        <v>138.63184716340376</v>
      </c>
      <c r="BA230" s="291">
        <f ca="1">SUM(AX26:BA26)</f>
        <v>140.57314330834566</v>
      </c>
      <c r="BB230" s="45">
        <f ca="1">+BB26</f>
        <v>140.57314330834566</v>
      </c>
      <c r="BC230" s="290">
        <f ca="1">SUM(BC26,AY26:BA26)</f>
        <v>142.35937961033761</v>
      </c>
      <c r="BD230" s="260">
        <f ca="1">SUM(BC26:BD26,AZ26:BA26)</f>
        <v>144.19371952616871</v>
      </c>
      <c r="BE230" s="260">
        <f ca="1">SUM(BC26:BE26,BA26)</f>
        <v>147.69088183177743</v>
      </c>
      <c r="BF230" s="291">
        <f ca="1">SUM(BC26:BF26)</f>
        <v>150.23092315489498</v>
      </c>
      <c r="BG230" s="45">
        <f ca="1">+BG26</f>
        <v>150.23092315489498</v>
      </c>
      <c r="BH230" s="290">
        <f ca="1">SUM(BH26,BD26:BF26)</f>
        <v>152.58367073567513</v>
      </c>
      <c r="BI230" s="260">
        <f ca="1">SUM(BH26:BI26,BE26:BF26)</f>
        <v>154.95324919633075</v>
      </c>
      <c r="BJ230" s="260">
        <f ca="1">SUM(BH26:BJ26,BF26)</f>
        <v>158.85190161725126</v>
      </c>
      <c r="BK230" s="291">
        <f ca="1">SUM(BH26:BK26)</f>
        <v>161.69130094049908</v>
      </c>
      <c r="BL230" s="45">
        <f ca="1">+BL26</f>
        <v>161.69130094049908</v>
      </c>
      <c r="BM230" s="45"/>
      <c r="BN230" s="45"/>
      <c r="BO230" s="45"/>
      <c r="BP230" s="45"/>
      <c r="BQ230" s="45"/>
      <c r="BR230" s="45"/>
      <c r="BS230" s="45"/>
      <c r="BT230" s="45"/>
      <c r="BU230" s="45"/>
      <c r="BV230" s="45"/>
      <c r="BW230" s="45"/>
      <c r="BX230" s="45"/>
      <c r="BY230" s="45"/>
      <c r="BZ230" s="45"/>
      <c r="CA230" s="45"/>
      <c r="CB230" s="45"/>
      <c r="CC230" s="45"/>
      <c r="CD230" s="45"/>
      <c r="CE230" s="45"/>
      <c r="CF230" s="45"/>
      <c r="CG230" s="45"/>
      <c r="CH230" s="45"/>
      <c r="CI230" s="45"/>
      <c r="CJ230" s="45"/>
      <c r="CK230" s="45"/>
      <c r="CL230" s="45"/>
      <c r="CM230" s="45"/>
      <c r="CN230" s="45"/>
      <c r="CO230" s="45"/>
      <c r="CP230" s="45"/>
    </row>
    <row r="231" spans="1:94">
      <c r="A231" s="45"/>
      <c r="B231" s="45"/>
      <c r="C231" s="391" t="s">
        <v>231</v>
      </c>
      <c r="D231" s="45"/>
      <c r="E231" s="290"/>
      <c r="F231" s="260"/>
      <c r="G231" s="260"/>
      <c r="H231" s="291"/>
      <c r="I231" s="45">
        <f>I34</f>
        <v>108</v>
      </c>
      <c r="J231" s="290">
        <f>SUM(J34,F34:H34)</f>
        <v>18</v>
      </c>
      <c r="K231" s="260">
        <f>SUM(J34:K34,G34:H34)</f>
        <v>50</v>
      </c>
      <c r="L231" s="260">
        <f>SUM(J34:L34,H34)</f>
        <v>88</v>
      </c>
      <c r="M231" s="291">
        <f>SUM(J34:M34)</f>
        <v>99</v>
      </c>
      <c r="N231" s="45">
        <f>N34</f>
        <v>99</v>
      </c>
      <c r="O231" s="290">
        <f>SUM(O34,K34:M34)</f>
        <v>105</v>
      </c>
      <c r="P231" s="260">
        <f>SUM(O34:P34,L34:M34)</f>
        <v>100</v>
      </c>
      <c r="Q231" s="260">
        <f>SUM(O34:Q34,M34)</f>
        <v>112</v>
      </c>
      <c r="R231" s="291">
        <f>SUM(O34:R34)</f>
        <v>126</v>
      </c>
      <c r="S231" s="45">
        <f>S34</f>
        <v>126</v>
      </c>
      <c r="T231" s="290">
        <f>SUM(T34,P34:R34)</f>
        <v>125</v>
      </c>
      <c r="U231" s="260">
        <f>SUM(T34:U34,Q34:R34)</f>
        <v>135</v>
      </c>
      <c r="V231" s="260">
        <f>SUM(T34:V34,R34)</f>
        <v>151</v>
      </c>
      <c r="W231" s="291">
        <f>SUM(T34:W34)</f>
        <v>150</v>
      </c>
      <c r="X231" s="45">
        <f>X34</f>
        <v>150</v>
      </c>
      <c r="Y231" s="290">
        <f>SUM(Y34,U34:W34)</f>
        <v>159</v>
      </c>
      <c r="Z231" s="260">
        <f>SUM(Y34:Z34,V34:W34)</f>
        <v>168</v>
      </c>
      <c r="AA231" s="260">
        <f>SUM(Y34:AA34,W34)</f>
        <v>169</v>
      </c>
      <c r="AB231" s="291">
        <f>SUM(Y34:AB34)</f>
        <v>171</v>
      </c>
      <c r="AC231" s="45">
        <f>AC34</f>
        <v>171</v>
      </c>
      <c r="AD231" s="290">
        <f>SUM(AD34,Z34:AB34)</f>
        <v>165</v>
      </c>
      <c r="AE231" s="260">
        <f>SUM(AD34:AE34,AA34:AB34)</f>
        <v>161</v>
      </c>
      <c r="AF231" s="260">
        <f>SUM(AD34:AF34,AB34)</f>
        <v>154</v>
      </c>
      <c r="AG231" s="291">
        <f>SUM(AD34:AG34)</f>
        <v>187</v>
      </c>
      <c r="AH231" s="45">
        <f>AH34</f>
        <v>187</v>
      </c>
      <c r="AI231" s="290">
        <f>SUM(AI34,AE34:AG34)</f>
        <v>53</v>
      </c>
      <c r="AJ231" s="260">
        <f>SUM(AI34:AJ34,AF34:AG34)</f>
        <v>61</v>
      </c>
      <c r="AK231" s="260">
        <f>SUM(AI34:AK34,AG34)</f>
        <v>44</v>
      </c>
      <c r="AL231" s="291">
        <f>SUM(AI34:AL34)</f>
        <v>-247</v>
      </c>
      <c r="AM231" s="45">
        <f>AM34</f>
        <v>-247</v>
      </c>
      <c r="AN231" s="290">
        <f>SUM(AN34,AJ34:AL34)</f>
        <v>-140</v>
      </c>
      <c r="AO231" s="260">
        <f>SUM(AN34:AO34,AK34:AL34)</f>
        <v>-150</v>
      </c>
      <c r="AP231" s="260">
        <f>SUM(AN34:AP34,AL34)</f>
        <v>-113</v>
      </c>
      <c r="AQ231" s="291">
        <f>SUM(AN34:AQ34)</f>
        <v>181</v>
      </c>
      <c r="AR231" s="45">
        <f>AR34</f>
        <v>181</v>
      </c>
      <c r="AS231" s="290">
        <f>SUM(AS34,AO34:AQ34)</f>
        <v>221.05258077985647</v>
      </c>
      <c r="AT231" s="260">
        <f ca="1">SUM(AS34:AT34,AP34:AQ34)</f>
        <v>220.53145090724996</v>
      </c>
      <c r="AU231" s="260">
        <f ca="1">SUM(AS34:AU34,AQ34)</f>
        <v>228.44406393627861</v>
      </c>
      <c r="AV231" s="291">
        <f ca="1">SUM(AS34:AV34)</f>
        <v>203.25895444134167</v>
      </c>
      <c r="AW231" s="45">
        <f ca="1">AW34</f>
        <v>203.25895444134193</v>
      </c>
      <c r="AX231" s="290">
        <f ca="1">SUM(AX34,AT34:AV34)</f>
        <v>202.01259193949693</v>
      </c>
      <c r="AY231" s="260">
        <f ca="1">SUM(AX34:AY34,AU34:AV34)</f>
        <v>200.16801303965556</v>
      </c>
      <c r="AZ231" s="260">
        <f ca="1">SUM(AX34:AZ34,AV34)</f>
        <v>206.81692622577603</v>
      </c>
      <c r="BA231" s="291">
        <f ca="1">SUM(AX34:BA34)</f>
        <v>214.81571966755843</v>
      </c>
      <c r="BB231" s="45">
        <f ca="1">BB34</f>
        <v>214.81571966755817</v>
      </c>
      <c r="BC231" s="290">
        <f ca="1">SUM(BC34,AY34:BA34)</f>
        <v>219.57445524706662</v>
      </c>
      <c r="BD231" s="260">
        <f ca="1">SUM(BC34:BD34,AZ34:BA34)</f>
        <v>225.4809426357171</v>
      </c>
      <c r="BE231" s="260">
        <f ca="1">SUM(BC34:BE34,BA34)</f>
        <v>229.47152744937551</v>
      </c>
      <c r="BF231" s="291">
        <f ca="1">SUM(BC34:BF34)</f>
        <v>235.11007504033401</v>
      </c>
      <c r="BG231" s="45">
        <f ca="1">BG34</f>
        <v>235.11007504033398</v>
      </c>
      <c r="BH231" s="290">
        <f ca="1">SUM(BH34,BD34:BF34)</f>
        <v>242.47935251990242</v>
      </c>
      <c r="BI231" s="260">
        <f ca="1">SUM(BH34:BI34,BE34:BF34)</f>
        <v>249.52919014501606</v>
      </c>
      <c r="BJ231" s="260">
        <f ca="1">SUM(BH34:BJ34,BF34)</f>
        <v>253.26498756042827</v>
      </c>
      <c r="BK231" s="291">
        <f ca="1">SUM(BH34:BK34)</f>
        <v>258.62247993071173</v>
      </c>
      <c r="BL231" s="45">
        <f ca="1">BL34</f>
        <v>258.62247993071151</v>
      </c>
      <c r="BM231" s="45"/>
      <c r="BN231" s="45"/>
      <c r="BO231" s="45"/>
      <c r="BP231" s="45"/>
      <c r="BQ231" s="45"/>
      <c r="BR231" s="45"/>
      <c r="BS231" s="45"/>
      <c r="BT231" s="45"/>
      <c r="BU231" s="45"/>
      <c r="BV231" s="45"/>
      <c r="BW231" s="45"/>
      <c r="BX231" s="45"/>
      <c r="BY231" s="45"/>
      <c r="BZ231" s="45"/>
      <c r="CA231" s="45"/>
      <c r="CB231" s="45"/>
      <c r="CC231" s="45"/>
      <c r="CD231" s="45"/>
      <c r="CE231" s="45"/>
      <c r="CF231" s="45"/>
      <c r="CG231" s="45"/>
      <c r="CH231" s="45"/>
      <c r="CI231" s="45"/>
      <c r="CJ231" s="45"/>
      <c r="CK231" s="45"/>
      <c r="CL231" s="45"/>
      <c r="CM231" s="45"/>
      <c r="CN231" s="45"/>
      <c r="CO231" s="45"/>
      <c r="CP231" s="45"/>
    </row>
    <row r="232" spans="1:94">
      <c r="A232" s="1716"/>
      <c r="B232" s="1716"/>
      <c r="C232" s="1716"/>
      <c r="D232" s="1716"/>
      <c r="E232" s="1717"/>
      <c r="F232" s="1718"/>
      <c r="G232" s="1718"/>
      <c r="H232" s="1719"/>
      <c r="I232" s="1716"/>
      <c r="J232" s="1717"/>
      <c r="K232" s="1718"/>
      <c r="L232" s="1718"/>
      <c r="M232" s="1719"/>
      <c r="N232" s="1716"/>
      <c r="O232" s="1717"/>
      <c r="P232" s="1718"/>
      <c r="Q232" s="1718"/>
      <c r="R232" s="1719"/>
      <c r="S232" s="1716"/>
      <c r="T232" s="1717"/>
      <c r="U232" s="1718"/>
      <c r="V232" s="1718"/>
      <c r="W232" s="1719"/>
      <c r="X232" s="1716"/>
      <c r="Y232" s="1717"/>
      <c r="Z232" s="1718"/>
      <c r="AA232" s="1718"/>
      <c r="AB232" s="1719"/>
      <c r="AC232" s="1716"/>
      <c r="AD232" s="1717"/>
      <c r="AE232" s="1718"/>
      <c r="AF232" s="1718"/>
      <c r="AG232" s="1719"/>
      <c r="AH232" s="1716"/>
      <c r="AI232" s="1717"/>
      <c r="AJ232" s="1718"/>
      <c r="AK232" s="1718"/>
      <c r="AL232" s="1719"/>
      <c r="AM232" s="1716"/>
      <c r="AN232" s="1717"/>
      <c r="AO232" s="1718"/>
      <c r="AP232" s="1718"/>
      <c r="AQ232" s="1719"/>
      <c r="AR232" s="1716"/>
      <c r="AS232" s="1717"/>
      <c r="AT232" s="1718"/>
      <c r="AU232" s="1718"/>
      <c r="AV232" s="1719"/>
      <c r="AW232" s="1716"/>
      <c r="AX232" s="1717"/>
      <c r="AY232" s="1718"/>
      <c r="AZ232" s="1718"/>
      <c r="BA232" s="1719"/>
      <c r="BB232" s="1716"/>
      <c r="BC232" s="1717"/>
      <c r="BD232" s="1718"/>
      <c r="BE232" s="1718"/>
      <c r="BF232" s="1719"/>
      <c r="BG232" s="1716"/>
      <c r="BH232" s="1717"/>
      <c r="BI232" s="1718"/>
      <c r="BJ232" s="1718"/>
      <c r="BK232" s="1719"/>
      <c r="BL232" s="1716"/>
      <c r="BM232" s="1716"/>
      <c r="BN232" s="1716"/>
      <c r="BO232" s="1716"/>
      <c r="BP232" s="1716"/>
      <c r="BQ232" s="1716"/>
      <c r="BR232" s="1716"/>
      <c r="BS232" s="1716"/>
      <c r="BT232" s="1716"/>
      <c r="BU232" s="1716"/>
      <c r="BV232" s="1716"/>
      <c r="BW232" s="1716"/>
      <c r="BX232" s="1716"/>
      <c r="BY232" s="1716"/>
      <c r="BZ232" s="1716"/>
      <c r="CA232" s="1716"/>
      <c r="CB232" s="1716"/>
      <c r="CC232" s="1716"/>
      <c r="CD232" s="1716"/>
      <c r="CE232" s="1716"/>
      <c r="CF232" s="1716"/>
      <c r="CG232" s="1716"/>
      <c r="CH232" s="1716"/>
      <c r="CI232" s="1716"/>
      <c r="CJ232" s="1716"/>
      <c r="CK232" s="1716"/>
      <c r="CL232" s="1716"/>
      <c r="CM232" s="1716"/>
      <c r="CN232" s="1716"/>
      <c r="CO232" s="1716"/>
      <c r="CP232" s="1716"/>
    </row>
    <row r="233" spans="1:94">
      <c r="A233" s="1716"/>
      <c r="B233" s="1716"/>
      <c r="C233" s="389" t="s">
        <v>374</v>
      </c>
      <c r="D233" s="1716"/>
      <c r="E233" s="1717"/>
      <c r="F233" s="1718"/>
      <c r="G233" s="1718"/>
      <c r="H233" s="1719"/>
      <c r="I233" s="1716"/>
      <c r="J233" s="1717"/>
      <c r="K233" s="1718"/>
      <c r="L233" s="1718"/>
      <c r="M233" s="1719"/>
      <c r="N233" s="1716"/>
      <c r="O233" s="1717"/>
      <c r="P233" s="1718"/>
      <c r="Q233" s="1718"/>
      <c r="R233" s="1719"/>
      <c r="S233" s="1716"/>
      <c r="T233" s="1717"/>
      <c r="U233" s="1718"/>
      <c r="V233" s="1718"/>
      <c r="W233" s="1719"/>
      <c r="X233" s="1716"/>
      <c r="Y233" s="1717"/>
      <c r="Z233" s="1718"/>
      <c r="AA233" s="1718"/>
      <c r="AB233" s="1719"/>
      <c r="AC233" s="1716"/>
      <c r="AD233" s="1717"/>
      <c r="AE233" s="1718"/>
      <c r="AF233" s="1718"/>
      <c r="AG233" s="1719"/>
      <c r="AH233" s="1716"/>
      <c r="AI233" s="1717"/>
      <c r="AJ233" s="1718"/>
      <c r="AK233" s="1718"/>
      <c r="AL233" s="1719"/>
      <c r="AM233" s="1716"/>
      <c r="AN233" s="1717"/>
      <c r="AO233" s="1718"/>
      <c r="AP233" s="1718"/>
      <c r="AQ233" s="1719"/>
      <c r="AR233" s="1716"/>
      <c r="AS233" s="1717"/>
      <c r="AT233" s="1718"/>
      <c r="AU233" s="1718"/>
      <c r="AV233" s="1719"/>
      <c r="AW233" s="1716"/>
      <c r="AX233" s="1717"/>
      <c r="AY233" s="1718"/>
      <c r="AZ233" s="1718"/>
      <c r="BA233" s="1719"/>
      <c r="BB233" s="1716"/>
      <c r="BC233" s="1717"/>
      <c r="BD233" s="1718"/>
      <c r="BE233" s="1718"/>
      <c r="BF233" s="1719"/>
      <c r="BG233" s="1716"/>
      <c r="BH233" s="1717"/>
      <c r="BI233" s="1718"/>
      <c r="BJ233" s="1718"/>
      <c r="BK233" s="1719"/>
      <c r="BL233" s="1716"/>
      <c r="BM233" s="1716"/>
      <c r="BN233" s="1716"/>
      <c r="BO233" s="1716"/>
      <c r="BP233" s="1716"/>
      <c r="BQ233" s="1716"/>
      <c r="BR233" s="1716"/>
      <c r="BS233" s="1716"/>
      <c r="BT233" s="1716"/>
      <c r="BU233" s="1716"/>
      <c r="BV233" s="1716"/>
      <c r="BW233" s="1716"/>
      <c r="BX233" s="1716"/>
      <c r="BY233" s="1716"/>
      <c r="BZ233" s="1716"/>
      <c r="CA233" s="1716"/>
      <c r="CB233" s="1716"/>
      <c r="CC233" s="1716"/>
      <c r="CD233" s="1716"/>
      <c r="CE233" s="1716"/>
      <c r="CF233" s="1716"/>
      <c r="CG233" s="1716"/>
      <c r="CH233" s="1716"/>
      <c r="CI233" s="1716"/>
      <c r="CJ233" s="1716"/>
      <c r="CK233" s="1716"/>
      <c r="CL233" s="1716"/>
      <c r="CM233" s="1716"/>
      <c r="CN233" s="1716"/>
      <c r="CO233" s="1716"/>
      <c r="CP233" s="1716"/>
    </row>
    <row r="234" spans="1:94">
      <c r="A234" s="895"/>
      <c r="B234" s="895"/>
      <c r="C234" s="895" t="s">
        <v>615</v>
      </c>
      <c r="D234" s="895"/>
      <c r="E234" s="905"/>
      <c r="F234" s="906"/>
      <c r="G234" s="906"/>
      <c r="H234" s="907"/>
      <c r="I234" s="908">
        <f t="shared" ref="I234:AW234" si="682">I212/I222</f>
        <v>0.51886792452830188</v>
      </c>
      <c r="J234" s="905">
        <f t="shared" si="682"/>
        <v>0.51574012056262564</v>
      </c>
      <c r="K234" s="906">
        <f t="shared" si="682"/>
        <v>0.51027170311464543</v>
      </c>
      <c r="L234" s="906">
        <f t="shared" si="682"/>
        <v>0.50392670157068065</v>
      </c>
      <c r="M234" s="907">
        <f t="shared" si="682"/>
        <v>0.49422336328626443</v>
      </c>
      <c r="N234" s="908">
        <f t="shared" si="682"/>
        <v>0.49422336328626443</v>
      </c>
      <c r="O234" s="905">
        <f t="shared" si="682"/>
        <v>0.47094801223241589</v>
      </c>
      <c r="P234" s="906">
        <f t="shared" si="682"/>
        <v>0.49853458382180538</v>
      </c>
      <c r="Q234" s="906">
        <f t="shared" si="682"/>
        <v>0.49261511728931362</v>
      </c>
      <c r="R234" s="907">
        <f t="shared" si="682"/>
        <v>0.47580419580419581</v>
      </c>
      <c r="S234" s="908">
        <f t="shared" si="682"/>
        <v>0.47580419580419581</v>
      </c>
      <c r="T234" s="905">
        <f t="shared" si="682"/>
        <v>0.5145042194092827</v>
      </c>
      <c r="U234" s="906">
        <f t="shared" si="682"/>
        <v>0.51140833988985046</v>
      </c>
      <c r="V234" s="906">
        <f t="shared" si="682"/>
        <v>0.50257731958762886</v>
      </c>
      <c r="W234" s="907">
        <f t="shared" si="682"/>
        <v>0.47809667673716011</v>
      </c>
      <c r="X234" s="908">
        <f t="shared" si="682"/>
        <v>0.47809667673716011</v>
      </c>
      <c r="Y234" s="905">
        <f t="shared" si="682"/>
        <v>0.5305792753288715</v>
      </c>
      <c r="Z234" s="906">
        <f t="shared" si="682"/>
        <v>0.51129264776549732</v>
      </c>
      <c r="AA234" s="906">
        <f t="shared" si="682"/>
        <v>0.50389610389610384</v>
      </c>
      <c r="AB234" s="907">
        <f t="shared" si="682"/>
        <v>0.49364455743009011</v>
      </c>
      <c r="AC234" s="908">
        <f t="shared" si="682"/>
        <v>0.49364455743009011</v>
      </c>
      <c r="AD234" s="905">
        <f t="shared" si="682"/>
        <v>0.51174017994294496</v>
      </c>
      <c r="AE234" s="906">
        <f t="shared" si="682"/>
        <v>0.510507880910683</v>
      </c>
      <c r="AF234" s="906">
        <f t="shared" si="682"/>
        <v>0.50519930675909874</v>
      </c>
      <c r="AG234" s="907">
        <f t="shared" si="682"/>
        <v>0.49967426710097718</v>
      </c>
      <c r="AH234" s="908">
        <f t="shared" si="682"/>
        <v>0.49967426710097718</v>
      </c>
      <c r="AI234" s="905">
        <f t="shared" ref="AI234" si="683">AI212/AI222</f>
        <v>0.52913385826771653</v>
      </c>
      <c r="AJ234" s="906">
        <f t="shared" si="682"/>
        <v>0.50756266205704403</v>
      </c>
      <c r="AK234" s="906">
        <f t="shared" si="682"/>
        <v>0.50299657534246578</v>
      </c>
      <c r="AL234" s="907">
        <f t="shared" si="682"/>
        <v>0.50278253424657537</v>
      </c>
      <c r="AM234" s="908">
        <f t="shared" si="682"/>
        <v>0.50278253424657537</v>
      </c>
      <c r="AN234" s="905">
        <f t="shared" si="682"/>
        <v>0.48503611971104232</v>
      </c>
      <c r="AO234" s="906">
        <f t="shared" ref="AO234:AR234" si="684">AO212/AO222</f>
        <v>0.50406020994256284</v>
      </c>
      <c r="AP234" s="906">
        <f t="shared" si="684"/>
        <v>0.50296325563018573</v>
      </c>
      <c r="AQ234" s="907">
        <f t="shared" si="684"/>
        <v>0.4981368895861934</v>
      </c>
      <c r="AR234" s="908">
        <f t="shared" si="684"/>
        <v>0.4981368895861934</v>
      </c>
      <c r="AS234" s="905">
        <f t="shared" ca="1" si="682"/>
        <v>0.48997774204591349</v>
      </c>
      <c r="AT234" s="906">
        <f t="shared" ca="1" si="682"/>
        <v>0.48166179881199273</v>
      </c>
      <c r="AU234" s="906">
        <f t="shared" ca="1" si="682"/>
        <v>0.51235407424369128</v>
      </c>
      <c r="AV234" s="907">
        <f t="shared" ca="1" si="682"/>
        <v>0.5104229882148531</v>
      </c>
      <c r="AW234" s="908">
        <f t="shared" ca="1" si="682"/>
        <v>0.5104229882148531</v>
      </c>
      <c r="AX234" s="905">
        <f t="shared" ref="AX234:BG234" ca="1" si="685">AX212/AX222</f>
        <v>0.50339348339525225</v>
      </c>
      <c r="AY234" s="906">
        <f t="shared" ca="1" si="685"/>
        <v>0.49595299411789029</v>
      </c>
      <c r="AZ234" s="906">
        <f t="shared" ca="1" si="685"/>
        <v>0.51270812344203986</v>
      </c>
      <c r="BA234" s="907">
        <f t="shared" ca="1" si="685"/>
        <v>0.50984478530849975</v>
      </c>
      <c r="BB234" s="908">
        <f t="shared" ca="1" si="685"/>
        <v>0.50984478530849975</v>
      </c>
      <c r="BC234" s="905">
        <f t="shared" ca="1" si="685"/>
        <v>0.50123101675605763</v>
      </c>
      <c r="BD234" s="906">
        <f t="shared" ca="1" si="685"/>
        <v>0.49221878305134653</v>
      </c>
      <c r="BE234" s="906">
        <f t="shared" ca="1" si="685"/>
        <v>0.51321695674692047</v>
      </c>
      <c r="BF234" s="907">
        <f t="shared" ca="1" si="685"/>
        <v>0.5095646205715455</v>
      </c>
      <c r="BG234" s="908">
        <f t="shared" ca="1" si="685"/>
        <v>0.5095646205715455</v>
      </c>
      <c r="BH234" s="905">
        <f t="shared" ref="BH234:BL234" ca="1" si="686">BH212/BH222</f>
        <v>0.50050413083634582</v>
      </c>
      <c r="BI234" s="906">
        <f t="shared" ca="1" si="686"/>
        <v>0.49126267455055267</v>
      </c>
      <c r="BJ234" s="906">
        <f t="shared" ca="1" si="686"/>
        <v>0.51345868672113115</v>
      </c>
      <c r="BK234" s="907">
        <f t="shared" ca="1" si="686"/>
        <v>0.50974524911087793</v>
      </c>
      <c r="BL234" s="908">
        <f t="shared" ca="1" si="686"/>
        <v>0.50974524911087793</v>
      </c>
      <c r="BM234" s="895"/>
      <c r="BN234" s="895"/>
      <c r="BO234" s="895"/>
      <c r="BP234" s="895"/>
      <c r="BQ234" s="895"/>
      <c r="BR234" s="895"/>
      <c r="BS234" s="895"/>
      <c r="BT234" s="895"/>
      <c r="BU234" s="895"/>
      <c r="BV234" s="895"/>
      <c r="BW234" s="895"/>
      <c r="BX234" s="895"/>
      <c r="BY234" s="895"/>
      <c r="BZ234" s="895"/>
      <c r="CA234" s="895"/>
      <c r="CB234" s="895"/>
      <c r="CC234" s="895"/>
      <c r="CD234" s="895"/>
      <c r="CE234" s="895"/>
      <c r="CF234" s="895"/>
      <c r="CG234" s="895"/>
      <c r="CH234" s="895"/>
      <c r="CI234" s="895"/>
      <c r="CJ234" s="895"/>
      <c r="CK234" s="895"/>
      <c r="CL234" s="895"/>
      <c r="CM234" s="895"/>
      <c r="CN234" s="895"/>
      <c r="CO234" s="895"/>
      <c r="CP234" s="895"/>
    </row>
    <row r="235" spans="1:94">
      <c r="A235" s="895"/>
      <c r="B235" s="895"/>
      <c r="C235" s="895" t="s">
        <v>1311</v>
      </c>
      <c r="D235" s="895"/>
      <c r="E235" s="905"/>
      <c r="F235" s="906"/>
      <c r="G235" s="906"/>
      <c r="H235" s="907"/>
      <c r="I235" s="908">
        <f t="shared" ref="I235:AW235" si="687">+I213/I222</f>
        <v>0.51886792452830188</v>
      </c>
      <c r="J235" s="905">
        <f t="shared" si="687"/>
        <v>0.51574012056262564</v>
      </c>
      <c r="K235" s="906">
        <f t="shared" si="687"/>
        <v>0.51027170311464543</v>
      </c>
      <c r="L235" s="906">
        <f t="shared" si="687"/>
        <v>0.50392670157068065</v>
      </c>
      <c r="M235" s="907">
        <f t="shared" si="687"/>
        <v>0.51797175866495504</v>
      </c>
      <c r="N235" s="908">
        <f t="shared" si="687"/>
        <v>0.51797175866495504</v>
      </c>
      <c r="O235" s="905">
        <f t="shared" si="687"/>
        <v>0.53333333333333333</v>
      </c>
      <c r="P235" s="906">
        <f t="shared" si="687"/>
        <v>0.5301875732708089</v>
      </c>
      <c r="Q235" s="906">
        <f t="shared" si="687"/>
        <v>0.53142195192586161</v>
      </c>
      <c r="R235" s="907">
        <f t="shared" si="687"/>
        <v>0.54041958041958038</v>
      </c>
      <c r="S235" s="908">
        <f t="shared" si="687"/>
        <v>0.54041958041958038</v>
      </c>
      <c r="T235" s="905">
        <f t="shared" si="687"/>
        <v>0.5145042194092827</v>
      </c>
      <c r="U235" s="906">
        <f t="shared" si="687"/>
        <v>0.51140833988985046</v>
      </c>
      <c r="V235" s="906">
        <f t="shared" si="687"/>
        <v>0.5108247422680412</v>
      </c>
      <c r="W235" s="907">
        <f t="shared" si="687"/>
        <v>0.51611278952668682</v>
      </c>
      <c r="X235" s="908">
        <f t="shared" si="687"/>
        <v>0.51611278952668682</v>
      </c>
      <c r="Y235" s="905">
        <f t="shared" si="687"/>
        <v>0.5305792753288715</v>
      </c>
      <c r="Z235" s="906">
        <f t="shared" si="687"/>
        <v>0.51129264776549732</v>
      </c>
      <c r="AA235" s="906">
        <f t="shared" si="687"/>
        <v>0.50389610389610384</v>
      </c>
      <c r="AB235" s="907">
        <f t="shared" si="687"/>
        <v>0.51767968569447653</v>
      </c>
      <c r="AC235" s="908">
        <f t="shared" si="687"/>
        <v>0.51767968569447653</v>
      </c>
      <c r="AD235" s="905">
        <f t="shared" si="687"/>
        <v>0.51174017994294496</v>
      </c>
      <c r="AE235" s="906">
        <f t="shared" si="687"/>
        <v>0.510507880910683</v>
      </c>
      <c r="AF235" s="906">
        <f t="shared" si="687"/>
        <v>0.51559792027729634</v>
      </c>
      <c r="AG235" s="907">
        <f t="shared" si="687"/>
        <v>0.51357220412595006</v>
      </c>
      <c r="AH235" s="908">
        <f t="shared" si="687"/>
        <v>0.51357220412595006</v>
      </c>
      <c r="AI235" s="905">
        <f t="shared" ref="AI235" si="688">+AI213/AI222</f>
        <v>0.52913385826771653</v>
      </c>
      <c r="AJ235" s="906">
        <f t="shared" si="687"/>
        <v>0.50756266205704403</v>
      </c>
      <c r="AK235" s="906">
        <f t="shared" si="687"/>
        <v>0.50299657534246578</v>
      </c>
      <c r="AL235" s="907">
        <f t="shared" si="687"/>
        <v>0.5077054794520548</v>
      </c>
      <c r="AM235" s="908">
        <f t="shared" si="687"/>
        <v>0.5077054794520548</v>
      </c>
      <c r="AN235" s="905">
        <f t="shared" si="687"/>
        <v>0.51950464396284834</v>
      </c>
      <c r="AO235" s="906">
        <f t="shared" ref="AO235:AR235" si="689">+AO213/AO222</f>
        <v>0.50406020994256284</v>
      </c>
      <c r="AP235" s="906">
        <f t="shared" si="689"/>
        <v>0.50296325563018573</v>
      </c>
      <c r="AQ235" s="907">
        <f t="shared" si="689"/>
        <v>0.50323592861345356</v>
      </c>
      <c r="AR235" s="908">
        <f t="shared" si="689"/>
        <v>0.50323592861345356</v>
      </c>
      <c r="AS235" s="905">
        <f t="shared" ca="1" si="687"/>
        <v>0.50697386706864844</v>
      </c>
      <c r="AT235" s="906">
        <f t="shared" ca="1" si="687"/>
        <v>0.51093664258398042</v>
      </c>
      <c r="AU235" s="906">
        <f t="shared" ca="1" si="687"/>
        <v>0.51235407424369128</v>
      </c>
      <c r="AV235" s="907">
        <f t="shared" ca="1" si="687"/>
        <v>0.5104229882148531</v>
      </c>
      <c r="AW235" s="908">
        <f t="shared" ca="1" si="687"/>
        <v>0.5104229882148531</v>
      </c>
      <c r="AX235" s="905">
        <f t="shared" ref="AX235:BG235" ca="1" si="690">+AX213/AX222</f>
        <v>0.51259126193985094</v>
      </c>
      <c r="AY235" s="906">
        <f t="shared" ca="1" si="690"/>
        <v>0.51531956975456916</v>
      </c>
      <c r="AZ235" s="906">
        <f t="shared" ca="1" si="690"/>
        <v>0.51270812344203986</v>
      </c>
      <c r="BA235" s="907">
        <f t="shared" ca="1" si="690"/>
        <v>0.50984478530849975</v>
      </c>
      <c r="BB235" s="908">
        <f t="shared" ca="1" si="690"/>
        <v>0.50984478530849975</v>
      </c>
      <c r="BC235" s="905">
        <f t="shared" ca="1" si="690"/>
        <v>0.5119556699168939</v>
      </c>
      <c r="BD235" s="906">
        <f t="shared" ca="1" si="690"/>
        <v>0.51450869532323873</v>
      </c>
      <c r="BE235" s="906">
        <f t="shared" ca="1" si="690"/>
        <v>0.51321695674692047</v>
      </c>
      <c r="BF235" s="907">
        <f t="shared" ca="1" si="690"/>
        <v>0.5095646205715455</v>
      </c>
      <c r="BG235" s="908">
        <f t="shared" ca="1" si="690"/>
        <v>0.5095646205715455</v>
      </c>
      <c r="BH235" s="905">
        <f t="shared" ref="BH235:BL235" ca="1" si="691">+BH213/BH222</f>
        <v>0.51157454713650952</v>
      </c>
      <c r="BI235" s="906">
        <f t="shared" ca="1" si="691"/>
        <v>0.51390457112036259</v>
      </c>
      <c r="BJ235" s="906">
        <f t="shared" ca="1" si="691"/>
        <v>0.51345868672113115</v>
      </c>
      <c r="BK235" s="907">
        <f t="shared" ca="1" si="691"/>
        <v>0.50974524911087793</v>
      </c>
      <c r="BL235" s="908">
        <f t="shared" ca="1" si="691"/>
        <v>0.50974524911087793</v>
      </c>
      <c r="BM235" s="895"/>
      <c r="BN235" s="895"/>
      <c r="BO235" s="895"/>
      <c r="BP235" s="895"/>
      <c r="BQ235" s="895"/>
      <c r="BR235" s="895"/>
      <c r="BS235" s="895"/>
      <c r="BT235" s="895"/>
      <c r="BU235" s="895"/>
      <c r="BV235" s="895"/>
      <c r="BW235" s="895"/>
      <c r="BX235" s="895"/>
      <c r="BY235" s="895"/>
      <c r="BZ235" s="895"/>
      <c r="CA235" s="895"/>
      <c r="CB235" s="895"/>
      <c r="CC235" s="895"/>
      <c r="CD235" s="895"/>
      <c r="CE235" s="895"/>
      <c r="CF235" s="895"/>
      <c r="CG235" s="895"/>
      <c r="CH235" s="895"/>
      <c r="CI235" s="895"/>
      <c r="CJ235" s="895"/>
      <c r="CK235" s="895"/>
      <c r="CL235" s="895"/>
      <c r="CM235" s="895"/>
      <c r="CN235" s="895"/>
      <c r="CO235" s="895"/>
      <c r="CP235" s="895"/>
    </row>
    <row r="236" spans="1:94">
      <c r="A236" s="895"/>
      <c r="B236" s="895"/>
      <c r="C236" s="895" t="s">
        <v>614</v>
      </c>
      <c r="D236" s="895"/>
      <c r="E236" s="1779"/>
      <c r="F236" s="1780"/>
      <c r="G236" s="1780"/>
      <c r="H236" s="1781"/>
      <c r="I236" s="1782">
        <f t="shared" ref="I236:AW236" si="692">(I213-I209)/I229</f>
        <v>3.585185185185185</v>
      </c>
      <c r="J236" s="1779">
        <f t="shared" si="692"/>
        <v>15.648351648351648</v>
      </c>
      <c r="K236" s="1780">
        <f t="shared" si="692"/>
        <v>7.8412698412698409</v>
      </c>
      <c r="L236" s="1780">
        <f t="shared" si="692"/>
        <v>4.6226415094339623</v>
      </c>
      <c r="M236" s="1781">
        <f t="shared" si="692"/>
        <v>4.0049999999999999</v>
      </c>
      <c r="N236" s="1782">
        <f t="shared" si="692"/>
        <v>4.0049999999999999</v>
      </c>
      <c r="O236" s="1779">
        <f t="shared" si="692"/>
        <v>4.3425000000000002</v>
      </c>
      <c r="P236" s="1780">
        <f t="shared" si="692"/>
        <v>4.4058679706601467</v>
      </c>
      <c r="Q236" s="1780">
        <f t="shared" si="692"/>
        <v>4.1590909090909092</v>
      </c>
      <c r="R236" s="1781">
        <f t="shared" si="692"/>
        <v>4.1354838709677422</v>
      </c>
      <c r="S236" s="1782">
        <f t="shared" si="692"/>
        <v>4.1354838709677422</v>
      </c>
      <c r="T236" s="1779">
        <f t="shared" si="692"/>
        <v>3.9279661016949152</v>
      </c>
      <c r="U236" s="1780">
        <f t="shared" si="692"/>
        <v>3.8957915831663326</v>
      </c>
      <c r="V236" s="1780">
        <f t="shared" si="692"/>
        <v>3.7671755725190841</v>
      </c>
      <c r="W236" s="1781">
        <f t="shared" si="692"/>
        <v>3.8149532710280374</v>
      </c>
      <c r="X236" s="1782">
        <f t="shared" si="692"/>
        <v>3.8149532710280374</v>
      </c>
      <c r="Y236" s="1779">
        <f t="shared" si="692"/>
        <v>3.862676056338028</v>
      </c>
      <c r="Z236" s="1780">
        <f t="shared" si="692"/>
        <v>3.5370370370370372</v>
      </c>
      <c r="AA236" s="1780">
        <f t="shared" si="692"/>
        <v>3.4252491694352161</v>
      </c>
      <c r="AB236" s="1781">
        <f t="shared" si="692"/>
        <v>3.6803953871499178</v>
      </c>
      <c r="AC236" s="1782">
        <f t="shared" si="692"/>
        <v>3.6803953871499178</v>
      </c>
      <c r="AD236" s="1779">
        <f t="shared" si="692"/>
        <v>3.6223316912972083</v>
      </c>
      <c r="AE236" s="1780">
        <f t="shared" si="692"/>
        <v>3.799342105263158</v>
      </c>
      <c r="AF236" s="1780">
        <f t="shared" si="692"/>
        <v>3.8725490196078431</v>
      </c>
      <c r="AG236" s="1781">
        <f t="shared" si="692"/>
        <v>3.4452554744525545</v>
      </c>
      <c r="AH236" s="1782">
        <f t="shared" si="692"/>
        <v>3.4452554744525545</v>
      </c>
      <c r="AI236" s="1779">
        <f t="shared" ref="AI236" si="693">(AI213-AI209)/AI229</f>
        <v>4.3841807909604515</v>
      </c>
      <c r="AJ236" s="1780">
        <f t="shared" si="692"/>
        <v>4.0770642201834866</v>
      </c>
      <c r="AK236" s="1780">
        <f t="shared" si="692"/>
        <v>3.9577464788732395</v>
      </c>
      <c r="AL236" s="1781">
        <f t="shared" si="692"/>
        <v>4.6792079207920789</v>
      </c>
      <c r="AM236" s="1782">
        <f t="shared" si="692"/>
        <v>4.6792079207920789</v>
      </c>
      <c r="AN236" s="1779">
        <f t="shared" si="692"/>
        <v>3.610071942446043</v>
      </c>
      <c r="AO236" s="1780">
        <f t="shared" ref="AO236:AR236" si="694">(AO213-AO209)/AO229</f>
        <v>3.5108538350217078</v>
      </c>
      <c r="AP236" s="1780">
        <f t="shared" si="694"/>
        <v>3.4259520451339913</v>
      </c>
      <c r="AQ236" s="1781">
        <f t="shared" si="694"/>
        <v>3.4055851063829787</v>
      </c>
      <c r="AR236" s="1782">
        <f t="shared" si="694"/>
        <v>3.4055851063829787</v>
      </c>
      <c r="AS236" s="1779">
        <f t="shared" ca="1" si="692"/>
        <v>3.5455275084027282</v>
      </c>
      <c r="AT236" s="1780">
        <f t="shared" ca="1" si="692"/>
        <v>3.6884480890689297</v>
      </c>
      <c r="AU236" s="1780">
        <f t="shared" ca="1" si="692"/>
        <v>3.7691202520890839</v>
      </c>
      <c r="AV236" s="1781">
        <f t="shared" ca="1" si="692"/>
        <v>3.9258977077929202</v>
      </c>
      <c r="AW236" s="1782">
        <f t="shared" ca="1" si="692"/>
        <v>3.9258977077929202</v>
      </c>
      <c r="AX236" s="1779">
        <f t="shared" ref="AX236:BG236" ca="1" si="695">(AX213-AX209)/AX229</f>
        <v>3.9777445291571389</v>
      </c>
      <c r="AY236" s="1780">
        <f t="shared" ca="1" si="695"/>
        <v>4.0260928615058287</v>
      </c>
      <c r="AZ236" s="1780">
        <f t="shared" ca="1" si="695"/>
        <v>3.9339333579194178</v>
      </c>
      <c r="BA236" s="1781">
        <f t="shared" ca="1" si="695"/>
        <v>3.9061716985292003</v>
      </c>
      <c r="BB236" s="1782">
        <f t="shared" ca="1" si="695"/>
        <v>3.9061716985292012</v>
      </c>
      <c r="BC236" s="1779">
        <f t="shared" ca="1" si="695"/>
        <v>3.9329905640279637</v>
      </c>
      <c r="BD236" s="1780">
        <f t="shared" ca="1" si="695"/>
        <v>3.954532118918737</v>
      </c>
      <c r="BE236" s="1780">
        <f t="shared" ca="1" si="695"/>
        <v>3.9056200523491373</v>
      </c>
      <c r="BF236" s="1781">
        <f t="shared" ca="1" si="695"/>
        <v>3.9084942161359089</v>
      </c>
      <c r="BG236" s="1782">
        <f t="shared" ca="1" si="695"/>
        <v>3.9084942161359089</v>
      </c>
      <c r="BH236" s="1779">
        <f t="shared" ref="BH236:BL236" ca="1" si="696">(BH213-BH209)/BH229</f>
        <v>3.9217357869042391</v>
      </c>
      <c r="BI236" s="1780">
        <f t="shared" ca="1" si="696"/>
        <v>3.9306827083514499</v>
      </c>
      <c r="BJ236" s="1780">
        <f t="shared" ca="1" si="696"/>
        <v>3.8881209770222762</v>
      </c>
      <c r="BK236" s="1781">
        <f t="shared" ca="1" si="696"/>
        <v>3.8928873588104658</v>
      </c>
      <c r="BL236" s="1782">
        <f t="shared" ca="1" si="696"/>
        <v>3.8928873588104667</v>
      </c>
      <c r="BM236" s="895"/>
      <c r="BN236" s="895"/>
      <c r="BO236" s="895"/>
      <c r="BP236" s="895"/>
      <c r="BQ236" s="895"/>
      <c r="BR236" s="895"/>
      <c r="BS236" s="895"/>
      <c r="BT236" s="895"/>
      <c r="BU236" s="895"/>
      <c r="BV236" s="895"/>
      <c r="BW236" s="895"/>
      <c r="BX236" s="895"/>
      <c r="BY236" s="895"/>
      <c r="BZ236" s="895"/>
      <c r="CA236" s="895"/>
      <c r="CB236" s="895"/>
      <c r="CC236" s="895"/>
      <c r="CD236" s="895"/>
      <c r="CE236" s="895"/>
      <c r="CF236" s="895"/>
      <c r="CG236" s="895"/>
      <c r="CH236" s="895"/>
      <c r="CI236" s="895"/>
      <c r="CJ236" s="895"/>
      <c r="CK236" s="895"/>
      <c r="CL236" s="895"/>
      <c r="CM236" s="895"/>
      <c r="CN236" s="895"/>
      <c r="CO236" s="895"/>
      <c r="CP236" s="895"/>
    </row>
    <row r="237" spans="1:94">
      <c r="A237" s="895"/>
      <c r="B237" s="895"/>
      <c r="C237" s="895" t="s">
        <v>393</v>
      </c>
      <c r="D237" s="895"/>
      <c r="E237" s="905"/>
      <c r="F237" s="906"/>
      <c r="G237" s="906"/>
      <c r="H237" s="907"/>
      <c r="I237" s="908">
        <f t="shared" ref="I237:AW237" si="697">I227/I213</f>
        <v>0.17532467532467533</v>
      </c>
      <c r="J237" s="905">
        <f t="shared" si="697"/>
        <v>3.896103896103896E-2</v>
      </c>
      <c r="K237" s="906">
        <f t="shared" si="697"/>
        <v>8.7012987012987014E-2</v>
      </c>
      <c r="L237" s="906">
        <f t="shared" si="697"/>
        <v>0.14025974025974025</v>
      </c>
      <c r="M237" s="907">
        <f t="shared" si="697"/>
        <v>0.16728624535315986</v>
      </c>
      <c r="N237" s="908">
        <f t="shared" si="697"/>
        <v>0.16728624535315986</v>
      </c>
      <c r="O237" s="905">
        <f t="shared" si="697"/>
        <v>0.16112385321100917</v>
      </c>
      <c r="P237" s="906">
        <f t="shared" si="697"/>
        <v>0.1558872305140962</v>
      </c>
      <c r="Q237" s="906">
        <f t="shared" si="697"/>
        <v>0.16239782016348775</v>
      </c>
      <c r="R237" s="907">
        <f t="shared" si="697"/>
        <v>0.16356107660455488</v>
      </c>
      <c r="S237" s="908">
        <f t="shared" si="697"/>
        <v>0.16356107660455488</v>
      </c>
      <c r="T237" s="905">
        <f t="shared" si="697"/>
        <v>0.16145566376217324</v>
      </c>
      <c r="U237" s="906">
        <f t="shared" si="697"/>
        <v>0.16717948717948719</v>
      </c>
      <c r="V237" s="906">
        <f t="shared" si="697"/>
        <v>0.17406659939455096</v>
      </c>
      <c r="W237" s="907">
        <f t="shared" si="697"/>
        <v>0.16878048780487806</v>
      </c>
      <c r="X237" s="908">
        <f t="shared" si="697"/>
        <v>0.16878048780487806</v>
      </c>
      <c r="Y237" s="905">
        <f t="shared" si="697"/>
        <v>0.15832970856894302</v>
      </c>
      <c r="Z237" s="906">
        <f t="shared" si="697"/>
        <v>0.17857142857142858</v>
      </c>
      <c r="AA237" s="906">
        <f t="shared" si="697"/>
        <v>0.18228678537956888</v>
      </c>
      <c r="AB237" s="907">
        <f t="shared" si="697"/>
        <v>0.17857142857142858</v>
      </c>
      <c r="AC237" s="908">
        <f t="shared" si="697"/>
        <v>0.17857142857142858</v>
      </c>
      <c r="AD237" s="905">
        <f t="shared" si="697"/>
        <v>0.17281303602058318</v>
      </c>
      <c r="AE237" s="906">
        <f t="shared" si="697"/>
        <v>0.17624356775300171</v>
      </c>
      <c r="AF237" s="906">
        <f t="shared" si="697"/>
        <v>0.17605042016806724</v>
      </c>
      <c r="AG237" s="907">
        <f t="shared" si="697"/>
        <v>0.19619450317124737</v>
      </c>
      <c r="AH237" s="908">
        <f t="shared" si="697"/>
        <v>0.19619450317124737</v>
      </c>
      <c r="AI237" s="905">
        <f t="shared" ref="AI237" si="698">AI227/AI213</f>
        <v>0.14455782312925169</v>
      </c>
      <c r="AJ237" s="906">
        <f t="shared" si="697"/>
        <v>0.14899957428693061</v>
      </c>
      <c r="AK237" s="906">
        <f t="shared" si="697"/>
        <v>0.14255319148936171</v>
      </c>
      <c r="AL237" s="907">
        <f t="shared" si="697"/>
        <v>2.0236087689713321E-2</v>
      </c>
      <c r="AM237" s="908">
        <f t="shared" si="697"/>
        <v>2.0236087689713321E-2</v>
      </c>
      <c r="AN237" s="905">
        <f t="shared" si="697"/>
        <v>6.4362336114421936E-2</v>
      </c>
      <c r="AO237" s="906">
        <f t="shared" ref="AO237:AR237" si="699">AO227/AO213</f>
        <v>6.2868369351669937E-2</v>
      </c>
      <c r="AP237" s="906">
        <f t="shared" si="699"/>
        <v>7.973291437549096E-2</v>
      </c>
      <c r="AQ237" s="907">
        <f t="shared" si="699"/>
        <v>0.19563522992985191</v>
      </c>
      <c r="AR237" s="908">
        <f t="shared" si="699"/>
        <v>0.19563522992985191</v>
      </c>
      <c r="AS237" s="905">
        <f t="shared" ca="1" si="697"/>
        <v>0.20548222362275567</v>
      </c>
      <c r="AT237" s="906">
        <f t="shared" ca="1" si="697"/>
        <v>0.20111978134553565</v>
      </c>
      <c r="AU237" s="906">
        <f t="shared" ca="1" si="697"/>
        <v>0.1973606470861303</v>
      </c>
      <c r="AV237" s="907">
        <f t="shared" ca="1" si="697"/>
        <v>0.18985510884086135</v>
      </c>
      <c r="AW237" s="908">
        <f t="shared" ca="1" si="697"/>
        <v>0.18985510884086143</v>
      </c>
      <c r="AX237" s="905">
        <f t="shared" ref="AX237:BG237" ca="1" si="700">AX227/AX213</f>
        <v>0.18767434446762787</v>
      </c>
      <c r="AY237" s="906">
        <f t="shared" ca="1" si="700"/>
        <v>0.18525780260877392</v>
      </c>
      <c r="AZ237" s="906">
        <f t="shared" ca="1" si="700"/>
        <v>0.18588747856970517</v>
      </c>
      <c r="BA237" s="907">
        <f t="shared" ca="1" si="700"/>
        <v>0.19047946334045593</v>
      </c>
      <c r="BB237" s="908">
        <f t="shared" ca="1" si="700"/>
        <v>0.19047946334045585</v>
      </c>
      <c r="BC237" s="905">
        <f t="shared" ca="1" si="700"/>
        <v>0.18988305975520503</v>
      </c>
      <c r="BD237" s="906">
        <f t="shared" ca="1" si="700"/>
        <v>0.18891138803975147</v>
      </c>
      <c r="BE237" s="906">
        <f t="shared" ca="1" si="700"/>
        <v>0.18685033003536872</v>
      </c>
      <c r="BF237" s="907">
        <f t="shared" ca="1" si="700"/>
        <v>0.19028976464633682</v>
      </c>
      <c r="BG237" s="908">
        <f t="shared" ca="1" si="700"/>
        <v>0.19028976464633682</v>
      </c>
      <c r="BH237" s="905">
        <f t="shared" ref="BH237:BL237" ca="1" si="701">BH227/BH213</f>
        <v>0.19018821062730507</v>
      </c>
      <c r="BI237" s="906">
        <f t="shared" ca="1" si="701"/>
        <v>0.18987983555533494</v>
      </c>
      <c r="BJ237" s="906">
        <f t="shared" ca="1" si="701"/>
        <v>0.18764791854699839</v>
      </c>
      <c r="BK237" s="907">
        <f t="shared" ca="1" si="701"/>
        <v>0.19119319316463509</v>
      </c>
      <c r="BL237" s="908">
        <f t="shared" ca="1" si="701"/>
        <v>0.19119319316463504</v>
      </c>
      <c r="BM237" s="895"/>
      <c r="BN237" s="895"/>
      <c r="BO237" s="895"/>
      <c r="BP237" s="895"/>
      <c r="BQ237" s="895"/>
      <c r="BR237" s="895"/>
      <c r="BS237" s="895"/>
      <c r="BT237" s="895"/>
      <c r="BU237" s="895"/>
      <c r="BV237" s="895"/>
      <c r="BW237" s="895"/>
      <c r="BX237" s="895"/>
      <c r="BY237" s="895"/>
      <c r="BZ237" s="895"/>
      <c r="CA237" s="895"/>
      <c r="CB237" s="895"/>
      <c r="CC237" s="895"/>
      <c r="CD237" s="895"/>
      <c r="CE237" s="895"/>
      <c r="CF237" s="895"/>
      <c r="CG237" s="895"/>
      <c r="CH237" s="895"/>
      <c r="CI237" s="895"/>
      <c r="CJ237" s="895"/>
      <c r="CK237" s="895"/>
      <c r="CL237" s="895"/>
      <c r="CM237" s="895"/>
      <c r="CN237" s="895"/>
      <c r="CO237" s="895"/>
      <c r="CP237" s="895"/>
    </row>
    <row r="238" spans="1:94">
      <c r="A238" s="1716"/>
      <c r="B238" s="1716"/>
      <c r="C238" s="1716"/>
      <c r="D238" s="1716"/>
      <c r="E238" s="1717"/>
      <c r="F238" s="1718"/>
      <c r="G238" s="1718"/>
      <c r="H238" s="1719"/>
      <c r="I238" s="1716"/>
      <c r="J238" s="1717"/>
      <c r="K238" s="1718"/>
      <c r="L238" s="1718"/>
      <c r="M238" s="1719"/>
      <c r="N238" s="1716"/>
      <c r="O238" s="1717"/>
      <c r="P238" s="1718"/>
      <c r="Q238" s="1718"/>
      <c r="R238" s="1719"/>
      <c r="S238" s="1716"/>
      <c r="T238" s="1717"/>
      <c r="U238" s="1718"/>
      <c r="V238" s="1718"/>
      <c r="W238" s="1719"/>
      <c r="X238" s="1716"/>
      <c r="Y238" s="1717"/>
      <c r="Z238" s="1718"/>
      <c r="AA238" s="1718"/>
      <c r="AB238" s="1719"/>
      <c r="AC238" s="1716"/>
      <c r="AD238" s="1717"/>
      <c r="AE238" s="1718"/>
      <c r="AF238" s="1718"/>
      <c r="AG238" s="1719"/>
      <c r="AH238" s="1716"/>
      <c r="AI238" s="1717"/>
      <c r="AJ238" s="1718"/>
      <c r="AK238" s="1718"/>
      <c r="AL238" s="1719"/>
      <c r="AM238" s="1716"/>
      <c r="AN238" s="1717"/>
      <c r="AO238" s="1718"/>
      <c r="AP238" s="1718"/>
      <c r="AQ238" s="1719"/>
      <c r="AR238" s="1716"/>
      <c r="AS238" s="1717"/>
      <c r="AT238" s="1718"/>
      <c r="AU238" s="1718"/>
      <c r="AV238" s="1719"/>
      <c r="AW238" s="1716"/>
      <c r="AX238" s="1717"/>
      <c r="AY238" s="1718"/>
      <c r="AZ238" s="1718"/>
      <c r="BA238" s="1719"/>
      <c r="BB238" s="1716"/>
      <c r="BC238" s="1717"/>
      <c r="BD238" s="1718"/>
      <c r="BE238" s="1718"/>
      <c r="BF238" s="1719"/>
      <c r="BG238" s="1716"/>
      <c r="BH238" s="1717"/>
      <c r="BI238" s="1718"/>
      <c r="BJ238" s="1718"/>
      <c r="BK238" s="1719"/>
      <c r="BL238" s="1716"/>
      <c r="BM238" s="1716"/>
      <c r="BN238" s="1716"/>
      <c r="BO238" s="1716"/>
      <c r="BP238" s="1716"/>
      <c r="BQ238" s="1716"/>
      <c r="BR238" s="1716"/>
      <c r="BS238" s="1716"/>
      <c r="BT238" s="1716"/>
      <c r="BU238" s="1716"/>
      <c r="BV238" s="1716"/>
      <c r="BW238" s="1716"/>
      <c r="BX238" s="1716"/>
      <c r="BY238" s="1716"/>
      <c r="BZ238" s="1716"/>
      <c r="CA238" s="1716"/>
      <c r="CB238" s="1716"/>
      <c r="CC238" s="1716"/>
      <c r="CD238" s="1716"/>
      <c r="CE238" s="1716"/>
      <c r="CF238" s="1716"/>
      <c r="CG238" s="1716"/>
      <c r="CH238" s="1716"/>
      <c r="CI238" s="1716"/>
      <c r="CJ238" s="1716"/>
      <c r="CK238" s="1716"/>
      <c r="CL238" s="1716"/>
      <c r="CM238" s="1716"/>
      <c r="CN238" s="1716"/>
      <c r="CO238" s="1716"/>
      <c r="CP238" s="1716"/>
    </row>
    <row r="239" spans="1:94">
      <c r="A239" s="1716"/>
      <c r="B239" s="1716"/>
      <c r="C239" s="389" t="s">
        <v>201</v>
      </c>
      <c r="D239" s="1716"/>
      <c r="E239" s="1717"/>
      <c r="F239" s="1718"/>
      <c r="G239" s="1718"/>
      <c r="H239" s="1719"/>
      <c r="I239" s="1716"/>
      <c r="J239" s="1717"/>
      <c r="K239" s="1718"/>
      <c r="L239" s="1718"/>
      <c r="M239" s="1719"/>
      <c r="N239" s="1716"/>
      <c r="O239" s="1717"/>
      <c r="P239" s="1718"/>
      <c r="Q239" s="1718"/>
      <c r="R239" s="1719"/>
      <c r="S239" s="1716"/>
      <c r="T239" s="1717"/>
      <c r="U239" s="1718"/>
      <c r="V239" s="1718"/>
      <c r="W239" s="1719"/>
      <c r="X239" s="1716"/>
      <c r="Y239" s="1717"/>
      <c r="Z239" s="1718"/>
      <c r="AA239" s="1718"/>
      <c r="AB239" s="1719"/>
      <c r="AC239" s="1716"/>
      <c r="AD239" s="1717"/>
      <c r="AE239" s="1718"/>
      <c r="AF239" s="1718"/>
      <c r="AG239" s="1719"/>
      <c r="AH239" s="1716"/>
      <c r="AI239" s="1717"/>
      <c r="AJ239" s="1718"/>
      <c r="AK239" s="1718"/>
      <c r="AL239" s="1719"/>
      <c r="AM239" s="1716"/>
      <c r="AN239" s="1717"/>
      <c r="AO239" s="1718"/>
      <c r="AP239" s="1718"/>
      <c r="AQ239" s="1719"/>
      <c r="AR239" s="1716"/>
      <c r="AS239" s="1717"/>
      <c r="AT239" s="1718"/>
      <c r="AU239" s="1718"/>
      <c r="AV239" s="1719"/>
      <c r="AW239" s="1716"/>
      <c r="AX239" s="1717"/>
      <c r="AY239" s="1718"/>
      <c r="AZ239" s="1718"/>
      <c r="BA239" s="1719"/>
      <c r="BB239" s="1716"/>
      <c r="BC239" s="1717"/>
      <c r="BD239" s="1718"/>
      <c r="BE239" s="1718"/>
      <c r="BF239" s="1719"/>
      <c r="BG239" s="1716"/>
      <c r="BH239" s="1717"/>
      <c r="BI239" s="1718"/>
      <c r="BJ239" s="1718"/>
      <c r="BK239" s="1719"/>
      <c r="BL239" s="1716"/>
      <c r="BM239" s="1716"/>
      <c r="BN239" s="1716"/>
      <c r="BO239" s="1716"/>
      <c r="BP239" s="1716"/>
      <c r="BQ239" s="1716"/>
      <c r="BR239" s="1716"/>
      <c r="BS239" s="1716"/>
      <c r="BT239" s="1716"/>
      <c r="BU239" s="1716"/>
      <c r="BV239" s="1716"/>
      <c r="BW239" s="1716"/>
      <c r="BX239" s="1716"/>
      <c r="BY239" s="1716"/>
      <c r="BZ239" s="1716"/>
      <c r="CA239" s="1716"/>
      <c r="CB239" s="1716"/>
      <c r="CC239" s="1716"/>
      <c r="CD239" s="1716"/>
      <c r="CE239" s="1716"/>
      <c r="CF239" s="1716"/>
      <c r="CG239" s="1716"/>
      <c r="CH239" s="1716"/>
      <c r="CI239" s="1716"/>
      <c r="CJ239" s="1716"/>
      <c r="CK239" s="1716"/>
      <c r="CL239" s="1716"/>
      <c r="CM239" s="1716"/>
      <c r="CN239" s="1716"/>
      <c r="CO239" s="1716"/>
      <c r="CP239" s="1716"/>
    </row>
    <row r="240" spans="1:94">
      <c r="A240" s="1716"/>
      <c r="B240" s="1716"/>
      <c r="C240" s="1716" t="s">
        <v>279</v>
      </c>
      <c r="D240" s="1716"/>
      <c r="E240" s="1779"/>
      <c r="F240" s="1780"/>
      <c r="G240" s="1780"/>
      <c r="H240" s="1781"/>
      <c r="I240" s="1782">
        <f t="shared" ref="I240:AW240" si="702">(I227+I230)/I230</f>
        <v>3.7551020408163267</v>
      </c>
      <c r="J240" s="1779">
        <f t="shared" si="702"/>
        <v>3.5</v>
      </c>
      <c r="K240" s="1780">
        <f t="shared" si="702"/>
        <v>3.9130434782608696</v>
      </c>
      <c r="L240" s="1780">
        <f t="shared" si="702"/>
        <v>4.0857142857142854</v>
      </c>
      <c r="M240" s="1781">
        <f t="shared" si="702"/>
        <v>3.8723404255319149</v>
      </c>
      <c r="N240" s="1782">
        <f t="shared" si="702"/>
        <v>3.8723404255319149</v>
      </c>
      <c r="O240" s="1779">
        <f t="shared" si="702"/>
        <v>3.9578947368421051</v>
      </c>
      <c r="P240" s="1780">
        <f t="shared" si="702"/>
        <v>3.9072164948453607</v>
      </c>
      <c r="Q240" s="1780">
        <f t="shared" si="702"/>
        <v>3.98</v>
      </c>
      <c r="R240" s="1781">
        <f t="shared" si="702"/>
        <v>4.1287128712871288</v>
      </c>
      <c r="S240" s="1782">
        <f t="shared" si="702"/>
        <v>4.1287128712871288</v>
      </c>
      <c r="T240" s="1779">
        <f t="shared" si="702"/>
        <v>4.0882352941176467</v>
      </c>
      <c r="U240" s="1780">
        <f t="shared" si="702"/>
        <v>4.0754716981132075</v>
      </c>
      <c r="V240" s="1780">
        <f t="shared" si="702"/>
        <v>4.2242990654205608</v>
      </c>
      <c r="W240" s="1781">
        <f t="shared" si="702"/>
        <v>4.1454545454545455</v>
      </c>
      <c r="X240" s="1782">
        <f t="shared" si="702"/>
        <v>4.1454545454545455</v>
      </c>
      <c r="Y240" s="1779">
        <f t="shared" si="702"/>
        <v>4.2792792792792795</v>
      </c>
      <c r="Z240" s="1780">
        <f t="shared" si="702"/>
        <v>4.3628318584070795</v>
      </c>
      <c r="AA240" s="1780">
        <f t="shared" si="702"/>
        <v>4.4122807017543861</v>
      </c>
      <c r="AB240" s="1781">
        <f t="shared" si="702"/>
        <v>4.4782608695652177</v>
      </c>
      <c r="AC240" s="1782">
        <f t="shared" si="702"/>
        <v>4.4782608695652177</v>
      </c>
      <c r="AD240" s="1779">
        <f t="shared" si="702"/>
        <v>4.4152542372881358</v>
      </c>
      <c r="AE240" s="1780">
        <f t="shared" si="702"/>
        <v>4.4537815126050422</v>
      </c>
      <c r="AF240" s="1780">
        <f t="shared" si="702"/>
        <v>4.4628099173553721</v>
      </c>
      <c r="AG240" s="1781">
        <f t="shared" si="702"/>
        <v>4.7723577235772359</v>
      </c>
      <c r="AH240" s="1782">
        <f t="shared" si="702"/>
        <v>4.7723577235772359</v>
      </c>
      <c r="AI240" s="1779">
        <f t="shared" ref="AI240" si="703">(AI227+AI230)/AI230</f>
        <v>3.6153846153846154</v>
      </c>
      <c r="AJ240" s="1780">
        <f t="shared" si="702"/>
        <v>3.6923076923076925</v>
      </c>
      <c r="AK240" s="1780">
        <f t="shared" si="702"/>
        <v>3.5968992248062017</v>
      </c>
      <c r="AL240" s="1781">
        <f t="shared" si="702"/>
        <v>1.3779527559055118</v>
      </c>
      <c r="AM240" s="1782">
        <f t="shared" si="702"/>
        <v>1.3779527559055118</v>
      </c>
      <c r="AN240" s="1779">
        <f t="shared" si="702"/>
        <v>2.3613445378151261</v>
      </c>
      <c r="AO240" s="1780">
        <f t="shared" ref="AO240:AR240" si="704">(AO227+AO230)/AO230</f>
        <v>2.3793103448275863</v>
      </c>
      <c r="AP240" s="1780">
        <f t="shared" si="704"/>
        <v>2.7350427350427351</v>
      </c>
      <c r="AQ240" s="1781">
        <f t="shared" si="704"/>
        <v>5.1487603305785123</v>
      </c>
      <c r="AR240" s="1782">
        <f t="shared" si="704"/>
        <v>5.1487603305785123</v>
      </c>
      <c r="AS240" s="1779">
        <f t="shared" si="702"/>
        <v>5.4128139543873015</v>
      </c>
      <c r="AT240" s="1780">
        <f t="shared" ca="1" si="702"/>
        <v>5.3769083712988666</v>
      </c>
      <c r="AU240" s="1780">
        <f t="shared" ca="1" si="702"/>
        <v>5.2963482474622294</v>
      </c>
      <c r="AV240" s="1781">
        <f t="shared" ca="1" si="702"/>
        <v>5.0456988982513957</v>
      </c>
      <c r="AW240" s="1782">
        <f t="shared" ca="1" si="702"/>
        <v>5.0456988982513975</v>
      </c>
      <c r="AX240" s="1779">
        <f t="shared" ref="AX240:BG240" ca="1" si="705">(AX227+AX230)/AX230</f>
        <v>4.992822963500549</v>
      </c>
      <c r="AY240" s="1780">
        <f t="shared" ca="1" si="705"/>
        <v>4.9464828450812837</v>
      </c>
      <c r="AZ240" s="1780">
        <f t="shared" ca="1" si="705"/>
        <v>4.9555706210440604</v>
      </c>
      <c r="BA240" s="1781">
        <f t="shared" ca="1" si="705"/>
        <v>4.9973098959720339</v>
      </c>
      <c r="BB240" s="1782">
        <f t="shared" ca="1" si="705"/>
        <v>4.9973098959720321</v>
      </c>
      <c r="BC240" s="1779">
        <f t="shared" ca="1" si="705"/>
        <v>5.0189867085978142</v>
      </c>
      <c r="BD240" s="1780">
        <f t="shared" ca="1" si="705"/>
        <v>5.0398788994431598</v>
      </c>
      <c r="BE240" s="1780">
        <f t="shared" ca="1" si="705"/>
        <v>5.0041828393680792</v>
      </c>
      <c r="BF240" s="1781">
        <f t="shared" ca="1" si="705"/>
        <v>5.0089423166540152</v>
      </c>
      <c r="BG240" s="1782">
        <f t="shared" ca="1" si="705"/>
        <v>5.0089423166540152</v>
      </c>
      <c r="BH240" s="1779">
        <f t="shared" ref="BH240:BL240" ca="1" si="706">(BH227+BH230)/BH230</f>
        <v>5.0322784096066115</v>
      </c>
      <c r="BI240" s="1780">
        <f t="shared" ca="1" si="706"/>
        <v>5.0571455317893363</v>
      </c>
      <c r="BJ240" s="1780">
        <f t="shared" ca="1" si="706"/>
        <v>5.0222443429858243</v>
      </c>
      <c r="BK240" s="1781">
        <f t="shared" ca="1" si="706"/>
        <v>5.0262699288018551</v>
      </c>
      <c r="BL240" s="1782">
        <f t="shared" ca="1" si="706"/>
        <v>5.0262699288018533</v>
      </c>
      <c r="BM240" s="1716"/>
      <c r="BN240" s="1716"/>
      <c r="BO240" s="1716"/>
      <c r="BP240" s="1716"/>
      <c r="BQ240" s="1716"/>
      <c r="BR240" s="1716"/>
      <c r="BS240" s="1716"/>
      <c r="BT240" s="1716"/>
      <c r="BU240" s="1716"/>
      <c r="BV240" s="1716"/>
      <c r="BW240" s="1716"/>
      <c r="BX240" s="1716"/>
      <c r="BY240" s="1716"/>
      <c r="BZ240" s="1716"/>
      <c r="CA240" s="1716"/>
      <c r="CB240" s="1716"/>
      <c r="CC240" s="1716"/>
      <c r="CD240" s="1716"/>
      <c r="CE240" s="1716"/>
      <c r="CF240" s="1716"/>
      <c r="CG240" s="1716"/>
      <c r="CH240" s="1716"/>
      <c r="CI240" s="1716"/>
      <c r="CJ240" s="1716"/>
      <c r="CK240" s="1716"/>
      <c r="CL240" s="1716"/>
      <c r="CM240" s="1716"/>
      <c r="CN240" s="1716"/>
      <c r="CO240" s="1716"/>
      <c r="CP240" s="1716"/>
    </row>
    <row r="241" spans="1:94">
      <c r="A241" s="1716"/>
      <c r="B241" s="1716"/>
      <c r="C241" s="1716" t="s">
        <v>280</v>
      </c>
      <c r="D241" s="1716"/>
      <c r="E241" s="1779"/>
      <c r="F241" s="1780"/>
      <c r="G241" s="1780"/>
      <c r="H241" s="1781"/>
      <c r="I241" s="1782">
        <f t="shared" ref="I241:AW241" si="707">I228/I230</f>
        <v>2.4795918367346941</v>
      </c>
      <c r="J241" s="1779">
        <f t="shared" si="707"/>
        <v>2.0416666666666665</v>
      </c>
      <c r="K241" s="1780">
        <f t="shared" si="707"/>
        <v>2.2826086956521738</v>
      </c>
      <c r="L241" s="1780">
        <f t="shared" si="707"/>
        <v>2.7142857142857144</v>
      </c>
      <c r="M241" s="1781">
        <f t="shared" si="707"/>
        <v>2.4361702127659575</v>
      </c>
      <c r="N241" s="1782">
        <f t="shared" si="707"/>
        <v>2.4361702127659575</v>
      </c>
      <c r="O241" s="1779">
        <f t="shared" si="707"/>
        <v>2.357894736842105</v>
      </c>
      <c r="P241" s="1780">
        <f t="shared" si="707"/>
        <v>2.3402061855670104</v>
      </c>
      <c r="Q241" s="1780">
        <f t="shared" si="707"/>
        <v>2.54</v>
      </c>
      <c r="R241" s="1781">
        <f t="shared" si="707"/>
        <v>2.722772277227723</v>
      </c>
      <c r="S241" s="1782">
        <f t="shared" si="707"/>
        <v>2.722772277227723</v>
      </c>
      <c r="T241" s="1779">
        <f t="shared" si="707"/>
        <v>2.7647058823529411</v>
      </c>
      <c r="U241" s="1780">
        <f t="shared" si="707"/>
        <v>2.9056603773584904</v>
      </c>
      <c r="V241" s="1780">
        <f t="shared" si="707"/>
        <v>3.0841121495327104</v>
      </c>
      <c r="W241" s="1781">
        <f t="shared" si="707"/>
        <v>3.081818181818182</v>
      </c>
      <c r="X241" s="1782">
        <f t="shared" si="707"/>
        <v>3.081818181818182</v>
      </c>
      <c r="Y241" s="1779">
        <f t="shared" si="707"/>
        <v>3.2702702702702702</v>
      </c>
      <c r="Z241" s="1780">
        <f t="shared" si="707"/>
        <v>3.3805309734513274</v>
      </c>
      <c r="AA241" s="1780">
        <f t="shared" si="707"/>
        <v>3.3508771929824563</v>
      </c>
      <c r="AB241" s="1781">
        <f t="shared" si="707"/>
        <v>3.2869565217391306</v>
      </c>
      <c r="AC241" s="1782">
        <f t="shared" si="707"/>
        <v>3.2869565217391306</v>
      </c>
      <c r="AD241" s="1779">
        <f t="shared" si="707"/>
        <v>3.1440677966101696</v>
      </c>
      <c r="AE241" s="1780">
        <f t="shared" si="707"/>
        <v>3.0084033613445378</v>
      </c>
      <c r="AF241" s="1780">
        <f t="shared" si="707"/>
        <v>2.8677685950413223</v>
      </c>
      <c r="AG241" s="1781">
        <f t="shared" si="707"/>
        <v>3.3170731707317072</v>
      </c>
      <c r="AH241" s="1782">
        <f t="shared" si="707"/>
        <v>3.3170731707317072</v>
      </c>
      <c r="AI241" s="1779">
        <f t="shared" ref="AI241" si="708">AI228/AI230</f>
        <v>1.8769230769230769</v>
      </c>
      <c r="AJ241" s="1780">
        <f t="shared" si="707"/>
        <v>1.9692307692307693</v>
      </c>
      <c r="AK241" s="1780">
        <f t="shared" si="707"/>
        <v>2.1472868217054262</v>
      </c>
      <c r="AL241" s="1781">
        <f t="shared" si="707"/>
        <v>1.6535433070866141</v>
      </c>
      <c r="AM241" s="1782">
        <f t="shared" si="707"/>
        <v>1.6535433070866141</v>
      </c>
      <c r="AN241" s="1779">
        <f t="shared" si="707"/>
        <v>3.3025210084033612</v>
      </c>
      <c r="AO241" s="1780">
        <f t="shared" ref="AO241:AR241" si="709">AO228/AO230</f>
        <v>3.2844827586206895</v>
      </c>
      <c r="AP241" s="1780">
        <f t="shared" si="709"/>
        <v>3.358974358974359</v>
      </c>
      <c r="AQ241" s="1781">
        <f t="shared" si="709"/>
        <v>3.5619834710743801</v>
      </c>
      <c r="AR241" s="1782">
        <f t="shared" si="709"/>
        <v>3.5619834710743801</v>
      </c>
      <c r="AS241" s="1779">
        <f t="shared" si="707"/>
        <v>3.4505440645060643</v>
      </c>
      <c r="AT241" s="1780">
        <f t="shared" ca="1" si="707"/>
        <v>3.3045713234655576</v>
      </c>
      <c r="AU241" s="1780">
        <f t="shared" ca="1" si="707"/>
        <v>3.11094727153555</v>
      </c>
      <c r="AV241" s="1781">
        <f t="shared" ca="1" si="707"/>
        <v>2.9214504790274525</v>
      </c>
      <c r="AW241" s="1782">
        <f t="shared" ca="1" si="707"/>
        <v>2.9214504790274543</v>
      </c>
      <c r="AX241" s="1779">
        <f t="shared" ref="AX241:BG241" ca="1" si="710">AX228/AX230</f>
        <v>2.8712849704532628</v>
      </c>
      <c r="AY241" s="1780">
        <f t="shared" ca="1" si="710"/>
        <v>2.8182227657629149</v>
      </c>
      <c r="AZ241" s="1780">
        <f t="shared" ca="1" si="710"/>
        <v>2.8415186042501541</v>
      </c>
      <c r="BA241" s="1781">
        <f t="shared" ca="1" si="710"/>
        <v>2.8873279127592895</v>
      </c>
      <c r="BB241" s="1782">
        <f t="shared" ca="1" si="710"/>
        <v>2.8873279127592872</v>
      </c>
      <c r="BC241" s="1779">
        <f t="shared" ca="1" si="710"/>
        <v>2.9049595118845213</v>
      </c>
      <c r="BD241" s="1780">
        <f t="shared" ca="1" si="710"/>
        <v>2.9315885792099547</v>
      </c>
      <c r="BE241" s="1780">
        <f t="shared" ca="1" si="710"/>
        <v>2.91908825188235</v>
      </c>
      <c r="BF241" s="1781">
        <f t="shared" ca="1" si="710"/>
        <v>2.9332022553642174</v>
      </c>
      <c r="BG241" s="1782">
        <f t="shared" ca="1" si="710"/>
        <v>2.9332022553642174</v>
      </c>
      <c r="BH241" s="1779">
        <f t="shared" ref="BH241:BL241" ca="1" si="711">BH228/BH230</f>
        <v>2.9630343884069643</v>
      </c>
      <c r="BI241" s="1780">
        <f t="shared" ca="1" si="711"/>
        <v>2.9891346158338781</v>
      </c>
      <c r="BJ241" s="1780">
        <f t="shared" ca="1" si="711"/>
        <v>2.9686497931104072</v>
      </c>
      <c r="BK241" s="1781">
        <f t="shared" ca="1" si="711"/>
        <v>2.974611072224703</v>
      </c>
      <c r="BL241" s="1782">
        <f t="shared" ca="1" si="711"/>
        <v>2.9746110722247012</v>
      </c>
      <c r="BM241" s="1716"/>
      <c r="BN241" s="1716"/>
      <c r="BO241" s="1716"/>
      <c r="BP241" s="1716"/>
      <c r="BQ241" s="1716"/>
      <c r="BR241" s="1716"/>
      <c r="BS241" s="1716"/>
      <c r="BT241" s="1716"/>
      <c r="BU241" s="1716"/>
      <c r="BV241" s="1716"/>
      <c r="BW241" s="1716"/>
      <c r="BX241" s="1716"/>
      <c r="BY241" s="1716"/>
      <c r="BZ241" s="1716"/>
      <c r="CA241" s="1716"/>
      <c r="CB241" s="1716"/>
      <c r="CC241" s="1716"/>
      <c r="CD241" s="1716"/>
      <c r="CE241" s="1716"/>
      <c r="CF241" s="1716"/>
      <c r="CG241" s="1716"/>
      <c r="CH241" s="1716"/>
      <c r="CI241" s="1716"/>
      <c r="CJ241" s="1716"/>
      <c r="CK241" s="1716"/>
      <c r="CL241" s="1716"/>
      <c r="CM241" s="1716"/>
      <c r="CN241" s="1716"/>
      <c r="CO241" s="1716"/>
      <c r="CP241" s="1716"/>
    </row>
    <row r="242" spans="1:94">
      <c r="A242" s="1716"/>
      <c r="B242" s="1716"/>
      <c r="C242" s="1716"/>
      <c r="D242" s="1716"/>
      <c r="E242" s="1717"/>
      <c r="F242" s="1718"/>
      <c r="G242" s="1718"/>
      <c r="H242" s="1719"/>
      <c r="I242" s="1716"/>
      <c r="J242" s="1717"/>
      <c r="K242" s="1718"/>
      <c r="L242" s="1718"/>
      <c r="M242" s="1719"/>
      <c r="N242" s="1716"/>
      <c r="O242" s="1717"/>
      <c r="P242" s="1718"/>
      <c r="Q242" s="1718"/>
      <c r="R242" s="1719"/>
      <c r="S242" s="1716"/>
      <c r="T242" s="1717"/>
      <c r="U242" s="1718"/>
      <c r="V242" s="1718"/>
      <c r="W242" s="1719"/>
      <c r="X242" s="1716"/>
      <c r="Y242" s="1717"/>
      <c r="Z242" s="1718"/>
      <c r="AA242" s="1718"/>
      <c r="AB242" s="1719"/>
      <c r="AC242" s="1716"/>
      <c r="AD242" s="1717"/>
      <c r="AE242" s="1718"/>
      <c r="AF242" s="1718"/>
      <c r="AG242" s="1719"/>
      <c r="AH242" s="1716"/>
      <c r="AI242" s="1717"/>
      <c r="AJ242" s="1718"/>
      <c r="AK242" s="1718"/>
      <c r="AL242" s="1719"/>
      <c r="AM242" s="1716"/>
      <c r="AN242" s="1717"/>
      <c r="AO242" s="1718"/>
      <c r="AP242" s="1718"/>
      <c r="AQ242" s="1719"/>
      <c r="AR242" s="1716"/>
      <c r="AS242" s="1717"/>
      <c r="AT242" s="1718"/>
      <c r="AU242" s="1718"/>
      <c r="AV242" s="1719"/>
      <c r="AW242" s="1716"/>
      <c r="AX242" s="1717"/>
      <c r="AY242" s="1718"/>
      <c r="AZ242" s="1718"/>
      <c r="BA242" s="1719"/>
      <c r="BB242" s="1716"/>
      <c r="BC242" s="1717"/>
      <c r="BD242" s="1718"/>
      <c r="BE242" s="1718"/>
      <c r="BF242" s="1719"/>
      <c r="BG242" s="1716"/>
      <c r="BH242" s="1717"/>
      <c r="BI242" s="1718"/>
      <c r="BJ242" s="1718"/>
      <c r="BK242" s="1719"/>
      <c r="BL242" s="1716"/>
      <c r="BM242" s="1716"/>
      <c r="BN242" s="1716"/>
      <c r="BO242" s="1716"/>
      <c r="BP242" s="1716"/>
      <c r="BQ242" s="1716"/>
      <c r="BR242" s="1716"/>
      <c r="BS242" s="1716"/>
      <c r="BT242" s="1716"/>
      <c r="BU242" s="1716"/>
      <c r="BV242" s="1716"/>
      <c r="BW242" s="1716"/>
      <c r="BX242" s="1716"/>
      <c r="BY242" s="1716"/>
      <c r="BZ242" s="1716"/>
      <c r="CA242" s="1716"/>
      <c r="CB242" s="1716"/>
      <c r="CC242" s="1716"/>
      <c r="CD242" s="1716"/>
      <c r="CE242" s="1716"/>
      <c r="CF242" s="1716"/>
      <c r="CG242" s="1716"/>
      <c r="CH242" s="1716"/>
      <c r="CI242" s="1716"/>
      <c r="CJ242" s="1716"/>
      <c r="CK242" s="1716"/>
      <c r="CL242" s="1716"/>
      <c r="CM242" s="1716"/>
      <c r="CN242" s="1716"/>
      <c r="CO242" s="1716"/>
      <c r="CP242" s="1716"/>
    </row>
    <row r="243" spans="1:94">
      <c r="A243" s="1716"/>
      <c r="B243" s="1716"/>
      <c r="C243" s="1716"/>
      <c r="D243" s="1716"/>
      <c r="E243" s="1717"/>
      <c r="F243" s="1718"/>
      <c r="G243" s="1718"/>
      <c r="H243" s="1719"/>
      <c r="I243" s="1716"/>
      <c r="J243" s="1717"/>
      <c r="K243" s="1718"/>
      <c r="L243" s="1718"/>
      <c r="M243" s="1719"/>
      <c r="N243" s="1716"/>
      <c r="O243" s="1717"/>
      <c r="P243" s="1718"/>
      <c r="Q243" s="1718"/>
      <c r="R243" s="1719"/>
      <c r="S243" s="1716"/>
      <c r="T243" s="1717"/>
      <c r="U243" s="1718"/>
      <c r="V243" s="1718"/>
      <c r="W243" s="1719"/>
      <c r="X243" s="1716"/>
      <c r="Y243" s="1717"/>
      <c r="Z243" s="1718"/>
      <c r="AA243" s="1718"/>
      <c r="AB243" s="1719"/>
      <c r="AC243" s="1716"/>
      <c r="AD243" s="1717"/>
      <c r="AE243" s="1718"/>
      <c r="AF243" s="1718"/>
      <c r="AG243" s="1719"/>
      <c r="AH243" s="1716"/>
      <c r="AI243" s="1717"/>
      <c r="AJ243" s="1718"/>
      <c r="AK243" s="1718"/>
      <c r="AL243" s="1719"/>
      <c r="AM243" s="1716"/>
      <c r="AN243" s="1717"/>
      <c r="AO243" s="1718"/>
      <c r="AP243" s="1718"/>
      <c r="AQ243" s="1719"/>
      <c r="AR243" s="1716"/>
      <c r="AS243" s="1717"/>
      <c r="AT243" s="1718"/>
      <c r="AU243" s="1718"/>
      <c r="AV243" s="1719"/>
      <c r="AW243" s="1716"/>
      <c r="AX243" s="1717"/>
      <c r="AY243" s="1718"/>
      <c r="AZ243" s="1718"/>
      <c r="BA243" s="1719"/>
      <c r="BB243" s="1716"/>
      <c r="BC243" s="1717"/>
      <c r="BD243" s="1718"/>
      <c r="BE243" s="1718"/>
      <c r="BF243" s="1719"/>
      <c r="BG243" s="1716"/>
      <c r="BH243" s="1717"/>
      <c r="BI243" s="1718"/>
      <c r="BJ243" s="1718"/>
      <c r="BK243" s="1719"/>
      <c r="BL243" s="1716"/>
      <c r="BM243" s="1716"/>
      <c r="BN243" s="1716"/>
      <c r="BO243" s="1716"/>
      <c r="BP243" s="1716"/>
      <c r="BQ243" s="1716"/>
      <c r="BR243" s="1716"/>
      <c r="BS243" s="1716"/>
      <c r="BT243" s="1716"/>
      <c r="BU243" s="1716"/>
      <c r="BV243" s="1716"/>
      <c r="BW243" s="1716"/>
      <c r="BX243" s="1716"/>
      <c r="BY243" s="1716"/>
      <c r="BZ243" s="1716"/>
      <c r="CA243" s="1716"/>
      <c r="CB243" s="1716"/>
      <c r="CC243" s="1716"/>
      <c r="CD243" s="1716"/>
      <c r="CE243" s="1716"/>
      <c r="CF243" s="1716"/>
      <c r="CG243" s="1716"/>
      <c r="CH243" s="1716"/>
      <c r="CI243" s="1716"/>
      <c r="CJ243" s="1716"/>
      <c r="CK243" s="1716"/>
      <c r="CL243" s="1716"/>
      <c r="CM243" s="1716"/>
      <c r="CN243" s="1716"/>
      <c r="CO243" s="1716"/>
      <c r="CP243" s="1716"/>
    </row>
    <row r="244" spans="1:94">
      <c r="A244" s="1716"/>
      <c r="B244" s="1771" t="s">
        <v>156</v>
      </c>
      <c r="C244" s="1772"/>
      <c r="D244" s="1773"/>
      <c r="E244" s="1717"/>
      <c r="F244" s="1718"/>
      <c r="G244" s="1718"/>
      <c r="H244" s="1719"/>
      <c r="I244" s="1716"/>
      <c r="J244" s="1717"/>
      <c r="K244" s="1718"/>
      <c r="L244" s="1718"/>
      <c r="M244" s="1719"/>
      <c r="N244" s="1716"/>
      <c r="O244" s="1717"/>
      <c r="P244" s="1718"/>
      <c r="Q244" s="1718"/>
      <c r="R244" s="1719"/>
      <c r="S244" s="1716"/>
      <c r="T244" s="1717"/>
      <c r="U244" s="1718"/>
      <c r="V244" s="1718"/>
      <c r="W244" s="1719"/>
      <c r="X244" s="1716"/>
      <c r="Y244" s="1717"/>
      <c r="Z244" s="1718"/>
      <c r="AA244" s="1718"/>
      <c r="AB244" s="1719"/>
      <c r="AC244" s="1716"/>
      <c r="AD244" s="1717"/>
      <c r="AE244" s="1718"/>
      <c r="AF244" s="1718"/>
      <c r="AG244" s="1719"/>
      <c r="AH244" s="1716"/>
      <c r="AI244" s="1717"/>
      <c r="AJ244" s="1718"/>
      <c r="AK244" s="1718"/>
      <c r="AL244" s="1719"/>
      <c r="AM244" s="1716"/>
      <c r="AN244" s="1717"/>
      <c r="AO244" s="1718"/>
      <c r="AP244" s="1718"/>
      <c r="AQ244" s="1719"/>
      <c r="AR244" s="1716"/>
      <c r="AS244" s="1717"/>
      <c r="AT244" s="1718"/>
      <c r="AU244" s="1718"/>
      <c r="AV244" s="1719"/>
      <c r="AW244" s="1716"/>
      <c r="AX244" s="1717"/>
      <c r="AY244" s="1718"/>
      <c r="AZ244" s="1718"/>
      <c r="BA244" s="1719"/>
      <c r="BB244" s="1716"/>
      <c r="BC244" s="1717"/>
      <c r="BD244" s="1718"/>
      <c r="BE244" s="1718"/>
      <c r="BF244" s="1719"/>
      <c r="BG244" s="1716"/>
      <c r="BH244" s="1717"/>
      <c r="BI244" s="1718"/>
      <c r="BJ244" s="1718"/>
      <c r="BK244" s="1719"/>
      <c r="BL244" s="1716"/>
      <c r="BM244" s="1716"/>
      <c r="BN244" s="1716"/>
      <c r="BO244" s="1716"/>
      <c r="BP244" s="1716"/>
      <c r="BQ244" s="1716"/>
      <c r="BR244" s="1716"/>
      <c r="BS244" s="1716"/>
      <c r="BT244" s="1716"/>
      <c r="BU244" s="1716"/>
      <c r="BV244" s="1716"/>
      <c r="BW244" s="1716"/>
      <c r="BX244" s="1716"/>
      <c r="BY244" s="1716"/>
      <c r="BZ244" s="1716"/>
      <c r="CA244" s="1716"/>
      <c r="CB244" s="1716"/>
      <c r="CC244" s="1716"/>
      <c r="CD244" s="1716"/>
      <c r="CE244" s="1716"/>
      <c r="CF244" s="1716"/>
      <c r="CG244" s="1716"/>
      <c r="CH244" s="1716"/>
      <c r="CI244" s="1716"/>
      <c r="CJ244" s="1716"/>
      <c r="CK244" s="1716"/>
      <c r="CL244" s="1716"/>
      <c r="CM244" s="1716"/>
      <c r="CN244" s="1716"/>
      <c r="CO244" s="1716"/>
      <c r="CP244" s="1716"/>
    </row>
    <row r="245" spans="1:94">
      <c r="A245" s="45"/>
      <c r="B245" s="45"/>
      <c r="C245" s="389" t="s">
        <v>403</v>
      </c>
      <c r="D245" s="45"/>
      <c r="E245" s="295"/>
      <c r="F245" s="261"/>
      <c r="G245" s="261"/>
      <c r="H245" s="293"/>
      <c r="I245" s="228">
        <f>I250-SUM(I246:I249)</f>
        <v>2163</v>
      </c>
      <c r="J245" s="292"/>
      <c r="K245" s="261"/>
      <c r="L245" s="261"/>
      <c r="M245" s="293"/>
      <c r="N245" s="228">
        <f>N250-SUM(N246:N249)</f>
        <v>2360</v>
      </c>
      <c r="O245" s="292"/>
      <c r="P245" s="261"/>
      <c r="Q245" s="261"/>
      <c r="R245" s="293"/>
      <c r="S245" s="228">
        <f>S250-SUM(S246:S249)</f>
        <v>2710</v>
      </c>
      <c r="T245" s="292"/>
      <c r="U245" s="261"/>
      <c r="V245" s="261"/>
      <c r="W245" s="293"/>
      <c r="X245" s="228">
        <f>X250-SUM(X246:X249)</f>
        <v>3112</v>
      </c>
      <c r="Y245" s="292">
        <f>+X250</f>
        <v>3492</v>
      </c>
      <c r="Z245" s="261">
        <f>+Y250</f>
        <v>3521</v>
      </c>
      <c r="AA245" s="261">
        <f>+Z250</f>
        <v>3553</v>
      </c>
      <c r="AB245" s="293">
        <f>+AA250</f>
        <v>3540</v>
      </c>
      <c r="AC245" s="228">
        <f>+X250</f>
        <v>3492</v>
      </c>
      <c r="AD245" s="292">
        <f>+AC250</f>
        <v>3656</v>
      </c>
      <c r="AE245" s="261">
        <f>+AD250</f>
        <v>3823</v>
      </c>
      <c r="AF245" s="261">
        <f>+AE250</f>
        <v>3872</v>
      </c>
      <c r="AG245" s="293">
        <f>+AF250</f>
        <v>3879</v>
      </c>
      <c r="AH245" s="228">
        <f>+AC250</f>
        <v>3656</v>
      </c>
      <c r="AI245" s="292">
        <f>+AH250</f>
        <v>3899</v>
      </c>
      <c r="AJ245" s="261">
        <f>+AI250</f>
        <v>3964</v>
      </c>
      <c r="AK245" s="261">
        <f>+AJ250</f>
        <v>3990</v>
      </c>
      <c r="AL245" s="293">
        <f>+AK250</f>
        <v>3974</v>
      </c>
      <c r="AM245" s="228">
        <f>+AH250</f>
        <v>3899</v>
      </c>
      <c r="AN245" s="292">
        <f>+AM250</f>
        <v>4037</v>
      </c>
      <c r="AO245" s="261">
        <f>+AN250</f>
        <v>4101.5</v>
      </c>
      <c r="AP245" s="261">
        <f t="shared" ref="AP245" si="712">+AO250</f>
        <v>4158</v>
      </c>
      <c r="AQ245" s="293">
        <f>+AP250</f>
        <v>4181.5</v>
      </c>
      <c r="AR245" s="228">
        <f>+AM250</f>
        <v>4037</v>
      </c>
      <c r="AS245" s="292">
        <f>+AR250</f>
        <v>4281</v>
      </c>
      <c r="AT245" s="261">
        <f ca="1">+AS250</f>
        <v>4430.9089453210063</v>
      </c>
      <c r="AU245" s="261">
        <f ca="1">+AT250</f>
        <v>4520.4096959004191</v>
      </c>
      <c r="AV245" s="293">
        <f ca="1">+AU250</f>
        <v>4608.4511745339514</v>
      </c>
      <c r="AW245" s="228">
        <f>+AR250</f>
        <v>4281</v>
      </c>
      <c r="AX245" s="292">
        <f ca="1">+AW250</f>
        <v>4695.0544932962712</v>
      </c>
      <c r="AY245" s="261">
        <f ca="1">+AX250</f>
        <v>5029.4514358349097</v>
      </c>
      <c r="AZ245" s="261">
        <f ca="1">+AY250</f>
        <v>5112.4515307513038</v>
      </c>
      <c r="BA245" s="293">
        <f ca="1">+AZ250</f>
        <v>5194.0749869937481</v>
      </c>
      <c r="BB245" s="228">
        <f ca="1">+AW250</f>
        <v>4695.0544932962712</v>
      </c>
      <c r="BC245" s="292">
        <f ca="1">+BB250</f>
        <v>5097.9557961094843</v>
      </c>
      <c r="BD245" s="261">
        <f ca="1">+BC250</f>
        <v>5081.1237529097471</v>
      </c>
      <c r="BE245" s="261">
        <f ca="1">+BD250</f>
        <v>5188.8839410929249</v>
      </c>
      <c r="BF245" s="293">
        <f ca="1">+BE250</f>
        <v>5294.8801688590283</v>
      </c>
      <c r="BG245" s="228">
        <f ca="1">+BB250</f>
        <v>5097.9557961094843</v>
      </c>
      <c r="BH245" s="292">
        <f ca="1">+BG250</f>
        <v>5399.1379563752489</v>
      </c>
      <c r="BI245" s="261">
        <f ca="1">+BH250</f>
        <v>5449.238207127747</v>
      </c>
      <c r="BJ245" s="261">
        <f ca="1">+BI250</f>
        <v>5568.1959440218898</v>
      </c>
      <c r="BK245" s="293">
        <f ca="1">+BJ250</f>
        <v>5685.2104416970069</v>
      </c>
      <c r="BL245" s="228">
        <f ca="1">+BG250</f>
        <v>5399.1379563752489</v>
      </c>
      <c r="BM245" s="45"/>
      <c r="BN245" s="45"/>
      <c r="BO245" s="45"/>
      <c r="BP245" s="45"/>
      <c r="BQ245" s="45"/>
      <c r="BR245" s="45"/>
      <c r="BS245" s="45"/>
      <c r="BT245" s="45"/>
      <c r="BU245" s="45"/>
      <c r="BV245" s="45"/>
      <c r="BW245" s="45"/>
      <c r="BX245" s="45"/>
      <c r="BY245" s="45"/>
      <c r="BZ245" s="45"/>
      <c r="CA245" s="45"/>
      <c r="CB245" s="45"/>
      <c r="CC245" s="45"/>
      <c r="CD245" s="45"/>
      <c r="CE245" s="45"/>
      <c r="CF245" s="45"/>
      <c r="CG245" s="45"/>
      <c r="CH245" s="45"/>
      <c r="CI245" s="45"/>
      <c r="CJ245" s="45"/>
      <c r="CK245" s="45"/>
      <c r="CL245" s="45"/>
      <c r="CM245" s="45"/>
      <c r="CN245" s="45"/>
      <c r="CO245" s="45"/>
      <c r="CP245" s="45"/>
    </row>
    <row r="246" spans="1:94">
      <c r="A246" s="45"/>
      <c r="B246" s="45"/>
      <c r="C246" s="391" t="s">
        <v>404</v>
      </c>
      <c r="D246" s="45"/>
      <c r="E246" s="290"/>
      <c r="F246" s="260"/>
      <c r="G246" s="260"/>
      <c r="H246" s="291"/>
      <c r="I246" s="45">
        <f>I117</f>
        <v>359</v>
      </c>
      <c r="J246" s="290"/>
      <c r="K246" s="260"/>
      <c r="L246" s="260"/>
      <c r="M246" s="291"/>
      <c r="N246" s="45">
        <f>N117</f>
        <v>521</v>
      </c>
      <c r="O246" s="290"/>
      <c r="P246" s="260"/>
      <c r="Q246" s="260"/>
      <c r="R246" s="291"/>
      <c r="S246" s="45">
        <f>S117</f>
        <v>592</v>
      </c>
      <c r="T246" s="290"/>
      <c r="U246" s="260"/>
      <c r="V246" s="260"/>
      <c r="W246" s="291"/>
      <c r="X246" s="45">
        <f t="shared" ref="X246:AW246" si="713">X117</f>
        <v>576</v>
      </c>
      <c r="Y246" s="290">
        <f t="shared" si="713"/>
        <v>124</v>
      </c>
      <c r="Z246" s="260">
        <f t="shared" si="713"/>
        <v>117</v>
      </c>
      <c r="AA246" s="260">
        <f t="shared" si="713"/>
        <v>139</v>
      </c>
      <c r="AB246" s="291">
        <f t="shared" si="713"/>
        <v>187</v>
      </c>
      <c r="AC246" s="45">
        <f t="shared" si="713"/>
        <v>567</v>
      </c>
      <c r="AD246" s="290">
        <f t="shared" si="713"/>
        <v>119</v>
      </c>
      <c r="AE246" s="260">
        <f t="shared" si="713"/>
        <v>135</v>
      </c>
      <c r="AF246" s="260">
        <f t="shared" si="713"/>
        <v>120</v>
      </c>
      <c r="AG246" s="291">
        <f t="shared" si="713"/>
        <v>170</v>
      </c>
      <c r="AH246" s="45">
        <f t="shared" si="713"/>
        <v>544</v>
      </c>
      <c r="AI246" s="290">
        <f t="shared" ref="AI246" si="714">AI117</f>
        <v>109</v>
      </c>
      <c r="AJ246" s="260">
        <f t="shared" si="713"/>
        <v>147</v>
      </c>
      <c r="AK246" s="260">
        <f t="shared" si="713"/>
        <v>136</v>
      </c>
      <c r="AL246" s="291">
        <f t="shared" si="713"/>
        <v>194</v>
      </c>
      <c r="AM246" s="45">
        <f t="shared" si="713"/>
        <v>586</v>
      </c>
      <c r="AN246" s="290">
        <f t="shared" si="713"/>
        <v>139</v>
      </c>
      <c r="AO246" s="260">
        <f t="shared" si="713"/>
        <v>152</v>
      </c>
      <c r="AP246" s="260">
        <f t="shared" ref="AP246" si="715">AP117</f>
        <v>148</v>
      </c>
      <c r="AQ246" s="291">
        <f t="shared" si="713"/>
        <v>189</v>
      </c>
      <c r="AR246" s="45">
        <f t="shared" si="713"/>
        <v>628</v>
      </c>
      <c r="AS246" s="290">
        <f t="shared" si="713"/>
        <v>181.25</v>
      </c>
      <c r="AT246" s="260">
        <f t="shared" si="713"/>
        <v>181.25</v>
      </c>
      <c r="AU246" s="260">
        <f t="shared" si="713"/>
        <v>181.25</v>
      </c>
      <c r="AV246" s="291">
        <f t="shared" si="713"/>
        <v>181.24999999999997</v>
      </c>
      <c r="AW246" s="45">
        <f t="shared" si="713"/>
        <v>725</v>
      </c>
      <c r="AX246" s="290">
        <f t="shared" ref="AX246:BG246" si="716">AX117</f>
        <v>181.25</v>
      </c>
      <c r="AY246" s="260">
        <f t="shared" si="716"/>
        <v>181.25</v>
      </c>
      <c r="AZ246" s="260">
        <f t="shared" si="716"/>
        <v>181.25</v>
      </c>
      <c r="BA246" s="291">
        <f t="shared" si="716"/>
        <v>181.24999999999997</v>
      </c>
      <c r="BB246" s="45">
        <f t="shared" si="716"/>
        <v>725</v>
      </c>
      <c r="BC246" s="290">
        <f t="shared" si="716"/>
        <v>212.5</v>
      </c>
      <c r="BD246" s="260">
        <f t="shared" si="716"/>
        <v>212.5</v>
      </c>
      <c r="BE246" s="260">
        <f t="shared" si="716"/>
        <v>212.5</v>
      </c>
      <c r="BF246" s="291">
        <f t="shared" si="716"/>
        <v>212.49999999999997</v>
      </c>
      <c r="BG246" s="45">
        <f t="shared" si="716"/>
        <v>850</v>
      </c>
      <c r="BH246" s="290">
        <f t="shared" ref="BH246:BL246" si="717">BH117</f>
        <v>231.25</v>
      </c>
      <c r="BI246" s="260">
        <f t="shared" si="717"/>
        <v>231.25</v>
      </c>
      <c r="BJ246" s="260">
        <f t="shared" si="717"/>
        <v>231.25</v>
      </c>
      <c r="BK246" s="291">
        <f t="shared" si="717"/>
        <v>231.24999999999997</v>
      </c>
      <c r="BL246" s="45">
        <f t="shared" si="717"/>
        <v>925</v>
      </c>
      <c r="BM246" s="45"/>
      <c r="BN246" s="45"/>
      <c r="BO246" s="45"/>
      <c r="BP246" s="45"/>
      <c r="BQ246" s="45"/>
      <c r="BR246" s="45"/>
      <c r="BS246" s="45"/>
      <c r="BT246" s="45"/>
      <c r="BU246" s="45"/>
      <c r="BV246" s="45"/>
      <c r="BW246" s="45"/>
      <c r="BX246" s="45"/>
      <c r="BY246" s="45"/>
      <c r="BZ246" s="45"/>
      <c r="CA246" s="45"/>
      <c r="CB246" s="45"/>
      <c r="CC246" s="45"/>
      <c r="CD246" s="45"/>
      <c r="CE246" s="45"/>
      <c r="CF246" s="45"/>
      <c r="CG246" s="45"/>
      <c r="CH246" s="45"/>
      <c r="CI246" s="45"/>
      <c r="CJ246" s="45"/>
      <c r="CK246" s="45"/>
      <c r="CL246" s="45"/>
      <c r="CM246" s="45"/>
      <c r="CN246" s="45"/>
      <c r="CO246" s="45"/>
      <c r="CP246" s="45"/>
    </row>
    <row r="247" spans="1:94">
      <c r="A247" s="45"/>
      <c r="B247" s="45"/>
      <c r="C247" s="391" t="s">
        <v>587</v>
      </c>
      <c r="D247" s="45"/>
      <c r="E247" s="290"/>
      <c r="F247" s="260"/>
      <c r="G247" s="260"/>
      <c r="H247" s="291"/>
      <c r="I247" s="45">
        <f>+-I13</f>
        <v>-162</v>
      </c>
      <c r="J247" s="290"/>
      <c r="K247" s="260"/>
      <c r="L247" s="260"/>
      <c r="M247" s="291"/>
      <c r="N247" s="45">
        <f>+-N13</f>
        <v>-171</v>
      </c>
      <c r="O247" s="290"/>
      <c r="P247" s="260"/>
      <c r="Q247" s="260"/>
      <c r="R247" s="291"/>
      <c r="S247" s="45">
        <f>+-S13</f>
        <v>-190</v>
      </c>
      <c r="T247" s="290"/>
      <c r="U247" s="260"/>
      <c r="V247" s="260"/>
      <c r="W247" s="291"/>
      <c r="X247" s="45">
        <f t="shared" ref="X247:AW247" si="718">+-X13</f>
        <v>-196</v>
      </c>
      <c r="Y247" s="290">
        <f t="shared" si="718"/>
        <v>-56</v>
      </c>
      <c r="Z247" s="260">
        <f t="shared" si="718"/>
        <v>-56</v>
      </c>
      <c r="AA247" s="260">
        <f t="shared" si="718"/>
        <v>-59</v>
      </c>
      <c r="AB247" s="291">
        <f t="shared" si="718"/>
        <v>-58</v>
      </c>
      <c r="AC247" s="45">
        <f t="shared" si="718"/>
        <v>-229</v>
      </c>
      <c r="AD247" s="290">
        <f t="shared" si="718"/>
        <v>-65</v>
      </c>
      <c r="AE247" s="260">
        <f t="shared" si="718"/>
        <v>-68</v>
      </c>
      <c r="AF247" s="260">
        <f t="shared" si="718"/>
        <v>-74</v>
      </c>
      <c r="AG247" s="291">
        <f t="shared" si="718"/>
        <v>-70</v>
      </c>
      <c r="AH247" s="45">
        <f t="shared" si="718"/>
        <v>-277</v>
      </c>
      <c r="AI247" s="290">
        <f t="shared" ref="AI247" si="719">+-AI13</f>
        <v>-75</v>
      </c>
      <c r="AJ247" s="260">
        <f t="shared" si="718"/>
        <v>-70</v>
      </c>
      <c r="AK247" s="260">
        <f t="shared" si="718"/>
        <v>-76</v>
      </c>
      <c r="AL247" s="291">
        <f t="shared" si="718"/>
        <v>-74</v>
      </c>
      <c r="AM247" s="45">
        <f t="shared" si="718"/>
        <v>-295</v>
      </c>
      <c r="AN247" s="290">
        <f t="shared" si="718"/>
        <v>-82</v>
      </c>
      <c r="AO247" s="260">
        <f t="shared" si="718"/>
        <v>-78</v>
      </c>
      <c r="AP247" s="260">
        <f t="shared" ref="AP247" si="720">+-AP13</f>
        <v>-82</v>
      </c>
      <c r="AQ247" s="291">
        <f t="shared" si="718"/>
        <v>-79</v>
      </c>
      <c r="AR247" s="45">
        <f t="shared" si="718"/>
        <v>-321</v>
      </c>
      <c r="AS247" s="290">
        <f t="shared" si="718"/>
        <v>-79.976558923175531</v>
      </c>
      <c r="AT247" s="260">
        <f t="shared" si="718"/>
        <v>-80.38475366476888</v>
      </c>
      <c r="AU247" s="260">
        <f t="shared" si="718"/>
        <v>-81.844025610649894</v>
      </c>
      <c r="AV247" s="291">
        <f t="shared" si="718"/>
        <v>-83.282185481862896</v>
      </c>
      <c r="AW247" s="45">
        <f t="shared" si="718"/>
        <v>-325.48752368045717</v>
      </c>
      <c r="AX247" s="290">
        <f t="shared" ref="AX247:BG247" si="721">+-AX13</f>
        <v>-84.699538718184257</v>
      </c>
      <c r="AY247" s="260">
        <f t="shared" si="721"/>
        <v>-86.096386340428296</v>
      </c>
      <c r="AZ247" s="260">
        <f t="shared" si="721"/>
        <v>-87.473025014378692</v>
      </c>
      <c r="BA247" s="291">
        <f t="shared" si="721"/>
        <v>-88.829747113795236</v>
      </c>
      <c r="BB247" s="45">
        <f t="shared" si="721"/>
        <v>-347.09869718678652</v>
      </c>
      <c r="BC247" s="290">
        <f t="shared" si="721"/>
        <v>-90.166840782508757</v>
      </c>
      <c r="BD247" s="260">
        <f t="shared" si="721"/>
        <v>-90.574609399594323</v>
      </c>
      <c r="BE247" s="260">
        <f t="shared" si="721"/>
        <v>-92.33856981666824</v>
      </c>
      <c r="BF247" s="291">
        <f t="shared" si="721"/>
        <v>-94.077010066550699</v>
      </c>
      <c r="BG247" s="45">
        <f t="shared" si="721"/>
        <v>-367.15703006532203</v>
      </c>
      <c r="BH247" s="290">
        <f t="shared" ref="BH247:BL247" si="722">+-BH13</f>
        <v>-95.790299363271245</v>
      </c>
      <c r="BI247" s="260">
        <f t="shared" si="722"/>
        <v>-96.932813221626702</v>
      </c>
      <c r="BJ247" s="260">
        <f t="shared" si="722"/>
        <v>-98.8760524406527</v>
      </c>
      <c r="BK247" s="291">
        <f t="shared" si="722"/>
        <v>-100.79117776932013</v>
      </c>
      <c r="BL247" s="45">
        <f t="shared" si="722"/>
        <v>-392.39034279487078</v>
      </c>
      <c r="BM247" s="45"/>
      <c r="BN247" s="45"/>
      <c r="BO247" s="45"/>
      <c r="BP247" s="45"/>
      <c r="BQ247" s="45"/>
      <c r="BR247" s="45"/>
      <c r="BS247" s="45"/>
      <c r="BT247" s="45"/>
      <c r="BU247" s="45"/>
      <c r="BV247" s="45"/>
      <c r="BW247" s="45"/>
      <c r="BX247" s="45"/>
      <c r="BY247" s="45"/>
      <c r="BZ247" s="45"/>
      <c r="CA247" s="45"/>
      <c r="CB247" s="45"/>
      <c r="CC247" s="45"/>
      <c r="CD247" s="45"/>
      <c r="CE247" s="45"/>
      <c r="CF247" s="45"/>
      <c r="CG247" s="45"/>
      <c r="CH247" s="45"/>
      <c r="CI247" s="45"/>
      <c r="CJ247" s="45"/>
      <c r="CK247" s="45"/>
      <c r="CL247" s="45"/>
      <c r="CM247" s="45"/>
      <c r="CN247" s="45"/>
      <c r="CO247" s="45"/>
      <c r="CP247" s="45"/>
    </row>
    <row r="248" spans="1:94">
      <c r="A248" s="45"/>
      <c r="B248" s="45"/>
      <c r="C248" s="391" t="s">
        <v>158</v>
      </c>
      <c r="D248" s="45"/>
      <c r="E248" s="290"/>
      <c r="F248" s="260"/>
      <c r="G248" s="260"/>
      <c r="H248" s="291"/>
      <c r="I248" s="45">
        <f>SUM(E248:H248)</f>
        <v>0</v>
      </c>
      <c r="J248" s="290"/>
      <c r="K248" s="260"/>
      <c r="L248" s="260"/>
      <c r="M248" s="291"/>
      <c r="N248" s="45">
        <f>SUM(J248:M248)</f>
        <v>0</v>
      </c>
      <c r="O248" s="290"/>
      <c r="P248" s="260"/>
      <c r="Q248" s="260"/>
      <c r="R248" s="291"/>
      <c r="S248" s="45">
        <f>SUM(O248:R248)</f>
        <v>0</v>
      </c>
      <c r="T248" s="290"/>
      <c r="U248" s="260"/>
      <c r="V248" s="260"/>
      <c r="W248" s="291"/>
      <c r="X248" s="45">
        <f>SUM(T248:W248)</f>
        <v>0</v>
      </c>
      <c r="Y248" s="290">
        <f t="shared" ref="Y248:AV248" si="723">+-Y145</f>
        <v>-39</v>
      </c>
      <c r="Z248" s="260">
        <f t="shared" si="723"/>
        <v>-29</v>
      </c>
      <c r="AA248" s="260">
        <f t="shared" si="723"/>
        <v>-93</v>
      </c>
      <c r="AB248" s="291">
        <f t="shared" si="723"/>
        <v>-13</v>
      </c>
      <c r="AC248" s="45">
        <f t="shared" si="723"/>
        <v>-174</v>
      </c>
      <c r="AD248" s="290">
        <f t="shared" si="723"/>
        <v>-12</v>
      </c>
      <c r="AE248" s="260">
        <f t="shared" si="723"/>
        <v>-18</v>
      </c>
      <c r="AF248" s="260">
        <f t="shared" si="723"/>
        <v>-39</v>
      </c>
      <c r="AG248" s="291">
        <f t="shared" si="723"/>
        <v>-80</v>
      </c>
      <c r="AH248" s="45">
        <f t="shared" si="723"/>
        <v>-149</v>
      </c>
      <c r="AI248" s="290">
        <f t="shared" ref="AI248" si="724">+-AI145</f>
        <v>31</v>
      </c>
      <c r="AJ248" s="260">
        <f t="shared" si="723"/>
        <v>-51</v>
      </c>
      <c r="AK248" s="260">
        <f>+-AK145</f>
        <v>-76</v>
      </c>
      <c r="AL248" s="291">
        <f t="shared" si="723"/>
        <v>-57</v>
      </c>
      <c r="AM248" s="45">
        <f t="shared" si="723"/>
        <v>-153</v>
      </c>
      <c r="AN248" s="290">
        <f t="shared" si="723"/>
        <v>-5</v>
      </c>
      <c r="AO248" s="260">
        <f t="shared" si="723"/>
        <v>-30</v>
      </c>
      <c r="AP248" s="260">
        <f t="shared" ref="AP248" si="725">+-AP145</f>
        <v>-55</v>
      </c>
      <c r="AQ248" s="291">
        <f t="shared" si="723"/>
        <v>-23</v>
      </c>
      <c r="AR248" s="2032">
        <f>-AR145</f>
        <v>-113</v>
      </c>
      <c r="AS248" s="290">
        <f t="shared" ca="1" si="723"/>
        <v>-11.364495755817877</v>
      </c>
      <c r="AT248" s="260">
        <f t="shared" ca="1" si="723"/>
        <v>-11.364495755817877</v>
      </c>
      <c r="AU248" s="260">
        <f t="shared" ca="1" si="723"/>
        <v>-11.364495755817877</v>
      </c>
      <c r="AV248" s="291">
        <f t="shared" ca="1" si="723"/>
        <v>-11.364495755817877</v>
      </c>
      <c r="AW248" s="2032">
        <f ca="1">-AW145</f>
        <v>-45.45798302327151</v>
      </c>
      <c r="AX248" s="290">
        <f t="shared" ref="AX248:BG248" ca="1" si="726">+-AX145</f>
        <v>-12.153518743176866</v>
      </c>
      <c r="AY248" s="260">
        <f t="shared" ca="1" si="726"/>
        <v>-12.153518743176866</v>
      </c>
      <c r="AZ248" s="260">
        <f t="shared" ca="1" si="726"/>
        <v>-12.153518743176866</v>
      </c>
      <c r="BA248" s="291">
        <f t="shared" ca="1" si="726"/>
        <v>-12.153518743176868</v>
      </c>
      <c r="BB248" s="2032">
        <v>-225</v>
      </c>
      <c r="BC248" s="290">
        <f t="shared" ca="1" si="726"/>
        <v>-14.165202417228423</v>
      </c>
      <c r="BD248" s="260">
        <f t="shared" ca="1" si="726"/>
        <v>-14.165202417228423</v>
      </c>
      <c r="BE248" s="260">
        <f t="shared" ca="1" si="726"/>
        <v>-14.165202417228423</v>
      </c>
      <c r="BF248" s="291">
        <f t="shared" ca="1" si="726"/>
        <v>-14.165202417228421</v>
      </c>
      <c r="BG248" s="2032">
        <f t="shared" ca="1" si="726"/>
        <v>-56.660809668913693</v>
      </c>
      <c r="BH248" s="300">
        <f t="shared" ref="BH248:BL248" ca="1" si="727">+-BH145</f>
        <v>-15.359449884230678</v>
      </c>
      <c r="BI248" s="264">
        <f t="shared" ca="1" si="727"/>
        <v>-15.359449884230678</v>
      </c>
      <c r="BJ248" s="264">
        <f t="shared" ca="1" si="727"/>
        <v>-15.359449884230678</v>
      </c>
      <c r="BK248" s="299">
        <f t="shared" ca="1" si="727"/>
        <v>-15.359449884230678</v>
      </c>
      <c r="BL248" s="45">
        <f t="shared" ca="1" si="727"/>
        <v>-61.437799536922711</v>
      </c>
      <c r="BM248" s="45"/>
      <c r="BN248" s="45"/>
      <c r="BO248" s="45"/>
      <c r="BP248" s="45"/>
      <c r="BQ248" s="45"/>
      <c r="BR248" s="45"/>
      <c r="BS248" s="45"/>
      <c r="BT248" s="45"/>
      <c r="BU248" s="45"/>
      <c r="BV248" s="45"/>
      <c r="BW248" s="45"/>
      <c r="BX248" s="45"/>
      <c r="BY248" s="45"/>
      <c r="BZ248" s="45"/>
      <c r="CA248" s="45"/>
      <c r="CB248" s="45"/>
      <c r="CC248" s="45"/>
      <c r="CD248" s="45"/>
      <c r="CE248" s="45"/>
      <c r="CF248" s="45"/>
      <c r="CG248" s="45"/>
      <c r="CH248" s="45"/>
      <c r="CI248" s="45"/>
      <c r="CJ248" s="45"/>
      <c r="CK248" s="45"/>
      <c r="CL248" s="45"/>
      <c r="CM248" s="45"/>
      <c r="CN248" s="45"/>
      <c r="CO248" s="45"/>
      <c r="CP248" s="45"/>
    </row>
    <row r="249" spans="1:94">
      <c r="A249" s="45"/>
      <c r="B249" s="45"/>
      <c r="C249" s="391" t="s">
        <v>1288</v>
      </c>
      <c r="D249" s="45"/>
      <c r="E249" s="814"/>
      <c r="F249" s="260"/>
      <c r="G249" s="260"/>
      <c r="H249" s="291"/>
      <c r="I249" s="45">
        <f>SUM(E249:H249)</f>
        <v>0</v>
      </c>
      <c r="J249" s="814"/>
      <c r="K249" s="260"/>
      <c r="L249" s="260"/>
      <c r="M249" s="291"/>
      <c r="N249" s="45">
        <f>SUM(J249:M249)</f>
        <v>0</v>
      </c>
      <c r="O249" s="814"/>
      <c r="P249" s="260"/>
      <c r="Q249" s="260"/>
      <c r="R249" s="291"/>
      <c r="S249" s="45">
        <f>SUM(O249:R249)</f>
        <v>0</v>
      </c>
      <c r="T249" s="814"/>
      <c r="U249" s="260"/>
      <c r="V249" s="260"/>
      <c r="W249" s="291"/>
      <c r="X249" s="45">
        <f>SUM(T249:W249)</f>
        <v>0</v>
      </c>
      <c r="Y249" s="814">
        <v>0</v>
      </c>
      <c r="Z249" s="260">
        <v>0</v>
      </c>
      <c r="AA249" s="260">
        <v>0</v>
      </c>
      <c r="AB249" s="291">
        <v>0</v>
      </c>
      <c r="AC249" s="45">
        <f>SUM(Y249:AB249)</f>
        <v>0</v>
      </c>
      <c r="AD249" s="814">
        <v>125</v>
      </c>
      <c r="AE249" s="260">
        <v>0</v>
      </c>
      <c r="AF249" s="260">
        <v>0</v>
      </c>
      <c r="AG249" s="291">
        <v>0</v>
      </c>
      <c r="AH249" s="45">
        <f>SUM(AD249:AG249)</f>
        <v>125</v>
      </c>
      <c r="AI249" s="814">
        <v>0</v>
      </c>
      <c r="AJ249" s="260">
        <v>0</v>
      </c>
      <c r="AK249" s="260">
        <v>0</v>
      </c>
      <c r="AL249" s="291">
        <v>0</v>
      </c>
      <c r="AM249" s="45">
        <f>SUM(AI249:AL249)</f>
        <v>0</v>
      </c>
      <c r="AN249" s="814">
        <v>12.5</v>
      </c>
      <c r="AO249" s="2038">
        <v>12.5</v>
      </c>
      <c r="AP249" s="2038">
        <v>12.5</v>
      </c>
      <c r="AQ249" s="2039">
        <v>12.5</v>
      </c>
      <c r="AR249" s="45">
        <f>SUM(AN249:AQ249)</f>
        <v>50</v>
      </c>
      <c r="AS249" s="814">
        <v>60</v>
      </c>
      <c r="AT249" s="2038">
        <v>0</v>
      </c>
      <c r="AU249" s="2038">
        <v>0</v>
      </c>
      <c r="AV249" s="2039">
        <v>0</v>
      </c>
      <c r="AW249" s="45">
        <f>SUM(AS249:AV249)</f>
        <v>60</v>
      </c>
      <c r="AX249" s="814">
        <v>250</v>
      </c>
      <c r="AY249" s="2038"/>
      <c r="AZ249" s="2038"/>
      <c r="BA249" s="2039"/>
      <c r="BB249" s="45">
        <f>SUM(AX249:BA249)</f>
        <v>250</v>
      </c>
      <c r="BC249" s="814">
        <v>-125</v>
      </c>
      <c r="BD249" s="2038">
        <v>0</v>
      </c>
      <c r="BE249" s="2038">
        <v>0</v>
      </c>
      <c r="BF249" s="2039">
        <v>0</v>
      </c>
      <c r="BG249" s="45">
        <f>SUM(BC249:BF249)</f>
        <v>-125</v>
      </c>
      <c r="BH249" s="300">
        <v>-70</v>
      </c>
      <c r="BI249" s="264">
        <v>0</v>
      </c>
      <c r="BJ249" s="264">
        <v>0</v>
      </c>
      <c r="BK249" s="299">
        <v>0</v>
      </c>
      <c r="BL249" s="45">
        <f>SUM(BH249:BK249)</f>
        <v>-70</v>
      </c>
      <c r="BM249" s="45"/>
      <c r="BN249" s="45"/>
      <c r="BO249" s="45"/>
      <c r="BP249" s="45"/>
      <c r="BQ249" s="45"/>
      <c r="BR249" s="45"/>
      <c r="BS249" s="45"/>
      <c r="BT249" s="45"/>
      <c r="BU249" s="45"/>
      <c r="BV249" s="45"/>
      <c r="BW249" s="45"/>
      <c r="BX249" s="45"/>
      <c r="BY249" s="45"/>
      <c r="BZ249" s="45"/>
      <c r="CA249" s="45"/>
      <c r="CB249" s="45"/>
      <c r="CC249" s="45"/>
      <c r="CD249" s="45"/>
      <c r="CE249" s="45"/>
      <c r="CF249" s="45"/>
      <c r="CG249" s="45"/>
      <c r="CH249" s="45"/>
      <c r="CI249" s="45"/>
      <c r="CJ249" s="45"/>
      <c r="CK249" s="45"/>
      <c r="CL249" s="45"/>
      <c r="CM249" s="45"/>
      <c r="CN249" s="45"/>
      <c r="CO249" s="45"/>
      <c r="CP249" s="45"/>
    </row>
    <row r="250" spans="1:94">
      <c r="A250" s="45"/>
      <c r="B250" s="45"/>
      <c r="C250" s="389" t="s">
        <v>405</v>
      </c>
      <c r="D250" s="45"/>
      <c r="E250" s="292"/>
      <c r="F250" s="261"/>
      <c r="G250" s="261"/>
      <c r="H250" s="293"/>
      <c r="I250" s="228">
        <f>N245</f>
        <v>2360</v>
      </c>
      <c r="J250" s="292"/>
      <c r="K250" s="261"/>
      <c r="L250" s="261"/>
      <c r="M250" s="293"/>
      <c r="N250" s="228">
        <f>S245</f>
        <v>2710</v>
      </c>
      <c r="O250" s="292"/>
      <c r="P250" s="261"/>
      <c r="Q250" s="261"/>
      <c r="R250" s="293"/>
      <c r="S250" s="228">
        <f>X245</f>
        <v>3112</v>
      </c>
      <c r="T250" s="292"/>
      <c r="U250" s="261"/>
      <c r="V250" s="261"/>
      <c r="W250" s="293"/>
      <c r="X250" s="669">
        <f>2825+667</f>
        <v>3492</v>
      </c>
      <c r="Y250" s="292">
        <f t="shared" ref="Y250:AW250" si="728">SUM(Y245:Y249)</f>
        <v>3521</v>
      </c>
      <c r="Z250" s="261">
        <f t="shared" si="728"/>
        <v>3553</v>
      </c>
      <c r="AA250" s="261">
        <f t="shared" si="728"/>
        <v>3540</v>
      </c>
      <c r="AB250" s="293">
        <f t="shared" si="728"/>
        <v>3656</v>
      </c>
      <c r="AC250" s="228">
        <f t="shared" si="728"/>
        <v>3656</v>
      </c>
      <c r="AD250" s="292">
        <f t="shared" si="728"/>
        <v>3823</v>
      </c>
      <c r="AE250" s="261">
        <f t="shared" si="728"/>
        <v>3872</v>
      </c>
      <c r="AF250" s="261">
        <f t="shared" si="728"/>
        <v>3879</v>
      </c>
      <c r="AG250" s="293">
        <f t="shared" si="728"/>
        <v>3899</v>
      </c>
      <c r="AH250" s="228">
        <f t="shared" si="728"/>
        <v>3899</v>
      </c>
      <c r="AI250" s="292">
        <f t="shared" ref="AI250" si="729">SUM(AI245:AI249)</f>
        <v>3964</v>
      </c>
      <c r="AJ250" s="261">
        <f t="shared" si="728"/>
        <v>3990</v>
      </c>
      <c r="AK250" s="261">
        <f t="shared" si="728"/>
        <v>3974</v>
      </c>
      <c r="AL250" s="293">
        <f t="shared" si="728"/>
        <v>4037</v>
      </c>
      <c r="AM250" s="228">
        <f t="shared" si="728"/>
        <v>4037</v>
      </c>
      <c r="AN250" s="292">
        <f t="shared" si="728"/>
        <v>4101.5</v>
      </c>
      <c r="AO250" s="261">
        <f t="shared" si="728"/>
        <v>4158</v>
      </c>
      <c r="AP250" s="261">
        <f t="shared" ref="AP250" si="730">SUM(AP245:AP249)</f>
        <v>4181.5</v>
      </c>
      <c r="AQ250" s="293">
        <f t="shared" si="728"/>
        <v>4281</v>
      </c>
      <c r="AR250" s="228">
        <f t="shared" si="728"/>
        <v>4281</v>
      </c>
      <c r="AS250" s="292">
        <f t="shared" ca="1" si="728"/>
        <v>4430.9089453210063</v>
      </c>
      <c r="AT250" s="261">
        <f t="shared" ca="1" si="728"/>
        <v>4520.4096959004191</v>
      </c>
      <c r="AU250" s="261">
        <f t="shared" ca="1" si="728"/>
        <v>4608.4511745339514</v>
      </c>
      <c r="AV250" s="293">
        <f t="shared" ca="1" si="728"/>
        <v>4695.0544932962703</v>
      </c>
      <c r="AW250" s="228">
        <f t="shared" ca="1" si="728"/>
        <v>4695.0544932962712</v>
      </c>
      <c r="AX250" s="292">
        <f t="shared" ref="AX250:BG250" ca="1" si="731">SUM(AX245:AX249)</f>
        <v>5029.4514358349097</v>
      </c>
      <c r="AY250" s="261">
        <f t="shared" ca="1" si="731"/>
        <v>5112.4515307513038</v>
      </c>
      <c r="AZ250" s="261">
        <f t="shared" ca="1" si="731"/>
        <v>5194.0749869937481</v>
      </c>
      <c r="BA250" s="293">
        <f t="shared" ca="1" si="731"/>
        <v>5274.341721136776</v>
      </c>
      <c r="BB250" s="228">
        <f t="shared" ca="1" si="731"/>
        <v>5097.9557961094843</v>
      </c>
      <c r="BC250" s="292">
        <f t="shared" ca="1" si="731"/>
        <v>5081.1237529097471</v>
      </c>
      <c r="BD250" s="261">
        <f t="shared" ca="1" si="731"/>
        <v>5188.8839410929249</v>
      </c>
      <c r="BE250" s="261">
        <f t="shared" ca="1" si="731"/>
        <v>5294.8801688590283</v>
      </c>
      <c r="BF250" s="293">
        <f t="shared" ca="1" si="731"/>
        <v>5399.1379563752498</v>
      </c>
      <c r="BG250" s="228">
        <f t="shared" ca="1" si="731"/>
        <v>5399.1379563752489</v>
      </c>
      <c r="BH250" s="292">
        <f t="shared" ref="BH250:BL250" ca="1" si="732">SUM(BH245:BH249)</f>
        <v>5449.238207127747</v>
      </c>
      <c r="BI250" s="261">
        <f t="shared" ca="1" si="732"/>
        <v>5568.1959440218898</v>
      </c>
      <c r="BJ250" s="261">
        <f t="shared" ca="1" si="732"/>
        <v>5685.2104416970069</v>
      </c>
      <c r="BK250" s="293">
        <f t="shared" ca="1" si="732"/>
        <v>5800.3098140434568</v>
      </c>
      <c r="BL250" s="228">
        <f t="shared" ca="1" si="732"/>
        <v>5800.3098140434558</v>
      </c>
      <c r="BM250" s="45"/>
      <c r="BN250" s="45"/>
      <c r="BO250" s="45"/>
      <c r="BP250" s="45"/>
      <c r="BQ250" s="45"/>
      <c r="BR250" s="45"/>
      <c r="BS250" s="45"/>
      <c r="BT250" s="45"/>
      <c r="BU250" s="45"/>
      <c r="BV250" s="45"/>
      <c r="BW250" s="45"/>
      <c r="BX250" s="45"/>
      <c r="BY250" s="45"/>
      <c r="BZ250" s="45"/>
      <c r="CA250" s="45"/>
      <c r="CB250" s="45"/>
      <c r="CC250" s="45"/>
      <c r="CD250" s="45"/>
      <c r="CE250" s="45"/>
      <c r="CF250" s="45"/>
      <c r="CG250" s="45"/>
      <c r="CH250" s="45"/>
      <c r="CI250" s="45"/>
      <c r="CJ250" s="45"/>
      <c r="CK250" s="45"/>
      <c r="CL250" s="45"/>
      <c r="CM250" s="45"/>
      <c r="CN250" s="45"/>
      <c r="CO250" s="45"/>
      <c r="CP250" s="45"/>
    </row>
    <row r="251" spans="1:94">
      <c r="A251" s="45"/>
      <c r="B251" s="45"/>
      <c r="C251" s="389"/>
      <c r="D251" s="45"/>
      <c r="E251" s="292"/>
      <c r="F251" s="261"/>
      <c r="G251" s="261"/>
      <c r="H251" s="293"/>
      <c r="I251" s="228"/>
      <c r="J251" s="292"/>
      <c r="K251" s="261"/>
      <c r="L251" s="261"/>
      <c r="M251" s="293"/>
      <c r="N251" s="228"/>
      <c r="O251" s="292"/>
      <c r="P251" s="261"/>
      <c r="Q251" s="261"/>
      <c r="R251" s="293"/>
      <c r="S251" s="228"/>
      <c r="T251" s="292"/>
      <c r="U251" s="261"/>
      <c r="V251" s="261"/>
      <c r="W251" s="293"/>
      <c r="X251" s="669"/>
      <c r="Y251" s="292"/>
      <c r="Z251" s="261"/>
      <c r="AA251" s="261"/>
      <c r="AB251" s="293"/>
      <c r="AC251" s="228"/>
      <c r="AD251" s="292"/>
      <c r="AE251" s="261"/>
      <c r="AF251" s="261"/>
      <c r="AG251" s="293"/>
      <c r="AH251" s="228"/>
      <c r="AI251" s="292"/>
      <c r="AJ251" s="261"/>
      <c r="AK251" s="261"/>
      <c r="AL251" s="293"/>
      <c r="AM251" s="228"/>
      <c r="AN251" s="292"/>
      <c r="AO251" s="261"/>
      <c r="AP251" s="261"/>
      <c r="AQ251" s="293"/>
      <c r="AR251" s="228"/>
      <c r="AS251" s="292"/>
      <c r="AT251" s="261"/>
      <c r="AU251" s="261"/>
      <c r="AV251" s="293"/>
      <c r="AW251" s="228"/>
      <c r="AX251" s="292"/>
      <c r="AY251" s="261"/>
      <c r="AZ251" s="261"/>
      <c r="BA251" s="293"/>
      <c r="BB251" s="228"/>
      <c r="BC251" s="292"/>
      <c r="BD251" s="261"/>
      <c r="BE251" s="261"/>
      <c r="BF251" s="293"/>
      <c r="BG251" s="228"/>
      <c r="BH251" s="292"/>
      <c r="BI251" s="261"/>
      <c r="BJ251" s="261"/>
      <c r="BK251" s="293"/>
      <c r="BL251" s="228"/>
      <c r="BM251" s="45"/>
      <c r="BN251" s="45"/>
      <c r="BO251" s="45"/>
      <c r="BP251" s="45"/>
      <c r="BQ251" s="45"/>
      <c r="BR251" s="45"/>
      <c r="BS251" s="45"/>
      <c r="BT251" s="45"/>
      <c r="BU251" s="45"/>
      <c r="BV251" s="45"/>
      <c r="BW251" s="45"/>
      <c r="BX251" s="45"/>
      <c r="BY251" s="45"/>
      <c r="BZ251" s="45"/>
      <c r="CA251" s="45"/>
      <c r="CB251" s="45"/>
      <c r="CC251" s="45"/>
      <c r="CD251" s="45"/>
      <c r="CE251" s="45"/>
      <c r="CF251" s="45"/>
      <c r="CG251" s="45"/>
      <c r="CH251" s="45"/>
      <c r="CI251" s="45"/>
      <c r="CJ251" s="45"/>
      <c r="CK251" s="45"/>
      <c r="CL251" s="45"/>
      <c r="CM251" s="45"/>
      <c r="CN251" s="45"/>
      <c r="CO251" s="45"/>
      <c r="CP251" s="45"/>
    </row>
    <row r="252" spans="1:94">
      <c r="A252" s="45"/>
      <c r="B252" s="45"/>
      <c r="C252" s="389" t="s">
        <v>157</v>
      </c>
      <c r="D252" s="45"/>
      <c r="E252" s="292"/>
      <c r="F252" s="261"/>
      <c r="G252" s="261"/>
      <c r="H252" s="293"/>
      <c r="I252" s="228"/>
      <c r="J252" s="292"/>
      <c r="K252" s="261"/>
      <c r="L252" s="261"/>
      <c r="M252" s="293"/>
      <c r="N252" s="228">
        <f>AVERAGE(N250,N245)</f>
        <v>2535</v>
      </c>
      <c r="O252" s="292"/>
      <c r="P252" s="261"/>
      <c r="Q252" s="261"/>
      <c r="R252" s="293"/>
      <c r="S252" s="228">
        <f>AVERAGE(S250,S245)</f>
        <v>2911</v>
      </c>
      <c r="T252" s="292"/>
      <c r="U252" s="261"/>
      <c r="V252" s="261"/>
      <c r="W252" s="293"/>
      <c r="X252" s="228">
        <f>AVERAGE(X250,X245)</f>
        <v>3302</v>
      </c>
      <c r="Y252" s="292"/>
      <c r="Z252" s="261"/>
      <c r="AA252" s="261"/>
      <c r="AB252" s="293"/>
      <c r="AC252" s="228">
        <f>AVERAGE(AC250,AC245)</f>
        <v>3574</v>
      </c>
      <c r="AD252" s="292"/>
      <c r="AE252" s="261"/>
      <c r="AF252" s="261"/>
      <c r="AG252" s="293"/>
      <c r="AH252" s="228">
        <f>AVERAGE(AH250,AH245)</f>
        <v>3777.5</v>
      </c>
      <c r="AI252" s="292"/>
      <c r="AJ252" s="261"/>
      <c r="AK252" s="261"/>
      <c r="AL252" s="293"/>
      <c r="AM252" s="228">
        <f>AVERAGE(AM250,AM245)</f>
        <v>3968</v>
      </c>
      <c r="AN252" s="292"/>
      <c r="AO252" s="261"/>
      <c r="AP252" s="261"/>
      <c r="AQ252" s="293"/>
      <c r="AR252" s="228">
        <f>AVERAGE(AR250,AR245)</f>
        <v>4159</v>
      </c>
      <c r="AS252" s="292"/>
      <c r="AT252" s="261"/>
      <c r="AU252" s="261"/>
      <c r="AV252" s="293"/>
      <c r="AW252" s="228">
        <f ca="1">AVERAGE(AW250,AW245)</f>
        <v>4488.0272466481356</v>
      </c>
      <c r="AX252" s="292"/>
      <c r="AY252" s="261"/>
      <c r="AZ252" s="261"/>
      <c r="BA252" s="293"/>
      <c r="BB252" s="228">
        <f ca="1">AVERAGE(BB250,BB245)</f>
        <v>4896.5051447028782</v>
      </c>
      <c r="BC252" s="292"/>
      <c r="BD252" s="261"/>
      <c r="BE252" s="261"/>
      <c r="BF252" s="293"/>
      <c r="BG252" s="228">
        <f ca="1">AVERAGE(BG250,BG245)</f>
        <v>5248.5468762423661</v>
      </c>
      <c r="BH252" s="292"/>
      <c r="BI252" s="261"/>
      <c r="BJ252" s="261"/>
      <c r="BK252" s="293"/>
      <c r="BL252" s="228">
        <f ca="1">AVERAGE(BL250,BL245)</f>
        <v>5599.7238852093524</v>
      </c>
      <c r="BM252" s="45"/>
      <c r="BN252" s="45"/>
      <c r="BO252" s="45"/>
      <c r="BP252" s="45"/>
      <c r="BQ252" s="45"/>
      <c r="BR252" s="45"/>
      <c r="BS252" s="45"/>
      <c r="BT252" s="45"/>
      <c r="BU252" s="45"/>
      <c r="BV252" s="45"/>
      <c r="BW252" s="45"/>
      <c r="BX252" s="45"/>
      <c r="BY252" s="45"/>
      <c r="BZ252" s="45"/>
      <c r="CA252" s="45"/>
      <c r="CB252" s="45"/>
      <c r="CC252" s="45"/>
      <c r="CD252" s="45"/>
      <c r="CE252" s="45"/>
      <c r="CF252" s="45"/>
      <c r="CG252" s="45"/>
      <c r="CH252" s="45"/>
      <c r="CI252" s="45"/>
      <c r="CJ252" s="45"/>
      <c r="CK252" s="45"/>
      <c r="CL252" s="45"/>
      <c r="CM252" s="45"/>
      <c r="CN252" s="45"/>
      <c r="CO252" s="45"/>
      <c r="CP252" s="45"/>
    </row>
    <row r="253" spans="1:94">
      <c r="A253" s="45"/>
      <c r="B253" s="45"/>
      <c r="C253" s="1373" t="s">
        <v>996</v>
      </c>
      <c r="D253" s="45"/>
      <c r="E253" s="292"/>
      <c r="F253" s="261"/>
      <c r="G253" s="261"/>
      <c r="H253" s="293"/>
      <c r="I253" s="228"/>
      <c r="J253" s="292"/>
      <c r="K253" s="261"/>
      <c r="L253" s="261"/>
      <c r="M253" s="293"/>
      <c r="N253" s="1378"/>
      <c r="O253" s="292"/>
      <c r="P253" s="261"/>
      <c r="Q253" s="261"/>
      <c r="R253" s="293"/>
      <c r="S253" s="1378">
        <f>+S252/N252-1</f>
        <v>0.14832347140039448</v>
      </c>
      <c r="T253" s="292"/>
      <c r="U253" s="261"/>
      <c r="V253" s="261"/>
      <c r="W253" s="293"/>
      <c r="X253" s="1378">
        <f>+X252/S252-1</f>
        <v>0.13431810374441766</v>
      </c>
      <c r="Y253" s="292"/>
      <c r="Z253" s="261"/>
      <c r="AA253" s="261"/>
      <c r="AB253" s="293"/>
      <c r="AC253" s="1378">
        <f>+AC252/X252-1</f>
        <v>8.2374318594790941E-2</v>
      </c>
      <c r="AD253" s="292"/>
      <c r="AE253" s="261"/>
      <c r="AF253" s="261"/>
      <c r="AG253" s="293"/>
      <c r="AH253" s="1378">
        <f>+AH252/AC252-1</f>
        <v>5.6939003917179543E-2</v>
      </c>
      <c r="AI253" s="292"/>
      <c r="AJ253" s="261"/>
      <c r="AK253" s="261"/>
      <c r="AL253" s="293"/>
      <c r="AM253" s="1378">
        <f>+AM252/AH252-1</f>
        <v>5.0430178689609528E-2</v>
      </c>
      <c r="AN253" s="292"/>
      <c r="AO253" s="261"/>
      <c r="AP253" s="261"/>
      <c r="AQ253" s="293"/>
      <c r="AR253" s="1378">
        <f>+AR252/AM252-1</f>
        <v>4.8135080645161255E-2</v>
      </c>
      <c r="AS253" s="292"/>
      <c r="AT253" s="261"/>
      <c r="AU253" s="261"/>
      <c r="AV253" s="293"/>
      <c r="AW253" s="1378">
        <f ca="1">+AW252/AR252-1</f>
        <v>7.9112105469616667E-2</v>
      </c>
      <c r="AX253" s="292"/>
      <c r="AY253" s="261"/>
      <c r="AZ253" s="261"/>
      <c r="BA253" s="293"/>
      <c r="BB253" s="1378">
        <f ca="1">+BB252/AW252-1</f>
        <v>9.1015021880674229E-2</v>
      </c>
      <c r="BC253" s="292"/>
      <c r="BD253" s="261"/>
      <c r="BE253" s="261"/>
      <c r="BF253" s="293"/>
      <c r="BG253" s="1378">
        <f ca="1">+BG252/BB252-1</f>
        <v>7.189653051224365E-2</v>
      </c>
      <c r="BH253" s="292"/>
      <c r="BI253" s="261"/>
      <c r="BJ253" s="261"/>
      <c r="BK253" s="293"/>
      <c r="BL253" s="1378">
        <f ca="1">+BL252/BG252-1</f>
        <v>6.6909378395112462E-2</v>
      </c>
      <c r="BM253" s="45"/>
      <c r="BN253" s="45"/>
      <c r="BO253" s="45"/>
      <c r="BP253" s="45"/>
      <c r="BQ253" s="45"/>
      <c r="BR253" s="45"/>
      <c r="BS253" s="45"/>
      <c r="BT253" s="45"/>
      <c r="BU253" s="45"/>
      <c r="BV253" s="45"/>
      <c r="BW253" s="45"/>
      <c r="BX253" s="45"/>
      <c r="BY253" s="45"/>
      <c r="BZ253" s="45"/>
      <c r="CA253" s="45"/>
      <c r="CB253" s="45"/>
      <c r="CC253" s="45"/>
      <c r="CD253" s="45"/>
      <c r="CE253" s="45"/>
      <c r="CF253" s="45"/>
      <c r="CG253" s="45"/>
      <c r="CH253" s="45"/>
      <c r="CI253" s="45"/>
      <c r="CJ253" s="45"/>
      <c r="CK253" s="45"/>
      <c r="CL253" s="45"/>
      <c r="CM253" s="45"/>
      <c r="CN253" s="45"/>
      <c r="CO253" s="45"/>
      <c r="CP253" s="45"/>
    </row>
    <row r="254" spans="1:94">
      <c r="A254" s="45"/>
      <c r="B254" s="45"/>
      <c r="C254" s="45"/>
      <c r="D254" s="45"/>
      <c r="E254" s="290"/>
      <c r="F254" s="260"/>
      <c r="G254" s="260"/>
      <c r="H254" s="291"/>
      <c r="I254" s="45"/>
      <c r="J254" s="290"/>
      <c r="K254" s="260"/>
      <c r="L254" s="260"/>
      <c r="M254" s="291"/>
      <c r="N254" s="45"/>
      <c r="O254" s="290"/>
      <c r="P254" s="260"/>
      <c r="Q254" s="260"/>
      <c r="R254" s="291"/>
      <c r="S254" s="45"/>
      <c r="T254" s="290"/>
      <c r="U254" s="260"/>
      <c r="V254" s="260"/>
      <c r="W254" s="291"/>
      <c r="X254" s="45"/>
      <c r="Y254" s="290"/>
      <c r="Z254" s="260"/>
      <c r="AA254" s="260"/>
      <c r="AB254" s="291"/>
      <c r="AC254" s="45"/>
      <c r="AD254" s="290"/>
      <c r="AE254" s="260"/>
      <c r="AF254" s="260"/>
      <c r="AG254" s="291"/>
      <c r="AH254" s="45"/>
      <c r="AI254" s="290"/>
      <c r="AJ254" s="260"/>
      <c r="AK254" s="260"/>
      <c r="AL254" s="291"/>
      <c r="AM254" s="45"/>
      <c r="AN254" s="290"/>
      <c r="AO254" s="260"/>
      <c r="AP254" s="260"/>
      <c r="AQ254" s="291"/>
      <c r="AR254" s="45"/>
      <c r="AS254" s="290"/>
      <c r="AT254" s="260"/>
      <c r="AU254" s="260"/>
      <c r="AV254" s="291"/>
      <c r="AW254" s="45"/>
      <c r="AX254" s="290"/>
      <c r="AY254" s="260"/>
      <c r="AZ254" s="260"/>
      <c r="BA254" s="291"/>
      <c r="BB254" s="45"/>
      <c r="BC254" s="290"/>
      <c r="BD254" s="260"/>
      <c r="BE254" s="260"/>
      <c r="BF254" s="291"/>
      <c r="BG254" s="45"/>
      <c r="BH254" s="300"/>
      <c r="BI254" s="264"/>
      <c r="BJ254" s="264"/>
      <c r="BK254" s="299"/>
      <c r="BL254" s="45"/>
      <c r="BM254" s="45"/>
      <c r="BN254" s="45"/>
      <c r="BO254" s="45"/>
      <c r="BP254" s="45"/>
      <c r="BQ254" s="45"/>
      <c r="BR254" s="45"/>
      <c r="BS254" s="45"/>
      <c r="BT254" s="45"/>
      <c r="BU254" s="45"/>
      <c r="BV254" s="45"/>
      <c r="BW254" s="45"/>
      <c r="BX254" s="45"/>
      <c r="BY254" s="45"/>
      <c r="BZ254" s="45"/>
      <c r="CA254" s="45"/>
      <c r="CB254" s="45"/>
      <c r="CC254" s="45"/>
      <c r="CD254" s="45"/>
      <c r="CE254" s="45"/>
      <c r="CF254" s="45"/>
      <c r="CG254" s="45"/>
      <c r="CH254" s="45"/>
      <c r="CI254" s="45"/>
      <c r="CJ254" s="45"/>
      <c r="CK254" s="45"/>
      <c r="CL254" s="45"/>
      <c r="CM254" s="45"/>
      <c r="CN254" s="45"/>
      <c r="CO254" s="45"/>
      <c r="CP254" s="45"/>
    </row>
    <row r="255" spans="1:94">
      <c r="A255" s="45"/>
      <c r="B255" s="45"/>
      <c r="C255" s="1960" t="s">
        <v>1334</v>
      </c>
      <c r="D255" s="45"/>
      <c r="E255" s="290"/>
      <c r="F255" s="260"/>
      <c r="G255" s="260"/>
      <c r="H255" s="291"/>
      <c r="I255" s="45"/>
      <c r="J255" s="290"/>
      <c r="K255" s="260"/>
      <c r="L255" s="260"/>
      <c r="M255" s="291"/>
      <c r="N255" s="45"/>
      <c r="O255" s="290"/>
      <c r="P255" s="260"/>
      <c r="Q255" s="260"/>
      <c r="R255" s="291"/>
      <c r="S255" s="45"/>
      <c r="T255" s="290"/>
      <c r="U255" s="260"/>
      <c r="V255" s="260"/>
      <c r="W255" s="291"/>
      <c r="X255" s="45"/>
      <c r="Y255" s="290"/>
      <c r="Z255" s="260"/>
      <c r="AA255" s="260"/>
      <c r="AB255" s="291"/>
      <c r="AC255" s="45"/>
      <c r="AD255" s="290"/>
      <c r="AE255" s="260"/>
      <c r="AF255" s="260"/>
      <c r="AG255" s="291"/>
      <c r="AH255" s="2130">
        <v>3900</v>
      </c>
      <c r="AI255" s="290"/>
      <c r="AJ255" s="260"/>
      <c r="AK255" s="260"/>
      <c r="AL255" s="291"/>
      <c r="AM255" s="2130">
        <v>4000</v>
      </c>
      <c r="AN255" s="290"/>
      <c r="AO255" s="260"/>
      <c r="AP255" s="260"/>
      <c r="AQ255" s="291"/>
      <c r="AR255" s="2130">
        <v>4400</v>
      </c>
      <c r="AS255" s="290"/>
      <c r="AT255" s="260"/>
      <c r="AU255" s="260"/>
      <c r="AV255" s="291"/>
      <c r="AW255" s="2130">
        <v>4700</v>
      </c>
      <c r="AX255" s="290"/>
      <c r="AY255" s="260"/>
      <c r="AZ255" s="260"/>
      <c r="BA255" s="291"/>
      <c r="BB255" s="2130">
        <v>5100</v>
      </c>
      <c r="BC255" s="290"/>
      <c r="BD255" s="260"/>
      <c r="BE255" s="260"/>
      <c r="BF255" s="291"/>
      <c r="BG255" s="2130">
        <v>5400</v>
      </c>
      <c r="BH255" s="300"/>
      <c r="BI255" s="264"/>
      <c r="BJ255" s="264"/>
      <c r="BK255" s="299"/>
      <c r="BL255" s="2130">
        <v>5800</v>
      </c>
      <c r="BM255" s="45"/>
      <c r="BN255" s="45"/>
      <c r="BO255" s="45"/>
      <c r="BP255" s="45"/>
      <c r="BQ255" s="45"/>
      <c r="BR255" s="45"/>
      <c r="BS255" s="45"/>
      <c r="BT255" s="45"/>
      <c r="BU255" s="45"/>
      <c r="BV255" s="45"/>
      <c r="BW255" s="45"/>
      <c r="BX255" s="45"/>
      <c r="BY255" s="45"/>
      <c r="BZ255" s="45"/>
      <c r="CA255" s="45"/>
      <c r="CB255" s="45"/>
      <c r="CC255" s="45"/>
      <c r="CD255" s="45"/>
      <c r="CE255" s="45"/>
      <c r="CF255" s="45"/>
      <c r="CG255" s="45"/>
      <c r="CH255" s="45"/>
      <c r="CI255" s="45"/>
      <c r="CJ255" s="45"/>
      <c r="CK255" s="45"/>
      <c r="CL255" s="45"/>
      <c r="CM255" s="45"/>
      <c r="CN255" s="45"/>
      <c r="CO255" s="45"/>
      <c r="CP255" s="45"/>
    </row>
    <row r="256" spans="1:94">
      <c r="A256" s="45"/>
      <c r="B256" s="45"/>
      <c r="C256" s="45"/>
      <c r="D256" s="45"/>
      <c r="E256" s="290"/>
      <c r="F256" s="260"/>
      <c r="G256" s="260"/>
      <c r="H256" s="291"/>
      <c r="I256" s="45"/>
      <c r="J256" s="290"/>
      <c r="K256" s="260"/>
      <c r="L256" s="260"/>
      <c r="M256" s="291"/>
      <c r="N256" s="45"/>
      <c r="O256" s="290"/>
      <c r="P256" s="260"/>
      <c r="Q256" s="260"/>
      <c r="R256" s="291"/>
      <c r="S256" s="45"/>
      <c r="T256" s="290"/>
      <c r="U256" s="260"/>
      <c r="V256" s="260"/>
      <c r="W256" s="291"/>
      <c r="X256" s="45"/>
      <c r="Y256" s="290"/>
      <c r="Z256" s="260"/>
      <c r="AA256" s="260"/>
      <c r="AB256" s="291"/>
      <c r="AC256" s="45"/>
      <c r="AD256" s="290"/>
      <c r="AE256" s="260"/>
      <c r="AF256" s="260"/>
      <c r="AG256" s="291"/>
      <c r="AH256" s="45"/>
      <c r="AI256" s="290"/>
      <c r="AJ256" s="260"/>
      <c r="AK256" s="260"/>
      <c r="AL256" s="291"/>
      <c r="AM256" s="45"/>
      <c r="AN256" s="290"/>
      <c r="AO256" s="260"/>
      <c r="AP256" s="260"/>
      <c r="AQ256" s="291"/>
      <c r="AR256" s="45"/>
      <c r="AS256" s="290"/>
      <c r="AT256" s="260"/>
      <c r="AU256" s="260"/>
      <c r="AV256" s="291"/>
      <c r="AW256" s="45"/>
      <c r="AX256" s="290"/>
      <c r="AY256" s="260"/>
      <c r="AZ256" s="260"/>
      <c r="BA256" s="291"/>
      <c r="BB256" s="45"/>
      <c r="BC256" s="290"/>
      <c r="BD256" s="260"/>
      <c r="BE256" s="260"/>
      <c r="BF256" s="291"/>
      <c r="BG256" s="45"/>
      <c r="BH256" s="300"/>
      <c r="BI256" s="264"/>
      <c r="BJ256" s="264"/>
      <c r="BK256" s="299"/>
      <c r="BL256" s="45"/>
      <c r="BM256" s="45"/>
      <c r="BN256" s="45"/>
      <c r="BO256" s="45"/>
      <c r="BP256" s="45"/>
      <c r="BQ256" s="45"/>
      <c r="BR256" s="45"/>
      <c r="BS256" s="45"/>
      <c r="BT256" s="45"/>
      <c r="BU256" s="45"/>
      <c r="BV256" s="45"/>
      <c r="BW256" s="45"/>
      <c r="BX256" s="45"/>
      <c r="BY256" s="45"/>
      <c r="BZ256" s="45"/>
      <c r="CA256" s="45"/>
      <c r="CB256" s="45"/>
      <c r="CC256" s="45"/>
      <c r="CD256" s="45"/>
      <c r="CE256" s="45"/>
      <c r="CF256" s="45"/>
      <c r="CG256" s="45"/>
      <c r="CH256" s="45"/>
      <c r="CI256" s="45"/>
      <c r="CJ256" s="45"/>
      <c r="CK256" s="45"/>
      <c r="CL256" s="45"/>
      <c r="CM256" s="45"/>
      <c r="CN256" s="45"/>
      <c r="CO256" s="45"/>
      <c r="CP256" s="45"/>
    </row>
    <row r="257" spans="1:94">
      <c r="A257" s="45"/>
      <c r="B257" s="45"/>
      <c r="C257" s="389" t="s">
        <v>281</v>
      </c>
      <c r="D257" s="45"/>
      <c r="E257" s="290"/>
      <c r="F257" s="260"/>
      <c r="G257" s="260"/>
      <c r="H257" s="291"/>
      <c r="I257" s="45"/>
      <c r="J257" s="290"/>
      <c r="K257" s="260"/>
      <c r="L257" s="260"/>
      <c r="M257" s="291"/>
      <c r="N257" s="45"/>
      <c r="O257" s="290"/>
      <c r="P257" s="260"/>
      <c r="Q257" s="260"/>
      <c r="R257" s="291"/>
      <c r="S257" s="45"/>
      <c r="T257" s="290"/>
      <c r="U257" s="260"/>
      <c r="V257" s="260"/>
      <c r="W257" s="291"/>
      <c r="X257" s="45"/>
      <c r="Y257" s="290"/>
      <c r="Z257" s="260"/>
      <c r="AA257" s="260"/>
      <c r="AB257" s="291"/>
      <c r="AC257" s="45"/>
      <c r="AD257" s="290"/>
      <c r="AE257" s="260"/>
      <c r="AF257" s="260"/>
      <c r="AG257" s="291"/>
      <c r="AH257" s="45"/>
      <c r="AI257" s="290"/>
      <c r="AJ257" s="260"/>
      <c r="AK257" s="260"/>
      <c r="AL257" s="291"/>
      <c r="AM257" s="45"/>
      <c r="AN257" s="290"/>
      <c r="AO257" s="260"/>
      <c r="AP257" s="260"/>
      <c r="AQ257" s="291"/>
      <c r="AR257" s="45"/>
      <c r="AS257" s="290"/>
      <c r="AT257" s="260"/>
      <c r="AU257" s="260"/>
      <c r="AV257" s="291"/>
      <c r="AW257" s="45"/>
      <c r="AX257" s="290"/>
      <c r="AY257" s="260"/>
      <c r="AZ257" s="260"/>
      <c r="BA257" s="291"/>
      <c r="BB257" s="45"/>
      <c r="BC257" s="290"/>
      <c r="BD257" s="260"/>
      <c r="BE257" s="260"/>
      <c r="BF257" s="291"/>
      <c r="BG257" s="45"/>
      <c r="BH257" s="300"/>
      <c r="BI257" s="264"/>
      <c r="BJ257" s="264"/>
      <c r="BK257" s="299"/>
      <c r="BL257" s="45"/>
      <c r="BM257" s="45"/>
      <c r="BN257" s="45"/>
      <c r="BO257" s="45"/>
      <c r="BP257" s="45"/>
      <c r="BQ257" s="45"/>
      <c r="BR257" s="45"/>
      <c r="BS257" s="45"/>
      <c r="BT257" s="45"/>
      <c r="BU257" s="45"/>
      <c r="BV257" s="45"/>
      <c r="BW257" s="45"/>
      <c r="BX257" s="45"/>
      <c r="BY257" s="45"/>
      <c r="BZ257" s="45"/>
      <c r="CA257" s="45"/>
      <c r="CB257" s="45"/>
      <c r="CC257" s="45"/>
      <c r="CD257" s="45"/>
      <c r="CE257" s="45"/>
      <c r="CF257" s="45"/>
      <c r="CG257" s="45"/>
      <c r="CH257" s="45"/>
      <c r="CI257" s="45"/>
      <c r="CJ257" s="45"/>
      <c r="CK257" s="45"/>
      <c r="CL257" s="45"/>
      <c r="CM257" s="45"/>
      <c r="CN257" s="45"/>
      <c r="CO257" s="45"/>
      <c r="CP257" s="45"/>
    </row>
    <row r="258" spans="1:94">
      <c r="A258" s="1716"/>
      <c r="B258" s="1716"/>
      <c r="C258" s="391" t="s">
        <v>746</v>
      </c>
      <c r="D258" s="1716"/>
      <c r="E258" s="1783"/>
      <c r="F258" s="1784"/>
      <c r="G258" s="1784"/>
      <c r="H258" s="1785"/>
      <c r="I258" s="1714">
        <v>0.49</v>
      </c>
      <c r="J258" s="1783">
        <v>0.49</v>
      </c>
      <c r="K258" s="1784">
        <v>0.49</v>
      </c>
      <c r="L258" s="1784">
        <v>0.49</v>
      </c>
      <c r="M258" s="1785">
        <v>0.49</v>
      </c>
      <c r="N258" s="1714">
        <v>0.49</v>
      </c>
      <c r="O258" s="1783">
        <v>0.49</v>
      </c>
      <c r="P258" s="1784">
        <v>0.49</v>
      </c>
      <c r="Q258" s="1784">
        <v>0.49</v>
      </c>
      <c r="R258" s="1785">
        <v>0.49</v>
      </c>
      <c r="S258" s="1714">
        <v>0.49</v>
      </c>
      <c r="T258" s="1783">
        <v>0.49</v>
      </c>
      <c r="U258" s="1784">
        <v>0.49</v>
      </c>
      <c r="V258" s="1784">
        <v>0.49</v>
      </c>
      <c r="W258" s="1785">
        <v>0.49</v>
      </c>
      <c r="X258" s="1714">
        <v>0.49</v>
      </c>
      <c r="Y258" s="1783">
        <v>0.49</v>
      </c>
      <c r="Z258" s="1784">
        <v>0.49</v>
      </c>
      <c r="AA258" s="1784">
        <v>0.49</v>
      </c>
      <c r="AB258" s="1785">
        <v>0.49</v>
      </c>
      <c r="AC258" s="1714">
        <v>0.49</v>
      </c>
      <c r="AD258" s="1783">
        <v>0.49</v>
      </c>
      <c r="AE258" s="1784">
        <v>0.49</v>
      </c>
      <c r="AF258" s="1784">
        <v>0.49</v>
      </c>
      <c r="AG258" s="1785">
        <v>0.49</v>
      </c>
      <c r="AH258" s="1714">
        <v>0.49</v>
      </c>
      <c r="AI258" s="1783">
        <v>0.49</v>
      </c>
      <c r="AJ258" s="1784">
        <v>0.49</v>
      </c>
      <c r="AK258" s="1784">
        <v>0.49</v>
      </c>
      <c r="AL258" s="1785">
        <v>0.49</v>
      </c>
      <c r="AM258" s="1714">
        <v>0.49</v>
      </c>
      <c r="AN258" s="1783">
        <v>0.49</v>
      </c>
      <c r="AO258" s="1784">
        <v>0.49</v>
      </c>
      <c r="AP258" s="1784">
        <v>0.49</v>
      </c>
      <c r="AQ258" s="1785">
        <v>0.49</v>
      </c>
      <c r="AR258" s="1714">
        <v>0.49</v>
      </c>
      <c r="AS258" s="1783">
        <v>0.49</v>
      </c>
      <c r="AT258" s="1784">
        <v>0.49</v>
      </c>
      <c r="AU258" s="1784">
        <v>0.49</v>
      </c>
      <c r="AV258" s="1785">
        <v>0.49</v>
      </c>
      <c r="AW258" s="1714">
        <v>0.49</v>
      </c>
      <c r="AX258" s="1783">
        <v>0.49</v>
      </c>
      <c r="AY258" s="1784">
        <v>0.49</v>
      </c>
      <c r="AZ258" s="1784">
        <v>0.49</v>
      </c>
      <c r="BA258" s="1785">
        <v>0.49</v>
      </c>
      <c r="BB258" s="1714">
        <v>0.49</v>
      </c>
      <c r="BC258" s="1783">
        <v>0.49</v>
      </c>
      <c r="BD258" s="1784">
        <v>0.49</v>
      </c>
      <c r="BE258" s="1784">
        <v>0.49</v>
      </c>
      <c r="BF258" s="1785">
        <v>0.49</v>
      </c>
      <c r="BG258" s="1714">
        <v>0.49</v>
      </c>
      <c r="BH258" s="2023">
        <v>0.49</v>
      </c>
      <c r="BI258" s="2024">
        <v>0.49</v>
      </c>
      <c r="BJ258" s="2024">
        <v>0.49</v>
      </c>
      <c r="BK258" s="2025">
        <v>0.49</v>
      </c>
      <c r="BL258" s="2281">
        <f>+BG258</f>
        <v>0.49</v>
      </c>
      <c r="BM258" s="1716"/>
      <c r="BN258" s="1716"/>
      <c r="BO258" s="1716"/>
      <c r="BP258" s="1716"/>
      <c r="BQ258" s="1716"/>
      <c r="BR258" s="1716"/>
      <c r="BS258" s="1716"/>
      <c r="BT258" s="1716"/>
      <c r="BU258" s="1716"/>
      <c r="BV258" s="1716"/>
      <c r="BW258" s="1716"/>
      <c r="BX258" s="1716"/>
      <c r="BY258" s="1716"/>
      <c r="BZ258" s="1716"/>
      <c r="CA258" s="1716"/>
      <c r="CB258" s="1716"/>
      <c r="CC258" s="1716"/>
      <c r="CD258" s="1716"/>
      <c r="CE258" s="1716"/>
      <c r="CF258" s="1716"/>
      <c r="CG258" s="1716"/>
      <c r="CH258" s="1716"/>
      <c r="CI258" s="1716"/>
      <c r="CJ258" s="1716"/>
      <c r="CK258" s="1716"/>
      <c r="CL258" s="1716"/>
      <c r="CM258" s="1716"/>
      <c r="CN258" s="1716"/>
      <c r="CO258" s="1716"/>
      <c r="CP258" s="1716"/>
    </row>
    <row r="259" spans="1:94">
      <c r="A259" s="1716"/>
      <c r="B259" s="1716"/>
      <c r="C259" s="391" t="s">
        <v>419</v>
      </c>
      <c r="D259" s="1716"/>
      <c r="E259" s="1786"/>
      <c r="F259" s="1768"/>
      <c r="G259" s="1768"/>
      <c r="H259" s="1769"/>
      <c r="I259" s="1787">
        <f>+I220</f>
        <v>0.48113207547169812</v>
      </c>
      <c r="J259" s="1786"/>
      <c r="K259" s="1768"/>
      <c r="L259" s="1768"/>
      <c r="M259" s="1769"/>
      <c r="N259" s="1787">
        <f>+N220</f>
        <v>0.4820282413350449</v>
      </c>
      <c r="O259" s="1786"/>
      <c r="P259" s="1768"/>
      <c r="Q259" s="1768"/>
      <c r="R259" s="1769"/>
      <c r="S259" s="1787">
        <f t="shared" ref="S259:AW259" si="733">+S220</f>
        <v>0.45958041958041956</v>
      </c>
      <c r="T259" s="1786">
        <f t="shared" si="733"/>
        <v>0.4854957805907173</v>
      </c>
      <c r="U259" s="1768">
        <f t="shared" si="733"/>
        <v>0.48859166011014948</v>
      </c>
      <c r="V259" s="1768">
        <f t="shared" si="733"/>
        <v>0.48917525773195875</v>
      </c>
      <c r="W259" s="1769">
        <f t="shared" si="733"/>
        <v>0.48388721047331318</v>
      </c>
      <c r="X259" s="1787">
        <f t="shared" si="733"/>
        <v>0.48388721047331318</v>
      </c>
      <c r="Y259" s="1786">
        <f t="shared" si="733"/>
        <v>0.46942072467112855</v>
      </c>
      <c r="Z259" s="1768">
        <f t="shared" si="733"/>
        <v>0.48870735223450262</v>
      </c>
      <c r="AA259" s="1768">
        <f t="shared" si="733"/>
        <v>0.4961038961038961</v>
      </c>
      <c r="AB259" s="1769">
        <f t="shared" si="733"/>
        <v>0.48232031430552347</v>
      </c>
      <c r="AC259" s="1787">
        <f t="shared" si="733"/>
        <v>0.48232031430552347</v>
      </c>
      <c r="AD259" s="1786">
        <f t="shared" si="733"/>
        <v>0.48825982005705509</v>
      </c>
      <c r="AE259" s="1768">
        <f t="shared" si="733"/>
        <v>0.489492119089317</v>
      </c>
      <c r="AF259" s="1768">
        <f t="shared" si="733"/>
        <v>0.48440207972270366</v>
      </c>
      <c r="AG259" s="1769">
        <f t="shared" si="733"/>
        <v>0.48642779587404994</v>
      </c>
      <c r="AH259" s="1787">
        <f t="shared" si="733"/>
        <v>0.48642779587404994</v>
      </c>
      <c r="AI259" s="1786">
        <f t="shared" ref="AI259" si="734">+AI220</f>
        <v>0.47086614173228347</v>
      </c>
      <c r="AJ259" s="1768">
        <f t="shared" si="733"/>
        <v>0.49243733794295591</v>
      </c>
      <c r="AK259" s="1768">
        <f t="shared" si="733"/>
        <v>0.49700342465753422</v>
      </c>
      <c r="AL259" s="1769">
        <f t="shared" si="733"/>
        <v>0.4922945205479452</v>
      </c>
      <c r="AM259" s="1787">
        <f t="shared" si="733"/>
        <v>0.4922945205479452</v>
      </c>
      <c r="AN259" s="1786">
        <f t="shared" si="733"/>
        <v>0.48049535603715171</v>
      </c>
      <c r="AO259" s="1768">
        <f t="shared" si="733"/>
        <v>0.4959397900574371</v>
      </c>
      <c r="AP259" s="1768">
        <f t="shared" ref="AP259" si="735">+AP220</f>
        <v>0.49703674436981432</v>
      </c>
      <c r="AQ259" s="1769">
        <f t="shared" si="733"/>
        <v>0.49676407138654638</v>
      </c>
      <c r="AR259" s="1787">
        <f t="shared" si="733"/>
        <v>0.49676407138654638</v>
      </c>
      <c r="AS259" s="1786">
        <f t="shared" ca="1" si="733"/>
        <v>0.49302613293135145</v>
      </c>
      <c r="AT259" s="1768">
        <f t="shared" ca="1" si="733"/>
        <v>0.48906335741601953</v>
      </c>
      <c r="AU259" s="1768">
        <f t="shared" ca="1" si="733"/>
        <v>0.48764592575630877</v>
      </c>
      <c r="AV259" s="1769">
        <f t="shared" ca="1" si="733"/>
        <v>0.48957701178514679</v>
      </c>
      <c r="AW259" s="1787">
        <f t="shared" ca="1" si="733"/>
        <v>0.48957701178514679</v>
      </c>
      <c r="AX259" s="1786">
        <f t="shared" ref="AX259:BG259" ca="1" si="736">+AX220</f>
        <v>0.48740873806014917</v>
      </c>
      <c r="AY259" s="1768">
        <f t="shared" ca="1" si="736"/>
        <v>0.48468043024543089</v>
      </c>
      <c r="AZ259" s="1768">
        <f t="shared" ca="1" si="736"/>
        <v>0.48729187655796025</v>
      </c>
      <c r="BA259" s="1769">
        <f t="shared" ca="1" si="736"/>
        <v>0.49015521469150025</v>
      </c>
      <c r="BB259" s="1787">
        <f t="shared" ca="1" si="736"/>
        <v>0.49015521469150025</v>
      </c>
      <c r="BC259" s="1786">
        <f t="shared" ca="1" si="736"/>
        <v>0.4880443300831061</v>
      </c>
      <c r="BD259" s="1768">
        <f t="shared" ca="1" si="736"/>
        <v>0.48549130467676127</v>
      </c>
      <c r="BE259" s="1768">
        <f t="shared" ca="1" si="736"/>
        <v>0.48678304325307953</v>
      </c>
      <c r="BF259" s="1769">
        <f t="shared" ca="1" si="736"/>
        <v>0.49043537942845444</v>
      </c>
      <c r="BG259" s="1787">
        <f t="shared" ca="1" si="736"/>
        <v>0.49043537942845444</v>
      </c>
      <c r="BH259" s="2023">
        <f t="shared" ref="BH259:BL259" ca="1" si="737">+BH220</f>
        <v>0.48842545286349054</v>
      </c>
      <c r="BI259" s="2024">
        <f t="shared" ca="1" si="737"/>
        <v>0.48609542887963747</v>
      </c>
      <c r="BJ259" s="2024">
        <f t="shared" ca="1" si="737"/>
        <v>0.48654131327886885</v>
      </c>
      <c r="BK259" s="2025">
        <f t="shared" ca="1" si="737"/>
        <v>0.49025475088912207</v>
      </c>
      <c r="BL259" s="1787">
        <f t="shared" ca="1" si="737"/>
        <v>0.49025475088912207</v>
      </c>
      <c r="BM259" s="1716"/>
      <c r="BN259" s="1716"/>
      <c r="BO259" s="1716"/>
      <c r="BP259" s="1716"/>
      <c r="BQ259" s="1716"/>
      <c r="BR259" s="1716"/>
      <c r="BS259" s="1716"/>
      <c r="BT259" s="1716"/>
      <c r="BU259" s="1716"/>
      <c r="BV259" s="1716"/>
      <c r="BW259" s="1716"/>
      <c r="BX259" s="1716"/>
      <c r="BY259" s="1716"/>
      <c r="BZ259" s="1716"/>
      <c r="CA259" s="1716"/>
      <c r="CB259" s="1716"/>
      <c r="CC259" s="1716"/>
      <c r="CD259" s="1716"/>
      <c r="CE259" s="1716"/>
      <c r="CF259" s="1716"/>
      <c r="CG259" s="1716"/>
      <c r="CH259" s="1716"/>
      <c r="CI259" s="1716"/>
      <c r="CJ259" s="1716"/>
      <c r="CK259" s="1716"/>
      <c r="CL259" s="1716"/>
      <c r="CM259" s="1716"/>
      <c r="CN259" s="1716"/>
      <c r="CO259" s="1716"/>
      <c r="CP259" s="1716"/>
    </row>
    <row r="260" spans="1:94">
      <c r="A260" s="1716"/>
      <c r="B260" s="1716"/>
      <c r="C260" s="1716"/>
      <c r="D260" s="1716"/>
      <c r="E260" s="1700"/>
      <c r="F260" s="1337"/>
      <c r="G260" s="1337"/>
      <c r="H260" s="1701"/>
      <c r="I260" s="1713"/>
      <c r="J260" s="1700"/>
      <c r="K260" s="1337"/>
      <c r="L260" s="1337"/>
      <c r="M260" s="1701"/>
      <c r="N260" s="1713"/>
      <c r="O260" s="1700"/>
      <c r="P260" s="1337"/>
      <c r="Q260" s="1337"/>
      <c r="R260" s="1701"/>
      <c r="S260" s="1713"/>
      <c r="T260" s="1700"/>
      <c r="U260" s="1337"/>
      <c r="V260" s="1337"/>
      <c r="W260" s="1701"/>
      <c r="X260" s="1713"/>
      <c r="Y260" s="1700"/>
      <c r="Z260" s="1337"/>
      <c r="AA260" s="1337"/>
      <c r="AB260" s="1701"/>
      <c r="AC260" s="1713"/>
      <c r="AD260" s="1700"/>
      <c r="AE260" s="1337"/>
      <c r="AF260" s="1337"/>
      <c r="AG260" s="1701"/>
      <c r="AH260" s="1713"/>
      <c r="AI260" s="1700"/>
      <c r="AJ260" s="1337"/>
      <c r="AK260" s="1337"/>
      <c r="AL260" s="1701"/>
      <c r="AM260" s="1713"/>
      <c r="AN260" s="1700"/>
      <c r="AO260" s="1337"/>
      <c r="AP260" s="1337"/>
      <c r="AQ260" s="1701"/>
      <c r="AR260" s="1713"/>
      <c r="AS260" s="1700"/>
      <c r="AT260" s="1337"/>
      <c r="AU260" s="1337"/>
      <c r="AV260" s="1701"/>
      <c r="AW260" s="1713"/>
      <c r="AX260" s="1700"/>
      <c r="AY260" s="1337"/>
      <c r="AZ260" s="1337"/>
      <c r="BA260" s="1701"/>
      <c r="BB260" s="1713"/>
      <c r="BC260" s="1700"/>
      <c r="BD260" s="1337"/>
      <c r="BE260" s="1337"/>
      <c r="BF260" s="1701"/>
      <c r="BG260" s="1713"/>
      <c r="BH260" s="2023"/>
      <c r="BI260" s="2024"/>
      <c r="BJ260" s="2024"/>
      <c r="BK260" s="2025"/>
      <c r="BL260" s="1713"/>
      <c r="BM260" s="1716"/>
      <c r="BN260" s="1716"/>
      <c r="BO260" s="1716"/>
      <c r="BP260" s="1716"/>
      <c r="BQ260" s="1716"/>
      <c r="BR260" s="1716"/>
      <c r="BS260" s="1716"/>
      <c r="BT260" s="1716"/>
      <c r="BU260" s="1716"/>
      <c r="BV260" s="1716"/>
      <c r="BW260" s="1716"/>
      <c r="BX260" s="1716"/>
      <c r="BY260" s="1716"/>
      <c r="BZ260" s="1716"/>
      <c r="CA260" s="1716"/>
      <c r="CB260" s="1716"/>
      <c r="CC260" s="1716"/>
      <c r="CD260" s="1716"/>
      <c r="CE260" s="1716"/>
      <c r="CF260" s="1716"/>
      <c r="CG260" s="1716"/>
      <c r="CH260" s="1716"/>
      <c r="CI260" s="1716"/>
      <c r="CJ260" s="1716"/>
      <c r="CK260" s="1716"/>
      <c r="CL260" s="1716"/>
      <c r="CM260" s="1716"/>
      <c r="CN260" s="1716"/>
      <c r="CO260" s="1716"/>
      <c r="CP260" s="1716"/>
    </row>
    <row r="261" spans="1:94">
      <c r="A261" s="1716"/>
      <c r="B261" s="1716"/>
      <c r="C261" s="389" t="s">
        <v>1312</v>
      </c>
      <c r="D261" s="1716"/>
      <c r="E261" s="1783"/>
      <c r="F261" s="1784"/>
      <c r="G261" s="1784"/>
      <c r="H261" s="1785"/>
      <c r="I261" s="1714"/>
      <c r="J261" s="1783"/>
      <c r="K261" s="1784"/>
      <c r="L261" s="1784"/>
      <c r="M261" s="1785"/>
      <c r="N261" s="1714"/>
      <c r="O261" s="1783"/>
      <c r="P261" s="1784"/>
      <c r="Q261" s="1784"/>
      <c r="R261" s="1785"/>
      <c r="S261" s="1714"/>
      <c r="T261" s="1783"/>
      <c r="U261" s="1784"/>
      <c r="V261" s="1784"/>
      <c r="W261" s="1785"/>
      <c r="X261" s="1714"/>
      <c r="Y261" s="1783"/>
      <c r="Z261" s="1784"/>
      <c r="AA261" s="1784"/>
      <c r="AB261" s="1785"/>
      <c r="AC261" s="1714"/>
      <c r="AD261" s="1783"/>
      <c r="AE261" s="1784"/>
      <c r="AF261" s="1784"/>
      <c r="AG261" s="1785"/>
      <c r="AH261" s="1714"/>
      <c r="AI261" s="1783"/>
      <c r="AJ261" s="1784"/>
      <c r="AK261" s="1784"/>
      <c r="AL261" s="1785"/>
      <c r="AM261" s="1714"/>
      <c r="AN261" s="1783"/>
      <c r="AO261" s="1784"/>
      <c r="AP261" s="1784"/>
      <c r="AQ261" s="1785"/>
      <c r="AR261" s="1714"/>
      <c r="AS261" s="1783"/>
      <c r="AT261" s="1784"/>
      <c r="AU261" s="1784"/>
      <c r="AV261" s="1785"/>
      <c r="AW261" s="1714"/>
      <c r="AX261" s="1783"/>
      <c r="AY261" s="1784"/>
      <c r="AZ261" s="1784"/>
      <c r="BA261" s="1785"/>
      <c r="BB261" s="1714"/>
      <c r="BC261" s="1783"/>
      <c r="BD261" s="1784"/>
      <c r="BE261" s="1784"/>
      <c r="BF261" s="1785"/>
      <c r="BG261" s="1714"/>
      <c r="BH261" s="1783"/>
      <c r="BI261" s="1784"/>
      <c r="BJ261" s="1784"/>
      <c r="BK261" s="1785"/>
      <c r="BL261" s="1714"/>
      <c r="BM261" s="1716"/>
      <c r="BN261" s="1716"/>
      <c r="BO261" s="1716"/>
      <c r="BP261" s="1716"/>
      <c r="BQ261" s="1716"/>
      <c r="BR261" s="1716"/>
      <c r="BS261" s="1716"/>
      <c r="BT261" s="1716"/>
      <c r="BU261" s="1716"/>
      <c r="BV261" s="1716"/>
      <c r="BW261" s="1716"/>
      <c r="BX261" s="1716"/>
      <c r="BY261" s="1716"/>
      <c r="BZ261" s="1716"/>
      <c r="CA261" s="1716"/>
      <c r="CB261" s="1716"/>
      <c r="CC261" s="1716"/>
      <c r="CD261" s="1716"/>
      <c r="CE261" s="1716"/>
      <c r="CF261" s="1716"/>
      <c r="CG261" s="1716"/>
      <c r="CH261" s="1716"/>
      <c r="CI261" s="1716"/>
      <c r="CJ261" s="1716"/>
      <c r="CK261" s="1716"/>
      <c r="CL261" s="1716"/>
      <c r="CM261" s="1716"/>
      <c r="CN261" s="1716"/>
      <c r="CO261" s="1716"/>
      <c r="CP261" s="1716"/>
    </row>
    <row r="262" spans="1:94">
      <c r="A262" s="1716"/>
      <c r="B262" s="1716"/>
      <c r="C262" s="1716" t="s">
        <v>1313</v>
      </c>
      <c r="D262" s="1716"/>
      <c r="E262" s="1700"/>
      <c r="F262" s="1337"/>
      <c r="G262" s="1337"/>
      <c r="H262" s="1701"/>
      <c r="I262" s="1714"/>
      <c r="J262" s="1783"/>
      <c r="K262" s="1784"/>
      <c r="L262" s="1784"/>
      <c r="M262" s="1785"/>
      <c r="N262" s="1714"/>
      <c r="O262" s="1783"/>
      <c r="P262" s="1784"/>
      <c r="Q262" s="1784"/>
      <c r="R262" s="1785"/>
      <c r="S262" s="1714">
        <f>9.4%*(2485/S250)+11.3%*(641/S250)</f>
        <v>9.8336439588688956E-2</v>
      </c>
      <c r="T262" s="1783"/>
      <c r="U262" s="1784"/>
      <c r="V262" s="1784"/>
      <c r="W262" s="1785"/>
      <c r="X262" s="1714">
        <f>S262</f>
        <v>9.8336439588688956E-2</v>
      </c>
      <c r="Y262" s="1783"/>
      <c r="Z262" s="1784"/>
      <c r="AA262" s="1784"/>
      <c r="AB262" s="1785"/>
      <c r="AC262" s="1714">
        <f>X262</f>
        <v>9.8336439588688956E-2</v>
      </c>
      <c r="AD262" s="1783"/>
      <c r="AE262" s="1784"/>
      <c r="AF262" s="1784"/>
      <c r="AG262" s="1785"/>
      <c r="AH262" s="1714">
        <f>AC262</f>
        <v>9.8336439588688956E-2</v>
      </c>
      <c r="AI262" s="1783"/>
      <c r="AJ262" s="1784"/>
      <c r="AK262" s="1784"/>
      <c r="AL262" s="1785">
        <f>9.55%*(1636.944/AM255)+9.4%*(1731.816/AM255)+10.5%*((AM255-1636.944-1731.816)/AM255)</f>
        <v>9.6349764000000004E-2</v>
      </c>
      <c r="AM262" s="1714">
        <f>AL262</f>
        <v>9.6349764000000004E-2</v>
      </c>
      <c r="AN262" s="1783"/>
      <c r="AO262" s="1784"/>
      <c r="AP262" s="1784"/>
      <c r="AQ262" s="1785"/>
      <c r="AR262" s="1714">
        <f>AM262</f>
        <v>9.6349764000000004E-2</v>
      </c>
      <c r="AS262" s="1783"/>
      <c r="AT262" s="1784"/>
      <c r="AU262" s="1784"/>
      <c r="AV262" s="1785"/>
      <c r="AW262" s="1714">
        <f>AR262</f>
        <v>9.6349764000000004E-2</v>
      </c>
      <c r="AX262" s="1783"/>
      <c r="AY262" s="1784"/>
      <c r="AZ262" s="1784"/>
      <c r="BA262" s="1785"/>
      <c r="BB262" s="1714">
        <f>AW262</f>
        <v>9.6349764000000004E-2</v>
      </c>
      <c r="BC262" s="1783"/>
      <c r="BD262" s="1784"/>
      <c r="BE262" s="1784"/>
      <c r="BF262" s="1785"/>
      <c r="BG262" s="1714">
        <f>BB262</f>
        <v>9.6349764000000004E-2</v>
      </c>
      <c r="BH262" s="1783"/>
      <c r="BI262" s="1784"/>
      <c r="BJ262" s="1784"/>
      <c r="BK262" s="1785"/>
      <c r="BL262" s="2268">
        <f>+BG262</f>
        <v>9.6349764000000004E-2</v>
      </c>
      <c r="BM262" s="1716"/>
      <c r="BN262" s="1716"/>
      <c r="BO262" s="1716"/>
      <c r="BP262" s="1716"/>
      <c r="BQ262" s="1716"/>
      <c r="BR262" s="1716"/>
      <c r="BS262" s="1716"/>
      <c r="BT262" s="1716"/>
      <c r="BU262" s="1716"/>
      <c r="BV262" s="1716"/>
      <c r="BW262" s="1716"/>
      <c r="BX262" s="1716"/>
      <c r="BY262" s="1716"/>
      <c r="BZ262" s="1716"/>
      <c r="CA262" s="1716"/>
      <c r="CB262" s="1716"/>
      <c r="CC262" s="1716"/>
      <c r="CD262" s="1716"/>
      <c r="CE262" s="1716"/>
      <c r="CF262" s="1716"/>
      <c r="CG262" s="1716"/>
      <c r="CH262" s="1716"/>
      <c r="CI262" s="1716"/>
      <c r="CJ262" s="1716"/>
      <c r="CK262" s="1716"/>
      <c r="CL262" s="1716"/>
      <c r="CM262" s="1716"/>
      <c r="CN262" s="1716"/>
      <c r="CO262" s="1716"/>
      <c r="CP262" s="1716"/>
    </row>
    <row r="263" spans="1:94">
      <c r="A263" s="1716"/>
      <c r="B263" s="1716"/>
      <c r="C263" s="1716" t="s">
        <v>747</v>
      </c>
      <c r="D263" s="1716"/>
      <c r="E263" s="1786"/>
      <c r="F263" s="1768"/>
      <c r="G263" s="1768"/>
      <c r="H263" s="1769"/>
      <c r="I263" s="1787">
        <f>I231/(I259*(AVERAGE(I250,I245)))</f>
        <v>9.9257390331768336E-2</v>
      </c>
      <c r="J263" s="1786"/>
      <c r="K263" s="1768"/>
      <c r="L263" s="1768"/>
      <c r="M263" s="1769"/>
      <c r="N263" s="1787">
        <f>N231/(N259*(AVERAGE(N250,N245)))</f>
        <v>8.1018602415713958E-2</v>
      </c>
      <c r="O263" s="1786"/>
      <c r="P263" s="1768"/>
      <c r="Q263" s="1768"/>
      <c r="R263" s="1769"/>
      <c r="S263" s="1787">
        <f>S231/(S258*(AVERAGE(S250,S245)))</f>
        <v>8.8334887373018603E-2</v>
      </c>
      <c r="T263" s="1786"/>
      <c r="U263" s="1768"/>
      <c r="V263" s="1768"/>
      <c r="W263" s="1769"/>
      <c r="X263" s="1787">
        <f>X231/(X259*(AVERAGE(X250,X245)))</f>
        <v>9.3879344086231609E-2</v>
      </c>
      <c r="Y263" s="1786"/>
      <c r="Z263" s="1768"/>
      <c r="AA263" s="1768"/>
      <c r="AB263" s="1769"/>
      <c r="AC263" s="1787">
        <f>AC231/(AC259*(AVERAGE(AC250,AC245)))</f>
        <v>9.9198706303766038E-2</v>
      </c>
      <c r="AD263" s="1786"/>
      <c r="AE263" s="1768"/>
      <c r="AF263" s="1768"/>
      <c r="AG263" s="1769"/>
      <c r="AH263" s="1787">
        <f>AH231/(AH259*(AVERAGE(AH250,AH245)))</f>
        <v>0.10176975985629196</v>
      </c>
      <c r="AI263" s="1786"/>
      <c r="AJ263" s="1768"/>
      <c r="AK263" s="1768"/>
      <c r="AL263" s="1769"/>
      <c r="AM263" s="1787">
        <f>AM231/(AM259*(AVERAGE(AM250,AM245)))</f>
        <v>-0.12644460028050492</v>
      </c>
      <c r="AN263" s="1786"/>
      <c r="AO263" s="1768"/>
      <c r="AP263" s="1768"/>
      <c r="AQ263" s="1769"/>
      <c r="AR263" s="1787">
        <f>AR231/(AR259*(AVERAGE(AR250,AR245)))</f>
        <v>8.7607134751313917E-2</v>
      </c>
      <c r="AS263" s="1786"/>
      <c r="AT263" s="1768"/>
      <c r="AU263" s="1768"/>
      <c r="AV263" s="1769"/>
      <c r="AW263" s="1787">
        <f ca="1">AW231/(AW259*(AVERAGE(AW250,AW245)))</f>
        <v>9.2506699274681914E-2</v>
      </c>
      <c r="AX263" s="1786"/>
      <c r="AY263" s="1768"/>
      <c r="AZ263" s="1768"/>
      <c r="BA263" s="1769"/>
      <c r="BB263" s="1787">
        <f ca="1">BB231/(BB259*(AVERAGE(BB250,BB245)))</f>
        <v>8.9504777277551364E-2</v>
      </c>
      <c r="BC263" s="1786"/>
      <c r="BD263" s="1768"/>
      <c r="BE263" s="1768"/>
      <c r="BF263" s="1769"/>
      <c r="BG263" s="1787">
        <f ca="1">BG231/(BG259*(AVERAGE(BG250,BG245)))</f>
        <v>9.1337762313749044E-2</v>
      </c>
      <c r="BH263" s="1786"/>
      <c r="BI263" s="1768"/>
      <c r="BJ263" s="1768"/>
      <c r="BK263" s="1769"/>
      <c r="BL263" s="1787">
        <f ca="1">BL231/(BL259*(AVERAGE(BL250,BL245)))</f>
        <v>9.4205844652850729E-2</v>
      </c>
      <c r="BM263" s="1716"/>
      <c r="BN263" s="1716"/>
      <c r="BO263" s="1716"/>
      <c r="BP263" s="1716"/>
      <c r="BQ263" s="1716"/>
      <c r="BR263" s="1716"/>
      <c r="BS263" s="1716"/>
      <c r="BT263" s="1716"/>
      <c r="BU263" s="1716"/>
      <c r="BV263" s="1716"/>
      <c r="BW263" s="1716"/>
      <c r="BX263" s="1716"/>
      <c r="BY263" s="1716"/>
      <c r="BZ263" s="1716"/>
      <c r="CA263" s="1716"/>
      <c r="CB263" s="1716"/>
      <c r="CC263" s="1716"/>
      <c r="CD263" s="1716"/>
      <c r="CE263" s="1716"/>
      <c r="CF263" s="1716"/>
      <c r="CG263" s="1716"/>
      <c r="CH263" s="1716"/>
      <c r="CI263" s="1716"/>
      <c r="CJ263" s="1716"/>
      <c r="CK263" s="1716"/>
      <c r="CL263" s="1716"/>
      <c r="CM263" s="1716"/>
      <c r="CN263" s="1716"/>
      <c r="CO263" s="1716"/>
      <c r="CP263" s="1716"/>
    </row>
    <row r="264" spans="1:94">
      <c r="A264" s="1716"/>
      <c r="B264" s="1716"/>
      <c r="C264" s="1716"/>
      <c r="D264" s="1716"/>
      <c r="E264" s="1788"/>
      <c r="F264" s="1789"/>
      <c r="G264" s="1789"/>
      <c r="H264" s="1790"/>
      <c r="I264" s="1787"/>
      <c r="J264" s="1788"/>
      <c r="K264" s="1789"/>
      <c r="L264" s="1789"/>
      <c r="M264" s="1790"/>
      <c r="N264" s="1787"/>
      <c r="O264" s="1788"/>
      <c r="P264" s="1789"/>
      <c r="Q264" s="1789"/>
      <c r="R264" s="1790"/>
      <c r="S264" s="1787"/>
      <c r="T264" s="1788"/>
      <c r="U264" s="1789"/>
      <c r="V264" s="1789"/>
      <c r="W264" s="1790"/>
      <c r="X264" s="1787"/>
      <c r="Y264" s="1788"/>
      <c r="Z264" s="1789"/>
      <c r="AA264" s="1789"/>
      <c r="AB264" s="1790"/>
      <c r="AC264" s="1787"/>
      <c r="AD264" s="1788"/>
      <c r="AE264" s="1789"/>
      <c r="AF264" s="1789"/>
      <c r="AG264" s="1790"/>
      <c r="AH264" s="1787"/>
      <c r="AI264" s="1788"/>
      <c r="AJ264" s="1789"/>
      <c r="AK264" s="1789"/>
      <c r="AL264" s="1790"/>
      <c r="AM264" s="1787"/>
      <c r="AN264" s="1788"/>
      <c r="AO264" s="1789"/>
      <c r="AP264" s="1789"/>
      <c r="AQ264" s="1790"/>
      <c r="AR264" s="1787"/>
      <c r="AS264" s="1788"/>
      <c r="AT264" s="1789"/>
      <c r="AU264" s="1789"/>
      <c r="AV264" s="1790"/>
      <c r="AW264" s="1787"/>
      <c r="AX264" s="1788"/>
      <c r="AY264" s="1789"/>
      <c r="AZ264" s="1789"/>
      <c r="BA264" s="1790"/>
      <c r="BB264" s="1787"/>
      <c r="BC264" s="1788"/>
      <c r="BD264" s="1789"/>
      <c r="BE264" s="1789"/>
      <c r="BF264" s="1790"/>
      <c r="BG264" s="1787"/>
      <c r="BH264" s="1788"/>
      <c r="BI264" s="1789"/>
      <c r="BJ264" s="1789"/>
      <c r="BK264" s="1790"/>
      <c r="BL264" s="1787"/>
      <c r="BM264" s="1716"/>
      <c r="BN264" s="1716"/>
      <c r="BO264" s="1716"/>
      <c r="BP264" s="1716"/>
      <c r="BQ264" s="1716"/>
      <c r="BR264" s="1716"/>
      <c r="BS264" s="1716"/>
      <c r="BT264" s="1716"/>
      <c r="BU264" s="1716"/>
      <c r="BV264" s="1716"/>
      <c r="BW264" s="1716"/>
      <c r="BX264" s="1716"/>
      <c r="BY264" s="1716"/>
      <c r="BZ264" s="1716"/>
      <c r="CA264" s="1716"/>
      <c r="CB264" s="1716"/>
      <c r="CC264" s="1716"/>
      <c r="CD264" s="1716"/>
      <c r="CE264" s="1716"/>
      <c r="CF264" s="1716"/>
      <c r="CG264" s="1716"/>
      <c r="CH264" s="1716"/>
      <c r="CI264" s="1716"/>
      <c r="CJ264" s="1716"/>
      <c r="CK264" s="1716"/>
      <c r="CL264" s="1716"/>
      <c r="CM264" s="1716"/>
      <c r="CN264" s="1716"/>
      <c r="CO264" s="1716"/>
      <c r="CP264" s="1716"/>
    </row>
    <row r="267" spans="1:94">
      <c r="X267" s="1791"/>
    </row>
  </sheetData>
  <phoneticPr fontId="2" type="noConversion"/>
  <pageMargins left="0.5" right="0.5" top="0.5" bottom="0.5" header="0" footer="0"/>
  <pageSetup scale="55" fitToHeight="4" orientation="landscape" r:id="rId1"/>
  <headerFooter alignWithMargins="0"/>
  <rowBreaks count="4" manualBreakCount="4">
    <brk id="60" max="39" man="1"/>
    <brk id="83" max="39" man="1"/>
    <brk id="141" max="39" man="1"/>
    <brk id="225" max="39"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DT306"/>
  <sheetViews>
    <sheetView zoomScale="85" zoomScaleNormal="85" workbookViewId="0">
      <pane xSplit="4" ySplit="5" topLeftCell="I6" activePane="bottomRight" state="frozen"/>
      <selection activeCell="I6" sqref="I6"/>
      <selection pane="topRight" activeCell="I6" sqref="I6"/>
      <selection pane="bottomLeft" activeCell="I6" sqref="I6"/>
      <selection pane="bottomRight" activeCell="I6" sqref="I6"/>
    </sheetView>
  </sheetViews>
  <sheetFormatPr defaultRowHeight="12.75" outlineLevelCol="1"/>
  <cols>
    <col min="1" max="2" width="2.7109375" style="1663" customWidth="1"/>
    <col min="3" max="3" width="50.85546875" style="1663" customWidth="1"/>
    <col min="4" max="4" width="2.7109375" style="1663" customWidth="1"/>
    <col min="5" max="8" width="9" style="1663" hidden="1" customWidth="1" outlineLevel="1"/>
    <col min="9" max="9" width="9" style="1663" customWidth="1" collapsed="1"/>
    <col min="10" max="13" width="9" style="1663" hidden="1" customWidth="1" outlineLevel="1"/>
    <col min="14" max="14" width="9" style="1663" customWidth="1" collapsed="1"/>
    <col min="15" max="18" width="9" style="1663" hidden="1" customWidth="1" outlineLevel="1"/>
    <col min="19" max="19" width="9" style="1663" customWidth="1" collapsed="1"/>
    <col min="20" max="23" width="9" style="1663" hidden="1" customWidth="1" outlineLevel="1"/>
    <col min="24" max="24" width="9" style="1663" customWidth="1" collapsed="1"/>
    <col min="25" max="28" width="9" style="1663" hidden="1" customWidth="1" outlineLevel="1"/>
    <col min="29" max="29" width="9" style="1663" customWidth="1" collapsed="1"/>
    <col min="30" max="33" width="9" style="1663" hidden="1" customWidth="1" outlineLevel="1"/>
    <col min="34" max="34" width="9" style="1663" customWidth="1" collapsed="1"/>
    <col min="35" max="38" width="9" style="1663" hidden="1" customWidth="1" outlineLevel="1"/>
    <col min="39" max="39" width="9" style="1663" customWidth="1" collapsed="1"/>
    <col min="40" max="43" width="9" style="1663" hidden="1" customWidth="1" outlineLevel="1"/>
    <col min="44" max="44" width="9" style="1663" customWidth="1" collapsed="1"/>
    <col min="45" max="48" width="9" style="1663" hidden="1" customWidth="1" outlineLevel="1"/>
    <col min="49" max="49" width="9" style="1663" customWidth="1" collapsed="1"/>
    <col min="50" max="53" width="9" style="1663" hidden="1" customWidth="1" outlineLevel="1"/>
    <col min="54" max="54" width="9" style="1663" customWidth="1" collapsed="1"/>
    <col min="55" max="58" width="9" style="1663" hidden="1" customWidth="1" outlineLevel="1"/>
    <col min="59" max="59" width="9" style="1663" customWidth="1" collapsed="1"/>
    <col min="60" max="63" width="9" style="1663" hidden="1" customWidth="1" outlineLevel="1"/>
    <col min="64" max="64" width="9" style="1663" customWidth="1" collapsed="1"/>
    <col min="65" max="79" width="9.140625" style="1663"/>
    <col min="80" max="80" width="11.42578125" style="1663" customWidth="1"/>
    <col min="81" max="82" width="11.42578125" style="1663" bestFit="1" customWidth="1"/>
    <col min="83" max="83" width="9.7109375" style="1663" customWidth="1"/>
    <col min="84" max="84" width="11.42578125" style="1663" customWidth="1"/>
    <col min="85" max="87" width="11.42578125" style="1663" bestFit="1" customWidth="1"/>
    <col min="88" max="88" width="10.7109375" style="1663" bestFit="1" customWidth="1"/>
    <col min="89" max="91" width="11.42578125" style="1663" bestFit="1" customWidth="1"/>
    <col min="92" max="94" width="9.7109375" style="1663" bestFit="1" customWidth="1"/>
    <col min="95" max="16384" width="9.140625" style="1663"/>
  </cols>
  <sheetData>
    <row r="1" spans="1:94" ht="15" customHeight="1">
      <c r="A1" s="1658"/>
      <c r="B1" s="1658"/>
      <c r="C1" s="1658"/>
      <c r="D1" s="1659"/>
      <c r="E1" s="1660"/>
      <c r="F1" s="1660"/>
      <c r="G1" s="1660"/>
      <c r="H1" s="1660"/>
      <c r="I1" s="1660"/>
      <c r="J1" s="1660"/>
      <c r="K1" s="1660"/>
      <c r="L1" s="1660"/>
      <c r="M1" s="1660"/>
      <c r="N1" s="1660"/>
      <c r="O1" s="1660"/>
      <c r="P1" s="1660"/>
      <c r="Q1" s="1660"/>
      <c r="R1" s="1660"/>
      <c r="S1" s="1660"/>
      <c r="T1" s="1660"/>
      <c r="U1" s="1660"/>
      <c r="V1" s="1660"/>
      <c r="W1" s="1661"/>
      <c r="X1" s="1660"/>
      <c r="Y1" s="1660"/>
      <c r="Z1" s="1660"/>
      <c r="AA1" s="1660"/>
      <c r="AB1" s="1661"/>
      <c r="AC1" s="1660"/>
      <c r="AD1" s="1660"/>
      <c r="AE1" s="1660"/>
      <c r="AF1" s="1660"/>
      <c r="AG1" s="1661"/>
      <c r="AH1" s="1660"/>
      <c r="AI1" s="1660"/>
      <c r="AJ1" s="1660"/>
      <c r="AK1" s="1660"/>
      <c r="AL1" s="1661"/>
      <c r="AM1" s="1660"/>
      <c r="AN1" s="1660"/>
      <c r="AO1" s="1660"/>
      <c r="AP1" s="1660"/>
      <c r="AQ1" s="1661"/>
      <c r="AR1" s="1660"/>
      <c r="AS1" s="1660"/>
      <c r="AT1" s="1660"/>
      <c r="AU1" s="1660"/>
      <c r="AV1" s="1661"/>
      <c r="AW1" s="1660"/>
      <c r="AX1" s="1660"/>
      <c r="AY1" s="1660"/>
      <c r="AZ1" s="1660"/>
      <c r="BA1" s="1661"/>
      <c r="BB1" s="1660"/>
      <c r="BC1" s="1660"/>
      <c r="BD1" s="1660"/>
      <c r="BE1" s="1660"/>
      <c r="BF1" s="1661"/>
      <c r="BG1" s="1660"/>
      <c r="BH1" s="1660"/>
      <c r="BI1" s="1660"/>
      <c r="BJ1" s="1660"/>
      <c r="BK1" s="1661"/>
      <c r="BL1" s="1660"/>
      <c r="BM1" s="1662"/>
      <c r="BN1" s="1662"/>
      <c r="BO1" s="1662"/>
      <c r="BP1" s="1662"/>
      <c r="BQ1" s="1662"/>
      <c r="BR1" s="1662"/>
      <c r="BS1" s="1662"/>
      <c r="BT1" s="1662"/>
      <c r="BU1" s="1662"/>
      <c r="BV1" s="1662"/>
      <c r="BW1" s="1662"/>
      <c r="BX1" s="1662"/>
      <c r="BY1" s="1662"/>
      <c r="BZ1" s="1662"/>
      <c r="CA1" s="1662"/>
      <c r="CB1" s="1662"/>
      <c r="CC1" s="1662"/>
      <c r="CD1" s="1662"/>
      <c r="CE1" s="1662"/>
      <c r="CF1" s="1662"/>
      <c r="CG1" s="1662"/>
      <c r="CH1" s="1662"/>
      <c r="CI1" s="1662"/>
      <c r="CJ1" s="1662"/>
      <c r="CK1" s="1662"/>
      <c r="CL1" s="1662"/>
      <c r="CM1" s="1662"/>
      <c r="CN1" s="1662"/>
      <c r="CO1" s="1662"/>
      <c r="CP1" s="1662"/>
    </row>
    <row r="2" spans="1:94" ht="15" customHeight="1">
      <c r="A2" s="1658"/>
      <c r="B2" s="1658" t="str">
        <f>Cover!B2</f>
        <v>Exelon Corporation</v>
      </c>
      <c r="C2" s="1658"/>
      <c r="D2" s="1659"/>
      <c r="E2" s="1660"/>
      <c r="F2" s="1660"/>
      <c r="G2" s="1660"/>
      <c r="H2" s="1660"/>
      <c r="I2" s="1660"/>
      <c r="J2" s="1660"/>
      <c r="K2" s="1660"/>
      <c r="L2" s="1660"/>
      <c r="M2" s="1660"/>
      <c r="N2" s="1660"/>
      <c r="O2" s="1660"/>
      <c r="P2" s="1660"/>
      <c r="Q2" s="1660"/>
      <c r="R2" s="1660"/>
      <c r="S2" s="1660"/>
      <c r="T2" s="1660"/>
      <c r="U2" s="1660"/>
      <c r="V2" s="1660"/>
      <c r="W2" s="1661"/>
      <c r="X2" s="1660"/>
      <c r="Y2" s="1660"/>
      <c r="Z2" s="1660"/>
      <c r="AA2" s="1660"/>
      <c r="AB2" s="1661"/>
      <c r="AC2" s="1660"/>
      <c r="AD2" s="1660"/>
      <c r="AE2" s="1660"/>
      <c r="AF2" s="1660"/>
      <c r="AG2" s="1661"/>
      <c r="AH2" s="1660"/>
      <c r="AI2" s="1660"/>
      <c r="AJ2" s="1660"/>
      <c r="AK2" s="1660"/>
      <c r="AL2" s="1661"/>
      <c r="AM2" s="1660"/>
      <c r="AN2" s="1660"/>
      <c r="AO2" s="1660"/>
      <c r="AP2" s="1660"/>
      <c r="AQ2" s="1661"/>
      <c r="AR2" s="1660"/>
      <c r="AS2" s="1660"/>
      <c r="AT2" s="1660"/>
      <c r="AU2" s="1660"/>
      <c r="AV2" s="1661"/>
      <c r="AW2" s="1660"/>
      <c r="AX2" s="1660"/>
      <c r="AY2" s="1660"/>
      <c r="AZ2" s="1660"/>
      <c r="BA2" s="1661"/>
      <c r="BB2" s="1660"/>
      <c r="BC2" s="1660"/>
      <c r="BD2" s="1660"/>
      <c r="BE2" s="1660"/>
      <c r="BF2" s="1661"/>
      <c r="BG2" s="1660"/>
      <c r="BH2" s="1660"/>
      <c r="BI2" s="1660"/>
      <c r="BJ2" s="1660"/>
      <c r="BK2" s="1661"/>
      <c r="BL2" s="1660"/>
      <c r="BM2" s="1662"/>
      <c r="BN2" s="1662"/>
      <c r="BO2" s="1662"/>
      <c r="BP2" s="1662"/>
      <c r="BQ2" s="1662"/>
      <c r="BR2" s="1662"/>
      <c r="BS2" s="1662"/>
      <c r="BT2" s="1662"/>
      <c r="BU2" s="1662"/>
      <c r="BV2" s="1662"/>
      <c r="BW2" s="1662"/>
      <c r="BX2" s="1662"/>
      <c r="BY2" s="1662"/>
      <c r="BZ2" s="1662"/>
      <c r="CA2" s="1662"/>
      <c r="CB2" s="1662"/>
      <c r="CC2" s="1662"/>
      <c r="CD2" s="1662"/>
      <c r="CE2" s="1662"/>
      <c r="CF2" s="1662"/>
      <c r="CG2" s="1662"/>
      <c r="CH2" s="1662"/>
      <c r="CI2" s="1662"/>
      <c r="CJ2" s="1662"/>
      <c r="CK2" s="1662"/>
      <c r="CL2" s="1662"/>
      <c r="CM2" s="1662"/>
      <c r="CN2" s="1662"/>
      <c r="CO2" s="1662"/>
      <c r="CP2" s="1662"/>
    </row>
    <row r="3" spans="1:94" ht="15" customHeight="1">
      <c r="A3" s="1664"/>
      <c r="B3" s="1665" t="s">
        <v>748</v>
      </c>
      <c r="C3" s="1664"/>
      <c r="D3" s="1660"/>
      <c r="E3" s="1660"/>
      <c r="F3" s="1660"/>
      <c r="G3" s="1660"/>
      <c r="H3" s="1660"/>
      <c r="I3" s="1660"/>
      <c r="J3" s="1660"/>
      <c r="K3" s="1660"/>
      <c r="L3" s="1660"/>
      <c r="M3" s="1660"/>
      <c r="N3" s="1660"/>
      <c r="O3" s="1660"/>
      <c r="P3" s="1660"/>
      <c r="Q3" s="1660"/>
      <c r="R3" s="1660"/>
      <c r="S3" s="1660"/>
      <c r="T3" s="1660"/>
      <c r="U3" s="1660"/>
      <c r="V3" s="1660"/>
      <c r="W3" s="1660"/>
      <c r="X3" s="1660"/>
      <c r="Y3" s="1660"/>
      <c r="Z3" s="1660"/>
      <c r="AA3" s="1660"/>
      <c r="AB3" s="1660"/>
      <c r="AC3" s="1660"/>
      <c r="AD3" s="1660"/>
      <c r="AE3" s="1660"/>
      <c r="AF3" s="1660"/>
      <c r="AG3" s="1660"/>
      <c r="AH3" s="1660"/>
      <c r="AI3" s="1660"/>
      <c r="AJ3" s="1660"/>
      <c r="AK3" s="1660"/>
      <c r="AL3" s="1660"/>
      <c r="AM3" s="1660"/>
      <c r="AN3" s="1660"/>
      <c r="AO3" s="1660"/>
      <c r="AP3" s="1660"/>
      <c r="AQ3" s="1660"/>
      <c r="AR3" s="1660"/>
      <c r="AS3" s="1660"/>
      <c r="AT3" s="1660"/>
      <c r="AU3" s="1660"/>
      <c r="AV3" s="1660"/>
      <c r="AW3" s="1660"/>
      <c r="AX3" s="1660"/>
      <c r="AY3" s="1660"/>
      <c r="AZ3" s="1660"/>
      <c r="BA3" s="1660"/>
      <c r="BB3" s="1660"/>
      <c r="BC3" s="1660"/>
      <c r="BD3" s="1660"/>
      <c r="BE3" s="1660"/>
      <c r="BF3" s="1660"/>
      <c r="BG3" s="1660"/>
      <c r="BH3" s="1660"/>
      <c r="BI3" s="1660"/>
      <c r="BJ3" s="1660"/>
      <c r="BK3" s="1660"/>
      <c r="BL3" s="1660"/>
      <c r="BM3" s="1662"/>
      <c r="BN3" s="1662"/>
      <c r="BO3" s="1662"/>
      <c r="BP3" s="1662"/>
      <c r="BQ3" s="1662"/>
      <c r="BR3" s="1662"/>
      <c r="BS3" s="1662"/>
      <c r="BT3" s="1662"/>
      <c r="BU3" s="1662"/>
      <c r="BV3" s="1662"/>
      <c r="BW3" s="1662"/>
      <c r="BX3" s="1662"/>
      <c r="BY3" s="1662"/>
      <c r="BZ3" s="1662"/>
      <c r="CA3" s="1662"/>
      <c r="CB3" s="1662"/>
      <c r="CC3" s="1662"/>
      <c r="CD3" s="1662"/>
      <c r="CE3" s="1662"/>
      <c r="CF3" s="1662"/>
      <c r="CG3" s="1662"/>
      <c r="CH3" s="1662"/>
      <c r="CI3" s="1662"/>
      <c r="CJ3" s="1662"/>
      <c r="CK3" s="1662"/>
      <c r="CL3" s="1662"/>
      <c r="CM3" s="1662"/>
      <c r="CN3" s="1662"/>
      <c r="CO3" s="1662"/>
      <c r="CP3" s="1662"/>
    </row>
    <row r="4" spans="1:94">
      <c r="A4" s="1666"/>
      <c r="B4" s="1667" t="s">
        <v>69</v>
      </c>
      <c r="C4" s="1666"/>
      <c r="D4" s="1668"/>
      <c r="E4" s="1669"/>
      <c r="F4" s="1669"/>
      <c r="G4" s="1669"/>
      <c r="H4" s="1669"/>
      <c r="I4" s="1669"/>
      <c r="J4" s="1669"/>
      <c r="K4" s="1669"/>
      <c r="L4" s="1669"/>
      <c r="M4" s="1669"/>
      <c r="N4" s="1669"/>
      <c r="O4" s="1669"/>
      <c r="P4" s="1669"/>
      <c r="Q4" s="1669"/>
      <c r="R4" s="1669"/>
      <c r="S4" s="1669"/>
      <c r="T4" s="1669"/>
      <c r="U4" s="1669"/>
      <c r="V4" s="1669"/>
      <c r="W4" s="1669"/>
      <c r="X4" s="1669"/>
      <c r="Y4" s="1669"/>
      <c r="Z4" s="1669"/>
      <c r="AA4" s="1669"/>
      <c r="AB4" s="1669"/>
      <c r="AC4" s="1669"/>
      <c r="AD4" s="1669"/>
      <c r="AE4" s="1669"/>
      <c r="AF4" s="1669"/>
      <c r="AG4" s="1669"/>
      <c r="AH4" s="1669"/>
      <c r="AI4" s="1669"/>
      <c r="AJ4" s="1669"/>
      <c r="AK4" s="1669"/>
      <c r="AL4" s="1669"/>
      <c r="AM4" s="1669"/>
      <c r="AN4" s="1669"/>
      <c r="AO4" s="1669"/>
      <c r="AP4" s="1669"/>
      <c r="AQ4" s="1669"/>
      <c r="AR4" s="1669"/>
      <c r="AS4" s="1669"/>
      <c r="AT4" s="1669"/>
      <c r="AU4" s="1669"/>
      <c r="AV4" s="1669"/>
      <c r="AW4" s="1669"/>
      <c r="AX4" s="1669"/>
      <c r="AY4" s="1669"/>
      <c r="AZ4" s="1669"/>
      <c r="BA4" s="1669"/>
      <c r="BB4" s="1669"/>
      <c r="BC4" s="1669"/>
      <c r="BD4" s="1669"/>
      <c r="BE4" s="1669"/>
      <c r="BF4" s="1669"/>
      <c r="BG4" s="1669"/>
      <c r="BH4" s="1669"/>
      <c r="BI4" s="1669"/>
      <c r="BJ4" s="1669"/>
      <c r="BK4" s="1669"/>
      <c r="BL4" s="1669"/>
      <c r="BM4" s="1670"/>
      <c r="BN4" s="1670"/>
      <c r="BO4" s="1670"/>
      <c r="BP4" s="1670"/>
      <c r="BQ4" s="1670"/>
      <c r="BR4" s="1670"/>
      <c r="BS4" s="1670"/>
      <c r="BT4" s="1670"/>
      <c r="BU4" s="1670"/>
      <c r="BV4" s="1670"/>
      <c r="BW4" s="1670"/>
      <c r="BX4" s="1670"/>
      <c r="BY4" s="1670"/>
      <c r="BZ4" s="1670"/>
      <c r="CA4" s="1670"/>
      <c r="CB4" s="1670"/>
      <c r="CC4" s="1670"/>
      <c r="CD4" s="1670"/>
      <c r="CE4" s="1670"/>
      <c r="CF4" s="1670"/>
      <c r="CG4" s="1670"/>
      <c r="CH4" s="1670"/>
      <c r="CI4" s="1670"/>
      <c r="CJ4" s="1670"/>
      <c r="CK4" s="1670"/>
      <c r="CL4" s="1670"/>
      <c r="CM4" s="1670"/>
      <c r="CN4" s="1670"/>
      <c r="CO4" s="1670"/>
      <c r="CP4" s="1670"/>
    </row>
    <row r="5" spans="1:94">
      <c r="A5" s="890"/>
      <c r="B5" s="1671" t="s">
        <v>504</v>
      </c>
      <c r="C5" s="1672"/>
      <c r="D5" s="1673"/>
      <c r="E5" s="1674" t="s">
        <v>324</v>
      </c>
      <c r="F5" s="1675" t="s">
        <v>325</v>
      </c>
      <c r="G5" s="1675" t="s">
        <v>326</v>
      </c>
      <c r="H5" s="1676" t="s">
        <v>327</v>
      </c>
      <c r="I5" s="1677" t="s">
        <v>112</v>
      </c>
      <c r="J5" s="1674" t="s">
        <v>268</v>
      </c>
      <c r="K5" s="1675" t="s">
        <v>269</v>
      </c>
      <c r="L5" s="1675" t="s">
        <v>270</v>
      </c>
      <c r="M5" s="1676" t="s">
        <v>271</v>
      </c>
      <c r="N5" s="1677">
        <v>2011</v>
      </c>
      <c r="O5" s="1674" t="s">
        <v>616</v>
      </c>
      <c r="P5" s="1675" t="s">
        <v>1201</v>
      </c>
      <c r="Q5" s="1675" t="s">
        <v>1251</v>
      </c>
      <c r="R5" s="1676" t="s">
        <v>1252</v>
      </c>
      <c r="S5" s="1678" t="s">
        <v>1253</v>
      </c>
      <c r="T5" s="1674" t="s">
        <v>674</v>
      </c>
      <c r="U5" s="1675" t="s">
        <v>673</v>
      </c>
      <c r="V5" s="1675" t="s">
        <v>919</v>
      </c>
      <c r="W5" s="1676" t="s">
        <v>920</v>
      </c>
      <c r="X5" s="1678" t="s">
        <v>921</v>
      </c>
      <c r="Y5" s="1674" t="s">
        <v>1218</v>
      </c>
      <c r="Z5" s="1675" t="s">
        <v>1211</v>
      </c>
      <c r="AA5" s="1675" t="s">
        <v>1344</v>
      </c>
      <c r="AB5" s="1676" t="s">
        <v>1345</v>
      </c>
      <c r="AC5" s="1678" t="s">
        <v>1343</v>
      </c>
      <c r="AD5" s="1674" t="s">
        <v>1409</v>
      </c>
      <c r="AE5" s="1675" t="s">
        <v>1405</v>
      </c>
      <c r="AF5" s="1675" t="s">
        <v>1406</v>
      </c>
      <c r="AG5" s="1676" t="s">
        <v>1407</v>
      </c>
      <c r="AH5" s="1678" t="s">
        <v>1410</v>
      </c>
      <c r="AI5" s="1674" t="s">
        <v>1436</v>
      </c>
      <c r="AJ5" s="555" t="s">
        <v>1439</v>
      </c>
      <c r="AK5" s="555" t="s">
        <v>1480</v>
      </c>
      <c r="AL5" s="556" t="s">
        <v>1501</v>
      </c>
      <c r="AM5" s="558" t="s">
        <v>1502</v>
      </c>
      <c r="AN5" s="1674" t="s">
        <v>1515</v>
      </c>
      <c r="AO5" s="1675" t="s">
        <v>1534</v>
      </c>
      <c r="AP5" s="1675" t="s">
        <v>1536</v>
      </c>
      <c r="AQ5" s="556" t="s">
        <v>1538</v>
      </c>
      <c r="AR5" s="558" t="s">
        <v>1539</v>
      </c>
      <c r="AS5" s="1674" t="s">
        <v>926</v>
      </c>
      <c r="AT5" s="1675" t="s">
        <v>927</v>
      </c>
      <c r="AU5" s="1675" t="s">
        <v>928</v>
      </c>
      <c r="AV5" s="1676" t="s">
        <v>929</v>
      </c>
      <c r="AW5" s="1678" t="s">
        <v>935</v>
      </c>
      <c r="AX5" s="554" t="s">
        <v>1361</v>
      </c>
      <c r="AY5" s="555" t="s">
        <v>1362</v>
      </c>
      <c r="AZ5" s="555" t="s">
        <v>1363</v>
      </c>
      <c r="BA5" s="556" t="s">
        <v>1364</v>
      </c>
      <c r="BB5" s="558">
        <v>2019</v>
      </c>
      <c r="BC5" s="554" t="s">
        <v>1365</v>
      </c>
      <c r="BD5" s="555" t="s">
        <v>1366</v>
      </c>
      <c r="BE5" s="555" t="s">
        <v>1367</v>
      </c>
      <c r="BF5" s="556" t="s">
        <v>1368</v>
      </c>
      <c r="BG5" s="558">
        <v>2020</v>
      </c>
      <c r="BH5" s="554" t="s">
        <v>1516</v>
      </c>
      <c r="BI5" s="555" t="s">
        <v>1517</v>
      </c>
      <c r="BJ5" s="555" t="s">
        <v>1518</v>
      </c>
      <c r="BK5" s="556" t="s">
        <v>1519</v>
      </c>
      <c r="BL5" s="558">
        <v>2021</v>
      </c>
      <c r="BM5" s="1679"/>
      <c r="BN5" s="1679"/>
      <c r="BO5" s="1679"/>
      <c r="BP5" s="1679"/>
      <c r="BQ5" s="1679"/>
      <c r="BR5" s="1679"/>
      <c r="BS5" s="1679"/>
      <c r="BT5" s="1679"/>
      <c r="BU5" s="1679"/>
      <c r="BV5" s="1679"/>
      <c r="BW5" s="1679"/>
      <c r="BX5" s="1679"/>
      <c r="BY5" s="1679"/>
      <c r="BZ5" s="1679"/>
      <c r="CA5" s="1679"/>
      <c r="CB5" s="1679"/>
      <c r="CC5" s="1679"/>
      <c r="CD5" s="1679"/>
      <c r="CE5" s="1679"/>
      <c r="CF5" s="1679"/>
      <c r="CG5" s="1679"/>
      <c r="CH5" s="1679"/>
      <c r="CI5" s="1679"/>
      <c r="CJ5" s="1679"/>
      <c r="CK5" s="1679"/>
      <c r="CL5" s="1679"/>
      <c r="CM5" s="1679"/>
      <c r="CN5" s="1679"/>
      <c r="CO5" s="1679"/>
      <c r="CP5" s="1679"/>
    </row>
    <row r="6" spans="1:94">
      <c r="A6" s="890"/>
      <c r="B6" s="890"/>
      <c r="C6" s="890"/>
      <c r="D6" s="890"/>
      <c r="E6" s="290"/>
      <c r="F6" s="260"/>
      <c r="G6" s="260"/>
      <c r="H6" s="291"/>
      <c r="I6" s="774"/>
      <c r="J6" s="290"/>
      <c r="K6" s="260"/>
      <c r="L6" s="260"/>
      <c r="M6" s="291"/>
      <c r="N6" s="774"/>
      <c r="O6" s="290"/>
      <c r="P6" s="260"/>
      <c r="Q6" s="260"/>
      <c r="R6" s="291"/>
      <c r="S6" s="774"/>
      <c r="T6" s="290"/>
      <c r="U6" s="260"/>
      <c r="V6" s="260"/>
      <c r="W6" s="291"/>
      <c r="X6" s="774"/>
      <c r="Y6" s="290"/>
      <c r="Z6" s="260"/>
      <c r="AA6" s="260"/>
      <c r="AB6" s="291"/>
      <c r="AC6" s="774"/>
      <c r="AD6" s="290"/>
      <c r="AE6" s="260"/>
      <c r="AF6" s="260"/>
      <c r="AG6" s="291"/>
      <c r="AH6" s="774"/>
      <c r="AI6" s="290"/>
      <c r="AJ6" s="260"/>
      <c r="AK6" s="260"/>
      <c r="AL6" s="291"/>
      <c r="AM6" s="774"/>
      <c r="AN6" s="290"/>
      <c r="AO6" s="260"/>
      <c r="AP6" s="260"/>
      <c r="AQ6" s="291"/>
      <c r="AR6" s="774"/>
      <c r="AS6" s="290"/>
      <c r="AT6" s="260"/>
      <c r="AU6" s="260"/>
      <c r="AV6" s="291"/>
      <c r="AW6" s="774"/>
      <c r="AX6" s="290"/>
      <c r="AY6" s="260"/>
      <c r="AZ6" s="260"/>
      <c r="BA6" s="291"/>
      <c r="BB6" s="774"/>
      <c r="BC6" s="290"/>
      <c r="BD6" s="260"/>
      <c r="BE6" s="260"/>
      <c r="BF6" s="291"/>
      <c r="BG6" s="774"/>
      <c r="BH6" s="290"/>
      <c r="BI6" s="260"/>
      <c r="BJ6" s="260"/>
      <c r="BK6" s="291"/>
      <c r="BL6" s="774"/>
      <c r="BM6" s="1680"/>
      <c r="BN6" s="1680"/>
      <c r="BO6" s="1680"/>
      <c r="BP6" s="1680"/>
      <c r="BQ6" s="1680"/>
      <c r="BR6" s="1680"/>
      <c r="BS6" s="1680"/>
      <c r="BT6" s="1680"/>
      <c r="BU6" s="1680"/>
      <c r="BV6" s="1680"/>
      <c r="BW6" s="1680"/>
      <c r="BX6" s="1680"/>
      <c r="BY6" s="1680"/>
      <c r="BZ6" s="1680"/>
      <c r="CA6" s="1680"/>
      <c r="CB6" s="1680"/>
      <c r="CC6" s="1680"/>
      <c r="CD6" s="1680"/>
      <c r="CE6" s="1680"/>
      <c r="CF6" s="1680"/>
      <c r="CG6" s="1680"/>
      <c r="CH6" s="1680"/>
      <c r="CI6" s="1680"/>
      <c r="CJ6" s="1680"/>
      <c r="CK6" s="1680"/>
      <c r="CL6" s="1680"/>
      <c r="CM6" s="1680"/>
      <c r="CN6" s="1680"/>
      <c r="CO6" s="1680"/>
      <c r="CP6" s="1680"/>
    </row>
    <row r="7" spans="1:94">
      <c r="A7" s="890"/>
      <c r="B7" s="1681" t="s">
        <v>277</v>
      </c>
      <c r="C7" s="1682"/>
      <c r="D7" s="1683"/>
      <c r="E7" s="290"/>
      <c r="F7" s="260"/>
      <c r="G7" s="260"/>
      <c r="H7" s="291"/>
      <c r="I7" s="45"/>
      <c r="J7" s="290"/>
      <c r="K7" s="260"/>
      <c r="L7" s="260"/>
      <c r="M7" s="291"/>
      <c r="N7" s="774"/>
      <c r="O7" s="290"/>
      <c r="P7" s="260"/>
      <c r="Q7" s="260"/>
      <c r="R7" s="291"/>
      <c r="S7" s="774"/>
      <c r="T7" s="290"/>
      <c r="U7" s="260"/>
      <c r="V7" s="260"/>
      <c r="W7" s="291"/>
      <c r="X7" s="774"/>
      <c r="Y7" s="290"/>
      <c r="Z7" s="260"/>
      <c r="AA7" s="260"/>
      <c r="AB7" s="291"/>
      <c r="AC7" s="774"/>
      <c r="AD7" s="290"/>
      <c r="AE7" s="260"/>
      <c r="AF7" s="260"/>
      <c r="AG7" s="291"/>
      <c r="AH7" s="774"/>
      <c r="AI7" s="290"/>
      <c r="AJ7" s="260"/>
      <c r="AK7" s="260"/>
      <c r="AL7" s="291"/>
      <c r="AM7" s="774"/>
      <c r="AN7" s="290"/>
      <c r="AO7" s="260"/>
      <c r="AP7" s="260"/>
      <c r="AQ7" s="291"/>
      <c r="AR7" s="774"/>
      <c r="AS7" s="290"/>
      <c r="AT7" s="260"/>
      <c r="AU7" s="260"/>
      <c r="AV7" s="291"/>
      <c r="AW7" s="774"/>
      <c r="AX7" s="290"/>
      <c r="AY7" s="260"/>
      <c r="AZ7" s="260"/>
      <c r="BA7" s="291"/>
      <c r="BB7" s="774"/>
      <c r="BC7" s="290"/>
      <c r="BD7" s="260"/>
      <c r="BE7" s="260"/>
      <c r="BF7" s="291"/>
      <c r="BG7" s="774"/>
      <c r="BH7" s="290"/>
      <c r="BI7" s="260"/>
      <c r="BJ7" s="260"/>
      <c r="BK7" s="291"/>
      <c r="BL7" s="774"/>
      <c r="BM7" s="1680"/>
      <c r="BN7" s="1680"/>
      <c r="BO7" s="1680"/>
      <c r="BP7" s="1680"/>
      <c r="BQ7" s="1680"/>
      <c r="BR7" s="1680"/>
      <c r="BS7" s="1680"/>
      <c r="BT7" s="1680"/>
      <c r="BU7" s="1680"/>
      <c r="BV7" s="1680"/>
      <c r="BW7" s="1680"/>
      <c r="BX7" s="1680"/>
      <c r="BY7" s="1680"/>
      <c r="BZ7" s="1680"/>
      <c r="CA7" s="1680"/>
      <c r="CB7" s="1680"/>
      <c r="CC7" s="1680"/>
      <c r="CD7" s="1680"/>
      <c r="CE7" s="1680"/>
      <c r="CF7" s="1680"/>
      <c r="CG7" s="1680"/>
      <c r="CH7" s="1680"/>
      <c r="CI7" s="1680"/>
      <c r="CJ7" s="1680"/>
      <c r="CK7" s="1680"/>
      <c r="CL7" s="1680"/>
      <c r="CM7" s="1680"/>
      <c r="CN7" s="1680"/>
      <c r="CO7" s="1680"/>
      <c r="CP7" s="1680"/>
    </row>
    <row r="8" spans="1:94">
      <c r="A8" s="45"/>
      <c r="B8" s="45"/>
      <c r="C8" s="895" t="s">
        <v>749</v>
      </c>
      <c r="D8" s="45"/>
      <c r="E8" s="337"/>
      <c r="F8" s="338"/>
      <c r="G8" s="338"/>
      <c r="H8" s="586"/>
      <c r="I8" s="339">
        <v>1163</v>
      </c>
      <c r="J8" s="337">
        <v>298</v>
      </c>
      <c r="K8" s="338">
        <v>245</v>
      </c>
      <c r="L8" s="338">
        <v>298</v>
      </c>
      <c r="M8" s="586">
        <f>N8-SUM(J8:L8)</f>
        <v>233</v>
      </c>
      <c r="N8" s="339">
        <v>1074</v>
      </c>
      <c r="O8" s="337">
        <v>259</v>
      </c>
      <c r="P8" s="338">
        <v>235</v>
      </c>
      <c r="Q8" s="338">
        <v>314</v>
      </c>
      <c r="R8" s="586">
        <f>S8-SUM(O8:Q8)</f>
        <v>242</v>
      </c>
      <c r="S8" s="339">
        <v>1050</v>
      </c>
      <c r="T8" s="337">
        <v>285</v>
      </c>
      <c r="U8" s="338">
        <v>237</v>
      </c>
      <c r="V8" s="338">
        <v>273</v>
      </c>
      <c r="W8" s="586">
        <f>X8-SUM(T8:V8)</f>
        <v>258</v>
      </c>
      <c r="X8" s="339">
        <v>1053</v>
      </c>
      <c r="Y8" s="337">
        <v>300</v>
      </c>
      <c r="Z8" s="338">
        <v>251</v>
      </c>
      <c r="AA8" s="338">
        <v>289</v>
      </c>
      <c r="AB8" s="586">
        <f>AC8-SUM(Y8:AA8)</f>
        <v>259</v>
      </c>
      <c r="AC8" s="339">
        <v>1099</v>
      </c>
      <c r="AD8" s="337">
        <v>337</v>
      </c>
      <c r="AE8" s="338">
        <v>250</v>
      </c>
      <c r="AF8" s="338">
        <v>298</v>
      </c>
      <c r="AG8" s="586">
        <f>AH8-SUM(AD8:AF8)</f>
        <v>268</v>
      </c>
      <c r="AH8" s="2056">
        <v>1153</v>
      </c>
      <c r="AI8" s="337">
        <v>301</v>
      </c>
      <c r="AJ8" s="338">
        <v>253</v>
      </c>
      <c r="AK8" s="338">
        <v>312</v>
      </c>
      <c r="AL8" s="586">
        <f>AM8-SUM(AI8:AK8)</f>
        <v>256</v>
      </c>
      <c r="AM8" s="2056">
        <v>1122</v>
      </c>
      <c r="AN8" s="337">
        <v>294</v>
      </c>
      <c r="AO8" s="338">
        <v>258</v>
      </c>
      <c r="AP8" s="338">
        <v>307</v>
      </c>
      <c r="AQ8" s="586">
        <f>AR8-SUM(AN8:AP8)</f>
        <v>272</v>
      </c>
      <c r="AR8" s="2056">
        <v>1131</v>
      </c>
      <c r="AS8" s="290">
        <f>+AS70</f>
        <v>289.16977979957801</v>
      </c>
      <c r="AT8" s="260">
        <f>+AT70</f>
        <v>255.40311313291136</v>
      </c>
      <c r="AU8" s="260">
        <f>+AU70</f>
        <v>305.19061313291144</v>
      </c>
      <c r="AV8" s="291">
        <f>+AV70</f>
        <v>270.19061313291138</v>
      </c>
      <c r="AW8" s="45">
        <f>SUM(AS8:AV8)</f>
        <v>1119.9541191983121</v>
      </c>
      <c r="AX8" s="290">
        <f>+AX70</f>
        <v>294.40284230942143</v>
      </c>
      <c r="AY8" s="260">
        <f>+AY70</f>
        <v>258.40284230942149</v>
      </c>
      <c r="AZ8" s="260">
        <f>+AZ70</f>
        <v>308.65284230942154</v>
      </c>
      <c r="BA8" s="291">
        <f>+BA70</f>
        <v>273.65284230942149</v>
      </c>
      <c r="BB8" s="45">
        <f>SUM(AX8:BA8)</f>
        <v>1135.1113692376859</v>
      </c>
      <c r="BC8" s="290">
        <f>+BC70</f>
        <v>297.78381153961675</v>
      </c>
      <c r="BD8" s="260">
        <f>+BD70</f>
        <v>261.78381153961669</v>
      </c>
      <c r="BE8" s="260">
        <f>+BE70</f>
        <v>310.78381153961681</v>
      </c>
      <c r="BF8" s="291">
        <f>+BF70</f>
        <v>275.78381153961681</v>
      </c>
      <c r="BG8" s="45">
        <f>SUM(BC8:BF8)</f>
        <v>1146.1352461584672</v>
      </c>
      <c r="BH8" s="290">
        <f>+BH70</f>
        <v>299.86253294230914</v>
      </c>
      <c r="BI8" s="260">
        <f>+BI70</f>
        <v>263.86253294230914</v>
      </c>
      <c r="BJ8" s="260">
        <f>+BJ70</f>
        <v>312.86253294230914</v>
      </c>
      <c r="BK8" s="291">
        <f>+BK70</f>
        <v>277.86253294230914</v>
      </c>
      <c r="BL8" s="45">
        <f>SUM(BH8:BK8)</f>
        <v>1154.4501317692366</v>
      </c>
      <c r="BM8" s="45"/>
      <c r="BN8" s="45"/>
      <c r="BO8" s="45"/>
      <c r="BP8" s="45"/>
      <c r="BQ8" s="45"/>
      <c r="BR8" s="45"/>
      <c r="BS8" s="45"/>
      <c r="BT8" s="45"/>
      <c r="BU8" s="45"/>
      <c r="BV8" s="45"/>
      <c r="BW8" s="45"/>
      <c r="BX8" s="45"/>
      <c r="BY8" s="45"/>
      <c r="BZ8" s="45"/>
      <c r="CA8" s="45"/>
      <c r="CB8" s="45"/>
      <c r="CC8" s="45"/>
      <c r="CD8" s="45"/>
      <c r="CE8" s="45"/>
      <c r="CF8" s="45"/>
      <c r="CG8" s="45"/>
      <c r="CH8" s="45"/>
      <c r="CI8" s="45"/>
      <c r="CJ8" s="45"/>
      <c r="CK8" s="45"/>
      <c r="CL8" s="45"/>
      <c r="CM8" s="45"/>
      <c r="CN8" s="45"/>
      <c r="CO8" s="45"/>
      <c r="CP8" s="45"/>
    </row>
    <row r="9" spans="1:94">
      <c r="A9" s="45"/>
      <c r="B9" s="45"/>
      <c r="C9" s="895" t="s">
        <v>750</v>
      </c>
      <c r="D9" s="45"/>
      <c r="E9" s="337"/>
      <c r="F9" s="338"/>
      <c r="G9" s="338"/>
      <c r="H9" s="586"/>
      <c r="I9" s="339">
        <v>237</v>
      </c>
      <c r="J9" s="337">
        <v>102</v>
      </c>
      <c r="K9" s="338">
        <v>39</v>
      </c>
      <c r="L9" s="338">
        <v>28</v>
      </c>
      <c r="M9" s="586">
        <f>N9-SUM(J9:L9)</f>
        <v>61</v>
      </c>
      <c r="N9" s="339">
        <v>230</v>
      </c>
      <c r="O9" s="337">
        <v>74</v>
      </c>
      <c r="P9" s="338">
        <v>24</v>
      </c>
      <c r="Q9" s="338">
        <v>26</v>
      </c>
      <c r="R9" s="586">
        <f>S9-SUM(O9:Q9)</f>
        <v>59</v>
      </c>
      <c r="S9" s="339">
        <v>183</v>
      </c>
      <c r="T9" s="337">
        <v>85</v>
      </c>
      <c r="U9" s="338">
        <v>29</v>
      </c>
      <c r="V9" s="338">
        <v>23</v>
      </c>
      <c r="W9" s="586">
        <f>X9-SUM(T9:V9)</f>
        <v>54</v>
      </c>
      <c r="X9" s="339">
        <v>191</v>
      </c>
      <c r="Y9" s="337">
        <v>97</v>
      </c>
      <c r="Z9" s="338">
        <v>28</v>
      </c>
      <c r="AA9" s="338">
        <v>20</v>
      </c>
      <c r="AB9" s="586">
        <f>AC9-SUM(Y9:AA9)</f>
        <v>49</v>
      </c>
      <c r="AC9" s="339">
        <v>194</v>
      </c>
      <c r="AD9" s="337">
        <v>86</v>
      </c>
      <c r="AE9" s="338">
        <v>25</v>
      </c>
      <c r="AF9" s="338">
        <v>19</v>
      </c>
      <c r="AG9" s="586">
        <f>AH9-SUM(AD9:AF9)</f>
        <v>35</v>
      </c>
      <c r="AH9" s="2056">
        <v>165</v>
      </c>
      <c r="AI9" s="337">
        <f>59+2</f>
        <v>61</v>
      </c>
      <c r="AJ9" s="338">
        <f>26+2</f>
        <v>28</v>
      </c>
      <c r="AK9" s="338">
        <f>17+2</f>
        <v>19</v>
      </c>
      <c r="AL9" s="586">
        <f>AM9-SUM(AI9:AK9)</f>
        <v>47</v>
      </c>
      <c r="AM9" s="2056">
        <f>148+7</f>
        <v>155</v>
      </c>
      <c r="AN9" s="337">
        <f>66+2</f>
        <v>68</v>
      </c>
      <c r="AO9" s="338">
        <f>22+2</f>
        <v>24</v>
      </c>
      <c r="AP9" s="338">
        <f>18+2</f>
        <v>20</v>
      </c>
      <c r="AQ9" s="586">
        <f>AR9-SUM(AN9:AP9)</f>
        <v>57</v>
      </c>
      <c r="AR9" s="2056">
        <f>161+8</f>
        <v>169</v>
      </c>
      <c r="AS9" s="290">
        <f>+AS94</f>
        <v>68</v>
      </c>
      <c r="AT9" s="260">
        <f>+AT94</f>
        <v>24</v>
      </c>
      <c r="AU9" s="260">
        <f>+AU94</f>
        <v>20.6875</v>
      </c>
      <c r="AV9" s="291">
        <f ca="1">+AV94</f>
        <v>51.248350188549878</v>
      </c>
      <c r="AW9" s="45">
        <f ca="1">SUM(AS9:AV9)</f>
        <v>163.93585018854986</v>
      </c>
      <c r="AX9" s="290">
        <f>+AX94</f>
        <v>68.6875</v>
      </c>
      <c r="AY9" s="260">
        <f>+AY94</f>
        <v>24.6875</v>
      </c>
      <c r="AZ9" s="260">
        <f>+AZ94</f>
        <v>20.6875</v>
      </c>
      <c r="BA9" s="291">
        <f ca="1">+BA94</f>
        <v>51.248350188549878</v>
      </c>
      <c r="BB9" s="45">
        <f ca="1">SUM(AX9:BA9)</f>
        <v>165.31085018854986</v>
      </c>
      <c r="BC9" s="290">
        <f>+BC94</f>
        <v>68.6875</v>
      </c>
      <c r="BD9" s="260">
        <f>+BD94</f>
        <v>24.6875</v>
      </c>
      <c r="BE9" s="260">
        <f>+BE94</f>
        <v>20.6875</v>
      </c>
      <c r="BF9" s="291">
        <f ca="1">+BF94</f>
        <v>51.248350188549878</v>
      </c>
      <c r="BG9" s="45">
        <f ca="1">SUM(BC9:BF9)</f>
        <v>165.31085018854986</v>
      </c>
      <c r="BH9" s="290">
        <f>+BH94</f>
        <v>68.6875</v>
      </c>
      <c r="BI9" s="260">
        <f>+BI94</f>
        <v>24.6875</v>
      </c>
      <c r="BJ9" s="260">
        <f>+BJ94</f>
        <v>20.6875</v>
      </c>
      <c r="BK9" s="291">
        <f ca="1">+BK94</f>
        <v>51.248350188549878</v>
      </c>
      <c r="BL9" s="45">
        <f ca="1">SUM(BH9:BK9)</f>
        <v>165.31085018854986</v>
      </c>
      <c r="BM9" s="45"/>
      <c r="BN9" s="45"/>
      <c r="BO9" s="45"/>
      <c r="BP9" s="45"/>
      <c r="BQ9" s="45"/>
      <c r="BR9" s="45"/>
      <c r="BS9" s="45"/>
      <c r="BT9" s="45"/>
      <c r="BU9" s="45"/>
      <c r="BV9" s="45"/>
      <c r="BW9" s="45"/>
      <c r="BX9" s="45"/>
      <c r="BY9" s="45"/>
      <c r="BZ9" s="45"/>
      <c r="CA9" s="45"/>
      <c r="CB9" s="45"/>
      <c r="CC9" s="45"/>
      <c r="CD9" s="45"/>
      <c r="CE9" s="45"/>
      <c r="CF9" s="45"/>
      <c r="CG9" s="45"/>
      <c r="CH9" s="45"/>
      <c r="CI9" s="45"/>
      <c r="CJ9" s="45"/>
      <c r="CK9" s="45"/>
      <c r="CL9" s="45"/>
      <c r="CM9" s="45"/>
      <c r="CN9" s="45"/>
      <c r="CO9" s="45"/>
      <c r="CP9" s="45"/>
    </row>
    <row r="10" spans="1:94">
      <c r="A10" s="228"/>
      <c r="B10" s="228"/>
      <c r="C10" s="909" t="s">
        <v>60</v>
      </c>
      <c r="D10" s="228"/>
      <c r="E10" s="292"/>
      <c r="F10" s="261"/>
      <c r="G10" s="261"/>
      <c r="H10" s="293"/>
      <c r="I10" s="228">
        <f t="shared" ref="I10:AW10" si="0">SUM(I8:I9)</f>
        <v>1400</v>
      </c>
      <c r="J10" s="292">
        <f t="shared" si="0"/>
        <v>400</v>
      </c>
      <c r="K10" s="261">
        <f t="shared" si="0"/>
        <v>284</v>
      </c>
      <c r="L10" s="261">
        <f t="shared" si="0"/>
        <v>326</v>
      </c>
      <c r="M10" s="293">
        <f t="shared" si="0"/>
        <v>294</v>
      </c>
      <c r="N10" s="228">
        <f t="shared" si="0"/>
        <v>1304</v>
      </c>
      <c r="O10" s="292">
        <f t="shared" si="0"/>
        <v>333</v>
      </c>
      <c r="P10" s="261">
        <f t="shared" si="0"/>
        <v>259</v>
      </c>
      <c r="Q10" s="261">
        <f t="shared" si="0"/>
        <v>340</v>
      </c>
      <c r="R10" s="293">
        <f t="shared" si="0"/>
        <v>301</v>
      </c>
      <c r="S10" s="228">
        <f t="shared" si="0"/>
        <v>1233</v>
      </c>
      <c r="T10" s="292">
        <f t="shared" si="0"/>
        <v>370</v>
      </c>
      <c r="U10" s="261">
        <f t="shared" si="0"/>
        <v>266</v>
      </c>
      <c r="V10" s="261">
        <f t="shared" si="0"/>
        <v>296</v>
      </c>
      <c r="W10" s="293">
        <f t="shared" si="0"/>
        <v>312</v>
      </c>
      <c r="X10" s="228">
        <f t="shared" si="0"/>
        <v>1244</v>
      </c>
      <c r="Y10" s="292">
        <f t="shared" si="0"/>
        <v>397</v>
      </c>
      <c r="Z10" s="261">
        <f t="shared" si="0"/>
        <v>279</v>
      </c>
      <c r="AA10" s="261">
        <f t="shared" ref="AA10:AE10" si="1">SUM(AA8:AA9)</f>
        <v>309</v>
      </c>
      <c r="AB10" s="293">
        <f t="shared" si="1"/>
        <v>308</v>
      </c>
      <c r="AC10" s="228">
        <f t="shared" si="1"/>
        <v>1293</v>
      </c>
      <c r="AD10" s="292">
        <f t="shared" si="1"/>
        <v>423</v>
      </c>
      <c r="AE10" s="261">
        <f t="shared" si="1"/>
        <v>275</v>
      </c>
      <c r="AF10" s="261">
        <f t="shared" ref="AF10:AJ10" si="2">SUM(AF8:AF9)</f>
        <v>317</v>
      </c>
      <c r="AG10" s="293">
        <f t="shared" si="2"/>
        <v>303</v>
      </c>
      <c r="AH10" s="228">
        <f t="shared" si="2"/>
        <v>1318</v>
      </c>
      <c r="AI10" s="292">
        <f t="shared" si="2"/>
        <v>362</v>
      </c>
      <c r="AJ10" s="261">
        <f t="shared" si="2"/>
        <v>281</v>
      </c>
      <c r="AK10" s="261">
        <f t="shared" ref="AK10:AO10" si="3">SUM(AK8:AK9)</f>
        <v>331</v>
      </c>
      <c r="AL10" s="293">
        <f t="shared" si="3"/>
        <v>303</v>
      </c>
      <c r="AM10" s="228">
        <f t="shared" si="3"/>
        <v>1277</v>
      </c>
      <c r="AN10" s="292">
        <f t="shared" si="3"/>
        <v>362</v>
      </c>
      <c r="AO10" s="261">
        <f t="shared" si="3"/>
        <v>282</v>
      </c>
      <c r="AP10" s="261">
        <f t="shared" si="0"/>
        <v>327</v>
      </c>
      <c r="AQ10" s="293">
        <f t="shared" si="0"/>
        <v>329</v>
      </c>
      <c r="AR10" s="228">
        <f t="shared" si="0"/>
        <v>1300</v>
      </c>
      <c r="AS10" s="292">
        <f t="shared" si="0"/>
        <v>357.16977979957801</v>
      </c>
      <c r="AT10" s="261">
        <f t="shared" si="0"/>
        <v>279.40311313291136</v>
      </c>
      <c r="AU10" s="261">
        <f t="shared" si="0"/>
        <v>325.87811313291144</v>
      </c>
      <c r="AV10" s="293">
        <f t="shared" ca="1" si="0"/>
        <v>321.43896332146124</v>
      </c>
      <c r="AW10" s="228">
        <f t="shared" ca="1" si="0"/>
        <v>1283.889969386862</v>
      </c>
      <c r="AX10" s="292">
        <f t="shared" ref="AX10:BG10" si="4">SUM(AX8:AX9)</f>
        <v>363.09034230942143</v>
      </c>
      <c r="AY10" s="261">
        <f t="shared" si="4"/>
        <v>283.09034230942149</v>
      </c>
      <c r="AZ10" s="261">
        <f t="shared" si="4"/>
        <v>329.34034230942154</v>
      </c>
      <c r="BA10" s="293">
        <f t="shared" ca="1" si="4"/>
        <v>324.90119249797135</v>
      </c>
      <c r="BB10" s="228">
        <f t="shared" ca="1" si="4"/>
        <v>1300.4222194262359</v>
      </c>
      <c r="BC10" s="292">
        <f t="shared" si="4"/>
        <v>366.47131153961675</v>
      </c>
      <c r="BD10" s="261">
        <f t="shared" si="4"/>
        <v>286.47131153961669</v>
      </c>
      <c r="BE10" s="261">
        <f t="shared" si="4"/>
        <v>331.47131153961681</v>
      </c>
      <c r="BF10" s="293">
        <f t="shared" ca="1" si="4"/>
        <v>327.03216172816667</v>
      </c>
      <c r="BG10" s="228">
        <f t="shared" ca="1" si="4"/>
        <v>1311.4460963470171</v>
      </c>
      <c r="BH10" s="292">
        <f t="shared" ref="BH10:BL10" si="5">SUM(BH8:BH9)</f>
        <v>368.55003294230914</v>
      </c>
      <c r="BI10" s="261">
        <f t="shared" si="5"/>
        <v>288.55003294230914</v>
      </c>
      <c r="BJ10" s="261">
        <f t="shared" si="5"/>
        <v>333.55003294230914</v>
      </c>
      <c r="BK10" s="293">
        <f t="shared" ca="1" si="5"/>
        <v>329.11088313085901</v>
      </c>
      <c r="BL10" s="228">
        <f t="shared" ca="1" si="5"/>
        <v>1319.7609819577865</v>
      </c>
      <c r="BM10" s="228"/>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row>
    <row r="11" spans="1:94">
      <c r="A11" s="45"/>
      <c r="B11" s="45"/>
      <c r="C11" s="895"/>
      <c r="D11" s="45"/>
      <c r="E11" s="337"/>
      <c r="F11" s="338"/>
      <c r="G11" s="338"/>
      <c r="H11" s="586"/>
      <c r="I11" s="339"/>
      <c r="J11" s="337"/>
      <c r="K11" s="338"/>
      <c r="L11" s="338"/>
      <c r="M11" s="586"/>
      <c r="N11" s="339"/>
      <c r="O11" s="337"/>
      <c r="P11" s="338"/>
      <c r="Q11" s="338"/>
      <c r="R11" s="586"/>
      <c r="S11" s="339"/>
      <c r="T11" s="337"/>
      <c r="U11" s="338"/>
      <c r="V11" s="338"/>
      <c r="W11" s="586"/>
      <c r="X11" s="339"/>
      <c r="Y11" s="337"/>
      <c r="Z11" s="338"/>
      <c r="AA11" s="338"/>
      <c r="AB11" s="586"/>
      <c r="AC11" s="339"/>
      <c r="AD11" s="337"/>
      <c r="AE11" s="338"/>
      <c r="AF11" s="338"/>
      <c r="AG11" s="586"/>
      <c r="AH11" s="2056"/>
      <c r="AI11" s="337"/>
      <c r="AJ11" s="338"/>
      <c r="AK11" s="338"/>
      <c r="AL11" s="586"/>
      <c r="AM11" s="2056"/>
      <c r="AN11" s="337"/>
      <c r="AO11" s="260"/>
      <c r="AP11" s="260"/>
      <c r="AQ11" s="586"/>
      <c r="AR11" s="2056"/>
      <c r="AS11" s="290"/>
      <c r="AT11" s="260"/>
      <c r="AU11" s="260"/>
      <c r="AV11" s="291"/>
      <c r="AX11" s="290"/>
      <c r="AY11" s="260"/>
      <c r="AZ11" s="260"/>
      <c r="BA11" s="291"/>
      <c r="BB11" s="774"/>
      <c r="BC11" s="290"/>
      <c r="BD11" s="260"/>
      <c r="BE11" s="260"/>
      <c r="BF11" s="291"/>
      <c r="BG11" s="774"/>
      <c r="BH11" s="290"/>
      <c r="BI11" s="260"/>
      <c r="BJ11" s="260"/>
      <c r="BK11" s="291"/>
      <c r="BM11" s="45"/>
      <c r="BN11" s="45"/>
      <c r="BO11" s="45"/>
      <c r="BP11" s="45"/>
      <c r="BQ11" s="45"/>
      <c r="BR11" s="45"/>
      <c r="BS11" s="45"/>
      <c r="BT11" s="45"/>
      <c r="BU11" s="45"/>
      <c r="BV11" s="45"/>
      <c r="BW11" s="45"/>
      <c r="BX11" s="45"/>
      <c r="BY11" s="45"/>
      <c r="BZ11" s="45"/>
      <c r="CA11" s="45"/>
      <c r="CB11" s="45"/>
      <c r="CC11" s="45"/>
      <c r="CD11" s="45"/>
      <c r="CE11" s="45"/>
      <c r="CF11" s="45"/>
      <c r="CG11" s="45"/>
      <c r="CH11" s="45"/>
      <c r="CI11" s="45"/>
      <c r="CJ11" s="45"/>
      <c r="CK11" s="45"/>
      <c r="CL11" s="45"/>
      <c r="CM11" s="45"/>
      <c r="CN11" s="45"/>
      <c r="CO11" s="45"/>
      <c r="CP11" s="45"/>
    </row>
    <row r="12" spans="1:94">
      <c r="A12" s="45"/>
      <c r="B12" s="45"/>
      <c r="C12" s="895" t="s">
        <v>723</v>
      </c>
      <c r="D12" s="45"/>
      <c r="E12" s="337"/>
      <c r="F12" s="338"/>
      <c r="G12" s="338"/>
      <c r="H12" s="586"/>
      <c r="I12" s="339">
        <v>740</v>
      </c>
      <c r="J12" s="337">
        <v>182</v>
      </c>
      <c r="K12" s="338">
        <v>145</v>
      </c>
      <c r="L12" s="338">
        <v>180</v>
      </c>
      <c r="M12" s="586">
        <f>N12-SUM(J12:L12)</f>
        <v>128</v>
      </c>
      <c r="N12" s="339">
        <v>635</v>
      </c>
      <c r="O12" s="337">
        <v>143</v>
      </c>
      <c r="P12" s="338">
        <v>122</v>
      </c>
      <c r="Q12" s="338">
        <v>178</v>
      </c>
      <c r="R12" s="586">
        <f>S12-SUM(O12:Q12)</f>
        <v>125</v>
      </c>
      <c r="S12" s="339">
        <v>568</v>
      </c>
      <c r="T12" s="337">
        <v>159</v>
      </c>
      <c r="U12" s="338">
        <v>121</v>
      </c>
      <c r="V12" s="338">
        <v>142</v>
      </c>
      <c r="W12" s="586">
        <f>X12-SUM(T12:V12)</f>
        <v>130</v>
      </c>
      <c r="X12" s="339">
        <v>552</v>
      </c>
      <c r="Y12" s="337">
        <v>161</v>
      </c>
      <c r="Z12" s="338">
        <v>121</v>
      </c>
      <c r="AA12" s="338">
        <v>140</v>
      </c>
      <c r="AB12" s="586">
        <f>AC12-SUM(Y12:AA12)</f>
        <v>124</v>
      </c>
      <c r="AC12" s="339">
        <v>546</v>
      </c>
      <c r="AD12" s="337">
        <v>181</v>
      </c>
      <c r="AE12" s="338">
        <v>117</v>
      </c>
      <c r="AF12" s="338">
        <v>146</v>
      </c>
      <c r="AG12" s="586">
        <f>AH12-SUM(AD12:AF12)</f>
        <v>124</v>
      </c>
      <c r="AH12" s="2056">
        <v>568</v>
      </c>
      <c r="AI12" s="337">
        <f>147+25+4</f>
        <v>176</v>
      </c>
      <c r="AJ12" s="338">
        <f>70+9+43</f>
        <v>122</v>
      </c>
      <c r="AK12" s="338">
        <f>81+6+63</f>
        <v>150</v>
      </c>
      <c r="AL12" s="586">
        <f>AM12-SUM(AI12:AK12)</f>
        <v>135</v>
      </c>
      <c r="AM12" s="2056">
        <f>369+60+154</f>
        <v>583</v>
      </c>
      <c r="AN12" s="337">
        <f>77+29+51</f>
        <v>157</v>
      </c>
      <c r="AO12" s="338">
        <f>64+9+40</f>
        <v>113</v>
      </c>
      <c r="AP12" s="338">
        <f>75+7+47</f>
        <v>129</v>
      </c>
      <c r="AQ12" s="586">
        <f>AR12-SUM(AN12:AP12)</f>
        <v>133</v>
      </c>
      <c r="AR12" s="2056">
        <f>282+71+179</f>
        <v>532</v>
      </c>
      <c r="AS12" s="290">
        <f>+AS79</f>
        <v>156.99999999999997</v>
      </c>
      <c r="AT12" s="260">
        <f>+AT79</f>
        <v>112.99999999999999</v>
      </c>
      <c r="AU12" s="260">
        <f>+AU79</f>
        <v>129</v>
      </c>
      <c r="AV12" s="291">
        <f>+AV79</f>
        <v>133</v>
      </c>
      <c r="AW12" s="45">
        <f>SUM(AS12:AV12)</f>
        <v>532</v>
      </c>
      <c r="AX12" s="290">
        <f>+AX79</f>
        <v>156.99999999999997</v>
      </c>
      <c r="AY12" s="260">
        <f>+AY79</f>
        <v>112.99999999999999</v>
      </c>
      <c r="AZ12" s="260">
        <f>+AZ79</f>
        <v>129</v>
      </c>
      <c r="BA12" s="291">
        <f>+BA79</f>
        <v>133</v>
      </c>
      <c r="BB12" s="45">
        <f>SUM(AX12:BA12)</f>
        <v>532</v>
      </c>
      <c r="BC12" s="290">
        <f>+BC79</f>
        <v>156.99999999999997</v>
      </c>
      <c r="BD12" s="260">
        <f>+BD79</f>
        <v>112.99999999999999</v>
      </c>
      <c r="BE12" s="260">
        <f>+BE79</f>
        <v>129</v>
      </c>
      <c r="BF12" s="291">
        <f>+BF79</f>
        <v>133</v>
      </c>
      <c r="BG12" s="45">
        <f>SUM(BC12:BF12)</f>
        <v>532</v>
      </c>
      <c r="BH12" s="290">
        <f>+BH79</f>
        <v>156.99999999999997</v>
      </c>
      <c r="BI12" s="260">
        <f>+BI79</f>
        <v>112.99999999999999</v>
      </c>
      <c r="BJ12" s="260">
        <f>+BJ79</f>
        <v>129</v>
      </c>
      <c r="BK12" s="291">
        <f>+BK79</f>
        <v>133</v>
      </c>
      <c r="BL12" s="45">
        <f>SUM(BH12:BK12)</f>
        <v>532</v>
      </c>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row>
    <row r="13" spans="1:94">
      <c r="A13" s="45"/>
      <c r="B13" s="45"/>
      <c r="C13" s="895" t="s">
        <v>751</v>
      </c>
      <c r="D13" s="45"/>
      <c r="E13" s="337"/>
      <c r="F13" s="338"/>
      <c r="G13" s="338"/>
      <c r="H13" s="586"/>
      <c r="I13" s="339">
        <v>164</v>
      </c>
      <c r="J13" s="337">
        <v>71</v>
      </c>
      <c r="K13" s="338">
        <v>25</v>
      </c>
      <c r="L13" s="338">
        <v>18</v>
      </c>
      <c r="M13" s="586">
        <f>N13-SUM(J13:L13)</f>
        <v>41</v>
      </c>
      <c r="N13" s="339">
        <v>155</v>
      </c>
      <c r="O13" s="337">
        <v>49</v>
      </c>
      <c r="P13" s="338">
        <v>13</v>
      </c>
      <c r="Q13" s="338">
        <v>15</v>
      </c>
      <c r="R13" s="586">
        <f>S13-SUM(O13:Q13)</f>
        <v>36</v>
      </c>
      <c r="S13" s="339">
        <v>113</v>
      </c>
      <c r="T13" s="337">
        <v>54</v>
      </c>
      <c r="U13" s="338">
        <v>15</v>
      </c>
      <c r="V13" s="338">
        <v>11</v>
      </c>
      <c r="W13" s="586">
        <f>X13-SUM(T13:V13)</f>
        <v>29</v>
      </c>
      <c r="X13" s="339">
        <v>109</v>
      </c>
      <c r="Y13" s="337">
        <v>58</v>
      </c>
      <c r="Z13" s="338">
        <v>13</v>
      </c>
      <c r="AA13" s="338">
        <v>9</v>
      </c>
      <c r="AB13" s="586">
        <f>AC13-SUM(Y13:AA13)</f>
        <v>24</v>
      </c>
      <c r="AC13" s="339">
        <v>104</v>
      </c>
      <c r="AD13" s="337">
        <v>47</v>
      </c>
      <c r="AE13" s="338">
        <v>11</v>
      </c>
      <c r="AF13" s="338">
        <v>8</v>
      </c>
      <c r="AG13" s="586">
        <f>AH13-SUM(AD13:AF13)</f>
        <v>13</v>
      </c>
      <c r="AH13" s="2056">
        <v>79</v>
      </c>
      <c r="AI13" s="337">
        <v>0</v>
      </c>
      <c r="AJ13" s="338">
        <v>0</v>
      </c>
      <c r="AK13" s="338">
        <v>0</v>
      </c>
      <c r="AL13" s="586">
        <f>AM13-SUM(AI13:AK13)</f>
        <v>0</v>
      </c>
      <c r="AM13" s="2056">
        <v>0</v>
      </c>
      <c r="AN13" s="337">
        <v>0</v>
      </c>
      <c r="AO13" s="338">
        <v>0</v>
      </c>
      <c r="AP13" s="338">
        <v>0</v>
      </c>
      <c r="AQ13" s="586">
        <f>AR13-SUM(AN13:AP13)</f>
        <v>0</v>
      </c>
      <c r="AR13" s="2056">
        <v>0</v>
      </c>
      <c r="AS13" s="290">
        <f>+AS109</f>
        <v>0</v>
      </c>
      <c r="AT13" s="260">
        <f>+AT109</f>
        <v>0</v>
      </c>
      <c r="AU13" s="260">
        <f>+AU109</f>
        <v>0</v>
      </c>
      <c r="AV13" s="291">
        <f>+AV109</f>
        <v>0</v>
      </c>
      <c r="AW13" s="45">
        <f>SUM(AS13:AV13)</f>
        <v>0</v>
      </c>
      <c r="AX13" s="290">
        <f>+AX109</f>
        <v>0</v>
      </c>
      <c r="AY13" s="260">
        <f>+AY109</f>
        <v>0</v>
      </c>
      <c r="AZ13" s="260">
        <f>+AZ109</f>
        <v>0</v>
      </c>
      <c r="BA13" s="291">
        <f>+BA109</f>
        <v>0</v>
      </c>
      <c r="BB13" s="45">
        <f>SUM(AX13:BA13)</f>
        <v>0</v>
      </c>
      <c r="BC13" s="290">
        <f>+BC109</f>
        <v>0</v>
      </c>
      <c r="BD13" s="260">
        <f>+BD109</f>
        <v>0</v>
      </c>
      <c r="BE13" s="260">
        <f>+BE109</f>
        <v>0</v>
      </c>
      <c r="BF13" s="291">
        <f>+BF109</f>
        <v>0</v>
      </c>
      <c r="BG13" s="45">
        <f>SUM(BC13:BF13)</f>
        <v>0</v>
      </c>
      <c r="BH13" s="290">
        <f>+BH109</f>
        <v>0</v>
      </c>
      <c r="BI13" s="260">
        <f>+BI109</f>
        <v>0</v>
      </c>
      <c r="BJ13" s="260">
        <f>+BJ109</f>
        <v>0</v>
      </c>
      <c r="BK13" s="291">
        <f>+BK109</f>
        <v>0</v>
      </c>
      <c r="BL13" s="45">
        <f>SUM(BH13:BK13)</f>
        <v>0</v>
      </c>
      <c r="BM13" s="45"/>
      <c r="BN13" s="45"/>
      <c r="BO13" s="45"/>
      <c r="BP13" s="45"/>
      <c r="BQ13" s="45"/>
      <c r="BR13" s="45"/>
      <c r="BS13" s="45"/>
      <c r="BT13" s="45"/>
      <c r="BU13" s="45"/>
      <c r="BV13" s="45"/>
      <c r="BW13" s="45"/>
      <c r="BX13" s="45"/>
      <c r="BY13" s="45"/>
      <c r="BZ13" s="45"/>
      <c r="CA13" s="45"/>
      <c r="CB13" s="45"/>
      <c r="CC13" s="45"/>
      <c r="CD13" s="45"/>
      <c r="CE13" s="45"/>
      <c r="CF13" s="45"/>
      <c r="CG13" s="45"/>
      <c r="CH13" s="45"/>
      <c r="CI13" s="45"/>
      <c r="CJ13" s="45"/>
      <c r="CK13" s="45"/>
      <c r="CL13" s="45"/>
      <c r="CM13" s="45"/>
      <c r="CN13" s="45"/>
      <c r="CO13" s="45"/>
      <c r="CP13" s="45"/>
    </row>
    <row r="14" spans="1:94">
      <c r="A14" s="228"/>
      <c r="B14" s="228"/>
      <c r="C14" s="909" t="s">
        <v>752</v>
      </c>
      <c r="D14" s="228"/>
      <c r="E14" s="292"/>
      <c r="F14" s="261"/>
      <c r="G14" s="261"/>
      <c r="H14" s="293"/>
      <c r="I14" s="228">
        <f t="shared" ref="I14:AW14" si="6">SUM(I12:I13)</f>
        <v>904</v>
      </c>
      <c r="J14" s="292">
        <f t="shared" si="6"/>
        <v>253</v>
      </c>
      <c r="K14" s="261">
        <f t="shared" si="6"/>
        <v>170</v>
      </c>
      <c r="L14" s="261">
        <f t="shared" si="6"/>
        <v>198</v>
      </c>
      <c r="M14" s="293">
        <f t="shared" si="6"/>
        <v>169</v>
      </c>
      <c r="N14" s="228">
        <f t="shared" si="6"/>
        <v>790</v>
      </c>
      <c r="O14" s="292">
        <f t="shared" si="6"/>
        <v>192</v>
      </c>
      <c r="P14" s="261">
        <f t="shared" si="6"/>
        <v>135</v>
      </c>
      <c r="Q14" s="261">
        <f t="shared" si="6"/>
        <v>193</v>
      </c>
      <c r="R14" s="293">
        <f t="shared" si="6"/>
        <v>161</v>
      </c>
      <c r="S14" s="228">
        <f t="shared" si="6"/>
        <v>681</v>
      </c>
      <c r="T14" s="292">
        <f t="shared" si="6"/>
        <v>213</v>
      </c>
      <c r="U14" s="261">
        <f t="shared" si="6"/>
        <v>136</v>
      </c>
      <c r="V14" s="261">
        <f t="shared" si="6"/>
        <v>153</v>
      </c>
      <c r="W14" s="293">
        <f t="shared" si="6"/>
        <v>159</v>
      </c>
      <c r="X14" s="228">
        <f t="shared" si="6"/>
        <v>661</v>
      </c>
      <c r="Y14" s="292">
        <f t="shared" si="6"/>
        <v>219</v>
      </c>
      <c r="Z14" s="261">
        <f t="shared" si="6"/>
        <v>134</v>
      </c>
      <c r="AA14" s="261">
        <f t="shared" ref="AA14:AE14" si="7">SUM(AA12:AA13)</f>
        <v>149</v>
      </c>
      <c r="AB14" s="293">
        <f t="shared" si="7"/>
        <v>148</v>
      </c>
      <c r="AC14" s="228">
        <f t="shared" si="7"/>
        <v>650</v>
      </c>
      <c r="AD14" s="292">
        <f t="shared" si="7"/>
        <v>228</v>
      </c>
      <c r="AE14" s="261">
        <f t="shared" si="7"/>
        <v>128</v>
      </c>
      <c r="AF14" s="261">
        <f t="shared" ref="AF14:AJ14" si="8">SUM(AF12:AF13)</f>
        <v>154</v>
      </c>
      <c r="AG14" s="293">
        <f t="shared" si="8"/>
        <v>137</v>
      </c>
      <c r="AH14" s="228">
        <f t="shared" si="8"/>
        <v>647</v>
      </c>
      <c r="AI14" s="292">
        <f t="shared" si="8"/>
        <v>176</v>
      </c>
      <c r="AJ14" s="261">
        <f t="shared" si="8"/>
        <v>122</v>
      </c>
      <c r="AK14" s="261">
        <f t="shared" ref="AK14:AO14" si="9">SUM(AK12:AK13)</f>
        <v>150</v>
      </c>
      <c r="AL14" s="293">
        <f t="shared" si="9"/>
        <v>135</v>
      </c>
      <c r="AM14" s="228">
        <f t="shared" si="9"/>
        <v>583</v>
      </c>
      <c r="AN14" s="292">
        <f t="shared" si="9"/>
        <v>157</v>
      </c>
      <c r="AO14" s="261">
        <f t="shared" si="9"/>
        <v>113</v>
      </c>
      <c r="AP14" s="261">
        <f t="shared" si="6"/>
        <v>129</v>
      </c>
      <c r="AQ14" s="293">
        <f t="shared" si="6"/>
        <v>133</v>
      </c>
      <c r="AR14" s="228">
        <f t="shared" si="6"/>
        <v>532</v>
      </c>
      <c r="AS14" s="292">
        <f t="shared" si="6"/>
        <v>156.99999999999997</v>
      </c>
      <c r="AT14" s="261">
        <f t="shared" si="6"/>
        <v>112.99999999999999</v>
      </c>
      <c r="AU14" s="261">
        <f t="shared" si="6"/>
        <v>129</v>
      </c>
      <c r="AV14" s="293">
        <f t="shared" si="6"/>
        <v>133</v>
      </c>
      <c r="AW14" s="228">
        <f t="shared" si="6"/>
        <v>532</v>
      </c>
      <c r="AX14" s="292">
        <f t="shared" ref="AX14:BG14" si="10">SUM(AX12:AX13)</f>
        <v>156.99999999999997</v>
      </c>
      <c r="AY14" s="261">
        <f t="shared" si="10"/>
        <v>112.99999999999999</v>
      </c>
      <c r="AZ14" s="261">
        <f t="shared" si="10"/>
        <v>129</v>
      </c>
      <c r="BA14" s="293">
        <f t="shared" si="10"/>
        <v>133</v>
      </c>
      <c r="BB14" s="228">
        <f t="shared" si="10"/>
        <v>532</v>
      </c>
      <c r="BC14" s="292">
        <f t="shared" si="10"/>
        <v>156.99999999999997</v>
      </c>
      <c r="BD14" s="261">
        <f t="shared" si="10"/>
        <v>112.99999999999999</v>
      </c>
      <c r="BE14" s="261">
        <f t="shared" si="10"/>
        <v>129</v>
      </c>
      <c r="BF14" s="293">
        <f t="shared" si="10"/>
        <v>133</v>
      </c>
      <c r="BG14" s="228">
        <f t="shared" si="10"/>
        <v>532</v>
      </c>
      <c r="BH14" s="292">
        <f t="shared" ref="BH14:BL14" si="11">SUM(BH12:BH13)</f>
        <v>156.99999999999997</v>
      </c>
      <c r="BI14" s="261">
        <f t="shared" si="11"/>
        <v>112.99999999999999</v>
      </c>
      <c r="BJ14" s="261">
        <f t="shared" si="11"/>
        <v>129</v>
      </c>
      <c r="BK14" s="293">
        <f t="shared" si="11"/>
        <v>133</v>
      </c>
      <c r="BL14" s="228">
        <f t="shared" si="11"/>
        <v>532</v>
      </c>
      <c r="BM14" s="228"/>
      <c r="BN14" s="228"/>
      <c r="BO14" s="228"/>
      <c r="BP14" s="228"/>
      <c r="BQ14" s="228"/>
      <c r="BR14" s="228"/>
      <c r="BS14" s="228"/>
      <c r="BT14" s="228"/>
      <c r="BU14" s="228"/>
      <c r="BV14" s="228"/>
      <c r="BW14" s="228"/>
      <c r="BX14" s="228"/>
      <c r="BY14" s="228"/>
      <c r="BZ14" s="228"/>
      <c r="CA14" s="228"/>
      <c r="CB14" s="228"/>
      <c r="CC14" s="228"/>
      <c r="CD14" s="228"/>
      <c r="CE14" s="228"/>
      <c r="CF14" s="228"/>
      <c r="CG14" s="228"/>
      <c r="CH14" s="228"/>
      <c r="CI14" s="228"/>
      <c r="CJ14" s="228"/>
      <c r="CK14" s="228"/>
      <c r="CL14" s="228"/>
      <c r="CM14" s="228"/>
      <c r="CN14" s="228"/>
      <c r="CO14" s="228"/>
      <c r="CP14" s="228"/>
    </row>
    <row r="15" spans="1:94">
      <c r="A15" s="45"/>
      <c r="B15" s="45"/>
      <c r="C15" s="895"/>
      <c r="D15" s="45"/>
      <c r="E15" s="337"/>
      <c r="F15" s="338"/>
      <c r="G15" s="338"/>
      <c r="H15" s="586"/>
      <c r="I15" s="339"/>
      <c r="J15" s="337"/>
      <c r="K15" s="338"/>
      <c r="L15" s="338"/>
      <c r="M15" s="586"/>
      <c r="N15" s="339"/>
      <c r="O15" s="337"/>
      <c r="P15" s="338"/>
      <c r="Q15" s="338"/>
      <c r="R15" s="586"/>
      <c r="S15" s="339"/>
      <c r="T15" s="337"/>
      <c r="U15" s="338"/>
      <c r="V15" s="338"/>
      <c r="W15" s="586"/>
      <c r="X15" s="339"/>
      <c r="Y15" s="337"/>
      <c r="Z15" s="338"/>
      <c r="AA15" s="338"/>
      <c r="AB15" s="586"/>
      <c r="AC15" s="339"/>
      <c r="AD15" s="337"/>
      <c r="AE15" s="338"/>
      <c r="AF15" s="338"/>
      <c r="AG15" s="586"/>
      <c r="AH15" s="2056"/>
      <c r="AI15" s="337"/>
      <c r="AJ15" s="338"/>
      <c r="AK15" s="338"/>
      <c r="AL15" s="586"/>
      <c r="AM15" s="2056"/>
      <c r="AN15" s="337"/>
      <c r="AO15" s="338"/>
      <c r="AP15" s="260"/>
      <c r="AQ15" s="586"/>
      <c r="AR15" s="2056"/>
      <c r="AS15" s="290"/>
      <c r="AT15" s="260"/>
      <c r="AU15" s="260"/>
      <c r="AV15" s="291"/>
      <c r="AW15" s="45"/>
      <c r="AX15" s="290"/>
      <c r="AY15" s="260"/>
      <c r="AZ15" s="260"/>
      <c r="BA15" s="291"/>
      <c r="BB15" s="45"/>
      <c r="BC15" s="290"/>
      <c r="BD15" s="260"/>
      <c r="BE15" s="260"/>
      <c r="BF15" s="291"/>
      <c r="BG15" s="45"/>
      <c r="BH15" s="290"/>
      <c r="BI15" s="260"/>
      <c r="BJ15" s="260"/>
      <c r="BK15" s="291"/>
      <c r="BL15" s="45"/>
      <c r="BM15" s="45"/>
      <c r="BN15" s="45"/>
      <c r="BO15" s="45"/>
      <c r="BP15" s="45"/>
      <c r="BQ15" s="45"/>
      <c r="BR15" s="45"/>
      <c r="BS15" s="45"/>
      <c r="BT15" s="45"/>
      <c r="BU15" s="45"/>
      <c r="BV15" s="45"/>
      <c r="BW15" s="45"/>
      <c r="BX15" s="45"/>
      <c r="BY15" s="45"/>
      <c r="BZ15" s="45"/>
      <c r="CA15" s="45"/>
      <c r="CB15" s="45"/>
      <c r="CC15" s="45"/>
      <c r="CD15" s="45"/>
      <c r="CE15" s="45"/>
      <c r="CF15" s="45"/>
      <c r="CG15" s="45"/>
      <c r="CH15" s="45"/>
      <c r="CI15" s="45"/>
      <c r="CJ15" s="45"/>
      <c r="CK15" s="45"/>
      <c r="CL15" s="45"/>
      <c r="CM15" s="45"/>
      <c r="CN15" s="45"/>
      <c r="CO15" s="45"/>
      <c r="CP15" s="45"/>
    </row>
    <row r="16" spans="1:94">
      <c r="A16" s="228"/>
      <c r="B16" s="228"/>
      <c r="C16" s="909" t="s">
        <v>63</v>
      </c>
      <c r="D16" s="228"/>
      <c r="E16" s="292"/>
      <c r="F16" s="261"/>
      <c r="G16" s="261"/>
      <c r="H16" s="293"/>
      <c r="I16" s="228">
        <f t="shared" ref="I16:AW16" si="12">+I10-I14</f>
        <v>496</v>
      </c>
      <c r="J16" s="292">
        <f t="shared" si="12"/>
        <v>147</v>
      </c>
      <c r="K16" s="261">
        <f t="shared" si="12"/>
        <v>114</v>
      </c>
      <c r="L16" s="261">
        <f t="shared" si="12"/>
        <v>128</v>
      </c>
      <c r="M16" s="293">
        <f t="shared" si="12"/>
        <v>125</v>
      </c>
      <c r="N16" s="228">
        <f t="shared" si="12"/>
        <v>514</v>
      </c>
      <c r="O16" s="292">
        <f t="shared" si="12"/>
        <v>141</v>
      </c>
      <c r="P16" s="261">
        <f t="shared" si="12"/>
        <v>124</v>
      </c>
      <c r="Q16" s="261">
        <f t="shared" si="12"/>
        <v>147</v>
      </c>
      <c r="R16" s="293">
        <f t="shared" si="12"/>
        <v>140</v>
      </c>
      <c r="S16" s="228">
        <f t="shared" si="12"/>
        <v>552</v>
      </c>
      <c r="T16" s="292">
        <f t="shared" si="12"/>
        <v>157</v>
      </c>
      <c r="U16" s="261">
        <f t="shared" si="12"/>
        <v>130</v>
      </c>
      <c r="V16" s="261">
        <f t="shared" si="12"/>
        <v>143</v>
      </c>
      <c r="W16" s="293">
        <f t="shared" si="12"/>
        <v>153</v>
      </c>
      <c r="X16" s="228">
        <f t="shared" si="12"/>
        <v>583</v>
      </c>
      <c r="Y16" s="292">
        <f t="shared" si="12"/>
        <v>178</v>
      </c>
      <c r="Z16" s="261">
        <f t="shared" si="12"/>
        <v>145</v>
      </c>
      <c r="AA16" s="261">
        <f t="shared" ref="AA16:AE16" si="13">+AA10-AA14</f>
        <v>160</v>
      </c>
      <c r="AB16" s="293">
        <f t="shared" si="13"/>
        <v>160</v>
      </c>
      <c r="AC16" s="228">
        <f t="shared" si="13"/>
        <v>643</v>
      </c>
      <c r="AD16" s="292">
        <f t="shared" si="13"/>
        <v>195</v>
      </c>
      <c r="AE16" s="261">
        <f t="shared" si="13"/>
        <v>147</v>
      </c>
      <c r="AF16" s="261">
        <f t="shared" ref="AF16:AJ16" si="14">+AF10-AF14</f>
        <v>163</v>
      </c>
      <c r="AG16" s="293">
        <f t="shared" si="14"/>
        <v>166</v>
      </c>
      <c r="AH16" s="228">
        <f t="shared" si="14"/>
        <v>671</v>
      </c>
      <c r="AI16" s="292">
        <f t="shared" si="14"/>
        <v>186</v>
      </c>
      <c r="AJ16" s="261">
        <f t="shared" si="14"/>
        <v>159</v>
      </c>
      <c r="AK16" s="261">
        <f t="shared" ref="AK16:AO16" si="15">+AK10-AK14</f>
        <v>181</v>
      </c>
      <c r="AL16" s="293">
        <f t="shared" si="15"/>
        <v>168</v>
      </c>
      <c r="AM16" s="228">
        <f t="shared" si="15"/>
        <v>694</v>
      </c>
      <c r="AN16" s="292">
        <f t="shared" si="15"/>
        <v>205</v>
      </c>
      <c r="AO16" s="261">
        <f t="shared" si="15"/>
        <v>169</v>
      </c>
      <c r="AP16" s="261">
        <f t="shared" si="12"/>
        <v>198</v>
      </c>
      <c r="AQ16" s="293">
        <f t="shared" si="12"/>
        <v>196</v>
      </c>
      <c r="AR16" s="228">
        <f t="shared" si="12"/>
        <v>768</v>
      </c>
      <c r="AS16" s="292">
        <f t="shared" si="12"/>
        <v>200.16977979957804</v>
      </c>
      <c r="AT16" s="261">
        <f t="shared" si="12"/>
        <v>166.40311313291136</v>
      </c>
      <c r="AU16" s="261">
        <f t="shared" si="12"/>
        <v>196.87811313291144</v>
      </c>
      <c r="AV16" s="293">
        <f t="shared" ca="1" si="12"/>
        <v>188.43896332146124</v>
      </c>
      <c r="AW16" s="228">
        <f t="shared" ca="1" si="12"/>
        <v>751.88996938686205</v>
      </c>
      <c r="AX16" s="292">
        <f t="shared" ref="AX16:BG16" si="16">+AX10-AX14</f>
        <v>206.09034230942146</v>
      </c>
      <c r="AY16" s="261">
        <f t="shared" si="16"/>
        <v>170.09034230942149</v>
      </c>
      <c r="AZ16" s="261">
        <f t="shared" si="16"/>
        <v>200.34034230942154</v>
      </c>
      <c r="BA16" s="293">
        <f t="shared" ca="1" si="16"/>
        <v>191.90119249797135</v>
      </c>
      <c r="BB16" s="228">
        <f t="shared" ca="1" si="16"/>
        <v>768.42221942623587</v>
      </c>
      <c r="BC16" s="292">
        <f t="shared" si="16"/>
        <v>209.47131153961678</v>
      </c>
      <c r="BD16" s="261">
        <f t="shared" si="16"/>
        <v>173.47131153961669</v>
      </c>
      <c r="BE16" s="261">
        <f t="shared" si="16"/>
        <v>202.47131153961681</v>
      </c>
      <c r="BF16" s="293">
        <f t="shared" ca="1" si="16"/>
        <v>194.03216172816667</v>
      </c>
      <c r="BG16" s="228">
        <f t="shared" ca="1" si="16"/>
        <v>779.44609634701715</v>
      </c>
      <c r="BH16" s="292">
        <f t="shared" ref="BH16:BL16" si="17">+BH10-BH14</f>
        <v>211.55003294230917</v>
      </c>
      <c r="BI16" s="261">
        <f t="shared" si="17"/>
        <v>175.55003294230914</v>
      </c>
      <c r="BJ16" s="261">
        <f t="shared" si="17"/>
        <v>204.55003294230914</v>
      </c>
      <c r="BK16" s="293">
        <f t="shared" ca="1" si="17"/>
        <v>196.11088313085901</v>
      </c>
      <c r="BL16" s="228">
        <f t="shared" ca="1" si="17"/>
        <v>787.7609819577865</v>
      </c>
      <c r="BM16" s="228"/>
      <c r="BN16" s="228"/>
      <c r="BO16" s="228"/>
      <c r="BP16" s="228"/>
      <c r="BQ16" s="228"/>
      <c r="BR16" s="228"/>
      <c r="BS16" s="228"/>
      <c r="BT16" s="228"/>
      <c r="BU16" s="228"/>
      <c r="BV16" s="228"/>
      <c r="BW16" s="228"/>
      <c r="BX16" s="228"/>
      <c r="BY16" s="228"/>
      <c r="BZ16" s="228"/>
      <c r="CA16" s="228"/>
      <c r="CB16" s="228"/>
      <c r="CC16" s="228"/>
      <c r="CD16" s="228"/>
      <c r="CE16" s="228"/>
      <c r="CF16" s="228"/>
      <c r="CG16" s="228"/>
      <c r="CH16" s="228"/>
      <c r="CI16" s="228"/>
      <c r="CJ16" s="228"/>
      <c r="CK16" s="228"/>
      <c r="CL16" s="228"/>
      <c r="CM16" s="228"/>
      <c r="CN16" s="228"/>
      <c r="CO16" s="228"/>
      <c r="CP16" s="228"/>
    </row>
    <row r="17" spans="1:94">
      <c r="A17" s="45"/>
      <c r="B17" s="45"/>
      <c r="C17" s="895"/>
      <c r="D17" s="45"/>
      <c r="E17" s="290"/>
      <c r="F17" s="260"/>
      <c r="G17" s="260"/>
      <c r="H17" s="291"/>
      <c r="I17" s="45"/>
      <c r="J17" s="290"/>
      <c r="K17" s="260"/>
      <c r="L17" s="260"/>
      <c r="M17" s="291"/>
      <c r="N17" s="45"/>
      <c r="O17" s="290"/>
      <c r="P17" s="260"/>
      <c r="Q17" s="260"/>
      <c r="R17" s="291"/>
      <c r="S17" s="45"/>
      <c r="T17" s="290"/>
      <c r="U17" s="260"/>
      <c r="V17" s="260"/>
      <c r="W17" s="291"/>
      <c r="X17" s="45"/>
      <c r="Y17" s="290"/>
      <c r="Z17" s="260"/>
      <c r="AA17" s="260"/>
      <c r="AB17" s="291"/>
      <c r="AC17" s="45"/>
      <c r="AD17" s="290"/>
      <c r="AE17" s="260"/>
      <c r="AF17" s="260"/>
      <c r="AG17" s="291"/>
      <c r="AH17" s="45"/>
      <c r="AI17" s="290"/>
      <c r="AJ17" s="260"/>
      <c r="AK17" s="260"/>
      <c r="AL17" s="291"/>
      <c r="AM17" s="45"/>
      <c r="AN17" s="290"/>
      <c r="AO17" s="260"/>
      <c r="AP17" s="260"/>
      <c r="AQ17" s="291"/>
      <c r="AR17" s="45"/>
      <c r="AS17" s="290"/>
      <c r="AT17" s="260"/>
      <c r="AU17" s="260"/>
      <c r="AV17" s="291"/>
      <c r="AW17" s="45"/>
      <c r="AX17" s="290"/>
      <c r="AY17" s="260"/>
      <c r="AZ17" s="260"/>
      <c r="BA17" s="291"/>
      <c r="BB17" s="45"/>
      <c r="BC17" s="290"/>
      <c r="BD17" s="260"/>
      <c r="BE17" s="260"/>
      <c r="BF17" s="291"/>
      <c r="BG17" s="45"/>
      <c r="BH17" s="290"/>
      <c r="BI17" s="260"/>
      <c r="BJ17" s="260"/>
      <c r="BK17" s="291"/>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row>
    <row r="18" spans="1:94">
      <c r="A18" s="45"/>
      <c r="B18" s="45"/>
      <c r="C18" s="895" t="s">
        <v>64</v>
      </c>
      <c r="D18" s="45"/>
      <c r="E18" s="337"/>
      <c r="F18" s="338"/>
      <c r="G18" s="338"/>
      <c r="H18" s="586"/>
      <c r="I18" s="339">
        <v>255</v>
      </c>
      <c r="J18" s="337">
        <v>65</v>
      </c>
      <c r="K18" s="338">
        <v>47</v>
      </c>
      <c r="L18" s="338">
        <v>69</v>
      </c>
      <c r="M18" s="586">
        <f>N18-SUM(J18:L18)</f>
        <v>58</v>
      </c>
      <c r="N18" s="339">
        <v>239</v>
      </c>
      <c r="O18" s="337">
        <v>65</v>
      </c>
      <c r="P18" s="338">
        <v>62</v>
      </c>
      <c r="Q18" s="338">
        <v>65</v>
      </c>
      <c r="R18" s="586">
        <f>S18-SUM(O18:Q18)</f>
        <v>68</v>
      </c>
      <c r="S18" s="339">
        <v>260</v>
      </c>
      <c r="T18" s="337">
        <v>69</v>
      </c>
      <c r="U18" s="338">
        <v>63</v>
      </c>
      <c r="V18" s="338">
        <v>59</v>
      </c>
      <c r="W18" s="586">
        <f>X18-SUM(T18:V18)</f>
        <v>60</v>
      </c>
      <c r="X18" s="339">
        <v>251</v>
      </c>
      <c r="Y18" s="337">
        <v>66</v>
      </c>
      <c r="Z18" s="338">
        <v>65</v>
      </c>
      <c r="AA18" s="338">
        <v>71</v>
      </c>
      <c r="AB18" s="586">
        <f>AC18-SUM(Y18:AA18)</f>
        <v>67</v>
      </c>
      <c r="AC18" s="339">
        <v>269</v>
      </c>
      <c r="AD18" s="337">
        <v>82</v>
      </c>
      <c r="AE18" s="338">
        <v>76</v>
      </c>
      <c r="AF18" s="338">
        <v>77</v>
      </c>
      <c r="AG18" s="586">
        <f>AH18-SUM(AD18:AF18)</f>
        <v>71</v>
      </c>
      <c r="AH18" s="2056">
        <v>306</v>
      </c>
      <c r="AI18" s="337">
        <v>204</v>
      </c>
      <c r="AJ18" s="338">
        <f>73+5</f>
        <v>78</v>
      </c>
      <c r="AK18" s="338">
        <f>50+5</f>
        <v>55</v>
      </c>
      <c r="AL18" s="586">
        <f>AM18-SUM(AI18:AK18)</f>
        <v>104</v>
      </c>
      <c r="AM18" s="2056">
        <f>422+19</f>
        <v>441</v>
      </c>
      <c r="AN18" s="337">
        <f>66+7</f>
        <v>73</v>
      </c>
      <c r="AO18" s="338">
        <f>66+8</f>
        <v>74</v>
      </c>
      <c r="AP18" s="338">
        <f>71+8</f>
        <v>79</v>
      </c>
      <c r="AQ18" s="586">
        <f>AR18-SUM(AN18:AP18)</f>
        <v>89</v>
      </c>
      <c r="AR18" s="2056">
        <f>283+32</f>
        <v>315</v>
      </c>
      <c r="AS18" s="290">
        <f>+AS117</f>
        <v>71.905000000000001</v>
      </c>
      <c r="AT18" s="260">
        <f>+AT117</f>
        <v>72.89</v>
      </c>
      <c r="AU18" s="260">
        <f>+AU117</f>
        <v>77.814999999999998</v>
      </c>
      <c r="AV18" s="291">
        <f>+AV117</f>
        <v>87.664999999999992</v>
      </c>
      <c r="AW18" s="45">
        <f>SUM(AS18:AV18)</f>
        <v>310.27499999999998</v>
      </c>
      <c r="AX18" s="290">
        <f>+AX117</f>
        <v>70.466899999999995</v>
      </c>
      <c r="AY18" s="260">
        <f>+AY117</f>
        <v>71.432199999999995</v>
      </c>
      <c r="AZ18" s="260">
        <f>+AZ117</f>
        <v>76.25869999999999</v>
      </c>
      <c r="BA18" s="291">
        <f>+BA117</f>
        <v>85.911699999999996</v>
      </c>
      <c r="BB18" s="45">
        <f>SUM(AX18:BA18)</f>
        <v>304.06949999999995</v>
      </c>
      <c r="BC18" s="290">
        <f>+BC117</f>
        <v>68.352892999999995</v>
      </c>
      <c r="BD18" s="260">
        <f>+BD117</f>
        <v>69.289233999999993</v>
      </c>
      <c r="BE18" s="260">
        <f>+BE117</f>
        <v>73.970938999999987</v>
      </c>
      <c r="BF18" s="291">
        <f>+BF117</f>
        <v>83.334348999999989</v>
      </c>
      <c r="BG18" s="45">
        <f>SUM(BC18:BF18)</f>
        <v>294.94741499999998</v>
      </c>
      <c r="BH18" s="290">
        <f>+BH117</f>
        <v>66.644070674999995</v>
      </c>
      <c r="BI18" s="260">
        <f>+BI117</f>
        <v>67.557003149999986</v>
      </c>
      <c r="BJ18" s="260">
        <f>+BJ117</f>
        <v>72.121665524999983</v>
      </c>
      <c r="BK18" s="291">
        <f>+BK117</f>
        <v>81.250990274999992</v>
      </c>
      <c r="BL18" s="45">
        <f>SUM(BH18:BK18)</f>
        <v>287.57372962499994</v>
      </c>
      <c r="BM18" s="1038"/>
      <c r="BN18" s="45"/>
      <c r="BO18" s="45"/>
      <c r="BP18" s="45"/>
      <c r="BQ18" s="45"/>
      <c r="BR18" s="45"/>
      <c r="BS18" s="45"/>
      <c r="BT18" s="45"/>
      <c r="BU18" s="45"/>
      <c r="BV18" s="45"/>
      <c r="BW18" s="45"/>
      <c r="BX18" s="45"/>
      <c r="BY18" s="45"/>
      <c r="BZ18" s="45"/>
      <c r="CA18" s="45"/>
      <c r="CB18" s="45"/>
      <c r="CC18" s="45"/>
      <c r="CD18" s="45"/>
      <c r="CE18" s="45"/>
      <c r="CF18" s="45"/>
      <c r="CG18" s="45"/>
      <c r="CH18" s="45"/>
      <c r="CI18" s="45"/>
      <c r="CJ18" s="45"/>
      <c r="CK18" s="45"/>
      <c r="CL18" s="45"/>
      <c r="CM18" s="45"/>
      <c r="CN18" s="45"/>
      <c r="CO18" s="45"/>
      <c r="CP18" s="45"/>
    </row>
    <row r="19" spans="1:94">
      <c r="A19" s="45"/>
      <c r="B19" s="45"/>
      <c r="C19" s="895" t="s">
        <v>724</v>
      </c>
      <c r="D19" s="45"/>
      <c r="E19" s="337"/>
      <c r="F19" s="338"/>
      <c r="G19" s="338"/>
      <c r="H19" s="586"/>
      <c r="I19" s="339">
        <v>83</v>
      </c>
      <c r="J19" s="337">
        <v>22</v>
      </c>
      <c r="K19" s="338">
        <v>22</v>
      </c>
      <c r="L19" s="338">
        <v>22</v>
      </c>
      <c r="M19" s="586">
        <f>N19-SUM(J19:L19)</f>
        <v>23</v>
      </c>
      <c r="N19" s="339">
        <v>89</v>
      </c>
      <c r="O19" s="337">
        <v>24</v>
      </c>
      <c r="P19" s="338">
        <v>25</v>
      </c>
      <c r="Q19" s="338">
        <v>29</v>
      </c>
      <c r="R19" s="586">
        <f>S19-SUM(O19:Q19)</f>
        <v>24</v>
      </c>
      <c r="S19" s="339">
        <v>102</v>
      </c>
      <c r="T19" s="337">
        <v>25</v>
      </c>
      <c r="U19" s="338">
        <v>27</v>
      </c>
      <c r="V19" s="338">
        <v>27</v>
      </c>
      <c r="W19" s="586">
        <f>X19-SUM(T19:V19)</f>
        <v>28</v>
      </c>
      <c r="X19" s="339">
        <v>107</v>
      </c>
      <c r="Y19" s="337">
        <v>30</v>
      </c>
      <c r="Z19" s="338">
        <v>30</v>
      </c>
      <c r="AA19" s="338">
        <v>33</v>
      </c>
      <c r="AB19" s="586">
        <f>AC19-SUM(Y19:AA19)</f>
        <v>32</v>
      </c>
      <c r="AC19" s="339">
        <v>125</v>
      </c>
      <c r="AD19" s="337">
        <v>39</v>
      </c>
      <c r="AE19" s="338">
        <v>36</v>
      </c>
      <c r="AF19" s="338">
        <v>42</v>
      </c>
      <c r="AG19" s="586">
        <f>AH19-SUM(AD19:AF19)</f>
        <v>36</v>
      </c>
      <c r="AH19" s="2056">
        <v>153</v>
      </c>
      <c r="AI19" s="337">
        <v>39</v>
      </c>
      <c r="AJ19" s="338">
        <v>38</v>
      </c>
      <c r="AK19" s="338">
        <v>44</v>
      </c>
      <c r="AL19" s="586">
        <f>AM19-SUM(AI19:AK19)</f>
        <v>36</v>
      </c>
      <c r="AM19" s="2056">
        <v>157</v>
      </c>
      <c r="AN19" s="337">
        <v>39</v>
      </c>
      <c r="AO19" s="338">
        <v>40</v>
      </c>
      <c r="AP19" s="338">
        <v>45</v>
      </c>
      <c r="AQ19" s="586">
        <f>AR19-SUM(AN19:AP19)</f>
        <v>43</v>
      </c>
      <c r="AR19" s="2056">
        <v>167</v>
      </c>
      <c r="AS19" s="290">
        <f>AS140</f>
        <v>43.640246653632126</v>
      </c>
      <c r="AT19" s="260">
        <f>AT140</f>
        <v>44.542683602612271</v>
      </c>
      <c r="AU19" s="260">
        <f>AU140</f>
        <v>45.259983829740456</v>
      </c>
      <c r="AV19" s="291">
        <f>AV140</f>
        <v>45.968006297877366</v>
      </c>
      <c r="AW19" s="45">
        <f>SUM(AS19:AV19)</f>
        <v>179.41092038386222</v>
      </c>
      <c r="AX19" s="290">
        <f>AX140</f>
        <v>46.666871008116885</v>
      </c>
      <c r="AY19" s="260">
        <f>AY140</f>
        <v>47.578815398578683</v>
      </c>
      <c r="AZ19" s="260">
        <f>AZ140</f>
        <v>48.014327787768366</v>
      </c>
      <c r="BA19" s="291">
        <f>BA140</f>
        <v>48.444207139588478</v>
      </c>
      <c r="BB19" s="45">
        <f>SUM(AX19:BA19)</f>
        <v>190.70422133405242</v>
      </c>
      <c r="BC19" s="290">
        <f>BC140</f>
        <v>48.868526313298119</v>
      </c>
      <c r="BD19" s="260">
        <f>BD140</f>
        <v>49.287357225774635</v>
      </c>
      <c r="BE19" s="260">
        <f>BE140</f>
        <v>49.700770863702651</v>
      </c>
      <c r="BF19" s="291">
        <f>BF140</f>
        <v>50.108837295605426</v>
      </c>
      <c r="BG19" s="45">
        <f>SUM(BC19:BF19)</f>
        <v>197.96549169838084</v>
      </c>
      <c r="BH19" s="290">
        <f>BH140</f>
        <v>50.511625683720631</v>
      </c>
      <c r="BI19" s="260">
        <f>BI140</f>
        <v>50.909204295722432</v>
      </c>
      <c r="BJ19" s="260">
        <f>BJ140</f>
        <v>51.301640516292117</v>
      </c>
      <c r="BK19" s="291">
        <f>BK140</f>
        <v>51.689000858538911</v>
      </c>
      <c r="BL19" s="45">
        <f>SUM(BH19:BK19)</f>
        <v>204.41147135427408</v>
      </c>
      <c r="BM19" s="45"/>
      <c r="BN19" s="45"/>
      <c r="BO19" s="45"/>
      <c r="BP19" s="45"/>
      <c r="BQ19" s="45"/>
      <c r="BR19" s="45"/>
      <c r="BS19" s="45"/>
      <c r="BT19" s="45"/>
      <c r="BU19" s="45"/>
      <c r="BV19" s="45"/>
      <c r="BW19" s="45"/>
      <c r="BX19" s="45"/>
      <c r="BY19" s="45"/>
      <c r="BZ19" s="45"/>
      <c r="CA19" s="45"/>
      <c r="CB19" s="45"/>
      <c r="CC19" s="45"/>
      <c r="CD19" s="45"/>
      <c r="CE19" s="45"/>
      <c r="CF19" s="45"/>
      <c r="CG19" s="45"/>
      <c r="CH19" s="45"/>
      <c r="CI19" s="45"/>
      <c r="CJ19" s="45"/>
      <c r="CK19" s="45"/>
      <c r="CL19" s="45"/>
      <c r="CM19" s="45"/>
      <c r="CN19" s="45"/>
      <c r="CO19" s="45"/>
      <c r="CP19" s="45"/>
    </row>
    <row r="20" spans="1:94">
      <c r="A20" s="45"/>
      <c r="B20" s="45"/>
      <c r="C20" s="890" t="s">
        <v>65</v>
      </c>
      <c r="D20" s="45"/>
      <c r="E20" s="337"/>
      <c r="F20" s="338"/>
      <c r="G20" s="338"/>
      <c r="H20" s="586"/>
      <c r="I20" s="339">
        <v>37</v>
      </c>
      <c r="J20" s="337">
        <v>11</v>
      </c>
      <c r="K20" s="338">
        <v>9</v>
      </c>
      <c r="L20" s="338">
        <v>8</v>
      </c>
      <c r="M20" s="586">
        <f>N20-SUM(J20:L20)</f>
        <v>9</v>
      </c>
      <c r="N20" s="339">
        <v>37</v>
      </c>
      <c r="O20" s="337">
        <v>9</v>
      </c>
      <c r="P20" s="338">
        <v>7</v>
      </c>
      <c r="Q20" s="338">
        <v>10</v>
      </c>
      <c r="R20" s="586">
        <f>S20-SUM(O20:Q20)</f>
        <v>10</v>
      </c>
      <c r="S20" s="339">
        <v>36</v>
      </c>
      <c r="T20" s="337">
        <v>10</v>
      </c>
      <c r="U20" s="338">
        <v>9</v>
      </c>
      <c r="V20" s="338">
        <v>10</v>
      </c>
      <c r="W20" s="586">
        <f>X20-SUM(T20:V20)</f>
        <v>11</v>
      </c>
      <c r="X20" s="339">
        <v>40</v>
      </c>
      <c r="Y20" s="337">
        <v>11</v>
      </c>
      <c r="Z20" s="338">
        <v>10</v>
      </c>
      <c r="AA20" s="338">
        <v>11</v>
      </c>
      <c r="AB20" s="586">
        <f>AC20-SUM(Y20:AA20)</f>
        <v>10</v>
      </c>
      <c r="AC20" s="339">
        <v>42</v>
      </c>
      <c r="AD20" s="337">
        <v>12</v>
      </c>
      <c r="AE20" s="338">
        <v>11</v>
      </c>
      <c r="AF20" s="338">
        <v>12</v>
      </c>
      <c r="AG20" s="586">
        <f>AH20-SUM(AD20:AF20)</f>
        <v>12</v>
      </c>
      <c r="AH20" s="2056">
        <v>47</v>
      </c>
      <c r="AI20" s="337">
        <v>15</v>
      </c>
      <c r="AJ20" s="338">
        <v>13</v>
      </c>
      <c r="AK20" s="338">
        <v>14</v>
      </c>
      <c r="AL20" s="586">
        <f>AM20-SUM(AI20:AK20)</f>
        <v>13</v>
      </c>
      <c r="AM20" s="2056">
        <v>55</v>
      </c>
      <c r="AN20" s="337">
        <v>15</v>
      </c>
      <c r="AO20" s="338">
        <v>14</v>
      </c>
      <c r="AP20" s="338">
        <v>15</v>
      </c>
      <c r="AQ20" s="586">
        <f>AR20-SUM(AN20:AP20)</f>
        <v>13</v>
      </c>
      <c r="AR20" s="2056">
        <v>57</v>
      </c>
      <c r="AS20" s="290">
        <f>AS122</f>
        <v>15.450000000000001</v>
      </c>
      <c r="AT20" s="260">
        <f>AT122</f>
        <v>14.42</v>
      </c>
      <c r="AU20" s="260">
        <f>AU122</f>
        <v>15.450000000000001</v>
      </c>
      <c r="AV20" s="291">
        <f>AV122</f>
        <v>13.39</v>
      </c>
      <c r="AW20" s="45">
        <f>SUM(AS20:AV20)</f>
        <v>58.71</v>
      </c>
      <c r="AX20" s="290">
        <f>AX122</f>
        <v>15.913500000000001</v>
      </c>
      <c r="AY20" s="260">
        <f>AY122</f>
        <v>14.852600000000001</v>
      </c>
      <c r="AZ20" s="260">
        <f>AZ122</f>
        <v>15.913500000000001</v>
      </c>
      <c r="BA20" s="291">
        <f>BA122</f>
        <v>13.791700000000001</v>
      </c>
      <c r="BB20" s="45">
        <f>SUM(AX20:BA20)</f>
        <v>60.471299999999999</v>
      </c>
      <c r="BC20" s="290">
        <f>BC122</f>
        <v>16.390905</v>
      </c>
      <c r="BD20" s="260">
        <f>BD122</f>
        <v>15.298178000000002</v>
      </c>
      <c r="BE20" s="260">
        <f>BE122</f>
        <v>16.390905</v>
      </c>
      <c r="BF20" s="291">
        <f>BF122</f>
        <v>14.205451</v>
      </c>
      <c r="BG20" s="45">
        <f>SUM(BC20:BF20)</f>
        <v>62.285438999999997</v>
      </c>
      <c r="BH20" s="290">
        <f>BH122</f>
        <v>16.882632149999999</v>
      </c>
      <c r="BI20" s="260">
        <f>BI122</f>
        <v>15.757123340000001</v>
      </c>
      <c r="BJ20" s="260">
        <f>BJ122</f>
        <v>16.882632149999999</v>
      </c>
      <c r="BK20" s="291">
        <f>BK122</f>
        <v>14.63161453</v>
      </c>
      <c r="BL20" s="45">
        <f>SUM(BH20:BK20)</f>
        <v>64.154002169999998</v>
      </c>
      <c r="BM20" s="45"/>
      <c r="BN20" s="45"/>
      <c r="BO20" s="45"/>
      <c r="BP20" s="45"/>
      <c r="BQ20" s="45"/>
      <c r="BR20" s="45"/>
      <c r="BS20" s="45"/>
      <c r="BT20" s="45"/>
      <c r="BU20" s="45"/>
      <c r="BV20" s="45"/>
      <c r="BW20" s="45"/>
      <c r="BX20" s="45"/>
      <c r="BY20" s="45"/>
      <c r="BZ20" s="45"/>
      <c r="CA20" s="45"/>
      <c r="CB20" s="45"/>
      <c r="CC20" s="45"/>
      <c r="CD20" s="45"/>
      <c r="CE20" s="45"/>
      <c r="CF20" s="45"/>
      <c r="CG20" s="45"/>
      <c r="CH20" s="45"/>
      <c r="CI20" s="45"/>
      <c r="CJ20" s="45"/>
      <c r="CK20" s="45"/>
      <c r="CL20" s="45"/>
      <c r="CM20" s="45"/>
      <c r="CN20" s="45"/>
      <c r="CO20" s="45"/>
      <c r="CP20" s="45"/>
    </row>
    <row r="21" spans="1:94">
      <c r="A21" s="45"/>
      <c r="B21" s="45"/>
      <c r="C21" s="909" t="s">
        <v>79</v>
      </c>
      <c r="D21" s="45"/>
      <c r="E21" s="292"/>
      <c r="F21" s="261"/>
      <c r="G21" s="261"/>
      <c r="H21" s="293"/>
      <c r="I21" s="228">
        <f t="shared" ref="I21:AW21" si="18">SUM(I18:I20,I14)</f>
        <v>1279</v>
      </c>
      <c r="J21" s="292">
        <f t="shared" si="18"/>
        <v>351</v>
      </c>
      <c r="K21" s="261">
        <f t="shared" si="18"/>
        <v>248</v>
      </c>
      <c r="L21" s="261">
        <f t="shared" si="18"/>
        <v>297</v>
      </c>
      <c r="M21" s="293">
        <f t="shared" si="18"/>
        <v>259</v>
      </c>
      <c r="N21" s="228">
        <f t="shared" si="18"/>
        <v>1155</v>
      </c>
      <c r="O21" s="292">
        <f t="shared" si="18"/>
        <v>290</v>
      </c>
      <c r="P21" s="261">
        <f t="shared" si="18"/>
        <v>229</v>
      </c>
      <c r="Q21" s="261">
        <f t="shared" si="18"/>
        <v>297</v>
      </c>
      <c r="R21" s="293">
        <f t="shared" si="18"/>
        <v>263</v>
      </c>
      <c r="S21" s="228">
        <f t="shared" si="18"/>
        <v>1079</v>
      </c>
      <c r="T21" s="292">
        <f t="shared" si="18"/>
        <v>317</v>
      </c>
      <c r="U21" s="261">
        <f t="shared" si="18"/>
        <v>235</v>
      </c>
      <c r="V21" s="261">
        <f t="shared" si="18"/>
        <v>249</v>
      </c>
      <c r="W21" s="293">
        <f t="shared" si="18"/>
        <v>258</v>
      </c>
      <c r="X21" s="228">
        <f t="shared" si="18"/>
        <v>1059</v>
      </c>
      <c r="Y21" s="292">
        <f t="shared" si="18"/>
        <v>326</v>
      </c>
      <c r="Z21" s="261">
        <f t="shared" si="18"/>
        <v>239</v>
      </c>
      <c r="AA21" s="261">
        <f t="shared" ref="AA21:AE21" si="19">SUM(AA18:AA20,AA14)</f>
        <v>264</v>
      </c>
      <c r="AB21" s="293">
        <f t="shared" si="19"/>
        <v>257</v>
      </c>
      <c r="AC21" s="228">
        <f t="shared" si="19"/>
        <v>1086</v>
      </c>
      <c r="AD21" s="292">
        <f t="shared" si="19"/>
        <v>361</v>
      </c>
      <c r="AE21" s="261">
        <f t="shared" si="19"/>
        <v>251</v>
      </c>
      <c r="AF21" s="261">
        <f t="shared" ref="AF21:AJ21" si="20">SUM(AF18:AF20,AF14)</f>
        <v>285</v>
      </c>
      <c r="AG21" s="293">
        <f t="shared" si="20"/>
        <v>256</v>
      </c>
      <c r="AH21" s="228">
        <f t="shared" si="20"/>
        <v>1153</v>
      </c>
      <c r="AI21" s="292">
        <f t="shared" si="20"/>
        <v>434</v>
      </c>
      <c r="AJ21" s="261">
        <f t="shared" si="20"/>
        <v>251</v>
      </c>
      <c r="AK21" s="261">
        <f t="shared" ref="AK21:AO21" si="21">SUM(AK18:AK20,AK14)</f>
        <v>263</v>
      </c>
      <c r="AL21" s="293">
        <f t="shared" si="21"/>
        <v>288</v>
      </c>
      <c r="AM21" s="228">
        <f t="shared" si="21"/>
        <v>1236</v>
      </c>
      <c r="AN21" s="292">
        <f t="shared" si="21"/>
        <v>284</v>
      </c>
      <c r="AO21" s="261">
        <f t="shared" si="21"/>
        <v>241</v>
      </c>
      <c r="AP21" s="261">
        <f t="shared" si="18"/>
        <v>268</v>
      </c>
      <c r="AQ21" s="293">
        <f t="shared" si="18"/>
        <v>278</v>
      </c>
      <c r="AR21" s="228">
        <f t="shared" si="18"/>
        <v>1071</v>
      </c>
      <c r="AS21" s="292">
        <f t="shared" si="18"/>
        <v>287.99524665363208</v>
      </c>
      <c r="AT21" s="261">
        <f t="shared" si="18"/>
        <v>244.85268360261227</v>
      </c>
      <c r="AU21" s="261">
        <f t="shared" si="18"/>
        <v>267.52498382974045</v>
      </c>
      <c r="AV21" s="293">
        <f t="shared" si="18"/>
        <v>280.02300629787737</v>
      </c>
      <c r="AW21" s="228">
        <f t="shared" si="18"/>
        <v>1080.3959203838622</v>
      </c>
      <c r="AX21" s="292">
        <f t="shared" ref="AX21:BG21" si="22">SUM(AX18:AX20,AX14)</f>
        <v>290.04727100811687</v>
      </c>
      <c r="AY21" s="261">
        <f t="shared" si="22"/>
        <v>246.86361539857864</v>
      </c>
      <c r="AZ21" s="261">
        <f t="shared" si="22"/>
        <v>269.18652778776834</v>
      </c>
      <c r="BA21" s="293">
        <f t="shared" si="22"/>
        <v>281.14760713958844</v>
      </c>
      <c r="BB21" s="228">
        <f t="shared" si="22"/>
        <v>1087.2450213340524</v>
      </c>
      <c r="BC21" s="292">
        <f t="shared" si="22"/>
        <v>290.61232431329807</v>
      </c>
      <c r="BD21" s="261">
        <f t="shared" si="22"/>
        <v>246.87476922577463</v>
      </c>
      <c r="BE21" s="261">
        <f t="shared" si="22"/>
        <v>269.06261486370261</v>
      </c>
      <c r="BF21" s="293">
        <f t="shared" si="22"/>
        <v>280.64863729560545</v>
      </c>
      <c r="BG21" s="228">
        <f t="shared" si="22"/>
        <v>1087.1983456983808</v>
      </c>
      <c r="BH21" s="292">
        <f t="shared" ref="BH21:BL21" si="23">SUM(BH18:BH20,BH14)</f>
        <v>291.03832850872061</v>
      </c>
      <c r="BI21" s="261">
        <f t="shared" si="23"/>
        <v>247.2233307857224</v>
      </c>
      <c r="BJ21" s="261">
        <f t="shared" si="23"/>
        <v>269.30593819129211</v>
      </c>
      <c r="BK21" s="293">
        <f t="shared" si="23"/>
        <v>280.57160566353889</v>
      </c>
      <c r="BL21" s="228">
        <f t="shared" si="23"/>
        <v>1088.1392031492742</v>
      </c>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row>
    <row r="22" spans="1:94">
      <c r="A22" s="45"/>
      <c r="B22" s="45"/>
      <c r="C22" s="895"/>
      <c r="D22" s="45"/>
      <c r="E22" s="337"/>
      <c r="F22" s="338"/>
      <c r="G22" s="338"/>
      <c r="H22" s="291"/>
      <c r="I22" s="339"/>
      <c r="J22" s="290"/>
      <c r="K22" s="260"/>
      <c r="L22" s="338"/>
      <c r="M22" s="291"/>
      <c r="N22" s="339"/>
      <c r="O22" s="290"/>
      <c r="P22" s="260"/>
      <c r="Q22" s="260"/>
      <c r="R22" s="291"/>
      <c r="S22" s="339"/>
      <c r="T22" s="290"/>
      <c r="U22" s="260"/>
      <c r="V22" s="260"/>
      <c r="W22" s="291"/>
      <c r="X22" s="339"/>
      <c r="Y22" s="290"/>
      <c r="Z22" s="260"/>
      <c r="AA22" s="260"/>
      <c r="AB22" s="291"/>
      <c r="AC22" s="339"/>
      <c r="AD22" s="290"/>
      <c r="AE22" s="260"/>
      <c r="AF22" s="260"/>
      <c r="AG22" s="291"/>
      <c r="AH22" s="2056"/>
      <c r="AI22" s="290"/>
      <c r="AJ22" s="260"/>
      <c r="AK22" s="260"/>
      <c r="AL22" s="291"/>
      <c r="AM22" s="2056"/>
      <c r="AN22" s="290"/>
      <c r="AO22" s="260"/>
      <c r="AP22" s="260"/>
      <c r="AQ22" s="291"/>
      <c r="AR22" s="2056"/>
      <c r="AS22" s="290"/>
      <c r="AT22" s="260"/>
      <c r="AU22" s="260"/>
      <c r="AV22" s="291"/>
      <c r="AW22" s="45"/>
      <c r="AX22" s="290"/>
      <c r="AY22" s="260"/>
      <c r="AZ22" s="260"/>
      <c r="BA22" s="291"/>
      <c r="BB22" s="45"/>
      <c r="BC22" s="290"/>
      <c r="BD22" s="260"/>
      <c r="BE22" s="260"/>
      <c r="BF22" s="291"/>
      <c r="BG22" s="45"/>
      <c r="BH22" s="290"/>
      <c r="BI22" s="260"/>
      <c r="BJ22" s="260"/>
      <c r="BK22" s="291"/>
      <c r="BL22" s="45"/>
      <c r="BM22" s="45"/>
      <c r="BN22" s="45"/>
      <c r="BO22" s="45"/>
      <c r="BP22" s="45"/>
      <c r="BQ22" s="45"/>
      <c r="BR22" s="45"/>
      <c r="BS22" s="45"/>
      <c r="BT22" s="45"/>
      <c r="BU22" s="45"/>
      <c r="BV22" s="45"/>
      <c r="BW22" s="45"/>
      <c r="BX22" s="45"/>
      <c r="BY22" s="45"/>
      <c r="BZ22" s="45"/>
      <c r="CA22" s="45"/>
      <c r="CB22" s="45"/>
      <c r="CC22" s="45"/>
      <c r="CD22" s="45"/>
      <c r="CE22" s="45"/>
      <c r="CF22" s="45"/>
      <c r="CG22" s="45"/>
      <c r="CH22" s="45"/>
      <c r="CI22" s="45"/>
      <c r="CJ22" s="45"/>
      <c r="CK22" s="45"/>
      <c r="CL22" s="45"/>
      <c r="CM22" s="45"/>
      <c r="CN22" s="45"/>
      <c r="CO22" s="45"/>
      <c r="CP22" s="45"/>
    </row>
    <row r="23" spans="1:94">
      <c r="A23" s="45"/>
      <c r="B23" s="45"/>
      <c r="C23" s="909" t="s">
        <v>70</v>
      </c>
      <c r="D23" s="45"/>
      <c r="E23" s="292"/>
      <c r="F23" s="261"/>
      <c r="G23" s="261"/>
      <c r="H23" s="293"/>
      <c r="I23" s="228">
        <f>+I10-I21</f>
        <v>121</v>
      </c>
      <c r="J23" s="292">
        <f>J10-J21</f>
        <v>49</v>
      </c>
      <c r="K23" s="261">
        <f>K10-K21</f>
        <v>36</v>
      </c>
      <c r="L23" s="261">
        <f>L10-L21</f>
        <v>29</v>
      </c>
      <c r="M23" s="293">
        <f>+M10-M21</f>
        <v>35</v>
      </c>
      <c r="N23" s="228">
        <f>+N10-N21</f>
        <v>149</v>
      </c>
      <c r="O23" s="292">
        <f>O10-O21</f>
        <v>43</v>
      </c>
      <c r="P23" s="261">
        <f>P10-P21</f>
        <v>30</v>
      </c>
      <c r="Q23" s="261">
        <f>Q10-Q21</f>
        <v>43</v>
      </c>
      <c r="R23" s="293">
        <f>+R10-R21</f>
        <v>38</v>
      </c>
      <c r="S23" s="228">
        <f>+S10-S21</f>
        <v>154</v>
      </c>
      <c r="T23" s="292">
        <f>T10-T21</f>
        <v>53</v>
      </c>
      <c r="U23" s="261">
        <f>U10-U21</f>
        <v>31</v>
      </c>
      <c r="V23" s="261">
        <f>V10-V21</f>
        <v>47</v>
      </c>
      <c r="W23" s="293">
        <f>+W10-W21</f>
        <v>54</v>
      </c>
      <c r="X23" s="228">
        <f>+X10-X21</f>
        <v>185</v>
      </c>
      <c r="Y23" s="292">
        <f>Y10-Y21</f>
        <v>71</v>
      </c>
      <c r="Z23" s="261">
        <f>Z10-Z21</f>
        <v>40</v>
      </c>
      <c r="AA23" s="261">
        <f>AA10-AA21</f>
        <v>45</v>
      </c>
      <c r="AB23" s="293">
        <f>+AB10-AB21</f>
        <v>51</v>
      </c>
      <c r="AC23" s="228">
        <f>+AC10-AC21</f>
        <v>207</v>
      </c>
      <c r="AD23" s="292">
        <f>AD10-AD21</f>
        <v>62</v>
      </c>
      <c r="AE23" s="261">
        <f>AE10-AE21</f>
        <v>24</v>
      </c>
      <c r="AF23" s="261">
        <f>AF10-AF21</f>
        <v>32</v>
      </c>
      <c r="AG23" s="293">
        <f>+AG10-AG21</f>
        <v>47</v>
      </c>
      <c r="AH23" s="228">
        <f>+AH10-AH21</f>
        <v>165</v>
      </c>
      <c r="AI23" s="292">
        <f>AI10-AI21</f>
        <v>-72</v>
      </c>
      <c r="AJ23" s="261">
        <f>AJ10-AJ21</f>
        <v>30</v>
      </c>
      <c r="AK23" s="261">
        <f>AK10-AK21</f>
        <v>68</v>
      </c>
      <c r="AL23" s="293">
        <f>+AL10-AL21</f>
        <v>15</v>
      </c>
      <c r="AM23" s="228">
        <f>+AM10-AM21</f>
        <v>41</v>
      </c>
      <c r="AN23" s="292">
        <f>AN10-AN21</f>
        <v>78</v>
      </c>
      <c r="AO23" s="261">
        <f>AO10-AO21</f>
        <v>41</v>
      </c>
      <c r="AP23" s="261">
        <f>AP10-AP21</f>
        <v>59</v>
      </c>
      <c r="AQ23" s="293">
        <f>+AQ10-AQ21</f>
        <v>51</v>
      </c>
      <c r="AR23" s="228">
        <f>+AR10-AR21</f>
        <v>229</v>
      </c>
      <c r="AS23" s="292">
        <f t="shared" ref="AS23:AW23" si="24">+AS10-AS21</f>
        <v>69.174533145945929</v>
      </c>
      <c r="AT23" s="261">
        <f t="shared" si="24"/>
        <v>34.550429530299084</v>
      </c>
      <c r="AU23" s="261">
        <f t="shared" si="24"/>
        <v>58.353129303170988</v>
      </c>
      <c r="AV23" s="293">
        <f t="shared" ca="1" si="24"/>
        <v>41.415957023583871</v>
      </c>
      <c r="AW23" s="228">
        <f t="shared" ca="1" si="24"/>
        <v>203.49404900299987</v>
      </c>
      <c r="AX23" s="292">
        <f t="shared" ref="AX23:BG23" si="25">+AX10-AX21</f>
        <v>73.043071301304565</v>
      </c>
      <c r="AY23" s="261">
        <f t="shared" si="25"/>
        <v>36.226726910842842</v>
      </c>
      <c r="AZ23" s="261">
        <f t="shared" si="25"/>
        <v>60.153814521653203</v>
      </c>
      <c r="BA23" s="293">
        <f t="shared" ca="1" si="25"/>
        <v>43.753585358382907</v>
      </c>
      <c r="BB23" s="228">
        <f t="shared" ca="1" si="25"/>
        <v>213.17719809218352</v>
      </c>
      <c r="BC23" s="292">
        <f t="shared" si="25"/>
        <v>75.858987226318675</v>
      </c>
      <c r="BD23" s="261">
        <f t="shared" si="25"/>
        <v>39.596542313842065</v>
      </c>
      <c r="BE23" s="261">
        <f t="shared" si="25"/>
        <v>62.4086966759142</v>
      </c>
      <c r="BF23" s="293">
        <f t="shared" ca="1" si="25"/>
        <v>46.383524432561217</v>
      </c>
      <c r="BG23" s="228">
        <f t="shared" ca="1" si="25"/>
        <v>224.24775064863638</v>
      </c>
      <c r="BH23" s="292">
        <f t="shared" ref="BH23:BL23" si="26">+BH10-BH21</f>
        <v>77.511704433588534</v>
      </c>
      <c r="BI23" s="261">
        <f t="shared" si="26"/>
        <v>41.326702156586748</v>
      </c>
      <c r="BJ23" s="261">
        <f t="shared" si="26"/>
        <v>64.24409475101703</v>
      </c>
      <c r="BK23" s="293">
        <f t="shared" ca="1" si="26"/>
        <v>48.539277467320119</v>
      </c>
      <c r="BL23" s="228">
        <f t="shared" ca="1" si="26"/>
        <v>231.62177880851232</v>
      </c>
      <c r="BM23" s="45"/>
      <c r="BN23" s="45"/>
      <c r="BO23" s="45"/>
      <c r="BP23" s="45"/>
      <c r="BQ23" s="45"/>
      <c r="BR23" s="45"/>
      <c r="BS23" s="45"/>
      <c r="BT23" s="45"/>
      <c r="BU23" s="45"/>
      <c r="BV23" s="45"/>
      <c r="BW23" s="45"/>
      <c r="BX23" s="45"/>
      <c r="BY23" s="45"/>
      <c r="BZ23" s="45"/>
      <c r="CA23" s="45"/>
      <c r="CB23" s="45"/>
      <c r="CC23" s="45"/>
      <c r="CD23" s="45"/>
      <c r="CE23" s="45"/>
      <c r="CF23" s="45"/>
      <c r="CG23" s="45"/>
      <c r="CH23" s="45"/>
      <c r="CI23" s="45"/>
      <c r="CJ23" s="45"/>
      <c r="CK23" s="45"/>
      <c r="CL23" s="45"/>
      <c r="CM23" s="45"/>
      <c r="CN23" s="45"/>
      <c r="CO23" s="45"/>
      <c r="CP23" s="45"/>
    </row>
    <row r="24" spans="1:94">
      <c r="A24" s="45"/>
      <c r="B24" s="45"/>
      <c r="C24" s="909"/>
      <c r="D24" s="45"/>
      <c r="E24" s="292"/>
      <c r="F24" s="261"/>
      <c r="G24" s="261"/>
      <c r="H24" s="293"/>
      <c r="I24" s="228"/>
      <c r="J24" s="292"/>
      <c r="K24" s="261"/>
      <c r="L24" s="261"/>
      <c r="M24" s="293"/>
      <c r="N24" s="228"/>
      <c r="O24" s="292"/>
      <c r="P24" s="261"/>
      <c r="Q24" s="261"/>
      <c r="R24" s="293"/>
      <c r="S24" s="228"/>
      <c r="T24" s="292"/>
      <c r="U24" s="261"/>
      <c r="V24" s="261"/>
      <c r="W24" s="293"/>
      <c r="X24" s="228"/>
      <c r="Y24" s="292"/>
      <c r="Z24" s="261"/>
      <c r="AA24" s="261"/>
      <c r="AB24" s="293"/>
      <c r="AC24" s="228"/>
      <c r="AD24" s="292"/>
      <c r="AE24" s="261"/>
      <c r="AF24" s="261"/>
      <c r="AG24" s="293"/>
      <c r="AH24" s="228"/>
      <c r="AI24" s="292"/>
      <c r="AJ24" s="261"/>
      <c r="AK24" s="261"/>
      <c r="AL24" s="293"/>
      <c r="AM24" s="228"/>
      <c r="AN24" s="292"/>
      <c r="AO24" s="261"/>
      <c r="AP24" s="261"/>
      <c r="AQ24" s="293"/>
      <c r="AR24" s="228"/>
      <c r="AS24" s="292"/>
      <c r="AT24" s="261"/>
      <c r="AU24" s="261"/>
      <c r="AV24" s="293"/>
      <c r="AW24" s="228"/>
      <c r="AX24" s="292"/>
      <c r="AY24" s="261"/>
      <c r="AZ24" s="261"/>
      <c r="BA24" s="293"/>
      <c r="BB24" s="228"/>
      <c r="BC24" s="292"/>
      <c r="BD24" s="261"/>
      <c r="BE24" s="261"/>
      <c r="BF24" s="293"/>
      <c r="BG24" s="228"/>
      <c r="BH24" s="292"/>
      <c r="BI24" s="261"/>
      <c r="BJ24" s="261"/>
      <c r="BK24" s="293"/>
      <c r="BL24" s="228"/>
      <c r="BM24" s="45"/>
      <c r="BN24" s="45"/>
      <c r="BO24" s="45"/>
      <c r="BP24" s="45"/>
      <c r="BQ24" s="45"/>
      <c r="BR24" s="45"/>
      <c r="BS24" s="45"/>
      <c r="BT24" s="45"/>
      <c r="BU24" s="45"/>
      <c r="BV24" s="45"/>
      <c r="BW24" s="45"/>
      <c r="BX24" s="45"/>
      <c r="BY24" s="45"/>
      <c r="BZ24" s="45"/>
      <c r="CA24" s="45"/>
      <c r="CB24" s="45"/>
      <c r="CC24" s="45"/>
      <c r="CD24" s="45"/>
      <c r="CE24" s="45"/>
      <c r="CF24" s="45"/>
      <c r="CG24" s="45"/>
      <c r="CH24" s="45"/>
      <c r="CI24" s="45"/>
      <c r="CJ24" s="45"/>
      <c r="CK24" s="45"/>
      <c r="CL24" s="45"/>
      <c r="CM24" s="45"/>
      <c r="CN24" s="45"/>
      <c r="CO24" s="45"/>
      <c r="CP24" s="45"/>
    </row>
    <row r="25" spans="1:94">
      <c r="A25" s="45"/>
      <c r="B25" s="45"/>
      <c r="C25" s="895" t="s">
        <v>620</v>
      </c>
      <c r="D25" s="45"/>
      <c r="E25" s="290"/>
      <c r="F25" s="260"/>
      <c r="G25" s="260"/>
      <c r="H25" s="291"/>
      <c r="I25" s="339">
        <v>4</v>
      </c>
      <c r="J25" s="290">
        <f>$N$25/4</f>
        <v>0.75</v>
      </c>
      <c r="K25" s="260">
        <f>$N$25/4</f>
        <v>0.75</v>
      </c>
      <c r="L25" s="260">
        <f>$N$25/4</f>
        <v>0.75</v>
      </c>
      <c r="M25" s="291">
        <f>N25-SUM(J25:L25)</f>
        <v>0.75</v>
      </c>
      <c r="N25" s="339">
        <v>3</v>
      </c>
      <c r="O25" s="290">
        <f>$S$25/4</f>
        <v>0.75</v>
      </c>
      <c r="P25" s="260">
        <f>$S$25/4</f>
        <v>0.75</v>
      </c>
      <c r="Q25" s="260">
        <f>$S$25/4</f>
        <v>0.75</v>
      </c>
      <c r="R25" s="291">
        <f>S25-SUM(O25:Q25)</f>
        <v>0.75</v>
      </c>
      <c r="S25" s="339">
        <v>3</v>
      </c>
      <c r="T25" s="290">
        <f>+X25/4</f>
        <v>0.5</v>
      </c>
      <c r="U25" s="260">
        <f>+T25</f>
        <v>0.5</v>
      </c>
      <c r="V25" s="260">
        <f>+U25</f>
        <v>0.5</v>
      </c>
      <c r="W25" s="291">
        <f>X25-SUM(T25:V25)</f>
        <v>0.5</v>
      </c>
      <c r="X25" s="339">
        <v>2</v>
      </c>
      <c r="Y25" s="290">
        <f>+AC25/4</f>
        <v>0.5</v>
      </c>
      <c r="Z25" s="260">
        <f>+Y25</f>
        <v>0.5</v>
      </c>
      <c r="AA25" s="260">
        <f>+Z25</f>
        <v>0.5</v>
      </c>
      <c r="AB25" s="291">
        <f>AC25-SUM(Y25:AA25)</f>
        <v>0.5</v>
      </c>
      <c r="AC25" s="339">
        <v>2</v>
      </c>
      <c r="AD25" s="290">
        <f>+AH25/4</f>
        <v>0.25</v>
      </c>
      <c r="AE25" s="260">
        <f>+AD25</f>
        <v>0.25</v>
      </c>
      <c r="AF25" s="260">
        <f>+AE25</f>
        <v>0.25</v>
      </c>
      <c r="AG25" s="291">
        <f>AH25-SUM(AD25:AF25)</f>
        <v>0.25</v>
      </c>
      <c r="AH25" s="2056">
        <v>1</v>
      </c>
      <c r="AI25" s="290">
        <f>+AH25/4</f>
        <v>0.25</v>
      </c>
      <c r="AJ25" s="260">
        <f>+AI25</f>
        <v>0.25</v>
      </c>
      <c r="AK25" s="338">
        <v>1</v>
      </c>
      <c r="AL25" s="291">
        <f>AM25-SUM(AI25:AK25)</f>
        <v>3.5</v>
      </c>
      <c r="AM25" s="2056">
        <v>5</v>
      </c>
      <c r="AN25" s="290">
        <f>+AM25/4</f>
        <v>1.25</v>
      </c>
      <c r="AO25" s="338">
        <v>2</v>
      </c>
      <c r="AP25" s="338">
        <v>2</v>
      </c>
      <c r="AQ25" s="291">
        <f>AR25-SUM(AN25:AP25)</f>
        <v>1.75</v>
      </c>
      <c r="AR25" s="2056">
        <v>7</v>
      </c>
      <c r="AS25" s="290">
        <f>AS154</f>
        <v>1.8859521028037383</v>
      </c>
      <c r="AT25" s="260">
        <f>AT154</f>
        <v>1.8859521028037383</v>
      </c>
      <c r="AU25" s="260">
        <f>AU154</f>
        <v>1.8859521028037383</v>
      </c>
      <c r="AV25" s="291">
        <f>AV154</f>
        <v>1.8859521028037383</v>
      </c>
      <c r="AW25" s="330">
        <f>SUM(AS25:AV25)</f>
        <v>7.543808411214953</v>
      </c>
      <c r="AX25" s="290">
        <f>AX154</f>
        <v>1.6513469499187325</v>
      </c>
      <c r="AY25" s="260">
        <f>AY154</f>
        <v>1.6513469499187325</v>
      </c>
      <c r="AZ25" s="260">
        <f>AZ154</f>
        <v>1.6513469499187325</v>
      </c>
      <c r="BA25" s="291">
        <f>BA154</f>
        <v>1.6513469499187325</v>
      </c>
      <c r="BB25" s="330">
        <f>SUM(AX25:BA25)</f>
        <v>6.6053877996749302</v>
      </c>
      <c r="BC25" s="290">
        <f>BC154</f>
        <v>1.4805179550995533</v>
      </c>
      <c r="BD25" s="260">
        <f>BD154</f>
        <v>1.4805179550995533</v>
      </c>
      <c r="BE25" s="260">
        <f>BE154</f>
        <v>1.4805179550995533</v>
      </c>
      <c r="BF25" s="291">
        <f>BF154</f>
        <v>1.4805179550995533</v>
      </c>
      <c r="BG25" s="330">
        <f>SUM(BC25:BF25)</f>
        <v>5.9220718203982132</v>
      </c>
      <c r="BH25" s="290">
        <f>BH154</f>
        <v>1.4805179550995533</v>
      </c>
      <c r="BI25" s="260">
        <f>BI154</f>
        <v>1.4805179550995533</v>
      </c>
      <c r="BJ25" s="260">
        <f>BJ154</f>
        <v>1.4805179550995533</v>
      </c>
      <c r="BK25" s="291">
        <f>BK154</f>
        <v>1.4805179550995533</v>
      </c>
      <c r="BL25" s="330">
        <f>SUM(BH25:BK25)</f>
        <v>5.9220718203982132</v>
      </c>
      <c r="BM25" s="45"/>
      <c r="BN25" s="45"/>
      <c r="BO25" s="45"/>
      <c r="BP25" s="45"/>
      <c r="BQ25" s="45"/>
      <c r="BR25" s="45"/>
      <c r="BS25" s="45"/>
      <c r="BT25" s="45"/>
      <c r="BU25" s="45"/>
      <c r="BV25" s="45"/>
      <c r="BW25" s="45"/>
      <c r="BX25" s="45"/>
      <c r="BY25" s="45"/>
      <c r="BZ25" s="45"/>
      <c r="CA25" s="45"/>
      <c r="CB25" s="45"/>
      <c r="CC25" s="45"/>
      <c r="CD25" s="45"/>
      <c r="CE25" s="45"/>
      <c r="CF25" s="45"/>
      <c r="CG25" s="45"/>
      <c r="CH25" s="45"/>
      <c r="CI25" s="45"/>
      <c r="CJ25" s="45"/>
      <c r="CK25" s="45"/>
      <c r="CL25" s="45"/>
      <c r="CM25" s="45"/>
      <c r="CN25" s="45"/>
      <c r="CO25" s="45"/>
      <c r="CP25" s="45"/>
    </row>
    <row r="26" spans="1:94">
      <c r="A26" s="45"/>
      <c r="B26" s="45"/>
      <c r="C26" s="895" t="s">
        <v>123</v>
      </c>
      <c r="D26" s="45"/>
      <c r="E26" s="337"/>
      <c r="F26" s="338"/>
      <c r="G26" s="338"/>
      <c r="H26" s="291"/>
      <c r="I26" s="339">
        <f>7-8-I25</f>
        <v>-5</v>
      </c>
      <c r="J26" s="337">
        <f>2-J25</f>
        <v>1.25</v>
      </c>
      <c r="K26" s="338">
        <f>2-K25</f>
        <v>1.25</v>
      </c>
      <c r="L26" s="338">
        <f>3-L25</f>
        <v>2.25</v>
      </c>
      <c r="M26" s="291">
        <f>+N26-SUM(J26:L26)</f>
        <v>0.25</v>
      </c>
      <c r="N26" s="339">
        <f>8-N25</f>
        <v>5</v>
      </c>
      <c r="O26" s="337">
        <f>3-O25</f>
        <v>2.25</v>
      </c>
      <c r="P26" s="338">
        <f>3-P25</f>
        <v>2.25</v>
      </c>
      <c r="Q26" s="338">
        <f>2-Q25</f>
        <v>1.25</v>
      </c>
      <c r="R26" s="291">
        <f>+S26-SUM(O26:Q26)</f>
        <v>1.25</v>
      </c>
      <c r="S26" s="339">
        <f>10-S25</f>
        <v>7</v>
      </c>
      <c r="T26" s="337">
        <f>2-T25</f>
        <v>1.5</v>
      </c>
      <c r="U26" s="338">
        <f>2-U25</f>
        <v>1.5</v>
      </c>
      <c r="V26" s="338">
        <f>3-V25</f>
        <v>2.5</v>
      </c>
      <c r="W26" s="291">
        <f>+X26-SUM(T26:V26)</f>
        <v>2.5</v>
      </c>
      <c r="X26" s="339">
        <f>10-X25</f>
        <v>8</v>
      </c>
      <c r="Y26" s="337">
        <f>2-Y25</f>
        <v>1.5</v>
      </c>
      <c r="Z26" s="338">
        <f>4-Z25</f>
        <v>3.5</v>
      </c>
      <c r="AA26" s="338">
        <f>3-AA25</f>
        <v>2.5</v>
      </c>
      <c r="AB26" s="291">
        <f>+AC26-SUM(Y26:AA26)</f>
        <v>0.5</v>
      </c>
      <c r="AC26" s="339">
        <f>10-AC25</f>
        <v>8</v>
      </c>
      <c r="AD26" s="337">
        <f>3-AD25</f>
        <v>2.75</v>
      </c>
      <c r="AE26" s="338">
        <f>2-AE25</f>
        <v>1.75</v>
      </c>
      <c r="AF26" s="338">
        <f>4-AF25</f>
        <v>3.75</v>
      </c>
      <c r="AG26" s="291">
        <f>+AH26-SUM(AD26:AF26)</f>
        <v>0.75</v>
      </c>
      <c r="AH26" s="2056">
        <f>10-AH25</f>
        <v>9</v>
      </c>
      <c r="AI26" s="337">
        <f>3-AI25</f>
        <v>2.75</v>
      </c>
      <c r="AJ26" s="338">
        <f>3-AJ25</f>
        <v>2.75</v>
      </c>
      <c r="AK26" s="338">
        <f>4+3-AK25</f>
        <v>6</v>
      </c>
      <c r="AL26" s="291">
        <f>+AM26-SUM(AI26:AK26)</f>
        <v>5.5</v>
      </c>
      <c r="AM26" s="2056">
        <f>9+13-AM25</f>
        <v>17</v>
      </c>
      <c r="AN26" s="337">
        <f>3-AN25</f>
        <v>1.75</v>
      </c>
      <c r="AO26" s="338">
        <f>3-AO25</f>
        <v>1</v>
      </c>
      <c r="AP26" s="338">
        <f>4-AP25</f>
        <v>2</v>
      </c>
      <c r="AQ26" s="291">
        <f>+AR26-SUM(AN26:AP26)</f>
        <v>2.25</v>
      </c>
      <c r="AR26" s="2056">
        <f>14-AR25</f>
        <v>7</v>
      </c>
      <c r="AS26" s="290">
        <f>+AN26</f>
        <v>1.75</v>
      </c>
      <c r="AT26" s="260">
        <f>+AO26</f>
        <v>1</v>
      </c>
      <c r="AU26" s="260">
        <f>+AP26</f>
        <v>2</v>
      </c>
      <c r="AV26" s="291">
        <f>+AQ26</f>
        <v>2.25</v>
      </c>
      <c r="AW26" s="330">
        <f>SUM(AS26:AV26)</f>
        <v>7</v>
      </c>
      <c r="AX26" s="290">
        <f>+AS26</f>
        <v>1.75</v>
      </c>
      <c r="AY26" s="260">
        <f>+AT26</f>
        <v>1</v>
      </c>
      <c r="AZ26" s="260">
        <f>+AU26</f>
        <v>2</v>
      </c>
      <c r="BA26" s="291">
        <f>+AV26</f>
        <v>2.25</v>
      </c>
      <c r="BB26" s="330">
        <f>SUM(AX26:BA26)</f>
        <v>7</v>
      </c>
      <c r="BC26" s="290">
        <f>+AX26</f>
        <v>1.75</v>
      </c>
      <c r="BD26" s="260">
        <f>+AY26</f>
        <v>1</v>
      </c>
      <c r="BE26" s="260">
        <f>+AZ26</f>
        <v>2</v>
      </c>
      <c r="BF26" s="291">
        <f>+BA26</f>
        <v>2.25</v>
      </c>
      <c r="BG26" s="330">
        <f>SUM(BC26:BF26)</f>
        <v>7</v>
      </c>
      <c r="BH26" s="290">
        <f>+BC26</f>
        <v>1.75</v>
      </c>
      <c r="BI26" s="260">
        <f>+BD26</f>
        <v>1</v>
      </c>
      <c r="BJ26" s="260">
        <f>+BE26</f>
        <v>2</v>
      </c>
      <c r="BK26" s="291">
        <f>+BF26</f>
        <v>2.25</v>
      </c>
      <c r="BL26" s="330">
        <f>SUM(BH26:BK26)</f>
        <v>7</v>
      </c>
      <c r="BM26" s="45"/>
      <c r="BN26" s="45"/>
      <c r="BO26" s="45"/>
      <c r="BP26" s="45"/>
      <c r="BQ26" s="45"/>
      <c r="BR26" s="45"/>
      <c r="BS26" s="45"/>
      <c r="BT26" s="45"/>
      <c r="BU26" s="45"/>
      <c r="BV26" s="45"/>
      <c r="BW26" s="45"/>
      <c r="BX26" s="45"/>
      <c r="BY26" s="45"/>
      <c r="BZ26" s="45"/>
      <c r="CA26" s="45"/>
      <c r="CB26" s="45"/>
      <c r="CC26" s="45"/>
      <c r="CD26" s="45"/>
      <c r="CE26" s="45"/>
      <c r="CF26" s="45"/>
      <c r="CG26" s="45"/>
      <c r="CH26" s="45"/>
      <c r="CI26" s="45"/>
      <c r="CJ26" s="45"/>
      <c r="CK26" s="45"/>
      <c r="CL26" s="45"/>
      <c r="CM26" s="45"/>
      <c r="CN26" s="45"/>
      <c r="CO26" s="45"/>
      <c r="CP26" s="45"/>
    </row>
    <row r="27" spans="1:94">
      <c r="A27" s="45"/>
      <c r="B27" s="45"/>
      <c r="C27" s="909" t="s">
        <v>86</v>
      </c>
      <c r="D27" s="45"/>
      <c r="E27" s="580"/>
      <c r="F27" s="581"/>
      <c r="G27" s="581"/>
      <c r="H27" s="582"/>
      <c r="I27" s="583">
        <f t="shared" ref="I27:AW27" si="27">SUM(I25:I26)</f>
        <v>-1</v>
      </c>
      <c r="J27" s="580">
        <f t="shared" si="27"/>
        <v>2</v>
      </c>
      <c r="K27" s="581">
        <f t="shared" si="27"/>
        <v>2</v>
      </c>
      <c r="L27" s="581">
        <f t="shared" si="27"/>
        <v>3</v>
      </c>
      <c r="M27" s="582">
        <f t="shared" si="27"/>
        <v>1</v>
      </c>
      <c r="N27" s="583">
        <f t="shared" si="27"/>
        <v>8</v>
      </c>
      <c r="O27" s="580">
        <f t="shared" si="27"/>
        <v>3</v>
      </c>
      <c r="P27" s="581">
        <f t="shared" si="27"/>
        <v>3</v>
      </c>
      <c r="Q27" s="581">
        <f t="shared" si="27"/>
        <v>2</v>
      </c>
      <c r="R27" s="582">
        <f t="shared" si="27"/>
        <v>2</v>
      </c>
      <c r="S27" s="583">
        <f t="shared" si="27"/>
        <v>10</v>
      </c>
      <c r="T27" s="580">
        <f t="shared" si="27"/>
        <v>2</v>
      </c>
      <c r="U27" s="581">
        <f t="shared" si="27"/>
        <v>2</v>
      </c>
      <c r="V27" s="581">
        <f t="shared" si="27"/>
        <v>3</v>
      </c>
      <c r="W27" s="582">
        <f t="shared" si="27"/>
        <v>3</v>
      </c>
      <c r="X27" s="583">
        <f t="shared" si="27"/>
        <v>10</v>
      </c>
      <c r="Y27" s="580">
        <f t="shared" si="27"/>
        <v>2</v>
      </c>
      <c r="Z27" s="581">
        <f t="shared" si="27"/>
        <v>4</v>
      </c>
      <c r="AA27" s="581">
        <f t="shared" ref="AA27:AE27" si="28">SUM(AA25:AA26)</f>
        <v>3</v>
      </c>
      <c r="AB27" s="582">
        <f t="shared" si="28"/>
        <v>1</v>
      </c>
      <c r="AC27" s="583">
        <f t="shared" si="28"/>
        <v>10</v>
      </c>
      <c r="AD27" s="580">
        <f t="shared" si="28"/>
        <v>3</v>
      </c>
      <c r="AE27" s="581">
        <f t="shared" si="28"/>
        <v>2</v>
      </c>
      <c r="AF27" s="581">
        <f t="shared" ref="AF27:AJ27" si="29">SUM(AF25:AF26)</f>
        <v>4</v>
      </c>
      <c r="AG27" s="582">
        <f t="shared" si="29"/>
        <v>1</v>
      </c>
      <c r="AH27" s="583">
        <f t="shared" si="29"/>
        <v>10</v>
      </c>
      <c r="AI27" s="580">
        <f t="shared" si="29"/>
        <v>3</v>
      </c>
      <c r="AJ27" s="581">
        <f t="shared" si="29"/>
        <v>3</v>
      </c>
      <c r="AK27" s="581">
        <f t="shared" ref="AK27:AO27" si="30">SUM(AK25:AK26)</f>
        <v>7</v>
      </c>
      <c r="AL27" s="582">
        <f t="shared" si="30"/>
        <v>9</v>
      </c>
      <c r="AM27" s="583">
        <f t="shared" si="30"/>
        <v>22</v>
      </c>
      <c r="AN27" s="580">
        <f t="shared" si="30"/>
        <v>3</v>
      </c>
      <c r="AO27" s="581">
        <f t="shared" si="30"/>
        <v>3</v>
      </c>
      <c r="AP27" s="261">
        <f t="shared" si="27"/>
        <v>4</v>
      </c>
      <c r="AQ27" s="582">
        <f t="shared" si="27"/>
        <v>4</v>
      </c>
      <c r="AR27" s="583">
        <f t="shared" si="27"/>
        <v>14</v>
      </c>
      <c r="AS27" s="292">
        <f t="shared" si="27"/>
        <v>3.6359521028037385</v>
      </c>
      <c r="AT27" s="261">
        <f t="shared" si="27"/>
        <v>2.8859521028037385</v>
      </c>
      <c r="AU27" s="261">
        <f t="shared" si="27"/>
        <v>3.8859521028037385</v>
      </c>
      <c r="AV27" s="293">
        <f t="shared" si="27"/>
        <v>4.1359521028037385</v>
      </c>
      <c r="AW27" s="228">
        <f t="shared" si="27"/>
        <v>14.543808411214954</v>
      </c>
      <c r="AX27" s="292">
        <f t="shared" ref="AX27:BG27" si="31">SUM(AX25:AX26)</f>
        <v>3.4013469499187323</v>
      </c>
      <c r="AY27" s="261">
        <f t="shared" si="31"/>
        <v>2.6513469499187323</v>
      </c>
      <c r="AZ27" s="261">
        <f t="shared" si="31"/>
        <v>3.6513469499187323</v>
      </c>
      <c r="BA27" s="293">
        <f t="shared" si="31"/>
        <v>3.9013469499187323</v>
      </c>
      <c r="BB27" s="228">
        <f t="shared" si="31"/>
        <v>13.605387799674929</v>
      </c>
      <c r="BC27" s="292">
        <f t="shared" si="31"/>
        <v>3.2305179550995531</v>
      </c>
      <c r="BD27" s="261">
        <f t="shared" si="31"/>
        <v>2.4805179550995531</v>
      </c>
      <c r="BE27" s="261">
        <f t="shared" si="31"/>
        <v>3.4805179550995531</v>
      </c>
      <c r="BF27" s="293">
        <f t="shared" si="31"/>
        <v>3.7305179550995531</v>
      </c>
      <c r="BG27" s="228">
        <f t="shared" si="31"/>
        <v>12.922071820398212</v>
      </c>
      <c r="BH27" s="292">
        <f t="shared" ref="BH27:BL27" si="32">SUM(BH25:BH26)</f>
        <v>3.2305179550995531</v>
      </c>
      <c r="BI27" s="261">
        <f t="shared" si="32"/>
        <v>2.4805179550995531</v>
      </c>
      <c r="BJ27" s="261">
        <f t="shared" si="32"/>
        <v>3.4805179550995531</v>
      </c>
      <c r="BK27" s="293">
        <f t="shared" si="32"/>
        <v>3.7305179550995531</v>
      </c>
      <c r="BL27" s="228">
        <f t="shared" si="32"/>
        <v>12.922071820398212</v>
      </c>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row>
    <row r="28" spans="1:94">
      <c r="A28" s="45"/>
      <c r="B28" s="45"/>
      <c r="C28" s="895"/>
      <c r="D28" s="45"/>
      <c r="E28" s="814"/>
      <c r="F28" s="262"/>
      <c r="G28" s="262"/>
      <c r="H28" s="294"/>
      <c r="I28" s="1003"/>
      <c r="J28" s="814"/>
      <c r="K28" s="260"/>
      <c r="L28" s="262"/>
      <c r="M28" s="294"/>
      <c r="N28" s="1003"/>
      <c r="O28" s="814"/>
      <c r="P28" s="262"/>
      <c r="Q28" s="262"/>
      <c r="R28" s="294"/>
      <c r="S28" s="1003"/>
      <c r="T28" s="814"/>
      <c r="U28" s="262"/>
      <c r="V28" s="262"/>
      <c r="W28" s="294"/>
      <c r="X28" s="1003"/>
      <c r="Y28" s="814"/>
      <c r="Z28" s="262"/>
      <c r="AA28" s="262"/>
      <c r="AB28" s="294"/>
      <c r="AC28" s="1003"/>
      <c r="AD28" s="814"/>
      <c r="AE28" s="262"/>
      <c r="AF28" s="262"/>
      <c r="AG28" s="294"/>
      <c r="AH28" s="2058"/>
      <c r="AI28" s="814"/>
      <c r="AJ28" s="262"/>
      <c r="AK28" s="262"/>
      <c r="AL28" s="294"/>
      <c r="AM28" s="2058"/>
      <c r="AN28" s="814"/>
      <c r="AO28" s="262"/>
      <c r="AP28" s="260"/>
      <c r="AQ28" s="294"/>
      <c r="AR28" s="2058"/>
      <c r="AS28" s="290"/>
      <c r="AT28" s="260"/>
      <c r="AU28" s="260"/>
      <c r="AV28" s="291"/>
      <c r="AW28" s="45"/>
      <c r="AX28" s="290"/>
      <c r="AY28" s="260"/>
      <c r="AZ28" s="260"/>
      <c r="BA28" s="291"/>
      <c r="BB28" s="45"/>
      <c r="BC28" s="290"/>
      <c r="BD28" s="260"/>
      <c r="BE28" s="260"/>
      <c r="BF28" s="291"/>
      <c r="BG28" s="45"/>
      <c r="BH28" s="290"/>
      <c r="BI28" s="260"/>
      <c r="BJ28" s="260"/>
      <c r="BK28" s="291"/>
      <c r="BL28" s="45"/>
      <c r="BM28" s="45"/>
      <c r="BN28" s="45"/>
      <c r="BO28" s="45"/>
      <c r="BP28" s="45"/>
      <c r="BQ28" s="45"/>
      <c r="BR28" s="45"/>
      <c r="BS28" s="45"/>
      <c r="BT28" s="45"/>
      <c r="BU28" s="45"/>
      <c r="BV28" s="45"/>
      <c r="BW28" s="45"/>
      <c r="BX28" s="45"/>
      <c r="BY28" s="45"/>
      <c r="BZ28" s="45"/>
      <c r="CA28" s="45"/>
      <c r="CB28" s="45"/>
      <c r="CC28" s="45"/>
      <c r="CD28" s="45"/>
      <c r="CE28" s="45"/>
      <c r="CF28" s="45"/>
      <c r="CG28" s="45"/>
      <c r="CH28" s="45"/>
      <c r="CI28" s="45"/>
      <c r="CJ28" s="45"/>
      <c r="CK28" s="45"/>
      <c r="CL28" s="45"/>
      <c r="CM28" s="45"/>
      <c r="CN28" s="45"/>
      <c r="CO28" s="45"/>
      <c r="CP28" s="45"/>
    </row>
    <row r="29" spans="1:94">
      <c r="A29" s="45"/>
      <c r="B29" s="45"/>
      <c r="C29" s="909" t="s">
        <v>475</v>
      </c>
      <c r="D29" s="45"/>
      <c r="E29" s="292"/>
      <c r="F29" s="261"/>
      <c r="G29" s="261"/>
      <c r="H29" s="293"/>
      <c r="I29" s="228">
        <f t="shared" ref="I29:AW29" si="33">I23+I27</f>
        <v>120</v>
      </c>
      <c r="J29" s="292">
        <f t="shared" si="33"/>
        <v>51</v>
      </c>
      <c r="K29" s="261">
        <f t="shared" si="33"/>
        <v>38</v>
      </c>
      <c r="L29" s="261">
        <f t="shared" si="33"/>
        <v>32</v>
      </c>
      <c r="M29" s="293">
        <f t="shared" si="33"/>
        <v>36</v>
      </c>
      <c r="N29" s="228">
        <f t="shared" si="33"/>
        <v>157</v>
      </c>
      <c r="O29" s="292">
        <f t="shared" si="33"/>
        <v>46</v>
      </c>
      <c r="P29" s="261">
        <f t="shared" si="33"/>
        <v>33</v>
      </c>
      <c r="Q29" s="261">
        <f t="shared" si="33"/>
        <v>45</v>
      </c>
      <c r="R29" s="293">
        <f t="shared" si="33"/>
        <v>40</v>
      </c>
      <c r="S29" s="228">
        <f t="shared" si="33"/>
        <v>164</v>
      </c>
      <c r="T29" s="292">
        <f t="shared" si="33"/>
        <v>55</v>
      </c>
      <c r="U29" s="261">
        <f t="shared" si="33"/>
        <v>33</v>
      </c>
      <c r="V29" s="261">
        <f t="shared" si="33"/>
        <v>50</v>
      </c>
      <c r="W29" s="293">
        <f t="shared" si="33"/>
        <v>57</v>
      </c>
      <c r="X29" s="228">
        <f t="shared" si="33"/>
        <v>195</v>
      </c>
      <c r="Y29" s="292">
        <f t="shared" si="33"/>
        <v>73</v>
      </c>
      <c r="Z29" s="261">
        <f t="shared" si="33"/>
        <v>44</v>
      </c>
      <c r="AA29" s="261">
        <f t="shared" ref="AA29:AE29" si="34">AA23+AA27</f>
        <v>48</v>
      </c>
      <c r="AB29" s="293">
        <f t="shared" si="34"/>
        <v>52</v>
      </c>
      <c r="AC29" s="228">
        <f t="shared" si="34"/>
        <v>217</v>
      </c>
      <c r="AD29" s="292">
        <f t="shared" si="34"/>
        <v>65</v>
      </c>
      <c r="AE29" s="261">
        <f t="shared" si="34"/>
        <v>26</v>
      </c>
      <c r="AF29" s="261">
        <f t="shared" ref="AF29:AJ29" si="35">AF23+AF27</f>
        <v>36</v>
      </c>
      <c r="AG29" s="293">
        <f t="shared" si="35"/>
        <v>48</v>
      </c>
      <c r="AH29" s="228">
        <f t="shared" si="35"/>
        <v>175</v>
      </c>
      <c r="AI29" s="292">
        <f t="shared" si="35"/>
        <v>-69</v>
      </c>
      <c r="AJ29" s="261">
        <f t="shared" si="35"/>
        <v>33</v>
      </c>
      <c r="AK29" s="261">
        <f t="shared" ref="AK29:AO29" si="36">AK23+AK27</f>
        <v>75</v>
      </c>
      <c r="AL29" s="293">
        <f t="shared" si="36"/>
        <v>24</v>
      </c>
      <c r="AM29" s="228">
        <f t="shared" si="36"/>
        <v>63</v>
      </c>
      <c r="AN29" s="292">
        <f t="shared" si="36"/>
        <v>81</v>
      </c>
      <c r="AO29" s="261">
        <f t="shared" si="36"/>
        <v>44</v>
      </c>
      <c r="AP29" s="261">
        <f t="shared" ref="AP29:AR29" si="37">AP23+AP27</f>
        <v>63</v>
      </c>
      <c r="AQ29" s="293">
        <f t="shared" si="37"/>
        <v>55</v>
      </c>
      <c r="AR29" s="228">
        <f t="shared" si="37"/>
        <v>243</v>
      </c>
      <c r="AS29" s="292">
        <f t="shared" si="33"/>
        <v>72.810485248749671</v>
      </c>
      <c r="AT29" s="261">
        <f t="shared" si="33"/>
        <v>37.436381633102826</v>
      </c>
      <c r="AU29" s="261">
        <f t="shared" si="33"/>
        <v>62.23908140597473</v>
      </c>
      <c r="AV29" s="293">
        <f t="shared" ca="1" si="33"/>
        <v>45.551909126387613</v>
      </c>
      <c r="AW29" s="228">
        <f t="shared" ca="1" si="33"/>
        <v>218.03785741421484</v>
      </c>
      <c r="AX29" s="292">
        <f t="shared" ref="AX29:BG29" si="38">AX23+AX27</f>
        <v>76.444418251223297</v>
      </c>
      <c r="AY29" s="261">
        <f t="shared" si="38"/>
        <v>38.878073860761575</v>
      </c>
      <c r="AZ29" s="261">
        <f t="shared" si="38"/>
        <v>63.805161471571935</v>
      </c>
      <c r="BA29" s="293">
        <f t="shared" ca="1" si="38"/>
        <v>47.654932308301639</v>
      </c>
      <c r="BB29" s="228">
        <f t="shared" ca="1" si="38"/>
        <v>226.78258589185845</v>
      </c>
      <c r="BC29" s="292">
        <f t="shared" si="38"/>
        <v>79.089505181418232</v>
      </c>
      <c r="BD29" s="261">
        <f t="shared" si="38"/>
        <v>42.077060268941615</v>
      </c>
      <c r="BE29" s="261">
        <f t="shared" si="38"/>
        <v>65.889214631013758</v>
      </c>
      <c r="BF29" s="293">
        <f t="shared" ca="1" si="38"/>
        <v>50.114042387660767</v>
      </c>
      <c r="BG29" s="228">
        <f t="shared" ca="1" si="38"/>
        <v>237.16982246903459</v>
      </c>
      <c r="BH29" s="292">
        <f t="shared" ref="BH29:BL29" si="39">BH23+BH27</f>
        <v>80.742222388688091</v>
      </c>
      <c r="BI29" s="261">
        <f t="shared" si="39"/>
        <v>43.807220111686298</v>
      </c>
      <c r="BJ29" s="261">
        <f t="shared" si="39"/>
        <v>67.724612706116588</v>
      </c>
      <c r="BK29" s="293">
        <f t="shared" ca="1" si="39"/>
        <v>52.269795422419669</v>
      </c>
      <c r="BL29" s="228">
        <f t="shared" ca="1" si="39"/>
        <v>244.54385062891052</v>
      </c>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row>
    <row r="30" spans="1:94">
      <c r="A30" s="45"/>
      <c r="B30" s="45"/>
      <c r="C30" s="909" t="s">
        <v>66</v>
      </c>
      <c r="D30" s="45"/>
      <c r="E30" s="292"/>
      <c r="F30" s="261"/>
      <c r="G30" s="261"/>
      <c r="H30" s="293"/>
      <c r="I30" s="228">
        <f t="shared" ref="I30:AW30" si="40">+I29+I19</f>
        <v>203</v>
      </c>
      <c r="J30" s="292">
        <f t="shared" si="40"/>
        <v>73</v>
      </c>
      <c r="K30" s="261">
        <f t="shared" si="40"/>
        <v>60</v>
      </c>
      <c r="L30" s="261">
        <f t="shared" si="40"/>
        <v>54</v>
      </c>
      <c r="M30" s="293">
        <f t="shared" si="40"/>
        <v>59</v>
      </c>
      <c r="N30" s="228">
        <f t="shared" si="40"/>
        <v>246</v>
      </c>
      <c r="O30" s="292">
        <f t="shared" si="40"/>
        <v>70</v>
      </c>
      <c r="P30" s="261">
        <f t="shared" si="40"/>
        <v>58</v>
      </c>
      <c r="Q30" s="261">
        <f t="shared" si="40"/>
        <v>74</v>
      </c>
      <c r="R30" s="293">
        <f t="shared" si="40"/>
        <v>64</v>
      </c>
      <c r="S30" s="228">
        <f t="shared" si="40"/>
        <v>266</v>
      </c>
      <c r="T30" s="292">
        <f t="shared" si="40"/>
        <v>80</v>
      </c>
      <c r="U30" s="261">
        <f t="shared" si="40"/>
        <v>60</v>
      </c>
      <c r="V30" s="261">
        <f t="shared" si="40"/>
        <v>77</v>
      </c>
      <c r="W30" s="293">
        <f t="shared" si="40"/>
        <v>85</v>
      </c>
      <c r="X30" s="228">
        <f t="shared" si="40"/>
        <v>302</v>
      </c>
      <c r="Y30" s="292">
        <f t="shared" si="40"/>
        <v>103</v>
      </c>
      <c r="Z30" s="261">
        <f t="shared" si="40"/>
        <v>74</v>
      </c>
      <c r="AA30" s="261">
        <f t="shared" ref="AA30:AE30" si="41">+AA29+AA19</f>
        <v>81</v>
      </c>
      <c r="AB30" s="293">
        <f t="shared" si="41"/>
        <v>84</v>
      </c>
      <c r="AC30" s="228">
        <f t="shared" si="41"/>
        <v>342</v>
      </c>
      <c r="AD30" s="292">
        <f t="shared" si="41"/>
        <v>104</v>
      </c>
      <c r="AE30" s="261">
        <f t="shared" si="41"/>
        <v>62</v>
      </c>
      <c r="AF30" s="261">
        <f t="shared" ref="AF30:AJ30" si="42">+AF29+AF19</f>
        <v>78</v>
      </c>
      <c r="AG30" s="293">
        <f t="shared" si="42"/>
        <v>84</v>
      </c>
      <c r="AH30" s="228">
        <f t="shared" si="42"/>
        <v>328</v>
      </c>
      <c r="AI30" s="292">
        <f t="shared" si="42"/>
        <v>-30</v>
      </c>
      <c r="AJ30" s="261">
        <f t="shared" si="42"/>
        <v>71</v>
      </c>
      <c r="AK30" s="261">
        <f t="shared" ref="AK30:AO30" si="43">+AK29+AK19</f>
        <v>119</v>
      </c>
      <c r="AL30" s="293">
        <f t="shared" si="43"/>
        <v>60</v>
      </c>
      <c r="AM30" s="228">
        <f t="shared" si="43"/>
        <v>220</v>
      </c>
      <c r="AN30" s="292">
        <f t="shared" si="43"/>
        <v>120</v>
      </c>
      <c r="AO30" s="261">
        <f t="shared" si="43"/>
        <v>84</v>
      </c>
      <c r="AP30" s="261">
        <f t="shared" ref="AP30:AR30" si="44">+AP29+AP19</f>
        <v>108</v>
      </c>
      <c r="AQ30" s="293">
        <f t="shared" si="44"/>
        <v>98</v>
      </c>
      <c r="AR30" s="228">
        <f t="shared" si="44"/>
        <v>410</v>
      </c>
      <c r="AS30" s="292">
        <f t="shared" si="40"/>
        <v>116.45073190238179</v>
      </c>
      <c r="AT30" s="261">
        <f t="shared" si="40"/>
        <v>81.979065235715098</v>
      </c>
      <c r="AU30" s="261">
        <f t="shared" si="40"/>
        <v>107.49906523571519</v>
      </c>
      <c r="AV30" s="293">
        <f t="shared" ca="1" si="40"/>
        <v>91.51991542426498</v>
      </c>
      <c r="AW30" s="228">
        <f t="shared" ca="1" si="40"/>
        <v>397.44877779807706</v>
      </c>
      <c r="AX30" s="292">
        <f t="shared" ref="AX30:BG30" si="45">+AX29+AX19</f>
        <v>123.11128925934018</v>
      </c>
      <c r="AY30" s="261">
        <f t="shared" si="45"/>
        <v>86.456889259340258</v>
      </c>
      <c r="AZ30" s="261">
        <f t="shared" si="45"/>
        <v>111.8194892593403</v>
      </c>
      <c r="BA30" s="293">
        <f t="shared" ca="1" si="45"/>
        <v>96.09913944789011</v>
      </c>
      <c r="BB30" s="228">
        <f t="shared" ca="1" si="45"/>
        <v>417.48680722591087</v>
      </c>
      <c r="BC30" s="292">
        <f t="shared" si="45"/>
        <v>127.95803149471635</v>
      </c>
      <c r="BD30" s="261">
        <f t="shared" si="45"/>
        <v>91.36441749471625</v>
      </c>
      <c r="BE30" s="261">
        <f t="shared" si="45"/>
        <v>115.58998549471642</v>
      </c>
      <c r="BF30" s="293">
        <f t="shared" ca="1" si="45"/>
        <v>100.2228796832662</v>
      </c>
      <c r="BG30" s="228">
        <f t="shared" ca="1" si="45"/>
        <v>435.13531416741546</v>
      </c>
      <c r="BH30" s="292">
        <f t="shared" ref="BH30:BL30" si="46">+BH29+BH19</f>
        <v>131.25384807240872</v>
      </c>
      <c r="BI30" s="261">
        <f t="shared" si="46"/>
        <v>94.716424407408738</v>
      </c>
      <c r="BJ30" s="261">
        <f t="shared" si="46"/>
        <v>119.02625322240871</v>
      </c>
      <c r="BK30" s="293">
        <f t="shared" ca="1" si="46"/>
        <v>103.95879628095858</v>
      </c>
      <c r="BL30" s="228">
        <f t="shared" ca="1" si="46"/>
        <v>448.9553219831846</v>
      </c>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row>
    <row r="31" spans="1:94">
      <c r="A31" s="45"/>
      <c r="B31" s="45"/>
      <c r="C31" s="895"/>
      <c r="D31" s="45"/>
      <c r="E31" s="814"/>
      <c r="F31" s="262"/>
      <c r="G31" s="262"/>
      <c r="H31" s="294"/>
      <c r="I31" s="1003"/>
      <c r="J31" s="814"/>
      <c r="K31" s="260"/>
      <c r="L31" s="262"/>
      <c r="M31" s="294"/>
      <c r="N31" s="1003"/>
      <c r="O31" s="814"/>
      <c r="P31" s="262"/>
      <c r="Q31" s="262"/>
      <c r="R31" s="294"/>
      <c r="S31" s="1003"/>
      <c r="T31" s="814"/>
      <c r="U31" s="262"/>
      <c r="V31" s="262"/>
      <c r="W31" s="294"/>
      <c r="X31" s="1003"/>
      <c r="Y31" s="814"/>
      <c r="Z31" s="262"/>
      <c r="AA31" s="262"/>
      <c r="AB31" s="294"/>
      <c r="AC31" s="1003"/>
      <c r="AD31" s="814"/>
      <c r="AE31" s="262"/>
      <c r="AF31" s="262"/>
      <c r="AG31" s="294"/>
      <c r="AH31" s="2058"/>
      <c r="AI31" s="814"/>
      <c r="AJ31" s="262"/>
      <c r="AK31" s="262"/>
      <c r="AL31" s="294"/>
      <c r="AM31" s="2058"/>
      <c r="AN31" s="814"/>
      <c r="AO31" s="262"/>
      <c r="AP31" s="260"/>
      <c r="AQ31" s="294"/>
      <c r="AR31" s="2058"/>
      <c r="AS31" s="290"/>
      <c r="AT31" s="260"/>
      <c r="AU31" s="260"/>
      <c r="AV31" s="291"/>
      <c r="AW31" s="45"/>
      <c r="AX31" s="290"/>
      <c r="AY31" s="260"/>
      <c r="AZ31" s="260"/>
      <c r="BA31" s="291"/>
      <c r="BB31" s="45"/>
      <c r="BC31" s="290"/>
      <c r="BD31" s="260"/>
      <c r="BE31" s="260"/>
      <c r="BF31" s="291"/>
      <c r="BG31" s="45"/>
      <c r="BH31" s="290"/>
      <c r="BI31" s="260"/>
      <c r="BJ31" s="260"/>
      <c r="BK31" s="291"/>
      <c r="BL31" s="45"/>
      <c r="BM31" s="45"/>
      <c r="BN31" s="45"/>
      <c r="BO31" s="45"/>
      <c r="BP31" s="45"/>
      <c r="BQ31" s="45"/>
      <c r="BR31" s="45"/>
      <c r="BS31" s="45"/>
      <c r="BT31" s="45"/>
      <c r="BU31" s="45"/>
      <c r="BV31" s="45"/>
      <c r="BW31" s="45"/>
      <c r="BX31" s="45"/>
      <c r="BY31" s="45"/>
      <c r="BZ31" s="45"/>
      <c r="CA31" s="45"/>
      <c r="CB31" s="45"/>
      <c r="CC31" s="45"/>
      <c r="CD31" s="45"/>
      <c r="CE31" s="45"/>
      <c r="CF31" s="45"/>
      <c r="CG31" s="45"/>
      <c r="CH31" s="45"/>
      <c r="CI31" s="45"/>
      <c r="CJ31" s="45"/>
      <c r="CK31" s="45"/>
      <c r="CL31" s="45"/>
      <c r="CM31" s="45"/>
      <c r="CN31" s="45"/>
      <c r="CO31" s="45"/>
      <c r="CP31" s="45"/>
    </row>
    <row r="32" spans="1:94" s="1914" customFormat="1">
      <c r="A32" s="330"/>
      <c r="B32" s="330"/>
      <c r="C32" s="890" t="s">
        <v>80</v>
      </c>
      <c r="D32" s="330"/>
      <c r="E32" s="300"/>
      <c r="F32" s="264"/>
      <c r="G32" s="264"/>
      <c r="H32" s="299"/>
      <c r="I32" s="339">
        <v>44</v>
      </c>
      <c r="J32" s="337">
        <v>11</v>
      </c>
      <c r="K32" s="338">
        <v>11</v>
      </c>
      <c r="L32" s="338">
        <v>11</v>
      </c>
      <c r="M32" s="586">
        <f>N32-SUM(J32:L32)</f>
        <v>11</v>
      </c>
      <c r="N32" s="339">
        <v>44</v>
      </c>
      <c r="O32" s="337">
        <v>11</v>
      </c>
      <c r="P32" s="338">
        <v>11</v>
      </c>
      <c r="Q32" s="338">
        <v>12</v>
      </c>
      <c r="R32" s="586">
        <f>S32-SUM(O32:Q32)</f>
        <v>13</v>
      </c>
      <c r="S32" s="339">
        <v>47</v>
      </c>
      <c r="T32" s="337">
        <v>13</v>
      </c>
      <c r="U32" s="338">
        <v>12</v>
      </c>
      <c r="V32" s="338">
        <v>13</v>
      </c>
      <c r="W32" s="586">
        <f>X32-SUM(T32:V32)</f>
        <v>12</v>
      </c>
      <c r="X32" s="339">
        <v>50</v>
      </c>
      <c r="Y32" s="337">
        <v>11</v>
      </c>
      <c r="Z32" s="338">
        <v>12</v>
      </c>
      <c r="AA32" s="338">
        <v>12</v>
      </c>
      <c r="AB32" s="586">
        <f>AC32-SUM(Y32:AA32)</f>
        <v>13</v>
      </c>
      <c r="AC32" s="339">
        <v>48</v>
      </c>
      <c r="AD32" s="337">
        <v>12</v>
      </c>
      <c r="AE32" s="338">
        <v>13</v>
      </c>
      <c r="AF32" s="338">
        <v>12</v>
      </c>
      <c r="AG32" s="586">
        <f>AH32-SUM(AD32:AF32)</f>
        <v>13</v>
      </c>
      <c r="AH32" s="2056">
        <v>50</v>
      </c>
      <c r="AI32" s="337">
        <v>12</v>
      </c>
      <c r="AJ32" s="338">
        <v>13</v>
      </c>
      <c r="AK32" s="338">
        <v>12</v>
      </c>
      <c r="AL32" s="586">
        <f>AM32-SUM(AI32:AK32)</f>
        <v>13</v>
      </c>
      <c r="AM32" s="2056">
        <v>50</v>
      </c>
      <c r="AN32" s="337">
        <v>13</v>
      </c>
      <c r="AO32" s="338">
        <v>13</v>
      </c>
      <c r="AP32" s="338">
        <v>13</v>
      </c>
      <c r="AQ32" s="586">
        <f>AR32-SUM(AN32:AP32)</f>
        <v>12</v>
      </c>
      <c r="AR32" s="2056">
        <v>51</v>
      </c>
      <c r="AS32" s="369">
        <f>+AN32+AS164+AS166+AS167</f>
        <v>13.92005</v>
      </c>
      <c r="AT32" s="353">
        <f ca="1">+AO32+AT164+AT166+AT167</f>
        <v>13.664400225752377</v>
      </c>
      <c r="AU32" s="353">
        <f ca="1">+AP32+AU164+AU166+AU167</f>
        <v>16.999806159433383</v>
      </c>
      <c r="AV32" s="354">
        <f ca="1">+AQ32+AV164+AV166+AV167</f>
        <v>13.995939890656972</v>
      </c>
      <c r="AW32" s="340">
        <f ca="1">SUM(AS32:AV32)</f>
        <v>58.580196275842731</v>
      </c>
      <c r="AX32" s="369">
        <f ca="1">+AS32+AX164+AX166+AX167</f>
        <v>15.984480949045883</v>
      </c>
      <c r="AY32" s="353">
        <f ca="1">+AT32+AY164+AY166+AY167</f>
        <v>15.623669119238764</v>
      </c>
      <c r="AZ32" s="353">
        <f ca="1">+AU32+AZ164+AZ166+AZ167</f>
        <v>17.737206262521241</v>
      </c>
      <c r="BA32" s="354">
        <f ca="1">+AV32+BA164+BA166+BA167</f>
        <v>14.539078113537432</v>
      </c>
      <c r="BB32" s="340">
        <f ca="1">SUM(AX32:BA32)</f>
        <v>63.884434444343313</v>
      </c>
      <c r="BC32" s="369">
        <f ca="1">+AX32+BC164+BC166+BC167</f>
        <v>16.577180395734803</v>
      </c>
      <c r="BD32" s="353">
        <f ca="1">+AY32+BD164+BD166+BD167</f>
        <v>16.087310126277071</v>
      </c>
      <c r="BE32" s="353">
        <f ca="1">+AZ32+BE164+BE166+BE167</f>
        <v>18.515231884035231</v>
      </c>
      <c r="BF32" s="354">
        <f ca="1">+BA32+BF164+BF166+BF167</f>
        <v>15.116700238849972</v>
      </c>
      <c r="BG32" s="340">
        <f ca="1">SUM(BC32:BF32)</f>
        <v>66.296422644897078</v>
      </c>
      <c r="BH32" s="369">
        <f ca="1">+BC32+BH164+BH166+BH167</f>
        <v>17.2060438342994</v>
      </c>
      <c r="BI32" s="353">
        <f ca="1">+BD32+BI164+BI166+BI167</f>
        <v>16.593591445359962</v>
      </c>
      <c r="BJ32" s="353">
        <f ca="1">+BE32+BJ164+BJ166+BJ167</f>
        <v>19.209737912518776</v>
      </c>
      <c r="BK32" s="354">
        <f ca="1">+BF32+BK164+BK166+BK167</f>
        <v>15.633881062978629</v>
      </c>
      <c r="BL32" s="340">
        <f ca="1">SUM(BH32:BK32)</f>
        <v>68.643254255156762</v>
      </c>
      <c r="BM32" s="340"/>
      <c r="BN32" s="340"/>
      <c r="BO32" s="2167"/>
      <c r="BP32" s="340"/>
      <c r="BQ32" s="340"/>
      <c r="BR32" s="340"/>
      <c r="BS32" s="340"/>
      <c r="BT32" s="340"/>
      <c r="BU32" s="340"/>
      <c r="BV32" s="340"/>
      <c r="BW32" s="340"/>
      <c r="BX32" s="340"/>
      <c r="BY32" s="340"/>
      <c r="BZ32" s="340"/>
      <c r="CA32" s="340"/>
      <c r="CB32" s="340"/>
      <c r="CC32" s="340"/>
      <c r="CD32" s="340"/>
      <c r="CE32" s="340"/>
      <c r="CF32" s="340"/>
      <c r="CG32" s="340"/>
      <c r="CH32" s="340"/>
      <c r="CI32" s="340"/>
      <c r="CJ32" s="340"/>
      <c r="CK32" s="340"/>
      <c r="CL32" s="340"/>
      <c r="CM32" s="340"/>
      <c r="CN32" s="340"/>
      <c r="CO32" s="340"/>
      <c r="CP32" s="340"/>
    </row>
    <row r="33" spans="1:94">
      <c r="A33" s="45"/>
      <c r="B33" s="45"/>
      <c r="C33" s="895"/>
      <c r="D33" s="45"/>
      <c r="E33" s="814"/>
      <c r="F33" s="262"/>
      <c r="G33" s="262"/>
      <c r="H33" s="294"/>
      <c r="I33" s="1003"/>
      <c r="J33" s="814"/>
      <c r="K33" s="260"/>
      <c r="L33" s="262"/>
      <c r="M33" s="294"/>
      <c r="N33" s="1003"/>
      <c r="O33" s="814"/>
      <c r="P33" s="262"/>
      <c r="Q33" s="262"/>
      <c r="R33" s="294"/>
      <c r="S33" s="1003"/>
      <c r="T33" s="814"/>
      <c r="U33" s="262"/>
      <c r="V33" s="262"/>
      <c r="W33" s="294"/>
      <c r="X33" s="1003"/>
      <c r="Y33" s="814"/>
      <c r="Z33" s="262"/>
      <c r="AA33" s="262"/>
      <c r="AB33" s="294"/>
      <c r="AC33" s="1003"/>
      <c r="AD33" s="814"/>
      <c r="AE33" s="262"/>
      <c r="AF33" s="262"/>
      <c r="AG33" s="294"/>
      <c r="AH33" s="2058"/>
      <c r="AI33" s="814"/>
      <c r="AJ33" s="262"/>
      <c r="AK33" s="262"/>
      <c r="AL33" s="294"/>
      <c r="AM33" s="2058"/>
      <c r="AN33" s="814"/>
      <c r="AO33" s="262"/>
      <c r="AP33" s="262"/>
      <c r="AQ33" s="294"/>
      <c r="AR33" s="2058"/>
      <c r="AS33" s="290"/>
      <c r="AT33" s="260"/>
      <c r="AU33" s="260"/>
      <c r="AV33" s="291"/>
      <c r="AW33" s="45"/>
      <c r="AX33" s="290"/>
      <c r="AY33" s="260"/>
      <c r="AZ33" s="260"/>
      <c r="BA33" s="291"/>
      <c r="BB33" s="45"/>
      <c r="BC33" s="290"/>
      <c r="BD33" s="260"/>
      <c r="BE33" s="260"/>
      <c r="BF33" s="291"/>
      <c r="BG33" s="45"/>
      <c r="BH33" s="290"/>
      <c r="BI33" s="260"/>
      <c r="BJ33" s="260"/>
      <c r="BK33" s="291"/>
      <c r="BL33" s="45"/>
      <c r="BM33" s="45"/>
      <c r="BN33" s="45"/>
      <c r="BO33" s="45"/>
      <c r="BP33" s="45"/>
      <c r="BQ33" s="45"/>
      <c r="BR33" s="45"/>
      <c r="BS33" s="45"/>
      <c r="BT33" s="45"/>
      <c r="BU33" s="45"/>
      <c r="BV33" s="45"/>
      <c r="BW33" s="45"/>
      <c r="BX33" s="45"/>
      <c r="BY33" s="45"/>
      <c r="BZ33" s="45"/>
      <c r="CA33" s="45"/>
      <c r="CB33" s="45"/>
      <c r="CC33" s="45"/>
      <c r="CD33" s="45"/>
      <c r="CE33" s="45"/>
      <c r="CF33" s="45"/>
      <c r="CG33" s="45"/>
      <c r="CH33" s="45"/>
      <c r="CI33" s="45"/>
      <c r="CJ33" s="45"/>
      <c r="CK33" s="45"/>
      <c r="CL33" s="45"/>
      <c r="CM33" s="45"/>
      <c r="CN33" s="45"/>
      <c r="CO33" s="45"/>
      <c r="CP33" s="45"/>
    </row>
    <row r="34" spans="1:94">
      <c r="A34" s="45"/>
      <c r="B34" s="45"/>
      <c r="C34" s="909" t="s">
        <v>576</v>
      </c>
      <c r="D34" s="45"/>
      <c r="E34" s="292"/>
      <c r="F34" s="261"/>
      <c r="G34" s="261"/>
      <c r="H34" s="293"/>
      <c r="I34" s="228">
        <f t="shared" ref="I34:AW34" si="47">+I29-I32</f>
        <v>76</v>
      </c>
      <c r="J34" s="292">
        <f t="shared" si="47"/>
        <v>40</v>
      </c>
      <c r="K34" s="261">
        <f t="shared" si="47"/>
        <v>27</v>
      </c>
      <c r="L34" s="261">
        <f t="shared" si="47"/>
        <v>21</v>
      </c>
      <c r="M34" s="293">
        <f t="shared" si="47"/>
        <v>25</v>
      </c>
      <c r="N34" s="228">
        <f t="shared" si="47"/>
        <v>113</v>
      </c>
      <c r="O34" s="292">
        <f t="shared" si="47"/>
        <v>35</v>
      </c>
      <c r="P34" s="261">
        <f t="shared" si="47"/>
        <v>22</v>
      </c>
      <c r="Q34" s="261">
        <f t="shared" si="47"/>
        <v>33</v>
      </c>
      <c r="R34" s="293">
        <f t="shared" si="47"/>
        <v>27</v>
      </c>
      <c r="S34" s="228">
        <f t="shared" si="47"/>
        <v>117</v>
      </c>
      <c r="T34" s="292">
        <f t="shared" si="47"/>
        <v>42</v>
      </c>
      <c r="U34" s="261">
        <f t="shared" si="47"/>
        <v>21</v>
      </c>
      <c r="V34" s="261">
        <f t="shared" si="47"/>
        <v>37</v>
      </c>
      <c r="W34" s="293">
        <f t="shared" si="47"/>
        <v>45</v>
      </c>
      <c r="X34" s="228">
        <f t="shared" si="47"/>
        <v>145</v>
      </c>
      <c r="Y34" s="292">
        <f t="shared" si="47"/>
        <v>62</v>
      </c>
      <c r="Z34" s="261">
        <f t="shared" si="47"/>
        <v>32</v>
      </c>
      <c r="AA34" s="261">
        <f t="shared" ref="AA34:AE34" si="48">+AA29-AA32</f>
        <v>36</v>
      </c>
      <c r="AB34" s="293">
        <f t="shared" si="48"/>
        <v>39</v>
      </c>
      <c r="AC34" s="228">
        <f t="shared" si="48"/>
        <v>169</v>
      </c>
      <c r="AD34" s="292">
        <f t="shared" si="48"/>
        <v>53</v>
      </c>
      <c r="AE34" s="261">
        <f t="shared" si="48"/>
        <v>13</v>
      </c>
      <c r="AF34" s="261">
        <f t="shared" ref="AF34:AJ34" si="49">+AF29-AF32</f>
        <v>24</v>
      </c>
      <c r="AG34" s="293">
        <f t="shared" si="49"/>
        <v>35</v>
      </c>
      <c r="AH34" s="228">
        <f t="shared" si="49"/>
        <v>125</v>
      </c>
      <c r="AI34" s="292">
        <f t="shared" si="49"/>
        <v>-81</v>
      </c>
      <c r="AJ34" s="261">
        <f t="shared" si="49"/>
        <v>20</v>
      </c>
      <c r="AK34" s="261">
        <f t="shared" ref="AK34:AO34" si="50">+AK29-AK32</f>
        <v>63</v>
      </c>
      <c r="AL34" s="293">
        <f t="shared" si="50"/>
        <v>11</v>
      </c>
      <c r="AM34" s="228">
        <f t="shared" si="50"/>
        <v>13</v>
      </c>
      <c r="AN34" s="292">
        <f t="shared" si="50"/>
        <v>68</v>
      </c>
      <c r="AO34" s="261">
        <f t="shared" si="50"/>
        <v>31</v>
      </c>
      <c r="AP34" s="261">
        <f t="shared" si="47"/>
        <v>50</v>
      </c>
      <c r="AQ34" s="293">
        <f t="shared" si="47"/>
        <v>43</v>
      </c>
      <c r="AR34" s="228">
        <f t="shared" si="47"/>
        <v>192</v>
      </c>
      <c r="AS34" s="292">
        <f t="shared" si="47"/>
        <v>58.890435248749668</v>
      </c>
      <c r="AT34" s="261">
        <f t="shared" ca="1" si="47"/>
        <v>23.771981407350449</v>
      </c>
      <c r="AU34" s="261">
        <f t="shared" ca="1" si="47"/>
        <v>45.239275246541347</v>
      </c>
      <c r="AV34" s="293">
        <f t="shared" ca="1" si="47"/>
        <v>31.555969235730643</v>
      </c>
      <c r="AW34" s="228">
        <f t="shared" ca="1" si="47"/>
        <v>159.45766113837212</v>
      </c>
      <c r="AX34" s="292">
        <f t="shared" ref="AX34:BG34" ca="1" si="51">+AX29-AX32</f>
        <v>60.459937302177416</v>
      </c>
      <c r="AY34" s="261">
        <f t="shared" ca="1" si="51"/>
        <v>23.254404741522812</v>
      </c>
      <c r="AZ34" s="261">
        <f t="shared" ca="1" si="51"/>
        <v>46.067955209050695</v>
      </c>
      <c r="BA34" s="293">
        <f t="shared" ca="1" si="51"/>
        <v>33.115854194764211</v>
      </c>
      <c r="BB34" s="228">
        <f t="shared" ca="1" si="51"/>
        <v>162.89815144751515</v>
      </c>
      <c r="BC34" s="292">
        <f t="shared" ca="1" si="51"/>
        <v>62.512324785683433</v>
      </c>
      <c r="BD34" s="261">
        <f t="shared" ca="1" si="51"/>
        <v>25.989750142664544</v>
      </c>
      <c r="BE34" s="261">
        <f t="shared" ca="1" si="51"/>
        <v>47.373982746978527</v>
      </c>
      <c r="BF34" s="293">
        <f t="shared" ca="1" si="51"/>
        <v>34.997342148810795</v>
      </c>
      <c r="BG34" s="228">
        <f t="shared" ca="1" si="51"/>
        <v>170.87339982413749</v>
      </c>
      <c r="BH34" s="292">
        <f t="shared" ref="BH34:BL34" ca="1" si="52">+BH29-BH32</f>
        <v>63.536178554388691</v>
      </c>
      <c r="BI34" s="261">
        <f t="shared" ca="1" si="52"/>
        <v>27.213628666326336</v>
      </c>
      <c r="BJ34" s="261">
        <f t="shared" ca="1" si="52"/>
        <v>48.514874793597812</v>
      </c>
      <c r="BK34" s="293">
        <f t="shared" ca="1" si="52"/>
        <v>36.635914359441038</v>
      </c>
      <c r="BL34" s="228">
        <f t="shared" ca="1" si="52"/>
        <v>175.90059637375376</v>
      </c>
      <c r="BM34" s="45"/>
      <c r="BN34" s="45"/>
      <c r="BO34" s="45"/>
      <c r="BP34" s="45"/>
      <c r="BQ34" s="45"/>
      <c r="BR34" s="45"/>
      <c r="BS34" s="45"/>
      <c r="BT34" s="45"/>
      <c r="BU34" s="45"/>
      <c r="BV34" s="45"/>
      <c r="BW34" s="45"/>
      <c r="BX34" s="45"/>
      <c r="BY34" s="45"/>
      <c r="BZ34" s="45"/>
      <c r="CA34" s="45"/>
      <c r="CB34" s="45"/>
      <c r="CC34" s="45"/>
      <c r="CD34" s="45"/>
      <c r="CE34" s="45"/>
      <c r="CF34" s="45"/>
      <c r="CG34" s="45"/>
      <c r="CH34" s="45"/>
      <c r="CI34" s="45"/>
      <c r="CJ34" s="45"/>
      <c r="CK34" s="45"/>
      <c r="CL34" s="45"/>
      <c r="CM34" s="45"/>
      <c r="CN34" s="45"/>
      <c r="CO34" s="45"/>
      <c r="CP34" s="45"/>
    </row>
    <row r="35" spans="1:94">
      <c r="A35" s="45"/>
      <c r="B35" s="45"/>
      <c r="C35" s="895"/>
      <c r="D35" s="45"/>
      <c r="E35" s="290"/>
      <c r="F35" s="260"/>
      <c r="G35" s="260"/>
      <c r="H35" s="291"/>
      <c r="I35" s="45"/>
      <c r="J35" s="290"/>
      <c r="K35" s="260"/>
      <c r="L35" s="260"/>
      <c r="M35" s="291"/>
      <c r="N35" s="45"/>
      <c r="O35" s="290"/>
      <c r="P35" s="260"/>
      <c r="Q35" s="260"/>
      <c r="R35" s="291"/>
      <c r="S35" s="45"/>
      <c r="T35" s="290"/>
      <c r="U35" s="260"/>
      <c r="V35" s="260"/>
      <c r="W35" s="291"/>
      <c r="X35" s="45"/>
      <c r="Y35" s="290"/>
      <c r="Z35" s="260"/>
      <c r="AA35" s="260"/>
      <c r="AB35" s="291"/>
      <c r="AC35" s="45"/>
      <c r="AD35" s="290"/>
      <c r="AE35" s="260"/>
      <c r="AF35" s="260"/>
      <c r="AG35" s="291"/>
      <c r="AH35" s="45"/>
      <c r="AI35" s="290"/>
      <c r="AJ35" s="260"/>
      <c r="AK35" s="260"/>
      <c r="AL35" s="291"/>
      <c r="AM35" s="45"/>
      <c r="AN35" s="290"/>
      <c r="AO35" s="260"/>
      <c r="AP35" s="260"/>
      <c r="AQ35" s="291"/>
      <c r="AR35" s="45"/>
      <c r="AS35" s="290"/>
      <c r="AT35" s="260"/>
      <c r="AU35" s="260"/>
      <c r="AV35" s="291"/>
      <c r="AW35" s="45"/>
      <c r="AX35" s="290"/>
      <c r="AY35" s="260"/>
      <c r="AZ35" s="260"/>
      <c r="BA35" s="291"/>
      <c r="BB35" s="45"/>
      <c r="BC35" s="290"/>
      <c r="BD35" s="260"/>
      <c r="BE35" s="260"/>
      <c r="BF35" s="291"/>
      <c r="BG35" s="45"/>
      <c r="BH35" s="290"/>
      <c r="BI35" s="260"/>
      <c r="BJ35" s="260"/>
      <c r="BK35" s="291"/>
      <c r="BL35" s="45"/>
      <c r="BM35" s="45"/>
      <c r="BN35" s="45"/>
      <c r="BO35" s="45"/>
      <c r="BP35" s="45"/>
      <c r="BQ35" s="45"/>
      <c r="BR35" s="45"/>
      <c r="BS35" s="45"/>
      <c r="BT35" s="45"/>
      <c r="BU35" s="45"/>
      <c r="BV35" s="45"/>
      <c r="BW35" s="45"/>
      <c r="BX35" s="45"/>
      <c r="BY35" s="45"/>
      <c r="BZ35" s="45"/>
      <c r="CA35" s="45"/>
      <c r="CB35" s="45"/>
      <c r="CC35" s="45"/>
      <c r="CD35" s="45"/>
      <c r="CE35" s="45"/>
      <c r="CF35" s="45"/>
      <c r="CG35" s="45"/>
      <c r="CH35" s="45"/>
      <c r="CI35" s="45"/>
      <c r="CJ35" s="45"/>
      <c r="CK35" s="45"/>
      <c r="CL35" s="45"/>
      <c r="CM35" s="45"/>
      <c r="CN35" s="45"/>
      <c r="CO35" s="45"/>
      <c r="CP35" s="45"/>
    </row>
    <row r="36" spans="1:94">
      <c r="A36" s="45"/>
      <c r="B36" s="45"/>
      <c r="C36" s="895" t="s">
        <v>320</v>
      </c>
      <c r="D36" s="45"/>
      <c r="E36" s="337"/>
      <c r="F36" s="338"/>
      <c r="G36" s="338"/>
      <c r="H36" s="586"/>
      <c r="I36" s="339">
        <v>31</v>
      </c>
      <c r="J36" s="337">
        <v>17</v>
      </c>
      <c r="K36" s="338">
        <v>5</v>
      </c>
      <c r="L36" s="338">
        <v>10</v>
      </c>
      <c r="M36" s="586">
        <f>N36-SUM(J36:L36)</f>
        <v>10</v>
      </c>
      <c r="N36" s="339">
        <v>42</v>
      </c>
      <c r="O36" s="337">
        <v>14</v>
      </c>
      <c r="P36" s="338">
        <v>9</v>
      </c>
      <c r="Q36" s="338">
        <v>11</v>
      </c>
      <c r="R36" s="586">
        <f>S36-SUM(O36:Q36)</f>
        <v>10</v>
      </c>
      <c r="S36" s="339">
        <v>44</v>
      </c>
      <c r="T36" s="337">
        <v>16</v>
      </c>
      <c r="U36" s="338">
        <v>9</v>
      </c>
      <c r="V36" s="338">
        <v>14</v>
      </c>
      <c r="W36" s="586">
        <f>X36-SUM(T36:V36)</f>
        <v>17</v>
      </c>
      <c r="X36" s="339">
        <v>56</v>
      </c>
      <c r="Y36" s="337">
        <v>25</v>
      </c>
      <c r="Z36" s="338">
        <v>13</v>
      </c>
      <c r="AA36" s="338">
        <v>13</v>
      </c>
      <c r="AB36" s="586">
        <f>AC36-SUM(Y36:AA36)</f>
        <v>14</v>
      </c>
      <c r="AC36" s="339">
        <v>65</v>
      </c>
      <c r="AD36" s="337">
        <v>21</v>
      </c>
      <c r="AE36" s="338">
        <v>5</v>
      </c>
      <c r="AF36" s="338">
        <v>9</v>
      </c>
      <c r="AG36" s="586">
        <f>AH36-SUM(AD36:AF36)</f>
        <v>14</v>
      </c>
      <c r="AH36" s="2056">
        <v>49</v>
      </c>
      <c r="AI36" s="337">
        <v>-9</v>
      </c>
      <c r="AJ36" s="338">
        <v>8</v>
      </c>
      <c r="AK36" s="338">
        <v>19</v>
      </c>
      <c r="AL36" s="586">
        <f>AM36-SUM(AI36:AK36)</f>
        <v>4</v>
      </c>
      <c r="AM36" s="2056">
        <v>22</v>
      </c>
      <c r="AN36" s="337">
        <v>11</v>
      </c>
      <c r="AO36" s="338">
        <v>12</v>
      </c>
      <c r="AP36" s="338">
        <v>19</v>
      </c>
      <c r="AQ36" s="586">
        <f>AR36-SUM(AN36:AP36)</f>
        <v>29</v>
      </c>
      <c r="AR36" s="2056">
        <v>71</v>
      </c>
      <c r="AS36" s="290">
        <f>AS61*(AS34)</f>
        <v>12.36699140223743</v>
      </c>
      <c r="AT36" s="260">
        <f ca="1">AT61*(AT34)</f>
        <v>4.9921160955435937</v>
      </c>
      <c r="AU36" s="260">
        <f ca="1">AU61*(AU34)</f>
        <v>9.500247801773682</v>
      </c>
      <c r="AV36" s="291">
        <f ca="1">AV61*(AV34)</f>
        <v>6.6267535395034347</v>
      </c>
      <c r="AW36" s="45">
        <f ca="1">SUM(AS36:AV36)</f>
        <v>33.48610883905814</v>
      </c>
      <c r="AX36" s="290">
        <f ca="1">AX61*(AX34)</f>
        <v>12.696586833457257</v>
      </c>
      <c r="AY36" s="260">
        <f ca="1">AY61*(AY34)</f>
        <v>4.8834249957197899</v>
      </c>
      <c r="AZ36" s="260">
        <f ca="1">AZ61*(AZ34)</f>
        <v>9.6742705939006459</v>
      </c>
      <c r="BA36" s="291">
        <f ca="1">BA61*(BA34)</f>
        <v>6.954329380900484</v>
      </c>
      <c r="BB36" s="45">
        <f ca="1">SUM(AX36:BA36)</f>
        <v>34.208611803978172</v>
      </c>
      <c r="BC36" s="290">
        <f ca="1">BC61*(BC34)</f>
        <v>13.12758820499352</v>
      </c>
      <c r="BD36" s="260">
        <f ca="1">BD61*(BD34)</f>
        <v>5.4578475299595537</v>
      </c>
      <c r="BE36" s="260">
        <f ca="1">BE61*(BE34)</f>
        <v>9.9485363768654906</v>
      </c>
      <c r="BF36" s="291">
        <f ca="1">BF61*(BF34)</f>
        <v>7.3494418512502664</v>
      </c>
      <c r="BG36" s="45">
        <f ca="1">SUM(BC36:BF36)</f>
        <v>35.883413963068833</v>
      </c>
      <c r="BH36" s="290">
        <f ca="1">BH61*(BH34)</f>
        <v>13.342597496421625</v>
      </c>
      <c r="BI36" s="260">
        <f ca="1">BI61*(BI34)</f>
        <v>5.71486201992853</v>
      </c>
      <c r="BJ36" s="260">
        <f ca="1">BJ61*(BJ34)</f>
        <v>10.18812370665554</v>
      </c>
      <c r="BK36" s="291">
        <f ca="1">BK61*(BK34)</f>
        <v>7.6935420154826177</v>
      </c>
      <c r="BL36" s="45">
        <f ca="1">SUM(BH36:BK36)</f>
        <v>36.939125238488316</v>
      </c>
      <c r="BM36" s="45"/>
      <c r="BN36" s="45"/>
      <c r="BO36" s="45"/>
      <c r="BP36" s="45"/>
      <c r="BQ36" s="45"/>
      <c r="BR36" s="45"/>
      <c r="BS36" s="45"/>
      <c r="BT36" s="45"/>
      <c r="BU36" s="45"/>
      <c r="BV36" s="45"/>
      <c r="BW36" s="45"/>
      <c r="BX36" s="45"/>
      <c r="BY36" s="45"/>
      <c r="BZ36" s="45"/>
      <c r="CA36" s="45"/>
      <c r="CB36" s="45"/>
      <c r="CC36" s="45"/>
      <c r="CD36" s="45"/>
      <c r="CE36" s="45"/>
      <c r="CF36" s="45"/>
      <c r="CG36" s="45"/>
      <c r="CH36" s="45"/>
      <c r="CI36" s="45"/>
      <c r="CJ36" s="45"/>
      <c r="CK36" s="45"/>
      <c r="CL36" s="45"/>
      <c r="CM36" s="45"/>
      <c r="CN36" s="45"/>
      <c r="CO36" s="45"/>
      <c r="CP36" s="45"/>
    </row>
    <row r="37" spans="1:94">
      <c r="A37" s="45"/>
      <c r="B37" s="45"/>
      <c r="C37" s="895"/>
      <c r="D37" s="45"/>
      <c r="E37" s="337"/>
      <c r="F37" s="338"/>
      <c r="G37" s="338"/>
      <c r="H37" s="1684"/>
      <c r="I37" s="339"/>
      <c r="J37" s="337"/>
      <c r="K37" s="338"/>
      <c r="L37" s="338"/>
      <c r="M37" s="1684"/>
      <c r="N37" s="339"/>
      <c r="O37" s="337"/>
      <c r="P37" s="338"/>
      <c r="Q37" s="338"/>
      <c r="R37" s="1684"/>
      <c r="S37" s="339"/>
      <c r="T37" s="337"/>
      <c r="U37" s="338"/>
      <c r="V37" s="338"/>
      <c r="W37" s="1684"/>
      <c r="X37" s="339"/>
      <c r="Y37" s="337"/>
      <c r="Z37" s="338"/>
      <c r="AA37" s="338"/>
      <c r="AB37" s="1684"/>
      <c r="AC37" s="339"/>
      <c r="AD37" s="337"/>
      <c r="AE37" s="338"/>
      <c r="AF37" s="338"/>
      <c r="AG37" s="1684"/>
      <c r="AH37" s="2056"/>
      <c r="AI37" s="337"/>
      <c r="AJ37" s="338"/>
      <c r="AK37" s="338"/>
      <c r="AL37" s="1684"/>
      <c r="AM37" s="2056"/>
      <c r="AN37" s="337"/>
      <c r="AO37" s="338"/>
      <c r="AP37" s="260"/>
      <c r="AQ37" s="1684"/>
      <c r="AR37" s="2056"/>
      <c r="AS37" s="290"/>
      <c r="AT37" s="260"/>
      <c r="AU37" s="260"/>
      <c r="AV37" s="291"/>
      <c r="AW37" s="45"/>
      <c r="AX37" s="290"/>
      <c r="AY37" s="260"/>
      <c r="AZ37" s="260"/>
      <c r="BA37" s="291"/>
      <c r="BB37" s="45"/>
      <c r="BC37" s="290"/>
      <c r="BD37" s="260"/>
      <c r="BE37" s="260"/>
      <c r="BF37" s="291"/>
      <c r="BG37" s="45"/>
      <c r="BH37" s="290"/>
      <c r="BI37" s="260"/>
      <c r="BJ37" s="260"/>
      <c r="BK37" s="291"/>
      <c r="BL37" s="45"/>
      <c r="BM37" s="45"/>
      <c r="BN37" s="45"/>
      <c r="BO37" s="45"/>
      <c r="BP37" s="45"/>
      <c r="BQ37" s="45"/>
      <c r="BR37" s="45"/>
      <c r="BS37" s="45"/>
      <c r="BT37" s="45"/>
      <c r="BU37" s="45"/>
      <c r="BV37" s="45"/>
      <c r="BW37" s="45"/>
      <c r="BX37" s="45"/>
      <c r="BY37" s="45"/>
      <c r="BZ37" s="45"/>
      <c r="CA37" s="45"/>
      <c r="CB37" s="45"/>
      <c r="CC37" s="45"/>
      <c r="CD37" s="45"/>
      <c r="CE37" s="45"/>
      <c r="CF37" s="45"/>
      <c r="CG37" s="45"/>
      <c r="CH37" s="45"/>
      <c r="CI37" s="45"/>
      <c r="CJ37" s="45"/>
      <c r="CK37" s="45"/>
      <c r="CL37" s="45"/>
      <c r="CM37" s="45"/>
      <c r="CN37" s="45"/>
      <c r="CO37" s="45"/>
      <c r="CP37" s="45"/>
    </row>
    <row r="38" spans="1:94">
      <c r="A38" s="228"/>
      <c r="B38" s="228"/>
      <c r="C38" s="909" t="s">
        <v>82</v>
      </c>
      <c r="D38" s="228"/>
      <c r="E38" s="292"/>
      <c r="F38" s="261"/>
      <c r="G38" s="261"/>
      <c r="H38" s="293"/>
      <c r="I38" s="228">
        <f t="shared" ref="I38:AW38" si="53">I34-I36</f>
        <v>45</v>
      </c>
      <c r="J38" s="292">
        <f t="shared" si="53"/>
        <v>23</v>
      </c>
      <c r="K38" s="261">
        <f t="shared" si="53"/>
        <v>22</v>
      </c>
      <c r="L38" s="261">
        <f t="shared" si="53"/>
        <v>11</v>
      </c>
      <c r="M38" s="293">
        <f t="shared" si="53"/>
        <v>15</v>
      </c>
      <c r="N38" s="228">
        <f t="shared" si="53"/>
        <v>71</v>
      </c>
      <c r="O38" s="292">
        <f t="shared" si="53"/>
        <v>21</v>
      </c>
      <c r="P38" s="261">
        <f t="shared" si="53"/>
        <v>13</v>
      </c>
      <c r="Q38" s="261">
        <f t="shared" si="53"/>
        <v>22</v>
      </c>
      <c r="R38" s="293">
        <f t="shared" si="53"/>
        <v>17</v>
      </c>
      <c r="S38" s="228">
        <f t="shared" si="53"/>
        <v>73</v>
      </c>
      <c r="T38" s="292">
        <f t="shared" si="53"/>
        <v>26</v>
      </c>
      <c r="U38" s="261">
        <f t="shared" si="53"/>
        <v>12</v>
      </c>
      <c r="V38" s="261">
        <f t="shared" si="53"/>
        <v>23</v>
      </c>
      <c r="W38" s="293">
        <f t="shared" si="53"/>
        <v>28</v>
      </c>
      <c r="X38" s="228">
        <f t="shared" si="53"/>
        <v>89</v>
      </c>
      <c r="Y38" s="292">
        <f t="shared" si="53"/>
        <v>37</v>
      </c>
      <c r="Z38" s="261">
        <f t="shared" si="53"/>
        <v>19</v>
      </c>
      <c r="AA38" s="261">
        <f t="shared" ref="AA38:AE38" si="54">AA34-AA36</f>
        <v>23</v>
      </c>
      <c r="AB38" s="293">
        <f t="shared" si="54"/>
        <v>25</v>
      </c>
      <c r="AC38" s="228">
        <f t="shared" si="54"/>
        <v>104</v>
      </c>
      <c r="AD38" s="292">
        <f t="shared" si="54"/>
        <v>32</v>
      </c>
      <c r="AE38" s="261">
        <f t="shared" si="54"/>
        <v>8</v>
      </c>
      <c r="AF38" s="261">
        <f t="shared" ref="AF38:AJ38" si="55">AF34-AF36</f>
        <v>15</v>
      </c>
      <c r="AG38" s="293">
        <f t="shared" si="55"/>
        <v>21</v>
      </c>
      <c r="AH38" s="228">
        <f t="shared" si="55"/>
        <v>76</v>
      </c>
      <c r="AI38" s="292">
        <f t="shared" si="55"/>
        <v>-72</v>
      </c>
      <c r="AJ38" s="261">
        <f t="shared" si="55"/>
        <v>12</v>
      </c>
      <c r="AK38" s="261">
        <f t="shared" ref="AK38:AO38" si="56">AK34-AK36</f>
        <v>44</v>
      </c>
      <c r="AL38" s="293">
        <f t="shared" si="56"/>
        <v>7</v>
      </c>
      <c r="AM38" s="228">
        <f t="shared" si="56"/>
        <v>-9</v>
      </c>
      <c r="AN38" s="292">
        <f t="shared" si="56"/>
        <v>57</v>
      </c>
      <c r="AO38" s="261">
        <f t="shared" si="56"/>
        <v>19</v>
      </c>
      <c r="AP38" s="261">
        <f t="shared" ref="AP38:AR38" si="57">AP34-AP36</f>
        <v>31</v>
      </c>
      <c r="AQ38" s="293">
        <f t="shared" si="57"/>
        <v>14</v>
      </c>
      <c r="AR38" s="228">
        <f t="shared" si="57"/>
        <v>121</v>
      </c>
      <c r="AS38" s="292">
        <f t="shared" si="53"/>
        <v>46.523443846512237</v>
      </c>
      <c r="AT38" s="261">
        <f t="shared" ca="1" si="53"/>
        <v>18.779865311806855</v>
      </c>
      <c r="AU38" s="261">
        <f t="shared" ca="1" si="53"/>
        <v>35.739027444767665</v>
      </c>
      <c r="AV38" s="293">
        <f t="shared" ca="1" si="53"/>
        <v>24.92921569622721</v>
      </c>
      <c r="AW38" s="228">
        <f t="shared" ca="1" si="53"/>
        <v>125.97155229931397</v>
      </c>
      <c r="AX38" s="292">
        <f t="shared" ref="AX38:BG38" ca="1" si="58">AX34-AX36</f>
        <v>47.763350468720162</v>
      </c>
      <c r="AY38" s="261">
        <f t="shared" ca="1" si="58"/>
        <v>18.370979745803023</v>
      </c>
      <c r="AZ38" s="261">
        <f t="shared" ca="1" si="58"/>
        <v>36.39368461515005</v>
      </c>
      <c r="BA38" s="293">
        <f t="shared" ca="1" si="58"/>
        <v>26.161524813863728</v>
      </c>
      <c r="BB38" s="228">
        <f t="shared" ca="1" si="58"/>
        <v>128.68953964353699</v>
      </c>
      <c r="BC38" s="292">
        <f t="shared" ca="1" si="58"/>
        <v>49.384736580689911</v>
      </c>
      <c r="BD38" s="261">
        <f t="shared" ca="1" si="58"/>
        <v>20.53190261270499</v>
      </c>
      <c r="BE38" s="261">
        <f t="shared" ca="1" si="58"/>
        <v>37.425446370113036</v>
      </c>
      <c r="BF38" s="293">
        <f t="shared" ca="1" si="58"/>
        <v>27.647900297560529</v>
      </c>
      <c r="BG38" s="228">
        <f t="shared" ca="1" si="58"/>
        <v>134.98998586106865</v>
      </c>
      <c r="BH38" s="292">
        <f t="shared" ref="BH38:BL38" ca="1" si="59">BH34-BH36</f>
        <v>50.193581057967066</v>
      </c>
      <c r="BI38" s="261">
        <f t="shared" ca="1" si="59"/>
        <v>21.498766646397804</v>
      </c>
      <c r="BJ38" s="261">
        <f t="shared" ca="1" si="59"/>
        <v>38.326751086942274</v>
      </c>
      <c r="BK38" s="293">
        <f t="shared" ca="1" si="59"/>
        <v>28.942372343958422</v>
      </c>
      <c r="BL38" s="228">
        <f t="shared" ca="1" si="59"/>
        <v>138.96147113526544</v>
      </c>
      <c r="BM38" s="228"/>
      <c r="BN38" s="228"/>
      <c r="BO38" s="228"/>
      <c r="BP38" s="228"/>
      <c r="BQ38" s="228"/>
      <c r="BR38" s="228"/>
      <c r="BS38" s="228"/>
      <c r="BT38" s="228"/>
      <c r="BU38" s="228"/>
      <c r="BV38" s="228"/>
      <c r="BW38" s="228"/>
      <c r="BX38" s="228"/>
      <c r="BY38" s="228"/>
      <c r="BZ38" s="228"/>
      <c r="CA38" s="228"/>
      <c r="CB38" s="228"/>
      <c r="CC38" s="228"/>
      <c r="CD38" s="228"/>
      <c r="CE38" s="228"/>
      <c r="CF38" s="228"/>
      <c r="CG38" s="228"/>
      <c r="CH38" s="228"/>
      <c r="CI38" s="228"/>
      <c r="CJ38" s="228"/>
      <c r="CK38" s="228"/>
      <c r="CL38" s="228"/>
      <c r="CM38" s="228"/>
      <c r="CN38" s="228"/>
      <c r="CO38" s="228"/>
      <c r="CP38" s="228"/>
    </row>
    <row r="39" spans="1:94">
      <c r="A39" s="45"/>
      <c r="B39" s="45"/>
      <c r="C39" s="895" t="s">
        <v>725</v>
      </c>
      <c r="D39" s="45"/>
      <c r="E39" s="337"/>
      <c r="F39" s="338"/>
      <c r="G39" s="338"/>
      <c r="H39" s="586"/>
      <c r="I39" s="339">
        <v>0</v>
      </c>
      <c r="J39" s="337">
        <v>0</v>
      </c>
      <c r="K39" s="338">
        <v>0</v>
      </c>
      <c r="L39" s="338">
        <v>0</v>
      </c>
      <c r="M39" s="586">
        <f>N39-SUM(J39:L39)</f>
        <v>0</v>
      </c>
      <c r="N39" s="339">
        <v>0</v>
      </c>
      <c r="O39" s="337">
        <v>0</v>
      </c>
      <c r="P39" s="338">
        <v>0</v>
      </c>
      <c r="Q39" s="338">
        <v>0</v>
      </c>
      <c r="R39" s="586">
        <f>S39-SUM(O39:Q39)</f>
        <v>0</v>
      </c>
      <c r="S39" s="339">
        <v>0</v>
      </c>
      <c r="T39" s="337">
        <v>0</v>
      </c>
      <c r="U39" s="338">
        <v>0</v>
      </c>
      <c r="V39" s="338">
        <v>0</v>
      </c>
      <c r="W39" s="586">
        <f>X39-SUM(T39:V39)</f>
        <v>0</v>
      </c>
      <c r="X39" s="339">
        <v>0</v>
      </c>
      <c r="Y39" s="337">
        <v>0</v>
      </c>
      <c r="Z39" s="338">
        <v>0</v>
      </c>
      <c r="AA39" s="338">
        <v>0</v>
      </c>
      <c r="AB39" s="586">
        <f>AC39-SUM(Y39:AA39)</f>
        <v>0</v>
      </c>
      <c r="AC39" s="339">
        <v>0</v>
      </c>
      <c r="AD39" s="337">
        <v>0</v>
      </c>
      <c r="AE39" s="338">
        <v>0</v>
      </c>
      <c r="AF39" s="338">
        <v>0</v>
      </c>
      <c r="AG39" s="586">
        <f>AH39-SUM(AD39:AF39)</f>
        <v>0</v>
      </c>
      <c r="AH39" s="2056">
        <v>0</v>
      </c>
      <c r="AI39" s="337">
        <v>0</v>
      </c>
      <c r="AJ39" s="338">
        <v>0</v>
      </c>
      <c r="AK39" s="338">
        <v>0</v>
      </c>
      <c r="AL39" s="586">
        <f>AM39-SUM(AI39:AK39)</f>
        <v>0</v>
      </c>
      <c r="AM39" s="2056">
        <v>0</v>
      </c>
      <c r="AN39" s="337">
        <v>0</v>
      </c>
      <c r="AO39" s="338">
        <v>0</v>
      </c>
      <c r="AP39" s="338">
        <v>0</v>
      </c>
      <c r="AQ39" s="586">
        <f>AR39-SUM(AN39:AP39)</f>
        <v>0</v>
      </c>
      <c r="AR39" s="2056">
        <v>0</v>
      </c>
      <c r="AS39" s="290"/>
      <c r="AT39" s="260"/>
      <c r="AU39" s="260"/>
      <c r="AV39" s="291"/>
      <c r="AW39" s="45">
        <f>SUM(AS39:AV39)</f>
        <v>0</v>
      </c>
      <c r="AX39" s="290"/>
      <c r="AY39" s="260"/>
      <c r="AZ39" s="260"/>
      <c r="BA39" s="291"/>
      <c r="BB39" s="45">
        <f>SUM(AX39:BA39)</f>
        <v>0</v>
      </c>
      <c r="BC39" s="290"/>
      <c r="BD39" s="260"/>
      <c r="BE39" s="260"/>
      <c r="BF39" s="291"/>
      <c r="BG39" s="45">
        <f>SUM(BC39:BF39)</f>
        <v>0</v>
      </c>
      <c r="BH39" s="290"/>
      <c r="BI39" s="260"/>
      <c r="BJ39" s="260"/>
      <c r="BK39" s="291"/>
      <c r="BL39" s="45">
        <f>SUM(BH39:BK39)</f>
        <v>0</v>
      </c>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row>
    <row r="40" spans="1:94">
      <c r="A40" s="45"/>
      <c r="B40" s="45"/>
      <c r="C40" s="909" t="s">
        <v>360</v>
      </c>
      <c r="D40" s="45"/>
      <c r="E40" s="292"/>
      <c r="F40" s="261"/>
      <c r="G40" s="261"/>
      <c r="H40" s="293"/>
      <c r="I40" s="228">
        <f t="shared" ref="I40:AW40" si="60">I38+I39</f>
        <v>45</v>
      </c>
      <c r="J40" s="292">
        <f t="shared" si="60"/>
        <v>23</v>
      </c>
      <c r="K40" s="261">
        <f t="shared" si="60"/>
        <v>22</v>
      </c>
      <c r="L40" s="261">
        <f t="shared" si="60"/>
        <v>11</v>
      </c>
      <c r="M40" s="293">
        <f t="shared" si="60"/>
        <v>15</v>
      </c>
      <c r="N40" s="228">
        <f t="shared" si="60"/>
        <v>71</v>
      </c>
      <c r="O40" s="292">
        <f t="shared" si="60"/>
        <v>21</v>
      </c>
      <c r="P40" s="261">
        <f t="shared" si="60"/>
        <v>13</v>
      </c>
      <c r="Q40" s="261">
        <f t="shared" si="60"/>
        <v>22</v>
      </c>
      <c r="R40" s="293">
        <f t="shared" si="60"/>
        <v>17</v>
      </c>
      <c r="S40" s="228">
        <f t="shared" si="60"/>
        <v>73</v>
      </c>
      <c r="T40" s="292">
        <f t="shared" si="60"/>
        <v>26</v>
      </c>
      <c r="U40" s="261">
        <f t="shared" si="60"/>
        <v>12</v>
      </c>
      <c r="V40" s="261">
        <f t="shared" si="60"/>
        <v>23</v>
      </c>
      <c r="W40" s="293">
        <f t="shared" si="60"/>
        <v>28</v>
      </c>
      <c r="X40" s="228">
        <f t="shared" si="60"/>
        <v>89</v>
      </c>
      <c r="Y40" s="292">
        <f t="shared" si="60"/>
        <v>37</v>
      </c>
      <c r="Z40" s="261">
        <f t="shared" si="60"/>
        <v>19</v>
      </c>
      <c r="AA40" s="261">
        <f t="shared" ref="AA40:AE40" si="61">AA38+AA39</f>
        <v>23</v>
      </c>
      <c r="AB40" s="293">
        <f t="shared" si="61"/>
        <v>25</v>
      </c>
      <c r="AC40" s="228">
        <f t="shared" si="61"/>
        <v>104</v>
      </c>
      <c r="AD40" s="292">
        <f t="shared" si="61"/>
        <v>32</v>
      </c>
      <c r="AE40" s="261">
        <f t="shared" si="61"/>
        <v>8</v>
      </c>
      <c r="AF40" s="261">
        <f t="shared" ref="AF40:AJ40" si="62">AF38+AF39</f>
        <v>15</v>
      </c>
      <c r="AG40" s="293">
        <f t="shared" si="62"/>
        <v>21</v>
      </c>
      <c r="AH40" s="228">
        <f t="shared" si="62"/>
        <v>76</v>
      </c>
      <c r="AI40" s="292">
        <f t="shared" si="62"/>
        <v>-72</v>
      </c>
      <c r="AJ40" s="261">
        <f t="shared" si="62"/>
        <v>12</v>
      </c>
      <c r="AK40" s="261">
        <f t="shared" ref="AK40:AO40" si="63">AK38+AK39</f>
        <v>44</v>
      </c>
      <c r="AL40" s="293">
        <f t="shared" si="63"/>
        <v>7</v>
      </c>
      <c r="AM40" s="228">
        <f t="shared" si="63"/>
        <v>-9</v>
      </c>
      <c r="AN40" s="292">
        <f t="shared" si="63"/>
        <v>57</v>
      </c>
      <c r="AO40" s="261">
        <f t="shared" si="63"/>
        <v>19</v>
      </c>
      <c r="AP40" s="261">
        <f t="shared" ref="AP40:AR40" si="64">AP38+AP39</f>
        <v>31</v>
      </c>
      <c r="AQ40" s="293">
        <f t="shared" si="64"/>
        <v>14</v>
      </c>
      <c r="AR40" s="228">
        <f t="shared" si="64"/>
        <v>121</v>
      </c>
      <c r="AS40" s="292">
        <f t="shared" si="60"/>
        <v>46.523443846512237</v>
      </c>
      <c r="AT40" s="261">
        <f t="shared" ca="1" si="60"/>
        <v>18.779865311806855</v>
      </c>
      <c r="AU40" s="261">
        <f t="shared" ca="1" si="60"/>
        <v>35.739027444767665</v>
      </c>
      <c r="AV40" s="293">
        <f t="shared" ca="1" si="60"/>
        <v>24.92921569622721</v>
      </c>
      <c r="AW40" s="228">
        <f t="shared" ca="1" si="60"/>
        <v>125.97155229931397</v>
      </c>
      <c r="AX40" s="292">
        <f t="shared" ref="AX40:BG40" ca="1" si="65">AX38+AX39</f>
        <v>47.763350468720162</v>
      </c>
      <c r="AY40" s="261">
        <f t="shared" ca="1" si="65"/>
        <v>18.370979745803023</v>
      </c>
      <c r="AZ40" s="261">
        <f t="shared" ca="1" si="65"/>
        <v>36.39368461515005</v>
      </c>
      <c r="BA40" s="293">
        <f t="shared" ca="1" si="65"/>
        <v>26.161524813863728</v>
      </c>
      <c r="BB40" s="228">
        <f t="shared" ca="1" si="65"/>
        <v>128.68953964353699</v>
      </c>
      <c r="BC40" s="292">
        <f t="shared" ca="1" si="65"/>
        <v>49.384736580689911</v>
      </c>
      <c r="BD40" s="261">
        <f t="shared" ca="1" si="65"/>
        <v>20.53190261270499</v>
      </c>
      <c r="BE40" s="261">
        <f t="shared" ca="1" si="65"/>
        <v>37.425446370113036</v>
      </c>
      <c r="BF40" s="293">
        <f t="shared" ca="1" si="65"/>
        <v>27.647900297560529</v>
      </c>
      <c r="BG40" s="228">
        <f t="shared" ca="1" si="65"/>
        <v>134.98998586106865</v>
      </c>
      <c r="BH40" s="292">
        <f t="shared" ref="BH40:BL40" ca="1" si="66">BH38+BH39</f>
        <v>50.193581057967066</v>
      </c>
      <c r="BI40" s="261">
        <f t="shared" ca="1" si="66"/>
        <v>21.498766646397804</v>
      </c>
      <c r="BJ40" s="261">
        <f t="shared" ca="1" si="66"/>
        <v>38.326751086942274</v>
      </c>
      <c r="BK40" s="293">
        <f t="shared" ca="1" si="66"/>
        <v>28.942372343958422</v>
      </c>
      <c r="BL40" s="228">
        <f t="shared" ca="1" si="66"/>
        <v>138.96147113526544</v>
      </c>
      <c r="BM40" s="45"/>
      <c r="BN40" s="45"/>
      <c r="BO40" s="45"/>
      <c r="BP40" s="45"/>
      <c r="BQ40" s="45"/>
      <c r="BR40" s="45"/>
      <c r="BS40" s="45"/>
      <c r="BT40" s="45"/>
      <c r="BU40" s="45"/>
      <c r="BV40" s="45"/>
      <c r="BW40" s="45"/>
      <c r="BX40" s="45"/>
      <c r="BY40" s="45"/>
      <c r="BZ40" s="45"/>
      <c r="CA40" s="45"/>
      <c r="CB40" s="45"/>
      <c r="CC40" s="45"/>
      <c r="CD40" s="45"/>
      <c r="CE40" s="45"/>
      <c r="CF40" s="45"/>
      <c r="CG40" s="45"/>
      <c r="CH40" s="45"/>
      <c r="CI40" s="45"/>
      <c r="CJ40" s="45"/>
      <c r="CK40" s="45"/>
      <c r="CL40" s="45"/>
      <c r="CM40" s="45"/>
      <c r="CN40" s="45"/>
      <c r="CO40" s="45"/>
      <c r="CP40" s="45"/>
    </row>
    <row r="41" spans="1:94">
      <c r="A41" s="45"/>
      <c r="B41" s="45"/>
      <c r="C41" s="895"/>
      <c r="D41" s="45"/>
      <c r="E41" s="290"/>
      <c r="F41" s="260"/>
      <c r="G41" s="260"/>
      <c r="H41" s="291"/>
      <c r="I41" s="45"/>
      <c r="J41" s="290"/>
      <c r="K41" s="260"/>
      <c r="L41" s="260"/>
      <c r="M41" s="291"/>
      <c r="N41" s="45"/>
      <c r="O41" s="290"/>
      <c r="P41" s="260"/>
      <c r="Q41" s="260"/>
      <c r="R41" s="291"/>
      <c r="S41" s="45"/>
      <c r="T41" s="290"/>
      <c r="U41" s="260"/>
      <c r="V41" s="260"/>
      <c r="W41" s="291"/>
      <c r="X41" s="45"/>
      <c r="Y41" s="290"/>
      <c r="Z41" s="260"/>
      <c r="AA41" s="260"/>
      <c r="AB41" s="291"/>
      <c r="AC41" s="45"/>
      <c r="AD41" s="290"/>
      <c r="AE41" s="260"/>
      <c r="AF41" s="260"/>
      <c r="AG41" s="291"/>
      <c r="AH41" s="45"/>
      <c r="AI41" s="290"/>
      <c r="AJ41" s="260"/>
      <c r="AK41" s="260"/>
      <c r="AL41" s="291"/>
      <c r="AM41" s="45"/>
      <c r="AN41" s="290"/>
      <c r="AO41" s="260"/>
      <c r="AP41" s="260"/>
      <c r="AQ41" s="291"/>
      <c r="AR41" s="45"/>
      <c r="AS41" s="290"/>
      <c r="AT41" s="260"/>
      <c r="AU41" s="260"/>
      <c r="AV41" s="291"/>
      <c r="AW41" s="45"/>
      <c r="AX41" s="290"/>
      <c r="AY41" s="260"/>
      <c r="AZ41" s="260"/>
      <c r="BA41" s="291"/>
      <c r="BB41" s="45"/>
      <c r="BC41" s="290"/>
      <c r="BD41" s="260"/>
      <c r="BE41" s="260"/>
      <c r="BF41" s="291"/>
      <c r="BG41" s="45"/>
      <c r="BH41" s="290"/>
      <c r="BI41" s="260"/>
      <c r="BJ41" s="260"/>
      <c r="BK41" s="291"/>
      <c r="BL41" s="45"/>
      <c r="BM41" s="45"/>
      <c r="BN41" s="45"/>
      <c r="BO41" s="45"/>
      <c r="BP41" s="45"/>
      <c r="BQ41" s="45"/>
      <c r="BR41" s="45"/>
      <c r="BS41" s="45"/>
      <c r="BT41" s="45"/>
      <c r="BU41" s="45"/>
      <c r="BV41" s="45"/>
      <c r="BW41" s="45"/>
      <c r="BX41" s="45"/>
      <c r="BY41" s="45"/>
      <c r="BZ41" s="45"/>
      <c r="CA41" s="45"/>
      <c r="CB41" s="45"/>
      <c r="CC41" s="45"/>
      <c r="CD41" s="45"/>
      <c r="CE41" s="45"/>
      <c r="CF41" s="45"/>
      <c r="CG41" s="45"/>
      <c r="CH41" s="45"/>
      <c r="CI41" s="45"/>
      <c r="CJ41" s="45"/>
      <c r="CK41" s="45"/>
      <c r="CL41" s="45"/>
      <c r="CM41" s="45"/>
      <c r="CN41" s="45"/>
      <c r="CO41" s="45"/>
      <c r="CP41" s="45"/>
    </row>
    <row r="42" spans="1:94">
      <c r="A42" s="45"/>
      <c r="B42" s="45"/>
      <c r="C42" s="895" t="s">
        <v>95</v>
      </c>
      <c r="D42" s="45"/>
      <c r="E42" s="290"/>
      <c r="F42" s="260"/>
      <c r="G42" s="260"/>
      <c r="H42" s="291"/>
      <c r="I42" s="45">
        <f>EXC!N49</f>
        <v>661</v>
      </c>
      <c r="J42" s="290">
        <f>EXC!O49</f>
        <v>662</v>
      </c>
      <c r="K42" s="260">
        <f>EXC!P49</f>
        <v>663</v>
      </c>
      <c r="L42" s="260">
        <f>EXC!Q49</f>
        <v>663</v>
      </c>
      <c r="M42" s="291">
        <f>EXC!R49</f>
        <v>664</v>
      </c>
      <c r="N42" s="45">
        <f>EXC!S49</f>
        <v>663</v>
      </c>
      <c r="O42" s="290">
        <f>EXC!T49</f>
        <v>705</v>
      </c>
      <c r="P42" s="260">
        <f>EXC!U49</f>
        <v>853</v>
      </c>
      <c r="Q42" s="260">
        <f>EXC!V49</f>
        <v>854</v>
      </c>
      <c r="R42" s="291">
        <f>EXC!W49</f>
        <v>816</v>
      </c>
      <c r="S42" s="45">
        <f>EXC!X49</f>
        <v>816</v>
      </c>
      <c r="T42" s="290">
        <f>EXC!Y49</f>
        <v>855</v>
      </c>
      <c r="U42" s="260">
        <f>EXC!Z49</f>
        <v>856</v>
      </c>
      <c r="V42" s="260">
        <f>EXC!AA49</f>
        <v>857</v>
      </c>
      <c r="W42" s="291">
        <f>EXC!AB49</f>
        <v>857</v>
      </c>
      <c r="X42" s="45">
        <f>EXC!AC49</f>
        <v>856</v>
      </c>
      <c r="Y42" s="290">
        <f>EXC!AD49</f>
        <v>858</v>
      </c>
      <c r="Z42" s="260">
        <f>EXC!AE49</f>
        <v>860</v>
      </c>
      <c r="AA42" s="260">
        <f>EXC!AF49</f>
        <v>861</v>
      </c>
      <c r="AB42" s="291">
        <f>EXC!AG49</f>
        <v>861</v>
      </c>
      <c r="AC42" s="45">
        <f>EXC!AH49</f>
        <v>860</v>
      </c>
      <c r="AD42" s="290">
        <f>EXC!AI49</f>
        <v>862</v>
      </c>
      <c r="AE42" s="260">
        <f>EXC!AJ49</f>
        <v>863</v>
      </c>
      <c r="AF42" s="260">
        <f>EXC!AK49</f>
        <v>913</v>
      </c>
      <c r="AG42" s="291">
        <f>EXC!AL49</f>
        <v>921</v>
      </c>
      <c r="AH42" s="45">
        <f>EXC!AM49</f>
        <v>890</v>
      </c>
      <c r="AI42" s="290">
        <f>EXC!AN49</f>
        <v>923</v>
      </c>
      <c r="AJ42" s="260">
        <f>EXC!AO49</f>
        <v>924</v>
      </c>
      <c r="AK42" s="260">
        <f>EXC!AP49</f>
        <v>925</v>
      </c>
      <c r="AL42" s="291">
        <f>EXC!AQ49</f>
        <v>925</v>
      </c>
      <c r="AM42" s="45">
        <f>EXC!AR49</f>
        <v>924</v>
      </c>
      <c r="AN42" s="290">
        <f>EXC!AS49</f>
        <v>928</v>
      </c>
      <c r="AO42" s="260">
        <f>EXC!AT49</f>
        <v>934</v>
      </c>
      <c r="AP42" s="260">
        <f>EXC!AU49</f>
        <v>962</v>
      </c>
      <c r="AQ42" s="291">
        <f>EXC!AV49</f>
        <v>964</v>
      </c>
      <c r="AR42" s="45">
        <f>EXC!AW49</f>
        <v>947</v>
      </c>
      <c r="AS42" s="290">
        <f>EXC!AX49</f>
        <v>963</v>
      </c>
      <c r="AT42" s="260">
        <f>EXC!AY49</f>
        <v>963</v>
      </c>
      <c r="AU42" s="260">
        <f>EXC!AZ49</f>
        <v>963</v>
      </c>
      <c r="AV42" s="291">
        <f>EXC!BA49</f>
        <v>963</v>
      </c>
      <c r="AW42" s="45">
        <f>EXC!BB49</f>
        <v>963</v>
      </c>
      <c r="AX42" s="290">
        <f>EXC!BC49</f>
        <v>963</v>
      </c>
      <c r="AY42" s="260">
        <f>EXC!BD49</f>
        <v>963</v>
      </c>
      <c r="AZ42" s="260">
        <f>EXC!BE49</f>
        <v>963</v>
      </c>
      <c r="BA42" s="291">
        <f>EXC!BF49</f>
        <v>963</v>
      </c>
      <c r="BB42" s="45">
        <f>EXC!BG49</f>
        <v>963</v>
      </c>
      <c r="BC42" s="290">
        <f>EXC!BH49</f>
        <v>963</v>
      </c>
      <c r="BD42" s="260">
        <f>EXC!BI49</f>
        <v>963</v>
      </c>
      <c r="BE42" s="260">
        <f>EXC!BJ49</f>
        <v>963</v>
      </c>
      <c r="BF42" s="291">
        <f>EXC!BK49</f>
        <v>963</v>
      </c>
      <c r="BG42" s="45">
        <f>EXC!BL49</f>
        <v>963</v>
      </c>
      <c r="BH42" s="290">
        <f>EXC!BM49</f>
        <v>963</v>
      </c>
      <c r="BI42" s="260">
        <f>EXC!BN49</f>
        <v>963</v>
      </c>
      <c r="BJ42" s="260">
        <f>EXC!BO49</f>
        <v>963</v>
      </c>
      <c r="BK42" s="291">
        <f>EXC!BP49</f>
        <v>963</v>
      </c>
      <c r="BL42" s="45">
        <f>EXC!BQ49</f>
        <v>963</v>
      </c>
      <c r="BM42" s="45"/>
      <c r="BN42" s="45"/>
      <c r="BO42" s="45"/>
      <c r="BP42" s="45"/>
      <c r="BQ42" s="45"/>
      <c r="BR42" s="45"/>
      <c r="BS42" s="45"/>
      <c r="BT42" s="45"/>
      <c r="BU42" s="45"/>
      <c r="BV42" s="45"/>
      <c r="BW42" s="45"/>
      <c r="BX42" s="45"/>
      <c r="BY42" s="45"/>
      <c r="BZ42" s="45"/>
      <c r="CA42" s="45"/>
      <c r="CB42" s="45"/>
      <c r="CC42" s="45"/>
      <c r="CD42" s="45"/>
      <c r="CE42" s="45"/>
      <c r="CF42" s="45"/>
      <c r="CG42" s="45"/>
      <c r="CH42" s="45"/>
      <c r="CI42" s="45"/>
      <c r="CJ42" s="45"/>
      <c r="CK42" s="45"/>
      <c r="CL42" s="45"/>
      <c r="CM42" s="45"/>
      <c r="CN42" s="45"/>
      <c r="CO42" s="45"/>
      <c r="CP42" s="45"/>
    </row>
    <row r="43" spans="1:94">
      <c r="A43" s="45"/>
      <c r="B43" s="45"/>
      <c r="C43" s="895" t="s">
        <v>109</v>
      </c>
      <c r="D43" s="45"/>
      <c r="E43" s="290"/>
      <c r="F43" s="260"/>
      <c r="G43" s="260"/>
      <c r="H43" s="291"/>
      <c r="I43" s="45">
        <f>EXC!N50</f>
        <v>663</v>
      </c>
      <c r="J43" s="290">
        <f>EXC!O50</f>
        <v>664</v>
      </c>
      <c r="K43" s="260">
        <f>EXC!P50</f>
        <v>664</v>
      </c>
      <c r="L43" s="260">
        <f>EXC!Q50</f>
        <v>665</v>
      </c>
      <c r="M43" s="291">
        <f>EXC!R50</f>
        <v>666</v>
      </c>
      <c r="N43" s="45">
        <f>EXC!S50</f>
        <v>665</v>
      </c>
      <c r="O43" s="290">
        <f>EXC!T50</f>
        <v>707</v>
      </c>
      <c r="P43" s="260">
        <f>EXC!U50</f>
        <v>856</v>
      </c>
      <c r="Q43" s="260">
        <f>EXC!V50</f>
        <v>857</v>
      </c>
      <c r="R43" s="291">
        <f>EXC!W50</f>
        <v>819</v>
      </c>
      <c r="S43" s="45">
        <f>EXC!X50</f>
        <v>819</v>
      </c>
      <c r="T43" s="290">
        <f>EXC!Y50</f>
        <v>855</v>
      </c>
      <c r="U43" s="260">
        <f>EXC!Z50</f>
        <v>860</v>
      </c>
      <c r="V43" s="260">
        <f>EXC!AA50</f>
        <v>860</v>
      </c>
      <c r="W43" s="291">
        <f>EXC!AB50</f>
        <v>861</v>
      </c>
      <c r="X43" s="45">
        <f>EXC!AC50</f>
        <v>860</v>
      </c>
      <c r="Y43" s="290">
        <f>EXC!AD50</f>
        <v>861</v>
      </c>
      <c r="Z43" s="260">
        <f>EXC!AE50</f>
        <v>864</v>
      </c>
      <c r="AA43" s="260">
        <f>EXC!AF50</f>
        <v>863</v>
      </c>
      <c r="AB43" s="291">
        <f>EXC!AG50</f>
        <v>868</v>
      </c>
      <c r="AC43" s="45">
        <f>EXC!AH50</f>
        <v>864</v>
      </c>
      <c r="AD43" s="290">
        <f>EXC!AI50</f>
        <v>867</v>
      </c>
      <c r="AE43" s="260">
        <f>EXC!AJ50</f>
        <v>864</v>
      </c>
      <c r="AF43" s="260">
        <f>EXC!AK50</f>
        <v>915</v>
      </c>
      <c r="AG43" s="291">
        <f>EXC!AL50</f>
        <v>924</v>
      </c>
      <c r="AH43" s="45">
        <f>EXC!AM50</f>
        <v>893</v>
      </c>
      <c r="AI43" s="290">
        <f>EXC!AN50</f>
        <v>925</v>
      </c>
      <c r="AJ43" s="260">
        <f>EXC!AO50</f>
        <v>926</v>
      </c>
      <c r="AK43" s="260">
        <f>EXC!AP50</f>
        <v>927</v>
      </c>
      <c r="AL43" s="291">
        <f>EXC!AQ50</f>
        <v>928</v>
      </c>
      <c r="AM43" s="45">
        <f>EXC!AR50</f>
        <v>927</v>
      </c>
      <c r="AN43" s="290">
        <f>EXC!AS50</f>
        <v>930</v>
      </c>
      <c r="AO43" s="260">
        <f>EXC!AT50</f>
        <v>936</v>
      </c>
      <c r="AP43" s="260">
        <f>EXC!AU50</f>
        <v>965</v>
      </c>
      <c r="AQ43" s="291">
        <f>EXC!AV50</f>
        <v>967</v>
      </c>
      <c r="AR43" s="45">
        <f>EXC!AW50</f>
        <v>949</v>
      </c>
      <c r="AS43" s="290">
        <f>EXC!AX50</f>
        <v>966</v>
      </c>
      <c r="AT43" s="260">
        <f>EXC!AY50</f>
        <v>966</v>
      </c>
      <c r="AU43" s="260">
        <f>EXC!AZ50</f>
        <v>966</v>
      </c>
      <c r="AV43" s="291">
        <f>EXC!BA50</f>
        <v>966</v>
      </c>
      <c r="AW43" s="45">
        <f>EXC!BB50</f>
        <v>966</v>
      </c>
      <c r="AX43" s="290">
        <f>EXC!BC50</f>
        <v>966</v>
      </c>
      <c r="AY43" s="260">
        <f>EXC!BD50</f>
        <v>966</v>
      </c>
      <c r="AZ43" s="260">
        <f>EXC!BE50</f>
        <v>966</v>
      </c>
      <c r="BA43" s="291">
        <f>EXC!BF50</f>
        <v>966</v>
      </c>
      <c r="BB43" s="45">
        <f>EXC!BG50</f>
        <v>966</v>
      </c>
      <c r="BC43" s="290">
        <f>EXC!BH50</f>
        <v>966</v>
      </c>
      <c r="BD43" s="260">
        <f>EXC!BI50</f>
        <v>966</v>
      </c>
      <c r="BE43" s="260">
        <f>EXC!BJ50</f>
        <v>966</v>
      </c>
      <c r="BF43" s="291">
        <f>EXC!BK50</f>
        <v>966</v>
      </c>
      <c r="BG43" s="45">
        <f>EXC!BL50</f>
        <v>966</v>
      </c>
      <c r="BH43" s="290">
        <f>EXC!BM50</f>
        <v>966</v>
      </c>
      <c r="BI43" s="260">
        <f>EXC!BN50</f>
        <v>966</v>
      </c>
      <c r="BJ43" s="260">
        <f>EXC!BO50</f>
        <v>966</v>
      </c>
      <c r="BK43" s="291">
        <f>EXC!BP50</f>
        <v>966</v>
      </c>
      <c r="BL43" s="45">
        <f>EXC!BQ50</f>
        <v>966</v>
      </c>
      <c r="BM43" s="45"/>
      <c r="BN43" s="45"/>
      <c r="BO43" s="45"/>
      <c r="BP43" s="45"/>
      <c r="BQ43" s="45"/>
      <c r="BR43" s="45"/>
      <c r="BS43" s="45"/>
      <c r="BT43" s="45"/>
      <c r="BU43" s="45"/>
      <c r="BV43" s="45"/>
      <c r="BW43" s="45"/>
      <c r="BX43" s="45"/>
      <c r="BY43" s="45"/>
      <c r="BZ43" s="45"/>
      <c r="CA43" s="45"/>
      <c r="CB43" s="45"/>
      <c r="CC43" s="45"/>
      <c r="CD43" s="45"/>
      <c r="CE43" s="45"/>
      <c r="CF43" s="45"/>
      <c r="CG43" s="45"/>
      <c r="CH43" s="45"/>
      <c r="CI43" s="45"/>
      <c r="CJ43" s="45"/>
      <c r="CK43" s="45"/>
      <c r="CL43" s="45"/>
      <c r="CM43" s="45"/>
      <c r="CN43" s="45"/>
      <c r="CO43" s="45"/>
      <c r="CP43" s="45"/>
    </row>
    <row r="44" spans="1:94">
      <c r="A44" s="45"/>
      <c r="B44" s="45"/>
      <c r="C44" s="228"/>
      <c r="D44" s="45"/>
      <c r="E44" s="290"/>
      <c r="F44" s="260"/>
      <c r="G44" s="260"/>
      <c r="H44" s="291"/>
      <c r="I44" s="45"/>
      <c r="J44" s="290"/>
      <c r="K44" s="260"/>
      <c r="L44" s="260"/>
      <c r="M44" s="291"/>
      <c r="N44" s="45"/>
      <c r="O44" s="290"/>
      <c r="P44" s="260"/>
      <c r="Q44" s="260"/>
      <c r="R44" s="291"/>
      <c r="S44" s="45"/>
      <c r="T44" s="290"/>
      <c r="U44" s="260"/>
      <c r="V44" s="260"/>
      <c r="W44" s="291"/>
      <c r="X44" s="45"/>
      <c r="Y44" s="290"/>
      <c r="Z44" s="260"/>
      <c r="AA44" s="260"/>
      <c r="AB44" s="291"/>
      <c r="AC44" s="45"/>
      <c r="AD44" s="290"/>
      <c r="AE44" s="260"/>
      <c r="AF44" s="260"/>
      <c r="AG44" s="291"/>
      <c r="AH44" s="45"/>
      <c r="AI44" s="290"/>
      <c r="AJ44" s="260"/>
      <c r="AK44" s="260"/>
      <c r="AL44" s="291"/>
      <c r="AM44" s="45"/>
      <c r="AN44" s="290"/>
      <c r="AO44" s="260"/>
      <c r="AP44" s="260"/>
      <c r="AQ44" s="291"/>
      <c r="AR44" s="45"/>
      <c r="AS44" s="290"/>
      <c r="AT44" s="260"/>
      <c r="AU44" s="260"/>
      <c r="AV44" s="291"/>
      <c r="AW44" s="45"/>
      <c r="AX44" s="290"/>
      <c r="AY44" s="260"/>
      <c r="AZ44" s="260"/>
      <c r="BA44" s="291"/>
      <c r="BB44" s="45"/>
      <c r="BC44" s="290"/>
      <c r="BD44" s="260"/>
      <c r="BE44" s="260"/>
      <c r="BF44" s="291"/>
      <c r="BG44" s="45"/>
      <c r="BH44" s="290"/>
      <c r="BI44" s="260"/>
      <c r="BJ44" s="260"/>
      <c r="BK44" s="291"/>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row>
    <row r="45" spans="1:94">
      <c r="A45" s="895"/>
      <c r="B45" s="895"/>
      <c r="C45" s="895" t="s">
        <v>447</v>
      </c>
      <c r="D45" s="895"/>
      <c r="E45" s="1687"/>
      <c r="F45" s="1688"/>
      <c r="G45" s="1688"/>
      <c r="H45" s="1689"/>
      <c r="I45" s="1690">
        <f t="shared" ref="I45:AW45" si="67">+I38/I43</f>
        <v>6.7873303167420809E-2</v>
      </c>
      <c r="J45" s="1687">
        <f t="shared" si="67"/>
        <v>3.463855421686747E-2</v>
      </c>
      <c r="K45" s="1688">
        <f t="shared" si="67"/>
        <v>3.313253012048193E-2</v>
      </c>
      <c r="L45" s="1688">
        <f t="shared" si="67"/>
        <v>1.6541353383458645E-2</v>
      </c>
      <c r="M45" s="1689">
        <f t="shared" si="67"/>
        <v>2.2522522522522521E-2</v>
      </c>
      <c r="N45" s="1690">
        <f t="shared" si="67"/>
        <v>0.10676691729323308</v>
      </c>
      <c r="O45" s="1687">
        <f t="shared" si="67"/>
        <v>2.9702970297029702E-2</v>
      </c>
      <c r="P45" s="1688">
        <f t="shared" si="67"/>
        <v>1.5186915887850467E-2</v>
      </c>
      <c r="Q45" s="1688">
        <f t="shared" si="67"/>
        <v>2.5670945157526253E-2</v>
      </c>
      <c r="R45" s="1689">
        <f t="shared" si="67"/>
        <v>2.0757020757020756E-2</v>
      </c>
      <c r="S45" s="1690">
        <f t="shared" si="67"/>
        <v>8.9133089133089136E-2</v>
      </c>
      <c r="T45" s="1687">
        <f t="shared" si="67"/>
        <v>3.0409356725146199E-2</v>
      </c>
      <c r="U45" s="1688">
        <f t="shared" si="67"/>
        <v>1.3953488372093023E-2</v>
      </c>
      <c r="V45" s="1688">
        <f t="shared" si="67"/>
        <v>2.6744186046511628E-2</v>
      </c>
      <c r="W45" s="1689">
        <f t="shared" si="67"/>
        <v>3.2520325203252036E-2</v>
      </c>
      <c r="X45" s="1690">
        <f t="shared" si="67"/>
        <v>0.10348837209302325</v>
      </c>
      <c r="Y45" s="1687">
        <f t="shared" si="67"/>
        <v>4.2973286875725901E-2</v>
      </c>
      <c r="Z45" s="1688">
        <f t="shared" si="67"/>
        <v>2.1990740740740741E-2</v>
      </c>
      <c r="AA45" s="1688">
        <f t="shared" ref="AA45:AE45" si="68">+AA38/AA43</f>
        <v>2.6651216685979143E-2</v>
      </c>
      <c r="AB45" s="1689">
        <f t="shared" si="68"/>
        <v>2.880184331797235E-2</v>
      </c>
      <c r="AC45" s="1690">
        <f t="shared" si="68"/>
        <v>0.12037037037037036</v>
      </c>
      <c r="AD45" s="1687">
        <f t="shared" si="68"/>
        <v>3.690888119953864E-2</v>
      </c>
      <c r="AE45" s="1688">
        <f t="shared" si="68"/>
        <v>9.2592592592592587E-3</v>
      </c>
      <c r="AF45" s="1688">
        <f t="shared" ref="AF45:AJ45" si="69">+AF38/AF43</f>
        <v>1.6393442622950821E-2</v>
      </c>
      <c r="AG45" s="1689">
        <f t="shared" si="69"/>
        <v>2.2727272727272728E-2</v>
      </c>
      <c r="AH45" s="1690">
        <f t="shared" si="69"/>
        <v>8.5106382978723402E-2</v>
      </c>
      <c r="AI45" s="1687">
        <f t="shared" si="69"/>
        <v>-7.7837837837837834E-2</v>
      </c>
      <c r="AJ45" s="1688">
        <f t="shared" si="69"/>
        <v>1.2958963282937365E-2</v>
      </c>
      <c r="AK45" s="1688">
        <f t="shared" ref="AK45:AO45" si="70">+AK38/AK43</f>
        <v>4.7464940668824167E-2</v>
      </c>
      <c r="AL45" s="1689">
        <f t="shared" si="70"/>
        <v>7.5431034482758624E-3</v>
      </c>
      <c r="AM45" s="1690">
        <f t="shared" si="70"/>
        <v>-9.7087378640776691E-3</v>
      </c>
      <c r="AN45" s="1687">
        <f t="shared" si="70"/>
        <v>6.1290322580645158E-2</v>
      </c>
      <c r="AO45" s="1688">
        <f t="shared" si="70"/>
        <v>2.02991452991453E-2</v>
      </c>
      <c r="AP45" s="1688">
        <f t="shared" ref="AP45:AR45" si="71">+AP38/AP43</f>
        <v>3.2124352331606217E-2</v>
      </c>
      <c r="AQ45" s="1689">
        <f t="shared" si="71"/>
        <v>1.4477766287487074E-2</v>
      </c>
      <c r="AR45" s="1690">
        <f t="shared" si="71"/>
        <v>0.12750263435194942</v>
      </c>
      <c r="AS45" s="1687">
        <f t="shared" si="67"/>
        <v>4.8160914954981614E-2</v>
      </c>
      <c r="AT45" s="1688">
        <f t="shared" ca="1" si="67"/>
        <v>1.9440854360048505E-2</v>
      </c>
      <c r="AU45" s="1688">
        <f t="shared" ca="1" si="67"/>
        <v>3.6996922820670464E-2</v>
      </c>
      <c r="AV45" s="1689">
        <f t="shared" ca="1" si="67"/>
        <v>2.5806641507481583E-2</v>
      </c>
      <c r="AW45" s="1690">
        <f t="shared" ca="1" si="67"/>
        <v>0.13040533364318216</v>
      </c>
      <c r="AX45" s="1687">
        <f t="shared" ref="AX45:BG45" ca="1" si="72">+AX38/AX43</f>
        <v>4.944446218294013E-2</v>
      </c>
      <c r="AY45" s="1688">
        <f t="shared" ca="1" si="72"/>
        <v>1.9017577376607683E-2</v>
      </c>
      <c r="AZ45" s="1688">
        <f t="shared" ca="1" si="72"/>
        <v>3.7674621754813717E-2</v>
      </c>
      <c r="BA45" s="1689">
        <f t="shared" ca="1" si="72"/>
        <v>2.7082323823875494E-2</v>
      </c>
      <c r="BB45" s="1690">
        <f t="shared" ca="1" si="72"/>
        <v>0.13321898513823704</v>
      </c>
      <c r="BC45" s="1687">
        <f t="shared" ca="1" si="72"/>
        <v>5.1122915714999904E-2</v>
      </c>
      <c r="BD45" s="1688">
        <f t="shared" ca="1" si="72"/>
        <v>2.1254557570087981E-2</v>
      </c>
      <c r="BE45" s="1688">
        <f t="shared" ca="1" si="72"/>
        <v>3.8742698105707074E-2</v>
      </c>
      <c r="BF45" s="1689">
        <f t="shared" ca="1" si="72"/>
        <v>2.8621014800787298E-2</v>
      </c>
      <c r="BG45" s="1690">
        <f t="shared" ca="1" si="72"/>
        <v>0.13974118619158246</v>
      </c>
      <c r="BH45" s="1687">
        <f t="shared" ref="BH45:BL45" ca="1" si="73">+BH38/BH43</f>
        <v>5.1960228838475224E-2</v>
      </c>
      <c r="BI45" s="1688">
        <f t="shared" ca="1" si="73"/>
        <v>2.2255452014904559E-2</v>
      </c>
      <c r="BJ45" s="1688">
        <f t="shared" ca="1" si="73"/>
        <v>3.9675725762880198E-2</v>
      </c>
      <c r="BK45" s="1689">
        <f t="shared" ca="1" si="73"/>
        <v>2.9961047975112239E-2</v>
      </c>
      <c r="BL45" s="1690">
        <f t="shared" ca="1" si="73"/>
        <v>0.14385245459137208</v>
      </c>
      <c r="BM45" s="895"/>
      <c r="BN45" s="895"/>
      <c r="BO45" s="895"/>
      <c r="BP45" s="895"/>
      <c r="BQ45" s="895"/>
      <c r="BR45" s="895"/>
      <c r="BS45" s="895"/>
      <c r="BT45" s="895"/>
      <c r="BU45" s="895"/>
      <c r="BV45" s="895"/>
      <c r="BW45" s="895"/>
      <c r="BX45" s="895"/>
      <c r="BY45" s="895"/>
      <c r="BZ45" s="895"/>
      <c r="CA45" s="895"/>
      <c r="CB45" s="895"/>
      <c r="CC45" s="895"/>
      <c r="CD45" s="895"/>
      <c r="CE45" s="895"/>
      <c r="CF45" s="895"/>
      <c r="CG45" s="895"/>
      <c r="CH45" s="895"/>
      <c r="CI45" s="895"/>
      <c r="CJ45" s="895"/>
      <c r="CK45" s="895"/>
      <c r="CL45" s="895"/>
      <c r="CM45" s="895"/>
      <c r="CN45" s="895"/>
      <c r="CO45" s="895"/>
      <c r="CP45" s="895"/>
    </row>
    <row r="46" spans="1:94">
      <c r="A46" s="895"/>
      <c r="B46" s="895"/>
      <c r="C46" s="1691" t="s">
        <v>445</v>
      </c>
      <c r="D46" s="1692"/>
      <c r="E46" s="1693"/>
      <c r="F46" s="1693"/>
      <c r="G46" s="1693"/>
      <c r="H46" s="1694"/>
      <c r="I46" s="1695">
        <f t="shared" ref="I46:AW46" si="74">+I40/I43</f>
        <v>6.7873303167420809E-2</v>
      </c>
      <c r="J46" s="1696">
        <f t="shared" si="74"/>
        <v>3.463855421686747E-2</v>
      </c>
      <c r="K46" s="1693">
        <f t="shared" si="74"/>
        <v>3.313253012048193E-2</v>
      </c>
      <c r="L46" s="1693">
        <f t="shared" si="74"/>
        <v>1.6541353383458645E-2</v>
      </c>
      <c r="M46" s="1694">
        <f t="shared" si="74"/>
        <v>2.2522522522522521E-2</v>
      </c>
      <c r="N46" s="1695">
        <f t="shared" si="74"/>
        <v>0.10676691729323308</v>
      </c>
      <c r="O46" s="1696">
        <f t="shared" si="74"/>
        <v>2.9702970297029702E-2</v>
      </c>
      <c r="P46" s="1693">
        <f t="shared" si="74"/>
        <v>1.5186915887850467E-2</v>
      </c>
      <c r="Q46" s="1693">
        <f t="shared" si="74"/>
        <v>2.5670945157526253E-2</v>
      </c>
      <c r="R46" s="1694">
        <f t="shared" si="74"/>
        <v>2.0757020757020756E-2</v>
      </c>
      <c r="S46" s="1695">
        <f t="shared" si="74"/>
        <v>8.9133089133089136E-2</v>
      </c>
      <c r="T46" s="1696">
        <f t="shared" si="74"/>
        <v>3.0409356725146199E-2</v>
      </c>
      <c r="U46" s="1693">
        <f t="shared" si="74"/>
        <v>1.3953488372093023E-2</v>
      </c>
      <c r="V46" s="1693">
        <f t="shared" si="74"/>
        <v>2.6744186046511628E-2</v>
      </c>
      <c r="W46" s="1694">
        <f t="shared" si="74"/>
        <v>3.2520325203252036E-2</v>
      </c>
      <c r="X46" s="1695">
        <f t="shared" si="74"/>
        <v>0.10348837209302325</v>
      </c>
      <c r="Y46" s="1696">
        <f t="shared" si="74"/>
        <v>4.2973286875725901E-2</v>
      </c>
      <c r="Z46" s="1693">
        <f t="shared" si="74"/>
        <v>2.1990740740740741E-2</v>
      </c>
      <c r="AA46" s="1693">
        <f t="shared" ref="AA46:AE46" si="75">+AA40/AA43</f>
        <v>2.6651216685979143E-2</v>
      </c>
      <c r="AB46" s="1694">
        <f t="shared" si="75"/>
        <v>2.880184331797235E-2</v>
      </c>
      <c r="AC46" s="1695">
        <f t="shared" si="75"/>
        <v>0.12037037037037036</v>
      </c>
      <c r="AD46" s="1696">
        <f t="shared" si="75"/>
        <v>3.690888119953864E-2</v>
      </c>
      <c r="AE46" s="1693">
        <f t="shared" si="75"/>
        <v>9.2592592592592587E-3</v>
      </c>
      <c r="AF46" s="1693">
        <f t="shared" ref="AF46:AJ46" si="76">+AF40/AF43</f>
        <v>1.6393442622950821E-2</v>
      </c>
      <c r="AG46" s="1694">
        <f t="shared" si="76"/>
        <v>2.2727272727272728E-2</v>
      </c>
      <c r="AH46" s="1695">
        <f t="shared" si="76"/>
        <v>8.5106382978723402E-2</v>
      </c>
      <c r="AI46" s="1696">
        <f t="shared" si="76"/>
        <v>-7.7837837837837834E-2</v>
      </c>
      <c r="AJ46" s="1693">
        <f t="shared" si="76"/>
        <v>1.2958963282937365E-2</v>
      </c>
      <c r="AK46" s="1693">
        <f t="shared" ref="AK46:AO46" si="77">+AK40/AK43</f>
        <v>4.7464940668824167E-2</v>
      </c>
      <c r="AL46" s="1694">
        <f t="shared" si="77"/>
        <v>7.5431034482758624E-3</v>
      </c>
      <c r="AM46" s="1695">
        <f t="shared" si="77"/>
        <v>-9.7087378640776691E-3</v>
      </c>
      <c r="AN46" s="1696">
        <f t="shared" si="77"/>
        <v>6.1290322580645158E-2</v>
      </c>
      <c r="AO46" s="1693">
        <f t="shared" si="77"/>
        <v>2.02991452991453E-2</v>
      </c>
      <c r="AP46" s="1693">
        <f t="shared" ref="AP46:AR46" si="78">+AP40/AP43</f>
        <v>3.2124352331606217E-2</v>
      </c>
      <c r="AQ46" s="1694">
        <f t="shared" si="78"/>
        <v>1.4477766287487074E-2</v>
      </c>
      <c r="AR46" s="1695">
        <f t="shared" si="78"/>
        <v>0.12750263435194942</v>
      </c>
      <c r="AS46" s="1696">
        <f t="shared" si="74"/>
        <v>4.8160914954981614E-2</v>
      </c>
      <c r="AT46" s="1693">
        <f t="shared" ca="1" si="74"/>
        <v>1.9440854360048505E-2</v>
      </c>
      <c r="AU46" s="1693">
        <f t="shared" ca="1" si="74"/>
        <v>3.6996922820670464E-2</v>
      </c>
      <c r="AV46" s="1694">
        <f t="shared" ca="1" si="74"/>
        <v>2.5806641507481583E-2</v>
      </c>
      <c r="AW46" s="1695">
        <f t="shared" ca="1" si="74"/>
        <v>0.13040533364318216</v>
      </c>
      <c r="AX46" s="1696">
        <f t="shared" ref="AX46:BG46" ca="1" si="79">+AX40/AX43</f>
        <v>4.944446218294013E-2</v>
      </c>
      <c r="AY46" s="1693">
        <f t="shared" ca="1" si="79"/>
        <v>1.9017577376607683E-2</v>
      </c>
      <c r="AZ46" s="1693">
        <f t="shared" ca="1" si="79"/>
        <v>3.7674621754813717E-2</v>
      </c>
      <c r="BA46" s="1694">
        <f t="shared" ca="1" si="79"/>
        <v>2.7082323823875494E-2</v>
      </c>
      <c r="BB46" s="1695">
        <f t="shared" ca="1" si="79"/>
        <v>0.13321898513823704</v>
      </c>
      <c r="BC46" s="1696">
        <f t="shared" ca="1" si="79"/>
        <v>5.1122915714999904E-2</v>
      </c>
      <c r="BD46" s="1693">
        <f t="shared" ca="1" si="79"/>
        <v>2.1254557570087981E-2</v>
      </c>
      <c r="BE46" s="1693">
        <f t="shared" ca="1" si="79"/>
        <v>3.8742698105707074E-2</v>
      </c>
      <c r="BF46" s="1694">
        <f t="shared" ca="1" si="79"/>
        <v>2.8621014800787298E-2</v>
      </c>
      <c r="BG46" s="1695">
        <f t="shared" ca="1" si="79"/>
        <v>0.13974118619158246</v>
      </c>
      <c r="BH46" s="1696">
        <f t="shared" ref="BH46:BL46" ca="1" si="80">+BH40/BH43</f>
        <v>5.1960228838475224E-2</v>
      </c>
      <c r="BI46" s="1693">
        <f t="shared" ca="1" si="80"/>
        <v>2.2255452014904559E-2</v>
      </c>
      <c r="BJ46" s="1693">
        <f t="shared" ca="1" si="80"/>
        <v>3.9675725762880198E-2</v>
      </c>
      <c r="BK46" s="1694">
        <f t="shared" ca="1" si="80"/>
        <v>2.9961047975112239E-2</v>
      </c>
      <c r="BL46" s="1697">
        <f t="shared" ca="1" si="80"/>
        <v>0.14385245459137208</v>
      </c>
      <c r="BM46" s="895"/>
      <c r="BN46" s="895"/>
      <c r="BO46" s="895"/>
      <c r="BP46" s="895"/>
      <c r="BQ46" s="895"/>
      <c r="BR46" s="895"/>
      <c r="BS46" s="895"/>
      <c r="BT46" s="895"/>
      <c r="BU46" s="895"/>
      <c r="BV46" s="895"/>
      <c r="BW46" s="895"/>
      <c r="BX46" s="895"/>
      <c r="BY46" s="895"/>
      <c r="BZ46" s="895"/>
      <c r="CA46" s="895"/>
      <c r="CB46" s="895"/>
      <c r="CC46" s="895"/>
      <c r="CD46" s="895"/>
      <c r="CE46" s="895"/>
      <c r="CF46" s="895"/>
      <c r="CG46" s="895"/>
      <c r="CH46" s="895"/>
      <c r="CI46" s="895"/>
      <c r="CJ46" s="895"/>
      <c r="CK46" s="895"/>
      <c r="CL46" s="895"/>
      <c r="CM46" s="895"/>
      <c r="CN46" s="895"/>
      <c r="CO46" s="895"/>
      <c r="CP46" s="895"/>
    </row>
    <row r="47" spans="1:94">
      <c r="A47" s="1698"/>
      <c r="B47" s="1698"/>
      <c r="C47" s="1699" t="s">
        <v>309</v>
      </c>
      <c r="D47" s="895"/>
      <c r="E47" s="905"/>
      <c r="F47" s="906"/>
      <c r="G47" s="906"/>
      <c r="H47" s="907"/>
      <c r="I47" s="1703"/>
      <c r="J47" s="905"/>
      <c r="K47" s="906"/>
      <c r="L47" s="906"/>
      <c r="M47" s="907"/>
      <c r="N47" s="1703">
        <f t="shared" ref="N47:AA47" si="81">N46/I46-1</f>
        <v>0.57303258145363412</v>
      </c>
      <c r="O47" s="905">
        <f t="shared" si="81"/>
        <v>-0.14248816185966429</v>
      </c>
      <c r="P47" s="906">
        <f t="shared" si="81"/>
        <v>-0.5416312659303314</v>
      </c>
      <c r="Q47" s="906">
        <f t="shared" si="81"/>
        <v>0.55192532088681445</v>
      </c>
      <c r="R47" s="907">
        <f t="shared" si="81"/>
        <v>-7.8388278388278332E-2</v>
      </c>
      <c r="S47" s="1703">
        <f t="shared" si="81"/>
        <v>-0.16516191164078486</v>
      </c>
      <c r="T47" s="905">
        <f t="shared" si="81"/>
        <v>2.3781676413255459E-2</v>
      </c>
      <c r="U47" s="906">
        <f t="shared" si="81"/>
        <v>-8.1216457960644028E-2</v>
      </c>
      <c r="V47" s="906">
        <f t="shared" si="81"/>
        <v>4.1807610993657596E-2</v>
      </c>
      <c r="W47" s="907">
        <f t="shared" si="81"/>
        <v>0.56671449067431867</v>
      </c>
      <c r="X47" s="1703">
        <f t="shared" si="81"/>
        <v>0.16105447594775391</v>
      </c>
      <c r="Y47" s="905">
        <f t="shared" si="81"/>
        <v>0.41316001072098629</v>
      </c>
      <c r="Z47" s="906">
        <f t="shared" si="81"/>
        <v>0.57600308641975317</v>
      </c>
      <c r="AA47" s="906">
        <f t="shared" si="81"/>
        <v>-3.4762456546928444E-3</v>
      </c>
      <c r="AB47" s="907">
        <f t="shared" ref="AB47" si="82">AB46/W46-1</f>
        <v>-0.11434331797235031</v>
      </c>
      <c r="AC47" s="1703">
        <f t="shared" ref="AC47" si="83">AC46/X46-1</f>
        <v>0.16312942155638788</v>
      </c>
      <c r="AD47" s="905"/>
      <c r="AE47" s="906"/>
      <c r="AF47" s="906"/>
      <c r="AG47" s="907"/>
      <c r="AH47" s="1703">
        <f>AH46/AC46-1</f>
        <v>-0.292962356792144</v>
      </c>
      <c r="AI47" s="905"/>
      <c r="AJ47" s="906"/>
      <c r="AK47" s="906"/>
      <c r="AL47" s="907"/>
      <c r="AM47" s="1703">
        <f>AM46/AH46-1</f>
        <v>-1.1140776699029127</v>
      </c>
      <c r="AN47" s="905"/>
      <c r="AO47" s="906"/>
      <c r="AP47" s="906"/>
      <c r="AQ47" s="907"/>
      <c r="AR47" s="1703">
        <f>AR46/AM46-1</f>
        <v>-14.132771338250791</v>
      </c>
      <c r="AS47" s="905"/>
      <c r="AT47" s="906"/>
      <c r="AU47" s="906"/>
      <c r="AV47" s="907"/>
      <c r="AW47" s="1703">
        <f ca="1">AW46/AR46-1</f>
        <v>2.2765798573387341E-2</v>
      </c>
      <c r="AX47" s="905"/>
      <c r="AY47" s="906"/>
      <c r="AZ47" s="906"/>
      <c r="BA47" s="907"/>
      <c r="BB47" s="1703">
        <f ca="1">BB46/AW46-1</f>
        <v>2.157619950387657E-2</v>
      </c>
      <c r="BC47" s="905"/>
      <c r="BD47" s="906"/>
      <c r="BE47" s="906"/>
      <c r="BF47" s="907"/>
      <c r="BG47" s="1703">
        <f ca="1">BG46/BB46-1</f>
        <v>4.8958495266853586E-2</v>
      </c>
      <c r="BH47" s="905"/>
      <c r="BI47" s="906"/>
      <c r="BJ47" s="906"/>
      <c r="BK47" s="907"/>
      <c r="BL47" s="1703">
        <f ca="1">BL46/BG46-1</f>
        <v>2.9420591822894249E-2</v>
      </c>
      <c r="BM47" s="1698"/>
      <c r="BN47" s="1698"/>
      <c r="BO47" s="1698"/>
      <c r="BP47" s="1698"/>
      <c r="BQ47" s="1698"/>
      <c r="BR47" s="1698"/>
      <c r="BS47" s="1698"/>
      <c r="BT47" s="1698"/>
      <c r="BU47" s="1698"/>
      <c r="BV47" s="1704"/>
      <c r="BW47" s="1704"/>
      <c r="BX47" s="1704"/>
      <c r="BY47" s="1704"/>
      <c r="BZ47" s="1704"/>
      <c r="CA47" s="1704"/>
      <c r="CB47" s="1704"/>
      <c r="CC47" s="1704"/>
      <c r="CD47" s="1704"/>
      <c r="CE47" s="1704"/>
      <c r="CF47" s="1704"/>
      <c r="CG47" s="1704"/>
      <c r="CH47" s="1704"/>
      <c r="CI47" s="1704"/>
      <c r="CJ47" s="1704"/>
      <c r="CK47" s="1704"/>
      <c r="CL47" s="1704"/>
      <c r="CM47" s="1704"/>
      <c r="CN47" s="1704"/>
      <c r="CO47" s="1704"/>
      <c r="CP47" s="1704"/>
    </row>
    <row r="48" spans="1:94">
      <c r="A48" s="1698"/>
      <c r="B48" s="1698"/>
      <c r="C48" s="1699"/>
      <c r="D48" s="895"/>
      <c r="E48" s="905"/>
      <c r="F48" s="906"/>
      <c r="G48" s="906"/>
      <c r="H48" s="907"/>
      <c r="I48" s="1703"/>
      <c r="J48" s="905"/>
      <c r="K48" s="906"/>
      <c r="L48" s="906"/>
      <c r="M48" s="907"/>
      <c r="N48" s="1703"/>
      <c r="O48" s="905"/>
      <c r="P48" s="906"/>
      <c r="Q48" s="906"/>
      <c r="R48" s="907"/>
      <c r="S48" s="1703"/>
      <c r="T48" s="905"/>
      <c r="U48" s="906"/>
      <c r="V48" s="906"/>
      <c r="W48" s="907"/>
      <c r="X48" s="1703"/>
      <c r="Y48" s="905"/>
      <c r="Z48" s="906"/>
      <c r="AA48" s="906"/>
      <c r="AB48" s="907"/>
      <c r="AC48" s="1703"/>
      <c r="AD48" s="905"/>
      <c r="AE48" s="906"/>
      <c r="AF48" s="906"/>
      <c r="AG48" s="907"/>
      <c r="AH48" s="1703"/>
      <c r="AI48" s="905"/>
      <c r="AJ48" s="906"/>
      <c r="AK48" s="906"/>
      <c r="AL48" s="907"/>
      <c r="AM48" s="1703"/>
      <c r="AN48" s="905"/>
      <c r="AO48" s="906"/>
      <c r="AP48" s="906"/>
      <c r="AQ48" s="907"/>
      <c r="AR48" s="1703"/>
      <c r="AS48" s="905"/>
      <c r="AT48" s="906"/>
      <c r="AU48" s="906"/>
      <c r="AV48" s="907"/>
      <c r="AW48" s="1703"/>
      <c r="AX48" s="905"/>
      <c r="AY48" s="906"/>
      <c r="AZ48" s="906"/>
      <c r="BA48" s="907"/>
      <c r="BB48" s="1703"/>
      <c r="BC48" s="905"/>
      <c r="BD48" s="906"/>
      <c r="BE48" s="906"/>
      <c r="BF48" s="907"/>
      <c r="BG48" s="1703"/>
      <c r="BH48" s="905"/>
      <c r="BI48" s="906"/>
      <c r="BJ48" s="906"/>
      <c r="BK48" s="907"/>
      <c r="BL48" s="1703"/>
      <c r="BM48" s="1698"/>
      <c r="BN48" s="1698"/>
      <c r="BO48" s="1698"/>
      <c r="BP48" s="1698"/>
      <c r="BQ48" s="1698"/>
      <c r="BR48" s="1698"/>
      <c r="BS48" s="1698"/>
      <c r="BT48" s="1698"/>
      <c r="BU48" s="1698"/>
      <c r="BV48" s="1704"/>
      <c r="BW48" s="1704"/>
      <c r="BX48" s="1704"/>
      <c r="BY48" s="1704"/>
      <c r="BZ48" s="1704"/>
      <c r="CA48" s="1704"/>
      <c r="CB48" s="1704"/>
      <c r="CC48" s="1704"/>
      <c r="CD48" s="1704"/>
      <c r="CE48" s="1704"/>
      <c r="CF48" s="1704"/>
      <c r="CG48" s="1704"/>
      <c r="CH48" s="1704"/>
      <c r="CI48" s="1704"/>
      <c r="CJ48" s="1704"/>
      <c r="CK48" s="1704"/>
      <c r="CL48" s="1704"/>
      <c r="CM48" s="1704"/>
      <c r="CN48" s="1704"/>
      <c r="CO48" s="1704"/>
      <c r="CP48" s="1704"/>
    </row>
    <row r="49" spans="1:94">
      <c r="A49" s="890"/>
      <c r="B49" s="1681" t="s">
        <v>369</v>
      </c>
      <c r="C49" s="1682"/>
      <c r="D49" s="1683"/>
      <c r="E49" s="891"/>
      <c r="F49" s="892"/>
      <c r="G49" s="892"/>
      <c r="H49" s="893"/>
      <c r="I49" s="894"/>
      <c r="J49" s="891"/>
      <c r="K49" s="892"/>
      <c r="L49" s="892"/>
      <c r="M49" s="893"/>
      <c r="N49" s="894"/>
      <c r="O49" s="891"/>
      <c r="P49" s="892"/>
      <c r="Q49" s="892"/>
      <c r="R49" s="893"/>
      <c r="S49" s="894"/>
      <c r="T49" s="891"/>
      <c r="U49" s="892"/>
      <c r="V49" s="892"/>
      <c r="W49" s="893"/>
      <c r="X49" s="894"/>
      <c r="Y49" s="891"/>
      <c r="Z49" s="892"/>
      <c r="AA49" s="892"/>
      <c r="AB49" s="893"/>
      <c r="AC49" s="894"/>
      <c r="AD49" s="891"/>
      <c r="AE49" s="892"/>
      <c r="AF49" s="892"/>
      <c r="AG49" s="893"/>
      <c r="AH49" s="894"/>
      <c r="AI49" s="891"/>
      <c r="AJ49" s="892"/>
      <c r="AK49" s="892"/>
      <c r="AL49" s="893"/>
      <c r="AM49" s="894"/>
      <c r="AN49" s="891"/>
      <c r="AO49" s="892"/>
      <c r="AP49" s="892"/>
      <c r="AQ49" s="893"/>
      <c r="AR49" s="894"/>
      <c r="AS49" s="891"/>
      <c r="AT49" s="892"/>
      <c r="AU49" s="892"/>
      <c r="AV49" s="893"/>
      <c r="AW49" s="894"/>
      <c r="AX49" s="891"/>
      <c r="AY49" s="892"/>
      <c r="AZ49" s="892"/>
      <c r="BA49" s="893"/>
      <c r="BB49" s="894"/>
      <c r="BC49" s="891"/>
      <c r="BD49" s="892"/>
      <c r="BE49" s="892"/>
      <c r="BF49" s="893"/>
      <c r="BG49" s="894"/>
      <c r="BH49" s="891"/>
      <c r="BI49" s="892"/>
      <c r="BJ49" s="892"/>
      <c r="BK49" s="893"/>
      <c r="BL49" s="894"/>
      <c r="BM49" s="890"/>
      <c r="BN49" s="890"/>
      <c r="BO49" s="890"/>
      <c r="BP49" s="890"/>
      <c r="BQ49" s="890"/>
      <c r="BR49" s="890"/>
      <c r="BS49" s="890"/>
      <c r="BT49" s="890"/>
      <c r="BU49" s="890"/>
      <c r="BV49" s="890"/>
      <c r="BW49" s="890"/>
      <c r="BX49" s="890"/>
      <c r="BY49" s="890"/>
      <c r="BZ49" s="890"/>
      <c r="CA49" s="890"/>
      <c r="CB49" s="890"/>
      <c r="CC49" s="890"/>
      <c r="CD49" s="890"/>
      <c r="CE49" s="890"/>
      <c r="CF49" s="890"/>
      <c r="CG49" s="890"/>
      <c r="CH49" s="890"/>
      <c r="CI49" s="890"/>
      <c r="CJ49" s="890"/>
      <c r="CK49" s="890"/>
      <c r="CL49" s="890"/>
      <c r="CM49" s="890"/>
      <c r="CN49" s="890"/>
      <c r="CO49" s="890"/>
      <c r="CP49" s="890"/>
    </row>
    <row r="50" spans="1:94">
      <c r="A50" s="890"/>
      <c r="B50" s="890"/>
      <c r="C50" s="1705" t="s">
        <v>753</v>
      </c>
      <c r="D50" s="1706"/>
      <c r="E50" s="1707"/>
      <c r="F50" s="1708"/>
      <c r="G50" s="1708"/>
      <c r="H50" s="1709"/>
      <c r="I50" s="1710"/>
      <c r="J50" s="1707"/>
      <c r="K50" s="1708"/>
      <c r="L50" s="1708"/>
      <c r="M50" s="1709"/>
      <c r="N50" s="1710">
        <f t="shared" ref="N50:Z50" si="84">+N76</f>
        <v>-1.2837469851396555E-2</v>
      </c>
      <c r="O50" s="1707">
        <f t="shared" si="84"/>
        <v>-7.0512820512820484E-2</v>
      </c>
      <c r="P50" s="1708">
        <f t="shared" si="84"/>
        <v>-1.2533875338753386E-2</v>
      </c>
      <c r="Q50" s="1708">
        <f t="shared" si="84"/>
        <v>5.5100310822266074E-2</v>
      </c>
      <c r="R50" s="1709">
        <f t="shared" si="84"/>
        <v>8.9010612803834821E-3</v>
      </c>
      <c r="S50" s="1710">
        <f t="shared" si="84"/>
        <v>-3.7042875157629052E-3</v>
      </c>
      <c r="T50" s="1707">
        <f t="shared" si="84"/>
        <v>9.3596059113300489E-2</v>
      </c>
      <c r="U50" s="1708">
        <f t="shared" si="84"/>
        <v>-1.0977701543739227E-2</v>
      </c>
      <c r="V50" s="1708">
        <f t="shared" si="84"/>
        <v>-0.11810391001606857</v>
      </c>
      <c r="W50" s="1709">
        <f t="shared" si="84"/>
        <v>4.0719375636240063E-3</v>
      </c>
      <c r="X50" s="1710">
        <f t="shared" si="84"/>
        <v>-1.3922949133771012E-2</v>
      </c>
      <c r="Y50" s="1707">
        <f t="shared" si="84"/>
        <v>-3.6036036036035668E-3</v>
      </c>
      <c r="Z50" s="1708">
        <f t="shared" si="84"/>
        <v>2.4627124523066257E-2</v>
      </c>
      <c r="AA50" s="1708">
        <f t="shared" ref="AA50:AE50" si="85">+AA76</f>
        <v>-2.2168235651381707E-2</v>
      </c>
      <c r="AB50" s="1709">
        <f t="shared" si="85"/>
        <v>-1.2842176410949646E-2</v>
      </c>
      <c r="AC50" s="1710">
        <f t="shared" si="85"/>
        <v>-4.1716807059767325E-3</v>
      </c>
      <c r="AD50" s="1707">
        <f t="shared" si="85"/>
        <v>5.3044002411090974E-2</v>
      </c>
      <c r="AE50" s="1708">
        <f t="shared" si="85"/>
        <v>-3.4529451591063021E-2</v>
      </c>
      <c r="AF50" s="1708">
        <f t="shared" ref="AF50:AJ50" si="86">+AF76</f>
        <v>3.6335403726708071E-2</v>
      </c>
      <c r="AG50" s="1709">
        <f t="shared" si="86"/>
        <v>-4.4505306401917188E-2</v>
      </c>
      <c r="AH50" s="1710">
        <f t="shared" si="86"/>
        <v>4.9142028518489589E-3</v>
      </c>
      <c r="AI50" s="1707">
        <f t="shared" si="86"/>
        <v>-0.11505437893531767</v>
      </c>
      <c r="AJ50" s="1708">
        <f t="shared" si="86"/>
        <v>-3.7166900420757321E-2</v>
      </c>
      <c r="AK50" s="1708">
        <f t="shared" ref="AK50:AO50" si="87">+AK76</f>
        <v>4.9145939466586741E-2</v>
      </c>
      <c r="AL50" s="1709">
        <f t="shared" si="87"/>
        <v>3.5829451809388235E-3</v>
      </c>
      <c r="AM50" s="1710">
        <f t="shared" si="87"/>
        <v>-2.6775693442360082E-2</v>
      </c>
      <c r="AN50" s="1707">
        <f t="shared" si="87"/>
        <v>-4.0426908150064667E-2</v>
      </c>
      <c r="AO50" s="1708">
        <f t="shared" si="87"/>
        <v>-1.1653313911143437E-2</v>
      </c>
      <c r="AP50" s="1708">
        <f t="shared" ref="AP50:AR50" si="88">+AP76</f>
        <v>-4.8843187660668419E-2</v>
      </c>
      <c r="AQ50" s="1709">
        <f t="shared" si="88"/>
        <v>2.2848982506247673E-2</v>
      </c>
      <c r="AR50" s="1710">
        <f t="shared" si="88"/>
        <v>-2.1746293245469506E-2</v>
      </c>
      <c r="AS50" s="1707">
        <f>+AW50</f>
        <v>0</v>
      </c>
      <c r="AT50" s="1708">
        <f>+AW50</f>
        <v>0</v>
      </c>
      <c r="AU50" s="1708">
        <f>+AW50</f>
        <v>0</v>
      </c>
      <c r="AV50" s="1709">
        <f>+AW50</f>
        <v>0</v>
      </c>
      <c r="AW50" s="1711">
        <v>0</v>
      </c>
      <c r="AX50" s="1707">
        <f>+BB50</f>
        <v>0</v>
      </c>
      <c r="AY50" s="1708">
        <f>+BB50</f>
        <v>0</v>
      </c>
      <c r="AZ50" s="1708">
        <f>+BB50</f>
        <v>0</v>
      </c>
      <c r="BA50" s="1709">
        <f>+BB50</f>
        <v>0</v>
      </c>
      <c r="BB50" s="1711">
        <v>0</v>
      </c>
      <c r="BC50" s="2020">
        <f>+BG50</f>
        <v>0</v>
      </c>
      <c r="BD50" s="2021">
        <f>+BG50</f>
        <v>0</v>
      </c>
      <c r="BE50" s="2021">
        <f>+BG50</f>
        <v>0</v>
      </c>
      <c r="BF50" s="2022">
        <f>+BG50</f>
        <v>0</v>
      </c>
      <c r="BG50" s="1711">
        <v>0</v>
      </c>
      <c r="BH50" s="2020">
        <f>+BL50</f>
        <v>0</v>
      </c>
      <c r="BI50" s="2021">
        <f>+BL50</f>
        <v>0</v>
      </c>
      <c r="BJ50" s="2021">
        <f>+BL50</f>
        <v>0</v>
      </c>
      <c r="BK50" s="2022">
        <f>+BL50</f>
        <v>0</v>
      </c>
      <c r="BL50" s="2279">
        <f>+BG50</f>
        <v>0</v>
      </c>
      <c r="BM50" s="890"/>
      <c r="BN50" s="890"/>
      <c r="BO50" s="890"/>
      <c r="BP50" s="890"/>
      <c r="BQ50" s="890"/>
      <c r="BR50" s="890"/>
      <c r="BS50" s="890"/>
      <c r="BT50" s="890"/>
      <c r="BU50" s="890"/>
      <c r="BV50" s="890"/>
      <c r="BW50" s="890"/>
      <c r="BX50" s="890"/>
      <c r="BY50" s="890"/>
      <c r="BZ50" s="890"/>
      <c r="CA50" s="890"/>
      <c r="CB50" s="890"/>
      <c r="CC50" s="890"/>
      <c r="CD50" s="890"/>
      <c r="CE50" s="890"/>
      <c r="CF50" s="890"/>
      <c r="CG50" s="890"/>
      <c r="CH50" s="890"/>
      <c r="CI50" s="890"/>
      <c r="CJ50" s="890"/>
      <c r="CK50" s="890"/>
      <c r="CL50" s="890"/>
      <c r="CM50" s="890"/>
      <c r="CN50" s="890"/>
      <c r="CO50" s="890"/>
      <c r="CP50" s="890"/>
    </row>
    <row r="51" spans="1:94">
      <c r="A51" s="890"/>
      <c r="B51" s="890"/>
      <c r="C51" s="1712" t="s">
        <v>1266</v>
      </c>
      <c r="D51" s="890"/>
      <c r="E51" s="1700"/>
      <c r="F51" s="1337"/>
      <c r="G51" s="1337"/>
      <c r="H51" s="1701"/>
      <c r="I51" s="1713"/>
      <c r="J51" s="1700"/>
      <c r="K51" s="1337"/>
      <c r="L51" s="1337"/>
      <c r="M51" s="1701"/>
      <c r="N51" s="1713">
        <f t="shared" ref="N51:Z51" si="89">+N102</f>
        <v>0.16426620312887996</v>
      </c>
      <c r="O51" s="1700">
        <f t="shared" si="89"/>
        <v>-0.25255555555555553</v>
      </c>
      <c r="P51" s="1337">
        <f t="shared" si="89"/>
        <v>-0.33333333333333337</v>
      </c>
      <c r="Q51" s="1337">
        <f t="shared" si="89"/>
        <v>0.43133903133903129</v>
      </c>
      <c r="R51" s="1701">
        <f t="shared" si="89"/>
        <v>0.1154230846169233</v>
      </c>
      <c r="S51" s="1713">
        <f t="shared" si="89"/>
        <v>-0.1033912765276741</v>
      </c>
      <c r="T51" s="1700">
        <f t="shared" si="89"/>
        <v>0.27322729299836479</v>
      </c>
      <c r="U51" s="1337">
        <f t="shared" si="89"/>
        <v>0.47449999999999992</v>
      </c>
      <c r="V51" s="1337">
        <f t="shared" si="89"/>
        <v>-0.11464968152866239</v>
      </c>
      <c r="W51" s="1701">
        <f t="shared" si="89"/>
        <v>8.6441893830702998E-2</v>
      </c>
      <c r="X51" s="1713">
        <f t="shared" si="89"/>
        <v>0.17728218852215294</v>
      </c>
      <c r="Y51" s="1700">
        <f t="shared" si="89"/>
        <v>0.14255691768826617</v>
      </c>
      <c r="Z51" s="1337">
        <f t="shared" si="89"/>
        <v>0.13597829772804348</v>
      </c>
      <c r="AA51" s="1337">
        <f t="shared" ref="AA51:AE51" si="90">+AA102</f>
        <v>-0.10071942446043169</v>
      </c>
      <c r="AB51" s="1701">
        <f t="shared" si="90"/>
        <v>-2.6906569825024707E-2</v>
      </c>
      <c r="AC51" s="1713">
        <f t="shared" si="90"/>
        <v>6.2386340674883911E-2</v>
      </c>
      <c r="AD51" s="1700">
        <f t="shared" si="90"/>
        <v>4.2611894543225004E-2</v>
      </c>
      <c r="AE51" s="1337">
        <f t="shared" si="90"/>
        <v>-0.111044776119403</v>
      </c>
      <c r="AF51" s="1337">
        <f>+AF102</f>
        <v>0.12749999999999995</v>
      </c>
      <c r="AG51" s="1701">
        <f t="shared" ref="AG51:AJ51" si="91">+AG102</f>
        <v>-0.22425784563189144</v>
      </c>
      <c r="AH51" s="1713">
        <f t="shared" si="91"/>
        <v>-4.8594931291902399E-2</v>
      </c>
      <c r="AI51" s="1700">
        <f t="shared" si="91"/>
        <v>-0.21317259629520724</v>
      </c>
      <c r="AJ51" s="1337">
        <f t="shared" si="91"/>
        <v>0.13935527199462716</v>
      </c>
      <c r="AK51" s="1337">
        <f>+AK102</f>
        <v>1.4190687361419041E-2</v>
      </c>
      <c r="AL51" s="1701">
        <f t="shared" ref="AL51:AO51" si="92">+AL102</f>
        <v>0.27574896129455495</v>
      </c>
      <c r="AM51" s="1713">
        <f t="shared" si="92"/>
        <v>-2.3339497226248174E-2</v>
      </c>
      <c r="AN51" s="1700">
        <f t="shared" si="92"/>
        <v>8.9686098654708779E-3</v>
      </c>
      <c r="AO51" s="1337">
        <f t="shared" si="92"/>
        <v>-0.11494252873563215</v>
      </c>
      <c r="AP51" s="1337">
        <f t="shared" ref="AP51:AR51" si="93">+AP102</f>
        <v>-9.1823349365981466E-3</v>
      </c>
      <c r="AQ51" s="1701">
        <f t="shared" si="93"/>
        <v>7.5762769969146326E-2</v>
      </c>
      <c r="AR51" s="1713">
        <f t="shared" si="93"/>
        <v>5.2706990072663995E-3</v>
      </c>
      <c r="AS51" s="1700">
        <f>+AT51</f>
        <v>0</v>
      </c>
      <c r="AT51" s="1337">
        <f>+AU51</f>
        <v>0</v>
      </c>
      <c r="AU51" s="1337">
        <f>+AV51</f>
        <v>0</v>
      </c>
      <c r="AV51" s="1701">
        <f>+AW51</f>
        <v>0</v>
      </c>
      <c r="AW51" s="1714">
        <v>0</v>
      </c>
      <c r="AX51" s="1700">
        <f>+AY51</f>
        <v>0</v>
      </c>
      <c r="AY51" s="1337">
        <f>+AZ51</f>
        <v>0</v>
      </c>
      <c r="AZ51" s="1337">
        <f>+BA51</f>
        <v>0</v>
      </c>
      <c r="BA51" s="1701">
        <f>+BB51</f>
        <v>0</v>
      </c>
      <c r="BB51" s="1714">
        <f>+AW51</f>
        <v>0</v>
      </c>
      <c r="BC51" s="2023">
        <f>+BD51</f>
        <v>0</v>
      </c>
      <c r="BD51" s="2024">
        <f>+BE51</f>
        <v>0</v>
      </c>
      <c r="BE51" s="2024">
        <f>+BF51</f>
        <v>0</v>
      </c>
      <c r="BF51" s="2025">
        <f>+BG51</f>
        <v>0</v>
      </c>
      <c r="BG51" s="1714">
        <f>+BB51</f>
        <v>0</v>
      </c>
      <c r="BH51" s="2023">
        <f>+BI51</f>
        <v>0</v>
      </c>
      <c r="BI51" s="2024">
        <f>+BJ51</f>
        <v>0</v>
      </c>
      <c r="BJ51" s="2024">
        <f>+BK51</f>
        <v>0</v>
      </c>
      <c r="BK51" s="2025">
        <f>+BL51</f>
        <v>0</v>
      </c>
      <c r="BL51" s="2278">
        <f>+BG51</f>
        <v>0</v>
      </c>
      <c r="BM51" s="890"/>
      <c r="BN51" s="890"/>
      <c r="BO51" s="890"/>
      <c r="BP51" s="890"/>
      <c r="BQ51" s="890"/>
      <c r="BR51" s="890"/>
      <c r="BS51" s="890"/>
      <c r="BT51" s="890"/>
      <c r="BU51" s="890"/>
      <c r="BV51" s="890"/>
      <c r="BW51" s="890"/>
      <c r="BX51" s="890"/>
      <c r="BY51" s="890"/>
      <c r="BZ51" s="890"/>
      <c r="CA51" s="890"/>
      <c r="CB51" s="890"/>
      <c r="CC51" s="890"/>
      <c r="CD51" s="890"/>
      <c r="CE51" s="890"/>
      <c r="CF51" s="890"/>
      <c r="CG51" s="890"/>
      <c r="CH51" s="890"/>
      <c r="CI51" s="890"/>
      <c r="CJ51" s="890"/>
      <c r="CK51" s="890"/>
      <c r="CL51" s="890"/>
      <c r="CM51" s="890"/>
      <c r="CN51" s="890"/>
      <c r="CO51" s="890"/>
      <c r="CP51" s="890"/>
    </row>
    <row r="52" spans="1:94">
      <c r="A52" s="890"/>
      <c r="B52" s="890"/>
      <c r="C52" s="1712"/>
      <c r="D52" s="890"/>
      <c r="E52" s="1700"/>
      <c r="F52" s="1337"/>
      <c r="G52" s="1337"/>
      <c r="H52" s="1701"/>
      <c r="I52" s="1713"/>
      <c r="J52" s="1700"/>
      <c r="K52" s="1337"/>
      <c r="L52" s="1337"/>
      <c r="M52" s="1701"/>
      <c r="N52" s="1714"/>
      <c r="O52" s="1700"/>
      <c r="P52" s="1337"/>
      <c r="Q52" s="1337"/>
      <c r="R52" s="1701"/>
      <c r="S52" s="1714"/>
      <c r="T52" s="1700"/>
      <c r="U52" s="1337"/>
      <c r="V52" s="1337"/>
      <c r="W52" s="1701"/>
      <c r="X52" s="1714"/>
      <c r="Y52" s="1700"/>
      <c r="Z52" s="1337"/>
      <c r="AA52" s="1337"/>
      <c r="AB52" s="1701"/>
      <c r="AC52" s="1714"/>
      <c r="AD52" s="1700"/>
      <c r="AE52" s="1337"/>
      <c r="AF52" s="1337"/>
      <c r="AG52" s="1701"/>
      <c r="AH52" s="1714"/>
      <c r="AI52" s="1700"/>
      <c r="AJ52" s="1337"/>
      <c r="AK52" s="1337"/>
      <c r="AL52" s="1701"/>
      <c r="AM52" s="1714"/>
      <c r="AN52" s="1700"/>
      <c r="AO52" s="1337"/>
      <c r="AP52" s="1337"/>
      <c r="AQ52" s="1701"/>
      <c r="AR52" s="1714"/>
      <c r="AS52" s="1700"/>
      <c r="AT52" s="1337"/>
      <c r="AU52" s="1337"/>
      <c r="AV52" s="1701"/>
      <c r="AW52" s="1714"/>
      <c r="AX52" s="1700"/>
      <c r="AY52" s="1337"/>
      <c r="AZ52" s="1337"/>
      <c r="BA52" s="1701"/>
      <c r="BB52" s="1714"/>
      <c r="BC52" s="2023"/>
      <c r="BD52" s="2024"/>
      <c r="BE52" s="2024"/>
      <c r="BF52" s="2025"/>
      <c r="BG52" s="1714"/>
      <c r="BH52" s="2023"/>
      <c r="BI52" s="2024"/>
      <c r="BJ52" s="2024"/>
      <c r="BK52" s="2025"/>
      <c r="BL52" s="1715"/>
      <c r="BM52" s="890"/>
      <c r="BN52" s="890"/>
      <c r="BO52" s="890"/>
      <c r="BP52" s="890"/>
      <c r="BQ52" s="890"/>
      <c r="BR52" s="890"/>
      <c r="BS52" s="890"/>
      <c r="BT52" s="890"/>
      <c r="BU52" s="890"/>
      <c r="BV52" s="890"/>
      <c r="BW52" s="890"/>
      <c r="BX52" s="890"/>
      <c r="BY52" s="890"/>
      <c r="BZ52" s="890"/>
      <c r="CA52" s="890"/>
      <c r="CB52" s="890"/>
      <c r="CC52" s="890"/>
      <c r="CD52" s="890"/>
      <c r="CE52" s="890"/>
      <c r="CF52" s="890"/>
      <c r="CG52" s="890"/>
      <c r="CH52" s="890"/>
      <c r="CI52" s="890"/>
      <c r="CJ52" s="890"/>
      <c r="CK52" s="890"/>
      <c r="CL52" s="890"/>
      <c r="CM52" s="890"/>
      <c r="CN52" s="890"/>
      <c r="CO52" s="890"/>
      <c r="CP52" s="890"/>
    </row>
    <row r="53" spans="1:94">
      <c r="A53" s="1716"/>
      <c r="B53" s="1716"/>
      <c r="C53" s="679" t="s">
        <v>727</v>
      </c>
      <c r="D53" s="1716"/>
      <c r="E53" s="1717"/>
      <c r="F53" s="1718"/>
      <c r="G53" s="1718"/>
      <c r="H53" s="1719"/>
      <c r="I53" s="1716"/>
      <c r="J53" s="616"/>
      <c r="K53" s="617"/>
      <c r="L53" s="617"/>
      <c r="M53" s="656"/>
      <c r="N53" s="1720"/>
      <c r="O53" s="616"/>
      <c r="P53" s="617"/>
      <c r="Q53" s="617"/>
      <c r="R53" s="656"/>
      <c r="S53" s="1720"/>
      <c r="T53" s="1721"/>
      <c r="U53" s="1722"/>
      <c r="V53" s="617"/>
      <c r="W53" s="656"/>
      <c r="X53" s="1720"/>
      <c r="Y53" s="1721"/>
      <c r="Z53" s="1722"/>
      <c r="AA53" s="617"/>
      <c r="AB53" s="656"/>
      <c r="AC53" s="1714"/>
      <c r="AD53" s="1721"/>
      <c r="AE53" s="1722"/>
      <c r="AF53" s="617"/>
      <c r="AG53" s="656"/>
      <c r="AH53" s="1714"/>
      <c r="AI53" s="1721"/>
      <c r="AJ53" s="1722"/>
      <c r="AK53" s="617"/>
      <c r="AL53" s="656"/>
      <c r="AM53" s="1714"/>
      <c r="AN53" s="1721"/>
      <c r="AO53" s="617"/>
      <c r="AP53" s="617"/>
      <c r="AQ53" s="656"/>
      <c r="AR53" s="1714"/>
      <c r="AS53" s="616">
        <f>(AR53/4)+(13.4/12)+(-40/4)</f>
        <v>-8.8833333333333329</v>
      </c>
      <c r="AT53" s="2018">
        <f>13.4/4+(-40/4)</f>
        <v>-6.65</v>
      </c>
      <c r="AU53" s="617">
        <f>13.4/4+(-40/4)</f>
        <v>-6.65</v>
      </c>
      <c r="AV53" s="656">
        <f>13.4/4+(-40/4)</f>
        <v>-6.65</v>
      </c>
      <c r="AW53" s="1720">
        <f>SUM(AS53:AV53)</f>
        <v>-28.833333333333336</v>
      </c>
      <c r="AX53" s="616">
        <f>13.4/12*2</f>
        <v>2.2333333333333334</v>
      </c>
      <c r="AY53" s="617">
        <f>BB53/4</f>
        <v>0</v>
      </c>
      <c r="AZ53" s="617">
        <f>BB53/4</f>
        <v>0</v>
      </c>
      <c r="BA53" s="656">
        <f>BB53/4</f>
        <v>0</v>
      </c>
      <c r="BB53" s="2059">
        <v>0</v>
      </c>
      <c r="BC53" s="616">
        <f>BB53/4</f>
        <v>0</v>
      </c>
      <c r="BD53" s="617">
        <f>BB53/4</f>
        <v>0</v>
      </c>
      <c r="BE53" s="617">
        <f>BG53/4</f>
        <v>0</v>
      </c>
      <c r="BF53" s="656">
        <f>BG53/4</f>
        <v>0</v>
      </c>
      <c r="BG53" s="2059">
        <v>0</v>
      </c>
      <c r="BH53" s="616">
        <f>BG53/4</f>
        <v>0</v>
      </c>
      <c r="BI53" s="617">
        <f>BG53/4</f>
        <v>0</v>
      </c>
      <c r="BJ53" s="617">
        <f>BL53/4</f>
        <v>0</v>
      </c>
      <c r="BK53" s="656">
        <f>BL53/4</f>
        <v>0</v>
      </c>
      <c r="BL53" s="2280">
        <f>+BG53</f>
        <v>0</v>
      </c>
      <c r="BM53" s="890"/>
      <c r="BN53" s="1716"/>
      <c r="BO53" s="1716"/>
      <c r="BP53" s="1716"/>
      <c r="BQ53" s="1716"/>
      <c r="BR53" s="1716"/>
      <c r="BS53" s="1716"/>
      <c r="BT53" s="1716"/>
      <c r="BU53" s="1716"/>
      <c r="BV53" s="1716"/>
      <c r="BW53" s="1716"/>
      <c r="BX53" s="1716"/>
      <c r="BY53" s="1716"/>
      <c r="BZ53" s="1716"/>
      <c r="CA53" s="1716"/>
      <c r="CB53" s="1716"/>
      <c r="CC53" s="1716"/>
      <c r="CD53" s="1716"/>
      <c r="CE53" s="1716"/>
      <c r="CF53" s="1716"/>
      <c r="CG53" s="1716"/>
      <c r="CH53" s="1716"/>
      <c r="CI53" s="1716"/>
      <c r="CJ53" s="1716"/>
      <c r="CK53" s="1716"/>
      <c r="CL53" s="1716"/>
      <c r="CM53" s="1716"/>
      <c r="CN53" s="1716"/>
      <c r="CO53" s="1716"/>
      <c r="CP53" s="1716"/>
    </row>
    <row r="54" spans="1:94">
      <c r="A54" s="1716"/>
      <c r="B54" s="1716"/>
      <c r="C54" s="679" t="s">
        <v>754</v>
      </c>
      <c r="D54" s="1716"/>
      <c r="E54" s="1717"/>
      <c r="F54" s="1718"/>
      <c r="G54" s="1718"/>
      <c r="H54" s="1719"/>
      <c r="I54" s="1716"/>
      <c r="J54" s="616"/>
      <c r="K54" s="617"/>
      <c r="L54" s="617"/>
      <c r="M54" s="656"/>
      <c r="N54" s="1720"/>
      <c r="O54" s="616"/>
      <c r="P54" s="617"/>
      <c r="Q54" s="617"/>
      <c r="R54" s="656"/>
      <c r="S54" s="1720"/>
      <c r="T54" s="616"/>
      <c r="U54" s="617"/>
      <c r="V54" s="617"/>
      <c r="W54" s="656"/>
      <c r="X54" s="1720"/>
      <c r="Y54" s="616"/>
      <c r="Z54" s="617"/>
      <c r="AA54" s="617"/>
      <c r="AB54" s="656"/>
      <c r="AC54" s="1714"/>
      <c r="AD54" s="616"/>
      <c r="AE54" s="617"/>
      <c r="AF54" s="617"/>
      <c r="AG54" s="656"/>
      <c r="AH54" s="1714"/>
      <c r="AI54" s="616"/>
      <c r="AJ54" s="617"/>
      <c r="AK54" s="617"/>
      <c r="AL54" s="656"/>
      <c r="AM54" s="1714"/>
      <c r="AN54" s="616"/>
      <c r="AO54" s="617"/>
      <c r="AP54" s="617"/>
      <c r="AQ54" s="656"/>
      <c r="AR54" s="1714"/>
      <c r="AS54" s="616">
        <f>AR54/4</f>
        <v>0</v>
      </c>
      <c r="AT54" s="617">
        <f>AR54/4</f>
        <v>0</v>
      </c>
      <c r="AU54" s="617">
        <f>AW54/4</f>
        <v>0.78749999999999998</v>
      </c>
      <c r="AV54" s="656">
        <f>AW54/4</f>
        <v>0.78749999999999998</v>
      </c>
      <c r="AW54" s="1720">
        <f>12.6*0.25</f>
        <v>3.15</v>
      </c>
      <c r="AX54" s="616">
        <f>AW54/4</f>
        <v>0.78749999999999998</v>
      </c>
      <c r="AY54" s="617">
        <f>AW54/4</f>
        <v>0.78749999999999998</v>
      </c>
      <c r="AZ54" s="617">
        <f>BB54/4</f>
        <v>1.25</v>
      </c>
      <c r="BA54" s="656">
        <f>BB54/4</f>
        <v>1.25</v>
      </c>
      <c r="BB54" s="1720">
        <v>5</v>
      </c>
      <c r="BC54" s="616">
        <f>BB54/4</f>
        <v>1.25</v>
      </c>
      <c r="BD54" s="617">
        <f>BB54/4</f>
        <v>1.25</v>
      </c>
      <c r="BE54" s="617">
        <f>BG54/4</f>
        <v>0</v>
      </c>
      <c r="BF54" s="656">
        <f>BG54/4</f>
        <v>0</v>
      </c>
      <c r="BG54" s="2059">
        <v>0</v>
      </c>
      <c r="BH54" s="616">
        <f>BG54/4</f>
        <v>0</v>
      </c>
      <c r="BI54" s="617">
        <f>BG54/4</f>
        <v>0</v>
      </c>
      <c r="BJ54" s="617">
        <f>BL54/4</f>
        <v>0</v>
      </c>
      <c r="BK54" s="656">
        <f>BL54/4</f>
        <v>0</v>
      </c>
      <c r="BL54" s="2280">
        <v>0</v>
      </c>
      <c r="BM54" s="890"/>
      <c r="BN54" s="1716"/>
      <c r="BO54" s="1716"/>
      <c r="BP54" s="1716"/>
      <c r="BQ54" s="1716"/>
      <c r="BR54" s="1716"/>
      <c r="BS54" s="1716"/>
      <c r="BT54" s="1716"/>
      <c r="BU54" s="1716"/>
      <c r="BV54" s="1716"/>
      <c r="BW54" s="1716"/>
      <c r="BX54" s="1716"/>
      <c r="BY54" s="1716"/>
      <c r="BZ54" s="1716"/>
      <c r="CA54" s="1716"/>
      <c r="CB54" s="1716"/>
      <c r="CC54" s="1716"/>
      <c r="CD54" s="1716"/>
      <c r="CE54" s="1716"/>
      <c r="CF54" s="1716"/>
      <c r="CG54" s="1716"/>
      <c r="CH54" s="1716"/>
      <c r="CI54" s="1716"/>
      <c r="CJ54" s="1716"/>
      <c r="CK54" s="1716"/>
      <c r="CL54" s="1716"/>
      <c r="CM54" s="1716"/>
      <c r="CN54" s="1716"/>
      <c r="CO54" s="1716"/>
      <c r="CP54" s="1716"/>
    </row>
    <row r="55" spans="1:94">
      <c r="A55" s="1716"/>
      <c r="B55" s="1716"/>
      <c r="C55" s="679" t="s">
        <v>730</v>
      </c>
      <c r="D55" s="1716"/>
      <c r="E55" s="1717"/>
      <c r="F55" s="1718"/>
      <c r="G55" s="1718"/>
      <c r="H55" s="1719"/>
      <c r="I55" s="1716"/>
      <c r="J55" s="616"/>
      <c r="K55" s="617"/>
      <c r="L55" s="617"/>
      <c r="M55" s="656"/>
      <c r="N55" s="1720"/>
      <c r="O55" s="616"/>
      <c r="P55" s="617"/>
      <c r="Q55" s="617"/>
      <c r="R55" s="656"/>
      <c r="S55" s="1720"/>
      <c r="T55" s="616"/>
      <c r="U55" s="617"/>
      <c r="V55" s="617"/>
      <c r="W55" s="656"/>
      <c r="X55" s="1720"/>
      <c r="Y55" s="616"/>
      <c r="Z55" s="617"/>
      <c r="AA55" s="617"/>
      <c r="AB55" s="656"/>
      <c r="AC55" s="1714"/>
      <c r="AD55" s="616"/>
      <c r="AE55" s="617"/>
      <c r="AF55" s="617"/>
      <c r="AG55" s="656"/>
      <c r="AH55" s="1714"/>
      <c r="AI55" s="616"/>
      <c r="AJ55" s="617"/>
      <c r="AK55" s="617"/>
      <c r="AL55" s="656"/>
      <c r="AM55" s="1714"/>
      <c r="AN55" s="616"/>
      <c r="AO55" s="617"/>
      <c r="AP55" s="617"/>
      <c r="AQ55" s="656"/>
      <c r="AR55" s="1714"/>
      <c r="AS55" s="616">
        <f>AW55/4</f>
        <v>4.0531131329113919</v>
      </c>
      <c r="AT55" s="617">
        <f>AW55/4</f>
        <v>4.0531131329113919</v>
      </c>
      <c r="AU55" s="617">
        <f>AW55/4</f>
        <v>4.0531131329113919</v>
      </c>
      <c r="AV55" s="656">
        <f>AW55/4</f>
        <v>4.0531131329113919</v>
      </c>
      <c r="AW55" s="1720">
        <f>((AW$147-25%*AR19)*49%*$BN$55)/(1-AW61)+5%*(AW$147-25%*AR19)+2.5%*AW$147</f>
        <v>16.212452531645567</v>
      </c>
      <c r="AX55" s="616">
        <f>BB55/4</f>
        <v>2.212229176510105</v>
      </c>
      <c r="AY55" s="617">
        <f>BB55/4</f>
        <v>2.212229176510105</v>
      </c>
      <c r="AZ55" s="617">
        <f>BB55/4</f>
        <v>2.212229176510105</v>
      </c>
      <c r="BA55" s="656">
        <f>BB55/4</f>
        <v>2.212229176510105</v>
      </c>
      <c r="BB55" s="1720">
        <f>((BB$147-25%*AW19)*49%*$BN$55)/(1-BB61)+5%*(BB$147-25%*AW19)+2.5%*BB$147</f>
        <v>8.8489167060404199</v>
      </c>
      <c r="BC55" s="616">
        <f>BG55/4</f>
        <v>2.1309692301952476</v>
      </c>
      <c r="BD55" s="617">
        <f>BG55/4</f>
        <v>2.1309692301952476</v>
      </c>
      <c r="BE55" s="617">
        <f>BG55/4</f>
        <v>2.1309692301952476</v>
      </c>
      <c r="BF55" s="656">
        <f>BG55/4</f>
        <v>2.1309692301952476</v>
      </c>
      <c r="BG55" s="2059">
        <f>((BG$147-25%*BB19)*49%*$BN$55)/(1-BG61)+5%*(BG$147-25%*BB19)+2.5%*BG$147</f>
        <v>8.5238769207809906</v>
      </c>
      <c r="BH55" s="616">
        <f>BL55/4</f>
        <v>2.0787214026924259</v>
      </c>
      <c r="BI55" s="617">
        <f>BL55/4</f>
        <v>2.0787214026924259</v>
      </c>
      <c r="BJ55" s="617">
        <f>BL55/4</f>
        <v>2.0787214026924259</v>
      </c>
      <c r="BK55" s="656">
        <f>BL55/4</f>
        <v>2.0787214026924259</v>
      </c>
      <c r="BL55" s="2280">
        <f>((BL$147-25%*BG19)*49%*$BN$55)/(1-BL61)+5%*(BL$147-25%*BG19)+2.5%*BL$147</f>
        <v>8.3148856107697036</v>
      </c>
      <c r="BM55" s="1716"/>
      <c r="BN55" s="1723">
        <v>0.105</v>
      </c>
      <c r="BO55" s="1716"/>
      <c r="BP55" s="1716"/>
      <c r="BQ55" s="1716"/>
      <c r="BR55" s="1716"/>
      <c r="BS55" s="1716"/>
      <c r="BT55" s="1716"/>
      <c r="BU55" s="1716"/>
      <c r="BV55" s="1716"/>
      <c r="BW55" s="1716"/>
      <c r="BX55" s="1716"/>
      <c r="BY55" s="1716"/>
      <c r="BZ55" s="1716"/>
      <c r="CA55" s="1716"/>
      <c r="CB55" s="1716"/>
      <c r="CC55" s="1716"/>
      <c r="CD55" s="1716"/>
      <c r="CE55" s="1716"/>
      <c r="CF55" s="1716"/>
      <c r="CG55" s="1716"/>
      <c r="CH55" s="1716"/>
      <c r="CI55" s="1716"/>
      <c r="CJ55" s="1716"/>
      <c r="CK55" s="1716"/>
      <c r="CL55" s="1716"/>
      <c r="CM55" s="1716"/>
      <c r="CN55" s="1716"/>
      <c r="CO55" s="1716"/>
      <c r="CP55" s="1716"/>
    </row>
    <row r="56" spans="1:94">
      <c r="A56" s="1716"/>
      <c r="B56" s="1716"/>
      <c r="C56" s="679" t="s">
        <v>642</v>
      </c>
      <c r="D56" s="1716"/>
      <c r="E56" s="1717"/>
      <c r="F56" s="1718"/>
      <c r="G56" s="1718"/>
      <c r="H56" s="1719"/>
      <c r="I56" s="1716"/>
      <c r="J56" s="616"/>
      <c r="K56" s="617"/>
      <c r="L56" s="617"/>
      <c r="M56" s="656"/>
      <c r="N56" s="1720"/>
      <c r="O56" s="616"/>
      <c r="P56" s="617"/>
      <c r="Q56" s="617"/>
      <c r="R56" s="656"/>
      <c r="S56" s="1720"/>
      <c r="T56" s="616"/>
      <c r="U56" s="617"/>
      <c r="V56" s="617"/>
      <c r="W56" s="656"/>
      <c r="X56" s="1720"/>
      <c r="Y56" s="616"/>
      <c r="Z56" s="617"/>
      <c r="AA56" s="617"/>
      <c r="AB56" s="656"/>
      <c r="AC56" s="1714"/>
      <c r="AD56" s="616"/>
      <c r="AE56" s="617"/>
      <c r="AF56" s="617"/>
      <c r="AG56" s="656"/>
      <c r="AH56" s="1714"/>
      <c r="AI56" s="616"/>
      <c r="AJ56" s="617"/>
      <c r="AK56" s="617"/>
      <c r="AL56" s="656"/>
      <c r="AM56" s="1714"/>
      <c r="AN56" s="616"/>
      <c r="AO56" s="617"/>
      <c r="AP56" s="617"/>
      <c r="AQ56" s="656"/>
      <c r="AR56" s="1714"/>
      <c r="AS56" s="616">
        <f>AR56/4</f>
        <v>0</v>
      </c>
      <c r="AT56" s="617">
        <f>AR56/4</f>
        <v>0</v>
      </c>
      <c r="AU56" s="617">
        <f>AW56/4</f>
        <v>0.6875</v>
      </c>
      <c r="AV56" s="656">
        <f>AW56/4</f>
        <v>0.6875</v>
      </c>
      <c r="AW56" s="1720">
        <f>11*0.25</f>
        <v>2.75</v>
      </c>
      <c r="AX56" s="616">
        <f>AW56/4</f>
        <v>0.6875</v>
      </c>
      <c r="AY56" s="617">
        <f>AW56/4</f>
        <v>0.6875</v>
      </c>
      <c r="AZ56" s="617">
        <f>BB56/4</f>
        <v>0</v>
      </c>
      <c r="BA56" s="656">
        <f>BB56/4</f>
        <v>0</v>
      </c>
      <c r="BB56" s="1720">
        <v>0</v>
      </c>
      <c r="BC56" s="616">
        <f>BB56/4</f>
        <v>0</v>
      </c>
      <c r="BD56" s="617">
        <f>BB56/4</f>
        <v>0</v>
      </c>
      <c r="BE56" s="617">
        <f>BG56/4</f>
        <v>0</v>
      </c>
      <c r="BF56" s="656">
        <f>BG56/4</f>
        <v>0</v>
      </c>
      <c r="BG56" s="2059">
        <v>0</v>
      </c>
      <c r="BH56" s="616">
        <f>BG56/4</f>
        <v>0</v>
      </c>
      <c r="BI56" s="617">
        <f>BG56/4</f>
        <v>0</v>
      </c>
      <c r="BJ56" s="617">
        <f>BL56/4</f>
        <v>0</v>
      </c>
      <c r="BK56" s="656">
        <f>BL56/4</f>
        <v>0</v>
      </c>
      <c r="BL56" s="2280">
        <v>0</v>
      </c>
      <c r="BM56" s="1716"/>
      <c r="BN56" s="1716"/>
      <c r="BO56" s="1716"/>
      <c r="BP56" s="1716"/>
      <c r="BQ56" s="1716"/>
      <c r="BR56" s="1716"/>
      <c r="BS56" s="1716"/>
      <c r="BT56" s="1716"/>
      <c r="BU56" s="1716"/>
      <c r="BV56" s="1716"/>
      <c r="BW56" s="1716"/>
      <c r="BX56" s="1716"/>
      <c r="BY56" s="1716"/>
      <c r="BZ56" s="1716"/>
      <c r="CA56" s="1716"/>
      <c r="CB56" s="1716"/>
      <c r="CC56" s="1716"/>
      <c r="CD56" s="1716"/>
      <c r="CE56" s="1716"/>
      <c r="CF56" s="1716"/>
      <c r="CG56" s="1716"/>
      <c r="CH56" s="1716"/>
      <c r="CI56" s="1716"/>
      <c r="CJ56" s="1716"/>
      <c r="CK56" s="1716"/>
      <c r="CL56" s="1716"/>
      <c r="CM56" s="1716"/>
      <c r="CN56" s="1716"/>
      <c r="CO56" s="1716"/>
      <c r="CP56" s="1716"/>
    </row>
    <row r="57" spans="1:94">
      <c r="A57" s="890"/>
      <c r="B57" s="890"/>
      <c r="C57" s="618"/>
      <c r="D57" s="890"/>
      <c r="E57" s="891"/>
      <c r="F57" s="892"/>
      <c r="G57" s="892"/>
      <c r="H57" s="893"/>
      <c r="I57" s="894"/>
      <c r="J57" s="891"/>
      <c r="K57" s="892"/>
      <c r="L57" s="892"/>
      <c r="M57" s="893"/>
      <c r="N57" s="894"/>
      <c r="O57" s="891"/>
      <c r="P57" s="892"/>
      <c r="Q57" s="892"/>
      <c r="R57" s="893"/>
      <c r="S57" s="894"/>
      <c r="T57" s="891"/>
      <c r="U57" s="892"/>
      <c r="V57" s="892"/>
      <c r="W57" s="893"/>
      <c r="X57" s="894"/>
      <c r="Y57" s="891"/>
      <c r="Z57" s="892"/>
      <c r="AA57" s="892"/>
      <c r="AB57" s="893"/>
      <c r="AC57" s="894"/>
      <c r="AD57" s="891"/>
      <c r="AE57" s="892"/>
      <c r="AF57" s="892"/>
      <c r="AG57" s="893"/>
      <c r="AH57" s="894"/>
      <c r="AI57" s="891"/>
      <c r="AJ57" s="892"/>
      <c r="AK57" s="892"/>
      <c r="AL57" s="893"/>
      <c r="AM57" s="894"/>
      <c r="AN57" s="891"/>
      <c r="AO57" s="892"/>
      <c r="AP57" s="892"/>
      <c r="AQ57" s="893"/>
      <c r="AR57" s="894"/>
      <c r="AS57" s="891"/>
      <c r="AT57" s="892"/>
      <c r="AU57" s="892"/>
      <c r="AV57" s="893"/>
      <c r="AW57" s="894"/>
      <c r="AX57" s="891"/>
      <c r="AY57" s="892"/>
      <c r="AZ57" s="892"/>
      <c r="BA57" s="893"/>
      <c r="BB57" s="894"/>
      <c r="BC57" s="891"/>
      <c r="BD57" s="892"/>
      <c r="BE57" s="892"/>
      <c r="BF57" s="893"/>
      <c r="BG57" s="894"/>
      <c r="BH57" s="891"/>
      <c r="BI57" s="892"/>
      <c r="BJ57" s="892"/>
      <c r="BK57" s="893"/>
      <c r="BL57" s="1724"/>
      <c r="BM57" s="890"/>
      <c r="BN57" s="890"/>
      <c r="BO57" s="890"/>
      <c r="BP57" s="890"/>
      <c r="BQ57" s="890"/>
      <c r="BR57" s="890"/>
      <c r="BS57" s="890"/>
      <c r="BT57" s="890"/>
      <c r="BU57" s="890"/>
      <c r="BV57" s="890"/>
      <c r="BW57" s="890"/>
      <c r="BX57" s="890"/>
      <c r="BY57" s="890"/>
      <c r="BZ57" s="890"/>
      <c r="CA57" s="890"/>
      <c r="CB57" s="890"/>
      <c r="CC57" s="890"/>
      <c r="CD57" s="890"/>
      <c r="CE57" s="890"/>
      <c r="CF57" s="890"/>
      <c r="CG57" s="890"/>
      <c r="CH57" s="890"/>
      <c r="CI57" s="890"/>
      <c r="CJ57" s="890"/>
      <c r="CK57" s="890"/>
      <c r="CL57" s="890"/>
      <c r="CM57" s="890"/>
      <c r="CN57" s="890"/>
      <c r="CO57" s="890"/>
      <c r="CP57" s="890"/>
    </row>
    <row r="58" spans="1:94">
      <c r="A58" s="890"/>
      <c r="B58" s="890"/>
      <c r="C58" s="565" t="s">
        <v>125</v>
      </c>
      <c r="D58" s="890"/>
      <c r="E58" s="1700"/>
      <c r="F58" s="1337"/>
      <c r="G58" s="1337"/>
      <c r="H58" s="1701"/>
      <c r="I58" s="1713"/>
      <c r="J58" s="1700"/>
      <c r="K58" s="1337"/>
      <c r="L58" s="1337"/>
      <c r="M58" s="1701"/>
      <c r="N58" s="1713">
        <f t="shared" ref="N58:Z58" si="94">+N120</f>
        <v>-6.2745098039215685E-2</v>
      </c>
      <c r="O58" s="1700">
        <f t="shared" si="94"/>
        <v>0</v>
      </c>
      <c r="P58" s="1337">
        <f t="shared" si="94"/>
        <v>0.31914893617021267</v>
      </c>
      <c r="Q58" s="1337">
        <f t="shared" si="94"/>
        <v>-5.7971014492753659E-2</v>
      </c>
      <c r="R58" s="1701">
        <f t="shared" si="94"/>
        <v>0.17241379310344818</v>
      </c>
      <c r="S58" s="1713">
        <f t="shared" si="94"/>
        <v>8.786610878661083E-2</v>
      </c>
      <c r="T58" s="1700">
        <f t="shared" si="94"/>
        <v>6.1538461538461542E-2</v>
      </c>
      <c r="U58" s="1337">
        <f t="shared" si="94"/>
        <v>1.6129032258064502E-2</v>
      </c>
      <c r="V58" s="1337">
        <f t="shared" si="94"/>
        <v>-9.2307692307692313E-2</v>
      </c>
      <c r="W58" s="1701">
        <f t="shared" si="94"/>
        <v>-0.11764705882352944</v>
      </c>
      <c r="X58" s="1713">
        <f t="shared" si="94"/>
        <v>-3.4615384615384603E-2</v>
      </c>
      <c r="Y58" s="1700">
        <f t="shared" si="94"/>
        <v>-4.3478260869565188E-2</v>
      </c>
      <c r="Z58" s="1337">
        <f t="shared" si="94"/>
        <v>3.1746031746031855E-2</v>
      </c>
      <c r="AA58" s="1337">
        <f t="shared" ref="AA58:AE58" si="95">+AA120</f>
        <v>0.20338983050847448</v>
      </c>
      <c r="AB58" s="1701">
        <f t="shared" si="95"/>
        <v>0.1166666666666667</v>
      </c>
      <c r="AC58" s="1713">
        <f t="shared" si="95"/>
        <v>7.1713147410358502E-2</v>
      </c>
      <c r="AD58" s="1700">
        <f t="shared" si="95"/>
        <v>0.24242424242424243</v>
      </c>
      <c r="AE58" s="1337">
        <f t="shared" si="95"/>
        <v>0.1692307692307693</v>
      </c>
      <c r="AF58" s="1337">
        <f t="shared" ref="AF58:AJ58" si="96">+AF120</f>
        <v>8.4507042253521236E-2</v>
      </c>
      <c r="AG58" s="1701">
        <f t="shared" si="96"/>
        <v>5.9701492537313383E-2</v>
      </c>
      <c r="AH58" s="1713">
        <f t="shared" si="96"/>
        <v>0.1375464684014871</v>
      </c>
      <c r="AI58" s="1700">
        <f t="shared" si="96"/>
        <v>1.4878048780487805</v>
      </c>
      <c r="AJ58" s="1337">
        <f t="shared" si="96"/>
        <v>2.6315789473684292E-2</v>
      </c>
      <c r="AK58" s="1337">
        <f t="shared" ref="AK58:AO58" si="97">+AK120</f>
        <v>-0.2857142857142857</v>
      </c>
      <c r="AL58" s="1701">
        <f t="shared" si="97"/>
        <v>0.46478873239436624</v>
      </c>
      <c r="AM58" s="1713">
        <f t="shared" si="97"/>
        <v>0.44117647058823528</v>
      </c>
      <c r="AN58" s="1700">
        <f t="shared" si="97"/>
        <v>-0.64215686274509798</v>
      </c>
      <c r="AO58" s="1337">
        <f t="shared" si="97"/>
        <v>-5.1282051282051322E-2</v>
      </c>
      <c r="AP58" s="1337">
        <f t="shared" ref="AP58:AR58" si="98">+AP120</f>
        <v>0.43636363636363629</v>
      </c>
      <c r="AQ58" s="1701">
        <f t="shared" si="98"/>
        <v>-0.14423076923076927</v>
      </c>
      <c r="AR58" s="1713">
        <f t="shared" si="98"/>
        <v>-0.2857142857142857</v>
      </c>
      <c r="AS58" s="1700">
        <f t="shared" ref="AS58:AV59" si="99">+AT58</f>
        <v>-1.4999999999999999E-2</v>
      </c>
      <c r="AT58" s="1337">
        <f t="shared" si="99"/>
        <v>-1.4999999999999999E-2</v>
      </c>
      <c r="AU58" s="1337">
        <f t="shared" si="99"/>
        <v>-1.4999999999999999E-2</v>
      </c>
      <c r="AV58" s="1701">
        <f t="shared" si="99"/>
        <v>-1.4999999999999999E-2</v>
      </c>
      <c r="AW58" s="1714">
        <v>-1.4999999999999999E-2</v>
      </c>
      <c r="AX58" s="1700">
        <f t="shared" ref="AX58:AX59" si="100">+AY58</f>
        <v>-0.02</v>
      </c>
      <c r="AY58" s="1337">
        <f t="shared" ref="AY58:AY59" si="101">+AZ58</f>
        <v>-0.02</v>
      </c>
      <c r="AZ58" s="1337">
        <f t="shared" ref="AZ58:AZ59" si="102">+BA58</f>
        <v>-0.02</v>
      </c>
      <c r="BA58" s="1701">
        <f t="shared" ref="BA58:BA59" si="103">+BB58</f>
        <v>-0.02</v>
      </c>
      <c r="BB58" s="1714">
        <v>-0.02</v>
      </c>
      <c r="BC58" s="2023">
        <f t="shared" ref="BC58:BC59" si="104">+BD58</f>
        <v>-0.03</v>
      </c>
      <c r="BD58" s="2024">
        <f t="shared" ref="BD58:BD59" si="105">+BE58</f>
        <v>-0.03</v>
      </c>
      <c r="BE58" s="2024">
        <f t="shared" ref="BE58:BE59" si="106">+BF58</f>
        <v>-0.03</v>
      </c>
      <c r="BF58" s="2025">
        <f t="shared" ref="BF58:BF59" si="107">+BG58</f>
        <v>-0.03</v>
      </c>
      <c r="BG58" s="1714">
        <v>-0.03</v>
      </c>
      <c r="BH58" s="2023">
        <f t="shared" ref="BH58:BH59" si="108">+BI58</f>
        <v>-2.5000000000000001E-2</v>
      </c>
      <c r="BI58" s="2024">
        <f t="shared" ref="BI58:BI59" si="109">+BJ58</f>
        <v>-2.5000000000000001E-2</v>
      </c>
      <c r="BJ58" s="2024">
        <f t="shared" ref="BJ58:BJ59" si="110">+BK58</f>
        <v>-2.5000000000000001E-2</v>
      </c>
      <c r="BK58" s="2025">
        <f t="shared" ref="BK58:BK59" si="111">+BL58</f>
        <v>-2.5000000000000001E-2</v>
      </c>
      <c r="BL58" s="2278">
        <v>-2.5000000000000001E-2</v>
      </c>
      <c r="BM58" s="890"/>
      <c r="BN58" s="2159"/>
      <c r="BO58" s="2159"/>
      <c r="BP58" s="2159"/>
      <c r="BQ58" s="890"/>
      <c r="BR58" s="890"/>
      <c r="BS58" s="890"/>
      <c r="BT58" s="890"/>
      <c r="BU58" s="890"/>
      <c r="BV58" s="890"/>
      <c r="BW58" s="890"/>
      <c r="BX58" s="890"/>
      <c r="BY58" s="890"/>
      <c r="BZ58" s="890"/>
      <c r="CA58" s="890"/>
      <c r="CB58" s="890"/>
      <c r="CC58" s="890"/>
      <c r="CD58" s="890"/>
      <c r="CE58" s="890"/>
      <c r="CF58" s="890"/>
      <c r="CG58" s="890"/>
      <c r="CH58" s="890"/>
      <c r="CI58" s="890"/>
      <c r="CJ58" s="890"/>
      <c r="CK58" s="890"/>
      <c r="CL58" s="890"/>
      <c r="CM58" s="890"/>
      <c r="CN58" s="890"/>
      <c r="CO58" s="890"/>
      <c r="CP58" s="890"/>
    </row>
    <row r="59" spans="1:94">
      <c r="A59" s="890"/>
      <c r="B59" s="890"/>
      <c r="C59" s="565" t="s">
        <v>126</v>
      </c>
      <c r="D59" s="890"/>
      <c r="E59" s="1700"/>
      <c r="F59" s="1337"/>
      <c r="G59" s="1337"/>
      <c r="H59" s="1701"/>
      <c r="I59" s="1713"/>
      <c r="J59" s="1700"/>
      <c r="K59" s="1337"/>
      <c r="L59" s="1337"/>
      <c r="M59" s="1701"/>
      <c r="N59" s="1713">
        <f t="shared" ref="N59:Z59" si="112">+N123</f>
        <v>0</v>
      </c>
      <c r="O59" s="1700">
        <f t="shared" si="112"/>
        <v>-0.18181818181818177</v>
      </c>
      <c r="P59" s="1337">
        <f t="shared" si="112"/>
        <v>-0.22222222222222221</v>
      </c>
      <c r="Q59" s="1337">
        <f t="shared" si="112"/>
        <v>0.25</v>
      </c>
      <c r="R59" s="1701">
        <f t="shared" si="112"/>
        <v>0.11111111111111116</v>
      </c>
      <c r="S59" s="1713">
        <f t="shared" si="112"/>
        <v>-2.7027027027026973E-2</v>
      </c>
      <c r="T59" s="1700">
        <f t="shared" si="112"/>
        <v>0.11111111111111116</v>
      </c>
      <c r="U59" s="1337">
        <f t="shared" si="112"/>
        <v>0.28571428571428581</v>
      </c>
      <c r="V59" s="1337">
        <f t="shared" si="112"/>
        <v>0</v>
      </c>
      <c r="W59" s="1701">
        <f t="shared" si="112"/>
        <v>0.10000000000000009</v>
      </c>
      <c r="X59" s="1713">
        <f t="shared" si="112"/>
        <v>0.11111111111111116</v>
      </c>
      <c r="Y59" s="1700">
        <f t="shared" si="112"/>
        <v>0.10000000000000009</v>
      </c>
      <c r="Z59" s="1337">
        <f t="shared" si="112"/>
        <v>0.11111111111111116</v>
      </c>
      <c r="AA59" s="1337">
        <f t="shared" ref="AA59:AE59" si="113">+AA123</f>
        <v>0.10000000000000009</v>
      </c>
      <c r="AB59" s="1701">
        <f t="shared" si="113"/>
        <v>-9.0909090909090939E-2</v>
      </c>
      <c r="AC59" s="1713">
        <f t="shared" si="113"/>
        <v>5.0000000000000044E-2</v>
      </c>
      <c r="AD59" s="1700">
        <f t="shared" si="113"/>
        <v>9.0909090909090828E-2</v>
      </c>
      <c r="AE59" s="1337">
        <f t="shared" si="113"/>
        <v>0.10000000000000009</v>
      </c>
      <c r="AF59" s="1337">
        <f t="shared" ref="AF59:AJ59" si="114">+AF123</f>
        <v>9.0909090909090828E-2</v>
      </c>
      <c r="AG59" s="1701">
        <f t="shared" si="114"/>
        <v>0.19999999999999996</v>
      </c>
      <c r="AH59" s="1713">
        <f t="shared" si="114"/>
        <v>0.11904761904761907</v>
      </c>
      <c r="AI59" s="1700">
        <f t="shared" si="114"/>
        <v>0.25</v>
      </c>
      <c r="AJ59" s="1337">
        <f t="shared" si="114"/>
        <v>0.18181818181818188</v>
      </c>
      <c r="AK59" s="1337">
        <f t="shared" ref="AK59:AO59" si="115">+AK123</f>
        <v>0.16666666666666674</v>
      </c>
      <c r="AL59" s="1701">
        <f t="shared" si="115"/>
        <v>8.3333333333333259E-2</v>
      </c>
      <c r="AM59" s="1713">
        <f t="shared" si="115"/>
        <v>0.17021276595744683</v>
      </c>
      <c r="AN59" s="1700">
        <f t="shared" si="115"/>
        <v>0</v>
      </c>
      <c r="AO59" s="1337">
        <f t="shared" si="115"/>
        <v>7.6923076923076872E-2</v>
      </c>
      <c r="AP59" s="1337">
        <f t="shared" ref="AP59:AR59" si="116">+AP123</f>
        <v>7.1428571428571397E-2</v>
      </c>
      <c r="AQ59" s="1701">
        <f t="shared" si="116"/>
        <v>0</v>
      </c>
      <c r="AR59" s="1713">
        <f t="shared" si="116"/>
        <v>3.6363636363636376E-2</v>
      </c>
      <c r="AS59" s="1700">
        <f t="shared" si="99"/>
        <v>0.03</v>
      </c>
      <c r="AT59" s="1337">
        <f t="shared" si="99"/>
        <v>0.03</v>
      </c>
      <c r="AU59" s="1337">
        <f t="shared" si="99"/>
        <v>0.03</v>
      </c>
      <c r="AV59" s="1701">
        <f t="shared" si="99"/>
        <v>0.03</v>
      </c>
      <c r="AW59" s="1714">
        <v>0.03</v>
      </c>
      <c r="AX59" s="1700">
        <f t="shared" si="100"/>
        <v>0.03</v>
      </c>
      <c r="AY59" s="1337">
        <f t="shared" si="101"/>
        <v>0.03</v>
      </c>
      <c r="AZ59" s="1337">
        <f t="shared" si="102"/>
        <v>0.03</v>
      </c>
      <c r="BA59" s="1701">
        <f t="shared" si="103"/>
        <v>0.03</v>
      </c>
      <c r="BB59" s="1714">
        <v>0.03</v>
      </c>
      <c r="BC59" s="2023">
        <f t="shared" si="104"/>
        <v>0.03</v>
      </c>
      <c r="BD59" s="2024">
        <f t="shared" si="105"/>
        <v>0.03</v>
      </c>
      <c r="BE59" s="2024">
        <f t="shared" si="106"/>
        <v>0.03</v>
      </c>
      <c r="BF59" s="2025">
        <f t="shared" si="107"/>
        <v>0.03</v>
      </c>
      <c r="BG59" s="1714">
        <v>0.03</v>
      </c>
      <c r="BH59" s="2023">
        <f t="shared" si="108"/>
        <v>0.03</v>
      </c>
      <c r="BI59" s="2024">
        <f t="shared" si="109"/>
        <v>0.03</v>
      </c>
      <c r="BJ59" s="2024">
        <f t="shared" si="110"/>
        <v>0.03</v>
      </c>
      <c r="BK59" s="2025">
        <f t="shared" si="111"/>
        <v>0.03</v>
      </c>
      <c r="BL59" s="2278">
        <f>+BG59</f>
        <v>0.03</v>
      </c>
      <c r="BM59" s="890"/>
      <c r="BN59" s="2159"/>
      <c r="BO59" s="2159"/>
      <c r="BP59" s="2159"/>
      <c r="BQ59" s="890"/>
      <c r="BR59" s="890"/>
      <c r="BS59" s="890"/>
      <c r="BT59" s="890"/>
      <c r="BU59" s="890"/>
      <c r="BV59" s="890"/>
      <c r="BW59" s="890"/>
      <c r="BX59" s="890"/>
      <c r="BY59" s="890"/>
      <c r="BZ59" s="890"/>
      <c r="CA59" s="890"/>
      <c r="CB59" s="890"/>
      <c r="CC59" s="890"/>
      <c r="CD59" s="890"/>
      <c r="CE59" s="890"/>
      <c r="CF59" s="890"/>
      <c r="CG59" s="890"/>
      <c r="CH59" s="890"/>
      <c r="CI59" s="890"/>
      <c r="CJ59" s="890"/>
      <c r="CK59" s="890"/>
      <c r="CL59" s="890"/>
      <c r="CM59" s="890"/>
      <c r="CN59" s="890"/>
      <c r="CO59" s="890"/>
      <c r="CP59" s="890"/>
    </row>
    <row r="60" spans="1:94">
      <c r="A60" s="890"/>
      <c r="B60" s="890"/>
      <c r="C60" s="618"/>
      <c r="D60" s="890"/>
      <c r="E60" s="891"/>
      <c r="F60" s="892"/>
      <c r="G60" s="892"/>
      <c r="H60" s="893"/>
      <c r="I60" s="894"/>
      <c r="J60" s="891"/>
      <c r="K60" s="892"/>
      <c r="L60" s="892"/>
      <c r="M60" s="893"/>
      <c r="N60" s="894"/>
      <c r="O60" s="891"/>
      <c r="P60" s="892"/>
      <c r="Q60" s="892"/>
      <c r="R60" s="893"/>
      <c r="S60" s="894"/>
      <c r="T60" s="891"/>
      <c r="U60" s="892"/>
      <c r="V60" s="892"/>
      <c r="W60" s="893"/>
      <c r="X60" s="894"/>
      <c r="Y60" s="891"/>
      <c r="Z60" s="892"/>
      <c r="AA60" s="892"/>
      <c r="AB60" s="893"/>
      <c r="AC60" s="894"/>
      <c r="AD60" s="891"/>
      <c r="AE60" s="892"/>
      <c r="AF60" s="892"/>
      <c r="AG60" s="893"/>
      <c r="AH60" s="894"/>
      <c r="AI60" s="891"/>
      <c r="AJ60" s="892"/>
      <c r="AK60" s="892"/>
      <c r="AL60" s="893"/>
      <c r="AM60" s="894"/>
      <c r="AN60" s="891"/>
      <c r="AO60" s="892"/>
      <c r="AP60" s="892"/>
      <c r="AQ60" s="893"/>
      <c r="AR60" s="894"/>
      <c r="AS60" s="891"/>
      <c r="AT60" s="892"/>
      <c r="AU60" s="892"/>
      <c r="AV60" s="893"/>
      <c r="AW60" s="894"/>
      <c r="AX60" s="891"/>
      <c r="AY60" s="892"/>
      <c r="AZ60" s="892"/>
      <c r="BA60" s="893"/>
      <c r="BB60" s="894"/>
      <c r="BC60" s="891"/>
      <c r="BD60" s="892"/>
      <c r="BE60" s="892"/>
      <c r="BF60" s="893"/>
      <c r="BG60" s="894"/>
      <c r="BH60" s="891"/>
      <c r="BI60" s="892"/>
      <c r="BJ60" s="892"/>
      <c r="BK60" s="893"/>
      <c r="BL60" s="1724"/>
      <c r="BM60" s="890"/>
      <c r="BN60" s="2159"/>
      <c r="BO60" s="2159"/>
      <c r="BP60" s="2159"/>
      <c r="BQ60" s="890"/>
      <c r="BR60" s="890"/>
      <c r="BS60" s="890"/>
      <c r="BT60" s="890"/>
      <c r="BU60" s="890"/>
      <c r="BV60" s="890"/>
      <c r="BW60" s="890"/>
      <c r="BX60" s="890"/>
      <c r="BY60" s="890"/>
      <c r="BZ60" s="890"/>
      <c r="CA60" s="890"/>
      <c r="CB60" s="890"/>
      <c r="CC60" s="890"/>
      <c r="CD60" s="890"/>
      <c r="CE60" s="890"/>
      <c r="CF60" s="890"/>
      <c r="CG60" s="890"/>
      <c r="CH60" s="890"/>
      <c r="CI60" s="890"/>
      <c r="CJ60" s="890"/>
      <c r="CK60" s="890"/>
      <c r="CL60" s="890"/>
      <c r="CM60" s="890"/>
      <c r="CN60" s="890"/>
      <c r="CO60" s="890"/>
      <c r="CP60" s="890"/>
    </row>
    <row r="61" spans="1:94">
      <c r="A61" s="890"/>
      <c r="B61" s="890"/>
      <c r="C61" s="565" t="s">
        <v>229</v>
      </c>
      <c r="D61" s="890"/>
      <c r="E61" s="1700"/>
      <c r="F61" s="1337"/>
      <c r="G61" s="1337"/>
      <c r="H61" s="1701"/>
      <c r="I61" s="1713">
        <f t="shared" ref="I61:Z61" si="117">(I36)/(I34)</f>
        <v>0.40789473684210525</v>
      </c>
      <c r="J61" s="1700">
        <f t="shared" si="117"/>
        <v>0.42499999999999999</v>
      </c>
      <c r="K61" s="1337">
        <f t="shared" si="117"/>
        <v>0.18518518518518517</v>
      </c>
      <c r="L61" s="1337">
        <f t="shared" si="117"/>
        <v>0.47619047619047616</v>
      </c>
      <c r="M61" s="1701">
        <f t="shared" si="117"/>
        <v>0.4</v>
      </c>
      <c r="N61" s="1713">
        <f t="shared" si="117"/>
        <v>0.37168141592920356</v>
      </c>
      <c r="O61" s="1700">
        <f t="shared" si="117"/>
        <v>0.4</v>
      </c>
      <c r="P61" s="1337">
        <f t="shared" si="117"/>
        <v>0.40909090909090912</v>
      </c>
      <c r="Q61" s="1337">
        <f t="shared" si="117"/>
        <v>0.33333333333333331</v>
      </c>
      <c r="R61" s="1701">
        <f t="shared" si="117"/>
        <v>0.37037037037037035</v>
      </c>
      <c r="S61" s="1713">
        <f t="shared" si="117"/>
        <v>0.37606837606837606</v>
      </c>
      <c r="T61" s="1700">
        <f t="shared" si="117"/>
        <v>0.38095238095238093</v>
      </c>
      <c r="U61" s="1337">
        <f t="shared" si="117"/>
        <v>0.42857142857142855</v>
      </c>
      <c r="V61" s="1337">
        <f t="shared" si="117"/>
        <v>0.3783783783783784</v>
      </c>
      <c r="W61" s="1701">
        <f t="shared" si="117"/>
        <v>0.37777777777777777</v>
      </c>
      <c r="X61" s="1713">
        <f t="shared" si="117"/>
        <v>0.38620689655172413</v>
      </c>
      <c r="Y61" s="1700">
        <f t="shared" si="117"/>
        <v>0.40322580645161288</v>
      </c>
      <c r="Z61" s="1337">
        <f t="shared" si="117"/>
        <v>0.40625</v>
      </c>
      <c r="AA61" s="1337">
        <f t="shared" ref="AA61:AE61" si="118">(AA36)/(AA34)</f>
        <v>0.3611111111111111</v>
      </c>
      <c r="AB61" s="1701">
        <f t="shared" si="118"/>
        <v>0.35897435897435898</v>
      </c>
      <c r="AC61" s="1713">
        <f t="shared" si="118"/>
        <v>0.38461538461538464</v>
      </c>
      <c r="AD61" s="1700">
        <f t="shared" si="118"/>
        <v>0.39622641509433965</v>
      </c>
      <c r="AE61" s="1337">
        <f t="shared" si="118"/>
        <v>0.38461538461538464</v>
      </c>
      <c r="AF61" s="1337">
        <f t="shared" ref="AF61:AJ61" si="119">(AF36)/(AF34)</f>
        <v>0.375</v>
      </c>
      <c r="AG61" s="1701">
        <f t="shared" si="119"/>
        <v>0.4</v>
      </c>
      <c r="AH61" s="1713">
        <f t="shared" si="119"/>
        <v>0.39200000000000002</v>
      </c>
      <c r="AI61" s="1700">
        <f t="shared" si="119"/>
        <v>0.1111111111111111</v>
      </c>
      <c r="AJ61" s="1337">
        <f t="shared" si="119"/>
        <v>0.4</v>
      </c>
      <c r="AK61" s="1337">
        <f t="shared" ref="AK61:AO61" si="120">(AK36)/(AK34)</f>
        <v>0.30158730158730157</v>
      </c>
      <c r="AL61" s="1701">
        <f t="shared" si="120"/>
        <v>0.36363636363636365</v>
      </c>
      <c r="AM61" s="1713">
        <f t="shared" si="120"/>
        <v>1.6923076923076923</v>
      </c>
      <c r="AN61" s="1700">
        <f t="shared" si="120"/>
        <v>0.16176470588235295</v>
      </c>
      <c r="AO61" s="1337">
        <f t="shared" si="120"/>
        <v>0.38709677419354838</v>
      </c>
      <c r="AP61" s="1337">
        <f t="shared" ref="AP61:AR61" si="121">(AP36)/(AP34)</f>
        <v>0.38</v>
      </c>
      <c r="AQ61" s="1701">
        <f t="shared" si="121"/>
        <v>0.67441860465116277</v>
      </c>
      <c r="AR61" s="1713">
        <f t="shared" si="121"/>
        <v>0.36979166666666669</v>
      </c>
      <c r="AS61" s="1700">
        <f>+AT61</f>
        <v>0.21</v>
      </c>
      <c r="AT61" s="1337">
        <f>+AU61</f>
        <v>0.21</v>
      </c>
      <c r="AU61" s="1337">
        <f>+AV61</f>
        <v>0.21</v>
      </c>
      <c r="AV61" s="1701">
        <f>+AW61</f>
        <v>0.21</v>
      </c>
      <c r="AW61" s="1714">
        <v>0.21</v>
      </c>
      <c r="AX61" s="1700">
        <f>+AY61</f>
        <v>0.21</v>
      </c>
      <c r="AY61" s="1337">
        <f>+AZ61</f>
        <v>0.21</v>
      </c>
      <c r="AZ61" s="1337">
        <f>+BA61</f>
        <v>0.21</v>
      </c>
      <c r="BA61" s="1701">
        <f>+BB61</f>
        <v>0.21</v>
      </c>
      <c r="BB61" s="1714">
        <v>0.21</v>
      </c>
      <c r="BC61" s="2023">
        <f>+BD61</f>
        <v>0.21</v>
      </c>
      <c r="BD61" s="2024">
        <f>+BE61</f>
        <v>0.21</v>
      </c>
      <c r="BE61" s="2024">
        <f>+BF61</f>
        <v>0.21</v>
      </c>
      <c r="BF61" s="2025">
        <f>+BG61</f>
        <v>0.21</v>
      </c>
      <c r="BG61" s="1714">
        <v>0.21</v>
      </c>
      <c r="BH61" s="2023">
        <f>+BI61</f>
        <v>0.21</v>
      </c>
      <c r="BI61" s="2024">
        <f>+BJ61</f>
        <v>0.21</v>
      </c>
      <c r="BJ61" s="2024">
        <f>+BK61</f>
        <v>0.21</v>
      </c>
      <c r="BK61" s="2025">
        <f>+BL61</f>
        <v>0.21</v>
      </c>
      <c r="BL61" s="2278">
        <v>0.21</v>
      </c>
      <c r="BM61" s="890"/>
      <c r="BN61" s="2159"/>
      <c r="BO61" s="2159"/>
      <c r="BP61" s="2159"/>
      <c r="BQ61" s="890"/>
      <c r="BR61" s="890"/>
      <c r="BS61" s="890"/>
      <c r="BT61" s="890"/>
      <c r="BU61" s="890"/>
      <c r="BV61" s="890"/>
      <c r="BW61" s="890"/>
      <c r="BX61" s="890"/>
      <c r="BY61" s="890"/>
      <c r="BZ61" s="890"/>
      <c r="CA61" s="890"/>
      <c r="CB61" s="890"/>
      <c r="CC61" s="890"/>
      <c r="CD61" s="890"/>
      <c r="CE61" s="890"/>
      <c r="CF61" s="890"/>
      <c r="CG61" s="890"/>
      <c r="CH61" s="890"/>
      <c r="CI61" s="890"/>
      <c r="CJ61" s="890"/>
      <c r="CK61" s="890"/>
      <c r="CL61" s="890"/>
      <c r="CM61" s="890"/>
      <c r="CN61" s="890"/>
      <c r="CO61" s="890"/>
      <c r="CP61" s="890"/>
    </row>
    <row r="62" spans="1:94">
      <c r="A62" s="890"/>
      <c r="B62" s="890"/>
      <c r="C62" s="565" t="s">
        <v>230</v>
      </c>
      <c r="D62" s="890"/>
      <c r="E62" s="1700"/>
      <c r="F62" s="1337"/>
      <c r="G62" s="1337"/>
      <c r="H62" s="1701"/>
      <c r="I62" s="1713">
        <f t="shared" ref="I62:AW62" si="122">I36/I34</f>
        <v>0.40789473684210525</v>
      </c>
      <c r="J62" s="1700">
        <f t="shared" si="122"/>
        <v>0.42499999999999999</v>
      </c>
      <c r="K62" s="1337">
        <f t="shared" si="122"/>
        <v>0.18518518518518517</v>
      </c>
      <c r="L62" s="1337">
        <f t="shared" si="122"/>
        <v>0.47619047619047616</v>
      </c>
      <c r="M62" s="1701">
        <f t="shared" si="122"/>
        <v>0.4</v>
      </c>
      <c r="N62" s="1713">
        <f t="shared" si="122"/>
        <v>0.37168141592920356</v>
      </c>
      <c r="O62" s="1700">
        <f t="shared" si="122"/>
        <v>0.4</v>
      </c>
      <c r="P62" s="1337">
        <f t="shared" si="122"/>
        <v>0.40909090909090912</v>
      </c>
      <c r="Q62" s="1337">
        <f t="shared" si="122"/>
        <v>0.33333333333333331</v>
      </c>
      <c r="R62" s="1701">
        <f t="shared" si="122"/>
        <v>0.37037037037037035</v>
      </c>
      <c r="S62" s="1713">
        <f t="shared" si="122"/>
        <v>0.37606837606837606</v>
      </c>
      <c r="T62" s="1700">
        <f t="shared" si="122"/>
        <v>0.38095238095238093</v>
      </c>
      <c r="U62" s="1337">
        <f t="shared" si="122"/>
        <v>0.42857142857142855</v>
      </c>
      <c r="V62" s="1337">
        <f t="shared" si="122"/>
        <v>0.3783783783783784</v>
      </c>
      <c r="W62" s="1701">
        <f t="shared" si="122"/>
        <v>0.37777777777777777</v>
      </c>
      <c r="X62" s="1713">
        <f t="shared" si="122"/>
        <v>0.38620689655172413</v>
      </c>
      <c r="Y62" s="1700">
        <f t="shared" si="122"/>
        <v>0.40322580645161288</v>
      </c>
      <c r="Z62" s="1337">
        <f t="shared" si="122"/>
        <v>0.40625</v>
      </c>
      <c r="AA62" s="1337">
        <f t="shared" ref="AA62:AE62" si="123">AA36/AA34</f>
        <v>0.3611111111111111</v>
      </c>
      <c r="AB62" s="1701">
        <f t="shared" si="123"/>
        <v>0.35897435897435898</v>
      </c>
      <c r="AC62" s="1713">
        <f t="shared" si="123"/>
        <v>0.38461538461538464</v>
      </c>
      <c r="AD62" s="1700">
        <f t="shared" si="123"/>
        <v>0.39622641509433965</v>
      </c>
      <c r="AE62" s="1337">
        <f t="shared" si="123"/>
        <v>0.38461538461538464</v>
      </c>
      <c r="AF62" s="1337">
        <f t="shared" ref="AF62:AJ62" si="124">AF36/AF34</f>
        <v>0.375</v>
      </c>
      <c r="AG62" s="1701">
        <f t="shared" si="124"/>
        <v>0.4</v>
      </c>
      <c r="AH62" s="1713">
        <f t="shared" si="124"/>
        <v>0.39200000000000002</v>
      </c>
      <c r="AI62" s="1700">
        <f t="shared" si="124"/>
        <v>0.1111111111111111</v>
      </c>
      <c r="AJ62" s="1337">
        <f t="shared" si="124"/>
        <v>0.4</v>
      </c>
      <c r="AK62" s="1337">
        <f t="shared" ref="AK62:AO62" si="125">AK36/AK34</f>
        <v>0.30158730158730157</v>
      </c>
      <c r="AL62" s="1701">
        <f t="shared" si="125"/>
        <v>0.36363636363636365</v>
      </c>
      <c r="AM62" s="1713">
        <f t="shared" si="125"/>
        <v>1.6923076923076923</v>
      </c>
      <c r="AN62" s="1700">
        <f t="shared" si="125"/>
        <v>0.16176470588235295</v>
      </c>
      <c r="AO62" s="1337">
        <f t="shared" si="125"/>
        <v>0.38709677419354838</v>
      </c>
      <c r="AP62" s="1337">
        <f t="shared" ref="AP62:AR62" si="126">AP36/AP34</f>
        <v>0.38</v>
      </c>
      <c r="AQ62" s="1701">
        <f t="shared" si="126"/>
        <v>0.67441860465116277</v>
      </c>
      <c r="AR62" s="1713">
        <f t="shared" si="126"/>
        <v>0.36979166666666669</v>
      </c>
      <c r="AS62" s="1700">
        <f t="shared" si="122"/>
        <v>0.21</v>
      </c>
      <c r="AT62" s="1337">
        <f t="shared" ca="1" si="122"/>
        <v>0.20999999999999996</v>
      </c>
      <c r="AU62" s="1337">
        <f t="shared" ca="1" si="122"/>
        <v>0.21</v>
      </c>
      <c r="AV62" s="1701">
        <f t="shared" ca="1" si="122"/>
        <v>0.21</v>
      </c>
      <c r="AW62" s="1713">
        <f t="shared" ca="1" si="122"/>
        <v>0.20999999999999996</v>
      </c>
      <c r="AX62" s="1700">
        <f t="shared" ref="AX62:BG62" ca="1" si="127">AX36/AX34</f>
        <v>0.21</v>
      </c>
      <c r="AY62" s="1337">
        <f t="shared" ca="1" si="127"/>
        <v>0.20999999999999996</v>
      </c>
      <c r="AZ62" s="1337">
        <f t="shared" ca="1" si="127"/>
        <v>0.21</v>
      </c>
      <c r="BA62" s="1701">
        <f t="shared" ca="1" si="127"/>
        <v>0.21</v>
      </c>
      <c r="BB62" s="1713">
        <f t="shared" ca="1" si="127"/>
        <v>0.20999999999999994</v>
      </c>
      <c r="BC62" s="2023">
        <f t="shared" ca="1" si="127"/>
        <v>0.21</v>
      </c>
      <c r="BD62" s="2024">
        <f t="shared" ca="1" si="127"/>
        <v>0.20999999999999996</v>
      </c>
      <c r="BE62" s="2024">
        <f t="shared" ca="1" si="127"/>
        <v>0.21</v>
      </c>
      <c r="BF62" s="2025">
        <f t="shared" ca="1" si="127"/>
        <v>0.21</v>
      </c>
      <c r="BG62" s="1713">
        <f t="shared" ca="1" si="127"/>
        <v>0.20999999999999977</v>
      </c>
      <c r="BH62" s="2023">
        <f t="shared" ref="BH62:BL62" ca="1" si="128">BH36/BH34</f>
        <v>0.21</v>
      </c>
      <c r="BI62" s="2024">
        <f t="shared" ca="1" si="128"/>
        <v>0.21</v>
      </c>
      <c r="BJ62" s="2024">
        <f t="shared" ca="1" si="128"/>
        <v>0.21</v>
      </c>
      <c r="BK62" s="2025">
        <f t="shared" ca="1" si="128"/>
        <v>0.21</v>
      </c>
      <c r="BL62" s="1725">
        <f t="shared" ca="1" si="128"/>
        <v>0.21000000000000016</v>
      </c>
      <c r="BM62" s="890"/>
      <c r="BN62" s="2159"/>
      <c r="BO62" s="2159"/>
      <c r="BP62" s="2159"/>
      <c r="BQ62" s="890"/>
      <c r="BR62" s="890"/>
      <c r="BS62" s="890"/>
      <c r="BT62" s="890"/>
      <c r="BU62" s="890"/>
      <c r="BV62" s="890"/>
      <c r="BW62" s="890"/>
      <c r="BX62" s="890"/>
      <c r="BY62" s="890"/>
      <c r="BZ62" s="890"/>
      <c r="CA62" s="890"/>
      <c r="CB62" s="890"/>
      <c r="CC62" s="890"/>
      <c r="CD62" s="890"/>
      <c r="CE62" s="890"/>
      <c r="CF62" s="890"/>
      <c r="CG62" s="890"/>
      <c r="CH62" s="890"/>
      <c r="CI62" s="890"/>
      <c r="CJ62" s="890"/>
      <c r="CK62" s="890"/>
      <c r="CL62" s="890"/>
      <c r="CM62" s="890"/>
      <c r="CN62" s="890"/>
      <c r="CO62" s="890"/>
      <c r="CP62" s="890"/>
    </row>
    <row r="63" spans="1:94">
      <c r="A63" s="890"/>
      <c r="B63" s="890"/>
      <c r="C63" s="618"/>
      <c r="D63" s="890"/>
      <c r="E63" s="891"/>
      <c r="F63" s="892"/>
      <c r="G63" s="892"/>
      <c r="H63" s="893"/>
      <c r="I63" s="894"/>
      <c r="J63" s="891"/>
      <c r="K63" s="892"/>
      <c r="L63" s="892"/>
      <c r="M63" s="893"/>
      <c r="N63" s="894"/>
      <c r="O63" s="891"/>
      <c r="P63" s="892"/>
      <c r="Q63" s="892"/>
      <c r="R63" s="893"/>
      <c r="S63" s="894"/>
      <c r="T63" s="891"/>
      <c r="U63" s="892"/>
      <c r="V63" s="892"/>
      <c r="W63" s="893"/>
      <c r="X63" s="894"/>
      <c r="Y63" s="891"/>
      <c r="Z63" s="892"/>
      <c r="AA63" s="892"/>
      <c r="AB63" s="893"/>
      <c r="AC63" s="894"/>
      <c r="AD63" s="891"/>
      <c r="AE63" s="892"/>
      <c r="AF63" s="892"/>
      <c r="AG63" s="893"/>
      <c r="AH63" s="894"/>
      <c r="AI63" s="891"/>
      <c r="AJ63" s="892"/>
      <c r="AK63" s="892"/>
      <c r="AL63" s="893"/>
      <c r="AM63" s="894"/>
      <c r="AN63" s="891"/>
      <c r="AO63" s="892"/>
      <c r="AP63" s="892"/>
      <c r="AQ63" s="893"/>
      <c r="AR63" s="894"/>
      <c r="AS63" s="891"/>
      <c r="AT63" s="892"/>
      <c r="AU63" s="892"/>
      <c r="AV63" s="893"/>
      <c r="AW63" s="894"/>
      <c r="AX63" s="891"/>
      <c r="AY63" s="892"/>
      <c r="AZ63" s="892"/>
      <c r="BA63" s="893"/>
      <c r="BB63" s="894"/>
      <c r="BC63" s="891"/>
      <c r="BD63" s="892"/>
      <c r="BE63" s="892"/>
      <c r="BF63" s="893"/>
      <c r="BG63" s="894"/>
      <c r="BH63" s="891"/>
      <c r="BI63" s="892"/>
      <c r="BJ63" s="892"/>
      <c r="BK63" s="893"/>
      <c r="BL63" s="1724"/>
      <c r="BM63" s="890"/>
      <c r="BN63" s="2159"/>
      <c r="BO63" s="2159"/>
      <c r="BP63" s="2159"/>
      <c r="BQ63" s="890"/>
      <c r="BR63" s="890"/>
      <c r="BS63" s="890"/>
      <c r="BT63" s="890"/>
      <c r="BU63" s="890"/>
      <c r="BV63" s="890"/>
      <c r="BW63" s="890"/>
      <c r="BX63" s="890"/>
      <c r="BY63" s="890"/>
      <c r="BZ63" s="890"/>
      <c r="CA63" s="890"/>
      <c r="CB63" s="890"/>
      <c r="CC63" s="890"/>
      <c r="CD63" s="890"/>
      <c r="CE63" s="890"/>
      <c r="CF63" s="890"/>
      <c r="CG63" s="890"/>
      <c r="CH63" s="890"/>
      <c r="CI63" s="890"/>
      <c r="CJ63" s="890"/>
      <c r="CK63" s="890"/>
      <c r="CL63" s="890"/>
      <c r="CM63" s="890"/>
      <c r="CN63" s="890"/>
      <c r="CO63" s="890"/>
      <c r="CP63" s="890"/>
    </row>
    <row r="64" spans="1:94">
      <c r="A64" s="890"/>
      <c r="B64" s="890"/>
      <c r="C64" s="618" t="s">
        <v>621</v>
      </c>
      <c r="D64" s="890"/>
      <c r="E64" s="1700"/>
      <c r="F64" s="1337"/>
      <c r="G64" s="1337"/>
      <c r="H64" s="1701"/>
      <c r="I64" s="1713">
        <f t="shared" ref="I64:AW64" si="129">+I294</f>
        <v>0.10154726890756302</v>
      </c>
      <c r="J64" s="1700">
        <f t="shared" si="129"/>
        <v>0</v>
      </c>
      <c r="K64" s="1337">
        <f t="shared" si="129"/>
        <v>0</v>
      </c>
      <c r="L64" s="1337">
        <f t="shared" si="129"/>
        <v>0</v>
      </c>
      <c r="M64" s="1701">
        <f t="shared" si="129"/>
        <v>0</v>
      </c>
      <c r="N64" s="1713">
        <f t="shared" si="129"/>
        <v>0.10154726890756302</v>
      </c>
      <c r="O64" s="1700">
        <f t="shared" si="129"/>
        <v>0.10154726890756302</v>
      </c>
      <c r="P64" s="1337">
        <f t="shared" si="129"/>
        <v>0.10154726890756302</v>
      </c>
      <c r="Q64" s="1337">
        <f t="shared" si="129"/>
        <v>0.10154726890756302</v>
      </c>
      <c r="R64" s="1701">
        <f t="shared" si="129"/>
        <v>0.10154726890756302</v>
      </c>
      <c r="S64" s="1713">
        <f t="shared" si="129"/>
        <v>0.10154726890756302</v>
      </c>
      <c r="T64" s="1700">
        <f t="shared" si="129"/>
        <v>0.10154726890756302</v>
      </c>
      <c r="U64" s="1337">
        <f t="shared" si="129"/>
        <v>0.10154726890756302</v>
      </c>
      <c r="V64" s="1337">
        <f t="shared" si="129"/>
        <v>0.10154726890756302</v>
      </c>
      <c r="W64" s="1701">
        <f t="shared" si="129"/>
        <v>0.10154726890756302</v>
      </c>
      <c r="X64" s="1713">
        <f t="shared" si="129"/>
        <v>0.10154726890756302</v>
      </c>
      <c r="Y64" s="1700">
        <f t="shared" si="129"/>
        <v>0.10154726890756302</v>
      </c>
      <c r="Z64" s="1337">
        <f t="shared" si="129"/>
        <v>0.10154726890756302</v>
      </c>
      <c r="AA64" s="1337">
        <f t="shared" ref="AA64:AE64" si="130">+AA294</f>
        <v>0.10154726890756302</v>
      </c>
      <c r="AB64" s="1701">
        <f t="shared" si="130"/>
        <v>0.10154726890756302</v>
      </c>
      <c r="AC64" s="1713">
        <f t="shared" si="130"/>
        <v>0.10154726890756302</v>
      </c>
      <c r="AD64" s="1700">
        <f t="shared" si="130"/>
        <v>0.10154726890756302</v>
      </c>
      <c r="AE64" s="1337">
        <f t="shared" si="130"/>
        <v>0.10154726890756302</v>
      </c>
      <c r="AF64" s="1337">
        <f t="shared" ref="AF64:AJ64" si="131">+AF294</f>
        <v>0.10154726890756302</v>
      </c>
      <c r="AG64" s="1701">
        <f t="shared" si="131"/>
        <v>0.10154726890756302</v>
      </c>
      <c r="AH64" s="1713">
        <f t="shared" si="131"/>
        <v>0.10154726890756302</v>
      </c>
      <c r="AI64" s="1700">
        <f t="shared" si="131"/>
        <v>0.10154726890756302</v>
      </c>
      <c r="AJ64" s="1337">
        <f t="shared" si="131"/>
        <v>0.10154726890756302</v>
      </c>
      <c r="AK64" s="1337">
        <f t="shared" ref="AK64:AO64" si="132">+AK294</f>
        <v>0.10154726890756302</v>
      </c>
      <c r="AL64" s="1701">
        <f t="shared" si="132"/>
        <v>0.10154726890756302</v>
      </c>
      <c r="AM64" s="1713">
        <f t="shared" si="132"/>
        <v>0.10154726890756302</v>
      </c>
      <c r="AN64" s="1700">
        <f t="shared" si="132"/>
        <v>0.10154726890756302</v>
      </c>
      <c r="AO64" s="1337">
        <f t="shared" si="132"/>
        <v>0.10154726890756302</v>
      </c>
      <c r="AP64" s="1337">
        <f t="shared" ref="AP64:AR64" si="133">+AP294</f>
        <v>0.1</v>
      </c>
      <c r="AQ64" s="1701">
        <f t="shared" si="133"/>
        <v>0.1</v>
      </c>
      <c r="AR64" s="1713">
        <f t="shared" si="133"/>
        <v>0.1</v>
      </c>
      <c r="AS64" s="1700">
        <f t="shared" si="129"/>
        <v>0.1</v>
      </c>
      <c r="AT64" s="1337">
        <f t="shared" si="129"/>
        <v>0.1</v>
      </c>
      <c r="AU64" s="1337">
        <f t="shared" si="129"/>
        <v>0.1</v>
      </c>
      <c r="AV64" s="1701">
        <f t="shared" si="129"/>
        <v>0.1</v>
      </c>
      <c r="AW64" s="1713">
        <f t="shared" si="129"/>
        <v>0.1</v>
      </c>
      <c r="AX64" s="1700">
        <f t="shared" ref="AX64:BG64" si="134">+AX294</f>
        <v>0.1</v>
      </c>
      <c r="AY64" s="1337">
        <f t="shared" si="134"/>
        <v>0.1</v>
      </c>
      <c r="AZ64" s="1337">
        <f t="shared" si="134"/>
        <v>0.1</v>
      </c>
      <c r="BA64" s="1701">
        <f t="shared" si="134"/>
        <v>0.1</v>
      </c>
      <c r="BB64" s="1713">
        <f t="shared" si="134"/>
        <v>0.1</v>
      </c>
      <c r="BC64" s="1700">
        <f t="shared" si="134"/>
        <v>0.1</v>
      </c>
      <c r="BD64" s="1337">
        <f t="shared" si="134"/>
        <v>0.1</v>
      </c>
      <c r="BE64" s="1337">
        <f t="shared" si="134"/>
        <v>0.1</v>
      </c>
      <c r="BF64" s="1701">
        <f t="shared" si="134"/>
        <v>0.1</v>
      </c>
      <c r="BG64" s="1713">
        <f t="shared" si="134"/>
        <v>0.1</v>
      </c>
      <c r="BH64" s="1700">
        <f t="shared" ref="BH64:BL64" si="135">+BH294</f>
        <v>0.1</v>
      </c>
      <c r="BI64" s="1337">
        <f t="shared" si="135"/>
        <v>0.1</v>
      </c>
      <c r="BJ64" s="1337">
        <f t="shared" si="135"/>
        <v>0.1</v>
      </c>
      <c r="BK64" s="1701">
        <f t="shared" si="135"/>
        <v>0.1</v>
      </c>
      <c r="BL64" s="1725">
        <f t="shared" si="135"/>
        <v>0.1</v>
      </c>
      <c r="BM64" s="890"/>
      <c r="BN64" s="2159"/>
      <c r="BO64" s="2159"/>
      <c r="BP64" s="2159"/>
      <c r="BQ64" s="890"/>
      <c r="BR64" s="890"/>
      <c r="BS64" s="890"/>
      <c r="BT64" s="890"/>
      <c r="BU64" s="890"/>
      <c r="BV64" s="890"/>
      <c r="BW64" s="890"/>
      <c r="BX64" s="890"/>
      <c r="BY64" s="890"/>
      <c r="BZ64" s="890"/>
      <c r="CA64" s="890"/>
      <c r="CB64" s="890"/>
      <c r="CC64" s="890"/>
      <c r="CD64" s="890"/>
      <c r="CE64" s="890"/>
      <c r="CF64" s="890"/>
      <c r="CG64" s="890"/>
      <c r="CH64" s="890"/>
      <c r="CI64" s="890"/>
      <c r="CJ64" s="890"/>
      <c r="CK64" s="890"/>
      <c r="CL64" s="890"/>
      <c r="CM64" s="890"/>
      <c r="CN64" s="890"/>
      <c r="CO64" s="890"/>
      <c r="CP64" s="890"/>
    </row>
    <row r="65" spans="1:94">
      <c r="A65" s="890"/>
      <c r="B65" s="890"/>
      <c r="C65" s="619" t="s">
        <v>731</v>
      </c>
      <c r="D65" s="1726"/>
      <c r="E65" s="1727"/>
      <c r="F65" s="1728"/>
      <c r="G65" s="1728"/>
      <c r="H65" s="1729"/>
      <c r="I65" s="1730">
        <f t="shared" ref="I65:AW65" si="136">+I295</f>
        <v>5.6988355379384147E-2</v>
      </c>
      <c r="J65" s="1727">
        <f t="shared" si="136"/>
        <v>2.7832211168056814E-2</v>
      </c>
      <c r="K65" s="1728">
        <f t="shared" si="136"/>
        <v>5.3533828881439711E-2</v>
      </c>
      <c r="L65" s="1728">
        <f t="shared" si="136"/>
        <v>6.8180577271486353E-2</v>
      </c>
      <c r="M65" s="1729">
        <f t="shared" si="136"/>
        <v>8.6766725524818511E-2</v>
      </c>
      <c r="N65" s="1730">
        <f t="shared" si="136"/>
        <v>8.5259169863885542E-2</v>
      </c>
      <c r="O65" s="1727">
        <f t="shared" si="136"/>
        <v>8.5068797526877266E-2</v>
      </c>
      <c r="P65" s="1728">
        <f t="shared" si="136"/>
        <v>7.3997889590874485E-2</v>
      </c>
      <c r="Q65" s="1728">
        <f t="shared" si="136"/>
        <v>8.0154170127211918E-2</v>
      </c>
      <c r="R65" s="1729">
        <f t="shared" si="136"/>
        <v>8.0766277703771427E-2</v>
      </c>
      <c r="S65" s="1730">
        <f t="shared" si="136"/>
        <v>8.1744632009182278E-2</v>
      </c>
      <c r="T65" s="1727">
        <f t="shared" si="136"/>
        <v>8.4307226895420834E-2</v>
      </c>
      <c r="U65" s="1728">
        <f t="shared" si="136"/>
        <v>8.3287504035934906E-2</v>
      </c>
      <c r="V65" s="1728">
        <f t="shared" si="136"/>
        <v>8.3674409939106312E-2</v>
      </c>
      <c r="W65" s="1729">
        <f t="shared" si="136"/>
        <v>9.376358803182451E-2</v>
      </c>
      <c r="X65" s="1730">
        <f t="shared" si="136"/>
        <v>9.0975533714612825E-2</v>
      </c>
      <c r="Y65" s="1727">
        <f t="shared" si="136"/>
        <v>0.10342951681401268</v>
      </c>
      <c r="Z65" s="1728">
        <f t="shared" si="136"/>
        <v>0.10263135557253206</v>
      </c>
      <c r="AA65" s="1728">
        <f t="shared" si="136"/>
        <v>0.10089506444268559</v>
      </c>
      <c r="AB65" s="1729">
        <f t="shared" ref="AB65:AF65" si="137">+AB295</f>
        <v>9.9670336776967364E-2</v>
      </c>
      <c r="AC65" s="1730">
        <f>+AC295</f>
        <v>9.8856496487742751E-2</v>
      </c>
      <c r="AD65" s="1727">
        <f t="shared" si="137"/>
        <v>9.6036585365853661E-2</v>
      </c>
      <c r="AE65" s="1728">
        <f t="shared" si="137"/>
        <v>7.8664712522116709E-2</v>
      </c>
      <c r="AF65" s="1728">
        <f t="shared" si="137"/>
        <v>7.1366884099624828E-2</v>
      </c>
      <c r="AG65" s="1729">
        <f t="shared" ref="AG65:AK65" si="138">+AG295</f>
        <v>6.7268186961358667E-2</v>
      </c>
      <c r="AH65" s="1730">
        <f t="shared" si="138"/>
        <v>6.7362449865939866E-2</v>
      </c>
      <c r="AI65" s="1727">
        <f t="shared" si="138"/>
        <v>-2.5720489075047634E-2</v>
      </c>
      <c r="AJ65" s="1728">
        <f t="shared" si="138"/>
        <v>-2.0238758925316808E-2</v>
      </c>
      <c r="AK65" s="1728">
        <f t="shared" si="138"/>
        <v>4.1526740191180928E-3</v>
      </c>
      <c r="AL65" s="1729">
        <f t="shared" ref="AL65:AO65" si="139">+AL295</f>
        <v>-7.550604057765236E-3</v>
      </c>
      <c r="AM65" s="1730">
        <f t="shared" si="139"/>
        <v>-7.648281048834275E-3</v>
      </c>
      <c r="AN65" s="1727">
        <f t="shared" si="139"/>
        <v>0.10087256272883061</v>
      </c>
      <c r="AO65" s="1728">
        <f t="shared" si="139"/>
        <v>0.10899384524198667</v>
      </c>
      <c r="AP65" s="1728">
        <f t="shared" ref="AP65:AR65" si="140">+AP295</f>
        <v>9.713259272489877E-2</v>
      </c>
      <c r="AQ65" s="1729">
        <f t="shared" si="140"/>
        <v>0.10684525261347648</v>
      </c>
      <c r="AR65" s="1730">
        <f t="shared" si="140"/>
        <v>0.10176747393785457</v>
      </c>
      <c r="AS65" s="1727">
        <f t="shared" ca="1" si="136"/>
        <v>8.8628267052477311E-2</v>
      </c>
      <c r="AT65" s="1728">
        <f t="shared" ca="1" si="136"/>
        <v>8.2655311480504645E-2</v>
      </c>
      <c r="AU65" s="1728">
        <f t="shared" ca="1" si="136"/>
        <v>8.4030922354753512E-2</v>
      </c>
      <c r="AV65" s="1729">
        <f t="shared" ca="1" si="136"/>
        <v>8.945209703067207E-2</v>
      </c>
      <c r="AW65" s="1730">
        <f t="shared" ca="1" si="136"/>
        <v>9.6255366073392884E-2</v>
      </c>
      <c r="AX65" s="1727">
        <f t="shared" ref="AX65:BG65" ca="1" si="141">+AX295</f>
        <v>8.686107570130476E-2</v>
      </c>
      <c r="AY65" s="1728">
        <f t="shared" ca="1" si="141"/>
        <v>8.5013740662753148E-2</v>
      </c>
      <c r="AZ65" s="1728">
        <f t="shared" ca="1" si="141"/>
        <v>8.5136007564328112E-2</v>
      </c>
      <c r="BA65" s="1729">
        <f t="shared" ca="1" si="141"/>
        <v>8.5073074889457603E-2</v>
      </c>
      <c r="BB65" s="1730">
        <f t="shared" ca="1" si="141"/>
        <v>8.7720882657434621E-2</v>
      </c>
      <c r="BC65" s="1727">
        <f t="shared" ca="1" si="141"/>
        <v>8.4715712654540781E-2</v>
      </c>
      <c r="BD65" s="1728">
        <f t="shared" ca="1" si="141"/>
        <v>8.6038450976286041E-2</v>
      </c>
      <c r="BE65" s="1728">
        <f t="shared" ca="1" si="141"/>
        <v>8.6473359466332514E-2</v>
      </c>
      <c r="BF65" s="1729">
        <f t="shared" ca="1" si="141"/>
        <v>8.6659542833470091E-2</v>
      </c>
      <c r="BG65" s="1730">
        <f t="shared" ca="1" si="141"/>
        <v>8.7651296595157566E-2</v>
      </c>
      <c r="BH65" s="1727">
        <f t="shared" ref="BH65:BL65" ca="1" si="142">+BH295</f>
        <v>8.5842613535829476E-2</v>
      </c>
      <c r="BI65" s="1728">
        <f t="shared" ca="1" si="142"/>
        <v>8.6321330861103426E-2</v>
      </c>
      <c r="BJ65" s="1728">
        <f t="shared" ca="1" si="142"/>
        <v>8.6693689134874199E-2</v>
      </c>
      <c r="BK65" s="1729">
        <f t="shared" ca="1" si="142"/>
        <v>8.6797264887012698E-2</v>
      </c>
      <c r="BL65" s="1731">
        <f t="shared" ca="1" si="142"/>
        <v>8.7712301695863595E-2</v>
      </c>
      <c r="BM65" s="890"/>
      <c r="BN65" s="2159"/>
      <c r="BO65" s="2159"/>
      <c r="BP65" s="2159"/>
      <c r="BQ65" s="890"/>
      <c r="BR65" s="890"/>
      <c r="BS65" s="890"/>
      <c r="BT65" s="890"/>
      <c r="BU65" s="890"/>
      <c r="BV65" s="890"/>
      <c r="BW65" s="890"/>
      <c r="BX65" s="890"/>
      <c r="BY65" s="890"/>
      <c r="BZ65" s="890"/>
      <c r="CA65" s="890"/>
      <c r="CB65" s="890"/>
      <c r="CC65" s="890"/>
      <c r="CD65" s="890"/>
      <c r="CE65" s="890"/>
      <c r="CF65" s="890"/>
      <c r="CG65" s="890"/>
      <c r="CH65" s="890"/>
      <c r="CI65" s="890"/>
      <c r="CJ65" s="890"/>
      <c r="CK65" s="890"/>
      <c r="CL65" s="890"/>
      <c r="CM65" s="890"/>
      <c r="CN65" s="890"/>
      <c r="CO65" s="890"/>
      <c r="CP65" s="890"/>
    </row>
    <row r="66" spans="1:94">
      <c r="A66" s="890"/>
      <c r="B66" s="890"/>
      <c r="C66" s="909"/>
      <c r="D66" s="890"/>
      <c r="E66" s="891"/>
      <c r="F66" s="892"/>
      <c r="G66" s="892"/>
      <c r="H66" s="893"/>
      <c r="I66" s="894"/>
      <c r="J66" s="891"/>
      <c r="K66" s="892"/>
      <c r="L66" s="892"/>
      <c r="M66" s="893"/>
      <c r="N66" s="894"/>
      <c r="O66" s="891"/>
      <c r="P66" s="892"/>
      <c r="Q66" s="892"/>
      <c r="R66" s="893"/>
      <c r="S66" s="894"/>
      <c r="T66" s="891"/>
      <c r="U66" s="892"/>
      <c r="V66" s="892"/>
      <c r="W66" s="893"/>
      <c r="X66" s="894"/>
      <c r="Y66" s="891"/>
      <c r="Z66" s="892"/>
      <c r="AA66" s="892"/>
      <c r="AB66" s="893"/>
      <c r="AC66" s="894"/>
      <c r="AD66" s="891"/>
      <c r="AE66" s="892"/>
      <c r="AF66" s="892"/>
      <c r="AG66" s="893"/>
      <c r="AH66" s="894"/>
      <c r="AI66" s="891"/>
      <c r="AJ66" s="892"/>
      <c r="AK66" s="892"/>
      <c r="AL66" s="893"/>
      <c r="AM66" s="894"/>
      <c r="AN66" s="891"/>
      <c r="AO66" s="892"/>
      <c r="AP66" s="892"/>
      <c r="AQ66" s="893"/>
      <c r="AR66" s="894"/>
      <c r="AS66" s="2257"/>
      <c r="AT66" s="2258"/>
      <c r="AU66" s="2258"/>
      <c r="AV66" s="2259"/>
      <c r="AW66" s="894"/>
      <c r="AX66" s="2023"/>
      <c r="AY66" s="2024"/>
      <c r="AZ66" s="2024"/>
      <c r="BA66" s="2025"/>
      <c r="BB66" s="894"/>
      <c r="BC66" s="2023"/>
      <c r="BD66" s="2024"/>
      <c r="BE66" s="2024"/>
      <c r="BF66" s="2025"/>
      <c r="BG66" s="894"/>
      <c r="BH66" s="2023"/>
      <c r="BI66" s="2024"/>
      <c r="BJ66" s="2024"/>
      <c r="BK66" s="2025"/>
      <c r="BL66" s="894"/>
      <c r="BM66" s="890"/>
      <c r="BN66" s="2159"/>
      <c r="BO66" s="2159"/>
      <c r="BP66" s="2159"/>
      <c r="BQ66" s="890"/>
      <c r="BR66" s="890"/>
      <c r="BS66" s="890"/>
      <c r="BT66" s="890"/>
      <c r="BU66" s="890"/>
      <c r="BV66" s="890"/>
      <c r="BW66" s="890"/>
      <c r="BX66" s="890"/>
      <c r="BY66" s="890"/>
      <c r="BZ66" s="890"/>
      <c r="CA66" s="890"/>
      <c r="CB66" s="890"/>
      <c r="CC66" s="890"/>
      <c r="CD66" s="890"/>
      <c r="CE66" s="890"/>
      <c r="CF66" s="890"/>
      <c r="CG66" s="890"/>
      <c r="CH66" s="890"/>
      <c r="CI66" s="890"/>
      <c r="CJ66" s="890"/>
      <c r="CK66" s="890"/>
      <c r="CL66" s="890"/>
      <c r="CM66" s="890"/>
      <c r="CN66" s="890"/>
      <c r="CO66" s="890"/>
      <c r="CP66" s="890"/>
    </row>
    <row r="67" spans="1:94">
      <c r="A67" s="890"/>
      <c r="B67" s="890"/>
      <c r="C67" s="909"/>
      <c r="D67" s="890"/>
      <c r="E67" s="891"/>
      <c r="F67" s="892"/>
      <c r="G67" s="892"/>
      <c r="H67" s="893"/>
      <c r="I67" s="894"/>
      <c r="J67" s="891"/>
      <c r="K67" s="892"/>
      <c r="L67" s="892"/>
      <c r="M67" s="893"/>
      <c r="N67" s="894"/>
      <c r="O67" s="891"/>
      <c r="P67" s="892"/>
      <c r="Q67" s="892"/>
      <c r="R67" s="893"/>
      <c r="S67" s="894"/>
      <c r="T67" s="891"/>
      <c r="U67" s="892"/>
      <c r="V67" s="892"/>
      <c r="W67" s="893"/>
      <c r="X67" s="894"/>
      <c r="Y67" s="891"/>
      <c r="Z67" s="892"/>
      <c r="AA67" s="892"/>
      <c r="AB67" s="893"/>
      <c r="AC67" s="894"/>
      <c r="AD67" s="891"/>
      <c r="AE67" s="892"/>
      <c r="AF67" s="892"/>
      <c r="AG67" s="893"/>
      <c r="AH67" s="894"/>
      <c r="AI67" s="891"/>
      <c r="AJ67" s="892"/>
      <c r="AK67" s="892"/>
      <c r="AL67" s="893"/>
      <c r="AM67" s="894"/>
      <c r="AN67" s="891"/>
      <c r="AO67" s="892"/>
      <c r="AP67" s="892"/>
      <c r="AQ67" s="893"/>
      <c r="AR67" s="894"/>
      <c r="AS67" s="891"/>
      <c r="AT67" s="892"/>
      <c r="AU67" s="892"/>
      <c r="AV67" s="893"/>
      <c r="AW67" s="894"/>
      <c r="AX67" s="2023"/>
      <c r="AY67" s="2024"/>
      <c r="AZ67" s="2024"/>
      <c r="BA67" s="2025"/>
      <c r="BB67" s="894"/>
      <c r="BC67" s="2023"/>
      <c r="BD67" s="2024"/>
      <c r="BE67" s="2024"/>
      <c r="BF67" s="2025"/>
      <c r="BG67" s="894"/>
      <c r="BH67" s="2023"/>
      <c r="BI67" s="2024"/>
      <c r="BJ67" s="2024"/>
      <c r="BK67" s="2025"/>
      <c r="BL67" s="894"/>
      <c r="BM67" s="890"/>
      <c r="BN67" s="890"/>
      <c r="BO67" s="890"/>
      <c r="BP67" s="890"/>
      <c r="BQ67" s="890"/>
      <c r="BR67" s="890"/>
      <c r="BS67" s="890"/>
      <c r="BT67" s="890"/>
      <c r="BU67" s="890"/>
      <c r="BV67" s="890"/>
      <c r="BW67" s="890"/>
      <c r="BX67" s="890"/>
      <c r="BY67" s="890"/>
      <c r="BZ67" s="890"/>
      <c r="CA67" s="890"/>
      <c r="CB67" s="890"/>
      <c r="CC67" s="890"/>
      <c r="CD67" s="890"/>
      <c r="CE67" s="890"/>
      <c r="CF67" s="890"/>
      <c r="CG67" s="890"/>
      <c r="CH67" s="890"/>
      <c r="CI67" s="890"/>
      <c r="CJ67" s="890"/>
      <c r="CK67" s="890"/>
      <c r="CL67" s="890"/>
      <c r="CM67" s="890"/>
      <c r="CN67" s="890"/>
      <c r="CO67" s="890"/>
      <c r="CP67" s="890"/>
    </row>
    <row r="68" spans="1:94">
      <c r="A68" s="890"/>
      <c r="B68" s="1681" t="s">
        <v>128</v>
      </c>
      <c r="C68" s="1682"/>
      <c r="D68" s="1683"/>
      <c r="E68" s="891"/>
      <c r="F68" s="892"/>
      <c r="G68" s="892"/>
      <c r="H68" s="893"/>
      <c r="I68" s="894"/>
      <c r="J68" s="891"/>
      <c r="K68" s="892"/>
      <c r="L68" s="892"/>
      <c r="M68" s="893"/>
      <c r="N68" s="894"/>
      <c r="O68" s="891"/>
      <c r="P68" s="892"/>
      <c r="Q68" s="892"/>
      <c r="R68" s="893"/>
      <c r="S68" s="894"/>
      <c r="T68" s="891"/>
      <c r="U68" s="892"/>
      <c r="V68" s="892"/>
      <c r="W68" s="893"/>
      <c r="X68" s="894"/>
      <c r="Y68" s="891"/>
      <c r="Z68" s="892"/>
      <c r="AA68" s="892"/>
      <c r="AB68" s="893"/>
      <c r="AC68" s="894"/>
      <c r="AD68" s="891"/>
      <c r="AE68" s="892"/>
      <c r="AF68" s="892"/>
      <c r="AG68" s="893"/>
      <c r="AH68" s="894"/>
      <c r="AI68" s="891"/>
      <c r="AJ68" s="892"/>
      <c r="AK68" s="892"/>
      <c r="AL68" s="893"/>
      <c r="AM68" s="894"/>
      <c r="AN68" s="891"/>
      <c r="AO68" s="892"/>
      <c r="AP68" s="892"/>
      <c r="AQ68" s="893"/>
      <c r="AR68" s="894"/>
      <c r="AS68" s="891"/>
      <c r="AT68" s="892"/>
      <c r="AU68" s="892"/>
      <c r="AV68" s="893"/>
      <c r="AW68" s="894"/>
      <c r="AX68" s="891"/>
      <c r="AY68" s="892"/>
      <c r="AZ68" s="892"/>
      <c r="BA68" s="893"/>
      <c r="BB68" s="894"/>
      <c r="BC68" s="891"/>
      <c r="BD68" s="892"/>
      <c r="BE68" s="892"/>
      <c r="BF68" s="893"/>
      <c r="BG68" s="894"/>
      <c r="BH68" s="891"/>
      <c r="BI68" s="892"/>
      <c r="BJ68" s="892"/>
      <c r="BK68" s="893"/>
      <c r="BL68" s="894"/>
      <c r="BM68" s="890"/>
      <c r="BN68" s="890"/>
      <c r="BO68" s="890"/>
      <c r="BP68" s="890"/>
      <c r="BQ68" s="890"/>
      <c r="BR68" s="890"/>
      <c r="BS68" s="890"/>
      <c r="BT68" s="890"/>
      <c r="BU68" s="890"/>
      <c r="BV68" s="890"/>
      <c r="BW68" s="890"/>
      <c r="BX68" s="890"/>
      <c r="BY68" s="890"/>
      <c r="BZ68" s="890"/>
      <c r="CA68" s="890"/>
      <c r="CB68" s="890"/>
      <c r="CC68" s="890"/>
      <c r="CD68" s="890"/>
      <c r="CE68" s="890"/>
      <c r="CF68" s="890"/>
      <c r="CG68" s="890"/>
      <c r="CH68" s="890"/>
      <c r="CI68" s="890"/>
      <c r="CJ68" s="890"/>
      <c r="CK68" s="890"/>
      <c r="CL68" s="890"/>
      <c r="CM68" s="890"/>
      <c r="CN68" s="890"/>
      <c r="CO68" s="890"/>
      <c r="CP68" s="890"/>
    </row>
    <row r="69" spans="1:94">
      <c r="A69" s="45"/>
      <c r="B69" s="45"/>
      <c r="C69" s="228"/>
      <c r="D69" s="45"/>
      <c r="E69" s="292"/>
      <c r="F69" s="261"/>
      <c r="G69" s="261"/>
      <c r="H69" s="293"/>
      <c r="I69" s="228"/>
      <c r="J69" s="292"/>
      <c r="K69" s="261"/>
      <c r="L69" s="261"/>
      <c r="M69" s="293"/>
      <c r="N69" s="228"/>
      <c r="O69" s="292"/>
      <c r="P69" s="261"/>
      <c r="Q69" s="261"/>
      <c r="R69" s="293"/>
      <c r="S69" s="228"/>
      <c r="T69" s="292"/>
      <c r="U69" s="261"/>
      <c r="V69" s="261"/>
      <c r="W69" s="293"/>
      <c r="X69" s="228"/>
      <c r="Y69" s="292"/>
      <c r="Z69" s="261"/>
      <c r="AA69" s="261"/>
      <c r="AB69" s="293"/>
      <c r="AC69" s="228"/>
      <c r="AD69" s="292"/>
      <c r="AE69" s="261"/>
      <c r="AF69" s="261"/>
      <c r="AG69" s="293"/>
      <c r="AH69" s="228"/>
      <c r="AI69" s="292"/>
      <c r="AJ69" s="261"/>
      <c r="AK69" s="261"/>
      <c r="AL69" s="293"/>
      <c r="AM69" s="228"/>
      <c r="AN69" s="292"/>
      <c r="AO69" s="261"/>
      <c r="AP69" s="261"/>
      <c r="AQ69" s="293"/>
      <c r="AR69" s="228"/>
      <c r="AS69" s="292"/>
      <c r="AT69" s="261"/>
      <c r="AU69" s="261"/>
      <c r="AV69" s="293"/>
      <c r="AW69" s="228"/>
      <c r="AX69" s="292"/>
      <c r="AY69" s="261"/>
      <c r="AZ69" s="261"/>
      <c r="BA69" s="293"/>
      <c r="BB69" s="228"/>
      <c r="BC69" s="292"/>
      <c r="BD69" s="261"/>
      <c r="BE69" s="261"/>
      <c r="BF69" s="293"/>
      <c r="BG69" s="228"/>
      <c r="BH69" s="292"/>
      <c r="BI69" s="261"/>
      <c r="BJ69" s="261"/>
      <c r="BK69" s="293"/>
      <c r="BL69" s="228"/>
      <c r="BM69" s="45"/>
      <c r="BN69" s="45"/>
      <c r="BO69" s="45"/>
      <c r="BP69" s="45"/>
      <c r="BQ69" s="45"/>
      <c r="BR69" s="45"/>
      <c r="BS69" s="45"/>
      <c r="BT69" s="45"/>
      <c r="BU69" s="45"/>
      <c r="BV69" s="45"/>
      <c r="BW69" s="45"/>
      <c r="BX69" s="45"/>
      <c r="BY69" s="45"/>
      <c r="BZ69" s="45"/>
      <c r="CA69" s="45"/>
      <c r="CB69" s="45"/>
      <c r="CC69" s="45"/>
      <c r="CD69" s="45"/>
      <c r="CE69" s="45"/>
      <c r="CF69" s="45"/>
      <c r="CG69" s="45"/>
      <c r="CH69" s="45"/>
      <c r="CI69" s="45"/>
      <c r="CJ69" s="45"/>
      <c r="CK69" s="45"/>
      <c r="CL69" s="45"/>
      <c r="CM69" s="45"/>
      <c r="CN69" s="45"/>
      <c r="CO69" s="45"/>
      <c r="CP69" s="45"/>
    </row>
    <row r="70" spans="1:94">
      <c r="A70" s="45"/>
      <c r="B70" s="45"/>
      <c r="C70" s="909" t="s">
        <v>129</v>
      </c>
      <c r="D70" s="45"/>
      <c r="E70" s="292"/>
      <c r="F70" s="261"/>
      <c r="G70" s="261"/>
      <c r="H70" s="293"/>
      <c r="I70" s="228">
        <f>+I8</f>
        <v>1163</v>
      </c>
      <c r="J70" s="292">
        <f>+J8</f>
        <v>298</v>
      </c>
      <c r="K70" s="261">
        <f>+K8</f>
        <v>245</v>
      </c>
      <c r="L70" s="261">
        <f>+L8</f>
        <v>298</v>
      </c>
      <c r="M70" s="293">
        <f>+N70-SUM(J70:L70)</f>
        <v>233</v>
      </c>
      <c r="N70" s="228">
        <f>+N8</f>
        <v>1074</v>
      </c>
      <c r="O70" s="292">
        <f>+O8</f>
        <v>259</v>
      </c>
      <c r="P70" s="261">
        <f>+P8</f>
        <v>235</v>
      </c>
      <c r="Q70" s="261">
        <f>+Q8</f>
        <v>314</v>
      </c>
      <c r="R70" s="293">
        <f>+S70-SUM(O70:Q70)</f>
        <v>242</v>
      </c>
      <c r="S70" s="228">
        <f>+S8</f>
        <v>1050</v>
      </c>
      <c r="T70" s="292">
        <f>+T8</f>
        <v>285</v>
      </c>
      <c r="U70" s="261">
        <f>+U8</f>
        <v>237</v>
      </c>
      <c r="V70" s="261">
        <f>+V8</f>
        <v>273</v>
      </c>
      <c r="W70" s="293">
        <f>+X70-SUM(T70:V70)</f>
        <v>258</v>
      </c>
      <c r="X70" s="228">
        <f>+X8</f>
        <v>1053</v>
      </c>
      <c r="Y70" s="292">
        <f>+Y8</f>
        <v>300</v>
      </c>
      <c r="Z70" s="261">
        <f>+Z8</f>
        <v>251</v>
      </c>
      <c r="AA70" s="261">
        <f>+AA8</f>
        <v>289</v>
      </c>
      <c r="AB70" s="293">
        <f>+AC70-SUM(Y70:AA70)</f>
        <v>259</v>
      </c>
      <c r="AC70" s="228">
        <f>+AC8</f>
        <v>1099</v>
      </c>
      <c r="AD70" s="292">
        <f>+AD8</f>
        <v>337</v>
      </c>
      <c r="AE70" s="261">
        <f>+AE8</f>
        <v>250</v>
      </c>
      <c r="AF70" s="261">
        <f>+AF8</f>
        <v>298</v>
      </c>
      <c r="AG70" s="293">
        <f>+AH70-SUM(AD70:AF70)</f>
        <v>268</v>
      </c>
      <c r="AH70" s="228">
        <f>+AH8</f>
        <v>1153</v>
      </c>
      <c r="AI70" s="292">
        <f>+AI8</f>
        <v>301</v>
      </c>
      <c r="AJ70" s="261">
        <f>+AJ8</f>
        <v>253</v>
      </c>
      <c r="AK70" s="261">
        <f>+AK8</f>
        <v>312</v>
      </c>
      <c r="AL70" s="293">
        <f>+AM70-SUM(AI70:AK70)</f>
        <v>256</v>
      </c>
      <c r="AM70" s="228">
        <f>+AM8</f>
        <v>1122</v>
      </c>
      <c r="AN70" s="292">
        <f>+AN8</f>
        <v>294</v>
      </c>
      <c r="AO70" s="261">
        <f>+AO8</f>
        <v>258</v>
      </c>
      <c r="AP70" s="261">
        <f t="shared" ref="AP70" si="143">+AP8</f>
        <v>307</v>
      </c>
      <c r="AQ70" s="293">
        <f>+AR70-SUM(AN70:AP70)</f>
        <v>272</v>
      </c>
      <c r="AR70" s="228">
        <f>+AR8</f>
        <v>1131</v>
      </c>
      <c r="AS70" s="292">
        <f>AS74*AS89/1000</f>
        <v>289.16977979957801</v>
      </c>
      <c r="AT70" s="261">
        <f>AT74*AT89/1000</f>
        <v>255.40311313291136</v>
      </c>
      <c r="AU70" s="261">
        <f>AU74*AU89/1000</f>
        <v>305.19061313291144</v>
      </c>
      <c r="AV70" s="293">
        <f>AV74*AV89/1000</f>
        <v>270.19061313291138</v>
      </c>
      <c r="AW70" s="228">
        <f>SUM(AS70:AV70)</f>
        <v>1119.9541191983121</v>
      </c>
      <c r="AX70" s="292">
        <f>AX74*AX89/1000</f>
        <v>294.40284230942143</v>
      </c>
      <c r="AY70" s="261">
        <f>AY74*AY89/1000</f>
        <v>258.40284230942149</v>
      </c>
      <c r="AZ70" s="261">
        <f>AZ74*AZ89/1000</f>
        <v>308.65284230942154</v>
      </c>
      <c r="BA70" s="293">
        <f>BA74*BA89/1000</f>
        <v>273.65284230942149</v>
      </c>
      <c r="BB70" s="228">
        <f>SUM(AX70:BA70)</f>
        <v>1135.1113692376859</v>
      </c>
      <c r="BC70" s="292">
        <f>BC74*BC89/1000</f>
        <v>297.78381153961675</v>
      </c>
      <c r="BD70" s="261">
        <f>BD74*BD89/1000</f>
        <v>261.78381153961669</v>
      </c>
      <c r="BE70" s="261">
        <f>BE74*BE89/1000</f>
        <v>310.78381153961681</v>
      </c>
      <c r="BF70" s="293">
        <f>BF74*BF89/1000</f>
        <v>275.78381153961681</v>
      </c>
      <c r="BG70" s="228">
        <f>SUM(BC70:BF70)</f>
        <v>1146.1352461584672</v>
      </c>
      <c r="BH70" s="292">
        <f>BH74*BH89/1000</f>
        <v>299.86253294230914</v>
      </c>
      <c r="BI70" s="261">
        <f>BI74*BI89/1000</f>
        <v>263.86253294230914</v>
      </c>
      <c r="BJ70" s="261">
        <f>BJ74*BJ89/1000</f>
        <v>312.86253294230914</v>
      </c>
      <c r="BK70" s="293">
        <f>BK74*BK89/1000</f>
        <v>277.86253294230914</v>
      </c>
      <c r="BL70" s="228">
        <f>SUM(BH70:BK70)</f>
        <v>1154.4501317692366</v>
      </c>
      <c r="BM70" s="45"/>
      <c r="BN70" s="45"/>
      <c r="BO70" s="45"/>
      <c r="BP70" s="45"/>
      <c r="BQ70" s="45"/>
      <c r="BR70" s="45"/>
      <c r="BS70" s="45"/>
      <c r="BT70" s="45"/>
      <c r="BU70" s="45"/>
      <c r="BV70" s="45"/>
      <c r="BW70" s="45"/>
      <c r="BX70" s="45"/>
      <c r="BY70" s="45"/>
      <c r="BZ70" s="45"/>
      <c r="CA70" s="45"/>
      <c r="CB70" s="45"/>
      <c r="CC70" s="45"/>
      <c r="CD70" s="45"/>
      <c r="CE70" s="45"/>
      <c r="CF70" s="45"/>
      <c r="CG70" s="45"/>
      <c r="CH70" s="45"/>
      <c r="CI70" s="45"/>
      <c r="CJ70" s="45"/>
      <c r="CK70" s="45"/>
      <c r="CL70" s="45"/>
      <c r="CM70" s="45"/>
      <c r="CN70" s="45"/>
      <c r="CO70" s="45"/>
      <c r="CP70" s="45"/>
    </row>
    <row r="71" spans="1:94">
      <c r="A71" s="45"/>
      <c r="B71" s="45"/>
      <c r="C71" s="228"/>
      <c r="D71" s="45"/>
      <c r="E71" s="292"/>
      <c r="F71" s="261"/>
      <c r="G71" s="261"/>
      <c r="H71" s="293"/>
      <c r="I71" s="228"/>
      <c r="J71" s="292"/>
      <c r="K71" s="261"/>
      <c r="L71" s="261"/>
      <c r="M71" s="293"/>
      <c r="N71" s="228"/>
      <c r="O71" s="292"/>
      <c r="P71" s="261"/>
      <c r="Q71" s="261"/>
      <c r="R71" s="293"/>
      <c r="S71" s="228"/>
      <c r="T71" s="292"/>
      <c r="U71" s="261"/>
      <c r="V71" s="261"/>
      <c r="W71" s="293"/>
      <c r="X71" s="228"/>
      <c r="Y71" s="292"/>
      <c r="Z71" s="261"/>
      <c r="AA71" s="261"/>
      <c r="AB71" s="293"/>
      <c r="AC71" s="228"/>
      <c r="AD71" s="292"/>
      <c r="AE71" s="261"/>
      <c r="AF71" s="261"/>
      <c r="AG71" s="293"/>
      <c r="AH71" s="228"/>
      <c r="AI71" s="292"/>
      <c r="AJ71" s="261"/>
      <c r="AK71" s="261"/>
      <c r="AL71" s="293"/>
      <c r="AM71" s="228"/>
      <c r="AN71" s="292"/>
      <c r="AO71" s="261"/>
      <c r="AP71" s="261"/>
      <c r="AQ71" s="293"/>
      <c r="AR71" s="228"/>
      <c r="AS71" s="292"/>
      <c r="AT71" s="261"/>
      <c r="AU71" s="261"/>
      <c r="AV71" s="293"/>
      <c r="AW71" s="228"/>
      <c r="AX71" s="292"/>
      <c r="AY71" s="261"/>
      <c r="AZ71" s="261"/>
      <c r="BA71" s="293"/>
      <c r="BB71" s="228"/>
      <c r="BC71" s="292"/>
      <c r="BD71" s="261"/>
      <c r="BE71" s="261"/>
      <c r="BF71" s="293"/>
      <c r="BG71" s="228"/>
      <c r="BH71" s="292"/>
      <c r="BI71" s="261"/>
      <c r="BJ71" s="261"/>
      <c r="BK71" s="293"/>
      <c r="BL71" s="228"/>
      <c r="BM71" s="45"/>
      <c r="BN71" s="45"/>
      <c r="BO71" s="45"/>
      <c r="BP71" s="45"/>
      <c r="BQ71" s="45"/>
      <c r="BR71" s="45"/>
      <c r="BS71" s="45"/>
      <c r="BT71" s="45"/>
      <c r="BU71" s="45"/>
      <c r="BV71" s="45"/>
      <c r="BW71" s="45"/>
      <c r="BX71" s="45"/>
      <c r="BY71" s="45"/>
      <c r="BZ71" s="45"/>
      <c r="CA71" s="45"/>
      <c r="CB71" s="45"/>
      <c r="CC71" s="45"/>
      <c r="CD71" s="45"/>
      <c r="CE71" s="45"/>
      <c r="CF71" s="45"/>
      <c r="CG71" s="45"/>
      <c r="CH71" s="45"/>
      <c r="CI71" s="45"/>
      <c r="CJ71" s="45"/>
      <c r="CK71" s="45"/>
      <c r="CL71" s="45"/>
      <c r="CM71" s="45"/>
      <c r="CN71" s="45"/>
      <c r="CO71" s="45"/>
      <c r="CP71" s="45"/>
    </row>
    <row r="72" spans="1:94">
      <c r="A72" s="45"/>
      <c r="B72" s="45"/>
      <c r="C72" s="909" t="s">
        <v>130</v>
      </c>
      <c r="D72" s="45"/>
      <c r="E72" s="292"/>
      <c r="F72" s="261"/>
      <c r="G72" s="261"/>
      <c r="H72" s="293"/>
      <c r="I72" s="228"/>
      <c r="J72" s="292"/>
      <c r="K72" s="261"/>
      <c r="L72" s="261"/>
      <c r="M72" s="293"/>
      <c r="N72" s="228"/>
      <c r="O72" s="292"/>
      <c r="P72" s="261"/>
      <c r="Q72" s="261"/>
      <c r="R72" s="293"/>
      <c r="S72" s="228"/>
      <c r="T72" s="292"/>
      <c r="U72" s="261"/>
      <c r="V72" s="261"/>
      <c r="W72" s="293"/>
      <c r="X72" s="228"/>
      <c r="Y72" s="292"/>
      <c r="Z72" s="261"/>
      <c r="AA72" s="261"/>
      <c r="AB72" s="293"/>
      <c r="AC72" s="228"/>
      <c r="AD72" s="292"/>
      <c r="AE72" s="261"/>
      <c r="AF72" s="261"/>
      <c r="AG72" s="293"/>
      <c r="AH72" s="228"/>
      <c r="AI72" s="292"/>
      <c r="AJ72" s="261"/>
      <c r="AK72" s="261"/>
      <c r="AL72" s="293"/>
      <c r="AM72" s="228"/>
      <c r="AN72" s="292"/>
      <c r="AO72" s="261"/>
      <c r="AP72" s="261"/>
      <c r="AQ72" s="293"/>
      <c r="AR72" s="228"/>
      <c r="AS72" s="292"/>
      <c r="AT72" s="261"/>
      <c r="AU72" s="261"/>
      <c r="AV72" s="293"/>
      <c r="AW72" s="228"/>
      <c r="AX72" s="292"/>
      <c r="AY72" s="261"/>
      <c r="AZ72" s="261"/>
      <c r="BA72" s="293"/>
      <c r="BB72" s="228"/>
      <c r="BC72" s="292"/>
      <c r="BD72" s="261"/>
      <c r="BE72" s="261"/>
      <c r="BF72" s="293"/>
      <c r="BG72" s="228"/>
      <c r="BH72" s="292"/>
      <c r="BI72" s="261"/>
      <c r="BJ72" s="261"/>
      <c r="BK72" s="293"/>
      <c r="BL72" s="228"/>
      <c r="BM72" s="45"/>
      <c r="BN72" s="45"/>
      <c r="BO72" s="45"/>
      <c r="BP72" s="45"/>
      <c r="BQ72" s="45"/>
      <c r="BR72" s="45"/>
      <c r="BS72" s="45"/>
      <c r="BT72" s="45"/>
      <c r="BU72" s="45"/>
      <c r="BV72" s="45"/>
      <c r="BW72" s="45"/>
      <c r="BX72" s="45"/>
      <c r="BY72" s="45"/>
      <c r="BZ72" s="45"/>
      <c r="CA72" s="45"/>
      <c r="CB72" s="45"/>
      <c r="CC72" s="45"/>
      <c r="CD72" s="45"/>
      <c r="CE72" s="45"/>
      <c r="CF72" s="45"/>
      <c r="CG72" s="45"/>
      <c r="CH72" s="45"/>
      <c r="CI72" s="45"/>
      <c r="CJ72" s="45"/>
      <c r="CK72" s="45"/>
      <c r="CL72" s="45"/>
      <c r="CM72" s="45"/>
      <c r="CN72" s="45"/>
      <c r="CO72" s="45"/>
      <c r="CP72" s="45"/>
    </row>
    <row r="73" spans="1:94">
      <c r="A73" s="45"/>
      <c r="B73" s="45"/>
      <c r="C73" s="895" t="s">
        <v>770</v>
      </c>
      <c r="D73" s="45"/>
      <c r="E73" s="1732"/>
      <c r="F73" s="1733"/>
      <c r="G73" s="1733"/>
      <c r="H73" s="1734"/>
      <c r="I73" s="1735">
        <v>12853</v>
      </c>
      <c r="J73" s="1732">
        <v>3276</v>
      </c>
      <c r="K73" s="1733">
        <f>6228-J73</f>
        <v>2952</v>
      </c>
      <c r="L73" s="1733">
        <f>9767-SUM(J73:K73)</f>
        <v>3539</v>
      </c>
      <c r="M73" s="1734">
        <f>N73-SUM(J73:L73)</f>
        <v>2921</v>
      </c>
      <c r="N73" s="1735">
        <v>12688</v>
      </c>
      <c r="O73" s="1732">
        <v>3045</v>
      </c>
      <c r="P73" s="1733">
        <f>5960-O73</f>
        <v>2915</v>
      </c>
      <c r="Q73" s="1733">
        <f>9694-SUM(O73:P73)</f>
        <v>3734</v>
      </c>
      <c r="R73" s="1734">
        <f>S73-SUM(O73:Q73)</f>
        <v>2947</v>
      </c>
      <c r="S73" s="1735">
        <v>12641</v>
      </c>
      <c r="T73" s="1732">
        <v>3330</v>
      </c>
      <c r="U73" s="1733">
        <f>6213-T73</f>
        <v>2883</v>
      </c>
      <c r="V73" s="1733">
        <f>9506-SUM(T73:U73)</f>
        <v>3293</v>
      </c>
      <c r="W73" s="1734">
        <f>X73-SUM(T73:V73)</f>
        <v>2959</v>
      </c>
      <c r="X73" s="1735">
        <v>12465</v>
      </c>
      <c r="Y73" s="1732">
        <v>3318</v>
      </c>
      <c r="Z73" s="1733">
        <f>6272-Y73</f>
        <v>2954</v>
      </c>
      <c r="AA73" s="1733">
        <f>9492-SUM(Y73:Z73)</f>
        <v>3220</v>
      </c>
      <c r="AB73" s="1734">
        <f>AC73-SUM(Y73:AA73)</f>
        <v>2921</v>
      </c>
      <c r="AC73" s="1735">
        <v>12413</v>
      </c>
      <c r="AD73" s="1732">
        <v>3494</v>
      </c>
      <c r="AE73" s="1733">
        <f>6346-AD73</f>
        <v>2852</v>
      </c>
      <c r="AF73" s="1733">
        <f>9683-SUM(AD73:AE73)</f>
        <v>3337</v>
      </c>
      <c r="AG73" s="1734">
        <f>AH73-SUM(AD73:AF73)</f>
        <v>2791</v>
      </c>
      <c r="AH73" s="1735">
        <v>12474</v>
      </c>
      <c r="AI73" s="1732">
        <v>3092</v>
      </c>
      <c r="AJ73" s="1733">
        <v>2746</v>
      </c>
      <c r="AK73" s="1733">
        <f>9339-SUM(AI73:AJ73)</f>
        <v>3501</v>
      </c>
      <c r="AL73" s="1734">
        <f>AM73-SUM(AI73:AK73)</f>
        <v>2801</v>
      </c>
      <c r="AM73" s="1735">
        <v>12140</v>
      </c>
      <c r="AN73" s="1732">
        <v>2967</v>
      </c>
      <c r="AO73" s="1733">
        <v>2714</v>
      </c>
      <c r="AP73" s="1733">
        <v>3330</v>
      </c>
      <c r="AQ73" s="1734">
        <f>AR73-SUM(AN73:AP73)</f>
        <v>2865</v>
      </c>
      <c r="AR73" s="1735">
        <v>11876</v>
      </c>
      <c r="AS73" s="290">
        <f>AN73*(1+AS$50)</f>
        <v>2967</v>
      </c>
      <c r="AT73" s="260">
        <f>AO73*(1+AT$50)</f>
        <v>2714</v>
      </c>
      <c r="AU73" s="260">
        <f>AP73*(1+AU$50)</f>
        <v>3330</v>
      </c>
      <c r="AV73" s="291">
        <f>AQ73*(1+AV$50)</f>
        <v>2865</v>
      </c>
      <c r="AW73" s="45">
        <f>SUM(AS73:AV73)</f>
        <v>11876</v>
      </c>
      <c r="AX73" s="290">
        <f>AS73*(1+AX$50)</f>
        <v>2967</v>
      </c>
      <c r="AY73" s="260">
        <f>AT73*(1+AY$50)</f>
        <v>2714</v>
      </c>
      <c r="AZ73" s="260">
        <f>AU73*(1+AZ$50)</f>
        <v>3330</v>
      </c>
      <c r="BA73" s="291">
        <f>AV73*(1+BA$50)</f>
        <v>2865</v>
      </c>
      <c r="BB73" s="45">
        <f>SUM(AX73:BA73)</f>
        <v>11876</v>
      </c>
      <c r="BC73" s="290">
        <f>AX73*(1+BC$50)</f>
        <v>2967</v>
      </c>
      <c r="BD73" s="260">
        <f>AY73*(1+BD$50)</f>
        <v>2714</v>
      </c>
      <c r="BE73" s="260">
        <f>AZ73*(1+BE$50)</f>
        <v>3330</v>
      </c>
      <c r="BF73" s="291">
        <f>BA73*(1+BF$50)</f>
        <v>2865</v>
      </c>
      <c r="BG73" s="45">
        <f>SUM(BC73:BF73)</f>
        <v>11876</v>
      </c>
      <c r="BH73" s="290">
        <f>BC73*(1+BH$50)</f>
        <v>2967</v>
      </c>
      <c r="BI73" s="260">
        <f>BD73*(1+BI$50)</f>
        <v>2714</v>
      </c>
      <c r="BJ73" s="260">
        <f>BE73*(1+BJ$50)</f>
        <v>3330</v>
      </c>
      <c r="BK73" s="291">
        <f>BF73*(1+BK$50)</f>
        <v>2865</v>
      </c>
      <c r="BL73" s="45">
        <f>SUM(BH73:BK73)</f>
        <v>11876</v>
      </c>
      <c r="BM73" s="45"/>
      <c r="BN73" s="45"/>
      <c r="BO73" s="45"/>
      <c r="BP73" s="45"/>
      <c r="BQ73" s="45"/>
      <c r="BR73" s="45"/>
      <c r="BS73" s="45"/>
      <c r="BT73" s="45"/>
      <c r="BU73" s="45"/>
      <c r="BV73" s="45"/>
      <c r="BW73" s="45"/>
      <c r="BX73" s="45"/>
      <c r="BY73" s="45"/>
      <c r="BZ73" s="45"/>
      <c r="CA73" s="45"/>
      <c r="CB73" s="45"/>
      <c r="CC73" s="45"/>
      <c r="CD73" s="45"/>
      <c r="CE73" s="45"/>
      <c r="CF73" s="45"/>
      <c r="CG73" s="45"/>
      <c r="CH73" s="45"/>
      <c r="CI73" s="45"/>
      <c r="CJ73" s="45"/>
      <c r="CK73" s="45"/>
      <c r="CL73" s="45"/>
      <c r="CM73" s="45"/>
      <c r="CN73" s="45"/>
      <c r="CO73" s="45"/>
      <c r="CP73" s="45"/>
    </row>
    <row r="74" spans="1:94">
      <c r="A74" s="45"/>
      <c r="B74" s="45"/>
      <c r="C74" s="909" t="s">
        <v>732</v>
      </c>
      <c r="D74" s="45"/>
      <c r="E74" s="292"/>
      <c r="F74" s="261"/>
      <c r="G74" s="261"/>
      <c r="H74" s="582"/>
      <c r="I74" s="228">
        <f>SUM(I73:I73)</f>
        <v>12853</v>
      </c>
      <c r="J74" s="292">
        <f>SUM(J73:J73)</f>
        <v>3276</v>
      </c>
      <c r="K74" s="261">
        <f>SUM(K73:K73)</f>
        <v>2952</v>
      </c>
      <c r="L74" s="261">
        <f>SUM(L73:L73)</f>
        <v>3539</v>
      </c>
      <c r="M74" s="582">
        <f>SUM(M73:M73)</f>
        <v>2921</v>
      </c>
      <c r="N74" s="228">
        <f>SUM(J74:M74)</f>
        <v>12688</v>
      </c>
      <c r="O74" s="292">
        <f>SUM(O73:O73)</f>
        <v>3045</v>
      </c>
      <c r="P74" s="261">
        <f>SUM(P73:P73)</f>
        <v>2915</v>
      </c>
      <c r="Q74" s="261">
        <f>SUM(Q73:Q73)</f>
        <v>3734</v>
      </c>
      <c r="R74" s="582">
        <f>SUM(R73:R73)</f>
        <v>2947</v>
      </c>
      <c r="S74" s="228">
        <f>SUM(O74:R74)</f>
        <v>12641</v>
      </c>
      <c r="T74" s="292">
        <f>SUM(T73:T73)</f>
        <v>3330</v>
      </c>
      <c r="U74" s="261">
        <f>SUM(U73:U73)</f>
        <v>2883</v>
      </c>
      <c r="V74" s="261">
        <f>SUM(V73:V73)</f>
        <v>3293</v>
      </c>
      <c r="W74" s="582">
        <f>SUM(W73:W73)</f>
        <v>2959</v>
      </c>
      <c r="X74" s="228">
        <f>SUM(T74:W74)</f>
        <v>12465</v>
      </c>
      <c r="Y74" s="292">
        <f>SUM(Y73:Y73)</f>
        <v>3318</v>
      </c>
      <c r="Z74" s="261">
        <f>SUM(Z73:Z73)</f>
        <v>2954</v>
      </c>
      <c r="AA74" s="261">
        <f>SUM(AA73:AA73)</f>
        <v>3220</v>
      </c>
      <c r="AB74" s="582">
        <f>SUM(AB73:AB73)</f>
        <v>2921</v>
      </c>
      <c r="AC74" s="228">
        <f>SUM(Y74:AB74)</f>
        <v>12413</v>
      </c>
      <c r="AD74" s="292">
        <f>SUM(AD73:AD73)</f>
        <v>3494</v>
      </c>
      <c r="AE74" s="261">
        <f>SUM(AE73:AE73)</f>
        <v>2852</v>
      </c>
      <c r="AF74" s="261">
        <f>SUM(AF73:AF73)</f>
        <v>3337</v>
      </c>
      <c r="AG74" s="582">
        <f>SUM(AG73:AG73)</f>
        <v>2791</v>
      </c>
      <c r="AH74" s="228">
        <f>SUM(AD74:AG74)</f>
        <v>12474</v>
      </c>
      <c r="AI74" s="292">
        <f>SUM(AI73:AI73)</f>
        <v>3092</v>
      </c>
      <c r="AJ74" s="261">
        <f>SUM(AJ73:AJ73)</f>
        <v>2746</v>
      </c>
      <c r="AK74" s="261">
        <f>SUM(AK73:AK73)</f>
        <v>3501</v>
      </c>
      <c r="AL74" s="582">
        <f>SUM(AL73:AL73)</f>
        <v>2801</v>
      </c>
      <c r="AM74" s="228">
        <f>SUM(AI74:AL74)</f>
        <v>12140</v>
      </c>
      <c r="AN74" s="292">
        <f>SUM(AN73:AN73)</f>
        <v>2967</v>
      </c>
      <c r="AO74" s="261">
        <f>SUM(AO73:AO73)</f>
        <v>2714</v>
      </c>
      <c r="AP74" s="261">
        <f>SUM(AP73:AP73)</f>
        <v>3330</v>
      </c>
      <c r="AQ74" s="2319">
        <f>SUM(AQ73:AQ73)</f>
        <v>2865</v>
      </c>
      <c r="AR74" s="228">
        <f>SUM(AN74:AQ74)</f>
        <v>11876</v>
      </c>
      <c r="AS74" s="292">
        <f>AS73</f>
        <v>2967</v>
      </c>
      <c r="AT74" s="261">
        <f t="shared" ref="AT74" si="144">AT73</f>
        <v>2714</v>
      </c>
      <c r="AU74" s="261">
        <f t="shared" ref="AU74" si="145">AU73</f>
        <v>3330</v>
      </c>
      <c r="AV74" s="293">
        <f t="shared" ref="AV74" si="146">AV73</f>
        <v>2865</v>
      </c>
      <c r="AW74" s="228">
        <f>SUM(AS74:AV74)</f>
        <v>11876</v>
      </c>
      <c r="AX74" s="292">
        <f>AX73</f>
        <v>2967</v>
      </c>
      <c r="AY74" s="261">
        <f t="shared" ref="AY74" si="147">AY73</f>
        <v>2714</v>
      </c>
      <c r="AZ74" s="261">
        <f t="shared" ref="AZ74" si="148">AZ73</f>
        <v>3330</v>
      </c>
      <c r="BA74" s="293">
        <f t="shared" ref="BA74" si="149">BA73</f>
        <v>2865</v>
      </c>
      <c r="BB74" s="228">
        <f>SUM(AX74:BA74)</f>
        <v>11876</v>
      </c>
      <c r="BC74" s="292">
        <f>BC73</f>
        <v>2967</v>
      </c>
      <c r="BD74" s="261">
        <f t="shared" ref="BD74" si="150">BD73</f>
        <v>2714</v>
      </c>
      <c r="BE74" s="261">
        <f t="shared" ref="BE74" si="151">BE73</f>
        <v>3330</v>
      </c>
      <c r="BF74" s="293">
        <f t="shared" ref="BF74" si="152">BF73</f>
        <v>2865</v>
      </c>
      <c r="BG74" s="228">
        <f>SUM(BC74:BF74)</f>
        <v>11876</v>
      </c>
      <c r="BH74" s="292">
        <f>BH73</f>
        <v>2967</v>
      </c>
      <c r="BI74" s="261">
        <f t="shared" ref="BI74:BK74" si="153">BI73</f>
        <v>2714</v>
      </c>
      <c r="BJ74" s="261">
        <f t="shared" si="153"/>
        <v>3330</v>
      </c>
      <c r="BK74" s="293">
        <f t="shared" si="153"/>
        <v>2865</v>
      </c>
      <c r="BL74" s="228">
        <f>SUM(BH74:BK74)</f>
        <v>11876</v>
      </c>
      <c r="BM74" s="45"/>
      <c r="BN74" s="45"/>
      <c r="BO74" s="45"/>
      <c r="BP74" s="45"/>
      <c r="BQ74" s="45"/>
      <c r="BR74" s="45"/>
      <c r="BS74" s="45"/>
      <c r="BT74" s="45"/>
      <c r="BU74" s="45"/>
      <c r="BV74" s="45"/>
      <c r="BW74" s="45"/>
      <c r="BX74" s="45"/>
      <c r="BY74" s="45"/>
      <c r="BZ74" s="45"/>
      <c r="CA74" s="45"/>
      <c r="CB74" s="45"/>
      <c r="CC74" s="45"/>
      <c r="CD74" s="45"/>
      <c r="CE74" s="45"/>
      <c r="CF74" s="45"/>
      <c r="CG74" s="45"/>
      <c r="CH74" s="45"/>
      <c r="CI74" s="45"/>
      <c r="CJ74" s="45"/>
      <c r="CK74" s="45"/>
      <c r="CL74" s="45"/>
      <c r="CM74" s="45"/>
      <c r="CN74" s="45"/>
      <c r="CO74" s="45"/>
      <c r="CP74" s="45"/>
    </row>
    <row r="75" spans="1:94">
      <c r="A75" s="45"/>
      <c r="B75" s="45"/>
      <c r="C75" s="45"/>
      <c r="D75" s="45"/>
      <c r="E75" s="292"/>
      <c r="F75" s="261"/>
      <c r="G75" s="261"/>
      <c r="H75" s="293"/>
      <c r="I75" s="228"/>
      <c r="J75" s="292"/>
      <c r="K75" s="261"/>
      <c r="L75" s="261"/>
      <c r="M75" s="293"/>
      <c r="N75" s="228"/>
      <c r="O75" s="292"/>
      <c r="P75" s="261"/>
      <c r="Q75" s="261"/>
      <c r="R75" s="293"/>
      <c r="S75" s="228"/>
      <c r="T75" s="292"/>
      <c r="U75" s="261"/>
      <c r="V75" s="261"/>
      <c r="W75" s="293"/>
      <c r="X75" s="228"/>
      <c r="Y75" s="292"/>
      <c r="Z75" s="261"/>
      <c r="AA75" s="261"/>
      <c r="AB75" s="293"/>
      <c r="AC75" s="228"/>
      <c r="AD75" s="292"/>
      <c r="AE75" s="261"/>
      <c r="AF75" s="261"/>
      <c r="AG75" s="293"/>
      <c r="AH75" s="228"/>
      <c r="AI75" s="292"/>
      <c r="AJ75" s="261"/>
      <c r="AK75" s="261"/>
      <c r="AL75" s="293"/>
      <c r="AM75" s="228"/>
      <c r="AN75" s="292"/>
      <c r="AO75" s="261"/>
      <c r="AP75" s="261"/>
      <c r="AQ75" s="293"/>
      <c r="AR75" s="228"/>
      <c r="AS75" s="292"/>
      <c r="AT75" s="261"/>
      <c r="AU75" s="261"/>
      <c r="AV75" s="293"/>
      <c r="AW75" s="228"/>
      <c r="AX75" s="292"/>
      <c r="AY75" s="261"/>
      <c r="AZ75" s="261"/>
      <c r="BA75" s="293"/>
      <c r="BB75" s="228"/>
      <c r="BC75" s="292"/>
      <c r="BD75" s="261"/>
      <c r="BE75" s="261"/>
      <c r="BF75" s="293"/>
      <c r="BG75" s="228"/>
      <c r="BH75" s="292"/>
      <c r="BI75" s="261"/>
      <c r="BJ75" s="261"/>
      <c r="BK75" s="293"/>
      <c r="BL75" s="228"/>
      <c r="BM75" s="45"/>
      <c r="BN75" s="45"/>
      <c r="BO75" s="45"/>
      <c r="BP75" s="45"/>
      <c r="BQ75" s="45"/>
      <c r="BR75" s="45"/>
      <c r="BS75" s="45"/>
      <c r="BT75" s="45"/>
      <c r="BU75" s="45"/>
      <c r="BV75" s="45"/>
      <c r="BW75" s="45"/>
      <c r="BX75" s="45"/>
      <c r="BY75" s="45"/>
      <c r="BZ75" s="45"/>
      <c r="CA75" s="45"/>
      <c r="CB75" s="45"/>
      <c r="CC75" s="45"/>
      <c r="CD75" s="45"/>
      <c r="CE75" s="45"/>
      <c r="CF75" s="45"/>
      <c r="CG75" s="45"/>
      <c r="CH75" s="45"/>
      <c r="CI75" s="45"/>
      <c r="CJ75" s="45"/>
      <c r="CK75" s="45"/>
      <c r="CL75" s="45"/>
      <c r="CM75" s="45"/>
      <c r="CN75" s="45"/>
      <c r="CO75" s="45"/>
      <c r="CP75" s="45"/>
    </row>
    <row r="76" spans="1:94">
      <c r="A76" s="895"/>
      <c r="B76" s="895"/>
      <c r="C76" s="895" t="s">
        <v>733</v>
      </c>
      <c r="D76" s="895"/>
      <c r="E76" s="1700"/>
      <c r="F76" s="1337"/>
      <c r="G76" s="1337"/>
      <c r="H76" s="1701"/>
      <c r="I76" s="1713"/>
      <c r="J76" s="1700"/>
      <c r="K76" s="1337"/>
      <c r="L76" s="1337"/>
      <c r="M76" s="1701"/>
      <c r="N76" s="1713">
        <f t="shared" ref="N76:AW76" si="154">+N74/I74-1</f>
        <v>-1.2837469851396555E-2</v>
      </c>
      <c r="O76" s="1700">
        <f t="shared" si="154"/>
        <v>-7.0512820512820484E-2</v>
      </c>
      <c r="P76" s="1337">
        <f t="shared" si="154"/>
        <v>-1.2533875338753386E-2</v>
      </c>
      <c r="Q76" s="1337">
        <f t="shared" si="154"/>
        <v>5.5100310822266074E-2</v>
      </c>
      <c r="R76" s="1701">
        <f t="shared" si="154"/>
        <v>8.9010612803834821E-3</v>
      </c>
      <c r="S76" s="1713">
        <f t="shared" si="154"/>
        <v>-3.7042875157629052E-3</v>
      </c>
      <c r="T76" s="1700">
        <f t="shared" si="154"/>
        <v>9.3596059113300489E-2</v>
      </c>
      <c r="U76" s="1337">
        <f t="shared" si="154"/>
        <v>-1.0977701543739227E-2</v>
      </c>
      <c r="V76" s="1337">
        <f t="shared" si="154"/>
        <v>-0.11810391001606857</v>
      </c>
      <c r="W76" s="1701">
        <f t="shared" si="154"/>
        <v>4.0719375636240063E-3</v>
      </c>
      <c r="X76" s="1713">
        <f t="shared" si="154"/>
        <v>-1.3922949133771012E-2</v>
      </c>
      <c r="Y76" s="1700">
        <f t="shared" si="154"/>
        <v>-3.6036036036035668E-3</v>
      </c>
      <c r="Z76" s="1337">
        <f t="shared" si="154"/>
        <v>2.4627124523066257E-2</v>
      </c>
      <c r="AA76" s="1337">
        <f t="shared" si="154"/>
        <v>-2.2168235651381707E-2</v>
      </c>
      <c r="AB76" s="1701">
        <f t="shared" ref="AB76" si="155">+AB74/W74-1</f>
        <v>-1.2842176410949646E-2</v>
      </c>
      <c r="AC76" s="1713">
        <f t="shared" ref="AC76" si="156">+AC74/X74-1</f>
        <v>-4.1716807059767325E-3</v>
      </c>
      <c r="AD76" s="1700">
        <f t="shared" ref="AD76" si="157">+AD74/Y74-1</f>
        <v>5.3044002411090974E-2</v>
      </c>
      <c r="AE76" s="1337">
        <f t="shared" ref="AE76" si="158">+AE74/Z74-1</f>
        <v>-3.4529451591063021E-2</v>
      </c>
      <c r="AF76" s="1337">
        <f t="shared" ref="AF76" si="159">+AF74/AA74-1</f>
        <v>3.6335403726708071E-2</v>
      </c>
      <c r="AG76" s="1701">
        <f t="shared" ref="AG76" si="160">+AG74/AB74-1</f>
        <v>-4.4505306401917188E-2</v>
      </c>
      <c r="AH76" s="1713">
        <f t="shared" ref="AH76:AK76" si="161">+AH74/AC74-1</f>
        <v>4.9142028518489589E-3</v>
      </c>
      <c r="AI76" s="1700">
        <f t="shared" si="161"/>
        <v>-0.11505437893531767</v>
      </c>
      <c r="AJ76" s="1337">
        <f t="shared" si="161"/>
        <v>-3.7166900420757321E-2</v>
      </c>
      <c r="AK76" s="1337">
        <f t="shared" si="161"/>
        <v>4.9145939466586741E-2</v>
      </c>
      <c r="AL76" s="1701">
        <f t="shared" ref="AL76" si="162">+AL74/AG74-1</f>
        <v>3.5829451809388235E-3</v>
      </c>
      <c r="AM76" s="1713">
        <f t="shared" ref="AM76:AP76" si="163">+AM74/AH74-1</f>
        <v>-2.6775693442360082E-2</v>
      </c>
      <c r="AN76" s="1700">
        <f t="shared" si="163"/>
        <v>-4.0426908150064667E-2</v>
      </c>
      <c r="AO76" s="1337">
        <f t="shared" si="163"/>
        <v>-1.1653313911143437E-2</v>
      </c>
      <c r="AP76" s="1337">
        <f t="shared" si="163"/>
        <v>-4.8843187660668419E-2</v>
      </c>
      <c r="AQ76" s="1701">
        <f t="shared" ref="AQ76" si="164">+AQ74/AL74-1</f>
        <v>2.2848982506247673E-2</v>
      </c>
      <c r="AR76" s="1713">
        <f t="shared" ref="AR76" si="165">+AR74/AM74-1</f>
        <v>-2.1746293245469506E-2</v>
      </c>
      <c r="AS76" s="1700">
        <f t="shared" si="154"/>
        <v>0</v>
      </c>
      <c r="AT76" s="1337">
        <f t="shared" si="154"/>
        <v>0</v>
      </c>
      <c r="AU76" s="1337">
        <f t="shared" si="154"/>
        <v>0</v>
      </c>
      <c r="AV76" s="1701">
        <f t="shared" si="154"/>
        <v>0</v>
      </c>
      <c r="AW76" s="1713">
        <f t="shared" si="154"/>
        <v>0</v>
      </c>
      <c r="AX76" s="1700">
        <f t="shared" ref="AX76" si="166">+AX74/AS74-1</f>
        <v>0</v>
      </c>
      <c r="AY76" s="1337">
        <f t="shared" ref="AY76" si="167">+AY74/AT74-1</f>
        <v>0</v>
      </c>
      <c r="AZ76" s="1337">
        <f t="shared" ref="AZ76" si="168">+AZ74/AU74-1</f>
        <v>0</v>
      </c>
      <c r="BA76" s="1701">
        <f t="shared" ref="BA76" si="169">+BA74/AV74-1</f>
        <v>0</v>
      </c>
      <c r="BB76" s="1713">
        <f t="shared" ref="BB76" si="170">+BB74/AW74-1</f>
        <v>0</v>
      </c>
      <c r="BC76" s="1700">
        <f t="shared" ref="BC76" si="171">+BC74/AX74-1</f>
        <v>0</v>
      </c>
      <c r="BD76" s="1337">
        <f t="shared" ref="BD76" si="172">+BD74/AY74-1</f>
        <v>0</v>
      </c>
      <c r="BE76" s="1337">
        <f t="shared" ref="BE76" si="173">+BE74/AZ74-1</f>
        <v>0</v>
      </c>
      <c r="BF76" s="1701">
        <f t="shared" ref="BF76" si="174">+BF74/BA74-1</f>
        <v>0</v>
      </c>
      <c r="BG76" s="1713">
        <f t="shared" ref="BG76" si="175">+BG74/BB74-1</f>
        <v>0</v>
      </c>
      <c r="BH76" s="1700">
        <f t="shared" ref="BH76" si="176">+BH74/BC74-1</f>
        <v>0</v>
      </c>
      <c r="BI76" s="1337">
        <f t="shared" ref="BI76" si="177">+BI74/BD74-1</f>
        <v>0</v>
      </c>
      <c r="BJ76" s="1337">
        <f t="shared" ref="BJ76" si="178">+BJ74/BE74-1</f>
        <v>0</v>
      </c>
      <c r="BK76" s="1701">
        <f t="shared" ref="BK76" si="179">+BK74/BF74-1</f>
        <v>0</v>
      </c>
      <c r="BL76" s="1713">
        <f t="shared" ref="BL76" si="180">+BL74/BG74-1</f>
        <v>0</v>
      </c>
      <c r="BM76" s="895"/>
      <c r="BN76" s="895"/>
      <c r="BO76" s="895"/>
      <c r="BP76" s="895"/>
      <c r="BQ76" s="895"/>
      <c r="BR76" s="895"/>
      <c r="BS76" s="895"/>
      <c r="BT76" s="895"/>
      <c r="BU76" s="895"/>
      <c r="BV76" s="895"/>
      <c r="BW76" s="895"/>
      <c r="BX76" s="895"/>
      <c r="BY76" s="895"/>
      <c r="BZ76" s="895"/>
      <c r="CA76" s="895"/>
      <c r="CB76" s="895"/>
      <c r="CC76" s="895"/>
      <c r="CD76" s="895"/>
      <c r="CE76" s="895"/>
      <c r="CF76" s="895"/>
      <c r="CG76" s="895"/>
      <c r="CH76" s="895"/>
      <c r="CI76" s="895"/>
      <c r="CJ76" s="895"/>
      <c r="CK76" s="895"/>
      <c r="CL76" s="895"/>
      <c r="CM76" s="895"/>
      <c r="CN76" s="895"/>
      <c r="CO76" s="895"/>
      <c r="CP76" s="895"/>
    </row>
    <row r="77" spans="1:94">
      <c r="A77" s="890"/>
      <c r="B77" s="890"/>
      <c r="C77" s="1736"/>
      <c r="D77" s="890"/>
      <c r="E77" s="891"/>
      <c r="F77" s="892"/>
      <c r="G77" s="892"/>
      <c r="H77" s="893"/>
      <c r="I77" s="894"/>
      <c r="J77" s="891"/>
      <c r="K77" s="892"/>
      <c r="L77" s="892"/>
      <c r="M77" s="893"/>
      <c r="N77" s="894"/>
      <c r="O77" s="891"/>
      <c r="P77" s="892"/>
      <c r="Q77" s="892"/>
      <c r="R77" s="893"/>
      <c r="S77" s="894"/>
      <c r="T77" s="891"/>
      <c r="U77" s="892"/>
      <c r="V77" s="892"/>
      <c r="W77" s="893"/>
      <c r="X77" s="894"/>
      <c r="Y77" s="891"/>
      <c r="Z77" s="892"/>
      <c r="AA77" s="892"/>
      <c r="AB77" s="893"/>
      <c r="AC77" s="894"/>
      <c r="AD77" s="891"/>
      <c r="AE77" s="892"/>
      <c r="AF77" s="892"/>
      <c r="AG77" s="893"/>
      <c r="AH77" s="894"/>
      <c r="AI77" s="891"/>
      <c r="AJ77" s="892"/>
      <c r="AK77" s="892"/>
      <c r="AL77" s="893"/>
      <c r="AM77" s="894"/>
      <c r="AN77" s="891"/>
      <c r="AO77" s="892"/>
      <c r="AP77" s="892"/>
      <c r="AQ77" s="893"/>
      <c r="AR77" s="894"/>
      <c r="AS77" s="891"/>
      <c r="AT77" s="892"/>
      <c r="AU77" s="892"/>
      <c r="AV77" s="893"/>
      <c r="AW77" s="894"/>
      <c r="AX77" s="891"/>
      <c r="AY77" s="892"/>
      <c r="AZ77" s="892"/>
      <c r="BA77" s="893"/>
      <c r="BB77" s="894"/>
      <c r="BC77" s="891"/>
      <c r="BD77" s="892"/>
      <c r="BE77" s="892"/>
      <c r="BF77" s="893"/>
      <c r="BG77" s="894"/>
      <c r="BH77" s="891"/>
      <c r="BI77" s="892"/>
      <c r="BJ77" s="892"/>
      <c r="BK77" s="893"/>
      <c r="BL77" s="894"/>
      <c r="BM77" s="890"/>
      <c r="BN77" s="890"/>
      <c r="BO77" s="890"/>
      <c r="BP77" s="890"/>
      <c r="BQ77" s="890"/>
      <c r="BR77" s="890"/>
      <c r="BS77" s="890"/>
      <c r="BT77" s="890"/>
      <c r="BU77" s="890"/>
      <c r="BV77" s="890"/>
      <c r="BW77" s="890"/>
      <c r="BX77" s="890"/>
      <c r="BY77" s="890"/>
      <c r="BZ77" s="890"/>
      <c r="CA77" s="890"/>
      <c r="CB77" s="890"/>
      <c r="CC77" s="890"/>
      <c r="CD77" s="890"/>
      <c r="CE77" s="890"/>
      <c r="CF77" s="890"/>
      <c r="CG77" s="890"/>
      <c r="CH77" s="890"/>
      <c r="CI77" s="890"/>
      <c r="CJ77" s="890"/>
      <c r="CK77" s="890"/>
      <c r="CL77" s="890"/>
      <c r="CM77" s="890"/>
      <c r="CN77" s="890"/>
      <c r="CO77" s="890"/>
      <c r="CP77" s="890"/>
    </row>
    <row r="78" spans="1:94">
      <c r="A78" s="890"/>
      <c r="B78" s="890"/>
      <c r="C78" s="909" t="s">
        <v>135</v>
      </c>
      <c r="D78" s="890"/>
      <c r="E78" s="891"/>
      <c r="F78" s="892"/>
      <c r="G78" s="892"/>
      <c r="H78" s="893"/>
      <c r="I78" s="894"/>
      <c r="J78" s="891"/>
      <c r="K78" s="892"/>
      <c r="L78" s="892"/>
      <c r="M78" s="893"/>
      <c r="N78" s="894"/>
      <c r="O78" s="891"/>
      <c r="P78" s="892"/>
      <c r="Q78" s="892"/>
      <c r="R78" s="893"/>
      <c r="S78" s="894"/>
      <c r="T78" s="891"/>
      <c r="U78" s="892"/>
      <c r="V78" s="892"/>
      <c r="W78" s="893"/>
      <c r="X78" s="894"/>
      <c r="Y78" s="891"/>
      <c r="Z78" s="892"/>
      <c r="AA78" s="892"/>
      <c r="AB78" s="893"/>
      <c r="AC78" s="894"/>
      <c r="AD78" s="891"/>
      <c r="AE78" s="892"/>
      <c r="AF78" s="892"/>
      <c r="AG78" s="893"/>
      <c r="AH78" s="894"/>
      <c r="AI78" s="891"/>
      <c r="AJ78" s="892"/>
      <c r="AK78" s="892"/>
      <c r="AL78" s="893"/>
      <c r="AM78" s="894"/>
      <c r="AN78" s="891"/>
      <c r="AO78" s="892"/>
      <c r="AP78" s="892"/>
      <c r="AQ78" s="893"/>
      <c r="AR78" s="894"/>
      <c r="AS78" s="891"/>
      <c r="AT78" s="892"/>
      <c r="AU78" s="892"/>
      <c r="AV78" s="893"/>
      <c r="AW78" s="894"/>
      <c r="AX78" s="891"/>
      <c r="AY78" s="892"/>
      <c r="AZ78" s="892"/>
      <c r="BA78" s="893"/>
      <c r="BB78" s="894"/>
      <c r="BC78" s="891"/>
      <c r="BD78" s="892"/>
      <c r="BE78" s="892"/>
      <c r="BF78" s="893"/>
      <c r="BG78" s="894"/>
      <c r="BH78" s="891"/>
      <c r="BI78" s="892"/>
      <c r="BJ78" s="892"/>
      <c r="BK78" s="893"/>
      <c r="BL78" s="894"/>
      <c r="BM78" s="890"/>
      <c r="BN78" s="890"/>
      <c r="BO78" s="890"/>
      <c r="BP78" s="890"/>
      <c r="BQ78" s="890"/>
      <c r="BR78" s="890"/>
      <c r="BS78" s="890"/>
      <c r="BT78" s="890"/>
      <c r="BU78" s="890"/>
      <c r="BV78" s="890"/>
      <c r="BW78" s="890"/>
      <c r="BX78" s="890"/>
      <c r="BY78" s="890"/>
      <c r="BZ78" s="890"/>
      <c r="CA78" s="890"/>
      <c r="CB78" s="890"/>
      <c r="CC78" s="890"/>
      <c r="CD78" s="890"/>
      <c r="CE78" s="890"/>
      <c r="CF78" s="890"/>
      <c r="CG78" s="890"/>
      <c r="CH78" s="890"/>
      <c r="CI78" s="890"/>
      <c r="CJ78" s="890"/>
      <c r="CK78" s="890"/>
      <c r="CL78" s="890"/>
      <c r="CM78" s="890"/>
      <c r="CN78" s="890"/>
      <c r="CO78" s="890"/>
      <c r="CP78" s="890"/>
    </row>
    <row r="79" spans="1:94">
      <c r="A79" s="45"/>
      <c r="B79" s="45"/>
      <c r="C79" s="895" t="s">
        <v>755</v>
      </c>
      <c r="D79" s="45"/>
      <c r="E79" s="290"/>
      <c r="F79" s="260"/>
      <c r="G79" s="260"/>
      <c r="H79" s="291"/>
      <c r="I79" s="45">
        <f t="shared" ref="I79:Z79" si="181">+I12</f>
        <v>740</v>
      </c>
      <c r="J79" s="290">
        <f t="shared" si="181"/>
        <v>182</v>
      </c>
      <c r="K79" s="260">
        <f t="shared" si="181"/>
        <v>145</v>
      </c>
      <c r="L79" s="260">
        <f t="shared" si="181"/>
        <v>180</v>
      </c>
      <c r="M79" s="291">
        <f t="shared" si="181"/>
        <v>128</v>
      </c>
      <c r="N79" s="45">
        <f t="shared" si="181"/>
        <v>635</v>
      </c>
      <c r="O79" s="290">
        <f t="shared" si="181"/>
        <v>143</v>
      </c>
      <c r="P79" s="260">
        <f t="shared" si="181"/>
        <v>122</v>
      </c>
      <c r="Q79" s="260">
        <f t="shared" si="181"/>
        <v>178</v>
      </c>
      <c r="R79" s="291">
        <f t="shared" si="181"/>
        <v>125</v>
      </c>
      <c r="S79" s="45">
        <f t="shared" si="181"/>
        <v>568</v>
      </c>
      <c r="T79" s="290">
        <f t="shared" si="181"/>
        <v>159</v>
      </c>
      <c r="U79" s="260">
        <f t="shared" si="181"/>
        <v>121</v>
      </c>
      <c r="V79" s="260">
        <f t="shared" si="181"/>
        <v>142</v>
      </c>
      <c r="W79" s="291">
        <f t="shared" si="181"/>
        <v>130</v>
      </c>
      <c r="X79" s="45">
        <f t="shared" si="181"/>
        <v>552</v>
      </c>
      <c r="Y79" s="290">
        <f t="shared" si="181"/>
        <v>161</v>
      </c>
      <c r="Z79" s="260">
        <f t="shared" si="181"/>
        <v>121</v>
      </c>
      <c r="AA79" s="260">
        <f t="shared" ref="AA79:AE79" si="182">+AA12</f>
        <v>140</v>
      </c>
      <c r="AB79" s="291">
        <f t="shared" si="182"/>
        <v>124</v>
      </c>
      <c r="AC79" s="45">
        <f t="shared" si="182"/>
        <v>546</v>
      </c>
      <c r="AD79" s="290">
        <f t="shared" si="182"/>
        <v>181</v>
      </c>
      <c r="AE79" s="260">
        <f t="shared" si="182"/>
        <v>117</v>
      </c>
      <c r="AF79" s="260">
        <f t="shared" ref="AF79:AJ79" si="183">+AF12</f>
        <v>146</v>
      </c>
      <c r="AG79" s="291">
        <f t="shared" si="183"/>
        <v>124</v>
      </c>
      <c r="AH79" s="45">
        <f t="shared" si="183"/>
        <v>568</v>
      </c>
      <c r="AI79" s="290">
        <f t="shared" si="183"/>
        <v>176</v>
      </c>
      <c r="AJ79" s="260">
        <f t="shared" si="183"/>
        <v>122</v>
      </c>
      <c r="AK79" s="260">
        <f t="shared" ref="AK79:AO79" si="184">+AK12</f>
        <v>150</v>
      </c>
      <c r="AL79" s="291">
        <f t="shared" si="184"/>
        <v>135</v>
      </c>
      <c r="AM79" s="45">
        <f t="shared" si="184"/>
        <v>583</v>
      </c>
      <c r="AN79" s="290">
        <f t="shared" si="184"/>
        <v>157</v>
      </c>
      <c r="AO79" s="260">
        <f t="shared" si="184"/>
        <v>113</v>
      </c>
      <c r="AP79" s="260">
        <f t="shared" ref="AP79:AR79" si="185">+AP12</f>
        <v>129</v>
      </c>
      <c r="AQ79" s="291">
        <f t="shared" si="185"/>
        <v>133</v>
      </c>
      <c r="AR79" s="45">
        <f t="shared" si="185"/>
        <v>532</v>
      </c>
      <c r="AS79" s="290">
        <f>+AS80*AS74/1000</f>
        <v>156.99999999999997</v>
      </c>
      <c r="AT79" s="260">
        <f>+AT80*AT74/1000</f>
        <v>112.99999999999999</v>
      </c>
      <c r="AU79" s="260">
        <f>+AU80*AU74/1000</f>
        <v>129</v>
      </c>
      <c r="AV79" s="291">
        <f>+AV80*AV74/1000</f>
        <v>133</v>
      </c>
      <c r="AW79" s="228">
        <f>SUM(AS79:AV79)</f>
        <v>532</v>
      </c>
      <c r="AX79" s="290">
        <f>+AX80*AX74/1000</f>
        <v>156.99999999999997</v>
      </c>
      <c r="AY79" s="260">
        <f>+AY80*AY74/1000</f>
        <v>112.99999999999999</v>
      </c>
      <c r="AZ79" s="260">
        <f>+AZ80*AZ74/1000</f>
        <v>129</v>
      </c>
      <c r="BA79" s="291">
        <f>+BA80*BA74/1000</f>
        <v>133</v>
      </c>
      <c r="BB79" s="228">
        <f>SUM(AX79:BA79)</f>
        <v>532</v>
      </c>
      <c r="BC79" s="290">
        <f>+BC80*BC74/1000</f>
        <v>156.99999999999997</v>
      </c>
      <c r="BD79" s="260">
        <f>+BD80*BD74/1000</f>
        <v>112.99999999999999</v>
      </c>
      <c r="BE79" s="260">
        <f>+BE80*BE74/1000</f>
        <v>129</v>
      </c>
      <c r="BF79" s="291">
        <f>+BF80*BF74/1000</f>
        <v>133</v>
      </c>
      <c r="BG79" s="228">
        <f>SUM(BC79:BF79)</f>
        <v>532</v>
      </c>
      <c r="BH79" s="290">
        <f>+BH80*BH74/1000</f>
        <v>156.99999999999997</v>
      </c>
      <c r="BI79" s="260">
        <f>+BI80*BI74/1000</f>
        <v>112.99999999999999</v>
      </c>
      <c r="BJ79" s="260">
        <f>+BJ80*BJ74/1000</f>
        <v>129</v>
      </c>
      <c r="BK79" s="291">
        <f>+BK80*BK74/1000</f>
        <v>133</v>
      </c>
      <c r="BL79" s="228">
        <f>SUM(BH79:BK79)</f>
        <v>532</v>
      </c>
      <c r="BM79" s="45"/>
      <c r="BN79" s="45"/>
      <c r="BO79" s="45"/>
      <c r="BP79" s="45"/>
      <c r="BQ79" s="45"/>
      <c r="BR79" s="45"/>
      <c r="BS79" s="45"/>
      <c r="BT79" s="45"/>
      <c r="BU79" s="45"/>
      <c r="BV79" s="45"/>
      <c r="BW79" s="45"/>
      <c r="BX79" s="45"/>
      <c r="BY79" s="45"/>
      <c r="BZ79" s="45"/>
      <c r="CA79" s="45"/>
      <c r="CB79" s="45"/>
      <c r="CC79" s="45"/>
      <c r="CD79" s="45"/>
      <c r="CE79" s="45"/>
      <c r="CF79" s="45"/>
      <c r="CG79" s="45"/>
      <c r="CH79" s="45"/>
      <c r="CI79" s="45"/>
      <c r="CJ79" s="45"/>
      <c r="CK79" s="45"/>
      <c r="CL79" s="45"/>
      <c r="CM79" s="45"/>
      <c r="CN79" s="45"/>
      <c r="CO79" s="45"/>
      <c r="CP79" s="45"/>
    </row>
    <row r="80" spans="1:94">
      <c r="A80" s="890"/>
      <c r="B80" s="890"/>
      <c r="C80" s="895" t="s">
        <v>137</v>
      </c>
      <c r="D80" s="890"/>
      <c r="E80" s="1740"/>
      <c r="F80" s="1741"/>
      <c r="G80" s="1741"/>
      <c r="H80" s="1742"/>
      <c r="I80" s="1743">
        <f t="shared" ref="I80:Z80" si="186">+I79/I74*1000</f>
        <v>57.574107212323973</v>
      </c>
      <c r="J80" s="1740">
        <f t="shared" si="186"/>
        <v>55.55555555555555</v>
      </c>
      <c r="K80" s="1741">
        <f t="shared" si="186"/>
        <v>49.11924119241192</v>
      </c>
      <c r="L80" s="1741">
        <f t="shared" si="186"/>
        <v>50.861825374399544</v>
      </c>
      <c r="M80" s="1742">
        <f t="shared" si="186"/>
        <v>43.82060938034919</v>
      </c>
      <c r="N80" s="1743">
        <f t="shared" si="186"/>
        <v>50.047288776796975</v>
      </c>
      <c r="O80" s="1740">
        <f t="shared" si="186"/>
        <v>46.962233169129725</v>
      </c>
      <c r="P80" s="1741">
        <f t="shared" si="186"/>
        <v>41.852487135506003</v>
      </c>
      <c r="Q80" s="1741">
        <f t="shared" si="186"/>
        <v>47.670058918050344</v>
      </c>
      <c r="R80" s="1742">
        <f t="shared" si="186"/>
        <v>42.416016287750253</v>
      </c>
      <c r="S80" s="1743">
        <f t="shared" si="186"/>
        <v>44.933154022624791</v>
      </c>
      <c r="T80" s="1740">
        <f t="shared" si="186"/>
        <v>47.747747747747745</v>
      </c>
      <c r="U80" s="1741">
        <f t="shared" si="186"/>
        <v>41.970169961845301</v>
      </c>
      <c r="V80" s="1741">
        <f t="shared" si="186"/>
        <v>43.121773458852111</v>
      </c>
      <c r="W80" s="1742">
        <f t="shared" si="186"/>
        <v>43.933761405880368</v>
      </c>
      <c r="X80" s="1743">
        <f t="shared" si="186"/>
        <v>44.283995186522262</v>
      </c>
      <c r="Y80" s="1740">
        <f t="shared" si="186"/>
        <v>48.52320675105485</v>
      </c>
      <c r="Z80" s="1741">
        <f t="shared" si="186"/>
        <v>40.961408259986463</v>
      </c>
      <c r="AA80" s="1741">
        <f t="shared" ref="AA80:AE80" si="187">+AA79/AA74*1000</f>
        <v>43.478260869565219</v>
      </c>
      <c r="AB80" s="1742">
        <f t="shared" si="187"/>
        <v>42.451215337213284</v>
      </c>
      <c r="AC80" s="1743">
        <f t="shared" si="187"/>
        <v>43.986143559171836</v>
      </c>
      <c r="AD80" s="1740">
        <f t="shared" si="187"/>
        <v>51.803091013165428</v>
      </c>
      <c r="AE80" s="1741">
        <f t="shared" si="187"/>
        <v>41.023842917251052</v>
      </c>
      <c r="AF80" s="1741">
        <f t="shared" ref="AF80:AJ80" si="188">+AF79/AF74*1000</f>
        <v>43.751872939766258</v>
      </c>
      <c r="AG80" s="1742">
        <f t="shared" si="188"/>
        <v>44.428520243640271</v>
      </c>
      <c r="AH80" s="1743">
        <f t="shared" si="188"/>
        <v>45.534712201378873</v>
      </c>
      <c r="AI80" s="1740">
        <f t="shared" si="188"/>
        <v>56.921086675291079</v>
      </c>
      <c r="AJ80" s="1741">
        <f t="shared" si="188"/>
        <v>44.428259286234521</v>
      </c>
      <c r="AK80" s="1741">
        <f t="shared" ref="AK80:AO80" si="189">+AK79/AK74*1000</f>
        <v>42.844901456726646</v>
      </c>
      <c r="AL80" s="1742">
        <f t="shared" si="189"/>
        <v>48.197072474116382</v>
      </c>
      <c r="AM80" s="1743">
        <f t="shared" si="189"/>
        <v>48.023064250411863</v>
      </c>
      <c r="AN80" s="1740">
        <f t="shared" si="189"/>
        <v>52.915402763734406</v>
      </c>
      <c r="AO80" s="1741">
        <f t="shared" si="189"/>
        <v>41.635961680176855</v>
      </c>
      <c r="AP80" s="1741">
        <f t="shared" ref="AP80:AR80" si="190">+AP79/AP74*1000</f>
        <v>38.738738738738739</v>
      </c>
      <c r="AQ80" s="1742">
        <f t="shared" si="190"/>
        <v>46.42233856893543</v>
      </c>
      <c r="AR80" s="1743">
        <f t="shared" si="190"/>
        <v>44.796227686089594</v>
      </c>
      <c r="AS80" s="1740">
        <f>+AN80</f>
        <v>52.915402763734406</v>
      </c>
      <c r="AT80" s="1741">
        <f>+AO80</f>
        <v>41.635961680176855</v>
      </c>
      <c r="AU80" s="1741">
        <f>+AP80</f>
        <v>38.738738738738739</v>
      </c>
      <c r="AV80" s="1742">
        <f>+AQ80</f>
        <v>46.42233856893543</v>
      </c>
      <c r="AW80" s="1743">
        <f>+AW79/AW74*1000</f>
        <v>44.796227686089594</v>
      </c>
      <c r="AX80" s="1740">
        <f>+AS80</f>
        <v>52.915402763734406</v>
      </c>
      <c r="AY80" s="1741">
        <f>+AT80</f>
        <v>41.635961680176855</v>
      </c>
      <c r="AZ80" s="1741">
        <f>+AU80</f>
        <v>38.738738738738739</v>
      </c>
      <c r="BA80" s="1742">
        <f>+AV80</f>
        <v>46.42233856893543</v>
      </c>
      <c r="BB80" s="1743">
        <f>+BB79/BB74*1000</f>
        <v>44.796227686089594</v>
      </c>
      <c r="BC80" s="1740">
        <f>+AX80</f>
        <v>52.915402763734406</v>
      </c>
      <c r="BD80" s="1741">
        <f>+AY80</f>
        <v>41.635961680176855</v>
      </c>
      <c r="BE80" s="1741">
        <f>+AZ80</f>
        <v>38.738738738738739</v>
      </c>
      <c r="BF80" s="1742">
        <f>+BA80</f>
        <v>46.42233856893543</v>
      </c>
      <c r="BG80" s="1743">
        <f>+BG79/BG74*1000</f>
        <v>44.796227686089594</v>
      </c>
      <c r="BH80" s="1740">
        <f>+BC80</f>
        <v>52.915402763734406</v>
      </c>
      <c r="BI80" s="1741">
        <f>+BD80</f>
        <v>41.635961680176855</v>
      </c>
      <c r="BJ80" s="1741">
        <f>+BE80</f>
        <v>38.738738738738739</v>
      </c>
      <c r="BK80" s="1742">
        <f>+BF80</f>
        <v>46.42233856893543</v>
      </c>
      <c r="BL80" s="1743">
        <f>+BL79/BL74*1000</f>
        <v>44.796227686089594</v>
      </c>
      <c r="BM80" s="890"/>
      <c r="BN80" s="890"/>
      <c r="BO80" s="890"/>
      <c r="BP80" s="890"/>
      <c r="BQ80" s="890"/>
      <c r="BR80" s="890"/>
      <c r="BS80" s="890"/>
      <c r="BT80" s="890"/>
      <c r="BU80" s="890"/>
      <c r="BV80" s="890"/>
      <c r="BW80" s="890"/>
      <c r="BX80" s="890"/>
      <c r="BY80" s="890"/>
      <c r="BZ80" s="890"/>
      <c r="CA80" s="890"/>
      <c r="CB80" s="890"/>
      <c r="CC80" s="890"/>
      <c r="CD80" s="890"/>
      <c r="CE80" s="890"/>
      <c r="CF80" s="890"/>
      <c r="CG80" s="890"/>
      <c r="CH80" s="890"/>
      <c r="CI80" s="890"/>
      <c r="CJ80" s="890"/>
      <c r="CK80" s="890"/>
      <c r="CL80" s="890"/>
      <c r="CM80" s="890"/>
      <c r="CN80" s="890"/>
      <c r="CO80" s="890"/>
      <c r="CP80" s="890"/>
    </row>
    <row r="81" spans="1:94">
      <c r="A81" s="890"/>
      <c r="B81" s="890"/>
      <c r="C81" s="1736"/>
      <c r="D81" s="890"/>
      <c r="E81" s="891"/>
      <c r="F81" s="892"/>
      <c r="G81" s="892"/>
      <c r="H81" s="893"/>
      <c r="I81" s="894"/>
      <c r="J81" s="891"/>
      <c r="K81" s="892"/>
      <c r="L81" s="892"/>
      <c r="M81" s="893"/>
      <c r="N81" s="894"/>
      <c r="O81" s="891"/>
      <c r="P81" s="892"/>
      <c r="Q81" s="892"/>
      <c r="R81" s="893"/>
      <c r="S81" s="894"/>
      <c r="T81" s="891"/>
      <c r="U81" s="892"/>
      <c r="V81" s="892"/>
      <c r="W81" s="893"/>
      <c r="X81" s="894"/>
      <c r="Y81" s="891"/>
      <c r="Z81" s="892"/>
      <c r="AA81" s="892"/>
      <c r="AB81" s="893"/>
      <c r="AC81" s="894"/>
      <c r="AD81" s="891"/>
      <c r="AE81" s="892"/>
      <c r="AF81" s="892"/>
      <c r="AG81" s="893"/>
      <c r="AH81" s="894"/>
      <c r="AI81" s="891"/>
      <c r="AJ81" s="892"/>
      <c r="AK81" s="892"/>
      <c r="AL81" s="893"/>
      <c r="AM81" s="894"/>
      <c r="AN81" s="891"/>
      <c r="AO81" s="892"/>
      <c r="AP81" s="892"/>
      <c r="AQ81" s="893"/>
      <c r="AR81" s="894"/>
      <c r="AS81" s="891"/>
      <c r="AT81" s="892"/>
      <c r="AU81" s="892"/>
      <c r="AV81" s="893"/>
      <c r="AW81" s="894"/>
      <c r="AX81" s="891"/>
      <c r="AY81" s="892"/>
      <c r="AZ81" s="892"/>
      <c r="BA81" s="893"/>
      <c r="BB81" s="894"/>
      <c r="BC81" s="891"/>
      <c r="BD81" s="892"/>
      <c r="BE81" s="892"/>
      <c r="BF81" s="893"/>
      <c r="BG81" s="894"/>
      <c r="BH81" s="891"/>
      <c r="BI81" s="892"/>
      <c r="BJ81" s="892"/>
      <c r="BK81" s="893"/>
      <c r="BL81" s="894"/>
      <c r="BM81" s="890"/>
      <c r="BN81" s="890"/>
      <c r="BO81" s="890"/>
      <c r="BP81" s="890"/>
      <c r="BQ81" s="890"/>
      <c r="BR81" s="890"/>
      <c r="BS81" s="890"/>
      <c r="BT81" s="890"/>
      <c r="BU81" s="890"/>
      <c r="BV81" s="890"/>
      <c r="BW81" s="890"/>
      <c r="BX81" s="890"/>
      <c r="BY81" s="890"/>
      <c r="BZ81" s="890"/>
      <c r="CA81" s="890"/>
      <c r="CB81" s="890"/>
      <c r="CC81" s="890"/>
      <c r="CD81" s="890"/>
      <c r="CE81" s="890"/>
      <c r="CF81" s="890"/>
      <c r="CG81" s="890"/>
      <c r="CH81" s="890"/>
      <c r="CI81" s="890"/>
      <c r="CJ81" s="890"/>
      <c r="CK81" s="890"/>
      <c r="CL81" s="890"/>
      <c r="CM81" s="890"/>
      <c r="CN81" s="890"/>
      <c r="CO81" s="890"/>
      <c r="CP81" s="890"/>
    </row>
    <row r="82" spans="1:94">
      <c r="A82" s="890"/>
      <c r="B82" s="890"/>
      <c r="C82" s="909" t="s">
        <v>138</v>
      </c>
      <c r="D82" s="890"/>
      <c r="E82" s="292"/>
      <c r="F82" s="261"/>
      <c r="G82" s="261"/>
      <c r="H82" s="293"/>
      <c r="I82" s="228">
        <f t="shared" ref="I82:AW82" si="191">+I70-I79</f>
        <v>423</v>
      </c>
      <c r="J82" s="1744">
        <f t="shared" si="191"/>
        <v>116</v>
      </c>
      <c r="K82" s="1745">
        <f t="shared" si="191"/>
        <v>100</v>
      </c>
      <c r="L82" s="261">
        <f t="shared" si="191"/>
        <v>118</v>
      </c>
      <c r="M82" s="293">
        <f t="shared" si="191"/>
        <v>105</v>
      </c>
      <c r="N82" s="228">
        <f t="shared" si="191"/>
        <v>439</v>
      </c>
      <c r="O82" s="1744">
        <f t="shared" si="191"/>
        <v>116</v>
      </c>
      <c r="P82" s="1745">
        <f t="shared" si="191"/>
        <v>113</v>
      </c>
      <c r="Q82" s="1745">
        <f t="shared" si="191"/>
        <v>136</v>
      </c>
      <c r="R82" s="293">
        <f t="shared" si="191"/>
        <v>117</v>
      </c>
      <c r="S82" s="228">
        <f t="shared" si="191"/>
        <v>482</v>
      </c>
      <c r="T82" s="1744">
        <f t="shared" si="191"/>
        <v>126</v>
      </c>
      <c r="U82" s="1745">
        <f t="shared" si="191"/>
        <v>116</v>
      </c>
      <c r="V82" s="1745">
        <f t="shared" si="191"/>
        <v>131</v>
      </c>
      <c r="W82" s="293">
        <f t="shared" si="191"/>
        <v>128</v>
      </c>
      <c r="X82" s="228">
        <f t="shared" si="191"/>
        <v>501</v>
      </c>
      <c r="Y82" s="1744">
        <f t="shared" si="191"/>
        <v>139</v>
      </c>
      <c r="Z82" s="1745">
        <f t="shared" si="191"/>
        <v>130</v>
      </c>
      <c r="AA82" s="1745">
        <f t="shared" ref="AA82:AE82" si="192">+AA70-AA79</f>
        <v>149</v>
      </c>
      <c r="AB82" s="293">
        <f t="shared" si="192"/>
        <v>135</v>
      </c>
      <c r="AC82" s="228">
        <f t="shared" si="192"/>
        <v>553</v>
      </c>
      <c r="AD82" s="1744">
        <f t="shared" si="192"/>
        <v>156</v>
      </c>
      <c r="AE82" s="1745">
        <f t="shared" si="192"/>
        <v>133</v>
      </c>
      <c r="AF82" s="1745">
        <f t="shared" ref="AF82:AJ82" si="193">+AF70-AF79</f>
        <v>152</v>
      </c>
      <c r="AG82" s="293">
        <f t="shared" si="193"/>
        <v>144</v>
      </c>
      <c r="AH82" s="228">
        <f t="shared" si="193"/>
        <v>585</v>
      </c>
      <c r="AI82" s="1744">
        <f t="shared" si="193"/>
        <v>125</v>
      </c>
      <c r="AJ82" s="1745">
        <f t="shared" si="193"/>
        <v>131</v>
      </c>
      <c r="AK82" s="1745">
        <f t="shared" ref="AK82:AO82" si="194">+AK70-AK79</f>
        <v>162</v>
      </c>
      <c r="AL82" s="293">
        <f t="shared" si="194"/>
        <v>121</v>
      </c>
      <c r="AM82" s="228">
        <f t="shared" si="194"/>
        <v>539</v>
      </c>
      <c r="AN82" s="1744">
        <f t="shared" si="194"/>
        <v>137</v>
      </c>
      <c r="AO82" s="1745">
        <f t="shared" si="194"/>
        <v>145</v>
      </c>
      <c r="AP82" s="1745">
        <f t="shared" ref="AP82:AR82" si="195">+AP70-AP79</f>
        <v>178</v>
      </c>
      <c r="AQ82" s="293">
        <f t="shared" si="195"/>
        <v>139</v>
      </c>
      <c r="AR82" s="228">
        <f t="shared" si="195"/>
        <v>599</v>
      </c>
      <c r="AS82" s="1744">
        <f t="shared" si="191"/>
        <v>132.16977979957804</v>
      </c>
      <c r="AT82" s="1745">
        <f t="shared" si="191"/>
        <v>142.40311313291136</v>
      </c>
      <c r="AU82" s="1745">
        <f t="shared" si="191"/>
        <v>176.19061313291144</v>
      </c>
      <c r="AV82" s="1746">
        <f t="shared" si="191"/>
        <v>137.19061313291138</v>
      </c>
      <c r="AW82" s="1747">
        <f t="shared" si="191"/>
        <v>587.95411919831213</v>
      </c>
      <c r="AX82" s="1744">
        <f t="shared" ref="AX82:BG82" si="196">+AX70-AX79</f>
        <v>137.40284230942146</v>
      </c>
      <c r="AY82" s="1745">
        <f t="shared" si="196"/>
        <v>145.40284230942149</v>
      </c>
      <c r="AZ82" s="1745">
        <f t="shared" si="196"/>
        <v>179.65284230942154</v>
      </c>
      <c r="BA82" s="1746">
        <f t="shared" si="196"/>
        <v>140.65284230942149</v>
      </c>
      <c r="BB82" s="1747">
        <f t="shared" si="196"/>
        <v>603.11136923768595</v>
      </c>
      <c r="BC82" s="1744">
        <f t="shared" si="196"/>
        <v>140.78381153961678</v>
      </c>
      <c r="BD82" s="1745">
        <f t="shared" si="196"/>
        <v>148.78381153961669</v>
      </c>
      <c r="BE82" s="1745">
        <f t="shared" si="196"/>
        <v>181.78381153961681</v>
      </c>
      <c r="BF82" s="1746">
        <f t="shared" si="196"/>
        <v>142.78381153961681</v>
      </c>
      <c r="BG82" s="1747">
        <f t="shared" si="196"/>
        <v>614.13524615846723</v>
      </c>
      <c r="BH82" s="1744">
        <f t="shared" ref="BH82:BL82" si="197">+BH70-BH79</f>
        <v>142.86253294230917</v>
      </c>
      <c r="BI82" s="1745">
        <f t="shared" si="197"/>
        <v>150.86253294230914</v>
      </c>
      <c r="BJ82" s="1745">
        <f t="shared" si="197"/>
        <v>183.86253294230914</v>
      </c>
      <c r="BK82" s="1746">
        <f t="shared" si="197"/>
        <v>144.86253294230914</v>
      </c>
      <c r="BL82" s="1747">
        <f t="shared" si="197"/>
        <v>622.45013176923658</v>
      </c>
      <c r="BM82" s="890"/>
      <c r="BN82" s="890"/>
      <c r="BO82" s="890"/>
      <c r="BP82" s="890"/>
      <c r="BQ82" s="890"/>
      <c r="BR82" s="890"/>
      <c r="BS82" s="890"/>
      <c r="BT82" s="890"/>
      <c r="BU82" s="890"/>
      <c r="BV82" s="890"/>
      <c r="BW82" s="890"/>
      <c r="BX82" s="890"/>
      <c r="BY82" s="890"/>
      <c r="BZ82" s="890"/>
      <c r="CA82" s="890"/>
      <c r="CB82" s="890"/>
      <c r="CC82" s="890"/>
      <c r="CD82" s="890"/>
      <c r="CE82" s="890"/>
      <c r="CF82" s="890"/>
      <c r="CG82" s="890"/>
      <c r="CH82" s="890"/>
      <c r="CI82" s="890"/>
      <c r="CJ82" s="890"/>
      <c r="CK82" s="890"/>
      <c r="CL82" s="890"/>
      <c r="CM82" s="890"/>
      <c r="CN82" s="890"/>
      <c r="CO82" s="890"/>
      <c r="CP82" s="890"/>
    </row>
    <row r="83" spans="1:94">
      <c r="A83" s="890"/>
      <c r="B83" s="890"/>
      <c r="C83" s="1699" t="s">
        <v>623</v>
      </c>
      <c r="D83" s="1699"/>
      <c r="E83" s="1748"/>
      <c r="F83" s="1749"/>
      <c r="G83" s="1749"/>
      <c r="H83" s="1750"/>
      <c r="I83" s="1751"/>
      <c r="J83" s="1748"/>
      <c r="K83" s="1749"/>
      <c r="L83" s="1749"/>
      <c r="M83" s="1750"/>
      <c r="N83" s="1751">
        <f t="shared" ref="N83:AW83" si="198">+N82/I82-1</f>
        <v>3.7825059101654901E-2</v>
      </c>
      <c r="O83" s="1748">
        <f t="shared" si="198"/>
        <v>0</v>
      </c>
      <c r="P83" s="1749">
        <f t="shared" si="198"/>
        <v>0.12999999999999989</v>
      </c>
      <c r="Q83" s="1749">
        <f t="shared" si="198"/>
        <v>0.15254237288135597</v>
      </c>
      <c r="R83" s="1750">
        <f t="shared" si="198"/>
        <v>0.11428571428571432</v>
      </c>
      <c r="S83" s="1751">
        <f t="shared" si="198"/>
        <v>9.7949886104783612E-2</v>
      </c>
      <c r="T83" s="1748">
        <f t="shared" si="198"/>
        <v>8.6206896551724199E-2</v>
      </c>
      <c r="U83" s="1749">
        <f t="shared" si="198"/>
        <v>2.6548672566371723E-2</v>
      </c>
      <c r="V83" s="1749">
        <f t="shared" si="198"/>
        <v>-3.6764705882352922E-2</v>
      </c>
      <c r="W83" s="1750">
        <f t="shared" si="198"/>
        <v>9.4017094017094127E-2</v>
      </c>
      <c r="X83" s="1751">
        <f t="shared" si="198"/>
        <v>3.9419087136929543E-2</v>
      </c>
      <c r="Y83" s="1748">
        <f t="shared" si="198"/>
        <v>0.10317460317460325</v>
      </c>
      <c r="Z83" s="1749">
        <f t="shared" si="198"/>
        <v>0.1206896551724137</v>
      </c>
      <c r="AA83" s="1749">
        <f t="shared" si="198"/>
        <v>0.13740458015267176</v>
      </c>
      <c r="AB83" s="1750">
        <f t="shared" ref="AB83" si="199">+AB82/W82-1</f>
        <v>5.46875E-2</v>
      </c>
      <c r="AC83" s="1751">
        <f t="shared" ref="AC83" si="200">+AC82/X82-1</f>
        <v>0.10379241516966076</v>
      </c>
      <c r="AD83" s="1748">
        <f t="shared" ref="AD83" si="201">+AD82/Y82-1</f>
        <v>0.1223021582733812</v>
      </c>
      <c r="AE83" s="1749">
        <f t="shared" ref="AE83" si="202">+AE82/Z82-1</f>
        <v>2.3076923076922995E-2</v>
      </c>
      <c r="AF83" s="1749">
        <f t="shared" ref="AF83" si="203">+AF82/AA82-1</f>
        <v>2.0134228187919545E-2</v>
      </c>
      <c r="AG83" s="1750">
        <f t="shared" ref="AG83" si="204">+AG82/AB82-1</f>
        <v>6.6666666666666652E-2</v>
      </c>
      <c r="AH83" s="1751">
        <f t="shared" ref="AH83:AK83" si="205">+AH82/AC82-1</f>
        <v>5.7866184448462921E-2</v>
      </c>
      <c r="AI83" s="1748">
        <f t="shared" si="205"/>
        <v>-0.19871794871794868</v>
      </c>
      <c r="AJ83" s="1749">
        <f t="shared" si="205"/>
        <v>-1.5037593984962405E-2</v>
      </c>
      <c r="AK83" s="1749">
        <f t="shared" si="205"/>
        <v>6.578947368421062E-2</v>
      </c>
      <c r="AL83" s="1750">
        <f t="shared" ref="AL83" si="206">+AL82/AG82-1</f>
        <v>-0.15972222222222221</v>
      </c>
      <c r="AM83" s="1751">
        <f t="shared" ref="AM83:AO83" si="207">+AM82/AH82-1</f>
        <v>-7.8632478632478686E-2</v>
      </c>
      <c r="AN83" s="1748">
        <f t="shared" si="207"/>
        <v>9.6000000000000085E-2</v>
      </c>
      <c r="AO83" s="1749">
        <f t="shared" si="207"/>
        <v>0.10687022900763354</v>
      </c>
      <c r="AP83" s="1749">
        <f t="shared" ref="AP83" si="208">+AP82/AK82-1</f>
        <v>9.8765432098765427E-2</v>
      </c>
      <c r="AQ83" s="1750">
        <f t="shared" ref="AQ83" si="209">+AQ82/AL82-1</f>
        <v>0.14876033057851235</v>
      </c>
      <c r="AR83" s="1751">
        <f t="shared" ref="AR83" si="210">+AR82/AM82-1</f>
        <v>0.11131725417439697</v>
      </c>
      <c r="AS83" s="1748">
        <f t="shared" si="198"/>
        <v>-3.5257081754904829E-2</v>
      </c>
      <c r="AT83" s="1749">
        <f t="shared" si="198"/>
        <v>-1.7909564600611327E-2</v>
      </c>
      <c r="AU83" s="1749">
        <f t="shared" si="198"/>
        <v>-1.0165094758924464E-2</v>
      </c>
      <c r="AV83" s="1750">
        <f t="shared" si="198"/>
        <v>-1.3017171705673514E-2</v>
      </c>
      <c r="AW83" s="1751">
        <f t="shared" si="198"/>
        <v>-1.8440535562083249E-2</v>
      </c>
      <c r="AX83" s="1748">
        <f t="shared" ref="AX83" si="211">+AX82/AS82-1</f>
        <v>3.9593487390073845E-2</v>
      </c>
      <c r="AY83" s="1749">
        <f t="shared" ref="AY83" si="212">+AY82/AT82-1</f>
        <v>2.1065053358140684E-2</v>
      </c>
      <c r="AZ83" s="1749">
        <f t="shared" ref="AZ83" si="213">+AZ82/AU82-1</f>
        <v>1.9650474647581406E-2</v>
      </c>
      <c r="BA83" s="1750">
        <f t="shared" ref="BA83" si="214">+BA82/AV82-1</f>
        <v>2.5236633159120503E-2</v>
      </c>
      <c r="BB83" s="1751">
        <f t="shared" ref="BB83" si="215">+BB82/AW82-1</f>
        <v>2.5779647670537642E-2</v>
      </c>
      <c r="BC83" s="1748">
        <f t="shared" ref="BC83" si="216">+BC82/AX82-1</f>
        <v>2.4606253941833467E-2</v>
      </c>
      <c r="BD83" s="1749">
        <f t="shared" ref="BD83" si="217">+BD82/AY82-1</f>
        <v>2.3252428745515141E-2</v>
      </c>
      <c r="BE83" s="1749">
        <f t="shared" ref="BE83" si="218">+BE82/AZ82-1</f>
        <v>1.1861594855955726E-2</v>
      </c>
      <c r="BF83" s="1750">
        <f t="shared" ref="BF83" si="219">+BF82/BA82-1</f>
        <v>1.5150559314737633E-2</v>
      </c>
      <c r="BG83" s="1751">
        <f t="shared" ref="BG83" si="220">+BG82/BB82-1</f>
        <v>1.8278343740584901E-2</v>
      </c>
      <c r="BH83" s="1748">
        <f t="shared" ref="BH83" si="221">+BH82/BC82-1</f>
        <v>1.4765343969306066E-2</v>
      </c>
      <c r="BI83" s="1749">
        <f t="shared" ref="BI83" si="222">+BI82/BD82-1</f>
        <v>1.3971421898537395E-2</v>
      </c>
      <c r="BJ83" s="1749">
        <f t="shared" ref="BJ83" si="223">+BJ82/BE82-1</f>
        <v>1.1435129372008523E-2</v>
      </c>
      <c r="BK83" s="1750">
        <f t="shared" ref="BK83" si="224">+BK82/BF82-1</f>
        <v>1.4558522988550315E-2</v>
      </c>
      <c r="BL83" s="1751">
        <f t="shared" ref="BL83" si="225">+BL82/BG82-1</f>
        <v>1.3539176692398902E-2</v>
      </c>
      <c r="BM83" s="890"/>
      <c r="BN83" s="890"/>
      <c r="BO83" s="890"/>
      <c r="BP83" s="890"/>
      <c r="BQ83" s="890"/>
      <c r="BR83" s="890"/>
      <c r="BS83" s="890"/>
      <c r="BT83" s="890"/>
      <c r="BU83" s="890"/>
      <c r="BV83" s="890"/>
      <c r="BW83" s="890"/>
      <c r="BX83" s="890"/>
      <c r="BY83" s="890"/>
      <c r="BZ83" s="890"/>
      <c r="CA83" s="890"/>
      <c r="CB83" s="890"/>
      <c r="CC83" s="890"/>
      <c r="CD83" s="890"/>
      <c r="CE83" s="890"/>
      <c r="CF83" s="890"/>
      <c r="CG83" s="890"/>
      <c r="CH83" s="890"/>
      <c r="CI83" s="890"/>
      <c r="CJ83" s="890"/>
      <c r="CK83" s="890"/>
      <c r="CL83" s="890"/>
      <c r="CM83" s="890"/>
      <c r="CN83" s="890"/>
      <c r="CO83" s="890"/>
      <c r="CP83" s="890"/>
    </row>
    <row r="84" spans="1:94">
      <c r="A84" s="890"/>
      <c r="B84" s="890"/>
      <c r="C84" s="1699"/>
      <c r="D84" s="1699"/>
      <c r="E84" s="1748"/>
      <c r="F84" s="1749"/>
      <c r="G84" s="1749"/>
      <c r="H84" s="1750"/>
      <c r="I84" s="1751"/>
      <c r="J84" s="1748"/>
      <c r="K84" s="1749"/>
      <c r="L84" s="1749"/>
      <c r="M84" s="1750"/>
      <c r="N84" s="1751"/>
      <c r="O84" s="1748"/>
      <c r="P84" s="1749"/>
      <c r="Q84" s="1749"/>
      <c r="R84" s="1750"/>
      <c r="S84" s="1751"/>
      <c r="T84" s="1748"/>
      <c r="U84" s="1749"/>
      <c r="V84" s="1749"/>
      <c r="W84" s="1750"/>
      <c r="X84" s="1751"/>
      <c r="Y84" s="1748"/>
      <c r="Z84" s="1749"/>
      <c r="AA84" s="1749"/>
      <c r="AB84" s="1750"/>
      <c r="AC84" s="1751"/>
      <c r="AD84" s="1748"/>
      <c r="AE84" s="1749"/>
      <c r="AF84" s="1749"/>
      <c r="AG84" s="1750"/>
      <c r="AH84" s="1751"/>
      <c r="AI84" s="1748"/>
      <c r="AJ84" s="1749"/>
      <c r="AK84" s="1749"/>
      <c r="AL84" s="1750"/>
      <c r="AM84" s="1751"/>
      <c r="AN84" s="1748"/>
      <c r="AO84" s="1749"/>
      <c r="AP84" s="1749"/>
      <c r="AQ84" s="1750"/>
      <c r="AR84" s="1751"/>
      <c r="AS84" s="1748"/>
      <c r="AT84" s="1749"/>
      <c r="AU84" s="1749"/>
      <c r="AV84" s="1750"/>
      <c r="AW84" s="1751"/>
      <c r="AX84" s="1748"/>
      <c r="AY84" s="1749"/>
      <c r="AZ84" s="1749"/>
      <c r="BA84" s="1750"/>
      <c r="BB84" s="1751"/>
      <c r="BC84" s="1748"/>
      <c r="BD84" s="1749"/>
      <c r="BE84" s="1749"/>
      <c r="BF84" s="1750"/>
      <c r="BG84" s="1751"/>
      <c r="BH84" s="1748"/>
      <c r="BI84" s="1749"/>
      <c r="BJ84" s="1749"/>
      <c r="BK84" s="1750"/>
      <c r="BL84" s="1751"/>
      <c r="BM84" s="890"/>
      <c r="BN84" s="890"/>
      <c r="BO84" s="890"/>
      <c r="BP84" s="890"/>
      <c r="BQ84" s="890"/>
      <c r="BR84" s="890"/>
      <c r="BS84" s="890"/>
      <c r="BT84" s="890"/>
      <c r="BU84" s="890"/>
      <c r="BV84" s="890"/>
      <c r="BW84" s="890"/>
      <c r="BX84" s="890"/>
      <c r="BY84" s="890"/>
      <c r="BZ84" s="890"/>
      <c r="CA84" s="890"/>
      <c r="CB84" s="890"/>
      <c r="CC84" s="890"/>
      <c r="CD84" s="890"/>
      <c r="CE84" s="890"/>
      <c r="CF84" s="890"/>
      <c r="CG84" s="890"/>
      <c r="CH84" s="890"/>
      <c r="CI84" s="890"/>
      <c r="CJ84" s="890"/>
      <c r="CK84" s="890"/>
      <c r="CL84" s="890"/>
      <c r="CM84" s="890"/>
      <c r="CN84" s="890"/>
      <c r="CO84" s="890"/>
      <c r="CP84" s="890"/>
    </row>
    <row r="85" spans="1:94">
      <c r="A85" s="890"/>
      <c r="B85" s="890"/>
      <c r="C85" s="909" t="s">
        <v>138</v>
      </c>
      <c r="D85" s="890"/>
      <c r="E85" s="292"/>
      <c r="F85" s="261"/>
      <c r="G85" s="261"/>
      <c r="H85" s="293"/>
      <c r="I85" s="1755">
        <f t="shared" ref="I85:Z85" si="226">I82/I74*1000</f>
        <v>32.910604528125724</v>
      </c>
      <c r="J85" s="1752">
        <f t="shared" si="226"/>
        <v>35.409035409035411</v>
      </c>
      <c r="K85" s="1753">
        <f t="shared" si="226"/>
        <v>33.875338753387531</v>
      </c>
      <c r="L85" s="1753">
        <f t="shared" si="226"/>
        <v>33.342752189884145</v>
      </c>
      <c r="M85" s="1754">
        <f t="shared" si="226"/>
        <v>35.9465936323177</v>
      </c>
      <c r="N85" s="1755">
        <f t="shared" si="226"/>
        <v>34.599621689785621</v>
      </c>
      <c r="O85" s="1752">
        <f t="shared" si="226"/>
        <v>38.095238095238102</v>
      </c>
      <c r="P85" s="1753">
        <f t="shared" si="226"/>
        <v>38.765008576329329</v>
      </c>
      <c r="Q85" s="1753">
        <f t="shared" si="226"/>
        <v>36.422067487948581</v>
      </c>
      <c r="R85" s="1754">
        <f t="shared" si="226"/>
        <v>39.701391245334243</v>
      </c>
      <c r="S85" s="1755">
        <f t="shared" si="226"/>
        <v>38.12989478680484</v>
      </c>
      <c r="T85" s="1752">
        <f t="shared" si="226"/>
        <v>37.837837837837839</v>
      </c>
      <c r="U85" s="1753">
        <f t="shared" si="226"/>
        <v>40.235865417967389</v>
      </c>
      <c r="V85" s="1753">
        <f t="shared" si="226"/>
        <v>39.781354388095963</v>
      </c>
      <c r="W85" s="1754">
        <f t="shared" si="226"/>
        <v>43.25785738425143</v>
      </c>
      <c r="X85" s="1755">
        <f t="shared" si="226"/>
        <v>40.192539109506619</v>
      </c>
      <c r="Y85" s="1752">
        <f t="shared" si="226"/>
        <v>41.892706449668481</v>
      </c>
      <c r="Z85" s="1753">
        <f t="shared" si="226"/>
        <v>44.008124576844956</v>
      </c>
      <c r="AA85" s="1753">
        <f t="shared" ref="AA85:AE85" si="227">AA82/AA74*1000</f>
        <v>46.273291925465834</v>
      </c>
      <c r="AB85" s="1754">
        <f t="shared" si="227"/>
        <v>46.217048955837043</v>
      </c>
      <c r="AC85" s="1755">
        <f t="shared" si="227"/>
        <v>44.550068476597112</v>
      </c>
      <c r="AD85" s="1752">
        <f t="shared" si="227"/>
        <v>44.647967945048656</v>
      </c>
      <c r="AE85" s="1753">
        <f t="shared" si="227"/>
        <v>46.633941093969142</v>
      </c>
      <c r="AF85" s="1753">
        <f t="shared" ref="AF85:AJ85" si="228">AF82/AF74*1000</f>
        <v>45.54989511537309</v>
      </c>
      <c r="AG85" s="1754">
        <f t="shared" si="228"/>
        <v>51.59441060551773</v>
      </c>
      <c r="AH85" s="1755">
        <f t="shared" si="228"/>
        <v>46.897546897546896</v>
      </c>
      <c r="AI85" s="1752">
        <f t="shared" si="228"/>
        <v>40.426908150064683</v>
      </c>
      <c r="AJ85" s="1753">
        <f t="shared" si="228"/>
        <v>47.705753823743628</v>
      </c>
      <c r="AK85" s="1753">
        <f t="shared" ref="AK85:AO85" si="229">AK82/AK74*1000</f>
        <v>46.272493573264782</v>
      </c>
      <c r="AL85" s="1754">
        <f t="shared" si="229"/>
        <v>43.198857550874685</v>
      </c>
      <c r="AM85" s="1755">
        <f t="shared" si="229"/>
        <v>44.398682042833606</v>
      </c>
      <c r="AN85" s="1752">
        <f t="shared" si="229"/>
        <v>46.17458712504213</v>
      </c>
      <c r="AO85" s="1753">
        <f t="shared" si="229"/>
        <v>53.426676492262338</v>
      </c>
      <c r="AP85" s="1753">
        <f t="shared" ref="AP85:AR85" si="230">AP82/AP74*1000</f>
        <v>53.453453453453456</v>
      </c>
      <c r="AQ85" s="1754">
        <f t="shared" si="230"/>
        <v>48.516579406631763</v>
      </c>
      <c r="AR85" s="1755">
        <f t="shared" si="230"/>
        <v>50.437857864600872</v>
      </c>
      <c r="AS85" s="1752">
        <f>AN85+(AS87/AS74*1000)</f>
        <v>44.546605931775552</v>
      </c>
      <c r="AT85" s="1753">
        <f>AO85+(AT87/AT74*1000)</f>
        <v>52.469827978228217</v>
      </c>
      <c r="AU85" s="1753">
        <f>AP85+(AU87/AU74*1000)</f>
        <v>52.910094033907328</v>
      </c>
      <c r="AV85" s="1754">
        <f>AQ85+(AV87/AV74*1000)</f>
        <v>47.885030761923694</v>
      </c>
      <c r="AW85" s="1755">
        <f>AW82/AW74*1000</f>
        <v>49.507756752973407</v>
      </c>
      <c r="AX85" s="1752">
        <f>AS85+(AX87/AX74*1000)</f>
        <v>46.310361412005896</v>
      </c>
      <c r="AY85" s="1753">
        <f>AT85+(AY87/AY74*1000)</f>
        <v>53.575107704282054</v>
      </c>
      <c r="AZ85" s="1753">
        <f>AU85+(AZ87/AZ74*1000)</f>
        <v>53.949802495321777</v>
      </c>
      <c r="BA85" s="1754">
        <f>AV85+(BA87/BA74*1000)</f>
        <v>49.093487717075561</v>
      </c>
      <c r="BB85" s="1755">
        <f>BB82/BB74*1000</f>
        <v>50.784049279023741</v>
      </c>
      <c r="BC85" s="1752">
        <f>AX85+(BC87/BC74*1000)</f>
        <v>47.449885925047774</v>
      </c>
      <c r="BD85" s="1753">
        <f>AY85+(BD87/BD74*1000)</f>
        <v>54.820859078709191</v>
      </c>
      <c r="BE85" s="1753">
        <f>AZ85+(BE87/BE74*1000)</f>
        <v>54.589733195080107</v>
      </c>
      <c r="BF85" s="1754">
        <f>BA85+(BF87/BF74*1000)</f>
        <v>49.837281514700429</v>
      </c>
      <c r="BG85" s="1755">
        <f>BG82/BG74*1000</f>
        <v>51.712297588284542</v>
      </c>
      <c r="BH85" s="1752">
        <f>BC85+(BH87/BH74*1000)</f>
        <v>48.150499812035449</v>
      </c>
      <c r="BI85" s="1753">
        <f>BD85+(BI87/BI74*1000)</f>
        <v>55.586784429738088</v>
      </c>
      <c r="BJ85" s="1753">
        <f>BE85+(BJ87/BJ74*1000)</f>
        <v>55.213973856549302</v>
      </c>
      <c r="BK85" s="1754">
        <f>BF85+(BK87/BK74*1000)</f>
        <v>50.562838723319075</v>
      </c>
      <c r="BL85" s="1755">
        <f>BL82/BL74*1000</f>
        <v>52.41243952250224</v>
      </c>
      <c r="BM85" s="890"/>
      <c r="BN85" s="890"/>
      <c r="BO85" s="890"/>
      <c r="BP85" s="890"/>
      <c r="BQ85" s="890"/>
      <c r="BR85" s="890"/>
      <c r="BS85" s="890"/>
      <c r="BT85" s="890"/>
      <c r="BU85" s="890"/>
      <c r="BV85" s="890"/>
      <c r="BW85" s="890"/>
      <c r="BX85" s="890"/>
      <c r="BY85" s="890"/>
      <c r="BZ85" s="890"/>
      <c r="CA85" s="890"/>
      <c r="CB85" s="890"/>
      <c r="CC85" s="890"/>
      <c r="CD85" s="890"/>
      <c r="CE85" s="890"/>
      <c r="CF85" s="890"/>
      <c r="CG85" s="890"/>
      <c r="CH85" s="890"/>
      <c r="CI85" s="890"/>
      <c r="CJ85" s="890"/>
      <c r="CK85" s="890"/>
      <c r="CL85" s="890"/>
      <c r="CM85" s="890"/>
      <c r="CN85" s="890"/>
      <c r="CO85" s="890"/>
      <c r="CP85" s="890"/>
    </row>
    <row r="86" spans="1:94">
      <c r="A86" s="890"/>
      <c r="B86" s="890"/>
      <c r="C86" s="1736"/>
      <c r="D86" s="890"/>
      <c r="E86" s="891"/>
      <c r="F86" s="892"/>
      <c r="G86" s="892"/>
      <c r="H86" s="893"/>
      <c r="I86" s="894"/>
      <c r="J86" s="891"/>
      <c r="K86" s="892"/>
      <c r="L86" s="892"/>
      <c r="M86" s="893"/>
      <c r="N86" s="894"/>
      <c r="O86" s="891"/>
      <c r="P86" s="892"/>
      <c r="Q86" s="892"/>
      <c r="R86" s="893"/>
      <c r="S86" s="894"/>
      <c r="T86" s="891"/>
      <c r="U86" s="892"/>
      <c r="V86" s="892"/>
      <c r="W86" s="893"/>
      <c r="X86" s="894"/>
      <c r="Y86" s="891"/>
      <c r="Z86" s="892"/>
      <c r="AA86" s="892"/>
      <c r="AB86" s="893"/>
      <c r="AC86" s="894"/>
      <c r="AD86" s="891"/>
      <c r="AE86" s="892"/>
      <c r="AF86" s="892"/>
      <c r="AG86" s="893"/>
      <c r="AH86" s="894"/>
      <c r="AI86" s="891"/>
      <c r="AJ86" s="892"/>
      <c r="AK86" s="892"/>
      <c r="AL86" s="893"/>
      <c r="AM86" s="894"/>
      <c r="AN86" s="891"/>
      <c r="AO86" s="892"/>
      <c r="AP86" s="892"/>
      <c r="AQ86" s="893"/>
      <c r="AR86" s="894"/>
      <c r="AS86" s="891"/>
      <c r="AT86" s="892"/>
      <c r="AU86" s="892"/>
      <c r="AV86" s="893"/>
      <c r="AW86" s="894"/>
      <c r="AX86" s="891"/>
      <c r="AY86" s="892"/>
      <c r="AZ86" s="892"/>
      <c r="BA86" s="893"/>
      <c r="BB86" s="894"/>
      <c r="BC86" s="891"/>
      <c r="BD86" s="892"/>
      <c r="BE86" s="892"/>
      <c r="BF86" s="893"/>
      <c r="BG86" s="894"/>
      <c r="BH86" s="891"/>
      <c r="BI86" s="892"/>
      <c r="BJ86" s="892"/>
      <c r="BK86" s="893"/>
      <c r="BL86" s="894"/>
      <c r="BM86" s="890"/>
      <c r="BN86" s="890"/>
      <c r="BO86" s="890"/>
      <c r="BP86" s="890"/>
      <c r="BQ86" s="890"/>
      <c r="BR86" s="890"/>
      <c r="BS86" s="890"/>
      <c r="BT86" s="890"/>
      <c r="BU86" s="890"/>
      <c r="BV86" s="890"/>
      <c r="BW86" s="890"/>
      <c r="BX86" s="890"/>
      <c r="BY86" s="890"/>
      <c r="BZ86" s="890"/>
      <c r="CA86" s="890"/>
      <c r="CB86" s="890"/>
      <c r="CC86" s="890"/>
      <c r="CD86" s="890"/>
      <c r="CE86" s="890"/>
      <c r="CF86" s="890"/>
      <c r="CG86" s="890"/>
      <c r="CH86" s="890"/>
      <c r="CI86" s="890"/>
      <c r="CJ86" s="890"/>
      <c r="CK86" s="890"/>
      <c r="CL86" s="890"/>
      <c r="CM86" s="890"/>
      <c r="CN86" s="890"/>
      <c r="CO86" s="890"/>
      <c r="CP86" s="890"/>
    </row>
    <row r="87" spans="1:94">
      <c r="A87" s="890"/>
      <c r="B87" s="890"/>
      <c r="C87" s="895" t="s">
        <v>134</v>
      </c>
      <c r="D87" s="890"/>
      <c r="E87" s="891"/>
      <c r="F87" s="892"/>
      <c r="G87" s="892"/>
      <c r="H87" s="893"/>
      <c r="I87" s="894"/>
      <c r="J87" s="290"/>
      <c r="K87" s="260"/>
      <c r="L87" s="260"/>
      <c r="M87" s="291"/>
      <c r="N87" s="45"/>
      <c r="O87" s="290"/>
      <c r="P87" s="260"/>
      <c r="Q87" s="260"/>
      <c r="R87" s="291"/>
      <c r="S87" s="45"/>
      <c r="T87" s="290"/>
      <c r="U87" s="260"/>
      <c r="V87" s="260"/>
      <c r="W87" s="291"/>
      <c r="X87" s="45"/>
      <c r="Y87" s="290"/>
      <c r="Z87" s="260"/>
      <c r="AA87" s="260"/>
      <c r="AB87" s="291"/>
      <c r="AC87" s="45"/>
      <c r="AD87" s="290"/>
      <c r="AE87" s="260"/>
      <c r="AF87" s="260"/>
      <c r="AG87" s="291"/>
      <c r="AH87" s="45"/>
      <c r="AI87" s="290"/>
      <c r="AJ87" s="260"/>
      <c r="AK87" s="260"/>
      <c r="AL87" s="291"/>
      <c r="AM87" s="45"/>
      <c r="AN87" s="290"/>
      <c r="AO87" s="260"/>
      <c r="AP87" s="260"/>
      <c r="AQ87" s="291"/>
      <c r="AR87" s="45"/>
      <c r="AS87" s="290">
        <f>SUM(AS53:AS55)</f>
        <v>-4.830220200421941</v>
      </c>
      <c r="AT87" s="260">
        <f>SUM(AT53:AT55)</f>
        <v>-2.5968868670886085</v>
      </c>
      <c r="AU87" s="260">
        <f>SUM(AU53:AU55)</f>
        <v>-1.8093868670886089</v>
      </c>
      <c r="AV87" s="291">
        <f>SUM(AV53:AV55)</f>
        <v>-1.8093868670886089</v>
      </c>
      <c r="AW87" s="45">
        <f>SUM(AS87:AV87)</f>
        <v>-11.045880801687767</v>
      </c>
      <c r="AX87" s="290">
        <f>SUM(AX53:AX55)</f>
        <v>5.2330625098434389</v>
      </c>
      <c r="AY87" s="260">
        <f>SUM(AY53:AY55)</f>
        <v>2.9997291765101051</v>
      </c>
      <c r="AZ87" s="260">
        <f>SUM(AZ53:AZ55)</f>
        <v>3.462229176510105</v>
      </c>
      <c r="BA87" s="291">
        <f>SUM(BA53:BA55)</f>
        <v>3.462229176510105</v>
      </c>
      <c r="BB87" s="45">
        <f>SUM(AX87:BA87)</f>
        <v>15.157250039373753</v>
      </c>
      <c r="BC87" s="290">
        <f>SUM(BC53:BC55)</f>
        <v>3.3809692301952476</v>
      </c>
      <c r="BD87" s="260">
        <f>SUM(BD53:BD55)</f>
        <v>3.3809692301952476</v>
      </c>
      <c r="BE87" s="260">
        <f>SUM(BE53:BE55)</f>
        <v>2.1309692301952476</v>
      </c>
      <c r="BF87" s="291">
        <f>SUM(BF53:BF55)</f>
        <v>2.1309692301952476</v>
      </c>
      <c r="BG87" s="45">
        <f>SUM(BC87:BF87)</f>
        <v>11.023876920780991</v>
      </c>
      <c r="BH87" s="290">
        <f>SUM(BH53:BH55)</f>
        <v>2.0787214026924259</v>
      </c>
      <c r="BI87" s="260">
        <f>SUM(BI53:BI55)</f>
        <v>2.0787214026924259</v>
      </c>
      <c r="BJ87" s="260">
        <f>SUM(BJ53:BJ55)</f>
        <v>2.0787214026924259</v>
      </c>
      <c r="BK87" s="291">
        <f>SUM(BK53:BK55)</f>
        <v>2.0787214026924259</v>
      </c>
      <c r="BL87" s="45">
        <f>SUM(BH87:BK87)</f>
        <v>8.3148856107697036</v>
      </c>
      <c r="BM87" s="890"/>
      <c r="BN87" s="890"/>
      <c r="BO87" s="890"/>
      <c r="BP87" s="890"/>
      <c r="BQ87" s="890"/>
      <c r="BR87" s="890"/>
      <c r="BS87" s="890"/>
      <c r="BT87" s="890"/>
      <c r="BU87" s="890"/>
      <c r="BV87" s="890"/>
      <c r="BW87" s="890"/>
      <c r="BX87" s="890"/>
      <c r="BY87" s="890"/>
      <c r="BZ87" s="890"/>
      <c r="CA87" s="890"/>
      <c r="CB87" s="890"/>
      <c r="CC87" s="890"/>
      <c r="CD87" s="890"/>
      <c r="CE87" s="890"/>
      <c r="CF87" s="890"/>
      <c r="CG87" s="890"/>
      <c r="CH87" s="890"/>
      <c r="CI87" s="890"/>
      <c r="CJ87" s="890"/>
      <c r="CK87" s="890"/>
      <c r="CL87" s="890"/>
      <c r="CM87" s="890"/>
      <c r="CN87" s="890"/>
      <c r="CO87" s="890"/>
      <c r="CP87" s="890"/>
    </row>
    <row r="88" spans="1:94">
      <c r="A88" s="890"/>
      <c r="B88" s="890"/>
      <c r="C88" s="391"/>
      <c r="D88" s="890"/>
      <c r="E88" s="891"/>
      <c r="F88" s="892"/>
      <c r="G88" s="892"/>
      <c r="H88" s="893"/>
      <c r="I88" s="894"/>
      <c r="J88" s="891"/>
      <c r="K88" s="892"/>
      <c r="L88" s="892"/>
      <c r="M88" s="893"/>
      <c r="N88" s="894"/>
      <c r="O88" s="891"/>
      <c r="P88" s="892"/>
      <c r="Q88" s="892"/>
      <c r="R88" s="893"/>
      <c r="S88" s="894"/>
      <c r="T88" s="891"/>
      <c r="U88" s="892"/>
      <c r="V88" s="892"/>
      <c r="W88" s="893"/>
      <c r="X88" s="894"/>
      <c r="Y88" s="891"/>
      <c r="Z88" s="892"/>
      <c r="AA88" s="892"/>
      <c r="AB88" s="893"/>
      <c r="AC88" s="894"/>
      <c r="AD88" s="891"/>
      <c r="AE88" s="892"/>
      <c r="AF88" s="892"/>
      <c r="AG88" s="893"/>
      <c r="AH88" s="894"/>
      <c r="AI88" s="891"/>
      <c r="AJ88" s="892"/>
      <c r="AK88" s="892"/>
      <c r="AL88" s="893"/>
      <c r="AM88" s="894"/>
      <c r="AN88" s="891"/>
      <c r="AO88" s="892"/>
      <c r="AP88" s="892"/>
      <c r="AQ88" s="893"/>
      <c r="AR88" s="894"/>
      <c r="AS88" s="891"/>
      <c r="AT88" s="892"/>
      <c r="AU88" s="892"/>
      <c r="AV88" s="893"/>
      <c r="AW88" s="894"/>
      <c r="AX88" s="891"/>
      <c r="AY88" s="892"/>
      <c r="AZ88" s="892"/>
      <c r="BA88" s="893"/>
      <c r="BB88" s="894"/>
      <c r="BC88" s="891"/>
      <c r="BD88" s="892"/>
      <c r="BE88" s="892"/>
      <c r="BF88" s="893"/>
      <c r="BG88" s="894"/>
      <c r="BH88" s="891"/>
      <c r="BI88" s="892"/>
      <c r="BJ88" s="892"/>
      <c r="BK88" s="893"/>
      <c r="BL88" s="894"/>
      <c r="BM88" s="890"/>
      <c r="BN88" s="890"/>
      <c r="BO88" s="890"/>
      <c r="BP88" s="890"/>
      <c r="BQ88" s="890"/>
      <c r="BR88" s="890"/>
      <c r="BS88" s="890"/>
      <c r="BT88" s="890"/>
      <c r="BU88" s="890"/>
      <c r="BV88" s="890"/>
      <c r="BW88" s="890"/>
      <c r="BX88" s="890"/>
      <c r="BY88" s="890"/>
      <c r="BZ88" s="890"/>
      <c r="CA88" s="890"/>
      <c r="CB88" s="890"/>
      <c r="CC88" s="890"/>
      <c r="CD88" s="890"/>
      <c r="CE88" s="890"/>
      <c r="CF88" s="890"/>
      <c r="CG88" s="890"/>
      <c r="CH88" s="890"/>
      <c r="CI88" s="890"/>
      <c r="CJ88" s="890"/>
      <c r="CK88" s="890"/>
      <c r="CL88" s="890"/>
      <c r="CM88" s="890"/>
      <c r="CN88" s="890"/>
      <c r="CO88" s="890"/>
      <c r="CP88" s="890"/>
    </row>
    <row r="89" spans="1:94">
      <c r="A89" s="890"/>
      <c r="B89" s="890"/>
      <c r="C89" s="895" t="s">
        <v>133</v>
      </c>
      <c r="D89" s="895"/>
      <c r="E89" s="1752"/>
      <c r="F89" s="1753"/>
      <c r="G89" s="1753"/>
      <c r="H89" s="1754"/>
      <c r="I89" s="1755">
        <f t="shared" ref="I89:AW89" si="231">I85+I80</f>
        <v>90.484711740449697</v>
      </c>
      <c r="J89" s="1752">
        <f t="shared" si="231"/>
        <v>90.964590964590968</v>
      </c>
      <c r="K89" s="1753">
        <f t="shared" si="231"/>
        <v>82.994579945799444</v>
      </c>
      <c r="L89" s="1753">
        <f t="shared" si="231"/>
        <v>84.204577564283682</v>
      </c>
      <c r="M89" s="1754">
        <f t="shared" si="231"/>
        <v>79.767203012666897</v>
      </c>
      <c r="N89" s="1755">
        <f t="shared" si="231"/>
        <v>84.646910466582597</v>
      </c>
      <c r="O89" s="1752">
        <f t="shared" si="231"/>
        <v>85.05747126436782</v>
      </c>
      <c r="P89" s="1753">
        <f t="shared" si="231"/>
        <v>80.617495711835332</v>
      </c>
      <c r="Q89" s="1753">
        <f t="shared" si="231"/>
        <v>84.092126405998926</v>
      </c>
      <c r="R89" s="1754">
        <f t="shared" si="231"/>
        <v>82.117407533084503</v>
      </c>
      <c r="S89" s="1755">
        <f t="shared" si="231"/>
        <v>83.063048809429631</v>
      </c>
      <c r="T89" s="1752">
        <f t="shared" si="231"/>
        <v>85.585585585585591</v>
      </c>
      <c r="U89" s="1753">
        <f t="shared" si="231"/>
        <v>82.20603537981269</v>
      </c>
      <c r="V89" s="1753">
        <f t="shared" si="231"/>
        <v>82.903127846948081</v>
      </c>
      <c r="W89" s="1754">
        <f t="shared" si="231"/>
        <v>87.191618790131798</v>
      </c>
      <c r="X89" s="1755">
        <f t="shared" si="231"/>
        <v>84.476534296028888</v>
      </c>
      <c r="Y89" s="1752">
        <f t="shared" si="231"/>
        <v>90.415913200723338</v>
      </c>
      <c r="Z89" s="1753">
        <f t="shared" si="231"/>
        <v>84.969532836831419</v>
      </c>
      <c r="AA89" s="1753">
        <f t="shared" ref="AA89:AE89" si="232">AA85+AA80</f>
        <v>89.751552795031046</v>
      </c>
      <c r="AB89" s="1754">
        <f t="shared" si="232"/>
        <v>88.668264293050328</v>
      </c>
      <c r="AC89" s="1755">
        <f t="shared" si="232"/>
        <v>88.536212035768955</v>
      </c>
      <c r="AD89" s="1752">
        <f t="shared" si="232"/>
        <v>96.451058958214077</v>
      </c>
      <c r="AE89" s="1753">
        <f t="shared" si="232"/>
        <v>87.657784011220201</v>
      </c>
      <c r="AF89" s="1753">
        <f t="shared" ref="AF89:AJ89" si="233">AF85+AF80</f>
        <v>89.301768055139348</v>
      </c>
      <c r="AG89" s="1754">
        <f t="shared" si="233"/>
        <v>96.022930849158001</v>
      </c>
      <c r="AH89" s="1755">
        <f t="shared" si="233"/>
        <v>92.432259098925769</v>
      </c>
      <c r="AI89" s="1752">
        <f t="shared" si="233"/>
        <v>97.347994825355755</v>
      </c>
      <c r="AJ89" s="1753">
        <f t="shared" si="233"/>
        <v>92.134013109978156</v>
      </c>
      <c r="AK89" s="1753">
        <f t="shared" ref="AK89:AO89" si="234">AK85+AK80</f>
        <v>89.117395029991428</v>
      </c>
      <c r="AL89" s="1754">
        <f t="shared" si="234"/>
        <v>91.39593002499106</v>
      </c>
      <c r="AM89" s="1755">
        <f t="shared" si="234"/>
        <v>92.421746293245462</v>
      </c>
      <c r="AN89" s="1752">
        <f t="shared" si="234"/>
        <v>99.089989888776529</v>
      </c>
      <c r="AO89" s="1753">
        <f t="shared" si="234"/>
        <v>95.062638172439193</v>
      </c>
      <c r="AP89" s="1753">
        <f t="shared" ref="AP89:AR89" si="235">AP85+AP80</f>
        <v>92.192192192192195</v>
      </c>
      <c r="AQ89" s="1754">
        <f t="shared" si="235"/>
        <v>94.938917975567193</v>
      </c>
      <c r="AR89" s="1755">
        <f t="shared" si="235"/>
        <v>95.234085550690466</v>
      </c>
      <c r="AS89" s="1752">
        <f t="shared" si="231"/>
        <v>97.462008695509951</v>
      </c>
      <c r="AT89" s="1753">
        <f t="shared" si="231"/>
        <v>94.105789658405072</v>
      </c>
      <c r="AU89" s="1753">
        <f t="shared" si="231"/>
        <v>91.648832772646074</v>
      </c>
      <c r="AV89" s="1754">
        <f t="shared" si="231"/>
        <v>94.307369330859132</v>
      </c>
      <c r="AW89" s="1755">
        <f t="shared" si="231"/>
        <v>94.303984439063001</v>
      </c>
      <c r="AX89" s="1752">
        <f t="shared" ref="AX89:BG89" si="236">AX85+AX80</f>
        <v>99.225764175740295</v>
      </c>
      <c r="AY89" s="1753">
        <f t="shared" si="236"/>
        <v>95.211069384458909</v>
      </c>
      <c r="AZ89" s="1753">
        <f t="shared" si="236"/>
        <v>92.688541234060523</v>
      </c>
      <c r="BA89" s="1754">
        <f t="shared" si="236"/>
        <v>95.515826286010991</v>
      </c>
      <c r="BB89" s="1755">
        <f t="shared" si="236"/>
        <v>95.580276965113342</v>
      </c>
      <c r="BC89" s="1752">
        <f t="shared" si="236"/>
        <v>100.36528868878219</v>
      </c>
      <c r="BD89" s="1753">
        <f t="shared" si="236"/>
        <v>96.456820758886039</v>
      </c>
      <c r="BE89" s="1753">
        <f t="shared" si="236"/>
        <v>93.328471933818847</v>
      </c>
      <c r="BF89" s="1754">
        <f t="shared" si="236"/>
        <v>96.259620083635866</v>
      </c>
      <c r="BG89" s="1755">
        <f t="shared" si="236"/>
        <v>96.508525274374136</v>
      </c>
      <c r="BH89" s="1752">
        <f t="shared" ref="BH89:BL89" si="237">BH85+BH80</f>
        <v>101.06590257576985</v>
      </c>
      <c r="BI89" s="1753">
        <f t="shared" si="237"/>
        <v>97.222746109914937</v>
      </c>
      <c r="BJ89" s="1753">
        <f t="shared" si="237"/>
        <v>93.952712595288034</v>
      </c>
      <c r="BK89" s="1754">
        <f t="shared" si="237"/>
        <v>96.985177292254505</v>
      </c>
      <c r="BL89" s="1755">
        <f t="shared" si="237"/>
        <v>97.208667208591834</v>
      </c>
      <c r="BM89" s="890"/>
      <c r="BN89" s="890"/>
      <c r="BO89" s="890"/>
      <c r="BP89" s="890"/>
      <c r="BQ89" s="890"/>
      <c r="BR89" s="890"/>
      <c r="BS89" s="890"/>
      <c r="BT89" s="890"/>
      <c r="BU89" s="890"/>
      <c r="BV89" s="890"/>
      <c r="BW89" s="890"/>
      <c r="BX89" s="890"/>
      <c r="BY89" s="890"/>
      <c r="BZ89" s="890"/>
      <c r="CA89" s="890"/>
      <c r="CB89" s="890"/>
      <c r="CC89" s="890"/>
      <c r="CD89" s="890"/>
      <c r="CE89" s="890"/>
      <c r="CF89" s="890"/>
      <c r="CG89" s="890"/>
      <c r="CH89" s="890"/>
      <c r="CI89" s="890"/>
      <c r="CJ89" s="890"/>
      <c r="CK89" s="890"/>
      <c r="CL89" s="890"/>
      <c r="CM89" s="890"/>
      <c r="CN89" s="890"/>
      <c r="CO89" s="890"/>
      <c r="CP89" s="890"/>
    </row>
    <row r="90" spans="1:94">
      <c r="A90" s="890"/>
      <c r="B90" s="890"/>
      <c r="C90" s="895"/>
      <c r="D90" s="895"/>
      <c r="E90" s="1752"/>
      <c r="F90" s="1753"/>
      <c r="G90" s="1753"/>
      <c r="H90" s="1754"/>
      <c r="I90" s="1755"/>
      <c r="J90" s="1752"/>
      <c r="K90" s="1753"/>
      <c r="L90" s="1753"/>
      <c r="M90" s="1754"/>
      <c r="N90" s="1755"/>
      <c r="O90" s="1752"/>
      <c r="P90" s="1753"/>
      <c r="Q90" s="1753"/>
      <c r="R90" s="1754"/>
      <c r="S90" s="1755"/>
      <c r="T90" s="1752"/>
      <c r="U90" s="1753"/>
      <c r="V90" s="1753"/>
      <c r="W90" s="1754"/>
      <c r="X90" s="1755"/>
      <c r="Y90" s="1752"/>
      <c r="Z90" s="1753"/>
      <c r="AA90" s="1753"/>
      <c r="AB90" s="1754"/>
      <c r="AC90" s="1755"/>
      <c r="AD90" s="1752"/>
      <c r="AE90" s="1753"/>
      <c r="AF90" s="1753"/>
      <c r="AG90" s="1754"/>
      <c r="AH90" s="1755"/>
      <c r="AI90" s="1752"/>
      <c r="AJ90" s="1753"/>
      <c r="AK90" s="1753"/>
      <c r="AL90" s="1754"/>
      <c r="AM90" s="1755"/>
      <c r="AN90" s="1752"/>
      <c r="AO90" s="1753"/>
      <c r="AP90" s="1753"/>
      <c r="AQ90" s="1754"/>
      <c r="AR90" s="1755"/>
      <c r="AS90" s="1752"/>
      <c r="AT90" s="1753"/>
      <c r="AU90" s="1753"/>
      <c r="AV90" s="1754"/>
      <c r="AW90" s="1755"/>
      <c r="AX90" s="1752"/>
      <c r="AY90" s="1753"/>
      <c r="AZ90" s="1753"/>
      <c r="BA90" s="1754"/>
      <c r="BB90" s="1755"/>
      <c r="BC90" s="1752"/>
      <c r="BD90" s="1753"/>
      <c r="BE90" s="1753"/>
      <c r="BF90" s="1754"/>
      <c r="BG90" s="1755"/>
      <c r="BH90" s="1752"/>
      <c r="BI90" s="1753"/>
      <c r="BJ90" s="1753"/>
      <c r="BK90" s="1754"/>
      <c r="BL90" s="1755"/>
      <c r="BM90" s="890"/>
      <c r="BN90" s="890"/>
      <c r="BO90" s="890"/>
      <c r="BP90" s="890"/>
      <c r="BQ90" s="890"/>
      <c r="BR90" s="890"/>
      <c r="BS90" s="890"/>
      <c r="BT90" s="890"/>
      <c r="BU90" s="890"/>
      <c r="BV90" s="890"/>
      <c r="BW90" s="890"/>
      <c r="BX90" s="890"/>
      <c r="BY90" s="890"/>
      <c r="BZ90" s="890"/>
      <c r="CA90" s="890"/>
      <c r="CB90" s="890"/>
      <c r="CC90" s="890"/>
      <c r="CD90" s="890"/>
      <c r="CE90" s="890"/>
      <c r="CF90" s="890"/>
      <c r="CG90" s="890"/>
      <c r="CH90" s="890"/>
      <c r="CI90" s="890"/>
      <c r="CJ90" s="890"/>
      <c r="CK90" s="890"/>
      <c r="CL90" s="890"/>
      <c r="CM90" s="890"/>
      <c r="CN90" s="890"/>
      <c r="CO90" s="890"/>
      <c r="CP90" s="890"/>
    </row>
    <row r="91" spans="1:94">
      <c r="A91" s="890"/>
      <c r="B91" s="890"/>
      <c r="C91" s="909"/>
      <c r="D91" s="890"/>
      <c r="E91" s="891"/>
      <c r="F91" s="892"/>
      <c r="G91" s="892"/>
      <c r="H91" s="893"/>
      <c r="I91" s="894"/>
      <c r="J91" s="891"/>
      <c r="K91" s="892"/>
      <c r="L91" s="892"/>
      <c r="M91" s="893"/>
      <c r="N91" s="894"/>
      <c r="O91" s="891"/>
      <c r="P91" s="892"/>
      <c r="Q91" s="892"/>
      <c r="R91" s="893"/>
      <c r="S91" s="894"/>
      <c r="T91" s="891"/>
      <c r="U91" s="892"/>
      <c r="V91" s="892"/>
      <c r="W91" s="893"/>
      <c r="X91" s="894"/>
      <c r="Y91" s="891"/>
      <c r="Z91" s="892"/>
      <c r="AA91" s="892"/>
      <c r="AB91" s="893"/>
      <c r="AC91" s="894"/>
      <c r="AD91" s="891"/>
      <c r="AE91" s="892"/>
      <c r="AF91" s="892"/>
      <c r="AG91" s="893"/>
      <c r="AH91" s="894"/>
      <c r="AI91" s="891"/>
      <c r="AJ91" s="892"/>
      <c r="AK91" s="892"/>
      <c r="AL91" s="893"/>
      <c r="AM91" s="894"/>
      <c r="AN91" s="891"/>
      <c r="AO91" s="892"/>
      <c r="AP91" s="892"/>
      <c r="AQ91" s="893"/>
      <c r="AR91" s="894"/>
      <c r="AS91" s="891"/>
      <c r="AT91" s="892"/>
      <c r="AU91" s="892"/>
      <c r="AV91" s="893"/>
      <c r="AW91" s="894"/>
      <c r="AX91" s="891"/>
      <c r="AY91" s="892"/>
      <c r="AZ91" s="892"/>
      <c r="BA91" s="893"/>
      <c r="BB91" s="894"/>
      <c r="BC91" s="891"/>
      <c r="BD91" s="892"/>
      <c r="BE91" s="892"/>
      <c r="BF91" s="893"/>
      <c r="BG91" s="894"/>
      <c r="BH91" s="891"/>
      <c r="BI91" s="892"/>
      <c r="BJ91" s="892"/>
      <c r="BK91" s="893"/>
      <c r="BL91" s="894"/>
      <c r="BM91" s="890"/>
      <c r="BN91" s="890"/>
      <c r="BO91" s="890"/>
      <c r="BP91" s="890"/>
      <c r="BQ91" s="890"/>
      <c r="BR91" s="890"/>
      <c r="BS91" s="890"/>
      <c r="BT91" s="890"/>
      <c r="BU91" s="890"/>
      <c r="BV91" s="890"/>
      <c r="BW91" s="890"/>
      <c r="BX91" s="890"/>
      <c r="BY91" s="890"/>
      <c r="BZ91" s="890"/>
      <c r="CA91" s="890"/>
      <c r="CB91" s="890"/>
      <c r="CC91" s="890"/>
      <c r="CD91" s="890"/>
      <c r="CE91" s="890"/>
      <c r="CF91" s="890"/>
      <c r="CG91" s="890"/>
      <c r="CH91" s="890"/>
      <c r="CI91" s="890"/>
      <c r="CJ91" s="890"/>
      <c r="CK91" s="890"/>
      <c r="CL91" s="890"/>
      <c r="CM91" s="890"/>
      <c r="CN91" s="890"/>
      <c r="CO91" s="890"/>
      <c r="CP91" s="890"/>
    </row>
    <row r="92" spans="1:94">
      <c r="A92" s="890"/>
      <c r="B92" s="1681" t="s">
        <v>139</v>
      </c>
      <c r="C92" s="1682"/>
      <c r="D92" s="1683"/>
      <c r="E92" s="891"/>
      <c r="F92" s="892"/>
      <c r="G92" s="892"/>
      <c r="H92" s="893"/>
      <c r="I92" s="894"/>
      <c r="J92" s="891"/>
      <c r="K92" s="892"/>
      <c r="L92" s="892"/>
      <c r="M92" s="893"/>
      <c r="N92" s="894"/>
      <c r="O92" s="891"/>
      <c r="P92" s="892"/>
      <c r="Q92" s="892"/>
      <c r="R92" s="893"/>
      <c r="S92" s="894"/>
      <c r="T92" s="891"/>
      <c r="U92" s="892"/>
      <c r="V92" s="892"/>
      <c r="W92" s="893"/>
      <c r="X92" s="894"/>
      <c r="Y92" s="891"/>
      <c r="Z92" s="892"/>
      <c r="AA92" s="892"/>
      <c r="AB92" s="893"/>
      <c r="AC92" s="894"/>
      <c r="AD92" s="891"/>
      <c r="AE92" s="892"/>
      <c r="AF92" s="892"/>
      <c r="AG92" s="893"/>
      <c r="AH92" s="894"/>
      <c r="AI92" s="891"/>
      <c r="AJ92" s="892"/>
      <c r="AK92" s="892"/>
      <c r="AL92" s="893"/>
      <c r="AM92" s="894"/>
      <c r="AN92" s="891"/>
      <c r="AO92" s="892"/>
      <c r="AP92" s="892"/>
      <c r="AQ92" s="893"/>
      <c r="AR92" s="894"/>
      <c r="AS92" s="891"/>
      <c r="AT92" s="892"/>
      <c r="AU92" s="892"/>
      <c r="AV92" s="893"/>
      <c r="AW92" s="894"/>
      <c r="AX92" s="891"/>
      <c r="AY92" s="892"/>
      <c r="AZ92" s="892"/>
      <c r="BA92" s="893"/>
      <c r="BB92" s="894"/>
      <c r="BC92" s="891"/>
      <c r="BD92" s="892"/>
      <c r="BE92" s="892"/>
      <c r="BF92" s="893"/>
      <c r="BG92" s="894"/>
      <c r="BH92" s="891"/>
      <c r="BI92" s="892"/>
      <c r="BJ92" s="892"/>
      <c r="BK92" s="893"/>
      <c r="BL92" s="894"/>
      <c r="BM92" s="890"/>
      <c r="BN92" s="890"/>
      <c r="BO92" s="890"/>
      <c r="BP92" s="890"/>
      <c r="BQ92" s="890"/>
      <c r="BR92" s="890"/>
      <c r="BS92" s="890"/>
      <c r="BT92" s="890"/>
      <c r="BU92" s="890"/>
      <c r="BV92" s="890"/>
      <c r="BW92" s="890"/>
      <c r="BX92" s="890"/>
      <c r="BY92" s="890"/>
      <c r="BZ92" s="890"/>
      <c r="CA92" s="890"/>
      <c r="CB92" s="890"/>
      <c r="CC92" s="890"/>
      <c r="CD92" s="890"/>
      <c r="CE92" s="890"/>
      <c r="CF92" s="890"/>
      <c r="CG92" s="890"/>
      <c r="CH92" s="890"/>
      <c r="CI92" s="890"/>
      <c r="CJ92" s="890"/>
      <c r="CK92" s="890"/>
      <c r="CL92" s="890"/>
      <c r="CM92" s="890"/>
      <c r="CN92" s="890"/>
      <c r="CO92" s="890"/>
      <c r="CP92" s="890"/>
    </row>
    <row r="93" spans="1:94">
      <c r="A93" s="890"/>
      <c r="B93" s="890"/>
      <c r="C93" s="1792"/>
      <c r="D93" s="890"/>
      <c r="E93" s="891"/>
      <c r="F93" s="892"/>
      <c r="G93" s="892"/>
      <c r="H93" s="893"/>
      <c r="I93" s="894"/>
      <c r="J93" s="891"/>
      <c r="K93" s="892"/>
      <c r="L93" s="892"/>
      <c r="M93" s="893"/>
      <c r="N93" s="894"/>
      <c r="O93" s="891"/>
      <c r="P93" s="892"/>
      <c r="Q93" s="892"/>
      <c r="R93" s="893"/>
      <c r="S93" s="894"/>
      <c r="T93" s="891"/>
      <c r="U93" s="892"/>
      <c r="V93" s="892"/>
      <c r="W93" s="893"/>
      <c r="X93" s="894"/>
      <c r="Y93" s="891"/>
      <c r="Z93" s="892"/>
      <c r="AA93" s="892"/>
      <c r="AB93" s="893"/>
      <c r="AC93" s="894"/>
      <c r="AD93" s="891"/>
      <c r="AE93" s="892"/>
      <c r="AF93" s="892"/>
      <c r="AG93" s="893"/>
      <c r="AH93" s="894"/>
      <c r="AI93" s="891"/>
      <c r="AJ93" s="892"/>
      <c r="AK93" s="892"/>
      <c r="AL93" s="893"/>
      <c r="AM93" s="894"/>
      <c r="AN93" s="891"/>
      <c r="AO93" s="892"/>
      <c r="AP93" s="892"/>
      <c r="AQ93" s="893"/>
      <c r="AR93" s="894"/>
      <c r="AS93" s="891"/>
      <c r="AT93" s="892"/>
      <c r="AU93" s="892"/>
      <c r="AV93" s="893"/>
      <c r="AW93" s="894"/>
      <c r="AX93" s="891"/>
      <c r="AY93" s="892"/>
      <c r="AZ93" s="892"/>
      <c r="BA93" s="893"/>
      <c r="BB93" s="894"/>
      <c r="BC93" s="891"/>
      <c r="BD93" s="892"/>
      <c r="BE93" s="892"/>
      <c r="BF93" s="893"/>
      <c r="BG93" s="894"/>
      <c r="BH93" s="891"/>
      <c r="BI93" s="892"/>
      <c r="BJ93" s="892"/>
      <c r="BK93" s="893"/>
      <c r="BL93" s="894"/>
      <c r="BM93" s="890"/>
      <c r="BN93" s="890"/>
      <c r="BO93" s="890"/>
      <c r="BP93" s="890"/>
      <c r="BQ93" s="890"/>
      <c r="BR93" s="890"/>
      <c r="BS93" s="890"/>
      <c r="BT93" s="890"/>
      <c r="BU93" s="890"/>
      <c r="BV93" s="890"/>
      <c r="BW93" s="890"/>
      <c r="BX93" s="890"/>
      <c r="BY93" s="890"/>
      <c r="BZ93" s="890"/>
      <c r="CA93" s="890"/>
      <c r="CB93" s="890"/>
      <c r="CC93" s="890"/>
      <c r="CD93" s="890"/>
      <c r="CE93" s="890"/>
      <c r="CF93" s="890"/>
      <c r="CG93" s="890"/>
      <c r="CH93" s="890"/>
      <c r="CI93" s="890"/>
      <c r="CJ93" s="890"/>
      <c r="CK93" s="890"/>
      <c r="CL93" s="890"/>
      <c r="CM93" s="890"/>
      <c r="CN93" s="890"/>
      <c r="CO93" s="890"/>
      <c r="CP93" s="890"/>
    </row>
    <row r="94" spans="1:94">
      <c r="A94" s="890"/>
      <c r="B94" s="890"/>
      <c r="C94" s="909" t="s">
        <v>1296</v>
      </c>
      <c r="D94" s="890"/>
      <c r="E94" s="292"/>
      <c r="F94" s="261"/>
      <c r="G94" s="261"/>
      <c r="H94" s="293"/>
      <c r="I94" s="228">
        <f>I9</f>
        <v>237</v>
      </c>
      <c r="J94" s="292">
        <f>+J9</f>
        <v>102</v>
      </c>
      <c r="K94" s="261">
        <f>+K9</f>
        <v>39</v>
      </c>
      <c r="L94" s="261">
        <f>+L9</f>
        <v>28</v>
      </c>
      <c r="M94" s="293">
        <f>+M9</f>
        <v>61</v>
      </c>
      <c r="N94" s="228">
        <f>SUM(J94:M94)</f>
        <v>230</v>
      </c>
      <c r="O94" s="292">
        <f>+O9</f>
        <v>74</v>
      </c>
      <c r="P94" s="261">
        <f>+P9</f>
        <v>24</v>
      </c>
      <c r="Q94" s="261">
        <f>+Q9</f>
        <v>26</v>
      </c>
      <c r="R94" s="293">
        <f>+R9</f>
        <v>59</v>
      </c>
      <c r="S94" s="228">
        <f>SUM(O94:R94)</f>
        <v>183</v>
      </c>
      <c r="T94" s="292">
        <f>+T9</f>
        <v>85</v>
      </c>
      <c r="U94" s="261">
        <f>+U9</f>
        <v>29</v>
      </c>
      <c r="V94" s="261">
        <f>+V9</f>
        <v>23</v>
      </c>
      <c r="W94" s="293">
        <f>+W9</f>
        <v>54</v>
      </c>
      <c r="X94" s="228">
        <f>SUM(T94:W94)</f>
        <v>191</v>
      </c>
      <c r="Y94" s="292">
        <f>+Y9</f>
        <v>97</v>
      </c>
      <c r="Z94" s="261">
        <f>+Z9</f>
        <v>28</v>
      </c>
      <c r="AA94" s="261">
        <f>+AA9</f>
        <v>20</v>
      </c>
      <c r="AB94" s="293">
        <f>+AB9</f>
        <v>49</v>
      </c>
      <c r="AC94" s="228">
        <f>SUM(Y94:AB94)</f>
        <v>194</v>
      </c>
      <c r="AD94" s="292">
        <f>+AD9</f>
        <v>86</v>
      </c>
      <c r="AE94" s="261">
        <f>+AE9</f>
        <v>25</v>
      </c>
      <c r="AF94" s="261">
        <f>+AF9</f>
        <v>19</v>
      </c>
      <c r="AG94" s="293">
        <f>+AG9</f>
        <v>35</v>
      </c>
      <c r="AH94" s="228">
        <f>SUM(AD94:AG94)</f>
        <v>165</v>
      </c>
      <c r="AI94" s="292">
        <f>+AI9</f>
        <v>61</v>
      </c>
      <c r="AJ94" s="261">
        <f>+AJ9</f>
        <v>28</v>
      </c>
      <c r="AK94" s="261">
        <f>+AK9</f>
        <v>19</v>
      </c>
      <c r="AL94" s="293">
        <f>+AL9</f>
        <v>47</v>
      </c>
      <c r="AM94" s="228">
        <f>SUM(AI94:AL94)</f>
        <v>155</v>
      </c>
      <c r="AN94" s="292">
        <f>+AN9</f>
        <v>68</v>
      </c>
      <c r="AO94" s="261">
        <f>+AO9</f>
        <v>24</v>
      </c>
      <c r="AP94" s="261">
        <f t="shared" ref="AP94" si="238">+AP9</f>
        <v>20</v>
      </c>
      <c r="AQ94" s="293">
        <f ca="1">+AQ100*AQ104/1000</f>
        <v>50.560850188549878</v>
      </c>
      <c r="AR94" s="228">
        <f ca="1">SUM(AN94:AQ94)</f>
        <v>162.56085018854986</v>
      </c>
      <c r="AS94" s="292">
        <f>+AS100*AS104/1000</f>
        <v>68</v>
      </c>
      <c r="AT94" s="261">
        <f>+AT100*AT104/1000</f>
        <v>24</v>
      </c>
      <c r="AU94" s="261">
        <f>+AU100*AU104/1000</f>
        <v>20.6875</v>
      </c>
      <c r="AV94" s="293">
        <f ca="1">+AV100*AV104/1000</f>
        <v>51.248350188549878</v>
      </c>
      <c r="AW94" s="228">
        <f ca="1">SUM(AS94:AV94)</f>
        <v>163.93585018854986</v>
      </c>
      <c r="AX94" s="292">
        <f>+AX100*AX104/1000</f>
        <v>68.6875</v>
      </c>
      <c r="AY94" s="261">
        <f>+AY100*AY104/1000</f>
        <v>24.6875</v>
      </c>
      <c r="AZ94" s="261">
        <f>+AZ100*AZ104/1000</f>
        <v>20.6875</v>
      </c>
      <c r="BA94" s="293">
        <f ca="1">+BA100*BA104/1000</f>
        <v>51.248350188549878</v>
      </c>
      <c r="BB94" s="228">
        <f ca="1">SUM(AX94:BA94)</f>
        <v>165.31085018854986</v>
      </c>
      <c r="BC94" s="292">
        <f>+BC100*BC104/1000</f>
        <v>68.6875</v>
      </c>
      <c r="BD94" s="261">
        <f>+BD100*BD104/1000</f>
        <v>24.6875</v>
      </c>
      <c r="BE94" s="261">
        <f>+BE100*BE104/1000</f>
        <v>20.6875</v>
      </c>
      <c r="BF94" s="293">
        <f ca="1">+BF100*BF104/1000</f>
        <v>51.248350188549878</v>
      </c>
      <c r="BG94" s="228">
        <f ca="1">SUM(BC94:BF94)</f>
        <v>165.31085018854986</v>
      </c>
      <c r="BH94" s="292">
        <f>+BH100*BH104/1000</f>
        <v>68.6875</v>
      </c>
      <c r="BI94" s="261">
        <f>+BI100*BI104/1000</f>
        <v>24.6875</v>
      </c>
      <c r="BJ94" s="261">
        <f>+BJ100*BJ104/1000</f>
        <v>20.6875</v>
      </c>
      <c r="BK94" s="293">
        <f ca="1">+BK100*BK104/1000</f>
        <v>51.248350188549878</v>
      </c>
      <c r="BL94" s="228">
        <f ca="1">SUM(BH94:BK94)</f>
        <v>165.31085018854986</v>
      </c>
      <c r="BM94" s="890"/>
      <c r="BN94" s="890"/>
      <c r="BO94" s="890"/>
      <c r="BP94" s="890"/>
      <c r="BQ94" s="890"/>
      <c r="BR94" s="890"/>
      <c r="BS94" s="890"/>
      <c r="BT94" s="890"/>
      <c r="BU94" s="890"/>
      <c r="BV94" s="890"/>
      <c r="BW94" s="890"/>
      <c r="BX94" s="890"/>
      <c r="BY94" s="890"/>
      <c r="BZ94" s="890"/>
      <c r="CA94" s="890"/>
      <c r="CB94" s="890"/>
      <c r="CC94" s="890"/>
      <c r="CD94" s="890"/>
      <c r="CE94" s="890"/>
      <c r="CF94" s="890"/>
      <c r="CG94" s="890"/>
      <c r="CH94" s="890"/>
      <c r="CI94" s="890"/>
      <c r="CJ94" s="890"/>
      <c r="CK94" s="890"/>
      <c r="CL94" s="890"/>
      <c r="CM94" s="890"/>
      <c r="CN94" s="890"/>
      <c r="CO94" s="890"/>
      <c r="CP94" s="890"/>
    </row>
    <row r="95" spans="1:94">
      <c r="A95" s="890"/>
      <c r="B95" s="890"/>
      <c r="C95" s="909"/>
      <c r="D95" s="890"/>
      <c r="E95" s="292"/>
      <c r="F95" s="261"/>
      <c r="G95" s="261"/>
      <c r="H95" s="293"/>
      <c r="I95" s="228"/>
      <c r="J95" s="292"/>
      <c r="K95" s="261"/>
      <c r="L95" s="261"/>
      <c r="M95" s="293"/>
      <c r="N95" s="228"/>
      <c r="O95" s="292"/>
      <c r="P95" s="261"/>
      <c r="Q95" s="261"/>
      <c r="R95" s="293"/>
      <c r="S95" s="228"/>
      <c r="T95" s="292"/>
      <c r="U95" s="261"/>
      <c r="V95" s="261"/>
      <c r="W95" s="293"/>
      <c r="X95" s="228"/>
      <c r="Y95" s="292"/>
      <c r="Z95" s="261"/>
      <c r="AA95" s="261"/>
      <c r="AB95" s="293"/>
      <c r="AC95" s="228"/>
      <c r="AD95" s="292"/>
      <c r="AE95" s="261"/>
      <c r="AF95" s="261"/>
      <c r="AG95" s="293"/>
      <c r="AH95" s="228"/>
      <c r="AI95" s="292"/>
      <c r="AJ95" s="261"/>
      <c r="AK95" s="261"/>
      <c r="AL95" s="293"/>
      <c r="AM95" s="894"/>
      <c r="AN95" s="292"/>
      <c r="AO95" s="261"/>
      <c r="AP95" s="261"/>
      <c r="AQ95" s="293"/>
      <c r="AR95" s="894"/>
      <c r="AS95" s="292"/>
      <c r="AT95" s="261"/>
      <c r="AU95" s="261"/>
      <c r="AV95" s="293"/>
      <c r="AW95" s="894"/>
      <c r="AX95" s="292"/>
      <c r="AY95" s="261"/>
      <c r="AZ95" s="261"/>
      <c r="BA95" s="293"/>
      <c r="BB95" s="894"/>
      <c r="BC95" s="292"/>
      <c r="BD95" s="261"/>
      <c r="BE95" s="261"/>
      <c r="BF95" s="293"/>
      <c r="BG95" s="894"/>
      <c r="BH95" s="292"/>
      <c r="BI95" s="261"/>
      <c r="BJ95" s="261"/>
      <c r="BK95" s="293"/>
      <c r="BL95" s="894"/>
      <c r="BM95" s="890"/>
      <c r="BN95" s="890"/>
      <c r="BO95" s="890"/>
      <c r="BP95" s="890"/>
      <c r="BQ95" s="890"/>
      <c r="BR95" s="890"/>
      <c r="BS95" s="890"/>
      <c r="BT95" s="890"/>
      <c r="BU95" s="890"/>
      <c r="BV95" s="890"/>
      <c r="BW95" s="890"/>
      <c r="BX95" s="890"/>
      <c r="BY95" s="890"/>
      <c r="BZ95" s="890"/>
      <c r="CA95" s="890"/>
      <c r="CB95" s="890"/>
      <c r="CC95" s="890"/>
      <c r="CD95" s="890"/>
      <c r="CE95" s="890"/>
      <c r="CF95" s="890"/>
      <c r="CG95" s="890"/>
      <c r="CH95" s="890"/>
      <c r="CI95" s="890"/>
      <c r="CJ95" s="890"/>
      <c r="CK95" s="890"/>
      <c r="CL95" s="890"/>
      <c r="CM95" s="890"/>
      <c r="CN95" s="890"/>
      <c r="CO95" s="890"/>
      <c r="CP95" s="890"/>
    </row>
    <row r="96" spans="1:94">
      <c r="A96" s="890"/>
      <c r="B96" s="890"/>
      <c r="C96" s="1792" t="s">
        <v>756</v>
      </c>
      <c r="D96" s="890"/>
      <c r="E96" s="292"/>
      <c r="F96" s="261"/>
      <c r="G96" s="261"/>
      <c r="H96" s="293"/>
      <c r="I96" s="228"/>
      <c r="J96" s="292"/>
      <c r="K96" s="261"/>
      <c r="L96" s="261"/>
      <c r="M96" s="293"/>
      <c r="N96" s="228"/>
      <c r="O96" s="292"/>
      <c r="P96" s="261"/>
      <c r="Q96" s="261"/>
      <c r="R96" s="293"/>
      <c r="S96" s="228"/>
      <c r="T96" s="292"/>
      <c r="U96" s="261"/>
      <c r="V96" s="261"/>
      <c r="W96" s="293"/>
      <c r="X96" s="228"/>
      <c r="Y96" s="292"/>
      <c r="Z96" s="261"/>
      <c r="AA96" s="261"/>
      <c r="AB96" s="293"/>
      <c r="AC96" s="228"/>
      <c r="AD96" s="292"/>
      <c r="AE96" s="261"/>
      <c r="AF96" s="261"/>
      <c r="AG96" s="293"/>
      <c r="AH96" s="228"/>
      <c r="AI96" s="292"/>
      <c r="AJ96" s="261"/>
      <c r="AK96" s="261"/>
      <c r="AL96" s="293"/>
      <c r="AM96" s="894"/>
      <c r="AN96" s="292"/>
      <c r="AO96" s="261"/>
      <c r="AP96" s="261"/>
      <c r="AQ96" s="293"/>
      <c r="AR96" s="894"/>
      <c r="AS96" s="292"/>
      <c r="AT96" s="261"/>
      <c r="AU96" s="261"/>
      <c r="AV96" s="293"/>
      <c r="AW96" s="894"/>
      <c r="AX96" s="292"/>
      <c r="AY96" s="261"/>
      <c r="AZ96" s="261"/>
      <c r="BA96" s="293"/>
      <c r="BB96" s="894"/>
      <c r="BC96" s="292"/>
      <c r="BD96" s="261"/>
      <c r="BE96" s="261"/>
      <c r="BF96" s="293"/>
      <c r="BG96" s="894"/>
      <c r="BH96" s="292"/>
      <c r="BI96" s="261"/>
      <c r="BJ96" s="261"/>
      <c r="BK96" s="293"/>
      <c r="BL96" s="894"/>
      <c r="BM96" s="890"/>
      <c r="BN96" s="890"/>
      <c r="BO96" s="890"/>
      <c r="BP96" s="890"/>
      <c r="BQ96" s="890"/>
      <c r="BR96" s="890"/>
      <c r="BS96" s="890"/>
      <c r="BT96" s="890"/>
      <c r="BU96" s="890"/>
      <c r="BV96" s="890"/>
      <c r="BW96" s="890"/>
      <c r="BX96" s="890"/>
      <c r="BY96" s="890"/>
      <c r="BZ96" s="890"/>
      <c r="CA96" s="890"/>
      <c r="CB96" s="890"/>
      <c r="CC96" s="890"/>
      <c r="CD96" s="890"/>
      <c r="CE96" s="890"/>
      <c r="CF96" s="890"/>
      <c r="CG96" s="890"/>
      <c r="CH96" s="890"/>
      <c r="CI96" s="890"/>
      <c r="CJ96" s="890"/>
      <c r="CK96" s="890"/>
      <c r="CL96" s="890"/>
      <c r="CM96" s="890"/>
      <c r="CN96" s="890"/>
      <c r="CO96" s="890"/>
      <c r="CP96" s="890"/>
    </row>
    <row r="97" spans="1:94">
      <c r="A97" s="890"/>
      <c r="B97" s="890"/>
      <c r="C97" s="890" t="s">
        <v>757</v>
      </c>
      <c r="D97" s="890"/>
      <c r="E97" s="1732"/>
      <c r="F97" s="1733"/>
      <c r="G97" s="1733"/>
      <c r="H97" s="1734"/>
      <c r="I97" s="1735">
        <v>7336</v>
      </c>
      <c r="J97" s="1732">
        <v>4000</v>
      </c>
      <c r="K97" s="1733">
        <f>5000-J97</f>
        <v>1000</v>
      </c>
      <c r="L97" s="1733">
        <f>5338-SUM(J97:K97)</f>
        <v>338</v>
      </c>
      <c r="M97" s="1734">
        <f>N97-SUM(J97:L97)</f>
        <v>2008</v>
      </c>
      <c r="N97" s="1735">
        <v>7346</v>
      </c>
      <c r="O97" s="1732">
        <v>3045</v>
      </c>
      <c r="P97" s="1733">
        <v>1000</v>
      </c>
      <c r="Q97" s="1733">
        <f>4052-SUM(O97:P97)</f>
        <v>7</v>
      </c>
      <c r="R97" s="1734">
        <f>S97-SUM(O97:Q97)</f>
        <v>2376</v>
      </c>
      <c r="S97" s="1735">
        <v>6428</v>
      </c>
      <c r="T97" s="1732">
        <v>4072</v>
      </c>
      <c r="U97" s="1733">
        <f>4959-T97</f>
        <v>887</v>
      </c>
      <c r="V97" s="1733">
        <f>5365-SUM(T97:U97)</f>
        <v>406</v>
      </c>
      <c r="W97" s="1734">
        <f>X97-SUM(T97:V97)</f>
        <v>2496</v>
      </c>
      <c r="X97" s="1735">
        <v>7861</v>
      </c>
      <c r="Y97" s="1732">
        <v>4773</v>
      </c>
      <c r="Z97" s="1733">
        <f>5710-Y97</f>
        <v>937</v>
      </c>
      <c r="AA97" s="1733">
        <f>6114-SUM(Y97:Z97)</f>
        <v>404</v>
      </c>
      <c r="AB97" s="1734">
        <f>AC97-SUM(Y97:AA97)</f>
        <v>2436</v>
      </c>
      <c r="AC97" s="1735">
        <v>8550</v>
      </c>
      <c r="AD97" s="1732">
        <v>5146</v>
      </c>
      <c r="AE97" s="1733">
        <f>5934-AD97</f>
        <v>788</v>
      </c>
      <c r="AF97" s="1733">
        <f>6311-SUM(AD97:AE97)</f>
        <v>377</v>
      </c>
      <c r="AG97" s="1734">
        <f>AH97-SUM(AD97:AF97)</f>
        <v>1709</v>
      </c>
      <c r="AH97" s="1735">
        <v>8020</v>
      </c>
      <c r="AI97" s="1732">
        <v>6060</v>
      </c>
      <c r="AJ97" s="1733">
        <v>2072</v>
      </c>
      <c r="AK97" s="1733">
        <v>1121</v>
      </c>
      <c r="AL97" s="1734">
        <f>AM97-SUM(AI97:AK97)</f>
        <v>4834</v>
      </c>
      <c r="AM97" s="1735">
        <v>14087</v>
      </c>
      <c r="AN97" s="1732">
        <v>5932</v>
      </c>
      <c r="AO97" s="1733">
        <v>1678</v>
      </c>
      <c r="AP97" s="1733">
        <v>1069</v>
      </c>
      <c r="AQ97" s="1734">
        <f>AR97-SUM(AN97:AP97)</f>
        <v>4428</v>
      </c>
      <c r="AR97" s="1735">
        <v>13107</v>
      </c>
      <c r="AS97" s="292"/>
      <c r="AT97" s="261"/>
      <c r="AU97" s="261"/>
      <c r="AV97" s="293"/>
      <c r="AW97" s="894"/>
      <c r="AX97" s="292"/>
      <c r="AY97" s="261"/>
      <c r="AZ97" s="261"/>
      <c r="BA97" s="293"/>
      <c r="BB97" s="894"/>
      <c r="BC97" s="292"/>
      <c r="BD97" s="261"/>
      <c r="BE97" s="261"/>
      <c r="BF97" s="293"/>
      <c r="BG97" s="894"/>
      <c r="BH97" s="292"/>
      <c r="BI97" s="261"/>
      <c r="BJ97" s="261"/>
      <c r="BK97" s="293"/>
      <c r="BL97" s="894"/>
      <c r="BM97" s="890"/>
      <c r="BN97" s="890"/>
      <c r="BO97" s="890"/>
      <c r="BP97" s="890"/>
      <c r="BQ97" s="890"/>
      <c r="BR97" s="890"/>
      <c r="BS97" s="890"/>
      <c r="BT97" s="890"/>
      <c r="BU97" s="890"/>
      <c r="BV97" s="890"/>
      <c r="BW97" s="890"/>
      <c r="BX97" s="890"/>
      <c r="BY97" s="890"/>
      <c r="BZ97" s="890"/>
      <c r="CA97" s="890"/>
      <c r="CB97" s="890"/>
      <c r="CC97" s="890"/>
      <c r="CD97" s="890"/>
      <c r="CE97" s="890"/>
      <c r="CF97" s="890"/>
      <c r="CG97" s="890"/>
      <c r="CH97" s="890"/>
      <c r="CI97" s="890"/>
      <c r="CJ97" s="890"/>
      <c r="CK97" s="890"/>
      <c r="CL97" s="890"/>
      <c r="CM97" s="890"/>
      <c r="CN97" s="890"/>
      <c r="CO97" s="890"/>
      <c r="CP97" s="890"/>
    </row>
    <row r="98" spans="1:94">
      <c r="A98" s="890"/>
      <c r="B98" s="890"/>
      <c r="C98" s="895" t="s">
        <v>758</v>
      </c>
      <c r="D98" s="890"/>
      <c r="E98" s="1732"/>
      <c r="F98" s="1733"/>
      <c r="G98" s="1733"/>
      <c r="H98" s="1734"/>
      <c r="I98" s="1735">
        <v>7336</v>
      </c>
      <c r="J98" s="1732">
        <v>2000</v>
      </c>
      <c r="K98" s="1733">
        <f>3000-J98</f>
        <v>1000</v>
      </c>
      <c r="L98" s="1733">
        <f>3207-SUM(J98:K98)</f>
        <v>207</v>
      </c>
      <c r="M98" s="1734">
        <f>N98-SUM(J98:L98)</f>
        <v>1235</v>
      </c>
      <c r="N98" s="1735">
        <v>4442</v>
      </c>
      <c r="O98" s="1732">
        <v>1553</v>
      </c>
      <c r="P98" s="1733">
        <v>0</v>
      </c>
      <c r="Q98" s="1733">
        <f>2310-SUM(O98:P98)</f>
        <v>757</v>
      </c>
      <c r="R98" s="1734">
        <f>S98-SUM(O98:Q98)</f>
        <v>1326</v>
      </c>
      <c r="S98" s="1735">
        <v>3636</v>
      </c>
      <c r="T98" s="1732">
        <v>2061</v>
      </c>
      <c r="U98" s="1733">
        <f>2669-T98</f>
        <v>608</v>
      </c>
      <c r="V98" s="1733">
        <f>3232-SUM(T98:U98)</f>
        <v>563</v>
      </c>
      <c r="W98" s="1734">
        <f>X98-SUM(T98:V98)</f>
        <v>1713</v>
      </c>
      <c r="X98" s="1735">
        <v>4945</v>
      </c>
      <c r="Y98" s="1732">
        <v>2633</v>
      </c>
      <c r="Z98" s="1733">
        <f>3540-Y98</f>
        <v>907</v>
      </c>
      <c r="AA98" s="1733">
        <f>4285-SUM(Y98:Z98)</f>
        <v>745</v>
      </c>
      <c r="AB98" s="1734">
        <f>AC98-SUM(Y98:AA98)</f>
        <v>1778</v>
      </c>
      <c r="AC98" s="1735">
        <v>6063</v>
      </c>
      <c r="AD98" s="1732">
        <v>2732</v>
      </c>
      <c r="AE98" s="1733">
        <f>3675-AD98</f>
        <v>943</v>
      </c>
      <c r="AF98" s="1733">
        <f>4409-SUM(AD98:AE98)</f>
        <v>734</v>
      </c>
      <c r="AG98" s="1734">
        <f>AH98-SUM(AD98:AF98)</f>
        <v>1387</v>
      </c>
      <c r="AH98" s="1735">
        <v>5796</v>
      </c>
      <c r="AI98" s="1732">
        <v>0</v>
      </c>
      <c r="AJ98" s="1733">
        <v>0</v>
      </c>
      <c r="AK98" s="1733">
        <v>0</v>
      </c>
      <c r="AL98" s="1734">
        <f>AM98-SUM(AI98:AK98)</f>
        <v>0</v>
      </c>
      <c r="AM98" s="1735">
        <v>0</v>
      </c>
      <c r="AN98" s="1732">
        <v>0</v>
      </c>
      <c r="AO98" s="1733">
        <v>0</v>
      </c>
      <c r="AP98" s="1733">
        <v>0</v>
      </c>
      <c r="AQ98" s="1734">
        <f>AR98-SUM(AN98:AP98)</f>
        <v>0</v>
      </c>
      <c r="AR98" s="1735">
        <v>0</v>
      </c>
      <c r="AS98" s="292"/>
      <c r="AT98" s="261"/>
      <c r="AU98" s="261"/>
      <c r="AV98" s="293"/>
      <c r="AW98" s="894"/>
      <c r="AX98" s="292"/>
      <c r="AY98" s="261"/>
      <c r="AZ98" s="261"/>
      <c r="BA98" s="293"/>
      <c r="BB98" s="894"/>
      <c r="BC98" s="292"/>
      <c r="BD98" s="261"/>
      <c r="BE98" s="261"/>
      <c r="BF98" s="293"/>
      <c r="BG98" s="894"/>
      <c r="BH98" s="292"/>
      <c r="BI98" s="261"/>
      <c r="BJ98" s="261"/>
      <c r="BK98" s="293"/>
      <c r="BL98" s="894"/>
      <c r="BM98" s="890"/>
      <c r="BN98" s="890"/>
      <c r="BO98" s="890"/>
      <c r="BP98" s="890"/>
      <c r="BQ98" s="890"/>
      <c r="BR98" s="890"/>
      <c r="BS98" s="890"/>
      <c r="BT98" s="890"/>
      <c r="BU98" s="890"/>
      <c r="BV98" s="890"/>
      <c r="BW98" s="890"/>
      <c r="BX98" s="890"/>
      <c r="BY98" s="890"/>
      <c r="BZ98" s="890"/>
      <c r="CA98" s="890"/>
      <c r="CB98" s="890"/>
      <c r="CC98" s="890"/>
      <c r="CD98" s="890"/>
      <c r="CE98" s="890"/>
      <c r="CF98" s="890"/>
      <c r="CG98" s="890"/>
      <c r="CH98" s="890"/>
      <c r="CI98" s="890"/>
      <c r="CJ98" s="890"/>
      <c r="CK98" s="890"/>
      <c r="CL98" s="890"/>
      <c r="CM98" s="890"/>
      <c r="CN98" s="890"/>
      <c r="CO98" s="890"/>
      <c r="CP98" s="890"/>
    </row>
    <row r="99" spans="1:94">
      <c r="A99" s="890"/>
      <c r="B99" s="890"/>
      <c r="C99" s="890" t="s">
        <v>785</v>
      </c>
      <c r="D99" s="890"/>
      <c r="E99" s="1732"/>
      <c r="F99" s="1733"/>
      <c r="G99" s="1733"/>
      <c r="H99" s="1734"/>
      <c r="I99" s="1735">
        <v>1436</v>
      </c>
      <c r="J99" s="1732">
        <v>3000</v>
      </c>
      <c r="K99" s="1733">
        <f>4000-J99</f>
        <v>1000</v>
      </c>
      <c r="L99" s="1733">
        <f>5210-SUM(J99:K99)</f>
        <v>1210</v>
      </c>
      <c r="M99" s="1734">
        <f>N99-SUM(J99:L99)</f>
        <v>1756</v>
      </c>
      <c r="N99" s="1735">
        <v>6966</v>
      </c>
      <c r="O99" s="1732">
        <v>2129</v>
      </c>
      <c r="P99" s="1733">
        <v>1000</v>
      </c>
      <c r="Q99" s="1733">
        <f>4877-SUM(O99:P99)</f>
        <v>1748</v>
      </c>
      <c r="R99" s="1734">
        <f>S99-SUM(O99:Q99)</f>
        <v>1874</v>
      </c>
      <c r="S99" s="1735">
        <v>6751</v>
      </c>
      <c r="T99" s="1732">
        <v>2432</v>
      </c>
      <c r="U99" s="1733">
        <f>3886-T99</f>
        <v>1454</v>
      </c>
      <c r="V99" s="1733">
        <f>5141-SUM(T99:U99)</f>
        <v>1255</v>
      </c>
      <c r="W99" s="1734">
        <f>X99-SUM(T99:V99)</f>
        <v>1849</v>
      </c>
      <c r="X99" s="1735">
        <v>6990</v>
      </c>
      <c r="Y99" s="1732">
        <v>2380</v>
      </c>
      <c r="Z99" s="1733">
        <f>3886-Y99</f>
        <v>1506</v>
      </c>
      <c r="AA99" s="1733">
        <f>4737-SUM(Y99:Z99)</f>
        <v>851</v>
      </c>
      <c r="AB99" s="1734">
        <f>AC99-SUM(Y99:AA99)</f>
        <v>1681</v>
      </c>
      <c r="AC99" s="1735">
        <v>6418</v>
      </c>
      <c r="AD99" s="1732">
        <v>2325</v>
      </c>
      <c r="AE99" s="1733">
        <f>3572-AD99</f>
        <v>1247</v>
      </c>
      <c r="AF99" s="1733">
        <f>4716-SUM(AD99:AE99)</f>
        <v>1144</v>
      </c>
      <c r="AG99" s="1734">
        <f>AH99-SUM(AD99:AF99)</f>
        <v>1477</v>
      </c>
      <c r="AH99" s="1735">
        <v>6193</v>
      </c>
      <c r="AI99" s="1732">
        <v>1968</v>
      </c>
      <c r="AJ99" s="1733">
        <v>1321</v>
      </c>
      <c r="AK99" s="1733">
        <v>1166</v>
      </c>
      <c r="AL99" s="1734">
        <f>AM99-SUM(AI99:AK99)</f>
        <v>1000</v>
      </c>
      <c r="AM99" s="1735">
        <v>5455</v>
      </c>
      <c r="AN99" s="1732">
        <v>2168</v>
      </c>
      <c r="AO99" s="1733">
        <v>1325</v>
      </c>
      <c r="AP99" s="1733">
        <v>1197</v>
      </c>
      <c r="AQ99" s="1734">
        <f>AR99-SUM(AN99:AP99)</f>
        <v>1848</v>
      </c>
      <c r="AR99" s="1735">
        <v>6538</v>
      </c>
      <c r="AS99" s="292"/>
      <c r="AT99" s="261"/>
      <c r="AU99" s="261"/>
      <c r="AV99" s="293"/>
      <c r="AW99" s="894"/>
      <c r="AX99" s="292"/>
      <c r="AY99" s="261"/>
      <c r="AZ99" s="261"/>
      <c r="BA99" s="293"/>
      <c r="BB99" s="894"/>
      <c r="BC99" s="292"/>
      <c r="BD99" s="261"/>
      <c r="BE99" s="261"/>
      <c r="BF99" s="293"/>
      <c r="BG99" s="894"/>
      <c r="BH99" s="292"/>
      <c r="BI99" s="261"/>
      <c r="BJ99" s="261"/>
      <c r="BK99" s="293"/>
      <c r="BL99" s="894"/>
      <c r="BM99" s="890"/>
      <c r="BN99" s="890"/>
      <c r="BO99" s="890"/>
      <c r="BP99" s="890"/>
      <c r="BQ99" s="890"/>
      <c r="BR99" s="890"/>
      <c r="BS99" s="890"/>
      <c r="BT99" s="890"/>
      <c r="BU99" s="890"/>
      <c r="BV99" s="890"/>
      <c r="BW99" s="890"/>
      <c r="BX99" s="890"/>
      <c r="BY99" s="890"/>
      <c r="BZ99" s="890"/>
      <c r="CA99" s="890"/>
      <c r="CB99" s="890"/>
      <c r="CC99" s="890"/>
      <c r="CD99" s="890"/>
      <c r="CE99" s="890"/>
      <c r="CF99" s="890"/>
      <c r="CG99" s="890"/>
      <c r="CH99" s="890"/>
      <c r="CI99" s="890"/>
      <c r="CJ99" s="890"/>
      <c r="CK99" s="890"/>
      <c r="CL99" s="890"/>
      <c r="CM99" s="890"/>
      <c r="CN99" s="890"/>
      <c r="CO99" s="890"/>
      <c r="CP99" s="890"/>
    </row>
    <row r="100" spans="1:94">
      <c r="A100" s="895"/>
      <c r="B100" s="895"/>
      <c r="C100" s="909" t="s">
        <v>131</v>
      </c>
      <c r="D100" s="895"/>
      <c r="E100" s="1744"/>
      <c r="F100" s="1745"/>
      <c r="G100" s="1745"/>
      <c r="H100" s="1746"/>
      <c r="I100" s="1793">
        <f t="shared" ref="I100:Z100" si="239">SUM(I97:I99)</f>
        <v>16108</v>
      </c>
      <c r="J100" s="1744">
        <f t="shared" si="239"/>
        <v>9000</v>
      </c>
      <c r="K100" s="1745">
        <f t="shared" si="239"/>
        <v>3000</v>
      </c>
      <c r="L100" s="1745">
        <f t="shared" si="239"/>
        <v>1755</v>
      </c>
      <c r="M100" s="1746">
        <f t="shared" si="239"/>
        <v>4999</v>
      </c>
      <c r="N100" s="1793">
        <f t="shared" si="239"/>
        <v>18754</v>
      </c>
      <c r="O100" s="1744">
        <f t="shared" si="239"/>
        <v>6727</v>
      </c>
      <c r="P100" s="1745">
        <f t="shared" si="239"/>
        <v>2000</v>
      </c>
      <c r="Q100" s="1745">
        <f t="shared" si="239"/>
        <v>2512</v>
      </c>
      <c r="R100" s="1746">
        <f t="shared" si="239"/>
        <v>5576</v>
      </c>
      <c r="S100" s="1793">
        <f t="shared" si="239"/>
        <v>16815</v>
      </c>
      <c r="T100" s="292">
        <f t="shared" si="239"/>
        <v>8565</v>
      </c>
      <c r="U100" s="1745">
        <f t="shared" si="239"/>
        <v>2949</v>
      </c>
      <c r="V100" s="1745">
        <f t="shared" si="239"/>
        <v>2224</v>
      </c>
      <c r="W100" s="1746">
        <f t="shared" si="239"/>
        <v>6058</v>
      </c>
      <c r="X100" s="1793">
        <f t="shared" si="239"/>
        <v>19796</v>
      </c>
      <c r="Y100" s="292">
        <f t="shared" si="239"/>
        <v>9786</v>
      </c>
      <c r="Z100" s="1745">
        <f t="shared" si="239"/>
        <v>3350</v>
      </c>
      <c r="AA100" s="1745">
        <f t="shared" ref="AA100" si="240">SUM(AA97:AA99)</f>
        <v>2000</v>
      </c>
      <c r="AB100" s="1746">
        <f t="shared" ref="AB100:AC100" si="241">SUM(AB97:AB99)</f>
        <v>5895</v>
      </c>
      <c r="AC100" s="1793">
        <f t="shared" si="241"/>
        <v>21031</v>
      </c>
      <c r="AD100" s="292">
        <f t="shared" ref="AD100:AE100" si="242">SUM(AD97:AD99)</f>
        <v>10203</v>
      </c>
      <c r="AE100" s="1745">
        <f t="shared" si="242"/>
        <v>2978</v>
      </c>
      <c r="AF100" s="1745">
        <f>SUM(AF97:AF99)</f>
        <v>2255</v>
      </c>
      <c r="AG100" s="1746">
        <f t="shared" ref="AG100:AJ100" si="243">SUM(AG97:AG99)</f>
        <v>4573</v>
      </c>
      <c r="AH100" s="1793">
        <f t="shared" si="243"/>
        <v>20009</v>
      </c>
      <c r="AI100" s="292">
        <f t="shared" si="243"/>
        <v>8028</v>
      </c>
      <c r="AJ100" s="1745">
        <f t="shared" si="243"/>
        <v>3393</v>
      </c>
      <c r="AK100" s="1745">
        <f>SUM(AK97:AK99)</f>
        <v>2287</v>
      </c>
      <c r="AL100" s="1746">
        <f t="shared" ref="AL100:AP100" si="244">SUM(AL97:AL99)</f>
        <v>5834</v>
      </c>
      <c r="AM100" s="1793">
        <f t="shared" si="244"/>
        <v>19542</v>
      </c>
      <c r="AN100" s="292">
        <f t="shared" si="244"/>
        <v>8100</v>
      </c>
      <c r="AO100" s="1745">
        <f t="shared" si="244"/>
        <v>3003</v>
      </c>
      <c r="AP100" s="1745">
        <f t="shared" si="244"/>
        <v>2266</v>
      </c>
      <c r="AQ100" s="1746">
        <f t="shared" ref="AQ100:AR100" si="245">SUM(AQ97:AQ99)</f>
        <v>6276</v>
      </c>
      <c r="AR100" s="1793">
        <f t="shared" si="245"/>
        <v>19645</v>
      </c>
      <c r="AS100" s="292">
        <f>AN100*(1+AS51)</f>
        <v>8100</v>
      </c>
      <c r="AT100" s="261">
        <f>AO100*(1+AT51)</f>
        <v>3003</v>
      </c>
      <c r="AU100" s="261">
        <f>AP100*(1+AU51)</f>
        <v>2266</v>
      </c>
      <c r="AV100" s="293">
        <f>AQ100*(1+AV51)</f>
        <v>6276</v>
      </c>
      <c r="AW100" s="228">
        <f>SUM(AS100:AV100)</f>
        <v>19645</v>
      </c>
      <c r="AX100" s="292">
        <f>AS100*(1+AX51)</f>
        <v>8100</v>
      </c>
      <c r="AY100" s="261">
        <f>AT100*(1+AY51)</f>
        <v>3003</v>
      </c>
      <c r="AZ100" s="261">
        <f>AU100*(1+AZ51)</f>
        <v>2266</v>
      </c>
      <c r="BA100" s="293">
        <f>AV100*(1+BA51)</f>
        <v>6276</v>
      </c>
      <c r="BB100" s="228">
        <f>SUM(AX100:BA100)</f>
        <v>19645</v>
      </c>
      <c r="BC100" s="292">
        <f>AX100*(1+BC51)</f>
        <v>8100</v>
      </c>
      <c r="BD100" s="261">
        <f>AY100*(1+BD51)</f>
        <v>3003</v>
      </c>
      <c r="BE100" s="261">
        <f>AZ100*(1+BE51)</f>
        <v>2266</v>
      </c>
      <c r="BF100" s="293">
        <f>BA100*(1+BF51)</f>
        <v>6276</v>
      </c>
      <c r="BG100" s="228">
        <f>SUM(BC100:BF100)</f>
        <v>19645</v>
      </c>
      <c r="BH100" s="292">
        <f>BC100*(1+BH51)</f>
        <v>8100</v>
      </c>
      <c r="BI100" s="261">
        <f>BD100*(1+BI51)</f>
        <v>3003</v>
      </c>
      <c r="BJ100" s="261">
        <f>BE100*(1+BJ51)</f>
        <v>2266</v>
      </c>
      <c r="BK100" s="293">
        <f>BF100*(1+BK51)</f>
        <v>6276</v>
      </c>
      <c r="BL100" s="228">
        <f>SUM(BH100:BK100)</f>
        <v>19645</v>
      </c>
      <c r="BM100" s="895"/>
      <c r="BN100" s="895"/>
      <c r="BO100" s="895"/>
      <c r="BP100" s="895"/>
      <c r="BQ100" s="895"/>
      <c r="BR100" s="895"/>
      <c r="BS100" s="895"/>
      <c r="BT100" s="895"/>
      <c r="BU100" s="895"/>
      <c r="BV100" s="895"/>
      <c r="BW100" s="895"/>
      <c r="BX100" s="895"/>
      <c r="BY100" s="895"/>
      <c r="BZ100" s="895"/>
      <c r="CA100" s="895"/>
      <c r="CB100" s="895"/>
      <c r="CC100" s="895"/>
      <c r="CD100" s="895"/>
      <c r="CE100" s="895"/>
      <c r="CF100" s="895"/>
      <c r="CG100" s="895"/>
      <c r="CH100" s="895"/>
      <c r="CI100" s="895"/>
      <c r="CJ100" s="895"/>
      <c r="CK100" s="895"/>
      <c r="CL100" s="895"/>
      <c r="CM100" s="895"/>
      <c r="CN100" s="895"/>
      <c r="CO100" s="895"/>
      <c r="CP100" s="895"/>
    </row>
    <row r="101" spans="1:94">
      <c r="A101" s="890"/>
      <c r="B101" s="890"/>
      <c r="C101" s="895"/>
      <c r="D101" s="890"/>
      <c r="E101" s="891"/>
      <c r="F101" s="892"/>
      <c r="G101" s="892"/>
      <c r="H101" s="893"/>
      <c r="I101" s="894"/>
      <c r="J101" s="891"/>
      <c r="K101" s="892"/>
      <c r="L101" s="892"/>
      <c r="M101" s="893"/>
      <c r="N101" s="894"/>
      <c r="O101" s="891"/>
      <c r="P101" s="892"/>
      <c r="Q101" s="892"/>
      <c r="R101" s="893"/>
      <c r="S101" s="894"/>
      <c r="T101" s="891"/>
      <c r="U101" s="892"/>
      <c r="V101" s="892"/>
      <c r="W101" s="893"/>
      <c r="X101" s="894"/>
      <c r="Y101" s="891"/>
      <c r="Z101" s="892"/>
      <c r="AA101" s="892"/>
      <c r="AB101" s="893"/>
      <c r="AC101" s="894"/>
      <c r="AD101" s="891"/>
      <c r="AE101" s="892"/>
      <c r="AF101" s="892"/>
      <c r="AG101" s="893"/>
      <c r="AH101" s="894"/>
      <c r="AI101" s="891"/>
      <c r="AJ101" s="892"/>
      <c r="AK101" s="892"/>
      <c r="AL101" s="893"/>
      <c r="AM101" s="894"/>
      <c r="AN101" s="891"/>
      <c r="AO101" s="892"/>
      <c r="AP101" s="892"/>
      <c r="AQ101" s="893"/>
      <c r="AR101" s="894"/>
      <c r="AS101" s="891"/>
      <c r="AT101" s="892"/>
      <c r="AU101" s="892"/>
      <c r="AV101" s="893"/>
      <c r="AW101" s="894"/>
      <c r="AX101" s="891"/>
      <c r="AY101" s="892"/>
      <c r="AZ101" s="892"/>
      <c r="BA101" s="893"/>
      <c r="BB101" s="894"/>
      <c r="BC101" s="891"/>
      <c r="BD101" s="892"/>
      <c r="BE101" s="892"/>
      <c r="BF101" s="893"/>
      <c r="BG101" s="894"/>
      <c r="BH101" s="891"/>
      <c r="BI101" s="892"/>
      <c r="BJ101" s="892"/>
      <c r="BK101" s="893"/>
      <c r="BL101" s="894"/>
      <c r="BM101" s="890"/>
      <c r="BN101" s="890"/>
      <c r="BO101" s="890"/>
      <c r="BP101" s="890"/>
      <c r="BQ101" s="890"/>
      <c r="BR101" s="890"/>
      <c r="BS101" s="890"/>
      <c r="BT101" s="890"/>
      <c r="BU101" s="890"/>
      <c r="BV101" s="890"/>
      <c r="BW101" s="890"/>
      <c r="BX101" s="890"/>
      <c r="BY101" s="890"/>
      <c r="BZ101" s="890"/>
      <c r="CA101" s="890"/>
      <c r="CB101" s="890"/>
      <c r="CC101" s="890"/>
      <c r="CD101" s="890"/>
      <c r="CE101" s="890"/>
      <c r="CF101" s="890"/>
      <c r="CG101" s="890"/>
      <c r="CH101" s="890"/>
      <c r="CI101" s="890"/>
      <c r="CJ101" s="890"/>
      <c r="CK101" s="890"/>
      <c r="CL101" s="890"/>
      <c r="CM101" s="890"/>
      <c r="CN101" s="890"/>
      <c r="CO101" s="890"/>
      <c r="CP101" s="890"/>
    </row>
    <row r="102" spans="1:94">
      <c r="A102" s="895"/>
      <c r="B102" s="895"/>
      <c r="C102" s="895" t="s">
        <v>759</v>
      </c>
      <c r="D102" s="895"/>
      <c r="E102" s="1700"/>
      <c r="F102" s="1337"/>
      <c r="G102" s="1337"/>
      <c r="H102" s="1701"/>
      <c r="I102" s="1713"/>
      <c r="J102" s="1700"/>
      <c r="K102" s="1337"/>
      <c r="L102" s="1337"/>
      <c r="M102" s="1701"/>
      <c r="N102" s="1713">
        <f t="shared" ref="N102:AW102" si="246">+N100/I100-1</f>
        <v>0.16426620312887996</v>
      </c>
      <c r="O102" s="1700">
        <f t="shared" si="246"/>
        <v>-0.25255555555555553</v>
      </c>
      <c r="P102" s="1337">
        <f t="shared" si="246"/>
        <v>-0.33333333333333337</v>
      </c>
      <c r="Q102" s="1337">
        <f t="shared" si="246"/>
        <v>0.43133903133903129</v>
      </c>
      <c r="R102" s="1701">
        <f t="shared" si="246"/>
        <v>0.1154230846169233</v>
      </c>
      <c r="S102" s="1713">
        <f t="shared" si="246"/>
        <v>-0.1033912765276741</v>
      </c>
      <c r="T102" s="1700">
        <f t="shared" si="246"/>
        <v>0.27322729299836479</v>
      </c>
      <c r="U102" s="1337">
        <f t="shared" si="246"/>
        <v>0.47449999999999992</v>
      </c>
      <c r="V102" s="1337">
        <f t="shared" si="246"/>
        <v>-0.11464968152866239</v>
      </c>
      <c r="W102" s="1701">
        <f t="shared" si="246"/>
        <v>8.6441893830702998E-2</v>
      </c>
      <c r="X102" s="1713">
        <f t="shared" si="246"/>
        <v>0.17728218852215294</v>
      </c>
      <c r="Y102" s="1700">
        <f t="shared" si="246"/>
        <v>0.14255691768826617</v>
      </c>
      <c r="Z102" s="1337">
        <f t="shared" si="246"/>
        <v>0.13597829772804348</v>
      </c>
      <c r="AA102" s="1337">
        <f t="shared" si="246"/>
        <v>-0.10071942446043169</v>
      </c>
      <c r="AB102" s="1701">
        <f t="shared" ref="AB102" si="247">+AB100/W100-1</f>
        <v>-2.6906569825024707E-2</v>
      </c>
      <c r="AC102" s="1713">
        <f t="shared" ref="AC102" si="248">+AC100/X100-1</f>
        <v>6.2386340674883911E-2</v>
      </c>
      <c r="AD102" s="1700">
        <f t="shared" ref="AD102" si="249">+AD100/Y100-1</f>
        <v>4.2611894543225004E-2</v>
      </c>
      <c r="AE102" s="1337">
        <f t="shared" ref="AE102" si="250">+AE100/Z100-1</f>
        <v>-0.111044776119403</v>
      </c>
      <c r="AF102" s="1337">
        <f>+AF100/AA100-1</f>
        <v>0.12749999999999995</v>
      </c>
      <c r="AG102" s="1701">
        <f t="shared" ref="AG102" si="251">+AG100/AB100-1</f>
        <v>-0.22425784563189144</v>
      </c>
      <c r="AH102" s="1713">
        <f t="shared" ref="AH102:AJ102" si="252">+AH100/AC100-1</f>
        <v>-4.8594931291902399E-2</v>
      </c>
      <c r="AI102" s="1700">
        <f t="shared" si="252"/>
        <v>-0.21317259629520724</v>
      </c>
      <c r="AJ102" s="1337">
        <f t="shared" si="252"/>
        <v>0.13935527199462716</v>
      </c>
      <c r="AK102" s="1337">
        <f>+AK100/AF100-1</f>
        <v>1.4190687361419041E-2</v>
      </c>
      <c r="AL102" s="1701">
        <f t="shared" ref="AL102" si="253">+AL100/AG100-1</f>
        <v>0.27574896129455495</v>
      </c>
      <c r="AM102" s="1713">
        <f t="shared" ref="AM102:AP102" si="254">+AM100/AH100-1</f>
        <v>-2.3339497226248174E-2</v>
      </c>
      <c r="AN102" s="1700">
        <f t="shared" si="254"/>
        <v>8.9686098654708779E-3</v>
      </c>
      <c r="AO102" s="1337">
        <f t="shared" si="254"/>
        <v>-0.11494252873563215</v>
      </c>
      <c r="AP102" s="1337">
        <f t="shared" si="254"/>
        <v>-9.1823349365981466E-3</v>
      </c>
      <c r="AQ102" s="1701">
        <f t="shared" ref="AQ102" si="255">+AQ100/AL100-1</f>
        <v>7.5762769969146326E-2</v>
      </c>
      <c r="AR102" s="1713">
        <f t="shared" ref="AR102" si="256">+AR100/AM100-1</f>
        <v>5.2706990072663995E-3</v>
      </c>
      <c r="AS102" s="1700">
        <f t="shared" si="246"/>
        <v>0</v>
      </c>
      <c r="AT102" s="1337">
        <f t="shared" si="246"/>
        <v>0</v>
      </c>
      <c r="AU102" s="1337">
        <f t="shared" si="246"/>
        <v>0</v>
      </c>
      <c r="AV102" s="1701">
        <f t="shared" si="246"/>
        <v>0</v>
      </c>
      <c r="AW102" s="1713">
        <f t="shared" si="246"/>
        <v>0</v>
      </c>
      <c r="AX102" s="1700">
        <f t="shared" ref="AX102" si="257">+AX100/AS100-1</f>
        <v>0</v>
      </c>
      <c r="AY102" s="1337">
        <f t="shared" ref="AY102" si="258">+AY100/AT100-1</f>
        <v>0</v>
      </c>
      <c r="AZ102" s="1337">
        <f t="shared" ref="AZ102" si="259">+AZ100/AU100-1</f>
        <v>0</v>
      </c>
      <c r="BA102" s="1701">
        <f t="shared" ref="BA102" si="260">+BA100/AV100-1</f>
        <v>0</v>
      </c>
      <c r="BB102" s="1713">
        <f t="shared" ref="BB102" si="261">+BB100/AW100-1</f>
        <v>0</v>
      </c>
      <c r="BC102" s="1700">
        <f t="shared" ref="BC102" si="262">+BC100/AX100-1</f>
        <v>0</v>
      </c>
      <c r="BD102" s="1337">
        <f t="shared" ref="BD102" si="263">+BD100/AY100-1</f>
        <v>0</v>
      </c>
      <c r="BE102" s="1337">
        <f t="shared" ref="BE102" si="264">+BE100/AZ100-1</f>
        <v>0</v>
      </c>
      <c r="BF102" s="1701">
        <f t="shared" ref="BF102" si="265">+BF100/BA100-1</f>
        <v>0</v>
      </c>
      <c r="BG102" s="1713">
        <f t="shared" ref="BG102" si="266">+BG100/BB100-1</f>
        <v>0</v>
      </c>
      <c r="BH102" s="1700">
        <f t="shared" ref="BH102" si="267">+BH100/BC100-1</f>
        <v>0</v>
      </c>
      <c r="BI102" s="1337">
        <f t="shared" ref="BI102" si="268">+BI100/BD100-1</f>
        <v>0</v>
      </c>
      <c r="BJ102" s="1337">
        <f t="shared" ref="BJ102" si="269">+BJ100/BE100-1</f>
        <v>0</v>
      </c>
      <c r="BK102" s="1701">
        <f t="shared" ref="BK102" si="270">+BK100/BF100-1</f>
        <v>0</v>
      </c>
      <c r="BL102" s="1713">
        <f t="shared" ref="BL102" si="271">+BL100/BG100-1</f>
        <v>0</v>
      </c>
      <c r="BM102" s="895"/>
      <c r="BN102" s="895"/>
      <c r="BO102" s="895"/>
      <c r="BP102" s="895"/>
      <c r="BQ102" s="895"/>
      <c r="BR102" s="895"/>
      <c r="BS102" s="895"/>
      <c r="BT102" s="895"/>
      <c r="BU102" s="895"/>
      <c r="BV102" s="895"/>
      <c r="BW102" s="895"/>
      <c r="BX102" s="895"/>
      <c r="BY102" s="895"/>
      <c r="BZ102" s="895"/>
      <c r="CA102" s="895"/>
      <c r="CB102" s="895"/>
      <c r="CC102" s="895"/>
      <c r="CD102" s="895"/>
      <c r="CE102" s="895"/>
      <c r="CF102" s="895"/>
      <c r="CG102" s="895"/>
      <c r="CH102" s="895"/>
      <c r="CI102" s="895"/>
      <c r="CJ102" s="895"/>
      <c r="CK102" s="895"/>
      <c r="CL102" s="895"/>
      <c r="CM102" s="895"/>
      <c r="CN102" s="895"/>
      <c r="CO102" s="895"/>
      <c r="CP102" s="895"/>
    </row>
    <row r="103" spans="1:94">
      <c r="A103" s="890"/>
      <c r="B103" s="890"/>
      <c r="C103" s="1736"/>
      <c r="D103" s="890"/>
      <c r="E103" s="891"/>
      <c r="F103" s="892"/>
      <c r="G103" s="892"/>
      <c r="H103" s="893"/>
      <c r="I103" s="894"/>
      <c r="J103" s="891"/>
      <c r="K103" s="892"/>
      <c r="L103" s="892"/>
      <c r="M103" s="893"/>
      <c r="N103" s="894"/>
      <c r="O103" s="891"/>
      <c r="P103" s="892"/>
      <c r="Q103" s="892"/>
      <c r="R103" s="893"/>
      <c r="S103" s="894"/>
      <c r="T103" s="891"/>
      <c r="U103" s="892"/>
      <c r="V103" s="892"/>
      <c r="W103" s="893"/>
      <c r="X103" s="894"/>
      <c r="Y103" s="891"/>
      <c r="Z103" s="892"/>
      <c r="AA103" s="892"/>
      <c r="AB103" s="893"/>
      <c r="AC103" s="894"/>
      <c r="AD103" s="891"/>
      <c r="AE103" s="892"/>
      <c r="AF103" s="892"/>
      <c r="AG103" s="893"/>
      <c r="AH103" s="894"/>
      <c r="AI103" s="891"/>
      <c r="AJ103" s="892"/>
      <c r="AK103" s="892"/>
      <c r="AL103" s="893"/>
      <c r="AM103" s="894"/>
      <c r="AN103" s="891"/>
      <c r="AO103" s="892"/>
      <c r="AP103" s="892"/>
      <c r="AQ103" s="893"/>
      <c r="AR103" s="894"/>
      <c r="AS103" s="891"/>
      <c r="AT103" s="892"/>
      <c r="AU103" s="892"/>
      <c r="AV103" s="893"/>
      <c r="AW103" s="894"/>
      <c r="AX103" s="891"/>
      <c r="AY103" s="892"/>
      <c r="AZ103" s="892"/>
      <c r="BA103" s="893"/>
      <c r="BB103" s="894"/>
      <c r="BC103" s="891"/>
      <c r="BD103" s="892"/>
      <c r="BE103" s="892"/>
      <c r="BF103" s="893"/>
      <c r="BG103" s="894"/>
      <c r="BH103" s="891"/>
      <c r="BI103" s="892"/>
      <c r="BJ103" s="892"/>
      <c r="BK103" s="893"/>
      <c r="BL103" s="894"/>
      <c r="BM103" s="890"/>
      <c r="BN103" s="890"/>
      <c r="BO103" s="890"/>
      <c r="BP103" s="890"/>
      <c r="BQ103" s="890"/>
      <c r="BR103" s="890"/>
      <c r="BS103" s="890"/>
      <c r="BT103" s="890"/>
      <c r="BU103" s="890"/>
      <c r="BV103" s="890"/>
      <c r="BW103" s="890"/>
      <c r="BX103" s="890"/>
      <c r="BY103" s="890"/>
      <c r="BZ103" s="890"/>
      <c r="CA103" s="890"/>
      <c r="CB103" s="890"/>
      <c r="CC103" s="890"/>
      <c r="CD103" s="890"/>
      <c r="CE103" s="890"/>
      <c r="CF103" s="890"/>
      <c r="CG103" s="890"/>
      <c r="CH103" s="890"/>
      <c r="CI103" s="890"/>
      <c r="CJ103" s="890"/>
      <c r="CK103" s="890"/>
      <c r="CL103" s="890"/>
      <c r="CM103" s="890"/>
      <c r="CN103" s="890"/>
      <c r="CO103" s="890"/>
      <c r="CP103" s="890"/>
    </row>
    <row r="104" spans="1:94">
      <c r="A104" s="890"/>
      <c r="B104" s="890"/>
      <c r="C104" s="909" t="s">
        <v>760</v>
      </c>
      <c r="D104" s="1794"/>
      <c r="E104" s="1795"/>
      <c r="F104" s="1796"/>
      <c r="G104" s="1796"/>
      <c r="H104" s="1797"/>
      <c r="I104" s="1798">
        <f t="shared" ref="I104:Z104" si="272">I94/I100*1000</f>
        <v>14.713185994536877</v>
      </c>
      <c r="J104" s="1795">
        <f t="shared" si="272"/>
        <v>11.333333333333334</v>
      </c>
      <c r="K104" s="1796">
        <f t="shared" si="272"/>
        <v>13</v>
      </c>
      <c r="L104" s="1796">
        <f t="shared" si="272"/>
        <v>15.954415954415955</v>
      </c>
      <c r="M104" s="1797">
        <f t="shared" si="272"/>
        <v>12.20244048809762</v>
      </c>
      <c r="N104" s="1798">
        <f t="shared" si="272"/>
        <v>12.264050335928335</v>
      </c>
      <c r="O104" s="1795">
        <f t="shared" si="272"/>
        <v>11.00044596402557</v>
      </c>
      <c r="P104" s="1796">
        <f t="shared" si="272"/>
        <v>12</v>
      </c>
      <c r="Q104" s="1796">
        <f t="shared" si="272"/>
        <v>10.350318471337578</v>
      </c>
      <c r="R104" s="1797">
        <f t="shared" si="272"/>
        <v>10.581061692969872</v>
      </c>
      <c r="S104" s="1798">
        <f t="shared" si="272"/>
        <v>10.88314005352364</v>
      </c>
      <c r="T104" s="1795">
        <f t="shared" si="272"/>
        <v>9.9241097489784007</v>
      </c>
      <c r="U104" s="1796">
        <f t="shared" si="272"/>
        <v>9.8338419803323163</v>
      </c>
      <c r="V104" s="1796">
        <f t="shared" si="272"/>
        <v>10.341726618705035</v>
      </c>
      <c r="W104" s="1797">
        <f t="shared" si="272"/>
        <v>8.9138329481677125</v>
      </c>
      <c r="X104" s="1798">
        <f t="shared" si="272"/>
        <v>9.6484138209739339</v>
      </c>
      <c r="Y104" s="1795">
        <f t="shared" si="272"/>
        <v>9.9121193541794401</v>
      </c>
      <c r="Z104" s="1796">
        <f t="shared" si="272"/>
        <v>8.3582089552238799</v>
      </c>
      <c r="AA104" s="1796">
        <f t="shared" ref="AA104:AE104" si="273">AA94/AA100*1000</f>
        <v>10</v>
      </c>
      <c r="AB104" s="1797">
        <f t="shared" si="273"/>
        <v>8.3121289228159458</v>
      </c>
      <c r="AC104" s="1798">
        <f t="shared" si="273"/>
        <v>9.2244781513004614</v>
      </c>
      <c r="AD104" s="1795">
        <f t="shared" si="273"/>
        <v>8.4288934627070464</v>
      </c>
      <c r="AE104" s="1796">
        <f t="shared" si="273"/>
        <v>8.3948959032907986</v>
      </c>
      <c r="AF104" s="1796">
        <f>AF94/AF100*1000</f>
        <v>8.4257206208425721</v>
      </c>
      <c r="AG104" s="1797">
        <f t="shared" ref="AG104:AJ104" si="274">AG94/AG100*1000</f>
        <v>7.6536190684452219</v>
      </c>
      <c r="AH104" s="1798">
        <f t="shared" si="274"/>
        <v>8.2462891698735561</v>
      </c>
      <c r="AI104" s="1795">
        <f t="shared" si="274"/>
        <v>7.598405580468361</v>
      </c>
      <c r="AJ104" s="1796">
        <f t="shared" si="274"/>
        <v>8.2522841143530794</v>
      </c>
      <c r="AK104" s="1796">
        <f>AK94/AK100*1000</f>
        <v>8.3078268473983385</v>
      </c>
      <c r="AL104" s="1797">
        <f t="shared" ref="AL104:AP104" si="275">AL94/AL100*1000</f>
        <v>8.0562221460404526</v>
      </c>
      <c r="AM104" s="1798">
        <f t="shared" si="275"/>
        <v>7.931634428410602</v>
      </c>
      <c r="AN104" s="1795">
        <f t="shared" si="275"/>
        <v>8.3950617283950617</v>
      </c>
      <c r="AO104" s="1796">
        <f t="shared" si="275"/>
        <v>7.9920079920079923</v>
      </c>
      <c r="AP104" s="1796">
        <f t="shared" si="275"/>
        <v>8.8261253309796999</v>
      </c>
      <c r="AQ104" s="1797">
        <f t="shared" ref="AQ104:AR104" ca="1" si="276">AQ94/AQ100*1000</f>
        <v>8.0562221460404526</v>
      </c>
      <c r="AR104" s="1798">
        <f t="shared" ca="1" si="276"/>
        <v>8.2749223817027175</v>
      </c>
      <c r="AS104" s="1795">
        <f>AN104+(AS106/AS100)*1000</f>
        <v>8.3950617283950617</v>
      </c>
      <c r="AT104" s="1796">
        <f>AO104+(AT106/AT100)*1000</f>
        <v>7.9920079920079923</v>
      </c>
      <c r="AU104" s="1796">
        <f>AP104+(AU106/AU100)*1000</f>
        <v>9.1295233892321264</v>
      </c>
      <c r="AV104" s="1797">
        <f ca="1">AQ104+(AV106/AV100)*1000</f>
        <v>8.1657664417702165</v>
      </c>
      <c r="AW104" s="1798">
        <f ca="1">AW94/AW100*1000</f>
        <v>8.3449147461720461</v>
      </c>
      <c r="AX104" s="1795">
        <f>AS104+(AX106/AX100)*1000</f>
        <v>8.4799382716049383</v>
      </c>
      <c r="AY104" s="1796">
        <f>AT104+(AY106/AY100)*1000</f>
        <v>8.2209457209457213</v>
      </c>
      <c r="AZ104" s="1796">
        <f>AU104+(AZ106/AZ100)*1000</f>
        <v>9.1295233892321264</v>
      </c>
      <c r="BA104" s="1797">
        <f ca="1">AV104+(BA106/BA100)*1000</f>
        <v>8.1657664417702165</v>
      </c>
      <c r="BB104" s="1798">
        <f ca="1">BB94/BB100*1000</f>
        <v>8.4149071106413764</v>
      </c>
      <c r="BC104" s="1795">
        <f>AX104+(BC106/BC100)*1000</f>
        <v>8.4799382716049383</v>
      </c>
      <c r="BD104" s="1796">
        <f>AY104+(BD106/BD100)*1000</f>
        <v>8.2209457209457213</v>
      </c>
      <c r="BE104" s="1796">
        <f>AZ104+(BE106/BE100)*1000</f>
        <v>9.1295233892321264</v>
      </c>
      <c r="BF104" s="1797">
        <f ca="1">BA104+(BF106/BF100)*1000</f>
        <v>8.1657664417702165</v>
      </c>
      <c r="BG104" s="1798">
        <f ca="1">BG94/BG100*1000</f>
        <v>8.4149071106413764</v>
      </c>
      <c r="BH104" s="1795">
        <f>BC104+(BH106/BH100)*1000</f>
        <v>8.4799382716049383</v>
      </c>
      <c r="BI104" s="1796">
        <f>BD104+(BI106/BI100)*1000</f>
        <v>8.2209457209457213</v>
      </c>
      <c r="BJ104" s="1796">
        <f>BE104+(BJ106/BJ100)*1000</f>
        <v>9.1295233892321264</v>
      </c>
      <c r="BK104" s="1797">
        <f ca="1">BF104+(BK106/BK100)*1000</f>
        <v>8.1657664417702165</v>
      </c>
      <c r="BL104" s="1798">
        <f ca="1">BL94/BL100*1000</f>
        <v>8.4149071106413764</v>
      </c>
      <c r="BM104" s="890"/>
      <c r="BN104" s="890"/>
      <c r="BO104" s="890"/>
      <c r="BP104" s="890"/>
      <c r="BQ104" s="890"/>
      <c r="BR104" s="890"/>
      <c r="BS104" s="890"/>
      <c r="BT104" s="890"/>
      <c r="BU104" s="890"/>
      <c r="BV104" s="890"/>
      <c r="BW104" s="890"/>
      <c r="BX104" s="890"/>
      <c r="BY104" s="890"/>
      <c r="BZ104" s="890"/>
      <c r="CA104" s="890"/>
      <c r="CB104" s="890"/>
      <c r="CC104" s="890"/>
      <c r="CD104" s="890"/>
      <c r="CE104" s="890"/>
      <c r="CF104" s="890"/>
      <c r="CG104" s="890"/>
      <c r="CH104" s="890"/>
      <c r="CI104" s="890"/>
      <c r="CJ104" s="890"/>
      <c r="CK104" s="890"/>
      <c r="CL104" s="890"/>
      <c r="CM104" s="890"/>
      <c r="CN104" s="890"/>
      <c r="CO104" s="890"/>
      <c r="CP104" s="890"/>
    </row>
    <row r="105" spans="1:94">
      <c r="A105" s="890"/>
      <c r="B105" s="890"/>
      <c r="C105" s="391"/>
      <c r="D105" s="890"/>
      <c r="E105" s="891"/>
      <c r="F105" s="892"/>
      <c r="G105" s="892"/>
      <c r="H105" s="893"/>
      <c r="I105" s="894"/>
      <c r="J105" s="891"/>
      <c r="K105" s="892"/>
      <c r="L105" s="892"/>
      <c r="M105" s="893"/>
      <c r="N105" s="894"/>
      <c r="O105" s="891"/>
      <c r="P105" s="892"/>
      <c r="Q105" s="892"/>
      <c r="R105" s="893"/>
      <c r="S105" s="894"/>
      <c r="T105" s="891"/>
      <c r="U105" s="892"/>
      <c r="V105" s="892"/>
      <c r="W105" s="893"/>
      <c r="X105" s="894"/>
      <c r="Y105" s="891"/>
      <c r="Z105" s="892"/>
      <c r="AA105" s="892"/>
      <c r="AB105" s="893"/>
      <c r="AC105" s="894"/>
      <c r="AD105" s="891"/>
      <c r="AE105" s="892"/>
      <c r="AF105" s="892"/>
      <c r="AG105" s="893"/>
      <c r="AH105" s="894"/>
      <c r="AI105" s="891"/>
      <c r="AJ105" s="892"/>
      <c r="AK105" s="892"/>
      <c r="AL105" s="893"/>
      <c r="AM105" s="894"/>
      <c r="AN105" s="891"/>
      <c r="AO105" s="892"/>
      <c r="AP105" s="892"/>
      <c r="AQ105" s="893"/>
      <c r="AR105" s="894"/>
      <c r="AS105" s="891"/>
      <c r="AT105" s="892"/>
      <c r="AU105" s="892"/>
      <c r="AV105" s="893"/>
      <c r="AW105" s="894"/>
      <c r="AX105" s="891"/>
      <c r="AY105" s="892"/>
      <c r="AZ105" s="892"/>
      <c r="BA105" s="893"/>
      <c r="BB105" s="894"/>
      <c r="BC105" s="891"/>
      <c r="BD105" s="892"/>
      <c r="BE105" s="892"/>
      <c r="BF105" s="893"/>
      <c r="BG105" s="894"/>
      <c r="BH105" s="891"/>
      <c r="BI105" s="892"/>
      <c r="BJ105" s="892"/>
      <c r="BK105" s="893"/>
      <c r="BL105" s="894"/>
      <c r="BM105" s="890"/>
      <c r="BN105" s="890"/>
      <c r="BO105" s="890"/>
      <c r="BP105" s="890"/>
      <c r="BQ105" s="890"/>
      <c r="BR105" s="890"/>
      <c r="BS105" s="890"/>
      <c r="BT105" s="890"/>
      <c r="BU105" s="890"/>
      <c r="BV105" s="890"/>
      <c r="BW105" s="890"/>
      <c r="BX105" s="890"/>
      <c r="BY105" s="890"/>
      <c r="BZ105" s="890"/>
      <c r="CA105" s="890"/>
      <c r="CB105" s="890"/>
      <c r="CC105" s="890"/>
      <c r="CD105" s="890"/>
      <c r="CE105" s="890"/>
      <c r="CF105" s="890"/>
      <c r="CG105" s="890"/>
      <c r="CH105" s="890"/>
      <c r="CI105" s="890"/>
      <c r="CJ105" s="890"/>
      <c r="CK105" s="890"/>
      <c r="CL105" s="890"/>
      <c r="CM105" s="890"/>
      <c r="CN105" s="890"/>
      <c r="CO105" s="890"/>
      <c r="CP105" s="890"/>
    </row>
    <row r="106" spans="1:94">
      <c r="A106" s="890"/>
      <c r="B106" s="890"/>
      <c r="C106" s="895" t="s">
        <v>643</v>
      </c>
      <c r="D106" s="890"/>
      <c r="E106" s="891"/>
      <c r="F106" s="892"/>
      <c r="G106" s="892"/>
      <c r="H106" s="893"/>
      <c r="I106" s="894"/>
      <c r="J106" s="290"/>
      <c r="K106" s="260"/>
      <c r="L106" s="260"/>
      <c r="M106" s="291"/>
      <c r="N106" s="45"/>
      <c r="O106" s="290"/>
      <c r="P106" s="260"/>
      <c r="Q106" s="260"/>
      <c r="R106" s="291"/>
      <c r="S106" s="45"/>
      <c r="T106" s="290"/>
      <c r="U106" s="260"/>
      <c r="V106" s="260"/>
      <c r="W106" s="291"/>
      <c r="X106" s="45"/>
      <c r="Y106" s="290"/>
      <c r="Z106" s="260"/>
      <c r="AA106" s="260"/>
      <c r="AB106" s="291"/>
      <c r="AC106" s="45"/>
      <c r="AD106" s="290"/>
      <c r="AE106" s="260"/>
      <c r="AF106" s="260"/>
      <c r="AG106" s="291"/>
      <c r="AH106" s="45"/>
      <c r="AI106" s="290"/>
      <c r="AJ106" s="260"/>
      <c r="AK106" s="260"/>
      <c r="AL106" s="291"/>
      <c r="AM106" s="45"/>
      <c r="AN106" s="290"/>
      <c r="AO106" s="260"/>
      <c r="AP106" s="260"/>
      <c r="AQ106" s="291"/>
      <c r="AR106" s="45"/>
      <c r="AS106" s="290">
        <f>+AS56</f>
        <v>0</v>
      </c>
      <c r="AT106" s="260">
        <f>+AT56</f>
        <v>0</v>
      </c>
      <c r="AU106" s="260">
        <f>+AU56</f>
        <v>0.6875</v>
      </c>
      <c r="AV106" s="291">
        <f>+AV56</f>
        <v>0.6875</v>
      </c>
      <c r="AW106" s="45">
        <f>SUM(AS106:AV106)</f>
        <v>1.375</v>
      </c>
      <c r="AX106" s="290">
        <f>+AX56</f>
        <v>0.6875</v>
      </c>
      <c r="AY106" s="260">
        <f>+AY56</f>
        <v>0.6875</v>
      </c>
      <c r="AZ106" s="260">
        <f>+AZ56</f>
        <v>0</v>
      </c>
      <c r="BA106" s="291">
        <f>+BA56</f>
        <v>0</v>
      </c>
      <c r="BB106" s="45">
        <f>SUM(AX106:BA106)</f>
        <v>1.375</v>
      </c>
      <c r="BC106" s="290">
        <f>+BC56</f>
        <v>0</v>
      </c>
      <c r="BD106" s="260">
        <f>+BD56</f>
        <v>0</v>
      </c>
      <c r="BE106" s="260">
        <f>+BE56</f>
        <v>0</v>
      </c>
      <c r="BF106" s="291">
        <f>+BF56</f>
        <v>0</v>
      </c>
      <c r="BG106" s="45">
        <f>SUM(BC106:BF106)</f>
        <v>0</v>
      </c>
      <c r="BH106" s="290">
        <f>+BH56</f>
        <v>0</v>
      </c>
      <c r="BI106" s="260">
        <f>+BI56</f>
        <v>0</v>
      </c>
      <c r="BJ106" s="260">
        <f>+BJ56</f>
        <v>0</v>
      </c>
      <c r="BK106" s="291">
        <f>+BK56</f>
        <v>0</v>
      </c>
      <c r="BL106" s="45">
        <f>SUM(BH106:BK106)</f>
        <v>0</v>
      </c>
      <c r="BM106" s="890"/>
      <c r="BN106" s="890"/>
      <c r="BO106" s="890"/>
      <c r="BP106" s="890"/>
      <c r="BQ106" s="890"/>
      <c r="BR106" s="890"/>
      <c r="BS106" s="890"/>
      <c r="BT106" s="890"/>
      <c r="BU106" s="890"/>
      <c r="BV106" s="890"/>
      <c r="BW106" s="890"/>
      <c r="BX106" s="890"/>
      <c r="BY106" s="890"/>
      <c r="BZ106" s="890"/>
      <c r="CA106" s="890"/>
      <c r="CB106" s="890"/>
      <c r="CC106" s="890"/>
      <c r="CD106" s="890"/>
      <c r="CE106" s="890"/>
      <c r="CF106" s="890"/>
      <c r="CG106" s="890"/>
      <c r="CH106" s="890"/>
      <c r="CI106" s="890"/>
      <c r="CJ106" s="890"/>
      <c r="CK106" s="890"/>
      <c r="CL106" s="890"/>
      <c r="CM106" s="890"/>
      <c r="CN106" s="890"/>
      <c r="CO106" s="890"/>
      <c r="CP106" s="890"/>
    </row>
    <row r="107" spans="1:94">
      <c r="A107" s="890"/>
      <c r="B107" s="890"/>
      <c r="C107" s="909"/>
      <c r="D107" s="890"/>
      <c r="E107" s="891"/>
      <c r="F107" s="892"/>
      <c r="G107" s="892"/>
      <c r="H107" s="893"/>
      <c r="I107" s="894"/>
      <c r="J107" s="891"/>
      <c r="K107" s="892"/>
      <c r="L107" s="892"/>
      <c r="M107" s="893"/>
      <c r="N107" s="894"/>
      <c r="O107" s="891"/>
      <c r="P107" s="892"/>
      <c r="Q107" s="892"/>
      <c r="R107" s="893"/>
      <c r="S107" s="894"/>
      <c r="T107" s="891"/>
      <c r="U107" s="892"/>
      <c r="V107" s="892"/>
      <c r="W107" s="893"/>
      <c r="X107" s="894"/>
      <c r="Y107" s="891"/>
      <c r="Z107" s="892"/>
      <c r="AA107" s="892"/>
      <c r="AB107" s="893"/>
      <c r="AC107" s="894"/>
      <c r="AD107" s="891"/>
      <c r="AE107" s="892"/>
      <c r="AF107" s="892"/>
      <c r="AG107" s="893"/>
      <c r="AH107" s="894"/>
      <c r="AI107" s="891"/>
      <c r="AJ107" s="892"/>
      <c r="AK107" s="892"/>
      <c r="AL107" s="893"/>
      <c r="AM107" s="894"/>
      <c r="AN107" s="891"/>
      <c r="AO107" s="892"/>
      <c r="AP107" s="892"/>
      <c r="AQ107" s="893"/>
      <c r="AR107" s="894"/>
      <c r="AS107" s="891"/>
      <c r="AT107" s="892"/>
      <c r="AU107" s="892"/>
      <c r="AV107" s="893"/>
      <c r="AW107" s="894"/>
      <c r="AX107" s="891"/>
      <c r="AY107" s="892"/>
      <c r="AZ107" s="892"/>
      <c r="BA107" s="893"/>
      <c r="BB107" s="894"/>
      <c r="BC107" s="891"/>
      <c r="BD107" s="892"/>
      <c r="BE107" s="892"/>
      <c r="BF107" s="893"/>
      <c r="BG107" s="894"/>
      <c r="BH107" s="891"/>
      <c r="BI107" s="892"/>
      <c r="BJ107" s="892"/>
      <c r="BK107" s="893"/>
      <c r="BL107" s="894"/>
      <c r="BM107" s="890"/>
      <c r="BN107" s="890"/>
      <c r="BO107" s="890"/>
      <c r="BP107" s="890"/>
      <c r="BQ107" s="890"/>
      <c r="BR107" s="890"/>
      <c r="BS107" s="890"/>
      <c r="BT107" s="890"/>
      <c r="BU107" s="890"/>
      <c r="BV107" s="890"/>
      <c r="BW107" s="890"/>
      <c r="BX107" s="890"/>
      <c r="BY107" s="890"/>
      <c r="BZ107" s="890"/>
      <c r="CA107" s="890"/>
      <c r="CB107" s="890"/>
      <c r="CC107" s="890"/>
      <c r="CD107" s="890"/>
      <c r="CE107" s="890"/>
      <c r="CF107" s="890"/>
      <c r="CG107" s="890"/>
      <c r="CH107" s="890"/>
      <c r="CI107" s="890"/>
      <c r="CJ107" s="890"/>
      <c r="CK107" s="890"/>
      <c r="CL107" s="890"/>
      <c r="CM107" s="890"/>
      <c r="CN107" s="890"/>
      <c r="CO107" s="890"/>
      <c r="CP107" s="890"/>
    </row>
    <row r="108" spans="1:94">
      <c r="A108" s="890"/>
      <c r="B108" s="890"/>
      <c r="C108" s="909" t="s">
        <v>135</v>
      </c>
      <c r="D108" s="890"/>
      <c r="E108" s="891"/>
      <c r="F108" s="892"/>
      <c r="G108" s="892"/>
      <c r="H108" s="893"/>
      <c r="I108" s="894"/>
      <c r="J108" s="891"/>
      <c r="K108" s="892"/>
      <c r="L108" s="892"/>
      <c r="M108" s="893"/>
      <c r="N108" s="894"/>
      <c r="O108" s="891"/>
      <c r="P108" s="892"/>
      <c r="Q108" s="892"/>
      <c r="R108" s="893"/>
      <c r="S108" s="894"/>
      <c r="T108" s="891"/>
      <c r="U108" s="892"/>
      <c r="V108" s="892"/>
      <c r="W108" s="893"/>
      <c r="X108" s="894"/>
      <c r="Y108" s="891"/>
      <c r="Z108" s="892"/>
      <c r="AA108" s="892"/>
      <c r="AB108" s="893"/>
      <c r="AC108" s="894"/>
      <c r="AD108" s="891"/>
      <c r="AE108" s="892"/>
      <c r="AF108" s="892"/>
      <c r="AG108" s="893"/>
      <c r="AH108" s="894"/>
      <c r="AI108" s="891"/>
      <c r="AJ108" s="892"/>
      <c r="AK108" s="892"/>
      <c r="AL108" s="893"/>
      <c r="AM108" s="894"/>
      <c r="AN108" s="891"/>
      <c r="AO108" s="892"/>
      <c r="AP108" s="892"/>
      <c r="AQ108" s="893"/>
      <c r="AR108" s="894"/>
      <c r="AS108" s="891"/>
      <c r="AT108" s="892"/>
      <c r="AU108" s="892"/>
      <c r="AV108" s="893"/>
      <c r="AW108" s="894"/>
      <c r="AX108" s="891"/>
      <c r="AY108" s="892"/>
      <c r="AZ108" s="892"/>
      <c r="BA108" s="893"/>
      <c r="BB108" s="894"/>
      <c r="BC108" s="891"/>
      <c r="BD108" s="892"/>
      <c r="BE108" s="892"/>
      <c r="BF108" s="893"/>
      <c r="BG108" s="894"/>
      <c r="BH108" s="891"/>
      <c r="BI108" s="892"/>
      <c r="BJ108" s="892"/>
      <c r="BK108" s="893"/>
      <c r="BL108" s="894"/>
      <c r="BM108" s="890"/>
      <c r="BN108" s="890"/>
      <c r="BO108" s="890"/>
      <c r="BP108" s="890"/>
      <c r="BQ108" s="890"/>
      <c r="BR108" s="890"/>
      <c r="BS108" s="890"/>
      <c r="BT108" s="890"/>
      <c r="BU108" s="890"/>
      <c r="BV108" s="890"/>
      <c r="BW108" s="890"/>
      <c r="BX108" s="890"/>
      <c r="BY108" s="890"/>
      <c r="BZ108" s="890"/>
      <c r="CA108" s="890"/>
      <c r="CB108" s="890"/>
      <c r="CC108" s="890"/>
      <c r="CD108" s="890"/>
      <c r="CE108" s="890"/>
      <c r="CF108" s="890"/>
      <c r="CG108" s="890"/>
      <c r="CH108" s="890"/>
      <c r="CI108" s="890"/>
      <c r="CJ108" s="890"/>
      <c r="CK108" s="890"/>
      <c r="CL108" s="890"/>
      <c r="CM108" s="890"/>
      <c r="CN108" s="890"/>
      <c r="CO108" s="890"/>
      <c r="CP108" s="890"/>
    </row>
    <row r="109" spans="1:94">
      <c r="A109" s="890"/>
      <c r="B109" s="890"/>
      <c r="C109" s="895" t="s">
        <v>761</v>
      </c>
      <c r="D109" s="890"/>
      <c r="E109" s="290"/>
      <c r="F109" s="260"/>
      <c r="G109" s="260"/>
      <c r="H109" s="291"/>
      <c r="I109" s="45">
        <f t="shared" ref="I109:Z109" si="277">+I13</f>
        <v>164</v>
      </c>
      <c r="J109" s="290">
        <f t="shared" si="277"/>
        <v>71</v>
      </c>
      <c r="K109" s="260">
        <f t="shared" si="277"/>
        <v>25</v>
      </c>
      <c r="L109" s="260">
        <f t="shared" si="277"/>
        <v>18</v>
      </c>
      <c r="M109" s="291">
        <f t="shared" si="277"/>
        <v>41</v>
      </c>
      <c r="N109" s="45">
        <f t="shared" si="277"/>
        <v>155</v>
      </c>
      <c r="O109" s="290">
        <f t="shared" si="277"/>
        <v>49</v>
      </c>
      <c r="P109" s="260">
        <f t="shared" si="277"/>
        <v>13</v>
      </c>
      <c r="Q109" s="260">
        <f t="shared" si="277"/>
        <v>15</v>
      </c>
      <c r="R109" s="291">
        <f t="shared" si="277"/>
        <v>36</v>
      </c>
      <c r="S109" s="45">
        <f t="shared" si="277"/>
        <v>113</v>
      </c>
      <c r="T109" s="290">
        <f t="shared" si="277"/>
        <v>54</v>
      </c>
      <c r="U109" s="260">
        <f t="shared" si="277"/>
        <v>15</v>
      </c>
      <c r="V109" s="260">
        <f t="shared" si="277"/>
        <v>11</v>
      </c>
      <c r="W109" s="291">
        <f t="shared" si="277"/>
        <v>29</v>
      </c>
      <c r="X109" s="45">
        <f t="shared" si="277"/>
        <v>109</v>
      </c>
      <c r="Y109" s="290">
        <f t="shared" si="277"/>
        <v>58</v>
      </c>
      <c r="Z109" s="260">
        <f t="shared" si="277"/>
        <v>13</v>
      </c>
      <c r="AA109" s="260">
        <f t="shared" ref="AA109:AE109" si="278">+AA13</f>
        <v>9</v>
      </c>
      <c r="AB109" s="291">
        <f t="shared" si="278"/>
        <v>24</v>
      </c>
      <c r="AC109" s="45">
        <f t="shared" si="278"/>
        <v>104</v>
      </c>
      <c r="AD109" s="290">
        <f t="shared" si="278"/>
        <v>47</v>
      </c>
      <c r="AE109" s="260">
        <f t="shared" si="278"/>
        <v>11</v>
      </c>
      <c r="AF109" s="260">
        <f>+AF13</f>
        <v>8</v>
      </c>
      <c r="AG109" s="291">
        <f t="shared" ref="AG109:AJ109" si="279">+AG13</f>
        <v>13</v>
      </c>
      <c r="AH109" s="45">
        <f t="shared" si="279"/>
        <v>79</v>
      </c>
      <c r="AI109" s="290">
        <f t="shared" si="279"/>
        <v>0</v>
      </c>
      <c r="AJ109" s="260">
        <f t="shared" si="279"/>
        <v>0</v>
      </c>
      <c r="AK109" s="260">
        <f>+AK13</f>
        <v>0</v>
      </c>
      <c r="AL109" s="291">
        <f t="shared" ref="AL109:AO109" si="280">+AL13</f>
        <v>0</v>
      </c>
      <c r="AM109" s="45">
        <f t="shared" si="280"/>
        <v>0</v>
      </c>
      <c r="AN109" s="290">
        <f t="shared" si="280"/>
        <v>0</v>
      </c>
      <c r="AO109" s="260">
        <f t="shared" si="280"/>
        <v>0</v>
      </c>
      <c r="AP109" s="260">
        <f t="shared" ref="AP109:AR109" si="281">+AP13</f>
        <v>0</v>
      </c>
      <c r="AQ109" s="291">
        <f t="shared" si="281"/>
        <v>0</v>
      </c>
      <c r="AR109" s="45">
        <f t="shared" si="281"/>
        <v>0</v>
      </c>
      <c r="AS109" s="290">
        <f>AS110*AS100/1000</f>
        <v>0</v>
      </c>
      <c r="AT109" s="260">
        <f>AT110*AT100/1000</f>
        <v>0</v>
      </c>
      <c r="AU109" s="260">
        <f>AU110*AU100/1000</f>
        <v>0</v>
      </c>
      <c r="AV109" s="291">
        <f>AV110*AV100/1000</f>
        <v>0</v>
      </c>
      <c r="AW109" s="228">
        <f>SUM(AS109:AV109)</f>
        <v>0</v>
      </c>
      <c r="AX109" s="290">
        <f>AX110*AX100/1000</f>
        <v>0</v>
      </c>
      <c r="AY109" s="260">
        <f>AY110*AY100/1000</f>
        <v>0</v>
      </c>
      <c r="AZ109" s="260">
        <f>AZ110*AZ100/1000</f>
        <v>0</v>
      </c>
      <c r="BA109" s="291">
        <f>BA110*BA100/1000</f>
        <v>0</v>
      </c>
      <c r="BB109" s="228">
        <f>SUM(AX109:BA109)</f>
        <v>0</v>
      </c>
      <c r="BC109" s="290">
        <f>BC110*BC100/1000</f>
        <v>0</v>
      </c>
      <c r="BD109" s="260">
        <f>BD110*BD100/1000</f>
        <v>0</v>
      </c>
      <c r="BE109" s="260">
        <f>BE110*BE100/1000</f>
        <v>0</v>
      </c>
      <c r="BF109" s="291">
        <f>BF110*BF100/1000</f>
        <v>0</v>
      </c>
      <c r="BG109" s="228">
        <f>SUM(BC109:BF109)</f>
        <v>0</v>
      </c>
      <c r="BH109" s="290">
        <f>BH110*BH100/1000</f>
        <v>0</v>
      </c>
      <c r="BI109" s="260">
        <f>BI110*BI100/1000</f>
        <v>0</v>
      </c>
      <c r="BJ109" s="260">
        <f>BJ110*BJ100/1000</f>
        <v>0</v>
      </c>
      <c r="BK109" s="291">
        <f>BK110*BK100/1000</f>
        <v>0</v>
      </c>
      <c r="BL109" s="228">
        <f>SUM(BH109:BK109)</f>
        <v>0</v>
      </c>
      <c r="BM109" s="890"/>
      <c r="BN109" s="890"/>
      <c r="BO109" s="890"/>
      <c r="BP109" s="890"/>
      <c r="BQ109" s="890"/>
      <c r="BR109" s="890"/>
      <c r="BS109" s="890"/>
      <c r="BT109" s="890"/>
      <c r="BU109" s="890"/>
      <c r="BV109" s="890"/>
      <c r="BW109" s="890"/>
      <c r="BX109" s="890"/>
      <c r="BY109" s="890"/>
      <c r="BZ109" s="890"/>
      <c r="CA109" s="890"/>
      <c r="CB109" s="890"/>
      <c r="CC109" s="890"/>
      <c r="CD109" s="890"/>
      <c r="CE109" s="890"/>
      <c r="CF109" s="890"/>
      <c r="CG109" s="890"/>
      <c r="CH109" s="890"/>
      <c r="CI109" s="890"/>
      <c r="CJ109" s="890"/>
      <c r="CK109" s="890"/>
      <c r="CL109" s="890"/>
      <c r="CM109" s="890"/>
      <c r="CN109" s="890"/>
      <c r="CO109" s="890"/>
      <c r="CP109" s="890"/>
    </row>
    <row r="110" spans="1:94">
      <c r="A110" s="890"/>
      <c r="B110" s="890"/>
      <c r="C110" s="895" t="s">
        <v>762</v>
      </c>
      <c r="D110" s="890"/>
      <c r="E110" s="1795"/>
      <c r="F110" s="1796"/>
      <c r="G110" s="1796"/>
      <c r="H110" s="1797"/>
      <c r="I110" s="1798">
        <f t="shared" ref="I110:Z110" si="282">I109/I100*1000</f>
        <v>10.181276384405264</v>
      </c>
      <c r="J110" s="1795">
        <f t="shared" si="282"/>
        <v>7.8888888888888893</v>
      </c>
      <c r="K110" s="1796">
        <f t="shared" si="282"/>
        <v>8.3333333333333339</v>
      </c>
      <c r="L110" s="1796">
        <f t="shared" si="282"/>
        <v>10.256410256410257</v>
      </c>
      <c r="M110" s="1797">
        <f t="shared" si="282"/>
        <v>8.2016403280656132</v>
      </c>
      <c r="N110" s="1798">
        <f t="shared" si="282"/>
        <v>8.2649034872560527</v>
      </c>
      <c r="O110" s="1795">
        <f t="shared" si="282"/>
        <v>7.2840790842872014</v>
      </c>
      <c r="P110" s="1796">
        <f t="shared" si="282"/>
        <v>6.5</v>
      </c>
      <c r="Q110" s="1796">
        <f t="shared" si="282"/>
        <v>5.9713375796178347</v>
      </c>
      <c r="R110" s="1797">
        <f t="shared" si="282"/>
        <v>6.4562410329985651</v>
      </c>
      <c r="S110" s="1798">
        <f t="shared" si="282"/>
        <v>6.7201903062741595</v>
      </c>
      <c r="T110" s="1795">
        <f t="shared" si="282"/>
        <v>6.3047285464098071</v>
      </c>
      <c r="U110" s="1796">
        <f t="shared" si="282"/>
        <v>5.0864699898270604</v>
      </c>
      <c r="V110" s="1796">
        <f t="shared" si="282"/>
        <v>4.9460431654676258</v>
      </c>
      <c r="W110" s="1797">
        <f t="shared" si="282"/>
        <v>4.787058435127105</v>
      </c>
      <c r="X110" s="1798">
        <f t="shared" si="282"/>
        <v>5.5061628611840776</v>
      </c>
      <c r="Y110" s="1795">
        <f t="shared" si="282"/>
        <v>5.9268342530145102</v>
      </c>
      <c r="Z110" s="1796">
        <f t="shared" si="282"/>
        <v>3.8805970149253728</v>
      </c>
      <c r="AA110" s="1796">
        <f t="shared" ref="AA110:AE110" si="283">AA109/AA100*1000</f>
        <v>4.5</v>
      </c>
      <c r="AB110" s="1797">
        <f t="shared" si="283"/>
        <v>4.0712468193384224</v>
      </c>
      <c r="AC110" s="1798">
        <f t="shared" si="283"/>
        <v>4.9450810708002475</v>
      </c>
      <c r="AD110" s="1795">
        <f t="shared" si="283"/>
        <v>4.6064882877585029</v>
      </c>
      <c r="AE110" s="1796">
        <f t="shared" si="283"/>
        <v>3.6937541974479515</v>
      </c>
      <c r="AF110" s="1796">
        <f>AF109/AF100*1000</f>
        <v>3.5476718403547673</v>
      </c>
      <c r="AG110" s="1797">
        <f t="shared" ref="AG110:AJ110" si="284">AG109/AG100*1000</f>
        <v>2.8427727968510825</v>
      </c>
      <c r="AH110" s="1798">
        <f t="shared" si="284"/>
        <v>3.948223299515218</v>
      </c>
      <c r="AI110" s="1795">
        <f t="shared" si="284"/>
        <v>0</v>
      </c>
      <c r="AJ110" s="1796">
        <f t="shared" si="284"/>
        <v>0</v>
      </c>
      <c r="AK110" s="1796">
        <f>AK109/AK100*1000</f>
        <v>0</v>
      </c>
      <c r="AL110" s="1797">
        <f t="shared" ref="AL110:AO110" si="285">AL109/AL100*1000</f>
        <v>0</v>
      </c>
      <c r="AM110" s="1798">
        <f t="shared" si="285"/>
        <v>0</v>
      </c>
      <c r="AN110" s="1795">
        <f t="shared" si="285"/>
        <v>0</v>
      </c>
      <c r="AO110" s="1796">
        <f t="shared" si="285"/>
        <v>0</v>
      </c>
      <c r="AP110" s="1796">
        <f t="shared" ref="AP110:AR110" si="286">AP109/AP100*1000</f>
        <v>0</v>
      </c>
      <c r="AQ110" s="1797">
        <f t="shared" si="286"/>
        <v>0</v>
      </c>
      <c r="AR110" s="1798">
        <f t="shared" si="286"/>
        <v>0</v>
      </c>
      <c r="AS110" s="1795">
        <f>+AN110</f>
        <v>0</v>
      </c>
      <c r="AT110" s="1796">
        <f>+AO110</f>
        <v>0</v>
      </c>
      <c r="AU110" s="1796">
        <f>+AP110</f>
        <v>0</v>
      </c>
      <c r="AV110" s="1797">
        <f>+AQ110</f>
        <v>0</v>
      </c>
      <c r="AW110" s="1798">
        <f>AW109/AW100*1000</f>
        <v>0</v>
      </c>
      <c r="AX110" s="1795">
        <f>+AS110</f>
        <v>0</v>
      </c>
      <c r="AY110" s="1796">
        <f>+AT110</f>
        <v>0</v>
      </c>
      <c r="AZ110" s="1796">
        <f>+AU110</f>
        <v>0</v>
      </c>
      <c r="BA110" s="1797">
        <f>+AV110</f>
        <v>0</v>
      </c>
      <c r="BB110" s="1798">
        <f>BB109/BB100*1000</f>
        <v>0</v>
      </c>
      <c r="BC110" s="1795">
        <f>+AX110</f>
        <v>0</v>
      </c>
      <c r="BD110" s="1796">
        <f>+AY110</f>
        <v>0</v>
      </c>
      <c r="BE110" s="1796">
        <f>+AZ110</f>
        <v>0</v>
      </c>
      <c r="BF110" s="1797">
        <f>+BA110</f>
        <v>0</v>
      </c>
      <c r="BG110" s="1798">
        <f>BG109/BG100*1000</f>
        <v>0</v>
      </c>
      <c r="BH110" s="1795">
        <f>+BC110</f>
        <v>0</v>
      </c>
      <c r="BI110" s="1796">
        <f>+BD110</f>
        <v>0</v>
      </c>
      <c r="BJ110" s="1796">
        <f>+BE110</f>
        <v>0</v>
      </c>
      <c r="BK110" s="1797">
        <f>+BF110</f>
        <v>0</v>
      </c>
      <c r="BL110" s="1798">
        <f>BL109/BL100*1000</f>
        <v>0</v>
      </c>
      <c r="BM110" s="890"/>
      <c r="BN110" s="890"/>
      <c r="BO110" s="890"/>
      <c r="BP110" s="890"/>
      <c r="BQ110" s="890"/>
      <c r="BR110" s="890"/>
      <c r="BS110" s="890"/>
      <c r="BT110" s="890"/>
      <c r="BU110" s="890"/>
      <c r="BV110" s="890"/>
      <c r="BW110" s="890"/>
      <c r="BX110" s="890"/>
      <c r="BY110" s="890"/>
      <c r="BZ110" s="890"/>
      <c r="CA110" s="890"/>
      <c r="CB110" s="890"/>
      <c r="CC110" s="890"/>
      <c r="CD110" s="890"/>
      <c r="CE110" s="890"/>
      <c r="CF110" s="890"/>
      <c r="CG110" s="890"/>
      <c r="CH110" s="890"/>
      <c r="CI110" s="890"/>
      <c r="CJ110" s="890"/>
      <c r="CK110" s="890"/>
      <c r="CL110" s="890"/>
      <c r="CM110" s="890"/>
      <c r="CN110" s="890"/>
      <c r="CO110" s="890"/>
      <c r="CP110" s="890"/>
    </row>
    <row r="111" spans="1:94">
      <c r="A111" s="890"/>
      <c r="B111" s="890"/>
      <c r="C111" s="909"/>
      <c r="D111" s="890"/>
      <c r="E111" s="891"/>
      <c r="F111" s="892"/>
      <c r="G111" s="892"/>
      <c r="H111" s="893"/>
      <c r="I111" s="894"/>
      <c r="J111" s="891"/>
      <c r="K111" s="892"/>
      <c r="L111" s="892"/>
      <c r="M111" s="893"/>
      <c r="N111" s="894"/>
      <c r="O111" s="891"/>
      <c r="P111" s="892"/>
      <c r="Q111" s="892"/>
      <c r="R111" s="893"/>
      <c r="S111" s="894"/>
      <c r="T111" s="891"/>
      <c r="U111" s="892"/>
      <c r="V111" s="892"/>
      <c r="W111" s="893"/>
      <c r="X111" s="894"/>
      <c r="Y111" s="891"/>
      <c r="Z111" s="892"/>
      <c r="AA111" s="892"/>
      <c r="AB111" s="893"/>
      <c r="AC111" s="894"/>
      <c r="AD111" s="891"/>
      <c r="AE111" s="892"/>
      <c r="AF111" s="892"/>
      <c r="AG111" s="893"/>
      <c r="AH111" s="894"/>
      <c r="AI111" s="891"/>
      <c r="AJ111" s="892"/>
      <c r="AK111" s="892"/>
      <c r="AL111" s="893"/>
      <c r="AM111" s="894"/>
      <c r="AN111" s="891"/>
      <c r="AO111" s="892"/>
      <c r="AP111" s="892"/>
      <c r="AQ111" s="893"/>
      <c r="AR111" s="894"/>
      <c r="AS111" s="891"/>
      <c r="AT111" s="892"/>
      <c r="AU111" s="892"/>
      <c r="AV111" s="893"/>
      <c r="AW111" s="894"/>
      <c r="AX111" s="891"/>
      <c r="AY111" s="892"/>
      <c r="AZ111" s="892"/>
      <c r="BA111" s="893"/>
      <c r="BB111" s="894"/>
      <c r="BC111" s="891"/>
      <c r="BD111" s="892"/>
      <c r="BE111" s="892"/>
      <c r="BF111" s="893"/>
      <c r="BG111" s="894"/>
      <c r="BH111" s="891"/>
      <c r="BI111" s="892"/>
      <c r="BJ111" s="892"/>
      <c r="BK111" s="893"/>
      <c r="BL111" s="894"/>
      <c r="BM111" s="890"/>
      <c r="BN111" s="890"/>
      <c r="BO111" s="890"/>
      <c r="BP111" s="890"/>
      <c r="BQ111" s="890"/>
      <c r="BR111" s="890"/>
      <c r="BS111" s="890"/>
      <c r="BT111" s="890"/>
      <c r="BU111" s="890"/>
      <c r="BV111" s="890"/>
      <c r="BW111" s="890"/>
      <c r="BX111" s="890"/>
      <c r="BY111" s="890"/>
      <c r="BZ111" s="890"/>
      <c r="CA111" s="890"/>
      <c r="CB111" s="890"/>
      <c r="CC111" s="890"/>
      <c r="CD111" s="890"/>
      <c r="CE111" s="890"/>
      <c r="CF111" s="890"/>
      <c r="CG111" s="890"/>
      <c r="CH111" s="890"/>
      <c r="CI111" s="890"/>
      <c r="CJ111" s="890"/>
      <c r="CK111" s="890"/>
      <c r="CL111" s="890"/>
      <c r="CM111" s="890"/>
      <c r="CN111" s="890"/>
      <c r="CO111" s="890"/>
      <c r="CP111" s="890"/>
    </row>
    <row r="112" spans="1:94">
      <c r="A112" s="890"/>
      <c r="B112" s="890"/>
      <c r="C112" s="909" t="s">
        <v>140</v>
      </c>
      <c r="D112" s="890"/>
      <c r="E112" s="292"/>
      <c r="F112" s="261"/>
      <c r="G112" s="261"/>
      <c r="H112" s="293"/>
      <c r="I112" s="228">
        <f t="shared" ref="I112:AW112" si="287">+I94-I109</f>
        <v>73</v>
      </c>
      <c r="J112" s="1744">
        <f t="shared" si="287"/>
        <v>31</v>
      </c>
      <c r="K112" s="1745">
        <f t="shared" si="287"/>
        <v>14</v>
      </c>
      <c r="L112" s="261">
        <f t="shared" si="287"/>
        <v>10</v>
      </c>
      <c r="M112" s="293">
        <f t="shared" si="287"/>
        <v>20</v>
      </c>
      <c r="N112" s="228">
        <f t="shared" si="287"/>
        <v>75</v>
      </c>
      <c r="O112" s="1744">
        <f t="shared" si="287"/>
        <v>25</v>
      </c>
      <c r="P112" s="1745">
        <f t="shared" si="287"/>
        <v>11</v>
      </c>
      <c r="Q112" s="1745">
        <f t="shared" si="287"/>
        <v>11</v>
      </c>
      <c r="R112" s="293">
        <f t="shared" si="287"/>
        <v>23</v>
      </c>
      <c r="S112" s="228">
        <f t="shared" si="287"/>
        <v>70</v>
      </c>
      <c r="T112" s="1744">
        <f t="shared" si="287"/>
        <v>31</v>
      </c>
      <c r="U112" s="1745">
        <f t="shared" si="287"/>
        <v>14</v>
      </c>
      <c r="V112" s="1745">
        <f t="shared" si="287"/>
        <v>12</v>
      </c>
      <c r="W112" s="293">
        <f t="shared" si="287"/>
        <v>25</v>
      </c>
      <c r="X112" s="228">
        <f t="shared" si="287"/>
        <v>82</v>
      </c>
      <c r="Y112" s="1744">
        <f t="shared" si="287"/>
        <v>39</v>
      </c>
      <c r="Z112" s="1745">
        <f t="shared" si="287"/>
        <v>15</v>
      </c>
      <c r="AA112" s="1745">
        <f t="shared" ref="AA112:AE112" si="288">+AA94-AA109</f>
        <v>11</v>
      </c>
      <c r="AB112" s="293">
        <f t="shared" si="288"/>
        <v>25</v>
      </c>
      <c r="AC112" s="228">
        <f t="shared" si="288"/>
        <v>90</v>
      </c>
      <c r="AD112" s="1744">
        <f t="shared" si="288"/>
        <v>39</v>
      </c>
      <c r="AE112" s="1745">
        <f t="shared" si="288"/>
        <v>14</v>
      </c>
      <c r="AF112" s="1745">
        <f>+AF94-AF109</f>
        <v>11</v>
      </c>
      <c r="AG112" s="293">
        <f t="shared" ref="AG112:AJ112" si="289">+AG94-AG109</f>
        <v>22</v>
      </c>
      <c r="AH112" s="228">
        <f t="shared" si="289"/>
        <v>86</v>
      </c>
      <c r="AI112" s="1744">
        <f t="shared" si="289"/>
        <v>61</v>
      </c>
      <c r="AJ112" s="1745">
        <f t="shared" si="289"/>
        <v>28</v>
      </c>
      <c r="AK112" s="1745">
        <f>+AK94-AK109</f>
        <v>19</v>
      </c>
      <c r="AL112" s="293">
        <f t="shared" ref="AL112:AO112" si="290">+AL94-AL109</f>
        <v>47</v>
      </c>
      <c r="AM112" s="228">
        <f t="shared" si="290"/>
        <v>155</v>
      </c>
      <c r="AN112" s="1744">
        <f t="shared" si="290"/>
        <v>68</v>
      </c>
      <c r="AO112" s="1745">
        <f t="shared" si="290"/>
        <v>24</v>
      </c>
      <c r="AP112" s="1745">
        <f t="shared" ref="AP112:AR112" si="291">+AP94-AP109</f>
        <v>20</v>
      </c>
      <c r="AQ112" s="293">
        <f t="shared" ca="1" si="291"/>
        <v>50.560850188549878</v>
      </c>
      <c r="AR112" s="228">
        <f t="shared" ca="1" si="291"/>
        <v>162.56085018854986</v>
      </c>
      <c r="AS112" s="1744">
        <f t="shared" si="287"/>
        <v>68</v>
      </c>
      <c r="AT112" s="1745">
        <f t="shared" si="287"/>
        <v>24</v>
      </c>
      <c r="AU112" s="1745">
        <f t="shared" si="287"/>
        <v>20.6875</v>
      </c>
      <c r="AV112" s="1746">
        <f t="shared" ca="1" si="287"/>
        <v>51.248350188549878</v>
      </c>
      <c r="AW112" s="1747">
        <f t="shared" ca="1" si="287"/>
        <v>163.93585018854986</v>
      </c>
      <c r="AX112" s="1744">
        <f t="shared" ref="AX112:BG112" si="292">+AX94-AX109</f>
        <v>68.6875</v>
      </c>
      <c r="AY112" s="1745">
        <f t="shared" si="292"/>
        <v>24.6875</v>
      </c>
      <c r="AZ112" s="1745">
        <f t="shared" si="292"/>
        <v>20.6875</v>
      </c>
      <c r="BA112" s="1746">
        <f t="shared" ca="1" si="292"/>
        <v>51.248350188549878</v>
      </c>
      <c r="BB112" s="1747">
        <f t="shared" ca="1" si="292"/>
        <v>165.31085018854986</v>
      </c>
      <c r="BC112" s="1744">
        <f t="shared" si="292"/>
        <v>68.6875</v>
      </c>
      <c r="BD112" s="1745">
        <f t="shared" si="292"/>
        <v>24.6875</v>
      </c>
      <c r="BE112" s="1745">
        <f t="shared" si="292"/>
        <v>20.6875</v>
      </c>
      <c r="BF112" s="1746">
        <f t="shared" ca="1" si="292"/>
        <v>51.248350188549878</v>
      </c>
      <c r="BG112" s="1747">
        <f t="shared" ca="1" si="292"/>
        <v>165.31085018854986</v>
      </c>
      <c r="BH112" s="1744">
        <f t="shared" ref="BH112:BL112" si="293">+BH94-BH109</f>
        <v>68.6875</v>
      </c>
      <c r="BI112" s="1745">
        <f t="shared" si="293"/>
        <v>24.6875</v>
      </c>
      <c r="BJ112" s="1745">
        <f t="shared" si="293"/>
        <v>20.6875</v>
      </c>
      <c r="BK112" s="1746">
        <f t="shared" ca="1" si="293"/>
        <v>51.248350188549878</v>
      </c>
      <c r="BL112" s="1747">
        <f t="shared" ca="1" si="293"/>
        <v>165.31085018854986</v>
      </c>
      <c r="BM112" s="890"/>
      <c r="BN112" s="890"/>
      <c r="BO112" s="890"/>
      <c r="BP112" s="890"/>
      <c r="BQ112" s="890"/>
      <c r="BR112" s="890"/>
      <c r="BS112" s="890"/>
      <c r="BT112" s="890"/>
      <c r="BU112" s="890"/>
      <c r="BV112" s="890"/>
      <c r="BW112" s="890"/>
      <c r="BX112" s="890"/>
      <c r="BY112" s="890"/>
      <c r="BZ112" s="890"/>
      <c r="CA112" s="890"/>
      <c r="CB112" s="890"/>
      <c r="CC112" s="890"/>
      <c r="CD112" s="890"/>
      <c r="CE112" s="890"/>
      <c r="CF112" s="890"/>
      <c r="CG112" s="890"/>
      <c r="CH112" s="890"/>
      <c r="CI112" s="890"/>
      <c r="CJ112" s="890"/>
      <c r="CK112" s="890"/>
      <c r="CL112" s="890"/>
      <c r="CM112" s="890"/>
      <c r="CN112" s="890"/>
      <c r="CO112" s="890"/>
      <c r="CP112" s="890"/>
    </row>
    <row r="113" spans="1:94">
      <c r="A113" s="1699"/>
      <c r="B113" s="1699"/>
      <c r="C113" s="1699" t="s">
        <v>623</v>
      </c>
      <c r="D113" s="1699"/>
      <c r="E113" s="1748"/>
      <c r="F113" s="1749"/>
      <c r="G113" s="1749"/>
      <c r="H113" s="1750"/>
      <c r="I113" s="1751"/>
      <c r="J113" s="1748"/>
      <c r="K113" s="1749"/>
      <c r="L113" s="1749"/>
      <c r="M113" s="1750"/>
      <c r="N113" s="1751">
        <f t="shared" ref="N113:AW113" si="294">+N112/I112-1</f>
        <v>2.7397260273972712E-2</v>
      </c>
      <c r="O113" s="1748">
        <f t="shared" si="294"/>
        <v>-0.19354838709677424</v>
      </c>
      <c r="P113" s="1749">
        <f t="shared" si="294"/>
        <v>-0.2142857142857143</v>
      </c>
      <c r="Q113" s="1749">
        <f t="shared" si="294"/>
        <v>0.10000000000000009</v>
      </c>
      <c r="R113" s="1750">
        <f t="shared" si="294"/>
        <v>0.14999999999999991</v>
      </c>
      <c r="S113" s="1751">
        <f t="shared" si="294"/>
        <v>-6.6666666666666652E-2</v>
      </c>
      <c r="T113" s="1748">
        <f t="shared" si="294"/>
        <v>0.24</v>
      </c>
      <c r="U113" s="1749">
        <f t="shared" si="294"/>
        <v>0.27272727272727271</v>
      </c>
      <c r="V113" s="1749">
        <f t="shared" si="294"/>
        <v>9.0909090909090828E-2</v>
      </c>
      <c r="W113" s="1750">
        <f t="shared" si="294"/>
        <v>8.6956521739130377E-2</v>
      </c>
      <c r="X113" s="1751">
        <f t="shared" si="294"/>
        <v>0.17142857142857149</v>
      </c>
      <c r="Y113" s="1748">
        <f t="shared" si="294"/>
        <v>0.25806451612903225</v>
      </c>
      <c r="Z113" s="1749">
        <f t="shared" si="294"/>
        <v>7.1428571428571397E-2</v>
      </c>
      <c r="AA113" s="1749">
        <f t="shared" si="294"/>
        <v>-8.333333333333337E-2</v>
      </c>
      <c r="AB113" s="1750">
        <f t="shared" ref="AB113" si="295">+AB112/W112-1</f>
        <v>0</v>
      </c>
      <c r="AC113" s="1751">
        <f t="shared" ref="AC113" si="296">+AC112/X112-1</f>
        <v>9.7560975609756184E-2</v>
      </c>
      <c r="AD113" s="1748">
        <f t="shared" ref="AD113" si="297">+AD112/Y112-1</f>
        <v>0</v>
      </c>
      <c r="AE113" s="1749">
        <f t="shared" ref="AE113" si="298">+AE112/Z112-1</f>
        <v>-6.6666666666666652E-2</v>
      </c>
      <c r="AF113" s="1749">
        <f>+AF112/AA112-1</f>
        <v>0</v>
      </c>
      <c r="AG113" s="1750">
        <f t="shared" ref="AG113" si="299">+AG112/AB112-1</f>
        <v>-0.12</v>
      </c>
      <c r="AH113" s="1751">
        <f t="shared" ref="AH113:AJ113" si="300">+AH112/AC112-1</f>
        <v>-4.4444444444444398E-2</v>
      </c>
      <c r="AI113" s="1748">
        <f t="shared" si="300"/>
        <v>0.5641025641025641</v>
      </c>
      <c r="AJ113" s="1749">
        <f t="shared" si="300"/>
        <v>1</v>
      </c>
      <c r="AK113" s="1749">
        <f>+AK112/AF112-1</f>
        <v>0.72727272727272729</v>
      </c>
      <c r="AL113" s="1750">
        <f t="shared" ref="AL113" si="301">+AL112/AG112-1</f>
        <v>1.1363636363636362</v>
      </c>
      <c r="AM113" s="1751">
        <f t="shared" ref="AM113:AO113" si="302">+AM112/AH112-1</f>
        <v>0.80232558139534893</v>
      </c>
      <c r="AN113" s="1748">
        <f t="shared" si="302"/>
        <v>0.11475409836065564</v>
      </c>
      <c r="AO113" s="1749">
        <f t="shared" si="302"/>
        <v>-0.1428571428571429</v>
      </c>
      <c r="AP113" s="1749">
        <f t="shared" ref="AP113" si="303">+AP112/AK112-1</f>
        <v>5.2631578947368363E-2</v>
      </c>
      <c r="AQ113" s="1750">
        <f t="shared" ref="AQ113" ca="1" si="304">+AQ112/AL112-1</f>
        <v>7.5762769969146326E-2</v>
      </c>
      <c r="AR113" s="1751">
        <f t="shared" ref="AR113" ca="1" si="305">+AR112/AM112-1</f>
        <v>4.8779678635805679E-2</v>
      </c>
      <c r="AS113" s="1748">
        <f t="shared" si="294"/>
        <v>0</v>
      </c>
      <c r="AT113" s="1749">
        <f t="shared" si="294"/>
        <v>0</v>
      </c>
      <c r="AU113" s="1749">
        <f t="shared" si="294"/>
        <v>3.4375000000000044E-2</v>
      </c>
      <c r="AV113" s="1750">
        <f t="shared" ca="1" si="294"/>
        <v>1.3597477048669093E-2</v>
      </c>
      <c r="AW113" s="1751">
        <f t="shared" ca="1" si="294"/>
        <v>8.4583711170627129E-3</v>
      </c>
      <c r="AX113" s="1748">
        <f t="shared" ref="AX113" si="306">+AX112/AS112-1</f>
        <v>1.0110294117646967E-2</v>
      </c>
      <c r="AY113" s="1749">
        <f t="shared" ref="AY113" si="307">+AY112/AT112-1</f>
        <v>2.8645833333333259E-2</v>
      </c>
      <c r="AZ113" s="1749">
        <f t="shared" ref="AZ113" si="308">+AZ112/AU112-1</f>
        <v>0</v>
      </c>
      <c r="BA113" s="1750">
        <f t="shared" ref="BA113" ca="1" si="309">+BA112/AV112-1</f>
        <v>0</v>
      </c>
      <c r="BB113" s="1751">
        <f t="shared" ref="BB113" ca="1" si="310">+BB112/AW112-1</f>
        <v>8.3874271455484095E-3</v>
      </c>
      <c r="BC113" s="1748">
        <f t="shared" ref="BC113" si="311">+BC112/AX112-1</f>
        <v>0</v>
      </c>
      <c r="BD113" s="1749">
        <f t="shared" ref="BD113" si="312">+BD112/AY112-1</f>
        <v>0</v>
      </c>
      <c r="BE113" s="1749">
        <f t="shared" ref="BE113" si="313">+BE112/AZ112-1</f>
        <v>0</v>
      </c>
      <c r="BF113" s="1750">
        <f t="shared" ref="BF113" ca="1" si="314">+BF112/BA112-1</f>
        <v>0</v>
      </c>
      <c r="BG113" s="1751">
        <f t="shared" ref="BG113" ca="1" si="315">+BG112/BB112-1</f>
        <v>0</v>
      </c>
      <c r="BH113" s="1748">
        <f t="shared" ref="BH113" si="316">+BH112/BC112-1</f>
        <v>0</v>
      </c>
      <c r="BI113" s="1749">
        <f t="shared" ref="BI113" si="317">+BI112/BD112-1</f>
        <v>0</v>
      </c>
      <c r="BJ113" s="1749">
        <f t="shared" ref="BJ113" si="318">+BJ112/BE112-1</f>
        <v>0</v>
      </c>
      <c r="BK113" s="1750">
        <f t="shared" ref="BK113" ca="1" si="319">+BK112/BF112-1</f>
        <v>0</v>
      </c>
      <c r="BL113" s="1751">
        <f t="shared" ref="BL113" ca="1" si="320">+BL112/BG112-1</f>
        <v>0</v>
      </c>
      <c r="BM113" s="1699"/>
      <c r="BN113" s="1699"/>
      <c r="BO113" s="1699"/>
      <c r="BP113" s="1699"/>
      <c r="BQ113" s="1699"/>
      <c r="BR113" s="1699"/>
      <c r="BS113" s="1699"/>
      <c r="BT113" s="1699"/>
      <c r="BU113" s="1699"/>
      <c r="BV113" s="1699"/>
      <c r="BW113" s="1699"/>
      <c r="BX113" s="1699"/>
      <c r="BY113" s="1699"/>
      <c r="BZ113" s="1699"/>
      <c r="CA113" s="1699"/>
      <c r="CB113" s="1699"/>
      <c r="CC113" s="1699"/>
      <c r="CD113" s="1699"/>
      <c r="CE113" s="1699"/>
      <c r="CF113" s="1699"/>
      <c r="CG113" s="1699"/>
      <c r="CH113" s="1699"/>
      <c r="CI113" s="1699"/>
      <c r="CJ113" s="1699"/>
      <c r="CK113" s="1699"/>
      <c r="CL113" s="1699"/>
      <c r="CM113" s="1699"/>
      <c r="CN113" s="1699"/>
      <c r="CO113" s="1699"/>
      <c r="CP113" s="1699"/>
    </row>
    <row r="114" spans="1:94">
      <c r="A114" s="890"/>
      <c r="B114" s="890"/>
      <c r="C114" s="909"/>
      <c r="D114" s="890"/>
      <c r="E114" s="891"/>
      <c r="F114" s="892"/>
      <c r="G114" s="892"/>
      <c r="H114" s="893"/>
      <c r="I114" s="894"/>
      <c r="J114" s="891"/>
      <c r="K114" s="892"/>
      <c r="L114" s="892"/>
      <c r="M114" s="893"/>
      <c r="N114" s="894"/>
      <c r="O114" s="891"/>
      <c r="P114" s="892"/>
      <c r="Q114" s="892"/>
      <c r="R114" s="893"/>
      <c r="S114" s="894"/>
      <c r="T114" s="891"/>
      <c r="U114" s="892"/>
      <c r="V114" s="892"/>
      <c r="W114" s="893"/>
      <c r="X114" s="894"/>
      <c r="Y114" s="891"/>
      <c r="Z114" s="892"/>
      <c r="AA114" s="892"/>
      <c r="AB114" s="893"/>
      <c r="AC114" s="894"/>
      <c r="AD114" s="891"/>
      <c r="AE114" s="892"/>
      <c r="AF114" s="892"/>
      <c r="AG114" s="893"/>
      <c r="AH114" s="894"/>
      <c r="AI114" s="891"/>
      <c r="AJ114" s="892"/>
      <c r="AK114" s="892"/>
      <c r="AL114" s="893"/>
      <c r="AM114" s="894"/>
      <c r="AN114" s="891"/>
      <c r="AO114" s="892"/>
      <c r="AP114" s="892"/>
      <c r="AQ114" s="893"/>
      <c r="AR114" s="894"/>
      <c r="AS114" s="891"/>
      <c r="AT114" s="892"/>
      <c r="AU114" s="892"/>
      <c r="AV114" s="893"/>
      <c r="AW114" s="894"/>
      <c r="AX114" s="891"/>
      <c r="AY114" s="892"/>
      <c r="AZ114" s="892"/>
      <c r="BA114" s="893"/>
      <c r="BB114" s="894"/>
      <c r="BC114" s="891"/>
      <c r="BD114" s="892"/>
      <c r="BE114" s="892"/>
      <c r="BF114" s="893"/>
      <c r="BG114" s="894"/>
      <c r="BH114" s="891"/>
      <c r="BI114" s="892"/>
      <c r="BJ114" s="892"/>
      <c r="BK114" s="893"/>
      <c r="BL114" s="894"/>
      <c r="BM114" s="890"/>
      <c r="BN114" s="890"/>
      <c r="BO114" s="890"/>
      <c r="BP114" s="890"/>
      <c r="BQ114" s="890"/>
      <c r="BR114" s="890"/>
      <c r="BS114" s="890"/>
      <c r="BT114" s="890"/>
      <c r="BU114" s="890"/>
      <c r="BV114" s="890"/>
      <c r="BW114" s="890"/>
      <c r="BX114" s="890"/>
      <c r="BY114" s="890"/>
      <c r="BZ114" s="890"/>
      <c r="CA114" s="890"/>
      <c r="CB114" s="890"/>
      <c r="CC114" s="890"/>
      <c r="CD114" s="890"/>
      <c r="CE114" s="890"/>
      <c r="CF114" s="890"/>
      <c r="CG114" s="890"/>
      <c r="CH114" s="890"/>
      <c r="CI114" s="890"/>
      <c r="CJ114" s="890"/>
      <c r="CK114" s="890"/>
      <c r="CL114" s="890"/>
      <c r="CM114" s="890"/>
      <c r="CN114" s="890"/>
      <c r="CO114" s="890"/>
      <c r="CP114" s="890"/>
    </row>
    <row r="115" spans="1:94">
      <c r="A115" s="890"/>
      <c r="B115" s="890"/>
      <c r="C115" s="909"/>
      <c r="D115" s="890"/>
      <c r="E115" s="891"/>
      <c r="F115" s="892"/>
      <c r="G115" s="892"/>
      <c r="H115" s="893"/>
      <c r="I115" s="894"/>
      <c r="J115" s="891"/>
      <c r="K115" s="892"/>
      <c r="L115" s="892"/>
      <c r="M115" s="893"/>
      <c r="N115" s="894"/>
      <c r="O115" s="891"/>
      <c r="P115" s="1749"/>
      <c r="Q115" s="892"/>
      <c r="R115" s="893"/>
      <c r="S115" s="894"/>
      <c r="T115" s="891"/>
      <c r="U115" s="1749"/>
      <c r="V115" s="892"/>
      <c r="W115" s="893"/>
      <c r="X115" s="894"/>
      <c r="Y115" s="891"/>
      <c r="Z115" s="892"/>
      <c r="AA115" s="892"/>
      <c r="AB115" s="893"/>
      <c r="AC115" s="894"/>
      <c r="AD115" s="891"/>
      <c r="AE115" s="892"/>
      <c r="AF115" s="892"/>
      <c r="AG115" s="893"/>
      <c r="AH115" s="894"/>
      <c r="AI115" s="891"/>
      <c r="AJ115" s="892"/>
      <c r="AK115" s="892"/>
      <c r="AL115" s="893"/>
      <c r="AM115" s="894"/>
      <c r="AN115" s="891"/>
      <c r="AO115" s="892"/>
      <c r="AP115" s="892"/>
      <c r="AQ115" s="893"/>
      <c r="AR115" s="894"/>
      <c r="AS115" s="891"/>
      <c r="AT115" s="892"/>
      <c r="AU115" s="892"/>
      <c r="AV115" s="893"/>
      <c r="AW115" s="894"/>
      <c r="AX115" s="891"/>
      <c r="AY115" s="892"/>
      <c r="AZ115" s="892"/>
      <c r="BA115" s="893"/>
      <c r="BB115" s="894"/>
      <c r="BC115" s="891"/>
      <c r="BD115" s="892"/>
      <c r="BE115" s="892"/>
      <c r="BF115" s="893"/>
      <c r="BG115" s="894"/>
      <c r="BH115" s="891"/>
      <c r="BI115" s="892"/>
      <c r="BJ115" s="892"/>
      <c r="BK115" s="893"/>
      <c r="BL115" s="894"/>
      <c r="BM115" s="890"/>
      <c r="BN115" s="890"/>
      <c r="BO115" s="890"/>
      <c r="BP115" s="890"/>
      <c r="BQ115" s="890"/>
      <c r="BR115" s="890"/>
      <c r="BS115" s="890"/>
      <c r="BT115" s="890"/>
      <c r="BU115" s="890"/>
      <c r="BV115" s="890"/>
      <c r="BW115" s="890"/>
      <c r="BX115" s="890"/>
      <c r="BY115" s="890"/>
      <c r="BZ115" s="890"/>
      <c r="CA115" s="890"/>
      <c r="CB115" s="890"/>
      <c r="CC115" s="890"/>
      <c r="CD115" s="890"/>
      <c r="CE115" s="890"/>
      <c r="CF115" s="890"/>
      <c r="CG115" s="890"/>
      <c r="CH115" s="890"/>
      <c r="CI115" s="890"/>
      <c r="CJ115" s="890"/>
      <c r="CK115" s="890"/>
      <c r="CL115" s="890"/>
      <c r="CM115" s="890"/>
      <c r="CN115" s="890"/>
      <c r="CO115" s="890"/>
      <c r="CP115" s="890"/>
    </row>
    <row r="116" spans="1:94">
      <c r="A116" s="890"/>
      <c r="B116" s="1681" t="s">
        <v>477</v>
      </c>
      <c r="C116" s="1682"/>
      <c r="D116" s="1683"/>
      <c r="E116" s="891"/>
      <c r="F116" s="892"/>
      <c r="G116" s="892"/>
      <c r="H116" s="893"/>
      <c r="I116" s="894"/>
      <c r="J116" s="891"/>
      <c r="K116" s="892"/>
      <c r="L116" s="892"/>
      <c r="M116" s="893"/>
      <c r="N116" s="894"/>
      <c r="O116" s="891"/>
      <c r="P116" s="892"/>
      <c r="Q116" s="892"/>
      <c r="R116" s="893"/>
      <c r="S116" s="894"/>
      <c r="T116" s="891"/>
      <c r="U116" s="892"/>
      <c r="V116" s="892"/>
      <c r="W116" s="893"/>
      <c r="X116" s="894"/>
      <c r="Y116" s="891"/>
      <c r="Z116" s="892"/>
      <c r="AA116" s="892"/>
      <c r="AB116" s="893"/>
      <c r="AC116" s="894"/>
      <c r="AD116" s="891"/>
      <c r="AE116" s="892"/>
      <c r="AF116" s="892"/>
      <c r="AG116" s="893"/>
      <c r="AH116" s="894"/>
      <c r="AI116" s="891"/>
      <c r="AJ116" s="892"/>
      <c r="AK116" s="892"/>
      <c r="AL116" s="893"/>
      <c r="AM116" s="894"/>
      <c r="AN116" s="891"/>
      <c r="AO116" s="892"/>
      <c r="AP116" s="892"/>
      <c r="AQ116" s="893"/>
      <c r="AR116" s="894"/>
      <c r="AS116" s="891"/>
      <c r="AT116" s="892"/>
      <c r="AU116" s="892"/>
      <c r="AV116" s="893"/>
      <c r="AW116" s="894"/>
      <c r="AX116" s="891"/>
      <c r="AY116" s="892"/>
      <c r="AZ116" s="892"/>
      <c r="BA116" s="893"/>
      <c r="BB116" s="894"/>
      <c r="BC116" s="891"/>
      <c r="BD116" s="892"/>
      <c r="BE116" s="892"/>
      <c r="BF116" s="893"/>
      <c r="BG116" s="894"/>
      <c r="BH116" s="891"/>
      <c r="BI116" s="892"/>
      <c r="BJ116" s="892"/>
      <c r="BK116" s="893"/>
      <c r="BL116" s="894"/>
      <c r="BM116" s="890"/>
      <c r="BN116" s="890"/>
      <c r="BO116" s="890"/>
      <c r="BP116" s="890"/>
      <c r="BQ116" s="890"/>
      <c r="BR116" s="890"/>
      <c r="BS116" s="890"/>
      <c r="BT116" s="890"/>
      <c r="BU116" s="890"/>
      <c r="BV116" s="890"/>
      <c r="BW116" s="890"/>
      <c r="BX116" s="890"/>
      <c r="BY116" s="890"/>
      <c r="BZ116" s="890"/>
      <c r="CA116" s="890"/>
      <c r="CB116" s="890"/>
      <c r="CC116" s="890"/>
      <c r="CD116" s="890"/>
      <c r="CE116" s="890"/>
      <c r="CF116" s="890"/>
      <c r="CG116" s="890"/>
      <c r="CH116" s="890"/>
      <c r="CI116" s="890"/>
      <c r="CJ116" s="890"/>
      <c r="CK116" s="890"/>
      <c r="CL116" s="890"/>
      <c r="CM116" s="890"/>
      <c r="CN116" s="890"/>
      <c r="CO116" s="890"/>
      <c r="CP116" s="890"/>
    </row>
    <row r="117" spans="1:94">
      <c r="A117" s="228"/>
      <c r="B117" s="228"/>
      <c r="C117" s="1756" t="s">
        <v>272</v>
      </c>
      <c r="D117" s="228"/>
      <c r="E117" s="292"/>
      <c r="F117" s="261"/>
      <c r="G117" s="261"/>
      <c r="H117" s="293"/>
      <c r="I117" s="228">
        <f t="shared" ref="I117:Z117" si="321">+I18</f>
        <v>255</v>
      </c>
      <c r="J117" s="292">
        <f t="shared" si="321"/>
        <v>65</v>
      </c>
      <c r="K117" s="261">
        <f t="shared" si="321"/>
        <v>47</v>
      </c>
      <c r="L117" s="261">
        <f t="shared" si="321"/>
        <v>69</v>
      </c>
      <c r="M117" s="293">
        <f t="shared" si="321"/>
        <v>58</v>
      </c>
      <c r="N117" s="228">
        <f t="shared" si="321"/>
        <v>239</v>
      </c>
      <c r="O117" s="292">
        <f t="shared" si="321"/>
        <v>65</v>
      </c>
      <c r="P117" s="261">
        <f t="shared" si="321"/>
        <v>62</v>
      </c>
      <c r="Q117" s="261">
        <f t="shared" si="321"/>
        <v>65</v>
      </c>
      <c r="R117" s="293">
        <f t="shared" si="321"/>
        <v>68</v>
      </c>
      <c r="S117" s="228">
        <f t="shared" si="321"/>
        <v>260</v>
      </c>
      <c r="T117" s="292">
        <f t="shared" si="321"/>
        <v>69</v>
      </c>
      <c r="U117" s="261">
        <f t="shared" si="321"/>
        <v>63</v>
      </c>
      <c r="V117" s="261">
        <f t="shared" si="321"/>
        <v>59</v>
      </c>
      <c r="W117" s="293">
        <f t="shared" si="321"/>
        <v>60</v>
      </c>
      <c r="X117" s="228">
        <f t="shared" si="321"/>
        <v>251</v>
      </c>
      <c r="Y117" s="292">
        <f t="shared" si="321"/>
        <v>66</v>
      </c>
      <c r="Z117" s="261">
        <f t="shared" si="321"/>
        <v>65</v>
      </c>
      <c r="AA117" s="261">
        <f t="shared" ref="AA117:AE117" si="322">+AA18</f>
        <v>71</v>
      </c>
      <c r="AB117" s="293">
        <f t="shared" si="322"/>
        <v>67</v>
      </c>
      <c r="AC117" s="228">
        <f t="shared" si="322"/>
        <v>269</v>
      </c>
      <c r="AD117" s="292">
        <f t="shared" si="322"/>
        <v>82</v>
      </c>
      <c r="AE117" s="261">
        <f t="shared" si="322"/>
        <v>76</v>
      </c>
      <c r="AF117" s="261">
        <f t="shared" ref="AF117:AJ117" si="323">+AF18</f>
        <v>77</v>
      </c>
      <c r="AG117" s="293">
        <f t="shared" si="323"/>
        <v>71</v>
      </c>
      <c r="AH117" s="228">
        <f t="shared" si="323"/>
        <v>306</v>
      </c>
      <c r="AI117" s="292">
        <f t="shared" si="323"/>
        <v>204</v>
      </c>
      <c r="AJ117" s="261">
        <f t="shared" si="323"/>
        <v>78</v>
      </c>
      <c r="AK117" s="261">
        <f t="shared" ref="AK117:AO117" si="324">+AK18</f>
        <v>55</v>
      </c>
      <c r="AL117" s="293">
        <f t="shared" si="324"/>
        <v>104</v>
      </c>
      <c r="AM117" s="228">
        <f t="shared" si="324"/>
        <v>441</v>
      </c>
      <c r="AN117" s="292">
        <f t="shared" si="324"/>
        <v>73</v>
      </c>
      <c r="AO117" s="261">
        <f t="shared" si="324"/>
        <v>74</v>
      </c>
      <c r="AP117" s="261">
        <f t="shared" ref="AP117:AR117" si="325">+AP18</f>
        <v>79</v>
      </c>
      <c r="AQ117" s="293">
        <f t="shared" si="325"/>
        <v>89</v>
      </c>
      <c r="AR117" s="228">
        <f t="shared" si="325"/>
        <v>315</v>
      </c>
      <c r="AS117" s="292">
        <f>AS119+AS118</f>
        <v>71.905000000000001</v>
      </c>
      <c r="AT117" s="261">
        <f>AT119+AT118</f>
        <v>72.89</v>
      </c>
      <c r="AU117" s="261">
        <f>AU119+AU118</f>
        <v>77.814999999999998</v>
      </c>
      <c r="AV117" s="293">
        <f>AV119+AV118</f>
        <v>87.664999999999992</v>
      </c>
      <c r="AW117" s="228">
        <f>+SUM(AS117:AV117)</f>
        <v>310.27499999999998</v>
      </c>
      <c r="AX117" s="292">
        <f>AX119+AX118</f>
        <v>70.466899999999995</v>
      </c>
      <c r="AY117" s="261">
        <f>AY119+AY118</f>
        <v>71.432199999999995</v>
      </c>
      <c r="AZ117" s="261">
        <f>AZ119+AZ118</f>
        <v>76.25869999999999</v>
      </c>
      <c r="BA117" s="293">
        <f>BA119+BA118</f>
        <v>85.911699999999996</v>
      </c>
      <c r="BB117" s="228">
        <f>+SUM(AX117:BA117)</f>
        <v>304.06949999999995</v>
      </c>
      <c r="BC117" s="292">
        <f>BC119+BC118</f>
        <v>68.352892999999995</v>
      </c>
      <c r="BD117" s="261">
        <f>BD119+BD118</f>
        <v>69.289233999999993</v>
      </c>
      <c r="BE117" s="261">
        <f>BE119+BE118</f>
        <v>73.970938999999987</v>
      </c>
      <c r="BF117" s="293">
        <f>BF119+BF118</f>
        <v>83.334348999999989</v>
      </c>
      <c r="BG117" s="228">
        <f>+SUM(BC117:BF117)</f>
        <v>294.94741499999998</v>
      </c>
      <c r="BH117" s="292">
        <f>BH119+BH118</f>
        <v>66.644070674999995</v>
      </c>
      <c r="BI117" s="261">
        <f>BI119+BI118</f>
        <v>67.557003149999986</v>
      </c>
      <c r="BJ117" s="261">
        <f>BJ119+BJ118</f>
        <v>72.121665524999983</v>
      </c>
      <c r="BK117" s="293">
        <f>BK119+BK118</f>
        <v>81.250990274999992</v>
      </c>
      <c r="BL117" s="228">
        <f>+SUM(BH117:BK117)</f>
        <v>287.57372962499994</v>
      </c>
      <c r="BM117" s="228"/>
      <c r="BN117" s="228"/>
      <c r="BO117" s="228"/>
      <c r="BP117" s="228"/>
      <c r="BQ117" s="228"/>
      <c r="BR117" s="228"/>
      <c r="BS117" s="228"/>
      <c r="BT117" s="228"/>
      <c r="BU117" s="228"/>
      <c r="BV117" s="228"/>
      <c r="BW117" s="228"/>
      <c r="BX117" s="228"/>
      <c r="BY117" s="228"/>
      <c r="BZ117" s="228"/>
      <c r="CA117" s="228"/>
      <c r="CB117" s="228"/>
      <c r="CC117" s="228"/>
      <c r="CD117" s="228"/>
      <c r="CE117" s="228"/>
      <c r="CF117" s="228"/>
      <c r="CG117" s="228"/>
      <c r="CH117" s="228"/>
      <c r="CI117" s="228"/>
      <c r="CJ117" s="228"/>
      <c r="CK117" s="228"/>
      <c r="CL117" s="228"/>
      <c r="CM117" s="228"/>
      <c r="CN117" s="228"/>
      <c r="CO117" s="228"/>
      <c r="CP117" s="228"/>
    </row>
    <row r="118" spans="1:94">
      <c r="A118" s="45"/>
      <c r="B118" s="45"/>
      <c r="C118" s="1716" t="s">
        <v>608</v>
      </c>
      <c r="D118" s="45"/>
      <c r="E118" s="814"/>
      <c r="F118" s="262"/>
      <c r="G118" s="663"/>
      <c r="H118" s="294"/>
      <c r="I118" s="45">
        <f>SUM(E118:H118)</f>
        <v>0</v>
      </c>
      <c r="J118" s="814">
        <v>0</v>
      </c>
      <c r="K118" s="262">
        <v>0</v>
      </c>
      <c r="L118" s="663">
        <v>0</v>
      </c>
      <c r="M118" s="294">
        <v>0</v>
      </c>
      <c r="N118" s="45">
        <f>SUM(J118:M118)</f>
        <v>0</v>
      </c>
      <c r="O118" s="814">
        <v>0</v>
      </c>
      <c r="P118" s="262">
        <v>0</v>
      </c>
      <c r="Q118" s="262">
        <v>0</v>
      </c>
      <c r="R118" s="294">
        <v>0</v>
      </c>
      <c r="S118" s="45">
        <f>SUM(O118:R118)</f>
        <v>0</v>
      </c>
      <c r="T118" s="814">
        <v>0</v>
      </c>
      <c r="U118" s="262">
        <v>0</v>
      </c>
      <c r="V118" s="262">
        <v>0</v>
      </c>
      <c r="W118" s="294">
        <v>0</v>
      </c>
      <c r="X118" s="45">
        <f>SUM(T118:W118)</f>
        <v>0</v>
      </c>
      <c r="Y118" s="814">
        <v>0</v>
      </c>
      <c r="Z118" s="262">
        <v>0</v>
      </c>
      <c r="AA118" s="262">
        <v>0</v>
      </c>
      <c r="AB118" s="294">
        <v>0</v>
      </c>
      <c r="AC118" s="45">
        <f>SUM(Y118:AB118)</f>
        <v>0</v>
      </c>
      <c r="AD118" s="814">
        <v>0</v>
      </c>
      <c r="AE118" s="262">
        <v>0</v>
      </c>
      <c r="AF118" s="262">
        <v>0</v>
      </c>
      <c r="AG118" s="294">
        <v>0</v>
      </c>
      <c r="AH118" s="45">
        <f>SUM(AD118:AG118)</f>
        <v>0</v>
      </c>
      <c r="AI118" s="814">
        <v>0</v>
      </c>
      <c r="AJ118" s="262">
        <v>0</v>
      </c>
      <c r="AK118" s="262">
        <v>0</v>
      </c>
      <c r="AL118" s="294">
        <v>0</v>
      </c>
      <c r="AM118" s="45">
        <f>SUM(AI118:AL118)</f>
        <v>0</v>
      </c>
      <c r="AN118" s="814">
        <v>0</v>
      </c>
      <c r="AO118" s="262">
        <v>0</v>
      </c>
      <c r="AP118" s="262">
        <v>0</v>
      </c>
      <c r="AQ118" s="294">
        <v>0</v>
      </c>
      <c r="AR118" s="45">
        <f>SUM(AN118:AQ118)</f>
        <v>0</v>
      </c>
      <c r="AS118" s="814">
        <v>0</v>
      </c>
      <c r="AT118" s="262">
        <v>0</v>
      </c>
      <c r="AU118" s="262">
        <v>0</v>
      </c>
      <c r="AV118" s="294">
        <v>0</v>
      </c>
      <c r="AW118" s="45">
        <f>SUM(AS118:AV118)</f>
        <v>0</v>
      </c>
      <c r="AX118" s="814">
        <v>0</v>
      </c>
      <c r="AY118" s="262">
        <v>0</v>
      </c>
      <c r="AZ118" s="262">
        <v>0</v>
      </c>
      <c r="BA118" s="294">
        <v>0</v>
      </c>
      <c r="BB118" s="45">
        <f>SUM(AX118:BA118)</f>
        <v>0</v>
      </c>
      <c r="BC118" s="814">
        <v>0</v>
      </c>
      <c r="BD118" s="262">
        <v>0</v>
      </c>
      <c r="BE118" s="262">
        <v>0</v>
      </c>
      <c r="BF118" s="294">
        <v>0</v>
      </c>
      <c r="BG118" s="45">
        <f>SUM(BC118:BF118)</f>
        <v>0</v>
      </c>
      <c r="BH118" s="814">
        <v>0</v>
      </c>
      <c r="BI118" s="262">
        <v>0</v>
      </c>
      <c r="BJ118" s="262">
        <v>0</v>
      </c>
      <c r="BK118" s="294">
        <v>0</v>
      </c>
      <c r="BL118" s="45">
        <f>SUM(BH118:BK118)</f>
        <v>0</v>
      </c>
      <c r="BM118" s="45"/>
      <c r="BN118" s="45"/>
      <c r="BO118" s="45"/>
      <c r="BP118" s="45"/>
      <c r="BQ118" s="45"/>
      <c r="BR118" s="45"/>
      <c r="BS118" s="45"/>
      <c r="BT118" s="45"/>
      <c r="BU118" s="45"/>
      <c r="BV118" s="45"/>
      <c r="BW118" s="45"/>
      <c r="BX118" s="45"/>
      <c r="BY118" s="45"/>
      <c r="BZ118" s="45"/>
      <c r="CA118" s="45"/>
      <c r="CB118" s="45"/>
      <c r="CC118" s="45"/>
      <c r="CD118" s="45"/>
      <c r="CE118" s="45"/>
      <c r="CF118" s="45"/>
      <c r="CG118" s="45"/>
      <c r="CH118" s="45"/>
      <c r="CI118" s="45"/>
      <c r="CJ118" s="45"/>
      <c r="CK118" s="45"/>
      <c r="CL118" s="45"/>
      <c r="CM118" s="45"/>
      <c r="CN118" s="45"/>
      <c r="CO118" s="45"/>
      <c r="CP118" s="45"/>
    </row>
    <row r="119" spans="1:94">
      <c r="A119" s="45"/>
      <c r="B119" s="45"/>
      <c r="C119" s="1716" t="s">
        <v>609</v>
      </c>
      <c r="D119" s="45"/>
      <c r="E119" s="290"/>
      <c r="F119" s="260"/>
      <c r="G119" s="260"/>
      <c r="H119" s="291"/>
      <c r="I119" s="45">
        <f>I117</f>
        <v>255</v>
      </c>
      <c r="J119" s="290">
        <f>+J117-J118</f>
        <v>65</v>
      </c>
      <c r="K119" s="260">
        <f>+K117-K118</f>
        <v>47</v>
      </c>
      <c r="L119" s="260">
        <f>+L117-L118</f>
        <v>69</v>
      </c>
      <c r="M119" s="291">
        <f>+M117-M118</f>
        <v>58</v>
      </c>
      <c r="N119" s="45">
        <f>+SUM(J119:M119)</f>
        <v>239</v>
      </c>
      <c r="O119" s="290">
        <f>+O117-O118</f>
        <v>65</v>
      </c>
      <c r="P119" s="260">
        <f>+P117-P118</f>
        <v>62</v>
      </c>
      <c r="Q119" s="260">
        <f>+Q117-Q118</f>
        <v>65</v>
      </c>
      <c r="R119" s="291">
        <f>+R117-R118</f>
        <v>68</v>
      </c>
      <c r="S119" s="45">
        <f>+SUM(O119:R119)</f>
        <v>260</v>
      </c>
      <c r="T119" s="290">
        <f>+T117-T118</f>
        <v>69</v>
      </c>
      <c r="U119" s="260">
        <f>+U117-U118</f>
        <v>63</v>
      </c>
      <c r="V119" s="260">
        <f>+V117-V118</f>
        <v>59</v>
      </c>
      <c r="W119" s="291">
        <f>+W117-W118</f>
        <v>60</v>
      </c>
      <c r="X119" s="45">
        <f>+SUM(T119:W119)</f>
        <v>251</v>
      </c>
      <c r="Y119" s="290">
        <f>+Y117-Y118</f>
        <v>66</v>
      </c>
      <c r="Z119" s="260">
        <f>+Z117-Z118</f>
        <v>65</v>
      </c>
      <c r="AA119" s="260">
        <f>+AA117-AA118</f>
        <v>71</v>
      </c>
      <c r="AB119" s="291">
        <f>+AB117-AB118</f>
        <v>67</v>
      </c>
      <c r="AC119" s="45">
        <f>+SUM(Y119:AB119)</f>
        <v>269</v>
      </c>
      <c r="AD119" s="290">
        <f>+AD117-AD118</f>
        <v>82</v>
      </c>
      <c r="AE119" s="260">
        <f>+AE117-AE118</f>
        <v>76</v>
      </c>
      <c r="AF119" s="260">
        <f>+AF117-AF118</f>
        <v>77</v>
      </c>
      <c r="AG119" s="291">
        <f>+AG117-AG118</f>
        <v>71</v>
      </c>
      <c r="AH119" s="45">
        <f>+SUM(AD119:AG119)</f>
        <v>306</v>
      </c>
      <c r="AI119" s="290">
        <f>+AI117-AI118</f>
        <v>204</v>
      </c>
      <c r="AJ119" s="260">
        <f>+AJ117-AJ118</f>
        <v>78</v>
      </c>
      <c r="AK119" s="260">
        <f>+AK117-AK118</f>
        <v>55</v>
      </c>
      <c r="AL119" s="291">
        <f>+AL117-AL118</f>
        <v>104</v>
      </c>
      <c r="AM119" s="45">
        <f>+SUM(AI119:AL119)</f>
        <v>441</v>
      </c>
      <c r="AN119" s="290">
        <f>+AN117-AN118</f>
        <v>73</v>
      </c>
      <c r="AO119" s="260">
        <f>+AO117-AO118</f>
        <v>74</v>
      </c>
      <c r="AP119" s="260">
        <f t="shared" ref="AP119" si="326">+AP117-AP118</f>
        <v>79</v>
      </c>
      <c r="AQ119" s="291">
        <f>+AQ117-AQ118</f>
        <v>89</v>
      </c>
      <c r="AR119" s="45">
        <f>+SUM(AN119:AQ119)</f>
        <v>315</v>
      </c>
      <c r="AS119" s="290">
        <f>AN119*(1+AS120)</f>
        <v>71.905000000000001</v>
      </c>
      <c r="AT119" s="260">
        <f>AO119*(1+AT120)</f>
        <v>72.89</v>
      </c>
      <c r="AU119" s="260">
        <f>AP119*(1+AU120)</f>
        <v>77.814999999999998</v>
      </c>
      <c r="AV119" s="291">
        <f>AQ119*(1+AV120)</f>
        <v>87.664999999999992</v>
      </c>
      <c r="AW119" s="45">
        <f>+SUM(AS119:AV119)</f>
        <v>310.27499999999998</v>
      </c>
      <c r="AX119" s="290">
        <f>AS119*(1+AX120)</f>
        <v>70.466899999999995</v>
      </c>
      <c r="AY119" s="260">
        <f>AT119*(1+AY120)</f>
        <v>71.432199999999995</v>
      </c>
      <c r="AZ119" s="260">
        <f>AU119*(1+AZ120)</f>
        <v>76.25869999999999</v>
      </c>
      <c r="BA119" s="291">
        <f>AV119*(1+BA120)</f>
        <v>85.911699999999996</v>
      </c>
      <c r="BB119" s="45">
        <f>+SUM(AX119:BA119)</f>
        <v>304.06949999999995</v>
      </c>
      <c r="BC119" s="290">
        <f>AX119*(1+BC120)</f>
        <v>68.352892999999995</v>
      </c>
      <c r="BD119" s="260">
        <f>AY119*(1+BD120)</f>
        <v>69.289233999999993</v>
      </c>
      <c r="BE119" s="260">
        <f>AZ119*(1+BE120)</f>
        <v>73.970938999999987</v>
      </c>
      <c r="BF119" s="291">
        <f>BA119*(1+BF120)</f>
        <v>83.334348999999989</v>
      </c>
      <c r="BG119" s="45">
        <f>+SUM(BC119:BF119)</f>
        <v>294.94741499999998</v>
      </c>
      <c r="BH119" s="290">
        <f>BC119*(1+BH120)</f>
        <v>66.644070674999995</v>
      </c>
      <c r="BI119" s="260">
        <f>BD119*(1+BI120)</f>
        <v>67.557003149999986</v>
      </c>
      <c r="BJ119" s="260">
        <f>BE119*(1+BJ120)</f>
        <v>72.121665524999983</v>
      </c>
      <c r="BK119" s="291">
        <f>BF119*(1+BK120)</f>
        <v>81.250990274999992</v>
      </c>
      <c r="BL119" s="45">
        <f>+SUM(BH119:BK119)</f>
        <v>287.57372962499994</v>
      </c>
      <c r="BM119" s="45"/>
      <c r="BN119" s="45"/>
      <c r="BO119" s="45"/>
      <c r="BP119" s="45"/>
      <c r="BQ119" s="45"/>
      <c r="BR119" s="45"/>
      <c r="BS119" s="45"/>
      <c r="BT119" s="45"/>
      <c r="BU119" s="45"/>
      <c r="BV119" s="45"/>
      <c r="BW119" s="45"/>
      <c r="BX119" s="45"/>
      <c r="BY119" s="45"/>
      <c r="BZ119" s="45"/>
      <c r="CA119" s="45"/>
      <c r="CB119" s="45"/>
      <c r="CC119" s="45"/>
      <c r="CD119" s="45"/>
      <c r="CE119" s="45"/>
      <c r="CF119" s="45"/>
      <c r="CG119" s="45"/>
      <c r="CH119" s="45"/>
      <c r="CI119" s="45"/>
      <c r="CJ119" s="45"/>
      <c r="CK119" s="45"/>
      <c r="CL119" s="45"/>
      <c r="CM119" s="45"/>
      <c r="CN119" s="45"/>
      <c r="CO119" s="45"/>
      <c r="CP119" s="45"/>
    </row>
    <row r="120" spans="1:94">
      <c r="A120" s="1699"/>
      <c r="B120" s="1699"/>
      <c r="C120" s="1757" t="s">
        <v>610</v>
      </c>
      <c r="D120" s="1699"/>
      <c r="E120" s="1758"/>
      <c r="F120" s="1759"/>
      <c r="G120" s="1759"/>
      <c r="H120" s="1760"/>
      <c r="I120" s="1761"/>
      <c r="J120" s="1758"/>
      <c r="K120" s="1759"/>
      <c r="L120" s="1759"/>
      <c r="M120" s="1760"/>
      <c r="N120" s="1761">
        <f t="shared" ref="N120:AA120" si="327">+N119/I119-1</f>
        <v>-6.2745098039215685E-2</v>
      </c>
      <c r="O120" s="1758">
        <f t="shared" si="327"/>
        <v>0</v>
      </c>
      <c r="P120" s="1759">
        <f t="shared" si="327"/>
        <v>0.31914893617021267</v>
      </c>
      <c r="Q120" s="1759">
        <f t="shared" si="327"/>
        <v>-5.7971014492753659E-2</v>
      </c>
      <c r="R120" s="1760">
        <f t="shared" si="327"/>
        <v>0.17241379310344818</v>
      </c>
      <c r="S120" s="1761">
        <f t="shared" si="327"/>
        <v>8.786610878661083E-2</v>
      </c>
      <c r="T120" s="1758">
        <f t="shared" si="327"/>
        <v>6.1538461538461542E-2</v>
      </c>
      <c r="U120" s="1759">
        <f t="shared" si="327"/>
        <v>1.6129032258064502E-2</v>
      </c>
      <c r="V120" s="1759">
        <f t="shared" si="327"/>
        <v>-9.2307692307692313E-2</v>
      </c>
      <c r="W120" s="1760">
        <f t="shared" si="327"/>
        <v>-0.11764705882352944</v>
      </c>
      <c r="X120" s="1761">
        <f t="shared" si="327"/>
        <v>-3.4615384615384603E-2</v>
      </c>
      <c r="Y120" s="1758">
        <f t="shared" si="327"/>
        <v>-4.3478260869565188E-2</v>
      </c>
      <c r="Z120" s="1759">
        <f t="shared" si="327"/>
        <v>3.1746031746031855E-2</v>
      </c>
      <c r="AA120" s="1759">
        <f t="shared" si="327"/>
        <v>0.20338983050847448</v>
      </c>
      <c r="AB120" s="1760">
        <f t="shared" ref="AB120" si="328">+AB119/W119-1</f>
        <v>0.1166666666666667</v>
      </c>
      <c r="AC120" s="1761">
        <f t="shared" ref="AC120" si="329">+AC119/X119-1</f>
        <v>7.1713147410358502E-2</v>
      </c>
      <c r="AD120" s="1758">
        <f t="shared" ref="AD120" si="330">+AD119/Y119-1</f>
        <v>0.24242424242424243</v>
      </c>
      <c r="AE120" s="1759">
        <f t="shared" ref="AE120" si="331">+AE119/Z119-1</f>
        <v>0.1692307692307693</v>
      </c>
      <c r="AF120" s="1759">
        <f t="shared" ref="AF120" si="332">+AF119/AA119-1</f>
        <v>8.4507042253521236E-2</v>
      </c>
      <c r="AG120" s="1760">
        <f t="shared" ref="AG120" si="333">+AG119/AB119-1</f>
        <v>5.9701492537313383E-2</v>
      </c>
      <c r="AH120" s="1761">
        <f t="shared" ref="AH120:AK120" si="334">+AH119/AC119-1</f>
        <v>0.1375464684014871</v>
      </c>
      <c r="AI120" s="1758">
        <f t="shared" si="334"/>
        <v>1.4878048780487805</v>
      </c>
      <c r="AJ120" s="1759">
        <f t="shared" si="334"/>
        <v>2.6315789473684292E-2</v>
      </c>
      <c r="AK120" s="1759">
        <f t="shared" si="334"/>
        <v>-0.2857142857142857</v>
      </c>
      <c r="AL120" s="1760">
        <f t="shared" ref="AL120" si="335">+AL119/AG119-1</f>
        <v>0.46478873239436624</v>
      </c>
      <c r="AM120" s="1761">
        <f t="shared" ref="AM120:AO120" si="336">+AM119/AH119-1</f>
        <v>0.44117647058823528</v>
      </c>
      <c r="AN120" s="1758">
        <f t="shared" si="336"/>
        <v>-0.64215686274509798</v>
      </c>
      <c r="AO120" s="1759">
        <f t="shared" si="336"/>
        <v>-5.1282051282051322E-2</v>
      </c>
      <c r="AP120" s="1759">
        <f t="shared" ref="AP120" si="337">+AP119/AK119-1</f>
        <v>0.43636363636363629</v>
      </c>
      <c r="AQ120" s="1760">
        <f t="shared" ref="AQ120" si="338">+AQ119/AL119-1</f>
        <v>-0.14423076923076927</v>
      </c>
      <c r="AR120" s="1761">
        <f t="shared" ref="AR120" si="339">+AR119/AM119-1</f>
        <v>-0.2857142857142857</v>
      </c>
      <c r="AS120" s="1758">
        <f>+AS58</f>
        <v>-1.4999999999999999E-2</v>
      </c>
      <c r="AT120" s="1759">
        <f>+AT58</f>
        <v>-1.4999999999999999E-2</v>
      </c>
      <c r="AU120" s="1759">
        <f>+AU58</f>
        <v>-1.4999999999999999E-2</v>
      </c>
      <c r="AV120" s="1760">
        <f>+AV58</f>
        <v>-1.4999999999999999E-2</v>
      </c>
      <c r="AW120" s="1761">
        <f>+AW119/AR119-1</f>
        <v>-1.5000000000000124E-2</v>
      </c>
      <c r="AX120" s="1758">
        <f>+AX58</f>
        <v>-0.02</v>
      </c>
      <c r="AY120" s="1759">
        <f>+AY58</f>
        <v>-0.02</v>
      </c>
      <c r="AZ120" s="1759">
        <f>+AZ58</f>
        <v>-0.02</v>
      </c>
      <c r="BA120" s="1760">
        <f>+BA58</f>
        <v>-0.02</v>
      </c>
      <c r="BB120" s="1761">
        <f>+BB119/AW119-1</f>
        <v>-2.0000000000000129E-2</v>
      </c>
      <c r="BC120" s="1758">
        <f>+BC58</f>
        <v>-0.03</v>
      </c>
      <c r="BD120" s="1759">
        <f>+BD58</f>
        <v>-0.03</v>
      </c>
      <c r="BE120" s="1759">
        <f>+BE58</f>
        <v>-0.03</v>
      </c>
      <c r="BF120" s="1760">
        <f>+BF58</f>
        <v>-0.03</v>
      </c>
      <c r="BG120" s="1761">
        <f>+BG119/BB119-1</f>
        <v>-2.9999999999999916E-2</v>
      </c>
      <c r="BH120" s="1758">
        <f>+BH58</f>
        <v>-2.5000000000000001E-2</v>
      </c>
      <c r="BI120" s="1759">
        <f>+BI58</f>
        <v>-2.5000000000000001E-2</v>
      </c>
      <c r="BJ120" s="1759">
        <f>+BJ58</f>
        <v>-2.5000000000000001E-2</v>
      </c>
      <c r="BK120" s="1760">
        <f>+BK58</f>
        <v>-2.5000000000000001E-2</v>
      </c>
      <c r="BL120" s="1761">
        <f>+BL119/BG119-1</f>
        <v>-2.5000000000000133E-2</v>
      </c>
      <c r="BM120" s="1699"/>
      <c r="BN120" s="1699"/>
      <c r="BO120" s="1699"/>
      <c r="BP120" s="1699"/>
      <c r="BQ120" s="1699"/>
      <c r="BR120" s="1699"/>
      <c r="BS120" s="1699"/>
      <c r="BT120" s="1699"/>
      <c r="BU120" s="1699"/>
      <c r="BV120" s="1699"/>
      <c r="BW120" s="1699"/>
      <c r="BX120" s="1699"/>
      <c r="BY120" s="1699"/>
      <c r="BZ120" s="1699"/>
      <c r="CA120" s="1699"/>
      <c r="CB120" s="1699"/>
      <c r="CC120" s="1699"/>
      <c r="CD120" s="1699"/>
      <c r="CE120" s="1699"/>
      <c r="CF120" s="1699"/>
      <c r="CG120" s="1699"/>
      <c r="CH120" s="1699"/>
      <c r="CI120" s="1699"/>
      <c r="CJ120" s="1699"/>
      <c r="CK120" s="1699"/>
      <c r="CL120" s="1699"/>
      <c r="CM120" s="1699"/>
      <c r="CN120" s="1699"/>
      <c r="CO120" s="1699"/>
      <c r="CP120" s="1699"/>
    </row>
    <row r="121" spans="1:94">
      <c r="A121" s="895"/>
      <c r="B121" s="895"/>
      <c r="C121" s="1716"/>
      <c r="D121" s="895"/>
      <c r="E121" s="896"/>
      <c r="F121" s="897"/>
      <c r="G121" s="897"/>
      <c r="H121" s="898"/>
      <c r="I121" s="899"/>
      <c r="J121" s="896"/>
      <c r="K121" s="897"/>
      <c r="L121" s="897"/>
      <c r="M121" s="898"/>
      <c r="N121" s="899"/>
      <c r="O121" s="896"/>
      <c r="P121" s="897"/>
      <c r="Q121" s="897"/>
      <c r="R121" s="898"/>
      <c r="S121" s="899"/>
      <c r="T121" s="896"/>
      <c r="U121" s="897"/>
      <c r="V121" s="897"/>
      <c r="W121" s="898"/>
      <c r="X121" s="899"/>
      <c r="Y121" s="896"/>
      <c r="Z121" s="897"/>
      <c r="AA121" s="897"/>
      <c r="AB121" s="898"/>
      <c r="AC121" s="899"/>
      <c r="AD121" s="896"/>
      <c r="AE121" s="897"/>
      <c r="AF121" s="897"/>
      <c r="AG121" s="898"/>
      <c r="AH121" s="899"/>
      <c r="AI121" s="896"/>
      <c r="AJ121" s="897"/>
      <c r="AK121" s="897"/>
      <c r="AL121" s="898"/>
      <c r="AM121" s="899"/>
      <c r="AN121" s="896"/>
      <c r="AO121" s="897"/>
      <c r="AP121" s="897"/>
      <c r="AQ121" s="898"/>
      <c r="AR121" s="899"/>
      <c r="AS121" s="896"/>
      <c r="AT121" s="897"/>
      <c r="AU121" s="897"/>
      <c r="AV121" s="898"/>
      <c r="AW121" s="899"/>
      <c r="AX121" s="896"/>
      <c r="AY121" s="897"/>
      <c r="AZ121" s="897"/>
      <c r="BA121" s="898"/>
      <c r="BB121" s="899"/>
      <c r="BC121" s="896"/>
      <c r="BD121" s="897"/>
      <c r="BE121" s="897"/>
      <c r="BF121" s="898"/>
      <c r="BG121" s="899"/>
      <c r="BH121" s="896"/>
      <c r="BI121" s="897"/>
      <c r="BJ121" s="897"/>
      <c r="BK121" s="898"/>
      <c r="BL121" s="899"/>
      <c r="BM121" s="895"/>
      <c r="BN121" s="895"/>
      <c r="BO121" s="895"/>
      <c r="BP121" s="895"/>
      <c r="BQ121" s="895"/>
      <c r="BR121" s="895"/>
      <c r="BS121" s="895"/>
      <c r="BT121" s="895"/>
      <c r="BU121" s="895"/>
      <c r="BV121" s="895"/>
      <c r="BW121" s="895"/>
      <c r="BX121" s="895"/>
      <c r="BY121" s="895"/>
      <c r="BZ121" s="895"/>
      <c r="CA121" s="895"/>
      <c r="CB121" s="895"/>
      <c r="CC121" s="895"/>
      <c r="CD121" s="895"/>
      <c r="CE121" s="895"/>
      <c r="CF121" s="895"/>
      <c r="CG121" s="895"/>
      <c r="CH121" s="895"/>
      <c r="CI121" s="895"/>
      <c r="CJ121" s="895"/>
      <c r="CK121" s="895"/>
      <c r="CL121" s="895"/>
      <c r="CM121" s="895"/>
      <c r="CN121" s="895"/>
      <c r="CO121" s="895"/>
      <c r="CP121" s="895"/>
    </row>
    <row r="122" spans="1:94">
      <c r="A122" s="45"/>
      <c r="B122" s="45"/>
      <c r="C122" s="1716" t="s">
        <v>65</v>
      </c>
      <c r="D122" s="45"/>
      <c r="E122" s="290"/>
      <c r="F122" s="260"/>
      <c r="G122" s="260"/>
      <c r="H122" s="291"/>
      <c r="I122" s="45">
        <f t="shared" ref="I122:Z122" si="340">+I20</f>
        <v>37</v>
      </c>
      <c r="J122" s="290">
        <f t="shared" si="340"/>
        <v>11</v>
      </c>
      <c r="K122" s="260">
        <f t="shared" si="340"/>
        <v>9</v>
      </c>
      <c r="L122" s="260">
        <f t="shared" si="340"/>
        <v>8</v>
      </c>
      <c r="M122" s="291">
        <f t="shared" si="340"/>
        <v>9</v>
      </c>
      <c r="N122" s="45">
        <f t="shared" si="340"/>
        <v>37</v>
      </c>
      <c r="O122" s="290">
        <f t="shared" si="340"/>
        <v>9</v>
      </c>
      <c r="P122" s="260">
        <f t="shared" si="340"/>
        <v>7</v>
      </c>
      <c r="Q122" s="260">
        <f t="shared" si="340"/>
        <v>10</v>
      </c>
      <c r="R122" s="291">
        <f t="shared" si="340"/>
        <v>10</v>
      </c>
      <c r="S122" s="45">
        <f t="shared" si="340"/>
        <v>36</v>
      </c>
      <c r="T122" s="290">
        <f t="shared" si="340"/>
        <v>10</v>
      </c>
      <c r="U122" s="260">
        <f t="shared" si="340"/>
        <v>9</v>
      </c>
      <c r="V122" s="260">
        <f t="shared" si="340"/>
        <v>10</v>
      </c>
      <c r="W122" s="291">
        <f t="shared" si="340"/>
        <v>11</v>
      </c>
      <c r="X122" s="45">
        <f t="shared" si="340"/>
        <v>40</v>
      </c>
      <c r="Y122" s="290">
        <f t="shared" si="340"/>
        <v>11</v>
      </c>
      <c r="Z122" s="260">
        <f t="shared" si="340"/>
        <v>10</v>
      </c>
      <c r="AA122" s="260">
        <f t="shared" ref="AA122:AE122" si="341">+AA20</f>
        <v>11</v>
      </c>
      <c r="AB122" s="291">
        <f t="shared" si="341"/>
        <v>10</v>
      </c>
      <c r="AC122" s="45">
        <f t="shared" si="341"/>
        <v>42</v>
      </c>
      <c r="AD122" s="290">
        <f t="shared" si="341"/>
        <v>12</v>
      </c>
      <c r="AE122" s="260">
        <f t="shared" si="341"/>
        <v>11</v>
      </c>
      <c r="AF122" s="260">
        <f t="shared" ref="AF122:AJ122" si="342">+AF20</f>
        <v>12</v>
      </c>
      <c r="AG122" s="291">
        <f t="shared" si="342"/>
        <v>12</v>
      </c>
      <c r="AH122" s="45">
        <f t="shared" si="342"/>
        <v>47</v>
      </c>
      <c r="AI122" s="290">
        <f t="shared" si="342"/>
        <v>15</v>
      </c>
      <c r="AJ122" s="260">
        <f t="shared" si="342"/>
        <v>13</v>
      </c>
      <c r="AK122" s="260">
        <f t="shared" ref="AK122:AO122" si="343">+AK20</f>
        <v>14</v>
      </c>
      <c r="AL122" s="291">
        <f t="shared" si="343"/>
        <v>13</v>
      </c>
      <c r="AM122" s="45">
        <f t="shared" si="343"/>
        <v>55</v>
      </c>
      <c r="AN122" s="290">
        <f t="shared" si="343"/>
        <v>15</v>
      </c>
      <c r="AO122" s="260">
        <f t="shared" si="343"/>
        <v>14</v>
      </c>
      <c r="AP122" s="260">
        <f t="shared" ref="AP122:AR122" si="344">+AP20</f>
        <v>15</v>
      </c>
      <c r="AQ122" s="291">
        <f t="shared" si="344"/>
        <v>13</v>
      </c>
      <c r="AR122" s="45">
        <f t="shared" si="344"/>
        <v>57</v>
      </c>
      <c r="AS122" s="290">
        <f>AN122*(1+AS123)</f>
        <v>15.450000000000001</v>
      </c>
      <c r="AT122" s="260">
        <f>AO122*(1+AT123)</f>
        <v>14.42</v>
      </c>
      <c r="AU122" s="260">
        <f>AP122*(1+AU123)</f>
        <v>15.450000000000001</v>
      </c>
      <c r="AV122" s="291">
        <f>AQ122*(1+AV123)</f>
        <v>13.39</v>
      </c>
      <c r="AW122" s="45">
        <f>+SUM(AS122:AV122)</f>
        <v>58.71</v>
      </c>
      <c r="AX122" s="290">
        <f>AS122*(1+AX123)</f>
        <v>15.913500000000001</v>
      </c>
      <c r="AY122" s="260">
        <f>AT122*(1+AY123)</f>
        <v>14.852600000000001</v>
      </c>
      <c r="AZ122" s="260">
        <f>AU122*(1+AZ123)</f>
        <v>15.913500000000001</v>
      </c>
      <c r="BA122" s="291">
        <f>AV122*(1+BA123)</f>
        <v>13.791700000000001</v>
      </c>
      <c r="BB122" s="45">
        <f>+SUM(AX122:BA122)</f>
        <v>60.471299999999999</v>
      </c>
      <c r="BC122" s="290">
        <f>AX122*(1+BC123)</f>
        <v>16.390905</v>
      </c>
      <c r="BD122" s="260">
        <f>AY122*(1+BD123)</f>
        <v>15.298178000000002</v>
      </c>
      <c r="BE122" s="260">
        <f>AZ122*(1+BE123)</f>
        <v>16.390905</v>
      </c>
      <c r="BF122" s="291">
        <f>BA122*(1+BF123)</f>
        <v>14.205451</v>
      </c>
      <c r="BG122" s="45">
        <f>+SUM(BC122:BF122)</f>
        <v>62.285438999999997</v>
      </c>
      <c r="BH122" s="290">
        <f>BC122*(1+BH123)</f>
        <v>16.882632149999999</v>
      </c>
      <c r="BI122" s="260">
        <f>BD122*(1+BI123)</f>
        <v>15.757123340000001</v>
      </c>
      <c r="BJ122" s="260">
        <f>BE122*(1+BJ123)</f>
        <v>16.882632149999999</v>
      </c>
      <c r="BK122" s="291">
        <f>BF122*(1+BK123)</f>
        <v>14.63161453</v>
      </c>
      <c r="BL122" s="45">
        <f>+SUM(BH122:BK122)</f>
        <v>64.154002169999998</v>
      </c>
      <c r="BM122" s="45"/>
      <c r="BN122" s="45"/>
      <c r="BO122" s="45"/>
      <c r="BP122" s="45"/>
      <c r="BQ122" s="45"/>
      <c r="BR122" s="45"/>
      <c r="BS122" s="45"/>
      <c r="BT122" s="45"/>
      <c r="BU122" s="45"/>
      <c r="BV122" s="45"/>
      <c r="BW122" s="45"/>
      <c r="BX122" s="45"/>
      <c r="BY122" s="45"/>
      <c r="BZ122" s="45"/>
      <c r="CA122" s="45"/>
      <c r="CB122" s="45"/>
      <c r="CC122" s="45"/>
      <c r="CD122" s="45"/>
      <c r="CE122" s="45"/>
      <c r="CF122" s="45"/>
      <c r="CG122" s="45"/>
      <c r="CH122" s="45"/>
      <c r="CI122" s="45"/>
      <c r="CJ122" s="45"/>
      <c r="CK122" s="45"/>
      <c r="CL122" s="45"/>
      <c r="CM122" s="45"/>
      <c r="CN122" s="45"/>
      <c r="CO122" s="45"/>
      <c r="CP122" s="45"/>
    </row>
    <row r="123" spans="1:94">
      <c r="A123" s="1699"/>
      <c r="B123" s="1699"/>
      <c r="C123" s="1757" t="s">
        <v>610</v>
      </c>
      <c r="D123" s="1699"/>
      <c r="E123" s="1758"/>
      <c r="F123" s="1759"/>
      <c r="G123" s="1759"/>
      <c r="H123" s="1760"/>
      <c r="I123" s="1761"/>
      <c r="J123" s="1758"/>
      <c r="K123" s="1759"/>
      <c r="L123" s="1759"/>
      <c r="M123" s="1760"/>
      <c r="N123" s="1761">
        <f t="shared" ref="N123:AA123" si="345">+N122/I122-1</f>
        <v>0</v>
      </c>
      <c r="O123" s="1758">
        <f t="shared" si="345"/>
        <v>-0.18181818181818177</v>
      </c>
      <c r="P123" s="1759">
        <f t="shared" si="345"/>
        <v>-0.22222222222222221</v>
      </c>
      <c r="Q123" s="1759">
        <f t="shared" si="345"/>
        <v>0.25</v>
      </c>
      <c r="R123" s="1760">
        <f t="shared" si="345"/>
        <v>0.11111111111111116</v>
      </c>
      <c r="S123" s="1761">
        <f t="shared" si="345"/>
        <v>-2.7027027027026973E-2</v>
      </c>
      <c r="T123" s="1758">
        <f t="shared" si="345"/>
        <v>0.11111111111111116</v>
      </c>
      <c r="U123" s="1759">
        <f t="shared" si="345"/>
        <v>0.28571428571428581</v>
      </c>
      <c r="V123" s="1759">
        <f t="shared" si="345"/>
        <v>0</v>
      </c>
      <c r="W123" s="1760">
        <f t="shared" si="345"/>
        <v>0.10000000000000009</v>
      </c>
      <c r="X123" s="1761">
        <f t="shared" si="345"/>
        <v>0.11111111111111116</v>
      </c>
      <c r="Y123" s="1758">
        <f t="shared" si="345"/>
        <v>0.10000000000000009</v>
      </c>
      <c r="Z123" s="1759">
        <f t="shared" si="345"/>
        <v>0.11111111111111116</v>
      </c>
      <c r="AA123" s="1759">
        <f t="shared" si="345"/>
        <v>0.10000000000000009</v>
      </c>
      <c r="AB123" s="1760">
        <f t="shared" ref="AB123" si="346">+AB122/W122-1</f>
        <v>-9.0909090909090939E-2</v>
      </c>
      <c r="AC123" s="1761">
        <f t="shared" ref="AC123" si="347">+AC122/X122-1</f>
        <v>5.0000000000000044E-2</v>
      </c>
      <c r="AD123" s="1758">
        <f t="shared" ref="AD123" si="348">+AD122/Y122-1</f>
        <v>9.0909090909090828E-2</v>
      </c>
      <c r="AE123" s="1759">
        <f t="shared" ref="AE123" si="349">+AE122/Z122-1</f>
        <v>0.10000000000000009</v>
      </c>
      <c r="AF123" s="1759">
        <f t="shared" ref="AF123" si="350">+AF122/AA122-1</f>
        <v>9.0909090909090828E-2</v>
      </c>
      <c r="AG123" s="1760">
        <f t="shared" ref="AG123" si="351">+AG122/AB122-1</f>
        <v>0.19999999999999996</v>
      </c>
      <c r="AH123" s="1761">
        <f t="shared" ref="AH123:AK123" si="352">+AH122/AC122-1</f>
        <v>0.11904761904761907</v>
      </c>
      <c r="AI123" s="1758">
        <f t="shared" si="352"/>
        <v>0.25</v>
      </c>
      <c r="AJ123" s="1759">
        <f t="shared" si="352"/>
        <v>0.18181818181818188</v>
      </c>
      <c r="AK123" s="1759">
        <f t="shared" si="352"/>
        <v>0.16666666666666674</v>
      </c>
      <c r="AL123" s="1760">
        <f t="shared" ref="AL123" si="353">+AL122/AG122-1</f>
        <v>8.3333333333333259E-2</v>
      </c>
      <c r="AM123" s="1761">
        <f t="shared" ref="AM123:AO123" si="354">+AM122/AH122-1</f>
        <v>0.17021276595744683</v>
      </c>
      <c r="AN123" s="1758">
        <f t="shared" si="354"/>
        <v>0</v>
      </c>
      <c r="AO123" s="1759">
        <f t="shared" si="354"/>
        <v>7.6923076923076872E-2</v>
      </c>
      <c r="AP123" s="1759">
        <f t="shared" ref="AP123" si="355">+AP122/AK122-1</f>
        <v>7.1428571428571397E-2</v>
      </c>
      <c r="AQ123" s="1760">
        <f t="shared" ref="AQ123" si="356">+AQ122/AL122-1</f>
        <v>0</v>
      </c>
      <c r="AR123" s="1761">
        <f t="shared" ref="AR123" si="357">+AR122/AM122-1</f>
        <v>3.6363636363636376E-2</v>
      </c>
      <c r="AS123" s="1758">
        <f>+AS59</f>
        <v>0.03</v>
      </c>
      <c r="AT123" s="1759">
        <f>+AT59</f>
        <v>0.03</v>
      </c>
      <c r="AU123" s="1759">
        <f>+AU59</f>
        <v>0.03</v>
      </c>
      <c r="AV123" s="1760">
        <f>+AV59</f>
        <v>0.03</v>
      </c>
      <c r="AW123" s="1761">
        <f>+AW122/AR122-1</f>
        <v>3.0000000000000027E-2</v>
      </c>
      <c r="AX123" s="1758">
        <f>+AX59</f>
        <v>0.03</v>
      </c>
      <c r="AY123" s="1759">
        <f>+AY59</f>
        <v>0.03</v>
      </c>
      <c r="AZ123" s="1759">
        <f>+AZ59</f>
        <v>0.03</v>
      </c>
      <c r="BA123" s="1760">
        <f>+BA59</f>
        <v>0.03</v>
      </c>
      <c r="BB123" s="1761">
        <f>+BB122/AW122-1</f>
        <v>3.0000000000000027E-2</v>
      </c>
      <c r="BC123" s="1758">
        <f>+BC59</f>
        <v>0.03</v>
      </c>
      <c r="BD123" s="1759">
        <f>+BD59</f>
        <v>0.03</v>
      </c>
      <c r="BE123" s="1759">
        <f>+BE59</f>
        <v>0.03</v>
      </c>
      <c r="BF123" s="1760">
        <f>+BF59</f>
        <v>0.03</v>
      </c>
      <c r="BG123" s="1761">
        <f>+BG122/BB122-1</f>
        <v>3.0000000000000027E-2</v>
      </c>
      <c r="BH123" s="1758">
        <f>+BH59</f>
        <v>0.03</v>
      </c>
      <c r="BI123" s="1759">
        <f>+BI59</f>
        <v>0.03</v>
      </c>
      <c r="BJ123" s="1759">
        <f>+BJ59</f>
        <v>0.03</v>
      </c>
      <c r="BK123" s="1760">
        <f>+BK59</f>
        <v>0.03</v>
      </c>
      <c r="BL123" s="1761">
        <f>+BL122/BG122-1</f>
        <v>3.0000000000000027E-2</v>
      </c>
      <c r="BM123" s="1699"/>
      <c r="BN123" s="1699"/>
      <c r="BO123" s="1699"/>
      <c r="BP123" s="1699"/>
      <c r="BQ123" s="1699"/>
      <c r="BR123" s="1699"/>
      <c r="BS123" s="1699"/>
      <c r="BT123" s="1699"/>
      <c r="BU123" s="1699"/>
      <c r="BV123" s="1699"/>
      <c r="BW123" s="1699"/>
      <c r="BX123" s="1699"/>
      <c r="BY123" s="1699"/>
      <c r="BZ123" s="1699"/>
      <c r="CA123" s="1699"/>
      <c r="CB123" s="1699"/>
      <c r="CC123" s="1699"/>
      <c r="CD123" s="1699"/>
      <c r="CE123" s="1699"/>
      <c r="CF123" s="1699"/>
      <c r="CG123" s="1699"/>
      <c r="CH123" s="1699"/>
      <c r="CI123" s="1699"/>
      <c r="CJ123" s="1699"/>
      <c r="CK123" s="1699"/>
      <c r="CL123" s="1699"/>
      <c r="CM123" s="1699"/>
      <c r="CN123" s="1699"/>
      <c r="CO123" s="1699"/>
      <c r="CP123" s="1699"/>
    </row>
    <row r="124" spans="1:94">
      <c r="A124" s="895"/>
      <c r="B124" s="895"/>
      <c r="C124" s="895"/>
      <c r="D124" s="895"/>
      <c r="E124" s="896"/>
      <c r="F124" s="897"/>
      <c r="G124" s="897"/>
      <c r="H124" s="898"/>
      <c r="I124" s="899"/>
      <c r="J124" s="896"/>
      <c r="K124" s="897"/>
      <c r="L124" s="897"/>
      <c r="M124" s="898"/>
      <c r="N124" s="899"/>
      <c r="O124" s="896"/>
      <c r="P124" s="897"/>
      <c r="Q124" s="897"/>
      <c r="R124" s="898"/>
      <c r="S124" s="899"/>
      <c r="T124" s="896"/>
      <c r="U124" s="897"/>
      <c r="V124" s="897"/>
      <c r="W124" s="898"/>
      <c r="X124" s="899"/>
      <c r="Y124" s="896"/>
      <c r="Z124" s="897"/>
      <c r="AA124" s="897"/>
      <c r="AB124" s="898"/>
      <c r="AC124" s="899"/>
      <c r="AD124" s="896"/>
      <c r="AE124" s="897"/>
      <c r="AF124" s="897"/>
      <c r="AG124" s="898"/>
      <c r="AH124" s="899"/>
      <c r="AI124" s="896"/>
      <c r="AJ124" s="897"/>
      <c r="AK124" s="897"/>
      <c r="AL124" s="898"/>
      <c r="AM124" s="899"/>
      <c r="AN124" s="896"/>
      <c r="AO124" s="897"/>
      <c r="AP124" s="897"/>
      <c r="AQ124" s="898"/>
      <c r="AR124" s="899"/>
      <c r="AS124" s="896"/>
      <c r="AT124" s="897"/>
      <c r="AU124" s="897"/>
      <c r="AV124" s="898"/>
      <c r="AW124" s="899"/>
      <c r="AX124" s="896"/>
      <c r="AY124" s="897"/>
      <c r="AZ124" s="897"/>
      <c r="BA124" s="898"/>
      <c r="BB124" s="899"/>
      <c r="BC124" s="896"/>
      <c r="BD124" s="897"/>
      <c r="BE124" s="897"/>
      <c r="BF124" s="898"/>
      <c r="BG124" s="899"/>
      <c r="BH124" s="896"/>
      <c r="BI124" s="897"/>
      <c r="BJ124" s="897"/>
      <c r="BK124" s="898"/>
      <c r="BL124" s="899"/>
      <c r="BM124" s="895"/>
      <c r="BN124" s="895"/>
      <c r="BO124" s="895"/>
      <c r="BP124" s="895"/>
      <c r="BQ124" s="895"/>
      <c r="BR124" s="895"/>
      <c r="BS124" s="895"/>
      <c r="BT124" s="895"/>
      <c r="BU124" s="895"/>
      <c r="BV124" s="895"/>
      <c r="BW124" s="895"/>
      <c r="BX124" s="895"/>
      <c r="BY124" s="895"/>
      <c r="BZ124" s="895"/>
      <c r="CA124" s="895"/>
      <c r="CB124" s="895"/>
      <c r="CC124" s="895"/>
      <c r="CD124" s="895"/>
      <c r="CE124" s="895"/>
      <c r="CF124" s="895"/>
      <c r="CG124" s="895"/>
      <c r="CH124" s="895"/>
      <c r="CI124" s="895"/>
      <c r="CJ124" s="895"/>
      <c r="CK124" s="895"/>
      <c r="CL124" s="895"/>
      <c r="CM124" s="895"/>
      <c r="CN124" s="895"/>
      <c r="CO124" s="895"/>
      <c r="CP124" s="895"/>
    </row>
    <row r="125" spans="1:94">
      <c r="A125" s="895"/>
      <c r="B125" s="895"/>
      <c r="C125" s="895"/>
      <c r="D125" s="895"/>
      <c r="E125" s="896"/>
      <c r="F125" s="897"/>
      <c r="G125" s="897"/>
      <c r="H125" s="898"/>
      <c r="I125" s="899"/>
      <c r="J125" s="896"/>
      <c r="K125" s="897"/>
      <c r="L125" s="897"/>
      <c r="M125" s="898"/>
      <c r="N125" s="899"/>
      <c r="O125" s="896"/>
      <c r="P125" s="897"/>
      <c r="Q125" s="897"/>
      <c r="R125" s="898"/>
      <c r="S125" s="899"/>
      <c r="T125" s="896"/>
      <c r="U125" s="897"/>
      <c r="V125" s="897"/>
      <c r="W125" s="898"/>
      <c r="X125" s="899"/>
      <c r="Y125" s="896"/>
      <c r="Z125" s="897"/>
      <c r="AA125" s="897"/>
      <c r="AB125" s="898"/>
      <c r="AC125" s="899"/>
      <c r="AD125" s="896"/>
      <c r="AE125" s="897"/>
      <c r="AF125" s="897"/>
      <c r="AG125" s="898"/>
      <c r="AH125" s="899"/>
      <c r="AI125" s="896"/>
      <c r="AJ125" s="897"/>
      <c r="AK125" s="897"/>
      <c r="AL125" s="898"/>
      <c r="AM125" s="899"/>
      <c r="AN125" s="896"/>
      <c r="AO125" s="897"/>
      <c r="AP125" s="897"/>
      <c r="AQ125" s="898"/>
      <c r="AR125" s="899"/>
      <c r="AS125" s="896"/>
      <c r="AT125" s="897"/>
      <c r="AU125" s="897"/>
      <c r="AV125" s="898"/>
      <c r="AW125" s="899"/>
      <c r="AX125" s="896"/>
      <c r="AY125" s="897"/>
      <c r="AZ125" s="897"/>
      <c r="BA125" s="898"/>
      <c r="BB125" s="899"/>
      <c r="BC125" s="896"/>
      <c r="BD125" s="897"/>
      <c r="BE125" s="897"/>
      <c r="BF125" s="898"/>
      <c r="BG125" s="899"/>
      <c r="BH125" s="896"/>
      <c r="BI125" s="897"/>
      <c r="BJ125" s="897"/>
      <c r="BK125" s="898"/>
      <c r="BL125" s="899"/>
      <c r="BM125" s="895"/>
      <c r="BN125" s="895"/>
      <c r="BO125" s="895"/>
      <c r="BP125" s="895"/>
      <c r="BQ125" s="895"/>
      <c r="BR125" s="895"/>
      <c r="BS125" s="895"/>
      <c r="BT125" s="895"/>
      <c r="BU125" s="895"/>
      <c r="BV125" s="895"/>
      <c r="BW125" s="895"/>
      <c r="BX125" s="895"/>
      <c r="BY125" s="895"/>
      <c r="BZ125" s="895"/>
      <c r="CA125" s="895"/>
      <c r="CB125" s="895"/>
      <c r="CC125" s="895"/>
      <c r="CD125" s="895"/>
      <c r="CE125" s="895"/>
      <c r="CF125" s="895"/>
      <c r="CG125" s="895"/>
      <c r="CH125" s="895"/>
      <c r="CI125" s="895"/>
      <c r="CJ125" s="895"/>
      <c r="CK125" s="895"/>
      <c r="CL125" s="895"/>
      <c r="CM125" s="895"/>
      <c r="CN125" s="895"/>
      <c r="CO125" s="895"/>
      <c r="CP125" s="895"/>
    </row>
    <row r="126" spans="1:94">
      <c r="A126" s="895"/>
      <c r="B126" s="1681" t="s">
        <v>273</v>
      </c>
      <c r="C126" s="1682"/>
      <c r="D126" s="1683"/>
      <c r="E126" s="896"/>
      <c r="F126" s="897"/>
      <c r="G126" s="897"/>
      <c r="H126" s="898"/>
      <c r="I126" s="899"/>
      <c r="J126" s="896"/>
      <c r="K126" s="897"/>
      <c r="L126" s="897"/>
      <c r="M126" s="898"/>
      <c r="N126" s="899"/>
      <c r="O126" s="896"/>
      <c r="P126" s="897"/>
      <c r="Q126" s="897"/>
      <c r="R126" s="898"/>
      <c r="S126" s="899"/>
      <c r="T126" s="896"/>
      <c r="U126" s="897"/>
      <c r="V126" s="897"/>
      <c r="W126" s="898"/>
      <c r="X126" s="899"/>
      <c r="Y126" s="896"/>
      <c r="Z126" s="897"/>
      <c r="AA126" s="897"/>
      <c r="AB126" s="898"/>
      <c r="AC126" s="899"/>
      <c r="AD126" s="896"/>
      <c r="AE126" s="897"/>
      <c r="AF126" s="897"/>
      <c r="AG126" s="898"/>
      <c r="AH126" s="899"/>
      <c r="AI126" s="896"/>
      <c r="AJ126" s="897"/>
      <c r="AK126" s="897"/>
      <c r="AL126" s="898"/>
      <c r="AM126" s="899"/>
      <c r="AN126" s="896"/>
      <c r="AO126" s="897"/>
      <c r="AP126" s="897"/>
      <c r="AQ126" s="898"/>
      <c r="AR126" s="899"/>
      <c r="AS126" s="896"/>
      <c r="AT126" s="897"/>
      <c r="AU126" s="897"/>
      <c r="AV126" s="898"/>
      <c r="AW126" s="899"/>
      <c r="AX126" s="896"/>
      <c r="AY126" s="897"/>
      <c r="AZ126" s="897"/>
      <c r="BA126" s="898"/>
      <c r="BB126" s="899"/>
      <c r="BC126" s="896"/>
      <c r="BD126" s="897"/>
      <c r="BE126" s="897"/>
      <c r="BF126" s="898"/>
      <c r="BG126" s="899"/>
      <c r="BH126" s="896"/>
      <c r="BI126" s="897"/>
      <c r="BJ126" s="897"/>
      <c r="BK126" s="898"/>
      <c r="BL126" s="899"/>
      <c r="BM126" s="895"/>
      <c r="BN126" s="895"/>
      <c r="BO126" s="895"/>
      <c r="BP126" s="895"/>
      <c r="BQ126" s="895"/>
      <c r="BR126" s="895"/>
      <c r="BS126" s="895"/>
      <c r="BT126" s="895"/>
      <c r="BU126" s="895"/>
      <c r="BV126" s="895"/>
      <c r="BW126" s="895"/>
      <c r="BX126" s="895"/>
      <c r="BY126" s="895"/>
      <c r="BZ126" s="895"/>
      <c r="CA126" s="895"/>
      <c r="CB126" s="895"/>
      <c r="CC126" s="895"/>
      <c r="CD126" s="895"/>
      <c r="CE126" s="895"/>
      <c r="CF126" s="895"/>
      <c r="CG126" s="895"/>
      <c r="CH126" s="895"/>
      <c r="CI126" s="895"/>
      <c r="CJ126" s="895"/>
      <c r="CK126" s="895"/>
      <c r="CL126" s="895"/>
      <c r="CM126" s="895"/>
      <c r="CN126" s="895"/>
      <c r="CO126" s="895"/>
      <c r="CP126" s="895"/>
    </row>
    <row r="127" spans="1:94">
      <c r="A127" s="895"/>
      <c r="B127" s="895"/>
      <c r="C127" s="895"/>
      <c r="D127" s="895"/>
      <c r="E127" s="896"/>
      <c r="F127" s="897"/>
      <c r="G127" s="897"/>
      <c r="H127" s="898"/>
      <c r="I127" s="899"/>
      <c r="J127" s="896"/>
      <c r="K127" s="897"/>
      <c r="L127" s="897"/>
      <c r="M127" s="898"/>
      <c r="N127" s="899"/>
      <c r="O127" s="896"/>
      <c r="P127" s="897"/>
      <c r="Q127" s="897"/>
      <c r="R127" s="898"/>
      <c r="S127" s="899"/>
      <c r="T127" s="896"/>
      <c r="U127" s="897"/>
      <c r="V127" s="897"/>
      <c r="W127" s="898"/>
      <c r="X127" s="899"/>
      <c r="Y127" s="896"/>
      <c r="Z127" s="897"/>
      <c r="AA127" s="897"/>
      <c r="AB127" s="898"/>
      <c r="AC127" s="899"/>
      <c r="AD127" s="896"/>
      <c r="AE127" s="897"/>
      <c r="AF127" s="897"/>
      <c r="AG127" s="898"/>
      <c r="AH127" s="899"/>
      <c r="AI127" s="896"/>
      <c r="AJ127" s="897"/>
      <c r="AK127" s="897"/>
      <c r="AL127" s="291"/>
      <c r="AM127" s="2056"/>
      <c r="AN127" s="896"/>
      <c r="AO127" s="897"/>
      <c r="AP127" s="897"/>
      <c r="AQ127" s="898"/>
      <c r="AR127" s="899"/>
      <c r="AS127" s="896"/>
      <c r="AT127" s="897"/>
      <c r="AU127" s="897"/>
      <c r="AV127" s="898"/>
      <c r="AW127" s="899"/>
      <c r="AX127" s="896"/>
      <c r="AY127" s="897"/>
      <c r="AZ127" s="897"/>
      <c r="BA127" s="898"/>
      <c r="BB127" s="899"/>
      <c r="BC127" s="896"/>
      <c r="BD127" s="897"/>
      <c r="BE127" s="897"/>
      <c r="BF127" s="898"/>
      <c r="BG127" s="899"/>
      <c r="BH127" s="896"/>
      <c r="BI127" s="897"/>
      <c r="BJ127" s="897"/>
      <c r="BK127" s="898"/>
      <c r="BL127" s="899"/>
      <c r="BM127" s="895"/>
      <c r="BN127" s="895"/>
      <c r="BO127" s="895"/>
      <c r="BP127" s="895"/>
      <c r="BQ127" s="895"/>
      <c r="BR127" s="895"/>
      <c r="BS127" s="895"/>
      <c r="BT127" s="895"/>
      <c r="BU127" s="895"/>
      <c r="BV127" s="895"/>
      <c r="BW127" s="895"/>
      <c r="BX127" s="895"/>
      <c r="BY127" s="895"/>
      <c r="BZ127" s="895"/>
      <c r="CA127" s="895"/>
      <c r="CB127" s="895"/>
      <c r="CC127" s="895"/>
      <c r="CD127" s="895"/>
      <c r="CE127" s="895"/>
      <c r="CF127" s="895"/>
      <c r="CG127" s="895"/>
      <c r="CH127" s="895"/>
      <c r="CI127" s="895"/>
      <c r="CJ127" s="895"/>
      <c r="CK127" s="895"/>
      <c r="CL127" s="895"/>
      <c r="CM127" s="895"/>
      <c r="CN127" s="895"/>
      <c r="CO127" s="895"/>
      <c r="CP127" s="895"/>
    </row>
    <row r="128" spans="1:94">
      <c r="A128" s="895"/>
      <c r="B128" s="895"/>
      <c r="C128" s="895" t="s">
        <v>886</v>
      </c>
      <c r="D128" s="895"/>
      <c r="E128" s="896"/>
      <c r="F128" s="897"/>
      <c r="G128" s="897"/>
      <c r="H128" s="898"/>
      <c r="I128" s="1432">
        <v>1515</v>
      </c>
      <c r="J128" s="896"/>
      <c r="K128" s="897"/>
      <c r="L128" s="897"/>
      <c r="M128" s="291">
        <f>+N128</f>
        <v>1580</v>
      </c>
      <c r="N128" s="1432">
        <v>1580</v>
      </c>
      <c r="O128" s="896"/>
      <c r="P128" s="897"/>
      <c r="Q128" s="897"/>
      <c r="R128" s="291">
        <f>+S128</f>
        <v>1664</v>
      </c>
      <c r="S128" s="1432">
        <v>1664</v>
      </c>
      <c r="T128" s="896"/>
      <c r="U128" s="897"/>
      <c r="V128" s="897"/>
      <c r="W128" s="291">
        <f>+X128</f>
        <v>1788</v>
      </c>
      <c r="X128" s="1432">
        <v>1788</v>
      </c>
      <c r="Y128" s="896"/>
      <c r="Z128" s="897"/>
      <c r="AA128" s="897"/>
      <c r="AB128" s="291">
        <f>+AC128</f>
        <v>1928</v>
      </c>
      <c r="AC128" s="1432">
        <v>1928</v>
      </c>
      <c r="AD128" s="896"/>
      <c r="AE128" s="897"/>
      <c r="AF128" s="897"/>
      <c r="AG128" s="291">
        <f>+AH128</f>
        <v>2043</v>
      </c>
      <c r="AH128" s="1432">
        <v>2043</v>
      </c>
      <c r="AI128" s="896"/>
      <c r="AJ128" s="897"/>
      <c r="AK128" s="897"/>
      <c r="AL128" s="291"/>
      <c r="AM128" s="2056"/>
      <c r="AN128" s="896"/>
      <c r="AO128" s="897"/>
      <c r="AP128" s="897"/>
      <c r="AQ128" s="898"/>
      <c r="AR128" s="899"/>
      <c r="AS128" s="896"/>
      <c r="AT128" s="897"/>
      <c r="AU128" s="897"/>
      <c r="AV128" s="898"/>
      <c r="AW128" s="899"/>
      <c r="AX128" s="896"/>
      <c r="AY128" s="897"/>
      <c r="AZ128" s="897"/>
      <c r="BA128" s="898"/>
      <c r="BB128" s="899"/>
      <c r="BC128" s="896"/>
      <c r="BD128" s="897"/>
      <c r="BE128" s="897"/>
      <c r="BF128" s="898"/>
      <c r="BG128" s="899"/>
      <c r="BH128" s="896"/>
      <c r="BI128" s="897"/>
      <c r="BJ128" s="897"/>
      <c r="BK128" s="898"/>
      <c r="BL128" s="899"/>
      <c r="BM128" s="895"/>
      <c r="BN128" s="895"/>
      <c r="BO128" s="895"/>
      <c r="BP128" s="895"/>
      <c r="BQ128" s="895"/>
      <c r="BR128" s="895"/>
      <c r="BS128" s="895"/>
      <c r="BT128" s="895"/>
      <c r="BU128" s="895"/>
      <c r="BV128" s="895"/>
      <c r="BW128" s="895"/>
      <c r="BX128" s="895"/>
      <c r="BY128" s="895"/>
      <c r="BZ128" s="895"/>
      <c r="CA128" s="895"/>
      <c r="CB128" s="895"/>
      <c r="CC128" s="895"/>
      <c r="CD128" s="895"/>
      <c r="CE128" s="895"/>
      <c r="CF128" s="895"/>
      <c r="CG128" s="895"/>
      <c r="CH128" s="895"/>
      <c r="CI128" s="895"/>
      <c r="CJ128" s="895"/>
      <c r="CK128" s="895"/>
      <c r="CL128" s="895"/>
      <c r="CM128" s="895"/>
      <c r="CN128" s="895"/>
      <c r="CO128" s="895"/>
      <c r="CP128" s="895"/>
    </row>
    <row r="129" spans="1:94">
      <c r="A129" s="895"/>
      <c r="B129" s="895"/>
      <c r="C129" s="895" t="s">
        <v>736</v>
      </c>
      <c r="D129" s="895"/>
      <c r="E129" s="896"/>
      <c r="F129" s="897"/>
      <c r="G129" s="897"/>
      <c r="H129" s="898"/>
      <c r="I129" s="339">
        <v>740</v>
      </c>
      <c r="J129" s="896"/>
      <c r="K129" s="897"/>
      <c r="L129" s="897"/>
      <c r="M129" s="291">
        <f>+N129</f>
        <v>788</v>
      </c>
      <c r="N129" s="1432">
        <v>788</v>
      </c>
      <c r="O129" s="896"/>
      <c r="P129" s="897"/>
      <c r="Q129" s="897"/>
      <c r="R129" s="291">
        <f>+S129</f>
        <v>877</v>
      </c>
      <c r="S129" s="1432">
        <v>877</v>
      </c>
      <c r="T129" s="896"/>
      <c r="U129" s="897"/>
      <c r="V129" s="897"/>
      <c r="W129" s="291">
        <f>+X129</f>
        <v>982</v>
      </c>
      <c r="X129" s="1432">
        <v>982</v>
      </c>
      <c r="Y129" s="896"/>
      <c r="Z129" s="897"/>
      <c r="AA129" s="897"/>
      <c r="AB129" s="291">
        <f>+AC129</f>
        <v>1107</v>
      </c>
      <c r="AC129" s="1432">
        <v>1107</v>
      </c>
      <c r="AD129" s="896"/>
      <c r="AE129" s="897"/>
      <c r="AF129" s="897"/>
      <c r="AG129" s="291">
        <f>+AH129</f>
        <v>1208</v>
      </c>
      <c r="AH129" s="1432">
        <v>1208</v>
      </c>
      <c r="AI129" s="896"/>
      <c r="AJ129" s="897"/>
      <c r="AK129" s="897"/>
      <c r="AL129" s="291"/>
      <c r="AM129" s="2056"/>
      <c r="AN129" s="896"/>
      <c r="AO129" s="897"/>
      <c r="AP129" s="897"/>
      <c r="AQ129" s="898"/>
      <c r="AR129" s="899"/>
      <c r="AS129" s="896"/>
      <c r="AT129" s="897"/>
      <c r="AU129" s="897"/>
      <c r="AV129" s="898"/>
      <c r="AW129" s="899"/>
      <c r="AX129" s="896"/>
      <c r="AY129" s="897"/>
      <c r="AZ129" s="897"/>
      <c r="BA129" s="898"/>
      <c r="BB129" s="899"/>
      <c r="BC129" s="896"/>
      <c r="BD129" s="897"/>
      <c r="BE129" s="897"/>
      <c r="BF129" s="898"/>
      <c r="BG129" s="899"/>
      <c r="BH129" s="896"/>
      <c r="BI129" s="897"/>
      <c r="BJ129" s="897"/>
      <c r="BK129" s="898"/>
      <c r="BL129" s="899"/>
      <c r="BM129" s="895"/>
      <c r="BN129" s="895"/>
      <c r="BO129" s="895"/>
      <c r="BP129" s="895"/>
      <c r="BQ129" s="895"/>
      <c r="BR129" s="895"/>
      <c r="BS129" s="895"/>
      <c r="BT129" s="895"/>
      <c r="BU129" s="895"/>
      <c r="BV129" s="895"/>
      <c r="BW129" s="895"/>
      <c r="BX129" s="895"/>
      <c r="BY129" s="895"/>
      <c r="BZ129" s="895"/>
      <c r="CA129" s="895"/>
      <c r="CB129" s="895"/>
      <c r="CC129" s="895"/>
      <c r="CD129" s="895"/>
      <c r="CE129" s="895"/>
      <c r="CF129" s="895"/>
      <c r="CG129" s="895"/>
      <c r="CH129" s="895"/>
      <c r="CI129" s="895"/>
      <c r="CJ129" s="895"/>
      <c r="CK129" s="895"/>
      <c r="CL129" s="895"/>
      <c r="CM129" s="895"/>
      <c r="CN129" s="895"/>
      <c r="CO129" s="895"/>
      <c r="CP129" s="895"/>
    </row>
    <row r="130" spans="1:94">
      <c r="A130" s="895"/>
      <c r="B130" s="895"/>
      <c r="C130" s="895" t="s">
        <v>1229</v>
      </c>
      <c r="D130" s="895"/>
      <c r="E130" s="896"/>
      <c r="F130" s="897"/>
      <c r="G130" s="897"/>
      <c r="H130" s="898"/>
      <c r="I130" s="339">
        <v>413</v>
      </c>
      <c r="J130" s="896"/>
      <c r="K130" s="897"/>
      <c r="L130" s="897"/>
      <c r="M130" s="291">
        <f>+N130</f>
        <v>429</v>
      </c>
      <c r="N130" s="1432">
        <v>429</v>
      </c>
      <c r="O130" s="896"/>
      <c r="P130" s="897"/>
      <c r="Q130" s="897"/>
      <c r="R130" s="291">
        <f>+S130</f>
        <v>458</v>
      </c>
      <c r="S130" s="1432">
        <v>458</v>
      </c>
      <c r="T130" s="896"/>
      <c r="U130" s="897"/>
      <c r="V130" s="897"/>
      <c r="W130" s="291">
        <f>+X130</f>
        <v>481</v>
      </c>
      <c r="X130" s="1432">
        <v>481</v>
      </c>
      <c r="Y130" s="896"/>
      <c r="Z130" s="897"/>
      <c r="AA130" s="897"/>
      <c r="AB130" s="291">
        <f>+AC130</f>
        <v>511</v>
      </c>
      <c r="AC130" s="1432">
        <v>511</v>
      </c>
      <c r="AD130" s="896"/>
      <c r="AE130" s="897"/>
      <c r="AF130" s="897"/>
      <c r="AG130" s="291">
        <f>+AH130</f>
        <v>546</v>
      </c>
      <c r="AH130" s="1432">
        <v>546</v>
      </c>
      <c r="AI130" s="896"/>
      <c r="AJ130" s="897"/>
      <c r="AK130" s="897"/>
      <c r="AL130" s="291"/>
      <c r="AM130" s="2056"/>
      <c r="AN130" s="896"/>
      <c r="AO130" s="897"/>
      <c r="AP130" s="897"/>
      <c r="AQ130" s="898"/>
      <c r="AR130" s="899"/>
      <c r="AS130" s="896"/>
      <c r="AT130" s="897"/>
      <c r="AU130" s="897"/>
      <c r="AV130" s="898"/>
      <c r="AW130" s="899"/>
      <c r="AX130" s="896"/>
      <c r="AY130" s="897"/>
      <c r="AZ130" s="897"/>
      <c r="BA130" s="898"/>
      <c r="BB130" s="899"/>
      <c r="BC130" s="896"/>
      <c r="BD130" s="897"/>
      <c r="BE130" s="897"/>
      <c r="BF130" s="898"/>
      <c r="BG130" s="899"/>
      <c r="BH130" s="896"/>
      <c r="BI130" s="897"/>
      <c r="BJ130" s="897"/>
      <c r="BK130" s="898"/>
      <c r="BL130" s="899"/>
      <c r="BM130" s="895"/>
      <c r="BN130" s="895"/>
      <c r="BO130" s="895"/>
      <c r="BP130" s="895"/>
      <c r="BQ130" s="895"/>
      <c r="BR130" s="895"/>
      <c r="BS130" s="895"/>
      <c r="BT130" s="895"/>
      <c r="BU130" s="895"/>
      <c r="BV130" s="895"/>
      <c r="BW130" s="895"/>
      <c r="BX130" s="895"/>
      <c r="BY130" s="895"/>
      <c r="BZ130" s="895"/>
      <c r="CA130" s="895"/>
      <c r="CB130" s="895"/>
      <c r="CC130" s="895"/>
      <c r="CD130" s="895"/>
      <c r="CE130" s="895"/>
      <c r="CF130" s="895"/>
      <c r="CG130" s="895"/>
      <c r="CH130" s="895"/>
      <c r="CI130" s="895"/>
      <c r="CJ130" s="895"/>
      <c r="CK130" s="895"/>
      <c r="CL130" s="895"/>
      <c r="CM130" s="895"/>
      <c r="CN130" s="895"/>
      <c r="CO130" s="895"/>
      <c r="CP130" s="895"/>
    </row>
    <row r="131" spans="1:94">
      <c r="A131" s="895"/>
      <c r="B131" s="895"/>
      <c r="C131" s="895" t="s">
        <v>737</v>
      </c>
      <c r="D131" s="895"/>
      <c r="E131" s="896"/>
      <c r="F131" s="897"/>
      <c r="G131" s="897"/>
      <c r="H131" s="898"/>
      <c r="I131" s="339">
        <v>208</v>
      </c>
      <c r="J131" s="896"/>
      <c r="K131" s="897"/>
      <c r="L131" s="897"/>
      <c r="M131" s="291">
        <f>+N131</f>
        <v>240</v>
      </c>
      <c r="N131" s="1432">
        <v>240</v>
      </c>
      <c r="O131" s="896"/>
      <c r="P131" s="897"/>
      <c r="Q131" s="897"/>
      <c r="R131" s="291">
        <f>+S131</f>
        <v>217</v>
      </c>
      <c r="S131" s="1432">
        <v>217</v>
      </c>
      <c r="T131" s="896"/>
      <c r="U131" s="897"/>
      <c r="V131" s="897"/>
      <c r="W131" s="291">
        <f>+X131</f>
        <v>264</v>
      </c>
      <c r="X131" s="1432">
        <v>264</v>
      </c>
      <c r="Y131" s="896"/>
      <c r="Z131" s="897"/>
      <c r="AA131" s="897"/>
      <c r="AB131" s="291">
        <f>+AC131</f>
        <v>275</v>
      </c>
      <c r="AC131" s="1432">
        <v>275</v>
      </c>
      <c r="AD131" s="896"/>
      <c r="AE131" s="897"/>
      <c r="AF131" s="897"/>
      <c r="AG131" s="291">
        <f>+AH131</f>
        <v>305</v>
      </c>
      <c r="AH131" s="1432">
        <v>305</v>
      </c>
      <c r="AI131" s="896"/>
      <c r="AJ131" s="897"/>
      <c r="AK131" s="897"/>
      <c r="AL131" s="293"/>
      <c r="AM131"/>
      <c r="AN131" s="896"/>
      <c r="AO131" s="897"/>
      <c r="AP131" s="897"/>
      <c r="AQ131" s="898"/>
      <c r="AR131" s="899"/>
      <c r="AS131" s="896"/>
      <c r="AT131" s="897"/>
      <c r="AU131" s="897"/>
      <c r="AV131" s="898"/>
      <c r="AW131" s="899"/>
      <c r="AX131" s="896"/>
      <c r="AY131" s="897"/>
      <c r="AZ131" s="897"/>
      <c r="BA131" s="898"/>
      <c r="BB131" s="899"/>
      <c r="BC131" s="896"/>
      <c r="BD131" s="897"/>
      <c r="BE131" s="897"/>
      <c r="BF131" s="898"/>
      <c r="BG131" s="899"/>
      <c r="BH131" s="896"/>
      <c r="BI131" s="897"/>
      <c r="BJ131" s="897"/>
      <c r="BK131" s="898"/>
      <c r="BL131" s="899"/>
      <c r="BM131" s="895"/>
      <c r="BN131" s="895"/>
      <c r="BO131" s="895"/>
      <c r="BP131" s="895"/>
      <c r="BQ131" s="895"/>
      <c r="BR131" s="895"/>
      <c r="BS131" s="895"/>
      <c r="BT131" s="895"/>
      <c r="BU131" s="895"/>
      <c r="BV131" s="895"/>
      <c r="BW131" s="895"/>
      <c r="BX131" s="895"/>
      <c r="BY131" s="895"/>
      <c r="BZ131" s="895"/>
      <c r="CA131" s="895"/>
      <c r="CB131" s="895"/>
      <c r="CC131" s="895"/>
      <c r="CD131" s="895"/>
      <c r="CE131" s="895"/>
      <c r="CF131" s="895"/>
      <c r="CG131" s="895"/>
      <c r="CH131" s="895"/>
      <c r="CI131" s="895"/>
      <c r="CJ131" s="895"/>
      <c r="CK131" s="895"/>
      <c r="CL131" s="895"/>
      <c r="CM131" s="895"/>
      <c r="CN131" s="895"/>
      <c r="CO131" s="895"/>
      <c r="CP131" s="895"/>
    </row>
    <row r="132" spans="1:94">
      <c r="A132" s="228"/>
      <c r="B132" s="228"/>
      <c r="C132" s="1756" t="s">
        <v>738</v>
      </c>
      <c r="D132" s="228"/>
      <c r="E132" s="292"/>
      <c r="F132" s="261"/>
      <c r="G132" s="261"/>
      <c r="H132" s="293"/>
      <c r="I132" s="228">
        <f>+SUM(I128:I131)</f>
        <v>2876</v>
      </c>
      <c r="J132" s="585">
        <f>3027-J136</f>
        <v>2876</v>
      </c>
      <c r="K132" s="343">
        <f>3079-K136</f>
        <v>2928</v>
      </c>
      <c r="L132" s="343">
        <f>3119-L136</f>
        <v>2968</v>
      </c>
      <c r="M132" s="293">
        <f>+SUM(M128:M131)</f>
        <v>3037</v>
      </c>
      <c r="N132" s="228">
        <f>+SUM(N128:N131)</f>
        <v>3037</v>
      </c>
      <c r="O132" s="585">
        <f>3249-O136</f>
        <v>3043</v>
      </c>
      <c r="P132" s="343">
        <f>3314-P136</f>
        <v>3108</v>
      </c>
      <c r="Q132" s="343">
        <f>3330-Q136</f>
        <v>3124</v>
      </c>
      <c r="R132" s="293">
        <f>+SUM(R128:R131)</f>
        <v>3216</v>
      </c>
      <c r="S132" s="228">
        <f>+SUM(S128:S131)</f>
        <v>3216</v>
      </c>
      <c r="T132" s="585">
        <f>3479-T136</f>
        <v>3321</v>
      </c>
      <c r="U132" s="343">
        <f>3535-U136</f>
        <v>3377</v>
      </c>
      <c r="V132" s="343">
        <f>3592-V136</f>
        <v>3434</v>
      </c>
      <c r="W132" s="293">
        <f>+SUM(W128:W131)</f>
        <v>3515</v>
      </c>
      <c r="X132" s="228">
        <f>+SUM(X128:X131)</f>
        <v>3515</v>
      </c>
      <c r="Y132" s="585">
        <f>3747-Y136</f>
        <v>3622</v>
      </c>
      <c r="Z132" s="343">
        <f>3819-Z136</f>
        <v>3694</v>
      </c>
      <c r="AA132" s="343">
        <f>3882-AA136</f>
        <v>3757</v>
      </c>
      <c r="AB132" s="293">
        <f>+SUM(AB128:AB131)</f>
        <v>3821</v>
      </c>
      <c r="AC132" s="228">
        <f>+SUM(AC128:AC131)</f>
        <v>3821</v>
      </c>
      <c r="AD132" s="585">
        <f>3996-AD136</f>
        <v>3889</v>
      </c>
      <c r="AE132" s="343">
        <f>4064-AE136</f>
        <v>3957</v>
      </c>
      <c r="AF132" s="343">
        <f>4131-AF136</f>
        <v>4024</v>
      </c>
      <c r="AG132" s="293">
        <f>+SUM(AG128:AG131)</f>
        <v>4102</v>
      </c>
      <c r="AH132" s="228">
        <f>+SUM(AH128:AH131)</f>
        <v>4102</v>
      </c>
      <c r="AI132" s="585">
        <f>3132-AI136+AI133</f>
        <v>4109</v>
      </c>
      <c r="AJ132" s="343">
        <f>3177-AJ136+AJ133</f>
        <v>4171</v>
      </c>
      <c r="AK132" s="343">
        <f>3222-AK136+AK133</f>
        <v>4230</v>
      </c>
      <c r="AL132" s="293">
        <f>+AM132</f>
        <v>4285</v>
      </c>
      <c r="AM132" s="344">
        <f>3273-AM136+AM133</f>
        <v>4285</v>
      </c>
      <c r="AN132" s="585">
        <f>3334-AN136+AN133</f>
        <v>4324</v>
      </c>
      <c r="AO132" s="343">
        <f>3412-AO136+AO133</f>
        <v>4419</v>
      </c>
      <c r="AP132" s="343">
        <f>3480-AP136+AP133</f>
        <v>4506</v>
      </c>
      <c r="AQ132" s="293">
        <f>+AR132</f>
        <v>4621</v>
      </c>
      <c r="AR132" s="344">
        <f>3579-AR136+AR133</f>
        <v>4621</v>
      </c>
      <c r="AS132" s="292">
        <f>+AR132+AS150-(AS136-AR136)</f>
        <v>4734.4112149532712</v>
      </c>
      <c r="AT132" s="261">
        <f>+AS132+AT150-(AT136-AS136)</f>
        <v>4834.4112149532712</v>
      </c>
      <c r="AU132" s="261">
        <f>+AT132+AU150-(AU136-AT136)</f>
        <v>4934.4112149532712</v>
      </c>
      <c r="AV132" s="293">
        <f>+AU132+AV150-(AV136-AU136)</f>
        <v>5034.4112149532712</v>
      </c>
      <c r="AW132" s="228">
        <f>+AV132</f>
        <v>5034.4112149532712</v>
      </c>
      <c r="AX132" s="292">
        <f>+AW132+AX150-(AX136-AW136)</f>
        <v>5151.5841121495332</v>
      </c>
      <c r="AY132" s="261">
        <f>+AX132+AY150-(AY136-AX136)</f>
        <v>5232.8341121495332</v>
      </c>
      <c r="AZ132" s="261">
        <f>+AY132+AZ150-(AZ136-AY136)</f>
        <v>5314.0841121495332</v>
      </c>
      <c r="BA132" s="293">
        <f>+AZ132+BA150-(BA136-AZ136)</f>
        <v>5395.3341121495332</v>
      </c>
      <c r="BB132" s="228">
        <f>+BA132</f>
        <v>5395.3341121495332</v>
      </c>
      <c r="BC132" s="292">
        <f>+BB132+BC150-(BC136-BB136)</f>
        <v>5476.5841121495332</v>
      </c>
      <c r="BD132" s="261">
        <f>+BC132+BD150-(BD136-BC136)</f>
        <v>5557.8341121495332</v>
      </c>
      <c r="BE132" s="261">
        <f>+BD132+BE150-(BE136-BD136)</f>
        <v>5639.0841121495332</v>
      </c>
      <c r="BF132" s="293">
        <f>+BE132+BF150-(BF136-BE136)</f>
        <v>5720.3341121495332</v>
      </c>
      <c r="BG132" s="228">
        <f>+BF132</f>
        <v>5720.3341121495332</v>
      </c>
      <c r="BH132" s="292">
        <f>+BG132+BH150-(BH136-BG136)</f>
        <v>5801.5841121495332</v>
      </c>
      <c r="BI132" s="261">
        <f>+BH132+BI150-(BI136-BH136)</f>
        <v>5882.8341121495332</v>
      </c>
      <c r="BJ132" s="261">
        <f>+BI132+BJ150-(BJ136-BI136)</f>
        <v>5964.0841121495332</v>
      </c>
      <c r="BK132" s="293">
        <f>+BJ132+BK150-(BK136-BJ136)</f>
        <v>6045.3341121495332</v>
      </c>
      <c r="BL132" s="228">
        <f>+BK132</f>
        <v>6045.3341121495332</v>
      </c>
      <c r="BM132" s="228"/>
      <c r="BN132" s="228"/>
      <c r="BO132" s="228"/>
      <c r="BP132" s="228"/>
      <c r="BQ132" s="228"/>
      <c r="BR132" s="228"/>
      <c r="BS132" s="228"/>
      <c r="BT132" s="228"/>
      <c r="BU132" s="228"/>
      <c r="BV132" s="228"/>
      <c r="BW132" s="228"/>
      <c r="BX132" s="228"/>
      <c r="BY132" s="228"/>
      <c r="BZ132" s="228"/>
      <c r="CA132" s="228"/>
      <c r="CB132" s="228"/>
      <c r="CC132" s="228"/>
      <c r="CD132" s="228"/>
      <c r="CE132" s="228"/>
      <c r="CF132" s="228"/>
      <c r="CG132" s="228"/>
      <c r="CH132" s="228"/>
      <c r="CI132" s="228"/>
      <c r="CJ132" s="228"/>
      <c r="CK132" s="228"/>
      <c r="CL132" s="228"/>
      <c r="CM132" s="228"/>
      <c r="CN132" s="228"/>
      <c r="CO132" s="228"/>
      <c r="CP132" s="228"/>
    </row>
    <row r="133" spans="1:94">
      <c r="A133" s="45"/>
      <c r="B133" s="45"/>
      <c r="C133" s="1716" t="s">
        <v>396</v>
      </c>
      <c r="D133" s="45"/>
      <c r="E133" s="337"/>
      <c r="F133" s="338"/>
      <c r="G133" s="338"/>
      <c r="H133" s="291"/>
      <c r="I133" s="1432">
        <v>901</v>
      </c>
      <c r="J133" s="337">
        <v>902</v>
      </c>
      <c r="K133" s="338">
        <v>915</v>
      </c>
      <c r="L133" s="338">
        <v>925</v>
      </c>
      <c r="M133" s="291">
        <f>N133</f>
        <v>926</v>
      </c>
      <c r="N133" s="1432">
        <v>926</v>
      </c>
      <c r="O133" s="337">
        <v>936</v>
      </c>
      <c r="P133" s="338">
        <v>946</v>
      </c>
      <c r="Q133" s="338">
        <v>988</v>
      </c>
      <c r="R133" s="291">
        <f>S133</f>
        <v>1000</v>
      </c>
      <c r="S133" s="1432">
        <v>1000</v>
      </c>
      <c r="T133" s="337">
        <v>1002</v>
      </c>
      <c r="U133" s="338">
        <v>1011</v>
      </c>
      <c r="V133" s="338">
        <v>1012</v>
      </c>
      <c r="W133" s="291">
        <f>X133</f>
        <v>1016</v>
      </c>
      <c r="X133" s="1432">
        <v>1016</v>
      </c>
      <c r="Y133" s="337">
        <v>1022</v>
      </c>
      <c r="Z133" s="338">
        <v>1031</v>
      </c>
      <c r="AA133" s="338">
        <v>1037</v>
      </c>
      <c r="AB133" s="291">
        <f>AC133</f>
        <v>1021</v>
      </c>
      <c r="AC133" s="1432">
        <v>1021</v>
      </c>
      <c r="AD133" s="337">
        <v>1027</v>
      </c>
      <c r="AE133" s="338">
        <v>1032</v>
      </c>
      <c r="AF133" s="338">
        <v>1044</v>
      </c>
      <c r="AG133" s="291">
        <f>+AH133</f>
        <v>1046</v>
      </c>
      <c r="AH133" s="1432">
        <v>1046</v>
      </c>
      <c r="AI133" s="337">
        <v>1140</v>
      </c>
      <c r="AJ133" s="338">
        <v>1157</v>
      </c>
      <c r="AK133" s="338">
        <v>1171</v>
      </c>
      <c r="AL133" s="299">
        <f>+AM133</f>
        <v>1175</v>
      </c>
      <c r="AM133" s="1432">
        <v>1175</v>
      </c>
      <c r="AN133" s="337">
        <v>1195</v>
      </c>
      <c r="AO133" s="338">
        <v>1212</v>
      </c>
      <c r="AP133" s="338">
        <v>1231</v>
      </c>
      <c r="AQ133" s="299">
        <f>+AR133</f>
        <v>1247</v>
      </c>
      <c r="AR133" s="1432">
        <v>1247</v>
      </c>
      <c r="AS133" s="290">
        <f>+AR133+AS140</f>
        <v>1290.6402466536322</v>
      </c>
      <c r="AT133" s="260">
        <f>+AS133+AT140</f>
        <v>1335.1829302562444</v>
      </c>
      <c r="AU133" s="260">
        <f>+AT133+AU140</f>
        <v>1380.4429140859847</v>
      </c>
      <c r="AV133" s="291">
        <f>+AU133+AV140</f>
        <v>1426.410920383862</v>
      </c>
      <c r="AW133" s="45">
        <f>+AV133</f>
        <v>1426.410920383862</v>
      </c>
      <c r="AX133" s="290">
        <f>+AW133+AX140</f>
        <v>1473.077791391979</v>
      </c>
      <c r="AY133" s="260">
        <f>+AX133+AY140</f>
        <v>1520.6566067905576</v>
      </c>
      <c r="AZ133" s="260">
        <f>+AY133+AZ140</f>
        <v>1568.6709345783261</v>
      </c>
      <c r="BA133" s="291">
        <f>+AZ133+BA140</f>
        <v>1617.1151417179146</v>
      </c>
      <c r="BB133" s="45">
        <f>+BA133</f>
        <v>1617.1151417179146</v>
      </c>
      <c r="BC133" s="290">
        <f>+BB133+BC140</f>
        <v>1665.9836680312128</v>
      </c>
      <c r="BD133" s="260">
        <f>+BC133+BD140</f>
        <v>1715.2710252569875</v>
      </c>
      <c r="BE133" s="260">
        <f>+BD133+BE140</f>
        <v>1764.9717961206902</v>
      </c>
      <c r="BF133" s="291">
        <f>+BE133+BF140</f>
        <v>1815.0806334162955</v>
      </c>
      <c r="BG133" s="45">
        <f>+BF133</f>
        <v>1815.0806334162955</v>
      </c>
      <c r="BH133" s="290">
        <f>+BG133+BH140</f>
        <v>1865.5922591000162</v>
      </c>
      <c r="BI133" s="260">
        <f>+BH133+BI140</f>
        <v>1916.5014633957387</v>
      </c>
      <c r="BJ133" s="260">
        <f>+BI133+BJ140</f>
        <v>1967.8031039120308</v>
      </c>
      <c r="BK133" s="291">
        <f>+BJ133+BK140</f>
        <v>2019.4921047705698</v>
      </c>
      <c r="BL133" s="45">
        <f>+BK133</f>
        <v>2019.4921047705698</v>
      </c>
      <c r="BM133" s="45"/>
      <c r="BN133" s="45"/>
      <c r="BO133" s="45"/>
      <c r="BP133" s="45"/>
      <c r="BQ133" s="45"/>
      <c r="BR133" s="45"/>
      <c r="BS133" s="45"/>
      <c r="BT133" s="45"/>
      <c r="BU133" s="45"/>
      <c r="BV133" s="45"/>
      <c r="BW133" s="45"/>
      <c r="BX133" s="45"/>
      <c r="BY133" s="45"/>
      <c r="BZ133" s="45"/>
      <c r="CA133" s="45"/>
      <c r="CB133" s="45"/>
      <c r="CC133" s="45"/>
      <c r="CD133" s="45"/>
      <c r="CE133" s="45"/>
      <c r="CF133" s="45"/>
      <c r="CG133" s="45"/>
      <c r="CH133" s="45"/>
      <c r="CI133" s="45"/>
      <c r="CJ133" s="45"/>
      <c r="CK133" s="45"/>
      <c r="CL133" s="45"/>
      <c r="CM133" s="45"/>
      <c r="CN133" s="45"/>
      <c r="CO133" s="45"/>
      <c r="CP133" s="45"/>
    </row>
    <row r="134" spans="1:94">
      <c r="A134" s="45"/>
      <c r="B134" s="45"/>
      <c r="C134" s="1756" t="s">
        <v>142</v>
      </c>
      <c r="D134" s="45"/>
      <c r="E134" s="292"/>
      <c r="F134" s="261"/>
      <c r="G134" s="261"/>
      <c r="H134" s="293"/>
      <c r="I134" s="228">
        <f t="shared" ref="I134:AW134" si="358">I132-I133</f>
        <v>1975</v>
      </c>
      <c r="J134" s="292">
        <f t="shared" si="358"/>
        <v>1974</v>
      </c>
      <c r="K134" s="261">
        <f t="shared" si="358"/>
        <v>2013</v>
      </c>
      <c r="L134" s="261">
        <f t="shared" si="358"/>
        <v>2043</v>
      </c>
      <c r="M134" s="293">
        <f t="shared" si="358"/>
        <v>2111</v>
      </c>
      <c r="N134" s="228">
        <f t="shared" si="358"/>
        <v>2111</v>
      </c>
      <c r="O134" s="292">
        <f t="shared" si="358"/>
        <v>2107</v>
      </c>
      <c r="P134" s="261">
        <f t="shared" si="358"/>
        <v>2162</v>
      </c>
      <c r="Q134" s="261">
        <f t="shared" si="358"/>
        <v>2136</v>
      </c>
      <c r="R134" s="293">
        <f t="shared" si="358"/>
        <v>2216</v>
      </c>
      <c r="S134" s="228">
        <f t="shared" si="358"/>
        <v>2216</v>
      </c>
      <c r="T134" s="292">
        <f t="shared" si="358"/>
        <v>2319</v>
      </c>
      <c r="U134" s="261">
        <f t="shared" si="358"/>
        <v>2366</v>
      </c>
      <c r="V134" s="261">
        <f t="shared" si="358"/>
        <v>2422</v>
      </c>
      <c r="W134" s="293">
        <f t="shared" si="358"/>
        <v>2499</v>
      </c>
      <c r="X134" s="228">
        <f t="shared" si="358"/>
        <v>2499</v>
      </c>
      <c r="Y134" s="292">
        <f t="shared" si="358"/>
        <v>2600</v>
      </c>
      <c r="Z134" s="261">
        <f t="shared" si="358"/>
        <v>2663</v>
      </c>
      <c r="AA134" s="261">
        <f t="shared" ref="AA134:AE134" si="359">AA132-AA133</f>
        <v>2720</v>
      </c>
      <c r="AB134" s="293">
        <f t="shared" si="359"/>
        <v>2800</v>
      </c>
      <c r="AC134" s="228">
        <f t="shared" si="359"/>
        <v>2800</v>
      </c>
      <c r="AD134" s="292">
        <f t="shared" si="359"/>
        <v>2862</v>
      </c>
      <c r="AE134" s="261">
        <f t="shared" si="359"/>
        <v>2925</v>
      </c>
      <c r="AF134" s="261">
        <f t="shared" ref="AF134:AJ134" si="360">AF132-AF133</f>
        <v>2980</v>
      </c>
      <c r="AG134" s="293">
        <f t="shared" si="360"/>
        <v>3056</v>
      </c>
      <c r="AH134" s="228">
        <f t="shared" si="360"/>
        <v>3056</v>
      </c>
      <c r="AI134" s="292">
        <f t="shared" si="360"/>
        <v>2969</v>
      </c>
      <c r="AJ134" s="261">
        <f t="shared" si="360"/>
        <v>3014</v>
      </c>
      <c r="AK134" s="261">
        <f t="shared" ref="AK134:AO134" si="361">AK132-AK133</f>
        <v>3059</v>
      </c>
      <c r="AL134" s="293">
        <f t="shared" si="361"/>
        <v>3110</v>
      </c>
      <c r="AM134" s="228">
        <f t="shared" si="361"/>
        <v>3110</v>
      </c>
      <c r="AN134" s="292">
        <f t="shared" si="361"/>
        <v>3129</v>
      </c>
      <c r="AO134" s="261">
        <f t="shared" si="361"/>
        <v>3207</v>
      </c>
      <c r="AP134" s="261">
        <f t="shared" si="358"/>
        <v>3275</v>
      </c>
      <c r="AQ134" s="293">
        <f t="shared" si="358"/>
        <v>3374</v>
      </c>
      <c r="AR134" s="228">
        <f t="shared" si="358"/>
        <v>3374</v>
      </c>
      <c r="AS134" s="292">
        <f t="shared" si="358"/>
        <v>3443.7709682996392</v>
      </c>
      <c r="AT134" s="261">
        <f t="shared" si="358"/>
        <v>3499.2282846970265</v>
      </c>
      <c r="AU134" s="261">
        <f t="shared" si="358"/>
        <v>3553.9683008672864</v>
      </c>
      <c r="AV134" s="293">
        <f t="shared" si="358"/>
        <v>3608.0002945694091</v>
      </c>
      <c r="AW134" s="228">
        <f t="shared" si="358"/>
        <v>3608.0002945694091</v>
      </c>
      <c r="AX134" s="292">
        <f t="shared" ref="AX134:BG134" si="362">AX132-AX133</f>
        <v>3678.506320757554</v>
      </c>
      <c r="AY134" s="261">
        <f t="shared" si="362"/>
        <v>3712.1775053589754</v>
      </c>
      <c r="AZ134" s="261">
        <f t="shared" si="362"/>
        <v>3745.4131775712071</v>
      </c>
      <c r="BA134" s="293">
        <f t="shared" si="362"/>
        <v>3778.2189704316188</v>
      </c>
      <c r="BB134" s="228">
        <f t="shared" si="362"/>
        <v>3778.2189704316188</v>
      </c>
      <c r="BC134" s="292">
        <f t="shared" si="362"/>
        <v>3810.6004441183204</v>
      </c>
      <c r="BD134" s="261">
        <f t="shared" si="362"/>
        <v>3842.5630868925455</v>
      </c>
      <c r="BE134" s="261">
        <f t="shared" si="362"/>
        <v>3874.112316028843</v>
      </c>
      <c r="BF134" s="293">
        <f t="shared" si="362"/>
        <v>3905.2534787332379</v>
      </c>
      <c r="BG134" s="228">
        <f t="shared" si="362"/>
        <v>3905.2534787332379</v>
      </c>
      <c r="BH134" s="292">
        <f t="shared" ref="BH134:BL134" si="363">BH132-BH133</f>
        <v>3935.991853049517</v>
      </c>
      <c r="BI134" s="261">
        <f t="shared" si="363"/>
        <v>3966.3326487537943</v>
      </c>
      <c r="BJ134" s="261">
        <f t="shared" si="363"/>
        <v>3996.2810082375026</v>
      </c>
      <c r="BK134" s="293">
        <f t="shared" si="363"/>
        <v>4025.8420073789634</v>
      </c>
      <c r="BL134" s="228">
        <f t="shared" si="363"/>
        <v>4025.8420073789634</v>
      </c>
      <c r="BM134" s="45"/>
      <c r="BN134" s="45"/>
      <c r="BO134" s="45"/>
      <c r="BP134" s="45"/>
      <c r="BQ134" s="45"/>
      <c r="BR134" s="45"/>
      <c r="BS134" s="45"/>
      <c r="BT134" s="45"/>
      <c r="BU134" s="45"/>
      <c r="BV134" s="45"/>
      <c r="BW134" s="45"/>
      <c r="BX134" s="45"/>
      <c r="BY134" s="45"/>
      <c r="BZ134" s="45"/>
      <c r="CA134" s="45"/>
      <c r="CB134" s="45"/>
      <c r="CC134" s="45"/>
      <c r="CD134" s="45"/>
      <c r="CE134" s="45"/>
      <c r="CF134" s="45"/>
      <c r="CG134" s="45"/>
      <c r="CH134" s="45"/>
      <c r="CI134" s="45"/>
      <c r="CJ134" s="45"/>
      <c r="CK134" s="45"/>
      <c r="CL134" s="45"/>
      <c r="CM134" s="45"/>
      <c r="CN134" s="45"/>
      <c r="CO134" s="45"/>
      <c r="CP134" s="45"/>
    </row>
    <row r="135" spans="1:94">
      <c r="A135" s="45"/>
      <c r="B135" s="45"/>
      <c r="C135" s="1716"/>
      <c r="D135" s="45"/>
      <c r="E135" s="290"/>
      <c r="F135" s="260"/>
      <c r="G135" s="260"/>
      <c r="H135" s="291"/>
      <c r="I135" s="45"/>
      <c r="J135" s="290"/>
      <c r="K135" s="260"/>
      <c r="L135" s="260"/>
      <c r="M135" s="291"/>
      <c r="N135" s="45"/>
      <c r="O135" s="290"/>
      <c r="P135" s="260"/>
      <c r="Q135" s="260"/>
      <c r="R135" s="291"/>
      <c r="S135" s="45"/>
      <c r="T135" s="290"/>
      <c r="U135" s="260"/>
      <c r="V135" s="260"/>
      <c r="W135" s="291"/>
      <c r="X135" s="45"/>
      <c r="Y135" s="290"/>
      <c r="Z135" s="260"/>
      <c r="AA135" s="260"/>
      <c r="AB135" s="291"/>
      <c r="AC135" s="45"/>
      <c r="AD135" s="290"/>
      <c r="AE135" s="260"/>
      <c r="AF135" s="260"/>
      <c r="AG135" s="291"/>
      <c r="AH135" s="45"/>
      <c r="AI135" s="290"/>
      <c r="AJ135" s="260"/>
      <c r="AK135" s="260"/>
      <c r="AL135" s="291"/>
      <c r="AM135" s="45"/>
      <c r="AN135" s="290"/>
      <c r="AO135" s="260"/>
      <c r="AP135" s="260"/>
      <c r="AQ135" s="291"/>
      <c r="AR135" s="45"/>
      <c r="AS135" s="290"/>
      <c r="AT135" s="260"/>
      <c r="AU135" s="260"/>
      <c r="AV135" s="291"/>
      <c r="AW135" s="45"/>
      <c r="AX135" s="290"/>
      <c r="AY135" s="260"/>
      <c r="AZ135" s="260"/>
      <c r="BA135" s="291"/>
      <c r="BB135" s="45"/>
      <c r="BC135" s="290"/>
      <c r="BD135" s="260"/>
      <c r="BE135" s="260"/>
      <c r="BF135" s="291"/>
      <c r="BG135" s="45"/>
      <c r="BH135" s="290"/>
      <c r="BI135" s="260"/>
      <c r="BJ135" s="260"/>
      <c r="BK135" s="291"/>
      <c r="BL135" s="45"/>
      <c r="BM135" s="45"/>
      <c r="BN135" s="45"/>
      <c r="BO135" s="45"/>
      <c r="BP135" s="45"/>
      <c r="BQ135" s="45"/>
      <c r="BR135" s="45"/>
      <c r="BS135" s="45"/>
      <c r="BT135" s="45"/>
      <c r="BU135" s="45"/>
      <c r="BV135" s="45"/>
      <c r="BW135" s="45"/>
      <c r="BX135" s="45"/>
      <c r="BY135" s="45"/>
      <c r="BZ135" s="45"/>
      <c r="CA135" s="45"/>
      <c r="CB135" s="45"/>
      <c r="CC135" s="45"/>
      <c r="CD135" s="45"/>
      <c r="CE135" s="45"/>
      <c r="CF135" s="45"/>
      <c r="CG135" s="45"/>
      <c r="CH135" s="45"/>
      <c r="CI135" s="45"/>
      <c r="CJ135" s="45"/>
      <c r="CK135" s="45"/>
      <c r="CL135" s="45"/>
      <c r="CM135" s="45"/>
      <c r="CN135" s="45"/>
      <c r="CO135" s="45"/>
      <c r="CP135" s="45"/>
    </row>
    <row r="136" spans="1:94">
      <c r="A136" s="45"/>
      <c r="B136" s="45"/>
      <c r="C136" s="1716" t="s">
        <v>476</v>
      </c>
      <c r="D136" s="45"/>
      <c r="E136" s="337"/>
      <c r="F136" s="338"/>
      <c r="G136" s="338"/>
      <c r="H136" s="291"/>
      <c r="I136" s="1432">
        <v>124</v>
      </c>
      <c r="J136" s="290">
        <f>K136</f>
        <v>151</v>
      </c>
      <c r="K136" s="260">
        <f>L136</f>
        <v>151</v>
      </c>
      <c r="L136" s="260">
        <f>N136</f>
        <v>151</v>
      </c>
      <c r="M136" s="291">
        <f>N136</f>
        <v>151</v>
      </c>
      <c r="N136" s="1432">
        <v>151</v>
      </c>
      <c r="O136" s="290">
        <f>P136</f>
        <v>206</v>
      </c>
      <c r="P136" s="260">
        <f>Q136</f>
        <v>206</v>
      </c>
      <c r="Q136" s="260">
        <f>S136</f>
        <v>206</v>
      </c>
      <c r="R136" s="291">
        <f>S136</f>
        <v>206</v>
      </c>
      <c r="S136" s="1432">
        <v>206</v>
      </c>
      <c r="T136" s="290">
        <f>U136</f>
        <v>158</v>
      </c>
      <c r="U136" s="260">
        <f>V136</f>
        <v>158</v>
      </c>
      <c r="V136" s="260">
        <f>X136</f>
        <v>158</v>
      </c>
      <c r="W136" s="291">
        <f>X136</f>
        <v>158</v>
      </c>
      <c r="X136" s="1432">
        <v>158</v>
      </c>
      <c r="Y136" s="290">
        <f>+AC136</f>
        <v>125</v>
      </c>
      <c r="Z136" s="260">
        <f>+AC136</f>
        <v>125</v>
      </c>
      <c r="AA136" s="260">
        <f>+AC136</f>
        <v>125</v>
      </c>
      <c r="AB136" s="291">
        <f>AC136</f>
        <v>125</v>
      </c>
      <c r="AC136" s="1432">
        <v>125</v>
      </c>
      <c r="AD136" s="290">
        <f>+AH136</f>
        <v>107</v>
      </c>
      <c r="AE136" s="260">
        <f>+AH136</f>
        <v>107</v>
      </c>
      <c r="AF136" s="260">
        <f>+AH136</f>
        <v>107</v>
      </c>
      <c r="AG136" s="291">
        <f>AH136</f>
        <v>107</v>
      </c>
      <c r="AH136" s="1432">
        <v>107</v>
      </c>
      <c r="AI136" s="290">
        <f>+AM136</f>
        <v>163</v>
      </c>
      <c r="AJ136" s="260">
        <f>+AI136</f>
        <v>163</v>
      </c>
      <c r="AK136" s="260">
        <f>+AJ136</f>
        <v>163</v>
      </c>
      <c r="AL136" s="291">
        <f>AM136</f>
        <v>163</v>
      </c>
      <c r="AM136" s="1432">
        <v>163</v>
      </c>
      <c r="AN136" s="290">
        <f>+AR136</f>
        <v>205</v>
      </c>
      <c r="AO136" s="260">
        <f>+AN136</f>
        <v>205</v>
      </c>
      <c r="AP136" s="260">
        <f>+AO136</f>
        <v>205</v>
      </c>
      <c r="AQ136" s="291">
        <f>AR136</f>
        <v>205</v>
      </c>
      <c r="AR136" s="1432">
        <v>205</v>
      </c>
      <c r="AS136" s="290">
        <f>+AS137*AW150</f>
        <v>191.58878504672899</v>
      </c>
      <c r="AT136" s="646">
        <f>+AT137*AW150</f>
        <v>191.58878504672899</v>
      </c>
      <c r="AU136" s="646">
        <f>+AU137*AW150</f>
        <v>191.58878504672899</v>
      </c>
      <c r="AV136" s="586">
        <f>+AV137*AW150</f>
        <v>191.58878504672899</v>
      </c>
      <c r="AW136" s="647">
        <f>+AV136</f>
        <v>191.58878504672899</v>
      </c>
      <c r="AX136" s="290">
        <f>+AX137*BB150</f>
        <v>155.6658878504673</v>
      </c>
      <c r="AY136" s="646">
        <f>+AY137*BB150</f>
        <v>155.6658878504673</v>
      </c>
      <c r="AZ136" s="646">
        <f>+AZ137*BB150</f>
        <v>155.6658878504673</v>
      </c>
      <c r="BA136" s="586">
        <f>+BA137*BB150</f>
        <v>155.6658878504673</v>
      </c>
      <c r="BB136" s="647">
        <f>+BA136</f>
        <v>155.6658878504673</v>
      </c>
      <c r="BC136" s="290">
        <f>+BC137*BG150</f>
        <v>155.6658878504673</v>
      </c>
      <c r="BD136" s="646">
        <f>+BD137*BG150</f>
        <v>155.6658878504673</v>
      </c>
      <c r="BE136" s="646">
        <f>+BE137*BG150</f>
        <v>155.6658878504673</v>
      </c>
      <c r="BF136" s="586">
        <f>+BF137*BG150</f>
        <v>155.6658878504673</v>
      </c>
      <c r="BG136" s="647">
        <f>+BF136</f>
        <v>155.6658878504673</v>
      </c>
      <c r="BH136" s="290">
        <f>+BH137*BL150</f>
        <v>155.6658878504673</v>
      </c>
      <c r="BI136" s="646">
        <f>+BI137*BL150</f>
        <v>155.6658878504673</v>
      </c>
      <c r="BJ136" s="646">
        <f>+BJ137*BL150</f>
        <v>155.6658878504673</v>
      </c>
      <c r="BK136" s="586">
        <f>+BK137*BL150</f>
        <v>155.6658878504673</v>
      </c>
      <c r="BL136" s="647">
        <f>+BK136</f>
        <v>155.6658878504673</v>
      </c>
      <c r="BM136" s="45"/>
      <c r="BN136" s="45"/>
      <c r="BO136" s="45"/>
      <c r="BP136" s="45"/>
      <c r="BQ136" s="45"/>
      <c r="BR136" s="45"/>
      <c r="BS136" s="45"/>
      <c r="BT136" s="45"/>
      <c r="BU136" s="45"/>
      <c r="BV136" s="45"/>
      <c r="BW136" s="45"/>
      <c r="BX136" s="45"/>
      <c r="BY136" s="45"/>
      <c r="BZ136" s="45"/>
      <c r="CA136" s="45"/>
      <c r="CB136" s="45"/>
      <c r="CC136" s="45"/>
      <c r="CD136" s="45"/>
      <c r="CE136" s="45"/>
      <c r="CF136" s="45"/>
      <c r="CG136" s="45"/>
      <c r="CH136" s="45"/>
      <c r="CI136" s="45"/>
      <c r="CJ136" s="45"/>
      <c r="CK136" s="45"/>
      <c r="CL136" s="45"/>
      <c r="CM136" s="45"/>
      <c r="CN136" s="45"/>
      <c r="CO136" s="45"/>
      <c r="CP136" s="45"/>
    </row>
    <row r="137" spans="1:94">
      <c r="A137" s="45"/>
      <c r="B137" s="45"/>
      <c r="C137" s="1763" t="s">
        <v>146</v>
      </c>
      <c r="D137" s="45"/>
      <c r="E137" s="290"/>
      <c r="F137" s="260"/>
      <c r="G137" s="260"/>
      <c r="H137" s="291"/>
      <c r="I137" s="1767">
        <f>I136/I150</f>
        <v>0.496</v>
      </c>
      <c r="J137" s="1764"/>
      <c r="K137" s="1765"/>
      <c r="L137" s="1765"/>
      <c r="M137" s="1766"/>
      <c r="N137" s="1767">
        <f>N136/N150</f>
        <v>0.65938864628820959</v>
      </c>
      <c r="O137" s="1764"/>
      <c r="P137" s="1765"/>
      <c r="Q137" s="1765"/>
      <c r="R137" s="1766"/>
      <c r="S137" s="1767">
        <f>S136/S150</f>
        <v>0.64375000000000004</v>
      </c>
      <c r="T137" s="1764"/>
      <c r="U137" s="1765"/>
      <c r="V137" s="1765"/>
      <c r="W137" s="1766"/>
      <c r="X137" s="1767">
        <f>X136/X150</f>
        <v>0.44257703081232491</v>
      </c>
      <c r="Y137" s="1946">
        <f>Y136/AC150</f>
        <v>0.35511363636363635</v>
      </c>
      <c r="Z137" s="1947">
        <f>Z136/AC150</f>
        <v>0.35511363636363635</v>
      </c>
      <c r="AA137" s="1947">
        <f>AA136/AC150</f>
        <v>0.35511363636363635</v>
      </c>
      <c r="AB137" s="1766">
        <f>AB136/AC150</f>
        <v>0.35511363636363635</v>
      </c>
      <c r="AC137" s="1767">
        <f>AC136/AC150</f>
        <v>0.35511363636363635</v>
      </c>
      <c r="AD137" s="1946">
        <f>AD136/AH150</f>
        <v>0.30397727272727271</v>
      </c>
      <c r="AE137" s="1947">
        <f>AE136/AH150</f>
        <v>0.30397727272727271</v>
      </c>
      <c r="AF137" s="1947">
        <f>AF136/AH150</f>
        <v>0.30397727272727271</v>
      </c>
      <c r="AG137" s="1766">
        <f>AG136/AH150</f>
        <v>0.30397727272727271</v>
      </c>
      <c r="AH137" s="1767">
        <f>AH136/AH150</f>
        <v>0.30397727272727271</v>
      </c>
      <c r="AI137" s="1946">
        <f>AI136/AM150</f>
        <v>0.46704871060171921</v>
      </c>
      <c r="AJ137" s="1947">
        <f>AJ136/AM150</f>
        <v>0.46704871060171921</v>
      </c>
      <c r="AK137" s="1947">
        <f>AK136/AM150</f>
        <v>0.46704871060171921</v>
      </c>
      <c r="AL137" s="1766">
        <f>AL136/AM150</f>
        <v>0.46704871060171921</v>
      </c>
      <c r="AM137" s="1767">
        <f>AM136/AM150</f>
        <v>0.46704871060171921</v>
      </c>
      <c r="AN137" s="1946">
        <f>AN136/AR150</f>
        <v>0.47897196261682246</v>
      </c>
      <c r="AO137" s="1947">
        <f>AO136/AR150</f>
        <v>0.47897196261682246</v>
      </c>
      <c r="AP137" s="1947">
        <f>AP136/AR150</f>
        <v>0.47897196261682246</v>
      </c>
      <c r="AQ137" s="1766">
        <f>AQ136/AR150</f>
        <v>0.47897196261682246</v>
      </c>
      <c r="AR137" s="1767">
        <f>AR136/AR150</f>
        <v>0.47897196261682246</v>
      </c>
      <c r="AS137" s="1764">
        <f>+AR137</f>
        <v>0.47897196261682246</v>
      </c>
      <c r="AT137" s="1765">
        <f>+AS137</f>
        <v>0.47897196261682246</v>
      </c>
      <c r="AU137" s="1765">
        <f>+AT137</f>
        <v>0.47897196261682246</v>
      </c>
      <c r="AV137" s="1766">
        <f>+AU137</f>
        <v>0.47897196261682246</v>
      </c>
      <c r="AW137" s="1767">
        <f>AW136/AW150</f>
        <v>0.47897196261682246</v>
      </c>
      <c r="AX137" s="1764">
        <f>+AW137</f>
        <v>0.47897196261682246</v>
      </c>
      <c r="AY137" s="1765">
        <f>+AX137</f>
        <v>0.47897196261682246</v>
      </c>
      <c r="AZ137" s="1765">
        <f>+AY137</f>
        <v>0.47897196261682246</v>
      </c>
      <c r="BA137" s="1766">
        <f>+AZ137</f>
        <v>0.47897196261682246</v>
      </c>
      <c r="BB137" s="1767">
        <f>BB136/BB150</f>
        <v>0.47897196261682246</v>
      </c>
      <c r="BC137" s="1764">
        <f>+BB137</f>
        <v>0.47897196261682246</v>
      </c>
      <c r="BD137" s="1765">
        <f>+BC137</f>
        <v>0.47897196261682246</v>
      </c>
      <c r="BE137" s="1765">
        <f>+BD137</f>
        <v>0.47897196261682246</v>
      </c>
      <c r="BF137" s="1766">
        <f>+BE137</f>
        <v>0.47897196261682246</v>
      </c>
      <c r="BG137" s="1767">
        <f>BG136/BG150</f>
        <v>0.47897196261682246</v>
      </c>
      <c r="BH137" s="1764">
        <f>+BG137</f>
        <v>0.47897196261682246</v>
      </c>
      <c r="BI137" s="1765">
        <f>+BH137</f>
        <v>0.47897196261682246</v>
      </c>
      <c r="BJ137" s="1765">
        <f>+BI137</f>
        <v>0.47897196261682246</v>
      </c>
      <c r="BK137" s="1766">
        <f>+BJ137</f>
        <v>0.47897196261682246</v>
      </c>
      <c r="BL137" s="1767">
        <f>BL136/BL150</f>
        <v>0.47897196261682246</v>
      </c>
      <c r="BM137" s="45"/>
      <c r="BN137" s="45"/>
      <c r="BO137" s="45"/>
      <c r="BP137" s="45"/>
      <c r="BQ137" s="45"/>
      <c r="BR137" s="45"/>
      <c r="BS137" s="45"/>
      <c r="BT137" s="45"/>
      <c r="BU137" s="45"/>
      <c r="BV137" s="45"/>
      <c r="BW137" s="45"/>
      <c r="BX137" s="45"/>
      <c r="BY137" s="45"/>
      <c r="BZ137" s="45"/>
      <c r="CA137" s="45"/>
      <c r="CB137" s="45"/>
      <c r="CC137" s="45"/>
      <c r="CD137" s="45"/>
      <c r="CE137" s="45"/>
      <c r="CF137" s="45"/>
      <c r="CG137" s="45"/>
      <c r="CH137" s="45"/>
      <c r="CI137" s="45"/>
      <c r="CJ137" s="45"/>
      <c r="CK137" s="45"/>
      <c r="CL137" s="45"/>
      <c r="CM137" s="45"/>
      <c r="CN137" s="45"/>
      <c r="CO137" s="45"/>
      <c r="CP137" s="45"/>
    </row>
    <row r="138" spans="1:94">
      <c r="A138" s="45"/>
      <c r="B138" s="45"/>
      <c r="C138" s="1763"/>
      <c r="D138" s="45"/>
      <c r="E138" s="290"/>
      <c r="F138" s="260"/>
      <c r="G138" s="260"/>
      <c r="H138" s="291"/>
      <c r="I138" s="1767"/>
      <c r="J138" s="1764"/>
      <c r="K138" s="1765"/>
      <c r="L138" s="1765"/>
      <c r="M138" s="1766"/>
      <c r="N138" s="1767"/>
      <c r="O138" s="1764"/>
      <c r="P138" s="1765"/>
      <c r="Q138" s="1765"/>
      <c r="R138" s="1766"/>
      <c r="S138" s="1767"/>
      <c r="T138" s="1764"/>
      <c r="U138" s="1765"/>
      <c r="V138" s="1765"/>
      <c r="W138" s="1766"/>
      <c r="X138" s="1767"/>
      <c r="Y138" s="1764"/>
      <c r="Z138" s="1765"/>
      <c r="AA138" s="1765"/>
      <c r="AB138" s="1766"/>
      <c r="AC138" s="1767"/>
      <c r="AD138" s="1764"/>
      <c r="AE138" s="1765"/>
      <c r="AF138" s="1765"/>
      <c r="AG138" s="1766"/>
      <c r="AH138" s="1767"/>
      <c r="AI138" s="1764"/>
      <c r="AJ138" s="1765"/>
      <c r="AK138" s="1765"/>
      <c r="AL138" s="1766"/>
      <c r="AM138" s="1767"/>
      <c r="AN138" s="1764"/>
      <c r="AO138" s="1765"/>
      <c r="AP138" s="1765"/>
      <c r="AQ138" s="1766"/>
      <c r="AR138" s="1767"/>
      <c r="AS138" s="1764"/>
      <c r="AT138" s="1765"/>
      <c r="AU138" s="1765"/>
      <c r="AV138" s="1766"/>
      <c r="AW138" s="1767"/>
      <c r="AX138" s="1764"/>
      <c r="AY138" s="1765"/>
      <c r="AZ138" s="1765"/>
      <c r="BA138" s="1766"/>
      <c r="BB138" s="1767"/>
      <c r="BC138" s="1764"/>
      <c r="BD138" s="1765"/>
      <c r="BE138" s="1765"/>
      <c r="BF138" s="1766"/>
      <c r="BG138" s="1767"/>
      <c r="BH138" s="1764"/>
      <c r="BI138" s="1765"/>
      <c r="BJ138" s="1765"/>
      <c r="BK138" s="1766"/>
      <c r="BL138" s="1767"/>
      <c r="BM138" s="45"/>
      <c r="BN138" s="45"/>
      <c r="BO138" s="45"/>
      <c r="BP138" s="45"/>
      <c r="BQ138" s="45"/>
      <c r="BR138" s="45"/>
      <c r="BS138" s="45"/>
      <c r="BT138" s="45"/>
      <c r="BU138" s="45"/>
      <c r="BV138" s="45"/>
      <c r="BW138" s="45"/>
      <c r="BX138" s="45"/>
      <c r="BY138" s="45"/>
      <c r="BZ138" s="45"/>
      <c r="CA138" s="45"/>
      <c r="CB138" s="45"/>
      <c r="CC138" s="45"/>
      <c r="CD138" s="45"/>
      <c r="CE138" s="45"/>
      <c r="CF138" s="45"/>
      <c r="CG138" s="45"/>
      <c r="CH138" s="45"/>
      <c r="CI138" s="45"/>
      <c r="CJ138" s="45"/>
      <c r="CK138" s="45"/>
      <c r="CL138" s="45"/>
      <c r="CM138" s="45"/>
      <c r="CN138" s="45"/>
      <c r="CO138" s="45"/>
      <c r="CP138" s="45"/>
    </row>
    <row r="139" spans="1:94">
      <c r="A139" s="45"/>
      <c r="B139" s="45"/>
      <c r="C139" s="1756" t="s">
        <v>587</v>
      </c>
      <c r="D139" s="45"/>
      <c r="E139" s="290"/>
      <c r="F139" s="260"/>
      <c r="G139" s="260"/>
      <c r="H139" s="291"/>
      <c r="I139" s="45"/>
      <c r="J139" s="290"/>
      <c r="K139" s="260"/>
      <c r="L139" s="260"/>
      <c r="M139" s="291"/>
      <c r="N139" s="1004"/>
      <c r="O139" s="290"/>
      <c r="P139" s="260"/>
      <c r="Q139" s="260"/>
      <c r="R139" s="291"/>
      <c r="S139" s="1004"/>
      <c r="T139" s="290"/>
      <c r="U139" s="260"/>
      <c r="V139" s="260"/>
      <c r="W139" s="291"/>
      <c r="X139" s="1004"/>
      <c r="Y139" s="290"/>
      <c r="Z139" s="260"/>
      <c r="AA139" s="260"/>
      <c r="AB139" s="291"/>
      <c r="AC139" s="1004"/>
      <c r="AD139" s="290"/>
      <c r="AE139" s="260"/>
      <c r="AF139" s="260"/>
      <c r="AG139" s="291"/>
      <c r="AH139" s="1004"/>
      <c r="AI139" s="290"/>
      <c r="AJ139" s="260"/>
      <c r="AK139" s="260"/>
      <c r="AL139" s="291"/>
      <c r="AM139" s="1004"/>
      <c r="AN139" s="290"/>
      <c r="AO139" s="260"/>
      <c r="AP139" s="260"/>
      <c r="AQ139" s="291"/>
      <c r="AR139" s="1004"/>
      <c r="AS139" s="290"/>
      <c r="AT139" s="260"/>
      <c r="AU139" s="260"/>
      <c r="AV139" s="291"/>
      <c r="AW139" s="45"/>
      <c r="AX139" s="290"/>
      <c r="AY139" s="260"/>
      <c r="AZ139" s="260"/>
      <c r="BA139" s="291"/>
      <c r="BB139" s="45"/>
      <c r="BC139" s="290"/>
      <c r="BD139" s="260"/>
      <c r="BE139" s="260"/>
      <c r="BF139" s="291"/>
      <c r="BG139" s="45"/>
      <c r="BH139" s="290"/>
      <c r="BI139" s="260"/>
      <c r="BJ139" s="260"/>
      <c r="BK139" s="291"/>
      <c r="BL139" s="45"/>
      <c r="BM139" s="45"/>
      <c r="BN139" s="45"/>
      <c r="BO139" s="45"/>
      <c r="BP139" s="45"/>
      <c r="BQ139" s="45"/>
      <c r="BR139" s="45"/>
      <c r="BS139" s="45"/>
      <c r="BT139" s="45"/>
      <c r="BU139" s="45"/>
      <c r="BV139" s="45"/>
      <c r="BW139" s="45"/>
      <c r="BX139" s="45"/>
      <c r="BY139" s="45"/>
      <c r="BZ139" s="45"/>
      <c r="CA139" s="45"/>
      <c r="CB139" s="45"/>
      <c r="CC139" s="45"/>
      <c r="CD139" s="45"/>
      <c r="CE139" s="45"/>
      <c r="CF139" s="45"/>
      <c r="CG139" s="45"/>
      <c r="CH139" s="45"/>
      <c r="CI139" s="45"/>
      <c r="CJ139" s="45"/>
      <c r="CK139" s="45"/>
      <c r="CL139" s="45"/>
      <c r="CM139" s="45"/>
      <c r="CN139" s="45"/>
      <c r="CO139" s="45"/>
      <c r="CP139" s="45"/>
    </row>
    <row r="140" spans="1:94">
      <c r="A140" s="45"/>
      <c r="B140" s="45"/>
      <c r="C140" s="1716" t="s">
        <v>739</v>
      </c>
      <c r="D140" s="45"/>
      <c r="E140" s="290"/>
      <c r="F140" s="260"/>
      <c r="G140" s="260"/>
      <c r="H140" s="291"/>
      <c r="I140" s="45">
        <f t="shared" ref="I140:Z140" si="364">+I19</f>
        <v>83</v>
      </c>
      <c r="J140" s="290">
        <f t="shared" si="364"/>
        <v>22</v>
      </c>
      <c r="K140" s="260">
        <f t="shared" si="364"/>
        <v>22</v>
      </c>
      <c r="L140" s="260">
        <f t="shared" si="364"/>
        <v>22</v>
      </c>
      <c r="M140" s="291">
        <f t="shared" si="364"/>
        <v>23</v>
      </c>
      <c r="N140" s="45">
        <f t="shared" si="364"/>
        <v>89</v>
      </c>
      <c r="O140" s="290">
        <f t="shared" si="364"/>
        <v>24</v>
      </c>
      <c r="P140" s="260">
        <f t="shared" si="364"/>
        <v>25</v>
      </c>
      <c r="Q140" s="260">
        <f t="shared" si="364"/>
        <v>29</v>
      </c>
      <c r="R140" s="291">
        <f t="shared" si="364"/>
        <v>24</v>
      </c>
      <c r="S140" s="45">
        <f t="shared" si="364"/>
        <v>102</v>
      </c>
      <c r="T140" s="290">
        <f t="shared" si="364"/>
        <v>25</v>
      </c>
      <c r="U140" s="260">
        <f t="shared" si="364"/>
        <v>27</v>
      </c>
      <c r="V140" s="260">
        <f t="shared" si="364"/>
        <v>27</v>
      </c>
      <c r="W140" s="291">
        <f t="shared" si="364"/>
        <v>28</v>
      </c>
      <c r="X140" s="45">
        <f t="shared" si="364"/>
        <v>107</v>
      </c>
      <c r="Y140" s="290">
        <f t="shared" si="364"/>
        <v>30</v>
      </c>
      <c r="Z140" s="260">
        <f t="shared" si="364"/>
        <v>30</v>
      </c>
      <c r="AA140" s="260">
        <f t="shared" ref="AA140:AE140" si="365">+AA19</f>
        <v>33</v>
      </c>
      <c r="AB140" s="291">
        <f t="shared" si="365"/>
        <v>32</v>
      </c>
      <c r="AC140" s="45">
        <f t="shared" si="365"/>
        <v>125</v>
      </c>
      <c r="AD140" s="290">
        <f t="shared" si="365"/>
        <v>39</v>
      </c>
      <c r="AE140" s="260">
        <f t="shared" si="365"/>
        <v>36</v>
      </c>
      <c r="AF140" s="260">
        <f t="shared" ref="AF140:AJ140" si="366">+AF19</f>
        <v>42</v>
      </c>
      <c r="AG140" s="291">
        <f t="shared" si="366"/>
        <v>36</v>
      </c>
      <c r="AH140" s="45">
        <f t="shared" si="366"/>
        <v>153</v>
      </c>
      <c r="AI140" s="290">
        <f t="shared" si="366"/>
        <v>39</v>
      </c>
      <c r="AJ140" s="260">
        <f t="shared" si="366"/>
        <v>38</v>
      </c>
      <c r="AK140" s="260">
        <f t="shared" ref="AK140:AO140" si="367">+AK19</f>
        <v>44</v>
      </c>
      <c r="AL140" s="291">
        <f t="shared" si="367"/>
        <v>36</v>
      </c>
      <c r="AM140" s="45">
        <f t="shared" si="367"/>
        <v>157</v>
      </c>
      <c r="AN140" s="290">
        <f t="shared" si="367"/>
        <v>39</v>
      </c>
      <c r="AO140" s="260">
        <f t="shared" si="367"/>
        <v>40</v>
      </c>
      <c r="AP140" s="260">
        <f t="shared" ref="AP140:AR140" si="368">+AP19</f>
        <v>45</v>
      </c>
      <c r="AQ140" s="291">
        <f t="shared" si="368"/>
        <v>43</v>
      </c>
      <c r="AR140" s="45">
        <f t="shared" si="368"/>
        <v>167</v>
      </c>
      <c r="AS140" s="290">
        <f>+AS141+AS142</f>
        <v>43.640246653632126</v>
      </c>
      <c r="AT140" s="260">
        <f>+AT141+AT142</f>
        <v>44.542683602612271</v>
      </c>
      <c r="AU140" s="260">
        <f>+AU141+AU142</f>
        <v>45.259983829740456</v>
      </c>
      <c r="AV140" s="291">
        <f>+AV141+AV142</f>
        <v>45.968006297877366</v>
      </c>
      <c r="AW140" s="45">
        <f>SUM(AS140:AV140)</f>
        <v>179.41092038386222</v>
      </c>
      <c r="AX140" s="290">
        <f>+AX141+AX142</f>
        <v>46.666871008116885</v>
      </c>
      <c r="AY140" s="260">
        <f>+AY141+AY142</f>
        <v>47.578815398578683</v>
      </c>
      <c r="AZ140" s="260">
        <f>+AZ141+AZ142</f>
        <v>48.014327787768366</v>
      </c>
      <c r="BA140" s="291">
        <f>+BA141+BA142</f>
        <v>48.444207139588478</v>
      </c>
      <c r="BB140" s="45">
        <f>SUM(AX140:BA140)</f>
        <v>190.70422133405242</v>
      </c>
      <c r="BC140" s="290">
        <f>+BC141+BC142</f>
        <v>48.868526313298119</v>
      </c>
      <c r="BD140" s="260">
        <f>+BD141+BD142</f>
        <v>49.287357225774635</v>
      </c>
      <c r="BE140" s="260">
        <f>+BE141+BE142</f>
        <v>49.700770863702651</v>
      </c>
      <c r="BF140" s="291">
        <f>+BF141+BF142</f>
        <v>50.108837295605426</v>
      </c>
      <c r="BG140" s="45">
        <f>SUM(BC140:BF140)</f>
        <v>197.96549169838084</v>
      </c>
      <c r="BH140" s="290">
        <f>+BH141+BH142</f>
        <v>50.511625683720631</v>
      </c>
      <c r="BI140" s="260">
        <f>+BI141+BI142</f>
        <v>50.909204295722432</v>
      </c>
      <c r="BJ140" s="260">
        <f>+BJ141+BJ142</f>
        <v>51.301640516292117</v>
      </c>
      <c r="BK140" s="291">
        <f>+BK141+BK142</f>
        <v>51.689000858538911</v>
      </c>
      <c r="BL140" s="45">
        <f>SUM(BH140:BK140)</f>
        <v>204.41147135427408</v>
      </c>
      <c r="BM140" s="45"/>
      <c r="BN140" s="45"/>
      <c r="BO140" s="45"/>
      <c r="BP140" s="45"/>
      <c r="BQ140" s="45"/>
      <c r="BR140" s="45"/>
      <c r="BS140" s="45"/>
      <c r="BT140" s="45"/>
      <c r="BU140" s="45"/>
      <c r="BV140" s="45"/>
      <c r="BW140" s="45"/>
      <c r="BX140" s="45"/>
      <c r="BY140" s="45"/>
      <c r="BZ140" s="45"/>
      <c r="CA140" s="45"/>
      <c r="CB140" s="45"/>
      <c r="CC140" s="45"/>
      <c r="CD140" s="45"/>
      <c r="CE140" s="45"/>
      <c r="CF140" s="45"/>
      <c r="CG140" s="45"/>
      <c r="CH140" s="45"/>
      <c r="CI140" s="45"/>
      <c r="CJ140" s="45"/>
      <c r="CK140" s="45"/>
      <c r="CL140" s="45"/>
      <c r="CM140" s="45"/>
      <c r="CN140" s="45"/>
      <c r="CO140" s="45"/>
      <c r="CP140" s="45"/>
    </row>
    <row r="141" spans="1:94">
      <c r="A141" s="45"/>
      <c r="B141" s="45"/>
      <c r="C141" s="1716" t="s">
        <v>740</v>
      </c>
      <c r="D141" s="45"/>
      <c r="E141" s="337"/>
      <c r="F141" s="338"/>
      <c r="G141" s="338"/>
      <c r="H141" s="1684"/>
      <c r="I141" s="339">
        <v>0</v>
      </c>
      <c r="J141" s="337">
        <v>0</v>
      </c>
      <c r="K141" s="338">
        <v>0</v>
      </c>
      <c r="L141" s="338">
        <v>0</v>
      </c>
      <c r="M141" s="1684">
        <v>0</v>
      </c>
      <c r="N141" s="339">
        <v>0</v>
      </c>
      <c r="O141" s="337">
        <v>0</v>
      </c>
      <c r="P141" s="338">
        <v>0</v>
      </c>
      <c r="Q141" s="338">
        <v>0</v>
      </c>
      <c r="R141" s="1684">
        <v>0</v>
      </c>
      <c r="S141" s="339">
        <v>0</v>
      </c>
      <c r="T141" s="337">
        <v>0</v>
      </c>
      <c r="U141" s="338">
        <v>0</v>
      </c>
      <c r="V141" s="338">
        <v>0</v>
      </c>
      <c r="W141" s="1684">
        <v>0</v>
      </c>
      <c r="X141" s="339">
        <v>0</v>
      </c>
      <c r="Y141" s="337">
        <v>0</v>
      </c>
      <c r="Z141" s="338">
        <v>0</v>
      </c>
      <c r="AA141" s="338">
        <v>0</v>
      </c>
      <c r="AB141" s="1684">
        <v>0</v>
      </c>
      <c r="AC141" s="339">
        <v>0</v>
      </c>
      <c r="AD141" s="337">
        <v>0</v>
      </c>
      <c r="AE141" s="338">
        <v>0</v>
      </c>
      <c r="AF141" s="338">
        <v>0</v>
      </c>
      <c r="AG141" s="1684">
        <v>0</v>
      </c>
      <c r="AH141" s="2056">
        <v>0</v>
      </c>
      <c r="AI141" s="337">
        <v>0</v>
      </c>
      <c r="AJ141" s="338">
        <v>0</v>
      </c>
      <c r="AK141" s="338">
        <v>0</v>
      </c>
      <c r="AL141" s="1684">
        <v>0</v>
      </c>
      <c r="AM141" s="2056">
        <v>0</v>
      </c>
      <c r="AN141" s="337">
        <v>0</v>
      </c>
      <c r="AO141" s="338">
        <v>0</v>
      </c>
      <c r="AP141" s="338">
        <v>0</v>
      </c>
      <c r="AQ141" s="1684">
        <v>0</v>
      </c>
      <c r="AR141" s="2056">
        <v>0</v>
      </c>
      <c r="AS141" s="337">
        <v>0</v>
      </c>
      <c r="AT141" s="338">
        <v>0</v>
      </c>
      <c r="AU141" s="338">
        <v>0</v>
      </c>
      <c r="AV141" s="1684">
        <v>0</v>
      </c>
      <c r="AW141" s="339">
        <v>0</v>
      </c>
      <c r="AX141" s="337">
        <v>0</v>
      </c>
      <c r="AY141" s="338">
        <v>0</v>
      </c>
      <c r="AZ141" s="338">
        <v>0</v>
      </c>
      <c r="BA141" s="1684">
        <v>0</v>
      </c>
      <c r="BB141" s="339">
        <v>0</v>
      </c>
      <c r="BC141" s="337">
        <v>0</v>
      </c>
      <c r="BD141" s="338">
        <v>0</v>
      </c>
      <c r="BE141" s="338">
        <v>0</v>
      </c>
      <c r="BF141" s="1684">
        <v>0</v>
      </c>
      <c r="BG141" s="2056">
        <v>0</v>
      </c>
      <c r="BH141" s="337">
        <v>0</v>
      </c>
      <c r="BI141" s="338">
        <v>0</v>
      </c>
      <c r="BJ141" s="338">
        <v>0</v>
      </c>
      <c r="BK141" s="1684">
        <v>0</v>
      </c>
      <c r="BL141" s="2056">
        <v>0</v>
      </c>
      <c r="BM141" s="45"/>
      <c r="BN141" s="45"/>
      <c r="BO141" s="45"/>
      <c r="BP141" s="45"/>
      <c r="BQ141" s="45"/>
      <c r="BR141" s="45"/>
      <c r="BS141" s="45"/>
      <c r="BT141" s="45"/>
      <c r="BU141" s="45"/>
      <c r="BV141" s="45"/>
      <c r="BW141" s="45"/>
      <c r="BX141" s="45"/>
      <c r="BY141" s="45"/>
      <c r="BZ141" s="45"/>
      <c r="CA141" s="45"/>
      <c r="CB141" s="45"/>
      <c r="CC141" s="45"/>
      <c r="CD141" s="45"/>
      <c r="CE141" s="45"/>
      <c r="CF141" s="45"/>
      <c r="CG141" s="45"/>
      <c r="CH141" s="45"/>
      <c r="CI141" s="45"/>
      <c r="CJ141" s="45"/>
      <c r="CK141" s="45"/>
      <c r="CL141" s="45"/>
      <c r="CM141" s="45"/>
      <c r="CN141" s="45"/>
      <c r="CO141" s="45"/>
      <c r="CP141" s="45"/>
    </row>
    <row r="142" spans="1:94">
      <c r="A142" s="228"/>
      <c r="B142" s="228"/>
      <c r="C142" s="1756" t="s">
        <v>741</v>
      </c>
      <c r="D142" s="228"/>
      <c r="E142" s="292"/>
      <c r="F142" s="261"/>
      <c r="G142" s="261"/>
      <c r="H142" s="293"/>
      <c r="I142" s="228">
        <f t="shared" ref="I142:Z142" si="369">+I140-I141</f>
        <v>83</v>
      </c>
      <c r="J142" s="292">
        <f t="shared" si="369"/>
        <v>22</v>
      </c>
      <c r="K142" s="261">
        <f t="shared" si="369"/>
        <v>22</v>
      </c>
      <c r="L142" s="261">
        <f t="shared" si="369"/>
        <v>22</v>
      </c>
      <c r="M142" s="293">
        <f t="shared" si="369"/>
        <v>23</v>
      </c>
      <c r="N142" s="228">
        <f t="shared" si="369"/>
        <v>89</v>
      </c>
      <c r="O142" s="292">
        <f t="shared" si="369"/>
        <v>24</v>
      </c>
      <c r="P142" s="261">
        <f t="shared" si="369"/>
        <v>25</v>
      </c>
      <c r="Q142" s="261">
        <f t="shared" si="369"/>
        <v>29</v>
      </c>
      <c r="R142" s="293">
        <f t="shared" si="369"/>
        <v>24</v>
      </c>
      <c r="S142" s="228">
        <f t="shared" si="369"/>
        <v>102</v>
      </c>
      <c r="T142" s="292">
        <f t="shared" si="369"/>
        <v>25</v>
      </c>
      <c r="U142" s="261">
        <f t="shared" si="369"/>
        <v>27</v>
      </c>
      <c r="V142" s="261">
        <f t="shared" si="369"/>
        <v>27</v>
      </c>
      <c r="W142" s="293">
        <f t="shared" si="369"/>
        <v>28</v>
      </c>
      <c r="X142" s="228">
        <f t="shared" si="369"/>
        <v>107</v>
      </c>
      <c r="Y142" s="292">
        <f t="shared" si="369"/>
        <v>30</v>
      </c>
      <c r="Z142" s="261">
        <f t="shared" si="369"/>
        <v>30</v>
      </c>
      <c r="AA142" s="261">
        <f t="shared" ref="AA142:AE142" si="370">+AA140-AA141</f>
        <v>33</v>
      </c>
      <c r="AB142" s="293">
        <f t="shared" si="370"/>
        <v>32</v>
      </c>
      <c r="AC142" s="228">
        <f t="shared" si="370"/>
        <v>125</v>
      </c>
      <c r="AD142" s="292">
        <f t="shared" si="370"/>
        <v>39</v>
      </c>
      <c r="AE142" s="261">
        <f t="shared" si="370"/>
        <v>36</v>
      </c>
      <c r="AF142" s="261">
        <f t="shared" ref="AF142:AJ142" si="371">+AF140-AF141</f>
        <v>42</v>
      </c>
      <c r="AG142" s="293">
        <f t="shared" si="371"/>
        <v>36</v>
      </c>
      <c r="AH142" s="228">
        <f t="shared" si="371"/>
        <v>153</v>
      </c>
      <c r="AI142" s="292">
        <f t="shared" si="371"/>
        <v>39</v>
      </c>
      <c r="AJ142" s="261">
        <f t="shared" si="371"/>
        <v>38</v>
      </c>
      <c r="AK142" s="261">
        <f t="shared" ref="AK142:AO142" si="372">+AK140-AK141</f>
        <v>44</v>
      </c>
      <c r="AL142" s="293">
        <f t="shared" si="372"/>
        <v>36</v>
      </c>
      <c r="AM142" s="228">
        <f t="shared" si="372"/>
        <v>157</v>
      </c>
      <c r="AN142" s="292">
        <f t="shared" si="372"/>
        <v>39</v>
      </c>
      <c r="AO142" s="261">
        <f t="shared" si="372"/>
        <v>40</v>
      </c>
      <c r="AP142" s="261">
        <f t="shared" ref="AP142:AR142" si="373">+AP140-AP141</f>
        <v>45</v>
      </c>
      <c r="AQ142" s="293">
        <f t="shared" si="373"/>
        <v>43</v>
      </c>
      <c r="AR142" s="228">
        <f t="shared" si="373"/>
        <v>167</v>
      </c>
      <c r="AS142" s="292">
        <f>+AS144*AVERAGE(AR134)/4</f>
        <v>43.640246653632126</v>
      </c>
      <c r="AT142" s="261">
        <f>+AT144*AVERAGE(AS134)/4</f>
        <v>44.542683602612271</v>
      </c>
      <c r="AU142" s="261">
        <f>+AU144*AVERAGE(AT134)/4</f>
        <v>45.259983829740456</v>
      </c>
      <c r="AV142" s="293">
        <f>+AV144*AVERAGE(AU134)/4</f>
        <v>45.968006297877366</v>
      </c>
      <c r="AW142" s="228">
        <f>+AW140-AW141</f>
        <v>179.41092038386222</v>
      </c>
      <c r="AX142" s="292">
        <f>+AX144*AVERAGE(AW134)/4</f>
        <v>46.666871008116885</v>
      </c>
      <c r="AY142" s="261">
        <f>+AY144*AVERAGE(AX134)/4</f>
        <v>47.578815398578683</v>
      </c>
      <c r="AZ142" s="261">
        <f>+AZ144*AVERAGE(AY134)/4</f>
        <v>48.014327787768366</v>
      </c>
      <c r="BA142" s="293">
        <f>+BA144*AVERAGE(AZ134)/4</f>
        <v>48.444207139588478</v>
      </c>
      <c r="BB142" s="228">
        <f>+BB140-BB141</f>
        <v>190.70422133405242</v>
      </c>
      <c r="BC142" s="292">
        <f>+BC144*AVERAGE(BB134)/4</f>
        <v>48.868526313298119</v>
      </c>
      <c r="BD142" s="261">
        <f>+BD144*AVERAGE(BC134)/4</f>
        <v>49.287357225774635</v>
      </c>
      <c r="BE142" s="261">
        <f>+BE144*AVERAGE(BD134)/4</f>
        <v>49.700770863702651</v>
      </c>
      <c r="BF142" s="293">
        <f>+BF144*AVERAGE(BE134)/4</f>
        <v>50.108837295605426</v>
      </c>
      <c r="BG142" s="228">
        <f>+BG140-BG141</f>
        <v>197.96549169838084</v>
      </c>
      <c r="BH142" s="292">
        <f>+BH144*AVERAGE(BG134)/4</f>
        <v>50.511625683720631</v>
      </c>
      <c r="BI142" s="261">
        <f>+BI144*AVERAGE(BH134)/4</f>
        <v>50.909204295722432</v>
      </c>
      <c r="BJ142" s="261">
        <f>+BJ144*AVERAGE(BI134)/4</f>
        <v>51.301640516292117</v>
      </c>
      <c r="BK142" s="293">
        <f>+BK144*AVERAGE(BJ134)/4</f>
        <v>51.689000858538911</v>
      </c>
      <c r="BL142" s="228">
        <f>+BL140-BL141</f>
        <v>204.41147135427408</v>
      </c>
      <c r="BM142" s="228"/>
      <c r="BN142" s="228"/>
      <c r="BO142" s="228"/>
      <c r="BP142" s="228"/>
      <c r="BQ142" s="228"/>
      <c r="BR142" s="228"/>
      <c r="BS142" s="228"/>
      <c r="BT142" s="228"/>
      <c r="BU142" s="228"/>
      <c r="BV142" s="228"/>
      <c r="BW142" s="228"/>
      <c r="BX142" s="228"/>
      <c r="BY142" s="228"/>
      <c r="BZ142" s="228"/>
      <c r="CA142" s="228"/>
      <c r="CB142" s="228"/>
      <c r="CC142" s="228"/>
      <c r="CD142" s="228"/>
      <c r="CE142" s="228"/>
      <c r="CF142" s="228"/>
      <c r="CG142" s="228"/>
      <c r="CH142" s="228"/>
      <c r="CI142" s="228"/>
      <c r="CJ142" s="228"/>
      <c r="CK142" s="228"/>
      <c r="CL142" s="228"/>
      <c r="CM142" s="228"/>
      <c r="CN142" s="228"/>
      <c r="CO142" s="228"/>
      <c r="CP142" s="228"/>
    </row>
    <row r="143" spans="1:94">
      <c r="A143" s="45"/>
      <c r="B143" s="45"/>
      <c r="C143" s="1716"/>
      <c r="D143" s="45"/>
      <c r="E143" s="290"/>
      <c r="F143" s="260"/>
      <c r="G143" s="260"/>
      <c r="H143" s="291"/>
      <c r="I143" s="45"/>
      <c r="J143" s="290"/>
      <c r="K143" s="260"/>
      <c r="L143" s="260"/>
      <c r="M143" s="291"/>
      <c r="N143" s="45"/>
      <c r="O143" s="290"/>
      <c r="P143" s="260"/>
      <c r="Q143" s="260"/>
      <c r="R143" s="291"/>
      <c r="S143" s="45"/>
      <c r="T143" s="290"/>
      <c r="U143" s="260"/>
      <c r="V143" s="260"/>
      <c r="W143" s="291"/>
      <c r="X143" s="45"/>
      <c r="Y143" s="290"/>
      <c r="Z143" s="260"/>
      <c r="AA143" s="260"/>
      <c r="AB143" s="291"/>
      <c r="AC143" s="45"/>
      <c r="AD143" s="290"/>
      <c r="AE143" s="260"/>
      <c r="AF143" s="260"/>
      <c r="AG143" s="291"/>
      <c r="AH143" s="45"/>
      <c r="AI143" s="290"/>
      <c r="AJ143" s="260"/>
      <c r="AK143" s="260"/>
      <c r="AL143" s="291"/>
      <c r="AM143" s="45"/>
      <c r="AN143" s="290"/>
      <c r="AO143" s="260"/>
      <c r="AP143" s="260"/>
      <c r="AQ143" s="291"/>
      <c r="AR143" s="45"/>
      <c r="AS143" s="290"/>
      <c r="AT143" s="260"/>
      <c r="AU143" s="260"/>
      <c r="AV143" s="291"/>
      <c r="AW143" s="45"/>
      <c r="AX143" s="290"/>
      <c r="AY143" s="260"/>
      <c r="AZ143" s="260"/>
      <c r="BA143" s="291"/>
      <c r="BB143" s="45"/>
      <c r="BC143" s="290"/>
      <c r="BD143" s="260"/>
      <c r="BE143" s="260"/>
      <c r="BF143" s="291"/>
      <c r="BG143" s="45"/>
      <c r="BH143" s="290"/>
      <c r="BI143" s="260"/>
      <c r="BJ143" s="260"/>
      <c r="BK143" s="291"/>
      <c r="BL143" s="45"/>
      <c r="BM143" s="45"/>
      <c r="BN143" s="45"/>
      <c r="BO143" s="45"/>
      <c r="BP143" s="45"/>
      <c r="BQ143" s="45"/>
      <c r="BR143" s="45"/>
      <c r="BS143" s="45"/>
      <c r="BT143" s="45"/>
      <c r="BU143" s="45"/>
      <c r="BV143" s="45"/>
      <c r="BW143" s="45"/>
      <c r="BX143" s="45"/>
      <c r="BY143" s="45"/>
      <c r="BZ143" s="45"/>
      <c r="CA143" s="45"/>
      <c r="CB143" s="45"/>
      <c r="CC143" s="45"/>
      <c r="CD143" s="45"/>
      <c r="CE143" s="45"/>
      <c r="CF143" s="45"/>
      <c r="CG143" s="45"/>
      <c r="CH143" s="45"/>
      <c r="CI143" s="45"/>
      <c r="CJ143" s="45"/>
      <c r="CK143" s="45"/>
      <c r="CL143" s="45"/>
      <c r="CM143" s="45"/>
      <c r="CN143" s="45"/>
      <c r="CO143" s="45"/>
      <c r="CP143" s="45"/>
    </row>
    <row r="144" spans="1:94">
      <c r="A144" s="895"/>
      <c r="B144" s="895"/>
      <c r="C144" s="1716" t="s">
        <v>145</v>
      </c>
      <c r="D144" s="895"/>
      <c r="E144" s="1700"/>
      <c r="F144" s="1337"/>
      <c r="G144" s="1337"/>
      <c r="H144" s="1701"/>
      <c r="I144" s="1713"/>
      <c r="J144" s="1700">
        <f>J142/AVERAGE(I134:J134)*4</f>
        <v>4.456824512534819E-2</v>
      </c>
      <c r="K144" s="1337">
        <f>K142/AVERAGE(J134:K134)*4</f>
        <v>4.4143466265362426E-2</v>
      </c>
      <c r="L144" s="1337">
        <f>L142/AVERAGE(K134:L134)*4</f>
        <v>4.3392504930966469E-2</v>
      </c>
      <c r="M144" s="1701">
        <f>M142/AVERAGE(L134:M134)*4</f>
        <v>4.4294655753490612E-2</v>
      </c>
      <c r="N144" s="1713">
        <f>N142/AVERAGE(I134,N134)</f>
        <v>4.3563387175721981E-2</v>
      </c>
      <c r="O144" s="1700">
        <f>O142/AVERAGE(N134:O134)*4</f>
        <v>4.5519203413940258E-2</v>
      </c>
      <c r="P144" s="1337">
        <f>P142/AVERAGE(O134:P134)*4</f>
        <v>4.6849379245724992E-2</v>
      </c>
      <c r="Q144" s="1337">
        <f>Q142/AVERAGE(P134:Q134)*4</f>
        <v>5.397859469520707E-2</v>
      </c>
      <c r="R144" s="1701">
        <f>R142/AVERAGE(Q134:R134)*4</f>
        <v>4.4117647058823532E-2</v>
      </c>
      <c r="S144" s="1713">
        <f>S142/AVERAGE(N134,S134)</f>
        <v>4.7145828518604112E-2</v>
      </c>
      <c r="T144" s="1700">
        <f>T142/AVERAGE(S134:T134)*4</f>
        <v>4.4101433296582136E-2</v>
      </c>
      <c r="U144" s="1337">
        <f>U142/AVERAGE(T134:U134)*4</f>
        <v>4.6104589114194239E-2</v>
      </c>
      <c r="V144" s="1337">
        <f>V142/AVERAGE(U134:V134)*4</f>
        <v>4.5112781954887216E-2</v>
      </c>
      <c r="W144" s="1701">
        <f>W142/AVERAGE(V134:W134)*4</f>
        <v>4.5519203413940258E-2</v>
      </c>
      <c r="X144" s="1713">
        <f>X142/AVERAGE(S134,X134)</f>
        <v>4.5387062566277836E-2</v>
      </c>
      <c r="Y144" s="1700">
        <f>Y142/AVERAGE(X134:Y134)*4</f>
        <v>4.7068052559325356E-2</v>
      </c>
      <c r="Z144" s="1337">
        <f>Z142/AVERAGE(Y134:Z134)*4</f>
        <v>4.5601368041041229E-2</v>
      </c>
      <c r="AA144" s="1337">
        <f>AA142/AVERAGE(Z134:AA134)*4</f>
        <v>4.9043284413895598E-2</v>
      </c>
      <c r="AB144" s="1701">
        <f>AB142/AVERAGE(AA134:AB134)*4</f>
        <v>4.6376811594202899E-2</v>
      </c>
      <c r="AC144" s="1713">
        <f>AC142/AVERAGE(X134,AC134)</f>
        <v>4.7178712964710323E-2</v>
      </c>
      <c r="AD144" s="1700">
        <f>AD142/AVERAGE(AC134:AD134)*4</f>
        <v>5.5104203461674321E-2</v>
      </c>
      <c r="AE144" s="1337">
        <f>AE142/AVERAGE(AD134:AE134)*4</f>
        <v>4.9766718506998445E-2</v>
      </c>
      <c r="AF144" s="1337">
        <f>AF142/AVERAGE(AE134:AF134)*4</f>
        <v>5.6900931414055882E-2</v>
      </c>
      <c r="AG144" s="1701">
        <f>AG142/AVERAGE(AF134:AG134)*4</f>
        <v>4.7713717693836977E-2</v>
      </c>
      <c r="AH144" s="1713">
        <f>AH142/AVERAGE(AC134,AH134)</f>
        <v>5.225409836065574E-2</v>
      </c>
      <c r="AI144" s="1700">
        <f>AI142/AVERAGE(AH134:AI134)*4</f>
        <v>5.1784232365145226E-2</v>
      </c>
      <c r="AJ144" s="1337">
        <f>AJ142/AVERAGE(AI134:AJ134)*4</f>
        <v>5.0810630118669563E-2</v>
      </c>
      <c r="AK144" s="1337">
        <f>AK142/AVERAGE(AJ134:AK134)*4</f>
        <v>5.796146879631154E-2</v>
      </c>
      <c r="AL144" s="1701">
        <f>AL142/AVERAGE(AK134:AL134)*4</f>
        <v>4.668503809369428E-2</v>
      </c>
      <c r="AM144" s="1713">
        <f>AM142/AVERAGE(AH134,AM134)</f>
        <v>5.0924424262082386E-2</v>
      </c>
      <c r="AN144" s="1700">
        <f>AN142/AVERAGE(AM134:AN134)*4</f>
        <v>5.0008014104824493E-2</v>
      </c>
      <c r="AO144" s="1337">
        <f>AO142/AVERAGE(AN134:AO134)*4</f>
        <v>5.0505050505050504E-2</v>
      </c>
      <c r="AP144" s="1337">
        <f>AP142/AVERAGE(AO134:AP134)*4</f>
        <v>5.5538414069731562E-2</v>
      </c>
      <c r="AQ144" s="1701">
        <f>AQ142/AVERAGE(AP134:AQ134)*4</f>
        <v>5.1737103323808091E-2</v>
      </c>
      <c r="AR144" s="1713">
        <f>AR142/AVERAGE(AM134,AR134)</f>
        <v>5.1511412708204814E-2</v>
      </c>
      <c r="AS144" s="1700">
        <f>+AQ144</f>
        <v>5.1737103323808091E-2</v>
      </c>
      <c r="AT144" s="1337">
        <f>AS144</f>
        <v>5.1737103323808091E-2</v>
      </c>
      <c r="AU144" s="1768">
        <f>AT144</f>
        <v>5.1737103323808091E-2</v>
      </c>
      <c r="AV144" s="1769">
        <f>AU144</f>
        <v>5.1737103323808091E-2</v>
      </c>
      <c r="AW144" s="1713">
        <f>AW142/AVERAGE(AR134,AW134)</f>
        <v>5.1392412722585476E-2</v>
      </c>
      <c r="AX144" s="1700">
        <f>+AV144</f>
        <v>5.1737103323808091E-2</v>
      </c>
      <c r="AY144" s="1337">
        <f>AX144</f>
        <v>5.1737103323808091E-2</v>
      </c>
      <c r="AZ144" s="1768">
        <f>AY144</f>
        <v>5.1737103323808091E-2</v>
      </c>
      <c r="BA144" s="1769">
        <f>AZ144</f>
        <v>5.1737103323808091E-2</v>
      </c>
      <c r="BB144" s="1713">
        <f>BB142/AVERAGE(AW134,BB134)</f>
        <v>5.1637844610892658E-2</v>
      </c>
      <c r="BC144" s="1700">
        <f>+BA144</f>
        <v>5.1737103323808091E-2</v>
      </c>
      <c r="BD144" s="1337">
        <f>BC144</f>
        <v>5.1737103323808091E-2</v>
      </c>
      <c r="BE144" s="1768">
        <f>BD144</f>
        <v>5.1737103323808091E-2</v>
      </c>
      <c r="BF144" s="1769">
        <f>BE144</f>
        <v>5.1737103323808091E-2</v>
      </c>
      <c r="BG144" s="1713">
        <f>BG142/AVERAGE(BB134,BG134)</f>
        <v>5.1530214498237289E-2</v>
      </c>
      <c r="BH144" s="1700">
        <f>+BF144</f>
        <v>5.1737103323808091E-2</v>
      </c>
      <c r="BI144" s="1337">
        <f>BH144</f>
        <v>5.1737103323808091E-2</v>
      </c>
      <c r="BJ144" s="1768">
        <f>BI144</f>
        <v>5.1737103323808091E-2</v>
      </c>
      <c r="BK144" s="1769">
        <f>BJ144</f>
        <v>5.1737103323808091E-2</v>
      </c>
      <c r="BL144" s="1713">
        <f>BL142/AVERAGE(BG134,BL134)</f>
        <v>5.1546844118119668E-2</v>
      </c>
      <c r="BM144" s="895"/>
      <c r="BN144" s="895"/>
      <c r="BO144" s="895"/>
      <c r="BP144" s="895"/>
      <c r="BQ144" s="895"/>
      <c r="BR144" s="895"/>
      <c r="BS144" s="895"/>
      <c r="BT144" s="895"/>
      <c r="BU144" s="895"/>
      <c r="BV144" s="895"/>
      <c r="BW144" s="895"/>
      <c r="BX144" s="895"/>
      <c r="BY144" s="895"/>
      <c r="BZ144" s="895"/>
      <c r="CA144" s="895"/>
      <c r="CB144" s="895"/>
      <c r="CC144" s="895"/>
      <c r="CD144" s="895"/>
      <c r="CE144" s="895"/>
      <c r="CF144" s="895"/>
      <c r="CG144" s="895"/>
      <c r="CH144" s="895"/>
      <c r="CI144" s="895"/>
      <c r="CJ144" s="895"/>
      <c r="CK144" s="895"/>
      <c r="CL144" s="895"/>
      <c r="CM144" s="895"/>
      <c r="CN144" s="895"/>
      <c r="CO144" s="895"/>
      <c r="CP144" s="895"/>
    </row>
    <row r="145" spans="1:94">
      <c r="A145" s="1716"/>
      <c r="B145" s="1716"/>
      <c r="C145" s="1716"/>
      <c r="D145" s="1716"/>
      <c r="E145" s="1717"/>
      <c r="F145" s="1718"/>
      <c r="G145" s="1718"/>
      <c r="H145" s="1719"/>
      <c r="I145" s="1716"/>
      <c r="J145" s="1717"/>
      <c r="K145" s="1718"/>
      <c r="L145" s="1718"/>
      <c r="M145" s="1719"/>
      <c r="N145" s="1716"/>
      <c r="O145" s="1717"/>
      <c r="P145" s="1718"/>
      <c r="Q145" s="1718"/>
      <c r="R145" s="1719"/>
      <c r="S145" s="1716"/>
      <c r="T145" s="1717"/>
      <c r="U145" s="1718"/>
      <c r="V145" s="1718"/>
      <c r="W145" s="1719"/>
      <c r="X145" s="1716"/>
      <c r="Y145" s="1717"/>
      <c r="Z145" s="1718"/>
      <c r="AA145" s="1718"/>
      <c r="AB145" s="1719"/>
      <c r="AC145" s="1716"/>
      <c r="AD145" s="1717"/>
      <c r="AE145" s="1718"/>
      <c r="AF145" s="1718"/>
      <c r="AG145" s="1719"/>
      <c r="AH145" s="1716"/>
      <c r="AI145" s="1717"/>
      <c r="AJ145" s="1718"/>
      <c r="AK145" s="1718"/>
      <c r="AL145" s="1719"/>
      <c r="AM145" s="1716"/>
      <c r="AN145" s="1717"/>
      <c r="AO145" s="1718"/>
      <c r="AP145" s="1718"/>
      <c r="AQ145" s="1719"/>
      <c r="AR145" s="1716"/>
      <c r="AS145" s="1717"/>
      <c r="AT145" s="1718"/>
      <c r="AU145" s="1718"/>
      <c r="AV145" s="1719"/>
      <c r="AW145" s="1716"/>
      <c r="AX145" s="1717"/>
      <c r="AY145" s="1718"/>
      <c r="AZ145" s="1718"/>
      <c r="BA145" s="1719"/>
      <c r="BB145" s="1716"/>
      <c r="BC145" s="1717"/>
      <c r="BD145" s="1718"/>
      <c r="BE145" s="1718"/>
      <c r="BF145" s="1719"/>
      <c r="BG145" s="1716"/>
      <c r="BH145" s="1717"/>
      <c r="BI145" s="1718"/>
      <c r="BJ145" s="1718"/>
      <c r="BK145" s="1719"/>
      <c r="BL145" s="1716"/>
      <c r="BM145" s="1716"/>
      <c r="BN145" s="1716"/>
      <c r="BO145" s="1716"/>
      <c r="BP145" s="1716"/>
      <c r="BQ145" s="1716"/>
      <c r="BR145" s="1716"/>
      <c r="BS145" s="1716"/>
      <c r="BT145" s="1716"/>
      <c r="BU145" s="1716"/>
      <c r="BV145" s="1716"/>
      <c r="BW145" s="1716"/>
      <c r="BX145" s="1716"/>
      <c r="BY145" s="1716"/>
      <c r="BZ145" s="1716"/>
      <c r="CA145" s="1716"/>
      <c r="CB145" s="1716"/>
      <c r="CC145" s="1716"/>
      <c r="CD145" s="1716"/>
      <c r="CE145" s="1716"/>
      <c r="CF145" s="1716"/>
      <c r="CG145" s="1716"/>
      <c r="CH145" s="1716"/>
      <c r="CI145" s="1716"/>
      <c r="CJ145" s="1716"/>
      <c r="CK145" s="1716"/>
      <c r="CL145" s="1716"/>
      <c r="CM145" s="1716"/>
      <c r="CN145" s="1716"/>
      <c r="CO145" s="1716"/>
      <c r="CP145" s="1716"/>
    </row>
    <row r="146" spans="1:94">
      <c r="A146" s="1716"/>
      <c r="B146" s="1716"/>
      <c r="C146" s="1716" t="s">
        <v>886</v>
      </c>
      <c r="D146" s="1716"/>
      <c r="E146" s="1717"/>
      <c r="F146" s="1718"/>
      <c r="G146" s="1718"/>
      <c r="H146" s="1719"/>
      <c r="I146" s="1716"/>
      <c r="J146" s="1717"/>
      <c r="K146" s="1718"/>
      <c r="L146" s="1718"/>
      <c r="M146" s="1719"/>
      <c r="N146" s="1716"/>
      <c r="O146" s="1717"/>
      <c r="P146" s="1718"/>
      <c r="Q146" s="1718"/>
      <c r="R146" s="1719"/>
      <c r="S146" s="1716"/>
      <c r="T146" s="290"/>
      <c r="U146" s="260"/>
      <c r="V146" s="260"/>
      <c r="W146" s="1719"/>
      <c r="X146" s="1716"/>
      <c r="Y146" s="290"/>
      <c r="Z146" s="260"/>
      <c r="AA146" s="260"/>
      <c r="AB146" s="1719"/>
      <c r="AC146" s="1716"/>
      <c r="AD146" s="290"/>
      <c r="AE146" s="260"/>
      <c r="AF146" s="260"/>
      <c r="AG146" s="1719"/>
      <c r="AH146" s="1716"/>
      <c r="AI146" s="290"/>
      <c r="AJ146" s="260"/>
      <c r="AK146" s="260"/>
      <c r="AL146" s="1719"/>
      <c r="AM146" s="1716"/>
      <c r="AN146" s="290"/>
      <c r="AO146" s="260"/>
      <c r="AP146" s="260"/>
      <c r="AQ146" s="1719"/>
      <c r="AR146" s="1716"/>
      <c r="AS146" s="290">
        <f>+AW146/4</f>
        <v>50</v>
      </c>
      <c r="AT146" s="260">
        <f>(AW146-SUM(AS146:AS146))/3</f>
        <v>50</v>
      </c>
      <c r="AU146" s="260">
        <f>(AW146-SUM(AS146:AT146))/2</f>
        <v>50</v>
      </c>
      <c r="AV146" s="291">
        <f>(AW146-SUM(AS146:AU146))/1</f>
        <v>50</v>
      </c>
      <c r="AW146" s="1770">
        <v>200</v>
      </c>
      <c r="AX146" s="290">
        <f>+BB146/4</f>
        <v>43.75</v>
      </c>
      <c r="AY146" s="260">
        <f>(BB146-SUM(AX146:AX146))/3</f>
        <v>43.75</v>
      </c>
      <c r="AZ146" s="260">
        <f>(BB146-SUM(AX146:AY146))/2</f>
        <v>43.75</v>
      </c>
      <c r="BA146" s="291">
        <f>(BB146-SUM(AX146:AZ146))/1</f>
        <v>43.75</v>
      </c>
      <c r="BB146" s="1770">
        <v>175</v>
      </c>
      <c r="BC146" s="290">
        <f>+BG146/4</f>
        <v>43.75</v>
      </c>
      <c r="BD146" s="646">
        <f>(BG146-SUM(BC146:BC146))/3</f>
        <v>43.75</v>
      </c>
      <c r="BE146" s="646">
        <f>(BG146-SUM(BC146:BD146))/2</f>
        <v>43.75</v>
      </c>
      <c r="BF146" s="586">
        <f>(BG146-SUM(BC146:BE146))/1</f>
        <v>43.75</v>
      </c>
      <c r="BG146" s="2057">
        <v>175</v>
      </c>
      <c r="BH146" s="290">
        <f>+BL146/4</f>
        <v>43.75</v>
      </c>
      <c r="BI146" s="646">
        <f>(BL146-SUM(BH146:BH146))/3</f>
        <v>43.75</v>
      </c>
      <c r="BJ146" s="646">
        <f>(BL146-SUM(BH146:BI146))/2</f>
        <v>43.75</v>
      </c>
      <c r="BK146" s="586">
        <f>(BL146-SUM(BH146:BJ146))/1</f>
        <v>43.75</v>
      </c>
      <c r="BL146" s="2031">
        <v>175</v>
      </c>
      <c r="BM146" s="1770"/>
      <c r="BN146" s="1716"/>
      <c r="BO146" s="1716"/>
      <c r="BP146" s="1716"/>
      <c r="BQ146" s="1716"/>
      <c r="BR146" s="1716"/>
      <c r="BS146" s="1716"/>
      <c r="BT146" s="1716"/>
      <c r="BU146" s="1716"/>
      <c r="BV146" s="1716"/>
      <c r="BW146" s="1716"/>
      <c r="BX146" s="1716"/>
      <c r="BY146" s="1716"/>
      <c r="BZ146" s="1716"/>
      <c r="CA146" s="1716"/>
      <c r="CB146" s="1716"/>
      <c r="CC146" s="1716"/>
      <c r="CD146" s="1716"/>
      <c r="CE146" s="1716"/>
      <c r="CF146" s="1716"/>
      <c r="CG146" s="1716"/>
      <c r="CH146" s="1716"/>
      <c r="CI146" s="1716"/>
      <c r="CJ146" s="1716"/>
      <c r="CK146" s="1716"/>
      <c r="CL146" s="1716"/>
      <c r="CM146" s="1716"/>
      <c r="CN146" s="1716"/>
      <c r="CO146" s="1716"/>
      <c r="CP146" s="1716"/>
    </row>
    <row r="147" spans="1:94">
      <c r="A147" s="1716"/>
      <c r="B147" s="1716"/>
      <c r="C147" s="1716" t="s">
        <v>736</v>
      </c>
      <c r="D147" s="1716"/>
      <c r="E147" s="1717"/>
      <c r="F147" s="1718"/>
      <c r="G147" s="1718"/>
      <c r="H147" s="1719"/>
      <c r="I147" s="1716"/>
      <c r="J147" s="1717"/>
      <c r="K147" s="1718"/>
      <c r="L147" s="1718"/>
      <c r="M147" s="1719"/>
      <c r="N147" s="1716"/>
      <c r="O147" s="1717"/>
      <c r="P147" s="1718"/>
      <c r="Q147" s="1718"/>
      <c r="R147" s="1719"/>
      <c r="S147" s="1716"/>
      <c r="T147" s="290"/>
      <c r="U147" s="260"/>
      <c r="V147" s="260"/>
      <c r="W147" s="1719"/>
      <c r="X147" s="1716"/>
      <c r="Y147" s="290"/>
      <c r="Z147" s="260"/>
      <c r="AA147" s="260"/>
      <c r="AB147" s="1719"/>
      <c r="AC147" s="1716"/>
      <c r="AD147" s="290"/>
      <c r="AE147" s="260"/>
      <c r="AF147" s="260"/>
      <c r="AG147" s="1719"/>
      <c r="AH147" s="1716"/>
      <c r="AI147" s="290"/>
      <c r="AJ147" s="260"/>
      <c r="AK147" s="260"/>
      <c r="AL147" s="1719"/>
      <c r="AM147" s="1716"/>
      <c r="AN147" s="290"/>
      <c r="AO147" s="260"/>
      <c r="AP147" s="260"/>
      <c r="AQ147" s="1719"/>
      <c r="AR147" s="1716"/>
      <c r="AS147" s="290">
        <f>+AW147/4</f>
        <v>37.5</v>
      </c>
      <c r="AT147" s="260">
        <f>(AW147-SUM(AS147:AS147))/3</f>
        <v>37.5</v>
      </c>
      <c r="AU147" s="260">
        <f>(AW147-SUM(AS147:AT147))/2</f>
        <v>37.5</v>
      </c>
      <c r="AV147" s="291">
        <f>(AW147-SUM(AS147:AU147))/1</f>
        <v>37.5</v>
      </c>
      <c r="AW147" s="1770">
        <v>150</v>
      </c>
      <c r="AX147" s="290">
        <f>+BB147/4</f>
        <v>25</v>
      </c>
      <c r="AY147" s="260">
        <f>(BB147-SUM(AX147:AX147))/3</f>
        <v>25</v>
      </c>
      <c r="AZ147" s="260">
        <f>(BB147-SUM(AX147:AY147))/2</f>
        <v>25</v>
      </c>
      <c r="BA147" s="291">
        <f>(BB147-SUM(AX147:AZ147))/1</f>
        <v>25</v>
      </c>
      <c r="BB147" s="1770">
        <v>100</v>
      </c>
      <c r="BC147" s="290">
        <f>+BG147/4</f>
        <v>25</v>
      </c>
      <c r="BD147" s="646">
        <f>(BG147-SUM(BC147:BC147))/3</f>
        <v>25</v>
      </c>
      <c r="BE147" s="646">
        <f>(BG147-SUM(BC147:BD147))/2</f>
        <v>25</v>
      </c>
      <c r="BF147" s="586">
        <f>(BG147-SUM(BC147:BE147))/1</f>
        <v>25</v>
      </c>
      <c r="BG147" s="2057">
        <v>100</v>
      </c>
      <c r="BH147" s="290">
        <f>+BL147/4</f>
        <v>25</v>
      </c>
      <c r="BI147" s="646">
        <f>(BL147-SUM(BH147:BH147))/3</f>
        <v>25</v>
      </c>
      <c r="BJ147" s="646">
        <f>(BL147-SUM(BH147:BI147))/2</f>
        <v>25</v>
      </c>
      <c r="BK147" s="586">
        <f>(BL147-SUM(BH147:BJ147))/1</f>
        <v>25</v>
      </c>
      <c r="BL147" s="2031">
        <v>100</v>
      </c>
      <c r="BM147" s="1770"/>
      <c r="BN147" s="1716"/>
      <c r="BO147" s="1716"/>
      <c r="BP147" s="1716"/>
      <c r="BQ147" s="1716"/>
      <c r="BR147" s="1716"/>
      <c r="BS147" s="1716"/>
      <c r="BT147" s="1716"/>
      <c r="BU147" s="1716"/>
      <c r="BV147" s="1716"/>
      <c r="BW147" s="1716"/>
      <c r="BX147" s="1716"/>
      <c r="BY147" s="1716"/>
      <c r="BZ147" s="1716"/>
      <c r="CA147" s="1716"/>
      <c r="CB147" s="1716"/>
      <c r="CC147" s="1716"/>
      <c r="CD147" s="1716"/>
      <c r="CE147" s="1716"/>
      <c r="CF147" s="1716"/>
      <c r="CG147" s="1716"/>
      <c r="CH147" s="1716"/>
      <c r="CI147" s="1716"/>
      <c r="CJ147" s="1716"/>
      <c r="CK147" s="1716"/>
      <c r="CL147" s="1716"/>
      <c r="CM147" s="1716"/>
      <c r="CN147" s="1716"/>
      <c r="CO147" s="1716"/>
      <c r="CP147" s="1716"/>
    </row>
    <row r="148" spans="1:94">
      <c r="A148" s="1716"/>
      <c r="B148" s="1716"/>
      <c r="C148" s="1716" t="s">
        <v>1229</v>
      </c>
      <c r="D148" s="1716"/>
      <c r="E148" s="1717"/>
      <c r="F148" s="1718"/>
      <c r="G148" s="1718"/>
      <c r="H148" s="1719"/>
      <c r="I148" s="1716"/>
      <c r="J148" s="1717"/>
      <c r="K148" s="1718"/>
      <c r="L148" s="1718"/>
      <c r="M148" s="1719"/>
      <c r="N148" s="1716"/>
      <c r="O148" s="1717"/>
      <c r="P148" s="1718"/>
      <c r="Q148" s="1718"/>
      <c r="R148" s="1719"/>
      <c r="S148" s="1716"/>
      <c r="T148" s="290"/>
      <c r="U148" s="260"/>
      <c r="V148" s="260"/>
      <c r="W148" s="1719"/>
      <c r="X148" s="1716"/>
      <c r="Y148" s="290"/>
      <c r="Z148" s="260"/>
      <c r="AA148" s="260"/>
      <c r="AB148" s="1719"/>
      <c r="AC148" s="1716"/>
      <c r="AD148" s="290"/>
      <c r="AE148" s="260"/>
      <c r="AF148" s="260"/>
      <c r="AG148" s="1719"/>
      <c r="AH148" s="1716"/>
      <c r="AI148" s="290"/>
      <c r="AJ148" s="260"/>
      <c r="AK148" s="260"/>
      <c r="AL148" s="1719"/>
      <c r="AM148" s="1716"/>
      <c r="AN148" s="290"/>
      <c r="AO148" s="260"/>
      <c r="AP148" s="260"/>
      <c r="AQ148" s="1719"/>
      <c r="AR148" s="1716"/>
      <c r="AS148" s="290">
        <f>+AW148/4</f>
        <v>12.5</v>
      </c>
      <c r="AT148" s="260">
        <f>(AW148-SUM(AS148:AS148))/3</f>
        <v>12.5</v>
      </c>
      <c r="AU148" s="260">
        <f>(AW148-SUM(AS148:AT148))/2</f>
        <v>12.5</v>
      </c>
      <c r="AV148" s="291">
        <f>(AW148-SUM(AS148:AU148))/1</f>
        <v>12.5</v>
      </c>
      <c r="AW148" s="1770">
        <v>50</v>
      </c>
      <c r="AX148" s="290">
        <f>+BB148/4</f>
        <v>12.5</v>
      </c>
      <c r="AY148" s="260">
        <f>(BB148-SUM(AX148:AX148))/3</f>
        <v>12.5</v>
      </c>
      <c r="AZ148" s="260">
        <f>(BB148-SUM(AX148:AY148))/2</f>
        <v>12.5</v>
      </c>
      <c r="BA148" s="291">
        <f>(BB148-SUM(AX148:AZ148))/1</f>
        <v>12.5</v>
      </c>
      <c r="BB148" s="1770">
        <v>50</v>
      </c>
      <c r="BC148" s="290">
        <f>+BG148/4</f>
        <v>12.5</v>
      </c>
      <c r="BD148" s="646">
        <f>(BG148-SUM(BC148:BC148))/3</f>
        <v>12.5</v>
      </c>
      <c r="BE148" s="646">
        <f>(BG148-SUM(BC148:BD148))/2</f>
        <v>12.5</v>
      </c>
      <c r="BF148" s="586">
        <f>(BG148-SUM(BC148:BE148))/1</f>
        <v>12.5</v>
      </c>
      <c r="BG148" s="2057">
        <v>50</v>
      </c>
      <c r="BH148" s="290">
        <f>+BL148/4</f>
        <v>12.5</v>
      </c>
      <c r="BI148" s="646">
        <f>(BL148-SUM(BH148:BH148))/3</f>
        <v>12.5</v>
      </c>
      <c r="BJ148" s="646">
        <f>(BL148-SUM(BH148:BI148))/2</f>
        <v>12.5</v>
      </c>
      <c r="BK148" s="586">
        <f>(BL148-SUM(BH148:BJ148))/1</f>
        <v>12.5</v>
      </c>
      <c r="BL148" s="2031">
        <f t="shared" ref="BL148:BL149" si="374">+BG148</f>
        <v>50</v>
      </c>
      <c r="BM148" s="1770"/>
      <c r="BN148" s="1716"/>
      <c r="BO148" s="1716"/>
      <c r="BP148" s="1716"/>
      <c r="BQ148" s="1716"/>
      <c r="BR148" s="1716"/>
      <c r="BS148" s="1716"/>
      <c r="BT148" s="1716"/>
      <c r="BU148" s="1716"/>
      <c r="BV148" s="1716"/>
      <c r="BW148" s="1716"/>
      <c r="BX148" s="1716"/>
      <c r="BY148" s="1716"/>
      <c r="BZ148" s="1716"/>
      <c r="CA148" s="1716"/>
      <c r="CB148" s="1716"/>
      <c r="CC148" s="1716"/>
      <c r="CD148" s="1716"/>
      <c r="CE148" s="1716"/>
      <c r="CF148" s="1716"/>
      <c r="CG148" s="1716"/>
      <c r="CH148" s="1716"/>
      <c r="CI148" s="1716"/>
      <c r="CJ148" s="1716"/>
      <c r="CK148" s="1716"/>
      <c r="CL148" s="1716"/>
      <c r="CM148" s="1716"/>
      <c r="CN148" s="1716"/>
      <c r="CO148" s="1716"/>
      <c r="CP148" s="1716"/>
    </row>
    <row r="149" spans="1:94">
      <c r="A149" s="1716"/>
      <c r="B149" s="1716"/>
      <c r="C149" s="1716" t="s">
        <v>62</v>
      </c>
      <c r="D149" s="1716"/>
      <c r="E149" s="1717"/>
      <c r="F149" s="1718"/>
      <c r="G149" s="1718"/>
      <c r="H149" s="1719"/>
      <c r="I149" s="1716"/>
      <c r="J149" s="1717"/>
      <c r="K149" s="1718"/>
      <c r="L149" s="1718"/>
      <c r="M149" s="1719"/>
      <c r="N149" s="1716"/>
      <c r="O149" s="1717"/>
      <c r="P149" s="1718"/>
      <c r="Q149" s="1718"/>
      <c r="R149" s="1719"/>
      <c r="S149" s="1716"/>
      <c r="T149" s="290"/>
      <c r="U149" s="260"/>
      <c r="V149" s="260"/>
      <c r="W149" s="1719"/>
      <c r="X149" s="1716"/>
      <c r="Y149" s="290"/>
      <c r="Z149" s="260"/>
      <c r="AA149" s="260"/>
      <c r="AB149" s="1719"/>
      <c r="AC149" s="1716"/>
      <c r="AD149" s="290"/>
      <c r="AE149" s="260"/>
      <c r="AF149" s="260"/>
      <c r="AG149" s="1719"/>
      <c r="AH149" s="1716"/>
      <c r="AI149" s="290"/>
      <c r="AJ149" s="260"/>
      <c r="AK149" s="260"/>
      <c r="AL149" s="1719"/>
      <c r="AM149" s="1716"/>
      <c r="AN149" s="290"/>
      <c r="AO149" s="260"/>
      <c r="AP149" s="260"/>
      <c r="AQ149" s="1719"/>
      <c r="AR149" s="1716"/>
      <c r="AS149" s="290">
        <f>+AW149/4</f>
        <v>0</v>
      </c>
      <c r="AT149" s="260">
        <f>(AW149-SUM(AS149:AS149))/3</f>
        <v>0</v>
      </c>
      <c r="AU149" s="260">
        <f>(AW149-SUM(AS149:AT149))/2</f>
        <v>0</v>
      </c>
      <c r="AV149" s="291">
        <f>(AW149-SUM(AS149:AU149))/1</f>
        <v>0</v>
      </c>
      <c r="AW149" s="1770">
        <v>0</v>
      </c>
      <c r="AX149" s="290">
        <f>+BB149/4</f>
        <v>0</v>
      </c>
      <c r="AY149" s="260">
        <f>(BB149-SUM(AX149:AX149))/3</f>
        <v>0</v>
      </c>
      <c r="AZ149" s="260">
        <f>(BB149-SUM(AX149:AY149))/2</f>
        <v>0</v>
      </c>
      <c r="BA149" s="291">
        <f>(BB149-SUM(AX149:AZ149))/1</f>
        <v>0</v>
      </c>
      <c r="BB149" s="1770">
        <v>0</v>
      </c>
      <c r="BC149" s="290">
        <f>+BG149/4</f>
        <v>0</v>
      </c>
      <c r="BD149" s="646">
        <f>(BG149-SUM(BC149:BC149))/3</f>
        <v>0</v>
      </c>
      <c r="BE149" s="646">
        <f>(BG149-SUM(BC149:BD149))/2</f>
        <v>0</v>
      </c>
      <c r="BF149" s="586">
        <f>(BG149-SUM(BC149:BE149))/1</f>
        <v>0</v>
      </c>
      <c r="BG149" s="2057">
        <v>0</v>
      </c>
      <c r="BH149" s="290">
        <f>+BL149/4</f>
        <v>0</v>
      </c>
      <c r="BI149" s="646">
        <f>(BL149-SUM(BH149:BH149))/3</f>
        <v>0</v>
      </c>
      <c r="BJ149" s="646">
        <f>(BL149-SUM(BH149:BI149))/2</f>
        <v>0</v>
      </c>
      <c r="BK149" s="586">
        <f>(BL149-SUM(BH149:BJ149))/1</f>
        <v>0</v>
      </c>
      <c r="BL149" s="2031">
        <f t="shared" si="374"/>
        <v>0</v>
      </c>
      <c r="BM149" s="2057"/>
      <c r="BN149" s="1716"/>
      <c r="BO149" s="1716"/>
      <c r="BP149" s="1716"/>
      <c r="BQ149" s="1716"/>
      <c r="BR149" s="1716"/>
      <c r="BS149" s="1716"/>
      <c r="BT149" s="1716"/>
      <c r="BU149" s="1716"/>
      <c r="BV149" s="1716"/>
      <c r="BW149" s="1716"/>
      <c r="BX149" s="1716"/>
      <c r="BY149" s="1716"/>
      <c r="BZ149" s="1716"/>
      <c r="CA149" s="1716"/>
      <c r="CB149" s="1716"/>
      <c r="CC149" s="1716"/>
      <c r="CD149" s="1716"/>
      <c r="CE149" s="1716"/>
      <c r="CF149" s="1716"/>
      <c r="CG149" s="1716"/>
      <c r="CH149" s="1716"/>
      <c r="CI149" s="1716"/>
      <c r="CJ149" s="1716"/>
      <c r="CK149" s="1716"/>
      <c r="CL149" s="1716"/>
      <c r="CM149" s="1716"/>
      <c r="CN149" s="1716"/>
      <c r="CO149" s="1716"/>
      <c r="CP149" s="1716"/>
    </row>
    <row r="150" spans="1:94">
      <c r="A150" s="228"/>
      <c r="B150" s="228"/>
      <c r="C150" s="1756" t="s">
        <v>147</v>
      </c>
      <c r="D150" s="228"/>
      <c r="E150" s="580"/>
      <c r="F150" s="581"/>
      <c r="G150" s="581"/>
      <c r="H150" s="582"/>
      <c r="I150" s="583">
        <f t="shared" ref="I150:X150" si="375">-I181</f>
        <v>250</v>
      </c>
      <c r="J150" s="580">
        <f t="shared" si="375"/>
        <v>41</v>
      </c>
      <c r="K150" s="581">
        <f t="shared" si="375"/>
        <v>58</v>
      </c>
      <c r="L150" s="581">
        <f t="shared" si="375"/>
        <v>47</v>
      </c>
      <c r="M150" s="582">
        <f t="shared" si="375"/>
        <v>83</v>
      </c>
      <c r="N150" s="583">
        <f t="shared" si="375"/>
        <v>229</v>
      </c>
      <c r="O150" s="580">
        <f t="shared" si="375"/>
        <v>69</v>
      </c>
      <c r="P150" s="581">
        <f t="shared" si="375"/>
        <v>76</v>
      </c>
      <c r="Q150" s="581">
        <f t="shared" si="375"/>
        <v>74</v>
      </c>
      <c r="R150" s="582">
        <f t="shared" si="375"/>
        <v>101</v>
      </c>
      <c r="S150" s="583">
        <f t="shared" si="375"/>
        <v>320</v>
      </c>
      <c r="T150" s="580">
        <f t="shared" si="375"/>
        <v>83</v>
      </c>
      <c r="U150" s="261">
        <f t="shared" si="375"/>
        <v>81</v>
      </c>
      <c r="V150" s="261">
        <f t="shared" si="375"/>
        <v>85</v>
      </c>
      <c r="W150" s="582">
        <f t="shared" si="375"/>
        <v>108</v>
      </c>
      <c r="X150" s="583">
        <f t="shared" si="375"/>
        <v>357</v>
      </c>
      <c r="Y150" s="580">
        <f t="shared" ref="Y150:AC150" si="376">-Y181</f>
        <v>87</v>
      </c>
      <c r="Z150" s="261">
        <f t="shared" si="376"/>
        <v>85</v>
      </c>
      <c r="AA150" s="261">
        <f t="shared" si="376"/>
        <v>79</v>
      </c>
      <c r="AB150" s="582">
        <f t="shared" si="376"/>
        <v>101</v>
      </c>
      <c r="AC150" s="583">
        <f t="shared" si="376"/>
        <v>352</v>
      </c>
      <c r="AD150" s="580">
        <f t="shared" ref="AD150:AH150" si="377">-AD181</f>
        <v>68</v>
      </c>
      <c r="AE150" s="261">
        <f t="shared" si="377"/>
        <v>86</v>
      </c>
      <c r="AF150" s="261">
        <f t="shared" si="377"/>
        <v>92</v>
      </c>
      <c r="AG150" s="582">
        <f t="shared" si="377"/>
        <v>106</v>
      </c>
      <c r="AH150" s="583">
        <f t="shared" si="377"/>
        <v>352</v>
      </c>
      <c r="AI150" s="580">
        <f t="shared" ref="AI150:AM150" si="378">-AI181</f>
        <v>81</v>
      </c>
      <c r="AJ150" s="261">
        <f t="shared" si="378"/>
        <v>101</v>
      </c>
      <c r="AK150" s="261">
        <f t="shared" si="378"/>
        <v>78</v>
      </c>
      <c r="AL150" s="582">
        <f t="shared" si="378"/>
        <v>89</v>
      </c>
      <c r="AM150" s="583">
        <f t="shared" si="378"/>
        <v>349</v>
      </c>
      <c r="AN150" s="580">
        <f t="shared" ref="AN150:AR150" si="379">-AN181</f>
        <v>82</v>
      </c>
      <c r="AO150" s="261">
        <f t="shared" si="379"/>
        <v>110</v>
      </c>
      <c r="AP150" s="261">
        <f t="shared" si="379"/>
        <v>102</v>
      </c>
      <c r="AQ150" s="2319">
        <f t="shared" si="379"/>
        <v>134</v>
      </c>
      <c r="AR150" s="583">
        <f t="shared" si="379"/>
        <v>428</v>
      </c>
      <c r="AS150" s="292">
        <f t="shared" ref="AS150:AW150" si="380">SUM(AS146:AS149)</f>
        <v>100</v>
      </c>
      <c r="AT150" s="261">
        <f t="shared" si="380"/>
        <v>100</v>
      </c>
      <c r="AU150" s="261">
        <f t="shared" si="380"/>
        <v>100</v>
      </c>
      <c r="AV150" s="293">
        <f t="shared" si="380"/>
        <v>100</v>
      </c>
      <c r="AW150" s="228">
        <f t="shared" si="380"/>
        <v>400</v>
      </c>
      <c r="AX150" s="292">
        <f t="shared" ref="AX150:BG150" si="381">SUM(AX146:AX149)</f>
        <v>81.25</v>
      </c>
      <c r="AY150" s="261">
        <f t="shared" si="381"/>
        <v>81.25</v>
      </c>
      <c r="AZ150" s="261">
        <f t="shared" si="381"/>
        <v>81.25</v>
      </c>
      <c r="BA150" s="293">
        <f t="shared" si="381"/>
        <v>81.25</v>
      </c>
      <c r="BB150" s="228">
        <f t="shared" si="381"/>
        <v>325</v>
      </c>
      <c r="BC150" s="292">
        <f t="shared" si="381"/>
        <v>81.25</v>
      </c>
      <c r="BD150" s="261">
        <f t="shared" si="381"/>
        <v>81.25</v>
      </c>
      <c r="BE150" s="261">
        <f t="shared" si="381"/>
        <v>81.25</v>
      </c>
      <c r="BF150" s="293">
        <f t="shared" si="381"/>
        <v>81.25</v>
      </c>
      <c r="BG150" s="228">
        <f t="shared" si="381"/>
        <v>325</v>
      </c>
      <c r="BH150" s="292">
        <f t="shared" ref="BH150:BL150" si="382">SUM(BH146:BH149)</f>
        <v>81.25</v>
      </c>
      <c r="BI150" s="261">
        <f t="shared" si="382"/>
        <v>81.25</v>
      </c>
      <c r="BJ150" s="261">
        <f t="shared" si="382"/>
        <v>81.25</v>
      </c>
      <c r="BK150" s="293">
        <f t="shared" si="382"/>
        <v>81.25</v>
      </c>
      <c r="BL150" s="228">
        <f t="shared" si="382"/>
        <v>325</v>
      </c>
      <c r="BM150" s="2057"/>
      <c r="BN150" s="228"/>
      <c r="BO150" s="228"/>
      <c r="BP150" s="228"/>
      <c r="BQ150" s="228"/>
      <c r="BR150" s="228"/>
      <c r="BS150" s="228"/>
      <c r="BT150" s="228"/>
      <c r="BU150" s="228"/>
      <c r="BV150" s="228"/>
      <c r="BW150" s="228"/>
      <c r="BX150" s="228"/>
      <c r="BY150" s="228"/>
      <c r="BZ150" s="228"/>
      <c r="CA150" s="228"/>
      <c r="CB150" s="228"/>
      <c r="CC150" s="228"/>
      <c r="CD150" s="228"/>
      <c r="CE150" s="228"/>
      <c r="CF150" s="228"/>
      <c r="CG150" s="228"/>
      <c r="CH150" s="228"/>
      <c r="CI150" s="228"/>
      <c r="CJ150" s="228"/>
      <c r="CK150" s="228"/>
      <c r="CL150" s="228"/>
      <c r="CM150" s="228"/>
      <c r="CN150" s="228"/>
      <c r="CO150" s="228"/>
      <c r="CP150" s="228"/>
    </row>
    <row r="151" spans="1:94">
      <c r="A151" s="228"/>
      <c r="B151" s="228"/>
      <c r="C151" s="1756"/>
      <c r="D151" s="228"/>
      <c r="E151" s="580"/>
      <c r="F151" s="581"/>
      <c r="G151" s="581"/>
      <c r="H151" s="582"/>
      <c r="I151" s="583"/>
      <c r="J151" s="580"/>
      <c r="K151" s="581"/>
      <c r="L151" s="581"/>
      <c r="M151" s="582"/>
      <c r="N151" s="583"/>
      <c r="O151" s="580"/>
      <c r="P151" s="581"/>
      <c r="Q151" s="581"/>
      <c r="R151" s="582"/>
      <c r="S151" s="583"/>
      <c r="T151" s="292"/>
      <c r="U151" s="261"/>
      <c r="V151" s="261"/>
      <c r="W151" s="293"/>
      <c r="X151" s="228"/>
      <c r="Y151" s="292"/>
      <c r="Z151" s="261"/>
      <c r="AA151" s="261"/>
      <c r="AB151" s="293"/>
      <c r="AC151" s="228"/>
      <c r="AD151" s="292"/>
      <c r="AE151" s="261"/>
      <c r="AF151" s="261"/>
      <c r="AG151" s="293"/>
      <c r="AH151" s="228"/>
      <c r="AI151" s="292"/>
      <c r="AJ151" s="261"/>
      <c r="AK151" s="261"/>
      <c r="AL151" s="293"/>
      <c r="AM151" s="228"/>
      <c r="AN151" s="292"/>
      <c r="AO151" s="261"/>
      <c r="AP151" s="261"/>
      <c r="AQ151" s="293"/>
      <c r="AR151" s="228"/>
      <c r="AS151" s="292"/>
      <c r="AT151" s="261"/>
      <c r="AU151" s="261"/>
      <c r="AV151" s="293"/>
      <c r="AW151" s="228"/>
      <c r="AX151" s="292"/>
      <c r="AY151" s="261"/>
      <c r="AZ151" s="261"/>
      <c r="BA151" s="293"/>
      <c r="BB151" s="228"/>
      <c r="BC151" s="292"/>
      <c r="BD151" s="261"/>
      <c r="BE151" s="261"/>
      <c r="BF151" s="293"/>
      <c r="BG151" s="228"/>
      <c r="BH151" s="292"/>
      <c r="BI151" s="261"/>
      <c r="BJ151" s="261"/>
      <c r="BK151" s="293"/>
      <c r="BL151" s="228"/>
      <c r="BM151" s="1770"/>
      <c r="BN151" s="228"/>
      <c r="BO151" s="228"/>
      <c r="BP151" s="228"/>
      <c r="BQ151" s="228"/>
      <c r="BR151" s="228"/>
      <c r="BS151" s="228"/>
      <c r="BT151" s="228"/>
      <c r="BU151" s="228"/>
      <c r="BV151" s="228"/>
      <c r="BW151" s="228"/>
      <c r="BX151" s="228"/>
      <c r="BY151" s="228"/>
      <c r="BZ151" s="228"/>
      <c r="CA151" s="228"/>
      <c r="CB151" s="228"/>
      <c r="CC151" s="228"/>
      <c r="CD151" s="228"/>
      <c r="CE151" s="228"/>
      <c r="CF151" s="228"/>
      <c r="CG151" s="228"/>
      <c r="CH151" s="228"/>
      <c r="CI151" s="228"/>
      <c r="CJ151" s="228"/>
      <c r="CK151" s="228"/>
      <c r="CL151" s="228"/>
      <c r="CM151" s="228"/>
      <c r="CN151" s="228"/>
      <c r="CO151" s="228"/>
      <c r="CP151" s="228"/>
    </row>
    <row r="152" spans="1:94">
      <c r="A152" s="228"/>
      <c r="B152" s="228"/>
      <c r="C152" s="1756"/>
      <c r="D152" s="228"/>
      <c r="E152" s="580"/>
      <c r="F152" s="581"/>
      <c r="G152" s="581"/>
      <c r="H152" s="582"/>
      <c r="I152" s="583"/>
      <c r="J152" s="580"/>
      <c r="K152" s="581"/>
      <c r="L152" s="581"/>
      <c r="M152" s="582"/>
      <c r="N152" s="583"/>
      <c r="O152" s="580"/>
      <c r="P152" s="581"/>
      <c r="Q152" s="581"/>
      <c r="R152" s="582"/>
      <c r="S152" s="583"/>
      <c r="T152" s="292"/>
      <c r="U152" s="261"/>
      <c r="V152" s="261"/>
      <c r="W152" s="293"/>
      <c r="X152" s="228"/>
      <c r="Y152" s="292"/>
      <c r="Z152" s="261"/>
      <c r="AA152" s="261"/>
      <c r="AB152" s="293"/>
      <c r="AC152" s="228"/>
      <c r="AD152" s="292"/>
      <c r="AE152" s="261"/>
      <c r="AF152" s="261"/>
      <c r="AG152" s="293"/>
      <c r="AH152" s="228"/>
      <c r="AI152" s="292"/>
      <c r="AJ152" s="261"/>
      <c r="AK152" s="261"/>
      <c r="AL152" s="293"/>
      <c r="AM152" s="228"/>
      <c r="AN152" s="292"/>
      <c r="AO152" s="261"/>
      <c r="AP152" s="261"/>
      <c r="AQ152" s="293"/>
      <c r="AR152" s="228"/>
      <c r="AS152" s="292"/>
      <c r="AT152" s="261"/>
      <c r="AU152" s="261"/>
      <c r="AV152" s="293"/>
      <c r="AW152" s="228"/>
      <c r="AX152" s="292"/>
      <c r="AY152" s="261"/>
      <c r="AZ152" s="261"/>
      <c r="BA152" s="293"/>
      <c r="BB152" s="228"/>
      <c r="BC152" s="292"/>
      <c r="BD152" s="261"/>
      <c r="BE152" s="261"/>
      <c r="BF152" s="293"/>
      <c r="BG152" s="228"/>
      <c r="BH152" s="292"/>
      <c r="BI152" s="261"/>
      <c r="BJ152" s="261"/>
      <c r="BK152" s="293"/>
      <c r="BL152" s="228"/>
      <c r="BM152" s="1770"/>
      <c r="BN152" s="228"/>
      <c r="BO152" s="228"/>
      <c r="BP152" s="228"/>
      <c r="BQ152" s="228"/>
      <c r="BR152" s="228"/>
      <c r="BS152" s="228"/>
      <c r="BT152" s="228"/>
      <c r="BU152" s="228"/>
      <c r="BV152" s="228"/>
      <c r="BW152" s="228"/>
      <c r="BX152" s="228"/>
      <c r="BY152" s="228"/>
      <c r="BZ152" s="228"/>
      <c r="CA152" s="228"/>
      <c r="CB152" s="228"/>
      <c r="CC152" s="228"/>
      <c r="CD152" s="228"/>
      <c r="CE152" s="228"/>
      <c r="CF152" s="228"/>
      <c r="CG152" s="228"/>
      <c r="CH152" s="228"/>
      <c r="CI152" s="228"/>
      <c r="CJ152" s="228"/>
      <c r="CK152" s="228"/>
      <c r="CL152" s="228"/>
      <c r="CM152" s="228"/>
      <c r="CN152" s="228"/>
      <c r="CO152" s="228"/>
      <c r="CP152" s="228"/>
    </row>
    <row r="153" spans="1:94">
      <c r="A153" s="228"/>
      <c r="B153" s="1771" t="s">
        <v>625</v>
      </c>
      <c r="C153" s="1772"/>
      <c r="D153" s="1773"/>
      <c r="E153" s="1717"/>
      <c r="F153" s="1718"/>
      <c r="G153" s="1718"/>
      <c r="H153" s="1719"/>
      <c r="I153" s="1716"/>
      <c r="J153" s="1717"/>
      <c r="K153" s="1718"/>
      <c r="L153" s="1718"/>
      <c r="M153" s="1719"/>
      <c r="N153" s="1716"/>
      <c r="O153" s="1717"/>
      <c r="P153" s="1718"/>
      <c r="Q153" s="1718"/>
      <c r="R153" s="1719"/>
      <c r="S153" s="1716"/>
      <c r="T153" s="1717"/>
      <c r="U153" s="1718"/>
      <c r="V153" s="1718"/>
      <c r="W153" s="1719"/>
      <c r="X153" s="1716"/>
      <c r="Y153" s="1717"/>
      <c r="Z153" s="1718"/>
      <c r="AA153" s="1718"/>
      <c r="AB153" s="1719"/>
      <c r="AC153" s="1716"/>
      <c r="AD153" s="1717"/>
      <c r="AE153" s="1718"/>
      <c r="AF153" s="1718"/>
      <c r="AG153" s="1719"/>
      <c r="AH153" s="1716"/>
      <c r="AI153" s="1717"/>
      <c r="AJ153" s="1718"/>
      <c r="AK153" s="1718"/>
      <c r="AL153" s="1719"/>
      <c r="AM153" s="1716"/>
      <c r="AN153" s="1717"/>
      <c r="AO153" s="1718"/>
      <c r="AP153" s="1718"/>
      <c r="AQ153" s="1719"/>
      <c r="AR153" s="1716"/>
      <c r="AS153" s="1717"/>
      <c r="AT153" s="1718"/>
      <c r="AU153" s="1718"/>
      <c r="AV153" s="1719"/>
      <c r="AW153" s="1716"/>
      <c r="AX153" s="1717"/>
      <c r="AY153" s="1718"/>
      <c r="AZ153" s="1718"/>
      <c r="BA153" s="1719"/>
      <c r="BB153" s="1716"/>
      <c r="BC153" s="1717"/>
      <c r="BD153" s="1718"/>
      <c r="BE153" s="1718"/>
      <c r="BF153" s="1719"/>
      <c r="BG153" s="1716"/>
      <c r="BH153" s="1717"/>
      <c r="BI153" s="1718"/>
      <c r="BJ153" s="1718"/>
      <c r="BK153" s="1719"/>
      <c r="BL153" s="1716"/>
      <c r="BM153" s="1770"/>
      <c r="BN153" s="228"/>
      <c r="BO153" s="228"/>
      <c r="BP153" s="228"/>
      <c r="BQ153" s="228"/>
      <c r="BR153" s="228"/>
      <c r="BS153" s="228"/>
      <c r="BT153" s="228"/>
      <c r="BU153" s="228"/>
      <c r="BV153" s="228"/>
      <c r="BW153" s="228"/>
      <c r="BX153" s="228"/>
      <c r="BY153" s="228"/>
      <c r="BZ153" s="228"/>
      <c r="CA153" s="228"/>
      <c r="CB153" s="228"/>
      <c r="CC153" s="228"/>
      <c r="CD153" s="228"/>
      <c r="CE153" s="228"/>
      <c r="CF153" s="228"/>
      <c r="CG153" s="228"/>
      <c r="CH153" s="228"/>
      <c r="CI153" s="228"/>
      <c r="CJ153" s="228"/>
      <c r="CK153" s="228"/>
      <c r="CL153" s="228"/>
      <c r="CM153" s="228"/>
      <c r="CN153" s="228"/>
      <c r="CO153" s="228"/>
      <c r="CP153" s="228"/>
    </row>
    <row r="154" spans="1:94">
      <c r="A154" s="228"/>
      <c r="B154" s="45"/>
      <c r="C154" s="895" t="s">
        <v>620</v>
      </c>
      <c r="D154" s="45"/>
      <c r="E154" s="290"/>
      <c r="F154" s="260"/>
      <c r="G154" s="260"/>
      <c r="H154" s="291"/>
      <c r="I154" s="45">
        <f>I25</f>
        <v>4</v>
      </c>
      <c r="J154" s="290"/>
      <c r="K154" s="260"/>
      <c r="L154" s="260"/>
      <c r="M154" s="291"/>
      <c r="N154" s="45">
        <f>N25</f>
        <v>3</v>
      </c>
      <c r="O154" s="290"/>
      <c r="P154" s="260"/>
      <c r="Q154" s="260"/>
      <c r="R154" s="291"/>
      <c r="S154" s="45">
        <f>S25</f>
        <v>3</v>
      </c>
      <c r="T154" s="290"/>
      <c r="U154" s="260"/>
      <c r="V154" s="260"/>
      <c r="W154" s="291"/>
      <c r="X154" s="45">
        <f>X25</f>
        <v>2</v>
      </c>
      <c r="Y154" s="290"/>
      <c r="Z154" s="260"/>
      <c r="AA154" s="260"/>
      <c r="AB154" s="291"/>
      <c r="AC154" s="45">
        <f>AC25</f>
        <v>2</v>
      </c>
      <c r="AD154" s="290"/>
      <c r="AE154" s="260"/>
      <c r="AF154" s="260"/>
      <c r="AG154" s="291"/>
      <c r="AH154" s="45">
        <f>AH25</f>
        <v>1</v>
      </c>
      <c r="AI154" s="290"/>
      <c r="AJ154" s="260"/>
      <c r="AK154" s="260"/>
      <c r="AL154" s="291"/>
      <c r="AM154" s="45">
        <f>AM25</f>
        <v>5</v>
      </c>
      <c r="AN154" s="290"/>
      <c r="AO154" s="260"/>
      <c r="AP154" s="260"/>
      <c r="AQ154" s="291"/>
      <c r="AR154" s="45">
        <f>AR25</f>
        <v>7</v>
      </c>
      <c r="AS154" s="290">
        <f>AW154/4</f>
        <v>1.8859521028037383</v>
      </c>
      <c r="AT154" s="260">
        <f>AW154/4</f>
        <v>1.8859521028037383</v>
      </c>
      <c r="AU154" s="260">
        <f>AW154/4</f>
        <v>1.8859521028037383</v>
      </c>
      <c r="AV154" s="291">
        <f>AW154/4</f>
        <v>1.8859521028037383</v>
      </c>
      <c r="AW154" s="45">
        <f>+AW155*AVERAGE(AW136,AR136)</f>
        <v>7.543808411214953</v>
      </c>
      <c r="AX154" s="290">
        <f>BB154/4</f>
        <v>1.6513469499187325</v>
      </c>
      <c r="AY154" s="260">
        <f>BB154/4</f>
        <v>1.6513469499187325</v>
      </c>
      <c r="AZ154" s="260">
        <f>BB154/4</f>
        <v>1.6513469499187325</v>
      </c>
      <c r="BA154" s="291">
        <f>BB154/4</f>
        <v>1.6513469499187325</v>
      </c>
      <c r="BB154" s="45">
        <f>+BB155*AVERAGE(BB136,AW136)</f>
        <v>6.6053877996749302</v>
      </c>
      <c r="BC154" s="290">
        <f>BG154/4</f>
        <v>1.4805179550995533</v>
      </c>
      <c r="BD154" s="260">
        <f>BG154/4</f>
        <v>1.4805179550995533</v>
      </c>
      <c r="BE154" s="260">
        <f>BG154/4</f>
        <v>1.4805179550995533</v>
      </c>
      <c r="BF154" s="291">
        <f>BG154/4</f>
        <v>1.4805179550995533</v>
      </c>
      <c r="BG154" s="45">
        <f>+BG155*AVERAGE(BG136,BB136)</f>
        <v>5.9220718203982132</v>
      </c>
      <c r="BH154" s="290">
        <f>BL154/4</f>
        <v>1.4805179550995533</v>
      </c>
      <c r="BI154" s="260">
        <f>BL154/4</f>
        <v>1.4805179550995533</v>
      </c>
      <c r="BJ154" s="260">
        <f>BL154/4</f>
        <v>1.4805179550995533</v>
      </c>
      <c r="BK154" s="291">
        <f>BL154/4</f>
        <v>1.4805179550995533</v>
      </c>
      <c r="BL154" s="45">
        <f>+BL155*AVERAGE(BL136,BG136)</f>
        <v>5.9220718203982132</v>
      </c>
      <c r="BM154" s="1770"/>
      <c r="BN154" s="228"/>
      <c r="BO154" s="228"/>
      <c r="BP154" s="228"/>
      <c r="BQ154" s="228"/>
      <c r="BR154" s="228"/>
      <c r="BS154" s="228"/>
      <c r="BT154" s="228"/>
      <c r="BU154" s="228"/>
      <c r="BV154" s="228"/>
      <c r="BW154" s="228"/>
      <c r="BX154" s="228"/>
      <c r="BY154" s="228"/>
      <c r="BZ154" s="228"/>
      <c r="CA154" s="228"/>
      <c r="CB154" s="228"/>
      <c r="CC154" s="228"/>
      <c r="CD154" s="228"/>
      <c r="CE154" s="228"/>
      <c r="CF154" s="228"/>
      <c r="CG154" s="228"/>
      <c r="CH154" s="228"/>
      <c r="CI154" s="228"/>
      <c r="CJ154" s="228"/>
      <c r="CK154" s="228"/>
      <c r="CL154" s="228"/>
      <c r="CM154" s="228"/>
      <c r="CN154" s="228"/>
      <c r="CO154" s="228"/>
      <c r="CP154" s="228"/>
    </row>
    <row r="155" spans="1:94">
      <c r="A155" s="228"/>
      <c r="B155" s="895"/>
      <c r="C155" s="895" t="s">
        <v>626</v>
      </c>
      <c r="D155" s="895"/>
      <c r="E155" s="1700"/>
      <c r="F155" s="1337"/>
      <c r="G155" s="1337"/>
      <c r="H155" s="1701"/>
      <c r="I155" s="1713">
        <f>+I154/AVERAGE(I136,I136)</f>
        <v>3.2258064516129031E-2</v>
      </c>
      <c r="J155" s="1700"/>
      <c r="K155" s="1337"/>
      <c r="L155" s="1337"/>
      <c r="M155" s="1701"/>
      <c r="N155" s="1713">
        <f>+N154/AVERAGE(N136,I136)</f>
        <v>2.181818181818182E-2</v>
      </c>
      <c r="O155" s="1700"/>
      <c r="P155" s="1337"/>
      <c r="Q155" s="1337"/>
      <c r="R155" s="1701"/>
      <c r="S155" s="1713">
        <f>+S154/AVERAGE(S136,N136)</f>
        <v>1.680672268907563E-2</v>
      </c>
      <c r="T155" s="1700"/>
      <c r="U155" s="1337"/>
      <c r="V155" s="1337"/>
      <c r="W155" s="1701"/>
      <c r="X155" s="1713">
        <f>+X154/AVERAGE(X136,S136)</f>
        <v>1.098901098901099E-2</v>
      </c>
      <c r="Y155" s="1700"/>
      <c r="Z155" s="1337"/>
      <c r="AA155" s="1337"/>
      <c r="AB155" s="1701"/>
      <c r="AC155" s="1713">
        <f>+AC154/AVERAGE(AC136,X136)</f>
        <v>1.4134275618374558E-2</v>
      </c>
      <c r="AD155" s="1700"/>
      <c r="AE155" s="1337"/>
      <c r="AF155" s="1337"/>
      <c r="AG155" s="1701"/>
      <c r="AH155" s="1713">
        <f>+AH154/AVERAGE(AH136,AC136)</f>
        <v>8.6206896551724137E-3</v>
      </c>
      <c r="AI155" s="1700"/>
      <c r="AJ155" s="1337"/>
      <c r="AK155" s="1337"/>
      <c r="AL155" s="1701"/>
      <c r="AM155" s="1713">
        <f>+AM154/AVERAGE(AM136,AH136)</f>
        <v>3.7037037037037035E-2</v>
      </c>
      <c r="AN155" s="1700"/>
      <c r="AO155" s="1337"/>
      <c r="AP155" s="1337"/>
      <c r="AQ155" s="1701"/>
      <c r="AR155" s="1713">
        <f>+AR154/AVERAGE(AR136,AM136)</f>
        <v>3.8043478260869568E-2</v>
      </c>
      <c r="AS155" s="1700"/>
      <c r="AT155" s="1337"/>
      <c r="AU155" s="1337"/>
      <c r="AV155" s="1701"/>
      <c r="AW155" s="1713">
        <f>+AR155</f>
        <v>3.8043478260869568E-2</v>
      </c>
      <c r="AX155" s="1700"/>
      <c r="AY155" s="1337"/>
      <c r="AZ155" s="1337"/>
      <c r="BA155" s="1701"/>
      <c r="BB155" s="1713">
        <f>+AW155</f>
        <v>3.8043478260869568E-2</v>
      </c>
      <c r="BC155" s="1700"/>
      <c r="BD155" s="1337"/>
      <c r="BE155" s="1337"/>
      <c r="BF155" s="1701"/>
      <c r="BG155" s="1713">
        <f>+BB155</f>
        <v>3.8043478260869568E-2</v>
      </c>
      <c r="BH155" s="1700"/>
      <c r="BI155" s="1337"/>
      <c r="BJ155" s="1337"/>
      <c r="BK155" s="1701"/>
      <c r="BL155" s="1713">
        <f>+BG155</f>
        <v>3.8043478260869568E-2</v>
      </c>
      <c r="BM155" s="1770"/>
      <c r="BN155" s="228"/>
      <c r="BO155" s="228"/>
      <c r="BP155" s="228"/>
      <c r="BQ155" s="228"/>
      <c r="BR155" s="228"/>
      <c r="BS155" s="228"/>
      <c r="BT155" s="228"/>
      <c r="BU155" s="228"/>
      <c r="BV155" s="228"/>
      <c r="BW155" s="228"/>
      <c r="BX155" s="228"/>
      <c r="BY155" s="228"/>
      <c r="BZ155" s="228"/>
      <c r="CA155" s="228"/>
      <c r="CB155" s="228"/>
      <c r="CC155" s="228"/>
      <c r="CD155" s="228"/>
      <c r="CE155" s="228"/>
      <c r="CF155" s="228"/>
      <c r="CG155" s="228"/>
      <c r="CH155" s="228"/>
      <c r="CI155" s="228"/>
      <c r="CJ155" s="228"/>
      <c r="CK155" s="228"/>
      <c r="CL155" s="228"/>
      <c r="CM155" s="228"/>
      <c r="CN155" s="228"/>
      <c r="CO155" s="228"/>
      <c r="CP155" s="228"/>
    </row>
    <row r="156" spans="1:94">
      <c r="A156" s="1716"/>
      <c r="B156" s="1716"/>
      <c r="C156" s="1716"/>
      <c r="D156" s="1716"/>
      <c r="E156" s="616"/>
      <c r="F156" s="617"/>
      <c r="G156" s="617"/>
      <c r="H156" s="656"/>
      <c r="I156" s="657"/>
      <c r="J156" s="1717"/>
      <c r="K156" s="1718"/>
      <c r="L156" s="1718"/>
      <c r="M156" s="1719"/>
      <c r="N156" s="1716"/>
      <c r="O156" s="1717"/>
      <c r="P156" s="1718"/>
      <c r="Q156" s="1718"/>
      <c r="R156" s="1719"/>
      <c r="S156" s="1716"/>
      <c r="T156" s="1717"/>
      <c r="U156" s="1718"/>
      <c r="V156" s="1718"/>
      <c r="W156" s="1719"/>
      <c r="X156" s="1716"/>
      <c r="Y156" s="1717"/>
      <c r="Z156" s="1718"/>
      <c r="AA156" s="1718"/>
      <c r="AB156" s="1719"/>
      <c r="AC156" s="1716"/>
      <c r="AD156" s="1717"/>
      <c r="AE156" s="1718"/>
      <c r="AF156" s="1718"/>
      <c r="AG156" s="1719"/>
      <c r="AH156" s="1716"/>
      <c r="AI156" s="1717"/>
      <c r="AJ156" s="1718"/>
      <c r="AK156" s="1718"/>
      <c r="AL156" s="1719"/>
      <c r="AM156" s="1716"/>
      <c r="AN156" s="1717"/>
      <c r="AO156" s="1718"/>
      <c r="AP156" s="1718"/>
      <c r="AQ156" s="1719"/>
      <c r="AR156" s="1716"/>
      <c r="AS156" s="1717"/>
      <c r="AT156" s="1718"/>
      <c r="AU156" s="1718"/>
      <c r="AV156" s="1719"/>
      <c r="AW156" s="1716"/>
      <c r="AX156" s="1717"/>
      <c r="AY156" s="1718"/>
      <c r="AZ156" s="1718"/>
      <c r="BA156" s="1719"/>
      <c r="BB156" s="1716"/>
      <c r="BC156" s="1717"/>
      <c r="BD156" s="1718"/>
      <c r="BE156" s="1718"/>
      <c r="BF156" s="1719"/>
      <c r="BG156" s="1716"/>
      <c r="BH156" s="1717"/>
      <c r="BI156" s="1718"/>
      <c r="BJ156" s="1718"/>
      <c r="BK156" s="1719"/>
      <c r="BL156" s="1716"/>
      <c r="BM156" s="1716"/>
      <c r="BN156" s="1716"/>
      <c r="BO156" s="1716"/>
      <c r="BP156" s="1716"/>
      <c r="BQ156" s="1716"/>
      <c r="BR156" s="1716"/>
      <c r="BS156" s="1716"/>
      <c r="BT156" s="1716"/>
      <c r="BU156" s="1716"/>
      <c r="BV156" s="1716"/>
      <c r="BW156" s="1716"/>
      <c r="BX156" s="1716"/>
      <c r="BY156" s="1716"/>
      <c r="BZ156" s="1716"/>
      <c r="CA156" s="1716"/>
      <c r="CB156" s="1716"/>
      <c r="CC156" s="1716"/>
      <c r="CD156" s="1716"/>
      <c r="CE156" s="1716"/>
      <c r="CF156" s="1716"/>
      <c r="CG156" s="1716"/>
      <c r="CH156" s="1716"/>
      <c r="CI156" s="1716"/>
      <c r="CJ156" s="1716"/>
      <c r="CK156" s="1716"/>
      <c r="CL156" s="1716"/>
      <c r="CM156" s="1716"/>
      <c r="CN156" s="1716"/>
      <c r="CO156" s="1716"/>
      <c r="CP156" s="1716"/>
    </row>
    <row r="157" spans="1:94">
      <c r="A157" s="1716"/>
      <c r="B157" s="1716"/>
      <c r="C157" s="1716"/>
      <c r="D157" s="1716"/>
      <c r="E157" s="1717"/>
      <c r="F157" s="1718"/>
      <c r="G157" s="1718"/>
      <c r="H157" s="1719"/>
      <c r="I157" s="1716"/>
      <c r="J157" s="1717"/>
      <c r="K157" s="1718"/>
      <c r="L157" s="1718"/>
      <c r="M157" s="1719"/>
      <c r="N157" s="1716"/>
      <c r="O157" s="1717"/>
      <c r="P157" s="1718"/>
      <c r="Q157" s="1718"/>
      <c r="R157" s="1719"/>
      <c r="S157" s="1716"/>
      <c r="T157" s="1717"/>
      <c r="U157" s="1718"/>
      <c r="V157" s="1718"/>
      <c r="W157" s="1719"/>
      <c r="X157" s="1716"/>
      <c r="Y157" s="1717"/>
      <c r="Z157" s="1718"/>
      <c r="AA157" s="1718"/>
      <c r="AB157" s="1719"/>
      <c r="AC157" s="1716"/>
      <c r="AD157" s="1717"/>
      <c r="AE157" s="1718"/>
      <c r="AF157" s="1718"/>
      <c r="AG157" s="1719"/>
      <c r="AH157" s="1716"/>
      <c r="AI157" s="1717"/>
      <c r="AJ157" s="1718"/>
      <c r="AK157" s="1718"/>
      <c r="AL157" s="1719"/>
      <c r="AM157" s="1716"/>
      <c r="AN157" s="1717"/>
      <c r="AO157" s="1718"/>
      <c r="AP157" s="1718"/>
      <c r="AQ157" s="1719"/>
      <c r="AR157" s="1716"/>
      <c r="AS157" s="1717"/>
      <c r="AT157" s="1718"/>
      <c r="AU157" s="1718"/>
      <c r="AV157" s="1719"/>
      <c r="AW157" s="1716"/>
      <c r="AX157" s="1717"/>
      <c r="AY157" s="1718"/>
      <c r="AZ157" s="1718"/>
      <c r="BA157" s="1719"/>
      <c r="BB157" s="1716"/>
      <c r="BC157" s="1717"/>
      <c r="BD157" s="1718"/>
      <c r="BE157" s="1718"/>
      <c r="BF157" s="1719"/>
      <c r="BG157" s="1716"/>
      <c r="BH157" s="1717"/>
      <c r="BI157" s="1718"/>
      <c r="BJ157" s="1718"/>
      <c r="BK157" s="1719"/>
      <c r="BL157" s="1716"/>
      <c r="BM157" s="1716"/>
      <c r="BN157" s="1716"/>
      <c r="BO157" s="1716"/>
      <c r="BP157" s="1716"/>
      <c r="BQ157" s="1716"/>
      <c r="BR157" s="1716"/>
      <c r="BS157" s="1716"/>
      <c r="BT157" s="1716"/>
      <c r="BU157" s="1716"/>
      <c r="BV157" s="1716"/>
      <c r="BW157" s="1716"/>
      <c r="BX157" s="1716"/>
      <c r="BY157" s="1716"/>
      <c r="BZ157" s="1716"/>
      <c r="CA157" s="1716"/>
      <c r="CB157" s="1716"/>
      <c r="CC157" s="1716"/>
      <c r="CD157" s="1716"/>
      <c r="CE157" s="1716"/>
      <c r="CF157" s="1716"/>
      <c r="CG157" s="1716"/>
      <c r="CH157" s="1716"/>
      <c r="CI157" s="1716"/>
      <c r="CJ157" s="1716"/>
      <c r="CK157" s="1716"/>
      <c r="CL157" s="1716"/>
      <c r="CM157" s="1716"/>
      <c r="CN157" s="1716"/>
      <c r="CO157" s="1716"/>
      <c r="CP157" s="1716"/>
    </row>
    <row r="158" spans="1:94">
      <c r="A158" s="1716"/>
      <c r="B158" s="1771" t="s">
        <v>275</v>
      </c>
      <c r="C158" s="1772"/>
      <c r="D158" s="1773"/>
      <c r="E158" s="1717"/>
      <c r="F158" s="1718"/>
      <c r="G158" s="1718"/>
      <c r="H158" s="1719"/>
      <c r="I158" s="1716"/>
      <c r="J158" s="1717"/>
      <c r="K158" s="1718"/>
      <c r="L158" s="1718"/>
      <c r="M158" s="1719"/>
      <c r="N158" s="1716"/>
      <c r="O158" s="1717"/>
      <c r="P158" s="1718"/>
      <c r="Q158" s="1718"/>
      <c r="R158" s="1719"/>
      <c r="S158" s="1716"/>
      <c r="T158" s="1717"/>
      <c r="U158" s="1718"/>
      <c r="V158" s="1718"/>
      <c r="W158" s="1719"/>
      <c r="X158" s="1716"/>
      <c r="Y158" s="1717"/>
      <c r="Z158" s="1718"/>
      <c r="AA158" s="1718"/>
      <c r="AB158" s="1719"/>
      <c r="AC158" s="1716"/>
      <c r="AD158" s="1717"/>
      <c r="AE158" s="1718"/>
      <c r="AF158" s="1718"/>
      <c r="AG158" s="1719"/>
      <c r="AH158" s="1716"/>
      <c r="AI158" s="1717"/>
      <c r="AJ158" s="1718"/>
      <c r="AK158" s="1718"/>
      <c r="AL158" s="1719"/>
      <c r="AM158" s="1716"/>
      <c r="AN158" s="1717"/>
      <c r="AO158" s="1718"/>
      <c r="AP158" s="1718"/>
      <c r="AQ158" s="1719"/>
      <c r="AR158" s="1716"/>
      <c r="AS158" s="1717"/>
      <c r="AT158" s="1718"/>
      <c r="AU158" s="1718"/>
      <c r="AV158" s="1719"/>
      <c r="AW158" s="1716"/>
      <c r="AX158" s="1717"/>
      <c r="AY158" s="1718"/>
      <c r="AZ158" s="1718"/>
      <c r="BA158" s="1719"/>
      <c r="BB158" s="1716"/>
      <c r="BC158" s="1717"/>
      <c r="BD158" s="1718"/>
      <c r="BE158" s="1718"/>
      <c r="BF158" s="1719"/>
      <c r="BG158" s="1716"/>
      <c r="BH158" s="1717"/>
      <c r="BI158" s="1718"/>
      <c r="BJ158" s="1718"/>
      <c r="BK158" s="1719"/>
      <c r="BL158" s="1716"/>
      <c r="BM158" s="1716"/>
      <c r="BN158" s="1716"/>
      <c r="BO158" s="1716"/>
      <c r="BP158" s="1716"/>
      <c r="BQ158" s="1716"/>
      <c r="BR158" s="1716"/>
      <c r="BS158" s="1716"/>
      <c r="BT158" s="1716"/>
      <c r="BU158" s="1716"/>
      <c r="BV158" s="1716"/>
      <c r="BW158" s="1716"/>
      <c r="BX158" s="1716"/>
      <c r="BY158" s="1716"/>
      <c r="BZ158" s="1716"/>
      <c r="CA158" s="1716"/>
      <c r="CB158" s="1716"/>
      <c r="CC158" s="1716"/>
      <c r="CD158" s="1716"/>
      <c r="CE158" s="1716"/>
      <c r="CF158" s="1716"/>
      <c r="CG158" s="1716"/>
      <c r="CH158" s="1716"/>
      <c r="CI158" s="1716"/>
      <c r="CJ158" s="1716"/>
      <c r="CK158" s="1716"/>
      <c r="CL158" s="1716"/>
      <c r="CM158" s="1716"/>
      <c r="CN158" s="1716"/>
      <c r="CO158" s="1716"/>
      <c r="CP158" s="1716"/>
    </row>
    <row r="159" spans="1:94">
      <c r="A159" s="1716"/>
      <c r="B159" s="1716"/>
      <c r="C159" s="389" t="s">
        <v>236</v>
      </c>
      <c r="D159" s="1716"/>
      <c r="E159" s="1717"/>
      <c r="F159" s="1718"/>
      <c r="G159" s="1718"/>
      <c r="H159" s="1719"/>
      <c r="I159" s="1716"/>
      <c r="J159" s="1717"/>
      <c r="K159" s="1718"/>
      <c r="L159" s="1718"/>
      <c r="M159" s="1719"/>
      <c r="N159" s="1716"/>
      <c r="O159" s="1717"/>
      <c r="P159" s="1718"/>
      <c r="Q159" s="1718"/>
      <c r="R159" s="1719"/>
      <c r="S159" s="1716"/>
      <c r="T159" s="1717"/>
      <c r="U159" s="1718"/>
      <c r="V159" s="1718"/>
      <c r="W159" s="1719"/>
      <c r="X159" s="1716"/>
      <c r="Y159" s="1717"/>
      <c r="Z159" s="1718"/>
      <c r="AA159" s="1718"/>
      <c r="AB159" s="1719"/>
      <c r="AC159" s="1716"/>
      <c r="AD159" s="1717"/>
      <c r="AE159" s="1718"/>
      <c r="AF159" s="1718"/>
      <c r="AG159" s="1719"/>
      <c r="AH159" s="1716"/>
      <c r="AI159" s="1717"/>
      <c r="AJ159" s="1718"/>
      <c r="AK159" s="1718"/>
      <c r="AL159" s="1719"/>
      <c r="AM159" s="1716"/>
      <c r="AN159" s="1717"/>
      <c r="AO159" s="1718"/>
      <c r="AP159" s="1718"/>
      <c r="AQ159" s="1719"/>
      <c r="AR159" s="1716"/>
      <c r="AS159" s="1717"/>
      <c r="AT159" s="1718"/>
      <c r="AU159" s="1718"/>
      <c r="AV159" s="1719"/>
      <c r="AW159" s="1716"/>
      <c r="AX159" s="1717"/>
      <c r="AY159" s="1718"/>
      <c r="AZ159" s="1718"/>
      <c r="BA159" s="1719"/>
      <c r="BB159" s="1716"/>
      <c r="BC159" s="1717"/>
      <c r="BD159" s="1718"/>
      <c r="BE159" s="1718"/>
      <c r="BF159" s="1719"/>
      <c r="BG159" s="1716"/>
      <c r="BH159" s="1717"/>
      <c r="BI159" s="1718"/>
      <c r="BJ159" s="1718"/>
      <c r="BK159" s="1719"/>
      <c r="BL159" s="1716"/>
      <c r="BM159" s="1716"/>
      <c r="BN159" s="1716"/>
      <c r="BO159" s="1716"/>
      <c r="BP159" s="1716"/>
      <c r="BQ159" s="1716"/>
      <c r="BR159" s="1716"/>
      <c r="BS159" s="1716"/>
      <c r="BT159" s="1716"/>
      <c r="BU159" s="1716"/>
      <c r="BV159" s="1716"/>
      <c r="BW159" s="1716"/>
      <c r="BX159" s="1716"/>
      <c r="BY159" s="1716"/>
      <c r="BZ159" s="1716"/>
      <c r="CA159" s="1716"/>
      <c r="CB159" s="1716"/>
      <c r="CC159" s="1716"/>
      <c r="CD159" s="1716"/>
      <c r="CE159" s="1716"/>
      <c r="CF159" s="1716"/>
      <c r="CG159" s="1716"/>
      <c r="CH159" s="1716"/>
      <c r="CI159" s="1716"/>
      <c r="CJ159" s="1716"/>
      <c r="CK159" s="1716"/>
      <c r="CL159" s="1716"/>
      <c r="CM159" s="1716"/>
      <c r="CN159" s="1716"/>
      <c r="CO159" s="1716"/>
      <c r="CP159" s="1716"/>
    </row>
    <row r="160" spans="1:94">
      <c r="A160" s="45"/>
      <c r="B160" s="45"/>
      <c r="C160" s="391" t="s">
        <v>234</v>
      </c>
      <c r="D160" s="45"/>
      <c r="E160" s="290"/>
      <c r="F160" s="260"/>
      <c r="G160" s="260"/>
      <c r="H160" s="291"/>
      <c r="I160" s="45">
        <f t="shared" ref="I160:Z160" si="383">+I186</f>
        <v>109</v>
      </c>
      <c r="J160" s="290">
        <f t="shared" si="383"/>
        <v>0</v>
      </c>
      <c r="K160" s="260">
        <f t="shared" si="383"/>
        <v>35</v>
      </c>
      <c r="L160" s="260">
        <f t="shared" si="383"/>
        <v>0</v>
      </c>
      <c r="M160" s="291">
        <f t="shared" si="383"/>
        <v>0</v>
      </c>
      <c r="N160" s="45">
        <f t="shared" si="383"/>
        <v>35</v>
      </c>
      <c r="O160" s="290">
        <f t="shared" si="383"/>
        <v>0</v>
      </c>
      <c r="P160" s="260">
        <f t="shared" si="383"/>
        <v>250</v>
      </c>
      <c r="Q160" s="260">
        <f t="shared" si="383"/>
        <v>0</v>
      </c>
      <c r="R160" s="291">
        <f t="shared" si="383"/>
        <v>0</v>
      </c>
      <c r="S160" s="45">
        <f t="shared" si="383"/>
        <v>250</v>
      </c>
      <c r="T160" s="290">
        <f t="shared" si="383"/>
        <v>0</v>
      </c>
      <c r="U160" s="260">
        <f t="shared" si="383"/>
        <v>0</v>
      </c>
      <c r="V160" s="260">
        <f t="shared" si="383"/>
        <v>0</v>
      </c>
      <c r="W160" s="291">
        <f t="shared" si="383"/>
        <v>300</v>
      </c>
      <c r="X160" s="45">
        <f t="shared" si="383"/>
        <v>300</v>
      </c>
      <c r="Y160" s="290">
        <f t="shared" si="383"/>
        <v>0</v>
      </c>
      <c r="Z160" s="260">
        <f t="shared" si="383"/>
        <v>204</v>
      </c>
      <c r="AA160" s="260">
        <f t="shared" ref="AA160:AE160" si="384">+AA186</f>
        <v>0</v>
      </c>
      <c r="AB160" s="291">
        <f t="shared" si="384"/>
        <v>0</v>
      </c>
      <c r="AC160" s="45">
        <f t="shared" si="384"/>
        <v>204</v>
      </c>
      <c r="AD160" s="290">
        <f t="shared" si="384"/>
        <v>0</v>
      </c>
      <c r="AE160" s="260">
        <f t="shared" si="384"/>
        <v>200</v>
      </c>
      <c r="AF160" s="260">
        <f t="shared" ref="AF160:AJ160" si="385">+AF186</f>
        <v>0</v>
      </c>
      <c r="AG160" s="291">
        <f t="shared" si="385"/>
        <v>0</v>
      </c>
      <c r="AH160" s="45">
        <f t="shared" si="385"/>
        <v>200</v>
      </c>
      <c r="AI160" s="290">
        <f t="shared" si="385"/>
        <v>0</v>
      </c>
      <c r="AJ160" s="260">
        <f t="shared" si="385"/>
        <v>0</v>
      </c>
      <c r="AK160" s="260">
        <f t="shared" ref="AK160:AO160" si="386">+AK186</f>
        <v>0</v>
      </c>
      <c r="AL160" s="291">
        <f t="shared" si="386"/>
        <v>175</v>
      </c>
      <c r="AM160" s="45">
        <f t="shared" si="386"/>
        <v>175</v>
      </c>
      <c r="AN160" s="290">
        <f t="shared" si="386"/>
        <v>0</v>
      </c>
      <c r="AO160" s="260">
        <f t="shared" si="386"/>
        <v>0</v>
      </c>
      <c r="AP160" s="260">
        <f t="shared" ref="AP160:AR160" si="387">+AP186</f>
        <v>0</v>
      </c>
      <c r="AQ160" s="291">
        <f t="shared" si="387"/>
        <v>0</v>
      </c>
      <c r="AR160" s="45">
        <f t="shared" si="387"/>
        <v>0</v>
      </c>
      <c r="AS160" s="290">
        <f>Debt!AL319</f>
        <v>0</v>
      </c>
      <c r="AT160" s="260">
        <f>Debt!AM319</f>
        <v>0</v>
      </c>
      <c r="AU160" s="260">
        <f>Debt!AN319</f>
        <v>255</v>
      </c>
      <c r="AV160" s="291">
        <f>Debt!AO319</f>
        <v>0</v>
      </c>
      <c r="AW160" s="1003">
        <v>255</v>
      </c>
      <c r="AX160" s="290">
        <f>Debt!AQ319</f>
        <v>0</v>
      </c>
      <c r="AY160" s="260">
        <f>Debt!AR319</f>
        <v>0</v>
      </c>
      <c r="AZ160" s="260">
        <f>Debt!AS319</f>
        <v>65</v>
      </c>
      <c r="BA160" s="291">
        <f>Debt!AT319</f>
        <v>0</v>
      </c>
      <c r="BB160" s="1003">
        <v>65</v>
      </c>
      <c r="BC160" s="290">
        <f>Debt!AV319</f>
        <v>0</v>
      </c>
      <c r="BD160" s="260">
        <f>Debt!AW319</f>
        <v>0</v>
      </c>
      <c r="BE160" s="260">
        <f>Debt!AX319</f>
        <v>50</v>
      </c>
      <c r="BF160" s="291">
        <f>Debt!AY319</f>
        <v>0</v>
      </c>
      <c r="BG160" s="2058">
        <v>50</v>
      </c>
      <c r="BH160" s="290">
        <f>Debt!BA319</f>
        <v>0</v>
      </c>
      <c r="BI160" s="260">
        <f>Debt!BB319</f>
        <v>0</v>
      </c>
      <c r="BJ160" s="260">
        <f>Debt!BC319</f>
        <v>45</v>
      </c>
      <c r="BK160" s="291">
        <f>Debt!BD319</f>
        <v>0</v>
      </c>
      <c r="BL160" s="2031">
        <v>45</v>
      </c>
      <c r="BM160" s="45"/>
      <c r="BN160" s="45"/>
      <c r="BO160" s="45"/>
      <c r="BP160" s="45"/>
      <c r="BQ160" s="45"/>
      <c r="BR160" s="45"/>
      <c r="BS160" s="45"/>
      <c r="BT160" s="45"/>
      <c r="BU160" s="45"/>
      <c r="BV160" s="45"/>
      <c r="BW160" s="45"/>
      <c r="BX160" s="45"/>
      <c r="BY160" s="45"/>
      <c r="BZ160" s="45"/>
      <c r="CA160" s="45"/>
      <c r="CB160" s="45"/>
      <c r="CC160" s="45"/>
      <c r="CD160" s="45"/>
      <c r="CE160" s="45"/>
      <c r="CF160" s="45"/>
      <c r="CG160" s="45"/>
      <c r="CH160" s="45"/>
      <c r="CI160" s="45"/>
      <c r="CJ160" s="45"/>
      <c r="CK160" s="45"/>
      <c r="CL160" s="45"/>
      <c r="CM160" s="45"/>
      <c r="CN160" s="45"/>
      <c r="CO160" s="45"/>
      <c r="CP160" s="45"/>
    </row>
    <row r="161" spans="1:124">
      <c r="A161" s="45"/>
      <c r="B161" s="45"/>
      <c r="C161" s="391" t="s">
        <v>235</v>
      </c>
      <c r="D161" s="45"/>
      <c r="E161" s="290"/>
      <c r="F161" s="260"/>
      <c r="G161" s="260"/>
      <c r="H161" s="291"/>
      <c r="I161" s="45">
        <f t="shared" ref="I161:Z161" si="388">+I187</f>
        <v>-31</v>
      </c>
      <c r="J161" s="290">
        <f t="shared" si="388"/>
        <v>0</v>
      </c>
      <c r="K161" s="260">
        <f t="shared" si="388"/>
        <v>-35</v>
      </c>
      <c r="L161" s="260">
        <f t="shared" si="388"/>
        <v>0</v>
      </c>
      <c r="M161" s="291">
        <f t="shared" si="388"/>
        <v>0</v>
      </c>
      <c r="N161" s="45">
        <f t="shared" si="388"/>
        <v>-35</v>
      </c>
      <c r="O161" s="290">
        <f t="shared" si="388"/>
        <v>0</v>
      </c>
      <c r="P161" s="260">
        <f t="shared" si="388"/>
        <v>-66</v>
      </c>
      <c r="Q161" s="260">
        <f t="shared" si="388"/>
        <v>-31</v>
      </c>
      <c r="R161" s="291">
        <f t="shared" si="388"/>
        <v>0</v>
      </c>
      <c r="S161" s="45">
        <f t="shared" si="388"/>
        <v>-97</v>
      </c>
      <c r="T161" s="290">
        <f t="shared" si="388"/>
        <v>0</v>
      </c>
      <c r="U161" s="260">
        <f t="shared" si="388"/>
        <v>0</v>
      </c>
      <c r="V161" s="260">
        <f t="shared" si="388"/>
        <v>0</v>
      </c>
      <c r="W161" s="291">
        <f t="shared" si="388"/>
        <v>-250</v>
      </c>
      <c r="X161" s="45">
        <f t="shared" si="388"/>
        <v>-250</v>
      </c>
      <c r="Y161" s="290">
        <f t="shared" si="388"/>
        <v>0</v>
      </c>
      <c r="Z161" s="260">
        <f t="shared" si="388"/>
        <v>0</v>
      </c>
      <c r="AA161" s="260">
        <f t="shared" ref="AA161:AE161" si="389">+AA187</f>
        <v>0</v>
      </c>
      <c r="AB161" s="291">
        <f t="shared" si="389"/>
        <v>-100</v>
      </c>
      <c r="AC161" s="45">
        <f t="shared" si="389"/>
        <v>-100</v>
      </c>
      <c r="AD161" s="290">
        <f t="shared" si="389"/>
        <v>0</v>
      </c>
      <c r="AE161" s="260">
        <f t="shared" si="389"/>
        <v>-100</v>
      </c>
      <c r="AF161" s="260">
        <f t="shared" ref="AF161:AJ161" si="390">+AF187</f>
        <v>0</v>
      </c>
      <c r="AG161" s="291">
        <f t="shared" si="390"/>
        <v>0</v>
      </c>
      <c r="AH161" s="45">
        <f t="shared" si="390"/>
        <v>-100</v>
      </c>
      <c r="AI161" s="290">
        <f t="shared" si="390"/>
        <v>0</v>
      </c>
      <c r="AJ161" s="260">
        <f t="shared" si="390"/>
        <v>0</v>
      </c>
      <c r="AK161" s="260">
        <f t="shared" ref="AK161:AO161" si="391">+AK187</f>
        <v>0</v>
      </c>
      <c r="AL161" s="291">
        <f t="shared" si="391"/>
        <v>-100</v>
      </c>
      <c r="AM161" s="45">
        <f t="shared" si="391"/>
        <v>-100</v>
      </c>
      <c r="AN161" s="290">
        <f t="shared" si="391"/>
        <v>-14</v>
      </c>
      <c r="AO161" s="260">
        <f t="shared" si="391"/>
        <v>0</v>
      </c>
      <c r="AP161" s="260">
        <f t="shared" ref="AP161:AR161" si="392">+AP187</f>
        <v>0</v>
      </c>
      <c r="AQ161" s="291">
        <f t="shared" si="392"/>
        <v>-26</v>
      </c>
      <c r="AR161" s="45">
        <f t="shared" si="392"/>
        <v>-40</v>
      </c>
      <c r="AS161" s="290">
        <f>Debt!AL311</f>
        <v>0</v>
      </c>
      <c r="AT161" s="260">
        <f>Debt!AM311</f>
        <v>0</v>
      </c>
      <c r="AU161" s="260">
        <f>Debt!AN311</f>
        <v>-4</v>
      </c>
      <c r="AV161" s="291">
        <f>Debt!AO311</f>
        <v>0</v>
      </c>
      <c r="AW161" s="45">
        <f>Debt!AP311</f>
        <v>-4</v>
      </c>
      <c r="AX161" s="290">
        <f>Debt!AQ311</f>
        <v>0</v>
      </c>
      <c r="AY161" s="260">
        <f>Debt!AR311</f>
        <v>0</v>
      </c>
      <c r="AZ161" s="260">
        <f>Debt!AS311</f>
        <v>-12</v>
      </c>
      <c r="BA161" s="291">
        <f>Debt!AT311</f>
        <v>0</v>
      </c>
      <c r="BB161" s="45">
        <f>Debt!AU311</f>
        <v>-12</v>
      </c>
      <c r="BC161" s="290">
        <f>Debt!AV311</f>
        <v>0</v>
      </c>
      <c r="BD161" s="260">
        <f>Debt!AW311</f>
        <v>0</v>
      </c>
      <c r="BE161" s="260">
        <f>Debt!AX311</f>
        <v>0</v>
      </c>
      <c r="BF161" s="291">
        <f>Debt!AY311</f>
        <v>0</v>
      </c>
      <c r="BG161" s="45">
        <f>Debt!AZ311</f>
        <v>0</v>
      </c>
      <c r="BH161" s="290">
        <f>Debt!BA311</f>
        <v>0</v>
      </c>
      <c r="BI161" s="260">
        <f>Debt!BB311</f>
        <v>0</v>
      </c>
      <c r="BJ161" s="260">
        <f>Debt!BC311</f>
        <v>0</v>
      </c>
      <c r="BK161" s="291">
        <f>Debt!BD311</f>
        <v>0</v>
      </c>
      <c r="BL161" s="45">
        <f>Debt!BE311</f>
        <v>0</v>
      </c>
      <c r="BM161" s="45"/>
      <c r="BN161" s="45"/>
      <c r="BO161" s="45"/>
      <c r="BP161" s="45"/>
      <c r="BQ161" s="45"/>
      <c r="BR161" s="45"/>
      <c r="BS161" s="45"/>
      <c r="BT161" s="45"/>
      <c r="BU161" s="45"/>
      <c r="BV161" s="45"/>
      <c r="BW161" s="45"/>
      <c r="BX161" s="45"/>
      <c r="BY161" s="45"/>
      <c r="BZ161" s="45"/>
      <c r="CA161" s="45"/>
      <c r="CB161" s="45"/>
      <c r="CC161" s="45"/>
      <c r="CD161" s="45"/>
      <c r="CE161" s="45"/>
      <c r="CF161" s="45"/>
      <c r="CG161" s="45"/>
      <c r="CH161" s="45"/>
      <c r="CI161" s="45"/>
      <c r="CJ161" s="45"/>
      <c r="CK161" s="45"/>
      <c r="CL161" s="45"/>
      <c r="CM161" s="45"/>
      <c r="CN161" s="45"/>
      <c r="CO161" s="45"/>
      <c r="CP161" s="45"/>
    </row>
    <row r="162" spans="1:124">
      <c r="A162" s="1716"/>
      <c r="B162" s="1716"/>
      <c r="C162" s="391"/>
      <c r="D162" s="1716"/>
      <c r="E162" s="1717"/>
      <c r="F162" s="1718"/>
      <c r="G162" s="1718"/>
      <c r="H162" s="1719"/>
      <c r="I162" s="1716"/>
      <c r="J162" s="1717"/>
      <c r="K162" s="1718"/>
      <c r="L162" s="260"/>
      <c r="M162" s="291"/>
      <c r="N162" s="45"/>
      <c r="O162" s="1717"/>
      <c r="P162" s="1718"/>
      <c r="Q162" s="260"/>
      <c r="R162" s="291"/>
      <c r="S162" s="45"/>
      <c r="T162" s="290"/>
      <c r="U162" s="260"/>
      <c r="V162" s="260"/>
      <c r="W162" s="291"/>
      <c r="X162" s="45"/>
      <c r="Y162" s="290"/>
      <c r="Z162" s="260"/>
      <c r="AA162" s="260"/>
      <c r="AB162" s="291"/>
      <c r="AC162" s="45"/>
      <c r="AD162" s="290"/>
      <c r="AE162" s="260"/>
      <c r="AF162" s="260"/>
      <c r="AG162" s="291"/>
      <c r="AH162" s="45"/>
      <c r="AI162" s="290"/>
      <c r="AJ162" s="260"/>
      <c r="AK162" s="260"/>
      <c r="AL162" s="291"/>
      <c r="AM162" s="45"/>
      <c r="AN162" s="290"/>
      <c r="AO162" s="260"/>
      <c r="AP162" s="260"/>
      <c r="AQ162" s="291"/>
      <c r="AR162" s="45"/>
      <c r="AS162" s="290"/>
      <c r="AT162" s="260"/>
      <c r="AU162" s="260"/>
      <c r="AV162" s="291"/>
      <c r="AW162" s="45"/>
      <c r="AX162" s="290"/>
      <c r="AY162" s="260"/>
      <c r="AZ162" s="260"/>
      <c r="BA162" s="291"/>
      <c r="BB162" s="45"/>
      <c r="BC162" s="290"/>
      <c r="BD162" s="260"/>
      <c r="BE162" s="260"/>
      <c r="BF162" s="291"/>
      <c r="BG162" s="45"/>
      <c r="BH162" s="290"/>
      <c r="BI162" s="260"/>
      <c r="BJ162" s="260"/>
      <c r="BK162" s="291"/>
      <c r="BL162" s="45"/>
      <c r="BM162" s="1716"/>
      <c r="BN162" s="1716"/>
      <c r="BO162" s="1716"/>
      <c r="BP162" s="1716"/>
      <c r="BQ162" s="1716"/>
      <c r="BR162" s="1716"/>
      <c r="BS162" s="1716"/>
      <c r="BT162" s="1716"/>
      <c r="BU162" s="1716"/>
      <c r="BV162" s="1716"/>
      <c r="BW162" s="1716"/>
      <c r="BX162" s="1716"/>
      <c r="BY162" s="1716"/>
      <c r="BZ162" s="1716"/>
      <c r="CA162" s="1716"/>
      <c r="CB162" s="1716"/>
      <c r="CC162" s="1716"/>
      <c r="CD162" s="1716"/>
      <c r="CE162" s="1716"/>
      <c r="CF162" s="1716"/>
      <c r="CG162" s="1716"/>
      <c r="CH162" s="1716"/>
      <c r="CI162" s="1716"/>
      <c r="CJ162" s="1716"/>
      <c r="CK162" s="1716"/>
      <c r="CL162" s="1716"/>
      <c r="CM162" s="1716"/>
      <c r="CN162" s="1716"/>
      <c r="CO162" s="1716"/>
      <c r="CP162" s="1716"/>
    </row>
    <row r="163" spans="1:124">
      <c r="A163" s="1716"/>
      <c r="B163" s="1716"/>
      <c r="C163" s="389" t="s">
        <v>318</v>
      </c>
      <c r="D163" s="1716"/>
      <c r="E163" s="1717"/>
      <c r="F163" s="1718"/>
      <c r="G163" s="1718"/>
      <c r="H163" s="1719"/>
      <c r="I163" s="1716"/>
      <c r="J163" s="1717"/>
      <c r="K163" s="1718"/>
      <c r="L163" s="260"/>
      <c r="M163" s="291"/>
      <c r="N163" s="45"/>
      <c r="O163" s="1717"/>
      <c r="P163" s="1718"/>
      <c r="Q163" s="260"/>
      <c r="R163" s="291"/>
      <c r="S163" s="45"/>
      <c r="T163" s="290"/>
      <c r="U163" s="260"/>
      <c r="V163" s="260"/>
      <c r="W163" s="291"/>
      <c r="X163" s="45"/>
      <c r="Y163" s="290"/>
      <c r="Z163" s="260"/>
      <c r="AA163" s="260"/>
      <c r="AB163" s="291"/>
      <c r="AC163" s="45"/>
      <c r="AD163" s="290"/>
      <c r="AE163" s="260"/>
      <c r="AF163" s="260"/>
      <c r="AG163" s="291"/>
      <c r="AH163" s="45"/>
      <c r="AI163" s="290"/>
      <c r="AJ163" s="260"/>
      <c r="AK163" s="260"/>
      <c r="AL163" s="291"/>
      <c r="AM163" s="45"/>
      <c r="AN163" s="290"/>
      <c r="AO163" s="260"/>
      <c r="AP163" s="260"/>
      <c r="AQ163" s="291"/>
      <c r="AR163" s="45"/>
      <c r="AS163" s="290"/>
      <c r="AT163" s="260"/>
      <c r="AU163" s="260"/>
      <c r="AV163" s="291"/>
      <c r="AW163" s="45"/>
      <c r="AX163" s="290"/>
      <c r="AY163" s="260"/>
      <c r="AZ163" s="260"/>
      <c r="BA163" s="291"/>
      <c r="BB163" s="45"/>
      <c r="BC163" s="290"/>
      <c r="BD163" s="260"/>
      <c r="BE163" s="260"/>
      <c r="BF163" s="291"/>
      <c r="BG163" s="45"/>
      <c r="BH163" s="290"/>
      <c r="BI163" s="260"/>
      <c r="BJ163" s="260"/>
      <c r="BK163" s="291"/>
      <c r="BL163" s="45"/>
      <c r="BM163" s="1716"/>
      <c r="BN163" s="1716"/>
      <c r="BO163" s="1716"/>
      <c r="BP163" s="1716"/>
      <c r="BQ163" s="1716"/>
      <c r="BR163" s="1716"/>
      <c r="BS163" s="1716"/>
      <c r="BT163" s="1716"/>
      <c r="BU163" s="1716"/>
      <c r="BV163" s="1716"/>
      <c r="BW163" s="1716"/>
      <c r="BX163" s="1716"/>
      <c r="BY163" s="1716"/>
      <c r="BZ163" s="1716"/>
      <c r="CA163" s="1716"/>
      <c r="CB163" s="1716"/>
      <c r="CC163" s="1716"/>
      <c r="CD163" s="1716"/>
      <c r="CE163" s="1716"/>
      <c r="CF163" s="1716"/>
      <c r="CG163" s="1716"/>
      <c r="CH163" s="1716"/>
      <c r="CI163" s="1716"/>
      <c r="CJ163" s="1716"/>
      <c r="CK163" s="1716"/>
      <c r="CL163" s="1716"/>
      <c r="CM163" s="1716"/>
      <c r="CN163" s="1716"/>
      <c r="CO163" s="1716"/>
      <c r="CP163" s="1716"/>
    </row>
    <row r="164" spans="1:124">
      <c r="A164" s="45"/>
      <c r="B164" s="45"/>
      <c r="C164" s="391" t="s">
        <v>742</v>
      </c>
      <c r="D164" s="45"/>
      <c r="E164" s="290"/>
      <c r="F164" s="260"/>
      <c r="G164" s="260"/>
      <c r="H164" s="291"/>
      <c r="I164" s="45"/>
      <c r="J164" s="290"/>
      <c r="K164" s="260"/>
      <c r="L164" s="260"/>
      <c r="M164" s="291"/>
      <c r="N164" s="45"/>
      <c r="O164" s="290"/>
      <c r="P164" s="260"/>
      <c r="Q164" s="260"/>
      <c r="R164" s="291"/>
      <c r="S164" s="45"/>
      <c r="T164" s="290"/>
      <c r="U164" s="260"/>
      <c r="V164" s="260"/>
      <c r="W164" s="291"/>
      <c r="X164" s="45"/>
      <c r="Y164" s="290"/>
      <c r="Z164" s="260"/>
      <c r="AA164" s="260"/>
      <c r="AB164" s="291"/>
      <c r="AC164" s="45"/>
      <c r="AD164" s="290"/>
      <c r="AE164" s="260"/>
      <c r="AF164" s="260"/>
      <c r="AG164" s="291"/>
      <c r="AH164" s="45"/>
      <c r="AI164" s="290"/>
      <c r="AJ164" s="260"/>
      <c r="AK164" s="260"/>
      <c r="AL164" s="291"/>
      <c r="AM164" s="45"/>
      <c r="AN164" s="290"/>
      <c r="AO164" s="260"/>
      <c r="AP164" s="260"/>
      <c r="AQ164" s="291"/>
      <c r="AR164" s="45"/>
      <c r="AS164" s="290">
        <f>(((AR243-AN243)*AS169)/4)-((AR241-AN241)*(AS169-1%)/4)</f>
        <v>1.1850000000000001</v>
      </c>
      <c r="AT164" s="260">
        <f ca="1">(((AS243-AO243)*AT169)/4)-((AS241-AO241)*(AT169-1%)/4)</f>
        <v>0.92935022575237813</v>
      </c>
      <c r="AU164" s="260">
        <f ca="1">(((AT243-AP243)*AU169)/4)-((AT241-AP241)*(AU169-1%)/4)</f>
        <v>0.88040615943338218</v>
      </c>
      <c r="AV164" s="291">
        <f ca="1">(((AU243-AQ243)*AV169)/4)-((AU241-AQ241)*(AV169-1%)/4)</f>
        <v>-1.1234601093430294</v>
      </c>
      <c r="AW164" s="45">
        <f ca="1">+SUM(AS164:AV164)</f>
        <v>1.8712962758427309</v>
      </c>
      <c r="AX164" s="290">
        <f ca="1">(((AW243-AS243)*AX169)/4)-((AW241-AS241)*(AX169-1%)/4)</f>
        <v>-1.054969050954119</v>
      </c>
      <c r="AY164" s="260">
        <f ca="1">(((AX243-AT243)*AY169)/4)-((AX241-AT241)*(AY169-1%)/4)</f>
        <v>-1.1601311065136142</v>
      </c>
      <c r="AZ164" s="260">
        <f ca="1">(((AY243-AU243)*AZ169)/4)-((AY241-AU241)*(AZ169-1%)/4)</f>
        <v>0.15320010308785947</v>
      </c>
      <c r="BA164" s="291">
        <f ca="1">(((AZ243-AV243)*BA169)/4)-((AZ241-AV241)*(BA169-1%)/4)</f>
        <v>-4.1061777119538762E-2</v>
      </c>
      <c r="BB164" s="45">
        <f ca="1">+SUM(AX164:BA164)</f>
        <v>-2.1029618314994125</v>
      </c>
      <c r="BC164" s="290">
        <f ca="1">(((BB243-AX243)*BC169)/4)-((BB241-AX241)*(BC169-1%)/4)</f>
        <v>8.4994466889233775E-3</v>
      </c>
      <c r="BD164" s="260">
        <f ca="1">(((BC243-AY243)*BD169)/4)-((BC241-AY241)*(BD169-1%)/4)</f>
        <v>-0.12055899296169258</v>
      </c>
      <c r="BE164" s="260">
        <f ca="1">(((BD243-AZ243)*BE169)/4)-((BD241-AZ241)*(BE169-1%)/4)</f>
        <v>0.15302562151398949</v>
      </c>
      <c r="BF164" s="291">
        <f ca="1">(((BE243-BA243)*BF169)/4)-((BE241-BA241)*(BF169-1%)/4)</f>
        <v>-4.737787468745918E-2</v>
      </c>
      <c r="BG164" s="45">
        <f ca="1">+SUM(BC164:BF164)</f>
        <v>-6.4117994462388958E-3</v>
      </c>
      <c r="BH164" s="290">
        <f ca="1">(((BG243-BC243)*BH169)/4)-((BG241-BC241)*(BH169-1%)/4)</f>
        <v>3.8634385645960733E-3</v>
      </c>
      <c r="BI164" s="260">
        <f ca="1">(((BH243-BD243)*BI169)/4)-((BH241-BD241)*(BI169-1%)/4)</f>
        <v>-0.11871868091710781</v>
      </c>
      <c r="BJ164" s="260">
        <f ca="1">(((BI243-BE243)*BJ169)/4)-((BI241-BE241)*(BJ169-1%)/4)</f>
        <v>0.13200602848354653</v>
      </c>
      <c r="BK164" s="291">
        <f ca="1">(((BJ243-BF243)*BK169)/4)-((BJ241-BF241)*(BK169-1%)/4)</f>
        <v>-4.5319175871342522E-2</v>
      </c>
      <c r="BL164" s="45">
        <f ca="1">+SUM(BH164:BK164)</f>
        <v>-2.8168389740307727E-2</v>
      </c>
      <c r="BM164" s="45"/>
      <c r="BN164" s="1716"/>
      <c r="BO164" s="1716"/>
      <c r="BP164" s="1716"/>
      <c r="BQ164" s="1716"/>
      <c r="BR164" s="1716"/>
      <c r="BS164" s="1716"/>
      <c r="BT164" s="1716"/>
      <c r="BU164" s="1716"/>
      <c r="BV164" s="1716"/>
      <c r="BW164" s="1716"/>
      <c r="BX164" s="1716"/>
      <c r="BY164" s="1716"/>
      <c r="BZ164" s="1716"/>
      <c r="CA164" s="1716"/>
      <c r="CB164" s="1716"/>
      <c r="CC164" s="1716"/>
      <c r="CD164" s="1716"/>
      <c r="CE164" s="1716"/>
      <c r="CF164" s="1716"/>
      <c r="CG164" s="45"/>
      <c r="CH164" s="45"/>
      <c r="CI164" s="45"/>
      <c r="CJ164" s="45"/>
      <c r="CK164" s="45"/>
      <c r="CL164" s="45"/>
      <c r="CM164" s="45"/>
      <c r="CN164" s="45"/>
      <c r="CO164" s="45"/>
      <c r="CP164" s="45"/>
    </row>
    <row r="165" spans="1:124">
      <c r="A165" s="45"/>
      <c r="B165" s="45"/>
      <c r="C165" s="391"/>
      <c r="D165" s="45"/>
      <c r="E165" s="290"/>
      <c r="F165" s="260"/>
      <c r="G165" s="260"/>
      <c r="H165" s="291"/>
      <c r="I165" s="45"/>
      <c r="J165" s="290"/>
      <c r="K165" s="260"/>
      <c r="L165" s="260"/>
      <c r="M165" s="291"/>
      <c r="N165" s="45"/>
      <c r="O165" s="290"/>
      <c r="P165" s="260"/>
      <c r="Q165" s="260"/>
      <c r="R165" s="291"/>
      <c r="S165" s="45"/>
      <c r="T165" s="290"/>
      <c r="U165" s="260"/>
      <c r="V165" s="260"/>
      <c r="W165" s="291"/>
      <c r="X165" s="45"/>
      <c r="Y165" s="290"/>
      <c r="Z165" s="260"/>
      <c r="AA165" s="260"/>
      <c r="AB165" s="291"/>
      <c r="AC165" s="45"/>
      <c r="AD165" s="290"/>
      <c r="AE165" s="260"/>
      <c r="AF165" s="260"/>
      <c r="AG165" s="291"/>
      <c r="AH165" s="45"/>
      <c r="AI165" s="290"/>
      <c r="AJ165" s="260"/>
      <c r="AK165" s="260"/>
      <c r="AL165" s="291"/>
      <c r="AM165" s="45"/>
      <c r="AN165" s="290"/>
      <c r="AO165" s="260"/>
      <c r="AP165" s="260"/>
      <c r="AQ165" s="291"/>
      <c r="AR165" s="45"/>
      <c r="AS165" s="290"/>
      <c r="AT165" s="260"/>
      <c r="AU165" s="260"/>
      <c r="AV165" s="291"/>
      <c r="AW165" s="45"/>
      <c r="AX165" s="290"/>
      <c r="AY165" s="260"/>
      <c r="AZ165" s="260"/>
      <c r="BA165" s="291"/>
      <c r="BB165" s="45"/>
      <c r="BC165" s="290"/>
      <c r="BD165" s="260"/>
      <c r="BE165" s="260"/>
      <c r="BF165" s="291"/>
      <c r="BG165" s="45"/>
      <c r="BH165" s="290"/>
      <c r="BI165" s="260"/>
      <c r="BJ165" s="260"/>
      <c r="BK165" s="291"/>
      <c r="BL165" s="45"/>
      <c r="BM165" s="45"/>
      <c r="BN165" s="45"/>
      <c r="BO165" s="45"/>
      <c r="BP165" s="45"/>
      <c r="BQ165" s="45"/>
      <c r="BR165" s="45"/>
      <c r="BS165" s="45"/>
      <c r="BT165" s="45"/>
      <c r="BU165" s="45"/>
      <c r="BV165" s="45"/>
      <c r="BW165" s="45"/>
      <c r="BX165" s="45"/>
      <c r="BY165" s="45"/>
      <c r="BZ165" s="45"/>
      <c r="CA165" s="45"/>
      <c r="CB165" s="45"/>
      <c r="CC165" s="45"/>
      <c r="CD165" s="45"/>
      <c r="CE165" s="45"/>
      <c r="CF165" s="45"/>
      <c r="CG165" s="45"/>
      <c r="CH165" s="45"/>
      <c r="CI165" s="45"/>
      <c r="CJ165" s="45"/>
      <c r="CK165" s="45"/>
      <c r="CL165" s="45"/>
      <c r="CM165" s="45"/>
      <c r="CN165" s="45"/>
      <c r="CO165" s="45"/>
      <c r="CP165" s="45"/>
    </row>
    <row r="166" spans="1:124">
      <c r="A166" s="45"/>
      <c r="B166" s="45"/>
      <c r="C166" s="391" t="s">
        <v>224</v>
      </c>
      <c r="D166" s="45"/>
      <c r="E166" s="290"/>
      <c r="F166" s="260"/>
      <c r="G166" s="260"/>
      <c r="H166" s="291"/>
      <c r="I166" s="45"/>
      <c r="J166" s="290"/>
      <c r="K166" s="260"/>
      <c r="L166" s="260"/>
      <c r="M166" s="291"/>
      <c r="N166" s="45"/>
      <c r="O166" s="290"/>
      <c r="P166" s="260"/>
      <c r="Q166" s="260"/>
      <c r="R166" s="291"/>
      <c r="S166" s="45"/>
      <c r="T166" s="290"/>
      <c r="U166" s="260"/>
      <c r="V166" s="260"/>
      <c r="W166" s="291"/>
      <c r="X166" s="45"/>
      <c r="Y166" s="290"/>
      <c r="Z166" s="260"/>
      <c r="AA166" s="260"/>
      <c r="AB166" s="291"/>
      <c r="AC166" s="45"/>
      <c r="AD166" s="290"/>
      <c r="AE166" s="260"/>
      <c r="AF166" s="260"/>
      <c r="AG166" s="291"/>
      <c r="AH166" s="45"/>
      <c r="AI166" s="290"/>
      <c r="AJ166" s="260"/>
      <c r="AK166" s="260"/>
      <c r="AL166" s="291"/>
      <c r="AM166" s="45"/>
      <c r="AN166" s="290"/>
      <c r="AO166" s="260"/>
      <c r="AP166" s="260"/>
      <c r="AQ166" s="291"/>
      <c r="AR166" s="45"/>
      <c r="AS166" s="290">
        <f>Debt!CG319</f>
        <v>0</v>
      </c>
      <c r="AT166" s="260">
        <f>Debt!CH319</f>
        <v>0</v>
      </c>
      <c r="AU166" s="260">
        <f>Debt!CI319</f>
        <v>3.1875</v>
      </c>
      <c r="AV166" s="291">
        <f>Debt!CJ319</f>
        <v>3.1875</v>
      </c>
      <c r="AW166" s="45">
        <f>Debt!CK319</f>
        <v>6.375</v>
      </c>
      <c r="AX166" s="290">
        <f>Debt!CL319</f>
        <v>3.1875</v>
      </c>
      <c r="AY166" s="260">
        <f>Debt!CM319</f>
        <v>3.1875</v>
      </c>
      <c r="AZ166" s="260">
        <f>Debt!CN319</f>
        <v>0.8125</v>
      </c>
      <c r="BA166" s="291">
        <f>Debt!CO319</f>
        <v>0.8125</v>
      </c>
      <c r="BB166" s="45">
        <f>Debt!CP319</f>
        <v>8</v>
      </c>
      <c r="BC166" s="290">
        <f>Debt!CQ319</f>
        <v>0.8125</v>
      </c>
      <c r="BD166" s="260">
        <f>Debt!CR319</f>
        <v>0.8125</v>
      </c>
      <c r="BE166" s="260">
        <f>Debt!CS319</f>
        <v>0.625</v>
      </c>
      <c r="BF166" s="291">
        <f>Debt!CT319</f>
        <v>0.625</v>
      </c>
      <c r="BG166" s="45">
        <f>Debt!CU319</f>
        <v>2.875</v>
      </c>
      <c r="BH166" s="290">
        <f>Debt!CV319</f>
        <v>0.625</v>
      </c>
      <c r="BI166" s="260">
        <f>Debt!CW319</f>
        <v>0.625</v>
      </c>
      <c r="BJ166" s="260">
        <f>Debt!CX319</f>
        <v>0.5625</v>
      </c>
      <c r="BK166" s="291">
        <f>Debt!CY319</f>
        <v>0.5625</v>
      </c>
      <c r="BL166" s="45">
        <f>Debt!CZ319</f>
        <v>2.375</v>
      </c>
      <c r="BM166" s="45"/>
      <c r="BN166" s="45"/>
      <c r="BO166" s="45"/>
      <c r="BP166" s="45"/>
      <c r="BQ166" s="45"/>
      <c r="BR166" s="45"/>
      <c r="BS166" s="45"/>
      <c r="BT166" s="45"/>
      <c r="BU166" s="45"/>
      <c r="BV166" s="45"/>
      <c r="BW166" s="45"/>
      <c r="BX166" s="45"/>
      <c r="BY166" s="45"/>
      <c r="BZ166" s="45"/>
      <c r="CA166" s="45"/>
      <c r="CB166" s="45"/>
      <c r="CC166" s="45"/>
      <c r="CD166" s="45"/>
      <c r="CE166" s="45"/>
      <c r="CF166" s="45"/>
      <c r="CG166" s="45"/>
      <c r="CH166" s="45"/>
      <c r="CI166" s="45"/>
      <c r="CJ166" s="45"/>
      <c r="CK166" s="45"/>
      <c r="CL166" s="45"/>
      <c r="CM166" s="45"/>
      <c r="CN166" s="45"/>
      <c r="CO166" s="45"/>
      <c r="CP166" s="45"/>
    </row>
    <row r="167" spans="1:124">
      <c r="A167" s="45"/>
      <c r="B167" s="45"/>
      <c r="C167" s="391" t="s">
        <v>225</v>
      </c>
      <c r="D167" s="45"/>
      <c r="E167" s="290"/>
      <c r="F167" s="260"/>
      <c r="G167" s="260"/>
      <c r="H167" s="291"/>
      <c r="I167" s="45"/>
      <c r="J167" s="290"/>
      <c r="K167" s="260"/>
      <c r="L167" s="260"/>
      <c r="M167" s="291"/>
      <c r="N167" s="45"/>
      <c r="O167" s="290"/>
      <c r="P167" s="260"/>
      <c r="Q167" s="260"/>
      <c r="R167" s="291"/>
      <c r="S167" s="45"/>
      <c r="T167" s="290"/>
      <c r="U167" s="260"/>
      <c r="V167" s="260"/>
      <c r="W167" s="291"/>
      <c r="X167" s="45"/>
      <c r="Y167" s="290"/>
      <c r="Z167" s="260"/>
      <c r="AA167" s="260"/>
      <c r="AB167" s="291"/>
      <c r="AC167" s="45"/>
      <c r="AD167" s="290"/>
      <c r="AE167" s="260"/>
      <c r="AF167" s="260"/>
      <c r="AG167" s="291"/>
      <c r="AH167" s="45"/>
      <c r="AI167" s="290"/>
      <c r="AJ167" s="260"/>
      <c r="AK167" s="260"/>
      <c r="AL167" s="291"/>
      <c r="AM167" s="45"/>
      <c r="AN167" s="290"/>
      <c r="AO167" s="260"/>
      <c r="AP167" s="260"/>
      <c r="AQ167" s="291"/>
      <c r="AR167" s="45"/>
      <c r="AS167" s="290">
        <f>Debt!CG311</f>
        <v>-0.26495000000000002</v>
      </c>
      <c r="AT167" s="260">
        <f>Debt!CH311</f>
        <v>-0.26495000000000002</v>
      </c>
      <c r="AU167" s="260">
        <f>Debt!CI311</f>
        <v>-6.8099999999999994E-2</v>
      </c>
      <c r="AV167" s="291">
        <f>Debt!CJ311</f>
        <v>-6.8099999999999994E-2</v>
      </c>
      <c r="AW167" s="45">
        <f>SUM(AS167:AV167)</f>
        <v>-0.66610000000000014</v>
      </c>
      <c r="AX167" s="290">
        <f>Debt!CL311</f>
        <v>-6.8099999999999994E-2</v>
      </c>
      <c r="AY167" s="260">
        <f>Debt!CM311</f>
        <v>-6.8099999999999994E-2</v>
      </c>
      <c r="AZ167" s="260">
        <f>Debt!CN311</f>
        <v>-0.2283</v>
      </c>
      <c r="BA167" s="291">
        <f>Debt!CO311</f>
        <v>-0.2283</v>
      </c>
      <c r="BB167" s="45">
        <f>SUM(AX167:BA167)</f>
        <v>-0.59279999999999999</v>
      </c>
      <c r="BC167" s="290">
        <f>Debt!CQ311</f>
        <v>-0.2283</v>
      </c>
      <c r="BD167" s="260">
        <f>Debt!CR311</f>
        <v>-0.2283</v>
      </c>
      <c r="BE167" s="260">
        <f>Debt!CS311</f>
        <v>0</v>
      </c>
      <c r="BF167" s="291">
        <f>Debt!CT311</f>
        <v>0</v>
      </c>
      <c r="BG167" s="45">
        <f>SUM(BC167:BF167)</f>
        <v>-0.45660000000000001</v>
      </c>
      <c r="BH167" s="290">
        <f>Debt!CV311</f>
        <v>0</v>
      </c>
      <c r="BI167" s="260">
        <f>Debt!CW311</f>
        <v>0</v>
      </c>
      <c r="BJ167" s="260">
        <f>Debt!CX311</f>
        <v>0</v>
      </c>
      <c r="BK167" s="291">
        <f>Debt!CY311</f>
        <v>0</v>
      </c>
      <c r="BL167" s="45">
        <f>SUM(BH167:BK167)</f>
        <v>0</v>
      </c>
      <c r="BM167" s="45"/>
      <c r="BN167" s="45"/>
      <c r="BO167" s="45"/>
      <c r="BP167" s="45"/>
      <c r="BQ167" s="45"/>
      <c r="BR167" s="45"/>
      <c r="BS167" s="45"/>
      <c r="BT167" s="45"/>
      <c r="BU167" s="45"/>
      <c r="BV167" s="45"/>
      <c r="BW167" s="45"/>
      <c r="BX167" s="45"/>
      <c r="BY167" s="45"/>
      <c r="BZ167" s="45"/>
      <c r="CA167" s="45"/>
      <c r="CB167" s="45"/>
      <c r="CC167" s="45"/>
      <c r="CD167" s="45"/>
      <c r="CE167" s="45"/>
      <c r="CF167" s="45"/>
      <c r="CG167" s="45"/>
      <c r="CH167" s="45"/>
      <c r="CI167" s="45"/>
      <c r="CJ167" s="45"/>
      <c r="CK167" s="45"/>
      <c r="CL167" s="45"/>
      <c r="CM167" s="45"/>
      <c r="CN167" s="45"/>
      <c r="CO167" s="45"/>
      <c r="CP167" s="45"/>
    </row>
    <row r="168" spans="1:124">
      <c r="A168" s="1716"/>
      <c r="B168" s="1716"/>
      <c r="C168" s="895"/>
      <c r="D168" s="1716"/>
      <c r="E168" s="1717"/>
      <c r="F168" s="1718"/>
      <c r="G168" s="1718"/>
      <c r="H168" s="1719"/>
      <c r="I168" s="1716"/>
      <c r="J168" s="1717"/>
      <c r="K168" s="1718"/>
      <c r="L168" s="1718"/>
      <c r="M168" s="1719"/>
      <c r="N168" s="1716"/>
      <c r="O168" s="1717"/>
      <c r="P168" s="1718"/>
      <c r="Q168" s="1718"/>
      <c r="R168" s="1719"/>
      <c r="S168" s="1716"/>
      <c r="T168" s="1717"/>
      <c r="U168" s="1718"/>
      <c r="V168" s="1718"/>
      <c r="W168" s="1719"/>
      <c r="X168" s="1716"/>
      <c r="Y168" s="1717"/>
      <c r="Z168" s="1718"/>
      <c r="AA168" s="1718"/>
      <c r="AB168" s="1719"/>
      <c r="AC168" s="1716"/>
      <c r="AD168" s="1717"/>
      <c r="AE168" s="1718"/>
      <c r="AF168" s="1718"/>
      <c r="AG168" s="1719"/>
      <c r="AH168" s="1716"/>
      <c r="AI168" s="1717"/>
      <c r="AJ168" s="1718"/>
      <c r="AK168" s="1718"/>
      <c r="AL168" s="1719"/>
      <c r="AM168" s="1716"/>
      <c r="AN168" s="1717"/>
      <c r="AO168" s="1718"/>
      <c r="AP168" s="1718"/>
      <c r="AQ168" s="1719"/>
      <c r="AR168" s="1716"/>
      <c r="AS168" s="1717"/>
      <c r="AT168" s="1718"/>
      <c r="AU168" s="1718"/>
      <c r="AV168" s="1719"/>
      <c r="AW168" s="1716"/>
      <c r="AX168" s="1717"/>
      <c r="AY168" s="1718"/>
      <c r="AZ168" s="1718"/>
      <c r="BA168" s="1719"/>
      <c r="BB168" s="1716"/>
      <c r="BC168" s="1717"/>
      <c r="BD168" s="1718"/>
      <c r="BE168" s="1718"/>
      <c r="BF168" s="1719"/>
      <c r="BG168" s="1716"/>
      <c r="BH168" s="1717"/>
      <c r="BI168" s="1718"/>
      <c r="BJ168" s="1718"/>
      <c r="BK168" s="1719"/>
      <c r="BL168" s="1716"/>
      <c r="BM168" s="1716"/>
      <c r="BN168" s="1716"/>
      <c r="BO168" s="1716"/>
      <c r="BP168" s="1716"/>
      <c r="BQ168" s="1716"/>
      <c r="BR168" s="1716"/>
      <c r="BS168" s="1716"/>
      <c r="BT168" s="1716"/>
      <c r="BU168" s="1716"/>
      <c r="BV168" s="1716"/>
      <c r="BW168" s="1716"/>
      <c r="BX168" s="1716"/>
      <c r="BY168" s="1716"/>
      <c r="BZ168" s="1716"/>
      <c r="CA168" s="1716"/>
      <c r="CB168" s="1716"/>
      <c r="CC168" s="1716"/>
      <c r="CD168" s="1716"/>
      <c r="CE168" s="1716"/>
      <c r="CF168" s="1716"/>
      <c r="CG168" s="1716"/>
      <c r="CH168" s="1716"/>
      <c r="CI168" s="1716"/>
      <c r="CJ168" s="1716"/>
      <c r="CK168" s="1716"/>
      <c r="CL168" s="1716"/>
      <c r="CM168" s="1716"/>
      <c r="CN168" s="1716"/>
      <c r="CO168" s="1716"/>
      <c r="CP168" s="1716"/>
    </row>
    <row r="169" spans="1:124">
      <c r="A169" s="1716"/>
      <c r="B169" s="1716"/>
      <c r="C169" s="391" t="s">
        <v>239</v>
      </c>
      <c r="D169" s="1716"/>
      <c r="E169" s="1717"/>
      <c r="F169" s="1718"/>
      <c r="G169" s="1718"/>
      <c r="H169" s="1719"/>
      <c r="I169" s="1716"/>
      <c r="J169" s="1717"/>
      <c r="K169" s="1718"/>
      <c r="L169" s="1337"/>
      <c r="M169" s="1701"/>
      <c r="N169" s="1713"/>
      <c r="O169" s="1717"/>
      <c r="P169" s="1718"/>
      <c r="Q169" s="1337"/>
      <c r="R169" s="1701"/>
      <c r="S169" s="1713"/>
      <c r="T169" s="1700"/>
      <c r="U169" s="1337"/>
      <c r="V169" s="1337"/>
      <c r="W169" s="1701"/>
      <c r="X169" s="1713"/>
      <c r="Y169" s="1700"/>
      <c r="Z169" s="1337"/>
      <c r="AA169" s="1337"/>
      <c r="AB169" s="1701"/>
      <c r="AC169" s="1713"/>
      <c r="AD169" s="1700"/>
      <c r="AE169" s="1337"/>
      <c r="AF169" s="1337"/>
      <c r="AG169" s="1701"/>
      <c r="AH169" s="1713"/>
      <c r="AI169" s="1700"/>
      <c r="AJ169" s="1337"/>
      <c r="AK169" s="1337"/>
      <c r="AL169" s="1701"/>
      <c r="AM169" s="1713"/>
      <c r="AN169" s="1700"/>
      <c r="AO169" s="1337"/>
      <c r="AP169" s="1337"/>
      <c r="AQ169" s="1701"/>
      <c r="AR169" s="1713"/>
      <c r="AS169" s="1700">
        <f>EXC!AX111</f>
        <v>0.02</v>
      </c>
      <c r="AT169" s="1337">
        <f>EXC!AY111</f>
        <v>0.02</v>
      </c>
      <c r="AU169" s="1337">
        <f>EXC!AZ111</f>
        <v>0.02</v>
      </c>
      <c r="AV169" s="1701">
        <f>EXC!BA111</f>
        <v>0.02</v>
      </c>
      <c r="AW169" s="1713">
        <f>EXC!BB111</f>
        <v>0.02</v>
      </c>
      <c r="AX169" s="1700">
        <f>EXC!BC111</f>
        <v>0.02</v>
      </c>
      <c r="AY169" s="1337">
        <f>EXC!BD111</f>
        <v>0.02</v>
      </c>
      <c r="AZ169" s="1337">
        <f>EXC!BE111</f>
        <v>0.02</v>
      </c>
      <c r="BA169" s="1701">
        <f>EXC!BF111</f>
        <v>0.02</v>
      </c>
      <c r="BB169" s="1713">
        <f>EXC!BG111</f>
        <v>0.02</v>
      </c>
      <c r="BC169" s="1700">
        <f>EXC!BH111</f>
        <v>0.02</v>
      </c>
      <c r="BD169" s="1337">
        <f>EXC!BI111</f>
        <v>0.02</v>
      </c>
      <c r="BE169" s="1337">
        <f>EXC!BJ111</f>
        <v>0.02</v>
      </c>
      <c r="BF169" s="1701">
        <f>EXC!BK111</f>
        <v>0.02</v>
      </c>
      <c r="BG169" s="1713">
        <f>EXC!BL111</f>
        <v>0.02</v>
      </c>
      <c r="BH169" s="1700">
        <f>EXC!BM111</f>
        <v>0.02</v>
      </c>
      <c r="BI169" s="1337">
        <f>EXC!BN111</f>
        <v>0.02</v>
      </c>
      <c r="BJ169" s="1337">
        <f>EXC!BO111</f>
        <v>0.02</v>
      </c>
      <c r="BK169" s="1701">
        <f>EXC!BP111</f>
        <v>0.02</v>
      </c>
      <c r="BL169" s="1713">
        <f>EXC!BQ111</f>
        <v>0.02</v>
      </c>
      <c r="BM169" s="1716"/>
      <c r="BN169" s="1716"/>
      <c r="BO169" s="1716"/>
      <c r="BP169" s="1716"/>
      <c r="BQ169" s="1716"/>
      <c r="BR169" s="1716"/>
      <c r="BS169" s="1716"/>
      <c r="BT169" s="1716"/>
      <c r="BU169" s="1716"/>
      <c r="BV169" s="1716"/>
      <c r="BW169" s="1716"/>
      <c r="BX169" s="1716"/>
      <c r="BY169" s="1716"/>
      <c r="BZ169" s="1716"/>
      <c r="CA169" s="1716"/>
      <c r="CB169" s="1716"/>
      <c r="CC169" s="1716"/>
      <c r="CD169" s="1716"/>
      <c r="CE169" s="1716"/>
      <c r="CF169" s="1716"/>
      <c r="CG169" s="1716"/>
      <c r="CH169" s="1716"/>
      <c r="CI169" s="1716"/>
      <c r="CJ169" s="1716"/>
      <c r="CK169" s="1716"/>
      <c r="CL169" s="1716"/>
      <c r="CM169" s="1716"/>
      <c r="CN169" s="1716"/>
      <c r="CO169" s="1716"/>
      <c r="CP169" s="1716"/>
    </row>
    <row r="170" spans="1:124">
      <c r="A170" s="1716"/>
      <c r="B170" s="1716"/>
      <c r="C170" s="1716"/>
      <c r="D170" s="1716"/>
      <c r="E170" s="1717"/>
      <c r="F170" s="1718"/>
      <c r="G170" s="1718"/>
      <c r="H170" s="1719"/>
      <c r="I170" s="1716"/>
      <c r="J170" s="1717"/>
      <c r="K170" s="1718"/>
      <c r="L170" s="1718"/>
      <c r="M170" s="1719"/>
      <c r="N170" s="1716"/>
      <c r="O170" s="1717"/>
      <c r="P170" s="1718"/>
      <c r="Q170" s="1718"/>
      <c r="R170" s="1719"/>
      <c r="S170" s="1716"/>
      <c r="T170" s="1717"/>
      <c r="U170" s="1718"/>
      <c r="V170" s="1718"/>
      <c r="W170" s="1719"/>
      <c r="X170" s="1716"/>
      <c r="Y170" s="1717"/>
      <c r="Z170" s="1718"/>
      <c r="AA170" s="1718"/>
      <c r="AB170" s="1719"/>
      <c r="AC170" s="1716"/>
      <c r="AD170" s="1717"/>
      <c r="AE170" s="1718"/>
      <c r="AF170" s="1718"/>
      <c r="AG170" s="1719"/>
      <c r="AH170" s="1716"/>
      <c r="AI170" s="1717"/>
      <c r="AJ170" s="1718"/>
      <c r="AK170" s="1718"/>
      <c r="AL170" s="1719"/>
      <c r="AM170" s="1716"/>
      <c r="AN170" s="1717"/>
      <c r="AO170" s="1718"/>
      <c r="AP170" s="1718"/>
      <c r="AQ170" s="1719"/>
      <c r="AR170" s="1716"/>
      <c r="AS170" s="1717"/>
      <c r="AT170" s="1718"/>
      <c r="AU170" s="1718"/>
      <c r="AV170" s="1719"/>
      <c r="AW170" s="1716"/>
      <c r="AX170" s="1717"/>
      <c r="AY170" s="1718"/>
      <c r="AZ170" s="1718"/>
      <c r="BA170" s="1719"/>
      <c r="BB170" s="1716"/>
      <c r="BC170" s="1717"/>
      <c r="BD170" s="1718"/>
      <c r="BE170" s="1718"/>
      <c r="BF170" s="1719"/>
      <c r="BG170" s="1716"/>
      <c r="BH170" s="1717"/>
      <c r="BI170" s="1718"/>
      <c r="BJ170" s="1718"/>
      <c r="BK170" s="1719"/>
      <c r="BL170" s="1716"/>
      <c r="BM170" s="1716"/>
      <c r="BN170" s="1716"/>
      <c r="BO170" s="1716"/>
      <c r="BP170" s="1716"/>
      <c r="BQ170" s="1716"/>
      <c r="BR170" s="1716"/>
      <c r="BS170" s="1716"/>
      <c r="BT170" s="1716"/>
      <c r="BU170" s="1716"/>
      <c r="BV170" s="1716"/>
      <c r="BW170" s="1716"/>
      <c r="BX170" s="1716"/>
      <c r="BY170" s="1716"/>
      <c r="BZ170" s="1716"/>
      <c r="CA170" s="1716"/>
      <c r="CB170" s="1774"/>
      <c r="CC170" s="1774"/>
      <c r="CD170" s="1774"/>
      <c r="CE170" s="657"/>
      <c r="CF170" s="1774"/>
      <c r="CG170" s="1774"/>
      <c r="CH170" s="1774"/>
      <c r="CI170" s="1774"/>
      <c r="CJ170" s="657"/>
      <c r="CK170" s="1774"/>
      <c r="CL170" s="1774"/>
      <c r="CM170" s="1774"/>
      <c r="CN170" s="1774"/>
      <c r="CO170" s="657"/>
      <c r="CP170" s="1716"/>
    </row>
    <row r="171" spans="1:124">
      <c r="A171" s="1716"/>
      <c r="B171" s="1716"/>
      <c r="C171" s="1716"/>
      <c r="D171" s="1716"/>
      <c r="E171" s="1717"/>
      <c r="F171" s="1718"/>
      <c r="G171" s="1718"/>
      <c r="H171" s="1719"/>
      <c r="I171" s="1716"/>
      <c r="J171" s="1717"/>
      <c r="K171" s="1718"/>
      <c r="L171" s="1718"/>
      <c r="M171" s="1719"/>
      <c r="N171" s="1716"/>
      <c r="O171" s="1717"/>
      <c r="P171" s="1718"/>
      <c r="Q171" s="1718"/>
      <c r="R171" s="1719"/>
      <c r="S171" s="1716"/>
      <c r="T171" s="1717"/>
      <c r="U171" s="1718"/>
      <c r="V171" s="1718"/>
      <c r="W171" s="1719"/>
      <c r="X171" s="1716"/>
      <c r="Y171" s="1717"/>
      <c r="Z171" s="1718"/>
      <c r="AA171" s="1718"/>
      <c r="AB171" s="1719"/>
      <c r="AC171" s="1716"/>
      <c r="AD171" s="1717"/>
      <c r="AE171" s="1718"/>
      <c r="AF171" s="1718"/>
      <c r="AG171" s="1719"/>
      <c r="AH171" s="1716"/>
      <c r="AI171" s="1717"/>
      <c r="AJ171" s="1718"/>
      <c r="AK171" s="1718"/>
      <c r="AL171" s="1719"/>
      <c r="AM171" s="1716"/>
      <c r="AN171" s="1717"/>
      <c r="AO171" s="1718"/>
      <c r="AP171" s="1718"/>
      <c r="AQ171" s="1719"/>
      <c r="AR171" s="1716"/>
      <c r="AS171" s="1717"/>
      <c r="AT171" s="1718"/>
      <c r="AU171" s="1718"/>
      <c r="AV171" s="1719"/>
      <c r="AW171" s="1716"/>
      <c r="AX171" s="1717"/>
      <c r="AY171" s="1718"/>
      <c r="AZ171" s="1718"/>
      <c r="BA171" s="1719"/>
      <c r="BB171" s="1716"/>
      <c r="BC171" s="1717"/>
      <c r="BD171" s="1718"/>
      <c r="BE171" s="1718"/>
      <c r="BF171" s="1719"/>
      <c r="BG171" s="1716"/>
      <c r="BH171" s="1717"/>
      <c r="BI171" s="1718"/>
      <c r="BJ171" s="1718"/>
      <c r="BK171" s="1719"/>
      <c r="BL171" s="1716"/>
      <c r="BM171" s="1716"/>
      <c r="BN171" s="1716"/>
      <c r="BO171" s="1716"/>
      <c r="BP171" s="1716"/>
      <c r="BQ171" s="1716"/>
      <c r="BR171" s="1716"/>
      <c r="BS171" s="1716"/>
      <c r="BT171" s="1716"/>
      <c r="BU171" s="1716"/>
      <c r="BV171" s="1716"/>
      <c r="BW171" s="1716"/>
      <c r="BX171" s="1716"/>
      <c r="BY171" s="1716"/>
      <c r="BZ171" s="1716"/>
      <c r="CA171" s="1716"/>
      <c r="CB171" s="1775" t="s">
        <v>627</v>
      </c>
      <c r="CC171" s="895"/>
      <c r="CD171" s="895"/>
      <c r="CE171" s="895"/>
      <c r="CF171" s="895"/>
      <c r="CG171" s="895"/>
      <c r="CH171" s="895"/>
      <c r="CI171" s="895"/>
      <c r="CJ171" s="895"/>
      <c r="CK171" s="895"/>
      <c r="CL171" s="895"/>
      <c r="CM171" s="895"/>
      <c r="CN171" s="895"/>
    </row>
    <row r="172" spans="1:124">
      <c r="A172" s="1716"/>
      <c r="B172" s="1771" t="s">
        <v>276</v>
      </c>
      <c r="C172" s="1772"/>
      <c r="D172" s="1773"/>
      <c r="E172" s="1717"/>
      <c r="F172" s="1718"/>
      <c r="G172" s="1718"/>
      <c r="H172" s="1719"/>
      <c r="I172" s="1716"/>
      <c r="J172" s="1717"/>
      <c r="K172" s="1718"/>
      <c r="L172" s="1718"/>
      <c r="M172" s="1719"/>
      <c r="N172" s="1716"/>
      <c r="O172" s="1717"/>
      <c r="P172" s="1718"/>
      <c r="Q172" s="1718"/>
      <c r="R172" s="1719"/>
      <c r="S172" s="1716"/>
      <c r="T172" s="1717"/>
      <c r="U172" s="1718"/>
      <c r="V172" s="1718"/>
      <c r="W172" s="1719"/>
      <c r="X172" s="1716"/>
      <c r="Y172" s="1717"/>
      <c r="Z172" s="1718"/>
      <c r="AA172" s="1718"/>
      <c r="AB172" s="1719"/>
      <c r="AC172" s="1716"/>
      <c r="AD172" s="1717"/>
      <c r="AE172" s="1718"/>
      <c r="AF172" s="1718"/>
      <c r="AG172" s="1719"/>
      <c r="AH172" s="1716"/>
      <c r="AI172" s="1717"/>
      <c r="AJ172" s="1718"/>
      <c r="AK172" s="1718"/>
      <c r="AL172" s="1719"/>
      <c r="AM172" s="1716"/>
      <c r="AN172" s="1717"/>
      <c r="AO172" s="1718"/>
      <c r="AP172" s="1718"/>
      <c r="AQ172" s="1719"/>
      <c r="AR172" s="1716"/>
      <c r="AS172" s="1717"/>
      <c r="AT172" s="1718"/>
      <c r="AU172" s="1718"/>
      <c r="AV172" s="1719"/>
      <c r="AW172" s="1716"/>
      <c r="AX172" s="1717"/>
      <c r="AY172" s="1718"/>
      <c r="AZ172" s="1718"/>
      <c r="BA172" s="1719"/>
      <c r="BB172" s="1716"/>
      <c r="BC172" s="1717"/>
      <c r="BD172" s="1718"/>
      <c r="BE172" s="1718"/>
      <c r="BF172" s="1719"/>
      <c r="BG172" s="1716"/>
      <c r="BH172" s="1717"/>
      <c r="BI172" s="1718"/>
      <c r="BJ172" s="1718"/>
      <c r="BK172" s="1719"/>
      <c r="BL172" s="1716"/>
      <c r="BM172" s="1716"/>
      <c r="BN172" s="1716"/>
      <c r="BO172" s="1716"/>
      <c r="BP172" s="1716"/>
      <c r="BQ172" s="1716"/>
      <c r="BR172" s="1716"/>
      <c r="BS172" s="1716"/>
      <c r="BT172" s="1716"/>
      <c r="BU172" s="1716"/>
      <c r="BV172" s="1716"/>
      <c r="BW172" s="1716"/>
      <c r="BX172" s="1716"/>
      <c r="BY172" s="1716"/>
      <c r="BZ172" s="1716"/>
      <c r="CA172" s="1716"/>
      <c r="CB172" s="1776" t="s">
        <v>358</v>
      </c>
      <c r="CC172" s="1776" t="s">
        <v>359</v>
      </c>
      <c r="CD172" s="1776" t="s">
        <v>322</v>
      </c>
      <c r="CE172" s="1776" t="s">
        <v>323</v>
      </c>
      <c r="CF172" s="1776" t="s">
        <v>628</v>
      </c>
      <c r="CG172" s="1776" t="s">
        <v>324</v>
      </c>
      <c r="CH172" s="1776" t="s">
        <v>325</v>
      </c>
      <c r="CI172" s="1776" t="s">
        <v>326</v>
      </c>
      <c r="CJ172" s="1776" t="s">
        <v>327</v>
      </c>
      <c r="CK172" s="1776" t="s">
        <v>629</v>
      </c>
      <c r="CL172" s="1776" t="s">
        <v>268</v>
      </c>
      <c r="CM172" s="1776" t="s">
        <v>269</v>
      </c>
      <c r="CN172" s="1776" t="s">
        <v>270</v>
      </c>
      <c r="CO172" s="1776" t="s">
        <v>271</v>
      </c>
      <c r="CP172" s="1776" t="s">
        <v>630</v>
      </c>
      <c r="CQ172" s="1776" t="s">
        <v>616</v>
      </c>
      <c r="CR172" s="1776" t="s">
        <v>1201</v>
      </c>
      <c r="CS172" s="1776" t="s">
        <v>1251</v>
      </c>
      <c r="CT172" s="1776" t="s">
        <v>1252</v>
      </c>
      <c r="CU172" s="1776" t="s">
        <v>827</v>
      </c>
      <c r="CV172" s="1776" t="s">
        <v>674</v>
      </c>
      <c r="CW172" s="1776" t="s">
        <v>673</v>
      </c>
      <c r="CX172" s="1776" t="s">
        <v>919</v>
      </c>
      <c r="CY172" s="1776" t="s">
        <v>920</v>
      </c>
      <c r="CZ172" s="1776" t="s">
        <v>922</v>
      </c>
      <c r="DA172" s="1776" t="s">
        <v>1218</v>
      </c>
      <c r="DB172" s="1776" t="s">
        <v>1211</v>
      </c>
      <c r="DC172" s="1776" t="s">
        <v>1344</v>
      </c>
      <c r="DD172" s="1776" t="s">
        <v>1345</v>
      </c>
      <c r="DE172" s="1776" t="s">
        <v>1346</v>
      </c>
      <c r="DF172" s="1776" t="s">
        <v>1409</v>
      </c>
      <c r="DG172" s="1776" t="s">
        <v>1405</v>
      </c>
      <c r="DH172" s="1776" t="s">
        <v>1406</v>
      </c>
      <c r="DI172" s="1776" t="s">
        <v>1407</v>
      </c>
      <c r="DJ172" s="1776" t="s">
        <v>1408</v>
      </c>
      <c r="DK172" s="1776" t="s">
        <v>1436</v>
      </c>
      <c r="DL172" s="1776" t="s">
        <v>1439</v>
      </c>
      <c r="DM172" s="1776" t="s">
        <v>1480</v>
      </c>
      <c r="DN172" s="1776" t="s">
        <v>1501</v>
      </c>
      <c r="DO172" s="1776" t="s">
        <v>1503</v>
      </c>
      <c r="DP172" s="1776" t="s">
        <v>1515</v>
      </c>
      <c r="DQ172" s="1776" t="s">
        <v>1534</v>
      </c>
      <c r="DR172" s="1776" t="s">
        <v>1536</v>
      </c>
      <c r="DS172" s="1776" t="s">
        <v>1538</v>
      </c>
      <c r="DT172" s="1776" t="s">
        <v>1540</v>
      </c>
    </row>
    <row r="173" spans="1:124">
      <c r="A173" s="45"/>
      <c r="B173" s="45"/>
      <c r="C173" s="391" t="s">
        <v>321</v>
      </c>
      <c r="D173" s="45"/>
      <c r="E173" s="290"/>
      <c r="F173" s="260"/>
      <c r="G173" s="260"/>
      <c r="H173" s="291"/>
      <c r="I173" s="647">
        <f t="shared" ref="I173:I179" si="393">CK173</f>
        <v>45</v>
      </c>
      <c r="J173" s="290">
        <f t="shared" ref="J173:J178" si="394">+CL173</f>
        <v>23</v>
      </c>
      <c r="K173" s="260">
        <f t="shared" ref="K173:L178" si="395">+CM173-CL173</f>
        <v>22</v>
      </c>
      <c r="L173" s="260">
        <f t="shared" si="395"/>
        <v>11</v>
      </c>
      <c r="M173" s="291">
        <f t="shared" ref="M173:M178" si="396">CO173-CN173</f>
        <v>15</v>
      </c>
      <c r="N173" s="647">
        <f t="shared" ref="N173:O178" si="397">+CP173</f>
        <v>71</v>
      </c>
      <c r="O173" s="290">
        <f t="shared" si="397"/>
        <v>21</v>
      </c>
      <c r="P173" s="260">
        <f t="shared" ref="P173:Q178" si="398">+CR173-CQ173</f>
        <v>13</v>
      </c>
      <c r="Q173" s="260">
        <f t="shared" si="398"/>
        <v>22</v>
      </c>
      <c r="R173" s="291">
        <f t="shared" ref="R173:R178" si="399">CT173-CS173</f>
        <v>17</v>
      </c>
      <c r="S173" s="647">
        <f t="shared" ref="S173:T178" si="400">+CU173</f>
        <v>73</v>
      </c>
      <c r="T173" s="290">
        <f t="shared" si="400"/>
        <v>26</v>
      </c>
      <c r="U173" s="260">
        <f t="shared" ref="U173:V178" si="401">+CW173-CV173</f>
        <v>12</v>
      </c>
      <c r="V173" s="260">
        <f t="shared" si="401"/>
        <v>23</v>
      </c>
      <c r="W173" s="291">
        <f t="shared" ref="W173:W178" si="402">CY173-CX173</f>
        <v>28</v>
      </c>
      <c r="X173" s="647">
        <f t="shared" ref="X173:Y178" si="403">+CZ173</f>
        <v>89</v>
      </c>
      <c r="Y173" s="290">
        <f t="shared" si="403"/>
        <v>37</v>
      </c>
      <c r="Z173" s="260">
        <f t="shared" ref="Z173:AA178" si="404">+DB173-DA173</f>
        <v>19</v>
      </c>
      <c r="AA173" s="260">
        <f t="shared" si="404"/>
        <v>23</v>
      </c>
      <c r="AB173" s="291">
        <f t="shared" ref="AB173:AB178" si="405">DD173-DC173</f>
        <v>25</v>
      </c>
      <c r="AC173" s="647">
        <f t="shared" ref="AC173:AC178" si="406">+DE173</f>
        <v>104</v>
      </c>
      <c r="AD173" s="290">
        <f t="shared" ref="AD173:AD178" si="407">+DF173</f>
        <v>32</v>
      </c>
      <c r="AE173" s="260">
        <f t="shared" ref="AE173:AE178" si="408">+DG173-DF173</f>
        <v>8</v>
      </c>
      <c r="AF173" s="260">
        <f t="shared" ref="AF173:AF178" si="409">+DH173-DG173</f>
        <v>15</v>
      </c>
      <c r="AG173" s="291">
        <f t="shared" ref="AG173:AG178" si="410">DI173-DH173</f>
        <v>21</v>
      </c>
      <c r="AH173" s="647">
        <f t="shared" ref="AH173:AI178" si="411">+DJ173</f>
        <v>76</v>
      </c>
      <c r="AI173" s="290">
        <f t="shared" si="411"/>
        <v>-72</v>
      </c>
      <c r="AJ173" s="260">
        <f t="shared" ref="AJ173:AK178" si="412">+DL173-DK173</f>
        <v>12</v>
      </c>
      <c r="AK173" s="260">
        <f t="shared" si="412"/>
        <v>44</v>
      </c>
      <c r="AL173" s="291">
        <f t="shared" ref="AL173:AL178" si="413">DN173-DM173</f>
        <v>7</v>
      </c>
      <c r="AM173" s="647">
        <f t="shared" ref="AM173:AM178" si="414">+DO173</f>
        <v>-9</v>
      </c>
      <c r="AN173" s="290">
        <f t="shared" ref="AN173:AN178" si="415">+DP173</f>
        <v>57</v>
      </c>
      <c r="AO173" s="260">
        <f t="shared" ref="AO173:AO178" si="416">+DQ173-DP173</f>
        <v>19</v>
      </c>
      <c r="AP173" s="260">
        <f t="shared" ref="AP173:AP178" si="417">+DR173-DQ173</f>
        <v>31</v>
      </c>
      <c r="AQ173" s="291">
        <f t="shared" ref="AQ173:AQ178" si="418">DS173-DR173</f>
        <v>14</v>
      </c>
      <c r="AR173" s="647">
        <f t="shared" ref="AR173:AR178" si="419">+DT173</f>
        <v>121</v>
      </c>
      <c r="AS173" s="290">
        <f>AS38</f>
        <v>46.523443846512237</v>
      </c>
      <c r="AT173" s="260">
        <f ca="1">AT38</f>
        <v>18.779865311806855</v>
      </c>
      <c r="AU173" s="260">
        <f ca="1">AU38</f>
        <v>35.739027444767665</v>
      </c>
      <c r="AV173" s="291">
        <f ca="1">AV38</f>
        <v>24.92921569622721</v>
      </c>
      <c r="AW173" s="45">
        <f ca="1">SUM(AS173:AV173)</f>
        <v>125.97155229931397</v>
      </c>
      <c r="AX173" s="290">
        <f ca="1">AX38</f>
        <v>47.763350468720162</v>
      </c>
      <c r="AY173" s="260">
        <f ca="1">AY38</f>
        <v>18.370979745803023</v>
      </c>
      <c r="AZ173" s="260">
        <f ca="1">AZ38</f>
        <v>36.39368461515005</v>
      </c>
      <c r="BA173" s="291">
        <f ca="1">BA38</f>
        <v>26.161524813863728</v>
      </c>
      <c r="BB173" s="45">
        <f ca="1">SUM(AX173:BA173)</f>
        <v>128.68953964353696</v>
      </c>
      <c r="BC173" s="290">
        <f ca="1">BC38</f>
        <v>49.384736580689911</v>
      </c>
      <c r="BD173" s="260">
        <f ca="1">BD38</f>
        <v>20.53190261270499</v>
      </c>
      <c r="BE173" s="260">
        <f ca="1">BE38</f>
        <v>37.425446370113036</v>
      </c>
      <c r="BF173" s="291">
        <f ca="1">BF38</f>
        <v>27.647900297560529</v>
      </c>
      <c r="BG173" s="45">
        <f ca="1">SUM(BC173:BF173)</f>
        <v>134.98998586106848</v>
      </c>
      <c r="BH173" s="290">
        <f ca="1">BH38</f>
        <v>50.193581057967066</v>
      </c>
      <c r="BI173" s="260">
        <f ca="1">BI38</f>
        <v>21.498766646397804</v>
      </c>
      <c r="BJ173" s="260">
        <f ca="1">BJ38</f>
        <v>38.326751086942274</v>
      </c>
      <c r="BK173" s="291">
        <f ca="1">BK38</f>
        <v>28.942372343958422</v>
      </c>
      <c r="BL173" s="45">
        <f ca="1">SUM(BH173:BK173)</f>
        <v>138.96147113526555</v>
      </c>
      <c r="BM173" s="45"/>
      <c r="BN173" s="45"/>
      <c r="BO173" s="45"/>
      <c r="BP173" s="45"/>
      <c r="BQ173" s="45"/>
      <c r="BR173" s="45"/>
      <c r="BS173" s="45"/>
      <c r="BT173" s="45"/>
      <c r="BU173" s="45"/>
      <c r="BV173" s="45"/>
      <c r="BW173" s="45"/>
      <c r="BX173" s="45"/>
      <c r="BY173" s="45"/>
      <c r="BZ173" s="45"/>
      <c r="CA173" s="45"/>
      <c r="CB173" s="339"/>
      <c r="CC173" s="339"/>
      <c r="CD173" s="339"/>
      <c r="CE173" s="45">
        <f t="shared" ref="CE173:CE178" si="420">CF173-CD173</f>
        <v>0</v>
      </c>
      <c r="CF173" s="339"/>
      <c r="CG173" s="339"/>
      <c r="CH173" s="339"/>
      <c r="CI173" s="339"/>
      <c r="CJ173" s="45">
        <f t="shared" ref="CJ173:CJ178" si="421">CK173</f>
        <v>45</v>
      </c>
      <c r="CK173" s="339">
        <v>45</v>
      </c>
      <c r="CL173" s="339">
        <v>23</v>
      </c>
      <c r="CM173" s="339">
        <v>45</v>
      </c>
      <c r="CN173" s="339">
        <v>56</v>
      </c>
      <c r="CO173" s="45">
        <f t="shared" ref="CO173:CO178" si="422">CP173</f>
        <v>71</v>
      </c>
      <c r="CP173" s="339">
        <v>71</v>
      </c>
      <c r="CQ173" s="339">
        <v>21</v>
      </c>
      <c r="CR173" s="339">
        <v>34</v>
      </c>
      <c r="CS173" s="339">
        <v>56</v>
      </c>
      <c r="CT173" s="45">
        <f t="shared" ref="CT173:CT178" si="423">CU173</f>
        <v>73</v>
      </c>
      <c r="CU173" s="339">
        <v>73</v>
      </c>
      <c r="CV173" s="339">
        <v>26</v>
      </c>
      <c r="CW173" s="339">
        <v>38</v>
      </c>
      <c r="CX173" s="339">
        <v>61</v>
      </c>
      <c r="CY173" s="45">
        <f t="shared" ref="CY173:CY178" si="424">CZ173</f>
        <v>89</v>
      </c>
      <c r="CZ173" s="339">
        <v>89</v>
      </c>
      <c r="DA173" s="339">
        <v>37</v>
      </c>
      <c r="DB173" s="339">
        <v>56</v>
      </c>
      <c r="DC173" s="339">
        <v>79</v>
      </c>
      <c r="DD173" s="45">
        <f t="shared" ref="DD173:DD178" si="425">DE173</f>
        <v>104</v>
      </c>
      <c r="DE173" s="339">
        <v>104</v>
      </c>
      <c r="DF173" s="2056">
        <v>32</v>
      </c>
      <c r="DG173" s="2056">
        <v>40</v>
      </c>
      <c r="DH173" s="2056">
        <v>55</v>
      </c>
      <c r="DI173" s="45">
        <f t="shared" ref="DI173:DI178" si="426">DJ173</f>
        <v>76</v>
      </c>
      <c r="DJ173" s="2056">
        <v>76</v>
      </c>
      <c r="DK173" s="2056">
        <v>-72</v>
      </c>
      <c r="DL173" s="2056">
        <v>-60</v>
      </c>
      <c r="DM173" s="2056">
        <v>-16</v>
      </c>
      <c r="DN173" s="45">
        <f t="shared" ref="DN173:DN178" si="427">DO173</f>
        <v>-9</v>
      </c>
      <c r="DO173" s="2056">
        <v>-9</v>
      </c>
      <c r="DP173" s="2056">
        <v>57</v>
      </c>
      <c r="DQ173" s="2056">
        <v>76</v>
      </c>
      <c r="DR173" s="2056">
        <v>107</v>
      </c>
      <c r="DS173" s="45">
        <f t="shared" ref="DS173:DS178" si="428">DT173</f>
        <v>121</v>
      </c>
      <c r="DT173" s="2056">
        <v>121</v>
      </c>
    </row>
    <row r="174" spans="1:124">
      <c r="A174" s="45"/>
      <c r="B174" s="45"/>
      <c r="C174" s="391" t="s">
        <v>587</v>
      </c>
      <c r="D174" s="45"/>
      <c r="E174" s="290"/>
      <c r="F174" s="260"/>
      <c r="G174" s="260"/>
      <c r="H174" s="291"/>
      <c r="I174" s="647">
        <f t="shared" si="393"/>
        <v>83</v>
      </c>
      <c r="J174" s="290">
        <f t="shared" si="394"/>
        <v>22</v>
      </c>
      <c r="K174" s="260">
        <f t="shared" si="395"/>
        <v>22</v>
      </c>
      <c r="L174" s="260">
        <f t="shared" si="395"/>
        <v>22</v>
      </c>
      <c r="M174" s="291">
        <f t="shared" si="396"/>
        <v>23</v>
      </c>
      <c r="N174" s="647">
        <f t="shared" si="397"/>
        <v>89</v>
      </c>
      <c r="O174" s="290">
        <f t="shared" si="397"/>
        <v>24</v>
      </c>
      <c r="P174" s="260">
        <f t="shared" si="398"/>
        <v>25</v>
      </c>
      <c r="Q174" s="260">
        <f t="shared" si="398"/>
        <v>29</v>
      </c>
      <c r="R174" s="291">
        <f t="shared" si="399"/>
        <v>24</v>
      </c>
      <c r="S174" s="647">
        <f t="shared" si="400"/>
        <v>102</v>
      </c>
      <c r="T174" s="290">
        <f t="shared" si="400"/>
        <v>25</v>
      </c>
      <c r="U174" s="260">
        <f t="shared" si="401"/>
        <v>27</v>
      </c>
      <c r="V174" s="260">
        <f t="shared" si="401"/>
        <v>27</v>
      </c>
      <c r="W174" s="291">
        <f t="shared" si="402"/>
        <v>28</v>
      </c>
      <c r="X174" s="647">
        <f t="shared" si="403"/>
        <v>107</v>
      </c>
      <c r="Y174" s="290">
        <f t="shared" si="403"/>
        <v>30</v>
      </c>
      <c r="Z174" s="260">
        <f t="shared" si="404"/>
        <v>30</v>
      </c>
      <c r="AA174" s="260">
        <f t="shared" si="404"/>
        <v>33</v>
      </c>
      <c r="AB174" s="291">
        <f t="shared" si="405"/>
        <v>32</v>
      </c>
      <c r="AC174" s="647">
        <f t="shared" si="406"/>
        <v>125</v>
      </c>
      <c r="AD174" s="290">
        <f t="shared" si="407"/>
        <v>39</v>
      </c>
      <c r="AE174" s="260">
        <f t="shared" si="408"/>
        <v>36</v>
      </c>
      <c r="AF174" s="260">
        <f t="shared" si="409"/>
        <v>42</v>
      </c>
      <c r="AG174" s="291">
        <f t="shared" si="410"/>
        <v>36</v>
      </c>
      <c r="AH174" s="647">
        <f t="shared" si="411"/>
        <v>153</v>
      </c>
      <c r="AI174" s="290">
        <f t="shared" si="411"/>
        <v>39</v>
      </c>
      <c r="AJ174" s="260">
        <f t="shared" si="412"/>
        <v>37</v>
      </c>
      <c r="AK174" s="260">
        <f t="shared" si="412"/>
        <v>44</v>
      </c>
      <c r="AL174" s="291">
        <f t="shared" si="413"/>
        <v>37</v>
      </c>
      <c r="AM174" s="647">
        <f t="shared" si="414"/>
        <v>157</v>
      </c>
      <c r="AN174" s="290">
        <f t="shared" si="415"/>
        <v>39</v>
      </c>
      <c r="AO174" s="260">
        <f t="shared" si="416"/>
        <v>40</v>
      </c>
      <c r="AP174" s="260">
        <f t="shared" si="417"/>
        <v>45</v>
      </c>
      <c r="AQ174" s="291">
        <f t="shared" si="418"/>
        <v>43</v>
      </c>
      <c r="AR174" s="647">
        <f t="shared" si="419"/>
        <v>167</v>
      </c>
      <c r="AS174" s="290">
        <f>AS19+(AN174-AN19)</f>
        <v>43.640246653632126</v>
      </c>
      <c r="AT174" s="260">
        <f>AT19+(AO174-AO19)</f>
        <v>44.542683602612271</v>
      </c>
      <c r="AU174" s="260">
        <f>AU19+(AP174-AP19)</f>
        <v>45.259983829740456</v>
      </c>
      <c r="AV174" s="291">
        <f>AV19+(AQ174-AQ19)</f>
        <v>45.968006297877366</v>
      </c>
      <c r="AW174" s="45">
        <f>SUM(AS174:AV174)</f>
        <v>179.41092038386222</v>
      </c>
      <c r="AX174" s="290">
        <f>AX19+(AS174-AS19)</f>
        <v>46.666871008116885</v>
      </c>
      <c r="AY174" s="260">
        <f>AY19+(AT174-AT19)</f>
        <v>47.578815398578683</v>
      </c>
      <c r="AZ174" s="260">
        <f>AZ19+(AU174-AU19)</f>
        <v>48.014327787768366</v>
      </c>
      <c r="BA174" s="291">
        <f>BA19+(AV174-AV19)</f>
        <v>48.444207139588478</v>
      </c>
      <c r="BB174" s="45">
        <f>SUM(AX174:BA174)</f>
        <v>190.70422133405242</v>
      </c>
      <c r="BC174" s="290">
        <f>BC19+(AX174-AX19)</f>
        <v>48.868526313298119</v>
      </c>
      <c r="BD174" s="260">
        <f>BD19+(AY174-AY19)</f>
        <v>49.287357225774635</v>
      </c>
      <c r="BE174" s="260">
        <f>BE19+(AZ174-AZ19)</f>
        <v>49.700770863702651</v>
      </c>
      <c r="BF174" s="291">
        <f>BF19+(BA174-BA19)</f>
        <v>50.108837295605426</v>
      </c>
      <c r="BG174" s="45">
        <f>SUM(BC174:BF174)</f>
        <v>197.96549169838084</v>
      </c>
      <c r="BH174" s="290">
        <f>BH19+(BC174-BC19)</f>
        <v>50.511625683720631</v>
      </c>
      <c r="BI174" s="260">
        <f>BI19+(BD174-BD19)</f>
        <v>50.909204295722432</v>
      </c>
      <c r="BJ174" s="260">
        <f>BJ19+(BE174-BE19)</f>
        <v>51.301640516292117</v>
      </c>
      <c r="BK174" s="291">
        <f>BK19+(BF174-BF19)</f>
        <v>51.689000858538911</v>
      </c>
      <c r="BL174" s="45">
        <f>SUM(BH174:BK174)</f>
        <v>204.41147135427408</v>
      </c>
      <c r="BM174" s="45"/>
      <c r="BN174" s="45"/>
      <c r="BO174" s="45"/>
      <c r="BP174" s="45"/>
      <c r="BQ174" s="45"/>
      <c r="BR174" s="45"/>
      <c r="BS174" s="45"/>
      <c r="BT174" s="45"/>
      <c r="BU174" s="45"/>
      <c r="BV174" s="45"/>
      <c r="BW174" s="45"/>
      <c r="BX174" s="45"/>
      <c r="BY174" s="45"/>
      <c r="BZ174" s="45"/>
      <c r="CA174" s="45"/>
      <c r="CB174" s="339"/>
      <c r="CC174" s="339"/>
      <c r="CD174" s="339"/>
      <c r="CE174" s="45">
        <f t="shared" si="420"/>
        <v>0</v>
      </c>
      <c r="CF174" s="339"/>
      <c r="CG174" s="339"/>
      <c r="CH174" s="339"/>
      <c r="CI174" s="339"/>
      <c r="CJ174" s="45">
        <f t="shared" si="421"/>
        <v>83</v>
      </c>
      <c r="CK174" s="339">
        <v>83</v>
      </c>
      <c r="CL174" s="339">
        <v>22</v>
      </c>
      <c r="CM174" s="339">
        <v>44</v>
      </c>
      <c r="CN174" s="339">
        <v>66</v>
      </c>
      <c r="CO174" s="45">
        <f t="shared" si="422"/>
        <v>89</v>
      </c>
      <c r="CP174" s="339">
        <v>89</v>
      </c>
      <c r="CQ174" s="339">
        <v>24</v>
      </c>
      <c r="CR174" s="339">
        <v>49</v>
      </c>
      <c r="CS174" s="339">
        <v>78</v>
      </c>
      <c r="CT174" s="45">
        <f t="shared" si="423"/>
        <v>102</v>
      </c>
      <c r="CU174" s="339">
        <v>102</v>
      </c>
      <c r="CV174" s="339">
        <v>25</v>
      </c>
      <c r="CW174" s="339">
        <v>52</v>
      </c>
      <c r="CX174" s="339">
        <v>79</v>
      </c>
      <c r="CY174" s="45">
        <f t="shared" si="424"/>
        <v>107</v>
      </c>
      <c r="CZ174" s="339">
        <v>107</v>
      </c>
      <c r="DA174" s="339">
        <v>30</v>
      </c>
      <c r="DB174" s="339">
        <v>60</v>
      </c>
      <c r="DC174" s="339">
        <v>93</v>
      </c>
      <c r="DD174" s="45">
        <f t="shared" si="425"/>
        <v>125</v>
      </c>
      <c r="DE174" s="339">
        <v>125</v>
      </c>
      <c r="DF174" s="2056">
        <v>39</v>
      </c>
      <c r="DG174" s="2056">
        <v>75</v>
      </c>
      <c r="DH174" s="2056">
        <v>117</v>
      </c>
      <c r="DI174" s="45">
        <f t="shared" si="426"/>
        <v>153</v>
      </c>
      <c r="DJ174" s="2056">
        <v>153</v>
      </c>
      <c r="DK174" s="2056">
        <v>39</v>
      </c>
      <c r="DL174" s="2056">
        <v>76</v>
      </c>
      <c r="DM174" s="2056">
        <v>120</v>
      </c>
      <c r="DN174" s="45">
        <f t="shared" si="427"/>
        <v>157</v>
      </c>
      <c r="DO174" s="2056">
        <v>157</v>
      </c>
      <c r="DP174" s="2056">
        <v>39</v>
      </c>
      <c r="DQ174" s="2056">
        <v>79</v>
      </c>
      <c r="DR174" s="2056">
        <v>124</v>
      </c>
      <c r="DS174" s="45">
        <f t="shared" si="428"/>
        <v>167</v>
      </c>
      <c r="DT174" s="2056">
        <v>167</v>
      </c>
    </row>
    <row r="175" spans="1:124">
      <c r="A175" s="45"/>
      <c r="B175" s="45"/>
      <c r="C175" s="391" t="s">
        <v>632</v>
      </c>
      <c r="D175" s="45"/>
      <c r="E175" s="290"/>
      <c r="F175" s="260"/>
      <c r="G175" s="260"/>
      <c r="H175" s="291"/>
      <c r="I175" s="647">
        <f t="shared" si="393"/>
        <v>0</v>
      </c>
      <c r="J175" s="290">
        <f t="shared" si="394"/>
        <v>0</v>
      </c>
      <c r="K175" s="260">
        <f t="shared" si="395"/>
        <v>0</v>
      </c>
      <c r="L175" s="260">
        <f t="shared" si="395"/>
        <v>0</v>
      </c>
      <c r="M175" s="291">
        <f t="shared" si="396"/>
        <v>0</v>
      </c>
      <c r="N175" s="647">
        <f t="shared" si="397"/>
        <v>0</v>
      </c>
      <c r="O175" s="290">
        <f t="shared" si="397"/>
        <v>0</v>
      </c>
      <c r="P175" s="260">
        <f t="shared" si="398"/>
        <v>0</v>
      </c>
      <c r="Q175" s="260">
        <f t="shared" si="398"/>
        <v>0</v>
      </c>
      <c r="R175" s="291">
        <f t="shared" si="399"/>
        <v>0</v>
      </c>
      <c r="S175" s="647">
        <f t="shared" si="400"/>
        <v>0</v>
      </c>
      <c r="T175" s="290">
        <f t="shared" si="400"/>
        <v>0</v>
      </c>
      <c r="U175" s="260">
        <f t="shared" si="401"/>
        <v>0</v>
      </c>
      <c r="V175" s="260">
        <f t="shared" si="401"/>
        <v>0</v>
      </c>
      <c r="W175" s="291">
        <f t="shared" si="402"/>
        <v>0</v>
      </c>
      <c r="X175" s="647">
        <f t="shared" si="403"/>
        <v>0</v>
      </c>
      <c r="Y175" s="290">
        <f t="shared" si="403"/>
        <v>0</v>
      </c>
      <c r="Z175" s="260">
        <f t="shared" si="404"/>
        <v>0</v>
      </c>
      <c r="AA175" s="260">
        <f t="shared" si="404"/>
        <v>0</v>
      </c>
      <c r="AB175" s="291">
        <f t="shared" si="405"/>
        <v>0</v>
      </c>
      <c r="AC175" s="647">
        <f t="shared" si="406"/>
        <v>0</v>
      </c>
      <c r="AD175" s="290">
        <f t="shared" si="407"/>
        <v>0</v>
      </c>
      <c r="AE175" s="260">
        <f t="shared" si="408"/>
        <v>0</v>
      </c>
      <c r="AF175" s="260">
        <f t="shared" si="409"/>
        <v>0</v>
      </c>
      <c r="AG175" s="291">
        <f t="shared" si="410"/>
        <v>0</v>
      </c>
      <c r="AH175" s="647">
        <f t="shared" si="411"/>
        <v>0</v>
      </c>
      <c r="AI175" s="290">
        <f t="shared" si="411"/>
        <v>0</v>
      </c>
      <c r="AJ175" s="260">
        <f t="shared" si="412"/>
        <v>0</v>
      </c>
      <c r="AK175" s="260">
        <f t="shared" si="412"/>
        <v>0</v>
      </c>
      <c r="AL175" s="291">
        <f t="shared" si="413"/>
        <v>0</v>
      </c>
      <c r="AM175" s="647">
        <f t="shared" si="414"/>
        <v>0</v>
      </c>
      <c r="AN175" s="290">
        <f t="shared" si="415"/>
        <v>0</v>
      </c>
      <c r="AO175" s="260">
        <f t="shared" si="416"/>
        <v>0</v>
      </c>
      <c r="AP175" s="260">
        <f t="shared" si="417"/>
        <v>0</v>
      </c>
      <c r="AQ175" s="291">
        <f t="shared" si="418"/>
        <v>0</v>
      </c>
      <c r="AR175" s="647">
        <f t="shared" si="419"/>
        <v>0</v>
      </c>
      <c r="AS175" s="290">
        <f>+AW175/4</f>
        <v>0</v>
      </c>
      <c r="AT175" s="260">
        <f>(AW175-SUM(AS175:AS175))/3</f>
        <v>0</v>
      </c>
      <c r="AU175" s="260">
        <f>(AW175-SUM(AS175:AT175))/2</f>
        <v>0</v>
      </c>
      <c r="AV175" s="291">
        <f>(AW175-SUM(AS175:AU175))/1</f>
        <v>0</v>
      </c>
      <c r="AW175" s="1003">
        <v>0</v>
      </c>
      <c r="AX175" s="290">
        <f>+BB175/4</f>
        <v>0</v>
      </c>
      <c r="AY175" s="260">
        <f>(BB175-SUM(AX175:AX175))/3</f>
        <v>0</v>
      </c>
      <c r="AZ175" s="260">
        <f>(BB175-SUM(AX175:AY175))/2</f>
        <v>0</v>
      </c>
      <c r="BA175" s="291">
        <f>(BB175-SUM(AX175:AZ175))/1</f>
        <v>0</v>
      </c>
      <c r="BB175" s="1003">
        <v>0</v>
      </c>
      <c r="BC175" s="290">
        <f>+BG175/4</f>
        <v>0</v>
      </c>
      <c r="BD175" s="260">
        <f>(BG175-SUM(BC175:BC175))/3</f>
        <v>0</v>
      </c>
      <c r="BE175" s="260">
        <f>(BG175-SUM(BC175:BD175))/2</f>
        <v>0</v>
      </c>
      <c r="BF175" s="291">
        <f>(BG175-SUM(BC175:BE175))/1</f>
        <v>0</v>
      </c>
      <c r="BG175" s="2058">
        <v>0</v>
      </c>
      <c r="BH175" s="290">
        <f>+BL175/4</f>
        <v>0</v>
      </c>
      <c r="BI175" s="260">
        <f>(BL175-SUM(BH175:BH175))/3</f>
        <v>0</v>
      </c>
      <c r="BJ175" s="260">
        <f>(BL175-SUM(BH175:BI175))/2</f>
        <v>0</v>
      </c>
      <c r="BK175" s="291">
        <f>(BL175-SUM(BH175:BJ175))/1</f>
        <v>0</v>
      </c>
      <c r="BL175" s="2058">
        <v>0</v>
      </c>
      <c r="BM175" s="45"/>
      <c r="BN175" s="45"/>
      <c r="BO175" s="45"/>
      <c r="BP175" s="45"/>
      <c r="BQ175" s="45"/>
      <c r="BR175" s="45"/>
      <c r="BS175" s="45"/>
      <c r="BT175" s="45"/>
      <c r="BU175" s="45"/>
      <c r="BV175" s="45"/>
      <c r="BW175" s="45"/>
      <c r="BX175" s="45"/>
      <c r="BY175" s="45"/>
      <c r="BZ175" s="45"/>
      <c r="CA175" s="45"/>
      <c r="CB175" s="339"/>
      <c r="CC175" s="339"/>
      <c r="CD175" s="339"/>
      <c r="CE175" s="45">
        <f t="shared" si="420"/>
        <v>0</v>
      </c>
      <c r="CF175" s="339"/>
      <c r="CG175" s="339"/>
      <c r="CH175" s="339"/>
      <c r="CI175" s="339"/>
      <c r="CJ175" s="45">
        <f t="shared" si="421"/>
        <v>0</v>
      </c>
      <c r="CK175" s="339">
        <v>0</v>
      </c>
      <c r="CL175" s="339">
        <v>0</v>
      </c>
      <c r="CM175" s="339">
        <v>0</v>
      </c>
      <c r="CN175" s="339">
        <v>0</v>
      </c>
      <c r="CO175" s="45">
        <f t="shared" si="422"/>
        <v>0</v>
      </c>
      <c r="CP175" s="339">
        <v>0</v>
      </c>
      <c r="CQ175" s="339">
        <v>0</v>
      </c>
      <c r="CR175" s="339">
        <v>0</v>
      </c>
      <c r="CS175" s="339">
        <v>0</v>
      </c>
      <c r="CT175" s="45">
        <f t="shared" si="423"/>
        <v>0</v>
      </c>
      <c r="CU175" s="339">
        <v>0</v>
      </c>
      <c r="CV175" s="339">
        <v>0</v>
      </c>
      <c r="CW175" s="339">
        <v>0</v>
      </c>
      <c r="CX175" s="339">
        <v>0</v>
      </c>
      <c r="CY175" s="45">
        <f t="shared" si="424"/>
        <v>0</v>
      </c>
      <c r="CZ175" s="339">
        <v>0</v>
      </c>
      <c r="DA175" s="339">
        <v>0</v>
      </c>
      <c r="DB175" s="339">
        <v>0</v>
      </c>
      <c r="DC175" s="339">
        <v>0</v>
      </c>
      <c r="DD175" s="45">
        <f t="shared" si="425"/>
        <v>0</v>
      </c>
      <c r="DE175" s="339">
        <v>0</v>
      </c>
      <c r="DF175" s="2056">
        <v>0</v>
      </c>
      <c r="DG175" s="2056">
        <v>0</v>
      </c>
      <c r="DH175" s="2056">
        <v>0</v>
      </c>
      <c r="DI175" s="45">
        <f t="shared" si="426"/>
        <v>0</v>
      </c>
      <c r="DJ175" s="2056">
        <v>0</v>
      </c>
      <c r="DK175" s="2056">
        <v>0</v>
      </c>
      <c r="DL175" s="2056">
        <v>0</v>
      </c>
      <c r="DM175" s="2056">
        <v>0</v>
      </c>
      <c r="DN175" s="45">
        <f t="shared" si="427"/>
        <v>0</v>
      </c>
      <c r="DO175" s="2056">
        <v>0</v>
      </c>
      <c r="DP175" s="2056">
        <v>0</v>
      </c>
      <c r="DQ175" s="2056">
        <v>0</v>
      </c>
      <c r="DR175" s="2056">
        <v>0</v>
      </c>
      <c r="DS175" s="45">
        <f t="shared" si="428"/>
        <v>0</v>
      </c>
      <c r="DT175" s="2056">
        <v>0</v>
      </c>
    </row>
    <row r="176" spans="1:124">
      <c r="A176" s="45"/>
      <c r="B176" s="45"/>
      <c r="C176" s="391" t="s">
        <v>75</v>
      </c>
      <c r="D176" s="45"/>
      <c r="E176" s="290"/>
      <c r="F176" s="260"/>
      <c r="G176" s="260"/>
      <c r="H176" s="291"/>
      <c r="I176" s="647">
        <f t="shared" si="393"/>
        <v>74</v>
      </c>
      <c r="J176" s="290">
        <f t="shared" si="394"/>
        <v>18</v>
      </c>
      <c r="K176" s="260">
        <f t="shared" si="395"/>
        <v>22</v>
      </c>
      <c r="L176" s="260">
        <f t="shared" si="395"/>
        <v>41</v>
      </c>
      <c r="M176" s="291">
        <f t="shared" si="396"/>
        <v>-24</v>
      </c>
      <c r="N176" s="647">
        <f t="shared" si="397"/>
        <v>57</v>
      </c>
      <c r="O176" s="290">
        <f t="shared" si="397"/>
        <v>41</v>
      </c>
      <c r="P176" s="260">
        <f t="shared" si="398"/>
        <v>-8</v>
      </c>
      <c r="Q176" s="260">
        <f t="shared" si="398"/>
        <v>11</v>
      </c>
      <c r="R176" s="291">
        <f t="shared" si="399"/>
        <v>11</v>
      </c>
      <c r="S176" s="647">
        <f t="shared" si="400"/>
        <v>55</v>
      </c>
      <c r="T176" s="290">
        <f t="shared" si="400"/>
        <v>17</v>
      </c>
      <c r="U176" s="260">
        <f t="shared" si="401"/>
        <v>10</v>
      </c>
      <c r="V176" s="260">
        <f t="shared" si="401"/>
        <v>21</v>
      </c>
      <c r="W176" s="291">
        <f t="shared" si="402"/>
        <v>17</v>
      </c>
      <c r="X176" s="647">
        <f t="shared" si="403"/>
        <v>65</v>
      </c>
      <c r="Y176" s="290">
        <f t="shared" si="403"/>
        <v>25</v>
      </c>
      <c r="Z176" s="260">
        <f t="shared" si="404"/>
        <v>13</v>
      </c>
      <c r="AA176" s="260">
        <f t="shared" si="404"/>
        <v>56</v>
      </c>
      <c r="AB176" s="291">
        <f t="shared" si="405"/>
        <v>17</v>
      </c>
      <c r="AC176" s="647">
        <f t="shared" si="406"/>
        <v>111</v>
      </c>
      <c r="AD176" s="290">
        <f t="shared" si="407"/>
        <v>21</v>
      </c>
      <c r="AE176" s="260">
        <f t="shared" si="408"/>
        <v>5</v>
      </c>
      <c r="AF176" s="260">
        <f t="shared" si="409"/>
        <v>14</v>
      </c>
      <c r="AG176" s="291">
        <f t="shared" si="410"/>
        <v>34</v>
      </c>
      <c r="AH176" s="647">
        <f t="shared" si="411"/>
        <v>74</v>
      </c>
      <c r="AI176" s="290">
        <f t="shared" si="411"/>
        <v>-4</v>
      </c>
      <c r="AJ176" s="260">
        <f t="shared" si="412"/>
        <v>27</v>
      </c>
      <c r="AK176" s="260">
        <f t="shared" si="412"/>
        <v>46</v>
      </c>
      <c r="AL176" s="291">
        <f t="shared" si="413"/>
        <v>40</v>
      </c>
      <c r="AM176" s="647">
        <f t="shared" si="414"/>
        <v>109</v>
      </c>
      <c r="AN176" s="290">
        <f t="shared" si="415"/>
        <v>13</v>
      </c>
      <c r="AO176" s="260">
        <f t="shared" si="416"/>
        <v>20</v>
      </c>
      <c r="AP176" s="260">
        <f t="shared" si="417"/>
        <v>28</v>
      </c>
      <c r="AQ176" s="291">
        <f t="shared" si="418"/>
        <v>28</v>
      </c>
      <c r="AR176" s="647">
        <f t="shared" si="419"/>
        <v>89</v>
      </c>
      <c r="AS176" s="290">
        <f ca="1">+AW176/4</f>
        <v>7.2162643493800411</v>
      </c>
      <c r="AT176" s="260">
        <f ca="1">(AW176-SUM(AS176:AS176))/3</f>
        <v>7.2162643493800411</v>
      </c>
      <c r="AU176" s="260">
        <f ca="1">(AW176-SUM(AS176:AT176))/2</f>
        <v>7.2162643493800411</v>
      </c>
      <c r="AV176" s="291">
        <f ca="1">(AW176-SUM(AS176:AU176))/1</f>
        <v>7.2162643493800402</v>
      </c>
      <c r="AW176" s="2058">
        <f ca="1">(AW34/EXC!BB37)*EXC!BB152</f>
        <v>28.865057397520165</v>
      </c>
      <c r="AX176" s="290">
        <f ca="1">+BB176/4</f>
        <v>7.4622272745594387</v>
      </c>
      <c r="AY176" s="260">
        <f ca="1">(BB176-SUM(AX176:AX176))/3</f>
        <v>7.4622272745594387</v>
      </c>
      <c r="AZ176" s="260">
        <f ca="1">(BB176-SUM(AX176:AY176))/2</f>
        <v>7.4622272745594387</v>
      </c>
      <c r="BA176" s="291">
        <f ca="1">(BB176-SUM(AX176:AZ176))/1</f>
        <v>7.4622272745594387</v>
      </c>
      <c r="BB176" s="2058">
        <f ca="1">(BB34/EXC!BG37)*EXC!BG152</f>
        <v>29.848909098237755</v>
      </c>
      <c r="BC176" s="290">
        <f ca="1">+BG176/4</f>
        <v>8.3341366362334401</v>
      </c>
      <c r="BD176" s="260">
        <f ca="1">(BG176-SUM(BC176:BC176))/3</f>
        <v>8.3341366362334401</v>
      </c>
      <c r="BE176" s="260">
        <f ca="1">(BG176-SUM(BC176:BD176))/2</f>
        <v>8.3341366362334401</v>
      </c>
      <c r="BF176" s="291">
        <f ca="1">(BG176-SUM(BC176:BE176))/1</f>
        <v>8.3341366362334384</v>
      </c>
      <c r="BG176" s="2058">
        <f ca="1">(BG34/EXC!BL37)*EXC!BL152</f>
        <v>33.336546544933761</v>
      </c>
      <c r="BH176" s="290">
        <f ca="1">+BL176/4</f>
        <v>8.4620336871648796</v>
      </c>
      <c r="BI176" s="260">
        <f ca="1">(BL176-SUM(BH176:BH176))/3</f>
        <v>8.4620336871648796</v>
      </c>
      <c r="BJ176" s="260">
        <f ca="1">(BL176-SUM(BH176:BI176))/2</f>
        <v>8.4620336871648796</v>
      </c>
      <c r="BK176" s="291">
        <f ca="1">(BL176-SUM(BH176:BJ176))/1</f>
        <v>8.4620336871648796</v>
      </c>
      <c r="BL176" s="2058">
        <f ca="1">(BL34/EXC!BQ37)*EXC!BQ152</f>
        <v>33.848134748659525</v>
      </c>
      <c r="BM176" s="45"/>
      <c r="BN176" s="45"/>
      <c r="BO176" s="45"/>
      <c r="BP176" s="45"/>
      <c r="BQ176" s="45"/>
      <c r="BR176" s="45"/>
      <c r="BS176" s="45"/>
      <c r="BT176" s="45"/>
      <c r="BU176" s="45"/>
      <c r="BV176" s="45"/>
      <c r="BW176" s="45"/>
      <c r="BX176" s="45"/>
      <c r="BY176" s="45"/>
      <c r="BZ176" s="45"/>
      <c r="CA176" s="45"/>
      <c r="CB176" s="339"/>
      <c r="CC176" s="339"/>
      <c r="CD176" s="339"/>
      <c r="CE176" s="45">
        <f t="shared" si="420"/>
        <v>0</v>
      </c>
      <c r="CF176" s="339"/>
      <c r="CG176" s="339"/>
      <c r="CH176" s="339"/>
      <c r="CI176" s="339"/>
      <c r="CJ176" s="45">
        <f t="shared" si="421"/>
        <v>74</v>
      </c>
      <c r="CK176" s="339">
        <v>74</v>
      </c>
      <c r="CL176" s="339">
        <v>18</v>
      </c>
      <c r="CM176" s="339">
        <v>40</v>
      </c>
      <c r="CN176" s="339">
        <v>81</v>
      </c>
      <c r="CO176" s="45">
        <f t="shared" si="422"/>
        <v>57</v>
      </c>
      <c r="CP176" s="339">
        <v>57</v>
      </c>
      <c r="CQ176" s="339">
        <v>41</v>
      </c>
      <c r="CR176" s="339">
        <v>33</v>
      </c>
      <c r="CS176" s="339">
        <v>44</v>
      </c>
      <c r="CT176" s="45">
        <f t="shared" si="423"/>
        <v>55</v>
      </c>
      <c r="CU176" s="339">
        <v>55</v>
      </c>
      <c r="CV176" s="339">
        <v>17</v>
      </c>
      <c r="CW176" s="339">
        <v>27</v>
      </c>
      <c r="CX176" s="339">
        <v>48</v>
      </c>
      <c r="CY176" s="45">
        <f t="shared" si="424"/>
        <v>65</v>
      </c>
      <c r="CZ176" s="339">
        <v>65</v>
      </c>
      <c r="DA176" s="339">
        <v>25</v>
      </c>
      <c r="DB176" s="339">
        <v>38</v>
      </c>
      <c r="DC176" s="339">
        <v>94</v>
      </c>
      <c r="DD176" s="45">
        <f t="shared" si="425"/>
        <v>111</v>
      </c>
      <c r="DE176" s="339">
        <v>111</v>
      </c>
      <c r="DF176" s="2056">
        <v>21</v>
      </c>
      <c r="DG176" s="2056">
        <v>26</v>
      </c>
      <c r="DH176" s="2056">
        <v>40</v>
      </c>
      <c r="DI176" s="45">
        <f t="shared" si="426"/>
        <v>74</v>
      </c>
      <c r="DJ176" s="2056">
        <v>74</v>
      </c>
      <c r="DK176" s="2056">
        <v>-4</v>
      </c>
      <c r="DL176" s="2056">
        <v>23</v>
      </c>
      <c r="DM176" s="2056">
        <v>69</v>
      </c>
      <c r="DN176" s="45">
        <f t="shared" si="427"/>
        <v>109</v>
      </c>
      <c r="DO176" s="2056">
        <v>109</v>
      </c>
      <c r="DP176" s="2056">
        <v>13</v>
      </c>
      <c r="DQ176" s="2056">
        <v>33</v>
      </c>
      <c r="DR176" s="2056">
        <v>61</v>
      </c>
      <c r="DS176" s="45">
        <f t="shared" si="428"/>
        <v>89</v>
      </c>
      <c r="DT176" s="2056">
        <v>89</v>
      </c>
    </row>
    <row r="177" spans="1:124">
      <c r="A177" s="45"/>
      <c r="B177" s="45"/>
      <c r="C177" s="391" t="s">
        <v>62</v>
      </c>
      <c r="D177" s="45"/>
      <c r="E177" s="290"/>
      <c r="F177" s="260"/>
      <c r="G177" s="260"/>
      <c r="H177" s="291"/>
      <c r="I177" s="647">
        <f t="shared" si="393"/>
        <v>-1</v>
      </c>
      <c r="J177" s="290">
        <f t="shared" si="394"/>
        <v>0</v>
      </c>
      <c r="K177" s="260">
        <f t="shared" si="395"/>
        <v>0</v>
      </c>
      <c r="L177" s="260">
        <f t="shared" si="395"/>
        <v>0</v>
      </c>
      <c r="M177" s="291">
        <f t="shared" si="396"/>
        <v>-1</v>
      </c>
      <c r="N177" s="647">
        <f t="shared" si="397"/>
        <v>-1</v>
      </c>
      <c r="O177" s="290">
        <f t="shared" si="397"/>
        <v>0</v>
      </c>
      <c r="P177" s="260">
        <f t="shared" si="398"/>
        <v>0</v>
      </c>
      <c r="Q177" s="260">
        <f t="shared" si="398"/>
        <v>0</v>
      </c>
      <c r="R177" s="291">
        <f t="shared" si="399"/>
        <v>-1</v>
      </c>
      <c r="S177" s="647">
        <f t="shared" si="400"/>
        <v>-1</v>
      </c>
      <c r="T177" s="290">
        <f t="shared" si="400"/>
        <v>0</v>
      </c>
      <c r="U177" s="260">
        <f t="shared" si="401"/>
        <v>0</v>
      </c>
      <c r="V177" s="260">
        <f t="shared" si="401"/>
        <v>0</v>
      </c>
      <c r="W177" s="291">
        <f t="shared" si="402"/>
        <v>-1</v>
      </c>
      <c r="X177" s="647">
        <f t="shared" si="403"/>
        <v>-1</v>
      </c>
      <c r="Y177" s="290">
        <f t="shared" si="403"/>
        <v>0</v>
      </c>
      <c r="Z177" s="260">
        <f t="shared" si="404"/>
        <v>0</v>
      </c>
      <c r="AA177" s="260">
        <f t="shared" si="404"/>
        <v>0</v>
      </c>
      <c r="AB177" s="291">
        <f t="shared" si="405"/>
        <v>-1</v>
      </c>
      <c r="AC177" s="647">
        <f t="shared" si="406"/>
        <v>-1</v>
      </c>
      <c r="AD177" s="290">
        <f t="shared" si="407"/>
        <v>0</v>
      </c>
      <c r="AE177" s="260">
        <f t="shared" si="408"/>
        <v>0</v>
      </c>
      <c r="AF177" s="260">
        <f t="shared" si="409"/>
        <v>0</v>
      </c>
      <c r="AG177" s="291">
        <f t="shared" si="410"/>
        <v>-1</v>
      </c>
      <c r="AH177" s="647">
        <f t="shared" si="411"/>
        <v>-1</v>
      </c>
      <c r="AI177" s="290">
        <f t="shared" si="411"/>
        <v>118</v>
      </c>
      <c r="AJ177" s="260">
        <f t="shared" si="412"/>
        <v>3</v>
      </c>
      <c r="AK177" s="260">
        <f t="shared" si="412"/>
        <v>-22</v>
      </c>
      <c r="AL177" s="291">
        <f t="shared" si="413"/>
        <v>15</v>
      </c>
      <c r="AM177" s="647">
        <f t="shared" si="414"/>
        <v>114</v>
      </c>
      <c r="AN177" s="290">
        <f t="shared" si="415"/>
        <v>-7</v>
      </c>
      <c r="AO177" s="260">
        <f t="shared" si="416"/>
        <v>4</v>
      </c>
      <c r="AP177" s="260">
        <f t="shared" si="417"/>
        <v>9</v>
      </c>
      <c r="AQ177" s="291">
        <f t="shared" si="418"/>
        <v>9</v>
      </c>
      <c r="AR177" s="647">
        <f t="shared" si="419"/>
        <v>15</v>
      </c>
      <c r="AS177" s="290">
        <f>+AW177/4</f>
        <v>0</v>
      </c>
      <c r="AT177" s="260">
        <f>(AW177-SUM(AS177:AS177))/3</f>
        <v>0</v>
      </c>
      <c r="AU177" s="260">
        <f>(AW177-SUM(AS177:AT177))/2</f>
        <v>0</v>
      </c>
      <c r="AV177" s="291">
        <f>(AW177-SUM(AS177:AU177))/1</f>
        <v>0</v>
      </c>
      <c r="AW177" s="1003">
        <v>0</v>
      </c>
      <c r="AX177" s="290">
        <f>+BB177/4</f>
        <v>0</v>
      </c>
      <c r="AY177" s="260">
        <f>(BB177-SUM(AX177:AX177))/3</f>
        <v>0</v>
      </c>
      <c r="AZ177" s="260">
        <f>(BB177-SUM(AX177:AY177))/2</f>
        <v>0</v>
      </c>
      <c r="BA177" s="291">
        <f>(BB177-SUM(AX177:AZ177))/1</f>
        <v>0</v>
      </c>
      <c r="BB177" s="1003">
        <v>0</v>
      </c>
      <c r="BC177" s="290">
        <f>+BG177/4</f>
        <v>0</v>
      </c>
      <c r="BD177" s="260">
        <f>(BG177-SUM(BC177:BC177))/3</f>
        <v>0</v>
      </c>
      <c r="BE177" s="260">
        <f>(BG177-SUM(BC177:BD177))/2</f>
        <v>0</v>
      </c>
      <c r="BF177" s="291">
        <f>(BG177-SUM(BC177:BE177))/1</f>
        <v>0</v>
      </c>
      <c r="BG177" s="2058">
        <v>0</v>
      </c>
      <c r="BH177" s="290">
        <f>+BL177/4</f>
        <v>0</v>
      </c>
      <c r="BI177" s="260">
        <f>(BL177-SUM(BH177:BH177))/3</f>
        <v>0</v>
      </c>
      <c r="BJ177" s="260">
        <f>(BL177-SUM(BH177:BI177))/2</f>
        <v>0</v>
      </c>
      <c r="BK177" s="291">
        <f>(BL177-SUM(BH177:BJ177))/1</f>
        <v>0</v>
      </c>
      <c r="BL177" s="2058">
        <v>0</v>
      </c>
      <c r="BM177" s="45"/>
      <c r="BN177" s="45"/>
      <c r="BO177" s="45"/>
      <c r="BP177" s="45"/>
      <c r="BQ177" s="45"/>
      <c r="BR177" s="45"/>
      <c r="BS177" s="45"/>
      <c r="BT177" s="45"/>
      <c r="BU177" s="45"/>
      <c r="BV177" s="45"/>
      <c r="BW177" s="45"/>
      <c r="BX177" s="45"/>
      <c r="BY177" s="45"/>
      <c r="BZ177" s="45"/>
      <c r="CA177" s="45"/>
      <c r="CB177" s="339"/>
      <c r="CC177" s="339"/>
      <c r="CD177" s="339"/>
      <c r="CE177" s="45">
        <f t="shared" si="420"/>
        <v>0</v>
      </c>
      <c r="CF177" s="339"/>
      <c r="CG177" s="339"/>
      <c r="CH177" s="339"/>
      <c r="CI177" s="339"/>
      <c r="CJ177" s="45">
        <f t="shared" si="421"/>
        <v>-1</v>
      </c>
      <c r="CK177" s="339">
        <v>-1</v>
      </c>
      <c r="CL177" s="339">
        <v>0</v>
      </c>
      <c r="CM177" s="339">
        <v>0</v>
      </c>
      <c r="CN177" s="339">
        <v>0</v>
      </c>
      <c r="CO177" s="45">
        <f t="shared" si="422"/>
        <v>-1</v>
      </c>
      <c r="CP177" s="339">
        <v>-1</v>
      </c>
      <c r="CQ177" s="339">
        <v>0</v>
      </c>
      <c r="CR177" s="339">
        <v>0</v>
      </c>
      <c r="CS177" s="339">
        <v>0</v>
      </c>
      <c r="CT177" s="45">
        <f t="shared" si="423"/>
        <v>-1</v>
      </c>
      <c r="CU177" s="339">
        <v>-1</v>
      </c>
      <c r="CV177" s="339">
        <v>0</v>
      </c>
      <c r="CW177" s="339">
        <v>0</v>
      </c>
      <c r="CX177" s="339">
        <v>0</v>
      </c>
      <c r="CY177" s="45">
        <f t="shared" si="424"/>
        <v>-1</v>
      </c>
      <c r="CZ177" s="339">
        <v>-1</v>
      </c>
      <c r="DA177" s="339">
        <v>0</v>
      </c>
      <c r="DB177" s="339">
        <v>0</v>
      </c>
      <c r="DC177" s="339">
        <v>0</v>
      </c>
      <c r="DD177" s="45">
        <f t="shared" si="425"/>
        <v>-1</v>
      </c>
      <c r="DE177" s="339">
        <v>-1</v>
      </c>
      <c r="DF177" s="2056">
        <v>0</v>
      </c>
      <c r="DG177" s="2056">
        <v>0</v>
      </c>
      <c r="DH177" s="2056">
        <v>0</v>
      </c>
      <c r="DI177" s="45">
        <f t="shared" si="426"/>
        <v>-1</v>
      </c>
      <c r="DJ177" s="2056">
        <v>-1</v>
      </c>
      <c r="DK177" s="2056">
        <v>118</v>
      </c>
      <c r="DL177" s="2056">
        <v>121</v>
      </c>
      <c r="DM177" s="2056">
        <v>99</v>
      </c>
      <c r="DN177" s="45">
        <f t="shared" si="427"/>
        <v>114</v>
      </c>
      <c r="DO177" s="2056">
        <v>114</v>
      </c>
      <c r="DP177" s="2056">
        <v>-7</v>
      </c>
      <c r="DQ177" s="2056">
        <v>-3</v>
      </c>
      <c r="DR177" s="2056">
        <v>6</v>
      </c>
      <c r="DS177" s="45">
        <f t="shared" si="428"/>
        <v>15</v>
      </c>
      <c r="DT177" s="2056">
        <f>6+9</f>
        <v>15</v>
      </c>
    </row>
    <row r="178" spans="1:124">
      <c r="A178" s="45"/>
      <c r="B178" s="45"/>
      <c r="C178" s="391" t="s">
        <v>233</v>
      </c>
      <c r="D178" s="45"/>
      <c r="E178" s="290"/>
      <c r="F178" s="260"/>
      <c r="G178" s="260"/>
      <c r="H178" s="291"/>
      <c r="I178" s="647">
        <f t="shared" si="393"/>
        <v>25</v>
      </c>
      <c r="J178" s="290">
        <f t="shared" si="394"/>
        <v>-29</v>
      </c>
      <c r="K178" s="260">
        <f t="shared" si="395"/>
        <v>-19</v>
      </c>
      <c r="L178" s="260">
        <f t="shared" si="395"/>
        <v>-25</v>
      </c>
      <c r="M178" s="291">
        <f t="shared" si="396"/>
        <v>35</v>
      </c>
      <c r="N178" s="647">
        <f t="shared" si="397"/>
        <v>-38</v>
      </c>
      <c r="O178" s="290">
        <f t="shared" si="397"/>
        <v>-101</v>
      </c>
      <c r="P178" s="260">
        <f t="shared" si="398"/>
        <v>18</v>
      </c>
      <c r="Q178" s="260">
        <f t="shared" si="398"/>
        <v>-7</v>
      </c>
      <c r="R178" s="291">
        <f t="shared" si="399"/>
        <v>-8</v>
      </c>
      <c r="S178" s="647">
        <f t="shared" si="400"/>
        <v>-98</v>
      </c>
      <c r="T178" s="290">
        <f t="shared" si="400"/>
        <v>-14</v>
      </c>
      <c r="U178" s="260">
        <f t="shared" si="401"/>
        <v>2</v>
      </c>
      <c r="V178" s="260">
        <f t="shared" si="401"/>
        <v>-19</v>
      </c>
      <c r="W178" s="291">
        <f t="shared" si="402"/>
        <v>-15</v>
      </c>
      <c r="X178" s="647">
        <f t="shared" si="403"/>
        <v>-46</v>
      </c>
      <c r="Y178" s="290">
        <f t="shared" si="403"/>
        <v>0</v>
      </c>
      <c r="Z178" s="260">
        <f t="shared" si="404"/>
        <v>1</v>
      </c>
      <c r="AA178" s="260">
        <f t="shared" si="404"/>
        <v>0</v>
      </c>
      <c r="AB178" s="291">
        <f t="shared" si="405"/>
        <v>-72</v>
      </c>
      <c r="AC178" s="647">
        <f t="shared" si="406"/>
        <v>-71</v>
      </c>
      <c r="AD178" s="290">
        <f t="shared" si="407"/>
        <v>-35</v>
      </c>
      <c r="AE178" s="260">
        <f t="shared" si="408"/>
        <v>9</v>
      </c>
      <c r="AF178" s="260">
        <f t="shared" si="409"/>
        <v>2</v>
      </c>
      <c r="AG178" s="291">
        <f t="shared" si="410"/>
        <v>-12</v>
      </c>
      <c r="AH178" s="647">
        <f t="shared" si="411"/>
        <v>-36</v>
      </c>
      <c r="AI178" s="290">
        <f t="shared" si="411"/>
        <v>66</v>
      </c>
      <c r="AJ178" s="260">
        <f t="shared" si="412"/>
        <v>-6</v>
      </c>
      <c r="AK178" s="260">
        <f t="shared" si="412"/>
        <v>-65</v>
      </c>
      <c r="AL178" s="291">
        <f t="shared" si="413"/>
        <v>-56</v>
      </c>
      <c r="AM178" s="647">
        <f t="shared" si="414"/>
        <v>-61</v>
      </c>
      <c r="AN178" s="290">
        <f t="shared" si="415"/>
        <v>20</v>
      </c>
      <c r="AO178" s="260">
        <f t="shared" si="416"/>
        <v>-11</v>
      </c>
      <c r="AP178" s="260">
        <f t="shared" si="417"/>
        <v>-15</v>
      </c>
      <c r="AQ178" s="291">
        <f t="shared" si="418"/>
        <v>-65</v>
      </c>
      <c r="AR178" s="647">
        <f t="shared" si="419"/>
        <v>-71</v>
      </c>
      <c r="AS178" s="290">
        <f>+AW178/4</f>
        <v>0</v>
      </c>
      <c r="AT178" s="260">
        <f>(AW178-SUM(AS178:AS178))/3</f>
        <v>0</v>
      </c>
      <c r="AU178" s="260">
        <f>(AW178-SUM(AS178:AT178))/2</f>
        <v>0</v>
      </c>
      <c r="AV178" s="291">
        <f>(AW178-SUM(AS178:AU178))/1</f>
        <v>0</v>
      </c>
      <c r="AW178" s="1003">
        <v>0</v>
      </c>
      <c r="AX178" s="290">
        <f>+BB178/4</f>
        <v>0</v>
      </c>
      <c r="AY178" s="260">
        <f>(BB178-SUM(AX178:AX178))/3</f>
        <v>0</v>
      </c>
      <c r="AZ178" s="260">
        <f>(BB178-SUM(AX178:AY178))/2</f>
        <v>0</v>
      </c>
      <c r="BA178" s="291">
        <f>(BB178-SUM(AX178:AZ178))/1</f>
        <v>0</v>
      </c>
      <c r="BB178" s="1003">
        <v>0</v>
      </c>
      <c r="BC178" s="290">
        <f>+BG178/4</f>
        <v>0</v>
      </c>
      <c r="BD178" s="260">
        <f>(BG178-SUM(BC178:BC178))/3</f>
        <v>0</v>
      </c>
      <c r="BE178" s="260">
        <f>(BG178-SUM(BC178:BD178))/2</f>
        <v>0</v>
      </c>
      <c r="BF178" s="291">
        <f>(BG178-SUM(BC178:BE178))/1</f>
        <v>0</v>
      </c>
      <c r="BG178" s="2058">
        <v>0</v>
      </c>
      <c r="BH178" s="290">
        <f>+BL178/4</f>
        <v>0</v>
      </c>
      <c r="BI178" s="260">
        <f>(BL178-SUM(BH178:BH178))/3</f>
        <v>0</v>
      </c>
      <c r="BJ178" s="260">
        <f>(BL178-SUM(BH178:BI178))/2</f>
        <v>0</v>
      </c>
      <c r="BK178" s="291">
        <f>(BL178-SUM(BH178:BJ178))/1</f>
        <v>0</v>
      </c>
      <c r="BL178" s="2058">
        <v>0</v>
      </c>
      <c r="BM178" s="45"/>
      <c r="BN178" s="45"/>
      <c r="BO178" s="45"/>
      <c r="BP178" s="45"/>
      <c r="BQ178" s="45"/>
      <c r="BR178" s="45"/>
      <c r="BS178" s="45"/>
      <c r="BT178" s="45"/>
      <c r="BU178" s="45"/>
      <c r="BV178" s="45"/>
      <c r="BW178" s="45"/>
      <c r="BX178" s="45"/>
      <c r="BY178" s="45"/>
      <c r="BZ178" s="45"/>
      <c r="CA178" s="45"/>
      <c r="CB178" s="339"/>
      <c r="CC178" s="339"/>
      <c r="CD178" s="339"/>
      <c r="CE178" s="45">
        <f t="shared" si="420"/>
        <v>0</v>
      </c>
      <c r="CF178" s="339"/>
      <c r="CG178" s="339"/>
      <c r="CH178" s="339"/>
      <c r="CI178" s="339"/>
      <c r="CJ178" s="45">
        <f t="shared" si="421"/>
        <v>25</v>
      </c>
      <c r="CK178" s="339">
        <f>-21-1-12+31+18+11-1</f>
        <v>25</v>
      </c>
      <c r="CL178" s="339">
        <f>6+9+18-34-40-4+6+10</f>
        <v>-29</v>
      </c>
      <c r="CM178" s="339">
        <f>28+1-5-24-40-25+17</f>
        <v>-48</v>
      </c>
      <c r="CN178" s="339">
        <f>39-6-34-31-40-23+22</f>
        <v>-73</v>
      </c>
      <c r="CO178" s="45">
        <f t="shared" si="422"/>
        <v>-38</v>
      </c>
      <c r="CP178" s="339">
        <f>26-3-30-23-40+17+14+1</f>
        <v>-38</v>
      </c>
      <c r="CQ178" s="339">
        <f>16+4-7-8-85-31+6+4</f>
        <v>-101</v>
      </c>
      <c r="CR178" s="339">
        <f>25-6-23+6-85-12+12</f>
        <v>-83</v>
      </c>
      <c r="CS178" s="339">
        <f>-6-11-16+2-85+11+15</f>
        <v>-90</v>
      </c>
      <c r="CT178" s="45">
        <f t="shared" si="423"/>
        <v>-98</v>
      </c>
      <c r="CU178" s="339">
        <f>-15-9-29+26-85+15+8-9</f>
        <v>-98</v>
      </c>
      <c r="CV178" s="339">
        <f>-16+5+5-9-10+1+9+1</f>
        <v>-14</v>
      </c>
      <c r="CW178" s="339">
        <f>19-3-13-21-10-2+3+15</f>
        <v>-12</v>
      </c>
      <c r="CX178" s="339">
        <f>26-10-35-21-10+9+10</f>
        <v>-31</v>
      </c>
      <c r="CY178" s="45">
        <f t="shared" si="424"/>
        <v>-46</v>
      </c>
      <c r="CZ178" s="339">
        <f>-7+2-42-1-10+14-1-1</f>
        <v>-46</v>
      </c>
      <c r="DA178" s="339">
        <f>-13+5-3+2+1+7+1</f>
        <v>0</v>
      </c>
      <c r="DB178" s="339">
        <f>21-2-17-6-1+1+5</f>
        <v>1</v>
      </c>
      <c r="DC178" s="339">
        <f>43-9-47+1+2+10+1</f>
        <v>1</v>
      </c>
      <c r="DD178" s="45">
        <f t="shared" si="425"/>
        <v>-71</v>
      </c>
      <c r="DE178" s="339">
        <f>15-4-66-15+8-3-6</f>
        <v>-71</v>
      </c>
      <c r="DF178" s="2056">
        <f>+-72+1+15+8+2+8+3</f>
        <v>-35</v>
      </c>
      <c r="DG178" s="2056">
        <f>+-30-1-7-2+1+13</f>
        <v>-26</v>
      </c>
      <c r="DH178" s="2056">
        <f>+-15+9-34-5+3+9+9</f>
        <v>-24</v>
      </c>
      <c r="DI178" s="45">
        <f t="shared" si="426"/>
        <v>-36</v>
      </c>
      <c r="DJ178" s="2056">
        <f>5-9-38+10+15-19</f>
        <v>-36</v>
      </c>
      <c r="DK178" s="2056">
        <f>4+20+1-3+1+52-9</f>
        <v>66</v>
      </c>
      <c r="DL178" s="2056">
        <f>30+15+1-2+1+66-51</f>
        <v>60</v>
      </c>
      <c r="DM178" s="2056">
        <f>8+12-8+1+52-70</f>
        <v>-5</v>
      </c>
      <c r="DN178" s="45">
        <f t="shared" si="427"/>
        <v>-61</v>
      </c>
      <c r="DO178" s="2056">
        <f>-5+13-4+1+28-22-72</f>
        <v>-61</v>
      </c>
      <c r="DP178" s="2056">
        <f>6+1+1+14+21-23</f>
        <v>20</v>
      </c>
      <c r="DQ178" s="2056">
        <f>12-2-3+18+13-29</f>
        <v>9</v>
      </c>
      <c r="DR178" s="2056">
        <f>7-6+33-40</f>
        <v>-6</v>
      </c>
      <c r="DS178" s="45">
        <f t="shared" si="428"/>
        <v>-71</v>
      </c>
      <c r="DT178" s="2056">
        <f>-22+11-5-8+26-2-71</f>
        <v>-71</v>
      </c>
    </row>
    <row r="179" spans="1:124">
      <c r="A179" s="45"/>
      <c r="B179" s="45"/>
      <c r="C179" s="389" t="s">
        <v>148</v>
      </c>
      <c r="D179" s="45"/>
      <c r="E179" s="292"/>
      <c r="F179" s="261"/>
      <c r="G179" s="261"/>
      <c r="H179" s="293"/>
      <c r="I179" s="583">
        <f t="shared" si="393"/>
        <v>226</v>
      </c>
      <c r="J179" s="292">
        <f t="shared" ref="J179:AW179" si="429">SUM(J173:J178)</f>
        <v>34</v>
      </c>
      <c r="K179" s="261">
        <f t="shared" si="429"/>
        <v>47</v>
      </c>
      <c r="L179" s="261">
        <f t="shared" si="429"/>
        <v>49</v>
      </c>
      <c r="M179" s="293">
        <f t="shared" si="429"/>
        <v>48</v>
      </c>
      <c r="N179" s="583">
        <f t="shared" si="429"/>
        <v>178</v>
      </c>
      <c r="O179" s="292">
        <f t="shared" si="429"/>
        <v>-15</v>
      </c>
      <c r="P179" s="261">
        <f t="shared" si="429"/>
        <v>48</v>
      </c>
      <c r="Q179" s="261">
        <f t="shared" si="429"/>
        <v>55</v>
      </c>
      <c r="R179" s="293">
        <f t="shared" si="429"/>
        <v>43</v>
      </c>
      <c r="S179" s="583">
        <f t="shared" si="429"/>
        <v>131</v>
      </c>
      <c r="T179" s="292">
        <f t="shared" si="429"/>
        <v>54</v>
      </c>
      <c r="U179" s="261">
        <f t="shared" si="429"/>
        <v>51</v>
      </c>
      <c r="V179" s="261">
        <f t="shared" si="429"/>
        <v>52</v>
      </c>
      <c r="W179" s="293">
        <f t="shared" si="429"/>
        <v>57</v>
      </c>
      <c r="X179" s="583">
        <f t="shared" si="429"/>
        <v>214</v>
      </c>
      <c r="Y179" s="292">
        <f t="shared" si="429"/>
        <v>92</v>
      </c>
      <c r="Z179" s="261">
        <f t="shared" si="429"/>
        <v>63</v>
      </c>
      <c r="AA179" s="261">
        <f t="shared" ref="AA179" si="430">SUM(AA173:AA178)</f>
        <v>112</v>
      </c>
      <c r="AB179" s="293">
        <f t="shared" ref="AB179:AC179" si="431">SUM(AB173:AB178)</f>
        <v>1</v>
      </c>
      <c r="AC179" s="583">
        <f t="shared" si="431"/>
        <v>268</v>
      </c>
      <c r="AD179" s="292">
        <f t="shared" ref="AD179:AE179" si="432">SUM(AD173:AD178)</f>
        <v>57</v>
      </c>
      <c r="AE179" s="261">
        <f t="shared" si="432"/>
        <v>58</v>
      </c>
      <c r="AF179" s="261">
        <f t="shared" ref="AF179:AJ179" si="433">SUM(AF173:AF178)</f>
        <v>73</v>
      </c>
      <c r="AG179" s="293">
        <f t="shared" si="433"/>
        <v>78</v>
      </c>
      <c r="AH179" s="583">
        <f t="shared" si="433"/>
        <v>266</v>
      </c>
      <c r="AI179" s="292">
        <f t="shared" si="433"/>
        <v>147</v>
      </c>
      <c r="AJ179" s="261">
        <f t="shared" si="433"/>
        <v>73</v>
      </c>
      <c r="AK179" s="261">
        <f t="shared" ref="AK179:AO179" si="434">SUM(AK173:AK178)</f>
        <v>47</v>
      </c>
      <c r="AL179" s="293">
        <f t="shared" si="434"/>
        <v>43</v>
      </c>
      <c r="AM179" s="583">
        <f t="shared" si="434"/>
        <v>310</v>
      </c>
      <c r="AN179" s="292">
        <f t="shared" si="434"/>
        <v>122</v>
      </c>
      <c r="AO179" s="261">
        <f t="shared" si="434"/>
        <v>72</v>
      </c>
      <c r="AP179" s="261">
        <f t="shared" ref="AP179:AR179" si="435">SUM(AP173:AP178)</f>
        <v>98</v>
      </c>
      <c r="AQ179" s="293">
        <f t="shared" si="435"/>
        <v>29</v>
      </c>
      <c r="AR179" s="583">
        <f t="shared" si="435"/>
        <v>321</v>
      </c>
      <c r="AS179" s="292">
        <f t="shared" ca="1" si="429"/>
        <v>97.379954849524395</v>
      </c>
      <c r="AT179" s="261">
        <f t="shared" ca="1" si="429"/>
        <v>70.53881326379917</v>
      </c>
      <c r="AU179" s="261">
        <f t="shared" ca="1" si="429"/>
        <v>88.215275623888161</v>
      </c>
      <c r="AV179" s="293">
        <f t="shared" ca="1" si="429"/>
        <v>78.11348634348461</v>
      </c>
      <c r="AW179" s="228">
        <f t="shared" ca="1" si="429"/>
        <v>334.24753008069632</v>
      </c>
      <c r="AX179" s="292">
        <f t="shared" ref="AX179:BG179" ca="1" si="436">SUM(AX173:AX178)</f>
        <v>101.89244875139649</v>
      </c>
      <c r="AY179" s="261">
        <f t="shared" ca="1" si="436"/>
        <v>73.412022418941149</v>
      </c>
      <c r="AZ179" s="261">
        <f t="shared" ca="1" si="436"/>
        <v>91.870239677477855</v>
      </c>
      <c r="BA179" s="293">
        <f t="shared" ca="1" si="436"/>
        <v>82.067959228011645</v>
      </c>
      <c r="BB179" s="228">
        <f t="shared" ca="1" si="436"/>
        <v>349.24267007582716</v>
      </c>
      <c r="BC179" s="292">
        <f t="shared" ca="1" si="436"/>
        <v>106.58739953022146</v>
      </c>
      <c r="BD179" s="261">
        <f t="shared" ca="1" si="436"/>
        <v>78.153396474713063</v>
      </c>
      <c r="BE179" s="261">
        <f t="shared" ca="1" si="436"/>
        <v>95.460353870049119</v>
      </c>
      <c r="BF179" s="293">
        <f t="shared" ca="1" si="436"/>
        <v>86.09087422939939</v>
      </c>
      <c r="BG179" s="228">
        <f t="shared" ca="1" si="436"/>
        <v>366.29202410438307</v>
      </c>
      <c r="BH179" s="292">
        <f t="shared" ref="BH179:BL179" ca="1" si="437">SUM(BH173:BH178)</f>
        <v>109.16724042885258</v>
      </c>
      <c r="BI179" s="261">
        <f t="shared" ca="1" si="437"/>
        <v>80.87000462928512</v>
      </c>
      <c r="BJ179" s="261">
        <f t="shared" ca="1" si="437"/>
        <v>98.090425290399267</v>
      </c>
      <c r="BK179" s="293">
        <f t="shared" ca="1" si="437"/>
        <v>89.093406889662205</v>
      </c>
      <c r="BL179" s="228">
        <f t="shared" ca="1" si="437"/>
        <v>377.22107723819914</v>
      </c>
      <c r="BM179" s="45"/>
      <c r="BN179" s="45"/>
      <c r="BO179" s="45"/>
      <c r="BP179" s="45"/>
      <c r="BQ179" s="45"/>
      <c r="BR179" s="45"/>
      <c r="BS179" s="45"/>
      <c r="BT179" s="45"/>
      <c r="BU179" s="45"/>
      <c r="BV179" s="45"/>
      <c r="BW179" s="45"/>
      <c r="BX179" s="45"/>
      <c r="BY179" s="45"/>
      <c r="BZ179" s="45"/>
      <c r="CA179" s="45"/>
      <c r="CB179" s="228">
        <f t="shared" ref="CB179:DB179" si="438">SUM(CB173:CB178)</f>
        <v>0</v>
      </c>
      <c r="CC179" s="228">
        <f t="shared" si="438"/>
        <v>0</v>
      </c>
      <c r="CD179" s="228">
        <f t="shared" si="438"/>
        <v>0</v>
      </c>
      <c r="CE179" s="228">
        <f t="shared" si="438"/>
        <v>0</v>
      </c>
      <c r="CF179" s="228">
        <f t="shared" si="438"/>
        <v>0</v>
      </c>
      <c r="CG179" s="228">
        <f t="shared" si="438"/>
        <v>0</v>
      </c>
      <c r="CH179" s="228">
        <f t="shared" si="438"/>
        <v>0</v>
      </c>
      <c r="CI179" s="228">
        <f t="shared" si="438"/>
        <v>0</v>
      </c>
      <c r="CJ179" s="228">
        <f t="shared" si="438"/>
        <v>226</v>
      </c>
      <c r="CK179" s="228">
        <f t="shared" si="438"/>
        <v>226</v>
      </c>
      <c r="CL179" s="228">
        <f t="shared" si="438"/>
        <v>34</v>
      </c>
      <c r="CM179" s="228">
        <f t="shared" si="438"/>
        <v>81</v>
      </c>
      <c r="CN179" s="228">
        <f t="shared" si="438"/>
        <v>130</v>
      </c>
      <c r="CO179" s="228">
        <f t="shared" si="438"/>
        <v>178</v>
      </c>
      <c r="CP179" s="228">
        <f t="shared" si="438"/>
        <v>178</v>
      </c>
      <c r="CQ179" s="228">
        <f t="shared" si="438"/>
        <v>-15</v>
      </c>
      <c r="CR179" s="228">
        <f t="shared" si="438"/>
        <v>33</v>
      </c>
      <c r="CS179" s="228">
        <f t="shared" si="438"/>
        <v>88</v>
      </c>
      <c r="CT179" s="228">
        <f t="shared" si="438"/>
        <v>131</v>
      </c>
      <c r="CU179" s="228">
        <f t="shared" si="438"/>
        <v>131</v>
      </c>
      <c r="CV179" s="228">
        <f t="shared" si="438"/>
        <v>54</v>
      </c>
      <c r="CW179" s="228">
        <f t="shared" si="438"/>
        <v>105</v>
      </c>
      <c r="CX179" s="228">
        <f t="shared" si="438"/>
        <v>157</v>
      </c>
      <c r="CY179" s="228">
        <f t="shared" si="438"/>
        <v>214</v>
      </c>
      <c r="CZ179" s="228">
        <f t="shared" si="438"/>
        <v>214</v>
      </c>
      <c r="DA179" s="228">
        <f t="shared" si="438"/>
        <v>92</v>
      </c>
      <c r="DB179" s="228">
        <f t="shared" si="438"/>
        <v>155</v>
      </c>
      <c r="DC179" s="228">
        <f t="shared" ref="DC179:DG179" si="439">SUM(DC173:DC178)</f>
        <v>267</v>
      </c>
      <c r="DD179" s="228">
        <f t="shared" si="439"/>
        <v>268</v>
      </c>
      <c r="DE179" s="228">
        <f t="shared" si="439"/>
        <v>268</v>
      </c>
      <c r="DF179" s="228">
        <f t="shared" si="439"/>
        <v>57</v>
      </c>
      <c r="DG179" s="228">
        <f t="shared" si="439"/>
        <v>115</v>
      </c>
      <c r="DH179" s="228">
        <f t="shared" ref="DH179:DL179" si="440">SUM(DH173:DH178)</f>
        <v>188</v>
      </c>
      <c r="DI179" s="228">
        <f t="shared" si="440"/>
        <v>266</v>
      </c>
      <c r="DJ179" s="228">
        <f t="shared" si="440"/>
        <v>266</v>
      </c>
      <c r="DK179" s="228">
        <f t="shared" si="440"/>
        <v>147</v>
      </c>
      <c r="DL179" s="228">
        <f t="shared" si="440"/>
        <v>220</v>
      </c>
      <c r="DM179" s="228">
        <f t="shared" ref="DM179:DR179" si="441">SUM(DM173:DM178)</f>
        <v>267</v>
      </c>
      <c r="DN179" s="228">
        <f t="shared" si="441"/>
        <v>310</v>
      </c>
      <c r="DO179" s="228">
        <f t="shared" si="441"/>
        <v>310</v>
      </c>
      <c r="DP179" s="228">
        <f t="shared" si="441"/>
        <v>122</v>
      </c>
      <c r="DQ179" s="228">
        <f t="shared" si="441"/>
        <v>194</v>
      </c>
      <c r="DR179" s="228">
        <f t="shared" si="441"/>
        <v>292</v>
      </c>
      <c r="DS179" s="228">
        <f t="shared" ref="DS179:DT179" si="442">SUM(DS173:DS178)</f>
        <v>321</v>
      </c>
      <c r="DT179" s="228">
        <f t="shared" si="442"/>
        <v>321</v>
      </c>
    </row>
    <row r="180" spans="1:124">
      <c r="A180" s="45"/>
      <c r="B180" s="45"/>
      <c r="C180" s="391"/>
      <c r="D180" s="45"/>
      <c r="E180" s="290"/>
      <c r="F180" s="260"/>
      <c r="G180" s="260"/>
      <c r="H180" s="291"/>
      <c r="I180" s="647"/>
      <c r="J180" s="290"/>
      <c r="K180" s="260"/>
      <c r="L180" s="260"/>
      <c r="M180" s="291"/>
      <c r="N180" s="647"/>
      <c r="O180" s="290"/>
      <c r="P180" s="260"/>
      <c r="Q180" s="260"/>
      <c r="R180" s="291"/>
      <c r="S180" s="647"/>
      <c r="T180" s="290"/>
      <c r="U180" s="260"/>
      <c r="V180" s="260"/>
      <c r="W180" s="291"/>
      <c r="X180" s="647"/>
      <c r="Y180" s="290"/>
      <c r="Z180" s="260"/>
      <c r="AA180" s="260"/>
      <c r="AB180" s="291"/>
      <c r="AC180" s="647"/>
      <c r="AD180" s="290"/>
      <c r="AE180" s="260"/>
      <c r="AF180" s="260"/>
      <c r="AG180" s="291"/>
      <c r="AH180" s="647"/>
      <c r="AI180" s="290"/>
      <c r="AJ180" s="260"/>
      <c r="AK180" s="260"/>
      <c r="AL180" s="291"/>
      <c r="AM180" s="647"/>
      <c r="AN180" s="290"/>
      <c r="AO180" s="260"/>
      <c r="AP180" s="260"/>
      <c r="AQ180" s="291"/>
      <c r="AR180" s="647"/>
      <c r="AS180" s="290"/>
      <c r="AT180" s="260"/>
      <c r="AU180" s="260"/>
      <c r="AV180" s="291"/>
      <c r="AW180" s="45"/>
      <c r="AX180" s="290"/>
      <c r="AY180" s="260"/>
      <c r="AZ180" s="260"/>
      <c r="BA180" s="291"/>
      <c r="BB180" s="45"/>
      <c r="BC180" s="290"/>
      <c r="BD180" s="260"/>
      <c r="BE180" s="260"/>
      <c r="BF180" s="291"/>
      <c r="BG180" s="45"/>
      <c r="BH180" s="290"/>
      <c r="BI180" s="260"/>
      <c r="BJ180" s="260"/>
      <c r="BK180" s="291"/>
      <c r="BL180" s="45"/>
      <c r="BM180" s="45"/>
      <c r="BN180" s="45"/>
      <c r="BO180" s="45"/>
      <c r="BP180" s="45"/>
      <c r="BQ180" s="45"/>
      <c r="BR180" s="45"/>
      <c r="BS180" s="45"/>
      <c r="BT180" s="45"/>
      <c r="BU180" s="45"/>
      <c r="BV180" s="45"/>
      <c r="BW180" s="45"/>
      <c r="BX180" s="45"/>
      <c r="BY180" s="45"/>
      <c r="BZ180" s="45"/>
      <c r="CA180" s="45"/>
      <c r="CB180" s="45"/>
      <c r="CC180" s="45"/>
      <c r="CD180" s="45"/>
      <c r="CE180" s="45"/>
      <c r="CF180" s="45"/>
      <c r="CG180" s="45"/>
      <c r="CH180" s="45"/>
      <c r="CI180" s="45"/>
      <c r="CJ180" s="45"/>
      <c r="CK180" s="45"/>
      <c r="CL180" s="45"/>
      <c r="CM180" s="45"/>
      <c r="CN180" s="45"/>
      <c r="CO180" s="45"/>
      <c r="CP180" s="45"/>
      <c r="CQ180" s="45"/>
      <c r="CR180" s="45"/>
      <c r="CS180" s="45"/>
      <c r="CT180" s="45"/>
      <c r="CU180" s="45"/>
      <c r="CV180" s="45"/>
      <c r="CW180" s="45"/>
      <c r="CX180" s="45"/>
      <c r="CY180" s="45"/>
      <c r="CZ180" s="45"/>
      <c r="DA180" s="45"/>
      <c r="DB180" s="45"/>
      <c r="DC180" s="45"/>
      <c r="DD180" s="45"/>
      <c r="DE180" s="45"/>
      <c r="DF180" s="45"/>
      <c r="DG180" s="45"/>
      <c r="DH180" s="45"/>
      <c r="DI180" s="45"/>
      <c r="DJ180" s="45"/>
      <c r="DK180" s="45"/>
      <c r="DL180" s="45"/>
      <c r="DM180" s="45"/>
      <c r="DN180" s="45"/>
      <c r="DO180" s="45"/>
      <c r="DP180" s="45"/>
      <c r="DQ180" s="45"/>
      <c r="DR180" s="45"/>
      <c r="DS180" s="45"/>
      <c r="DT180" s="45"/>
    </row>
    <row r="181" spans="1:124">
      <c r="A181" s="45"/>
      <c r="B181" s="45"/>
      <c r="C181" s="391" t="s">
        <v>283</v>
      </c>
      <c r="D181" s="45"/>
      <c r="E181" s="290"/>
      <c r="F181" s="260"/>
      <c r="G181" s="260"/>
      <c r="H181" s="291"/>
      <c r="I181" s="647">
        <f t="shared" ref="I181:I192" si="443">CK181</f>
        <v>-250</v>
      </c>
      <c r="J181" s="290">
        <f>+CL181</f>
        <v>-41</v>
      </c>
      <c r="K181" s="260">
        <f t="shared" ref="K181:L183" si="444">+CM181-CL181</f>
        <v>-58</v>
      </c>
      <c r="L181" s="260">
        <f t="shared" si="444"/>
        <v>-47</v>
      </c>
      <c r="M181" s="291">
        <f>CO181-CN181</f>
        <v>-83</v>
      </c>
      <c r="N181" s="647">
        <f t="shared" ref="N181:O183" si="445">+CP181</f>
        <v>-229</v>
      </c>
      <c r="O181" s="290">
        <f t="shared" si="445"/>
        <v>-69</v>
      </c>
      <c r="P181" s="260">
        <f t="shared" ref="P181:Q183" si="446">+CR181-CQ181</f>
        <v>-76</v>
      </c>
      <c r="Q181" s="260">
        <f t="shared" si="446"/>
        <v>-74</v>
      </c>
      <c r="R181" s="291">
        <f>CT181-CS181</f>
        <v>-101</v>
      </c>
      <c r="S181" s="647">
        <f t="shared" ref="S181:T183" si="447">+CU181</f>
        <v>-320</v>
      </c>
      <c r="T181" s="290">
        <f t="shared" si="447"/>
        <v>-83</v>
      </c>
      <c r="U181" s="260">
        <f t="shared" ref="U181:V183" si="448">+CW181-CV181</f>
        <v>-81</v>
      </c>
      <c r="V181" s="260">
        <f t="shared" si="448"/>
        <v>-85</v>
      </c>
      <c r="W181" s="291">
        <f>CY181-CX181</f>
        <v>-108</v>
      </c>
      <c r="X181" s="647">
        <f t="shared" ref="X181:Y183" si="449">+CZ181</f>
        <v>-357</v>
      </c>
      <c r="Y181" s="290">
        <f t="shared" si="449"/>
        <v>-87</v>
      </c>
      <c r="Z181" s="260">
        <f>+DB181-DA181</f>
        <v>-85</v>
      </c>
      <c r="AA181" s="260">
        <f t="shared" ref="AA181:AA183" si="450">+DC181-DB181</f>
        <v>-79</v>
      </c>
      <c r="AB181" s="291">
        <f>DD181-DC181</f>
        <v>-101</v>
      </c>
      <c r="AC181" s="647">
        <f t="shared" ref="AC181:AC183" si="451">+DE181</f>
        <v>-352</v>
      </c>
      <c r="AD181" s="290">
        <f t="shared" ref="AD181:AD183" si="452">+DF181</f>
        <v>-68</v>
      </c>
      <c r="AE181" s="260">
        <f>+DG181-DF181</f>
        <v>-86</v>
      </c>
      <c r="AF181" s="260">
        <f t="shared" ref="AF181:AF183" si="453">+DH181-DG181</f>
        <v>-92</v>
      </c>
      <c r="AG181" s="291">
        <f>DI181-DH181</f>
        <v>-106</v>
      </c>
      <c r="AH181" s="647">
        <f t="shared" ref="AH181:AI183" si="454">+DJ181</f>
        <v>-352</v>
      </c>
      <c r="AI181" s="290">
        <f t="shared" si="454"/>
        <v>-81</v>
      </c>
      <c r="AJ181" s="260">
        <f>+DL181-DK181</f>
        <v>-101</v>
      </c>
      <c r="AK181" s="260">
        <f t="shared" ref="AK181:AK183" si="455">+DM181-DL181</f>
        <v>-78</v>
      </c>
      <c r="AL181" s="291">
        <f>DN181-DM181</f>
        <v>-89</v>
      </c>
      <c r="AM181" s="647">
        <f t="shared" ref="AM181:AM183" si="456">+DO181</f>
        <v>-349</v>
      </c>
      <c r="AN181" s="290">
        <f t="shared" ref="AN181:AN183" si="457">+DP181</f>
        <v>-82</v>
      </c>
      <c r="AO181" s="260">
        <f>+DQ181-DP181</f>
        <v>-110</v>
      </c>
      <c r="AP181" s="260">
        <f t="shared" ref="AP181:AP183" si="458">+DR181-DQ181</f>
        <v>-102</v>
      </c>
      <c r="AQ181" s="291">
        <f>DS181-DR181</f>
        <v>-134</v>
      </c>
      <c r="AR181" s="647">
        <f t="shared" ref="AR181:AR183" si="459">+DT181</f>
        <v>-428</v>
      </c>
      <c r="AS181" s="290">
        <f>+-AS150</f>
        <v>-100</v>
      </c>
      <c r="AT181" s="260">
        <f>+-AT150</f>
        <v>-100</v>
      </c>
      <c r="AU181" s="260">
        <f>+-AU150</f>
        <v>-100</v>
      </c>
      <c r="AV181" s="291">
        <f>+-AV150</f>
        <v>-100</v>
      </c>
      <c r="AW181" s="45">
        <f>SUM(AS181:AV181)</f>
        <v>-400</v>
      </c>
      <c r="AX181" s="290">
        <f>+-AX150</f>
        <v>-81.25</v>
      </c>
      <c r="AY181" s="260">
        <f>+-AY150</f>
        <v>-81.25</v>
      </c>
      <c r="AZ181" s="260">
        <f>+-AZ150</f>
        <v>-81.25</v>
      </c>
      <c r="BA181" s="291">
        <f>+-BA150</f>
        <v>-81.25</v>
      </c>
      <c r="BB181" s="45">
        <f>SUM(AX181:BA181)</f>
        <v>-325</v>
      </c>
      <c r="BC181" s="290">
        <f>+-BC150</f>
        <v>-81.25</v>
      </c>
      <c r="BD181" s="260">
        <f>+-BD150</f>
        <v>-81.25</v>
      </c>
      <c r="BE181" s="260">
        <f>+-BE150</f>
        <v>-81.25</v>
      </c>
      <c r="BF181" s="291">
        <f>+-BF150</f>
        <v>-81.25</v>
      </c>
      <c r="BG181" s="45">
        <f>SUM(BC181:BF181)</f>
        <v>-325</v>
      </c>
      <c r="BH181" s="290">
        <f>+-BH150</f>
        <v>-81.25</v>
      </c>
      <c r="BI181" s="260">
        <f>+-BI150</f>
        <v>-81.25</v>
      </c>
      <c r="BJ181" s="260">
        <f>+-BJ150</f>
        <v>-81.25</v>
      </c>
      <c r="BK181" s="291">
        <f>+-BK150</f>
        <v>-81.25</v>
      </c>
      <c r="BL181" s="45">
        <f>SUM(BH181:BK181)</f>
        <v>-325</v>
      </c>
      <c r="BM181" s="45"/>
      <c r="BN181" s="45"/>
      <c r="BO181" s="45"/>
      <c r="BP181" s="45"/>
      <c r="BQ181" s="45"/>
      <c r="BR181" s="45"/>
      <c r="BS181" s="45"/>
      <c r="BT181" s="45"/>
      <c r="BU181" s="45"/>
      <c r="BV181" s="45"/>
      <c r="BW181" s="45"/>
      <c r="BX181" s="45"/>
      <c r="BY181" s="45"/>
      <c r="BZ181" s="45"/>
      <c r="CA181" s="45"/>
      <c r="CB181" s="339"/>
      <c r="CC181" s="339"/>
      <c r="CD181" s="339"/>
      <c r="CE181" s="45">
        <f>CF181-CD181</f>
        <v>0</v>
      </c>
      <c r="CF181" s="339"/>
      <c r="CG181" s="339"/>
      <c r="CH181" s="339"/>
      <c r="CI181" s="339"/>
      <c r="CJ181" s="45">
        <f>CK181</f>
        <v>-250</v>
      </c>
      <c r="CK181" s="339">
        <v>-250</v>
      </c>
      <c r="CL181" s="339">
        <v>-41</v>
      </c>
      <c r="CM181" s="339">
        <v>-99</v>
      </c>
      <c r="CN181" s="339">
        <v>-146</v>
      </c>
      <c r="CO181" s="45">
        <f>CP181</f>
        <v>-229</v>
      </c>
      <c r="CP181" s="339">
        <v>-229</v>
      </c>
      <c r="CQ181" s="339">
        <v>-69</v>
      </c>
      <c r="CR181" s="339">
        <v>-145</v>
      </c>
      <c r="CS181" s="339">
        <v>-219</v>
      </c>
      <c r="CT181" s="45">
        <f>CU181</f>
        <v>-320</v>
      </c>
      <c r="CU181" s="339">
        <v>-320</v>
      </c>
      <c r="CV181" s="339">
        <v>-83</v>
      </c>
      <c r="CW181" s="339">
        <v>-164</v>
      </c>
      <c r="CX181" s="339">
        <v>-249</v>
      </c>
      <c r="CY181" s="45">
        <f>CZ181</f>
        <v>-357</v>
      </c>
      <c r="CZ181" s="339">
        <v>-357</v>
      </c>
      <c r="DA181" s="339">
        <v>-87</v>
      </c>
      <c r="DB181" s="339">
        <v>-172</v>
      </c>
      <c r="DC181" s="339">
        <v>-251</v>
      </c>
      <c r="DD181" s="45">
        <f>DE181</f>
        <v>-352</v>
      </c>
      <c r="DE181" s="339">
        <v>-352</v>
      </c>
      <c r="DF181" s="2056">
        <v>-68</v>
      </c>
      <c r="DG181" s="2056">
        <v>-154</v>
      </c>
      <c r="DH181" s="2056">
        <v>-246</v>
      </c>
      <c r="DI181" s="45">
        <f>DJ181</f>
        <v>-352</v>
      </c>
      <c r="DJ181" s="2056">
        <v>-352</v>
      </c>
      <c r="DK181" s="2056">
        <v>-81</v>
      </c>
      <c r="DL181" s="2056">
        <v>-182</v>
      </c>
      <c r="DM181" s="2056">
        <v>-260</v>
      </c>
      <c r="DN181" s="45">
        <f>DO181</f>
        <v>-349</v>
      </c>
      <c r="DO181" s="2056">
        <v>-349</v>
      </c>
      <c r="DP181" s="2056">
        <v>-82</v>
      </c>
      <c r="DQ181" s="2056">
        <v>-192</v>
      </c>
      <c r="DR181" s="2056">
        <v>-294</v>
      </c>
      <c r="DS181" s="45">
        <f>DT181</f>
        <v>-428</v>
      </c>
      <c r="DT181" s="2056">
        <v>-428</v>
      </c>
    </row>
    <row r="182" spans="1:124">
      <c r="A182" s="45"/>
      <c r="B182" s="45"/>
      <c r="C182" s="1777" t="s">
        <v>243</v>
      </c>
      <c r="D182" s="45"/>
      <c r="E182" s="290"/>
      <c r="F182" s="260"/>
      <c r="G182" s="260"/>
      <c r="H182" s="291"/>
      <c r="I182" s="647">
        <f t="shared" si="443"/>
        <v>0</v>
      </c>
      <c r="J182" s="290">
        <f>+CL182</f>
        <v>0</v>
      </c>
      <c r="K182" s="260">
        <f t="shared" si="444"/>
        <v>0</v>
      </c>
      <c r="L182" s="260">
        <f t="shared" si="444"/>
        <v>0</v>
      </c>
      <c r="M182" s="291">
        <f>CO182-CN182</f>
        <v>0</v>
      </c>
      <c r="N182" s="647">
        <f t="shared" si="445"/>
        <v>0</v>
      </c>
      <c r="O182" s="290">
        <f t="shared" si="445"/>
        <v>0</v>
      </c>
      <c r="P182" s="260">
        <f t="shared" si="446"/>
        <v>0</v>
      </c>
      <c r="Q182" s="260">
        <f t="shared" si="446"/>
        <v>0</v>
      </c>
      <c r="R182" s="291">
        <f>CT182-CS182</f>
        <v>0</v>
      </c>
      <c r="S182" s="647">
        <f t="shared" si="447"/>
        <v>0</v>
      </c>
      <c r="T182" s="290">
        <f t="shared" si="447"/>
        <v>0</v>
      </c>
      <c r="U182" s="260">
        <f t="shared" si="448"/>
        <v>0</v>
      </c>
      <c r="V182" s="260">
        <f t="shared" si="448"/>
        <v>0</v>
      </c>
      <c r="W182" s="291">
        <f>CY182-CX182</f>
        <v>0</v>
      </c>
      <c r="X182" s="647">
        <f t="shared" si="449"/>
        <v>0</v>
      </c>
      <c r="Y182" s="290">
        <f t="shared" si="449"/>
        <v>0</v>
      </c>
      <c r="Z182" s="260">
        <f>+DB182-DA182</f>
        <v>0</v>
      </c>
      <c r="AA182" s="260">
        <f t="shared" si="450"/>
        <v>0</v>
      </c>
      <c r="AB182" s="291">
        <f>DD182-DC182</f>
        <v>0</v>
      </c>
      <c r="AC182" s="647">
        <f t="shared" si="451"/>
        <v>0</v>
      </c>
      <c r="AD182" s="290">
        <f t="shared" si="452"/>
        <v>0</v>
      </c>
      <c r="AE182" s="260">
        <f>+DG182-DF182</f>
        <v>0</v>
      </c>
      <c r="AF182" s="260">
        <f t="shared" si="453"/>
        <v>0</v>
      </c>
      <c r="AG182" s="291">
        <f>DI182-DH182</f>
        <v>0</v>
      </c>
      <c r="AH182" s="647">
        <f t="shared" si="454"/>
        <v>0</v>
      </c>
      <c r="AI182" s="290">
        <f t="shared" si="454"/>
        <v>0</v>
      </c>
      <c r="AJ182" s="260">
        <f>+DL182-DK182</f>
        <v>0</v>
      </c>
      <c r="AK182" s="260">
        <f t="shared" si="455"/>
        <v>4</v>
      </c>
      <c r="AL182" s="291">
        <f>DN182-DM182</f>
        <v>5</v>
      </c>
      <c r="AM182" s="647">
        <f t="shared" si="456"/>
        <v>9</v>
      </c>
      <c r="AN182" s="290">
        <f t="shared" si="457"/>
        <v>0</v>
      </c>
      <c r="AO182" s="260">
        <f>+DQ182-DP182</f>
        <v>0</v>
      </c>
      <c r="AP182" s="260">
        <f t="shared" si="458"/>
        <v>0</v>
      </c>
      <c r="AQ182" s="291">
        <f>DS182-DR182</f>
        <v>0</v>
      </c>
      <c r="AR182" s="647">
        <f t="shared" si="459"/>
        <v>0</v>
      </c>
      <c r="AS182" s="290"/>
      <c r="AT182" s="260"/>
      <c r="AU182" s="260"/>
      <c r="AV182" s="291"/>
      <c r="AW182" s="45"/>
      <c r="AX182" s="290"/>
      <c r="AY182" s="260"/>
      <c r="AZ182" s="260"/>
      <c r="BA182" s="291"/>
      <c r="BB182" s="45"/>
      <c r="BC182" s="290"/>
      <c r="BD182" s="260"/>
      <c r="BE182" s="260"/>
      <c r="BF182" s="291"/>
      <c r="BG182" s="45"/>
      <c r="BH182" s="290"/>
      <c r="BI182" s="260"/>
      <c r="BJ182" s="260"/>
      <c r="BK182" s="291"/>
      <c r="BL182" s="45"/>
      <c r="BM182" s="45"/>
      <c r="BN182" s="45"/>
      <c r="BO182" s="45"/>
      <c r="BP182" s="45"/>
      <c r="BQ182" s="45"/>
      <c r="BR182" s="45"/>
      <c r="BS182" s="45"/>
      <c r="BT182" s="45"/>
      <c r="BU182" s="45"/>
      <c r="BV182" s="45"/>
      <c r="BW182" s="45"/>
      <c r="BX182" s="45"/>
      <c r="BY182" s="45"/>
      <c r="BZ182" s="45"/>
      <c r="CA182" s="45"/>
      <c r="CB182" s="339"/>
      <c r="CC182" s="339"/>
      <c r="CD182" s="339"/>
      <c r="CE182" s="45">
        <f>CF182-CD182</f>
        <v>0</v>
      </c>
      <c r="CF182" s="339"/>
      <c r="CG182" s="339"/>
      <c r="CH182" s="339"/>
      <c r="CI182" s="339"/>
      <c r="CJ182" s="45">
        <f>CK182</f>
        <v>0</v>
      </c>
      <c r="CK182" s="339">
        <v>0</v>
      </c>
      <c r="CL182" s="339">
        <v>0</v>
      </c>
      <c r="CM182" s="339">
        <v>0</v>
      </c>
      <c r="CN182" s="339">
        <v>0</v>
      </c>
      <c r="CO182" s="45">
        <f>CP182</f>
        <v>0</v>
      </c>
      <c r="CP182" s="339">
        <v>0</v>
      </c>
      <c r="CQ182" s="339">
        <v>0</v>
      </c>
      <c r="CR182" s="339">
        <v>0</v>
      </c>
      <c r="CS182" s="339">
        <v>0</v>
      </c>
      <c r="CT182" s="45">
        <f>CU182</f>
        <v>0</v>
      </c>
      <c r="CU182" s="339">
        <v>0</v>
      </c>
      <c r="CV182" s="339">
        <v>0</v>
      </c>
      <c r="CW182" s="339">
        <v>0</v>
      </c>
      <c r="CX182" s="339">
        <v>0</v>
      </c>
      <c r="CY182" s="45">
        <f>CZ182</f>
        <v>0</v>
      </c>
      <c r="CZ182" s="339">
        <v>0</v>
      </c>
      <c r="DA182" s="339">
        <v>0</v>
      </c>
      <c r="DB182" s="339">
        <v>0</v>
      </c>
      <c r="DC182" s="339">
        <v>0</v>
      </c>
      <c r="DD182" s="45">
        <f>DE182</f>
        <v>0</v>
      </c>
      <c r="DE182" s="339">
        <v>0</v>
      </c>
      <c r="DF182" s="2056">
        <v>0</v>
      </c>
      <c r="DG182" s="2056">
        <v>0</v>
      </c>
      <c r="DH182" s="2056">
        <v>0</v>
      </c>
      <c r="DI182" s="45">
        <f>DJ182</f>
        <v>0</v>
      </c>
      <c r="DJ182" s="2056">
        <v>0</v>
      </c>
      <c r="DK182" s="2056">
        <v>0</v>
      </c>
      <c r="DL182" s="2056">
        <v>0</v>
      </c>
      <c r="DM182" s="2056">
        <v>4</v>
      </c>
      <c r="DN182" s="45">
        <f>DO182</f>
        <v>9</v>
      </c>
      <c r="DO182" s="2056">
        <v>9</v>
      </c>
      <c r="DP182" s="2056">
        <v>0</v>
      </c>
      <c r="DQ182" s="2056">
        <v>0</v>
      </c>
      <c r="DR182" s="2056">
        <v>0</v>
      </c>
      <c r="DS182" s="45">
        <f>DT182</f>
        <v>0</v>
      </c>
      <c r="DT182" s="2056">
        <v>0</v>
      </c>
    </row>
    <row r="183" spans="1:124">
      <c r="A183" s="45"/>
      <c r="B183" s="45"/>
      <c r="C183" s="391" t="s">
        <v>62</v>
      </c>
      <c r="D183" s="45"/>
      <c r="E183" s="290"/>
      <c r="F183" s="260"/>
      <c r="G183" s="260"/>
      <c r="H183" s="291"/>
      <c r="I183" s="647">
        <f t="shared" si="443"/>
        <v>2</v>
      </c>
      <c r="J183" s="290">
        <f>+CL183</f>
        <v>1</v>
      </c>
      <c r="K183" s="260">
        <f t="shared" si="444"/>
        <v>-2</v>
      </c>
      <c r="L183" s="260">
        <f t="shared" si="444"/>
        <v>1</v>
      </c>
      <c r="M183" s="291">
        <f>CO183-CN183</f>
        <v>-4</v>
      </c>
      <c r="N183" s="647">
        <f t="shared" si="445"/>
        <v>-4</v>
      </c>
      <c r="O183" s="290">
        <f t="shared" si="445"/>
        <v>-1</v>
      </c>
      <c r="P183" s="260">
        <f t="shared" si="446"/>
        <v>-1</v>
      </c>
      <c r="Q183" s="260">
        <f t="shared" si="446"/>
        <v>-2</v>
      </c>
      <c r="R183" s="291">
        <f>CT183-CS183</f>
        <v>4</v>
      </c>
      <c r="S183" s="647">
        <f t="shared" si="447"/>
        <v>0</v>
      </c>
      <c r="T183" s="290">
        <f t="shared" si="447"/>
        <v>1</v>
      </c>
      <c r="U183" s="260">
        <f t="shared" si="448"/>
        <v>0</v>
      </c>
      <c r="V183" s="260">
        <f t="shared" si="448"/>
        <v>0</v>
      </c>
      <c r="W183" s="291">
        <f>CY183-CX183</f>
        <v>1</v>
      </c>
      <c r="X183" s="647">
        <f t="shared" si="449"/>
        <v>2</v>
      </c>
      <c r="Y183" s="290">
        <f t="shared" si="449"/>
        <v>-9</v>
      </c>
      <c r="Z183" s="260">
        <f>+DB183-DA183</f>
        <v>7</v>
      </c>
      <c r="AA183" s="260">
        <f t="shared" si="450"/>
        <v>-4</v>
      </c>
      <c r="AB183" s="291">
        <f>DD183-DC183</f>
        <v>0</v>
      </c>
      <c r="AC183" s="647">
        <f t="shared" si="451"/>
        <v>-6</v>
      </c>
      <c r="AD183" s="290">
        <f t="shared" si="452"/>
        <v>7</v>
      </c>
      <c r="AE183" s="260">
        <f>+DG183-DF183</f>
        <v>-1</v>
      </c>
      <c r="AF183" s="260">
        <f t="shared" si="453"/>
        <v>0</v>
      </c>
      <c r="AG183" s="291">
        <f>DI183-DH183</f>
        <v>1</v>
      </c>
      <c r="AH183" s="647">
        <f t="shared" si="454"/>
        <v>7</v>
      </c>
      <c r="AI183" s="290">
        <f t="shared" si="454"/>
        <v>0</v>
      </c>
      <c r="AJ183" s="260">
        <f>+DL183-DK183</f>
        <v>2</v>
      </c>
      <c r="AK183" s="260">
        <f t="shared" si="455"/>
        <v>0</v>
      </c>
      <c r="AL183" s="291">
        <f>DN183-DM183</f>
        <v>2</v>
      </c>
      <c r="AM183" s="647">
        <f t="shared" si="456"/>
        <v>4</v>
      </c>
      <c r="AN183" s="290">
        <f t="shared" si="457"/>
        <v>2</v>
      </c>
      <c r="AO183" s="260">
        <f>+DQ183-DP183</f>
        <v>-1</v>
      </c>
      <c r="AP183" s="260">
        <f t="shared" si="458"/>
        <v>0</v>
      </c>
      <c r="AQ183" s="291">
        <f>DS183-DR183</f>
        <v>-2</v>
      </c>
      <c r="AR183" s="647">
        <f t="shared" si="459"/>
        <v>-1</v>
      </c>
      <c r="AS183" s="290">
        <f>+AW183/4</f>
        <v>0</v>
      </c>
      <c r="AT183" s="260">
        <f>(AW183-SUM(AS183:AS183))/3</f>
        <v>0</v>
      </c>
      <c r="AU183" s="260">
        <f>(AW183-SUM(AS183:AT183))/2</f>
        <v>0</v>
      </c>
      <c r="AV183" s="291">
        <f>(AW183-SUM(AS183:AU183))/1</f>
        <v>0</v>
      </c>
      <c r="AW183" s="1003">
        <v>0</v>
      </c>
      <c r="AX183" s="290">
        <f>+BB183/4</f>
        <v>0</v>
      </c>
      <c r="AY183" s="260">
        <f>(BB183-SUM(AX183:AX183))/3</f>
        <v>0</v>
      </c>
      <c r="AZ183" s="260">
        <f>(BB183-SUM(AX183:AY183))/2</f>
        <v>0</v>
      </c>
      <c r="BA183" s="291">
        <f>(BB183-SUM(AX183:AZ183))/1</f>
        <v>0</v>
      </c>
      <c r="BB183" s="1003">
        <v>0</v>
      </c>
      <c r="BC183" s="290">
        <f>+BG183/4</f>
        <v>0</v>
      </c>
      <c r="BD183" s="260">
        <f>(BG183-SUM(BC183:BC183))/3</f>
        <v>0</v>
      </c>
      <c r="BE183" s="260">
        <f>(BG183-SUM(BC183:BD183))/2</f>
        <v>0</v>
      </c>
      <c r="BF183" s="291">
        <f>(BG183-SUM(BC183:BE183))/1</f>
        <v>0</v>
      </c>
      <c r="BG183" s="2058">
        <v>0</v>
      </c>
      <c r="BH183" s="290">
        <f>+BL183/4</f>
        <v>0</v>
      </c>
      <c r="BI183" s="260">
        <f>(BL183-SUM(BH183:BH183))/3</f>
        <v>0</v>
      </c>
      <c r="BJ183" s="260">
        <f>(BL183-SUM(BH183:BI183))/2</f>
        <v>0</v>
      </c>
      <c r="BK183" s="291">
        <f>(BL183-SUM(BH183:BJ183))/1</f>
        <v>0</v>
      </c>
      <c r="BL183" s="2058">
        <v>0</v>
      </c>
      <c r="BM183" s="45"/>
      <c r="BN183" s="45"/>
      <c r="BO183" s="45"/>
      <c r="BP183" s="45"/>
      <c r="BQ183" s="45"/>
      <c r="BR183" s="45"/>
      <c r="BS183" s="45"/>
      <c r="BT183" s="45"/>
      <c r="BU183" s="45"/>
      <c r="BV183" s="45"/>
      <c r="BW183" s="45"/>
      <c r="BX183" s="45"/>
      <c r="BY183" s="45"/>
      <c r="BZ183" s="45"/>
      <c r="CA183" s="45"/>
      <c r="CB183" s="339"/>
      <c r="CC183" s="339"/>
      <c r="CD183" s="339"/>
      <c r="CE183" s="45">
        <f>CF183-CD183</f>
        <v>0</v>
      </c>
      <c r="CF183" s="339"/>
      <c r="CG183" s="339"/>
      <c r="CH183" s="339"/>
      <c r="CI183" s="339"/>
      <c r="CJ183" s="45">
        <f>CK183</f>
        <v>2</v>
      </c>
      <c r="CK183" s="339">
        <v>2</v>
      </c>
      <c r="CL183" s="339">
        <v>1</v>
      </c>
      <c r="CM183" s="339">
        <v>-1</v>
      </c>
      <c r="CN183" s="339">
        <v>0</v>
      </c>
      <c r="CO183" s="45">
        <f>CP183</f>
        <v>-4</v>
      </c>
      <c r="CP183" s="339">
        <v>-4</v>
      </c>
      <c r="CQ183" s="339">
        <v>-1</v>
      </c>
      <c r="CR183" s="339">
        <v>-2</v>
      </c>
      <c r="CS183" s="339">
        <v>-4</v>
      </c>
      <c r="CT183" s="45">
        <f>CU183</f>
        <v>0</v>
      </c>
      <c r="CU183" s="339">
        <v>0</v>
      </c>
      <c r="CV183" s="339">
        <v>1</v>
      </c>
      <c r="CW183" s="339">
        <v>1</v>
      </c>
      <c r="CX183" s="339">
        <v>1</v>
      </c>
      <c r="CY183" s="45">
        <f>CZ183</f>
        <v>2</v>
      </c>
      <c r="CZ183" s="339">
        <v>2</v>
      </c>
      <c r="DA183" s="339">
        <v>-9</v>
      </c>
      <c r="DB183" s="339">
        <f>-5+3</f>
        <v>-2</v>
      </c>
      <c r="DC183" s="339">
        <f>-5-1</f>
        <v>-6</v>
      </c>
      <c r="DD183" s="45">
        <f>DE183</f>
        <v>-6</v>
      </c>
      <c r="DE183" s="339">
        <v>-6</v>
      </c>
      <c r="DF183" s="2056">
        <f>5+2</f>
        <v>7</v>
      </c>
      <c r="DG183" s="2056">
        <f>5+1</f>
        <v>6</v>
      </c>
      <c r="DH183" s="2056">
        <f>5+1</f>
        <v>6</v>
      </c>
      <c r="DI183" s="45">
        <f>DJ183</f>
        <v>7</v>
      </c>
      <c r="DJ183" s="2056">
        <v>7</v>
      </c>
      <c r="DK183" s="2056">
        <v>0</v>
      </c>
      <c r="DL183" s="2056">
        <f>-1+3</f>
        <v>2</v>
      </c>
      <c r="DM183" s="2056">
        <v>2</v>
      </c>
      <c r="DN183" s="45">
        <f>DO183</f>
        <v>4</v>
      </c>
      <c r="DO183" s="2056">
        <v>4</v>
      </c>
      <c r="DP183" s="2056">
        <v>2</v>
      </c>
      <c r="DQ183" s="2056">
        <v>1</v>
      </c>
      <c r="DR183" s="2056">
        <v>1</v>
      </c>
      <c r="DS183" s="45">
        <f>DT183</f>
        <v>-1</v>
      </c>
      <c r="DT183" s="2056">
        <v>-1</v>
      </c>
    </row>
    <row r="184" spans="1:124">
      <c r="A184" s="45"/>
      <c r="B184" s="45"/>
      <c r="C184" s="389" t="s">
        <v>150</v>
      </c>
      <c r="D184" s="45"/>
      <c r="E184" s="292"/>
      <c r="F184" s="261"/>
      <c r="G184" s="261"/>
      <c r="H184" s="293"/>
      <c r="I184" s="583">
        <f t="shared" si="443"/>
        <v>-248</v>
      </c>
      <c r="J184" s="292">
        <f t="shared" ref="J184:AW184" si="460">SUM(J181:J183)</f>
        <v>-40</v>
      </c>
      <c r="K184" s="261">
        <f t="shared" si="460"/>
        <v>-60</v>
      </c>
      <c r="L184" s="261">
        <f t="shared" si="460"/>
        <v>-46</v>
      </c>
      <c r="M184" s="293">
        <f t="shared" si="460"/>
        <v>-87</v>
      </c>
      <c r="N184" s="583">
        <f t="shared" si="460"/>
        <v>-233</v>
      </c>
      <c r="O184" s="292">
        <f t="shared" si="460"/>
        <v>-70</v>
      </c>
      <c r="P184" s="261">
        <f t="shared" si="460"/>
        <v>-77</v>
      </c>
      <c r="Q184" s="261">
        <f t="shared" si="460"/>
        <v>-76</v>
      </c>
      <c r="R184" s="293">
        <f t="shared" si="460"/>
        <v>-97</v>
      </c>
      <c r="S184" s="583">
        <f t="shared" si="460"/>
        <v>-320</v>
      </c>
      <c r="T184" s="292">
        <f t="shared" si="460"/>
        <v>-82</v>
      </c>
      <c r="U184" s="261">
        <f t="shared" si="460"/>
        <v>-81</v>
      </c>
      <c r="V184" s="261">
        <f t="shared" si="460"/>
        <v>-85</v>
      </c>
      <c r="W184" s="293">
        <f t="shared" si="460"/>
        <v>-107</v>
      </c>
      <c r="X184" s="583">
        <f t="shared" si="460"/>
        <v>-355</v>
      </c>
      <c r="Y184" s="292">
        <f t="shared" si="460"/>
        <v>-96</v>
      </c>
      <c r="Z184" s="261">
        <f t="shared" si="460"/>
        <v>-78</v>
      </c>
      <c r="AA184" s="261">
        <f t="shared" ref="AA184" si="461">SUM(AA181:AA183)</f>
        <v>-83</v>
      </c>
      <c r="AB184" s="293">
        <f t="shared" ref="AB184:AC184" si="462">SUM(AB181:AB183)</f>
        <v>-101</v>
      </c>
      <c r="AC184" s="583">
        <f t="shared" si="462"/>
        <v>-358</v>
      </c>
      <c r="AD184" s="292">
        <f t="shared" ref="AD184:AE184" si="463">SUM(AD181:AD183)</f>
        <v>-61</v>
      </c>
      <c r="AE184" s="261">
        <f t="shared" si="463"/>
        <v>-87</v>
      </c>
      <c r="AF184" s="261">
        <f t="shared" ref="AF184:AJ184" si="464">SUM(AF181:AF183)</f>
        <v>-92</v>
      </c>
      <c r="AG184" s="293">
        <f t="shared" si="464"/>
        <v>-105</v>
      </c>
      <c r="AH184" s="583">
        <f t="shared" si="464"/>
        <v>-345</v>
      </c>
      <c r="AI184" s="292">
        <f t="shared" si="464"/>
        <v>-81</v>
      </c>
      <c r="AJ184" s="261">
        <f t="shared" si="464"/>
        <v>-99</v>
      </c>
      <c r="AK184" s="261">
        <f t="shared" ref="AK184:AO184" si="465">SUM(AK181:AK183)</f>
        <v>-74</v>
      </c>
      <c r="AL184" s="293">
        <f t="shared" si="465"/>
        <v>-82</v>
      </c>
      <c r="AM184" s="583">
        <f t="shared" si="465"/>
        <v>-336</v>
      </c>
      <c r="AN184" s="292">
        <f t="shared" si="465"/>
        <v>-80</v>
      </c>
      <c r="AO184" s="261">
        <f t="shared" si="465"/>
        <v>-111</v>
      </c>
      <c r="AP184" s="261">
        <f t="shared" ref="AP184:AR184" si="466">SUM(AP181:AP183)</f>
        <v>-102</v>
      </c>
      <c r="AQ184" s="293">
        <f t="shared" si="466"/>
        <v>-136</v>
      </c>
      <c r="AR184" s="583">
        <f t="shared" si="466"/>
        <v>-429</v>
      </c>
      <c r="AS184" s="292">
        <f t="shared" si="460"/>
        <v>-100</v>
      </c>
      <c r="AT184" s="261">
        <f t="shared" si="460"/>
        <v>-100</v>
      </c>
      <c r="AU184" s="261">
        <f t="shared" si="460"/>
        <v>-100</v>
      </c>
      <c r="AV184" s="293">
        <f t="shared" si="460"/>
        <v>-100</v>
      </c>
      <c r="AW184" s="228">
        <f t="shared" si="460"/>
        <v>-400</v>
      </c>
      <c r="AX184" s="292">
        <f t="shared" ref="AX184:BG184" si="467">SUM(AX181:AX183)</f>
        <v>-81.25</v>
      </c>
      <c r="AY184" s="261">
        <f t="shared" si="467"/>
        <v>-81.25</v>
      </c>
      <c r="AZ184" s="261">
        <f t="shared" si="467"/>
        <v>-81.25</v>
      </c>
      <c r="BA184" s="293">
        <f t="shared" si="467"/>
        <v>-81.25</v>
      </c>
      <c r="BB184" s="228">
        <f t="shared" si="467"/>
        <v>-325</v>
      </c>
      <c r="BC184" s="292">
        <f t="shared" si="467"/>
        <v>-81.25</v>
      </c>
      <c r="BD184" s="261">
        <f t="shared" si="467"/>
        <v>-81.25</v>
      </c>
      <c r="BE184" s="261">
        <f t="shared" si="467"/>
        <v>-81.25</v>
      </c>
      <c r="BF184" s="293">
        <f t="shared" si="467"/>
        <v>-81.25</v>
      </c>
      <c r="BG184" s="228">
        <f t="shared" si="467"/>
        <v>-325</v>
      </c>
      <c r="BH184" s="292">
        <f t="shared" ref="BH184:BL184" si="468">SUM(BH181:BH183)</f>
        <v>-81.25</v>
      </c>
      <c r="BI184" s="261">
        <f t="shared" si="468"/>
        <v>-81.25</v>
      </c>
      <c r="BJ184" s="261">
        <f t="shared" si="468"/>
        <v>-81.25</v>
      </c>
      <c r="BK184" s="293">
        <f t="shared" si="468"/>
        <v>-81.25</v>
      </c>
      <c r="BL184" s="228">
        <f t="shared" si="468"/>
        <v>-325</v>
      </c>
      <c r="BM184" s="45"/>
      <c r="BN184" s="45"/>
      <c r="BO184" s="45"/>
      <c r="BP184" s="45"/>
      <c r="BQ184" s="45"/>
      <c r="BR184" s="45"/>
      <c r="BS184" s="45"/>
      <c r="BT184" s="45"/>
      <c r="BU184" s="45"/>
      <c r="BV184" s="45"/>
      <c r="BW184" s="45"/>
      <c r="BX184" s="45"/>
      <c r="BY184" s="45"/>
      <c r="BZ184" s="45"/>
      <c r="CA184" s="45"/>
      <c r="CB184" s="228">
        <f t="shared" ref="CB184:DB184" si="469">SUM(CB181:CB183)</f>
        <v>0</v>
      </c>
      <c r="CC184" s="228">
        <f t="shared" si="469"/>
        <v>0</v>
      </c>
      <c r="CD184" s="228">
        <f t="shared" si="469"/>
        <v>0</v>
      </c>
      <c r="CE184" s="228">
        <f t="shared" si="469"/>
        <v>0</v>
      </c>
      <c r="CF184" s="228">
        <f t="shared" si="469"/>
        <v>0</v>
      </c>
      <c r="CG184" s="228">
        <f t="shared" si="469"/>
        <v>0</v>
      </c>
      <c r="CH184" s="228">
        <f t="shared" si="469"/>
        <v>0</v>
      </c>
      <c r="CI184" s="228">
        <f t="shared" si="469"/>
        <v>0</v>
      </c>
      <c r="CJ184" s="228">
        <f t="shared" si="469"/>
        <v>-248</v>
      </c>
      <c r="CK184" s="228">
        <f t="shared" si="469"/>
        <v>-248</v>
      </c>
      <c r="CL184" s="228">
        <f t="shared" si="469"/>
        <v>-40</v>
      </c>
      <c r="CM184" s="228">
        <f t="shared" si="469"/>
        <v>-100</v>
      </c>
      <c r="CN184" s="228">
        <f t="shared" si="469"/>
        <v>-146</v>
      </c>
      <c r="CO184" s="228">
        <f t="shared" si="469"/>
        <v>-233</v>
      </c>
      <c r="CP184" s="228">
        <f t="shared" si="469"/>
        <v>-233</v>
      </c>
      <c r="CQ184" s="228">
        <f t="shared" si="469"/>
        <v>-70</v>
      </c>
      <c r="CR184" s="228">
        <f t="shared" si="469"/>
        <v>-147</v>
      </c>
      <c r="CS184" s="228">
        <f t="shared" si="469"/>
        <v>-223</v>
      </c>
      <c r="CT184" s="228">
        <f t="shared" si="469"/>
        <v>-320</v>
      </c>
      <c r="CU184" s="228">
        <f t="shared" si="469"/>
        <v>-320</v>
      </c>
      <c r="CV184" s="228">
        <f t="shared" si="469"/>
        <v>-82</v>
      </c>
      <c r="CW184" s="228">
        <f t="shared" si="469"/>
        <v>-163</v>
      </c>
      <c r="CX184" s="228">
        <f t="shared" si="469"/>
        <v>-248</v>
      </c>
      <c r="CY184" s="228">
        <f t="shared" si="469"/>
        <v>-355</v>
      </c>
      <c r="CZ184" s="228">
        <f t="shared" si="469"/>
        <v>-355</v>
      </c>
      <c r="DA184" s="228">
        <f t="shared" si="469"/>
        <v>-96</v>
      </c>
      <c r="DB184" s="228">
        <f t="shared" si="469"/>
        <v>-174</v>
      </c>
      <c r="DC184" s="228">
        <f t="shared" ref="DC184:DG184" si="470">SUM(DC181:DC183)</f>
        <v>-257</v>
      </c>
      <c r="DD184" s="228">
        <f t="shared" si="470"/>
        <v>-358</v>
      </c>
      <c r="DE184" s="228">
        <f t="shared" si="470"/>
        <v>-358</v>
      </c>
      <c r="DF184" s="228">
        <f t="shared" si="470"/>
        <v>-61</v>
      </c>
      <c r="DG184" s="228">
        <f t="shared" si="470"/>
        <v>-148</v>
      </c>
      <c r="DH184" s="228">
        <f t="shared" ref="DH184:DL184" si="471">SUM(DH181:DH183)</f>
        <v>-240</v>
      </c>
      <c r="DI184" s="228">
        <f t="shared" si="471"/>
        <v>-345</v>
      </c>
      <c r="DJ184" s="228">
        <f t="shared" si="471"/>
        <v>-345</v>
      </c>
      <c r="DK184" s="228">
        <f t="shared" si="471"/>
        <v>-81</v>
      </c>
      <c r="DL184" s="228">
        <f t="shared" si="471"/>
        <v>-180</v>
      </c>
      <c r="DM184" s="228">
        <f t="shared" ref="DM184:DR184" si="472">SUM(DM181:DM183)</f>
        <v>-254</v>
      </c>
      <c r="DN184" s="228">
        <f t="shared" si="472"/>
        <v>-336</v>
      </c>
      <c r="DO184" s="228">
        <f t="shared" si="472"/>
        <v>-336</v>
      </c>
      <c r="DP184" s="228">
        <f t="shared" si="472"/>
        <v>-80</v>
      </c>
      <c r="DQ184" s="228">
        <f t="shared" si="472"/>
        <v>-191</v>
      </c>
      <c r="DR184" s="228">
        <f t="shared" si="472"/>
        <v>-293</v>
      </c>
      <c r="DS184" s="228">
        <f t="shared" ref="DS184:DT184" si="473">SUM(DS181:DS183)</f>
        <v>-429</v>
      </c>
      <c r="DT184" s="228">
        <f t="shared" si="473"/>
        <v>-429</v>
      </c>
    </row>
    <row r="185" spans="1:124">
      <c r="A185" s="45"/>
      <c r="B185" s="45"/>
      <c r="C185" s="391"/>
      <c r="D185" s="45"/>
      <c r="E185" s="290"/>
      <c r="F185" s="260"/>
      <c r="G185" s="260"/>
      <c r="H185" s="291"/>
      <c r="I185" s="647">
        <f t="shared" si="443"/>
        <v>0</v>
      </c>
      <c r="J185" s="290"/>
      <c r="K185" s="260"/>
      <c r="L185" s="260"/>
      <c r="M185" s="291"/>
      <c r="N185" s="647"/>
      <c r="O185" s="290"/>
      <c r="P185" s="260"/>
      <c r="Q185" s="260"/>
      <c r="R185" s="291"/>
      <c r="S185" s="647"/>
      <c r="T185" s="290"/>
      <c r="U185" s="260"/>
      <c r="V185" s="260"/>
      <c r="W185" s="291"/>
      <c r="X185" s="647"/>
      <c r="Y185" s="290"/>
      <c r="Z185" s="260"/>
      <c r="AA185" s="260"/>
      <c r="AB185" s="291"/>
      <c r="AC185" s="647"/>
      <c r="AD185" s="290"/>
      <c r="AE185" s="260"/>
      <c r="AF185" s="260"/>
      <c r="AG185" s="291"/>
      <c r="AH185" s="647"/>
      <c r="AI185" s="290"/>
      <c r="AJ185" s="260"/>
      <c r="AK185" s="260"/>
      <c r="AL185" s="291"/>
      <c r="AM185" s="647"/>
      <c r="AN185" s="290"/>
      <c r="AO185" s="260"/>
      <c r="AP185" s="260"/>
      <c r="AQ185" s="291"/>
      <c r="AR185" s="647"/>
      <c r="AS185" s="290"/>
      <c r="AT185" s="260"/>
      <c r="AU185" s="260"/>
      <c r="AV185" s="291"/>
      <c r="AW185" s="45"/>
      <c r="AX185" s="290"/>
      <c r="AY185" s="260"/>
      <c r="AZ185" s="260"/>
      <c r="BA185" s="291"/>
      <c r="BB185" s="45"/>
      <c r="BC185" s="290"/>
      <c r="BD185" s="260"/>
      <c r="BE185" s="260"/>
      <c r="BF185" s="291"/>
      <c r="BG185" s="45"/>
      <c r="BH185" s="290"/>
      <c r="BI185" s="260"/>
      <c r="BJ185" s="260"/>
      <c r="BK185" s="291"/>
      <c r="BL185" s="45"/>
      <c r="BM185" s="45"/>
      <c r="BN185" s="45"/>
      <c r="BO185" s="45"/>
      <c r="BP185" s="45"/>
      <c r="BQ185" s="45"/>
      <c r="BR185" s="45"/>
      <c r="BS185" s="45"/>
      <c r="BT185" s="45"/>
      <c r="BU185" s="45"/>
      <c r="BV185" s="45"/>
      <c r="BW185" s="45"/>
      <c r="BX185" s="45"/>
      <c r="BY185" s="45"/>
      <c r="BZ185" s="45"/>
      <c r="CA185" s="45"/>
      <c r="CB185" s="45"/>
      <c r="CC185" s="45"/>
      <c r="CD185" s="45"/>
      <c r="CE185" s="45"/>
      <c r="CF185" s="45"/>
      <c r="CG185" s="45"/>
      <c r="CH185" s="45"/>
      <c r="CI185" s="45"/>
      <c r="CJ185" s="45"/>
      <c r="CK185" s="45"/>
      <c r="CL185" s="45"/>
      <c r="CM185" s="45"/>
      <c r="CN185" s="45"/>
      <c r="CO185" s="45"/>
      <c r="CP185" s="45"/>
      <c r="CQ185" s="45"/>
      <c r="CR185" s="45"/>
      <c r="CS185" s="45"/>
      <c r="CT185" s="45"/>
      <c r="CU185" s="45"/>
      <c r="CV185" s="45"/>
      <c r="CW185" s="45"/>
      <c r="CX185" s="45"/>
      <c r="CY185" s="45"/>
      <c r="CZ185" s="45"/>
      <c r="DA185" s="45"/>
      <c r="DB185" s="45"/>
      <c r="DC185" s="45"/>
      <c r="DD185" s="45"/>
      <c r="DE185" s="45"/>
      <c r="DF185" s="45"/>
      <c r="DG185" s="45"/>
      <c r="DH185" s="45"/>
      <c r="DI185" s="45"/>
      <c r="DJ185" s="45"/>
      <c r="DK185" s="45"/>
      <c r="DL185" s="45"/>
      <c r="DM185" s="45"/>
      <c r="DN185" s="45"/>
      <c r="DO185" s="45"/>
      <c r="DP185" s="45"/>
      <c r="DQ185" s="45"/>
      <c r="DR185" s="45"/>
      <c r="DS185" s="45"/>
      <c r="DT185" s="45"/>
    </row>
    <row r="186" spans="1:124">
      <c r="A186" s="45"/>
      <c r="B186" s="45"/>
      <c r="C186" s="391" t="s">
        <v>240</v>
      </c>
      <c r="D186" s="45"/>
      <c r="E186" s="290"/>
      <c r="F186" s="260"/>
      <c r="G186" s="260"/>
      <c r="H186" s="291"/>
      <c r="I186" s="647">
        <f t="shared" si="443"/>
        <v>109</v>
      </c>
      <c r="J186" s="290">
        <f>+CL186</f>
        <v>0</v>
      </c>
      <c r="K186" s="260">
        <f t="shared" ref="K186:L190" si="474">+CM186-CL186</f>
        <v>35</v>
      </c>
      <c r="L186" s="260">
        <f t="shared" si="474"/>
        <v>0</v>
      </c>
      <c r="M186" s="291">
        <f>CO186-CN186</f>
        <v>0</v>
      </c>
      <c r="N186" s="647">
        <f t="shared" ref="N186:O190" si="475">+CP186</f>
        <v>35</v>
      </c>
      <c r="O186" s="290">
        <f t="shared" si="475"/>
        <v>0</v>
      </c>
      <c r="P186" s="260">
        <f t="shared" ref="P186:Q190" si="476">+CR186-CQ186</f>
        <v>250</v>
      </c>
      <c r="Q186" s="260">
        <f t="shared" si="476"/>
        <v>0</v>
      </c>
      <c r="R186" s="291">
        <f>CT186-CS186</f>
        <v>0</v>
      </c>
      <c r="S186" s="647">
        <f t="shared" ref="S186:T190" si="477">+CU186</f>
        <v>250</v>
      </c>
      <c r="T186" s="290">
        <f t="shared" si="477"/>
        <v>0</v>
      </c>
      <c r="U186" s="260">
        <f t="shared" ref="U186:V190" si="478">+CW186-CV186</f>
        <v>0</v>
      </c>
      <c r="V186" s="260">
        <f t="shared" si="478"/>
        <v>0</v>
      </c>
      <c r="W186" s="291">
        <f>CY186-CX186</f>
        <v>300</v>
      </c>
      <c r="X186" s="647">
        <f t="shared" ref="X186:Y190" si="479">+CZ186</f>
        <v>300</v>
      </c>
      <c r="Y186" s="290">
        <f t="shared" si="479"/>
        <v>0</v>
      </c>
      <c r="Z186" s="260">
        <f>+DB186-DA186</f>
        <v>204</v>
      </c>
      <c r="AA186" s="260">
        <f t="shared" ref="AA186:AA190" si="480">+DC186-DB186</f>
        <v>0</v>
      </c>
      <c r="AB186" s="291">
        <f>DD186-DC186</f>
        <v>0</v>
      </c>
      <c r="AC186" s="647">
        <f t="shared" ref="AC186:AC190" si="481">+DE186</f>
        <v>204</v>
      </c>
      <c r="AD186" s="290">
        <f t="shared" ref="AD186:AD190" si="482">+DF186</f>
        <v>0</v>
      </c>
      <c r="AE186" s="260">
        <f>+DG186-DF186</f>
        <v>200</v>
      </c>
      <c r="AF186" s="260">
        <f t="shared" ref="AF186:AF190" si="483">+DH186-DG186</f>
        <v>0</v>
      </c>
      <c r="AG186" s="291">
        <f>DI186-DH186</f>
        <v>0</v>
      </c>
      <c r="AH186" s="647">
        <f t="shared" ref="AH186:AI190" si="484">+DJ186</f>
        <v>200</v>
      </c>
      <c r="AI186" s="290">
        <f t="shared" si="484"/>
        <v>0</v>
      </c>
      <c r="AJ186" s="260">
        <f>+DL186-DK186</f>
        <v>0</v>
      </c>
      <c r="AK186" s="260">
        <f t="shared" ref="AK186:AK190" si="485">+DM186-DL186</f>
        <v>0</v>
      </c>
      <c r="AL186" s="291">
        <f>DN186-DM186</f>
        <v>175</v>
      </c>
      <c r="AM186" s="647">
        <f t="shared" ref="AM186:AM190" si="486">+DO186</f>
        <v>175</v>
      </c>
      <c r="AN186" s="290">
        <f t="shared" ref="AN186:AN190" si="487">+DP186</f>
        <v>0</v>
      </c>
      <c r="AO186" s="260">
        <f>+DQ186-DP186</f>
        <v>0</v>
      </c>
      <c r="AP186" s="260">
        <f t="shared" ref="AP186:AP190" si="488">+DR186-DQ186</f>
        <v>0</v>
      </c>
      <c r="AQ186" s="291">
        <f>DS186-DR186</f>
        <v>0</v>
      </c>
      <c r="AR186" s="647">
        <f t="shared" ref="AR186:AR190" si="489">+DT186</f>
        <v>0</v>
      </c>
      <c r="AS186" s="290">
        <f t="shared" ref="AS186:AV187" si="490">+AS160</f>
        <v>0</v>
      </c>
      <c r="AT186" s="260">
        <f t="shared" si="490"/>
        <v>0</v>
      </c>
      <c r="AU186" s="260">
        <f t="shared" si="490"/>
        <v>255</v>
      </c>
      <c r="AV186" s="291">
        <f t="shared" si="490"/>
        <v>0</v>
      </c>
      <c r="AW186" s="45">
        <f>SUM(AS186:AV186)</f>
        <v>255</v>
      </c>
      <c r="AX186" s="290">
        <f t="shared" ref="AX186:BA186" si="491">+AX160</f>
        <v>0</v>
      </c>
      <c r="AY186" s="260">
        <f t="shared" si="491"/>
        <v>0</v>
      </c>
      <c r="AZ186" s="260">
        <f t="shared" si="491"/>
        <v>65</v>
      </c>
      <c r="BA186" s="291">
        <f t="shared" si="491"/>
        <v>0</v>
      </c>
      <c r="BB186" s="45">
        <f>SUM(AX186:BA186)</f>
        <v>65</v>
      </c>
      <c r="BC186" s="290">
        <f t="shared" ref="BC186:BF186" si="492">+BC160</f>
        <v>0</v>
      </c>
      <c r="BD186" s="260">
        <f t="shared" si="492"/>
        <v>0</v>
      </c>
      <c r="BE186" s="260">
        <f t="shared" si="492"/>
        <v>50</v>
      </c>
      <c r="BF186" s="291">
        <f t="shared" si="492"/>
        <v>0</v>
      </c>
      <c r="BG186" s="45">
        <f>SUM(BC186:BF186)</f>
        <v>50</v>
      </c>
      <c r="BH186" s="290">
        <f t="shared" ref="BH186:BK186" si="493">+BH160</f>
        <v>0</v>
      </c>
      <c r="BI186" s="260">
        <f t="shared" si="493"/>
        <v>0</v>
      </c>
      <c r="BJ186" s="260">
        <f t="shared" si="493"/>
        <v>45</v>
      </c>
      <c r="BK186" s="291">
        <f t="shared" si="493"/>
        <v>0</v>
      </c>
      <c r="BL186" s="45">
        <f>SUM(BH186:BK186)</f>
        <v>45</v>
      </c>
      <c r="BM186" s="45"/>
      <c r="BN186" s="45"/>
      <c r="BO186" s="45"/>
      <c r="BP186" s="45"/>
      <c r="BQ186" s="45"/>
      <c r="BR186" s="45"/>
      <c r="BS186" s="45"/>
      <c r="BT186" s="45"/>
      <c r="BU186" s="45"/>
      <c r="BV186" s="45"/>
      <c r="BW186" s="45"/>
      <c r="BX186" s="45"/>
      <c r="BY186" s="45"/>
      <c r="BZ186" s="45"/>
      <c r="CA186" s="45"/>
      <c r="CB186" s="339"/>
      <c r="CC186" s="339"/>
      <c r="CD186" s="339"/>
      <c r="CE186" s="45">
        <f>CF186-CD186</f>
        <v>0</v>
      </c>
      <c r="CF186" s="339"/>
      <c r="CG186" s="339"/>
      <c r="CH186" s="339"/>
      <c r="CI186" s="339"/>
      <c r="CJ186" s="45">
        <f>CK186</f>
        <v>109</v>
      </c>
      <c r="CK186" s="339">
        <v>109</v>
      </c>
      <c r="CL186" s="339">
        <v>0</v>
      </c>
      <c r="CM186" s="339">
        <v>35</v>
      </c>
      <c r="CN186" s="339">
        <v>35</v>
      </c>
      <c r="CO186" s="45">
        <f>CP186</f>
        <v>35</v>
      </c>
      <c r="CP186" s="339">
        <v>35</v>
      </c>
      <c r="CQ186" s="339">
        <v>0</v>
      </c>
      <c r="CR186" s="339">
        <v>250</v>
      </c>
      <c r="CS186" s="339">
        <v>250</v>
      </c>
      <c r="CT186" s="45">
        <f>CU186</f>
        <v>250</v>
      </c>
      <c r="CU186" s="339">
        <v>250</v>
      </c>
      <c r="CV186" s="339">
        <v>0</v>
      </c>
      <c r="CW186" s="339">
        <v>0</v>
      </c>
      <c r="CX186" s="339">
        <v>0</v>
      </c>
      <c r="CY186" s="45">
        <f>CZ186</f>
        <v>300</v>
      </c>
      <c r="CZ186" s="339">
        <v>300</v>
      </c>
      <c r="DA186" s="339">
        <v>0</v>
      </c>
      <c r="DB186" s="339">
        <v>204</v>
      </c>
      <c r="DC186" s="339">
        <v>204</v>
      </c>
      <c r="DD186" s="45">
        <f>DE186</f>
        <v>204</v>
      </c>
      <c r="DE186" s="339">
        <v>204</v>
      </c>
      <c r="DF186" s="2056">
        <v>0</v>
      </c>
      <c r="DG186" s="2056">
        <v>200</v>
      </c>
      <c r="DH186" s="2056">
        <v>200</v>
      </c>
      <c r="DI186" s="45">
        <f>DJ186</f>
        <v>200</v>
      </c>
      <c r="DJ186" s="2056">
        <v>200</v>
      </c>
      <c r="DK186" s="2056">
        <v>0</v>
      </c>
      <c r="DL186" s="2056">
        <v>0</v>
      </c>
      <c r="DM186" s="2056">
        <v>0</v>
      </c>
      <c r="DN186" s="45">
        <f>DO186</f>
        <v>175</v>
      </c>
      <c r="DO186" s="2056">
        <v>175</v>
      </c>
      <c r="DP186" s="2056">
        <v>0</v>
      </c>
      <c r="DQ186" s="2056">
        <v>0</v>
      </c>
      <c r="DR186" s="2056">
        <v>0</v>
      </c>
      <c r="DS186" s="45">
        <f>DT186</f>
        <v>0</v>
      </c>
      <c r="DT186" s="2056">
        <v>0</v>
      </c>
    </row>
    <row r="187" spans="1:124">
      <c r="A187" s="45"/>
      <c r="B187" s="45"/>
      <c r="C187" s="391" t="s">
        <v>543</v>
      </c>
      <c r="D187" s="45"/>
      <c r="E187" s="290"/>
      <c r="F187" s="260"/>
      <c r="G187" s="260"/>
      <c r="H187" s="291"/>
      <c r="I187" s="647">
        <f t="shared" si="443"/>
        <v>-31</v>
      </c>
      <c r="J187" s="290">
        <f>+CL187</f>
        <v>0</v>
      </c>
      <c r="K187" s="260">
        <f t="shared" si="474"/>
        <v>-35</v>
      </c>
      <c r="L187" s="260">
        <f t="shared" si="474"/>
        <v>0</v>
      </c>
      <c r="M187" s="291">
        <f>CO187-CN187</f>
        <v>0</v>
      </c>
      <c r="N187" s="647">
        <f t="shared" si="475"/>
        <v>-35</v>
      </c>
      <c r="O187" s="290">
        <f t="shared" si="475"/>
        <v>0</v>
      </c>
      <c r="P187" s="260">
        <f t="shared" si="476"/>
        <v>-66</v>
      </c>
      <c r="Q187" s="260">
        <f t="shared" si="476"/>
        <v>-31</v>
      </c>
      <c r="R187" s="291">
        <f>CT187-CS187</f>
        <v>0</v>
      </c>
      <c r="S187" s="647">
        <f t="shared" si="477"/>
        <v>-97</v>
      </c>
      <c r="T187" s="290">
        <f t="shared" si="477"/>
        <v>0</v>
      </c>
      <c r="U187" s="260">
        <f t="shared" si="478"/>
        <v>0</v>
      </c>
      <c r="V187" s="260">
        <f t="shared" si="478"/>
        <v>0</v>
      </c>
      <c r="W187" s="291">
        <f>CY187-CX187</f>
        <v>-250</v>
      </c>
      <c r="X187" s="647">
        <f t="shared" si="479"/>
        <v>-250</v>
      </c>
      <c r="Y187" s="290">
        <f t="shared" si="479"/>
        <v>0</v>
      </c>
      <c r="Z187" s="260">
        <f>+DB187-DA187</f>
        <v>0</v>
      </c>
      <c r="AA187" s="260">
        <f t="shared" si="480"/>
        <v>0</v>
      </c>
      <c r="AB187" s="291">
        <f>DD187-DC187</f>
        <v>-100</v>
      </c>
      <c r="AC187" s="647">
        <f t="shared" si="481"/>
        <v>-100</v>
      </c>
      <c r="AD187" s="290">
        <f t="shared" si="482"/>
        <v>0</v>
      </c>
      <c r="AE187" s="260">
        <f>+DG187-DF187</f>
        <v>-100</v>
      </c>
      <c r="AF187" s="260">
        <f t="shared" si="483"/>
        <v>0</v>
      </c>
      <c r="AG187" s="291">
        <f>DI187-DH187</f>
        <v>0</v>
      </c>
      <c r="AH187" s="647">
        <f t="shared" si="484"/>
        <v>-100</v>
      </c>
      <c r="AI187" s="290">
        <f t="shared" si="484"/>
        <v>0</v>
      </c>
      <c r="AJ187" s="260">
        <f>+DL187-DK187</f>
        <v>0</v>
      </c>
      <c r="AK187" s="260">
        <f t="shared" si="485"/>
        <v>0</v>
      </c>
      <c r="AL187" s="291">
        <f>DN187-DM187</f>
        <v>-100</v>
      </c>
      <c r="AM187" s="647">
        <f t="shared" si="486"/>
        <v>-100</v>
      </c>
      <c r="AN187" s="290">
        <f t="shared" si="487"/>
        <v>-14</v>
      </c>
      <c r="AO187" s="260">
        <f>+DQ187-DP187</f>
        <v>0</v>
      </c>
      <c r="AP187" s="260">
        <f t="shared" si="488"/>
        <v>0</v>
      </c>
      <c r="AQ187" s="291">
        <f>DS187-DR187</f>
        <v>-26</v>
      </c>
      <c r="AR187" s="647">
        <f t="shared" si="489"/>
        <v>-40</v>
      </c>
      <c r="AS187" s="290">
        <f t="shared" si="490"/>
        <v>0</v>
      </c>
      <c r="AT187" s="260">
        <f t="shared" si="490"/>
        <v>0</v>
      </c>
      <c r="AU187" s="260">
        <f t="shared" si="490"/>
        <v>-4</v>
      </c>
      <c r="AV187" s="291">
        <f t="shared" si="490"/>
        <v>0</v>
      </c>
      <c r="AW187" s="45">
        <f>SUM(AS187:AV187)</f>
        <v>-4</v>
      </c>
      <c r="AX187" s="290">
        <f t="shared" ref="AX187:BA187" si="494">+AX161</f>
        <v>0</v>
      </c>
      <c r="AY187" s="260">
        <f t="shared" si="494"/>
        <v>0</v>
      </c>
      <c r="AZ187" s="260">
        <f t="shared" si="494"/>
        <v>-12</v>
      </c>
      <c r="BA187" s="291">
        <f t="shared" si="494"/>
        <v>0</v>
      </c>
      <c r="BB187" s="45">
        <f>SUM(AX187:BA187)</f>
        <v>-12</v>
      </c>
      <c r="BC187" s="290">
        <f t="shared" ref="BC187:BF187" si="495">+BC161</f>
        <v>0</v>
      </c>
      <c r="BD187" s="260">
        <f t="shared" si="495"/>
        <v>0</v>
      </c>
      <c r="BE187" s="260">
        <f t="shared" si="495"/>
        <v>0</v>
      </c>
      <c r="BF187" s="291">
        <f t="shared" si="495"/>
        <v>0</v>
      </c>
      <c r="BG187" s="45">
        <f>SUM(BC187:BF187)</f>
        <v>0</v>
      </c>
      <c r="BH187" s="290">
        <f t="shared" ref="BH187:BK187" si="496">+BH161</f>
        <v>0</v>
      </c>
      <c r="BI187" s="260">
        <f t="shared" si="496"/>
        <v>0</v>
      </c>
      <c r="BJ187" s="260">
        <f t="shared" si="496"/>
        <v>0</v>
      </c>
      <c r="BK187" s="291">
        <f t="shared" si="496"/>
        <v>0</v>
      </c>
      <c r="BL187" s="45">
        <f>SUM(BH187:BK187)</f>
        <v>0</v>
      </c>
      <c r="BM187" s="45"/>
      <c r="BN187" s="45"/>
      <c r="BO187" s="45"/>
      <c r="BP187" s="45"/>
      <c r="BQ187" s="45"/>
      <c r="BR187" s="45"/>
      <c r="BS187" s="45"/>
      <c r="BT187" s="45"/>
      <c r="BU187" s="45"/>
      <c r="BV187" s="45"/>
      <c r="BW187" s="45"/>
      <c r="BX187" s="45"/>
      <c r="BY187" s="45"/>
      <c r="BZ187" s="45"/>
      <c r="CA187" s="45"/>
      <c r="CB187" s="339"/>
      <c r="CC187" s="339"/>
      <c r="CD187" s="339"/>
      <c r="CE187" s="45">
        <f>CF187-CD187</f>
        <v>0</v>
      </c>
      <c r="CF187" s="339"/>
      <c r="CG187" s="339"/>
      <c r="CH187" s="339"/>
      <c r="CI187" s="339"/>
      <c r="CJ187" s="45">
        <f>CK187</f>
        <v>-31</v>
      </c>
      <c r="CK187" s="339">
        <v>-31</v>
      </c>
      <c r="CL187" s="339">
        <v>0</v>
      </c>
      <c r="CM187" s="339">
        <v>-35</v>
      </c>
      <c r="CN187" s="339">
        <v>-35</v>
      </c>
      <c r="CO187" s="45">
        <f>CP187</f>
        <v>-35</v>
      </c>
      <c r="CP187" s="339">
        <v>-35</v>
      </c>
      <c r="CQ187" s="339">
        <v>0</v>
      </c>
      <c r="CR187" s="339">
        <v>-66</v>
      </c>
      <c r="CS187" s="339">
        <v>-97</v>
      </c>
      <c r="CT187" s="45">
        <f>CU187</f>
        <v>-97</v>
      </c>
      <c r="CU187" s="339">
        <v>-97</v>
      </c>
      <c r="CV187" s="339">
        <v>0</v>
      </c>
      <c r="CW187" s="339">
        <v>0</v>
      </c>
      <c r="CX187" s="339">
        <v>0</v>
      </c>
      <c r="CY187" s="45">
        <f>CZ187</f>
        <v>-250</v>
      </c>
      <c r="CZ187" s="339">
        <v>-250</v>
      </c>
      <c r="DA187" s="339">
        <v>0</v>
      </c>
      <c r="DB187" s="339">
        <v>0</v>
      </c>
      <c r="DC187" s="339">
        <v>0</v>
      </c>
      <c r="DD187" s="45">
        <f>DE187</f>
        <v>-100</v>
      </c>
      <c r="DE187" s="339">
        <v>-100</v>
      </c>
      <c r="DF187" s="2056">
        <v>0</v>
      </c>
      <c r="DG187" s="2056">
        <v>-100</v>
      </c>
      <c r="DH187" s="2056">
        <v>-100</v>
      </c>
      <c r="DI187" s="45">
        <f>DJ187</f>
        <v>-100</v>
      </c>
      <c r="DJ187" s="2056">
        <v>-100</v>
      </c>
      <c r="DK187" s="2056">
        <v>0</v>
      </c>
      <c r="DL187" s="2056">
        <v>0</v>
      </c>
      <c r="DM187" s="2056">
        <v>0</v>
      </c>
      <c r="DN187" s="45">
        <f>DO187</f>
        <v>-100</v>
      </c>
      <c r="DO187" s="2056">
        <v>-100</v>
      </c>
      <c r="DP187" s="2056">
        <v>-14</v>
      </c>
      <c r="DQ187" s="2056">
        <v>-14</v>
      </c>
      <c r="DR187" s="2056">
        <v>-14</v>
      </c>
      <c r="DS187" s="45">
        <f>DT187</f>
        <v>-40</v>
      </c>
      <c r="DT187" s="2056">
        <v>-40</v>
      </c>
    </row>
    <row r="188" spans="1:124">
      <c r="A188" s="45"/>
      <c r="B188" s="45"/>
      <c r="C188" s="391" t="s">
        <v>151</v>
      </c>
      <c r="D188" s="45"/>
      <c r="E188" s="290"/>
      <c r="F188" s="260"/>
      <c r="G188" s="260"/>
      <c r="H188" s="291"/>
      <c r="I188" s="647">
        <f t="shared" si="443"/>
        <v>0</v>
      </c>
      <c r="J188" s="290">
        <f>+CL188</f>
        <v>0</v>
      </c>
      <c r="K188" s="260">
        <f t="shared" si="474"/>
        <v>0</v>
      </c>
      <c r="L188" s="260">
        <f t="shared" si="474"/>
        <v>0</v>
      </c>
      <c r="M188" s="291">
        <f>CO188-CN188</f>
        <v>47</v>
      </c>
      <c r="N188" s="647">
        <f t="shared" si="475"/>
        <v>47</v>
      </c>
      <c r="O188" s="290">
        <f t="shared" si="475"/>
        <v>87</v>
      </c>
      <c r="P188" s="260">
        <f t="shared" si="476"/>
        <v>-134</v>
      </c>
      <c r="Q188" s="260">
        <f t="shared" si="476"/>
        <v>0</v>
      </c>
      <c r="R188" s="291">
        <f>CT188-CS188</f>
        <v>32</v>
      </c>
      <c r="S188" s="647">
        <f t="shared" si="477"/>
        <v>-15</v>
      </c>
      <c r="T188" s="290">
        <f t="shared" si="477"/>
        <v>38</v>
      </c>
      <c r="U188" s="260">
        <f t="shared" si="478"/>
        <v>39</v>
      </c>
      <c r="V188" s="260">
        <f t="shared" si="478"/>
        <v>41</v>
      </c>
      <c r="W188" s="291">
        <f>CY188-CX188</f>
        <v>-3</v>
      </c>
      <c r="X188" s="647">
        <f t="shared" si="479"/>
        <v>115</v>
      </c>
      <c r="Y188" s="290">
        <f t="shared" si="479"/>
        <v>31</v>
      </c>
      <c r="Z188" s="260">
        <f>+DB188-DA188</f>
        <v>-178</v>
      </c>
      <c r="AA188" s="260">
        <f t="shared" si="480"/>
        <v>0</v>
      </c>
      <c r="AB188" s="291">
        <f>DD188-DC188</f>
        <v>106</v>
      </c>
      <c r="AC188" s="647">
        <f t="shared" si="481"/>
        <v>-41</v>
      </c>
      <c r="AD188" s="290">
        <f t="shared" si="482"/>
        <v>69</v>
      </c>
      <c r="AE188" s="260">
        <f>+DG188-DF188</f>
        <v>-145</v>
      </c>
      <c r="AF188" s="260">
        <f t="shared" si="483"/>
        <v>36</v>
      </c>
      <c r="AG188" s="291">
        <f>DI188-DH188</f>
        <v>39</v>
      </c>
      <c r="AH188" s="647">
        <f t="shared" si="484"/>
        <v>-1</v>
      </c>
      <c r="AI188" s="290">
        <f t="shared" si="484"/>
        <v>-30</v>
      </c>
      <c r="AJ188" s="260">
        <f>+DL188-DK188</f>
        <v>-75</v>
      </c>
      <c r="AK188" s="260">
        <f t="shared" si="485"/>
        <v>17</v>
      </c>
      <c r="AL188" s="291">
        <f>DN188-DM188</f>
        <v>-17</v>
      </c>
      <c r="AM188" s="647">
        <f t="shared" si="486"/>
        <v>-105</v>
      </c>
      <c r="AN188" s="290">
        <f t="shared" si="487"/>
        <v>0</v>
      </c>
      <c r="AO188" s="260">
        <f>+DQ188-DP188</f>
        <v>25</v>
      </c>
      <c r="AP188" s="260">
        <f t="shared" si="488"/>
        <v>29</v>
      </c>
      <c r="AQ188" s="291">
        <f>DS188-DR188</f>
        <v>162</v>
      </c>
      <c r="AR188" s="647">
        <f t="shared" si="489"/>
        <v>216</v>
      </c>
      <c r="AS188" s="814">
        <v>0</v>
      </c>
      <c r="AT188" s="262">
        <v>0</v>
      </c>
      <c r="AU188" s="262">
        <v>0</v>
      </c>
      <c r="AV188" s="294">
        <v>0</v>
      </c>
      <c r="AW188" s="45">
        <f>SUM(AS188:AV188)</f>
        <v>0</v>
      </c>
      <c r="AX188" s="814">
        <v>0</v>
      </c>
      <c r="AY188" s="262">
        <v>0</v>
      </c>
      <c r="AZ188" s="262">
        <v>0</v>
      </c>
      <c r="BA188" s="294">
        <v>0</v>
      </c>
      <c r="BB188" s="45">
        <f>SUM(AX188:BA188)</f>
        <v>0</v>
      </c>
      <c r="BC188" s="814">
        <v>0</v>
      </c>
      <c r="BD188" s="262">
        <v>0</v>
      </c>
      <c r="BE188" s="262">
        <v>0</v>
      </c>
      <c r="BF188" s="294">
        <v>0</v>
      </c>
      <c r="BG188" s="45">
        <f>SUM(BC188:BF188)</f>
        <v>0</v>
      </c>
      <c r="BH188" s="814">
        <v>0</v>
      </c>
      <c r="BI188" s="262">
        <v>0</v>
      </c>
      <c r="BJ188" s="262">
        <v>0</v>
      </c>
      <c r="BK188" s="294">
        <v>0</v>
      </c>
      <c r="BL188" s="45">
        <f>SUM(BH188:BK188)</f>
        <v>0</v>
      </c>
      <c r="BM188" s="45"/>
      <c r="BN188" s="45"/>
      <c r="BO188" s="45"/>
      <c r="BP188" s="45"/>
      <c r="BQ188" s="45"/>
      <c r="BR188" s="45"/>
      <c r="BS188" s="45"/>
      <c r="BT188" s="45"/>
      <c r="BU188" s="45"/>
      <c r="BV188" s="45"/>
      <c r="BW188" s="45"/>
      <c r="BX188" s="45"/>
      <c r="BY188" s="45"/>
      <c r="BZ188" s="45"/>
      <c r="CA188" s="45"/>
      <c r="CB188" s="1778"/>
      <c r="CC188" s="1778"/>
      <c r="CD188" s="1778"/>
      <c r="CE188" s="45">
        <f>CF188-CD188</f>
        <v>0</v>
      </c>
      <c r="CF188" s="1778"/>
      <c r="CG188" s="1778"/>
      <c r="CH188" s="1778"/>
      <c r="CI188" s="1778"/>
      <c r="CJ188" s="45">
        <f>CK188</f>
        <v>0</v>
      </c>
      <c r="CK188" s="1778">
        <v>0</v>
      </c>
      <c r="CL188" s="1778">
        <v>0</v>
      </c>
      <c r="CM188" s="1778">
        <v>0</v>
      </c>
      <c r="CN188" s="1778">
        <v>0</v>
      </c>
      <c r="CO188" s="45">
        <f>CP188</f>
        <v>47</v>
      </c>
      <c r="CP188" s="1778">
        <v>47</v>
      </c>
      <c r="CQ188" s="1778">
        <v>87</v>
      </c>
      <c r="CR188" s="1778">
        <v>-47</v>
      </c>
      <c r="CS188" s="1778">
        <v>-47</v>
      </c>
      <c r="CT188" s="45">
        <f>CU188</f>
        <v>-15</v>
      </c>
      <c r="CU188" s="1778">
        <v>-15</v>
      </c>
      <c r="CV188" s="1778">
        <v>38</v>
      </c>
      <c r="CW188" s="1778">
        <v>77</v>
      </c>
      <c r="CX188" s="1778">
        <v>118</v>
      </c>
      <c r="CY188" s="45">
        <f>CZ188</f>
        <v>115</v>
      </c>
      <c r="CZ188" s="1778">
        <v>115</v>
      </c>
      <c r="DA188" s="1778">
        <v>31</v>
      </c>
      <c r="DB188" s="1778">
        <v>-147</v>
      </c>
      <c r="DC188" s="1778">
        <v>-147</v>
      </c>
      <c r="DD188" s="45">
        <f>DE188</f>
        <v>-41</v>
      </c>
      <c r="DE188" s="1778">
        <v>-41</v>
      </c>
      <c r="DF188" s="1778">
        <v>69</v>
      </c>
      <c r="DG188" s="1778">
        <v>-76</v>
      </c>
      <c r="DH188" s="1778">
        <v>-40</v>
      </c>
      <c r="DI188" s="45">
        <f>DJ188</f>
        <v>-1</v>
      </c>
      <c r="DJ188" s="1778">
        <v>-1</v>
      </c>
      <c r="DK188" s="1778">
        <v>-30</v>
      </c>
      <c r="DL188" s="1778">
        <v>-105</v>
      </c>
      <c r="DM188" s="1778">
        <v>-88</v>
      </c>
      <c r="DN188" s="45">
        <f>DO188</f>
        <v>-105</v>
      </c>
      <c r="DO188" s="1778">
        <v>-105</v>
      </c>
      <c r="DP188" s="1778">
        <v>0</v>
      </c>
      <c r="DQ188" s="1778">
        <v>25</v>
      </c>
      <c r="DR188" s="1778">
        <v>54</v>
      </c>
      <c r="DS188" s="45">
        <f>DT188</f>
        <v>216</v>
      </c>
      <c r="DT188" s="1778">
        <v>216</v>
      </c>
    </row>
    <row r="189" spans="1:124">
      <c r="A189" s="45"/>
      <c r="B189" s="45"/>
      <c r="C189" s="391" t="s">
        <v>152</v>
      </c>
      <c r="D189" s="45"/>
      <c r="E189" s="290"/>
      <c r="F189" s="260"/>
      <c r="G189" s="260"/>
      <c r="H189" s="291"/>
      <c r="I189" s="647">
        <f t="shared" si="443"/>
        <v>-23</v>
      </c>
      <c r="J189" s="290">
        <f>+CL189</f>
        <v>0</v>
      </c>
      <c r="K189" s="260">
        <f t="shared" si="474"/>
        <v>0</v>
      </c>
      <c r="L189" s="260">
        <f t="shared" si="474"/>
        <v>-50</v>
      </c>
      <c r="M189" s="291">
        <f>CO189-CN189</f>
        <v>-10</v>
      </c>
      <c r="N189" s="647">
        <f t="shared" si="475"/>
        <v>-60</v>
      </c>
      <c r="O189" s="290">
        <f t="shared" si="475"/>
        <v>0</v>
      </c>
      <c r="P189" s="260">
        <f t="shared" si="476"/>
        <v>0</v>
      </c>
      <c r="Q189" s="260">
        <f t="shared" si="476"/>
        <v>0</v>
      </c>
      <c r="R189" s="291">
        <f>CT189-CS189</f>
        <v>60</v>
      </c>
      <c r="S189" s="647">
        <f t="shared" si="477"/>
        <v>60</v>
      </c>
      <c r="T189" s="290">
        <f t="shared" si="477"/>
        <v>0</v>
      </c>
      <c r="U189" s="260">
        <f t="shared" si="478"/>
        <v>-20</v>
      </c>
      <c r="V189" s="260">
        <f t="shared" si="478"/>
        <v>-10</v>
      </c>
      <c r="W189" s="291">
        <f>CY189-CX189</f>
        <v>0</v>
      </c>
      <c r="X189" s="647">
        <f t="shared" si="479"/>
        <v>-30</v>
      </c>
      <c r="Y189" s="290">
        <f t="shared" si="479"/>
        <v>-20</v>
      </c>
      <c r="Z189" s="260">
        <f>+DB189-DA189</f>
        <v>130</v>
      </c>
      <c r="AA189" s="260">
        <f t="shared" si="480"/>
        <v>0</v>
      </c>
      <c r="AB189" s="291">
        <f>DD189-DC189</f>
        <v>-80</v>
      </c>
      <c r="AC189" s="647">
        <f t="shared" si="481"/>
        <v>30</v>
      </c>
      <c r="AD189" s="290">
        <f t="shared" si="482"/>
        <v>-62</v>
      </c>
      <c r="AE189" s="260">
        <f>+DG189-DF189</f>
        <v>75</v>
      </c>
      <c r="AF189" s="260">
        <f t="shared" si="483"/>
        <v>-18</v>
      </c>
      <c r="AG189" s="291">
        <f>DI189-DH189</f>
        <v>-12</v>
      </c>
      <c r="AH189" s="647">
        <f t="shared" si="484"/>
        <v>-17</v>
      </c>
      <c r="AI189" s="290">
        <f t="shared" si="484"/>
        <v>-38</v>
      </c>
      <c r="AJ189" s="260">
        <f>+DL189-DK189</f>
        <v>113</v>
      </c>
      <c r="AK189" s="260">
        <f t="shared" si="485"/>
        <v>-1</v>
      </c>
      <c r="AL189" s="291">
        <f>DN189-DM189</f>
        <v>24</v>
      </c>
      <c r="AM189" s="647">
        <f t="shared" si="486"/>
        <v>98</v>
      </c>
      <c r="AN189" s="290">
        <f t="shared" si="487"/>
        <v>-30</v>
      </c>
      <c r="AO189" s="260">
        <f>+DQ189-DP189</f>
        <v>-24</v>
      </c>
      <c r="AP189" s="260">
        <f t="shared" si="488"/>
        <v>-28</v>
      </c>
      <c r="AQ189" s="291">
        <f>DS189-DR189</f>
        <v>-30</v>
      </c>
      <c r="AR189" s="647">
        <f t="shared" si="489"/>
        <v>-112</v>
      </c>
      <c r="AS189" s="290">
        <f>+AW189/4</f>
        <v>8.75</v>
      </c>
      <c r="AT189" s="260">
        <f>(AW189-SUM(AS189:AS189))/3</f>
        <v>8.75</v>
      </c>
      <c r="AU189" s="260">
        <f>(AW189-SUM(AS189:AT189))/2</f>
        <v>8.75</v>
      </c>
      <c r="AV189" s="291">
        <f>(AW189-SUM(AS189:AU189))/1</f>
        <v>8.75</v>
      </c>
      <c r="AW189" s="1003">
        <v>35</v>
      </c>
      <c r="AX189" s="290">
        <f>+BB189/4</f>
        <v>-20</v>
      </c>
      <c r="AY189" s="260">
        <f>(BB189-SUM(AX189:AX189))/3</f>
        <v>-20</v>
      </c>
      <c r="AZ189" s="260">
        <f>(BB189-SUM(AX189:AY189))/2</f>
        <v>-20</v>
      </c>
      <c r="BA189" s="291">
        <f>(BB189-SUM(AX189:AZ189))/1</f>
        <v>-20</v>
      </c>
      <c r="BB189" s="1003">
        <v>-80</v>
      </c>
      <c r="BC189" s="290">
        <f>+BG189/4</f>
        <v>-22.5</v>
      </c>
      <c r="BD189" s="260">
        <f>(BG189-SUM(BC189:BC189))/3</f>
        <v>-22.5</v>
      </c>
      <c r="BE189" s="260">
        <f>(BG189-SUM(BC189:BD189))/2</f>
        <v>-22.5</v>
      </c>
      <c r="BF189" s="291">
        <f>(BG189-SUM(BC189:BE189))/1</f>
        <v>-22.5</v>
      </c>
      <c r="BG189" s="2058">
        <v>-90</v>
      </c>
      <c r="BH189" s="290">
        <f>+BL189/4</f>
        <v>-23.75</v>
      </c>
      <c r="BI189" s="260">
        <f>(BL189-SUM(BH189:BH189))/3</f>
        <v>-23.75</v>
      </c>
      <c r="BJ189" s="260">
        <f>(BL189-SUM(BH189:BI189))/2</f>
        <v>-23.75</v>
      </c>
      <c r="BK189" s="291">
        <f>(BL189-SUM(BH189:BJ189))/1</f>
        <v>-23.75</v>
      </c>
      <c r="BL189" s="2031">
        <v>-95</v>
      </c>
      <c r="BM189" s="45"/>
      <c r="BN189" s="45"/>
      <c r="BO189" s="45"/>
      <c r="BP189" s="45"/>
      <c r="BQ189" s="45"/>
      <c r="BR189" s="45"/>
      <c r="BS189" s="45"/>
      <c r="BT189" s="45"/>
      <c r="BU189" s="45"/>
      <c r="BV189" s="45"/>
      <c r="BW189" s="45"/>
      <c r="BX189" s="45"/>
      <c r="BY189" s="45"/>
      <c r="BZ189" s="45"/>
      <c r="CA189" s="45"/>
      <c r="CB189" s="1778"/>
      <c r="CC189" s="1778"/>
      <c r="CD189" s="1778"/>
      <c r="CE189" s="45">
        <f>CF189-CD189</f>
        <v>0</v>
      </c>
      <c r="CF189" s="1778"/>
      <c r="CG189" s="1778"/>
      <c r="CH189" s="1778"/>
      <c r="CI189" s="1778"/>
      <c r="CJ189" s="45">
        <f>CK189</f>
        <v>-23</v>
      </c>
      <c r="CK189" s="1778">
        <v>-23</v>
      </c>
      <c r="CL189" s="1778">
        <v>0</v>
      </c>
      <c r="CM189" s="1778">
        <v>0</v>
      </c>
      <c r="CN189" s="1778">
        <v>-50</v>
      </c>
      <c r="CO189" s="45">
        <f>CP189</f>
        <v>-60</v>
      </c>
      <c r="CP189" s="1778">
        <v>-60</v>
      </c>
      <c r="CQ189" s="1778">
        <v>0</v>
      </c>
      <c r="CR189" s="1778">
        <v>0</v>
      </c>
      <c r="CS189" s="1778">
        <v>0</v>
      </c>
      <c r="CT189" s="45">
        <f>CU189</f>
        <v>60</v>
      </c>
      <c r="CU189" s="1778">
        <v>60</v>
      </c>
      <c r="CV189" s="1778">
        <v>0</v>
      </c>
      <c r="CW189" s="1778">
        <v>-20</v>
      </c>
      <c r="CX189" s="1778">
        <v>-30</v>
      </c>
      <c r="CY189" s="45">
        <f>CZ189</f>
        <v>-30</v>
      </c>
      <c r="CZ189" s="1778">
        <v>-30</v>
      </c>
      <c r="DA189" s="1778">
        <v>-20</v>
      </c>
      <c r="DB189" s="1778">
        <f>-20+130</f>
        <v>110</v>
      </c>
      <c r="DC189" s="1778">
        <f>-20+130</f>
        <v>110</v>
      </c>
      <c r="DD189" s="45">
        <f>DE189</f>
        <v>30</v>
      </c>
      <c r="DE189" s="1778">
        <f>-100+130</f>
        <v>30</v>
      </c>
      <c r="DF189" s="1778">
        <v>-62</v>
      </c>
      <c r="DG189" s="1778">
        <f>-62+75</f>
        <v>13</v>
      </c>
      <c r="DH189" s="1778">
        <f>-80+75</f>
        <v>-5</v>
      </c>
      <c r="DI189" s="45">
        <f>DJ189</f>
        <v>-17</v>
      </c>
      <c r="DJ189" s="1778">
        <f>-92+75</f>
        <v>-17</v>
      </c>
      <c r="DK189" s="1778">
        <v>-38</v>
      </c>
      <c r="DL189" s="1778">
        <f>-38+113</f>
        <v>75</v>
      </c>
      <c r="DM189" s="1778">
        <f>-39+113</f>
        <v>74</v>
      </c>
      <c r="DN189" s="45">
        <f>DO189</f>
        <v>98</v>
      </c>
      <c r="DO189" s="1778">
        <f>-54+152</f>
        <v>98</v>
      </c>
      <c r="DP189" s="1778">
        <v>-30</v>
      </c>
      <c r="DQ189" s="1778">
        <v>-54</v>
      </c>
      <c r="DR189" s="1778">
        <v>-82</v>
      </c>
      <c r="DS189" s="45">
        <f>DT189</f>
        <v>-112</v>
      </c>
      <c r="DT189" s="1778">
        <v>-112</v>
      </c>
    </row>
    <row r="190" spans="1:124">
      <c r="A190" s="45"/>
      <c r="B190" s="45"/>
      <c r="C190" s="391" t="s">
        <v>62</v>
      </c>
      <c r="D190" s="45"/>
      <c r="E190" s="290"/>
      <c r="F190" s="260"/>
      <c r="G190" s="260"/>
      <c r="H190" s="291"/>
      <c r="I190" s="647">
        <f t="shared" si="443"/>
        <v>10</v>
      </c>
      <c r="J190" s="290">
        <f>+CL190</f>
        <v>0</v>
      </c>
      <c r="K190" s="260">
        <f t="shared" si="474"/>
        <v>0</v>
      </c>
      <c r="L190" s="260">
        <f t="shared" si="474"/>
        <v>9</v>
      </c>
      <c r="M190" s="291">
        <f>CO190-CN190</f>
        <v>-5</v>
      </c>
      <c r="N190" s="647">
        <f t="shared" si="475"/>
        <v>4</v>
      </c>
      <c r="O190" s="290">
        <f t="shared" si="475"/>
        <v>-3</v>
      </c>
      <c r="P190" s="260">
        <f t="shared" si="476"/>
        <v>0</v>
      </c>
      <c r="Q190" s="260">
        <f t="shared" si="476"/>
        <v>68</v>
      </c>
      <c r="R190" s="291">
        <f>CT190-CS190</f>
        <v>-73</v>
      </c>
      <c r="S190" s="647">
        <f t="shared" si="477"/>
        <v>-8</v>
      </c>
      <c r="T190" s="290">
        <f t="shared" si="477"/>
        <v>-6</v>
      </c>
      <c r="U190" s="260">
        <f t="shared" si="478"/>
        <v>4</v>
      </c>
      <c r="V190" s="260">
        <f t="shared" si="478"/>
        <v>3</v>
      </c>
      <c r="W190" s="291">
        <f>CY190-CX190</f>
        <v>1</v>
      </c>
      <c r="X190" s="647">
        <f t="shared" si="479"/>
        <v>2</v>
      </c>
      <c r="Y190" s="290">
        <f t="shared" si="479"/>
        <v>0</v>
      </c>
      <c r="Z190" s="260">
        <f>+DB190-DA190</f>
        <v>-1</v>
      </c>
      <c r="AA190" s="260">
        <f t="shared" si="480"/>
        <v>0</v>
      </c>
      <c r="AB190" s="291">
        <f>DD190-DC190</f>
        <v>0</v>
      </c>
      <c r="AC190" s="647">
        <f t="shared" si="481"/>
        <v>-1</v>
      </c>
      <c r="AD190" s="290">
        <f t="shared" si="482"/>
        <v>0</v>
      </c>
      <c r="AE190" s="260">
        <f>+DG190-DF190</f>
        <v>-2</v>
      </c>
      <c r="AF190" s="260">
        <f t="shared" si="483"/>
        <v>0</v>
      </c>
      <c r="AG190" s="291">
        <f>DI190-DH190</f>
        <v>0</v>
      </c>
      <c r="AH190" s="647">
        <f t="shared" si="484"/>
        <v>-2</v>
      </c>
      <c r="AI190" s="290">
        <f t="shared" si="484"/>
        <v>0</v>
      </c>
      <c r="AJ190" s="260">
        <f>+DL190-DK190</f>
        <v>0</v>
      </c>
      <c r="AK190" s="260">
        <f t="shared" si="485"/>
        <v>0</v>
      </c>
      <c r="AL190" s="291">
        <f>DN190-DM190</f>
        <v>-1</v>
      </c>
      <c r="AM190" s="647">
        <f t="shared" si="486"/>
        <v>-1</v>
      </c>
      <c r="AN190" s="290">
        <f t="shared" si="487"/>
        <v>0</v>
      </c>
      <c r="AO190" s="260">
        <f>+DQ190-DP190</f>
        <v>0</v>
      </c>
      <c r="AP190" s="260">
        <f t="shared" si="488"/>
        <v>0</v>
      </c>
      <c r="AQ190" s="291">
        <f>DS190-DR190</f>
        <v>0</v>
      </c>
      <c r="AR190" s="647">
        <f t="shared" si="489"/>
        <v>0</v>
      </c>
      <c r="AS190" s="290">
        <f>+AW190/4</f>
        <v>0</v>
      </c>
      <c r="AT190" s="260">
        <f>(AW190-SUM(AS190:AS190))/3</f>
        <v>0</v>
      </c>
      <c r="AU190" s="260">
        <f>(AW190-SUM(AS190:AT190))/2</f>
        <v>0</v>
      </c>
      <c r="AV190" s="291">
        <f>(AW190-SUM(AS190:AU190))/1</f>
        <v>0</v>
      </c>
      <c r="AW190" s="1003">
        <v>0</v>
      </c>
      <c r="AX190" s="290">
        <f>+BB190/4</f>
        <v>0</v>
      </c>
      <c r="AY190" s="260">
        <f>(BB190-SUM(AX190:AX190))/3</f>
        <v>0</v>
      </c>
      <c r="AZ190" s="260">
        <f>(BB190-SUM(AX190:AY190))/2</f>
        <v>0</v>
      </c>
      <c r="BA190" s="291">
        <f>(BB190-SUM(AX190:AZ190))/1</f>
        <v>0</v>
      </c>
      <c r="BB190" s="1003">
        <v>0</v>
      </c>
      <c r="BC190" s="290">
        <f>+BG190/4</f>
        <v>0</v>
      </c>
      <c r="BD190" s="260">
        <f>(BG190-SUM(BC190:BC190))/3</f>
        <v>0</v>
      </c>
      <c r="BE190" s="260">
        <f>(BG190-SUM(BC190:BD190))/2</f>
        <v>0</v>
      </c>
      <c r="BF190" s="291">
        <f>(BG190-SUM(BC190:BE190))/1</f>
        <v>0</v>
      </c>
      <c r="BG190" s="2058">
        <v>0</v>
      </c>
      <c r="BH190" s="290">
        <f>+BL190/4</f>
        <v>0</v>
      </c>
      <c r="BI190" s="260">
        <f>(BL190-SUM(BH190:BH190))/3</f>
        <v>0</v>
      </c>
      <c r="BJ190" s="260">
        <f>(BL190-SUM(BH190:BI190))/2</f>
        <v>0</v>
      </c>
      <c r="BK190" s="291">
        <f>(BL190-SUM(BH190:BJ190))/1</f>
        <v>0</v>
      </c>
      <c r="BL190" s="2058">
        <v>0</v>
      </c>
      <c r="BM190" s="45"/>
      <c r="BN190" s="45"/>
      <c r="BO190" s="45"/>
      <c r="BP190" s="45"/>
      <c r="BQ190" s="45"/>
      <c r="BR190" s="45"/>
      <c r="BS190" s="45"/>
      <c r="BT190" s="45"/>
      <c r="BU190" s="45"/>
      <c r="BV190" s="45"/>
      <c r="BW190" s="45"/>
      <c r="BX190" s="45"/>
      <c r="BY190" s="45"/>
      <c r="BZ190" s="45"/>
      <c r="CA190" s="45"/>
      <c r="CB190" s="339"/>
      <c r="CC190" s="339"/>
      <c r="CD190" s="339"/>
      <c r="CE190" s="45">
        <f>CF190-CD190</f>
        <v>0</v>
      </c>
      <c r="CF190" s="339"/>
      <c r="CG190" s="339"/>
      <c r="CH190" s="339"/>
      <c r="CI190" s="339"/>
      <c r="CJ190" s="45">
        <f>CK190</f>
        <v>10</v>
      </c>
      <c r="CK190" s="339">
        <f>11-1</f>
        <v>10</v>
      </c>
      <c r="CL190" s="339">
        <v>0</v>
      </c>
      <c r="CM190" s="339">
        <v>0</v>
      </c>
      <c r="CN190" s="339">
        <v>9</v>
      </c>
      <c r="CO190" s="45">
        <f>CP190</f>
        <v>4</v>
      </c>
      <c r="CP190" s="339">
        <v>4</v>
      </c>
      <c r="CQ190" s="339">
        <v>-3</v>
      </c>
      <c r="CR190" s="339">
        <v>-3</v>
      </c>
      <c r="CS190" s="339">
        <f>-3+8+60</f>
        <v>65</v>
      </c>
      <c r="CT190" s="45">
        <f>CU190</f>
        <v>-8</v>
      </c>
      <c r="CU190" s="339">
        <f>-3-5</f>
        <v>-8</v>
      </c>
      <c r="CV190" s="339">
        <v>-6</v>
      </c>
      <c r="CW190" s="339">
        <v>-2</v>
      </c>
      <c r="CX190" s="339">
        <v>1</v>
      </c>
      <c r="CY190" s="45">
        <f>CZ190</f>
        <v>2</v>
      </c>
      <c r="CZ190" s="339">
        <f>-3+5</f>
        <v>2</v>
      </c>
      <c r="DA190" s="339">
        <v>0</v>
      </c>
      <c r="DB190" s="339">
        <v>-1</v>
      </c>
      <c r="DC190" s="339">
        <f>-2+1</f>
        <v>-1</v>
      </c>
      <c r="DD190" s="45">
        <f>DE190</f>
        <v>-1</v>
      </c>
      <c r="DE190" s="339">
        <f>-2+1</f>
        <v>-1</v>
      </c>
      <c r="DF190" s="2056">
        <v>0</v>
      </c>
      <c r="DG190" s="2056">
        <v>-2</v>
      </c>
      <c r="DH190" s="2056">
        <v>-2</v>
      </c>
      <c r="DI190" s="45">
        <f>DJ190</f>
        <v>-2</v>
      </c>
      <c r="DJ190" s="2056">
        <v>-2</v>
      </c>
      <c r="DK190" s="2056">
        <v>0</v>
      </c>
      <c r="DL190" s="2056">
        <v>0</v>
      </c>
      <c r="DM190" s="2056">
        <v>0</v>
      </c>
      <c r="DN190" s="45">
        <f>DO190</f>
        <v>-1</v>
      </c>
      <c r="DO190" s="2056">
        <v>-1</v>
      </c>
      <c r="DP190" s="2056">
        <v>0</v>
      </c>
      <c r="DQ190" s="2056">
        <v>0</v>
      </c>
      <c r="DR190" s="2056">
        <v>0</v>
      </c>
      <c r="DS190" s="45">
        <f>DT190</f>
        <v>0</v>
      </c>
      <c r="DT190" s="2056">
        <v>0</v>
      </c>
    </row>
    <row r="191" spans="1:124">
      <c r="A191" s="45"/>
      <c r="B191" s="45"/>
      <c r="C191" s="389" t="s">
        <v>153</v>
      </c>
      <c r="D191" s="45"/>
      <c r="E191" s="292"/>
      <c r="F191" s="261"/>
      <c r="G191" s="261"/>
      <c r="H191" s="293"/>
      <c r="I191" s="583">
        <f t="shared" si="443"/>
        <v>65</v>
      </c>
      <c r="J191" s="292">
        <f t="shared" ref="J191:AW191" si="497">SUM(J186:J190)</f>
        <v>0</v>
      </c>
      <c r="K191" s="261">
        <f t="shared" si="497"/>
        <v>0</v>
      </c>
      <c r="L191" s="261">
        <f t="shared" si="497"/>
        <v>-41</v>
      </c>
      <c r="M191" s="293">
        <f t="shared" si="497"/>
        <v>32</v>
      </c>
      <c r="N191" s="583">
        <f t="shared" si="497"/>
        <v>-9</v>
      </c>
      <c r="O191" s="292">
        <f t="shared" si="497"/>
        <v>84</v>
      </c>
      <c r="P191" s="261">
        <f t="shared" si="497"/>
        <v>50</v>
      </c>
      <c r="Q191" s="261">
        <f t="shared" si="497"/>
        <v>37</v>
      </c>
      <c r="R191" s="293">
        <f t="shared" si="497"/>
        <v>19</v>
      </c>
      <c r="S191" s="583">
        <f t="shared" si="497"/>
        <v>190</v>
      </c>
      <c r="T191" s="292">
        <f t="shared" si="497"/>
        <v>32</v>
      </c>
      <c r="U191" s="261">
        <f t="shared" si="497"/>
        <v>23</v>
      </c>
      <c r="V191" s="261">
        <f t="shared" si="497"/>
        <v>34</v>
      </c>
      <c r="W191" s="293">
        <f t="shared" si="497"/>
        <v>48</v>
      </c>
      <c r="X191" s="583">
        <f t="shared" si="497"/>
        <v>137</v>
      </c>
      <c r="Y191" s="292">
        <f t="shared" si="497"/>
        <v>11</v>
      </c>
      <c r="Z191" s="261">
        <f t="shared" si="497"/>
        <v>155</v>
      </c>
      <c r="AA191" s="261">
        <f t="shared" ref="AA191" si="498">SUM(AA186:AA190)</f>
        <v>0</v>
      </c>
      <c r="AB191" s="293">
        <f t="shared" ref="AB191:AC191" si="499">SUM(AB186:AB190)</f>
        <v>-74</v>
      </c>
      <c r="AC191" s="583">
        <f t="shared" si="499"/>
        <v>92</v>
      </c>
      <c r="AD191" s="292">
        <f t="shared" ref="AD191:AE191" si="500">SUM(AD186:AD190)</f>
        <v>7</v>
      </c>
      <c r="AE191" s="261">
        <f t="shared" si="500"/>
        <v>28</v>
      </c>
      <c r="AF191" s="261">
        <f t="shared" ref="AF191:AJ191" si="501">SUM(AF186:AF190)</f>
        <v>18</v>
      </c>
      <c r="AG191" s="293">
        <f t="shared" si="501"/>
        <v>27</v>
      </c>
      <c r="AH191" s="583">
        <f t="shared" si="501"/>
        <v>80</v>
      </c>
      <c r="AI191" s="292">
        <f t="shared" si="501"/>
        <v>-68</v>
      </c>
      <c r="AJ191" s="261">
        <f t="shared" si="501"/>
        <v>38</v>
      </c>
      <c r="AK191" s="261">
        <f t="shared" ref="AK191:AO191" si="502">SUM(AK186:AK190)</f>
        <v>16</v>
      </c>
      <c r="AL191" s="293">
        <f t="shared" si="502"/>
        <v>81</v>
      </c>
      <c r="AM191" s="583">
        <f t="shared" si="502"/>
        <v>67</v>
      </c>
      <c r="AN191" s="292">
        <f t="shared" si="502"/>
        <v>-44</v>
      </c>
      <c r="AO191" s="261">
        <f t="shared" si="502"/>
        <v>1</v>
      </c>
      <c r="AP191" s="261">
        <f t="shared" ref="AP191:AR191" si="503">SUM(AP186:AP190)</f>
        <v>1</v>
      </c>
      <c r="AQ191" s="293">
        <f t="shared" si="503"/>
        <v>106</v>
      </c>
      <c r="AR191" s="583">
        <f t="shared" si="503"/>
        <v>64</v>
      </c>
      <c r="AS191" s="292">
        <f t="shared" si="497"/>
        <v>8.75</v>
      </c>
      <c r="AT191" s="261">
        <f t="shared" si="497"/>
        <v>8.75</v>
      </c>
      <c r="AU191" s="261">
        <f t="shared" si="497"/>
        <v>259.75</v>
      </c>
      <c r="AV191" s="293">
        <f t="shared" si="497"/>
        <v>8.75</v>
      </c>
      <c r="AW191" s="228">
        <f t="shared" si="497"/>
        <v>286</v>
      </c>
      <c r="AX191" s="292">
        <f t="shared" ref="AX191:BG191" si="504">SUM(AX186:AX190)</f>
        <v>-20</v>
      </c>
      <c r="AY191" s="261">
        <f t="shared" si="504"/>
        <v>-20</v>
      </c>
      <c r="AZ191" s="261">
        <f t="shared" si="504"/>
        <v>33</v>
      </c>
      <c r="BA191" s="293">
        <f t="shared" si="504"/>
        <v>-20</v>
      </c>
      <c r="BB191" s="228">
        <f t="shared" si="504"/>
        <v>-27</v>
      </c>
      <c r="BC191" s="292">
        <f t="shared" si="504"/>
        <v>-22.5</v>
      </c>
      <c r="BD191" s="261">
        <f t="shared" si="504"/>
        <v>-22.5</v>
      </c>
      <c r="BE191" s="261">
        <f t="shared" si="504"/>
        <v>27.5</v>
      </c>
      <c r="BF191" s="293">
        <f t="shared" si="504"/>
        <v>-22.5</v>
      </c>
      <c r="BG191" s="228">
        <f t="shared" si="504"/>
        <v>-40</v>
      </c>
      <c r="BH191" s="292">
        <f t="shared" ref="BH191:BL191" si="505">SUM(BH186:BH190)</f>
        <v>-23.75</v>
      </c>
      <c r="BI191" s="261">
        <f t="shared" si="505"/>
        <v>-23.75</v>
      </c>
      <c r="BJ191" s="261">
        <f t="shared" si="505"/>
        <v>21.25</v>
      </c>
      <c r="BK191" s="293">
        <f t="shared" si="505"/>
        <v>-23.75</v>
      </c>
      <c r="BL191" s="228">
        <f t="shared" si="505"/>
        <v>-50</v>
      </c>
      <c r="BM191" s="45"/>
      <c r="BN191" s="45"/>
      <c r="BO191" s="45"/>
      <c r="BP191" s="45"/>
      <c r="BQ191" s="45"/>
      <c r="BR191" s="45"/>
      <c r="BS191" s="45"/>
      <c r="BT191" s="45"/>
      <c r="BU191" s="45"/>
      <c r="BV191" s="45"/>
      <c r="BW191" s="45"/>
      <c r="BX191" s="45"/>
      <c r="BY191" s="45"/>
      <c r="BZ191" s="45"/>
      <c r="CA191" s="45"/>
      <c r="CB191" s="228">
        <f t="shared" ref="CB191:DB191" si="506">SUM(CB186:CB190)</f>
        <v>0</v>
      </c>
      <c r="CC191" s="228">
        <f t="shared" si="506"/>
        <v>0</v>
      </c>
      <c r="CD191" s="228">
        <f t="shared" si="506"/>
        <v>0</v>
      </c>
      <c r="CE191" s="228">
        <f t="shared" si="506"/>
        <v>0</v>
      </c>
      <c r="CF191" s="228">
        <f t="shared" si="506"/>
        <v>0</v>
      </c>
      <c r="CG191" s="228">
        <f t="shared" si="506"/>
        <v>0</v>
      </c>
      <c r="CH191" s="228">
        <f t="shared" si="506"/>
        <v>0</v>
      </c>
      <c r="CI191" s="228">
        <f t="shared" si="506"/>
        <v>0</v>
      </c>
      <c r="CJ191" s="228">
        <f t="shared" si="506"/>
        <v>65</v>
      </c>
      <c r="CK191" s="228">
        <f t="shared" si="506"/>
        <v>65</v>
      </c>
      <c r="CL191" s="228">
        <f t="shared" si="506"/>
        <v>0</v>
      </c>
      <c r="CM191" s="228">
        <f t="shared" si="506"/>
        <v>0</v>
      </c>
      <c r="CN191" s="228">
        <f t="shared" si="506"/>
        <v>-41</v>
      </c>
      <c r="CO191" s="228">
        <f t="shared" si="506"/>
        <v>-9</v>
      </c>
      <c r="CP191" s="228">
        <f t="shared" si="506"/>
        <v>-9</v>
      </c>
      <c r="CQ191" s="228">
        <f t="shared" si="506"/>
        <v>84</v>
      </c>
      <c r="CR191" s="228">
        <f t="shared" si="506"/>
        <v>134</v>
      </c>
      <c r="CS191" s="228">
        <f t="shared" si="506"/>
        <v>171</v>
      </c>
      <c r="CT191" s="228">
        <f t="shared" si="506"/>
        <v>190</v>
      </c>
      <c r="CU191" s="228">
        <f t="shared" si="506"/>
        <v>190</v>
      </c>
      <c r="CV191" s="228">
        <f t="shared" si="506"/>
        <v>32</v>
      </c>
      <c r="CW191" s="228">
        <f t="shared" si="506"/>
        <v>55</v>
      </c>
      <c r="CX191" s="228">
        <f t="shared" si="506"/>
        <v>89</v>
      </c>
      <c r="CY191" s="228">
        <f t="shared" si="506"/>
        <v>137</v>
      </c>
      <c r="CZ191" s="228">
        <f t="shared" si="506"/>
        <v>137</v>
      </c>
      <c r="DA191" s="228">
        <f t="shared" si="506"/>
        <v>11</v>
      </c>
      <c r="DB191" s="228">
        <f t="shared" si="506"/>
        <v>166</v>
      </c>
      <c r="DC191" s="228">
        <f t="shared" ref="DC191:DG191" si="507">SUM(DC186:DC190)</f>
        <v>166</v>
      </c>
      <c r="DD191" s="228">
        <f t="shared" si="507"/>
        <v>92</v>
      </c>
      <c r="DE191" s="228">
        <f t="shared" si="507"/>
        <v>92</v>
      </c>
      <c r="DF191" s="228">
        <f t="shared" si="507"/>
        <v>7</v>
      </c>
      <c r="DG191" s="228">
        <f t="shared" si="507"/>
        <v>35</v>
      </c>
      <c r="DH191" s="228">
        <f t="shared" ref="DH191:DL191" si="508">SUM(DH186:DH190)</f>
        <v>53</v>
      </c>
      <c r="DI191" s="228">
        <f t="shared" si="508"/>
        <v>80</v>
      </c>
      <c r="DJ191" s="228">
        <f t="shared" si="508"/>
        <v>80</v>
      </c>
      <c r="DK191" s="228">
        <f t="shared" si="508"/>
        <v>-68</v>
      </c>
      <c r="DL191" s="228">
        <f t="shared" si="508"/>
        <v>-30</v>
      </c>
      <c r="DM191" s="228">
        <f t="shared" ref="DM191:DR191" si="509">SUM(DM186:DM190)</f>
        <v>-14</v>
      </c>
      <c r="DN191" s="228">
        <f t="shared" si="509"/>
        <v>67</v>
      </c>
      <c r="DO191" s="228">
        <f t="shared" si="509"/>
        <v>67</v>
      </c>
      <c r="DP191" s="228">
        <f t="shared" si="509"/>
        <v>-44</v>
      </c>
      <c r="DQ191" s="228">
        <f t="shared" si="509"/>
        <v>-43</v>
      </c>
      <c r="DR191" s="228">
        <f t="shared" si="509"/>
        <v>-42</v>
      </c>
      <c r="DS191" s="228">
        <f t="shared" ref="DS191:DT191" si="510">SUM(DS186:DS190)</f>
        <v>64</v>
      </c>
      <c r="DT191" s="228">
        <f t="shared" si="510"/>
        <v>64</v>
      </c>
    </row>
    <row r="192" spans="1:124">
      <c r="A192" s="45"/>
      <c r="B192" s="45"/>
      <c r="C192" s="391"/>
      <c r="D192" s="45"/>
      <c r="E192" s="290"/>
      <c r="F192" s="260"/>
      <c r="G192" s="260"/>
      <c r="H192" s="291"/>
      <c r="I192" s="647">
        <f t="shared" si="443"/>
        <v>0</v>
      </c>
      <c r="J192" s="290"/>
      <c r="K192" s="260"/>
      <c r="L192" s="260"/>
      <c r="M192" s="291"/>
      <c r="N192" s="647"/>
      <c r="O192" s="290"/>
      <c r="P192" s="260"/>
      <c r="Q192" s="260"/>
      <c r="R192" s="291"/>
      <c r="S192" s="647"/>
      <c r="T192" s="290"/>
      <c r="U192" s="260"/>
      <c r="V192" s="260"/>
      <c r="W192" s="291"/>
      <c r="X192" s="647"/>
      <c r="Y192" s="290"/>
      <c r="Z192" s="260"/>
      <c r="AA192" s="260"/>
      <c r="AB192" s="291"/>
      <c r="AC192" s="647"/>
      <c r="AD192" s="290"/>
      <c r="AE192" s="260"/>
      <c r="AF192" s="260"/>
      <c r="AG192" s="291"/>
      <c r="AH192" s="647"/>
      <c r="AI192" s="290"/>
      <c r="AJ192" s="260"/>
      <c r="AK192" s="260"/>
      <c r="AL192" s="291"/>
      <c r="AM192" s="647"/>
      <c r="AN192" s="290"/>
      <c r="AO192" s="260"/>
      <c r="AP192" s="260"/>
      <c r="AQ192" s="291"/>
      <c r="AR192" s="647"/>
      <c r="AS192" s="290"/>
      <c r="AT192" s="260"/>
      <c r="AU192" s="260"/>
      <c r="AV192" s="291"/>
      <c r="AW192" s="45"/>
      <c r="AX192" s="290"/>
      <c r="AY192" s="260"/>
      <c r="AZ192" s="260"/>
      <c r="BA192" s="291"/>
      <c r="BB192" s="45"/>
      <c r="BC192" s="290"/>
      <c r="BD192" s="260"/>
      <c r="BE192" s="260"/>
      <c r="BF192" s="291"/>
      <c r="BG192" s="45"/>
      <c r="BH192" s="290"/>
      <c r="BI192" s="260"/>
      <c r="BJ192" s="260"/>
      <c r="BK192" s="291"/>
      <c r="BL192" s="45"/>
      <c r="BM192" s="45"/>
      <c r="BN192" s="45"/>
      <c r="BO192" s="45"/>
      <c r="BP192" s="45"/>
      <c r="BQ192" s="45"/>
      <c r="BR192" s="45"/>
      <c r="BS192" s="45"/>
      <c r="BT192" s="45"/>
      <c r="BU192" s="45"/>
      <c r="BV192" s="45"/>
      <c r="BW192" s="45"/>
      <c r="BX192" s="45"/>
      <c r="BY192" s="45"/>
      <c r="BZ192" s="45"/>
      <c r="CA192" s="45"/>
      <c r="CB192" s="228"/>
      <c r="CC192" s="228"/>
      <c r="CD192" s="228"/>
      <c r="CE192" s="228"/>
      <c r="CF192" s="228"/>
      <c r="CG192" s="228"/>
      <c r="CH192" s="228"/>
      <c r="CI192" s="228"/>
      <c r="CJ192" s="228"/>
      <c r="CK192" s="228"/>
      <c r="CL192" s="228"/>
      <c r="CM192" s="228"/>
      <c r="CN192" s="228"/>
      <c r="CO192" s="228"/>
      <c r="CP192" s="228"/>
      <c r="CQ192" s="228"/>
      <c r="CR192" s="228"/>
      <c r="CS192" s="228"/>
      <c r="CT192" s="228"/>
      <c r="CU192" s="228"/>
      <c r="CV192" s="228"/>
      <c r="CW192" s="228"/>
      <c r="CX192" s="228"/>
      <c r="CY192" s="228"/>
      <c r="CZ192" s="228"/>
      <c r="DA192" s="228"/>
      <c r="DB192" s="228"/>
      <c r="DC192" s="228"/>
      <c r="DD192" s="228"/>
      <c r="DE192" s="228"/>
      <c r="DF192" s="228"/>
      <c r="DG192" s="228"/>
      <c r="DH192" s="228"/>
      <c r="DI192" s="228"/>
      <c r="DJ192" s="228"/>
      <c r="DK192" s="228"/>
      <c r="DL192" s="228"/>
      <c r="DM192" s="228"/>
      <c r="DN192" s="228"/>
      <c r="DO192" s="228"/>
      <c r="DP192" s="228"/>
      <c r="DQ192" s="228"/>
      <c r="DR192" s="228"/>
      <c r="DS192" s="228"/>
      <c r="DT192" s="228"/>
    </row>
    <row r="193" spans="1:124" ht="12.75" customHeight="1">
      <c r="A193" s="45"/>
      <c r="B193" s="45"/>
      <c r="C193" s="389" t="s">
        <v>154</v>
      </c>
      <c r="D193" s="45"/>
      <c r="E193" s="292"/>
      <c r="F193" s="261"/>
      <c r="G193" s="261"/>
      <c r="H193" s="293"/>
      <c r="I193" s="583">
        <f t="shared" ref="I193:AW193" si="511">+I179+I184+I191</f>
        <v>43</v>
      </c>
      <c r="J193" s="292">
        <f t="shared" si="511"/>
        <v>-6</v>
      </c>
      <c r="K193" s="261">
        <f t="shared" si="511"/>
        <v>-13</v>
      </c>
      <c r="L193" s="261">
        <f t="shared" si="511"/>
        <v>-38</v>
      </c>
      <c r="M193" s="293">
        <f t="shared" si="511"/>
        <v>-7</v>
      </c>
      <c r="N193" s="583">
        <f t="shared" si="511"/>
        <v>-64</v>
      </c>
      <c r="O193" s="292">
        <f t="shared" si="511"/>
        <v>-1</v>
      </c>
      <c r="P193" s="261">
        <f t="shared" si="511"/>
        <v>21</v>
      </c>
      <c r="Q193" s="261">
        <f t="shared" si="511"/>
        <v>16</v>
      </c>
      <c r="R193" s="293">
        <f t="shared" si="511"/>
        <v>-35</v>
      </c>
      <c r="S193" s="583">
        <f t="shared" si="511"/>
        <v>1</v>
      </c>
      <c r="T193" s="292">
        <f t="shared" si="511"/>
        <v>4</v>
      </c>
      <c r="U193" s="261">
        <f t="shared" si="511"/>
        <v>-7</v>
      </c>
      <c r="V193" s="261">
        <f t="shared" si="511"/>
        <v>1</v>
      </c>
      <c r="W193" s="293">
        <f t="shared" si="511"/>
        <v>-2</v>
      </c>
      <c r="X193" s="583">
        <f t="shared" si="511"/>
        <v>-4</v>
      </c>
      <c r="Y193" s="292">
        <f t="shared" si="511"/>
        <v>7</v>
      </c>
      <c r="Z193" s="261">
        <f t="shared" si="511"/>
        <v>140</v>
      </c>
      <c r="AA193" s="261">
        <f t="shared" ref="AA193:AE193" si="512">+AA179+AA184+AA191</f>
        <v>29</v>
      </c>
      <c r="AB193" s="293">
        <f t="shared" si="512"/>
        <v>-174</v>
      </c>
      <c r="AC193" s="583">
        <f t="shared" si="512"/>
        <v>2</v>
      </c>
      <c r="AD193" s="292">
        <f t="shared" si="512"/>
        <v>3</v>
      </c>
      <c r="AE193" s="261">
        <f t="shared" si="512"/>
        <v>-1</v>
      </c>
      <c r="AF193" s="261">
        <f t="shared" ref="AF193:AJ193" si="513">+AF179+AF184+AF191</f>
        <v>-1</v>
      </c>
      <c r="AG193" s="293">
        <f t="shared" si="513"/>
        <v>0</v>
      </c>
      <c r="AH193" s="583">
        <f t="shared" si="513"/>
        <v>1</v>
      </c>
      <c r="AI193" s="292">
        <f t="shared" si="513"/>
        <v>-2</v>
      </c>
      <c r="AJ193" s="261">
        <f t="shared" si="513"/>
        <v>12</v>
      </c>
      <c r="AK193" s="261">
        <f t="shared" ref="AK193:AO193" si="514">+AK179+AK184+AK191</f>
        <v>-11</v>
      </c>
      <c r="AL193" s="293">
        <f t="shared" si="514"/>
        <v>42</v>
      </c>
      <c r="AM193" s="583">
        <f t="shared" si="514"/>
        <v>41</v>
      </c>
      <c r="AN193" s="292">
        <f t="shared" si="514"/>
        <v>-2</v>
      </c>
      <c r="AO193" s="261">
        <f t="shared" si="514"/>
        <v>-38</v>
      </c>
      <c r="AP193" s="261">
        <f t="shared" ref="AP193:AR193" si="515">+AP179+AP184+AP191</f>
        <v>-3</v>
      </c>
      <c r="AQ193" s="293">
        <f t="shared" si="515"/>
        <v>-1</v>
      </c>
      <c r="AR193" s="583">
        <f t="shared" si="515"/>
        <v>-44</v>
      </c>
      <c r="AS193" s="292">
        <f t="shared" ca="1" si="511"/>
        <v>6.1299548495243954</v>
      </c>
      <c r="AT193" s="261">
        <f t="shared" ca="1" si="511"/>
        <v>-20.71118673620083</v>
      </c>
      <c r="AU193" s="261">
        <f t="shared" ca="1" si="511"/>
        <v>247.96527562388815</v>
      </c>
      <c r="AV193" s="293">
        <f t="shared" ca="1" si="511"/>
        <v>-13.13651365651539</v>
      </c>
      <c r="AW193" s="228">
        <f t="shared" ca="1" si="511"/>
        <v>220.24753008069632</v>
      </c>
      <c r="AX193" s="292">
        <f t="shared" ref="AX193:BG193" ca="1" si="516">+AX179+AX184+AX191</f>
        <v>0.64244875139648627</v>
      </c>
      <c r="AY193" s="261">
        <f t="shared" ca="1" si="516"/>
        <v>-27.837977581058851</v>
      </c>
      <c r="AZ193" s="261">
        <f t="shared" ca="1" si="516"/>
        <v>43.620239677477855</v>
      </c>
      <c r="BA193" s="293">
        <f t="shared" ca="1" si="516"/>
        <v>-19.182040771988355</v>
      </c>
      <c r="BB193" s="228">
        <f t="shared" ca="1" si="516"/>
        <v>-2.7573299241728364</v>
      </c>
      <c r="BC193" s="292">
        <f t="shared" ca="1" si="516"/>
        <v>2.837399530221461</v>
      </c>
      <c r="BD193" s="261">
        <f t="shared" ca="1" si="516"/>
        <v>-25.596603525286937</v>
      </c>
      <c r="BE193" s="261">
        <f t="shared" ca="1" si="516"/>
        <v>41.710353870049119</v>
      </c>
      <c r="BF193" s="293">
        <f t="shared" ca="1" si="516"/>
        <v>-17.65912577060061</v>
      </c>
      <c r="BG193" s="228">
        <f t="shared" ca="1" si="516"/>
        <v>1.2920241043830742</v>
      </c>
      <c r="BH193" s="292">
        <f t="shared" ref="BH193:BL193" ca="1" si="517">+BH179+BH184+BH191</f>
        <v>4.1672404288525797</v>
      </c>
      <c r="BI193" s="261">
        <f t="shared" ca="1" si="517"/>
        <v>-24.12999537071488</v>
      </c>
      <c r="BJ193" s="261">
        <f t="shared" ca="1" si="517"/>
        <v>38.090425290399267</v>
      </c>
      <c r="BK193" s="293">
        <f t="shared" ca="1" si="517"/>
        <v>-15.906593110337795</v>
      </c>
      <c r="BL193" s="228">
        <f t="shared" ca="1" si="517"/>
        <v>2.2210772381991433</v>
      </c>
      <c r="BM193" s="45"/>
      <c r="BN193" s="45"/>
      <c r="BO193" s="45"/>
      <c r="BP193" s="45"/>
      <c r="BQ193" s="45"/>
      <c r="BR193" s="45"/>
      <c r="BS193" s="45"/>
      <c r="BT193" s="45"/>
      <c r="BU193" s="45"/>
      <c r="BV193" s="45"/>
      <c r="BW193" s="45"/>
      <c r="BX193" s="45"/>
      <c r="BY193" s="45"/>
      <c r="BZ193" s="45"/>
      <c r="CA193" s="45"/>
      <c r="CB193" s="228">
        <f t="shared" ref="CB193:DB193" si="518">CB179+CB184+CB191</f>
        <v>0</v>
      </c>
      <c r="CC193" s="228">
        <f t="shared" si="518"/>
        <v>0</v>
      </c>
      <c r="CD193" s="228">
        <f t="shared" si="518"/>
        <v>0</v>
      </c>
      <c r="CE193" s="228">
        <f t="shared" si="518"/>
        <v>0</v>
      </c>
      <c r="CF193" s="228">
        <f t="shared" si="518"/>
        <v>0</v>
      </c>
      <c r="CG193" s="228">
        <f t="shared" si="518"/>
        <v>0</v>
      </c>
      <c r="CH193" s="228">
        <f t="shared" si="518"/>
        <v>0</v>
      </c>
      <c r="CI193" s="228">
        <f t="shared" si="518"/>
        <v>0</v>
      </c>
      <c r="CJ193" s="228">
        <f t="shared" si="518"/>
        <v>43</v>
      </c>
      <c r="CK193" s="228">
        <f t="shared" si="518"/>
        <v>43</v>
      </c>
      <c r="CL193" s="228">
        <f t="shared" si="518"/>
        <v>-6</v>
      </c>
      <c r="CM193" s="228">
        <f t="shared" si="518"/>
        <v>-19</v>
      </c>
      <c r="CN193" s="228">
        <f t="shared" si="518"/>
        <v>-57</v>
      </c>
      <c r="CO193" s="228">
        <f t="shared" si="518"/>
        <v>-64</v>
      </c>
      <c r="CP193" s="228">
        <f t="shared" si="518"/>
        <v>-64</v>
      </c>
      <c r="CQ193" s="228">
        <f t="shared" si="518"/>
        <v>-1</v>
      </c>
      <c r="CR193" s="228">
        <f t="shared" si="518"/>
        <v>20</v>
      </c>
      <c r="CS193" s="228">
        <f t="shared" si="518"/>
        <v>36</v>
      </c>
      <c r="CT193" s="228">
        <f t="shared" si="518"/>
        <v>1</v>
      </c>
      <c r="CU193" s="228">
        <f t="shared" si="518"/>
        <v>1</v>
      </c>
      <c r="CV193" s="228">
        <f t="shared" si="518"/>
        <v>4</v>
      </c>
      <c r="CW193" s="228">
        <f t="shared" si="518"/>
        <v>-3</v>
      </c>
      <c r="CX193" s="228">
        <f t="shared" si="518"/>
        <v>-2</v>
      </c>
      <c r="CY193" s="228">
        <f t="shared" si="518"/>
        <v>-4</v>
      </c>
      <c r="CZ193" s="228">
        <f t="shared" si="518"/>
        <v>-4</v>
      </c>
      <c r="DA193" s="228">
        <f t="shared" si="518"/>
        <v>7</v>
      </c>
      <c r="DB193" s="228">
        <f t="shared" si="518"/>
        <v>147</v>
      </c>
      <c r="DC193" s="228">
        <f t="shared" ref="DC193:DG193" si="519">DC179+DC184+DC191</f>
        <v>176</v>
      </c>
      <c r="DD193" s="228">
        <f t="shared" si="519"/>
        <v>2</v>
      </c>
      <c r="DE193" s="228">
        <f t="shared" si="519"/>
        <v>2</v>
      </c>
      <c r="DF193" s="228">
        <f t="shared" si="519"/>
        <v>3</v>
      </c>
      <c r="DG193" s="228">
        <f t="shared" si="519"/>
        <v>2</v>
      </c>
      <c r="DH193" s="228">
        <f t="shared" ref="DH193:DL193" si="520">DH179+DH184+DH191</f>
        <v>1</v>
      </c>
      <c r="DI193" s="228">
        <f t="shared" si="520"/>
        <v>1</v>
      </c>
      <c r="DJ193" s="228">
        <f t="shared" si="520"/>
        <v>1</v>
      </c>
      <c r="DK193" s="228">
        <f t="shared" si="520"/>
        <v>-2</v>
      </c>
      <c r="DL193" s="228">
        <f t="shared" si="520"/>
        <v>10</v>
      </c>
      <c r="DM193" s="228">
        <f t="shared" ref="DM193:DQ193" si="521">DM179+DM184+DM191</f>
        <v>-1</v>
      </c>
      <c r="DN193" s="228">
        <f t="shared" si="521"/>
        <v>41</v>
      </c>
      <c r="DO193" s="228">
        <f t="shared" si="521"/>
        <v>41</v>
      </c>
      <c r="DP193" s="228">
        <f t="shared" si="521"/>
        <v>-2</v>
      </c>
      <c r="DQ193" s="228">
        <f t="shared" si="521"/>
        <v>-40</v>
      </c>
      <c r="DR193" s="228">
        <f t="shared" ref="DR193:DT193" si="522">DR179+DR184+DR191</f>
        <v>-43</v>
      </c>
      <c r="DS193" s="228">
        <f t="shared" si="522"/>
        <v>-44</v>
      </c>
      <c r="DT193" s="228">
        <f t="shared" si="522"/>
        <v>-44</v>
      </c>
    </row>
    <row r="194" spans="1:124" ht="12.75" customHeight="1">
      <c r="A194" s="45"/>
      <c r="B194" s="45"/>
      <c r="C194" s="391" t="s">
        <v>155</v>
      </c>
      <c r="D194" s="45"/>
      <c r="E194" s="290"/>
      <c r="F194" s="260"/>
      <c r="G194" s="260"/>
      <c r="H194" s="291"/>
      <c r="I194" s="339">
        <v>26</v>
      </c>
      <c r="J194" s="290">
        <f>+I196</f>
        <v>69</v>
      </c>
      <c r="K194" s="260">
        <f>+J196</f>
        <v>63</v>
      </c>
      <c r="L194" s="260">
        <f>+K196</f>
        <v>50</v>
      </c>
      <c r="M194" s="291">
        <f>L196</f>
        <v>12</v>
      </c>
      <c r="N194" s="647">
        <f>+CP194</f>
        <v>69</v>
      </c>
      <c r="O194" s="290">
        <f>+N196</f>
        <v>5</v>
      </c>
      <c r="P194" s="260">
        <f>+O196</f>
        <v>4</v>
      </c>
      <c r="Q194" s="260">
        <f>+P196</f>
        <v>25</v>
      </c>
      <c r="R194" s="291">
        <f>+Q196</f>
        <v>41</v>
      </c>
      <c r="S194" s="647">
        <f>+O194</f>
        <v>5</v>
      </c>
      <c r="T194" s="290">
        <f>+S196</f>
        <v>6</v>
      </c>
      <c r="U194" s="260">
        <f>+T196</f>
        <v>10</v>
      </c>
      <c r="V194" s="260">
        <f>+U196</f>
        <v>3</v>
      </c>
      <c r="W194" s="291">
        <f>+V196</f>
        <v>4</v>
      </c>
      <c r="X194" s="647">
        <f>+T194</f>
        <v>6</v>
      </c>
      <c r="Y194" s="290">
        <f>+X196</f>
        <v>2</v>
      </c>
      <c r="Z194" s="260">
        <f>+Y196</f>
        <v>9</v>
      </c>
      <c r="AA194" s="260">
        <f>+Z196</f>
        <v>149</v>
      </c>
      <c r="AB194" s="291">
        <f>+AA196</f>
        <v>178</v>
      </c>
      <c r="AC194" s="647">
        <f>+Y194</f>
        <v>2</v>
      </c>
      <c r="AD194" s="290">
        <f>+AC196</f>
        <v>4</v>
      </c>
      <c r="AE194" s="260">
        <f>+AD196</f>
        <v>7</v>
      </c>
      <c r="AF194" s="260">
        <f>+AE196</f>
        <v>6</v>
      </c>
      <c r="AG194" s="291">
        <f>+AF196</f>
        <v>5</v>
      </c>
      <c r="AH194" s="647">
        <f>+AD194</f>
        <v>4</v>
      </c>
      <c r="AI194" s="290">
        <f>+AH196</f>
        <v>5</v>
      </c>
      <c r="AJ194" s="260">
        <f>+AI196</f>
        <v>3</v>
      </c>
      <c r="AK194" s="260">
        <f>+AJ196</f>
        <v>15</v>
      </c>
      <c r="AL194" s="291">
        <f>+AK196</f>
        <v>4</v>
      </c>
      <c r="AM194" s="647">
        <f>+AI194</f>
        <v>5</v>
      </c>
      <c r="AN194" s="290">
        <f>+AM196</f>
        <v>46</v>
      </c>
      <c r="AO194" s="260">
        <f>+AN196</f>
        <v>44</v>
      </c>
      <c r="AP194" s="260">
        <f>+AO196</f>
        <v>6</v>
      </c>
      <c r="AQ194" s="291">
        <f>+AP196</f>
        <v>3</v>
      </c>
      <c r="AR194" s="647">
        <f>+AN194</f>
        <v>46</v>
      </c>
      <c r="AS194" s="290">
        <f>+AR196</f>
        <v>2</v>
      </c>
      <c r="AT194" s="260">
        <f ca="1">+AS196</f>
        <v>0</v>
      </c>
      <c r="AU194" s="260">
        <f ca="1">+AT196</f>
        <v>0</v>
      </c>
      <c r="AV194" s="291">
        <f ca="1">+AU196</f>
        <v>19.384043737211698</v>
      </c>
      <c r="AW194" s="45">
        <f>+AR196</f>
        <v>2</v>
      </c>
      <c r="AX194" s="290">
        <f ca="1">+AW196</f>
        <v>6.2475300806963219</v>
      </c>
      <c r="AY194" s="260">
        <f ca="1">+AX196</f>
        <v>6.8899788320928081</v>
      </c>
      <c r="AZ194" s="260">
        <f ca="1">+AY196</f>
        <v>0</v>
      </c>
      <c r="BA194" s="291">
        <f ca="1">+AZ196</f>
        <v>22.672240928511812</v>
      </c>
      <c r="BB194" s="45">
        <f ca="1">+AW196</f>
        <v>6.2475300806963219</v>
      </c>
      <c r="BC194" s="290">
        <f ca="1">+BB196</f>
        <v>3.4902001565234855</v>
      </c>
      <c r="BD194" s="260">
        <f ca="1">+BC196</f>
        <v>6.3275996867449464</v>
      </c>
      <c r="BE194" s="260">
        <f ca="1">+BD196</f>
        <v>0</v>
      </c>
      <c r="BF194" s="291">
        <f ca="1">+BE196</f>
        <v>22.441350031507127</v>
      </c>
      <c r="BG194" s="45">
        <f ca="1">+BB196</f>
        <v>3.4902001565234855</v>
      </c>
      <c r="BH194" s="290">
        <f ca="1">+BG196</f>
        <v>4.7822242609065597</v>
      </c>
      <c r="BI194" s="260">
        <f ca="1">+BH196</f>
        <v>8.9494646897591394</v>
      </c>
      <c r="BJ194" s="260">
        <f ca="1">+BI196</f>
        <v>0</v>
      </c>
      <c r="BK194" s="291">
        <f ca="1">+BJ196</f>
        <v>22.909894609443526</v>
      </c>
      <c r="BL194" s="45">
        <f ca="1">+BG196</f>
        <v>4.7822242609065597</v>
      </c>
      <c r="BM194" s="45"/>
      <c r="BN194" s="45"/>
      <c r="BO194" s="45"/>
      <c r="BP194" s="45"/>
      <c r="BQ194" s="45"/>
      <c r="BR194" s="45"/>
      <c r="BS194" s="45"/>
      <c r="BT194" s="45"/>
      <c r="BU194" s="45"/>
      <c r="BV194" s="45"/>
      <c r="BW194" s="45"/>
      <c r="BX194" s="45"/>
      <c r="BY194" s="45"/>
      <c r="BZ194" s="45"/>
      <c r="CA194" s="45"/>
      <c r="CB194" s="339"/>
      <c r="CC194" s="45">
        <f>CB194</f>
        <v>0</v>
      </c>
      <c r="CD194" s="45">
        <f>CC194</f>
        <v>0</v>
      </c>
      <c r="CE194" s="826">
        <f>CD194</f>
        <v>0</v>
      </c>
      <c r="CF194" s="826">
        <f>CE194</f>
        <v>0</v>
      </c>
      <c r="CG194" s="45">
        <f>CF196</f>
        <v>0</v>
      </c>
      <c r="CH194" s="45">
        <f>CG194</f>
        <v>0</v>
      </c>
      <c r="CI194" s="45">
        <f>CG194</f>
        <v>0</v>
      </c>
      <c r="CJ194" s="45">
        <f>CK194</f>
        <v>26</v>
      </c>
      <c r="CK194" s="339">
        <v>26</v>
      </c>
      <c r="CL194" s="45">
        <f>CK196</f>
        <v>69</v>
      </c>
      <c r="CM194" s="45">
        <f>CL194</f>
        <v>69</v>
      </c>
      <c r="CN194" s="45">
        <f>CM194</f>
        <v>69</v>
      </c>
      <c r="CO194" s="45">
        <f>CM194</f>
        <v>69</v>
      </c>
      <c r="CP194" s="45">
        <f>CL194</f>
        <v>69</v>
      </c>
      <c r="CQ194" s="45">
        <f>CP196</f>
        <v>5</v>
      </c>
      <c r="CR194" s="45">
        <f>CQ194</f>
        <v>5</v>
      </c>
      <c r="CS194" s="45">
        <f>CR194</f>
        <v>5</v>
      </c>
      <c r="CT194" s="45">
        <f>CR194</f>
        <v>5</v>
      </c>
      <c r="CU194" s="45">
        <f>+CP196</f>
        <v>5</v>
      </c>
      <c r="CV194" s="45">
        <f>CU196</f>
        <v>6</v>
      </c>
      <c r="CW194" s="45">
        <f>CV194</f>
        <v>6</v>
      </c>
      <c r="CX194" s="45">
        <f>CW194</f>
        <v>6</v>
      </c>
      <c r="CY194" s="45">
        <f>CW194</f>
        <v>6</v>
      </c>
      <c r="CZ194" s="45">
        <f>+CU196</f>
        <v>6</v>
      </c>
      <c r="DA194" s="45">
        <f>CZ196</f>
        <v>2</v>
      </c>
      <c r="DB194" s="45">
        <f>DA194</f>
        <v>2</v>
      </c>
      <c r="DC194" s="45">
        <f>DB194</f>
        <v>2</v>
      </c>
      <c r="DD194" s="45">
        <f>DB194</f>
        <v>2</v>
      </c>
      <c r="DE194" s="45">
        <f>+CZ196</f>
        <v>2</v>
      </c>
      <c r="DF194" s="45">
        <f>DE196</f>
        <v>4</v>
      </c>
      <c r="DG194" s="45">
        <f>DF194</f>
        <v>4</v>
      </c>
      <c r="DH194" s="45">
        <f>DG194</f>
        <v>4</v>
      </c>
      <c r="DI194" s="45">
        <f>DG194</f>
        <v>4</v>
      </c>
      <c r="DJ194" s="45">
        <f>+DE196</f>
        <v>4</v>
      </c>
      <c r="DK194" s="45">
        <f>DJ196</f>
        <v>5</v>
      </c>
      <c r="DL194" s="45">
        <f>DK194</f>
        <v>5</v>
      </c>
      <c r="DM194" s="45">
        <f>DL194</f>
        <v>5</v>
      </c>
      <c r="DN194" s="45">
        <f>DL194</f>
        <v>5</v>
      </c>
      <c r="DO194" s="45">
        <f>+DJ196</f>
        <v>5</v>
      </c>
      <c r="DP194" s="45">
        <f>DO196</f>
        <v>46</v>
      </c>
      <c r="DQ194" s="45">
        <f>DP194</f>
        <v>46</v>
      </c>
      <c r="DR194" s="45">
        <f t="shared" ref="DR194" si="523">DQ194</f>
        <v>46</v>
      </c>
      <c r="DS194" s="45">
        <f>DQ194</f>
        <v>46</v>
      </c>
      <c r="DT194" s="45">
        <f>+DO196</f>
        <v>46</v>
      </c>
    </row>
    <row r="195" spans="1:124">
      <c r="A195" s="45"/>
      <c r="B195" s="45"/>
      <c r="C195" s="391" t="s">
        <v>151</v>
      </c>
      <c r="D195" s="45"/>
      <c r="E195" s="337"/>
      <c r="F195" s="338"/>
      <c r="G195" s="338"/>
      <c r="H195" s="1684"/>
      <c r="I195" s="647"/>
      <c r="J195" s="337"/>
      <c r="K195" s="338"/>
      <c r="L195" s="338"/>
      <c r="M195" s="1684"/>
      <c r="N195" s="647"/>
      <c r="O195" s="337"/>
      <c r="P195" s="338"/>
      <c r="Q195" s="338"/>
      <c r="R195" s="1684"/>
      <c r="S195" s="647"/>
      <c r="T195" s="337"/>
      <c r="U195" s="338"/>
      <c r="V195" s="338"/>
      <c r="W195" s="1684"/>
      <c r="X195" s="647"/>
      <c r="Y195" s="337"/>
      <c r="Z195" s="338"/>
      <c r="AA195" s="338"/>
      <c r="AB195" s="1684"/>
      <c r="AC195" s="647"/>
      <c r="AD195" s="337"/>
      <c r="AE195" s="338"/>
      <c r="AF195" s="338"/>
      <c r="AG195" s="1684"/>
      <c r="AH195" s="647"/>
      <c r="AI195" s="337"/>
      <c r="AJ195" s="338"/>
      <c r="AK195" s="338"/>
      <c r="AL195" s="1684"/>
      <c r="AM195" s="647"/>
      <c r="AN195" s="337"/>
      <c r="AO195" s="338"/>
      <c r="AP195" s="338"/>
      <c r="AQ195" s="1684"/>
      <c r="AR195" s="647"/>
      <c r="AS195" s="290">
        <f ca="1">IF((AS193+AS194)&gt;=AR243,-AR243,-(AS193+AS194))</f>
        <v>-8.1299548495243954</v>
      </c>
      <c r="AT195" s="260">
        <f ca="1">IF((AT193+AT194)&gt;=AS243,-AS243,-(AT193+AT194))</f>
        <v>20.71118673620083</v>
      </c>
      <c r="AU195" s="260">
        <f ca="1">IF((AU193+AU194)&gt;=AT243,-AT243,-(AU193+AU194))</f>
        <v>-228.58123188667645</v>
      </c>
      <c r="AV195" s="291">
        <f ca="1">IF((AV193+AV194)&gt;=AU243,-AU243,-(AV193+AV194))</f>
        <v>0</v>
      </c>
      <c r="AW195" s="45">
        <f ca="1">SUM(AS195:AV195)</f>
        <v>-216</v>
      </c>
      <c r="AX195" s="290">
        <f ca="1">IF((AX193+AX194)&gt;=AW243,-AW243,-(AX193+AX194))</f>
        <v>0</v>
      </c>
      <c r="AY195" s="260">
        <f ca="1">IF((AY193+AY194)&gt;=AX243,-AX243,-(AY193+AY194))</f>
        <v>20.947998748966043</v>
      </c>
      <c r="AZ195" s="260">
        <f ca="1">IF((AZ193+AZ194)&gt;=AY243,-AY243,-(AZ193+AZ194))</f>
        <v>-20.947998748966043</v>
      </c>
      <c r="BA195" s="291">
        <f ca="1">IF((BA193+BA194)&gt;=AZ243,-AZ243,-(BA193+BA194))</f>
        <v>0</v>
      </c>
      <c r="BB195" s="45">
        <f ca="1">SUM(AX195:BA195)</f>
        <v>0</v>
      </c>
      <c r="BC195" s="290">
        <f ca="1">IF((BC193+BC194)&gt;=BB243,-BB243,-(BC193+BC194))</f>
        <v>0</v>
      </c>
      <c r="BD195" s="260">
        <f ca="1">IF((BD193+BD194)&gt;=BC243,-BC243,-(BD193+BD194))</f>
        <v>19.269003838541991</v>
      </c>
      <c r="BE195" s="260">
        <f ca="1">IF((BE193+BE194)&gt;=BD243,-BD243,-(BE193+BE194))</f>
        <v>-19.269003838541991</v>
      </c>
      <c r="BF195" s="291">
        <f ca="1">IF((BF193+BF194)&gt;=BE243,-BE243,-(BF193+BF194))</f>
        <v>0</v>
      </c>
      <c r="BG195" s="45">
        <f ca="1">SUM(BC195:BF195)</f>
        <v>0</v>
      </c>
      <c r="BH195" s="290">
        <f ca="1">IF((BH193+BH194)&gt;=BG243,-BG243,-(BH193+BH194))</f>
        <v>0</v>
      </c>
      <c r="BI195" s="260">
        <f ca="1">IF((BI193+BI194)&gt;=BH243,-BH243,-(BI193+BI194))</f>
        <v>15.180530680955741</v>
      </c>
      <c r="BJ195" s="260">
        <f ca="1">IF((BJ193+BJ194)&gt;=BI243,-BI243,-(BJ193+BJ194))</f>
        <v>-15.180530680955741</v>
      </c>
      <c r="BK195" s="291">
        <f ca="1">IF((BK193+BK194)&gt;=BJ243,-BJ243,-(BK193+BK194))</f>
        <v>0</v>
      </c>
      <c r="BL195" s="45">
        <f ca="1">SUM(BH195:BK195)</f>
        <v>0</v>
      </c>
      <c r="BM195" s="45"/>
      <c r="BN195" s="45"/>
      <c r="BO195" s="45"/>
      <c r="BP195" s="45"/>
      <c r="BQ195" s="45"/>
      <c r="BR195" s="45"/>
      <c r="BS195" s="45"/>
      <c r="BT195" s="45"/>
      <c r="BU195" s="45"/>
      <c r="BV195" s="45"/>
      <c r="BW195" s="45"/>
      <c r="BX195" s="45"/>
      <c r="BY195" s="45"/>
      <c r="BZ195" s="45"/>
      <c r="CA195" s="45"/>
      <c r="CB195" s="45"/>
      <c r="CC195" s="45"/>
      <c r="CD195" s="45"/>
      <c r="CE195" s="45"/>
      <c r="CF195" s="45"/>
      <c r="CG195" s="45"/>
      <c r="CH195" s="45"/>
      <c r="CI195" s="45"/>
      <c r="CJ195" s="45"/>
      <c r="CK195" s="45"/>
      <c r="CL195" s="45"/>
      <c r="CM195" s="45"/>
      <c r="CN195" s="45"/>
      <c r="CO195" s="45"/>
      <c r="CP195" s="45"/>
      <c r="CQ195" s="45"/>
      <c r="CR195" s="45"/>
      <c r="CS195" s="45"/>
      <c r="CT195" s="45"/>
      <c r="CU195" s="45"/>
      <c r="CV195" s="45"/>
      <c r="CW195" s="45"/>
      <c r="CX195" s="45"/>
      <c r="CY195" s="45"/>
      <c r="CZ195" s="45"/>
      <c r="DA195" s="45"/>
      <c r="DB195" s="45"/>
      <c r="DC195" s="45"/>
      <c r="DD195" s="45"/>
      <c r="DE195" s="45"/>
      <c r="DF195" s="45"/>
      <c r="DG195" s="45"/>
      <c r="DH195" s="45"/>
      <c r="DI195" s="45"/>
      <c r="DJ195" s="45"/>
      <c r="DK195" s="45"/>
      <c r="DL195" s="45"/>
      <c r="DM195" s="45"/>
      <c r="DN195" s="45"/>
      <c r="DO195" s="45"/>
      <c r="DP195" s="45"/>
      <c r="DQ195" s="45"/>
      <c r="DR195" s="45"/>
      <c r="DS195" s="45"/>
      <c r="DT195" s="45"/>
    </row>
    <row r="196" spans="1:124">
      <c r="A196" s="45"/>
      <c r="B196" s="45"/>
      <c r="C196" s="389" t="s">
        <v>221</v>
      </c>
      <c r="D196" s="45"/>
      <c r="E196" s="292"/>
      <c r="F196" s="261"/>
      <c r="G196" s="261"/>
      <c r="H196" s="293"/>
      <c r="I196" s="583">
        <f t="shared" ref="I196:AW196" si="524">I195+I194+I193</f>
        <v>69</v>
      </c>
      <c r="J196" s="292">
        <f t="shared" si="524"/>
        <v>63</v>
      </c>
      <c r="K196" s="261">
        <f t="shared" si="524"/>
        <v>50</v>
      </c>
      <c r="L196" s="261">
        <f t="shared" si="524"/>
        <v>12</v>
      </c>
      <c r="M196" s="293">
        <f t="shared" si="524"/>
        <v>5</v>
      </c>
      <c r="N196" s="583">
        <f t="shared" si="524"/>
        <v>5</v>
      </c>
      <c r="O196" s="292">
        <f t="shared" si="524"/>
        <v>4</v>
      </c>
      <c r="P196" s="261">
        <f t="shared" si="524"/>
        <v>25</v>
      </c>
      <c r="Q196" s="261">
        <f t="shared" si="524"/>
        <v>41</v>
      </c>
      <c r="R196" s="293">
        <f t="shared" si="524"/>
        <v>6</v>
      </c>
      <c r="S196" s="583">
        <f t="shared" si="524"/>
        <v>6</v>
      </c>
      <c r="T196" s="292">
        <f t="shared" si="524"/>
        <v>10</v>
      </c>
      <c r="U196" s="261">
        <f t="shared" si="524"/>
        <v>3</v>
      </c>
      <c r="V196" s="261">
        <f t="shared" si="524"/>
        <v>4</v>
      </c>
      <c r="W196" s="293">
        <f t="shared" si="524"/>
        <v>2</v>
      </c>
      <c r="X196" s="583">
        <f t="shared" si="524"/>
        <v>2</v>
      </c>
      <c r="Y196" s="292">
        <f t="shared" si="524"/>
        <v>9</v>
      </c>
      <c r="Z196" s="261">
        <f t="shared" si="524"/>
        <v>149</v>
      </c>
      <c r="AA196" s="261">
        <f t="shared" ref="AA196:AE196" si="525">AA195+AA194+AA193</f>
        <v>178</v>
      </c>
      <c r="AB196" s="293">
        <f t="shared" si="525"/>
        <v>4</v>
      </c>
      <c r="AC196" s="583">
        <f t="shared" si="525"/>
        <v>4</v>
      </c>
      <c r="AD196" s="292">
        <f t="shared" si="525"/>
        <v>7</v>
      </c>
      <c r="AE196" s="261">
        <f t="shared" si="525"/>
        <v>6</v>
      </c>
      <c r="AF196" s="261">
        <f t="shared" ref="AF196:AJ196" si="526">AF195+AF194+AF193</f>
        <v>5</v>
      </c>
      <c r="AG196" s="293">
        <f t="shared" si="526"/>
        <v>5</v>
      </c>
      <c r="AH196" s="583">
        <f t="shared" si="526"/>
        <v>5</v>
      </c>
      <c r="AI196" s="292">
        <f t="shared" si="526"/>
        <v>3</v>
      </c>
      <c r="AJ196" s="261">
        <f t="shared" si="526"/>
        <v>15</v>
      </c>
      <c r="AK196" s="261">
        <f t="shared" ref="AK196:AO196" si="527">AK195+AK194+AK193</f>
        <v>4</v>
      </c>
      <c r="AL196" s="293">
        <f t="shared" si="527"/>
        <v>46</v>
      </c>
      <c r="AM196" s="583">
        <f t="shared" si="527"/>
        <v>46</v>
      </c>
      <c r="AN196" s="292">
        <f t="shared" si="527"/>
        <v>44</v>
      </c>
      <c r="AO196" s="261">
        <f t="shared" si="527"/>
        <v>6</v>
      </c>
      <c r="AP196" s="261">
        <f t="shared" ref="AP196:AR196" si="528">AP195+AP194+AP193</f>
        <v>3</v>
      </c>
      <c r="AQ196" s="293">
        <f t="shared" si="528"/>
        <v>2</v>
      </c>
      <c r="AR196" s="583">
        <f t="shared" si="528"/>
        <v>2</v>
      </c>
      <c r="AS196" s="292">
        <f t="shared" ca="1" si="524"/>
        <v>0</v>
      </c>
      <c r="AT196" s="261">
        <f t="shared" ca="1" si="524"/>
        <v>0</v>
      </c>
      <c r="AU196" s="261">
        <f t="shared" ca="1" si="524"/>
        <v>19.384043737211698</v>
      </c>
      <c r="AV196" s="293">
        <f t="shared" ca="1" si="524"/>
        <v>6.2475300806963077</v>
      </c>
      <c r="AW196" s="228">
        <f t="shared" ca="1" si="524"/>
        <v>6.2475300806963219</v>
      </c>
      <c r="AX196" s="292">
        <f t="shared" ref="AX196:BG196" ca="1" si="529">AX195+AX194+AX193</f>
        <v>6.8899788320928081</v>
      </c>
      <c r="AY196" s="261">
        <f t="shared" ca="1" si="529"/>
        <v>0</v>
      </c>
      <c r="AZ196" s="261">
        <f t="shared" ca="1" si="529"/>
        <v>22.672240928511812</v>
      </c>
      <c r="BA196" s="293">
        <f t="shared" ca="1" si="529"/>
        <v>3.4902001565234571</v>
      </c>
      <c r="BB196" s="228">
        <f t="shared" ca="1" si="529"/>
        <v>3.4902001565234855</v>
      </c>
      <c r="BC196" s="292">
        <f t="shared" ca="1" si="529"/>
        <v>6.3275996867449464</v>
      </c>
      <c r="BD196" s="261">
        <f t="shared" ca="1" si="529"/>
        <v>0</v>
      </c>
      <c r="BE196" s="261">
        <f t="shared" ca="1" si="529"/>
        <v>22.441350031507127</v>
      </c>
      <c r="BF196" s="293">
        <f t="shared" ca="1" si="529"/>
        <v>4.7822242609065171</v>
      </c>
      <c r="BG196" s="228">
        <f t="shared" ca="1" si="529"/>
        <v>4.7822242609065597</v>
      </c>
      <c r="BH196" s="292">
        <f t="shared" ref="BH196:BL196" ca="1" si="530">BH195+BH194+BH193</f>
        <v>8.9494646897591394</v>
      </c>
      <c r="BI196" s="261">
        <f t="shared" ca="1" si="530"/>
        <v>0</v>
      </c>
      <c r="BJ196" s="261">
        <f t="shared" ca="1" si="530"/>
        <v>22.909894609443526</v>
      </c>
      <c r="BK196" s="293">
        <f t="shared" ca="1" si="530"/>
        <v>7.0033014991057314</v>
      </c>
      <c r="BL196" s="228">
        <f t="shared" ca="1" si="530"/>
        <v>7.003301499105703</v>
      </c>
      <c r="BM196" s="45"/>
      <c r="BN196" s="45"/>
      <c r="BO196" s="45"/>
      <c r="BP196" s="45"/>
      <c r="BQ196" s="45"/>
      <c r="BR196" s="45"/>
      <c r="BS196" s="45"/>
      <c r="BT196" s="45"/>
      <c r="BU196" s="45"/>
      <c r="BV196" s="45"/>
      <c r="BW196" s="45"/>
      <c r="BX196" s="45"/>
      <c r="BY196" s="45"/>
      <c r="BZ196" s="45"/>
      <c r="CA196" s="45"/>
      <c r="CB196" s="583">
        <f t="shared" ref="CB196:DB196" si="531">CB193+CB194+CB195</f>
        <v>0</v>
      </c>
      <c r="CC196" s="583">
        <f t="shared" si="531"/>
        <v>0</v>
      </c>
      <c r="CD196" s="583">
        <f t="shared" si="531"/>
        <v>0</v>
      </c>
      <c r="CE196" s="583">
        <f t="shared" si="531"/>
        <v>0</v>
      </c>
      <c r="CF196" s="583">
        <f t="shared" si="531"/>
        <v>0</v>
      </c>
      <c r="CG196" s="583">
        <f t="shared" si="531"/>
        <v>0</v>
      </c>
      <c r="CH196" s="583">
        <f t="shared" si="531"/>
        <v>0</v>
      </c>
      <c r="CI196" s="583">
        <f t="shared" si="531"/>
        <v>0</v>
      </c>
      <c r="CJ196" s="583">
        <f t="shared" si="531"/>
        <v>69</v>
      </c>
      <c r="CK196" s="583">
        <f t="shared" si="531"/>
        <v>69</v>
      </c>
      <c r="CL196" s="583">
        <f t="shared" si="531"/>
        <v>63</v>
      </c>
      <c r="CM196" s="583">
        <f t="shared" si="531"/>
        <v>50</v>
      </c>
      <c r="CN196" s="583">
        <f t="shared" si="531"/>
        <v>12</v>
      </c>
      <c r="CO196" s="583">
        <f t="shared" si="531"/>
        <v>5</v>
      </c>
      <c r="CP196" s="583">
        <f t="shared" si="531"/>
        <v>5</v>
      </c>
      <c r="CQ196" s="583">
        <f t="shared" si="531"/>
        <v>4</v>
      </c>
      <c r="CR196" s="583">
        <f t="shared" si="531"/>
        <v>25</v>
      </c>
      <c r="CS196" s="583">
        <f t="shared" si="531"/>
        <v>41</v>
      </c>
      <c r="CT196" s="583">
        <f t="shared" si="531"/>
        <v>6</v>
      </c>
      <c r="CU196" s="583">
        <f t="shared" si="531"/>
        <v>6</v>
      </c>
      <c r="CV196" s="583">
        <f t="shared" si="531"/>
        <v>10</v>
      </c>
      <c r="CW196" s="583">
        <f t="shared" si="531"/>
        <v>3</v>
      </c>
      <c r="CX196" s="583">
        <f t="shared" si="531"/>
        <v>4</v>
      </c>
      <c r="CY196" s="583">
        <f t="shared" si="531"/>
        <v>2</v>
      </c>
      <c r="CZ196" s="583">
        <f t="shared" si="531"/>
        <v>2</v>
      </c>
      <c r="DA196" s="583">
        <f t="shared" si="531"/>
        <v>9</v>
      </c>
      <c r="DB196" s="583">
        <f t="shared" si="531"/>
        <v>149</v>
      </c>
      <c r="DC196" s="583">
        <f t="shared" ref="DC196:DG196" si="532">DC193+DC194+DC195</f>
        <v>178</v>
      </c>
      <c r="DD196" s="583">
        <f t="shared" si="532"/>
        <v>4</v>
      </c>
      <c r="DE196" s="583">
        <f t="shared" si="532"/>
        <v>4</v>
      </c>
      <c r="DF196" s="583">
        <f t="shared" si="532"/>
        <v>7</v>
      </c>
      <c r="DG196" s="583">
        <f t="shared" si="532"/>
        <v>6</v>
      </c>
      <c r="DH196" s="583">
        <f t="shared" ref="DH196:DL196" si="533">DH193+DH194+DH195</f>
        <v>5</v>
      </c>
      <c r="DI196" s="583">
        <f t="shared" si="533"/>
        <v>5</v>
      </c>
      <c r="DJ196" s="583">
        <f t="shared" si="533"/>
        <v>5</v>
      </c>
      <c r="DK196" s="583">
        <f t="shared" si="533"/>
        <v>3</v>
      </c>
      <c r="DL196" s="583">
        <f t="shared" si="533"/>
        <v>15</v>
      </c>
      <c r="DM196" s="583">
        <f t="shared" ref="DM196:DQ196" si="534">DM193+DM194+DM195</f>
        <v>4</v>
      </c>
      <c r="DN196" s="583">
        <f t="shared" si="534"/>
        <v>46</v>
      </c>
      <c r="DO196" s="583">
        <f t="shared" si="534"/>
        <v>46</v>
      </c>
      <c r="DP196" s="583">
        <f t="shared" si="534"/>
        <v>44</v>
      </c>
      <c r="DQ196" s="583">
        <f t="shared" si="534"/>
        <v>6</v>
      </c>
      <c r="DR196" s="583">
        <f t="shared" ref="DR196:DT196" si="535">DR193+DR194+DR195</f>
        <v>3</v>
      </c>
      <c r="DS196" s="583">
        <f t="shared" si="535"/>
        <v>2</v>
      </c>
      <c r="DT196" s="583">
        <f t="shared" si="535"/>
        <v>2</v>
      </c>
    </row>
    <row r="197" spans="1:124">
      <c r="A197" s="1716"/>
      <c r="B197" s="1716"/>
      <c r="C197" s="1716"/>
      <c r="D197" s="1716"/>
      <c r="E197" s="1717"/>
      <c r="F197" s="1718"/>
      <c r="G197" s="1718"/>
      <c r="H197" s="1719"/>
      <c r="I197" s="1716"/>
      <c r="J197" s="1717"/>
      <c r="K197" s="1718"/>
      <c r="L197" s="1718"/>
      <c r="M197" s="1719"/>
      <c r="N197" s="1716"/>
      <c r="O197" s="1717"/>
      <c r="P197" s="1718"/>
      <c r="Q197" s="1718"/>
      <c r="R197" s="1719"/>
      <c r="S197" s="1716"/>
      <c r="T197" s="1717"/>
      <c r="U197" s="1718"/>
      <c r="V197" s="1718"/>
      <c r="W197" s="1719"/>
      <c r="X197" s="1716"/>
      <c r="Y197" s="1717"/>
      <c r="Z197" s="1718"/>
      <c r="AA197" s="1718"/>
      <c r="AB197" s="1719"/>
      <c r="AC197" s="1716"/>
      <c r="AD197" s="1717"/>
      <c r="AE197" s="1718"/>
      <c r="AF197" s="1718"/>
      <c r="AG197" s="1719"/>
      <c r="AH197" s="1716"/>
      <c r="AI197" s="1717"/>
      <c r="AJ197" s="1718"/>
      <c r="AK197" s="1718"/>
      <c r="AL197" s="1719"/>
      <c r="AM197" s="1716"/>
      <c r="AN197" s="1717"/>
      <c r="AO197" s="1718"/>
      <c r="AP197" s="1718"/>
      <c r="AQ197" s="1719"/>
      <c r="AR197" s="1716"/>
      <c r="AS197" s="1717"/>
      <c r="AT197" s="1718"/>
      <c r="AU197" s="1718"/>
      <c r="AV197" s="1719"/>
      <c r="AW197" s="1716"/>
      <c r="AX197" s="1717"/>
      <c r="AY197" s="1718"/>
      <c r="AZ197" s="1718"/>
      <c r="BA197" s="1719"/>
      <c r="BB197" s="1716"/>
      <c r="BC197" s="1717"/>
      <c r="BD197" s="1718"/>
      <c r="BE197" s="1718"/>
      <c r="BF197" s="1719"/>
      <c r="BG197" s="1716"/>
      <c r="BH197" s="1717"/>
      <c r="BI197" s="1718"/>
      <c r="BJ197" s="1718"/>
      <c r="BK197" s="1719"/>
      <c r="BL197" s="1716"/>
      <c r="BM197" s="1716"/>
      <c r="BN197" s="1716"/>
      <c r="BO197" s="1716"/>
      <c r="BP197" s="1716"/>
      <c r="BQ197" s="1716"/>
      <c r="BR197" s="1716"/>
      <c r="BS197" s="1716"/>
      <c r="BT197" s="1716"/>
      <c r="BU197" s="1716"/>
      <c r="BV197" s="1716"/>
      <c r="BW197" s="1716"/>
      <c r="BX197" s="1716"/>
      <c r="BY197" s="1716"/>
      <c r="BZ197" s="1716"/>
      <c r="CA197" s="1716"/>
      <c r="CB197" s="1716"/>
      <c r="CC197" s="1716"/>
      <c r="CD197" s="1716"/>
      <c r="CE197" s="1716"/>
      <c r="CF197" s="1716"/>
      <c r="CG197" s="1716"/>
      <c r="CH197" s="1716"/>
      <c r="CI197" s="1716"/>
      <c r="CJ197" s="1716"/>
      <c r="CK197" s="1716"/>
      <c r="CL197" s="1716"/>
      <c r="CM197" s="1716"/>
      <c r="CN197" s="1716"/>
      <c r="CO197" s="1716"/>
      <c r="CP197" s="1716"/>
    </row>
    <row r="198" spans="1:124">
      <c r="A198" s="1716"/>
      <c r="B198" s="1716"/>
      <c r="C198" s="1716"/>
      <c r="D198" s="1716"/>
      <c r="E198" s="1717"/>
      <c r="F198" s="1718"/>
      <c r="G198" s="1718"/>
      <c r="H198" s="1719"/>
      <c r="I198" s="1716"/>
      <c r="J198" s="1717"/>
      <c r="K198" s="1718"/>
      <c r="L198" s="1718"/>
      <c r="M198" s="1719"/>
      <c r="N198" s="1716"/>
      <c r="O198" s="1717"/>
      <c r="P198" s="1718"/>
      <c r="Q198" s="1718"/>
      <c r="R198" s="1719"/>
      <c r="S198" s="1716"/>
      <c r="T198" s="1717"/>
      <c r="U198" s="1718"/>
      <c r="V198" s="1718"/>
      <c r="W198" s="1719"/>
      <c r="X198" s="1716"/>
      <c r="Y198" s="1717"/>
      <c r="Z198" s="1718"/>
      <c r="AA198" s="1718"/>
      <c r="AB198" s="1719"/>
      <c r="AC198" s="1716"/>
      <c r="AD198" s="1717"/>
      <c r="AE198" s="1718"/>
      <c r="AF198" s="1718"/>
      <c r="AG198" s="1719"/>
      <c r="AH198" s="1716"/>
      <c r="AI198" s="1717"/>
      <c r="AJ198" s="1718"/>
      <c r="AK198" s="1718"/>
      <c r="AL198" s="1719"/>
      <c r="AM198" s="1716"/>
      <c r="AN198" s="1717"/>
      <c r="AO198" s="1718"/>
      <c r="AP198" s="1718"/>
      <c r="AQ198" s="1719"/>
      <c r="AR198" s="1716"/>
      <c r="AS198" s="1717"/>
      <c r="AT198" s="1718"/>
      <c r="AU198" s="1718"/>
      <c r="AV198" s="1719"/>
      <c r="AW198" s="1716"/>
      <c r="AX198" s="1717"/>
      <c r="AY198" s="1718"/>
      <c r="AZ198" s="1718"/>
      <c r="BA198" s="1719"/>
      <c r="BB198" s="1716"/>
      <c r="BC198" s="1717"/>
      <c r="BD198" s="1718"/>
      <c r="BE198" s="1718"/>
      <c r="BF198" s="1719"/>
      <c r="BG198" s="1716"/>
      <c r="BH198" s="1717"/>
      <c r="BI198" s="1718"/>
      <c r="BJ198" s="1718"/>
      <c r="BK198" s="1719"/>
      <c r="BL198" s="1716"/>
      <c r="BM198" s="1716"/>
      <c r="BN198" s="1716"/>
      <c r="BO198" s="1716"/>
      <c r="BP198" s="1716"/>
      <c r="BQ198" s="1716"/>
      <c r="BR198" s="1716"/>
      <c r="BS198" s="1716"/>
      <c r="BT198" s="1716"/>
      <c r="BU198" s="1716"/>
      <c r="BV198" s="1716"/>
      <c r="BW198" s="1716"/>
      <c r="BX198" s="1716"/>
      <c r="BY198" s="1716"/>
      <c r="BZ198" s="1716"/>
      <c r="CA198" s="1716"/>
      <c r="CB198" s="1716"/>
      <c r="CC198" s="1716"/>
      <c r="CD198" s="1716"/>
      <c r="CE198" s="1716"/>
      <c r="CF198" s="1716"/>
      <c r="CG198" s="1716"/>
      <c r="CH198" s="1716"/>
      <c r="CI198" s="1716"/>
      <c r="CJ198" s="1716"/>
      <c r="CK198" s="1716"/>
      <c r="CL198" s="1716"/>
      <c r="CM198" s="1716"/>
      <c r="CN198" s="1716"/>
      <c r="CO198" s="1716"/>
      <c r="CP198" s="1716"/>
    </row>
    <row r="199" spans="1:124">
      <c r="A199" s="1716"/>
      <c r="B199" s="1771" t="s">
        <v>958</v>
      </c>
      <c r="C199" s="1772"/>
      <c r="D199" s="1773"/>
      <c r="E199" s="1717"/>
      <c r="F199" s="1718"/>
      <c r="G199" s="1718"/>
      <c r="H199" s="1719"/>
      <c r="I199" s="1716"/>
      <c r="J199" s="1717"/>
      <c r="K199" s="1718"/>
      <c r="L199" s="1718"/>
      <c r="M199" s="1719"/>
      <c r="N199" s="1716"/>
      <c r="O199" s="1717"/>
      <c r="P199" s="1718"/>
      <c r="Q199" s="1718"/>
      <c r="R199" s="1719"/>
      <c r="S199" s="1716"/>
      <c r="T199" s="1717"/>
      <c r="U199" s="1718"/>
      <c r="V199" s="1718"/>
      <c r="W199" s="1719"/>
      <c r="X199" s="1716"/>
      <c r="Y199" s="1717"/>
      <c r="Z199" s="1718"/>
      <c r="AA199" s="1718"/>
      <c r="AB199" s="1719"/>
      <c r="AC199" s="1716"/>
      <c r="AD199" s="1717"/>
      <c r="AE199" s="1718"/>
      <c r="AF199" s="1718"/>
      <c r="AG199" s="1719"/>
      <c r="AH199" s="1716"/>
      <c r="AI199" s="1717"/>
      <c r="AJ199" s="1718"/>
      <c r="AK199" s="1718"/>
      <c r="AL199" s="1719"/>
      <c r="AM199" s="1716"/>
      <c r="AN199" s="1717"/>
      <c r="AO199" s="1718"/>
      <c r="AP199" s="1718"/>
      <c r="AQ199" s="1719"/>
      <c r="AR199" s="1716"/>
      <c r="AS199" s="1717"/>
      <c r="AT199" s="1718"/>
      <c r="AU199" s="1718"/>
      <c r="AV199" s="1719"/>
      <c r="AW199" s="1716"/>
      <c r="AX199" s="1717"/>
      <c r="AY199" s="1718"/>
      <c r="AZ199" s="1718"/>
      <c r="BA199" s="1719"/>
      <c r="BB199" s="1716"/>
      <c r="BC199" s="1717"/>
      <c r="BD199" s="1718"/>
      <c r="BE199" s="1718"/>
      <c r="BF199" s="1719"/>
      <c r="BG199" s="1716"/>
      <c r="BH199" s="1717"/>
      <c r="BI199" s="1718"/>
      <c r="BJ199" s="1718"/>
      <c r="BK199" s="1719"/>
      <c r="BL199" s="1716"/>
      <c r="BM199" s="1716"/>
      <c r="BN199" s="1716"/>
      <c r="BO199" s="1716"/>
      <c r="BP199" s="1716"/>
      <c r="BQ199" s="1716"/>
      <c r="BR199" s="1716"/>
      <c r="BS199" s="1716"/>
      <c r="BT199" s="1716"/>
      <c r="BU199" s="1716"/>
      <c r="BV199" s="1716"/>
      <c r="BW199" s="1716"/>
      <c r="BX199" s="1716"/>
      <c r="BY199" s="1716"/>
      <c r="BZ199" s="1716"/>
      <c r="CA199" s="1716"/>
      <c r="CB199" s="1716"/>
      <c r="CC199" s="1716"/>
      <c r="CD199" s="1716"/>
      <c r="CE199" s="1716"/>
      <c r="CF199" s="1716"/>
      <c r="CG199" s="1716"/>
      <c r="CH199" s="1716"/>
      <c r="CI199" s="1716"/>
      <c r="CJ199" s="1716"/>
      <c r="CK199" s="1716"/>
      <c r="CL199" s="1716"/>
      <c r="CM199" s="1716"/>
      <c r="CN199" s="1716"/>
      <c r="CO199" s="1716"/>
      <c r="CP199" s="1716"/>
    </row>
    <row r="200" spans="1:124">
      <c r="A200" s="1716"/>
      <c r="B200" s="1716"/>
      <c r="C200" s="1716"/>
      <c r="D200" s="1716"/>
      <c r="E200" s="1717"/>
      <c r="F200" s="1718"/>
      <c r="G200" s="1718"/>
      <c r="H200" s="1719"/>
      <c r="I200" s="1716"/>
      <c r="J200" s="1717"/>
      <c r="K200" s="1718"/>
      <c r="L200" s="1718"/>
      <c r="M200" s="1719"/>
      <c r="N200" s="1716"/>
      <c r="O200" s="1717"/>
      <c r="P200" s="1718"/>
      <c r="Q200" s="1718"/>
      <c r="R200" s="1719"/>
      <c r="S200" s="1716"/>
      <c r="T200" s="1717"/>
      <c r="U200" s="1718"/>
      <c r="V200" s="1718"/>
      <c r="W200" s="1719"/>
      <c r="X200" s="1716"/>
      <c r="Y200" s="1717"/>
      <c r="Z200" s="1718"/>
      <c r="AA200" s="1718"/>
      <c r="AB200" s="1719"/>
      <c r="AC200" s="1716"/>
      <c r="AD200" s="1717"/>
      <c r="AE200" s="1718"/>
      <c r="AF200" s="1718"/>
      <c r="AG200" s="1719"/>
      <c r="AH200" s="1716"/>
      <c r="AI200" s="1717"/>
      <c r="AJ200" s="1718"/>
      <c r="AK200" s="1718"/>
      <c r="AL200" s="1719"/>
      <c r="AM200" s="1716"/>
      <c r="AN200" s="1717"/>
      <c r="AO200" s="1718"/>
      <c r="AP200" s="1718"/>
      <c r="AQ200" s="1719"/>
      <c r="AR200" s="1716"/>
      <c r="AS200" s="1717"/>
      <c r="AT200" s="1718"/>
      <c r="AU200" s="1718"/>
      <c r="AV200" s="1719"/>
      <c r="AW200" s="1716"/>
      <c r="AX200" s="1717"/>
      <c r="AY200" s="1718"/>
      <c r="AZ200" s="1718"/>
      <c r="BA200" s="1719"/>
      <c r="BB200" s="1716"/>
      <c r="BC200" s="1717"/>
      <c r="BD200" s="1718"/>
      <c r="BE200" s="1718"/>
      <c r="BF200" s="1719"/>
      <c r="BG200" s="1716"/>
      <c r="BH200" s="1717"/>
      <c r="BI200" s="1718"/>
      <c r="BJ200" s="1718"/>
      <c r="BK200" s="1719"/>
      <c r="BL200" s="1716"/>
      <c r="BM200" s="1716"/>
      <c r="BN200" s="1716"/>
      <c r="BO200" s="1716"/>
      <c r="BP200" s="1716"/>
      <c r="BQ200" s="1716"/>
      <c r="BR200" s="1716"/>
      <c r="BS200" s="1716"/>
      <c r="BT200" s="1716"/>
      <c r="BU200" s="1716"/>
      <c r="BV200" s="1716"/>
      <c r="BW200" s="1716"/>
      <c r="BX200" s="1716"/>
      <c r="BY200" s="1716"/>
      <c r="BZ200" s="1716"/>
      <c r="CA200" s="1716"/>
      <c r="CB200" s="1716"/>
      <c r="CC200" s="1716"/>
      <c r="CD200" s="1716"/>
      <c r="CE200" s="1716"/>
      <c r="CF200" s="1716"/>
      <c r="CG200" s="1716"/>
      <c r="CH200" s="1716"/>
      <c r="CI200" s="1716"/>
      <c r="CJ200" s="1716"/>
      <c r="CK200" s="1716"/>
      <c r="CL200" s="1716"/>
      <c r="CM200" s="1716"/>
      <c r="CN200" s="1716"/>
      <c r="CO200" s="1716"/>
      <c r="CP200" s="1716"/>
    </row>
    <row r="201" spans="1:124">
      <c r="A201" s="1716"/>
      <c r="B201" s="1716"/>
      <c r="C201" s="1716" t="s">
        <v>955</v>
      </c>
      <c r="D201" s="1716"/>
      <c r="E201" s="1717"/>
      <c r="F201" s="1718"/>
      <c r="G201" s="1718"/>
      <c r="H201" s="1719"/>
      <c r="I201" s="1716"/>
      <c r="J201" s="1717"/>
      <c r="K201" s="1718"/>
      <c r="L201" s="1718"/>
      <c r="M201" s="1719"/>
      <c r="N201" s="1716"/>
      <c r="O201" s="1717"/>
      <c r="P201" s="1718"/>
      <c r="Q201" s="1718"/>
      <c r="R201" s="1719"/>
      <c r="S201" s="1716"/>
      <c r="T201" s="337">
        <v>10</v>
      </c>
      <c r="U201" s="338">
        <v>3</v>
      </c>
      <c r="V201" s="338">
        <v>4</v>
      </c>
      <c r="W201" s="1684">
        <v>2</v>
      </c>
      <c r="X201" s="647">
        <f>W201</f>
        <v>2</v>
      </c>
      <c r="Y201" s="337">
        <v>9</v>
      </c>
      <c r="Z201" s="338">
        <v>149</v>
      </c>
      <c r="AA201" s="338">
        <v>178</v>
      </c>
      <c r="AB201" s="1684">
        <v>4</v>
      </c>
      <c r="AC201" s="647">
        <f>AB201</f>
        <v>4</v>
      </c>
      <c r="AD201" s="337">
        <v>7</v>
      </c>
      <c r="AE201" s="338">
        <v>6</v>
      </c>
      <c r="AF201" s="338">
        <v>5</v>
      </c>
      <c r="AG201" s="1684">
        <v>5</v>
      </c>
      <c r="AH201" s="647">
        <f>AG201</f>
        <v>5</v>
      </c>
      <c r="AI201" s="337">
        <v>3</v>
      </c>
      <c r="AJ201" s="338">
        <v>15</v>
      </c>
      <c r="AK201" s="338">
        <v>4</v>
      </c>
      <c r="AL201" s="1684">
        <v>46</v>
      </c>
      <c r="AM201" s="647">
        <f>AL201</f>
        <v>46</v>
      </c>
      <c r="AN201" s="337">
        <v>44</v>
      </c>
      <c r="AO201" s="338">
        <v>6</v>
      </c>
      <c r="AP201" s="338">
        <v>3</v>
      </c>
      <c r="AQ201" s="1684">
        <v>2</v>
      </c>
      <c r="AR201" s="647">
        <f>AQ201</f>
        <v>2</v>
      </c>
      <c r="AS201" s="290">
        <f ca="1">AS196</f>
        <v>0</v>
      </c>
      <c r="AT201" s="260">
        <f ca="1">AT196</f>
        <v>0</v>
      </c>
      <c r="AU201" s="260">
        <f ca="1">AU196</f>
        <v>19.384043737211698</v>
      </c>
      <c r="AV201" s="291">
        <f ca="1">AV196</f>
        <v>6.2475300806963077</v>
      </c>
      <c r="AW201" s="45">
        <f ca="1">AV201</f>
        <v>6.2475300806963077</v>
      </c>
      <c r="AX201" s="290">
        <f ca="1">AX196</f>
        <v>6.8899788320928081</v>
      </c>
      <c r="AY201" s="260">
        <f ca="1">AY196</f>
        <v>0</v>
      </c>
      <c r="AZ201" s="260">
        <f ca="1">AZ196</f>
        <v>22.672240928511812</v>
      </c>
      <c r="BA201" s="291">
        <f ca="1">BA196</f>
        <v>3.4902001565234571</v>
      </c>
      <c r="BB201" s="45">
        <f ca="1">BA201</f>
        <v>3.4902001565234571</v>
      </c>
      <c r="BC201" s="290">
        <f ca="1">BC196</f>
        <v>6.3275996867449464</v>
      </c>
      <c r="BD201" s="260">
        <f ca="1">BD196</f>
        <v>0</v>
      </c>
      <c r="BE201" s="260">
        <f ca="1">BE196</f>
        <v>22.441350031507127</v>
      </c>
      <c r="BF201" s="291">
        <f ca="1">BF196</f>
        <v>4.7822242609065171</v>
      </c>
      <c r="BG201" s="45">
        <f ca="1">BF201</f>
        <v>4.7822242609065171</v>
      </c>
      <c r="BH201" s="290">
        <f ca="1">BH196</f>
        <v>8.9494646897591394</v>
      </c>
      <c r="BI201" s="260">
        <f ca="1">BI196</f>
        <v>0</v>
      </c>
      <c r="BJ201" s="260">
        <f ca="1">BJ196</f>
        <v>22.909894609443526</v>
      </c>
      <c r="BK201" s="291">
        <f ca="1">BK196</f>
        <v>7.0033014991057314</v>
      </c>
      <c r="BL201" s="45">
        <f ca="1">BK201</f>
        <v>7.0033014991057314</v>
      </c>
      <c r="BM201" s="1716"/>
      <c r="BN201" s="1716"/>
      <c r="BO201" s="1716"/>
      <c r="BP201" s="1716"/>
      <c r="BQ201" s="1716"/>
      <c r="BR201" s="1716"/>
      <c r="BS201" s="1716"/>
      <c r="BT201" s="1716"/>
      <c r="BU201" s="1716"/>
      <c r="BV201" s="1716"/>
      <c r="BW201" s="1716"/>
      <c r="BX201" s="1716"/>
      <c r="BY201" s="1716"/>
      <c r="BZ201" s="1716"/>
      <c r="CA201" s="1716"/>
      <c r="CB201" s="1716"/>
      <c r="CC201" s="1716"/>
      <c r="CD201" s="1716"/>
      <c r="CE201" s="1716"/>
      <c r="CF201" s="1716"/>
      <c r="CG201" s="1716"/>
      <c r="CH201" s="1716"/>
      <c r="CI201" s="1716"/>
      <c r="CJ201" s="1716"/>
      <c r="CK201" s="1716"/>
      <c r="CL201" s="1716"/>
      <c r="CM201" s="1716"/>
      <c r="CN201" s="1716"/>
      <c r="CO201" s="1716"/>
      <c r="CP201" s="1716"/>
    </row>
    <row r="202" spans="1:124">
      <c r="A202" s="1716"/>
      <c r="B202" s="1716"/>
      <c r="C202" s="1716" t="s">
        <v>968</v>
      </c>
      <c r="D202" s="1716"/>
      <c r="E202" s="1717"/>
      <c r="F202" s="1718"/>
      <c r="G202" s="1718"/>
      <c r="H202" s="1719"/>
      <c r="I202" s="1716"/>
      <c r="J202" s="1717"/>
      <c r="K202" s="1718"/>
      <c r="L202" s="1718"/>
      <c r="M202" s="1719"/>
      <c r="N202" s="1716"/>
      <c r="O202" s="1717"/>
      <c r="P202" s="1718"/>
      <c r="Q202" s="1718"/>
      <c r="R202" s="1719"/>
      <c r="S202" s="1716"/>
      <c r="T202" s="337">
        <v>216</v>
      </c>
      <c r="U202" s="338">
        <v>182</v>
      </c>
      <c r="V202" s="338">
        <v>175</v>
      </c>
      <c r="W202" s="1684">
        <v>208</v>
      </c>
      <c r="X202" s="647">
        <f>W202</f>
        <v>208</v>
      </c>
      <c r="Y202" s="337">
        <v>221</v>
      </c>
      <c r="Z202" s="338">
        <v>187</v>
      </c>
      <c r="AA202" s="338">
        <v>165</v>
      </c>
      <c r="AB202" s="1684">
        <v>193</v>
      </c>
      <c r="AC202" s="647">
        <f>AB202</f>
        <v>193</v>
      </c>
      <c r="AD202" s="337">
        <v>266</v>
      </c>
      <c r="AE202" s="338">
        <v>224</v>
      </c>
      <c r="AF202" s="338">
        <v>209</v>
      </c>
      <c r="AG202" s="1684">
        <v>203</v>
      </c>
      <c r="AH202" s="647">
        <f>AG202</f>
        <v>203</v>
      </c>
      <c r="AI202" s="337">
        <f>149+40</f>
        <v>189</v>
      </c>
      <c r="AJ202" s="338">
        <f>124+32</f>
        <v>156</v>
      </c>
      <c r="AK202" s="338">
        <f>134+44</f>
        <v>178</v>
      </c>
      <c r="AL202" s="1684">
        <f>136+63</f>
        <v>199</v>
      </c>
      <c r="AM202" s="647">
        <f>AL202</f>
        <v>199</v>
      </c>
      <c r="AN202" s="337">
        <f>131+39</f>
        <v>170</v>
      </c>
      <c r="AO202" s="338">
        <f>124+49</f>
        <v>173</v>
      </c>
      <c r="AP202" s="338">
        <f>118+36</f>
        <v>154</v>
      </c>
      <c r="AQ202" s="1684">
        <f>146+38</f>
        <v>184</v>
      </c>
      <c r="AR202" s="647">
        <f>AQ202</f>
        <v>184</v>
      </c>
      <c r="AS202" s="290">
        <f t="shared" ref="AS202:AW202" si="536">AR202</f>
        <v>184</v>
      </c>
      <c r="AT202" s="260">
        <f t="shared" si="536"/>
        <v>184</v>
      </c>
      <c r="AU202" s="260">
        <f t="shared" si="536"/>
        <v>184</v>
      </c>
      <c r="AV202" s="291">
        <f t="shared" si="536"/>
        <v>184</v>
      </c>
      <c r="AW202" s="45">
        <f t="shared" si="536"/>
        <v>184</v>
      </c>
      <c r="AX202" s="290">
        <f t="shared" ref="AX202:AX203" si="537">AW202</f>
        <v>184</v>
      </c>
      <c r="AY202" s="260">
        <f t="shared" ref="AY202:AY203" si="538">AX202</f>
        <v>184</v>
      </c>
      <c r="AZ202" s="260">
        <f t="shared" ref="AZ202:AZ203" si="539">AY202</f>
        <v>184</v>
      </c>
      <c r="BA202" s="291">
        <f t="shared" ref="BA202:BA203" si="540">AZ202</f>
        <v>184</v>
      </c>
      <c r="BB202" s="45">
        <f t="shared" ref="BB202:BB205" si="541">BA202</f>
        <v>184</v>
      </c>
      <c r="BC202" s="290">
        <f t="shared" ref="BC202:BC203" si="542">BB202</f>
        <v>184</v>
      </c>
      <c r="BD202" s="260">
        <f t="shared" ref="BD202:BD203" si="543">BC202</f>
        <v>184</v>
      </c>
      <c r="BE202" s="260">
        <f t="shared" ref="BE202:BE203" si="544">BD202</f>
        <v>184</v>
      </c>
      <c r="BF202" s="291">
        <f t="shared" ref="BF202:BF203" si="545">BE202</f>
        <v>184</v>
      </c>
      <c r="BG202" s="45">
        <f t="shared" ref="BG202:BG205" si="546">BF202</f>
        <v>184</v>
      </c>
      <c r="BH202" s="290">
        <f t="shared" ref="BH202:BH203" si="547">BG202</f>
        <v>184</v>
      </c>
      <c r="BI202" s="260">
        <f t="shared" ref="BI202:BI203" si="548">BH202</f>
        <v>184</v>
      </c>
      <c r="BJ202" s="260">
        <f t="shared" ref="BJ202:BJ203" si="549">BI202</f>
        <v>184</v>
      </c>
      <c r="BK202" s="291">
        <f t="shared" ref="BK202:BK203" si="550">BJ202</f>
        <v>184</v>
      </c>
      <c r="BL202" s="45">
        <f t="shared" ref="BL202:BL205" si="551">BK202</f>
        <v>184</v>
      </c>
      <c r="BM202" s="1716"/>
      <c r="BN202" s="1716"/>
      <c r="BO202" s="1716"/>
      <c r="BP202" s="1716"/>
      <c r="BQ202" s="1716"/>
      <c r="BR202" s="1716"/>
      <c r="BS202" s="1716"/>
      <c r="BT202" s="1716"/>
      <c r="BU202" s="1716"/>
      <c r="BV202" s="1716"/>
      <c r="BW202" s="1716"/>
      <c r="BX202" s="1716"/>
      <c r="BY202" s="1716"/>
      <c r="BZ202" s="1716"/>
      <c r="CA202" s="1716"/>
      <c r="CB202" s="1716"/>
      <c r="CC202" s="1716"/>
      <c r="CD202" s="1716"/>
      <c r="CE202" s="1716"/>
      <c r="CF202" s="1716"/>
      <c r="CG202" s="1716"/>
      <c r="CH202" s="1716"/>
      <c r="CI202" s="1716"/>
      <c r="CJ202" s="1716"/>
      <c r="CK202" s="1716"/>
      <c r="CL202" s="1716"/>
      <c r="CM202" s="1716"/>
      <c r="CN202" s="1716"/>
      <c r="CO202" s="1716"/>
      <c r="CP202" s="1716"/>
    </row>
    <row r="203" spans="1:124">
      <c r="A203" s="1716"/>
      <c r="B203" s="1716"/>
      <c r="C203" s="1716" t="s">
        <v>362</v>
      </c>
      <c r="D203" s="1716"/>
      <c r="E203" s="1717"/>
      <c r="F203" s="1718"/>
      <c r="G203" s="1718"/>
      <c r="H203" s="1719"/>
      <c r="I203" s="1716"/>
      <c r="J203" s="1717"/>
      <c r="K203" s="1718"/>
      <c r="L203" s="1718"/>
      <c r="M203" s="1719"/>
      <c r="N203" s="1716"/>
      <c r="O203" s="1717"/>
      <c r="P203" s="1718"/>
      <c r="Q203" s="1718"/>
      <c r="R203" s="1719"/>
      <c r="S203" s="1716"/>
      <c r="T203" s="337">
        <v>48</v>
      </c>
      <c r="U203" s="338">
        <v>56</v>
      </c>
      <c r="V203" s="338">
        <v>63</v>
      </c>
      <c r="W203" s="1684">
        <v>51</v>
      </c>
      <c r="X203" s="647">
        <f>W203</f>
        <v>51</v>
      </c>
      <c r="Y203" s="337">
        <v>46</v>
      </c>
      <c r="Z203" s="338">
        <v>53</v>
      </c>
      <c r="AA203" s="338">
        <v>60</v>
      </c>
      <c r="AB203" s="1684">
        <v>55</v>
      </c>
      <c r="AC203" s="647">
        <f>AB203</f>
        <v>55</v>
      </c>
      <c r="AD203" s="337">
        <v>54</v>
      </c>
      <c r="AE203" s="338">
        <v>56</v>
      </c>
      <c r="AF203" s="338">
        <v>46</v>
      </c>
      <c r="AG203" s="1684">
        <v>50</v>
      </c>
      <c r="AH203" s="647">
        <f>AG203</f>
        <v>50</v>
      </c>
      <c r="AI203" s="337">
        <f>4+34</f>
        <v>38</v>
      </c>
      <c r="AJ203" s="338">
        <f>5+33</f>
        <v>38</v>
      </c>
      <c r="AK203" s="338">
        <f>8+32</f>
        <v>40</v>
      </c>
      <c r="AL203" s="1684">
        <f>7+32</f>
        <v>39</v>
      </c>
      <c r="AM203" s="647">
        <f>AL203</f>
        <v>39</v>
      </c>
      <c r="AN203" s="337">
        <f>3+35</f>
        <v>38</v>
      </c>
      <c r="AO203" s="338">
        <f>6+36</f>
        <v>42</v>
      </c>
      <c r="AP203" s="338">
        <f>9+35</f>
        <v>44</v>
      </c>
      <c r="AQ203" s="1684">
        <f>7+36</f>
        <v>43</v>
      </c>
      <c r="AR203" s="647">
        <f>AQ203</f>
        <v>43</v>
      </c>
      <c r="AS203" s="290">
        <f t="shared" ref="AS203:AW205" si="552">AR203</f>
        <v>43</v>
      </c>
      <c r="AT203" s="260">
        <f t="shared" si="552"/>
        <v>43</v>
      </c>
      <c r="AU203" s="260">
        <f t="shared" si="552"/>
        <v>43</v>
      </c>
      <c r="AV203" s="291">
        <f t="shared" si="552"/>
        <v>43</v>
      </c>
      <c r="AW203" s="45">
        <f t="shared" si="552"/>
        <v>43</v>
      </c>
      <c r="AX203" s="290">
        <f t="shared" si="537"/>
        <v>43</v>
      </c>
      <c r="AY203" s="260">
        <f t="shared" si="538"/>
        <v>43</v>
      </c>
      <c r="AZ203" s="260">
        <f t="shared" si="539"/>
        <v>43</v>
      </c>
      <c r="BA203" s="291">
        <f t="shared" si="540"/>
        <v>43</v>
      </c>
      <c r="BB203" s="45">
        <f t="shared" si="541"/>
        <v>43</v>
      </c>
      <c r="BC203" s="290">
        <f t="shared" si="542"/>
        <v>43</v>
      </c>
      <c r="BD203" s="260">
        <f t="shared" si="543"/>
        <v>43</v>
      </c>
      <c r="BE203" s="260">
        <f t="shared" si="544"/>
        <v>43</v>
      </c>
      <c r="BF203" s="291">
        <f t="shared" si="545"/>
        <v>43</v>
      </c>
      <c r="BG203" s="45">
        <f t="shared" si="546"/>
        <v>43</v>
      </c>
      <c r="BH203" s="290">
        <f t="shared" si="547"/>
        <v>43</v>
      </c>
      <c r="BI203" s="260">
        <f t="shared" si="548"/>
        <v>43</v>
      </c>
      <c r="BJ203" s="260">
        <f t="shared" si="549"/>
        <v>43</v>
      </c>
      <c r="BK203" s="291">
        <f t="shared" si="550"/>
        <v>43</v>
      </c>
      <c r="BL203" s="45">
        <f t="shared" si="551"/>
        <v>43</v>
      </c>
      <c r="BM203" s="1716"/>
      <c r="BN203" s="1716"/>
      <c r="BO203" s="1716"/>
      <c r="BP203" s="1716"/>
      <c r="BQ203" s="1716"/>
      <c r="BR203" s="1716"/>
      <c r="BS203" s="1716"/>
      <c r="BT203" s="1716"/>
      <c r="BU203" s="1716"/>
      <c r="BV203" s="1716"/>
      <c r="BW203" s="1716"/>
      <c r="BX203" s="1716"/>
      <c r="BY203" s="1716"/>
      <c r="BZ203" s="1716"/>
      <c r="CA203" s="1716"/>
      <c r="CB203" s="1716"/>
      <c r="CC203" s="1716"/>
      <c r="CD203" s="1716"/>
      <c r="CE203" s="1716"/>
      <c r="CF203" s="1716"/>
      <c r="CG203" s="1716"/>
      <c r="CH203" s="1716"/>
      <c r="CI203" s="1716"/>
      <c r="CJ203" s="1716"/>
      <c r="CK203" s="1716"/>
      <c r="CL203" s="1716"/>
      <c r="CM203" s="1716"/>
      <c r="CN203" s="1716"/>
      <c r="CO203" s="1716"/>
      <c r="CP203" s="1716"/>
    </row>
    <row r="204" spans="1:124">
      <c r="A204" s="1716"/>
      <c r="B204" s="1716"/>
      <c r="C204" s="1716" t="s">
        <v>956</v>
      </c>
      <c r="D204" s="1716"/>
      <c r="E204" s="1717"/>
      <c r="F204" s="1718"/>
      <c r="G204" s="1718"/>
      <c r="H204" s="1719"/>
      <c r="I204" s="1716"/>
      <c r="J204" s="1717"/>
      <c r="K204" s="1718"/>
      <c r="L204" s="1718"/>
      <c r="M204" s="1719"/>
      <c r="N204" s="1716"/>
      <c r="O204" s="1717"/>
      <c r="P204" s="1718"/>
      <c r="Q204" s="1718"/>
      <c r="R204" s="1719"/>
      <c r="S204" s="1716"/>
      <c r="T204" s="337">
        <v>0</v>
      </c>
      <c r="U204" s="338">
        <v>0</v>
      </c>
      <c r="V204" s="338">
        <v>0</v>
      </c>
      <c r="W204" s="1684">
        <v>59</v>
      </c>
      <c r="X204" s="647">
        <f>W204</f>
        <v>59</v>
      </c>
      <c r="Y204" s="337">
        <v>62</v>
      </c>
      <c r="Z204" s="338">
        <v>61</v>
      </c>
      <c r="AA204" s="338">
        <v>13</v>
      </c>
      <c r="AB204" s="1684">
        <v>16</v>
      </c>
      <c r="AC204" s="647">
        <f>AB204</f>
        <v>16</v>
      </c>
      <c r="AD204" s="337">
        <v>20</v>
      </c>
      <c r="AE204" s="338">
        <v>21</v>
      </c>
      <c r="AF204" s="338">
        <v>20</v>
      </c>
      <c r="AG204" s="1684">
        <v>0</v>
      </c>
      <c r="AH204" s="647">
        <f>AG204</f>
        <v>0</v>
      </c>
      <c r="AI204" s="337">
        <v>0</v>
      </c>
      <c r="AJ204" s="338">
        <v>0</v>
      </c>
      <c r="AK204" s="338">
        <v>0</v>
      </c>
      <c r="AL204" s="1684">
        <v>0</v>
      </c>
      <c r="AM204" s="647">
        <f>AL204</f>
        <v>0</v>
      </c>
      <c r="AN204" s="337">
        <v>0</v>
      </c>
      <c r="AO204" s="338">
        <v>0</v>
      </c>
      <c r="AP204" s="338">
        <v>0</v>
      </c>
      <c r="AQ204" s="1684">
        <v>0</v>
      </c>
      <c r="AR204" s="647">
        <f>AQ204</f>
        <v>0</v>
      </c>
      <c r="AS204" s="290">
        <f ca="1">AR204-AS176</f>
        <v>-7.2162643493800411</v>
      </c>
      <c r="AT204" s="260">
        <f ca="1">AS204-AT176</f>
        <v>-14.432528698760082</v>
      </c>
      <c r="AU204" s="260">
        <f ca="1">AT204-AU176</f>
        <v>-21.648793048140124</v>
      </c>
      <c r="AV204" s="291">
        <f ca="1">AU204-AV176</f>
        <v>-28.865057397520165</v>
      </c>
      <c r="AW204" s="45">
        <f t="shared" ca="1" si="552"/>
        <v>-28.865057397520165</v>
      </c>
      <c r="AX204" s="290">
        <f ca="1">AW204-AX176</f>
        <v>-36.3272846720796</v>
      </c>
      <c r="AY204" s="260">
        <f ca="1">AX204-AY176</f>
        <v>-43.789511946639038</v>
      </c>
      <c r="AZ204" s="260">
        <f ca="1">AY204-AZ176</f>
        <v>-51.251739221198477</v>
      </c>
      <c r="BA204" s="291">
        <f ca="1">AZ204-BA176</f>
        <v>-58.713966495757916</v>
      </c>
      <c r="BB204" s="45">
        <f t="shared" ca="1" si="541"/>
        <v>-58.713966495757916</v>
      </c>
      <c r="BC204" s="290">
        <f ca="1">BB204-BC176</f>
        <v>-67.048103131991354</v>
      </c>
      <c r="BD204" s="260">
        <f ca="1">BC204-BD176</f>
        <v>-75.382239768224792</v>
      </c>
      <c r="BE204" s="260">
        <f ca="1">BD204-BE176</f>
        <v>-83.716376404458231</v>
      </c>
      <c r="BF204" s="291">
        <f ca="1">BE204-BF176</f>
        <v>-92.050513040691669</v>
      </c>
      <c r="BG204" s="45">
        <f t="shared" ca="1" si="546"/>
        <v>-92.050513040691669</v>
      </c>
      <c r="BH204" s="290">
        <f ca="1">BG204-BH176</f>
        <v>-100.51254672785655</v>
      </c>
      <c r="BI204" s="260">
        <f ca="1">BH204-BI176</f>
        <v>-108.97458041502142</v>
      </c>
      <c r="BJ204" s="260">
        <f ca="1">BI204-BJ176</f>
        <v>-117.4366141021863</v>
      </c>
      <c r="BK204" s="291">
        <f ca="1">BJ204-BK176</f>
        <v>-125.89864778935117</v>
      </c>
      <c r="BL204" s="45">
        <f t="shared" ca="1" si="551"/>
        <v>-125.89864778935117</v>
      </c>
      <c r="BM204" s="1716"/>
      <c r="BN204" s="1716"/>
      <c r="BO204" s="1716"/>
      <c r="BP204" s="1716"/>
      <c r="BQ204" s="1716"/>
      <c r="BR204" s="1716"/>
      <c r="BS204" s="1716"/>
      <c r="BT204" s="1716"/>
      <c r="BU204" s="1716"/>
      <c r="BV204" s="1716"/>
      <c r="BW204" s="1716"/>
      <c r="BX204" s="1716"/>
      <c r="BY204" s="1716"/>
      <c r="BZ204" s="1716"/>
      <c r="CA204" s="1716"/>
      <c r="CB204" s="1716"/>
      <c r="CC204" s="1716"/>
      <c r="CD204" s="1716"/>
      <c r="CE204" s="1716"/>
      <c r="CF204" s="1716"/>
      <c r="CG204" s="1716"/>
      <c r="CH204" s="1716"/>
      <c r="CI204" s="1716"/>
      <c r="CJ204" s="1716"/>
      <c r="CK204" s="1716"/>
      <c r="CL204" s="1716"/>
      <c r="CM204" s="1716"/>
      <c r="CN204" s="1716"/>
      <c r="CO204" s="1716"/>
      <c r="CP204" s="1716"/>
    </row>
    <row r="205" spans="1:124">
      <c r="A205" s="1716"/>
      <c r="B205" s="1716"/>
      <c r="C205" s="1716" t="s">
        <v>957</v>
      </c>
      <c r="D205" s="1716"/>
      <c r="E205" s="1717"/>
      <c r="F205" s="1718"/>
      <c r="G205" s="1718"/>
      <c r="H205" s="1719"/>
      <c r="I205" s="1716"/>
      <c r="J205" s="1717"/>
      <c r="K205" s="1718"/>
      <c r="L205" s="1718"/>
      <c r="M205" s="1719"/>
      <c r="N205" s="1716"/>
      <c r="O205" s="1717"/>
      <c r="P205" s="1718"/>
      <c r="Q205" s="1718"/>
      <c r="R205" s="1719"/>
      <c r="S205" s="1716"/>
      <c r="T205" s="337">
        <f>10+6+17+19</f>
        <v>52</v>
      </c>
      <c r="U205" s="338">
        <f>18+5+10+14</f>
        <v>47</v>
      </c>
      <c r="V205" s="338">
        <f>10+5+18+22</f>
        <v>55</v>
      </c>
      <c r="W205" s="1684">
        <f>32+9</f>
        <v>41</v>
      </c>
      <c r="X205" s="647">
        <f>W205</f>
        <v>41</v>
      </c>
      <c r="Y205" s="337">
        <f>7+32+9</f>
        <v>48</v>
      </c>
      <c r="Z205" s="338">
        <f>1+32+5</f>
        <v>38</v>
      </c>
      <c r="AA205" s="338">
        <f>32+10+5</f>
        <v>47</v>
      </c>
      <c r="AB205" s="1684">
        <f>34+12+5</f>
        <v>51</v>
      </c>
      <c r="AC205" s="647">
        <f>AB205</f>
        <v>51</v>
      </c>
      <c r="AD205" s="337">
        <f>34+9</f>
        <v>43</v>
      </c>
      <c r="AE205" s="338">
        <f>34+2</f>
        <v>36</v>
      </c>
      <c r="AF205" s="338">
        <f>34+12</f>
        <v>46</v>
      </c>
      <c r="AG205" s="1684">
        <f>58+10</f>
        <v>68</v>
      </c>
      <c r="AH205" s="647">
        <f>AG205</f>
        <v>68</v>
      </c>
      <c r="AI205" s="337">
        <f>67+22</f>
        <v>89</v>
      </c>
      <c r="AJ205" s="338">
        <f>1+16+63+1</f>
        <v>81</v>
      </c>
      <c r="AK205" s="338">
        <f>62+17</f>
        <v>79</v>
      </c>
      <c r="AL205" s="1684">
        <f>59+24+3</f>
        <v>86</v>
      </c>
      <c r="AM205" s="647">
        <f>AL205</f>
        <v>86</v>
      </c>
      <c r="AN205" s="337">
        <f>66+21</f>
        <v>87</v>
      </c>
      <c r="AO205" s="338">
        <f>71+19</f>
        <v>90</v>
      </c>
      <c r="AP205" s="338">
        <f>69+16</f>
        <v>85</v>
      </c>
      <c r="AQ205" s="1684">
        <f>69+27</f>
        <v>96</v>
      </c>
      <c r="AR205" s="647">
        <f>AQ205</f>
        <v>96</v>
      </c>
      <c r="AS205" s="290">
        <f>AR205-AS178-AS177</f>
        <v>96</v>
      </c>
      <c r="AT205" s="260">
        <f>AS205-AT178-AT177</f>
        <v>96</v>
      </c>
      <c r="AU205" s="260">
        <f>AT205-AU178-AU177</f>
        <v>96</v>
      </c>
      <c r="AV205" s="291">
        <f>AU205-AV178-AV177</f>
        <v>96</v>
      </c>
      <c r="AW205" s="45">
        <f t="shared" si="552"/>
        <v>96</v>
      </c>
      <c r="AX205" s="290">
        <f>AW205-AX178-AX177</f>
        <v>96</v>
      </c>
      <c r="AY205" s="260">
        <f>AX205-AY178-AY177</f>
        <v>96</v>
      </c>
      <c r="AZ205" s="260">
        <f>AY205-AZ178-AZ177</f>
        <v>96</v>
      </c>
      <c r="BA205" s="291">
        <f>AZ205-BA178-BA177</f>
        <v>96</v>
      </c>
      <c r="BB205" s="45">
        <f t="shared" si="541"/>
        <v>96</v>
      </c>
      <c r="BC205" s="290">
        <f>BB205-BC178-BC177</f>
        <v>96</v>
      </c>
      <c r="BD205" s="260">
        <f>BC205-BD178-BD177</f>
        <v>96</v>
      </c>
      <c r="BE205" s="260">
        <f>BD205-BE178-BE177</f>
        <v>96</v>
      </c>
      <c r="BF205" s="291">
        <f>BE205-BF178-BF177</f>
        <v>96</v>
      </c>
      <c r="BG205" s="45">
        <f t="shared" si="546"/>
        <v>96</v>
      </c>
      <c r="BH205" s="290">
        <f>BG205-BH178-BH177</f>
        <v>96</v>
      </c>
      <c r="BI205" s="260">
        <f>BH205-BI178-BI177</f>
        <v>96</v>
      </c>
      <c r="BJ205" s="260">
        <f>BI205-BJ178-BJ177</f>
        <v>96</v>
      </c>
      <c r="BK205" s="291">
        <f>BJ205-BK178-BK177</f>
        <v>96</v>
      </c>
      <c r="BL205" s="45">
        <f t="shared" si="551"/>
        <v>96</v>
      </c>
      <c r="BM205" s="1716"/>
      <c r="BN205" s="1716"/>
      <c r="BO205" s="1716"/>
      <c r="BP205" s="1716"/>
      <c r="BQ205" s="1716"/>
      <c r="BR205" s="1716"/>
      <c r="BS205" s="1716"/>
      <c r="BT205" s="1716"/>
      <c r="BU205" s="1716"/>
      <c r="BV205" s="1716"/>
      <c r="BW205" s="1716"/>
      <c r="BX205" s="1716"/>
      <c r="BY205" s="1716"/>
      <c r="BZ205" s="1716"/>
      <c r="CA205" s="1716"/>
      <c r="CB205" s="1716"/>
      <c r="CC205" s="1716"/>
      <c r="CD205" s="1716"/>
      <c r="CE205" s="1716"/>
      <c r="CF205" s="1716"/>
      <c r="CG205" s="1716"/>
      <c r="CH205" s="1716"/>
      <c r="CI205" s="1716"/>
      <c r="CJ205" s="1716"/>
      <c r="CK205" s="1716"/>
      <c r="CL205" s="1716"/>
      <c r="CM205" s="1716"/>
      <c r="CN205" s="1716"/>
      <c r="CO205" s="1716"/>
      <c r="CP205" s="1716"/>
    </row>
    <row r="206" spans="1:124" s="1909" customFormat="1">
      <c r="A206" s="1756"/>
      <c r="B206" s="1756"/>
      <c r="C206" s="1756" t="s">
        <v>363</v>
      </c>
      <c r="D206" s="1756"/>
      <c r="E206" s="1906"/>
      <c r="F206" s="1907"/>
      <c r="G206" s="1907"/>
      <c r="H206" s="1908"/>
      <c r="I206" s="1756"/>
      <c r="J206" s="1906"/>
      <c r="K206" s="1907"/>
      <c r="L206" s="1907"/>
      <c r="M206" s="1908"/>
      <c r="N206" s="1756"/>
      <c r="O206" s="1906"/>
      <c r="P206" s="1907"/>
      <c r="Q206" s="1907"/>
      <c r="R206" s="1908"/>
      <c r="S206" s="1756"/>
      <c r="T206" s="292">
        <f t="shared" ref="T206:AW206" si="553">SUM(T201:T205)</f>
        <v>326</v>
      </c>
      <c r="U206" s="261">
        <f t="shared" si="553"/>
        <v>288</v>
      </c>
      <c r="V206" s="261">
        <f t="shared" si="553"/>
        <v>297</v>
      </c>
      <c r="W206" s="293">
        <f t="shared" si="553"/>
        <v>361</v>
      </c>
      <c r="X206" s="583">
        <f t="shared" si="553"/>
        <v>361</v>
      </c>
      <c r="Y206" s="292">
        <f t="shared" si="553"/>
        <v>386</v>
      </c>
      <c r="Z206" s="261">
        <f t="shared" si="553"/>
        <v>488</v>
      </c>
      <c r="AA206" s="261">
        <f t="shared" ref="AA206" si="554">SUM(AA201:AA205)</f>
        <v>463</v>
      </c>
      <c r="AB206" s="293">
        <f t="shared" ref="AB206:AC206" si="555">SUM(AB201:AB205)</f>
        <v>319</v>
      </c>
      <c r="AC206" s="583">
        <f t="shared" si="555"/>
        <v>319</v>
      </c>
      <c r="AD206" s="292">
        <f t="shared" ref="AD206:AE206" si="556">SUM(AD201:AD205)</f>
        <v>390</v>
      </c>
      <c r="AE206" s="261">
        <f t="shared" si="556"/>
        <v>343</v>
      </c>
      <c r="AF206" s="261">
        <f t="shared" ref="AF206:AI206" si="557">SUM(AF201:AF205)</f>
        <v>326</v>
      </c>
      <c r="AG206" s="293">
        <f t="shared" si="557"/>
        <v>326</v>
      </c>
      <c r="AH206" s="583">
        <f t="shared" si="557"/>
        <v>326</v>
      </c>
      <c r="AI206" s="292">
        <f t="shared" si="557"/>
        <v>319</v>
      </c>
      <c r="AJ206" s="261">
        <f t="shared" ref="AJ206:AM206" si="558">SUM(AJ201:AJ205)</f>
        <v>290</v>
      </c>
      <c r="AK206" s="261">
        <f t="shared" si="558"/>
        <v>301</v>
      </c>
      <c r="AL206" s="293">
        <f t="shared" si="558"/>
        <v>370</v>
      </c>
      <c r="AM206" s="583">
        <f t="shared" si="558"/>
        <v>370</v>
      </c>
      <c r="AN206" s="292">
        <f t="shared" ref="AN206:AO206" si="559">SUM(AN201:AN205)</f>
        <v>339</v>
      </c>
      <c r="AO206" s="261">
        <f t="shared" si="559"/>
        <v>311</v>
      </c>
      <c r="AP206" s="261">
        <f t="shared" si="553"/>
        <v>286</v>
      </c>
      <c r="AQ206" s="293">
        <f t="shared" ref="AQ206:AR206" si="560">SUM(AQ201:AQ205)</f>
        <v>325</v>
      </c>
      <c r="AR206" s="583">
        <f t="shared" si="560"/>
        <v>325</v>
      </c>
      <c r="AS206" s="286">
        <f t="shared" ca="1" si="553"/>
        <v>315.78373565061997</v>
      </c>
      <c r="AT206" s="258">
        <f t="shared" ca="1" si="553"/>
        <v>308.56747130123995</v>
      </c>
      <c r="AU206" s="258">
        <f t="shared" ca="1" si="553"/>
        <v>320.73525068907156</v>
      </c>
      <c r="AV206" s="287">
        <f t="shared" ca="1" si="553"/>
        <v>300.38247268317616</v>
      </c>
      <c r="AW206" s="341">
        <f t="shared" ca="1" si="553"/>
        <v>300.38247268317616</v>
      </c>
      <c r="AX206" s="286">
        <f t="shared" ref="AX206:BG206" ca="1" si="561">SUM(AX201:AX205)</f>
        <v>293.56269416001322</v>
      </c>
      <c r="AY206" s="258">
        <f t="shared" ca="1" si="561"/>
        <v>279.21048805336096</v>
      </c>
      <c r="AZ206" s="258">
        <f t="shared" ca="1" si="561"/>
        <v>294.42050170731335</v>
      </c>
      <c r="BA206" s="287">
        <f t="shared" ca="1" si="561"/>
        <v>267.77623366076557</v>
      </c>
      <c r="BB206" s="341">
        <f t="shared" ca="1" si="561"/>
        <v>267.77623366076557</v>
      </c>
      <c r="BC206" s="286">
        <f t="shared" ca="1" si="561"/>
        <v>262.27949655475356</v>
      </c>
      <c r="BD206" s="258">
        <f t="shared" ca="1" si="561"/>
        <v>247.61776023177521</v>
      </c>
      <c r="BE206" s="258">
        <f t="shared" ca="1" si="561"/>
        <v>261.72497362704888</v>
      </c>
      <c r="BF206" s="287">
        <f t="shared" ca="1" si="561"/>
        <v>235.73171122021483</v>
      </c>
      <c r="BG206" s="341">
        <f t="shared" ca="1" si="561"/>
        <v>235.73171122021483</v>
      </c>
      <c r="BH206" s="286">
        <f t="shared" ref="BH206:BL206" ca="1" si="562">SUM(BH201:BH205)</f>
        <v>231.43691796190259</v>
      </c>
      <c r="BI206" s="258">
        <f t="shared" ca="1" si="562"/>
        <v>214.02541958497858</v>
      </c>
      <c r="BJ206" s="258">
        <f t="shared" ca="1" si="562"/>
        <v>228.47328050725724</v>
      </c>
      <c r="BK206" s="287">
        <f t="shared" ca="1" si="562"/>
        <v>204.10465370975456</v>
      </c>
      <c r="BL206" s="341">
        <f t="shared" ca="1" si="562"/>
        <v>204.10465370975456</v>
      </c>
      <c r="BM206" s="1756"/>
      <c r="BN206" s="1756"/>
      <c r="BO206" s="1756"/>
      <c r="BP206" s="1756"/>
      <c r="BQ206" s="1756"/>
      <c r="BR206" s="1756"/>
      <c r="BS206" s="1756"/>
      <c r="BT206" s="1756"/>
      <c r="BU206" s="1756"/>
      <c r="BV206" s="1756"/>
      <c r="BW206" s="1756"/>
      <c r="BX206" s="1756"/>
      <c r="BY206" s="1756"/>
      <c r="BZ206" s="1756"/>
      <c r="CA206" s="1756"/>
      <c r="CB206" s="1756"/>
      <c r="CC206" s="1756"/>
      <c r="CD206" s="1756"/>
      <c r="CE206" s="1756"/>
      <c r="CF206" s="1756"/>
      <c r="CG206" s="1756"/>
      <c r="CH206" s="1756"/>
      <c r="CI206" s="1756"/>
      <c r="CJ206" s="1756"/>
      <c r="CK206" s="1756"/>
      <c r="CL206" s="1756"/>
      <c r="CM206" s="1756"/>
      <c r="CN206" s="1756"/>
      <c r="CO206" s="1756"/>
      <c r="CP206" s="1756"/>
    </row>
    <row r="207" spans="1:124" s="1909" customFormat="1">
      <c r="A207" s="1756"/>
      <c r="B207" s="1756"/>
      <c r="C207" s="1756"/>
      <c r="D207" s="1756"/>
      <c r="E207" s="1906"/>
      <c r="F207" s="1907"/>
      <c r="G207" s="1907"/>
      <c r="H207" s="1908"/>
      <c r="I207" s="1756"/>
      <c r="J207" s="1906"/>
      <c r="K207" s="1907"/>
      <c r="L207" s="1907"/>
      <c r="M207" s="1908"/>
      <c r="N207" s="1756"/>
      <c r="O207" s="1906"/>
      <c r="P207" s="1907"/>
      <c r="Q207" s="1907"/>
      <c r="R207" s="1908"/>
      <c r="S207" s="1756"/>
      <c r="T207" s="292"/>
      <c r="U207" s="261"/>
      <c r="V207" s="261"/>
      <c r="W207" s="293"/>
      <c r="X207" s="583"/>
      <c r="Y207" s="292"/>
      <c r="Z207" s="261"/>
      <c r="AA207" s="261"/>
      <c r="AB207" s="293"/>
      <c r="AC207" s="583"/>
      <c r="AD207" s="292"/>
      <c r="AE207" s="261"/>
      <c r="AF207" s="261"/>
      <c r="AG207" s="293"/>
      <c r="AH207" s="583"/>
      <c r="AI207" s="292"/>
      <c r="AJ207" s="261"/>
      <c r="AK207" s="261"/>
      <c r="AL207" s="293"/>
      <c r="AM207" s="583"/>
      <c r="AN207" s="292"/>
      <c r="AO207" s="261"/>
      <c r="AP207" s="258"/>
      <c r="AQ207" s="293"/>
      <c r="AR207" s="583"/>
      <c r="AS207" s="286"/>
      <c r="AT207" s="258"/>
      <c r="AU207" s="258"/>
      <c r="AV207" s="287"/>
      <c r="AW207" s="341"/>
      <c r="AX207" s="286"/>
      <c r="AY207" s="258"/>
      <c r="AZ207" s="258"/>
      <c r="BA207" s="287"/>
      <c r="BB207" s="341"/>
      <c r="BC207" s="286"/>
      <c r="BD207" s="258"/>
      <c r="BE207" s="258"/>
      <c r="BF207" s="287"/>
      <c r="BG207" s="341"/>
      <c r="BH207" s="286"/>
      <c r="BI207" s="258"/>
      <c r="BJ207" s="258"/>
      <c r="BK207" s="287"/>
      <c r="BL207" s="341"/>
      <c r="BM207" s="1756"/>
      <c r="BN207" s="1756"/>
      <c r="BO207" s="1756"/>
      <c r="BP207" s="1756"/>
      <c r="BQ207" s="1756"/>
      <c r="BR207" s="1756"/>
      <c r="BS207" s="1756"/>
      <c r="BT207" s="1756"/>
      <c r="BU207" s="1756"/>
      <c r="BV207" s="1756"/>
      <c r="BW207" s="1756"/>
      <c r="BX207" s="1756"/>
      <c r="BY207" s="1756"/>
      <c r="BZ207" s="1756"/>
      <c r="CA207" s="1756"/>
      <c r="CB207" s="1756"/>
      <c r="CC207" s="1756"/>
      <c r="CD207" s="1756"/>
      <c r="CE207" s="1756"/>
      <c r="CF207" s="1756"/>
      <c r="CG207" s="1756"/>
      <c r="CH207" s="1756"/>
      <c r="CI207" s="1756"/>
      <c r="CJ207" s="1756"/>
      <c r="CK207" s="1756"/>
      <c r="CL207" s="1756"/>
      <c r="CM207" s="1756"/>
      <c r="CN207" s="1756"/>
      <c r="CO207" s="1756"/>
      <c r="CP207" s="1756"/>
    </row>
    <row r="208" spans="1:124" s="1909" customFormat="1">
      <c r="A208" s="1756"/>
      <c r="B208" s="1756"/>
      <c r="C208" s="28" t="s">
        <v>547</v>
      </c>
      <c r="D208" s="1756"/>
      <c r="E208" s="1906"/>
      <c r="F208" s="1907"/>
      <c r="G208" s="1907"/>
      <c r="H208" s="1908"/>
      <c r="I208" s="1756"/>
      <c r="J208" s="1906"/>
      <c r="K208" s="1907"/>
      <c r="L208" s="1907"/>
      <c r="M208" s="1908"/>
      <c r="N208" s="1756"/>
      <c r="O208" s="1906"/>
      <c r="P208" s="1907"/>
      <c r="Q208" s="1907"/>
      <c r="R208" s="1908"/>
      <c r="S208" s="1756"/>
      <c r="T208" s="337">
        <v>3479</v>
      </c>
      <c r="U208" s="338">
        <v>3535</v>
      </c>
      <c r="V208" s="338">
        <v>3592</v>
      </c>
      <c r="W208" s="1684">
        <v>3673</v>
      </c>
      <c r="X208" s="647">
        <f>W208</f>
        <v>3673</v>
      </c>
      <c r="Y208" s="337">
        <v>3747</v>
      </c>
      <c r="Z208" s="338">
        <v>3819</v>
      </c>
      <c r="AA208" s="338">
        <v>3882</v>
      </c>
      <c r="AB208" s="1684">
        <v>3946</v>
      </c>
      <c r="AC208" s="647">
        <f>AB208</f>
        <v>3946</v>
      </c>
      <c r="AD208" s="337">
        <v>3996</v>
      </c>
      <c r="AE208" s="338">
        <v>4064</v>
      </c>
      <c r="AF208" s="338">
        <v>4131</v>
      </c>
      <c r="AG208" s="1684">
        <v>4209</v>
      </c>
      <c r="AH208" s="647">
        <f>AG208</f>
        <v>4209</v>
      </c>
      <c r="AI208" s="337">
        <f>3132+AI209</f>
        <v>4272</v>
      </c>
      <c r="AJ208" s="338">
        <f>3177+AJ209</f>
        <v>4334</v>
      </c>
      <c r="AK208" s="338">
        <f>3222+AK209</f>
        <v>4393</v>
      </c>
      <c r="AL208" s="1684">
        <v>4448</v>
      </c>
      <c r="AM208" s="647">
        <f>AL208</f>
        <v>4448</v>
      </c>
      <c r="AN208" s="337">
        <f>3334+AN209</f>
        <v>4529</v>
      </c>
      <c r="AO208" s="338">
        <f>3412+AO209</f>
        <v>4624</v>
      </c>
      <c r="AP208" s="2318">
        <f>3480+AP209</f>
        <v>4711</v>
      </c>
      <c r="AQ208" s="1684">
        <v>4826</v>
      </c>
      <c r="AR208" s="647">
        <f>AQ208</f>
        <v>4826</v>
      </c>
      <c r="AS208" s="290">
        <f>AR208-AS181</f>
        <v>4926</v>
      </c>
      <c r="AT208" s="258">
        <f>AS208-AT181</f>
        <v>5026</v>
      </c>
      <c r="AU208" s="260">
        <f>AT208-AU181</f>
        <v>5126</v>
      </c>
      <c r="AV208" s="291">
        <f>AU208-AV181</f>
        <v>5226</v>
      </c>
      <c r="AW208" s="45">
        <f>AV208</f>
        <v>5226</v>
      </c>
      <c r="AX208" s="290">
        <f>AW208-AX181</f>
        <v>5307.25</v>
      </c>
      <c r="AY208" s="258">
        <f>AX208-AY181</f>
        <v>5388.5</v>
      </c>
      <c r="AZ208" s="260">
        <f>AY208-AZ181</f>
        <v>5469.75</v>
      </c>
      <c r="BA208" s="291">
        <f>AZ208-BA181</f>
        <v>5551</v>
      </c>
      <c r="BB208" s="45">
        <f>BA208</f>
        <v>5551</v>
      </c>
      <c r="BC208" s="290">
        <f>BB208-BC181</f>
        <v>5632.25</v>
      </c>
      <c r="BD208" s="258">
        <f>BC208-BD181</f>
        <v>5713.5</v>
      </c>
      <c r="BE208" s="260">
        <f>BD208-BE181</f>
        <v>5794.75</v>
      </c>
      <c r="BF208" s="291">
        <f>BE208-BF181</f>
        <v>5876</v>
      </c>
      <c r="BG208" s="45">
        <f>BF208</f>
        <v>5876</v>
      </c>
      <c r="BH208" s="290">
        <f>BG208-BH181</f>
        <v>5957.25</v>
      </c>
      <c r="BI208" s="258">
        <f>BH208-BI181</f>
        <v>6038.5</v>
      </c>
      <c r="BJ208" s="260">
        <f>BI208-BJ181</f>
        <v>6119.75</v>
      </c>
      <c r="BK208" s="291">
        <f>BJ208-BK181</f>
        <v>6201</v>
      </c>
      <c r="BL208" s="45">
        <f>BK208</f>
        <v>6201</v>
      </c>
      <c r="BM208" s="1756"/>
      <c r="BN208" s="1756"/>
      <c r="BO208" s="1756"/>
      <c r="BP208" s="1756"/>
      <c r="BQ208" s="1756"/>
      <c r="BR208" s="1756"/>
      <c r="BS208" s="1756"/>
      <c r="BT208" s="1756"/>
      <c r="BU208" s="1756"/>
      <c r="BV208" s="1756"/>
      <c r="BW208" s="1756"/>
      <c r="BX208" s="1756"/>
      <c r="BY208" s="1756"/>
      <c r="BZ208" s="1756"/>
      <c r="CA208" s="1756"/>
      <c r="CB208" s="1756"/>
      <c r="CC208" s="1756"/>
      <c r="CD208" s="1756"/>
      <c r="CE208" s="1756"/>
      <c r="CF208" s="1756"/>
      <c r="CG208" s="1756"/>
      <c r="CH208" s="1756"/>
      <c r="CI208" s="1756"/>
      <c r="CJ208" s="1756"/>
      <c r="CK208" s="1756"/>
      <c r="CL208" s="1756"/>
      <c r="CM208" s="1756"/>
      <c r="CN208" s="1756"/>
      <c r="CO208" s="1756"/>
      <c r="CP208" s="1756"/>
    </row>
    <row r="209" spans="1:94">
      <c r="A209" s="1716"/>
      <c r="B209" s="1716"/>
      <c r="C209" s="28" t="s">
        <v>396</v>
      </c>
      <c r="D209" s="1716"/>
      <c r="E209" s="1717"/>
      <c r="F209" s="1718"/>
      <c r="G209" s="1718"/>
      <c r="H209" s="1719"/>
      <c r="I209" s="1716"/>
      <c r="J209" s="1717"/>
      <c r="K209" s="1718"/>
      <c r="L209" s="1718"/>
      <c r="M209" s="1719"/>
      <c r="N209" s="1716"/>
      <c r="O209" s="1717"/>
      <c r="P209" s="1718"/>
      <c r="Q209" s="1718"/>
      <c r="R209" s="1719"/>
      <c r="S209" s="1716"/>
      <c r="T209" s="337">
        <v>1002</v>
      </c>
      <c r="U209" s="338">
        <v>1011</v>
      </c>
      <c r="V209" s="338">
        <v>1012</v>
      </c>
      <c r="W209" s="1684">
        <v>1016</v>
      </c>
      <c r="X209" s="647">
        <f>W209</f>
        <v>1016</v>
      </c>
      <c r="Y209" s="337">
        <v>1022</v>
      </c>
      <c r="Z209" s="338">
        <v>1031</v>
      </c>
      <c r="AA209" s="338">
        <v>1037</v>
      </c>
      <c r="AB209" s="1684">
        <v>1021</v>
      </c>
      <c r="AC209" s="647">
        <f>AB209</f>
        <v>1021</v>
      </c>
      <c r="AD209" s="337">
        <v>1027</v>
      </c>
      <c r="AE209" s="338">
        <v>1032</v>
      </c>
      <c r="AF209" s="338">
        <v>1044</v>
      </c>
      <c r="AG209" s="1684">
        <v>1046</v>
      </c>
      <c r="AH209" s="647">
        <f>AG209</f>
        <v>1046</v>
      </c>
      <c r="AI209" s="337">
        <v>1140</v>
      </c>
      <c r="AJ209" s="338">
        <v>1157</v>
      </c>
      <c r="AK209" s="338">
        <v>1171</v>
      </c>
      <c r="AL209" s="1684">
        <v>1175</v>
      </c>
      <c r="AM209" s="647">
        <f>AL209</f>
        <v>1175</v>
      </c>
      <c r="AN209" s="337">
        <v>1195</v>
      </c>
      <c r="AO209" s="338">
        <v>1212</v>
      </c>
      <c r="AP209" s="338">
        <v>1231</v>
      </c>
      <c r="AQ209" s="1684">
        <v>1247</v>
      </c>
      <c r="AR209" s="647">
        <f>AQ209</f>
        <v>1247</v>
      </c>
      <c r="AS209" s="290">
        <f>AR209+AS174</f>
        <v>1290.6402466536322</v>
      </c>
      <c r="AT209" s="1910">
        <f>AS209+AT174</f>
        <v>1335.1829302562444</v>
      </c>
      <c r="AU209" s="260">
        <f>AT209+AU174</f>
        <v>1380.4429140859847</v>
      </c>
      <c r="AV209" s="291">
        <f>AU209+AV174</f>
        <v>1426.410920383862</v>
      </c>
      <c r="AW209" s="45">
        <f>AV209</f>
        <v>1426.410920383862</v>
      </c>
      <c r="AX209" s="290">
        <f>AW209+AX174</f>
        <v>1473.077791391979</v>
      </c>
      <c r="AY209" s="1910">
        <f>AX209+AY174</f>
        <v>1520.6566067905576</v>
      </c>
      <c r="AZ209" s="260">
        <f>AY209+AZ174</f>
        <v>1568.6709345783261</v>
      </c>
      <c r="BA209" s="291">
        <f>AZ209+BA174</f>
        <v>1617.1151417179146</v>
      </c>
      <c r="BB209" s="45">
        <f>BA209</f>
        <v>1617.1151417179146</v>
      </c>
      <c r="BC209" s="290">
        <f>BB209+BC174</f>
        <v>1665.9836680312128</v>
      </c>
      <c r="BD209" s="1910">
        <f>BC209+BD174</f>
        <v>1715.2710252569875</v>
      </c>
      <c r="BE209" s="260">
        <f>BD209+BE174</f>
        <v>1764.9717961206902</v>
      </c>
      <c r="BF209" s="291">
        <f>BE209+BF174</f>
        <v>1815.0806334162955</v>
      </c>
      <c r="BG209" s="45">
        <f>BF209</f>
        <v>1815.0806334162955</v>
      </c>
      <c r="BH209" s="290">
        <f>BG209+BH174</f>
        <v>1865.5922591000162</v>
      </c>
      <c r="BI209" s="1910">
        <f>BH209+BI174</f>
        <v>1916.5014633957387</v>
      </c>
      <c r="BJ209" s="260">
        <f>BI209+BJ174</f>
        <v>1967.8031039120308</v>
      </c>
      <c r="BK209" s="291">
        <f>BJ209+BK174</f>
        <v>2019.4921047705698</v>
      </c>
      <c r="BL209" s="45">
        <f>BK209</f>
        <v>2019.4921047705698</v>
      </c>
      <c r="BM209" s="1716"/>
      <c r="BN209" s="1716"/>
      <c r="BO209" s="1716"/>
      <c r="BP209" s="1716"/>
      <c r="BQ209" s="1716"/>
      <c r="BR209" s="1716"/>
      <c r="BS209" s="1716"/>
      <c r="BT209" s="1716"/>
      <c r="BU209" s="1716"/>
      <c r="BV209" s="1716"/>
      <c r="BW209" s="1716"/>
      <c r="BX209" s="1716"/>
      <c r="BY209" s="1716"/>
      <c r="BZ209" s="1716"/>
      <c r="CA209" s="1716"/>
      <c r="CB209" s="1716"/>
      <c r="CC209" s="1716"/>
      <c r="CD209" s="1716"/>
      <c r="CE209" s="1716"/>
      <c r="CF209" s="1716"/>
      <c r="CG209" s="1716"/>
      <c r="CH209" s="1716"/>
      <c r="CI209" s="1716"/>
      <c r="CJ209" s="1716"/>
      <c r="CK209" s="1716"/>
      <c r="CL209" s="1716"/>
      <c r="CM209" s="1716"/>
      <c r="CN209" s="1716"/>
      <c r="CO209" s="1716"/>
      <c r="CP209" s="1716"/>
    </row>
    <row r="210" spans="1:94" s="1909" customFormat="1">
      <c r="A210" s="1756"/>
      <c r="B210" s="1756"/>
      <c r="C210" s="1756" t="s">
        <v>960</v>
      </c>
      <c r="D210" s="1756"/>
      <c r="E210" s="1906"/>
      <c r="F210" s="1907"/>
      <c r="G210" s="1907"/>
      <c r="H210" s="1908"/>
      <c r="I210" s="1756"/>
      <c r="J210" s="1906"/>
      <c r="K210" s="1907"/>
      <c r="L210" s="1907"/>
      <c r="M210" s="1908"/>
      <c r="N210" s="1756"/>
      <c r="O210" s="1906"/>
      <c r="P210" s="1907"/>
      <c r="Q210" s="1907"/>
      <c r="R210" s="1908"/>
      <c r="S210" s="1756"/>
      <c r="T210" s="292">
        <f t="shared" ref="T210:Z210" si="563">T208-T209</f>
        <v>2477</v>
      </c>
      <c r="U210" s="261">
        <f t="shared" si="563"/>
        <v>2524</v>
      </c>
      <c r="V210" s="261">
        <f t="shared" si="563"/>
        <v>2580</v>
      </c>
      <c r="W210" s="293">
        <f t="shared" si="563"/>
        <v>2657</v>
      </c>
      <c r="X210" s="228">
        <f t="shared" si="563"/>
        <v>2657</v>
      </c>
      <c r="Y210" s="292">
        <f t="shared" si="563"/>
        <v>2725</v>
      </c>
      <c r="Z210" s="261">
        <f t="shared" si="563"/>
        <v>2788</v>
      </c>
      <c r="AA210" s="261">
        <f t="shared" ref="AA210:AE210" si="564">AA208-AA209</f>
        <v>2845</v>
      </c>
      <c r="AB210" s="293">
        <f t="shared" si="564"/>
        <v>2925</v>
      </c>
      <c r="AC210" s="228">
        <f t="shared" si="564"/>
        <v>2925</v>
      </c>
      <c r="AD210" s="292">
        <f t="shared" si="564"/>
        <v>2969</v>
      </c>
      <c r="AE210" s="261">
        <f t="shared" si="564"/>
        <v>3032</v>
      </c>
      <c r="AF210" s="261">
        <f t="shared" ref="AF210:AI210" si="565">AF208-AF209</f>
        <v>3087</v>
      </c>
      <c r="AG210" s="293">
        <f t="shared" si="565"/>
        <v>3163</v>
      </c>
      <c r="AH210" s="228">
        <f t="shared" si="565"/>
        <v>3163</v>
      </c>
      <c r="AI210" s="292">
        <f t="shared" si="565"/>
        <v>3132</v>
      </c>
      <c r="AJ210" s="261">
        <f t="shared" ref="AJ210" si="566">AJ208-AJ209</f>
        <v>3177</v>
      </c>
      <c r="AK210" s="261">
        <f t="shared" ref="AK210:AM210" si="567">AK208-AK209</f>
        <v>3222</v>
      </c>
      <c r="AL210" s="293">
        <f t="shared" si="567"/>
        <v>3273</v>
      </c>
      <c r="AM210" s="228">
        <f t="shared" si="567"/>
        <v>3273</v>
      </c>
      <c r="AN210" s="292">
        <f t="shared" ref="AN210:AO210" si="568">AN208-AN209</f>
        <v>3334</v>
      </c>
      <c r="AO210" s="261">
        <f t="shared" si="568"/>
        <v>3412</v>
      </c>
      <c r="AP210" s="261">
        <f t="shared" ref="AP210:AW210" si="569">AP208-AP209</f>
        <v>3480</v>
      </c>
      <c r="AQ210" s="293">
        <f t="shared" si="569"/>
        <v>3579</v>
      </c>
      <c r="AR210" s="228">
        <f t="shared" si="569"/>
        <v>3579</v>
      </c>
      <c r="AS210" s="292">
        <f t="shared" si="569"/>
        <v>3635.3597533463681</v>
      </c>
      <c r="AT210" s="261">
        <f t="shared" si="569"/>
        <v>3690.8170697437554</v>
      </c>
      <c r="AU210" s="261">
        <f t="shared" si="569"/>
        <v>3745.5570859140153</v>
      </c>
      <c r="AV210" s="293">
        <f t="shared" si="569"/>
        <v>3799.589079616138</v>
      </c>
      <c r="AW210" s="228">
        <f t="shared" si="569"/>
        <v>3799.589079616138</v>
      </c>
      <c r="AX210" s="292">
        <f t="shared" ref="AX210:BG210" si="570">AX208-AX209</f>
        <v>3834.1722086080208</v>
      </c>
      <c r="AY210" s="261">
        <f t="shared" si="570"/>
        <v>3867.8433932094422</v>
      </c>
      <c r="AZ210" s="261">
        <f t="shared" si="570"/>
        <v>3901.0790654216739</v>
      </c>
      <c r="BA210" s="293">
        <f t="shared" si="570"/>
        <v>3933.8848582820856</v>
      </c>
      <c r="BB210" s="228">
        <f t="shared" si="570"/>
        <v>3933.8848582820856</v>
      </c>
      <c r="BC210" s="292">
        <f t="shared" si="570"/>
        <v>3966.2663319687872</v>
      </c>
      <c r="BD210" s="261">
        <f t="shared" si="570"/>
        <v>3998.2289747430123</v>
      </c>
      <c r="BE210" s="261">
        <f t="shared" si="570"/>
        <v>4029.7782038793098</v>
      </c>
      <c r="BF210" s="293">
        <f t="shared" si="570"/>
        <v>4060.9193665837047</v>
      </c>
      <c r="BG210" s="228">
        <f t="shared" si="570"/>
        <v>4060.9193665837047</v>
      </c>
      <c r="BH210" s="292">
        <f t="shared" ref="BH210:BL210" si="571">BH208-BH209</f>
        <v>4091.6577408999838</v>
      </c>
      <c r="BI210" s="261">
        <f t="shared" si="571"/>
        <v>4121.9985366042611</v>
      </c>
      <c r="BJ210" s="261">
        <f t="shared" si="571"/>
        <v>4151.9468960879694</v>
      </c>
      <c r="BK210" s="293">
        <f t="shared" si="571"/>
        <v>4181.5078952294298</v>
      </c>
      <c r="BL210" s="228">
        <f t="shared" si="571"/>
        <v>4181.5078952294298</v>
      </c>
      <c r="BM210" s="1756"/>
      <c r="BN210" s="1756"/>
      <c r="BO210" s="1756"/>
      <c r="BP210" s="1756"/>
      <c r="BQ210" s="1756"/>
      <c r="BR210" s="1756"/>
      <c r="BS210" s="1756"/>
      <c r="BT210" s="1756"/>
      <c r="BU210" s="1756"/>
      <c r="BV210" s="1756"/>
      <c r="BW210" s="1756"/>
      <c r="BX210" s="1756"/>
      <c r="BY210" s="1756"/>
      <c r="BZ210" s="1756"/>
      <c r="CA210" s="1756"/>
      <c r="CB210" s="1756"/>
      <c r="CC210" s="1756"/>
      <c r="CD210" s="1756"/>
      <c r="CE210" s="1756"/>
      <c r="CF210" s="1756"/>
      <c r="CG210" s="1756"/>
      <c r="CH210" s="1756"/>
      <c r="CI210" s="1756"/>
      <c r="CJ210" s="1756"/>
      <c r="CK210" s="1756"/>
      <c r="CL210" s="1756"/>
      <c r="CM210" s="1756"/>
      <c r="CN210" s="1756"/>
      <c r="CO210" s="1756"/>
      <c r="CP210" s="1756"/>
    </row>
    <row r="211" spans="1:94">
      <c r="A211" s="1716"/>
      <c r="B211" s="1716"/>
      <c r="C211" s="1716"/>
      <c r="D211" s="1716"/>
      <c r="E211" s="1717"/>
      <c r="F211" s="1718"/>
      <c r="G211" s="1718"/>
      <c r="H211" s="1719"/>
      <c r="I211" s="1716"/>
      <c r="J211" s="1717"/>
      <c r="K211" s="1718"/>
      <c r="L211" s="1718"/>
      <c r="M211" s="1719"/>
      <c r="N211" s="1716"/>
      <c r="O211" s="1717"/>
      <c r="P211" s="1718"/>
      <c r="Q211" s="1718"/>
      <c r="R211" s="1719"/>
      <c r="S211" s="1716"/>
      <c r="T211" s="337"/>
      <c r="U211" s="338"/>
      <c r="V211" s="338"/>
      <c r="W211" s="1684"/>
      <c r="X211" s="647"/>
      <c r="Y211" s="337"/>
      <c r="Z211" s="338"/>
      <c r="AA211" s="338"/>
      <c r="AB211" s="1684"/>
      <c r="AC211" s="647"/>
      <c r="AD211" s="337"/>
      <c r="AE211" s="338"/>
      <c r="AF211" s="338"/>
      <c r="AG211" s="1684"/>
      <c r="AH211" s="647"/>
      <c r="AI211" s="337"/>
      <c r="AJ211" s="338"/>
      <c r="AK211" s="338"/>
      <c r="AL211" s="1684"/>
      <c r="AM211" s="647"/>
      <c r="AN211" s="337"/>
      <c r="AO211" s="338"/>
      <c r="AP211" s="353"/>
      <c r="AQ211" s="1684"/>
      <c r="AR211" s="647"/>
      <c r="AS211" s="369"/>
      <c r="AT211" s="353"/>
      <c r="AU211" s="353"/>
      <c r="AV211" s="354"/>
      <c r="AW211" s="340"/>
      <c r="AX211" s="369"/>
      <c r="AY211" s="353"/>
      <c r="AZ211" s="353"/>
      <c r="BA211" s="354"/>
      <c r="BB211" s="340"/>
      <c r="BC211" s="369"/>
      <c r="BD211" s="353"/>
      <c r="BE211" s="353"/>
      <c r="BF211" s="354"/>
      <c r="BG211" s="340"/>
      <c r="BH211" s="369"/>
      <c r="BI211" s="353"/>
      <c r="BJ211" s="353"/>
      <c r="BK211" s="354"/>
      <c r="BL211" s="340"/>
      <c r="BM211" s="1716"/>
      <c r="BN211" s="1716"/>
      <c r="BO211" s="1716"/>
      <c r="BP211" s="1716"/>
      <c r="BQ211" s="1716"/>
      <c r="BR211" s="1716"/>
      <c r="BS211" s="1716"/>
      <c r="BT211" s="1716"/>
      <c r="BU211" s="1716"/>
      <c r="BV211" s="1716"/>
      <c r="BW211" s="1716"/>
      <c r="BX211" s="1716"/>
      <c r="BY211" s="1716"/>
      <c r="BZ211" s="1716"/>
      <c r="CA211" s="1716"/>
      <c r="CB211" s="1716"/>
      <c r="CC211" s="1716"/>
      <c r="CD211" s="1716"/>
      <c r="CE211" s="1716"/>
      <c r="CF211" s="1716"/>
      <c r="CG211" s="1716"/>
      <c r="CH211" s="1716"/>
      <c r="CI211" s="1716"/>
      <c r="CJ211" s="1716"/>
      <c r="CK211" s="1716"/>
      <c r="CL211" s="1716"/>
      <c r="CM211" s="1716"/>
      <c r="CN211" s="1716"/>
      <c r="CO211" s="1716"/>
      <c r="CP211" s="1716"/>
    </row>
    <row r="212" spans="1:94">
      <c r="A212" s="1716"/>
      <c r="B212" s="1716"/>
      <c r="C212" s="1716" t="s">
        <v>959</v>
      </c>
      <c r="D212" s="1716"/>
      <c r="E212" s="1717"/>
      <c r="F212" s="1718"/>
      <c r="G212" s="1718"/>
      <c r="H212" s="1719"/>
      <c r="I212" s="1716"/>
      <c r="J212" s="1717"/>
      <c r="K212" s="1718"/>
      <c r="L212" s="1718"/>
      <c r="M212" s="1719"/>
      <c r="N212" s="1716"/>
      <c r="O212" s="1717"/>
      <c r="P212" s="1718"/>
      <c r="Q212" s="1718"/>
      <c r="R212" s="1719"/>
      <c r="S212" s="1716"/>
      <c r="T212" s="337">
        <v>8</v>
      </c>
      <c r="U212" s="338">
        <v>8</v>
      </c>
      <c r="V212" s="338">
        <v>8</v>
      </c>
      <c r="W212" s="1684">
        <v>8</v>
      </c>
      <c r="X212" s="647">
        <f>W212</f>
        <v>8</v>
      </c>
      <c r="Y212" s="337">
        <v>8</v>
      </c>
      <c r="Z212" s="338">
        <v>8</v>
      </c>
      <c r="AA212" s="338">
        <v>8</v>
      </c>
      <c r="AB212" s="1684">
        <v>8</v>
      </c>
      <c r="AC212" s="647">
        <f>AB212</f>
        <v>8</v>
      </c>
      <c r="AD212" s="337">
        <v>8</v>
      </c>
      <c r="AE212" s="338">
        <v>8</v>
      </c>
      <c r="AF212" s="338">
        <v>8</v>
      </c>
      <c r="AG212" s="1684">
        <v>8</v>
      </c>
      <c r="AH212" s="647">
        <f>AG212</f>
        <v>8</v>
      </c>
      <c r="AI212" s="337">
        <v>8</v>
      </c>
      <c r="AJ212" s="338">
        <v>8</v>
      </c>
      <c r="AK212" s="338">
        <v>8</v>
      </c>
      <c r="AL212" s="1684">
        <v>8</v>
      </c>
      <c r="AM212" s="647">
        <f>AL212</f>
        <v>8</v>
      </c>
      <c r="AN212" s="337">
        <v>8</v>
      </c>
      <c r="AO212" s="338">
        <v>8</v>
      </c>
      <c r="AP212" s="338">
        <v>8</v>
      </c>
      <c r="AQ212" s="1684">
        <v>8</v>
      </c>
      <c r="AR212" s="647">
        <f>AQ212</f>
        <v>8</v>
      </c>
      <c r="AS212" s="369">
        <f t="shared" ref="AS212:AW212" si="572">AR212</f>
        <v>8</v>
      </c>
      <c r="AT212" s="353">
        <f t="shared" si="572"/>
        <v>8</v>
      </c>
      <c r="AU212" s="353">
        <f t="shared" si="572"/>
        <v>8</v>
      </c>
      <c r="AV212" s="354">
        <f t="shared" si="572"/>
        <v>8</v>
      </c>
      <c r="AW212" s="340">
        <f t="shared" si="572"/>
        <v>8</v>
      </c>
      <c r="AX212" s="369">
        <f t="shared" ref="AX212:AX213" si="573">AW212</f>
        <v>8</v>
      </c>
      <c r="AY212" s="353">
        <f t="shared" ref="AY212:AY213" si="574">AX212</f>
        <v>8</v>
      </c>
      <c r="AZ212" s="353">
        <f t="shared" ref="AZ212:AZ213" si="575">AY212</f>
        <v>8</v>
      </c>
      <c r="BA212" s="354">
        <f t="shared" ref="BA212:BA213" si="576">AZ212</f>
        <v>8</v>
      </c>
      <c r="BB212" s="340">
        <f t="shared" ref="BB212:BB214" si="577">BA212</f>
        <v>8</v>
      </c>
      <c r="BC212" s="369">
        <f t="shared" ref="BC212:BC213" si="578">BB212</f>
        <v>8</v>
      </c>
      <c r="BD212" s="353">
        <f t="shared" ref="BD212:BD213" si="579">BC212</f>
        <v>8</v>
      </c>
      <c r="BE212" s="353">
        <f t="shared" ref="BE212:BE213" si="580">BD212</f>
        <v>8</v>
      </c>
      <c r="BF212" s="354">
        <f t="shared" ref="BF212:BF213" si="581">BE212</f>
        <v>8</v>
      </c>
      <c r="BG212" s="340">
        <f t="shared" ref="BG212:BG214" si="582">BF212</f>
        <v>8</v>
      </c>
      <c r="BH212" s="369">
        <f t="shared" ref="BH212:BH213" si="583">BG212</f>
        <v>8</v>
      </c>
      <c r="BI212" s="353">
        <f t="shared" ref="BI212:BI213" si="584">BH212</f>
        <v>8</v>
      </c>
      <c r="BJ212" s="353">
        <f t="shared" ref="BJ212:BJ213" si="585">BI212</f>
        <v>8</v>
      </c>
      <c r="BK212" s="354">
        <f t="shared" ref="BK212:BK213" si="586">BJ212</f>
        <v>8</v>
      </c>
      <c r="BL212" s="340">
        <f t="shared" ref="BL212:BL214" si="587">BK212</f>
        <v>8</v>
      </c>
      <c r="BM212" s="1716"/>
      <c r="BN212" s="1716"/>
      <c r="BO212" s="1716"/>
      <c r="BP212" s="1716"/>
      <c r="BQ212" s="1716"/>
      <c r="BR212" s="1716"/>
      <c r="BS212" s="1716"/>
      <c r="BT212" s="1716"/>
      <c r="BU212" s="1716"/>
      <c r="BV212" s="1716"/>
      <c r="BW212" s="1716"/>
      <c r="BX212" s="1716"/>
      <c r="BY212" s="1716"/>
      <c r="BZ212" s="1716"/>
      <c r="CA212" s="1716"/>
      <c r="CB212" s="1716"/>
      <c r="CC212" s="1716"/>
      <c r="CD212" s="1716"/>
      <c r="CE212" s="1716"/>
      <c r="CF212" s="1716"/>
      <c r="CG212" s="1716"/>
      <c r="CH212" s="1716"/>
      <c r="CI212" s="1716"/>
      <c r="CJ212" s="1716"/>
      <c r="CK212" s="1716"/>
      <c r="CL212" s="1716"/>
      <c r="CM212" s="1716"/>
      <c r="CN212" s="1716"/>
      <c r="CO212" s="1716"/>
      <c r="CP212" s="1716"/>
    </row>
    <row r="213" spans="1:94">
      <c r="A213" s="1716"/>
      <c r="B213" s="1716"/>
      <c r="C213" s="1716" t="s">
        <v>1292</v>
      </c>
      <c r="D213" s="1716"/>
      <c r="E213" s="1717"/>
      <c r="F213" s="1718"/>
      <c r="G213" s="1718"/>
      <c r="H213" s="1719"/>
      <c r="I213" s="1716"/>
      <c r="J213" s="1717"/>
      <c r="K213" s="1718"/>
      <c r="L213" s="1718"/>
      <c r="M213" s="1719"/>
      <c r="N213" s="1716"/>
      <c r="O213" s="1717"/>
      <c r="P213" s="1718"/>
      <c r="Q213" s="1718"/>
      <c r="R213" s="1719"/>
      <c r="S213" s="1716"/>
      <c r="T213" s="337">
        <v>276</v>
      </c>
      <c r="U213" s="338">
        <v>284</v>
      </c>
      <c r="V213" s="338">
        <v>303</v>
      </c>
      <c r="W213" s="1684">
        <v>311</v>
      </c>
      <c r="X213" s="647">
        <f>W213</f>
        <v>311</v>
      </c>
      <c r="Y213" s="337">
        <v>314</v>
      </c>
      <c r="Z213" s="338">
        <v>321</v>
      </c>
      <c r="AA213" s="338">
        <v>331</v>
      </c>
      <c r="AB213" s="1684">
        <v>356</v>
      </c>
      <c r="AC213" s="647">
        <f>AB213</f>
        <v>356</v>
      </c>
      <c r="AD213" s="337">
        <v>344</v>
      </c>
      <c r="AE213" s="338">
        <v>349</v>
      </c>
      <c r="AF213" s="338">
        <v>359</v>
      </c>
      <c r="AG213" s="1684">
        <v>308</v>
      </c>
      <c r="AH213" s="647">
        <f>AG213</f>
        <v>308</v>
      </c>
      <c r="AI213" s="337">
        <v>295</v>
      </c>
      <c r="AJ213" s="338">
        <v>295</v>
      </c>
      <c r="AK213" s="338">
        <v>297</v>
      </c>
      <c r="AL213" s="1684">
        <v>289</v>
      </c>
      <c r="AM213" s="647">
        <f>AL213</f>
        <v>289</v>
      </c>
      <c r="AN213" s="337">
        <v>301</v>
      </c>
      <c r="AO213" s="338">
        <v>299</v>
      </c>
      <c r="AP213" s="338">
        <v>300</v>
      </c>
      <c r="AQ213" s="1684">
        <v>245</v>
      </c>
      <c r="AR213" s="647">
        <f>AQ213</f>
        <v>245</v>
      </c>
      <c r="AS213" s="369">
        <f t="shared" ref="AS213:AW214" si="588">AR213</f>
        <v>245</v>
      </c>
      <c r="AT213" s="353">
        <f t="shared" si="588"/>
        <v>245</v>
      </c>
      <c r="AU213" s="353">
        <f t="shared" si="588"/>
        <v>245</v>
      </c>
      <c r="AV213" s="354">
        <f t="shared" si="588"/>
        <v>245</v>
      </c>
      <c r="AW213" s="340">
        <f t="shared" si="588"/>
        <v>245</v>
      </c>
      <c r="AX213" s="369">
        <f t="shared" si="573"/>
        <v>245</v>
      </c>
      <c r="AY213" s="353">
        <f t="shared" si="574"/>
        <v>245</v>
      </c>
      <c r="AZ213" s="353">
        <f t="shared" si="575"/>
        <v>245</v>
      </c>
      <c r="BA213" s="354">
        <f t="shared" si="576"/>
        <v>245</v>
      </c>
      <c r="BB213" s="340">
        <f t="shared" si="577"/>
        <v>245</v>
      </c>
      <c r="BC213" s="369">
        <f t="shared" si="578"/>
        <v>245</v>
      </c>
      <c r="BD213" s="353">
        <f t="shared" si="579"/>
        <v>245</v>
      </c>
      <c r="BE213" s="353">
        <f t="shared" si="580"/>
        <v>245</v>
      </c>
      <c r="BF213" s="354">
        <f t="shared" si="581"/>
        <v>245</v>
      </c>
      <c r="BG213" s="340">
        <f t="shared" si="582"/>
        <v>245</v>
      </c>
      <c r="BH213" s="369">
        <f t="shared" si="583"/>
        <v>245</v>
      </c>
      <c r="BI213" s="353">
        <f t="shared" si="584"/>
        <v>245</v>
      </c>
      <c r="BJ213" s="353">
        <f t="shared" si="585"/>
        <v>245</v>
      </c>
      <c r="BK213" s="354">
        <f t="shared" si="586"/>
        <v>245</v>
      </c>
      <c r="BL213" s="340">
        <f t="shared" si="587"/>
        <v>245</v>
      </c>
      <c r="BM213" s="1716"/>
      <c r="BN213" s="1716"/>
      <c r="BO213" s="1716"/>
      <c r="BP213" s="1716"/>
      <c r="BQ213" s="1716"/>
      <c r="BR213" s="1716"/>
      <c r="BS213" s="1716"/>
      <c r="BT213" s="1716"/>
      <c r="BU213" s="1716"/>
      <c r="BV213" s="1716"/>
      <c r="BW213" s="1716"/>
      <c r="BX213" s="1716"/>
      <c r="BY213" s="1716"/>
      <c r="BZ213" s="1716"/>
      <c r="CA213" s="1716"/>
      <c r="CB213" s="1716"/>
      <c r="CC213" s="1716"/>
      <c r="CD213" s="1716"/>
      <c r="CE213" s="1716"/>
      <c r="CF213" s="1716"/>
      <c r="CG213" s="1716"/>
      <c r="CH213" s="1716"/>
      <c r="CI213" s="1716"/>
      <c r="CJ213" s="1716"/>
      <c r="CK213" s="1716"/>
      <c r="CL213" s="1716"/>
      <c r="CM213" s="1716"/>
      <c r="CN213" s="1716"/>
      <c r="CO213" s="1716"/>
      <c r="CP213" s="1716"/>
    </row>
    <row r="214" spans="1:94">
      <c r="A214" s="1716"/>
      <c r="B214" s="1716"/>
      <c r="C214" s="1716" t="s">
        <v>62</v>
      </c>
      <c r="D214" s="1716"/>
      <c r="E214" s="1717"/>
      <c r="F214" s="1718"/>
      <c r="G214" s="1718"/>
      <c r="H214" s="1719"/>
      <c r="I214" s="1716"/>
      <c r="J214" s="1717"/>
      <c r="K214" s="1718"/>
      <c r="L214" s="1718"/>
      <c r="M214" s="1719"/>
      <c r="N214" s="1716"/>
      <c r="O214" s="1717"/>
      <c r="P214" s="1718"/>
      <c r="Q214" s="1718"/>
      <c r="R214" s="1719"/>
      <c r="S214" s="1716"/>
      <c r="T214" s="337">
        <f>12+3+239</f>
        <v>254</v>
      </c>
      <c r="U214" s="338">
        <f>235+3+12</f>
        <v>250</v>
      </c>
      <c r="V214" s="338">
        <f>231+3+13</f>
        <v>247</v>
      </c>
      <c r="W214" s="1684">
        <f>228+4+12</f>
        <v>244</v>
      </c>
      <c r="X214" s="647">
        <f>W214</f>
        <v>244</v>
      </c>
      <c r="Y214" s="337">
        <f>226+4+12</f>
        <v>242</v>
      </c>
      <c r="Z214" s="338">
        <f>224+4+13</f>
        <v>241</v>
      </c>
      <c r="AA214" s="338">
        <f>222+4+13</f>
        <v>239</v>
      </c>
      <c r="AB214" s="1684">
        <f>220+4+12</f>
        <v>236</v>
      </c>
      <c r="AC214" s="647">
        <f>AB214</f>
        <v>236</v>
      </c>
      <c r="AD214" s="337">
        <f>217+4+12</f>
        <v>233</v>
      </c>
      <c r="AE214" s="338">
        <f>213+4+13</f>
        <v>230</v>
      </c>
      <c r="AF214" s="338">
        <f>209+4+12</f>
        <v>225</v>
      </c>
      <c r="AG214" s="1684">
        <f>205+1</f>
        <v>206</v>
      </c>
      <c r="AH214" s="647">
        <f>AG214</f>
        <v>206</v>
      </c>
      <c r="AI214" s="337">
        <f>197+8</f>
        <v>205</v>
      </c>
      <c r="AJ214" s="338">
        <f>193+8</f>
        <v>201</v>
      </c>
      <c r="AK214" s="338">
        <f>188+7</f>
        <v>195</v>
      </c>
      <c r="AL214" s="1684">
        <f>206+7</f>
        <v>213</v>
      </c>
      <c r="AM214" s="647">
        <f>AL214</f>
        <v>213</v>
      </c>
      <c r="AN214" s="337">
        <f>1+203+5</f>
        <v>209</v>
      </c>
      <c r="AO214" s="338">
        <f>200+5</f>
        <v>205</v>
      </c>
      <c r="AP214" s="338">
        <f>197+5</f>
        <v>202</v>
      </c>
      <c r="AQ214" s="1684">
        <f>193+7</f>
        <v>200</v>
      </c>
      <c r="AR214" s="647">
        <f>AQ214</f>
        <v>200</v>
      </c>
      <c r="AS214" s="369">
        <f>AR214-AS175-AS183-AS182</f>
        <v>200</v>
      </c>
      <c r="AT214" s="353">
        <f>AS214-AT175-AT183-AT182</f>
        <v>200</v>
      </c>
      <c r="AU214" s="353">
        <f>AT214-AU175-AU183-AU182</f>
        <v>200</v>
      </c>
      <c r="AV214" s="354">
        <f>AU214-AV175-AV183-AV182</f>
        <v>200</v>
      </c>
      <c r="AW214" s="340">
        <f t="shared" si="588"/>
        <v>200</v>
      </c>
      <c r="AX214" s="369">
        <f>AW214-AX175-AX183-AX182</f>
        <v>200</v>
      </c>
      <c r="AY214" s="353">
        <f>AX214-AY175-AY183-AY182</f>
        <v>200</v>
      </c>
      <c r="AZ214" s="353">
        <f>AY214-AZ175-AZ183-AZ182</f>
        <v>200</v>
      </c>
      <c r="BA214" s="354">
        <f>AZ214-BA175-BA183-BA182</f>
        <v>200</v>
      </c>
      <c r="BB214" s="340">
        <f t="shared" si="577"/>
        <v>200</v>
      </c>
      <c r="BC214" s="369">
        <f>BB214-BC175-BC183-BC182</f>
        <v>200</v>
      </c>
      <c r="BD214" s="353">
        <f>BC214-BD175-BD183-BD182</f>
        <v>200</v>
      </c>
      <c r="BE214" s="353">
        <f>BD214-BE175-BE183-BE182</f>
        <v>200</v>
      </c>
      <c r="BF214" s="354">
        <f>BE214-BF175-BF183-BF182</f>
        <v>200</v>
      </c>
      <c r="BG214" s="340">
        <f t="shared" si="582"/>
        <v>200</v>
      </c>
      <c r="BH214" s="369">
        <f>BG214-BH175-BH183-BH182</f>
        <v>200</v>
      </c>
      <c r="BI214" s="353">
        <f>BH214-BI175-BI183-BI182</f>
        <v>200</v>
      </c>
      <c r="BJ214" s="353">
        <f>BI214-BJ175-BJ183-BJ182</f>
        <v>200</v>
      </c>
      <c r="BK214" s="354">
        <f>BJ214-BK175-BK183-BK182</f>
        <v>200</v>
      </c>
      <c r="BL214" s="340">
        <f t="shared" si="587"/>
        <v>200</v>
      </c>
      <c r="BM214" s="1716"/>
      <c r="BN214" s="1716"/>
      <c r="BO214" s="1716"/>
      <c r="BP214" s="1716"/>
      <c r="BQ214" s="1716"/>
      <c r="BR214" s="1716"/>
      <c r="BS214" s="1716"/>
      <c r="BT214" s="1716"/>
      <c r="BU214" s="1716"/>
      <c r="BV214" s="1716"/>
      <c r="BW214" s="1716"/>
      <c r="BX214" s="1716"/>
      <c r="BY214" s="1716"/>
      <c r="BZ214" s="1716"/>
      <c r="CA214" s="1716"/>
      <c r="CB214" s="1716"/>
      <c r="CC214" s="1716"/>
      <c r="CD214" s="1716"/>
      <c r="CE214" s="1716"/>
      <c r="CF214" s="1716"/>
      <c r="CG214" s="1716"/>
      <c r="CH214" s="1716"/>
      <c r="CI214" s="1716"/>
      <c r="CJ214" s="1716"/>
      <c r="CK214" s="1716"/>
      <c r="CL214" s="1716"/>
      <c r="CM214" s="1716"/>
      <c r="CN214" s="1716"/>
      <c r="CO214" s="1716"/>
      <c r="CP214" s="1716"/>
    </row>
    <row r="215" spans="1:94">
      <c r="A215" s="1716"/>
      <c r="B215" s="1716"/>
      <c r="C215" s="1716"/>
      <c r="D215" s="1716"/>
      <c r="E215" s="1717"/>
      <c r="F215" s="1718"/>
      <c r="G215" s="1718"/>
      <c r="H215" s="1719"/>
      <c r="I215" s="1716"/>
      <c r="J215" s="1717"/>
      <c r="K215" s="1718"/>
      <c r="L215" s="1718"/>
      <c r="M215" s="1719"/>
      <c r="N215" s="1716"/>
      <c r="O215" s="1717"/>
      <c r="P215" s="1718"/>
      <c r="Q215" s="1718"/>
      <c r="R215" s="1719"/>
      <c r="S215" s="1716"/>
      <c r="T215" s="1717"/>
      <c r="U215" s="1718"/>
      <c r="V215" s="1718"/>
      <c r="W215" s="1719"/>
      <c r="X215" s="1716"/>
      <c r="Y215" s="1717"/>
      <c r="Z215" s="1718"/>
      <c r="AA215" s="1718"/>
      <c r="AB215" s="1719"/>
      <c r="AC215" s="1716"/>
      <c r="AD215" s="1717"/>
      <c r="AE215" s="1718"/>
      <c r="AF215" s="1718"/>
      <c r="AG215" s="1719"/>
      <c r="AH215" s="1716"/>
      <c r="AI215" s="1717"/>
      <c r="AJ215" s="1718"/>
      <c r="AK215" s="1718"/>
      <c r="AL215" s="1719"/>
      <c r="AM215" s="1716"/>
      <c r="AN215" s="1717"/>
      <c r="AO215" s="1718"/>
      <c r="AP215" s="1718"/>
      <c r="AQ215" s="1719"/>
      <c r="AR215" s="1716"/>
      <c r="AS215" s="1913"/>
      <c r="AT215" s="1910"/>
      <c r="AU215" s="1910"/>
      <c r="AV215" s="1911"/>
      <c r="AW215" s="1912"/>
      <c r="AX215" s="1913"/>
      <c r="AY215" s="1910"/>
      <c r="AZ215" s="1910"/>
      <c r="BA215" s="1911"/>
      <c r="BB215" s="1912"/>
      <c r="BC215" s="1913"/>
      <c r="BD215" s="1910"/>
      <c r="BE215" s="1910"/>
      <c r="BF215" s="1911"/>
      <c r="BG215" s="1912"/>
      <c r="BH215" s="1913"/>
      <c r="BI215" s="1910"/>
      <c r="BJ215" s="1910"/>
      <c r="BK215" s="1911"/>
      <c r="BL215" s="1912"/>
      <c r="BM215" s="1716"/>
      <c r="BN215" s="1716"/>
      <c r="BO215" s="1716"/>
      <c r="BP215" s="1716"/>
      <c r="BQ215" s="1716"/>
      <c r="BR215" s="1716"/>
      <c r="BS215" s="1716"/>
      <c r="BT215" s="1716"/>
      <c r="BU215" s="1716"/>
      <c r="BV215" s="1716"/>
      <c r="BW215" s="1716"/>
      <c r="BX215" s="1716"/>
      <c r="BY215" s="1716"/>
      <c r="BZ215" s="1716"/>
      <c r="CA215" s="1716"/>
      <c r="CB215" s="1716"/>
      <c r="CC215" s="1716"/>
      <c r="CD215" s="1716"/>
      <c r="CE215" s="1716"/>
      <c r="CF215" s="1716"/>
      <c r="CG215" s="1716"/>
      <c r="CH215" s="1716"/>
      <c r="CI215" s="1716"/>
      <c r="CJ215" s="1716"/>
      <c r="CK215" s="1716"/>
      <c r="CL215" s="1716"/>
      <c r="CM215" s="1716"/>
      <c r="CN215" s="1716"/>
      <c r="CO215" s="1716"/>
      <c r="CP215" s="1716"/>
    </row>
    <row r="216" spans="1:94" s="1909" customFormat="1">
      <c r="A216" s="1756"/>
      <c r="B216" s="1756"/>
      <c r="C216" s="1756" t="s">
        <v>961</v>
      </c>
      <c r="D216" s="1756"/>
      <c r="E216" s="1906"/>
      <c r="F216" s="1907"/>
      <c r="G216" s="1907"/>
      <c r="H216" s="1908"/>
      <c r="I216" s="1756"/>
      <c r="J216" s="1906"/>
      <c r="K216" s="1907"/>
      <c r="L216" s="1907"/>
      <c r="M216" s="1908"/>
      <c r="N216" s="1756"/>
      <c r="O216" s="1906"/>
      <c r="P216" s="1907"/>
      <c r="Q216" s="1907"/>
      <c r="R216" s="1908"/>
      <c r="S216" s="1756"/>
      <c r="T216" s="292">
        <f>SUM(T206,T210,T212:T214)</f>
        <v>3341</v>
      </c>
      <c r="U216" s="261">
        <f t="shared" ref="U216:Z216" si="589">SUM(U206,U210,U212:U214)</f>
        <v>3354</v>
      </c>
      <c r="V216" s="261">
        <f t="shared" si="589"/>
        <v>3435</v>
      </c>
      <c r="W216" s="293">
        <f t="shared" si="589"/>
        <v>3581</v>
      </c>
      <c r="X216" s="583">
        <f t="shared" si="589"/>
        <v>3581</v>
      </c>
      <c r="Y216" s="292">
        <f t="shared" si="589"/>
        <v>3675</v>
      </c>
      <c r="Z216" s="261">
        <f t="shared" si="589"/>
        <v>3846</v>
      </c>
      <c r="AA216" s="261">
        <f t="shared" ref="AA216:AE216" si="590">SUM(AA206,AA210,AA212:AA214)</f>
        <v>3886</v>
      </c>
      <c r="AB216" s="293">
        <f t="shared" si="590"/>
        <v>3844</v>
      </c>
      <c r="AC216" s="583">
        <f t="shared" si="590"/>
        <v>3844</v>
      </c>
      <c r="AD216" s="292">
        <f t="shared" si="590"/>
        <v>3944</v>
      </c>
      <c r="AE216" s="261">
        <f t="shared" si="590"/>
        <v>3962</v>
      </c>
      <c r="AF216" s="261">
        <f t="shared" ref="AF216:AI216" si="591">SUM(AF206,AF210,AF212:AF214)</f>
        <v>4005</v>
      </c>
      <c r="AG216" s="293">
        <f t="shared" si="591"/>
        <v>4011</v>
      </c>
      <c r="AH216" s="583">
        <f t="shared" si="591"/>
        <v>4011</v>
      </c>
      <c r="AI216" s="292">
        <f t="shared" si="591"/>
        <v>3959</v>
      </c>
      <c r="AJ216" s="261">
        <f t="shared" ref="AJ216:AM216" si="592">SUM(AJ206,AJ210,AJ212:AJ214)</f>
        <v>3971</v>
      </c>
      <c r="AK216" s="261">
        <f t="shared" si="592"/>
        <v>4023</v>
      </c>
      <c r="AL216" s="293">
        <f t="shared" si="592"/>
        <v>4153</v>
      </c>
      <c r="AM216" s="583">
        <f t="shared" si="592"/>
        <v>4153</v>
      </c>
      <c r="AN216" s="292">
        <f t="shared" ref="AN216:AR216" si="593">SUM(AN206,AN210,AN212:AN214)</f>
        <v>4191</v>
      </c>
      <c r="AO216" s="261">
        <f t="shared" si="593"/>
        <v>4235</v>
      </c>
      <c r="AP216" s="261">
        <f t="shared" si="593"/>
        <v>4276</v>
      </c>
      <c r="AQ216" s="293">
        <f t="shared" si="593"/>
        <v>4357</v>
      </c>
      <c r="AR216" s="583">
        <f t="shared" si="593"/>
        <v>4357</v>
      </c>
      <c r="AS216" s="292">
        <f t="shared" ref="AS216:AW216" ca="1" si="594">SUM(AS206,AS210,AS212:AS214)</f>
        <v>4404.1434889969878</v>
      </c>
      <c r="AT216" s="261">
        <f t="shared" ca="1" si="594"/>
        <v>4452.3845410449958</v>
      </c>
      <c r="AU216" s="261">
        <f t="shared" ca="1" si="594"/>
        <v>4519.2923366030864</v>
      </c>
      <c r="AV216" s="293">
        <f t="shared" ca="1" si="594"/>
        <v>4552.9715522993138</v>
      </c>
      <c r="AW216" s="228">
        <f t="shared" ca="1" si="594"/>
        <v>4552.9715522993138</v>
      </c>
      <c r="AX216" s="292">
        <f t="shared" ref="AX216:BG216" ca="1" si="595">SUM(AX206,AX210,AX212:AX214)</f>
        <v>4580.7349027680339</v>
      </c>
      <c r="AY216" s="261">
        <f t="shared" ca="1" si="595"/>
        <v>4600.0538812628029</v>
      </c>
      <c r="AZ216" s="261">
        <f t="shared" ca="1" si="595"/>
        <v>4648.4995671289871</v>
      </c>
      <c r="BA216" s="293">
        <f t="shared" ca="1" si="595"/>
        <v>4654.6610919428513</v>
      </c>
      <c r="BB216" s="228">
        <f t="shared" ca="1" si="595"/>
        <v>4654.6610919428513</v>
      </c>
      <c r="BC216" s="292">
        <f t="shared" ca="1" si="595"/>
        <v>4681.5458285235409</v>
      </c>
      <c r="BD216" s="261">
        <f t="shared" ca="1" si="595"/>
        <v>4698.8467349747871</v>
      </c>
      <c r="BE216" s="261">
        <f t="shared" ca="1" si="595"/>
        <v>4744.503177506359</v>
      </c>
      <c r="BF216" s="293">
        <f t="shared" ca="1" si="595"/>
        <v>4749.6510778039192</v>
      </c>
      <c r="BG216" s="228">
        <f t="shared" ca="1" si="595"/>
        <v>4749.6510778039192</v>
      </c>
      <c r="BH216" s="292">
        <f t="shared" ref="BH216:BL216" ca="1" si="596">SUM(BH206,BH210,BH212:BH214)</f>
        <v>4776.0946588618863</v>
      </c>
      <c r="BI216" s="261">
        <f t="shared" ca="1" si="596"/>
        <v>4789.0239561892395</v>
      </c>
      <c r="BJ216" s="261">
        <f t="shared" ca="1" si="596"/>
        <v>4833.4201765952266</v>
      </c>
      <c r="BK216" s="293">
        <f t="shared" ca="1" si="596"/>
        <v>4838.6125489391843</v>
      </c>
      <c r="BL216" s="228">
        <f t="shared" ca="1" si="596"/>
        <v>4838.6125489391843</v>
      </c>
      <c r="BM216" s="1756"/>
      <c r="BN216" s="1756"/>
      <c r="BO216" s="1756"/>
      <c r="BP216" s="1756"/>
      <c r="BQ216" s="1756"/>
      <c r="BR216" s="1756"/>
      <c r="BS216" s="1756"/>
      <c r="BT216" s="1756"/>
      <c r="BU216" s="1756"/>
      <c r="BV216" s="1756"/>
      <c r="BW216" s="1756"/>
      <c r="BX216" s="1756"/>
      <c r="BY216" s="1756"/>
      <c r="BZ216" s="1756"/>
      <c r="CA216" s="1756"/>
      <c r="CB216" s="1756"/>
      <c r="CC216" s="1756"/>
      <c r="CD216" s="1756"/>
      <c r="CE216" s="1756"/>
      <c r="CF216" s="1756"/>
      <c r="CG216" s="1756"/>
      <c r="CH216" s="1756"/>
      <c r="CI216" s="1756"/>
      <c r="CJ216" s="1756"/>
      <c r="CK216" s="1756"/>
      <c r="CL216" s="1756"/>
      <c r="CM216" s="1756"/>
      <c r="CN216" s="1756"/>
      <c r="CO216" s="1756"/>
      <c r="CP216" s="1756"/>
    </row>
    <row r="217" spans="1:94">
      <c r="A217" s="1716"/>
      <c r="B217" s="1716"/>
      <c r="C217" s="1716"/>
      <c r="D217" s="1716"/>
      <c r="E217" s="1717"/>
      <c r="F217" s="1718"/>
      <c r="G217" s="1718"/>
      <c r="H217" s="1719"/>
      <c r="I217" s="1716"/>
      <c r="J217" s="1717"/>
      <c r="K217" s="1718"/>
      <c r="L217" s="1718"/>
      <c r="M217" s="1719"/>
      <c r="N217" s="1716"/>
      <c r="O217" s="1717"/>
      <c r="P217" s="1718"/>
      <c r="Q217" s="1718"/>
      <c r="R217" s="1719"/>
      <c r="S217" s="1716"/>
      <c r="T217" s="1717"/>
      <c r="U217" s="1718"/>
      <c r="V217" s="1718"/>
      <c r="W217" s="1719"/>
      <c r="X217" s="1716"/>
      <c r="Y217" s="1717"/>
      <c r="Z217" s="1718"/>
      <c r="AA217" s="1718"/>
      <c r="AB217" s="1719"/>
      <c r="AC217" s="1716"/>
      <c r="AD217" s="1717"/>
      <c r="AE217" s="1718"/>
      <c r="AF217" s="1718"/>
      <c r="AG217" s="1719"/>
      <c r="AH217" s="1716"/>
      <c r="AI217" s="1717"/>
      <c r="AJ217" s="1718"/>
      <c r="AK217" s="1718"/>
      <c r="AL217" s="1719"/>
      <c r="AM217" s="1716"/>
      <c r="AN217" s="1717"/>
      <c r="AO217" s="1718"/>
      <c r="AP217" s="1718"/>
      <c r="AQ217" s="1719"/>
      <c r="AR217" s="1716"/>
      <c r="AS217" s="1717"/>
      <c r="AT217" s="1718"/>
      <c r="AU217" s="1718"/>
      <c r="AV217" s="1719"/>
      <c r="AW217" s="1716"/>
      <c r="AX217" s="1717"/>
      <c r="AY217" s="1718"/>
      <c r="AZ217" s="1718"/>
      <c r="BA217" s="1719"/>
      <c r="BB217" s="1716"/>
      <c r="BC217" s="1717"/>
      <c r="BD217" s="1718"/>
      <c r="BE217" s="1718"/>
      <c r="BF217" s="1719"/>
      <c r="BG217" s="1716"/>
      <c r="BH217" s="1717"/>
      <c r="BI217" s="1718"/>
      <c r="BJ217" s="1718"/>
      <c r="BK217" s="1719"/>
      <c r="BL217" s="1716"/>
      <c r="BM217" s="1716"/>
      <c r="BN217" s="1716"/>
      <c r="BO217" s="1716"/>
      <c r="BP217" s="1716"/>
      <c r="BQ217" s="1716"/>
      <c r="BR217" s="1716"/>
      <c r="BS217" s="1716"/>
      <c r="BT217" s="1716"/>
      <c r="BU217" s="1716"/>
      <c r="BV217" s="1716"/>
      <c r="BW217" s="1716"/>
      <c r="BX217" s="1716"/>
      <c r="BY217" s="1716"/>
      <c r="BZ217" s="1716"/>
      <c r="CA217" s="1716"/>
      <c r="CB217" s="1716"/>
      <c r="CC217" s="1716"/>
      <c r="CD217" s="1716"/>
      <c r="CE217" s="1716"/>
      <c r="CF217" s="1716"/>
      <c r="CG217" s="1716"/>
      <c r="CH217" s="1716"/>
      <c r="CI217" s="1716"/>
      <c r="CJ217" s="1716"/>
      <c r="CK217" s="1716"/>
      <c r="CL217" s="1716"/>
      <c r="CM217" s="1716"/>
      <c r="CN217" s="1716"/>
      <c r="CO217" s="1716"/>
      <c r="CP217" s="1716"/>
    </row>
    <row r="218" spans="1:94">
      <c r="A218" s="1716"/>
      <c r="B218" s="1716"/>
      <c r="C218" s="1716" t="s">
        <v>962</v>
      </c>
      <c r="D218" s="1716"/>
      <c r="E218" s="1717"/>
      <c r="F218" s="1718"/>
      <c r="G218" s="1718"/>
      <c r="H218" s="1719"/>
      <c r="I218" s="1716"/>
      <c r="J218" s="1717"/>
      <c r="K218" s="1718"/>
      <c r="L218" s="1718"/>
      <c r="M218" s="1719"/>
      <c r="N218" s="1716"/>
      <c r="O218" s="1717"/>
      <c r="P218" s="1718"/>
      <c r="Q218" s="1718"/>
      <c r="R218" s="1719"/>
      <c r="S218" s="1716"/>
      <c r="T218" s="337">
        <v>175</v>
      </c>
      <c r="U218" s="338">
        <v>214</v>
      </c>
      <c r="V218" s="338">
        <v>255</v>
      </c>
      <c r="W218" s="1684">
        <v>252</v>
      </c>
      <c r="X218" s="647">
        <f>W218</f>
        <v>252</v>
      </c>
      <c r="Y218" s="337">
        <v>282</v>
      </c>
      <c r="Z218" s="338">
        <v>105</v>
      </c>
      <c r="AA218" s="338">
        <v>105</v>
      </c>
      <c r="AB218" s="1684">
        <v>211</v>
      </c>
      <c r="AC218" s="647">
        <f>AB218</f>
        <v>211</v>
      </c>
      <c r="AD218" s="337">
        <v>280</v>
      </c>
      <c r="AE218" s="338">
        <v>135</v>
      </c>
      <c r="AF218" s="338">
        <v>171</v>
      </c>
      <c r="AG218" s="1684">
        <v>210</v>
      </c>
      <c r="AH218" s="647">
        <f>AG218</f>
        <v>210</v>
      </c>
      <c r="AI218" s="337">
        <v>75</v>
      </c>
      <c r="AJ218" s="338">
        <v>0</v>
      </c>
      <c r="AK218" s="338">
        <v>17</v>
      </c>
      <c r="AL218" s="1684">
        <v>0</v>
      </c>
      <c r="AM218" s="647">
        <f>AL218</f>
        <v>0</v>
      </c>
      <c r="AN218" s="337">
        <v>0</v>
      </c>
      <c r="AO218" s="338">
        <v>25</v>
      </c>
      <c r="AP218" s="338">
        <v>54</v>
      </c>
      <c r="AQ218" s="1684">
        <v>216</v>
      </c>
      <c r="AR218" s="647">
        <f>AQ218</f>
        <v>216</v>
      </c>
      <c r="AS218" s="290">
        <f ca="1">AS243</f>
        <v>207.87004515047562</v>
      </c>
      <c r="AT218" s="260">
        <f ca="1">AT243</f>
        <v>228.58123188667645</v>
      </c>
      <c r="AU218" s="260">
        <f ca="1">AU243</f>
        <v>0</v>
      </c>
      <c r="AV218" s="291">
        <f ca="1">AV243</f>
        <v>0</v>
      </c>
      <c r="AW218" s="45">
        <f ca="1">AV218</f>
        <v>0</v>
      </c>
      <c r="AX218" s="290">
        <f ca="1">AX243</f>
        <v>0</v>
      </c>
      <c r="AY218" s="260">
        <f ca="1">AY243</f>
        <v>20.947998748966043</v>
      </c>
      <c r="AZ218" s="260">
        <f ca="1">AZ243</f>
        <v>0</v>
      </c>
      <c r="BA218" s="291">
        <f ca="1">BA243</f>
        <v>0</v>
      </c>
      <c r="BB218" s="45">
        <f ca="1">BA218</f>
        <v>0</v>
      </c>
      <c r="BC218" s="290">
        <f ca="1">BC243</f>
        <v>0</v>
      </c>
      <c r="BD218" s="260">
        <f ca="1">BD243</f>
        <v>19.269003838541991</v>
      </c>
      <c r="BE218" s="260">
        <f ca="1">BE243</f>
        <v>0</v>
      </c>
      <c r="BF218" s="291">
        <f ca="1">BF243</f>
        <v>0</v>
      </c>
      <c r="BG218" s="45">
        <f ca="1">BF218</f>
        <v>0</v>
      </c>
      <c r="BH218" s="290">
        <f ca="1">BH243</f>
        <v>0</v>
      </c>
      <c r="BI218" s="260">
        <f ca="1">BI243</f>
        <v>15.180530680955741</v>
      </c>
      <c r="BJ218" s="260">
        <f ca="1">BJ243</f>
        <v>0</v>
      </c>
      <c r="BK218" s="291">
        <f ca="1">BK243</f>
        <v>5.6843418860808015E-14</v>
      </c>
      <c r="BL218" s="45">
        <f ca="1">BK218</f>
        <v>5.6843418860808015E-14</v>
      </c>
      <c r="BM218" s="1716"/>
      <c r="BN218" s="1716"/>
      <c r="BO218" s="1716"/>
      <c r="BP218" s="1716"/>
      <c r="BQ218" s="1716"/>
      <c r="BR218" s="1716"/>
      <c r="BS218" s="1716"/>
      <c r="BT218" s="1716"/>
      <c r="BU218" s="1716"/>
      <c r="BV218" s="1716"/>
      <c r="BW218" s="1716"/>
      <c r="BX218" s="1716"/>
      <c r="BY218" s="1716"/>
      <c r="BZ218" s="1716"/>
      <c r="CA218" s="1716"/>
      <c r="CB218" s="1716"/>
      <c r="CC218" s="1716"/>
      <c r="CD218" s="1716"/>
      <c r="CE218" s="1716"/>
      <c r="CF218" s="1716"/>
      <c r="CG218" s="1716"/>
      <c r="CH218" s="1716"/>
      <c r="CI218" s="1716"/>
      <c r="CJ218" s="1716"/>
      <c r="CK218" s="1716"/>
      <c r="CL218" s="1716"/>
      <c r="CM218" s="1716"/>
      <c r="CN218" s="1716"/>
      <c r="CO218" s="1716"/>
      <c r="CP218" s="1716"/>
    </row>
    <row r="219" spans="1:94">
      <c r="A219" s="1716"/>
      <c r="B219" s="1716"/>
      <c r="C219" s="1716" t="s">
        <v>963</v>
      </c>
      <c r="D219" s="1716"/>
      <c r="E219" s="1717"/>
      <c r="F219" s="1718"/>
      <c r="G219" s="1718"/>
      <c r="H219" s="1719"/>
      <c r="I219" s="1716"/>
      <c r="J219" s="1717"/>
      <c r="K219" s="1718"/>
      <c r="L219" s="1718"/>
      <c r="M219" s="1719"/>
      <c r="N219" s="1716"/>
      <c r="O219" s="1717"/>
      <c r="P219" s="1718"/>
      <c r="Q219" s="1718"/>
      <c r="R219" s="1719"/>
      <c r="S219" s="1716"/>
      <c r="T219" s="337">
        <v>250</v>
      </c>
      <c r="U219" s="338">
        <v>250</v>
      </c>
      <c r="V219" s="338">
        <v>250</v>
      </c>
      <c r="W219" s="1684">
        <v>100</v>
      </c>
      <c r="X219" s="647">
        <f>W219</f>
        <v>100</v>
      </c>
      <c r="Y219" s="337">
        <v>100</v>
      </c>
      <c r="Z219" s="338">
        <v>200</v>
      </c>
      <c r="AA219" s="338">
        <v>200</v>
      </c>
      <c r="AB219" s="1684">
        <v>100</v>
      </c>
      <c r="AC219" s="647">
        <f>AB219</f>
        <v>100</v>
      </c>
      <c r="AD219" s="337">
        <v>100</v>
      </c>
      <c r="AE219" s="338">
        <v>0</v>
      </c>
      <c r="AF219" s="338">
        <v>0</v>
      </c>
      <c r="AG219" s="1684">
        <v>100</v>
      </c>
      <c r="AH219" s="647">
        <f>AG219</f>
        <v>100</v>
      </c>
      <c r="AI219" s="337">
        <v>218</v>
      </c>
      <c r="AJ219" s="338">
        <v>218</v>
      </c>
      <c r="AK219" s="338">
        <v>218</v>
      </c>
      <c r="AL219" s="1684">
        <v>119</v>
      </c>
      <c r="AM219" s="647">
        <f>AL219</f>
        <v>119</v>
      </c>
      <c r="AN219" s="337">
        <v>109</v>
      </c>
      <c r="AO219" s="338">
        <v>109</v>
      </c>
      <c r="AP219" s="338">
        <v>109</v>
      </c>
      <c r="AQ219" s="1684">
        <v>83</v>
      </c>
      <c r="AR219" s="647">
        <f>AQ219</f>
        <v>83</v>
      </c>
      <c r="AS219" s="290">
        <f>-SUM(AT161:AV161)</f>
        <v>4</v>
      </c>
      <c r="AT219" s="260">
        <f>-SUM(AU161:AV161)</f>
        <v>4</v>
      </c>
      <c r="AU219" s="260">
        <f>-AV161</f>
        <v>0</v>
      </c>
      <c r="AV219" s="291">
        <f>-AV161</f>
        <v>0</v>
      </c>
      <c r="AW219" s="45">
        <f>AV219</f>
        <v>0</v>
      </c>
      <c r="AX219" s="290">
        <f>-SUM(AY161:BA161)</f>
        <v>12</v>
      </c>
      <c r="AY219" s="260">
        <f>-SUM(AZ161:BA161)</f>
        <v>12</v>
      </c>
      <c r="AZ219" s="260">
        <f>-BA161</f>
        <v>0</v>
      </c>
      <c r="BA219" s="291">
        <f>-BA161</f>
        <v>0</v>
      </c>
      <c r="BB219" s="45">
        <f>BA219</f>
        <v>0</v>
      </c>
      <c r="BC219" s="290">
        <f>-SUM(BD161:BF161)</f>
        <v>0</v>
      </c>
      <c r="BD219" s="260">
        <f>-SUM(BE161:BF161)</f>
        <v>0</v>
      </c>
      <c r="BE219" s="260">
        <f>-BF161</f>
        <v>0</v>
      </c>
      <c r="BF219" s="291">
        <f>-BF161</f>
        <v>0</v>
      </c>
      <c r="BG219" s="45">
        <f>BF219</f>
        <v>0</v>
      </c>
      <c r="BH219" s="290">
        <f>-SUM(BI161:BK161)</f>
        <v>0</v>
      </c>
      <c r="BI219" s="260">
        <f>-SUM(BJ161:BK161)</f>
        <v>0</v>
      </c>
      <c r="BJ219" s="260">
        <f>-BK161</f>
        <v>0</v>
      </c>
      <c r="BK219" s="291">
        <f>-BK161</f>
        <v>0</v>
      </c>
      <c r="BL219" s="45">
        <f>BK219</f>
        <v>0</v>
      </c>
      <c r="BM219" s="1716"/>
      <c r="BN219" s="1716"/>
      <c r="BO219" s="1716"/>
      <c r="BP219" s="1716"/>
      <c r="BQ219" s="1716"/>
      <c r="BR219" s="1716"/>
      <c r="BS219" s="1716"/>
      <c r="BT219" s="1716"/>
      <c r="BU219" s="1716"/>
      <c r="BV219" s="1716"/>
      <c r="BW219" s="1716"/>
      <c r="BX219" s="1716"/>
      <c r="BY219" s="1716"/>
      <c r="BZ219" s="1716"/>
      <c r="CA219" s="1716"/>
      <c r="CB219" s="1716"/>
      <c r="CC219" s="1716"/>
      <c r="CD219" s="1716"/>
      <c r="CE219" s="1716"/>
      <c r="CF219" s="1716"/>
      <c r="CG219" s="1716"/>
      <c r="CH219" s="1716"/>
      <c r="CI219" s="1716"/>
      <c r="CJ219" s="1716"/>
      <c r="CK219" s="1716"/>
      <c r="CL219" s="1716"/>
      <c r="CM219" s="1716"/>
      <c r="CN219" s="1716"/>
      <c r="CO219" s="1716"/>
      <c r="CP219" s="1716"/>
    </row>
    <row r="220" spans="1:94">
      <c r="A220" s="1716"/>
      <c r="B220" s="1716"/>
      <c r="C220" s="1716" t="s">
        <v>677</v>
      </c>
      <c r="D220" s="1716"/>
      <c r="E220" s="1717"/>
      <c r="F220" s="1718"/>
      <c r="G220" s="1718"/>
      <c r="H220" s="1719"/>
      <c r="I220" s="1716"/>
      <c r="J220" s="1717"/>
      <c r="K220" s="1718"/>
      <c r="L220" s="1718"/>
      <c r="M220" s="1719"/>
      <c r="N220" s="1716"/>
      <c r="O220" s="1717"/>
      <c r="P220" s="1718"/>
      <c r="Q220" s="1718"/>
      <c r="R220" s="1719"/>
      <c r="S220" s="1716"/>
      <c r="T220" s="337">
        <v>100</v>
      </c>
      <c r="U220" s="338">
        <v>95</v>
      </c>
      <c r="V220" s="338">
        <v>87</v>
      </c>
      <c r="W220" s="1684">
        <f>46+71</f>
        <v>117</v>
      </c>
      <c r="X220" s="647">
        <f>W220</f>
        <v>117</v>
      </c>
      <c r="Y220" s="337">
        <f>74+35</f>
        <v>109</v>
      </c>
      <c r="Z220" s="338">
        <f>65+33</f>
        <v>98</v>
      </c>
      <c r="AA220" s="338">
        <f>34+73</f>
        <v>107</v>
      </c>
      <c r="AB220" s="1684">
        <f>39+74</f>
        <v>113</v>
      </c>
      <c r="AC220" s="647">
        <f>AB220</f>
        <v>113</v>
      </c>
      <c r="AD220" s="337">
        <f>51+70</f>
        <v>121</v>
      </c>
      <c r="AE220" s="338">
        <f>27+79</f>
        <v>106</v>
      </c>
      <c r="AF220" s="338">
        <f>46+63</f>
        <v>109</v>
      </c>
      <c r="AG220" s="1684">
        <f>41+76</f>
        <v>117</v>
      </c>
      <c r="AH220" s="647">
        <f>AG220</f>
        <v>117</v>
      </c>
      <c r="AI220" s="337">
        <f>100+44</f>
        <v>144</v>
      </c>
      <c r="AJ220" s="338">
        <f>93+45</f>
        <v>138</v>
      </c>
      <c r="AK220" s="338">
        <f>74+47</f>
        <v>121</v>
      </c>
      <c r="AL220" s="1684">
        <f>88+36</f>
        <v>124</v>
      </c>
      <c r="AM220" s="647">
        <f>AL220</f>
        <v>124</v>
      </c>
      <c r="AN220" s="337">
        <f>106+44</f>
        <v>150</v>
      </c>
      <c r="AO220" s="338">
        <f>125+35</f>
        <v>160</v>
      </c>
      <c r="AP220" s="338">
        <f>95+52</f>
        <v>147</v>
      </c>
      <c r="AQ220" s="1684">
        <f>82+35</f>
        <v>117</v>
      </c>
      <c r="AR220" s="647">
        <f>AQ220</f>
        <v>117</v>
      </c>
      <c r="AS220" s="290">
        <f t="shared" ref="AS220:AW220" si="597">AR220</f>
        <v>117</v>
      </c>
      <c r="AT220" s="260">
        <f t="shared" si="597"/>
        <v>117</v>
      </c>
      <c r="AU220" s="260">
        <f t="shared" si="597"/>
        <v>117</v>
      </c>
      <c r="AV220" s="291">
        <f t="shared" si="597"/>
        <v>117</v>
      </c>
      <c r="AW220" s="45">
        <f t="shared" si="597"/>
        <v>117</v>
      </c>
      <c r="AX220" s="290">
        <f t="shared" ref="AX220:AX221" si="598">AW220</f>
        <v>117</v>
      </c>
      <c r="AY220" s="260">
        <f t="shared" ref="AY220:AY221" si="599">AX220</f>
        <v>117</v>
      </c>
      <c r="AZ220" s="260">
        <f t="shared" ref="AZ220:AZ221" si="600">AY220</f>
        <v>117</v>
      </c>
      <c r="BA220" s="291">
        <f t="shared" ref="BA220:BA221" si="601">AZ220</f>
        <v>117</v>
      </c>
      <c r="BB220" s="45">
        <f t="shared" ref="BB220:BB221" si="602">BA220</f>
        <v>117</v>
      </c>
      <c r="BC220" s="290">
        <f t="shared" ref="BC220:BC221" si="603">BB220</f>
        <v>117</v>
      </c>
      <c r="BD220" s="260">
        <f t="shared" ref="BD220:BD221" si="604">BC220</f>
        <v>117</v>
      </c>
      <c r="BE220" s="260">
        <f t="shared" ref="BE220:BE221" si="605">BD220</f>
        <v>117</v>
      </c>
      <c r="BF220" s="291">
        <f t="shared" ref="BF220:BF221" si="606">BE220</f>
        <v>117</v>
      </c>
      <c r="BG220" s="45">
        <f t="shared" ref="BG220:BG221" si="607">BF220</f>
        <v>117</v>
      </c>
      <c r="BH220" s="290">
        <f t="shared" ref="BH220:BH221" si="608">BG220</f>
        <v>117</v>
      </c>
      <c r="BI220" s="260">
        <f t="shared" ref="BI220:BI221" si="609">BH220</f>
        <v>117</v>
      </c>
      <c r="BJ220" s="260">
        <f t="shared" ref="BJ220:BJ221" si="610">BI220</f>
        <v>117</v>
      </c>
      <c r="BK220" s="291">
        <f t="shared" ref="BK220:BK221" si="611">BJ220</f>
        <v>117</v>
      </c>
      <c r="BL220" s="45">
        <f t="shared" ref="BL220:BL221" si="612">BK220</f>
        <v>117</v>
      </c>
      <c r="BM220" s="1716"/>
      <c r="BN220" s="1716"/>
      <c r="BO220" s="1716"/>
      <c r="BP220" s="1716"/>
      <c r="BQ220" s="1716"/>
      <c r="BR220" s="1716"/>
      <c r="BS220" s="1716"/>
      <c r="BT220" s="1716"/>
      <c r="BU220" s="1716"/>
      <c r="BV220" s="1716"/>
      <c r="BW220" s="1716"/>
      <c r="BX220" s="1716"/>
      <c r="BY220" s="1716"/>
      <c r="BZ220" s="1716"/>
      <c r="CA220" s="1716"/>
      <c r="CB220" s="1716"/>
      <c r="CC220" s="1716"/>
      <c r="CD220" s="1716"/>
      <c r="CE220" s="1716"/>
      <c r="CF220" s="1716"/>
      <c r="CG220" s="1716"/>
      <c r="CH220" s="1716"/>
      <c r="CI220" s="1716"/>
      <c r="CJ220" s="1716"/>
      <c r="CK220" s="1716"/>
      <c r="CL220" s="1716"/>
      <c r="CM220" s="1716"/>
      <c r="CN220" s="1716"/>
      <c r="CO220" s="1716"/>
      <c r="CP220" s="1716"/>
    </row>
    <row r="221" spans="1:94">
      <c r="A221" s="1716"/>
      <c r="B221" s="1716"/>
      <c r="C221" s="1716" t="s">
        <v>62</v>
      </c>
      <c r="D221" s="1716"/>
      <c r="E221" s="1717"/>
      <c r="F221" s="1718"/>
      <c r="G221" s="1718"/>
      <c r="H221" s="1719"/>
      <c r="I221" s="1716"/>
      <c r="J221" s="1717"/>
      <c r="K221" s="1718"/>
      <c r="L221" s="1718"/>
      <c r="M221" s="1719"/>
      <c r="N221" s="1716"/>
      <c r="O221" s="1717"/>
      <c r="P221" s="1718"/>
      <c r="Q221" s="1718"/>
      <c r="R221" s="1719"/>
      <c r="S221" s="1716"/>
      <c r="T221" s="337">
        <f>22+5+15+61</f>
        <v>103</v>
      </c>
      <c r="U221" s="338">
        <f>18+3+9+63</f>
        <v>93</v>
      </c>
      <c r="V221" s="338">
        <f>21+6+15+66</f>
        <v>108</v>
      </c>
      <c r="W221" s="1684">
        <f>22+4+6+25+35</f>
        <v>92</v>
      </c>
      <c r="X221" s="647">
        <f>W221</f>
        <v>92</v>
      </c>
      <c r="Y221" s="337">
        <f>20+5+14+71</f>
        <v>110</v>
      </c>
      <c r="Z221" s="338">
        <f>20+3+7+27+48</f>
        <v>105</v>
      </c>
      <c r="AA221" s="338">
        <f>19+6+16+26+51</f>
        <v>118</v>
      </c>
      <c r="AB221" s="1684">
        <f>17+3+7+24+42</f>
        <v>93</v>
      </c>
      <c r="AC221" s="647">
        <f>AB221</f>
        <v>93</v>
      </c>
      <c r="AD221" s="337">
        <f>21+4+14+25+42</f>
        <v>106</v>
      </c>
      <c r="AE221" s="338">
        <f>20+3+7+25+46</f>
        <v>101</v>
      </c>
      <c r="AF221" s="338">
        <f>22+6+16+26+32</f>
        <v>102</v>
      </c>
      <c r="AG221" s="1684">
        <f>20+3+7+31+39</f>
        <v>100</v>
      </c>
      <c r="AH221" s="647">
        <f>AG221</f>
        <v>100</v>
      </c>
      <c r="AI221" s="337">
        <f>42+35+57+76+9</f>
        <v>219</v>
      </c>
      <c r="AJ221" s="338">
        <f>37+38+53+27+7</f>
        <v>162</v>
      </c>
      <c r="AK221" s="338">
        <f>34+37+46+12+10</f>
        <v>139</v>
      </c>
      <c r="AL221" s="1684">
        <f>38+36+43+13+8</f>
        <v>138</v>
      </c>
      <c r="AM221" s="647">
        <f>AL221</f>
        <v>138</v>
      </c>
      <c r="AN221" s="337">
        <f>36+36+47+4+6</f>
        <v>129</v>
      </c>
      <c r="AO221" s="338">
        <f>33+35+43+3+9</f>
        <v>123</v>
      </c>
      <c r="AP221" s="338">
        <f>35+35+42+3+7</f>
        <v>122</v>
      </c>
      <c r="AQ221" s="1684">
        <f>46+35+42+8</f>
        <v>131</v>
      </c>
      <c r="AR221" s="647">
        <f>AQ221</f>
        <v>131</v>
      </c>
      <c r="AS221" s="290">
        <f t="shared" ref="AS221:AW221" si="613">AR221</f>
        <v>131</v>
      </c>
      <c r="AT221" s="260">
        <f t="shared" si="613"/>
        <v>131</v>
      </c>
      <c r="AU221" s="260">
        <f t="shared" si="613"/>
        <v>131</v>
      </c>
      <c r="AV221" s="291">
        <f t="shared" si="613"/>
        <v>131</v>
      </c>
      <c r="AW221" s="45">
        <f t="shared" si="613"/>
        <v>131</v>
      </c>
      <c r="AX221" s="290">
        <f t="shared" si="598"/>
        <v>131</v>
      </c>
      <c r="AY221" s="260">
        <f t="shared" si="599"/>
        <v>131</v>
      </c>
      <c r="AZ221" s="260">
        <f t="shared" si="600"/>
        <v>131</v>
      </c>
      <c r="BA221" s="291">
        <f t="shared" si="601"/>
        <v>131</v>
      </c>
      <c r="BB221" s="45">
        <f t="shared" si="602"/>
        <v>131</v>
      </c>
      <c r="BC221" s="290">
        <f t="shared" si="603"/>
        <v>131</v>
      </c>
      <c r="BD221" s="260">
        <f t="shared" si="604"/>
        <v>131</v>
      </c>
      <c r="BE221" s="260">
        <f t="shared" si="605"/>
        <v>131</v>
      </c>
      <c r="BF221" s="291">
        <f t="shared" si="606"/>
        <v>131</v>
      </c>
      <c r="BG221" s="45">
        <f t="shared" si="607"/>
        <v>131</v>
      </c>
      <c r="BH221" s="290">
        <f t="shared" si="608"/>
        <v>131</v>
      </c>
      <c r="BI221" s="260">
        <f t="shared" si="609"/>
        <v>131</v>
      </c>
      <c r="BJ221" s="260">
        <f t="shared" si="610"/>
        <v>131</v>
      </c>
      <c r="BK221" s="291">
        <f t="shared" si="611"/>
        <v>131</v>
      </c>
      <c r="BL221" s="45">
        <f t="shared" si="612"/>
        <v>131</v>
      </c>
      <c r="BM221" s="1716"/>
      <c r="BN221" s="1716"/>
      <c r="BO221" s="1716"/>
      <c r="BP221" s="1716"/>
      <c r="BQ221" s="1716"/>
      <c r="BR221" s="1716"/>
      <c r="BS221" s="1716"/>
      <c r="BT221" s="1716"/>
      <c r="BU221" s="1716"/>
      <c r="BV221" s="1716"/>
      <c r="BW221" s="1716"/>
      <c r="BX221" s="1716"/>
      <c r="BY221" s="1716"/>
      <c r="BZ221" s="1716"/>
      <c r="CA221" s="1716"/>
      <c r="CB221" s="1716"/>
      <c r="CC221" s="1716"/>
      <c r="CD221" s="1716"/>
      <c r="CE221" s="1716"/>
      <c r="CF221" s="1716"/>
      <c r="CG221" s="1716"/>
      <c r="CH221" s="1716"/>
      <c r="CI221" s="1716"/>
      <c r="CJ221" s="1716"/>
      <c r="CK221" s="1716"/>
      <c r="CL221" s="1716"/>
      <c r="CM221" s="1716"/>
      <c r="CN221" s="1716"/>
      <c r="CO221" s="1716"/>
      <c r="CP221" s="1716"/>
    </row>
    <row r="222" spans="1:94" s="1909" customFormat="1">
      <c r="A222" s="1756"/>
      <c r="B222" s="1756"/>
      <c r="C222" s="1756" t="s">
        <v>187</v>
      </c>
      <c r="D222" s="1756"/>
      <c r="E222" s="1906"/>
      <c r="F222" s="1907"/>
      <c r="G222" s="1907"/>
      <c r="H222" s="1908"/>
      <c r="I222" s="1756"/>
      <c r="J222" s="1906"/>
      <c r="K222" s="1907"/>
      <c r="L222" s="1907"/>
      <c r="M222" s="1908"/>
      <c r="N222" s="1756"/>
      <c r="O222" s="1906"/>
      <c r="P222" s="1907"/>
      <c r="Q222" s="1907"/>
      <c r="R222" s="1908"/>
      <c r="S222" s="1756"/>
      <c r="T222" s="292">
        <f t="shared" ref="T222:AW222" si="614">SUM(T218:T221)</f>
        <v>628</v>
      </c>
      <c r="U222" s="261">
        <f t="shared" si="614"/>
        <v>652</v>
      </c>
      <c r="V222" s="261">
        <f t="shared" si="614"/>
        <v>700</v>
      </c>
      <c r="W222" s="293">
        <f t="shared" si="614"/>
        <v>561</v>
      </c>
      <c r="X222" s="583">
        <f t="shared" si="614"/>
        <v>561</v>
      </c>
      <c r="Y222" s="292">
        <f t="shared" si="614"/>
        <v>601</v>
      </c>
      <c r="Z222" s="261">
        <f t="shared" si="614"/>
        <v>508</v>
      </c>
      <c r="AA222" s="261">
        <f t="shared" ref="AA222" si="615">SUM(AA218:AA221)</f>
        <v>530</v>
      </c>
      <c r="AB222" s="293">
        <f t="shared" ref="AB222:AC222" si="616">SUM(AB218:AB221)</f>
        <v>517</v>
      </c>
      <c r="AC222" s="583">
        <f t="shared" si="616"/>
        <v>517</v>
      </c>
      <c r="AD222" s="292">
        <f t="shared" ref="AD222:AE222" si="617">SUM(AD218:AD221)</f>
        <v>607</v>
      </c>
      <c r="AE222" s="261">
        <f t="shared" si="617"/>
        <v>342</v>
      </c>
      <c r="AF222" s="261">
        <f t="shared" ref="AF222:AI222" si="618">SUM(AF218:AF221)</f>
        <v>382</v>
      </c>
      <c r="AG222" s="293">
        <f t="shared" si="618"/>
        <v>527</v>
      </c>
      <c r="AH222" s="583">
        <f t="shared" si="618"/>
        <v>527</v>
      </c>
      <c r="AI222" s="292">
        <f t="shared" si="618"/>
        <v>656</v>
      </c>
      <c r="AJ222" s="261">
        <f t="shared" ref="AJ222:AM222" si="619">SUM(AJ218:AJ221)</f>
        <v>518</v>
      </c>
      <c r="AK222" s="261">
        <f t="shared" si="619"/>
        <v>495</v>
      </c>
      <c r="AL222" s="293">
        <f t="shared" si="619"/>
        <v>381</v>
      </c>
      <c r="AM222" s="583">
        <f t="shared" si="619"/>
        <v>381</v>
      </c>
      <c r="AN222" s="292">
        <f t="shared" ref="AN222:AO222" si="620">SUM(AN218:AN221)</f>
        <v>388</v>
      </c>
      <c r="AO222" s="261">
        <f t="shared" si="620"/>
        <v>417</v>
      </c>
      <c r="AP222" s="261">
        <f t="shared" si="614"/>
        <v>432</v>
      </c>
      <c r="AQ222" s="293">
        <f t="shared" ref="AQ222:AR222" si="621">SUM(AQ218:AQ221)</f>
        <v>547</v>
      </c>
      <c r="AR222" s="583">
        <f t="shared" si="621"/>
        <v>547</v>
      </c>
      <c r="AS222" s="286">
        <f t="shared" ca="1" si="614"/>
        <v>459.87004515047562</v>
      </c>
      <c r="AT222" s="258">
        <f t="shared" ca="1" si="614"/>
        <v>480.58123188667645</v>
      </c>
      <c r="AU222" s="258">
        <f t="shared" ca="1" si="614"/>
        <v>248</v>
      </c>
      <c r="AV222" s="287">
        <f t="shared" ca="1" si="614"/>
        <v>248</v>
      </c>
      <c r="AW222" s="341">
        <f t="shared" ca="1" si="614"/>
        <v>248</v>
      </c>
      <c r="AX222" s="286">
        <f t="shared" ref="AX222:BG222" ca="1" si="622">SUM(AX218:AX221)</f>
        <v>260</v>
      </c>
      <c r="AY222" s="258">
        <f t="shared" ca="1" si="622"/>
        <v>280.94799874896603</v>
      </c>
      <c r="AZ222" s="258">
        <f t="shared" ca="1" si="622"/>
        <v>248</v>
      </c>
      <c r="BA222" s="287">
        <f t="shared" ca="1" si="622"/>
        <v>248</v>
      </c>
      <c r="BB222" s="341">
        <f t="shared" ca="1" si="622"/>
        <v>248</v>
      </c>
      <c r="BC222" s="286">
        <f t="shared" ca="1" si="622"/>
        <v>248</v>
      </c>
      <c r="BD222" s="258">
        <f t="shared" ca="1" si="622"/>
        <v>267.26900383854201</v>
      </c>
      <c r="BE222" s="258">
        <f t="shared" ca="1" si="622"/>
        <v>248</v>
      </c>
      <c r="BF222" s="287">
        <f t="shared" ca="1" si="622"/>
        <v>248</v>
      </c>
      <c r="BG222" s="341">
        <f t="shared" ca="1" si="622"/>
        <v>248</v>
      </c>
      <c r="BH222" s="286">
        <f t="shared" ref="BH222:BL222" ca="1" si="623">SUM(BH218:BH221)</f>
        <v>248</v>
      </c>
      <c r="BI222" s="258">
        <f t="shared" ca="1" si="623"/>
        <v>263.18053068095571</v>
      </c>
      <c r="BJ222" s="258">
        <f t="shared" ca="1" si="623"/>
        <v>248</v>
      </c>
      <c r="BK222" s="287">
        <f t="shared" ca="1" si="623"/>
        <v>248.00000000000006</v>
      </c>
      <c r="BL222" s="341">
        <f t="shared" ca="1" si="623"/>
        <v>248.00000000000006</v>
      </c>
      <c r="BM222" s="1756"/>
      <c r="BN222" s="1756"/>
      <c r="BO222" s="1756"/>
      <c r="BP222" s="1756"/>
      <c r="BQ222" s="1756"/>
      <c r="BR222" s="1756"/>
      <c r="BS222" s="1756"/>
      <c r="BT222" s="1756"/>
      <c r="BU222" s="1756"/>
      <c r="BV222" s="1756"/>
      <c r="BW222" s="1756"/>
      <c r="BX222" s="1756"/>
      <c r="BY222" s="1756"/>
      <c r="BZ222" s="1756"/>
      <c r="CA222" s="1756"/>
      <c r="CB222" s="1756"/>
      <c r="CC222" s="1756"/>
      <c r="CD222" s="1756"/>
      <c r="CE222" s="1756"/>
      <c r="CF222" s="1756"/>
      <c r="CG222" s="1756"/>
      <c r="CH222" s="1756"/>
      <c r="CI222" s="1756"/>
      <c r="CJ222" s="1756"/>
      <c r="CK222" s="1756"/>
      <c r="CL222" s="1756"/>
      <c r="CM222" s="1756"/>
      <c r="CN222" s="1756"/>
      <c r="CO222" s="1756"/>
      <c r="CP222" s="1756"/>
    </row>
    <row r="223" spans="1:94">
      <c r="A223" s="1716"/>
      <c r="B223" s="1716"/>
      <c r="C223" s="1716"/>
      <c r="D223" s="1716"/>
      <c r="E223" s="1717"/>
      <c r="F223" s="1718"/>
      <c r="G223" s="1718"/>
      <c r="H223" s="1719"/>
      <c r="I223" s="1716"/>
      <c r="J223" s="1717"/>
      <c r="K223" s="1718"/>
      <c r="L223" s="1718"/>
      <c r="M223" s="1719"/>
      <c r="N223" s="1716"/>
      <c r="O223" s="1717"/>
      <c r="P223" s="1718"/>
      <c r="Q223" s="1718"/>
      <c r="R223" s="1719"/>
      <c r="S223" s="1716"/>
      <c r="T223" s="1717"/>
      <c r="U223" s="1718"/>
      <c r="V223" s="1718"/>
      <c r="W223" s="1719"/>
      <c r="X223" s="1716"/>
      <c r="Y223" s="1717"/>
      <c r="Z223" s="1718"/>
      <c r="AA223" s="1718"/>
      <c r="AB223" s="1719"/>
      <c r="AC223" s="1716"/>
      <c r="AD223" s="1717"/>
      <c r="AE223" s="1718"/>
      <c r="AF223" s="1718"/>
      <c r="AG223" s="1719"/>
      <c r="AH223" s="1716"/>
      <c r="AI223" s="1717"/>
      <c r="AJ223" s="1718"/>
      <c r="AK223" s="1718"/>
      <c r="AL223" s="1719"/>
      <c r="AM223" s="1716"/>
      <c r="AN223" s="1717"/>
      <c r="AO223" s="1718"/>
      <c r="AP223" s="1718"/>
      <c r="AQ223" s="1719"/>
      <c r="AR223" s="1716"/>
      <c r="AS223" s="1913"/>
      <c r="AT223" s="1910"/>
      <c r="AU223" s="1910"/>
      <c r="AV223" s="1911"/>
      <c r="AW223" s="1912"/>
      <c r="AX223" s="1913"/>
      <c r="AY223" s="1910"/>
      <c r="AZ223" s="1910"/>
      <c r="BA223" s="1911"/>
      <c r="BB223" s="1912"/>
      <c r="BC223" s="1913"/>
      <c r="BD223" s="1910"/>
      <c r="BE223" s="1910"/>
      <c r="BF223" s="1911"/>
      <c r="BG223" s="1912"/>
      <c r="BH223" s="1913"/>
      <c r="BI223" s="1910"/>
      <c r="BJ223" s="1910"/>
      <c r="BK223" s="1911"/>
      <c r="BL223" s="1912"/>
      <c r="BM223" s="1716"/>
      <c r="BN223" s="1716"/>
      <c r="BO223" s="1716"/>
      <c r="BP223" s="1716"/>
      <c r="BQ223" s="1716"/>
      <c r="BR223" s="1716"/>
      <c r="BS223" s="1716"/>
      <c r="BT223" s="1716"/>
      <c r="BU223" s="1716"/>
      <c r="BV223" s="1716"/>
      <c r="BW223" s="1716"/>
      <c r="BX223" s="1716"/>
      <c r="BY223" s="1716"/>
      <c r="BZ223" s="1716"/>
      <c r="CA223" s="1716"/>
      <c r="CB223" s="1716"/>
      <c r="CC223" s="1716"/>
      <c r="CD223" s="1716"/>
      <c r="CE223" s="1716"/>
      <c r="CF223" s="1716"/>
      <c r="CG223" s="1716"/>
      <c r="CH223" s="1716"/>
      <c r="CI223" s="1716"/>
      <c r="CJ223" s="1716"/>
      <c r="CK223" s="1716"/>
      <c r="CL223" s="1716"/>
      <c r="CM223" s="1716"/>
      <c r="CN223" s="1716"/>
      <c r="CO223" s="1716"/>
      <c r="CP223" s="1716"/>
    </row>
    <row r="224" spans="1:94">
      <c r="A224" s="1716"/>
      <c r="B224" s="1716"/>
      <c r="C224" s="1716" t="s">
        <v>964</v>
      </c>
      <c r="D224" s="1716"/>
      <c r="E224" s="1717"/>
      <c r="F224" s="1718"/>
      <c r="G224" s="1718"/>
      <c r="H224" s="1719"/>
      <c r="I224" s="1716"/>
      <c r="J224" s="1717"/>
      <c r="K224" s="1718"/>
      <c r="L224" s="1718"/>
      <c r="M224" s="1719"/>
      <c r="N224" s="1716"/>
      <c r="O224" s="1717"/>
      <c r="P224" s="1718"/>
      <c r="Q224" s="1718"/>
      <c r="R224" s="1719"/>
      <c r="S224" s="1716"/>
      <c r="T224" s="337">
        <v>667</v>
      </c>
      <c r="U224" s="338">
        <v>667</v>
      </c>
      <c r="V224" s="338">
        <v>667</v>
      </c>
      <c r="W224" s="1684">
        <v>867</v>
      </c>
      <c r="X224" s="647">
        <f>W224</f>
        <v>867</v>
      </c>
      <c r="Y224" s="337">
        <v>867</v>
      </c>
      <c r="Z224" s="338">
        <v>971</v>
      </c>
      <c r="AA224" s="338">
        <v>971</v>
      </c>
      <c r="AB224" s="1684">
        <v>971</v>
      </c>
      <c r="AC224" s="647">
        <f>AB224</f>
        <v>971</v>
      </c>
      <c r="AD224" s="337">
        <v>971</v>
      </c>
      <c r="AE224" s="338">
        <v>1171</v>
      </c>
      <c r="AF224" s="338">
        <v>1171</v>
      </c>
      <c r="AG224" s="1684">
        <v>1061</v>
      </c>
      <c r="AH224" s="647">
        <f>AG224</f>
        <v>1061</v>
      </c>
      <c r="AI224" s="337">
        <v>1047</v>
      </c>
      <c r="AJ224" s="338">
        <v>1047</v>
      </c>
      <c r="AK224" s="338">
        <v>1047</v>
      </c>
      <c r="AL224" s="1684">
        <v>1221</v>
      </c>
      <c r="AM224" s="647">
        <f>AL224</f>
        <v>1221</v>
      </c>
      <c r="AN224" s="337">
        <v>1217</v>
      </c>
      <c r="AO224" s="338">
        <v>1217</v>
      </c>
      <c r="AP224" s="338">
        <v>1217</v>
      </c>
      <c r="AQ224" s="1684">
        <v>1217</v>
      </c>
      <c r="AR224" s="647">
        <f>AQ224</f>
        <v>1217</v>
      </c>
      <c r="AS224" s="369">
        <f>AS244-AS219</f>
        <v>1296</v>
      </c>
      <c r="AT224" s="353">
        <f>AT244-AT219</f>
        <v>1296</v>
      </c>
      <c r="AU224" s="353">
        <f>AU244-AU219</f>
        <v>1551</v>
      </c>
      <c r="AV224" s="354">
        <f>AV244-AV219</f>
        <v>1551</v>
      </c>
      <c r="AW224" s="340">
        <f>AV224</f>
        <v>1551</v>
      </c>
      <c r="AX224" s="369">
        <f>AX244-AX219</f>
        <v>1539</v>
      </c>
      <c r="AY224" s="353">
        <f>AY244-AY219</f>
        <v>1539</v>
      </c>
      <c r="AZ224" s="353">
        <f>AZ244-AZ219</f>
        <v>1604</v>
      </c>
      <c r="BA224" s="354">
        <f>BA244-BA219</f>
        <v>1604</v>
      </c>
      <c r="BB224" s="340">
        <f>BA224</f>
        <v>1604</v>
      </c>
      <c r="BC224" s="369">
        <f>BC244-BC219</f>
        <v>1604</v>
      </c>
      <c r="BD224" s="353">
        <f>BD244-BD219</f>
        <v>1604</v>
      </c>
      <c r="BE224" s="353">
        <f>BE244-BE219</f>
        <v>1654</v>
      </c>
      <c r="BF224" s="354">
        <f>BF244-BF219</f>
        <v>1654</v>
      </c>
      <c r="BG224" s="340">
        <f>BF224</f>
        <v>1654</v>
      </c>
      <c r="BH224" s="369">
        <f>BH244-BH219</f>
        <v>1654</v>
      </c>
      <c r="BI224" s="353">
        <f>BI244-BI219</f>
        <v>1654</v>
      </c>
      <c r="BJ224" s="353">
        <f>BJ244-BJ219</f>
        <v>1699</v>
      </c>
      <c r="BK224" s="354">
        <f>BK244-BK219</f>
        <v>1699</v>
      </c>
      <c r="BL224" s="340">
        <f>BK224</f>
        <v>1699</v>
      </c>
      <c r="BM224" s="1716"/>
      <c r="BN224" s="1716"/>
      <c r="BO224" s="1716"/>
      <c r="BP224" s="1716"/>
      <c r="BQ224" s="1716"/>
      <c r="BR224" s="1716"/>
      <c r="BS224" s="1716"/>
      <c r="BT224" s="1716"/>
      <c r="BU224" s="1716"/>
      <c r="BV224" s="1716"/>
      <c r="BW224" s="1716"/>
      <c r="BX224" s="1716"/>
      <c r="BY224" s="1716"/>
      <c r="BZ224" s="1716"/>
      <c r="CA224" s="1716"/>
      <c r="CB224" s="1716"/>
      <c r="CC224" s="1716"/>
      <c r="CD224" s="1716"/>
      <c r="CE224" s="1716"/>
      <c r="CF224" s="1716"/>
      <c r="CG224" s="1716"/>
      <c r="CH224" s="1716"/>
      <c r="CI224" s="1716"/>
      <c r="CJ224" s="1716"/>
      <c r="CK224" s="1716"/>
      <c r="CL224" s="1716"/>
      <c r="CM224" s="1716"/>
      <c r="CN224" s="1716"/>
      <c r="CO224" s="1716"/>
      <c r="CP224" s="1716"/>
    </row>
    <row r="225" spans="1:94">
      <c r="A225" s="1716"/>
      <c r="B225" s="1716"/>
      <c r="C225" s="1716" t="s">
        <v>1293</v>
      </c>
      <c r="D225" s="1716"/>
      <c r="E225" s="1717"/>
      <c r="F225" s="1718"/>
      <c r="G225" s="1718"/>
      <c r="H225" s="1719"/>
      <c r="I225" s="1716"/>
      <c r="J225" s="1717"/>
      <c r="K225" s="1718"/>
      <c r="L225" s="1718"/>
      <c r="M225" s="1719"/>
      <c r="N225" s="1716"/>
      <c r="O225" s="1717"/>
      <c r="P225" s="1718"/>
      <c r="Q225" s="1718"/>
      <c r="R225" s="1719"/>
      <c r="S225" s="1716"/>
      <c r="T225" s="337">
        <v>258</v>
      </c>
      <c r="U225" s="338">
        <v>240</v>
      </c>
      <c r="V225" s="338">
        <v>238</v>
      </c>
      <c r="W225" s="1684">
        <v>229</v>
      </c>
      <c r="X225" s="647">
        <f>W225</f>
        <v>229</v>
      </c>
      <c r="Y225" s="337">
        <v>241</v>
      </c>
      <c r="Z225" s="338">
        <v>240</v>
      </c>
      <c r="AA225" s="338">
        <v>223</v>
      </c>
      <c r="AB225" s="1684">
        <v>225</v>
      </c>
      <c r="AC225" s="647">
        <f>AB225</f>
        <v>225</v>
      </c>
      <c r="AD225" s="337">
        <v>241</v>
      </c>
      <c r="AE225" s="338">
        <v>233</v>
      </c>
      <c r="AF225" s="338">
        <v>223</v>
      </c>
      <c r="AG225" s="1684">
        <v>189</v>
      </c>
      <c r="AH225" s="647">
        <f>AG225</f>
        <v>189</v>
      </c>
      <c r="AI225" s="337">
        <v>109</v>
      </c>
      <c r="AJ225" s="338">
        <v>102</v>
      </c>
      <c r="AK225" s="338">
        <v>100</v>
      </c>
      <c r="AL225" s="1684">
        <v>97</v>
      </c>
      <c r="AM225" s="647">
        <f>AL225</f>
        <v>97</v>
      </c>
      <c r="AN225" s="337">
        <v>95</v>
      </c>
      <c r="AO225" s="338">
        <v>95</v>
      </c>
      <c r="AP225" s="338">
        <v>86</v>
      </c>
      <c r="AQ225" s="1684">
        <v>593</v>
      </c>
      <c r="AR225" s="647">
        <f>AQ225</f>
        <v>593</v>
      </c>
      <c r="AS225" s="369">
        <f t="shared" ref="AS225:AW225" si="624">AR225</f>
        <v>593</v>
      </c>
      <c r="AT225" s="353">
        <f t="shared" si="624"/>
        <v>593</v>
      </c>
      <c r="AU225" s="353">
        <f t="shared" si="624"/>
        <v>593</v>
      </c>
      <c r="AV225" s="354">
        <f t="shared" si="624"/>
        <v>593</v>
      </c>
      <c r="AW225" s="340">
        <f t="shared" si="624"/>
        <v>593</v>
      </c>
      <c r="AX225" s="369">
        <f t="shared" ref="AX225:AX227" si="625">AW225</f>
        <v>593</v>
      </c>
      <c r="AY225" s="353">
        <f t="shared" ref="AY225:AY227" si="626">AX225</f>
        <v>593</v>
      </c>
      <c r="AZ225" s="353">
        <f t="shared" ref="AZ225:AZ227" si="627">AY225</f>
        <v>593</v>
      </c>
      <c r="BA225" s="354">
        <f t="shared" ref="BA225:BA227" si="628">AZ225</f>
        <v>593</v>
      </c>
      <c r="BB225" s="340">
        <f t="shared" ref="BB225:BB227" si="629">BA225</f>
        <v>593</v>
      </c>
      <c r="BC225" s="369">
        <f t="shared" ref="BC225:BC227" si="630">BB225</f>
        <v>593</v>
      </c>
      <c r="BD225" s="353">
        <f t="shared" ref="BD225:BD227" si="631">BC225</f>
        <v>593</v>
      </c>
      <c r="BE225" s="353">
        <f t="shared" ref="BE225:BE227" si="632">BD225</f>
        <v>593</v>
      </c>
      <c r="BF225" s="354">
        <f t="shared" ref="BF225:BF227" si="633">BE225</f>
        <v>593</v>
      </c>
      <c r="BG225" s="340">
        <f t="shared" ref="BG225:BG227" si="634">BF225</f>
        <v>593</v>
      </c>
      <c r="BH225" s="369">
        <f t="shared" ref="BH225:BH227" si="635">BG225</f>
        <v>593</v>
      </c>
      <c r="BI225" s="353">
        <f t="shared" ref="BI225:BI227" si="636">BH225</f>
        <v>593</v>
      </c>
      <c r="BJ225" s="353">
        <f t="shared" ref="BJ225:BJ227" si="637">BI225</f>
        <v>593</v>
      </c>
      <c r="BK225" s="354">
        <f t="shared" ref="BK225:BK227" si="638">BJ225</f>
        <v>593</v>
      </c>
      <c r="BL225" s="340">
        <f t="shared" ref="BL225:BL227" si="639">BK225</f>
        <v>593</v>
      </c>
      <c r="BM225" s="1716"/>
      <c r="BN225" s="1716"/>
      <c r="BO225" s="1716"/>
      <c r="BP225" s="1716"/>
      <c r="BQ225" s="1716"/>
      <c r="BR225" s="1716"/>
      <c r="BS225" s="1716"/>
      <c r="BT225" s="1716"/>
      <c r="BU225" s="1716"/>
      <c r="BV225" s="1716"/>
      <c r="BW225" s="1716"/>
      <c r="BX225" s="1716"/>
      <c r="BY225" s="1716"/>
      <c r="BZ225" s="1716"/>
      <c r="CA225" s="1716"/>
      <c r="CB225" s="1716"/>
      <c r="CC225" s="1716"/>
      <c r="CD225" s="1716"/>
      <c r="CE225" s="1716"/>
      <c r="CF225" s="1716"/>
      <c r="CG225" s="1716"/>
      <c r="CH225" s="1716"/>
      <c r="CI225" s="1716"/>
      <c r="CJ225" s="1716"/>
      <c r="CK225" s="1716"/>
      <c r="CL225" s="1716"/>
      <c r="CM225" s="1716"/>
      <c r="CN225" s="1716"/>
      <c r="CO225" s="1716"/>
      <c r="CP225" s="1716"/>
    </row>
    <row r="226" spans="1:94">
      <c r="A226" s="1716"/>
      <c r="B226" s="1716"/>
      <c r="C226" s="1716" t="s">
        <v>678</v>
      </c>
      <c r="D226" s="1716"/>
      <c r="E226" s="1717"/>
      <c r="F226" s="1718"/>
      <c r="G226" s="1718"/>
      <c r="H226" s="1719"/>
      <c r="I226" s="1716"/>
      <c r="J226" s="1717"/>
      <c r="K226" s="1718"/>
      <c r="L226" s="1718"/>
      <c r="M226" s="1719"/>
      <c r="N226" s="1716"/>
      <c r="O226" s="1717"/>
      <c r="P226" s="1718"/>
      <c r="Q226" s="1718"/>
      <c r="R226" s="1719"/>
      <c r="S226" s="1716"/>
      <c r="T226" s="337">
        <v>716</v>
      </c>
      <c r="U226" s="338">
        <v>726</v>
      </c>
      <c r="V226" s="338">
        <v>748</v>
      </c>
      <c r="W226" s="1684">
        <v>816</v>
      </c>
      <c r="X226" s="647">
        <f>W226</f>
        <v>816</v>
      </c>
      <c r="Y226" s="337">
        <v>845</v>
      </c>
      <c r="Z226" s="338">
        <v>857</v>
      </c>
      <c r="AA226" s="338">
        <v>868</v>
      </c>
      <c r="AB226" s="1684">
        <v>893</v>
      </c>
      <c r="AC226" s="647">
        <f>AB226</f>
        <v>893</v>
      </c>
      <c r="AD226" s="337">
        <v>920</v>
      </c>
      <c r="AE226" s="338">
        <v>927</v>
      </c>
      <c r="AF226" s="338">
        <v>944</v>
      </c>
      <c r="AG226" s="1684">
        <v>941</v>
      </c>
      <c r="AH226" s="647">
        <f>AG226</f>
        <v>941</v>
      </c>
      <c r="AI226" s="337">
        <v>939</v>
      </c>
      <c r="AJ226" s="338">
        <v>968</v>
      </c>
      <c r="AK226" s="338">
        <v>1016</v>
      </c>
      <c r="AL226" s="1684">
        <v>1056</v>
      </c>
      <c r="AM226" s="647">
        <f>AL226</f>
        <v>1056</v>
      </c>
      <c r="AN226" s="337">
        <v>1072</v>
      </c>
      <c r="AO226" s="338">
        <v>1092</v>
      </c>
      <c r="AP226" s="338">
        <v>1125</v>
      </c>
      <c r="AQ226" s="1684">
        <v>603</v>
      </c>
      <c r="AR226" s="647">
        <f>AQ226</f>
        <v>603</v>
      </c>
      <c r="AS226" s="369">
        <f t="shared" ref="AS226:AW226" si="640">AR226</f>
        <v>603</v>
      </c>
      <c r="AT226" s="353">
        <f t="shared" si="640"/>
        <v>603</v>
      </c>
      <c r="AU226" s="353">
        <f t="shared" si="640"/>
        <v>603</v>
      </c>
      <c r="AV226" s="354">
        <f t="shared" si="640"/>
        <v>603</v>
      </c>
      <c r="AW226" s="340">
        <f t="shared" si="640"/>
        <v>603</v>
      </c>
      <c r="AX226" s="369">
        <f t="shared" si="625"/>
        <v>603</v>
      </c>
      <c r="AY226" s="353">
        <f t="shared" si="626"/>
        <v>603</v>
      </c>
      <c r="AZ226" s="353">
        <f t="shared" si="627"/>
        <v>603</v>
      </c>
      <c r="BA226" s="354">
        <f t="shared" si="628"/>
        <v>603</v>
      </c>
      <c r="BB226" s="340">
        <f t="shared" si="629"/>
        <v>603</v>
      </c>
      <c r="BC226" s="369">
        <f t="shared" si="630"/>
        <v>603</v>
      </c>
      <c r="BD226" s="353">
        <f t="shared" si="631"/>
        <v>603</v>
      </c>
      <c r="BE226" s="353">
        <f t="shared" si="632"/>
        <v>603</v>
      </c>
      <c r="BF226" s="354">
        <f t="shared" si="633"/>
        <v>603</v>
      </c>
      <c r="BG226" s="340">
        <f t="shared" si="634"/>
        <v>603</v>
      </c>
      <c r="BH226" s="369">
        <f t="shared" si="635"/>
        <v>603</v>
      </c>
      <c r="BI226" s="353">
        <f t="shared" si="636"/>
        <v>603</v>
      </c>
      <c r="BJ226" s="353">
        <f t="shared" si="637"/>
        <v>603</v>
      </c>
      <c r="BK226" s="354">
        <f t="shared" si="638"/>
        <v>603</v>
      </c>
      <c r="BL226" s="340">
        <f t="shared" si="639"/>
        <v>603</v>
      </c>
      <c r="BM226" s="1716"/>
      <c r="BN226" s="1716"/>
      <c r="BO226" s="1716"/>
      <c r="BP226" s="1716"/>
      <c r="BQ226" s="1716"/>
      <c r="BR226" s="1716"/>
      <c r="BS226" s="1716"/>
      <c r="BT226" s="1716"/>
      <c r="BU226" s="1716"/>
      <c r="BV226" s="1716"/>
      <c r="BW226" s="1716"/>
      <c r="BX226" s="1716"/>
      <c r="BY226" s="1716"/>
      <c r="BZ226" s="1716"/>
      <c r="CA226" s="1716"/>
      <c r="CB226" s="1716"/>
      <c r="CC226" s="1716"/>
      <c r="CD226" s="1716"/>
      <c r="CE226" s="1716"/>
      <c r="CF226" s="1716"/>
      <c r="CG226" s="1716"/>
      <c r="CH226" s="1716"/>
      <c r="CI226" s="1716"/>
      <c r="CJ226" s="1716"/>
      <c r="CK226" s="1716"/>
      <c r="CL226" s="1716"/>
      <c r="CM226" s="1716"/>
      <c r="CN226" s="1716"/>
      <c r="CO226" s="1716"/>
      <c r="CP226" s="1716"/>
    </row>
    <row r="227" spans="1:94">
      <c r="A227" s="1716"/>
      <c r="B227" s="1716"/>
      <c r="C227" s="1716" t="s">
        <v>676</v>
      </c>
      <c r="D227" s="1716"/>
      <c r="E227" s="1717"/>
      <c r="F227" s="1718"/>
      <c r="G227" s="1718"/>
      <c r="H227" s="1719"/>
      <c r="I227" s="1716"/>
      <c r="J227" s="1717"/>
      <c r="K227" s="1718"/>
      <c r="L227" s="1718"/>
      <c r="M227" s="1719"/>
      <c r="N227" s="1716"/>
      <c r="O227" s="1717"/>
      <c r="P227" s="1718"/>
      <c r="Q227" s="1718"/>
      <c r="R227" s="1719"/>
      <c r="S227" s="1716"/>
      <c r="T227" s="337">
        <f>5+22+34</f>
        <v>61</v>
      </c>
      <c r="U227" s="338">
        <f>5+25+36</f>
        <v>66</v>
      </c>
      <c r="V227" s="338">
        <f>5+25+36</f>
        <v>66</v>
      </c>
      <c r="W227" s="1684">
        <f>5+23+36</f>
        <v>64</v>
      </c>
      <c r="X227" s="647">
        <f>W227</f>
        <v>64</v>
      </c>
      <c r="Y227" s="337">
        <f>5+22+33</f>
        <v>60</v>
      </c>
      <c r="Z227" s="338">
        <f>4+21+35</f>
        <v>60</v>
      </c>
      <c r="AA227" s="338">
        <f>4+21+36</f>
        <v>61</v>
      </c>
      <c r="AB227" s="1684">
        <f>4+21+35</f>
        <v>60</v>
      </c>
      <c r="AC227" s="647">
        <f>AB227</f>
        <v>60</v>
      </c>
      <c r="AD227" s="337">
        <f>4+20+33</f>
        <v>57</v>
      </c>
      <c r="AE227" s="338">
        <f>4+20+34</f>
        <v>58</v>
      </c>
      <c r="AF227" s="338">
        <f>4+19+34</f>
        <v>57</v>
      </c>
      <c r="AG227" s="1684">
        <f>4+19+33</f>
        <v>56</v>
      </c>
      <c r="AH227" s="647">
        <f>AG227</f>
        <v>56</v>
      </c>
      <c r="AI227" s="337">
        <f>21+60</f>
        <v>81</v>
      </c>
      <c r="AJ227" s="338">
        <f>20+64</f>
        <v>84</v>
      </c>
      <c r="AK227" s="338">
        <f>19+51</f>
        <v>70</v>
      </c>
      <c r="AL227" s="1684">
        <f>19+53</f>
        <v>72</v>
      </c>
      <c r="AM227" s="647">
        <f>AL227</f>
        <v>72</v>
      </c>
      <c r="AN227" s="337">
        <f>17+49</f>
        <v>66</v>
      </c>
      <c r="AO227" s="338">
        <f>20+46</f>
        <v>66</v>
      </c>
      <c r="AP227" s="338">
        <f>17+48</f>
        <v>65</v>
      </c>
      <c r="AQ227" s="1684">
        <f>14+48</f>
        <v>62</v>
      </c>
      <c r="AR227" s="647">
        <f>AQ227</f>
        <v>62</v>
      </c>
      <c r="AS227" s="369">
        <f t="shared" ref="AS227:AW227" si="641">AR227</f>
        <v>62</v>
      </c>
      <c r="AT227" s="353">
        <f t="shared" si="641"/>
        <v>62</v>
      </c>
      <c r="AU227" s="353">
        <f t="shared" si="641"/>
        <v>62</v>
      </c>
      <c r="AV227" s="354">
        <f t="shared" si="641"/>
        <v>62</v>
      </c>
      <c r="AW227" s="340">
        <f t="shared" si="641"/>
        <v>62</v>
      </c>
      <c r="AX227" s="369">
        <f t="shared" si="625"/>
        <v>62</v>
      </c>
      <c r="AY227" s="353">
        <f t="shared" si="626"/>
        <v>62</v>
      </c>
      <c r="AZ227" s="353">
        <f t="shared" si="627"/>
        <v>62</v>
      </c>
      <c r="BA227" s="354">
        <f t="shared" si="628"/>
        <v>62</v>
      </c>
      <c r="BB227" s="340">
        <f t="shared" si="629"/>
        <v>62</v>
      </c>
      <c r="BC227" s="369">
        <f t="shared" si="630"/>
        <v>62</v>
      </c>
      <c r="BD227" s="353">
        <f t="shared" si="631"/>
        <v>62</v>
      </c>
      <c r="BE227" s="353">
        <f t="shared" si="632"/>
        <v>62</v>
      </c>
      <c r="BF227" s="354">
        <f t="shared" si="633"/>
        <v>62</v>
      </c>
      <c r="BG227" s="340">
        <f t="shared" si="634"/>
        <v>62</v>
      </c>
      <c r="BH227" s="369">
        <f t="shared" si="635"/>
        <v>62</v>
      </c>
      <c r="BI227" s="353">
        <f t="shared" si="636"/>
        <v>62</v>
      </c>
      <c r="BJ227" s="353">
        <f t="shared" si="637"/>
        <v>62</v>
      </c>
      <c r="BK227" s="354">
        <f t="shared" si="638"/>
        <v>62</v>
      </c>
      <c r="BL227" s="340">
        <f t="shared" si="639"/>
        <v>62</v>
      </c>
      <c r="BM227" s="1716"/>
      <c r="BN227" s="1716"/>
      <c r="BO227" s="1716"/>
      <c r="BP227" s="1716"/>
      <c r="BQ227" s="1716"/>
      <c r="BR227" s="1716"/>
      <c r="BS227" s="1716"/>
      <c r="BT227" s="1716"/>
      <c r="BU227" s="1716"/>
      <c r="BV227" s="1716"/>
      <c r="BW227" s="1716"/>
      <c r="BX227" s="1716"/>
      <c r="BY227" s="1716"/>
      <c r="BZ227" s="1716"/>
      <c r="CA227" s="1716"/>
      <c r="CB227" s="1716"/>
      <c r="CC227" s="1716"/>
      <c r="CD227" s="1716"/>
      <c r="CE227" s="1716"/>
      <c r="CF227" s="1716"/>
      <c r="CG227" s="1716"/>
      <c r="CH227" s="1716"/>
      <c r="CI227" s="1716"/>
      <c r="CJ227" s="1716"/>
      <c r="CK227" s="1716"/>
      <c r="CL227" s="1716"/>
      <c r="CM227" s="1716"/>
      <c r="CN227" s="1716"/>
      <c r="CO227" s="1716"/>
      <c r="CP227" s="1716"/>
    </row>
    <row r="228" spans="1:94">
      <c r="A228" s="1716"/>
      <c r="B228" s="1716"/>
      <c r="C228" s="1716"/>
      <c r="D228" s="1716"/>
      <c r="E228" s="1717"/>
      <c r="F228" s="1718"/>
      <c r="G228" s="1718"/>
      <c r="H228" s="1719"/>
      <c r="I228" s="1716"/>
      <c r="J228" s="1717"/>
      <c r="K228" s="1718"/>
      <c r="L228" s="1718"/>
      <c r="M228" s="1719"/>
      <c r="N228" s="1716"/>
      <c r="O228" s="1717"/>
      <c r="P228" s="1718"/>
      <c r="Q228" s="1718"/>
      <c r="R228" s="1719"/>
      <c r="S228" s="1716"/>
      <c r="T228" s="1717"/>
      <c r="U228" s="1718"/>
      <c r="V228" s="1718"/>
      <c r="W228" s="1719"/>
      <c r="X228" s="1716"/>
      <c r="Y228" s="1717"/>
      <c r="Z228" s="1718"/>
      <c r="AA228" s="1718"/>
      <c r="AB228" s="1719"/>
      <c r="AC228" s="1716"/>
      <c r="AD228" s="1717"/>
      <c r="AE228" s="1718"/>
      <c r="AF228" s="1718"/>
      <c r="AG228" s="1719"/>
      <c r="AH228" s="1716"/>
      <c r="AI228" s="1717"/>
      <c r="AJ228" s="1718"/>
      <c r="AK228" s="1718"/>
      <c r="AL228" s="1719"/>
      <c r="AM228" s="1716"/>
      <c r="AN228" s="1717"/>
      <c r="AO228" s="1718"/>
      <c r="AP228" s="1718"/>
      <c r="AQ228" s="1719"/>
      <c r="AR228" s="1716"/>
      <c r="AS228" s="1913"/>
      <c r="AT228" s="1910"/>
      <c r="AU228" s="1910"/>
      <c r="AV228" s="1911"/>
      <c r="AW228" s="1912"/>
      <c r="AX228" s="1913"/>
      <c r="AY228" s="1910"/>
      <c r="AZ228" s="1910"/>
      <c r="BA228" s="1911"/>
      <c r="BB228" s="1912"/>
      <c r="BC228" s="1913"/>
      <c r="BD228" s="1910"/>
      <c r="BE228" s="1910"/>
      <c r="BF228" s="1911"/>
      <c r="BG228" s="1912"/>
      <c r="BH228" s="1913"/>
      <c r="BI228" s="1910"/>
      <c r="BJ228" s="1910"/>
      <c r="BK228" s="1911"/>
      <c r="BL228" s="1912"/>
      <c r="BM228" s="1716"/>
      <c r="BN228" s="1716"/>
      <c r="BO228" s="1716"/>
      <c r="BP228" s="1716"/>
      <c r="BQ228" s="1716"/>
      <c r="BR228" s="1716"/>
      <c r="BS228" s="1716"/>
      <c r="BT228" s="1716"/>
      <c r="BU228" s="1716"/>
      <c r="BV228" s="1716"/>
      <c r="BW228" s="1716"/>
      <c r="BX228" s="1716"/>
      <c r="BY228" s="1716"/>
      <c r="BZ228" s="1716"/>
      <c r="CA228" s="1716"/>
      <c r="CB228" s="1716"/>
      <c r="CC228" s="1716"/>
      <c r="CD228" s="1716"/>
      <c r="CE228" s="1716"/>
      <c r="CF228" s="1716"/>
      <c r="CG228" s="1716"/>
      <c r="CH228" s="1716"/>
      <c r="CI228" s="1716"/>
      <c r="CJ228" s="1716"/>
      <c r="CK228" s="1716"/>
      <c r="CL228" s="1716"/>
      <c r="CM228" s="1716"/>
      <c r="CN228" s="1716"/>
      <c r="CO228" s="1716"/>
      <c r="CP228" s="1716"/>
    </row>
    <row r="229" spans="1:94" s="1909" customFormat="1">
      <c r="A229" s="1756"/>
      <c r="B229" s="1756"/>
      <c r="C229" s="1756" t="s">
        <v>190</v>
      </c>
      <c r="D229" s="1756"/>
      <c r="E229" s="1906"/>
      <c r="F229" s="1907"/>
      <c r="G229" s="1907"/>
      <c r="H229" s="1908"/>
      <c r="I229" s="1756"/>
      <c r="J229" s="1906"/>
      <c r="K229" s="1907"/>
      <c r="L229" s="1907"/>
      <c r="M229" s="1908"/>
      <c r="N229" s="1756"/>
      <c r="O229" s="1906"/>
      <c r="P229" s="1907"/>
      <c r="Q229" s="1907"/>
      <c r="R229" s="1908"/>
      <c r="S229" s="1756"/>
      <c r="T229" s="292">
        <f t="shared" ref="T229:Y229" si="642">SUM(T222,T224,T226,T227,T225)</f>
        <v>2330</v>
      </c>
      <c r="U229" s="261">
        <f t="shared" si="642"/>
        <v>2351</v>
      </c>
      <c r="V229" s="261">
        <f t="shared" si="642"/>
        <v>2419</v>
      </c>
      <c r="W229" s="293">
        <f t="shared" si="642"/>
        <v>2537</v>
      </c>
      <c r="X229" s="583">
        <f t="shared" si="642"/>
        <v>2537</v>
      </c>
      <c r="Y229" s="292">
        <f t="shared" si="642"/>
        <v>2614</v>
      </c>
      <c r="Z229" s="261">
        <f t="shared" ref="Z229:AD229" si="643">SUM(Z222,Z224,Z226,Z227,Z225)</f>
        <v>2636</v>
      </c>
      <c r="AA229" s="261">
        <f t="shared" si="643"/>
        <v>2653</v>
      </c>
      <c r="AB229" s="293">
        <f t="shared" si="643"/>
        <v>2666</v>
      </c>
      <c r="AC229" s="583">
        <f t="shared" si="643"/>
        <v>2666</v>
      </c>
      <c r="AD229" s="292">
        <f t="shared" si="643"/>
        <v>2796</v>
      </c>
      <c r="AE229" s="261">
        <f t="shared" ref="AE229:AI229" si="644">SUM(AE222,AE224,AE226,AE227,AE225)</f>
        <v>2731</v>
      </c>
      <c r="AF229" s="261">
        <f t="shared" si="644"/>
        <v>2777</v>
      </c>
      <c r="AG229" s="293">
        <f t="shared" si="644"/>
        <v>2774</v>
      </c>
      <c r="AH229" s="583">
        <f t="shared" si="644"/>
        <v>2774</v>
      </c>
      <c r="AI229" s="292">
        <f t="shared" si="644"/>
        <v>2832</v>
      </c>
      <c r="AJ229" s="261">
        <f t="shared" ref="AJ229:AM229" si="645">SUM(AJ222,AJ224,AJ226,AJ227,AJ225)</f>
        <v>2719</v>
      </c>
      <c r="AK229" s="261">
        <f t="shared" si="645"/>
        <v>2728</v>
      </c>
      <c r="AL229" s="293">
        <f t="shared" si="645"/>
        <v>2827</v>
      </c>
      <c r="AM229" s="583">
        <f t="shared" si="645"/>
        <v>2827</v>
      </c>
      <c r="AN229" s="292">
        <f t="shared" ref="AN229:AR229" si="646">SUM(AN222,AN224,AN226,AN227,AN225)</f>
        <v>2838</v>
      </c>
      <c r="AO229" s="261">
        <f t="shared" si="646"/>
        <v>2887</v>
      </c>
      <c r="AP229" s="261">
        <f t="shared" si="646"/>
        <v>2925</v>
      </c>
      <c r="AQ229" s="293">
        <f t="shared" si="646"/>
        <v>3022</v>
      </c>
      <c r="AR229" s="583">
        <f t="shared" si="646"/>
        <v>3022</v>
      </c>
      <c r="AS229" s="292">
        <f t="shared" ref="AS229:AW229" ca="1" si="647">SUM(AS222,AS224,AS226,AS227,AS225)</f>
        <v>3013.8700451504756</v>
      </c>
      <c r="AT229" s="261">
        <f t="shared" ca="1" si="647"/>
        <v>3034.5812318866765</v>
      </c>
      <c r="AU229" s="261">
        <f t="shared" ca="1" si="647"/>
        <v>3057</v>
      </c>
      <c r="AV229" s="293">
        <f t="shared" ca="1" si="647"/>
        <v>3057</v>
      </c>
      <c r="AW229" s="228">
        <f t="shared" ca="1" si="647"/>
        <v>3057</v>
      </c>
      <c r="AX229" s="292">
        <f t="shared" ref="AX229:BG229" ca="1" si="648">SUM(AX222,AX224,AX226,AX227,AX225)</f>
        <v>3057</v>
      </c>
      <c r="AY229" s="261">
        <f t="shared" ca="1" si="648"/>
        <v>3077.9479987489658</v>
      </c>
      <c r="AZ229" s="261">
        <f t="shared" ca="1" si="648"/>
        <v>3110</v>
      </c>
      <c r="BA229" s="293">
        <f t="shared" ca="1" si="648"/>
        <v>3110</v>
      </c>
      <c r="BB229" s="228">
        <f t="shared" ca="1" si="648"/>
        <v>3110</v>
      </c>
      <c r="BC229" s="292">
        <f t="shared" ca="1" si="648"/>
        <v>3110</v>
      </c>
      <c r="BD229" s="261">
        <f t="shared" ca="1" si="648"/>
        <v>3129.2690038385417</v>
      </c>
      <c r="BE229" s="261">
        <f t="shared" ca="1" si="648"/>
        <v>3160</v>
      </c>
      <c r="BF229" s="293">
        <f t="shared" ca="1" si="648"/>
        <v>3160</v>
      </c>
      <c r="BG229" s="228">
        <f t="shared" ca="1" si="648"/>
        <v>3160</v>
      </c>
      <c r="BH229" s="292">
        <f t="shared" ref="BH229:BL229" ca="1" si="649">SUM(BH222,BH224,BH226,BH227,BH225)</f>
        <v>3160</v>
      </c>
      <c r="BI229" s="261">
        <f t="shared" ca="1" si="649"/>
        <v>3175.1805306809556</v>
      </c>
      <c r="BJ229" s="261">
        <f t="shared" ca="1" si="649"/>
        <v>3205</v>
      </c>
      <c r="BK229" s="293">
        <f t="shared" ca="1" si="649"/>
        <v>3205</v>
      </c>
      <c r="BL229" s="228">
        <f t="shared" ca="1" si="649"/>
        <v>3205</v>
      </c>
      <c r="BM229" s="1756"/>
      <c r="BN229" s="1756"/>
      <c r="BO229" s="1756"/>
      <c r="BP229" s="1756"/>
      <c r="BQ229" s="1756"/>
      <c r="BR229" s="1756"/>
      <c r="BS229" s="1756"/>
      <c r="BT229" s="1756"/>
      <c r="BU229" s="1756"/>
      <c r="BV229" s="1756"/>
      <c r="BW229" s="1756"/>
      <c r="BX229" s="1756"/>
      <c r="BY229" s="1756"/>
      <c r="BZ229" s="1756"/>
      <c r="CA229" s="1756"/>
      <c r="CB229" s="1756"/>
      <c r="CC229" s="1756"/>
      <c r="CD229" s="1756"/>
      <c r="CE229" s="1756"/>
      <c r="CF229" s="1756"/>
      <c r="CG229" s="1756"/>
      <c r="CH229" s="1756"/>
      <c r="CI229" s="1756"/>
      <c r="CJ229" s="1756"/>
      <c r="CK229" s="1756"/>
      <c r="CL229" s="1756"/>
      <c r="CM229" s="1756"/>
      <c r="CN229" s="1756"/>
      <c r="CO229" s="1756"/>
      <c r="CP229" s="1756"/>
    </row>
    <row r="230" spans="1:94">
      <c r="A230" s="1716"/>
      <c r="B230" s="1716"/>
      <c r="C230" s="1716"/>
      <c r="D230" s="1716"/>
      <c r="E230" s="1717"/>
      <c r="F230" s="1718"/>
      <c r="G230" s="1718"/>
      <c r="H230" s="1719"/>
      <c r="I230" s="1716"/>
      <c r="J230" s="1717"/>
      <c r="K230" s="1718"/>
      <c r="L230" s="1718"/>
      <c r="M230" s="1719"/>
      <c r="N230" s="1716"/>
      <c r="O230" s="1717"/>
      <c r="P230" s="1718"/>
      <c r="Q230" s="1718"/>
      <c r="R230" s="1719"/>
      <c r="S230" s="1716"/>
      <c r="T230" s="1717"/>
      <c r="U230" s="1718"/>
      <c r="V230" s="1718"/>
      <c r="W230" s="1719"/>
      <c r="X230" s="1716"/>
      <c r="Y230" s="1717"/>
      <c r="Z230" s="1718"/>
      <c r="AA230" s="1718"/>
      <c r="AB230" s="1719"/>
      <c r="AC230" s="1716"/>
      <c r="AD230" s="1717"/>
      <c r="AE230" s="1718"/>
      <c r="AF230" s="1718"/>
      <c r="AG230" s="1719"/>
      <c r="AH230" s="1716"/>
      <c r="AI230" s="1717"/>
      <c r="AJ230" s="1718"/>
      <c r="AK230" s="1718"/>
      <c r="AL230" s="1719"/>
      <c r="AM230" s="1716"/>
      <c r="AN230" s="1717"/>
      <c r="AO230" s="1718"/>
      <c r="AP230" s="1718"/>
      <c r="AQ230" s="1719"/>
      <c r="AR230" s="1716"/>
      <c r="AS230" s="1717"/>
      <c r="AT230" s="1718"/>
      <c r="AU230" s="1718"/>
      <c r="AV230" s="1719"/>
      <c r="AW230" s="1716"/>
      <c r="AX230" s="1717"/>
      <c r="AY230" s="1718"/>
      <c r="AZ230" s="1718"/>
      <c r="BA230" s="1719"/>
      <c r="BB230" s="1716"/>
      <c r="BC230" s="1717"/>
      <c r="BD230" s="1718"/>
      <c r="BE230" s="1718"/>
      <c r="BF230" s="1719"/>
      <c r="BG230" s="1716"/>
      <c r="BH230" s="1717"/>
      <c r="BI230" s="1718"/>
      <c r="BJ230" s="1718"/>
      <c r="BK230" s="1719"/>
      <c r="BL230" s="1716"/>
      <c r="BM230" s="1716"/>
      <c r="BN230" s="1716"/>
      <c r="BO230" s="1716"/>
      <c r="BP230" s="1716"/>
      <c r="BQ230" s="1716"/>
      <c r="BR230" s="1716"/>
      <c r="BS230" s="1716"/>
      <c r="BT230" s="1716"/>
      <c r="BU230" s="1716"/>
      <c r="BV230" s="1716"/>
      <c r="BW230" s="1716"/>
      <c r="BX230" s="1716"/>
      <c r="BY230" s="1716"/>
      <c r="BZ230" s="1716"/>
      <c r="CA230" s="1716"/>
      <c r="CB230" s="1716"/>
      <c r="CC230" s="1716"/>
      <c r="CD230" s="1716"/>
      <c r="CE230" s="1716"/>
      <c r="CF230" s="1716"/>
      <c r="CG230" s="1716"/>
      <c r="CH230" s="1716"/>
      <c r="CI230" s="1716"/>
      <c r="CJ230" s="1716"/>
      <c r="CK230" s="1716"/>
      <c r="CL230" s="1716"/>
      <c r="CM230" s="1716"/>
      <c r="CN230" s="1716"/>
      <c r="CO230" s="1716"/>
      <c r="CP230" s="1716"/>
    </row>
    <row r="231" spans="1:94">
      <c r="A231" s="1716"/>
      <c r="B231" s="1716"/>
      <c r="C231" s="1716" t="s">
        <v>254</v>
      </c>
      <c r="D231" s="1716"/>
      <c r="E231" s="1717"/>
      <c r="F231" s="1718"/>
      <c r="G231" s="1718"/>
      <c r="H231" s="1719"/>
      <c r="I231" s="1716"/>
      <c r="J231" s="1717"/>
      <c r="K231" s="1718"/>
      <c r="L231" s="1718"/>
      <c r="M231" s="1719"/>
      <c r="N231" s="1716"/>
      <c r="O231" s="1717"/>
      <c r="P231" s="1718"/>
      <c r="Q231" s="1718"/>
      <c r="R231" s="1719"/>
      <c r="S231" s="1716"/>
      <c r="T231" s="337">
        <v>0</v>
      </c>
      <c r="U231" s="338">
        <v>0</v>
      </c>
      <c r="V231" s="338">
        <v>0</v>
      </c>
      <c r="W231" s="1684">
        <v>0</v>
      </c>
      <c r="X231" s="647">
        <f>W231</f>
        <v>0</v>
      </c>
      <c r="Y231" s="337">
        <v>0</v>
      </c>
      <c r="Z231" s="338">
        <v>0</v>
      </c>
      <c r="AA231" s="338">
        <v>0</v>
      </c>
      <c r="AB231" s="1684">
        <v>0</v>
      </c>
      <c r="AC231" s="647">
        <f>AB231</f>
        <v>0</v>
      </c>
      <c r="AD231" s="337">
        <v>0</v>
      </c>
      <c r="AE231" s="338">
        <v>0</v>
      </c>
      <c r="AF231" s="338">
        <v>0</v>
      </c>
      <c r="AG231" s="1684">
        <v>0</v>
      </c>
      <c r="AH231" s="647">
        <f>AG231</f>
        <v>0</v>
      </c>
      <c r="AI231" s="337">
        <v>0</v>
      </c>
      <c r="AJ231" s="338">
        <v>0</v>
      </c>
      <c r="AK231" s="338">
        <v>0</v>
      </c>
      <c r="AL231" s="1684">
        <v>0</v>
      </c>
      <c r="AM231" s="647">
        <f>AL231</f>
        <v>0</v>
      </c>
      <c r="AN231" s="337">
        <v>0</v>
      </c>
      <c r="AO231" s="338">
        <v>0</v>
      </c>
      <c r="AP231" s="338">
        <v>0</v>
      </c>
      <c r="AQ231" s="1684">
        <v>0</v>
      </c>
      <c r="AR231" s="647">
        <f>AQ231</f>
        <v>0</v>
      </c>
      <c r="AS231" s="290">
        <f t="shared" ref="AS231:AW231" si="650">AR231</f>
        <v>0</v>
      </c>
      <c r="AT231" s="260">
        <f t="shared" si="650"/>
        <v>0</v>
      </c>
      <c r="AU231" s="260">
        <f t="shared" si="650"/>
        <v>0</v>
      </c>
      <c r="AV231" s="291">
        <f t="shared" si="650"/>
        <v>0</v>
      </c>
      <c r="AW231" s="45">
        <f t="shared" si="650"/>
        <v>0</v>
      </c>
      <c r="AX231" s="290">
        <f t="shared" ref="AX231:AX232" si="651">AW231</f>
        <v>0</v>
      </c>
      <c r="AY231" s="260">
        <f t="shared" ref="AY231:AY232" si="652">AX231</f>
        <v>0</v>
      </c>
      <c r="AZ231" s="260">
        <f t="shared" ref="AZ231:AZ232" si="653">AY231</f>
        <v>0</v>
      </c>
      <c r="BA231" s="291">
        <f t="shared" ref="BA231:BA232" si="654">AZ231</f>
        <v>0</v>
      </c>
      <c r="BB231" s="45">
        <f t="shared" ref="BB231:BB233" si="655">BA231</f>
        <v>0</v>
      </c>
      <c r="BC231" s="290">
        <f t="shared" ref="BC231:BC232" si="656">BB231</f>
        <v>0</v>
      </c>
      <c r="BD231" s="260">
        <f t="shared" ref="BD231:BD232" si="657">BC231</f>
        <v>0</v>
      </c>
      <c r="BE231" s="260">
        <f t="shared" ref="BE231:BE232" si="658">BD231</f>
        <v>0</v>
      </c>
      <c r="BF231" s="291">
        <f t="shared" ref="BF231:BF232" si="659">BE231</f>
        <v>0</v>
      </c>
      <c r="BG231" s="45">
        <f t="shared" ref="BG231:BG233" si="660">BF231</f>
        <v>0</v>
      </c>
      <c r="BH231" s="290">
        <f t="shared" ref="BH231:BH232" si="661">BG231</f>
        <v>0</v>
      </c>
      <c r="BI231" s="260">
        <f t="shared" ref="BI231:BI232" si="662">BH231</f>
        <v>0</v>
      </c>
      <c r="BJ231" s="260">
        <f t="shared" ref="BJ231:BJ232" si="663">BI231</f>
        <v>0</v>
      </c>
      <c r="BK231" s="291">
        <f t="shared" ref="BK231:BK232" si="664">BJ231</f>
        <v>0</v>
      </c>
      <c r="BL231" s="45">
        <f t="shared" ref="BL231:BL233" si="665">BK231</f>
        <v>0</v>
      </c>
      <c r="BM231" s="1716"/>
      <c r="BN231" s="1716"/>
      <c r="BO231" s="1716"/>
      <c r="BP231" s="1716"/>
      <c r="BQ231" s="1716"/>
      <c r="BR231" s="1716"/>
      <c r="BS231" s="1716"/>
      <c r="BT231" s="1716"/>
      <c r="BU231" s="1716"/>
      <c r="BV231" s="1716"/>
      <c r="BW231" s="1716"/>
      <c r="BX231" s="1716"/>
      <c r="BY231" s="1716"/>
      <c r="BZ231" s="1716"/>
      <c r="CA231" s="1716"/>
      <c r="CB231" s="1716"/>
      <c r="CC231" s="1716"/>
      <c r="CD231" s="1716"/>
      <c r="CE231" s="1716"/>
      <c r="CF231" s="1716"/>
      <c r="CG231" s="1716"/>
      <c r="CH231" s="1716"/>
      <c r="CI231" s="1716"/>
      <c r="CJ231" s="1716"/>
      <c r="CK231" s="1716"/>
      <c r="CL231" s="1716"/>
      <c r="CM231" s="1716"/>
      <c r="CN231" s="1716"/>
      <c r="CO231" s="1716"/>
      <c r="CP231" s="1716"/>
    </row>
    <row r="232" spans="1:94">
      <c r="A232" s="1716"/>
      <c r="B232" s="1716"/>
      <c r="C232" s="1716" t="s">
        <v>965</v>
      </c>
      <c r="D232" s="1716"/>
      <c r="E232" s="1717"/>
      <c r="F232" s="1718"/>
      <c r="G232" s="1718"/>
      <c r="H232" s="1719"/>
      <c r="I232" s="1716"/>
      <c r="J232" s="1717"/>
      <c r="K232" s="1718"/>
      <c r="L232" s="1718"/>
      <c r="M232" s="1719"/>
      <c r="N232" s="1716"/>
      <c r="O232" s="1717"/>
      <c r="P232" s="1718"/>
      <c r="Q232" s="1718"/>
      <c r="R232" s="1719"/>
      <c r="S232" s="1716"/>
      <c r="T232" s="337">
        <v>407</v>
      </c>
      <c r="U232" s="338">
        <v>407</v>
      </c>
      <c r="V232" s="338">
        <v>407</v>
      </c>
      <c r="W232" s="1684">
        <v>407</v>
      </c>
      <c r="X232" s="647">
        <f>W232</f>
        <v>407</v>
      </c>
      <c r="Y232" s="337">
        <v>407</v>
      </c>
      <c r="Z232" s="338">
        <v>537</v>
      </c>
      <c r="AA232" s="338">
        <v>537</v>
      </c>
      <c r="AB232" s="1684">
        <v>537</v>
      </c>
      <c r="AC232" s="647">
        <f>AB232</f>
        <v>537</v>
      </c>
      <c r="AD232" s="337">
        <v>537</v>
      </c>
      <c r="AE232" s="338">
        <v>612</v>
      </c>
      <c r="AF232" s="338">
        <v>612</v>
      </c>
      <c r="AG232" s="1684">
        <v>612</v>
      </c>
      <c r="AH232" s="647">
        <f>AG232</f>
        <v>612</v>
      </c>
      <c r="AI232" s="337">
        <v>612</v>
      </c>
      <c r="AJ232" s="338">
        <v>725</v>
      </c>
      <c r="AK232" s="338">
        <v>725</v>
      </c>
      <c r="AL232" s="1684">
        <v>764</v>
      </c>
      <c r="AM232" s="647">
        <f>AL232</f>
        <v>764</v>
      </c>
      <c r="AN232" s="337">
        <v>764</v>
      </c>
      <c r="AO232" s="338">
        <v>764</v>
      </c>
      <c r="AP232" s="338">
        <v>764</v>
      </c>
      <c r="AQ232" s="1684">
        <v>764</v>
      </c>
      <c r="AR232" s="647">
        <f>AQ232</f>
        <v>764</v>
      </c>
      <c r="AS232" s="290">
        <f t="shared" ref="AS232:AW233" si="666">AR232</f>
        <v>764</v>
      </c>
      <c r="AT232" s="260">
        <f t="shared" si="666"/>
        <v>764</v>
      </c>
      <c r="AU232" s="260">
        <f t="shared" si="666"/>
        <v>764</v>
      </c>
      <c r="AV232" s="291">
        <f t="shared" si="666"/>
        <v>764</v>
      </c>
      <c r="AW232" s="45">
        <f t="shared" si="666"/>
        <v>764</v>
      </c>
      <c r="AX232" s="290">
        <f t="shared" si="651"/>
        <v>764</v>
      </c>
      <c r="AY232" s="260">
        <f t="shared" si="652"/>
        <v>764</v>
      </c>
      <c r="AZ232" s="260">
        <f t="shared" si="653"/>
        <v>764</v>
      </c>
      <c r="BA232" s="291">
        <f t="shared" si="654"/>
        <v>764</v>
      </c>
      <c r="BB232" s="45">
        <f t="shared" si="655"/>
        <v>764</v>
      </c>
      <c r="BC232" s="290">
        <f t="shared" si="656"/>
        <v>764</v>
      </c>
      <c r="BD232" s="260">
        <f t="shared" si="657"/>
        <v>764</v>
      </c>
      <c r="BE232" s="260">
        <f t="shared" si="658"/>
        <v>764</v>
      </c>
      <c r="BF232" s="291">
        <f t="shared" si="659"/>
        <v>764</v>
      </c>
      <c r="BG232" s="45">
        <f t="shared" si="660"/>
        <v>764</v>
      </c>
      <c r="BH232" s="290">
        <f t="shared" si="661"/>
        <v>764</v>
      </c>
      <c r="BI232" s="260">
        <f t="shared" si="662"/>
        <v>764</v>
      </c>
      <c r="BJ232" s="260">
        <f t="shared" si="663"/>
        <v>764</v>
      </c>
      <c r="BK232" s="291">
        <f t="shared" si="664"/>
        <v>764</v>
      </c>
      <c r="BL232" s="45">
        <f t="shared" si="665"/>
        <v>764</v>
      </c>
      <c r="BM232" s="1716"/>
      <c r="BN232" s="1716"/>
      <c r="BO232" s="1716"/>
      <c r="BP232" s="1716"/>
      <c r="BQ232" s="1716"/>
      <c r="BR232" s="1716"/>
      <c r="BS232" s="1716"/>
      <c r="BT232" s="1716"/>
      <c r="BU232" s="1716"/>
      <c r="BV232" s="1716"/>
      <c r="BW232" s="1716"/>
      <c r="BX232" s="1716"/>
      <c r="BY232" s="1716"/>
      <c r="BZ232" s="1716"/>
      <c r="CA232" s="1716"/>
      <c r="CB232" s="1716"/>
      <c r="CC232" s="1716"/>
      <c r="CD232" s="1716"/>
      <c r="CE232" s="1716"/>
      <c r="CF232" s="1716"/>
      <c r="CG232" s="1716"/>
      <c r="CH232" s="1716"/>
      <c r="CI232" s="1716"/>
      <c r="CJ232" s="1716"/>
      <c r="CK232" s="1716"/>
      <c r="CL232" s="1716"/>
      <c r="CM232" s="1716"/>
      <c r="CN232" s="1716"/>
      <c r="CO232" s="1716"/>
      <c r="CP232" s="1716"/>
    </row>
    <row r="233" spans="1:94">
      <c r="A233" s="1716"/>
      <c r="B233" s="1716"/>
      <c r="C233" s="1716" t="s">
        <v>966</v>
      </c>
      <c r="D233" s="1716"/>
      <c r="E233" s="1717"/>
      <c r="F233" s="1718"/>
      <c r="G233" s="1718"/>
      <c r="H233" s="1719"/>
      <c r="I233" s="1716"/>
      <c r="J233" s="1717"/>
      <c r="K233" s="1718"/>
      <c r="L233" s="1718"/>
      <c r="M233" s="1719"/>
      <c r="N233" s="1716"/>
      <c r="O233" s="1717"/>
      <c r="P233" s="1718"/>
      <c r="Q233" s="1718"/>
      <c r="R233" s="1719"/>
      <c r="S233" s="1716"/>
      <c r="T233" s="337">
        <v>604</v>
      </c>
      <c r="U233" s="338">
        <v>596</v>
      </c>
      <c r="V233" s="338">
        <v>609</v>
      </c>
      <c r="W233" s="1684">
        <v>637</v>
      </c>
      <c r="X233" s="647">
        <f>W233</f>
        <v>637</v>
      </c>
      <c r="Y233" s="337">
        <v>654</v>
      </c>
      <c r="Z233" s="338">
        <v>673</v>
      </c>
      <c r="AA233" s="338">
        <v>696</v>
      </c>
      <c r="AB233" s="1684">
        <v>641</v>
      </c>
      <c r="AC233" s="647">
        <f>AB233</f>
        <v>641</v>
      </c>
      <c r="AD233" s="337">
        <v>611</v>
      </c>
      <c r="AE233" s="338">
        <v>619</v>
      </c>
      <c r="AF233" s="338">
        <v>616</v>
      </c>
      <c r="AG233" s="1684">
        <v>625</v>
      </c>
      <c r="AH233" s="647">
        <f>AG233</f>
        <v>625</v>
      </c>
      <c r="AI233" s="337">
        <v>515</v>
      </c>
      <c r="AJ233" s="338">
        <v>527</v>
      </c>
      <c r="AK233" s="338">
        <v>570</v>
      </c>
      <c r="AL233" s="1684">
        <v>562</v>
      </c>
      <c r="AM233" s="647">
        <f>AL233</f>
        <v>562</v>
      </c>
      <c r="AN233" s="337">
        <v>589</v>
      </c>
      <c r="AO233" s="338">
        <v>584</v>
      </c>
      <c r="AP233" s="338">
        <v>587</v>
      </c>
      <c r="AQ233" s="1684">
        <v>571</v>
      </c>
      <c r="AR233" s="647">
        <f>AQ233</f>
        <v>571</v>
      </c>
      <c r="AS233" s="290">
        <f>AR233+AS173+AS189+AS190</f>
        <v>626.27344384651224</v>
      </c>
      <c r="AT233" s="260">
        <f ca="1">AS233+AT173+AT189+AT190</f>
        <v>653.80330915831905</v>
      </c>
      <c r="AU233" s="260">
        <f ca="1">AT233+AU173+AU189+AU190</f>
        <v>698.29233660308671</v>
      </c>
      <c r="AV233" s="291">
        <f ca="1">AU233+AV173+AV189+AV190</f>
        <v>731.97155229931388</v>
      </c>
      <c r="AW233" s="45">
        <f t="shared" ca="1" si="666"/>
        <v>731.97155229931388</v>
      </c>
      <c r="AX233" s="290">
        <f ca="1">AW233+AX173+AX189+AX190</f>
        <v>759.73490276803409</v>
      </c>
      <c r="AY233" s="260">
        <f ca="1">AX233+AY173+AY189+AY190</f>
        <v>758.10588251383706</v>
      </c>
      <c r="AZ233" s="260">
        <f ca="1">AY233+AZ173+AZ189+AZ190</f>
        <v>774.49956712898711</v>
      </c>
      <c r="BA233" s="291">
        <f ca="1">AZ233+BA173+BA189+BA190</f>
        <v>780.66109194285082</v>
      </c>
      <c r="BB233" s="45">
        <f t="shared" ca="1" si="655"/>
        <v>780.66109194285082</v>
      </c>
      <c r="BC233" s="290">
        <f ca="1">BB233+BC173+BC189+BC190</f>
        <v>807.54582852354076</v>
      </c>
      <c r="BD233" s="260">
        <f ca="1">BC233+BD173+BD189+BD190</f>
        <v>805.5777311362458</v>
      </c>
      <c r="BE233" s="260">
        <f ca="1">BD233+BE173+BE189+BE190</f>
        <v>820.50317750635884</v>
      </c>
      <c r="BF233" s="291">
        <f ca="1">BE233+BF173+BF189+BF190</f>
        <v>825.65107780391941</v>
      </c>
      <c r="BG233" s="45">
        <f t="shared" ca="1" si="660"/>
        <v>825.65107780391941</v>
      </c>
      <c r="BH233" s="290">
        <f ca="1">BG233+BH173+BH189+BH190</f>
        <v>852.0946588618865</v>
      </c>
      <c r="BI233" s="260">
        <f ca="1">BH233+BI173+BI189+BI190</f>
        <v>849.84342550828433</v>
      </c>
      <c r="BJ233" s="260">
        <f ca="1">BI233+BJ173+BJ189+BJ190</f>
        <v>864.42017659522662</v>
      </c>
      <c r="BK233" s="291">
        <f ca="1">BJ233+BK173+BK189+BK190</f>
        <v>869.61254893918499</v>
      </c>
      <c r="BL233" s="45">
        <f t="shared" ca="1" si="665"/>
        <v>869.61254893918499</v>
      </c>
      <c r="BM233" s="1716"/>
      <c r="BN233" s="1716"/>
      <c r="BO233" s="1716"/>
      <c r="BP233" s="1716"/>
      <c r="BQ233" s="1716"/>
      <c r="BR233" s="1716"/>
      <c r="BS233" s="1716"/>
      <c r="BT233" s="1716"/>
      <c r="BU233" s="1716"/>
      <c r="BV233" s="1716"/>
      <c r="BW233" s="1716"/>
      <c r="BX233" s="1716"/>
      <c r="BY233" s="1716"/>
      <c r="BZ233" s="1716"/>
      <c r="CA233" s="1716"/>
      <c r="CB233" s="1716"/>
      <c r="CC233" s="1716"/>
      <c r="CD233" s="1716"/>
      <c r="CE233" s="1716"/>
      <c r="CF233" s="1716"/>
      <c r="CG233" s="1716"/>
      <c r="CH233" s="1716"/>
      <c r="CI233" s="1716"/>
      <c r="CJ233" s="1716"/>
      <c r="CK233" s="1716"/>
      <c r="CL233" s="1716"/>
      <c r="CM233" s="1716"/>
      <c r="CN233" s="1716"/>
      <c r="CO233" s="1716"/>
      <c r="CP233" s="1716"/>
    </row>
    <row r="234" spans="1:94" s="1909" customFormat="1">
      <c r="A234" s="1756"/>
      <c r="B234" s="1756"/>
      <c r="C234" s="1756" t="s">
        <v>967</v>
      </c>
      <c r="D234" s="1756"/>
      <c r="E234" s="1906"/>
      <c r="F234" s="1907"/>
      <c r="G234" s="1907"/>
      <c r="H234" s="1908"/>
      <c r="I234" s="1756"/>
      <c r="J234" s="1906"/>
      <c r="K234" s="1907"/>
      <c r="L234" s="1907"/>
      <c r="M234" s="1908"/>
      <c r="N234" s="1756"/>
      <c r="O234" s="1906"/>
      <c r="P234" s="1907"/>
      <c r="Q234" s="1907"/>
      <c r="R234" s="1908"/>
      <c r="S234" s="1756"/>
      <c r="T234" s="292">
        <f t="shared" ref="T234:Y234" si="667">SUM(T231:T233)</f>
        <v>1011</v>
      </c>
      <c r="U234" s="261">
        <f t="shared" si="667"/>
        <v>1003</v>
      </c>
      <c r="V234" s="261">
        <f t="shared" si="667"/>
        <v>1016</v>
      </c>
      <c r="W234" s="293">
        <f t="shared" si="667"/>
        <v>1044</v>
      </c>
      <c r="X234" s="583">
        <f t="shared" si="667"/>
        <v>1044</v>
      </c>
      <c r="Y234" s="292">
        <f t="shared" si="667"/>
        <v>1061</v>
      </c>
      <c r="Z234" s="261">
        <f t="shared" ref="Z234:AW234" si="668">SUM(Z231:Z233)</f>
        <v>1210</v>
      </c>
      <c r="AA234" s="261">
        <f t="shared" ref="AA234" si="669">SUM(AA231:AA233)</f>
        <v>1233</v>
      </c>
      <c r="AB234" s="293">
        <f t="shared" ref="AB234:AC234" si="670">SUM(AB231:AB233)</f>
        <v>1178</v>
      </c>
      <c r="AC234" s="583">
        <f t="shared" si="670"/>
        <v>1178</v>
      </c>
      <c r="AD234" s="292">
        <f t="shared" ref="AD234" si="671">SUM(AD231:AD233)</f>
        <v>1148</v>
      </c>
      <c r="AE234" s="261">
        <f t="shared" ref="AE234:AI234" si="672">SUM(AE231:AE233)</f>
        <v>1231</v>
      </c>
      <c r="AF234" s="261">
        <f t="shared" si="672"/>
        <v>1228</v>
      </c>
      <c r="AG234" s="293">
        <f t="shared" si="672"/>
        <v>1237</v>
      </c>
      <c r="AH234" s="583">
        <f t="shared" si="672"/>
        <v>1237</v>
      </c>
      <c r="AI234" s="292">
        <f t="shared" si="672"/>
        <v>1127</v>
      </c>
      <c r="AJ234" s="261">
        <f t="shared" ref="AJ234:AM234" si="673">SUM(AJ231:AJ233)</f>
        <v>1252</v>
      </c>
      <c r="AK234" s="261">
        <f t="shared" si="673"/>
        <v>1295</v>
      </c>
      <c r="AL234" s="293">
        <f t="shared" si="673"/>
        <v>1326</v>
      </c>
      <c r="AM234" s="583">
        <f t="shared" si="673"/>
        <v>1326</v>
      </c>
      <c r="AN234" s="292">
        <f t="shared" ref="AN234:AO234" si="674">SUM(AN231:AN233)</f>
        <v>1353</v>
      </c>
      <c r="AO234" s="261">
        <f t="shared" si="674"/>
        <v>1348</v>
      </c>
      <c r="AP234" s="261">
        <f t="shared" si="668"/>
        <v>1351</v>
      </c>
      <c r="AQ234" s="293">
        <f t="shared" si="668"/>
        <v>1335</v>
      </c>
      <c r="AR234" s="583">
        <f t="shared" si="668"/>
        <v>1335</v>
      </c>
      <c r="AS234" s="286">
        <f t="shared" si="668"/>
        <v>1390.2734438465122</v>
      </c>
      <c r="AT234" s="258">
        <f t="shared" ca="1" si="668"/>
        <v>1417.8033091583191</v>
      </c>
      <c r="AU234" s="258">
        <f t="shared" ca="1" si="668"/>
        <v>1462.2923366030868</v>
      </c>
      <c r="AV234" s="287">
        <f t="shared" ca="1" si="668"/>
        <v>1495.9715522993138</v>
      </c>
      <c r="AW234" s="341">
        <f t="shared" ca="1" si="668"/>
        <v>1495.9715522993138</v>
      </c>
      <c r="AX234" s="286">
        <f t="shared" ref="AX234:BG234" ca="1" si="675">SUM(AX231:AX233)</f>
        <v>1523.7349027680341</v>
      </c>
      <c r="AY234" s="258">
        <f t="shared" ca="1" si="675"/>
        <v>1522.1058825138371</v>
      </c>
      <c r="AZ234" s="258">
        <f t="shared" ca="1" si="675"/>
        <v>1538.4995671289871</v>
      </c>
      <c r="BA234" s="287">
        <f t="shared" ca="1" si="675"/>
        <v>1544.6610919428508</v>
      </c>
      <c r="BB234" s="341">
        <f t="shared" ca="1" si="675"/>
        <v>1544.6610919428508</v>
      </c>
      <c r="BC234" s="286">
        <f t="shared" ca="1" si="675"/>
        <v>1571.5458285235409</v>
      </c>
      <c r="BD234" s="258">
        <f t="shared" ca="1" si="675"/>
        <v>1569.5777311362458</v>
      </c>
      <c r="BE234" s="258">
        <f t="shared" ca="1" si="675"/>
        <v>1584.503177506359</v>
      </c>
      <c r="BF234" s="287">
        <f t="shared" ca="1" si="675"/>
        <v>1589.6510778039194</v>
      </c>
      <c r="BG234" s="341">
        <f t="shared" ca="1" si="675"/>
        <v>1589.6510778039194</v>
      </c>
      <c r="BH234" s="286">
        <f t="shared" ref="BH234:BL234" ca="1" si="676">SUM(BH231:BH233)</f>
        <v>1616.0946588618865</v>
      </c>
      <c r="BI234" s="258">
        <f t="shared" ca="1" si="676"/>
        <v>1613.8434255082843</v>
      </c>
      <c r="BJ234" s="258">
        <f t="shared" ca="1" si="676"/>
        <v>1628.4201765952266</v>
      </c>
      <c r="BK234" s="287">
        <f t="shared" ca="1" si="676"/>
        <v>1633.612548939185</v>
      </c>
      <c r="BL234" s="341">
        <f t="shared" ca="1" si="676"/>
        <v>1633.612548939185</v>
      </c>
      <c r="BM234" s="1756"/>
      <c r="BN234" s="1756"/>
      <c r="BO234" s="1756"/>
      <c r="BP234" s="1756"/>
      <c r="BQ234" s="1756"/>
      <c r="BR234" s="1756"/>
      <c r="BS234" s="1756"/>
      <c r="BT234" s="1756"/>
      <c r="BU234" s="1756"/>
      <c r="BV234" s="1756"/>
      <c r="BW234" s="1756"/>
      <c r="BX234" s="1756"/>
      <c r="BY234" s="1756"/>
      <c r="BZ234" s="1756"/>
      <c r="CA234" s="1756"/>
      <c r="CB234" s="1756"/>
      <c r="CC234" s="1756"/>
      <c r="CD234" s="1756"/>
      <c r="CE234" s="1756"/>
      <c r="CF234" s="1756"/>
      <c r="CG234" s="1756"/>
      <c r="CH234" s="1756"/>
      <c r="CI234" s="1756"/>
      <c r="CJ234" s="1756"/>
      <c r="CK234" s="1756"/>
      <c r="CL234" s="1756"/>
      <c r="CM234" s="1756"/>
      <c r="CN234" s="1756"/>
      <c r="CO234" s="1756"/>
      <c r="CP234" s="1756"/>
    </row>
    <row r="235" spans="1:94">
      <c r="A235" s="1716"/>
      <c r="B235" s="1716"/>
      <c r="C235" s="1716"/>
      <c r="D235" s="1716"/>
      <c r="E235" s="1717"/>
      <c r="F235" s="1718"/>
      <c r="G235" s="1718"/>
      <c r="H235" s="1719"/>
      <c r="I235" s="1716"/>
      <c r="J235" s="1717"/>
      <c r="K235" s="1718"/>
      <c r="L235" s="1718"/>
      <c r="M235" s="1719"/>
      <c r="N235" s="1716"/>
      <c r="O235" s="1717"/>
      <c r="P235" s="1718"/>
      <c r="Q235" s="1718"/>
      <c r="R235" s="1719"/>
      <c r="S235" s="1716"/>
      <c r="T235" s="1717"/>
      <c r="U235" s="1718"/>
      <c r="V235" s="1718"/>
      <c r="W235" s="1719"/>
      <c r="X235" s="1716"/>
      <c r="Y235" s="1717"/>
      <c r="Z235" s="1718"/>
      <c r="AA235" s="1718"/>
      <c r="AB235" s="1719"/>
      <c r="AC235" s="1716"/>
      <c r="AD235" s="1717"/>
      <c r="AE235" s="1718"/>
      <c r="AF235" s="1718"/>
      <c r="AG235" s="1719"/>
      <c r="AH235" s="1716"/>
      <c r="AI235" s="1717"/>
      <c r="AJ235" s="1718"/>
      <c r="AK235" s="1718"/>
      <c r="AL235" s="1719"/>
      <c r="AM235" s="1716"/>
      <c r="AN235" s="1717"/>
      <c r="AO235" s="1718"/>
      <c r="AP235" s="1910"/>
      <c r="AQ235" s="1719"/>
      <c r="AR235" s="1716"/>
      <c r="AS235" s="1913"/>
      <c r="AT235" s="1910"/>
      <c r="AU235" s="1910"/>
      <c r="AV235" s="1911"/>
      <c r="AW235" s="1912"/>
      <c r="AX235" s="1913"/>
      <c r="AY235" s="1910"/>
      <c r="AZ235" s="1910"/>
      <c r="BA235" s="1911"/>
      <c r="BB235" s="1912"/>
      <c r="BC235" s="1913"/>
      <c r="BD235" s="1910"/>
      <c r="BE235" s="1910"/>
      <c r="BF235" s="1911"/>
      <c r="BG235" s="1912"/>
      <c r="BH235" s="1913"/>
      <c r="BI235" s="1910"/>
      <c r="BJ235" s="1910"/>
      <c r="BK235" s="1911"/>
      <c r="BL235" s="1912"/>
      <c r="BM235" s="1716"/>
      <c r="BN235" s="1716"/>
      <c r="BO235" s="1716"/>
      <c r="BP235" s="1716"/>
      <c r="BQ235" s="1716"/>
      <c r="BR235" s="1716"/>
      <c r="BS235" s="1716"/>
      <c r="BT235" s="1716"/>
      <c r="BU235" s="1716"/>
      <c r="BV235" s="1716"/>
      <c r="BW235" s="1716"/>
      <c r="BX235" s="1716"/>
      <c r="BY235" s="1716"/>
      <c r="BZ235" s="1716"/>
      <c r="CA235" s="1716"/>
      <c r="CB235" s="1716"/>
      <c r="CC235" s="1716"/>
      <c r="CD235" s="1716"/>
      <c r="CE235" s="1716"/>
      <c r="CF235" s="1716"/>
      <c r="CG235" s="1716"/>
      <c r="CH235" s="1716"/>
      <c r="CI235" s="1716"/>
      <c r="CJ235" s="1716"/>
      <c r="CK235" s="1716"/>
      <c r="CL235" s="1716"/>
      <c r="CM235" s="1716"/>
      <c r="CN235" s="1716"/>
      <c r="CO235" s="1716"/>
      <c r="CP235" s="1716"/>
    </row>
    <row r="236" spans="1:94" s="1909" customFormat="1">
      <c r="A236" s="1756"/>
      <c r="B236" s="1756"/>
      <c r="C236" s="1756" t="s">
        <v>970</v>
      </c>
      <c r="D236" s="1756"/>
      <c r="E236" s="1906"/>
      <c r="F236" s="1907"/>
      <c r="G236" s="1907"/>
      <c r="H236" s="1908"/>
      <c r="I236" s="1756"/>
      <c r="J236" s="1906"/>
      <c r="K236" s="1907"/>
      <c r="L236" s="1907"/>
      <c r="M236" s="1908"/>
      <c r="N236" s="1756"/>
      <c r="O236" s="1906"/>
      <c r="P236" s="1907"/>
      <c r="Q236" s="1907"/>
      <c r="R236" s="1908"/>
      <c r="S236" s="1756"/>
      <c r="T236" s="292">
        <f t="shared" ref="T236:Y236" si="677">T234+T229</f>
        <v>3341</v>
      </c>
      <c r="U236" s="261">
        <f t="shared" si="677"/>
        <v>3354</v>
      </c>
      <c r="V236" s="261">
        <f t="shared" si="677"/>
        <v>3435</v>
      </c>
      <c r="W236" s="293">
        <f t="shared" si="677"/>
        <v>3581</v>
      </c>
      <c r="X236" s="583">
        <f t="shared" si="677"/>
        <v>3581</v>
      </c>
      <c r="Y236" s="292">
        <f t="shared" si="677"/>
        <v>3675</v>
      </c>
      <c r="Z236" s="261">
        <f t="shared" ref="Z236:AD236" si="678">Z234+Z229</f>
        <v>3846</v>
      </c>
      <c r="AA236" s="261">
        <f t="shared" si="678"/>
        <v>3886</v>
      </c>
      <c r="AB236" s="293">
        <f t="shared" si="678"/>
        <v>3844</v>
      </c>
      <c r="AC236" s="583">
        <f t="shared" si="678"/>
        <v>3844</v>
      </c>
      <c r="AD236" s="292">
        <f t="shared" si="678"/>
        <v>3944</v>
      </c>
      <c r="AE236" s="261">
        <f t="shared" ref="AE236:AI236" si="679">AE234+AE229</f>
        <v>3962</v>
      </c>
      <c r="AF236" s="261">
        <f t="shared" si="679"/>
        <v>4005</v>
      </c>
      <c r="AG236" s="293">
        <f t="shared" si="679"/>
        <v>4011</v>
      </c>
      <c r="AH236" s="583">
        <f t="shared" si="679"/>
        <v>4011</v>
      </c>
      <c r="AI236" s="292">
        <f t="shared" si="679"/>
        <v>3959</v>
      </c>
      <c r="AJ236" s="261">
        <f t="shared" ref="AJ236:AM236" si="680">AJ234+AJ229</f>
        <v>3971</v>
      </c>
      <c r="AK236" s="261">
        <f t="shared" si="680"/>
        <v>4023</v>
      </c>
      <c r="AL236" s="293">
        <f t="shared" si="680"/>
        <v>4153</v>
      </c>
      <c r="AM236" s="583">
        <f t="shared" si="680"/>
        <v>4153</v>
      </c>
      <c r="AN236" s="292">
        <f t="shared" ref="AN236:AO236" si="681">AN234+AN229</f>
        <v>4191</v>
      </c>
      <c r="AO236" s="261">
        <f t="shared" si="681"/>
        <v>4235</v>
      </c>
      <c r="AP236" s="261">
        <f t="shared" ref="AP236:AW236" si="682">AP234+AP229</f>
        <v>4276</v>
      </c>
      <c r="AQ236" s="293">
        <f t="shared" si="682"/>
        <v>4357</v>
      </c>
      <c r="AR236" s="583">
        <f t="shared" si="682"/>
        <v>4357</v>
      </c>
      <c r="AS236" s="292">
        <f t="shared" ca="1" si="682"/>
        <v>4404.1434889969878</v>
      </c>
      <c r="AT236" s="261">
        <f t="shared" ca="1" si="682"/>
        <v>4452.3845410449958</v>
      </c>
      <c r="AU236" s="261">
        <f t="shared" ca="1" si="682"/>
        <v>4519.2923366030864</v>
      </c>
      <c r="AV236" s="293">
        <f t="shared" ca="1" si="682"/>
        <v>4552.9715522993138</v>
      </c>
      <c r="AW236" s="228">
        <f t="shared" ca="1" si="682"/>
        <v>4552.9715522993138</v>
      </c>
      <c r="AX236" s="292">
        <f t="shared" ref="AX236:BG236" ca="1" si="683">AX234+AX229</f>
        <v>4580.7349027680339</v>
      </c>
      <c r="AY236" s="261">
        <f t="shared" ca="1" si="683"/>
        <v>4600.0538812628029</v>
      </c>
      <c r="AZ236" s="261">
        <f t="shared" ca="1" si="683"/>
        <v>4648.4995671289871</v>
      </c>
      <c r="BA236" s="293">
        <f t="shared" ca="1" si="683"/>
        <v>4654.6610919428513</v>
      </c>
      <c r="BB236" s="228">
        <f t="shared" ca="1" si="683"/>
        <v>4654.6610919428513</v>
      </c>
      <c r="BC236" s="292">
        <f t="shared" ca="1" si="683"/>
        <v>4681.5458285235409</v>
      </c>
      <c r="BD236" s="261">
        <f t="shared" ca="1" si="683"/>
        <v>4698.846734974788</v>
      </c>
      <c r="BE236" s="261">
        <f t="shared" ca="1" si="683"/>
        <v>4744.503177506359</v>
      </c>
      <c r="BF236" s="293">
        <f t="shared" ca="1" si="683"/>
        <v>4749.6510778039192</v>
      </c>
      <c r="BG236" s="228">
        <f t="shared" ca="1" si="683"/>
        <v>4749.6510778039192</v>
      </c>
      <c r="BH236" s="292">
        <f t="shared" ref="BH236:BL236" ca="1" si="684">BH234+BH229</f>
        <v>4776.0946588618863</v>
      </c>
      <c r="BI236" s="261">
        <f t="shared" ca="1" si="684"/>
        <v>4789.0239561892395</v>
      </c>
      <c r="BJ236" s="261">
        <f t="shared" ca="1" si="684"/>
        <v>4833.4201765952266</v>
      </c>
      <c r="BK236" s="293">
        <f t="shared" ca="1" si="684"/>
        <v>4838.6125489391852</v>
      </c>
      <c r="BL236" s="228">
        <f t="shared" ca="1" si="684"/>
        <v>4838.6125489391852</v>
      </c>
      <c r="BM236" s="1756"/>
      <c r="BN236" s="1756"/>
      <c r="BO236" s="1756"/>
      <c r="BP236" s="1756"/>
      <c r="BQ236" s="1756"/>
      <c r="BR236" s="1756"/>
      <c r="BS236" s="1756"/>
      <c r="BT236" s="1756"/>
      <c r="BU236" s="1756"/>
      <c r="BV236" s="1756"/>
      <c r="BW236" s="1756"/>
      <c r="BX236" s="1756"/>
      <c r="BY236" s="1756"/>
      <c r="BZ236" s="1756"/>
      <c r="CA236" s="1756"/>
      <c r="CB236" s="1756"/>
      <c r="CC236" s="1756"/>
      <c r="CD236" s="1756"/>
      <c r="CE236" s="1756"/>
      <c r="CF236" s="1756"/>
      <c r="CG236" s="1756"/>
      <c r="CH236" s="1756"/>
      <c r="CI236" s="1756"/>
      <c r="CJ236" s="1756"/>
      <c r="CK236" s="1756"/>
      <c r="CL236" s="1756"/>
      <c r="CM236" s="1756"/>
      <c r="CN236" s="1756"/>
      <c r="CO236" s="1756"/>
      <c r="CP236" s="1756"/>
    </row>
    <row r="237" spans="1:94">
      <c r="A237" s="1716"/>
      <c r="B237" s="1716"/>
      <c r="C237" s="1716"/>
      <c r="D237" s="1716"/>
      <c r="E237" s="1717"/>
      <c r="F237" s="1718"/>
      <c r="G237" s="1718"/>
      <c r="H237" s="1719"/>
      <c r="I237" s="1716"/>
      <c r="J237" s="1717"/>
      <c r="K237" s="1718"/>
      <c r="L237" s="1718"/>
      <c r="M237" s="1719"/>
      <c r="N237" s="1716"/>
      <c r="O237" s="1717"/>
      <c r="P237" s="1718"/>
      <c r="Q237" s="1718"/>
      <c r="R237" s="1719"/>
      <c r="S237" s="1716"/>
      <c r="T237" s="1717"/>
      <c r="U237" s="1718"/>
      <c r="V237" s="1718"/>
      <c r="W237" s="1719"/>
      <c r="X237" s="1716"/>
      <c r="Y237" s="1717"/>
      <c r="Z237" s="1718"/>
      <c r="AA237" s="1718"/>
      <c r="AB237" s="1719"/>
      <c r="AC237" s="1716"/>
      <c r="AD237" s="1717"/>
      <c r="AE237" s="1718"/>
      <c r="AF237" s="1718"/>
      <c r="AG237" s="1719"/>
      <c r="AH237" s="1716"/>
      <c r="AI237" s="1717"/>
      <c r="AJ237" s="1718"/>
      <c r="AK237" s="1718"/>
      <c r="AL237" s="1719"/>
      <c r="AM237" s="1716"/>
      <c r="AN237" s="1717"/>
      <c r="AO237" s="1718"/>
      <c r="AP237" s="1718"/>
      <c r="AQ237" s="1719"/>
      <c r="AR237" s="1716"/>
      <c r="AS237" s="1717"/>
      <c r="AT237" s="1718"/>
      <c r="AU237" s="1718"/>
      <c r="AV237" s="1719"/>
      <c r="AW237" s="1716"/>
      <c r="AX237" s="1717"/>
      <c r="AY237" s="1718"/>
      <c r="AZ237" s="1718"/>
      <c r="BA237" s="1719"/>
      <c r="BB237" s="1716"/>
      <c r="BC237" s="1717"/>
      <c r="BD237" s="1718"/>
      <c r="BE237" s="1718"/>
      <c r="BF237" s="1719"/>
      <c r="BG237" s="1716"/>
      <c r="BH237" s="1717"/>
      <c r="BI237" s="1718"/>
      <c r="BJ237" s="1718"/>
      <c r="BK237" s="1719"/>
      <c r="BL237" s="1716"/>
      <c r="BM237" s="1716"/>
      <c r="BN237" s="1716"/>
      <c r="BO237" s="1716"/>
      <c r="BP237" s="1716"/>
      <c r="BQ237" s="1716"/>
      <c r="BR237" s="1716"/>
      <c r="BS237" s="1716"/>
      <c r="BT237" s="1716"/>
      <c r="BU237" s="1716"/>
      <c r="BV237" s="1716"/>
      <c r="BW237" s="1716"/>
      <c r="BX237" s="1716"/>
      <c r="BY237" s="1716"/>
      <c r="BZ237" s="1716"/>
      <c r="CA237" s="1716"/>
      <c r="CB237" s="1716"/>
      <c r="CC237" s="1716"/>
      <c r="CD237" s="1716"/>
      <c r="CE237" s="1716"/>
      <c r="CF237" s="1716"/>
      <c r="CG237" s="1716"/>
      <c r="CH237" s="1716"/>
      <c r="CI237" s="1716"/>
      <c r="CJ237" s="1716"/>
      <c r="CK237" s="1716"/>
      <c r="CL237" s="1716"/>
      <c r="CM237" s="1716"/>
      <c r="CN237" s="1716"/>
      <c r="CO237" s="1716"/>
      <c r="CP237" s="1716"/>
    </row>
    <row r="238" spans="1:94" s="1914" customFormat="1">
      <c r="A238" s="1716"/>
      <c r="B238" s="1716"/>
      <c r="C238" s="1716" t="s">
        <v>969</v>
      </c>
      <c r="D238" s="1716"/>
      <c r="E238" s="1717"/>
      <c r="F238" s="1718"/>
      <c r="G238" s="1718"/>
      <c r="H238" s="1719"/>
      <c r="I238" s="1716"/>
      <c r="J238" s="1717"/>
      <c r="K238" s="1718"/>
      <c r="L238" s="1718"/>
      <c r="M238" s="1719"/>
      <c r="N238" s="1716"/>
      <c r="O238" s="1717"/>
      <c r="P238" s="1718"/>
      <c r="Q238" s="1718"/>
      <c r="R238" s="1719"/>
      <c r="S238" s="1716"/>
      <c r="T238" s="290">
        <f t="shared" ref="T238:AW238" si="685">T216-T236</f>
        <v>0</v>
      </c>
      <c r="U238" s="260">
        <f t="shared" si="685"/>
        <v>0</v>
      </c>
      <c r="V238" s="260">
        <f t="shared" si="685"/>
        <v>0</v>
      </c>
      <c r="W238" s="291">
        <f t="shared" si="685"/>
        <v>0</v>
      </c>
      <c r="X238" s="647">
        <f t="shared" si="685"/>
        <v>0</v>
      </c>
      <c r="Y238" s="290">
        <f t="shared" si="685"/>
        <v>0</v>
      </c>
      <c r="Z238" s="260">
        <f t="shared" si="685"/>
        <v>0</v>
      </c>
      <c r="AA238" s="260">
        <f t="shared" si="685"/>
        <v>0</v>
      </c>
      <c r="AB238" s="291">
        <f t="shared" ref="AB238:AF238" si="686">AB216-AB236</f>
        <v>0</v>
      </c>
      <c r="AC238" s="647">
        <f t="shared" si="686"/>
        <v>0</v>
      </c>
      <c r="AD238" s="290">
        <f t="shared" si="686"/>
        <v>0</v>
      </c>
      <c r="AE238" s="260">
        <f t="shared" si="686"/>
        <v>0</v>
      </c>
      <c r="AF238" s="260">
        <f t="shared" si="686"/>
        <v>0</v>
      </c>
      <c r="AG238" s="291">
        <f t="shared" ref="AG238:AJ238" si="687">AG216-AG236</f>
        <v>0</v>
      </c>
      <c r="AH238" s="647">
        <f t="shared" si="687"/>
        <v>0</v>
      </c>
      <c r="AI238" s="290">
        <f t="shared" si="687"/>
        <v>0</v>
      </c>
      <c r="AJ238" s="260">
        <f t="shared" si="687"/>
        <v>0</v>
      </c>
      <c r="AK238" s="260">
        <f t="shared" ref="AK238:AM238" si="688">AK216-AK236</f>
        <v>0</v>
      </c>
      <c r="AL238" s="291">
        <f t="shared" si="688"/>
        <v>0</v>
      </c>
      <c r="AM238" s="647">
        <f t="shared" si="688"/>
        <v>0</v>
      </c>
      <c r="AN238" s="290">
        <f t="shared" ref="AN238:AO238" si="689">AN216-AN236</f>
        <v>0</v>
      </c>
      <c r="AO238" s="260">
        <f t="shared" si="689"/>
        <v>0</v>
      </c>
      <c r="AP238" s="260">
        <f t="shared" si="685"/>
        <v>0</v>
      </c>
      <c r="AQ238" s="291">
        <f t="shared" si="685"/>
        <v>0</v>
      </c>
      <c r="AR238" s="647">
        <f t="shared" si="685"/>
        <v>0</v>
      </c>
      <c r="AS238" s="290">
        <f t="shared" ca="1" si="685"/>
        <v>0</v>
      </c>
      <c r="AT238" s="260">
        <f t="shared" ca="1" si="685"/>
        <v>0</v>
      </c>
      <c r="AU238" s="260">
        <f t="shared" ca="1" si="685"/>
        <v>0</v>
      </c>
      <c r="AV238" s="291">
        <f t="shared" ca="1" si="685"/>
        <v>0</v>
      </c>
      <c r="AW238" s="45">
        <f t="shared" ca="1" si="685"/>
        <v>0</v>
      </c>
      <c r="AX238" s="290">
        <f t="shared" ref="AX238:BG238" ca="1" si="690">AX216-AX236</f>
        <v>0</v>
      </c>
      <c r="AY238" s="260">
        <f t="shared" ca="1" si="690"/>
        <v>0</v>
      </c>
      <c r="AZ238" s="260">
        <f t="shared" ca="1" si="690"/>
        <v>0</v>
      </c>
      <c r="BA238" s="291">
        <f t="shared" ca="1" si="690"/>
        <v>0</v>
      </c>
      <c r="BB238" s="45">
        <f t="shared" ca="1" si="690"/>
        <v>0</v>
      </c>
      <c r="BC238" s="290">
        <f t="shared" ca="1" si="690"/>
        <v>0</v>
      </c>
      <c r="BD238" s="260">
        <f t="shared" ca="1" si="690"/>
        <v>0</v>
      </c>
      <c r="BE238" s="260">
        <f t="shared" ca="1" si="690"/>
        <v>0</v>
      </c>
      <c r="BF238" s="291">
        <f t="shared" ca="1" si="690"/>
        <v>0</v>
      </c>
      <c r="BG238" s="45">
        <f t="shared" ca="1" si="690"/>
        <v>0</v>
      </c>
      <c r="BH238" s="290">
        <f t="shared" ref="BH238:BL238" ca="1" si="691">BH216-BH236</f>
        <v>0</v>
      </c>
      <c r="BI238" s="260">
        <f t="shared" ca="1" si="691"/>
        <v>0</v>
      </c>
      <c r="BJ238" s="260">
        <f t="shared" ca="1" si="691"/>
        <v>0</v>
      </c>
      <c r="BK238" s="291">
        <f t="shared" ca="1" si="691"/>
        <v>0</v>
      </c>
      <c r="BL238" s="45">
        <f t="shared" ca="1" si="691"/>
        <v>0</v>
      </c>
      <c r="BM238" s="1912"/>
      <c r="BN238" s="1912"/>
      <c r="BO238" s="1912"/>
      <c r="BP238" s="1912"/>
      <c r="BQ238" s="1912"/>
      <c r="BR238" s="1912"/>
      <c r="BS238" s="1912"/>
      <c r="BT238" s="1912"/>
      <c r="BU238" s="1912"/>
      <c r="BV238" s="1912"/>
      <c r="BW238" s="1912"/>
      <c r="BX238" s="1912"/>
      <c r="BY238" s="1912"/>
      <c r="BZ238" s="1912"/>
      <c r="CA238" s="1912"/>
      <c r="CB238" s="1912"/>
      <c r="CC238" s="1912"/>
      <c r="CD238" s="1912"/>
      <c r="CE238" s="1912"/>
      <c r="CF238" s="1912"/>
      <c r="CG238" s="1912"/>
      <c r="CH238" s="1912"/>
      <c r="CI238" s="1912"/>
      <c r="CJ238" s="1912"/>
      <c r="CK238" s="1912"/>
      <c r="CL238" s="1912"/>
      <c r="CM238" s="1912"/>
      <c r="CN238" s="1912"/>
      <c r="CO238" s="1912"/>
      <c r="CP238" s="1912"/>
    </row>
    <row r="239" spans="1:94">
      <c r="A239" s="1716"/>
      <c r="B239" s="1716"/>
      <c r="C239" s="1716"/>
      <c r="D239" s="1716"/>
      <c r="E239" s="1717"/>
      <c r="F239" s="1718"/>
      <c r="G239" s="1718"/>
      <c r="H239" s="1719"/>
      <c r="I239" s="1716"/>
      <c r="J239" s="1717"/>
      <c r="K239" s="1718"/>
      <c r="L239" s="1718"/>
      <c r="M239" s="1719"/>
      <c r="N239" s="1716"/>
      <c r="O239" s="1717"/>
      <c r="P239" s="1718"/>
      <c r="Q239" s="1718"/>
      <c r="R239" s="1719"/>
      <c r="S239" s="1716"/>
      <c r="T239" s="1717"/>
      <c r="U239" s="1718"/>
      <c r="V239" s="1718"/>
      <c r="W239" s="1719"/>
      <c r="X239" s="1716"/>
      <c r="Y239" s="1717"/>
      <c r="Z239" s="1718"/>
      <c r="AA239" s="1718"/>
      <c r="AB239" s="1719"/>
      <c r="AC239" s="1716"/>
      <c r="AD239" s="1717"/>
      <c r="AE239" s="1718"/>
      <c r="AF239" s="1718"/>
      <c r="AG239" s="1719"/>
      <c r="AH239" s="1716"/>
      <c r="AI239" s="1717"/>
      <c r="AJ239" s="1718"/>
      <c r="AK239" s="1718"/>
      <c r="AL239" s="1719"/>
      <c r="AM239" s="1716"/>
      <c r="AN239" s="1717"/>
      <c r="AO239" s="1718"/>
      <c r="AP239" s="1718"/>
      <c r="AQ239" s="1719"/>
      <c r="AR239" s="1716"/>
      <c r="AS239" s="1717"/>
      <c r="AT239" s="1718"/>
      <c r="AU239" s="1718"/>
      <c r="AV239" s="1719"/>
      <c r="AW239" s="1716"/>
      <c r="AX239" s="1717"/>
      <c r="AY239" s="1718"/>
      <c r="AZ239" s="1718"/>
      <c r="BA239" s="1719"/>
      <c r="BB239" s="1716"/>
      <c r="BC239" s="1717"/>
      <c r="BD239" s="1718"/>
      <c r="BE239" s="1718"/>
      <c r="BF239" s="1719"/>
      <c r="BG239" s="1716"/>
      <c r="BH239" s="1717"/>
      <c r="BI239" s="1718"/>
      <c r="BJ239" s="1718"/>
      <c r="BK239" s="1719"/>
      <c r="BL239" s="1716"/>
      <c r="BM239" s="1716"/>
      <c r="BN239" s="1716"/>
      <c r="BO239" s="1716"/>
      <c r="BP239" s="1716"/>
      <c r="BQ239" s="1716"/>
      <c r="BR239" s="1716"/>
      <c r="BS239" s="1716"/>
      <c r="BT239" s="1716"/>
      <c r="BU239" s="1716"/>
      <c r="BV239" s="1716"/>
      <c r="BW239" s="1716"/>
      <c r="BX239" s="1716"/>
      <c r="BY239" s="1716"/>
      <c r="BZ239" s="1716"/>
      <c r="CA239" s="1716"/>
      <c r="CB239" s="1716"/>
      <c r="CC239" s="1716"/>
      <c r="CD239" s="1716"/>
      <c r="CE239" s="1716"/>
      <c r="CF239" s="1716"/>
      <c r="CG239" s="1716"/>
      <c r="CH239" s="1716"/>
      <c r="CI239" s="1716"/>
      <c r="CJ239" s="1716"/>
      <c r="CK239" s="1716"/>
      <c r="CL239" s="1716"/>
      <c r="CM239" s="1716"/>
      <c r="CN239" s="1716"/>
      <c r="CO239" s="1716"/>
      <c r="CP239" s="1716"/>
    </row>
    <row r="240" spans="1:94">
      <c r="A240" s="1716"/>
      <c r="B240" s="1771" t="s">
        <v>315</v>
      </c>
      <c r="C240" s="1772"/>
      <c r="D240" s="1773"/>
      <c r="E240" s="1717"/>
      <c r="F240" s="1718"/>
      <c r="G240" s="1718"/>
      <c r="H240" s="1719"/>
      <c r="I240" s="1716"/>
      <c r="J240" s="1717"/>
      <c r="K240" s="1718"/>
      <c r="L240" s="1718"/>
      <c r="M240" s="1719"/>
      <c r="N240" s="1716"/>
      <c r="O240" s="1717"/>
      <c r="P240" s="1718"/>
      <c r="Q240" s="1718"/>
      <c r="R240" s="1719"/>
      <c r="S240" s="1716"/>
      <c r="T240" s="1717"/>
      <c r="U240" s="1718"/>
      <c r="V240" s="1718"/>
      <c r="W240" s="1719"/>
      <c r="X240" s="1716"/>
      <c r="Y240" s="1717"/>
      <c r="Z240" s="1718"/>
      <c r="AA240" s="1718"/>
      <c r="AB240" s="1719"/>
      <c r="AC240" s="1716"/>
      <c r="AD240" s="1717"/>
      <c r="AE240" s="1718"/>
      <c r="AF240" s="1718"/>
      <c r="AG240" s="1719"/>
      <c r="AH240" s="1716"/>
      <c r="AI240" s="1717"/>
      <c r="AJ240" s="1718"/>
      <c r="AK240" s="1718"/>
      <c r="AL240" s="1719"/>
      <c r="AM240" s="1716"/>
      <c r="AN240" s="1717"/>
      <c r="AO240" s="1718"/>
      <c r="AP240" s="1718"/>
      <c r="AQ240" s="1719"/>
      <c r="AR240" s="1716"/>
      <c r="AS240" s="1717"/>
      <c r="AT240" s="1718"/>
      <c r="AU240" s="1718"/>
      <c r="AV240" s="1719"/>
      <c r="AW240" s="1716"/>
      <c r="AX240" s="1717"/>
      <c r="AY240" s="1718"/>
      <c r="AZ240" s="1718"/>
      <c r="BA240" s="1719"/>
      <c r="BB240" s="1716"/>
      <c r="BC240" s="1717"/>
      <c r="BD240" s="1718"/>
      <c r="BE240" s="1718"/>
      <c r="BF240" s="1719"/>
      <c r="BG240" s="1716"/>
      <c r="BH240" s="1717"/>
      <c r="BI240" s="1718"/>
      <c r="BJ240" s="1718"/>
      <c r="BK240" s="1719"/>
      <c r="BL240" s="1716"/>
      <c r="BM240" s="1716"/>
      <c r="BN240" s="1716"/>
      <c r="BO240" s="1716"/>
      <c r="BP240" s="1716"/>
      <c r="BQ240" s="1716"/>
      <c r="BR240" s="1716"/>
      <c r="BS240" s="1716"/>
      <c r="BT240" s="1716"/>
      <c r="BU240" s="1716"/>
      <c r="BV240" s="1716"/>
      <c r="BW240" s="1716"/>
      <c r="BX240" s="1716"/>
      <c r="BY240" s="1716"/>
      <c r="BZ240" s="1716"/>
      <c r="CA240" s="1716"/>
      <c r="CB240" s="1716"/>
      <c r="CC240" s="1716"/>
      <c r="CD240" s="1716"/>
      <c r="CE240" s="1716"/>
      <c r="CF240" s="1716"/>
      <c r="CG240" s="1716"/>
      <c r="CH240" s="1716"/>
      <c r="CI240" s="1716"/>
      <c r="CJ240" s="1716"/>
      <c r="CK240" s="1716"/>
      <c r="CL240" s="1716"/>
      <c r="CM240" s="1716"/>
      <c r="CN240" s="1716"/>
      <c r="CO240" s="1716"/>
      <c r="CP240" s="1716"/>
    </row>
    <row r="241" spans="1:94">
      <c r="A241" s="45"/>
      <c r="B241" s="45"/>
      <c r="C241" s="391" t="s">
        <v>316</v>
      </c>
      <c r="D241" s="45"/>
      <c r="E241" s="337"/>
      <c r="F241" s="338"/>
      <c r="G241" s="338"/>
      <c r="H241" s="291"/>
      <c r="I241" s="1432">
        <v>69</v>
      </c>
      <c r="J241" s="337">
        <v>63</v>
      </c>
      <c r="K241" s="338">
        <v>50</v>
      </c>
      <c r="L241" s="338">
        <v>12</v>
      </c>
      <c r="M241" s="291">
        <f>N241</f>
        <v>5</v>
      </c>
      <c r="N241" s="1432">
        <v>5</v>
      </c>
      <c r="O241" s="337">
        <v>4</v>
      </c>
      <c r="P241" s="338">
        <v>25</v>
      </c>
      <c r="Q241" s="338">
        <v>41</v>
      </c>
      <c r="R241" s="291">
        <f>S241</f>
        <v>6</v>
      </c>
      <c r="S241" s="1432">
        <v>6</v>
      </c>
      <c r="T241" s="290">
        <f>T201</f>
        <v>10</v>
      </c>
      <c r="U241" s="260">
        <f t="shared" ref="U241:AW241" si="692">U201</f>
        <v>3</v>
      </c>
      <c r="V241" s="260">
        <f t="shared" si="692"/>
        <v>4</v>
      </c>
      <c r="W241" s="291">
        <f t="shared" si="692"/>
        <v>2</v>
      </c>
      <c r="X241" s="774">
        <f t="shared" si="692"/>
        <v>2</v>
      </c>
      <c r="Y241" s="290">
        <f t="shared" si="692"/>
        <v>9</v>
      </c>
      <c r="Z241" s="260">
        <f t="shared" si="692"/>
        <v>149</v>
      </c>
      <c r="AA241" s="260">
        <f t="shared" si="692"/>
        <v>178</v>
      </c>
      <c r="AB241" s="291">
        <f t="shared" ref="AB241:AF241" si="693">AB201</f>
        <v>4</v>
      </c>
      <c r="AC241" s="774">
        <f t="shared" si="693"/>
        <v>4</v>
      </c>
      <c r="AD241" s="290">
        <f t="shared" si="693"/>
        <v>7</v>
      </c>
      <c r="AE241" s="260">
        <f t="shared" si="693"/>
        <v>6</v>
      </c>
      <c r="AF241" s="260">
        <f t="shared" si="693"/>
        <v>5</v>
      </c>
      <c r="AG241" s="291">
        <f t="shared" ref="AG241:AK241" si="694">AG201</f>
        <v>5</v>
      </c>
      <c r="AH241" s="774">
        <f t="shared" si="694"/>
        <v>5</v>
      </c>
      <c r="AI241" s="290">
        <f t="shared" si="694"/>
        <v>3</v>
      </c>
      <c r="AJ241" s="260">
        <f t="shared" si="694"/>
        <v>15</v>
      </c>
      <c r="AK241" s="260">
        <f t="shared" si="694"/>
        <v>4</v>
      </c>
      <c r="AL241" s="291">
        <f t="shared" ref="AL241:AO241" si="695">AL201</f>
        <v>46</v>
      </c>
      <c r="AM241" s="774">
        <f t="shared" si="695"/>
        <v>46</v>
      </c>
      <c r="AN241" s="290">
        <f t="shared" si="695"/>
        <v>44</v>
      </c>
      <c r="AO241" s="260">
        <f t="shared" si="695"/>
        <v>6</v>
      </c>
      <c r="AP241" s="260">
        <f t="shared" ref="AP241:AR241" si="696">AP201</f>
        <v>3</v>
      </c>
      <c r="AQ241" s="291">
        <f t="shared" si="696"/>
        <v>2</v>
      </c>
      <c r="AR241" s="774">
        <f t="shared" si="696"/>
        <v>2</v>
      </c>
      <c r="AS241" s="290">
        <f t="shared" ca="1" si="692"/>
        <v>0</v>
      </c>
      <c r="AT241" s="260">
        <f t="shared" ca="1" si="692"/>
        <v>0</v>
      </c>
      <c r="AU241" s="260">
        <f t="shared" ca="1" si="692"/>
        <v>19.384043737211698</v>
      </c>
      <c r="AV241" s="291">
        <f t="shared" ca="1" si="692"/>
        <v>6.2475300806963077</v>
      </c>
      <c r="AW241" s="45">
        <f t="shared" ca="1" si="692"/>
        <v>6.2475300806963077</v>
      </c>
      <c r="AX241" s="290">
        <f t="shared" ref="AX241:BG241" ca="1" si="697">AX201</f>
        <v>6.8899788320928081</v>
      </c>
      <c r="AY241" s="260">
        <f t="shared" ca="1" si="697"/>
        <v>0</v>
      </c>
      <c r="AZ241" s="260">
        <f t="shared" ca="1" si="697"/>
        <v>22.672240928511812</v>
      </c>
      <c r="BA241" s="291">
        <f t="shared" ca="1" si="697"/>
        <v>3.4902001565234571</v>
      </c>
      <c r="BB241" s="45">
        <f t="shared" ca="1" si="697"/>
        <v>3.4902001565234571</v>
      </c>
      <c r="BC241" s="290">
        <f t="shared" ca="1" si="697"/>
        <v>6.3275996867449464</v>
      </c>
      <c r="BD241" s="260">
        <f t="shared" ca="1" si="697"/>
        <v>0</v>
      </c>
      <c r="BE241" s="260">
        <f t="shared" ca="1" si="697"/>
        <v>22.441350031507127</v>
      </c>
      <c r="BF241" s="291">
        <f t="shared" ca="1" si="697"/>
        <v>4.7822242609065171</v>
      </c>
      <c r="BG241" s="45">
        <f t="shared" ca="1" si="697"/>
        <v>4.7822242609065171</v>
      </c>
      <c r="BH241" s="290">
        <f t="shared" ref="BH241:BL241" ca="1" si="698">BH201</f>
        <v>8.9494646897591394</v>
      </c>
      <c r="BI241" s="260">
        <f t="shared" ca="1" si="698"/>
        <v>0</v>
      </c>
      <c r="BJ241" s="260">
        <f t="shared" ca="1" si="698"/>
        <v>22.909894609443526</v>
      </c>
      <c r="BK241" s="291">
        <f t="shared" ca="1" si="698"/>
        <v>7.0033014991057314</v>
      </c>
      <c r="BL241" s="45">
        <f t="shared" ca="1" si="698"/>
        <v>7.0033014991057314</v>
      </c>
      <c r="BM241" s="45"/>
      <c r="BN241" s="45"/>
      <c r="BO241" s="45"/>
      <c r="BP241" s="45"/>
      <c r="BQ241" s="45"/>
      <c r="BR241" s="45"/>
      <c r="BS241" s="45"/>
      <c r="BT241" s="45"/>
      <c r="BU241" s="45"/>
      <c r="BV241" s="45"/>
      <c r="BW241" s="45"/>
      <c r="BX241" s="45"/>
      <c r="BY241" s="45"/>
      <c r="BZ241" s="45"/>
      <c r="CA241" s="45"/>
      <c r="CB241" s="45"/>
      <c r="CC241" s="45"/>
      <c r="CD241" s="45"/>
      <c r="CE241" s="45"/>
      <c r="CF241" s="45"/>
      <c r="CG241" s="45"/>
      <c r="CH241" s="45"/>
      <c r="CI241" s="45"/>
      <c r="CJ241" s="45"/>
      <c r="CK241" s="45"/>
      <c r="CL241" s="45"/>
      <c r="CM241" s="45"/>
      <c r="CN241" s="45"/>
      <c r="CO241" s="45"/>
      <c r="CP241" s="45"/>
    </row>
    <row r="242" spans="1:94">
      <c r="A242" s="45"/>
      <c r="B242" s="45"/>
      <c r="C242" s="391"/>
      <c r="D242" s="45"/>
      <c r="E242" s="662"/>
      <c r="F242" s="663"/>
      <c r="G242" s="663"/>
      <c r="H242" s="664"/>
      <c r="I242" s="665"/>
      <c r="J242" s="662"/>
      <c r="K242" s="663"/>
      <c r="L242" s="663"/>
      <c r="M242" s="664"/>
      <c r="N242" s="665"/>
      <c r="O242" s="662"/>
      <c r="P242" s="663"/>
      <c r="Q242" s="663"/>
      <c r="R242" s="664"/>
      <c r="S242" s="665"/>
      <c r="T242" s="290"/>
      <c r="U242" s="260"/>
      <c r="V242" s="260"/>
      <c r="W242" s="291"/>
      <c r="X242" s="45"/>
      <c r="Y242" s="290"/>
      <c r="Z242" s="260"/>
      <c r="AA242" s="260"/>
      <c r="AB242" s="291"/>
      <c r="AC242" s="45"/>
      <c r="AD242" s="290"/>
      <c r="AE242" s="260"/>
      <c r="AF242" s="260"/>
      <c r="AG242" s="291"/>
      <c r="AH242" s="45"/>
      <c r="AI242" s="290"/>
      <c r="AJ242" s="260"/>
      <c r="AK242" s="260"/>
      <c r="AL242" s="291"/>
      <c r="AM242" s="45"/>
      <c r="AN242" s="290"/>
      <c r="AO242" s="260"/>
      <c r="AP242" s="260"/>
      <c r="AQ242" s="291"/>
      <c r="AR242" s="45"/>
      <c r="AS242" s="290"/>
      <c r="AT242" s="260"/>
      <c r="AU242" s="260"/>
      <c r="AV242" s="291"/>
      <c r="AW242" s="45"/>
      <c r="AX242" s="290"/>
      <c r="AY242" s="260"/>
      <c r="AZ242" s="260"/>
      <c r="BA242" s="291"/>
      <c r="BB242" s="45"/>
      <c r="BC242" s="290"/>
      <c r="BD242" s="260"/>
      <c r="BE242" s="260"/>
      <c r="BF242" s="291"/>
      <c r="BG242" s="45"/>
      <c r="BH242" s="290"/>
      <c r="BI242" s="260"/>
      <c r="BJ242" s="260"/>
      <c r="BK242" s="291"/>
      <c r="BL242" s="45"/>
      <c r="BM242" s="45"/>
      <c r="BN242" s="45"/>
      <c r="BO242" s="45"/>
      <c r="BP242" s="45"/>
      <c r="BQ242" s="45"/>
      <c r="BR242" s="45"/>
      <c r="BS242" s="45"/>
      <c r="BT242" s="45"/>
      <c r="BU242" s="45"/>
      <c r="BV242" s="45"/>
      <c r="BW242" s="45"/>
      <c r="BX242" s="45"/>
      <c r="BY242" s="45"/>
      <c r="BZ242" s="45"/>
      <c r="CA242" s="45"/>
      <c r="CB242" s="45"/>
      <c r="CC242" s="45"/>
      <c r="CD242" s="45"/>
      <c r="CE242" s="45"/>
      <c r="CF242" s="45"/>
      <c r="CG242" s="45"/>
      <c r="CH242" s="45"/>
      <c r="CI242" s="45"/>
      <c r="CJ242" s="45"/>
      <c r="CK242" s="45"/>
      <c r="CL242" s="45"/>
      <c r="CM242" s="45"/>
      <c r="CN242" s="45"/>
      <c r="CO242" s="45"/>
      <c r="CP242" s="45"/>
    </row>
    <row r="243" spans="1:94">
      <c r="A243" s="45"/>
      <c r="B243" s="45"/>
      <c r="C243" s="391" t="s">
        <v>317</v>
      </c>
      <c r="D243" s="45"/>
      <c r="E243" s="337"/>
      <c r="F243" s="338"/>
      <c r="G243" s="338"/>
      <c r="H243" s="291"/>
      <c r="I243" s="1432">
        <v>105</v>
      </c>
      <c r="J243" s="337">
        <v>105</v>
      </c>
      <c r="K243" s="338">
        <v>105</v>
      </c>
      <c r="L243" s="338">
        <v>105</v>
      </c>
      <c r="M243" s="291">
        <f>N243</f>
        <v>152</v>
      </c>
      <c r="N243" s="1432">
        <v>152</v>
      </c>
      <c r="O243" s="337">
        <v>238</v>
      </c>
      <c r="P243" s="338">
        <v>105</v>
      </c>
      <c r="Q243" s="338">
        <v>105</v>
      </c>
      <c r="R243" s="291">
        <f>S243</f>
        <v>137</v>
      </c>
      <c r="S243" s="1432">
        <v>137</v>
      </c>
      <c r="T243" s="290">
        <f>T218</f>
        <v>175</v>
      </c>
      <c r="U243" s="260">
        <f t="shared" ref="U243:Z243" si="699">U218</f>
        <v>214</v>
      </c>
      <c r="V243" s="260">
        <f t="shared" si="699"/>
        <v>255</v>
      </c>
      <c r="W243" s="291">
        <f t="shared" si="699"/>
        <v>252</v>
      </c>
      <c r="X243" s="774">
        <f t="shared" si="699"/>
        <v>252</v>
      </c>
      <c r="Y243" s="290">
        <f t="shared" si="699"/>
        <v>282</v>
      </c>
      <c r="Z243" s="260">
        <f t="shared" si="699"/>
        <v>105</v>
      </c>
      <c r="AA243" s="260">
        <f>+Z243+AA195</f>
        <v>105</v>
      </c>
      <c r="AB243" s="291">
        <f t="shared" ref="AB243:AF243" si="700">AB218</f>
        <v>211</v>
      </c>
      <c r="AC243" s="774">
        <f t="shared" si="700"/>
        <v>211</v>
      </c>
      <c r="AD243" s="290">
        <f t="shared" si="700"/>
        <v>280</v>
      </c>
      <c r="AE243" s="260">
        <f t="shared" si="700"/>
        <v>135</v>
      </c>
      <c r="AF243" s="260">
        <f t="shared" si="700"/>
        <v>171</v>
      </c>
      <c r="AG243" s="291">
        <f t="shared" ref="AG243:AK243" si="701">AG218</f>
        <v>210</v>
      </c>
      <c r="AH243" s="774">
        <f t="shared" si="701"/>
        <v>210</v>
      </c>
      <c r="AI243" s="290">
        <f t="shared" si="701"/>
        <v>75</v>
      </c>
      <c r="AJ243" s="260">
        <f t="shared" si="701"/>
        <v>0</v>
      </c>
      <c r="AK243" s="260">
        <f t="shared" si="701"/>
        <v>17</v>
      </c>
      <c r="AL243" s="291">
        <f t="shared" ref="AL243:AO243" si="702">AL218</f>
        <v>0</v>
      </c>
      <c r="AM243" s="774">
        <f t="shared" si="702"/>
        <v>0</v>
      </c>
      <c r="AN243" s="290">
        <f t="shared" si="702"/>
        <v>0</v>
      </c>
      <c r="AO243" s="260">
        <f t="shared" si="702"/>
        <v>25</v>
      </c>
      <c r="AP243" s="260">
        <f t="shared" ref="AP243:AR243" si="703">AP218</f>
        <v>54</v>
      </c>
      <c r="AQ243" s="291">
        <f t="shared" si="703"/>
        <v>216</v>
      </c>
      <c r="AR243" s="774">
        <f t="shared" si="703"/>
        <v>216</v>
      </c>
      <c r="AS243" s="290">
        <f ca="1">+AR243+AS195</f>
        <v>207.87004515047562</v>
      </c>
      <c r="AT243" s="260">
        <f ca="1">+AS243+AT195</f>
        <v>228.58123188667645</v>
      </c>
      <c r="AU243" s="260">
        <f ca="1">+AT243+AU195</f>
        <v>0</v>
      </c>
      <c r="AV243" s="291">
        <f ca="1">+AU243+AV195</f>
        <v>0</v>
      </c>
      <c r="AW243" s="45">
        <f ca="1">+AV243</f>
        <v>0</v>
      </c>
      <c r="AX243" s="290">
        <f ca="1">+AW243+AX195</f>
        <v>0</v>
      </c>
      <c r="AY243" s="260">
        <f ca="1">+AX243+AY195</f>
        <v>20.947998748966043</v>
      </c>
      <c r="AZ243" s="260">
        <f ca="1">+AY243+AZ195</f>
        <v>0</v>
      </c>
      <c r="BA243" s="291">
        <f ca="1">+AZ243+BA195</f>
        <v>0</v>
      </c>
      <c r="BB243" s="45">
        <f ca="1">+BA243</f>
        <v>0</v>
      </c>
      <c r="BC243" s="290">
        <f ca="1">+BB243+BC195</f>
        <v>0</v>
      </c>
      <c r="BD243" s="260">
        <f ca="1">+BC243+BD195</f>
        <v>19.269003838541991</v>
      </c>
      <c r="BE243" s="260">
        <f ca="1">+BD243+BE195</f>
        <v>0</v>
      </c>
      <c r="BF243" s="291">
        <f ca="1">+BE243+BF195</f>
        <v>0</v>
      </c>
      <c r="BG243" s="45">
        <f ca="1">+BF243</f>
        <v>0</v>
      </c>
      <c r="BH243" s="290">
        <f ca="1">+BG243+BH195</f>
        <v>0</v>
      </c>
      <c r="BI243" s="260">
        <f ca="1">+BH243+BI195</f>
        <v>15.180530680955741</v>
      </c>
      <c r="BJ243" s="260">
        <f ca="1">+BI243+BJ195</f>
        <v>0</v>
      </c>
      <c r="BK243" s="291">
        <f ca="1">+BJ243+BK195</f>
        <v>0</v>
      </c>
      <c r="BL243" s="45">
        <f ca="1">+BK243</f>
        <v>0</v>
      </c>
      <c r="BM243" s="45"/>
      <c r="BN243" s="45"/>
      <c r="BO243" s="45"/>
      <c r="BP243" s="45"/>
      <c r="BQ243" s="45"/>
      <c r="BR243" s="45"/>
      <c r="BS243" s="45"/>
      <c r="BT243" s="45"/>
      <c r="BU243" s="45"/>
      <c r="BV243" s="45"/>
      <c r="BW243" s="45"/>
      <c r="BX243" s="45"/>
      <c r="BY243" s="45"/>
      <c r="BZ243" s="45"/>
      <c r="CA243" s="45"/>
      <c r="CB243" s="45"/>
      <c r="CC243" s="45"/>
      <c r="CD243" s="45"/>
      <c r="CE243" s="45"/>
      <c r="CF243" s="45"/>
      <c r="CG243" s="45"/>
      <c r="CH243" s="45"/>
      <c r="CI243" s="45"/>
      <c r="CJ243" s="45"/>
      <c r="CK243" s="45"/>
      <c r="CL243" s="45"/>
      <c r="CM243" s="45"/>
      <c r="CN243" s="45"/>
      <c r="CO243" s="45"/>
      <c r="CP243" s="45"/>
    </row>
    <row r="244" spans="1:94">
      <c r="A244" s="45"/>
      <c r="B244" s="45"/>
      <c r="C244" s="391" t="s">
        <v>745</v>
      </c>
      <c r="D244" s="45"/>
      <c r="E244" s="337"/>
      <c r="F244" s="338"/>
      <c r="G244" s="338"/>
      <c r="H244" s="291"/>
      <c r="I244" s="339">
        <f>730+35</f>
        <v>765</v>
      </c>
      <c r="J244" s="337">
        <f>730+35</f>
        <v>765</v>
      </c>
      <c r="K244" s="338">
        <f>699+66</f>
        <v>765</v>
      </c>
      <c r="L244" s="338">
        <f>699+66</f>
        <v>765</v>
      </c>
      <c r="M244" s="291">
        <f>+N244</f>
        <v>765</v>
      </c>
      <c r="N244" s="339">
        <f>66+699</f>
        <v>765</v>
      </c>
      <c r="O244" s="337">
        <f>699+66</f>
        <v>765</v>
      </c>
      <c r="P244" s="338">
        <v>948</v>
      </c>
      <c r="Q244" s="338">
        <v>917</v>
      </c>
      <c r="R244" s="291">
        <f>+S244</f>
        <v>917</v>
      </c>
      <c r="S244" s="339">
        <f>250+667</f>
        <v>917</v>
      </c>
      <c r="T244" s="290">
        <f>T219+T224</f>
        <v>917</v>
      </c>
      <c r="U244" s="260">
        <f t="shared" ref="U244:Z244" si="704">U219+U224</f>
        <v>917</v>
      </c>
      <c r="V244" s="260">
        <f t="shared" si="704"/>
        <v>917</v>
      </c>
      <c r="W244" s="291">
        <f t="shared" si="704"/>
        <v>967</v>
      </c>
      <c r="X244" s="45">
        <f t="shared" si="704"/>
        <v>967</v>
      </c>
      <c r="Y244" s="290">
        <f t="shared" si="704"/>
        <v>967</v>
      </c>
      <c r="Z244" s="260">
        <f t="shared" si="704"/>
        <v>1171</v>
      </c>
      <c r="AA244" s="260">
        <f>+Z244+AA186+AA187</f>
        <v>1171</v>
      </c>
      <c r="AB244" s="291">
        <f t="shared" ref="AB244:AF244" si="705">AB219+AB224</f>
        <v>1071</v>
      </c>
      <c r="AC244" s="45">
        <f t="shared" si="705"/>
        <v>1071</v>
      </c>
      <c r="AD244" s="290">
        <f t="shared" si="705"/>
        <v>1071</v>
      </c>
      <c r="AE244" s="260">
        <f t="shared" si="705"/>
        <v>1171</v>
      </c>
      <c r="AF244" s="260">
        <f t="shared" si="705"/>
        <v>1171</v>
      </c>
      <c r="AG244" s="291">
        <f t="shared" ref="AG244:AK244" si="706">AG219+AG224</f>
        <v>1161</v>
      </c>
      <c r="AH244" s="45">
        <f t="shared" si="706"/>
        <v>1161</v>
      </c>
      <c r="AI244" s="290">
        <f t="shared" si="706"/>
        <v>1265</v>
      </c>
      <c r="AJ244" s="260">
        <f t="shared" si="706"/>
        <v>1265</v>
      </c>
      <c r="AK244" s="260">
        <f t="shared" si="706"/>
        <v>1265</v>
      </c>
      <c r="AL244" s="291">
        <f t="shared" ref="AL244:AO244" si="707">AL219+AL224</f>
        <v>1340</v>
      </c>
      <c r="AM244" s="45">
        <f t="shared" si="707"/>
        <v>1340</v>
      </c>
      <c r="AN244" s="290">
        <f t="shared" si="707"/>
        <v>1326</v>
      </c>
      <c r="AO244" s="260">
        <f t="shared" si="707"/>
        <v>1326</v>
      </c>
      <c r="AP244" s="260">
        <f t="shared" ref="AP244:AR244" si="708">AP219+AP224</f>
        <v>1326</v>
      </c>
      <c r="AQ244" s="291">
        <f t="shared" si="708"/>
        <v>1300</v>
      </c>
      <c r="AR244" s="45">
        <f t="shared" si="708"/>
        <v>1300</v>
      </c>
      <c r="AS244" s="290">
        <f>+AR244+AS186+AS187</f>
        <v>1300</v>
      </c>
      <c r="AT244" s="260">
        <f>+AS244+AT186+AT187</f>
        <v>1300</v>
      </c>
      <c r="AU244" s="260">
        <f>+AT244+AU186+AU187</f>
        <v>1551</v>
      </c>
      <c r="AV244" s="291">
        <f>+AU244+AV186+AV187</f>
        <v>1551</v>
      </c>
      <c r="AW244" s="45">
        <f>+AV244</f>
        <v>1551</v>
      </c>
      <c r="AX244" s="290">
        <f>+AW244+AX186+AX187</f>
        <v>1551</v>
      </c>
      <c r="AY244" s="260">
        <f>+AX244+AY186+AY187</f>
        <v>1551</v>
      </c>
      <c r="AZ244" s="260">
        <f>+AY244+AZ186+AZ187</f>
        <v>1604</v>
      </c>
      <c r="BA244" s="291">
        <f>+AZ244+BA186+BA187</f>
        <v>1604</v>
      </c>
      <c r="BB244" s="45">
        <f>+BA244</f>
        <v>1604</v>
      </c>
      <c r="BC244" s="290">
        <f>+BB244+BC186+BC187</f>
        <v>1604</v>
      </c>
      <c r="BD244" s="260">
        <f>+BC244+BD186+BD187</f>
        <v>1604</v>
      </c>
      <c r="BE244" s="260">
        <f>+BD244+BE186+BE187</f>
        <v>1654</v>
      </c>
      <c r="BF244" s="291">
        <f>+BE244+BF186+BF187</f>
        <v>1654</v>
      </c>
      <c r="BG244" s="45">
        <f>+BF244</f>
        <v>1654</v>
      </c>
      <c r="BH244" s="290">
        <f>+BG244+BH186+BH187</f>
        <v>1654</v>
      </c>
      <c r="BI244" s="260">
        <f>+BH244+BI186+BI187</f>
        <v>1654</v>
      </c>
      <c r="BJ244" s="260">
        <f>+BI244+BJ186+BJ187</f>
        <v>1699</v>
      </c>
      <c r="BK244" s="291">
        <f>+BJ244+BK186+BK187</f>
        <v>1699</v>
      </c>
      <c r="BL244" s="45">
        <f>+BK244</f>
        <v>1699</v>
      </c>
      <c r="BM244" s="45"/>
      <c r="BN244" s="45"/>
      <c r="BO244" s="45"/>
      <c r="BP244" s="45"/>
      <c r="BQ244" s="45"/>
      <c r="BR244" s="45"/>
      <c r="BS244" s="45"/>
      <c r="BT244" s="45"/>
      <c r="BU244" s="45"/>
      <c r="BV244" s="45"/>
      <c r="BW244" s="45"/>
      <c r="BX244" s="45"/>
      <c r="BY244" s="45"/>
      <c r="BZ244" s="45"/>
      <c r="CA244" s="45"/>
      <c r="CB244" s="45"/>
      <c r="CC244" s="45"/>
      <c r="CD244" s="45"/>
      <c r="CE244" s="45"/>
      <c r="CF244" s="45"/>
      <c r="CG244" s="45"/>
      <c r="CH244" s="45"/>
      <c r="CI244" s="45"/>
      <c r="CJ244" s="45"/>
      <c r="CK244" s="45"/>
      <c r="CL244" s="45"/>
      <c r="CM244" s="45"/>
      <c r="CN244" s="45"/>
      <c r="CO244" s="45"/>
      <c r="CP244" s="45"/>
    </row>
    <row r="245" spans="1:94">
      <c r="A245" s="45"/>
      <c r="B245" s="45"/>
      <c r="C245" s="389" t="s">
        <v>373</v>
      </c>
      <c r="D245" s="45"/>
      <c r="E245" s="292"/>
      <c r="F245" s="261"/>
      <c r="G245" s="261"/>
      <c r="H245" s="293"/>
      <c r="I245" s="228">
        <f>SUM(I243:I244)</f>
        <v>870</v>
      </c>
      <c r="J245" s="292">
        <f>SUM(J243:J244)</f>
        <v>870</v>
      </c>
      <c r="K245" s="261">
        <f>SUM(K243:K244)</f>
        <v>870</v>
      </c>
      <c r="L245" s="261">
        <f>SUM(L243:L244)</f>
        <v>870</v>
      </c>
      <c r="M245" s="293">
        <f>+N245</f>
        <v>917</v>
      </c>
      <c r="N245" s="228">
        <f>SUM(N243:N244)</f>
        <v>917</v>
      </c>
      <c r="O245" s="292">
        <f>SUM(O243:O244)</f>
        <v>1003</v>
      </c>
      <c r="P245" s="261">
        <f>SUM(P243:P244)</f>
        <v>1053</v>
      </c>
      <c r="Q245" s="261">
        <f>SUM(Q243:Q244)</f>
        <v>1022</v>
      </c>
      <c r="R245" s="293">
        <f>+S245</f>
        <v>1054</v>
      </c>
      <c r="S245" s="228">
        <f>SUM(S243:S244)</f>
        <v>1054</v>
      </c>
      <c r="T245" s="286">
        <f>SUM(T243:T244)</f>
        <v>1092</v>
      </c>
      <c r="U245" s="258">
        <f t="shared" ref="U245:Z245" si="709">SUM(U243:U244)</f>
        <v>1131</v>
      </c>
      <c r="V245" s="258">
        <f t="shared" si="709"/>
        <v>1172</v>
      </c>
      <c r="W245" s="287">
        <f t="shared" si="709"/>
        <v>1219</v>
      </c>
      <c r="X245" s="341">
        <f t="shared" si="709"/>
        <v>1219</v>
      </c>
      <c r="Y245" s="286">
        <f t="shared" si="709"/>
        <v>1249</v>
      </c>
      <c r="Z245" s="258">
        <f t="shared" si="709"/>
        <v>1276</v>
      </c>
      <c r="AA245" s="261">
        <f t="shared" ref="AA245:AW245" si="710">SUM(AA243:AA244)</f>
        <v>1276</v>
      </c>
      <c r="AB245" s="287">
        <f t="shared" si="710"/>
        <v>1282</v>
      </c>
      <c r="AC245" s="341">
        <f t="shared" si="710"/>
        <v>1282</v>
      </c>
      <c r="AD245" s="286">
        <f t="shared" si="710"/>
        <v>1351</v>
      </c>
      <c r="AE245" s="258">
        <f t="shared" si="710"/>
        <v>1306</v>
      </c>
      <c r="AF245" s="261">
        <f t="shared" ref="AF245:AJ245" si="711">SUM(AF243:AF244)</f>
        <v>1342</v>
      </c>
      <c r="AG245" s="287">
        <f t="shared" si="711"/>
        <v>1371</v>
      </c>
      <c r="AH245" s="341">
        <f t="shared" si="711"/>
        <v>1371</v>
      </c>
      <c r="AI245" s="286">
        <f t="shared" si="711"/>
        <v>1340</v>
      </c>
      <c r="AJ245" s="258">
        <f t="shared" si="711"/>
        <v>1265</v>
      </c>
      <c r="AK245" s="261">
        <f t="shared" ref="AK245:AO245" si="712">SUM(AK243:AK244)</f>
        <v>1282</v>
      </c>
      <c r="AL245" s="287">
        <f t="shared" si="712"/>
        <v>1340</v>
      </c>
      <c r="AM245" s="341">
        <f t="shared" si="712"/>
        <v>1340</v>
      </c>
      <c r="AN245" s="286">
        <f t="shared" si="712"/>
        <v>1326</v>
      </c>
      <c r="AO245" s="258">
        <f t="shared" si="712"/>
        <v>1351</v>
      </c>
      <c r="AP245" s="258">
        <f t="shared" ref="AP245:AR245" si="713">SUM(AP243:AP244)</f>
        <v>1380</v>
      </c>
      <c r="AQ245" s="287">
        <f t="shared" si="713"/>
        <v>1516</v>
      </c>
      <c r="AR245" s="341">
        <f t="shared" si="713"/>
        <v>1516</v>
      </c>
      <c r="AS245" s="292">
        <f t="shared" ca="1" si="710"/>
        <v>1507.8700451504756</v>
      </c>
      <c r="AT245" s="261">
        <f t="shared" ca="1" si="710"/>
        <v>1528.5812318866765</v>
      </c>
      <c r="AU245" s="261">
        <f t="shared" ca="1" si="710"/>
        <v>1551</v>
      </c>
      <c r="AV245" s="293">
        <f t="shared" ca="1" si="710"/>
        <v>1551</v>
      </c>
      <c r="AW245" s="228">
        <f t="shared" ca="1" si="710"/>
        <v>1551</v>
      </c>
      <c r="AX245" s="292">
        <f t="shared" ref="AX245:BG245" ca="1" si="714">SUM(AX243:AX244)</f>
        <v>1551</v>
      </c>
      <c r="AY245" s="261">
        <f t="shared" ca="1" si="714"/>
        <v>1571.947998748966</v>
      </c>
      <c r="AZ245" s="261">
        <f t="shared" ca="1" si="714"/>
        <v>1604</v>
      </c>
      <c r="BA245" s="293">
        <f t="shared" ca="1" si="714"/>
        <v>1604</v>
      </c>
      <c r="BB245" s="228">
        <f t="shared" ca="1" si="714"/>
        <v>1604</v>
      </c>
      <c r="BC245" s="292">
        <f t="shared" ca="1" si="714"/>
        <v>1604</v>
      </c>
      <c r="BD245" s="261">
        <f t="shared" ca="1" si="714"/>
        <v>1623.2690038385419</v>
      </c>
      <c r="BE245" s="261">
        <f t="shared" ca="1" si="714"/>
        <v>1654</v>
      </c>
      <c r="BF245" s="293">
        <f t="shared" ca="1" si="714"/>
        <v>1654</v>
      </c>
      <c r="BG245" s="228">
        <f t="shared" ca="1" si="714"/>
        <v>1654</v>
      </c>
      <c r="BH245" s="292">
        <f t="shared" ref="BH245:BL245" ca="1" si="715">SUM(BH243:BH244)</f>
        <v>1654</v>
      </c>
      <c r="BI245" s="261">
        <f t="shared" ca="1" si="715"/>
        <v>1669.1805306809558</v>
      </c>
      <c r="BJ245" s="261">
        <f t="shared" ca="1" si="715"/>
        <v>1699</v>
      </c>
      <c r="BK245" s="293">
        <f t="shared" ca="1" si="715"/>
        <v>1699</v>
      </c>
      <c r="BL245" s="228">
        <f t="shared" ca="1" si="715"/>
        <v>1699</v>
      </c>
      <c r="BM245" s="45"/>
      <c r="BN245" s="45"/>
      <c r="BO245" s="45"/>
      <c r="BP245" s="45"/>
      <c r="BQ245" s="45"/>
      <c r="BR245" s="45"/>
      <c r="BS245" s="45"/>
      <c r="BT245" s="45"/>
      <c r="BU245" s="45"/>
      <c r="BV245" s="45"/>
      <c r="BW245" s="45"/>
      <c r="BX245" s="45"/>
      <c r="BY245" s="45"/>
      <c r="BZ245" s="45"/>
      <c r="CA245" s="45"/>
      <c r="CB245" s="45"/>
      <c r="CC245" s="45"/>
      <c r="CD245" s="45"/>
      <c r="CE245" s="45"/>
      <c r="CF245" s="45"/>
      <c r="CG245" s="45"/>
      <c r="CH245" s="45"/>
      <c r="CI245" s="45"/>
      <c r="CJ245" s="45"/>
      <c r="CK245" s="45"/>
      <c r="CL245" s="45"/>
      <c r="CM245" s="45"/>
      <c r="CN245" s="45"/>
      <c r="CO245" s="45"/>
      <c r="CP245" s="45"/>
    </row>
    <row r="246" spans="1:94">
      <c r="A246" s="1699"/>
      <c r="B246" s="1699"/>
      <c r="C246" s="390" t="s">
        <v>612</v>
      </c>
      <c r="D246" s="1699"/>
      <c r="E246" s="1758"/>
      <c r="F246" s="1759"/>
      <c r="G246" s="1759"/>
      <c r="H246" s="1760"/>
      <c r="I246" s="1761">
        <f t="shared" ref="I246:AW246" si="716">+I245/I254</f>
        <v>0.50847457627118642</v>
      </c>
      <c r="J246" s="1758">
        <f t="shared" si="716"/>
        <v>0.5017301038062284</v>
      </c>
      <c r="K246" s="1759">
        <f t="shared" si="716"/>
        <v>0.49544419134396356</v>
      </c>
      <c r="L246" s="1759">
        <f t="shared" si="716"/>
        <v>0.50669772859638906</v>
      </c>
      <c r="M246" s="1760">
        <f t="shared" si="716"/>
        <v>0.51837196156020349</v>
      </c>
      <c r="N246" s="1761">
        <f t="shared" si="716"/>
        <v>0.51837196156020349</v>
      </c>
      <c r="O246" s="1758">
        <f t="shared" si="716"/>
        <v>0.53464818763326227</v>
      </c>
      <c r="P246" s="1759">
        <f t="shared" si="716"/>
        <v>0.5430634347601857</v>
      </c>
      <c r="Q246" s="1759">
        <f t="shared" si="716"/>
        <v>0.51356783919597992</v>
      </c>
      <c r="R246" s="1760">
        <f t="shared" si="716"/>
        <v>0.51692005885237857</v>
      </c>
      <c r="S246" s="1761">
        <f t="shared" si="716"/>
        <v>0.51692005885237857</v>
      </c>
      <c r="T246" s="1758">
        <f t="shared" si="716"/>
        <v>0.51925820256776034</v>
      </c>
      <c r="U246" s="1759">
        <f t="shared" ref="U246:Z246" si="717">+U245/U254</f>
        <v>0.52999062792877227</v>
      </c>
      <c r="V246" s="1759">
        <f t="shared" si="717"/>
        <v>0.53564899451553927</v>
      </c>
      <c r="W246" s="1760">
        <f t="shared" si="717"/>
        <v>0.5386654882898807</v>
      </c>
      <c r="X246" s="1761">
        <f t="shared" si="717"/>
        <v>0.5386654882898807</v>
      </c>
      <c r="Y246" s="1758">
        <f t="shared" si="717"/>
        <v>0.54069264069264067</v>
      </c>
      <c r="Z246" s="1759">
        <f t="shared" si="717"/>
        <v>0.51327433628318586</v>
      </c>
      <c r="AA246" s="1759">
        <f t="shared" si="716"/>
        <v>0.50856915105619771</v>
      </c>
      <c r="AB246" s="1760">
        <f t="shared" si="716"/>
        <v>0.5211382113821138</v>
      </c>
      <c r="AC246" s="1761">
        <f t="shared" si="716"/>
        <v>0.5211382113821138</v>
      </c>
      <c r="AD246" s="1758">
        <f t="shared" si="716"/>
        <v>0.54061624649859941</v>
      </c>
      <c r="AE246" s="1759">
        <f t="shared" si="716"/>
        <v>0.51478123768230188</v>
      </c>
      <c r="AF246" s="1759">
        <f t="shared" ref="AF246:AJ246" si="718">+AF245/AF254</f>
        <v>0.52217898832684828</v>
      </c>
      <c r="AG246" s="1760">
        <f t="shared" si="718"/>
        <v>0.52569018404907975</v>
      </c>
      <c r="AH246" s="1761">
        <f t="shared" si="718"/>
        <v>0.52569018404907975</v>
      </c>
      <c r="AI246" s="1758">
        <f t="shared" si="718"/>
        <v>0.54316984191325501</v>
      </c>
      <c r="AJ246" s="1759">
        <f t="shared" si="718"/>
        <v>0.50258243941199843</v>
      </c>
      <c r="AK246" s="1759">
        <f t="shared" ref="AK246:AO246" si="719">+AK245/AK254</f>
        <v>0.49747768723321689</v>
      </c>
      <c r="AL246" s="1760">
        <f t="shared" si="719"/>
        <v>0.50262565641410351</v>
      </c>
      <c r="AM246" s="1761">
        <f t="shared" si="719"/>
        <v>0.50262565641410351</v>
      </c>
      <c r="AN246" s="1758">
        <f t="shared" si="719"/>
        <v>0.49496080627099664</v>
      </c>
      <c r="AO246" s="1759">
        <f t="shared" si="719"/>
        <v>0.50055576139310853</v>
      </c>
      <c r="AP246" s="1759">
        <f t="shared" ref="AP246:AR246" si="720">+AP245/AP254</f>
        <v>0.50530941047235445</v>
      </c>
      <c r="AQ246" s="1760">
        <f t="shared" si="720"/>
        <v>0.53174324798316375</v>
      </c>
      <c r="AR246" s="1761">
        <f t="shared" si="720"/>
        <v>0.53174324798316375</v>
      </c>
      <c r="AS246" s="1758">
        <f t="shared" ca="1" si="716"/>
        <v>0.5202882641508999</v>
      </c>
      <c r="AT246" s="1759">
        <f t="shared" ca="1" si="716"/>
        <v>0.51879895872129911</v>
      </c>
      <c r="AU246" s="1759">
        <f t="shared" ca="1" si="716"/>
        <v>0.51471939219427254</v>
      </c>
      <c r="AV246" s="1760">
        <f t="shared" ca="1" si="716"/>
        <v>0.50903002321422408</v>
      </c>
      <c r="AW246" s="1761">
        <f t="shared" ca="1" si="716"/>
        <v>0.50903002321422408</v>
      </c>
      <c r="AX246" s="1758">
        <f t="shared" ref="AX246:BG246" ca="1" si="721">+AX245/AX254</f>
        <v>0.50443373137752801</v>
      </c>
      <c r="AY246" s="1759">
        <f t="shared" ca="1" si="721"/>
        <v>0.50805450036551836</v>
      </c>
      <c r="AZ246" s="1759">
        <f t="shared" ca="1" si="721"/>
        <v>0.51042170913182572</v>
      </c>
      <c r="BA246" s="1760">
        <f t="shared" ca="1" si="721"/>
        <v>0.5094228794913801</v>
      </c>
      <c r="BB246" s="1761">
        <f t="shared" ca="1" si="721"/>
        <v>0.5094228794913801</v>
      </c>
      <c r="BC246" s="1758">
        <f t="shared" ca="1" si="721"/>
        <v>0.50511001466030625</v>
      </c>
      <c r="BD246" s="1759">
        <f t="shared" ca="1" si="721"/>
        <v>0.50840805669031275</v>
      </c>
      <c r="BE246" s="1759">
        <f t="shared" ca="1" si="721"/>
        <v>0.51072977525178054</v>
      </c>
      <c r="BF246" s="1760">
        <f t="shared" ca="1" si="721"/>
        <v>0.50991921150773833</v>
      </c>
      <c r="BG246" s="1761">
        <f t="shared" ca="1" si="721"/>
        <v>0.50991921150773833</v>
      </c>
      <c r="BH246" s="1758">
        <f t="shared" ref="BH246:BL246" ca="1" si="722">+BH245/BH254</f>
        <v>0.50579575594782722</v>
      </c>
      <c r="BI246" s="1759">
        <f t="shared" ca="1" si="722"/>
        <v>0.50842776444995907</v>
      </c>
      <c r="BJ246" s="1759">
        <f t="shared" ca="1" si="722"/>
        <v>0.51060578761606745</v>
      </c>
      <c r="BK246" s="1760">
        <f t="shared" ca="1" si="722"/>
        <v>0.50981023897926991</v>
      </c>
      <c r="BL246" s="1761">
        <f t="shared" ca="1" si="722"/>
        <v>0.50981023897926991</v>
      </c>
      <c r="BM246" s="1699"/>
      <c r="BN246" s="1699"/>
      <c r="BO246" s="1699"/>
      <c r="BP246" s="1699"/>
      <c r="BQ246" s="1699"/>
      <c r="BR246" s="1699"/>
      <c r="BS246" s="1699"/>
      <c r="BT246" s="1699"/>
      <c r="BU246" s="1699"/>
      <c r="BV246" s="1699"/>
      <c r="BW246" s="1699"/>
      <c r="BX246" s="1699"/>
      <c r="BY246" s="1699"/>
      <c r="BZ246" s="1699"/>
      <c r="CA246" s="1699"/>
      <c r="CB246" s="1699"/>
      <c r="CC246" s="1699"/>
      <c r="CD246" s="1699"/>
      <c r="CE246" s="1699"/>
      <c r="CF246" s="1699"/>
      <c r="CG246" s="1699"/>
      <c r="CH246" s="1699"/>
      <c r="CI246" s="1699"/>
      <c r="CJ246" s="1699"/>
      <c r="CK246" s="1699"/>
      <c r="CL246" s="1699"/>
      <c r="CM246" s="1699"/>
      <c r="CN246" s="1699"/>
      <c r="CO246" s="1699"/>
      <c r="CP246" s="1699"/>
    </row>
    <row r="247" spans="1:94">
      <c r="A247" s="1716"/>
      <c r="B247" s="1716"/>
      <c r="C247" s="578"/>
      <c r="D247" s="1716"/>
      <c r="E247" s="1717"/>
      <c r="F247" s="1718"/>
      <c r="G247" s="1718"/>
      <c r="H247" s="1719"/>
      <c r="I247" s="1716"/>
      <c r="J247" s="1717"/>
      <c r="K247" s="1718"/>
      <c r="L247" s="1718"/>
      <c r="M247" s="1719"/>
      <c r="N247" s="1716"/>
      <c r="O247" s="1717"/>
      <c r="P247" s="1718"/>
      <c r="Q247" s="1718"/>
      <c r="R247" s="1719"/>
      <c r="S247" s="1716"/>
      <c r="T247" s="1913"/>
      <c r="U247" s="1910"/>
      <c r="V247" s="1910"/>
      <c r="W247" s="1911"/>
      <c r="X247" s="1912"/>
      <c r="Y247" s="1913"/>
      <c r="Z247" s="1910"/>
      <c r="AA247" s="1718"/>
      <c r="AB247" s="1911"/>
      <c r="AC247" s="1912"/>
      <c r="AD247" s="1913"/>
      <c r="AE247" s="1910"/>
      <c r="AF247" s="1718"/>
      <c r="AG247" s="1911"/>
      <c r="AH247" s="1912"/>
      <c r="AI247" s="1913"/>
      <c r="AJ247" s="1910"/>
      <c r="AK247" s="1718"/>
      <c r="AL247" s="1911"/>
      <c r="AM247" s="1912"/>
      <c r="AN247" s="1913"/>
      <c r="AO247" s="1910"/>
      <c r="AP247" s="1718"/>
      <c r="AQ247" s="1911"/>
      <c r="AR247" s="1912"/>
      <c r="AS247" s="1717"/>
      <c r="AT247" s="1718"/>
      <c r="AU247" s="1718"/>
      <c r="AV247" s="1719"/>
      <c r="AW247" s="1716"/>
      <c r="AX247" s="1717"/>
      <c r="AY247" s="1718"/>
      <c r="AZ247" s="1718"/>
      <c r="BA247" s="1719"/>
      <c r="BB247" s="1716"/>
      <c r="BC247" s="1717"/>
      <c r="BD247" s="1718"/>
      <c r="BE247" s="1718"/>
      <c r="BF247" s="1719"/>
      <c r="BG247" s="1716"/>
      <c r="BH247" s="1717"/>
      <c r="BI247" s="1718"/>
      <c r="BJ247" s="1718"/>
      <c r="BK247" s="1719"/>
      <c r="BL247" s="1716"/>
      <c r="BM247" s="1716"/>
      <c r="BN247" s="1716"/>
      <c r="BO247" s="1716"/>
      <c r="BP247" s="1716"/>
      <c r="BQ247" s="1716"/>
      <c r="BR247" s="1716"/>
      <c r="BS247" s="1716"/>
      <c r="BT247" s="1716"/>
      <c r="BU247" s="1716"/>
      <c r="BV247" s="1716"/>
      <c r="BW247" s="1716"/>
      <c r="BX247" s="1716"/>
      <c r="BY247" s="1716"/>
      <c r="BZ247" s="1716"/>
      <c r="CA247" s="1716"/>
      <c r="CB247" s="1716"/>
      <c r="CC247" s="1716"/>
      <c r="CD247" s="1716"/>
      <c r="CE247" s="1716"/>
      <c r="CF247" s="1716"/>
      <c r="CG247" s="1716"/>
      <c r="CH247" s="1716"/>
      <c r="CI247" s="1716"/>
      <c r="CJ247" s="1716"/>
      <c r="CK247" s="1716"/>
      <c r="CL247" s="1716"/>
      <c r="CM247" s="1716"/>
      <c r="CN247" s="1716"/>
      <c r="CO247" s="1716"/>
      <c r="CP247" s="1716"/>
    </row>
    <row r="248" spans="1:94">
      <c r="A248" s="45"/>
      <c r="B248" s="45"/>
      <c r="C248" s="389" t="s">
        <v>611</v>
      </c>
      <c r="D248" s="45"/>
      <c r="E248" s="585"/>
      <c r="F248" s="343"/>
      <c r="G248" s="343"/>
      <c r="H248" s="291"/>
      <c r="I248" s="650">
        <v>0</v>
      </c>
      <c r="J248" s="585">
        <v>0</v>
      </c>
      <c r="K248" s="343">
        <v>0</v>
      </c>
      <c r="L248" s="343">
        <v>0</v>
      </c>
      <c r="M248" s="291">
        <f>N248</f>
        <v>0</v>
      </c>
      <c r="N248" s="650">
        <v>0</v>
      </c>
      <c r="O248" s="585">
        <v>0</v>
      </c>
      <c r="P248" s="343">
        <v>0</v>
      </c>
      <c r="Q248" s="343">
        <v>0</v>
      </c>
      <c r="R248" s="291">
        <f>S248</f>
        <v>0</v>
      </c>
      <c r="S248" s="650">
        <v>0</v>
      </c>
      <c r="T248" s="292">
        <v>0</v>
      </c>
      <c r="U248" s="261">
        <v>0</v>
      </c>
      <c r="V248" s="261">
        <v>0</v>
      </c>
      <c r="W248" s="291">
        <v>0</v>
      </c>
      <c r="X248" s="1915">
        <v>0</v>
      </c>
      <c r="Y248" s="286">
        <v>0</v>
      </c>
      <c r="Z248" s="258">
        <v>0</v>
      </c>
      <c r="AA248" s="261">
        <v>0</v>
      </c>
      <c r="AB248" s="291">
        <v>0</v>
      </c>
      <c r="AC248" s="1915">
        <v>0</v>
      </c>
      <c r="AD248" s="286">
        <v>0</v>
      </c>
      <c r="AE248" s="258">
        <v>0</v>
      </c>
      <c r="AF248" s="261">
        <v>0</v>
      </c>
      <c r="AG248" s="291">
        <v>0</v>
      </c>
      <c r="AH248" s="1915">
        <v>0</v>
      </c>
      <c r="AI248" s="286">
        <v>0</v>
      </c>
      <c r="AJ248" s="258">
        <v>0</v>
      </c>
      <c r="AK248" s="261">
        <v>0</v>
      </c>
      <c r="AL248" s="291">
        <v>0</v>
      </c>
      <c r="AM248" s="1915">
        <v>0</v>
      </c>
      <c r="AN248" s="286">
        <v>0</v>
      </c>
      <c r="AO248" s="258">
        <v>0</v>
      </c>
      <c r="AP248" s="258">
        <v>0</v>
      </c>
      <c r="AQ248" s="291">
        <v>0</v>
      </c>
      <c r="AR248" s="1915">
        <v>0</v>
      </c>
      <c r="AS248" s="292">
        <v>0</v>
      </c>
      <c r="AT248" s="261">
        <v>0</v>
      </c>
      <c r="AU248" s="261">
        <v>0</v>
      </c>
      <c r="AV248" s="293">
        <v>0</v>
      </c>
      <c r="AW248" s="228">
        <v>0</v>
      </c>
      <c r="AX248" s="292">
        <v>0</v>
      </c>
      <c r="AY248" s="261">
        <v>0</v>
      </c>
      <c r="AZ248" s="261">
        <v>0</v>
      </c>
      <c r="BA248" s="293">
        <v>0</v>
      </c>
      <c r="BB248" s="228">
        <v>0</v>
      </c>
      <c r="BC248" s="292">
        <v>0</v>
      </c>
      <c r="BD248" s="261">
        <v>0</v>
      </c>
      <c r="BE248" s="261">
        <v>0</v>
      </c>
      <c r="BF248" s="293">
        <v>0</v>
      </c>
      <c r="BG248" s="228">
        <v>0</v>
      </c>
      <c r="BH248" s="292">
        <v>0</v>
      </c>
      <c r="BI248" s="261">
        <v>0</v>
      </c>
      <c r="BJ248" s="261">
        <v>0</v>
      </c>
      <c r="BK248" s="293">
        <v>0</v>
      </c>
      <c r="BL248" s="228">
        <v>0</v>
      </c>
      <c r="BM248" s="45"/>
      <c r="BN248" s="45"/>
      <c r="BO248" s="45"/>
      <c r="BP248" s="45"/>
      <c r="BQ248" s="45"/>
      <c r="BR248" s="45"/>
      <c r="BS248" s="45"/>
      <c r="BT248" s="45"/>
      <c r="BU248" s="45"/>
      <c r="BV248" s="45"/>
      <c r="BW248" s="45"/>
      <c r="BX248" s="45"/>
      <c r="BY248" s="45"/>
      <c r="BZ248" s="45"/>
      <c r="CA248" s="45"/>
      <c r="CB248" s="45"/>
      <c r="CC248" s="45"/>
      <c r="CD248" s="45"/>
      <c r="CE248" s="45"/>
      <c r="CF248" s="45"/>
      <c r="CG248" s="45"/>
      <c r="CH248" s="45"/>
      <c r="CI248" s="45"/>
      <c r="CJ248" s="45"/>
      <c r="CK248" s="45"/>
      <c r="CL248" s="45"/>
      <c r="CM248" s="45"/>
      <c r="CN248" s="45"/>
      <c r="CO248" s="45"/>
      <c r="CP248" s="45"/>
    </row>
    <row r="249" spans="1:94">
      <c r="A249" s="1699"/>
      <c r="B249" s="1699"/>
      <c r="C249" s="390" t="s">
        <v>612</v>
      </c>
      <c r="D249" s="1699"/>
      <c r="E249" s="1758"/>
      <c r="F249" s="1759"/>
      <c r="G249" s="1759"/>
      <c r="H249" s="1760"/>
      <c r="I249" s="1761">
        <f t="shared" ref="I249:AW249" si="723">+I248/I254</f>
        <v>0</v>
      </c>
      <c r="J249" s="1758">
        <f t="shared" si="723"/>
        <v>0</v>
      </c>
      <c r="K249" s="1759">
        <f t="shared" si="723"/>
        <v>0</v>
      </c>
      <c r="L249" s="1759">
        <f t="shared" si="723"/>
        <v>0</v>
      </c>
      <c r="M249" s="1760">
        <f t="shared" si="723"/>
        <v>0</v>
      </c>
      <c r="N249" s="1761">
        <f t="shared" si="723"/>
        <v>0</v>
      </c>
      <c r="O249" s="1758">
        <f t="shared" si="723"/>
        <v>0</v>
      </c>
      <c r="P249" s="1759">
        <f t="shared" si="723"/>
        <v>0</v>
      </c>
      <c r="Q249" s="1759">
        <f t="shared" si="723"/>
        <v>0</v>
      </c>
      <c r="R249" s="1760">
        <f t="shared" si="723"/>
        <v>0</v>
      </c>
      <c r="S249" s="1761">
        <f t="shared" si="723"/>
        <v>0</v>
      </c>
      <c r="T249" s="1758">
        <f t="shared" si="723"/>
        <v>0</v>
      </c>
      <c r="U249" s="1759">
        <f t="shared" si="723"/>
        <v>0</v>
      </c>
      <c r="V249" s="1759">
        <f t="shared" si="723"/>
        <v>0</v>
      </c>
      <c r="W249" s="1760">
        <f t="shared" si="723"/>
        <v>0</v>
      </c>
      <c r="X249" s="1761">
        <f t="shared" si="723"/>
        <v>0</v>
      </c>
      <c r="Y249" s="1758">
        <f t="shared" si="723"/>
        <v>0</v>
      </c>
      <c r="Z249" s="1759">
        <f t="shared" si="723"/>
        <v>0</v>
      </c>
      <c r="AA249" s="1759">
        <f t="shared" si="723"/>
        <v>0</v>
      </c>
      <c r="AB249" s="1760">
        <f t="shared" ref="AB249:AF249" si="724">+AB248/AB254</f>
        <v>0</v>
      </c>
      <c r="AC249" s="1761">
        <f t="shared" si="724"/>
        <v>0</v>
      </c>
      <c r="AD249" s="1758">
        <f t="shared" si="724"/>
        <v>0</v>
      </c>
      <c r="AE249" s="1759">
        <f t="shared" si="724"/>
        <v>0</v>
      </c>
      <c r="AF249" s="1759">
        <f t="shared" si="724"/>
        <v>0</v>
      </c>
      <c r="AG249" s="1760">
        <f t="shared" ref="AG249:AK249" si="725">+AG248/AG254</f>
        <v>0</v>
      </c>
      <c r="AH249" s="1761">
        <f t="shared" si="725"/>
        <v>0</v>
      </c>
      <c r="AI249" s="1758">
        <f t="shared" si="725"/>
        <v>0</v>
      </c>
      <c r="AJ249" s="1759">
        <f t="shared" si="725"/>
        <v>0</v>
      </c>
      <c r="AK249" s="1759">
        <f t="shared" si="725"/>
        <v>0</v>
      </c>
      <c r="AL249" s="1760">
        <f t="shared" ref="AL249:AO249" si="726">+AL248/AL254</f>
        <v>0</v>
      </c>
      <c r="AM249" s="1761">
        <f t="shared" si="726"/>
        <v>0</v>
      </c>
      <c r="AN249" s="1758">
        <f t="shared" si="726"/>
        <v>0</v>
      </c>
      <c r="AO249" s="1759">
        <f t="shared" si="726"/>
        <v>0</v>
      </c>
      <c r="AP249" s="1759">
        <f t="shared" ref="AP249:AR249" si="727">+AP248/AP254</f>
        <v>0</v>
      </c>
      <c r="AQ249" s="1760">
        <f t="shared" si="727"/>
        <v>0</v>
      </c>
      <c r="AR249" s="1761">
        <f t="shared" si="727"/>
        <v>0</v>
      </c>
      <c r="AS249" s="1758">
        <f t="shared" ca="1" si="723"/>
        <v>0</v>
      </c>
      <c r="AT249" s="1759">
        <f t="shared" ca="1" si="723"/>
        <v>0</v>
      </c>
      <c r="AU249" s="1759">
        <f t="shared" ca="1" si="723"/>
        <v>0</v>
      </c>
      <c r="AV249" s="1760">
        <f t="shared" ca="1" si="723"/>
        <v>0</v>
      </c>
      <c r="AW249" s="1761">
        <f t="shared" ca="1" si="723"/>
        <v>0</v>
      </c>
      <c r="AX249" s="1758">
        <f t="shared" ref="AX249:BG249" ca="1" si="728">+AX248/AX254</f>
        <v>0</v>
      </c>
      <c r="AY249" s="1759">
        <f t="shared" ca="1" si="728"/>
        <v>0</v>
      </c>
      <c r="AZ249" s="1759">
        <f t="shared" ca="1" si="728"/>
        <v>0</v>
      </c>
      <c r="BA249" s="1760">
        <f t="shared" ca="1" si="728"/>
        <v>0</v>
      </c>
      <c r="BB249" s="1761">
        <f t="shared" ca="1" si="728"/>
        <v>0</v>
      </c>
      <c r="BC249" s="1758">
        <f t="shared" ca="1" si="728"/>
        <v>0</v>
      </c>
      <c r="BD249" s="1759">
        <f t="shared" ca="1" si="728"/>
        <v>0</v>
      </c>
      <c r="BE249" s="1759">
        <f t="shared" ca="1" si="728"/>
        <v>0</v>
      </c>
      <c r="BF249" s="1760">
        <f t="shared" ca="1" si="728"/>
        <v>0</v>
      </c>
      <c r="BG249" s="1761">
        <f t="shared" ca="1" si="728"/>
        <v>0</v>
      </c>
      <c r="BH249" s="1758">
        <f t="shared" ref="BH249:BL249" ca="1" si="729">+BH248/BH254</f>
        <v>0</v>
      </c>
      <c r="BI249" s="1759">
        <f t="shared" ca="1" si="729"/>
        <v>0</v>
      </c>
      <c r="BJ249" s="1759">
        <f t="shared" ca="1" si="729"/>
        <v>0</v>
      </c>
      <c r="BK249" s="1760">
        <f t="shared" ca="1" si="729"/>
        <v>0</v>
      </c>
      <c r="BL249" s="1761">
        <f t="shared" ca="1" si="729"/>
        <v>0</v>
      </c>
      <c r="BM249" s="1699"/>
      <c r="BN249" s="1699"/>
      <c r="BO249" s="1699"/>
      <c r="BP249" s="1699"/>
      <c r="BQ249" s="1699"/>
      <c r="BR249" s="1699"/>
      <c r="BS249" s="1699"/>
      <c r="BT249" s="1699"/>
      <c r="BU249" s="1699"/>
      <c r="BV249" s="1699"/>
      <c r="BW249" s="1699"/>
      <c r="BX249" s="1699"/>
      <c r="BY249" s="1699"/>
      <c r="BZ249" s="1699"/>
      <c r="CA249" s="1699"/>
      <c r="CB249" s="1699"/>
      <c r="CC249" s="1699"/>
      <c r="CD249" s="1699"/>
      <c r="CE249" s="1699"/>
      <c r="CF249" s="1699"/>
      <c r="CG249" s="1699"/>
      <c r="CH249" s="1699"/>
      <c r="CI249" s="1699"/>
      <c r="CJ249" s="1699"/>
      <c r="CK249" s="1699"/>
      <c r="CL249" s="1699"/>
      <c r="CM249" s="1699"/>
      <c r="CN249" s="1699"/>
      <c r="CO249" s="1699"/>
      <c r="CP249" s="1699"/>
    </row>
    <row r="250" spans="1:94">
      <c r="A250" s="895"/>
      <c r="B250" s="895"/>
      <c r="C250" s="391"/>
      <c r="D250" s="895"/>
      <c r="E250" s="896"/>
      <c r="F250" s="897"/>
      <c r="G250" s="897"/>
      <c r="H250" s="898"/>
      <c r="I250" s="899"/>
      <c r="J250" s="896"/>
      <c r="K250" s="897"/>
      <c r="L250" s="897"/>
      <c r="M250" s="898"/>
      <c r="N250" s="899"/>
      <c r="O250" s="896"/>
      <c r="P250" s="897"/>
      <c r="Q250" s="897"/>
      <c r="R250" s="898"/>
      <c r="S250" s="899"/>
      <c r="T250" s="1916"/>
      <c r="U250" s="1917"/>
      <c r="V250" s="1917"/>
      <c r="W250" s="1918"/>
      <c r="X250" s="1919"/>
      <c r="Y250" s="1916"/>
      <c r="Z250" s="1917"/>
      <c r="AA250" s="897"/>
      <c r="AB250" s="1918"/>
      <c r="AC250" s="1919"/>
      <c r="AD250" s="1916"/>
      <c r="AE250" s="1917"/>
      <c r="AF250" s="897"/>
      <c r="AG250" s="1918"/>
      <c r="AH250" s="1919"/>
      <c r="AI250" s="1916"/>
      <c r="AJ250" s="1917"/>
      <c r="AK250" s="897"/>
      <c r="AL250" s="1918"/>
      <c r="AM250" s="1919"/>
      <c r="AN250" s="1916"/>
      <c r="AO250" s="1917"/>
      <c r="AP250" s="1917"/>
      <c r="AQ250" s="1918"/>
      <c r="AR250" s="1919"/>
      <c r="AS250" s="896"/>
      <c r="AT250" s="897"/>
      <c r="AU250" s="897"/>
      <c r="AV250" s="898"/>
      <c r="AW250" s="899"/>
      <c r="AX250" s="896"/>
      <c r="AY250" s="897"/>
      <c r="AZ250" s="897"/>
      <c r="BA250" s="898"/>
      <c r="BB250" s="899"/>
      <c r="BC250" s="896"/>
      <c r="BD250" s="897"/>
      <c r="BE250" s="897"/>
      <c r="BF250" s="898"/>
      <c r="BG250" s="899"/>
      <c r="BH250" s="896"/>
      <c r="BI250" s="897"/>
      <c r="BJ250" s="897"/>
      <c r="BK250" s="898"/>
      <c r="BL250" s="899"/>
      <c r="BM250" s="895"/>
      <c r="BN250" s="895"/>
      <c r="BO250" s="895"/>
      <c r="BP250" s="895"/>
      <c r="BQ250" s="895"/>
      <c r="BR250" s="895"/>
      <c r="BS250" s="895"/>
      <c r="BT250" s="895"/>
      <c r="BU250" s="895"/>
      <c r="BV250" s="895"/>
      <c r="BW250" s="895"/>
      <c r="BX250" s="895"/>
      <c r="BY250" s="895"/>
      <c r="BZ250" s="895"/>
      <c r="CA250" s="895"/>
      <c r="CB250" s="895"/>
      <c r="CC250" s="895"/>
      <c r="CD250" s="895"/>
      <c r="CE250" s="895"/>
      <c r="CF250" s="895"/>
      <c r="CG250" s="895"/>
      <c r="CH250" s="895"/>
      <c r="CI250" s="895"/>
      <c r="CJ250" s="895"/>
      <c r="CK250" s="895"/>
      <c r="CL250" s="895"/>
      <c r="CM250" s="895"/>
      <c r="CN250" s="895"/>
      <c r="CO250" s="895"/>
      <c r="CP250" s="895"/>
    </row>
    <row r="251" spans="1:94">
      <c r="A251" s="45"/>
      <c r="B251" s="45"/>
      <c r="C251" s="389" t="s">
        <v>193</v>
      </c>
      <c r="D251" s="339"/>
      <c r="E251" s="585"/>
      <c r="F251" s="343"/>
      <c r="G251" s="343"/>
      <c r="H251" s="293"/>
      <c r="I251" s="344">
        <v>841</v>
      </c>
      <c r="J251" s="585">
        <v>864</v>
      </c>
      <c r="K251" s="343">
        <v>886</v>
      </c>
      <c r="L251" s="343">
        <v>847</v>
      </c>
      <c r="M251" s="293">
        <f>+N251</f>
        <v>852</v>
      </c>
      <c r="N251" s="344">
        <v>852</v>
      </c>
      <c r="O251" s="585">
        <v>873</v>
      </c>
      <c r="P251" s="343">
        <v>886</v>
      </c>
      <c r="Q251" s="343">
        <v>968</v>
      </c>
      <c r="R251" s="293">
        <f>+S251</f>
        <v>985</v>
      </c>
      <c r="S251" s="344">
        <v>985</v>
      </c>
      <c r="T251" s="292">
        <f>T234</f>
        <v>1011</v>
      </c>
      <c r="U251" s="261">
        <f t="shared" ref="U251:Z251" si="730">U234</f>
        <v>1003</v>
      </c>
      <c r="V251" s="261">
        <f t="shared" si="730"/>
        <v>1016</v>
      </c>
      <c r="W251" s="293">
        <f t="shared" si="730"/>
        <v>1044</v>
      </c>
      <c r="X251" s="228">
        <f t="shared" si="730"/>
        <v>1044</v>
      </c>
      <c r="Y251" s="292">
        <f t="shared" si="730"/>
        <v>1061</v>
      </c>
      <c r="Z251" s="261">
        <f t="shared" si="730"/>
        <v>1210</v>
      </c>
      <c r="AA251" s="261">
        <f t="shared" ref="AA251:AW251" si="731">AA234</f>
        <v>1233</v>
      </c>
      <c r="AB251" s="293">
        <f t="shared" si="731"/>
        <v>1178</v>
      </c>
      <c r="AC251" s="228">
        <f t="shared" si="731"/>
        <v>1178</v>
      </c>
      <c r="AD251" s="292">
        <f t="shared" si="731"/>
        <v>1148</v>
      </c>
      <c r="AE251" s="261">
        <f t="shared" si="731"/>
        <v>1231</v>
      </c>
      <c r="AF251" s="261">
        <f t="shared" ref="AF251:AJ251" si="732">AF234</f>
        <v>1228</v>
      </c>
      <c r="AG251" s="293">
        <f t="shared" si="732"/>
        <v>1237</v>
      </c>
      <c r="AH251" s="228">
        <f t="shared" si="732"/>
        <v>1237</v>
      </c>
      <c r="AI251" s="292">
        <f t="shared" si="732"/>
        <v>1127</v>
      </c>
      <c r="AJ251" s="261">
        <f t="shared" si="732"/>
        <v>1252</v>
      </c>
      <c r="AK251" s="261">
        <f t="shared" ref="AK251:AO251" si="733">AK234</f>
        <v>1295</v>
      </c>
      <c r="AL251" s="293">
        <f t="shared" si="733"/>
        <v>1326</v>
      </c>
      <c r="AM251" s="228">
        <f t="shared" si="733"/>
        <v>1326</v>
      </c>
      <c r="AN251" s="292">
        <f t="shared" si="733"/>
        <v>1353</v>
      </c>
      <c r="AO251" s="261">
        <f t="shared" si="733"/>
        <v>1348</v>
      </c>
      <c r="AP251" s="261">
        <f t="shared" ref="AP251:AR251" si="734">AP234</f>
        <v>1351</v>
      </c>
      <c r="AQ251" s="293">
        <f t="shared" si="734"/>
        <v>1335</v>
      </c>
      <c r="AR251" s="228">
        <f t="shared" si="734"/>
        <v>1335</v>
      </c>
      <c r="AS251" s="292">
        <f t="shared" si="731"/>
        <v>1390.2734438465122</v>
      </c>
      <c r="AT251" s="261">
        <f t="shared" ca="1" si="731"/>
        <v>1417.8033091583191</v>
      </c>
      <c r="AU251" s="261">
        <f t="shared" ca="1" si="731"/>
        <v>1462.2923366030868</v>
      </c>
      <c r="AV251" s="293">
        <f t="shared" ca="1" si="731"/>
        <v>1495.9715522993138</v>
      </c>
      <c r="AW251" s="228">
        <f t="shared" ca="1" si="731"/>
        <v>1495.9715522993138</v>
      </c>
      <c r="AX251" s="292">
        <f t="shared" ref="AX251:BG251" ca="1" si="735">AX234</f>
        <v>1523.7349027680341</v>
      </c>
      <c r="AY251" s="261">
        <f t="shared" ca="1" si="735"/>
        <v>1522.1058825138371</v>
      </c>
      <c r="AZ251" s="261">
        <f t="shared" ca="1" si="735"/>
        <v>1538.4995671289871</v>
      </c>
      <c r="BA251" s="293">
        <f t="shared" ca="1" si="735"/>
        <v>1544.6610919428508</v>
      </c>
      <c r="BB251" s="228">
        <f t="shared" ca="1" si="735"/>
        <v>1544.6610919428508</v>
      </c>
      <c r="BC251" s="292">
        <f t="shared" ca="1" si="735"/>
        <v>1571.5458285235409</v>
      </c>
      <c r="BD251" s="261">
        <f t="shared" ca="1" si="735"/>
        <v>1569.5777311362458</v>
      </c>
      <c r="BE251" s="261">
        <f t="shared" ca="1" si="735"/>
        <v>1584.503177506359</v>
      </c>
      <c r="BF251" s="293">
        <f t="shared" ca="1" si="735"/>
        <v>1589.6510778039194</v>
      </c>
      <c r="BG251" s="228">
        <f t="shared" ca="1" si="735"/>
        <v>1589.6510778039194</v>
      </c>
      <c r="BH251" s="292">
        <f t="shared" ref="BH251:BL251" ca="1" si="736">BH234</f>
        <v>1616.0946588618865</v>
      </c>
      <c r="BI251" s="261">
        <f t="shared" ca="1" si="736"/>
        <v>1613.8434255082843</v>
      </c>
      <c r="BJ251" s="261">
        <f t="shared" ca="1" si="736"/>
        <v>1628.4201765952266</v>
      </c>
      <c r="BK251" s="293">
        <f t="shared" ca="1" si="736"/>
        <v>1633.612548939185</v>
      </c>
      <c r="BL251" s="228">
        <f t="shared" ca="1" si="736"/>
        <v>1633.612548939185</v>
      </c>
      <c r="BM251" s="45"/>
      <c r="BN251" s="45"/>
      <c r="BO251" s="45"/>
      <c r="BP251" s="45"/>
      <c r="BQ251" s="45"/>
      <c r="BR251" s="45"/>
      <c r="BS251" s="45"/>
      <c r="BT251" s="45"/>
      <c r="BU251" s="45"/>
      <c r="BV251" s="45"/>
      <c r="BW251" s="45"/>
      <c r="BX251" s="45"/>
      <c r="BY251" s="45"/>
      <c r="BZ251" s="45"/>
      <c r="CA251" s="45"/>
      <c r="CB251" s="45"/>
      <c r="CC251" s="45"/>
      <c r="CD251" s="45"/>
      <c r="CE251" s="45"/>
      <c r="CF251" s="45"/>
      <c r="CG251" s="45"/>
      <c r="CH251" s="45"/>
      <c r="CI251" s="45"/>
      <c r="CJ251" s="45"/>
      <c r="CK251" s="45"/>
      <c r="CL251" s="45"/>
      <c r="CM251" s="45"/>
      <c r="CN251" s="45"/>
      <c r="CO251" s="45"/>
      <c r="CP251" s="45"/>
    </row>
    <row r="252" spans="1:94">
      <c r="A252" s="1699"/>
      <c r="B252" s="1699"/>
      <c r="C252" s="408" t="s">
        <v>612</v>
      </c>
      <c r="D252" s="1699"/>
      <c r="E252" s="1758"/>
      <c r="F252" s="1759"/>
      <c r="G252" s="1759"/>
      <c r="H252" s="1760"/>
      <c r="I252" s="1761">
        <f t="shared" ref="I252:AW252" si="737">+I251/I254</f>
        <v>0.49152542372881358</v>
      </c>
      <c r="J252" s="1758">
        <f t="shared" si="737"/>
        <v>0.4982698961937716</v>
      </c>
      <c r="K252" s="1759">
        <f t="shared" si="737"/>
        <v>0.50455580865603644</v>
      </c>
      <c r="L252" s="1759">
        <f t="shared" si="737"/>
        <v>0.49330227140361094</v>
      </c>
      <c r="M252" s="1760">
        <f t="shared" si="737"/>
        <v>0.48162803843979651</v>
      </c>
      <c r="N252" s="1761">
        <f t="shared" si="737"/>
        <v>0.48162803843979651</v>
      </c>
      <c r="O252" s="1758">
        <f t="shared" si="737"/>
        <v>0.46535181236673773</v>
      </c>
      <c r="P252" s="1759">
        <f t="shared" si="737"/>
        <v>0.45693656523981435</v>
      </c>
      <c r="Q252" s="1759">
        <f t="shared" si="737"/>
        <v>0.48643216080402008</v>
      </c>
      <c r="R252" s="1760">
        <f t="shared" si="737"/>
        <v>0.48307994114762137</v>
      </c>
      <c r="S252" s="1761">
        <f t="shared" si="737"/>
        <v>0.48307994114762137</v>
      </c>
      <c r="T252" s="1758">
        <f t="shared" si="737"/>
        <v>0.48074179743223966</v>
      </c>
      <c r="U252" s="1759">
        <f t="shared" si="737"/>
        <v>0.47000937207122773</v>
      </c>
      <c r="V252" s="1759">
        <f t="shared" si="737"/>
        <v>0.46435100548446068</v>
      </c>
      <c r="W252" s="1760">
        <f t="shared" si="737"/>
        <v>0.4613345117101193</v>
      </c>
      <c r="X252" s="1761">
        <f t="shared" si="737"/>
        <v>0.4613345117101193</v>
      </c>
      <c r="Y252" s="1758">
        <f t="shared" si="737"/>
        <v>0.45930735930735933</v>
      </c>
      <c r="Z252" s="1759">
        <f t="shared" si="737"/>
        <v>0.48672566371681414</v>
      </c>
      <c r="AA252" s="1759">
        <f t="shared" si="737"/>
        <v>0.49143084894380229</v>
      </c>
      <c r="AB252" s="1760">
        <f t="shared" ref="AB252:AF252" si="738">+AB251/AB254</f>
        <v>0.4788617886178862</v>
      </c>
      <c r="AC252" s="1761">
        <f t="shared" si="738"/>
        <v>0.4788617886178862</v>
      </c>
      <c r="AD252" s="1758">
        <f t="shared" si="738"/>
        <v>0.45938375350140054</v>
      </c>
      <c r="AE252" s="1759">
        <f t="shared" si="738"/>
        <v>0.48521876231769806</v>
      </c>
      <c r="AF252" s="1759">
        <f t="shared" si="738"/>
        <v>0.47782101167315177</v>
      </c>
      <c r="AG252" s="1760">
        <f t="shared" ref="AG252:AK252" si="739">+AG251/AG254</f>
        <v>0.47430981595092025</v>
      </c>
      <c r="AH252" s="1761">
        <f t="shared" si="739"/>
        <v>0.47430981595092025</v>
      </c>
      <c r="AI252" s="1758">
        <f t="shared" si="739"/>
        <v>0.45683015808674504</v>
      </c>
      <c r="AJ252" s="1759">
        <f t="shared" si="739"/>
        <v>0.49741756058800157</v>
      </c>
      <c r="AK252" s="1759">
        <f t="shared" si="739"/>
        <v>0.50252231276678305</v>
      </c>
      <c r="AL252" s="1760">
        <f t="shared" ref="AL252:AO252" si="740">+AL251/AL254</f>
        <v>0.49737434358589649</v>
      </c>
      <c r="AM252" s="1761">
        <f t="shared" si="740"/>
        <v>0.49737434358589649</v>
      </c>
      <c r="AN252" s="1758">
        <f t="shared" si="740"/>
        <v>0.50503919372900341</v>
      </c>
      <c r="AO252" s="1759">
        <f t="shared" si="740"/>
        <v>0.49944423860689147</v>
      </c>
      <c r="AP252" s="1759">
        <f t="shared" ref="AP252:AR252" si="741">+AP251/AP254</f>
        <v>0.49469058952764555</v>
      </c>
      <c r="AQ252" s="1760">
        <f t="shared" si="741"/>
        <v>0.4682567520168362</v>
      </c>
      <c r="AR252" s="1761">
        <f t="shared" si="741"/>
        <v>0.4682567520168362</v>
      </c>
      <c r="AS252" s="1758">
        <f t="shared" ca="1" si="737"/>
        <v>0.47971173584910004</v>
      </c>
      <c r="AT252" s="1759">
        <f t="shared" ca="1" si="737"/>
        <v>0.48120104127870084</v>
      </c>
      <c r="AU252" s="1759">
        <f t="shared" ca="1" si="737"/>
        <v>0.48528060780572752</v>
      </c>
      <c r="AV252" s="1760">
        <f t="shared" ca="1" si="737"/>
        <v>0.49096997678577592</v>
      </c>
      <c r="AW252" s="1761">
        <f t="shared" ca="1" si="737"/>
        <v>0.49096997678577592</v>
      </c>
      <c r="AX252" s="1758">
        <f t="shared" ref="AX252:BG252" ca="1" si="742">+AX251/AX254</f>
        <v>0.49556626862247211</v>
      </c>
      <c r="AY252" s="1759">
        <f t="shared" ca="1" si="742"/>
        <v>0.49194549963448175</v>
      </c>
      <c r="AZ252" s="1759">
        <f t="shared" ca="1" si="742"/>
        <v>0.48957829086817428</v>
      </c>
      <c r="BA252" s="1760">
        <f t="shared" ca="1" si="742"/>
        <v>0.49057712050861996</v>
      </c>
      <c r="BB252" s="1761">
        <f t="shared" ca="1" si="742"/>
        <v>0.49057712050861996</v>
      </c>
      <c r="BC252" s="1758">
        <f t="shared" ca="1" si="742"/>
        <v>0.49488998533969381</v>
      </c>
      <c r="BD252" s="1759">
        <f t="shared" ca="1" si="742"/>
        <v>0.4915919433096872</v>
      </c>
      <c r="BE252" s="1759">
        <f t="shared" ca="1" si="742"/>
        <v>0.48927022474821941</v>
      </c>
      <c r="BF252" s="1760">
        <f t="shared" ca="1" si="742"/>
        <v>0.49008078849226178</v>
      </c>
      <c r="BG252" s="1761">
        <f t="shared" ca="1" si="742"/>
        <v>0.49008078849226178</v>
      </c>
      <c r="BH252" s="1758">
        <f t="shared" ref="BH252:BL252" ca="1" si="743">+BH251/BH254</f>
        <v>0.49420424405217284</v>
      </c>
      <c r="BI252" s="1759">
        <f t="shared" ca="1" si="743"/>
        <v>0.49157223555004087</v>
      </c>
      <c r="BJ252" s="1759">
        <f t="shared" ca="1" si="743"/>
        <v>0.48939421238393255</v>
      </c>
      <c r="BK252" s="1760">
        <f t="shared" ca="1" si="743"/>
        <v>0.49018976102072997</v>
      </c>
      <c r="BL252" s="1761">
        <f t="shared" ca="1" si="743"/>
        <v>0.49018976102072997</v>
      </c>
      <c r="BM252" s="1699"/>
      <c r="BN252" s="1699"/>
      <c r="BO252" s="1699"/>
      <c r="BP252" s="1699"/>
      <c r="BQ252" s="1699"/>
      <c r="BR252" s="1699"/>
      <c r="BS252" s="1699"/>
      <c r="BT252" s="1699"/>
      <c r="BU252" s="1699"/>
      <c r="BV252" s="1699"/>
      <c r="BW252" s="1699"/>
      <c r="BX252" s="1699"/>
      <c r="BY252" s="1699"/>
      <c r="BZ252" s="1699"/>
      <c r="CA252" s="1699"/>
      <c r="CB252" s="1699"/>
      <c r="CC252" s="1699"/>
      <c r="CD252" s="1699"/>
      <c r="CE252" s="1699"/>
      <c r="CF252" s="1699"/>
      <c r="CG252" s="1699"/>
      <c r="CH252" s="1699"/>
      <c r="CI252" s="1699"/>
      <c r="CJ252" s="1699"/>
      <c r="CK252" s="1699"/>
      <c r="CL252" s="1699"/>
      <c r="CM252" s="1699"/>
      <c r="CN252" s="1699"/>
      <c r="CO252" s="1699"/>
      <c r="CP252" s="1699"/>
    </row>
    <row r="253" spans="1:94">
      <c r="A253" s="895"/>
      <c r="B253" s="895"/>
      <c r="C253" s="409"/>
      <c r="D253" s="895"/>
      <c r="E253" s="896"/>
      <c r="F253" s="897"/>
      <c r="G253" s="897"/>
      <c r="H253" s="898"/>
      <c r="I253" s="899"/>
      <c r="J253" s="896"/>
      <c r="K253" s="897"/>
      <c r="L253" s="897"/>
      <c r="M253" s="898"/>
      <c r="N253" s="899"/>
      <c r="O253" s="896"/>
      <c r="P253" s="897"/>
      <c r="Q253" s="897"/>
      <c r="R253" s="898"/>
      <c r="S253" s="899"/>
      <c r="T253" s="1916"/>
      <c r="U253" s="1917"/>
      <c r="V253" s="1917"/>
      <c r="W253" s="1918"/>
      <c r="X253" s="1919"/>
      <c r="Y253" s="1916"/>
      <c r="Z253" s="1917"/>
      <c r="AA253" s="897"/>
      <c r="AB253" s="1918"/>
      <c r="AC253" s="1919"/>
      <c r="AD253" s="1916"/>
      <c r="AE253" s="1917"/>
      <c r="AF253" s="897"/>
      <c r="AG253" s="1918"/>
      <c r="AH253" s="1919"/>
      <c r="AI253" s="1916"/>
      <c r="AJ253" s="1917"/>
      <c r="AK253" s="897"/>
      <c r="AL253" s="1918"/>
      <c r="AM253" s="1919"/>
      <c r="AN253" s="1916"/>
      <c r="AO253" s="1917"/>
      <c r="AP253" s="1917"/>
      <c r="AQ253" s="1918"/>
      <c r="AR253" s="1919"/>
      <c r="AS253" s="896"/>
      <c r="AT253" s="897"/>
      <c r="AU253" s="897"/>
      <c r="AV253" s="898"/>
      <c r="AW253" s="899"/>
      <c r="AX253" s="896"/>
      <c r="AY253" s="897"/>
      <c r="AZ253" s="897"/>
      <c r="BA253" s="898"/>
      <c r="BB253" s="899"/>
      <c r="BC253" s="896"/>
      <c r="BD253" s="897"/>
      <c r="BE253" s="897"/>
      <c r="BF253" s="898"/>
      <c r="BG253" s="899"/>
      <c r="BH253" s="896"/>
      <c r="BI253" s="897"/>
      <c r="BJ253" s="897"/>
      <c r="BK253" s="898"/>
      <c r="BL253" s="899"/>
      <c r="BM253" s="895"/>
      <c r="BN253" s="895"/>
      <c r="BO253" s="895"/>
      <c r="BP253" s="895"/>
      <c r="BQ253" s="895"/>
      <c r="BR253" s="895"/>
      <c r="BS253" s="895"/>
      <c r="BT253" s="895"/>
      <c r="BU253" s="895"/>
      <c r="BV253" s="895"/>
      <c r="BW253" s="895"/>
      <c r="BX253" s="895"/>
      <c r="BY253" s="895"/>
      <c r="BZ253" s="895"/>
      <c r="CA253" s="895"/>
      <c r="CB253" s="895"/>
      <c r="CC253" s="895"/>
      <c r="CD253" s="895"/>
      <c r="CE253" s="895"/>
      <c r="CF253" s="895"/>
      <c r="CG253" s="895"/>
      <c r="CH253" s="895"/>
      <c r="CI253" s="895"/>
      <c r="CJ253" s="895"/>
      <c r="CK253" s="895"/>
      <c r="CL253" s="895"/>
      <c r="CM253" s="895"/>
      <c r="CN253" s="895"/>
      <c r="CO253" s="895"/>
      <c r="CP253" s="895"/>
    </row>
    <row r="254" spans="1:94">
      <c r="A254" s="45"/>
      <c r="B254" s="45"/>
      <c r="C254" s="389" t="s">
        <v>494</v>
      </c>
      <c r="D254" s="45"/>
      <c r="E254" s="292"/>
      <c r="F254" s="261"/>
      <c r="G254" s="261"/>
      <c r="H254" s="293"/>
      <c r="I254" s="228">
        <f>+I251+I248+I245</f>
        <v>1711</v>
      </c>
      <c r="J254" s="292">
        <f>+J251+J248+J245</f>
        <v>1734</v>
      </c>
      <c r="K254" s="261">
        <f>+K251+K248+K245</f>
        <v>1756</v>
      </c>
      <c r="L254" s="261">
        <f>+L251+L248+L245</f>
        <v>1717</v>
      </c>
      <c r="M254" s="293">
        <f>+N254</f>
        <v>1769</v>
      </c>
      <c r="N254" s="228">
        <f>+N251+N248+N245</f>
        <v>1769</v>
      </c>
      <c r="O254" s="292">
        <f>+O251+O248+O245</f>
        <v>1876</v>
      </c>
      <c r="P254" s="261">
        <f>+P251+P248+P245</f>
        <v>1939</v>
      </c>
      <c r="Q254" s="261">
        <f>+Q251+Q248+Q245</f>
        <v>1990</v>
      </c>
      <c r="R254" s="293">
        <f>+S254</f>
        <v>2039</v>
      </c>
      <c r="S254" s="228">
        <f>+S251+S248+S245</f>
        <v>2039</v>
      </c>
      <c r="T254" s="292">
        <f>+T251+T248+T245</f>
        <v>2103</v>
      </c>
      <c r="U254" s="261">
        <f t="shared" ref="U254:Z254" si="744">+U251+U248+U245</f>
        <v>2134</v>
      </c>
      <c r="V254" s="261">
        <f t="shared" si="744"/>
        <v>2188</v>
      </c>
      <c r="W254" s="293">
        <f t="shared" si="744"/>
        <v>2263</v>
      </c>
      <c r="X254" s="228">
        <f t="shared" si="744"/>
        <v>2263</v>
      </c>
      <c r="Y254" s="292">
        <f t="shared" si="744"/>
        <v>2310</v>
      </c>
      <c r="Z254" s="261">
        <f t="shared" si="744"/>
        <v>2486</v>
      </c>
      <c r="AA254" s="261">
        <f t="shared" ref="AA254:AW254" si="745">+AA251+AA248+AA245</f>
        <v>2509</v>
      </c>
      <c r="AB254" s="293">
        <f t="shared" si="745"/>
        <v>2460</v>
      </c>
      <c r="AC254" s="228">
        <f t="shared" si="745"/>
        <v>2460</v>
      </c>
      <c r="AD254" s="292">
        <f t="shared" si="745"/>
        <v>2499</v>
      </c>
      <c r="AE254" s="261">
        <f t="shared" si="745"/>
        <v>2537</v>
      </c>
      <c r="AF254" s="261">
        <f t="shared" ref="AF254:AJ254" si="746">+AF251+AF248+AF245</f>
        <v>2570</v>
      </c>
      <c r="AG254" s="293">
        <f t="shared" si="746"/>
        <v>2608</v>
      </c>
      <c r="AH254" s="228">
        <f t="shared" si="746"/>
        <v>2608</v>
      </c>
      <c r="AI254" s="292">
        <f t="shared" si="746"/>
        <v>2467</v>
      </c>
      <c r="AJ254" s="261">
        <f t="shared" si="746"/>
        <v>2517</v>
      </c>
      <c r="AK254" s="261">
        <f t="shared" ref="AK254:AO254" si="747">+AK251+AK248+AK245</f>
        <v>2577</v>
      </c>
      <c r="AL254" s="293">
        <f t="shared" si="747"/>
        <v>2666</v>
      </c>
      <c r="AM254" s="228">
        <f t="shared" si="747"/>
        <v>2666</v>
      </c>
      <c r="AN254" s="292">
        <f t="shared" si="747"/>
        <v>2679</v>
      </c>
      <c r="AO254" s="261">
        <f t="shared" si="747"/>
        <v>2699</v>
      </c>
      <c r="AP254" s="261">
        <f t="shared" ref="AP254:AR254" si="748">+AP251+AP248+AP245</f>
        <v>2731</v>
      </c>
      <c r="AQ254" s="293">
        <f t="shared" si="748"/>
        <v>2851</v>
      </c>
      <c r="AR254" s="228">
        <f t="shared" si="748"/>
        <v>2851</v>
      </c>
      <c r="AS254" s="292">
        <f t="shared" ca="1" si="745"/>
        <v>2898.1434889969878</v>
      </c>
      <c r="AT254" s="261">
        <f t="shared" ca="1" si="745"/>
        <v>2946.3845410449958</v>
      </c>
      <c r="AU254" s="261">
        <f t="shared" ca="1" si="745"/>
        <v>3013.2923366030868</v>
      </c>
      <c r="AV254" s="293">
        <f t="shared" ca="1" si="745"/>
        <v>3046.9715522993138</v>
      </c>
      <c r="AW254" s="228">
        <f t="shared" ca="1" si="745"/>
        <v>3046.9715522993138</v>
      </c>
      <c r="AX254" s="292">
        <f t="shared" ref="AX254:BG254" ca="1" si="749">+AX251+AX248+AX245</f>
        <v>3074.7349027680339</v>
      </c>
      <c r="AY254" s="261">
        <f t="shared" ca="1" si="749"/>
        <v>3094.0538812628029</v>
      </c>
      <c r="AZ254" s="261">
        <f t="shared" ca="1" si="749"/>
        <v>3142.4995671289871</v>
      </c>
      <c r="BA254" s="293">
        <f t="shared" ca="1" si="749"/>
        <v>3148.6610919428508</v>
      </c>
      <c r="BB254" s="228">
        <f t="shared" ca="1" si="749"/>
        <v>3148.6610919428508</v>
      </c>
      <c r="BC254" s="292">
        <f t="shared" ca="1" si="749"/>
        <v>3175.5458285235409</v>
      </c>
      <c r="BD254" s="261">
        <f t="shared" ca="1" si="749"/>
        <v>3192.846734974788</v>
      </c>
      <c r="BE254" s="261">
        <f t="shared" ca="1" si="749"/>
        <v>3238.503177506359</v>
      </c>
      <c r="BF254" s="293">
        <f t="shared" ca="1" si="749"/>
        <v>3243.6510778039192</v>
      </c>
      <c r="BG254" s="228">
        <f t="shared" ca="1" si="749"/>
        <v>3243.6510778039192</v>
      </c>
      <c r="BH254" s="292">
        <f t="shared" ref="BH254:BL254" ca="1" si="750">+BH251+BH248+BH245</f>
        <v>3270.0946588618863</v>
      </c>
      <c r="BI254" s="261">
        <f t="shared" ca="1" si="750"/>
        <v>3283.0239561892404</v>
      </c>
      <c r="BJ254" s="261">
        <f t="shared" ca="1" si="750"/>
        <v>3327.4201765952266</v>
      </c>
      <c r="BK254" s="293">
        <f t="shared" ca="1" si="750"/>
        <v>3332.6125489391852</v>
      </c>
      <c r="BL254" s="228">
        <f t="shared" ca="1" si="750"/>
        <v>3332.6125489391852</v>
      </c>
      <c r="BM254" s="45"/>
      <c r="BN254" s="45"/>
      <c r="BO254" s="45"/>
      <c r="BP254" s="45"/>
      <c r="BQ254" s="45"/>
      <c r="BR254" s="45"/>
      <c r="BS254" s="45"/>
      <c r="BT254" s="45"/>
      <c r="BU254" s="45"/>
      <c r="BV254" s="45"/>
      <c r="BW254" s="45"/>
      <c r="BX254" s="45"/>
      <c r="BY254" s="45"/>
      <c r="BZ254" s="45"/>
      <c r="CA254" s="45"/>
      <c r="CB254" s="45"/>
      <c r="CC254" s="45"/>
      <c r="CD254" s="45"/>
      <c r="CE254" s="45"/>
      <c r="CF254" s="45"/>
      <c r="CG254" s="45"/>
      <c r="CH254" s="45"/>
      <c r="CI254" s="45"/>
      <c r="CJ254" s="45"/>
      <c r="CK254" s="45"/>
      <c r="CL254" s="45"/>
      <c r="CM254" s="45"/>
      <c r="CN254" s="45"/>
      <c r="CO254" s="45"/>
      <c r="CP254" s="45"/>
    </row>
    <row r="255" spans="1:94">
      <c r="A255" s="1699"/>
      <c r="B255" s="1699"/>
      <c r="C255" s="408" t="s">
        <v>612</v>
      </c>
      <c r="D255" s="1699"/>
      <c r="E255" s="1758"/>
      <c r="F255" s="1759"/>
      <c r="G255" s="1759"/>
      <c r="H255" s="1760"/>
      <c r="I255" s="1761">
        <f t="shared" ref="I255:AW255" si="751">(I245+I248+I251)/I254</f>
        <v>1</v>
      </c>
      <c r="J255" s="1758">
        <f t="shared" si="751"/>
        <v>1</v>
      </c>
      <c r="K255" s="1759">
        <f t="shared" si="751"/>
        <v>1</v>
      </c>
      <c r="L255" s="1759">
        <f t="shared" si="751"/>
        <v>1</v>
      </c>
      <c r="M255" s="1760">
        <f t="shared" si="751"/>
        <v>1</v>
      </c>
      <c r="N255" s="1761">
        <f t="shared" si="751"/>
        <v>1</v>
      </c>
      <c r="O255" s="1758">
        <f t="shared" si="751"/>
        <v>1</v>
      </c>
      <c r="P255" s="1759">
        <f t="shared" si="751"/>
        <v>1</v>
      </c>
      <c r="Q255" s="1759">
        <f t="shared" si="751"/>
        <v>1</v>
      </c>
      <c r="R255" s="1760">
        <f t="shared" si="751"/>
        <v>1</v>
      </c>
      <c r="S255" s="1761">
        <f t="shared" si="751"/>
        <v>1</v>
      </c>
      <c r="T255" s="1758">
        <f t="shared" si="751"/>
        <v>1</v>
      </c>
      <c r="U255" s="1759">
        <f t="shared" si="751"/>
        <v>1</v>
      </c>
      <c r="V255" s="1759">
        <f t="shared" si="751"/>
        <v>1</v>
      </c>
      <c r="W255" s="1760">
        <f t="shared" si="751"/>
        <v>1</v>
      </c>
      <c r="X255" s="1761">
        <f t="shared" si="751"/>
        <v>1</v>
      </c>
      <c r="Y255" s="1758">
        <f t="shared" si="751"/>
        <v>1</v>
      </c>
      <c r="Z255" s="1759">
        <f t="shared" si="751"/>
        <v>1</v>
      </c>
      <c r="AA255" s="1759">
        <f t="shared" si="751"/>
        <v>1</v>
      </c>
      <c r="AB255" s="1760">
        <f t="shared" ref="AB255:AF255" si="752">(AB245+AB248+AB251)/AB254</f>
        <v>1</v>
      </c>
      <c r="AC255" s="1761">
        <f t="shared" si="752"/>
        <v>1</v>
      </c>
      <c r="AD255" s="1758">
        <f t="shared" si="752"/>
        <v>1</v>
      </c>
      <c r="AE255" s="1759">
        <f t="shared" si="752"/>
        <v>1</v>
      </c>
      <c r="AF255" s="1759">
        <f t="shared" si="752"/>
        <v>1</v>
      </c>
      <c r="AG255" s="1760">
        <f t="shared" ref="AG255:AK255" si="753">(AG245+AG248+AG251)/AG254</f>
        <v>1</v>
      </c>
      <c r="AH255" s="1761">
        <f t="shared" si="753"/>
        <v>1</v>
      </c>
      <c r="AI255" s="1758">
        <f t="shared" si="753"/>
        <v>1</v>
      </c>
      <c r="AJ255" s="1759">
        <f t="shared" si="753"/>
        <v>1</v>
      </c>
      <c r="AK255" s="1759">
        <f t="shared" si="753"/>
        <v>1</v>
      </c>
      <c r="AL255" s="1760">
        <f t="shared" ref="AL255:AO255" si="754">(AL245+AL248+AL251)/AL254</f>
        <v>1</v>
      </c>
      <c r="AM255" s="1761">
        <f t="shared" si="754"/>
        <v>1</v>
      </c>
      <c r="AN255" s="1758">
        <f t="shared" si="754"/>
        <v>1</v>
      </c>
      <c r="AO255" s="1759">
        <f t="shared" si="754"/>
        <v>1</v>
      </c>
      <c r="AP255" s="1759">
        <f t="shared" ref="AP255:AR255" si="755">(AP245+AP248+AP251)/AP254</f>
        <v>1</v>
      </c>
      <c r="AQ255" s="1760">
        <f t="shared" si="755"/>
        <v>1</v>
      </c>
      <c r="AR255" s="1761">
        <f t="shared" si="755"/>
        <v>1</v>
      </c>
      <c r="AS255" s="1758">
        <f t="shared" ca="1" si="751"/>
        <v>1</v>
      </c>
      <c r="AT255" s="1759">
        <f t="shared" ca="1" si="751"/>
        <v>1</v>
      </c>
      <c r="AU255" s="1759">
        <f t="shared" ca="1" si="751"/>
        <v>1</v>
      </c>
      <c r="AV255" s="1760">
        <f t="shared" ca="1" si="751"/>
        <v>1</v>
      </c>
      <c r="AW255" s="1761">
        <f t="shared" ca="1" si="751"/>
        <v>1</v>
      </c>
      <c r="AX255" s="1758">
        <f t="shared" ref="AX255:BG255" ca="1" si="756">(AX245+AX248+AX251)/AX254</f>
        <v>1</v>
      </c>
      <c r="AY255" s="1759">
        <f t="shared" ca="1" si="756"/>
        <v>1</v>
      </c>
      <c r="AZ255" s="1759">
        <f t="shared" ca="1" si="756"/>
        <v>1</v>
      </c>
      <c r="BA255" s="1760">
        <f t="shared" ca="1" si="756"/>
        <v>1</v>
      </c>
      <c r="BB255" s="1761">
        <f t="shared" ca="1" si="756"/>
        <v>1</v>
      </c>
      <c r="BC255" s="1758">
        <f t="shared" ca="1" si="756"/>
        <v>1</v>
      </c>
      <c r="BD255" s="1759">
        <f t="shared" ca="1" si="756"/>
        <v>1</v>
      </c>
      <c r="BE255" s="1759">
        <f t="shared" ca="1" si="756"/>
        <v>1</v>
      </c>
      <c r="BF255" s="1760">
        <f t="shared" ca="1" si="756"/>
        <v>1</v>
      </c>
      <c r="BG255" s="1761">
        <f t="shared" ca="1" si="756"/>
        <v>1</v>
      </c>
      <c r="BH255" s="1758">
        <f t="shared" ref="BH255:BL255" ca="1" si="757">(BH245+BH248+BH251)/BH254</f>
        <v>1</v>
      </c>
      <c r="BI255" s="1759">
        <f t="shared" ca="1" si="757"/>
        <v>1</v>
      </c>
      <c r="BJ255" s="1759">
        <f t="shared" ca="1" si="757"/>
        <v>1</v>
      </c>
      <c r="BK255" s="1760">
        <f t="shared" ca="1" si="757"/>
        <v>1</v>
      </c>
      <c r="BL255" s="1761">
        <f t="shared" ca="1" si="757"/>
        <v>1</v>
      </c>
      <c r="BM255" s="1699"/>
      <c r="BN255" s="1699"/>
      <c r="BO255" s="1699"/>
      <c r="BP255" s="1699"/>
      <c r="BQ255" s="1699"/>
      <c r="BR255" s="1699"/>
      <c r="BS255" s="1699"/>
      <c r="BT255" s="1699"/>
      <c r="BU255" s="1699"/>
      <c r="BV255" s="1699"/>
      <c r="BW255" s="1699"/>
      <c r="BX255" s="1699"/>
      <c r="BY255" s="1699"/>
      <c r="BZ255" s="1699"/>
      <c r="CA255" s="1699"/>
      <c r="CB255" s="1699"/>
      <c r="CC255" s="1699"/>
      <c r="CD255" s="1699"/>
      <c r="CE255" s="1699"/>
      <c r="CF255" s="1699"/>
      <c r="CG255" s="1699"/>
      <c r="CH255" s="1699"/>
      <c r="CI255" s="1699"/>
      <c r="CJ255" s="1699"/>
      <c r="CK255" s="1699"/>
      <c r="CL255" s="1699"/>
      <c r="CM255" s="1699"/>
      <c r="CN255" s="1699"/>
      <c r="CO255" s="1699"/>
      <c r="CP255" s="1699"/>
    </row>
    <row r="256" spans="1:94">
      <c r="A256" s="895"/>
      <c r="B256" s="895"/>
      <c r="C256" s="895"/>
      <c r="D256" s="895"/>
      <c r="E256" s="896"/>
      <c r="F256" s="897"/>
      <c r="G256" s="897"/>
      <c r="H256" s="898"/>
      <c r="I256" s="899"/>
      <c r="J256" s="896"/>
      <c r="K256" s="897"/>
      <c r="L256" s="897"/>
      <c r="M256" s="898"/>
      <c r="N256" s="899"/>
      <c r="O256" s="896"/>
      <c r="P256" s="897"/>
      <c r="Q256" s="897"/>
      <c r="R256" s="898"/>
      <c r="S256" s="899"/>
      <c r="T256" s="896"/>
      <c r="U256" s="897"/>
      <c r="V256" s="897"/>
      <c r="W256" s="898"/>
      <c r="X256" s="899"/>
      <c r="Y256" s="896"/>
      <c r="Z256" s="897"/>
      <c r="AA256" s="897"/>
      <c r="AB256" s="898"/>
      <c r="AC256" s="899"/>
      <c r="AD256" s="896"/>
      <c r="AE256" s="897"/>
      <c r="AF256" s="897"/>
      <c r="AG256" s="898"/>
      <c r="AH256" s="899"/>
      <c r="AI256" s="896"/>
      <c r="AJ256" s="897"/>
      <c r="AK256" s="897"/>
      <c r="AL256" s="898"/>
      <c r="AM256" s="899"/>
      <c r="AN256" s="896"/>
      <c r="AO256" s="897"/>
      <c r="AP256" s="897"/>
      <c r="AQ256" s="898"/>
      <c r="AR256" s="899"/>
      <c r="AS256" s="896"/>
      <c r="AT256" s="897"/>
      <c r="AU256" s="897"/>
      <c r="AV256" s="898"/>
      <c r="AW256" s="899"/>
      <c r="AX256" s="896"/>
      <c r="AY256" s="897"/>
      <c r="AZ256" s="897"/>
      <c r="BA256" s="898"/>
      <c r="BB256" s="899"/>
      <c r="BC256" s="896"/>
      <c r="BD256" s="897"/>
      <c r="BE256" s="897"/>
      <c r="BF256" s="898"/>
      <c r="BG256" s="899"/>
      <c r="BH256" s="896"/>
      <c r="BI256" s="897"/>
      <c r="BJ256" s="897"/>
      <c r="BK256" s="898"/>
      <c r="BL256" s="899"/>
      <c r="BM256" s="895"/>
      <c r="BN256" s="895"/>
      <c r="BO256" s="895"/>
      <c r="BP256" s="895"/>
      <c r="BQ256" s="895"/>
      <c r="BR256" s="895"/>
      <c r="BS256" s="895"/>
      <c r="BT256" s="895"/>
      <c r="BU256" s="895"/>
      <c r="BV256" s="895"/>
      <c r="BW256" s="895"/>
      <c r="BX256" s="895"/>
      <c r="BY256" s="895"/>
      <c r="BZ256" s="895"/>
      <c r="CA256" s="895"/>
      <c r="CB256" s="895"/>
      <c r="CC256" s="895"/>
      <c r="CD256" s="895"/>
      <c r="CE256" s="895"/>
      <c r="CF256" s="895"/>
      <c r="CG256" s="895"/>
      <c r="CH256" s="895"/>
      <c r="CI256" s="895"/>
      <c r="CJ256" s="895"/>
      <c r="CK256" s="895"/>
      <c r="CL256" s="895"/>
      <c r="CM256" s="895"/>
      <c r="CN256" s="895"/>
      <c r="CO256" s="895"/>
      <c r="CP256" s="895"/>
    </row>
    <row r="257" spans="1:94">
      <c r="A257" s="895"/>
      <c r="B257" s="895"/>
      <c r="C257" s="895"/>
      <c r="D257" s="895"/>
      <c r="E257" s="896"/>
      <c r="F257" s="897"/>
      <c r="G257" s="897"/>
      <c r="H257" s="898"/>
      <c r="I257" s="899"/>
      <c r="J257" s="896"/>
      <c r="K257" s="897"/>
      <c r="L257" s="897"/>
      <c r="M257" s="898"/>
      <c r="N257" s="899"/>
      <c r="O257" s="896"/>
      <c r="P257" s="897"/>
      <c r="Q257" s="897"/>
      <c r="R257" s="898"/>
      <c r="S257" s="899"/>
      <c r="T257" s="896"/>
      <c r="U257" s="897"/>
      <c r="V257" s="897"/>
      <c r="W257" s="898"/>
      <c r="X257" s="899"/>
      <c r="Y257" s="896"/>
      <c r="Z257" s="897"/>
      <c r="AA257" s="897"/>
      <c r="AB257" s="898"/>
      <c r="AC257" s="899"/>
      <c r="AD257" s="896"/>
      <c r="AE257" s="897"/>
      <c r="AF257" s="897"/>
      <c r="AG257" s="898"/>
      <c r="AH257" s="899"/>
      <c r="AI257" s="896"/>
      <c r="AJ257" s="897"/>
      <c r="AK257" s="897"/>
      <c r="AL257" s="898"/>
      <c r="AM257" s="899"/>
      <c r="AN257" s="896"/>
      <c r="AO257" s="897"/>
      <c r="AP257" s="897"/>
      <c r="AQ257" s="898"/>
      <c r="AR257" s="899"/>
      <c r="AS257" s="896"/>
      <c r="AT257" s="897"/>
      <c r="AU257" s="897"/>
      <c r="AV257" s="898"/>
      <c r="AW257" s="899"/>
      <c r="AX257" s="896"/>
      <c r="AY257" s="897"/>
      <c r="AZ257" s="897"/>
      <c r="BA257" s="898"/>
      <c r="BB257" s="899"/>
      <c r="BC257" s="896"/>
      <c r="BD257" s="897"/>
      <c r="BE257" s="897"/>
      <c r="BF257" s="898"/>
      <c r="BG257" s="899"/>
      <c r="BH257" s="896"/>
      <c r="BI257" s="897"/>
      <c r="BJ257" s="897"/>
      <c r="BK257" s="898"/>
      <c r="BL257" s="899"/>
      <c r="BM257" s="895"/>
      <c r="BN257" s="895"/>
      <c r="BO257" s="895"/>
      <c r="BP257" s="895"/>
      <c r="BQ257" s="895"/>
      <c r="BR257" s="895"/>
      <c r="BS257" s="895"/>
      <c r="BT257" s="895"/>
      <c r="BU257" s="895"/>
      <c r="BV257" s="895"/>
      <c r="BW257" s="895"/>
      <c r="BX257" s="895"/>
      <c r="BY257" s="895"/>
      <c r="BZ257" s="895"/>
      <c r="CA257" s="895"/>
      <c r="CB257" s="895"/>
      <c r="CC257" s="895"/>
      <c r="CD257" s="895"/>
      <c r="CE257" s="895"/>
      <c r="CF257" s="895"/>
      <c r="CG257" s="895"/>
      <c r="CH257" s="895"/>
      <c r="CI257" s="895"/>
      <c r="CJ257" s="895"/>
      <c r="CK257" s="895"/>
      <c r="CL257" s="895"/>
      <c r="CM257" s="895"/>
      <c r="CN257" s="895"/>
      <c r="CO257" s="895"/>
      <c r="CP257" s="895"/>
    </row>
    <row r="258" spans="1:94">
      <c r="A258" s="895"/>
      <c r="B258" s="1681" t="s">
        <v>613</v>
      </c>
      <c r="C258" s="1682"/>
      <c r="D258" s="1683"/>
      <c r="E258" s="896"/>
      <c r="F258" s="897"/>
      <c r="G258" s="897"/>
      <c r="H258" s="898"/>
      <c r="I258" s="899"/>
      <c r="J258" s="896"/>
      <c r="K258" s="897"/>
      <c r="L258" s="897"/>
      <c r="M258" s="898"/>
      <c r="N258" s="899"/>
      <c r="O258" s="896"/>
      <c r="P258" s="897"/>
      <c r="Q258" s="897"/>
      <c r="R258" s="898"/>
      <c r="S258" s="899"/>
      <c r="T258" s="896"/>
      <c r="U258" s="897"/>
      <c r="V258" s="897"/>
      <c r="W258" s="898"/>
      <c r="X258" s="899"/>
      <c r="Y258" s="896"/>
      <c r="Z258" s="897"/>
      <c r="AA258" s="897"/>
      <c r="AB258" s="898"/>
      <c r="AC258" s="899"/>
      <c r="AD258" s="896"/>
      <c r="AE258" s="897"/>
      <c r="AF258" s="897"/>
      <c r="AG258" s="898"/>
      <c r="AH258" s="899"/>
      <c r="AI258" s="896"/>
      <c r="AJ258" s="897"/>
      <c r="AK258" s="897"/>
      <c r="AL258" s="898"/>
      <c r="AM258" s="899"/>
      <c r="AN258" s="896"/>
      <c r="AO258" s="897"/>
      <c r="AP258" s="897"/>
      <c r="AQ258" s="898"/>
      <c r="AR258" s="899"/>
      <c r="AS258" s="896"/>
      <c r="AT258" s="897"/>
      <c r="AU258" s="897"/>
      <c r="AV258" s="898"/>
      <c r="AW258" s="899"/>
      <c r="AX258" s="896"/>
      <c r="AY258" s="897"/>
      <c r="AZ258" s="897"/>
      <c r="BA258" s="898"/>
      <c r="BB258" s="899"/>
      <c r="BC258" s="896"/>
      <c r="BD258" s="897"/>
      <c r="BE258" s="897"/>
      <c r="BF258" s="898"/>
      <c r="BG258" s="899"/>
      <c r="BH258" s="896"/>
      <c r="BI258" s="897"/>
      <c r="BJ258" s="897"/>
      <c r="BK258" s="898"/>
      <c r="BL258" s="899"/>
      <c r="BM258" s="895"/>
      <c r="BN258" s="895"/>
      <c r="BO258" s="895"/>
      <c r="BP258" s="895"/>
      <c r="BQ258" s="895"/>
      <c r="BR258" s="895"/>
      <c r="BS258" s="895"/>
      <c r="BT258" s="895"/>
      <c r="BU258" s="895"/>
      <c r="BV258" s="895"/>
      <c r="BW258" s="895"/>
      <c r="BX258" s="895"/>
      <c r="BY258" s="895"/>
      <c r="BZ258" s="895"/>
      <c r="CA258" s="895"/>
      <c r="CB258" s="895"/>
      <c r="CC258" s="895"/>
      <c r="CD258" s="895"/>
      <c r="CE258" s="895"/>
      <c r="CF258" s="895"/>
      <c r="CG258" s="895"/>
      <c r="CH258" s="895"/>
      <c r="CI258" s="895"/>
      <c r="CJ258" s="895"/>
      <c r="CK258" s="895"/>
      <c r="CL258" s="895"/>
      <c r="CM258" s="895"/>
      <c r="CN258" s="895"/>
      <c r="CO258" s="895"/>
      <c r="CP258" s="895"/>
    </row>
    <row r="259" spans="1:94">
      <c r="A259" s="45"/>
      <c r="B259" s="45"/>
      <c r="C259" s="391" t="s">
        <v>222</v>
      </c>
      <c r="D259" s="45"/>
      <c r="E259" s="290"/>
      <c r="F259" s="260"/>
      <c r="G259" s="260"/>
      <c r="H259" s="291"/>
      <c r="I259" s="45">
        <f>I40+I19</f>
        <v>128</v>
      </c>
      <c r="J259" s="290">
        <f>SUM(J40,F40:H40)+SUM(J19,F19:H19)</f>
        <v>45</v>
      </c>
      <c r="K259" s="260">
        <f>SUM(J40:K40,G40:H40)+SUM(J19:K19,G19:H19)</f>
        <v>89</v>
      </c>
      <c r="L259" s="260">
        <f>SUM(J40:L40,H40)+SUM(J19:L19,H19)</f>
        <v>122</v>
      </c>
      <c r="M259" s="291">
        <f>SUM(J40:M40)+SUM(J19:M19)</f>
        <v>160</v>
      </c>
      <c r="N259" s="45">
        <f>N40+N19</f>
        <v>160</v>
      </c>
      <c r="O259" s="290">
        <f>SUM(O40,K40:M40)+SUM(O19,K19:M19)</f>
        <v>160</v>
      </c>
      <c r="P259" s="260">
        <f>SUM(O40:P40,L40:M40)+SUM(O19:P19,L19:M19)</f>
        <v>154</v>
      </c>
      <c r="Q259" s="260">
        <f>SUM(O40:Q40,M40)+SUM(O19:Q19,M19)</f>
        <v>172</v>
      </c>
      <c r="R259" s="291">
        <f>SUM(O40:R40)+SUM(O19:R19)</f>
        <v>175</v>
      </c>
      <c r="S259" s="45">
        <f>S40+S19</f>
        <v>175</v>
      </c>
      <c r="T259" s="290">
        <f>SUM(T40,P40:R40)+SUM(T19,P19:R19)</f>
        <v>181</v>
      </c>
      <c r="U259" s="260">
        <f>SUM(T40:U40,Q40:R40)+SUM(T19:U19,Q19:R19)</f>
        <v>182</v>
      </c>
      <c r="V259" s="260">
        <f>SUM(T40:V40,R40)+SUM(T19:V19,R19)</f>
        <v>181</v>
      </c>
      <c r="W259" s="291">
        <f>SUM(T40:W40)+SUM(T19:W19)</f>
        <v>196</v>
      </c>
      <c r="X259" s="45">
        <f>X40+X19</f>
        <v>196</v>
      </c>
      <c r="Y259" s="290">
        <f>SUM(Y40,U40:W40)+SUM(Y19,U19:W19)</f>
        <v>212</v>
      </c>
      <c r="Z259" s="260">
        <f>SUM(Y40:Z40,V40:W40)+SUM(Y19:Z19,V19:W19)</f>
        <v>222</v>
      </c>
      <c r="AA259" s="260">
        <f>SUM(Y40:AA40,W40)+SUM(Y19:AA19,W19)</f>
        <v>228</v>
      </c>
      <c r="AB259" s="291">
        <f>SUM(Y40:AB40)+SUM(Y19:AB19)</f>
        <v>229</v>
      </c>
      <c r="AC259" s="45">
        <f>AC40+AC19</f>
        <v>229</v>
      </c>
      <c r="AD259" s="290">
        <f>SUM(AD40,Z40:AB40)+SUM(AD19,Z19:AB19)</f>
        <v>233</v>
      </c>
      <c r="AE259" s="260">
        <f>SUM(AD40:AE40,AA40:AB40)+SUM(AD19:AE19,AA19:AB19)</f>
        <v>228</v>
      </c>
      <c r="AF259" s="260">
        <f>SUM(AD40:AF40,AB40)+SUM(AD19:AF19,AB19)</f>
        <v>229</v>
      </c>
      <c r="AG259" s="291">
        <f>SUM(AD40:AG40)+SUM(AD19:AG19)</f>
        <v>229</v>
      </c>
      <c r="AH259" s="45">
        <f>AH40+AH19</f>
        <v>229</v>
      </c>
      <c r="AI259" s="290">
        <f>SUM(AI40,AE40:AG40)+SUM(AI19,AE19:AG19)</f>
        <v>125</v>
      </c>
      <c r="AJ259" s="260">
        <f>SUM(AI40:AJ40,AF40:AG40)+SUM(AI19:AJ19,AF19:AG19)</f>
        <v>131</v>
      </c>
      <c r="AK259" s="260">
        <f>SUM(AI40:AK40,AG40)+SUM(AI19:AK19,AG19)</f>
        <v>162</v>
      </c>
      <c r="AL259" s="291">
        <f>SUM(AI40:AL40)+SUM(AI19:AL19)</f>
        <v>148</v>
      </c>
      <c r="AM259" s="45">
        <f>AM40+AM19</f>
        <v>148</v>
      </c>
      <c r="AN259" s="290">
        <f>SUM(AN40,AJ40:AL40)+SUM(AN19,AJ19:AL19)</f>
        <v>277</v>
      </c>
      <c r="AO259" s="260">
        <f>SUM(AN40:AO40,AK40:AL40)+SUM(AN19:AO19,AK19:AL19)</f>
        <v>286</v>
      </c>
      <c r="AP259" s="260">
        <f>SUM(AN40:AP40,AL40)+SUM(AN19:AP19,AL19)</f>
        <v>274</v>
      </c>
      <c r="AQ259" s="291">
        <f>SUM(AN40:AQ40)+SUM(AN19:AQ19)</f>
        <v>288</v>
      </c>
      <c r="AR259" s="45">
        <f>AR40+AR19</f>
        <v>288</v>
      </c>
      <c r="AS259" s="290">
        <f>SUM(AS40,AO40:AQ40)+SUM(AS19,AO19:AQ19)</f>
        <v>282.16369050014436</v>
      </c>
      <c r="AT259" s="260">
        <f ca="1">SUM(AS40:AT40,AP40:AQ40)+SUM(AS19:AT19,AP19:AQ19)</f>
        <v>286.4862394145635</v>
      </c>
      <c r="AU259" s="260">
        <f ca="1">SUM(AS40:AU40,AQ40)+SUM(AS19:AU19,AQ19)</f>
        <v>291.48525068907162</v>
      </c>
      <c r="AV259" s="291">
        <f ca="1">SUM(AS40:AV40)+SUM(AS19:AV19)</f>
        <v>305.38247268317616</v>
      </c>
      <c r="AW259" s="45">
        <f ca="1">AW40+AW19</f>
        <v>305.38247268317616</v>
      </c>
      <c r="AX259" s="290">
        <f ca="1">SUM(AX40,AT40:AV40)+SUM(AX19,AT19:AV19)</f>
        <v>309.64900365986887</v>
      </c>
      <c r="AY259" s="260">
        <f ca="1">SUM(AX40:AY40,AU40:AV40)+SUM(AX19:AY19,AU19:AV19)</f>
        <v>312.27624988983143</v>
      </c>
      <c r="AZ259" s="260">
        <f ca="1">SUM(AX40:AZ40,AV40)+SUM(AX19:AZ19,AV19)</f>
        <v>315.68525101824173</v>
      </c>
      <c r="BA259" s="291">
        <f ca="1">SUM(AX40:BA40)+SUM(AX19:BA19)</f>
        <v>319.39376097758941</v>
      </c>
      <c r="BB259" s="45">
        <f ca="1">BB40+BB19</f>
        <v>319.39376097758941</v>
      </c>
      <c r="BC259" s="290">
        <f ca="1">SUM(BC40,AY40:BA40)+SUM(BC19,AY19:BA19)</f>
        <v>323.21680239474034</v>
      </c>
      <c r="BD259" s="260">
        <f ca="1">SUM(BC40:BD40,AZ40:BA40)+SUM(BC19:BD19,AZ19:BA19)</f>
        <v>327.08626708883833</v>
      </c>
      <c r="BE259" s="260">
        <f ca="1">SUM(BC40:BE40,BA40)+SUM(BC19:BE19,BA19)</f>
        <v>329.80447191973553</v>
      </c>
      <c r="BF259" s="291">
        <f ca="1">SUM(BC40:BF40)+SUM(BC19:BF19)</f>
        <v>332.95547755944932</v>
      </c>
      <c r="BG259" s="45">
        <f ca="1">BG40+BG19</f>
        <v>332.95547755944949</v>
      </c>
      <c r="BH259" s="290">
        <f ca="1">SUM(BH40,BD40:BF40)+SUM(BH19,BD19:BF19)</f>
        <v>335.40742140714895</v>
      </c>
      <c r="BI259" s="260">
        <f ca="1">SUM(BH40:BI40,BE40:BF40)+SUM(BH19:BI19,BE19:BF19)</f>
        <v>337.99613251078961</v>
      </c>
      <c r="BJ259" s="260">
        <f ca="1">SUM(BH40:BJ40,BF40)+SUM(BH19:BJ19,BF19)</f>
        <v>340.49830688020825</v>
      </c>
      <c r="BK259" s="291">
        <f ca="1">SUM(BH40:BK40)+SUM(BH19:BK19)</f>
        <v>343.37294248953964</v>
      </c>
      <c r="BL259" s="45">
        <f ca="1">BL40+BL19</f>
        <v>343.37294248953953</v>
      </c>
      <c r="BM259" s="45"/>
      <c r="BN259" s="45"/>
      <c r="BO259" s="45"/>
      <c r="BP259" s="45"/>
      <c r="BQ259" s="45"/>
      <c r="BR259" s="45"/>
      <c r="BS259" s="45"/>
      <c r="BT259" s="45"/>
      <c r="BU259" s="45"/>
      <c r="BV259" s="45"/>
      <c r="BW259" s="45"/>
      <c r="BX259" s="45"/>
      <c r="BY259" s="45"/>
      <c r="BZ259" s="45"/>
      <c r="CA259" s="45"/>
      <c r="CB259" s="45"/>
      <c r="CC259" s="45"/>
      <c r="CD259" s="45"/>
      <c r="CE259" s="45"/>
      <c r="CF259" s="45"/>
      <c r="CG259" s="45"/>
      <c r="CH259" s="45"/>
      <c r="CI259" s="45"/>
      <c r="CJ259" s="45"/>
      <c r="CK259" s="45"/>
      <c r="CL259" s="45"/>
      <c r="CM259" s="45"/>
      <c r="CN259" s="45"/>
      <c r="CO259" s="45"/>
      <c r="CP259" s="45"/>
    </row>
    <row r="260" spans="1:94">
      <c r="A260" s="45"/>
      <c r="B260" s="45"/>
      <c r="C260" s="391" t="s">
        <v>227</v>
      </c>
      <c r="D260" s="45"/>
      <c r="E260" s="290"/>
      <c r="F260" s="260"/>
      <c r="G260" s="260"/>
      <c r="H260" s="291"/>
      <c r="I260" s="45">
        <f>+I29</f>
        <v>120</v>
      </c>
      <c r="J260" s="290">
        <f>SUM(J29,F29:H29)</f>
        <v>51</v>
      </c>
      <c r="K260" s="260">
        <f>SUM(J29:K29,G29:H29)</f>
        <v>89</v>
      </c>
      <c r="L260" s="260">
        <f>SUM(J29:L29,H29)</f>
        <v>121</v>
      </c>
      <c r="M260" s="291">
        <f>SUM(J29:M29)</f>
        <v>157</v>
      </c>
      <c r="N260" s="45">
        <f>+N29</f>
        <v>157</v>
      </c>
      <c r="O260" s="290">
        <f>SUM(O29,K29:M29)</f>
        <v>152</v>
      </c>
      <c r="P260" s="260">
        <f>SUM(O29:P29,L29:M29)</f>
        <v>147</v>
      </c>
      <c r="Q260" s="260">
        <f>SUM(O29:Q29,M29)</f>
        <v>160</v>
      </c>
      <c r="R260" s="291">
        <f>SUM(O29:R29)</f>
        <v>164</v>
      </c>
      <c r="S260" s="45">
        <f>+S29</f>
        <v>164</v>
      </c>
      <c r="T260" s="290">
        <f>SUM(T29,P29:R29)</f>
        <v>173</v>
      </c>
      <c r="U260" s="260">
        <f>SUM(T29:U29,Q29:R29)</f>
        <v>173</v>
      </c>
      <c r="V260" s="260">
        <f>SUM(T29:V29,R29)</f>
        <v>178</v>
      </c>
      <c r="W260" s="291">
        <f>SUM(T29:W29)</f>
        <v>195</v>
      </c>
      <c r="X260" s="45">
        <f>+X29</f>
        <v>195</v>
      </c>
      <c r="Y260" s="290">
        <f>SUM(Y29,U29:W29)</f>
        <v>213</v>
      </c>
      <c r="Z260" s="260">
        <f>SUM(Y29:Z29,V29:W29)</f>
        <v>224</v>
      </c>
      <c r="AA260" s="260">
        <f>SUM(Y29:AA29,W29)</f>
        <v>222</v>
      </c>
      <c r="AB260" s="291">
        <f>SUM(Y29:AB29)</f>
        <v>217</v>
      </c>
      <c r="AC260" s="45">
        <f>+AC29</f>
        <v>217</v>
      </c>
      <c r="AD260" s="290">
        <f>SUM(AD29,Z29:AB29)</f>
        <v>209</v>
      </c>
      <c r="AE260" s="260">
        <f>SUM(AD29:AE29,AA29:AB29)</f>
        <v>191</v>
      </c>
      <c r="AF260" s="260">
        <f>SUM(AD29:AF29,AB29)</f>
        <v>179</v>
      </c>
      <c r="AG260" s="291">
        <f>SUM(AD29:AG29)</f>
        <v>175</v>
      </c>
      <c r="AH260" s="45">
        <f>+AH29</f>
        <v>175</v>
      </c>
      <c r="AI260" s="290">
        <f>SUM(AI29,AE29:AG29)</f>
        <v>41</v>
      </c>
      <c r="AJ260" s="260">
        <f>SUM(AI29:AJ29,AF29:AG29)</f>
        <v>48</v>
      </c>
      <c r="AK260" s="260">
        <f>SUM(AI29:AK29,AG29)</f>
        <v>87</v>
      </c>
      <c r="AL260" s="291">
        <f>SUM(AI29:AL29)</f>
        <v>63</v>
      </c>
      <c r="AM260" s="45">
        <f>+AM29</f>
        <v>63</v>
      </c>
      <c r="AN260" s="290">
        <f>SUM(AN29,AJ29:AL29)</f>
        <v>213</v>
      </c>
      <c r="AO260" s="260">
        <f>SUM(AN29:AO29,AK29:AL29)</f>
        <v>224</v>
      </c>
      <c r="AP260" s="260">
        <f>SUM(AN29:AP29,AL29)</f>
        <v>212</v>
      </c>
      <c r="AQ260" s="291">
        <f>SUM(AN29:AQ29)</f>
        <v>243</v>
      </c>
      <c r="AR260" s="45">
        <f>+AR29</f>
        <v>243</v>
      </c>
      <c r="AS260" s="290">
        <f>SUM(AS29,AO29:AQ29)</f>
        <v>234.81048524874967</v>
      </c>
      <c r="AT260" s="260">
        <f>SUM(AS29:AT29,AP29:AQ29)</f>
        <v>228.2468668818525</v>
      </c>
      <c r="AU260" s="260">
        <f>SUM(AS29:AU29,AQ29)</f>
        <v>227.48594828782723</v>
      </c>
      <c r="AV260" s="291">
        <f ca="1">SUM(AS29:AV29)</f>
        <v>218.03785741421484</v>
      </c>
      <c r="AW260" s="45">
        <f ca="1">+AW29</f>
        <v>218.03785741421484</v>
      </c>
      <c r="AX260" s="290">
        <f ca="1">SUM(AX29,AT29:AV29)</f>
        <v>221.67179041668845</v>
      </c>
      <c r="AY260" s="260">
        <f ca="1">SUM(AX29:AY29,AU29:AV29)</f>
        <v>223.11348264434722</v>
      </c>
      <c r="AZ260" s="260">
        <f ca="1">SUM(AX29:AZ29,AV29)</f>
        <v>224.67956270994443</v>
      </c>
      <c r="BA260" s="291">
        <f ca="1">SUM(AX29:BA29)</f>
        <v>226.78258589185845</v>
      </c>
      <c r="BB260" s="45">
        <f ca="1">+BB29</f>
        <v>226.78258589185845</v>
      </c>
      <c r="BC260" s="290">
        <f ca="1">SUM(BC29,AY29:BA29)</f>
        <v>229.42767282205335</v>
      </c>
      <c r="BD260" s="260">
        <f ca="1">SUM(BC29:BD29,AZ29:BA29)</f>
        <v>232.62665923023343</v>
      </c>
      <c r="BE260" s="260">
        <f ca="1">SUM(BC29:BE29,BA29)</f>
        <v>234.71071238967522</v>
      </c>
      <c r="BF260" s="291">
        <f ca="1">SUM(BC29:BF29)</f>
        <v>237.16982246903436</v>
      </c>
      <c r="BG260" s="45">
        <f ca="1">+BG29</f>
        <v>237.16982246903459</v>
      </c>
      <c r="BH260" s="290">
        <f ca="1">SUM(BH29,BD29:BF29)</f>
        <v>238.82253967630422</v>
      </c>
      <c r="BI260" s="260">
        <f ca="1">SUM(BH29:BI29,BE29:BF29)</f>
        <v>240.5526995190489</v>
      </c>
      <c r="BJ260" s="260">
        <f ca="1">SUM(BH29:BJ29,BF29)</f>
        <v>242.38809759415173</v>
      </c>
      <c r="BK260" s="291">
        <f ca="1">SUM(BH29:BK29)</f>
        <v>244.54385062891063</v>
      </c>
      <c r="BL260" s="45">
        <f ca="1">+BL29</f>
        <v>244.54385062891052</v>
      </c>
      <c r="BM260" s="45"/>
      <c r="BN260" s="45"/>
      <c r="BO260" s="45"/>
      <c r="BP260" s="45"/>
      <c r="BQ260" s="45"/>
      <c r="BR260" s="45"/>
      <c r="BS260" s="45"/>
      <c r="BT260" s="45"/>
      <c r="BU260" s="45"/>
      <c r="BV260" s="45"/>
      <c r="BW260" s="45"/>
      <c r="BX260" s="45"/>
      <c r="BY260" s="45"/>
      <c r="BZ260" s="45"/>
      <c r="CA260" s="45"/>
      <c r="CB260" s="45"/>
      <c r="CC260" s="45"/>
      <c r="CD260" s="45"/>
      <c r="CE260" s="45"/>
      <c r="CF260" s="45"/>
      <c r="CG260" s="45"/>
      <c r="CH260" s="45"/>
      <c r="CI260" s="45"/>
      <c r="CJ260" s="45"/>
      <c r="CK260" s="45"/>
      <c r="CL260" s="45"/>
      <c r="CM260" s="45"/>
      <c r="CN260" s="45"/>
      <c r="CO260" s="45"/>
      <c r="CP260" s="45"/>
    </row>
    <row r="261" spans="1:94">
      <c r="A261" s="45"/>
      <c r="B261" s="45"/>
      <c r="C261" s="391" t="s">
        <v>228</v>
      </c>
      <c r="D261" s="45"/>
      <c r="E261" s="290"/>
      <c r="F261" s="260"/>
      <c r="G261" s="260"/>
      <c r="H261" s="291"/>
      <c r="I261" s="45">
        <f>+I30</f>
        <v>203</v>
      </c>
      <c r="J261" s="290">
        <f>SUM(J30,F30:H30)</f>
        <v>73</v>
      </c>
      <c r="K261" s="260">
        <f>SUM(J30:K30,G30:H30)</f>
        <v>133</v>
      </c>
      <c r="L261" s="260">
        <f>SUM(J30:L30,H30)</f>
        <v>187</v>
      </c>
      <c r="M261" s="291">
        <f>SUM(J30:M30)</f>
        <v>246</v>
      </c>
      <c r="N261" s="45">
        <f>+N30</f>
        <v>246</v>
      </c>
      <c r="O261" s="290">
        <f>SUM(O30,K30:M30)</f>
        <v>243</v>
      </c>
      <c r="P261" s="260">
        <f>SUM(O30:P30,L30:M30)</f>
        <v>241</v>
      </c>
      <c r="Q261" s="260">
        <f>SUM(O30:Q30,M30)</f>
        <v>261</v>
      </c>
      <c r="R261" s="291">
        <f>SUM(O30:R30)</f>
        <v>266</v>
      </c>
      <c r="S261" s="45">
        <f>+S30</f>
        <v>266</v>
      </c>
      <c r="T261" s="290">
        <f>SUM(T30,P30:R30)</f>
        <v>276</v>
      </c>
      <c r="U261" s="260">
        <f>SUM(T30:U30,Q30:R30)</f>
        <v>278</v>
      </c>
      <c r="V261" s="260">
        <f>SUM(T30:V30,R30)</f>
        <v>281</v>
      </c>
      <c r="W261" s="291">
        <f>SUM(T30:W30)</f>
        <v>302</v>
      </c>
      <c r="X261" s="45">
        <f>+X30</f>
        <v>302</v>
      </c>
      <c r="Y261" s="290">
        <f>SUM(Y30,U30:W30)</f>
        <v>325</v>
      </c>
      <c r="Z261" s="260">
        <f>SUM(Y30:Z30,V30:W30)</f>
        <v>339</v>
      </c>
      <c r="AA261" s="260">
        <f>SUM(Y30:AA30,W30)</f>
        <v>343</v>
      </c>
      <c r="AB261" s="291">
        <f>SUM(Y30:AB30)</f>
        <v>342</v>
      </c>
      <c r="AC261" s="45">
        <f>+AC30</f>
        <v>342</v>
      </c>
      <c r="AD261" s="290">
        <f>SUM(AD30,Z30:AB30)</f>
        <v>343</v>
      </c>
      <c r="AE261" s="260">
        <f>SUM(AD30:AE30,AA30:AB30)</f>
        <v>331</v>
      </c>
      <c r="AF261" s="260">
        <f>SUM(AD30:AF30,AB30)</f>
        <v>328</v>
      </c>
      <c r="AG261" s="291">
        <f>SUM(AD30:AG30)</f>
        <v>328</v>
      </c>
      <c r="AH261" s="45">
        <f>+AH30</f>
        <v>328</v>
      </c>
      <c r="AI261" s="290">
        <f>SUM(AI30,AE30:AG30)</f>
        <v>194</v>
      </c>
      <c r="AJ261" s="260">
        <f>SUM(AI30:AJ30,AF30:AG30)</f>
        <v>203</v>
      </c>
      <c r="AK261" s="260">
        <f>SUM(AI30:AK30,AG30)</f>
        <v>244</v>
      </c>
      <c r="AL261" s="291">
        <f>SUM(AI30:AL30)</f>
        <v>220</v>
      </c>
      <c r="AM261" s="45">
        <f>+AM30</f>
        <v>220</v>
      </c>
      <c r="AN261" s="290">
        <f>SUM(AN30,AJ30:AL30)</f>
        <v>370</v>
      </c>
      <c r="AO261" s="260">
        <f>SUM(AN30:AO30,AK30:AL30)</f>
        <v>383</v>
      </c>
      <c r="AP261" s="260">
        <f>SUM(AN30:AP30,AL30)</f>
        <v>372</v>
      </c>
      <c r="AQ261" s="291">
        <f>SUM(AN30:AQ30)</f>
        <v>410</v>
      </c>
      <c r="AR261" s="45">
        <f>+AR30</f>
        <v>410</v>
      </c>
      <c r="AS261" s="290">
        <f>SUM(AS30,AO30:AQ30)</f>
        <v>406.45073190238179</v>
      </c>
      <c r="AT261" s="260">
        <f>SUM(AS30:AT30,AP30:AQ30)</f>
        <v>404.42979713809689</v>
      </c>
      <c r="AU261" s="260">
        <f>SUM(AS30:AU30,AQ30)</f>
        <v>403.92886237381208</v>
      </c>
      <c r="AV261" s="291">
        <f ca="1">SUM(AS30:AV30)</f>
        <v>397.44877779807706</v>
      </c>
      <c r="AW261" s="45">
        <f ca="1">+AW30</f>
        <v>397.44877779807706</v>
      </c>
      <c r="AX261" s="290">
        <f ca="1">SUM(AX30,AT30:AV30)</f>
        <v>404.10933515503547</v>
      </c>
      <c r="AY261" s="260">
        <f ca="1">SUM(AX30:AY30,AU30:AV30)</f>
        <v>408.58715917866061</v>
      </c>
      <c r="AZ261" s="260">
        <f ca="1">SUM(AX30:AZ30,AV30)</f>
        <v>412.90758320228571</v>
      </c>
      <c r="BA261" s="291">
        <f ca="1">SUM(AX30:BA30)</f>
        <v>417.48680722591087</v>
      </c>
      <c r="BB261" s="45">
        <f ca="1">+BB30</f>
        <v>417.48680722591087</v>
      </c>
      <c r="BC261" s="290">
        <f ca="1">SUM(BC30,AY30:BA30)</f>
        <v>422.33354946128702</v>
      </c>
      <c r="BD261" s="260">
        <f ca="1">SUM(BC30:BD30,AZ30:BA30)</f>
        <v>427.24107769666296</v>
      </c>
      <c r="BE261" s="260">
        <f ca="1">SUM(BC30:BE30,BA30)</f>
        <v>431.01157393203914</v>
      </c>
      <c r="BF261" s="291">
        <f ca="1">SUM(BC30:BF30)</f>
        <v>435.13531416741523</v>
      </c>
      <c r="BG261" s="45">
        <f ca="1">+BG30</f>
        <v>435.13531416741546</v>
      </c>
      <c r="BH261" s="290">
        <f ca="1">SUM(BH30,BD30:BF30)</f>
        <v>438.43113074510757</v>
      </c>
      <c r="BI261" s="260">
        <f ca="1">SUM(BH30:BI30,BE30:BF30)</f>
        <v>441.78313765780013</v>
      </c>
      <c r="BJ261" s="260">
        <f ca="1">SUM(BH30:BJ30,BF30)</f>
        <v>445.21940538549234</v>
      </c>
      <c r="BK261" s="291">
        <f ca="1">SUM(BH30:BK30)</f>
        <v>448.95532198318472</v>
      </c>
      <c r="BL261" s="45">
        <f ca="1">+BL30</f>
        <v>448.9553219831846</v>
      </c>
      <c r="BM261" s="45"/>
      <c r="BN261" s="45"/>
      <c r="BO261" s="45"/>
      <c r="BP261" s="45"/>
      <c r="BQ261" s="45"/>
      <c r="BR261" s="45"/>
      <c r="BS261" s="45"/>
      <c r="BT261" s="45"/>
      <c r="BU261" s="45"/>
      <c r="BV261" s="45"/>
      <c r="BW261" s="45"/>
      <c r="BX261" s="45"/>
      <c r="BY261" s="45"/>
      <c r="BZ261" s="45"/>
      <c r="CA261" s="45"/>
      <c r="CB261" s="45"/>
      <c r="CC261" s="45"/>
      <c r="CD261" s="45"/>
      <c r="CE261" s="45"/>
      <c r="CF261" s="45"/>
      <c r="CG261" s="45"/>
      <c r="CH261" s="45"/>
      <c r="CI261" s="45"/>
      <c r="CJ261" s="45"/>
      <c r="CK261" s="45"/>
      <c r="CL261" s="45"/>
      <c r="CM261" s="45"/>
      <c r="CN261" s="45"/>
      <c r="CO261" s="45"/>
      <c r="CP261" s="45"/>
    </row>
    <row r="262" spans="1:94">
      <c r="A262" s="45"/>
      <c r="B262" s="45"/>
      <c r="C262" s="391" t="s">
        <v>226</v>
      </c>
      <c r="D262" s="45"/>
      <c r="E262" s="290"/>
      <c r="F262" s="260"/>
      <c r="G262" s="260"/>
      <c r="H262" s="291"/>
      <c r="I262" s="45">
        <f>+SUM(I32:I32)</f>
        <v>44</v>
      </c>
      <c r="J262" s="290">
        <f>SUM(J32:J32,F32:H32)</f>
        <v>11</v>
      </c>
      <c r="K262" s="260">
        <f>SUM(J32:K32,G32:H32)</f>
        <v>22</v>
      </c>
      <c r="L262" s="260">
        <f>SUM(J32:L32,H32:H32)</f>
        <v>33</v>
      </c>
      <c r="M262" s="291">
        <f>SUM(J32:M32)</f>
        <v>44</v>
      </c>
      <c r="N262" s="45">
        <f>+SUM(N32:N32)</f>
        <v>44</v>
      </c>
      <c r="O262" s="290">
        <f>SUM(O32:O32,K32:M32)</f>
        <v>44</v>
      </c>
      <c r="P262" s="260">
        <f>SUM(O32:P32,L32:M32)</f>
        <v>44</v>
      </c>
      <c r="Q262" s="260">
        <f>SUM(O32:Q32,M32:M32)</f>
        <v>45</v>
      </c>
      <c r="R262" s="291">
        <f>SUM(O32:R32)</f>
        <v>47</v>
      </c>
      <c r="S262" s="45">
        <f>+SUM(S32:S32)</f>
        <v>47</v>
      </c>
      <c r="T262" s="290">
        <f>SUM(T32:T32,P32:R32)</f>
        <v>49</v>
      </c>
      <c r="U262" s="260">
        <f>SUM(T32:U32,Q32:R32)</f>
        <v>50</v>
      </c>
      <c r="V262" s="260">
        <f>SUM(T32:V32,R32:R32)</f>
        <v>51</v>
      </c>
      <c r="W262" s="291">
        <f>SUM(T32:W32)</f>
        <v>50</v>
      </c>
      <c r="X262" s="45">
        <f>+SUM(X32:X32)</f>
        <v>50</v>
      </c>
      <c r="Y262" s="290">
        <f>SUM(Y32:Y32,U32:W32)</f>
        <v>48</v>
      </c>
      <c r="Z262" s="260">
        <f>SUM(Y32:Z32,V32:W32)</f>
        <v>48</v>
      </c>
      <c r="AA262" s="260">
        <f>SUM(Y32:AA32,W32:W32)</f>
        <v>47</v>
      </c>
      <c r="AB262" s="291">
        <f>SUM(Y32:AB32)</f>
        <v>48</v>
      </c>
      <c r="AC262" s="45">
        <f>+SUM(AC32:AC32)</f>
        <v>48</v>
      </c>
      <c r="AD262" s="290">
        <f>SUM(AD32:AD32,Z32:AB32)</f>
        <v>49</v>
      </c>
      <c r="AE262" s="260">
        <f>SUM(AD32:AE32,AA32:AB32)</f>
        <v>50</v>
      </c>
      <c r="AF262" s="260">
        <f>SUM(AD32:AF32,AB32:AB32)</f>
        <v>50</v>
      </c>
      <c r="AG262" s="291">
        <f>SUM(AD32:AG32)</f>
        <v>50</v>
      </c>
      <c r="AH262" s="45">
        <f>+SUM(AH32:AH32)</f>
        <v>50</v>
      </c>
      <c r="AI262" s="290">
        <f>SUM(AI32:AI32,AE32:AG32)</f>
        <v>50</v>
      </c>
      <c r="AJ262" s="260">
        <f>SUM(AI32:AJ32,AF32:AG32)</f>
        <v>50</v>
      </c>
      <c r="AK262" s="260">
        <f>SUM(AI32:AK32,AG32:AG32)</f>
        <v>50</v>
      </c>
      <c r="AL262" s="291">
        <f>SUM(AI32:AL32)</f>
        <v>50</v>
      </c>
      <c r="AM262" s="45">
        <f>+SUM(AM32:AM32)</f>
        <v>50</v>
      </c>
      <c r="AN262" s="290">
        <f>SUM(AN32:AN32,AJ32:AL32)</f>
        <v>51</v>
      </c>
      <c r="AO262" s="260">
        <f>SUM(AN32:AO32,AK32:AL32)</f>
        <v>51</v>
      </c>
      <c r="AP262" s="260">
        <f>SUM(AN32:AP32,AL32:AL32)</f>
        <v>52</v>
      </c>
      <c r="AQ262" s="291">
        <f>SUM(AN32:AQ32)</f>
        <v>51</v>
      </c>
      <c r="AR262" s="45">
        <f>+SUM(AR32:AR32)</f>
        <v>51</v>
      </c>
      <c r="AS262" s="290">
        <f>SUM(AS32:AS32,AO32:AQ32)</f>
        <v>51.920050000000003</v>
      </c>
      <c r="AT262" s="260">
        <f ca="1">SUM(AS32:AT32,AP32:AQ32)</f>
        <v>52.584450225752377</v>
      </c>
      <c r="AU262" s="260">
        <f ca="1">SUM(AS32:AU32,AQ32:AQ32)</f>
        <v>56.584256385185761</v>
      </c>
      <c r="AV262" s="291">
        <f ca="1">SUM(AS32:AV32)</f>
        <v>58.580196275842731</v>
      </c>
      <c r="AW262" s="45">
        <f ca="1">+SUM(AW32:AW32)</f>
        <v>58.580196275842731</v>
      </c>
      <c r="AX262" s="290">
        <f ca="1">SUM(AX32:AX32,AT32:AV32)</f>
        <v>60.644627224888616</v>
      </c>
      <c r="AY262" s="260">
        <f ca="1">SUM(AX32:AY32,AU32:AV32)</f>
        <v>62.603896118375005</v>
      </c>
      <c r="AZ262" s="260">
        <f ca="1">SUM(AX32:AZ32,AV32:AV32)</f>
        <v>63.341296221462855</v>
      </c>
      <c r="BA262" s="291">
        <f ca="1">SUM(AX32:BA32)</f>
        <v>63.884434444343313</v>
      </c>
      <c r="BB262" s="45">
        <f ca="1">+SUM(BB32:BB32)</f>
        <v>63.884434444343313</v>
      </c>
      <c r="BC262" s="290">
        <f ca="1">SUM(BC32:BC32,AY32:BA32)</f>
        <v>64.477133891032238</v>
      </c>
      <c r="BD262" s="260">
        <f ca="1">SUM(BC32:BD32,AZ32:BA32)</f>
        <v>64.940774898070543</v>
      </c>
      <c r="BE262" s="260">
        <f ca="1">SUM(BC32:BE32,BA32:BA32)</f>
        <v>65.718800519584534</v>
      </c>
      <c r="BF262" s="291">
        <f ca="1">SUM(BC32:BF32)</f>
        <v>66.296422644897078</v>
      </c>
      <c r="BG262" s="45">
        <f ca="1">+SUM(BG32:BG32)</f>
        <v>66.296422644897078</v>
      </c>
      <c r="BH262" s="290">
        <f ca="1">SUM(BH32:BH32,BD32:BF32)</f>
        <v>66.925286083461671</v>
      </c>
      <c r="BI262" s="260">
        <f ca="1">SUM(BH32:BI32,BE32:BF32)</f>
        <v>67.431567402544573</v>
      </c>
      <c r="BJ262" s="260">
        <f ca="1">SUM(BH32:BJ32,BF32:BF32)</f>
        <v>68.126073431028118</v>
      </c>
      <c r="BK262" s="291">
        <f ca="1">SUM(BH32:BK32)</f>
        <v>68.643254255156762</v>
      </c>
      <c r="BL262" s="45">
        <f ca="1">+SUM(BL32:BL32)</f>
        <v>68.643254255156762</v>
      </c>
      <c r="BM262" s="45"/>
      <c r="BN262" s="45"/>
      <c r="BO262" s="45"/>
      <c r="BP262" s="45"/>
      <c r="BQ262" s="45"/>
      <c r="BR262" s="45"/>
      <c r="BS262" s="45"/>
      <c r="BT262" s="45"/>
      <c r="BU262" s="45"/>
      <c r="BV262" s="45"/>
      <c r="BW262" s="45"/>
      <c r="BX262" s="45"/>
      <c r="BY262" s="45"/>
      <c r="BZ262" s="45"/>
      <c r="CA262" s="45"/>
      <c r="CB262" s="45"/>
      <c r="CC262" s="45"/>
      <c r="CD262" s="45"/>
      <c r="CE262" s="45"/>
      <c r="CF262" s="45"/>
      <c r="CG262" s="45"/>
      <c r="CH262" s="45"/>
      <c r="CI262" s="45"/>
      <c r="CJ262" s="45"/>
      <c r="CK262" s="45"/>
      <c r="CL262" s="45"/>
      <c r="CM262" s="45"/>
      <c r="CN262" s="45"/>
      <c r="CO262" s="45"/>
      <c r="CP262" s="45"/>
    </row>
    <row r="263" spans="1:94">
      <c r="A263" s="45"/>
      <c r="B263" s="45"/>
      <c r="C263" s="391" t="s">
        <v>231</v>
      </c>
      <c r="D263" s="45"/>
      <c r="E263" s="290"/>
      <c r="F263" s="260"/>
      <c r="G263" s="260"/>
      <c r="H263" s="291"/>
      <c r="I263" s="45">
        <f>I40</f>
        <v>45</v>
      </c>
      <c r="J263" s="290">
        <f>SUM(J40,F40:H40)</f>
        <v>23</v>
      </c>
      <c r="K263" s="260">
        <f>SUM(J40:K40,G40:H40)</f>
        <v>45</v>
      </c>
      <c r="L263" s="260">
        <f>SUM(J40:L40,H40)</f>
        <v>56</v>
      </c>
      <c r="M263" s="291">
        <f>SUM(J40:M40)</f>
        <v>71</v>
      </c>
      <c r="N263" s="45">
        <f>N40</f>
        <v>71</v>
      </c>
      <c r="O263" s="290">
        <f>SUM(O40,K40:M40)</f>
        <v>69</v>
      </c>
      <c r="P263" s="260">
        <f>SUM(O40:P40,L40:M40)</f>
        <v>60</v>
      </c>
      <c r="Q263" s="260">
        <f>SUM(O40:Q40,M40)</f>
        <v>71</v>
      </c>
      <c r="R263" s="291">
        <f>SUM(O40:R40)</f>
        <v>73</v>
      </c>
      <c r="S263" s="45">
        <f>S40</f>
        <v>73</v>
      </c>
      <c r="T263" s="290">
        <f>SUM(T40,P40:R40)</f>
        <v>78</v>
      </c>
      <c r="U263" s="260">
        <f>SUM(T40:U40,Q40:R40)</f>
        <v>77</v>
      </c>
      <c r="V263" s="260">
        <f>SUM(T40:V40,R40)</f>
        <v>78</v>
      </c>
      <c r="W263" s="291">
        <f>SUM(T40:W40)</f>
        <v>89</v>
      </c>
      <c r="X263" s="45">
        <f>X40</f>
        <v>89</v>
      </c>
      <c r="Y263" s="290">
        <f>SUM(Y40,U40:W40)</f>
        <v>100</v>
      </c>
      <c r="Z263" s="260">
        <f>SUM(Y40:Z40,V40:W40)</f>
        <v>107</v>
      </c>
      <c r="AA263" s="260">
        <f>SUM(Y40:AA40,W40)</f>
        <v>107</v>
      </c>
      <c r="AB263" s="291">
        <f>SUM(Y40:AB40)</f>
        <v>104</v>
      </c>
      <c r="AC263" s="45">
        <f>AC40</f>
        <v>104</v>
      </c>
      <c r="AD263" s="290">
        <f>SUM(AD40,Z40:AB40)</f>
        <v>99</v>
      </c>
      <c r="AE263" s="260">
        <f>SUM(AD40:AE40,AA40:AB40)</f>
        <v>88</v>
      </c>
      <c r="AF263" s="260">
        <f>SUM(AD40:AF40,AB40)</f>
        <v>80</v>
      </c>
      <c r="AG263" s="291">
        <f>SUM(AD40:AG40)</f>
        <v>76</v>
      </c>
      <c r="AH263" s="45">
        <f>AH40</f>
        <v>76</v>
      </c>
      <c r="AI263" s="290">
        <f>SUM(AI40,AE40:AG40)</f>
        <v>-28</v>
      </c>
      <c r="AJ263" s="260">
        <f>SUM(AI40:AJ40,AF40:AG40)</f>
        <v>-24</v>
      </c>
      <c r="AK263" s="260">
        <f>SUM(AI40:AK40,AG40)</f>
        <v>5</v>
      </c>
      <c r="AL263" s="291">
        <f>SUM(AI40:AL40)</f>
        <v>-9</v>
      </c>
      <c r="AM263" s="45">
        <f>AM40</f>
        <v>-9</v>
      </c>
      <c r="AN263" s="290">
        <f>SUM(AN40,AJ40:AL40)</f>
        <v>120</v>
      </c>
      <c r="AO263" s="260">
        <f>SUM(AN40:AO40,AK40:AL40)</f>
        <v>127</v>
      </c>
      <c r="AP263" s="260">
        <f>SUM(AN40:AP40,AL40)</f>
        <v>114</v>
      </c>
      <c r="AQ263" s="291">
        <f>SUM(AN40:AQ40)</f>
        <v>121</v>
      </c>
      <c r="AR263" s="45">
        <f>AR40</f>
        <v>121</v>
      </c>
      <c r="AS263" s="290">
        <f>SUM(AS40,AO40:AQ40)</f>
        <v>110.52344384651224</v>
      </c>
      <c r="AT263" s="260">
        <f ca="1">SUM(AS40:AT40,AP40:AQ40)</f>
        <v>110.3033091583191</v>
      </c>
      <c r="AU263" s="260">
        <f ca="1">SUM(AS40:AU40,AQ40)</f>
        <v>115.04233660308677</v>
      </c>
      <c r="AV263" s="291">
        <f ca="1">SUM(AS40:AV40)</f>
        <v>125.97155229931397</v>
      </c>
      <c r="AW263" s="45">
        <f ca="1">AW40</f>
        <v>125.97155229931397</v>
      </c>
      <c r="AX263" s="290">
        <f ca="1">SUM(AX40,AT40:AV40)</f>
        <v>127.21145892152188</v>
      </c>
      <c r="AY263" s="260">
        <f ca="1">SUM(AX40:AY40,AU40:AV40)</f>
        <v>126.80257335551806</v>
      </c>
      <c r="AZ263" s="260">
        <f ca="1">SUM(AX40:AZ40,AV40)</f>
        <v>127.45723052590046</v>
      </c>
      <c r="BA263" s="291">
        <f ca="1">SUM(AX40:BA40)</f>
        <v>128.68953964353696</v>
      </c>
      <c r="BB263" s="45">
        <f ca="1">BB40</f>
        <v>128.68953964353699</v>
      </c>
      <c r="BC263" s="290">
        <f ca="1">SUM(BC40,AY40:BA40)</f>
        <v>130.3109257555067</v>
      </c>
      <c r="BD263" s="260">
        <f ca="1">SUM(BC40:BD40,AZ40:BA40)</f>
        <v>132.47184862240869</v>
      </c>
      <c r="BE263" s="260">
        <f ca="1">SUM(BC40:BE40,BA40)</f>
        <v>133.50361037737167</v>
      </c>
      <c r="BF263" s="291">
        <f ca="1">SUM(BC40:BF40)</f>
        <v>134.98998586106848</v>
      </c>
      <c r="BG263" s="45">
        <f ca="1">BG40</f>
        <v>134.98998586106865</v>
      </c>
      <c r="BH263" s="290">
        <f ca="1">SUM(BH40,BD40:BF40)</f>
        <v>135.79883033834562</v>
      </c>
      <c r="BI263" s="260">
        <f ca="1">SUM(BH40:BI40,BE40:BF40)</f>
        <v>136.76569437203844</v>
      </c>
      <c r="BJ263" s="260">
        <f ca="1">SUM(BH40:BJ40,BF40)</f>
        <v>137.66699908886767</v>
      </c>
      <c r="BK263" s="291">
        <f ca="1">SUM(BH40:BK40)</f>
        <v>138.96147113526555</v>
      </c>
      <c r="BL263" s="45">
        <f ca="1">BL40</f>
        <v>138.96147113526544</v>
      </c>
      <c r="BM263" s="45"/>
      <c r="BN263" s="45"/>
      <c r="BO263" s="45"/>
      <c r="BP263" s="45"/>
      <c r="BQ263" s="45"/>
      <c r="BR263" s="45"/>
      <c r="BS263" s="45"/>
      <c r="BT263" s="45"/>
      <c r="BU263" s="45"/>
      <c r="BV263" s="45"/>
      <c r="BW263" s="45"/>
      <c r="BX263" s="45"/>
      <c r="BY263" s="45"/>
      <c r="BZ263" s="45"/>
      <c r="CA263" s="45"/>
      <c r="CB263" s="45"/>
      <c r="CC263" s="45"/>
      <c r="CD263" s="45"/>
      <c r="CE263" s="45"/>
      <c r="CF263" s="45"/>
      <c r="CG263" s="45"/>
      <c r="CH263" s="45"/>
      <c r="CI263" s="45"/>
      <c r="CJ263" s="45"/>
      <c r="CK263" s="45"/>
      <c r="CL263" s="45"/>
      <c r="CM263" s="45"/>
      <c r="CN263" s="45"/>
      <c r="CO263" s="45"/>
      <c r="CP263" s="45"/>
    </row>
    <row r="264" spans="1:94">
      <c r="A264" s="1716"/>
      <c r="B264" s="1716"/>
      <c r="C264" s="1716"/>
      <c r="D264" s="1716"/>
      <c r="E264" s="1717"/>
      <c r="F264" s="1718"/>
      <c r="G264" s="1718"/>
      <c r="H264" s="1719"/>
      <c r="I264" s="1716"/>
      <c r="J264" s="1717"/>
      <c r="K264" s="1718"/>
      <c r="L264" s="1718"/>
      <c r="M264" s="1719"/>
      <c r="N264" s="1716"/>
      <c r="O264" s="1717"/>
      <c r="P264" s="1718"/>
      <c r="Q264" s="1718"/>
      <c r="R264" s="1719"/>
      <c r="S264" s="1716"/>
      <c r="T264" s="1717"/>
      <c r="U264" s="1718"/>
      <c r="V264" s="1718"/>
      <c r="W264" s="1719"/>
      <c r="X264" s="1716"/>
      <c r="Y264" s="1717"/>
      <c r="Z264" s="1718"/>
      <c r="AA264" s="1718"/>
      <c r="AB264" s="1719"/>
      <c r="AC264" s="1716"/>
      <c r="AD264" s="1717"/>
      <c r="AE264" s="1718"/>
      <c r="AF264" s="1718"/>
      <c r="AG264" s="1719"/>
      <c r="AH264" s="1716"/>
      <c r="AI264" s="1717"/>
      <c r="AJ264" s="1718"/>
      <c r="AK264" s="1718"/>
      <c r="AL264" s="1719"/>
      <c r="AM264" s="1716"/>
      <c r="AN264" s="1717"/>
      <c r="AO264" s="1718"/>
      <c r="AP264" s="1718"/>
      <c r="AQ264" s="1719"/>
      <c r="AR264" s="1716"/>
      <c r="AS264" s="1717"/>
      <c r="AT264" s="1718"/>
      <c r="AU264" s="1718"/>
      <c r="AV264" s="1719"/>
      <c r="AW264" s="1716"/>
      <c r="AX264" s="1717"/>
      <c r="AY264" s="1718"/>
      <c r="AZ264" s="1718"/>
      <c r="BA264" s="1719"/>
      <c r="BB264" s="1716"/>
      <c r="BC264" s="1717"/>
      <c r="BD264" s="1718"/>
      <c r="BE264" s="1718"/>
      <c r="BF264" s="1719"/>
      <c r="BG264" s="1716"/>
      <c r="BH264" s="1717"/>
      <c r="BI264" s="1718"/>
      <c r="BJ264" s="1718"/>
      <c r="BK264" s="1719"/>
      <c r="BL264" s="1716"/>
      <c r="BM264" s="1716"/>
      <c r="BN264" s="1716"/>
      <c r="BO264" s="1716"/>
      <c r="BP264" s="1716"/>
      <c r="BQ264" s="1716"/>
      <c r="BR264" s="1716"/>
      <c r="BS264" s="1716"/>
      <c r="BT264" s="1716"/>
      <c r="BU264" s="1716"/>
      <c r="BV264" s="1716"/>
      <c r="BW264" s="1716"/>
      <c r="BX264" s="1716"/>
      <c r="BY264" s="1716"/>
      <c r="BZ264" s="1716"/>
      <c r="CA264" s="1716"/>
      <c r="CB264" s="1716"/>
      <c r="CC264" s="1716"/>
      <c r="CD264" s="1716"/>
      <c r="CE264" s="1716"/>
      <c r="CF264" s="1716"/>
      <c r="CG264" s="1716"/>
      <c r="CH264" s="1716"/>
      <c r="CI264" s="1716"/>
      <c r="CJ264" s="1716"/>
      <c r="CK264" s="1716"/>
      <c r="CL264" s="1716"/>
      <c r="CM264" s="1716"/>
      <c r="CN264" s="1716"/>
      <c r="CO264" s="1716"/>
      <c r="CP264" s="1716"/>
    </row>
    <row r="265" spans="1:94">
      <c r="A265" s="1716"/>
      <c r="B265" s="1716"/>
      <c r="C265" s="389" t="s">
        <v>374</v>
      </c>
      <c r="D265" s="1716"/>
      <c r="E265" s="1717"/>
      <c r="F265" s="1718"/>
      <c r="G265" s="1718"/>
      <c r="H265" s="1719"/>
      <c r="I265" s="1716"/>
      <c r="J265" s="1717"/>
      <c r="K265" s="1718"/>
      <c r="L265" s="1718"/>
      <c r="M265" s="1719"/>
      <c r="N265" s="1716"/>
      <c r="O265" s="1717"/>
      <c r="P265" s="1718"/>
      <c r="Q265" s="1718"/>
      <c r="R265" s="1719"/>
      <c r="S265" s="1716"/>
      <c r="T265" s="1717"/>
      <c r="U265" s="1718"/>
      <c r="V265" s="1718"/>
      <c r="W265" s="1719"/>
      <c r="X265" s="1716"/>
      <c r="Y265" s="1717"/>
      <c r="Z265" s="1718"/>
      <c r="AA265" s="1718"/>
      <c r="AB265" s="1719"/>
      <c r="AC265" s="1716"/>
      <c r="AD265" s="1717"/>
      <c r="AE265" s="1718"/>
      <c r="AF265" s="1718"/>
      <c r="AG265" s="1719"/>
      <c r="AH265" s="1716"/>
      <c r="AI265" s="1717"/>
      <c r="AJ265" s="1718"/>
      <c r="AK265" s="1718"/>
      <c r="AL265" s="1719"/>
      <c r="AM265" s="1716"/>
      <c r="AN265" s="1717"/>
      <c r="AO265" s="1718"/>
      <c r="AP265" s="1718"/>
      <c r="AQ265" s="1719"/>
      <c r="AR265" s="1716"/>
      <c r="AS265" s="1717"/>
      <c r="AT265" s="1718"/>
      <c r="AU265" s="1718"/>
      <c r="AV265" s="1719"/>
      <c r="AW265" s="1716"/>
      <c r="AX265" s="1717"/>
      <c r="AY265" s="1718"/>
      <c r="AZ265" s="1718"/>
      <c r="BA265" s="1719"/>
      <c r="BB265" s="1716"/>
      <c r="BC265" s="1717"/>
      <c r="BD265" s="1718"/>
      <c r="BE265" s="1718"/>
      <c r="BF265" s="1719"/>
      <c r="BG265" s="1716"/>
      <c r="BH265" s="1717"/>
      <c r="BI265" s="1718"/>
      <c r="BJ265" s="1718"/>
      <c r="BK265" s="1719"/>
      <c r="BL265" s="1716"/>
      <c r="BM265" s="1716"/>
      <c r="BN265" s="1716"/>
      <c r="BO265" s="1716"/>
      <c r="BP265" s="1716"/>
      <c r="BQ265" s="1716"/>
      <c r="BR265" s="1716"/>
      <c r="BS265" s="1716"/>
      <c r="BT265" s="1716"/>
      <c r="BU265" s="1716"/>
      <c r="BV265" s="1716"/>
      <c r="BW265" s="1716"/>
      <c r="BX265" s="1716"/>
      <c r="BY265" s="1716"/>
      <c r="BZ265" s="1716"/>
      <c r="CA265" s="1716"/>
      <c r="CB265" s="1716"/>
      <c r="CC265" s="1716"/>
      <c r="CD265" s="1716"/>
      <c r="CE265" s="1716"/>
      <c r="CF265" s="1716"/>
      <c r="CG265" s="1716"/>
      <c r="CH265" s="1716"/>
      <c r="CI265" s="1716"/>
      <c r="CJ265" s="1716"/>
      <c r="CK265" s="1716"/>
      <c r="CL265" s="1716"/>
      <c r="CM265" s="1716"/>
      <c r="CN265" s="1716"/>
      <c r="CO265" s="1716"/>
      <c r="CP265" s="1716"/>
    </row>
    <row r="266" spans="1:94">
      <c r="A266" s="895"/>
      <c r="B266" s="895"/>
      <c r="C266" s="895" t="s">
        <v>615</v>
      </c>
      <c r="D266" s="895"/>
      <c r="E266" s="905"/>
      <c r="F266" s="906"/>
      <c r="G266" s="906"/>
      <c r="H266" s="907"/>
      <c r="I266" s="908">
        <f t="shared" ref="I266:AW266" si="758">I244/I254</f>
        <v>0.44710695499707775</v>
      </c>
      <c r="J266" s="905">
        <f t="shared" si="758"/>
        <v>0.44117647058823528</v>
      </c>
      <c r="K266" s="906">
        <f t="shared" si="758"/>
        <v>0.43564920273348517</v>
      </c>
      <c r="L266" s="906">
        <f t="shared" si="758"/>
        <v>0.44554455445544555</v>
      </c>
      <c r="M266" s="907">
        <f t="shared" si="758"/>
        <v>0.43244771057094405</v>
      </c>
      <c r="N266" s="908">
        <f t="shared" si="758"/>
        <v>0.43244771057094405</v>
      </c>
      <c r="O266" s="905">
        <f t="shared" si="758"/>
        <v>0.40778251599147119</v>
      </c>
      <c r="P266" s="906">
        <f t="shared" si="758"/>
        <v>0.48891181021144919</v>
      </c>
      <c r="Q266" s="906">
        <f t="shared" si="758"/>
        <v>0.46080402010050253</v>
      </c>
      <c r="R266" s="907">
        <f t="shared" si="758"/>
        <v>0.44973025993133892</v>
      </c>
      <c r="S266" s="908">
        <f t="shared" si="758"/>
        <v>0.44973025993133892</v>
      </c>
      <c r="T266" s="905">
        <f t="shared" si="758"/>
        <v>0.43604374702805515</v>
      </c>
      <c r="U266" s="906">
        <f t="shared" si="758"/>
        <v>0.42970946579194003</v>
      </c>
      <c r="V266" s="906">
        <f t="shared" si="758"/>
        <v>0.41910420475319926</v>
      </c>
      <c r="W266" s="907">
        <f t="shared" si="758"/>
        <v>0.42730888201502432</v>
      </c>
      <c r="X266" s="908">
        <f t="shared" si="758"/>
        <v>0.42730888201502432</v>
      </c>
      <c r="Y266" s="905">
        <f t="shared" si="758"/>
        <v>0.41861471861471861</v>
      </c>
      <c r="Z266" s="906">
        <f t="shared" si="758"/>
        <v>0.47103781174577636</v>
      </c>
      <c r="AA266" s="906">
        <f t="shared" si="758"/>
        <v>0.46671980868872059</v>
      </c>
      <c r="AB266" s="907">
        <f t="shared" si="758"/>
        <v>0.43536585365853658</v>
      </c>
      <c r="AC266" s="908">
        <f t="shared" si="758"/>
        <v>0.43536585365853658</v>
      </c>
      <c r="AD266" s="905">
        <f t="shared" si="758"/>
        <v>0.42857142857142855</v>
      </c>
      <c r="AE266" s="906">
        <f t="shared" si="758"/>
        <v>0.46156878202601498</v>
      </c>
      <c r="AF266" s="906">
        <f t="shared" si="758"/>
        <v>0.45564202334630349</v>
      </c>
      <c r="AG266" s="907">
        <f t="shared" si="758"/>
        <v>0.44516871165644173</v>
      </c>
      <c r="AH266" s="908">
        <f t="shared" si="758"/>
        <v>0.44516871165644173</v>
      </c>
      <c r="AI266" s="905">
        <f t="shared" ref="AI266" si="759">AI244/AI254</f>
        <v>0.51276854479124445</v>
      </c>
      <c r="AJ266" s="906">
        <f t="shared" si="758"/>
        <v>0.50258243941199843</v>
      </c>
      <c r="AK266" s="906">
        <f t="shared" ref="AK266" si="760">AK244/AK254</f>
        <v>0.49088086922778423</v>
      </c>
      <c r="AL266" s="907">
        <f t="shared" si="758"/>
        <v>0.50262565641410351</v>
      </c>
      <c r="AM266" s="908">
        <f t="shared" si="758"/>
        <v>0.50262565641410351</v>
      </c>
      <c r="AN266" s="905">
        <f t="shared" si="758"/>
        <v>0.49496080627099664</v>
      </c>
      <c r="AO266" s="906">
        <f t="shared" ref="AO266:AP266" si="761">AO244/AO254</f>
        <v>0.49129307150796592</v>
      </c>
      <c r="AP266" s="906">
        <f t="shared" si="761"/>
        <v>0.48553643354082754</v>
      </c>
      <c r="AQ266" s="907">
        <f t="shared" si="758"/>
        <v>0.45598035776920381</v>
      </c>
      <c r="AR266" s="908">
        <f t="shared" si="758"/>
        <v>0.45598035776920381</v>
      </c>
      <c r="AS266" s="905">
        <f t="shared" ca="1" si="758"/>
        <v>0.44856302144305288</v>
      </c>
      <c r="AT266" s="906">
        <f t="shared" ca="1" si="758"/>
        <v>0.44121871462810769</v>
      </c>
      <c r="AU266" s="906">
        <f t="shared" ca="1" si="758"/>
        <v>0.51471939219427254</v>
      </c>
      <c r="AV266" s="907">
        <f t="shared" ca="1" si="758"/>
        <v>0.50903002321422408</v>
      </c>
      <c r="AW266" s="908">
        <f t="shared" ca="1" si="758"/>
        <v>0.50903002321422408</v>
      </c>
      <c r="AX266" s="905">
        <f t="shared" ref="AX266:BG266" ca="1" si="762">AX244/AX254</f>
        <v>0.50443373137752801</v>
      </c>
      <c r="AY266" s="906">
        <f t="shared" ca="1" si="762"/>
        <v>0.5012840950807802</v>
      </c>
      <c r="AZ266" s="906">
        <f t="shared" ca="1" si="762"/>
        <v>0.51042170913182572</v>
      </c>
      <c r="BA266" s="907">
        <f t="shared" ca="1" si="762"/>
        <v>0.5094228794913801</v>
      </c>
      <c r="BB266" s="908">
        <f t="shared" ca="1" si="762"/>
        <v>0.5094228794913801</v>
      </c>
      <c r="BC266" s="905">
        <f t="shared" ca="1" si="762"/>
        <v>0.50511001466030625</v>
      </c>
      <c r="BD266" s="906">
        <f t="shared" ca="1" si="762"/>
        <v>0.50237300225833292</v>
      </c>
      <c r="BE266" s="906">
        <f t="shared" ca="1" si="762"/>
        <v>0.51072977525178054</v>
      </c>
      <c r="BF266" s="907">
        <f t="shared" ca="1" si="762"/>
        <v>0.50991921150773833</v>
      </c>
      <c r="BG266" s="908">
        <f t="shared" ca="1" si="762"/>
        <v>0.50991921150773833</v>
      </c>
      <c r="BH266" s="905">
        <f t="shared" ref="BH266:BL266" ca="1" si="763">BH244/BH254</f>
        <v>0.50579575594782722</v>
      </c>
      <c r="BI266" s="906">
        <f t="shared" ca="1" si="763"/>
        <v>0.50380381686884645</v>
      </c>
      <c r="BJ266" s="906">
        <f t="shared" ca="1" si="763"/>
        <v>0.51060578761606745</v>
      </c>
      <c r="BK266" s="907">
        <f t="shared" ca="1" si="763"/>
        <v>0.50981023897926991</v>
      </c>
      <c r="BL266" s="908">
        <f t="shared" ca="1" si="763"/>
        <v>0.50981023897926991</v>
      </c>
      <c r="BM266" s="895"/>
      <c r="BN266" s="895"/>
      <c r="BO266" s="895"/>
      <c r="BP266" s="895"/>
      <c r="BQ266" s="895"/>
      <c r="BR266" s="895"/>
      <c r="BS266" s="895"/>
      <c r="BT266" s="895"/>
      <c r="BU266" s="895"/>
      <c r="BV266" s="895"/>
      <c r="BW266" s="895"/>
      <c r="BX266" s="895"/>
      <c r="BY266" s="895"/>
      <c r="BZ266" s="895"/>
      <c r="CA266" s="895"/>
      <c r="CB266" s="895"/>
      <c r="CC266" s="895"/>
      <c r="CD266" s="895"/>
      <c r="CE266" s="895"/>
      <c r="CF266" s="895"/>
      <c r="CG266" s="895"/>
      <c r="CH266" s="895"/>
      <c r="CI266" s="895"/>
      <c r="CJ266" s="895"/>
      <c r="CK266" s="895"/>
      <c r="CL266" s="895"/>
      <c r="CM266" s="895"/>
      <c r="CN266" s="895"/>
      <c r="CO266" s="895"/>
      <c r="CP266" s="895"/>
    </row>
    <row r="267" spans="1:94">
      <c r="A267" s="895"/>
      <c r="B267" s="895"/>
      <c r="C267" s="895" t="s">
        <v>1311</v>
      </c>
      <c r="D267" s="895"/>
      <c r="E267" s="905"/>
      <c r="F267" s="906"/>
      <c r="G267" s="906"/>
      <c r="H267" s="907"/>
      <c r="I267" s="908">
        <f t="shared" ref="I267:AW267" si="764">+I245/I254</f>
        <v>0.50847457627118642</v>
      </c>
      <c r="J267" s="905">
        <f t="shared" si="764"/>
        <v>0.5017301038062284</v>
      </c>
      <c r="K267" s="906">
        <f t="shared" si="764"/>
        <v>0.49544419134396356</v>
      </c>
      <c r="L267" s="906">
        <f t="shared" si="764"/>
        <v>0.50669772859638906</v>
      </c>
      <c r="M267" s="907">
        <f t="shared" si="764"/>
        <v>0.51837196156020349</v>
      </c>
      <c r="N267" s="908">
        <f t="shared" si="764"/>
        <v>0.51837196156020349</v>
      </c>
      <c r="O267" s="905">
        <f t="shared" si="764"/>
        <v>0.53464818763326227</v>
      </c>
      <c r="P267" s="906">
        <f t="shared" si="764"/>
        <v>0.5430634347601857</v>
      </c>
      <c r="Q267" s="906">
        <f t="shared" si="764"/>
        <v>0.51356783919597992</v>
      </c>
      <c r="R267" s="907">
        <f t="shared" si="764"/>
        <v>0.51692005885237857</v>
      </c>
      <c r="S267" s="908">
        <f t="shared" si="764"/>
        <v>0.51692005885237857</v>
      </c>
      <c r="T267" s="905">
        <f t="shared" si="764"/>
        <v>0.51925820256776034</v>
      </c>
      <c r="U267" s="906">
        <f t="shared" si="764"/>
        <v>0.52999062792877227</v>
      </c>
      <c r="V267" s="906">
        <f t="shared" si="764"/>
        <v>0.53564899451553927</v>
      </c>
      <c r="W267" s="907">
        <f t="shared" si="764"/>
        <v>0.5386654882898807</v>
      </c>
      <c r="X267" s="908">
        <f t="shared" si="764"/>
        <v>0.5386654882898807</v>
      </c>
      <c r="Y267" s="905">
        <f t="shared" si="764"/>
        <v>0.54069264069264067</v>
      </c>
      <c r="Z267" s="906">
        <f t="shared" si="764"/>
        <v>0.51327433628318586</v>
      </c>
      <c r="AA267" s="906">
        <f t="shared" si="764"/>
        <v>0.50856915105619771</v>
      </c>
      <c r="AB267" s="907">
        <f t="shared" si="764"/>
        <v>0.5211382113821138</v>
      </c>
      <c r="AC267" s="908">
        <f t="shared" si="764"/>
        <v>0.5211382113821138</v>
      </c>
      <c r="AD267" s="905">
        <f t="shared" si="764"/>
        <v>0.54061624649859941</v>
      </c>
      <c r="AE267" s="906">
        <f t="shared" si="764"/>
        <v>0.51478123768230188</v>
      </c>
      <c r="AF267" s="906">
        <f t="shared" si="764"/>
        <v>0.52217898832684828</v>
      </c>
      <c r="AG267" s="907">
        <f t="shared" si="764"/>
        <v>0.52569018404907975</v>
      </c>
      <c r="AH267" s="908">
        <f t="shared" si="764"/>
        <v>0.52569018404907975</v>
      </c>
      <c r="AI267" s="905">
        <f t="shared" ref="AI267" si="765">+AI245/AI254</f>
        <v>0.54316984191325501</v>
      </c>
      <c r="AJ267" s="906">
        <f t="shared" si="764"/>
        <v>0.50258243941199843</v>
      </c>
      <c r="AK267" s="906">
        <f t="shared" ref="AK267" si="766">+AK245/AK254</f>
        <v>0.49747768723321689</v>
      </c>
      <c r="AL267" s="907">
        <f t="shared" si="764"/>
        <v>0.50262565641410351</v>
      </c>
      <c r="AM267" s="908">
        <f t="shared" si="764"/>
        <v>0.50262565641410351</v>
      </c>
      <c r="AN267" s="905">
        <f t="shared" si="764"/>
        <v>0.49496080627099664</v>
      </c>
      <c r="AO267" s="906">
        <f t="shared" ref="AO267:AP267" si="767">+AO245/AO254</f>
        <v>0.50055576139310853</v>
      </c>
      <c r="AP267" s="906">
        <f t="shared" si="767"/>
        <v>0.50530941047235445</v>
      </c>
      <c r="AQ267" s="907">
        <f t="shared" si="764"/>
        <v>0.53174324798316375</v>
      </c>
      <c r="AR267" s="908">
        <f t="shared" si="764"/>
        <v>0.53174324798316375</v>
      </c>
      <c r="AS267" s="905">
        <f t="shared" ca="1" si="764"/>
        <v>0.5202882641508999</v>
      </c>
      <c r="AT267" s="906">
        <f t="shared" ca="1" si="764"/>
        <v>0.51879895872129911</v>
      </c>
      <c r="AU267" s="906">
        <f t="shared" ca="1" si="764"/>
        <v>0.51471939219427254</v>
      </c>
      <c r="AV267" s="907">
        <f t="shared" ca="1" si="764"/>
        <v>0.50903002321422408</v>
      </c>
      <c r="AW267" s="908">
        <f t="shared" ca="1" si="764"/>
        <v>0.50903002321422408</v>
      </c>
      <c r="AX267" s="905">
        <f t="shared" ref="AX267:BG267" ca="1" si="768">+AX245/AX254</f>
        <v>0.50443373137752801</v>
      </c>
      <c r="AY267" s="906">
        <f t="shared" ca="1" si="768"/>
        <v>0.50805450036551836</v>
      </c>
      <c r="AZ267" s="906">
        <f t="shared" ca="1" si="768"/>
        <v>0.51042170913182572</v>
      </c>
      <c r="BA267" s="907">
        <f t="shared" ca="1" si="768"/>
        <v>0.5094228794913801</v>
      </c>
      <c r="BB267" s="908">
        <f t="shared" ca="1" si="768"/>
        <v>0.5094228794913801</v>
      </c>
      <c r="BC267" s="905">
        <f t="shared" ca="1" si="768"/>
        <v>0.50511001466030625</v>
      </c>
      <c r="BD267" s="906">
        <f t="shared" ca="1" si="768"/>
        <v>0.50840805669031275</v>
      </c>
      <c r="BE267" s="906">
        <f t="shared" ca="1" si="768"/>
        <v>0.51072977525178054</v>
      </c>
      <c r="BF267" s="907">
        <f t="shared" ca="1" si="768"/>
        <v>0.50991921150773833</v>
      </c>
      <c r="BG267" s="908">
        <f t="shared" ca="1" si="768"/>
        <v>0.50991921150773833</v>
      </c>
      <c r="BH267" s="905">
        <f t="shared" ref="BH267:BL267" ca="1" si="769">+BH245/BH254</f>
        <v>0.50579575594782722</v>
      </c>
      <c r="BI267" s="906">
        <f t="shared" ca="1" si="769"/>
        <v>0.50842776444995907</v>
      </c>
      <c r="BJ267" s="906">
        <f t="shared" ca="1" si="769"/>
        <v>0.51060578761606745</v>
      </c>
      <c r="BK267" s="907">
        <f t="shared" ca="1" si="769"/>
        <v>0.50981023897926991</v>
      </c>
      <c r="BL267" s="908">
        <f t="shared" ca="1" si="769"/>
        <v>0.50981023897926991</v>
      </c>
      <c r="BM267" s="895"/>
      <c r="BN267" s="895"/>
      <c r="BO267" s="895"/>
      <c r="BP267" s="895"/>
      <c r="BQ267" s="895"/>
      <c r="BR267" s="895"/>
      <c r="BS267" s="895"/>
      <c r="BT267" s="895"/>
      <c r="BU267" s="895"/>
      <c r="BV267" s="895"/>
      <c r="BW267" s="895"/>
      <c r="BX267" s="895"/>
      <c r="BY267" s="895"/>
      <c r="BZ267" s="895"/>
      <c r="CA267" s="895"/>
      <c r="CB267" s="895"/>
      <c r="CC267" s="895"/>
      <c r="CD267" s="895"/>
      <c r="CE267" s="895"/>
      <c r="CF267" s="895"/>
      <c r="CG267" s="895"/>
      <c r="CH267" s="895"/>
      <c r="CI267" s="895"/>
      <c r="CJ267" s="895"/>
      <c r="CK267" s="895"/>
      <c r="CL267" s="895"/>
      <c r="CM267" s="895"/>
      <c r="CN267" s="895"/>
      <c r="CO267" s="895"/>
      <c r="CP267" s="895"/>
    </row>
    <row r="268" spans="1:94">
      <c r="A268" s="895"/>
      <c r="B268" s="895"/>
      <c r="C268" s="895" t="s">
        <v>614</v>
      </c>
      <c r="D268" s="895"/>
      <c r="E268" s="1779"/>
      <c r="F268" s="1780"/>
      <c r="G268" s="1780"/>
      <c r="H268" s="1781"/>
      <c r="I268" s="1782">
        <f t="shared" ref="I268:AW268" si="770">(I245-I241)/I261</f>
        <v>3.9458128078817736</v>
      </c>
      <c r="J268" s="1779">
        <f t="shared" si="770"/>
        <v>11.054794520547945</v>
      </c>
      <c r="K268" s="1780">
        <f t="shared" si="770"/>
        <v>6.1654135338345863</v>
      </c>
      <c r="L268" s="1780">
        <f t="shared" si="770"/>
        <v>4.5882352941176467</v>
      </c>
      <c r="M268" s="1781">
        <f t="shared" si="770"/>
        <v>3.7073170731707319</v>
      </c>
      <c r="N268" s="1782">
        <f t="shared" si="770"/>
        <v>3.7073170731707319</v>
      </c>
      <c r="O268" s="1779">
        <f t="shared" si="770"/>
        <v>4.1111111111111107</v>
      </c>
      <c r="P268" s="1780">
        <f t="shared" si="770"/>
        <v>4.2655601659751037</v>
      </c>
      <c r="Q268" s="1780">
        <f t="shared" si="770"/>
        <v>3.7586206896551726</v>
      </c>
      <c r="R268" s="1781">
        <f t="shared" si="770"/>
        <v>3.9398496240601504</v>
      </c>
      <c r="S268" s="1782">
        <f t="shared" si="770"/>
        <v>3.9398496240601504</v>
      </c>
      <c r="T268" s="1779">
        <f t="shared" si="770"/>
        <v>3.9202898550724639</v>
      </c>
      <c r="U268" s="1780">
        <f t="shared" si="770"/>
        <v>4.057553956834532</v>
      </c>
      <c r="V268" s="1780">
        <f t="shared" si="770"/>
        <v>4.1565836298932384</v>
      </c>
      <c r="W268" s="1781">
        <f t="shared" si="770"/>
        <v>4.0298013245033113</v>
      </c>
      <c r="X268" s="1782">
        <f t="shared" si="770"/>
        <v>4.0298013245033113</v>
      </c>
      <c r="Y268" s="1779">
        <f t="shared" si="770"/>
        <v>3.8153846153846156</v>
      </c>
      <c r="Z268" s="1780">
        <f t="shared" si="770"/>
        <v>3.3244837758112094</v>
      </c>
      <c r="AA268" s="1780">
        <f t="shared" si="770"/>
        <v>3.2011661807580176</v>
      </c>
      <c r="AB268" s="1781">
        <f t="shared" si="770"/>
        <v>3.736842105263158</v>
      </c>
      <c r="AC268" s="1782">
        <f t="shared" si="770"/>
        <v>3.736842105263158</v>
      </c>
      <c r="AD268" s="1779">
        <f t="shared" si="770"/>
        <v>3.9183673469387754</v>
      </c>
      <c r="AE268" s="1780">
        <f t="shared" si="770"/>
        <v>3.9274924471299095</v>
      </c>
      <c r="AF268" s="1780">
        <f t="shared" si="770"/>
        <v>4.0762195121951219</v>
      </c>
      <c r="AG268" s="1781">
        <f t="shared" si="770"/>
        <v>4.1646341463414638</v>
      </c>
      <c r="AH268" s="1782">
        <f t="shared" si="770"/>
        <v>4.1646341463414638</v>
      </c>
      <c r="AI268" s="1779">
        <f t="shared" ref="AI268" si="771">(AI245-AI241)/AI261</f>
        <v>6.891752577319588</v>
      </c>
      <c r="AJ268" s="1780">
        <f t="shared" si="770"/>
        <v>6.1576354679802954</v>
      </c>
      <c r="AK268" s="1780">
        <f t="shared" ref="AK268" si="772">(AK245-AK241)/AK261</f>
        <v>5.2377049180327866</v>
      </c>
      <c r="AL268" s="1781">
        <f t="shared" si="770"/>
        <v>5.8818181818181818</v>
      </c>
      <c r="AM268" s="1782">
        <f t="shared" si="770"/>
        <v>5.8818181818181818</v>
      </c>
      <c r="AN268" s="1779">
        <f t="shared" si="770"/>
        <v>3.464864864864865</v>
      </c>
      <c r="AO268" s="1780">
        <f t="shared" ref="AO268:AP268" si="773">(AO245-AO241)/AO261</f>
        <v>3.5117493472584855</v>
      </c>
      <c r="AP268" s="1780">
        <f t="shared" si="773"/>
        <v>3.7016129032258065</v>
      </c>
      <c r="AQ268" s="1781">
        <f t="shared" si="770"/>
        <v>3.6926829268292685</v>
      </c>
      <c r="AR268" s="1782">
        <f t="shared" si="770"/>
        <v>3.6926829268292685</v>
      </c>
      <c r="AS268" s="1779">
        <f t="shared" ca="1" si="770"/>
        <v>3.7098470412217739</v>
      </c>
      <c r="AT268" s="1780">
        <f t="shared" ca="1" si="770"/>
        <v>3.7795959711759965</v>
      </c>
      <c r="AU268" s="1780">
        <f t="shared" ca="1" si="770"/>
        <v>3.7917962763586055</v>
      </c>
      <c r="AV268" s="1781">
        <f t="shared" ca="1" si="770"/>
        <v>3.886670575457428</v>
      </c>
      <c r="AW268" s="1782">
        <f t="shared" ca="1" si="770"/>
        <v>3.886670575457428</v>
      </c>
      <c r="AX268" s="1779">
        <f t="shared" ref="AX268:BG268" ca="1" si="774">(AX245-AX241)/AX261</f>
        <v>3.8210204190791921</v>
      </c>
      <c r="AY268" s="1780">
        <f t="shared" ca="1" si="774"/>
        <v>3.84727704587899</v>
      </c>
      <c r="AZ268" s="1780">
        <f t="shared" ca="1" si="774"/>
        <v>3.8297377510182149</v>
      </c>
      <c r="BA268" s="1781">
        <f t="shared" ca="1" si="774"/>
        <v>3.8336775489468509</v>
      </c>
      <c r="BB268" s="1782">
        <f t="shared" ca="1" si="774"/>
        <v>3.8336775489468509</v>
      </c>
      <c r="BC268" s="1779">
        <f t="shared" ca="1" si="774"/>
        <v>3.7829634949702355</v>
      </c>
      <c r="BD268" s="1780">
        <f t="shared" ca="1" si="774"/>
        <v>3.7994216581183875</v>
      </c>
      <c r="BE268" s="1780">
        <f t="shared" ca="1" si="774"/>
        <v>3.7854172570914604</v>
      </c>
      <c r="BF268" s="1781">
        <f t="shared" ca="1" si="774"/>
        <v>3.7901262481871756</v>
      </c>
      <c r="BG268" s="1782">
        <f t="shared" ca="1" si="774"/>
        <v>3.7901262481871738</v>
      </c>
      <c r="BH268" s="1779">
        <f t="shared" ref="BH268:BL268" ca="1" si="775">(BH245-BH241)/BH261</f>
        <v>3.7521298556389016</v>
      </c>
      <c r="BI268" s="1780">
        <f t="shared" ca="1" si="775"/>
        <v>3.7782803108566876</v>
      </c>
      <c r="BJ268" s="1780">
        <f t="shared" ca="1" si="775"/>
        <v>3.7646384796262806</v>
      </c>
      <c r="BK268" s="1781">
        <f t="shared" ca="1" si="775"/>
        <v>3.7687418227425908</v>
      </c>
      <c r="BL268" s="1782">
        <f t="shared" ca="1" si="775"/>
        <v>3.7687418227425917</v>
      </c>
      <c r="BM268" s="895"/>
      <c r="BN268" s="895"/>
      <c r="BO268" s="895"/>
      <c r="BP268" s="895"/>
      <c r="BQ268" s="895"/>
      <c r="BR268" s="895"/>
      <c r="BS268" s="895"/>
      <c r="BT268" s="895"/>
      <c r="BU268" s="895"/>
      <c r="BV268" s="895"/>
      <c r="BW268" s="895"/>
      <c r="BX268" s="895"/>
      <c r="BY268" s="895"/>
      <c r="BZ268" s="895"/>
      <c r="CA268" s="895"/>
      <c r="CB268" s="895"/>
      <c r="CC268" s="895"/>
      <c r="CD268" s="895"/>
      <c r="CE268" s="895"/>
      <c r="CF268" s="895"/>
      <c r="CG268" s="895"/>
      <c r="CH268" s="895"/>
      <c r="CI268" s="895"/>
      <c r="CJ268" s="895"/>
      <c r="CK268" s="895"/>
      <c r="CL268" s="895"/>
      <c r="CM268" s="895"/>
      <c r="CN268" s="895"/>
      <c r="CO268" s="895"/>
      <c r="CP268" s="895"/>
    </row>
    <row r="269" spans="1:94">
      <c r="A269" s="895"/>
      <c r="B269" s="895"/>
      <c r="C269" s="895" t="s">
        <v>393</v>
      </c>
      <c r="D269" s="895"/>
      <c r="E269" s="905"/>
      <c r="F269" s="906"/>
      <c r="G269" s="906"/>
      <c r="H269" s="907"/>
      <c r="I269" s="908">
        <f t="shared" ref="I269:AW269" si="776">I259/I245</f>
        <v>0.14712643678160919</v>
      </c>
      <c r="J269" s="905">
        <f t="shared" si="776"/>
        <v>5.1724137931034482E-2</v>
      </c>
      <c r="K269" s="906">
        <f t="shared" si="776"/>
        <v>0.10229885057471265</v>
      </c>
      <c r="L269" s="906">
        <f t="shared" si="776"/>
        <v>0.14022988505747128</v>
      </c>
      <c r="M269" s="907">
        <f t="shared" si="776"/>
        <v>0.17448200654307525</v>
      </c>
      <c r="N269" s="908">
        <f t="shared" si="776"/>
        <v>0.17448200654307525</v>
      </c>
      <c r="O269" s="905">
        <f t="shared" si="776"/>
        <v>0.15952143569292124</v>
      </c>
      <c r="P269" s="906">
        <f t="shared" si="776"/>
        <v>0.14624881291547959</v>
      </c>
      <c r="Q269" s="906">
        <f t="shared" si="776"/>
        <v>0.16829745596868884</v>
      </c>
      <c r="R269" s="907">
        <f t="shared" si="776"/>
        <v>0.16603415559772297</v>
      </c>
      <c r="S269" s="908">
        <f t="shared" si="776"/>
        <v>0.16603415559772297</v>
      </c>
      <c r="T269" s="905">
        <f t="shared" si="776"/>
        <v>0.16575091575091574</v>
      </c>
      <c r="U269" s="906">
        <f t="shared" si="776"/>
        <v>0.16091954022988506</v>
      </c>
      <c r="V269" s="906">
        <f t="shared" si="776"/>
        <v>0.15443686006825938</v>
      </c>
      <c r="W269" s="907">
        <f t="shared" si="776"/>
        <v>0.16078753076292043</v>
      </c>
      <c r="X269" s="908">
        <f t="shared" si="776"/>
        <v>0.16078753076292043</v>
      </c>
      <c r="Y269" s="905">
        <f t="shared" si="776"/>
        <v>0.16973578863090472</v>
      </c>
      <c r="Z269" s="906">
        <f t="shared" si="776"/>
        <v>0.17398119122257052</v>
      </c>
      <c r="AA269" s="906">
        <f t="shared" si="776"/>
        <v>0.17868338557993729</v>
      </c>
      <c r="AB269" s="907">
        <f t="shared" si="776"/>
        <v>0.17862714508580343</v>
      </c>
      <c r="AC269" s="908">
        <f t="shared" si="776"/>
        <v>0.17862714508580343</v>
      </c>
      <c r="AD269" s="905">
        <f t="shared" si="776"/>
        <v>0.17246484085862324</v>
      </c>
      <c r="AE269" s="906">
        <f t="shared" si="776"/>
        <v>0.17457886676875958</v>
      </c>
      <c r="AF269" s="906">
        <f t="shared" si="776"/>
        <v>0.1706408345752608</v>
      </c>
      <c r="AG269" s="907">
        <f t="shared" si="776"/>
        <v>0.16703136396790663</v>
      </c>
      <c r="AH269" s="908">
        <f t="shared" si="776"/>
        <v>0.16703136396790663</v>
      </c>
      <c r="AI269" s="905">
        <f t="shared" ref="AI269" si="777">AI259/AI245</f>
        <v>9.3283582089552244E-2</v>
      </c>
      <c r="AJ269" s="906">
        <f t="shared" si="776"/>
        <v>0.10355731225296443</v>
      </c>
      <c r="AK269" s="906">
        <f t="shared" ref="AK269" si="778">AK259/AK245</f>
        <v>0.12636505460218408</v>
      </c>
      <c r="AL269" s="907">
        <f t="shared" si="776"/>
        <v>0.11044776119402985</v>
      </c>
      <c r="AM269" s="908">
        <f t="shared" si="776"/>
        <v>0.11044776119402985</v>
      </c>
      <c r="AN269" s="905">
        <f t="shared" si="776"/>
        <v>0.20889894419306185</v>
      </c>
      <c r="AO269" s="906">
        <f t="shared" ref="AO269:AP269" si="779">AO259/AO245</f>
        <v>0.21169504071058476</v>
      </c>
      <c r="AP269" s="906">
        <f t="shared" si="779"/>
        <v>0.19855072463768117</v>
      </c>
      <c r="AQ269" s="907">
        <f t="shared" si="776"/>
        <v>0.18997361477572558</v>
      </c>
      <c r="AR269" s="908">
        <f t="shared" si="776"/>
        <v>0.18997361477572558</v>
      </c>
      <c r="AS269" s="905">
        <f t="shared" ca="1" si="776"/>
        <v>0.18712732666029336</v>
      </c>
      <c r="AT269" s="906">
        <f t="shared" ca="1" si="776"/>
        <v>0.18741970229541752</v>
      </c>
      <c r="AU269" s="906">
        <f t="shared" ca="1" si="776"/>
        <v>0.18793375286207067</v>
      </c>
      <c r="AV269" s="907">
        <f t="shared" ca="1" si="776"/>
        <v>0.19689392178154491</v>
      </c>
      <c r="AW269" s="908">
        <f t="shared" ca="1" si="776"/>
        <v>0.19689392178154491</v>
      </c>
      <c r="AX269" s="905">
        <f t="shared" ref="AX269:BG269" ca="1" si="780">AX259/AX245</f>
        <v>0.19964474768527973</v>
      </c>
      <c r="AY269" s="906">
        <f t="shared" ca="1" si="780"/>
        <v>0.1986555853872751</v>
      </c>
      <c r="AZ269" s="906">
        <f t="shared" ca="1" si="780"/>
        <v>0.19681125375202102</v>
      </c>
      <c r="BA269" s="907">
        <f t="shared" ca="1" si="780"/>
        <v>0.19912329238004328</v>
      </c>
      <c r="BB269" s="908">
        <f t="shared" ca="1" si="780"/>
        <v>0.19912329238004328</v>
      </c>
      <c r="BC269" s="905">
        <f t="shared" ca="1" si="780"/>
        <v>0.20150673466006255</v>
      </c>
      <c r="BD269" s="906">
        <f t="shared" ca="1" si="780"/>
        <v>0.20149849859473562</v>
      </c>
      <c r="BE269" s="906">
        <f t="shared" ca="1" si="780"/>
        <v>0.19939810877855838</v>
      </c>
      <c r="BF269" s="907">
        <f t="shared" ca="1" si="780"/>
        <v>0.20130319078564046</v>
      </c>
      <c r="BG269" s="908">
        <f t="shared" ca="1" si="780"/>
        <v>0.20130319078564057</v>
      </c>
      <c r="BH269" s="905">
        <f t="shared" ref="BH269:BL269" ca="1" si="781">BH259/BH245</f>
        <v>0.20278562358352414</v>
      </c>
      <c r="BI269" s="906">
        <f t="shared" ca="1" si="781"/>
        <v>0.20249225670808738</v>
      </c>
      <c r="BJ269" s="906">
        <f t="shared" ca="1" si="781"/>
        <v>0.20041101052396013</v>
      </c>
      <c r="BK269" s="907">
        <f t="shared" ca="1" si="781"/>
        <v>0.20210296791615046</v>
      </c>
      <c r="BL269" s="908">
        <f t="shared" ca="1" si="781"/>
        <v>0.2021029679161504</v>
      </c>
      <c r="BM269" s="895"/>
      <c r="BN269" s="895"/>
      <c r="BO269" s="895"/>
      <c r="BP269" s="895"/>
      <c r="BQ269" s="895"/>
      <c r="BR269" s="895"/>
      <c r="BS269" s="895"/>
      <c r="BT269" s="895"/>
      <c r="BU269" s="895"/>
      <c r="BV269" s="895"/>
      <c r="BW269" s="895"/>
      <c r="BX269" s="895"/>
      <c r="BY269" s="895"/>
      <c r="BZ269" s="895"/>
      <c r="CA269" s="895"/>
      <c r="CB269" s="895"/>
      <c r="CC269" s="895"/>
      <c r="CD269" s="895"/>
      <c r="CE269" s="895"/>
      <c r="CF269" s="895"/>
      <c r="CG269" s="895"/>
      <c r="CH269" s="895"/>
      <c r="CI269" s="895"/>
      <c r="CJ269" s="895"/>
      <c r="CK269" s="895"/>
      <c r="CL269" s="895"/>
      <c r="CM269" s="895"/>
      <c r="CN269" s="895"/>
      <c r="CO269" s="895"/>
      <c r="CP269" s="895"/>
    </row>
    <row r="270" spans="1:94">
      <c r="A270" s="1716"/>
      <c r="B270" s="1716"/>
      <c r="C270" s="1716"/>
      <c r="D270" s="1716"/>
      <c r="E270" s="1717"/>
      <c r="F270" s="1718"/>
      <c r="G270" s="1718"/>
      <c r="H270" s="1719"/>
      <c r="I270" s="1716"/>
      <c r="J270" s="1717"/>
      <c r="K270" s="1718"/>
      <c r="L270" s="1718"/>
      <c r="M270" s="1719"/>
      <c r="N270" s="1716"/>
      <c r="O270" s="1717"/>
      <c r="P270" s="1718"/>
      <c r="Q270" s="1718"/>
      <c r="R270" s="1719"/>
      <c r="S270" s="1716"/>
      <c r="T270" s="1717"/>
      <c r="U270" s="1718"/>
      <c r="V270" s="1718"/>
      <c r="W270" s="1719"/>
      <c r="X270" s="1716"/>
      <c r="Y270" s="1717"/>
      <c r="Z270" s="1718"/>
      <c r="AA270" s="1718"/>
      <c r="AB270" s="1719"/>
      <c r="AC270" s="1716"/>
      <c r="AD270" s="1717"/>
      <c r="AE270" s="1718"/>
      <c r="AF270" s="1718"/>
      <c r="AG270" s="1719"/>
      <c r="AH270" s="1716"/>
      <c r="AI270" s="1717"/>
      <c r="AJ270" s="1718"/>
      <c r="AK270" s="1718"/>
      <c r="AL270" s="1719"/>
      <c r="AM270" s="1716"/>
      <c r="AN270" s="1717"/>
      <c r="AO270" s="1718"/>
      <c r="AP270" s="1718"/>
      <c r="AQ270" s="1719"/>
      <c r="AR270" s="1716"/>
      <c r="AS270" s="1717"/>
      <c r="AT270" s="1718"/>
      <c r="AU270" s="1718"/>
      <c r="AV270" s="1719"/>
      <c r="AW270" s="1716"/>
      <c r="AX270" s="1717"/>
      <c r="AY270" s="1718"/>
      <c r="AZ270" s="1718"/>
      <c r="BA270" s="1719"/>
      <c r="BB270" s="1716"/>
      <c r="BC270" s="1717"/>
      <c r="BD270" s="1718"/>
      <c r="BE270" s="1718"/>
      <c r="BF270" s="1719"/>
      <c r="BG270" s="1716"/>
      <c r="BH270" s="1717"/>
      <c r="BI270" s="1718"/>
      <c r="BJ270" s="1718"/>
      <c r="BK270" s="1719"/>
      <c r="BL270" s="1716"/>
      <c r="BM270" s="1716"/>
      <c r="BN270" s="1716"/>
      <c r="BO270" s="1716"/>
      <c r="BP270" s="1716"/>
      <c r="BQ270" s="1716"/>
      <c r="BR270" s="1716"/>
      <c r="BS270" s="1716"/>
      <c r="BT270" s="1716"/>
      <c r="BU270" s="1716"/>
      <c r="BV270" s="1716"/>
      <c r="BW270" s="1716"/>
      <c r="BX270" s="1716"/>
      <c r="BY270" s="1716"/>
      <c r="BZ270" s="1716"/>
      <c r="CA270" s="1716"/>
      <c r="CB270" s="1716"/>
      <c r="CC270" s="1716"/>
      <c r="CD270" s="1716"/>
      <c r="CE270" s="1716"/>
      <c r="CF270" s="1716"/>
      <c r="CG270" s="1716"/>
      <c r="CH270" s="1716"/>
      <c r="CI270" s="1716"/>
      <c r="CJ270" s="1716"/>
      <c r="CK270" s="1716"/>
      <c r="CL270" s="1716"/>
      <c r="CM270" s="1716"/>
      <c r="CN270" s="1716"/>
      <c r="CO270" s="1716"/>
      <c r="CP270" s="1716"/>
    </row>
    <row r="271" spans="1:94">
      <c r="A271" s="1716"/>
      <c r="B271" s="1716"/>
      <c r="C271" s="389" t="s">
        <v>201</v>
      </c>
      <c r="D271" s="1716"/>
      <c r="E271" s="1717"/>
      <c r="F271" s="1718"/>
      <c r="G271" s="1718"/>
      <c r="H271" s="1719"/>
      <c r="I271" s="1716"/>
      <c r="J271" s="1717"/>
      <c r="K271" s="1718"/>
      <c r="L271" s="1718"/>
      <c r="M271" s="1719"/>
      <c r="N271" s="1716"/>
      <c r="O271" s="1717"/>
      <c r="P271" s="1718"/>
      <c r="Q271" s="1718"/>
      <c r="R271" s="1719"/>
      <c r="S271" s="1716"/>
      <c r="T271" s="1717"/>
      <c r="U271" s="1718"/>
      <c r="V271" s="1718"/>
      <c r="W271" s="1719"/>
      <c r="X271" s="1716"/>
      <c r="Y271" s="1717"/>
      <c r="Z271" s="1718"/>
      <c r="AA271" s="1718"/>
      <c r="AB271" s="1719"/>
      <c r="AC271" s="1716"/>
      <c r="AD271" s="1717"/>
      <c r="AE271" s="1718"/>
      <c r="AF271" s="1718"/>
      <c r="AG271" s="1719"/>
      <c r="AH271" s="1716"/>
      <c r="AI271" s="1717"/>
      <c r="AJ271" s="1718"/>
      <c r="AK271" s="1718"/>
      <c r="AL271" s="1719"/>
      <c r="AM271" s="1716"/>
      <c r="AN271" s="1717"/>
      <c r="AO271" s="1718"/>
      <c r="AP271" s="1718"/>
      <c r="AQ271" s="1719"/>
      <c r="AR271" s="1716"/>
      <c r="AS271" s="1717"/>
      <c r="AT271" s="1718"/>
      <c r="AU271" s="1718"/>
      <c r="AV271" s="1719"/>
      <c r="AW271" s="1716"/>
      <c r="AX271" s="1717"/>
      <c r="AY271" s="1718"/>
      <c r="AZ271" s="1718"/>
      <c r="BA271" s="1719"/>
      <c r="BB271" s="1716"/>
      <c r="BC271" s="1717"/>
      <c r="BD271" s="1718"/>
      <c r="BE271" s="1718"/>
      <c r="BF271" s="1719"/>
      <c r="BG271" s="1716"/>
      <c r="BH271" s="1717"/>
      <c r="BI271" s="1718"/>
      <c r="BJ271" s="1718"/>
      <c r="BK271" s="1719"/>
      <c r="BL271" s="1716"/>
      <c r="BM271" s="1716"/>
      <c r="BN271" s="1716"/>
      <c r="BO271" s="1716"/>
      <c r="BP271" s="1716"/>
      <c r="BQ271" s="1716"/>
      <c r="BR271" s="1716"/>
      <c r="BS271" s="1716"/>
      <c r="BT271" s="1716"/>
      <c r="BU271" s="1716"/>
      <c r="BV271" s="1716"/>
      <c r="BW271" s="1716"/>
      <c r="BX271" s="1716"/>
      <c r="BY271" s="1716"/>
      <c r="BZ271" s="1716"/>
      <c r="CA271" s="1716"/>
      <c r="CB271" s="1716"/>
      <c r="CC271" s="1716"/>
      <c r="CD271" s="1716"/>
      <c r="CE271" s="1716"/>
      <c r="CF271" s="1716"/>
      <c r="CG271" s="1716"/>
      <c r="CH271" s="1716"/>
      <c r="CI271" s="1716"/>
      <c r="CJ271" s="1716"/>
      <c r="CK271" s="1716"/>
      <c r="CL271" s="1716"/>
      <c r="CM271" s="1716"/>
      <c r="CN271" s="1716"/>
      <c r="CO271" s="1716"/>
      <c r="CP271" s="1716"/>
    </row>
    <row r="272" spans="1:94">
      <c r="A272" s="1716"/>
      <c r="B272" s="1716"/>
      <c r="C272" s="1716" t="s">
        <v>279</v>
      </c>
      <c r="D272" s="1716"/>
      <c r="E272" s="1779"/>
      <c r="F272" s="1780"/>
      <c r="G272" s="1780"/>
      <c r="H272" s="1781"/>
      <c r="I272" s="1782">
        <f t="shared" ref="I272:AW272" si="782">(I259+I262)/I262</f>
        <v>3.9090909090909092</v>
      </c>
      <c r="J272" s="1779">
        <f t="shared" si="782"/>
        <v>5.0909090909090908</v>
      </c>
      <c r="K272" s="1780">
        <f t="shared" si="782"/>
        <v>5.0454545454545459</v>
      </c>
      <c r="L272" s="1780">
        <f t="shared" si="782"/>
        <v>4.6969696969696972</v>
      </c>
      <c r="M272" s="1781">
        <f t="shared" si="782"/>
        <v>4.6363636363636367</v>
      </c>
      <c r="N272" s="1782">
        <f t="shared" si="782"/>
        <v>4.6363636363636367</v>
      </c>
      <c r="O272" s="1779">
        <f t="shared" si="782"/>
        <v>4.6363636363636367</v>
      </c>
      <c r="P272" s="1780">
        <f t="shared" si="782"/>
        <v>4.5</v>
      </c>
      <c r="Q272" s="1780">
        <f t="shared" si="782"/>
        <v>4.822222222222222</v>
      </c>
      <c r="R272" s="1781">
        <f t="shared" si="782"/>
        <v>4.7234042553191493</v>
      </c>
      <c r="S272" s="1782">
        <f t="shared" si="782"/>
        <v>4.7234042553191493</v>
      </c>
      <c r="T272" s="1779">
        <f t="shared" si="782"/>
        <v>4.6938775510204085</v>
      </c>
      <c r="U272" s="1780">
        <f t="shared" si="782"/>
        <v>4.6399999999999997</v>
      </c>
      <c r="V272" s="1780">
        <f t="shared" si="782"/>
        <v>4.5490196078431371</v>
      </c>
      <c r="W272" s="1781">
        <f t="shared" si="782"/>
        <v>4.92</v>
      </c>
      <c r="X272" s="1782">
        <f t="shared" si="782"/>
        <v>4.92</v>
      </c>
      <c r="Y272" s="1779">
        <f t="shared" si="782"/>
        <v>5.416666666666667</v>
      </c>
      <c r="Z272" s="1780">
        <f t="shared" si="782"/>
        <v>5.625</v>
      </c>
      <c r="AA272" s="1780">
        <f t="shared" si="782"/>
        <v>5.8510638297872344</v>
      </c>
      <c r="AB272" s="1781">
        <f t="shared" si="782"/>
        <v>5.770833333333333</v>
      </c>
      <c r="AC272" s="1782">
        <f t="shared" si="782"/>
        <v>5.770833333333333</v>
      </c>
      <c r="AD272" s="1779">
        <f t="shared" si="782"/>
        <v>5.7551020408163263</v>
      </c>
      <c r="AE272" s="1780">
        <f t="shared" si="782"/>
        <v>5.56</v>
      </c>
      <c r="AF272" s="1780">
        <f t="shared" si="782"/>
        <v>5.58</v>
      </c>
      <c r="AG272" s="1781">
        <f t="shared" si="782"/>
        <v>5.58</v>
      </c>
      <c r="AH272" s="1782">
        <f t="shared" si="782"/>
        <v>5.58</v>
      </c>
      <c r="AI272" s="1779">
        <f t="shared" ref="AI272" si="783">(AI259+AI262)/AI262</f>
        <v>3.5</v>
      </c>
      <c r="AJ272" s="1780">
        <f t="shared" si="782"/>
        <v>3.62</v>
      </c>
      <c r="AK272" s="1780">
        <f t="shared" ref="AK272" si="784">(AK259+AK262)/AK262</f>
        <v>4.24</v>
      </c>
      <c r="AL272" s="1781">
        <f t="shared" si="782"/>
        <v>3.96</v>
      </c>
      <c r="AM272" s="1782">
        <f t="shared" si="782"/>
        <v>3.96</v>
      </c>
      <c r="AN272" s="1779">
        <f t="shared" si="782"/>
        <v>6.4313725490196081</v>
      </c>
      <c r="AO272" s="1780">
        <f t="shared" ref="AO272:AP272" si="785">(AO259+AO262)/AO262</f>
        <v>6.6078431372549016</v>
      </c>
      <c r="AP272" s="1780">
        <f t="shared" si="785"/>
        <v>6.2692307692307692</v>
      </c>
      <c r="AQ272" s="1781">
        <f t="shared" si="782"/>
        <v>6.6470588235294121</v>
      </c>
      <c r="AR272" s="1782">
        <f t="shared" si="782"/>
        <v>6.6470588235294121</v>
      </c>
      <c r="AS272" s="1779">
        <f t="shared" si="782"/>
        <v>6.4345804848058572</v>
      </c>
      <c r="AT272" s="1780">
        <f t="shared" ca="1" si="782"/>
        <v>6.4481170419133056</v>
      </c>
      <c r="AU272" s="1780">
        <f t="shared" ca="1" si="782"/>
        <v>6.1513489671905441</v>
      </c>
      <c r="AV272" s="1781">
        <f t="shared" ca="1" si="782"/>
        <v>6.2130667375232003</v>
      </c>
      <c r="AW272" s="1782">
        <f t="shared" ca="1" si="782"/>
        <v>6.2130667375232003</v>
      </c>
      <c r="AX272" s="1779">
        <f t="shared" ref="AX272:BG272" ca="1" si="786">(AX259+AX262)/AX262</f>
        <v>6.1059593871621427</v>
      </c>
      <c r="AY272" s="1780">
        <f t="shared" ca="1" si="786"/>
        <v>5.988128043969688</v>
      </c>
      <c r="AZ272" s="1780">
        <f t="shared" ca="1" si="786"/>
        <v>5.9838773414818993</v>
      </c>
      <c r="BA272" s="1781">
        <f t="shared" ca="1" si="786"/>
        <v>5.9995552712585738</v>
      </c>
      <c r="BB272" s="1782">
        <f t="shared" ca="1" si="786"/>
        <v>5.9995552712585738</v>
      </c>
      <c r="BC272" s="1779">
        <f t="shared" ca="1" si="786"/>
        <v>6.0128903518103609</v>
      </c>
      <c r="BD272" s="1780">
        <f t="shared" ca="1" si="786"/>
        <v>6.0366856201242589</v>
      </c>
      <c r="BE272" s="1780">
        <f t="shared" ca="1" si="786"/>
        <v>6.0184189198865878</v>
      </c>
      <c r="BF272" s="1781">
        <f t="shared" ca="1" si="786"/>
        <v>6.0222238889548487</v>
      </c>
      <c r="BG272" s="1782">
        <f t="shared" ca="1" si="786"/>
        <v>6.0222238889548514</v>
      </c>
      <c r="BH272" s="1779">
        <f t="shared" ref="BH272:BL272" ca="1" si="787">(BH259+BH262)/BH262</f>
        <v>6.0116695950894652</v>
      </c>
      <c r="BI272" s="1780">
        <f t="shared" ca="1" si="787"/>
        <v>6.0124317961209828</v>
      </c>
      <c r="BJ272" s="1780">
        <f t="shared" ca="1" si="787"/>
        <v>5.998061531095491</v>
      </c>
      <c r="BK272" s="1781">
        <f t="shared" ca="1" si="787"/>
        <v>6.0022823978183411</v>
      </c>
      <c r="BL272" s="1782">
        <f t="shared" ca="1" si="787"/>
        <v>6.0022823978183402</v>
      </c>
      <c r="BM272" s="1716"/>
      <c r="BN272" s="1716"/>
      <c r="BO272" s="1716"/>
      <c r="BP272" s="1716"/>
      <c r="BQ272" s="1716"/>
      <c r="BR272" s="1716"/>
      <c r="BS272" s="1716"/>
      <c r="BT272" s="1716"/>
      <c r="BU272" s="1716"/>
      <c r="BV272" s="1716"/>
      <c r="BW272" s="1716"/>
      <c r="BX272" s="1716"/>
      <c r="BY272" s="1716"/>
      <c r="BZ272" s="1716"/>
      <c r="CA272" s="1716"/>
      <c r="CB272" s="1716"/>
      <c r="CC272" s="1716"/>
      <c r="CD272" s="1716"/>
      <c r="CE272" s="1716"/>
      <c r="CF272" s="1716"/>
      <c r="CG272" s="1716"/>
      <c r="CH272" s="1716"/>
      <c r="CI272" s="1716"/>
      <c r="CJ272" s="1716"/>
      <c r="CK272" s="1716"/>
      <c r="CL272" s="1716"/>
      <c r="CM272" s="1716"/>
      <c r="CN272" s="1716"/>
      <c r="CO272" s="1716"/>
      <c r="CP272" s="1716"/>
    </row>
    <row r="273" spans="1:94">
      <c r="A273" s="1716"/>
      <c r="B273" s="1716"/>
      <c r="C273" s="1716" t="s">
        <v>280</v>
      </c>
      <c r="D273" s="1716"/>
      <c r="E273" s="1779"/>
      <c r="F273" s="1780"/>
      <c r="G273" s="1780"/>
      <c r="H273" s="1781"/>
      <c r="I273" s="1782">
        <f t="shared" ref="I273:AW273" si="788">I260/I262</f>
        <v>2.7272727272727271</v>
      </c>
      <c r="J273" s="1779">
        <f t="shared" si="788"/>
        <v>4.6363636363636367</v>
      </c>
      <c r="K273" s="1780">
        <f t="shared" si="788"/>
        <v>4.0454545454545459</v>
      </c>
      <c r="L273" s="1780">
        <f t="shared" si="788"/>
        <v>3.6666666666666665</v>
      </c>
      <c r="M273" s="1781">
        <f t="shared" si="788"/>
        <v>3.5681818181818183</v>
      </c>
      <c r="N273" s="1782">
        <f t="shared" si="788"/>
        <v>3.5681818181818183</v>
      </c>
      <c r="O273" s="1779">
        <f t="shared" si="788"/>
        <v>3.4545454545454546</v>
      </c>
      <c r="P273" s="1780">
        <f t="shared" si="788"/>
        <v>3.3409090909090908</v>
      </c>
      <c r="Q273" s="1780">
        <f t="shared" si="788"/>
        <v>3.5555555555555554</v>
      </c>
      <c r="R273" s="1781">
        <f t="shared" si="788"/>
        <v>3.4893617021276597</v>
      </c>
      <c r="S273" s="1782">
        <f t="shared" si="788"/>
        <v>3.4893617021276597</v>
      </c>
      <c r="T273" s="1779">
        <f t="shared" si="788"/>
        <v>3.5306122448979593</v>
      </c>
      <c r="U273" s="1780">
        <f t="shared" si="788"/>
        <v>3.46</v>
      </c>
      <c r="V273" s="1780">
        <f t="shared" si="788"/>
        <v>3.4901960784313726</v>
      </c>
      <c r="W273" s="1781">
        <f t="shared" si="788"/>
        <v>3.9</v>
      </c>
      <c r="X273" s="1782">
        <f t="shared" si="788"/>
        <v>3.9</v>
      </c>
      <c r="Y273" s="1779">
        <f t="shared" si="788"/>
        <v>4.4375</v>
      </c>
      <c r="Z273" s="1780">
        <f t="shared" si="788"/>
        <v>4.666666666666667</v>
      </c>
      <c r="AA273" s="1780">
        <f t="shared" si="788"/>
        <v>4.7234042553191493</v>
      </c>
      <c r="AB273" s="1781">
        <f t="shared" si="788"/>
        <v>4.520833333333333</v>
      </c>
      <c r="AC273" s="1782">
        <f t="shared" si="788"/>
        <v>4.520833333333333</v>
      </c>
      <c r="AD273" s="1779">
        <f t="shared" si="788"/>
        <v>4.2653061224489797</v>
      </c>
      <c r="AE273" s="1780">
        <f t="shared" si="788"/>
        <v>3.82</v>
      </c>
      <c r="AF273" s="1780">
        <f t="shared" si="788"/>
        <v>3.58</v>
      </c>
      <c r="AG273" s="1781">
        <f t="shared" si="788"/>
        <v>3.5</v>
      </c>
      <c r="AH273" s="1782">
        <f t="shared" si="788"/>
        <v>3.5</v>
      </c>
      <c r="AI273" s="1779">
        <f t="shared" ref="AI273" si="789">AI260/AI262</f>
        <v>0.82</v>
      </c>
      <c r="AJ273" s="1780">
        <f t="shared" si="788"/>
        <v>0.96</v>
      </c>
      <c r="AK273" s="1780">
        <f t="shared" ref="AK273" si="790">AK260/AK262</f>
        <v>1.74</v>
      </c>
      <c r="AL273" s="1781">
        <f t="shared" si="788"/>
        <v>1.26</v>
      </c>
      <c r="AM273" s="1782">
        <f t="shared" si="788"/>
        <v>1.26</v>
      </c>
      <c r="AN273" s="1779">
        <f t="shared" si="788"/>
        <v>4.1764705882352944</v>
      </c>
      <c r="AO273" s="1780">
        <f t="shared" ref="AO273:AP273" si="791">AO260/AO262</f>
        <v>4.3921568627450984</v>
      </c>
      <c r="AP273" s="1780">
        <f t="shared" si="791"/>
        <v>4.0769230769230766</v>
      </c>
      <c r="AQ273" s="1781">
        <f t="shared" si="788"/>
        <v>4.7647058823529411</v>
      </c>
      <c r="AR273" s="1782">
        <f t="shared" si="788"/>
        <v>4.7647058823529411</v>
      </c>
      <c r="AS273" s="1779">
        <f t="shared" si="788"/>
        <v>4.5225396595101444</v>
      </c>
      <c r="AT273" s="1780">
        <f t="shared" ca="1" si="788"/>
        <v>4.34057722201063</v>
      </c>
      <c r="AU273" s="1780">
        <f t="shared" ca="1" si="788"/>
        <v>4.0203046363154993</v>
      </c>
      <c r="AV273" s="1781">
        <f t="shared" ca="1" si="788"/>
        <v>3.722040404021814</v>
      </c>
      <c r="AW273" s="1782">
        <f t="shared" ca="1" si="788"/>
        <v>3.722040404021814</v>
      </c>
      <c r="AX273" s="1779">
        <f t="shared" ref="AX273:BG273" ca="1" si="792">AX260/AX262</f>
        <v>3.6552585210007544</v>
      </c>
      <c r="AY273" s="1780">
        <f t="shared" ca="1" si="792"/>
        <v>3.5638913307004336</v>
      </c>
      <c r="AZ273" s="1780">
        <f t="shared" ca="1" si="792"/>
        <v>3.5471260632934913</v>
      </c>
      <c r="BA273" s="1781">
        <f t="shared" ca="1" si="792"/>
        <v>3.5498879791983358</v>
      </c>
      <c r="BB273" s="1782">
        <f t="shared" ca="1" si="792"/>
        <v>3.5498879791983358</v>
      </c>
      <c r="BC273" s="1779">
        <f t="shared" ca="1" si="792"/>
        <v>3.5582796408070978</v>
      </c>
      <c r="BD273" s="1780">
        <f t="shared" ca="1" si="792"/>
        <v>3.5821355626778177</v>
      </c>
      <c r="BE273" s="1780">
        <f t="shared" ca="1" si="792"/>
        <v>3.5714393831599263</v>
      </c>
      <c r="BF273" s="1781">
        <f t="shared" ca="1" si="792"/>
        <v>3.5774150852661375</v>
      </c>
      <c r="BG273" s="1782">
        <f t="shared" ca="1" si="792"/>
        <v>3.5774150852661406</v>
      </c>
      <c r="BH273" s="1779">
        <f t="shared" ref="BH273:BL273" ca="1" si="793">BH260/BH262</f>
        <v>3.5684948642351961</v>
      </c>
      <c r="BI273" s="1780">
        <f t="shared" ca="1" si="793"/>
        <v>3.5673603444960333</v>
      </c>
      <c r="BJ273" s="1780">
        <f t="shared" ca="1" si="793"/>
        <v>3.5579343617909984</v>
      </c>
      <c r="BK273" s="1781">
        <f t="shared" ca="1" si="793"/>
        <v>3.5625328851675109</v>
      </c>
      <c r="BL273" s="1782">
        <f t="shared" ca="1" si="793"/>
        <v>3.5625328851675091</v>
      </c>
      <c r="BM273" s="1716"/>
      <c r="BN273" s="1716"/>
      <c r="BO273" s="1716"/>
      <c r="BP273" s="1716"/>
      <c r="BQ273" s="1716"/>
      <c r="BR273" s="1716"/>
      <c r="BS273" s="1716"/>
      <c r="BT273" s="1716"/>
      <c r="BU273" s="1716"/>
      <c r="BV273" s="1716"/>
      <c r="BW273" s="1716"/>
      <c r="BX273" s="1716"/>
      <c r="BY273" s="1716"/>
      <c r="BZ273" s="1716"/>
      <c r="CA273" s="1716"/>
      <c r="CB273" s="1716"/>
      <c r="CC273" s="1716"/>
      <c r="CD273" s="1716"/>
      <c r="CE273" s="1716"/>
      <c r="CF273" s="1716"/>
      <c r="CG273" s="1716"/>
      <c r="CH273" s="1716"/>
      <c r="CI273" s="1716"/>
      <c r="CJ273" s="1716"/>
      <c r="CK273" s="1716"/>
      <c r="CL273" s="1716"/>
      <c r="CM273" s="1716"/>
      <c r="CN273" s="1716"/>
      <c r="CO273" s="1716"/>
      <c r="CP273" s="1716"/>
    </row>
    <row r="274" spans="1:94">
      <c r="A274" s="1716"/>
      <c r="B274" s="1716"/>
      <c r="C274" s="1716"/>
      <c r="D274" s="1716"/>
      <c r="E274" s="1717"/>
      <c r="F274" s="1718"/>
      <c r="G274" s="1718"/>
      <c r="H274" s="1719"/>
      <c r="I274" s="1716"/>
      <c r="J274" s="1717"/>
      <c r="K274" s="1718"/>
      <c r="L274" s="1718"/>
      <c r="M274" s="1719"/>
      <c r="N274" s="1716"/>
      <c r="O274" s="1717"/>
      <c r="P274" s="1718"/>
      <c r="Q274" s="1718"/>
      <c r="R274" s="1719"/>
      <c r="S274" s="1716"/>
      <c r="T274" s="1717"/>
      <c r="U274" s="1718"/>
      <c r="V274" s="1718"/>
      <c r="W274" s="1719"/>
      <c r="X274" s="1716"/>
      <c r="Y274" s="1717"/>
      <c r="Z274" s="1718"/>
      <c r="AA274" s="1718"/>
      <c r="AB274" s="1719"/>
      <c r="AC274" s="1716"/>
      <c r="AD274" s="1717"/>
      <c r="AE274" s="1718"/>
      <c r="AF274" s="1718"/>
      <c r="AG274" s="1719"/>
      <c r="AH274" s="1716"/>
      <c r="AI274" s="1717"/>
      <c r="AJ274" s="1718"/>
      <c r="AK274" s="1718"/>
      <c r="AL274" s="1719"/>
      <c r="AM274" s="1716"/>
      <c r="AN274" s="1717"/>
      <c r="AO274" s="1718"/>
      <c r="AP274" s="1718"/>
      <c r="AQ274" s="1719"/>
      <c r="AR274" s="1716"/>
      <c r="AS274" s="1717"/>
      <c r="AT274" s="1718"/>
      <c r="AU274" s="1718"/>
      <c r="AV274" s="1719"/>
      <c r="AW274" s="1716"/>
      <c r="AX274" s="1717"/>
      <c r="AY274" s="1718"/>
      <c r="AZ274" s="1718"/>
      <c r="BA274" s="1719"/>
      <c r="BB274" s="1716"/>
      <c r="BC274" s="1717"/>
      <c r="BD274" s="1718"/>
      <c r="BE274" s="1718"/>
      <c r="BF274" s="1719"/>
      <c r="BG274" s="1716"/>
      <c r="BH274" s="1717"/>
      <c r="BI274" s="1718"/>
      <c r="BJ274" s="1718"/>
      <c r="BK274" s="1719"/>
      <c r="BL274" s="1716"/>
      <c r="BM274" s="1716"/>
      <c r="BN274" s="1716"/>
      <c r="BO274" s="1716"/>
      <c r="BP274" s="1716"/>
      <c r="BQ274" s="1716"/>
      <c r="BR274" s="1716"/>
      <c r="BS274" s="1716"/>
      <c r="BT274" s="1716"/>
      <c r="BU274" s="1716"/>
      <c r="BV274" s="1716"/>
      <c r="BW274" s="1716"/>
      <c r="BX274" s="1716"/>
      <c r="BY274" s="1716"/>
      <c r="BZ274" s="1716"/>
      <c r="CA274" s="1716"/>
      <c r="CB274" s="1716"/>
      <c r="CC274" s="1716"/>
      <c r="CD274" s="1716"/>
      <c r="CE274" s="1716"/>
      <c r="CF274" s="1716"/>
      <c r="CG274" s="1716"/>
      <c r="CH274" s="1716"/>
      <c r="CI274" s="1716"/>
      <c r="CJ274" s="1716"/>
      <c r="CK274" s="1716"/>
      <c r="CL274" s="1716"/>
      <c r="CM274" s="1716"/>
      <c r="CN274" s="1716"/>
      <c r="CO274" s="1716"/>
      <c r="CP274" s="1716"/>
    </row>
    <row r="275" spans="1:94">
      <c r="A275" s="1716"/>
      <c r="B275" s="1716"/>
      <c r="C275" s="1716"/>
      <c r="D275" s="1716"/>
      <c r="E275" s="1717"/>
      <c r="F275" s="1718"/>
      <c r="G275" s="1718"/>
      <c r="H275" s="1719"/>
      <c r="I275" s="1716"/>
      <c r="J275" s="1717"/>
      <c r="K275" s="1718"/>
      <c r="L275" s="1718"/>
      <c r="M275" s="1719"/>
      <c r="N275" s="1716"/>
      <c r="O275" s="1717"/>
      <c r="P275" s="1718"/>
      <c r="Q275" s="1718"/>
      <c r="R275" s="1719"/>
      <c r="S275" s="1716"/>
      <c r="T275" s="1717"/>
      <c r="U275" s="1718"/>
      <c r="V275" s="1718"/>
      <c r="W275" s="1719"/>
      <c r="X275" s="1716"/>
      <c r="Y275" s="1717"/>
      <c r="Z275" s="1718"/>
      <c r="AA275" s="1718"/>
      <c r="AB275" s="1719"/>
      <c r="AC275" s="1716"/>
      <c r="AD275" s="1717"/>
      <c r="AE275" s="1718"/>
      <c r="AF275" s="1718"/>
      <c r="AG275" s="1719"/>
      <c r="AH275" s="1716"/>
      <c r="AI275" s="1717"/>
      <c r="AJ275" s="1718"/>
      <c r="AK275" s="1718"/>
      <c r="AL275" s="1719"/>
      <c r="AM275" s="1716"/>
      <c r="AN275" s="1717"/>
      <c r="AO275" s="1718"/>
      <c r="AP275" s="1718"/>
      <c r="AQ275" s="1719"/>
      <c r="AR275" s="1716"/>
      <c r="AS275" s="1717"/>
      <c r="AT275" s="1718"/>
      <c r="AU275" s="1718"/>
      <c r="AV275" s="1719"/>
      <c r="AW275" s="1716"/>
      <c r="AX275" s="1717"/>
      <c r="AY275" s="1718"/>
      <c r="AZ275" s="1718"/>
      <c r="BA275" s="1719"/>
      <c r="BB275" s="1716"/>
      <c r="BC275" s="1717"/>
      <c r="BD275" s="1718"/>
      <c r="BE275" s="1718"/>
      <c r="BF275" s="1719"/>
      <c r="BG275" s="1716"/>
      <c r="BH275" s="1717"/>
      <c r="BI275" s="1718"/>
      <c r="BJ275" s="1718"/>
      <c r="BK275" s="1719"/>
      <c r="BL275" s="1716"/>
      <c r="BM275" s="1716"/>
      <c r="BN275" s="1716"/>
      <c r="BO275" s="1716"/>
      <c r="BP275" s="1716"/>
      <c r="BQ275" s="1716"/>
      <c r="BR275" s="1716"/>
      <c r="BS275" s="1716"/>
      <c r="BT275" s="1716"/>
      <c r="BU275" s="1716"/>
      <c r="BV275" s="1716"/>
      <c r="BW275" s="1716"/>
      <c r="BX275" s="1716"/>
      <c r="BY275" s="1716"/>
      <c r="BZ275" s="1716"/>
      <c r="CA275" s="1716"/>
      <c r="CB275" s="1716"/>
      <c r="CC275" s="1716"/>
      <c r="CD275" s="1716"/>
      <c r="CE275" s="1716"/>
      <c r="CF275" s="1716"/>
      <c r="CG275" s="1716"/>
      <c r="CH275" s="1716"/>
      <c r="CI275" s="1716"/>
      <c r="CJ275" s="1716"/>
      <c r="CK275" s="1716"/>
      <c r="CL275" s="1716"/>
      <c r="CM275" s="1716"/>
      <c r="CN275" s="1716"/>
      <c r="CO275" s="1716"/>
      <c r="CP275" s="1716"/>
    </row>
    <row r="276" spans="1:94">
      <c r="A276" s="1716"/>
      <c r="B276" s="1771" t="s">
        <v>156</v>
      </c>
      <c r="C276" s="1772"/>
      <c r="D276" s="1773"/>
      <c r="E276" s="1717"/>
      <c r="F276" s="1718"/>
      <c r="G276" s="1718"/>
      <c r="H276" s="1719"/>
      <c r="I276" s="1716"/>
      <c r="J276" s="1717"/>
      <c r="K276" s="1718"/>
      <c r="L276" s="1718"/>
      <c r="M276" s="1719"/>
      <c r="N276" s="1716"/>
      <c r="O276" s="1717"/>
      <c r="P276" s="1718"/>
      <c r="Q276" s="1718"/>
      <c r="R276" s="1719"/>
      <c r="S276" s="1716"/>
      <c r="T276" s="1717"/>
      <c r="U276" s="1718"/>
      <c r="V276" s="1718"/>
      <c r="W276" s="1719"/>
      <c r="X276" s="1716"/>
      <c r="Y276" s="1717"/>
      <c r="Z276" s="1718"/>
      <c r="AA276" s="1718"/>
      <c r="AB276" s="1719"/>
      <c r="AC276" s="1716"/>
      <c r="AD276" s="1717"/>
      <c r="AE276" s="1718"/>
      <c r="AF276" s="1718"/>
      <c r="AG276" s="1719"/>
      <c r="AH276" s="1716"/>
      <c r="AI276" s="1717"/>
      <c r="AJ276" s="1718"/>
      <c r="AK276" s="1718"/>
      <c r="AL276" s="1719"/>
      <c r="AM276" s="1716"/>
      <c r="AN276" s="1717"/>
      <c r="AO276" s="1718"/>
      <c r="AP276" s="1718"/>
      <c r="AQ276" s="1719"/>
      <c r="AR276" s="1716"/>
      <c r="AS276" s="1717"/>
      <c r="AT276" s="1718"/>
      <c r="AU276" s="1718"/>
      <c r="AV276" s="1719"/>
      <c r="AW276" s="1716"/>
      <c r="AX276" s="1717"/>
      <c r="AY276" s="1718"/>
      <c r="AZ276" s="1718"/>
      <c r="BA276" s="1719"/>
      <c r="BB276" s="1716"/>
      <c r="BC276" s="1717"/>
      <c r="BD276" s="1718"/>
      <c r="BE276" s="1718"/>
      <c r="BF276" s="1719"/>
      <c r="BG276" s="1716"/>
      <c r="BH276" s="1717"/>
      <c r="BI276" s="1718"/>
      <c r="BJ276" s="1718"/>
      <c r="BK276" s="1719"/>
      <c r="BL276" s="1716"/>
      <c r="BM276" s="1716"/>
      <c r="BN276" s="1716"/>
      <c r="BO276" s="1716"/>
      <c r="BP276" s="1716"/>
      <c r="BQ276" s="1716"/>
      <c r="BR276" s="1716"/>
      <c r="BS276" s="1716"/>
      <c r="BT276" s="1716"/>
      <c r="BU276" s="1716"/>
      <c r="BV276" s="1716"/>
      <c r="BW276" s="1716"/>
      <c r="BX276" s="1716"/>
      <c r="BY276" s="1716"/>
      <c r="BZ276" s="1716"/>
      <c r="CA276" s="1716"/>
      <c r="CB276" s="1716"/>
      <c r="CC276" s="1716"/>
      <c r="CD276" s="1716"/>
      <c r="CE276" s="1716"/>
      <c r="CF276" s="1716"/>
      <c r="CG276" s="1716"/>
      <c r="CH276" s="1716"/>
      <c r="CI276" s="1716"/>
      <c r="CJ276" s="1716"/>
      <c r="CK276" s="1716"/>
      <c r="CL276" s="1716"/>
      <c r="CM276" s="1716"/>
      <c r="CN276" s="1716"/>
      <c r="CO276" s="1716"/>
      <c r="CP276" s="1716"/>
    </row>
    <row r="277" spans="1:94">
      <c r="A277" s="45"/>
      <c r="B277" s="45"/>
      <c r="C277" s="389" t="s">
        <v>403</v>
      </c>
      <c r="D277" s="45"/>
      <c r="E277" s="292"/>
      <c r="F277" s="261"/>
      <c r="G277" s="261"/>
      <c r="H277" s="293"/>
      <c r="I277" s="228">
        <f>I282-SUM(I278:I281)</f>
        <v>1565</v>
      </c>
      <c r="J277" s="292">
        <f>+I282</f>
        <v>1658</v>
      </c>
      <c r="K277" s="261">
        <f>+J282</f>
        <v>1659</v>
      </c>
      <c r="L277" s="261">
        <f>+K282</f>
        <v>1673</v>
      </c>
      <c r="M277" s="293">
        <f>+L282</f>
        <v>1657</v>
      </c>
      <c r="N277" s="228">
        <f>N282-SUM(N278:N281)</f>
        <v>1658</v>
      </c>
      <c r="O277" s="292">
        <f>+N282</f>
        <v>1741</v>
      </c>
      <c r="P277" s="261">
        <f>+O282</f>
        <v>1745</v>
      </c>
      <c r="Q277" s="261">
        <f>+P282</f>
        <v>1804</v>
      </c>
      <c r="R277" s="293">
        <f>+Q282</f>
        <v>1838</v>
      </c>
      <c r="S277" s="228">
        <f>S282-SUM(S278:S281)</f>
        <v>1741</v>
      </c>
      <c r="T277" s="292">
        <f>+S282</f>
        <v>1904</v>
      </c>
      <c r="U277" s="261">
        <f>+T282</f>
        <v>1945</v>
      </c>
      <c r="V277" s="261">
        <f>+U282</f>
        <v>1989</v>
      </c>
      <c r="W277" s="293">
        <f>+V282</f>
        <v>2026</v>
      </c>
      <c r="X277" s="228">
        <f>X282-SUM(X278:X281)</f>
        <v>1904</v>
      </c>
      <c r="Y277" s="292">
        <f>+X282</f>
        <v>2089</v>
      </c>
      <c r="Z277" s="261">
        <f>+Y282</f>
        <v>2121</v>
      </c>
      <c r="AA277" s="261">
        <f>+Z282</f>
        <v>2163</v>
      </c>
      <c r="AB277" s="293">
        <f>+AA282</f>
        <v>2153</v>
      </c>
      <c r="AC277" s="228">
        <f>+X282</f>
        <v>2089</v>
      </c>
      <c r="AD277" s="292">
        <f>+AC282</f>
        <v>2205</v>
      </c>
      <c r="AE277" s="261">
        <f>+AD282</f>
        <v>2283</v>
      </c>
      <c r="AF277" s="261">
        <f>+AE282</f>
        <v>2328</v>
      </c>
      <c r="AG277" s="293">
        <f>+AF282</f>
        <v>2364</v>
      </c>
      <c r="AH277" s="228">
        <f>+AC282</f>
        <v>2205</v>
      </c>
      <c r="AI277" s="292">
        <f>+AH282</f>
        <v>2400</v>
      </c>
      <c r="AJ277" s="261">
        <f>+AI282</f>
        <v>2366</v>
      </c>
      <c r="AK277" s="261">
        <f>+AJ282</f>
        <v>2402</v>
      </c>
      <c r="AL277" s="293">
        <f>+AK282</f>
        <v>2390</v>
      </c>
      <c r="AM277" s="228">
        <f>+AH282</f>
        <v>2400</v>
      </c>
      <c r="AN277" s="292">
        <f>+AM282</f>
        <v>2403</v>
      </c>
      <c r="AO277" s="261">
        <f>+AN282</f>
        <v>2308</v>
      </c>
      <c r="AP277" s="261">
        <f t="shared" ref="AP277" si="794">+AO282</f>
        <v>2358</v>
      </c>
      <c r="AQ277" s="293">
        <f>+AP282</f>
        <v>2387</v>
      </c>
      <c r="AR277" s="228">
        <f>+AM282</f>
        <v>2403</v>
      </c>
      <c r="AS277" s="292">
        <f>+AR282</f>
        <v>2450</v>
      </c>
      <c r="AT277" s="261">
        <f ca="1">+AS282</f>
        <v>2749.1434889969878</v>
      </c>
      <c r="AU277" s="261">
        <f ca="1">+AT282</f>
        <v>2797.3845410449953</v>
      </c>
      <c r="AV277" s="293">
        <f ca="1">+AU282</f>
        <v>2844.9082928658745</v>
      </c>
      <c r="AW277" s="228">
        <f>+AR282</f>
        <v>2450</v>
      </c>
      <c r="AX277" s="292">
        <f ca="1">+AW282</f>
        <v>2891.7240222186178</v>
      </c>
      <c r="AY277" s="261">
        <f ca="1">+AX282</f>
        <v>3018.8449239359416</v>
      </c>
      <c r="AZ277" s="261">
        <f ca="1">+AY282</f>
        <v>3045.0538812628033</v>
      </c>
      <c r="BA277" s="293">
        <f ca="1">+AZ282</f>
        <v>3070.8273262004755</v>
      </c>
      <c r="BB277" s="228">
        <f ca="1">+AW282</f>
        <v>2891.7240222186178</v>
      </c>
      <c r="BC277" s="292">
        <f ca="1">+BB282</f>
        <v>3096.170891786328</v>
      </c>
      <c r="BD277" s="261">
        <f ca="1">+BC282</f>
        <v>3120.2182288367967</v>
      </c>
      <c r="BE277" s="261">
        <f ca="1">+BD282</f>
        <v>3143.8467349747889</v>
      </c>
      <c r="BF277" s="293">
        <f ca="1">+BE282</f>
        <v>3167.0618274748531</v>
      </c>
      <c r="BG277" s="228">
        <f ca="1">+BB282</f>
        <v>3096.170891786328</v>
      </c>
      <c r="BH277" s="292">
        <f ca="1">+BG282</f>
        <v>3189.8688535430133</v>
      </c>
      <c r="BI277" s="261">
        <f ca="1">+BH282</f>
        <v>3212.145194172128</v>
      </c>
      <c r="BJ277" s="261">
        <f ca="1">+BI282</f>
        <v>3234.0239561892408</v>
      </c>
      <c r="BK277" s="293">
        <f ca="1">+BJ282</f>
        <v>3255.5102819857839</v>
      </c>
      <c r="BL277" s="228">
        <f ca="1">+BG282</f>
        <v>3189.8688535430133</v>
      </c>
      <c r="BM277" s="45"/>
      <c r="BN277" s="45"/>
      <c r="BO277" s="45"/>
      <c r="BP277" s="45"/>
      <c r="BQ277" s="45"/>
      <c r="BR277" s="45"/>
      <c r="BS277" s="45"/>
      <c r="BT277" s="45"/>
      <c r="BU277" s="45"/>
      <c r="BV277" s="45"/>
      <c r="BW277" s="45"/>
      <c r="BX277" s="45"/>
      <c r="BY277" s="45"/>
      <c r="BZ277" s="45"/>
      <c r="CA277" s="45"/>
      <c r="CB277" s="45"/>
      <c r="CC277" s="45"/>
      <c r="CD277" s="45"/>
      <c r="CE277" s="45"/>
      <c r="CF277" s="45"/>
      <c r="CG277" s="45"/>
      <c r="CH277" s="45"/>
      <c r="CI277" s="45"/>
      <c r="CJ277" s="45"/>
      <c r="CK277" s="45"/>
      <c r="CL277" s="45"/>
      <c r="CM277" s="45"/>
      <c r="CN277" s="45"/>
      <c r="CO277" s="45"/>
      <c r="CP277" s="45"/>
    </row>
    <row r="278" spans="1:94">
      <c r="A278" s="45"/>
      <c r="B278" s="45"/>
      <c r="C278" s="391" t="s">
        <v>404</v>
      </c>
      <c r="D278" s="45"/>
      <c r="E278" s="290"/>
      <c r="F278" s="260"/>
      <c r="G278" s="260"/>
      <c r="H278" s="291"/>
      <c r="I278" s="45">
        <f t="shared" ref="I278:AW278" si="795">I150</f>
        <v>250</v>
      </c>
      <c r="J278" s="290">
        <f t="shared" si="795"/>
        <v>41</v>
      </c>
      <c r="K278" s="260">
        <f t="shared" si="795"/>
        <v>58</v>
      </c>
      <c r="L278" s="260">
        <f t="shared" si="795"/>
        <v>47</v>
      </c>
      <c r="M278" s="291">
        <f t="shared" si="795"/>
        <v>83</v>
      </c>
      <c r="N278" s="45">
        <f t="shared" si="795"/>
        <v>229</v>
      </c>
      <c r="O278" s="290">
        <f t="shared" si="795"/>
        <v>69</v>
      </c>
      <c r="P278" s="260">
        <f t="shared" si="795"/>
        <v>76</v>
      </c>
      <c r="Q278" s="260">
        <f t="shared" si="795"/>
        <v>74</v>
      </c>
      <c r="R278" s="291">
        <f t="shared" si="795"/>
        <v>101</v>
      </c>
      <c r="S278" s="45">
        <f t="shared" si="795"/>
        <v>320</v>
      </c>
      <c r="T278" s="290">
        <f t="shared" si="795"/>
        <v>83</v>
      </c>
      <c r="U278" s="260">
        <f t="shared" si="795"/>
        <v>81</v>
      </c>
      <c r="V278" s="260">
        <f t="shared" si="795"/>
        <v>85</v>
      </c>
      <c r="W278" s="291">
        <f t="shared" si="795"/>
        <v>108</v>
      </c>
      <c r="X278" s="45">
        <f t="shared" si="795"/>
        <v>357</v>
      </c>
      <c r="Y278" s="290">
        <f t="shared" si="795"/>
        <v>87</v>
      </c>
      <c r="Z278" s="260">
        <f t="shared" si="795"/>
        <v>85</v>
      </c>
      <c r="AA278" s="260">
        <f t="shared" si="795"/>
        <v>79</v>
      </c>
      <c r="AB278" s="291">
        <f t="shared" si="795"/>
        <v>101</v>
      </c>
      <c r="AC278" s="45">
        <f t="shared" si="795"/>
        <v>352</v>
      </c>
      <c r="AD278" s="290">
        <f t="shared" si="795"/>
        <v>68</v>
      </c>
      <c r="AE278" s="260">
        <f t="shared" si="795"/>
        <v>86</v>
      </c>
      <c r="AF278" s="260">
        <f t="shared" si="795"/>
        <v>92</v>
      </c>
      <c r="AG278" s="291">
        <f t="shared" si="795"/>
        <v>106</v>
      </c>
      <c r="AH278" s="45">
        <f t="shared" si="795"/>
        <v>352</v>
      </c>
      <c r="AI278" s="290">
        <f t="shared" ref="AI278" si="796">AI150</f>
        <v>81</v>
      </c>
      <c r="AJ278" s="260">
        <f t="shared" si="795"/>
        <v>101</v>
      </c>
      <c r="AK278" s="260">
        <f t="shared" ref="AK278" si="797">AK150</f>
        <v>78</v>
      </c>
      <c r="AL278" s="291">
        <f t="shared" si="795"/>
        <v>89</v>
      </c>
      <c r="AM278" s="45">
        <f t="shared" si="795"/>
        <v>349</v>
      </c>
      <c r="AN278" s="290">
        <f t="shared" si="795"/>
        <v>82</v>
      </c>
      <c r="AO278" s="260">
        <f t="shared" si="795"/>
        <v>110</v>
      </c>
      <c r="AP278" s="260">
        <f t="shared" ref="AP278:AR278" si="798">AP150</f>
        <v>102</v>
      </c>
      <c r="AQ278" s="291">
        <f t="shared" si="798"/>
        <v>134</v>
      </c>
      <c r="AR278" s="45">
        <f t="shared" si="798"/>
        <v>428</v>
      </c>
      <c r="AS278" s="290">
        <f t="shared" si="795"/>
        <v>100</v>
      </c>
      <c r="AT278" s="260">
        <f t="shared" si="795"/>
        <v>100</v>
      </c>
      <c r="AU278" s="260">
        <f t="shared" si="795"/>
        <v>100</v>
      </c>
      <c r="AV278" s="291">
        <f t="shared" si="795"/>
        <v>100</v>
      </c>
      <c r="AW278" s="45">
        <f t="shared" si="795"/>
        <v>400</v>
      </c>
      <c r="AX278" s="290">
        <f t="shared" ref="AX278:BG278" si="799">AX150</f>
        <v>81.25</v>
      </c>
      <c r="AY278" s="260">
        <f t="shared" si="799"/>
        <v>81.25</v>
      </c>
      <c r="AZ278" s="260">
        <f t="shared" si="799"/>
        <v>81.25</v>
      </c>
      <c r="BA278" s="291">
        <f t="shared" si="799"/>
        <v>81.25</v>
      </c>
      <c r="BB278" s="45">
        <f t="shared" si="799"/>
        <v>325</v>
      </c>
      <c r="BC278" s="290">
        <f t="shared" si="799"/>
        <v>81.25</v>
      </c>
      <c r="BD278" s="260">
        <f t="shared" si="799"/>
        <v>81.25</v>
      </c>
      <c r="BE278" s="260">
        <f t="shared" si="799"/>
        <v>81.25</v>
      </c>
      <c r="BF278" s="291">
        <f t="shared" si="799"/>
        <v>81.25</v>
      </c>
      <c r="BG278" s="45">
        <f t="shared" si="799"/>
        <v>325</v>
      </c>
      <c r="BH278" s="290">
        <f t="shared" ref="BH278:BL278" si="800">BH150</f>
        <v>81.25</v>
      </c>
      <c r="BI278" s="260">
        <f t="shared" si="800"/>
        <v>81.25</v>
      </c>
      <c r="BJ278" s="260">
        <f t="shared" si="800"/>
        <v>81.25</v>
      </c>
      <c r="BK278" s="291">
        <f t="shared" si="800"/>
        <v>81.25</v>
      </c>
      <c r="BL278" s="45">
        <f t="shared" si="800"/>
        <v>325</v>
      </c>
      <c r="BM278" s="45"/>
      <c r="BN278" s="45"/>
      <c r="BO278" s="45"/>
      <c r="BP278" s="45"/>
      <c r="BQ278" s="45"/>
      <c r="BR278" s="45"/>
      <c r="BS278" s="45"/>
      <c r="BT278" s="45"/>
      <c r="BU278" s="45"/>
      <c r="BV278" s="45"/>
      <c r="BW278" s="45"/>
      <c r="BX278" s="45"/>
      <c r="BY278" s="45"/>
      <c r="BZ278" s="45"/>
      <c r="CA278" s="45"/>
      <c r="CB278" s="45"/>
      <c r="CC278" s="45"/>
      <c r="CD278" s="45"/>
      <c r="CE278" s="45"/>
      <c r="CF278" s="45"/>
      <c r="CG278" s="45"/>
      <c r="CH278" s="45"/>
      <c r="CI278" s="45"/>
      <c r="CJ278" s="45"/>
      <c r="CK278" s="45"/>
      <c r="CL278" s="45"/>
      <c r="CM278" s="45"/>
      <c r="CN278" s="45"/>
      <c r="CO278" s="45"/>
      <c r="CP278" s="45"/>
    </row>
    <row r="279" spans="1:94">
      <c r="A279" s="45"/>
      <c r="B279" s="45"/>
      <c r="C279" s="391" t="s">
        <v>587</v>
      </c>
      <c r="D279" s="45"/>
      <c r="E279" s="290"/>
      <c r="F279" s="260"/>
      <c r="G279" s="260"/>
      <c r="H279" s="291"/>
      <c r="I279" s="45">
        <f t="shared" ref="I279:AW279" si="801">+-I19</f>
        <v>-83</v>
      </c>
      <c r="J279" s="290">
        <f t="shared" si="801"/>
        <v>-22</v>
      </c>
      <c r="K279" s="260">
        <f t="shared" si="801"/>
        <v>-22</v>
      </c>
      <c r="L279" s="260">
        <f t="shared" si="801"/>
        <v>-22</v>
      </c>
      <c r="M279" s="291">
        <f t="shared" si="801"/>
        <v>-23</v>
      </c>
      <c r="N279" s="45">
        <f t="shared" si="801"/>
        <v>-89</v>
      </c>
      <c r="O279" s="290">
        <f t="shared" si="801"/>
        <v>-24</v>
      </c>
      <c r="P279" s="260">
        <f t="shared" si="801"/>
        <v>-25</v>
      </c>
      <c r="Q279" s="260">
        <f t="shared" si="801"/>
        <v>-29</v>
      </c>
      <c r="R279" s="291">
        <f t="shared" si="801"/>
        <v>-24</v>
      </c>
      <c r="S279" s="45">
        <f t="shared" si="801"/>
        <v>-102</v>
      </c>
      <c r="T279" s="290">
        <f t="shared" si="801"/>
        <v>-25</v>
      </c>
      <c r="U279" s="260">
        <f t="shared" si="801"/>
        <v>-27</v>
      </c>
      <c r="V279" s="260">
        <f t="shared" si="801"/>
        <v>-27</v>
      </c>
      <c r="W279" s="291">
        <f t="shared" si="801"/>
        <v>-28</v>
      </c>
      <c r="X279" s="45">
        <f t="shared" si="801"/>
        <v>-107</v>
      </c>
      <c r="Y279" s="290">
        <f t="shared" si="801"/>
        <v>-30</v>
      </c>
      <c r="Z279" s="260">
        <f t="shared" si="801"/>
        <v>-30</v>
      </c>
      <c r="AA279" s="260">
        <f t="shared" si="801"/>
        <v>-33</v>
      </c>
      <c r="AB279" s="291">
        <f t="shared" si="801"/>
        <v>-32</v>
      </c>
      <c r="AC279" s="45">
        <f t="shared" si="801"/>
        <v>-125</v>
      </c>
      <c r="AD279" s="290">
        <f t="shared" si="801"/>
        <v>-39</v>
      </c>
      <c r="AE279" s="260">
        <f t="shared" si="801"/>
        <v>-36</v>
      </c>
      <c r="AF279" s="260">
        <f t="shared" si="801"/>
        <v>-42</v>
      </c>
      <c r="AG279" s="291">
        <f t="shared" si="801"/>
        <v>-36</v>
      </c>
      <c r="AH279" s="45">
        <f t="shared" si="801"/>
        <v>-153</v>
      </c>
      <c r="AI279" s="290">
        <f t="shared" ref="AI279" si="802">+-AI19</f>
        <v>-39</v>
      </c>
      <c r="AJ279" s="260">
        <f t="shared" si="801"/>
        <v>-38</v>
      </c>
      <c r="AK279" s="260">
        <f t="shared" ref="AK279" si="803">+-AK19</f>
        <v>-44</v>
      </c>
      <c r="AL279" s="291">
        <f t="shared" si="801"/>
        <v>-36</v>
      </c>
      <c r="AM279" s="45">
        <f t="shared" si="801"/>
        <v>-157</v>
      </c>
      <c r="AN279" s="290">
        <f t="shared" si="801"/>
        <v>-39</v>
      </c>
      <c r="AO279" s="260">
        <f t="shared" si="801"/>
        <v>-40</v>
      </c>
      <c r="AP279" s="260">
        <f t="shared" ref="AP279:AR279" si="804">+-AP19</f>
        <v>-45</v>
      </c>
      <c r="AQ279" s="291">
        <f t="shared" si="804"/>
        <v>-43</v>
      </c>
      <c r="AR279" s="45">
        <f t="shared" si="804"/>
        <v>-167</v>
      </c>
      <c r="AS279" s="290">
        <f t="shared" si="801"/>
        <v>-43.640246653632126</v>
      </c>
      <c r="AT279" s="260">
        <f t="shared" si="801"/>
        <v>-44.542683602612271</v>
      </c>
      <c r="AU279" s="260">
        <f t="shared" si="801"/>
        <v>-45.259983829740456</v>
      </c>
      <c r="AV279" s="291">
        <f t="shared" si="801"/>
        <v>-45.968006297877366</v>
      </c>
      <c r="AW279" s="45">
        <f t="shared" si="801"/>
        <v>-179.41092038386222</v>
      </c>
      <c r="AX279" s="290">
        <f t="shared" ref="AX279:BG279" si="805">+-AX19</f>
        <v>-46.666871008116885</v>
      </c>
      <c r="AY279" s="260">
        <f t="shared" si="805"/>
        <v>-47.578815398578683</v>
      </c>
      <c r="AZ279" s="260">
        <f t="shared" si="805"/>
        <v>-48.014327787768366</v>
      </c>
      <c r="BA279" s="291">
        <f t="shared" si="805"/>
        <v>-48.444207139588478</v>
      </c>
      <c r="BB279" s="45">
        <f t="shared" si="805"/>
        <v>-190.70422133405242</v>
      </c>
      <c r="BC279" s="290">
        <f t="shared" si="805"/>
        <v>-48.868526313298119</v>
      </c>
      <c r="BD279" s="260">
        <f t="shared" si="805"/>
        <v>-49.287357225774635</v>
      </c>
      <c r="BE279" s="260">
        <f t="shared" si="805"/>
        <v>-49.700770863702651</v>
      </c>
      <c r="BF279" s="291">
        <f t="shared" si="805"/>
        <v>-50.108837295605426</v>
      </c>
      <c r="BG279" s="45">
        <f t="shared" si="805"/>
        <v>-197.96549169838084</v>
      </c>
      <c r="BH279" s="290">
        <f t="shared" ref="BH279:BL279" si="806">+-BH19</f>
        <v>-50.511625683720631</v>
      </c>
      <c r="BI279" s="260">
        <f t="shared" si="806"/>
        <v>-50.909204295722432</v>
      </c>
      <c r="BJ279" s="260">
        <f t="shared" si="806"/>
        <v>-51.301640516292117</v>
      </c>
      <c r="BK279" s="291">
        <f t="shared" si="806"/>
        <v>-51.689000858538911</v>
      </c>
      <c r="BL279" s="45">
        <f t="shared" si="806"/>
        <v>-204.41147135427408</v>
      </c>
      <c r="BM279" s="45"/>
      <c r="BN279" s="45"/>
      <c r="BO279" s="45"/>
      <c r="BP279" s="45"/>
      <c r="BQ279" s="45"/>
      <c r="BR279" s="45"/>
      <c r="BS279" s="45"/>
      <c r="BT279" s="45"/>
      <c r="BU279" s="45"/>
      <c r="BV279" s="45"/>
      <c r="BW279" s="45"/>
      <c r="BX279" s="45"/>
      <c r="BY279" s="45"/>
      <c r="BZ279" s="45"/>
      <c r="CA279" s="45"/>
      <c r="CB279" s="45"/>
      <c r="CC279" s="45"/>
      <c r="CD279" s="45"/>
      <c r="CE279" s="45"/>
      <c r="CF279" s="45"/>
      <c r="CG279" s="45"/>
      <c r="CH279" s="45"/>
      <c r="CI279" s="45"/>
      <c r="CJ279" s="45"/>
      <c r="CK279" s="45"/>
      <c r="CL279" s="45"/>
      <c r="CM279" s="45"/>
      <c r="CN279" s="45"/>
      <c r="CO279" s="45"/>
      <c r="CP279" s="45"/>
    </row>
    <row r="280" spans="1:94">
      <c r="A280" s="45"/>
      <c r="B280" s="45"/>
      <c r="C280" s="391" t="s">
        <v>158</v>
      </c>
      <c r="D280" s="45"/>
      <c r="E280" s="290"/>
      <c r="F280" s="260"/>
      <c r="G280" s="260"/>
      <c r="H280" s="291"/>
      <c r="I280" s="45">
        <f>+-I176</f>
        <v>-74</v>
      </c>
      <c r="J280" s="290">
        <f>+-J176</f>
        <v>-18</v>
      </c>
      <c r="K280" s="260">
        <f>+-K176</f>
        <v>-22</v>
      </c>
      <c r="L280" s="260">
        <f>+-L176</f>
        <v>-41</v>
      </c>
      <c r="M280" s="291">
        <f>+-M176</f>
        <v>24</v>
      </c>
      <c r="N280" s="45">
        <f>SUM(J280:M280)</f>
        <v>-57</v>
      </c>
      <c r="O280" s="290">
        <f>+-O176</f>
        <v>-41</v>
      </c>
      <c r="P280" s="260">
        <f>+-P176</f>
        <v>8</v>
      </c>
      <c r="Q280" s="260">
        <f>+-Q176</f>
        <v>-11</v>
      </c>
      <c r="R280" s="291">
        <f>+-R176</f>
        <v>-11</v>
      </c>
      <c r="S280" s="45">
        <f>SUM(O280:R280)</f>
        <v>-55</v>
      </c>
      <c r="T280" s="290">
        <f>+-T176</f>
        <v>-17</v>
      </c>
      <c r="U280" s="260">
        <f>+-U176</f>
        <v>-10</v>
      </c>
      <c r="V280" s="260">
        <f>+-V176</f>
        <v>-21</v>
      </c>
      <c r="W280" s="291">
        <f>+-W176</f>
        <v>-17</v>
      </c>
      <c r="X280" s="45">
        <f>SUM(T280:W280)</f>
        <v>-65</v>
      </c>
      <c r="Y280" s="290">
        <f t="shared" ref="Y280:AO280" si="807">+-Y176</f>
        <v>-25</v>
      </c>
      <c r="Z280" s="260">
        <f t="shared" si="807"/>
        <v>-13</v>
      </c>
      <c r="AA280" s="260">
        <f t="shared" si="807"/>
        <v>-56</v>
      </c>
      <c r="AB280" s="291">
        <f t="shared" si="807"/>
        <v>-17</v>
      </c>
      <c r="AC280" s="45">
        <f t="shared" si="807"/>
        <v>-111</v>
      </c>
      <c r="AD280" s="290">
        <f t="shared" si="807"/>
        <v>-21</v>
      </c>
      <c r="AE280" s="260">
        <f t="shared" si="807"/>
        <v>-5</v>
      </c>
      <c r="AF280" s="260">
        <f t="shared" si="807"/>
        <v>-14</v>
      </c>
      <c r="AG280" s="291">
        <f t="shared" si="807"/>
        <v>-34</v>
      </c>
      <c r="AH280" s="45">
        <f t="shared" si="807"/>
        <v>-74</v>
      </c>
      <c r="AI280" s="290">
        <f t="shared" ref="AI280" si="808">+-AI176</f>
        <v>4</v>
      </c>
      <c r="AJ280" s="260">
        <f t="shared" si="807"/>
        <v>-27</v>
      </c>
      <c r="AK280" s="260">
        <f t="shared" ref="AK280" si="809">+-AK176</f>
        <v>-46</v>
      </c>
      <c r="AL280" s="291">
        <f t="shared" si="807"/>
        <v>-40</v>
      </c>
      <c r="AM280" s="45">
        <f t="shared" si="807"/>
        <v>-109</v>
      </c>
      <c r="AN280" s="290">
        <f t="shared" si="807"/>
        <v>-13</v>
      </c>
      <c r="AO280" s="260">
        <f t="shared" si="807"/>
        <v>-20</v>
      </c>
      <c r="AP280" s="260">
        <f t="shared" ref="AP280:AR280" si="810">+-AP176</f>
        <v>-28</v>
      </c>
      <c r="AQ280" s="291">
        <f t="shared" si="810"/>
        <v>-28</v>
      </c>
      <c r="AR280" s="45">
        <f t="shared" si="810"/>
        <v>-89</v>
      </c>
      <c r="AS280" s="290">
        <f ca="1">+-AS176</f>
        <v>-7.2162643493800411</v>
      </c>
      <c r="AT280" s="260">
        <f ca="1">+-AT176</f>
        <v>-7.2162643493800411</v>
      </c>
      <c r="AU280" s="260">
        <f ca="1">+-AU176</f>
        <v>-7.2162643493800411</v>
      </c>
      <c r="AV280" s="291">
        <f ca="1">+-AV176</f>
        <v>-7.2162643493800402</v>
      </c>
      <c r="AW280" s="2032">
        <f ca="1">-AW176</f>
        <v>-28.865057397520165</v>
      </c>
      <c r="AX280" s="290">
        <f ca="1">+-AX176</f>
        <v>-7.4622272745594387</v>
      </c>
      <c r="AY280" s="260">
        <f ca="1">+-AY176</f>
        <v>-7.4622272745594387</v>
      </c>
      <c r="AZ280" s="260">
        <f ca="1">+-AZ176</f>
        <v>-7.4622272745594387</v>
      </c>
      <c r="BA280" s="291">
        <f ca="1">+-BA176</f>
        <v>-7.4622272745594387</v>
      </c>
      <c r="BB280" s="2032">
        <f ca="1">-BB176</f>
        <v>-29.848909098237755</v>
      </c>
      <c r="BC280" s="290">
        <f t="shared" ref="BC280:BG280" ca="1" si="811">+-BC176</f>
        <v>-8.3341366362334401</v>
      </c>
      <c r="BD280" s="260">
        <f t="shared" ca="1" si="811"/>
        <v>-8.3341366362334401</v>
      </c>
      <c r="BE280" s="260">
        <f t="shared" ca="1" si="811"/>
        <v>-8.3341366362334401</v>
      </c>
      <c r="BF280" s="291">
        <f t="shared" ca="1" si="811"/>
        <v>-8.3341366362334384</v>
      </c>
      <c r="BG280" s="2032">
        <f t="shared" ca="1" si="811"/>
        <v>-33.336546544933761</v>
      </c>
      <c r="BH280" s="290">
        <f t="shared" ref="BH280:BL280" ca="1" si="812">+-BH176</f>
        <v>-8.4620336871648796</v>
      </c>
      <c r="BI280" s="260">
        <f t="shared" ca="1" si="812"/>
        <v>-8.4620336871648796</v>
      </c>
      <c r="BJ280" s="260">
        <f t="shared" ca="1" si="812"/>
        <v>-8.4620336871648796</v>
      </c>
      <c r="BK280" s="291">
        <f t="shared" ca="1" si="812"/>
        <v>-8.4620336871648796</v>
      </c>
      <c r="BL280" s="45">
        <f t="shared" ca="1" si="812"/>
        <v>-33.848134748659525</v>
      </c>
      <c r="BM280" s="45"/>
      <c r="BN280" s="45"/>
      <c r="BO280" s="45"/>
      <c r="BP280" s="45"/>
      <c r="BQ280" s="45"/>
      <c r="BR280" s="45"/>
      <c r="BS280" s="45"/>
      <c r="BT280" s="45"/>
      <c r="BU280" s="45"/>
      <c r="BV280" s="45"/>
      <c r="BW280" s="45"/>
      <c r="BX280" s="45"/>
      <c r="BY280" s="45"/>
      <c r="BZ280" s="45"/>
      <c r="CA280" s="45"/>
      <c r="CB280" s="45"/>
      <c r="CC280" s="45"/>
      <c r="CD280" s="45"/>
      <c r="CE280" s="45"/>
      <c r="CF280" s="45"/>
      <c r="CG280" s="45"/>
      <c r="CH280" s="45"/>
      <c r="CI280" s="45"/>
      <c r="CJ280" s="45"/>
      <c r="CK280" s="45"/>
      <c r="CL280" s="45"/>
      <c r="CM280" s="45"/>
      <c r="CN280" s="45"/>
      <c r="CO280" s="45"/>
      <c r="CP280" s="45"/>
    </row>
    <row r="281" spans="1:94">
      <c r="A281" s="45"/>
      <c r="B281" s="45"/>
      <c r="C281" s="391" t="s">
        <v>1288</v>
      </c>
      <c r="D281" s="45"/>
      <c r="E281" s="814"/>
      <c r="F281" s="260"/>
      <c r="G281" s="260"/>
      <c r="H281" s="291"/>
      <c r="I281" s="45">
        <f>SUM(E281:H281)</f>
        <v>0</v>
      </c>
      <c r="J281" s="814">
        <v>0</v>
      </c>
      <c r="K281" s="260">
        <v>0</v>
      </c>
      <c r="L281" s="260">
        <v>0</v>
      </c>
      <c r="M281" s="291">
        <v>0</v>
      </c>
      <c r="N281" s="45">
        <f>SUM(J281:M281)</f>
        <v>0</v>
      </c>
      <c r="O281" s="814">
        <v>0</v>
      </c>
      <c r="P281" s="260">
        <v>0</v>
      </c>
      <c r="Q281" s="260">
        <v>0</v>
      </c>
      <c r="R281" s="291">
        <v>0</v>
      </c>
      <c r="S281" s="45">
        <f>SUM(O281:R281)</f>
        <v>0</v>
      </c>
      <c r="T281" s="814">
        <v>0</v>
      </c>
      <c r="U281" s="260">
        <v>0</v>
      </c>
      <c r="V281" s="260">
        <v>0</v>
      </c>
      <c r="W281" s="291">
        <v>0</v>
      </c>
      <c r="X281" s="45">
        <f>SUM(T281:W281)</f>
        <v>0</v>
      </c>
      <c r="Y281" s="814">
        <v>0</v>
      </c>
      <c r="Z281" s="260">
        <v>0</v>
      </c>
      <c r="AA281" s="260">
        <v>0</v>
      </c>
      <c r="AB281" s="291">
        <v>0</v>
      </c>
      <c r="AC281" s="45">
        <f>SUM(Y281:AB281)</f>
        <v>0</v>
      </c>
      <c r="AD281" s="814">
        <v>70</v>
      </c>
      <c r="AE281" s="260">
        <v>0</v>
      </c>
      <c r="AF281" s="260">
        <v>0</v>
      </c>
      <c r="AG281" s="291">
        <v>0</v>
      </c>
      <c r="AH281" s="45">
        <f>SUM(AD281:AG281)</f>
        <v>70</v>
      </c>
      <c r="AI281" s="814">
        <v>-80</v>
      </c>
      <c r="AJ281" s="260">
        <v>0</v>
      </c>
      <c r="AK281" s="260">
        <v>0</v>
      </c>
      <c r="AL281" s="291">
        <v>0</v>
      </c>
      <c r="AM281" s="45">
        <f>SUM(AI281:AL281)</f>
        <v>-80</v>
      </c>
      <c r="AN281" s="814">
        <v>-125</v>
      </c>
      <c r="AO281" s="260">
        <v>0</v>
      </c>
      <c r="AP281" s="260">
        <v>0</v>
      </c>
      <c r="AQ281" s="291">
        <v>0</v>
      </c>
      <c r="AR281" s="45">
        <f>SUM(AN281:AQ281)</f>
        <v>-125</v>
      </c>
      <c r="AS281" s="814">
        <v>250</v>
      </c>
      <c r="AT281" s="2038">
        <v>0</v>
      </c>
      <c r="AU281" s="2038">
        <v>0</v>
      </c>
      <c r="AV281" s="2039">
        <v>0</v>
      </c>
      <c r="AW281" s="45">
        <f>SUM(AS281:AV281)</f>
        <v>250</v>
      </c>
      <c r="AX281" s="2037">
        <v>100</v>
      </c>
      <c r="AY281" s="2038">
        <v>0</v>
      </c>
      <c r="AZ281" s="2038">
        <v>0</v>
      </c>
      <c r="BA281" s="2039">
        <v>0</v>
      </c>
      <c r="BB281" s="45">
        <f>SUM(AX281:BA281)</f>
        <v>100</v>
      </c>
      <c r="BC281" s="814">
        <v>0</v>
      </c>
      <c r="BD281" s="260">
        <v>0</v>
      </c>
      <c r="BE281" s="260">
        <v>0</v>
      </c>
      <c r="BF281" s="291">
        <v>0</v>
      </c>
      <c r="BG281" s="45">
        <f>SUM(BC281:BF281)</f>
        <v>0</v>
      </c>
      <c r="BH281" s="300">
        <v>0</v>
      </c>
      <c r="BI281" s="264">
        <v>0</v>
      </c>
      <c r="BJ281" s="264">
        <v>0</v>
      </c>
      <c r="BK281" s="299">
        <v>0</v>
      </c>
      <c r="BL281" s="45">
        <f>SUM(BH281:BK281)</f>
        <v>0</v>
      </c>
      <c r="BM281" s="45"/>
      <c r="BN281" s="45"/>
      <c r="BO281" s="45"/>
      <c r="BP281" s="45"/>
      <c r="BQ281" s="45"/>
      <c r="BR281" s="45"/>
      <c r="BS281" s="45"/>
      <c r="BT281" s="45"/>
      <c r="BU281" s="45"/>
      <c r="BV281" s="45"/>
      <c r="BW281" s="45"/>
      <c r="BX281" s="45"/>
      <c r="BY281" s="45"/>
      <c r="BZ281" s="45"/>
      <c r="CA281" s="45"/>
      <c r="CB281" s="45"/>
      <c r="CC281" s="45"/>
      <c r="CD281" s="45"/>
      <c r="CE281" s="45"/>
      <c r="CF281" s="45"/>
      <c r="CG281" s="45"/>
      <c r="CH281" s="45"/>
      <c r="CI281" s="45"/>
      <c r="CJ281" s="45"/>
      <c r="CK281" s="45"/>
      <c r="CL281" s="45"/>
      <c r="CM281" s="45"/>
      <c r="CN281" s="45"/>
      <c r="CO281" s="45"/>
      <c r="CP281" s="45"/>
    </row>
    <row r="282" spans="1:94">
      <c r="A282" s="45"/>
      <c r="B282" s="45"/>
      <c r="C282" s="389" t="s">
        <v>405</v>
      </c>
      <c r="D282" s="45"/>
      <c r="E282" s="292"/>
      <c r="F282" s="261"/>
      <c r="G282" s="261"/>
      <c r="H282" s="293"/>
      <c r="I282" s="228">
        <f>N277</f>
        <v>1658</v>
      </c>
      <c r="J282" s="292">
        <f>SUM(J277:J281)</f>
        <v>1659</v>
      </c>
      <c r="K282" s="261">
        <f>SUM(K277:K281)</f>
        <v>1673</v>
      </c>
      <c r="L282" s="261">
        <f>SUM(L277:L281)</f>
        <v>1657</v>
      </c>
      <c r="M282" s="293">
        <f>SUM(M277:M281)</f>
        <v>1741</v>
      </c>
      <c r="N282" s="228">
        <f>S277</f>
        <v>1741</v>
      </c>
      <c r="O282" s="292">
        <f>SUM(O277:O281)</f>
        <v>1745</v>
      </c>
      <c r="P282" s="261">
        <f>SUM(P277:P281)</f>
        <v>1804</v>
      </c>
      <c r="Q282" s="261">
        <f>SUM(Q277:Q281)</f>
        <v>1838</v>
      </c>
      <c r="R282" s="293">
        <f>SUM(R277:R281)</f>
        <v>1904</v>
      </c>
      <c r="S282" s="228">
        <f>X277</f>
        <v>1904</v>
      </c>
      <c r="T282" s="292">
        <f>SUM(T277:T281)</f>
        <v>1945</v>
      </c>
      <c r="U282" s="261">
        <f>SUM(U277:U281)</f>
        <v>1989</v>
      </c>
      <c r="V282" s="261">
        <f>SUM(V277:V281)</f>
        <v>2026</v>
      </c>
      <c r="W282" s="293">
        <f>SUM(W277:W281)</f>
        <v>2089</v>
      </c>
      <c r="X282" s="669">
        <f>1271+256+562</f>
        <v>2089</v>
      </c>
      <c r="Y282" s="292">
        <f t="shared" ref="Y282:AW282" si="813">SUM(Y277:Y281)</f>
        <v>2121</v>
      </c>
      <c r="Z282" s="261">
        <f t="shared" si="813"/>
        <v>2163</v>
      </c>
      <c r="AA282" s="261">
        <f t="shared" si="813"/>
        <v>2153</v>
      </c>
      <c r="AB282" s="293">
        <f t="shared" si="813"/>
        <v>2205</v>
      </c>
      <c r="AC282" s="228">
        <f t="shared" si="813"/>
        <v>2205</v>
      </c>
      <c r="AD282" s="292">
        <f t="shared" si="813"/>
        <v>2283</v>
      </c>
      <c r="AE282" s="261">
        <f t="shared" si="813"/>
        <v>2328</v>
      </c>
      <c r="AF282" s="261">
        <f t="shared" si="813"/>
        <v>2364</v>
      </c>
      <c r="AG282" s="293">
        <f t="shared" si="813"/>
        <v>2400</v>
      </c>
      <c r="AH282" s="228">
        <f t="shared" si="813"/>
        <v>2400</v>
      </c>
      <c r="AI282" s="292">
        <f t="shared" ref="AI282" si="814">SUM(AI277:AI281)</f>
        <v>2366</v>
      </c>
      <c r="AJ282" s="261">
        <f t="shared" si="813"/>
        <v>2402</v>
      </c>
      <c r="AK282" s="261">
        <f t="shared" ref="AK282" si="815">SUM(AK277:AK281)</f>
        <v>2390</v>
      </c>
      <c r="AL282" s="293">
        <f t="shared" si="813"/>
        <v>2403</v>
      </c>
      <c r="AM282" s="228">
        <f t="shared" si="813"/>
        <v>2403</v>
      </c>
      <c r="AN282" s="292">
        <f t="shared" si="813"/>
        <v>2308</v>
      </c>
      <c r="AO282" s="261">
        <f t="shared" si="813"/>
        <v>2358</v>
      </c>
      <c r="AP282" s="261">
        <f t="shared" ref="AP282:AR282" si="816">SUM(AP277:AP281)</f>
        <v>2387</v>
      </c>
      <c r="AQ282" s="293">
        <f t="shared" si="816"/>
        <v>2450</v>
      </c>
      <c r="AR282" s="228">
        <f t="shared" si="816"/>
        <v>2450</v>
      </c>
      <c r="AS282" s="292">
        <f t="shared" ca="1" si="813"/>
        <v>2749.1434889969878</v>
      </c>
      <c r="AT282" s="261">
        <f t="shared" ca="1" si="813"/>
        <v>2797.3845410449953</v>
      </c>
      <c r="AU282" s="261">
        <f t="shared" ca="1" si="813"/>
        <v>2844.9082928658745</v>
      </c>
      <c r="AV282" s="293">
        <f t="shared" ca="1" si="813"/>
        <v>2891.7240222186169</v>
      </c>
      <c r="AW282" s="228">
        <f t="shared" ca="1" si="813"/>
        <v>2891.7240222186178</v>
      </c>
      <c r="AX282" s="292">
        <f t="shared" ref="AX282:BG282" ca="1" si="817">SUM(AX277:AX281)</f>
        <v>3018.8449239359416</v>
      </c>
      <c r="AY282" s="261">
        <f t="shared" ca="1" si="817"/>
        <v>3045.0538812628033</v>
      </c>
      <c r="AZ282" s="261">
        <f t="shared" ca="1" si="817"/>
        <v>3070.8273262004755</v>
      </c>
      <c r="BA282" s="293">
        <f t="shared" ca="1" si="817"/>
        <v>3096.1708917863275</v>
      </c>
      <c r="BB282" s="228">
        <f t="shared" ca="1" si="817"/>
        <v>3096.170891786328</v>
      </c>
      <c r="BC282" s="292">
        <f t="shared" ca="1" si="817"/>
        <v>3120.2182288367967</v>
      </c>
      <c r="BD282" s="261">
        <f t="shared" ca="1" si="817"/>
        <v>3143.8467349747889</v>
      </c>
      <c r="BE282" s="261">
        <f t="shared" ca="1" si="817"/>
        <v>3167.0618274748531</v>
      </c>
      <c r="BF282" s="293">
        <f t="shared" ca="1" si="817"/>
        <v>3189.8688535430142</v>
      </c>
      <c r="BG282" s="228">
        <f t="shared" ca="1" si="817"/>
        <v>3189.8688535430133</v>
      </c>
      <c r="BH282" s="292">
        <f t="shared" ref="BH282:BL282" ca="1" si="818">SUM(BH277:BH281)</f>
        <v>3212.145194172128</v>
      </c>
      <c r="BI282" s="261">
        <f t="shared" ca="1" si="818"/>
        <v>3234.0239561892408</v>
      </c>
      <c r="BJ282" s="261">
        <f t="shared" ca="1" si="818"/>
        <v>3255.5102819857839</v>
      </c>
      <c r="BK282" s="293">
        <f t="shared" ca="1" si="818"/>
        <v>3276.6092474400803</v>
      </c>
      <c r="BL282" s="228">
        <f t="shared" ca="1" si="818"/>
        <v>3276.6092474400798</v>
      </c>
      <c r="BM282" s="45"/>
      <c r="BN282" s="45"/>
      <c r="BO282" s="45"/>
      <c r="BP282" s="45"/>
      <c r="BQ282" s="45"/>
      <c r="BR282" s="45"/>
      <c r="BS282" s="45"/>
      <c r="BT282" s="45"/>
      <c r="BU282" s="45"/>
      <c r="BV282" s="45"/>
      <c r="BW282" s="45"/>
      <c r="BX282" s="45"/>
      <c r="BY282" s="45"/>
      <c r="BZ282" s="45"/>
      <c r="CA282" s="45"/>
      <c r="CB282" s="45"/>
      <c r="CC282" s="45"/>
      <c r="CD282" s="45"/>
      <c r="CE282" s="45"/>
      <c r="CF282" s="45"/>
      <c r="CG282" s="45"/>
      <c r="CH282" s="45"/>
      <c r="CI282" s="45"/>
      <c r="CJ282" s="45"/>
      <c r="CK282" s="45"/>
      <c r="CL282" s="45"/>
      <c r="CM282" s="45"/>
      <c r="CN282" s="45"/>
      <c r="CO282" s="45"/>
      <c r="CP282" s="45"/>
    </row>
    <row r="283" spans="1:94">
      <c r="A283" s="45"/>
      <c r="B283" s="45"/>
      <c r="C283" s="45"/>
      <c r="D283" s="45"/>
      <c r="E283" s="290"/>
      <c r="F283" s="260"/>
      <c r="G283" s="260"/>
      <c r="H283" s="291"/>
      <c r="I283" s="45"/>
      <c r="J283" s="290"/>
      <c r="K283" s="260"/>
      <c r="L283" s="260"/>
      <c r="M283" s="291"/>
      <c r="N283" s="45"/>
      <c r="O283" s="290"/>
      <c r="P283" s="260"/>
      <c r="Q283" s="260"/>
      <c r="R283" s="291"/>
      <c r="S283" s="45"/>
      <c r="T283" s="290"/>
      <c r="U283" s="260"/>
      <c r="V283" s="260"/>
      <c r="W283" s="291"/>
      <c r="X283" s="45"/>
      <c r="Y283" s="290"/>
      <c r="Z283" s="260"/>
      <c r="AA283" s="260"/>
      <c r="AB283" s="291"/>
      <c r="AC283" s="45"/>
      <c r="AD283" s="290"/>
      <c r="AE283" s="260"/>
      <c r="AF283" s="260"/>
      <c r="AG283" s="291"/>
      <c r="AH283" s="45"/>
      <c r="AI283" s="290"/>
      <c r="AJ283" s="260"/>
      <c r="AK283" s="260"/>
      <c r="AL283" s="291"/>
      <c r="AM283" s="45"/>
      <c r="AN283" s="290"/>
      <c r="AO283" s="260"/>
      <c r="AP283" s="260"/>
      <c r="AQ283" s="291"/>
      <c r="AR283" s="45"/>
      <c r="AS283" s="290"/>
      <c r="AT283" s="260"/>
      <c r="AU283" s="260"/>
      <c r="AV283" s="291"/>
      <c r="AW283" s="45"/>
      <c r="AX283" s="290"/>
      <c r="AY283" s="260"/>
      <c r="AZ283" s="260"/>
      <c r="BA283" s="291"/>
      <c r="BB283" s="45"/>
      <c r="BC283" s="290"/>
      <c r="BD283" s="260"/>
      <c r="BE283" s="260"/>
      <c r="BF283" s="291"/>
      <c r="BG283" s="45"/>
      <c r="BH283" s="300"/>
      <c r="BI283" s="264"/>
      <c r="BJ283" s="264"/>
      <c r="BK283" s="299"/>
      <c r="BL283" s="45"/>
      <c r="BM283" s="45"/>
      <c r="BN283" s="45"/>
      <c r="BO283" s="45"/>
      <c r="BP283" s="45"/>
      <c r="BQ283" s="45"/>
      <c r="BR283" s="45"/>
      <c r="BS283" s="45"/>
      <c r="BT283" s="45"/>
      <c r="BU283" s="45"/>
      <c r="BV283" s="45"/>
      <c r="BW283" s="45"/>
      <c r="BX283" s="45"/>
      <c r="BY283" s="45"/>
      <c r="BZ283" s="45"/>
      <c r="CA283" s="45"/>
      <c r="CB283" s="45"/>
      <c r="CC283" s="45"/>
      <c r="CD283" s="45"/>
      <c r="CE283" s="45"/>
      <c r="CF283" s="45"/>
      <c r="CG283" s="45"/>
      <c r="CH283" s="45"/>
      <c r="CI283" s="45"/>
      <c r="CJ283" s="45"/>
      <c r="CK283" s="45"/>
      <c r="CL283" s="45"/>
      <c r="CM283" s="45"/>
      <c r="CN283" s="45"/>
      <c r="CO283" s="45"/>
      <c r="CP283" s="45"/>
    </row>
    <row r="284" spans="1:94">
      <c r="A284" s="45"/>
      <c r="B284" s="45"/>
      <c r="C284" s="389" t="s">
        <v>157</v>
      </c>
      <c r="D284" s="45"/>
      <c r="E284" s="290"/>
      <c r="F284" s="260"/>
      <c r="G284" s="260"/>
      <c r="H284" s="291"/>
      <c r="I284" s="228"/>
      <c r="J284" s="292"/>
      <c r="K284" s="261"/>
      <c r="L284" s="261"/>
      <c r="M284" s="293"/>
      <c r="N284" s="228">
        <f>AVERAGE(N282,N277)</f>
        <v>1699.5</v>
      </c>
      <c r="O284" s="292"/>
      <c r="P284" s="261"/>
      <c r="Q284" s="261"/>
      <c r="R284" s="293"/>
      <c r="S284" s="228">
        <f>AVERAGE(S282,S277)</f>
        <v>1822.5</v>
      </c>
      <c r="T284" s="292"/>
      <c r="U284" s="261"/>
      <c r="V284" s="261"/>
      <c r="W284" s="293"/>
      <c r="X284" s="228">
        <f>AVERAGE(X282,X277)</f>
        <v>1996.5</v>
      </c>
      <c r="Y284" s="292"/>
      <c r="Z284" s="261"/>
      <c r="AA284" s="261"/>
      <c r="AB284" s="293"/>
      <c r="AC284" s="228">
        <f>AVERAGE(AC282,AC277)</f>
        <v>2147</v>
      </c>
      <c r="AD284" s="292"/>
      <c r="AE284" s="261"/>
      <c r="AF284" s="261"/>
      <c r="AG284" s="293"/>
      <c r="AH284" s="228">
        <f>AVERAGE(AH282,AH277)</f>
        <v>2302.5</v>
      </c>
      <c r="AI284" s="292"/>
      <c r="AJ284" s="261"/>
      <c r="AK284" s="261"/>
      <c r="AL284" s="293"/>
      <c r="AM284" s="228">
        <f>AVERAGE(AM282,AM277)</f>
        <v>2401.5</v>
      </c>
      <c r="AN284" s="292"/>
      <c r="AO284" s="261"/>
      <c r="AP284" s="261"/>
      <c r="AQ284" s="293"/>
      <c r="AR284" s="228">
        <f>AVERAGE(AR282,AR277)</f>
        <v>2426.5</v>
      </c>
      <c r="AS284" s="292"/>
      <c r="AT284" s="261"/>
      <c r="AU284" s="261"/>
      <c r="AV284" s="293"/>
      <c r="AW284" s="228">
        <f ca="1">AVERAGE(AW282,AW277)</f>
        <v>2670.8620111093087</v>
      </c>
      <c r="AX284" s="292"/>
      <c r="AY284" s="261"/>
      <c r="AZ284" s="261"/>
      <c r="BA284" s="293"/>
      <c r="BB284" s="228">
        <f ca="1">AVERAGE(BB282,BB277)</f>
        <v>2993.9474570024731</v>
      </c>
      <c r="BC284" s="292"/>
      <c r="BD284" s="261"/>
      <c r="BE284" s="261"/>
      <c r="BF284" s="293"/>
      <c r="BG284" s="228">
        <f ca="1">AVERAGE(BG282,BG277)</f>
        <v>3143.0198726646704</v>
      </c>
      <c r="BH284" s="292"/>
      <c r="BI284" s="261"/>
      <c r="BJ284" s="261"/>
      <c r="BK284" s="293"/>
      <c r="BL284" s="228">
        <f ca="1">AVERAGE(BL282,BL277)</f>
        <v>3233.2390504915465</v>
      </c>
      <c r="BM284" s="45"/>
      <c r="BN284" s="45"/>
      <c r="BO284" s="45"/>
      <c r="BP284" s="45"/>
      <c r="BQ284" s="45"/>
      <c r="BR284" s="45"/>
      <c r="BS284" s="45"/>
      <c r="BT284" s="45"/>
      <c r="BU284" s="45"/>
      <c r="BV284" s="45"/>
      <c r="BW284" s="45"/>
      <c r="BX284" s="45"/>
      <c r="BY284" s="45"/>
      <c r="BZ284" s="45"/>
      <c r="CA284" s="45"/>
      <c r="CB284" s="45"/>
      <c r="CC284" s="45"/>
      <c r="CD284" s="45"/>
      <c r="CE284" s="45"/>
      <c r="CF284" s="45"/>
      <c r="CG284" s="45"/>
      <c r="CH284" s="45"/>
      <c r="CI284" s="45"/>
      <c r="CJ284" s="45"/>
      <c r="CK284" s="45"/>
      <c r="CL284" s="45"/>
      <c r="CM284" s="45"/>
      <c r="CN284" s="45"/>
      <c r="CO284" s="45"/>
      <c r="CP284" s="45"/>
    </row>
    <row r="285" spans="1:94">
      <c r="A285" s="45"/>
      <c r="B285" s="45"/>
      <c r="C285" s="1373" t="s">
        <v>996</v>
      </c>
      <c r="D285" s="45"/>
      <c r="E285" s="290"/>
      <c r="F285" s="260"/>
      <c r="G285" s="260"/>
      <c r="H285" s="291"/>
      <c r="I285" s="228"/>
      <c r="J285" s="292"/>
      <c r="K285" s="261"/>
      <c r="L285" s="261"/>
      <c r="M285" s="293"/>
      <c r="N285" s="1378"/>
      <c r="O285" s="292"/>
      <c r="P285" s="261"/>
      <c r="Q285" s="261"/>
      <c r="R285" s="293"/>
      <c r="S285" s="1378">
        <f>+S284/N284-1</f>
        <v>7.2374227714033568E-2</v>
      </c>
      <c r="T285" s="292"/>
      <c r="U285" s="261"/>
      <c r="V285" s="261"/>
      <c r="W285" s="293"/>
      <c r="X285" s="1378">
        <f>+X284/S284-1</f>
        <v>9.5473251028806549E-2</v>
      </c>
      <c r="Y285" s="292"/>
      <c r="Z285" s="261"/>
      <c r="AA285" s="261"/>
      <c r="AB285" s="293"/>
      <c r="AC285" s="1378">
        <f>+AC284/X284-1</f>
        <v>7.5381918357124933E-2</v>
      </c>
      <c r="AD285" s="292"/>
      <c r="AE285" s="261"/>
      <c r="AF285" s="261"/>
      <c r="AG285" s="293"/>
      <c r="AH285" s="1378">
        <f>+AH284/AC284-1</f>
        <v>7.2426641825803495E-2</v>
      </c>
      <c r="AI285" s="292"/>
      <c r="AJ285" s="261"/>
      <c r="AK285" s="261"/>
      <c r="AL285" s="293"/>
      <c r="AM285" s="1378">
        <f>+AM284/AH284-1</f>
        <v>4.2996742671009835E-2</v>
      </c>
      <c r="AN285" s="292"/>
      <c r="AO285" s="261"/>
      <c r="AP285" s="261"/>
      <c r="AQ285" s="293"/>
      <c r="AR285" s="1378">
        <f>+AR284/AM284-1</f>
        <v>1.0410160316468797E-2</v>
      </c>
      <c r="AS285" s="292"/>
      <c r="AT285" s="261"/>
      <c r="AU285" s="261"/>
      <c r="AV285" s="293"/>
      <c r="AW285" s="1378">
        <f ca="1">+AW284/AR284-1</f>
        <v>0.10070554754144179</v>
      </c>
      <c r="AX285" s="292"/>
      <c r="AY285" s="261"/>
      <c r="AZ285" s="261"/>
      <c r="BA285" s="293"/>
      <c r="BB285" s="1378">
        <f ca="1">+BB284/AW284-1</f>
        <v>0.12096673079676434</v>
      </c>
      <c r="BC285" s="292"/>
      <c r="BD285" s="261"/>
      <c r="BE285" s="261"/>
      <c r="BF285" s="293"/>
      <c r="BG285" s="1378">
        <f ca="1">+BG284/BB284-1</f>
        <v>4.979125980101462E-2</v>
      </c>
      <c r="BH285" s="292"/>
      <c r="BI285" s="261"/>
      <c r="BJ285" s="261"/>
      <c r="BK285" s="293"/>
      <c r="BL285" s="1378">
        <f ca="1">+BL284/BG284-1</f>
        <v>2.8704615777815023E-2</v>
      </c>
      <c r="BM285" s="45"/>
      <c r="BN285" s="45"/>
      <c r="BO285" s="45"/>
      <c r="BP285" s="45"/>
      <c r="BQ285" s="45"/>
      <c r="BR285" s="45"/>
      <c r="BS285" s="45"/>
      <c r="BT285" s="45"/>
      <c r="BU285" s="45"/>
      <c r="BV285" s="45"/>
      <c r="BW285" s="45"/>
      <c r="BX285" s="45"/>
      <c r="BY285" s="45"/>
      <c r="BZ285" s="45"/>
      <c r="CA285" s="45"/>
      <c r="CB285" s="45"/>
      <c r="CC285" s="45"/>
      <c r="CD285" s="45"/>
      <c r="CE285" s="45"/>
      <c r="CF285" s="45"/>
      <c r="CG285" s="45"/>
      <c r="CH285" s="45"/>
      <c r="CI285" s="45"/>
      <c r="CJ285" s="45"/>
      <c r="CK285" s="45"/>
      <c r="CL285" s="45"/>
      <c r="CM285" s="45"/>
      <c r="CN285" s="45"/>
      <c r="CO285" s="45"/>
      <c r="CP285" s="45"/>
    </row>
    <row r="286" spans="1:94">
      <c r="A286" s="45"/>
      <c r="B286" s="45"/>
      <c r="C286" s="45"/>
      <c r="D286" s="45"/>
      <c r="E286" s="290"/>
      <c r="F286" s="260"/>
      <c r="G286" s="260"/>
      <c r="H286" s="291"/>
      <c r="I286" s="45"/>
      <c r="J286" s="290"/>
      <c r="K286" s="260"/>
      <c r="L286" s="260"/>
      <c r="M286" s="291"/>
      <c r="N286" s="45"/>
      <c r="O286" s="290"/>
      <c r="P286" s="260"/>
      <c r="Q286" s="260"/>
      <c r="R286" s="291"/>
      <c r="S286" s="45"/>
      <c r="T286" s="290"/>
      <c r="U286" s="260"/>
      <c r="V286" s="260"/>
      <c r="W286" s="291"/>
      <c r="X286" s="45"/>
      <c r="Y286" s="290"/>
      <c r="Z286" s="260"/>
      <c r="AA286" s="260"/>
      <c r="AB286" s="291"/>
      <c r="AC286" s="45"/>
      <c r="AD286" s="290"/>
      <c r="AE286" s="260"/>
      <c r="AF286" s="260"/>
      <c r="AG286" s="291"/>
      <c r="AH286" s="45"/>
      <c r="AI286" s="290"/>
      <c r="AJ286" s="260"/>
      <c r="AK286" s="260"/>
      <c r="AL286" s="291"/>
      <c r="AM286" s="45"/>
      <c r="AN286" s="290"/>
      <c r="AO286" s="260"/>
      <c r="AP286" s="260"/>
      <c r="AQ286" s="291"/>
      <c r="AR286" s="45"/>
      <c r="AS286" s="290"/>
      <c r="AT286" s="260"/>
      <c r="AU286" s="260"/>
      <c r="AV286" s="291"/>
      <c r="AW286" s="45"/>
      <c r="AX286" s="290"/>
      <c r="AY286" s="260"/>
      <c r="AZ286" s="260"/>
      <c r="BA286" s="291"/>
      <c r="BB286" s="45"/>
      <c r="BC286" s="290"/>
      <c r="BD286" s="260"/>
      <c r="BE286" s="260"/>
      <c r="BF286" s="291"/>
      <c r="BG286" s="45"/>
      <c r="BH286" s="300"/>
      <c r="BI286" s="264"/>
      <c r="BJ286" s="264"/>
      <c r="BK286" s="299"/>
      <c r="BL286" s="45"/>
      <c r="BM286" s="45"/>
      <c r="BN286" s="45"/>
      <c r="BO286" s="45"/>
      <c r="BP286" s="45"/>
      <c r="BQ286" s="45"/>
      <c r="BR286" s="45"/>
      <c r="BS286" s="45"/>
      <c r="BT286" s="45"/>
      <c r="BU286" s="45"/>
      <c r="BV286" s="45"/>
      <c r="BW286" s="45"/>
      <c r="BX286" s="45"/>
      <c r="BY286" s="45"/>
      <c r="BZ286" s="45"/>
      <c r="CA286" s="45"/>
      <c r="CB286" s="45"/>
      <c r="CC286" s="45"/>
      <c r="CD286" s="45"/>
      <c r="CE286" s="45"/>
      <c r="CF286" s="45"/>
      <c r="CG286" s="45"/>
      <c r="CH286" s="45"/>
      <c r="CI286" s="45"/>
      <c r="CJ286" s="45"/>
      <c r="CK286" s="45"/>
      <c r="CL286" s="45"/>
      <c r="CM286" s="45"/>
      <c r="CN286" s="45"/>
      <c r="CO286" s="45"/>
      <c r="CP286" s="45"/>
    </row>
    <row r="287" spans="1:94">
      <c r="A287" s="45"/>
      <c r="B287" s="45"/>
      <c r="C287" s="1960" t="s">
        <v>1334</v>
      </c>
      <c r="D287" s="45"/>
      <c r="E287" s="290"/>
      <c r="F287" s="260"/>
      <c r="G287" s="260"/>
      <c r="H287" s="291"/>
      <c r="I287" s="45"/>
      <c r="J287" s="290"/>
      <c r="K287" s="260"/>
      <c r="L287" s="260"/>
      <c r="M287" s="291"/>
      <c r="N287" s="45"/>
      <c r="O287" s="290"/>
      <c r="P287" s="260"/>
      <c r="Q287" s="260"/>
      <c r="R287" s="291"/>
      <c r="S287" s="45"/>
      <c r="T287" s="290"/>
      <c r="U287" s="260"/>
      <c r="V287" s="260"/>
      <c r="W287" s="291"/>
      <c r="X287" s="45"/>
      <c r="Y287" s="290"/>
      <c r="Z287" s="260"/>
      <c r="AA287" s="260"/>
      <c r="AB287" s="291"/>
      <c r="AC287" s="45"/>
      <c r="AD287" s="290"/>
      <c r="AE287" s="260"/>
      <c r="AF287" s="260"/>
      <c r="AG287" s="291"/>
      <c r="AH287" s="2130">
        <v>2400</v>
      </c>
      <c r="AI287" s="290"/>
      <c r="AJ287" s="260"/>
      <c r="AK287" s="260"/>
      <c r="AL287" s="291"/>
      <c r="AM287" s="2130">
        <v>2400</v>
      </c>
      <c r="AN287" s="290"/>
      <c r="AO287" s="260"/>
      <c r="AP287" s="260"/>
      <c r="AQ287" s="291"/>
      <c r="AR287" s="2130">
        <v>2700</v>
      </c>
      <c r="AS287" s="290"/>
      <c r="AT287" s="260"/>
      <c r="AU287" s="260"/>
      <c r="AV287" s="291"/>
      <c r="AW287" s="2130">
        <v>2900</v>
      </c>
      <c r="AX287" s="290"/>
      <c r="AY287" s="260"/>
      <c r="AZ287" s="260"/>
      <c r="BA287" s="291"/>
      <c r="BB287" s="2130">
        <v>3100</v>
      </c>
      <c r="BC287" s="290"/>
      <c r="BD287" s="260"/>
      <c r="BE287" s="260"/>
      <c r="BF287" s="291"/>
      <c r="BG287" s="2130">
        <v>3200</v>
      </c>
      <c r="BH287" s="300"/>
      <c r="BI287" s="264"/>
      <c r="BJ287" s="264"/>
      <c r="BK287" s="299"/>
      <c r="BL287" s="2130">
        <v>3300</v>
      </c>
      <c r="BM287" s="45"/>
      <c r="BN287" s="45"/>
      <c r="BO287" s="45"/>
      <c r="BP287" s="45"/>
      <c r="BQ287" s="45"/>
      <c r="BR287" s="45"/>
      <c r="BS287" s="45"/>
      <c r="BT287" s="45"/>
      <c r="BU287" s="45"/>
      <c r="BV287" s="45"/>
      <c r="BW287" s="45"/>
      <c r="BX287" s="45"/>
      <c r="BY287" s="45"/>
      <c r="BZ287" s="45"/>
      <c r="CA287" s="45"/>
      <c r="CB287" s="45"/>
      <c r="CC287" s="45"/>
      <c r="CD287" s="45"/>
      <c r="CE287" s="45"/>
      <c r="CF287" s="45"/>
      <c r="CG287" s="45"/>
      <c r="CH287" s="45"/>
      <c r="CI287" s="45"/>
      <c r="CJ287" s="45"/>
      <c r="CK287" s="45"/>
      <c r="CL287" s="45"/>
      <c r="CM287" s="45"/>
      <c r="CN287" s="45"/>
      <c r="CO287" s="45"/>
      <c r="CP287" s="45"/>
    </row>
    <row r="288" spans="1:94">
      <c r="A288" s="45"/>
      <c r="B288" s="45"/>
      <c r="C288" s="45"/>
      <c r="D288" s="45"/>
      <c r="E288" s="290"/>
      <c r="F288" s="260"/>
      <c r="G288" s="260"/>
      <c r="H288" s="291"/>
      <c r="I288" s="45"/>
      <c r="J288" s="290"/>
      <c r="K288" s="260"/>
      <c r="L288" s="260"/>
      <c r="M288" s="291"/>
      <c r="N288" s="45"/>
      <c r="O288" s="290"/>
      <c r="P288" s="260"/>
      <c r="Q288" s="260"/>
      <c r="R288" s="291"/>
      <c r="S288" s="45"/>
      <c r="T288" s="290"/>
      <c r="U288" s="260"/>
      <c r="V288" s="260"/>
      <c r="W288" s="291"/>
      <c r="X288" s="45"/>
      <c r="Y288" s="290"/>
      <c r="Z288" s="260"/>
      <c r="AA288" s="260"/>
      <c r="AB288" s="291"/>
      <c r="AC288" s="45"/>
      <c r="AD288" s="290"/>
      <c r="AE288" s="260"/>
      <c r="AF288" s="260"/>
      <c r="AG288" s="291"/>
      <c r="AH288" s="45"/>
      <c r="AI288" s="290"/>
      <c r="AJ288" s="260"/>
      <c r="AK288" s="260"/>
      <c r="AL288" s="291"/>
      <c r="AM288" s="45"/>
      <c r="AN288" s="290"/>
      <c r="AO288" s="260"/>
      <c r="AP288" s="260"/>
      <c r="AQ288" s="291"/>
      <c r="AR288" s="45"/>
      <c r="AS288" s="290"/>
      <c r="AT288" s="260"/>
      <c r="AU288" s="260"/>
      <c r="AV288" s="291"/>
      <c r="AW288" s="45"/>
      <c r="AX288" s="290"/>
      <c r="AY288" s="260"/>
      <c r="AZ288" s="260"/>
      <c r="BA288" s="291"/>
      <c r="BB288" s="45"/>
      <c r="BC288" s="290"/>
      <c r="BD288" s="260"/>
      <c r="BE288" s="260"/>
      <c r="BF288" s="291"/>
      <c r="BG288" s="45"/>
      <c r="BH288" s="300"/>
      <c r="BI288" s="264"/>
      <c r="BJ288" s="264"/>
      <c r="BK288" s="299"/>
      <c r="BL288" s="45"/>
      <c r="BM288" s="45"/>
      <c r="BN288" s="45"/>
      <c r="BO288" s="45"/>
      <c r="BP288" s="45"/>
      <c r="BQ288" s="45"/>
      <c r="BR288" s="45"/>
      <c r="BS288" s="45"/>
      <c r="BT288" s="45"/>
      <c r="BU288" s="45"/>
      <c r="BV288" s="45"/>
      <c r="BW288" s="45"/>
      <c r="BX288" s="45"/>
      <c r="BY288" s="45"/>
      <c r="BZ288" s="45"/>
      <c r="CA288" s="45"/>
      <c r="CB288" s="45"/>
      <c r="CC288" s="45"/>
      <c r="CD288" s="45"/>
      <c r="CE288" s="45"/>
      <c r="CF288" s="45"/>
      <c r="CG288" s="45"/>
      <c r="CH288" s="45"/>
      <c r="CI288" s="45"/>
      <c r="CJ288" s="45"/>
      <c r="CK288" s="45"/>
      <c r="CL288" s="45"/>
      <c r="CM288" s="45"/>
      <c r="CN288" s="45"/>
      <c r="CO288" s="45"/>
      <c r="CP288" s="45"/>
    </row>
    <row r="289" spans="1:94">
      <c r="A289" s="45"/>
      <c r="B289" s="45"/>
      <c r="C289" s="389" t="s">
        <v>281</v>
      </c>
      <c r="D289" s="45"/>
      <c r="E289" s="290"/>
      <c r="F289" s="260"/>
      <c r="G289" s="260"/>
      <c r="H289" s="291"/>
      <c r="I289" s="45"/>
      <c r="J289" s="290"/>
      <c r="K289" s="260"/>
      <c r="L289" s="260"/>
      <c r="M289" s="291"/>
      <c r="N289" s="45"/>
      <c r="O289" s="290"/>
      <c r="P289" s="260"/>
      <c r="Q289" s="260"/>
      <c r="R289" s="291"/>
      <c r="S289" s="45"/>
      <c r="T289" s="290"/>
      <c r="U289" s="260"/>
      <c r="V289" s="260"/>
      <c r="W289" s="291"/>
      <c r="X289" s="45"/>
      <c r="Y289" s="290"/>
      <c r="Z289" s="260"/>
      <c r="AA289" s="260"/>
      <c r="AB289" s="291"/>
      <c r="AC289" s="45"/>
      <c r="AD289" s="290"/>
      <c r="AE289" s="260"/>
      <c r="AF289" s="260"/>
      <c r="AG289" s="291"/>
      <c r="AH289" s="45"/>
      <c r="AI289" s="290"/>
      <c r="AJ289" s="260"/>
      <c r="AK289" s="260"/>
      <c r="AL289" s="291"/>
      <c r="AM289" s="45"/>
      <c r="AN289" s="290"/>
      <c r="AO289" s="260"/>
      <c r="AP289" s="260"/>
      <c r="AQ289" s="291"/>
      <c r="AR289" s="45"/>
      <c r="AS289" s="290"/>
      <c r="AT289" s="260"/>
      <c r="AU289" s="260"/>
      <c r="AV289" s="291"/>
      <c r="AW289" s="45"/>
      <c r="AX289" s="290"/>
      <c r="AY289" s="260"/>
      <c r="AZ289" s="260"/>
      <c r="BA289" s="291"/>
      <c r="BB289" s="45"/>
      <c r="BC289" s="290"/>
      <c r="BD289" s="260"/>
      <c r="BE289" s="260"/>
      <c r="BF289" s="291"/>
      <c r="BG289" s="45"/>
      <c r="BH289" s="300"/>
      <c r="BI289" s="264"/>
      <c r="BJ289" s="264"/>
      <c r="BK289" s="299"/>
      <c r="BL289" s="45"/>
      <c r="BM289" s="45"/>
      <c r="BN289" s="45"/>
      <c r="BO289" s="45"/>
      <c r="BP289" s="45"/>
      <c r="BQ289" s="45"/>
      <c r="BR289" s="45"/>
      <c r="BS289" s="45"/>
      <c r="BT289" s="45"/>
      <c r="BU289" s="45"/>
      <c r="BV289" s="45"/>
      <c r="BW289" s="45"/>
      <c r="BX289" s="45"/>
      <c r="BY289" s="45"/>
      <c r="BZ289" s="45"/>
      <c r="CA289" s="45"/>
      <c r="CB289" s="45"/>
      <c r="CC289" s="45"/>
      <c r="CD289" s="45"/>
      <c r="CE289" s="45"/>
      <c r="CF289" s="45"/>
      <c r="CG289" s="45"/>
      <c r="CH289" s="45"/>
      <c r="CI289" s="45"/>
      <c r="CJ289" s="45"/>
      <c r="CK289" s="45"/>
      <c r="CL289" s="45"/>
      <c r="CM289" s="45"/>
      <c r="CN289" s="45"/>
      <c r="CO289" s="45"/>
      <c r="CP289" s="45"/>
    </row>
    <row r="290" spans="1:94">
      <c r="A290" s="1716"/>
      <c r="B290" s="1716"/>
      <c r="C290" s="391" t="s">
        <v>430</v>
      </c>
      <c r="D290" s="1716"/>
      <c r="E290" s="1783"/>
      <c r="F290" s="1784"/>
      <c r="G290" s="1784"/>
      <c r="H290" s="1785"/>
      <c r="I290" s="1714">
        <v>0.49</v>
      </c>
      <c r="J290" s="1783">
        <v>0.49</v>
      </c>
      <c r="K290" s="1784">
        <v>0.49</v>
      </c>
      <c r="L290" s="1784">
        <v>0.49</v>
      </c>
      <c r="M290" s="1785">
        <v>0.49</v>
      </c>
      <c r="N290" s="1714">
        <v>0.49</v>
      </c>
      <c r="O290" s="1783">
        <v>0.49</v>
      </c>
      <c r="P290" s="1784">
        <v>0.49</v>
      </c>
      <c r="Q290" s="1784">
        <v>0.49</v>
      </c>
      <c r="R290" s="1785">
        <v>0.49</v>
      </c>
      <c r="S290" s="1714">
        <v>0.49</v>
      </c>
      <c r="T290" s="1783">
        <v>0.49</v>
      </c>
      <c r="U290" s="1784">
        <v>0.49</v>
      </c>
      <c r="V290" s="1784">
        <v>0.49</v>
      </c>
      <c r="W290" s="1785">
        <v>0.49</v>
      </c>
      <c r="X290" s="1714">
        <v>0.49</v>
      </c>
      <c r="Y290" s="1783">
        <v>0.49</v>
      </c>
      <c r="Z290" s="1784">
        <v>0.49</v>
      </c>
      <c r="AA290" s="1784">
        <v>0.49</v>
      </c>
      <c r="AB290" s="1785">
        <v>0.49</v>
      </c>
      <c r="AC290" s="1714">
        <v>0.49</v>
      </c>
      <c r="AD290" s="1783">
        <v>0.49</v>
      </c>
      <c r="AE290" s="1784">
        <v>0.49</v>
      </c>
      <c r="AF290" s="1784">
        <v>0.49</v>
      </c>
      <c r="AG290" s="1785">
        <v>0.49</v>
      </c>
      <c r="AH290" s="1714">
        <v>0.49</v>
      </c>
      <c r="AI290" s="1783">
        <v>0.49</v>
      </c>
      <c r="AJ290" s="1784">
        <v>0.49</v>
      </c>
      <c r="AK290" s="1784">
        <v>0.49</v>
      </c>
      <c r="AL290" s="1785">
        <v>0.49</v>
      </c>
      <c r="AM290" s="1714">
        <v>0.49</v>
      </c>
      <c r="AN290" s="1783">
        <v>0.49</v>
      </c>
      <c r="AO290" s="1784">
        <v>0.49</v>
      </c>
      <c r="AP290" s="1784">
        <v>0.49</v>
      </c>
      <c r="AQ290" s="1785">
        <v>0.49</v>
      </c>
      <c r="AR290" s="1714">
        <v>0.49</v>
      </c>
      <c r="AS290" s="1783">
        <v>0.49</v>
      </c>
      <c r="AT290" s="1784">
        <v>0.49</v>
      </c>
      <c r="AU290" s="1784">
        <v>0.49</v>
      </c>
      <c r="AV290" s="1785">
        <v>0.49</v>
      </c>
      <c r="AW290" s="1714">
        <v>0.49</v>
      </c>
      <c r="AX290" s="1783">
        <v>0.49</v>
      </c>
      <c r="AY290" s="1784">
        <v>0.49</v>
      </c>
      <c r="AZ290" s="1784">
        <v>0.49</v>
      </c>
      <c r="BA290" s="1785">
        <v>0.49</v>
      </c>
      <c r="BB290" s="1714">
        <v>0.49</v>
      </c>
      <c r="BC290" s="1783">
        <v>0.49</v>
      </c>
      <c r="BD290" s="1784">
        <v>0.49</v>
      </c>
      <c r="BE290" s="1784">
        <v>0.49</v>
      </c>
      <c r="BF290" s="1785">
        <v>0.49</v>
      </c>
      <c r="BG290" s="1714">
        <v>0.49</v>
      </c>
      <c r="BH290" s="2023">
        <v>0.49</v>
      </c>
      <c r="BI290" s="2024">
        <v>0.49</v>
      </c>
      <c r="BJ290" s="2024">
        <v>0.49</v>
      </c>
      <c r="BK290" s="2025">
        <v>0.49</v>
      </c>
      <c r="BL290" s="2281">
        <f>+BG290</f>
        <v>0.49</v>
      </c>
      <c r="BM290" s="45"/>
      <c r="BN290" s="1716"/>
      <c r="BO290" s="1716"/>
      <c r="BP290" s="1716"/>
      <c r="BQ290" s="1716"/>
      <c r="BR290" s="1716"/>
      <c r="BS290" s="1716"/>
      <c r="BT290" s="1716"/>
      <c r="BU290" s="1716"/>
      <c r="BV290" s="1716"/>
      <c r="BW290" s="1716"/>
      <c r="BX290" s="1716"/>
      <c r="BY290" s="1716"/>
      <c r="BZ290" s="1716"/>
      <c r="CA290" s="1716"/>
      <c r="CB290" s="1716"/>
      <c r="CC290" s="1716"/>
      <c r="CD290" s="1716"/>
      <c r="CE290" s="1716"/>
      <c r="CF290" s="1716"/>
      <c r="CG290" s="1716"/>
      <c r="CH290" s="1716"/>
      <c r="CI290" s="1716"/>
      <c r="CJ290" s="1716"/>
      <c r="CK290" s="1716"/>
      <c r="CL290" s="1716"/>
      <c r="CM290" s="1716"/>
      <c r="CN290" s="1716"/>
      <c r="CO290" s="1716"/>
      <c r="CP290" s="1716"/>
    </row>
    <row r="291" spans="1:94">
      <c r="A291" s="1716"/>
      <c r="B291" s="1716"/>
      <c r="C291" s="391" t="s">
        <v>419</v>
      </c>
      <c r="D291" s="1716"/>
      <c r="E291" s="1786"/>
      <c r="F291" s="1768"/>
      <c r="G291" s="1768"/>
      <c r="H291" s="1769"/>
      <c r="I291" s="1787">
        <f t="shared" ref="I291:AN291" si="819">+I252</f>
        <v>0.49152542372881358</v>
      </c>
      <c r="J291" s="1786">
        <f t="shared" si="819"/>
        <v>0.4982698961937716</v>
      </c>
      <c r="K291" s="1768">
        <f t="shared" si="819"/>
        <v>0.50455580865603644</v>
      </c>
      <c r="L291" s="1768">
        <f t="shared" si="819"/>
        <v>0.49330227140361094</v>
      </c>
      <c r="M291" s="1769">
        <f t="shared" si="819"/>
        <v>0.48162803843979651</v>
      </c>
      <c r="N291" s="1787">
        <f t="shared" si="819"/>
        <v>0.48162803843979651</v>
      </c>
      <c r="O291" s="1786">
        <f t="shared" si="819"/>
        <v>0.46535181236673773</v>
      </c>
      <c r="P291" s="1768">
        <f t="shared" si="819"/>
        <v>0.45693656523981435</v>
      </c>
      <c r="Q291" s="1768">
        <f t="shared" si="819"/>
        <v>0.48643216080402008</v>
      </c>
      <c r="R291" s="1769">
        <f t="shared" si="819"/>
        <v>0.48307994114762137</v>
      </c>
      <c r="S291" s="1787">
        <f t="shared" si="819"/>
        <v>0.48307994114762137</v>
      </c>
      <c r="T291" s="1786">
        <f t="shared" si="819"/>
        <v>0.48074179743223966</v>
      </c>
      <c r="U291" s="1768">
        <f t="shared" si="819"/>
        <v>0.47000937207122773</v>
      </c>
      <c r="V291" s="1768">
        <f t="shared" si="819"/>
        <v>0.46435100548446068</v>
      </c>
      <c r="W291" s="1769">
        <f t="shared" si="819"/>
        <v>0.4613345117101193</v>
      </c>
      <c r="X291" s="1787">
        <f t="shared" si="819"/>
        <v>0.4613345117101193</v>
      </c>
      <c r="Y291" s="1786">
        <f t="shared" si="819"/>
        <v>0.45930735930735933</v>
      </c>
      <c r="Z291" s="1768">
        <f t="shared" si="819"/>
        <v>0.48672566371681414</v>
      </c>
      <c r="AA291" s="1768">
        <f t="shared" si="819"/>
        <v>0.49143084894380229</v>
      </c>
      <c r="AB291" s="1769">
        <f t="shared" si="819"/>
        <v>0.4788617886178862</v>
      </c>
      <c r="AC291" s="1787">
        <f t="shared" si="819"/>
        <v>0.4788617886178862</v>
      </c>
      <c r="AD291" s="1786">
        <f t="shared" si="819"/>
        <v>0.45938375350140054</v>
      </c>
      <c r="AE291" s="1768">
        <f t="shared" si="819"/>
        <v>0.48521876231769806</v>
      </c>
      <c r="AF291" s="1768">
        <f t="shared" si="819"/>
        <v>0.47782101167315177</v>
      </c>
      <c r="AG291" s="1769">
        <f t="shared" si="819"/>
        <v>0.47430981595092025</v>
      </c>
      <c r="AH291" s="1787">
        <f t="shared" si="819"/>
        <v>0.47430981595092025</v>
      </c>
      <c r="AI291" s="1786">
        <f t="shared" ref="AI291" si="820">+AI252</f>
        <v>0.45683015808674504</v>
      </c>
      <c r="AJ291" s="1768">
        <f t="shared" si="819"/>
        <v>0.49741756058800157</v>
      </c>
      <c r="AK291" s="1768">
        <f t="shared" si="819"/>
        <v>0.50252231276678305</v>
      </c>
      <c r="AL291" s="1769">
        <f t="shared" si="819"/>
        <v>0.49737434358589649</v>
      </c>
      <c r="AM291" s="1787">
        <f>+AM252</f>
        <v>0.49737434358589649</v>
      </c>
      <c r="AN291" s="1786">
        <f t="shared" si="819"/>
        <v>0.50503919372900341</v>
      </c>
      <c r="AO291" s="1768">
        <f t="shared" ref="AO291:BG291" si="821">+AO252</f>
        <v>0.49944423860689147</v>
      </c>
      <c r="AP291" s="1768">
        <f t="shared" ref="AP291" si="822">+AP252</f>
        <v>0.49469058952764555</v>
      </c>
      <c r="AQ291" s="1769">
        <f t="shared" si="821"/>
        <v>0.4682567520168362</v>
      </c>
      <c r="AR291" s="1787">
        <f t="shared" si="821"/>
        <v>0.4682567520168362</v>
      </c>
      <c r="AS291" s="1786">
        <f t="shared" ca="1" si="821"/>
        <v>0.47971173584910004</v>
      </c>
      <c r="AT291" s="1768">
        <f t="shared" ca="1" si="821"/>
        <v>0.48120104127870084</v>
      </c>
      <c r="AU291" s="1768">
        <f t="shared" ca="1" si="821"/>
        <v>0.48528060780572752</v>
      </c>
      <c r="AV291" s="1769">
        <f t="shared" ca="1" si="821"/>
        <v>0.49096997678577592</v>
      </c>
      <c r="AW291" s="1787">
        <f t="shared" ca="1" si="821"/>
        <v>0.49096997678577592</v>
      </c>
      <c r="AX291" s="1786">
        <f t="shared" ca="1" si="821"/>
        <v>0.49556626862247211</v>
      </c>
      <c r="AY291" s="1768">
        <f t="shared" ca="1" si="821"/>
        <v>0.49194549963448175</v>
      </c>
      <c r="AZ291" s="1768">
        <f t="shared" ca="1" si="821"/>
        <v>0.48957829086817428</v>
      </c>
      <c r="BA291" s="1769">
        <f t="shared" ca="1" si="821"/>
        <v>0.49057712050861996</v>
      </c>
      <c r="BB291" s="1787">
        <f t="shared" ca="1" si="821"/>
        <v>0.49057712050861996</v>
      </c>
      <c r="BC291" s="1786">
        <f t="shared" ca="1" si="821"/>
        <v>0.49488998533969381</v>
      </c>
      <c r="BD291" s="1768">
        <f t="shared" ca="1" si="821"/>
        <v>0.4915919433096872</v>
      </c>
      <c r="BE291" s="1768">
        <f t="shared" ca="1" si="821"/>
        <v>0.48927022474821941</v>
      </c>
      <c r="BF291" s="1769">
        <f t="shared" ca="1" si="821"/>
        <v>0.49008078849226178</v>
      </c>
      <c r="BG291" s="1787">
        <f t="shared" ca="1" si="821"/>
        <v>0.49008078849226178</v>
      </c>
      <c r="BH291" s="2023">
        <f t="shared" ref="BH291:BL291" ca="1" si="823">+BH252</f>
        <v>0.49420424405217284</v>
      </c>
      <c r="BI291" s="2024">
        <f t="shared" ca="1" si="823"/>
        <v>0.49157223555004087</v>
      </c>
      <c r="BJ291" s="2024">
        <f t="shared" ca="1" si="823"/>
        <v>0.48939421238393255</v>
      </c>
      <c r="BK291" s="2025">
        <f t="shared" ca="1" si="823"/>
        <v>0.49018976102072997</v>
      </c>
      <c r="BL291" s="1787">
        <f t="shared" ca="1" si="823"/>
        <v>0.49018976102072997</v>
      </c>
      <c r="BM291" s="1716"/>
      <c r="BN291" s="1716"/>
      <c r="BO291" s="1716"/>
      <c r="BP291" s="1716"/>
      <c r="BQ291" s="1716"/>
      <c r="BR291" s="1716"/>
      <c r="BS291" s="1716"/>
      <c r="BT291" s="1716"/>
      <c r="BU291" s="1716"/>
      <c r="BV291" s="1716"/>
      <c r="BW291" s="1716"/>
      <c r="BX291" s="1716"/>
      <c r="BY291" s="1716"/>
      <c r="BZ291" s="1716"/>
      <c r="CA291" s="1716"/>
      <c r="CB291" s="1716"/>
      <c r="CC291" s="1716"/>
      <c r="CD291" s="1716"/>
      <c r="CE291" s="1716"/>
      <c r="CF291" s="1716"/>
      <c r="CG291" s="1716"/>
      <c r="CH291" s="1716"/>
      <c r="CI291" s="1716"/>
      <c r="CJ291" s="1716"/>
      <c r="CK291" s="1716"/>
      <c r="CL291" s="1716"/>
      <c r="CM291" s="1716"/>
      <c r="CN291" s="1716"/>
      <c r="CO291" s="1716"/>
      <c r="CP291" s="1716"/>
    </row>
    <row r="292" spans="1:94">
      <c r="A292" s="1716"/>
      <c r="B292" s="1716"/>
      <c r="C292" s="1716"/>
      <c r="D292" s="1716"/>
      <c r="E292" s="1700"/>
      <c r="F292" s="1337"/>
      <c r="G292" s="1337"/>
      <c r="H292" s="1701"/>
      <c r="I292" s="1713"/>
      <c r="J292" s="1700"/>
      <c r="K292" s="1337"/>
      <c r="L292" s="1337"/>
      <c r="M292" s="1701"/>
      <c r="N292" s="1713"/>
      <c r="O292" s="1700"/>
      <c r="P292" s="1337"/>
      <c r="Q292" s="1337"/>
      <c r="R292" s="1701"/>
      <c r="S292" s="1713"/>
      <c r="T292" s="1700"/>
      <c r="U292" s="1337"/>
      <c r="V292" s="1337"/>
      <c r="W292" s="1701"/>
      <c r="X292" s="1713"/>
      <c r="Y292" s="1700"/>
      <c r="Z292" s="1337"/>
      <c r="AA292" s="1337"/>
      <c r="AB292" s="1701"/>
      <c r="AC292" s="1713"/>
      <c r="AD292" s="1700"/>
      <c r="AE292" s="1337"/>
      <c r="AF292" s="1337"/>
      <c r="AG292" s="1701"/>
      <c r="AH292" s="1713"/>
      <c r="AI292" s="1700"/>
      <c r="AJ292" s="1337"/>
      <c r="AK292" s="1337"/>
      <c r="AL292" s="1701"/>
      <c r="AM292" s="1713"/>
      <c r="AN292" s="1700"/>
      <c r="AO292" s="1337"/>
      <c r="AP292" s="1337"/>
      <c r="AQ292" s="1701"/>
      <c r="AR292" s="1713"/>
      <c r="AS292" s="1700"/>
      <c r="AT292" s="1337"/>
      <c r="AU292" s="1337"/>
      <c r="AV292" s="1701"/>
      <c r="AW292" s="1713"/>
      <c r="AX292" s="1700"/>
      <c r="AY292" s="1337"/>
      <c r="AZ292" s="1337"/>
      <c r="BA292" s="1701"/>
      <c r="BB292" s="1713"/>
      <c r="BC292" s="1700"/>
      <c r="BD292" s="1337"/>
      <c r="BE292" s="1337"/>
      <c r="BF292" s="1701"/>
      <c r="BG292" s="1713"/>
      <c r="BH292" s="2023"/>
      <c r="BI292" s="2024"/>
      <c r="BJ292" s="2024"/>
      <c r="BK292" s="2025"/>
      <c r="BL292" s="1713"/>
      <c r="BM292" s="1716"/>
      <c r="BN292" s="1716"/>
      <c r="BO292" s="1716"/>
      <c r="BP292" s="1716"/>
      <c r="BQ292" s="1716"/>
      <c r="BR292" s="1716"/>
      <c r="BS292" s="1716"/>
      <c r="BT292" s="1716"/>
      <c r="BU292" s="1716"/>
      <c r="BV292" s="1716"/>
      <c r="BW292" s="1716"/>
      <c r="BX292" s="1716"/>
      <c r="BY292" s="1716"/>
      <c r="BZ292" s="1716"/>
      <c r="CA292" s="1716"/>
      <c r="CB292" s="1716"/>
      <c r="CC292" s="1716"/>
      <c r="CD292" s="1716"/>
      <c r="CE292" s="1716"/>
      <c r="CF292" s="1716"/>
      <c r="CG292" s="1716"/>
      <c r="CH292" s="1716"/>
      <c r="CI292" s="1716"/>
      <c r="CJ292" s="1716"/>
      <c r="CK292" s="1716"/>
      <c r="CL292" s="1716"/>
      <c r="CM292" s="1716"/>
      <c r="CN292" s="1716"/>
      <c r="CO292" s="1716"/>
      <c r="CP292" s="1716"/>
    </row>
    <row r="293" spans="1:94">
      <c r="A293" s="1716"/>
      <c r="B293" s="1716"/>
      <c r="C293" s="389" t="s">
        <v>1312</v>
      </c>
      <c r="D293" s="1716"/>
      <c r="E293" s="1783"/>
      <c r="F293" s="1784"/>
      <c r="G293" s="1784"/>
      <c r="H293" s="1785"/>
      <c r="I293" s="1714"/>
      <c r="J293" s="1783"/>
      <c r="K293" s="1784"/>
      <c r="L293" s="1784"/>
      <c r="M293" s="1785"/>
      <c r="N293" s="1714"/>
      <c r="O293" s="1783"/>
      <c r="P293" s="1784"/>
      <c r="Q293" s="1784"/>
      <c r="R293" s="1785"/>
      <c r="S293" s="1714"/>
      <c r="T293" s="1783"/>
      <c r="U293" s="1784"/>
      <c r="V293" s="1784"/>
      <c r="W293" s="1785"/>
      <c r="X293" s="1714"/>
      <c r="Y293" s="1783"/>
      <c r="Z293" s="1784"/>
      <c r="AA293" s="1784"/>
      <c r="AB293" s="1785"/>
      <c r="AC293" s="1714"/>
      <c r="AD293" s="1783"/>
      <c r="AE293" s="1784"/>
      <c r="AF293" s="1784"/>
      <c r="AG293" s="1785"/>
      <c r="AH293" s="1714"/>
      <c r="AI293" s="1783"/>
      <c r="AJ293" s="1784"/>
      <c r="AK293" s="1784"/>
      <c r="AL293" s="1785"/>
      <c r="AM293" s="1714"/>
      <c r="AN293" s="1783"/>
      <c r="AO293" s="1784"/>
      <c r="AP293" s="1784"/>
      <c r="AQ293" s="1785"/>
      <c r="AR293" s="1714"/>
      <c r="AS293" s="1783"/>
      <c r="AT293" s="1784"/>
      <c r="AU293" s="1784"/>
      <c r="AV293" s="1785"/>
      <c r="AW293" s="1714"/>
      <c r="AX293" s="1783"/>
      <c r="AY293" s="1784"/>
      <c r="AZ293" s="1784"/>
      <c r="BA293" s="1785"/>
      <c r="BB293" s="1714"/>
      <c r="BC293" s="1783"/>
      <c r="BD293" s="1784"/>
      <c r="BE293" s="1784"/>
      <c r="BF293" s="1785"/>
      <c r="BG293" s="1714"/>
      <c r="BH293" s="1783"/>
      <c r="BI293" s="1784"/>
      <c r="BJ293" s="1784"/>
      <c r="BK293" s="1785"/>
      <c r="BL293" s="1714"/>
      <c r="BM293" s="1716"/>
      <c r="BN293" s="1716"/>
      <c r="BO293" s="1716"/>
      <c r="BP293" s="1716"/>
      <c r="BQ293" s="1716"/>
      <c r="BR293" s="1716"/>
      <c r="BS293" s="1716"/>
      <c r="BT293" s="1716"/>
      <c r="BU293" s="1716"/>
      <c r="BV293" s="1716"/>
      <c r="BW293" s="1716"/>
      <c r="BX293" s="1716"/>
      <c r="BY293" s="1716"/>
      <c r="BZ293" s="1716"/>
      <c r="CA293" s="1716"/>
      <c r="CB293" s="1716"/>
      <c r="CC293" s="1716"/>
      <c r="CD293" s="1716"/>
      <c r="CE293" s="1716"/>
      <c r="CF293" s="1716"/>
      <c r="CG293" s="1716"/>
      <c r="CH293" s="1716"/>
      <c r="CI293" s="1716"/>
      <c r="CJ293" s="1716"/>
      <c r="CK293" s="1716"/>
      <c r="CL293" s="1716"/>
      <c r="CM293" s="1716"/>
      <c r="CN293" s="1716"/>
      <c r="CO293" s="1716"/>
      <c r="CP293" s="1716"/>
    </row>
    <row r="294" spans="1:94">
      <c r="A294" s="1716"/>
      <c r="B294" s="1716"/>
      <c r="C294" s="1716" t="s">
        <v>1313</v>
      </c>
      <c r="D294" s="1716"/>
      <c r="E294" s="1700"/>
      <c r="F294" s="1784"/>
      <c r="G294" s="1337"/>
      <c r="H294" s="1701"/>
      <c r="I294" s="1713">
        <f>N294</f>
        <v>0.10154726890756302</v>
      </c>
      <c r="J294" s="1700"/>
      <c r="K294" s="1337"/>
      <c r="L294" s="1337"/>
      <c r="M294" s="1701"/>
      <c r="N294" s="1713">
        <f>S294</f>
        <v>0.10154726890756302</v>
      </c>
      <c r="O294" s="1700">
        <f>N294</f>
        <v>0.10154726890756302</v>
      </c>
      <c r="P294" s="1337">
        <f>O294</f>
        <v>0.10154726890756302</v>
      </c>
      <c r="Q294" s="1337">
        <f>P294</f>
        <v>0.10154726890756302</v>
      </c>
      <c r="R294" s="1701">
        <f>Q294</f>
        <v>0.10154726890756302</v>
      </c>
      <c r="S294" s="1714">
        <f>9.75%*(1138/S282)+10%*(251/S282)+11.3%*(507/S282)</f>
        <v>0.10154726890756302</v>
      </c>
      <c r="T294" s="1700">
        <f t="shared" ref="T294:AW294" si="824">S294</f>
        <v>0.10154726890756302</v>
      </c>
      <c r="U294" s="1337">
        <f t="shared" si="824"/>
        <v>0.10154726890756302</v>
      </c>
      <c r="V294" s="1337">
        <f t="shared" si="824"/>
        <v>0.10154726890756302</v>
      </c>
      <c r="W294" s="1701">
        <f t="shared" si="824"/>
        <v>0.10154726890756302</v>
      </c>
      <c r="X294" s="1713">
        <f t="shared" si="824"/>
        <v>0.10154726890756302</v>
      </c>
      <c r="Y294" s="1700">
        <f t="shared" si="824"/>
        <v>0.10154726890756302</v>
      </c>
      <c r="Z294" s="1337">
        <f t="shared" si="824"/>
        <v>0.10154726890756302</v>
      </c>
      <c r="AA294" s="1337">
        <f t="shared" si="824"/>
        <v>0.10154726890756302</v>
      </c>
      <c r="AB294" s="1701">
        <f t="shared" si="824"/>
        <v>0.10154726890756302</v>
      </c>
      <c r="AC294" s="1713">
        <f t="shared" si="824"/>
        <v>0.10154726890756302</v>
      </c>
      <c r="AD294" s="1700">
        <f t="shared" si="824"/>
        <v>0.10154726890756302</v>
      </c>
      <c r="AE294" s="1337">
        <f t="shared" si="824"/>
        <v>0.10154726890756302</v>
      </c>
      <c r="AF294" s="1337">
        <f t="shared" si="824"/>
        <v>0.10154726890756302</v>
      </c>
      <c r="AG294" s="1701">
        <f t="shared" si="824"/>
        <v>0.10154726890756302</v>
      </c>
      <c r="AH294" s="1713">
        <f t="shared" si="824"/>
        <v>0.10154726890756302</v>
      </c>
      <c r="AI294" s="1700">
        <f t="shared" si="824"/>
        <v>0.10154726890756302</v>
      </c>
      <c r="AJ294" s="1337">
        <f t="shared" si="824"/>
        <v>0.10154726890756302</v>
      </c>
      <c r="AK294" s="1337">
        <f t="shared" si="824"/>
        <v>0.10154726890756302</v>
      </c>
      <c r="AL294" s="1701">
        <f t="shared" si="824"/>
        <v>0.10154726890756302</v>
      </c>
      <c r="AM294" s="1713">
        <f t="shared" si="824"/>
        <v>0.10154726890756302</v>
      </c>
      <c r="AN294" s="1700">
        <f t="shared" si="824"/>
        <v>0.10154726890756302</v>
      </c>
      <c r="AO294" s="1337">
        <f t="shared" si="824"/>
        <v>0.10154726890756302</v>
      </c>
      <c r="AP294" s="2190">
        <v>0.1</v>
      </c>
      <c r="AQ294" s="1701">
        <f t="shared" si="824"/>
        <v>0.1</v>
      </c>
      <c r="AR294" s="1713">
        <f t="shared" si="824"/>
        <v>0.1</v>
      </c>
      <c r="AS294" s="1700">
        <f t="shared" si="824"/>
        <v>0.1</v>
      </c>
      <c r="AT294" s="1337">
        <f t="shared" si="824"/>
        <v>0.1</v>
      </c>
      <c r="AU294" s="1337">
        <f t="shared" si="824"/>
        <v>0.1</v>
      </c>
      <c r="AV294" s="1701">
        <f t="shared" si="824"/>
        <v>0.1</v>
      </c>
      <c r="AW294" s="1713">
        <f t="shared" si="824"/>
        <v>0.1</v>
      </c>
      <c r="AX294" s="1700">
        <f t="shared" ref="AX294" si="825">AW294</f>
        <v>0.1</v>
      </c>
      <c r="AY294" s="1337">
        <f t="shared" ref="AY294" si="826">AX294</f>
        <v>0.1</v>
      </c>
      <c r="AZ294" s="1337">
        <f t="shared" ref="AZ294" si="827">AY294</f>
        <v>0.1</v>
      </c>
      <c r="BA294" s="1701">
        <f t="shared" ref="BA294" si="828">AZ294</f>
        <v>0.1</v>
      </c>
      <c r="BB294" s="1713">
        <f t="shared" ref="BB294" si="829">BA294</f>
        <v>0.1</v>
      </c>
      <c r="BC294" s="1700">
        <f t="shared" ref="BC294" si="830">BB294</f>
        <v>0.1</v>
      </c>
      <c r="BD294" s="1337">
        <f t="shared" ref="BD294" si="831">BC294</f>
        <v>0.1</v>
      </c>
      <c r="BE294" s="1337">
        <f t="shared" ref="BE294" si="832">BD294</f>
        <v>0.1</v>
      </c>
      <c r="BF294" s="1701">
        <f t="shared" ref="BF294" si="833">BE294</f>
        <v>0.1</v>
      </c>
      <c r="BG294" s="1713">
        <f t="shared" ref="BG294" si="834">BF294</f>
        <v>0.1</v>
      </c>
      <c r="BH294" s="1700">
        <f t="shared" ref="BH294" si="835">BG294</f>
        <v>0.1</v>
      </c>
      <c r="BI294" s="1337">
        <f t="shared" ref="BI294" si="836">BH294</f>
        <v>0.1</v>
      </c>
      <c r="BJ294" s="1337">
        <f t="shared" ref="BJ294" si="837">BI294</f>
        <v>0.1</v>
      </c>
      <c r="BK294" s="1701">
        <f t="shared" ref="BK294" si="838">BJ294</f>
        <v>0.1</v>
      </c>
      <c r="BL294" s="1713">
        <f t="shared" ref="BL294" si="839">BK294</f>
        <v>0.1</v>
      </c>
      <c r="BM294" s="1716"/>
      <c r="BN294" s="1716"/>
      <c r="BO294" s="1716"/>
      <c r="BP294" s="1716"/>
      <c r="BQ294" s="1716"/>
      <c r="BR294" s="1716"/>
      <c r="BS294" s="1716"/>
      <c r="BT294" s="1716"/>
      <c r="BU294" s="1716"/>
      <c r="BV294" s="1716"/>
      <c r="BW294" s="1716"/>
      <c r="BX294" s="1716"/>
      <c r="BY294" s="1716"/>
      <c r="BZ294" s="1716"/>
      <c r="CA294" s="1716"/>
      <c r="CB294" s="1716"/>
      <c r="CC294" s="1716"/>
      <c r="CD294" s="1716"/>
      <c r="CE294" s="1716"/>
      <c r="CF294" s="1716"/>
      <c r="CG294" s="1716"/>
      <c r="CH294" s="1716"/>
      <c r="CI294" s="1716"/>
      <c r="CJ294" s="1716"/>
      <c r="CK294" s="1716"/>
      <c r="CL294" s="1716"/>
      <c r="CM294" s="1716"/>
      <c r="CN294" s="1716"/>
      <c r="CO294" s="1716"/>
      <c r="CP294" s="1716"/>
    </row>
    <row r="295" spans="1:94">
      <c r="A295" s="1716"/>
      <c r="B295" s="1716"/>
      <c r="C295" s="1716" t="s">
        <v>747</v>
      </c>
      <c r="D295" s="1716"/>
      <c r="E295" s="1786"/>
      <c r="F295" s="1768"/>
      <c r="G295" s="1768"/>
      <c r="H295" s="1769"/>
      <c r="I295" s="1787">
        <f>I263/(I290*(AVERAGE(I282,I277)))</f>
        <v>5.6988355379384147E-2</v>
      </c>
      <c r="J295" s="1786">
        <f>J263/(J291*(AVERAGE(J282,J277)))</f>
        <v>2.7832211168056814E-2</v>
      </c>
      <c r="K295" s="1768">
        <f>K263/(K291*(AVERAGE(K282,K277)))</f>
        <v>5.3533828881439711E-2</v>
      </c>
      <c r="L295" s="1768">
        <f>L263/(L291*(AVERAGE(L282,L277)))</f>
        <v>6.8180577271486353E-2</v>
      </c>
      <c r="M295" s="1769">
        <f>M263/(M291*(AVERAGE(M282,M277)))</f>
        <v>8.6766725524818511E-2</v>
      </c>
      <c r="N295" s="1787">
        <f>N263/(N290*(AVERAGE(N282,N277)))</f>
        <v>8.5259169863885542E-2</v>
      </c>
      <c r="O295" s="1786">
        <f>O263/(O291*(AVERAGE(O282,O277)))</f>
        <v>8.5068797526877266E-2</v>
      </c>
      <c r="P295" s="1768">
        <f>P263/(P291*(AVERAGE(P282,P277)))</f>
        <v>7.3997889590874485E-2</v>
      </c>
      <c r="Q295" s="1768">
        <f>Q263/(Q291*(AVERAGE(Q282,Q277)))</f>
        <v>8.0154170127211918E-2</v>
      </c>
      <c r="R295" s="1769">
        <f>R263/(R291*(AVERAGE(R282,R277)))</f>
        <v>8.0766277703771427E-2</v>
      </c>
      <c r="S295" s="1787">
        <f>S263/(S290*(AVERAGE(S282,S277)))</f>
        <v>8.1744632009182278E-2</v>
      </c>
      <c r="T295" s="1786">
        <f>T263/(T291*(AVERAGE(T282,T277)))</f>
        <v>8.4307226895420834E-2</v>
      </c>
      <c r="U295" s="1768">
        <f>U263/(U291*(AVERAGE(U282,U277)))</f>
        <v>8.3287504035934906E-2</v>
      </c>
      <c r="V295" s="1768">
        <f>V263/(V291*(AVERAGE(V282,V277)))</f>
        <v>8.3674409939106312E-2</v>
      </c>
      <c r="W295" s="1769">
        <f>W263/(W291*(AVERAGE(W282,W277)))</f>
        <v>9.376358803182451E-2</v>
      </c>
      <c r="X295" s="1787">
        <f>X263/(X290*(AVERAGE(X282,X277)))</f>
        <v>9.0975533714612825E-2</v>
      </c>
      <c r="Y295" s="1786">
        <f>Y263/(Y291*(AVERAGE(Y282,Y277)))</f>
        <v>0.10342951681401268</v>
      </c>
      <c r="Z295" s="1768">
        <f>Z263/(Z291*(AVERAGE(Z282,Z277)))</f>
        <v>0.10263135557253206</v>
      </c>
      <c r="AA295" s="1768">
        <f>AA263/(AA291*(AVERAGE(AA282,AA277)))</f>
        <v>0.10089506444268559</v>
      </c>
      <c r="AB295" s="1769">
        <f>AB263/(AB291*(AVERAGE(AB282,AB277)))</f>
        <v>9.9670336776967364E-2</v>
      </c>
      <c r="AC295" s="1787">
        <f>AC263/(AC290*(AVERAGE(AC282,AC277)))</f>
        <v>9.8856496487742751E-2</v>
      </c>
      <c r="AD295" s="1786">
        <f>AD263/(AD291*(AVERAGE(AD282,AD277)))</f>
        <v>9.6036585365853661E-2</v>
      </c>
      <c r="AE295" s="1768">
        <f>AE263/(AE291*(AVERAGE(AE282,AE277)))</f>
        <v>7.8664712522116709E-2</v>
      </c>
      <c r="AF295" s="1768">
        <f>AF263/(AF291*(AVERAGE(AF282,AF277)))</f>
        <v>7.1366884099624828E-2</v>
      </c>
      <c r="AG295" s="1769">
        <f>AG263/(AG291*(AVERAGE(AG282,AG277)))</f>
        <v>6.7268186961358667E-2</v>
      </c>
      <c r="AH295" s="1787">
        <f>AH263/(AH290*(AVERAGE(AH282,AH277)))</f>
        <v>6.7362449865939866E-2</v>
      </c>
      <c r="AI295" s="1786">
        <f>AI263/(AI291*(AVERAGE(AI282,AI277)))</f>
        <v>-2.5720489075047634E-2</v>
      </c>
      <c r="AJ295" s="1768">
        <f>AJ263/(AJ291*(AVERAGE(AJ282,AJ277)))</f>
        <v>-2.0238758925316808E-2</v>
      </c>
      <c r="AK295" s="1768">
        <f>AK263/(AK291*(AVERAGE(AK282,AK277)))</f>
        <v>4.1526740191180928E-3</v>
      </c>
      <c r="AL295" s="1769">
        <f>AL263/(AL291*(AVERAGE(AL282,AL277)))</f>
        <v>-7.550604057765236E-3</v>
      </c>
      <c r="AM295" s="1787">
        <f>AM263/(AM290*(AVERAGE(AM282,AM277)))</f>
        <v>-7.648281048834275E-3</v>
      </c>
      <c r="AN295" s="1786">
        <f>AN263/(AN291*(AVERAGE(AN282,AN277)))</f>
        <v>0.10087256272883061</v>
      </c>
      <c r="AO295" s="1768">
        <f>AO263/(AO291*(AVERAGE(AO282,AO277)))</f>
        <v>0.10899384524198667</v>
      </c>
      <c r="AP295" s="1768">
        <f>AP263/(AP291*(AVERAGE(AP282,AP277)))</f>
        <v>9.713259272489877E-2</v>
      </c>
      <c r="AQ295" s="1769">
        <f>AQ263/(AQ291*(AVERAGE(AQ282,AQ277)))</f>
        <v>0.10684525261347648</v>
      </c>
      <c r="AR295" s="1787">
        <f>AR263/(AR290*(AVERAGE(AR282,AR277)))</f>
        <v>0.10176747393785457</v>
      </c>
      <c r="AS295" s="1786">
        <f ca="1">AS263/(AS291*(AVERAGE(AS282,AS277)))</f>
        <v>8.8628267052477311E-2</v>
      </c>
      <c r="AT295" s="1768">
        <f ca="1">AT263/(AT291*(AVERAGE(AT282,AT277)))</f>
        <v>8.2655311480504645E-2</v>
      </c>
      <c r="AU295" s="1768">
        <f ca="1">AU263/(AU291*(AVERAGE(AU282,AU277)))</f>
        <v>8.4030922354753512E-2</v>
      </c>
      <c r="AV295" s="1769">
        <f ca="1">AV263/(AV291*(AVERAGE(AV282,AV277)))</f>
        <v>8.945209703067207E-2</v>
      </c>
      <c r="AW295" s="1787">
        <f ca="1">AW263/(AW290*(AVERAGE(AW282,AW277)))</f>
        <v>9.6255366073392884E-2</v>
      </c>
      <c r="AX295" s="1786">
        <f ca="1">AX263/(AX291*(AVERAGE(AX282,AX277)))</f>
        <v>8.686107570130476E-2</v>
      </c>
      <c r="AY295" s="1768">
        <f ca="1">AY263/(AY291*(AVERAGE(AY282,AY277)))</f>
        <v>8.5013740662753148E-2</v>
      </c>
      <c r="AZ295" s="1768">
        <f ca="1">AZ263/(AZ291*(AVERAGE(AZ282,AZ277)))</f>
        <v>8.5136007564328112E-2</v>
      </c>
      <c r="BA295" s="1769">
        <f ca="1">BA263/(BA291*(AVERAGE(BA282,BA277)))</f>
        <v>8.5073074889457603E-2</v>
      </c>
      <c r="BB295" s="1787">
        <f ca="1">BB263/(BB290*(AVERAGE(BB282,BB277)))</f>
        <v>8.7720882657434621E-2</v>
      </c>
      <c r="BC295" s="1786">
        <f ca="1">BC263/(BC291*(AVERAGE(BC282,BC277)))</f>
        <v>8.4715712654540781E-2</v>
      </c>
      <c r="BD295" s="1768">
        <f ca="1">BD263/(BD291*(AVERAGE(BD282,BD277)))</f>
        <v>8.6038450976286041E-2</v>
      </c>
      <c r="BE295" s="1768">
        <f ca="1">BE263/(BE291*(AVERAGE(BE282,BE277)))</f>
        <v>8.6473359466332514E-2</v>
      </c>
      <c r="BF295" s="1769">
        <f ca="1">BF263/(BF291*(AVERAGE(BF282,BF277)))</f>
        <v>8.6659542833470091E-2</v>
      </c>
      <c r="BG295" s="1787">
        <f ca="1">BG263/(BG290*(AVERAGE(BG282,BG277)))</f>
        <v>8.7651296595157566E-2</v>
      </c>
      <c r="BH295" s="1786">
        <f ca="1">BH263/(BH291*(AVERAGE(BH282,BH277)))</f>
        <v>8.5842613535829476E-2</v>
      </c>
      <c r="BI295" s="1768">
        <f ca="1">BI263/(BI291*(AVERAGE(BI282,BI277)))</f>
        <v>8.6321330861103426E-2</v>
      </c>
      <c r="BJ295" s="1768">
        <f ca="1">BJ263/(BJ291*(AVERAGE(BJ282,BJ277)))</f>
        <v>8.6693689134874199E-2</v>
      </c>
      <c r="BK295" s="1769">
        <f ca="1">BK263/(BK291*(AVERAGE(BK282,BK277)))</f>
        <v>8.6797264887012712E-2</v>
      </c>
      <c r="BL295" s="1787">
        <f ca="1">BL263/(BL290*(AVERAGE(BL282,BL277)))</f>
        <v>8.7712301695863609E-2</v>
      </c>
      <c r="BM295" s="1716"/>
      <c r="BN295" s="1716"/>
      <c r="BO295" s="1716"/>
      <c r="BP295" s="1716"/>
      <c r="BQ295" s="1716"/>
      <c r="BR295" s="1716"/>
      <c r="BS295" s="1716"/>
      <c r="BT295" s="1716"/>
      <c r="BU295" s="1716"/>
      <c r="BV295" s="1716"/>
      <c r="BW295" s="1716"/>
      <c r="BX295" s="1716"/>
      <c r="BY295" s="1716"/>
      <c r="BZ295" s="1716"/>
      <c r="CA295" s="1716"/>
      <c r="CB295" s="1716"/>
      <c r="CC295" s="1716"/>
      <c r="CD295" s="1716"/>
      <c r="CE295" s="1716"/>
      <c r="CF295" s="1716"/>
      <c r="CG295" s="1716"/>
      <c r="CH295" s="1716"/>
      <c r="CI295" s="1716"/>
      <c r="CJ295" s="1716"/>
      <c r="CK295" s="1716"/>
      <c r="CL295" s="1716"/>
      <c r="CM295" s="1716"/>
      <c r="CN295" s="1716"/>
      <c r="CO295" s="1716"/>
      <c r="CP295" s="1716"/>
    </row>
    <row r="296" spans="1:94">
      <c r="A296" s="1716"/>
      <c r="B296" s="1716"/>
      <c r="C296" s="1716"/>
      <c r="D296" s="1716"/>
      <c r="E296" s="1717"/>
      <c r="F296" s="1718"/>
      <c r="G296" s="1718"/>
      <c r="H296" s="1719"/>
      <c r="I296" s="1716"/>
      <c r="J296" s="1717"/>
      <c r="K296" s="1718"/>
      <c r="L296" s="1718"/>
      <c r="M296" s="1719"/>
      <c r="N296" s="1716"/>
      <c r="O296" s="1717"/>
      <c r="P296" s="1718"/>
      <c r="Q296" s="1718"/>
      <c r="R296" s="1719"/>
      <c r="S296" s="1716"/>
      <c r="T296" s="1717"/>
      <c r="U296" s="1718"/>
      <c r="V296" s="1718"/>
      <c r="W296" s="1719"/>
      <c r="X296" s="1716"/>
      <c r="Y296" s="1717"/>
      <c r="Z296" s="1718"/>
      <c r="AA296" s="1718"/>
      <c r="AB296" s="1719"/>
      <c r="AC296" s="1716"/>
      <c r="AD296" s="1717"/>
      <c r="AE296" s="1718"/>
      <c r="AF296" s="1718"/>
      <c r="AG296" s="1719"/>
      <c r="AH296" s="1716"/>
      <c r="AI296" s="1717"/>
      <c r="AJ296" s="1718"/>
      <c r="AK296" s="1718"/>
      <c r="AL296" s="1719"/>
      <c r="AM296" s="1716"/>
      <c r="AN296" s="1717"/>
      <c r="AO296" s="1718"/>
      <c r="AP296" s="1718"/>
      <c r="AQ296" s="1719"/>
      <c r="AR296" s="1716"/>
      <c r="AS296" s="1717"/>
      <c r="AT296" s="1718"/>
      <c r="AU296" s="1718"/>
      <c r="AV296" s="1719"/>
      <c r="AW296" s="1716"/>
      <c r="AX296" s="1717"/>
      <c r="AY296" s="1718"/>
      <c r="AZ296" s="1718"/>
      <c r="BA296" s="1719"/>
      <c r="BB296" s="1716"/>
      <c r="BC296" s="1717"/>
      <c r="BD296" s="1718"/>
      <c r="BE296" s="1718"/>
      <c r="BF296" s="1719"/>
      <c r="BG296" s="1716"/>
      <c r="BH296" s="1717"/>
      <c r="BI296" s="1718"/>
      <c r="BJ296" s="1718"/>
      <c r="BK296" s="1719"/>
      <c r="BL296" s="1716"/>
      <c r="BM296" s="1716"/>
      <c r="BN296" s="1716"/>
      <c r="BO296" s="1716"/>
      <c r="BP296" s="1716"/>
      <c r="BQ296" s="1716"/>
      <c r="BR296" s="1716"/>
      <c r="BS296" s="1716"/>
      <c r="BT296" s="1716"/>
      <c r="BU296" s="1716"/>
      <c r="BV296" s="1716"/>
      <c r="BW296" s="1716"/>
      <c r="BX296" s="1716"/>
      <c r="BY296" s="1716"/>
      <c r="BZ296" s="1716"/>
      <c r="CA296" s="1716"/>
      <c r="CB296" s="1716"/>
      <c r="CC296" s="1716"/>
      <c r="CD296" s="1716"/>
      <c r="CE296" s="1716"/>
      <c r="CF296" s="1716"/>
      <c r="CG296" s="1716"/>
      <c r="CH296" s="1716"/>
      <c r="CI296" s="1716"/>
      <c r="CJ296" s="1716"/>
      <c r="CK296" s="1716"/>
      <c r="CL296" s="1716"/>
      <c r="CM296" s="1716"/>
      <c r="CN296" s="1716"/>
      <c r="CO296" s="1716"/>
      <c r="CP296" s="1716"/>
    </row>
    <row r="297" spans="1:94">
      <c r="A297" s="1716"/>
      <c r="B297" s="1716"/>
      <c r="C297" s="1716"/>
      <c r="D297" s="1716"/>
      <c r="E297" s="1799"/>
      <c r="F297" s="1800"/>
      <c r="G297" s="1800"/>
      <c r="H297" s="1801"/>
      <c r="I297" s="583"/>
      <c r="J297" s="1799"/>
      <c r="K297" s="1800"/>
      <c r="L297" s="1800"/>
      <c r="M297" s="1801"/>
      <c r="N297" s="583"/>
      <c r="O297" s="1799"/>
      <c r="P297" s="1800"/>
      <c r="Q297" s="1800"/>
      <c r="R297" s="1801"/>
      <c r="S297" s="583"/>
      <c r="T297" s="1799"/>
      <c r="U297" s="1800"/>
      <c r="V297" s="1800"/>
      <c r="W297" s="1801"/>
      <c r="X297" s="1787"/>
      <c r="Y297" s="1799"/>
      <c r="Z297" s="1800"/>
      <c r="AA297" s="1800"/>
      <c r="AB297" s="1801"/>
      <c r="AC297" s="1787"/>
      <c r="AD297" s="1799"/>
      <c r="AE297" s="1800"/>
      <c r="AF297" s="1800"/>
      <c r="AG297" s="1801"/>
      <c r="AH297" s="1787"/>
      <c r="AI297" s="1799"/>
      <c r="AJ297" s="1800"/>
      <c r="AK297" s="1800"/>
      <c r="AL297" s="1801"/>
      <c r="AM297" s="1787"/>
      <c r="AN297" s="1799"/>
      <c r="AO297" s="1800"/>
      <c r="AP297" s="1800"/>
      <c r="AQ297" s="1801"/>
      <c r="AR297" s="1787"/>
      <c r="AS297" s="1799"/>
      <c r="AT297" s="1800"/>
      <c r="AU297" s="1800"/>
      <c r="AV297" s="1801"/>
      <c r="AW297" s="1787"/>
      <c r="AX297" s="1799"/>
      <c r="AY297" s="1800"/>
      <c r="AZ297" s="1800"/>
      <c r="BA297" s="1801"/>
      <c r="BB297" s="1787"/>
      <c r="BC297" s="1799"/>
      <c r="BD297" s="1800"/>
      <c r="BE297" s="1800"/>
      <c r="BF297" s="1801"/>
      <c r="BG297" s="1787"/>
      <c r="BH297" s="1799"/>
      <c r="BI297" s="1800"/>
      <c r="BJ297" s="1800"/>
      <c r="BK297" s="1801"/>
      <c r="BL297" s="1787"/>
      <c r="BM297" s="1716"/>
      <c r="BN297" s="1716"/>
      <c r="BO297" s="1716"/>
      <c r="BP297" s="1716"/>
      <c r="BQ297" s="1716"/>
      <c r="BR297" s="1716"/>
      <c r="BS297" s="1716"/>
      <c r="BT297" s="1716"/>
      <c r="BU297" s="1716"/>
      <c r="BV297" s="1716"/>
      <c r="BW297" s="1716"/>
      <c r="BX297" s="1716"/>
      <c r="BY297" s="1716"/>
      <c r="BZ297" s="1716"/>
      <c r="CA297" s="1716"/>
      <c r="CB297" s="1716"/>
      <c r="CC297" s="1716"/>
      <c r="CD297" s="1716"/>
      <c r="CE297" s="1716"/>
      <c r="CF297" s="1716"/>
      <c r="CG297" s="1716"/>
      <c r="CH297" s="1716"/>
      <c r="CI297" s="1716"/>
      <c r="CJ297" s="1716"/>
      <c r="CK297" s="1716"/>
      <c r="CL297" s="1716"/>
      <c r="CM297" s="1716"/>
      <c r="CN297" s="1716"/>
      <c r="CO297" s="1716"/>
      <c r="CP297" s="1716"/>
    </row>
    <row r="299" spans="1:94">
      <c r="AN299" s="1909"/>
      <c r="AO299" s="1909"/>
      <c r="AP299" s="1909"/>
      <c r="AQ299" s="1909"/>
    </row>
    <row r="300" spans="1:94">
      <c r="G300" s="1802"/>
      <c r="J300" s="1802"/>
      <c r="AN300" s="1909"/>
      <c r="AO300" s="1909"/>
      <c r="AQ300" s="2157"/>
    </row>
    <row r="301" spans="1:94">
      <c r="G301" s="1803"/>
      <c r="J301" s="1803"/>
      <c r="AP301" s="2156"/>
      <c r="AQ301" s="2154"/>
    </row>
    <row r="302" spans="1:94">
      <c r="E302" s="1804"/>
      <c r="G302" s="1805"/>
      <c r="H302" s="1804"/>
      <c r="J302" s="1805"/>
      <c r="K302" s="1804"/>
      <c r="AP302" s="2156"/>
      <c r="AQ302" s="2154"/>
    </row>
    <row r="303" spans="1:94">
      <c r="E303" s="1804"/>
      <c r="F303" s="1806"/>
      <c r="G303" s="1805"/>
      <c r="H303" s="1804"/>
      <c r="J303" s="1805"/>
      <c r="K303" s="1804"/>
      <c r="AP303" s="2156"/>
      <c r="AQ303" s="2154"/>
    </row>
    <row r="304" spans="1:94">
      <c r="E304" s="1804"/>
      <c r="G304" s="1805"/>
      <c r="H304" s="1804"/>
      <c r="J304" s="1805"/>
      <c r="K304" s="1804"/>
      <c r="L304" s="1806"/>
      <c r="AP304" s="2155"/>
      <c r="AQ304" s="2154"/>
    </row>
    <row r="305" spans="5:43">
      <c r="E305" s="1804"/>
      <c r="G305" s="1805"/>
      <c r="H305" s="1804"/>
      <c r="I305" s="1806"/>
      <c r="AQ305" s="2156"/>
    </row>
    <row r="306" spans="5:43">
      <c r="E306" s="1804"/>
      <c r="H306" s="1804"/>
    </row>
  </sheetData>
  <phoneticPr fontId="2" type="noConversion"/>
  <pageMargins left="0.5" right="0.5" top="0.5" bottom="0.5" header="0" footer="0"/>
  <pageSetup scale="55" fitToHeight="4" orientation="landscape" r:id="rId1"/>
  <headerFooter alignWithMargins="0"/>
  <rowBreaks count="4" manualBreakCount="4">
    <brk id="67" max="16383" man="1"/>
    <brk id="115" max="16383" man="1"/>
    <brk id="171" max="16383" man="1"/>
    <brk id="257" max="16383" man="1"/>
  </rowBreaks>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DT263"/>
  <sheetViews>
    <sheetView zoomScale="85" zoomScaleNormal="85" workbookViewId="0">
      <pane xSplit="4" ySplit="5" topLeftCell="I6" activePane="bottomRight" state="frozen"/>
      <selection activeCell="I6" sqref="I6"/>
      <selection pane="topRight" activeCell="I6" sqref="I6"/>
      <selection pane="bottomLeft" activeCell="I6" sqref="I6"/>
      <selection pane="bottomRight" activeCell="I6" sqref="I6"/>
    </sheetView>
  </sheetViews>
  <sheetFormatPr defaultRowHeight="12.75" outlineLevelCol="1"/>
  <cols>
    <col min="1" max="2" width="2.7109375" style="1663" customWidth="1"/>
    <col min="3" max="3" width="50.85546875" style="1663" customWidth="1"/>
    <col min="4" max="4" width="2.7109375" style="1663" customWidth="1"/>
    <col min="5" max="8" width="9" style="1663" hidden="1" customWidth="1" outlineLevel="1"/>
    <col min="9" max="9" width="9" style="1663" customWidth="1" collapsed="1"/>
    <col min="10" max="13" width="9" style="1663" hidden="1" customWidth="1" outlineLevel="1"/>
    <col min="14" max="14" width="9" style="1663" customWidth="1" collapsed="1"/>
    <col min="15" max="18" width="9" style="1663" hidden="1" customWidth="1" outlineLevel="1"/>
    <col min="19" max="19" width="9" style="1663" customWidth="1" collapsed="1"/>
    <col min="20" max="23" width="9" style="1663" hidden="1" customWidth="1" outlineLevel="1"/>
    <col min="24" max="24" width="9" style="1663" customWidth="1" collapsed="1"/>
    <col min="25" max="28" width="9" style="1663" hidden="1" customWidth="1" outlineLevel="1"/>
    <col min="29" max="29" width="9" style="1663" customWidth="1" collapsed="1"/>
    <col min="30" max="33" width="9" style="1663" hidden="1" customWidth="1" outlineLevel="1"/>
    <col min="34" max="34" width="9" style="1663" customWidth="1" collapsed="1"/>
    <col min="35" max="38" width="9" style="1663" hidden="1" customWidth="1" outlineLevel="1"/>
    <col min="39" max="39" width="9" style="1663" customWidth="1" collapsed="1"/>
    <col min="40" max="43" width="9" style="1663" hidden="1" customWidth="1" outlineLevel="1"/>
    <col min="44" max="44" width="9" style="1663" customWidth="1" collapsed="1"/>
    <col min="45" max="48" width="9" style="1663" hidden="1" customWidth="1" outlineLevel="1"/>
    <col min="49" max="49" width="9" style="1663" customWidth="1" collapsed="1"/>
    <col min="50" max="53" width="9" style="1663" hidden="1" customWidth="1" outlineLevel="1"/>
    <col min="54" max="54" width="9" style="1663" customWidth="1" collapsed="1"/>
    <col min="55" max="58" width="9" style="1663" hidden="1" customWidth="1" outlineLevel="1"/>
    <col min="59" max="59" width="9" style="1663" customWidth="1" collapsed="1"/>
    <col min="60" max="63" width="9" style="1663" hidden="1" customWidth="1" outlineLevel="1"/>
    <col min="64" max="64" width="9" style="1663" customWidth="1" collapsed="1"/>
    <col min="65" max="65" width="9.28515625" style="1663" bestFit="1" customWidth="1"/>
    <col min="66" max="66" width="9.7109375" style="1663" bestFit="1" customWidth="1"/>
    <col min="67" max="79" width="9.140625" style="1663"/>
    <col min="80" max="82" width="11.42578125" style="1663" bestFit="1" customWidth="1"/>
    <col min="83" max="83" width="9.7109375" style="1663" bestFit="1" customWidth="1"/>
    <col min="84" max="87" width="11.42578125" style="1663" bestFit="1" customWidth="1"/>
    <col min="88" max="88" width="10.7109375" style="1663" bestFit="1" customWidth="1"/>
    <col min="89" max="91" width="11.42578125" style="1663" bestFit="1" customWidth="1"/>
    <col min="92" max="94" width="9.7109375" style="1663" bestFit="1" customWidth="1"/>
    <col min="95" max="16384" width="9.140625" style="1663"/>
  </cols>
  <sheetData>
    <row r="1" spans="1:94" ht="15" customHeight="1">
      <c r="A1" s="1658"/>
      <c r="B1" s="1658"/>
      <c r="C1" s="1658"/>
      <c r="D1" s="1659"/>
      <c r="E1" s="1660"/>
      <c r="F1" s="1660"/>
      <c r="G1" s="1660"/>
      <c r="H1" s="1660"/>
      <c r="I1" s="1660"/>
      <c r="J1" s="1660"/>
      <c r="K1" s="1660"/>
      <c r="L1" s="1660"/>
      <c r="M1" s="1660"/>
      <c r="N1" s="1660"/>
      <c r="O1" s="1660"/>
      <c r="P1" s="1660"/>
      <c r="Q1" s="1660"/>
      <c r="R1" s="1660"/>
      <c r="S1" s="1660"/>
      <c r="T1" s="1660"/>
      <c r="U1" s="1660"/>
      <c r="V1" s="1660"/>
      <c r="W1" s="1661"/>
      <c r="X1" s="1660"/>
      <c r="Y1" s="1660"/>
      <c r="Z1" s="1660"/>
      <c r="AA1" s="1660"/>
      <c r="AB1" s="1661"/>
      <c r="AC1" s="1660"/>
      <c r="AD1" s="1660"/>
      <c r="AE1" s="1660"/>
      <c r="AF1" s="1660"/>
      <c r="AG1" s="1661"/>
      <c r="AH1" s="1660"/>
      <c r="AI1" s="1660"/>
      <c r="AJ1" s="1660"/>
      <c r="AK1" s="1660"/>
      <c r="AL1" s="1661"/>
      <c r="AM1" s="1660"/>
      <c r="AN1" s="1660"/>
      <c r="AO1" s="1660"/>
      <c r="AP1" s="1660"/>
      <c r="AQ1" s="1661"/>
      <c r="AR1" s="1660"/>
      <c r="AS1" s="1660"/>
      <c r="AT1" s="1660"/>
      <c r="AU1" s="1660"/>
      <c r="AV1" s="1661"/>
      <c r="AW1" s="1660"/>
      <c r="AX1" s="1660"/>
      <c r="AY1" s="1660"/>
      <c r="AZ1" s="1660"/>
      <c r="BA1" s="1661"/>
      <c r="BB1" s="1660"/>
      <c r="BC1" s="1660"/>
      <c r="BD1" s="1660"/>
      <c r="BE1" s="1660"/>
      <c r="BF1" s="1661"/>
      <c r="BG1" s="1660"/>
      <c r="BH1" s="1660"/>
      <c r="BI1" s="1660"/>
      <c r="BJ1" s="1660"/>
      <c r="BK1" s="1661"/>
      <c r="BL1" s="1660"/>
      <c r="BM1" s="1662"/>
      <c r="BN1" s="1662"/>
      <c r="BO1" s="1662"/>
      <c r="BP1" s="1662"/>
      <c r="BQ1" s="1662"/>
      <c r="BR1" s="1662"/>
      <c r="BS1" s="1662"/>
      <c r="BT1" s="1662"/>
      <c r="BU1" s="1662"/>
      <c r="BV1" s="1662"/>
      <c r="BW1" s="1662"/>
      <c r="BX1" s="1662"/>
      <c r="BY1" s="1662"/>
      <c r="BZ1" s="1662"/>
      <c r="CA1" s="1662"/>
      <c r="CB1" s="1662"/>
      <c r="CC1" s="1662"/>
      <c r="CD1" s="1662"/>
      <c r="CE1" s="1662"/>
      <c r="CF1" s="1662"/>
      <c r="CG1" s="1662"/>
      <c r="CH1" s="1662"/>
      <c r="CI1" s="1662"/>
      <c r="CJ1" s="1662"/>
      <c r="CK1" s="1662"/>
      <c r="CL1" s="1662"/>
      <c r="CM1" s="1662"/>
      <c r="CN1" s="1662"/>
      <c r="CO1" s="1662"/>
      <c r="CP1" s="1662"/>
    </row>
    <row r="2" spans="1:94" ht="15" customHeight="1">
      <c r="A2" s="1658"/>
      <c r="B2" s="1658" t="str">
        <f>Cover!B2</f>
        <v>Exelon Corporation</v>
      </c>
      <c r="C2" s="1658"/>
      <c r="D2" s="1659"/>
      <c r="E2" s="1660"/>
      <c r="F2" s="1660"/>
      <c r="G2" s="1660"/>
      <c r="H2" s="1660"/>
      <c r="I2" s="1660"/>
      <c r="J2" s="1660"/>
      <c r="K2" s="1660"/>
      <c r="L2" s="1660"/>
      <c r="M2" s="1660"/>
      <c r="N2" s="1660"/>
      <c r="O2" s="1660"/>
      <c r="P2" s="1660"/>
      <c r="Q2" s="1660"/>
      <c r="R2" s="1660"/>
      <c r="S2" s="1660"/>
      <c r="T2" s="1660"/>
      <c r="U2" s="1660"/>
      <c r="V2" s="1660"/>
      <c r="W2" s="1661"/>
      <c r="X2" s="1660"/>
      <c r="Y2" s="1660"/>
      <c r="Z2" s="1660"/>
      <c r="AA2" s="1660"/>
      <c r="AB2" s="1661"/>
      <c r="AC2" s="1660"/>
      <c r="AD2" s="1660"/>
      <c r="AE2" s="1660"/>
      <c r="AF2" s="1660"/>
      <c r="AG2" s="1661"/>
      <c r="AH2" s="1660"/>
      <c r="AI2" s="1660"/>
      <c r="AJ2" s="1660"/>
      <c r="AK2" s="1660"/>
      <c r="AL2" s="1661"/>
      <c r="AM2" s="1660"/>
      <c r="AN2" s="1660"/>
      <c r="AO2" s="1660"/>
      <c r="AP2" s="1660"/>
      <c r="AQ2" s="1661"/>
      <c r="AR2" s="1660"/>
      <c r="AS2" s="1660"/>
      <c r="AT2" s="1660"/>
      <c r="AU2" s="1660"/>
      <c r="AV2" s="1661"/>
      <c r="AW2" s="1660"/>
      <c r="AX2" s="1660"/>
      <c r="AY2" s="1660"/>
      <c r="AZ2" s="1660"/>
      <c r="BA2" s="1661"/>
      <c r="BB2" s="1660"/>
      <c r="BC2" s="1660"/>
      <c r="BD2" s="1660"/>
      <c r="BE2" s="1660"/>
      <c r="BF2" s="1661"/>
      <c r="BG2" s="1660"/>
      <c r="BH2" s="1660"/>
      <c r="BI2" s="1660"/>
      <c r="BJ2" s="1660"/>
      <c r="BK2" s="1661"/>
      <c r="BL2" s="1660"/>
      <c r="BM2" s="1662"/>
      <c r="BN2" s="1662"/>
      <c r="BO2" s="1662"/>
      <c r="BP2" s="1662"/>
      <c r="BQ2" s="1662"/>
      <c r="BR2" s="1662"/>
      <c r="BS2" s="1662"/>
      <c r="BT2" s="1662"/>
      <c r="BU2" s="1662"/>
      <c r="BV2" s="1662"/>
      <c r="BW2" s="1662"/>
      <c r="BX2" s="1662"/>
      <c r="BY2" s="1662"/>
      <c r="BZ2" s="1662"/>
      <c r="CA2" s="1662"/>
      <c r="CB2" s="1662"/>
      <c r="CC2" s="1662"/>
      <c r="CD2" s="1662"/>
      <c r="CE2" s="1662"/>
      <c r="CF2" s="1662"/>
      <c r="CG2" s="1662"/>
      <c r="CH2" s="1662"/>
      <c r="CI2" s="1662"/>
      <c r="CJ2" s="1662"/>
      <c r="CK2" s="1662"/>
      <c r="CL2" s="1662"/>
      <c r="CM2" s="1662"/>
      <c r="CN2" s="1662"/>
      <c r="CO2" s="1662"/>
      <c r="CP2" s="1662"/>
    </row>
    <row r="3" spans="1:94" ht="15" customHeight="1">
      <c r="A3" s="1664"/>
      <c r="B3" s="1665" t="s">
        <v>763</v>
      </c>
      <c r="C3" s="1664"/>
      <c r="D3" s="1660"/>
      <c r="E3" s="1660"/>
      <c r="F3" s="1660"/>
      <c r="G3" s="1660"/>
      <c r="H3" s="1660"/>
      <c r="I3" s="1660"/>
      <c r="J3" s="1660"/>
      <c r="K3" s="1660"/>
      <c r="L3" s="1660"/>
      <c r="M3" s="1660"/>
      <c r="N3" s="1660"/>
      <c r="O3" s="1660"/>
      <c r="P3" s="1660"/>
      <c r="Q3" s="1660"/>
      <c r="R3" s="1660"/>
      <c r="S3" s="1660"/>
      <c r="T3" s="1660"/>
      <c r="U3" s="1660"/>
      <c r="V3" s="1660"/>
      <c r="W3" s="1660"/>
      <c r="X3" s="1660"/>
      <c r="Y3" s="1660"/>
      <c r="Z3" s="1660"/>
      <c r="AA3" s="1660"/>
      <c r="AB3" s="1660"/>
      <c r="AC3" s="1660"/>
      <c r="AD3" s="1660"/>
      <c r="AE3" s="1660"/>
      <c r="AF3" s="1660"/>
      <c r="AG3" s="1660"/>
      <c r="AH3" s="1660"/>
      <c r="AI3" s="1660"/>
      <c r="AJ3" s="1660"/>
      <c r="AK3" s="1660"/>
      <c r="AL3" s="1660"/>
      <c r="AM3" s="1660"/>
      <c r="AN3" s="1660"/>
      <c r="AO3" s="1660"/>
      <c r="AP3" s="1660"/>
      <c r="AQ3" s="1660"/>
      <c r="AR3" s="1660"/>
      <c r="AS3" s="1660"/>
      <c r="AT3" s="1660"/>
      <c r="AU3" s="1660"/>
      <c r="AV3" s="1660"/>
      <c r="AW3" s="1660"/>
      <c r="AX3" s="1660"/>
      <c r="AY3" s="1660"/>
      <c r="AZ3" s="1660"/>
      <c r="BA3" s="1660"/>
      <c r="BB3" s="1660"/>
      <c r="BC3" s="1660"/>
      <c r="BD3" s="1660"/>
      <c r="BE3" s="1660"/>
      <c r="BF3" s="1660"/>
      <c r="BG3" s="1660"/>
      <c r="BH3" s="1660"/>
      <c r="BI3" s="1660"/>
      <c r="BJ3" s="1660"/>
      <c r="BK3" s="1660"/>
      <c r="BL3" s="1660"/>
      <c r="BM3" s="1662"/>
      <c r="BN3" s="1662"/>
      <c r="BO3" s="1662"/>
      <c r="BP3" s="1662"/>
      <c r="BQ3" s="1662"/>
      <c r="BR3" s="1662"/>
      <c r="BS3" s="1662"/>
      <c r="BT3" s="1662"/>
      <c r="BU3" s="1662"/>
      <c r="BV3" s="1662"/>
      <c r="BW3" s="1662"/>
      <c r="BX3" s="1662"/>
      <c r="BY3" s="1662"/>
      <c r="BZ3" s="1662"/>
      <c r="CA3" s="1662"/>
      <c r="CB3" s="1662"/>
      <c r="CC3" s="1662"/>
      <c r="CD3" s="1662"/>
      <c r="CE3" s="1662"/>
      <c r="CF3" s="1662"/>
      <c r="CG3" s="1662"/>
      <c r="CH3" s="1662"/>
      <c r="CI3" s="1662"/>
      <c r="CJ3" s="1662"/>
      <c r="CK3" s="1662"/>
      <c r="CL3" s="1662"/>
      <c r="CM3" s="1662"/>
      <c r="CN3" s="1662"/>
      <c r="CO3" s="1662"/>
      <c r="CP3" s="1662"/>
    </row>
    <row r="4" spans="1:94">
      <c r="A4" s="1666"/>
      <c r="B4" s="1667" t="s">
        <v>69</v>
      </c>
      <c r="C4" s="1666"/>
      <c r="D4" s="1668"/>
      <c r="E4" s="1669"/>
      <c r="F4" s="1669"/>
      <c r="G4" s="1669"/>
      <c r="H4" s="1669"/>
      <c r="I4" s="1669"/>
      <c r="J4" s="1669"/>
      <c r="K4" s="1669"/>
      <c r="L4" s="1669"/>
      <c r="M4" s="1669"/>
      <c r="N4" s="1669"/>
      <c r="O4" s="1669"/>
      <c r="P4" s="1669"/>
      <c r="Q4" s="1669"/>
      <c r="R4" s="1669"/>
      <c r="S4" s="1669"/>
      <c r="T4" s="1669"/>
      <c r="U4" s="1669"/>
      <c r="V4" s="1669"/>
      <c r="W4" s="1669"/>
      <c r="X4" s="1669"/>
      <c r="Y4" s="1669"/>
      <c r="Z4" s="1669"/>
      <c r="AA4" s="1669"/>
      <c r="AB4" s="1669"/>
      <c r="AC4" s="1669"/>
      <c r="AD4" s="1669"/>
      <c r="AE4" s="1669"/>
      <c r="AF4" s="1669"/>
      <c r="AG4" s="1669"/>
      <c r="AH4" s="1669"/>
      <c r="AI4" s="1669"/>
      <c r="AJ4" s="1669"/>
      <c r="AK4" s="1669"/>
      <c r="AL4" s="1669"/>
      <c r="AM4" s="1669"/>
      <c r="AN4" s="1669"/>
      <c r="AO4" s="1669"/>
      <c r="AP4" s="1669"/>
      <c r="AQ4" s="1669"/>
      <c r="AR4" s="1669"/>
      <c r="AS4" s="1669"/>
      <c r="AT4" s="1669"/>
      <c r="AU4" s="1669"/>
      <c r="AV4" s="1669"/>
      <c r="AW4" s="1669"/>
      <c r="AX4" s="1669"/>
      <c r="AY4" s="1669"/>
      <c r="AZ4" s="1669"/>
      <c r="BA4" s="1669"/>
      <c r="BB4" s="1669"/>
      <c r="BC4" s="1669"/>
      <c r="BD4" s="1669"/>
      <c r="BE4" s="1669"/>
      <c r="BF4" s="1669"/>
      <c r="BG4" s="1669"/>
      <c r="BH4" s="1669"/>
      <c r="BI4" s="1669"/>
      <c r="BJ4" s="1669"/>
      <c r="BK4" s="1669"/>
      <c r="BL4" s="1669"/>
      <c r="BM4" s="1670"/>
      <c r="BN4" s="1670"/>
      <c r="BO4" s="1670"/>
      <c r="BP4" s="1670"/>
      <c r="BQ4" s="1670"/>
      <c r="BR4" s="1670"/>
      <c r="BS4" s="1670"/>
      <c r="BT4" s="1670"/>
      <c r="BU4" s="1670"/>
      <c r="BV4" s="1670"/>
      <c r="BW4" s="1670"/>
      <c r="BX4" s="1670"/>
      <c r="BY4" s="1670"/>
      <c r="BZ4" s="1670"/>
      <c r="CA4" s="1670"/>
      <c r="CB4" s="1670"/>
      <c r="CC4" s="1670"/>
      <c r="CD4" s="1670"/>
      <c r="CE4" s="1670"/>
      <c r="CF4" s="1670"/>
      <c r="CG4" s="1670"/>
      <c r="CH4" s="1670"/>
      <c r="CI4" s="1670"/>
      <c r="CJ4" s="1670"/>
      <c r="CK4" s="1670"/>
      <c r="CL4" s="1670"/>
      <c r="CM4" s="1670"/>
      <c r="CN4" s="1670"/>
      <c r="CO4" s="1670"/>
      <c r="CP4" s="1670"/>
    </row>
    <row r="5" spans="1:94">
      <c r="A5" s="890"/>
      <c r="B5" s="1671" t="s">
        <v>504</v>
      </c>
      <c r="C5" s="1672"/>
      <c r="D5" s="1673"/>
      <c r="E5" s="1674" t="s">
        <v>324</v>
      </c>
      <c r="F5" s="1675" t="s">
        <v>325</v>
      </c>
      <c r="G5" s="1675" t="s">
        <v>326</v>
      </c>
      <c r="H5" s="1676" t="s">
        <v>327</v>
      </c>
      <c r="I5" s="1677" t="s">
        <v>112</v>
      </c>
      <c r="J5" s="1674" t="s">
        <v>268</v>
      </c>
      <c r="K5" s="1675" t="s">
        <v>269</v>
      </c>
      <c r="L5" s="1675" t="s">
        <v>270</v>
      </c>
      <c r="M5" s="1676" t="s">
        <v>271</v>
      </c>
      <c r="N5" s="1677">
        <v>2011</v>
      </c>
      <c r="O5" s="1674" t="s">
        <v>616</v>
      </c>
      <c r="P5" s="1675" t="s">
        <v>1201</v>
      </c>
      <c r="Q5" s="1675" t="s">
        <v>1251</v>
      </c>
      <c r="R5" s="1676" t="s">
        <v>1252</v>
      </c>
      <c r="S5" s="1677">
        <v>2012</v>
      </c>
      <c r="T5" s="1674" t="s">
        <v>674</v>
      </c>
      <c r="U5" s="1675" t="s">
        <v>673</v>
      </c>
      <c r="V5" s="1675" t="s">
        <v>919</v>
      </c>
      <c r="W5" s="1676" t="s">
        <v>920</v>
      </c>
      <c r="X5" s="1678" t="s">
        <v>921</v>
      </c>
      <c r="Y5" s="1674" t="s">
        <v>1218</v>
      </c>
      <c r="Z5" s="1675" t="s">
        <v>1211</v>
      </c>
      <c r="AA5" s="1675" t="s">
        <v>1344</v>
      </c>
      <c r="AB5" s="1676" t="s">
        <v>1345</v>
      </c>
      <c r="AC5" s="1678" t="s">
        <v>1343</v>
      </c>
      <c r="AD5" s="1674" t="s">
        <v>1409</v>
      </c>
      <c r="AE5" s="1675" t="s">
        <v>1405</v>
      </c>
      <c r="AF5" s="1675" t="s">
        <v>1406</v>
      </c>
      <c r="AG5" s="1676" t="s">
        <v>1407</v>
      </c>
      <c r="AH5" s="1678" t="s">
        <v>1410</v>
      </c>
      <c r="AI5" s="1674" t="s">
        <v>1436</v>
      </c>
      <c r="AJ5" s="555" t="s">
        <v>1439</v>
      </c>
      <c r="AK5" s="555" t="s">
        <v>1480</v>
      </c>
      <c r="AL5" s="556" t="s">
        <v>1501</v>
      </c>
      <c r="AM5" s="558" t="s">
        <v>1502</v>
      </c>
      <c r="AN5" s="1674" t="s">
        <v>1515</v>
      </c>
      <c r="AO5" s="1675" t="s">
        <v>1534</v>
      </c>
      <c r="AP5" s="1675" t="s">
        <v>1536</v>
      </c>
      <c r="AQ5" s="556" t="s">
        <v>1538</v>
      </c>
      <c r="AR5" s="558" t="s">
        <v>1539</v>
      </c>
      <c r="AS5" s="1674" t="s">
        <v>926</v>
      </c>
      <c r="AT5" s="1675" t="s">
        <v>927</v>
      </c>
      <c r="AU5" s="1675" t="s">
        <v>928</v>
      </c>
      <c r="AV5" s="1676" t="s">
        <v>929</v>
      </c>
      <c r="AW5" s="1678" t="s">
        <v>935</v>
      </c>
      <c r="AX5" s="554" t="s">
        <v>1361</v>
      </c>
      <c r="AY5" s="555" t="s">
        <v>1362</v>
      </c>
      <c r="AZ5" s="555" t="s">
        <v>1363</v>
      </c>
      <c r="BA5" s="556" t="s">
        <v>1364</v>
      </c>
      <c r="BB5" s="558">
        <v>2019</v>
      </c>
      <c r="BC5" s="554" t="s">
        <v>1365</v>
      </c>
      <c r="BD5" s="555" t="s">
        <v>1366</v>
      </c>
      <c r="BE5" s="555" t="s">
        <v>1367</v>
      </c>
      <c r="BF5" s="556" t="s">
        <v>1368</v>
      </c>
      <c r="BG5" s="558">
        <v>2020</v>
      </c>
      <c r="BH5" s="554" t="s">
        <v>1516</v>
      </c>
      <c r="BI5" s="555" t="s">
        <v>1517</v>
      </c>
      <c r="BJ5" s="555" t="s">
        <v>1518</v>
      </c>
      <c r="BK5" s="556" t="s">
        <v>1519</v>
      </c>
      <c r="BL5" s="558">
        <v>2021</v>
      </c>
      <c r="BM5" s="1679"/>
      <c r="BN5" s="1679"/>
      <c r="BO5" s="1679"/>
      <c r="BP5" s="1679"/>
      <c r="BQ5" s="1679"/>
      <c r="BR5" s="1679"/>
      <c r="BS5" s="1679"/>
      <c r="BT5" s="1679"/>
      <c r="BU5" s="1679"/>
      <c r="BV5" s="1679"/>
      <c r="BW5" s="1679"/>
      <c r="BX5" s="1679"/>
      <c r="BY5" s="1679"/>
      <c r="BZ5" s="1679"/>
      <c r="CA5" s="1679"/>
      <c r="CB5" s="1679"/>
      <c r="CC5" s="1679"/>
      <c r="CD5" s="1679"/>
      <c r="CE5" s="1679"/>
      <c r="CF5" s="1679"/>
      <c r="CG5" s="1679"/>
      <c r="CH5" s="1679"/>
      <c r="CI5" s="1679"/>
      <c r="CJ5" s="1679"/>
      <c r="CK5" s="1679"/>
      <c r="CL5" s="1679"/>
      <c r="CM5" s="1679"/>
      <c r="CN5" s="1679"/>
      <c r="CO5" s="1679"/>
      <c r="CP5" s="1679"/>
    </row>
    <row r="6" spans="1:94">
      <c r="A6" s="890"/>
      <c r="B6" s="890"/>
      <c r="C6" s="890"/>
      <c r="D6" s="890"/>
      <c r="E6" s="300"/>
      <c r="F6" s="264"/>
      <c r="G6" s="264"/>
      <c r="H6" s="299"/>
      <c r="I6" s="530"/>
      <c r="J6" s="300"/>
      <c r="K6" s="264"/>
      <c r="L6" s="264"/>
      <c r="M6" s="299"/>
      <c r="N6" s="530"/>
      <c r="O6" s="300"/>
      <c r="P6" s="264"/>
      <c r="Q6" s="264"/>
      <c r="R6" s="299"/>
      <c r="S6" s="530"/>
      <c r="T6" s="300"/>
      <c r="U6" s="264"/>
      <c r="V6" s="264"/>
      <c r="W6" s="299"/>
      <c r="X6" s="530"/>
      <c r="Y6" s="300"/>
      <c r="Z6" s="264"/>
      <c r="AA6" s="264"/>
      <c r="AB6" s="299"/>
      <c r="AC6" s="530"/>
      <c r="AD6" s="300"/>
      <c r="AE6" s="264"/>
      <c r="AF6" s="264"/>
      <c r="AG6" s="299"/>
      <c r="AH6" s="530"/>
      <c r="AI6" s="300"/>
      <c r="AJ6" s="264"/>
      <c r="AK6" s="264"/>
      <c r="AL6" s="299"/>
      <c r="AM6" s="530"/>
      <c r="AN6" s="300"/>
      <c r="AO6" s="264"/>
      <c r="AP6" s="264"/>
      <c r="AQ6" s="299"/>
      <c r="AR6" s="530"/>
      <c r="AS6" s="300"/>
      <c r="AT6" s="264"/>
      <c r="AU6" s="264"/>
      <c r="AV6" s="299"/>
      <c r="AW6" s="530"/>
      <c r="AX6" s="300"/>
      <c r="AY6" s="264"/>
      <c r="AZ6" s="264"/>
      <c r="BA6" s="299"/>
      <c r="BB6" s="530"/>
      <c r="BC6" s="300"/>
      <c r="BD6" s="264"/>
      <c r="BE6" s="264"/>
      <c r="BF6" s="299"/>
      <c r="BG6" s="530"/>
      <c r="BH6" s="300"/>
      <c r="BI6" s="264"/>
      <c r="BJ6" s="264"/>
      <c r="BK6" s="299"/>
      <c r="BL6" s="530"/>
      <c r="BM6" s="1680"/>
      <c r="BN6" s="1680"/>
      <c r="BO6" s="1680"/>
      <c r="BP6" s="1680"/>
      <c r="BQ6" s="1680"/>
      <c r="BR6" s="1680"/>
      <c r="BS6" s="1680"/>
      <c r="BT6" s="1680"/>
      <c r="BU6" s="1680"/>
      <c r="BV6" s="1680"/>
      <c r="BW6" s="1680"/>
      <c r="BX6" s="1680"/>
      <c r="BY6" s="1680"/>
      <c r="BZ6" s="1680"/>
      <c r="CA6" s="1680"/>
      <c r="CB6" s="1680"/>
      <c r="CC6" s="1680"/>
      <c r="CD6" s="1680"/>
      <c r="CE6" s="1680"/>
      <c r="CF6" s="1680"/>
      <c r="CG6" s="1680"/>
      <c r="CH6" s="1680"/>
      <c r="CI6" s="1680"/>
      <c r="CJ6" s="1680"/>
      <c r="CK6" s="1680"/>
      <c r="CL6" s="1680"/>
      <c r="CM6" s="1680"/>
      <c r="CN6" s="1680"/>
      <c r="CO6" s="1680"/>
      <c r="CP6" s="1680"/>
    </row>
    <row r="7" spans="1:94">
      <c r="A7" s="890"/>
      <c r="B7" s="1681" t="s">
        <v>277</v>
      </c>
      <c r="C7" s="1682"/>
      <c r="D7" s="1683"/>
      <c r="E7" s="300"/>
      <c r="F7" s="264"/>
      <c r="G7" s="264"/>
      <c r="H7" s="299"/>
      <c r="I7" s="330"/>
      <c r="J7" s="300"/>
      <c r="K7" s="264"/>
      <c r="L7" s="264"/>
      <c r="M7" s="299"/>
      <c r="N7" s="530"/>
      <c r="O7" s="300"/>
      <c r="P7" s="264"/>
      <c r="Q7" s="264"/>
      <c r="R7" s="299"/>
      <c r="S7" s="530"/>
      <c r="T7" s="300"/>
      <c r="U7" s="264"/>
      <c r="V7" s="264"/>
      <c r="W7" s="299"/>
      <c r="X7" s="530"/>
      <c r="Y7" s="300"/>
      <c r="Z7" s="264"/>
      <c r="AA7" s="264"/>
      <c r="AB7" s="299"/>
      <c r="AC7" s="530"/>
      <c r="AD7" s="300"/>
      <c r="AE7" s="264"/>
      <c r="AF7" s="264"/>
      <c r="AG7" s="299"/>
      <c r="AH7" s="530"/>
      <c r="AI7" s="300"/>
      <c r="AJ7" s="264"/>
      <c r="AK7" s="264"/>
      <c r="AL7" s="299"/>
      <c r="AM7" s="530"/>
      <c r="AN7" s="300"/>
      <c r="AO7" s="264"/>
      <c r="AP7" s="264"/>
      <c r="AQ7" s="299"/>
      <c r="AR7" s="530"/>
      <c r="AS7" s="300"/>
      <c r="AT7" s="264"/>
      <c r="AU7" s="264"/>
      <c r="AV7" s="299"/>
      <c r="AW7" s="530"/>
      <c r="AX7" s="300"/>
      <c r="AY7" s="264"/>
      <c r="AZ7" s="264"/>
      <c r="BA7" s="299"/>
      <c r="BB7" s="530"/>
      <c r="BC7" s="300"/>
      <c r="BD7" s="264"/>
      <c r="BE7" s="264"/>
      <c r="BF7" s="299"/>
      <c r="BG7" s="530"/>
      <c r="BH7" s="300"/>
      <c r="BI7" s="264"/>
      <c r="BJ7" s="264"/>
      <c r="BK7" s="299"/>
      <c r="BL7" s="530"/>
      <c r="BM7" s="1680"/>
      <c r="BN7" s="1680"/>
      <c r="BO7" s="1680"/>
      <c r="BP7" s="1680"/>
      <c r="BQ7" s="1680"/>
      <c r="BR7" s="1680"/>
      <c r="BS7" s="1680"/>
      <c r="BT7" s="1680"/>
      <c r="BU7" s="1680"/>
      <c r="BV7" s="1680"/>
      <c r="BW7" s="1680"/>
      <c r="BX7" s="1680"/>
      <c r="BY7" s="1680"/>
      <c r="BZ7" s="1680"/>
      <c r="CA7" s="1680"/>
      <c r="CB7" s="1680"/>
      <c r="CC7" s="1680"/>
      <c r="CD7" s="1680"/>
      <c r="CE7" s="1680"/>
      <c r="CF7" s="1680"/>
      <c r="CG7" s="1680"/>
      <c r="CH7" s="1680"/>
      <c r="CI7" s="1680"/>
      <c r="CJ7" s="1680"/>
      <c r="CK7" s="1680"/>
      <c r="CL7" s="1680"/>
      <c r="CM7" s="1680"/>
      <c r="CN7" s="1680"/>
      <c r="CO7" s="1680"/>
      <c r="CP7" s="1680"/>
    </row>
    <row r="8" spans="1:94" s="1686" customFormat="1">
      <c r="A8" s="45"/>
      <c r="B8" s="45"/>
      <c r="C8" s="895" t="s">
        <v>60</v>
      </c>
      <c r="D8" s="45"/>
      <c r="E8" s="337"/>
      <c r="F8" s="338"/>
      <c r="G8" s="338"/>
      <c r="H8" s="291"/>
      <c r="I8" s="339">
        <f>1430+108</f>
        <v>1538</v>
      </c>
      <c r="J8" s="337">
        <f>315+3</f>
        <v>318</v>
      </c>
      <c r="K8" s="338">
        <f>304+29</f>
        <v>333</v>
      </c>
      <c r="L8" s="338">
        <f>399+17</f>
        <v>416</v>
      </c>
      <c r="M8" s="291">
        <f>N8-SUM(J8:L8)</f>
        <v>264</v>
      </c>
      <c r="N8" s="339">
        <f>1268+63</f>
        <v>1331</v>
      </c>
      <c r="O8" s="337">
        <f>256+15</f>
        <v>271</v>
      </c>
      <c r="P8" s="338">
        <f>270+20</f>
        <v>290</v>
      </c>
      <c r="Q8" s="338">
        <f>413-29</f>
        <v>384</v>
      </c>
      <c r="R8" s="291">
        <f>S8-SUM(O8:Q8)</f>
        <v>258</v>
      </c>
      <c r="S8" s="339">
        <f>1198+5</f>
        <v>1203</v>
      </c>
      <c r="T8" s="337">
        <f>277+1</f>
        <v>278</v>
      </c>
      <c r="U8" s="338">
        <f>271+4</f>
        <v>275</v>
      </c>
      <c r="V8" s="338">
        <f>396-42</f>
        <v>354</v>
      </c>
      <c r="W8" s="291">
        <f>X8-SUM(T8:V8)</f>
        <v>269</v>
      </c>
      <c r="X8" s="339">
        <f>1202-26</f>
        <v>1176</v>
      </c>
      <c r="Y8" s="337">
        <f>340-44</f>
        <v>296</v>
      </c>
      <c r="Z8" s="338">
        <f>253+13</f>
        <v>266</v>
      </c>
      <c r="AA8" s="338">
        <f>347+1</f>
        <v>348</v>
      </c>
      <c r="AB8" s="291">
        <f>AC8-SUM(Y8:AA8)</f>
        <v>283</v>
      </c>
      <c r="AC8" s="339">
        <f>1213-20</f>
        <v>1193</v>
      </c>
      <c r="AD8" s="337">
        <f>333-30</f>
        <v>303</v>
      </c>
      <c r="AE8" s="338">
        <f>286+9</f>
        <v>295</v>
      </c>
      <c r="AF8" s="338">
        <f>387-13</f>
        <v>374</v>
      </c>
      <c r="AG8" s="291">
        <f>AH8-SUM(AD8:AF8)</f>
        <v>296</v>
      </c>
      <c r="AH8" s="2056">
        <f>1298-30</f>
        <v>1268</v>
      </c>
      <c r="AI8" s="337">
        <v>291</v>
      </c>
      <c r="AJ8" s="338">
        <v>270</v>
      </c>
      <c r="AK8" s="338">
        <v>421</v>
      </c>
      <c r="AL8" s="291">
        <f>AM8-SUM(AI8:AK8)</f>
        <v>275</v>
      </c>
      <c r="AM8" s="2056">
        <v>1257</v>
      </c>
      <c r="AN8" s="337">
        <v>275</v>
      </c>
      <c r="AO8" s="338">
        <v>270</v>
      </c>
      <c r="AP8" s="338">
        <v>370</v>
      </c>
      <c r="AQ8" s="291">
        <f>AR8-SUM(AN8:AP8)</f>
        <v>271</v>
      </c>
      <c r="AR8" s="2056">
        <v>1186</v>
      </c>
      <c r="AS8" s="290">
        <f t="shared" ref="AS8:AW8" si="0">+AS62</f>
        <v>270.51483534865645</v>
      </c>
      <c r="AT8" s="260">
        <f t="shared" si="0"/>
        <v>265.71803566511215</v>
      </c>
      <c r="AU8" s="260">
        <f t="shared" si="0"/>
        <v>366.99159721296917</v>
      </c>
      <c r="AV8" s="291">
        <f t="shared" si="0"/>
        <v>266.56919499777933</v>
      </c>
      <c r="AW8" s="45">
        <f t="shared" si="0"/>
        <v>1169.7936632245171</v>
      </c>
      <c r="AX8" s="290">
        <f t="shared" ref="AX8:BG8" si="1">+AX62</f>
        <v>270.00635056463972</v>
      </c>
      <c r="AY8" s="260">
        <f t="shared" si="1"/>
        <v>265.34706403312515</v>
      </c>
      <c r="AZ8" s="260">
        <f t="shared" si="1"/>
        <v>373.87237335280997</v>
      </c>
      <c r="BA8" s="291">
        <f t="shared" si="1"/>
        <v>272.48737907341166</v>
      </c>
      <c r="BB8" s="45">
        <f t="shared" si="1"/>
        <v>1181.7131670239864</v>
      </c>
      <c r="BC8" s="290">
        <f t="shared" si="1"/>
        <v>279.70136135432875</v>
      </c>
      <c r="BD8" s="260">
        <f t="shared" si="1"/>
        <v>275.180754353716</v>
      </c>
      <c r="BE8" s="260">
        <f t="shared" si="1"/>
        <v>378.26096103425027</v>
      </c>
      <c r="BF8" s="291">
        <f t="shared" si="1"/>
        <v>275.90521003853928</v>
      </c>
      <c r="BG8" s="45">
        <f t="shared" si="1"/>
        <v>1209.0482867808341</v>
      </c>
      <c r="BH8" s="290">
        <f t="shared" ref="BH8:BL8" si="2">+BH62</f>
        <v>275.94441362022081</v>
      </c>
      <c r="BI8" s="260">
        <f t="shared" si="2"/>
        <v>271.48966968532568</v>
      </c>
      <c r="BJ8" s="260">
        <f t="shared" si="2"/>
        <v>375.23685300577989</v>
      </c>
      <c r="BK8" s="291">
        <f t="shared" si="2"/>
        <v>272.42006055004538</v>
      </c>
      <c r="BL8" s="45">
        <f t="shared" si="2"/>
        <v>1195.0909968613719</v>
      </c>
      <c r="BM8" s="45"/>
      <c r="BN8" s="45"/>
      <c r="BO8" s="45"/>
      <c r="BP8" s="45"/>
      <c r="BQ8" s="45"/>
      <c r="BR8" s="45"/>
      <c r="BS8" s="45"/>
      <c r="BT8" s="45"/>
      <c r="BU8" s="45"/>
      <c r="BV8" s="45"/>
      <c r="BW8" s="45"/>
      <c r="BX8" s="45"/>
      <c r="BY8" s="45"/>
      <c r="BZ8" s="45"/>
      <c r="CA8" s="45"/>
      <c r="CB8" s="45"/>
      <c r="CC8" s="45"/>
      <c r="CD8" s="45"/>
      <c r="CE8" s="45"/>
      <c r="CF8" s="45"/>
      <c r="CG8" s="45"/>
      <c r="CH8" s="45"/>
      <c r="CI8" s="45"/>
      <c r="CJ8" s="45"/>
      <c r="CK8" s="45"/>
      <c r="CL8" s="45"/>
      <c r="CM8" s="45"/>
      <c r="CN8" s="45"/>
      <c r="CO8" s="45"/>
      <c r="CP8" s="45"/>
    </row>
    <row r="9" spans="1:94" s="1686" customFormat="1">
      <c r="A9" s="45"/>
      <c r="B9" s="45"/>
      <c r="C9" s="895" t="s">
        <v>723</v>
      </c>
      <c r="D9" s="45"/>
      <c r="E9" s="290"/>
      <c r="F9" s="260"/>
      <c r="G9" s="260"/>
      <c r="H9" s="291"/>
      <c r="I9" s="339">
        <v>1030</v>
      </c>
      <c r="J9" s="337">
        <v>198</v>
      </c>
      <c r="K9" s="338">
        <v>196</v>
      </c>
      <c r="L9" s="338">
        <v>254</v>
      </c>
      <c r="M9" s="586">
        <f>N9-SUM(J9:L9)</f>
        <v>159</v>
      </c>
      <c r="N9" s="339">
        <v>807</v>
      </c>
      <c r="O9" s="337">
        <v>166</v>
      </c>
      <c r="P9" s="338">
        <v>163</v>
      </c>
      <c r="Q9" s="338">
        <v>226</v>
      </c>
      <c r="R9" s="586">
        <f>S9-SUM(O9:Q9)</f>
        <v>148</v>
      </c>
      <c r="S9" s="339">
        <v>703</v>
      </c>
      <c r="T9" s="337">
        <v>157</v>
      </c>
      <c r="U9" s="338">
        <v>154</v>
      </c>
      <c r="V9" s="338">
        <v>198</v>
      </c>
      <c r="W9" s="586">
        <f>X9-SUM(T9:V9)</f>
        <v>151</v>
      </c>
      <c r="X9" s="339">
        <v>660</v>
      </c>
      <c r="Y9" s="337">
        <v>165</v>
      </c>
      <c r="Z9" s="338">
        <v>151</v>
      </c>
      <c r="AA9" s="338">
        <v>188</v>
      </c>
      <c r="AB9" s="586">
        <f>AC9-SUM(Y9:AA9)</f>
        <v>149</v>
      </c>
      <c r="AC9" s="339">
        <v>653</v>
      </c>
      <c r="AD9" s="337">
        <v>169</v>
      </c>
      <c r="AE9" s="338">
        <v>152</v>
      </c>
      <c r="AF9" s="338">
        <v>214</v>
      </c>
      <c r="AG9" s="586">
        <f>AH9-SUM(AD9:AF9)</f>
        <v>150</v>
      </c>
      <c r="AH9" s="2056">
        <v>685</v>
      </c>
      <c r="AI9" s="337">
        <f>157+1</f>
        <v>158</v>
      </c>
      <c r="AJ9" s="338">
        <f>129+12</f>
        <v>141</v>
      </c>
      <c r="AK9" s="338">
        <f>206+15</f>
        <v>221</v>
      </c>
      <c r="AL9" s="586">
        <f>AM9-SUM(AI9:AK9)</f>
        <v>131</v>
      </c>
      <c r="AM9" s="2056">
        <f>614+37</f>
        <v>651</v>
      </c>
      <c r="AN9" s="337">
        <f>128+9</f>
        <v>137</v>
      </c>
      <c r="AO9" s="338">
        <f>121+7</f>
        <v>128</v>
      </c>
      <c r="AP9" s="338">
        <f>169+7</f>
        <v>176</v>
      </c>
      <c r="AQ9" s="586">
        <f>AR9-SUM(AN9:AP9)</f>
        <v>129</v>
      </c>
      <c r="AR9" s="2056">
        <f>29+541</f>
        <v>570</v>
      </c>
      <c r="AS9" s="290">
        <f>+AS71</f>
        <v>137</v>
      </c>
      <c r="AT9" s="260">
        <f>+AT71</f>
        <v>128.00000000000003</v>
      </c>
      <c r="AU9" s="260">
        <f>+AU71</f>
        <v>176</v>
      </c>
      <c r="AV9" s="291">
        <f>+AV71</f>
        <v>129</v>
      </c>
      <c r="AW9" s="45">
        <f>SUM(AS9:AV9)</f>
        <v>570</v>
      </c>
      <c r="AX9" s="290">
        <f>+AX71</f>
        <v>137</v>
      </c>
      <c r="AY9" s="260">
        <f>+AY71</f>
        <v>128.00000000000003</v>
      </c>
      <c r="AZ9" s="260">
        <f>+AZ71</f>
        <v>176</v>
      </c>
      <c r="BA9" s="291">
        <f>+BA71</f>
        <v>129</v>
      </c>
      <c r="BB9" s="45">
        <f>SUM(AX9:BA9)</f>
        <v>570</v>
      </c>
      <c r="BC9" s="290">
        <f>+BC71</f>
        <v>137</v>
      </c>
      <c r="BD9" s="260">
        <f>+BD71</f>
        <v>128.00000000000003</v>
      </c>
      <c r="BE9" s="260">
        <f>+BE71</f>
        <v>176</v>
      </c>
      <c r="BF9" s="291">
        <f>+BF71</f>
        <v>129</v>
      </c>
      <c r="BG9" s="45">
        <f>SUM(BC9:BF9)</f>
        <v>570</v>
      </c>
      <c r="BH9" s="290">
        <f>+BH71</f>
        <v>137</v>
      </c>
      <c r="BI9" s="260">
        <f>+BI71</f>
        <v>128.00000000000003</v>
      </c>
      <c r="BJ9" s="260">
        <f>+BJ71</f>
        <v>176</v>
      </c>
      <c r="BK9" s="291">
        <f>+BK71</f>
        <v>129</v>
      </c>
      <c r="BL9" s="45">
        <f>SUM(BH9:BK9)</f>
        <v>570</v>
      </c>
      <c r="BW9" s="45"/>
      <c r="BX9" s="45"/>
      <c r="BY9" s="45"/>
      <c r="BZ9" s="45"/>
      <c r="CA9" s="45"/>
      <c r="CB9" s="45"/>
      <c r="CC9" s="45"/>
      <c r="CD9" s="45"/>
      <c r="CE9" s="45"/>
      <c r="CF9" s="45"/>
      <c r="CG9" s="45"/>
      <c r="CH9" s="45"/>
      <c r="CI9" s="45"/>
      <c r="CJ9" s="45"/>
      <c r="CK9" s="45"/>
      <c r="CL9" s="45"/>
      <c r="CM9" s="45"/>
      <c r="CN9" s="45"/>
      <c r="CO9" s="45"/>
      <c r="CP9" s="45"/>
    </row>
    <row r="10" spans="1:94">
      <c r="A10" s="228"/>
      <c r="B10" s="228"/>
      <c r="C10" s="909" t="s">
        <v>63</v>
      </c>
      <c r="D10" s="228"/>
      <c r="E10" s="292"/>
      <c r="F10" s="261"/>
      <c r="G10" s="261"/>
      <c r="H10" s="293"/>
      <c r="I10" s="228">
        <f t="shared" ref="I10:AW10" si="3">+I8-I9</f>
        <v>508</v>
      </c>
      <c r="J10" s="292">
        <f t="shared" si="3"/>
        <v>120</v>
      </c>
      <c r="K10" s="261">
        <f t="shared" si="3"/>
        <v>137</v>
      </c>
      <c r="L10" s="261">
        <f t="shared" si="3"/>
        <v>162</v>
      </c>
      <c r="M10" s="293">
        <f t="shared" si="3"/>
        <v>105</v>
      </c>
      <c r="N10" s="228">
        <f t="shared" si="3"/>
        <v>524</v>
      </c>
      <c r="O10" s="292">
        <f t="shared" si="3"/>
        <v>105</v>
      </c>
      <c r="P10" s="261">
        <f t="shared" si="3"/>
        <v>127</v>
      </c>
      <c r="Q10" s="261">
        <f t="shared" si="3"/>
        <v>158</v>
      </c>
      <c r="R10" s="293">
        <f t="shared" si="3"/>
        <v>110</v>
      </c>
      <c r="S10" s="228">
        <f t="shared" si="3"/>
        <v>500</v>
      </c>
      <c r="T10" s="292">
        <f t="shared" si="3"/>
        <v>121</v>
      </c>
      <c r="U10" s="261">
        <f t="shared" si="3"/>
        <v>121</v>
      </c>
      <c r="V10" s="261">
        <f t="shared" si="3"/>
        <v>156</v>
      </c>
      <c r="W10" s="293">
        <f t="shared" si="3"/>
        <v>118</v>
      </c>
      <c r="X10" s="228">
        <f t="shared" si="3"/>
        <v>516</v>
      </c>
      <c r="Y10" s="292">
        <f t="shared" si="3"/>
        <v>131</v>
      </c>
      <c r="Z10" s="261">
        <f t="shared" si="3"/>
        <v>115</v>
      </c>
      <c r="AA10" s="261">
        <f t="shared" ref="AA10:AE10" si="4">+AA8-AA9</f>
        <v>160</v>
      </c>
      <c r="AB10" s="293">
        <f t="shared" si="4"/>
        <v>134</v>
      </c>
      <c r="AC10" s="228">
        <f t="shared" si="4"/>
        <v>540</v>
      </c>
      <c r="AD10" s="292">
        <f t="shared" si="4"/>
        <v>134</v>
      </c>
      <c r="AE10" s="261">
        <f t="shared" si="4"/>
        <v>143</v>
      </c>
      <c r="AF10" s="261">
        <f t="shared" ref="AF10:AJ10" si="5">+AF8-AF9</f>
        <v>160</v>
      </c>
      <c r="AG10" s="293">
        <f t="shared" si="5"/>
        <v>146</v>
      </c>
      <c r="AH10" s="228">
        <f t="shared" si="5"/>
        <v>583</v>
      </c>
      <c r="AI10" s="292">
        <f t="shared" si="5"/>
        <v>133</v>
      </c>
      <c r="AJ10" s="261">
        <f t="shared" si="5"/>
        <v>129</v>
      </c>
      <c r="AK10" s="261">
        <f t="shared" ref="AK10:AO10" si="6">+AK8-AK9</f>
        <v>200</v>
      </c>
      <c r="AL10" s="293">
        <f t="shared" si="6"/>
        <v>144</v>
      </c>
      <c r="AM10" s="228">
        <f t="shared" si="6"/>
        <v>606</v>
      </c>
      <c r="AN10" s="292">
        <f t="shared" si="6"/>
        <v>138</v>
      </c>
      <c r="AO10" s="261">
        <f t="shared" si="6"/>
        <v>142</v>
      </c>
      <c r="AP10" s="261">
        <f t="shared" si="3"/>
        <v>194</v>
      </c>
      <c r="AQ10" s="293">
        <f t="shared" si="3"/>
        <v>142</v>
      </c>
      <c r="AR10" s="228">
        <f t="shared" si="3"/>
        <v>616</v>
      </c>
      <c r="AS10" s="292">
        <f t="shared" si="3"/>
        <v>133.51483534865645</v>
      </c>
      <c r="AT10" s="261">
        <f t="shared" si="3"/>
        <v>137.71803566511213</v>
      </c>
      <c r="AU10" s="261">
        <f t="shared" si="3"/>
        <v>190.99159721296917</v>
      </c>
      <c r="AV10" s="293">
        <f t="shared" si="3"/>
        <v>137.56919499777933</v>
      </c>
      <c r="AW10" s="228">
        <f t="shared" si="3"/>
        <v>599.7936632245171</v>
      </c>
      <c r="AX10" s="292">
        <f t="shared" ref="AX10:BG10" si="7">+AX8-AX9</f>
        <v>133.00635056463972</v>
      </c>
      <c r="AY10" s="261">
        <f t="shared" si="7"/>
        <v>137.34706403312512</v>
      </c>
      <c r="AZ10" s="261">
        <f t="shared" si="7"/>
        <v>197.87237335280997</v>
      </c>
      <c r="BA10" s="293">
        <f t="shared" si="7"/>
        <v>143.48737907341166</v>
      </c>
      <c r="BB10" s="228">
        <f t="shared" si="7"/>
        <v>611.71316702398644</v>
      </c>
      <c r="BC10" s="292">
        <f t="shared" si="7"/>
        <v>142.70136135432875</v>
      </c>
      <c r="BD10" s="261">
        <f t="shared" si="7"/>
        <v>147.18075435371597</v>
      </c>
      <c r="BE10" s="261">
        <f t="shared" si="7"/>
        <v>202.26096103425027</v>
      </c>
      <c r="BF10" s="293">
        <f t="shared" si="7"/>
        <v>146.90521003853928</v>
      </c>
      <c r="BG10" s="228">
        <f t="shared" si="7"/>
        <v>639.04828678083413</v>
      </c>
      <c r="BH10" s="292">
        <f t="shared" ref="BH10:BL10" si="8">+BH8-BH9</f>
        <v>138.94441362022081</v>
      </c>
      <c r="BI10" s="261">
        <f t="shared" si="8"/>
        <v>143.48966968532565</v>
      </c>
      <c r="BJ10" s="261">
        <f t="shared" si="8"/>
        <v>199.23685300577989</v>
      </c>
      <c r="BK10" s="293">
        <f t="shared" si="8"/>
        <v>143.42006055004538</v>
      </c>
      <c r="BL10" s="228">
        <f t="shared" si="8"/>
        <v>625.09099686137188</v>
      </c>
      <c r="BW10" s="228"/>
      <c r="BX10" s="228"/>
      <c r="BY10" s="228"/>
      <c r="BZ10" s="228"/>
      <c r="CA10" s="228"/>
      <c r="CB10" s="228"/>
      <c r="CC10" s="228"/>
      <c r="CD10" s="228"/>
      <c r="CE10" s="228"/>
      <c r="CF10" s="228"/>
      <c r="CG10" s="228"/>
      <c r="CH10" s="228"/>
      <c r="CI10" s="228"/>
      <c r="CJ10" s="228"/>
      <c r="CK10" s="228"/>
      <c r="CL10" s="228"/>
      <c r="CM10" s="228"/>
      <c r="CN10" s="228"/>
      <c r="CO10" s="228"/>
      <c r="CP10" s="228"/>
    </row>
    <row r="11" spans="1:94">
      <c r="A11" s="330"/>
      <c r="B11" s="330"/>
      <c r="C11" s="895"/>
      <c r="D11" s="330"/>
      <c r="E11" s="300"/>
      <c r="F11" s="264"/>
      <c r="G11" s="264"/>
      <c r="H11" s="299"/>
      <c r="I11" s="330"/>
      <c r="J11" s="300"/>
      <c r="K11" s="264"/>
      <c r="L11" s="264"/>
      <c r="M11" s="299"/>
      <c r="N11" s="330"/>
      <c r="O11" s="300"/>
      <c r="P11" s="264"/>
      <c r="Q11" s="264"/>
      <c r="R11" s="299"/>
      <c r="S11" s="330"/>
      <c r="T11" s="300"/>
      <c r="U11" s="264"/>
      <c r="V11" s="264"/>
      <c r="W11" s="299"/>
      <c r="X11" s="330"/>
      <c r="Y11" s="300"/>
      <c r="Z11" s="264"/>
      <c r="AA11" s="264"/>
      <c r="AB11" s="299"/>
      <c r="AC11" s="330"/>
      <c r="AD11" s="300"/>
      <c r="AE11" s="264"/>
      <c r="AF11" s="264"/>
      <c r="AG11" s="299"/>
      <c r="AH11" s="330"/>
      <c r="AI11" s="300"/>
      <c r="AJ11" s="264"/>
      <c r="AK11" s="264"/>
      <c r="AL11" s="299"/>
      <c r="AM11" s="330"/>
      <c r="AN11" s="300"/>
      <c r="AO11" s="264"/>
      <c r="AP11" s="264"/>
      <c r="AQ11" s="299"/>
      <c r="AR11" s="330"/>
      <c r="AS11" s="300"/>
      <c r="AT11" s="264"/>
      <c r="AU11" s="264"/>
      <c r="AV11" s="299"/>
      <c r="AW11" s="330"/>
      <c r="AX11" s="300"/>
      <c r="AY11" s="264"/>
      <c r="AZ11" s="264"/>
      <c r="BA11" s="299"/>
      <c r="BB11" s="330"/>
      <c r="BC11" s="300"/>
      <c r="BD11" s="264"/>
      <c r="BE11" s="264"/>
      <c r="BF11" s="299"/>
      <c r="BG11" s="330"/>
      <c r="BH11" s="300"/>
      <c r="BI11" s="264"/>
      <c r="BJ11" s="264"/>
      <c r="BK11" s="299"/>
      <c r="BL11" s="330"/>
      <c r="BW11" s="330"/>
      <c r="BX11" s="330"/>
      <c r="BY11" s="330"/>
      <c r="BZ11" s="330"/>
      <c r="CA11" s="330"/>
      <c r="CB11" s="330"/>
      <c r="CC11" s="330"/>
      <c r="CD11" s="330"/>
      <c r="CE11" s="330"/>
      <c r="CF11" s="330"/>
      <c r="CG11" s="330"/>
      <c r="CH11" s="330"/>
      <c r="CI11" s="330"/>
      <c r="CJ11" s="330"/>
      <c r="CK11" s="330"/>
      <c r="CL11" s="330"/>
      <c r="CM11" s="330"/>
      <c r="CN11" s="330"/>
      <c r="CO11" s="330"/>
      <c r="CP11" s="330"/>
    </row>
    <row r="12" spans="1:94">
      <c r="A12" s="330"/>
      <c r="B12" s="330"/>
      <c r="C12" s="895" t="s">
        <v>64</v>
      </c>
      <c r="D12" s="330"/>
      <c r="E12" s="337"/>
      <c r="F12" s="338"/>
      <c r="G12" s="338"/>
      <c r="H12" s="586"/>
      <c r="I12" s="339">
        <v>204</v>
      </c>
      <c r="J12" s="337">
        <v>55</v>
      </c>
      <c r="K12" s="338">
        <v>51</v>
      </c>
      <c r="L12" s="338">
        <v>61</v>
      </c>
      <c r="M12" s="586">
        <f>N12-SUM(J12:L12)</f>
        <v>59</v>
      </c>
      <c r="N12" s="339">
        <v>226</v>
      </c>
      <c r="O12" s="337">
        <v>56</v>
      </c>
      <c r="P12" s="338">
        <v>56</v>
      </c>
      <c r="Q12" s="338">
        <v>66</v>
      </c>
      <c r="R12" s="586">
        <f>S12-SUM(O12:Q12)</f>
        <v>61</v>
      </c>
      <c r="S12" s="339">
        <v>239</v>
      </c>
      <c r="T12" s="337">
        <v>61</v>
      </c>
      <c r="U12" s="338">
        <v>58</v>
      </c>
      <c r="V12" s="338">
        <v>58</v>
      </c>
      <c r="W12" s="586">
        <f>X12-SUM(T12:V12)</f>
        <v>53</v>
      </c>
      <c r="X12" s="339">
        <v>230</v>
      </c>
      <c r="Y12" s="337">
        <v>61</v>
      </c>
      <c r="Z12" s="338">
        <v>52</v>
      </c>
      <c r="AA12" s="338">
        <v>65</v>
      </c>
      <c r="AB12" s="586">
        <f>AC12-SUM(Y12:AA12)</f>
        <v>68</v>
      </c>
      <c r="AC12" s="339">
        <v>246</v>
      </c>
      <c r="AD12" s="337">
        <v>70</v>
      </c>
      <c r="AE12" s="338">
        <v>67</v>
      </c>
      <c r="AF12" s="338">
        <v>72</v>
      </c>
      <c r="AG12" s="586">
        <f>AH12-SUM(AD12:AF12)</f>
        <v>63</v>
      </c>
      <c r="AH12" s="2056">
        <v>272</v>
      </c>
      <c r="AI12" s="337">
        <f>211+1</f>
        <v>212</v>
      </c>
      <c r="AJ12" s="338">
        <f>63+5</f>
        <v>68</v>
      </c>
      <c r="AK12" s="338">
        <f>62+5</f>
        <v>67</v>
      </c>
      <c r="AL12" s="586">
        <f>AM12-SUM(AI12:AK12)</f>
        <v>81</v>
      </c>
      <c r="AM12" s="2056">
        <f>410+18</f>
        <v>428</v>
      </c>
      <c r="AN12" s="337">
        <f>69+7</f>
        <v>76</v>
      </c>
      <c r="AO12" s="338">
        <f>71+7</f>
        <v>78</v>
      </c>
      <c r="AP12" s="338">
        <f>66+6</f>
        <v>72</v>
      </c>
      <c r="AQ12" s="586">
        <f>AR12-SUM(AN12:AP12)</f>
        <v>81</v>
      </c>
      <c r="AR12" s="2056">
        <f>279+28</f>
        <v>307</v>
      </c>
      <c r="AS12" s="290">
        <f>+AS85</f>
        <v>72.2</v>
      </c>
      <c r="AT12" s="260">
        <f>+AT85</f>
        <v>74.099999999999994</v>
      </c>
      <c r="AU12" s="260">
        <f>+AU85</f>
        <v>68.399999999999991</v>
      </c>
      <c r="AV12" s="291">
        <f>+AV85</f>
        <v>76.95</v>
      </c>
      <c r="AW12" s="330">
        <f>SUM(AS12:AV12)</f>
        <v>291.64999999999998</v>
      </c>
      <c r="AX12" s="290">
        <f>+AX85</f>
        <v>71.478000000000009</v>
      </c>
      <c r="AY12" s="260">
        <f>+AY85</f>
        <v>73.358999999999995</v>
      </c>
      <c r="AZ12" s="260">
        <f>+AZ85</f>
        <v>67.715999999999994</v>
      </c>
      <c r="BA12" s="291">
        <f>+BA85</f>
        <v>76.180500000000009</v>
      </c>
      <c r="BB12" s="330">
        <f>SUM(AX12:BA12)</f>
        <v>288.73349999999999</v>
      </c>
      <c r="BC12" s="290">
        <f>+BC85</f>
        <v>68.97627</v>
      </c>
      <c r="BD12" s="260">
        <f>+BD85</f>
        <v>70.791434999999993</v>
      </c>
      <c r="BE12" s="260">
        <f>+BE85</f>
        <v>65.345939999999999</v>
      </c>
      <c r="BF12" s="291">
        <f>+BF85</f>
        <v>73.514182500000004</v>
      </c>
      <c r="BG12" s="330">
        <f>SUM(BC12:BF12)</f>
        <v>278.62782749999997</v>
      </c>
      <c r="BH12" s="290">
        <f>+BH85</f>
        <v>64.837693799999997</v>
      </c>
      <c r="BI12" s="260">
        <f>+BI85</f>
        <v>66.54394889999999</v>
      </c>
      <c r="BJ12" s="260">
        <f>+BJ85</f>
        <v>61.425183599999997</v>
      </c>
      <c r="BK12" s="291">
        <f>+BK85</f>
        <v>69.103331549999993</v>
      </c>
      <c r="BL12" s="330">
        <f>SUM(BH12:BK12)</f>
        <v>261.91015784999996</v>
      </c>
      <c r="BN12" s="2162"/>
      <c r="BW12" s="330"/>
      <c r="BX12" s="330"/>
      <c r="BY12" s="330"/>
      <c r="BZ12" s="330"/>
      <c r="CA12" s="330"/>
      <c r="CB12" s="330"/>
      <c r="CC12" s="330"/>
      <c r="CD12" s="330"/>
      <c r="CE12" s="330"/>
      <c r="CF12" s="330"/>
      <c r="CG12" s="330"/>
      <c r="CH12" s="330"/>
      <c r="CI12" s="330"/>
      <c r="CJ12" s="330"/>
      <c r="CK12" s="330"/>
      <c r="CL12" s="330"/>
      <c r="CM12" s="330"/>
      <c r="CN12" s="330"/>
      <c r="CO12" s="330"/>
      <c r="CP12" s="330"/>
    </row>
    <row r="13" spans="1:94">
      <c r="A13" s="330"/>
      <c r="B13" s="330"/>
      <c r="C13" s="895" t="s">
        <v>724</v>
      </c>
      <c r="D13" s="330"/>
      <c r="E13" s="337"/>
      <c r="F13" s="338"/>
      <c r="G13" s="338"/>
      <c r="H13" s="586"/>
      <c r="I13" s="339">
        <v>112</v>
      </c>
      <c r="J13" s="337">
        <v>33</v>
      </c>
      <c r="K13" s="338">
        <v>33</v>
      </c>
      <c r="L13" s="338">
        <v>41</v>
      </c>
      <c r="M13" s="586">
        <f>N13-SUM(J13:L13)</f>
        <v>27</v>
      </c>
      <c r="N13" s="339">
        <v>134</v>
      </c>
      <c r="O13" s="337">
        <v>28</v>
      </c>
      <c r="P13" s="338">
        <v>27</v>
      </c>
      <c r="Q13" s="338">
        <v>37</v>
      </c>
      <c r="R13" s="586">
        <f>S13-SUM(O13:Q13)</f>
        <v>32</v>
      </c>
      <c r="S13" s="339">
        <v>124</v>
      </c>
      <c r="T13" s="337">
        <v>31</v>
      </c>
      <c r="U13" s="338">
        <v>32</v>
      </c>
      <c r="V13" s="338">
        <v>38</v>
      </c>
      <c r="W13" s="586">
        <f>X13-SUM(T13:V13)</f>
        <v>35</v>
      </c>
      <c r="X13" s="339">
        <v>136</v>
      </c>
      <c r="Y13" s="337">
        <v>38</v>
      </c>
      <c r="Z13" s="338">
        <v>37</v>
      </c>
      <c r="AA13" s="338">
        <v>42</v>
      </c>
      <c r="AB13" s="586">
        <f>AC13-SUM(Y13:AA13)</f>
        <v>40</v>
      </c>
      <c r="AC13" s="339">
        <v>157</v>
      </c>
      <c r="AD13" s="337">
        <v>43</v>
      </c>
      <c r="AE13" s="338">
        <v>43</v>
      </c>
      <c r="AF13" s="338">
        <v>49</v>
      </c>
      <c r="AG13" s="586">
        <f>AH13-SUM(AD13:AF13)</f>
        <v>41</v>
      </c>
      <c r="AH13" s="2056">
        <v>176</v>
      </c>
      <c r="AI13" s="337">
        <v>40</v>
      </c>
      <c r="AJ13" s="338">
        <v>41</v>
      </c>
      <c r="AK13" s="338">
        <v>49</v>
      </c>
      <c r="AL13" s="586">
        <f>AM13-SUM(AI13:AK13)</f>
        <v>35</v>
      </c>
      <c r="AM13" s="2056">
        <v>165</v>
      </c>
      <c r="AN13" s="337">
        <v>35</v>
      </c>
      <c r="AO13" s="338">
        <v>37</v>
      </c>
      <c r="AP13" s="338">
        <v>41</v>
      </c>
      <c r="AQ13" s="586">
        <f>AR13-SUM(AN13:AP13)</f>
        <v>33</v>
      </c>
      <c r="AR13" s="2056">
        <v>146</v>
      </c>
      <c r="AS13" s="290">
        <f>AS108</f>
        <v>32.024836999214457</v>
      </c>
      <c r="AT13" s="260">
        <f>AT108</f>
        <v>32.344907326759291</v>
      </c>
      <c r="AU13" s="260">
        <f>AU108</f>
        <v>32.925358501044563</v>
      </c>
      <c r="AV13" s="291">
        <f>AV108</f>
        <v>33.500322775936617</v>
      </c>
      <c r="AW13" s="330">
        <f>SUM(AS13:AV13)</f>
        <v>130.79542560295494</v>
      </c>
      <c r="AX13" s="290">
        <f>AX108</f>
        <v>30.819852018097606</v>
      </c>
      <c r="AY13" s="260">
        <f>AY108</f>
        <v>31.505611745052569</v>
      </c>
      <c r="AZ13" s="260">
        <f>AZ108</f>
        <v>31.975836401016153</v>
      </c>
      <c r="BA13" s="291">
        <f>BA108</f>
        <v>32.441616108819105</v>
      </c>
      <c r="BB13" s="330">
        <f>SUM(AX13:BA13)</f>
        <v>126.74291627298543</v>
      </c>
      <c r="BC13" s="290">
        <f>BC108</f>
        <v>33.402992885748034</v>
      </c>
      <c r="BD13" s="260">
        <f>BD108</f>
        <v>33.855281942834765</v>
      </c>
      <c r="BE13" s="260">
        <f>BE108</f>
        <v>34.303295593715369</v>
      </c>
      <c r="BF13" s="291">
        <f>BF108</f>
        <v>34.747074253027236</v>
      </c>
      <c r="BG13" s="330">
        <f>SUM(BC13:BF13)</f>
        <v>136.30864467532541</v>
      </c>
      <c r="BH13" s="290">
        <f>BH108</f>
        <v>30.186657953375498</v>
      </c>
      <c r="BI13" s="260">
        <f>BI108</f>
        <v>30.851135404023228</v>
      </c>
      <c r="BJ13" s="260">
        <f>BJ108</f>
        <v>31.09122625216671</v>
      </c>
      <c r="BK13" s="291">
        <f>BK108</f>
        <v>31.32904756518414</v>
      </c>
      <c r="BL13" s="330">
        <f>SUM(BH13:BK13)</f>
        <v>123.45806717474957</v>
      </c>
      <c r="BW13" s="330"/>
      <c r="BX13" s="330"/>
      <c r="BY13" s="330"/>
      <c r="BZ13" s="330"/>
      <c r="CA13" s="330"/>
      <c r="CB13" s="330"/>
      <c r="CC13" s="330"/>
      <c r="CD13" s="330"/>
      <c r="CE13" s="330"/>
      <c r="CF13" s="330"/>
      <c r="CG13" s="330"/>
      <c r="CH13" s="330"/>
      <c r="CI13" s="330"/>
      <c r="CJ13" s="330"/>
      <c r="CK13" s="330"/>
      <c r="CL13" s="330"/>
      <c r="CM13" s="330"/>
      <c r="CN13" s="330"/>
      <c r="CO13" s="330"/>
      <c r="CP13" s="330"/>
    </row>
    <row r="14" spans="1:94">
      <c r="A14" s="330"/>
      <c r="B14" s="330"/>
      <c r="C14" s="890" t="s">
        <v>65</v>
      </c>
      <c r="D14" s="330"/>
      <c r="E14" s="337"/>
      <c r="F14" s="338"/>
      <c r="G14" s="338"/>
      <c r="H14" s="586"/>
      <c r="I14" s="339">
        <v>26</v>
      </c>
      <c r="J14" s="337">
        <v>6</v>
      </c>
      <c r="K14" s="338">
        <v>5</v>
      </c>
      <c r="L14" s="338">
        <v>8</v>
      </c>
      <c r="M14" s="586">
        <f>N14-SUM(J14:L14)</f>
        <v>6</v>
      </c>
      <c r="N14" s="339">
        <v>25</v>
      </c>
      <c r="O14" s="337">
        <v>4</v>
      </c>
      <c r="P14" s="338">
        <v>4</v>
      </c>
      <c r="Q14" s="338">
        <v>6</v>
      </c>
      <c r="R14" s="586">
        <f>S14-SUM(O14:Q14)</f>
        <v>4</v>
      </c>
      <c r="S14" s="339">
        <v>18</v>
      </c>
      <c r="T14" s="337">
        <v>4</v>
      </c>
      <c r="U14" s="338">
        <v>2</v>
      </c>
      <c r="V14" s="338">
        <v>5</v>
      </c>
      <c r="W14" s="586">
        <f>X14-SUM(T14:V14)</f>
        <v>3</v>
      </c>
      <c r="X14" s="339">
        <v>14</v>
      </c>
      <c r="Y14" s="337">
        <v>1</v>
      </c>
      <c r="Z14" s="338">
        <v>1</v>
      </c>
      <c r="AA14" s="338">
        <v>1</v>
      </c>
      <c r="AB14" s="586">
        <f>AC14-SUM(Y14:AA14)</f>
        <v>-1</v>
      </c>
      <c r="AC14" s="339">
        <v>2</v>
      </c>
      <c r="AD14" s="337">
        <v>1</v>
      </c>
      <c r="AE14" s="338">
        <v>1</v>
      </c>
      <c r="AF14" s="338">
        <v>1</v>
      </c>
      <c r="AG14" s="586">
        <f>AH14-SUM(AD14:AF14)</f>
        <v>2</v>
      </c>
      <c r="AH14" s="2056">
        <v>5</v>
      </c>
      <c r="AI14" s="337">
        <v>2</v>
      </c>
      <c r="AJ14" s="338">
        <v>2</v>
      </c>
      <c r="AK14" s="338">
        <v>1</v>
      </c>
      <c r="AL14" s="586">
        <f>AM14-SUM(AI14:AK14)</f>
        <v>2</v>
      </c>
      <c r="AM14" s="2056">
        <v>7</v>
      </c>
      <c r="AN14" s="337">
        <v>2</v>
      </c>
      <c r="AO14" s="338">
        <v>2</v>
      </c>
      <c r="AP14" s="338">
        <v>2</v>
      </c>
      <c r="AQ14" s="586">
        <f>AR14-SUM(AN14:AP14)</f>
        <v>0</v>
      </c>
      <c r="AR14" s="2056">
        <v>6</v>
      </c>
      <c r="AS14" s="290">
        <f>AS90</f>
        <v>2.06</v>
      </c>
      <c r="AT14" s="260">
        <f>AT90</f>
        <v>2.06</v>
      </c>
      <c r="AU14" s="260">
        <f>AU90</f>
        <v>2.06</v>
      </c>
      <c r="AV14" s="291">
        <f>AV90</f>
        <v>0</v>
      </c>
      <c r="AW14" s="330">
        <f>SUM(AS14:AV14)</f>
        <v>6.18</v>
      </c>
      <c r="AX14" s="290">
        <f>AX90</f>
        <v>2.1217999999999999</v>
      </c>
      <c r="AY14" s="260">
        <f>AY90</f>
        <v>2.1217999999999999</v>
      </c>
      <c r="AZ14" s="260">
        <f>AZ90</f>
        <v>2.1217999999999999</v>
      </c>
      <c r="BA14" s="291">
        <f>BA90</f>
        <v>0</v>
      </c>
      <c r="BB14" s="330">
        <f>SUM(AX14:BA14)</f>
        <v>6.3653999999999993</v>
      </c>
      <c r="BC14" s="290">
        <f>BC90</f>
        <v>2.185454</v>
      </c>
      <c r="BD14" s="260">
        <f>BD90</f>
        <v>2.185454</v>
      </c>
      <c r="BE14" s="260">
        <f>BE90</f>
        <v>2.185454</v>
      </c>
      <c r="BF14" s="291">
        <f>BF90</f>
        <v>0</v>
      </c>
      <c r="BG14" s="330">
        <f>SUM(BC14:BF14)</f>
        <v>6.556362</v>
      </c>
      <c r="BH14" s="290">
        <f>BH90</f>
        <v>2.2510176200000003</v>
      </c>
      <c r="BI14" s="260">
        <f>BI90</f>
        <v>2.2510176200000003</v>
      </c>
      <c r="BJ14" s="260">
        <f>BJ90</f>
        <v>2.2510176200000003</v>
      </c>
      <c r="BK14" s="291">
        <f>BK90</f>
        <v>0</v>
      </c>
      <c r="BL14" s="330">
        <f>SUM(BH14:BK14)</f>
        <v>6.7530528600000004</v>
      </c>
      <c r="BM14" s="330"/>
      <c r="BN14" s="330"/>
      <c r="BO14" s="330"/>
      <c r="BP14" s="330"/>
      <c r="BQ14" s="330"/>
      <c r="BR14" s="330"/>
      <c r="BS14" s="330"/>
      <c r="BT14" s="330"/>
      <c r="BU14" s="330"/>
      <c r="BV14" s="330"/>
      <c r="BW14" s="330"/>
      <c r="BX14" s="330"/>
      <c r="BY14" s="330"/>
      <c r="BZ14" s="330"/>
      <c r="CA14" s="330"/>
      <c r="CB14" s="330"/>
      <c r="CC14" s="330"/>
      <c r="CD14" s="330"/>
      <c r="CE14" s="330"/>
      <c r="CF14" s="330"/>
      <c r="CG14" s="330"/>
      <c r="CH14" s="330"/>
      <c r="CI14" s="330"/>
      <c r="CJ14" s="330"/>
      <c r="CK14" s="330"/>
      <c r="CL14" s="330"/>
      <c r="CM14" s="330"/>
      <c r="CN14" s="330"/>
      <c r="CO14" s="330"/>
      <c r="CP14" s="330"/>
    </row>
    <row r="15" spans="1:94">
      <c r="A15" s="330"/>
      <c r="B15" s="330"/>
      <c r="C15" s="909" t="s">
        <v>79</v>
      </c>
      <c r="D15" s="330"/>
      <c r="E15" s="292"/>
      <c r="F15" s="261"/>
      <c r="G15" s="261"/>
      <c r="H15" s="293"/>
      <c r="I15" s="228">
        <f t="shared" ref="I15:AW15" si="9">SUM(I12:I14,I9)</f>
        <v>1372</v>
      </c>
      <c r="J15" s="292">
        <f t="shared" si="9"/>
        <v>292</v>
      </c>
      <c r="K15" s="261">
        <f t="shared" si="9"/>
        <v>285</v>
      </c>
      <c r="L15" s="261">
        <f t="shared" si="9"/>
        <v>364</v>
      </c>
      <c r="M15" s="293">
        <f t="shared" si="9"/>
        <v>251</v>
      </c>
      <c r="N15" s="228">
        <f t="shared" si="9"/>
        <v>1192</v>
      </c>
      <c r="O15" s="292">
        <f t="shared" si="9"/>
        <v>254</v>
      </c>
      <c r="P15" s="261">
        <f t="shared" si="9"/>
        <v>250</v>
      </c>
      <c r="Q15" s="261">
        <f t="shared" si="9"/>
        <v>335</v>
      </c>
      <c r="R15" s="293">
        <f t="shared" si="9"/>
        <v>245</v>
      </c>
      <c r="S15" s="228">
        <f t="shared" si="9"/>
        <v>1084</v>
      </c>
      <c r="T15" s="292">
        <f t="shared" si="9"/>
        <v>253</v>
      </c>
      <c r="U15" s="261">
        <f t="shared" si="9"/>
        <v>246</v>
      </c>
      <c r="V15" s="261">
        <f t="shared" si="9"/>
        <v>299</v>
      </c>
      <c r="W15" s="293">
        <f t="shared" si="9"/>
        <v>242</v>
      </c>
      <c r="X15" s="228">
        <f t="shared" si="9"/>
        <v>1040</v>
      </c>
      <c r="Y15" s="292">
        <f t="shared" si="9"/>
        <v>265</v>
      </c>
      <c r="Z15" s="261">
        <f t="shared" si="9"/>
        <v>241</v>
      </c>
      <c r="AA15" s="261">
        <f t="shared" ref="AA15:AE15" si="10">SUM(AA12:AA14,AA9)</f>
        <v>296</v>
      </c>
      <c r="AB15" s="293">
        <f t="shared" si="10"/>
        <v>256</v>
      </c>
      <c r="AC15" s="228">
        <f t="shared" si="10"/>
        <v>1058</v>
      </c>
      <c r="AD15" s="292">
        <f t="shared" si="10"/>
        <v>283</v>
      </c>
      <c r="AE15" s="261">
        <f t="shared" si="10"/>
        <v>263</v>
      </c>
      <c r="AF15" s="261">
        <f t="shared" ref="AF15:AJ15" si="11">SUM(AF12:AF14,AF9)</f>
        <v>336</v>
      </c>
      <c r="AG15" s="293">
        <f t="shared" si="11"/>
        <v>256</v>
      </c>
      <c r="AH15" s="228">
        <f t="shared" si="11"/>
        <v>1138</v>
      </c>
      <c r="AI15" s="292">
        <f t="shared" si="11"/>
        <v>412</v>
      </c>
      <c r="AJ15" s="261">
        <f t="shared" si="11"/>
        <v>252</v>
      </c>
      <c r="AK15" s="261">
        <f t="shared" ref="AK15:AO15" si="12">SUM(AK12:AK14,AK9)</f>
        <v>338</v>
      </c>
      <c r="AL15" s="293">
        <f t="shared" si="12"/>
        <v>249</v>
      </c>
      <c r="AM15" s="228">
        <f t="shared" si="12"/>
        <v>1251</v>
      </c>
      <c r="AN15" s="292">
        <f t="shared" si="12"/>
        <v>250</v>
      </c>
      <c r="AO15" s="261">
        <f t="shared" si="12"/>
        <v>245</v>
      </c>
      <c r="AP15" s="261">
        <f t="shared" si="9"/>
        <v>291</v>
      </c>
      <c r="AQ15" s="293">
        <f t="shared" si="9"/>
        <v>243</v>
      </c>
      <c r="AR15" s="228">
        <f t="shared" si="9"/>
        <v>1029</v>
      </c>
      <c r="AS15" s="292">
        <f t="shared" si="9"/>
        <v>243.28483699921446</v>
      </c>
      <c r="AT15" s="261">
        <f t="shared" si="9"/>
        <v>236.50490732675931</v>
      </c>
      <c r="AU15" s="261">
        <f t="shared" si="9"/>
        <v>279.38535850104455</v>
      </c>
      <c r="AV15" s="293">
        <f t="shared" si="9"/>
        <v>239.45032277593663</v>
      </c>
      <c r="AW15" s="228">
        <f t="shared" si="9"/>
        <v>998.62542560295492</v>
      </c>
      <c r="AX15" s="292">
        <f t="shared" ref="AX15:BG15" si="13">SUM(AX12:AX14,AX9)</f>
        <v>241.41965201809762</v>
      </c>
      <c r="AY15" s="261">
        <f t="shared" si="13"/>
        <v>234.98641174505258</v>
      </c>
      <c r="AZ15" s="261">
        <f t="shared" si="13"/>
        <v>277.81363640101614</v>
      </c>
      <c r="BA15" s="293">
        <f t="shared" si="13"/>
        <v>237.62211610881911</v>
      </c>
      <c r="BB15" s="228">
        <f t="shared" si="13"/>
        <v>991.8418162729854</v>
      </c>
      <c r="BC15" s="292">
        <f t="shared" si="13"/>
        <v>241.56471688574803</v>
      </c>
      <c r="BD15" s="261">
        <f t="shared" si="13"/>
        <v>234.83217094283478</v>
      </c>
      <c r="BE15" s="261">
        <f t="shared" si="13"/>
        <v>277.83468959371532</v>
      </c>
      <c r="BF15" s="293">
        <f t="shared" si="13"/>
        <v>237.26125675302723</v>
      </c>
      <c r="BG15" s="228">
        <f t="shared" si="13"/>
        <v>991.49283417532536</v>
      </c>
      <c r="BH15" s="292">
        <f t="shared" ref="BH15:BL15" si="14">SUM(BH12:BH14,BH9)</f>
        <v>234.2753693733755</v>
      </c>
      <c r="BI15" s="261">
        <f t="shared" si="14"/>
        <v>227.64610192402324</v>
      </c>
      <c r="BJ15" s="261">
        <f t="shared" si="14"/>
        <v>270.76742747216667</v>
      </c>
      <c r="BK15" s="293">
        <f t="shared" si="14"/>
        <v>229.43237911518412</v>
      </c>
      <c r="BL15" s="228">
        <f t="shared" si="14"/>
        <v>962.12127788474959</v>
      </c>
      <c r="BM15" s="330"/>
      <c r="BN15" s="330"/>
      <c r="BO15" s="330"/>
      <c r="BP15" s="330"/>
      <c r="BQ15" s="330"/>
      <c r="BR15" s="330"/>
      <c r="BS15" s="330"/>
      <c r="BT15" s="330"/>
      <c r="BU15" s="330"/>
      <c r="BV15" s="330"/>
      <c r="BW15" s="330"/>
      <c r="BX15" s="330"/>
      <c r="BY15" s="330"/>
      <c r="BZ15" s="330"/>
      <c r="CA15" s="330"/>
      <c r="CB15" s="330"/>
      <c r="CC15" s="330"/>
      <c r="CD15" s="330"/>
      <c r="CE15" s="330"/>
      <c r="CF15" s="330"/>
      <c r="CG15" s="330"/>
      <c r="CH15" s="330"/>
      <c r="CI15" s="330"/>
      <c r="CJ15" s="330"/>
      <c r="CK15" s="330"/>
      <c r="CL15" s="330"/>
      <c r="CM15" s="330"/>
      <c r="CN15" s="330"/>
      <c r="CO15" s="330"/>
      <c r="CP15" s="330"/>
    </row>
    <row r="16" spans="1:94">
      <c r="A16" s="330"/>
      <c r="B16" s="330"/>
      <c r="C16" s="895"/>
      <c r="D16" s="330"/>
      <c r="E16" s="337"/>
      <c r="F16" s="338"/>
      <c r="G16" s="338"/>
      <c r="H16" s="291"/>
      <c r="I16" s="339"/>
      <c r="J16" s="290"/>
      <c r="K16" s="264"/>
      <c r="L16" s="264"/>
      <c r="M16" s="291"/>
      <c r="N16" s="339"/>
      <c r="O16" s="290"/>
      <c r="P16" s="260"/>
      <c r="Q16" s="260"/>
      <c r="R16" s="291"/>
      <c r="S16" s="339"/>
      <c r="T16" s="290"/>
      <c r="U16" s="260"/>
      <c r="V16" s="260"/>
      <c r="W16" s="291"/>
      <c r="X16" s="339"/>
      <c r="Y16" s="290"/>
      <c r="Z16" s="260"/>
      <c r="AA16" s="260"/>
      <c r="AB16" s="291"/>
      <c r="AC16" s="339"/>
      <c r="AD16" s="290"/>
      <c r="AE16" s="260"/>
      <c r="AF16" s="260"/>
      <c r="AG16" s="291"/>
      <c r="AH16" s="2056"/>
      <c r="AI16" s="290"/>
      <c r="AJ16" s="260"/>
      <c r="AK16" s="260"/>
      <c r="AL16" s="291"/>
      <c r="AM16" s="2056"/>
      <c r="AN16" s="290"/>
      <c r="AO16" s="260"/>
      <c r="AP16" s="260"/>
      <c r="AQ16" s="291"/>
      <c r="AR16" s="2056"/>
      <c r="AS16" s="290"/>
      <c r="AT16" s="260"/>
      <c r="AU16" s="260"/>
      <c r="AV16" s="291"/>
      <c r="AW16" s="330"/>
      <c r="AX16" s="290"/>
      <c r="AY16" s="260"/>
      <c r="AZ16" s="260"/>
      <c r="BA16" s="291"/>
      <c r="BB16" s="330"/>
      <c r="BC16" s="290"/>
      <c r="BD16" s="260"/>
      <c r="BE16" s="260"/>
      <c r="BF16" s="291"/>
      <c r="BG16" s="330"/>
      <c r="BH16" s="290"/>
      <c r="BI16" s="260"/>
      <c r="BJ16" s="260"/>
      <c r="BK16" s="291"/>
      <c r="BL16" s="330"/>
      <c r="BM16" s="330"/>
      <c r="BN16" s="330"/>
      <c r="BO16" s="330"/>
      <c r="BP16" s="330"/>
      <c r="BQ16" s="330"/>
      <c r="BR16" s="330"/>
      <c r="BS16" s="330"/>
      <c r="BT16" s="330"/>
      <c r="BU16" s="330"/>
      <c r="BV16" s="330"/>
      <c r="BW16" s="330"/>
      <c r="BX16" s="330"/>
      <c r="BY16" s="330"/>
      <c r="BZ16" s="330"/>
      <c r="CA16" s="330"/>
      <c r="CB16" s="330"/>
      <c r="CC16" s="330"/>
      <c r="CD16" s="330"/>
      <c r="CE16" s="330"/>
      <c r="CF16" s="330"/>
      <c r="CG16" s="330"/>
      <c r="CH16" s="330"/>
      <c r="CI16" s="330"/>
      <c r="CJ16" s="330"/>
      <c r="CK16" s="330"/>
      <c r="CL16" s="330"/>
      <c r="CM16" s="330"/>
      <c r="CN16" s="330"/>
      <c r="CO16" s="330"/>
      <c r="CP16" s="330"/>
    </row>
    <row r="17" spans="1:94">
      <c r="A17" s="330"/>
      <c r="B17" s="330"/>
      <c r="C17" s="909" t="s">
        <v>70</v>
      </c>
      <c r="D17" s="330"/>
      <c r="E17" s="292"/>
      <c r="F17" s="261"/>
      <c r="G17" s="261"/>
      <c r="H17" s="293"/>
      <c r="I17" s="228">
        <f>+I8-I15</f>
        <v>166</v>
      </c>
      <c r="J17" s="292">
        <f>J8-J15</f>
        <v>26</v>
      </c>
      <c r="K17" s="261">
        <f>K8-K15</f>
        <v>48</v>
      </c>
      <c r="L17" s="261">
        <f>L8-L15</f>
        <v>52</v>
      </c>
      <c r="M17" s="293">
        <f>+M8-M15</f>
        <v>13</v>
      </c>
      <c r="N17" s="228">
        <f>+N8-N15</f>
        <v>139</v>
      </c>
      <c r="O17" s="292">
        <f>O8-O15</f>
        <v>17</v>
      </c>
      <c r="P17" s="261">
        <f>P8-P15</f>
        <v>40</v>
      </c>
      <c r="Q17" s="261">
        <f>Q8-Q15</f>
        <v>49</v>
      </c>
      <c r="R17" s="293">
        <f>+R8-R15</f>
        <v>13</v>
      </c>
      <c r="S17" s="228">
        <f>+S8-S15</f>
        <v>119</v>
      </c>
      <c r="T17" s="292">
        <f>T8-T15</f>
        <v>25</v>
      </c>
      <c r="U17" s="261">
        <f>U8-U15</f>
        <v>29</v>
      </c>
      <c r="V17" s="261">
        <f>V8-V15</f>
        <v>55</v>
      </c>
      <c r="W17" s="293">
        <f>+W8-W15</f>
        <v>27</v>
      </c>
      <c r="X17" s="228">
        <f>+X8-X15</f>
        <v>136</v>
      </c>
      <c r="Y17" s="292">
        <f>Y8-Y15</f>
        <v>31</v>
      </c>
      <c r="Z17" s="261">
        <f>Z8-Z15</f>
        <v>25</v>
      </c>
      <c r="AA17" s="261">
        <f>AA8-AA15</f>
        <v>52</v>
      </c>
      <c r="AB17" s="293">
        <f>+AB8-AB15</f>
        <v>27</v>
      </c>
      <c r="AC17" s="228">
        <f>+AC8-AC15</f>
        <v>135</v>
      </c>
      <c r="AD17" s="292">
        <f>AD8-AD15</f>
        <v>20</v>
      </c>
      <c r="AE17" s="261">
        <f>AE8-AE15</f>
        <v>32</v>
      </c>
      <c r="AF17" s="261">
        <f>AF8-AF15</f>
        <v>38</v>
      </c>
      <c r="AG17" s="293">
        <f>+AG8-AG15</f>
        <v>40</v>
      </c>
      <c r="AH17" s="228">
        <f>+AH8-AH15</f>
        <v>130</v>
      </c>
      <c r="AI17" s="292">
        <f>AI8-AI15</f>
        <v>-121</v>
      </c>
      <c r="AJ17" s="261">
        <f>AJ8-AJ15</f>
        <v>18</v>
      </c>
      <c r="AK17" s="261">
        <f>AK8-AK15</f>
        <v>83</v>
      </c>
      <c r="AL17" s="293">
        <f>+AL8-AL15</f>
        <v>26</v>
      </c>
      <c r="AM17" s="228">
        <f>+AM8-AM15</f>
        <v>6</v>
      </c>
      <c r="AN17" s="292">
        <f>AN8-AN15</f>
        <v>25</v>
      </c>
      <c r="AO17" s="261">
        <f>AO8-AO15</f>
        <v>25</v>
      </c>
      <c r="AP17" s="261">
        <f t="shared" ref="AP17" si="15">AP8-AP15</f>
        <v>79</v>
      </c>
      <c r="AQ17" s="293">
        <f>+AQ8-AQ15</f>
        <v>28</v>
      </c>
      <c r="AR17" s="228">
        <f>+AR8-AR15</f>
        <v>157</v>
      </c>
      <c r="AS17" s="292">
        <f t="shared" ref="AS17:AW17" si="16">+AS8-AS15</f>
        <v>27.229998349441985</v>
      </c>
      <c r="AT17" s="261">
        <f t="shared" si="16"/>
        <v>29.213128338352846</v>
      </c>
      <c r="AU17" s="261">
        <f t="shared" si="16"/>
        <v>87.606238711924618</v>
      </c>
      <c r="AV17" s="293">
        <f t="shared" si="16"/>
        <v>27.118872221842707</v>
      </c>
      <c r="AW17" s="228">
        <f t="shared" si="16"/>
        <v>171.16823762156218</v>
      </c>
      <c r="AX17" s="292">
        <f t="shared" ref="AX17:BG17" si="17">+AX8-AX15</f>
        <v>28.586698546542095</v>
      </c>
      <c r="AY17" s="261">
        <f t="shared" si="17"/>
        <v>30.360652288072572</v>
      </c>
      <c r="AZ17" s="261">
        <f t="shared" si="17"/>
        <v>96.058736951793833</v>
      </c>
      <c r="BA17" s="293">
        <f t="shared" si="17"/>
        <v>34.865262964592546</v>
      </c>
      <c r="BB17" s="228">
        <f t="shared" si="17"/>
        <v>189.87135075100105</v>
      </c>
      <c r="BC17" s="292">
        <f t="shared" si="17"/>
        <v>38.136644468580727</v>
      </c>
      <c r="BD17" s="261">
        <f t="shared" si="17"/>
        <v>40.348583410881218</v>
      </c>
      <c r="BE17" s="261">
        <f t="shared" si="17"/>
        <v>100.42627144053495</v>
      </c>
      <c r="BF17" s="293">
        <f t="shared" si="17"/>
        <v>38.643953285512055</v>
      </c>
      <c r="BG17" s="228">
        <f t="shared" si="17"/>
        <v>217.55545260550878</v>
      </c>
      <c r="BH17" s="292">
        <f t="shared" ref="BH17:BL17" si="18">+BH8-BH15</f>
        <v>41.669044246845317</v>
      </c>
      <c r="BI17" s="261">
        <f t="shared" si="18"/>
        <v>43.843567761302438</v>
      </c>
      <c r="BJ17" s="261">
        <f t="shared" si="18"/>
        <v>104.46942553361322</v>
      </c>
      <c r="BK17" s="293">
        <f t="shared" si="18"/>
        <v>42.987681434861258</v>
      </c>
      <c r="BL17" s="228">
        <f t="shared" si="18"/>
        <v>232.96971897662229</v>
      </c>
      <c r="BM17" s="330"/>
      <c r="BN17" s="330"/>
      <c r="BO17" s="330"/>
      <c r="BP17" s="330"/>
      <c r="BQ17" s="330"/>
      <c r="BR17" s="330"/>
      <c r="BS17" s="330"/>
      <c r="BT17" s="330"/>
      <c r="BU17" s="330"/>
      <c r="BV17" s="330"/>
      <c r="BW17" s="330"/>
      <c r="BX17" s="330"/>
      <c r="BY17" s="330"/>
      <c r="BZ17" s="330"/>
      <c r="CA17" s="330"/>
      <c r="CB17" s="330"/>
      <c r="CC17" s="330"/>
      <c r="CD17" s="330"/>
      <c r="CE17" s="330"/>
      <c r="CF17" s="330"/>
      <c r="CG17" s="330"/>
      <c r="CH17" s="330"/>
      <c r="CI17" s="330"/>
      <c r="CJ17" s="330"/>
      <c r="CK17" s="330"/>
      <c r="CL17" s="330"/>
      <c r="CM17" s="330"/>
      <c r="CN17" s="330"/>
      <c r="CO17" s="330"/>
      <c r="CP17" s="330"/>
    </row>
    <row r="18" spans="1:94">
      <c r="A18" s="330"/>
      <c r="B18" s="330"/>
      <c r="C18" s="895"/>
      <c r="D18" s="330"/>
      <c r="E18" s="300"/>
      <c r="F18" s="264"/>
      <c r="G18" s="264"/>
      <c r="H18" s="299"/>
      <c r="I18" s="330"/>
      <c r="J18" s="300"/>
      <c r="K18" s="264"/>
      <c r="L18" s="264"/>
      <c r="M18" s="299"/>
      <c r="N18" s="330"/>
      <c r="O18" s="300"/>
      <c r="P18" s="264"/>
      <c r="Q18" s="264"/>
      <c r="R18" s="299"/>
      <c r="S18" s="330"/>
      <c r="T18" s="300"/>
      <c r="U18" s="264"/>
      <c r="V18" s="264"/>
      <c r="W18" s="299"/>
      <c r="X18" s="330"/>
      <c r="Y18" s="300"/>
      <c r="Z18" s="264"/>
      <c r="AA18" s="264"/>
      <c r="AB18" s="299"/>
      <c r="AC18" s="330"/>
      <c r="AD18" s="300"/>
      <c r="AE18" s="264"/>
      <c r="AF18" s="264"/>
      <c r="AG18" s="299"/>
      <c r="AH18" s="330"/>
      <c r="AI18" s="300"/>
      <c r="AJ18" s="264"/>
      <c r="AK18" s="264"/>
      <c r="AL18" s="299"/>
      <c r="AM18" s="330"/>
      <c r="AN18" s="300"/>
      <c r="AO18" s="264"/>
      <c r="AP18" s="264"/>
      <c r="AQ18" s="299"/>
      <c r="AR18" s="330"/>
      <c r="AS18" s="300"/>
      <c r="AT18" s="264"/>
      <c r="AU18" s="264"/>
      <c r="AV18" s="299"/>
      <c r="AW18" s="330"/>
      <c r="AX18" s="300"/>
      <c r="AY18" s="264"/>
      <c r="AZ18" s="264"/>
      <c r="BA18" s="299"/>
      <c r="BB18" s="330"/>
      <c r="BC18" s="300"/>
      <c r="BD18" s="264"/>
      <c r="BE18" s="264"/>
      <c r="BF18" s="299"/>
      <c r="BG18" s="330"/>
      <c r="BH18" s="300"/>
      <c r="BI18" s="264"/>
      <c r="BJ18" s="264"/>
      <c r="BK18" s="299"/>
      <c r="BL18" s="330"/>
      <c r="BM18" s="330"/>
      <c r="BN18" s="330"/>
      <c r="BO18" s="330"/>
      <c r="BP18" s="330"/>
      <c r="BQ18" s="330"/>
      <c r="BR18" s="330"/>
      <c r="BS18" s="330"/>
      <c r="BT18" s="330"/>
      <c r="BU18" s="330"/>
      <c r="BV18" s="330"/>
      <c r="BW18" s="330"/>
      <c r="BX18" s="330"/>
      <c r="BY18" s="330"/>
      <c r="BZ18" s="330"/>
      <c r="CA18" s="330"/>
      <c r="CB18" s="330"/>
      <c r="CC18" s="330"/>
      <c r="CD18" s="330"/>
      <c r="CE18" s="330"/>
      <c r="CF18" s="330"/>
      <c r="CG18" s="330"/>
      <c r="CH18" s="330"/>
      <c r="CI18" s="330"/>
      <c r="CJ18" s="330"/>
      <c r="CK18" s="330"/>
      <c r="CL18" s="330"/>
      <c r="CM18" s="330"/>
      <c r="CN18" s="330"/>
      <c r="CO18" s="330"/>
      <c r="CP18" s="330"/>
    </row>
    <row r="19" spans="1:94">
      <c r="A19" s="330"/>
      <c r="B19" s="330"/>
      <c r="C19" s="895" t="s">
        <v>620</v>
      </c>
      <c r="D19" s="330"/>
      <c r="E19" s="337"/>
      <c r="F19" s="338"/>
      <c r="G19" s="338"/>
      <c r="H19" s="291"/>
      <c r="I19" s="339">
        <v>1</v>
      </c>
      <c r="J19" s="290">
        <f>$N$19/4</f>
        <v>0.25</v>
      </c>
      <c r="K19" s="260">
        <f>$N$19/4</f>
        <v>0.25</v>
      </c>
      <c r="L19" s="260">
        <f>$N$19/4</f>
        <v>0.25</v>
      </c>
      <c r="M19" s="291">
        <f>+N19-SUM(J19:L19)</f>
        <v>0.25</v>
      </c>
      <c r="N19" s="339">
        <v>1</v>
      </c>
      <c r="O19" s="290">
        <f>$S$19/4</f>
        <v>0.75</v>
      </c>
      <c r="P19" s="260">
        <f>$S$19/4</f>
        <v>0.75</v>
      </c>
      <c r="Q19" s="260">
        <f>$S$19/4</f>
        <v>0.75</v>
      </c>
      <c r="R19" s="291">
        <f>+S19-SUM(O19:Q19)</f>
        <v>0.75</v>
      </c>
      <c r="S19" s="339">
        <v>3</v>
      </c>
      <c r="T19" s="290">
        <f>+X19/4</f>
        <v>0.25</v>
      </c>
      <c r="U19" s="260">
        <f>+T19</f>
        <v>0.25</v>
      </c>
      <c r="V19" s="260">
        <f>+U19</f>
        <v>0.25</v>
      </c>
      <c r="W19" s="291">
        <f>+X19-SUM(T19:V19)</f>
        <v>0.25</v>
      </c>
      <c r="X19" s="339">
        <v>1</v>
      </c>
      <c r="Y19" s="290">
        <f>+AC19/4</f>
        <v>0.25</v>
      </c>
      <c r="Z19" s="260">
        <f>+Y19</f>
        <v>0.25</v>
      </c>
      <c r="AA19" s="260">
        <f>+Z19</f>
        <v>0.25</v>
      </c>
      <c r="AB19" s="291">
        <f>+AC19-SUM(Y19:AA19)</f>
        <v>0.25</v>
      </c>
      <c r="AC19" s="339">
        <v>1</v>
      </c>
      <c r="AD19" s="290">
        <f>+AH19/4</f>
        <v>0.25</v>
      </c>
      <c r="AE19" s="260">
        <f>+AD19</f>
        <v>0.25</v>
      </c>
      <c r="AF19" s="260">
        <f>+AE19</f>
        <v>0.25</v>
      </c>
      <c r="AG19" s="291">
        <f>AH19-SUM(AD19:AF19)</f>
        <v>0.25</v>
      </c>
      <c r="AH19" s="2056">
        <v>1</v>
      </c>
      <c r="AI19" s="290">
        <f>+AM19/4</f>
        <v>1.5</v>
      </c>
      <c r="AJ19" s="260">
        <f>+AI19</f>
        <v>1.5</v>
      </c>
      <c r="AK19" s="260">
        <f>+AJ19</f>
        <v>1.5</v>
      </c>
      <c r="AL19" s="291">
        <f>AM19-SUM(AI19:AK19)</f>
        <v>1.5</v>
      </c>
      <c r="AM19" s="2056">
        <v>6</v>
      </c>
      <c r="AN19" s="290">
        <f>+AM19/4</f>
        <v>1.5</v>
      </c>
      <c r="AO19" s="338">
        <v>2</v>
      </c>
      <c r="AP19" s="338">
        <v>1</v>
      </c>
      <c r="AQ19" s="291">
        <f>AR19-SUM(AN19:AP19)</f>
        <v>1.5</v>
      </c>
      <c r="AR19" s="2056">
        <v>6</v>
      </c>
      <c r="AS19" s="290">
        <f>AS120</f>
        <v>1.4846842896517163</v>
      </c>
      <c r="AT19" s="260">
        <f>AT120</f>
        <v>1.4846842896517163</v>
      </c>
      <c r="AU19" s="260">
        <f>AU120</f>
        <v>1.4846842896517163</v>
      </c>
      <c r="AV19" s="291">
        <f>AV120</f>
        <v>1.4846842896517163</v>
      </c>
      <c r="AW19" s="330">
        <f>SUM(AS19:AV19)</f>
        <v>5.9387371586068651</v>
      </c>
      <c r="AX19" s="290">
        <f>AX120</f>
        <v>1.512778752192433</v>
      </c>
      <c r="AY19" s="260">
        <f>AY120</f>
        <v>1.512778752192433</v>
      </c>
      <c r="AZ19" s="260">
        <f>AZ120</f>
        <v>1.512778752192433</v>
      </c>
      <c r="BA19" s="291">
        <f>BA120</f>
        <v>1.512778752192433</v>
      </c>
      <c r="BB19" s="330">
        <f>SUM(AX19:BA19)</f>
        <v>6.0511150087697319</v>
      </c>
      <c r="BC19" s="290">
        <f>BC120</f>
        <v>1.4047231270358305</v>
      </c>
      <c r="BD19" s="260">
        <f>BD120</f>
        <v>1.4047231270358305</v>
      </c>
      <c r="BE19" s="260">
        <f>BE120</f>
        <v>1.4047231270358305</v>
      </c>
      <c r="BF19" s="291">
        <f>BF120</f>
        <v>1.4047231270358305</v>
      </c>
      <c r="BG19" s="330">
        <f>SUM(BC19:BF19)</f>
        <v>5.6188925081433219</v>
      </c>
      <c r="BH19" s="290">
        <f>BH120</f>
        <v>1.1886118767226259</v>
      </c>
      <c r="BI19" s="260">
        <f>BI120</f>
        <v>1.1886118767226259</v>
      </c>
      <c r="BJ19" s="260">
        <f>BJ120</f>
        <v>1.1886118767226259</v>
      </c>
      <c r="BK19" s="291">
        <f>BK120</f>
        <v>1.1886118767226259</v>
      </c>
      <c r="BL19" s="330">
        <f>SUM(BH19:BK19)</f>
        <v>4.7544475068905037</v>
      </c>
      <c r="BM19" s="330"/>
      <c r="BN19" s="330"/>
      <c r="BO19" s="330"/>
      <c r="BP19" s="330"/>
      <c r="BQ19" s="330"/>
      <c r="BR19" s="330"/>
      <c r="BS19" s="330"/>
      <c r="BT19" s="330"/>
      <c r="BU19" s="330"/>
      <c r="BV19" s="330"/>
      <c r="BW19" s="330"/>
      <c r="BX19" s="330"/>
      <c r="BY19" s="330"/>
      <c r="BZ19" s="330"/>
      <c r="CA19" s="330"/>
      <c r="CB19" s="330"/>
      <c r="CC19" s="330"/>
      <c r="CD19" s="330"/>
      <c r="CE19" s="330"/>
      <c r="CF19" s="330"/>
      <c r="CG19" s="330"/>
      <c r="CH19" s="330"/>
      <c r="CI19" s="330"/>
      <c r="CJ19" s="330"/>
      <c r="CK19" s="330"/>
      <c r="CL19" s="330"/>
      <c r="CM19" s="330"/>
      <c r="CN19" s="330"/>
      <c r="CO19" s="330"/>
      <c r="CP19" s="330"/>
    </row>
    <row r="20" spans="1:94">
      <c r="A20" s="330"/>
      <c r="B20" s="330"/>
      <c r="C20" s="895" t="s">
        <v>123</v>
      </c>
      <c r="D20" s="330"/>
      <c r="E20" s="337"/>
      <c r="F20" s="338"/>
      <c r="G20" s="338"/>
      <c r="H20" s="291"/>
      <c r="I20" s="339">
        <f>1-6-I19</f>
        <v>-6</v>
      </c>
      <c r="J20" s="337">
        <f>0-J19</f>
        <v>-0.25</v>
      </c>
      <c r="K20" s="338">
        <f>2-K19</f>
        <v>1.75</v>
      </c>
      <c r="L20" s="338">
        <f>0-L19</f>
        <v>-0.25</v>
      </c>
      <c r="M20" s="291">
        <f>+N20-SUM(J20:L20)</f>
        <v>-0.25</v>
      </c>
      <c r="N20" s="339">
        <f>2-N19</f>
        <v>1</v>
      </c>
      <c r="O20" s="337">
        <f>1-O19</f>
        <v>0.25</v>
      </c>
      <c r="P20" s="338">
        <f>1-P19</f>
        <v>0.25</v>
      </c>
      <c r="Q20" s="338">
        <f>1-Q19</f>
        <v>0.25</v>
      </c>
      <c r="R20" s="291">
        <f>+S20-SUM(O20:Q20)</f>
        <v>0.25</v>
      </c>
      <c r="S20" s="339">
        <f>4-S19</f>
        <v>1</v>
      </c>
      <c r="T20" s="337">
        <f>0-T19</f>
        <v>-0.25</v>
      </c>
      <c r="U20" s="338">
        <f>0-U19</f>
        <v>-0.25</v>
      </c>
      <c r="V20" s="338">
        <f>0-V19</f>
        <v>-0.25</v>
      </c>
      <c r="W20" s="291">
        <f>+X20-SUM(T20:V20)</f>
        <v>0.75</v>
      </c>
      <c r="X20" s="339">
        <f>1-X19</f>
        <v>0</v>
      </c>
      <c r="Y20" s="337">
        <f>0-Y19</f>
        <v>-0.25</v>
      </c>
      <c r="Z20" s="338">
        <f>1-Z19</f>
        <v>0.75</v>
      </c>
      <c r="AA20" s="338">
        <f>1-AA19</f>
        <v>0.75</v>
      </c>
      <c r="AB20" s="291">
        <f>+AC20-SUM(Y20:AA20)</f>
        <v>-1.25</v>
      </c>
      <c r="AC20" s="339">
        <f>1-AC19</f>
        <v>0</v>
      </c>
      <c r="AD20" s="337">
        <f>1-AD19</f>
        <v>0.75</v>
      </c>
      <c r="AE20" s="338">
        <f>2-AE19</f>
        <v>1.75</v>
      </c>
      <c r="AF20" s="338">
        <f>0-AF19</f>
        <v>-0.25</v>
      </c>
      <c r="AG20" s="291">
        <f>+AH20-SUM(AD20:AF20)</f>
        <v>-0.25</v>
      </c>
      <c r="AH20" s="2056">
        <f>3-AH19</f>
        <v>2</v>
      </c>
      <c r="AI20" s="337">
        <f>4-AI19</f>
        <v>2.5</v>
      </c>
      <c r="AJ20" s="338">
        <f>2+1-AJ19</f>
        <v>1.5</v>
      </c>
      <c r="AK20" s="338">
        <f>2-AK19</f>
        <v>0.5</v>
      </c>
      <c r="AL20" s="291">
        <f>+AM20-SUM(AI20:AK20)</f>
        <v>-0.5</v>
      </c>
      <c r="AM20" s="2056">
        <f>1+9-AM19</f>
        <v>4</v>
      </c>
      <c r="AN20" s="337">
        <f>2-AN19</f>
        <v>0.5</v>
      </c>
      <c r="AO20" s="338">
        <f>2-AO19</f>
        <v>0</v>
      </c>
      <c r="AP20" s="262">
        <f>1-AP19</f>
        <v>0</v>
      </c>
      <c r="AQ20" s="291">
        <f>+AR20-SUM(AN20:AP20)</f>
        <v>0.5</v>
      </c>
      <c r="AR20" s="2056">
        <f>7-AR19</f>
        <v>1</v>
      </c>
      <c r="AS20" s="814">
        <v>0</v>
      </c>
      <c r="AT20" s="262">
        <v>0</v>
      </c>
      <c r="AU20" s="262">
        <v>0</v>
      </c>
      <c r="AV20" s="294">
        <v>0</v>
      </c>
      <c r="AW20" s="330">
        <f>SUM(AS20:AV20)</f>
        <v>0</v>
      </c>
      <c r="AX20" s="814">
        <v>0</v>
      </c>
      <c r="AY20" s="262">
        <v>0</v>
      </c>
      <c r="AZ20" s="262">
        <v>0</v>
      </c>
      <c r="BA20" s="294">
        <v>0</v>
      </c>
      <c r="BB20" s="330">
        <f>SUM(AX20:BA20)</f>
        <v>0</v>
      </c>
      <c r="BC20" s="814">
        <v>0</v>
      </c>
      <c r="BD20" s="262">
        <v>0</v>
      </c>
      <c r="BE20" s="262">
        <v>0</v>
      </c>
      <c r="BF20" s="294">
        <v>0</v>
      </c>
      <c r="BG20" s="330">
        <f>SUM(BC20:BF20)</f>
        <v>0</v>
      </c>
      <c r="BH20" s="814">
        <v>0</v>
      </c>
      <c r="BI20" s="262">
        <v>0</v>
      </c>
      <c r="BJ20" s="262">
        <v>0</v>
      </c>
      <c r="BK20" s="294">
        <v>0</v>
      </c>
      <c r="BL20" s="330">
        <f>SUM(BH20:BK20)</f>
        <v>0</v>
      </c>
      <c r="BM20" s="330"/>
      <c r="BN20" s="330"/>
      <c r="BO20" s="330"/>
      <c r="BP20" s="330"/>
      <c r="BQ20" s="330"/>
      <c r="BR20" s="330"/>
      <c r="BS20" s="330"/>
      <c r="BT20" s="330"/>
      <c r="BU20" s="330"/>
      <c r="BV20" s="330"/>
      <c r="BW20" s="330"/>
      <c r="BX20" s="330"/>
      <c r="BY20" s="330"/>
      <c r="BZ20" s="330"/>
      <c r="CA20" s="330"/>
      <c r="CB20" s="330"/>
      <c r="CC20" s="330"/>
      <c r="CD20" s="330"/>
      <c r="CE20" s="330"/>
      <c r="CF20" s="330"/>
      <c r="CG20" s="330"/>
      <c r="CH20" s="330"/>
      <c r="CI20" s="330"/>
      <c r="CJ20" s="330"/>
      <c r="CK20" s="330"/>
      <c r="CL20" s="330"/>
      <c r="CM20" s="330"/>
      <c r="CN20" s="330"/>
      <c r="CO20" s="330"/>
      <c r="CP20" s="330"/>
    </row>
    <row r="21" spans="1:94">
      <c r="A21" s="45"/>
      <c r="B21" s="45"/>
      <c r="C21" s="909" t="s">
        <v>86</v>
      </c>
      <c r="D21" s="45"/>
      <c r="E21" s="580"/>
      <c r="F21" s="581"/>
      <c r="G21" s="581"/>
      <c r="H21" s="582"/>
      <c r="I21" s="583">
        <f t="shared" ref="I21:AW21" si="19">SUM(I19:I20)</f>
        <v>-5</v>
      </c>
      <c r="J21" s="580">
        <f t="shared" si="19"/>
        <v>0</v>
      </c>
      <c r="K21" s="581">
        <f t="shared" si="19"/>
        <v>2</v>
      </c>
      <c r="L21" s="581">
        <f t="shared" si="19"/>
        <v>0</v>
      </c>
      <c r="M21" s="582">
        <f t="shared" si="19"/>
        <v>0</v>
      </c>
      <c r="N21" s="583">
        <f t="shared" si="19"/>
        <v>2</v>
      </c>
      <c r="O21" s="580">
        <f t="shared" si="19"/>
        <v>1</v>
      </c>
      <c r="P21" s="581">
        <f t="shared" si="19"/>
        <v>1</v>
      </c>
      <c r="Q21" s="581">
        <f t="shared" si="19"/>
        <v>1</v>
      </c>
      <c r="R21" s="582">
        <f t="shared" si="19"/>
        <v>1</v>
      </c>
      <c r="S21" s="583">
        <f t="shared" si="19"/>
        <v>4</v>
      </c>
      <c r="T21" s="580">
        <f t="shared" si="19"/>
        <v>0</v>
      </c>
      <c r="U21" s="581">
        <f t="shared" si="19"/>
        <v>0</v>
      </c>
      <c r="V21" s="581">
        <f t="shared" si="19"/>
        <v>0</v>
      </c>
      <c r="W21" s="582">
        <f t="shared" si="19"/>
        <v>1</v>
      </c>
      <c r="X21" s="583">
        <f t="shared" si="19"/>
        <v>1</v>
      </c>
      <c r="Y21" s="580">
        <f t="shared" si="19"/>
        <v>0</v>
      </c>
      <c r="Z21" s="581">
        <f t="shared" si="19"/>
        <v>1</v>
      </c>
      <c r="AA21" s="581">
        <f t="shared" ref="AA21:AE21" si="20">SUM(AA19:AA20)</f>
        <v>1</v>
      </c>
      <c r="AB21" s="582">
        <f t="shared" si="20"/>
        <v>-1</v>
      </c>
      <c r="AC21" s="583">
        <f t="shared" si="20"/>
        <v>1</v>
      </c>
      <c r="AD21" s="580">
        <f t="shared" si="20"/>
        <v>1</v>
      </c>
      <c r="AE21" s="581">
        <f t="shared" si="20"/>
        <v>2</v>
      </c>
      <c r="AF21" s="581">
        <f t="shared" ref="AF21:AJ21" si="21">SUM(AF19:AF20)</f>
        <v>0</v>
      </c>
      <c r="AG21" s="582">
        <f t="shared" si="21"/>
        <v>0</v>
      </c>
      <c r="AH21" s="583">
        <f t="shared" si="21"/>
        <v>3</v>
      </c>
      <c r="AI21" s="580">
        <f t="shared" si="21"/>
        <v>4</v>
      </c>
      <c r="AJ21" s="581">
        <f t="shared" si="21"/>
        <v>3</v>
      </c>
      <c r="AK21" s="581">
        <f t="shared" ref="AK21:AP21" si="22">SUM(AK19:AK20)</f>
        <v>2</v>
      </c>
      <c r="AL21" s="582">
        <f t="shared" si="22"/>
        <v>1</v>
      </c>
      <c r="AM21" s="583">
        <f t="shared" si="22"/>
        <v>10</v>
      </c>
      <c r="AN21" s="580">
        <f t="shared" si="22"/>
        <v>2</v>
      </c>
      <c r="AO21" s="581">
        <f t="shared" si="22"/>
        <v>2</v>
      </c>
      <c r="AP21" s="581">
        <f t="shared" si="22"/>
        <v>1</v>
      </c>
      <c r="AQ21" s="582">
        <f t="shared" ref="AQ21:AR21" si="23">SUM(AQ19:AQ20)</f>
        <v>2</v>
      </c>
      <c r="AR21" s="583">
        <f t="shared" si="23"/>
        <v>7</v>
      </c>
      <c r="AS21" s="292">
        <f t="shared" si="19"/>
        <v>1.4846842896517163</v>
      </c>
      <c r="AT21" s="261">
        <f t="shared" si="19"/>
        <v>1.4846842896517163</v>
      </c>
      <c r="AU21" s="261">
        <f t="shared" si="19"/>
        <v>1.4846842896517163</v>
      </c>
      <c r="AV21" s="293">
        <f t="shared" si="19"/>
        <v>1.4846842896517163</v>
      </c>
      <c r="AW21" s="228">
        <f t="shared" si="19"/>
        <v>5.9387371586068651</v>
      </c>
      <c r="AX21" s="292">
        <f t="shared" ref="AX21:BG21" si="24">SUM(AX19:AX20)</f>
        <v>1.512778752192433</v>
      </c>
      <c r="AY21" s="261">
        <f t="shared" si="24"/>
        <v>1.512778752192433</v>
      </c>
      <c r="AZ21" s="261">
        <f t="shared" si="24"/>
        <v>1.512778752192433</v>
      </c>
      <c r="BA21" s="293">
        <f t="shared" si="24"/>
        <v>1.512778752192433</v>
      </c>
      <c r="BB21" s="228">
        <f t="shared" si="24"/>
        <v>6.0511150087697319</v>
      </c>
      <c r="BC21" s="292">
        <f t="shared" si="24"/>
        <v>1.4047231270358305</v>
      </c>
      <c r="BD21" s="261">
        <f t="shared" si="24"/>
        <v>1.4047231270358305</v>
      </c>
      <c r="BE21" s="261">
        <f t="shared" si="24"/>
        <v>1.4047231270358305</v>
      </c>
      <c r="BF21" s="293">
        <f t="shared" si="24"/>
        <v>1.4047231270358305</v>
      </c>
      <c r="BG21" s="228">
        <f t="shared" si="24"/>
        <v>5.6188925081433219</v>
      </c>
      <c r="BH21" s="292">
        <f t="shared" ref="BH21:BL21" si="25">SUM(BH19:BH20)</f>
        <v>1.1886118767226259</v>
      </c>
      <c r="BI21" s="261">
        <f t="shared" si="25"/>
        <v>1.1886118767226259</v>
      </c>
      <c r="BJ21" s="261">
        <f t="shared" si="25"/>
        <v>1.1886118767226259</v>
      </c>
      <c r="BK21" s="293">
        <f t="shared" si="25"/>
        <v>1.1886118767226259</v>
      </c>
      <c r="BL21" s="228">
        <f t="shared" si="25"/>
        <v>4.7544475068905037</v>
      </c>
      <c r="BM21" s="45"/>
      <c r="BN21" s="45"/>
      <c r="BO21" s="45"/>
      <c r="BP21" s="45"/>
      <c r="BQ21" s="45"/>
      <c r="BR21" s="45"/>
      <c r="BS21" s="45"/>
      <c r="BT21" s="45"/>
      <c r="BU21" s="45"/>
      <c r="BV21" s="45"/>
      <c r="BW21" s="45"/>
      <c r="BX21" s="45"/>
      <c r="BY21" s="45"/>
      <c r="BZ21" s="45"/>
      <c r="CA21" s="45"/>
      <c r="CB21" s="45"/>
      <c r="CC21" s="45"/>
      <c r="CD21" s="45"/>
      <c r="CE21" s="45"/>
      <c r="CF21" s="45"/>
      <c r="CG21" s="45"/>
      <c r="CH21" s="45"/>
      <c r="CI21" s="45"/>
      <c r="CJ21" s="45"/>
      <c r="CK21" s="45"/>
      <c r="CL21" s="45"/>
      <c r="CM21" s="45"/>
      <c r="CN21" s="45"/>
      <c r="CO21" s="45"/>
      <c r="CP21" s="45"/>
    </row>
    <row r="22" spans="1:94">
      <c r="A22" s="330"/>
      <c r="B22" s="330"/>
      <c r="C22" s="895"/>
      <c r="D22" s="330"/>
      <c r="E22" s="814"/>
      <c r="F22" s="262"/>
      <c r="G22" s="262"/>
      <c r="H22" s="294"/>
      <c r="I22" s="1003"/>
      <c r="J22" s="814"/>
      <c r="K22" s="264"/>
      <c r="L22" s="264"/>
      <c r="M22" s="294"/>
      <c r="N22" s="1003"/>
      <c r="O22" s="814"/>
      <c r="P22" s="262"/>
      <c r="Q22" s="262"/>
      <c r="R22" s="294"/>
      <c r="S22" s="1003"/>
      <c r="T22" s="814"/>
      <c r="U22" s="262"/>
      <c r="V22" s="262"/>
      <c r="W22" s="294"/>
      <c r="X22" s="1003"/>
      <c r="Y22" s="814"/>
      <c r="Z22" s="262"/>
      <c r="AA22" s="262"/>
      <c r="AB22" s="294"/>
      <c r="AC22" s="1003"/>
      <c r="AD22" s="814"/>
      <c r="AE22" s="262"/>
      <c r="AF22" s="262"/>
      <c r="AG22" s="294"/>
      <c r="AH22" s="2058"/>
      <c r="AI22" s="814"/>
      <c r="AJ22" s="262"/>
      <c r="AK22" s="262"/>
      <c r="AL22" s="294"/>
      <c r="AM22" s="2058"/>
      <c r="AN22" s="814"/>
      <c r="AO22" s="262"/>
      <c r="AP22" s="264"/>
      <c r="AQ22" s="294"/>
      <c r="AR22" s="2058"/>
      <c r="AS22" s="300"/>
      <c r="AT22" s="264"/>
      <c r="AU22" s="264"/>
      <c r="AV22" s="299"/>
      <c r="AW22" s="330"/>
      <c r="AX22" s="300"/>
      <c r="AY22" s="264"/>
      <c r="AZ22" s="264"/>
      <c r="BA22" s="299"/>
      <c r="BB22" s="330"/>
      <c r="BC22" s="300"/>
      <c r="BD22" s="264"/>
      <c r="BE22" s="264"/>
      <c r="BF22" s="299"/>
      <c r="BG22" s="330"/>
      <c r="BH22" s="300"/>
      <c r="BI22" s="264"/>
      <c r="BJ22" s="264"/>
      <c r="BK22" s="299"/>
      <c r="BL22" s="330"/>
      <c r="BM22" s="330"/>
      <c r="BN22" s="330"/>
      <c r="BO22" s="330"/>
      <c r="BP22" s="330"/>
      <c r="BQ22" s="330"/>
      <c r="BR22" s="330"/>
      <c r="BS22" s="330"/>
      <c r="BT22" s="330"/>
      <c r="BU22" s="330"/>
      <c r="BV22" s="330"/>
      <c r="BW22" s="330"/>
      <c r="BX22" s="330"/>
      <c r="BY22" s="330"/>
      <c r="BZ22" s="330"/>
      <c r="CA22" s="330"/>
      <c r="CB22" s="330"/>
      <c r="CC22" s="330"/>
      <c r="CD22" s="330"/>
      <c r="CE22" s="330"/>
      <c r="CF22" s="330"/>
      <c r="CG22" s="330"/>
      <c r="CH22" s="330"/>
      <c r="CI22" s="330"/>
      <c r="CJ22" s="330"/>
      <c r="CK22" s="330"/>
      <c r="CL22" s="330"/>
      <c r="CM22" s="330"/>
      <c r="CN22" s="330"/>
      <c r="CO22" s="330"/>
      <c r="CP22" s="330"/>
    </row>
    <row r="23" spans="1:94">
      <c r="A23" s="330"/>
      <c r="B23" s="330"/>
      <c r="C23" s="909" t="s">
        <v>475</v>
      </c>
      <c r="D23" s="330"/>
      <c r="E23" s="292"/>
      <c r="F23" s="261"/>
      <c r="G23" s="261"/>
      <c r="H23" s="293"/>
      <c r="I23" s="228">
        <f t="shared" ref="I23:AW23" si="26">I17+I21</f>
        <v>161</v>
      </c>
      <c r="J23" s="292">
        <f t="shared" si="26"/>
        <v>26</v>
      </c>
      <c r="K23" s="261">
        <f t="shared" si="26"/>
        <v>50</v>
      </c>
      <c r="L23" s="261">
        <f t="shared" si="26"/>
        <v>52</v>
      </c>
      <c r="M23" s="293">
        <f t="shared" si="26"/>
        <v>13</v>
      </c>
      <c r="N23" s="228">
        <f t="shared" si="26"/>
        <v>141</v>
      </c>
      <c r="O23" s="292">
        <f t="shared" si="26"/>
        <v>18</v>
      </c>
      <c r="P23" s="261">
        <f t="shared" si="26"/>
        <v>41</v>
      </c>
      <c r="Q23" s="261">
        <f t="shared" si="26"/>
        <v>50</v>
      </c>
      <c r="R23" s="293">
        <f t="shared" si="26"/>
        <v>14</v>
      </c>
      <c r="S23" s="228">
        <f t="shared" si="26"/>
        <v>123</v>
      </c>
      <c r="T23" s="292">
        <f t="shared" si="26"/>
        <v>25</v>
      </c>
      <c r="U23" s="261">
        <f t="shared" si="26"/>
        <v>29</v>
      </c>
      <c r="V23" s="261">
        <f t="shared" si="26"/>
        <v>55</v>
      </c>
      <c r="W23" s="293">
        <f t="shared" si="26"/>
        <v>28</v>
      </c>
      <c r="X23" s="228">
        <f t="shared" si="26"/>
        <v>137</v>
      </c>
      <c r="Y23" s="292">
        <f t="shared" si="26"/>
        <v>31</v>
      </c>
      <c r="Z23" s="261">
        <f t="shared" si="26"/>
        <v>26</v>
      </c>
      <c r="AA23" s="261">
        <f t="shared" ref="AA23:AE23" si="27">AA17+AA21</f>
        <v>53</v>
      </c>
      <c r="AB23" s="293">
        <f t="shared" si="27"/>
        <v>26</v>
      </c>
      <c r="AC23" s="228">
        <f t="shared" si="27"/>
        <v>136</v>
      </c>
      <c r="AD23" s="292">
        <f t="shared" si="27"/>
        <v>21</v>
      </c>
      <c r="AE23" s="261">
        <f t="shared" si="27"/>
        <v>34</v>
      </c>
      <c r="AF23" s="261">
        <f t="shared" ref="AF23:AJ23" si="28">AF17+AF21</f>
        <v>38</v>
      </c>
      <c r="AG23" s="293">
        <f t="shared" si="28"/>
        <v>40</v>
      </c>
      <c r="AH23" s="228">
        <f t="shared" si="28"/>
        <v>133</v>
      </c>
      <c r="AI23" s="292">
        <f t="shared" si="28"/>
        <v>-117</v>
      </c>
      <c r="AJ23" s="261">
        <f t="shared" si="28"/>
        <v>21</v>
      </c>
      <c r="AK23" s="261">
        <f t="shared" ref="AK23:AO23" si="29">AK17+AK21</f>
        <v>85</v>
      </c>
      <c r="AL23" s="293">
        <f t="shared" si="29"/>
        <v>27</v>
      </c>
      <c r="AM23" s="228">
        <f t="shared" si="29"/>
        <v>16</v>
      </c>
      <c r="AN23" s="292">
        <f t="shared" si="29"/>
        <v>27</v>
      </c>
      <c r="AO23" s="261">
        <f t="shared" si="29"/>
        <v>27</v>
      </c>
      <c r="AP23" s="261">
        <f t="shared" ref="AP23:AR23" si="30">AP17+AP21</f>
        <v>80</v>
      </c>
      <c r="AQ23" s="293">
        <f t="shared" si="30"/>
        <v>30</v>
      </c>
      <c r="AR23" s="228">
        <f t="shared" si="30"/>
        <v>164</v>
      </c>
      <c r="AS23" s="292">
        <f t="shared" si="26"/>
        <v>28.714682639093702</v>
      </c>
      <c r="AT23" s="261">
        <f t="shared" si="26"/>
        <v>30.697812628004563</v>
      </c>
      <c r="AU23" s="261">
        <f t="shared" si="26"/>
        <v>89.090923001576328</v>
      </c>
      <c r="AV23" s="293">
        <f t="shared" si="26"/>
        <v>28.603556511494425</v>
      </c>
      <c r="AW23" s="228">
        <f t="shared" si="26"/>
        <v>177.10697478016905</v>
      </c>
      <c r="AX23" s="292">
        <f t="shared" ref="AX23:BG23" si="31">AX17+AX21</f>
        <v>30.099477298734527</v>
      </c>
      <c r="AY23" s="261">
        <f t="shared" si="31"/>
        <v>31.873431040265004</v>
      </c>
      <c r="AZ23" s="261">
        <f t="shared" si="31"/>
        <v>97.571515703986265</v>
      </c>
      <c r="BA23" s="293">
        <f t="shared" si="31"/>
        <v>36.378041716784978</v>
      </c>
      <c r="BB23" s="228">
        <f t="shared" si="31"/>
        <v>195.92246575977077</v>
      </c>
      <c r="BC23" s="292">
        <f t="shared" si="31"/>
        <v>39.541367595616556</v>
      </c>
      <c r="BD23" s="261">
        <f t="shared" si="31"/>
        <v>41.753306537917048</v>
      </c>
      <c r="BE23" s="261">
        <f t="shared" si="31"/>
        <v>101.83099456757078</v>
      </c>
      <c r="BF23" s="293">
        <f t="shared" si="31"/>
        <v>40.048676412547884</v>
      </c>
      <c r="BG23" s="228">
        <f t="shared" si="31"/>
        <v>223.17434511365209</v>
      </c>
      <c r="BH23" s="292">
        <f t="shared" ref="BH23:BL23" si="32">BH17+BH21</f>
        <v>42.857656123567942</v>
      </c>
      <c r="BI23" s="261">
        <f t="shared" si="32"/>
        <v>45.032179638025063</v>
      </c>
      <c r="BJ23" s="261">
        <f t="shared" si="32"/>
        <v>105.65803741033585</v>
      </c>
      <c r="BK23" s="293">
        <f t="shared" si="32"/>
        <v>44.176293311583883</v>
      </c>
      <c r="BL23" s="228">
        <f t="shared" si="32"/>
        <v>237.72416648351279</v>
      </c>
      <c r="BM23" s="330"/>
      <c r="BN23" s="330"/>
      <c r="BO23" s="330"/>
      <c r="BP23" s="330"/>
      <c r="BQ23" s="330"/>
      <c r="BR23" s="330"/>
      <c r="BS23" s="330"/>
      <c r="BT23" s="330"/>
      <c r="BU23" s="330"/>
      <c r="BV23" s="330"/>
      <c r="BW23" s="330"/>
      <c r="BX23" s="330"/>
      <c r="BY23" s="330"/>
      <c r="BZ23" s="330"/>
      <c r="CA23" s="330"/>
      <c r="CB23" s="330"/>
      <c r="CC23" s="330"/>
      <c r="CD23" s="330"/>
      <c r="CE23" s="330"/>
      <c r="CF23" s="330"/>
      <c r="CG23" s="330"/>
      <c r="CH23" s="330"/>
      <c r="CI23" s="330"/>
      <c r="CJ23" s="330"/>
      <c r="CK23" s="330"/>
      <c r="CL23" s="330"/>
      <c r="CM23" s="330"/>
      <c r="CN23" s="330"/>
      <c r="CO23" s="330"/>
      <c r="CP23" s="330"/>
    </row>
    <row r="24" spans="1:94">
      <c r="A24" s="330"/>
      <c r="B24" s="330"/>
      <c r="C24" s="909" t="s">
        <v>66</v>
      </c>
      <c r="D24" s="330"/>
      <c r="E24" s="292"/>
      <c r="F24" s="261"/>
      <c r="G24" s="261"/>
      <c r="H24" s="293"/>
      <c r="I24" s="228">
        <f t="shared" ref="I24:AW24" si="33">+I23+I13</f>
        <v>273</v>
      </c>
      <c r="J24" s="292">
        <f t="shared" si="33"/>
        <v>59</v>
      </c>
      <c r="K24" s="261">
        <f t="shared" si="33"/>
        <v>83</v>
      </c>
      <c r="L24" s="261">
        <f t="shared" si="33"/>
        <v>93</v>
      </c>
      <c r="M24" s="293">
        <f t="shared" si="33"/>
        <v>40</v>
      </c>
      <c r="N24" s="228">
        <f t="shared" si="33"/>
        <v>275</v>
      </c>
      <c r="O24" s="292">
        <f t="shared" si="33"/>
        <v>46</v>
      </c>
      <c r="P24" s="261">
        <f t="shared" si="33"/>
        <v>68</v>
      </c>
      <c r="Q24" s="261">
        <f t="shared" si="33"/>
        <v>87</v>
      </c>
      <c r="R24" s="293">
        <f t="shared" si="33"/>
        <v>46</v>
      </c>
      <c r="S24" s="228">
        <f t="shared" si="33"/>
        <v>247</v>
      </c>
      <c r="T24" s="292">
        <f t="shared" si="33"/>
        <v>56</v>
      </c>
      <c r="U24" s="261">
        <f t="shared" si="33"/>
        <v>61</v>
      </c>
      <c r="V24" s="261">
        <f t="shared" si="33"/>
        <v>93</v>
      </c>
      <c r="W24" s="293">
        <f t="shared" si="33"/>
        <v>63</v>
      </c>
      <c r="X24" s="228">
        <f t="shared" si="33"/>
        <v>273</v>
      </c>
      <c r="Y24" s="292">
        <f t="shared" si="33"/>
        <v>69</v>
      </c>
      <c r="Z24" s="261">
        <f t="shared" si="33"/>
        <v>63</v>
      </c>
      <c r="AA24" s="261">
        <f t="shared" ref="AA24:AE24" si="34">+AA23+AA13</f>
        <v>95</v>
      </c>
      <c r="AB24" s="293">
        <f t="shared" si="34"/>
        <v>66</v>
      </c>
      <c r="AC24" s="228">
        <f t="shared" si="34"/>
        <v>293</v>
      </c>
      <c r="AD24" s="292">
        <f t="shared" si="34"/>
        <v>64</v>
      </c>
      <c r="AE24" s="261">
        <f t="shared" si="34"/>
        <v>77</v>
      </c>
      <c r="AF24" s="261">
        <f t="shared" ref="AF24:AJ24" si="35">+AF23+AF13</f>
        <v>87</v>
      </c>
      <c r="AG24" s="293">
        <f t="shared" si="35"/>
        <v>81</v>
      </c>
      <c r="AH24" s="228">
        <f t="shared" si="35"/>
        <v>309</v>
      </c>
      <c r="AI24" s="292">
        <f t="shared" si="35"/>
        <v>-77</v>
      </c>
      <c r="AJ24" s="261">
        <f t="shared" si="35"/>
        <v>62</v>
      </c>
      <c r="AK24" s="261">
        <f t="shared" ref="AK24:AO24" si="36">+AK23+AK13</f>
        <v>134</v>
      </c>
      <c r="AL24" s="293">
        <f t="shared" si="36"/>
        <v>62</v>
      </c>
      <c r="AM24" s="228">
        <f t="shared" si="36"/>
        <v>181</v>
      </c>
      <c r="AN24" s="292">
        <f t="shared" si="36"/>
        <v>62</v>
      </c>
      <c r="AO24" s="261">
        <f t="shared" si="36"/>
        <v>64</v>
      </c>
      <c r="AP24" s="261">
        <f t="shared" ref="AP24:AR24" si="37">+AP23+AP13</f>
        <v>121</v>
      </c>
      <c r="AQ24" s="293">
        <f t="shared" si="37"/>
        <v>63</v>
      </c>
      <c r="AR24" s="228">
        <f t="shared" si="37"/>
        <v>310</v>
      </c>
      <c r="AS24" s="292">
        <f t="shared" si="33"/>
        <v>60.73951963830816</v>
      </c>
      <c r="AT24" s="261">
        <f t="shared" si="33"/>
        <v>63.042719954763854</v>
      </c>
      <c r="AU24" s="261">
        <f t="shared" si="33"/>
        <v>122.0162815026209</v>
      </c>
      <c r="AV24" s="293">
        <f t="shared" si="33"/>
        <v>62.103879287431042</v>
      </c>
      <c r="AW24" s="228">
        <f t="shared" si="33"/>
        <v>307.90240038312402</v>
      </c>
      <c r="AX24" s="292">
        <f t="shared" ref="AX24:BG24" si="38">+AX23+AX13</f>
        <v>60.919329316832133</v>
      </c>
      <c r="AY24" s="261">
        <f t="shared" si="38"/>
        <v>63.379042785317573</v>
      </c>
      <c r="AZ24" s="261">
        <f t="shared" si="38"/>
        <v>129.5473521050024</v>
      </c>
      <c r="BA24" s="293">
        <f t="shared" si="38"/>
        <v>68.819657825604082</v>
      </c>
      <c r="BB24" s="228">
        <f t="shared" si="38"/>
        <v>322.66538203275621</v>
      </c>
      <c r="BC24" s="292">
        <f t="shared" si="38"/>
        <v>72.944360481364583</v>
      </c>
      <c r="BD24" s="261">
        <f t="shared" si="38"/>
        <v>75.60858848075182</v>
      </c>
      <c r="BE24" s="261">
        <f t="shared" si="38"/>
        <v>136.13429016128615</v>
      </c>
      <c r="BF24" s="293">
        <f t="shared" si="38"/>
        <v>74.795750665575127</v>
      </c>
      <c r="BG24" s="228">
        <f t="shared" si="38"/>
        <v>359.48298978897753</v>
      </c>
      <c r="BH24" s="292">
        <f t="shared" ref="BH24:BL24" si="39">+BH23+BH13</f>
        <v>73.044314076943436</v>
      </c>
      <c r="BI24" s="261">
        <f t="shared" si="39"/>
        <v>75.883315042048295</v>
      </c>
      <c r="BJ24" s="261">
        <f t="shared" si="39"/>
        <v>136.74926366250256</v>
      </c>
      <c r="BK24" s="293">
        <f t="shared" si="39"/>
        <v>75.505340876768031</v>
      </c>
      <c r="BL24" s="228">
        <f t="shared" si="39"/>
        <v>361.18223365826236</v>
      </c>
      <c r="BM24" s="330"/>
      <c r="BN24" s="330"/>
      <c r="BO24" s="330"/>
      <c r="BP24" s="330"/>
      <c r="BQ24" s="330"/>
      <c r="BR24" s="330"/>
      <c r="BS24" s="330"/>
      <c r="BT24" s="330"/>
      <c r="BU24" s="330"/>
      <c r="BV24" s="330"/>
      <c r="BW24" s="330"/>
      <c r="BX24" s="330"/>
      <c r="BY24" s="330"/>
      <c r="BZ24" s="330"/>
      <c r="CA24" s="330"/>
      <c r="CB24" s="330"/>
      <c r="CC24" s="330"/>
      <c r="CD24" s="330"/>
      <c r="CE24" s="330"/>
      <c r="CF24" s="330"/>
      <c r="CG24" s="330"/>
      <c r="CH24" s="330"/>
      <c r="CI24" s="330"/>
      <c r="CJ24" s="330"/>
      <c r="CK24" s="330"/>
      <c r="CL24" s="330"/>
      <c r="CM24" s="330"/>
      <c r="CN24" s="330"/>
      <c r="CO24" s="330"/>
      <c r="CP24" s="330"/>
    </row>
    <row r="25" spans="1:94">
      <c r="A25" s="330"/>
      <c r="B25" s="330"/>
      <c r="C25" s="895"/>
      <c r="D25" s="330"/>
      <c r="E25" s="814"/>
      <c r="F25" s="262"/>
      <c r="G25" s="262"/>
      <c r="H25" s="294"/>
      <c r="I25" s="1003"/>
      <c r="J25" s="814"/>
      <c r="K25" s="264"/>
      <c r="L25" s="264"/>
      <c r="M25" s="294"/>
      <c r="N25" s="1003"/>
      <c r="O25" s="814"/>
      <c r="P25" s="262"/>
      <c r="Q25" s="262"/>
      <c r="R25" s="294"/>
      <c r="S25" s="1003"/>
      <c r="T25" s="814"/>
      <c r="U25" s="262"/>
      <c r="V25" s="262"/>
      <c r="W25" s="294"/>
      <c r="X25" s="1003"/>
      <c r="Y25" s="814"/>
      <c r="Z25" s="262"/>
      <c r="AA25" s="262"/>
      <c r="AB25" s="294"/>
      <c r="AC25" s="1003"/>
      <c r="AD25" s="814"/>
      <c r="AE25" s="262"/>
      <c r="AF25" s="262"/>
      <c r="AG25" s="294"/>
      <c r="AH25" s="2058"/>
      <c r="AI25" s="814"/>
      <c r="AJ25" s="262"/>
      <c r="AK25" s="262"/>
      <c r="AL25" s="294"/>
      <c r="AM25" s="2058"/>
      <c r="AN25" s="814"/>
      <c r="AO25" s="262"/>
      <c r="AP25" s="264"/>
      <c r="AQ25" s="294"/>
      <c r="AR25" s="2058"/>
      <c r="AS25" s="300"/>
      <c r="AT25" s="264"/>
      <c r="AU25" s="264"/>
      <c r="AV25" s="299"/>
      <c r="AW25" s="330"/>
      <c r="AX25" s="300"/>
      <c r="AY25" s="264"/>
      <c r="AZ25" s="264"/>
      <c r="BA25" s="299"/>
      <c r="BB25" s="330"/>
      <c r="BC25" s="300"/>
      <c r="BD25" s="264"/>
      <c r="BE25" s="264"/>
      <c r="BF25" s="299"/>
      <c r="BG25" s="330"/>
      <c r="BH25" s="300"/>
      <c r="BI25" s="264"/>
      <c r="BJ25" s="264"/>
      <c r="BK25" s="299"/>
      <c r="BL25" s="330"/>
      <c r="BM25" s="330"/>
      <c r="BN25" s="330"/>
      <c r="BO25" s="330"/>
      <c r="BP25" s="330"/>
      <c r="BQ25" s="330"/>
      <c r="BR25" s="330"/>
      <c r="BS25" s="330"/>
      <c r="BT25" s="330"/>
      <c r="BU25" s="330"/>
      <c r="BV25" s="330"/>
      <c r="BW25" s="330"/>
      <c r="BX25" s="330"/>
      <c r="BY25" s="330"/>
      <c r="BZ25" s="330"/>
      <c r="CA25" s="330"/>
      <c r="CB25" s="330"/>
      <c r="CC25" s="330"/>
      <c r="CD25" s="330"/>
      <c r="CE25" s="330"/>
      <c r="CF25" s="330"/>
      <c r="CG25" s="330"/>
      <c r="CH25" s="330"/>
      <c r="CI25" s="330"/>
      <c r="CJ25" s="330"/>
      <c r="CK25" s="330"/>
      <c r="CL25" s="330"/>
      <c r="CM25" s="330"/>
      <c r="CN25" s="330"/>
      <c r="CO25" s="330"/>
      <c r="CP25" s="330"/>
    </row>
    <row r="26" spans="1:94">
      <c r="A26" s="330"/>
      <c r="B26" s="330"/>
      <c r="C26" s="895" t="s">
        <v>80</v>
      </c>
      <c r="D26" s="330"/>
      <c r="E26" s="337"/>
      <c r="F26" s="338"/>
      <c r="G26" s="338"/>
      <c r="H26" s="586"/>
      <c r="I26" s="339">
        <v>65</v>
      </c>
      <c r="J26" s="337">
        <v>15</v>
      </c>
      <c r="K26" s="338">
        <v>18</v>
      </c>
      <c r="L26" s="338">
        <v>18</v>
      </c>
      <c r="M26" s="586">
        <f>N26-SUM(J26:L26)</f>
        <v>18</v>
      </c>
      <c r="N26" s="339">
        <v>69</v>
      </c>
      <c r="O26" s="337">
        <v>17</v>
      </c>
      <c r="P26" s="338">
        <v>18</v>
      </c>
      <c r="Q26" s="338">
        <v>17</v>
      </c>
      <c r="R26" s="586">
        <f>S26-SUM(O26:Q26)</f>
        <v>18</v>
      </c>
      <c r="S26" s="339">
        <v>70</v>
      </c>
      <c r="T26" s="337">
        <v>17</v>
      </c>
      <c r="U26" s="338">
        <v>18</v>
      </c>
      <c r="V26" s="338">
        <v>17</v>
      </c>
      <c r="W26" s="586">
        <f>X26-SUM(T26:V26)</f>
        <v>16</v>
      </c>
      <c r="X26" s="339">
        <v>68</v>
      </c>
      <c r="Y26" s="337">
        <v>15</v>
      </c>
      <c r="Z26" s="338">
        <v>16</v>
      </c>
      <c r="AA26" s="338">
        <v>16</v>
      </c>
      <c r="AB26" s="586">
        <f>AC26-SUM(Y26:AA26)</f>
        <v>16</v>
      </c>
      <c r="AC26" s="339">
        <v>63</v>
      </c>
      <c r="AD26" s="337">
        <v>15</v>
      </c>
      <c r="AE26" s="338">
        <v>17</v>
      </c>
      <c r="AF26" s="338">
        <v>17</v>
      </c>
      <c r="AG26" s="586">
        <f>AH26-SUM(AD26:AF26)</f>
        <v>15</v>
      </c>
      <c r="AH26" s="2056">
        <v>64</v>
      </c>
      <c r="AI26" s="337">
        <v>16</v>
      </c>
      <c r="AJ26" s="338">
        <v>16</v>
      </c>
      <c r="AK26" s="338">
        <v>15</v>
      </c>
      <c r="AL26" s="586">
        <f>AM26-SUM(AI26:AK26)</f>
        <v>15</v>
      </c>
      <c r="AM26" s="2056">
        <v>62</v>
      </c>
      <c r="AN26" s="337">
        <v>15</v>
      </c>
      <c r="AO26" s="338">
        <v>15</v>
      </c>
      <c r="AP26" s="338">
        <v>15</v>
      </c>
      <c r="AQ26" s="586">
        <f>AR26-SUM(AN26:AP26)</f>
        <v>16</v>
      </c>
      <c r="AR26" s="2056">
        <v>61</v>
      </c>
      <c r="AS26" s="300">
        <f>+AN26+AS135+AS136+AS133</f>
        <v>15.194353070175438</v>
      </c>
      <c r="AT26" s="264">
        <f ca="1">+AO26+AT135+AT136+AT133</f>
        <v>15.003122764089541</v>
      </c>
      <c r="AU26" s="264">
        <f ca="1">+AP26+AU135+AU136+AU133</f>
        <v>15.912313032323489</v>
      </c>
      <c r="AV26" s="299">
        <f ca="1">+AQ26+AV135+AV136+AV133</f>
        <v>15.804196315222683</v>
      </c>
      <c r="AW26" s="330">
        <f ca="1">SUM(AS26:AV26)</f>
        <v>61.91398518181115</v>
      </c>
      <c r="AX26" s="300">
        <f ca="1">+AS26+AX135+AX136+AX133</f>
        <v>14.930649738510242</v>
      </c>
      <c r="AY26" s="264">
        <f ca="1">+AT26+AY135+AY136+AY133</f>
        <v>14.773855595375913</v>
      </c>
      <c r="AZ26" s="264">
        <f ca="1">+AU26+AZ135+AZ136+AZ133</f>
        <v>17.258439326692645</v>
      </c>
      <c r="BA26" s="299">
        <f ca="1">+AV26+BA135+BA136+BA133</f>
        <v>16.688120124077521</v>
      </c>
      <c r="BB26" s="330">
        <f ca="1">SUM(AX26:BA26)</f>
        <v>63.65106478465632</v>
      </c>
      <c r="BC26" s="300">
        <f ca="1">+AX26+BC135+BC136+BC133</f>
        <v>15.729648635390632</v>
      </c>
      <c r="BD26" s="264">
        <f ca="1">+AY26+BD135+BD136+BD133</f>
        <v>15.559977660367176</v>
      </c>
      <c r="BE26" s="264">
        <f ca="1">+AZ26+BE135+BE136+BE133</f>
        <v>18.556026255595459</v>
      </c>
      <c r="BF26" s="299">
        <f ca="1">+BA26+BF135+BF136+BF133</f>
        <v>17.522149512186814</v>
      </c>
      <c r="BG26" s="330">
        <f ca="1">SUM(BC26:BF26)</f>
        <v>67.367802063540083</v>
      </c>
      <c r="BH26" s="300">
        <f ca="1">+BC26+BH135+BH136+BH133</f>
        <v>16.487099501969723</v>
      </c>
      <c r="BI26" s="264">
        <f ca="1">+BD26+BI135+BI136+BI133</f>
        <v>16.275681648000724</v>
      </c>
      <c r="BJ26" s="264">
        <f ca="1">+BE26+BJ135+BJ136+BJ133</f>
        <v>19.431107674929091</v>
      </c>
      <c r="BK26" s="299">
        <f ca="1">+BF26+BK135+BK136+BK133</f>
        <v>18.058869928478156</v>
      </c>
      <c r="BL26" s="330">
        <f ca="1">SUM(BH26:BK26)</f>
        <v>70.252758753377705</v>
      </c>
      <c r="BM26" s="330"/>
      <c r="BN26" s="330"/>
      <c r="BO26" s="330"/>
      <c r="BP26" s="330"/>
      <c r="BQ26" s="330"/>
      <c r="BR26" s="330"/>
      <c r="BS26" s="330"/>
      <c r="BT26" s="330"/>
      <c r="BU26" s="330"/>
      <c r="BV26" s="330"/>
      <c r="BW26" s="330"/>
      <c r="BX26" s="330"/>
      <c r="BY26" s="330"/>
      <c r="BZ26" s="330"/>
      <c r="CA26" s="330"/>
      <c r="CB26" s="330"/>
      <c r="CC26" s="330"/>
      <c r="CD26" s="330"/>
      <c r="CE26" s="330"/>
      <c r="CF26" s="330"/>
      <c r="CG26" s="330"/>
      <c r="CH26" s="330"/>
      <c r="CI26" s="330"/>
      <c r="CJ26" s="330"/>
      <c r="CK26" s="330"/>
      <c r="CL26" s="330"/>
      <c r="CM26" s="330"/>
      <c r="CN26" s="330"/>
      <c r="CO26" s="330"/>
      <c r="CP26" s="330"/>
    </row>
    <row r="27" spans="1:94">
      <c r="A27" s="330"/>
      <c r="B27" s="330"/>
      <c r="C27" s="895"/>
      <c r="D27" s="330"/>
      <c r="E27" s="814"/>
      <c r="F27" s="262"/>
      <c r="G27" s="262"/>
      <c r="H27" s="294"/>
      <c r="I27" s="1003"/>
      <c r="J27" s="814"/>
      <c r="K27" s="264"/>
      <c r="L27" s="264"/>
      <c r="M27" s="294"/>
      <c r="N27" s="1003"/>
      <c r="O27" s="814"/>
      <c r="P27" s="262"/>
      <c r="Q27" s="262"/>
      <c r="R27" s="294"/>
      <c r="S27" s="1003"/>
      <c r="T27" s="814"/>
      <c r="U27" s="262"/>
      <c r="V27" s="262"/>
      <c r="W27" s="294"/>
      <c r="X27" s="1003"/>
      <c r="Y27" s="814"/>
      <c r="Z27" s="262"/>
      <c r="AA27" s="262"/>
      <c r="AB27" s="294"/>
      <c r="AC27" s="1003"/>
      <c r="AD27" s="814"/>
      <c r="AE27" s="262"/>
      <c r="AF27" s="262"/>
      <c r="AG27" s="294"/>
      <c r="AH27" s="2058"/>
      <c r="AI27" s="814"/>
      <c r="AJ27" s="262"/>
      <c r="AK27" s="262"/>
      <c r="AL27" s="294"/>
      <c r="AM27" s="2058"/>
      <c r="AN27" s="814"/>
      <c r="AO27" s="262"/>
      <c r="AP27" s="262"/>
      <c r="AQ27" s="294"/>
      <c r="AR27" s="2058"/>
      <c r="AS27" s="300"/>
      <c r="AT27" s="264"/>
      <c r="AU27" s="264"/>
      <c r="AV27" s="299"/>
      <c r="AW27" s="330"/>
      <c r="AX27" s="300"/>
      <c r="AY27" s="264"/>
      <c r="AZ27" s="264"/>
      <c r="BA27" s="299"/>
      <c r="BB27" s="330"/>
      <c r="BC27" s="300"/>
      <c r="BD27" s="264"/>
      <c r="BE27" s="264"/>
      <c r="BF27" s="299"/>
      <c r="BG27" s="330"/>
      <c r="BH27" s="300"/>
      <c r="BI27" s="264"/>
      <c r="BJ27" s="264"/>
      <c r="BK27" s="299"/>
      <c r="BL27" s="330"/>
      <c r="BM27" s="330"/>
      <c r="BN27" s="330"/>
      <c r="BO27" s="330"/>
      <c r="BP27" s="330"/>
      <c r="BQ27" s="330"/>
      <c r="BR27" s="330"/>
      <c r="BS27" s="330"/>
      <c r="BT27" s="330"/>
      <c r="BU27" s="330"/>
      <c r="BV27" s="330"/>
      <c r="BW27" s="330"/>
      <c r="BX27" s="330"/>
      <c r="BY27" s="330"/>
      <c r="BZ27" s="330"/>
      <c r="CA27" s="330"/>
      <c r="CB27" s="330"/>
      <c r="CC27" s="330"/>
      <c r="CD27" s="330"/>
      <c r="CE27" s="330"/>
      <c r="CF27" s="330"/>
      <c r="CG27" s="330"/>
      <c r="CH27" s="330"/>
      <c r="CI27" s="330"/>
      <c r="CJ27" s="330"/>
      <c r="CK27" s="330"/>
      <c r="CL27" s="330"/>
      <c r="CM27" s="330"/>
      <c r="CN27" s="330"/>
      <c r="CO27" s="330"/>
      <c r="CP27" s="330"/>
    </row>
    <row r="28" spans="1:94">
      <c r="A28" s="330"/>
      <c r="B28" s="330"/>
      <c r="C28" s="909" t="s">
        <v>576</v>
      </c>
      <c r="D28" s="45"/>
      <c r="E28" s="292"/>
      <c r="F28" s="261"/>
      <c r="G28" s="261"/>
      <c r="H28" s="293"/>
      <c r="I28" s="228">
        <f t="shared" ref="I28:AW28" si="40">+I23-I26</f>
        <v>96</v>
      </c>
      <c r="J28" s="292">
        <f t="shared" si="40"/>
        <v>11</v>
      </c>
      <c r="K28" s="261">
        <f t="shared" si="40"/>
        <v>32</v>
      </c>
      <c r="L28" s="261">
        <f t="shared" si="40"/>
        <v>34</v>
      </c>
      <c r="M28" s="293">
        <f t="shared" si="40"/>
        <v>-5</v>
      </c>
      <c r="N28" s="228">
        <f t="shared" si="40"/>
        <v>72</v>
      </c>
      <c r="O28" s="292">
        <f t="shared" si="40"/>
        <v>1</v>
      </c>
      <c r="P28" s="261">
        <f t="shared" si="40"/>
        <v>23</v>
      </c>
      <c r="Q28" s="261">
        <f t="shared" si="40"/>
        <v>33</v>
      </c>
      <c r="R28" s="293">
        <f t="shared" si="40"/>
        <v>-4</v>
      </c>
      <c r="S28" s="228">
        <f t="shared" si="40"/>
        <v>53</v>
      </c>
      <c r="T28" s="292">
        <f t="shared" si="40"/>
        <v>8</v>
      </c>
      <c r="U28" s="261">
        <f t="shared" si="40"/>
        <v>11</v>
      </c>
      <c r="V28" s="261">
        <f t="shared" si="40"/>
        <v>38</v>
      </c>
      <c r="W28" s="293">
        <f t="shared" si="40"/>
        <v>12</v>
      </c>
      <c r="X28" s="228">
        <f t="shared" si="40"/>
        <v>69</v>
      </c>
      <c r="Y28" s="292">
        <f t="shared" si="40"/>
        <v>16</v>
      </c>
      <c r="Z28" s="261">
        <f t="shared" si="40"/>
        <v>10</v>
      </c>
      <c r="AA28" s="261">
        <f t="shared" ref="AA28:AE28" si="41">+AA23-AA26</f>
        <v>37</v>
      </c>
      <c r="AB28" s="293">
        <f t="shared" si="41"/>
        <v>10</v>
      </c>
      <c r="AC28" s="228">
        <f t="shared" si="41"/>
        <v>73</v>
      </c>
      <c r="AD28" s="292">
        <f t="shared" si="41"/>
        <v>6</v>
      </c>
      <c r="AE28" s="261">
        <f t="shared" si="41"/>
        <v>17</v>
      </c>
      <c r="AF28" s="261">
        <f t="shared" ref="AF28:AJ28" si="42">+AF23-AF26</f>
        <v>21</v>
      </c>
      <c r="AG28" s="293">
        <f t="shared" si="42"/>
        <v>25</v>
      </c>
      <c r="AH28" s="228">
        <f t="shared" si="42"/>
        <v>69</v>
      </c>
      <c r="AI28" s="292">
        <f t="shared" si="42"/>
        <v>-133</v>
      </c>
      <c r="AJ28" s="261">
        <f t="shared" si="42"/>
        <v>5</v>
      </c>
      <c r="AK28" s="261">
        <f t="shared" ref="AK28:AO28" si="43">+AK23-AK26</f>
        <v>70</v>
      </c>
      <c r="AL28" s="293">
        <f t="shared" si="43"/>
        <v>12</v>
      </c>
      <c r="AM28" s="228">
        <f t="shared" si="43"/>
        <v>-46</v>
      </c>
      <c r="AN28" s="292">
        <f t="shared" si="43"/>
        <v>12</v>
      </c>
      <c r="AO28" s="261">
        <f t="shared" si="43"/>
        <v>12</v>
      </c>
      <c r="AP28" s="261">
        <f t="shared" si="40"/>
        <v>65</v>
      </c>
      <c r="AQ28" s="293">
        <f t="shared" si="40"/>
        <v>14</v>
      </c>
      <c r="AR28" s="228">
        <f t="shared" si="40"/>
        <v>103</v>
      </c>
      <c r="AS28" s="292">
        <f t="shared" si="40"/>
        <v>13.520329568918264</v>
      </c>
      <c r="AT28" s="261">
        <f t="shared" ca="1" si="40"/>
        <v>15.694689863915022</v>
      </c>
      <c r="AU28" s="261">
        <f t="shared" ca="1" si="40"/>
        <v>73.178609969252847</v>
      </c>
      <c r="AV28" s="293">
        <f t="shared" ca="1" si="40"/>
        <v>12.799360196271742</v>
      </c>
      <c r="AW28" s="228">
        <f t="shared" ca="1" si="40"/>
        <v>115.19298959835791</v>
      </c>
      <c r="AX28" s="292">
        <f t="shared" ref="AX28:BG28" ca="1" si="44">+AX23-AX26</f>
        <v>15.168827560224285</v>
      </c>
      <c r="AY28" s="261">
        <f t="shared" ca="1" si="44"/>
        <v>17.099575444889091</v>
      </c>
      <c r="AZ28" s="261">
        <f t="shared" ca="1" si="44"/>
        <v>80.313076377293612</v>
      </c>
      <c r="BA28" s="293">
        <f t="shared" ca="1" si="44"/>
        <v>19.689921592707456</v>
      </c>
      <c r="BB28" s="228">
        <f t="shared" ca="1" si="44"/>
        <v>132.27140097511446</v>
      </c>
      <c r="BC28" s="292">
        <f t="shared" ca="1" si="44"/>
        <v>23.811718960225924</v>
      </c>
      <c r="BD28" s="261">
        <f t="shared" ca="1" si="44"/>
        <v>26.193328877549874</v>
      </c>
      <c r="BE28" s="261">
        <f t="shared" ca="1" si="44"/>
        <v>83.274968311975329</v>
      </c>
      <c r="BF28" s="293">
        <f t="shared" ca="1" si="44"/>
        <v>22.52652690036107</v>
      </c>
      <c r="BG28" s="228">
        <f t="shared" ca="1" si="44"/>
        <v>155.806543050112</v>
      </c>
      <c r="BH28" s="292">
        <f t="shared" ref="BH28:BL28" ca="1" si="45">+BH23-BH26</f>
        <v>26.370556621598219</v>
      </c>
      <c r="BI28" s="261">
        <f t="shared" ca="1" si="45"/>
        <v>28.756497990024339</v>
      </c>
      <c r="BJ28" s="261">
        <f t="shared" ca="1" si="45"/>
        <v>86.226929735406756</v>
      </c>
      <c r="BK28" s="293">
        <f t="shared" ca="1" si="45"/>
        <v>26.117423383105727</v>
      </c>
      <c r="BL28" s="228">
        <f t="shared" ca="1" si="45"/>
        <v>167.47140773013507</v>
      </c>
      <c r="BM28" s="330"/>
      <c r="BN28" s="330"/>
      <c r="BO28" s="330"/>
      <c r="BP28" s="330"/>
      <c r="BQ28" s="330"/>
      <c r="BR28" s="330"/>
      <c r="BS28" s="330"/>
      <c r="BT28" s="330"/>
      <c r="BU28" s="330"/>
      <c r="BV28" s="330"/>
      <c r="BW28" s="330"/>
      <c r="BX28" s="330"/>
      <c r="BY28" s="330"/>
      <c r="BZ28" s="330"/>
      <c r="CA28" s="330"/>
      <c r="CB28" s="330"/>
      <c r="CC28" s="330"/>
      <c r="CD28" s="330"/>
      <c r="CE28" s="330"/>
      <c r="CF28" s="330"/>
      <c r="CG28" s="330"/>
      <c r="CH28" s="330"/>
      <c r="CI28" s="330"/>
      <c r="CJ28" s="330"/>
      <c r="CK28" s="330"/>
      <c r="CL28" s="330"/>
      <c r="CM28" s="330"/>
      <c r="CN28" s="330"/>
      <c r="CO28" s="330"/>
      <c r="CP28" s="330"/>
    </row>
    <row r="29" spans="1:94">
      <c r="A29" s="330"/>
      <c r="B29" s="330"/>
      <c r="C29" s="895"/>
      <c r="D29" s="330"/>
      <c r="E29" s="300"/>
      <c r="F29" s="264"/>
      <c r="G29" s="264"/>
      <c r="H29" s="299"/>
      <c r="I29" s="330"/>
      <c r="J29" s="300"/>
      <c r="K29" s="264"/>
      <c r="L29" s="264"/>
      <c r="M29" s="299"/>
      <c r="N29" s="330"/>
      <c r="O29" s="300"/>
      <c r="P29" s="264"/>
      <c r="Q29" s="264"/>
      <c r="R29" s="299"/>
      <c r="S29" s="330"/>
      <c r="T29" s="300"/>
      <c r="U29" s="264"/>
      <c r="V29" s="264"/>
      <c r="W29" s="299"/>
      <c r="X29" s="330"/>
      <c r="Y29" s="300"/>
      <c r="Z29" s="264"/>
      <c r="AA29" s="264"/>
      <c r="AB29" s="299"/>
      <c r="AC29" s="330"/>
      <c r="AD29" s="300"/>
      <c r="AE29" s="264"/>
      <c r="AF29" s="264"/>
      <c r="AG29" s="299"/>
      <c r="AH29" s="330"/>
      <c r="AI29" s="300"/>
      <c r="AJ29" s="264"/>
      <c r="AK29" s="264"/>
      <c r="AL29" s="299"/>
      <c r="AM29" s="330"/>
      <c r="AN29" s="300"/>
      <c r="AO29" s="264"/>
      <c r="AP29" s="264"/>
      <c r="AQ29" s="299"/>
      <c r="AR29" s="330"/>
      <c r="AS29" s="300"/>
      <c r="AT29" s="264"/>
      <c r="AU29" s="264"/>
      <c r="AV29" s="299"/>
      <c r="AW29" s="330"/>
      <c r="AX29" s="300"/>
      <c r="AY29" s="264"/>
      <c r="AZ29" s="264"/>
      <c r="BA29" s="299"/>
      <c r="BB29" s="330"/>
      <c r="BC29" s="300"/>
      <c r="BD29" s="264"/>
      <c r="BE29" s="264"/>
      <c r="BF29" s="299"/>
      <c r="BG29" s="330"/>
      <c r="BH29" s="300"/>
      <c r="BI29" s="264"/>
      <c r="BJ29" s="264"/>
      <c r="BK29" s="299"/>
      <c r="BL29" s="330"/>
      <c r="BM29" s="330"/>
      <c r="BN29" s="330"/>
      <c r="BO29" s="330"/>
      <c r="BP29" s="330"/>
      <c r="BQ29" s="330"/>
      <c r="BR29" s="330"/>
      <c r="BS29" s="330"/>
      <c r="BT29" s="330"/>
      <c r="BU29" s="330"/>
      <c r="BV29" s="330"/>
      <c r="BW29" s="330"/>
      <c r="BX29" s="330"/>
      <c r="BY29" s="330"/>
      <c r="BZ29" s="330"/>
      <c r="CA29" s="330"/>
      <c r="CB29" s="330"/>
      <c r="CC29" s="330"/>
      <c r="CD29" s="330"/>
      <c r="CE29" s="330"/>
      <c r="CF29" s="330"/>
      <c r="CG29" s="330"/>
      <c r="CH29" s="330"/>
      <c r="CI29" s="330"/>
      <c r="CJ29" s="330"/>
      <c r="CK29" s="330"/>
      <c r="CL29" s="330"/>
      <c r="CM29" s="330"/>
      <c r="CN29" s="330"/>
      <c r="CO29" s="330"/>
      <c r="CP29" s="330"/>
    </row>
    <row r="30" spans="1:94">
      <c r="A30" s="330"/>
      <c r="B30" s="330"/>
      <c r="C30" s="895" t="s">
        <v>320</v>
      </c>
      <c r="D30" s="330"/>
      <c r="E30" s="337"/>
      <c r="F30" s="338"/>
      <c r="G30" s="338"/>
      <c r="H30" s="586"/>
      <c r="I30" s="339">
        <v>43</v>
      </c>
      <c r="J30" s="337">
        <v>5</v>
      </c>
      <c r="K30" s="338">
        <v>14</v>
      </c>
      <c r="L30" s="338">
        <v>17</v>
      </c>
      <c r="M30" s="586">
        <f>N30-SUM(J30:L30)</f>
        <v>-3</v>
      </c>
      <c r="N30" s="339">
        <v>33</v>
      </c>
      <c r="O30" s="337">
        <v>-1</v>
      </c>
      <c r="P30" s="338">
        <v>9</v>
      </c>
      <c r="Q30" s="338">
        <v>13</v>
      </c>
      <c r="R30" s="586">
        <f>S30-SUM(O30:Q30)</f>
        <v>-3</v>
      </c>
      <c r="S30" s="339">
        <v>18</v>
      </c>
      <c r="T30" s="337">
        <v>-3</v>
      </c>
      <c r="U30" s="338">
        <v>4</v>
      </c>
      <c r="V30" s="338">
        <v>13</v>
      </c>
      <c r="W30" s="586">
        <f>X30-SUM(T30:V30)</f>
        <v>5</v>
      </c>
      <c r="X30" s="339">
        <v>19</v>
      </c>
      <c r="Y30" s="337">
        <v>6</v>
      </c>
      <c r="Z30" s="338">
        <v>4</v>
      </c>
      <c r="AA30" s="338">
        <v>14</v>
      </c>
      <c r="AB30" s="586">
        <f>AC30-SUM(Y30:AA30)</f>
        <v>4</v>
      </c>
      <c r="AC30" s="339">
        <v>28</v>
      </c>
      <c r="AD30" s="337">
        <v>2</v>
      </c>
      <c r="AE30" s="338">
        <v>7</v>
      </c>
      <c r="AF30" s="338">
        <v>7</v>
      </c>
      <c r="AG30" s="586">
        <f>AH30-SUM(AD30:AF30)</f>
        <v>15</v>
      </c>
      <c r="AH30" s="2056">
        <v>31</v>
      </c>
      <c r="AI30" s="337">
        <v>-33</v>
      </c>
      <c r="AJ30" s="338">
        <v>2</v>
      </c>
      <c r="AK30" s="338">
        <v>23</v>
      </c>
      <c r="AL30" s="586">
        <f>AM30-SUM(AI30:AK30)</f>
        <v>4</v>
      </c>
      <c r="AM30" s="2056">
        <v>-4</v>
      </c>
      <c r="AN30" s="337">
        <v>-16</v>
      </c>
      <c r="AO30" s="338">
        <v>4</v>
      </c>
      <c r="AP30" s="338">
        <v>24</v>
      </c>
      <c r="AQ30" s="586">
        <f>AR30-SUM(AN30:AP30)</f>
        <v>14</v>
      </c>
      <c r="AR30" s="2056">
        <v>26</v>
      </c>
      <c r="AS30" s="290">
        <f>AS53*(AS28-AS19)</f>
        <v>2.5274855086459751</v>
      </c>
      <c r="AT30" s="264">
        <f ca="1">AT53*(AT28-AT19)</f>
        <v>2.9841011705952942</v>
      </c>
      <c r="AU30" s="264">
        <f ca="1">AU53*(AU28-AU19)</f>
        <v>15.055724392716238</v>
      </c>
      <c r="AV30" s="299">
        <f ca="1">AV53*(AV28-AV19)</f>
        <v>2.3760819403902054</v>
      </c>
      <c r="AW30" s="330">
        <f ca="1">SUM(AS30:AV30)</f>
        <v>22.943393012347709</v>
      </c>
      <c r="AX30" s="290">
        <f ca="1">AX53*(AX28-AX19)</f>
        <v>2.8677702496866888</v>
      </c>
      <c r="AY30" s="264">
        <f ca="1">AY53*(AY28-AY19)</f>
        <v>3.2732273054662979</v>
      </c>
      <c r="AZ30" s="264">
        <f ca="1">AZ53*(AZ28-AZ19)</f>
        <v>16.548062501271247</v>
      </c>
      <c r="BA30" s="299">
        <f ca="1">BA53*(BA28-BA19)</f>
        <v>3.8171999965081551</v>
      </c>
      <c r="BB30" s="330">
        <f ca="1">SUM(AX30:BA30)</f>
        <v>26.506260052932387</v>
      </c>
      <c r="BC30" s="290">
        <f ca="1">BC53*(BC28-BC19)</f>
        <v>4.7054691249699196</v>
      </c>
      <c r="BD30" s="264">
        <f ca="1">BD53*(BD28-BD19)</f>
        <v>5.2056072076079491</v>
      </c>
      <c r="BE30" s="264">
        <f ca="1">BE53*(BE28-BE19)</f>
        <v>17.192751488837292</v>
      </c>
      <c r="BF30" s="299">
        <f ca="1">BF53*(BF28-BF19)</f>
        <v>4.4355787923983003</v>
      </c>
      <c r="BG30" s="330">
        <f ca="1">SUM(BC30:BF30)</f>
        <v>31.539406613813458</v>
      </c>
      <c r="BH30" s="290">
        <f ca="1">BH53*(BH28-BH19)</f>
        <v>5.2882083964238742</v>
      </c>
      <c r="BI30" s="264">
        <f ca="1">BI53*(BI28-BI19)</f>
        <v>5.7892560837933598</v>
      </c>
      <c r="BJ30" s="264">
        <f ca="1">BJ53*(BJ28-BJ19)</f>
        <v>17.858046750323666</v>
      </c>
      <c r="BK30" s="299">
        <f ca="1">BK53*(BK28-BK19)</f>
        <v>5.2350504163404512</v>
      </c>
      <c r="BL30" s="330">
        <f ca="1">SUM(BH30:BK30)</f>
        <v>34.170561646881353</v>
      </c>
      <c r="BM30" s="330"/>
      <c r="BN30" s="330"/>
      <c r="BO30" s="330"/>
      <c r="BP30" s="330"/>
      <c r="BQ30" s="330"/>
      <c r="BR30" s="330"/>
      <c r="BS30" s="330"/>
      <c r="BT30" s="330"/>
      <c r="BU30" s="330"/>
      <c r="BV30" s="330"/>
      <c r="BW30" s="330"/>
      <c r="BX30" s="330"/>
      <c r="BY30" s="330"/>
      <c r="BZ30" s="330"/>
      <c r="CA30" s="330"/>
      <c r="CB30" s="330"/>
      <c r="CC30" s="330"/>
      <c r="CD30" s="330"/>
      <c r="CE30" s="330"/>
      <c r="CF30" s="330"/>
      <c r="CG30" s="330"/>
      <c r="CH30" s="330"/>
      <c r="CI30" s="330"/>
      <c r="CJ30" s="330"/>
      <c r="CK30" s="330"/>
      <c r="CL30" s="330"/>
      <c r="CM30" s="330"/>
      <c r="CN30" s="330"/>
      <c r="CO30" s="330"/>
      <c r="CP30" s="330"/>
    </row>
    <row r="31" spans="1:94">
      <c r="A31" s="330"/>
      <c r="B31" s="330"/>
      <c r="C31" s="895"/>
      <c r="D31" s="330"/>
      <c r="E31" s="337"/>
      <c r="F31" s="338"/>
      <c r="G31" s="338"/>
      <c r="H31" s="1684"/>
      <c r="I31" s="339"/>
      <c r="J31" s="337"/>
      <c r="K31" s="338"/>
      <c r="L31" s="338"/>
      <c r="M31" s="1684"/>
      <c r="N31" s="339"/>
      <c r="O31" s="337"/>
      <c r="P31" s="338"/>
      <c r="Q31" s="338"/>
      <c r="R31" s="1684"/>
      <c r="S31" s="339"/>
      <c r="T31" s="337"/>
      <c r="U31" s="338"/>
      <c r="V31" s="338"/>
      <c r="W31" s="1684"/>
      <c r="X31" s="339"/>
      <c r="Y31" s="337"/>
      <c r="Z31" s="338"/>
      <c r="AA31" s="338"/>
      <c r="AB31" s="1684"/>
      <c r="AC31" s="339"/>
      <c r="AD31" s="337"/>
      <c r="AE31" s="338"/>
      <c r="AF31" s="338"/>
      <c r="AG31" s="1684"/>
      <c r="AH31" s="2056"/>
      <c r="AI31" s="337"/>
      <c r="AJ31" s="338"/>
      <c r="AK31" s="338"/>
      <c r="AL31" s="1684"/>
      <c r="AM31" s="2056"/>
      <c r="AN31" s="337"/>
      <c r="AO31" s="338"/>
      <c r="AP31" s="264"/>
      <c r="AQ31" s="1684"/>
      <c r="AR31" s="2056"/>
      <c r="AS31" s="300"/>
      <c r="AT31" s="264"/>
      <c r="AU31" s="264"/>
      <c r="AV31" s="299"/>
      <c r="AW31" s="330"/>
      <c r="AX31" s="300"/>
      <c r="AY31" s="264"/>
      <c r="AZ31" s="264"/>
      <c r="BA31" s="299"/>
      <c r="BB31" s="330"/>
      <c r="BC31" s="300"/>
      <c r="BD31" s="264"/>
      <c r="BE31" s="264"/>
      <c r="BF31" s="299"/>
      <c r="BG31" s="330"/>
      <c r="BH31" s="300"/>
      <c r="BI31" s="264"/>
      <c r="BJ31" s="264"/>
      <c r="BK31" s="299"/>
      <c r="BL31" s="330"/>
      <c r="BM31" s="587"/>
      <c r="BN31" s="330"/>
      <c r="BO31" s="330"/>
      <c r="BP31" s="330"/>
      <c r="BQ31" s="330"/>
      <c r="BR31" s="330"/>
      <c r="BS31" s="330"/>
      <c r="BT31" s="330"/>
      <c r="BU31" s="330"/>
      <c r="BV31" s="330"/>
      <c r="BW31" s="330"/>
      <c r="BX31" s="330"/>
      <c r="BY31" s="330"/>
      <c r="BZ31" s="330"/>
      <c r="CA31" s="330"/>
      <c r="CB31" s="330"/>
      <c r="CC31" s="330"/>
      <c r="CD31" s="330"/>
      <c r="CE31" s="330"/>
      <c r="CF31" s="330"/>
      <c r="CG31" s="330"/>
      <c r="CH31" s="330"/>
      <c r="CI31" s="330"/>
      <c r="CJ31" s="330"/>
      <c r="CK31" s="330"/>
      <c r="CL31" s="330"/>
      <c r="CM31" s="330"/>
      <c r="CN31" s="330"/>
      <c r="CO31" s="330"/>
      <c r="CP31" s="330"/>
    </row>
    <row r="32" spans="1:94">
      <c r="A32" s="228"/>
      <c r="B32" s="228"/>
      <c r="C32" s="909" t="s">
        <v>82</v>
      </c>
      <c r="D32" s="228"/>
      <c r="E32" s="292"/>
      <c r="F32" s="261"/>
      <c r="G32" s="261"/>
      <c r="H32" s="293"/>
      <c r="I32" s="228">
        <f t="shared" ref="I32:AW32" si="46">+I28-I30</f>
        <v>53</v>
      </c>
      <c r="J32" s="292">
        <f t="shared" si="46"/>
        <v>6</v>
      </c>
      <c r="K32" s="261">
        <f t="shared" si="46"/>
        <v>18</v>
      </c>
      <c r="L32" s="261">
        <f t="shared" si="46"/>
        <v>17</v>
      </c>
      <c r="M32" s="293">
        <f t="shared" si="46"/>
        <v>-2</v>
      </c>
      <c r="N32" s="228">
        <f t="shared" si="46"/>
        <v>39</v>
      </c>
      <c r="O32" s="292">
        <f t="shared" si="46"/>
        <v>2</v>
      </c>
      <c r="P32" s="261">
        <f t="shared" si="46"/>
        <v>14</v>
      </c>
      <c r="Q32" s="261">
        <f t="shared" si="46"/>
        <v>20</v>
      </c>
      <c r="R32" s="293">
        <f t="shared" si="46"/>
        <v>-1</v>
      </c>
      <c r="S32" s="228">
        <f t="shared" si="46"/>
        <v>35</v>
      </c>
      <c r="T32" s="292">
        <f t="shared" si="46"/>
        <v>11</v>
      </c>
      <c r="U32" s="261">
        <f t="shared" si="46"/>
        <v>7</v>
      </c>
      <c r="V32" s="261">
        <f t="shared" si="46"/>
        <v>25</v>
      </c>
      <c r="W32" s="293">
        <f t="shared" si="46"/>
        <v>7</v>
      </c>
      <c r="X32" s="228">
        <f t="shared" si="46"/>
        <v>50</v>
      </c>
      <c r="Y32" s="292">
        <f t="shared" si="46"/>
        <v>10</v>
      </c>
      <c r="Z32" s="261">
        <f t="shared" si="46"/>
        <v>6</v>
      </c>
      <c r="AA32" s="261">
        <f t="shared" ref="AA32:AE32" si="47">+AA28-AA30</f>
        <v>23</v>
      </c>
      <c r="AB32" s="293">
        <f t="shared" si="47"/>
        <v>6</v>
      </c>
      <c r="AC32" s="228">
        <f t="shared" si="47"/>
        <v>45</v>
      </c>
      <c r="AD32" s="292">
        <f t="shared" si="47"/>
        <v>4</v>
      </c>
      <c r="AE32" s="261">
        <f t="shared" si="47"/>
        <v>10</v>
      </c>
      <c r="AF32" s="261">
        <f t="shared" ref="AF32:AJ32" si="48">+AF28-AF30</f>
        <v>14</v>
      </c>
      <c r="AG32" s="293">
        <f t="shared" si="48"/>
        <v>10</v>
      </c>
      <c r="AH32" s="228">
        <f t="shared" si="48"/>
        <v>38</v>
      </c>
      <c r="AI32" s="292">
        <f t="shared" si="48"/>
        <v>-100</v>
      </c>
      <c r="AJ32" s="261">
        <f t="shared" si="48"/>
        <v>3</v>
      </c>
      <c r="AK32" s="261">
        <f t="shared" ref="AK32:AO32" si="49">+AK28-AK30</f>
        <v>47</v>
      </c>
      <c r="AL32" s="293">
        <f t="shared" si="49"/>
        <v>8</v>
      </c>
      <c r="AM32" s="228">
        <f t="shared" si="49"/>
        <v>-42</v>
      </c>
      <c r="AN32" s="292">
        <f t="shared" si="49"/>
        <v>28</v>
      </c>
      <c r="AO32" s="261">
        <f t="shared" si="49"/>
        <v>8</v>
      </c>
      <c r="AP32" s="261">
        <f t="shared" ref="AP32:AR32" si="50">+AP28-AP30</f>
        <v>41</v>
      </c>
      <c r="AQ32" s="293">
        <f t="shared" si="50"/>
        <v>0</v>
      </c>
      <c r="AR32" s="228">
        <f t="shared" si="50"/>
        <v>77</v>
      </c>
      <c r="AS32" s="292">
        <f t="shared" si="46"/>
        <v>10.992844060272288</v>
      </c>
      <c r="AT32" s="261">
        <f t="shared" ca="1" si="46"/>
        <v>12.710588693319728</v>
      </c>
      <c r="AU32" s="261">
        <f t="shared" ca="1" si="46"/>
        <v>58.122885576536611</v>
      </c>
      <c r="AV32" s="293">
        <f t="shared" ca="1" si="46"/>
        <v>10.423278255881536</v>
      </c>
      <c r="AW32" s="228">
        <f t="shared" ca="1" si="46"/>
        <v>92.249596586010199</v>
      </c>
      <c r="AX32" s="292">
        <f t="shared" ref="AX32:BG32" ca="1" si="51">+AX28-AX30</f>
        <v>12.301057310537596</v>
      </c>
      <c r="AY32" s="261">
        <f t="shared" ca="1" si="51"/>
        <v>13.826348139422793</v>
      </c>
      <c r="AZ32" s="261">
        <f t="shared" ca="1" si="51"/>
        <v>63.765013876022365</v>
      </c>
      <c r="BA32" s="293">
        <f t="shared" ca="1" si="51"/>
        <v>15.872721596199302</v>
      </c>
      <c r="BB32" s="228">
        <f t="shared" ca="1" si="51"/>
        <v>105.76514092218207</v>
      </c>
      <c r="BC32" s="292">
        <f t="shared" ca="1" si="51"/>
        <v>19.106249835256005</v>
      </c>
      <c r="BD32" s="261">
        <f t="shared" ca="1" si="51"/>
        <v>20.987721669941926</v>
      </c>
      <c r="BE32" s="261">
        <f t="shared" ca="1" si="51"/>
        <v>66.08221682313804</v>
      </c>
      <c r="BF32" s="293">
        <f t="shared" ca="1" si="51"/>
        <v>18.09094810796277</v>
      </c>
      <c r="BG32" s="228">
        <f t="shared" ca="1" si="51"/>
        <v>124.26713643629854</v>
      </c>
      <c r="BH32" s="292">
        <f t="shared" ref="BH32:BL32" ca="1" si="52">+BH28-BH30</f>
        <v>21.082348225174343</v>
      </c>
      <c r="BI32" s="261">
        <f t="shared" ca="1" si="52"/>
        <v>22.967241906230981</v>
      </c>
      <c r="BJ32" s="261">
        <f t="shared" ca="1" si="52"/>
        <v>68.36888298508309</v>
      </c>
      <c r="BK32" s="293">
        <f t="shared" ca="1" si="52"/>
        <v>20.882372966765274</v>
      </c>
      <c r="BL32" s="228">
        <f t="shared" ca="1" si="52"/>
        <v>133.3008460832537</v>
      </c>
      <c r="BM32" s="228"/>
      <c r="BN32" s="228"/>
      <c r="BO32" s="228"/>
      <c r="BP32" s="228"/>
      <c r="BQ32" s="228"/>
      <c r="BR32" s="228"/>
      <c r="BS32" s="228"/>
      <c r="BT32" s="228"/>
      <c r="BU32" s="228"/>
      <c r="BV32" s="228"/>
      <c r="BW32" s="228"/>
      <c r="BX32" s="228"/>
      <c r="BY32" s="228"/>
      <c r="BZ32" s="228"/>
      <c r="CA32" s="228"/>
      <c r="CB32" s="228"/>
      <c r="CC32" s="228"/>
      <c r="CD32" s="228"/>
      <c r="CE32" s="228"/>
      <c r="CF32" s="228"/>
      <c r="CG32" s="228"/>
      <c r="CH32" s="228"/>
      <c r="CI32" s="228"/>
      <c r="CJ32" s="228"/>
      <c r="CK32" s="228"/>
      <c r="CL32" s="228"/>
      <c r="CM32" s="228"/>
      <c r="CN32" s="228"/>
      <c r="CO32" s="228"/>
      <c r="CP32" s="228"/>
    </row>
    <row r="33" spans="1:94">
      <c r="A33" s="330"/>
      <c r="B33" s="330"/>
      <c r="C33" s="895" t="s">
        <v>725</v>
      </c>
      <c r="D33" s="330"/>
      <c r="E33" s="337"/>
      <c r="F33" s="338"/>
      <c r="G33" s="338"/>
      <c r="H33" s="586"/>
      <c r="I33" s="339">
        <v>0</v>
      </c>
      <c r="J33" s="337">
        <v>0</v>
      </c>
      <c r="K33" s="338">
        <v>0</v>
      </c>
      <c r="L33" s="338">
        <v>0</v>
      </c>
      <c r="M33" s="586">
        <f>N33-SUM(J33:L33)</f>
        <v>0</v>
      </c>
      <c r="N33" s="339">
        <v>0</v>
      </c>
      <c r="O33" s="337">
        <v>0</v>
      </c>
      <c r="P33" s="338">
        <v>0</v>
      </c>
      <c r="Q33" s="338">
        <v>0</v>
      </c>
      <c r="R33" s="586">
        <f>S33-SUM(O33:Q33)</f>
        <v>0</v>
      </c>
      <c r="S33" s="339">
        <v>0</v>
      </c>
      <c r="T33" s="337">
        <v>0</v>
      </c>
      <c r="U33" s="338">
        <v>0</v>
      </c>
      <c r="V33" s="338">
        <v>0</v>
      </c>
      <c r="W33" s="586">
        <f>X33-SUM(T33:V33)</f>
        <v>0</v>
      </c>
      <c r="X33" s="339">
        <v>0</v>
      </c>
      <c r="Y33" s="337">
        <v>0</v>
      </c>
      <c r="Z33" s="338">
        <v>0</v>
      </c>
      <c r="AA33" s="338">
        <v>0</v>
      </c>
      <c r="AB33" s="586">
        <f>AC33-SUM(Y33:AA33)</f>
        <v>0</v>
      </c>
      <c r="AC33" s="339">
        <v>0</v>
      </c>
      <c r="AD33" s="337">
        <v>0</v>
      </c>
      <c r="AE33" s="338">
        <v>0</v>
      </c>
      <c r="AF33" s="338">
        <v>0</v>
      </c>
      <c r="AG33" s="586">
        <f>AH33-SUM(AD33:AF33)</f>
        <v>0</v>
      </c>
      <c r="AH33" s="2056">
        <v>0</v>
      </c>
      <c r="AI33" s="337">
        <v>0</v>
      </c>
      <c r="AJ33" s="338">
        <v>0</v>
      </c>
      <c r="AK33" s="338">
        <v>0</v>
      </c>
      <c r="AL33" s="586">
        <f>AM33-SUM(AI33:AK33)</f>
        <v>0</v>
      </c>
      <c r="AM33" s="2056">
        <v>0</v>
      </c>
      <c r="AN33" s="337">
        <v>0</v>
      </c>
      <c r="AO33" s="338">
        <v>0</v>
      </c>
      <c r="AP33" s="338">
        <v>0</v>
      </c>
      <c r="AQ33" s="586">
        <f>AR33-SUM(AN33:AP33)</f>
        <v>0</v>
      </c>
      <c r="AR33" s="2056">
        <v>0</v>
      </c>
      <c r="AS33" s="290"/>
      <c r="AT33" s="260"/>
      <c r="AU33" s="260"/>
      <c r="AV33" s="291"/>
      <c r="AW33" s="330">
        <f>SUM(AS33:AV33)</f>
        <v>0</v>
      </c>
      <c r="AX33" s="290"/>
      <c r="AY33" s="260"/>
      <c r="AZ33" s="260"/>
      <c r="BA33" s="291"/>
      <c r="BB33" s="330">
        <f>SUM(AX33:BA33)</f>
        <v>0</v>
      </c>
      <c r="BC33" s="290"/>
      <c r="BD33" s="260"/>
      <c r="BE33" s="260"/>
      <c r="BF33" s="291"/>
      <c r="BG33" s="330">
        <f>SUM(BC33:BF33)</f>
        <v>0</v>
      </c>
      <c r="BH33" s="290"/>
      <c r="BI33" s="260"/>
      <c r="BJ33" s="260"/>
      <c r="BK33" s="291"/>
      <c r="BL33" s="330">
        <f>SUM(BH33:BK33)</f>
        <v>0</v>
      </c>
      <c r="BM33" s="330"/>
      <c r="BN33" s="330"/>
      <c r="BO33" s="330"/>
      <c r="BP33" s="330"/>
      <c r="BQ33" s="330"/>
      <c r="BR33" s="330"/>
      <c r="BS33" s="330"/>
      <c r="BT33" s="330"/>
      <c r="BU33" s="330"/>
      <c r="BV33" s="330"/>
      <c r="BW33" s="330"/>
      <c r="BX33" s="330"/>
      <c r="BY33" s="330"/>
      <c r="BZ33" s="330"/>
      <c r="CA33" s="330"/>
      <c r="CB33" s="330"/>
      <c r="CC33" s="330"/>
      <c r="CD33" s="330"/>
      <c r="CE33" s="330"/>
      <c r="CF33" s="330"/>
      <c r="CG33" s="330"/>
      <c r="CH33" s="330"/>
      <c r="CI33" s="330"/>
      <c r="CJ33" s="330"/>
      <c r="CK33" s="330"/>
      <c r="CL33" s="330"/>
      <c r="CM33" s="330"/>
      <c r="CN33" s="330"/>
      <c r="CO33" s="330"/>
      <c r="CP33" s="330"/>
    </row>
    <row r="34" spans="1:94">
      <c r="A34" s="330"/>
      <c r="B34" s="330"/>
      <c r="C34" s="909" t="s">
        <v>360</v>
      </c>
      <c r="D34" s="330"/>
      <c r="E34" s="292"/>
      <c r="F34" s="261"/>
      <c r="G34" s="261"/>
      <c r="H34" s="293"/>
      <c r="I34" s="228">
        <f t="shared" ref="I34:AW34" si="53">I32+I33</f>
        <v>53</v>
      </c>
      <c r="J34" s="292">
        <f t="shared" si="53"/>
        <v>6</v>
      </c>
      <c r="K34" s="261">
        <f t="shared" si="53"/>
        <v>18</v>
      </c>
      <c r="L34" s="261">
        <f t="shared" si="53"/>
        <v>17</v>
      </c>
      <c r="M34" s="293">
        <f t="shared" si="53"/>
        <v>-2</v>
      </c>
      <c r="N34" s="228">
        <f t="shared" si="53"/>
        <v>39</v>
      </c>
      <c r="O34" s="292">
        <f t="shared" si="53"/>
        <v>2</v>
      </c>
      <c r="P34" s="261">
        <f t="shared" si="53"/>
        <v>14</v>
      </c>
      <c r="Q34" s="261">
        <f t="shared" si="53"/>
        <v>20</v>
      </c>
      <c r="R34" s="293">
        <f t="shared" si="53"/>
        <v>-1</v>
      </c>
      <c r="S34" s="228">
        <f t="shared" si="53"/>
        <v>35</v>
      </c>
      <c r="T34" s="292">
        <f t="shared" si="53"/>
        <v>11</v>
      </c>
      <c r="U34" s="261">
        <f t="shared" si="53"/>
        <v>7</v>
      </c>
      <c r="V34" s="261">
        <f t="shared" si="53"/>
        <v>25</v>
      </c>
      <c r="W34" s="293">
        <f t="shared" si="53"/>
        <v>7</v>
      </c>
      <c r="X34" s="228">
        <f t="shared" si="53"/>
        <v>50</v>
      </c>
      <c r="Y34" s="292">
        <f t="shared" si="53"/>
        <v>10</v>
      </c>
      <c r="Z34" s="261">
        <f t="shared" si="53"/>
        <v>6</v>
      </c>
      <c r="AA34" s="261">
        <f t="shared" ref="AA34:AE34" si="54">AA32+AA33</f>
        <v>23</v>
      </c>
      <c r="AB34" s="293">
        <f t="shared" si="54"/>
        <v>6</v>
      </c>
      <c r="AC34" s="228">
        <f t="shared" si="54"/>
        <v>45</v>
      </c>
      <c r="AD34" s="292">
        <f t="shared" si="54"/>
        <v>4</v>
      </c>
      <c r="AE34" s="261">
        <f t="shared" si="54"/>
        <v>10</v>
      </c>
      <c r="AF34" s="261">
        <f t="shared" ref="AF34:AJ34" si="55">AF32+AF33</f>
        <v>14</v>
      </c>
      <c r="AG34" s="293">
        <f t="shared" si="55"/>
        <v>10</v>
      </c>
      <c r="AH34" s="228">
        <f t="shared" si="55"/>
        <v>38</v>
      </c>
      <c r="AI34" s="292">
        <f t="shared" si="55"/>
        <v>-100</v>
      </c>
      <c r="AJ34" s="261">
        <f t="shared" si="55"/>
        <v>3</v>
      </c>
      <c r="AK34" s="261">
        <f t="shared" ref="AK34:AO34" si="56">AK32+AK33</f>
        <v>47</v>
      </c>
      <c r="AL34" s="293">
        <f t="shared" si="56"/>
        <v>8</v>
      </c>
      <c r="AM34" s="228">
        <f t="shared" si="56"/>
        <v>-42</v>
      </c>
      <c r="AN34" s="292">
        <f t="shared" si="56"/>
        <v>28</v>
      </c>
      <c r="AO34" s="261">
        <f t="shared" si="56"/>
        <v>8</v>
      </c>
      <c r="AP34" s="261">
        <f t="shared" ref="AP34:AR34" si="57">AP32+AP33</f>
        <v>41</v>
      </c>
      <c r="AQ34" s="293">
        <f t="shared" si="57"/>
        <v>0</v>
      </c>
      <c r="AR34" s="228">
        <f t="shared" si="57"/>
        <v>77</v>
      </c>
      <c r="AS34" s="292">
        <f t="shared" si="53"/>
        <v>10.992844060272288</v>
      </c>
      <c r="AT34" s="261">
        <f t="shared" ca="1" si="53"/>
        <v>12.710588693319728</v>
      </c>
      <c r="AU34" s="261">
        <f t="shared" ca="1" si="53"/>
        <v>58.122885576536611</v>
      </c>
      <c r="AV34" s="293">
        <f t="shared" ca="1" si="53"/>
        <v>10.423278255881536</v>
      </c>
      <c r="AW34" s="228">
        <f t="shared" ca="1" si="53"/>
        <v>92.249596586010199</v>
      </c>
      <c r="AX34" s="292">
        <f t="shared" ref="AX34:BG34" ca="1" si="58">AX32+AX33</f>
        <v>12.301057310537596</v>
      </c>
      <c r="AY34" s="261">
        <f t="shared" ca="1" si="58"/>
        <v>13.826348139422793</v>
      </c>
      <c r="AZ34" s="261">
        <f t="shared" ca="1" si="58"/>
        <v>63.765013876022365</v>
      </c>
      <c r="BA34" s="293">
        <f t="shared" ca="1" si="58"/>
        <v>15.872721596199302</v>
      </c>
      <c r="BB34" s="228">
        <f t="shared" ca="1" si="58"/>
        <v>105.76514092218207</v>
      </c>
      <c r="BC34" s="292">
        <f t="shared" ca="1" si="58"/>
        <v>19.106249835256005</v>
      </c>
      <c r="BD34" s="261">
        <f t="shared" ca="1" si="58"/>
        <v>20.987721669941926</v>
      </c>
      <c r="BE34" s="261">
        <f t="shared" ca="1" si="58"/>
        <v>66.08221682313804</v>
      </c>
      <c r="BF34" s="293">
        <f t="shared" ca="1" si="58"/>
        <v>18.09094810796277</v>
      </c>
      <c r="BG34" s="228">
        <f t="shared" ca="1" si="58"/>
        <v>124.26713643629854</v>
      </c>
      <c r="BH34" s="292">
        <f t="shared" ref="BH34:BL34" ca="1" si="59">BH32+BH33</f>
        <v>21.082348225174343</v>
      </c>
      <c r="BI34" s="261">
        <f t="shared" ca="1" si="59"/>
        <v>22.967241906230981</v>
      </c>
      <c r="BJ34" s="261">
        <f t="shared" ca="1" si="59"/>
        <v>68.36888298508309</v>
      </c>
      <c r="BK34" s="293">
        <f t="shared" ca="1" si="59"/>
        <v>20.882372966765274</v>
      </c>
      <c r="BL34" s="228">
        <f t="shared" ca="1" si="59"/>
        <v>133.3008460832537</v>
      </c>
      <c r="BM34" s="330"/>
      <c r="BN34" s="330"/>
      <c r="BO34" s="330"/>
      <c r="BP34" s="330"/>
      <c r="BQ34" s="330"/>
      <c r="BR34" s="330"/>
      <c r="BS34" s="330"/>
      <c r="BT34" s="330"/>
      <c r="BU34" s="330"/>
      <c r="BV34" s="330"/>
      <c r="BW34" s="330"/>
      <c r="BX34" s="330"/>
      <c r="BY34" s="330"/>
      <c r="BZ34" s="330"/>
      <c r="CA34" s="330"/>
      <c r="CB34" s="330"/>
      <c r="CC34" s="330"/>
      <c r="CD34" s="330"/>
      <c r="CE34" s="330"/>
      <c r="CF34" s="330"/>
      <c r="CG34" s="330"/>
      <c r="CH34" s="330"/>
      <c r="CI34" s="330"/>
      <c r="CJ34" s="330"/>
      <c r="CK34" s="330"/>
      <c r="CL34" s="330"/>
      <c r="CM34" s="330"/>
      <c r="CN34" s="330"/>
      <c r="CO34" s="330"/>
      <c r="CP34" s="330"/>
    </row>
    <row r="35" spans="1:94">
      <c r="A35" s="330"/>
      <c r="B35" s="330"/>
      <c r="C35" s="895"/>
      <c r="D35" s="330"/>
      <c r="E35" s="300"/>
      <c r="F35" s="264"/>
      <c r="G35" s="264"/>
      <c r="H35" s="299"/>
      <c r="I35" s="330"/>
      <c r="J35" s="300"/>
      <c r="K35" s="264"/>
      <c r="L35" s="264"/>
      <c r="M35" s="299"/>
      <c r="N35" s="330"/>
      <c r="O35" s="300"/>
      <c r="P35" s="264"/>
      <c r="Q35" s="264"/>
      <c r="R35" s="299"/>
      <c r="S35" s="330"/>
      <c r="T35" s="300"/>
      <c r="U35" s="264"/>
      <c r="V35" s="264"/>
      <c r="W35" s="299"/>
      <c r="X35" s="330"/>
      <c r="Y35" s="300"/>
      <c r="Z35" s="264"/>
      <c r="AA35" s="264"/>
      <c r="AB35" s="299"/>
      <c r="AC35" s="330"/>
      <c r="AD35" s="300"/>
      <c r="AE35" s="264"/>
      <c r="AF35" s="264"/>
      <c r="AG35" s="299"/>
      <c r="AH35" s="330"/>
      <c r="AI35" s="300"/>
      <c r="AJ35" s="264"/>
      <c r="AK35" s="264"/>
      <c r="AL35" s="299"/>
      <c r="AM35" s="330"/>
      <c r="AN35" s="300"/>
      <c r="AO35" s="264"/>
      <c r="AP35" s="264"/>
      <c r="AQ35" s="299"/>
      <c r="AR35" s="330"/>
      <c r="AS35" s="300"/>
      <c r="AT35" s="264"/>
      <c r="AU35" s="264"/>
      <c r="AV35" s="299"/>
      <c r="AW35" s="330"/>
      <c r="AX35" s="300"/>
      <c r="AY35" s="264"/>
      <c r="AZ35" s="264"/>
      <c r="BA35" s="299"/>
      <c r="BB35" s="330"/>
      <c r="BC35" s="300"/>
      <c r="BD35" s="264"/>
      <c r="BE35" s="264"/>
      <c r="BF35" s="299"/>
      <c r="BG35" s="330"/>
      <c r="BH35" s="300"/>
      <c r="BI35" s="264"/>
      <c r="BJ35" s="264"/>
      <c r="BK35" s="299"/>
      <c r="BL35" s="330"/>
      <c r="BM35" s="330"/>
      <c r="BN35" s="330"/>
      <c r="BO35" s="330"/>
      <c r="BP35" s="330"/>
      <c r="BQ35" s="330"/>
      <c r="BR35" s="330"/>
      <c r="BS35" s="330"/>
      <c r="BT35" s="330"/>
      <c r="BU35" s="330"/>
      <c r="BV35" s="330"/>
      <c r="BW35" s="330"/>
      <c r="BX35" s="330"/>
      <c r="BY35" s="330"/>
      <c r="BZ35" s="330"/>
      <c r="CA35" s="330"/>
      <c r="CB35" s="330"/>
      <c r="CC35" s="330"/>
      <c r="CD35" s="330"/>
      <c r="CE35" s="330"/>
      <c r="CF35" s="330"/>
      <c r="CG35" s="330"/>
      <c r="CH35" s="330"/>
      <c r="CI35" s="330"/>
      <c r="CJ35" s="330"/>
      <c r="CK35" s="330"/>
      <c r="CL35" s="330"/>
      <c r="CM35" s="330"/>
      <c r="CN35" s="330"/>
      <c r="CO35" s="330"/>
      <c r="CP35" s="330"/>
    </row>
    <row r="36" spans="1:94">
      <c r="A36" s="330"/>
      <c r="B36" s="330"/>
      <c r="C36" s="895" t="s">
        <v>95</v>
      </c>
      <c r="D36" s="330"/>
      <c r="E36" s="290"/>
      <c r="F36" s="260"/>
      <c r="G36" s="260"/>
      <c r="H36" s="291"/>
      <c r="I36" s="45">
        <f>EXC!N49</f>
        <v>661</v>
      </c>
      <c r="J36" s="290">
        <f>EXC!O49</f>
        <v>662</v>
      </c>
      <c r="K36" s="260">
        <f>EXC!P49</f>
        <v>663</v>
      </c>
      <c r="L36" s="260">
        <f>EXC!Q49</f>
        <v>663</v>
      </c>
      <c r="M36" s="291">
        <f>EXC!R49</f>
        <v>664</v>
      </c>
      <c r="N36" s="45">
        <f>EXC!S49</f>
        <v>663</v>
      </c>
      <c r="O36" s="290">
        <f>EXC!T49</f>
        <v>705</v>
      </c>
      <c r="P36" s="260">
        <f>EXC!U49</f>
        <v>853</v>
      </c>
      <c r="Q36" s="260">
        <f>EXC!V49</f>
        <v>854</v>
      </c>
      <c r="R36" s="291">
        <f>EXC!W49</f>
        <v>816</v>
      </c>
      <c r="S36" s="45">
        <f>EXC!X49</f>
        <v>816</v>
      </c>
      <c r="T36" s="290">
        <f>EXC!Y49</f>
        <v>855</v>
      </c>
      <c r="U36" s="260">
        <f>EXC!Z49</f>
        <v>856</v>
      </c>
      <c r="V36" s="260">
        <f>EXC!AA49</f>
        <v>857</v>
      </c>
      <c r="W36" s="291">
        <f>EXC!AB49</f>
        <v>857</v>
      </c>
      <c r="X36" s="45">
        <f>EXC!AC49</f>
        <v>856</v>
      </c>
      <c r="Y36" s="290">
        <f>EXC!AD49</f>
        <v>858</v>
      </c>
      <c r="Z36" s="260">
        <f>EXC!AE49</f>
        <v>860</v>
      </c>
      <c r="AA36" s="260">
        <f>EXC!AF49</f>
        <v>861</v>
      </c>
      <c r="AB36" s="291">
        <f>EXC!AG49</f>
        <v>861</v>
      </c>
      <c r="AC36" s="45">
        <f>EXC!AH49</f>
        <v>860</v>
      </c>
      <c r="AD36" s="290">
        <f>EXC!AI49</f>
        <v>862</v>
      </c>
      <c r="AE36" s="260">
        <f>EXC!AJ49</f>
        <v>863</v>
      </c>
      <c r="AF36" s="260">
        <f>EXC!AK49</f>
        <v>913</v>
      </c>
      <c r="AG36" s="291">
        <f>EXC!AL49</f>
        <v>921</v>
      </c>
      <c r="AH36" s="45">
        <f>EXC!AM49</f>
        <v>890</v>
      </c>
      <c r="AI36" s="290">
        <f>EXC!AN49</f>
        <v>923</v>
      </c>
      <c r="AJ36" s="260">
        <f>EXC!AO49</f>
        <v>924</v>
      </c>
      <c r="AK36" s="260">
        <f>EXC!AP49</f>
        <v>925</v>
      </c>
      <c r="AL36" s="291">
        <f>EXC!AQ49</f>
        <v>925</v>
      </c>
      <c r="AM36" s="45">
        <f>EXC!AR49</f>
        <v>924</v>
      </c>
      <c r="AN36" s="290">
        <f>EXC!AS49</f>
        <v>928</v>
      </c>
      <c r="AO36" s="260">
        <f>EXC!AT49</f>
        <v>934</v>
      </c>
      <c r="AP36" s="260">
        <f>EXC!AU49</f>
        <v>962</v>
      </c>
      <c r="AQ36" s="291">
        <f>EXC!AV49</f>
        <v>964</v>
      </c>
      <c r="AR36" s="45">
        <f>EXC!AW49</f>
        <v>947</v>
      </c>
      <c r="AS36" s="290">
        <f>EXC!AX49</f>
        <v>963</v>
      </c>
      <c r="AT36" s="260">
        <f>EXC!AY49</f>
        <v>963</v>
      </c>
      <c r="AU36" s="260">
        <f>EXC!AZ49</f>
        <v>963</v>
      </c>
      <c r="AV36" s="291">
        <f>EXC!BA49</f>
        <v>963</v>
      </c>
      <c r="AW36" s="45">
        <f>EXC!BB49</f>
        <v>963</v>
      </c>
      <c r="AX36" s="290">
        <f>EXC!BC49</f>
        <v>963</v>
      </c>
      <c r="AY36" s="260">
        <f>EXC!BD49</f>
        <v>963</v>
      </c>
      <c r="AZ36" s="260">
        <f>EXC!BE49</f>
        <v>963</v>
      </c>
      <c r="BA36" s="291">
        <f>EXC!BF49</f>
        <v>963</v>
      </c>
      <c r="BB36" s="45">
        <f>EXC!BG49</f>
        <v>963</v>
      </c>
      <c r="BC36" s="290">
        <f>EXC!BH49</f>
        <v>963</v>
      </c>
      <c r="BD36" s="260">
        <f>EXC!BI49</f>
        <v>963</v>
      </c>
      <c r="BE36" s="260">
        <f>EXC!BJ49</f>
        <v>963</v>
      </c>
      <c r="BF36" s="291">
        <f>EXC!BK49</f>
        <v>963</v>
      </c>
      <c r="BG36" s="45">
        <f>EXC!BL49</f>
        <v>963</v>
      </c>
      <c r="BH36" s="290">
        <f>EXC!BM49</f>
        <v>963</v>
      </c>
      <c r="BI36" s="260">
        <f>EXC!BN49</f>
        <v>963</v>
      </c>
      <c r="BJ36" s="260">
        <f>EXC!BO49</f>
        <v>963</v>
      </c>
      <c r="BK36" s="291">
        <f>EXC!BP49</f>
        <v>963</v>
      </c>
      <c r="BL36" s="45">
        <f>EXC!BQ49</f>
        <v>963</v>
      </c>
      <c r="BM36" s="330"/>
      <c r="BN36" s="330"/>
      <c r="BO36" s="330"/>
      <c r="BP36" s="330"/>
      <c r="BQ36" s="330"/>
      <c r="BR36" s="330"/>
      <c r="BS36" s="330"/>
      <c r="BT36" s="330"/>
      <c r="BU36" s="330"/>
      <c r="BV36" s="330"/>
      <c r="BW36" s="330"/>
      <c r="BX36" s="330"/>
      <c r="BY36" s="330"/>
      <c r="BZ36" s="330"/>
      <c r="CA36" s="330"/>
      <c r="CB36" s="330"/>
      <c r="CC36" s="330"/>
      <c r="CD36" s="330"/>
      <c r="CE36" s="330"/>
      <c r="CF36" s="330"/>
      <c r="CG36" s="330"/>
      <c r="CH36" s="330"/>
      <c r="CI36" s="330"/>
      <c r="CJ36" s="330"/>
      <c r="CK36" s="330"/>
      <c r="CL36" s="330"/>
      <c r="CM36" s="330"/>
      <c r="CN36" s="330"/>
      <c r="CO36" s="330"/>
      <c r="CP36" s="330"/>
    </row>
    <row r="37" spans="1:94">
      <c r="A37" s="330"/>
      <c r="B37" s="330"/>
      <c r="C37" s="895" t="s">
        <v>109</v>
      </c>
      <c r="D37" s="330"/>
      <c r="E37" s="290"/>
      <c r="F37" s="260"/>
      <c r="G37" s="260"/>
      <c r="H37" s="291"/>
      <c r="I37" s="45">
        <f>EXC!N50</f>
        <v>663</v>
      </c>
      <c r="J37" s="290">
        <f>EXC!O50</f>
        <v>664</v>
      </c>
      <c r="K37" s="260">
        <f>EXC!P50</f>
        <v>664</v>
      </c>
      <c r="L37" s="260">
        <f>EXC!Q50</f>
        <v>665</v>
      </c>
      <c r="M37" s="291">
        <f>EXC!R50</f>
        <v>666</v>
      </c>
      <c r="N37" s="45">
        <f>EXC!S50</f>
        <v>665</v>
      </c>
      <c r="O37" s="290">
        <f>EXC!T50</f>
        <v>707</v>
      </c>
      <c r="P37" s="260">
        <f>EXC!U50</f>
        <v>856</v>
      </c>
      <c r="Q37" s="260">
        <f>EXC!V50</f>
        <v>857</v>
      </c>
      <c r="R37" s="291">
        <f>EXC!W50</f>
        <v>819</v>
      </c>
      <c r="S37" s="45">
        <f>EXC!X50</f>
        <v>819</v>
      </c>
      <c r="T37" s="290">
        <f>EXC!Y50</f>
        <v>855</v>
      </c>
      <c r="U37" s="260">
        <f>EXC!Z50</f>
        <v>860</v>
      </c>
      <c r="V37" s="260">
        <f>EXC!AA50</f>
        <v>860</v>
      </c>
      <c r="W37" s="291">
        <f>EXC!AB50</f>
        <v>861</v>
      </c>
      <c r="X37" s="45">
        <f>EXC!AC50</f>
        <v>860</v>
      </c>
      <c r="Y37" s="290">
        <f>EXC!AD50</f>
        <v>861</v>
      </c>
      <c r="Z37" s="260">
        <f>EXC!AE50</f>
        <v>864</v>
      </c>
      <c r="AA37" s="260">
        <f>EXC!AF50</f>
        <v>863</v>
      </c>
      <c r="AB37" s="291">
        <f>EXC!AG50</f>
        <v>868</v>
      </c>
      <c r="AC37" s="45">
        <f>EXC!AH50</f>
        <v>864</v>
      </c>
      <c r="AD37" s="290">
        <f>EXC!AI50</f>
        <v>867</v>
      </c>
      <c r="AE37" s="260">
        <f>EXC!AJ50</f>
        <v>864</v>
      </c>
      <c r="AF37" s="260">
        <f>EXC!AK50</f>
        <v>915</v>
      </c>
      <c r="AG37" s="291">
        <f>EXC!AL50</f>
        <v>924</v>
      </c>
      <c r="AH37" s="45">
        <f>EXC!AM50</f>
        <v>893</v>
      </c>
      <c r="AI37" s="290">
        <f>EXC!AN50</f>
        <v>925</v>
      </c>
      <c r="AJ37" s="260">
        <f>EXC!AO50</f>
        <v>926</v>
      </c>
      <c r="AK37" s="260">
        <f>EXC!AP50</f>
        <v>927</v>
      </c>
      <c r="AL37" s="291">
        <f>EXC!AQ50</f>
        <v>928</v>
      </c>
      <c r="AM37" s="45">
        <f>EXC!AR50</f>
        <v>927</v>
      </c>
      <c r="AN37" s="290">
        <f>EXC!AS50</f>
        <v>930</v>
      </c>
      <c r="AO37" s="260">
        <f>EXC!AT50</f>
        <v>936</v>
      </c>
      <c r="AP37" s="260">
        <f>EXC!AU50</f>
        <v>965</v>
      </c>
      <c r="AQ37" s="291">
        <f>EXC!AV50</f>
        <v>967</v>
      </c>
      <c r="AR37" s="45">
        <f>EXC!AW50</f>
        <v>949</v>
      </c>
      <c r="AS37" s="290">
        <f>EXC!AX50</f>
        <v>966</v>
      </c>
      <c r="AT37" s="260">
        <f>EXC!AY50</f>
        <v>966</v>
      </c>
      <c r="AU37" s="260">
        <f>EXC!AZ50</f>
        <v>966</v>
      </c>
      <c r="AV37" s="291">
        <f>EXC!BA50</f>
        <v>966</v>
      </c>
      <c r="AW37" s="45">
        <f>EXC!BB50</f>
        <v>966</v>
      </c>
      <c r="AX37" s="290">
        <f>EXC!BC50</f>
        <v>966</v>
      </c>
      <c r="AY37" s="260">
        <f>EXC!BD50</f>
        <v>966</v>
      </c>
      <c r="AZ37" s="260">
        <f>EXC!BE50</f>
        <v>966</v>
      </c>
      <c r="BA37" s="291">
        <f>EXC!BF50</f>
        <v>966</v>
      </c>
      <c r="BB37" s="45">
        <f>EXC!BG50</f>
        <v>966</v>
      </c>
      <c r="BC37" s="290">
        <f>EXC!BH50</f>
        <v>966</v>
      </c>
      <c r="BD37" s="260">
        <f>EXC!BI50</f>
        <v>966</v>
      </c>
      <c r="BE37" s="260">
        <f>EXC!BJ50</f>
        <v>966</v>
      </c>
      <c r="BF37" s="291">
        <f>EXC!BK50</f>
        <v>966</v>
      </c>
      <c r="BG37" s="45">
        <f>EXC!BL50</f>
        <v>966</v>
      </c>
      <c r="BH37" s="290">
        <f>EXC!BM50</f>
        <v>966</v>
      </c>
      <c r="BI37" s="260">
        <f>EXC!BN50</f>
        <v>966</v>
      </c>
      <c r="BJ37" s="260">
        <f>EXC!BO50</f>
        <v>966</v>
      </c>
      <c r="BK37" s="291">
        <f>EXC!BP50</f>
        <v>966</v>
      </c>
      <c r="BL37" s="45">
        <f>EXC!BQ50</f>
        <v>966</v>
      </c>
      <c r="BM37" s="330"/>
      <c r="BN37" s="330"/>
      <c r="BO37" s="330"/>
      <c r="BP37" s="330"/>
      <c r="BQ37" s="330"/>
      <c r="BR37" s="330"/>
      <c r="BS37" s="330"/>
      <c r="BT37" s="330"/>
      <c r="BU37" s="330"/>
      <c r="BV37" s="330"/>
      <c r="BW37" s="330"/>
      <c r="BX37" s="330"/>
      <c r="BY37" s="330"/>
      <c r="BZ37" s="330"/>
      <c r="CA37" s="330"/>
      <c r="CB37" s="330"/>
      <c r="CC37" s="330"/>
      <c r="CD37" s="330"/>
      <c r="CE37" s="330"/>
      <c r="CF37" s="330"/>
      <c r="CG37" s="330"/>
      <c r="CH37" s="330"/>
      <c r="CI37" s="330"/>
      <c r="CJ37" s="330"/>
      <c r="CK37" s="330"/>
      <c r="CL37" s="330"/>
      <c r="CM37" s="330"/>
      <c r="CN37" s="330"/>
      <c r="CO37" s="330"/>
      <c r="CP37" s="330"/>
    </row>
    <row r="38" spans="1:94">
      <c r="A38" s="330"/>
      <c r="B38" s="330"/>
      <c r="C38" s="228"/>
      <c r="D38" s="330"/>
      <c r="E38" s="300"/>
      <c r="F38" s="264"/>
      <c r="G38" s="264"/>
      <c r="H38" s="299"/>
      <c r="I38" s="330"/>
      <c r="J38" s="300"/>
      <c r="K38" s="264"/>
      <c r="L38" s="264"/>
      <c r="M38" s="299"/>
      <c r="N38" s="330"/>
      <c r="O38" s="300"/>
      <c r="P38" s="264"/>
      <c r="Q38" s="264"/>
      <c r="R38" s="299"/>
      <c r="S38" s="330"/>
      <c r="T38" s="300"/>
      <c r="U38" s="264"/>
      <c r="V38" s="264"/>
      <c r="W38" s="299"/>
      <c r="X38" s="330"/>
      <c r="Y38" s="300"/>
      <c r="Z38" s="264"/>
      <c r="AA38" s="264"/>
      <c r="AB38" s="299"/>
      <c r="AC38" s="330"/>
      <c r="AD38" s="300"/>
      <c r="AE38" s="264"/>
      <c r="AF38" s="264"/>
      <c r="AG38" s="299"/>
      <c r="AH38" s="330"/>
      <c r="AI38" s="300"/>
      <c r="AJ38" s="264"/>
      <c r="AK38" s="264"/>
      <c r="AL38" s="299"/>
      <c r="AM38" s="330"/>
      <c r="AN38" s="300"/>
      <c r="AO38" s="264"/>
      <c r="AP38" s="264"/>
      <c r="AQ38" s="299"/>
      <c r="AR38" s="330"/>
      <c r="AS38" s="300"/>
      <c r="AT38" s="264"/>
      <c r="AU38" s="264"/>
      <c r="AV38" s="299"/>
      <c r="AW38" s="330"/>
      <c r="AX38" s="300"/>
      <c r="AY38" s="264"/>
      <c r="AZ38" s="264"/>
      <c r="BA38" s="299"/>
      <c r="BB38" s="330"/>
      <c r="BC38" s="300"/>
      <c r="BD38" s="264"/>
      <c r="BE38" s="264"/>
      <c r="BF38" s="299"/>
      <c r="BG38" s="330"/>
      <c r="BH38" s="300"/>
      <c r="BI38" s="264"/>
      <c r="BJ38" s="264"/>
      <c r="BK38" s="299"/>
      <c r="BL38" s="330"/>
      <c r="BM38" s="330"/>
      <c r="BN38" s="330"/>
      <c r="BO38" s="330"/>
      <c r="BP38" s="330"/>
      <c r="BQ38" s="330"/>
      <c r="BR38" s="330"/>
      <c r="BS38" s="330"/>
      <c r="BT38" s="330"/>
      <c r="BU38" s="330"/>
      <c r="BV38" s="330"/>
      <c r="BW38" s="330"/>
      <c r="BX38" s="330"/>
      <c r="BY38" s="330"/>
      <c r="BZ38" s="330"/>
      <c r="CA38" s="330"/>
      <c r="CB38" s="330"/>
      <c r="CC38" s="330"/>
      <c r="CD38" s="330"/>
      <c r="CE38" s="330"/>
      <c r="CF38" s="330"/>
      <c r="CG38" s="330"/>
      <c r="CH38" s="330"/>
      <c r="CI38" s="330"/>
      <c r="CJ38" s="330"/>
      <c r="CK38" s="330"/>
      <c r="CL38" s="330"/>
      <c r="CM38" s="330"/>
      <c r="CN38" s="330"/>
      <c r="CO38" s="330"/>
      <c r="CP38" s="330"/>
    </row>
    <row r="39" spans="1:94">
      <c r="A39" s="895"/>
      <c r="B39" s="895"/>
      <c r="C39" s="895" t="s">
        <v>447</v>
      </c>
      <c r="D39" s="895"/>
      <c r="E39" s="1687"/>
      <c r="F39" s="1688"/>
      <c r="G39" s="1688"/>
      <c r="H39" s="1689"/>
      <c r="I39" s="1690">
        <f t="shared" ref="I39:AW39" si="60">+I32/I37</f>
        <v>7.9939668174962286E-2</v>
      </c>
      <c r="J39" s="1687">
        <f t="shared" si="60"/>
        <v>9.0361445783132526E-3</v>
      </c>
      <c r="K39" s="1688">
        <f t="shared" si="60"/>
        <v>2.710843373493976E-2</v>
      </c>
      <c r="L39" s="1688">
        <f t="shared" si="60"/>
        <v>2.5563909774436091E-2</v>
      </c>
      <c r="M39" s="1689">
        <f t="shared" si="60"/>
        <v>-3.003003003003003E-3</v>
      </c>
      <c r="N39" s="1690">
        <f t="shared" si="60"/>
        <v>5.8646616541353384E-2</v>
      </c>
      <c r="O39" s="1687">
        <f t="shared" si="60"/>
        <v>2.828854314002829E-3</v>
      </c>
      <c r="P39" s="1688">
        <f t="shared" si="60"/>
        <v>1.6355140186915886E-2</v>
      </c>
      <c r="Q39" s="1688">
        <f t="shared" si="60"/>
        <v>2.3337222870478413E-2</v>
      </c>
      <c r="R39" s="1689">
        <f t="shared" si="60"/>
        <v>-1.221001221001221E-3</v>
      </c>
      <c r="S39" s="1690">
        <f t="shared" si="60"/>
        <v>4.2735042735042736E-2</v>
      </c>
      <c r="T39" s="1687">
        <f t="shared" si="60"/>
        <v>1.2865497076023392E-2</v>
      </c>
      <c r="U39" s="1688">
        <f t="shared" si="60"/>
        <v>8.1395348837209301E-3</v>
      </c>
      <c r="V39" s="1688">
        <f t="shared" si="60"/>
        <v>2.9069767441860465E-2</v>
      </c>
      <c r="W39" s="1689">
        <f t="shared" si="60"/>
        <v>8.130081300813009E-3</v>
      </c>
      <c r="X39" s="1690">
        <f t="shared" si="60"/>
        <v>5.8139534883720929E-2</v>
      </c>
      <c r="Y39" s="1687">
        <f t="shared" si="60"/>
        <v>1.1614401858304297E-2</v>
      </c>
      <c r="Z39" s="1688">
        <f t="shared" si="60"/>
        <v>6.9444444444444441E-3</v>
      </c>
      <c r="AA39" s="1688">
        <f t="shared" ref="AA39:AE39" si="61">+AA32/AA37</f>
        <v>2.6651216685979143E-2</v>
      </c>
      <c r="AB39" s="1689">
        <f t="shared" si="61"/>
        <v>6.9124423963133645E-3</v>
      </c>
      <c r="AC39" s="1690">
        <f t="shared" si="61"/>
        <v>5.2083333333333336E-2</v>
      </c>
      <c r="AD39" s="1687">
        <f t="shared" si="61"/>
        <v>4.61361014994233E-3</v>
      </c>
      <c r="AE39" s="1688">
        <f t="shared" si="61"/>
        <v>1.1574074074074073E-2</v>
      </c>
      <c r="AF39" s="1688">
        <f t="shared" ref="AF39:AJ39" si="62">+AF32/AF37</f>
        <v>1.5300546448087432E-2</v>
      </c>
      <c r="AG39" s="1689">
        <f t="shared" si="62"/>
        <v>1.0822510822510822E-2</v>
      </c>
      <c r="AH39" s="1690">
        <f t="shared" si="62"/>
        <v>4.2553191489361701E-2</v>
      </c>
      <c r="AI39" s="1687">
        <f t="shared" si="62"/>
        <v>-0.10810810810810811</v>
      </c>
      <c r="AJ39" s="1688">
        <f t="shared" si="62"/>
        <v>3.2397408207343412E-3</v>
      </c>
      <c r="AK39" s="1688">
        <f t="shared" ref="AK39:AO39" si="63">+AK32/AK37</f>
        <v>5.070118662351672E-2</v>
      </c>
      <c r="AL39" s="1689">
        <f t="shared" si="63"/>
        <v>8.6206896551724137E-3</v>
      </c>
      <c r="AM39" s="1690">
        <f t="shared" si="63"/>
        <v>-4.5307443365695796E-2</v>
      </c>
      <c r="AN39" s="1687">
        <f t="shared" si="63"/>
        <v>3.0107526881720432E-2</v>
      </c>
      <c r="AO39" s="1688">
        <f t="shared" si="63"/>
        <v>8.5470085470085479E-3</v>
      </c>
      <c r="AP39" s="1688">
        <f t="shared" ref="AP39:AR39" si="64">+AP32/AP37</f>
        <v>4.2487046632124353E-2</v>
      </c>
      <c r="AQ39" s="1689">
        <f t="shared" si="64"/>
        <v>0</v>
      </c>
      <c r="AR39" s="1690">
        <f t="shared" si="64"/>
        <v>8.1138040042149626E-2</v>
      </c>
      <c r="AS39" s="1687">
        <f t="shared" si="60"/>
        <v>1.1379755755975454E-2</v>
      </c>
      <c r="AT39" s="1688">
        <f t="shared" ca="1" si="60"/>
        <v>1.3157959309854791E-2</v>
      </c>
      <c r="AU39" s="1688">
        <f t="shared" ca="1" si="60"/>
        <v>6.016861860925115E-2</v>
      </c>
      <c r="AV39" s="1689">
        <f t="shared" ca="1" si="60"/>
        <v>1.0790143122030575E-2</v>
      </c>
      <c r="AW39" s="1690">
        <f t="shared" ca="1" si="60"/>
        <v>9.5496476797112012E-2</v>
      </c>
      <c r="AX39" s="1687">
        <f t="shared" ref="AX39:BG39" ca="1" si="65">+AX32/AX37</f>
        <v>1.2734013779024425E-2</v>
      </c>
      <c r="AY39" s="1688">
        <f t="shared" ca="1" si="65"/>
        <v>1.431298979236314E-2</v>
      </c>
      <c r="AZ39" s="1688">
        <f t="shared" ca="1" si="65"/>
        <v>6.6009331134598725E-2</v>
      </c>
      <c r="BA39" s="1689">
        <f t="shared" ca="1" si="65"/>
        <v>1.6431388815941306E-2</v>
      </c>
      <c r="BB39" s="1690">
        <f t="shared" ca="1" si="65"/>
        <v>0.10948772352192761</v>
      </c>
      <c r="BC39" s="1687">
        <f t="shared" ca="1" si="65"/>
        <v>1.9778726537532095E-2</v>
      </c>
      <c r="BD39" s="1688">
        <f t="shared" ca="1" si="65"/>
        <v>2.1726419948180049E-2</v>
      </c>
      <c r="BE39" s="1688">
        <f t="shared" ca="1" si="65"/>
        <v>6.8408091949418257E-2</v>
      </c>
      <c r="BF39" s="1689">
        <f t="shared" ca="1" si="65"/>
        <v>1.8727689552756492E-2</v>
      </c>
      <c r="BG39" s="1690">
        <f t="shared" ca="1" si="65"/>
        <v>0.12864092798788668</v>
      </c>
      <c r="BH39" s="1687">
        <f t="shared" ref="BH39:BL39" ca="1" si="66">+BH32/BH37</f>
        <v>2.1824377044693935E-2</v>
      </c>
      <c r="BI39" s="1688">
        <f t="shared" ca="1" si="66"/>
        <v>2.3775612739369546E-2</v>
      </c>
      <c r="BJ39" s="1688">
        <f t="shared" ca="1" si="66"/>
        <v>7.0775241185386223E-2</v>
      </c>
      <c r="BK39" s="1689">
        <f t="shared" ca="1" si="66"/>
        <v>2.161736331963279E-2</v>
      </c>
      <c r="BL39" s="1690">
        <f t="shared" ca="1" si="66"/>
        <v>0.1379925942890825</v>
      </c>
      <c r="BM39" s="895"/>
      <c r="BN39" s="895"/>
      <c r="BO39" s="895"/>
      <c r="BP39" s="895"/>
      <c r="BQ39" s="895"/>
      <c r="BR39" s="895"/>
      <c r="BS39" s="895"/>
      <c r="BT39" s="895"/>
      <c r="BU39" s="895"/>
      <c r="BV39" s="895"/>
      <c r="BW39" s="895"/>
      <c r="BX39" s="895"/>
      <c r="BY39" s="895"/>
      <c r="BZ39" s="895"/>
      <c r="CA39" s="895"/>
      <c r="CB39" s="895"/>
      <c r="CC39" s="895"/>
      <c r="CD39" s="895"/>
      <c r="CE39" s="895"/>
      <c r="CF39" s="895"/>
      <c r="CG39" s="895"/>
      <c r="CH39" s="895"/>
      <c r="CI39" s="895"/>
      <c r="CJ39" s="895"/>
      <c r="CK39" s="895"/>
      <c r="CL39" s="895"/>
      <c r="CM39" s="895"/>
      <c r="CN39" s="895"/>
      <c r="CO39" s="895"/>
      <c r="CP39" s="895"/>
    </row>
    <row r="40" spans="1:94">
      <c r="A40" s="895"/>
      <c r="B40" s="895"/>
      <c r="C40" s="1691" t="s">
        <v>445</v>
      </c>
      <c r="D40" s="1807"/>
      <c r="E40" s="1696"/>
      <c r="F40" s="1693"/>
      <c r="G40" s="1693"/>
      <c r="H40" s="1694"/>
      <c r="I40" s="1695">
        <f t="shared" ref="I40:AW40" si="67">+I34/I37</f>
        <v>7.9939668174962286E-2</v>
      </c>
      <c r="J40" s="1696">
        <f t="shared" si="67"/>
        <v>9.0361445783132526E-3</v>
      </c>
      <c r="K40" s="1693">
        <f t="shared" si="67"/>
        <v>2.710843373493976E-2</v>
      </c>
      <c r="L40" s="1693">
        <f t="shared" si="67"/>
        <v>2.5563909774436091E-2</v>
      </c>
      <c r="M40" s="1694">
        <f t="shared" si="67"/>
        <v>-3.003003003003003E-3</v>
      </c>
      <c r="N40" s="1695">
        <f t="shared" si="67"/>
        <v>5.8646616541353384E-2</v>
      </c>
      <c r="O40" s="1696">
        <f t="shared" si="67"/>
        <v>2.828854314002829E-3</v>
      </c>
      <c r="P40" s="1693">
        <f t="shared" si="67"/>
        <v>1.6355140186915886E-2</v>
      </c>
      <c r="Q40" s="1693">
        <f t="shared" si="67"/>
        <v>2.3337222870478413E-2</v>
      </c>
      <c r="R40" s="1694">
        <f t="shared" si="67"/>
        <v>-1.221001221001221E-3</v>
      </c>
      <c r="S40" s="1695">
        <f t="shared" si="67"/>
        <v>4.2735042735042736E-2</v>
      </c>
      <c r="T40" s="1696">
        <f t="shared" si="67"/>
        <v>1.2865497076023392E-2</v>
      </c>
      <c r="U40" s="1693">
        <f t="shared" si="67"/>
        <v>8.1395348837209301E-3</v>
      </c>
      <c r="V40" s="1693">
        <f t="shared" si="67"/>
        <v>2.9069767441860465E-2</v>
      </c>
      <c r="W40" s="1694">
        <f t="shared" si="67"/>
        <v>8.130081300813009E-3</v>
      </c>
      <c r="X40" s="1695">
        <f t="shared" si="67"/>
        <v>5.8139534883720929E-2</v>
      </c>
      <c r="Y40" s="1696">
        <f t="shared" si="67"/>
        <v>1.1614401858304297E-2</v>
      </c>
      <c r="Z40" s="1693">
        <f t="shared" si="67"/>
        <v>6.9444444444444441E-3</v>
      </c>
      <c r="AA40" s="1693">
        <f t="shared" ref="AA40:AE40" si="68">+AA34/AA37</f>
        <v>2.6651216685979143E-2</v>
      </c>
      <c r="AB40" s="1694">
        <f t="shared" si="68"/>
        <v>6.9124423963133645E-3</v>
      </c>
      <c r="AC40" s="1695">
        <f t="shared" si="68"/>
        <v>5.2083333333333336E-2</v>
      </c>
      <c r="AD40" s="1696">
        <f t="shared" si="68"/>
        <v>4.61361014994233E-3</v>
      </c>
      <c r="AE40" s="1693">
        <f t="shared" si="68"/>
        <v>1.1574074074074073E-2</v>
      </c>
      <c r="AF40" s="1693">
        <f t="shared" ref="AF40:AJ40" si="69">+AF34/AF37</f>
        <v>1.5300546448087432E-2</v>
      </c>
      <c r="AG40" s="1694">
        <f t="shared" si="69"/>
        <v>1.0822510822510822E-2</v>
      </c>
      <c r="AH40" s="1695">
        <f t="shared" si="69"/>
        <v>4.2553191489361701E-2</v>
      </c>
      <c r="AI40" s="1696">
        <f t="shared" si="69"/>
        <v>-0.10810810810810811</v>
      </c>
      <c r="AJ40" s="1693">
        <f t="shared" si="69"/>
        <v>3.2397408207343412E-3</v>
      </c>
      <c r="AK40" s="1693">
        <f t="shared" ref="AK40:AO40" si="70">+AK34/AK37</f>
        <v>5.070118662351672E-2</v>
      </c>
      <c r="AL40" s="1694">
        <f t="shared" si="70"/>
        <v>8.6206896551724137E-3</v>
      </c>
      <c r="AM40" s="1695">
        <f t="shared" si="70"/>
        <v>-4.5307443365695796E-2</v>
      </c>
      <c r="AN40" s="1696">
        <f t="shared" si="70"/>
        <v>3.0107526881720432E-2</v>
      </c>
      <c r="AO40" s="1693">
        <f t="shared" si="70"/>
        <v>8.5470085470085479E-3</v>
      </c>
      <c r="AP40" s="1693">
        <f t="shared" ref="AP40:AR40" si="71">+AP34/AP37</f>
        <v>4.2487046632124353E-2</v>
      </c>
      <c r="AQ40" s="1694">
        <f t="shared" si="71"/>
        <v>0</v>
      </c>
      <c r="AR40" s="1695">
        <f t="shared" si="71"/>
        <v>8.1138040042149626E-2</v>
      </c>
      <c r="AS40" s="1696">
        <f t="shared" si="67"/>
        <v>1.1379755755975454E-2</v>
      </c>
      <c r="AT40" s="1693">
        <f t="shared" ca="1" si="67"/>
        <v>1.3157959309854791E-2</v>
      </c>
      <c r="AU40" s="1693">
        <f t="shared" ca="1" si="67"/>
        <v>6.016861860925115E-2</v>
      </c>
      <c r="AV40" s="1694">
        <f t="shared" ca="1" si="67"/>
        <v>1.0790143122030575E-2</v>
      </c>
      <c r="AW40" s="1695">
        <f t="shared" ca="1" si="67"/>
        <v>9.5496476797112012E-2</v>
      </c>
      <c r="AX40" s="1696">
        <f t="shared" ref="AX40:BG40" ca="1" si="72">+AX34/AX37</f>
        <v>1.2734013779024425E-2</v>
      </c>
      <c r="AY40" s="1693">
        <f t="shared" ca="1" si="72"/>
        <v>1.431298979236314E-2</v>
      </c>
      <c r="AZ40" s="1693">
        <f t="shared" ca="1" si="72"/>
        <v>6.6009331134598725E-2</v>
      </c>
      <c r="BA40" s="1694">
        <f t="shared" ca="1" si="72"/>
        <v>1.6431388815941306E-2</v>
      </c>
      <c r="BB40" s="1695">
        <f t="shared" ca="1" si="72"/>
        <v>0.10948772352192761</v>
      </c>
      <c r="BC40" s="1696">
        <f t="shared" ca="1" si="72"/>
        <v>1.9778726537532095E-2</v>
      </c>
      <c r="BD40" s="1693">
        <f t="shared" ca="1" si="72"/>
        <v>2.1726419948180049E-2</v>
      </c>
      <c r="BE40" s="1693">
        <f t="shared" ca="1" si="72"/>
        <v>6.8408091949418257E-2</v>
      </c>
      <c r="BF40" s="1694">
        <f t="shared" ca="1" si="72"/>
        <v>1.8727689552756492E-2</v>
      </c>
      <c r="BG40" s="1695">
        <f t="shared" ca="1" si="72"/>
        <v>0.12864092798788668</v>
      </c>
      <c r="BH40" s="1696">
        <f t="shared" ref="BH40:BL40" ca="1" si="73">+BH34/BH37</f>
        <v>2.1824377044693935E-2</v>
      </c>
      <c r="BI40" s="1693">
        <f t="shared" ca="1" si="73"/>
        <v>2.3775612739369546E-2</v>
      </c>
      <c r="BJ40" s="1693">
        <f t="shared" ca="1" si="73"/>
        <v>7.0775241185386223E-2</v>
      </c>
      <c r="BK40" s="1694">
        <f t="shared" ca="1" si="73"/>
        <v>2.161736331963279E-2</v>
      </c>
      <c r="BL40" s="1697">
        <f t="shared" ca="1" si="73"/>
        <v>0.1379925942890825</v>
      </c>
      <c r="BM40" s="895"/>
      <c r="BN40" s="895"/>
      <c r="BO40" s="895"/>
      <c r="BP40" s="895"/>
      <c r="BQ40" s="895"/>
      <c r="BR40" s="895"/>
      <c r="BS40" s="895"/>
      <c r="BT40" s="895"/>
      <c r="BU40" s="895"/>
      <c r="BV40" s="895"/>
      <c r="BW40" s="895"/>
      <c r="BX40" s="895"/>
      <c r="BY40" s="895"/>
      <c r="BZ40" s="895"/>
      <c r="CA40" s="895"/>
      <c r="CB40" s="895"/>
      <c r="CC40" s="895"/>
      <c r="CD40" s="895"/>
      <c r="CE40" s="895"/>
      <c r="CF40" s="895"/>
      <c r="CG40" s="895"/>
      <c r="CH40" s="895"/>
      <c r="CI40" s="895"/>
      <c r="CJ40" s="895"/>
      <c r="CK40" s="895"/>
      <c r="CL40" s="895"/>
      <c r="CM40" s="895"/>
      <c r="CN40" s="895"/>
      <c r="CO40" s="895"/>
      <c r="CP40" s="895"/>
    </row>
    <row r="41" spans="1:94">
      <c r="A41" s="1698"/>
      <c r="B41" s="1698"/>
      <c r="C41" s="1699" t="s">
        <v>309</v>
      </c>
      <c r="D41" s="895"/>
      <c r="E41" s="1700"/>
      <c r="F41" s="1337"/>
      <c r="G41" s="1337"/>
      <c r="H41" s="1701"/>
      <c r="I41" s="1702"/>
      <c r="J41" s="1700"/>
      <c r="K41" s="1337"/>
      <c r="L41" s="906"/>
      <c r="M41" s="1701"/>
      <c r="N41" s="1702">
        <f>N40/I40-1</f>
        <v>-0.2663640232657114</v>
      </c>
      <c r="O41" s="905"/>
      <c r="P41" s="906"/>
      <c r="Q41" s="906"/>
      <c r="R41" s="1701"/>
      <c r="S41" s="1702">
        <f>S40/N40-1</f>
        <v>-0.27131273285119439</v>
      </c>
      <c r="T41" s="905"/>
      <c r="U41" s="906"/>
      <c r="V41" s="906"/>
      <c r="W41" s="1701"/>
      <c r="X41" s="1702">
        <f>X40/S40-1</f>
        <v>0.36046511627906974</v>
      </c>
      <c r="Y41" s="905"/>
      <c r="Z41" s="906"/>
      <c r="AA41" s="906"/>
      <c r="AB41" s="1701"/>
      <c r="AC41" s="1702">
        <f>AC40/X40-1</f>
        <v>-0.10416666666666663</v>
      </c>
      <c r="AD41" s="905"/>
      <c r="AE41" s="906"/>
      <c r="AF41" s="906"/>
      <c r="AG41" s="907"/>
      <c r="AH41" s="1703">
        <f>AH40/AC40-1</f>
        <v>-0.18297872340425536</v>
      </c>
      <c r="AI41" s="905"/>
      <c r="AJ41" s="906"/>
      <c r="AK41" s="906"/>
      <c r="AL41" s="907"/>
      <c r="AM41" s="1703">
        <f>AM40/AH40-1</f>
        <v>-2.0647249190938513</v>
      </c>
      <c r="AN41" s="905"/>
      <c r="AO41" s="906"/>
      <c r="AP41" s="906"/>
      <c r="AQ41" s="907"/>
      <c r="AR41" s="1703">
        <f>AR40/AM40-1</f>
        <v>-2.7908324552160169</v>
      </c>
      <c r="AS41" s="905"/>
      <c r="AT41" s="906"/>
      <c r="AU41" s="906"/>
      <c r="AV41" s="907"/>
      <c r="AW41" s="1703">
        <f ca="1">AW40/AR40-1</f>
        <v>0.17696307117479626</v>
      </c>
      <c r="AX41" s="905"/>
      <c r="AY41" s="906"/>
      <c r="AZ41" s="906"/>
      <c r="BA41" s="907"/>
      <c r="BB41" s="1703">
        <f ca="1">BB40/AW40-1</f>
        <v>0.14651060640216951</v>
      </c>
      <c r="BC41" s="905"/>
      <c r="BD41" s="906"/>
      <c r="BE41" s="906"/>
      <c r="BF41" s="907"/>
      <c r="BG41" s="1703">
        <f ca="1">BG40/BB40-1</f>
        <v>0.17493472190170412</v>
      </c>
      <c r="BH41" s="905"/>
      <c r="BI41" s="906"/>
      <c r="BJ41" s="906"/>
      <c r="BK41" s="907"/>
      <c r="BL41" s="1703">
        <f ca="1">BL40/BG40-1</f>
        <v>7.2695886507258445E-2</v>
      </c>
      <c r="BM41" s="1698"/>
      <c r="BN41" s="1698"/>
      <c r="BO41" s="1698"/>
      <c r="BP41" s="1698"/>
      <c r="BQ41" s="1698"/>
      <c r="BR41" s="1698"/>
      <c r="BS41" s="1698"/>
      <c r="BT41" s="1698"/>
      <c r="BU41" s="1698"/>
      <c r="BV41" s="1704"/>
      <c r="BW41" s="1704"/>
      <c r="BX41" s="1704"/>
      <c r="BY41" s="1704"/>
      <c r="BZ41" s="1704"/>
      <c r="CA41" s="1704"/>
      <c r="CB41" s="1704"/>
      <c r="CC41" s="1704"/>
      <c r="CD41" s="1704"/>
      <c r="CE41" s="1704"/>
      <c r="CF41" s="1704"/>
      <c r="CG41" s="1704"/>
      <c r="CH41" s="1704"/>
      <c r="CI41" s="1704"/>
      <c r="CJ41" s="1704"/>
      <c r="CK41" s="1704"/>
      <c r="CL41" s="1704"/>
      <c r="CM41" s="1704"/>
      <c r="CN41" s="1704"/>
      <c r="CO41" s="1704"/>
      <c r="CP41" s="1704"/>
    </row>
    <row r="42" spans="1:94">
      <c r="A42" s="1698"/>
      <c r="B42" s="1698"/>
      <c r="C42" s="1699"/>
      <c r="D42" s="895"/>
      <c r="E42" s="1700"/>
      <c r="F42" s="1337"/>
      <c r="G42" s="1337"/>
      <c r="H42" s="1701"/>
      <c r="I42" s="1702"/>
      <c r="J42" s="1700"/>
      <c r="K42" s="1337"/>
      <c r="L42" s="906"/>
      <c r="M42" s="1701"/>
      <c r="N42" s="1702"/>
      <c r="O42" s="905"/>
      <c r="P42" s="906"/>
      <c r="Q42" s="906"/>
      <c r="R42" s="1701"/>
      <c r="S42" s="1702"/>
      <c r="T42" s="905"/>
      <c r="U42" s="906"/>
      <c r="V42" s="906"/>
      <c r="W42" s="907"/>
      <c r="X42" s="1703"/>
      <c r="Y42" s="905"/>
      <c r="Z42" s="906"/>
      <c r="AA42" s="906"/>
      <c r="AB42" s="907"/>
      <c r="AC42" s="1703"/>
      <c r="AD42" s="905"/>
      <c r="AE42" s="906"/>
      <c r="AF42" s="906"/>
      <c r="AG42" s="907"/>
      <c r="AH42" s="1703"/>
      <c r="AI42" s="905"/>
      <c r="AJ42" s="906"/>
      <c r="AK42" s="906"/>
      <c r="AL42" s="907"/>
      <c r="AM42" s="1703"/>
      <c r="AN42" s="905"/>
      <c r="AO42" s="906"/>
      <c r="AP42" s="906"/>
      <c r="AQ42" s="907"/>
      <c r="AR42" s="1703"/>
      <c r="AS42" s="905"/>
      <c r="AT42" s="906"/>
      <c r="AU42" s="906"/>
      <c r="AV42" s="907"/>
      <c r="AW42" s="1703"/>
      <c r="AX42" s="905"/>
      <c r="AY42" s="906"/>
      <c r="AZ42" s="906"/>
      <c r="BA42" s="907"/>
      <c r="BB42" s="1703"/>
      <c r="BC42" s="905"/>
      <c r="BD42" s="906"/>
      <c r="BE42" s="906"/>
      <c r="BF42" s="907"/>
      <c r="BG42" s="1703"/>
      <c r="BH42" s="905"/>
      <c r="BI42" s="906"/>
      <c r="BJ42" s="906"/>
      <c r="BK42" s="907"/>
      <c r="BL42" s="1703"/>
      <c r="BM42" s="1698"/>
      <c r="BN42" s="1698"/>
      <c r="BO42" s="1698"/>
      <c r="BP42" s="1698"/>
      <c r="BQ42" s="1698"/>
      <c r="BR42" s="1698"/>
      <c r="BS42" s="1698"/>
      <c r="BT42" s="1698"/>
      <c r="BU42" s="1698"/>
      <c r="BV42" s="1704"/>
      <c r="BW42" s="1704"/>
      <c r="BX42" s="1704"/>
      <c r="BY42" s="1704"/>
      <c r="BZ42" s="1704"/>
      <c r="CA42" s="1704"/>
      <c r="CB42" s="1704"/>
      <c r="CC42" s="1704"/>
      <c r="CD42" s="1704"/>
      <c r="CE42" s="1704"/>
      <c r="CF42" s="1704"/>
      <c r="CG42" s="1704"/>
      <c r="CH42" s="1704"/>
      <c r="CI42" s="1704"/>
      <c r="CJ42" s="1704"/>
      <c r="CK42" s="1704"/>
      <c r="CL42" s="1704"/>
      <c r="CM42" s="1704"/>
      <c r="CN42" s="1704"/>
      <c r="CO42" s="1704"/>
      <c r="CP42" s="1704"/>
    </row>
    <row r="43" spans="1:94">
      <c r="A43" s="890"/>
      <c r="B43" s="1681" t="s">
        <v>369</v>
      </c>
      <c r="C43" s="1682"/>
      <c r="D43" s="1683"/>
      <c r="E43" s="891"/>
      <c r="F43" s="892"/>
      <c r="G43" s="892"/>
      <c r="H43" s="893"/>
      <c r="I43" s="894"/>
      <c r="J43" s="891"/>
      <c r="K43" s="892"/>
      <c r="L43" s="892"/>
      <c r="M43" s="893"/>
      <c r="N43" s="894"/>
      <c r="O43" s="891"/>
      <c r="P43" s="892"/>
      <c r="Q43" s="892"/>
      <c r="R43" s="893"/>
      <c r="S43" s="894"/>
      <c r="T43" s="891"/>
      <c r="U43" s="892"/>
      <c r="V43" s="892"/>
      <c r="W43" s="893"/>
      <c r="X43" s="894"/>
      <c r="Y43" s="891"/>
      <c r="Z43" s="892"/>
      <c r="AA43" s="892"/>
      <c r="AB43" s="893"/>
      <c r="AC43" s="894"/>
      <c r="AD43" s="891"/>
      <c r="AE43" s="892"/>
      <c r="AF43" s="892"/>
      <c r="AG43" s="893"/>
      <c r="AH43" s="894"/>
      <c r="AI43" s="891"/>
      <c r="AJ43" s="892"/>
      <c r="AK43" s="892"/>
      <c r="AL43" s="893"/>
      <c r="AM43" s="894"/>
      <c r="AN43" s="891"/>
      <c r="AO43" s="892"/>
      <c r="AP43" s="892"/>
      <c r="AQ43" s="893"/>
      <c r="AR43" s="894"/>
      <c r="AS43" s="891"/>
      <c r="AT43" s="892"/>
      <c r="AU43" s="892"/>
      <c r="AV43" s="893"/>
      <c r="AW43" s="894"/>
      <c r="AX43" s="891"/>
      <c r="AY43" s="892"/>
      <c r="AZ43" s="892"/>
      <c r="BA43" s="893"/>
      <c r="BB43" s="894"/>
      <c r="BC43" s="891"/>
      <c r="BD43" s="892"/>
      <c r="BE43" s="892"/>
      <c r="BF43" s="893"/>
      <c r="BG43" s="894"/>
      <c r="BH43" s="891"/>
      <c r="BI43" s="892"/>
      <c r="BJ43" s="892"/>
      <c r="BK43" s="893"/>
      <c r="BL43" s="894"/>
      <c r="BM43" s="890"/>
      <c r="BN43" s="890"/>
      <c r="BO43" s="890"/>
      <c r="BP43" s="890"/>
      <c r="BQ43" s="890"/>
      <c r="BR43" s="890"/>
      <c r="BS43" s="890"/>
      <c r="BT43" s="890"/>
      <c r="BU43" s="890"/>
      <c r="BV43" s="890"/>
      <c r="BW43" s="890"/>
      <c r="BX43" s="890"/>
      <c r="BY43" s="890"/>
      <c r="BZ43" s="890"/>
      <c r="CA43" s="890"/>
      <c r="CB43" s="890"/>
      <c r="CC43" s="890"/>
      <c r="CD43" s="890"/>
      <c r="CE43" s="890"/>
      <c r="CF43" s="890"/>
      <c r="CG43" s="890"/>
      <c r="CH43" s="890"/>
      <c r="CI43" s="890"/>
      <c r="CJ43" s="890"/>
      <c r="CK43" s="890"/>
      <c r="CL43" s="890"/>
      <c r="CM43" s="890"/>
      <c r="CN43" s="890"/>
      <c r="CO43" s="890"/>
      <c r="CP43" s="890"/>
    </row>
    <row r="44" spans="1:94">
      <c r="A44" s="890"/>
      <c r="B44" s="890"/>
      <c r="C44" s="1705" t="s">
        <v>124</v>
      </c>
      <c r="D44" s="1706"/>
      <c r="E44" s="1707"/>
      <c r="F44" s="1708"/>
      <c r="G44" s="1708"/>
      <c r="H44" s="1709"/>
      <c r="I44" s="1710">
        <f>+I68</f>
        <v>0</v>
      </c>
      <c r="J44" s="1707"/>
      <c r="K44" s="1708"/>
      <c r="L44" s="1708"/>
      <c r="M44" s="1709"/>
      <c r="N44" s="1710">
        <f t="shared" ref="N44:Z44" si="74">+N68</f>
        <v>-4.9288168875797789E-2</v>
      </c>
      <c r="O44" s="1707">
        <f t="shared" si="74"/>
        <v>-7.8958976621085086E-2</v>
      </c>
      <c r="P44" s="1708">
        <f t="shared" si="74"/>
        <v>-3.1827956989247341E-2</v>
      </c>
      <c r="Q44" s="1708">
        <f t="shared" si="74"/>
        <v>-3.5783994795055563E-3</v>
      </c>
      <c r="R44" s="1709">
        <f t="shared" si="74"/>
        <v>3.7679722359940548E-2</v>
      </c>
      <c r="S44" s="1710">
        <f t="shared" si="74"/>
        <v>-1.9415470412062374E-2</v>
      </c>
      <c r="T44" s="1707">
        <f t="shared" si="74"/>
        <v>6.321839080459779E-2</v>
      </c>
      <c r="U44" s="1708">
        <f t="shared" si="74"/>
        <v>-5.2421146157263454E-2</v>
      </c>
      <c r="V44" s="1708">
        <f t="shared" si="74"/>
        <v>-9.5004897159647439E-2</v>
      </c>
      <c r="W44" s="1709">
        <f t="shared" si="74"/>
        <v>6.2111801242235032E-3</v>
      </c>
      <c r="X44" s="1710">
        <f t="shared" si="74"/>
        <v>-2.7804107424960534E-2</v>
      </c>
      <c r="Y44" s="1707">
        <f t="shared" si="74"/>
        <v>2.9279279279279313E-2</v>
      </c>
      <c r="Z44" s="1708">
        <f t="shared" si="74"/>
        <v>-4.9695264885138313E-2</v>
      </c>
      <c r="AA44" s="1708">
        <f t="shared" ref="AA44:AE44" si="75">+AA68</f>
        <v>-3.0663780663780615E-2</v>
      </c>
      <c r="AB44" s="1709">
        <f t="shared" si="75"/>
        <v>-2.5641025641025661E-2</v>
      </c>
      <c r="AC44" s="1710">
        <f t="shared" si="75"/>
        <v>-1.9499512512187178E-2</v>
      </c>
      <c r="AD44" s="1707">
        <f t="shared" si="75"/>
        <v>-1.2253829321662968E-2</v>
      </c>
      <c r="AE44" s="1708">
        <f t="shared" si="75"/>
        <v>5.8214109521460333E-2</v>
      </c>
      <c r="AF44" s="1708">
        <f t="shared" ref="AF44:AJ44" si="76">+AF68</f>
        <v>2.2329735764793357E-2</v>
      </c>
      <c r="AG44" s="1709">
        <f t="shared" si="76"/>
        <v>2.3391812865497075E-2</v>
      </c>
      <c r="AH44" s="1710">
        <f t="shared" si="76"/>
        <v>2.1876035797149473E-2</v>
      </c>
      <c r="AI44" s="1707">
        <f t="shared" si="76"/>
        <v>-8.6397873283119209E-2</v>
      </c>
      <c r="AJ44" s="1708">
        <f t="shared" si="76"/>
        <v>-8.6713286713286708E-2</v>
      </c>
      <c r="AK44" s="1708">
        <f t="shared" ref="AK44:AP44" si="77">+AK68</f>
        <v>0.1081179468511102</v>
      </c>
      <c r="AL44" s="1709">
        <f t="shared" si="77"/>
        <v>-5.0476190476190452E-2</v>
      </c>
      <c r="AM44" s="1710">
        <f t="shared" si="77"/>
        <v>-2.0542761379608643E-2</v>
      </c>
      <c r="AN44" s="1707">
        <f t="shared" si="77"/>
        <v>-5.9165858389912729E-2</v>
      </c>
      <c r="AO44" s="1708">
        <f t="shared" si="77"/>
        <v>1.0719754977029039E-2</v>
      </c>
      <c r="AP44" s="1708">
        <f t="shared" si="77"/>
        <v>-0.11169513797634689</v>
      </c>
      <c r="AQ44" s="1709">
        <f t="shared" ref="AQ44:AR44" si="78">+AQ68</f>
        <v>-1.6549648946840523E-2</v>
      </c>
      <c r="AR44" s="1710">
        <f t="shared" si="78"/>
        <v>-5.2323656032674637E-2</v>
      </c>
      <c r="AS44" s="1707">
        <f>+AW44</f>
        <v>0</v>
      </c>
      <c r="AT44" s="1708">
        <f>+AW44</f>
        <v>0</v>
      </c>
      <c r="AU44" s="1708">
        <f>+AW44</f>
        <v>0</v>
      </c>
      <c r="AV44" s="1709">
        <f>+AW44</f>
        <v>0</v>
      </c>
      <c r="AW44" s="1711">
        <v>0</v>
      </c>
      <c r="AX44" s="1707">
        <f>+BB44</f>
        <v>0</v>
      </c>
      <c r="AY44" s="1708">
        <f>+BB44</f>
        <v>0</v>
      </c>
      <c r="AZ44" s="1708">
        <f>+BB44</f>
        <v>0</v>
      </c>
      <c r="BA44" s="1709">
        <f>+BB44</f>
        <v>0</v>
      </c>
      <c r="BB44" s="1711">
        <v>0</v>
      </c>
      <c r="BC44" s="1707">
        <f>+BG44</f>
        <v>0</v>
      </c>
      <c r="BD44" s="1708">
        <f>+BG44</f>
        <v>0</v>
      </c>
      <c r="BE44" s="1708">
        <f>+BG44</f>
        <v>0</v>
      </c>
      <c r="BF44" s="1709">
        <f>+BG44</f>
        <v>0</v>
      </c>
      <c r="BG44" s="1711">
        <v>0</v>
      </c>
      <c r="BH44" s="1707">
        <f>+BL44</f>
        <v>0</v>
      </c>
      <c r="BI44" s="1708">
        <f>+BL44</f>
        <v>0</v>
      </c>
      <c r="BJ44" s="1708">
        <f>+BL44</f>
        <v>0</v>
      </c>
      <c r="BK44" s="1709">
        <f>+BL44</f>
        <v>0</v>
      </c>
      <c r="BL44" s="2285">
        <f>+BG44</f>
        <v>0</v>
      </c>
      <c r="BM44" s="890"/>
      <c r="BN44" s="890"/>
      <c r="BO44" s="890"/>
      <c r="BP44" s="890"/>
      <c r="BQ44" s="890"/>
      <c r="BR44" s="890"/>
      <c r="BS44" s="890"/>
      <c r="BT44" s="890"/>
      <c r="BU44" s="890"/>
      <c r="BV44" s="890"/>
      <c r="BW44" s="890"/>
      <c r="BX44" s="890"/>
      <c r="BY44" s="890"/>
      <c r="BZ44" s="890"/>
      <c r="CA44" s="890"/>
      <c r="CB44" s="890"/>
      <c r="CC44" s="890"/>
      <c r="CD44" s="890"/>
      <c r="CE44" s="890"/>
      <c r="CF44" s="890"/>
      <c r="CG44" s="890"/>
      <c r="CH44" s="890"/>
      <c r="CI44" s="890"/>
      <c r="CJ44" s="890"/>
      <c r="CK44" s="890"/>
      <c r="CL44" s="890"/>
      <c r="CM44" s="890"/>
      <c r="CN44" s="890"/>
      <c r="CO44" s="890"/>
      <c r="CP44" s="890"/>
    </row>
    <row r="45" spans="1:94">
      <c r="A45" s="890"/>
      <c r="B45" s="890"/>
      <c r="C45" s="1712"/>
      <c r="D45" s="890"/>
      <c r="E45" s="1700"/>
      <c r="F45" s="1337"/>
      <c r="G45" s="1337"/>
      <c r="H45" s="1701"/>
      <c r="I45" s="1713"/>
      <c r="J45" s="1700"/>
      <c r="K45" s="1337"/>
      <c r="L45" s="1337"/>
      <c r="M45" s="1701"/>
      <c r="N45" s="1714"/>
      <c r="O45" s="1700"/>
      <c r="P45" s="1337"/>
      <c r="Q45" s="1337"/>
      <c r="R45" s="1701"/>
      <c r="S45" s="1714"/>
      <c r="T45" s="1700"/>
      <c r="U45" s="1337"/>
      <c r="V45" s="1337"/>
      <c r="W45" s="1701"/>
      <c r="X45" s="1714"/>
      <c r="Y45" s="1700"/>
      <c r="Z45" s="1337"/>
      <c r="AA45" s="1337"/>
      <c r="AB45" s="1701"/>
      <c r="AC45" s="1714"/>
      <c r="AD45" s="1700"/>
      <c r="AE45" s="1337"/>
      <c r="AF45" s="1337"/>
      <c r="AG45" s="1701"/>
      <c r="AH45" s="1714"/>
      <c r="AI45" s="1700"/>
      <c r="AJ45" s="1337"/>
      <c r="AK45" s="1337"/>
      <c r="AL45" s="1701"/>
      <c r="AM45" s="1714"/>
      <c r="AN45" s="1700"/>
      <c r="AO45" s="1337"/>
      <c r="AP45" s="1337"/>
      <c r="AQ45" s="1701"/>
      <c r="AR45" s="1714"/>
      <c r="AS45" s="1700"/>
      <c r="AT45" s="1337"/>
      <c r="AU45" s="1337"/>
      <c r="AV45" s="1701"/>
      <c r="AW45" s="1714"/>
      <c r="AX45" s="1700"/>
      <c r="AY45" s="1337"/>
      <c r="AZ45" s="1337"/>
      <c r="BA45" s="1701"/>
      <c r="BB45" s="1714"/>
      <c r="BC45" s="1700"/>
      <c r="BD45" s="1337"/>
      <c r="BE45" s="1337"/>
      <c r="BF45" s="1701"/>
      <c r="BG45" s="1714"/>
      <c r="BH45" s="1700"/>
      <c r="BI45" s="1337"/>
      <c r="BJ45" s="1337"/>
      <c r="BK45" s="1701"/>
      <c r="BL45" s="2033"/>
      <c r="BM45" s="890"/>
      <c r="BN45" s="890"/>
      <c r="BO45" s="890"/>
      <c r="BP45" s="890"/>
      <c r="BQ45" s="890"/>
      <c r="BR45" s="890"/>
      <c r="BS45" s="890"/>
      <c r="BT45" s="890"/>
      <c r="BU45" s="890"/>
      <c r="BV45" s="890"/>
      <c r="BW45" s="890"/>
      <c r="BX45" s="890"/>
      <c r="BY45" s="890"/>
      <c r="BZ45" s="890"/>
      <c r="CA45" s="890"/>
      <c r="CB45" s="890"/>
      <c r="CC45" s="890"/>
      <c r="CD45" s="890"/>
      <c r="CE45" s="890"/>
      <c r="CF45" s="890"/>
      <c r="CG45" s="890"/>
      <c r="CH45" s="890"/>
      <c r="CI45" s="890"/>
      <c r="CJ45" s="890"/>
      <c r="CK45" s="890"/>
      <c r="CL45" s="890"/>
      <c r="CM45" s="890"/>
      <c r="CN45" s="890"/>
      <c r="CO45" s="890"/>
      <c r="CP45" s="890"/>
    </row>
    <row r="46" spans="1:94">
      <c r="A46" s="1716"/>
      <c r="B46" s="1716"/>
      <c r="C46" s="679" t="s">
        <v>704</v>
      </c>
      <c r="D46" s="1716"/>
      <c r="E46" s="1717"/>
      <c r="F46" s="1718"/>
      <c r="G46" s="1718"/>
      <c r="H46" s="1719"/>
      <c r="I46" s="1716"/>
      <c r="J46" s="616"/>
      <c r="K46" s="617"/>
      <c r="L46" s="617"/>
      <c r="M46" s="656"/>
      <c r="N46" s="1720"/>
      <c r="O46" s="616"/>
      <c r="P46" s="617"/>
      <c r="Q46" s="617"/>
      <c r="R46" s="656"/>
      <c r="S46" s="1720"/>
      <c r="T46" s="1721"/>
      <c r="U46" s="1722"/>
      <c r="V46" s="1722"/>
      <c r="W46" s="656"/>
      <c r="X46" s="1720"/>
      <c r="Y46" s="1721"/>
      <c r="Z46" s="1722"/>
      <c r="AA46" s="1722"/>
      <c r="AB46" s="656"/>
      <c r="AC46" s="2059"/>
      <c r="AD46" s="1721"/>
      <c r="AE46" s="1722"/>
      <c r="AF46" s="1722"/>
      <c r="AG46" s="656"/>
      <c r="AH46" s="2059"/>
      <c r="AI46" s="1721"/>
      <c r="AJ46" s="1722"/>
      <c r="AK46" s="1722"/>
      <c r="AL46" s="656"/>
      <c r="AM46" s="2059"/>
      <c r="AN46" s="1721"/>
      <c r="AO46" s="617"/>
      <c r="AP46" s="617"/>
      <c r="AQ46" s="656"/>
      <c r="AR46" s="2059"/>
      <c r="AS46" s="616">
        <f>(AW46/4)</f>
        <v>-7.5</v>
      </c>
      <c r="AT46" s="617">
        <f>(AW46/4)</f>
        <v>-7.5</v>
      </c>
      <c r="AU46" s="617">
        <f>(AW46/4)</f>
        <v>-7.5</v>
      </c>
      <c r="AV46" s="656">
        <f>AW46/4</f>
        <v>-7.5</v>
      </c>
      <c r="AW46" s="1720">
        <v>-30</v>
      </c>
      <c r="AX46" s="616">
        <v>0</v>
      </c>
      <c r="AY46" s="617">
        <v>0</v>
      </c>
      <c r="AZ46" s="617">
        <f>BB46/4</f>
        <v>6.25</v>
      </c>
      <c r="BA46" s="656">
        <f>BB46/4</f>
        <v>6.25</v>
      </c>
      <c r="BB46" s="1720">
        <v>25</v>
      </c>
      <c r="BC46" s="616">
        <f>BB46/4</f>
        <v>6.25</v>
      </c>
      <c r="BD46" s="617">
        <f>BB46/4</f>
        <v>6.25</v>
      </c>
      <c r="BE46" s="617">
        <f>BG46/4</f>
        <v>0</v>
      </c>
      <c r="BF46" s="656">
        <f>BG46/4</f>
        <v>0</v>
      </c>
      <c r="BG46" s="2059">
        <v>0</v>
      </c>
      <c r="BH46" s="616">
        <f>BG46/4</f>
        <v>0</v>
      </c>
      <c r="BI46" s="617">
        <f>BG46/4</f>
        <v>0</v>
      </c>
      <c r="BJ46" s="617">
        <f>BL46/4</f>
        <v>0</v>
      </c>
      <c r="BK46" s="656">
        <f>BL46/4</f>
        <v>0</v>
      </c>
      <c r="BL46" s="2284">
        <f>+BG46</f>
        <v>0</v>
      </c>
      <c r="BM46" s="1942"/>
      <c r="BN46" s="1716"/>
      <c r="BO46" s="1716"/>
      <c r="BP46" s="1716"/>
      <c r="BQ46" s="1716"/>
      <c r="BR46" s="1716"/>
      <c r="BS46" s="1716"/>
      <c r="BT46" s="1716"/>
      <c r="BU46" s="1716"/>
      <c r="BV46" s="1716"/>
      <c r="BW46" s="1716"/>
      <c r="BX46" s="1716"/>
      <c r="BY46" s="1716"/>
      <c r="BZ46" s="1716"/>
      <c r="CA46" s="1716"/>
      <c r="CB46" s="1716"/>
      <c r="CC46" s="1716"/>
      <c r="CD46" s="1716"/>
      <c r="CE46" s="1716"/>
      <c r="CF46" s="1716"/>
      <c r="CG46" s="1716"/>
      <c r="CH46" s="1716"/>
      <c r="CI46" s="1716"/>
      <c r="CJ46" s="1716"/>
      <c r="CK46" s="1716"/>
      <c r="CL46" s="1716"/>
      <c r="CM46" s="1716"/>
      <c r="CN46" s="1716"/>
      <c r="CO46" s="1716"/>
      <c r="CP46" s="1716"/>
    </row>
    <row r="47" spans="1:94">
      <c r="A47" s="1716"/>
      <c r="B47" s="1716"/>
      <c r="C47" s="679" t="s">
        <v>764</v>
      </c>
      <c r="D47" s="1716"/>
      <c r="E47" s="1717"/>
      <c r="F47" s="1718"/>
      <c r="G47" s="1718"/>
      <c r="H47" s="1719"/>
      <c r="I47" s="1716"/>
      <c r="J47" s="616"/>
      <c r="K47" s="617"/>
      <c r="L47" s="617"/>
      <c r="M47" s="656"/>
      <c r="N47" s="1720"/>
      <c r="O47" s="616"/>
      <c r="P47" s="617"/>
      <c r="Q47" s="617"/>
      <c r="R47" s="656"/>
      <c r="S47" s="1720"/>
      <c r="T47" s="616"/>
      <c r="U47" s="617"/>
      <c r="V47" s="617"/>
      <c r="W47" s="656"/>
      <c r="X47" s="1720"/>
      <c r="Y47" s="616"/>
      <c r="Z47" s="617"/>
      <c r="AA47" s="617"/>
      <c r="AB47" s="656"/>
      <c r="AC47" s="1720"/>
      <c r="AD47" s="616"/>
      <c r="AE47" s="617"/>
      <c r="AF47" s="617"/>
      <c r="AG47" s="656"/>
      <c r="AH47" s="2059"/>
      <c r="AI47" s="616"/>
      <c r="AJ47" s="617"/>
      <c r="AK47" s="617"/>
      <c r="AL47" s="656"/>
      <c r="AM47" s="2059"/>
      <c r="AN47" s="616"/>
      <c r="AO47" s="617"/>
      <c r="AP47" s="617"/>
      <c r="AQ47" s="656"/>
      <c r="AR47" s="2059"/>
      <c r="AS47" s="616">
        <f>(AS130-AN130)+(AS109-AN109)</f>
        <v>-1.6587719298245618</v>
      </c>
      <c r="AT47" s="617">
        <f>(AT130-AO130)+(AT109-AO109)</f>
        <v>-1.6587719298245618</v>
      </c>
      <c r="AU47" s="617">
        <f>(AU130-AP130)+(AU109-AP109)</f>
        <v>-1.6044122807017547</v>
      </c>
      <c r="AV47" s="656">
        <f>(AV130-AQ130)+(AV109-AQ109)</f>
        <v>-1.6044122807017547</v>
      </c>
      <c r="AW47" s="657">
        <f>SUM(AS47:AV47)</f>
        <v>-6.5263684210526325</v>
      </c>
      <c r="AX47" s="616">
        <f>(AX130-AS130)+(AX109-AS109)</f>
        <v>-3.6712872807017543</v>
      </c>
      <c r="AY47" s="617">
        <f>(AY130-AT130)+(AY109-AT109)</f>
        <v>-3.6712872807017543</v>
      </c>
      <c r="AZ47" s="617">
        <f>(AZ130-AU130)+(AZ109-AU109)</f>
        <v>-3.4946184210526314</v>
      </c>
      <c r="BA47" s="656">
        <f>(BA130-AV130)+(BA109-AV109)</f>
        <v>-3.4946184210526314</v>
      </c>
      <c r="BB47" s="657">
        <f>SUM(AX47:BA47)</f>
        <v>-14.331811403508771</v>
      </c>
      <c r="BC47" s="616">
        <f>(BC130-AX130)+(BC109-AX109)</f>
        <v>0.25538157894736846</v>
      </c>
      <c r="BD47" s="617">
        <f>(BD130-AY130)+(BD109-AY109)</f>
        <v>0.25538157894736846</v>
      </c>
      <c r="BE47" s="617">
        <f>(BE130-AZ130)+(BE109-AZ109)</f>
        <v>0.22820175438596491</v>
      </c>
      <c r="BF47" s="656">
        <f>(BF130-BA130)+(BF109-BA109)</f>
        <v>0.22820175438596496</v>
      </c>
      <c r="BG47" s="657">
        <f>SUM(BC47:BF47)</f>
        <v>0.96716666666666673</v>
      </c>
      <c r="BH47" s="616">
        <f>(BH130-BC130)+(BH109-BC109)</f>
        <v>-5.2717982456140353</v>
      </c>
      <c r="BI47" s="617">
        <f>(BI130-BD130)+(BI109-BD109)</f>
        <v>-5.2717982456140353</v>
      </c>
      <c r="BJ47" s="617">
        <f>(BJ130-BE130)+(BJ109-BE109)</f>
        <v>-5</v>
      </c>
      <c r="BK47" s="656">
        <f>(BK130-BF130)+(BK109-BF109)</f>
        <v>-5</v>
      </c>
      <c r="BL47" s="2188">
        <f>SUM(BH47:BK47)</f>
        <v>-20.543596491228072</v>
      </c>
      <c r="BM47" s="1942"/>
      <c r="BN47" s="1716"/>
      <c r="BO47" s="1716"/>
      <c r="BP47" s="1716"/>
      <c r="BQ47" s="1716"/>
      <c r="BR47" s="1716"/>
      <c r="BS47" s="1716"/>
      <c r="BT47" s="1716"/>
      <c r="BU47" s="1716"/>
      <c r="BV47" s="1716"/>
      <c r="BW47" s="1716"/>
      <c r="BX47" s="1716"/>
      <c r="BY47" s="1716"/>
      <c r="BZ47" s="1716"/>
      <c r="CA47" s="1716"/>
      <c r="CB47" s="1716"/>
      <c r="CC47" s="1716"/>
      <c r="CD47" s="1716"/>
      <c r="CE47" s="1716"/>
      <c r="CF47" s="1716"/>
      <c r="CG47" s="1716"/>
      <c r="CH47" s="1716"/>
      <c r="CI47" s="1716"/>
      <c r="CJ47" s="1716"/>
      <c r="CK47" s="1716"/>
      <c r="CL47" s="1716"/>
      <c r="CM47" s="1716"/>
      <c r="CN47" s="1716"/>
      <c r="CO47" s="1716"/>
      <c r="CP47" s="1716"/>
    </row>
    <row r="48" spans="1:94">
      <c r="A48" s="1716"/>
      <c r="B48" s="1716"/>
      <c r="C48" s="679" t="s">
        <v>730</v>
      </c>
      <c r="D48" s="1716"/>
      <c r="E48" s="1717"/>
      <c r="F48" s="1718"/>
      <c r="G48" s="1718"/>
      <c r="H48" s="1719"/>
      <c r="I48" s="1716"/>
      <c r="J48" s="616"/>
      <c r="K48" s="617"/>
      <c r="L48" s="617"/>
      <c r="M48" s="656"/>
      <c r="N48" s="1720"/>
      <c r="O48" s="616"/>
      <c r="P48" s="617"/>
      <c r="Q48" s="617"/>
      <c r="R48" s="656"/>
      <c r="S48" s="1720"/>
      <c r="T48" s="616"/>
      <c r="U48" s="617"/>
      <c r="V48" s="617"/>
      <c r="W48" s="656"/>
      <c r="X48" s="1720"/>
      <c r="Y48" s="616"/>
      <c r="Z48" s="617"/>
      <c r="AA48" s="617"/>
      <c r="AB48" s="656"/>
      <c r="AC48" s="1720"/>
      <c r="AD48" s="616"/>
      <c r="AE48" s="617"/>
      <c r="AF48" s="617"/>
      <c r="AG48" s="656"/>
      <c r="AH48" s="2059"/>
      <c r="AI48" s="616"/>
      <c r="AJ48" s="617"/>
      <c r="AK48" s="617"/>
      <c r="AL48" s="656"/>
      <c r="AM48" s="2059"/>
      <c r="AN48" s="616"/>
      <c r="AO48" s="617"/>
      <c r="AP48" s="617"/>
      <c r="AQ48" s="656"/>
      <c r="AR48" s="2059"/>
      <c r="AS48" s="616">
        <f>AW48*0.23</f>
        <v>4.673607278481013</v>
      </c>
      <c r="AT48" s="617">
        <f>AW48*0.24</f>
        <v>4.8768075949367091</v>
      </c>
      <c r="AU48" s="617">
        <f>AW48*0.3</f>
        <v>6.096009493670886</v>
      </c>
      <c r="AV48" s="656">
        <f>AW48*0.23</f>
        <v>4.673607278481013</v>
      </c>
      <c r="AW48" s="1720">
        <f>((AW$115-25%*AR13)*49%*10.5%)/(1-AW53)+5%*(AW$115-25%*AR13)+2.5%*AW$115</f>
        <v>20.320031645569621</v>
      </c>
      <c r="AX48" s="616">
        <f>BB48*0.23</f>
        <v>3.1628024966849964</v>
      </c>
      <c r="AY48" s="617">
        <f>BB48*0.24</f>
        <v>3.3003156487147782</v>
      </c>
      <c r="AZ48" s="617">
        <f>BB48*0.3</f>
        <v>4.125394560893473</v>
      </c>
      <c r="BA48" s="656">
        <f>BB48*0.23</f>
        <v>3.1628024966849964</v>
      </c>
      <c r="BB48" s="1720">
        <f>((BB$115-25%*AW13)*49%*10.5%)/(1-BB53)+5%*(BB$115-25%*AW13)+2.5%*BB$115</f>
        <v>13.751315202978244</v>
      </c>
      <c r="BC48" s="616">
        <f>BG48*0.23</f>
        <v>3.1896292107416309</v>
      </c>
      <c r="BD48" s="617">
        <f>BG48*0.24</f>
        <v>3.3283087416434407</v>
      </c>
      <c r="BE48" s="617">
        <f>BG48*0.3</f>
        <v>4.1603859270543007</v>
      </c>
      <c r="BF48" s="656">
        <f>BG48*0.23</f>
        <v>3.1896292107416309</v>
      </c>
      <c r="BG48" s="2059">
        <f>((BG$115-25%*BB13)*49%*10.5%)/(1-BG53)+5%*(BG$115-25%*BB13)+2.5%*BG$115</f>
        <v>13.867953090181004</v>
      </c>
      <c r="BH48" s="616">
        <f>BL48*0.23</f>
        <v>1.5148505115060775</v>
      </c>
      <c r="BI48" s="617">
        <f>BL48*0.24</f>
        <v>1.5807135772237331</v>
      </c>
      <c r="BJ48" s="617">
        <f>BL48*0.3</f>
        <v>1.9758919715296663</v>
      </c>
      <c r="BK48" s="656">
        <f>BL48*0.23</f>
        <v>1.5148505115060775</v>
      </c>
      <c r="BL48" s="2284">
        <f>((BL$115-25%*BG13)*49%*10.5%)/(1-BL53)+5%*(BL$115-25%*BG13)+2.5%*BL$115</f>
        <v>6.5863065717655545</v>
      </c>
      <c r="BM48" s="890"/>
      <c r="BN48" s="1723">
        <v>0.105</v>
      </c>
      <c r="BO48" s="1716"/>
      <c r="BP48" s="1716"/>
      <c r="BQ48" s="1716"/>
      <c r="BR48" s="1716"/>
      <c r="BS48" s="1716"/>
      <c r="BT48" s="1716"/>
      <c r="BU48" s="1716"/>
      <c r="BV48" s="1716"/>
      <c r="BW48" s="1716"/>
      <c r="BX48" s="1716"/>
      <c r="BY48" s="1716"/>
      <c r="BZ48" s="1716"/>
      <c r="CA48" s="1716"/>
      <c r="CB48" s="1716"/>
      <c r="CC48" s="1716"/>
      <c r="CD48" s="1716"/>
      <c r="CE48" s="1716"/>
      <c r="CF48" s="1716"/>
      <c r="CG48" s="1716"/>
      <c r="CH48" s="1716"/>
      <c r="CI48" s="1716"/>
      <c r="CJ48" s="1716"/>
      <c r="CK48" s="1716"/>
      <c r="CL48" s="1716"/>
      <c r="CM48" s="1716"/>
      <c r="CN48" s="1716"/>
      <c r="CO48" s="1716"/>
      <c r="CP48" s="1716"/>
    </row>
    <row r="49" spans="1:94">
      <c r="A49" s="890"/>
      <c r="B49" s="890"/>
      <c r="C49" s="618"/>
      <c r="D49" s="890"/>
      <c r="E49" s="891"/>
      <c r="F49" s="892"/>
      <c r="G49" s="892"/>
      <c r="H49" s="893"/>
      <c r="I49" s="894"/>
      <c r="J49" s="891"/>
      <c r="K49" s="892"/>
      <c r="L49" s="892"/>
      <c r="M49" s="893"/>
      <c r="N49" s="894"/>
      <c r="O49" s="891"/>
      <c r="P49" s="892"/>
      <c r="Q49" s="892"/>
      <c r="R49" s="893"/>
      <c r="S49" s="894"/>
      <c r="T49" s="891"/>
      <c r="U49" s="892"/>
      <c r="V49" s="892"/>
      <c r="W49" s="893"/>
      <c r="X49" s="894"/>
      <c r="Y49" s="891"/>
      <c r="Z49" s="892"/>
      <c r="AA49" s="892"/>
      <c r="AB49" s="893"/>
      <c r="AC49" s="894"/>
      <c r="AD49" s="891"/>
      <c r="AE49" s="892"/>
      <c r="AF49" s="892"/>
      <c r="AG49" s="893"/>
      <c r="AH49" s="894"/>
      <c r="AI49" s="891"/>
      <c r="AJ49" s="892"/>
      <c r="AK49" s="892"/>
      <c r="AL49" s="893"/>
      <c r="AM49" s="894"/>
      <c r="AN49" s="891"/>
      <c r="AO49" s="892"/>
      <c r="AP49" s="892"/>
      <c r="AQ49" s="893"/>
      <c r="AR49" s="894"/>
      <c r="AS49" s="891"/>
      <c r="AT49" s="892"/>
      <c r="AU49" s="892"/>
      <c r="AV49" s="893"/>
      <c r="AW49" s="894"/>
      <c r="AX49" s="891"/>
      <c r="AY49" s="892"/>
      <c r="AZ49" s="892"/>
      <c r="BA49" s="893"/>
      <c r="BB49" s="894"/>
      <c r="BC49" s="891"/>
      <c r="BD49" s="892"/>
      <c r="BE49" s="892"/>
      <c r="BF49" s="893"/>
      <c r="BG49" s="894"/>
      <c r="BH49" s="891"/>
      <c r="BI49" s="892"/>
      <c r="BJ49" s="892"/>
      <c r="BK49" s="893"/>
      <c r="BL49" s="2034"/>
      <c r="BM49" s="890"/>
      <c r="BN49" s="890"/>
      <c r="BO49" s="890"/>
      <c r="BP49" s="890"/>
      <c r="BQ49" s="890"/>
      <c r="BR49" s="890"/>
      <c r="BS49" s="890"/>
      <c r="BT49" s="890"/>
      <c r="BU49" s="890"/>
      <c r="BV49" s="890"/>
      <c r="BW49" s="890"/>
      <c r="BX49" s="890"/>
      <c r="BY49" s="890"/>
      <c r="BZ49" s="890"/>
      <c r="CA49" s="890"/>
      <c r="CB49" s="890"/>
      <c r="CC49" s="890"/>
      <c r="CD49" s="890"/>
      <c r="CE49" s="890"/>
      <c r="CF49" s="890"/>
      <c r="CG49" s="890"/>
      <c r="CH49" s="890"/>
      <c r="CI49" s="890"/>
      <c r="CJ49" s="890"/>
      <c r="CK49" s="890"/>
      <c r="CL49" s="890"/>
      <c r="CM49" s="890"/>
      <c r="CN49" s="890"/>
      <c r="CO49" s="890"/>
      <c r="CP49" s="890"/>
    </row>
    <row r="50" spans="1:94">
      <c r="A50" s="890"/>
      <c r="B50" s="890"/>
      <c r="C50" s="565" t="s">
        <v>125</v>
      </c>
      <c r="D50" s="890"/>
      <c r="E50" s="1700"/>
      <c r="F50" s="1337"/>
      <c r="G50" s="1337"/>
      <c r="H50" s="1701"/>
      <c r="I50" s="1713"/>
      <c r="J50" s="1700"/>
      <c r="K50" s="1337"/>
      <c r="L50" s="1337"/>
      <c r="M50" s="1701"/>
      <c r="N50" s="1713">
        <f t="shared" ref="N50:S50" si="79">+N88</f>
        <v>0.10784313725490202</v>
      </c>
      <c r="O50" s="1700">
        <f t="shared" si="79"/>
        <v>1.8181818181818077E-2</v>
      </c>
      <c r="P50" s="1337">
        <f t="shared" si="79"/>
        <v>9.8039215686274606E-2</v>
      </c>
      <c r="Q50" s="1337">
        <f t="shared" si="79"/>
        <v>8.1967213114754189E-2</v>
      </c>
      <c r="R50" s="1701">
        <f t="shared" si="79"/>
        <v>3.3898305084745672E-2</v>
      </c>
      <c r="S50" s="1713">
        <f t="shared" si="79"/>
        <v>5.7522123893805288E-2</v>
      </c>
      <c r="T50" s="1700">
        <f t="shared" ref="T50:Z50" si="80">+T88</f>
        <v>8.9285714285714191E-2</v>
      </c>
      <c r="U50" s="1337">
        <f t="shared" si="80"/>
        <v>3.5714285714285809E-2</v>
      </c>
      <c r="V50" s="1337">
        <f t="shared" si="80"/>
        <v>-0.12121212121212122</v>
      </c>
      <c r="W50" s="1701">
        <f t="shared" si="80"/>
        <v>-0.13114754098360659</v>
      </c>
      <c r="X50" s="1713">
        <f t="shared" si="80"/>
        <v>-3.7656903765690419E-2</v>
      </c>
      <c r="Y50" s="1700">
        <f t="shared" si="80"/>
        <v>0</v>
      </c>
      <c r="Z50" s="1337">
        <f t="shared" si="80"/>
        <v>-0.10344827586206895</v>
      </c>
      <c r="AA50" s="1337">
        <f t="shared" ref="AA50:AE50" si="81">+AA88</f>
        <v>0.1206896551724137</v>
      </c>
      <c r="AB50" s="1701">
        <f t="shared" si="81"/>
        <v>0.28301886792452824</v>
      </c>
      <c r="AC50" s="1713">
        <f t="shared" si="81"/>
        <v>6.956521739130439E-2</v>
      </c>
      <c r="AD50" s="1700">
        <f t="shared" si="81"/>
        <v>0.14754098360655732</v>
      </c>
      <c r="AE50" s="1337">
        <f t="shared" si="81"/>
        <v>0.28846153846153855</v>
      </c>
      <c r="AF50" s="1337">
        <f t="shared" ref="AF50:AJ50" si="82">+AF88</f>
        <v>0.10769230769230775</v>
      </c>
      <c r="AG50" s="1701">
        <f t="shared" si="82"/>
        <v>-7.3529411764705843E-2</v>
      </c>
      <c r="AH50" s="1713">
        <f t="shared" si="82"/>
        <v>0.10569105691056913</v>
      </c>
      <c r="AI50" s="1700">
        <f t="shared" si="82"/>
        <v>2.0285714285714285</v>
      </c>
      <c r="AJ50" s="1337">
        <f t="shared" si="82"/>
        <v>1.4925373134328401E-2</v>
      </c>
      <c r="AK50" s="1337">
        <f t="shared" ref="AK50:AO50" si="83">+AK88</f>
        <v>-6.944444444444442E-2</v>
      </c>
      <c r="AL50" s="1701">
        <f t="shared" si="83"/>
        <v>0.28571428571428581</v>
      </c>
      <c r="AM50" s="1713">
        <f t="shared" si="83"/>
        <v>0.57352941176470584</v>
      </c>
      <c r="AN50" s="1700">
        <f t="shared" si="83"/>
        <v>-0.64150943396226423</v>
      </c>
      <c r="AO50" s="1337">
        <f t="shared" si="83"/>
        <v>0.14705882352941169</v>
      </c>
      <c r="AP50" s="1337">
        <f t="shared" ref="AP50:AR50" si="84">+AP88</f>
        <v>7.4626865671641784E-2</v>
      </c>
      <c r="AQ50" s="1701">
        <f t="shared" si="84"/>
        <v>0</v>
      </c>
      <c r="AR50" s="1713">
        <f t="shared" si="84"/>
        <v>-0.28271028037383172</v>
      </c>
      <c r="AS50" s="1700">
        <f t="shared" ref="AS50:AV51" si="85">+AT50</f>
        <v>-0.05</v>
      </c>
      <c r="AT50" s="1337">
        <f t="shared" si="85"/>
        <v>-0.05</v>
      </c>
      <c r="AU50" s="1337">
        <f t="shared" si="85"/>
        <v>-0.05</v>
      </c>
      <c r="AV50" s="1701">
        <f t="shared" si="85"/>
        <v>-0.05</v>
      </c>
      <c r="AW50" s="1714">
        <v>-0.05</v>
      </c>
      <c r="AX50" s="1700">
        <f t="shared" ref="AX50:AX51" si="86">+AY50</f>
        <v>-0.01</v>
      </c>
      <c r="AY50" s="1337">
        <f t="shared" ref="AY50:AY51" si="87">+AZ50</f>
        <v>-0.01</v>
      </c>
      <c r="AZ50" s="1337">
        <f t="shared" ref="AZ50:AZ51" si="88">+BA50</f>
        <v>-0.01</v>
      </c>
      <c r="BA50" s="1701">
        <f t="shared" ref="BA50:BA51" si="89">+BB50</f>
        <v>-0.01</v>
      </c>
      <c r="BB50" s="1714">
        <v>-0.01</v>
      </c>
      <c r="BC50" s="1700">
        <f t="shared" ref="BC50:BC51" si="90">+BD50</f>
        <v>-3.5000000000000003E-2</v>
      </c>
      <c r="BD50" s="1337">
        <f t="shared" ref="BD50:BD51" si="91">+BE50</f>
        <v>-3.5000000000000003E-2</v>
      </c>
      <c r="BE50" s="1337">
        <f t="shared" ref="BE50:BE51" si="92">+BF50</f>
        <v>-3.5000000000000003E-2</v>
      </c>
      <c r="BF50" s="1701">
        <f t="shared" ref="BF50:BF51" si="93">+BG50</f>
        <v>-3.5000000000000003E-2</v>
      </c>
      <c r="BG50" s="1714">
        <v>-3.5000000000000003E-2</v>
      </c>
      <c r="BH50" s="1700">
        <f t="shared" ref="BH50:BH51" si="94">+BI50</f>
        <v>-0.06</v>
      </c>
      <c r="BI50" s="1337">
        <f t="shared" ref="BI50:BI51" si="95">+BJ50</f>
        <v>-0.06</v>
      </c>
      <c r="BJ50" s="1337">
        <f t="shared" ref="BJ50:BJ51" si="96">+BK50</f>
        <v>-0.06</v>
      </c>
      <c r="BK50" s="1701">
        <f t="shared" ref="BK50:BK51" si="97">+BL50</f>
        <v>-0.06</v>
      </c>
      <c r="BL50" s="2283">
        <v>-0.06</v>
      </c>
      <c r="BM50" s="890"/>
      <c r="BN50" s="890"/>
      <c r="BO50" s="890"/>
      <c r="BP50" s="890"/>
      <c r="BQ50" s="890"/>
      <c r="BR50" s="890"/>
      <c r="BS50" s="890"/>
      <c r="BT50" s="890"/>
      <c r="BU50" s="890"/>
      <c r="BV50" s="890"/>
      <c r="BW50" s="890"/>
      <c r="BX50" s="890"/>
      <c r="BY50" s="890"/>
      <c r="BZ50" s="890"/>
      <c r="CA50" s="890"/>
      <c r="CB50" s="890"/>
      <c r="CC50" s="890"/>
      <c r="CD50" s="890"/>
      <c r="CE50" s="890"/>
      <c r="CF50" s="890"/>
      <c r="CG50" s="890"/>
      <c r="CH50" s="890"/>
      <c r="CI50" s="890"/>
      <c r="CJ50" s="890"/>
      <c r="CK50" s="890"/>
      <c r="CL50" s="890"/>
      <c r="CM50" s="890"/>
      <c r="CN50" s="890"/>
      <c r="CO50" s="890"/>
      <c r="CP50" s="890"/>
    </row>
    <row r="51" spans="1:94">
      <c r="A51" s="890"/>
      <c r="B51" s="890"/>
      <c r="C51" s="565" t="s">
        <v>126</v>
      </c>
      <c r="D51" s="890"/>
      <c r="E51" s="1700"/>
      <c r="F51" s="1337"/>
      <c r="G51" s="1337"/>
      <c r="H51" s="1701"/>
      <c r="I51" s="1713"/>
      <c r="J51" s="1700"/>
      <c r="K51" s="1337"/>
      <c r="L51" s="1337"/>
      <c r="M51" s="1701"/>
      <c r="N51" s="1713">
        <f t="shared" ref="N51:S51" si="98">+N91</f>
        <v>-3.8461538461538436E-2</v>
      </c>
      <c r="O51" s="1700">
        <f t="shared" si="98"/>
        <v>-0.33333333333333337</v>
      </c>
      <c r="P51" s="1337">
        <f t="shared" si="98"/>
        <v>-0.19999999999999996</v>
      </c>
      <c r="Q51" s="1337">
        <f t="shared" si="98"/>
        <v>-0.25</v>
      </c>
      <c r="R51" s="1701">
        <f t="shared" si="98"/>
        <v>-0.33333333333333337</v>
      </c>
      <c r="S51" s="1713">
        <f t="shared" si="98"/>
        <v>-0.28000000000000003</v>
      </c>
      <c r="T51" s="1700">
        <f t="shared" ref="T51:Z51" si="99">+T91</f>
        <v>0</v>
      </c>
      <c r="U51" s="1337">
        <f t="shared" si="99"/>
        <v>-0.5</v>
      </c>
      <c r="V51" s="1337">
        <f t="shared" si="99"/>
        <v>-0.16666666666666663</v>
      </c>
      <c r="W51" s="1701">
        <f t="shared" si="99"/>
        <v>-0.25</v>
      </c>
      <c r="X51" s="1713">
        <f t="shared" si="99"/>
        <v>-0.22222222222222221</v>
      </c>
      <c r="Y51" s="1700">
        <f t="shared" si="99"/>
        <v>-0.75</v>
      </c>
      <c r="Z51" s="1337">
        <f t="shared" si="99"/>
        <v>-0.5</v>
      </c>
      <c r="AA51" s="1337">
        <f t="shared" ref="AA51:AE51" si="100">+AA91</f>
        <v>-0.8</v>
      </c>
      <c r="AB51" s="1701">
        <f t="shared" si="100"/>
        <v>-1.3333333333333333</v>
      </c>
      <c r="AC51" s="1713">
        <f t="shared" si="100"/>
        <v>-0.85714285714285721</v>
      </c>
      <c r="AD51" s="1700">
        <f t="shared" si="100"/>
        <v>0</v>
      </c>
      <c r="AE51" s="1337">
        <f t="shared" si="100"/>
        <v>0</v>
      </c>
      <c r="AF51" s="1337">
        <f t="shared" ref="AF51:AJ51" si="101">+AF91</f>
        <v>0</v>
      </c>
      <c r="AG51" s="1701">
        <f t="shared" si="101"/>
        <v>-3</v>
      </c>
      <c r="AH51" s="1713">
        <f t="shared" si="101"/>
        <v>1.5</v>
      </c>
      <c r="AI51" s="1700">
        <f t="shared" si="101"/>
        <v>1</v>
      </c>
      <c r="AJ51" s="1337">
        <f t="shared" si="101"/>
        <v>1</v>
      </c>
      <c r="AK51" s="1337">
        <f t="shared" ref="AK51:AO51" si="102">+AK91</f>
        <v>0</v>
      </c>
      <c r="AL51" s="1701">
        <f t="shared" si="102"/>
        <v>0</v>
      </c>
      <c r="AM51" s="1713">
        <f t="shared" si="102"/>
        <v>0.39999999999999991</v>
      </c>
      <c r="AN51" s="1700">
        <f t="shared" si="102"/>
        <v>0</v>
      </c>
      <c r="AO51" s="1337">
        <f t="shared" si="102"/>
        <v>0</v>
      </c>
      <c r="AP51" s="1337">
        <f t="shared" ref="AP51:AR51" si="103">+AP91</f>
        <v>1</v>
      </c>
      <c r="AQ51" s="1701">
        <f t="shared" si="103"/>
        <v>-1</v>
      </c>
      <c r="AR51" s="1713">
        <f t="shared" si="103"/>
        <v>-0.1428571428571429</v>
      </c>
      <c r="AS51" s="1700">
        <f t="shared" si="85"/>
        <v>0.03</v>
      </c>
      <c r="AT51" s="1337">
        <f t="shared" si="85"/>
        <v>0.03</v>
      </c>
      <c r="AU51" s="1337">
        <f t="shared" si="85"/>
        <v>0.03</v>
      </c>
      <c r="AV51" s="1701">
        <f t="shared" si="85"/>
        <v>0.03</v>
      </c>
      <c r="AW51" s="1714">
        <v>0.03</v>
      </c>
      <c r="AX51" s="1700">
        <f t="shared" si="86"/>
        <v>0.03</v>
      </c>
      <c r="AY51" s="1337">
        <f t="shared" si="87"/>
        <v>0.03</v>
      </c>
      <c r="AZ51" s="1337">
        <f t="shared" si="88"/>
        <v>0.03</v>
      </c>
      <c r="BA51" s="1701">
        <f t="shared" si="89"/>
        <v>0.03</v>
      </c>
      <c r="BB51" s="1714">
        <v>0.03</v>
      </c>
      <c r="BC51" s="1700">
        <f t="shared" si="90"/>
        <v>0.03</v>
      </c>
      <c r="BD51" s="1337">
        <f t="shared" si="91"/>
        <v>0.03</v>
      </c>
      <c r="BE51" s="1337">
        <f t="shared" si="92"/>
        <v>0.03</v>
      </c>
      <c r="BF51" s="1701">
        <f t="shared" si="93"/>
        <v>0.03</v>
      </c>
      <c r="BG51" s="1714">
        <v>0.03</v>
      </c>
      <c r="BH51" s="1700">
        <f t="shared" si="94"/>
        <v>0.03</v>
      </c>
      <c r="BI51" s="1337">
        <f t="shared" si="95"/>
        <v>0.03</v>
      </c>
      <c r="BJ51" s="1337">
        <f t="shared" si="96"/>
        <v>0.03</v>
      </c>
      <c r="BK51" s="1701">
        <f t="shared" si="97"/>
        <v>0.03</v>
      </c>
      <c r="BL51" s="2283">
        <f>+BG51</f>
        <v>0.03</v>
      </c>
      <c r="BM51" s="890"/>
      <c r="BN51" s="890"/>
      <c r="BO51" s="890"/>
      <c r="BP51" s="890"/>
      <c r="BQ51" s="890"/>
      <c r="BR51" s="890"/>
      <c r="BS51" s="890"/>
      <c r="BT51" s="890"/>
      <c r="BU51" s="890"/>
      <c r="BV51" s="890"/>
      <c r="BW51" s="890"/>
      <c r="BX51" s="890"/>
      <c r="BY51" s="890"/>
      <c r="BZ51" s="890"/>
      <c r="CA51" s="890"/>
      <c r="CB51" s="890"/>
      <c r="CC51" s="890"/>
      <c r="CD51" s="890"/>
      <c r="CE51" s="890"/>
      <c r="CF51" s="890"/>
      <c r="CG51" s="890"/>
      <c r="CH51" s="890"/>
      <c r="CI51" s="890"/>
      <c r="CJ51" s="890"/>
      <c r="CK51" s="890"/>
      <c r="CL51" s="890"/>
      <c r="CM51" s="890"/>
      <c r="CN51" s="890"/>
      <c r="CO51" s="890"/>
      <c r="CP51" s="890"/>
    </row>
    <row r="52" spans="1:94">
      <c r="A52" s="890"/>
      <c r="B52" s="890"/>
      <c r="C52" s="618"/>
      <c r="D52" s="890"/>
      <c r="E52" s="891"/>
      <c r="F52" s="892"/>
      <c r="G52" s="892"/>
      <c r="H52" s="893"/>
      <c r="I52" s="894"/>
      <c r="J52" s="891"/>
      <c r="K52" s="892"/>
      <c r="L52" s="892"/>
      <c r="M52" s="893"/>
      <c r="N52" s="894"/>
      <c r="O52" s="891"/>
      <c r="P52" s="892"/>
      <c r="Q52" s="892"/>
      <c r="R52" s="893"/>
      <c r="S52" s="894"/>
      <c r="T52" s="891"/>
      <c r="U52" s="892"/>
      <c r="V52" s="892"/>
      <c r="W52" s="893"/>
      <c r="X52" s="894"/>
      <c r="Y52" s="891"/>
      <c r="Z52" s="892"/>
      <c r="AA52" s="892"/>
      <c r="AB52" s="893"/>
      <c r="AC52" s="894"/>
      <c r="AD52" s="891"/>
      <c r="AE52" s="892"/>
      <c r="AF52" s="892"/>
      <c r="AG52" s="893"/>
      <c r="AH52" s="894"/>
      <c r="AI52" s="891"/>
      <c r="AJ52" s="892"/>
      <c r="AK52" s="892"/>
      <c r="AL52" s="893"/>
      <c r="AM52" s="894"/>
      <c r="AN52" s="891"/>
      <c r="AO52" s="892"/>
      <c r="AP52" s="892"/>
      <c r="AQ52" s="893"/>
      <c r="AR52" s="894"/>
      <c r="AS52" s="891"/>
      <c r="AT52" s="892"/>
      <c r="AU52" s="892"/>
      <c r="AV52" s="893"/>
      <c r="AW52" s="894"/>
      <c r="AX52" s="891"/>
      <c r="AY52" s="892"/>
      <c r="AZ52" s="892"/>
      <c r="BA52" s="893"/>
      <c r="BB52" s="894"/>
      <c r="BC52" s="891"/>
      <c r="BD52" s="892"/>
      <c r="BE52" s="892"/>
      <c r="BF52" s="893"/>
      <c r="BG52" s="894"/>
      <c r="BH52" s="891"/>
      <c r="BI52" s="892"/>
      <c r="BJ52" s="892"/>
      <c r="BK52" s="893"/>
      <c r="BL52" s="2034"/>
      <c r="BM52" s="890"/>
      <c r="BN52" s="890"/>
      <c r="BO52" s="890"/>
      <c r="BP52" s="890"/>
      <c r="BQ52" s="890"/>
      <c r="BR52" s="890"/>
      <c r="BS52" s="890"/>
      <c r="BT52" s="890"/>
      <c r="BU52" s="890"/>
      <c r="BV52" s="890"/>
      <c r="BW52" s="890"/>
      <c r="BX52" s="890"/>
      <c r="BY52" s="890"/>
      <c r="BZ52" s="890"/>
      <c r="CA52" s="890"/>
      <c r="CB52" s="890"/>
      <c r="CC52" s="890"/>
      <c r="CD52" s="890"/>
      <c r="CE52" s="890"/>
      <c r="CF52" s="890"/>
      <c r="CG52" s="890"/>
      <c r="CH52" s="890"/>
      <c r="CI52" s="890"/>
      <c r="CJ52" s="890"/>
      <c r="CK52" s="890"/>
      <c r="CL52" s="890"/>
      <c r="CM52" s="890"/>
      <c r="CN52" s="890"/>
      <c r="CO52" s="890"/>
      <c r="CP52" s="890"/>
    </row>
    <row r="53" spans="1:94">
      <c r="A53" s="890"/>
      <c r="B53" s="890"/>
      <c r="C53" s="565" t="s">
        <v>229</v>
      </c>
      <c r="D53" s="890"/>
      <c r="E53" s="1700"/>
      <c r="F53" s="1337"/>
      <c r="G53" s="1337"/>
      <c r="H53" s="1701"/>
      <c r="I53" s="1713">
        <f t="shared" ref="I53:S53" si="104">(I30)/(I28-I19)</f>
        <v>0.45263157894736844</v>
      </c>
      <c r="J53" s="1700">
        <f t="shared" si="104"/>
        <v>0.46511627906976744</v>
      </c>
      <c r="K53" s="1337">
        <f t="shared" si="104"/>
        <v>0.44094488188976377</v>
      </c>
      <c r="L53" s="1337">
        <f t="shared" si="104"/>
        <v>0.50370370370370365</v>
      </c>
      <c r="M53" s="1701">
        <f t="shared" si="104"/>
        <v>0.5714285714285714</v>
      </c>
      <c r="N53" s="1713">
        <f t="shared" si="104"/>
        <v>0.46478873239436619</v>
      </c>
      <c r="O53" s="1700">
        <f t="shared" si="104"/>
        <v>-4</v>
      </c>
      <c r="P53" s="1337">
        <f t="shared" si="104"/>
        <v>0.4044943820224719</v>
      </c>
      <c r="Q53" s="1337">
        <f t="shared" si="104"/>
        <v>0.40310077519379844</v>
      </c>
      <c r="R53" s="1701">
        <f t="shared" si="104"/>
        <v>0.63157894736842102</v>
      </c>
      <c r="S53" s="1713">
        <f t="shared" si="104"/>
        <v>0.36</v>
      </c>
      <c r="T53" s="1700">
        <f t="shared" ref="T53:Z53" si="105">(T30)/(T28-T19)</f>
        <v>-0.38709677419354838</v>
      </c>
      <c r="U53" s="1337">
        <f t="shared" si="105"/>
        <v>0.37209302325581395</v>
      </c>
      <c r="V53" s="1337">
        <f t="shared" si="105"/>
        <v>0.3443708609271523</v>
      </c>
      <c r="W53" s="1701">
        <f t="shared" si="105"/>
        <v>0.42553191489361702</v>
      </c>
      <c r="X53" s="1713">
        <f>(X30)/(X28-X19)</f>
        <v>0.27941176470588236</v>
      </c>
      <c r="Y53" s="1700">
        <f t="shared" si="105"/>
        <v>0.38095238095238093</v>
      </c>
      <c r="Z53" s="1337">
        <f t="shared" si="105"/>
        <v>0.41025641025641024</v>
      </c>
      <c r="AA53" s="1337">
        <f t="shared" ref="AA53:AB53" si="106">(AA30)/(AA28-AA19)</f>
        <v>0.38095238095238093</v>
      </c>
      <c r="AB53" s="1701">
        <f t="shared" si="106"/>
        <v>0.41025641025641024</v>
      </c>
      <c r="AC53" s="1713">
        <f>(AC30)/(AC28-AC19)</f>
        <v>0.3888888888888889</v>
      </c>
      <c r="AD53" s="1700">
        <f t="shared" ref="AD53:AG53" si="107">(AD30)/(AD28-AD19)</f>
        <v>0.34782608695652173</v>
      </c>
      <c r="AE53" s="1337">
        <f t="shared" si="107"/>
        <v>0.41791044776119401</v>
      </c>
      <c r="AF53" s="1337">
        <f t="shared" si="107"/>
        <v>0.33734939759036142</v>
      </c>
      <c r="AG53" s="1701">
        <f t="shared" si="107"/>
        <v>0.60606060606060608</v>
      </c>
      <c r="AH53" s="1713">
        <f>(AH30)/(AH28-AH19)</f>
        <v>0.45588235294117646</v>
      </c>
      <c r="AI53" s="1700">
        <f t="shared" ref="AI53:AL53" si="108">(AI30)/(AI28-AI19)</f>
        <v>0.24535315985130113</v>
      </c>
      <c r="AJ53" s="1337">
        <f t="shared" si="108"/>
        <v>0.5714285714285714</v>
      </c>
      <c r="AK53" s="1337">
        <f t="shared" si="108"/>
        <v>0.33576642335766421</v>
      </c>
      <c r="AL53" s="1701">
        <f t="shared" si="108"/>
        <v>0.38095238095238093</v>
      </c>
      <c r="AM53" s="1713">
        <f>(AM30)/(AM28-AM19)</f>
        <v>7.6923076923076927E-2</v>
      </c>
      <c r="AN53" s="1700">
        <f t="shared" ref="AN53:AO53" si="109">(AN30)/(AN28-AN19)</f>
        <v>-1.5238095238095237</v>
      </c>
      <c r="AO53" s="1337">
        <f t="shared" si="109"/>
        <v>0.4</v>
      </c>
      <c r="AP53" s="1337">
        <f t="shared" ref="AP53:AQ53" si="110">(AP30)/(AP28-AP19)</f>
        <v>0.375</v>
      </c>
      <c r="AQ53" s="1701">
        <f t="shared" si="110"/>
        <v>1.1200000000000001</v>
      </c>
      <c r="AR53" s="1713">
        <f>(AR30)/(AR28-AR19)</f>
        <v>0.26804123711340205</v>
      </c>
      <c r="AS53" s="1700">
        <f>+AT53</f>
        <v>0.21</v>
      </c>
      <c r="AT53" s="1337">
        <f>+AU53</f>
        <v>0.21</v>
      </c>
      <c r="AU53" s="1337">
        <f>+AV53</f>
        <v>0.21</v>
      </c>
      <c r="AV53" s="1701">
        <f>+AW53</f>
        <v>0.21</v>
      </c>
      <c r="AW53" s="1714">
        <v>0.21</v>
      </c>
      <c r="AX53" s="1700">
        <f>+AY53</f>
        <v>0.21</v>
      </c>
      <c r="AY53" s="1337">
        <f>+AZ53</f>
        <v>0.21</v>
      </c>
      <c r="AZ53" s="1337">
        <f>+BA53</f>
        <v>0.21</v>
      </c>
      <c r="BA53" s="1701">
        <f>+BB53</f>
        <v>0.21</v>
      </c>
      <c r="BB53" s="1714">
        <v>0.21</v>
      </c>
      <c r="BC53" s="1700">
        <f>+BD53</f>
        <v>0.21</v>
      </c>
      <c r="BD53" s="1337">
        <f>+BE53</f>
        <v>0.21</v>
      </c>
      <c r="BE53" s="1337">
        <f>+BF53</f>
        <v>0.21</v>
      </c>
      <c r="BF53" s="1701">
        <f>+BG53</f>
        <v>0.21</v>
      </c>
      <c r="BG53" s="1714">
        <v>0.21</v>
      </c>
      <c r="BH53" s="1700">
        <f>+BI53</f>
        <v>0.21</v>
      </c>
      <c r="BI53" s="1337">
        <f>+BJ53</f>
        <v>0.21</v>
      </c>
      <c r="BJ53" s="1337">
        <f>+BK53</f>
        <v>0.21</v>
      </c>
      <c r="BK53" s="1701">
        <f>+BL53</f>
        <v>0.21</v>
      </c>
      <c r="BL53" s="2283">
        <v>0.21</v>
      </c>
      <c r="BM53" s="890"/>
      <c r="BN53" s="890"/>
      <c r="BO53" s="890"/>
      <c r="BP53" s="890"/>
      <c r="BQ53" s="890"/>
      <c r="BR53" s="890"/>
      <c r="BS53" s="890"/>
      <c r="BT53" s="890"/>
      <c r="BU53" s="890"/>
      <c r="BV53" s="890"/>
      <c r="BW53" s="890"/>
      <c r="BX53" s="890"/>
      <c r="BY53" s="890"/>
      <c r="BZ53" s="890"/>
      <c r="CA53" s="890"/>
      <c r="CB53" s="890"/>
      <c r="CC53" s="890"/>
      <c r="CD53" s="890"/>
      <c r="CE53" s="890"/>
      <c r="CF53" s="890"/>
      <c r="CG53" s="890"/>
      <c r="CH53" s="890"/>
      <c r="CI53" s="890"/>
      <c r="CJ53" s="890"/>
      <c r="CK53" s="890"/>
      <c r="CL53" s="890"/>
      <c r="CM53" s="890"/>
      <c r="CN53" s="890"/>
      <c r="CO53" s="890"/>
      <c r="CP53" s="890"/>
    </row>
    <row r="54" spans="1:94">
      <c r="A54" s="890"/>
      <c r="B54" s="890"/>
      <c r="C54" s="565" t="s">
        <v>230</v>
      </c>
      <c r="D54" s="890"/>
      <c r="E54" s="1700"/>
      <c r="F54" s="1337"/>
      <c r="G54" s="1337"/>
      <c r="H54" s="1701"/>
      <c r="I54" s="1713">
        <f t="shared" ref="I54:AW54" si="111">I30/I28</f>
        <v>0.44791666666666669</v>
      </c>
      <c r="J54" s="1700">
        <f t="shared" si="111"/>
        <v>0.45454545454545453</v>
      </c>
      <c r="K54" s="1337">
        <f t="shared" si="111"/>
        <v>0.4375</v>
      </c>
      <c r="L54" s="1337">
        <f t="shared" si="111"/>
        <v>0.5</v>
      </c>
      <c r="M54" s="1701">
        <f t="shared" si="111"/>
        <v>0.6</v>
      </c>
      <c r="N54" s="1713">
        <f t="shared" si="111"/>
        <v>0.45833333333333331</v>
      </c>
      <c r="O54" s="1700">
        <f t="shared" si="111"/>
        <v>-1</v>
      </c>
      <c r="P54" s="1337">
        <f t="shared" si="111"/>
        <v>0.39130434782608697</v>
      </c>
      <c r="Q54" s="1337">
        <f t="shared" si="111"/>
        <v>0.39393939393939392</v>
      </c>
      <c r="R54" s="1701">
        <f t="shared" si="111"/>
        <v>0.75</v>
      </c>
      <c r="S54" s="1713">
        <f t="shared" si="111"/>
        <v>0.33962264150943394</v>
      </c>
      <c r="T54" s="1700">
        <f>T30/T28</f>
        <v>-0.375</v>
      </c>
      <c r="U54" s="1337">
        <f t="shared" si="111"/>
        <v>0.36363636363636365</v>
      </c>
      <c r="V54" s="1337">
        <f t="shared" si="111"/>
        <v>0.34210526315789475</v>
      </c>
      <c r="W54" s="1701">
        <f t="shared" si="111"/>
        <v>0.41666666666666669</v>
      </c>
      <c r="X54" s="1713">
        <f t="shared" si="111"/>
        <v>0.27536231884057971</v>
      </c>
      <c r="Y54" s="1700">
        <f>Y30/Y28</f>
        <v>0.375</v>
      </c>
      <c r="Z54" s="1337">
        <f t="shared" si="111"/>
        <v>0.4</v>
      </c>
      <c r="AA54" s="1337">
        <f t="shared" ref="AA54:AC54" si="112">AA30/AA28</f>
        <v>0.3783783783783784</v>
      </c>
      <c r="AB54" s="1701">
        <f t="shared" si="112"/>
        <v>0.4</v>
      </c>
      <c r="AC54" s="1713">
        <f t="shared" si="112"/>
        <v>0.38356164383561642</v>
      </c>
      <c r="AD54" s="1700">
        <f>AD30/AD28</f>
        <v>0.33333333333333331</v>
      </c>
      <c r="AE54" s="1337">
        <f t="shared" ref="AE54:AH54" si="113">AE30/AE28</f>
        <v>0.41176470588235292</v>
      </c>
      <c r="AF54" s="1337">
        <f t="shared" si="113"/>
        <v>0.33333333333333331</v>
      </c>
      <c r="AG54" s="1701">
        <f t="shared" si="113"/>
        <v>0.6</v>
      </c>
      <c r="AH54" s="1713">
        <f t="shared" si="113"/>
        <v>0.44927536231884058</v>
      </c>
      <c r="AI54" s="1700">
        <f>AI30/AI28</f>
        <v>0.24812030075187969</v>
      </c>
      <c r="AJ54" s="1337">
        <f t="shared" ref="AJ54:AM54" si="114">AJ30/AJ28</f>
        <v>0.4</v>
      </c>
      <c r="AK54" s="1337">
        <f t="shared" si="114"/>
        <v>0.32857142857142857</v>
      </c>
      <c r="AL54" s="1701">
        <f t="shared" si="114"/>
        <v>0.33333333333333331</v>
      </c>
      <c r="AM54" s="1713">
        <f t="shared" si="114"/>
        <v>8.6956521739130432E-2</v>
      </c>
      <c r="AN54" s="1700">
        <f>AN30/AN28</f>
        <v>-1.3333333333333333</v>
      </c>
      <c r="AO54" s="1337">
        <f t="shared" ref="AO54:AR54" si="115">AO30/AO28</f>
        <v>0.33333333333333331</v>
      </c>
      <c r="AP54" s="1337">
        <f t="shared" si="115"/>
        <v>0.36923076923076925</v>
      </c>
      <c r="AQ54" s="1701">
        <f t="shared" si="115"/>
        <v>1</v>
      </c>
      <c r="AR54" s="1713">
        <f t="shared" si="115"/>
        <v>0.25242718446601942</v>
      </c>
      <c r="AS54" s="1700">
        <f t="shared" si="111"/>
        <v>0.18693963751123224</v>
      </c>
      <c r="AT54" s="1337">
        <f t="shared" ca="1" si="111"/>
        <v>0.19013444652106773</v>
      </c>
      <c r="AU54" s="1337">
        <f t="shared" ca="1" si="111"/>
        <v>0.20573941482411512</v>
      </c>
      <c r="AV54" s="1701">
        <f t="shared" ca="1" si="111"/>
        <v>0.18564068078045978</v>
      </c>
      <c r="AW54" s="1713">
        <f t="shared" ca="1" si="111"/>
        <v>0.19917351821794171</v>
      </c>
      <c r="AX54" s="1700">
        <f t="shared" ref="AX54:BG54" ca="1" si="116">AX30/AX28</f>
        <v>0.18905681657338888</v>
      </c>
      <c r="AY54" s="1337">
        <f t="shared" ca="1" si="116"/>
        <v>0.19142155406230488</v>
      </c>
      <c r="AZ54" s="1337">
        <f t="shared" ca="1" si="116"/>
        <v>0.20604443569727049</v>
      </c>
      <c r="BA54" s="1701">
        <f t="shared" ca="1" si="116"/>
        <v>0.19386567785632672</v>
      </c>
      <c r="BB54" s="1713">
        <f t="shared" ca="1" si="116"/>
        <v>0.20039297881118892</v>
      </c>
      <c r="BC54" s="1700">
        <f t="shared" ca="1" si="116"/>
        <v>0.19761148419522898</v>
      </c>
      <c r="BD54" s="1337">
        <f t="shared" ca="1" si="116"/>
        <v>0.19873790123979393</v>
      </c>
      <c r="BE54" s="1337">
        <f t="shared" ca="1" si="116"/>
        <v>0.20645761670454932</v>
      </c>
      <c r="BF54" s="1701">
        <f t="shared" ca="1" si="116"/>
        <v>0.19690468983601747</v>
      </c>
      <c r="BG54" s="1713">
        <f t="shared" ca="1" si="116"/>
        <v>0.20242671454220926</v>
      </c>
      <c r="BH54" s="1700">
        <f t="shared" ref="BH54:BL54" ca="1" si="117">BH30/BH28</f>
        <v>0.2005345762058236</v>
      </c>
      <c r="BI54" s="1337">
        <f t="shared" ca="1" si="117"/>
        <v>0.20131992726658368</v>
      </c>
      <c r="BJ54" s="1337">
        <f t="shared" ca="1" si="117"/>
        <v>0.20710521417290753</v>
      </c>
      <c r="BK54" s="1701">
        <f t="shared" ca="1" si="117"/>
        <v>0.20044283616916006</v>
      </c>
      <c r="BL54" s="2035">
        <f t="shared" ca="1" si="117"/>
        <v>0.20403818245765332</v>
      </c>
      <c r="BM54" s="890"/>
      <c r="BN54" s="890"/>
      <c r="BO54" s="890"/>
      <c r="BP54" s="890"/>
      <c r="BQ54" s="890"/>
      <c r="BR54" s="890"/>
      <c r="BS54" s="890"/>
      <c r="BT54" s="890"/>
      <c r="BU54" s="890"/>
      <c r="BV54" s="890"/>
      <c r="BW54" s="890"/>
      <c r="BX54" s="890"/>
      <c r="BY54" s="890"/>
      <c r="BZ54" s="890"/>
      <c r="CA54" s="890"/>
      <c r="CB54" s="890"/>
      <c r="CC54" s="890"/>
      <c r="CD54" s="890"/>
      <c r="CE54" s="890"/>
      <c r="CF54" s="890"/>
      <c r="CG54" s="890"/>
      <c r="CH54" s="890"/>
      <c r="CI54" s="890"/>
      <c r="CJ54" s="890"/>
      <c r="CK54" s="890"/>
      <c r="CL54" s="890"/>
      <c r="CM54" s="890"/>
      <c r="CN54" s="890"/>
      <c r="CO54" s="890"/>
      <c r="CP54" s="890"/>
    </row>
    <row r="55" spans="1:94">
      <c r="A55" s="890"/>
      <c r="B55" s="890"/>
      <c r="C55" s="618"/>
      <c r="D55" s="890"/>
      <c r="E55" s="891"/>
      <c r="F55" s="892"/>
      <c r="G55" s="892"/>
      <c r="H55" s="893"/>
      <c r="I55" s="894"/>
      <c r="J55" s="891"/>
      <c r="K55" s="892"/>
      <c r="L55" s="892"/>
      <c r="M55" s="893"/>
      <c r="N55" s="894"/>
      <c r="O55" s="891"/>
      <c r="P55" s="892"/>
      <c r="Q55" s="892"/>
      <c r="R55" s="893"/>
      <c r="S55" s="894"/>
      <c r="T55" s="891"/>
      <c r="U55" s="892"/>
      <c r="V55" s="892"/>
      <c r="W55" s="893"/>
      <c r="X55" s="894"/>
      <c r="Y55" s="891"/>
      <c r="Z55" s="892"/>
      <c r="AA55" s="892"/>
      <c r="AB55" s="893"/>
      <c r="AC55" s="894"/>
      <c r="AD55" s="891"/>
      <c r="AE55" s="892"/>
      <c r="AF55" s="892"/>
      <c r="AG55" s="893"/>
      <c r="AH55" s="894"/>
      <c r="AI55" s="891"/>
      <c r="AJ55" s="892"/>
      <c r="AK55" s="892"/>
      <c r="AL55" s="893"/>
      <c r="AM55" s="894"/>
      <c r="AN55" s="891"/>
      <c r="AO55" s="892"/>
      <c r="AP55" s="892"/>
      <c r="AQ55" s="893"/>
      <c r="AR55" s="894"/>
      <c r="AS55" s="891"/>
      <c r="AT55" s="892"/>
      <c r="AU55" s="892"/>
      <c r="AV55" s="893"/>
      <c r="AW55" s="894"/>
      <c r="AX55" s="891"/>
      <c r="AY55" s="892"/>
      <c r="AZ55" s="892"/>
      <c r="BA55" s="893"/>
      <c r="BB55" s="894"/>
      <c r="BC55" s="891"/>
      <c r="BD55" s="892"/>
      <c r="BE55" s="892"/>
      <c r="BF55" s="893"/>
      <c r="BG55" s="894"/>
      <c r="BH55" s="891"/>
      <c r="BI55" s="892"/>
      <c r="BJ55" s="892"/>
      <c r="BK55" s="893"/>
      <c r="BL55" s="2034"/>
      <c r="BM55" s="890"/>
      <c r="BN55" s="890"/>
      <c r="BO55" s="890"/>
      <c r="BP55" s="890"/>
      <c r="BQ55" s="890"/>
      <c r="BR55" s="890"/>
      <c r="BS55" s="890"/>
      <c r="BT55" s="890"/>
      <c r="BU55" s="890"/>
      <c r="BV55" s="890"/>
      <c r="BW55" s="890"/>
      <c r="BX55" s="890"/>
      <c r="BY55" s="890"/>
      <c r="BZ55" s="890"/>
      <c r="CA55" s="890"/>
      <c r="CB55" s="890"/>
      <c r="CC55" s="890"/>
      <c r="CD55" s="890"/>
      <c r="CE55" s="890"/>
      <c r="CF55" s="890"/>
      <c r="CG55" s="890"/>
      <c r="CH55" s="890"/>
      <c r="CI55" s="890"/>
      <c r="CJ55" s="890"/>
      <c r="CK55" s="890"/>
      <c r="CL55" s="890"/>
      <c r="CM55" s="890"/>
      <c r="CN55" s="890"/>
      <c r="CO55" s="890"/>
      <c r="CP55" s="890"/>
    </row>
    <row r="56" spans="1:94">
      <c r="A56" s="890"/>
      <c r="B56" s="890"/>
      <c r="C56" s="618" t="s">
        <v>621</v>
      </c>
      <c r="D56" s="890"/>
      <c r="E56" s="1700"/>
      <c r="F56" s="1337"/>
      <c r="G56" s="1337"/>
      <c r="H56" s="1701"/>
      <c r="I56" s="1713">
        <f>+I261</f>
        <v>0.10167348329925018</v>
      </c>
      <c r="J56" s="1700"/>
      <c r="K56" s="1337"/>
      <c r="L56" s="1337"/>
      <c r="M56" s="1701"/>
      <c r="N56" s="1713">
        <f>+N261</f>
        <v>0.10167348329925018</v>
      </c>
      <c r="O56" s="1700"/>
      <c r="P56" s="1337"/>
      <c r="Q56" s="1337"/>
      <c r="R56" s="1701"/>
      <c r="S56" s="1713">
        <f>+S261</f>
        <v>0.10167348329925018</v>
      </c>
      <c r="T56" s="1700"/>
      <c r="U56" s="1337"/>
      <c r="V56" s="1337"/>
      <c r="W56" s="1701"/>
      <c r="X56" s="1713">
        <f>+X261</f>
        <v>0.10167348329925018</v>
      </c>
      <c r="Y56" s="1700"/>
      <c r="Z56" s="1337"/>
      <c r="AA56" s="1337"/>
      <c r="AB56" s="1701"/>
      <c r="AC56" s="1713">
        <f>+AC261</f>
        <v>0.10167348329925018</v>
      </c>
      <c r="AD56" s="1700"/>
      <c r="AE56" s="1337"/>
      <c r="AF56" s="1337"/>
      <c r="AG56" s="1701"/>
      <c r="AH56" s="1713">
        <f>+AH261</f>
        <v>0.10167348329925018</v>
      </c>
      <c r="AI56" s="1700"/>
      <c r="AJ56" s="1337"/>
      <c r="AK56" s="1337"/>
      <c r="AL56" s="1701"/>
      <c r="AM56" s="1713">
        <f>+AM261</f>
        <v>0.10026315789473683</v>
      </c>
      <c r="AN56" s="1700"/>
      <c r="AO56" s="1337"/>
      <c r="AP56" s="1337"/>
      <c r="AQ56" s="1701"/>
      <c r="AR56" s="1713">
        <f>+AR261</f>
        <v>9.5166899931428572E-2</v>
      </c>
      <c r="AS56" s="1700"/>
      <c r="AT56" s="1337"/>
      <c r="AU56" s="1337"/>
      <c r="AV56" s="1701"/>
      <c r="AW56" s="1713">
        <f>+AW261</f>
        <v>9.5166899931428572E-2</v>
      </c>
      <c r="AX56" s="1700"/>
      <c r="AY56" s="1337"/>
      <c r="AZ56" s="1337"/>
      <c r="BA56" s="1701"/>
      <c r="BB56" s="1713">
        <f>+BB261</f>
        <v>9.5166899931428572E-2</v>
      </c>
      <c r="BC56" s="1700"/>
      <c r="BD56" s="1337"/>
      <c r="BE56" s="1337"/>
      <c r="BF56" s="1701"/>
      <c r="BG56" s="1713">
        <f>+BG261</f>
        <v>9.5166899931428572E-2</v>
      </c>
      <c r="BH56" s="1700"/>
      <c r="BI56" s="1337"/>
      <c r="BJ56" s="1337"/>
      <c r="BK56" s="1701"/>
      <c r="BL56" s="2035">
        <f>+BL261</f>
        <v>9.5166899931428572E-2</v>
      </c>
      <c r="BM56" s="890"/>
      <c r="BN56" s="890"/>
      <c r="BO56" s="890"/>
      <c r="BP56" s="890"/>
      <c r="BQ56" s="890"/>
      <c r="BR56" s="890"/>
      <c r="BS56" s="890"/>
      <c r="BT56" s="890"/>
      <c r="BU56" s="890"/>
      <c r="BV56" s="890"/>
      <c r="BW56" s="890"/>
      <c r="BX56" s="890"/>
      <c r="BY56" s="890"/>
      <c r="BZ56" s="890"/>
      <c r="CA56" s="890"/>
      <c r="CB56" s="890"/>
      <c r="CC56" s="890"/>
      <c r="CD56" s="890"/>
      <c r="CE56" s="890"/>
      <c r="CF56" s="890"/>
      <c r="CG56" s="890"/>
      <c r="CH56" s="890"/>
      <c r="CI56" s="890"/>
      <c r="CJ56" s="890"/>
      <c r="CK56" s="890"/>
      <c r="CL56" s="890"/>
      <c r="CM56" s="890"/>
      <c r="CN56" s="890"/>
      <c r="CO56" s="890"/>
      <c r="CP56" s="890"/>
    </row>
    <row r="57" spans="1:94">
      <c r="A57" s="890"/>
      <c r="B57" s="890"/>
      <c r="C57" s="618" t="s">
        <v>731</v>
      </c>
      <c r="D57" s="890"/>
      <c r="E57" s="1700"/>
      <c r="F57" s="1337"/>
      <c r="G57" s="1337"/>
      <c r="H57" s="1701"/>
      <c r="I57" s="1713">
        <f>+I262</f>
        <v>8.1305957770759385E-2</v>
      </c>
      <c r="J57" s="1700"/>
      <c r="K57" s="1337"/>
      <c r="L57" s="1337"/>
      <c r="M57" s="1701"/>
      <c r="N57" s="1713">
        <f>+N262</f>
        <v>5.8318084026639412E-2</v>
      </c>
      <c r="O57" s="1700"/>
      <c r="P57" s="1337"/>
      <c r="Q57" s="1337"/>
      <c r="R57" s="1701"/>
      <c r="S57" s="1713">
        <f>+S262</f>
        <v>4.9711186881217784E-2</v>
      </c>
      <c r="T57" s="1700"/>
      <c r="U57" s="1337"/>
      <c r="V57" s="1337"/>
      <c r="W57" s="1701"/>
      <c r="X57" s="1713">
        <f>+X262</f>
        <v>6.5752001532021639E-2</v>
      </c>
      <c r="Y57" s="1700"/>
      <c r="Z57" s="1337"/>
      <c r="AA57" s="1337"/>
      <c r="AB57" s="1701"/>
      <c r="AC57" s="1713">
        <f>+AC262</f>
        <v>5.5966712243262419E-2</v>
      </c>
      <c r="AD57" s="1700"/>
      <c r="AE57" s="1337"/>
      <c r="AF57" s="1337"/>
      <c r="AG57" s="1701"/>
      <c r="AH57" s="1713">
        <f>+AH262</f>
        <v>4.4540003589572656E-2</v>
      </c>
      <c r="AI57" s="1700"/>
      <c r="AJ57" s="1337"/>
      <c r="AK57" s="1337"/>
      <c r="AL57" s="1701"/>
      <c r="AM57" s="1713">
        <f>+AM262</f>
        <v>-4.6230846244627651E-2</v>
      </c>
      <c r="AN57" s="1700"/>
      <c r="AO57" s="1337"/>
      <c r="AP57" s="1337"/>
      <c r="AQ57" s="1701"/>
      <c r="AR57" s="1713">
        <f>+AR262</f>
        <v>8.0389881780983677E-2</v>
      </c>
      <c r="AS57" s="1700"/>
      <c r="AT57" s="1337"/>
      <c r="AU57" s="1337"/>
      <c r="AV57" s="1701"/>
      <c r="AW57" s="1713">
        <f ca="1">+AW262</f>
        <v>8.8871538901874783E-2</v>
      </c>
      <c r="AX57" s="1700"/>
      <c r="AY57" s="1337"/>
      <c r="AZ57" s="1337"/>
      <c r="BA57" s="1701"/>
      <c r="BB57" s="1713">
        <f ca="1">+BB262</f>
        <v>9.0644750484050379E-2</v>
      </c>
      <c r="BC57" s="1700"/>
      <c r="BD57" s="1337"/>
      <c r="BE57" s="1337"/>
      <c r="BF57" s="1701"/>
      <c r="BG57" s="1713">
        <f ca="1">+BG262</f>
        <v>9.6765181079636664E-2</v>
      </c>
      <c r="BH57" s="1700"/>
      <c r="BI57" s="1337"/>
      <c r="BJ57" s="1337"/>
      <c r="BK57" s="1701"/>
      <c r="BL57" s="2035">
        <f ca="1">+BL262</f>
        <v>9.7992553719440725E-2</v>
      </c>
      <c r="BM57" s="890"/>
      <c r="BN57" s="890"/>
      <c r="BO57" s="890"/>
      <c r="BP57" s="890"/>
      <c r="BQ57" s="890"/>
      <c r="BR57" s="890"/>
      <c r="BS57" s="890"/>
      <c r="BT57" s="890"/>
      <c r="BU57" s="890"/>
      <c r="BV57" s="890"/>
      <c r="BW57" s="890"/>
      <c r="BX57" s="890"/>
      <c r="BY57" s="890"/>
      <c r="BZ57" s="890"/>
      <c r="CA57" s="890"/>
      <c r="CB57" s="890"/>
      <c r="CC57" s="890"/>
      <c r="CD57" s="890"/>
      <c r="CE57" s="890"/>
      <c r="CF57" s="890"/>
      <c r="CG57" s="890"/>
      <c r="CH57" s="890"/>
      <c r="CI57" s="890"/>
      <c r="CJ57" s="890"/>
      <c r="CK57" s="890"/>
      <c r="CL57" s="890"/>
      <c r="CM57" s="890"/>
      <c r="CN57" s="890"/>
      <c r="CO57" s="890"/>
      <c r="CP57" s="890"/>
    </row>
    <row r="58" spans="1:94">
      <c r="A58" s="890"/>
      <c r="B58" s="890"/>
      <c r="C58" s="1808"/>
      <c r="D58" s="1726"/>
      <c r="E58" s="1809"/>
      <c r="F58" s="1810"/>
      <c r="G58" s="1810"/>
      <c r="H58" s="1811"/>
      <c r="I58" s="1812"/>
      <c r="J58" s="1809"/>
      <c r="K58" s="1810"/>
      <c r="L58" s="1810"/>
      <c r="M58" s="1811"/>
      <c r="N58" s="1812"/>
      <c r="O58" s="1809"/>
      <c r="P58" s="1810"/>
      <c r="Q58" s="1810"/>
      <c r="R58" s="1811"/>
      <c r="S58" s="1812"/>
      <c r="T58" s="1809"/>
      <c r="U58" s="1810"/>
      <c r="V58" s="1810"/>
      <c r="W58" s="1811"/>
      <c r="X58" s="1812"/>
      <c r="Y58" s="1809"/>
      <c r="Z58" s="1810"/>
      <c r="AA58" s="1810"/>
      <c r="AB58" s="1811"/>
      <c r="AC58" s="1812"/>
      <c r="AD58" s="1809"/>
      <c r="AE58" s="1810"/>
      <c r="AF58" s="1810"/>
      <c r="AG58" s="1811"/>
      <c r="AH58" s="1812"/>
      <c r="AI58" s="1809"/>
      <c r="AJ58" s="1810"/>
      <c r="AK58" s="1810"/>
      <c r="AL58" s="1811"/>
      <c r="AM58" s="1812"/>
      <c r="AN58" s="1809"/>
      <c r="AO58" s="1810"/>
      <c r="AP58" s="1810"/>
      <c r="AQ58" s="1811"/>
      <c r="AR58" s="1812"/>
      <c r="AS58" s="1809"/>
      <c r="AT58" s="1810"/>
      <c r="AU58" s="1810"/>
      <c r="AV58" s="1811"/>
      <c r="AW58" s="1812"/>
      <c r="AX58" s="1809"/>
      <c r="AY58" s="1810"/>
      <c r="AZ58" s="1810"/>
      <c r="BA58" s="1811"/>
      <c r="BB58" s="1812"/>
      <c r="BC58" s="1809"/>
      <c r="BD58" s="1810"/>
      <c r="BE58" s="1810"/>
      <c r="BF58" s="1811"/>
      <c r="BG58" s="1812"/>
      <c r="BH58" s="1809"/>
      <c r="BI58" s="1810"/>
      <c r="BJ58" s="1810"/>
      <c r="BK58" s="1811"/>
      <c r="BL58" s="2036"/>
      <c r="BM58" s="890"/>
      <c r="BN58" s="890"/>
      <c r="BO58" s="890"/>
      <c r="BP58" s="890"/>
      <c r="BQ58" s="890"/>
      <c r="BR58" s="890"/>
      <c r="BS58" s="890"/>
      <c r="BT58" s="890"/>
      <c r="BU58" s="890"/>
      <c r="BV58" s="890"/>
      <c r="BW58" s="890"/>
      <c r="BX58" s="890"/>
      <c r="BY58" s="890"/>
      <c r="BZ58" s="890"/>
      <c r="CA58" s="890"/>
      <c r="CB58" s="890"/>
      <c r="CC58" s="890"/>
      <c r="CD58" s="890"/>
      <c r="CE58" s="890"/>
      <c r="CF58" s="890"/>
      <c r="CG58" s="890"/>
      <c r="CH58" s="890"/>
      <c r="CI58" s="890"/>
      <c r="CJ58" s="890"/>
      <c r="CK58" s="890"/>
      <c r="CL58" s="890"/>
      <c r="CM58" s="890"/>
      <c r="CN58" s="890"/>
      <c r="CO58" s="890"/>
      <c r="CP58" s="890"/>
    </row>
    <row r="59" spans="1:94">
      <c r="A59" s="890"/>
      <c r="B59" s="890"/>
      <c r="C59" s="909"/>
      <c r="D59" s="890"/>
      <c r="E59" s="891"/>
      <c r="F59" s="892"/>
      <c r="G59" s="892"/>
      <c r="H59" s="893"/>
      <c r="I59" s="894"/>
      <c r="J59" s="891"/>
      <c r="K59" s="892"/>
      <c r="L59" s="892"/>
      <c r="M59" s="893"/>
      <c r="N59" s="894"/>
      <c r="O59" s="891"/>
      <c r="P59" s="892"/>
      <c r="Q59" s="892"/>
      <c r="R59" s="893"/>
      <c r="S59" s="894"/>
      <c r="T59" s="891"/>
      <c r="U59" s="892"/>
      <c r="V59" s="892"/>
      <c r="W59" s="893"/>
      <c r="X59" s="894"/>
      <c r="Y59" s="891"/>
      <c r="Z59" s="892"/>
      <c r="AA59" s="892"/>
      <c r="AB59" s="893"/>
      <c r="AC59" s="894"/>
      <c r="AD59" s="891"/>
      <c r="AE59" s="892"/>
      <c r="AF59" s="892"/>
      <c r="AG59" s="893"/>
      <c r="AH59" s="894"/>
      <c r="AI59" s="891"/>
      <c r="AJ59" s="892"/>
      <c r="AK59" s="892"/>
      <c r="AL59" s="893"/>
      <c r="AM59" s="894"/>
      <c r="AN59" s="891"/>
      <c r="AO59" s="892"/>
      <c r="AP59" s="892"/>
      <c r="AQ59" s="893"/>
      <c r="AR59" s="894"/>
      <c r="AS59" s="2257"/>
      <c r="AT59" s="2258"/>
      <c r="AU59" s="2258"/>
      <c r="AV59" s="2259"/>
      <c r="AW59" s="894"/>
      <c r="AX59" s="2023"/>
      <c r="AY59" s="2024"/>
      <c r="AZ59" s="2024"/>
      <c r="BA59" s="2025"/>
      <c r="BB59" s="894"/>
      <c r="BC59" s="2023"/>
      <c r="BD59" s="2024"/>
      <c r="BE59" s="2024"/>
      <c r="BF59" s="2025"/>
      <c r="BG59" s="894"/>
      <c r="BH59" s="2023"/>
      <c r="BI59" s="2024"/>
      <c r="BJ59" s="2024"/>
      <c r="BK59" s="2025"/>
      <c r="BL59" s="894"/>
      <c r="BM59" s="890"/>
      <c r="BN59" s="890"/>
      <c r="BO59" s="890"/>
      <c r="BP59" s="890"/>
      <c r="BQ59" s="890"/>
      <c r="BR59" s="890"/>
      <c r="BS59" s="890"/>
      <c r="BT59" s="890"/>
      <c r="BU59" s="890"/>
      <c r="BV59" s="890"/>
      <c r="BW59" s="890"/>
      <c r="BX59" s="890"/>
      <c r="BY59" s="890"/>
      <c r="BZ59" s="890"/>
      <c r="CA59" s="890"/>
      <c r="CB59" s="890"/>
      <c r="CC59" s="890"/>
      <c r="CD59" s="890"/>
      <c r="CE59" s="890"/>
      <c r="CF59" s="890"/>
      <c r="CG59" s="890"/>
      <c r="CH59" s="890"/>
      <c r="CI59" s="890"/>
      <c r="CJ59" s="890"/>
      <c r="CK59" s="890"/>
      <c r="CL59" s="890"/>
      <c r="CM59" s="890"/>
      <c r="CN59" s="890"/>
      <c r="CO59" s="890"/>
      <c r="CP59" s="890"/>
    </row>
    <row r="60" spans="1:94">
      <c r="A60" s="890"/>
      <c r="B60" s="1681" t="s">
        <v>128</v>
      </c>
      <c r="C60" s="1682"/>
      <c r="D60" s="1683"/>
      <c r="E60" s="891"/>
      <c r="F60" s="892"/>
      <c r="G60" s="892"/>
      <c r="H60" s="893"/>
      <c r="I60" s="894"/>
      <c r="J60" s="891"/>
      <c r="K60" s="892"/>
      <c r="L60" s="892"/>
      <c r="M60" s="893"/>
      <c r="N60" s="894"/>
      <c r="O60" s="891"/>
      <c r="P60" s="892"/>
      <c r="Q60" s="892"/>
      <c r="R60" s="893"/>
      <c r="S60" s="894"/>
      <c r="T60" s="891"/>
      <c r="U60" s="892"/>
      <c r="V60" s="892"/>
      <c r="W60" s="893"/>
      <c r="X60" s="894"/>
      <c r="Y60" s="891"/>
      <c r="Z60" s="892"/>
      <c r="AA60" s="892"/>
      <c r="AB60" s="893"/>
      <c r="AC60" s="894"/>
      <c r="AD60" s="891"/>
      <c r="AE60" s="892"/>
      <c r="AF60" s="892"/>
      <c r="AG60" s="893"/>
      <c r="AH60" s="894"/>
      <c r="AI60" s="891"/>
      <c r="AJ60" s="892"/>
      <c r="AK60" s="892"/>
      <c r="AL60" s="893"/>
      <c r="AM60" s="894"/>
      <c r="AN60" s="891"/>
      <c r="AO60" s="892"/>
      <c r="AP60" s="892"/>
      <c r="AQ60" s="893"/>
      <c r="AR60" s="894"/>
      <c r="AS60" s="891"/>
      <c r="AT60" s="892"/>
      <c r="AU60" s="892"/>
      <c r="AV60" s="893"/>
      <c r="AW60" s="894"/>
      <c r="AX60" s="2023"/>
      <c r="AY60" s="2024"/>
      <c r="AZ60" s="2024"/>
      <c r="BA60" s="2025"/>
      <c r="BB60" s="894"/>
      <c r="BC60" s="2023"/>
      <c r="BD60" s="2024"/>
      <c r="BE60" s="2024"/>
      <c r="BF60" s="2025"/>
      <c r="BG60" s="894"/>
      <c r="BH60" s="2023"/>
      <c r="BI60" s="2024"/>
      <c r="BJ60" s="2024"/>
      <c r="BK60" s="2025"/>
      <c r="BL60" s="894"/>
      <c r="BM60" s="890"/>
      <c r="BN60" s="890"/>
      <c r="BO60" s="890"/>
      <c r="BP60" s="890"/>
      <c r="BQ60" s="890"/>
      <c r="BR60" s="890"/>
      <c r="BS60" s="890"/>
      <c r="BT60" s="890"/>
      <c r="BU60" s="890"/>
      <c r="BV60" s="890"/>
      <c r="BW60" s="890"/>
      <c r="BX60" s="890"/>
      <c r="BY60" s="890"/>
      <c r="BZ60" s="890"/>
      <c r="CA60" s="890"/>
      <c r="CB60" s="890"/>
      <c r="CC60" s="890"/>
      <c r="CD60" s="890"/>
      <c r="CE60" s="890"/>
      <c r="CF60" s="890"/>
      <c r="CG60" s="890"/>
      <c r="CH60" s="890"/>
      <c r="CI60" s="890"/>
      <c r="CJ60" s="890"/>
      <c r="CK60" s="890"/>
      <c r="CL60" s="890"/>
      <c r="CM60" s="890"/>
      <c r="CN60" s="890"/>
      <c r="CO60" s="890"/>
      <c r="CP60" s="890"/>
    </row>
    <row r="61" spans="1:94">
      <c r="A61" s="330"/>
      <c r="B61" s="330"/>
      <c r="C61" s="228"/>
      <c r="D61" s="330"/>
      <c r="E61" s="292"/>
      <c r="F61" s="261"/>
      <c r="G61" s="261"/>
      <c r="H61" s="293"/>
      <c r="I61" s="228"/>
      <c r="J61" s="292"/>
      <c r="K61" s="261"/>
      <c r="L61" s="261"/>
      <c r="M61" s="293"/>
      <c r="N61" s="228"/>
      <c r="O61" s="1813"/>
      <c r="P61" s="892"/>
      <c r="Q61" s="892"/>
      <c r="R61" s="293"/>
      <c r="S61" s="228"/>
      <c r="T61" s="292"/>
      <c r="U61" s="261"/>
      <c r="V61" s="261"/>
      <c r="W61" s="293"/>
      <c r="X61" s="228"/>
      <c r="Y61" s="292"/>
      <c r="Z61" s="261"/>
      <c r="AA61" s="261"/>
      <c r="AB61" s="293"/>
      <c r="AC61" s="228"/>
      <c r="AD61" s="292"/>
      <c r="AE61" s="261"/>
      <c r="AF61" s="261"/>
      <c r="AG61" s="293"/>
      <c r="AH61" s="228"/>
      <c r="AI61" s="292"/>
      <c r="AJ61" s="261"/>
      <c r="AK61" s="261"/>
      <c r="AL61" s="293"/>
      <c r="AM61" s="228"/>
      <c r="AN61" s="292"/>
      <c r="AO61" s="261"/>
      <c r="AP61" s="261"/>
      <c r="AQ61" s="293"/>
      <c r="AR61" s="228"/>
      <c r="AS61" s="292"/>
      <c r="AT61" s="261"/>
      <c r="AU61" s="261"/>
      <c r="AV61" s="293"/>
      <c r="AW61" s="228"/>
      <c r="AX61" s="292"/>
      <c r="AY61" s="261"/>
      <c r="AZ61" s="261"/>
      <c r="BA61" s="293"/>
      <c r="BB61" s="228"/>
      <c r="BC61" s="292"/>
      <c r="BD61" s="261"/>
      <c r="BE61" s="261"/>
      <c r="BF61" s="293"/>
      <c r="BG61" s="228"/>
      <c r="BH61" s="292"/>
      <c r="BI61" s="261"/>
      <c r="BJ61" s="261"/>
      <c r="BK61" s="293"/>
      <c r="BL61" s="228"/>
      <c r="BM61" s="330"/>
      <c r="BN61" s="330"/>
      <c r="BO61" s="330"/>
      <c r="BP61" s="330"/>
      <c r="BQ61" s="330"/>
      <c r="BR61" s="330"/>
      <c r="BS61" s="330"/>
      <c r="BT61" s="330"/>
      <c r="BU61" s="330"/>
      <c r="BV61" s="330"/>
      <c r="BW61" s="330"/>
      <c r="BX61" s="330"/>
      <c r="BY61" s="330"/>
      <c r="BZ61" s="330"/>
      <c r="CA61" s="330"/>
      <c r="CB61" s="330"/>
      <c r="CC61" s="330"/>
      <c r="CD61" s="330"/>
      <c r="CE61" s="330"/>
      <c r="CF61" s="330"/>
      <c r="CG61" s="330"/>
      <c r="CH61" s="330"/>
      <c r="CI61" s="330"/>
      <c r="CJ61" s="330"/>
      <c r="CK61" s="330"/>
      <c r="CL61" s="330"/>
      <c r="CM61" s="330"/>
      <c r="CN61" s="330"/>
      <c r="CO61" s="330"/>
      <c r="CP61" s="330"/>
    </row>
    <row r="62" spans="1:94">
      <c r="A62" s="330"/>
      <c r="B62" s="330"/>
      <c r="C62" s="909" t="s">
        <v>129</v>
      </c>
      <c r="D62" s="330"/>
      <c r="E62" s="292"/>
      <c r="F62" s="261"/>
      <c r="G62" s="261"/>
      <c r="H62" s="293"/>
      <c r="I62" s="228">
        <f>I8</f>
        <v>1538</v>
      </c>
      <c r="J62" s="292">
        <f>+J8</f>
        <v>318</v>
      </c>
      <c r="K62" s="261">
        <f>+K8</f>
        <v>333</v>
      </c>
      <c r="L62" s="261">
        <f>+L8</f>
        <v>416</v>
      </c>
      <c r="M62" s="293">
        <f>+M8</f>
        <v>264</v>
      </c>
      <c r="N62" s="228">
        <f>SUM(J62:M62)</f>
        <v>1331</v>
      </c>
      <c r="O62" s="292">
        <f>+O8</f>
        <v>271</v>
      </c>
      <c r="P62" s="261">
        <f>+P8</f>
        <v>290</v>
      </c>
      <c r="Q62" s="261">
        <f>+Q8</f>
        <v>384</v>
      </c>
      <c r="R62" s="293">
        <f>+R8</f>
        <v>258</v>
      </c>
      <c r="S62" s="228">
        <f>SUM(O62:R62)</f>
        <v>1203</v>
      </c>
      <c r="T62" s="292">
        <f>+T8</f>
        <v>278</v>
      </c>
      <c r="U62" s="261">
        <f>+U8</f>
        <v>275</v>
      </c>
      <c r="V62" s="261">
        <f>+V8</f>
        <v>354</v>
      </c>
      <c r="W62" s="293">
        <f>+W8</f>
        <v>269</v>
      </c>
      <c r="X62" s="228">
        <f>SUM(T62:W62)</f>
        <v>1176</v>
      </c>
      <c r="Y62" s="292">
        <f>+Y8</f>
        <v>296</v>
      </c>
      <c r="Z62" s="261">
        <f>+Z8</f>
        <v>266</v>
      </c>
      <c r="AA62" s="261">
        <f>+AA8</f>
        <v>348</v>
      </c>
      <c r="AB62" s="293">
        <f>+AB8</f>
        <v>283</v>
      </c>
      <c r="AC62" s="228">
        <f>SUM(Y62:AB62)</f>
        <v>1193</v>
      </c>
      <c r="AD62" s="292">
        <f>+AD8</f>
        <v>303</v>
      </c>
      <c r="AE62" s="261">
        <f>+AE8</f>
        <v>295</v>
      </c>
      <c r="AF62" s="261">
        <f>+AF8</f>
        <v>374</v>
      </c>
      <c r="AG62" s="293">
        <f>+AG8</f>
        <v>296</v>
      </c>
      <c r="AH62" s="228">
        <f>SUM(AD62:AG62)</f>
        <v>1268</v>
      </c>
      <c r="AI62" s="292">
        <f>+AI8</f>
        <v>291</v>
      </c>
      <c r="AJ62" s="261">
        <f>+AJ8</f>
        <v>270</v>
      </c>
      <c r="AK62" s="261">
        <f>+AK8</f>
        <v>421</v>
      </c>
      <c r="AL62" s="293">
        <f>+AL8</f>
        <v>275</v>
      </c>
      <c r="AM62" s="228">
        <f>SUM(AI62:AL62)</f>
        <v>1257</v>
      </c>
      <c r="AN62" s="292">
        <f>+AN8</f>
        <v>275</v>
      </c>
      <c r="AO62" s="261">
        <f>+AO8</f>
        <v>270</v>
      </c>
      <c r="AP62" s="261">
        <f>+AP8</f>
        <v>370</v>
      </c>
      <c r="AQ62" s="293">
        <f>+AQ8</f>
        <v>271</v>
      </c>
      <c r="AR62" s="228">
        <f>SUM(AN62:AQ62)</f>
        <v>1186</v>
      </c>
      <c r="AS62" s="292">
        <f>AS66*AS81/1000</f>
        <v>270.51483534865645</v>
      </c>
      <c r="AT62" s="261">
        <f>AT66*AT81/1000</f>
        <v>265.71803566511215</v>
      </c>
      <c r="AU62" s="261">
        <f>AU66*AU81/1000</f>
        <v>366.99159721296917</v>
      </c>
      <c r="AV62" s="293">
        <f>AV66*AV81/1000</f>
        <v>266.56919499777933</v>
      </c>
      <c r="AW62" s="228">
        <f>SUM(AS62:AV62)</f>
        <v>1169.7936632245171</v>
      </c>
      <c r="AX62" s="292">
        <f>AX66*AX81/1000</f>
        <v>270.00635056463972</v>
      </c>
      <c r="AY62" s="261">
        <f>AY66*AY81/1000</f>
        <v>265.34706403312515</v>
      </c>
      <c r="AZ62" s="261">
        <f>AZ66*AZ81/1000</f>
        <v>373.87237335280997</v>
      </c>
      <c r="BA62" s="293">
        <f>BA66*BA81/1000</f>
        <v>272.48737907341166</v>
      </c>
      <c r="BB62" s="228">
        <f>SUM(AX62:BA62)</f>
        <v>1181.7131670239864</v>
      </c>
      <c r="BC62" s="292">
        <f>BC66*BC81/1000</f>
        <v>279.70136135432875</v>
      </c>
      <c r="BD62" s="261">
        <f>BD66*BD81/1000</f>
        <v>275.180754353716</v>
      </c>
      <c r="BE62" s="261">
        <f>BE66*BE81/1000</f>
        <v>378.26096103425027</v>
      </c>
      <c r="BF62" s="293">
        <f>BF66*BF81/1000</f>
        <v>275.90521003853928</v>
      </c>
      <c r="BG62" s="228">
        <f>SUM(BC62:BF62)</f>
        <v>1209.0482867808341</v>
      </c>
      <c r="BH62" s="292">
        <f>BH66*BH81/1000</f>
        <v>275.94441362022081</v>
      </c>
      <c r="BI62" s="261">
        <f>BI66*BI81/1000</f>
        <v>271.48966968532568</v>
      </c>
      <c r="BJ62" s="261">
        <f>BJ66*BJ81/1000</f>
        <v>375.23685300577989</v>
      </c>
      <c r="BK62" s="293">
        <f>BK66*BK81/1000</f>
        <v>272.42006055004538</v>
      </c>
      <c r="BL62" s="228">
        <f>SUM(BH62:BK62)</f>
        <v>1195.0909968613719</v>
      </c>
      <c r="BM62" s="330"/>
      <c r="BN62" s="330"/>
      <c r="BO62" s="330"/>
      <c r="BP62" s="330"/>
      <c r="BQ62" s="330"/>
      <c r="BR62" s="330"/>
      <c r="BS62" s="330"/>
      <c r="BT62" s="330"/>
      <c r="BU62" s="330"/>
      <c r="BV62" s="330"/>
      <c r="BW62" s="330"/>
      <c r="BX62" s="330"/>
      <c r="BY62" s="330"/>
      <c r="BZ62" s="330"/>
      <c r="CA62" s="330"/>
      <c r="CB62" s="330"/>
      <c r="CC62" s="330"/>
      <c r="CD62" s="330"/>
      <c r="CE62" s="330"/>
      <c r="CF62" s="330"/>
      <c r="CG62" s="330"/>
      <c r="CH62" s="330"/>
      <c r="CI62" s="330"/>
      <c r="CJ62" s="330"/>
      <c r="CK62" s="330"/>
      <c r="CL62" s="330"/>
      <c r="CM62" s="330"/>
      <c r="CN62" s="330"/>
      <c r="CO62" s="330"/>
      <c r="CP62" s="330"/>
    </row>
    <row r="63" spans="1:94">
      <c r="A63" s="330"/>
      <c r="B63" s="330"/>
      <c r="C63" s="228"/>
      <c r="D63" s="330"/>
      <c r="E63" s="292"/>
      <c r="F63" s="261"/>
      <c r="G63" s="261"/>
      <c r="H63" s="293"/>
      <c r="I63" s="228"/>
      <c r="J63" s="292"/>
      <c r="K63" s="261"/>
      <c r="L63" s="261"/>
      <c r="M63" s="293"/>
      <c r="N63" s="228"/>
      <c r="O63" s="292"/>
      <c r="P63" s="261"/>
      <c r="Q63" s="261"/>
      <c r="R63" s="293"/>
      <c r="S63" s="228"/>
      <c r="T63" s="292"/>
      <c r="U63" s="261"/>
      <c r="V63" s="261"/>
      <c r="W63" s="293"/>
      <c r="X63" s="228"/>
      <c r="Y63" s="292"/>
      <c r="Z63" s="261"/>
      <c r="AA63" s="261"/>
      <c r="AB63" s="293"/>
      <c r="AC63" s="228"/>
      <c r="AD63" s="292"/>
      <c r="AE63" s="261"/>
      <c r="AF63" s="261"/>
      <c r="AG63" s="293"/>
      <c r="AH63" s="228"/>
      <c r="AI63" s="292"/>
      <c r="AJ63" s="261"/>
      <c r="AK63" s="261"/>
      <c r="AL63" s="293"/>
      <c r="AM63" s="228"/>
      <c r="AN63" s="292"/>
      <c r="AO63" s="261"/>
      <c r="AP63" s="261"/>
      <c r="AQ63" s="293"/>
      <c r="AR63" s="228"/>
      <c r="AS63" s="292"/>
      <c r="AT63" s="261"/>
      <c r="AU63" s="261"/>
      <c r="AV63" s="293"/>
      <c r="AW63" s="228"/>
      <c r="AX63" s="292"/>
      <c r="AY63" s="261"/>
      <c r="AZ63" s="261"/>
      <c r="BA63" s="293"/>
      <c r="BB63" s="228"/>
      <c r="BC63" s="292"/>
      <c r="BD63" s="261"/>
      <c r="BE63" s="261"/>
      <c r="BF63" s="293"/>
      <c r="BG63" s="228"/>
      <c r="BH63" s="292"/>
      <c r="BI63" s="261"/>
      <c r="BJ63" s="261"/>
      <c r="BK63" s="293"/>
      <c r="BL63" s="228"/>
      <c r="BM63" s="330"/>
      <c r="BN63" s="330"/>
      <c r="BO63" s="330"/>
      <c r="BP63" s="330"/>
      <c r="BQ63" s="330"/>
      <c r="BR63" s="330"/>
      <c r="BS63" s="330"/>
      <c r="BT63" s="330"/>
      <c r="BU63" s="330"/>
      <c r="BV63" s="330"/>
      <c r="BW63" s="330"/>
      <c r="BX63" s="330"/>
      <c r="BY63" s="330"/>
      <c r="BZ63" s="330"/>
      <c r="CA63" s="330"/>
      <c r="CB63" s="330"/>
      <c r="CC63" s="330"/>
      <c r="CD63" s="330"/>
      <c r="CE63" s="330"/>
      <c r="CF63" s="330"/>
      <c r="CG63" s="330"/>
      <c r="CH63" s="330"/>
      <c r="CI63" s="330"/>
      <c r="CJ63" s="330"/>
      <c r="CK63" s="330"/>
      <c r="CL63" s="330"/>
      <c r="CM63" s="330"/>
      <c r="CN63" s="330"/>
      <c r="CO63" s="330"/>
      <c r="CP63" s="330"/>
    </row>
    <row r="64" spans="1:94">
      <c r="A64" s="330"/>
      <c r="B64" s="330"/>
      <c r="C64" s="909" t="s">
        <v>130</v>
      </c>
      <c r="D64" s="330"/>
      <c r="E64" s="292"/>
      <c r="F64" s="261"/>
      <c r="G64" s="261"/>
      <c r="H64" s="293"/>
      <c r="I64" s="228"/>
      <c r="J64" s="292"/>
      <c r="K64" s="261"/>
      <c r="L64" s="261"/>
      <c r="M64" s="293"/>
      <c r="N64" s="228"/>
      <c r="O64" s="292"/>
      <c r="P64" s="261"/>
      <c r="Q64" s="261"/>
      <c r="R64" s="293"/>
      <c r="S64" s="228"/>
      <c r="T64" s="292"/>
      <c r="U64" s="261"/>
      <c r="V64" s="261"/>
      <c r="W64" s="293"/>
      <c r="X64" s="228"/>
      <c r="Y64" s="292"/>
      <c r="Z64" s="261"/>
      <c r="AA64" s="261"/>
      <c r="AB64" s="293"/>
      <c r="AC64" s="228"/>
      <c r="AD64" s="292"/>
      <c r="AE64" s="261"/>
      <c r="AF64" s="261"/>
      <c r="AG64" s="293"/>
      <c r="AH64" s="228"/>
      <c r="AI64" s="292"/>
      <c r="AJ64" s="261"/>
      <c r="AK64" s="261"/>
      <c r="AL64" s="293"/>
      <c r="AM64" s="228"/>
      <c r="AN64" s="292"/>
      <c r="AO64" s="261"/>
      <c r="AP64" s="261"/>
      <c r="AQ64" s="293"/>
      <c r="AR64" s="228"/>
      <c r="AS64" s="292"/>
      <c r="AT64" s="261"/>
      <c r="AU64" s="261"/>
      <c r="AV64" s="293"/>
      <c r="AW64" s="228"/>
      <c r="AX64" s="292"/>
      <c r="AY64" s="261"/>
      <c r="AZ64" s="261"/>
      <c r="BA64" s="293"/>
      <c r="BB64" s="228"/>
      <c r="BC64" s="292"/>
      <c r="BD64" s="261"/>
      <c r="BE64" s="261"/>
      <c r="BF64" s="293"/>
      <c r="BG64" s="228"/>
      <c r="BH64" s="292"/>
      <c r="BI64" s="261"/>
      <c r="BJ64" s="261"/>
      <c r="BK64" s="293"/>
      <c r="BL64" s="228"/>
      <c r="BM64" s="330"/>
      <c r="BN64" s="330"/>
      <c r="BO64" s="330"/>
      <c r="BP64" s="330"/>
      <c r="BQ64" s="330"/>
      <c r="BR64" s="330"/>
      <c r="BS64" s="330"/>
      <c r="BT64" s="330"/>
      <c r="BU64" s="330"/>
      <c r="BV64" s="330"/>
      <c r="BW64" s="330"/>
      <c r="BX64" s="330"/>
      <c r="BY64" s="330"/>
      <c r="BZ64" s="330"/>
      <c r="CA64" s="330"/>
      <c r="CB64" s="330"/>
      <c r="CC64" s="330"/>
      <c r="CD64" s="330"/>
      <c r="CE64" s="330"/>
      <c r="CF64" s="330"/>
      <c r="CG64" s="330"/>
      <c r="CH64" s="330"/>
      <c r="CI64" s="330"/>
      <c r="CJ64" s="330"/>
      <c r="CK64" s="330"/>
      <c r="CL64" s="330"/>
      <c r="CM64" s="330"/>
      <c r="CN64" s="330"/>
      <c r="CO64" s="330"/>
      <c r="CP64" s="330"/>
    </row>
    <row r="65" spans="1:94">
      <c r="A65" s="330"/>
      <c r="B65" s="330"/>
      <c r="C65" s="895" t="s">
        <v>770</v>
      </c>
      <c r="D65" s="330"/>
      <c r="E65" s="1732"/>
      <c r="F65" s="1733"/>
      <c r="G65" s="1733"/>
      <c r="H65" s="1734"/>
      <c r="I65" s="1735">
        <v>10185</v>
      </c>
      <c r="J65" s="1732">
        <v>2267</v>
      </c>
      <c r="K65" s="1733">
        <f>4592-J65</f>
        <v>2325</v>
      </c>
      <c r="L65" s="1733">
        <f>7666-K65-J65</f>
        <v>3074</v>
      </c>
      <c r="M65" s="1734">
        <f>N65-SUM(J65:L65)</f>
        <v>2017</v>
      </c>
      <c r="N65" s="1735">
        <v>9683</v>
      </c>
      <c r="O65" s="1732">
        <v>2088</v>
      </c>
      <c r="P65" s="1733">
        <f>4339-O65</f>
        <v>2251</v>
      </c>
      <c r="Q65" s="1733">
        <f>7402-SUM(O65:P65)</f>
        <v>3063</v>
      </c>
      <c r="R65" s="1734">
        <f>S65-SUM(O65:Q65)</f>
        <v>2093</v>
      </c>
      <c r="S65" s="1735">
        <v>9495</v>
      </c>
      <c r="T65" s="1732">
        <v>2220</v>
      </c>
      <c r="U65" s="1733">
        <f>4353-T65</f>
        <v>2133</v>
      </c>
      <c r="V65" s="1733">
        <f>7125-SUM(T65:U65)</f>
        <v>2772</v>
      </c>
      <c r="W65" s="1734">
        <f>X65-SUM(T65:V65)</f>
        <v>2106</v>
      </c>
      <c r="X65" s="1735">
        <v>9231</v>
      </c>
      <c r="Y65" s="1732">
        <v>2285</v>
      </c>
      <c r="Z65" s="1733">
        <f>4312-Y65</f>
        <v>2027</v>
      </c>
      <c r="AA65" s="1733">
        <f>6999-SUM(Y65:Z65)</f>
        <v>2687</v>
      </c>
      <c r="AB65" s="1734">
        <f>AC65-SUM(Y65:AA65)</f>
        <v>2052</v>
      </c>
      <c r="AC65" s="1735">
        <v>9051</v>
      </c>
      <c r="AD65" s="1732">
        <v>2257</v>
      </c>
      <c r="AE65" s="1733">
        <f>4402-AD65</f>
        <v>2145</v>
      </c>
      <c r="AF65" s="1733">
        <f>7149-SUM(AD65:AE65)</f>
        <v>2747</v>
      </c>
      <c r="AG65" s="1734">
        <f>AH65-SUM(AD65:AF65)</f>
        <v>2100</v>
      </c>
      <c r="AH65" s="1735">
        <v>9249</v>
      </c>
      <c r="AI65" s="1732">
        <v>2062</v>
      </c>
      <c r="AJ65" s="1733">
        <v>1959</v>
      </c>
      <c r="AK65" s="1733">
        <f>7065-SUM(AI65:AJ65)</f>
        <v>3044</v>
      </c>
      <c r="AL65" s="1734">
        <f>AM65-SUM(AI65:AK65)</f>
        <v>1994</v>
      </c>
      <c r="AM65" s="1735">
        <v>9059</v>
      </c>
      <c r="AN65" s="1732">
        <v>1940</v>
      </c>
      <c r="AO65" s="1733">
        <v>1980</v>
      </c>
      <c r="AP65" s="1733">
        <v>2704</v>
      </c>
      <c r="AQ65" s="1734">
        <f>AR65-SUM(AN65:AP65)</f>
        <v>1961</v>
      </c>
      <c r="AR65" s="1735">
        <v>8585</v>
      </c>
      <c r="AS65" s="290">
        <f>AN65*(1+AS$44*2/3)</f>
        <v>1940</v>
      </c>
      <c r="AT65" s="260">
        <f>AO65*(1+AT$44*2/3)</f>
        <v>1980</v>
      </c>
      <c r="AU65" s="260">
        <f>AP65*(1+AU$44*2/3)</f>
        <v>2704</v>
      </c>
      <c r="AV65" s="291">
        <f>AQ65*(1+AV$44*2/3)</f>
        <v>1961</v>
      </c>
      <c r="AW65" s="45">
        <f>SUM(AS65:AV65)</f>
        <v>8585</v>
      </c>
      <c r="AX65" s="290">
        <f>AS65*(1+AX$44*2/3)</f>
        <v>1940</v>
      </c>
      <c r="AY65" s="260">
        <f>AT65*(1+AY$44*2/3)</f>
        <v>1980</v>
      </c>
      <c r="AZ65" s="260">
        <f>AU65*(1+AZ$44*2/3)</f>
        <v>2704</v>
      </c>
      <c r="BA65" s="291">
        <f>AV65*(1+BA$44*2/3)</f>
        <v>1961</v>
      </c>
      <c r="BB65" s="45">
        <f>SUM(AX65:BA65)</f>
        <v>8585</v>
      </c>
      <c r="BC65" s="290">
        <f>AX65*(1+BC$44*2/3)</f>
        <v>1940</v>
      </c>
      <c r="BD65" s="260">
        <f>AY65*(1+BD$44*2/3)</f>
        <v>1980</v>
      </c>
      <c r="BE65" s="260">
        <f>AZ65*(1+BE$44*2/3)</f>
        <v>2704</v>
      </c>
      <c r="BF65" s="291">
        <f>BA65*(1+BF$44*2/3)</f>
        <v>1961</v>
      </c>
      <c r="BG65" s="45">
        <f>SUM(BC65:BF65)</f>
        <v>8585</v>
      </c>
      <c r="BH65" s="290">
        <f>BC65*(1+BH$44*2/3)</f>
        <v>1940</v>
      </c>
      <c r="BI65" s="260">
        <f>BD65*(1+BI$44*2/3)</f>
        <v>1980</v>
      </c>
      <c r="BJ65" s="260">
        <f>BE65*(1+BJ$44*2/3)</f>
        <v>2704</v>
      </c>
      <c r="BK65" s="291">
        <f>BF65*(1+BK$44*2/3)</f>
        <v>1961</v>
      </c>
      <c r="BL65" s="45">
        <f>SUM(BH65:BK65)</f>
        <v>8585</v>
      </c>
      <c r="BM65" s="330"/>
      <c r="BN65" s="330"/>
      <c r="BO65" s="330"/>
      <c r="BP65" s="330"/>
      <c r="BQ65" s="330"/>
      <c r="BR65" s="330"/>
      <c r="BS65" s="330"/>
      <c r="BT65" s="330"/>
      <c r="BU65" s="330"/>
      <c r="BV65" s="330"/>
      <c r="BW65" s="330"/>
      <c r="BX65" s="330"/>
      <c r="BY65" s="330"/>
      <c r="BZ65" s="330"/>
      <c r="CA65" s="330"/>
      <c r="CB65" s="330"/>
      <c r="CC65" s="330"/>
      <c r="CD65" s="330"/>
      <c r="CE65" s="330"/>
      <c r="CF65" s="330"/>
      <c r="CG65" s="330"/>
      <c r="CH65" s="330"/>
      <c r="CI65" s="330"/>
      <c r="CJ65" s="330"/>
      <c r="CK65" s="330"/>
      <c r="CL65" s="330"/>
      <c r="CM65" s="330"/>
      <c r="CN65" s="330"/>
      <c r="CO65" s="330"/>
      <c r="CP65" s="330"/>
    </row>
    <row r="66" spans="1:94">
      <c r="A66" s="330"/>
      <c r="B66" s="330"/>
      <c r="C66" s="909" t="s">
        <v>732</v>
      </c>
      <c r="D66" s="330"/>
      <c r="E66" s="292"/>
      <c r="F66" s="261"/>
      <c r="G66" s="261"/>
      <c r="H66" s="582"/>
      <c r="I66" s="228">
        <f t="shared" ref="I66:AW66" si="118">SUM(I65:I65)</f>
        <v>10185</v>
      </c>
      <c r="J66" s="292">
        <f t="shared" si="118"/>
        <v>2267</v>
      </c>
      <c r="K66" s="261">
        <f t="shared" si="118"/>
        <v>2325</v>
      </c>
      <c r="L66" s="261">
        <f t="shared" si="118"/>
        <v>3074</v>
      </c>
      <c r="M66" s="582">
        <f t="shared" si="118"/>
        <v>2017</v>
      </c>
      <c r="N66" s="228">
        <f t="shared" si="118"/>
        <v>9683</v>
      </c>
      <c r="O66" s="292">
        <f t="shared" si="118"/>
        <v>2088</v>
      </c>
      <c r="P66" s="261">
        <f t="shared" si="118"/>
        <v>2251</v>
      </c>
      <c r="Q66" s="261">
        <f t="shared" si="118"/>
        <v>3063</v>
      </c>
      <c r="R66" s="582">
        <f t="shared" si="118"/>
        <v>2093</v>
      </c>
      <c r="S66" s="228">
        <f t="shared" si="118"/>
        <v>9495</v>
      </c>
      <c r="T66" s="292">
        <f t="shared" si="118"/>
        <v>2220</v>
      </c>
      <c r="U66" s="261">
        <f t="shared" si="118"/>
        <v>2133</v>
      </c>
      <c r="V66" s="261">
        <f t="shared" si="118"/>
        <v>2772</v>
      </c>
      <c r="W66" s="582">
        <f t="shared" si="118"/>
        <v>2106</v>
      </c>
      <c r="X66" s="228">
        <f t="shared" si="118"/>
        <v>9231</v>
      </c>
      <c r="Y66" s="292">
        <f t="shared" si="118"/>
        <v>2285</v>
      </c>
      <c r="Z66" s="261">
        <f t="shared" si="118"/>
        <v>2027</v>
      </c>
      <c r="AA66" s="261">
        <f t="shared" ref="AA66:AE66" si="119">SUM(AA65:AA65)</f>
        <v>2687</v>
      </c>
      <c r="AB66" s="582">
        <f t="shared" si="119"/>
        <v>2052</v>
      </c>
      <c r="AC66" s="228">
        <f t="shared" si="119"/>
        <v>9051</v>
      </c>
      <c r="AD66" s="292">
        <f t="shared" si="119"/>
        <v>2257</v>
      </c>
      <c r="AE66" s="261">
        <f t="shared" si="119"/>
        <v>2145</v>
      </c>
      <c r="AF66" s="261">
        <f t="shared" ref="AF66:AJ66" si="120">SUM(AF65:AF65)</f>
        <v>2747</v>
      </c>
      <c r="AG66" s="582">
        <f t="shared" si="120"/>
        <v>2100</v>
      </c>
      <c r="AH66" s="228">
        <f t="shared" si="120"/>
        <v>9249</v>
      </c>
      <c r="AI66" s="292">
        <f t="shared" si="120"/>
        <v>2062</v>
      </c>
      <c r="AJ66" s="261">
        <f t="shared" si="120"/>
        <v>1959</v>
      </c>
      <c r="AK66" s="261">
        <f t="shared" ref="AK66:AO66" si="121">SUM(AK65:AK65)</f>
        <v>3044</v>
      </c>
      <c r="AL66" s="582">
        <f t="shared" si="121"/>
        <v>1994</v>
      </c>
      <c r="AM66" s="228">
        <f t="shared" si="121"/>
        <v>9059</v>
      </c>
      <c r="AN66" s="292">
        <f t="shared" si="121"/>
        <v>1940</v>
      </c>
      <c r="AO66" s="261">
        <f t="shared" si="121"/>
        <v>1980</v>
      </c>
      <c r="AP66" s="261">
        <f t="shared" si="118"/>
        <v>2704</v>
      </c>
      <c r="AQ66" s="582">
        <f t="shared" si="118"/>
        <v>1961</v>
      </c>
      <c r="AR66" s="228">
        <f t="shared" si="118"/>
        <v>8585</v>
      </c>
      <c r="AS66" s="292">
        <f t="shared" si="118"/>
        <v>1940</v>
      </c>
      <c r="AT66" s="261">
        <f t="shared" si="118"/>
        <v>1980</v>
      </c>
      <c r="AU66" s="261">
        <f t="shared" si="118"/>
        <v>2704</v>
      </c>
      <c r="AV66" s="293">
        <f t="shared" si="118"/>
        <v>1961</v>
      </c>
      <c r="AW66" s="228">
        <f t="shared" si="118"/>
        <v>8585</v>
      </c>
      <c r="AX66" s="292">
        <f t="shared" ref="AX66:BG66" si="122">SUM(AX65:AX65)</f>
        <v>1940</v>
      </c>
      <c r="AY66" s="261">
        <f t="shared" si="122"/>
        <v>1980</v>
      </c>
      <c r="AZ66" s="261">
        <f t="shared" si="122"/>
        <v>2704</v>
      </c>
      <c r="BA66" s="293">
        <f t="shared" si="122"/>
        <v>1961</v>
      </c>
      <c r="BB66" s="228">
        <f t="shared" si="122"/>
        <v>8585</v>
      </c>
      <c r="BC66" s="292">
        <f t="shared" si="122"/>
        <v>1940</v>
      </c>
      <c r="BD66" s="261">
        <f t="shared" si="122"/>
        <v>1980</v>
      </c>
      <c r="BE66" s="261">
        <f t="shared" si="122"/>
        <v>2704</v>
      </c>
      <c r="BF66" s="293">
        <f t="shared" si="122"/>
        <v>1961</v>
      </c>
      <c r="BG66" s="228">
        <f t="shared" si="122"/>
        <v>8585</v>
      </c>
      <c r="BH66" s="292">
        <f t="shared" ref="BH66:BL66" si="123">SUM(BH65:BH65)</f>
        <v>1940</v>
      </c>
      <c r="BI66" s="261">
        <f t="shared" si="123"/>
        <v>1980</v>
      </c>
      <c r="BJ66" s="261">
        <f t="shared" si="123"/>
        <v>2704</v>
      </c>
      <c r="BK66" s="293">
        <f t="shared" si="123"/>
        <v>1961</v>
      </c>
      <c r="BL66" s="228">
        <f t="shared" si="123"/>
        <v>8585</v>
      </c>
      <c r="BM66" s="330"/>
      <c r="BN66" s="330"/>
      <c r="BO66" s="330"/>
      <c r="BP66" s="330"/>
      <c r="BQ66" s="330"/>
      <c r="BR66" s="330"/>
      <c r="BS66" s="330"/>
      <c r="BT66" s="330"/>
      <c r="BU66" s="330"/>
      <c r="BV66" s="330"/>
      <c r="BW66" s="330"/>
      <c r="BX66" s="330"/>
      <c r="BY66" s="330"/>
      <c r="BZ66" s="330"/>
      <c r="CA66" s="330"/>
      <c r="CB66" s="330"/>
      <c r="CC66" s="330"/>
      <c r="CD66" s="330"/>
      <c r="CE66" s="330"/>
      <c r="CF66" s="330"/>
      <c r="CG66" s="330"/>
      <c r="CH66" s="330"/>
      <c r="CI66" s="330"/>
      <c r="CJ66" s="330"/>
      <c r="CK66" s="330"/>
      <c r="CL66" s="330"/>
      <c r="CM66" s="330"/>
      <c r="CN66" s="330"/>
      <c r="CO66" s="330"/>
      <c r="CP66" s="330"/>
    </row>
    <row r="67" spans="1:94">
      <c r="A67" s="330"/>
      <c r="B67" s="330"/>
      <c r="C67" s="45"/>
      <c r="D67" s="330"/>
      <c r="E67" s="292"/>
      <c r="F67" s="261"/>
      <c r="G67" s="261"/>
      <c r="H67" s="293"/>
      <c r="I67" s="228"/>
      <c r="J67" s="292"/>
      <c r="K67" s="261"/>
      <c r="L67" s="261"/>
      <c r="M67" s="293"/>
      <c r="N67" s="228"/>
      <c r="O67" s="292"/>
      <c r="P67" s="261"/>
      <c r="Q67" s="261"/>
      <c r="R67" s="293"/>
      <c r="S67" s="228"/>
      <c r="T67" s="292"/>
      <c r="U67" s="261"/>
      <c r="V67" s="261"/>
      <c r="W67" s="293"/>
      <c r="X67" s="228"/>
      <c r="Y67" s="292"/>
      <c r="Z67" s="261"/>
      <c r="AA67" s="261"/>
      <c r="AB67" s="293"/>
      <c r="AC67" s="228"/>
      <c r="AD67" s="292"/>
      <c r="AE67" s="261"/>
      <c r="AF67" s="261"/>
      <c r="AG67" s="293"/>
      <c r="AH67" s="228"/>
      <c r="AI67" s="292"/>
      <c r="AJ67" s="261"/>
      <c r="AK67" s="261"/>
      <c r="AL67" s="293"/>
      <c r="AM67" s="228"/>
      <c r="AN67" s="292"/>
      <c r="AO67" s="261"/>
      <c r="AP67" s="261"/>
      <c r="AQ67" s="293"/>
      <c r="AR67" s="228"/>
      <c r="AS67" s="292"/>
      <c r="AT67" s="261"/>
      <c r="AU67" s="261"/>
      <c r="AV67" s="293"/>
      <c r="AW67" s="228"/>
      <c r="AX67" s="292"/>
      <c r="AY67" s="261"/>
      <c r="AZ67" s="261"/>
      <c r="BA67" s="293"/>
      <c r="BB67" s="228"/>
      <c r="BC67" s="292"/>
      <c r="BD67" s="261"/>
      <c r="BE67" s="261"/>
      <c r="BF67" s="293"/>
      <c r="BG67" s="228"/>
      <c r="BH67" s="292"/>
      <c r="BI67" s="261"/>
      <c r="BJ67" s="261"/>
      <c r="BK67" s="293"/>
      <c r="BL67" s="228"/>
      <c r="BM67" s="330"/>
      <c r="BN67" s="330"/>
      <c r="BO67" s="330"/>
      <c r="BP67" s="330"/>
      <c r="BQ67" s="330"/>
      <c r="BR67" s="330"/>
      <c r="BS67" s="330"/>
      <c r="BT67" s="330"/>
      <c r="BU67" s="330"/>
      <c r="BV67" s="330"/>
      <c r="BW67" s="330"/>
      <c r="BX67" s="330"/>
      <c r="BY67" s="330"/>
      <c r="BZ67" s="330"/>
      <c r="CA67" s="330"/>
      <c r="CB67" s="330"/>
      <c r="CC67" s="330"/>
      <c r="CD67" s="330"/>
      <c r="CE67" s="330"/>
      <c r="CF67" s="330"/>
      <c r="CG67" s="330"/>
      <c r="CH67" s="330"/>
      <c r="CI67" s="330"/>
      <c r="CJ67" s="330"/>
      <c r="CK67" s="330"/>
      <c r="CL67" s="330"/>
      <c r="CM67" s="330"/>
      <c r="CN67" s="330"/>
      <c r="CO67" s="330"/>
      <c r="CP67" s="330"/>
    </row>
    <row r="68" spans="1:94">
      <c r="A68" s="895"/>
      <c r="B68" s="895"/>
      <c r="C68" s="895" t="s">
        <v>733</v>
      </c>
      <c r="D68" s="895"/>
      <c r="E68" s="1700"/>
      <c r="F68" s="1337"/>
      <c r="G68" s="1337"/>
      <c r="H68" s="1701"/>
      <c r="I68" s="1713"/>
      <c r="J68" s="1700"/>
      <c r="K68" s="1337"/>
      <c r="L68" s="1337"/>
      <c r="M68" s="1701"/>
      <c r="N68" s="1713">
        <f t="shared" ref="N68:AW68" si="124">+N66/I66-1</f>
        <v>-4.9288168875797789E-2</v>
      </c>
      <c r="O68" s="1700">
        <f t="shared" si="124"/>
        <v>-7.8958976621085086E-2</v>
      </c>
      <c r="P68" s="1337">
        <f t="shared" si="124"/>
        <v>-3.1827956989247341E-2</v>
      </c>
      <c r="Q68" s="1337">
        <f t="shared" si="124"/>
        <v>-3.5783994795055563E-3</v>
      </c>
      <c r="R68" s="1701">
        <f t="shared" si="124"/>
        <v>3.7679722359940548E-2</v>
      </c>
      <c r="S68" s="1713">
        <f t="shared" si="124"/>
        <v>-1.9415470412062374E-2</v>
      </c>
      <c r="T68" s="1700">
        <f t="shared" si="124"/>
        <v>6.321839080459779E-2</v>
      </c>
      <c r="U68" s="1337">
        <f t="shared" si="124"/>
        <v>-5.2421146157263454E-2</v>
      </c>
      <c r="V68" s="1337">
        <f t="shared" si="124"/>
        <v>-9.5004897159647439E-2</v>
      </c>
      <c r="W68" s="1701">
        <f t="shared" si="124"/>
        <v>6.2111801242235032E-3</v>
      </c>
      <c r="X68" s="1713">
        <f t="shared" si="124"/>
        <v>-2.7804107424960534E-2</v>
      </c>
      <c r="Y68" s="1700">
        <f t="shared" si="124"/>
        <v>2.9279279279279313E-2</v>
      </c>
      <c r="Z68" s="1337">
        <f t="shared" si="124"/>
        <v>-4.9695264885138313E-2</v>
      </c>
      <c r="AA68" s="1337">
        <f t="shared" si="124"/>
        <v>-3.0663780663780615E-2</v>
      </c>
      <c r="AB68" s="1701">
        <f t="shared" ref="AB68" si="125">+AB66/W66-1</f>
        <v>-2.5641025641025661E-2</v>
      </c>
      <c r="AC68" s="1713">
        <f t="shared" ref="AC68" si="126">+AC66/X66-1</f>
        <v>-1.9499512512187178E-2</v>
      </c>
      <c r="AD68" s="1700">
        <f t="shared" ref="AD68" si="127">+AD66/Y66-1</f>
        <v>-1.2253829321662968E-2</v>
      </c>
      <c r="AE68" s="1337">
        <f t="shared" ref="AE68" si="128">+AE66/Z66-1</f>
        <v>5.8214109521460333E-2</v>
      </c>
      <c r="AF68" s="1337">
        <f t="shared" ref="AF68" si="129">+AF66/AA66-1</f>
        <v>2.2329735764793357E-2</v>
      </c>
      <c r="AG68" s="1701">
        <f t="shared" ref="AG68" si="130">+AG66/AB66-1</f>
        <v>2.3391812865497075E-2</v>
      </c>
      <c r="AH68" s="1713">
        <f t="shared" ref="AH68:AK68" si="131">+AH66/AC66-1</f>
        <v>2.1876035797149473E-2</v>
      </c>
      <c r="AI68" s="1700">
        <f t="shared" si="131"/>
        <v>-8.6397873283119209E-2</v>
      </c>
      <c r="AJ68" s="1337">
        <f t="shared" si="131"/>
        <v>-8.6713286713286708E-2</v>
      </c>
      <c r="AK68" s="1337">
        <f t="shared" si="131"/>
        <v>0.1081179468511102</v>
      </c>
      <c r="AL68" s="1701">
        <f t="shared" ref="AL68" si="132">+AL66/AG66-1</f>
        <v>-5.0476190476190452E-2</v>
      </c>
      <c r="AM68" s="1713">
        <f t="shared" ref="AM68:AO68" si="133">+AM66/AH66-1</f>
        <v>-2.0542761379608643E-2</v>
      </c>
      <c r="AN68" s="1700">
        <f t="shared" si="133"/>
        <v>-5.9165858389912729E-2</v>
      </c>
      <c r="AO68" s="1337">
        <f t="shared" si="133"/>
        <v>1.0719754977029039E-2</v>
      </c>
      <c r="AP68" s="1337">
        <f t="shared" ref="AP68" si="134">+AP66/AK66-1</f>
        <v>-0.11169513797634689</v>
      </c>
      <c r="AQ68" s="1701">
        <f t="shared" ref="AQ68" si="135">+AQ66/AL66-1</f>
        <v>-1.6549648946840523E-2</v>
      </c>
      <c r="AR68" s="1713">
        <f t="shared" ref="AR68" si="136">+AR66/AM66-1</f>
        <v>-5.2323656032674637E-2</v>
      </c>
      <c r="AS68" s="1700">
        <f t="shared" si="124"/>
        <v>0</v>
      </c>
      <c r="AT68" s="1337">
        <f t="shared" si="124"/>
        <v>0</v>
      </c>
      <c r="AU68" s="1337">
        <f t="shared" si="124"/>
        <v>0</v>
      </c>
      <c r="AV68" s="1701">
        <f t="shared" si="124"/>
        <v>0</v>
      </c>
      <c r="AW68" s="1713">
        <f t="shared" si="124"/>
        <v>0</v>
      </c>
      <c r="AX68" s="1700">
        <f t="shared" ref="AX68" si="137">+AX66/AS66-1</f>
        <v>0</v>
      </c>
      <c r="AY68" s="1337">
        <f t="shared" ref="AY68" si="138">+AY66/AT66-1</f>
        <v>0</v>
      </c>
      <c r="AZ68" s="1337">
        <f t="shared" ref="AZ68" si="139">+AZ66/AU66-1</f>
        <v>0</v>
      </c>
      <c r="BA68" s="1701">
        <f t="shared" ref="BA68" si="140">+BA66/AV66-1</f>
        <v>0</v>
      </c>
      <c r="BB68" s="1713">
        <f t="shared" ref="BB68" si="141">+BB66/AW66-1</f>
        <v>0</v>
      </c>
      <c r="BC68" s="1700">
        <f t="shared" ref="BC68" si="142">+BC66/AX66-1</f>
        <v>0</v>
      </c>
      <c r="BD68" s="1337">
        <f t="shared" ref="BD68" si="143">+BD66/AY66-1</f>
        <v>0</v>
      </c>
      <c r="BE68" s="1337">
        <f t="shared" ref="BE68" si="144">+BE66/AZ66-1</f>
        <v>0</v>
      </c>
      <c r="BF68" s="1701">
        <f t="shared" ref="BF68" si="145">+BF66/BA66-1</f>
        <v>0</v>
      </c>
      <c r="BG68" s="1713">
        <f t="shared" ref="BG68" si="146">+BG66/BB66-1</f>
        <v>0</v>
      </c>
      <c r="BH68" s="1700">
        <f t="shared" ref="BH68" si="147">+BH66/BC66-1</f>
        <v>0</v>
      </c>
      <c r="BI68" s="1337">
        <f t="shared" ref="BI68" si="148">+BI66/BD66-1</f>
        <v>0</v>
      </c>
      <c r="BJ68" s="1337">
        <f t="shared" ref="BJ68" si="149">+BJ66/BE66-1</f>
        <v>0</v>
      </c>
      <c r="BK68" s="1701">
        <f t="shared" ref="BK68" si="150">+BK66/BF66-1</f>
        <v>0</v>
      </c>
      <c r="BL68" s="1713">
        <f t="shared" ref="BL68" si="151">+BL66/BG66-1</f>
        <v>0</v>
      </c>
      <c r="BM68" s="895"/>
      <c r="BN68" s="895"/>
      <c r="BO68" s="895"/>
      <c r="BP68" s="895"/>
      <c r="BQ68" s="895"/>
      <c r="BR68" s="895"/>
      <c r="BS68" s="895"/>
      <c r="BT68" s="895"/>
      <c r="BU68" s="895"/>
      <c r="BV68" s="895"/>
      <c r="BW68" s="895"/>
      <c r="BX68" s="895"/>
      <c r="BY68" s="895"/>
      <c r="BZ68" s="895"/>
      <c r="CA68" s="895"/>
      <c r="CB68" s="895"/>
      <c r="CC68" s="895"/>
      <c r="CD68" s="895"/>
      <c r="CE68" s="895"/>
      <c r="CF68" s="895"/>
      <c r="CG68" s="895"/>
      <c r="CH68" s="895"/>
      <c r="CI68" s="895"/>
      <c r="CJ68" s="895"/>
      <c r="CK68" s="895"/>
      <c r="CL68" s="895"/>
      <c r="CM68" s="895"/>
      <c r="CN68" s="895"/>
      <c r="CO68" s="895"/>
      <c r="CP68" s="895"/>
    </row>
    <row r="69" spans="1:94">
      <c r="A69" s="890"/>
      <c r="B69" s="890"/>
      <c r="C69" s="1736"/>
      <c r="D69" s="890"/>
      <c r="E69" s="891"/>
      <c r="F69" s="892"/>
      <c r="G69" s="892"/>
      <c r="H69" s="893"/>
      <c r="I69" s="894"/>
      <c r="J69" s="891"/>
      <c r="K69" s="892"/>
      <c r="L69" s="892"/>
      <c r="M69" s="893"/>
      <c r="N69" s="894"/>
      <c r="O69" s="891"/>
      <c r="P69" s="892"/>
      <c r="Q69" s="892"/>
      <c r="R69" s="893"/>
      <c r="S69" s="894"/>
      <c r="T69" s="891"/>
      <c r="U69" s="892"/>
      <c r="V69" s="892"/>
      <c r="W69" s="893"/>
      <c r="X69" s="894"/>
      <c r="Y69" s="891"/>
      <c r="Z69" s="892"/>
      <c r="AA69" s="892"/>
      <c r="AB69" s="893"/>
      <c r="AC69" s="894"/>
      <c r="AD69" s="891"/>
      <c r="AE69" s="892"/>
      <c r="AF69" s="892"/>
      <c r="AG69" s="893"/>
      <c r="AH69" s="894"/>
      <c r="AI69" s="891"/>
      <c r="AJ69" s="892"/>
      <c r="AK69" s="892"/>
      <c r="AL69" s="893"/>
      <c r="AM69" s="894"/>
      <c r="AN69" s="891"/>
      <c r="AO69" s="892"/>
      <c r="AP69" s="892"/>
      <c r="AQ69" s="893"/>
      <c r="AR69" s="894"/>
      <c r="AS69" s="891"/>
      <c r="AT69" s="892"/>
      <c r="AU69" s="892"/>
      <c r="AV69" s="893"/>
      <c r="AW69" s="894"/>
      <c r="AX69" s="891"/>
      <c r="AY69" s="892"/>
      <c r="AZ69" s="892"/>
      <c r="BA69" s="893"/>
      <c r="BB69" s="894"/>
      <c r="BC69" s="891"/>
      <c r="BD69" s="892"/>
      <c r="BE69" s="892"/>
      <c r="BF69" s="893"/>
      <c r="BG69" s="894"/>
      <c r="BH69" s="891"/>
      <c r="BI69" s="892"/>
      <c r="BJ69" s="892"/>
      <c r="BK69" s="893"/>
      <c r="BL69" s="894"/>
      <c r="BM69" s="890"/>
      <c r="BN69" s="890"/>
      <c r="BO69" s="890"/>
      <c r="BP69" s="890"/>
      <c r="BQ69" s="890"/>
      <c r="BR69" s="890"/>
      <c r="BS69" s="890"/>
      <c r="BT69" s="890"/>
      <c r="BU69" s="890"/>
      <c r="BV69" s="890"/>
      <c r="BW69" s="890"/>
      <c r="BX69" s="890"/>
      <c r="BY69" s="890"/>
      <c r="BZ69" s="890"/>
      <c r="CA69" s="890"/>
      <c r="CB69" s="890"/>
      <c r="CC69" s="890"/>
      <c r="CD69" s="890"/>
      <c r="CE69" s="890"/>
      <c r="CF69" s="890"/>
      <c r="CG69" s="890"/>
      <c r="CH69" s="890"/>
      <c r="CI69" s="890"/>
      <c r="CJ69" s="890"/>
      <c r="CK69" s="890"/>
      <c r="CL69" s="890"/>
      <c r="CM69" s="890"/>
      <c r="CN69" s="890"/>
      <c r="CO69" s="890"/>
      <c r="CP69" s="890"/>
    </row>
    <row r="70" spans="1:94">
      <c r="A70" s="890"/>
      <c r="B70" s="890"/>
      <c r="C70" s="909" t="s">
        <v>135</v>
      </c>
      <c r="D70" s="890"/>
      <c r="E70" s="891"/>
      <c r="F70" s="892"/>
      <c r="G70" s="892"/>
      <c r="H70" s="893"/>
      <c r="I70" s="894"/>
      <c r="J70" s="891"/>
      <c r="K70" s="892"/>
      <c r="L70" s="892"/>
      <c r="M70" s="893"/>
      <c r="N70" s="894"/>
      <c r="O70" s="891"/>
      <c r="P70" s="892"/>
      <c r="Q70" s="892"/>
      <c r="R70" s="893"/>
      <c r="S70" s="894"/>
      <c r="T70" s="891"/>
      <c r="U70" s="892"/>
      <c r="V70" s="892"/>
      <c r="W70" s="893"/>
      <c r="X70" s="894"/>
      <c r="Y70" s="891"/>
      <c r="Z70" s="892"/>
      <c r="AA70" s="892"/>
      <c r="AB70" s="893"/>
      <c r="AC70" s="894"/>
      <c r="AD70" s="891"/>
      <c r="AE70" s="892"/>
      <c r="AF70" s="892"/>
      <c r="AG70" s="893"/>
      <c r="AH70" s="894"/>
      <c r="AI70" s="891"/>
      <c r="AJ70" s="892"/>
      <c r="AK70" s="892"/>
      <c r="AL70" s="893"/>
      <c r="AM70" s="894"/>
      <c r="AN70" s="891"/>
      <c r="AO70" s="892"/>
      <c r="AP70" s="892"/>
      <c r="AQ70" s="893"/>
      <c r="AR70" s="894"/>
      <c r="AS70" s="891"/>
      <c r="AT70" s="892"/>
      <c r="AU70" s="892"/>
      <c r="AV70" s="893"/>
      <c r="AW70" s="894"/>
      <c r="AX70" s="891"/>
      <c r="AY70" s="892"/>
      <c r="AZ70" s="892"/>
      <c r="BA70" s="893"/>
      <c r="BB70" s="894"/>
      <c r="BC70" s="891"/>
      <c r="BD70" s="892"/>
      <c r="BE70" s="892"/>
      <c r="BF70" s="893"/>
      <c r="BG70" s="894"/>
      <c r="BH70" s="891"/>
      <c r="BI70" s="892"/>
      <c r="BJ70" s="892"/>
      <c r="BK70" s="893"/>
      <c r="BL70" s="894"/>
      <c r="BM70" s="890"/>
      <c r="BN70" s="890"/>
      <c r="BO70" s="890"/>
      <c r="BP70" s="890"/>
      <c r="BQ70" s="890"/>
      <c r="BR70" s="890"/>
      <c r="BS70" s="890"/>
      <c r="BT70" s="890"/>
      <c r="BU70" s="890"/>
      <c r="BV70" s="890"/>
      <c r="BW70" s="890"/>
      <c r="BX70" s="890"/>
      <c r="BY70" s="890"/>
      <c r="BZ70" s="890"/>
      <c r="CA70" s="890"/>
      <c r="CB70" s="890"/>
      <c r="CC70" s="890"/>
      <c r="CD70" s="890"/>
      <c r="CE70" s="890"/>
      <c r="CF70" s="890"/>
      <c r="CG70" s="890"/>
      <c r="CH70" s="890"/>
      <c r="CI70" s="890"/>
      <c r="CJ70" s="890"/>
      <c r="CK70" s="890"/>
      <c r="CL70" s="890"/>
      <c r="CM70" s="890"/>
      <c r="CN70" s="890"/>
      <c r="CO70" s="890"/>
      <c r="CP70" s="890"/>
    </row>
    <row r="71" spans="1:94">
      <c r="A71" s="330"/>
      <c r="B71" s="330"/>
      <c r="C71" s="895" t="s">
        <v>723</v>
      </c>
      <c r="D71" s="330"/>
      <c r="E71" s="1738"/>
      <c r="F71" s="1739"/>
      <c r="G71" s="1739"/>
      <c r="H71" s="1734"/>
      <c r="I71" s="1737">
        <f t="shared" ref="I71:Z71" si="152">I9</f>
        <v>1030</v>
      </c>
      <c r="J71" s="1738">
        <f t="shared" si="152"/>
        <v>198</v>
      </c>
      <c r="K71" s="1739">
        <f t="shared" si="152"/>
        <v>196</v>
      </c>
      <c r="L71" s="1739">
        <f t="shared" si="152"/>
        <v>254</v>
      </c>
      <c r="M71" s="1734">
        <f t="shared" si="152"/>
        <v>159</v>
      </c>
      <c r="N71" s="1737">
        <f t="shared" si="152"/>
        <v>807</v>
      </c>
      <c r="O71" s="1738">
        <f t="shared" si="152"/>
        <v>166</v>
      </c>
      <c r="P71" s="1739">
        <f t="shared" si="152"/>
        <v>163</v>
      </c>
      <c r="Q71" s="1739">
        <f t="shared" si="152"/>
        <v>226</v>
      </c>
      <c r="R71" s="1734">
        <f t="shared" si="152"/>
        <v>148</v>
      </c>
      <c r="S71" s="1737">
        <f t="shared" si="152"/>
        <v>703</v>
      </c>
      <c r="T71" s="290">
        <f t="shared" si="152"/>
        <v>157</v>
      </c>
      <c r="U71" s="1739">
        <f t="shared" si="152"/>
        <v>154</v>
      </c>
      <c r="V71" s="1739">
        <f t="shared" si="152"/>
        <v>198</v>
      </c>
      <c r="W71" s="1734">
        <f t="shared" si="152"/>
        <v>151</v>
      </c>
      <c r="X71" s="1737">
        <f t="shared" si="152"/>
        <v>660</v>
      </c>
      <c r="Y71" s="290">
        <f t="shared" si="152"/>
        <v>165</v>
      </c>
      <c r="Z71" s="1739">
        <f t="shared" si="152"/>
        <v>151</v>
      </c>
      <c r="AA71" s="1739">
        <f t="shared" ref="AA71:AE71" si="153">AA9</f>
        <v>188</v>
      </c>
      <c r="AB71" s="1734">
        <f t="shared" si="153"/>
        <v>149</v>
      </c>
      <c r="AC71" s="1737">
        <f t="shared" si="153"/>
        <v>653</v>
      </c>
      <c r="AD71" s="290">
        <f t="shared" si="153"/>
        <v>169</v>
      </c>
      <c r="AE71" s="1739">
        <f t="shared" si="153"/>
        <v>152</v>
      </c>
      <c r="AF71" s="1739">
        <f t="shared" ref="AF71:AJ71" si="154">AF9</f>
        <v>214</v>
      </c>
      <c r="AG71" s="1734">
        <f t="shared" si="154"/>
        <v>150</v>
      </c>
      <c r="AH71" s="1737">
        <f t="shared" si="154"/>
        <v>685</v>
      </c>
      <c r="AI71" s="290">
        <f t="shared" si="154"/>
        <v>158</v>
      </c>
      <c r="AJ71" s="1739">
        <f t="shared" si="154"/>
        <v>141</v>
      </c>
      <c r="AK71" s="1739">
        <f t="shared" ref="AK71:AO71" si="155">AK9</f>
        <v>221</v>
      </c>
      <c r="AL71" s="1734">
        <f t="shared" si="155"/>
        <v>131</v>
      </c>
      <c r="AM71" s="1737">
        <f t="shared" si="155"/>
        <v>651</v>
      </c>
      <c r="AN71" s="290">
        <f t="shared" si="155"/>
        <v>137</v>
      </c>
      <c r="AO71" s="1739">
        <f t="shared" si="155"/>
        <v>128</v>
      </c>
      <c r="AP71" s="1739">
        <f t="shared" ref="AP71:AR71" si="156">AP9</f>
        <v>176</v>
      </c>
      <c r="AQ71" s="1734">
        <f t="shared" si="156"/>
        <v>129</v>
      </c>
      <c r="AR71" s="1737">
        <f t="shared" si="156"/>
        <v>570</v>
      </c>
      <c r="AS71" s="290">
        <f>+AS72*AS66/1000</f>
        <v>137</v>
      </c>
      <c r="AT71" s="260">
        <f>+AT72*AT66/1000</f>
        <v>128.00000000000003</v>
      </c>
      <c r="AU71" s="260">
        <f>+AU72*AU66/1000</f>
        <v>176</v>
      </c>
      <c r="AV71" s="291">
        <f>+AV72*AV66/1000</f>
        <v>129</v>
      </c>
      <c r="AW71" s="228">
        <f>SUM(AS71:AV71)</f>
        <v>570</v>
      </c>
      <c r="AX71" s="290">
        <f>+AX72*AX66/1000</f>
        <v>137</v>
      </c>
      <c r="AY71" s="260">
        <f>+AY72*AY66/1000</f>
        <v>128.00000000000003</v>
      </c>
      <c r="AZ71" s="260">
        <f>+AZ72*AZ66/1000</f>
        <v>176</v>
      </c>
      <c r="BA71" s="291">
        <f>+BA72*BA66/1000</f>
        <v>129</v>
      </c>
      <c r="BB71" s="228">
        <f>SUM(AX71:BA71)</f>
        <v>570</v>
      </c>
      <c r="BC71" s="290">
        <f>+BC72*BC66/1000</f>
        <v>137</v>
      </c>
      <c r="BD71" s="260">
        <f>+BD72*BD66/1000</f>
        <v>128.00000000000003</v>
      </c>
      <c r="BE71" s="260">
        <f>+BE72*BE66/1000</f>
        <v>176</v>
      </c>
      <c r="BF71" s="291">
        <f>+BF72*BF66/1000</f>
        <v>129</v>
      </c>
      <c r="BG71" s="228">
        <f>SUM(BC71:BF71)</f>
        <v>570</v>
      </c>
      <c r="BH71" s="290">
        <f>+BH72*BH66/1000</f>
        <v>137</v>
      </c>
      <c r="BI71" s="260">
        <f>+BI72*BI66/1000</f>
        <v>128.00000000000003</v>
      </c>
      <c r="BJ71" s="260">
        <f>+BJ72*BJ66/1000</f>
        <v>176</v>
      </c>
      <c r="BK71" s="291">
        <f>+BK72*BK66/1000</f>
        <v>129</v>
      </c>
      <c r="BL71" s="228">
        <f>SUM(BH71:BK71)</f>
        <v>570</v>
      </c>
      <c r="BM71" s="330"/>
      <c r="BN71" s="330"/>
      <c r="BO71" s="330"/>
      <c r="BP71" s="330"/>
      <c r="BQ71" s="330"/>
      <c r="BR71" s="330"/>
      <c r="BS71" s="330"/>
      <c r="BT71" s="330"/>
      <c r="BU71" s="330"/>
      <c r="BV71" s="330"/>
      <c r="BW71" s="330"/>
      <c r="BX71" s="330"/>
      <c r="BY71" s="330"/>
      <c r="BZ71" s="330"/>
      <c r="CA71" s="330"/>
      <c r="CB71" s="330"/>
      <c r="CC71" s="330"/>
      <c r="CD71" s="330"/>
      <c r="CE71" s="330"/>
      <c r="CF71" s="330"/>
      <c r="CG71" s="330"/>
      <c r="CH71" s="330"/>
      <c r="CI71" s="330"/>
      <c r="CJ71" s="330"/>
      <c r="CK71" s="330"/>
      <c r="CL71" s="330"/>
      <c r="CM71" s="330"/>
      <c r="CN71" s="330"/>
      <c r="CO71" s="330"/>
      <c r="CP71" s="330"/>
    </row>
    <row r="72" spans="1:94">
      <c r="A72" s="890"/>
      <c r="B72" s="890"/>
      <c r="C72" s="895" t="s">
        <v>137</v>
      </c>
      <c r="D72" s="890"/>
      <c r="E72" s="1740"/>
      <c r="F72" s="1741"/>
      <c r="G72" s="1741"/>
      <c r="H72" s="1742"/>
      <c r="I72" s="1743">
        <f t="shared" ref="I72:S72" si="157">+I71/I66*1000</f>
        <v>101.12911143838978</v>
      </c>
      <c r="J72" s="1740">
        <f t="shared" si="157"/>
        <v>87.340097044552266</v>
      </c>
      <c r="K72" s="1741">
        <f t="shared" si="157"/>
        <v>84.301075268817215</v>
      </c>
      <c r="L72" s="1741">
        <f t="shared" si="157"/>
        <v>82.628497072218607</v>
      </c>
      <c r="M72" s="1742">
        <f t="shared" si="157"/>
        <v>78.829945463559739</v>
      </c>
      <c r="N72" s="1743">
        <f t="shared" si="157"/>
        <v>83.341939481565618</v>
      </c>
      <c r="O72" s="1740">
        <f t="shared" si="157"/>
        <v>79.501915708812263</v>
      </c>
      <c r="P72" s="1741">
        <f t="shared" si="157"/>
        <v>72.412261217236789</v>
      </c>
      <c r="Q72" s="1741">
        <f t="shared" si="157"/>
        <v>73.783872020894549</v>
      </c>
      <c r="R72" s="1742">
        <f t="shared" si="157"/>
        <v>70.711896798853331</v>
      </c>
      <c r="S72" s="1743">
        <f t="shared" si="157"/>
        <v>74.03896787783043</v>
      </c>
      <c r="T72" s="1740">
        <f t="shared" ref="T72:Z72" si="158">+T71/T66*1000</f>
        <v>70.72072072072072</v>
      </c>
      <c r="U72" s="1741">
        <f t="shared" si="158"/>
        <v>72.198781059540551</v>
      </c>
      <c r="V72" s="1741">
        <f t="shared" si="158"/>
        <v>71.428571428571431</v>
      </c>
      <c r="W72" s="1742">
        <f t="shared" si="158"/>
        <v>71.699905033238366</v>
      </c>
      <c r="X72" s="1743">
        <f t="shared" si="158"/>
        <v>71.498212544686382</v>
      </c>
      <c r="Y72" s="1740">
        <f t="shared" si="158"/>
        <v>72.210065645514234</v>
      </c>
      <c r="Z72" s="1741">
        <f t="shared" si="158"/>
        <v>74.49432659102122</v>
      </c>
      <c r="AA72" s="1741">
        <f t="shared" ref="AA72:AE72" si="159">+AA71/AA66*1000</f>
        <v>69.966505396352815</v>
      </c>
      <c r="AB72" s="1742">
        <f t="shared" si="159"/>
        <v>72.612085769980496</v>
      </c>
      <c r="AC72" s="1743">
        <f t="shared" si="159"/>
        <v>72.146724118881892</v>
      </c>
      <c r="AD72" s="1740">
        <f t="shared" si="159"/>
        <v>74.878156845369958</v>
      </c>
      <c r="AE72" s="1741">
        <f t="shared" si="159"/>
        <v>70.862470862470872</v>
      </c>
      <c r="AF72" s="1741">
        <f t="shared" ref="AF72:AJ72" si="160">+AF71/AF66*1000</f>
        <v>77.90316709137241</v>
      </c>
      <c r="AG72" s="1742">
        <f t="shared" si="160"/>
        <v>71.428571428571431</v>
      </c>
      <c r="AH72" s="1743">
        <f t="shared" si="160"/>
        <v>74.062060763325761</v>
      </c>
      <c r="AI72" s="1740">
        <f t="shared" si="160"/>
        <v>76.624636275460716</v>
      </c>
      <c r="AJ72" s="1741">
        <f t="shared" si="160"/>
        <v>71.975497702909649</v>
      </c>
      <c r="AK72" s="1741">
        <f t="shared" ref="AK72:AO72" si="161">+AK71/AK66*1000</f>
        <v>72.601839684625503</v>
      </c>
      <c r="AL72" s="1742">
        <f t="shared" si="161"/>
        <v>65.697091273821471</v>
      </c>
      <c r="AM72" s="1743">
        <f t="shared" si="161"/>
        <v>71.862236449939289</v>
      </c>
      <c r="AN72" s="1740">
        <f t="shared" si="161"/>
        <v>70.618556701030926</v>
      </c>
      <c r="AO72" s="1741">
        <f t="shared" si="161"/>
        <v>64.646464646464651</v>
      </c>
      <c r="AP72" s="1741">
        <f t="shared" ref="AP72:AR72" si="162">+AP71/AP66*1000</f>
        <v>65.088757396449708</v>
      </c>
      <c r="AQ72" s="1742">
        <f t="shared" si="162"/>
        <v>65.782763895971442</v>
      </c>
      <c r="AR72" s="1743">
        <f t="shared" si="162"/>
        <v>66.394874781595803</v>
      </c>
      <c r="AS72" s="1740">
        <f>+AN72</f>
        <v>70.618556701030926</v>
      </c>
      <c r="AT72" s="1741">
        <f>+AO72</f>
        <v>64.646464646464651</v>
      </c>
      <c r="AU72" s="1741">
        <f>+AP72</f>
        <v>65.088757396449708</v>
      </c>
      <c r="AV72" s="1742">
        <f>+AQ72</f>
        <v>65.782763895971442</v>
      </c>
      <c r="AW72" s="1743">
        <f>+AW71/AW66*1000</f>
        <v>66.394874781595803</v>
      </c>
      <c r="AX72" s="1740">
        <f>+AS72</f>
        <v>70.618556701030926</v>
      </c>
      <c r="AY72" s="1741">
        <f>+AT72</f>
        <v>64.646464646464651</v>
      </c>
      <c r="AZ72" s="1741">
        <f>+AU72</f>
        <v>65.088757396449708</v>
      </c>
      <c r="BA72" s="1742">
        <f>+AV72</f>
        <v>65.782763895971442</v>
      </c>
      <c r="BB72" s="1743">
        <f>+BB71/BB66*1000</f>
        <v>66.394874781595803</v>
      </c>
      <c r="BC72" s="1740">
        <f>+AX72</f>
        <v>70.618556701030926</v>
      </c>
      <c r="BD72" s="1741">
        <f>+AY72</f>
        <v>64.646464646464651</v>
      </c>
      <c r="BE72" s="1741">
        <f>+AZ72</f>
        <v>65.088757396449708</v>
      </c>
      <c r="BF72" s="1742">
        <f>+BA72</f>
        <v>65.782763895971442</v>
      </c>
      <c r="BG72" s="1743">
        <f>+BG71/BG66*1000</f>
        <v>66.394874781595803</v>
      </c>
      <c r="BH72" s="1740">
        <f>+BC72</f>
        <v>70.618556701030926</v>
      </c>
      <c r="BI72" s="1741">
        <f>+BD72</f>
        <v>64.646464646464651</v>
      </c>
      <c r="BJ72" s="1741">
        <f>+BE72</f>
        <v>65.088757396449708</v>
      </c>
      <c r="BK72" s="1742">
        <f>+BF72</f>
        <v>65.782763895971442</v>
      </c>
      <c r="BL72" s="1743">
        <f>+BL71/BL66*1000</f>
        <v>66.394874781595803</v>
      </c>
      <c r="BM72" s="890"/>
      <c r="BN72" s="890"/>
      <c r="BO72" s="890"/>
      <c r="BP72" s="890"/>
      <c r="BQ72" s="890"/>
      <c r="BR72" s="890"/>
      <c r="BS72" s="890"/>
      <c r="BT72" s="890"/>
      <c r="BU72" s="890"/>
      <c r="BV72" s="890"/>
      <c r="BW72" s="890"/>
      <c r="BX72" s="890"/>
      <c r="BY72" s="890"/>
      <c r="BZ72" s="890"/>
      <c r="CA72" s="890"/>
      <c r="CB72" s="890"/>
      <c r="CC72" s="890"/>
      <c r="CD72" s="890"/>
      <c r="CE72" s="890"/>
      <c r="CF72" s="890"/>
      <c r="CG72" s="890"/>
      <c r="CH72" s="890"/>
      <c r="CI72" s="890"/>
      <c r="CJ72" s="890"/>
      <c r="CK72" s="890"/>
      <c r="CL72" s="890"/>
      <c r="CM72" s="890"/>
      <c r="CN72" s="890"/>
      <c r="CO72" s="890"/>
      <c r="CP72" s="890"/>
    </row>
    <row r="73" spans="1:94">
      <c r="A73" s="890"/>
      <c r="B73" s="890"/>
      <c r="C73" s="909"/>
      <c r="D73" s="890"/>
      <c r="E73" s="891"/>
      <c r="F73" s="892"/>
      <c r="G73" s="892"/>
      <c r="H73" s="893"/>
      <c r="I73" s="894"/>
      <c r="J73" s="891"/>
      <c r="K73" s="892"/>
      <c r="L73" s="892"/>
      <c r="M73" s="893"/>
      <c r="N73" s="894"/>
      <c r="O73" s="891"/>
      <c r="P73" s="892"/>
      <c r="Q73" s="892"/>
      <c r="R73" s="893"/>
      <c r="S73" s="894"/>
      <c r="T73" s="891"/>
      <c r="U73" s="892"/>
      <c r="V73" s="892"/>
      <c r="W73" s="893"/>
      <c r="X73" s="894"/>
      <c r="Y73" s="891"/>
      <c r="Z73" s="892"/>
      <c r="AA73" s="892"/>
      <c r="AB73" s="893"/>
      <c r="AC73" s="894"/>
      <c r="AD73" s="891"/>
      <c r="AE73" s="892"/>
      <c r="AF73" s="892"/>
      <c r="AG73" s="893"/>
      <c r="AH73" s="894"/>
      <c r="AI73" s="891"/>
      <c r="AJ73" s="892"/>
      <c r="AK73" s="892"/>
      <c r="AL73" s="893"/>
      <c r="AM73" s="894"/>
      <c r="AN73" s="891"/>
      <c r="AO73" s="892"/>
      <c r="AP73" s="892"/>
      <c r="AQ73" s="893"/>
      <c r="AR73" s="894"/>
      <c r="AS73" s="891"/>
      <c r="AT73" s="892"/>
      <c r="AU73" s="892"/>
      <c r="AV73" s="893"/>
      <c r="AW73" s="894"/>
      <c r="AX73" s="891"/>
      <c r="AY73" s="892"/>
      <c r="AZ73" s="892"/>
      <c r="BA73" s="893"/>
      <c r="BB73" s="894"/>
      <c r="BC73" s="891"/>
      <c r="BD73" s="892"/>
      <c r="BE73" s="892"/>
      <c r="BF73" s="893"/>
      <c r="BG73" s="894"/>
      <c r="BH73" s="891"/>
      <c r="BI73" s="892"/>
      <c r="BJ73" s="892"/>
      <c r="BK73" s="893"/>
      <c r="BL73" s="894"/>
      <c r="BM73" s="890"/>
      <c r="BN73" s="890"/>
      <c r="BO73" s="890"/>
      <c r="BP73" s="890"/>
      <c r="BQ73" s="890"/>
      <c r="BR73" s="890"/>
      <c r="BS73" s="890"/>
      <c r="BT73" s="890"/>
      <c r="BU73" s="890"/>
      <c r="BV73" s="890"/>
      <c r="BW73" s="890"/>
      <c r="BX73" s="890"/>
      <c r="BY73" s="890"/>
      <c r="BZ73" s="890"/>
      <c r="CA73" s="890"/>
      <c r="CB73" s="890"/>
      <c r="CC73" s="890"/>
      <c r="CD73" s="890"/>
      <c r="CE73" s="890"/>
      <c r="CF73" s="890"/>
      <c r="CG73" s="890"/>
      <c r="CH73" s="890"/>
      <c r="CI73" s="890"/>
      <c r="CJ73" s="890"/>
      <c r="CK73" s="890"/>
      <c r="CL73" s="890"/>
      <c r="CM73" s="890"/>
      <c r="CN73" s="890"/>
      <c r="CO73" s="890"/>
      <c r="CP73" s="890"/>
    </row>
    <row r="74" spans="1:94">
      <c r="A74" s="890"/>
      <c r="B74" s="890"/>
      <c r="C74" s="909" t="s">
        <v>138</v>
      </c>
      <c r="D74" s="890"/>
      <c r="E74" s="292"/>
      <c r="F74" s="261"/>
      <c r="G74" s="261"/>
      <c r="H74" s="293"/>
      <c r="I74" s="228">
        <f t="shared" ref="I74:AW74" si="163">+I62-I71</f>
        <v>508</v>
      </c>
      <c r="J74" s="1744">
        <f t="shared" si="163"/>
        <v>120</v>
      </c>
      <c r="K74" s="1745">
        <f t="shared" si="163"/>
        <v>137</v>
      </c>
      <c r="L74" s="261">
        <f t="shared" si="163"/>
        <v>162</v>
      </c>
      <c r="M74" s="293">
        <f t="shared" si="163"/>
        <v>105</v>
      </c>
      <c r="N74" s="228">
        <f t="shared" si="163"/>
        <v>524</v>
      </c>
      <c r="O74" s="1744">
        <f t="shared" si="163"/>
        <v>105</v>
      </c>
      <c r="P74" s="1745">
        <f t="shared" si="163"/>
        <v>127</v>
      </c>
      <c r="Q74" s="1745">
        <f t="shared" si="163"/>
        <v>158</v>
      </c>
      <c r="R74" s="293">
        <f t="shared" si="163"/>
        <v>110</v>
      </c>
      <c r="S74" s="228">
        <f t="shared" si="163"/>
        <v>500</v>
      </c>
      <c r="T74" s="1744">
        <f t="shared" si="163"/>
        <v>121</v>
      </c>
      <c r="U74" s="1745">
        <f t="shared" si="163"/>
        <v>121</v>
      </c>
      <c r="V74" s="1745">
        <f t="shared" si="163"/>
        <v>156</v>
      </c>
      <c r="W74" s="293">
        <f t="shared" si="163"/>
        <v>118</v>
      </c>
      <c r="X74" s="228">
        <f t="shared" si="163"/>
        <v>516</v>
      </c>
      <c r="Y74" s="1744">
        <f t="shared" si="163"/>
        <v>131</v>
      </c>
      <c r="Z74" s="1745">
        <f t="shared" si="163"/>
        <v>115</v>
      </c>
      <c r="AA74" s="1745">
        <f t="shared" ref="AA74:AE74" si="164">+AA62-AA71</f>
        <v>160</v>
      </c>
      <c r="AB74" s="293">
        <f t="shared" si="164"/>
        <v>134</v>
      </c>
      <c r="AC74" s="228">
        <f t="shared" si="164"/>
        <v>540</v>
      </c>
      <c r="AD74" s="1744">
        <f t="shared" si="164"/>
        <v>134</v>
      </c>
      <c r="AE74" s="1745">
        <f t="shared" si="164"/>
        <v>143</v>
      </c>
      <c r="AF74" s="1745">
        <f t="shared" ref="AF74:AJ74" si="165">+AF62-AF71</f>
        <v>160</v>
      </c>
      <c r="AG74" s="293">
        <f t="shared" si="165"/>
        <v>146</v>
      </c>
      <c r="AH74" s="228">
        <f t="shared" si="165"/>
        <v>583</v>
      </c>
      <c r="AI74" s="1744">
        <f t="shared" si="165"/>
        <v>133</v>
      </c>
      <c r="AJ74" s="1745">
        <f t="shared" si="165"/>
        <v>129</v>
      </c>
      <c r="AK74" s="1745">
        <f t="shared" ref="AK74:AO74" si="166">+AK62-AK71</f>
        <v>200</v>
      </c>
      <c r="AL74" s="293">
        <f t="shared" si="166"/>
        <v>144</v>
      </c>
      <c r="AM74" s="228">
        <f t="shared" si="166"/>
        <v>606</v>
      </c>
      <c r="AN74" s="1744">
        <f t="shared" si="166"/>
        <v>138</v>
      </c>
      <c r="AO74" s="1745">
        <f t="shared" si="166"/>
        <v>142</v>
      </c>
      <c r="AP74" s="1745">
        <f t="shared" ref="AP74:AR74" si="167">+AP62-AP71</f>
        <v>194</v>
      </c>
      <c r="AQ74" s="293">
        <f t="shared" si="167"/>
        <v>142</v>
      </c>
      <c r="AR74" s="228">
        <f t="shared" si="167"/>
        <v>616</v>
      </c>
      <c r="AS74" s="1744">
        <f t="shared" si="163"/>
        <v>133.51483534865645</v>
      </c>
      <c r="AT74" s="1745">
        <f t="shared" si="163"/>
        <v>137.71803566511213</v>
      </c>
      <c r="AU74" s="1745">
        <f t="shared" si="163"/>
        <v>190.99159721296917</v>
      </c>
      <c r="AV74" s="1746">
        <f t="shared" si="163"/>
        <v>137.56919499777933</v>
      </c>
      <c r="AW74" s="1747">
        <f t="shared" si="163"/>
        <v>599.7936632245171</v>
      </c>
      <c r="AX74" s="1744">
        <f t="shared" ref="AX74:BG74" si="168">+AX62-AX71</f>
        <v>133.00635056463972</v>
      </c>
      <c r="AY74" s="1745">
        <f t="shared" si="168"/>
        <v>137.34706403312512</v>
      </c>
      <c r="AZ74" s="1745">
        <f t="shared" si="168"/>
        <v>197.87237335280997</v>
      </c>
      <c r="BA74" s="1746">
        <f t="shared" si="168"/>
        <v>143.48737907341166</v>
      </c>
      <c r="BB74" s="1747">
        <f t="shared" si="168"/>
        <v>611.71316702398644</v>
      </c>
      <c r="BC74" s="1744">
        <f t="shared" si="168"/>
        <v>142.70136135432875</v>
      </c>
      <c r="BD74" s="1745">
        <f t="shared" si="168"/>
        <v>147.18075435371597</v>
      </c>
      <c r="BE74" s="1745">
        <f t="shared" si="168"/>
        <v>202.26096103425027</v>
      </c>
      <c r="BF74" s="1746">
        <f t="shared" si="168"/>
        <v>146.90521003853928</v>
      </c>
      <c r="BG74" s="1747">
        <f t="shared" si="168"/>
        <v>639.04828678083413</v>
      </c>
      <c r="BH74" s="1744">
        <f t="shared" ref="BH74:BL74" si="169">+BH62-BH71</f>
        <v>138.94441362022081</v>
      </c>
      <c r="BI74" s="1745">
        <f t="shared" si="169"/>
        <v>143.48966968532565</v>
      </c>
      <c r="BJ74" s="1745">
        <f t="shared" si="169"/>
        <v>199.23685300577989</v>
      </c>
      <c r="BK74" s="1746">
        <f t="shared" si="169"/>
        <v>143.42006055004538</v>
      </c>
      <c r="BL74" s="1747">
        <f t="shared" si="169"/>
        <v>625.09099686137188</v>
      </c>
      <c r="BM74" s="890"/>
      <c r="BN74" s="890"/>
      <c r="BO74" s="890"/>
      <c r="BP74" s="890"/>
      <c r="BQ74" s="890"/>
      <c r="BR74" s="890"/>
      <c r="BS74" s="890"/>
      <c r="BT74" s="890"/>
      <c r="BU74" s="890"/>
      <c r="BV74" s="890"/>
      <c r="BW74" s="890"/>
      <c r="BX74" s="890"/>
      <c r="BY74" s="890"/>
      <c r="BZ74" s="890"/>
      <c r="CA74" s="890"/>
      <c r="CB74" s="890"/>
      <c r="CC74" s="890"/>
      <c r="CD74" s="890"/>
      <c r="CE74" s="890"/>
      <c r="CF74" s="890"/>
      <c r="CG74" s="890"/>
      <c r="CH74" s="890"/>
      <c r="CI74" s="890"/>
      <c r="CJ74" s="890"/>
      <c r="CK74" s="890"/>
      <c r="CL74" s="890"/>
      <c r="CM74" s="890"/>
      <c r="CN74" s="890"/>
      <c r="CO74" s="890"/>
      <c r="CP74" s="890"/>
    </row>
    <row r="75" spans="1:94">
      <c r="A75" s="1699"/>
      <c r="B75" s="1699"/>
      <c r="C75" s="1699" t="s">
        <v>623</v>
      </c>
      <c r="D75" s="1699"/>
      <c r="E75" s="1748"/>
      <c r="F75" s="1749"/>
      <c r="G75" s="1749"/>
      <c r="H75" s="1750"/>
      <c r="I75" s="1751"/>
      <c r="J75" s="1748"/>
      <c r="K75" s="1749"/>
      <c r="L75" s="1749"/>
      <c r="M75" s="1750"/>
      <c r="N75" s="1751">
        <f t="shared" ref="N75:AW75" si="170">+N74/I74-1</f>
        <v>3.1496062992125928E-2</v>
      </c>
      <c r="O75" s="1748">
        <f t="shared" si="170"/>
        <v>-0.125</v>
      </c>
      <c r="P75" s="1749">
        <f t="shared" si="170"/>
        <v>-7.2992700729927029E-2</v>
      </c>
      <c r="Q75" s="1749">
        <f t="shared" si="170"/>
        <v>-2.4691358024691357E-2</v>
      </c>
      <c r="R75" s="1750">
        <f t="shared" si="170"/>
        <v>4.7619047619047672E-2</v>
      </c>
      <c r="S75" s="1751">
        <f t="shared" si="170"/>
        <v>-4.5801526717557217E-2</v>
      </c>
      <c r="T75" s="1748">
        <f t="shared" si="170"/>
        <v>0.15238095238095228</v>
      </c>
      <c r="U75" s="1749">
        <f t="shared" si="170"/>
        <v>-4.7244094488189003E-2</v>
      </c>
      <c r="V75" s="1749">
        <f t="shared" si="170"/>
        <v>-1.2658227848101222E-2</v>
      </c>
      <c r="W75" s="1750">
        <f t="shared" si="170"/>
        <v>7.2727272727272751E-2</v>
      </c>
      <c r="X75" s="1751">
        <f t="shared" si="170"/>
        <v>3.2000000000000028E-2</v>
      </c>
      <c r="Y75" s="1748">
        <f t="shared" si="170"/>
        <v>8.2644628099173501E-2</v>
      </c>
      <c r="Z75" s="1749">
        <f t="shared" si="170"/>
        <v>-4.9586776859504078E-2</v>
      </c>
      <c r="AA75" s="1749">
        <f t="shared" si="170"/>
        <v>2.564102564102555E-2</v>
      </c>
      <c r="AB75" s="1750">
        <f t="shared" ref="AB75" si="171">+AB74/W74-1</f>
        <v>0.13559322033898313</v>
      </c>
      <c r="AC75" s="1751">
        <f t="shared" ref="AC75" si="172">+AC74/X74-1</f>
        <v>4.6511627906976827E-2</v>
      </c>
      <c r="AD75" s="1748">
        <f t="shared" ref="AD75" si="173">+AD74/Y74-1</f>
        <v>2.2900763358778553E-2</v>
      </c>
      <c r="AE75" s="1749">
        <f t="shared" ref="AE75" si="174">+AE74/Z74-1</f>
        <v>0.24347826086956514</v>
      </c>
      <c r="AF75" s="1749">
        <f t="shared" ref="AF75" si="175">+AF74/AA74-1</f>
        <v>0</v>
      </c>
      <c r="AG75" s="1750">
        <f t="shared" ref="AG75" si="176">+AG74/AB74-1</f>
        <v>8.9552238805970186E-2</v>
      </c>
      <c r="AH75" s="1751">
        <f t="shared" ref="AH75:AK75" si="177">+AH74/AC74-1</f>
        <v>7.9629629629629717E-2</v>
      </c>
      <c r="AI75" s="1748">
        <f t="shared" si="177"/>
        <v>-7.4626865671642006E-3</v>
      </c>
      <c r="AJ75" s="1749">
        <f t="shared" si="177"/>
        <v>-9.7902097902097918E-2</v>
      </c>
      <c r="AK75" s="1749">
        <f t="shared" si="177"/>
        <v>0.25</v>
      </c>
      <c r="AL75" s="1750">
        <f t="shared" ref="AL75" si="178">+AL74/AG74-1</f>
        <v>-1.3698630136986356E-2</v>
      </c>
      <c r="AM75" s="1751">
        <f t="shared" ref="AM75:AO75" si="179">+AM74/AH74-1</f>
        <v>3.9451114922812947E-2</v>
      </c>
      <c r="AN75" s="1748">
        <f t="shared" si="179"/>
        <v>3.7593984962406068E-2</v>
      </c>
      <c r="AO75" s="1749">
        <f t="shared" si="179"/>
        <v>0.10077519379844957</v>
      </c>
      <c r="AP75" s="1749">
        <f t="shared" ref="AP75" si="180">+AP74/AK74-1</f>
        <v>-3.0000000000000027E-2</v>
      </c>
      <c r="AQ75" s="1750">
        <f t="shared" ref="AQ75" si="181">+AQ74/AL74-1</f>
        <v>-1.388888888888884E-2</v>
      </c>
      <c r="AR75" s="1751">
        <f t="shared" ref="AR75" si="182">+AR74/AM74-1</f>
        <v>1.650165016501659E-2</v>
      </c>
      <c r="AS75" s="1748">
        <f t="shared" si="170"/>
        <v>-3.2501193125677896E-2</v>
      </c>
      <c r="AT75" s="1749">
        <f t="shared" si="170"/>
        <v>-3.0154678414703318E-2</v>
      </c>
      <c r="AU75" s="1749">
        <f t="shared" si="170"/>
        <v>-1.5507230860983712E-2</v>
      </c>
      <c r="AV75" s="1750">
        <f t="shared" si="170"/>
        <v>-3.1202852128314529E-2</v>
      </c>
      <c r="AW75" s="1751">
        <f t="shared" si="170"/>
        <v>-2.6308988271887768E-2</v>
      </c>
      <c r="AX75" s="1748">
        <f t="shared" ref="AX75" si="183">+AX74/AS74-1</f>
        <v>-3.8084515678642461E-3</v>
      </c>
      <c r="AY75" s="1749">
        <f t="shared" ref="AY75" si="184">+AY74/AT74-1</f>
        <v>-2.6937040613118635E-3</v>
      </c>
      <c r="AZ75" s="1749">
        <f t="shared" ref="AZ75" si="185">+AZ74/AU74-1</f>
        <v>3.6026590908961653E-2</v>
      </c>
      <c r="BA75" s="1750">
        <f t="shared" ref="BA75" si="186">+BA74/AV74-1</f>
        <v>4.3019689660376725E-2</v>
      </c>
      <c r="BB75" s="1751">
        <f t="shared" ref="BB75" si="187">+BB74/AW74-1</f>
        <v>1.987267377149271E-2</v>
      </c>
      <c r="BC75" s="1748">
        <f t="shared" ref="BC75" si="188">+BC74/AX74-1</f>
        <v>7.2891337507808407E-2</v>
      </c>
      <c r="BD75" s="1749">
        <f t="shared" ref="BD75" si="189">+BD74/AY74-1</f>
        <v>7.1597382804041487E-2</v>
      </c>
      <c r="BE75" s="1749">
        <f t="shared" ref="BE75" si="190">+BE74/AZ74-1</f>
        <v>2.2178880290758762E-2</v>
      </c>
      <c r="BF75" s="1750">
        <f t="shared" ref="BF75" si="191">+BF74/BA74-1</f>
        <v>2.3819732349971812E-2</v>
      </c>
      <c r="BG75" s="1751">
        <f t="shared" ref="BG75" si="192">+BG74/BB74-1</f>
        <v>4.4686171935507613E-2</v>
      </c>
      <c r="BH75" s="1748">
        <f t="shared" ref="BH75" si="193">+BH74/BC74-1</f>
        <v>-2.6327343330519448E-2</v>
      </c>
      <c r="BI75" s="1749">
        <f t="shared" ref="BI75" si="194">+BI74/BD74-1</f>
        <v>-2.5078582349969625E-2</v>
      </c>
      <c r="BJ75" s="1749">
        <f t="shared" ref="BJ75" si="195">+BJ74/BE74-1</f>
        <v>-1.4951516165090717E-2</v>
      </c>
      <c r="BK75" s="1750">
        <f t="shared" ref="BK75" si="196">+BK74/BF74-1</f>
        <v>-2.3723797730384133E-2</v>
      </c>
      <c r="BL75" s="1751">
        <f t="shared" ref="BL75" si="197">+BL74/BG74-1</f>
        <v>-2.184074381886103E-2</v>
      </c>
      <c r="BM75" s="1699"/>
      <c r="BN75" s="1699"/>
      <c r="BO75" s="1699"/>
      <c r="BP75" s="1699"/>
      <c r="BQ75" s="1699"/>
      <c r="BR75" s="1699"/>
      <c r="BS75" s="1699"/>
      <c r="BT75" s="1699"/>
      <c r="BU75" s="1699"/>
      <c r="BV75" s="1699"/>
      <c r="BW75" s="1699"/>
      <c r="BX75" s="1699"/>
      <c r="BY75" s="1699"/>
      <c r="BZ75" s="1699"/>
      <c r="CA75" s="1699"/>
      <c r="CB75" s="1699"/>
      <c r="CC75" s="1699"/>
      <c r="CD75" s="1699"/>
      <c r="CE75" s="1699"/>
      <c r="CF75" s="1699"/>
      <c r="CG75" s="1699"/>
      <c r="CH75" s="1699"/>
      <c r="CI75" s="1699"/>
      <c r="CJ75" s="1699"/>
      <c r="CK75" s="1699"/>
      <c r="CL75" s="1699"/>
      <c r="CM75" s="1699"/>
      <c r="CN75" s="1699"/>
      <c r="CO75" s="1699"/>
      <c r="CP75" s="1699"/>
    </row>
    <row r="76" spans="1:94">
      <c r="A76" s="890"/>
      <c r="B76" s="890"/>
      <c r="C76" s="1736"/>
      <c r="D76" s="890"/>
      <c r="E76" s="891"/>
      <c r="F76" s="892"/>
      <c r="G76" s="892"/>
      <c r="H76" s="893"/>
      <c r="I76" s="894"/>
      <c r="J76" s="891"/>
      <c r="K76" s="892"/>
      <c r="L76" s="892"/>
      <c r="M76" s="893"/>
      <c r="N76" s="894"/>
      <c r="O76" s="891"/>
      <c r="P76" s="892"/>
      <c r="Q76" s="892"/>
      <c r="R76" s="893"/>
      <c r="S76" s="894"/>
      <c r="T76" s="891"/>
      <c r="U76" s="892"/>
      <c r="V76" s="892"/>
      <c r="W76" s="893"/>
      <c r="X76" s="894"/>
      <c r="Y76" s="891"/>
      <c r="Z76" s="892"/>
      <c r="AA76" s="892"/>
      <c r="AB76" s="893"/>
      <c r="AC76" s="894"/>
      <c r="AD76" s="891"/>
      <c r="AE76" s="892"/>
      <c r="AF76" s="892"/>
      <c r="AG76" s="893"/>
      <c r="AH76" s="894"/>
      <c r="AI76" s="891"/>
      <c r="AJ76" s="892"/>
      <c r="AK76" s="892"/>
      <c r="AL76" s="893"/>
      <c r="AM76" s="894"/>
      <c r="AN76" s="891"/>
      <c r="AO76" s="892"/>
      <c r="AP76" s="892"/>
      <c r="AQ76" s="893"/>
      <c r="AR76" s="894"/>
      <c r="AS76" s="891"/>
      <c r="AT76" s="892"/>
      <c r="AU76" s="892"/>
      <c r="AV76" s="893"/>
      <c r="AW76" s="894"/>
      <c r="AX76" s="891"/>
      <c r="AY76" s="892"/>
      <c r="AZ76" s="892"/>
      <c r="BA76" s="893"/>
      <c r="BB76" s="894"/>
      <c r="BC76" s="891"/>
      <c r="BD76" s="892"/>
      <c r="BE76" s="892"/>
      <c r="BF76" s="893"/>
      <c r="BG76" s="894"/>
      <c r="BH76" s="891"/>
      <c r="BI76" s="892"/>
      <c r="BJ76" s="892"/>
      <c r="BK76" s="893"/>
      <c r="BL76" s="894"/>
      <c r="BM76" s="890"/>
      <c r="BN76" s="890"/>
      <c r="BO76" s="890"/>
      <c r="BP76" s="890"/>
      <c r="BQ76" s="890"/>
      <c r="BR76" s="890"/>
      <c r="BS76" s="890"/>
      <c r="BT76" s="890"/>
      <c r="BU76" s="890"/>
      <c r="BV76" s="890"/>
      <c r="BW76" s="890"/>
      <c r="BX76" s="890"/>
      <c r="BY76" s="890"/>
      <c r="BZ76" s="890"/>
      <c r="CA76" s="890"/>
      <c r="CB76" s="890"/>
      <c r="CC76" s="890"/>
      <c r="CD76" s="890"/>
      <c r="CE76" s="890"/>
      <c r="CF76" s="890"/>
      <c r="CG76" s="890"/>
      <c r="CH76" s="890"/>
      <c r="CI76" s="890"/>
      <c r="CJ76" s="890"/>
      <c r="CK76" s="890"/>
      <c r="CL76" s="890"/>
      <c r="CM76" s="890"/>
      <c r="CN76" s="890"/>
      <c r="CO76" s="890"/>
      <c r="CP76" s="890"/>
    </row>
    <row r="77" spans="1:94">
      <c r="A77" s="890"/>
      <c r="B77" s="890"/>
      <c r="C77" s="895" t="s">
        <v>134</v>
      </c>
      <c r="D77" s="890"/>
      <c r="E77" s="891"/>
      <c r="F77" s="892"/>
      <c r="G77" s="892"/>
      <c r="H77" s="893"/>
      <c r="I77" s="894"/>
      <c r="J77" s="290"/>
      <c r="K77" s="260"/>
      <c r="L77" s="260"/>
      <c r="M77" s="291"/>
      <c r="N77" s="45"/>
      <c r="O77" s="290"/>
      <c r="P77" s="260"/>
      <c r="Q77" s="260"/>
      <c r="R77" s="291"/>
      <c r="S77" s="45"/>
      <c r="T77" s="290"/>
      <c r="U77" s="260"/>
      <c r="V77" s="260"/>
      <c r="W77" s="291"/>
      <c r="X77" s="45"/>
      <c r="Y77" s="290"/>
      <c r="Z77" s="260"/>
      <c r="AA77" s="260"/>
      <c r="AB77" s="291"/>
      <c r="AC77" s="45"/>
      <c r="AD77" s="290"/>
      <c r="AE77" s="260"/>
      <c r="AF77" s="260"/>
      <c r="AG77" s="291"/>
      <c r="AH77" s="45"/>
      <c r="AI77" s="290"/>
      <c r="AJ77" s="260"/>
      <c r="AK77" s="260"/>
      <c r="AL77" s="291"/>
      <c r="AM77" s="45"/>
      <c r="AN77" s="290"/>
      <c r="AO77" s="260"/>
      <c r="AP77" s="260"/>
      <c r="AQ77" s="291"/>
      <c r="AR77" s="45"/>
      <c r="AS77" s="290">
        <f t="shared" ref="AS77:AW77" si="198">SUM(AS46:AS48)</f>
        <v>-4.485164651343549</v>
      </c>
      <c r="AT77" s="260">
        <f t="shared" si="198"/>
        <v>-4.2819643348878529</v>
      </c>
      <c r="AU77" s="260">
        <f t="shared" si="198"/>
        <v>-3.0084027870308692</v>
      </c>
      <c r="AV77" s="291">
        <f t="shared" si="198"/>
        <v>-4.4308050022207421</v>
      </c>
      <c r="AW77" s="45">
        <f t="shared" si="198"/>
        <v>-16.20633677548301</v>
      </c>
      <c r="AX77" s="290">
        <f t="shared" ref="AX77:BG77" si="199">SUM(AX46:AX48)</f>
        <v>-0.5084847840167579</v>
      </c>
      <c r="AY77" s="260">
        <f t="shared" si="199"/>
        <v>-0.37097163198697602</v>
      </c>
      <c r="AZ77" s="260">
        <f t="shared" si="199"/>
        <v>6.880776139840842</v>
      </c>
      <c r="BA77" s="291">
        <f t="shared" si="199"/>
        <v>5.9181840756323645</v>
      </c>
      <c r="BB77" s="45">
        <f t="shared" si="199"/>
        <v>24.419503799469474</v>
      </c>
      <c r="BC77" s="290">
        <f t="shared" si="199"/>
        <v>9.6950107896889985</v>
      </c>
      <c r="BD77" s="260">
        <f t="shared" si="199"/>
        <v>9.8336903205908079</v>
      </c>
      <c r="BE77" s="260">
        <f t="shared" si="199"/>
        <v>4.3885876814402653</v>
      </c>
      <c r="BF77" s="291">
        <f t="shared" si="199"/>
        <v>3.417830965127596</v>
      </c>
      <c r="BG77" s="45">
        <f t="shared" si="199"/>
        <v>14.835119756847671</v>
      </c>
      <c r="BH77" s="290">
        <f>SUM(BH46:BH48)</f>
        <v>-3.7569477341079578</v>
      </c>
      <c r="BI77" s="260">
        <f t="shared" ref="BI77:BL77" si="200">SUM(BI46:BI48)</f>
        <v>-3.6910846683903022</v>
      </c>
      <c r="BJ77" s="260">
        <f t="shared" si="200"/>
        <v>-3.0241080284703337</v>
      </c>
      <c r="BK77" s="291">
        <f t="shared" si="200"/>
        <v>-3.4851494884939225</v>
      </c>
      <c r="BL77" s="45">
        <f t="shared" si="200"/>
        <v>-13.957289919462518</v>
      </c>
      <c r="BM77" s="890"/>
      <c r="BN77" s="890"/>
      <c r="BO77" s="890"/>
      <c r="BP77" s="890"/>
      <c r="BQ77" s="890"/>
      <c r="BR77" s="890"/>
      <c r="BS77" s="890"/>
      <c r="BT77" s="890"/>
      <c r="BU77" s="890"/>
      <c r="BV77" s="890"/>
      <c r="BW77" s="890"/>
      <c r="BX77" s="890"/>
      <c r="BY77" s="890"/>
      <c r="BZ77" s="890"/>
      <c r="CA77" s="890"/>
      <c r="CB77" s="890"/>
      <c r="CC77" s="890"/>
      <c r="CD77" s="890"/>
      <c r="CE77" s="890"/>
      <c r="CF77" s="890"/>
      <c r="CG77" s="890"/>
      <c r="CH77" s="890"/>
      <c r="CI77" s="890"/>
      <c r="CJ77" s="890"/>
      <c r="CK77" s="890"/>
      <c r="CL77" s="890"/>
      <c r="CM77" s="890"/>
      <c r="CN77" s="890"/>
      <c r="CO77" s="890"/>
      <c r="CP77" s="890"/>
    </row>
    <row r="78" spans="1:94">
      <c r="A78" s="890"/>
      <c r="B78" s="890"/>
      <c r="C78" s="1736"/>
      <c r="D78" s="890"/>
      <c r="E78" s="891"/>
      <c r="F78" s="892"/>
      <c r="G78" s="892"/>
      <c r="H78" s="893"/>
      <c r="I78" s="894"/>
      <c r="J78" s="891"/>
      <c r="K78" s="892"/>
      <c r="L78" s="892"/>
      <c r="M78" s="893"/>
      <c r="N78" s="894"/>
      <c r="O78" s="891"/>
      <c r="P78" s="892"/>
      <c r="Q78" s="892"/>
      <c r="R78" s="893"/>
      <c r="S78" s="894"/>
      <c r="T78" s="891"/>
      <c r="U78" s="892"/>
      <c r="V78" s="892"/>
      <c r="W78" s="893"/>
      <c r="X78" s="894"/>
      <c r="Y78" s="891"/>
      <c r="Z78" s="892"/>
      <c r="AA78" s="892"/>
      <c r="AB78" s="893"/>
      <c r="AC78" s="894"/>
      <c r="AD78" s="891"/>
      <c r="AE78" s="892"/>
      <c r="AF78" s="892"/>
      <c r="AG78" s="893"/>
      <c r="AH78" s="894"/>
      <c r="AI78" s="891"/>
      <c r="AJ78" s="892"/>
      <c r="AK78" s="892"/>
      <c r="AL78" s="893"/>
      <c r="AM78" s="894"/>
      <c r="AN78" s="891"/>
      <c r="AO78" s="892"/>
      <c r="AP78" s="892"/>
      <c r="AQ78" s="893"/>
      <c r="AR78" s="894"/>
      <c r="AS78" s="891"/>
      <c r="AT78" s="892"/>
      <c r="AU78" s="892"/>
      <c r="AV78" s="893"/>
      <c r="AW78" s="894"/>
      <c r="AX78" s="891"/>
      <c r="AY78" s="892"/>
      <c r="AZ78" s="892"/>
      <c r="BA78" s="893"/>
      <c r="BB78" s="894"/>
      <c r="BC78" s="891"/>
      <c r="BD78" s="892"/>
      <c r="BE78" s="892"/>
      <c r="BF78" s="893"/>
      <c r="BG78" s="894"/>
      <c r="BH78" s="891"/>
      <c r="BI78" s="892"/>
      <c r="BJ78" s="892"/>
      <c r="BK78" s="893"/>
      <c r="BL78" s="894"/>
      <c r="BM78" s="890"/>
      <c r="BN78" s="890"/>
      <c r="BO78" s="890"/>
      <c r="BP78" s="890"/>
      <c r="BQ78" s="890"/>
      <c r="BR78" s="890"/>
      <c r="BS78" s="890"/>
      <c r="BT78" s="890"/>
      <c r="BU78" s="890"/>
      <c r="BV78" s="890"/>
      <c r="BW78" s="890"/>
      <c r="BX78" s="890"/>
      <c r="BY78" s="890"/>
      <c r="BZ78" s="890"/>
      <c r="CA78" s="890"/>
      <c r="CB78" s="890"/>
      <c r="CC78" s="890"/>
      <c r="CD78" s="890"/>
      <c r="CE78" s="890"/>
      <c r="CF78" s="890"/>
      <c r="CG78" s="890"/>
      <c r="CH78" s="890"/>
      <c r="CI78" s="890"/>
      <c r="CJ78" s="890"/>
      <c r="CK78" s="890"/>
      <c r="CL78" s="890"/>
      <c r="CM78" s="890"/>
      <c r="CN78" s="890"/>
      <c r="CO78" s="890"/>
      <c r="CP78" s="890"/>
    </row>
    <row r="79" spans="1:94">
      <c r="A79" s="890"/>
      <c r="B79" s="890"/>
      <c r="C79" s="909" t="s">
        <v>138</v>
      </c>
      <c r="D79" s="890"/>
      <c r="E79" s="292"/>
      <c r="F79" s="261"/>
      <c r="G79" s="261"/>
      <c r="H79" s="293"/>
      <c r="I79" s="630">
        <f t="shared" ref="I79:Z79" si="201">I74/I66*1000</f>
        <v>49.877270495827197</v>
      </c>
      <c r="J79" s="627">
        <f t="shared" si="201"/>
        <v>52.9333921482135</v>
      </c>
      <c r="K79" s="628">
        <f t="shared" si="201"/>
        <v>58.924731182795696</v>
      </c>
      <c r="L79" s="628">
        <f t="shared" si="201"/>
        <v>52.700065061808715</v>
      </c>
      <c r="M79" s="629">
        <f t="shared" si="201"/>
        <v>52.057511155180961</v>
      </c>
      <c r="N79" s="630">
        <f t="shared" si="201"/>
        <v>54.1154600846845</v>
      </c>
      <c r="O79" s="627">
        <f t="shared" si="201"/>
        <v>50.287356321839084</v>
      </c>
      <c r="P79" s="628">
        <f t="shared" si="201"/>
        <v>56.419369169258104</v>
      </c>
      <c r="Q79" s="628">
        <f t="shared" si="201"/>
        <v>51.583414952660789</v>
      </c>
      <c r="R79" s="629">
        <f t="shared" si="201"/>
        <v>52.556139512661247</v>
      </c>
      <c r="S79" s="630">
        <f t="shared" si="201"/>
        <v>52.659294365455501</v>
      </c>
      <c r="T79" s="627">
        <f t="shared" si="201"/>
        <v>54.504504504504503</v>
      </c>
      <c r="U79" s="628">
        <f t="shared" si="201"/>
        <v>56.727613689639007</v>
      </c>
      <c r="V79" s="628">
        <f t="shared" si="201"/>
        <v>56.277056277056282</v>
      </c>
      <c r="W79" s="629">
        <f t="shared" si="201"/>
        <v>56.030389363722698</v>
      </c>
      <c r="X79" s="630">
        <f t="shared" si="201"/>
        <v>55.898602534936629</v>
      </c>
      <c r="Y79" s="627">
        <f t="shared" si="201"/>
        <v>57.330415754923408</v>
      </c>
      <c r="Z79" s="628">
        <f t="shared" si="201"/>
        <v>56.734089787863837</v>
      </c>
      <c r="AA79" s="628">
        <f t="shared" ref="AA79:AE79" si="202">AA74/AA66*1000</f>
        <v>59.545962039449201</v>
      </c>
      <c r="AB79" s="629">
        <f t="shared" si="202"/>
        <v>65.302144249512665</v>
      </c>
      <c r="AC79" s="630">
        <f t="shared" si="202"/>
        <v>59.661915810407692</v>
      </c>
      <c r="AD79" s="627">
        <f t="shared" si="202"/>
        <v>59.370846256092157</v>
      </c>
      <c r="AE79" s="628">
        <f t="shared" si="202"/>
        <v>66.666666666666671</v>
      </c>
      <c r="AF79" s="628">
        <f t="shared" ref="AF79:AJ79" si="203">AF74/AF66*1000</f>
        <v>58.245358572988714</v>
      </c>
      <c r="AG79" s="629">
        <f t="shared" si="203"/>
        <v>69.523809523809533</v>
      </c>
      <c r="AH79" s="630">
        <f t="shared" si="203"/>
        <v>63.033841496377988</v>
      </c>
      <c r="AI79" s="627">
        <f t="shared" si="203"/>
        <v>64.500484966052369</v>
      </c>
      <c r="AJ79" s="628">
        <f t="shared" si="203"/>
        <v>65.849923430321581</v>
      </c>
      <c r="AK79" s="628">
        <f t="shared" ref="AK79:AO79" si="204">AK74/AK66*1000</f>
        <v>65.703022339027598</v>
      </c>
      <c r="AL79" s="629">
        <f t="shared" si="204"/>
        <v>72.216649949849554</v>
      </c>
      <c r="AM79" s="630">
        <f t="shared" si="204"/>
        <v>66.89480075063473</v>
      </c>
      <c r="AN79" s="627">
        <f t="shared" si="204"/>
        <v>71.134020618556704</v>
      </c>
      <c r="AO79" s="628">
        <f t="shared" si="204"/>
        <v>71.717171717171723</v>
      </c>
      <c r="AP79" s="628">
        <f t="shared" ref="AP79:AR79" si="205">AP74/AP66*1000</f>
        <v>71.745562130177518</v>
      </c>
      <c r="AQ79" s="629">
        <f t="shared" si="205"/>
        <v>72.412034676185627</v>
      </c>
      <c r="AR79" s="630">
        <f t="shared" si="205"/>
        <v>71.753057658707036</v>
      </c>
      <c r="AS79" s="627">
        <f>AN79+(AS77/AS66*1000)</f>
        <v>68.822080076627046</v>
      </c>
      <c r="AT79" s="628">
        <f>AO79+(AT77/AT66*1000)</f>
        <v>69.554563467228363</v>
      </c>
      <c r="AU79" s="628">
        <f>AP79+(AU77/AU66*1000)</f>
        <v>70.632987134973789</v>
      </c>
      <c r="AV79" s="629">
        <f>AQ79+(AV77/AV66*1000)</f>
        <v>70.152572665874189</v>
      </c>
      <c r="AW79" s="630">
        <f>AW74/AW66*1000</f>
        <v>69.865307306292038</v>
      </c>
      <c r="AX79" s="627">
        <f>AS79+(AX77/AX66*1000)</f>
        <v>68.559974517855522</v>
      </c>
      <c r="AY79" s="628">
        <f>AT79+(AY77/AY66*1000)</f>
        <v>69.367204057133932</v>
      </c>
      <c r="AZ79" s="628">
        <f>AU79+(AZ77/AZ66*1000)</f>
        <v>73.177652867163445</v>
      </c>
      <c r="BA79" s="629">
        <f>AV79+(BA77/BA66*1000)</f>
        <v>73.170514570837156</v>
      </c>
      <c r="BB79" s="630">
        <f>BB74/BB66*1000</f>
        <v>71.253717766335058</v>
      </c>
      <c r="BC79" s="627">
        <f>AX79+(BC77/BC66*1000)</f>
        <v>73.557402759963253</v>
      </c>
      <c r="BD79" s="628">
        <f>AY79+(BD77/BD66*1000)</f>
        <v>74.33371432005859</v>
      </c>
      <c r="BE79" s="628">
        <f>AZ79+(BE77/BE66*1000)</f>
        <v>74.800651270062957</v>
      </c>
      <c r="BF79" s="629">
        <f>BA79+(BF77/BF66*1000)</f>
        <v>74.913416643824206</v>
      </c>
      <c r="BG79" s="630">
        <f>BG74/BG66*1000</f>
        <v>74.437773649485635</v>
      </c>
      <c r="BH79" s="627">
        <f>BC79+(BH77/BH66*1000)</f>
        <v>71.620831763000382</v>
      </c>
      <c r="BI79" s="628">
        <f>BD79+(BI77/BI66*1000)</f>
        <v>72.469530144103885</v>
      </c>
      <c r="BJ79" s="628">
        <f>BE79+(BJ77/BJ66*1000)</f>
        <v>73.682268123439314</v>
      </c>
      <c r="BK79" s="629">
        <f>BF79+(BK77/BK66*1000)</f>
        <v>73.136185900074125</v>
      </c>
      <c r="BL79" s="630">
        <f>BL74/BL66*1000</f>
        <v>72.811997304760851</v>
      </c>
      <c r="BM79" s="890"/>
      <c r="BN79" s="890"/>
      <c r="BO79" s="890"/>
      <c r="BP79" s="890"/>
      <c r="BQ79" s="890"/>
      <c r="BR79" s="890"/>
      <c r="BS79" s="890"/>
      <c r="BT79" s="890"/>
      <c r="BU79" s="890"/>
      <c r="BV79" s="890"/>
      <c r="BW79" s="890"/>
      <c r="BX79" s="890"/>
      <c r="BY79" s="890"/>
      <c r="BZ79" s="890"/>
      <c r="CA79" s="890"/>
      <c r="CB79" s="890"/>
      <c r="CC79" s="890"/>
      <c r="CD79" s="890"/>
      <c r="CE79" s="890"/>
      <c r="CF79" s="890"/>
      <c r="CG79" s="890"/>
      <c r="CH79" s="890"/>
      <c r="CI79" s="890"/>
      <c r="CJ79" s="890"/>
      <c r="CK79" s="890"/>
      <c r="CL79" s="890"/>
      <c r="CM79" s="890"/>
      <c r="CN79" s="890"/>
      <c r="CO79" s="890"/>
      <c r="CP79" s="890"/>
    </row>
    <row r="80" spans="1:94">
      <c r="A80" s="890"/>
      <c r="B80" s="890"/>
      <c r="C80" s="1736"/>
      <c r="D80" s="890"/>
      <c r="E80" s="891"/>
      <c r="F80" s="892"/>
      <c r="G80" s="892"/>
      <c r="H80" s="893"/>
      <c r="I80" s="894"/>
      <c r="J80" s="891"/>
      <c r="K80" s="892"/>
      <c r="L80" s="892"/>
      <c r="M80" s="893"/>
      <c r="N80" s="894"/>
      <c r="O80" s="891"/>
      <c r="P80" s="892"/>
      <c r="Q80" s="892"/>
      <c r="R80" s="893"/>
      <c r="S80" s="894"/>
      <c r="T80" s="891"/>
      <c r="U80" s="892"/>
      <c r="V80" s="892"/>
      <c r="W80" s="893"/>
      <c r="X80" s="894"/>
      <c r="Y80" s="891"/>
      <c r="Z80" s="892"/>
      <c r="AA80" s="892"/>
      <c r="AB80" s="893"/>
      <c r="AC80" s="894"/>
      <c r="AD80" s="891"/>
      <c r="AE80" s="892"/>
      <c r="AF80" s="892"/>
      <c r="AG80" s="893"/>
      <c r="AH80" s="894"/>
      <c r="AI80" s="891"/>
      <c r="AJ80" s="892"/>
      <c r="AK80" s="892"/>
      <c r="AL80" s="893"/>
      <c r="AM80" s="894"/>
      <c r="AN80" s="891"/>
      <c r="AO80" s="892"/>
      <c r="AP80" s="892"/>
      <c r="AQ80" s="893"/>
      <c r="AR80" s="894"/>
      <c r="AS80" s="891"/>
      <c r="AT80" s="892"/>
      <c r="AU80" s="892"/>
      <c r="AV80" s="893"/>
      <c r="AW80" s="894"/>
      <c r="AX80" s="891"/>
      <c r="AY80" s="892"/>
      <c r="AZ80" s="892"/>
      <c r="BA80" s="893"/>
      <c r="BB80" s="894"/>
      <c r="BC80" s="891"/>
      <c r="BD80" s="892"/>
      <c r="BE80" s="892"/>
      <c r="BF80" s="893"/>
      <c r="BG80" s="894"/>
      <c r="BH80" s="891"/>
      <c r="BI80" s="892"/>
      <c r="BJ80" s="892"/>
      <c r="BK80" s="893"/>
      <c r="BL80" s="894"/>
      <c r="BM80" s="890"/>
      <c r="BN80" s="890"/>
      <c r="BO80" s="890"/>
      <c r="BP80" s="890"/>
      <c r="BQ80" s="890"/>
      <c r="BR80" s="890"/>
      <c r="BS80" s="890"/>
      <c r="BT80" s="890"/>
      <c r="BU80" s="890"/>
      <c r="BV80" s="890"/>
      <c r="BW80" s="890"/>
      <c r="BX80" s="890"/>
      <c r="BY80" s="890"/>
      <c r="BZ80" s="890"/>
      <c r="CA80" s="890"/>
      <c r="CB80" s="890"/>
      <c r="CC80" s="890"/>
      <c r="CD80" s="890"/>
      <c r="CE80" s="890"/>
      <c r="CF80" s="890"/>
      <c r="CG80" s="890"/>
      <c r="CH80" s="890"/>
      <c r="CI80" s="890"/>
      <c r="CJ80" s="890"/>
      <c r="CK80" s="890"/>
      <c r="CL80" s="890"/>
      <c r="CM80" s="890"/>
      <c r="CN80" s="890"/>
      <c r="CO80" s="890"/>
      <c r="CP80" s="890"/>
    </row>
    <row r="81" spans="1:94" s="1704" customFormat="1">
      <c r="A81" s="895"/>
      <c r="B81" s="895"/>
      <c r="C81" s="895" t="s">
        <v>133</v>
      </c>
      <c r="D81" s="895"/>
      <c r="E81" s="1752"/>
      <c r="F81" s="1753"/>
      <c r="G81" s="1753"/>
      <c r="H81" s="1754"/>
      <c r="I81" s="1755">
        <f t="shared" ref="I81:AW81" si="206">I79+I72</f>
        <v>151.00638193421699</v>
      </c>
      <c r="J81" s="1752">
        <f t="shared" si="206"/>
        <v>140.27348919276577</v>
      </c>
      <c r="K81" s="1753">
        <f t="shared" si="206"/>
        <v>143.22580645161293</v>
      </c>
      <c r="L81" s="1753">
        <f t="shared" si="206"/>
        <v>135.32856213402732</v>
      </c>
      <c r="M81" s="1754">
        <f t="shared" si="206"/>
        <v>130.88745661874071</v>
      </c>
      <c r="N81" s="1755">
        <f t="shared" si="206"/>
        <v>137.4573995662501</v>
      </c>
      <c r="O81" s="1752">
        <f t="shared" si="206"/>
        <v>129.78927203065135</v>
      </c>
      <c r="P81" s="1753">
        <f t="shared" si="206"/>
        <v>128.83163038649491</v>
      </c>
      <c r="Q81" s="1753">
        <f t="shared" si="206"/>
        <v>125.36728697355534</v>
      </c>
      <c r="R81" s="1754">
        <f t="shared" si="206"/>
        <v>123.26803631151458</v>
      </c>
      <c r="S81" s="1755">
        <f t="shared" si="206"/>
        <v>126.69826224328594</v>
      </c>
      <c r="T81" s="1752">
        <f t="shared" si="206"/>
        <v>125.22522522522522</v>
      </c>
      <c r="U81" s="1753">
        <f t="shared" si="206"/>
        <v>128.92639474917956</v>
      </c>
      <c r="V81" s="1753">
        <f t="shared" si="206"/>
        <v>127.70562770562771</v>
      </c>
      <c r="W81" s="1754">
        <f t="shared" si="206"/>
        <v>127.73029439696106</v>
      </c>
      <c r="X81" s="1755">
        <f t="shared" si="206"/>
        <v>127.39681507962301</v>
      </c>
      <c r="Y81" s="1752">
        <f t="shared" si="206"/>
        <v>129.54048140043764</v>
      </c>
      <c r="Z81" s="1753">
        <f t="shared" si="206"/>
        <v>131.22841637888507</v>
      </c>
      <c r="AA81" s="1753">
        <f t="shared" ref="AA81:AE81" si="207">AA79+AA72</f>
        <v>129.51246743580202</v>
      </c>
      <c r="AB81" s="1754">
        <f t="shared" si="207"/>
        <v>137.91423001949317</v>
      </c>
      <c r="AC81" s="1755">
        <f t="shared" si="207"/>
        <v>131.8086399292896</v>
      </c>
      <c r="AD81" s="1752">
        <f t="shared" si="207"/>
        <v>134.24900310146211</v>
      </c>
      <c r="AE81" s="1753">
        <f t="shared" si="207"/>
        <v>137.52913752913753</v>
      </c>
      <c r="AF81" s="1753">
        <f t="shared" ref="AF81:AJ81" si="208">AF79+AF72</f>
        <v>136.14852566436113</v>
      </c>
      <c r="AG81" s="1754">
        <f t="shared" si="208"/>
        <v>140.95238095238096</v>
      </c>
      <c r="AH81" s="1755">
        <f t="shared" si="208"/>
        <v>137.09590225970373</v>
      </c>
      <c r="AI81" s="1752">
        <f t="shared" si="208"/>
        <v>141.12512124151309</v>
      </c>
      <c r="AJ81" s="1753">
        <f t="shared" si="208"/>
        <v>137.82542113323123</v>
      </c>
      <c r="AK81" s="1753">
        <f t="shared" ref="AK81:AO81" si="209">AK79+AK72</f>
        <v>138.3048620236531</v>
      </c>
      <c r="AL81" s="1754">
        <f t="shared" si="209"/>
        <v>137.91374122367102</v>
      </c>
      <c r="AM81" s="1755">
        <f t="shared" si="209"/>
        <v>138.75703720057402</v>
      </c>
      <c r="AN81" s="1752">
        <f t="shared" si="209"/>
        <v>141.75257731958763</v>
      </c>
      <c r="AO81" s="1753">
        <f t="shared" si="209"/>
        <v>136.36363636363637</v>
      </c>
      <c r="AP81" s="1753">
        <f t="shared" ref="AP81:AR81" si="210">AP79+AP72</f>
        <v>136.83431952662721</v>
      </c>
      <c r="AQ81" s="1754">
        <f t="shared" si="210"/>
        <v>138.19479857215708</v>
      </c>
      <c r="AR81" s="1755">
        <f t="shared" si="210"/>
        <v>138.14793244030284</v>
      </c>
      <c r="AS81" s="1752">
        <f t="shared" si="206"/>
        <v>139.44063677765797</v>
      </c>
      <c r="AT81" s="1753">
        <f t="shared" si="206"/>
        <v>134.20102811369301</v>
      </c>
      <c r="AU81" s="1753">
        <f t="shared" si="206"/>
        <v>135.7217445314235</v>
      </c>
      <c r="AV81" s="1754">
        <f t="shared" si="206"/>
        <v>135.93533656184565</v>
      </c>
      <c r="AW81" s="1755">
        <f t="shared" si="206"/>
        <v>136.26018208788784</v>
      </c>
      <c r="AX81" s="1752">
        <f t="shared" ref="AX81:BG81" si="211">AX79+AX72</f>
        <v>139.17853121888646</v>
      </c>
      <c r="AY81" s="1753">
        <f t="shared" si="211"/>
        <v>134.01366870359857</v>
      </c>
      <c r="AZ81" s="1753">
        <f t="shared" si="211"/>
        <v>138.26641026361315</v>
      </c>
      <c r="BA81" s="1754">
        <f t="shared" si="211"/>
        <v>138.9532784668086</v>
      </c>
      <c r="BB81" s="1755">
        <f t="shared" si="211"/>
        <v>137.64859254793086</v>
      </c>
      <c r="BC81" s="1752">
        <f t="shared" si="211"/>
        <v>144.17595946099419</v>
      </c>
      <c r="BD81" s="1753">
        <f t="shared" si="211"/>
        <v>138.98017896652323</v>
      </c>
      <c r="BE81" s="1753">
        <f t="shared" si="211"/>
        <v>139.88940866651268</v>
      </c>
      <c r="BF81" s="1754">
        <f t="shared" si="211"/>
        <v>140.69618053979565</v>
      </c>
      <c r="BG81" s="1755">
        <f t="shared" si="211"/>
        <v>140.83264843108145</v>
      </c>
      <c r="BH81" s="1752">
        <f t="shared" ref="BH81:BL81" si="212">BH79+BH72</f>
        <v>142.23938846403132</v>
      </c>
      <c r="BI81" s="1753">
        <f t="shared" si="212"/>
        <v>137.11599479056855</v>
      </c>
      <c r="BJ81" s="1753">
        <f t="shared" si="212"/>
        <v>138.77102551988901</v>
      </c>
      <c r="BK81" s="1754">
        <f t="shared" si="212"/>
        <v>138.91894979604558</v>
      </c>
      <c r="BL81" s="1755">
        <f t="shared" si="212"/>
        <v>139.20687208635667</v>
      </c>
      <c r="BM81" s="895"/>
      <c r="BN81" s="895"/>
      <c r="BO81" s="895"/>
      <c r="BP81" s="895"/>
      <c r="BQ81" s="895"/>
      <c r="BR81" s="895"/>
      <c r="BS81" s="895"/>
      <c r="BT81" s="895"/>
      <c r="BU81" s="895"/>
      <c r="BV81" s="895"/>
      <c r="BW81" s="895"/>
      <c r="BX81" s="895"/>
      <c r="BY81" s="895"/>
      <c r="BZ81" s="895"/>
      <c r="CA81" s="895"/>
      <c r="CB81" s="895"/>
      <c r="CC81" s="895"/>
      <c r="CD81" s="895"/>
      <c r="CE81" s="895"/>
      <c r="CF81" s="895"/>
      <c r="CG81" s="895"/>
      <c r="CH81" s="895"/>
      <c r="CI81" s="895"/>
      <c r="CJ81" s="895"/>
      <c r="CK81" s="895"/>
      <c r="CL81" s="895"/>
      <c r="CM81" s="895"/>
      <c r="CN81" s="895"/>
      <c r="CO81" s="895"/>
      <c r="CP81" s="895"/>
    </row>
    <row r="82" spans="1:94">
      <c r="A82" s="890"/>
      <c r="B82" s="890"/>
      <c r="C82" s="391"/>
      <c r="D82" s="890"/>
      <c r="E82" s="891"/>
      <c r="F82" s="892"/>
      <c r="G82" s="892"/>
      <c r="H82" s="893"/>
      <c r="I82" s="894"/>
      <c r="J82" s="891"/>
      <c r="K82" s="892"/>
      <c r="L82" s="892"/>
      <c r="M82" s="893"/>
      <c r="N82" s="894"/>
      <c r="O82" s="891"/>
      <c r="P82" s="892"/>
      <c r="Q82" s="892"/>
      <c r="R82" s="893"/>
      <c r="S82" s="894"/>
      <c r="T82" s="891"/>
      <c r="U82" s="892"/>
      <c r="V82" s="892"/>
      <c r="W82" s="893"/>
      <c r="X82" s="894"/>
      <c r="Y82" s="891"/>
      <c r="Z82" s="892"/>
      <c r="AA82" s="892"/>
      <c r="AB82" s="893"/>
      <c r="AC82" s="894"/>
      <c r="AD82" s="891"/>
      <c r="AE82" s="892"/>
      <c r="AF82" s="892"/>
      <c r="AG82" s="893"/>
      <c r="AH82" s="894"/>
      <c r="AI82" s="891"/>
      <c r="AJ82" s="892"/>
      <c r="AK82" s="892"/>
      <c r="AL82" s="893"/>
      <c r="AM82" s="894"/>
      <c r="AN82" s="891"/>
      <c r="AO82" s="892"/>
      <c r="AP82" s="892"/>
      <c r="AQ82" s="893"/>
      <c r="AR82" s="894"/>
      <c r="AS82" s="891"/>
      <c r="AT82" s="892"/>
      <c r="AU82" s="892"/>
      <c r="AV82" s="893"/>
      <c r="AW82" s="894"/>
      <c r="AX82" s="891"/>
      <c r="AY82" s="892"/>
      <c r="AZ82" s="892"/>
      <c r="BA82" s="893"/>
      <c r="BB82" s="894"/>
      <c r="BC82" s="891"/>
      <c r="BD82" s="892"/>
      <c r="BE82" s="892"/>
      <c r="BF82" s="893"/>
      <c r="BG82" s="894"/>
      <c r="BH82" s="891"/>
      <c r="BI82" s="892"/>
      <c r="BJ82" s="892"/>
      <c r="BK82" s="893"/>
      <c r="BL82" s="894"/>
      <c r="BM82" s="890"/>
      <c r="BN82" s="890"/>
      <c r="BO82" s="890"/>
      <c r="BP82" s="890"/>
      <c r="BQ82" s="890"/>
      <c r="BR82" s="890"/>
      <c r="BS82" s="890"/>
      <c r="BT82" s="890"/>
      <c r="BU82" s="890"/>
      <c r="BV82" s="890"/>
      <c r="BW82" s="890"/>
      <c r="BX82" s="890"/>
      <c r="BY82" s="890"/>
      <c r="BZ82" s="890"/>
      <c r="CA82" s="890"/>
      <c r="CB82" s="890"/>
      <c r="CC82" s="890"/>
      <c r="CD82" s="890"/>
      <c r="CE82" s="890"/>
      <c r="CF82" s="890"/>
      <c r="CG82" s="890"/>
      <c r="CH82" s="890"/>
      <c r="CI82" s="890"/>
      <c r="CJ82" s="890"/>
      <c r="CK82" s="890"/>
      <c r="CL82" s="890"/>
      <c r="CM82" s="890"/>
      <c r="CN82" s="890"/>
      <c r="CO82" s="890"/>
      <c r="CP82" s="890"/>
    </row>
    <row r="83" spans="1:94">
      <c r="A83" s="895"/>
      <c r="B83" s="895"/>
      <c r="C83" s="895"/>
      <c r="D83" s="895"/>
      <c r="E83" s="896"/>
      <c r="F83" s="897"/>
      <c r="G83" s="897"/>
      <c r="H83" s="898"/>
      <c r="I83" s="899"/>
      <c r="J83" s="896"/>
      <c r="K83" s="897"/>
      <c r="L83" s="897"/>
      <c r="M83" s="898"/>
      <c r="N83" s="899"/>
      <c r="O83" s="896"/>
      <c r="P83" s="897"/>
      <c r="Q83" s="897"/>
      <c r="R83" s="898"/>
      <c r="S83" s="899"/>
      <c r="T83" s="896"/>
      <c r="U83" s="897"/>
      <c r="V83" s="897"/>
      <c r="W83" s="898"/>
      <c r="X83" s="899"/>
      <c r="Y83" s="896"/>
      <c r="Z83" s="897"/>
      <c r="AA83" s="897"/>
      <c r="AB83" s="898"/>
      <c r="AC83" s="899"/>
      <c r="AD83" s="896"/>
      <c r="AE83" s="897"/>
      <c r="AF83" s="897"/>
      <c r="AG83" s="898"/>
      <c r="AH83" s="899"/>
      <c r="AI83" s="896"/>
      <c r="AJ83" s="897"/>
      <c r="AK83" s="897"/>
      <c r="AL83" s="898"/>
      <c r="AM83" s="899"/>
      <c r="AN83" s="896"/>
      <c r="AO83" s="897"/>
      <c r="AP83" s="897"/>
      <c r="AQ83" s="898"/>
      <c r="AR83" s="899"/>
      <c r="AS83" s="896"/>
      <c r="AT83" s="897"/>
      <c r="AU83" s="897"/>
      <c r="AV83" s="898"/>
      <c r="AW83" s="899"/>
      <c r="AX83" s="896"/>
      <c r="AY83" s="897"/>
      <c r="AZ83" s="897"/>
      <c r="BA83" s="898"/>
      <c r="BB83" s="899"/>
      <c r="BC83" s="896"/>
      <c r="BD83" s="897"/>
      <c r="BE83" s="897"/>
      <c r="BF83" s="898"/>
      <c r="BG83" s="899"/>
      <c r="BH83" s="896"/>
      <c r="BI83" s="897"/>
      <c r="BJ83" s="897"/>
      <c r="BK83" s="898"/>
      <c r="BL83" s="899"/>
      <c r="BM83" s="895"/>
      <c r="BN83" s="895"/>
      <c r="BO83" s="895"/>
      <c r="BP83" s="895"/>
      <c r="BQ83" s="895"/>
      <c r="BR83" s="895"/>
      <c r="BS83" s="895"/>
      <c r="BT83" s="895"/>
      <c r="BU83" s="895"/>
      <c r="BV83" s="895"/>
      <c r="BW83" s="895"/>
      <c r="BX83" s="895"/>
      <c r="BY83" s="895"/>
      <c r="BZ83" s="895"/>
      <c r="CA83" s="895"/>
      <c r="CB83" s="895"/>
      <c r="CC83" s="895"/>
      <c r="CD83" s="895"/>
      <c r="CE83" s="895"/>
      <c r="CF83" s="895"/>
      <c r="CG83" s="895"/>
      <c r="CH83" s="895"/>
      <c r="CI83" s="895"/>
      <c r="CJ83" s="895"/>
      <c r="CK83" s="895"/>
      <c r="CL83" s="895"/>
      <c r="CM83" s="895"/>
      <c r="CN83" s="895"/>
      <c r="CO83" s="895"/>
      <c r="CP83" s="895"/>
    </row>
    <row r="84" spans="1:94">
      <c r="A84" s="890"/>
      <c r="B84" s="1681" t="s">
        <v>735</v>
      </c>
      <c r="C84" s="1682"/>
      <c r="D84" s="1683"/>
      <c r="E84" s="891"/>
      <c r="F84" s="892"/>
      <c r="G84" s="892"/>
      <c r="H84" s="893"/>
      <c r="I84" s="894"/>
      <c r="J84" s="891"/>
      <c r="K84" s="892"/>
      <c r="L84" s="892"/>
      <c r="M84" s="893"/>
      <c r="N84" s="894"/>
      <c r="O84" s="891"/>
      <c r="P84" s="892"/>
      <c r="Q84" s="892"/>
      <c r="R84" s="893"/>
      <c r="S84" s="894"/>
      <c r="T84" s="891"/>
      <c r="U84" s="892"/>
      <c r="V84" s="892"/>
      <c r="W84" s="893"/>
      <c r="X84" s="894"/>
      <c r="Y84" s="891"/>
      <c r="Z84" s="892"/>
      <c r="AA84" s="892"/>
      <c r="AB84" s="893"/>
      <c r="AC84" s="894"/>
      <c r="AD84" s="891"/>
      <c r="AE84" s="892"/>
      <c r="AF84" s="892"/>
      <c r="AG84" s="893"/>
      <c r="AH84" s="894"/>
      <c r="AI84" s="891"/>
      <c r="AJ84" s="892"/>
      <c r="AK84" s="892"/>
      <c r="AL84" s="893"/>
      <c r="AM84" s="894"/>
      <c r="AN84" s="891"/>
      <c r="AO84" s="892"/>
      <c r="AP84" s="892"/>
      <c r="AQ84" s="893"/>
      <c r="AR84" s="894"/>
      <c r="AS84" s="891"/>
      <c r="AT84" s="892"/>
      <c r="AU84" s="892"/>
      <c r="AV84" s="893"/>
      <c r="AW84" s="894"/>
      <c r="AX84" s="891"/>
      <c r="AY84" s="892"/>
      <c r="AZ84" s="892"/>
      <c r="BA84" s="893"/>
      <c r="BB84" s="894"/>
      <c r="BC84" s="891"/>
      <c r="BD84" s="892"/>
      <c r="BE84" s="892"/>
      <c r="BF84" s="893"/>
      <c r="BG84" s="894"/>
      <c r="BH84" s="891"/>
      <c r="BI84" s="892"/>
      <c r="BJ84" s="892"/>
      <c r="BK84" s="893"/>
      <c r="BL84" s="894"/>
      <c r="BM84" s="890"/>
      <c r="BN84" s="890"/>
      <c r="BO84" s="890"/>
      <c r="BP84" s="890"/>
      <c r="BQ84" s="890"/>
      <c r="BR84" s="890"/>
      <c r="BS84" s="890"/>
      <c r="BT84" s="890"/>
      <c r="BU84" s="890"/>
      <c r="BV84" s="890"/>
      <c r="BW84" s="890"/>
      <c r="BX84" s="890"/>
      <c r="BY84" s="890"/>
      <c r="BZ84" s="890"/>
      <c r="CA84" s="890"/>
      <c r="CB84" s="890"/>
      <c r="CC84" s="890"/>
      <c r="CD84" s="890"/>
      <c r="CE84" s="890"/>
      <c r="CF84" s="890"/>
      <c r="CG84" s="890"/>
      <c r="CH84" s="890"/>
      <c r="CI84" s="890"/>
      <c r="CJ84" s="890"/>
      <c r="CK84" s="890"/>
      <c r="CL84" s="890"/>
      <c r="CM84" s="890"/>
      <c r="CN84" s="890"/>
      <c r="CO84" s="890"/>
      <c r="CP84" s="890"/>
    </row>
    <row r="85" spans="1:94">
      <c r="A85" s="228"/>
      <c r="B85" s="228"/>
      <c r="C85" s="1756" t="s">
        <v>272</v>
      </c>
      <c r="D85" s="228"/>
      <c r="E85" s="292"/>
      <c r="F85" s="261"/>
      <c r="G85" s="261"/>
      <c r="H85" s="293"/>
      <c r="I85" s="228">
        <f t="shared" ref="I85:Z85" si="213">+I12</f>
        <v>204</v>
      </c>
      <c r="J85" s="292">
        <f t="shared" si="213"/>
        <v>55</v>
      </c>
      <c r="K85" s="261">
        <f t="shared" si="213"/>
        <v>51</v>
      </c>
      <c r="L85" s="261">
        <f t="shared" si="213"/>
        <v>61</v>
      </c>
      <c r="M85" s="293">
        <f t="shared" si="213"/>
        <v>59</v>
      </c>
      <c r="N85" s="228">
        <f t="shared" si="213"/>
        <v>226</v>
      </c>
      <c r="O85" s="292">
        <f t="shared" si="213"/>
        <v>56</v>
      </c>
      <c r="P85" s="261">
        <f t="shared" si="213"/>
        <v>56</v>
      </c>
      <c r="Q85" s="261">
        <f t="shared" si="213"/>
        <v>66</v>
      </c>
      <c r="R85" s="293">
        <f t="shared" si="213"/>
        <v>61</v>
      </c>
      <c r="S85" s="228">
        <f t="shared" si="213"/>
        <v>239</v>
      </c>
      <c r="T85" s="292">
        <f t="shared" si="213"/>
        <v>61</v>
      </c>
      <c r="U85" s="261">
        <f t="shared" si="213"/>
        <v>58</v>
      </c>
      <c r="V85" s="261">
        <f t="shared" si="213"/>
        <v>58</v>
      </c>
      <c r="W85" s="293">
        <f t="shared" si="213"/>
        <v>53</v>
      </c>
      <c r="X85" s="228">
        <f t="shared" si="213"/>
        <v>230</v>
      </c>
      <c r="Y85" s="292">
        <f t="shared" si="213"/>
        <v>61</v>
      </c>
      <c r="Z85" s="261">
        <f t="shared" si="213"/>
        <v>52</v>
      </c>
      <c r="AA85" s="261">
        <f t="shared" ref="AA85:AE85" si="214">+AA12</f>
        <v>65</v>
      </c>
      <c r="AB85" s="293">
        <f t="shared" si="214"/>
        <v>68</v>
      </c>
      <c r="AC85" s="228">
        <f t="shared" si="214"/>
        <v>246</v>
      </c>
      <c r="AD85" s="292">
        <f t="shared" si="214"/>
        <v>70</v>
      </c>
      <c r="AE85" s="261">
        <f t="shared" si="214"/>
        <v>67</v>
      </c>
      <c r="AF85" s="261">
        <f t="shared" ref="AF85:AJ85" si="215">+AF12</f>
        <v>72</v>
      </c>
      <c r="AG85" s="293">
        <f t="shared" si="215"/>
        <v>63</v>
      </c>
      <c r="AH85" s="228">
        <f t="shared" si="215"/>
        <v>272</v>
      </c>
      <c r="AI85" s="292">
        <f t="shared" si="215"/>
        <v>212</v>
      </c>
      <c r="AJ85" s="261">
        <f t="shared" si="215"/>
        <v>68</v>
      </c>
      <c r="AK85" s="261">
        <f t="shared" ref="AK85:AO85" si="216">+AK12</f>
        <v>67</v>
      </c>
      <c r="AL85" s="293">
        <f t="shared" si="216"/>
        <v>81</v>
      </c>
      <c r="AM85" s="228">
        <f t="shared" si="216"/>
        <v>428</v>
      </c>
      <c r="AN85" s="292">
        <f t="shared" si="216"/>
        <v>76</v>
      </c>
      <c r="AO85" s="261">
        <f t="shared" si="216"/>
        <v>78</v>
      </c>
      <c r="AP85" s="261">
        <f t="shared" ref="AP85:AR85" si="217">+AP12</f>
        <v>72</v>
      </c>
      <c r="AQ85" s="293">
        <f t="shared" si="217"/>
        <v>81</v>
      </c>
      <c r="AR85" s="228">
        <f t="shared" si="217"/>
        <v>307</v>
      </c>
      <c r="AS85" s="292">
        <f>AS87+AS86</f>
        <v>72.2</v>
      </c>
      <c r="AT85" s="261">
        <f>AT87+AT86</f>
        <v>74.099999999999994</v>
      </c>
      <c r="AU85" s="261">
        <f>AU87+AU86</f>
        <v>68.399999999999991</v>
      </c>
      <c r="AV85" s="293">
        <f>AV87+AV86</f>
        <v>76.95</v>
      </c>
      <c r="AW85" s="228">
        <f>+SUM(AS85:AV85)</f>
        <v>291.64999999999998</v>
      </c>
      <c r="AX85" s="292">
        <f>AX87+AX86</f>
        <v>71.478000000000009</v>
      </c>
      <c r="AY85" s="261">
        <f>AY87+AY86</f>
        <v>73.358999999999995</v>
      </c>
      <c r="AZ85" s="261">
        <f>AZ87+AZ86</f>
        <v>67.715999999999994</v>
      </c>
      <c r="BA85" s="293">
        <f>BA87+BA86</f>
        <v>76.180500000000009</v>
      </c>
      <c r="BB85" s="228">
        <f>+SUM(AX85:BA85)</f>
        <v>288.73349999999999</v>
      </c>
      <c r="BC85" s="292">
        <f>BC87+BC86</f>
        <v>68.97627</v>
      </c>
      <c r="BD85" s="261">
        <f>BD87+BD86</f>
        <v>70.791434999999993</v>
      </c>
      <c r="BE85" s="261">
        <f>BE87+BE86</f>
        <v>65.345939999999999</v>
      </c>
      <c r="BF85" s="293">
        <f>BF87+BF86</f>
        <v>73.514182500000004</v>
      </c>
      <c r="BG85" s="228">
        <f>+SUM(BC85:BF85)</f>
        <v>278.62782749999997</v>
      </c>
      <c r="BH85" s="292">
        <f>BH87+BH86</f>
        <v>64.837693799999997</v>
      </c>
      <c r="BI85" s="261">
        <f>BI87+BI86</f>
        <v>66.54394889999999</v>
      </c>
      <c r="BJ85" s="261">
        <f>BJ87+BJ86</f>
        <v>61.425183599999997</v>
      </c>
      <c r="BK85" s="293">
        <f>BK87+BK86</f>
        <v>69.103331549999993</v>
      </c>
      <c r="BL85" s="228">
        <f>+SUM(BH85:BK85)</f>
        <v>261.91015784999996</v>
      </c>
      <c r="BM85" s="228"/>
      <c r="BN85" s="228"/>
      <c r="BO85" s="228"/>
      <c r="BP85" s="228"/>
      <c r="BQ85" s="228"/>
      <c r="BR85" s="228"/>
      <c r="BS85" s="228"/>
      <c r="BT85" s="228"/>
      <c r="BU85" s="228"/>
      <c r="BV85" s="228"/>
      <c r="BW85" s="228"/>
      <c r="BX85" s="228"/>
      <c r="BY85" s="228"/>
      <c r="BZ85" s="228"/>
      <c r="CA85" s="228"/>
      <c r="CB85" s="228"/>
      <c r="CC85" s="228"/>
      <c r="CD85" s="228"/>
      <c r="CE85" s="228"/>
      <c r="CF85" s="228"/>
      <c r="CG85" s="228"/>
      <c r="CH85" s="228"/>
      <c r="CI85" s="228"/>
      <c r="CJ85" s="228"/>
      <c r="CK85" s="228"/>
      <c r="CL85" s="228"/>
      <c r="CM85" s="228"/>
      <c r="CN85" s="228"/>
      <c r="CO85" s="228"/>
      <c r="CP85" s="228"/>
    </row>
    <row r="86" spans="1:94">
      <c r="A86" s="45"/>
      <c r="B86" s="45"/>
      <c r="C86" s="1716" t="s">
        <v>608</v>
      </c>
      <c r="D86" s="45"/>
      <c r="E86" s="814"/>
      <c r="F86" s="262"/>
      <c r="G86" s="262"/>
      <c r="H86" s="294"/>
      <c r="I86" s="45">
        <f>SUM(E86:H86)</f>
        <v>0</v>
      </c>
      <c r="J86" s="814">
        <v>0</v>
      </c>
      <c r="K86" s="262">
        <v>0</v>
      </c>
      <c r="L86" s="262">
        <v>0</v>
      </c>
      <c r="M86" s="294">
        <v>0</v>
      </c>
      <c r="N86" s="45">
        <f>SUM(J86:M86)</f>
        <v>0</v>
      </c>
      <c r="O86" s="814">
        <v>0</v>
      </c>
      <c r="P86" s="262">
        <v>0</v>
      </c>
      <c r="Q86" s="262">
        <v>0</v>
      </c>
      <c r="R86" s="294">
        <v>0</v>
      </c>
      <c r="S86" s="45">
        <f>SUM(O86:R86)</f>
        <v>0</v>
      </c>
      <c r="T86" s="814">
        <v>0</v>
      </c>
      <c r="U86" s="262">
        <v>0</v>
      </c>
      <c r="V86" s="262">
        <v>0</v>
      </c>
      <c r="W86" s="294">
        <v>0</v>
      </c>
      <c r="X86" s="45">
        <f>SUM(T86:W86)</f>
        <v>0</v>
      </c>
      <c r="Y86" s="814">
        <v>0</v>
      </c>
      <c r="Z86" s="262">
        <v>0</v>
      </c>
      <c r="AA86" s="262">
        <v>0</v>
      </c>
      <c r="AB86" s="294">
        <v>0</v>
      </c>
      <c r="AC86" s="45">
        <f>SUM(Y86:AB86)</f>
        <v>0</v>
      </c>
      <c r="AD86" s="814">
        <v>0</v>
      </c>
      <c r="AE86" s="262">
        <v>0</v>
      </c>
      <c r="AF86" s="262">
        <v>0</v>
      </c>
      <c r="AG86" s="294">
        <v>0</v>
      </c>
      <c r="AH86" s="45">
        <f>SUM(AD86:AG86)</f>
        <v>0</v>
      </c>
      <c r="AI86" s="814">
        <v>0</v>
      </c>
      <c r="AJ86" s="262">
        <v>0</v>
      </c>
      <c r="AK86" s="262">
        <v>0</v>
      </c>
      <c r="AL86" s="294">
        <v>0</v>
      </c>
      <c r="AM86" s="45">
        <f>SUM(AI86:AL86)</f>
        <v>0</v>
      </c>
      <c r="AN86" s="814">
        <v>0</v>
      </c>
      <c r="AO86" s="262">
        <v>0</v>
      </c>
      <c r="AP86" s="262">
        <v>0</v>
      </c>
      <c r="AQ86" s="294">
        <v>0</v>
      </c>
      <c r="AR86" s="45">
        <f>SUM(AN86:AQ86)</f>
        <v>0</v>
      </c>
      <c r="AS86" s="814">
        <v>0</v>
      </c>
      <c r="AT86" s="262">
        <v>0</v>
      </c>
      <c r="AU86" s="262">
        <v>0</v>
      </c>
      <c r="AV86" s="294">
        <v>0</v>
      </c>
      <c r="AW86" s="45">
        <f>SUM(AS86:AV86)</f>
        <v>0</v>
      </c>
      <c r="AX86" s="814">
        <v>0</v>
      </c>
      <c r="AY86" s="262">
        <v>0</v>
      </c>
      <c r="AZ86" s="262">
        <v>0</v>
      </c>
      <c r="BA86" s="294">
        <v>0</v>
      </c>
      <c r="BB86" s="45">
        <f>SUM(AX86:BA86)</f>
        <v>0</v>
      </c>
      <c r="BC86" s="814">
        <v>0</v>
      </c>
      <c r="BD86" s="262">
        <v>0</v>
      </c>
      <c r="BE86" s="262">
        <v>0</v>
      </c>
      <c r="BF86" s="294">
        <v>0</v>
      </c>
      <c r="BG86" s="45">
        <f>SUM(BC86:BF86)</f>
        <v>0</v>
      </c>
      <c r="BH86" s="814">
        <v>0</v>
      </c>
      <c r="BI86" s="262">
        <v>0</v>
      </c>
      <c r="BJ86" s="262">
        <v>0</v>
      </c>
      <c r="BK86" s="294">
        <v>0</v>
      </c>
      <c r="BL86" s="45">
        <f>SUM(BH86:BK86)</f>
        <v>0</v>
      </c>
      <c r="BM86" s="45"/>
      <c r="BN86" s="45"/>
      <c r="BO86" s="45"/>
      <c r="BP86" s="45"/>
      <c r="BQ86" s="45"/>
      <c r="BR86" s="45"/>
      <c r="BS86" s="45"/>
      <c r="BT86" s="45"/>
      <c r="BU86" s="45"/>
      <c r="BV86" s="45"/>
      <c r="BW86" s="45"/>
      <c r="BX86" s="45"/>
      <c r="BY86" s="45"/>
      <c r="BZ86" s="45"/>
      <c r="CA86" s="45"/>
      <c r="CB86" s="45"/>
      <c r="CC86" s="45"/>
      <c r="CD86" s="45"/>
      <c r="CE86" s="45"/>
      <c r="CF86" s="45"/>
      <c r="CG86" s="45"/>
      <c r="CH86" s="45"/>
      <c r="CI86" s="45"/>
      <c r="CJ86" s="45"/>
      <c r="CK86" s="45"/>
      <c r="CL86" s="45"/>
      <c r="CM86" s="45"/>
      <c r="CN86" s="45"/>
      <c r="CO86" s="45"/>
      <c r="CP86" s="45"/>
    </row>
    <row r="87" spans="1:94">
      <c r="A87" s="45"/>
      <c r="B87" s="45"/>
      <c r="C87" s="1716" t="s">
        <v>609</v>
      </c>
      <c r="D87" s="45"/>
      <c r="E87" s="290"/>
      <c r="F87" s="260"/>
      <c r="G87" s="260"/>
      <c r="H87" s="291"/>
      <c r="I87" s="45">
        <f>+I85-I86</f>
        <v>204</v>
      </c>
      <c r="J87" s="290">
        <f>+J85-J86</f>
        <v>55</v>
      </c>
      <c r="K87" s="260">
        <f>+K85-K86</f>
        <v>51</v>
      </c>
      <c r="L87" s="260">
        <f>+L85-L86</f>
        <v>61</v>
      </c>
      <c r="M87" s="291">
        <f>+M85-M86</f>
        <v>59</v>
      </c>
      <c r="N87" s="45">
        <f>+SUM(J87:M87)</f>
        <v>226</v>
      </c>
      <c r="O87" s="290">
        <f>+O85-O86</f>
        <v>56</v>
      </c>
      <c r="P87" s="260">
        <f>+P85-P86</f>
        <v>56</v>
      </c>
      <c r="Q87" s="260">
        <f>+Q85-Q86</f>
        <v>66</v>
      </c>
      <c r="R87" s="291">
        <f>+R85-R86</f>
        <v>61</v>
      </c>
      <c r="S87" s="45">
        <f>+SUM(O87:R87)</f>
        <v>239</v>
      </c>
      <c r="T87" s="290">
        <f>+T85-T86</f>
        <v>61</v>
      </c>
      <c r="U87" s="260">
        <f>+U85-U86</f>
        <v>58</v>
      </c>
      <c r="V87" s="260">
        <f>+V85-V86</f>
        <v>58</v>
      </c>
      <c r="W87" s="291">
        <f>+W85-W86</f>
        <v>53</v>
      </c>
      <c r="X87" s="45">
        <f>+SUM(T87:W87)</f>
        <v>230</v>
      </c>
      <c r="Y87" s="290">
        <f>+Y85-Y86</f>
        <v>61</v>
      </c>
      <c r="Z87" s="260">
        <f>+Z85-Z86</f>
        <v>52</v>
      </c>
      <c r="AA87" s="260">
        <f>+AA85-AA86</f>
        <v>65</v>
      </c>
      <c r="AB87" s="291">
        <f>+AB85-AB86</f>
        <v>68</v>
      </c>
      <c r="AC87" s="45">
        <f>+SUM(Y87:AB87)</f>
        <v>246</v>
      </c>
      <c r="AD87" s="290">
        <f>+AD85-AD86</f>
        <v>70</v>
      </c>
      <c r="AE87" s="260">
        <f>+AE85-AE86</f>
        <v>67</v>
      </c>
      <c r="AF87" s="260">
        <f>+AF85-AF86</f>
        <v>72</v>
      </c>
      <c r="AG87" s="291">
        <f>+AG85-AG86</f>
        <v>63</v>
      </c>
      <c r="AH87" s="45">
        <f>+SUM(AD87:AG87)</f>
        <v>272</v>
      </c>
      <c r="AI87" s="290">
        <f>+AI85-AI86</f>
        <v>212</v>
      </c>
      <c r="AJ87" s="260">
        <f>+AJ85-AJ86</f>
        <v>68</v>
      </c>
      <c r="AK87" s="260">
        <f>+AK85-AK86</f>
        <v>67</v>
      </c>
      <c r="AL87" s="291">
        <f>+AL85-AL86</f>
        <v>81</v>
      </c>
      <c r="AM87" s="45">
        <f>+SUM(AI87:AL87)</f>
        <v>428</v>
      </c>
      <c r="AN87" s="290">
        <f>+AN85-AN86</f>
        <v>76</v>
      </c>
      <c r="AO87" s="260">
        <f>+AO85-AO86</f>
        <v>78</v>
      </c>
      <c r="AP87" s="260">
        <f t="shared" ref="AP87" si="218">+AP85-AP86</f>
        <v>72</v>
      </c>
      <c r="AQ87" s="291">
        <f>+AQ85-AQ86</f>
        <v>81</v>
      </c>
      <c r="AR87" s="45">
        <f>+SUM(AN87:AQ87)</f>
        <v>307</v>
      </c>
      <c r="AS87" s="290">
        <f>AN87*(1+AS88)</f>
        <v>72.2</v>
      </c>
      <c r="AT87" s="260">
        <f>AO87*(1+AT88)</f>
        <v>74.099999999999994</v>
      </c>
      <c r="AU87" s="260">
        <f>AP87*(1+AU88)</f>
        <v>68.399999999999991</v>
      </c>
      <c r="AV87" s="291">
        <f>AQ87*(1+AV88)</f>
        <v>76.95</v>
      </c>
      <c r="AW87" s="45">
        <f>+SUM(AS87:AV87)</f>
        <v>291.64999999999998</v>
      </c>
      <c r="AX87" s="290">
        <f>AS87*(1+AX88)</f>
        <v>71.478000000000009</v>
      </c>
      <c r="AY87" s="260">
        <f>AT87*(1+AY88)</f>
        <v>73.358999999999995</v>
      </c>
      <c r="AZ87" s="260">
        <f>AU87*(1+AZ88)</f>
        <v>67.715999999999994</v>
      </c>
      <c r="BA87" s="291">
        <f>AV87*(1+BA88)</f>
        <v>76.180500000000009</v>
      </c>
      <c r="BB87" s="45">
        <f>+SUM(AX87:BA87)</f>
        <v>288.73349999999999</v>
      </c>
      <c r="BC87" s="290">
        <f>AX87*(1+BC88)</f>
        <v>68.97627</v>
      </c>
      <c r="BD87" s="260">
        <f>AY87*(1+BD88)</f>
        <v>70.791434999999993</v>
      </c>
      <c r="BE87" s="260">
        <f>AZ87*(1+BE88)</f>
        <v>65.345939999999999</v>
      </c>
      <c r="BF87" s="291">
        <f>BA87*(1+BF88)</f>
        <v>73.514182500000004</v>
      </c>
      <c r="BG87" s="45">
        <f>+SUM(BC87:BF87)</f>
        <v>278.62782749999997</v>
      </c>
      <c r="BH87" s="290">
        <f>BC87*(1+BH88)</f>
        <v>64.837693799999997</v>
      </c>
      <c r="BI87" s="260">
        <f>BD87*(1+BI88)</f>
        <v>66.54394889999999</v>
      </c>
      <c r="BJ87" s="260">
        <f>BE87*(1+BJ88)</f>
        <v>61.425183599999997</v>
      </c>
      <c r="BK87" s="291">
        <f>BF87*(1+BK88)</f>
        <v>69.103331549999993</v>
      </c>
      <c r="BL87" s="45">
        <f>+SUM(BH87:BK87)</f>
        <v>261.91015784999996</v>
      </c>
      <c r="BM87" s="45"/>
      <c r="BN87" s="45"/>
      <c r="BO87" s="45"/>
      <c r="BP87" s="45"/>
      <c r="BQ87" s="45"/>
      <c r="BR87" s="45"/>
      <c r="BS87" s="45"/>
      <c r="BT87" s="45"/>
      <c r="BU87" s="45"/>
      <c r="BV87" s="45"/>
      <c r="BW87" s="45"/>
      <c r="BX87" s="45"/>
      <c r="BY87" s="45"/>
      <c r="BZ87" s="45"/>
      <c r="CA87" s="45"/>
      <c r="CB87" s="45"/>
      <c r="CC87" s="45"/>
      <c r="CD87" s="45"/>
      <c r="CE87" s="45"/>
      <c r="CF87" s="45"/>
      <c r="CG87" s="45"/>
      <c r="CH87" s="45"/>
      <c r="CI87" s="45"/>
      <c r="CJ87" s="45"/>
      <c r="CK87" s="45"/>
      <c r="CL87" s="45"/>
      <c r="CM87" s="45"/>
      <c r="CN87" s="45"/>
      <c r="CO87" s="45"/>
      <c r="CP87" s="45"/>
    </row>
    <row r="88" spans="1:94">
      <c r="A88" s="1699"/>
      <c r="B88" s="1699"/>
      <c r="C88" s="1757" t="s">
        <v>610</v>
      </c>
      <c r="D88" s="1699"/>
      <c r="E88" s="1758"/>
      <c r="F88" s="1759"/>
      <c r="G88" s="1759"/>
      <c r="H88" s="1760"/>
      <c r="I88" s="1761"/>
      <c r="J88" s="1758"/>
      <c r="K88" s="1759"/>
      <c r="L88" s="1759"/>
      <c r="M88" s="1760"/>
      <c r="N88" s="1761">
        <f t="shared" ref="N88:X88" si="219">+N87/I87-1</f>
        <v>0.10784313725490202</v>
      </c>
      <c r="O88" s="1758">
        <f t="shared" si="219"/>
        <v>1.8181818181818077E-2</v>
      </c>
      <c r="P88" s="1759">
        <f t="shared" si="219"/>
        <v>9.8039215686274606E-2</v>
      </c>
      <c r="Q88" s="1759">
        <f t="shared" si="219"/>
        <v>8.1967213114754189E-2</v>
      </c>
      <c r="R88" s="1760">
        <f t="shared" si="219"/>
        <v>3.3898305084745672E-2</v>
      </c>
      <c r="S88" s="1761">
        <f t="shared" si="219"/>
        <v>5.7522123893805288E-2</v>
      </c>
      <c r="T88" s="1758">
        <f t="shared" si="219"/>
        <v>8.9285714285714191E-2</v>
      </c>
      <c r="U88" s="1759">
        <f t="shared" si="219"/>
        <v>3.5714285714285809E-2</v>
      </c>
      <c r="V88" s="1759">
        <f t="shared" si="219"/>
        <v>-0.12121212121212122</v>
      </c>
      <c r="W88" s="1760">
        <f t="shared" si="219"/>
        <v>-0.13114754098360659</v>
      </c>
      <c r="X88" s="1761">
        <f t="shared" si="219"/>
        <v>-3.7656903765690419E-2</v>
      </c>
      <c r="Y88" s="1758">
        <f>+Y87/T87-1</f>
        <v>0</v>
      </c>
      <c r="Z88" s="1759">
        <f>+Z87/U87-1</f>
        <v>-0.10344827586206895</v>
      </c>
      <c r="AA88" s="1759">
        <f t="shared" ref="AA88" si="220">+AA87/V87-1</f>
        <v>0.1206896551724137</v>
      </c>
      <c r="AB88" s="1760">
        <f t="shared" ref="AB88" si="221">+AB87/W87-1</f>
        <v>0.28301886792452824</v>
      </c>
      <c r="AC88" s="1761">
        <f t="shared" ref="AC88" si="222">+AC87/X87-1</f>
        <v>6.956521739130439E-2</v>
      </c>
      <c r="AD88" s="1758">
        <f>+AD87/Y87-1</f>
        <v>0.14754098360655732</v>
      </c>
      <c r="AE88" s="1759">
        <f>+AE87/Z87-1</f>
        <v>0.28846153846153855</v>
      </c>
      <c r="AF88" s="1759">
        <f t="shared" ref="AF88" si="223">+AF87/AA87-1</f>
        <v>0.10769230769230775</v>
      </c>
      <c r="AG88" s="1760">
        <f t="shared" ref="AG88" si="224">+AG87/AB87-1</f>
        <v>-7.3529411764705843E-2</v>
      </c>
      <c r="AH88" s="1761">
        <f t="shared" ref="AH88" si="225">+AH87/AC87-1</f>
        <v>0.10569105691056913</v>
      </c>
      <c r="AI88" s="1758">
        <f>+AI87/AD87-1</f>
        <v>2.0285714285714285</v>
      </c>
      <c r="AJ88" s="1759">
        <f>+AJ87/AE87-1</f>
        <v>1.4925373134328401E-2</v>
      </c>
      <c r="AK88" s="1759">
        <f t="shared" ref="AK88" si="226">+AK87/AF87-1</f>
        <v>-6.944444444444442E-2</v>
      </c>
      <c r="AL88" s="1760">
        <f t="shared" ref="AL88" si="227">+AL87/AG87-1</f>
        <v>0.28571428571428581</v>
      </c>
      <c r="AM88" s="1761">
        <f t="shared" ref="AM88" si="228">+AM87/AH87-1</f>
        <v>0.57352941176470584</v>
      </c>
      <c r="AN88" s="1758">
        <f>+AN87/AI87-1</f>
        <v>-0.64150943396226423</v>
      </c>
      <c r="AO88" s="1759">
        <f>+AO87/AJ87-1</f>
        <v>0.14705882352941169</v>
      </c>
      <c r="AP88" s="1759">
        <f t="shared" ref="AP88" si="229">+AP87/AK87-1</f>
        <v>7.4626865671641784E-2</v>
      </c>
      <c r="AQ88" s="1760">
        <f t="shared" ref="AQ88" si="230">+AQ87/AL87-1</f>
        <v>0</v>
      </c>
      <c r="AR88" s="1761">
        <f t="shared" ref="AR88" si="231">+AR87/AM87-1</f>
        <v>-0.28271028037383172</v>
      </c>
      <c r="AS88" s="1758">
        <f>+AS50</f>
        <v>-0.05</v>
      </c>
      <c r="AT88" s="1759">
        <f>+AT50</f>
        <v>-0.05</v>
      </c>
      <c r="AU88" s="1759">
        <f>+AU50</f>
        <v>-0.05</v>
      </c>
      <c r="AV88" s="1760">
        <f>+AV50</f>
        <v>-0.05</v>
      </c>
      <c r="AW88" s="1761">
        <f>+AW87/AR87-1</f>
        <v>-5.0000000000000044E-2</v>
      </c>
      <c r="AX88" s="1758">
        <f>+AX50</f>
        <v>-0.01</v>
      </c>
      <c r="AY88" s="1759">
        <f>+AY50</f>
        <v>-0.01</v>
      </c>
      <c r="AZ88" s="1759">
        <f>+AZ50</f>
        <v>-0.01</v>
      </c>
      <c r="BA88" s="1760">
        <f>+BA50</f>
        <v>-0.01</v>
      </c>
      <c r="BB88" s="1761">
        <f>+BB87/AW87-1</f>
        <v>-9.9999999999998979E-3</v>
      </c>
      <c r="BC88" s="1758">
        <f>+BC50</f>
        <v>-3.5000000000000003E-2</v>
      </c>
      <c r="BD88" s="1759">
        <f>+BD50</f>
        <v>-3.5000000000000003E-2</v>
      </c>
      <c r="BE88" s="1759">
        <f>+BE50</f>
        <v>-3.5000000000000003E-2</v>
      </c>
      <c r="BF88" s="1760">
        <f>+BF50</f>
        <v>-3.5000000000000003E-2</v>
      </c>
      <c r="BG88" s="1761">
        <f>+BG87/BB87-1</f>
        <v>-3.5000000000000142E-2</v>
      </c>
      <c r="BH88" s="1758">
        <f>+BH50</f>
        <v>-0.06</v>
      </c>
      <c r="BI88" s="1759">
        <f>+BI50</f>
        <v>-0.06</v>
      </c>
      <c r="BJ88" s="1759">
        <f>+BJ50</f>
        <v>-0.06</v>
      </c>
      <c r="BK88" s="1760">
        <f>+BK50</f>
        <v>-0.06</v>
      </c>
      <c r="BL88" s="1761">
        <f>+BL87/BG87-1</f>
        <v>-6.0000000000000053E-2</v>
      </c>
      <c r="BM88" s="1699"/>
      <c r="BN88" s="1699"/>
      <c r="BO88" s="1699"/>
      <c r="BP88" s="1699"/>
      <c r="BQ88" s="1699"/>
      <c r="BR88" s="1699"/>
      <c r="BS88" s="1699"/>
      <c r="BT88" s="1699"/>
      <c r="BU88" s="1699"/>
      <c r="BV88" s="1699"/>
      <c r="BW88" s="1699"/>
      <c r="BX88" s="1699"/>
      <c r="BY88" s="1699"/>
      <c r="BZ88" s="1699"/>
      <c r="CA88" s="1699"/>
      <c r="CB88" s="1699"/>
      <c r="CC88" s="1699"/>
      <c r="CD88" s="1699"/>
      <c r="CE88" s="1699"/>
      <c r="CF88" s="1699"/>
      <c r="CG88" s="1699"/>
      <c r="CH88" s="1699"/>
      <c r="CI88" s="1699"/>
      <c r="CJ88" s="1699"/>
      <c r="CK88" s="1699"/>
      <c r="CL88" s="1699"/>
      <c r="CM88" s="1699"/>
      <c r="CN88" s="1699"/>
      <c r="CO88" s="1699"/>
      <c r="CP88" s="1699"/>
    </row>
    <row r="89" spans="1:94">
      <c r="A89" s="895"/>
      <c r="B89" s="895"/>
      <c r="C89" s="1716"/>
      <c r="D89" s="895"/>
      <c r="E89" s="896"/>
      <c r="F89" s="897"/>
      <c r="G89" s="897"/>
      <c r="H89" s="898"/>
      <c r="I89" s="899"/>
      <c r="J89" s="896"/>
      <c r="K89" s="897"/>
      <c r="L89" s="897"/>
      <c r="M89" s="898"/>
      <c r="N89" s="899"/>
      <c r="O89" s="896"/>
      <c r="P89" s="897"/>
      <c r="Q89" s="897"/>
      <c r="R89" s="898"/>
      <c r="S89" s="899"/>
      <c r="T89" s="896"/>
      <c r="U89" s="897"/>
      <c r="V89" s="897"/>
      <c r="W89" s="898"/>
      <c r="X89" s="899"/>
      <c r="Y89" s="896"/>
      <c r="Z89" s="897"/>
      <c r="AA89" s="897"/>
      <c r="AB89" s="898"/>
      <c r="AC89" s="899"/>
      <c r="AD89" s="896"/>
      <c r="AE89" s="897"/>
      <c r="AF89" s="897"/>
      <c r="AG89" s="898"/>
      <c r="AH89" s="899"/>
      <c r="AI89" s="896"/>
      <c r="AJ89" s="897"/>
      <c r="AK89" s="897"/>
      <c r="AL89" s="898"/>
      <c r="AM89" s="899"/>
      <c r="AN89" s="896"/>
      <c r="AO89" s="897"/>
      <c r="AP89" s="897"/>
      <c r="AQ89" s="898"/>
      <c r="AR89" s="899"/>
      <c r="AS89" s="896"/>
      <c r="AT89" s="897"/>
      <c r="AU89" s="897"/>
      <c r="AV89" s="898"/>
      <c r="AW89" s="899"/>
      <c r="AX89" s="896"/>
      <c r="AY89" s="897"/>
      <c r="AZ89" s="897"/>
      <c r="BA89" s="898"/>
      <c r="BB89" s="899"/>
      <c r="BC89" s="896"/>
      <c r="BD89" s="897"/>
      <c r="BE89" s="897"/>
      <c r="BF89" s="898"/>
      <c r="BG89" s="899"/>
      <c r="BH89" s="896"/>
      <c r="BI89" s="897"/>
      <c r="BJ89" s="897"/>
      <c r="BK89" s="898"/>
      <c r="BL89" s="899"/>
      <c r="BM89" s="895"/>
      <c r="BN89" s="895"/>
      <c r="BO89" s="895"/>
      <c r="BP89" s="895"/>
      <c r="BQ89" s="895"/>
      <c r="BR89" s="895"/>
      <c r="BS89" s="895"/>
      <c r="BT89" s="895"/>
      <c r="BU89" s="895"/>
      <c r="BV89" s="895"/>
      <c r="BW89" s="895"/>
      <c r="BX89" s="895"/>
      <c r="BY89" s="895"/>
      <c r="BZ89" s="895"/>
      <c r="CA89" s="895"/>
      <c r="CB89" s="895"/>
      <c r="CC89" s="895"/>
      <c r="CD89" s="895"/>
      <c r="CE89" s="895"/>
      <c r="CF89" s="895"/>
      <c r="CG89" s="895"/>
      <c r="CH89" s="895"/>
      <c r="CI89" s="895"/>
      <c r="CJ89" s="895"/>
      <c r="CK89" s="895"/>
      <c r="CL89" s="895"/>
      <c r="CM89" s="895"/>
      <c r="CN89" s="895"/>
      <c r="CO89" s="895"/>
      <c r="CP89" s="895"/>
    </row>
    <row r="90" spans="1:94">
      <c r="A90" s="45"/>
      <c r="B90" s="45"/>
      <c r="C90" s="1716" t="s">
        <v>65</v>
      </c>
      <c r="D90" s="45"/>
      <c r="E90" s="290"/>
      <c r="F90" s="260"/>
      <c r="G90" s="260"/>
      <c r="H90" s="291"/>
      <c r="I90" s="45">
        <f t="shared" ref="I90:Z90" si="232">+I14</f>
        <v>26</v>
      </c>
      <c r="J90" s="290">
        <f t="shared" si="232"/>
        <v>6</v>
      </c>
      <c r="K90" s="260">
        <f t="shared" si="232"/>
        <v>5</v>
      </c>
      <c r="L90" s="260">
        <f t="shared" si="232"/>
        <v>8</v>
      </c>
      <c r="M90" s="291">
        <f t="shared" si="232"/>
        <v>6</v>
      </c>
      <c r="N90" s="45">
        <f t="shared" si="232"/>
        <v>25</v>
      </c>
      <c r="O90" s="290">
        <f t="shared" si="232"/>
        <v>4</v>
      </c>
      <c r="P90" s="260">
        <f t="shared" si="232"/>
        <v>4</v>
      </c>
      <c r="Q90" s="260">
        <f t="shared" si="232"/>
        <v>6</v>
      </c>
      <c r="R90" s="291">
        <f t="shared" si="232"/>
        <v>4</v>
      </c>
      <c r="S90" s="45">
        <f t="shared" si="232"/>
        <v>18</v>
      </c>
      <c r="T90" s="290">
        <f t="shared" si="232"/>
        <v>4</v>
      </c>
      <c r="U90" s="260">
        <f t="shared" si="232"/>
        <v>2</v>
      </c>
      <c r="V90" s="260">
        <f t="shared" si="232"/>
        <v>5</v>
      </c>
      <c r="W90" s="291">
        <f t="shared" si="232"/>
        <v>3</v>
      </c>
      <c r="X90" s="45">
        <f t="shared" si="232"/>
        <v>14</v>
      </c>
      <c r="Y90" s="290">
        <f t="shared" si="232"/>
        <v>1</v>
      </c>
      <c r="Z90" s="260">
        <f t="shared" si="232"/>
        <v>1</v>
      </c>
      <c r="AA90" s="260">
        <f t="shared" ref="AA90:AE90" si="233">+AA14</f>
        <v>1</v>
      </c>
      <c r="AB90" s="291">
        <f t="shared" si="233"/>
        <v>-1</v>
      </c>
      <c r="AC90" s="45">
        <f t="shared" si="233"/>
        <v>2</v>
      </c>
      <c r="AD90" s="290">
        <f t="shared" si="233"/>
        <v>1</v>
      </c>
      <c r="AE90" s="260">
        <f t="shared" si="233"/>
        <v>1</v>
      </c>
      <c r="AF90" s="260">
        <f t="shared" ref="AF90:AJ90" si="234">+AF14</f>
        <v>1</v>
      </c>
      <c r="AG90" s="291">
        <f t="shared" si="234"/>
        <v>2</v>
      </c>
      <c r="AH90" s="45">
        <f t="shared" si="234"/>
        <v>5</v>
      </c>
      <c r="AI90" s="290">
        <f t="shared" si="234"/>
        <v>2</v>
      </c>
      <c r="AJ90" s="260">
        <f t="shared" si="234"/>
        <v>2</v>
      </c>
      <c r="AK90" s="260">
        <f t="shared" ref="AK90:AO90" si="235">+AK14</f>
        <v>1</v>
      </c>
      <c r="AL90" s="291">
        <f t="shared" si="235"/>
        <v>2</v>
      </c>
      <c r="AM90" s="45">
        <f t="shared" si="235"/>
        <v>7</v>
      </c>
      <c r="AN90" s="290">
        <f t="shared" si="235"/>
        <v>2</v>
      </c>
      <c r="AO90" s="260">
        <f t="shared" si="235"/>
        <v>2</v>
      </c>
      <c r="AP90" s="260">
        <f t="shared" ref="AP90:AR90" si="236">+AP14</f>
        <v>2</v>
      </c>
      <c r="AQ90" s="291">
        <f t="shared" si="236"/>
        <v>0</v>
      </c>
      <c r="AR90" s="45">
        <f t="shared" si="236"/>
        <v>6</v>
      </c>
      <c r="AS90" s="290">
        <f>AN90*(1+AS91)</f>
        <v>2.06</v>
      </c>
      <c r="AT90" s="260">
        <f>AO90*(1+AT91)</f>
        <v>2.06</v>
      </c>
      <c r="AU90" s="260">
        <f>AP90*(1+AU91)</f>
        <v>2.06</v>
      </c>
      <c r="AV90" s="291">
        <f>AQ90*(1+AV91)</f>
        <v>0</v>
      </c>
      <c r="AW90" s="45">
        <f>+SUM(AS90:AV90)</f>
        <v>6.18</v>
      </c>
      <c r="AX90" s="290">
        <f>AS90*(1+AX91)</f>
        <v>2.1217999999999999</v>
      </c>
      <c r="AY90" s="260">
        <f>AT90*(1+AY91)</f>
        <v>2.1217999999999999</v>
      </c>
      <c r="AZ90" s="260">
        <f>AU90*(1+AZ91)</f>
        <v>2.1217999999999999</v>
      </c>
      <c r="BA90" s="291">
        <f>AV90*(1+BA91)</f>
        <v>0</v>
      </c>
      <c r="BB90" s="45">
        <f>+SUM(AX90:BA90)</f>
        <v>6.3653999999999993</v>
      </c>
      <c r="BC90" s="290">
        <f>AX90*(1+BC91)</f>
        <v>2.185454</v>
      </c>
      <c r="BD90" s="260">
        <f>AY90*(1+BD91)</f>
        <v>2.185454</v>
      </c>
      <c r="BE90" s="260">
        <f>AZ90*(1+BE91)</f>
        <v>2.185454</v>
      </c>
      <c r="BF90" s="291">
        <f>BA90*(1+BF91)</f>
        <v>0</v>
      </c>
      <c r="BG90" s="45">
        <f>+SUM(BC90:BF90)</f>
        <v>6.556362</v>
      </c>
      <c r="BH90" s="290">
        <f>BC90*(1+BH91)</f>
        <v>2.2510176200000003</v>
      </c>
      <c r="BI90" s="260">
        <f>BD90*(1+BI91)</f>
        <v>2.2510176200000003</v>
      </c>
      <c r="BJ90" s="260">
        <f>BE90*(1+BJ91)</f>
        <v>2.2510176200000003</v>
      </c>
      <c r="BK90" s="291">
        <f>BF90*(1+BK91)</f>
        <v>0</v>
      </c>
      <c r="BL90" s="45">
        <f>+SUM(BH90:BK90)</f>
        <v>6.7530528600000004</v>
      </c>
      <c r="BM90" s="45"/>
      <c r="BN90" s="45"/>
      <c r="BO90" s="45"/>
      <c r="BP90" s="45"/>
      <c r="BQ90" s="45"/>
      <c r="BR90" s="45"/>
      <c r="BS90" s="45"/>
      <c r="BT90" s="45"/>
      <c r="BU90" s="45"/>
      <c r="BV90" s="45"/>
      <c r="BW90" s="45"/>
      <c r="BX90" s="45"/>
      <c r="BY90" s="45"/>
      <c r="BZ90" s="45"/>
      <c r="CA90" s="45"/>
      <c r="CB90" s="45"/>
      <c r="CC90" s="45"/>
      <c r="CD90" s="45"/>
      <c r="CE90" s="45"/>
      <c r="CF90" s="45"/>
      <c r="CG90" s="45"/>
      <c r="CH90" s="45"/>
      <c r="CI90" s="45"/>
      <c r="CJ90" s="45"/>
      <c r="CK90" s="45"/>
      <c r="CL90" s="45"/>
      <c r="CM90" s="45"/>
      <c r="CN90" s="45"/>
      <c r="CO90" s="45"/>
      <c r="CP90" s="45"/>
    </row>
    <row r="91" spans="1:94">
      <c r="A91" s="1699"/>
      <c r="B91" s="1699"/>
      <c r="C91" s="1757" t="s">
        <v>610</v>
      </c>
      <c r="D91" s="1699"/>
      <c r="E91" s="1758"/>
      <c r="F91" s="1759"/>
      <c r="G91" s="1759"/>
      <c r="H91" s="1760"/>
      <c r="I91" s="1761"/>
      <c r="J91" s="1758"/>
      <c r="K91" s="1759"/>
      <c r="L91" s="1759"/>
      <c r="M91" s="1760"/>
      <c r="N91" s="1761">
        <f t="shared" ref="N91:AA91" si="237">+N90/I90-1</f>
        <v>-3.8461538461538436E-2</v>
      </c>
      <c r="O91" s="1758">
        <f t="shared" si="237"/>
        <v>-0.33333333333333337</v>
      </c>
      <c r="P91" s="1759">
        <f t="shared" si="237"/>
        <v>-0.19999999999999996</v>
      </c>
      <c r="Q91" s="1759">
        <f t="shared" si="237"/>
        <v>-0.25</v>
      </c>
      <c r="R91" s="1760">
        <f t="shared" si="237"/>
        <v>-0.33333333333333337</v>
      </c>
      <c r="S91" s="1761">
        <f t="shared" si="237"/>
        <v>-0.28000000000000003</v>
      </c>
      <c r="T91" s="1758">
        <f t="shared" si="237"/>
        <v>0</v>
      </c>
      <c r="U91" s="1759">
        <f t="shared" si="237"/>
        <v>-0.5</v>
      </c>
      <c r="V91" s="1759">
        <f t="shared" si="237"/>
        <v>-0.16666666666666663</v>
      </c>
      <c r="W91" s="1760">
        <f t="shared" si="237"/>
        <v>-0.25</v>
      </c>
      <c r="X91" s="1761">
        <f t="shared" si="237"/>
        <v>-0.22222222222222221</v>
      </c>
      <c r="Y91" s="1758">
        <f t="shared" si="237"/>
        <v>-0.75</v>
      </c>
      <c r="Z91" s="1759">
        <f t="shared" si="237"/>
        <v>-0.5</v>
      </c>
      <c r="AA91" s="1759">
        <f t="shared" si="237"/>
        <v>-0.8</v>
      </c>
      <c r="AB91" s="1760">
        <f t="shared" ref="AB91" si="238">+AB90/W90-1</f>
        <v>-1.3333333333333333</v>
      </c>
      <c r="AC91" s="1761">
        <f t="shared" ref="AC91" si="239">+AC90/X90-1</f>
        <v>-0.85714285714285721</v>
      </c>
      <c r="AD91" s="1758">
        <f t="shared" ref="AD91" si="240">+AD90/Y90-1</f>
        <v>0</v>
      </c>
      <c r="AE91" s="1759">
        <f t="shared" ref="AE91" si="241">+AE90/Z90-1</f>
        <v>0</v>
      </c>
      <c r="AF91" s="1759">
        <f t="shared" ref="AF91" si="242">+AF90/AA90-1</f>
        <v>0</v>
      </c>
      <c r="AG91" s="1760">
        <f t="shared" ref="AG91" si="243">+AG90/AB90-1</f>
        <v>-3</v>
      </c>
      <c r="AH91" s="1761">
        <f t="shared" ref="AH91:AK91" si="244">+AH90/AC90-1</f>
        <v>1.5</v>
      </c>
      <c r="AI91" s="1758">
        <f t="shared" si="244"/>
        <v>1</v>
      </c>
      <c r="AJ91" s="1759">
        <f t="shared" si="244"/>
        <v>1</v>
      </c>
      <c r="AK91" s="1759">
        <f t="shared" si="244"/>
        <v>0</v>
      </c>
      <c r="AL91" s="1760">
        <f t="shared" ref="AL91" si="245">+AL90/AG90-1</f>
        <v>0</v>
      </c>
      <c r="AM91" s="1761">
        <f t="shared" ref="AM91:AO91" si="246">+AM90/AH90-1</f>
        <v>0.39999999999999991</v>
      </c>
      <c r="AN91" s="1758">
        <f t="shared" si="246"/>
        <v>0</v>
      </c>
      <c r="AO91" s="1759">
        <f t="shared" si="246"/>
        <v>0</v>
      </c>
      <c r="AP91" s="1759">
        <f t="shared" ref="AP91" si="247">+AP90/AK90-1</f>
        <v>1</v>
      </c>
      <c r="AQ91" s="1760">
        <f t="shared" ref="AQ91" si="248">+AQ90/AL90-1</f>
        <v>-1</v>
      </c>
      <c r="AR91" s="1761">
        <f t="shared" ref="AR91" si="249">+AR90/AM90-1</f>
        <v>-0.1428571428571429</v>
      </c>
      <c r="AS91" s="1758">
        <f>+AS51</f>
        <v>0.03</v>
      </c>
      <c r="AT91" s="1759">
        <f>+AT51</f>
        <v>0.03</v>
      </c>
      <c r="AU91" s="1759">
        <f>+AU51</f>
        <v>0.03</v>
      </c>
      <c r="AV91" s="1760">
        <f>+AV51</f>
        <v>0.03</v>
      </c>
      <c r="AW91" s="1761">
        <f>+AW90/AR90-1</f>
        <v>3.0000000000000027E-2</v>
      </c>
      <c r="AX91" s="1758">
        <f>+AX51</f>
        <v>0.03</v>
      </c>
      <c r="AY91" s="1759">
        <f>+AY51</f>
        <v>0.03</v>
      </c>
      <c r="AZ91" s="1759">
        <f>+AZ51</f>
        <v>0.03</v>
      </c>
      <c r="BA91" s="1760">
        <f>+BA51</f>
        <v>0.03</v>
      </c>
      <c r="BB91" s="1761">
        <f>+BB90/AW90-1</f>
        <v>3.0000000000000027E-2</v>
      </c>
      <c r="BC91" s="1758">
        <f>+BC51</f>
        <v>0.03</v>
      </c>
      <c r="BD91" s="1759">
        <f>+BD51</f>
        <v>0.03</v>
      </c>
      <c r="BE91" s="1759">
        <f>+BE51</f>
        <v>0.03</v>
      </c>
      <c r="BF91" s="1760">
        <f>+BF51</f>
        <v>0.03</v>
      </c>
      <c r="BG91" s="1761">
        <f>+BG90/BB90-1</f>
        <v>3.0000000000000027E-2</v>
      </c>
      <c r="BH91" s="1758">
        <f>+BH51</f>
        <v>0.03</v>
      </c>
      <c r="BI91" s="1759">
        <f>+BI51</f>
        <v>0.03</v>
      </c>
      <c r="BJ91" s="1759">
        <f>+BJ51</f>
        <v>0.03</v>
      </c>
      <c r="BK91" s="1760">
        <f>+BK51</f>
        <v>0.03</v>
      </c>
      <c r="BL91" s="1761">
        <f>+BL90/BG90-1</f>
        <v>3.0000000000000027E-2</v>
      </c>
      <c r="BM91" s="1699"/>
      <c r="BN91" s="1699"/>
      <c r="BO91" s="1699"/>
      <c r="BP91" s="1699"/>
      <c r="BQ91" s="1699"/>
      <c r="BR91" s="1699"/>
      <c r="BS91" s="1699"/>
      <c r="BT91" s="1699"/>
      <c r="BU91" s="1699"/>
      <c r="BV91" s="1699"/>
      <c r="BW91" s="1699"/>
      <c r="BX91" s="1699"/>
      <c r="BY91" s="1699"/>
      <c r="BZ91" s="1699"/>
      <c r="CA91" s="1699"/>
      <c r="CB91" s="1699"/>
      <c r="CC91" s="1699"/>
      <c r="CD91" s="1699"/>
      <c r="CE91" s="1699"/>
      <c r="CF91" s="1699"/>
      <c r="CG91" s="1699"/>
      <c r="CH91" s="1699"/>
      <c r="CI91" s="1699"/>
      <c r="CJ91" s="1699"/>
      <c r="CK91" s="1699"/>
      <c r="CL91" s="1699"/>
      <c r="CM91" s="1699"/>
      <c r="CN91" s="1699"/>
      <c r="CO91" s="1699"/>
      <c r="CP91" s="1699"/>
    </row>
    <row r="92" spans="1:94">
      <c r="A92" s="895"/>
      <c r="B92" s="895"/>
      <c r="C92" s="1716"/>
      <c r="D92" s="895"/>
      <c r="E92" s="896"/>
      <c r="F92" s="897"/>
      <c r="G92" s="897"/>
      <c r="H92" s="898"/>
      <c r="I92" s="899"/>
      <c r="J92" s="896"/>
      <c r="K92" s="897"/>
      <c r="L92" s="897"/>
      <c r="M92" s="898"/>
      <c r="N92" s="899"/>
      <c r="O92" s="896"/>
      <c r="P92" s="897"/>
      <c r="Q92" s="897"/>
      <c r="R92" s="898"/>
      <c r="S92" s="899"/>
      <c r="T92" s="896"/>
      <c r="U92" s="897"/>
      <c r="V92" s="897"/>
      <c r="W92" s="898"/>
      <c r="X92" s="899"/>
      <c r="Y92" s="896"/>
      <c r="Z92" s="897"/>
      <c r="AA92" s="897"/>
      <c r="AB92" s="898"/>
      <c r="AC92" s="899"/>
      <c r="AD92" s="896"/>
      <c r="AE92" s="897"/>
      <c r="AF92" s="897"/>
      <c r="AG92" s="898"/>
      <c r="AH92" s="899"/>
      <c r="AI92" s="896"/>
      <c r="AJ92" s="897"/>
      <c r="AK92" s="897"/>
      <c r="AL92" s="898"/>
      <c r="AM92" s="899"/>
      <c r="AN92" s="896"/>
      <c r="AO92" s="897"/>
      <c r="AP92" s="897"/>
      <c r="AQ92" s="898"/>
      <c r="AR92" s="899"/>
      <c r="AS92" s="896"/>
      <c r="AT92" s="897"/>
      <c r="AU92" s="897"/>
      <c r="AV92" s="898"/>
      <c r="AW92" s="899"/>
      <c r="AX92" s="896"/>
      <c r="AY92" s="897"/>
      <c r="AZ92" s="897"/>
      <c r="BA92" s="898"/>
      <c r="BB92" s="899"/>
      <c r="BC92" s="896"/>
      <c r="BD92" s="897"/>
      <c r="BE92" s="897"/>
      <c r="BF92" s="898"/>
      <c r="BG92" s="899"/>
      <c r="BH92" s="896"/>
      <c r="BI92" s="897"/>
      <c r="BJ92" s="897"/>
      <c r="BK92" s="898"/>
      <c r="BL92" s="899"/>
      <c r="BM92" s="895"/>
      <c r="BN92" s="895"/>
      <c r="BO92" s="895"/>
      <c r="BP92" s="895"/>
      <c r="BQ92" s="895"/>
      <c r="BR92" s="895"/>
      <c r="BS92" s="895"/>
      <c r="BT92" s="895"/>
      <c r="BU92" s="895"/>
      <c r="BV92" s="895"/>
      <c r="BW92" s="895"/>
      <c r="BX92" s="895"/>
      <c r="BY92" s="895"/>
      <c r="BZ92" s="895"/>
      <c r="CA92" s="895"/>
      <c r="CB92" s="895"/>
      <c r="CC92" s="895"/>
      <c r="CD92" s="895"/>
      <c r="CE92" s="895"/>
      <c r="CF92" s="895"/>
      <c r="CG92" s="895"/>
      <c r="CH92" s="895"/>
      <c r="CI92" s="895"/>
      <c r="CJ92" s="895"/>
      <c r="CK92" s="895"/>
      <c r="CL92" s="895"/>
      <c r="CM92" s="895"/>
      <c r="CN92" s="895"/>
      <c r="CO92" s="895"/>
      <c r="CP92" s="895"/>
    </row>
    <row r="93" spans="1:94">
      <c r="A93" s="895"/>
      <c r="B93" s="895"/>
      <c r="C93" s="895"/>
      <c r="D93" s="895"/>
      <c r="E93" s="896"/>
      <c r="F93" s="897"/>
      <c r="G93" s="897"/>
      <c r="H93" s="898"/>
      <c r="I93" s="899"/>
      <c r="J93" s="896"/>
      <c r="K93" s="897"/>
      <c r="L93" s="897"/>
      <c r="M93" s="898"/>
      <c r="N93" s="899"/>
      <c r="O93" s="896"/>
      <c r="P93" s="897"/>
      <c r="Q93" s="897"/>
      <c r="R93" s="898"/>
      <c r="S93" s="899"/>
      <c r="T93" s="896"/>
      <c r="U93" s="897"/>
      <c r="V93" s="897"/>
      <c r="W93" s="898"/>
      <c r="X93" s="899"/>
      <c r="Y93" s="896"/>
      <c r="Z93" s="897"/>
      <c r="AA93" s="897"/>
      <c r="AB93" s="898"/>
      <c r="AC93" s="899"/>
      <c r="AD93" s="896"/>
      <c r="AE93" s="897"/>
      <c r="AF93" s="897"/>
      <c r="AG93" s="898"/>
      <c r="AH93" s="899"/>
      <c r="AI93" s="896"/>
      <c r="AJ93" s="897"/>
      <c r="AK93" s="897"/>
      <c r="AL93" s="898"/>
      <c r="AM93" s="899"/>
      <c r="AN93" s="896"/>
      <c r="AO93" s="897"/>
      <c r="AP93" s="897"/>
      <c r="AQ93" s="898"/>
      <c r="AR93" s="899"/>
      <c r="AS93" s="896"/>
      <c r="AT93" s="897"/>
      <c r="AU93" s="897"/>
      <c r="AV93" s="898"/>
      <c r="AW93" s="899"/>
      <c r="AX93" s="896"/>
      <c r="AY93" s="897"/>
      <c r="AZ93" s="897"/>
      <c r="BA93" s="898"/>
      <c r="BB93" s="899"/>
      <c r="BC93" s="896"/>
      <c r="BD93" s="897"/>
      <c r="BE93" s="897"/>
      <c r="BF93" s="898"/>
      <c r="BG93" s="899"/>
      <c r="BH93" s="896"/>
      <c r="BI93" s="897"/>
      <c r="BJ93" s="897"/>
      <c r="BK93" s="898"/>
      <c r="BL93" s="899"/>
      <c r="BM93" s="895"/>
      <c r="BN93" s="895"/>
      <c r="BO93" s="895"/>
      <c r="BP93" s="895"/>
      <c r="BQ93" s="895"/>
      <c r="BR93" s="895"/>
      <c r="BS93" s="895"/>
      <c r="BT93" s="895"/>
      <c r="BU93" s="895"/>
      <c r="BV93" s="895"/>
      <c r="BW93" s="895"/>
      <c r="BX93" s="895"/>
      <c r="BY93" s="895"/>
      <c r="BZ93" s="895"/>
      <c r="CA93" s="895"/>
      <c r="CB93" s="895"/>
      <c r="CC93" s="895"/>
      <c r="CD93" s="895"/>
      <c r="CE93" s="895"/>
      <c r="CF93" s="895"/>
      <c r="CG93" s="895"/>
      <c r="CH93" s="895"/>
      <c r="CI93" s="895"/>
      <c r="CJ93" s="895"/>
      <c r="CK93" s="895"/>
      <c r="CL93" s="895"/>
      <c r="CM93" s="895"/>
      <c r="CN93" s="895"/>
      <c r="CO93" s="895"/>
      <c r="CP93" s="895"/>
    </row>
    <row r="94" spans="1:94">
      <c r="A94" s="895"/>
      <c r="B94" s="1681" t="s">
        <v>273</v>
      </c>
      <c r="C94" s="1682"/>
      <c r="D94" s="1683"/>
      <c r="E94" s="896"/>
      <c r="F94" s="897"/>
      <c r="G94" s="897"/>
      <c r="H94" s="898"/>
      <c r="I94" s="899"/>
      <c r="J94" s="896"/>
      <c r="K94" s="897"/>
      <c r="L94" s="897"/>
      <c r="M94" s="898"/>
      <c r="N94" s="899"/>
      <c r="O94" s="896"/>
      <c r="P94" s="897"/>
      <c r="Q94" s="897"/>
      <c r="R94" s="898"/>
      <c r="S94" s="899"/>
      <c r="T94" s="896"/>
      <c r="U94" s="897"/>
      <c r="V94" s="897"/>
      <c r="W94" s="898"/>
      <c r="X94" s="899"/>
      <c r="Y94" s="896"/>
      <c r="Z94" s="897"/>
      <c r="AA94" s="897"/>
      <c r="AB94" s="898"/>
      <c r="AC94" s="899"/>
      <c r="AD94" s="896"/>
      <c r="AE94" s="897"/>
      <c r="AF94" s="897"/>
      <c r="AG94" s="898"/>
      <c r="AH94" s="899"/>
      <c r="AI94" s="896"/>
      <c r="AJ94" s="897"/>
      <c r="AK94" s="897"/>
      <c r="AL94" s="898"/>
      <c r="AM94" s="899"/>
      <c r="AN94" s="896"/>
      <c r="AO94" s="897"/>
      <c r="AP94" s="897"/>
      <c r="AQ94" s="898"/>
      <c r="AR94" s="899"/>
      <c r="AS94" s="896"/>
      <c r="AT94" s="897"/>
      <c r="AU94" s="897"/>
      <c r="AV94" s="898"/>
      <c r="AW94" s="899"/>
      <c r="AX94" s="896"/>
      <c r="AY94" s="897"/>
      <c r="AZ94" s="897"/>
      <c r="BA94" s="898"/>
      <c r="BB94" s="899"/>
      <c r="BC94" s="896"/>
      <c r="BD94" s="897"/>
      <c r="BE94" s="897"/>
      <c r="BF94" s="898"/>
      <c r="BG94" s="899"/>
      <c r="BH94" s="896"/>
      <c r="BI94" s="897"/>
      <c r="BJ94" s="897"/>
      <c r="BK94" s="898"/>
      <c r="BL94" s="899"/>
      <c r="BM94" s="908"/>
      <c r="BN94" s="908"/>
      <c r="BO94" s="895"/>
      <c r="BP94" s="895"/>
      <c r="BQ94" s="895"/>
      <c r="BR94" s="895"/>
      <c r="BS94" s="895"/>
      <c r="BT94" s="895"/>
      <c r="BU94" s="895"/>
      <c r="BV94" s="895"/>
      <c r="BW94" s="895"/>
      <c r="BX94" s="895"/>
      <c r="BY94" s="895"/>
      <c r="BZ94" s="895"/>
      <c r="CA94" s="895"/>
      <c r="CB94" s="895"/>
      <c r="CC94" s="895"/>
      <c r="CD94" s="895"/>
      <c r="CE94" s="895"/>
      <c r="CF94" s="895"/>
      <c r="CG94" s="895"/>
      <c r="CH94" s="895"/>
      <c r="CI94" s="895"/>
      <c r="CJ94" s="895"/>
      <c r="CK94" s="895"/>
      <c r="CL94" s="895"/>
      <c r="CM94" s="895"/>
      <c r="CN94" s="895"/>
      <c r="CO94" s="895"/>
      <c r="CP94" s="895"/>
    </row>
    <row r="95" spans="1:94">
      <c r="A95" s="895"/>
      <c r="B95" s="895"/>
      <c r="C95" s="895"/>
      <c r="D95" s="895"/>
      <c r="E95" s="896"/>
      <c r="F95" s="897"/>
      <c r="G95" s="897"/>
      <c r="H95" s="898"/>
      <c r="I95" s="899"/>
      <c r="J95" s="896"/>
      <c r="K95" s="897"/>
      <c r="L95" s="897"/>
      <c r="M95" s="898"/>
      <c r="N95" s="899"/>
      <c r="O95" s="896"/>
      <c r="P95" s="897"/>
      <c r="Q95" s="897"/>
      <c r="R95" s="898"/>
      <c r="S95" s="899"/>
      <c r="T95" s="896"/>
      <c r="U95" s="897"/>
      <c r="V95" s="897"/>
      <c r="W95" s="898"/>
      <c r="X95" s="899"/>
      <c r="Y95" s="896"/>
      <c r="Z95" s="897"/>
      <c r="AA95" s="897"/>
      <c r="AB95" s="898"/>
      <c r="AC95" s="899"/>
      <c r="AD95" s="896"/>
      <c r="AE95" s="897"/>
      <c r="AF95" s="897"/>
      <c r="AG95" s="898"/>
      <c r="AH95" s="899"/>
      <c r="AI95" s="896"/>
      <c r="AJ95" s="897"/>
      <c r="AK95" s="897"/>
      <c r="AL95" s="898"/>
      <c r="AM95" s="899"/>
      <c r="AN95" s="896"/>
      <c r="AO95" s="897"/>
      <c r="AP95" s="897"/>
      <c r="AQ95" s="898"/>
      <c r="AR95" s="899"/>
      <c r="AS95" s="896"/>
      <c r="AT95" s="897"/>
      <c r="AU95" s="897"/>
      <c r="AV95" s="898"/>
      <c r="AW95" s="899"/>
      <c r="AX95" s="896"/>
      <c r="AY95" s="897"/>
      <c r="AZ95" s="897"/>
      <c r="BA95" s="898"/>
      <c r="BB95" s="899"/>
      <c r="BC95" s="896"/>
      <c r="BD95" s="897"/>
      <c r="BE95" s="897"/>
      <c r="BF95" s="898"/>
      <c r="BG95" s="899"/>
      <c r="BH95" s="896"/>
      <c r="BI95" s="897"/>
      <c r="BJ95" s="897"/>
      <c r="BK95" s="898"/>
      <c r="BL95" s="899"/>
      <c r="BM95" s="895"/>
      <c r="BN95" s="895"/>
      <c r="BO95" s="895"/>
      <c r="BP95" s="895"/>
      <c r="BQ95" s="895"/>
      <c r="BR95" s="895"/>
      <c r="BS95" s="895"/>
      <c r="BT95" s="895"/>
      <c r="BU95" s="895"/>
      <c r="BV95" s="895"/>
      <c r="BW95" s="895"/>
      <c r="BX95" s="895"/>
      <c r="BY95" s="895"/>
      <c r="BZ95" s="895"/>
      <c r="CA95" s="895"/>
      <c r="CB95" s="895"/>
      <c r="CC95" s="895"/>
      <c r="CD95" s="895"/>
      <c r="CE95" s="895"/>
      <c r="CF95" s="895"/>
      <c r="CG95" s="895"/>
      <c r="CH95" s="895"/>
      <c r="CI95" s="895"/>
      <c r="CJ95" s="895"/>
      <c r="CK95" s="895"/>
      <c r="CL95" s="895"/>
      <c r="CM95" s="895"/>
      <c r="CN95" s="895"/>
      <c r="CO95" s="895"/>
      <c r="CP95" s="895"/>
    </row>
    <row r="96" spans="1:94">
      <c r="A96" s="895"/>
      <c r="B96" s="895"/>
      <c r="C96" s="895" t="s">
        <v>1304</v>
      </c>
      <c r="D96" s="895"/>
      <c r="E96" s="896"/>
      <c r="F96" s="897"/>
      <c r="G96" s="897"/>
      <c r="H96" s="898"/>
      <c r="I96" s="1432">
        <v>10</v>
      </c>
      <c r="J96" s="896"/>
      <c r="K96" s="897"/>
      <c r="L96" s="897"/>
      <c r="M96" s="291">
        <f>+N96</f>
        <v>10</v>
      </c>
      <c r="N96" s="1432">
        <v>10</v>
      </c>
      <c r="O96" s="896"/>
      <c r="P96" s="897"/>
      <c r="Q96" s="897"/>
      <c r="R96" s="291">
        <f>+S96</f>
        <v>10</v>
      </c>
      <c r="S96" s="1432">
        <v>10</v>
      </c>
      <c r="T96" s="896"/>
      <c r="U96" s="897"/>
      <c r="V96" s="897"/>
      <c r="W96" s="291">
        <f>+X96</f>
        <v>10</v>
      </c>
      <c r="X96" s="1432">
        <v>10</v>
      </c>
      <c r="Y96" s="896"/>
      <c r="Z96" s="897"/>
      <c r="AA96" s="897"/>
      <c r="AB96" s="291">
        <f>+AC96</f>
        <v>10</v>
      </c>
      <c r="AC96" s="1432">
        <v>10</v>
      </c>
      <c r="AD96" s="896"/>
      <c r="AE96" s="897"/>
      <c r="AF96" s="897"/>
      <c r="AG96" s="291">
        <f>+AH96</f>
        <v>0</v>
      </c>
      <c r="AH96" s="1432">
        <v>0</v>
      </c>
      <c r="AI96" s="896"/>
      <c r="AJ96" s="897"/>
      <c r="AK96" s="897"/>
      <c r="AL96" s="291"/>
      <c r="AM96"/>
      <c r="AN96" s="896"/>
      <c r="AO96" s="897"/>
      <c r="AP96" s="897"/>
      <c r="AQ96" s="898"/>
      <c r="AR96" s="899"/>
      <c r="AS96" s="896"/>
      <c r="AT96" s="897"/>
      <c r="AU96" s="897"/>
      <c r="AV96" s="898"/>
      <c r="AW96" s="899"/>
      <c r="AX96" s="896"/>
      <c r="AY96" s="897"/>
      <c r="AZ96" s="897"/>
      <c r="BA96" s="898"/>
      <c r="BB96" s="899"/>
      <c r="BC96" s="896"/>
      <c r="BD96" s="897"/>
      <c r="BE96" s="897"/>
      <c r="BF96" s="898"/>
      <c r="BG96" s="899"/>
      <c r="BH96" s="896"/>
      <c r="BI96" s="897"/>
      <c r="BJ96" s="897"/>
      <c r="BK96" s="898"/>
      <c r="BL96" s="899"/>
      <c r="BM96" s="895"/>
      <c r="BN96" s="895"/>
      <c r="BO96" s="895"/>
      <c r="BP96" s="895"/>
      <c r="BQ96" s="895"/>
      <c r="BR96" s="895"/>
      <c r="BS96" s="895"/>
      <c r="BT96" s="895"/>
      <c r="BU96" s="895"/>
      <c r="BV96" s="895"/>
      <c r="BW96" s="895"/>
      <c r="BX96" s="895"/>
      <c r="BY96" s="895"/>
      <c r="BZ96" s="895"/>
      <c r="CA96" s="895"/>
      <c r="CB96" s="895"/>
      <c r="CC96" s="895"/>
      <c r="CD96" s="895"/>
      <c r="CE96" s="895"/>
      <c r="CF96" s="895"/>
      <c r="CG96" s="895"/>
      <c r="CH96" s="895"/>
      <c r="CI96" s="895"/>
      <c r="CJ96" s="895"/>
      <c r="CK96" s="895"/>
      <c r="CL96" s="895"/>
      <c r="CM96" s="895"/>
      <c r="CN96" s="895"/>
      <c r="CO96" s="895"/>
      <c r="CP96" s="895"/>
    </row>
    <row r="97" spans="1:94">
      <c r="A97" s="895"/>
      <c r="B97" s="895"/>
      <c r="C97" s="895" t="s">
        <v>886</v>
      </c>
      <c r="D97" s="895"/>
      <c r="E97" s="896"/>
      <c r="F97" s="897"/>
      <c r="G97" s="897"/>
      <c r="H97" s="898"/>
      <c r="I97" s="1432">
        <v>1511</v>
      </c>
      <c r="J97" s="896"/>
      <c r="K97" s="897"/>
      <c r="L97" s="897"/>
      <c r="M97" s="291">
        <f>+N97</f>
        <v>1591</v>
      </c>
      <c r="N97" s="1432">
        <v>1591</v>
      </c>
      <c r="O97" s="896"/>
      <c r="P97" s="897"/>
      <c r="Q97" s="897"/>
      <c r="R97" s="291">
        <f>+S97</f>
        <v>1707</v>
      </c>
      <c r="S97" s="1432">
        <v>1707</v>
      </c>
      <c r="T97" s="896"/>
      <c r="U97" s="897"/>
      <c r="V97" s="897"/>
      <c r="W97" s="291">
        <f>+X97</f>
        <v>1821</v>
      </c>
      <c r="X97" s="1432">
        <v>1821</v>
      </c>
      <c r="Y97" s="896"/>
      <c r="Z97" s="897"/>
      <c r="AA97" s="897"/>
      <c r="AB97" s="291">
        <f>+AC97</f>
        <v>1931</v>
      </c>
      <c r="AC97" s="1432">
        <v>1931</v>
      </c>
      <c r="AD97" s="896"/>
      <c r="AE97" s="897"/>
      <c r="AF97" s="897"/>
      <c r="AG97" s="291">
        <f>+AH97</f>
        <v>2012</v>
      </c>
      <c r="AH97" s="1432">
        <v>2012</v>
      </c>
      <c r="AI97" s="896"/>
      <c r="AJ97" s="897"/>
      <c r="AK97" s="897"/>
      <c r="AL97" s="291"/>
      <c r="AM97"/>
      <c r="AN97" s="896"/>
      <c r="AO97" s="897"/>
      <c r="AP97" s="897"/>
      <c r="AQ97" s="898"/>
      <c r="AR97" s="899"/>
      <c r="AS97" s="896"/>
      <c r="AT97" s="897"/>
      <c r="AU97" s="897"/>
      <c r="AV97" s="898"/>
      <c r="AW97" s="899"/>
      <c r="AX97" s="896"/>
      <c r="AY97" s="897"/>
      <c r="AZ97" s="897"/>
      <c r="BA97" s="898"/>
      <c r="BB97" s="899"/>
      <c r="BC97" s="896"/>
      <c r="BD97" s="897"/>
      <c r="BE97" s="897"/>
      <c r="BF97" s="898"/>
      <c r="BG97" s="899"/>
      <c r="BH97" s="896"/>
      <c r="BI97" s="897"/>
      <c r="BJ97" s="897"/>
      <c r="BK97" s="898"/>
      <c r="BL97" s="899"/>
      <c r="BM97" s="895"/>
      <c r="BN97" s="895"/>
      <c r="BO97" s="895"/>
      <c r="BP97" s="895"/>
      <c r="BQ97" s="895"/>
      <c r="BR97" s="895"/>
      <c r="BS97" s="895"/>
      <c r="BT97" s="895"/>
      <c r="BU97" s="895"/>
      <c r="BV97" s="895"/>
      <c r="BW97" s="895"/>
      <c r="BX97" s="895"/>
      <c r="BY97" s="895"/>
      <c r="BZ97" s="895"/>
      <c r="CA97" s="895"/>
      <c r="CB97" s="895"/>
      <c r="CC97" s="895"/>
      <c r="CD97" s="895"/>
      <c r="CE97" s="895"/>
      <c r="CF97" s="895"/>
      <c r="CG97" s="895"/>
      <c r="CH97" s="895"/>
      <c r="CI97" s="895"/>
      <c r="CJ97" s="895"/>
      <c r="CK97" s="895"/>
      <c r="CL97" s="895"/>
      <c r="CM97" s="895"/>
      <c r="CN97" s="895"/>
      <c r="CO97" s="895"/>
      <c r="CP97" s="895"/>
    </row>
    <row r="98" spans="1:94">
      <c r="A98" s="895"/>
      <c r="B98" s="895"/>
      <c r="C98" s="895" t="s">
        <v>736</v>
      </c>
      <c r="D98" s="895"/>
      <c r="E98" s="896"/>
      <c r="F98" s="897"/>
      <c r="G98" s="897"/>
      <c r="H98" s="898"/>
      <c r="I98" s="1432">
        <v>683</v>
      </c>
      <c r="J98" s="896"/>
      <c r="K98" s="897"/>
      <c r="L98" s="897"/>
      <c r="M98" s="291">
        <f>+N98</f>
        <v>688</v>
      </c>
      <c r="N98" s="1432">
        <v>688</v>
      </c>
      <c r="O98" s="896"/>
      <c r="P98" s="897"/>
      <c r="Q98" s="897"/>
      <c r="R98" s="291">
        <f>+S98</f>
        <v>740</v>
      </c>
      <c r="S98" s="1432">
        <v>740</v>
      </c>
      <c r="T98" s="896"/>
      <c r="U98" s="897"/>
      <c r="V98" s="897"/>
      <c r="W98" s="291">
        <f>+X98</f>
        <v>786</v>
      </c>
      <c r="X98" s="1432">
        <v>786</v>
      </c>
      <c r="Y98" s="896"/>
      <c r="Z98" s="897"/>
      <c r="AA98" s="897"/>
      <c r="AB98" s="291">
        <f>+AC98</f>
        <v>839</v>
      </c>
      <c r="AC98" s="1432">
        <v>839</v>
      </c>
      <c r="AD98" s="896"/>
      <c r="AE98" s="897"/>
      <c r="AF98" s="897"/>
      <c r="AG98" s="291">
        <f>+AH98</f>
        <v>968</v>
      </c>
      <c r="AH98" s="1432">
        <v>968</v>
      </c>
      <c r="AI98" s="896"/>
      <c r="AJ98" s="897"/>
      <c r="AK98" s="897"/>
      <c r="AL98" s="291"/>
      <c r="AM98"/>
      <c r="AN98" s="896"/>
      <c r="AO98" s="897"/>
      <c r="AP98" s="897"/>
      <c r="AQ98" s="898"/>
      <c r="AR98" s="899"/>
      <c r="AS98" s="896"/>
      <c r="AT98" s="897"/>
      <c r="AU98" s="897"/>
      <c r="AV98" s="898"/>
      <c r="AW98" s="899"/>
      <c r="AX98" s="896"/>
      <c r="AY98" s="897"/>
      <c r="AZ98" s="897"/>
      <c r="BA98" s="898"/>
      <c r="BB98" s="899"/>
      <c r="BC98" s="896"/>
      <c r="BD98" s="897"/>
      <c r="BE98" s="897"/>
      <c r="BF98" s="898"/>
      <c r="BG98" s="899"/>
      <c r="BH98" s="896"/>
      <c r="BI98" s="897"/>
      <c r="BJ98" s="897"/>
      <c r="BK98" s="898"/>
      <c r="BL98" s="899"/>
      <c r="BM98" s="895"/>
      <c r="BN98" s="895"/>
      <c r="BO98" s="895"/>
      <c r="BP98" s="895"/>
      <c r="BQ98" s="895"/>
      <c r="BR98" s="895"/>
      <c r="BS98" s="895"/>
      <c r="BT98" s="895"/>
      <c r="BU98" s="895"/>
      <c r="BV98" s="895"/>
      <c r="BW98" s="895"/>
      <c r="BX98" s="895"/>
      <c r="BY98" s="895"/>
      <c r="BZ98" s="895"/>
      <c r="CA98" s="895"/>
      <c r="CB98" s="895"/>
      <c r="CC98" s="895"/>
      <c r="CD98" s="895"/>
      <c r="CE98" s="895"/>
      <c r="CF98" s="895"/>
      <c r="CG98" s="895"/>
      <c r="CH98" s="895"/>
      <c r="CI98" s="895"/>
      <c r="CJ98" s="895"/>
      <c r="CK98" s="895"/>
      <c r="CL98" s="895"/>
      <c r="CM98" s="895"/>
      <c r="CN98" s="895"/>
      <c r="CO98" s="895"/>
      <c r="CP98" s="895"/>
    </row>
    <row r="99" spans="1:94">
      <c r="A99" s="895"/>
      <c r="B99" s="895"/>
      <c r="C99" s="895" t="s">
        <v>737</v>
      </c>
      <c r="D99" s="895"/>
      <c r="E99" s="896"/>
      <c r="F99" s="897"/>
      <c r="G99" s="897"/>
      <c r="H99" s="898"/>
      <c r="I99" s="1432">
        <v>167</v>
      </c>
      <c r="J99" s="896"/>
      <c r="K99" s="897"/>
      <c r="L99" s="897"/>
      <c r="M99" s="291">
        <f>+N99</f>
        <v>172</v>
      </c>
      <c r="N99" s="1432">
        <v>172</v>
      </c>
      <c r="O99" s="896"/>
      <c r="P99" s="897"/>
      <c r="Q99" s="897"/>
      <c r="R99" s="291">
        <f>+S99</f>
        <v>181</v>
      </c>
      <c r="S99" s="1432">
        <v>181</v>
      </c>
      <c r="T99" s="896"/>
      <c r="U99" s="897"/>
      <c r="V99" s="897"/>
      <c r="W99" s="291">
        <f>+X99</f>
        <v>174</v>
      </c>
      <c r="X99" s="1432">
        <v>174</v>
      </c>
      <c r="Y99" s="896"/>
      <c r="Z99" s="897"/>
      <c r="AA99" s="897"/>
      <c r="AB99" s="291">
        <f>+AC99</f>
        <v>178</v>
      </c>
      <c r="AC99" s="1432">
        <v>178</v>
      </c>
      <c r="AD99" s="896"/>
      <c r="AE99" s="897"/>
      <c r="AF99" s="897"/>
      <c r="AG99" s="291">
        <f>+AH99</f>
        <v>167</v>
      </c>
      <c r="AH99" s="1432">
        <v>167</v>
      </c>
      <c r="AI99" s="896"/>
      <c r="AJ99" s="897"/>
      <c r="AK99" s="897"/>
      <c r="AL99" s="291"/>
      <c r="AM99"/>
      <c r="AN99" s="896"/>
      <c r="AO99" s="897"/>
      <c r="AP99" s="897"/>
      <c r="AQ99" s="898"/>
      <c r="AR99" s="899"/>
      <c r="AS99" s="896"/>
      <c r="AT99" s="897"/>
      <c r="AU99" s="897"/>
      <c r="AV99" s="898"/>
      <c r="AW99" s="899"/>
      <c r="AX99" s="896"/>
      <c r="AY99" s="897"/>
      <c r="AZ99" s="897"/>
      <c r="BA99" s="898"/>
      <c r="BB99" s="899"/>
      <c r="BC99" s="896"/>
      <c r="BD99" s="897"/>
      <c r="BE99" s="897"/>
      <c r="BF99" s="898"/>
      <c r="BG99" s="899"/>
      <c r="BH99" s="896"/>
      <c r="BI99" s="897"/>
      <c r="BJ99" s="897"/>
      <c r="BK99" s="898"/>
      <c r="BL99" s="899"/>
      <c r="BM99" s="895"/>
      <c r="BN99" s="895"/>
      <c r="BO99" s="895"/>
      <c r="BP99" s="895"/>
      <c r="BQ99" s="895"/>
      <c r="BR99" s="895"/>
      <c r="BS99" s="895"/>
      <c r="BT99" s="895"/>
      <c r="BU99" s="895"/>
      <c r="BV99" s="895"/>
      <c r="BW99" s="895"/>
      <c r="BX99" s="895"/>
      <c r="BY99" s="895"/>
      <c r="BZ99" s="895"/>
      <c r="CA99" s="895"/>
      <c r="CB99" s="895"/>
      <c r="CC99" s="895"/>
      <c r="CD99" s="895"/>
      <c r="CE99" s="895"/>
      <c r="CF99" s="895"/>
      <c r="CG99" s="895"/>
      <c r="CH99" s="895"/>
      <c r="CI99" s="895"/>
      <c r="CJ99" s="895"/>
      <c r="CK99" s="895"/>
      <c r="CL99" s="895"/>
      <c r="CM99" s="895"/>
      <c r="CN99" s="895"/>
      <c r="CO99" s="895"/>
      <c r="CP99" s="895"/>
    </row>
    <row r="100" spans="1:94">
      <c r="A100" s="228"/>
      <c r="B100" s="228"/>
      <c r="C100" s="1756" t="s">
        <v>738</v>
      </c>
      <c r="D100" s="228"/>
      <c r="E100" s="292"/>
      <c r="F100" s="261"/>
      <c r="G100" s="261"/>
      <c r="H100" s="293"/>
      <c r="I100" s="228">
        <f>+SUM(I96:I99)</f>
        <v>2371</v>
      </c>
      <c r="J100" s="585">
        <f>2459-J104</f>
        <v>2372</v>
      </c>
      <c r="K100" s="343">
        <f>2486-K104</f>
        <v>2399</v>
      </c>
      <c r="L100" s="343">
        <f>2515-L104</f>
        <v>2428</v>
      </c>
      <c r="M100" s="293">
        <f>+SUM(M96:M99)</f>
        <v>2461</v>
      </c>
      <c r="N100" s="228">
        <f>+SUM(N96:N99)</f>
        <v>2461</v>
      </c>
      <c r="O100" s="585">
        <f>2592-O104</f>
        <v>2459</v>
      </c>
      <c r="P100" s="343">
        <f>2639-P104</f>
        <v>2506</v>
      </c>
      <c r="Q100" s="343">
        <f>2699-Q104</f>
        <v>2566</v>
      </c>
      <c r="R100" s="293">
        <f>+SUM(R96:R99)</f>
        <v>2638</v>
      </c>
      <c r="S100" s="228">
        <f>+SUM(S96:S99)</f>
        <v>2638</v>
      </c>
      <c r="T100" s="585">
        <f>2820-T104</f>
        <v>2710</v>
      </c>
      <c r="U100" s="343">
        <f>2863-U104</f>
        <v>2753</v>
      </c>
      <c r="V100" s="343">
        <f>2861-V104</f>
        <v>2751</v>
      </c>
      <c r="W100" s="293">
        <f>+SUM(W96:W99)</f>
        <v>2791</v>
      </c>
      <c r="X100" s="228">
        <f>+SUM(X96:X99)</f>
        <v>2791</v>
      </c>
      <c r="Y100" s="585">
        <f>2941-Y104</f>
        <v>2831</v>
      </c>
      <c r="Z100" s="343">
        <f>2978-Z104</f>
        <v>2868</v>
      </c>
      <c r="AA100" s="343">
        <f>3024-AA104</f>
        <v>2914</v>
      </c>
      <c r="AB100" s="293">
        <f>+SUM(AB96:AB99)</f>
        <v>2958</v>
      </c>
      <c r="AC100" s="228">
        <f>+SUM(AC96:AC99)</f>
        <v>2958</v>
      </c>
      <c r="AD100" s="585">
        <f>3126-AD104</f>
        <v>2968</v>
      </c>
      <c r="AE100" s="343">
        <f>3197-AE104</f>
        <v>3039</v>
      </c>
      <c r="AF100" s="343">
        <f>3226-AF104</f>
        <v>3068</v>
      </c>
      <c r="AG100" s="293">
        <f>+SUM(AG96:AG99)</f>
        <v>3147</v>
      </c>
      <c r="AH100" s="228">
        <f>+SUM(AH96:AH99)</f>
        <v>3147</v>
      </c>
      <c r="AI100" s="585">
        <f>2384-AI104+AI101</f>
        <v>3198</v>
      </c>
      <c r="AJ100" s="343">
        <f>2427-AJ104+AJ101</f>
        <v>3256</v>
      </c>
      <c r="AK100" s="343">
        <f>2456-AK104+AK101</f>
        <v>3295</v>
      </c>
      <c r="AL100" s="293">
        <f>+AM100</f>
        <v>3368</v>
      </c>
      <c r="AM100" s="344">
        <f>2521-AM104+AM101</f>
        <v>3368</v>
      </c>
      <c r="AN100" s="585">
        <f>2583-AN104+AN101</f>
        <v>3477</v>
      </c>
      <c r="AO100" s="343">
        <f>2628-AO104+AO101</f>
        <v>3532</v>
      </c>
      <c r="AP100" s="343">
        <f>2662-AP104+AP101</f>
        <v>3584</v>
      </c>
      <c r="AQ100" s="293">
        <f>+AR100</f>
        <v>3634</v>
      </c>
      <c r="AR100" s="344">
        <f>2706-AR104+AR101</f>
        <v>3634</v>
      </c>
      <c r="AS100" s="292">
        <f>+AR100+AS117-(AS104-AR104)</f>
        <v>3699.8846153846152</v>
      </c>
      <c r="AT100" s="261">
        <f>+AS100+AT117-(AT104-AS104)</f>
        <v>3793.6346153846152</v>
      </c>
      <c r="AU100" s="261">
        <f>+AT100+AU117-(AU104-AT104)</f>
        <v>3887.3846153846152</v>
      </c>
      <c r="AV100" s="293">
        <f>+AU100+AV117-(AV104-AU104)</f>
        <v>3981.1346153846152</v>
      </c>
      <c r="AW100" s="228">
        <f>+AV100</f>
        <v>3981.1346153846152</v>
      </c>
      <c r="AX100" s="292">
        <f>+AW100+AX117-(AX104-AW104)</f>
        <v>4084.5</v>
      </c>
      <c r="AY100" s="261">
        <f>+AX100+AY117-(AY104-AX104)</f>
        <v>4165.75</v>
      </c>
      <c r="AZ100" s="261">
        <f>+AY100+AZ117-(AZ104-AY104)</f>
        <v>4247</v>
      </c>
      <c r="BA100" s="293">
        <f>+AZ100+BA117-(BA104-AZ104)</f>
        <v>4328.25</v>
      </c>
      <c r="BB100" s="228">
        <f>+BA100</f>
        <v>4328.25</v>
      </c>
      <c r="BC100" s="292">
        <f>+BB100+BC117-(BC104-BB104)</f>
        <v>4409.5</v>
      </c>
      <c r="BD100" s="261">
        <f>+BC100+BD117-(BD104-BC104)</f>
        <v>4490.75</v>
      </c>
      <c r="BE100" s="261">
        <f>+BD100+BE117-(BE104-BD104)</f>
        <v>4572</v>
      </c>
      <c r="BF100" s="293">
        <f>+BE100+BF117-(BF104-BE104)</f>
        <v>4653.25</v>
      </c>
      <c r="BG100" s="228">
        <f>+BF100</f>
        <v>4653.25</v>
      </c>
      <c r="BH100" s="292">
        <f>+BG100+BH117-(BH104-BG104)</f>
        <v>4753.7307692307695</v>
      </c>
      <c r="BI100" s="261">
        <f>+BH100+BI117-(BI104-BH104)</f>
        <v>4809.9807692307695</v>
      </c>
      <c r="BJ100" s="261">
        <f>+BI100+BJ117-(BJ104-BI104)</f>
        <v>4866.2307692307695</v>
      </c>
      <c r="BK100" s="293">
        <f>+BJ100+BK117-(BK104-BJ104)</f>
        <v>4922.4807692307695</v>
      </c>
      <c r="BL100" s="228">
        <f>+BK100</f>
        <v>4922.4807692307695</v>
      </c>
      <c r="BM100" s="228"/>
      <c r="BN100" s="228"/>
      <c r="BO100" s="228"/>
      <c r="BP100" s="228"/>
      <c r="BQ100" s="228"/>
      <c r="BR100" s="228"/>
      <c r="BS100" s="228"/>
      <c r="BT100" s="228"/>
      <c r="BU100" s="228"/>
      <c r="BV100" s="228"/>
      <c r="BW100" s="228"/>
      <c r="BX100" s="228"/>
      <c r="BY100" s="228"/>
      <c r="BZ100" s="228"/>
      <c r="CA100" s="228"/>
      <c r="CB100" s="228"/>
      <c r="CC100" s="228"/>
      <c r="CD100" s="228"/>
      <c r="CE100" s="228"/>
      <c r="CF100" s="228"/>
      <c r="CG100" s="228"/>
      <c r="CH100" s="228"/>
      <c r="CI100" s="228"/>
      <c r="CJ100" s="228"/>
      <c r="CK100" s="228"/>
      <c r="CL100" s="228"/>
      <c r="CM100" s="228"/>
      <c r="CN100" s="228"/>
      <c r="CO100" s="228"/>
      <c r="CP100" s="228"/>
    </row>
    <row r="101" spans="1:94">
      <c r="A101" s="45"/>
      <c r="B101" s="45"/>
      <c r="C101" s="1716" t="s">
        <v>396</v>
      </c>
      <c r="D101" s="45"/>
      <c r="E101" s="337"/>
      <c r="F101" s="338"/>
      <c r="G101" s="338"/>
      <c r="H101" s="291"/>
      <c r="I101" s="1432">
        <v>729</v>
      </c>
      <c r="J101" s="337">
        <v>740</v>
      </c>
      <c r="K101" s="338">
        <v>747</v>
      </c>
      <c r="L101" s="338">
        <v>758</v>
      </c>
      <c r="M101" s="291">
        <f>N101</f>
        <v>766</v>
      </c>
      <c r="N101" s="1432">
        <v>766</v>
      </c>
      <c r="O101" s="337">
        <v>772</v>
      </c>
      <c r="P101" s="338">
        <v>777</v>
      </c>
      <c r="Q101" s="338">
        <v>784</v>
      </c>
      <c r="R101" s="291">
        <f>S101</f>
        <v>787</v>
      </c>
      <c r="S101" s="1432">
        <v>787</v>
      </c>
      <c r="T101" s="337">
        <v>794</v>
      </c>
      <c r="U101" s="338">
        <v>791</v>
      </c>
      <c r="V101" s="338">
        <v>748</v>
      </c>
      <c r="W101" s="291">
        <f>X101</f>
        <v>751</v>
      </c>
      <c r="X101" s="1432">
        <v>751</v>
      </c>
      <c r="Y101" s="337">
        <v>755</v>
      </c>
      <c r="Z101" s="338">
        <v>754</v>
      </c>
      <c r="AA101" s="338">
        <v>763</v>
      </c>
      <c r="AB101" s="291">
        <f>AC101</f>
        <v>760</v>
      </c>
      <c r="AC101" s="1432">
        <v>760</v>
      </c>
      <c r="AD101" s="337">
        <v>772</v>
      </c>
      <c r="AE101" s="338">
        <v>779</v>
      </c>
      <c r="AF101" s="338">
        <v>758</v>
      </c>
      <c r="AG101" s="291">
        <f>AH101</f>
        <v>764</v>
      </c>
      <c r="AH101" s="1432">
        <v>764</v>
      </c>
      <c r="AI101" s="337">
        <v>983</v>
      </c>
      <c r="AJ101" s="338">
        <v>998</v>
      </c>
      <c r="AK101" s="338">
        <v>1008</v>
      </c>
      <c r="AL101" s="291">
        <f>AM101</f>
        <v>1016</v>
      </c>
      <c r="AM101" s="1432">
        <v>1016</v>
      </c>
      <c r="AN101" s="337">
        <v>1032</v>
      </c>
      <c r="AO101" s="338">
        <v>1042</v>
      </c>
      <c r="AP101" s="338">
        <v>1060</v>
      </c>
      <c r="AQ101" s="291">
        <f>AR101</f>
        <v>1066</v>
      </c>
      <c r="AR101" s="1432">
        <v>1066</v>
      </c>
      <c r="AS101" s="290">
        <f>+AR101+AS108</f>
        <v>1098.0248369992144</v>
      </c>
      <c r="AT101" s="260">
        <f>+AS101+AT108</f>
        <v>1130.3697443259737</v>
      </c>
      <c r="AU101" s="260">
        <f>+AT101+AU108</f>
        <v>1163.2951028270181</v>
      </c>
      <c r="AV101" s="291">
        <f>+AU101+AV108</f>
        <v>1196.7954256029548</v>
      </c>
      <c r="AW101" s="45">
        <f>+AV101</f>
        <v>1196.7954256029548</v>
      </c>
      <c r="AX101" s="290">
        <f>+AW101+AX108</f>
        <v>1227.6152776210524</v>
      </c>
      <c r="AY101" s="260">
        <f>+AX101+AY108</f>
        <v>1259.1208893661051</v>
      </c>
      <c r="AZ101" s="260">
        <f>+AY101+AZ108</f>
        <v>1291.0967257671211</v>
      </c>
      <c r="BA101" s="291">
        <f>+AZ101+BA108</f>
        <v>1323.5383418759402</v>
      </c>
      <c r="BB101" s="45">
        <f>+BA101</f>
        <v>1323.5383418759402</v>
      </c>
      <c r="BC101" s="290">
        <f>+BB101+BC108</f>
        <v>1356.9413347616883</v>
      </c>
      <c r="BD101" s="260">
        <f>+BC101+BD108</f>
        <v>1390.7966167045231</v>
      </c>
      <c r="BE101" s="260">
        <f>+BD101+BE108</f>
        <v>1425.0999122982385</v>
      </c>
      <c r="BF101" s="291">
        <f>+BE101+BF108</f>
        <v>1459.8469865512657</v>
      </c>
      <c r="BG101" s="45">
        <f>+BF101</f>
        <v>1459.8469865512657</v>
      </c>
      <c r="BH101" s="290">
        <f>+BG101+BH108</f>
        <v>1490.0336445046412</v>
      </c>
      <c r="BI101" s="260">
        <f>+BH101+BI108</f>
        <v>1520.8847799086643</v>
      </c>
      <c r="BJ101" s="260">
        <f>+BI101+BJ108</f>
        <v>1551.976006160831</v>
      </c>
      <c r="BK101" s="291">
        <f>+BJ101+BK108</f>
        <v>1583.3050537260151</v>
      </c>
      <c r="BL101" s="45">
        <f>+BK101</f>
        <v>1583.3050537260151</v>
      </c>
      <c r="BM101" s="45"/>
      <c r="BN101" s="45"/>
      <c r="BO101" s="45"/>
      <c r="BP101" s="45"/>
      <c r="BQ101" s="45"/>
      <c r="BR101" s="45"/>
      <c r="BS101" s="45"/>
      <c r="BT101" s="45"/>
      <c r="BU101" s="45"/>
      <c r="BV101" s="45"/>
      <c r="BW101" s="45"/>
      <c r="BX101" s="45"/>
      <c r="BY101" s="45"/>
      <c r="BZ101" s="45"/>
      <c r="CA101" s="45"/>
      <c r="CB101" s="45"/>
      <c r="CC101" s="45"/>
      <c r="CD101" s="45"/>
      <c r="CE101" s="45"/>
      <c r="CF101" s="45"/>
      <c r="CG101" s="45"/>
      <c r="CH101" s="45"/>
      <c r="CI101" s="45"/>
      <c r="CJ101" s="45"/>
      <c r="CK101" s="45"/>
      <c r="CL101" s="45"/>
      <c r="CM101" s="45"/>
      <c r="CN101" s="45"/>
      <c r="CO101" s="45"/>
      <c r="CP101" s="45"/>
    </row>
    <row r="102" spans="1:94">
      <c r="A102" s="45"/>
      <c r="B102" s="45"/>
      <c r="C102" s="1756" t="s">
        <v>142</v>
      </c>
      <c r="D102" s="45"/>
      <c r="E102" s="292"/>
      <c r="F102" s="261"/>
      <c r="G102" s="261"/>
      <c r="H102" s="293"/>
      <c r="I102" s="228">
        <f t="shared" ref="I102:AW102" si="250">I100-I101</f>
        <v>1642</v>
      </c>
      <c r="J102" s="292">
        <f t="shared" si="250"/>
        <v>1632</v>
      </c>
      <c r="K102" s="261">
        <f t="shared" si="250"/>
        <v>1652</v>
      </c>
      <c r="L102" s="261">
        <f t="shared" si="250"/>
        <v>1670</v>
      </c>
      <c r="M102" s="293">
        <f t="shared" si="250"/>
        <v>1695</v>
      </c>
      <c r="N102" s="228">
        <f t="shared" si="250"/>
        <v>1695</v>
      </c>
      <c r="O102" s="292">
        <f t="shared" si="250"/>
        <v>1687</v>
      </c>
      <c r="P102" s="261">
        <f t="shared" si="250"/>
        <v>1729</v>
      </c>
      <c r="Q102" s="261">
        <f t="shared" si="250"/>
        <v>1782</v>
      </c>
      <c r="R102" s="293">
        <f t="shared" si="250"/>
        <v>1851</v>
      </c>
      <c r="S102" s="228">
        <f t="shared" si="250"/>
        <v>1851</v>
      </c>
      <c r="T102" s="292">
        <f t="shared" si="250"/>
        <v>1916</v>
      </c>
      <c r="U102" s="261">
        <f t="shared" si="250"/>
        <v>1962</v>
      </c>
      <c r="V102" s="261">
        <f t="shared" si="250"/>
        <v>2003</v>
      </c>
      <c r="W102" s="293">
        <f t="shared" si="250"/>
        <v>2040</v>
      </c>
      <c r="X102" s="228">
        <f t="shared" si="250"/>
        <v>2040</v>
      </c>
      <c r="Y102" s="292">
        <f t="shared" si="250"/>
        <v>2076</v>
      </c>
      <c r="Z102" s="261">
        <f t="shared" si="250"/>
        <v>2114</v>
      </c>
      <c r="AA102" s="261">
        <f t="shared" ref="AA102:AE102" si="251">AA100-AA101</f>
        <v>2151</v>
      </c>
      <c r="AB102" s="293">
        <f t="shared" si="251"/>
        <v>2198</v>
      </c>
      <c r="AC102" s="228">
        <f t="shared" si="251"/>
        <v>2198</v>
      </c>
      <c r="AD102" s="292">
        <f t="shared" si="251"/>
        <v>2196</v>
      </c>
      <c r="AE102" s="261">
        <f t="shared" si="251"/>
        <v>2260</v>
      </c>
      <c r="AF102" s="261">
        <f t="shared" ref="AF102:AJ102" si="252">AF100-AF101</f>
        <v>2310</v>
      </c>
      <c r="AG102" s="293">
        <f t="shared" si="252"/>
        <v>2383</v>
      </c>
      <c r="AH102" s="228">
        <f t="shared" si="252"/>
        <v>2383</v>
      </c>
      <c r="AI102" s="292">
        <f t="shared" si="252"/>
        <v>2215</v>
      </c>
      <c r="AJ102" s="261">
        <f t="shared" si="252"/>
        <v>2258</v>
      </c>
      <c r="AK102" s="261">
        <f t="shared" ref="AK102:AO102" si="253">AK100-AK101</f>
        <v>2287</v>
      </c>
      <c r="AL102" s="293">
        <f t="shared" si="253"/>
        <v>2352</v>
      </c>
      <c r="AM102" s="228">
        <f t="shared" si="253"/>
        <v>2352</v>
      </c>
      <c r="AN102" s="292">
        <f t="shared" si="253"/>
        <v>2445</v>
      </c>
      <c r="AO102" s="261">
        <f t="shared" si="253"/>
        <v>2490</v>
      </c>
      <c r="AP102" s="261">
        <f t="shared" si="250"/>
        <v>2524</v>
      </c>
      <c r="AQ102" s="293">
        <f t="shared" si="250"/>
        <v>2568</v>
      </c>
      <c r="AR102" s="228">
        <f t="shared" si="250"/>
        <v>2568</v>
      </c>
      <c r="AS102" s="292">
        <f t="shared" si="250"/>
        <v>2601.8597783854011</v>
      </c>
      <c r="AT102" s="261">
        <f t="shared" si="250"/>
        <v>2663.2648710586418</v>
      </c>
      <c r="AU102" s="261">
        <f t="shared" si="250"/>
        <v>2724.0895125575971</v>
      </c>
      <c r="AV102" s="293">
        <f t="shared" si="250"/>
        <v>2784.3391897816605</v>
      </c>
      <c r="AW102" s="228">
        <f t="shared" si="250"/>
        <v>2784.3391897816605</v>
      </c>
      <c r="AX102" s="292">
        <f t="shared" ref="AX102:BG102" si="254">AX100-AX101</f>
        <v>2856.8847223789476</v>
      </c>
      <c r="AY102" s="261">
        <f t="shared" si="254"/>
        <v>2906.6291106338949</v>
      </c>
      <c r="AZ102" s="261">
        <f t="shared" si="254"/>
        <v>2955.9032742328791</v>
      </c>
      <c r="BA102" s="293">
        <f t="shared" si="254"/>
        <v>3004.7116581240598</v>
      </c>
      <c r="BB102" s="228">
        <f t="shared" si="254"/>
        <v>3004.7116581240598</v>
      </c>
      <c r="BC102" s="292">
        <f t="shared" si="254"/>
        <v>3052.5586652383117</v>
      </c>
      <c r="BD102" s="261">
        <f t="shared" si="254"/>
        <v>3099.9533832954767</v>
      </c>
      <c r="BE102" s="261">
        <f t="shared" si="254"/>
        <v>3146.9000877017615</v>
      </c>
      <c r="BF102" s="293">
        <f t="shared" si="254"/>
        <v>3193.4030134487343</v>
      </c>
      <c r="BG102" s="228">
        <f t="shared" si="254"/>
        <v>3193.4030134487343</v>
      </c>
      <c r="BH102" s="292">
        <f t="shared" ref="BH102:BL102" si="255">BH100-BH101</f>
        <v>3263.6971247261281</v>
      </c>
      <c r="BI102" s="261">
        <f t="shared" si="255"/>
        <v>3289.0959893221052</v>
      </c>
      <c r="BJ102" s="261">
        <f t="shared" si="255"/>
        <v>3314.2547630699382</v>
      </c>
      <c r="BK102" s="293">
        <f t="shared" si="255"/>
        <v>3339.1757155047544</v>
      </c>
      <c r="BL102" s="228">
        <f t="shared" si="255"/>
        <v>3339.1757155047544</v>
      </c>
      <c r="BM102" s="45"/>
      <c r="BN102" s="45"/>
      <c r="BO102" s="45"/>
      <c r="BP102" s="45"/>
      <c r="BQ102" s="45"/>
      <c r="BR102" s="45"/>
      <c r="BS102" s="45"/>
      <c r="BT102" s="45"/>
      <c r="BU102" s="45"/>
      <c r="BV102" s="45"/>
      <c r="BW102" s="45"/>
      <c r="BX102" s="45"/>
      <c r="BY102" s="45"/>
      <c r="BZ102" s="45"/>
      <c r="CA102" s="45"/>
      <c r="CB102" s="45"/>
      <c r="CC102" s="45"/>
      <c r="CD102" s="45"/>
      <c r="CE102" s="45"/>
      <c r="CF102" s="45"/>
      <c r="CG102" s="45"/>
      <c r="CH102" s="45"/>
      <c r="CI102" s="45"/>
      <c r="CJ102" s="45"/>
      <c r="CK102" s="45"/>
      <c r="CL102" s="45"/>
      <c r="CM102" s="45"/>
      <c r="CN102" s="45"/>
      <c r="CO102" s="45"/>
      <c r="CP102" s="45"/>
    </row>
    <row r="103" spans="1:94">
      <c r="A103" s="45"/>
      <c r="B103" s="45"/>
      <c r="C103" s="1716"/>
      <c r="D103" s="45"/>
      <c r="E103" s="290"/>
      <c r="F103" s="260"/>
      <c r="G103" s="260"/>
      <c r="H103" s="291"/>
      <c r="I103" s="45"/>
      <c r="J103" s="290"/>
      <c r="K103" s="260"/>
      <c r="L103" s="260"/>
      <c r="M103" s="291"/>
      <c r="N103" s="45"/>
      <c r="O103" s="290"/>
      <c r="P103" s="260"/>
      <c r="Q103" s="260"/>
      <c r="R103" s="291"/>
      <c r="S103" s="45"/>
      <c r="T103" s="290"/>
      <c r="U103" s="260"/>
      <c r="V103" s="260"/>
      <c r="W103" s="291"/>
      <c r="X103" s="45"/>
      <c r="Y103" s="290"/>
      <c r="Z103" s="260"/>
      <c r="AA103" s="260"/>
      <c r="AB103" s="291"/>
      <c r="AC103" s="45"/>
      <c r="AD103" s="290"/>
      <c r="AE103" s="260"/>
      <c r="AF103" s="260"/>
      <c r="AG103" s="291"/>
      <c r="AH103" s="45"/>
      <c r="AI103" s="290"/>
      <c r="AJ103" s="260"/>
      <c r="AK103" s="260"/>
      <c r="AL103" s="291"/>
      <c r="AM103" s="45"/>
      <c r="AN103" s="290"/>
      <c r="AO103" s="260"/>
      <c r="AP103" s="260"/>
      <c r="AQ103" s="291"/>
      <c r="AR103" s="45"/>
      <c r="AS103" s="290"/>
      <c r="AT103" s="260"/>
      <c r="AU103" s="260"/>
      <c r="AV103" s="291"/>
      <c r="AW103" s="45"/>
      <c r="AX103" s="290"/>
      <c r="AY103" s="260"/>
      <c r="AZ103" s="260"/>
      <c r="BA103" s="291"/>
      <c r="BB103" s="45"/>
      <c r="BC103" s="290"/>
      <c r="BD103" s="260"/>
      <c r="BE103" s="260"/>
      <c r="BF103" s="291"/>
      <c r="BG103" s="45"/>
      <c r="BH103" s="290"/>
      <c r="BI103" s="260"/>
      <c r="BJ103" s="260"/>
      <c r="BK103" s="291"/>
      <c r="BL103" s="45"/>
      <c r="BM103" s="45"/>
      <c r="BN103" s="45"/>
      <c r="BO103" s="45"/>
      <c r="BP103" s="45"/>
      <c r="BQ103" s="45"/>
      <c r="BR103" s="45"/>
      <c r="BS103" s="45"/>
      <c r="BT103" s="45"/>
      <c r="BU103" s="45"/>
      <c r="BV103" s="45"/>
      <c r="BW103" s="45"/>
      <c r="BX103" s="45"/>
      <c r="BY103" s="45"/>
      <c r="BZ103" s="45"/>
      <c r="CA103" s="45"/>
      <c r="CB103" s="45"/>
      <c r="CC103" s="45"/>
      <c r="CD103" s="45"/>
      <c r="CE103" s="45"/>
      <c r="CF103" s="45"/>
      <c r="CG103" s="45"/>
      <c r="CH103" s="45"/>
      <c r="CI103" s="45"/>
      <c r="CJ103" s="45"/>
      <c r="CK103" s="45"/>
      <c r="CL103" s="45"/>
      <c r="CM103" s="45"/>
      <c r="CN103" s="45"/>
      <c r="CO103" s="45"/>
      <c r="CP103" s="45"/>
    </row>
    <row r="104" spans="1:94">
      <c r="A104" s="45"/>
      <c r="B104" s="45"/>
      <c r="C104" s="1716" t="s">
        <v>476</v>
      </c>
      <c r="D104" s="45"/>
      <c r="E104" s="337"/>
      <c r="F104" s="338"/>
      <c r="G104" s="338"/>
      <c r="H104" s="291"/>
      <c r="I104" s="1432">
        <v>72</v>
      </c>
      <c r="J104" s="290">
        <f>K104</f>
        <v>87</v>
      </c>
      <c r="K104" s="260">
        <f>L104</f>
        <v>87</v>
      </c>
      <c r="L104" s="260">
        <f>N104</f>
        <v>87</v>
      </c>
      <c r="M104" s="291">
        <f>N104</f>
        <v>87</v>
      </c>
      <c r="N104" s="1432">
        <v>87</v>
      </c>
      <c r="O104" s="290">
        <f>P104</f>
        <v>133</v>
      </c>
      <c r="P104" s="260">
        <f>Q104</f>
        <v>133</v>
      </c>
      <c r="Q104" s="260">
        <f>S104</f>
        <v>133</v>
      </c>
      <c r="R104" s="291">
        <f>S104</f>
        <v>133</v>
      </c>
      <c r="S104" s="1432">
        <v>133</v>
      </c>
      <c r="T104" s="290">
        <f>U104</f>
        <v>110</v>
      </c>
      <c r="U104" s="260">
        <f>V104</f>
        <v>110</v>
      </c>
      <c r="V104" s="260">
        <f>X104</f>
        <v>110</v>
      </c>
      <c r="W104" s="291">
        <f>X104</f>
        <v>110</v>
      </c>
      <c r="X104" s="1432">
        <v>110</v>
      </c>
      <c r="Y104" s="290">
        <f>+X104</f>
        <v>110</v>
      </c>
      <c r="Z104" s="260">
        <f>X104</f>
        <v>110</v>
      </c>
      <c r="AA104" s="260">
        <f>Y104</f>
        <v>110</v>
      </c>
      <c r="AB104" s="291">
        <f>AC104</f>
        <v>115</v>
      </c>
      <c r="AC104" s="1432">
        <v>115</v>
      </c>
      <c r="AD104" s="290">
        <f>+AE104</f>
        <v>158</v>
      </c>
      <c r="AE104" s="260">
        <f t="shared" ref="AE104:AG104" si="256">+AF104</f>
        <v>158</v>
      </c>
      <c r="AF104" s="260">
        <f t="shared" si="256"/>
        <v>158</v>
      </c>
      <c r="AG104" s="291">
        <f t="shared" si="256"/>
        <v>158</v>
      </c>
      <c r="AH104" s="1432">
        <v>158</v>
      </c>
      <c r="AI104" s="290">
        <f>+AJ104</f>
        <v>169</v>
      </c>
      <c r="AJ104" s="260">
        <f t="shared" ref="AJ104" si="257">+AK104</f>
        <v>169</v>
      </c>
      <c r="AK104" s="260">
        <f t="shared" ref="AK104" si="258">+AL104</f>
        <v>169</v>
      </c>
      <c r="AL104" s="291">
        <f t="shared" ref="AL104" si="259">+AM104</f>
        <v>169</v>
      </c>
      <c r="AM104" s="1432">
        <v>169</v>
      </c>
      <c r="AN104" s="290">
        <f>+AR104</f>
        <v>138</v>
      </c>
      <c r="AO104" s="260">
        <f>AN104</f>
        <v>138</v>
      </c>
      <c r="AP104" s="260">
        <f>AO104</f>
        <v>138</v>
      </c>
      <c r="AQ104" s="291">
        <f t="shared" ref="AQ104" si="260">+AR104</f>
        <v>138</v>
      </c>
      <c r="AR104" s="1432">
        <v>138</v>
      </c>
      <c r="AS104" s="290">
        <f>+AS105*AW117</f>
        <v>165.86538461538461</v>
      </c>
      <c r="AT104" s="646">
        <f>+AT105*AW117</f>
        <v>165.86538461538461</v>
      </c>
      <c r="AU104" s="646">
        <f>+AU105*AW117</f>
        <v>165.86538461538461</v>
      </c>
      <c r="AV104" s="586">
        <f>+AV105*AW117</f>
        <v>165.86538461538461</v>
      </c>
      <c r="AW104" s="647">
        <f>+AV104</f>
        <v>165.86538461538461</v>
      </c>
      <c r="AX104" s="290">
        <f>+AX105*BB117</f>
        <v>143.75</v>
      </c>
      <c r="AY104" s="646">
        <f>+AY105*BB117</f>
        <v>143.75</v>
      </c>
      <c r="AZ104" s="646">
        <f>+AZ105*BB117</f>
        <v>143.75</v>
      </c>
      <c r="BA104" s="586">
        <f>+BA105*BB117</f>
        <v>143.75</v>
      </c>
      <c r="BB104" s="647">
        <f>+BA104</f>
        <v>143.75</v>
      </c>
      <c r="BC104" s="290">
        <f>+BC105*BG117</f>
        <v>143.75</v>
      </c>
      <c r="BD104" s="646">
        <f>+BD105*BG117</f>
        <v>143.75</v>
      </c>
      <c r="BE104" s="646">
        <f>+BE105*BG117</f>
        <v>143.75</v>
      </c>
      <c r="BF104" s="586">
        <f>+BF105*BG117</f>
        <v>143.75</v>
      </c>
      <c r="BG104" s="647">
        <f>+BF104</f>
        <v>143.75</v>
      </c>
      <c r="BH104" s="290">
        <f>+BH105*BL117</f>
        <v>99.519230769230759</v>
      </c>
      <c r="BI104" s="646">
        <f>+BI105*BL117</f>
        <v>99.519230769230759</v>
      </c>
      <c r="BJ104" s="646">
        <f>+BJ105*BL117</f>
        <v>99.519230769230759</v>
      </c>
      <c r="BK104" s="586">
        <f>+BK105*BL117</f>
        <v>99.519230769230759</v>
      </c>
      <c r="BL104" s="647">
        <f>+BK104</f>
        <v>99.519230769230759</v>
      </c>
      <c r="BM104" s="45"/>
      <c r="BN104" s="45"/>
      <c r="BO104" s="45"/>
      <c r="BP104" s="45"/>
      <c r="BQ104" s="45"/>
      <c r="BR104" s="45"/>
      <c r="BS104" s="45"/>
      <c r="BT104" s="45"/>
      <c r="BU104" s="45"/>
      <c r="BV104" s="45"/>
      <c r="BW104" s="45"/>
      <c r="BX104" s="45"/>
      <c r="BY104" s="45"/>
      <c r="BZ104" s="45"/>
      <c r="CA104" s="45"/>
      <c r="CB104" s="45"/>
      <c r="CC104" s="45"/>
      <c r="CD104" s="45"/>
      <c r="CE104" s="45"/>
      <c r="CF104" s="45"/>
      <c r="CG104" s="45"/>
      <c r="CH104" s="45"/>
      <c r="CI104" s="45"/>
      <c r="CJ104" s="45"/>
      <c r="CK104" s="45"/>
      <c r="CL104" s="45"/>
      <c r="CM104" s="45"/>
      <c r="CN104" s="45"/>
      <c r="CO104" s="45"/>
      <c r="CP104" s="45"/>
    </row>
    <row r="105" spans="1:94">
      <c r="A105" s="45"/>
      <c r="B105" s="45"/>
      <c r="C105" s="1763" t="s">
        <v>146</v>
      </c>
      <c r="D105" s="45"/>
      <c r="E105" s="290"/>
      <c r="F105" s="260"/>
      <c r="G105" s="260"/>
      <c r="H105" s="291"/>
      <c r="I105" s="1767">
        <f>I104/I117</f>
        <v>0.46153846153846156</v>
      </c>
      <c r="J105" s="290"/>
      <c r="K105" s="260"/>
      <c r="L105" s="260"/>
      <c r="M105" s="291"/>
      <c r="N105" s="1767">
        <f>N104/N117</f>
        <v>0.63043478260869568</v>
      </c>
      <c r="O105" s="1764"/>
      <c r="P105" s="1765"/>
      <c r="Q105" s="1765"/>
      <c r="R105" s="1766"/>
      <c r="S105" s="1767">
        <f>S104/S117</f>
        <v>0.51953125</v>
      </c>
      <c r="T105" s="1764"/>
      <c r="U105" s="1765"/>
      <c r="V105" s="1765"/>
      <c r="W105" s="1766"/>
      <c r="X105" s="1767">
        <f>X104/X117</f>
        <v>0.42145593869731801</v>
      </c>
      <c r="Y105" s="1946">
        <f>Y104/AC117</f>
        <v>0.48888888888888887</v>
      </c>
      <c r="Z105" s="1947">
        <f>Z104/AC117</f>
        <v>0.48888888888888887</v>
      </c>
      <c r="AA105" s="1947">
        <f>AA104/AC117</f>
        <v>0.48888888888888887</v>
      </c>
      <c r="AB105" s="1766">
        <f>AB104/AC117</f>
        <v>0.51111111111111107</v>
      </c>
      <c r="AC105" s="1767">
        <f>AC104/AC117</f>
        <v>0.51111111111111107</v>
      </c>
      <c r="AD105" s="1946">
        <f>AD104/AH117</f>
        <v>0.52666666666666662</v>
      </c>
      <c r="AE105" s="1947">
        <f>AE104/AH117</f>
        <v>0.52666666666666662</v>
      </c>
      <c r="AF105" s="1947">
        <f>AF104/AH117</f>
        <v>0.52666666666666662</v>
      </c>
      <c r="AG105" s="1766">
        <f>AG104/AH117</f>
        <v>0.52666666666666662</v>
      </c>
      <c r="AH105" s="1767">
        <f>AH104/AH117</f>
        <v>0.52666666666666662</v>
      </c>
      <c r="AI105" s="1946">
        <f>AI104/AM117</f>
        <v>0.54340836012861737</v>
      </c>
      <c r="AJ105" s="1947">
        <f>AJ104/AM117</f>
        <v>0.54340836012861737</v>
      </c>
      <c r="AK105" s="1947">
        <f>AK104/AM117</f>
        <v>0.54340836012861737</v>
      </c>
      <c r="AL105" s="1766">
        <f>AL104/AM117</f>
        <v>0.54340836012861737</v>
      </c>
      <c r="AM105" s="1767">
        <f>AM104/AM117</f>
        <v>0.54340836012861737</v>
      </c>
      <c r="AN105" s="1946">
        <f>AN104/AR117</f>
        <v>0.44230769230769229</v>
      </c>
      <c r="AO105" s="1947">
        <f>AO104/AR117</f>
        <v>0.44230769230769229</v>
      </c>
      <c r="AP105" s="1765">
        <f>AP104/AR117</f>
        <v>0.44230769230769229</v>
      </c>
      <c r="AQ105" s="1766">
        <f>AQ104/AR117</f>
        <v>0.44230769230769229</v>
      </c>
      <c r="AR105" s="1767">
        <f>AR104/AR117</f>
        <v>0.44230769230769229</v>
      </c>
      <c r="AS105" s="1764">
        <f>+AR105</f>
        <v>0.44230769230769229</v>
      </c>
      <c r="AT105" s="1765">
        <f>+AS105</f>
        <v>0.44230769230769229</v>
      </c>
      <c r="AU105" s="1765">
        <f>+AT105</f>
        <v>0.44230769230769229</v>
      </c>
      <c r="AV105" s="1766">
        <f>+AU105</f>
        <v>0.44230769230769229</v>
      </c>
      <c r="AW105" s="1767">
        <f>AW104/AW117</f>
        <v>0.44230769230769229</v>
      </c>
      <c r="AX105" s="1764">
        <f>+AW105</f>
        <v>0.44230769230769229</v>
      </c>
      <c r="AY105" s="1765">
        <f>+AX105</f>
        <v>0.44230769230769229</v>
      </c>
      <c r="AZ105" s="1765">
        <f>+AY105</f>
        <v>0.44230769230769229</v>
      </c>
      <c r="BA105" s="1766">
        <f>+AZ105</f>
        <v>0.44230769230769229</v>
      </c>
      <c r="BB105" s="1767">
        <f>BB104/BB117</f>
        <v>0.44230769230769229</v>
      </c>
      <c r="BC105" s="1764">
        <f>+BB105</f>
        <v>0.44230769230769229</v>
      </c>
      <c r="BD105" s="1765">
        <f>+BC105</f>
        <v>0.44230769230769229</v>
      </c>
      <c r="BE105" s="1765">
        <f>+BD105</f>
        <v>0.44230769230769229</v>
      </c>
      <c r="BF105" s="1766">
        <f>+BE105</f>
        <v>0.44230769230769229</v>
      </c>
      <c r="BG105" s="1767">
        <f>BG104/BG117</f>
        <v>0.44230769230769229</v>
      </c>
      <c r="BH105" s="1764">
        <f>+BG105</f>
        <v>0.44230769230769229</v>
      </c>
      <c r="BI105" s="1765">
        <f>+BH105</f>
        <v>0.44230769230769229</v>
      </c>
      <c r="BJ105" s="1765">
        <f>+BI105</f>
        <v>0.44230769230769229</v>
      </c>
      <c r="BK105" s="1766">
        <f>+BJ105</f>
        <v>0.44230769230769229</v>
      </c>
      <c r="BL105" s="1767">
        <f>BL104/BL117</f>
        <v>0.44230769230769229</v>
      </c>
      <c r="BM105" s="45"/>
      <c r="BN105" s="45"/>
      <c r="BO105" s="45"/>
      <c r="BP105" s="45"/>
      <c r="BQ105" s="45"/>
      <c r="BR105" s="45"/>
      <c r="BS105" s="45"/>
      <c r="BT105" s="45"/>
      <c r="BU105" s="45"/>
      <c r="BV105" s="45"/>
      <c r="BW105" s="45"/>
      <c r="BX105" s="45"/>
      <c r="BY105" s="45"/>
      <c r="BZ105" s="45"/>
      <c r="CA105" s="45"/>
      <c r="CB105" s="45"/>
      <c r="CC105" s="45"/>
      <c r="CD105" s="45"/>
      <c r="CE105" s="45"/>
      <c r="CF105" s="45"/>
      <c r="CG105" s="45"/>
      <c r="CH105" s="45"/>
      <c r="CI105" s="45"/>
      <c r="CJ105" s="45"/>
      <c r="CK105" s="45"/>
      <c r="CL105" s="45"/>
      <c r="CM105" s="45"/>
      <c r="CN105" s="45"/>
      <c r="CO105" s="45"/>
      <c r="CP105" s="45"/>
    </row>
    <row r="106" spans="1:94">
      <c r="A106" s="45"/>
      <c r="B106" s="45"/>
      <c r="C106" s="1763"/>
      <c r="D106" s="45"/>
      <c r="E106" s="290"/>
      <c r="F106" s="260"/>
      <c r="G106" s="260"/>
      <c r="H106" s="291"/>
      <c r="I106" s="45"/>
      <c r="J106" s="290"/>
      <c r="K106" s="260"/>
      <c r="L106" s="260"/>
      <c r="M106" s="291"/>
      <c r="N106" s="1767"/>
      <c r="O106" s="1764"/>
      <c r="P106" s="1765"/>
      <c r="Q106" s="1765"/>
      <c r="R106" s="1766"/>
      <c r="S106" s="1767"/>
      <c r="T106" s="1764"/>
      <c r="U106" s="1765"/>
      <c r="V106" s="1765"/>
      <c r="W106" s="1766"/>
      <c r="X106" s="1767"/>
      <c r="Y106" s="1764"/>
      <c r="Z106" s="1765"/>
      <c r="AA106" s="1765"/>
      <c r="AB106" s="1766"/>
      <c r="AC106" s="1767"/>
      <c r="AD106" s="1764"/>
      <c r="AE106" s="1765"/>
      <c r="AF106" s="1765"/>
      <c r="AG106" s="1766"/>
      <c r="AH106" s="1767"/>
      <c r="AI106" s="1764"/>
      <c r="AJ106" s="1765"/>
      <c r="AK106" s="1765"/>
      <c r="AL106" s="1766"/>
      <c r="AM106" s="1767"/>
      <c r="AN106" s="1764"/>
      <c r="AO106" s="1765"/>
      <c r="AP106" s="1765"/>
      <c r="AQ106" s="1766"/>
      <c r="AR106" s="1767"/>
      <c r="AS106" s="1764"/>
      <c r="AT106" s="1765"/>
      <c r="AU106" s="1765"/>
      <c r="AV106" s="1766"/>
      <c r="AW106" s="1767"/>
      <c r="AX106" s="1764"/>
      <c r="AY106" s="1765"/>
      <c r="AZ106" s="1765"/>
      <c r="BA106" s="1766"/>
      <c r="BB106" s="1767"/>
      <c r="BC106" s="1764"/>
      <c r="BD106" s="1765"/>
      <c r="BE106" s="1765"/>
      <c r="BF106" s="1766"/>
      <c r="BG106" s="1767"/>
      <c r="BH106" s="1764"/>
      <c r="BI106" s="1765"/>
      <c r="BJ106" s="1765"/>
      <c r="BK106" s="1766"/>
      <c r="BL106" s="1767"/>
      <c r="BM106" s="45"/>
      <c r="BN106" s="45"/>
      <c r="BO106" s="45"/>
      <c r="BP106" s="45"/>
      <c r="BQ106" s="45"/>
      <c r="BR106" s="45"/>
      <c r="BS106" s="45"/>
      <c r="BT106" s="45"/>
      <c r="BU106" s="45"/>
      <c r="BV106" s="45"/>
      <c r="BW106" s="45"/>
      <c r="BX106" s="45"/>
      <c r="BY106" s="45"/>
      <c r="BZ106" s="45"/>
      <c r="CA106" s="45"/>
      <c r="CB106" s="45"/>
      <c r="CC106" s="45"/>
      <c r="CD106" s="45"/>
      <c r="CE106" s="45"/>
      <c r="CF106" s="45"/>
      <c r="CG106" s="45"/>
      <c r="CH106" s="45"/>
      <c r="CI106" s="45"/>
      <c r="CJ106" s="45"/>
      <c r="CK106" s="45"/>
      <c r="CL106" s="45"/>
      <c r="CM106" s="45"/>
      <c r="CN106" s="45"/>
      <c r="CO106" s="45"/>
      <c r="CP106" s="45"/>
    </row>
    <row r="107" spans="1:94">
      <c r="A107" s="45"/>
      <c r="B107" s="45"/>
      <c r="C107" s="1756" t="s">
        <v>587</v>
      </c>
      <c r="D107" s="45"/>
      <c r="E107" s="290"/>
      <c r="F107" s="260"/>
      <c r="G107" s="260"/>
      <c r="H107" s="291"/>
      <c r="I107" s="45"/>
      <c r="J107" s="290"/>
      <c r="K107" s="260"/>
      <c r="L107" s="260"/>
      <c r="M107" s="291"/>
      <c r="N107" s="1004"/>
      <c r="O107" s="290"/>
      <c r="P107" s="260"/>
      <c r="Q107" s="260"/>
      <c r="R107" s="291"/>
      <c r="S107" s="1004"/>
      <c r="T107" s="290"/>
      <c r="U107" s="260"/>
      <c r="V107" s="260"/>
      <c r="W107" s="291"/>
      <c r="X107" s="45"/>
      <c r="Y107" s="290"/>
      <c r="Z107" s="260"/>
      <c r="AA107" s="260"/>
      <c r="AB107" s="291"/>
      <c r="AC107" s="45"/>
      <c r="AD107" s="290"/>
      <c r="AE107" s="260"/>
      <c r="AF107" s="260"/>
      <c r="AG107" s="291"/>
      <c r="AH107" s="45"/>
      <c r="AI107" s="290"/>
      <c r="AJ107" s="260"/>
      <c r="AK107" s="260"/>
      <c r="AL107" s="291"/>
      <c r="AM107" s="45"/>
      <c r="AN107" s="290"/>
      <c r="AO107" s="260"/>
      <c r="AP107" s="260"/>
      <c r="AQ107" s="291"/>
      <c r="AR107" s="45"/>
      <c r="AS107" s="290"/>
      <c r="AT107" s="260"/>
      <c r="AU107" s="260"/>
      <c r="AV107" s="291"/>
      <c r="AW107" s="45"/>
      <c r="AX107" s="290"/>
      <c r="AY107" s="260"/>
      <c r="AZ107" s="260"/>
      <c r="BA107" s="291"/>
      <c r="BB107" s="45"/>
      <c r="BC107" s="290"/>
      <c r="BD107" s="260"/>
      <c r="BE107" s="260"/>
      <c r="BF107" s="291"/>
      <c r="BG107" s="45"/>
      <c r="BH107" s="290"/>
      <c r="BI107" s="260"/>
      <c r="BJ107" s="260"/>
      <c r="BK107" s="291"/>
      <c r="BL107" s="45"/>
      <c r="BM107" s="45"/>
      <c r="BN107" s="45"/>
      <c r="BO107" s="45"/>
      <c r="BP107" s="45"/>
      <c r="BQ107" s="45"/>
      <c r="BR107" s="45"/>
      <c r="BS107" s="45"/>
      <c r="BT107" s="45"/>
      <c r="BU107" s="45"/>
      <c r="BV107" s="45"/>
      <c r="BW107" s="45"/>
      <c r="BX107" s="45"/>
      <c r="BY107" s="45"/>
      <c r="BZ107" s="45"/>
      <c r="CA107" s="45"/>
      <c r="CB107" s="45"/>
      <c r="CC107" s="45"/>
      <c r="CD107" s="45"/>
      <c r="CE107" s="45"/>
      <c r="CF107" s="45"/>
      <c r="CG107" s="45"/>
      <c r="CH107" s="45"/>
      <c r="CI107" s="45"/>
      <c r="CJ107" s="45"/>
      <c r="CK107" s="45"/>
      <c r="CL107" s="45"/>
      <c r="CM107" s="45"/>
      <c r="CN107" s="45"/>
      <c r="CO107" s="45"/>
      <c r="CP107" s="45"/>
    </row>
    <row r="108" spans="1:94" s="1803" customFormat="1">
      <c r="A108" s="228"/>
      <c r="B108" s="228"/>
      <c r="C108" s="1756" t="s">
        <v>739</v>
      </c>
      <c r="D108" s="228"/>
      <c r="E108" s="292"/>
      <c r="F108" s="261"/>
      <c r="G108" s="261"/>
      <c r="H108" s="293"/>
      <c r="I108" s="228">
        <f t="shared" ref="I108:W108" si="261">+I13</f>
        <v>112</v>
      </c>
      <c r="J108" s="292">
        <f t="shared" si="261"/>
        <v>33</v>
      </c>
      <c r="K108" s="261">
        <f t="shared" si="261"/>
        <v>33</v>
      </c>
      <c r="L108" s="261">
        <f t="shared" si="261"/>
        <v>41</v>
      </c>
      <c r="M108" s="293">
        <f t="shared" si="261"/>
        <v>27</v>
      </c>
      <c r="N108" s="228">
        <f t="shared" si="261"/>
        <v>134</v>
      </c>
      <c r="O108" s="292">
        <f t="shared" si="261"/>
        <v>28</v>
      </c>
      <c r="P108" s="261">
        <f t="shared" si="261"/>
        <v>27</v>
      </c>
      <c r="Q108" s="261">
        <f t="shared" si="261"/>
        <v>37</v>
      </c>
      <c r="R108" s="293">
        <f t="shared" si="261"/>
        <v>32</v>
      </c>
      <c r="S108" s="228">
        <f t="shared" si="261"/>
        <v>124</v>
      </c>
      <c r="T108" s="292">
        <f t="shared" si="261"/>
        <v>31</v>
      </c>
      <c r="U108" s="261">
        <f t="shared" si="261"/>
        <v>32</v>
      </c>
      <c r="V108" s="261">
        <f t="shared" si="261"/>
        <v>38</v>
      </c>
      <c r="W108" s="293">
        <f t="shared" si="261"/>
        <v>35</v>
      </c>
      <c r="X108" s="228">
        <f>SUM(T108:W108)</f>
        <v>136</v>
      </c>
      <c r="Y108" s="292">
        <f>+Y13</f>
        <v>38</v>
      </c>
      <c r="Z108" s="261">
        <f>+Z13</f>
        <v>37</v>
      </c>
      <c r="AA108" s="261">
        <f t="shared" ref="AA108:AB108" si="262">+AA13</f>
        <v>42</v>
      </c>
      <c r="AB108" s="293">
        <f t="shared" si="262"/>
        <v>40</v>
      </c>
      <c r="AC108" s="228">
        <f>SUM(Y108:AB108)</f>
        <v>157</v>
      </c>
      <c r="AD108" s="292">
        <f>+AD13</f>
        <v>43</v>
      </c>
      <c r="AE108" s="261">
        <f>+AE13</f>
        <v>43</v>
      </c>
      <c r="AF108" s="261">
        <f t="shared" ref="AF108:AG108" si="263">+AF13</f>
        <v>49</v>
      </c>
      <c r="AG108" s="293">
        <f t="shared" si="263"/>
        <v>41</v>
      </c>
      <c r="AH108" s="228">
        <f>SUM(AD108:AG108)</f>
        <v>176</v>
      </c>
      <c r="AI108" s="292">
        <f>+AI13</f>
        <v>40</v>
      </c>
      <c r="AJ108" s="261">
        <f>+AJ13</f>
        <v>41</v>
      </c>
      <c r="AK108" s="261">
        <f t="shared" ref="AK108:AL108" si="264">+AK13</f>
        <v>49</v>
      </c>
      <c r="AL108" s="293">
        <f t="shared" si="264"/>
        <v>35</v>
      </c>
      <c r="AM108" s="228">
        <f>SUM(AI108:AL108)</f>
        <v>165</v>
      </c>
      <c r="AN108" s="292">
        <f>+AN13</f>
        <v>35</v>
      </c>
      <c r="AO108" s="261">
        <f>+AO13</f>
        <v>37</v>
      </c>
      <c r="AP108" s="261">
        <f t="shared" ref="AP108:AQ108" si="265">+AP13</f>
        <v>41</v>
      </c>
      <c r="AQ108" s="293">
        <f t="shared" si="265"/>
        <v>33</v>
      </c>
      <c r="AR108" s="228">
        <f>SUM(AN108:AQ108)</f>
        <v>146</v>
      </c>
      <c r="AS108" s="292">
        <f>+AS109+AS110</f>
        <v>32.024836999214457</v>
      </c>
      <c r="AT108" s="261">
        <f>+AT109+AT110</f>
        <v>32.344907326759291</v>
      </c>
      <c r="AU108" s="261">
        <f>+AU109+AU110</f>
        <v>32.925358501044563</v>
      </c>
      <c r="AV108" s="293">
        <f>+AV109+AV110</f>
        <v>33.500322775936617</v>
      </c>
      <c r="AW108" s="228">
        <f>SUM(AS108:AV108)</f>
        <v>130.79542560295494</v>
      </c>
      <c r="AX108" s="292">
        <f>+AX109+AX110</f>
        <v>30.819852018097606</v>
      </c>
      <c r="AY108" s="261">
        <f>+AY109+AY110</f>
        <v>31.505611745052569</v>
      </c>
      <c r="AZ108" s="261">
        <f>+AZ109+AZ110</f>
        <v>31.975836401016153</v>
      </c>
      <c r="BA108" s="293">
        <f>+BA109+BA110</f>
        <v>32.441616108819105</v>
      </c>
      <c r="BB108" s="228">
        <f>SUM(AX108:BA108)</f>
        <v>126.74291627298543</v>
      </c>
      <c r="BC108" s="292">
        <f>+BC109+BC110</f>
        <v>33.402992885748034</v>
      </c>
      <c r="BD108" s="261">
        <f>+BD109+BD110</f>
        <v>33.855281942834765</v>
      </c>
      <c r="BE108" s="261">
        <f>+BE109+BE110</f>
        <v>34.303295593715369</v>
      </c>
      <c r="BF108" s="293">
        <f>+BF109+BF110</f>
        <v>34.747074253027236</v>
      </c>
      <c r="BG108" s="228">
        <f>SUM(BC108:BF108)</f>
        <v>136.30864467532541</v>
      </c>
      <c r="BH108" s="292">
        <f>+BH109+BH110</f>
        <v>30.186657953375498</v>
      </c>
      <c r="BI108" s="261">
        <f>+BI109+BI110</f>
        <v>30.851135404023228</v>
      </c>
      <c r="BJ108" s="261">
        <f>+BJ109+BJ110</f>
        <v>31.09122625216671</v>
      </c>
      <c r="BK108" s="293">
        <f>+BK109+BK110</f>
        <v>31.32904756518414</v>
      </c>
      <c r="BL108" s="228">
        <f>SUM(BH108:BK108)</f>
        <v>123.45806717474957</v>
      </c>
      <c r="BM108" s="228"/>
      <c r="BN108" s="228"/>
      <c r="BO108" s="228"/>
      <c r="BP108" s="228"/>
      <c r="BQ108" s="228"/>
      <c r="BR108" s="228"/>
      <c r="BS108" s="228"/>
      <c r="BT108" s="228"/>
      <c r="BU108" s="228"/>
      <c r="BV108" s="228"/>
      <c r="BW108" s="228"/>
      <c r="BX108" s="228"/>
      <c r="BY108" s="228"/>
      <c r="BZ108" s="228"/>
      <c r="CA108" s="228"/>
      <c r="CB108" s="228"/>
      <c r="CC108" s="228"/>
      <c r="CD108" s="228"/>
      <c r="CE108" s="228"/>
      <c r="CF108" s="228"/>
      <c r="CG108" s="228"/>
      <c r="CH108" s="228"/>
      <c r="CI108" s="228"/>
      <c r="CJ108" s="228"/>
      <c r="CK108" s="228"/>
      <c r="CL108" s="228"/>
      <c r="CM108" s="228"/>
      <c r="CN108" s="228"/>
      <c r="CO108" s="228"/>
      <c r="CP108" s="228"/>
    </row>
    <row r="109" spans="1:94">
      <c r="A109" s="45"/>
      <c r="B109" s="45"/>
      <c r="C109" s="1716" t="s">
        <v>765</v>
      </c>
      <c r="D109" s="45"/>
      <c r="E109" s="337"/>
      <c r="F109" s="338"/>
      <c r="G109" s="338"/>
      <c r="H109" s="1684"/>
      <c r="I109" s="339">
        <v>0</v>
      </c>
      <c r="J109" s="290">
        <f>N109/4</f>
        <v>15.387499999999999</v>
      </c>
      <c r="K109" s="260">
        <f>N109/4</f>
        <v>15.387499999999999</v>
      </c>
      <c r="L109" s="260">
        <f>N109/4</f>
        <v>15.387499999999999</v>
      </c>
      <c r="M109" s="291">
        <f>N109/4</f>
        <v>15.387499999999999</v>
      </c>
      <c r="N109" s="1003">
        <f>N108-N110</f>
        <v>61.55</v>
      </c>
      <c r="O109" s="290">
        <f>S109/4</f>
        <v>11.933125</v>
      </c>
      <c r="P109" s="260">
        <f>S109/4</f>
        <v>11.933125</v>
      </c>
      <c r="Q109" s="260">
        <f>S109/4</f>
        <v>11.933125</v>
      </c>
      <c r="R109" s="291">
        <f>S109/4</f>
        <v>11.933125</v>
      </c>
      <c r="S109" s="1003">
        <f>S108-S110</f>
        <v>47.732500000000002</v>
      </c>
      <c r="T109" s="290">
        <f>X109/4</f>
        <v>8.9331250000000004</v>
      </c>
      <c r="U109" s="260">
        <f>X109/4</f>
        <v>8.9331250000000004</v>
      </c>
      <c r="V109" s="260">
        <f>X109/4</f>
        <v>8.9331250000000004</v>
      </c>
      <c r="W109" s="2127">
        <f>X109/4</f>
        <v>8.9331250000000004</v>
      </c>
      <c r="X109" s="1003">
        <f>S109-12</f>
        <v>35.732500000000002</v>
      </c>
      <c r="Y109" s="290">
        <f>AC109/4</f>
        <v>8.9331250000000004</v>
      </c>
      <c r="Z109" s="260">
        <f>AC109/4</f>
        <v>8.9331250000000004</v>
      </c>
      <c r="AA109" s="260">
        <f>AC109/4</f>
        <v>8.9331250000000004</v>
      </c>
      <c r="AB109" s="2127">
        <f>AC109/4</f>
        <v>8.9331250000000004</v>
      </c>
      <c r="AC109" s="1003">
        <f>X109</f>
        <v>35.732500000000002</v>
      </c>
      <c r="AD109" s="290">
        <f>AH109/4</f>
        <v>8.9331250000000004</v>
      </c>
      <c r="AE109" s="260">
        <f>AH109/4</f>
        <v>8.9331250000000004</v>
      </c>
      <c r="AF109" s="260">
        <f>AH109/4</f>
        <v>8.9331250000000004</v>
      </c>
      <c r="AG109" s="2127">
        <f>AH109/4</f>
        <v>8.9331250000000004</v>
      </c>
      <c r="AH109" s="2058">
        <f>AC109</f>
        <v>35.732500000000002</v>
      </c>
      <c r="AI109" s="290">
        <f>AM109/4</f>
        <v>8.9331250000000004</v>
      </c>
      <c r="AJ109" s="260">
        <f>AM109/4</f>
        <v>8.9331250000000004</v>
      </c>
      <c r="AK109" s="260">
        <f>AM109/4</f>
        <v>8.9331250000000004</v>
      </c>
      <c r="AL109" s="2127">
        <f>AM109/4</f>
        <v>8.9331250000000004</v>
      </c>
      <c r="AM109" s="330">
        <f>AH109</f>
        <v>35.732500000000002</v>
      </c>
      <c r="AN109" s="290">
        <f>AR109/4</f>
        <v>8.9331250000000004</v>
      </c>
      <c r="AO109" s="260">
        <f>AR109/4</f>
        <v>8.9331250000000004</v>
      </c>
      <c r="AP109" s="260">
        <f>AR109/4</f>
        <v>8.9331250000000004</v>
      </c>
      <c r="AQ109" s="2127">
        <f>AR109/4</f>
        <v>8.9331250000000004</v>
      </c>
      <c r="AR109" s="2309">
        <f>AM109</f>
        <v>35.732500000000002</v>
      </c>
      <c r="AS109" s="290">
        <f>AW109/4</f>
        <v>7.75</v>
      </c>
      <c r="AT109" s="260">
        <f>AW109/4</f>
        <v>7.75</v>
      </c>
      <c r="AU109" s="260">
        <f>AW109/4</f>
        <v>7.75</v>
      </c>
      <c r="AV109" s="291">
        <f>AW109/4</f>
        <v>7.75</v>
      </c>
      <c r="AW109" s="45">
        <f>AR129-AW129</f>
        <v>31</v>
      </c>
      <c r="AX109" s="290">
        <f>BB109/4</f>
        <v>4.5</v>
      </c>
      <c r="AY109" s="260">
        <f>BB109/4</f>
        <v>4.5</v>
      </c>
      <c r="AZ109" s="260">
        <f>BB109/4</f>
        <v>4.5</v>
      </c>
      <c r="BA109" s="291">
        <f>BB109/4</f>
        <v>4.5</v>
      </c>
      <c r="BB109" s="45">
        <f>AW129-BB129</f>
        <v>18</v>
      </c>
      <c r="BC109" s="290">
        <f>BG109/4</f>
        <v>5</v>
      </c>
      <c r="BD109" s="260">
        <f>BG109/4</f>
        <v>5</v>
      </c>
      <c r="BE109" s="260">
        <f>BG109/4</f>
        <v>5</v>
      </c>
      <c r="BF109" s="291">
        <f>BG109/4</f>
        <v>5</v>
      </c>
      <c r="BG109" s="45">
        <f>BB129-BG129</f>
        <v>20</v>
      </c>
      <c r="BH109" s="290">
        <f>BL109/4</f>
        <v>0</v>
      </c>
      <c r="BI109" s="260">
        <f>BL109/4</f>
        <v>0</v>
      </c>
      <c r="BJ109" s="260">
        <f>BL109/4</f>
        <v>0</v>
      </c>
      <c r="BK109" s="291">
        <f>BL109/4</f>
        <v>0</v>
      </c>
      <c r="BL109" s="45">
        <f>BG129-BL129</f>
        <v>0</v>
      </c>
      <c r="BM109" s="45"/>
      <c r="BN109" s="45"/>
      <c r="BO109" s="45"/>
      <c r="BP109" s="45"/>
      <c r="BQ109" s="45"/>
      <c r="BR109" s="45"/>
      <c r="BS109" s="45"/>
      <c r="BT109" s="45"/>
      <c r="BU109" s="45"/>
      <c r="BV109" s="45"/>
      <c r="BW109" s="45"/>
      <c r="BX109" s="45"/>
      <c r="BY109" s="45"/>
      <c r="BZ109" s="45"/>
      <c r="CA109" s="45"/>
      <c r="CB109" s="45"/>
      <c r="CC109" s="45"/>
      <c r="CD109" s="45"/>
      <c r="CE109" s="45"/>
      <c r="CF109" s="45"/>
      <c r="CG109" s="45"/>
      <c r="CH109" s="45"/>
      <c r="CI109" s="45"/>
      <c r="CJ109" s="45"/>
      <c r="CK109" s="45"/>
      <c r="CL109" s="45"/>
      <c r="CM109" s="45"/>
      <c r="CN109" s="45"/>
      <c r="CO109" s="45"/>
      <c r="CP109" s="45"/>
    </row>
    <row r="110" spans="1:94">
      <c r="A110" s="228"/>
      <c r="B110" s="228"/>
      <c r="C110" s="1756" t="s">
        <v>741</v>
      </c>
      <c r="D110" s="228"/>
      <c r="E110" s="292"/>
      <c r="F110" s="261"/>
      <c r="G110" s="261"/>
      <c r="H110" s="293"/>
      <c r="I110" s="228">
        <f>+I108-I109</f>
        <v>112</v>
      </c>
      <c r="J110" s="292">
        <f>+J108-J109</f>
        <v>17.612500000000001</v>
      </c>
      <c r="K110" s="261">
        <f>+K108-K109</f>
        <v>17.612500000000001</v>
      </c>
      <c r="L110" s="261">
        <f>+L108-L109</f>
        <v>25.612500000000001</v>
      </c>
      <c r="M110" s="293">
        <f>+M108-M109</f>
        <v>11.612500000000001</v>
      </c>
      <c r="N110" s="669">
        <f>3%*AVERAGE(J100:M100)</f>
        <v>72.45</v>
      </c>
      <c r="O110" s="292">
        <f>+O108-O109</f>
        <v>16.066875</v>
      </c>
      <c r="P110" s="261">
        <f>+P108-P109</f>
        <v>15.066875</v>
      </c>
      <c r="Q110" s="261">
        <f>+Q108-Q109</f>
        <v>25.066875</v>
      </c>
      <c r="R110" s="293">
        <f>+R108-R109</f>
        <v>20.066875</v>
      </c>
      <c r="S110" s="669">
        <f>3%*AVERAGE(O100:R100)</f>
        <v>76.267499999999998</v>
      </c>
      <c r="T110" s="292">
        <f t="shared" ref="T110:AH110" si="266">+T108-T109</f>
        <v>22.066875</v>
      </c>
      <c r="U110" s="261">
        <f t="shared" si="266"/>
        <v>23.066875</v>
      </c>
      <c r="V110" s="261">
        <f t="shared" si="266"/>
        <v>29.066875</v>
      </c>
      <c r="W110" s="293">
        <f t="shared" si="266"/>
        <v>26.066875</v>
      </c>
      <c r="X110" s="228">
        <f t="shared" si="266"/>
        <v>100.2675</v>
      </c>
      <c r="Y110" s="292">
        <f t="shared" si="266"/>
        <v>29.066875</v>
      </c>
      <c r="Z110" s="261">
        <f t="shared" si="266"/>
        <v>28.066875</v>
      </c>
      <c r="AA110" s="261">
        <f t="shared" si="266"/>
        <v>33.066874999999996</v>
      </c>
      <c r="AB110" s="293">
        <f t="shared" si="266"/>
        <v>31.066875</v>
      </c>
      <c r="AC110" s="228">
        <f t="shared" si="266"/>
        <v>121.2675</v>
      </c>
      <c r="AD110" s="292">
        <f t="shared" si="266"/>
        <v>34.066874999999996</v>
      </c>
      <c r="AE110" s="261">
        <f t="shared" si="266"/>
        <v>34.066874999999996</v>
      </c>
      <c r="AF110" s="261">
        <f t="shared" si="266"/>
        <v>40.066874999999996</v>
      </c>
      <c r="AG110" s="293">
        <f t="shared" si="266"/>
        <v>32.066874999999996</v>
      </c>
      <c r="AH110" s="228">
        <f t="shared" si="266"/>
        <v>140.26749999999998</v>
      </c>
      <c r="AI110" s="292">
        <f t="shared" ref="AI110:AM110" si="267">+AI108-AI109</f>
        <v>31.066875</v>
      </c>
      <c r="AJ110" s="261">
        <f t="shared" si="267"/>
        <v>32.066874999999996</v>
      </c>
      <c r="AK110" s="261">
        <f t="shared" si="267"/>
        <v>40.066874999999996</v>
      </c>
      <c r="AL110" s="293">
        <f t="shared" si="267"/>
        <v>26.066875</v>
      </c>
      <c r="AM110" s="228">
        <f t="shared" si="267"/>
        <v>129.26749999999998</v>
      </c>
      <c r="AN110" s="292">
        <f t="shared" ref="AN110:AO110" si="268">+AN108-AN109</f>
        <v>26.066875</v>
      </c>
      <c r="AO110" s="261">
        <f t="shared" si="268"/>
        <v>28.066875</v>
      </c>
      <c r="AP110" s="261">
        <f t="shared" ref="AP110:AR110" si="269">+AP108-AP109</f>
        <v>32.066874999999996</v>
      </c>
      <c r="AQ110" s="293">
        <f t="shared" si="269"/>
        <v>24.066875</v>
      </c>
      <c r="AR110" s="228">
        <f t="shared" si="269"/>
        <v>110.2675</v>
      </c>
      <c r="AS110" s="292">
        <f>+AS112*AVERAGE(AR102)/4</f>
        <v>24.274836999214457</v>
      </c>
      <c r="AT110" s="261">
        <f>+AT112*AVERAGE(AS102)/4</f>
        <v>24.594907326759291</v>
      </c>
      <c r="AU110" s="261">
        <f>+AU112*AVERAGE(AT102)/4</f>
        <v>25.175358501044563</v>
      </c>
      <c r="AV110" s="293">
        <f>+AV112*AVERAGE(AU102)/4</f>
        <v>25.750322775936617</v>
      </c>
      <c r="AW110" s="228">
        <f>+AW108-AW109</f>
        <v>99.795425602954936</v>
      </c>
      <c r="AX110" s="292">
        <f>+AX112*AVERAGE(AW102)/4</f>
        <v>26.319852018097606</v>
      </c>
      <c r="AY110" s="261">
        <f>+AY112*AVERAGE(AX102)/4</f>
        <v>27.005611745052569</v>
      </c>
      <c r="AZ110" s="261">
        <f>+AZ112*AVERAGE(AY102)/4</f>
        <v>27.475836401016153</v>
      </c>
      <c r="BA110" s="293">
        <f>+BA112*AVERAGE(AZ102)/4</f>
        <v>27.941616108819101</v>
      </c>
      <c r="BB110" s="228">
        <f>+BB108-BB109</f>
        <v>108.74291627298543</v>
      </c>
      <c r="BC110" s="292">
        <f>+BC112*AVERAGE(BB102)/4</f>
        <v>28.402992885748031</v>
      </c>
      <c r="BD110" s="261">
        <f>+BD112*AVERAGE(BC102)/4</f>
        <v>28.855281942834761</v>
      </c>
      <c r="BE110" s="261">
        <f>+BE112*AVERAGE(BD102)/4</f>
        <v>29.303295593715369</v>
      </c>
      <c r="BF110" s="293">
        <f>+BF112*AVERAGE(BE102)/4</f>
        <v>29.747074253027233</v>
      </c>
      <c r="BG110" s="228">
        <f>+BG108-BG109</f>
        <v>116.30864467532541</v>
      </c>
      <c r="BH110" s="292">
        <f>+BH112*AVERAGE(BG102)/4</f>
        <v>30.186657953375498</v>
      </c>
      <c r="BI110" s="261">
        <f>+BI112*AVERAGE(BH102)/4</f>
        <v>30.851135404023228</v>
      </c>
      <c r="BJ110" s="261">
        <f>+BJ112*AVERAGE(BI102)/4</f>
        <v>31.09122625216671</v>
      </c>
      <c r="BK110" s="293">
        <f>+BK112*AVERAGE(BJ102)/4</f>
        <v>31.32904756518414</v>
      </c>
      <c r="BL110" s="228">
        <f>+BL108-BL109</f>
        <v>123.45806717474957</v>
      </c>
      <c r="BM110" s="228"/>
      <c r="BN110" s="228"/>
      <c r="BO110" s="228"/>
      <c r="BP110" s="228"/>
      <c r="BQ110" s="228"/>
      <c r="BR110" s="228"/>
      <c r="BS110" s="228"/>
      <c r="BT110" s="228"/>
      <c r="BU110" s="228"/>
      <c r="BV110" s="228"/>
      <c r="BW110" s="228"/>
      <c r="BX110" s="228"/>
      <c r="BY110" s="228"/>
      <c r="BZ110" s="228"/>
      <c r="CA110" s="228"/>
      <c r="CB110" s="228"/>
      <c r="CC110" s="228"/>
      <c r="CD110" s="228"/>
      <c r="CE110" s="228"/>
      <c r="CF110" s="228"/>
      <c r="CG110" s="228"/>
      <c r="CH110" s="228"/>
      <c r="CI110" s="228"/>
      <c r="CJ110" s="228"/>
      <c r="CK110" s="228"/>
      <c r="CL110" s="228"/>
      <c r="CM110" s="228"/>
      <c r="CN110" s="228"/>
      <c r="CO110" s="228"/>
      <c r="CP110" s="228"/>
    </row>
    <row r="111" spans="1:94">
      <c r="A111" s="45"/>
      <c r="B111" s="45"/>
      <c r="C111" s="1716"/>
      <c r="D111" s="45"/>
      <c r="E111" s="290"/>
      <c r="F111" s="260"/>
      <c r="G111" s="260"/>
      <c r="H111" s="291"/>
      <c r="I111" s="45"/>
      <c r="J111" s="290"/>
      <c r="K111" s="260"/>
      <c r="L111" s="260"/>
      <c r="M111" s="291"/>
      <c r="N111" s="45"/>
      <c r="O111" s="290"/>
      <c r="P111" s="260"/>
      <c r="Q111" s="260"/>
      <c r="R111" s="291"/>
      <c r="S111" s="45"/>
      <c r="T111" s="290"/>
      <c r="U111" s="260"/>
      <c r="V111" s="260"/>
      <c r="W111" s="291"/>
      <c r="X111" s="45"/>
      <c r="Y111" s="290"/>
      <c r="Z111" s="260"/>
      <c r="AA111" s="260"/>
      <c r="AB111" s="291"/>
      <c r="AC111" s="45"/>
      <c r="AD111" s="290"/>
      <c r="AE111" s="260"/>
      <c r="AF111" s="260"/>
      <c r="AG111" s="291"/>
      <c r="AH111" s="45"/>
      <c r="AI111" s="290"/>
      <c r="AJ111" s="260"/>
      <c r="AK111" s="260"/>
      <c r="AL111" s="291"/>
      <c r="AM111" s="45"/>
      <c r="AN111" s="290"/>
      <c r="AO111" s="260"/>
      <c r="AP111" s="260"/>
      <c r="AQ111" s="291"/>
      <c r="AR111" s="45"/>
      <c r="AS111" s="290"/>
      <c r="AT111" s="260"/>
      <c r="AU111" s="260"/>
      <c r="AV111" s="291"/>
      <c r="AW111" s="45"/>
      <c r="AX111" s="290"/>
      <c r="AY111" s="260"/>
      <c r="AZ111" s="260"/>
      <c r="BA111" s="291"/>
      <c r="BB111" s="45"/>
      <c r="BC111" s="290"/>
      <c r="BD111" s="260"/>
      <c r="BE111" s="260"/>
      <c r="BF111" s="291"/>
      <c r="BG111" s="45"/>
      <c r="BH111" s="290"/>
      <c r="BI111" s="260"/>
      <c r="BJ111" s="260"/>
      <c r="BK111" s="291"/>
      <c r="BL111" s="45"/>
      <c r="BM111" s="45"/>
      <c r="BN111" s="45"/>
      <c r="BO111" s="45"/>
      <c r="BP111" s="45"/>
      <c r="BQ111" s="45"/>
      <c r="BR111" s="45"/>
      <c r="BS111" s="45"/>
      <c r="BT111" s="45"/>
      <c r="BU111" s="45"/>
      <c r="BV111" s="45"/>
      <c r="BW111" s="45"/>
      <c r="BX111" s="45"/>
      <c r="BY111" s="45"/>
      <c r="BZ111" s="45"/>
      <c r="CA111" s="45"/>
      <c r="CB111" s="45"/>
      <c r="CC111" s="45"/>
      <c r="CD111" s="45"/>
      <c r="CE111" s="45"/>
      <c r="CF111" s="45"/>
      <c r="CG111" s="45"/>
      <c r="CH111" s="45"/>
      <c r="CI111" s="45"/>
      <c r="CJ111" s="45"/>
      <c r="CK111" s="45"/>
      <c r="CL111" s="45"/>
      <c r="CM111" s="45"/>
      <c r="CN111" s="45"/>
      <c r="CO111" s="45"/>
      <c r="CP111" s="45"/>
    </row>
    <row r="112" spans="1:94">
      <c r="A112" s="895"/>
      <c r="B112" s="895"/>
      <c r="C112" s="1716" t="s">
        <v>145</v>
      </c>
      <c r="D112" s="895"/>
      <c r="E112" s="1700"/>
      <c r="F112" s="1337"/>
      <c r="G112" s="1337"/>
      <c r="H112" s="1701"/>
      <c r="I112" s="1713"/>
      <c r="J112" s="1700">
        <f>J110/AVERAGE(I102:J102)*4</f>
        <v>4.3036041539401347E-2</v>
      </c>
      <c r="K112" s="1337">
        <f>K110/AVERAGE(J102:K102)*4</f>
        <v>4.2904993909866018E-2</v>
      </c>
      <c r="L112" s="1337">
        <f>L110/AVERAGE(K102:L102)*4</f>
        <v>6.1679711017459365E-2</v>
      </c>
      <c r="M112" s="1701">
        <f>M110/AVERAGE(L102:M102)*4</f>
        <v>2.760772659732541E-2</v>
      </c>
      <c r="N112" s="1713">
        <f>N110/AVERAGE(I102,N102)</f>
        <v>4.3422235540905005E-2</v>
      </c>
      <c r="O112" s="1700">
        <f>O110/AVERAGE(N102:O102)*4</f>
        <v>3.8005617977528092E-2</v>
      </c>
      <c r="P112" s="1337">
        <f>P110/AVERAGE(O102:P102)*4</f>
        <v>3.5285421545667446E-2</v>
      </c>
      <c r="Q112" s="1337">
        <f>Q110/AVERAGE(P102:Q102)*4</f>
        <v>5.7116206209057246E-2</v>
      </c>
      <c r="R112" s="1701">
        <f>R110/AVERAGE(Q102:R102)*4</f>
        <v>4.4187998898981555E-2</v>
      </c>
      <c r="S112" s="1713">
        <f>S110/AVERAGE(N102,S102)</f>
        <v>4.3016074450084603E-2</v>
      </c>
      <c r="T112" s="1700">
        <f>T110/AVERAGE(S102:T102)*4</f>
        <v>4.6863551898062114E-2</v>
      </c>
      <c r="U112" s="1337">
        <f>U110/AVERAGE(T102:U102)*4</f>
        <v>4.7585095410005156E-2</v>
      </c>
      <c r="V112" s="1337">
        <f>V110/AVERAGE(U102:V102)*4</f>
        <v>5.8646910466582595E-2</v>
      </c>
      <c r="W112" s="1769">
        <f>W110/AVERAGE(V102:W102)*4</f>
        <v>5.1579272817214937E-2</v>
      </c>
      <c r="X112" s="1713">
        <f>X110/AVERAGE(S102,X102)</f>
        <v>5.1538164996144949E-2</v>
      </c>
      <c r="Y112" s="1700">
        <f>Y110/AVERAGE(X102:Y102)*4</f>
        <v>5.6495383867832843E-2</v>
      </c>
      <c r="Z112" s="1337">
        <f>Z110/AVERAGE(Y102:Z102)*4</f>
        <v>5.3588305489260142E-2</v>
      </c>
      <c r="AA112" s="1337">
        <f>AA110/AVERAGE(Z102:AA102)*4</f>
        <v>6.2024618991793665E-2</v>
      </c>
      <c r="AB112" s="1769">
        <f>AB110/AVERAGE(AA102:AB102)*4</f>
        <v>5.7147620142561507E-2</v>
      </c>
      <c r="AC112" s="1713">
        <f>AC110/AVERAGE(X102,AC102)</f>
        <v>5.7228645587541295E-2</v>
      </c>
      <c r="AD112" s="1700">
        <f>AD110/AVERAGE(AC102:AD102)*4</f>
        <v>6.202435138825671E-2</v>
      </c>
      <c r="AE112" s="1337">
        <f>AE110/AVERAGE(AD102:AE102)*4</f>
        <v>6.1161355475763006E-2</v>
      </c>
      <c r="AF112" s="1337">
        <f>AF110/AVERAGE(AE102:AF102)*4</f>
        <v>7.0138949671772421E-2</v>
      </c>
      <c r="AG112" s="1769">
        <f>AG110/AVERAGE(AF102:AG102)*4</f>
        <v>5.4663328361389298E-2</v>
      </c>
      <c r="AH112" s="1713">
        <f>AH110/AVERAGE(AC102,AH102)</f>
        <v>6.1238812486356681E-2</v>
      </c>
      <c r="AI112" s="1700">
        <f>AI110/AVERAGE(AH102:AI102)*4</f>
        <v>5.4052849064810789E-2</v>
      </c>
      <c r="AJ112" s="1337">
        <f>AJ110/AVERAGE(AI102:AJ102)*4</f>
        <v>5.7351889112452488E-2</v>
      </c>
      <c r="AK112" s="1337">
        <f>AK110/AVERAGE(AJ102:AK102)*4</f>
        <v>7.0524752475247518E-2</v>
      </c>
      <c r="AL112" s="1769">
        <f>AL110/AVERAGE(AK102:AL102)*4</f>
        <v>4.4952575986203926E-2</v>
      </c>
      <c r="AM112" s="1713">
        <f>AM110/AVERAGE(AH102,AM102)</f>
        <v>5.4600844772967255E-2</v>
      </c>
      <c r="AN112" s="1700">
        <f>AN110/AVERAGE(AM102:AN102)*4</f>
        <v>4.3471961642693346E-2</v>
      </c>
      <c r="AO112" s="1337">
        <f>AO110/AVERAGE(AN102:AO102)*4</f>
        <v>4.5498480243161096E-2</v>
      </c>
      <c r="AP112" s="1337">
        <f>AP110/AVERAGE(AO102:AP102)*4</f>
        <v>5.1163741523733541E-2</v>
      </c>
      <c r="AQ112" s="1769">
        <f>AQ110/AVERAGE(AP102:AQ102)*4</f>
        <v>3.7811272584446193E-2</v>
      </c>
      <c r="AR112" s="1713">
        <f>AR110/AVERAGE(AM102,AR102)</f>
        <v>4.4824186991869915E-2</v>
      </c>
      <c r="AS112" s="1700">
        <f>+AQ112</f>
        <v>3.7811272584446193E-2</v>
      </c>
      <c r="AT112" s="1337">
        <f>AS112</f>
        <v>3.7811272584446193E-2</v>
      </c>
      <c r="AU112" s="1768">
        <f>AT112</f>
        <v>3.7811272584446193E-2</v>
      </c>
      <c r="AV112" s="1769">
        <f>AU112</f>
        <v>3.7811272584446193E-2</v>
      </c>
      <c r="AW112" s="1713">
        <f>AW110/AVERAGE(AR102,AW102)</f>
        <v>3.7290396615176372E-2</v>
      </c>
      <c r="AX112" s="1700">
        <f>+AV112</f>
        <v>3.7811272584446193E-2</v>
      </c>
      <c r="AY112" s="1337">
        <f>AX112</f>
        <v>3.7811272584446193E-2</v>
      </c>
      <c r="AZ112" s="1768">
        <f>AY112</f>
        <v>3.7811272584446193E-2</v>
      </c>
      <c r="BA112" s="1769">
        <f>AZ112</f>
        <v>3.7811272584446193E-2</v>
      </c>
      <c r="BB112" s="1713">
        <f>BB110/AVERAGE(AW102,BB102)</f>
        <v>3.7568478539906025E-2</v>
      </c>
      <c r="BC112" s="1700">
        <f>+BA112</f>
        <v>3.7811272584446193E-2</v>
      </c>
      <c r="BD112" s="1337">
        <f>BC112</f>
        <v>3.7811272584446193E-2</v>
      </c>
      <c r="BE112" s="1768">
        <f>BD112</f>
        <v>3.7811272584446193E-2</v>
      </c>
      <c r="BF112" s="1769">
        <f>BE112</f>
        <v>3.7811272584446193E-2</v>
      </c>
      <c r="BG112" s="1713">
        <f>BG110/AVERAGE(BB102,BG102)</f>
        <v>3.7530330056256181E-2</v>
      </c>
      <c r="BH112" s="1700">
        <f>+BF112</f>
        <v>3.7811272584446193E-2</v>
      </c>
      <c r="BI112" s="1337">
        <f>BH112</f>
        <v>3.7811272584446193E-2</v>
      </c>
      <c r="BJ112" s="1768">
        <f>BI112</f>
        <v>3.7811272584446193E-2</v>
      </c>
      <c r="BK112" s="1769">
        <f>BJ112</f>
        <v>3.7811272584446193E-2</v>
      </c>
      <c r="BL112" s="1713">
        <f>BL110/AVERAGE(BG102,BL102)</f>
        <v>3.7797651523911263E-2</v>
      </c>
      <c r="BM112" s="45"/>
      <c r="BN112" s="895"/>
      <c r="BO112" s="895"/>
      <c r="BP112" s="895"/>
      <c r="BQ112" s="895"/>
      <c r="BR112" s="895"/>
      <c r="BS112" s="895"/>
      <c r="BT112" s="895"/>
      <c r="BU112" s="895"/>
      <c r="BV112" s="895"/>
      <c r="BW112" s="895"/>
      <c r="BX112" s="895"/>
      <c r="BY112" s="895"/>
      <c r="BZ112" s="895"/>
      <c r="CA112" s="895"/>
      <c r="CB112" s="895"/>
      <c r="CC112" s="895"/>
      <c r="CD112" s="895"/>
      <c r="CE112" s="895"/>
      <c r="CF112" s="895"/>
      <c r="CG112" s="895"/>
      <c r="CH112" s="895"/>
      <c r="CI112" s="895"/>
      <c r="CJ112" s="895"/>
      <c r="CK112" s="895"/>
      <c r="CL112" s="895"/>
      <c r="CM112" s="895"/>
      <c r="CN112" s="895"/>
      <c r="CO112" s="895"/>
      <c r="CP112" s="895"/>
    </row>
    <row r="113" spans="1:94">
      <c r="A113" s="1716"/>
      <c r="B113" s="1716"/>
      <c r="C113" s="1716"/>
      <c r="D113" s="1716"/>
      <c r="E113" s="1717"/>
      <c r="F113" s="1718"/>
      <c r="G113" s="1718"/>
      <c r="H113" s="1719"/>
      <c r="I113" s="1716"/>
      <c r="J113" s="1717"/>
      <c r="K113" s="1718"/>
      <c r="L113" s="1718"/>
      <c r="M113" s="1719"/>
      <c r="N113" s="1716"/>
      <c r="O113" s="1717"/>
      <c r="P113" s="1718"/>
      <c r="Q113" s="1718"/>
      <c r="R113" s="1719"/>
      <c r="S113" s="1716"/>
      <c r="T113" s="1717"/>
      <c r="U113" s="1718"/>
      <c r="V113" s="1718"/>
      <c r="W113" s="1719"/>
      <c r="X113" s="1716"/>
      <c r="Y113" s="1717"/>
      <c r="Z113" s="1718"/>
      <c r="AA113" s="1718"/>
      <c r="AB113" s="1719"/>
      <c r="AC113" s="1716"/>
      <c r="AD113" s="1717"/>
      <c r="AE113" s="1718"/>
      <c r="AF113" s="1718"/>
      <c r="AG113" s="1719"/>
      <c r="AH113" s="1716"/>
      <c r="AI113" s="1717"/>
      <c r="AJ113" s="1718"/>
      <c r="AK113" s="1718"/>
      <c r="AL113" s="1719"/>
      <c r="AM113" s="1716"/>
      <c r="AN113" s="1717"/>
      <c r="AO113" s="1718"/>
      <c r="AP113" s="1718"/>
      <c r="AQ113" s="1719"/>
      <c r="AR113" s="1716"/>
      <c r="AS113" s="1717"/>
      <c r="AT113" s="1718"/>
      <c r="AU113" s="1718"/>
      <c r="AV113" s="1719"/>
      <c r="AW113" s="1716"/>
      <c r="AX113" s="1717"/>
      <c r="AY113" s="1718"/>
      <c r="AZ113" s="1718"/>
      <c r="BA113" s="1719"/>
      <c r="BB113" s="1716"/>
      <c r="BC113" s="1717"/>
      <c r="BD113" s="1718"/>
      <c r="BE113" s="1718"/>
      <c r="BF113" s="1719"/>
      <c r="BG113" s="1716"/>
      <c r="BH113" s="1717"/>
      <c r="BI113" s="1718"/>
      <c r="BJ113" s="1718"/>
      <c r="BK113" s="1719"/>
      <c r="BL113" s="1716"/>
      <c r="BM113" s="1716"/>
      <c r="BN113" s="1716"/>
      <c r="BO113" s="1716"/>
      <c r="BP113" s="1716"/>
      <c r="BQ113" s="1716"/>
      <c r="BR113" s="1716"/>
      <c r="BS113" s="1716"/>
      <c r="BT113" s="1716"/>
      <c r="BU113" s="1716"/>
      <c r="BV113" s="1716"/>
      <c r="BW113" s="1716"/>
      <c r="BX113" s="1716"/>
      <c r="BY113" s="1716"/>
      <c r="BZ113" s="1716"/>
      <c r="CA113" s="1716"/>
      <c r="CB113" s="1716"/>
      <c r="CC113" s="1716"/>
      <c r="CD113" s="1716"/>
      <c r="CE113" s="1716"/>
      <c r="CF113" s="1716"/>
      <c r="CG113" s="1716"/>
      <c r="CH113" s="1716"/>
      <c r="CI113" s="1716"/>
      <c r="CJ113" s="1716"/>
      <c r="CK113" s="1716"/>
      <c r="CL113" s="1716"/>
      <c r="CM113" s="1716"/>
      <c r="CN113" s="1716"/>
      <c r="CO113" s="1716"/>
      <c r="CP113" s="1716"/>
    </row>
    <row r="114" spans="1:94">
      <c r="A114" s="1716"/>
      <c r="B114" s="1716"/>
      <c r="C114" s="1716" t="s">
        <v>886</v>
      </c>
      <c r="D114" s="1716"/>
      <c r="E114" s="1717"/>
      <c r="F114" s="1718"/>
      <c r="G114" s="1718"/>
      <c r="H114" s="1719"/>
      <c r="I114" s="1716"/>
      <c r="J114" s="1717"/>
      <c r="K114" s="1718"/>
      <c r="L114" s="1718"/>
      <c r="M114" s="1719"/>
      <c r="N114" s="1716"/>
      <c r="O114" s="1717"/>
      <c r="P114" s="1718"/>
      <c r="Q114" s="1718"/>
      <c r="R114" s="1719"/>
      <c r="S114" s="1716"/>
      <c r="T114" s="1717"/>
      <c r="U114" s="1718"/>
      <c r="V114" s="1718"/>
      <c r="W114" s="1719"/>
      <c r="X114" s="1716"/>
      <c r="Y114" s="1717"/>
      <c r="Z114" s="1718"/>
      <c r="AA114" s="1718"/>
      <c r="AB114" s="1719"/>
      <c r="AC114" s="1716"/>
      <c r="AD114" s="1717"/>
      <c r="AE114" s="1718"/>
      <c r="AF114" s="1718"/>
      <c r="AG114" s="1719"/>
      <c r="AH114" s="1716"/>
      <c r="AI114" s="1717"/>
      <c r="AJ114" s="1718"/>
      <c r="AK114" s="1718"/>
      <c r="AL114" s="1719"/>
      <c r="AM114" s="1716"/>
      <c r="AN114" s="1717"/>
      <c r="AO114" s="1718"/>
      <c r="AP114" s="1718"/>
      <c r="AQ114" s="1719"/>
      <c r="AR114" s="1716"/>
      <c r="AS114" s="290">
        <f>+AW114/4</f>
        <v>50</v>
      </c>
      <c r="AT114" s="260">
        <f>(AW114-SUM(AS114:AS114))/3</f>
        <v>50</v>
      </c>
      <c r="AU114" s="260">
        <f>(AW114-SUM(AS114:AT114))/2</f>
        <v>50</v>
      </c>
      <c r="AV114" s="291">
        <f>(AW114-SUM(AS114:AU114))/1</f>
        <v>50</v>
      </c>
      <c r="AW114" s="1770">
        <v>200</v>
      </c>
      <c r="AX114" s="290">
        <f>+BB114/4</f>
        <v>50</v>
      </c>
      <c r="AY114" s="260">
        <f>(BB114-SUM(AX114:AX114))/3</f>
        <v>50</v>
      </c>
      <c r="AZ114" s="260">
        <f>(BB114-SUM(AX114:AY114))/2</f>
        <v>50</v>
      </c>
      <c r="BA114" s="291">
        <f>(BB114-SUM(AX114:AZ114))/1</f>
        <v>50</v>
      </c>
      <c r="BB114" s="1770">
        <v>200</v>
      </c>
      <c r="BC114" s="290">
        <f>+BG114/4</f>
        <v>50</v>
      </c>
      <c r="BD114" s="260">
        <f>(BG114-SUM(BC114:BC114))/3</f>
        <v>50</v>
      </c>
      <c r="BE114" s="260">
        <f>(BG114-SUM(BC114:BD114))/2</f>
        <v>50</v>
      </c>
      <c r="BF114" s="291">
        <f>(BG114-SUM(BC114:BE114))/1</f>
        <v>50</v>
      </c>
      <c r="BG114" s="2057">
        <v>200</v>
      </c>
      <c r="BH114" s="290">
        <f>+BL114/4</f>
        <v>37.5</v>
      </c>
      <c r="BI114" s="260">
        <f>(BL114-SUM(BH114:BH114))/3</f>
        <v>37.5</v>
      </c>
      <c r="BJ114" s="260">
        <f>(BL114-SUM(BH114:BI114))/2</f>
        <v>37.5</v>
      </c>
      <c r="BK114" s="291">
        <f>(BL114-SUM(BH114:BJ114))/1</f>
        <v>37.5</v>
      </c>
      <c r="BL114" s="2031">
        <v>150</v>
      </c>
      <c r="BM114" s="1770"/>
      <c r="BN114" s="1716"/>
      <c r="BO114" s="1716"/>
      <c r="BP114" s="1716"/>
      <c r="BQ114" s="1716"/>
      <c r="BR114" s="1716"/>
      <c r="BS114" s="1716"/>
      <c r="BT114" s="1716"/>
      <c r="BU114" s="1716"/>
      <c r="BV114" s="1716"/>
      <c r="BW114" s="1716"/>
      <c r="BX114" s="1716"/>
      <c r="BY114" s="1716"/>
      <c r="BZ114" s="1716"/>
      <c r="CA114" s="1716"/>
      <c r="CB114" s="1716"/>
      <c r="CC114" s="1716"/>
      <c r="CD114" s="1716"/>
      <c r="CE114" s="1716"/>
      <c r="CF114" s="1716"/>
      <c r="CG114" s="1716"/>
      <c r="CH114" s="1716"/>
      <c r="CI114" s="1716"/>
      <c r="CJ114" s="1716"/>
      <c r="CK114" s="1716"/>
      <c r="CL114" s="1716"/>
      <c r="CM114" s="1716"/>
      <c r="CN114" s="1716"/>
      <c r="CO114" s="1716"/>
      <c r="CP114" s="1716"/>
    </row>
    <row r="115" spans="1:94">
      <c r="A115" s="1716"/>
      <c r="B115" s="1716"/>
      <c r="C115" s="1716" t="s">
        <v>736</v>
      </c>
      <c r="D115" s="1716"/>
      <c r="E115" s="1717"/>
      <c r="F115" s="1718"/>
      <c r="G115" s="1718"/>
      <c r="H115" s="1719"/>
      <c r="I115" s="1716"/>
      <c r="J115" s="1717"/>
      <c r="K115" s="1718"/>
      <c r="L115" s="1718"/>
      <c r="M115" s="1719"/>
      <c r="N115" s="1716"/>
      <c r="O115" s="1717"/>
      <c r="P115" s="1718"/>
      <c r="Q115" s="1718"/>
      <c r="R115" s="1719"/>
      <c r="S115" s="1716"/>
      <c r="T115" s="1717"/>
      <c r="U115" s="1718"/>
      <c r="V115" s="1718"/>
      <c r="W115" s="1719"/>
      <c r="X115" s="1716"/>
      <c r="Y115" s="1717"/>
      <c r="Z115" s="1718"/>
      <c r="AA115" s="1718"/>
      <c r="AB115" s="1719"/>
      <c r="AC115" s="1716"/>
      <c r="AD115" s="1717"/>
      <c r="AE115" s="1718"/>
      <c r="AF115" s="1718"/>
      <c r="AG115" s="1719"/>
      <c r="AH115" s="1716"/>
      <c r="AI115" s="1717"/>
      <c r="AJ115" s="1718"/>
      <c r="AK115" s="1718"/>
      <c r="AL115" s="1719"/>
      <c r="AM115" s="1716"/>
      <c r="AN115" s="1717"/>
      <c r="AO115" s="1718"/>
      <c r="AP115" s="1718"/>
      <c r="AQ115" s="1719"/>
      <c r="AR115" s="1716"/>
      <c r="AS115" s="290">
        <f>+AW115/4</f>
        <v>43.75</v>
      </c>
      <c r="AT115" s="260">
        <f>(AW115-SUM(AS115:AS115))/3</f>
        <v>43.75</v>
      </c>
      <c r="AU115" s="260">
        <f>(AW115-SUM(AS115:AT115))/2</f>
        <v>43.75</v>
      </c>
      <c r="AV115" s="291">
        <f>(AW115-SUM(AS115:AU115))/1</f>
        <v>43.75</v>
      </c>
      <c r="AW115" s="1770">
        <v>175</v>
      </c>
      <c r="AX115" s="290">
        <f>+BB115/4</f>
        <v>31.25</v>
      </c>
      <c r="AY115" s="260">
        <f>(BB115-SUM(AX115:AX115))/3</f>
        <v>31.25</v>
      </c>
      <c r="AZ115" s="260">
        <f>(BB115-SUM(AX115:AY115))/2</f>
        <v>31.25</v>
      </c>
      <c r="BA115" s="291">
        <f>(BB115-SUM(AX115:AZ115))/1</f>
        <v>31.25</v>
      </c>
      <c r="BB115" s="1770">
        <v>125</v>
      </c>
      <c r="BC115" s="290">
        <f>+BG115/4</f>
        <v>31.25</v>
      </c>
      <c r="BD115" s="260">
        <f>(BG115-SUM(BC115:BC115))/3</f>
        <v>31.25</v>
      </c>
      <c r="BE115" s="260">
        <f>(BG115-SUM(BC115:BD115))/2</f>
        <v>31.25</v>
      </c>
      <c r="BF115" s="291">
        <f>(BG115-SUM(BC115:BE115))/1</f>
        <v>31.25</v>
      </c>
      <c r="BG115" s="2057">
        <v>125</v>
      </c>
      <c r="BH115" s="290">
        <f>+BL115/4</f>
        <v>18.75</v>
      </c>
      <c r="BI115" s="260">
        <f>(BL115-SUM(BH115:BH115))/3</f>
        <v>18.75</v>
      </c>
      <c r="BJ115" s="260">
        <f>(BL115-SUM(BH115:BI115))/2</f>
        <v>18.75</v>
      </c>
      <c r="BK115" s="291">
        <f>(BL115-SUM(BH115:BJ115))/1</f>
        <v>18.75</v>
      </c>
      <c r="BL115" s="2031">
        <v>75</v>
      </c>
      <c r="BM115" s="1770"/>
      <c r="BN115" s="1716"/>
      <c r="BO115" s="1716"/>
      <c r="BP115" s="1716"/>
      <c r="BQ115" s="1716"/>
      <c r="BR115" s="1716"/>
      <c r="BS115" s="1716"/>
      <c r="BT115" s="1716"/>
      <c r="BU115" s="1716"/>
      <c r="BV115" s="1716"/>
      <c r="BW115" s="1716"/>
      <c r="BX115" s="1716"/>
      <c r="BY115" s="1716"/>
      <c r="BZ115" s="1716"/>
      <c r="CA115" s="1716"/>
      <c r="CB115" s="1716"/>
      <c r="CC115" s="1716"/>
      <c r="CD115" s="1716"/>
      <c r="CE115" s="1716"/>
      <c r="CF115" s="1716"/>
      <c r="CG115" s="1716"/>
      <c r="CH115" s="1716"/>
      <c r="CI115" s="1716"/>
      <c r="CJ115" s="1716"/>
      <c r="CK115" s="1716"/>
      <c r="CL115" s="1716"/>
      <c r="CM115" s="1716"/>
      <c r="CN115" s="1716"/>
      <c r="CO115" s="1716"/>
      <c r="CP115" s="1716"/>
    </row>
    <row r="116" spans="1:94">
      <c r="A116" s="1716"/>
      <c r="B116" s="1716"/>
      <c r="C116" s="1716" t="s">
        <v>62</v>
      </c>
      <c r="D116" s="1716"/>
      <c r="E116" s="1717"/>
      <c r="F116" s="1718"/>
      <c r="G116" s="1718"/>
      <c r="H116" s="1719"/>
      <c r="I116" s="1716"/>
      <c r="J116" s="1717"/>
      <c r="K116" s="1718"/>
      <c r="L116" s="1718"/>
      <c r="M116" s="1719"/>
      <c r="N116" s="1716"/>
      <c r="O116" s="1717"/>
      <c r="P116" s="1718"/>
      <c r="Q116" s="1718"/>
      <c r="R116" s="1719"/>
      <c r="S116" s="1716"/>
      <c r="T116" s="1717"/>
      <c r="U116" s="1718"/>
      <c r="V116" s="1718"/>
      <c r="W116" s="1719"/>
      <c r="X116" s="1716"/>
      <c r="Y116" s="1717"/>
      <c r="Z116" s="1718"/>
      <c r="AA116" s="1718"/>
      <c r="AB116" s="1719"/>
      <c r="AC116" s="1716"/>
      <c r="AD116" s="1717"/>
      <c r="AE116" s="1718"/>
      <c r="AF116" s="1718"/>
      <c r="AG116" s="1719"/>
      <c r="AH116" s="1716"/>
      <c r="AI116" s="1717"/>
      <c r="AJ116" s="1718"/>
      <c r="AK116" s="1718"/>
      <c r="AL116" s="1719"/>
      <c r="AM116" s="1716"/>
      <c r="AN116" s="1717"/>
      <c r="AO116" s="1718"/>
      <c r="AP116" s="1718"/>
      <c r="AQ116" s="1719"/>
      <c r="AR116" s="1716"/>
      <c r="AS116" s="290">
        <f>+AW116/4</f>
        <v>0</v>
      </c>
      <c r="AT116" s="260">
        <f>(AW116-SUM(AS116:AS116))/3</f>
        <v>0</v>
      </c>
      <c r="AU116" s="260">
        <f>(AW116-SUM(AS116:AT116))/2</f>
        <v>0</v>
      </c>
      <c r="AV116" s="291">
        <f>(AW116-SUM(AS116:AU116))/1</f>
        <v>0</v>
      </c>
      <c r="AW116" s="1770">
        <v>0</v>
      </c>
      <c r="AX116" s="290">
        <f>+BB116/4</f>
        <v>0</v>
      </c>
      <c r="AY116" s="260">
        <f>(BB116-SUM(AX116:AX116))/3</f>
        <v>0</v>
      </c>
      <c r="AZ116" s="260">
        <f>(BB116-SUM(AX116:AY116))/2</f>
        <v>0</v>
      </c>
      <c r="BA116" s="291">
        <f>(BB116-SUM(AX116:AZ116))/1</f>
        <v>0</v>
      </c>
      <c r="BB116" s="1770">
        <v>0</v>
      </c>
      <c r="BC116" s="290">
        <f>+BG116/4</f>
        <v>0</v>
      </c>
      <c r="BD116" s="260">
        <f>(BG116-SUM(BC116:BC116))/3</f>
        <v>0</v>
      </c>
      <c r="BE116" s="260">
        <f>(BG116-SUM(BC116:BD116))/2</f>
        <v>0</v>
      </c>
      <c r="BF116" s="291">
        <f>(BG116-SUM(BC116:BE116))/1</f>
        <v>0</v>
      </c>
      <c r="BG116" s="2057">
        <v>0</v>
      </c>
      <c r="BH116" s="290">
        <f>+BL116/4</f>
        <v>0</v>
      </c>
      <c r="BI116" s="260">
        <f>(BL116-SUM(BH116:BH116))/3</f>
        <v>0</v>
      </c>
      <c r="BJ116" s="260">
        <f>(BL116-SUM(BH116:BI116))/2</f>
        <v>0</v>
      </c>
      <c r="BK116" s="291">
        <f>(BL116-SUM(BH116:BJ116))/1</f>
        <v>0</v>
      </c>
      <c r="BL116" s="2031">
        <f t="shared" ref="BL116" si="270">+BG116</f>
        <v>0</v>
      </c>
      <c r="BM116" s="2057"/>
      <c r="BN116" s="1716"/>
      <c r="BO116" s="1716"/>
      <c r="BP116" s="1716"/>
      <c r="BQ116" s="1716"/>
      <c r="BR116" s="1716"/>
      <c r="BS116" s="1716"/>
      <c r="BT116" s="1716"/>
      <c r="BU116" s="1716"/>
      <c r="BV116" s="1716"/>
      <c r="BW116" s="1716"/>
      <c r="BX116" s="1716"/>
      <c r="BY116" s="1716"/>
      <c r="BZ116" s="1716"/>
      <c r="CA116" s="1716"/>
      <c r="CB116" s="1716"/>
      <c r="CC116" s="1716"/>
      <c r="CD116" s="1716"/>
      <c r="CE116" s="1716"/>
      <c r="CF116" s="1716"/>
      <c r="CG116" s="1716"/>
      <c r="CH116" s="1716"/>
      <c r="CI116" s="1716"/>
      <c r="CJ116" s="1716"/>
      <c r="CK116" s="1716"/>
      <c r="CL116" s="1716"/>
      <c r="CM116" s="1716"/>
      <c r="CN116" s="1716"/>
      <c r="CO116" s="1716"/>
      <c r="CP116" s="1716"/>
    </row>
    <row r="117" spans="1:94">
      <c r="A117" s="228"/>
      <c r="B117" s="228"/>
      <c r="C117" s="1756" t="s">
        <v>147</v>
      </c>
      <c r="D117" s="228"/>
      <c r="E117" s="580"/>
      <c r="F117" s="581"/>
      <c r="G117" s="581"/>
      <c r="H117" s="582"/>
      <c r="I117" s="583">
        <f t="shared" ref="I117:X117" si="271">-I150</f>
        <v>156</v>
      </c>
      <c r="J117" s="580">
        <f t="shared" si="271"/>
        <v>22</v>
      </c>
      <c r="K117" s="581">
        <f t="shared" si="271"/>
        <v>38</v>
      </c>
      <c r="L117" s="581">
        <f t="shared" si="271"/>
        <v>36</v>
      </c>
      <c r="M117" s="582">
        <f t="shared" si="271"/>
        <v>42</v>
      </c>
      <c r="N117" s="583">
        <f t="shared" si="271"/>
        <v>138</v>
      </c>
      <c r="O117" s="580">
        <f t="shared" si="271"/>
        <v>53</v>
      </c>
      <c r="P117" s="581">
        <f t="shared" si="271"/>
        <v>61</v>
      </c>
      <c r="Q117" s="581">
        <f t="shared" si="271"/>
        <v>72</v>
      </c>
      <c r="R117" s="582">
        <f t="shared" si="271"/>
        <v>70</v>
      </c>
      <c r="S117" s="583">
        <f t="shared" si="271"/>
        <v>256</v>
      </c>
      <c r="T117" s="580">
        <f t="shared" si="271"/>
        <v>74</v>
      </c>
      <c r="U117" s="581">
        <f t="shared" si="271"/>
        <v>67</v>
      </c>
      <c r="V117" s="581">
        <f t="shared" si="271"/>
        <v>63</v>
      </c>
      <c r="W117" s="582">
        <f t="shared" si="271"/>
        <v>57</v>
      </c>
      <c r="X117" s="583">
        <f t="shared" si="271"/>
        <v>261</v>
      </c>
      <c r="Y117" s="580">
        <f t="shared" ref="Y117:AC117" si="272">-Y150</f>
        <v>53</v>
      </c>
      <c r="Z117" s="581">
        <f t="shared" si="272"/>
        <v>51</v>
      </c>
      <c r="AA117" s="581">
        <f t="shared" si="272"/>
        <v>54</v>
      </c>
      <c r="AB117" s="582">
        <f t="shared" si="272"/>
        <v>67</v>
      </c>
      <c r="AC117" s="583">
        <f t="shared" si="272"/>
        <v>225</v>
      </c>
      <c r="AD117" s="580">
        <f t="shared" ref="AD117:AM117" si="273">-AD150</f>
        <v>54</v>
      </c>
      <c r="AE117" s="581">
        <f t="shared" si="273"/>
        <v>84</v>
      </c>
      <c r="AF117" s="581">
        <f t="shared" si="273"/>
        <v>74</v>
      </c>
      <c r="AG117" s="582">
        <f t="shared" si="273"/>
        <v>88</v>
      </c>
      <c r="AH117" s="583">
        <f t="shared" si="273"/>
        <v>300</v>
      </c>
      <c r="AI117" s="580">
        <f t="shared" si="273"/>
        <v>101</v>
      </c>
      <c r="AJ117" s="581">
        <f t="shared" si="273"/>
        <v>63</v>
      </c>
      <c r="AK117" s="581">
        <f t="shared" si="273"/>
        <v>63</v>
      </c>
      <c r="AL117" s="582">
        <f t="shared" si="273"/>
        <v>84</v>
      </c>
      <c r="AM117" s="583">
        <f t="shared" si="273"/>
        <v>311</v>
      </c>
      <c r="AN117" s="580">
        <f t="shared" ref="AN117:AR117" si="274">-AN150</f>
        <v>88</v>
      </c>
      <c r="AO117" s="581">
        <f t="shared" si="274"/>
        <v>87</v>
      </c>
      <c r="AP117" s="581">
        <f t="shared" si="274"/>
        <v>67</v>
      </c>
      <c r="AQ117" s="2319">
        <f t="shared" si="274"/>
        <v>70</v>
      </c>
      <c r="AR117" s="583">
        <f t="shared" si="274"/>
        <v>312</v>
      </c>
      <c r="AS117" s="292">
        <f t="shared" ref="AS117:AV117" si="275">SUM(AS114:AS116)</f>
        <v>93.75</v>
      </c>
      <c r="AT117" s="261">
        <f t="shared" si="275"/>
        <v>93.75</v>
      </c>
      <c r="AU117" s="261">
        <f t="shared" si="275"/>
        <v>93.75</v>
      </c>
      <c r="AV117" s="293">
        <f t="shared" si="275"/>
        <v>93.75</v>
      </c>
      <c r="AW117" s="228">
        <f>SUM(AW114:AW116)</f>
        <v>375</v>
      </c>
      <c r="AX117" s="292">
        <f t="shared" ref="AX117:BF117" si="276">SUM(AX114:AX116)</f>
        <v>81.25</v>
      </c>
      <c r="AY117" s="261">
        <f t="shared" si="276"/>
        <v>81.25</v>
      </c>
      <c r="AZ117" s="261">
        <f t="shared" si="276"/>
        <v>81.25</v>
      </c>
      <c r="BA117" s="293">
        <f t="shared" si="276"/>
        <v>81.25</v>
      </c>
      <c r="BB117" s="228">
        <f>SUM(BB114:BB116)</f>
        <v>325</v>
      </c>
      <c r="BC117" s="292">
        <f t="shared" si="276"/>
        <v>81.25</v>
      </c>
      <c r="BD117" s="261">
        <f t="shared" si="276"/>
        <v>81.25</v>
      </c>
      <c r="BE117" s="261">
        <f t="shared" si="276"/>
        <v>81.25</v>
      </c>
      <c r="BF117" s="293">
        <f t="shared" si="276"/>
        <v>81.25</v>
      </c>
      <c r="BG117" s="228">
        <f>SUM(BG114:BG116)</f>
        <v>325</v>
      </c>
      <c r="BH117" s="292">
        <f t="shared" ref="BH117:BK117" si="277">SUM(BH114:BH116)</f>
        <v>56.25</v>
      </c>
      <c r="BI117" s="261">
        <f t="shared" si="277"/>
        <v>56.25</v>
      </c>
      <c r="BJ117" s="261">
        <f t="shared" si="277"/>
        <v>56.25</v>
      </c>
      <c r="BK117" s="293">
        <f t="shared" si="277"/>
        <v>56.25</v>
      </c>
      <c r="BL117" s="228">
        <f>SUM(BL114:BL116)</f>
        <v>225</v>
      </c>
      <c r="BM117" s="2057"/>
      <c r="BN117" s="228"/>
      <c r="BO117" s="228"/>
      <c r="BP117" s="228"/>
      <c r="BQ117" s="228"/>
      <c r="BR117" s="228"/>
      <c r="BS117" s="228"/>
      <c r="BT117" s="228"/>
      <c r="BU117" s="228"/>
      <c r="BV117" s="228"/>
      <c r="BW117" s="228"/>
      <c r="BX117" s="228"/>
      <c r="BY117" s="228"/>
      <c r="BZ117" s="228"/>
      <c r="CA117" s="228"/>
      <c r="CB117" s="228"/>
      <c r="CC117" s="228"/>
      <c r="CD117" s="228"/>
      <c r="CE117" s="228"/>
      <c r="CF117" s="228"/>
      <c r="CG117" s="228"/>
      <c r="CH117" s="228"/>
      <c r="CI117" s="228"/>
      <c r="CJ117" s="228"/>
      <c r="CK117" s="228"/>
      <c r="CL117" s="228"/>
      <c r="CM117" s="228"/>
      <c r="CN117" s="228"/>
      <c r="CO117" s="228"/>
      <c r="CP117" s="228"/>
    </row>
    <row r="118" spans="1:94">
      <c r="A118" s="228"/>
      <c r="B118" s="228"/>
      <c r="C118" s="1756"/>
      <c r="D118" s="228"/>
      <c r="E118" s="580"/>
      <c r="F118" s="581"/>
      <c r="G118" s="581"/>
      <c r="H118" s="582"/>
      <c r="I118" s="583"/>
      <c r="J118" s="580"/>
      <c r="K118" s="581"/>
      <c r="L118" s="581"/>
      <c r="M118" s="582"/>
      <c r="N118" s="583"/>
      <c r="O118" s="580"/>
      <c r="P118" s="581"/>
      <c r="Q118" s="581"/>
      <c r="R118" s="582"/>
      <c r="S118" s="583"/>
      <c r="T118" s="580"/>
      <c r="U118" s="581"/>
      <c r="V118" s="581"/>
      <c r="W118" s="582"/>
      <c r="X118" s="583"/>
      <c r="Y118" s="292"/>
      <c r="Z118" s="261"/>
      <c r="AA118" s="261"/>
      <c r="AB118" s="293"/>
      <c r="AC118" s="228"/>
      <c r="AD118" s="292"/>
      <c r="AE118" s="261"/>
      <c r="AF118" s="261"/>
      <c r="AG118" s="293"/>
      <c r="AH118" s="228"/>
      <c r="AI118" s="292"/>
      <c r="AJ118" s="261"/>
      <c r="AK118" s="261"/>
      <c r="AL118" s="293"/>
      <c r="AM118" s="228"/>
      <c r="AN118" s="292"/>
      <c r="AO118" s="261"/>
      <c r="AP118" s="261"/>
      <c r="AQ118" s="293"/>
      <c r="AR118" s="228"/>
      <c r="AS118" s="292"/>
      <c r="AT118" s="261"/>
      <c r="AU118" s="261"/>
      <c r="AV118" s="293"/>
      <c r="AW118" s="228"/>
      <c r="AX118" s="292"/>
      <c r="AY118" s="261"/>
      <c r="AZ118" s="261"/>
      <c r="BA118" s="293"/>
      <c r="BB118" s="228"/>
      <c r="BC118" s="292"/>
      <c r="BD118" s="261"/>
      <c r="BE118" s="261"/>
      <c r="BF118" s="293"/>
      <c r="BG118" s="228"/>
      <c r="BH118" s="292"/>
      <c r="BI118" s="261"/>
      <c r="BJ118" s="261"/>
      <c r="BK118" s="293"/>
      <c r="BL118" s="228"/>
      <c r="BM118" s="1770"/>
      <c r="BN118" s="228"/>
      <c r="BO118" s="228"/>
      <c r="BP118" s="228"/>
      <c r="BQ118" s="228"/>
      <c r="BR118" s="228"/>
      <c r="BS118" s="228"/>
      <c r="BT118" s="228"/>
      <c r="BU118" s="228"/>
      <c r="BV118" s="228"/>
      <c r="BW118" s="228"/>
      <c r="BX118" s="228"/>
      <c r="BY118" s="228"/>
      <c r="BZ118" s="228"/>
      <c r="CA118" s="228"/>
      <c r="CB118" s="228"/>
      <c r="CC118" s="228"/>
      <c r="CD118" s="228"/>
      <c r="CE118" s="228"/>
      <c r="CF118" s="228"/>
      <c r="CG118" s="228"/>
      <c r="CH118" s="228"/>
      <c r="CI118" s="228"/>
      <c r="CJ118" s="228"/>
      <c r="CK118" s="228"/>
      <c r="CL118" s="228"/>
      <c r="CM118" s="228"/>
      <c r="CN118" s="228"/>
      <c r="CO118" s="228"/>
      <c r="CP118" s="228"/>
    </row>
    <row r="119" spans="1:94">
      <c r="A119" s="228"/>
      <c r="B119" s="1771" t="s">
        <v>625</v>
      </c>
      <c r="C119" s="1772"/>
      <c r="D119" s="1773"/>
      <c r="E119" s="1717"/>
      <c r="F119" s="1718"/>
      <c r="G119" s="1718"/>
      <c r="H119" s="1719"/>
      <c r="I119" s="1716"/>
      <c r="J119" s="1717"/>
      <c r="K119" s="1718"/>
      <c r="L119" s="1718"/>
      <c r="M119" s="1719"/>
      <c r="N119" s="1716"/>
      <c r="O119" s="1717"/>
      <c r="P119" s="1718"/>
      <c r="Q119" s="1718"/>
      <c r="R119" s="1719"/>
      <c r="S119" s="1716"/>
      <c r="T119" s="1717"/>
      <c r="U119" s="1718"/>
      <c r="V119" s="1718"/>
      <c r="W119" s="1719"/>
      <c r="X119" s="1716"/>
      <c r="Y119" s="1717"/>
      <c r="Z119" s="1718"/>
      <c r="AA119" s="1718"/>
      <c r="AB119" s="1719"/>
      <c r="AC119" s="1716"/>
      <c r="AD119" s="1717"/>
      <c r="AE119" s="1718"/>
      <c r="AF119" s="1718"/>
      <c r="AG119" s="1719"/>
      <c r="AH119" s="1716"/>
      <c r="AI119" s="1717"/>
      <c r="AJ119" s="1718"/>
      <c r="AK119" s="1718"/>
      <c r="AL119" s="1719"/>
      <c r="AM119" s="1716"/>
      <c r="AN119" s="1717"/>
      <c r="AO119" s="1718"/>
      <c r="AP119" s="1718"/>
      <c r="AQ119" s="1719"/>
      <c r="AR119" s="1716"/>
      <c r="AS119" s="1717"/>
      <c r="AT119" s="1718"/>
      <c r="AU119" s="1718"/>
      <c r="AV119" s="1719"/>
      <c r="AW119" s="1716"/>
      <c r="AX119" s="1717"/>
      <c r="AY119" s="1718"/>
      <c r="AZ119" s="1718"/>
      <c r="BA119" s="1719"/>
      <c r="BB119" s="1716"/>
      <c r="BC119" s="1717"/>
      <c r="BD119" s="1718"/>
      <c r="BE119" s="1718"/>
      <c r="BF119" s="1719"/>
      <c r="BG119" s="1716"/>
      <c r="BH119" s="1717"/>
      <c r="BI119" s="1718"/>
      <c r="BJ119" s="1718"/>
      <c r="BK119" s="1719"/>
      <c r="BL119" s="1716"/>
      <c r="BM119" s="1770"/>
      <c r="BN119" s="228"/>
      <c r="BO119" s="228"/>
      <c r="BP119" s="228"/>
      <c r="BQ119" s="228"/>
      <c r="BR119" s="228"/>
      <c r="BS119" s="228"/>
      <c r="BT119" s="228"/>
      <c r="BU119" s="228"/>
      <c r="BV119" s="228"/>
      <c r="BW119" s="228"/>
      <c r="BX119" s="228"/>
      <c r="BY119" s="228"/>
      <c r="BZ119" s="228"/>
      <c r="CA119" s="228"/>
      <c r="CB119" s="228"/>
      <c r="CC119" s="228"/>
      <c r="CD119" s="228"/>
      <c r="CE119" s="228"/>
      <c r="CF119" s="228"/>
      <c r="CG119" s="228"/>
      <c r="CH119" s="228"/>
      <c r="CI119" s="228"/>
      <c r="CJ119" s="228"/>
      <c r="CK119" s="228"/>
      <c r="CL119" s="228"/>
      <c r="CM119" s="228"/>
      <c r="CN119" s="228"/>
      <c r="CO119" s="228"/>
      <c r="CP119" s="228"/>
    </row>
    <row r="120" spans="1:94">
      <c r="A120" s="228"/>
      <c r="B120" s="45"/>
      <c r="C120" s="895" t="s">
        <v>620</v>
      </c>
      <c r="D120" s="45"/>
      <c r="E120" s="290"/>
      <c r="F120" s="260"/>
      <c r="G120" s="260"/>
      <c r="H120" s="291"/>
      <c r="I120" s="45">
        <f>I19</f>
        <v>1</v>
      </c>
      <c r="J120" s="290"/>
      <c r="K120" s="260"/>
      <c r="L120" s="260"/>
      <c r="M120" s="291"/>
      <c r="N120" s="45">
        <f>N19</f>
        <v>1</v>
      </c>
      <c r="O120" s="1814"/>
      <c r="P120" s="1815"/>
      <c r="Q120" s="1815"/>
      <c r="R120" s="1816"/>
      <c r="S120" s="45">
        <f>S19</f>
        <v>3</v>
      </c>
      <c r="T120" s="1814"/>
      <c r="U120" s="1815"/>
      <c r="V120" s="1815"/>
      <c r="W120" s="1816"/>
      <c r="X120" s="45">
        <f>X19</f>
        <v>1</v>
      </c>
      <c r="Y120" s="1814"/>
      <c r="Z120" s="1815"/>
      <c r="AA120" s="1815"/>
      <c r="AB120" s="1816"/>
      <c r="AC120" s="45">
        <f>AC19</f>
        <v>1</v>
      </c>
      <c r="AD120" s="1814"/>
      <c r="AE120" s="1815"/>
      <c r="AF120" s="1815"/>
      <c r="AG120" s="1816"/>
      <c r="AH120" s="45">
        <f>AH19</f>
        <v>1</v>
      </c>
      <c r="AI120" s="290">
        <f>AM120/4</f>
        <v>1.5</v>
      </c>
      <c r="AJ120" s="260">
        <f>AM120/4</f>
        <v>1.5</v>
      </c>
      <c r="AK120" s="260">
        <f>AM120/4</f>
        <v>1.5</v>
      </c>
      <c r="AL120" s="291">
        <f>AM120/4</f>
        <v>1.5</v>
      </c>
      <c r="AM120" s="45">
        <f>AM19</f>
        <v>6</v>
      </c>
      <c r="AN120" s="290">
        <f>AR120/4</f>
        <v>1.5</v>
      </c>
      <c r="AO120" s="260">
        <f>AR120/4</f>
        <v>1.5</v>
      </c>
      <c r="AP120" s="260">
        <f>AR120/4</f>
        <v>1.5</v>
      </c>
      <c r="AQ120" s="291">
        <f>AR120/4</f>
        <v>1.5</v>
      </c>
      <c r="AR120" s="45">
        <f>AR19</f>
        <v>6</v>
      </c>
      <c r="AS120" s="290">
        <f>AW120/4</f>
        <v>1.4846842896517163</v>
      </c>
      <c r="AT120" s="260">
        <f>AW120/4</f>
        <v>1.4846842896517163</v>
      </c>
      <c r="AU120" s="260">
        <f>AW120/4</f>
        <v>1.4846842896517163</v>
      </c>
      <c r="AV120" s="291">
        <f>AW120/4</f>
        <v>1.4846842896517163</v>
      </c>
      <c r="AW120" s="45">
        <f>+AW121*AVERAGE(AW104,AR104)</f>
        <v>5.9387371586068651</v>
      </c>
      <c r="AX120" s="290">
        <f>BB120/4</f>
        <v>1.512778752192433</v>
      </c>
      <c r="AY120" s="260">
        <f>BB120/4</f>
        <v>1.512778752192433</v>
      </c>
      <c r="AZ120" s="260">
        <f>BB120/4</f>
        <v>1.512778752192433</v>
      </c>
      <c r="BA120" s="291">
        <f>BB120/4</f>
        <v>1.512778752192433</v>
      </c>
      <c r="BB120" s="45">
        <f>+BB121*AVERAGE(BB104,AW104)</f>
        <v>6.0511150087697319</v>
      </c>
      <c r="BC120" s="290">
        <f>BG120/4</f>
        <v>1.4047231270358305</v>
      </c>
      <c r="BD120" s="260">
        <f>BG120/4</f>
        <v>1.4047231270358305</v>
      </c>
      <c r="BE120" s="260">
        <f>BG120/4</f>
        <v>1.4047231270358305</v>
      </c>
      <c r="BF120" s="291">
        <f>BG120/4</f>
        <v>1.4047231270358305</v>
      </c>
      <c r="BG120" s="45">
        <f>+BG121*AVERAGE(BG104,BB104)</f>
        <v>5.6188925081433219</v>
      </c>
      <c r="BH120" s="290">
        <f>BL120/4</f>
        <v>1.1886118767226259</v>
      </c>
      <c r="BI120" s="260">
        <f>BL120/4</f>
        <v>1.1886118767226259</v>
      </c>
      <c r="BJ120" s="260">
        <f>BL120/4</f>
        <v>1.1886118767226259</v>
      </c>
      <c r="BK120" s="291">
        <f>BL120/4</f>
        <v>1.1886118767226259</v>
      </c>
      <c r="BL120" s="45">
        <f>+BL121*AVERAGE(BL104,BG104)</f>
        <v>4.7544475068905037</v>
      </c>
      <c r="BM120" s="1770"/>
      <c r="BN120" s="228"/>
      <c r="BO120" s="228"/>
      <c r="BP120" s="228"/>
      <c r="BQ120" s="228"/>
      <c r="BR120" s="228"/>
      <c r="BS120" s="228"/>
      <c r="BT120" s="228"/>
      <c r="BU120" s="228"/>
      <c r="BV120" s="228"/>
      <c r="BW120" s="228"/>
      <c r="BX120" s="228"/>
      <c r="BY120" s="228"/>
      <c r="BZ120" s="228"/>
      <c r="CA120" s="228"/>
      <c r="CB120" s="228"/>
      <c r="CC120" s="228"/>
      <c r="CD120" s="228"/>
      <c r="CE120" s="228"/>
      <c r="CF120" s="228"/>
      <c r="CG120" s="228"/>
      <c r="CH120" s="228"/>
      <c r="CI120" s="228"/>
      <c r="CJ120" s="228"/>
      <c r="CK120" s="228"/>
      <c r="CL120" s="228"/>
      <c r="CM120" s="228"/>
      <c r="CN120" s="228"/>
      <c r="CO120" s="228"/>
      <c r="CP120" s="228"/>
    </row>
    <row r="121" spans="1:94">
      <c r="A121" s="228"/>
      <c r="B121" s="895"/>
      <c r="C121" s="895" t="s">
        <v>626</v>
      </c>
      <c r="D121" s="895"/>
      <c r="E121" s="1700"/>
      <c r="F121" s="1337"/>
      <c r="G121" s="1337"/>
      <c r="H121" s="1701"/>
      <c r="I121" s="1713">
        <f>+I120/AVERAGE(I104,I104)</f>
        <v>1.3888888888888888E-2</v>
      </c>
      <c r="J121" s="1700"/>
      <c r="K121" s="1337"/>
      <c r="L121" s="1337"/>
      <c r="M121" s="1701"/>
      <c r="N121" s="1713">
        <f>+N120/AVERAGE(N104,I104)</f>
        <v>1.2578616352201259E-2</v>
      </c>
      <c r="O121" s="1700"/>
      <c r="P121" s="1337"/>
      <c r="Q121" s="1337"/>
      <c r="R121" s="1701"/>
      <c r="S121" s="1713">
        <f>+S120/AVERAGE(S104,N104)</f>
        <v>2.7272727272727271E-2</v>
      </c>
      <c r="T121" s="1700"/>
      <c r="U121" s="1337"/>
      <c r="V121" s="1337"/>
      <c r="W121" s="1701"/>
      <c r="X121" s="1713">
        <f>+X120/AVERAGE(X104,S104)</f>
        <v>8.23045267489712E-3</v>
      </c>
      <c r="Y121" s="1700"/>
      <c r="Z121" s="1337"/>
      <c r="AA121" s="1337"/>
      <c r="AB121" s="1701"/>
      <c r="AC121" s="1713">
        <f>+AC120/AVERAGE(AC104,X104)</f>
        <v>8.8888888888888889E-3</v>
      </c>
      <c r="AD121" s="1700"/>
      <c r="AE121" s="1337"/>
      <c r="AF121" s="1337"/>
      <c r="AG121" s="1701"/>
      <c r="AH121" s="1713">
        <f>+AH120/AVERAGE(AH104,AC104)</f>
        <v>7.326007326007326E-3</v>
      </c>
      <c r="AI121" s="1700"/>
      <c r="AJ121" s="1337"/>
      <c r="AK121" s="1337"/>
      <c r="AL121" s="1701"/>
      <c r="AM121" s="1713">
        <f>+AM120/AVERAGE(AM104,AH104)</f>
        <v>3.669724770642202E-2</v>
      </c>
      <c r="AN121" s="1700"/>
      <c r="AO121" s="1337"/>
      <c r="AP121" s="1337"/>
      <c r="AQ121" s="1701"/>
      <c r="AR121" s="1713">
        <f>+AR120/AVERAGE(AR104,AM104)</f>
        <v>3.9087947882736153E-2</v>
      </c>
      <c r="AS121" s="1700"/>
      <c r="AT121" s="1337"/>
      <c r="AU121" s="1337"/>
      <c r="AV121" s="1701"/>
      <c r="AW121" s="1713">
        <f>+AR121</f>
        <v>3.9087947882736153E-2</v>
      </c>
      <c r="AX121" s="1700"/>
      <c r="AY121" s="1337"/>
      <c r="AZ121" s="1337"/>
      <c r="BA121" s="1701"/>
      <c r="BB121" s="1713">
        <f>+AW121</f>
        <v>3.9087947882736153E-2</v>
      </c>
      <c r="BC121" s="1700"/>
      <c r="BD121" s="1337"/>
      <c r="BE121" s="1337"/>
      <c r="BF121" s="1701"/>
      <c r="BG121" s="1713">
        <f>+BB121</f>
        <v>3.9087947882736153E-2</v>
      </c>
      <c r="BH121" s="1700"/>
      <c r="BI121" s="1337"/>
      <c r="BJ121" s="1337"/>
      <c r="BK121" s="1701"/>
      <c r="BL121" s="1713">
        <f>+BG121</f>
        <v>3.9087947882736153E-2</v>
      </c>
      <c r="BM121" s="1770"/>
      <c r="BN121" s="228"/>
      <c r="BO121" s="228"/>
      <c r="BP121" s="228"/>
      <c r="BQ121" s="228"/>
      <c r="BR121" s="228"/>
      <c r="BS121" s="228"/>
      <c r="BT121" s="228"/>
      <c r="BU121" s="228"/>
      <c r="BV121" s="228"/>
      <c r="BW121" s="228"/>
      <c r="BX121" s="228"/>
      <c r="BY121" s="228"/>
      <c r="BZ121" s="228"/>
      <c r="CA121" s="228"/>
      <c r="CB121" s="228"/>
      <c r="CC121" s="228"/>
      <c r="CD121" s="228"/>
      <c r="CE121" s="228"/>
      <c r="CF121" s="228"/>
      <c r="CG121" s="228"/>
      <c r="CH121" s="228"/>
      <c r="CI121" s="228"/>
      <c r="CJ121" s="228"/>
      <c r="CK121" s="228"/>
      <c r="CL121" s="228"/>
      <c r="CM121" s="228"/>
      <c r="CN121" s="228"/>
      <c r="CO121" s="228"/>
      <c r="CP121" s="228"/>
    </row>
    <row r="122" spans="1:94">
      <c r="A122" s="1716"/>
      <c r="B122" s="1716"/>
      <c r="C122" s="1716"/>
      <c r="D122" s="1716"/>
      <c r="E122" s="616"/>
      <c r="F122" s="617"/>
      <c r="G122" s="617"/>
      <c r="H122" s="656"/>
      <c r="I122" s="657"/>
      <c r="J122" s="1717"/>
      <c r="K122" s="1718"/>
      <c r="L122" s="1718"/>
      <c r="M122" s="1719"/>
      <c r="N122" s="1716"/>
      <c r="O122" s="1717"/>
      <c r="P122" s="1718"/>
      <c r="Q122" s="1718"/>
      <c r="R122" s="1719"/>
      <c r="S122" s="1716"/>
      <c r="T122" s="1717"/>
      <c r="U122" s="1718"/>
      <c r="V122" s="1718"/>
      <c r="W122" s="1719"/>
      <c r="X122" s="1716"/>
      <c r="Y122" s="1717"/>
      <c r="Z122" s="1718"/>
      <c r="AA122" s="1718"/>
      <c r="AB122" s="1719"/>
      <c r="AC122" s="1716"/>
      <c r="AD122" s="1717"/>
      <c r="AE122" s="1718"/>
      <c r="AF122" s="1718"/>
      <c r="AG122" s="1719"/>
      <c r="AH122" s="1716"/>
      <c r="AI122" s="1717"/>
      <c r="AJ122" s="1718"/>
      <c r="AK122" s="1718"/>
      <c r="AL122" s="1719"/>
      <c r="AM122" s="1716"/>
      <c r="AN122" s="1717"/>
      <c r="AO122" s="1718"/>
      <c r="AP122" s="1718"/>
      <c r="AQ122" s="1719"/>
      <c r="AR122" s="1716"/>
      <c r="AS122" s="1717"/>
      <c r="AT122" s="1718"/>
      <c r="AU122" s="1718"/>
      <c r="AV122" s="1719"/>
      <c r="AW122" s="1716"/>
      <c r="AX122" s="1717"/>
      <c r="AY122" s="1718"/>
      <c r="AZ122" s="1718"/>
      <c r="BA122" s="1719"/>
      <c r="BB122" s="1716"/>
      <c r="BC122" s="1717"/>
      <c r="BD122" s="1718"/>
      <c r="BE122" s="1718"/>
      <c r="BF122" s="1719"/>
      <c r="BG122" s="1716"/>
      <c r="BH122" s="1717"/>
      <c r="BI122" s="1718"/>
      <c r="BJ122" s="1718"/>
      <c r="BK122" s="1719"/>
      <c r="BL122" s="1716"/>
      <c r="BM122" s="1716"/>
      <c r="BN122" s="1716"/>
      <c r="BO122" s="1716"/>
      <c r="BP122" s="1716"/>
      <c r="BQ122" s="1716"/>
      <c r="BR122" s="1716"/>
      <c r="BS122" s="1716"/>
      <c r="BT122" s="1716"/>
      <c r="BU122" s="1716"/>
      <c r="BV122" s="1716"/>
      <c r="BW122" s="1716"/>
      <c r="BX122" s="1716"/>
      <c r="BY122" s="1716"/>
      <c r="BZ122" s="1716"/>
      <c r="CA122" s="1716"/>
      <c r="CB122" s="1716"/>
      <c r="CC122" s="1716"/>
      <c r="CD122" s="1716"/>
      <c r="CE122" s="1716"/>
      <c r="CF122" s="1716"/>
      <c r="CG122" s="1716"/>
      <c r="CH122" s="1716"/>
      <c r="CI122" s="1716"/>
      <c r="CJ122" s="1716"/>
      <c r="CK122" s="1716"/>
      <c r="CL122" s="1716"/>
      <c r="CM122" s="1716"/>
      <c r="CN122" s="1716"/>
      <c r="CO122" s="1716"/>
      <c r="CP122" s="1716"/>
    </row>
    <row r="123" spans="1:94">
      <c r="A123" s="1716"/>
      <c r="B123" s="1716"/>
      <c r="C123" s="1716"/>
      <c r="D123" s="1716"/>
      <c r="E123" s="1717"/>
      <c r="F123" s="1718"/>
      <c r="G123" s="1718"/>
      <c r="H123" s="1719"/>
      <c r="I123" s="1716"/>
      <c r="J123" s="1717"/>
      <c r="K123" s="1718"/>
      <c r="L123" s="1718"/>
      <c r="M123" s="1719"/>
      <c r="N123" s="1716"/>
      <c r="O123" s="1717"/>
      <c r="P123" s="1718"/>
      <c r="Q123" s="1718"/>
      <c r="R123" s="1719"/>
      <c r="S123" s="1716"/>
      <c r="T123" s="1717"/>
      <c r="U123" s="1718"/>
      <c r="V123" s="1718"/>
      <c r="W123" s="1719"/>
      <c r="X123" s="1716"/>
      <c r="Y123" s="1717"/>
      <c r="Z123" s="1718"/>
      <c r="AA123" s="1718"/>
      <c r="AB123" s="1719"/>
      <c r="AC123" s="1716"/>
      <c r="AD123" s="1717"/>
      <c r="AE123" s="1718"/>
      <c r="AF123" s="1718"/>
      <c r="AG123" s="1719"/>
      <c r="AH123" s="1716"/>
      <c r="AI123" s="1717"/>
      <c r="AJ123" s="1718"/>
      <c r="AK123" s="1718"/>
      <c r="AL123" s="1719"/>
      <c r="AM123" s="1716"/>
      <c r="AN123" s="1717"/>
      <c r="AO123" s="1718"/>
      <c r="AP123" s="1718"/>
      <c r="AQ123" s="1719"/>
      <c r="AR123" s="1716"/>
      <c r="AS123" s="1717"/>
      <c r="AT123" s="1718"/>
      <c r="AU123" s="1718"/>
      <c r="AV123" s="1719"/>
      <c r="AW123" s="1716"/>
      <c r="AX123" s="1717"/>
      <c r="AY123" s="1718"/>
      <c r="AZ123" s="1718"/>
      <c r="BA123" s="1719"/>
      <c r="BB123" s="1716"/>
      <c r="BC123" s="1717"/>
      <c r="BD123" s="1718"/>
      <c r="BE123" s="1718"/>
      <c r="BF123" s="1719"/>
      <c r="BG123" s="1716"/>
      <c r="BH123" s="1717"/>
      <c r="BI123" s="1718"/>
      <c r="BJ123" s="1718"/>
      <c r="BK123" s="1719"/>
      <c r="BL123" s="1716"/>
      <c r="BM123" s="1716"/>
      <c r="BN123" s="1716"/>
      <c r="BO123" s="1716"/>
      <c r="BP123" s="1716"/>
      <c r="BQ123" s="1716"/>
      <c r="BR123" s="1716"/>
      <c r="BS123" s="1716"/>
      <c r="BT123" s="1716"/>
      <c r="BU123" s="1716"/>
      <c r="BV123" s="1716"/>
      <c r="BW123" s="1716"/>
      <c r="BX123" s="1716"/>
      <c r="BY123" s="1716"/>
      <c r="BZ123" s="1716"/>
      <c r="CA123" s="1716"/>
      <c r="CB123" s="1716"/>
      <c r="CC123" s="1716"/>
      <c r="CD123" s="1716"/>
      <c r="CE123" s="1716"/>
      <c r="CF123" s="1716"/>
      <c r="CG123" s="1716"/>
      <c r="CH123" s="1716"/>
      <c r="CI123" s="1716"/>
      <c r="CJ123" s="1716"/>
      <c r="CK123" s="1716"/>
      <c r="CL123" s="1716"/>
      <c r="CM123" s="1716"/>
      <c r="CN123" s="1716"/>
      <c r="CO123" s="1716"/>
      <c r="CP123" s="1716"/>
    </row>
    <row r="124" spans="1:94">
      <c r="A124" s="1716"/>
      <c r="B124" s="1771" t="s">
        <v>275</v>
      </c>
      <c r="C124" s="1772"/>
      <c r="D124" s="1773"/>
      <c r="E124" s="1717"/>
      <c r="F124" s="1718"/>
      <c r="G124" s="1718"/>
      <c r="H124" s="1719"/>
      <c r="I124" s="1716"/>
      <c r="J124" s="1717"/>
      <c r="K124" s="1718"/>
      <c r="L124" s="1718"/>
      <c r="M124" s="1719"/>
      <c r="N124" s="1716"/>
      <c r="O124" s="1717"/>
      <c r="P124" s="1718"/>
      <c r="Q124" s="1718"/>
      <c r="R124" s="1719"/>
      <c r="S124" s="1716"/>
      <c r="T124" s="1717"/>
      <c r="U124" s="1718"/>
      <c r="V124" s="1718"/>
      <c r="W124" s="1719"/>
      <c r="X124" s="1716"/>
      <c r="Y124" s="1717"/>
      <c r="Z124" s="1718"/>
      <c r="AA124" s="1718"/>
      <c r="AB124" s="1719"/>
      <c r="AC124" s="1716"/>
      <c r="AD124" s="1717"/>
      <c r="AE124" s="1718"/>
      <c r="AF124" s="1718"/>
      <c r="AG124" s="1719"/>
      <c r="AH124" s="1716"/>
      <c r="AI124" s="1717"/>
      <c r="AJ124" s="1718"/>
      <c r="AK124" s="1718"/>
      <c r="AL124" s="1719"/>
      <c r="AM124" s="1716"/>
      <c r="AN124" s="1717"/>
      <c r="AO124" s="1718"/>
      <c r="AP124" s="1718"/>
      <c r="AQ124" s="1719"/>
      <c r="AR124" s="1716"/>
      <c r="AS124" s="1717"/>
      <c r="AT124" s="1718"/>
      <c r="AU124" s="1718"/>
      <c r="AV124" s="1719"/>
      <c r="AW124" s="1716"/>
      <c r="AX124" s="1717"/>
      <c r="AY124" s="1718"/>
      <c r="AZ124" s="1718"/>
      <c r="BA124" s="1719"/>
      <c r="BB124" s="1716"/>
      <c r="BC124" s="1717"/>
      <c r="BD124" s="1718"/>
      <c r="BE124" s="1718"/>
      <c r="BF124" s="1719"/>
      <c r="BG124" s="1716"/>
      <c r="BH124" s="1717"/>
      <c r="BI124" s="1718"/>
      <c r="BJ124" s="1718"/>
      <c r="BK124" s="1719"/>
      <c r="BL124" s="1716"/>
      <c r="BM124" s="1716"/>
      <c r="BN124" s="1716"/>
      <c r="BO124" s="1716"/>
      <c r="BP124" s="1716"/>
      <c r="BQ124" s="1716"/>
      <c r="BR124" s="1716"/>
      <c r="BS124" s="1716"/>
      <c r="BT124" s="1716"/>
      <c r="BU124" s="1716"/>
      <c r="BV124" s="1716"/>
      <c r="BW124" s="1716"/>
      <c r="BX124" s="1716"/>
      <c r="BY124" s="1716"/>
      <c r="BZ124" s="1716"/>
      <c r="CA124" s="1716"/>
      <c r="CB124" s="1716"/>
      <c r="CC124" s="1716"/>
      <c r="CD124" s="1716"/>
      <c r="CE124" s="1716"/>
      <c r="CF124" s="1716"/>
      <c r="CG124" s="1716"/>
      <c r="CH124" s="1716"/>
      <c r="CI124" s="1716"/>
      <c r="CJ124" s="1716"/>
      <c r="CK124" s="1716"/>
      <c r="CL124" s="1716"/>
      <c r="CM124" s="1716"/>
      <c r="CN124" s="1716"/>
      <c r="CO124" s="1716"/>
      <c r="CP124" s="1716"/>
    </row>
    <row r="125" spans="1:94">
      <c r="A125" s="1716"/>
      <c r="B125" s="1716"/>
      <c r="C125" s="389" t="s">
        <v>236</v>
      </c>
      <c r="D125" s="1716"/>
      <c r="E125" s="1717"/>
      <c r="F125" s="1718"/>
      <c r="G125" s="1718"/>
      <c r="H125" s="1719"/>
      <c r="I125" s="1716"/>
      <c r="J125" s="1717"/>
      <c r="K125" s="1718"/>
      <c r="L125" s="1718"/>
      <c r="M125" s="1719"/>
      <c r="N125" s="1716"/>
      <c r="O125" s="1717"/>
      <c r="P125" s="1718"/>
      <c r="Q125" s="1718"/>
      <c r="R125" s="1719"/>
      <c r="S125" s="1716"/>
      <c r="T125" s="1717"/>
      <c r="U125" s="1718"/>
      <c r="V125" s="1718"/>
      <c r="W125" s="1719"/>
      <c r="X125" s="1716"/>
      <c r="Y125" s="1717"/>
      <c r="Z125" s="1718"/>
      <c r="AA125" s="1718"/>
      <c r="AB125" s="1719"/>
      <c r="AC125" s="1716"/>
      <c r="AD125" s="1717"/>
      <c r="AE125" s="1718"/>
      <c r="AF125" s="1718"/>
      <c r="AG125" s="1719"/>
      <c r="AH125" s="1716"/>
      <c r="AI125" s="1717"/>
      <c r="AJ125" s="1718"/>
      <c r="AK125" s="1718"/>
      <c r="AL125" s="1719"/>
      <c r="AM125" s="1716"/>
      <c r="AN125" s="1717"/>
      <c r="AO125" s="1718"/>
      <c r="AP125" s="1718"/>
      <c r="AQ125" s="1719"/>
      <c r="AR125" s="1716"/>
      <c r="AS125" s="1717"/>
      <c r="AT125" s="1718"/>
      <c r="AU125" s="1718"/>
      <c r="AV125" s="1719"/>
      <c r="AW125" s="1716"/>
      <c r="AX125" s="1717"/>
      <c r="AY125" s="1718"/>
      <c r="AZ125" s="1718"/>
      <c r="BA125" s="1719"/>
      <c r="BB125" s="1716"/>
      <c r="BC125" s="1717"/>
      <c r="BD125" s="1718"/>
      <c r="BE125" s="1718"/>
      <c r="BF125" s="1719"/>
      <c r="BG125" s="1716"/>
      <c r="BH125" s="1717"/>
      <c r="BI125" s="1718"/>
      <c r="BJ125" s="1718"/>
      <c r="BK125" s="1719"/>
      <c r="BL125" s="1716"/>
      <c r="BM125" s="1716"/>
      <c r="BN125" s="1716"/>
      <c r="BO125" s="1716"/>
      <c r="BP125" s="1716"/>
      <c r="BQ125" s="1716"/>
      <c r="BR125" s="1716"/>
      <c r="BS125" s="1716"/>
      <c r="BT125" s="1716"/>
      <c r="BU125" s="1716"/>
      <c r="BV125" s="1716"/>
      <c r="BW125" s="1716"/>
      <c r="BX125" s="1716"/>
      <c r="BY125" s="1716"/>
      <c r="BZ125" s="1716"/>
      <c r="CA125" s="1716"/>
      <c r="CB125" s="1716"/>
      <c r="CC125" s="1716"/>
      <c r="CD125" s="1716"/>
      <c r="CE125" s="1716"/>
      <c r="CF125" s="1716"/>
      <c r="CG125" s="1716"/>
      <c r="CH125" s="1716"/>
      <c r="CI125" s="1716"/>
      <c r="CJ125" s="1716"/>
      <c r="CK125" s="1716"/>
      <c r="CL125" s="1716"/>
      <c r="CM125" s="1716"/>
      <c r="CN125" s="1716"/>
      <c r="CO125" s="1716"/>
      <c r="CP125" s="1716"/>
    </row>
    <row r="126" spans="1:94">
      <c r="A126" s="45"/>
      <c r="B126" s="45"/>
      <c r="C126" s="391" t="s">
        <v>234</v>
      </c>
      <c r="D126" s="45"/>
      <c r="E126" s="290"/>
      <c r="F126" s="260"/>
      <c r="G126" s="260"/>
      <c r="H126" s="291"/>
      <c r="I126" s="45">
        <f t="shared" ref="I126:X126" si="278">+I155</f>
        <v>23</v>
      </c>
      <c r="J126" s="290">
        <f t="shared" si="278"/>
        <v>0</v>
      </c>
      <c r="K126" s="260">
        <f t="shared" si="278"/>
        <v>200</v>
      </c>
      <c r="L126" s="260">
        <f t="shared" si="278"/>
        <v>0</v>
      </c>
      <c r="M126" s="291">
        <f t="shared" si="278"/>
        <v>0</v>
      </c>
      <c r="N126" s="45">
        <f t="shared" si="278"/>
        <v>200</v>
      </c>
      <c r="O126" s="290">
        <f t="shared" si="278"/>
        <v>0</v>
      </c>
      <c r="P126" s="260">
        <f t="shared" si="278"/>
        <v>0</v>
      </c>
      <c r="Q126" s="260">
        <f t="shared" si="278"/>
        <v>0</v>
      </c>
      <c r="R126" s="291">
        <f t="shared" si="278"/>
        <v>0</v>
      </c>
      <c r="S126" s="45">
        <f t="shared" si="278"/>
        <v>0</v>
      </c>
      <c r="T126" s="290">
        <f t="shared" si="278"/>
        <v>0</v>
      </c>
      <c r="U126" s="260">
        <f t="shared" si="278"/>
        <v>100</v>
      </c>
      <c r="V126" s="260">
        <f t="shared" si="278"/>
        <v>0</v>
      </c>
      <c r="W126" s="291">
        <f t="shared" si="278"/>
        <v>0</v>
      </c>
      <c r="X126" s="45">
        <f t="shared" si="278"/>
        <v>100</v>
      </c>
      <c r="Y126" s="290">
        <f t="shared" ref="Y126:AC126" si="279">+Y155</f>
        <v>0</v>
      </c>
      <c r="Z126" s="260">
        <f t="shared" si="279"/>
        <v>0</v>
      </c>
      <c r="AA126" s="260">
        <f t="shared" si="279"/>
        <v>150</v>
      </c>
      <c r="AB126" s="291">
        <f t="shared" si="279"/>
        <v>0</v>
      </c>
      <c r="AC126" s="45">
        <f t="shared" si="279"/>
        <v>150</v>
      </c>
      <c r="AD126" s="290">
        <f t="shared" ref="AD126:AH126" si="280">+AD155</f>
        <v>0</v>
      </c>
      <c r="AE126" s="260">
        <f t="shared" si="280"/>
        <v>0</v>
      </c>
      <c r="AF126" s="260">
        <f t="shared" si="280"/>
        <v>0</v>
      </c>
      <c r="AG126" s="291">
        <f t="shared" si="280"/>
        <v>150</v>
      </c>
      <c r="AH126" s="45">
        <f t="shared" si="280"/>
        <v>150</v>
      </c>
      <c r="AI126" s="290">
        <f t="shared" ref="AI126:AM126" si="281">+AI155</f>
        <v>0</v>
      </c>
      <c r="AJ126" s="260">
        <f t="shared" si="281"/>
        <v>0</v>
      </c>
      <c r="AK126" s="260">
        <f t="shared" si="281"/>
        <v>0</v>
      </c>
      <c r="AL126" s="291">
        <f t="shared" si="281"/>
        <v>0</v>
      </c>
      <c r="AM126" s="45">
        <f t="shared" si="281"/>
        <v>0</v>
      </c>
      <c r="AN126" s="290">
        <f t="shared" ref="AN126:AR126" si="282">+AN155</f>
        <v>0</v>
      </c>
      <c r="AO126" s="260">
        <f t="shared" si="282"/>
        <v>0</v>
      </c>
      <c r="AP126" s="260">
        <f t="shared" si="282"/>
        <v>0</v>
      </c>
      <c r="AQ126" s="291">
        <f t="shared" si="282"/>
        <v>0</v>
      </c>
      <c r="AR126" s="45">
        <f t="shared" si="282"/>
        <v>0</v>
      </c>
      <c r="AS126" s="648">
        <f>Debt!AL289</f>
        <v>0</v>
      </c>
      <c r="AT126" s="646">
        <f>Debt!AM289</f>
        <v>0</v>
      </c>
      <c r="AU126" s="646">
        <f>Debt!AN289</f>
        <v>455</v>
      </c>
      <c r="AV126" s="586">
        <f>Debt!AO289</f>
        <v>0</v>
      </c>
      <c r="AW126" s="1003">
        <v>455</v>
      </c>
      <c r="AX126" s="648">
        <f>Debt!AQ289</f>
        <v>0</v>
      </c>
      <c r="AY126" s="646">
        <f>Debt!AR289</f>
        <v>0</v>
      </c>
      <c r="AZ126" s="646">
        <f>Debt!AS289</f>
        <v>95</v>
      </c>
      <c r="BA126" s="586">
        <f>Debt!AT289</f>
        <v>0</v>
      </c>
      <c r="BB126" s="2032">
        <v>95</v>
      </c>
      <c r="BC126" s="2037">
        <f>Debt!AV289</f>
        <v>0</v>
      </c>
      <c r="BD126" s="2038">
        <f>Debt!AW289</f>
        <v>0</v>
      </c>
      <c r="BE126" s="2038">
        <f>Debt!AX289</f>
        <v>95</v>
      </c>
      <c r="BF126" s="2039">
        <f>Debt!AY289</f>
        <v>0</v>
      </c>
      <c r="BG126" s="2032">
        <v>95</v>
      </c>
      <c r="BH126" s="2037">
        <f>Debt!BA289</f>
        <v>0</v>
      </c>
      <c r="BI126" s="2038">
        <f>Debt!BB289</f>
        <v>0</v>
      </c>
      <c r="BJ126" s="2038">
        <f>Debt!BC289</f>
        <v>275</v>
      </c>
      <c r="BK126" s="2039">
        <f>Debt!BD289</f>
        <v>0</v>
      </c>
      <c r="BL126" s="2031">
        <v>275</v>
      </c>
      <c r="BM126" s="45"/>
      <c r="BN126" s="45"/>
      <c r="BO126" s="45"/>
      <c r="BP126" s="45"/>
      <c r="BQ126" s="45"/>
      <c r="BR126" s="45"/>
      <c r="BS126" s="45"/>
      <c r="BT126" s="45"/>
      <c r="BU126" s="45"/>
      <c r="BV126" s="45"/>
      <c r="BW126" s="45"/>
      <c r="BX126" s="45"/>
      <c r="BY126" s="45"/>
      <c r="BZ126" s="45"/>
      <c r="CA126" s="45"/>
      <c r="CB126" s="45"/>
      <c r="CC126" s="45"/>
      <c r="CD126" s="45"/>
      <c r="CE126" s="45"/>
      <c r="CF126" s="45"/>
      <c r="CG126" s="45"/>
      <c r="CH126" s="45"/>
      <c r="CI126" s="45"/>
      <c r="CJ126" s="45"/>
      <c r="CK126" s="45"/>
      <c r="CL126" s="45"/>
      <c r="CM126" s="45"/>
      <c r="CN126" s="45"/>
      <c r="CO126" s="45"/>
      <c r="CP126" s="45"/>
    </row>
    <row r="127" spans="1:94">
      <c r="A127" s="45"/>
      <c r="B127" s="45"/>
      <c r="C127" s="391" t="s">
        <v>235</v>
      </c>
      <c r="D127" s="45"/>
      <c r="E127" s="290"/>
      <c r="F127" s="260"/>
      <c r="G127" s="260"/>
      <c r="H127" s="291"/>
      <c r="I127" s="45">
        <f t="shared" ref="I127:X127" si="283">+I156</f>
        <v>-35</v>
      </c>
      <c r="J127" s="290">
        <f t="shared" si="283"/>
        <v>-9</v>
      </c>
      <c r="K127" s="260">
        <f t="shared" si="283"/>
        <v>-8</v>
      </c>
      <c r="L127" s="260">
        <f t="shared" si="283"/>
        <v>-8</v>
      </c>
      <c r="M127" s="291">
        <f t="shared" si="283"/>
        <v>-10</v>
      </c>
      <c r="N127" s="45">
        <f t="shared" si="283"/>
        <v>-35</v>
      </c>
      <c r="O127" s="290">
        <f t="shared" si="283"/>
        <v>-9</v>
      </c>
      <c r="P127" s="260">
        <f t="shared" si="283"/>
        <v>-9</v>
      </c>
      <c r="Q127" s="260">
        <f t="shared" si="283"/>
        <v>-12</v>
      </c>
      <c r="R127" s="291">
        <f t="shared" si="283"/>
        <v>-11</v>
      </c>
      <c r="S127" s="45">
        <f t="shared" si="283"/>
        <v>-41</v>
      </c>
      <c r="T127" s="290">
        <f t="shared" si="283"/>
        <v>-10</v>
      </c>
      <c r="U127" s="260">
        <f t="shared" si="283"/>
        <v>-9</v>
      </c>
      <c r="V127" s="260">
        <f t="shared" si="283"/>
        <v>-77</v>
      </c>
      <c r="W127" s="291">
        <f t="shared" si="283"/>
        <v>-12</v>
      </c>
      <c r="X127" s="45">
        <f t="shared" si="283"/>
        <v>-108</v>
      </c>
      <c r="Y127" s="290">
        <f t="shared" ref="Y127:AC127" si="284">+Y156</f>
        <v>-10</v>
      </c>
      <c r="Z127" s="260">
        <f t="shared" si="284"/>
        <v>-10</v>
      </c>
      <c r="AA127" s="260">
        <f t="shared" si="284"/>
        <v>-116</v>
      </c>
      <c r="AB127" s="291">
        <f t="shared" si="284"/>
        <v>-12</v>
      </c>
      <c r="AC127" s="45">
        <f t="shared" si="284"/>
        <v>-148</v>
      </c>
      <c r="AD127" s="290">
        <f t="shared" ref="AD127:AH127" si="285">+AD156</f>
        <v>-10</v>
      </c>
      <c r="AE127" s="260">
        <f t="shared" si="285"/>
        <v>-11</v>
      </c>
      <c r="AF127" s="260">
        <f t="shared" si="285"/>
        <v>-25</v>
      </c>
      <c r="AG127" s="291">
        <f t="shared" si="285"/>
        <v>-12</v>
      </c>
      <c r="AH127" s="45">
        <f t="shared" si="285"/>
        <v>-58</v>
      </c>
      <c r="AI127" s="290">
        <f t="shared" ref="AI127:AM127" si="286">+AI156</f>
        <v>-11</v>
      </c>
      <c r="AJ127" s="260">
        <f t="shared" si="286"/>
        <v>-11</v>
      </c>
      <c r="AK127" s="260">
        <f t="shared" si="286"/>
        <v>-13</v>
      </c>
      <c r="AL127" s="291">
        <f t="shared" si="286"/>
        <v>-13</v>
      </c>
      <c r="AM127" s="45">
        <f t="shared" si="286"/>
        <v>-48</v>
      </c>
      <c r="AN127" s="290">
        <f t="shared" ref="AN127:AR127" si="287">+AN156</f>
        <v>-10</v>
      </c>
      <c r="AO127" s="260">
        <f t="shared" si="287"/>
        <v>-7</v>
      </c>
      <c r="AP127" s="260">
        <f t="shared" si="287"/>
        <v>-8</v>
      </c>
      <c r="AQ127" s="291">
        <f t="shared" si="287"/>
        <v>-10</v>
      </c>
      <c r="AR127" s="45">
        <f t="shared" si="287"/>
        <v>-35</v>
      </c>
      <c r="AS127" s="648">
        <f>Debt!AL281</f>
        <v>0</v>
      </c>
      <c r="AT127" s="646">
        <f>Debt!AM281</f>
        <v>0</v>
      </c>
      <c r="AU127" s="646">
        <f>Debt!AN281</f>
        <v>-281</v>
      </c>
      <c r="AV127" s="586">
        <f>Debt!AO281</f>
        <v>0</v>
      </c>
      <c r="AW127" s="647">
        <f>Debt!AP281</f>
        <v>-281</v>
      </c>
      <c r="AX127" s="648">
        <f>Debt!AQ281</f>
        <v>0</v>
      </c>
      <c r="AY127" s="646">
        <f>Debt!AR281</f>
        <v>0</v>
      </c>
      <c r="AZ127" s="646">
        <f>Debt!AS281</f>
        <v>-18</v>
      </c>
      <c r="BA127" s="586">
        <f>Debt!AT281</f>
        <v>0</v>
      </c>
      <c r="BB127" s="647">
        <f>Debt!AU281</f>
        <v>-18</v>
      </c>
      <c r="BC127" s="648">
        <f>Debt!AV281</f>
        <v>0</v>
      </c>
      <c r="BD127" s="646">
        <f>Debt!AW281</f>
        <v>0</v>
      </c>
      <c r="BE127" s="646">
        <f>Debt!AX281</f>
        <v>-20</v>
      </c>
      <c r="BF127" s="586">
        <f>Debt!AY281</f>
        <v>0</v>
      </c>
      <c r="BG127" s="647">
        <f>Debt!AZ281</f>
        <v>-20</v>
      </c>
      <c r="BH127" s="648">
        <f>Debt!BA281</f>
        <v>0</v>
      </c>
      <c r="BI127" s="646">
        <f>Debt!BB281</f>
        <v>0</v>
      </c>
      <c r="BJ127" s="646">
        <f>Debt!BC281</f>
        <v>-238.86500000000001</v>
      </c>
      <c r="BK127" s="586">
        <f>Debt!BD281</f>
        <v>0</v>
      </c>
      <c r="BL127" s="647">
        <f>Debt!BE281</f>
        <v>-238.86500000000001</v>
      </c>
      <c r="BM127" s="45"/>
      <c r="BN127" s="45"/>
      <c r="BO127" s="45"/>
      <c r="BP127" s="45"/>
      <c r="BQ127" s="45"/>
      <c r="BR127" s="45"/>
      <c r="BS127" s="45"/>
      <c r="BT127" s="45"/>
      <c r="BU127" s="45"/>
      <c r="BV127" s="45"/>
      <c r="BW127" s="45"/>
      <c r="BX127" s="45"/>
      <c r="BY127" s="45"/>
      <c r="BZ127" s="45"/>
      <c r="CA127" s="45"/>
      <c r="CB127" s="45"/>
      <c r="CC127" s="45"/>
      <c r="CD127" s="45"/>
      <c r="CE127" s="45"/>
      <c r="CF127" s="45"/>
      <c r="CG127" s="45"/>
      <c r="CH127" s="45"/>
      <c r="CI127" s="45"/>
      <c r="CJ127" s="45"/>
      <c r="CK127" s="45"/>
      <c r="CL127" s="45"/>
      <c r="CM127" s="45"/>
      <c r="CN127" s="45"/>
      <c r="CO127" s="45"/>
      <c r="CP127" s="45"/>
    </row>
    <row r="128" spans="1:94">
      <c r="A128" s="1716"/>
      <c r="B128" s="1716"/>
      <c r="C128" s="391"/>
      <c r="D128" s="1716"/>
      <c r="E128" s="1717"/>
      <c r="F128" s="1718"/>
      <c r="G128" s="1718"/>
      <c r="H128" s="1719"/>
      <c r="I128" s="1716"/>
      <c r="J128" s="1717"/>
      <c r="K128" s="1718"/>
      <c r="L128" s="260"/>
      <c r="M128" s="291"/>
      <c r="N128" s="45"/>
      <c r="O128" s="1717"/>
      <c r="P128" s="1718"/>
      <c r="Q128" s="1718"/>
      <c r="R128" s="291"/>
      <c r="S128" s="45"/>
      <c r="T128" s="1717"/>
      <c r="U128" s="1718"/>
      <c r="V128" s="1718"/>
      <c r="W128" s="291"/>
      <c r="X128" s="45"/>
      <c r="Y128" s="1717"/>
      <c r="Z128" s="1718"/>
      <c r="AA128" s="1718"/>
      <c r="AB128" s="291"/>
      <c r="AC128" s="45"/>
      <c r="AD128" s="290"/>
      <c r="AE128" s="260"/>
      <c r="AF128" s="260"/>
      <c r="AG128" s="291"/>
      <c r="AH128" s="45"/>
      <c r="AI128" s="290"/>
      <c r="AJ128" s="260"/>
      <c r="AK128" s="260"/>
      <c r="AL128" s="291"/>
      <c r="AM128" s="45"/>
      <c r="AN128" s="290"/>
      <c r="AO128" s="260"/>
      <c r="AP128" s="260"/>
      <c r="AQ128" s="291"/>
      <c r="AR128" s="45"/>
      <c r="AS128" s="290"/>
      <c r="AT128" s="260"/>
      <c r="AU128" s="260"/>
      <c r="AV128" s="291"/>
      <c r="AW128" s="45"/>
      <c r="AX128" s="290"/>
      <c r="AY128" s="260"/>
      <c r="AZ128" s="260"/>
      <c r="BA128" s="291"/>
      <c r="BB128" s="45"/>
      <c r="BC128" s="290"/>
      <c r="BD128" s="260"/>
      <c r="BE128" s="260"/>
      <c r="BF128" s="291"/>
      <c r="BG128" s="45"/>
      <c r="BH128" s="290"/>
      <c r="BI128" s="260"/>
      <c r="BJ128" s="260"/>
      <c r="BK128" s="291"/>
      <c r="BL128" s="45"/>
      <c r="BM128" s="1716"/>
      <c r="BN128" s="1716"/>
      <c r="BO128" s="1716"/>
      <c r="BP128" s="1716"/>
      <c r="BQ128" s="1716"/>
      <c r="BR128" s="1716"/>
      <c r="BS128" s="1716"/>
      <c r="BT128" s="1716"/>
      <c r="BU128" s="1716"/>
      <c r="BV128" s="1716"/>
      <c r="BW128" s="1716"/>
      <c r="BX128" s="1716"/>
      <c r="BY128" s="1716"/>
      <c r="BZ128" s="1716"/>
      <c r="CA128" s="1716"/>
      <c r="CB128" s="1716"/>
      <c r="CC128" s="1716"/>
      <c r="CD128" s="1716"/>
      <c r="CE128" s="1716"/>
      <c r="CF128" s="1716"/>
      <c r="CG128" s="1716"/>
      <c r="CH128" s="1716"/>
      <c r="CI128" s="1716"/>
      <c r="CJ128" s="1716"/>
      <c r="CK128" s="1716"/>
      <c r="CL128" s="1716"/>
      <c r="CM128" s="1716"/>
      <c r="CN128" s="1716"/>
      <c r="CO128" s="1716"/>
      <c r="CP128" s="1716"/>
    </row>
    <row r="129" spans="1:124">
      <c r="A129" s="1716"/>
      <c r="B129" s="1716"/>
      <c r="C129" s="391" t="s">
        <v>766</v>
      </c>
      <c r="D129" s="1716"/>
      <c r="E129" s="1717"/>
      <c r="F129" s="1718"/>
      <c r="G129" s="1718"/>
      <c r="H129" s="1719"/>
      <c r="I129" s="1716">
        <f>N129</f>
        <v>124</v>
      </c>
      <c r="J129" s="1717"/>
      <c r="K129" s="1718"/>
      <c r="L129" s="260"/>
      <c r="M129" s="291"/>
      <c r="N129" s="665">
        <f>+S129</f>
        <v>124</v>
      </c>
      <c r="O129" s="1717"/>
      <c r="P129" s="1718"/>
      <c r="Q129" s="1718"/>
      <c r="R129" s="291"/>
      <c r="S129" s="330">
        <f>+X129</f>
        <v>124</v>
      </c>
      <c r="T129" s="1717"/>
      <c r="U129" s="1718"/>
      <c r="V129" s="1718"/>
      <c r="W129" s="291"/>
      <c r="X129" s="330">
        <f>AC129</f>
        <v>124</v>
      </c>
      <c r="Y129" s="1717"/>
      <c r="Z129" s="1718"/>
      <c r="AA129" s="1718"/>
      <c r="AB129" s="291"/>
      <c r="AC129" s="2309">
        <f>AH129</f>
        <v>124</v>
      </c>
      <c r="AD129" s="290"/>
      <c r="AE129" s="260"/>
      <c r="AF129" s="260"/>
      <c r="AG129" s="291"/>
      <c r="AH129" s="2309">
        <f>AM129</f>
        <v>124</v>
      </c>
      <c r="AI129" s="290"/>
      <c r="AJ129" s="260"/>
      <c r="AK129" s="260"/>
      <c r="AL129" s="291"/>
      <c r="AM129" s="330">
        <f>SUM(Debt!G275:G279)</f>
        <v>124</v>
      </c>
      <c r="AN129" s="290"/>
      <c r="AO129" s="260"/>
      <c r="AP129" s="260"/>
      <c r="AQ129" s="291"/>
      <c r="AR129" s="2309">
        <f>SUM(Debt!F275:F279)</f>
        <v>90</v>
      </c>
      <c r="AS129" s="290"/>
      <c r="AT129" s="260"/>
      <c r="AU129" s="260"/>
      <c r="AV129" s="291"/>
      <c r="AW129" s="45">
        <f>AR129+SUM(Debt!AP275:AP279)</f>
        <v>59</v>
      </c>
      <c r="AX129" s="290"/>
      <c r="AY129" s="260"/>
      <c r="AZ129" s="260"/>
      <c r="BA129" s="291"/>
      <c r="BB129" s="45">
        <f>AW129+SUM(Debt!AU275:AU279)</f>
        <v>41</v>
      </c>
      <c r="BC129" s="290"/>
      <c r="BD129" s="260"/>
      <c r="BE129" s="260"/>
      <c r="BF129" s="291"/>
      <c r="BG129" s="45">
        <f>BB129+SUM(Debt!AZ275:AZ279)</f>
        <v>21</v>
      </c>
      <c r="BH129" s="290"/>
      <c r="BI129" s="260"/>
      <c r="BJ129" s="260"/>
      <c r="BK129" s="291"/>
      <c r="BL129" s="45">
        <f>BG129+SUM(Debt!BE275:BE279)</f>
        <v>21</v>
      </c>
      <c r="BM129" s="1716"/>
      <c r="BN129" s="1716"/>
      <c r="BO129" s="1716"/>
      <c r="BP129" s="1716"/>
      <c r="BQ129" s="1716"/>
      <c r="BR129" s="1716"/>
      <c r="BS129" s="1716"/>
      <c r="BT129" s="1716"/>
      <c r="BU129" s="1716"/>
      <c r="BV129" s="1716"/>
      <c r="BW129" s="1716"/>
      <c r="BX129" s="1716"/>
      <c r="BY129" s="1716"/>
      <c r="BZ129" s="1716"/>
      <c r="CA129" s="1716"/>
      <c r="CB129" s="1716"/>
      <c r="CC129" s="1716"/>
      <c r="CD129" s="1716"/>
      <c r="CE129" s="1716"/>
      <c r="CF129" s="1716"/>
      <c r="CG129" s="1716"/>
      <c r="CH129" s="1716"/>
      <c r="CI129" s="1716"/>
      <c r="CJ129" s="1716"/>
      <c r="CK129" s="1716"/>
      <c r="CL129" s="1716"/>
      <c r="CM129" s="1716"/>
      <c r="CN129" s="1716"/>
      <c r="CO129" s="1716"/>
      <c r="CP129" s="1716"/>
    </row>
    <row r="130" spans="1:124">
      <c r="A130" s="1716"/>
      <c r="B130" s="1716"/>
      <c r="C130" s="391" t="s">
        <v>767</v>
      </c>
      <c r="D130" s="1716"/>
      <c r="E130" s="1717"/>
      <c r="F130" s="1718"/>
      <c r="G130" s="1718"/>
      <c r="H130" s="1719"/>
      <c r="I130" s="1716"/>
      <c r="J130" s="1717"/>
      <c r="K130" s="1718"/>
      <c r="L130" s="260"/>
      <c r="M130" s="291"/>
      <c r="N130" s="665">
        <f>+S130</f>
        <v>6.7634035087719298</v>
      </c>
      <c r="O130" s="1717">
        <f>S130/4</f>
        <v>1.6908508771929824</v>
      </c>
      <c r="P130" s="1718">
        <f>S130/4</f>
        <v>1.6908508771929824</v>
      </c>
      <c r="Q130" s="1718">
        <f>S130/4</f>
        <v>1.6908508771929824</v>
      </c>
      <c r="R130" s="291">
        <f>S130/4</f>
        <v>1.6908508771929824</v>
      </c>
      <c r="S130" s="330">
        <f>+X130</f>
        <v>6.7634035087719298</v>
      </c>
      <c r="T130" s="1717">
        <f>X130/4</f>
        <v>1.6908508771929824</v>
      </c>
      <c r="U130" s="1718">
        <f>X130/4</f>
        <v>1.6908508771929824</v>
      </c>
      <c r="V130" s="1718">
        <f>X130/4</f>
        <v>1.6908508771929824</v>
      </c>
      <c r="W130" s="291">
        <f>X130/4</f>
        <v>1.6908508771929824</v>
      </c>
      <c r="X130" s="2309">
        <f>+AC130</f>
        <v>6.7634035087719298</v>
      </c>
      <c r="Y130" s="1717">
        <f>AC130/4</f>
        <v>1.6908508771929824</v>
      </c>
      <c r="Z130" s="1718">
        <f>+Y130</f>
        <v>1.6908508771929824</v>
      </c>
      <c r="AA130" s="1718">
        <f>+Z130</f>
        <v>1.6908508771929824</v>
      </c>
      <c r="AB130" s="291">
        <f>+AC130-SUM(Y130:AA130)</f>
        <v>1.6908508771929824</v>
      </c>
      <c r="AC130" s="2309">
        <f>+AH130</f>
        <v>6.7634035087719298</v>
      </c>
      <c r="AD130" s="1717">
        <f>AH130/4</f>
        <v>1.6908508771929824</v>
      </c>
      <c r="AE130" s="1718">
        <f>+AD130</f>
        <v>1.6908508771929824</v>
      </c>
      <c r="AF130" s="1718">
        <f>+AE130</f>
        <v>1.6908508771929824</v>
      </c>
      <c r="AG130" s="291">
        <f>+AH130-SUM(AD130:AF130)</f>
        <v>1.6908508771929824</v>
      </c>
      <c r="AH130" s="2309">
        <f>+AM130</f>
        <v>6.7634035087719298</v>
      </c>
      <c r="AI130" s="1717">
        <f>AM130/4</f>
        <v>1.6908508771929824</v>
      </c>
      <c r="AJ130" s="1718">
        <f>+AI130</f>
        <v>1.6908508771929824</v>
      </c>
      <c r="AK130" s="1718">
        <f>+AJ130</f>
        <v>1.6908508771929824</v>
      </c>
      <c r="AL130" s="291">
        <f>+AM130-SUM(AI130:AK130)</f>
        <v>1.6908508771929824</v>
      </c>
      <c r="AM130" s="2058">
        <f>SUMPRODUCT(Debt!G275:G279,Debt!I275:I279)</f>
        <v>6.7634035087719298</v>
      </c>
      <c r="AN130" s="1717">
        <f>+AM130/4</f>
        <v>1.6908508771929824</v>
      </c>
      <c r="AO130" s="1718">
        <f>+AN130</f>
        <v>1.6908508771929824</v>
      </c>
      <c r="AP130" s="1718">
        <f>+AO130</f>
        <v>1.6908508771929824</v>
      </c>
      <c r="AQ130" s="291">
        <f>AL130+SUM(Debt!CE275:CE279)</f>
        <v>1.2152039473684211</v>
      </c>
      <c r="AR130" s="2058">
        <f>SUMPRODUCT(Debt!F275:F279,Debt!I275:I279)</f>
        <v>4.9163157894736838</v>
      </c>
      <c r="AS130" s="1717">
        <f>AN130+SUM(Debt!CG275:CG279)</f>
        <v>1.2152039473684211</v>
      </c>
      <c r="AT130" s="1718">
        <f>AO130+SUM(Debt!CH275:CH279)</f>
        <v>1.2152039473684211</v>
      </c>
      <c r="AU130" s="1718">
        <f>AP130+SUM(Debt!CI275:CI279)</f>
        <v>1.2695635964912282</v>
      </c>
      <c r="AV130" s="291">
        <f>AQ130+SUM(Debt!CJ275:CJ279)</f>
        <v>0.79391666666666671</v>
      </c>
      <c r="AW130" s="45">
        <f>SUM(AS130:AV130)</f>
        <v>4.4938881578947374</v>
      </c>
      <c r="AX130" s="1717">
        <f>AS130+SUM(Debt!CL275:CL279)</f>
        <v>0.79391666666666671</v>
      </c>
      <c r="AY130" s="1718">
        <f>AT130+SUM(Debt!CM275:CM279)</f>
        <v>0.79391666666666671</v>
      </c>
      <c r="AZ130" s="1718">
        <f>AU130+SUM(Debt!CN275:CN279)</f>
        <v>1.0249451754385968</v>
      </c>
      <c r="BA130" s="291">
        <f>AV130+SUM(Debt!CO275:CO279)</f>
        <v>0.54929824561403517</v>
      </c>
      <c r="BB130" s="45">
        <f>SUM(AX130:BA130)</f>
        <v>3.1620767543859651</v>
      </c>
      <c r="BC130" s="1717">
        <f>AX130+SUM(Debt!CQ275:CQ279)</f>
        <v>0.54929824561403517</v>
      </c>
      <c r="BD130" s="1718">
        <f>AY130+SUM(Debt!CR275:CR279)</f>
        <v>0.54929824561403517</v>
      </c>
      <c r="BE130" s="1718">
        <f>AZ130+SUM(Debt!CS275:CS279)</f>
        <v>0.75314692982456166</v>
      </c>
      <c r="BF130" s="291">
        <f>BA130+SUM(Debt!CT275:CT279)</f>
        <v>0.27750000000000014</v>
      </c>
      <c r="BG130" s="45">
        <f>SUM(BC130:BF130)</f>
        <v>2.1292434210526321</v>
      </c>
      <c r="BH130" s="1717">
        <f>BC130+SUM(Debt!CV275:CV279)</f>
        <v>0.27750000000000014</v>
      </c>
      <c r="BI130" s="1718">
        <f>BD130+SUM(Debt!CW275:CW279)</f>
        <v>0.27750000000000014</v>
      </c>
      <c r="BJ130" s="1718">
        <f>BE130+SUM(Debt!CX275:CX279)</f>
        <v>0.75314692982456166</v>
      </c>
      <c r="BK130" s="291">
        <f>BF130+SUM(Debt!CY275:CY279)</f>
        <v>0.27750000000000014</v>
      </c>
      <c r="BL130" s="45">
        <f>SUM(BH130:BK130)</f>
        <v>1.5856469298245621</v>
      </c>
      <c r="BM130" s="1716"/>
      <c r="BN130" s="1716"/>
      <c r="BO130" s="1716"/>
      <c r="BP130" s="1716"/>
      <c r="BQ130" s="1716"/>
      <c r="BR130" s="1716"/>
      <c r="BS130" s="1716"/>
      <c r="BT130" s="1716"/>
      <c r="BU130" s="1716"/>
      <c r="BV130" s="1716"/>
      <c r="BW130" s="1716"/>
      <c r="BX130" s="1716"/>
      <c r="BY130" s="1716"/>
      <c r="BZ130" s="1716"/>
      <c r="CA130" s="1716"/>
      <c r="CB130" s="1716"/>
      <c r="CC130" s="1716"/>
      <c r="CD130" s="1716"/>
      <c r="CE130" s="1716"/>
      <c r="CF130" s="1716"/>
      <c r="CG130" s="1716"/>
      <c r="CH130" s="1716"/>
      <c r="CI130" s="1716"/>
      <c r="CJ130" s="1716"/>
      <c r="CK130" s="1716"/>
      <c r="CL130" s="1716"/>
      <c r="CM130" s="1716"/>
      <c r="CN130" s="1716"/>
      <c r="CO130" s="1716"/>
      <c r="CP130" s="1716"/>
    </row>
    <row r="131" spans="1:124">
      <c r="A131" s="1716"/>
      <c r="B131" s="1716"/>
      <c r="C131" s="391"/>
      <c r="D131" s="1716"/>
      <c r="E131" s="1717"/>
      <c r="F131" s="1718"/>
      <c r="G131" s="1718"/>
      <c r="H131" s="1719"/>
      <c r="I131" s="1716"/>
      <c r="J131" s="1717"/>
      <c r="K131" s="1718"/>
      <c r="L131" s="260"/>
      <c r="M131" s="291"/>
      <c r="N131" s="45"/>
      <c r="O131" s="1717"/>
      <c r="P131" s="1718"/>
      <c r="Q131" s="1718"/>
      <c r="R131" s="291"/>
      <c r="S131" s="45"/>
      <c r="T131" s="1717"/>
      <c r="U131" s="1718"/>
      <c r="V131" s="1718"/>
      <c r="W131" s="291"/>
      <c r="X131" s="45"/>
      <c r="Y131" s="1717"/>
      <c r="Z131" s="260"/>
      <c r="AA131" s="1718"/>
      <c r="AB131" s="291"/>
      <c r="AC131" s="45"/>
      <c r="AD131" s="290"/>
      <c r="AE131" s="260"/>
      <c r="AF131" s="260"/>
      <c r="AG131" s="291"/>
      <c r="AH131" s="45"/>
      <c r="AI131" s="290"/>
      <c r="AJ131" s="260"/>
      <c r="AK131" s="260"/>
      <c r="AL131" s="291"/>
      <c r="AM131" s="45"/>
      <c r="AN131" s="290"/>
      <c r="AO131" s="260"/>
      <c r="AP131" s="260"/>
      <c r="AQ131" s="291"/>
      <c r="AR131" s="45"/>
      <c r="AS131" s="290"/>
      <c r="AT131" s="260"/>
      <c r="AU131" s="260"/>
      <c r="AV131" s="291"/>
      <c r="AW131" s="45"/>
      <c r="AX131" s="290"/>
      <c r="AY131" s="260"/>
      <c r="AZ131" s="260"/>
      <c r="BA131" s="291"/>
      <c r="BB131" s="45"/>
      <c r="BC131" s="290"/>
      <c r="BD131" s="260"/>
      <c r="BE131" s="260"/>
      <c r="BF131" s="291"/>
      <c r="BG131" s="45"/>
      <c r="BH131" s="290"/>
      <c r="BI131" s="260"/>
      <c r="BJ131" s="260"/>
      <c r="BK131" s="291"/>
      <c r="BL131" s="45"/>
      <c r="BM131" s="1716"/>
      <c r="BN131" s="1716"/>
      <c r="BO131" s="1716"/>
      <c r="BP131" s="1716"/>
      <c r="BQ131" s="1716"/>
      <c r="BR131" s="1716"/>
      <c r="BS131" s="1716"/>
      <c r="BT131" s="1716"/>
      <c r="BU131" s="1716"/>
      <c r="BV131" s="1716"/>
      <c r="BW131" s="1716"/>
      <c r="BX131" s="1716"/>
      <c r="BY131" s="1716"/>
      <c r="BZ131" s="1716"/>
      <c r="CA131" s="1716"/>
      <c r="CB131" s="1716"/>
      <c r="CC131" s="1716"/>
      <c r="CD131" s="1716"/>
      <c r="CE131" s="1716"/>
      <c r="CF131" s="1716"/>
      <c r="CG131" s="1716"/>
      <c r="CH131" s="1716"/>
      <c r="CI131" s="1716"/>
      <c r="CJ131" s="1716"/>
      <c r="CK131" s="1716"/>
      <c r="CL131" s="1716"/>
      <c r="CM131" s="1716"/>
      <c r="CN131" s="1716"/>
      <c r="CO131" s="1716"/>
      <c r="CP131" s="1716"/>
    </row>
    <row r="132" spans="1:124">
      <c r="A132" s="1716"/>
      <c r="B132" s="1716"/>
      <c r="C132" s="389" t="s">
        <v>318</v>
      </c>
      <c r="D132" s="1716"/>
      <c r="E132" s="1717"/>
      <c r="F132" s="1718"/>
      <c r="G132" s="1718"/>
      <c r="H132" s="1719"/>
      <c r="I132" s="1716"/>
      <c r="J132" s="1717"/>
      <c r="K132" s="1718"/>
      <c r="L132" s="260"/>
      <c r="M132" s="291"/>
      <c r="N132" s="45"/>
      <c r="O132" s="1717"/>
      <c r="P132" s="1718"/>
      <c r="Q132" s="1718"/>
      <c r="R132" s="291"/>
      <c r="S132" s="45"/>
      <c r="T132" s="290"/>
      <c r="U132" s="260"/>
      <c r="V132" s="260"/>
      <c r="W132" s="291"/>
      <c r="X132" s="45"/>
      <c r="Y132" s="290"/>
      <c r="Z132" s="260"/>
      <c r="AA132" s="260"/>
      <c r="AB132" s="291"/>
      <c r="AC132" s="45"/>
      <c r="AD132" s="290"/>
      <c r="AE132" s="260"/>
      <c r="AF132" s="260"/>
      <c r="AG132" s="291"/>
      <c r="AH132" s="45"/>
      <c r="AI132" s="290"/>
      <c r="AJ132" s="260"/>
      <c r="AK132" s="260"/>
      <c r="AL132" s="291"/>
      <c r="AM132" s="45"/>
      <c r="AN132" s="290"/>
      <c r="AO132" s="260"/>
      <c r="AP132" s="260"/>
      <c r="AQ132" s="291"/>
      <c r="AR132" s="45"/>
      <c r="AS132" s="290"/>
      <c r="AT132" s="260"/>
      <c r="AU132" s="260"/>
      <c r="AV132" s="291"/>
      <c r="AW132" s="45"/>
      <c r="AX132" s="290"/>
      <c r="AY132" s="260"/>
      <c r="AZ132" s="260"/>
      <c r="BA132" s="291"/>
      <c r="BB132" s="45"/>
      <c r="BC132" s="290"/>
      <c r="BD132" s="260"/>
      <c r="BE132" s="260"/>
      <c r="BF132" s="291"/>
      <c r="BG132" s="45"/>
      <c r="BH132" s="290"/>
      <c r="BI132" s="260"/>
      <c r="BJ132" s="260"/>
      <c r="BK132" s="291"/>
      <c r="BL132" s="45"/>
      <c r="BM132" s="1716"/>
      <c r="BN132" s="1716"/>
      <c r="BO132" s="1716"/>
      <c r="BP132" s="1716"/>
      <c r="BQ132" s="1716"/>
      <c r="BR132" s="1716"/>
      <c r="BS132" s="1716"/>
      <c r="BT132" s="1716"/>
      <c r="BU132" s="1716"/>
      <c r="BV132" s="1716"/>
      <c r="BW132" s="1716"/>
      <c r="BX132" s="1716"/>
      <c r="BY132" s="1716"/>
      <c r="BZ132" s="1716"/>
      <c r="CA132" s="1716"/>
      <c r="CB132" s="1716"/>
      <c r="CC132" s="1716"/>
      <c r="CD132" s="1716"/>
      <c r="CE132" s="1716"/>
      <c r="CF132" s="1716"/>
      <c r="CG132" s="1716"/>
      <c r="CH132" s="1716"/>
      <c r="CI132" s="1716"/>
      <c r="CJ132" s="1716"/>
      <c r="CK132" s="1716"/>
      <c r="CL132" s="1716"/>
      <c r="CM132" s="1716"/>
      <c r="CN132" s="1716"/>
      <c r="CO132" s="1716"/>
      <c r="CP132" s="1716"/>
    </row>
    <row r="133" spans="1:124">
      <c r="A133" s="45"/>
      <c r="B133" s="45"/>
      <c r="C133" s="391" t="s">
        <v>742</v>
      </c>
      <c r="D133" s="45"/>
      <c r="E133" s="290"/>
      <c r="F133" s="260"/>
      <c r="G133" s="260"/>
      <c r="H133" s="291"/>
      <c r="I133" s="45"/>
      <c r="J133" s="290"/>
      <c r="K133" s="260"/>
      <c r="L133" s="260"/>
      <c r="M133" s="291"/>
      <c r="N133" s="45"/>
      <c r="O133" s="290"/>
      <c r="P133" s="260"/>
      <c r="Q133" s="260"/>
      <c r="R133" s="291"/>
      <c r="S133" s="45"/>
      <c r="T133" s="290"/>
      <c r="U133" s="260"/>
      <c r="V133" s="260"/>
      <c r="W133" s="291"/>
      <c r="X133" s="45"/>
      <c r="Y133" s="290"/>
      <c r="Z133" s="260"/>
      <c r="AA133" s="260"/>
      <c r="AB133" s="291"/>
      <c r="AC133" s="45"/>
      <c r="AD133" s="290"/>
      <c r="AE133" s="260"/>
      <c r="AF133" s="260"/>
      <c r="AG133" s="291"/>
      <c r="AH133" s="45"/>
      <c r="AI133" s="290"/>
      <c r="AJ133" s="260"/>
      <c r="AK133" s="260"/>
      <c r="AL133" s="291"/>
      <c r="AM133" s="45"/>
      <c r="AN133" s="290"/>
      <c r="AO133" s="260"/>
      <c r="AP133" s="260"/>
      <c r="AQ133" s="291"/>
      <c r="AR133" s="45"/>
      <c r="AS133" s="290">
        <f>(((AR210-AN210)*AS138)/4)-((AR208-AN208)*(AS138-1%)/4)</f>
        <v>0.67</v>
      </c>
      <c r="AT133" s="260">
        <f ca="1">(((AS210-AO210)*AT138)/4)-((AS208-AO208)*(AT138-1%)/4)</f>
        <v>0.47876969391410285</v>
      </c>
      <c r="AU133" s="260">
        <f ca="1">(((AT210-AP210)*AU138)/4)-((AT208-AP208)*(AU138-1%)/4)</f>
        <v>0.48985031302524451</v>
      </c>
      <c r="AV133" s="291">
        <f ca="1">(((AU210-AQ210)*AV138)/4)-((AU208-AQ208)*(AV138-1%)/4)</f>
        <v>-0.61826640407556244</v>
      </c>
      <c r="AW133" s="45">
        <f ca="1">+SUM(AS133:AV133)</f>
        <v>1.0203536028637847</v>
      </c>
      <c r="AX133" s="290">
        <f ca="1">(((AW210-AS210)*AX138)/4)-((AW208-AS208)*(AX138-1%)/4)</f>
        <v>-0.6861660509634423</v>
      </c>
      <c r="AY133" s="260">
        <f ca="1">(((AX210-AT210)*AY138)/4)-((AX208-AT208)*(AY138-1%)/4)</f>
        <v>-0.65172988801187104</v>
      </c>
      <c r="AZ133" s="260">
        <f ca="1">(((AY210-AU210)*AZ138)/4)-((AY208-AU208)*(AZ138-1%)/4)</f>
        <v>0.40324471542178758</v>
      </c>
      <c r="BA133" s="291">
        <f ca="1">(((AZ210-AV210)*BA138)/4)-((AZ208-AV208)*(BA138-1%)/4)</f>
        <v>-5.895777009253006E-2</v>
      </c>
      <c r="BB133" s="45">
        <f ca="1">+SUM(AX133:BA133)</f>
        <v>-0.99360899364605593</v>
      </c>
      <c r="BC133" s="290">
        <f ca="1">(((BB210-AX210)*BC138)/4)-((BB208-AX208)*(BC138-1%)/4)</f>
        <v>-0.14388268206697619</v>
      </c>
      <c r="BD133" s="260">
        <f ca="1">(((BC210-AY210)*BD138)/4)-((BC208-AY208)*(BD138-1%)/4)</f>
        <v>-0.15675951395610555</v>
      </c>
      <c r="BE133" s="260">
        <f ca="1">(((BD210-AZ210)*BE138)/4)-((BD208-AZ208)*(BE138-1%)/4)</f>
        <v>0.38188517451684811</v>
      </c>
      <c r="BF133" s="291">
        <f ca="1">(((BE210-BA210)*BF138)/4)-((BE208-BA208)*(BF138-1%)/4)</f>
        <v>-8.1672366276670322E-2</v>
      </c>
      <c r="BG133" s="45">
        <f ca="1">+SUM(BC133:BF133)</f>
        <v>-4.2938778290393942E-4</v>
      </c>
      <c r="BH133" s="290">
        <f ca="1">(((BG210-BC210)*BH138)/4)-((BG208-BC208)*(BH138-1%)/4)</f>
        <v>-0.15825088780687321</v>
      </c>
      <c r="BI133" s="260">
        <f ca="1">(((BH210-BD210)*BI138)/4)-((BH208-BD208)*(BI138-1%)/4)</f>
        <v>-0.19999776675241482</v>
      </c>
      <c r="BJ133" s="260">
        <f ca="1">(((BI210-BE210)*BJ138)/4)-((BI208-BE208)*(BJ138-1%)/4)</f>
        <v>0.27328641933363246</v>
      </c>
      <c r="BK133" s="291">
        <f ca="1">(((BJ210-BF210)*BK138)/4)-((BJ208-BF208)*(BK138-1%)/4)</f>
        <v>-6.5074583708657777E-2</v>
      </c>
      <c r="BL133" s="45">
        <f ca="1">+SUM(BH133:BK133)</f>
        <v>-0.15003681893431331</v>
      </c>
      <c r="BM133" s="45"/>
      <c r="BN133" s="45"/>
      <c r="BO133" s="45"/>
      <c r="BP133" s="45"/>
      <c r="BQ133" s="45"/>
      <c r="BR133" s="45"/>
      <c r="BS133" s="45"/>
      <c r="BT133" s="45"/>
      <c r="BU133" s="45"/>
      <c r="BV133" s="45"/>
      <c r="BW133" s="45"/>
      <c r="BX133" s="45"/>
      <c r="BY133" s="45"/>
      <c r="BZ133" s="45"/>
      <c r="CA133" s="45"/>
      <c r="CB133" s="45"/>
      <c r="CC133" s="45"/>
      <c r="CD133" s="45"/>
      <c r="CE133" s="45"/>
      <c r="CF133" s="45"/>
      <c r="CG133" s="45"/>
      <c r="CH133" s="45"/>
      <c r="CI133" s="45"/>
      <c r="CJ133" s="45"/>
      <c r="CK133" s="45"/>
      <c r="CL133" s="45"/>
      <c r="CM133" s="45"/>
      <c r="CN133" s="45"/>
      <c r="CO133" s="45"/>
      <c r="CP133" s="45"/>
    </row>
    <row r="134" spans="1:124">
      <c r="A134" s="45"/>
      <c r="B134" s="45"/>
      <c r="C134" s="391"/>
      <c r="D134" s="45"/>
      <c r="E134" s="290"/>
      <c r="F134" s="260"/>
      <c r="G134" s="260"/>
      <c r="H134" s="291"/>
      <c r="I134" s="45"/>
      <c r="J134" s="290"/>
      <c r="K134" s="260"/>
      <c r="L134" s="260"/>
      <c r="M134" s="291"/>
      <c r="N134" s="45"/>
      <c r="O134" s="290"/>
      <c r="P134" s="260"/>
      <c r="Q134" s="260"/>
      <c r="R134" s="291"/>
      <c r="S134" s="45"/>
      <c r="T134" s="290"/>
      <c r="U134" s="260"/>
      <c r="V134" s="260"/>
      <c r="W134" s="291"/>
      <c r="X134" s="45"/>
      <c r="Y134" s="290"/>
      <c r="Z134" s="260"/>
      <c r="AA134" s="260"/>
      <c r="AB134" s="291"/>
      <c r="AC134" s="45"/>
      <c r="AD134" s="290"/>
      <c r="AE134" s="260"/>
      <c r="AF134" s="260"/>
      <c r="AG134" s="291"/>
      <c r="AH134" s="45"/>
      <c r="AI134" s="290"/>
      <c r="AJ134" s="260"/>
      <c r="AK134" s="260"/>
      <c r="AL134" s="291"/>
      <c r="AM134" s="45"/>
      <c r="AN134" s="290"/>
      <c r="AO134" s="260"/>
      <c r="AP134" s="260"/>
      <c r="AQ134" s="291"/>
      <c r="AR134" s="45"/>
      <c r="AS134" s="290"/>
      <c r="AT134" s="260"/>
      <c r="AU134" s="260"/>
      <c r="AV134" s="291"/>
      <c r="AW134" s="45"/>
      <c r="AX134" s="290"/>
      <c r="AY134" s="260"/>
      <c r="AZ134" s="260"/>
      <c r="BA134" s="291"/>
      <c r="BB134" s="45"/>
      <c r="BC134" s="290"/>
      <c r="BD134" s="260"/>
      <c r="BE134" s="260"/>
      <c r="BF134" s="291"/>
      <c r="BG134" s="45"/>
      <c r="BH134" s="290"/>
      <c r="BI134" s="260"/>
      <c r="BJ134" s="260"/>
      <c r="BK134" s="291"/>
      <c r="BL134" s="45"/>
      <c r="BM134" s="45"/>
      <c r="BN134" s="45"/>
      <c r="BO134" s="45"/>
      <c r="BP134" s="45"/>
      <c r="BQ134" s="45"/>
      <c r="BR134" s="45"/>
      <c r="BS134" s="45"/>
      <c r="BT134" s="45"/>
      <c r="BU134" s="45"/>
      <c r="BV134" s="45"/>
      <c r="BW134" s="45"/>
      <c r="BX134" s="45"/>
      <c r="BY134" s="45"/>
      <c r="BZ134" s="45"/>
      <c r="CA134" s="45"/>
      <c r="CB134" s="45"/>
      <c r="CC134" s="45"/>
      <c r="CD134" s="45"/>
      <c r="CE134" s="45"/>
      <c r="CF134" s="45"/>
      <c r="CG134" s="45"/>
      <c r="CH134" s="45"/>
      <c r="CI134" s="45"/>
      <c r="CJ134" s="45"/>
      <c r="CK134" s="45"/>
      <c r="CL134" s="45"/>
      <c r="CM134" s="45"/>
      <c r="CN134" s="45"/>
      <c r="CO134" s="45"/>
      <c r="CP134" s="45"/>
    </row>
    <row r="135" spans="1:124">
      <c r="A135" s="45"/>
      <c r="B135" s="45"/>
      <c r="C135" s="391" t="s">
        <v>224</v>
      </c>
      <c r="D135" s="45"/>
      <c r="E135" s="290"/>
      <c r="F135" s="260"/>
      <c r="G135" s="260"/>
      <c r="H135" s="291"/>
      <c r="I135" s="45"/>
      <c r="J135" s="290"/>
      <c r="K135" s="260"/>
      <c r="L135" s="646"/>
      <c r="M135" s="291"/>
      <c r="N135" s="45"/>
      <c r="O135" s="290"/>
      <c r="P135" s="260"/>
      <c r="Q135" s="260"/>
      <c r="R135" s="291"/>
      <c r="S135" s="45"/>
      <c r="T135" s="290"/>
      <c r="U135" s="260"/>
      <c r="V135" s="260"/>
      <c r="W135" s="291"/>
      <c r="X135" s="45"/>
      <c r="Y135" s="290"/>
      <c r="Z135" s="260"/>
      <c r="AA135" s="260"/>
      <c r="AB135" s="291"/>
      <c r="AC135" s="45"/>
      <c r="AD135" s="290"/>
      <c r="AE135" s="260"/>
      <c r="AF135" s="260"/>
      <c r="AG135" s="291"/>
      <c r="AH135" s="45"/>
      <c r="AI135" s="290"/>
      <c r="AJ135" s="260"/>
      <c r="AK135" s="260"/>
      <c r="AL135" s="291"/>
      <c r="AM135" s="45"/>
      <c r="AN135" s="290"/>
      <c r="AO135" s="260"/>
      <c r="AP135" s="260"/>
      <c r="AQ135" s="291"/>
      <c r="AR135" s="45"/>
      <c r="AS135" s="290">
        <f>Debt!CG289</f>
        <v>0</v>
      </c>
      <c r="AT135" s="260">
        <f>Debt!CH289</f>
        <v>0</v>
      </c>
      <c r="AU135" s="260">
        <f>Debt!CI289</f>
        <v>5.6875</v>
      </c>
      <c r="AV135" s="291">
        <f>Debt!CJ289</f>
        <v>5.6875</v>
      </c>
      <c r="AW135" s="45">
        <f>+SUM(AS135:AV135)</f>
        <v>11.375</v>
      </c>
      <c r="AX135" s="290">
        <f>Debt!CL289</f>
        <v>5.6875</v>
      </c>
      <c r="AY135" s="260">
        <f>Debt!CM289</f>
        <v>5.6875</v>
      </c>
      <c r="AZ135" s="260">
        <f>Debt!CN289</f>
        <v>1.1875</v>
      </c>
      <c r="BA135" s="291">
        <f>Debt!CO289</f>
        <v>1.1875</v>
      </c>
      <c r="BB135" s="45">
        <f>+SUM(AX135:BA135)</f>
        <v>13.75</v>
      </c>
      <c r="BC135" s="290">
        <f>Debt!CQ289</f>
        <v>1.1875</v>
      </c>
      <c r="BD135" s="260">
        <f>Debt!CR289</f>
        <v>1.1875</v>
      </c>
      <c r="BE135" s="260">
        <f>Debt!CS289</f>
        <v>1.1875</v>
      </c>
      <c r="BF135" s="291">
        <f>Debt!CT289</f>
        <v>1.1875</v>
      </c>
      <c r="BG135" s="45">
        <f>+SUM(BC135:BF135)</f>
        <v>4.75</v>
      </c>
      <c r="BH135" s="290">
        <f>Debt!CV289</f>
        <v>1.1875</v>
      </c>
      <c r="BI135" s="260">
        <f>Debt!CW289</f>
        <v>1.1875</v>
      </c>
      <c r="BJ135" s="260">
        <f>Debt!CX289</f>
        <v>3.4375</v>
      </c>
      <c r="BK135" s="291">
        <f>Debt!CY289</f>
        <v>3.4375</v>
      </c>
      <c r="BL135" s="45">
        <f>+SUM(BH135:BK135)</f>
        <v>9.25</v>
      </c>
      <c r="BM135" s="45"/>
      <c r="BN135" s="45"/>
      <c r="BO135" s="45"/>
      <c r="BP135" s="45"/>
      <c r="BQ135" s="45"/>
      <c r="BR135" s="45"/>
      <c r="BS135" s="45"/>
      <c r="BT135" s="45"/>
      <c r="BU135" s="45"/>
      <c r="BV135" s="45"/>
      <c r="BW135" s="45"/>
      <c r="BX135" s="45"/>
      <c r="BY135" s="45"/>
      <c r="BZ135" s="45"/>
      <c r="CA135" s="45"/>
      <c r="CB135" s="45"/>
      <c r="CC135" s="45"/>
      <c r="CD135" s="45"/>
      <c r="CE135" s="45"/>
      <c r="CF135" s="45"/>
      <c r="CG135" s="45"/>
      <c r="CH135" s="45"/>
      <c r="CI135" s="45"/>
      <c r="CJ135" s="45"/>
      <c r="CK135" s="45"/>
      <c r="CL135" s="45"/>
      <c r="CM135" s="45"/>
      <c r="CN135" s="45"/>
      <c r="CO135" s="45"/>
      <c r="CP135" s="45"/>
    </row>
    <row r="136" spans="1:124">
      <c r="A136" s="45"/>
      <c r="B136" s="45"/>
      <c r="C136" s="391" t="s">
        <v>225</v>
      </c>
      <c r="D136" s="45"/>
      <c r="E136" s="290"/>
      <c r="F136" s="260"/>
      <c r="G136" s="260"/>
      <c r="H136" s="291"/>
      <c r="I136" s="45"/>
      <c r="J136" s="290"/>
      <c r="K136" s="260"/>
      <c r="L136" s="646"/>
      <c r="M136" s="291"/>
      <c r="N136" s="45"/>
      <c r="O136" s="290"/>
      <c r="P136" s="260"/>
      <c r="Q136" s="260"/>
      <c r="R136" s="291"/>
      <c r="S136" s="45"/>
      <c r="T136" s="290"/>
      <c r="U136" s="260"/>
      <c r="V136" s="260"/>
      <c r="W136" s="291"/>
      <c r="X136" s="45"/>
      <c r="Y136" s="290"/>
      <c r="Z136" s="260"/>
      <c r="AA136" s="260"/>
      <c r="AB136" s="291"/>
      <c r="AC136" s="45"/>
      <c r="AD136" s="290"/>
      <c r="AE136" s="260"/>
      <c r="AF136" s="260"/>
      <c r="AG136" s="291"/>
      <c r="AH136" s="45"/>
      <c r="AI136" s="290"/>
      <c r="AJ136" s="260"/>
      <c r="AK136" s="260"/>
      <c r="AL136" s="291"/>
      <c r="AM136" s="45"/>
      <c r="AN136" s="290"/>
      <c r="AO136" s="260"/>
      <c r="AP136" s="260"/>
      <c r="AQ136" s="291"/>
      <c r="AR136" s="45"/>
      <c r="AS136" s="290">
        <f>Debt!CG281</f>
        <v>-0.47564692982456136</v>
      </c>
      <c r="AT136" s="260">
        <f>Debt!CH281</f>
        <v>-0.47564692982456136</v>
      </c>
      <c r="AU136" s="260">
        <f>Debt!CI281</f>
        <v>-5.2650372807017547</v>
      </c>
      <c r="AV136" s="291">
        <f>Debt!CJ281</f>
        <v>-5.2650372807017547</v>
      </c>
      <c r="AW136" s="45">
        <f>SUM(AS136:AV136)</f>
        <v>-11.481368421052633</v>
      </c>
      <c r="AX136" s="290">
        <f>Debt!CL281</f>
        <v>-5.2650372807017547</v>
      </c>
      <c r="AY136" s="260">
        <f>Debt!CM281</f>
        <v>-5.2650372807017547</v>
      </c>
      <c r="AZ136" s="260">
        <f>Debt!CN281</f>
        <v>-0.24461842105263154</v>
      </c>
      <c r="BA136" s="291">
        <f>Debt!CO281</f>
        <v>-0.24461842105263154</v>
      </c>
      <c r="BB136" s="45">
        <f>SUM(AX136:BA136)</f>
        <v>-11.019311403508773</v>
      </c>
      <c r="BC136" s="290">
        <f>Debt!CQ281</f>
        <v>-0.24461842105263154</v>
      </c>
      <c r="BD136" s="260">
        <f>Debt!CR281</f>
        <v>-0.24461842105263154</v>
      </c>
      <c r="BE136" s="260">
        <f>Debt!CS281</f>
        <v>-0.27179824561403504</v>
      </c>
      <c r="BF136" s="291">
        <f>Debt!CT281</f>
        <v>-0.27179824561403504</v>
      </c>
      <c r="BG136" s="45">
        <f>SUM(BC136:BF136)</f>
        <v>-1.0328333333333333</v>
      </c>
      <c r="BH136" s="290">
        <f>Debt!CV281</f>
        <v>-0.27179824561403504</v>
      </c>
      <c r="BI136" s="260">
        <f>Debt!CW281</f>
        <v>-0.27179824561403504</v>
      </c>
      <c r="BJ136" s="260">
        <f>Debt!CX281</f>
        <v>-2.8357049999999999</v>
      </c>
      <c r="BK136" s="291">
        <f>Debt!CY281</f>
        <v>-2.8357049999999999</v>
      </c>
      <c r="BL136" s="45">
        <f>SUM(BH136:BK136)</f>
        <v>-6.2150064912280705</v>
      </c>
      <c r="BM136" s="45"/>
      <c r="BN136" s="45"/>
      <c r="BO136" s="45"/>
      <c r="BP136" s="45"/>
      <c r="BQ136" s="45"/>
      <c r="BR136" s="45"/>
      <c r="BS136" s="45"/>
      <c r="BT136" s="45"/>
      <c r="BU136" s="45"/>
      <c r="BV136" s="45"/>
      <c r="BW136" s="45"/>
      <c r="BX136" s="45"/>
      <c r="BY136" s="45"/>
      <c r="BZ136" s="45"/>
      <c r="CA136" s="45"/>
      <c r="CB136" s="45"/>
      <c r="CC136" s="45"/>
      <c r="CD136" s="45"/>
      <c r="CE136" s="45"/>
      <c r="CF136" s="45"/>
      <c r="CG136" s="45"/>
      <c r="CH136" s="45"/>
      <c r="CI136" s="45"/>
      <c r="CJ136" s="45"/>
      <c r="CK136" s="45"/>
      <c r="CL136" s="45"/>
      <c r="CM136" s="45"/>
      <c r="CN136" s="45"/>
      <c r="CO136" s="45"/>
      <c r="CP136" s="45"/>
    </row>
    <row r="137" spans="1:124">
      <c r="A137" s="1716"/>
      <c r="B137" s="1716"/>
      <c r="C137" s="895"/>
      <c r="D137" s="1716"/>
      <c r="E137" s="1717"/>
      <c r="F137" s="1718"/>
      <c r="G137" s="1718"/>
      <c r="H137" s="1719"/>
      <c r="I137" s="1716"/>
      <c r="J137" s="1717"/>
      <c r="K137" s="1718"/>
      <c r="L137" s="1718"/>
      <c r="M137" s="1719"/>
      <c r="N137" s="1716"/>
      <c r="O137" s="1717"/>
      <c r="P137" s="1718"/>
      <c r="Q137" s="1718"/>
      <c r="R137" s="1719"/>
      <c r="S137" s="1716"/>
      <c r="T137" s="1717"/>
      <c r="U137" s="1718"/>
      <c r="V137" s="1718"/>
      <c r="W137" s="1719"/>
      <c r="X137" s="1716"/>
      <c r="Y137" s="1717"/>
      <c r="Z137" s="1718"/>
      <c r="AA137" s="1718"/>
      <c r="AB137" s="1719"/>
      <c r="AC137" s="1716"/>
      <c r="AD137" s="1717"/>
      <c r="AE137" s="1718"/>
      <c r="AF137" s="1718"/>
      <c r="AG137" s="1719"/>
      <c r="AH137" s="1716"/>
      <c r="AI137" s="1717"/>
      <c r="AJ137" s="1718"/>
      <c r="AK137" s="1718"/>
      <c r="AL137" s="1719"/>
      <c r="AM137" s="1716"/>
      <c r="AN137" s="1717"/>
      <c r="AO137" s="1718"/>
      <c r="AP137" s="1718"/>
      <c r="AQ137" s="1719"/>
      <c r="AR137" s="1716"/>
      <c r="AS137" s="1717"/>
      <c r="AT137" s="1718"/>
      <c r="AU137" s="1718"/>
      <c r="AV137" s="1719"/>
      <c r="AW137" s="1716"/>
      <c r="AX137" s="1717"/>
      <c r="AY137" s="1718"/>
      <c r="AZ137" s="1718"/>
      <c r="BA137" s="1719"/>
      <c r="BB137" s="1716"/>
      <c r="BC137" s="1717"/>
      <c r="BD137" s="1718"/>
      <c r="BE137" s="1718"/>
      <c r="BF137" s="1719"/>
      <c r="BG137" s="1716"/>
      <c r="BH137" s="1717"/>
      <c r="BI137" s="1718"/>
      <c r="BJ137" s="1718"/>
      <c r="BK137" s="1719"/>
      <c r="BL137" s="1716"/>
      <c r="BM137" s="1716"/>
      <c r="BN137" s="1716"/>
      <c r="BO137" s="1716"/>
      <c r="BP137" s="1716"/>
      <c r="BQ137" s="1716"/>
      <c r="BR137" s="1716"/>
      <c r="BS137" s="1716"/>
      <c r="BT137" s="1716"/>
      <c r="BU137" s="1716"/>
      <c r="BV137" s="1716"/>
      <c r="BW137" s="1716"/>
      <c r="BX137" s="1716"/>
      <c r="BY137" s="1716"/>
      <c r="BZ137" s="1716"/>
      <c r="CA137" s="1716"/>
      <c r="CB137" s="1716"/>
      <c r="CC137" s="1716"/>
      <c r="CD137" s="1716"/>
      <c r="CE137" s="1716"/>
      <c r="CF137" s="1716"/>
      <c r="CG137" s="1716"/>
      <c r="CH137" s="1716"/>
      <c r="CI137" s="1716"/>
      <c r="CJ137" s="1716"/>
      <c r="CK137" s="1716"/>
      <c r="CL137" s="1716"/>
      <c r="CM137" s="1716"/>
      <c r="CN137" s="1716"/>
      <c r="CO137" s="1716"/>
      <c r="CP137" s="1716"/>
    </row>
    <row r="138" spans="1:124">
      <c r="A138" s="1716"/>
      <c r="B138" s="1716"/>
      <c r="C138" s="391" t="s">
        <v>239</v>
      </c>
      <c r="D138" s="1716"/>
      <c r="E138" s="1717"/>
      <c r="F138" s="1718"/>
      <c r="G138" s="1718"/>
      <c r="H138" s="1719"/>
      <c r="I138" s="1716"/>
      <c r="J138" s="1717"/>
      <c r="K138" s="1718"/>
      <c r="L138" s="1337"/>
      <c r="M138" s="1701"/>
      <c r="N138" s="1713"/>
      <c r="O138" s="1717"/>
      <c r="P138" s="1718"/>
      <c r="Q138" s="1718"/>
      <c r="R138" s="1701"/>
      <c r="S138" s="1713"/>
      <c r="T138" s="1700"/>
      <c r="U138" s="1337"/>
      <c r="V138" s="1337"/>
      <c r="W138" s="1701"/>
      <c r="X138" s="1713"/>
      <c r="Y138" s="1700"/>
      <c r="Z138" s="1337"/>
      <c r="AA138" s="1337"/>
      <c r="AB138" s="1701"/>
      <c r="AC138" s="1713"/>
      <c r="AD138" s="1700"/>
      <c r="AE138" s="1337"/>
      <c r="AF138" s="1337"/>
      <c r="AG138" s="1701"/>
      <c r="AH138" s="1713"/>
      <c r="AI138" s="1700"/>
      <c r="AJ138" s="1337"/>
      <c r="AK138" s="1337"/>
      <c r="AL138" s="1701"/>
      <c r="AM138" s="1713"/>
      <c r="AN138" s="1700"/>
      <c r="AO138" s="1337"/>
      <c r="AP138" s="1337"/>
      <c r="AQ138" s="1701"/>
      <c r="AR138" s="1713"/>
      <c r="AS138" s="1700">
        <f>EXC!AX111</f>
        <v>0.02</v>
      </c>
      <c r="AT138" s="1337">
        <f>EXC!AY111</f>
        <v>0.02</v>
      </c>
      <c r="AU138" s="1337">
        <f>EXC!AZ111</f>
        <v>0.02</v>
      </c>
      <c r="AV138" s="1701">
        <f>EXC!BA111</f>
        <v>0.02</v>
      </c>
      <c r="AW138" s="1713">
        <f>EXC!BB111</f>
        <v>0.02</v>
      </c>
      <c r="AX138" s="1700">
        <f>EXC!BC111</f>
        <v>0.02</v>
      </c>
      <c r="AY138" s="1337">
        <f>EXC!BD111</f>
        <v>0.02</v>
      </c>
      <c r="AZ138" s="1337">
        <f>EXC!BE111</f>
        <v>0.02</v>
      </c>
      <c r="BA138" s="1701">
        <f>EXC!BF111</f>
        <v>0.02</v>
      </c>
      <c r="BB138" s="1713">
        <f>EXC!BG111</f>
        <v>0.02</v>
      </c>
      <c r="BC138" s="1700">
        <f>EXC!BH111</f>
        <v>0.02</v>
      </c>
      <c r="BD138" s="1337">
        <f>EXC!BI111</f>
        <v>0.02</v>
      </c>
      <c r="BE138" s="1337">
        <f>EXC!BJ111</f>
        <v>0.02</v>
      </c>
      <c r="BF138" s="1701">
        <f>EXC!BK111</f>
        <v>0.02</v>
      </c>
      <c r="BG138" s="1713">
        <f>EXC!BL111</f>
        <v>0.02</v>
      </c>
      <c r="BH138" s="1700">
        <f>EXC!BM111</f>
        <v>0.02</v>
      </c>
      <c r="BI138" s="1337">
        <f>EXC!BN111</f>
        <v>0.02</v>
      </c>
      <c r="BJ138" s="1337">
        <f>EXC!BO111</f>
        <v>0.02</v>
      </c>
      <c r="BK138" s="1701">
        <f>EXC!BP111</f>
        <v>0.02</v>
      </c>
      <c r="BL138" s="1713">
        <f>EXC!BQ111</f>
        <v>0.02</v>
      </c>
      <c r="BM138" s="1716"/>
      <c r="BN138" s="1716"/>
      <c r="BO138" s="1716"/>
      <c r="BP138" s="1716"/>
      <c r="BQ138" s="1716"/>
      <c r="BR138" s="1716"/>
      <c r="BS138" s="1716"/>
      <c r="BT138" s="1716"/>
      <c r="BU138" s="1716"/>
      <c r="BV138" s="1716"/>
      <c r="BW138" s="1716"/>
      <c r="BX138" s="1716"/>
      <c r="BY138" s="1716"/>
      <c r="BZ138" s="1716"/>
      <c r="CA138" s="1716"/>
      <c r="CB138" s="1716"/>
      <c r="CC138" s="1716"/>
      <c r="CD138" s="1716"/>
      <c r="CE138" s="1716"/>
      <c r="CF138" s="1716"/>
      <c r="CG138" s="1716"/>
      <c r="CH138" s="1716"/>
      <c r="CI138" s="1716"/>
      <c r="CJ138" s="1716"/>
      <c r="CK138" s="1716"/>
      <c r="CL138" s="1716"/>
      <c r="CM138" s="1716"/>
      <c r="CN138" s="1716"/>
      <c r="CO138" s="1716"/>
      <c r="CP138" s="1716"/>
    </row>
    <row r="139" spans="1:124">
      <c r="A139" s="1716"/>
      <c r="B139" s="1716"/>
      <c r="C139" s="1716"/>
      <c r="D139" s="1716"/>
      <c r="E139" s="1700"/>
      <c r="F139" s="1337"/>
      <c r="G139" s="1337"/>
      <c r="H139" s="1701"/>
      <c r="I139" s="1713"/>
      <c r="J139" s="1700"/>
      <c r="K139" s="1337"/>
      <c r="L139" s="1337"/>
      <c r="M139" s="1701"/>
      <c r="N139" s="1713"/>
      <c r="O139" s="1700"/>
      <c r="P139" s="1337"/>
      <c r="Q139" s="1337"/>
      <c r="R139" s="1701"/>
      <c r="S139" s="1713"/>
      <c r="T139" s="1700"/>
      <c r="U139" s="1337"/>
      <c r="V139" s="1337"/>
      <c r="W139" s="1701"/>
      <c r="X139" s="1713"/>
      <c r="Y139" s="1700"/>
      <c r="Z139" s="1337"/>
      <c r="AA139" s="1337"/>
      <c r="AB139" s="1701"/>
      <c r="AC139" s="1713"/>
      <c r="AD139" s="1700"/>
      <c r="AE139" s="1337"/>
      <c r="AF139" s="1337"/>
      <c r="AG139" s="1701"/>
      <c r="AH139" s="1713"/>
      <c r="AI139" s="1700"/>
      <c r="AJ139" s="1337"/>
      <c r="AK139" s="1337"/>
      <c r="AL139" s="1701"/>
      <c r="AM139" s="1713"/>
      <c r="AN139" s="1700"/>
      <c r="AO139" s="1337"/>
      <c r="AP139" s="1337"/>
      <c r="AQ139" s="1701"/>
      <c r="AR139" s="1713"/>
      <c r="AS139" s="1700"/>
      <c r="AT139" s="1337"/>
      <c r="AU139" s="1337"/>
      <c r="AV139" s="1701"/>
      <c r="AW139" s="1713"/>
      <c r="AX139" s="1700"/>
      <c r="AY139" s="1337"/>
      <c r="AZ139" s="1337"/>
      <c r="BA139" s="1701"/>
      <c r="BB139" s="1713"/>
      <c r="BC139" s="1700"/>
      <c r="BD139" s="1337"/>
      <c r="BE139" s="1337"/>
      <c r="BF139" s="1701"/>
      <c r="BG139" s="1713"/>
      <c r="BH139" s="1700"/>
      <c r="BI139" s="1337"/>
      <c r="BJ139" s="1337"/>
      <c r="BK139" s="1701"/>
      <c r="BL139" s="1713"/>
      <c r="BM139" s="1716"/>
      <c r="BN139" s="1716"/>
      <c r="BO139" s="1716"/>
      <c r="BP139" s="1716"/>
      <c r="BQ139" s="1716"/>
      <c r="BR139" s="1716"/>
      <c r="BS139" s="1716"/>
      <c r="BT139" s="1716"/>
      <c r="BU139" s="1716"/>
      <c r="BV139" s="1716"/>
      <c r="BW139" s="1716"/>
      <c r="BX139" s="1716"/>
      <c r="BY139" s="1716"/>
      <c r="BZ139" s="1716"/>
      <c r="CA139" s="1716"/>
      <c r="CB139" s="1774"/>
      <c r="CC139" s="1774"/>
      <c r="CD139" s="1774"/>
      <c r="CE139" s="657"/>
      <c r="CF139" s="1774"/>
      <c r="CG139" s="1774"/>
      <c r="CH139" s="1774"/>
      <c r="CI139" s="1774"/>
      <c r="CJ139" s="657"/>
      <c r="CK139" s="1774"/>
      <c r="CL139" s="1774"/>
      <c r="CM139" s="1774"/>
      <c r="CN139" s="1774"/>
      <c r="CO139" s="657"/>
      <c r="CP139" s="1716"/>
    </row>
    <row r="140" spans="1:124">
      <c r="A140" s="1716"/>
      <c r="B140" s="1716"/>
      <c r="C140" s="1716"/>
      <c r="D140" s="1716"/>
      <c r="E140" s="1717"/>
      <c r="F140" s="1718"/>
      <c r="G140" s="1718"/>
      <c r="H140" s="1719"/>
      <c r="I140" s="1716"/>
      <c r="J140" s="1717"/>
      <c r="K140" s="1718"/>
      <c r="L140" s="1718"/>
      <c r="M140" s="1719"/>
      <c r="N140" s="1716"/>
      <c r="O140" s="1717"/>
      <c r="P140" s="1718"/>
      <c r="Q140" s="1718"/>
      <c r="R140" s="1719"/>
      <c r="S140" s="1716"/>
      <c r="T140" s="1717"/>
      <c r="U140" s="1718"/>
      <c r="V140" s="1718"/>
      <c r="W140" s="1719"/>
      <c r="X140" s="1716"/>
      <c r="Y140" s="1717"/>
      <c r="Z140" s="1718"/>
      <c r="AA140" s="1718"/>
      <c r="AB140" s="1719"/>
      <c r="AC140" s="1716"/>
      <c r="AD140" s="1717"/>
      <c r="AE140" s="1718"/>
      <c r="AF140" s="1718"/>
      <c r="AG140" s="1719"/>
      <c r="AH140" s="1716"/>
      <c r="AI140" s="1717"/>
      <c r="AJ140" s="1718"/>
      <c r="AK140" s="1718"/>
      <c r="AL140" s="1719"/>
      <c r="AM140" s="1716"/>
      <c r="AN140" s="1717"/>
      <c r="AO140" s="1718"/>
      <c r="AP140" s="1718"/>
      <c r="AQ140" s="1719"/>
      <c r="AR140" s="1716"/>
      <c r="AS140" s="1717"/>
      <c r="AT140" s="1718"/>
      <c r="AU140" s="1718"/>
      <c r="AV140" s="1719"/>
      <c r="AW140" s="1716"/>
      <c r="AX140" s="1717"/>
      <c r="AY140" s="1718"/>
      <c r="AZ140" s="1718"/>
      <c r="BA140" s="1719"/>
      <c r="BB140" s="1716"/>
      <c r="BC140" s="1717"/>
      <c r="BD140" s="1718"/>
      <c r="BE140" s="1718"/>
      <c r="BF140" s="1719"/>
      <c r="BG140" s="1716"/>
      <c r="BH140" s="1717"/>
      <c r="BI140" s="1718"/>
      <c r="BJ140" s="1718"/>
      <c r="BK140" s="1719"/>
      <c r="BL140" s="1716"/>
      <c r="BM140" s="1716"/>
      <c r="BN140" s="1716"/>
      <c r="BO140" s="1716"/>
      <c r="BP140" s="1716"/>
      <c r="BQ140" s="1716"/>
      <c r="BR140" s="1716"/>
      <c r="BS140" s="1716"/>
      <c r="BT140" s="1716"/>
      <c r="BU140" s="1716"/>
      <c r="BV140" s="1716"/>
      <c r="BW140" s="1716"/>
      <c r="BX140" s="1716"/>
      <c r="BY140" s="1716"/>
      <c r="BZ140" s="1716"/>
      <c r="CA140" s="1716"/>
      <c r="CB140" s="1774"/>
      <c r="CC140" s="1774"/>
      <c r="CD140" s="1774"/>
      <c r="CE140" s="657"/>
      <c r="CF140" s="1774"/>
      <c r="CG140" s="1774"/>
      <c r="CH140" s="1774"/>
      <c r="CI140" s="1774"/>
      <c r="CJ140" s="657"/>
      <c r="CK140" s="1774"/>
      <c r="CL140" s="1774"/>
      <c r="CM140" s="1774"/>
      <c r="CN140" s="1774"/>
      <c r="CO140" s="657"/>
      <c r="CP140" s="1716"/>
    </row>
    <row r="141" spans="1:124">
      <c r="A141" s="1716"/>
      <c r="B141" s="1771" t="s">
        <v>276</v>
      </c>
      <c r="C141" s="1772"/>
      <c r="D141" s="1773"/>
      <c r="E141" s="1717"/>
      <c r="F141" s="1718"/>
      <c r="G141" s="1718"/>
      <c r="H141" s="1719"/>
      <c r="I141" s="1716"/>
      <c r="J141" s="1717"/>
      <c r="K141" s="1718"/>
      <c r="L141" s="1718"/>
      <c r="M141" s="1719"/>
      <c r="N141" s="1716"/>
      <c r="O141" s="1717"/>
      <c r="P141" s="1718"/>
      <c r="Q141" s="1718"/>
      <c r="R141" s="1719"/>
      <c r="S141" s="1716"/>
      <c r="T141" s="1717"/>
      <c r="U141" s="1718"/>
      <c r="V141" s="1718"/>
      <c r="W141" s="1719"/>
      <c r="X141" s="1716"/>
      <c r="Y141" s="1717"/>
      <c r="Z141" s="1718"/>
      <c r="AA141" s="1718"/>
      <c r="AB141" s="1719"/>
      <c r="AC141" s="1716"/>
      <c r="AD141" s="1717"/>
      <c r="AE141" s="1718"/>
      <c r="AF141" s="1718"/>
      <c r="AG141" s="1719"/>
      <c r="AH141" s="1716"/>
      <c r="AI141" s="1717"/>
      <c r="AJ141" s="1718"/>
      <c r="AK141" s="1718"/>
      <c r="AL141" s="1719"/>
      <c r="AM141" s="1716"/>
      <c r="AN141" s="1717"/>
      <c r="AO141" s="1718"/>
      <c r="AP141" s="1718"/>
      <c r="AQ141" s="1719"/>
      <c r="AR141" s="1716"/>
      <c r="AS141" s="1717"/>
      <c r="AT141" s="1718"/>
      <c r="AU141" s="1718"/>
      <c r="AV141" s="1719"/>
      <c r="AW141" s="1716"/>
      <c r="AX141" s="1717"/>
      <c r="AY141" s="1718"/>
      <c r="AZ141" s="1718"/>
      <c r="BA141" s="1719"/>
      <c r="BB141" s="1716"/>
      <c r="BC141" s="1717"/>
      <c r="BD141" s="1718"/>
      <c r="BE141" s="1718"/>
      <c r="BF141" s="1719"/>
      <c r="BG141" s="1716"/>
      <c r="BH141" s="1717"/>
      <c r="BI141" s="1718"/>
      <c r="BJ141" s="1718"/>
      <c r="BK141" s="1719"/>
      <c r="BL141" s="1716"/>
      <c r="BM141" s="1716"/>
      <c r="BN141" s="1716"/>
      <c r="BO141" s="1716"/>
      <c r="BP141" s="1716"/>
      <c r="BQ141" s="1716"/>
      <c r="BR141" s="1716"/>
      <c r="BS141" s="1716"/>
      <c r="BT141" s="1716"/>
      <c r="BU141" s="1716"/>
      <c r="BV141" s="1716"/>
      <c r="BW141" s="1716"/>
      <c r="BX141" s="1716"/>
      <c r="BY141" s="1716"/>
      <c r="BZ141" s="1716"/>
      <c r="CA141" s="1716"/>
      <c r="CB141" s="1776" t="s">
        <v>358</v>
      </c>
      <c r="CC141" s="1776" t="s">
        <v>359</v>
      </c>
      <c r="CD141" s="1776" t="s">
        <v>322</v>
      </c>
      <c r="CE141" s="1776" t="s">
        <v>323</v>
      </c>
      <c r="CF141" s="1776" t="s">
        <v>628</v>
      </c>
      <c r="CG141" s="1776" t="s">
        <v>324</v>
      </c>
      <c r="CH141" s="1776" t="s">
        <v>325</v>
      </c>
      <c r="CI141" s="1776" t="s">
        <v>326</v>
      </c>
      <c r="CJ141" s="1776" t="s">
        <v>327</v>
      </c>
      <c r="CK141" s="1776" t="s">
        <v>629</v>
      </c>
      <c r="CL141" s="1776" t="s">
        <v>268</v>
      </c>
      <c r="CM141" s="1776" t="s">
        <v>269</v>
      </c>
      <c r="CN141" s="1776" t="s">
        <v>270</v>
      </c>
      <c r="CO141" s="1776" t="s">
        <v>271</v>
      </c>
      <c r="CP141" s="1776" t="s">
        <v>630</v>
      </c>
      <c r="CQ141" s="1776" t="s">
        <v>616</v>
      </c>
      <c r="CR141" s="1776" t="s">
        <v>1201</v>
      </c>
      <c r="CS141" s="1776" t="s">
        <v>1251</v>
      </c>
      <c r="CT141" s="1776" t="s">
        <v>1252</v>
      </c>
      <c r="CU141" s="1776" t="s">
        <v>827</v>
      </c>
      <c r="CV141" s="1776" t="s">
        <v>674</v>
      </c>
      <c r="CW141" s="1776" t="s">
        <v>673</v>
      </c>
      <c r="CX141" s="1776" t="s">
        <v>919</v>
      </c>
      <c r="CY141" s="1776" t="s">
        <v>920</v>
      </c>
      <c r="CZ141" s="1776" t="s">
        <v>922</v>
      </c>
      <c r="DA141" s="1776" t="s">
        <v>1218</v>
      </c>
      <c r="DB141" s="1776" t="s">
        <v>1211</v>
      </c>
      <c r="DC141" s="1776" t="s">
        <v>1344</v>
      </c>
      <c r="DD141" s="1776" t="s">
        <v>1345</v>
      </c>
      <c r="DE141" s="1776" t="s">
        <v>1346</v>
      </c>
      <c r="DF141" s="1776" t="s">
        <v>1409</v>
      </c>
      <c r="DG141" s="1776" t="s">
        <v>1405</v>
      </c>
      <c r="DH141" s="1776" t="s">
        <v>1406</v>
      </c>
      <c r="DI141" s="1776" t="s">
        <v>1407</v>
      </c>
      <c r="DJ141" s="1776" t="s">
        <v>1408</v>
      </c>
      <c r="DK141" s="1776" t="s">
        <v>1436</v>
      </c>
      <c r="DL141" s="1776" t="s">
        <v>1439</v>
      </c>
      <c r="DM141" s="1776" t="s">
        <v>1480</v>
      </c>
      <c r="DN141" s="1776" t="s">
        <v>1501</v>
      </c>
      <c r="DO141" s="1776" t="s">
        <v>1503</v>
      </c>
      <c r="DP141" s="1776" t="s">
        <v>1515</v>
      </c>
      <c r="DQ141" s="1776" t="s">
        <v>1534</v>
      </c>
      <c r="DR141" s="1776" t="s">
        <v>1536</v>
      </c>
      <c r="DS141" s="1776" t="s">
        <v>1538</v>
      </c>
      <c r="DT141" s="1776" t="s">
        <v>1540</v>
      </c>
    </row>
    <row r="142" spans="1:124">
      <c r="A142" s="45"/>
      <c r="B142" s="45"/>
      <c r="C142" s="391" t="s">
        <v>321</v>
      </c>
      <c r="D142" s="45"/>
      <c r="E142" s="290"/>
      <c r="F142" s="260"/>
      <c r="G142" s="260"/>
      <c r="H142" s="291"/>
      <c r="I142" s="647">
        <f t="shared" ref="I142:I162" si="288">CK142</f>
        <v>53</v>
      </c>
      <c r="J142" s="290">
        <f t="shared" ref="J142:J147" si="289">+CL142</f>
        <v>6</v>
      </c>
      <c r="K142" s="260">
        <f t="shared" ref="K142:L147" si="290">+CM142-CL142</f>
        <v>18</v>
      </c>
      <c r="L142" s="260">
        <f t="shared" si="290"/>
        <v>17</v>
      </c>
      <c r="M142" s="291">
        <f t="shared" ref="M142:M147" si="291">CO142-CN142</f>
        <v>-2</v>
      </c>
      <c r="N142" s="647">
        <f t="shared" ref="N142:O147" si="292">+CP142</f>
        <v>39</v>
      </c>
      <c r="O142" s="290">
        <f t="shared" si="292"/>
        <v>2</v>
      </c>
      <c r="P142" s="260">
        <f t="shared" ref="P142:Q147" si="293">+CR142-CQ142</f>
        <v>14</v>
      </c>
      <c r="Q142" s="260">
        <f t="shared" si="293"/>
        <v>20</v>
      </c>
      <c r="R142" s="291">
        <f t="shared" ref="R142:R147" si="294">CT142-CS142</f>
        <v>-1</v>
      </c>
      <c r="S142" s="647">
        <f t="shared" ref="S142:T147" si="295">+CU142</f>
        <v>35</v>
      </c>
      <c r="T142" s="290">
        <f t="shared" si="295"/>
        <v>9</v>
      </c>
      <c r="U142" s="260">
        <f t="shared" ref="U142:V147" si="296">+CW142-CV142</f>
        <v>7</v>
      </c>
      <c r="V142" s="260">
        <f t="shared" si="296"/>
        <v>25</v>
      </c>
      <c r="W142" s="291">
        <f t="shared" ref="W142:W147" si="297">CY142-CX142</f>
        <v>9</v>
      </c>
      <c r="X142" s="647">
        <f t="shared" ref="X142:Y147" si="298">+CZ142</f>
        <v>50</v>
      </c>
      <c r="Y142" s="290">
        <f t="shared" si="298"/>
        <v>10</v>
      </c>
      <c r="Z142" s="260">
        <f t="shared" ref="Z142:AA147" si="299">+DB142-DA142</f>
        <v>6</v>
      </c>
      <c r="AA142" s="260">
        <f t="shared" si="299"/>
        <v>23</v>
      </c>
      <c r="AB142" s="291">
        <f t="shared" ref="AB142:AB147" si="300">DD142-DC142</f>
        <v>6</v>
      </c>
      <c r="AC142" s="647">
        <f t="shared" ref="AC142:AC147" si="301">+DE142</f>
        <v>45</v>
      </c>
      <c r="AD142" s="290">
        <f t="shared" ref="AD142:AD147" si="302">+DF142</f>
        <v>4</v>
      </c>
      <c r="AE142" s="260">
        <f t="shared" ref="AE142:AE147" si="303">+DG142-DF142</f>
        <v>10</v>
      </c>
      <c r="AF142" s="260">
        <f t="shared" ref="AF142:AF147" si="304">+DH142-DG142</f>
        <v>14</v>
      </c>
      <c r="AG142" s="291">
        <f t="shared" ref="AG142:AG147" si="305">DI142-DH142</f>
        <v>10</v>
      </c>
      <c r="AH142" s="647">
        <f t="shared" ref="AH142:AI147" si="306">+DJ142</f>
        <v>38</v>
      </c>
      <c r="AI142" s="290">
        <f t="shared" si="306"/>
        <v>-100</v>
      </c>
      <c r="AJ142" s="260">
        <f t="shared" ref="AJ142:AK147" si="307">+DL142-DK142</f>
        <v>3</v>
      </c>
      <c r="AK142" s="260">
        <f t="shared" si="307"/>
        <v>47</v>
      </c>
      <c r="AL142" s="291">
        <f t="shared" ref="AL142:AL147" si="308">DN142-DM142</f>
        <v>8</v>
      </c>
      <c r="AM142" s="647">
        <f t="shared" ref="AM142:AN147" si="309">+DO142</f>
        <v>-42</v>
      </c>
      <c r="AN142" s="290">
        <f t="shared" si="309"/>
        <v>28</v>
      </c>
      <c r="AO142" s="260">
        <f t="shared" ref="AO142:AO147" si="310">+DQ142-DP142</f>
        <v>8</v>
      </c>
      <c r="AP142" s="260">
        <f t="shared" ref="AP142:AP147" si="311">+DR142-DQ142</f>
        <v>41</v>
      </c>
      <c r="AQ142" s="291">
        <f t="shared" ref="AQ142:AQ147" si="312">DS142-DR142</f>
        <v>0</v>
      </c>
      <c r="AR142" s="647">
        <f t="shared" ref="AR142:AR147" si="313">+DT142</f>
        <v>77</v>
      </c>
      <c r="AS142" s="290">
        <f>+AS32</f>
        <v>10.992844060272288</v>
      </c>
      <c r="AT142" s="260">
        <f ca="1">+AT32</f>
        <v>12.710588693319728</v>
      </c>
      <c r="AU142" s="260">
        <f ca="1">+AU32</f>
        <v>58.122885576536611</v>
      </c>
      <c r="AV142" s="291">
        <f ca="1">+AV32</f>
        <v>10.423278255881536</v>
      </c>
      <c r="AW142" s="45">
        <f ca="1">SUM(AS142:AV142)</f>
        <v>92.249596586010171</v>
      </c>
      <c r="AX142" s="290">
        <f ca="1">+AX32</f>
        <v>12.301057310537596</v>
      </c>
      <c r="AY142" s="260">
        <f ca="1">+AY32</f>
        <v>13.826348139422793</v>
      </c>
      <c r="AZ142" s="260">
        <f ca="1">+AZ32</f>
        <v>63.765013876022365</v>
      </c>
      <c r="BA142" s="291">
        <f ca="1">+BA32</f>
        <v>15.872721596199302</v>
      </c>
      <c r="BB142" s="45">
        <f ca="1">SUM(AX142:BA142)</f>
        <v>105.76514092218206</v>
      </c>
      <c r="BC142" s="290">
        <f ca="1">+BC32</f>
        <v>19.106249835256005</v>
      </c>
      <c r="BD142" s="260">
        <f ca="1">+BD32</f>
        <v>20.987721669941926</v>
      </c>
      <c r="BE142" s="260">
        <f ca="1">+BE32</f>
        <v>66.08221682313804</v>
      </c>
      <c r="BF142" s="291">
        <f ca="1">+BF32</f>
        <v>18.09094810796277</v>
      </c>
      <c r="BG142" s="45">
        <f ca="1">SUM(BC142:BF142)</f>
        <v>124.26713643629874</v>
      </c>
      <c r="BH142" s="290">
        <f ca="1">+BH32</f>
        <v>21.082348225174343</v>
      </c>
      <c r="BI142" s="260">
        <f ca="1">+BI32</f>
        <v>22.967241906230981</v>
      </c>
      <c r="BJ142" s="260">
        <f ca="1">+BJ32</f>
        <v>68.36888298508309</v>
      </c>
      <c r="BK142" s="291">
        <f ca="1">+BK32</f>
        <v>20.882372966765274</v>
      </c>
      <c r="BL142" s="45">
        <f ca="1">SUM(BH142:BK142)</f>
        <v>133.3008460832537</v>
      </c>
      <c r="BM142" s="45"/>
      <c r="BN142" s="45"/>
      <c r="BO142" s="45"/>
      <c r="BP142" s="45"/>
      <c r="BQ142" s="45"/>
      <c r="BR142" s="45"/>
      <c r="BS142" s="45"/>
      <c r="BT142" s="45"/>
      <c r="BU142" s="45"/>
      <c r="BV142" s="45"/>
      <c r="BW142" s="45"/>
      <c r="BX142" s="45"/>
      <c r="BY142" s="45"/>
      <c r="BZ142" s="45"/>
      <c r="CA142" s="45"/>
      <c r="CB142" s="339"/>
      <c r="CC142" s="339"/>
      <c r="CD142" s="339"/>
      <c r="CE142" s="45">
        <f t="shared" ref="CE142:CE147" si="314">CF142-CD142</f>
        <v>0</v>
      </c>
      <c r="CF142" s="339"/>
      <c r="CG142" s="339"/>
      <c r="CH142" s="339"/>
      <c r="CI142" s="339"/>
      <c r="CJ142" s="45">
        <f t="shared" ref="CJ142:CJ147" si="315">CK142</f>
        <v>53</v>
      </c>
      <c r="CK142" s="339">
        <v>53</v>
      </c>
      <c r="CL142" s="339">
        <v>6</v>
      </c>
      <c r="CM142" s="339">
        <v>24</v>
      </c>
      <c r="CN142" s="339">
        <v>41</v>
      </c>
      <c r="CO142" s="45">
        <f t="shared" ref="CO142:CO147" si="316">CP142</f>
        <v>39</v>
      </c>
      <c r="CP142" s="339">
        <v>39</v>
      </c>
      <c r="CQ142" s="339">
        <v>2</v>
      </c>
      <c r="CR142" s="339">
        <v>16</v>
      </c>
      <c r="CS142" s="339">
        <v>36</v>
      </c>
      <c r="CT142" s="45">
        <f t="shared" ref="CT142:CT147" si="317">CU142</f>
        <v>35</v>
      </c>
      <c r="CU142" s="339">
        <v>35</v>
      </c>
      <c r="CV142" s="339">
        <v>9</v>
      </c>
      <c r="CW142" s="339">
        <v>16</v>
      </c>
      <c r="CX142" s="339">
        <v>41</v>
      </c>
      <c r="CY142" s="45">
        <f t="shared" ref="CY142:CY147" si="318">CZ142</f>
        <v>50</v>
      </c>
      <c r="CZ142" s="339">
        <v>50</v>
      </c>
      <c r="DA142" s="339">
        <v>10</v>
      </c>
      <c r="DB142" s="339">
        <v>16</v>
      </c>
      <c r="DC142" s="339">
        <v>39</v>
      </c>
      <c r="DD142" s="45">
        <f t="shared" ref="DD142:DD147" si="319">DE142</f>
        <v>45</v>
      </c>
      <c r="DE142" s="339">
        <v>45</v>
      </c>
      <c r="DF142" s="2056">
        <v>4</v>
      </c>
      <c r="DG142" s="2056">
        <v>14</v>
      </c>
      <c r="DH142" s="2056">
        <v>28</v>
      </c>
      <c r="DI142" s="45">
        <f t="shared" ref="DI142:DI147" si="320">DJ142</f>
        <v>38</v>
      </c>
      <c r="DJ142" s="2056">
        <v>38</v>
      </c>
      <c r="DK142" s="2056">
        <v>-100</v>
      </c>
      <c r="DL142" s="2056">
        <v>-97</v>
      </c>
      <c r="DM142" s="2056">
        <v>-50</v>
      </c>
      <c r="DN142" s="45">
        <f t="shared" ref="DN142:DN147" si="321">DO142</f>
        <v>-42</v>
      </c>
      <c r="DO142" s="2056">
        <v>-42</v>
      </c>
      <c r="DP142" s="2056">
        <v>28</v>
      </c>
      <c r="DQ142" s="2056">
        <v>36</v>
      </c>
      <c r="DR142" s="2056">
        <v>77</v>
      </c>
      <c r="DS142" s="45">
        <f t="shared" ref="DS142:DS147" si="322">DT142</f>
        <v>77</v>
      </c>
      <c r="DT142" s="2056">
        <v>77</v>
      </c>
    </row>
    <row r="143" spans="1:124">
      <c r="A143" s="45"/>
      <c r="B143" s="45"/>
      <c r="C143" s="391" t="s">
        <v>587</v>
      </c>
      <c r="D143" s="45"/>
      <c r="E143" s="290"/>
      <c r="F143" s="260"/>
      <c r="G143" s="260"/>
      <c r="H143" s="291"/>
      <c r="I143" s="647">
        <f t="shared" si="288"/>
        <v>112</v>
      </c>
      <c r="J143" s="290">
        <f t="shared" si="289"/>
        <v>33</v>
      </c>
      <c r="K143" s="260">
        <f t="shared" si="290"/>
        <v>33</v>
      </c>
      <c r="L143" s="260">
        <f t="shared" si="290"/>
        <v>41</v>
      </c>
      <c r="M143" s="291">
        <f t="shared" si="291"/>
        <v>27</v>
      </c>
      <c r="N143" s="647">
        <f t="shared" si="292"/>
        <v>134</v>
      </c>
      <c r="O143" s="290">
        <f t="shared" si="292"/>
        <v>28</v>
      </c>
      <c r="P143" s="260">
        <f t="shared" si="293"/>
        <v>27</v>
      </c>
      <c r="Q143" s="260">
        <f t="shared" si="293"/>
        <v>37</v>
      </c>
      <c r="R143" s="291">
        <f t="shared" si="294"/>
        <v>32</v>
      </c>
      <c r="S143" s="647">
        <f t="shared" si="295"/>
        <v>124</v>
      </c>
      <c r="T143" s="290">
        <f t="shared" si="295"/>
        <v>31</v>
      </c>
      <c r="U143" s="260">
        <f t="shared" si="296"/>
        <v>32</v>
      </c>
      <c r="V143" s="260">
        <f t="shared" si="296"/>
        <v>38</v>
      </c>
      <c r="W143" s="291">
        <f t="shared" si="297"/>
        <v>35</v>
      </c>
      <c r="X143" s="647">
        <f t="shared" si="298"/>
        <v>136</v>
      </c>
      <c r="Y143" s="290">
        <f t="shared" si="298"/>
        <v>38</v>
      </c>
      <c r="Z143" s="260">
        <f t="shared" si="299"/>
        <v>37</v>
      </c>
      <c r="AA143" s="260">
        <f t="shared" si="299"/>
        <v>42</v>
      </c>
      <c r="AB143" s="291">
        <f t="shared" si="300"/>
        <v>40</v>
      </c>
      <c r="AC143" s="647">
        <f t="shared" si="301"/>
        <v>157</v>
      </c>
      <c r="AD143" s="290">
        <f t="shared" si="302"/>
        <v>43</v>
      </c>
      <c r="AE143" s="260">
        <f t="shared" si="303"/>
        <v>43</v>
      </c>
      <c r="AF143" s="260">
        <f t="shared" si="304"/>
        <v>49</v>
      </c>
      <c r="AG143" s="291">
        <f t="shared" si="305"/>
        <v>41</v>
      </c>
      <c r="AH143" s="647">
        <f t="shared" si="306"/>
        <v>176</v>
      </c>
      <c r="AI143" s="290">
        <f t="shared" si="306"/>
        <v>40</v>
      </c>
      <c r="AJ143" s="260">
        <f t="shared" si="307"/>
        <v>41</v>
      </c>
      <c r="AK143" s="260">
        <f t="shared" si="307"/>
        <v>49</v>
      </c>
      <c r="AL143" s="291">
        <f t="shared" si="308"/>
        <v>35</v>
      </c>
      <c r="AM143" s="647">
        <f t="shared" si="309"/>
        <v>165</v>
      </c>
      <c r="AN143" s="290">
        <f t="shared" si="309"/>
        <v>35</v>
      </c>
      <c r="AO143" s="260">
        <f t="shared" si="310"/>
        <v>37</v>
      </c>
      <c r="AP143" s="260">
        <f t="shared" si="311"/>
        <v>41</v>
      </c>
      <c r="AQ143" s="291">
        <f t="shared" si="312"/>
        <v>33</v>
      </c>
      <c r="AR143" s="647">
        <f t="shared" si="313"/>
        <v>146</v>
      </c>
      <c r="AS143" s="290">
        <f>AS13+(AN143-AN13)</f>
        <v>32.024836999214457</v>
      </c>
      <c r="AT143" s="260">
        <f>AT13+(AO143-AO13)</f>
        <v>32.344907326759291</v>
      </c>
      <c r="AU143" s="260">
        <f>AU13+(AP143-AP13)</f>
        <v>32.925358501044563</v>
      </c>
      <c r="AV143" s="291">
        <f>AV13+(AQ143-AQ13)</f>
        <v>33.500322775936617</v>
      </c>
      <c r="AW143" s="45">
        <f>SUM(AS143:AV143)</f>
        <v>130.79542560295494</v>
      </c>
      <c r="AX143" s="290">
        <f>AX13+(AS143-AS13)</f>
        <v>30.819852018097606</v>
      </c>
      <c r="AY143" s="260">
        <f>AY13+(AT143-AT13)</f>
        <v>31.505611745052569</v>
      </c>
      <c r="AZ143" s="260">
        <f>AZ13+(AU143-AU13)</f>
        <v>31.975836401016153</v>
      </c>
      <c r="BA143" s="291">
        <f>BA13+(AV143-AV13)</f>
        <v>32.441616108819105</v>
      </c>
      <c r="BB143" s="45">
        <f>SUM(AX143:BA143)</f>
        <v>126.74291627298543</v>
      </c>
      <c r="BC143" s="290">
        <f>BC13+(AX143-AX13)</f>
        <v>33.402992885748034</v>
      </c>
      <c r="BD143" s="260">
        <f>BD13+(AY143-AY13)</f>
        <v>33.855281942834765</v>
      </c>
      <c r="BE143" s="260">
        <f>BE13+(AZ143-AZ13)</f>
        <v>34.303295593715369</v>
      </c>
      <c r="BF143" s="291">
        <f>BF13+(BA143-BA13)</f>
        <v>34.747074253027236</v>
      </c>
      <c r="BG143" s="45">
        <f>SUM(BC143:BF143)</f>
        <v>136.30864467532541</v>
      </c>
      <c r="BH143" s="290">
        <f>BH13+(BC143-BC13)</f>
        <v>30.186657953375498</v>
      </c>
      <c r="BI143" s="260">
        <f>BI13+(BD143-BD13)</f>
        <v>30.851135404023228</v>
      </c>
      <c r="BJ143" s="260">
        <f>BJ13+(BE143-BE13)</f>
        <v>31.09122625216671</v>
      </c>
      <c r="BK143" s="291">
        <f>BK13+(BF143-BF13)</f>
        <v>31.32904756518414</v>
      </c>
      <c r="BL143" s="45">
        <f>SUM(BH143:BK143)</f>
        <v>123.45806717474957</v>
      </c>
      <c r="BM143" s="45"/>
      <c r="BN143" s="45"/>
      <c r="BO143" s="45"/>
      <c r="BP143" s="45"/>
      <c r="BQ143" s="45"/>
      <c r="BR143" s="45"/>
      <c r="BS143" s="45"/>
      <c r="BT143" s="45"/>
      <c r="BU143" s="45"/>
      <c r="BV143" s="45"/>
      <c r="BW143" s="45"/>
      <c r="BX143" s="45"/>
      <c r="BY143" s="45"/>
      <c r="BZ143" s="45"/>
      <c r="CA143" s="45"/>
      <c r="CB143" s="339"/>
      <c r="CC143" s="339"/>
      <c r="CD143" s="339"/>
      <c r="CE143" s="45">
        <f t="shared" si="314"/>
        <v>0</v>
      </c>
      <c r="CF143" s="339"/>
      <c r="CG143" s="339"/>
      <c r="CH143" s="339"/>
      <c r="CI143" s="339"/>
      <c r="CJ143" s="45">
        <f t="shared" si="315"/>
        <v>112</v>
      </c>
      <c r="CK143" s="339">
        <v>112</v>
      </c>
      <c r="CL143" s="339">
        <v>33</v>
      </c>
      <c r="CM143" s="339">
        <v>66</v>
      </c>
      <c r="CN143" s="339">
        <v>107</v>
      </c>
      <c r="CO143" s="45">
        <f t="shared" si="316"/>
        <v>134</v>
      </c>
      <c r="CP143" s="339">
        <v>134</v>
      </c>
      <c r="CQ143" s="339">
        <v>28</v>
      </c>
      <c r="CR143" s="339">
        <v>55</v>
      </c>
      <c r="CS143" s="339">
        <v>92</v>
      </c>
      <c r="CT143" s="45">
        <f t="shared" si="317"/>
        <v>124</v>
      </c>
      <c r="CU143" s="339">
        <v>124</v>
      </c>
      <c r="CV143" s="339">
        <v>31</v>
      </c>
      <c r="CW143" s="339">
        <v>63</v>
      </c>
      <c r="CX143" s="339">
        <v>101</v>
      </c>
      <c r="CY143" s="45">
        <f t="shared" si="318"/>
        <v>136</v>
      </c>
      <c r="CZ143" s="339">
        <v>136</v>
      </c>
      <c r="DA143" s="339">
        <v>38</v>
      </c>
      <c r="DB143" s="339">
        <v>75</v>
      </c>
      <c r="DC143" s="339">
        <v>117</v>
      </c>
      <c r="DD143" s="45">
        <f t="shared" si="319"/>
        <v>157</v>
      </c>
      <c r="DE143" s="339">
        <v>157</v>
      </c>
      <c r="DF143" s="2056">
        <v>43</v>
      </c>
      <c r="DG143" s="2056">
        <v>86</v>
      </c>
      <c r="DH143" s="2056">
        <v>135</v>
      </c>
      <c r="DI143" s="45">
        <f t="shared" si="320"/>
        <v>176</v>
      </c>
      <c r="DJ143" s="2056">
        <v>176</v>
      </c>
      <c r="DK143" s="2056">
        <v>40</v>
      </c>
      <c r="DL143" s="2056">
        <v>81</v>
      </c>
      <c r="DM143" s="2056">
        <v>130</v>
      </c>
      <c r="DN143" s="45">
        <f t="shared" si="321"/>
        <v>165</v>
      </c>
      <c r="DO143" s="2056">
        <v>165</v>
      </c>
      <c r="DP143" s="2056">
        <v>35</v>
      </c>
      <c r="DQ143" s="2056">
        <v>72</v>
      </c>
      <c r="DR143" s="2056">
        <v>113</v>
      </c>
      <c r="DS143" s="45">
        <f t="shared" si="322"/>
        <v>146</v>
      </c>
      <c r="DT143" s="2056">
        <v>146</v>
      </c>
    </row>
    <row r="144" spans="1:124">
      <c r="A144" s="45"/>
      <c r="B144" s="45"/>
      <c r="C144" s="391" t="s">
        <v>632</v>
      </c>
      <c r="D144" s="45"/>
      <c r="E144" s="290"/>
      <c r="F144" s="260"/>
      <c r="G144" s="260"/>
      <c r="H144" s="291"/>
      <c r="I144" s="647">
        <f t="shared" si="288"/>
        <v>0</v>
      </c>
      <c r="J144" s="290">
        <f t="shared" si="289"/>
        <v>0</v>
      </c>
      <c r="K144" s="260">
        <f t="shared" si="290"/>
        <v>0</v>
      </c>
      <c r="L144" s="260">
        <f t="shared" si="290"/>
        <v>0</v>
      </c>
      <c r="M144" s="291">
        <f t="shared" si="291"/>
        <v>0</v>
      </c>
      <c r="N144" s="647">
        <f t="shared" si="292"/>
        <v>0</v>
      </c>
      <c r="O144" s="290">
        <f t="shared" si="292"/>
        <v>0</v>
      </c>
      <c r="P144" s="260">
        <f t="shared" si="293"/>
        <v>0</v>
      </c>
      <c r="Q144" s="260">
        <f t="shared" si="293"/>
        <v>0</v>
      </c>
      <c r="R144" s="291">
        <f t="shared" si="294"/>
        <v>0</v>
      </c>
      <c r="S144" s="647">
        <f t="shared" si="295"/>
        <v>0</v>
      </c>
      <c r="T144" s="290">
        <f t="shared" si="295"/>
        <v>0</v>
      </c>
      <c r="U144" s="260">
        <f t="shared" si="296"/>
        <v>0</v>
      </c>
      <c r="V144" s="260">
        <f t="shared" si="296"/>
        <v>0</v>
      </c>
      <c r="W144" s="291">
        <f t="shared" si="297"/>
        <v>0</v>
      </c>
      <c r="X144" s="647">
        <f t="shared" si="298"/>
        <v>0</v>
      </c>
      <c r="Y144" s="290">
        <f t="shared" si="298"/>
        <v>0</v>
      </c>
      <c r="Z144" s="260">
        <f t="shared" si="299"/>
        <v>0</v>
      </c>
      <c r="AA144" s="260">
        <f t="shared" si="299"/>
        <v>0</v>
      </c>
      <c r="AB144" s="291">
        <f t="shared" si="300"/>
        <v>0</v>
      </c>
      <c r="AC144" s="647">
        <f t="shared" si="301"/>
        <v>0</v>
      </c>
      <c r="AD144" s="290">
        <f t="shared" si="302"/>
        <v>0</v>
      </c>
      <c r="AE144" s="260">
        <f t="shared" si="303"/>
        <v>0</v>
      </c>
      <c r="AF144" s="260">
        <f t="shared" si="304"/>
        <v>0</v>
      </c>
      <c r="AG144" s="291">
        <f t="shared" si="305"/>
        <v>0</v>
      </c>
      <c r="AH144" s="647">
        <f t="shared" si="306"/>
        <v>0</v>
      </c>
      <c r="AI144" s="290">
        <f t="shared" si="306"/>
        <v>0</v>
      </c>
      <c r="AJ144" s="260">
        <f t="shared" si="307"/>
        <v>0</v>
      </c>
      <c r="AK144" s="260">
        <f t="shared" si="307"/>
        <v>0</v>
      </c>
      <c r="AL144" s="291">
        <f t="shared" si="308"/>
        <v>0</v>
      </c>
      <c r="AM144" s="647">
        <f t="shared" si="309"/>
        <v>0</v>
      </c>
      <c r="AN144" s="290">
        <f t="shared" si="309"/>
        <v>0</v>
      </c>
      <c r="AO144" s="260">
        <f t="shared" si="310"/>
        <v>0</v>
      </c>
      <c r="AP144" s="260">
        <f t="shared" si="311"/>
        <v>0</v>
      </c>
      <c r="AQ144" s="291">
        <f t="shared" si="312"/>
        <v>0</v>
      </c>
      <c r="AR144" s="647">
        <f t="shared" si="313"/>
        <v>0</v>
      </c>
      <c r="AS144" s="290">
        <f>+-AS19</f>
        <v>-1.4846842896517163</v>
      </c>
      <c r="AT144" s="260">
        <f>+-AT19</f>
        <v>-1.4846842896517163</v>
      </c>
      <c r="AU144" s="260">
        <f>+-AU19</f>
        <v>-1.4846842896517163</v>
      </c>
      <c r="AV144" s="291">
        <f>+-AV19</f>
        <v>-1.4846842896517163</v>
      </c>
      <c r="AW144" s="45">
        <f>SUM(AS144:AV144)</f>
        <v>-5.9387371586068651</v>
      </c>
      <c r="AX144" s="290">
        <f>+-AX19</f>
        <v>-1.512778752192433</v>
      </c>
      <c r="AY144" s="260">
        <f>+-AY19</f>
        <v>-1.512778752192433</v>
      </c>
      <c r="AZ144" s="260">
        <f>+-AZ19</f>
        <v>-1.512778752192433</v>
      </c>
      <c r="BA144" s="291">
        <f>+-BA19</f>
        <v>-1.512778752192433</v>
      </c>
      <c r="BB144" s="45">
        <f>SUM(AX144:BA144)</f>
        <v>-6.0511150087697319</v>
      </c>
      <c r="BC144" s="290">
        <f>+-BC19</f>
        <v>-1.4047231270358305</v>
      </c>
      <c r="BD144" s="260">
        <f>+-BD19</f>
        <v>-1.4047231270358305</v>
      </c>
      <c r="BE144" s="260">
        <f>+-BE19</f>
        <v>-1.4047231270358305</v>
      </c>
      <c r="BF144" s="291">
        <f>+-BF19</f>
        <v>-1.4047231270358305</v>
      </c>
      <c r="BG144" s="45">
        <f>SUM(BC144:BF144)</f>
        <v>-5.6188925081433219</v>
      </c>
      <c r="BH144" s="290">
        <f>+-BH19</f>
        <v>-1.1886118767226259</v>
      </c>
      <c r="BI144" s="260">
        <f>+-BI19</f>
        <v>-1.1886118767226259</v>
      </c>
      <c r="BJ144" s="260">
        <f>+-BJ19</f>
        <v>-1.1886118767226259</v>
      </c>
      <c r="BK144" s="291">
        <f>+-BK19</f>
        <v>-1.1886118767226259</v>
      </c>
      <c r="BL144" s="45">
        <f>SUM(BH144:BK144)</f>
        <v>-4.7544475068905037</v>
      </c>
      <c r="BM144" s="45"/>
      <c r="BN144" s="45"/>
      <c r="BO144" s="45"/>
      <c r="BP144" s="45"/>
      <c r="BQ144" s="45"/>
      <c r="BR144" s="45"/>
      <c r="BS144" s="45"/>
      <c r="BT144" s="45"/>
      <c r="BU144" s="45"/>
      <c r="BV144" s="45"/>
      <c r="BW144" s="45"/>
      <c r="BX144" s="45"/>
      <c r="BY144" s="45"/>
      <c r="BZ144" s="45"/>
      <c r="CA144" s="45"/>
      <c r="CB144" s="339"/>
      <c r="CC144" s="339"/>
      <c r="CD144" s="339"/>
      <c r="CE144" s="45">
        <f t="shared" si="314"/>
        <v>0</v>
      </c>
      <c r="CF144" s="339"/>
      <c r="CG144" s="339"/>
      <c r="CH144" s="339"/>
      <c r="CI144" s="339"/>
      <c r="CJ144" s="45">
        <f t="shared" si="315"/>
        <v>0</v>
      </c>
      <c r="CK144" s="339">
        <v>0</v>
      </c>
      <c r="CL144" s="339">
        <v>0</v>
      </c>
      <c r="CM144" s="339">
        <v>0</v>
      </c>
      <c r="CN144" s="339">
        <v>0</v>
      </c>
      <c r="CO144" s="45">
        <f t="shared" si="316"/>
        <v>0</v>
      </c>
      <c r="CP144" s="339">
        <v>0</v>
      </c>
      <c r="CQ144" s="339">
        <v>0</v>
      </c>
      <c r="CR144" s="339">
        <v>0</v>
      </c>
      <c r="CS144" s="339">
        <v>0</v>
      </c>
      <c r="CT144" s="45">
        <f t="shared" si="317"/>
        <v>0</v>
      </c>
      <c r="CU144" s="339">
        <v>0</v>
      </c>
      <c r="CV144" s="339">
        <v>0</v>
      </c>
      <c r="CW144" s="339">
        <v>0</v>
      </c>
      <c r="CX144" s="339">
        <v>0</v>
      </c>
      <c r="CY144" s="45">
        <f t="shared" si="318"/>
        <v>0</v>
      </c>
      <c r="CZ144" s="339">
        <v>0</v>
      </c>
      <c r="DA144" s="339">
        <v>0</v>
      </c>
      <c r="DB144" s="339">
        <v>0</v>
      </c>
      <c r="DC144" s="339">
        <v>0</v>
      </c>
      <c r="DD144" s="45">
        <f t="shared" si="319"/>
        <v>0</v>
      </c>
      <c r="DE144" s="339">
        <v>0</v>
      </c>
      <c r="DF144" s="2056">
        <v>0</v>
      </c>
      <c r="DG144" s="2056">
        <v>0</v>
      </c>
      <c r="DH144" s="2056">
        <v>0</v>
      </c>
      <c r="DI144" s="45">
        <f t="shared" si="320"/>
        <v>0</v>
      </c>
      <c r="DJ144" s="2056">
        <v>0</v>
      </c>
      <c r="DK144" s="2056">
        <v>0</v>
      </c>
      <c r="DL144" s="2056">
        <v>0</v>
      </c>
      <c r="DM144" s="2056">
        <v>0</v>
      </c>
      <c r="DN144" s="45">
        <f t="shared" si="321"/>
        <v>0</v>
      </c>
      <c r="DO144" s="2056">
        <v>0</v>
      </c>
      <c r="DP144" s="2056">
        <v>0</v>
      </c>
      <c r="DQ144" s="2056">
        <v>0</v>
      </c>
      <c r="DR144" s="2056">
        <v>0</v>
      </c>
      <c r="DS144" s="45">
        <f t="shared" si="322"/>
        <v>0</v>
      </c>
      <c r="DT144" s="2056">
        <v>0</v>
      </c>
    </row>
    <row r="145" spans="1:124">
      <c r="A145" s="45"/>
      <c r="B145" s="45"/>
      <c r="C145" s="391" t="s">
        <v>75</v>
      </c>
      <c r="D145" s="45"/>
      <c r="E145" s="290"/>
      <c r="F145" s="260"/>
      <c r="G145" s="260"/>
      <c r="H145" s="291"/>
      <c r="I145" s="647">
        <f t="shared" si="288"/>
        <v>49</v>
      </c>
      <c r="J145" s="290">
        <f t="shared" si="289"/>
        <v>9</v>
      </c>
      <c r="K145" s="260">
        <f t="shared" si="290"/>
        <v>21</v>
      </c>
      <c r="L145" s="260">
        <f t="shared" si="290"/>
        <v>9</v>
      </c>
      <c r="M145" s="291">
        <f t="shared" si="291"/>
        <v>3</v>
      </c>
      <c r="N145" s="647">
        <f t="shared" si="292"/>
        <v>42</v>
      </c>
      <c r="O145" s="290">
        <f t="shared" si="292"/>
        <v>72</v>
      </c>
      <c r="P145" s="260">
        <f t="shared" si="293"/>
        <v>-8</v>
      </c>
      <c r="Q145" s="260">
        <f t="shared" si="293"/>
        <v>8</v>
      </c>
      <c r="R145" s="291">
        <f t="shared" si="294"/>
        <v>-10</v>
      </c>
      <c r="S145" s="647">
        <f t="shared" si="295"/>
        <v>62</v>
      </c>
      <c r="T145" s="290">
        <f t="shared" si="295"/>
        <v>2</v>
      </c>
      <c r="U145" s="260">
        <f t="shared" si="296"/>
        <v>19</v>
      </c>
      <c r="V145" s="260">
        <f t="shared" si="296"/>
        <v>22</v>
      </c>
      <c r="W145" s="291">
        <f t="shared" si="297"/>
        <v>10</v>
      </c>
      <c r="X145" s="647">
        <f t="shared" si="298"/>
        <v>53</v>
      </c>
      <c r="Y145" s="290">
        <f t="shared" si="298"/>
        <v>7</v>
      </c>
      <c r="Z145" s="260">
        <f t="shared" si="299"/>
        <v>4</v>
      </c>
      <c r="AA145" s="260">
        <f t="shared" si="299"/>
        <v>17</v>
      </c>
      <c r="AB145" s="291">
        <f t="shared" si="300"/>
        <v>9</v>
      </c>
      <c r="AC145" s="647">
        <f t="shared" si="301"/>
        <v>37</v>
      </c>
      <c r="AD145" s="290">
        <f t="shared" si="302"/>
        <v>2</v>
      </c>
      <c r="AE145" s="260">
        <f t="shared" si="303"/>
        <v>7</v>
      </c>
      <c r="AF145" s="260">
        <f t="shared" si="304"/>
        <v>-2</v>
      </c>
      <c r="AG145" s="291">
        <f t="shared" si="305"/>
        <v>23</v>
      </c>
      <c r="AH145" s="647">
        <f t="shared" si="306"/>
        <v>30</v>
      </c>
      <c r="AI145" s="290">
        <f t="shared" si="306"/>
        <v>-33</v>
      </c>
      <c r="AJ145" s="260">
        <f t="shared" si="307"/>
        <v>5</v>
      </c>
      <c r="AK145" s="260">
        <f t="shared" si="307"/>
        <v>42</v>
      </c>
      <c r="AL145" s="291">
        <f t="shared" si="308"/>
        <v>8</v>
      </c>
      <c r="AM145" s="647">
        <f t="shared" si="309"/>
        <v>22</v>
      </c>
      <c r="AN145" s="290">
        <f t="shared" si="309"/>
        <v>-7</v>
      </c>
      <c r="AO145" s="260">
        <f t="shared" si="310"/>
        <v>-1</v>
      </c>
      <c r="AP145" s="260">
        <f t="shared" si="311"/>
        <v>36</v>
      </c>
      <c r="AQ145" s="291">
        <f t="shared" si="312"/>
        <v>4</v>
      </c>
      <c r="AR145" s="647">
        <f t="shared" si="313"/>
        <v>32</v>
      </c>
      <c r="AS145" s="290">
        <f ca="1">+AW145/4</f>
        <v>5.2130644473443848</v>
      </c>
      <c r="AT145" s="260">
        <f ca="1">(AW145-SUM(AS145:AS145))/3</f>
        <v>5.2130644473443848</v>
      </c>
      <c r="AU145" s="260">
        <f ca="1">(AW145-SUM(AS145:AT145))/2</f>
        <v>5.2130644473443848</v>
      </c>
      <c r="AV145" s="291">
        <f ca="1">(AW145-SUM(AS145:AU145))/1</f>
        <v>5.2130644473443848</v>
      </c>
      <c r="AW145" s="2058">
        <f ca="1">(AW28/EXC!BB37)*EXC!BB152</f>
        <v>20.852257789377539</v>
      </c>
      <c r="AX145" s="290">
        <f ca="1">+BB145/4</f>
        <v>6.0592416011467476</v>
      </c>
      <c r="AY145" s="260">
        <f ca="1">(BB145-SUM(AX145:AX145))/3</f>
        <v>6.0592416011467476</v>
      </c>
      <c r="AZ145" s="260">
        <f ca="1">(BB145-SUM(AX145:AY145))/2</f>
        <v>6.0592416011467476</v>
      </c>
      <c r="BA145" s="291">
        <f ca="1">(BB145-SUM(AX145:AZ145))/1</f>
        <v>6.0592416011467485</v>
      </c>
      <c r="BB145" s="2058">
        <f ca="1">(BB28/EXC!BG37)*EXC!BG152</f>
        <v>24.23696640458699</v>
      </c>
      <c r="BC145" s="290">
        <f ca="1">+BG145/4</f>
        <v>7.599269517287345</v>
      </c>
      <c r="BD145" s="260">
        <f ca="1">(BG145-SUM(BC145:BC145))/3</f>
        <v>7.5992695172873441</v>
      </c>
      <c r="BE145" s="260">
        <f ca="1">(BG145-SUM(BC145:BD145))/2</f>
        <v>7.599269517287345</v>
      </c>
      <c r="BF145" s="291">
        <f ca="1">(BG145-SUM(BC145:BE145))/1</f>
        <v>7.5992695172873468</v>
      </c>
      <c r="BG145" s="2058">
        <f ca="1">(BG28/EXC!BL37)*EXC!BL152</f>
        <v>30.39707806914938</v>
      </c>
      <c r="BH145" s="290">
        <f ca="1">+BL145/4</f>
        <v>8.056531490309272</v>
      </c>
      <c r="BI145" s="260">
        <f ca="1">(BL145-SUM(BH145:BH145))/3</f>
        <v>8.056531490309272</v>
      </c>
      <c r="BJ145" s="260">
        <f ca="1">(BL145-SUM(BH145:BI145))/2</f>
        <v>8.056531490309272</v>
      </c>
      <c r="BK145" s="291">
        <f ca="1">(BL145-SUM(BH145:BJ145))/1</f>
        <v>8.056531490309272</v>
      </c>
      <c r="BL145" s="2058">
        <f ca="1">(BL28/EXC!BQ37)*EXC!BQ152</f>
        <v>32.226125961237088</v>
      </c>
      <c r="BM145" s="45"/>
      <c r="BN145" s="45"/>
      <c r="BO145" s="45"/>
      <c r="BP145" s="45"/>
      <c r="BQ145" s="45"/>
      <c r="BR145" s="45"/>
      <c r="BS145" s="45"/>
      <c r="BT145" s="45"/>
      <c r="BU145" s="45"/>
      <c r="BV145" s="45"/>
      <c r="BW145" s="45"/>
      <c r="BX145" s="45"/>
      <c r="BY145" s="45"/>
      <c r="BZ145" s="45"/>
      <c r="CA145" s="45"/>
      <c r="CB145" s="339"/>
      <c r="CC145" s="339"/>
      <c r="CD145" s="339"/>
      <c r="CE145" s="45">
        <f t="shared" si="314"/>
        <v>0</v>
      </c>
      <c r="CF145" s="339"/>
      <c r="CG145" s="339"/>
      <c r="CH145" s="339"/>
      <c r="CI145" s="339"/>
      <c r="CJ145" s="45">
        <f t="shared" si="315"/>
        <v>49</v>
      </c>
      <c r="CK145" s="339">
        <v>49</v>
      </c>
      <c r="CL145" s="339">
        <v>9</v>
      </c>
      <c r="CM145" s="339">
        <v>30</v>
      </c>
      <c r="CN145" s="339">
        <v>39</v>
      </c>
      <c r="CO145" s="45">
        <f t="shared" si="316"/>
        <v>42</v>
      </c>
      <c r="CP145" s="339">
        <v>42</v>
      </c>
      <c r="CQ145" s="339">
        <v>72</v>
      </c>
      <c r="CR145" s="339">
        <v>64</v>
      </c>
      <c r="CS145" s="339">
        <v>72</v>
      </c>
      <c r="CT145" s="45">
        <f t="shared" si="317"/>
        <v>62</v>
      </c>
      <c r="CU145" s="339">
        <v>62</v>
      </c>
      <c r="CV145" s="339">
        <v>2</v>
      </c>
      <c r="CW145" s="339">
        <v>21</v>
      </c>
      <c r="CX145" s="339">
        <v>43</v>
      </c>
      <c r="CY145" s="45">
        <f t="shared" si="318"/>
        <v>53</v>
      </c>
      <c r="CZ145" s="339">
        <v>53</v>
      </c>
      <c r="DA145" s="339">
        <v>7</v>
      </c>
      <c r="DB145" s="339">
        <v>11</v>
      </c>
      <c r="DC145" s="339">
        <v>28</v>
      </c>
      <c r="DD145" s="45">
        <f t="shared" si="319"/>
        <v>37</v>
      </c>
      <c r="DE145" s="339">
        <v>37</v>
      </c>
      <c r="DF145" s="2056">
        <v>2</v>
      </c>
      <c r="DG145" s="2056">
        <v>9</v>
      </c>
      <c r="DH145" s="2056">
        <v>7</v>
      </c>
      <c r="DI145" s="45">
        <f t="shared" si="320"/>
        <v>30</v>
      </c>
      <c r="DJ145" s="2056">
        <v>30</v>
      </c>
      <c r="DK145" s="2056">
        <v>-33</v>
      </c>
      <c r="DL145" s="2056">
        <v>-28</v>
      </c>
      <c r="DM145" s="2056">
        <v>14</v>
      </c>
      <c r="DN145" s="45">
        <f t="shared" si="321"/>
        <v>22</v>
      </c>
      <c r="DO145" s="2056">
        <v>22</v>
      </c>
      <c r="DP145" s="2056">
        <v>-7</v>
      </c>
      <c r="DQ145" s="2056">
        <v>-8</v>
      </c>
      <c r="DR145" s="2056">
        <v>28</v>
      </c>
      <c r="DS145" s="45">
        <f t="shared" si="322"/>
        <v>32</v>
      </c>
      <c r="DT145" s="2056">
        <v>32</v>
      </c>
    </row>
    <row r="146" spans="1:124">
      <c r="A146" s="45"/>
      <c r="B146" s="45"/>
      <c r="C146" s="391" t="s">
        <v>62</v>
      </c>
      <c r="D146" s="45"/>
      <c r="E146" s="290"/>
      <c r="F146" s="260"/>
      <c r="G146" s="260"/>
      <c r="H146" s="291"/>
      <c r="I146" s="647">
        <f t="shared" si="288"/>
        <v>-1</v>
      </c>
      <c r="J146" s="290">
        <f t="shared" si="289"/>
        <v>0</v>
      </c>
      <c r="K146" s="260">
        <f t="shared" si="290"/>
        <v>0</v>
      </c>
      <c r="L146" s="260">
        <f t="shared" si="290"/>
        <v>0</v>
      </c>
      <c r="M146" s="291">
        <f t="shared" si="291"/>
        <v>-1</v>
      </c>
      <c r="N146" s="647">
        <f t="shared" si="292"/>
        <v>-1</v>
      </c>
      <c r="O146" s="290">
        <f t="shared" si="292"/>
        <v>0</v>
      </c>
      <c r="P146" s="260">
        <f t="shared" si="293"/>
        <v>0</v>
      </c>
      <c r="Q146" s="260">
        <f t="shared" si="293"/>
        <v>0</v>
      </c>
      <c r="R146" s="291">
        <f t="shared" si="294"/>
        <v>-1</v>
      </c>
      <c r="S146" s="647">
        <f t="shared" si="295"/>
        <v>-1</v>
      </c>
      <c r="T146" s="290">
        <f t="shared" si="295"/>
        <v>0</v>
      </c>
      <c r="U146" s="260">
        <f t="shared" si="296"/>
        <v>0</v>
      </c>
      <c r="V146" s="260">
        <f t="shared" si="296"/>
        <v>0</v>
      </c>
      <c r="W146" s="291">
        <f t="shared" si="297"/>
        <v>-1</v>
      </c>
      <c r="X146" s="647">
        <f t="shared" si="298"/>
        <v>-1</v>
      </c>
      <c r="Y146" s="290">
        <f t="shared" si="298"/>
        <v>0</v>
      </c>
      <c r="Z146" s="260">
        <f t="shared" si="299"/>
        <v>0</v>
      </c>
      <c r="AA146" s="260">
        <f t="shared" si="299"/>
        <v>0</v>
      </c>
      <c r="AB146" s="291">
        <f t="shared" si="300"/>
        <v>0</v>
      </c>
      <c r="AC146" s="647">
        <f t="shared" si="301"/>
        <v>0</v>
      </c>
      <c r="AD146" s="290">
        <f t="shared" si="302"/>
        <v>0</v>
      </c>
      <c r="AE146" s="260">
        <f t="shared" si="303"/>
        <v>0</v>
      </c>
      <c r="AF146" s="260">
        <f t="shared" si="304"/>
        <v>0</v>
      </c>
      <c r="AG146" s="291">
        <f t="shared" si="305"/>
        <v>0</v>
      </c>
      <c r="AH146" s="647">
        <f t="shared" si="306"/>
        <v>0</v>
      </c>
      <c r="AI146" s="290">
        <f t="shared" si="306"/>
        <v>132</v>
      </c>
      <c r="AJ146" s="260">
        <f t="shared" si="307"/>
        <v>6</v>
      </c>
      <c r="AK146" s="260">
        <f t="shared" si="307"/>
        <v>0</v>
      </c>
      <c r="AL146" s="291">
        <f t="shared" si="308"/>
        <v>17</v>
      </c>
      <c r="AM146" s="647">
        <f t="shared" si="309"/>
        <v>155</v>
      </c>
      <c r="AN146" s="290">
        <f t="shared" si="309"/>
        <v>2</v>
      </c>
      <c r="AO146" s="260">
        <f t="shared" si="310"/>
        <v>5</v>
      </c>
      <c r="AP146" s="260">
        <f t="shared" si="311"/>
        <v>14</v>
      </c>
      <c r="AQ146" s="291">
        <f t="shared" si="312"/>
        <v>3</v>
      </c>
      <c r="AR146" s="647">
        <f t="shared" si="313"/>
        <v>24</v>
      </c>
      <c r="AS146" s="290">
        <f>+AW146/4</f>
        <v>0</v>
      </c>
      <c r="AT146" s="260">
        <f>(AW146-SUM(AS146:AS146))/3</f>
        <v>0</v>
      </c>
      <c r="AU146" s="260">
        <f>(AW146-SUM(AS146:AT146))/2</f>
        <v>0</v>
      </c>
      <c r="AV146" s="291">
        <f>(AW146-SUM(AS146:AU146))/1</f>
        <v>0</v>
      </c>
      <c r="AW146" s="1003">
        <v>0</v>
      </c>
      <c r="AX146" s="290">
        <f>+BB146/4</f>
        <v>0</v>
      </c>
      <c r="AY146" s="260">
        <f>(BB146-SUM(AX146:AX146))/3</f>
        <v>0</v>
      </c>
      <c r="AZ146" s="260">
        <f>(BB146-SUM(AX146:AY146))/2</f>
        <v>0</v>
      </c>
      <c r="BA146" s="291">
        <f>(BB146-SUM(AX146:AZ146))/1</f>
        <v>0</v>
      </c>
      <c r="BB146" s="1003">
        <v>0</v>
      </c>
      <c r="BC146" s="290">
        <f>+BG146/4</f>
        <v>0</v>
      </c>
      <c r="BD146" s="260">
        <f>(BG146-SUM(BC146:BC146))/3</f>
        <v>0</v>
      </c>
      <c r="BE146" s="260">
        <f>(BG146-SUM(BC146:BD146))/2</f>
        <v>0</v>
      </c>
      <c r="BF146" s="291">
        <f>(BG146-SUM(BC146:BE146))/1</f>
        <v>0</v>
      </c>
      <c r="BG146" s="2058">
        <v>0</v>
      </c>
      <c r="BH146" s="290">
        <f>+BL146/4</f>
        <v>0</v>
      </c>
      <c r="BI146" s="260">
        <f>(BL146-SUM(BH146:BH146))/3</f>
        <v>0</v>
      </c>
      <c r="BJ146" s="260">
        <f>(BL146-SUM(BH146:BI146))/2</f>
        <v>0</v>
      </c>
      <c r="BK146" s="291">
        <f>(BL146-SUM(BH146:BJ146))/1</f>
        <v>0</v>
      </c>
      <c r="BL146" s="2058">
        <v>0</v>
      </c>
      <c r="BM146" s="45"/>
      <c r="BN146" s="45"/>
      <c r="BO146" s="45"/>
      <c r="BP146" s="45"/>
      <c r="BQ146" s="45"/>
      <c r="BR146" s="45"/>
      <c r="BS146" s="45"/>
      <c r="BT146" s="45"/>
      <c r="BU146" s="45"/>
      <c r="BV146" s="45"/>
      <c r="BW146" s="45"/>
      <c r="BX146" s="45"/>
      <c r="BY146" s="45"/>
      <c r="BZ146" s="45"/>
      <c r="CA146" s="45"/>
      <c r="CB146" s="339"/>
      <c r="CC146" s="339"/>
      <c r="CD146" s="339"/>
      <c r="CE146" s="45">
        <f t="shared" si="314"/>
        <v>0</v>
      </c>
      <c r="CF146" s="339"/>
      <c r="CG146" s="339"/>
      <c r="CH146" s="339"/>
      <c r="CI146" s="339"/>
      <c r="CJ146" s="45">
        <f t="shared" si="315"/>
        <v>-1</v>
      </c>
      <c r="CK146" s="339">
        <v>-1</v>
      </c>
      <c r="CL146" s="339">
        <v>0</v>
      </c>
      <c r="CM146" s="339">
        <v>0</v>
      </c>
      <c r="CN146" s="339">
        <v>0</v>
      </c>
      <c r="CO146" s="45">
        <f t="shared" si="316"/>
        <v>-1</v>
      </c>
      <c r="CP146" s="339">
        <v>-1</v>
      </c>
      <c r="CQ146" s="339">
        <v>0</v>
      </c>
      <c r="CR146" s="339">
        <v>0</v>
      </c>
      <c r="CS146" s="339">
        <v>0</v>
      </c>
      <c r="CT146" s="45">
        <f t="shared" si="317"/>
        <v>-1</v>
      </c>
      <c r="CU146" s="339">
        <v>-1</v>
      </c>
      <c r="CV146" s="339">
        <v>0</v>
      </c>
      <c r="CW146" s="339">
        <v>0</v>
      </c>
      <c r="CX146" s="339">
        <v>0</v>
      </c>
      <c r="CY146" s="45">
        <f t="shared" si="318"/>
        <v>-1</v>
      </c>
      <c r="CZ146" s="339">
        <v>-1</v>
      </c>
      <c r="DA146" s="339">
        <v>0</v>
      </c>
      <c r="DB146" s="339">
        <v>0</v>
      </c>
      <c r="DC146" s="339">
        <v>0</v>
      </c>
      <c r="DD146" s="45">
        <f t="shared" si="319"/>
        <v>0</v>
      </c>
      <c r="DE146" s="339">
        <v>0</v>
      </c>
      <c r="DF146" s="2056">
        <v>0</v>
      </c>
      <c r="DG146" s="2056">
        <v>0</v>
      </c>
      <c r="DH146" s="2056">
        <v>0</v>
      </c>
      <c r="DI146" s="45">
        <f t="shared" si="320"/>
        <v>0</v>
      </c>
      <c r="DJ146" s="2056">
        <v>0</v>
      </c>
      <c r="DK146" s="2056">
        <v>132</v>
      </c>
      <c r="DL146" s="2056">
        <v>138</v>
      </c>
      <c r="DM146" s="2056">
        <v>138</v>
      </c>
      <c r="DN146" s="45">
        <f t="shared" si="321"/>
        <v>155</v>
      </c>
      <c r="DO146" s="2056">
        <v>155</v>
      </c>
      <c r="DP146" s="2056">
        <v>2</v>
      </c>
      <c r="DQ146" s="2056">
        <v>7</v>
      </c>
      <c r="DR146" s="2056">
        <v>21</v>
      </c>
      <c r="DS146" s="45">
        <f t="shared" si="322"/>
        <v>24</v>
      </c>
      <c r="DT146" s="2056">
        <f>7+17</f>
        <v>24</v>
      </c>
    </row>
    <row r="147" spans="1:124">
      <c r="A147" s="45"/>
      <c r="B147" s="45"/>
      <c r="C147" s="391" t="s">
        <v>233</v>
      </c>
      <c r="D147" s="45"/>
      <c r="E147" s="290"/>
      <c r="F147" s="260"/>
      <c r="G147" s="260"/>
      <c r="H147" s="291"/>
      <c r="I147" s="647">
        <f t="shared" si="288"/>
        <v>-154</v>
      </c>
      <c r="J147" s="290">
        <f t="shared" si="289"/>
        <v>-15</v>
      </c>
      <c r="K147" s="260">
        <f t="shared" si="290"/>
        <v>-86</v>
      </c>
      <c r="L147" s="260">
        <f t="shared" si="290"/>
        <v>36</v>
      </c>
      <c r="M147" s="291">
        <f t="shared" si="291"/>
        <v>22</v>
      </c>
      <c r="N147" s="647">
        <f t="shared" si="292"/>
        <v>-43</v>
      </c>
      <c r="O147" s="290">
        <f t="shared" si="292"/>
        <v>-91</v>
      </c>
      <c r="P147" s="260">
        <f t="shared" si="293"/>
        <v>-63</v>
      </c>
      <c r="Q147" s="260">
        <f t="shared" si="293"/>
        <v>28</v>
      </c>
      <c r="R147" s="291">
        <f t="shared" si="294"/>
        <v>39</v>
      </c>
      <c r="S147" s="647">
        <f t="shared" si="295"/>
        <v>-87</v>
      </c>
      <c r="T147" s="290">
        <f t="shared" si="295"/>
        <v>-19</v>
      </c>
      <c r="U147" s="260">
        <f t="shared" si="296"/>
        <v>-32</v>
      </c>
      <c r="V147" s="260">
        <f t="shared" si="296"/>
        <v>36</v>
      </c>
      <c r="W147" s="291">
        <f t="shared" si="297"/>
        <v>23</v>
      </c>
      <c r="X147" s="647">
        <f t="shared" si="298"/>
        <v>8</v>
      </c>
      <c r="Y147" s="290">
        <f t="shared" si="298"/>
        <v>57</v>
      </c>
      <c r="Z147" s="260">
        <f t="shared" si="299"/>
        <v>-48</v>
      </c>
      <c r="AA147" s="260">
        <f t="shared" si="299"/>
        <v>22</v>
      </c>
      <c r="AB147" s="291">
        <f t="shared" si="300"/>
        <v>-11</v>
      </c>
      <c r="AC147" s="647">
        <f t="shared" si="301"/>
        <v>20</v>
      </c>
      <c r="AD147" s="290">
        <f t="shared" si="302"/>
        <v>14</v>
      </c>
      <c r="AE147" s="260">
        <f t="shared" si="303"/>
        <v>-40</v>
      </c>
      <c r="AF147" s="260">
        <f t="shared" si="304"/>
        <v>34</v>
      </c>
      <c r="AG147" s="291">
        <f t="shared" si="305"/>
        <v>4</v>
      </c>
      <c r="AH147" s="647">
        <f t="shared" si="306"/>
        <v>12</v>
      </c>
      <c r="AI147" s="290">
        <f t="shared" si="306"/>
        <v>207</v>
      </c>
      <c r="AJ147" s="260">
        <f t="shared" si="307"/>
        <v>-93</v>
      </c>
      <c r="AK147" s="260">
        <f>+DM147-DL147</f>
        <v>-31</v>
      </c>
      <c r="AL147" s="291">
        <f t="shared" si="308"/>
        <v>2</v>
      </c>
      <c r="AM147" s="647">
        <f t="shared" si="309"/>
        <v>85</v>
      </c>
      <c r="AN147" s="290">
        <f t="shared" si="309"/>
        <v>0</v>
      </c>
      <c r="AO147" s="260">
        <f t="shared" si="310"/>
        <v>-30</v>
      </c>
      <c r="AP147" s="260">
        <f t="shared" si="311"/>
        <v>-51</v>
      </c>
      <c r="AQ147" s="291">
        <f t="shared" si="312"/>
        <v>8</v>
      </c>
      <c r="AR147" s="647">
        <f t="shared" si="313"/>
        <v>-73</v>
      </c>
      <c r="AS147" s="290">
        <f>+AW147/4</f>
        <v>0</v>
      </c>
      <c r="AT147" s="260">
        <f>(AW147-SUM(AS147:AS147))/3</f>
        <v>0</v>
      </c>
      <c r="AU147" s="260">
        <f>(AW147-SUM(AS147:AT147))/2</f>
        <v>0</v>
      </c>
      <c r="AV147" s="291">
        <f>(AW147-SUM(AS147:AU147))/1</f>
        <v>0</v>
      </c>
      <c r="AW147" s="1003">
        <v>0</v>
      </c>
      <c r="AX147" s="290">
        <f>+BB147/4</f>
        <v>0</v>
      </c>
      <c r="AY147" s="260">
        <f>(BB147-SUM(AX147:AX147))/3</f>
        <v>0</v>
      </c>
      <c r="AZ147" s="260">
        <f>(BB147-SUM(AX147:AY147))/2</f>
        <v>0</v>
      </c>
      <c r="BA147" s="291">
        <f>(BB147-SUM(AX147:AZ147))/1</f>
        <v>0</v>
      </c>
      <c r="BB147" s="1003">
        <v>0</v>
      </c>
      <c r="BC147" s="290">
        <f>+BG147/4</f>
        <v>0</v>
      </c>
      <c r="BD147" s="260">
        <f>(BG147-SUM(BC147:BC147))/3</f>
        <v>0</v>
      </c>
      <c r="BE147" s="260">
        <f>(BG147-SUM(BC147:BD147))/2</f>
        <v>0</v>
      </c>
      <c r="BF147" s="291">
        <f>(BG147-SUM(BC147:BE147))/1</f>
        <v>0</v>
      </c>
      <c r="BG147" s="2058">
        <v>0</v>
      </c>
      <c r="BH147" s="290">
        <f>+BL147/4</f>
        <v>0</v>
      </c>
      <c r="BI147" s="260">
        <f>(BL147-SUM(BH147:BH147))/3</f>
        <v>0</v>
      </c>
      <c r="BJ147" s="260">
        <f>(BL147-SUM(BH147:BI147))/2</f>
        <v>0</v>
      </c>
      <c r="BK147" s="291">
        <f>(BL147-SUM(BH147:BJ147))/1</f>
        <v>0</v>
      </c>
      <c r="BL147" s="2058">
        <v>0</v>
      </c>
      <c r="BM147" s="45"/>
      <c r="BN147" s="45"/>
      <c r="BO147" s="45"/>
      <c r="BP147" s="45"/>
      <c r="BQ147" s="45"/>
      <c r="BR147" s="45"/>
      <c r="BS147" s="45"/>
      <c r="BT147" s="45"/>
      <c r="BU147" s="45"/>
      <c r="BV147" s="45"/>
      <c r="BW147" s="45"/>
      <c r="BX147" s="45"/>
      <c r="BY147" s="45"/>
      <c r="BZ147" s="45"/>
      <c r="CA147" s="45"/>
      <c r="CB147" s="339"/>
      <c r="CC147" s="339"/>
      <c r="CD147" s="339"/>
      <c r="CE147" s="45">
        <f t="shared" si="314"/>
        <v>0</v>
      </c>
      <c r="CF147" s="339"/>
      <c r="CG147" s="339"/>
      <c r="CH147" s="339"/>
      <c r="CI147" s="339"/>
      <c r="CJ147" s="45">
        <f t="shared" si="315"/>
        <v>-154</v>
      </c>
      <c r="CK147" s="339">
        <f>-35-2-107-24-10+24</f>
        <v>-154</v>
      </c>
      <c r="CL147" s="339">
        <f>16-3-23-30+12+3+10</f>
        <v>-15</v>
      </c>
      <c r="CM147" s="339">
        <f>-56-34-5-30+13+11</f>
        <v>-101</v>
      </c>
      <c r="CN147" s="339">
        <f>-12-7-25-58-2-30+49+20</f>
        <v>-65</v>
      </c>
      <c r="CO147" s="45">
        <f t="shared" si="316"/>
        <v>-43</v>
      </c>
      <c r="CP147" s="339">
        <f>26-8-74-18-30+45+16</f>
        <v>-43</v>
      </c>
      <c r="CQ147" s="339">
        <f>17-1-16-8-30-63+10</f>
        <v>-91</v>
      </c>
      <c r="CR147" s="339">
        <f>-43-36+5-30-47-3</f>
        <v>-154</v>
      </c>
      <c r="CS147" s="339">
        <f>-47-5-12-20+26-30-51+13</f>
        <v>-126</v>
      </c>
      <c r="CT147" s="45">
        <f t="shared" si="317"/>
        <v>-87</v>
      </c>
      <c r="CU147" s="339">
        <f>-7-5-33+12-30-43+19</f>
        <v>-87</v>
      </c>
      <c r="CV147" s="339">
        <f>1-1-30+3+8</f>
        <v>-19</v>
      </c>
      <c r="CW147" s="339">
        <f>-39-5+14-30+5+4</f>
        <v>-51</v>
      </c>
      <c r="CX147" s="339">
        <f>-23-2-11+35+2-30-1+15</f>
        <v>-15</v>
      </c>
      <c r="CY147" s="45">
        <f t="shared" si="318"/>
        <v>8</v>
      </c>
      <c r="CZ147" s="339">
        <f>7+2+19+4-30-6+12</f>
        <v>8</v>
      </c>
      <c r="DA147" s="339">
        <f>-5+42+4+5+11</f>
        <v>57</v>
      </c>
      <c r="DB147" s="339">
        <f>9-36+29-4+4+7</f>
        <v>9</v>
      </c>
      <c r="DC147" s="339">
        <f>-10+2-15+26+11-1+18</f>
        <v>31</v>
      </c>
      <c r="DD147" s="45">
        <f t="shared" si="319"/>
        <v>20</v>
      </c>
      <c r="DE147" s="339">
        <f>18+5+13-13-16+13</f>
        <v>20</v>
      </c>
      <c r="DF147" s="2056">
        <f>+-37+27+9+7+8</f>
        <v>14</v>
      </c>
      <c r="DG147" s="2056">
        <f>+-49-33+10+34+8+4</f>
        <v>-26</v>
      </c>
      <c r="DH147" s="2056">
        <f>-68-3-7+26+33+13+14</f>
        <v>8</v>
      </c>
      <c r="DI147" s="45">
        <f t="shared" si="320"/>
        <v>12</v>
      </c>
      <c r="DJ147" s="2056">
        <f>+-44+21+12+10+13</f>
        <v>12</v>
      </c>
      <c r="DK147" s="2056">
        <f>5+20-2+19+168-3</f>
        <v>207</v>
      </c>
      <c r="DL147" s="2056">
        <f>31+8-2+6+181-110</f>
        <v>114</v>
      </c>
      <c r="DM147" s="2056">
        <f>-32+9-1+10+184-87</f>
        <v>83</v>
      </c>
      <c r="DN147" s="45">
        <f t="shared" si="321"/>
        <v>85</v>
      </c>
      <c r="DO147" s="2056">
        <f>-8+13-1+9+174-17-85</f>
        <v>85</v>
      </c>
      <c r="DP147" s="2056">
        <f>14-5-1-5+3-6</f>
        <v>0</v>
      </c>
      <c r="DQ147" s="2056">
        <f>18-6-3+3+11-53</f>
        <v>-30</v>
      </c>
      <c r="DR147" s="2056">
        <f>-7-5-7+9-9-62</f>
        <v>-81</v>
      </c>
      <c r="DS147" s="45">
        <f t="shared" si="322"/>
        <v>-73</v>
      </c>
      <c r="DT147" s="2056">
        <f>14-7-2-11-20-47</f>
        <v>-73</v>
      </c>
    </row>
    <row r="148" spans="1:124">
      <c r="A148" s="45"/>
      <c r="B148" s="45"/>
      <c r="C148" s="389" t="s">
        <v>148</v>
      </c>
      <c r="D148" s="45"/>
      <c r="E148" s="292"/>
      <c r="F148" s="261"/>
      <c r="G148" s="261"/>
      <c r="H148" s="293"/>
      <c r="I148" s="583">
        <f t="shared" si="288"/>
        <v>59</v>
      </c>
      <c r="J148" s="292">
        <f t="shared" ref="J148:AW148" si="323">SUM(J142:J147)</f>
        <v>33</v>
      </c>
      <c r="K148" s="261">
        <f t="shared" si="323"/>
        <v>-14</v>
      </c>
      <c r="L148" s="261">
        <f t="shared" si="323"/>
        <v>103</v>
      </c>
      <c r="M148" s="293">
        <f t="shared" si="323"/>
        <v>49</v>
      </c>
      <c r="N148" s="583">
        <f t="shared" si="323"/>
        <v>171</v>
      </c>
      <c r="O148" s="292">
        <f t="shared" si="323"/>
        <v>11</v>
      </c>
      <c r="P148" s="261">
        <f t="shared" si="323"/>
        <v>-30</v>
      </c>
      <c r="Q148" s="261">
        <f t="shared" si="323"/>
        <v>93</v>
      </c>
      <c r="R148" s="293">
        <f t="shared" si="323"/>
        <v>59</v>
      </c>
      <c r="S148" s="583">
        <f t="shared" si="323"/>
        <v>133</v>
      </c>
      <c r="T148" s="292">
        <f t="shared" si="323"/>
        <v>23</v>
      </c>
      <c r="U148" s="261">
        <f t="shared" si="323"/>
        <v>26</v>
      </c>
      <c r="V148" s="261">
        <f t="shared" si="323"/>
        <v>121</v>
      </c>
      <c r="W148" s="293">
        <f t="shared" si="323"/>
        <v>76</v>
      </c>
      <c r="X148" s="583">
        <f t="shared" si="323"/>
        <v>246</v>
      </c>
      <c r="Y148" s="292">
        <f t="shared" si="323"/>
        <v>112</v>
      </c>
      <c r="Z148" s="261">
        <f t="shared" si="323"/>
        <v>-1</v>
      </c>
      <c r="AA148" s="261">
        <f t="shared" ref="AA148" si="324">SUM(AA142:AA147)</f>
        <v>104</v>
      </c>
      <c r="AB148" s="293">
        <f t="shared" ref="AB148:AC148" si="325">SUM(AB142:AB147)</f>
        <v>44</v>
      </c>
      <c r="AC148" s="583">
        <f t="shared" si="325"/>
        <v>259</v>
      </c>
      <c r="AD148" s="292">
        <f t="shared" ref="AD148:AE148" si="326">SUM(AD142:AD147)</f>
        <v>63</v>
      </c>
      <c r="AE148" s="261">
        <f t="shared" si="326"/>
        <v>20</v>
      </c>
      <c r="AF148" s="261">
        <f t="shared" ref="AF148:AJ148" si="327">SUM(AF142:AF147)</f>
        <v>95</v>
      </c>
      <c r="AG148" s="293">
        <f t="shared" si="327"/>
        <v>78</v>
      </c>
      <c r="AH148" s="583">
        <f t="shared" si="327"/>
        <v>256</v>
      </c>
      <c r="AI148" s="292">
        <f t="shared" si="327"/>
        <v>246</v>
      </c>
      <c r="AJ148" s="261">
        <f t="shared" si="327"/>
        <v>-38</v>
      </c>
      <c r="AK148" s="261">
        <f t="shared" ref="AK148:AO148" si="328">SUM(AK142:AK147)</f>
        <v>107</v>
      </c>
      <c r="AL148" s="293">
        <f t="shared" si="328"/>
        <v>70</v>
      </c>
      <c r="AM148" s="583">
        <f t="shared" si="328"/>
        <v>385</v>
      </c>
      <c r="AN148" s="292">
        <f t="shared" si="328"/>
        <v>58</v>
      </c>
      <c r="AO148" s="261">
        <f t="shared" si="328"/>
        <v>19</v>
      </c>
      <c r="AP148" s="261">
        <f t="shared" ref="AP148:AR148" si="329">SUM(AP142:AP147)</f>
        <v>81</v>
      </c>
      <c r="AQ148" s="293">
        <f t="shared" si="329"/>
        <v>48</v>
      </c>
      <c r="AR148" s="583">
        <f t="shared" si="329"/>
        <v>206</v>
      </c>
      <c r="AS148" s="292">
        <f t="shared" ca="1" si="323"/>
        <v>46.746061217179417</v>
      </c>
      <c r="AT148" s="261">
        <f t="shared" ca="1" si="323"/>
        <v>48.783876177771688</v>
      </c>
      <c r="AU148" s="261">
        <f t="shared" ca="1" si="323"/>
        <v>94.776624235273843</v>
      </c>
      <c r="AV148" s="293">
        <f t="shared" ca="1" si="323"/>
        <v>47.651981189510821</v>
      </c>
      <c r="AW148" s="228">
        <f t="shared" ca="1" si="323"/>
        <v>237.95854281973578</v>
      </c>
      <c r="AX148" s="292">
        <f t="shared" ref="AX148:BG148" ca="1" si="330">SUM(AX142:AX147)</f>
        <v>47.667372177589513</v>
      </c>
      <c r="AY148" s="261">
        <f t="shared" ca="1" si="330"/>
        <v>49.878422733429673</v>
      </c>
      <c r="AZ148" s="261">
        <f t="shared" ca="1" si="330"/>
        <v>100.28731312599284</v>
      </c>
      <c r="BA148" s="293">
        <f t="shared" ca="1" si="330"/>
        <v>52.860800553972723</v>
      </c>
      <c r="BB148" s="228">
        <f t="shared" ca="1" si="330"/>
        <v>250.69390859098473</v>
      </c>
      <c r="BC148" s="292">
        <f t="shared" ca="1" si="330"/>
        <v>58.70378911125556</v>
      </c>
      <c r="BD148" s="261">
        <f t="shared" ca="1" si="330"/>
        <v>61.037550003028208</v>
      </c>
      <c r="BE148" s="261">
        <f t="shared" ca="1" si="330"/>
        <v>106.5800588071049</v>
      </c>
      <c r="BF148" s="293">
        <f t="shared" ca="1" si="330"/>
        <v>59.032568751241527</v>
      </c>
      <c r="BG148" s="228">
        <f t="shared" ca="1" si="330"/>
        <v>285.35396667263024</v>
      </c>
      <c r="BH148" s="292">
        <f t="shared" ref="BH148:BL148" ca="1" si="331">SUM(BH142:BH147)</f>
        <v>58.136925792136495</v>
      </c>
      <c r="BI148" s="261">
        <f t="shared" ca="1" si="331"/>
        <v>60.686296923840857</v>
      </c>
      <c r="BJ148" s="261">
        <f t="shared" ca="1" si="331"/>
        <v>106.32802885083643</v>
      </c>
      <c r="BK148" s="293">
        <f t="shared" ca="1" si="331"/>
        <v>59.079340145536065</v>
      </c>
      <c r="BL148" s="228">
        <f t="shared" ca="1" si="331"/>
        <v>284.23059171234991</v>
      </c>
      <c r="BM148" s="45"/>
      <c r="BN148" s="45"/>
      <c r="BO148" s="45"/>
      <c r="BP148" s="45"/>
      <c r="BQ148" s="45"/>
      <c r="BR148" s="45"/>
      <c r="BS148" s="45"/>
      <c r="BT148" s="45"/>
      <c r="BU148" s="45"/>
      <c r="BV148" s="45"/>
      <c r="BW148" s="45"/>
      <c r="BX148" s="45"/>
      <c r="BY148" s="45"/>
      <c r="BZ148" s="45"/>
      <c r="CA148" s="45"/>
      <c r="CB148" s="228">
        <f t="shared" ref="CB148:DB148" si="332">SUM(CB142:CB147)</f>
        <v>0</v>
      </c>
      <c r="CC148" s="228">
        <f t="shared" si="332"/>
        <v>0</v>
      </c>
      <c r="CD148" s="228">
        <f t="shared" si="332"/>
        <v>0</v>
      </c>
      <c r="CE148" s="228">
        <f t="shared" si="332"/>
        <v>0</v>
      </c>
      <c r="CF148" s="228">
        <f t="shared" si="332"/>
        <v>0</v>
      </c>
      <c r="CG148" s="228">
        <f t="shared" si="332"/>
        <v>0</v>
      </c>
      <c r="CH148" s="228">
        <f t="shared" si="332"/>
        <v>0</v>
      </c>
      <c r="CI148" s="228">
        <f t="shared" si="332"/>
        <v>0</v>
      </c>
      <c r="CJ148" s="228">
        <f t="shared" si="332"/>
        <v>59</v>
      </c>
      <c r="CK148" s="228">
        <f t="shared" si="332"/>
        <v>59</v>
      </c>
      <c r="CL148" s="228">
        <f t="shared" si="332"/>
        <v>33</v>
      </c>
      <c r="CM148" s="228">
        <f t="shared" si="332"/>
        <v>19</v>
      </c>
      <c r="CN148" s="228">
        <f t="shared" si="332"/>
        <v>122</v>
      </c>
      <c r="CO148" s="228">
        <f t="shared" si="332"/>
        <v>171</v>
      </c>
      <c r="CP148" s="228">
        <f t="shared" si="332"/>
        <v>171</v>
      </c>
      <c r="CQ148" s="228">
        <f t="shared" si="332"/>
        <v>11</v>
      </c>
      <c r="CR148" s="228">
        <f t="shared" si="332"/>
        <v>-19</v>
      </c>
      <c r="CS148" s="228">
        <f t="shared" si="332"/>
        <v>74</v>
      </c>
      <c r="CT148" s="228">
        <f t="shared" si="332"/>
        <v>133</v>
      </c>
      <c r="CU148" s="228">
        <f t="shared" si="332"/>
        <v>133</v>
      </c>
      <c r="CV148" s="228">
        <f t="shared" si="332"/>
        <v>23</v>
      </c>
      <c r="CW148" s="228">
        <f t="shared" si="332"/>
        <v>49</v>
      </c>
      <c r="CX148" s="228">
        <f t="shared" si="332"/>
        <v>170</v>
      </c>
      <c r="CY148" s="228">
        <f t="shared" si="332"/>
        <v>246</v>
      </c>
      <c r="CZ148" s="228">
        <f t="shared" si="332"/>
        <v>246</v>
      </c>
      <c r="DA148" s="228">
        <f t="shared" si="332"/>
        <v>112</v>
      </c>
      <c r="DB148" s="228">
        <f t="shared" si="332"/>
        <v>111</v>
      </c>
      <c r="DC148" s="228">
        <f t="shared" ref="DC148:DG148" si="333">SUM(DC142:DC147)</f>
        <v>215</v>
      </c>
      <c r="DD148" s="228">
        <f t="shared" si="333"/>
        <v>259</v>
      </c>
      <c r="DE148" s="228">
        <f t="shared" si="333"/>
        <v>259</v>
      </c>
      <c r="DF148" s="228">
        <f t="shared" si="333"/>
        <v>63</v>
      </c>
      <c r="DG148" s="228">
        <f t="shared" si="333"/>
        <v>83</v>
      </c>
      <c r="DH148" s="228">
        <f t="shared" ref="DH148:DL148" si="334">SUM(DH142:DH147)</f>
        <v>178</v>
      </c>
      <c r="DI148" s="228">
        <f t="shared" si="334"/>
        <v>256</v>
      </c>
      <c r="DJ148" s="228">
        <f t="shared" si="334"/>
        <v>256</v>
      </c>
      <c r="DK148" s="228">
        <f t="shared" si="334"/>
        <v>246</v>
      </c>
      <c r="DL148" s="228">
        <f t="shared" si="334"/>
        <v>208</v>
      </c>
      <c r="DM148" s="228">
        <f t="shared" ref="DM148:DR148" si="335">SUM(DM142:DM147)</f>
        <v>315</v>
      </c>
      <c r="DN148" s="228">
        <f t="shared" si="335"/>
        <v>385</v>
      </c>
      <c r="DO148" s="228">
        <f t="shared" si="335"/>
        <v>385</v>
      </c>
      <c r="DP148" s="228">
        <f t="shared" si="335"/>
        <v>58</v>
      </c>
      <c r="DQ148" s="228">
        <f t="shared" si="335"/>
        <v>77</v>
      </c>
      <c r="DR148" s="228">
        <f t="shared" si="335"/>
        <v>158</v>
      </c>
      <c r="DS148" s="228">
        <f t="shared" ref="DS148:DT148" si="336">SUM(DS142:DS147)</f>
        <v>206</v>
      </c>
      <c r="DT148" s="228">
        <f t="shared" si="336"/>
        <v>206</v>
      </c>
    </row>
    <row r="149" spans="1:124">
      <c r="A149" s="45"/>
      <c r="B149" s="45"/>
      <c r="C149" s="391"/>
      <c r="D149" s="45"/>
      <c r="E149" s="290"/>
      <c r="F149" s="260"/>
      <c r="G149" s="260"/>
      <c r="H149" s="291"/>
      <c r="I149" s="647">
        <f t="shared" si="288"/>
        <v>0</v>
      </c>
      <c r="J149" s="290"/>
      <c r="K149" s="260"/>
      <c r="L149" s="260"/>
      <c r="M149" s="291"/>
      <c r="N149" s="647"/>
      <c r="O149" s="290"/>
      <c r="P149" s="260"/>
      <c r="Q149" s="260"/>
      <c r="R149" s="291"/>
      <c r="S149" s="647"/>
      <c r="T149" s="290"/>
      <c r="U149" s="260"/>
      <c r="V149" s="260"/>
      <c r="W149" s="291"/>
      <c r="X149" s="647"/>
      <c r="Y149" s="290"/>
      <c r="Z149" s="260"/>
      <c r="AA149" s="260"/>
      <c r="AB149" s="291"/>
      <c r="AC149" s="647"/>
      <c r="AD149" s="290"/>
      <c r="AE149" s="260"/>
      <c r="AF149" s="260"/>
      <c r="AG149" s="291"/>
      <c r="AH149" s="647"/>
      <c r="AI149" s="290"/>
      <c r="AJ149" s="260"/>
      <c r="AK149" s="260"/>
      <c r="AL149" s="291"/>
      <c r="AM149" s="647"/>
      <c r="AN149" s="290"/>
      <c r="AO149" s="260"/>
      <c r="AP149" s="260"/>
      <c r="AQ149" s="291"/>
      <c r="AR149" s="647"/>
      <c r="AS149" s="290"/>
      <c r="AT149" s="260"/>
      <c r="AU149" s="260"/>
      <c r="AV149" s="291"/>
      <c r="AW149" s="45"/>
      <c r="AX149" s="290"/>
      <c r="AY149" s="260"/>
      <c r="AZ149" s="260"/>
      <c r="BA149" s="291"/>
      <c r="BB149" s="45"/>
      <c r="BC149" s="290"/>
      <c r="BD149" s="260"/>
      <c r="BE149" s="260"/>
      <c r="BF149" s="291"/>
      <c r="BG149" s="45"/>
      <c r="BH149" s="290"/>
      <c r="BI149" s="260"/>
      <c r="BJ149" s="260"/>
      <c r="BK149" s="291"/>
      <c r="BL149" s="45"/>
      <c r="BM149" s="45"/>
      <c r="BN149" s="45"/>
      <c r="BO149" s="45"/>
      <c r="BP149" s="45"/>
      <c r="BQ149" s="45"/>
      <c r="BR149" s="45"/>
      <c r="BS149" s="45"/>
      <c r="BT149" s="45"/>
      <c r="BU149" s="45"/>
      <c r="BV149" s="45"/>
      <c r="BW149" s="45"/>
      <c r="BX149" s="45"/>
      <c r="BY149" s="45"/>
      <c r="BZ149" s="45"/>
      <c r="CA149" s="45"/>
      <c r="CB149" s="45"/>
      <c r="CC149" s="45"/>
      <c r="CD149" s="45"/>
      <c r="CE149" s="45"/>
      <c r="CF149" s="45"/>
      <c r="CG149" s="45"/>
      <c r="CH149" s="45"/>
      <c r="CI149" s="45"/>
      <c r="CJ149" s="45"/>
      <c r="CK149" s="45"/>
      <c r="CL149" s="45"/>
      <c r="CM149" s="45"/>
      <c r="CN149" s="45"/>
      <c r="CO149" s="45"/>
      <c r="CP149" s="45"/>
      <c r="CQ149" s="45"/>
      <c r="CR149" s="45"/>
      <c r="CS149" s="45"/>
      <c r="CT149" s="45"/>
      <c r="CU149" s="45"/>
      <c r="CV149" s="45"/>
      <c r="CW149" s="45"/>
      <c r="CX149" s="45"/>
      <c r="CY149" s="45"/>
      <c r="CZ149" s="45"/>
      <c r="DA149" s="45"/>
      <c r="DB149" s="45"/>
      <c r="DC149" s="45"/>
      <c r="DD149" s="45"/>
      <c r="DE149" s="45"/>
      <c r="DF149" s="45"/>
      <c r="DG149" s="45"/>
      <c r="DH149" s="45"/>
      <c r="DI149" s="45"/>
      <c r="DJ149" s="45"/>
      <c r="DK149" s="45"/>
      <c r="DL149" s="45"/>
      <c r="DM149" s="45"/>
      <c r="DN149" s="45"/>
      <c r="DO149" s="45"/>
      <c r="DP149" s="45"/>
      <c r="DQ149" s="45"/>
      <c r="DR149" s="45"/>
      <c r="DS149" s="45"/>
      <c r="DT149" s="45"/>
    </row>
    <row r="150" spans="1:124">
      <c r="A150" s="45"/>
      <c r="B150" s="45"/>
      <c r="C150" s="391" t="s">
        <v>283</v>
      </c>
      <c r="D150" s="45"/>
      <c r="E150" s="290"/>
      <c r="F150" s="260"/>
      <c r="G150" s="260"/>
      <c r="H150" s="291"/>
      <c r="I150" s="647">
        <f t="shared" si="288"/>
        <v>-156</v>
      </c>
      <c r="J150" s="290">
        <f>+CL150</f>
        <v>-22</v>
      </c>
      <c r="K150" s="260">
        <f t="shared" ref="K150:L152" si="337">+CM150-CL150</f>
        <v>-38</v>
      </c>
      <c r="L150" s="260">
        <f t="shared" si="337"/>
        <v>-36</v>
      </c>
      <c r="M150" s="291">
        <f>CO150-CN150</f>
        <v>-42</v>
      </c>
      <c r="N150" s="647">
        <f t="shared" ref="N150:O152" si="338">+CP150</f>
        <v>-138</v>
      </c>
      <c r="O150" s="290">
        <f t="shared" si="338"/>
        <v>-53</v>
      </c>
      <c r="P150" s="260">
        <f t="shared" ref="P150:Q152" si="339">+CR150-CQ150</f>
        <v>-61</v>
      </c>
      <c r="Q150" s="260">
        <f t="shared" si="339"/>
        <v>-72</v>
      </c>
      <c r="R150" s="291">
        <f>CT150-CS150</f>
        <v>-70</v>
      </c>
      <c r="S150" s="647">
        <f t="shared" ref="S150:T152" si="340">+CU150</f>
        <v>-256</v>
      </c>
      <c r="T150" s="290">
        <f t="shared" si="340"/>
        <v>-74</v>
      </c>
      <c r="U150" s="260">
        <f t="shared" ref="U150:V152" si="341">+CW150-CV150</f>
        <v>-67</v>
      </c>
      <c r="V150" s="260">
        <f t="shared" si="341"/>
        <v>-63</v>
      </c>
      <c r="W150" s="291">
        <f>CY150-CX150</f>
        <v>-57</v>
      </c>
      <c r="X150" s="647">
        <f t="shared" ref="X150:Y152" si="342">+CZ150</f>
        <v>-261</v>
      </c>
      <c r="Y150" s="290">
        <f t="shared" si="342"/>
        <v>-53</v>
      </c>
      <c r="Z150" s="260">
        <f>+DB150-DA150</f>
        <v>-51</v>
      </c>
      <c r="AA150" s="260">
        <f t="shared" ref="AA150:AA152" si="343">+DC150-DB150</f>
        <v>-54</v>
      </c>
      <c r="AB150" s="291">
        <f>DD150-DC150</f>
        <v>-67</v>
      </c>
      <c r="AC150" s="647">
        <f t="shared" ref="AC150:AC152" si="344">+DE150</f>
        <v>-225</v>
      </c>
      <c r="AD150" s="290">
        <f t="shared" ref="AD150:AD152" si="345">+DF150</f>
        <v>-54</v>
      </c>
      <c r="AE150" s="260">
        <f>+DG150-DF150</f>
        <v>-84</v>
      </c>
      <c r="AF150" s="260">
        <f t="shared" ref="AF150:AF152" si="346">+DH150-DG150</f>
        <v>-74</v>
      </c>
      <c r="AG150" s="291">
        <f>DI150-DH150</f>
        <v>-88</v>
      </c>
      <c r="AH150" s="647">
        <f t="shared" ref="AH150:AI152" si="347">+DJ150</f>
        <v>-300</v>
      </c>
      <c r="AI150" s="290">
        <f t="shared" si="347"/>
        <v>-101</v>
      </c>
      <c r="AJ150" s="260">
        <f>+DL150-DK150</f>
        <v>-63</v>
      </c>
      <c r="AK150" s="260">
        <f t="shared" ref="AK150:AK152" si="348">+DM150-DL150</f>
        <v>-63</v>
      </c>
      <c r="AL150" s="291">
        <f>DN150-DM150</f>
        <v>-84</v>
      </c>
      <c r="AM150" s="647">
        <f t="shared" ref="AM150:AN152" si="349">+DO150</f>
        <v>-311</v>
      </c>
      <c r="AN150" s="290">
        <f t="shared" si="349"/>
        <v>-88</v>
      </c>
      <c r="AO150" s="260">
        <f>+DQ150-DP150</f>
        <v>-87</v>
      </c>
      <c r="AP150" s="260">
        <f t="shared" ref="AP150:AP152" si="350">+DR150-DQ150</f>
        <v>-67</v>
      </c>
      <c r="AQ150" s="291">
        <f>DS150-DR150</f>
        <v>-70</v>
      </c>
      <c r="AR150" s="647">
        <f t="shared" ref="AR150:AR152" si="351">+DT150</f>
        <v>-312</v>
      </c>
      <c r="AS150" s="290">
        <f>+-AS117</f>
        <v>-93.75</v>
      </c>
      <c r="AT150" s="260">
        <f>+-AT117</f>
        <v>-93.75</v>
      </c>
      <c r="AU150" s="260">
        <f>+-AU117</f>
        <v>-93.75</v>
      </c>
      <c r="AV150" s="291">
        <f>+-AV117</f>
        <v>-93.75</v>
      </c>
      <c r="AW150" s="45">
        <f>SUM(AS150:AV150)</f>
        <v>-375</v>
      </c>
      <c r="AX150" s="290">
        <f>+-AX117</f>
        <v>-81.25</v>
      </c>
      <c r="AY150" s="260">
        <f>+-AY117</f>
        <v>-81.25</v>
      </c>
      <c r="AZ150" s="260">
        <f>+-AZ117</f>
        <v>-81.25</v>
      </c>
      <c r="BA150" s="291">
        <f>+-BA117</f>
        <v>-81.25</v>
      </c>
      <c r="BB150" s="45">
        <f>SUM(AX150:BA150)</f>
        <v>-325</v>
      </c>
      <c r="BC150" s="290">
        <f>+-BC117</f>
        <v>-81.25</v>
      </c>
      <c r="BD150" s="260">
        <f>+-BD117</f>
        <v>-81.25</v>
      </c>
      <c r="BE150" s="260">
        <f>+-BE117</f>
        <v>-81.25</v>
      </c>
      <c r="BF150" s="291">
        <f>+-BF117</f>
        <v>-81.25</v>
      </c>
      <c r="BG150" s="45">
        <f>SUM(BC150:BF150)</f>
        <v>-325</v>
      </c>
      <c r="BH150" s="290">
        <f>+-BH117</f>
        <v>-56.25</v>
      </c>
      <c r="BI150" s="260">
        <f>+-BI117</f>
        <v>-56.25</v>
      </c>
      <c r="BJ150" s="260">
        <f>+-BJ117</f>
        <v>-56.25</v>
      </c>
      <c r="BK150" s="291">
        <f>+-BK117</f>
        <v>-56.25</v>
      </c>
      <c r="BL150" s="45">
        <f>SUM(BH150:BK150)</f>
        <v>-225</v>
      </c>
      <c r="BM150" s="45"/>
      <c r="BN150" s="45"/>
      <c r="BO150" s="45"/>
      <c r="BP150" s="45"/>
      <c r="BQ150" s="45"/>
      <c r="BR150" s="45"/>
      <c r="BS150" s="45"/>
      <c r="BT150" s="45"/>
      <c r="BU150" s="45"/>
      <c r="BV150" s="45"/>
      <c r="BW150" s="45"/>
      <c r="BX150" s="45"/>
      <c r="BY150" s="45"/>
      <c r="BZ150" s="45"/>
      <c r="CA150" s="45"/>
      <c r="CB150" s="339"/>
      <c r="CC150" s="339"/>
      <c r="CD150" s="339"/>
      <c r="CE150" s="45">
        <f>CF150-CD150</f>
        <v>0</v>
      </c>
      <c r="CF150" s="339"/>
      <c r="CG150" s="339"/>
      <c r="CH150" s="339"/>
      <c r="CI150" s="339"/>
      <c r="CJ150" s="45">
        <f>CK150</f>
        <v>-156</v>
      </c>
      <c r="CK150" s="339">
        <v>-156</v>
      </c>
      <c r="CL150" s="339">
        <v>-22</v>
      </c>
      <c r="CM150" s="339">
        <v>-60</v>
      </c>
      <c r="CN150" s="339">
        <v>-96</v>
      </c>
      <c r="CO150" s="45">
        <f>CP150</f>
        <v>-138</v>
      </c>
      <c r="CP150" s="339">
        <v>-138</v>
      </c>
      <c r="CQ150" s="339">
        <v>-53</v>
      </c>
      <c r="CR150" s="339">
        <v>-114</v>
      </c>
      <c r="CS150" s="339">
        <v>-186</v>
      </c>
      <c r="CT150" s="45">
        <f>CU150</f>
        <v>-256</v>
      </c>
      <c r="CU150" s="339">
        <v>-256</v>
      </c>
      <c r="CV150" s="339">
        <v>-74</v>
      </c>
      <c r="CW150" s="339">
        <v>-141</v>
      </c>
      <c r="CX150" s="339">
        <v>-204</v>
      </c>
      <c r="CY150" s="45">
        <f>CZ150</f>
        <v>-261</v>
      </c>
      <c r="CZ150" s="339">
        <v>-261</v>
      </c>
      <c r="DA150" s="339">
        <v>-53</v>
      </c>
      <c r="DB150" s="339">
        <v>-104</v>
      </c>
      <c r="DC150" s="339">
        <v>-158</v>
      </c>
      <c r="DD150" s="45">
        <f>DE150</f>
        <v>-225</v>
      </c>
      <c r="DE150" s="339">
        <v>-225</v>
      </c>
      <c r="DF150" s="2056">
        <v>-54</v>
      </c>
      <c r="DG150" s="2056">
        <v>-138</v>
      </c>
      <c r="DH150" s="2056">
        <v>-212</v>
      </c>
      <c r="DI150" s="45">
        <f>DJ150</f>
        <v>-300</v>
      </c>
      <c r="DJ150" s="2056">
        <v>-300</v>
      </c>
      <c r="DK150" s="2056">
        <v>-101</v>
      </c>
      <c r="DL150" s="2056">
        <v>-164</v>
      </c>
      <c r="DM150" s="2056">
        <v>-227</v>
      </c>
      <c r="DN150" s="45">
        <f>DO150</f>
        <v>-311</v>
      </c>
      <c r="DO150" s="2056">
        <v>-311</v>
      </c>
      <c r="DP150" s="2056">
        <v>-88</v>
      </c>
      <c r="DQ150" s="2056">
        <v>-175</v>
      </c>
      <c r="DR150" s="2056">
        <v>-242</v>
      </c>
      <c r="DS150" s="45">
        <f>DT150</f>
        <v>-312</v>
      </c>
      <c r="DT150" s="2056">
        <v>-312</v>
      </c>
    </row>
    <row r="151" spans="1:124">
      <c r="A151" s="45"/>
      <c r="B151" s="45"/>
      <c r="C151" s="1777" t="s">
        <v>243</v>
      </c>
      <c r="D151" s="45"/>
      <c r="E151" s="290"/>
      <c r="F151" s="260"/>
      <c r="G151" s="260"/>
      <c r="H151" s="291"/>
      <c r="I151" s="647">
        <f t="shared" si="288"/>
        <v>0</v>
      </c>
      <c r="J151" s="290">
        <f>+CL151</f>
        <v>0</v>
      </c>
      <c r="K151" s="260">
        <f t="shared" si="337"/>
        <v>0</v>
      </c>
      <c r="L151" s="260">
        <f t="shared" si="337"/>
        <v>0</v>
      </c>
      <c r="M151" s="291">
        <f>CO151-CN151</f>
        <v>0</v>
      </c>
      <c r="N151" s="647">
        <f t="shared" si="338"/>
        <v>0</v>
      </c>
      <c r="O151" s="290">
        <f t="shared" si="338"/>
        <v>0</v>
      </c>
      <c r="P151" s="260">
        <f t="shared" si="339"/>
        <v>0</v>
      </c>
      <c r="Q151" s="260">
        <f t="shared" si="339"/>
        <v>0</v>
      </c>
      <c r="R151" s="291">
        <f>CT151-CS151</f>
        <v>0</v>
      </c>
      <c r="S151" s="647">
        <f t="shared" si="340"/>
        <v>0</v>
      </c>
      <c r="T151" s="290">
        <f t="shared" si="340"/>
        <v>0</v>
      </c>
      <c r="U151" s="260">
        <f t="shared" si="341"/>
        <v>0</v>
      </c>
      <c r="V151" s="260">
        <f t="shared" si="341"/>
        <v>0</v>
      </c>
      <c r="W151" s="291">
        <f>CY151-CX151</f>
        <v>0</v>
      </c>
      <c r="X151" s="647">
        <f t="shared" si="342"/>
        <v>0</v>
      </c>
      <c r="Y151" s="290">
        <f t="shared" si="342"/>
        <v>0</v>
      </c>
      <c r="Z151" s="260">
        <f>+DB151-DA151</f>
        <v>0</v>
      </c>
      <c r="AA151" s="260">
        <f t="shared" si="343"/>
        <v>0</v>
      </c>
      <c r="AB151" s="291">
        <f>DD151-DC151</f>
        <v>0</v>
      </c>
      <c r="AC151" s="647">
        <f t="shared" si="344"/>
        <v>0</v>
      </c>
      <c r="AD151" s="290">
        <f t="shared" si="345"/>
        <v>0</v>
      </c>
      <c r="AE151" s="260">
        <f>+DG151-DF151</f>
        <v>0</v>
      </c>
      <c r="AF151" s="260">
        <f t="shared" si="346"/>
        <v>0</v>
      </c>
      <c r="AG151" s="291">
        <f>DI151-DH151</f>
        <v>0</v>
      </c>
      <c r="AH151" s="647">
        <f t="shared" si="347"/>
        <v>0</v>
      </c>
      <c r="AI151" s="290">
        <f t="shared" si="347"/>
        <v>0</v>
      </c>
      <c r="AJ151" s="260">
        <f>+DL151-DK151</f>
        <v>2</v>
      </c>
      <c r="AK151" s="260">
        <f t="shared" si="348"/>
        <v>0</v>
      </c>
      <c r="AL151" s="291">
        <f>DN151-DM151</f>
        <v>0</v>
      </c>
      <c r="AM151" s="647">
        <f t="shared" si="349"/>
        <v>2</v>
      </c>
      <c r="AN151" s="290">
        <f t="shared" si="349"/>
        <v>0</v>
      </c>
      <c r="AO151" s="260">
        <f>+DQ151-DP151</f>
        <v>0</v>
      </c>
      <c r="AP151" s="260">
        <f t="shared" si="350"/>
        <v>0</v>
      </c>
      <c r="AQ151" s="291">
        <f>DS151-DR151</f>
        <v>0</v>
      </c>
      <c r="AR151" s="647">
        <f t="shared" si="351"/>
        <v>0</v>
      </c>
      <c r="AS151" s="290">
        <f>+AW151/4</f>
        <v>0</v>
      </c>
      <c r="AT151" s="260">
        <f>(AW151-SUM(AS151:AS151))/3</f>
        <v>0</v>
      </c>
      <c r="AU151" s="260">
        <f>(AW151-SUM(AS151:AT151))/2</f>
        <v>0</v>
      </c>
      <c r="AV151" s="291">
        <f>(AW151-SUM(AS151:AU151))/1</f>
        <v>0</v>
      </c>
      <c r="AW151" s="1003">
        <v>0</v>
      </c>
      <c r="AX151" s="290">
        <f>+BB151/4</f>
        <v>0</v>
      </c>
      <c r="AY151" s="260">
        <f>(BB151-SUM(AX151:AX151))/3</f>
        <v>0</v>
      </c>
      <c r="AZ151" s="260">
        <f>(BB151-SUM(AX151:AY151))/2</f>
        <v>0</v>
      </c>
      <c r="BA151" s="291">
        <f>(BB151-SUM(AX151:AZ151))/1</f>
        <v>0</v>
      </c>
      <c r="BB151" s="1003">
        <v>0</v>
      </c>
      <c r="BC151" s="290">
        <f>+BG151/4</f>
        <v>0</v>
      </c>
      <c r="BD151" s="260">
        <f>(BG151-SUM(BC151:BC151))/3</f>
        <v>0</v>
      </c>
      <c r="BE151" s="260">
        <f>(BG151-SUM(BC151:BD151))/2</f>
        <v>0</v>
      </c>
      <c r="BF151" s="291">
        <f>(BG151-SUM(BC151:BE151))/1</f>
        <v>0</v>
      </c>
      <c r="BG151" s="2058">
        <v>0</v>
      </c>
      <c r="BH151" s="290">
        <f>+BL151/4</f>
        <v>0</v>
      </c>
      <c r="BI151" s="260">
        <f>(BL151-SUM(BH151:BH151))/3</f>
        <v>0</v>
      </c>
      <c r="BJ151" s="260">
        <f>(BL151-SUM(BH151:BI151))/2</f>
        <v>0</v>
      </c>
      <c r="BK151" s="291">
        <f>(BL151-SUM(BH151:BJ151))/1</f>
        <v>0</v>
      </c>
      <c r="BL151" s="2058">
        <v>0</v>
      </c>
      <c r="BM151" s="45"/>
      <c r="BN151" s="45"/>
      <c r="BO151" s="45"/>
      <c r="BP151" s="45"/>
      <c r="BQ151" s="45"/>
      <c r="BR151" s="45"/>
      <c r="BS151" s="45"/>
      <c r="BT151" s="45"/>
      <c r="BU151" s="45"/>
      <c r="BV151" s="45"/>
      <c r="BW151" s="45"/>
      <c r="BX151" s="45"/>
      <c r="BY151" s="45"/>
      <c r="BZ151" s="45"/>
      <c r="CA151" s="45"/>
      <c r="CB151" s="339"/>
      <c r="CC151" s="339"/>
      <c r="CD151" s="339"/>
      <c r="CE151" s="45">
        <f>CF151-CD151</f>
        <v>0</v>
      </c>
      <c r="CF151" s="339"/>
      <c r="CG151" s="339"/>
      <c r="CH151" s="339"/>
      <c r="CI151" s="339"/>
      <c r="CJ151" s="45">
        <f>CK151</f>
        <v>0</v>
      </c>
      <c r="CK151" s="339">
        <v>0</v>
      </c>
      <c r="CL151" s="339">
        <v>0</v>
      </c>
      <c r="CM151" s="339">
        <v>0</v>
      </c>
      <c r="CN151" s="339">
        <v>0</v>
      </c>
      <c r="CO151" s="45">
        <f>CP151</f>
        <v>0</v>
      </c>
      <c r="CP151" s="339">
        <v>0</v>
      </c>
      <c r="CQ151" s="339">
        <v>0</v>
      </c>
      <c r="CR151" s="339">
        <v>0</v>
      </c>
      <c r="CS151" s="339">
        <v>0</v>
      </c>
      <c r="CT151" s="45">
        <f>CU151</f>
        <v>0</v>
      </c>
      <c r="CU151" s="339">
        <v>0</v>
      </c>
      <c r="CV151" s="339">
        <v>0</v>
      </c>
      <c r="CW151" s="339">
        <v>0</v>
      </c>
      <c r="CX151" s="339">
        <v>0</v>
      </c>
      <c r="CY151" s="45">
        <f>CZ151</f>
        <v>0</v>
      </c>
      <c r="CZ151" s="339">
        <v>0</v>
      </c>
      <c r="DA151" s="339">
        <v>0</v>
      </c>
      <c r="DB151" s="339">
        <v>0</v>
      </c>
      <c r="DC151" s="339">
        <v>0</v>
      </c>
      <c r="DD151" s="45">
        <f>DE151</f>
        <v>0</v>
      </c>
      <c r="DE151" s="339">
        <v>0</v>
      </c>
      <c r="DF151" s="2056">
        <v>0</v>
      </c>
      <c r="DG151" s="2056">
        <v>0</v>
      </c>
      <c r="DH151" s="2056">
        <v>0</v>
      </c>
      <c r="DI151" s="45">
        <f>DJ151</f>
        <v>0</v>
      </c>
      <c r="DJ151" s="2056">
        <v>0</v>
      </c>
      <c r="DK151" s="2056">
        <v>0</v>
      </c>
      <c r="DL151" s="2056">
        <v>2</v>
      </c>
      <c r="DM151" s="2056">
        <v>2</v>
      </c>
      <c r="DN151" s="45">
        <f>DO151</f>
        <v>2</v>
      </c>
      <c r="DO151" s="2056">
        <v>2</v>
      </c>
      <c r="DP151" s="2056">
        <v>0</v>
      </c>
      <c r="DQ151" s="2056">
        <v>0</v>
      </c>
      <c r="DR151" s="2056">
        <v>0</v>
      </c>
      <c r="DS151" s="45">
        <f>DT151</f>
        <v>0</v>
      </c>
      <c r="DT151" s="2056">
        <v>0</v>
      </c>
    </row>
    <row r="152" spans="1:124">
      <c r="A152" s="45"/>
      <c r="B152" s="45"/>
      <c r="C152" s="391" t="s">
        <v>62</v>
      </c>
      <c r="D152" s="45"/>
      <c r="E152" s="290"/>
      <c r="F152" s="260"/>
      <c r="G152" s="260"/>
      <c r="H152" s="291"/>
      <c r="I152" s="647">
        <f t="shared" si="288"/>
        <v>-1</v>
      </c>
      <c r="J152" s="290">
        <f>+CL152</f>
        <v>-2</v>
      </c>
      <c r="K152" s="260">
        <f t="shared" si="337"/>
        <v>1</v>
      </c>
      <c r="L152" s="260">
        <f t="shared" si="337"/>
        <v>-7</v>
      </c>
      <c r="M152" s="291">
        <f>CO152-CN152</f>
        <v>3</v>
      </c>
      <c r="N152" s="647">
        <f t="shared" si="338"/>
        <v>-5</v>
      </c>
      <c r="O152" s="290">
        <f t="shared" si="338"/>
        <v>1</v>
      </c>
      <c r="P152" s="260">
        <f t="shared" si="339"/>
        <v>2</v>
      </c>
      <c r="Q152" s="260">
        <f t="shared" si="339"/>
        <v>-4</v>
      </c>
      <c r="R152" s="291">
        <f>CT152-CS152</f>
        <v>2</v>
      </c>
      <c r="S152" s="647">
        <f t="shared" si="340"/>
        <v>1</v>
      </c>
      <c r="T152" s="290">
        <f t="shared" si="340"/>
        <v>-2</v>
      </c>
      <c r="U152" s="260">
        <f t="shared" si="341"/>
        <v>5</v>
      </c>
      <c r="V152" s="260">
        <f t="shared" si="341"/>
        <v>-1</v>
      </c>
      <c r="W152" s="291">
        <f>CY152-CX152</f>
        <v>3</v>
      </c>
      <c r="X152" s="647">
        <f t="shared" si="342"/>
        <v>5</v>
      </c>
      <c r="Y152" s="290">
        <f t="shared" si="342"/>
        <v>0</v>
      </c>
      <c r="Z152" s="260">
        <f>+DB152-DA152</f>
        <v>1</v>
      </c>
      <c r="AA152" s="260">
        <f t="shared" si="343"/>
        <v>-3</v>
      </c>
      <c r="AB152" s="291">
        <f>DD152-DC152</f>
        <v>3</v>
      </c>
      <c r="AC152" s="647">
        <f t="shared" si="344"/>
        <v>1</v>
      </c>
      <c r="AD152" s="290">
        <f t="shared" si="345"/>
        <v>1</v>
      </c>
      <c r="AE152" s="260">
        <f>+DG152-DF152</f>
        <v>-3</v>
      </c>
      <c r="AF152" s="260">
        <f t="shared" si="346"/>
        <v>-2</v>
      </c>
      <c r="AG152" s="291">
        <f>DI152-DH152</f>
        <v>-2</v>
      </c>
      <c r="AH152" s="647">
        <f t="shared" si="347"/>
        <v>-6</v>
      </c>
      <c r="AI152" s="290">
        <f t="shared" si="347"/>
        <v>1</v>
      </c>
      <c r="AJ152" s="260">
        <f>+DL152-DK152</f>
        <v>1</v>
      </c>
      <c r="AK152" s="260">
        <f t="shared" si="348"/>
        <v>-4</v>
      </c>
      <c r="AL152" s="291">
        <f>DN152-DM152</f>
        <v>2</v>
      </c>
      <c r="AM152" s="647">
        <f t="shared" si="349"/>
        <v>0</v>
      </c>
      <c r="AN152" s="290">
        <f t="shared" si="349"/>
        <v>3</v>
      </c>
      <c r="AO152" s="260">
        <f>+DQ152-DP152</f>
        <v>-1</v>
      </c>
      <c r="AP152" s="260">
        <f t="shared" si="350"/>
        <v>-1</v>
      </c>
      <c r="AQ152" s="291">
        <f>DS152-DR152</f>
        <v>1</v>
      </c>
      <c r="AR152" s="647">
        <f t="shared" si="351"/>
        <v>2</v>
      </c>
      <c r="AS152" s="290">
        <f>+AW152/4</f>
        <v>0</v>
      </c>
      <c r="AT152" s="260">
        <f>(AW152-SUM(AS152:AS152))/3</f>
        <v>0</v>
      </c>
      <c r="AU152" s="260">
        <f>(AW152-SUM(AS152:AT152))/2</f>
        <v>0</v>
      </c>
      <c r="AV152" s="291">
        <f>(AW152-SUM(AS152:AU152))/1</f>
        <v>0</v>
      </c>
      <c r="AW152" s="1003">
        <v>0</v>
      </c>
      <c r="AX152" s="290">
        <f>+BB152/4</f>
        <v>0</v>
      </c>
      <c r="AY152" s="260">
        <f>(BB152-SUM(AX152:AX152))/3</f>
        <v>0</v>
      </c>
      <c r="AZ152" s="260">
        <f>(BB152-SUM(AX152:AY152))/2</f>
        <v>0</v>
      </c>
      <c r="BA152" s="291">
        <f>(BB152-SUM(AX152:AZ152))/1</f>
        <v>0</v>
      </c>
      <c r="BB152" s="1003">
        <v>0</v>
      </c>
      <c r="BC152" s="290">
        <f>+BG152/4</f>
        <v>0</v>
      </c>
      <c r="BD152" s="260">
        <f>(BG152-SUM(BC152:BC152))/3</f>
        <v>0</v>
      </c>
      <c r="BE152" s="260">
        <f>(BG152-SUM(BC152:BD152))/2</f>
        <v>0</v>
      </c>
      <c r="BF152" s="291">
        <f>(BG152-SUM(BC152:BE152))/1</f>
        <v>0</v>
      </c>
      <c r="BG152" s="2058">
        <v>0</v>
      </c>
      <c r="BH152" s="290">
        <f>+BL152/4</f>
        <v>0</v>
      </c>
      <c r="BI152" s="260">
        <f>(BL152-SUM(BH152:BH152))/3</f>
        <v>0</v>
      </c>
      <c r="BJ152" s="260">
        <f>(BL152-SUM(BH152:BI152))/2</f>
        <v>0</v>
      </c>
      <c r="BK152" s="291">
        <f>(BL152-SUM(BH152:BJ152))/1</f>
        <v>0</v>
      </c>
      <c r="BL152" s="2058">
        <v>0</v>
      </c>
      <c r="BM152" s="45"/>
      <c r="BN152" s="45"/>
      <c r="BO152" s="45"/>
      <c r="BP152" s="45"/>
      <c r="BQ152" s="45"/>
      <c r="BR152" s="45"/>
      <c r="BS152" s="45"/>
      <c r="BT152" s="45"/>
      <c r="BU152" s="45"/>
      <c r="BV152" s="45"/>
      <c r="BW152" s="45"/>
      <c r="BX152" s="45"/>
      <c r="BY152" s="45"/>
      <c r="BZ152" s="45"/>
      <c r="CA152" s="45"/>
      <c r="CB152" s="339"/>
      <c r="CC152" s="339"/>
      <c r="CD152" s="339"/>
      <c r="CE152" s="45">
        <f>CF152-CD152</f>
        <v>0</v>
      </c>
      <c r="CF152" s="339"/>
      <c r="CG152" s="339"/>
      <c r="CH152" s="339"/>
      <c r="CI152" s="339"/>
      <c r="CJ152" s="45">
        <f>CK152</f>
        <v>-1</v>
      </c>
      <c r="CK152" s="339">
        <f>2-3</f>
        <v>-1</v>
      </c>
      <c r="CL152" s="339">
        <f>1-3</f>
        <v>-2</v>
      </c>
      <c r="CM152" s="339">
        <f>2-3</f>
        <v>-1</v>
      </c>
      <c r="CN152" s="339">
        <f>3-11</f>
        <v>-8</v>
      </c>
      <c r="CO152" s="45">
        <f>CP152</f>
        <v>-5</v>
      </c>
      <c r="CP152" s="339">
        <f>4-9</f>
        <v>-5</v>
      </c>
      <c r="CQ152" s="339">
        <v>1</v>
      </c>
      <c r="CR152" s="339">
        <f>1+2</f>
        <v>3</v>
      </c>
      <c r="CS152" s="339">
        <f>2-3</f>
        <v>-1</v>
      </c>
      <c r="CT152" s="45">
        <f>CU152</f>
        <v>1</v>
      </c>
      <c r="CU152" s="339">
        <f>2-1</f>
        <v>1</v>
      </c>
      <c r="CV152" s="339">
        <v>-2</v>
      </c>
      <c r="CW152" s="339">
        <v>3</v>
      </c>
      <c r="CX152" s="339">
        <f>1+1</f>
        <v>2</v>
      </c>
      <c r="CY152" s="45">
        <f>CZ152</f>
        <v>5</v>
      </c>
      <c r="CZ152" s="339">
        <f>2+3</f>
        <v>5</v>
      </c>
      <c r="DA152" s="339">
        <v>0</v>
      </c>
      <c r="DB152" s="339">
        <v>1</v>
      </c>
      <c r="DC152" s="339">
        <f>1-3</f>
        <v>-2</v>
      </c>
      <c r="DD152" s="45">
        <f>DE152</f>
        <v>1</v>
      </c>
      <c r="DE152" s="339">
        <v>1</v>
      </c>
      <c r="DF152" s="2056">
        <v>1</v>
      </c>
      <c r="DG152" s="2056">
        <v>-2</v>
      </c>
      <c r="DH152" s="2056">
        <v>-4</v>
      </c>
      <c r="DI152" s="45">
        <f>DJ152</f>
        <v>-6</v>
      </c>
      <c r="DJ152" s="2056">
        <v>-6</v>
      </c>
      <c r="DK152" s="2056">
        <v>1</v>
      </c>
      <c r="DL152" s="2056">
        <f>1+1</f>
        <v>2</v>
      </c>
      <c r="DM152" s="2056">
        <f>-4+2</f>
        <v>-2</v>
      </c>
      <c r="DN152" s="45">
        <f>DO152</f>
        <v>0</v>
      </c>
      <c r="DO152" s="2056">
        <f>-2+2</f>
        <v>0</v>
      </c>
      <c r="DP152" s="2056">
        <f>2+1</f>
        <v>3</v>
      </c>
      <c r="DQ152" s="2056">
        <v>2</v>
      </c>
      <c r="DR152" s="2056">
        <v>1</v>
      </c>
      <c r="DS152" s="45">
        <f>DT152</f>
        <v>2</v>
      </c>
      <c r="DT152" s="2056">
        <f>3-1</f>
        <v>2</v>
      </c>
    </row>
    <row r="153" spans="1:124">
      <c r="A153" s="45"/>
      <c r="B153" s="45"/>
      <c r="C153" s="389" t="s">
        <v>150</v>
      </c>
      <c r="D153" s="45"/>
      <c r="E153" s="292"/>
      <c r="F153" s="261"/>
      <c r="G153" s="261"/>
      <c r="H153" s="293"/>
      <c r="I153" s="583">
        <f t="shared" si="288"/>
        <v>-157</v>
      </c>
      <c r="J153" s="292">
        <f t="shared" ref="J153:AW153" si="352">SUM(J150:J152)</f>
        <v>-24</v>
      </c>
      <c r="K153" s="261">
        <f t="shared" si="352"/>
        <v>-37</v>
      </c>
      <c r="L153" s="261">
        <f t="shared" si="352"/>
        <v>-43</v>
      </c>
      <c r="M153" s="293">
        <f t="shared" si="352"/>
        <v>-39</v>
      </c>
      <c r="N153" s="583">
        <f t="shared" si="352"/>
        <v>-143</v>
      </c>
      <c r="O153" s="292">
        <f t="shared" si="352"/>
        <v>-52</v>
      </c>
      <c r="P153" s="261">
        <f t="shared" si="352"/>
        <v>-59</v>
      </c>
      <c r="Q153" s="261">
        <f t="shared" si="352"/>
        <v>-76</v>
      </c>
      <c r="R153" s="293">
        <f t="shared" si="352"/>
        <v>-68</v>
      </c>
      <c r="S153" s="583">
        <f t="shared" si="352"/>
        <v>-255</v>
      </c>
      <c r="T153" s="292">
        <f t="shared" si="352"/>
        <v>-76</v>
      </c>
      <c r="U153" s="261">
        <f t="shared" si="352"/>
        <v>-62</v>
      </c>
      <c r="V153" s="261">
        <f t="shared" si="352"/>
        <v>-64</v>
      </c>
      <c r="W153" s="293">
        <f t="shared" si="352"/>
        <v>-54</v>
      </c>
      <c r="X153" s="583">
        <f t="shared" si="352"/>
        <v>-256</v>
      </c>
      <c r="Y153" s="292">
        <f t="shared" si="352"/>
        <v>-53</v>
      </c>
      <c r="Z153" s="261">
        <f t="shared" si="352"/>
        <v>-50</v>
      </c>
      <c r="AA153" s="261">
        <f t="shared" ref="AA153" si="353">SUM(AA150:AA152)</f>
        <v>-57</v>
      </c>
      <c r="AB153" s="293">
        <f t="shared" ref="AB153:AC153" si="354">SUM(AB150:AB152)</f>
        <v>-64</v>
      </c>
      <c r="AC153" s="583">
        <f t="shared" si="354"/>
        <v>-224</v>
      </c>
      <c r="AD153" s="292">
        <f t="shared" ref="AD153:AE153" si="355">SUM(AD150:AD152)</f>
        <v>-53</v>
      </c>
      <c r="AE153" s="261">
        <f t="shared" si="355"/>
        <v>-87</v>
      </c>
      <c r="AF153" s="261">
        <f t="shared" ref="AF153:AJ153" si="356">SUM(AF150:AF152)</f>
        <v>-76</v>
      </c>
      <c r="AG153" s="293">
        <f t="shared" si="356"/>
        <v>-90</v>
      </c>
      <c r="AH153" s="583">
        <f t="shared" si="356"/>
        <v>-306</v>
      </c>
      <c r="AI153" s="292">
        <f t="shared" si="356"/>
        <v>-100</v>
      </c>
      <c r="AJ153" s="261">
        <f t="shared" si="356"/>
        <v>-60</v>
      </c>
      <c r="AK153" s="261">
        <f t="shared" ref="AK153:AO153" si="357">SUM(AK150:AK152)</f>
        <v>-67</v>
      </c>
      <c r="AL153" s="293">
        <f t="shared" si="357"/>
        <v>-82</v>
      </c>
      <c r="AM153" s="583">
        <f t="shared" si="357"/>
        <v>-309</v>
      </c>
      <c r="AN153" s="292">
        <f t="shared" si="357"/>
        <v>-85</v>
      </c>
      <c r="AO153" s="261">
        <f t="shared" si="357"/>
        <v>-88</v>
      </c>
      <c r="AP153" s="261">
        <f t="shared" ref="AP153:AR153" si="358">SUM(AP150:AP152)</f>
        <v>-68</v>
      </c>
      <c r="AQ153" s="293">
        <f t="shared" si="358"/>
        <v>-69</v>
      </c>
      <c r="AR153" s="583">
        <f t="shared" si="358"/>
        <v>-310</v>
      </c>
      <c r="AS153" s="292">
        <f t="shared" si="352"/>
        <v>-93.75</v>
      </c>
      <c r="AT153" s="261">
        <f t="shared" si="352"/>
        <v>-93.75</v>
      </c>
      <c r="AU153" s="261">
        <f t="shared" si="352"/>
        <v>-93.75</v>
      </c>
      <c r="AV153" s="293">
        <f t="shared" si="352"/>
        <v>-93.75</v>
      </c>
      <c r="AW153" s="228">
        <f t="shared" si="352"/>
        <v>-375</v>
      </c>
      <c r="AX153" s="292">
        <f t="shared" ref="AX153:BG153" si="359">SUM(AX150:AX152)</f>
        <v>-81.25</v>
      </c>
      <c r="AY153" s="261">
        <f t="shared" si="359"/>
        <v>-81.25</v>
      </c>
      <c r="AZ153" s="261">
        <f t="shared" si="359"/>
        <v>-81.25</v>
      </c>
      <c r="BA153" s="293">
        <f t="shared" si="359"/>
        <v>-81.25</v>
      </c>
      <c r="BB153" s="228">
        <f t="shared" si="359"/>
        <v>-325</v>
      </c>
      <c r="BC153" s="292">
        <f t="shared" si="359"/>
        <v>-81.25</v>
      </c>
      <c r="BD153" s="261">
        <f t="shared" si="359"/>
        <v>-81.25</v>
      </c>
      <c r="BE153" s="261">
        <f t="shared" si="359"/>
        <v>-81.25</v>
      </c>
      <c r="BF153" s="293">
        <f t="shared" si="359"/>
        <v>-81.25</v>
      </c>
      <c r="BG153" s="228">
        <f t="shared" si="359"/>
        <v>-325</v>
      </c>
      <c r="BH153" s="292">
        <f t="shared" ref="BH153:BL153" si="360">SUM(BH150:BH152)</f>
        <v>-56.25</v>
      </c>
      <c r="BI153" s="261">
        <f t="shared" si="360"/>
        <v>-56.25</v>
      </c>
      <c r="BJ153" s="261">
        <f t="shared" si="360"/>
        <v>-56.25</v>
      </c>
      <c r="BK153" s="293">
        <f t="shared" si="360"/>
        <v>-56.25</v>
      </c>
      <c r="BL153" s="228">
        <f t="shared" si="360"/>
        <v>-225</v>
      </c>
      <c r="BM153" s="45"/>
      <c r="BN153" s="45"/>
      <c r="BO153" s="45"/>
      <c r="BP153" s="45"/>
      <c r="BQ153" s="45"/>
      <c r="BR153" s="45"/>
      <c r="BS153" s="45"/>
      <c r="BT153" s="45"/>
      <c r="BU153" s="45"/>
      <c r="BV153" s="45"/>
      <c r="BW153" s="45"/>
      <c r="BX153" s="45"/>
      <c r="BY153" s="45"/>
      <c r="BZ153" s="45"/>
      <c r="CA153" s="45"/>
      <c r="CB153" s="228">
        <f t="shared" ref="CB153:DB153" si="361">SUM(CB150:CB152)</f>
        <v>0</v>
      </c>
      <c r="CC153" s="228">
        <f t="shared" si="361"/>
        <v>0</v>
      </c>
      <c r="CD153" s="228">
        <f t="shared" si="361"/>
        <v>0</v>
      </c>
      <c r="CE153" s="228">
        <f t="shared" si="361"/>
        <v>0</v>
      </c>
      <c r="CF153" s="228">
        <f t="shared" si="361"/>
        <v>0</v>
      </c>
      <c r="CG153" s="228">
        <f t="shared" si="361"/>
        <v>0</v>
      </c>
      <c r="CH153" s="228">
        <f t="shared" si="361"/>
        <v>0</v>
      </c>
      <c r="CI153" s="228">
        <f t="shared" si="361"/>
        <v>0</v>
      </c>
      <c r="CJ153" s="228">
        <f t="shared" si="361"/>
        <v>-157</v>
      </c>
      <c r="CK153" s="228">
        <f t="shared" si="361"/>
        <v>-157</v>
      </c>
      <c r="CL153" s="228">
        <f t="shared" si="361"/>
        <v>-24</v>
      </c>
      <c r="CM153" s="228">
        <f t="shared" si="361"/>
        <v>-61</v>
      </c>
      <c r="CN153" s="228">
        <f t="shared" si="361"/>
        <v>-104</v>
      </c>
      <c r="CO153" s="228">
        <f t="shared" si="361"/>
        <v>-143</v>
      </c>
      <c r="CP153" s="228">
        <f t="shared" si="361"/>
        <v>-143</v>
      </c>
      <c r="CQ153" s="228">
        <f t="shared" si="361"/>
        <v>-52</v>
      </c>
      <c r="CR153" s="228">
        <f t="shared" si="361"/>
        <v>-111</v>
      </c>
      <c r="CS153" s="228">
        <f t="shared" si="361"/>
        <v>-187</v>
      </c>
      <c r="CT153" s="228">
        <f t="shared" si="361"/>
        <v>-255</v>
      </c>
      <c r="CU153" s="228">
        <f t="shared" si="361"/>
        <v>-255</v>
      </c>
      <c r="CV153" s="228">
        <f t="shared" si="361"/>
        <v>-76</v>
      </c>
      <c r="CW153" s="228">
        <f t="shared" si="361"/>
        <v>-138</v>
      </c>
      <c r="CX153" s="228">
        <f t="shared" si="361"/>
        <v>-202</v>
      </c>
      <c r="CY153" s="228">
        <f t="shared" si="361"/>
        <v>-256</v>
      </c>
      <c r="CZ153" s="228">
        <f t="shared" si="361"/>
        <v>-256</v>
      </c>
      <c r="DA153" s="228">
        <f t="shared" si="361"/>
        <v>-53</v>
      </c>
      <c r="DB153" s="228">
        <f t="shared" si="361"/>
        <v>-103</v>
      </c>
      <c r="DC153" s="228">
        <f t="shared" ref="DC153:DG153" si="362">SUM(DC150:DC152)</f>
        <v>-160</v>
      </c>
      <c r="DD153" s="228">
        <f t="shared" si="362"/>
        <v>-224</v>
      </c>
      <c r="DE153" s="228">
        <f t="shared" si="362"/>
        <v>-224</v>
      </c>
      <c r="DF153" s="228">
        <f t="shared" si="362"/>
        <v>-53</v>
      </c>
      <c r="DG153" s="228">
        <f t="shared" si="362"/>
        <v>-140</v>
      </c>
      <c r="DH153" s="228">
        <f t="shared" ref="DH153:DL153" si="363">SUM(DH150:DH152)</f>
        <v>-216</v>
      </c>
      <c r="DI153" s="228">
        <f t="shared" si="363"/>
        <v>-306</v>
      </c>
      <c r="DJ153" s="228">
        <f t="shared" si="363"/>
        <v>-306</v>
      </c>
      <c r="DK153" s="228">
        <f t="shared" si="363"/>
        <v>-100</v>
      </c>
      <c r="DL153" s="228">
        <f t="shared" si="363"/>
        <v>-160</v>
      </c>
      <c r="DM153" s="228">
        <f t="shared" ref="DM153:DR153" si="364">SUM(DM150:DM152)</f>
        <v>-227</v>
      </c>
      <c r="DN153" s="228">
        <f t="shared" si="364"/>
        <v>-309</v>
      </c>
      <c r="DO153" s="228">
        <f t="shared" si="364"/>
        <v>-309</v>
      </c>
      <c r="DP153" s="228">
        <f t="shared" si="364"/>
        <v>-85</v>
      </c>
      <c r="DQ153" s="228">
        <f t="shared" si="364"/>
        <v>-173</v>
      </c>
      <c r="DR153" s="228">
        <f t="shared" si="364"/>
        <v>-241</v>
      </c>
      <c r="DS153" s="228">
        <f t="shared" ref="DS153:DT153" si="365">SUM(DS150:DS152)</f>
        <v>-310</v>
      </c>
      <c r="DT153" s="228">
        <f t="shared" si="365"/>
        <v>-310</v>
      </c>
    </row>
    <row r="154" spans="1:124">
      <c r="A154" s="45"/>
      <c r="B154" s="45"/>
      <c r="C154" s="391"/>
      <c r="D154" s="45"/>
      <c r="E154" s="290"/>
      <c r="F154" s="260"/>
      <c r="G154" s="260"/>
      <c r="H154" s="291"/>
      <c r="I154" s="647">
        <f t="shared" si="288"/>
        <v>0</v>
      </c>
      <c r="J154" s="290"/>
      <c r="K154" s="260"/>
      <c r="L154" s="260"/>
      <c r="M154" s="291"/>
      <c r="N154" s="647"/>
      <c r="O154" s="290"/>
      <c r="P154" s="260"/>
      <c r="Q154" s="260"/>
      <c r="R154" s="291"/>
      <c r="S154" s="647"/>
      <c r="T154" s="290"/>
      <c r="U154" s="260"/>
      <c r="V154" s="260"/>
      <c r="W154" s="291"/>
      <c r="X154" s="647"/>
      <c r="Y154" s="290"/>
      <c r="Z154" s="260"/>
      <c r="AA154" s="260"/>
      <c r="AB154" s="291"/>
      <c r="AC154" s="647"/>
      <c r="AD154" s="290"/>
      <c r="AE154" s="260"/>
      <c r="AF154" s="260"/>
      <c r="AG154" s="291"/>
      <c r="AH154" s="647"/>
      <c r="AI154" s="290"/>
      <c r="AJ154" s="260"/>
      <c r="AK154" s="260"/>
      <c r="AL154" s="291"/>
      <c r="AM154" s="647"/>
      <c r="AN154" s="290"/>
      <c r="AO154" s="260"/>
      <c r="AP154" s="260"/>
      <c r="AQ154" s="291"/>
      <c r="AR154" s="647"/>
      <c r="AS154" s="290"/>
      <c r="AT154" s="260"/>
      <c r="AU154" s="260"/>
      <c r="AV154" s="291"/>
      <c r="AW154" s="45"/>
      <c r="AX154" s="290"/>
      <c r="AY154" s="260"/>
      <c r="AZ154" s="260"/>
      <c r="BA154" s="291"/>
      <c r="BB154" s="45"/>
      <c r="BC154" s="290"/>
      <c r="BD154" s="260"/>
      <c r="BE154" s="260"/>
      <c r="BF154" s="291"/>
      <c r="BG154" s="45"/>
      <c r="BH154" s="290"/>
      <c r="BI154" s="260"/>
      <c r="BJ154" s="260"/>
      <c r="BK154" s="291"/>
      <c r="BL154" s="45"/>
      <c r="BM154" s="45"/>
      <c r="BN154" s="45"/>
      <c r="BO154" s="45"/>
      <c r="BP154" s="45"/>
      <c r="BQ154" s="45"/>
      <c r="BR154" s="45"/>
      <c r="BS154" s="45"/>
      <c r="BT154" s="45"/>
      <c r="BU154" s="45"/>
      <c r="BV154" s="45"/>
      <c r="BW154" s="45"/>
      <c r="BX154" s="45"/>
      <c r="BY154" s="45"/>
      <c r="BZ154" s="45"/>
      <c r="CA154" s="45"/>
      <c r="CB154" s="45"/>
      <c r="CC154" s="45"/>
      <c r="CD154" s="45"/>
      <c r="CE154" s="45"/>
      <c r="CF154" s="45"/>
      <c r="CG154" s="45"/>
      <c r="CH154" s="45"/>
      <c r="CI154" s="45"/>
      <c r="CJ154" s="45"/>
      <c r="CK154" s="45"/>
      <c r="CL154" s="45"/>
      <c r="CM154" s="45"/>
      <c r="CN154" s="45"/>
      <c r="CO154" s="45"/>
      <c r="CP154" s="45"/>
      <c r="CQ154" s="45"/>
      <c r="CR154" s="45"/>
      <c r="CS154" s="45"/>
      <c r="CT154" s="45"/>
      <c r="CU154" s="45"/>
      <c r="CV154" s="45"/>
      <c r="CW154" s="45"/>
      <c r="CX154" s="45"/>
      <c r="CY154" s="45"/>
      <c r="CZ154" s="45"/>
      <c r="DA154" s="45"/>
      <c r="DB154" s="45"/>
      <c r="DC154" s="45"/>
      <c r="DD154" s="45"/>
      <c r="DE154" s="45"/>
      <c r="DF154" s="45"/>
      <c r="DG154" s="45"/>
      <c r="DH154" s="45"/>
      <c r="DI154" s="45"/>
      <c r="DJ154" s="45"/>
      <c r="DK154" s="45"/>
      <c r="DL154" s="45"/>
      <c r="DM154" s="45"/>
      <c r="DN154" s="45"/>
      <c r="DO154" s="45"/>
      <c r="DP154" s="45"/>
      <c r="DQ154" s="45"/>
      <c r="DR154" s="45"/>
      <c r="DS154" s="45"/>
      <c r="DT154" s="45"/>
    </row>
    <row r="155" spans="1:124">
      <c r="A155" s="45"/>
      <c r="B155" s="45"/>
      <c r="C155" s="391" t="s">
        <v>240</v>
      </c>
      <c r="D155" s="45"/>
      <c r="E155" s="290"/>
      <c r="F155" s="260"/>
      <c r="G155" s="260"/>
      <c r="H155" s="291"/>
      <c r="I155" s="647">
        <f t="shared" si="288"/>
        <v>23</v>
      </c>
      <c r="J155" s="290">
        <f>+CL155</f>
        <v>0</v>
      </c>
      <c r="K155" s="260">
        <f t="shared" ref="K155:L159" si="366">+CM155-CL155</f>
        <v>200</v>
      </c>
      <c r="L155" s="260">
        <f t="shared" si="366"/>
        <v>0</v>
      </c>
      <c r="M155" s="291">
        <f>CO155-CN155</f>
        <v>0</v>
      </c>
      <c r="N155" s="647">
        <f t="shared" ref="N155:O159" si="367">+CP155</f>
        <v>200</v>
      </c>
      <c r="O155" s="290">
        <f t="shared" si="367"/>
        <v>0</v>
      </c>
      <c r="P155" s="260">
        <f t="shared" ref="P155:Q159" si="368">+CR155-CQ155</f>
        <v>0</v>
      </c>
      <c r="Q155" s="260">
        <f t="shared" si="368"/>
        <v>0</v>
      </c>
      <c r="R155" s="291">
        <f>CT155-CS155</f>
        <v>0</v>
      </c>
      <c r="S155" s="647">
        <f t="shared" ref="S155:T159" si="369">+CU155</f>
        <v>0</v>
      </c>
      <c r="T155" s="290">
        <f t="shared" si="369"/>
        <v>0</v>
      </c>
      <c r="U155" s="260">
        <f t="shared" ref="U155:V159" si="370">+CW155-CV155</f>
        <v>100</v>
      </c>
      <c r="V155" s="260">
        <f t="shared" si="370"/>
        <v>0</v>
      </c>
      <c r="W155" s="291">
        <f>CY155-CX155</f>
        <v>0</v>
      </c>
      <c r="X155" s="647">
        <f t="shared" ref="X155:Y159" si="371">+CZ155</f>
        <v>100</v>
      </c>
      <c r="Y155" s="290">
        <f t="shared" si="371"/>
        <v>0</v>
      </c>
      <c r="Z155" s="260">
        <f>+DB155-DA155</f>
        <v>0</v>
      </c>
      <c r="AA155" s="260">
        <f t="shared" ref="AA155:AA159" si="372">+DC155-DB155</f>
        <v>150</v>
      </c>
      <c r="AB155" s="291">
        <f>DD155-DC155</f>
        <v>0</v>
      </c>
      <c r="AC155" s="647">
        <f t="shared" ref="AC155:AC159" si="373">+DE155</f>
        <v>150</v>
      </c>
      <c r="AD155" s="290">
        <f t="shared" ref="AD155:AD159" si="374">+DF155</f>
        <v>0</v>
      </c>
      <c r="AE155" s="260">
        <f>+DG155-DF155</f>
        <v>0</v>
      </c>
      <c r="AF155" s="260">
        <f t="shared" ref="AF155:AF159" si="375">+DH155-DG155</f>
        <v>0</v>
      </c>
      <c r="AG155" s="291">
        <f>DI155-DH155</f>
        <v>150</v>
      </c>
      <c r="AH155" s="647">
        <f t="shared" ref="AH155:AI159" si="376">+DJ155</f>
        <v>150</v>
      </c>
      <c r="AI155" s="290">
        <f t="shared" si="376"/>
        <v>0</v>
      </c>
      <c r="AJ155" s="260">
        <f>+DL155-DK155</f>
        <v>0</v>
      </c>
      <c r="AK155" s="260">
        <f t="shared" ref="AK155:AK159" si="377">+DM155-DL155</f>
        <v>0</v>
      </c>
      <c r="AL155" s="291">
        <f>DN155-DM155</f>
        <v>0</v>
      </c>
      <c r="AM155" s="647">
        <f t="shared" ref="AM155:AN159" si="378">+DO155</f>
        <v>0</v>
      </c>
      <c r="AN155" s="290">
        <f t="shared" si="378"/>
        <v>0</v>
      </c>
      <c r="AO155" s="260">
        <f>+DQ155-DP155</f>
        <v>0</v>
      </c>
      <c r="AP155" s="260">
        <f t="shared" ref="AP155:AP159" si="379">+DR155-DQ155</f>
        <v>0</v>
      </c>
      <c r="AQ155" s="291">
        <f>DS155-DR155</f>
        <v>0</v>
      </c>
      <c r="AR155" s="647">
        <f t="shared" ref="AR155:AR159" si="380">+DT155</f>
        <v>0</v>
      </c>
      <c r="AS155" s="290">
        <f t="shared" ref="AS155:AV156" si="381">+AS126</f>
        <v>0</v>
      </c>
      <c r="AT155" s="260">
        <f t="shared" si="381"/>
        <v>0</v>
      </c>
      <c r="AU155" s="260">
        <f t="shared" si="381"/>
        <v>455</v>
      </c>
      <c r="AV155" s="291">
        <f t="shared" si="381"/>
        <v>0</v>
      </c>
      <c r="AW155" s="45">
        <f>SUM(AS155:AV155)</f>
        <v>455</v>
      </c>
      <c r="AX155" s="290">
        <f t="shared" ref="AX155:BA155" si="382">+AX126</f>
        <v>0</v>
      </c>
      <c r="AY155" s="260">
        <f t="shared" si="382"/>
        <v>0</v>
      </c>
      <c r="AZ155" s="260">
        <f t="shared" si="382"/>
        <v>95</v>
      </c>
      <c r="BA155" s="291">
        <f t="shared" si="382"/>
        <v>0</v>
      </c>
      <c r="BB155" s="45">
        <f>SUM(AX155:BA155)</f>
        <v>95</v>
      </c>
      <c r="BC155" s="290">
        <f t="shared" ref="BC155:BF155" si="383">+BC126</f>
        <v>0</v>
      </c>
      <c r="BD155" s="260">
        <f t="shared" si="383"/>
        <v>0</v>
      </c>
      <c r="BE155" s="260">
        <f t="shared" si="383"/>
        <v>95</v>
      </c>
      <c r="BF155" s="291">
        <f t="shared" si="383"/>
        <v>0</v>
      </c>
      <c r="BG155" s="45">
        <f>SUM(BC155:BF155)</f>
        <v>95</v>
      </c>
      <c r="BH155" s="290">
        <f t="shared" ref="BH155:BK155" si="384">+BH126</f>
        <v>0</v>
      </c>
      <c r="BI155" s="260">
        <f t="shared" si="384"/>
        <v>0</v>
      </c>
      <c r="BJ155" s="260">
        <f t="shared" si="384"/>
        <v>275</v>
      </c>
      <c r="BK155" s="291">
        <f t="shared" si="384"/>
        <v>0</v>
      </c>
      <c r="BL155" s="45">
        <f>SUM(BH155:BK155)</f>
        <v>275</v>
      </c>
      <c r="BM155" s="45"/>
      <c r="BN155" s="45"/>
      <c r="BO155" s="45"/>
      <c r="BP155" s="45"/>
      <c r="BQ155" s="45"/>
      <c r="BR155" s="45"/>
      <c r="BS155" s="45"/>
      <c r="BT155" s="45"/>
      <c r="BU155" s="45"/>
      <c r="BV155" s="45"/>
      <c r="BW155" s="45"/>
      <c r="BX155" s="45"/>
      <c r="BY155" s="45"/>
      <c r="BZ155" s="45"/>
      <c r="CA155" s="45"/>
      <c r="CB155" s="339"/>
      <c r="CC155" s="339"/>
      <c r="CD155" s="339"/>
      <c r="CE155" s="45">
        <f>CF155-CD155</f>
        <v>0</v>
      </c>
      <c r="CF155" s="339"/>
      <c r="CG155" s="339"/>
      <c r="CH155" s="339"/>
      <c r="CI155" s="339"/>
      <c r="CJ155" s="45">
        <f>CK155</f>
        <v>23</v>
      </c>
      <c r="CK155" s="339">
        <v>23</v>
      </c>
      <c r="CL155" s="339">
        <v>0</v>
      </c>
      <c r="CM155" s="339">
        <v>200</v>
      </c>
      <c r="CN155" s="339">
        <v>200</v>
      </c>
      <c r="CO155" s="45">
        <f>CP155</f>
        <v>200</v>
      </c>
      <c r="CP155" s="339">
        <v>200</v>
      </c>
      <c r="CQ155" s="339">
        <v>0</v>
      </c>
      <c r="CR155" s="339">
        <v>0</v>
      </c>
      <c r="CS155" s="339">
        <v>0</v>
      </c>
      <c r="CT155" s="45">
        <f>CU155</f>
        <v>0</v>
      </c>
      <c r="CU155" s="339">
        <v>0</v>
      </c>
      <c r="CV155" s="339">
        <v>0</v>
      </c>
      <c r="CW155" s="339">
        <v>100</v>
      </c>
      <c r="CX155" s="339">
        <v>100</v>
      </c>
      <c r="CY155" s="45">
        <f>CZ155</f>
        <v>100</v>
      </c>
      <c r="CZ155" s="339">
        <v>100</v>
      </c>
      <c r="DA155" s="339">
        <v>0</v>
      </c>
      <c r="DB155" s="339">
        <v>0</v>
      </c>
      <c r="DC155" s="339">
        <v>150</v>
      </c>
      <c r="DD155" s="45">
        <f>DE155</f>
        <v>150</v>
      </c>
      <c r="DE155" s="339">
        <v>150</v>
      </c>
      <c r="DF155" s="2056">
        <v>0</v>
      </c>
      <c r="DG155" s="2056">
        <v>0</v>
      </c>
      <c r="DH155" s="2056">
        <v>0</v>
      </c>
      <c r="DI155" s="45">
        <f>DJ155</f>
        <v>150</v>
      </c>
      <c r="DJ155" s="2056">
        <v>150</v>
      </c>
      <c r="DK155" s="2056">
        <v>0</v>
      </c>
      <c r="DL155" s="2056">
        <v>0</v>
      </c>
      <c r="DM155" s="2056">
        <v>0</v>
      </c>
      <c r="DN155" s="45">
        <f>DO155</f>
        <v>0</v>
      </c>
      <c r="DO155" s="2056">
        <v>0</v>
      </c>
      <c r="DP155" s="2056">
        <v>0</v>
      </c>
      <c r="DQ155" s="2056">
        <v>0</v>
      </c>
      <c r="DR155" s="2056">
        <v>0</v>
      </c>
      <c r="DS155" s="45">
        <f>DT155</f>
        <v>0</v>
      </c>
      <c r="DT155" s="2056">
        <v>0</v>
      </c>
    </row>
    <row r="156" spans="1:124">
      <c r="A156" s="45"/>
      <c r="B156" s="45"/>
      <c r="C156" s="391" t="s">
        <v>543</v>
      </c>
      <c r="D156" s="45"/>
      <c r="E156" s="290"/>
      <c r="F156" s="260"/>
      <c r="G156" s="260"/>
      <c r="H156" s="291"/>
      <c r="I156" s="647">
        <f t="shared" si="288"/>
        <v>-35</v>
      </c>
      <c r="J156" s="290">
        <f>+CL156</f>
        <v>-9</v>
      </c>
      <c r="K156" s="260">
        <f t="shared" si="366"/>
        <v>-8</v>
      </c>
      <c r="L156" s="260">
        <f t="shared" si="366"/>
        <v>-8</v>
      </c>
      <c r="M156" s="291">
        <f>CO156-CN156</f>
        <v>-10</v>
      </c>
      <c r="N156" s="647">
        <f t="shared" si="367"/>
        <v>-35</v>
      </c>
      <c r="O156" s="290">
        <f t="shared" si="367"/>
        <v>-9</v>
      </c>
      <c r="P156" s="260">
        <f t="shared" si="368"/>
        <v>-9</v>
      </c>
      <c r="Q156" s="260">
        <f t="shared" si="368"/>
        <v>-12</v>
      </c>
      <c r="R156" s="291">
        <f>CT156-CS156</f>
        <v>-11</v>
      </c>
      <c r="S156" s="647">
        <f t="shared" si="369"/>
        <v>-41</v>
      </c>
      <c r="T156" s="290">
        <f t="shared" si="369"/>
        <v>-10</v>
      </c>
      <c r="U156" s="260">
        <f t="shared" si="370"/>
        <v>-9</v>
      </c>
      <c r="V156" s="260">
        <f t="shared" si="370"/>
        <v>-77</v>
      </c>
      <c r="W156" s="291">
        <f>CY156-CX156</f>
        <v>-12</v>
      </c>
      <c r="X156" s="647">
        <f t="shared" si="371"/>
        <v>-108</v>
      </c>
      <c r="Y156" s="290">
        <f t="shared" si="371"/>
        <v>-10</v>
      </c>
      <c r="Z156" s="260">
        <f>+DB156-DA156</f>
        <v>-10</v>
      </c>
      <c r="AA156" s="260">
        <f t="shared" si="372"/>
        <v>-116</v>
      </c>
      <c r="AB156" s="291">
        <f>DD156-DC156</f>
        <v>-12</v>
      </c>
      <c r="AC156" s="647">
        <f t="shared" si="373"/>
        <v>-148</v>
      </c>
      <c r="AD156" s="290">
        <f t="shared" si="374"/>
        <v>-10</v>
      </c>
      <c r="AE156" s="260">
        <f>+DG156-DF156</f>
        <v>-11</v>
      </c>
      <c r="AF156" s="260">
        <f t="shared" si="375"/>
        <v>-25</v>
      </c>
      <c r="AG156" s="291">
        <f>DI156-DH156</f>
        <v>-12</v>
      </c>
      <c r="AH156" s="647">
        <f t="shared" si="376"/>
        <v>-58</v>
      </c>
      <c r="AI156" s="290">
        <f t="shared" si="376"/>
        <v>-11</v>
      </c>
      <c r="AJ156" s="260">
        <f>+DL156-DK156</f>
        <v>-11</v>
      </c>
      <c r="AK156" s="260">
        <f t="shared" si="377"/>
        <v>-13</v>
      </c>
      <c r="AL156" s="291">
        <f>DN156-DM156</f>
        <v>-13</v>
      </c>
      <c r="AM156" s="647">
        <f t="shared" si="378"/>
        <v>-48</v>
      </c>
      <c r="AN156" s="290">
        <f t="shared" si="378"/>
        <v>-10</v>
      </c>
      <c r="AO156" s="260">
        <f>+DQ156-DP156</f>
        <v>-7</v>
      </c>
      <c r="AP156" s="260">
        <f t="shared" si="379"/>
        <v>-8</v>
      </c>
      <c r="AQ156" s="291">
        <f>DS156-DR156</f>
        <v>-10</v>
      </c>
      <c r="AR156" s="647">
        <f t="shared" si="380"/>
        <v>-35</v>
      </c>
      <c r="AS156" s="290">
        <f t="shared" si="381"/>
        <v>0</v>
      </c>
      <c r="AT156" s="260">
        <f t="shared" si="381"/>
        <v>0</v>
      </c>
      <c r="AU156" s="260">
        <f t="shared" si="381"/>
        <v>-281</v>
      </c>
      <c r="AV156" s="291">
        <f t="shared" si="381"/>
        <v>0</v>
      </c>
      <c r="AW156" s="45">
        <f>SUM(AS156:AV156)</f>
        <v>-281</v>
      </c>
      <c r="AX156" s="290">
        <f t="shared" ref="AX156:BA156" si="385">+AX127</f>
        <v>0</v>
      </c>
      <c r="AY156" s="260">
        <f t="shared" si="385"/>
        <v>0</v>
      </c>
      <c r="AZ156" s="260">
        <f t="shared" si="385"/>
        <v>-18</v>
      </c>
      <c r="BA156" s="291">
        <f t="shared" si="385"/>
        <v>0</v>
      </c>
      <c r="BB156" s="45">
        <f>SUM(AX156:BA156)</f>
        <v>-18</v>
      </c>
      <c r="BC156" s="290">
        <f t="shared" ref="BC156:BF156" si="386">+BC127</f>
        <v>0</v>
      </c>
      <c r="BD156" s="260">
        <f t="shared" si="386"/>
        <v>0</v>
      </c>
      <c r="BE156" s="260">
        <f t="shared" si="386"/>
        <v>-20</v>
      </c>
      <c r="BF156" s="291">
        <f t="shared" si="386"/>
        <v>0</v>
      </c>
      <c r="BG156" s="45">
        <f>SUM(BC156:BF156)</f>
        <v>-20</v>
      </c>
      <c r="BH156" s="290">
        <f t="shared" ref="BH156:BK156" si="387">+BH127</f>
        <v>0</v>
      </c>
      <c r="BI156" s="260">
        <f t="shared" si="387"/>
        <v>0</v>
      </c>
      <c r="BJ156" s="260">
        <f t="shared" si="387"/>
        <v>-238.86500000000001</v>
      </c>
      <c r="BK156" s="291">
        <f t="shared" si="387"/>
        <v>0</v>
      </c>
      <c r="BL156" s="45">
        <f>SUM(BH156:BK156)</f>
        <v>-238.86500000000001</v>
      </c>
      <c r="BM156" s="45"/>
      <c r="BN156" s="45"/>
      <c r="BO156" s="45"/>
      <c r="BP156" s="45"/>
      <c r="BQ156" s="45"/>
      <c r="BR156" s="45"/>
      <c r="BS156" s="45"/>
      <c r="BT156" s="45"/>
      <c r="BU156" s="45"/>
      <c r="BV156" s="45"/>
      <c r="BW156" s="45"/>
      <c r="BX156" s="45"/>
      <c r="BY156" s="45"/>
      <c r="BZ156" s="45"/>
      <c r="CA156" s="45"/>
      <c r="CB156" s="339"/>
      <c r="CC156" s="339"/>
      <c r="CD156" s="339"/>
      <c r="CE156" s="45">
        <f>CF156-CD156</f>
        <v>0</v>
      </c>
      <c r="CF156" s="339"/>
      <c r="CG156" s="339"/>
      <c r="CH156" s="339"/>
      <c r="CI156" s="339"/>
      <c r="CJ156" s="45">
        <f>CK156</f>
        <v>-35</v>
      </c>
      <c r="CK156" s="339">
        <v>-35</v>
      </c>
      <c r="CL156" s="339">
        <v>-9</v>
      </c>
      <c r="CM156" s="339">
        <v>-17</v>
      </c>
      <c r="CN156" s="339">
        <v>-25</v>
      </c>
      <c r="CO156" s="45">
        <f>CP156</f>
        <v>-35</v>
      </c>
      <c r="CP156" s="339">
        <v>-35</v>
      </c>
      <c r="CQ156" s="339">
        <v>-9</v>
      </c>
      <c r="CR156" s="339">
        <v>-18</v>
      </c>
      <c r="CS156" s="339">
        <v>-30</v>
      </c>
      <c r="CT156" s="45">
        <f>CU156</f>
        <v>-41</v>
      </c>
      <c r="CU156" s="339">
        <v>-41</v>
      </c>
      <c r="CV156" s="339">
        <v>-10</v>
      </c>
      <c r="CW156" s="339">
        <v>-19</v>
      </c>
      <c r="CX156" s="339">
        <v>-96</v>
      </c>
      <c r="CY156" s="45">
        <f>CZ156</f>
        <v>-108</v>
      </c>
      <c r="CZ156" s="339">
        <v>-108</v>
      </c>
      <c r="DA156" s="339">
        <v>-10</v>
      </c>
      <c r="DB156" s="339">
        <v>-20</v>
      </c>
      <c r="DC156" s="339">
        <f>-36-100</f>
        <v>-136</v>
      </c>
      <c r="DD156" s="45">
        <f>DE156</f>
        <v>-148</v>
      </c>
      <c r="DE156" s="339">
        <f>-48-100</f>
        <v>-148</v>
      </c>
      <c r="DF156" s="2056">
        <v>-10</v>
      </c>
      <c r="DG156" s="2056">
        <v>-21</v>
      </c>
      <c r="DH156" s="2056">
        <v>-46</v>
      </c>
      <c r="DI156" s="45">
        <f>DJ156</f>
        <v>-58</v>
      </c>
      <c r="DJ156" s="2056">
        <v>-58</v>
      </c>
      <c r="DK156" s="2056">
        <v>-11</v>
      </c>
      <c r="DL156" s="2056">
        <v>-22</v>
      </c>
      <c r="DM156" s="2056">
        <v>-35</v>
      </c>
      <c r="DN156" s="45">
        <f>DO156</f>
        <v>-48</v>
      </c>
      <c r="DO156" s="2056">
        <v>-48</v>
      </c>
      <c r="DP156" s="2056">
        <v>-10</v>
      </c>
      <c r="DQ156" s="2056">
        <v>-17</v>
      </c>
      <c r="DR156" s="2056">
        <v>-25</v>
      </c>
      <c r="DS156" s="45">
        <f>DT156</f>
        <v>-35</v>
      </c>
      <c r="DT156" s="2056">
        <v>-35</v>
      </c>
    </row>
    <row r="157" spans="1:124">
      <c r="A157" s="45"/>
      <c r="B157" s="45"/>
      <c r="C157" s="391" t="s">
        <v>151</v>
      </c>
      <c r="D157" s="45"/>
      <c r="E157" s="290"/>
      <c r="F157" s="260"/>
      <c r="G157" s="260"/>
      <c r="H157" s="291"/>
      <c r="I157" s="647">
        <f t="shared" si="288"/>
        <v>98</v>
      </c>
      <c r="J157" s="290">
        <f>+CL157</f>
        <v>7</v>
      </c>
      <c r="K157" s="260">
        <f t="shared" si="366"/>
        <v>-140</v>
      </c>
      <c r="L157" s="260">
        <f t="shared" si="366"/>
        <v>-25</v>
      </c>
      <c r="M157" s="291">
        <f>CO157-CN157</f>
        <v>0</v>
      </c>
      <c r="N157" s="647">
        <f t="shared" si="367"/>
        <v>-158</v>
      </c>
      <c r="O157" s="290">
        <f t="shared" si="367"/>
        <v>0</v>
      </c>
      <c r="P157" s="260">
        <f t="shared" si="368"/>
        <v>74</v>
      </c>
      <c r="Q157" s="260">
        <f t="shared" si="368"/>
        <v>19</v>
      </c>
      <c r="R157" s="291">
        <f>CT157-CS157</f>
        <v>17</v>
      </c>
      <c r="S157" s="647">
        <f t="shared" si="369"/>
        <v>110</v>
      </c>
      <c r="T157" s="290">
        <f t="shared" si="369"/>
        <v>75</v>
      </c>
      <c r="U157" s="260">
        <f t="shared" si="370"/>
        <v>-144</v>
      </c>
      <c r="V157" s="260">
        <f t="shared" si="370"/>
        <v>53</v>
      </c>
      <c r="W157" s="291">
        <f>CY157-CX157</f>
        <v>22</v>
      </c>
      <c r="X157" s="647">
        <f t="shared" si="371"/>
        <v>6</v>
      </c>
      <c r="Y157" s="290">
        <f t="shared" si="371"/>
        <v>-19</v>
      </c>
      <c r="Z157" s="260">
        <f>+DB157-DA157</f>
        <v>60</v>
      </c>
      <c r="AA157" s="260">
        <f t="shared" si="372"/>
        <v>-80</v>
      </c>
      <c r="AB157" s="291">
        <f>DD157-DC157</f>
        <v>28</v>
      </c>
      <c r="AC157" s="647">
        <f t="shared" si="373"/>
        <v>-11</v>
      </c>
      <c r="AD157" s="290">
        <f t="shared" si="374"/>
        <v>16</v>
      </c>
      <c r="AE157" s="260">
        <f>+DG157-DF157</f>
        <v>75</v>
      </c>
      <c r="AF157" s="260">
        <f t="shared" si="375"/>
        <v>7</v>
      </c>
      <c r="AG157" s="291">
        <f>DI157-DH157</f>
        <v>-220</v>
      </c>
      <c r="AH157" s="647">
        <f t="shared" si="376"/>
        <v>-122</v>
      </c>
      <c r="AI157" s="290">
        <f t="shared" si="376"/>
        <v>-5</v>
      </c>
      <c r="AJ157" s="260">
        <f>+DL157-DK157</f>
        <v>0</v>
      </c>
      <c r="AK157" s="260">
        <f t="shared" si="377"/>
        <v>0</v>
      </c>
      <c r="AL157" s="291">
        <f>DN157-DM157</f>
        <v>0</v>
      </c>
      <c r="AM157" s="647">
        <f t="shared" si="378"/>
        <v>-5</v>
      </c>
      <c r="AN157" s="290">
        <f t="shared" si="378"/>
        <v>0</v>
      </c>
      <c r="AO157" s="260">
        <f>+DQ157-DP157</f>
        <v>42</v>
      </c>
      <c r="AP157" s="260">
        <f t="shared" si="379"/>
        <v>23</v>
      </c>
      <c r="AQ157" s="291">
        <f>DS157-DR157</f>
        <v>43</v>
      </c>
      <c r="AR157" s="647">
        <f t="shared" si="380"/>
        <v>108</v>
      </c>
      <c r="AS157" s="814">
        <v>0</v>
      </c>
      <c r="AT157" s="262">
        <v>0</v>
      </c>
      <c r="AU157" s="262">
        <v>0</v>
      </c>
      <c r="AV157" s="294">
        <v>0</v>
      </c>
      <c r="AW157" s="45">
        <f>SUM(AS157:AV157)</f>
        <v>0</v>
      </c>
      <c r="AX157" s="814">
        <v>0</v>
      </c>
      <c r="AY157" s="262">
        <v>0</v>
      </c>
      <c r="AZ157" s="262">
        <v>0</v>
      </c>
      <c r="BA157" s="294">
        <v>0</v>
      </c>
      <c r="BB157" s="45">
        <f>SUM(AX157:BA157)</f>
        <v>0</v>
      </c>
      <c r="BC157" s="814">
        <v>0</v>
      </c>
      <c r="BD157" s="262">
        <v>0</v>
      </c>
      <c r="BE157" s="262">
        <v>0</v>
      </c>
      <c r="BF157" s="294">
        <v>0</v>
      </c>
      <c r="BG157" s="45">
        <f>SUM(BC157:BF157)</f>
        <v>0</v>
      </c>
      <c r="BH157" s="814">
        <v>0</v>
      </c>
      <c r="BI157" s="262">
        <v>0</v>
      </c>
      <c r="BJ157" s="262">
        <v>0</v>
      </c>
      <c r="BK157" s="294">
        <v>0</v>
      </c>
      <c r="BL157" s="45">
        <f>SUM(BH157:BK157)</f>
        <v>0</v>
      </c>
      <c r="BM157" s="45"/>
      <c r="BN157" s="45"/>
      <c r="BO157" s="45"/>
      <c r="BP157" s="45"/>
      <c r="BQ157" s="45"/>
      <c r="BR157" s="45"/>
      <c r="BS157" s="45"/>
      <c r="BT157" s="45"/>
      <c r="BU157" s="45"/>
      <c r="BV157" s="45"/>
      <c r="BW157" s="45"/>
      <c r="BX157" s="45"/>
      <c r="BY157" s="45"/>
      <c r="BZ157" s="45"/>
      <c r="CA157" s="45"/>
      <c r="CB157" s="1778"/>
      <c r="CC157" s="1778"/>
      <c r="CD157" s="1778"/>
      <c r="CE157" s="45">
        <f>CF157-CD157</f>
        <v>0</v>
      </c>
      <c r="CF157" s="1778"/>
      <c r="CG157" s="1778"/>
      <c r="CH157" s="1778"/>
      <c r="CI157" s="1778"/>
      <c r="CJ157" s="45">
        <f>CK157</f>
        <v>98</v>
      </c>
      <c r="CK157" s="1778">
        <v>98</v>
      </c>
      <c r="CL157" s="1778">
        <v>7</v>
      </c>
      <c r="CM157" s="1778">
        <v>-133</v>
      </c>
      <c r="CN157" s="1778">
        <v>-158</v>
      </c>
      <c r="CO157" s="45">
        <f>CP157</f>
        <v>-158</v>
      </c>
      <c r="CP157" s="339">
        <v>-158</v>
      </c>
      <c r="CQ157" s="1778">
        <v>0</v>
      </c>
      <c r="CR157" s="1778">
        <v>74</v>
      </c>
      <c r="CS157" s="1778">
        <v>93</v>
      </c>
      <c r="CT157" s="45">
        <f>CU157</f>
        <v>110</v>
      </c>
      <c r="CU157" s="339">
        <v>110</v>
      </c>
      <c r="CV157" s="1778">
        <v>75</v>
      </c>
      <c r="CW157" s="1778">
        <v>-69</v>
      </c>
      <c r="CX157" s="1778">
        <v>-16</v>
      </c>
      <c r="CY157" s="45">
        <f>CZ157</f>
        <v>6</v>
      </c>
      <c r="CZ157" s="339">
        <v>6</v>
      </c>
      <c r="DA157" s="1778">
        <v>-19</v>
      </c>
      <c r="DB157" s="1778">
        <v>41</v>
      </c>
      <c r="DC157" s="1778">
        <v>-39</v>
      </c>
      <c r="DD157" s="45">
        <f>DE157</f>
        <v>-11</v>
      </c>
      <c r="DE157" s="339">
        <v>-11</v>
      </c>
      <c r="DF157" s="1778">
        <v>16</v>
      </c>
      <c r="DG157" s="1778">
        <v>91</v>
      </c>
      <c r="DH157" s="1778">
        <v>98</v>
      </c>
      <c r="DI157" s="45">
        <f>DJ157</f>
        <v>-122</v>
      </c>
      <c r="DJ157" s="2056">
        <v>-122</v>
      </c>
      <c r="DK157" s="1778">
        <v>-5</v>
      </c>
      <c r="DL157" s="1778">
        <v>-5</v>
      </c>
      <c r="DM157" s="1778">
        <v>-5</v>
      </c>
      <c r="DN157" s="45">
        <f>DO157</f>
        <v>-5</v>
      </c>
      <c r="DO157" s="2056">
        <v>-5</v>
      </c>
      <c r="DP157" s="1778">
        <v>0</v>
      </c>
      <c r="DQ157" s="1778">
        <v>42</v>
      </c>
      <c r="DR157" s="1778">
        <v>65</v>
      </c>
      <c r="DS157" s="45">
        <f>DT157</f>
        <v>108</v>
      </c>
      <c r="DT157" s="2056">
        <v>108</v>
      </c>
    </row>
    <row r="158" spans="1:124">
      <c r="A158" s="45"/>
      <c r="B158" s="45"/>
      <c r="C158" s="391" t="s">
        <v>152</v>
      </c>
      <c r="D158" s="45"/>
      <c r="E158" s="290"/>
      <c r="F158" s="260"/>
      <c r="G158" s="260"/>
      <c r="H158" s="291"/>
      <c r="I158" s="647">
        <f t="shared" si="288"/>
        <v>-35</v>
      </c>
      <c r="J158" s="290">
        <f>+CL158</f>
        <v>0</v>
      </c>
      <c r="K158" s="260">
        <f t="shared" si="366"/>
        <v>0</v>
      </c>
      <c r="L158" s="260">
        <f t="shared" si="366"/>
        <v>0</v>
      </c>
      <c r="M158" s="291">
        <f>CO158-CN158</f>
        <v>60</v>
      </c>
      <c r="N158" s="647">
        <f t="shared" si="367"/>
        <v>60</v>
      </c>
      <c r="O158" s="290">
        <f t="shared" si="367"/>
        <v>0</v>
      </c>
      <c r="P158" s="260">
        <f t="shared" si="368"/>
        <v>-15</v>
      </c>
      <c r="Q158" s="260">
        <f t="shared" si="368"/>
        <v>-20</v>
      </c>
      <c r="R158" s="291">
        <f>CT158-CS158</f>
        <v>0</v>
      </c>
      <c r="S158" s="647">
        <f t="shared" si="369"/>
        <v>-35</v>
      </c>
      <c r="T158" s="290">
        <f t="shared" si="369"/>
        <v>0</v>
      </c>
      <c r="U158" s="260">
        <f t="shared" si="370"/>
        <v>75</v>
      </c>
      <c r="V158" s="260">
        <f t="shared" si="370"/>
        <v>-25</v>
      </c>
      <c r="W158" s="291">
        <f>CY158-CX158</f>
        <v>-35</v>
      </c>
      <c r="X158" s="647">
        <f t="shared" si="371"/>
        <v>15</v>
      </c>
      <c r="Y158" s="290">
        <f t="shared" si="371"/>
        <v>-26</v>
      </c>
      <c r="Z158" s="260">
        <f>+DB158-DA158</f>
        <v>0</v>
      </c>
      <c r="AA158" s="260">
        <f t="shared" si="372"/>
        <v>0</v>
      </c>
      <c r="AB158" s="291">
        <f>DD158-DC158</f>
        <v>0</v>
      </c>
      <c r="AC158" s="647">
        <f t="shared" si="373"/>
        <v>-26</v>
      </c>
      <c r="AD158" s="290">
        <f t="shared" si="374"/>
        <v>-12</v>
      </c>
      <c r="AE158" s="260">
        <f>+DG158-DF158</f>
        <v>0</v>
      </c>
      <c r="AF158" s="260">
        <f t="shared" si="375"/>
        <v>0</v>
      </c>
      <c r="AG158" s="291">
        <f>DI158-DH158</f>
        <v>95</v>
      </c>
      <c r="AH158" s="647">
        <f t="shared" si="376"/>
        <v>83</v>
      </c>
      <c r="AI158" s="290">
        <f t="shared" si="376"/>
        <v>-11</v>
      </c>
      <c r="AJ158" s="260">
        <f>+DL158-DK158</f>
        <v>139</v>
      </c>
      <c r="AK158" s="260">
        <f t="shared" si="377"/>
        <v>-13</v>
      </c>
      <c r="AL158" s="291">
        <f>DN158-DM158</f>
        <v>-39</v>
      </c>
      <c r="AM158" s="647">
        <f t="shared" si="378"/>
        <v>76</v>
      </c>
      <c r="AN158" s="290">
        <f t="shared" si="378"/>
        <v>-10</v>
      </c>
      <c r="AO158" s="260">
        <f>+DQ158-DP158</f>
        <v>-12</v>
      </c>
      <c r="AP158" s="260">
        <f t="shared" si="379"/>
        <v>-31</v>
      </c>
      <c r="AQ158" s="291">
        <f>DS158-DR158</f>
        <v>-15</v>
      </c>
      <c r="AR158" s="647">
        <f t="shared" si="380"/>
        <v>-68</v>
      </c>
      <c r="AS158" s="290">
        <f>+AW158/4</f>
        <v>18.75</v>
      </c>
      <c r="AT158" s="260">
        <f>(AW158-SUM(AS158:AS158))/3</f>
        <v>18.75</v>
      </c>
      <c r="AU158" s="260">
        <f>(AW158-SUM(AS158:AT158))/2</f>
        <v>18.75</v>
      </c>
      <c r="AV158" s="291">
        <f>(AW158-SUM(AS158:AU158))/1</f>
        <v>18.75</v>
      </c>
      <c r="AW158" s="1003">
        <v>75</v>
      </c>
      <c r="AX158" s="290">
        <f>+BB158/4</f>
        <v>-2.5</v>
      </c>
      <c r="AY158" s="260">
        <f>(BB158-SUM(AX158:AX158))/3</f>
        <v>-2.5</v>
      </c>
      <c r="AZ158" s="260">
        <f>(BB158-SUM(AX158:AY158))/2</f>
        <v>-2.5</v>
      </c>
      <c r="BA158" s="291">
        <f>(BB158-SUM(AX158:AZ158))/1</f>
        <v>-2.5</v>
      </c>
      <c r="BB158" s="1003">
        <v>-10</v>
      </c>
      <c r="BC158" s="290">
        <f>+BG158/4</f>
        <v>-8.75</v>
      </c>
      <c r="BD158" s="260">
        <f>(BG158-SUM(BC158:BC158))/3</f>
        <v>-8.75</v>
      </c>
      <c r="BE158" s="260">
        <f>(BG158-SUM(BC158:BD158))/2</f>
        <v>-8.75</v>
      </c>
      <c r="BF158" s="291">
        <f>(BG158-SUM(BC158:BE158))/1</f>
        <v>-8.75</v>
      </c>
      <c r="BG158" s="2058">
        <v>-35</v>
      </c>
      <c r="BH158" s="290">
        <f>+BL158/4</f>
        <v>-22.5</v>
      </c>
      <c r="BI158" s="260">
        <f>(BL158-SUM(BH158:BH158))/3</f>
        <v>-22.5</v>
      </c>
      <c r="BJ158" s="260">
        <f>(BL158-SUM(BH158:BI158))/2</f>
        <v>-22.5</v>
      </c>
      <c r="BK158" s="291">
        <f>(BL158-SUM(BH158:BJ158))/1</f>
        <v>-22.5</v>
      </c>
      <c r="BL158" s="2032">
        <v>-90</v>
      </c>
      <c r="BM158" s="45"/>
      <c r="BN158" s="45"/>
      <c r="BO158" s="45"/>
      <c r="BP158" s="45"/>
      <c r="BQ158" s="45"/>
      <c r="BR158" s="45"/>
      <c r="BS158" s="45"/>
      <c r="BT158" s="45"/>
      <c r="BU158" s="45"/>
      <c r="BV158" s="45"/>
      <c r="BW158" s="45"/>
      <c r="BX158" s="45"/>
      <c r="BY158" s="45"/>
      <c r="BZ158" s="45"/>
      <c r="CA158" s="45"/>
      <c r="CB158" s="1778"/>
      <c r="CC158" s="1778"/>
      <c r="CD158" s="1778"/>
      <c r="CE158" s="45">
        <f>CF158-CD158</f>
        <v>0</v>
      </c>
      <c r="CF158" s="1778"/>
      <c r="CG158" s="1778"/>
      <c r="CH158" s="1778"/>
      <c r="CI158" s="1778"/>
      <c r="CJ158" s="45">
        <f>CK158</f>
        <v>-35</v>
      </c>
      <c r="CK158" s="1778">
        <v>-35</v>
      </c>
      <c r="CL158" s="1778">
        <v>0</v>
      </c>
      <c r="CM158" s="1778">
        <v>0</v>
      </c>
      <c r="CN158" s="1778">
        <v>0</v>
      </c>
      <c r="CO158" s="45">
        <f>CP158</f>
        <v>60</v>
      </c>
      <c r="CP158" s="1778">
        <v>60</v>
      </c>
      <c r="CQ158" s="1778">
        <v>0</v>
      </c>
      <c r="CR158" s="1778">
        <v>-15</v>
      </c>
      <c r="CS158" s="1778">
        <v>-35</v>
      </c>
      <c r="CT158" s="45">
        <f>CU158</f>
        <v>-35</v>
      </c>
      <c r="CU158" s="1778">
        <v>-35</v>
      </c>
      <c r="CV158" s="1778">
        <v>0</v>
      </c>
      <c r="CW158" s="1778">
        <v>75</v>
      </c>
      <c r="CX158" s="1778">
        <f>-25+75</f>
        <v>50</v>
      </c>
      <c r="CY158" s="45">
        <f>CZ158</f>
        <v>15</v>
      </c>
      <c r="CZ158" s="1778">
        <f>-60+75</f>
        <v>15</v>
      </c>
      <c r="DA158" s="1778">
        <v>-26</v>
      </c>
      <c r="DB158" s="1778">
        <v>-26</v>
      </c>
      <c r="DC158" s="1778">
        <v>-26</v>
      </c>
      <c r="DD158" s="45">
        <f>DE158</f>
        <v>-26</v>
      </c>
      <c r="DE158" s="1778">
        <v>-26</v>
      </c>
      <c r="DF158" s="1778">
        <v>-12</v>
      </c>
      <c r="DG158" s="1778">
        <v>-12</v>
      </c>
      <c r="DH158" s="1778">
        <v>-12</v>
      </c>
      <c r="DI158" s="45">
        <f>DJ158</f>
        <v>83</v>
      </c>
      <c r="DJ158" s="1778">
        <f>95-12</f>
        <v>83</v>
      </c>
      <c r="DK158" s="1778">
        <v>-11</v>
      </c>
      <c r="DL158" s="1778">
        <f>-11+139</f>
        <v>128</v>
      </c>
      <c r="DM158" s="1778">
        <f>-24+139</f>
        <v>115</v>
      </c>
      <c r="DN158" s="45">
        <f>DO158</f>
        <v>76</v>
      </c>
      <c r="DO158" s="1778">
        <f>139-63</f>
        <v>76</v>
      </c>
      <c r="DP158" s="1778">
        <v>-10</v>
      </c>
      <c r="DQ158" s="1778">
        <v>-22</v>
      </c>
      <c r="DR158" s="1778">
        <v>-53</v>
      </c>
      <c r="DS158" s="45">
        <f>DT158</f>
        <v>-68</v>
      </c>
      <c r="DT158" s="1778">
        <v>-68</v>
      </c>
    </row>
    <row r="159" spans="1:124">
      <c r="A159" s="45"/>
      <c r="B159" s="45"/>
      <c r="C159" s="391" t="s">
        <v>62</v>
      </c>
      <c r="D159" s="45"/>
      <c r="E159" s="290"/>
      <c r="F159" s="260"/>
      <c r="G159" s="260"/>
      <c r="H159" s="291"/>
      <c r="I159" s="647">
        <f t="shared" si="288"/>
        <v>44</v>
      </c>
      <c r="J159" s="290">
        <f>+CL159</f>
        <v>-7</v>
      </c>
      <c r="K159" s="260">
        <f t="shared" si="366"/>
        <v>-1</v>
      </c>
      <c r="L159" s="260">
        <f t="shared" si="366"/>
        <v>60</v>
      </c>
      <c r="M159" s="291">
        <f>CO159-CN159</f>
        <v>-60</v>
      </c>
      <c r="N159" s="647">
        <f t="shared" si="367"/>
        <v>-8</v>
      </c>
      <c r="O159" s="290">
        <f t="shared" si="367"/>
        <v>8</v>
      </c>
      <c r="P159" s="260">
        <f t="shared" si="368"/>
        <v>-7</v>
      </c>
      <c r="Q159" s="260">
        <f t="shared" si="368"/>
        <v>0</v>
      </c>
      <c r="R159" s="291">
        <f>CT159-CS159</f>
        <v>2</v>
      </c>
      <c r="S159" s="647">
        <f t="shared" si="369"/>
        <v>3</v>
      </c>
      <c r="T159" s="290">
        <f t="shared" si="369"/>
        <v>-8</v>
      </c>
      <c r="U159" s="260">
        <f t="shared" si="370"/>
        <v>8</v>
      </c>
      <c r="V159" s="260">
        <f t="shared" si="370"/>
        <v>-6</v>
      </c>
      <c r="W159" s="291">
        <f>CY159-CX159</f>
        <v>0</v>
      </c>
      <c r="X159" s="647">
        <f t="shared" si="371"/>
        <v>-6</v>
      </c>
      <c r="Y159" s="290">
        <f t="shared" si="371"/>
        <v>0</v>
      </c>
      <c r="Z159" s="260">
        <f>+DB159-DA159</f>
        <v>0</v>
      </c>
      <c r="AA159" s="260">
        <f t="shared" si="372"/>
        <v>-1</v>
      </c>
      <c r="AB159" s="291">
        <f>DD159-DC159</f>
        <v>0</v>
      </c>
      <c r="AC159" s="647">
        <f t="shared" si="373"/>
        <v>-1</v>
      </c>
      <c r="AD159" s="290">
        <f t="shared" si="374"/>
        <v>0</v>
      </c>
      <c r="AE159" s="260">
        <f>+DG159-DF159</f>
        <v>0</v>
      </c>
      <c r="AF159" s="260">
        <f t="shared" si="375"/>
        <v>0</v>
      </c>
      <c r="AG159" s="291">
        <f>DI159-DH159</f>
        <v>-2</v>
      </c>
      <c r="AH159" s="647">
        <f t="shared" si="376"/>
        <v>-2</v>
      </c>
      <c r="AI159" s="290">
        <f t="shared" si="376"/>
        <v>0</v>
      </c>
      <c r="AJ159" s="260">
        <f>+DL159-DK159</f>
        <v>-1</v>
      </c>
      <c r="AK159" s="260">
        <f t="shared" si="377"/>
        <v>0</v>
      </c>
      <c r="AL159" s="291">
        <f>DN159-DM159</f>
        <v>0</v>
      </c>
      <c r="AM159" s="647">
        <f t="shared" si="378"/>
        <v>-1</v>
      </c>
      <c r="AN159" s="290">
        <f t="shared" si="378"/>
        <v>0</v>
      </c>
      <c r="AO159" s="260">
        <f>+DQ159-DP159</f>
        <v>-1</v>
      </c>
      <c r="AP159" s="260">
        <f t="shared" si="379"/>
        <v>1</v>
      </c>
      <c r="AQ159" s="291">
        <f>DS159-DR159</f>
        <v>0</v>
      </c>
      <c r="AR159" s="647">
        <f t="shared" si="380"/>
        <v>0</v>
      </c>
      <c r="AS159" s="290">
        <f>+AW159/4</f>
        <v>0</v>
      </c>
      <c r="AT159" s="260">
        <f>(AW159-SUM(AS159:AS159))/3</f>
        <v>0</v>
      </c>
      <c r="AU159" s="260">
        <f>(AW159-SUM(AS159:AT159))/2</f>
        <v>0</v>
      </c>
      <c r="AV159" s="291">
        <f>(AW159-SUM(AS159:AU159))/1</f>
        <v>0</v>
      </c>
      <c r="AW159" s="1003">
        <v>0</v>
      </c>
      <c r="AX159" s="290">
        <f>+BB159/4</f>
        <v>0</v>
      </c>
      <c r="AY159" s="260">
        <f>(BB159-SUM(AX159:AX159))/3</f>
        <v>0</v>
      </c>
      <c r="AZ159" s="260">
        <f>(BB159-SUM(AX159:AY159))/2</f>
        <v>0</v>
      </c>
      <c r="BA159" s="291">
        <f>(BB159-SUM(AX159:AZ159))/1</f>
        <v>0</v>
      </c>
      <c r="BB159" s="1003">
        <v>0</v>
      </c>
      <c r="BC159" s="290">
        <f>+BG159/4</f>
        <v>0</v>
      </c>
      <c r="BD159" s="260">
        <f>(BG159-SUM(BC159:BC159))/3</f>
        <v>0</v>
      </c>
      <c r="BE159" s="260">
        <f>(BG159-SUM(BC159:BD159))/2</f>
        <v>0</v>
      </c>
      <c r="BF159" s="291">
        <f>(BG159-SUM(BC159:BE159))/1</f>
        <v>0</v>
      </c>
      <c r="BG159" s="2058">
        <v>0</v>
      </c>
      <c r="BH159" s="290">
        <f>+BL159/4</f>
        <v>0</v>
      </c>
      <c r="BI159" s="260">
        <f>(BL159-SUM(BH159:BH159))/3</f>
        <v>0</v>
      </c>
      <c r="BJ159" s="260">
        <f>(BL159-SUM(BH159:BI159))/2</f>
        <v>0</v>
      </c>
      <c r="BK159" s="291">
        <f>(BL159-SUM(BH159:BJ159))/1</f>
        <v>0</v>
      </c>
      <c r="BL159" s="2058">
        <v>0</v>
      </c>
      <c r="BM159" s="45"/>
      <c r="BN159" s="45"/>
      <c r="BO159" s="45"/>
      <c r="BP159" s="45"/>
      <c r="BQ159" s="45"/>
      <c r="BR159" s="45"/>
      <c r="BS159" s="45"/>
      <c r="BT159" s="45"/>
      <c r="BU159" s="45"/>
      <c r="BV159" s="45"/>
      <c r="BW159" s="45"/>
      <c r="BX159" s="45"/>
      <c r="BY159" s="45"/>
      <c r="BZ159" s="45"/>
      <c r="CA159" s="45"/>
      <c r="CB159" s="339"/>
      <c r="CC159" s="339"/>
      <c r="CD159" s="339"/>
      <c r="CE159" s="45">
        <f>CF159-CD159</f>
        <v>0</v>
      </c>
      <c r="CF159" s="339"/>
      <c r="CG159" s="339"/>
      <c r="CH159" s="339"/>
      <c r="CI159" s="339"/>
      <c r="CJ159" s="45">
        <f>CK159</f>
        <v>44</v>
      </c>
      <c r="CK159" s="339">
        <f>43+1</f>
        <v>44</v>
      </c>
      <c r="CL159" s="339">
        <f>-6-1</f>
        <v>-7</v>
      </c>
      <c r="CM159" s="339">
        <f>-6-2</f>
        <v>-8</v>
      </c>
      <c r="CN159" s="339">
        <f>60-6-2</f>
        <v>52</v>
      </c>
      <c r="CO159" s="45">
        <f>CP159</f>
        <v>-8</v>
      </c>
      <c r="CP159" s="339">
        <f>-6-2</f>
        <v>-8</v>
      </c>
      <c r="CQ159" s="339">
        <v>8</v>
      </c>
      <c r="CR159" s="339">
        <v>1</v>
      </c>
      <c r="CS159" s="339">
        <v>1</v>
      </c>
      <c r="CT159" s="45">
        <f>CU159</f>
        <v>3</v>
      </c>
      <c r="CU159" s="339">
        <v>3</v>
      </c>
      <c r="CV159" s="339">
        <v>-8</v>
      </c>
      <c r="CW159" s="339">
        <v>0</v>
      </c>
      <c r="CX159" s="339">
        <v>-6</v>
      </c>
      <c r="CY159" s="45">
        <f>CZ159</f>
        <v>-6</v>
      </c>
      <c r="CZ159" s="339">
        <v>-6</v>
      </c>
      <c r="DA159" s="339">
        <v>0</v>
      </c>
      <c r="DB159" s="339">
        <v>0</v>
      </c>
      <c r="DC159" s="339">
        <v>-1</v>
      </c>
      <c r="DD159" s="45">
        <f>DE159</f>
        <v>-1</v>
      </c>
      <c r="DE159" s="339">
        <v>-1</v>
      </c>
      <c r="DF159" s="2056">
        <v>0</v>
      </c>
      <c r="DG159" s="2056">
        <v>0</v>
      </c>
      <c r="DH159" s="2056">
        <v>0</v>
      </c>
      <c r="DI159" s="45">
        <f>DJ159</f>
        <v>-2</v>
      </c>
      <c r="DJ159" s="2056">
        <v>-2</v>
      </c>
      <c r="DK159" s="2056">
        <v>0</v>
      </c>
      <c r="DL159" s="2056">
        <v>-1</v>
      </c>
      <c r="DM159" s="2056">
        <v>-1</v>
      </c>
      <c r="DN159" s="45">
        <f>DO159</f>
        <v>-1</v>
      </c>
      <c r="DO159" s="2056">
        <v>-1</v>
      </c>
      <c r="DP159" s="2056">
        <v>0</v>
      </c>
      <c r="DQ159" s="2056">
        <v>-1</v>
      </c>
      <c r="DR159" s="2056">
        <v>0</v>
      </c>
      <c r="DS159" s="45">
        <f>DT159</f>
        <v>0</v>
      </c>
      <c r="DT159" s="2056">
        <v>0</v>
      </c>
    </row>
    <row r="160" spans="1:124">
      <c r="A160" s="45"/>
      <c r="B160" s="45"/>
      <c r="C160" s="389" t="s">
        <v>153</v>
      </c>
      <c r="D160" s="45"/>
      <c r="E160" s="292"/>
      <c r="F160" s="261"/>
      <c r="G160" s="261"/>
      <c r="H160" s="293"/>
      <c r="I160" s="583">
        <f t="shared" si="288"/>
        <v>95</v>
      </c>
      <c r="J160" s="292">
        <f t="shared" ref="J160:AW160" si="388">SUM(J155:J159)</f>
        <v>-9</v>
      </c>
      <c r="K160" s="261">
        <f t="shared" si="388"/>
        <v>51</v>
      </c>
      <c r="L160" s="261">
        <f t="shared" si="388"/>
        <v>27</v>
      </c>
      <c r="M160" s="293">
        <f t="shared" si="388"/>
        <v>-10</v>
      </c>
      <c r="N160" s="583">
        <f t="shared" si="388"/>
        <v>59</v>
      </c>
      <c r="O160" s="292">
        <f t="shared" si="388"/>
        <v>-1</v>
      </c>
      <c r="P160" s="261">
        <f t="shared" si="388"/>
        <v>43</v>
      </c>
      <c r="Q160" s="261">
        <f t="shared" si="388"/>
        <v>-13</v>
      </c>
      <c r="R160" s="293">
        <f t="shared" si="388"/>
        <v>8</v>
      </c>
      <c r="S160" s="583">
        <f t="shared" si="388"/>
        <v>37</v>
      </c>
      <c r="T160" s="292">
        <f t="shared" si="388"/>
        <v>57</v>
      </c>
      <c r="U160" s="261">
        <f t="shared" si="388"/>
        <v>30</v>
      </c>
      <c r="V160" s="261">
        <f t="shared" si="388"/>
        <v>-55</v>
      </c>
      <c r="W160" s="293">
        <f t="shared" si="388"/>
        <v>-25</v>
      </c>
      <c r="X160" s="583">
        <f t="shared" si="388"/>
        <v>7</v>
      </c>
      <c r="Y160" s="292">
        <f t="shared" si="388"/>
        <v>-55</v>
      </c>
      <c r="Z160" s="261">
        <f t="shared" si="388"/>
        <v>50</v>
      </c>
      <c r="AA160" s="261">
        <f t="shared" ref="AA160" si="389">SUM(AA155:AA159)</f>
        <v>-47</v>
      </c>
      <c r="AB160" s="293">
        <f t="shared" ref="AB160:AC160" si="390">SUM(AB155:AB159)</f>
        <v>16</v>
      </c>
      <c r="AC160" s="583">
        <f t="shared" si="390"/>
        <v>-36</v>
      </c>
      <c r="AD160" s="292">
        <f t="shared" ref="AD160:AE160" si="391">SUM(AD155:AD159)</f>
        <v>-6</v>
      </c>
      <c r="AE160" s="261">
        <f t="shared" si="391"/>
        <v>64</v>
      </c>
      <c r="AF160" s="261">
        <f t="shared" ref="AF160:AJ160" si="392">SUM(AF155:AF159)</f>
        <v>-18</v>
      </c>
      <c r="AG160" s="293">
        <f t="shared" si="392"/>
        <v>11</v>
      </c>
      <c r="AH160" s="583">
        <f t="shared" si="392"/>
        <v>51</v>
      </c>
      <c r="AI160" s="292">
        <f t="shared" si="392"/>
        <v>-27</v>
      </c>
      <c r="AJ160" s="261">
        <f t="shared" si="392"/>
        <v>127</v>
      </c>
      <c r="AK160" s="261">
        <f t="shared" ref="AK160:AO160" si="393">SUM(AK155:AK159)</f>
        <v>-26</v>
      </c>
      <c r="AL160" s="293">
        <f t="shared" si="393"/>
        <v>-52</v>
      </c>
      <c r="AM160" s="583">
        <f t="shared" si="393"/>
        <v>22</v>
      </c>
      <c r="AN160" s="292">
        <f t="shared" si="393"/>
        <v>-20</v>
      </c>
      <c r="AO160" s="261">
        <f t="shared" si="393"/>
        <v>22</v>
      </c>
      <c r="AP160" s="261">
        <f t="shared" ref="AP160:AR160" si="394">SUM(AP155:AP159)</f>
        <v>-15</v>
      </c>
      <c r="AQ160" s="293">
        <f t="shared" si="394"/>
        <v>18</v>
      </c>
      <c r="AR160" s="583">
        <f t="shared" si="394"/>
        <v>5</v>
      </c>
      <c r="AS160" s="292">
        <f t="shared" si="388"/>
        <v>18.75</v>
      </c>
      <c r="AT160" s="261">
        <f t="shared" si="388"/>
        <v>18.75</v>
      </c>
      <c r="AU160" s="261">
        <f t="shared" si="388"/>
        <v>192.75</v>
      </c>
      <c r="AV160" s="293">
        <f t="shared" si="388"/>
        <v>18.75</v>
      </c>
      <c r="AW160" s="228">
        <f t="shared" si="388"/>
        <v>249</v>
      </c>
      <c r="AX160" s="292">
        <f t="shared" ref="AX160:BG160" si="395">SUM(AX155:AX159)</f>
        <v>-2.5</v>
      </c>
      <c r="AY160" s="261">
        <f t="shared" si="395"/>
        <v>-2.5</v>
      </c>
      <c r="AZ160" s="261">
        <f t="shared" si="395"/>
        <v>74.5</v>
      </c>
      <c r="BA160" s="293">
        <f t="shared" si="395"/>
        <v>-2.5</v>
      </c>
      <c r="BB160" s="228">
        <f t="shared" si="395"/>
        <v>67</v>
      </c>
      <c r="BC160" s="292">
        <f t="shared" si="395"/>
        <v>-8.75</v>
      </c>
      <c r="BD160" s="261">
        <f t="shared" si="395"/>
        <v>-8.75</v>
      </c>
      <c r="BE160" s="261">
        <f t="shared" si="395"/>
        <v>66.25</v>
      </c>
      <c r="BF160" s="293">
        <f t="shared" si="395"/>
        <v>-8.75</v>
      </c>
      <c r="BG160" s="228">
        <f t="shared" si="395"/>
        <v>40</v>
      </c>
      <c r="BH160" s="292">
        <f t="shared" ref="BH160:BL160" si="396">SUM(BH155:BH159)</f>
        <v>-22.5</v>
      </c>
      <c r="BI160" s="261">
        <f t="shared" si="396"/>
        <v>-22.5</v>
      </c>
      <c r="BJ160" s="261">
        <f t="shared" si="396"/>
        <v>13.634999999999991</v>
      </c>
      <c r="BK160" s="293">
        <f t="shared" si="396"/>
        <v>-22.5</v>
      </c>
      <c r="BL160" s="228">
        <f t="shared" si="396"/>
        <v>-53.865000000000009</v>
      </c>
      <c r="BM160" s="45"/>
      <c r="BN160" s="45"/>
      <c r="BO160" s="45"/>
      <c r="BP160" s="45"/>
      <c r="BQ160" s="45"/>
      <c r="BR160" s="45"/>
      <c r="BS160" s="45"/>
      <c r="BT160" s="45"/>
      <c r="BU160" s="45"/>
      <c r="BV160" s="45"/>
      <c r="BW160" s="45"/>
      <c r="BX160" s="45"/>
      <c r="BY160" s="45"/>
      <c r="BZ160" s="45"/>
      <c r="CA160" s="45"/>
      <c r="CB160" s="228">
        <f t="shared" ref="CB160:DB160" si="397">SUM(CB155:CB159)</f>
        <v>0</v>
      </c>
      <c r="CC160" s="228">
        <f t="shared" si="397"/>
        <v>0</v>
      </c>
      <c r="CD160" s="228">
        <f t="shared" si="397"/>
        <v>0</v>
      </c>
      <c r="CE160" s="228">
        <f t="shared" si="397"/>
        <v>0</v>
      </c>
      <c r="CF160" s="228">
        <f t="shared" si="397"/>
        <v>0</v>
      </c>
      <c r="CG160" s="228">
        <f t="shared" si="397"/>
        <v>0</v>
      </c>
      <c r="CH160" s="228">
        <f t="shared" si="397"/>
        <v>0</v>
      </c>
      <c r="CI160" s="228">
        <f t="shared" si="397"/>
        <v>0</v>
      </c>
      <c r="CJ160" s="228">
        <f t="shared" si="397"/>
        <v>95</v>
      </c>
      <c r="CK160" s="228">
        <f t="shared" si="397"/>
        <v>95</v>
      </c>
      <c r="CL160" s="228">
        <f t="shared" si="397"/>
        <v>-9</v>
      </c>
      <c r="CM160" s="228">
        <f t="shared" si="397"/>
        <v>42</v>
      </c>
      <c r="CN160" s="228">
        <f t="shared" si="397"/>
        <v>69</v>
      </c>
      <c r="CO160" s="228">
        <f t="shared" si="397"/>
        <v>59</v>
      </c>
      <c r="CP160" s="228">
        <f t="shared" si="397"/>
        <v>59</v>
      </c>
      <c r="CQ160" s="228">
        <f t="shared" si="397"/>
        <v>-1</v>
      </c>
      <c r="CR160" s="228">
        <f t="shared" si="397"/>
        <v>42</v>
      </c>
      <c r="CS160" s="228">
        <f t="shared" si="397"/>
        <v>29</v>
      </c>
      <c r="CT160" s="228">
        <f t="shared" si="397"/>
        <v>37</v>
      </c>
      <c r="CU160" s="228">
        <f t="shared" si="397"/>
        <v>37</v>
      </c>
      <c r="CV160" s="228">
        <f t="shared" si="397"/>
        <v>57</v>
      </c>
      <c r="CW160" s="228">
        <f t="shared" si="397"/>
        <v>87</v>
      </c>
      <c r="CX160" s="228">
        <f t="shared" si="397"/>
        <v>32</v>
      </c>
      <c r="CY160" s="228">
        <f t="shared" si="397"/>
        <v>7</v>
      </c>
      <c r="CZ160" s="228">
        <f t="shared" si="397"/>
        <v>7</v>
      </c>
      <c r="DA160" s="228">
        <f t="shared" si="397"/>
        <v>-55</v>
      </c>
      <c r="DB160" s="228">
        <f t="shared" si="397"/>
        <v>-5</v>
      </c>
      <c r="DC160" s="228">
        <f t="shared" ref="DC160:DG160" si="398">SUM(DC155:DC159)</f>
        <v>-52</v>
      </c>
      <c r="DD160" s="228">
        <f t="shared" si="398"/>
        <v>-36</v>
      </c>
      <c r="DE160" s="228">
        <f t="shared" si="398"/>
        <v>-36</v>
      </c>
      <c r="DF160" s="228">
        <f t="shared" si="398"/>
        <v>-6</v>
      </c>
      <c r="DG160" s="228">
        <f t="shared" si="398"/>
        <v>58</v>
      </c>
      <c r="DH160" s="228">
        <f t="shared" ref="DH160:DL160" si="399">SUM(DH155:DH159)</f>
        <v>40</v>
      </c>
      <c r="DI160" s="228">
        <f t="shared" si="399"/>
        <v>51</v>
      </c>
      <c r="DJ160" s="228">
        <f t="shared" si="399"/>
        <v>51</v>
      </c>
      <c r="DK160" s="228">
        <f t="shared" si="399"/>
        <v>-27</v>
      </c>
      <c r="DL160" s="228">
        <f t="shared" si="399"/>
        <v>100</v>
      </c>
      <c r="DM160" s="228">
        <f t="shared" ref="DM160:DR160" si="400">SUM(DM155:DM159)</f>
        <v>74</v>
      </c>
      <c r="DN160" s="228">
        <f t="shared" si="400"/>
        <v>22</v>
      </c>
      <c r="DO160" s="228">
        <f t="shared" si="400"/>
        <v>22</v>
      </c>
      <c r="DP160" s="228">
        <f t="shared" si="400"/>
        <v>-20</v>
      </c>
      <c r="DQ160" s="228">
        <f t="shared" si="400"/>
        <v>2</v>
      </c>
      <c r="DR160" s="228">
        <f t="shared" si="400"/>
        <v>-13</v>
      </c>
      <c r="DS160" s="228">
        <f t="shared" ref="DS160:DT160" si="401">SUM(DS155:DS159)</f>
        <v>5</v>
      </c>
      <c r="DT160" s="228">
        <f t="shared" si="401"/>
        <v>5</v>
      </c>
    </row>
    <row r="161" spans="1:124">
      <c r="A161" s="45"/>
      <c r="B161" s="45"/>
      <c r="C161" s="391"/>
      <c r="D161" s="45"/>
      <c r="E161" s="290"/>
      <c r="F161" s="260"/>
      <c r="G161" s="260"/>
      <c r="H161" s="291"/>
      <c r="I161" s="647">
        <f t="shared" si="288"/>
        <v>0</v>
      </c>
      <c r="J161" s="290"/>
      <c r="K161" s="260"/>
      <c r="L161" s="260"/>
      <c r="M161" s="291"/>
      <c r="N161" s="647"/>
      <c r="O161" s="290"/>
      <c r="P161" s="260"/>
      <c r="Q161" s="260"/>
      <c r="R161" s="291"/>
      <c r="S161" s="647"/>
      <c r="T161" s="290"/>
      <c r="U161" s="260"/>
      <c r="V161" s="260"/>
      <c r="W161" s="291"/>
      <c r="X161" s="647"/>
      <c r="Y161" s="290"/>
      <c r="Z161" s="260"/>
      <c r="AA161" s="260"/>
      <c r="AB161" s="291"/>
      <c r="AC161" s="647"/>
      <c r="AD161" s="290"/>
      <c r="AE161" s="260"/>
      <c r="AF161" s="260"/>
      <c r="AG161" s="291"/>
      <c r="AH161" s="647"/>
      <c r="AI161" s="290"/>
      <c r="AJ161" s="260"/>
      <c r="AK161" s="260"/>
      <c r="AL161" s="291"/>
      <c r="AM161" s="647"/>
      <c r="AN161" s="290"/>
      <c r="AO161" s="260"/>
      <c r="AP161" s="260"/>
      <c r="AQ161" s="291"/>
      <c r="AR161" s="647"/>
      <c r="AS161" s="290"/>
      <c r="AT161" s="260"/>
      <c r="AU161" s="260"/>
      <c r="AV161" s="291"/>
      <c r="AW161" s="45"/>
      <c r="AX161" s="290"/>
      <c r="AY161" s="260"/>
      <c r="AZ161" s="260"/>
      <c r="BA161" s="291"/>
      <c r="BB161" s="45"/>
      <c r="BC161" s="290"/>
      <c r="BD161" s="260"/>
      <c r="BE161" s="260"/>
      <c r="BF161" s="291"/>
      <c r="BG161" s="45"/>
      <c r="BH161" s="290"/>
      <c r="BI161" s="260"/>
      <c r="BJ161" s="260"/>
      <c r="BK161" s="291"/>
      <c r="BL161" s="45"/>
      <c r="BM161" s="45"/>
      <c r="BN161" s="45"/>
      <c r="BO161" s="45"/>
      <c r="BP161" s="45"/>
      <c r="BQ161" s="45"/>
      <c r="BR161" s="45"/>
      <c r="BS161" s="45"/>
      <c r="BT161" s="45"/>
      <c r="BU161" s="45"/>
      <c r="BV161" s="45"/>
      <c r="BW161" s="45"/>
      <c r="BX161" s="45"/>
      <c r="BY161" s="45"/>
      <c r="BZ161" s="45"/>
      <c r="CA161" s="45"/>
      <c r="CB161" s="228"/>
      <c r="CC161" s="228"/>
      <c r="CD161" s="228"/>
      <c r="CE161" s="228"/>
      <c r="CF161" s="228"/>
      <c r="CG161" s="228"/>
      <c r="CH161" s="228"/>
      <c r="CI161" s="228"/>
      <c r="CJ161" s="228"/>
      <c r="CK161" s="228"/>
      <c r="CL161" s="228"/>
      <c r="CM161" s="228"/>
      <c r="CN161" s="228"/>
      <c r="CO161" s="228"/>
      <c r="CP161" s="228"/>
      <c r="CQ161" s="228"/>
      <c r="CR161" s="228"/>
      <c r="CS161" s="228"/>
      <c r="CT161" s="228"/>
      <c r="CU161" s="228"/>
      <c r="CV161" s="228"/>
      <c r="CW161" s="228"/>
      <c r="CX161" s="228"/>
      <c r="CY161" s="228"/>
      <c r="CZ161" s="228"/>
      <c r="DA161" s="228"/>
      <c r="DB161" s="228"/>
      <c r="DC161" s="228"/>
      <c r="DD161" s="228"/>
      <c r="DE161" s="228"/>
      <c r="DF161" s="228"/>
      <c r="DG161" s="228"/>
      <c r="DH161" s="228"/>
      <c r="DI161" s="228"/>
      <c r="DJ161" s="228"/>
      <c r="DK161" s="228"/>
      <c r="DL161" s="228"/>
      <c r="DM161" s="228"/>
      <c r="DN161" s="228"/>
      <c r="DO161" s="228"/>
      <c r="DP161" s="228"/>
      <c r="DQ161" s="228"/>
      <c r="DR161" s="228"/>
      <c r="DS161" s="228"/>
      <c r="DT161" s="228"/>
    </row>
    <row r="162" spans="1:124">
      <c r="A162" s="45"/>
      <c r="B162" s="45"/>
      <c r="C162" s="389" t="s">
        <v>154</v>
      </c>
      <c r="D162" s="45"/>
      <c r="E162" s="292"/>
      <c r="F162" s="261"/>
      <c r="G162" s="261"/>
      <c r="H162" s="293"/>
      <c r="I162" s="583">
        <f t="shared" si="288"/>
        <v>-3</v>
      </c>
      <c r="J162" s="292">
        <f t="shared" ref="J162:AW162" si="402">+J148+J153+J160</f>
        <v>0</v>
      </c>
      <c r="K162" s="261">
        <f t="shared" si="402"/>
        <v>0</v>
      </c>
      <c r="L162" s="261">
        <f t="shared" si="402"/>
        <v>87</v>
      </c>
      <c r="M162" s="293">
        <f t="shared" si="402"/>
        <v>0</v>
      </c>
      <c r="N162" s="583">
        <f t="shared" si="402"/>
        <v>87</v>
      </c>
      <c r="O162" s="292">
        <f t="shared" si="402"/>
        <v>-42</v>
      </c>
      <c r="P162" s="261">
        <f t="shared" si="402"/>
        <v>-46</v>
      </c>
      <c r="Q162" s="261">
        <f t="shared" si="402"/>
        <v>4</v>
      </c>
      <c r="R162" s="293">
        <f t="shared" si="402"/>
        <v>-1</v>
      </c>
      <c r="S162" s="583">
        <f t="shared" si="402"/>
        <v>-85</v>
      </c>
      <c r="T162" s="292">
        <f t="shared" si="402"/>
        <v>4</v>
      </c>
      <c r="U162" s="261">
        <f t="shared" si="402"/>
        <v>-6</v>
      </c>
      <c r="V162" s="261">
        <f t="shared" si="402"/>
        <v>2</v>
      </c>
      <c r="W162" s="293">
        <f t="shared" si="402"/>
        <v>-3</v>
      </c>
      <c r="X162" s="583">
        <f t="shared" si="402"/>
        <v>-3</v>
      </c>
      <c r="Y162" s="292">
        <f t="shared" si="402"/>
        <v>4</v>
      </c>
      <c r="Z162" s="261">
        <f t="shared" si="402"/>
        <v>-1</v>
      </c>
      <c r="AA162" s="261">
        <f t="shared" ref="AA162:AE162" si="403">+AA148+AA153+AA160</f>
        <v>0</v>
      </c>
      <c r="AB162" s="293">
        <f t="shared" si="403"/>
        <v>-4</v>
      </c>
      <c r="AC162" s="583">
        <f t="shared" si="403"/>
        <v>-1</v>
      </c>
      <c r="AD162" s="292">
        <f t="shared" si="403"/>
        <v>4</v>
      </c>
      <c r="AE162" s="261">
        <f t="shared" si="403"/>
        <v>-3</v>
      </c>
      <c r="AF162" s="261">
        <f t="shared" ref="AF162:AJ162" si="404">+AF148+AF153+AF160</f>
        <v>1</v>
      </c>
      <c r="AG162" s="293">
        <f t="shared" si="404"/>
        <v>-1</v>
      </c>
      <c r="AH162" s="583">
        <f t="shared" si="404"/>
        <v>1</v>
      </c>
      <c r="AI162" s="292">
        <f t="shared" si="404"/>
        <v>119</v>
      </c>
      <c r="AJ162" s="261">
        <f t="shared" si="404"/>
        <v>29</v>
      </c>
      <c r="AK162" s="261">
        <f t="shared" ref="AK162:AO162" si="405">+AK148+AK153+AK160</f>
        <v>14</v>
      </c>
      <c r="AL162" s="293">
        <f t="shared" si="405"/>
        <v>-64</v>
      </c>
      <c r="AM162" s="583">
        <f t="shared" si="405"/>
        <v>98</v>
      </c>
      <c r="AN162" s="292">
        <f t="shared" si="405"/>
        <v>-47</v>
      </c>
      <c r="AO162" s="261">
        <f t="shared" si="405"/>
        <v>-47</v>
      </c>
      <c r="AP162" s="261">
        <f t="shared" ref="AP162:AR162" si="406">+AP148+AP153+AP160</f>
        <v>-2</v>
      </c>
      <c r="AQ162" s="293">
        <f t="shared" si="406"/>
        <v>-3</v>
      </c>
      <c r="AR162" s="583">
        <f t="shared" si="406"/>
        <v>-99</v>
      </c>
      <c r="AS162" s="292">
        <f t="shared" ca="1" si="402"/>
        <v>-28.253938782820583</v>
      </c>
      <c r="AT162" s="261">
        <f t="shared" ca="1" si="402"/>
        <v>-26.216123822228312</v>
      </c>
      <c r="AU162" s="261">
        <f t="shared" ca="1" si="402"/>
        <v>193.77662423527386</v>
      </c>
      <c r="AV162" s="293">
        <f t="shared" ca="1" si="402"/>
        <v>-27.348018810489179</v>
      </c>
      <c r="AW162" s="228">
        <f t="shared" ca="1" si="402"/>
        <v>111.95854281973578</v>
      </c>
      <c r="AX162" s="292">
        <f t="shared" ref="AX162:BG162" ca="1" si="407">+AX148+AX153+AX160</f>
        <v>-36.082627822410487</v>
      </c>
      <c r="AY162" s="261">
        <f t="shared" ca="1" si="407"/>
        <v>-33.871577266570327</v>
      </c>
      <c r="AZ162" s="261">
        <f t="shared" ca="1" si="407"/>
        <v>93.537313125992839</v>
      </c>
      <c r="BA162" s="293">
        <f t="shared" ca="1" si="407"/>
        <v>-30.889199446027277</v>
      </c>
      <c r="BB162" s="228">
        <f t="shared" ca="1" si="407"/>
        <v>-7.3060914090152664</v>
      </c>
      <c r="BC162" s="292">
        <f t="shared" ca="1" si="407"/>
        <v>-31.29621088874444</v>
      </c>
      <c r="BD162" s="261">
        <f t="shared" ca="1" si="407"/>
        <v>-28.962449996971792</v>
      </c>
      <c r="BE162" s="261">
        <f t="shared" ca="1" si="407"/>
        <v>91.580058807104905</v>
      </c>
      <c r="BF162" s="293">
        <f t="shared" ca="1" si="407"/>
        <v>-30.967431248758473</v>
      </c>
      <c r="BG162" s="228">
        <f t="shared" ca="1" si="407"/>
        <v>0.35396667263023573</v>
      </c>
      <c r="BH162" s="292">
        <f t="shared" ref="BH162:BL162" ca="1" si="408">+BH148+BH153+BH160</f>
        <v>-20.613074207863505</v>
      </c>
      <c r="BI162" s="261">
        <f t="shared" ca="1" si="408"/>
        <v>-18.063703076159143</v>
      </c>
      <c r="BJ162" s="261">
        <f t="shared" ca="1" si="408"/>
        <v>63.713028850836423</v>
      </c>
      <c r="BK162" s="293">
        <f t="shared" ca="1" si="408"/>
        <v>-19.670659854463935</v>
      </c>
      <c r="BL162" s="228">
        <f t="shared" ca="1" si="408"/>
        <v>5.3655917123498966</v>
      </c>
      <c r="BM162" s="45"/>
      <c r="BN162" s="45"/>
      <c r="BO162" s="45"/>
      <c r="BP162" s="45"/>
      <c r="BQ162" s="45"/>
      <c r="BR162" s="45"/>
      <c r="BS162" s="45"/>
      <c r="BT162" s="45"/>
      <c r="BU162" s="45"/>
      <c r="BV162" s="45"/>
      <c r="BW162" s="45"/>
      <c r="BX162" s="45"/>
      <c r="BY162" s="45"/>
      <c r="BZ162" s="45"/>
      <c r="CA162" s="45"/>
      <c r="CB162" s="228">
        <f t="shared" ref="CB162:DB162" si="409">CB148+CB153+CB160</f>
        <v>0</v>
      </c>
      <c r="CC162" s="228">
        <f t="shared" si="409"/>
        <v>0</v>
      </c>
      <c r="CD162" s="228">
        <f t="shared" si="409"/>
        <v>0</v>
      </c>
      <c r="CE162" s="228">
        <f t="shared" si="409"/>
        <v>0</v>
      </c>
      <c r="CF162" s="228">
        <f t="shared" si="409"/>
        <v>0</v>
      </c>
      <c r="CG162" s="228">
        <f t="shared" si="409"/>
        <v>0</v>
      </c>
      <c r="CH162" s="228">
        <f t="shared" si="409"/>
        <v>0</v>
      </c>
      <c r="CI162" s="228">
        <f t="shared" si="409"/>
        <v>0</v>
      </c>
      <c r="CJ162" s="228">
        <f t="shared" si="409"/>
        <v>-3</v>
      </c>
      <c r="CK162" s="228">
        <f t="shared" si="409"/>
        <v>-3</v>
      </c>
      <c r="CL162" s="228">
        <f t="shared" si="409"/>
        <v>0</v>
      </c>
      <c r="CM162" s="228">
        <f t="shared" si="409"/>
        <v>0</v>
      </c>
      <c r="CN162" s="228">
        <f t="shared" si="409"/>
        <v>87</v>
      </c>
      <c r="CO162" s="228">
        <f t="shared" si="409"/>
        <v>87</v>
      </c>
      <c r="CP162" s="228">
        <f t="shared" si="409"/>
        <v>87</v>
      </c>
      <c r="CQ162" s="228">
        <f t="shared" si="409"/>
        <v>-42</v>
      </c>
      <c r="CR162" s="228">
        <f t="shared" si="409"/>
        <v>-88</v>
      </c>
      <c r="CS162" s="228">
        <f t="shared" si="409"/>
        <v>-84</v>
      </c>
      <c r="CT162" s="228">
        <f t="shared" si="409"/>
        <v>-85</v>
      </c>
      <c r="CU162" s="228">
        <f t="shared" si="409"/>
        <v>-85</v>
      </c>
      <c r="CV162" s="228">
        <f t="shared" si="409"/>
        <v>4</v>
      </c>
      <c r="CW162" s="228">
        <f t="shared" si="409"/>
        <v>-2</v>
      </c>
      <c r="CX162" s="228">
        <f t="shared" si="409"/>
        <v>0</v>
      </c>
      <c r="CY162" s="228">
        <f t="shared" si="409"/>
        <v>-3</v>
      </c>
      <c r="CZ162" s="228">
        <f t="shared" si="409"/>
        <v>-3</v>
      </c>
      <c r="DA162" s="228">
        <f t="shared" si="409"/>
        <v>4</v>
      </c>
      <c r="DB162" s="228">
        <f t="shared" si="409"/>
        <v>3</v>
      </c>
      <c r="DC162" s="228">
        <f t="shared" ref="DC162:DG162" si="410">DC148+DC153+DC160</f>
        <v>3</v>
      </c>
      <c r="DD162" s="228">
        <f t="shared" si="410"/>
        <v>-1</v>
      </c>
      <c r="DE162" s="228">
        <f t="shared" si="410"/>
        <v>-1</v>
      </c>
      <c r="DF162" s="228">
        <f t="shared" si="410"/>
        <v>4</v>
      </c>
      <c r="DG162" s="228">
        <f t="shared" si="410"/>
        <v>1</v>
      </c>
      <c r="DH162" s="228">
        <f t="shared" ref="DH162:DL162" si="411">DH148+DH153+DH160</f>
        <v>2</v>
      </c>
      <c r="DI162" s="228">
        <f t="shared" si="411"/>
        <v>1</v>
      </c>
      <c r="DJ162" s="228">
        <f t="shared" si="411"/>
        <v>1</v>
      </c>
      <c r="DK162" s="228">
        <f t="shared" si="411"/>
        <v>119</v>
      </c>
      <c r="DL162" s="228">
        <f t="shared" si="411"/>
        <v>148</v>
      </c>
      <c r="DM162" s="228">
        <f t="shared" ref="DM162:DQ162" si="412">DM148+DM153+DM160</f>
        <v>162</v>
      </c>
      <c r="DN162" s="228">
        <f t="shared" si="412"/>
        <v>98</v>
      </c>
      <c r="DO162" s="228">
        <f t="shared" si="412"/>
        <v>98</v>
      </c>
      <c r="DP162" s="228">
        <f t="shared" si="412"/>
        <v>-47</v>
      </c>
      <c r="DQ162" s="228">
        <f t="shared" si="412"/>
        <v>-94</v>
      </c>
      <c r="DR162" s="228">
        <f t="shared" ref="DR162:DT162" si="413">DR148+DR153+DR160</f>
        <v>-96</v>
      </c>
      <c r="DS162" s="228">
        <f t="shared" si="413"/>
        <v>-99</v>
      </c>
      <c r="DT162" s="228">
        <f t="shared" si="413"/>
        <v>-99</v>
      </c>
    </row>
    <row r="163" spans="1:124">
      <c r="A163" s="45"/>
      <c r="B163" s="45"/>
      <c r="C163" s="391" t="s">
        <v>155</v>
      </c>
      <c r="D163" s="45"/>
      <c r="E163" s="290"/>
      <c r="F163" s="260"/>
      <c r="G163" s="260"/>
      <c r="H163" s="291"/>
      <c r="I163" s="339">
        <v>7</v>
      </c>
      <c r="J163" s="290">
        <f>+I165</f>
        <v>4</v>
      </c>
      <c r="K163" s="260">
        <f>+J165</f>
        <v>4</v>
      </c>
      <c r="L163" s="260">
        <f>+K165</f>
        <v>4</v>
      </c>
      <c r="M163" s="291">
        <f>L165</f>
        <v>91</v>
      </c>
      <c r="N163" s="647">
        <f>+CP163</f>
        <v>4</v>
      </c>
      <c r="O163" s="290">
        <f>+N165</f>
        <v>91</v>
      </c>
      <c r="P163" s="260">
        <f>+O165</f>
        <v>49</v>
      </c>
      <c r="Q163" s="260">
        <f>+P165</f>
        <v>3</v>
      </c>
      <c r="R163" s="291">
        <f>+Q165</f>
        <v>7</v>
      </c>
      <c r="S163" s="647">
        <f>+O163</f>
        <v>91</v>
      </c>
      <c r="T163" s="290">
        <f>+S165</f>
        <v>6</v>
      </c>
      <c r="U163" s="260">
        <f>+T165</f>
        <v>10</v>
      </c>
      <c r="V163" s="260">
        <f>+U165</f>
        <v>4</v>
      </c>
      <c r="W163" s="291">
        <f>+V165</f>
        <v>6</v>
      </c>
      <c r="X163" s="647">
        <f>+T163</f>
        <v>6</v>
      </c>
      <c r="Y163" s="290">
        <f>+X165</f>
        <v>3</v>
      </c>
      <c r="Z163" s="260">
        <f>+Y165</f>
        <v>7</v>
      </c>
      <c r="AA163" s="260">
        <f>+Z165</f>
        <v>6</v>
      </c>
      <c r="AB163" s="291">
        <f>+AA165</f>
        <v>6</v>
      </c>
      <c r="AC163" s="647">
        <f>+Y163</f>
        <v>3</v>
      </c>
      <c r="AD163" s="290">
        <f>+AC165</f>
        <v>2</v>
      </c>
      <c r="AE163" s="260">
        <f>+AD165</f>
        <v>6</v>
      </c>
      <c r="AF163" s="260">
        <f>+AE165</f>
        <v>3</v>
      </c>
      <c r="AG163" s="291">
        <f>+AF165</f>
        <v>4</v>
      </c>
      <c r="AH163" s="647">
        <f>+AD163</f>
        <v>2</v>
      </c>
      <c r="AI163" s="290">
        <f>+AH165</f>
        <v>3</v>
      </c>
      <c r="AJ163" s="260">
        <f>+AI165</f>
        <v>122</v>
      </c>
      <c r="AK163" s="260">
        <f>+AJ165</f>
        <v>151</v>
      </c>
      <c r="AL163" s="291">
        <f>+AK165</f>
        <v>165</v>
      </c>
      <c r="AM163" s="647">
        <f>+AI163</f>
        <v>3</v>
      </c>
      <c r="AN163" s="290">
        <f>+AM165</f>
        <v>101</v>
      </c>
      <c r="AO163" s="260">
        <f>+AN165</f>
        <v>54</v>
      </c>
      <c r="AP163" s="260">
        <f t="shared" ref="AP163" si="414">+AO165</f>
        <v>7</v>
      </c>
      <c r="AQ163" s="291">
        <f>+AP165</f>
        <v>5</v>
      </c>
      <c r="AR163" s="647">
        <f>+AN163</f>
        <v>101</v>
      </c>
      <c r="AS163" s="290">
        <f>+AR165</f>
        <v>2</v>
      </c>
      <c r="AT163" s="260">
        <f ca="1">+AS165</f>
        <v>0</v>
      </c>
      <c r="AU163" s="260">
        <f ca="1">+AT165</f>
        <v>0</v>
      </c>
      <c r="AV163" s="291">
        <f ca="1">+AU165</f>
        <v>33.306561630224962</v>
      </c>
      <c r="AW163" s="45">
        <f>+AR165</f>
        <v>2</v>
      </c>
      <c r="AX163" s="290">
        <f ca="1">+AW165</f>
        <v>5.9585428197357828</v>
      </c>
      <c r="AY163" s="260">
        <f ca="1">+AX165</f>
        <v>0</v>
      </c>
      <c r="AZ163" s="260">
        <f ca="1">+AY165</f>
        <v>0</v>
      </c>
      <c r="BA163" s="291">
        <f ca="1">+AZ165</f>
        <v>29.541650856747808</v>
      </c>
      <c r="BB163" s="45">
        <f ca="1">+AW165</f>
        <v>5.9585428197357828</v>
      </c>
      <c r="BC163" s="290">
        <f ca="1">+BB165</f>
        <v>-1.4210854715202004E-14</v>
      </c>
      <c r="BD163" s="260">
        <f ca="1">+BC165</f>
        <v>0</v>
      </c>
      <c r="BE163" s="260">
        <f ca="1">+BD165</f>
        <v>0</v>
      </c>
      <c r="BF163" s="291">
        <f ca="1">+BE165</f>
        <v>29.973849332109189</v>
      </c>
      <c r="BG163" s="45">
        <f ca="1">+BB165</f>
        <v>-1.4210854715202004E-14</v>
      </c>
      <c r="BH163" s="290">
        <f ca="1">+BG165</f>
        <v>3.5527136788005009E-14</v>
      </c>
      <c r="BI163" s="260">
        <f ca="1">+BH165</f>
        <v>0</v>
      </c>
      <c r="BJ163" s="260">
        <f ca="1">+BI165</f>
        <v>0</v>
      </c>
      <c r="BK163" s="291">
        <f ca="1">+BJ165</f>
        <v>24.042669650164541</v>
      </c>
      <c r="BL163" s="45">
        <f ca="1">+BG165</f>
        <v>3.5527136788005009E-14</v>
      </c>
      <c r="BM163" s="45"/>
      <c r="BN163" s="45"/>
      <c r="BO163" s="45"/>
      <c r="BP163" s="45"/>
      <c r="BQ163" s="45"/>
      <c r="BR163" s="45"/>
      <c r="BS163" s="45"/>
      <c r="BT163" s="45"/>
      <c r="BU163" s="45"/>
      <c r="BV163" s="45"/>
      <c r="BW163" s="45"/>
      <c r="BX163" s="45"/>
      <c r="BY163" s="45"/>
      <c r="BZ163" s="45"/>
      <c r="CA163" s="45"/>
      <c r="CB163" s="339"/>
      <c r="CC163" s="647">
        <f>CB163</f>
        <v>0</v>
      </c>
      <c r="CD163" s="647">
        <f>CC163</f>
        <v>0</v>
      </c>
      <c r="CE163" s="45">
        <f>CD163</f>
        <v>0</v>
      </c>
      <c r="CF163" s="647">
        <f>CE163</f>
        <v>0</v>
      </c>
      <c r="CG163" s="647">
        <f>CF165</f>
        <v>0</v>
      </c>
      <c r="CH163" s="647">
        <f>CG163</f>
        <v>0</v>
      </c>
      <c r="CI163" s="647">
        <f>CG163</f>
        <v>0</v>
      </c>
      <c r="CJ163" s="647">
        <f>CK163</f>
        <v>7</v>
      </c>
      <c r="CK163" s="339">
        <v>7</v>
      </c>
      <c r="CL163" s="647">
        <f>CK165</f>
        <v>4</v>
      </c>
      <c r="CM163" s="647">
        <f>CL163</f>
        <v>4</v>
      </c>
      <c r="CN163" s="647">
        <f>CM163</f>
        <v>4</v>
      </c>
      <c r="CO163" s="647">
        <f>CM163</f>
        <v>4</v>
      </c>
      <c r="CP163" s="45">
        <f>CL163</f>
        <v>4</v>
      </c>
      <c r="CQ163" s="647">
        <f>CP165</f>
        <v>91</v>
      </c>
      <c r="CR163" s="647">
        <f>CQ163</f>
        <v>91</v>
      </c>
      <c r="CS163" s="647">
        <f>CR163</f>
        <v>91</v>
      </c>
      <c r="CT163" s="647">
        <f>+CS163</f>
        <v>91</v>
      </c>
      <c r="CU163" s="647">
        <f>+CP165</f>
        <v>91</v>
      </c>
      <c r="CV163" s="647">
        <f>CU165</f>
        <v>6</v>
      </c>
      <c r="CW163" s="647">
        <f>CV163</f>
        <v>6</v>
      </c>
      <c r="CX163" s="647">
        <f>CW163</f>
        <v>6</v>
      </c>
      <c r="CY163" s="647">
        <f>+CX163</f>
        <v>6</v>
      </c>
      <c r="CZ163" s="647">
        <f>+CU165</f>
        <v>6</v>
      </c>
      <c r="DA163" s="647">
        <f>CZ165</f>
        <v>3</v>
      </c>
      <c r="DB163" s="647">
        <f>DA163</f>
        <v>3</v>
      </c>
      <c r="DC163" s="647">
        <f>DB163</f>
        <v>3</v>
      </c>
      <c r="DD163" s="647">
        <f>+DC163</f>
        <v>3</v>
      </c>
      <c r="DE163" s="647">
        <f>+CZ165</f>
        <v>3</v>
      </c>
      <c r="DF163" s="647">
        <f>DE165</f>
        <v>2</v>
      </c>
      <c r="DG163" s="647">
        <f>DF163</f>
        <v>2</v>
      </c>
      <c r="DH163" s="647">
        <f>DG163</f>
        <v>2</v>
      </c>
      <c r="DI163" s="647">
        <f>+DH163</f>
        <v>2</v>
      </c>
      <c r="DJ163" s="647">
        <f>+DE165</f>
        <v>2</v>
      </c>
      <c r="DK163" s="647">
        <f>DJ165</f>
        <v>3</v>
      </c>
      <c r="DL163" s="647">
        <f>DK163</f>
        <v>3</v>
      </c>
      <c r="DM163" s="647">
        <f>DL163</f>
        <v>3</v>
      </c>
      <c r="DN163" s="647">
        <f>+DM163</f>
        <v>3</v>
      </c>
      <c r="DO163" s="647">
        <f>+DJ165</f>
        <v>3</v>
      </c>
      <c r="DP163" s="647">
        <f>DO165</f>
        <v>101</v>
      </c>
      <c r="DQ163" s="647">
        <f>DP163</f>
        <v>101</v>
      </c>
      <c r="DR163" s="647">
        <f t="shared" ref="DR163" si="415">DQ163</f>
        <v>101</v>
      </c>
      <c r="DS163" s="647">
        <f>+DR163</f>
        <v>101</v>
      </c>
      <c r="DT163" s="647">
        <f>+DO165</f>
        <v>101</v>
      </c>
    </row>
    <row r="164" spans="1:124">
      <c r="A164" s="45"/>
      <c r="B164" s="45"/>
      <c r="C164" s="391" t="s">
        <v>151</v>
      </c>
      <c r="D164" s="45"/>
      <c r="E164" s="337"/>
      <c r="F164" s="338"/>
      <c r="G164" s="338"/>
      <c r="H164" s="1684"/>
      <c r="I164" s="647"/>
      <c r="J164" s="337"/>
      <c r="K164" s="338"/>
      <c r="L164" s="338"/>
      <c r="M164" s="1684"/>
      <c r="N164" s="647"/>
      <c r="O164" s="337"/>
      <c r="P164" s="338"/>
      <c r="Q164" s="338"/>
      <c r="R164" s="1684"/>
      <c r="S164" s="647"/>
      <c r="T164" s="337"/>
      <c r="U164" s="338"/>
      <c r="V164" s="338"/>
      <c r="W164" s="1684"/>
      <c r="X164" s="647"/>
      <c r="Y164" s="337"/>
      <c r="Z164" s="338"/>
      <c r="AA164" s="338"/>
      <c r="AB164" s="1684"/>
      <c r="AC164" s="647"/>
      <c r="AD164" s="337"/>
      <c r="AE164" s="338"/>
      <c r="AF164" s="338"/>
      <c r="AG164" s="1684"/>
      <c r="AH164" s="647"/>
      <c r="AI164" s="337"/>
      <c r="AJ164" s="338"/>
      <c r="AK164" s="338"/>
      <c r="AL164" s="1684"/>
      <c r="AM164" s="647"/>
      <c r="AN164" s="337"/>
      <c r="AO164" s="338"/>
      <c r="AP164" s="338"/>
      <c r="AQ164" s="1684"/>
      <c r="AR164" s="647"/>
      <c r="AS164" s="290">
        <f ca="1">IF((AS162+AS163)&gt;=AR210,-AR210,-(AS162+AS163))</f>
        <v>26.253938782820583</v>
      </c>
      <c r="AT164" s="260">
        <f ca="1">IF((AT162+AT163)&gt;=AS210,-AS210,-(AT162+AT163))</f>
        <v>26.216123822228312</v>
      </c>
      <c r="AU164" s="260">
        <f ca="1">IF((AU162+AU163)&gt;=AT210,-AT210,-(AU162+AU163))</f>
        <v>-160.47006260504889</v>
      </c>
      <c r="AV164" s="291">
        <f ca="1">IF((AV162+AV163)&gt;=AU210,-AU210,-(AV162+AV163))</f>
        <v>0</v>
      </c>
      <c r="AW164" s="45">
        <f ca="1">SUM(AS164:AV164)</f>
        <v>-108</v>
      </c>
      <c r="AX164" s="290">
        <f ca="1">IF((AX162+AX163)&gt;=AW210,-AW210,-(AX162+AX163))</f>
        <v>30.124085002674704</v>
      </c>
      <c r="AY164" s="260">
        <f ca="1">IF((AY162+AY163)&gt;=AX210,-AX210,-(AY162+AY163))</f>
        <v>33.871577266570327</v>
      </c>
      <c r="AZ164" s="260">
        <f ca="1">IF((AZ162+AZ163)&gt;=AY210,-AY210,-(AZ162+AZ163))</f>
        <v>-63.995662269245031</v>
      </c>
      <c r="BA164" s="291">
        <f ca="1">IF((BA162+BA163)&gt;=AZ210,-AZ210,-(BA162+BA163))</f>
        <v>1.3475485892794694</v>
      </c>
      <c r="BB164" s="45">
        <f ca="1">SUM(AX164:BA164)</f>
        <v>1.3475485892794694</v>
      </c>
      <c r="BC164" s="290">
        <f ca="1">IF((BC162+BC163)&gt;=BB210,-BB210,-(BC162+BC163))</f>
        <v>31.296210888744454</v>
      </c>
      <c r="BD164" s="260">
        <f ca="1">IF((BD162+BD163)&gt;=BC210,-BC210,-(BD162+BD163))</f>
        <v>28.962449996971792</v>
      </c>
      <c r="BE164" s="260">
        <f ca="1">IF((BE162+BE163)&gt;=BD210,-BD210,-(BE162+BE163))</f>
        <v>-61.606209474995715</v>
      </c>
      <c r="BF164" s="291">
        <f ca="1">IF((BF162+BF163)&gt;=BE210,-BE210,-(BF162+BF163))</f>
        <v>0.99358191664928341</v>
      </c>
      <c r="BG164" s="45">
        <f ca="1">SUM(BC164:BF164)</f>
        <v>-0.353966672630186</v>
      </c>
      <c r="BH164" s="290">
        <f ca="1">IF((BH162+BH163)&gt;=BG210,-BG210,-(BH162+BH163))</f>
        <v>20.61307420786347</v>
      </c>
      <c r="BI164" s="260">
        <f ca="1">IF((BI162+BI163)&gt;=BH210,-BH210,-(BI162+BI163))</f>
        <v>18.063703076159143</v>
      </c>
      <c r="BJ164" s="260">
        <f ca="1">IF((BJ162+BJ163)&gt;=BI210,-BI210,-(BJ162+BJ163))</f>
        <v>-39.670359200671896</v>
      </c>
      <c r="BK164" s="291">
        <f ca="1">IF((BK162+BK163)&gt;=BJ210,-BJ210,-(BK162+BK163))</f>
        <v>0</v>
      </c>
      <c r="BL164" s="45">
        <f ca="1">SUM(BH164:BK164)</f>
        <v>-0.99358191664928341</v>
      </c>
      <c r="BM164" s="45"/>
      <c r="BN164" s="45"/>
      <c r="BO164" s="45"/>
      <c r="BP164" s="45"/>
      <c r="BQ164" s="45"/>
      <c r="BR164" s="45"/>
      <c r="BS164" s="45"/>
      <c r="BT164" s="45"/>
      <c r="BU164" s="45"/>
      <c r="BV164" s="45"/>
      <c r="BW164" s="45"/>
      <c r="BX164" s="45"/>
      <c r="BY164" s="45"/>
      <c r="BZ164" s="45"/>
      <c r="CA164" s="45"/>
      <c r="CB164" s="45"/>
      <c r="CC164" s="45"/>
      <c r="CD164" s="45"/>
      <c r="CE164" s="45"/>
      <c r="CF164" s="45">
        <v>0</v>
      </c>
      <c r="CG164" s="45"/>
      <c r="CH164" s="45"/>
      <c r="CI164" s="45"/>
      <c r="CJ164" s="45"/>
      <c r="CK164" s="45"/>
      <c r="CL164" s="45"/>
      <c r="CM164" s="45"/>
      <c r="CN164" s="45"/>
      <c r="CO164" s="45"/>
      <c r="CP164" s="45"/>
      <c r="CQ164" s="45"/>
      <c r="CR164" s="45"/>
      <c r="CS164" s="45"/>
      <c r="CT164" s="45"/>
      <c r="CU164" s="45"/>
      <c r="CV164" s="45"/>
      <c r="CW164" s="45"/>
      <c r="CX164" s="45"/>
      <c r="CY164" s="45"/>
      <c r="CZ164" s="45"/>
      <c r="DA164" s="45"/>
      <c r="DB164" s="45"/>
      <c r="DC164" s="45"/>
      <c r="DD164" s="45"/>
      <c r="DE164" s="45"/>
      <c r="DF164" s="45"/>
      <c r="DG164" s="45"/>
      <c r="DH164" s="45"/>
      <c r="DI164" s="45"/>
      <c r="DJ164" s="45"/>
      <c r="DK164" s="45"/>
      <c r="DL164" s="45"/>
      <c r="DM164" s="45"/>
      <c r="DN164" s="45"/>
      <c r="DO164" s="45"/>
      <c r="DP164" s="45"/>
      <c r="DQ164" s="45"/>
      <c r="DR164" s="45"/>
      <c r="DS164" s="45"/>
      <c r="DT164" s="45"/>
    </row>
    <row r="165" spans="1:124">
      <c r="A165" s="45"/>
      <c r="B165" s="45"/>
      <c r="C165" s="389" t="s">
        <v>221</v>
      </c>
      <c r="D165" s="45"/>
      <c r="E165" s="292"/>
      <c r="F165" s="261"/>
      <c r="G165" s="261"/>
      <c r="H165" s="293"/>
      <c r="I165" s="583">
        <f t="shared" ref="I165:AW165" si="416">I164+I163+I162</f>
        <v>4</v>
      </c>
      <c r="J165" s="292">
        <f t="shared" si="416"/>
        <v>4</v>
      </c>
      <c r="K165" s="261">
        <f t="shared" si="416"/>
        <v>4</v>
      </c>
      <c r="L165" s="261">
        <f t="shared" si="416"/>
        <v>91</v>
      </c>
      <c r="M165" s="293">
        <f t="shared" si="416"/>
        <v>91</v>
      </c>
      <c r="N165" s="583">
        <f t="shared" si="416"/>
        <v>91</v>
      </c>
      <c r="O165" s="292">
        <f t="shared" si="416"/>
        <v>49</v>
      </c>
      <c r="P165" s="261">
        <f t="shared" si="416"/>
        <v>3</v>
      </c>
      <c r="Q165" s="261">
        <f t="shared" si="416"/>
        <v>7</v>
      </c>
      <c r="R165" s="293">
        <f t="shared" si="416"/>
        <v>6</v>
      </c>
      <c r="S165" s="583">
        <f t="shared" si="416"/>
        <v>6</v>
      </c>
      <c r="T165" s="292">
        <f t="shared" si="416"/>
        <v>10</v>
      </c>
      <c r="U165" s="261">
        <f t="shared" si="416"/>
        <v>4</v>
      </c>
      <c r="V165" s="261">
        <f t="shared" si="416"/>
        <v>6</v>
      </c>
      <c r="W165" s="293">
        <f t="shared" si="416"/>
        <v>3</v>
      </c>
      <c r="X165" s="583">
        <f t="shared" si="416"/>
        <v>3</v>
      </c>
      <c r="Y165" s="292">
        <f t="shared" si="416"/>
        <v>7</v>
      </c>
      <c r="Z165" s="261">
        <f t="shared" si="416"/>
        <v>6</v>
      </c>
      <c r="AA165" s="261">
        <f t="shared" ref="AA165:AE165" si="417">AA164+AA163+AA162</f>
        <v>6</v>
      </c>
      <c r="AB165" s="293">
        <f t="shared" si="417"/>
        <v>2</v>
      </c>
      <c r="AC165" s="583">
        <f t="shared" si="417"/>
        <v>2</v>
      </c>
      <c r="AD165" s="292">
        <f t="shared" si="417"/>
        <v>6</v>
      </c>
      <c r="AE165" s="261">
        <f t="shared" si="417"/>
        <v>3</v>
      </c>
      <c r="AF165" s="261">
        <f t="shared" ref="AF165:AJ165" si="418">AF164+AF163+AF162</f>
        <v>4</v>
      </c>
      <c r="AG165" s="293">
        <f t="shared" si="418"/>
        <v>3</v>
      </c>
      <c r="AH165" s="583">
        <f t="shared" si="418"/>
        <v>3</v>
      </c>
      <c r="AI165" s="292">
        <f t="shared" si="418"/>
        <v>122</v>
      </c>
      <c r="AJ165" s="261">
        <f t="shared" si="418"/>
        <v>151</v>
      </c>
      <c r="AK165" s="261">
        <f t="shared" ref="AK165:AO165" si="419">AK164+AK163+AK162</f>
        <v>165</v>
      </c>
      <c r="AL165" s="293">
        <f t="shared" si="419"/>
        <v>101</v>
      </c>
      <c r="AM165" s="583">
        <f t="shared" si="419"/>
        <v>101</v>
      </c>
      <c r="AN165" s="292">
        <f t="shared" si="419"/>
        <v>54</v>
      </c>
      <c r="AO165" s="261">
        <f t="shared" si="419"/>
        <v>7</v>
      </c>
      <c r="AP165" s="261">
        <f t="shared" ref="AP165:AR165" si="420">AP164+AP163+AP162</f>
        <v>5</v>
      </c>
      <c r="AQ165" s="293">
        <f t="shared" si="420"/>
        <v>2</v>
      </c>
      <c r="AR165" s="583">
        <f t="shared" si="420"/>
        <v>2</v>
      </c>
      <c r="AS165" s="292">
        <f t="shared" ca="1" si="416"/>
        <v>0</v>
      </c>
      <c r="AT165" s="261">
        <f t="shared" ca="1" si="416"/>
        <v>0</v>
      </c>
      <c r="AU165" s="261">
        <f t="shared" ca="1" si="416"/>
        <v>33.306561630224962</v>
      </c>
      <c r="AV165" s="293">
        <f t="shared" ca="1" si="416"/>
        <v>5.9585428197357828</v>
      </c>
      <c r="AW165" s="228">
        <f t="shared" ca="1" si="416"/>
        <v>5.9585428197357828</v>
      </c>
      <c r="AX165" s="292">
        <f t="shared" ref="AX165:BG165" ca="1" si="421">AX164+AX163+AX162</f>
        <v>0</v>
      </c>
      <c r="AY165" s="261">
        <f t="shared" ca="1" si="421"/>
        <v>0</v>
      </c>
      <c r="AZ165" s="261">
        <f t="shared" ca="1" si="421"/>
        <v>29.541650856747808</v>
      </c>
      <c r="BA165" s="293">
        <f t="shared" ca="1" si="421"/>
        <v>0</v>
      </c>
      <c r="BB165" s="228">
        <f t="shared" ca="1" si="421"/>
        <v>-1.4210854715202004E-14</v>
      </c>
      <c r="BC165" s="292">
        <f t="shared" ca="1" si="421"/>
        <v>0</v>
      </c>
      <c r="BD165" s="261">
        <f t="shared" ca="1" si="421"/>
        <v>0</v>
      </c>
      <c r="BE165" s="261">
        <f t="shared" ca="1" si="421"/>
        <v>29.973849332109189</v>
      </c>
      <c r="BF165" s="293">
        <f t="shared" ca="1" si="421"/>
        <v>0</v>
      </c>
      <c r="BG165" s="228">
        <f t="shared" ca="1" si="421"/>
        <v>3.5527136788005009E-14</v>
      </c>
      <c r="BH165" s="292">
        <f t="shared" ref="BH165:BL165" ca="1" si="422">BH164+BH163+BH162</f>
        <v>0</v>
      </c>
      <c r="BI165" s="261">
        <f t="shared" ca="1" si="422"/>
        <v>0</v>
      </c>
      <c r="BJ165" s="261">
        <f t="shared" ca="1" si="422"/>
        <v>24.042669650164527</v>
      </c>
      <c r="BK165" s="293">
        <f t="shared" ca="1" si="422"/>
        <v>4.3720097957006061</v>
      </c>
      <c r="BL165" s="228">
        <f t="shared" ca="1" si="422"/>
        <v>4.3720097957006487</v>
      </c>
      <c r="BM165" s="45"/>
      <c r="BN165" s="45"/>
      <c r="BO165" s="45"/>
      <c r="BP165" s="45"/>
      <c r="BQ165" s="45"/>
      <c r="BR165" s="45"/>
      <c r="BS165" s="45"/>
      <c r="BT165" s="45"/>
      <c r="BU165" s="45"/>
      <c r="BV165" s="45"/>
      <c r="BW165" s="45"/>
      <c r="BX165" s="45"/>
      <c r="BY165" s="45"/>
      <c r="BZ165" s="45"/>
      <c r="CA165" s="45"/>
      <c r="CB165" s="583">
        <f t="shared" ref="CB165:DB165" si="423">CB162+CB163+CB164</f>
        <v>0</v>
      </c>
      <c r="CC165" s="583">
        <f t="shared" si="423"/>
        <v>0</v>
      </c>
      <c r="CD165" s="583">
        <f t="shared" si="423"/>
        <v>0</v>
      </c>
      <c r="CE165" s="583">
        <f t="shared" si="423"/>
        <v>0</v>
      </c>
      <c r="CF165" s="583">
        <f t="shared" si="423"/>
        <v>0</v>
      </c>
      <c r="CG165" s="583">
        <f t="shared" si="423"/>
        <v>0</v>
      </c>
      <c r="CH165" s="583">
        <f t="shared" si="423"/>
        <v>0</v>
      </c>
      <c r="CI165" s="583">
        <f t="shared" si="423"/>
        <v>0</v>
      </c>
      <c r="CJ165" s="583">
        <f t="shared" si="423"/>
        <v>4</v>
      </c>
      <c r="CK165" s="583">
        <f t="shared" si="423"/>
        <v>4</v>
      </c>
      <c r="CL165" s="583">
        <f t="shared" si="423"/>
        <v>4</v>
      </c>
      <c r="CM165" s="583">
        <f t="shared" si="423"/>
        <v>4</v>
      </c>
      <c r="CN165" s="583">
        <f t="shared" si="423"/>
        <v>91</v>
      </c>
      <c r="CO165" s="583">
        <f t="shared" si="423"/>
        <v>91</v>
      </c>
      <c r="CP165" s="583">
        <f t="shared" si="423"/>
        <v>91</v>
      </c>
      <c r="CQ165" s="583">
        <f t="shared" si="423"/>
        <v>49</v>
      </c>
      <c r="CR165" s="583">
        <f t="shared" si="423"/>
        <v>3</v>
      </c>
      <c r="CS165" s="583">
        <f t="shared" si="423"/>
        <v>7</v>
      </c>
      <c r="CT165" s="583">
        <f t="shared" si="423"/>
        <v>6</v>
      </c>
      <c r="CU165" s="583">
        <f t="shared" si="423"/>
        <v>6</v>
      </c>
      <c r="CV165" s="583">
        <f t="shared" si="423"/>
        <v>10</v>
      </c>
      <c r="CW165" s="583">
        <f t="shared" si="423"/>
        <v>4</v>
      </c>
      <c r="CX165" s="583">
        <f t="shared" si="423"/>
        <v>6</v>
      </c>
      <c r="CY165" s="583">
        <f t="shared" si="423"/>
        <v>3</v>
      </c>
      <c r="CZ165" s="583">
        <f t="shared" si="423"/>
        <v>3</v>
      </c>
      <c r="DA165" s="583">
        <f t="shared" si="423"/>
        <v>7</v>
      </c>
      <c r="DB165" s="583">
        <f t="shared" si="423"/>
        <v>6</v>
      </c>
      <c r="DC165" s="583">
        <f t="shared" ref="DC165:DG165" si="424">DC162+DC163+DC164</f>
        <v>6</v>
      </c>
      <c r="DD165" s="583">
        <f t="shared" si="424"/>
        <v>2</v>
      </c>
      <c r="DE165" s="583">
        <f t="shared" si="424"/>
        <v>2</v>
      </c>
      <c r="DF165" s="583">
        <f t="shared" si="424"/>
        <v>6</v>
      </c>
      <c r="DG165" s="583">
        <f t="shared" si="424"/>
        <v>3</v>
      </c>
      <c r="DH165" s="583">
        <f t="shared" ref="DH165:DL165" si="425">DH162+DH163+DH164</f>
        <v>4</v>
      </c>
      <c r="DI165" s="583">
        <f t="shared" si="425"/>
        <v>3</v>
      </c>
      <c r="DJ165" s="583">
        <f t="shared" si="425"/>
        <v>3</v>
      </c>
      <c r="DK165" s="583">
        <f t="shared" si="425"/>
        <v>122</v>
      </c>
      <c r="DL165" s="583">
        <f t="shared" si="425"/>
        <v>151</v>
      </c>
      <c r="DM165" s="583">
        <f t="shared" ref="DM165:DQ165" si="426">DM162+DM163+DM164</f>
        <v>165</v>
      </c>
      <c r="DN165" s="583">
        <f t="shared" si="426"/>
        <v>101</v>
      </c>
      <c r="DO165" s="583">
        <f t="shared" si="426"/>
        <v>101</v>
      </c>
      <c r="DP165" s="583">
        <f t="shared" si="426"/>
        <v>54</v>
      </c>
      <c r="DQ165" s="583">
        <f t="shared" si="426"/>
        <v>7</v>
      </c>
      <c r="DR165" s="583">
        <f t="shared" ref="DR165:DT165" si="427">DR162+DR163+DR164</f>
        <v>5</v>
      </c>
      <c r="DS165" s="583">
        <f t="shared" si="427"/>
        <v>2</v>
      </c>
      <c r="DT165" s="583">
        <f t="shared" si="427"/>
        <v>2</v>
      </c>
    </row>
    <row r="166" spans="1:124">
      <c r="A166" s="1716"/>
      <c r="B166" s="1716"/>
      <c r="C166" s="1716"/>
      <c r="D166" s="1716"/>
      <c r="E166" s="1717"/>
      <c r="F166" s="1718"/>
      <c r="G166" s="1718"/>
      <c r="H166" s="1719"/>
      <c r="I166" s="1716"/>
      <c r="J166" s="1717"/>
      <c r="K166" s="1718"/>
      <c r="L166" s="1718"/>
      <c r="M166" s="1719"/>
      <c r="N166" s="1716"/>
      <c r="O166" s="1717"/>
      <c r="P166" s="1718"/>
      <c r="Q166" s="1718"/>
      <c r="R166" s="1719"/>
      <c r="S166" s="1716"/>
      <c r="T166" s="1717"/>
      <c r="U166" s="1718"/>
      <c r="V166" s="1718"/>
      <c r="W166" s="1719"/>
      <c r="X166" s="1716"/>
      <c r="Y166" s="1717"/>
      <c r="Z166" s="1718"/>
      <c r="AA166" s="1718"/>
      <c r="AB166" s="1719"/>
      <c r="AC166" s="1716"/>
      <c r="AD166" s="1717"/>
      <c r="AE166" s="1718"/>
      <c r="AF166" s="1718"/>
      <c r="AG166" s="1719"/>
      <c r="AH166" s="1716"/>
      <c r="AI166" s="1717"/>
      <c r="AJ166" s="1718"/>
      <c r="AK166" s="1718"/>
      <c r="AL166" s="1719"/>
      <c r="AM166" s="1716"/>
      <c r="AN166" s="1717"/>
      <c r="AO166" s="1718"/>
      <c r="AP166" s="1718"/>
      <c r="AQ166" s="1719"/>
      <c r="AR166" s="1716"/>
      <c r="AS166" s="1717"/>
      <c r="AT166" s="1718"/>
      <c r="AU166" s="1718"/>
      <c r="AV166" s="1719"/>
      <c r="AW166" s="1716"/>
      <c r="AX166" s="1717"/>
      <c r="AY166" s="1718"/>
      <c r="AZ166" s="1718"/>
      <c r="BA166" s="1719"/>
      <c r="BB166" s="1716"/>
      <c r="BC166" s="1717"/>
      <c r="BD166" s="1718"/>
      <c r="BE166" s="1718"/>
      <c r="BF166" s="1719"/>
      <c r="BG166" s="1716"/>
      <c r="BH166" s="1717"/>
      <c r="BI166" s="1718"/>
      <c r="BJ166" s="1718"/>
      <c r="BK166" s="1719"/>
      <c r="BL166" s="1716"/>
      <c r="BM166" s="1716"/>
      <c r="BN166" s="1716"/>
      <c r="BO166" s="1716"/>
      <c r="BP166" s="1716"/>
      <c r="BQ166" s="1716"/>
      <c r="BR166" s="1716"/>
      <c r="BS166" s="1716"/>
      <c r="BT166" s="1716"/>
      <c r="BU166" s="1716"/>
      <c r="BV166" s="1716"/>
      <c r="BW166" s="1716"/>
      <c r="BX166" s="1716"/>
      <c r="BY166" s="1716"/>
      <c r="BZ166" s="1716"/>
      <c r="CA166" s="1716"/>
      <c r="CB166" s="1716"/>
      <c r="CC166" s="1716"/>
      <c r="CD166" s="1716"/>
      <c r="CE166" s="1716"/>
      <c r="CF166" s="1716"/>
      <c r="CG166" s="1716"/>
      <c r="CH166" s="1716"/>
      <c r="CI166" s="1716"/>
      <c r="CJ166" s="1716"/>
      <c r="CK166" s="1716"/>
      <c r="CL166" s="1716"/>
      <c r="CM166" s="1716"/>
      <c r="CN166" s="1716"/>
      <c r="CO166" s="1716"/>
      <c r="CP166" s="1716"/>
    </row>
    <row r="167" spans="1:124">
      <c r="A167" s="1716"/>
      <c r="B167" s="1771" t="s">
        <v>958</v>
      </c>
      <c r="C167" s="1772"/>
      <c r="D167" s="1773"/>
      <c r="E167" s="1717"/>
      <c r="F167" s="1718"/>
      <c r="G167" s="1718"/>
      <c r="H167" s="1719"/>
      <c r="I167" s="1716"/>
      <c r="J167" s="1717"/>
      <c r="K167" s="1718"/>
      <c r="L167" s="1718"/>
      <c r="M167" s="1719"/>
      <c r="N167" s="1716"/>
      <c r="O167" s="1717"/>
      <c r="P167" s="1718"/>
      <c r="Q167" s="1718"/>
      <c r="R167" s="1719"/>
      <c r="S167" s="1716"/>
      <c r="T167" s="1717"/>
      <c r="U167" s="1718"/>
      <c r="V167" s="1718"/>
      <c r="W167" s="1719"/>
      <c r="X167" s="1716"/>
      <c r="Y167" s="1717"/>
      <c r="Z167" s="1718"/>
      <c r="AA167" s="1718"/>
      <c r="AB167" s="1719"/>
      <c r="AC167" s="1716"/>
      <c r="AD167" s="1717"/>
      <c r="AE167" s="1718"/>
      <c r="AF167" s="1718"/>
      <c r="AG167" s="1719"/>
      <c r="AH167" s="1716"/>
      <c r="AI167" s="1717"/>
      <c r="AJ167" s="1718"/>
      <c r="AK167" s="1718"/>
      <c r="AL167" s="1719"/>
      <c r="AM167" s="1716"/>
      <c r="AN167" s="1717"/>
      <c r="AO167" s="1718"/>
      <c r="AP167" s="1718"/>
      <c r="AQ167" s="1719"/>
      <c r="AR167" s="1716"/>
      <c r="AS167" s="1717"/>
      <c r="AT167" s="1718"/>
      <c r="AU167" s="1718"/>
      <c r="AV167" s="1719"/>
      <c r="AW167" s="1716"/>
      <c r="AX167" s="1717"/>
      <c r="AY167" s="1718"/>
      <c r="AZ167" s="1718"/>
      <c r="BA167" s="1719"/>
      <c r="BB167" s="1716"/>
      <c r="BC167" s="1717"/>
      <c r="BD167" s="1718"/>
      <c r="BE167" s="1718"/>
      <c r="BF167" s="1719"/>
      <c r="BG167" s="1716"/>
      <c r="BH167" s="1717"/>
      <c r="BI167" s="1718"/>
      <c r="BJ167" s="1718"/>
      <c r="BK167" s="1719"/>
      <c r="BL167" s="1716"/>
      <c r="BM167" s="1716"/>
      <c r="BN167" s="1716"/>
      <c r="BO167" s="1716"/>
      <c r="BP167" s="1716"/>
      <c r="BQ167" s="1716"/>
      <c r="BR167" s="1716"/>
      <c r="BS167" s="1716"/>
      <c r="BT167" s="1716"/>
      <c r="BU167" s="1716"/>
      <c r="BV167" s="1716"/>
      <c r="BW167" s="1716"/>
      <c r="BX167" s="1716"/>
      <c r="BY167" s="1716"/>
      <c r="BZ167" s="1716"/>
      <c r="CA167" s="1716"/>
      <c r="CB167" s="1716"/>
      <c r="CC167" s="1716"/>
      <c r="CD167" s="1716"/>
      <c r="CE167" s="1716"/>
      <c r="CF167" s="1716"/>
      <c r="CG167" s="1716"/>
      <c r="CH167" s="1716"/>
      <c r="CI167" s="1716"/>
      <c r="CJ167" s="1716"/>
      <c r="CK167" s="1716"/>
      <c r="CL167" s="1716"/>
      <c r="CM167" s="1716"/>
      <c r="CN167" s="1716"/>
      <c r="CO167" s="1716"/>
      <c r="CP167" s="1716"/>
    </row>
    <row r="168" spans="1:124">
      <c r="A168" s="1716"/>
      <c r="B168" s="1716"/>
      <c r="C168" s="1716"/>
      <c r="D168" s="1716"/>
      <c r="E168" s="1717"/>
      <c r="F168" s="1718"/>
      <c r="G168" s="1718"/>
      <c r="H168" s="1719"/>
      <c r="I168" s="1716"/>
      <c r="J168" s="1717"/>
      <c r="K168" s="1718"/>
      <c r="L168" s="1718"/>
      <c r="M168" s="1719"/>
      <c r="N168" s="1716"/>
      <c r="O168" s="1717"/>
      <c r="P168" s="1718"/>
      <c r="Q168" s="1718"/>
      <c r="R168" s="1719"/>
      <c r="S168" s="1716"/>
      <c r="T168" s="1717"/>
      <c r="U168" s="1718"/>
      <c r="V168" s="1718"/>
      <c r="W168" s="1719"/>
      <c r="X168" s="1716"/>
      <c r="Y168" s="1717"/>
      <c r="Z168" s="1718"/>
      <c r="AA168" s="1718"/>
      <c r="AB168" s="1719"/>
      <c r="AC168" s="1716"/>
      <c r="AD168" s="1717"/>
      <c r="AE168" s="1718"/>
      <c r="AF168" s="1718"/>
      <c r="AG168" s="1719"/>
      <c r="AH168" s="1716"/>
      <c r="AI168" s="1717"/>
      <c r="AJ168" s="1718"/>
      <c r="AK168" s="1718"/>
      <c r="AL168" s="1719"/>
      <c r="AM168" s="1716"/>
      <c r="AN168" s="1717"/>
      <c r="AO168" s="1718"/>
      <c r="AP168" s="1718"/>
      <c r="AQ168" s="1719"/>
      <c r="AR168" s="1716"/>
      <c r="AS168" s="1717"/>
      <c r="AT168" s="1718"/>
      <c r="AU168" s="1718"/>
      <c r="AV168" s="1719"/>
      <c r="AW168" s="1716"/>
      <c r="AX168" s="1717"/>
      <c r="AY168" s="1718"/>
      <c r="AZ168" s="1718"/>
      <c r="BA168" s="1719"/>
      <c r="BB168" s="1716"/>
      <c r="BC168" s="1717"/>
      <c r="BD168" s="1718"/>
      <c r="BE168" s="1718"/>
      <c r="BF168" s="1719"/>
      <c r="BG168" s="1716"/>
      <c r="BH168" s="1717"/>
      <c r="BI168" s="1718"/>
      <c r="BJ168" s="1718"/>
      <c r="BK168" s="1719"/>
      <c r="BL168" s="1716"/>
      <c r="BM168" s="1716"/>
      <c r="BN168" s="1716"/>
      <c r="BO168" s="1716"/>
      <c r="BP168" s="1716"/>
      <c r="BQ168" s="1716"/>
      <c r="BR168" s="1716"/>
      <c r="BS168" s="1716"/>
      <c r="BT168" s="1716"/>
      <c r="BU168" s="1716"/>
      <c r="BV168" s="1716"/>
      <c r="BW168" s="1716"/>
      <c r="BX168" s="1716"/>
      <c r="BY168" s="1716"/>
      <c r="BZ168" s="1716"/>
      <c r="CA168" s="1716"/>
      <c r="CB168" s="1716"/>
      <c r="CC168" s="1716"/>
      <c r="CD168" s="1716"/>
      <c r="CE168" s="1716"/>
      <c r="CF168" s="1716"/>
      <c r="CG168" s="1716"/>
      <c r="CH168" s="1716"/>
      <c r="CI168" s="1716"/>
      <c r="CJ168" s="1716"/>
      <c r="CK168" s="1716"/>
      <c r="CL168" s="1716"/>
      <c r="CM168" s="1716"/>
      <c r="CN168" s="1716"/>
      <c r="CO168" s="1716"/>
      <c r="CP168" s="1716"/>
    </row>
    <row r="169" spans="1:124">
      <c r="A169" s="1716"/>
      <c r="B169" s="1716"/>
      <c r="C169" s="1716" t="s">
        <v>955</v>
      </c>
      <c r="D169" s="1716"/>
      <c r="E169" s="1717"/>
      <c r="F169" s="1718"/>
      <c r="G169" s="1718"/>
      <c r="H169" s="1719"/>
      <c r="I169" s="1716"/>
      <c r="J169" s="1717"/>
      <c r="K169" s="1718"/>
      <c r="L169" s="1718"/>
      <c r="M169" s="1719"/>
      <c r="N169" s="1716"/>
      <c r="O169" s="1717"/>
      <c r="P169" s="1718"/>
      <c r="Q169" s="1718"/>
      <c r="R169" s="1719"/>
      <c r="S169" s="1716"/>
      <c r="T169" s="337">
        <v>10</v>
      </c>
      <c r="U169" s="338">
        <v>4</v>
      </c>
      <c r="V169" s="338">
        <v>6</v>
      </c>
      <c r="W169" s="1684">
        <v>3</v>
      </c>
      <c r="X169" s="647">
        <f>W169</f>
        <v>3</v>
      </c>
      <c r="Y169" s="337">
        <v>7</v>
      </c>
      <c r="Z169" s="338">
        <v>6</v>
      </c>
      <c r="AA169" s="338">
        <v>6</v>
      </c>
      <c r="AB169" s="1684">
        <v>2</v>
      </c>
      <c r="AC169" s="647">
        <f>AB169</f>
        <v>2</v>
      </c>
      <c r="AD169" s="337">
        <v>6</v>
      </c>
      <c r="AE169" s="338">
        <v>3</v>
      </c>
      <c r="AF169" s="338">
        <v>4</v>
      </c>
      <c r="AG169" s="1684">
        <v>3</v>
      </c>
      <c r="AH169" s="647">
        <f>AG169</f>
        <v>3</v>
      </c>
      <c r="AI169" s="337">
        <v>122</v>
      </c>
      <c r="AJ169" s="338">
        <v>151</v>
      </c>
      <c r="AK169" s="338">
        <v>165</v>
      </c>
      <c r="AL169" s="1684">
        <v>101</v>
      </c>
      <c r="AM169" s="647">
        <f>AL169</f>
        <v>101</v>
      </c>
      <c r="AN169" s="337">
        <v>54</v>
      </c>
      <c r="AO169" s="338">
        <v>7</v>
      </c>
      <c r="AP169" s="338">
        <v>5</v>
      </c>
      <c r="AQ169" s="1684">
        <v>2</v>
      </c>
      <c r="AR169" s="647">
        <f>AQ169</f>
        <v>2</v>
      </c>
      <c r="AS169" s="290">
        <f ca="1">AS165</f>
        <v>0</v>
      </c>
      <c r="AT169" s="260">
        <f ca="1">AT165</f>
        <v>0</v>
      </c>
      <c r="AU169" s="260">
        <f ca="1">AU165</f>
        <v>33.306561630224962</v>
      </c>
      <c r="AV169" s="291">
        <f ca="1">AV165</f>
        <v>5.9585428197357828</v>
      </c>
      <c r="AW169" s="45">
        <f ca="1">AV169</f>
        <v>5.9585428197357828</v>
      </c>
      <c r="AX169" s="290">
        <f ca="1">AX165</f>
        <v>0</v>
      </c>
      <c r="AY169" s="260">
        <f ca="1">AY165</f>
        <v>0</v>
      </c>
      <c r="AZ169" s="260">
        <f ca="1">AZ165</f>
        <v>29.541650856747808</v>
      </c>
      <c r="BA169" s="291">
        <f ca="1">BA165</f>
        <v>0</v>
      </c>
      <c r="BB169" s="45">
        <f ca="1">BA169</f>
        <v>0</v>
      </c>
      <c r="BC169" s="290">
        <f ca="1">BC165</f>
        <v>0</v>
      </c>
      <c r="BD169" s="260">
        <f ca="1">BD165</f>
        <v>0</v>
      </c>
      <c r="BE169" s="260">
        <f ca="1">BE165</f>
        <v>29.973849332109189</v>
      </c>
      <c r="BF169" s="291">
        <f ca="1">BF165</f>
        <v>0</v>
      </c>
      <c r="BG169" s="45">
        <f ca="1">BF169</f>
        <v>0</v>
      </c>
      <c r="BH169" s="290">
        <f ca="1">BH165</f>
        <v>0</v>
      </c>
      <c r="BI169" s="260">
        <f ca="1">BI165</f>
        <v>0</v>
      </c>
      <c r="BJ169" s="260">
        <f ca="1">BJ165</f>
        <v>24.042669650164527</v>
      </c>
      <c r="BK169" s="291">
        <f ca="1">BK165</f>
        <v>4.3720097957006061</v>
      </c>
      <c r="BL169" s="45">
        <f ca="1">BK169</f>
        <v>4.3720097957006061</v>
      </c>
      <c r="BM169" s="1716"/>
      <c r="BN169" s="1716"/>
      <c r="BO169" s="1716"/>
      <c r="BP169" s="1716"/>
      <c r="BQ169" s="1716"/>
      <c r="BR169" s="1716"/>
      <c r="BS169" s="1716"/>
      <c r="BT169" s="1716"/>
      <c r="BU169" s="1716"/>
      <c r="BV169" s="1716"/>
      <c r="BW169" s="1716"/>
      <c r="BX169" s="1716"/>
      <c r="BY169" s="1716"/>
      <c r="BZ169" s="1716"/>
      <c r="CA169" s="1716"/>
      <c r="CB169" s="1716"/>
      <c r="CC169" s="1716"/>
      <c r="CD169" s="1716"/>
      <c r="CE169" s="1716"/>
      <c r="CF169" s="1716"/>
      <c r="CG169" s="1716"/>
      <c r="CH169" s="1716"/>
      <c r="CI169" s="1716"/>
      <c r="CJ169" s="1716"/>
      <c r="CK169" s="1716"/>
      <c r="CL169" s="1716"/>
      <c r="CM169" s="1716"/>
      <c r="CN169" s="1716"/>
      <c r="CO169" s="1716"/>
      <c r="CP169" s="1716"/>
    </row>
    <row r="170" spans="1:124">
      <c r="A170" s="1716"/>
      <c r="B170" s="1716"/>
      <c r="C170" s="1716" t="s">
        <v>975</v>
      </c>
      <c r="D170" s="1716"/>
      <c r="E170" s="1717"/>
      <c r="F170" s="1718"/>
      <c r="G170" s="1718"/>
      <c r="H170" s="1719"/>
      <c r="I170" s="1716"/>
      <c r="J170" s="1717"/>
      <c r="K170" s="1718"/>
      <c r="L170" s="1718"/>
      <c r="M170" s="1719"/>
      <c r="N170" s="1716"/>
      <c r="O170" s="1717"/>
      <c r="P170" s="1718"/>
      <c r="Q170" s="1718"/>
      <c r="R170" s="1719"/>
      <c r="S170" s="1716"/>
      <c r="T170" s="337">
        <v>191</v>
      </c>
      <c r="U170" s="338">
        <v>193</v>
      </c>
      <c r="V170" s="338">
        <v>215</v>
      </c>
      <c r="W170" s="1684">
        <v>186</v>
      </c>
      <c r="X170" s="647">
        <f>W170</f>
        <v>186</v>
      </c>
      <c r="Y170" s="337">
        <v>191</v>
      </c>
      <c r="Z170" s="338">
        <v>176</v>
      </c>
      <c r="AA170" s="338">
        <v>195</v>
      </c>
      <c r="AB170" s="1684">
        <v>167</v>
      </c>
      <c r="AC170" s="647">
        <f>AB170</f>
        <v>167</v>
      </c>
      <c r="AD170" s="337">
        <v>204</v>
      </c>
      <c r="AE170" s="338">
        <v>215</v>
      </c>
      <c r="AF170" s="338">
        <v>235</v>
      </c>
      <c r="AG170" s="1684">
        <v>211</v>
      </c>
      <c r="AH170" s="647">
        <f>AG170</f>
        <v>211</v>
      </c>
      <c r="AI170" s="337">
        <f>146+74</f>
        <v>220</v>
      </c>
      <c r="AJ170" s="338">
        <f>122+69</f>
        <v>191</v>
      </c>
      <c r="AK170" s="338">
        <f>168+46</f>
        <v>214</v>
      </c>
      <c r="AL170" s="1684">
        <f>125+44</f>
        <v>169</v>
      </c>
      <c r="AM170" s="647">
        <f>AL170</f>
        <v>169</v>
      </c>
      <c r="AN170" s="337">
        <f>111+41</f>
        <v>152</v>
      </c>
      <c r="AO170" s="338">
        <f>103+46</f>
        <v>149</v>
      </c>
      <c r="AP170" s="338">
        <f>107+54</f>
        <v>161</v>
      </c>
      <c r="AQ170" s="1684">
        <f>92+56</f>
        <v>148</v>
      </c>
      <c r="AR170" s="647">
        <f>AQ170</f>
        <v>148</v>
      </c>
      <c r="AS170" s="290">
        <f t="shared" ref="AS170:AW172" si="428">AR170</f>
        <v>148</v>
      </c>
      <c r="AT170" s="260">
        <f t="shared" si="428"/>
        <v>148</v>
      </c>
      <c r="AU170" s="260">
        <f t="shared" si="428"/>
        <v>148</v>
      </c>
      <c r="AV170" s="291">
        <f t="shared" si="428"/>
        <v>148</v>
      </c>
      <c r="AW170" s="45">
        <f t="shared" si="428"/>
        <v>148</v>
      </c>
      <c r="AX170" s="290">
        <f t="shared" ref="AX170:AX171" si="429">AW170</f>
        <v>148</v>
      </c>
      <c r="AY170" s="260">
        <f t="shared" ref="AY170:AY171" si="430">AX170</f>
        <v>148</v>
      </c>
      <c r="AZ170" s="260">
        <f t="shared" ref="AZ170:AZ171" si="431">AY170</f>
        <v>148</v>
      </c>
      <c r="BA170" s="291">
        <f t="shared" ref="BA170:BA171" si="432">AZ170</f>
        <v>148</v>
      </c>
      <c r="BB170" s="45">
        <f t="shared" ref="BB170:BB172" si="433">BA170</f>
        <v>148</v>
      </c>
      <c r="BC170" s="290">
        <f t="shared" ref="BC170:BC171" si="434">BB170</f>
        <v>148</v>
      </c>
      <c r="BD170" s="260">
        <f t="shared" ref="BD170:BD171" si="435">BC170</f>
        <v>148</v>
      </c>
      <c r="BE170" s="260">
        <f t="shared" ref="BE170:BE171" si="436">BD170</f>
        <v>148</v>
      </c>
      <c r="BF170" s="291">
        <f t="shared" ref="BF170:BF171" si="437">BE170</f>
        <v>148</v>
      </c>
      <c r="BG170" s="45">
        <f t="shared" ref="BG170:BG172" si="438">BF170</f>
        <v>148</v>
      </c>
      <c r="BH170" s="290">
        <f t="shared" ref="BH170:BH171" si="439">BG170</f>
        <v>148</v>
      </c>
      <c r="BI170" s="260">
        <f t="shared" ref="BI170:BI171" si="440">BH170</f>
        <v>148</v>
      </c>
      <c r="BJ170" s="260">
        <f t="shared" ref="BJ170:BJ171" si="441">BI170</f>
        <v>148</v>
      </c>
      <c r="BK170" s="291">
        <f t="shared" ref="BK170:BK171" si="442">BJ170</f>
        <v>148</v>
      </c>
      <c r="BL170" s="45">
        <f t="shared" ref="BL170:BL172" si="443">BK170</f>
        <v>148</v>
      </c>
      <c r="BM170" s="1716"/>
      <c r="BN170" s="1716"/>
      <c r="BO170" s="1716"/>
      <c r="BP170" s="1716"/>
      <c r="BQ170" s="1716"/>
      <c r="BR170" s="1716"/>
      <c r="BS170" s="1716"/>
      <c r="BT170" s="1716"/>
      <c r="BU170" s="1716"/>
      <c r="BV170" s="1716"/>
      <c r="BW170" s="1716"/>
      <c r="BX170" s="1716"/>
      <c r="BY170" s="1716"/>
      <c r="BZ170" s="1716"/>
      <c r="CA170" s="1716"/>
      <c r="CB170" s="1716"/>
      <c r="CC170" s="1716"/>
      <c r="CD170" s="1716"/>
      <c r="CE170" s="1716"/>
      <c r="CF170" s="1716"/>
      <c r="CG170" s="1716"/>
      <c r="CH170" s="1716"/>
      <c r="CI170" s="1716"/>
      <c r="CJ170" s="1716"/>
      <c r="CK170" s="1716"/>
      <c r="CL170" s="1716"/>
      <c r="CM170" s="1716"/>
      <c r="CN170" s="1716"/>
      <c r="CO170" s="1716"/>
      <c r="CP170" s="1716"/>
    </row>
    <row r="171" spans="1:124">
      <c r="A171" s="1716"/>
      <c r="B171" s="1716"/>
      <c r="C171" s="1716" t="s">
        <v>362</v>
      </c>
      <c r="D171" s="1716"/>
      <c r="E171" s="1717"/>
      <c r="F171" s="1718"/>
      <c r="G171" s="1718"/>
      <c r="H171" s="1719"/>
      <c r="I171" s="1716"/>
      <c r="J171" s="1717"/>
      <c r="K171" s="1718"/>
      <c r="L171" s="1718"/>
      <c r="M171" s="1719"/>
      <c r="N171" s="1716"/>
      <c r="O171" s="1717"/>
      <c r="P171" s="1718"/>
      <c r="Q171" s="1718"/>
      <c r="R171" s="1719"/>
      <c r="S171" s="1716"/>
      <c r="T171" s="337">
        <v>30</v>
      </c>
      <c r="U171" s="338">
        <v>32</v>
      </c>
      <c r="V171" s="338">
        <v>32</v>
      </c>
      <c r="W171" s="1684">
        <v>28</v>
      </c>
      <c r="X171" s="647">
        <f>W171</f>
        <v>28</v>
      </c>
      <c r="Y171" s="337">
        <v>28</v>
      </c>
      <c r="Z171" s="338">
        <v>27</v>
      </c>
      <c r="AA171" s="338">
        <v>26</v>
      </c>
      <c r="AB171" s="1684">
        <v>23</v>
      </c>
      <c r="AC171" s="647">
        <f>AB171</f>
        <v>23</v>
      </c>
      <c r="AD171" s="337">
        <v>25</v>
      </c>
      <c r="AE171" s="338">
        <v>26</v>
      </c>
      <c r="AF171" s="338">
        <v>26</v>
      </c>
      <c r="AG171" s="1684">
        <v>23</v>
      </c>
      <c r="AH171" s="647">
        <f>AG171</f>
        <v>23</v>
      </c>
      <c r="AI171" s="337">
        <v>24</v>
      </c>
      <c r="AJ171" s="338">
        <v>23</v>
      </c>
      <c r="AK171" s="338">
        <v>22</v>
      </c>
      <c r="AL171" s="1684">
        <v>22</v>
      </c>
      <c r="AM171" s="647">
        <f>AL171</f>
        <v>22</v>
      </c>
      <c r="AN171" s="337">
        <v>23</v>
      </c>
      <c r="AO171" s="338">
        <v>25</v>
      </c>
      <c r="AP171" s="338">
        <v>29</v>
      </c>
      <c r="AQ171" s="1684">
        <v>29</v>
      </c>
      <c r="AR171" s="647">
        <f>AQ171</f>
        <v>29</v>
      </c>
      <c r="AS171" s="290">
        <f t="shared" si="428"/>
        <v>29</v>
      </c>
      <c r="AT171" s="260">
        <f t="shared" si="428"/>
        <v>29</v>
      </c>
      <c r="AU171" s="260">
        <f t="shared" si="428"/>
        <v>29</v>
      </c>
      <c r="AV171" s="291">
        <f t="shared" si="428"/>
        <v>29</v>
      </c>
      <c r="AW171" s="45">
        <f t="shared" si="428"/>
        <v>29</v>
      </c>
      <c r="AX171" s="290">
        <f t="shared" si="429"/>
        <v>29</v>
      </c>
      <c r="AY171" s="260">
        <f t="shared" si="430"/>
        <v>29</v>
      </c>
      <c r="AZ171" s="260">
        <f t="shared" si="431"/>
        <v>29</v>
      </c>
      <c r="BA171" s="291">
        <f t="shared" si="432"/>
        <v>29</v>
      </c>
      <c r="BB171" s="45">
        <f t="shared" si="433"/>
        <v>29</v>
      </c>
      <c r="BC171" s="290">
        <f t="shared" si="434"/>
        <v>29</v>
      </c>
      <c r="BD171" s="260">
        <f t="shared" si="435"/>
        <v>29</v>
      </c>
      <c r="BE171" s="260">
        <f t="shared" si="436"/>
        <v>29</v>
      </c>
      <c r="BF171" s="291">
        <f t="shared" si="437"/>
        <v>29</v>
      </c>
      <c r="BG171" s="45">
        <f t="shared" si="438"/>
        <v>29</v>
      </c>
      <c r="BH171" s="290">
        <f t="shared" si="439"/>
        <v>29</v>
      </c>
      <c r="BI171" s="260">
        <f t="shared" si="440"/>
        <v>29</v>
      </c>
      <c r="BJ171" s="260">
        <f t="shared" si="441"/>
        <v>29</v>
      </c>
      <c r="BK171" s="291">
        <f t="shared" si="442"/>
        <v>29</v>
      </c>
      <c r="BL171" s="45">
        <f t="shared" si="443"/>
        <v>29</v>
      </c>
      <c r="BM171" s="1716"/>
      <c r="BN171" s="1716"/>
      <c r="BO171" s="1716"/>
      <c r="BP171" s="1716"/>
      <c r="BQ171" s="1716"/>
      <c r="BR171" s="1716"/>
      <c r="BS171" s="1716"/>
      <c r="BT171" s="1716"/>
      <c r="BU171" s="1716"/>
      <c r="BV171" s="1716"/>
      <c r="BW171" s="1716"/>
      <c r="BX171" s="1716"/>
      <c r="BY171" s="1716"/>
      <c r="BZ171" s="1716"/>
      <c r="CA171" s="1716"/>
      <c r="CB171" s="1716"/>
      <c r="CC171" s="1716"/>
      <c r="CD171" s="1716"/>
      <c r="CE171" s="1716"/>
      <c r="CF171" s="1716"/>
      <c r="CG171" s="1716"/>
      <c r="CH171" s="1716"/>
      <c r="CI171" s="1716"/>
      <c r="CJ171" s="1716"/>
      <c r="CK171" s="1716"/>
      <c r="CL171" s="1716"/>
      <c r="CM171" s="1716"/>
      <c r="CN171" s="1716"/>
      <c r="CO171" s="1716"/>
      <c r="CP171" s="1716"/>
    </row>
    <row r="172" spans="1:124">
      <c r="A172" s="1716"/>
      <c r="B172" s="1716"/>
      <c r="C172" s="1716" t="s">
        <v>676</v>
      </c>
      <c r="D172" s="1716"/>
      <c r="E172" s="1717"/>
      <c r="F172" s="1718"/>
      <c r="G172" s="1718"/>
      <c r="H172" s="1719"/>
      <c r="I172" s="1716"/>
      <c r="J172" s="1717"/>
      <c r="K172" s="1718"/>
      <c r="L172" s="1718"/>
      <c r="M172" s="1719"/>
      <c r="N172" s="1716"/>
      <c r="O172" s="1717"/>
      <c r="P172" s="1718"/>
      <c r="Q172" s="1718"/>
      <c r="R172" s="1719"/>
      <c r="S172" s="1716"/>
      <c r="T172" s="337">
        <f>27+112+10+9+10</f>
        <v>168</v>
      </c>
      <c r="U172" s="338">
        <f>111+17+14+53+9</f>
        <v>204</v>
      </c>
      <c r="V172" s="338">
        <f>17+111+14+28+12</f>
        <v>182</v>
      </c>
      <c r="W172" s="1684">
        <f>147+16+10</f>
        <v>173</v>
      </c>
      <c r="X172" s="647">
        <f>W172</f>
        <v>173</v>
      </c>
      <c r="Y172" s="337">
        <f>147+16+11</f>
        <v>174</v>
      </c>
      <c r="Z172" s="338">
        <f>147+51+9</f>
        <v>207</v>
      </c>
      <c r="AA172" s="338">
        <f>13+147+27</f>
        <v>187</v>
      </c>
      <c r="AB172" s="1684">
        <f>151+13+10</f>
        <v>174</v>
      </c>
      <c r="AC172" s="647">
        <f>AB172</f>
        <v>174</v>
      </c>
      <c r="AD172" s="337">
        <f>11+151+12</f>
        <v>174</v>
      </c>
      <c r="AE172" s="338">
        <f>10+151+46</f>
        <v>207</v>
      </c>
      <c r="AF172" s="338">
        <f>15+151+21</f>
        <v>187</v>
      </c>
      <c r="AG172" s="1684">
        <f>12+199+1</f>
        <v>212</v>
      </c>
      <c r="AH172" s="647">
        <f>AG172</f>
        <v>212</v>
      </c>
      <c r="AI172" s="337">
        <f>11+95+13</f>
        <v>119</v>
      </c>
      <c r="AJ172" s="338">
        <f>10+1+36+97+4</f>
        <v>148</v>
      </c>
      <c r="AK172" s="338">
        <f>15+2+10+89+3</f>
        <v>119</v>
      </c>
      <c r="AL172" s="1684">
        <f>9+96+2</f>
        <v>107</v>
      </c>
      <c r="AM172" s="647">
        <f>AL172</f>
        <v>107</v>
      </c>
      <c r="AN172" s="337">
        <f>7+94+3</f>
        <v>104</v>
      </c>
      <c r="AO172" s="338">
        <f>7+89+4+37</f>
        <v>137</v>
      </c>
      <c r="AP172" s="338">
        <f>9+15+87+3</f>
        <v>114</v>
      </c>
      <c r="AQ172" s="1684">
        <f>6+71+2</f>
        <v>79</v>
      </c>
      <c r="AR172" s="647">
        <f>AQ172</f>
        <v>79</v>
      </c>
      <c r="AS172" s="290">
        <f>AR172-AS147-AS146</f>
        <v>79</v>
      </c>
      <c r="AT172" s="260">
        <f>AS172-AT147-AT146</f>
        <v>79</v>
      </c>
      <c r="AU172" s="260">
        <f>AT172-AU147-AU146</f>
        <v>79</v>
      </c>
      <c r="AV172" s="291">
        <f>AU172-AV147-AV146</f>
        <v>79</v>
      </c>
      <c r="AW172" s="45">
        <f t="shared" si="428"/>
        <v>79</v>
      </c>
      <c r="AX172" s="290">
        <f>AW172-AX147-AX146</f>
        <v>79</v>
      </c>
      <c r="AY172" s="260">
        <f>AX172-AY147-AY146</f>
        <v>79</v>
      </c>
      <c r="AZ172" s="260">
        <f>AY172-AZ147-AZ146</f>
        <v>79</v>
      </c>
      <c r="BA172" s="291">
        <f>AZ172-BA147-BA146</f>
        <v>79</v>
      </c>
      <c r="BB172" s="45">
        <f t="shared" si="433"/>
        <v>79</v>
      </c>
      <c r="BC172" s="290">
        <f>BB172-BC147-BC146</f>
        <v>79</v>
      </c>
      <c r="BD172" s="260">
        <f>BC172-BD147-BD146</f>
        <v>79</v>
      </c>
      <c r="BE172" s="260">
        <f>BD172-BE147-BE146</f>
        <v>79</v>
      </c>
      <c r="BF172" s="291">
        <f>BE172-BF147-BF146</f>
        <v>79</v>
      </c>
      <c r="BG172" s="45">
        <f t="shared" si="438"/>
        <v>79</v>
      </c>
      <c r="BH172" s="290">
        <f>BG172-BH147-BH146</f>
        <v>79</v>
      </c>
      <c r="BI172" s="260">
        <f>BH172-BI147-BI146</f>
        <v>79</v>
      </c>
      <c r="BJ172" s="260">
        <f>BI172-BJ147-BJ146</f>
        <v>79</v>
      </c>
      <c r="BK172" s="291">
        <f>BJ172-BK147-BK146</f>
        <v>79</v>
      </c>
      <c r="BL172" s="45">
        <f t="shared" si="443"/>
        <v>79</v>
      </c>
      <c r="BM172" s="1716"/>
      <c r="BN172" s="1716"/>
      <c r="BO172" s="1716"/>
      <c r="BP172" s="1716"/>
      <c r="BQ172" s="1716"/>
      <c r="BR172" s="1716"/>
      <c r="BS172" s="1716"/>
      <c r="BT172" s="1716"/>
      <c r="BU172" s="1716"/>
      <c r="BV172" s="1716"/>
      <c r="BW172" s="1716"/>
      <c r="BX172" s="1716"/>
      <c r="BY172" s="1716"/>
      <c r="BZ172" s="1716"/>
      <c r="CA172" s="1716"/>
      <c r="CB172" s="1716"/>
      <c r="CC172" s="1716"/>
      <c r="CD172" s="1716"/>
      <c r="CE172" s="1716"/>
      <c r="CF172" s="1716"/>
      <c r="CG172" s="1716"/>
      <c r="CH172" s="1716"/>
      <c r="CI172" s="1716"/>
      <c r="CJ172" s="1716"/>
      <c r="CK172" s="1716"/>
      <c r="CL172" s="1716"/>
      <c r="CM172" s="1716"/>
      <c r="CN172" s="1716"/>
      <c r="CO172" s="1716"/>
      <c r="CP172" s="1716"/>
    </row>
    <row r="173" spans="1:124" s="1909" customFormat="1">
      <c r="A173" s="1756"/>
      <c r="B173" s="1756"/>
      <c r="C173" s="1756" t="s">
        <v>363</v>
      </c>
      <c r="D173" s="1756"/>
      <c r="E173" s="1906"/>
      <c r="F173" s="1907"/>
      <c r="G173" s="1907"/>
      <c r="H173" s="1908"/>
      <c r="I173" s="1756"/>
      <c r="J173" s="1906"/>
      <c r="K173" s="1907"/>
      <c r="L173" s="1907"/>
      <c r="M173" s="1908"/>
      <c r="N173" s="1756"/>
      <c r="O173" s="1906"/>
      <c r="P173" s="1907"/>
      <c r="Q173" s="1907"/>
      <c r="R173" s="1908"/>
      <c r="S173" s="1756"/>
      <c r="T173" s="292">
        <f t="shared" ref="T173:AW173" si="444">SUM(T169:T172)</f>
        <v>399</v>
      </c>
      <c r="U173" s="261">
        <f t="shared" si="444"/>
        <v>433</v>
      </c>
      <c r="V173" s="261">
        <f t="shared" si="444"/>
        <v>435</v>
      </c>
      <c r="W173" s="293">
        <f t="shared" si="444"/>
        <v>390</v>
      </c>
      <c r="X173" s="583">
        <f t="shared" si="444"/>
        <v>390</v>
      </c>
      <c r="Y173" s="292">
        <f t="shared" si="444"/>
        <v>400</v>
      </c>
      <c r="Z173" s="261">
        <f t="shared" si="444"/>
        <v>416</v>
      </c>
      <c r="AA173" s="261">
        <f t="shared" ref="AA173" si="445">SUM(AA169:AA172)</f>
        <v>414</v>
      </c>
      <c r="AB173" s="293">
        <f t="shared" ref="AB173:AC173" si="446">SUM(AB169:AB172)</f>
        <v>366</v>
      </c>
      <c r="AC173" s="583">
        <f t="shared" si="446"/>
        <v>366</v>
      </c>
      <c r="AD173" s="292">
        <f t="shared" ref="AD173:AE173" si="447">SUM(AD169:AD172)</f>
        <v>409</v>
      </c>
      <c r="AE173" s="261">
        <f t="shared" si="447"/>
        <v>451</v>
      </c>
      <c r="AF173" s="261">
        <f t="shared" ref="AF173:AI173" si="448">SUM(AF169:AF172)</f>
        <v>452</v>
      </c>
      <c r="AG173" s="293">
        <f t="shared" si="448"/>
        <v>449</v>
      </c>
      <c r="AH173" s="583">
        <f t="shared" si="448"/>
        <v>449</v>
      </c>
      <c r="AI173" s="292">
        <f t="shared" si="448"/>
        <v>485</v>
      </c>
      <c r="AJ173" s="261">
        <f t="shared" ref="AJ173:AM173" si="449">SUM(AJ169:AJ172)</f>
        <v>513</v>
      </c>
      <c r="AK173" s="261">
        <f t="shared" si="449"/>
        <v>520</v>
      </c>
      <c r="AL173" s="293">
        <f t="shared" si="449"/>
        <v>399</v>
      </c>
      <c r="AM173" s="583">
        <f t="shared" si="449"/>
        <v>399</v>
      </c>
      <c r="AN173" s="292">
        <f t="shared" ref="AN173:AO173" si="450">SUM(AN169:AN172)</f>
        <v>333</v>
      </c>
      <c r="AO173" s="261">
        <f t="shared" si="450"/>
        <v>318</v>
      </c>
      <c r="AP173" s="261">
        <f t="shared" si="444"/>
        <v>309</v>
      </c>
      <c r="AQ173" s="293">
        <f t="shared" ref="AQ173:AR173" si="451">SUM(AQ169:AQ172)</f>
        <v>258</v>
      </c>
      <c r="AR173" s="583">
        <f t="shared" si="451"/>
        <v>258</v>
      </c>
      <c r="AS173" s="286">
        <f t="shared" ca="1" si="444"/>
        <v>256</v>
      </c>
      <c r="AT173" s="258">
        <f t="shared" ca="1" si="444"/>
        <v>256</v>
      </c>
      <c r="AU173" s="258">
        <f t="shared" ca="1" si="444"/>
        <v>289.30656163022496</v>
      </c>
      <c r="AV173" s="287">
        <f t="shared" ca="1" si="444"/>
        <v>261.95854281973578</v>
      </c>
      <c r="AW173" s="341">
        <f t="shared" ca="1" si="444"/>
        <v>261.95854281973578</v>
      </c>
      <c r="AX173" s="286">
        <f t="shared" ref="AX173:BG173" ca="1" si="452">SUM(AX169:AX172)</f>
        <v>256</v>
      </c>
      <c r="AY173" s="258">
        <f t="shared" ca="1" si="452"/>
        <v>256</v>
      </c>
      <c r="AZ173" s="258">
        <f t="shared" ca="1" si="452"/>
        <v>285.54165085674782</v>
      </c>
      <c r="BA173" s="287">
        <f t="shared" ca="1" si="452"/>
        <v>256</v>
      </c>
      <c r="BB173" s="341">
        <f t="shared" ca="1" si="452"/>
        <v>256</v>
      </c>
      <c r="BC173" s="286">
        <f t="shared" ca="1" si="452"/>
        <v>256</v>
      </c>
      <c r="BD173" s="258">
        <f t="shared" ca="1" si="452"/>
        <v>256</v>
      </c>
      <c r="BE173" s="258">
        <f t="shared" ca="1" si="452"/>
        <v>285.97384933210918</v>
      </c>
      <c r="BF173" s="287">
        <f t="shared" ca="1" si="452"/>
        <v>256</v>
      </c>
      <c r="BG173" s="341">
        <f t="shared" ca="1" si="452"/>
        <v>256</v>
      </c>
      <c r="BH173" s="286">
        <f t="shared" ref="BH173:BL173" ca="1" si="453">SUM(BH169:BH172)</f>
        <v>256</v>
      </c>
      <c r="BI173" s="258">
        <f t="shared" ca="1" si="453"/>
        <v>256</v>
      </c>
      <c r="BJ173" s="258">
        <f t="shared" ca="1" si="453"/>
        <v>280.0426696501645</v>
      </c>
      <c r="BK173" s="287">
        <f t="shared" ca="1" si="453"/>
        <v>260.37200979570059</v>
      </c>
      <c r="BL173" s="341">
        <f t="shared" ca="1" si="453"/>
        <v>260.37200979570059</v>
      </c>
      <c r="BM173" s="1756"/>
      <c r="BN173" s="1756"/>
      <c r="BO173" s="1756"/>
      <c r="BP173" s="1756"/>
      <c r="BQ173" s="1756"/>
      <c r="BR173" s="1756"/>
      <c r="BS173" s="1756"/>
      <c r="BT173" s="1756"/>
      <c r="BU173" s="1756"/>
      <c r="BV173" s="1756"/>
      <c r="BW173" s="1756"/>
      <c r="BX173" s="1756"/>
      <c r="BY173" s="1756"/>
      <c r="BZ173" s="1756"/>
      <c r="CA173" s="1756"/>
      <c r="CB173" s="1756"/>
      <c r="CC173" s="1756"/>
      <c r="CD173" s="1756"/>
      <c r="CE173" s="1756"/>
      <c r="CF173" s="1756"/>
      <c r="CG173" s="1756"/>
      <c r="CH173" s="1756"/>
      <c r="CI173" s="1756"/>
      <c r="CJ173" s="1756"/>
      <c r="CK173" s="1756"/>
      <c r="CL173" s="1756"/>
      <c r="CM173" s="1756"/>
      <c r="CN173" s="1756"/>
      <c r="CO173" s="1756"/>
      <c r="CP173" s="1756"/>
    </row>
    <row r="174" spans="1:124" s="1909" customFormat="1">
      <c r="A174" s="1756"/>
      <c r="B174" s="1756"/>
      <c r="C174" s="1756"/>
      <c r="D174" s="1756"/>
      <c r="E174" s="1906"/>
      <c r="F174" s="1907"/>
      <c r="G174" s="1907"/>
      <c r="H174" s="1908"/>
      <c r="I174" s="1756"/>
      <c r="J174" s="1906"/>
      <c r="K174" s="1907"/>
      <c r="L174" s="1907"/>
      <c r="M174" s="1908"/>
      <c r="N174" s="1756"/>
      <c r="O174" s="1906"/>
      <c r="P174" s="1907"/>
      <c r="Q174" s="1907"/>
      <c r="R174" s="1908"/>
      <c r="S174" s="1756"/>
      <c r="T174" s="292"/>
      <c r="U174" s="261"/>
      <c r="V174" s="261"/>
      <c r="W174" s="293"/>
      <c r="X174" s="583"/>
      <c r="Y174" s="292"/>
      <c r="Z174" s="261"/>
      <c r="AA174" s="261"/>
      <c r="AB174" s="293"/>
      <c r="AC174" s="583"/>
      <c r="AD174" s="292"/>
      <c r="AE174" s="261"/>
      <c r="AF174" s="261"/>
      <c r="AG174" s="293"/>
      <c r="AH174" s="583"/>
      <c r="AI174" s="292"/>
      <c r="AJ174" s="261"/>
      <c r="AK174" s="261"/>
      <c r="AL174" s="293"/>
      <c r="AM174" s="583"/>
      <c r="AN174" s="292"/>
      <c r="AO174" s="261"/>
      <c r="AP174" s="258"/>
      <c r="AQ174" s="293"/>
      <c r="AR174" s="583"/>
      <c r="AS174" s="286"/>
      <c r="AT174" s="258"/>
      <c r="AU174" s="258"/>
      <c r="AV174" s="287"/>
      <c r="AW174" s="341"/>
      <c r="AX174" s="286"/>
      <c r="AY174" s="258"/>
      <c r="AZ174" s="258"/>
      <c r="BA174" s="287"/>
      <c r="BB174" s="341"/>
      <c r="BC174" s="286"/>
      <c r="BD174" s="258"/>
      <c r="BE174" s="258"/>
      <c r="BF174" s="287"/>
      <c r="BG174" s="341"/>
      <c r="BH174" s="286"/>
      <c r="BI174" s="258"/>
      <c r="BJ174" s="258"/>
      <c r="BK174" s="287"/>
      <c r="BL174" s="341"/>
      <c r="BM174" s="1756"/>
      <c r="BN174" s="1756"/>
      <c r="BO174" s="1756"/>
      <c r="BP174" s="1756"/>
      <c r="BQ174" s="1756"/>
      <c r="BR174" s="1756"/>
      <c r="BS174" s="1756"/>
      <c r="BT174" s="1756"/>
      <c r="BU174" s="1756"/>
      <c r="BV174" s="1756"/>
      <c r="BW174" s="1756"/>
      <c r="BX174" s="1756"/>
      <c r="BY174" s="1756"/>
      <c r="BZ174" s="1756"/>
      <c r="CA174" s="1756"/>
      <c r="CB174" s="1756"/>
      <c r="CC174" s="1756"/>
      <c r="CD174" s="1756"/>
      <c r="CE174" s="1756"/>
      <c r="CF174" s="1756"/>
      <c r="CG174" s="1756"/>
      <c r="CH174" s="1756"/>
      <c r="CI174" s="1756"/>
      <c r="CJ174" s="1756"/>
      <c r="CK174" s="1756"/>
      <c r="CL174" s="1756"/>
      <c r="CM174" s="1756"/>
      <c r="CN174" s="1756"/>
      <c r="CO174" s="1756"/>
      <c r="CP174" s="1756"/>
    </row>
    <row r="175" spans="1:124" s="1909" customFormat="1">
      <c r="A175" s="1756"/>
      <c r="B175" s="1756"/>
      <c r="C175" s="28" t="s">
        <v>547</v>
      </c>
      <c r="D175" s="1756"/>
      <c r="E175" s="1906"/>
      <c r="F175" s="1907"/>
      <c r="G175" s="1907"/>
      <c r="H175" s="1908"/>
      <c r="I175" s="1756"/>
      <c r="J175" s="1906"/>
      <c r="K175" s="1907"/>
      <c r="L175" s="1907"/>
      <c r="M175" s="1908"/>
      <c r="N175" s="1756"/>
      <c r="O175" s="1906"/>
      <c r="P175" s="1907"/>
      <c r="Q175" s="1907"/>
      <c r="R175" s="1908"/>
      <c r="S175" s="1756"/>
      <c r="T175" s="337">
        <v>2820</v>
      </c>
      <c r="U175" s="338">
        <v>2863</v>
      </c>
      <c r="V175" s="338">
        <v>2861</v>
      </c>
      <c r="W175" s="1684">
        <v>2901</v>
      </c>
      <c r="X175" s="647">
        <f>W175</f>
        <v>2901</v>
      </c>
      <c r="Y175" s="337">
        <v>2941</v>
      </c>
      <c r="Z175" s="338">
        <v>2978</v>
      </c>
      <c r="AA175" s="338">
        <v>3024</v>
      </c>
      <c r="AB175" s="1684">
        <v>3073</v>
      </c>
      <c r="AC175" s="647">
        <f>AB175</f>
        <v>3073</v>
      </c>
      <c r="AD175" s="337">
        <v>3126</v>
      </c>
      <c r="AE175" s="338">
        <v>3197</v>
      </c>
      <c r="AF175" s="338">
        <v>3226</v>
      </c>
      <c r="AG175" s="1684">
        <v>3305</v>
      </c>
      <c r="AH175" s="647">
        <f>AG175</f>
        <v>3305</v>
      </c>
      <c r="AI175" s="337">
        <f>2384+AI176</f>
        <v>3367</v>
      </c>
      <c r="AJ175" s="338">
        <f>2427+AJ176</f>
        <v>3425</v>
      </c>
      <c r="AK175" s="338">
        <f>2456+AK176</f>
        <v>3464</v>
      </c>
      <c r="AL175" s="1684">
        <f>2521+AL176</f>
        <v>3537</v>
      </c>
      <c r="AM175" s="647">
        <f>AL175</f>
        <v>3537</v>
      </c>
      <c r="AN175" s="337">
        <f>2583+AN176</f>
        <v>3615</v>
      </c>
      <c r="AO175" s="338">
        <f>2628+AO176</f>
        <v>3670</v>
      </c>
      <c r="AP175" s="338">
        <f>2662+AP176</f>
        <v>3722</v>
      </c>
      <c r="AQ175" s="1684">
        <f>2706+AQ176</f>
        <v>3772</v>
      </c>
      <c r="AR175" s="647">
        <f>AQ175</f>
        <v>3772</v>
      </c>
      <c r="AS175" s="290">
        <f>AR175-AS150</f>
        <v>3865.75</v>
      </c>
      <c r="AT175" s="260">
        <f>AS175-AT150</f>
        <v>3959.5</v>
      </c>
      <c r="AU175" s="260">
        <f>AT175-AU150</f>
        <v>4053.25</v>
      </c>
      <c r="AV175" s="291">
        <f>AU175-AV150</f>
        <v>4147</v>
      </c>
      <c r="AW175" s="45">
        <f>AV175</f>
        <v>4147</v>
      </c>
      <c r="AX175" s="290">
        <f>AW175-AX150</f>
        <v>4228.25</v>
      </c>
      <c r="AY175" s="260">
        <f>AX175-AY150</f>
        <v>4309.5</v>
      </c>
      <c r="AZ175" s="260">
        <f>AY175-AZ150</f>
        <v>4390.75</v>
      </c>
      <c r="BA175" s="291">
        <f>AZ175-BA150</f>
        <v>4472</v>
      </c>
      <c r="BB175" s="45">
        <f>BA175</f>
        <v>4472</v>
      </c>
      <c r="BC175" s="290">
        <f>BB175-BC150</f>
        <v>4553.25</v>
      </c>
      <c r="BD175" s="260">
        <f>BC175-BD150</f>
        <v>4634.5</v>
      </c>
      <c r="BE175" s="260">
        <f>BD175-BE150</f>
        <v>4715.75</v>
      </c>
      <c r="BF175" s="291">
        <f>BE175-BF150</f>
        <v>4797</v>
      </c>
      <c r="BG175" s="45">
        <f>BF175</f>
        <v>4797</v>
      </c>
      <c r="BH175" s="290">
        <f>BG175-BH150</f>
        <v>4853.25</v>
      </c>
      <c r="BI175" s="260">
        <f>BH175-BI150</f>
        <v>4909.5</v>
      </c>
      <c r="BJ175" s="260">
        <f>BI175-BJ150</f>
        <v>4965.75</v>
      </c>
      <c r="BK175" s="291">
        <f>BJ175-BK150</f>
        <v>5022</v>
      </c>
      <c r="BL175" s="45">
        <f>BK175</f>
        <v>5022</v>
      </c>
      <c r="BM175" s="1756"/>
      <c r="BN175" s="1756"/>
      <c r="BO175" s="1756"/>
      <c r="BP175" s="1756"/>
      <c r="BQ175" s="1756"/>
      <c r="BR175" s="1756"/>
      <c r="BS175" s="1756"/>
      <c r="BT175" s="1756"/>
      <c r="BU175" s="1756"/>
      <c r="BV175" s="1756"/>
      <c r="BW175" s="1756"/>
      <c r="BX175" s="1756"/>
      <c r="BY175" s="1756"/>
      <c r="BZ175" s="1756"/>
      <c r="CA175" s="1756"/>
      <c r="CB175" s="1756"/>
      <c r="CC175" s="1756"/>
      <c r="CD175" s="1756"/>
      <c r="CE175" s="1756"/>
      <c r="CF175" s="1756"/>
      <c r="CG175" s="1756"/>
      <c r="CH175" s="1756"/>
      <c r="CI175" s="1756"/>
      <c r="CJ175" s="1756"/>
      <c r="CK175" s="1756"/>
      <c r="CL175" s="1756"/>
      <c r="CM175" s="1756"/>
      <c r="CN175" s="1756"/>
      <c r="CO175" s="1756"/>
      <c r="CP175" s="1756"/>
    </row>
    <row r="176" spans="1:124">
      <c r="A176" s="1716"/>
      <c r="B176" s="1716"/>
      <c r="C176" s="28" t="s">
        <v>396</v>
      </c>
      <c r="D176" s="1716"/>
      <c r="E176" s="1717"/>
      <c r="F176" s="1718"/>
      <c r="G176" s="1718"/>
      <c r="H176" s="1719"/>
      <c r="I176" s="1716"/>
      <c r="J176" s="1717"/>
      <c r="K176" s="1718"/>
      <c r="L176" s="1718"/>
      <c r="M176" s="1719"/>
      <c r="N176" s="1716"/>
      <c r="O176" s="1717"/>
      <c r="P176" s="1718"/>
      <c r="Q176" s="1718"/>
      <c r="R176" s="1719"/>
      <c r="S176" s="1716"/>
      <c r="T176" s="337">
        <v>794</v>
      </c>
      <c r="U176" s="338">
        <v>791</v>
      </c>
      <c r="V176" s="338">
        <v>748</v>
      </c>
      <c r="W176" s="1684">
        <v>751</v>
      </c>
      <c r="X176" s="647">
        <f>W176</f>
        <v>751</v>
      </c>
      <c r="Y176" s="337">
        <v>755</v>
      </c>
      <c r="Z176" s="338">
        <v>754</v>
      </c>
      <c r="AA176" s="338">
        <v>763</v>
      </c>
      <c r="AB176" s="1684">
        <v>760</v>
      </c>
      <c r="AC176" s="647">
        <f>AB176</f>
        <v>760</v>
      </c>
      <c r="AD176" s="337">
        <v>772</v>
      </c>
      <c r="AE176" s="338">
        <v>779</v>
      </c>
      <c r="AF176" s="338">
        <v>758</v>
      </c>
      <c r="AG176" s="1684">
        <v>764</v>
      </c>
      <c r="AH176" s="647">
        <f>AG176</f>
        <v>764</v>
      </c>
      <c r="AI176" s="337">
        <v>983</v>
      </c>
      <c r="AJ176" s="338">
        <v>998</v>
      </c>
      <c r="AK176" s="338">
        <v>1008</v>
      </c>
      <c r="AL176" s="1684">
        <v>1016</v>
      </c>
      <c r="AM176" s="647">
        <f>AL176</f>
        <v>1016</v>
      </c>
      <c r="AN176" s="337">
        <v>1032</v>
      </c>
      <c r="AO176" s="338">
        <v>1042</v>
      </c>
      <c r="AP176" s="338">
        <v>1060</v>
      </c>
      <c r="AQ176" s="1684">
        <v>1066</v>
      </c>
      <c r="AR176" s="647">
        <f>AQ176</f>
        <v>1066</v>
      </c>
      <c r="AS176" s="290">
        <f>AR176+AS143</f>
        <v>1098.0248369992144</v>
      </c>
      <c r="AT176" s="260">
        <f>AS176+AT143</f>
        <v>1130.3697443259737</v>
      </c>
      <c r="AU176" s="260">
        <f>AT176+AU143</f>
        <v>1163.2951028270181</v>
      </c>
      <c r="AV176" s="291">
        <f>AU176+AV143</f>
        <v>1196.7954256029548</v>
      </c>
      <c r="AW176" s="45">
        <f>AV176</f>
        <v>1196.7954256029548</v>
      </c>
      <c r="AX176" s="290">
        <f>AW176+AX143</f>
        <v>1227.6152776210524</v>
      </c>
      <c r="AY176" s="260">
        <f>AX176+AY143</f>
        <v>1259.1208893661051</v>
      </c>
      <c r="AZ176" s="260">
        <f>AY176+AZ143</f>
        <v>1291.0967257671211</v>
      </c>
      <c r="BA176" s="291">
        <f>AZ176+BA143</f>
        <v>1323.5383418759402</v>
      </c>
      <c r="BB176" s="45">
        <f>BA176</f>
        <v>1323.5383418759402</v>
      </c>
      <c r="BC176" s="290">
        <f>BB176+BC143</f>
        <v>1356.9413347616883</v>
      </c>
      <c r="BD176" s="260">
        <f>BC176+BD143</f>
        <v>1390.7966167045231</v>
      </c>
      <c r="BE176" s="260">
        <f>BD176+BE143</f>
        <v>1425.0999122982385</v>
      </c>
      <c r="BF176" s="291">
        <f>BE176+BF143</f>
        <v>1459.8469865512657</v>
      </c>
      <c r="BG176" s="45">
        <f>BF176</f>
        <v>1459.8469865512657</v>
      </c>
      <c r="BH176" s="290">
        <f>BG176+BH143</f>
        <v>1490.0336445046412</v>
      </c>
      <c r="BI176" s="260">
        <f>BH176+BI143</f>
        <v>1520.8847799086643</v>
      </c>
      <c r="BJ176" s="260">
        <f>BI176+BJ143</f>
        <v>1551.976006160831</v>
      </c>
      <c r="BK176" s="291">
        <f>BJ176+BK143</f>
        <v>1583.3050537260151</v>
      </c>
      <c r="BL176" s="45">
        <f>BK176</f>
        <v>1583.3050537260151</v>
      </c>
      <c r="BM176" s="1716"/>
      <c r="BN176" s="1716"/>
      <c r="BO176" s="1716"/>
      <c r="BP176" s="1716"/>
      <c r="BQ176" s="1716"/>
      <c r="BR176" s="1716"/>
      <c r="BS176" s="1716"/>
      <c r="BT176" s="1716"/>
      <c r="BU176" s="1716"/>
      <c r="BV176" s="1716"/>
      <c r="BW176" s="1716"/>
      <c r="BX176" s="1716"/>
      <c r="BY176" s="1716"/>
      <c r="BZ176" s="1716"/>
      <c r="CA176" s="1716"/>
      <c r="CB176" s="1716"/>
      <c r="CC176" s="1716"/>
      <c r="CD176" s="1716"/>
      <c r="CE176" s="1716"/>
      <c r="CF176" s="1716"/>
      <c r="CG176" s="1716"/>
      <c r="CH176" s="1716"/>
      <c r="CI176" s="1716"/>
      <c r="CJ176" s="1716"/>
      <c r="CK176" s="1716"/>
      <c r="CL176" s="1716"/>
      <c r="CM176" s="1716"/>
      <c r="CN176" s="1716"/>
      <c r="CO176" s="1716"/>
      <c r="CP176" s="1716"/>
    </row>
    <row r="177" spans="1:94" s="1909" customFormat="1">
      <c r="A177" s="1756"/>
      <c r="B177" s="1756"/>
      <c r="C177" s="1756" t="s">
        <v>960</v>
      </c>
      <c r="D177" s="1756"/>
      <c r="E177" s="1906"/>
      <c r="F177" s="1907"/>
      <c r="G177" s="1907"/>
      <c r="H177" s="1908"/>
      <c r="I177" s="1756"/>
      <c r="J177" s="1906"/>
      <c r="K177" s="1907"/>
      <c r="L177" s="1907"/>
      <c r="M177" s="1908"/>
      <c r="N177" s="1756"/>
      <c r="O177" s="1906"/>
      <c r="P177" s="1907"/>
      <c r="Q177" s="1907"/>
      <c r="R177" s="1908"/>
      <c r="S177" s="1756"/>
      <c r="T177" s="292">
        <f>T175-T176</f>
        <v>2026</v>
      </c>
      <c r="U177" s="261">
        <f t="shared" ref="U177:Z177" si="454">U175-U176</f>
        <v>2072</v>
      </c>
      <c r="V177" s="261">
        <f t="shared" si="454"/>
        <v>2113</v>
      </c>
      <c r="W177" s="293">
        <f t="shared" si="454"/>
        <v>2150</v>
      </c>
      <c r="X177" s="228">
        <f t="shared" si="454"/>
        <v>2150</v>
      </c>
      <c r="Y177" s="292">
        <f t="shared" si="454"/>
        <v>2186</v>
      </c>
      <c r="Z177" s="261">
        <f t="shared" si="454"/>
        <v>2224</v>
      </c>
      <c r="AA177" s="261">
        <f t="shared" ref="AA177:AE177" si="455">AA175-AA176</f>
        <v>2261</v>
      </c>
      <c r="AB177" s="293">
        <f t="shared" si="455"/>
        <v>2313</v>
      </c>
      <c r="AC177" s="228">
        <f t="shared" si="455"/>
        <v>2313</v>
      </c>
      <c r="AD177" s="292">
        <f t="shared" si="455"/>
        <v>2354</v>
      </c>
      <c r="AE177" s="261">
        <f t="shared" si="455"/>
        <v>2418</v>
      </c>
      <c r="AF177" s="261">
        <f t="shared" ref="AF177:AI177" si="456">AF175-AF176</f>
        <v>2468</v>
      </c>
      <c r="AG177" s="293">
        <f t="shared" si="456"/>
        <v>2541</v>
      </c>
      <c r="AH177" s="228">
        <f t="shared" si="456"/>
        <v>2541</v>
      </c>
      <c r="AI177" s="292">
        <f t="shared" si="456"/>
        <v>2384</v>
      </c>
      <c r="AJ177" s="261">
        <f t="shared" ref="AJ177" si="457">AJ175-AJ176</f>
        <v>2427</v>
      </c>
      <c r="AK177" s="261">
        <f t="shared" ref="AK177:AM177" si="458">AK175-AK176</f>
        <v>2456</v>
      </c>
      <c r="AL177" s="293">
        <f t="shared" si="458"/>
        <v>2521</v>
      </c>
      <c r="AM177" s="228">
        <f t="shared" si="458"/>
        <v>2521</v>
      </c>
      <c r="AN177" s="292">
        <f t="shared" ref="AN177:AO177" si="459">AN175-AN176</f>
        <v>2583</v>
      </c>
      <c r="AO177" s="261">
        <f t="shared" si="459"/>
        <v>2628</v>
      </c>
      <c r="AP177" s="261">
        <f t="shared" ref="AP177:AW177" si="460">AP175-AP176</f>
        <v>2662</v>
      </c>
      <c r="AQ177" s="293">
        <f t="shared" si="460"/>
        <v>2706</v>
      </c>
      <c r="AR177" s="228">
        <f t="shared" si="460"/>
        <v>2706</v>
      </c>
      <c r="AS177" s="292">
        <f t="shared" si="460"/>
        <v>2767.7251630007859</v>
      </c>
      <c r="AT177" s="261">
        <f t="shared" si="460"/>
        <v>2829.1302556740266</v>
      </c>
      <c r="AU177" s="261">
        <f t="shared" si="460"/>
        <v>2889.9548971729819</v>
      </c>
      <c r="AV177" s="293">
        <f t="shared" si="460"/>
        <v>2950.2045743970452</v>
      </c>
      <c r="AW177" s="228">
        <f t="shared" si="460"/>
        <v>2950.2045743970452</v>
      </c>
      <c r="AX177" s="292">
        <f t="shared" ref="AX177:BG177" si="461">AX175-AX176</f>
        <v>3000.6347223789476</v>
      </c>
      <c r="AY177" s="261">
        <f t="shared" si="461"/>
        <v>3050.3791106338949</v>
      </c>
      <c r="AZ177" s="261">
        <f t="shared" si="461"/>
        <v>3099.6532742328791</v>
      </c>
      <c r="BA177" s="293">
        <f t="shared" si="461"/>
        <v>3148.4616581240598</v>
      </c>
      <c r="BB177" s="228">
        <f t="shared" si="461"/>
        <v>3148.4616581240598</v>
      </c>
      <c r="BC177" s="292">
        <f t="shared" si="461"/>
        <v>3196.3086652383117</v>
      </c>
      <c r="BD177" s="261">
        <f t="shared" si="461"/>
        <v>3243.7033832954767</v>
      </c>
      <c r="BE177" s="261">
        <f t="shared" si="461"/>
        <v>3290.6500877017615</v>
      </c>
      <c r="BF177" s="293">
        <f t="shared" si="461"/>
        <v>3337.1530134487343</v>
      </c>
      <c r="BG177" s="228">
        <f t="shared" si="461"/>
        <v>3337.1530134487343</v>
      </c>
      <c r="BH177" s="292">
        <f t="shared" ref="BH177:BL177" si="462">BH175-BH176</f>
        <v>3363.2163554953586</v>
      </c>
      <c r="BI177" s="261">
        <f t="shared" si="462"/>
        <v>3388.6152200913357</v>
      </c>
      <c r="BJ177" s="261">
        <f t="shared" si="462"/>
        <v>3413.7739938391687</v>
      </c>
      <c r="BK177" s="293">
        <f t="shared" si="462"/>
        <v>3438.6949462739849</v>
      </c>
      <c r="BL177" s="228">
        <f t="shared" si="462"/>
        <v>3438.6949462739849</v>
      </c>
      <c r="BM177" s="1756"/>
      <c r="BN177" s="1756"/>
      <c r="BO177" s="1756"/>
      <c r="BP177" s="1756"/>
      <c r="BQ177" s="1756"/>
      <c r="BR177" s="1756"/>
      <c r="BS177" s="1756"/>
      <c r="BT177" s="1756"/>
      <c r="BU177" s="1756"/>
      <c r="BV177" s="1756"/>
      <c r="BW177" s="1756"/>
      <c r="BX177" s="1756"/>
      <c r="BY177" s="1756"/>
      <c r="BZ177" s="1756"/>
      <c r="CA177" s="1756"/>
      <c r="CB177" s="1756"/>
      <c r="CC177" s="1756"/>
      <c r="CD177" s="1756"/>
      <c r="CE177" s="1756"/>
      <c r="CF177" s="1756"/>
      <c r="CG177" s="1756"/>
      <c r="CH177" s="1756"/>
      <c r="CI177" s="1756"/>
      <c r="CJ177" s="1756"/>
      <c r="CK177" s="1756"/>
      <c r="CL177" s="1756"/>
      <c r="CM177" s="1756"/>
      <c r="CN177" s="1756"/>
      <c r="CO177" s="1756"/>
      <c r="CP177" s="1756"/>
    </row>
    <row r="178" spans="1:94">
      <c r="A178" s="1716"/>
      <c r="B178" s="1716"/>
      <c r="C178" s="1716"/>
      <c r="D178" s="1716"/>
      <c r="E178" s="1717"/>
      <c r="F178" s="1718"/>
      <c r="G178" s="1718"/>
      <c r="H178" s="1719"/>
      <c r="I178" s="1716"/>
      <c r="J178" s="1717"/>
      <c r="K178" s="1718"/>
      <c r="L178" s="1718"/>
      <c r="M178" s="1719"/>
      <c r="N178" s="1716"/>
      <c r="O178" s="1717"/>
      <c r="P178" s="1718"/>
      <c r="Q178" s="1718"/>
      <c r="R178" s="1719"/>
      <c r="S178" s="1716"/>
      <c r="T178" s="337"/>
      <c r="U178" s="338"/>
      <c r="V178" s="338"/>
      <c r="W178" s="1684"/>
      <c r="X178" s="647"/>
      <c r="Y178" s="337"/>
      <c r="Z178" s="338"/>
      <c r="AA178" s="338"/>
      <c r="AB178" s="1684"/>
      <c r="AC178" s="647"/>
      <c r="AD178" s="337"/>
      <c r="AE178" s="338"/>
      <c r="AF178" s="338"/>
      <c r="AG178" s="1684"/>
      <c r="AH178" s="647"/>
      <c r="AI178" s="337"/>
      <c r="AJ178" s="338"/>
      <c r="AK178" s="338"/>
      <c r="AL178" s="1684"/>
      <c r="AM178" s="647"/>
      <c r="AN178" s="337"/>
      <c r="AO178" s="338"/>
      <c r="AP178" s="353"/>
      <c r="AQ178" s="1684"/>
      <c r="AR178" s="647"/>
      <c r="AS178" s="369"/>
      <c r="AT178" s="353"/>
      <c r="AU178" s="353"/>
      <c r="AV178" s="354"/>
      <c r="AW178" s="340"/>
      <c r="AX178" s="369"/>
      <c r="AY178" s="353"/>
      <c r="AZ178" s="353"/>
      <c r="BA178" s="354"/>
      <c r="BB178" s="340"/>
      <c r="BC178" s="369"/>
      <c r="BD178" s="353"/>
      <c r="BE178" s="353"/>
      <c r="BF178" s="354"/>
      <c r="BG178" s="340"/>
      <c r="BH178" s="369"/>
      <c r="BI178" s="353"/>
      <c r="BJ178" s="353"/>
      <c r="BK178" s="354"/>
      <c r="BL178" s="340"/>
      <c r="BM178" s="1716"/>
      <c r="BN178" s="1716"/>
      <c r="BO178" s="1716"/>
      <c r="BP178" s="1716"/>
      <c r="BQ178" s="1716"/>
      <c r="BR178" s="1716"/>
      <c r="BS178" s="1716"/>
      <c r="BT178" s="1716"/>
      <c r="BU178" s="1716"/>
      <c r="BV178" s="1716"/>
      <c r="BW178" s="1716"/>
      <c r="BX178" s="1716"/>
      <c r="BY178" s="1716"/>
      <c r="BZ178" s="1716"/>
      <c r="CA178" s="1716"/>
      <c r="CB178" s="1716"/>
      <c r="CC178" s="1716"/>
      <c r="CD178" s="1716"/>
      <c r="CE178" s="1716"/>
      <c r="CF178" s="1716"/>
      <c r="CG178" s="1716"/>
      <c r="CH178" s="1716"/>
      <c r="CI178" s="1716"/>
      <c r="CJ178" s="1716"/>
      <c r="CK178" s="1716"/>
      <c r="CL178" s="1716"/>
      <c r="CM178" s="1716"/>
      <c r="CN178" s="1716"/>
      <c r="CO178" s="1716"/>
      <c r="CP178" s="1716"/>
    </row>
    <row r="179" spans="1:94">
      <c r="A179" s="1716"/>
      <c r="B179" s="1716"/>
      <c r="C179" s="1716" t="s">
        <v>1292</v>
      </c>
      <c r="D179" s="1716"/>
      <c r="E179" s="1717"/>
      <c r="F179" s="1718"/>
      <c r="G179" s="1718"/>
      <c r="H179" s="1719"/>
      <c r="I179" s="1716"/>
      <c r="J179" s="1717"/>
      <c r="K179" s="1718"/>
      <c r="L179" s="1718"/>
      <c r="M179" s="1719"/>
      <c r="N179" s="1716"/>
      <c r="O179" s="1717"/>
      <c r="P179" s="1718"/>
      <c r="Q179" s="1718"/>
      <c r="R179" s="1719"/>
      <c r="S179" s="1716"/>
      <c r="T179" s="337">
        <v>670</v>
      </c>
      <c r="U179" s="338">
        <v>648</v>
      </c>
      <c r="V179" s="338">
        <v>603</v>
      </c>
      <c r="W179" s="1684">
        <v>569</v>
      </c>
      <c r="X179" s="647">
        <f>W179</f>
        <v>569</v>
      </c>
      <c r="Y179" s="337">
        <v>478</v>
      </c>
      <c r="Z179" s="338">
        <v>462</v>
      </c>
      <c r="AA179" s="338">
        <v>442</v>
      </c>
      <c r="AB179" s="1684">
        <v>427</v>
      </c>
      <c r="AC179" s="647">
        <f>AB179</f>
        <v>427</v>
      </c>
      <c r="AD179" s="337">
        <v>377</v>
      </c>
      <c r="AE179" s="338">
        <v>373</v>
      </c>
      <c r="AF179" s="338">
        <v>340</v>
      </c>
      <c r="AG179" s="1684">
        <v>322</v>
      </c>
      <c r="AH179" s="647">
        <f>AG179</f>
        <v>322</v>
      </c>
      <c r="AI179" s="337">
        <v>419</v>
      </c>
      <c r="AJ179" s="338">
        <v>418</v>
      </c>
      <c r="AK179" s="338">
        <v>412</v>
      </c>
      <c r="AL179" s="1684">
        <v>405</v>
      </c>
      <c r="AM179" s="647">
        <f>AL179</f>
        <v>405</v>
      </c>
      <c r="AN179" s="337">
        <v>407</v>
      </c>
      <c r="AO179" s="338">
        <v>406</v>
      </c>
      <c r="AP179" s="338">
        <v>417</v>
      </c>
      <c r="AQ179" s="1684">
        <v>359</v>
      </c>
      <c r="AR179" s="647">
        <f>AQ179</f>
        <v>359</v>
      </c>
      <c r="AS179" s="369">
        <f t="shared" ref="AS179:AW180" si="463">AR179</f>
        <v>359</v>
      </c>
      <c r="AT179" s="353">
        <f t="shared" si="463"/>
        <v>359</v>
      </c>
      <c r="AU179" s="353">
        <f t="shared" si="463"/>
        <v>359</v>
      </c>
      <c r="AV179" s="354">
        <f t="shared" si="463"/>
        <v>359</v>
      </c>
      <c r="AW179" s="340">
        <f t="shared" si="463"/>
        <v>359</v>
      </c>
      <c r="AX179" s="369">
        <f t="shared" ref="AX179" si="464">AW179</f>
        <v>359</v>
      </c>
      <c r="AY179" s="353">
        <f t="shared" ref="AY179" si="465">AX179</f>
        <v>359</v>
      </c>
      <c r="AZ179" s="353">
        <f t="shared" ref="AZ179" si="466">AY179</f>
        <v>359</v>
      </c>
      <c r="BA179" s="354">
        <f t="shared" ref="BA179" si="467">AZ179</f>
        <v>359</v>
      </c>
      <c r="BB179" s="340">
        <f t="shared" ref="BB179:BB180" si="468">BA179</f>
        <v>359</v>
      </c>
      <c r="BC179" s="369">
        <f t="shared" ref="BC179" si="469">BB179</f>
        <v>359</v>
      </c>
      <c r="BD179" s="353">
        <f t="shared" ref="BD179" si="470">BC179</f>
        <v>359</v>
      </c>
      <c r="BE179" s="353">
        <f t="shared" ref="BE179" si="471">BD179</f>
        <v>359</v>
      </c>
      <c r="BF179" s="354">
        <f t="shared" ref="BF179" si="472">BE179</f>
        <v>359</v>
      </c>
      <c r="BG179" s="340">
        <f t="shared" ref="BG179:BG180" si="473">BF179</f>
        <v>359</v>
      </c>
      <c r="BH179" s="369">
        <f t="shared" ref="BH179" si="474">BG179</f>
        <v>359</v>
      </c>
      <c r="BI179" s="353">
        <f t="shared" ref="BI179" si="475">BH179</f>
        <v>359</v>
      </c>
      <c r="BJ179" s="353">
        <f t="shared" ref="BJ179" si="476">BI179</f>
        <v>359</v>
      </c>
      <c r="BK179" s="354">
        <f t="shared" ref="BK179" si="477">BJ179</f>
        <v>359</v>
      </c>
      <c r="BL179" s="340">
        <f t="shared" ref="BL179:BL180" si="478">BK179</f>
        <v>359</v>
      </c>
      <c r="BM179" s="1716"/>
      <c r="BN179" s="1716"/>
      <c r="BO179" s="1716"/>
      <c r="BP179" s="1716"/>
      <c r="BQ179" s="1716"/>
      <c r="BR179" s="1716"/>
      <c r="BS179" s="1716"/>
      <c r="BT179" s="1716"/>
      <c r="BU179" s="1716"/>
      <c r="BV179" s="1716"/>
      <c r="BW179" s="1716"/>
      <c r="BX179" s="1716"/>
      <c r="BY179" s="1716"/>
      <c r="BZ179" s="1716"/>
      <c r="CA179" s="1716"/>
      <c r="CB179" s="1716"/>
      <c r="CC179" s="1716"/>
      <c r="CD179" s="1716"/>
      <c r="CE179" s="1716"/>
      <c r="CF179" s="1716"/>
      <c r="CG179" s="1716"/>
      <c r="CH179" s="1716"/>
      <c r="CI179" s="1716"/>
      <c r="CJ179" s="1716"/>
      <c r="CK179" s="1716"/>
      <c r="CL179" s="1716"/>
      <c r="CM179" s="1716"/>
      <c r="CN179" s="1716"/>
      <c r="CO179" s="1716"/>
      <c r="CP179" s="1716"/>
    </row>
    <row r="180" spans="1:94">
      <c r="A180" s="1716"/>
      <c r="B180" s="1716"/>
      <c r="C180" s="1716" t="s">
        <v>62</v>
      </c>
      <c r="D180" s="1716"/>
      <c r="E180" s="1717"/>
      <c r="F180" s="1718"/>
      <c r="G180" s="1718"/>
      <c r="H180" s="1719"/>
      <c r="I180" s="1716"/>
      <c r="J180" s="1717"/>
      <c r="K180" s="1718"/>
      <c r="L180" s="1718"/>
      <c r="M180" s="1719"/>
      <c r="N180" s="1716"/>
      <c r="O180" s="1717"/>
      <c r="P180" s="1718"/>
      <c r="Q180" s="1718"/>
      <c r="R180" s="1719"/>
      <c r="S180" s="1716"/>
      <c r="T180" s="337">
        <f>8+11+31+6+115+16</f>
        <v>187</v>
      </c>
      <c r="U180" s="338">
        <f>4+12+27+6+112+15</f>
        <v>176</v>
      </c>
      <c r="V180" s="338">
        <f>4+12+27+6+109+14</f>
        <v>172</v>
      </c>
      <c r="W180" s="1684">
        <f>12+34+14+106</f>
        <v>166</v>
      </c>
      <c r="X180" s="647">
        <f>W180</f>
        <v>166</v>
      </c>
      <c r="Y180" s="337">
        <f>11+34+13+103</f>
        <v>161</v>
      </c>
      <c r="Z180" s="338">
        <f>11+34+101+14</f>
        <v>160</v>
      </c>
      <c r="AA180" s="338">
        <f>99+34+13+11</f>
        <v>157</v>
      </c>
      <c r="AB180" s="1684">
        <f>96+34+14+12</f>
        <v>156</v>
      </c>
      <c r="AC180" s="647">
        <f>AB180</f>
        <v>156</v>
      </c>
      <c r="AD180" s="337">
        <f>93+34+13+12</f>
        <v>152</v>
      </c>
      <c r="AE180" s="338">
        <f>90+34+14+10</f>
        <v>148</v>
      </c>
      <c r="AF180" s="338">
        <f>86+34+15+10</f>
        <v>145</v>
      </c>
      <c r="AG180" s="1684">
        <f>83+18+4</f>
        <v>105</v>
      </c>
      <c r="AH180" s="647">
        <f>AG180</f>
        <v>105</v>
      </c>
      <c r="AI180" s="337">
        <f>4+79+22</f>
        <v>105</v>
      </c>
      <c r="AJ180" s="338">
        <f>4+76+23</f>
        <v>103</v>
      </c>
      <c r="AK180" s="338">
        <f>4+73+42</f>
        <v>119</v>
      </c>
      <c r="AL180" s="1684">
        <f>4+84+44</f>
        <v>132</v>
      </c>
      <c r="AM180" s="647">
        <f>AL180</f>
        <v>132</v>
      </c>
      <c r="AN180" s="337">
        <f>4+82+42</f>
        <v>128</v>
      </c>
      <c r="AO180" s="338">
        <f>4+79+43</f>
        <v>126</v>
      </c>
      <c r="AP180" s="338">
        <f>76+42+4</f>
        <v>122</v>
      </c>
      <c r="AQ180" s="1684">
        <f>4+73+45</f>
        <v>122</v>
      </c>
      <c r="AR180" s="647">
        <f>AQ180</f>
        <v>122</v>
      </c>
      <c r="AS180" s="369">
        <f t="shared" ref="AS180:AV180" si="479">AR180-AS144-AS151-AS152-AS159</f>
        <v>123.48468428965171</v>
      </c>
      <c r="AT180" s="353">
        <f t="shared" si="479"/>
        <v>124.96936857930342</v>
      </c>
      <c r="AU180" s="353">
        <f t="shared" si="479"/>
        <v>126.45405286895513</v>
      </c>
      <c r="AV180" s="354">
        <f t="shared" si="479"/>
        <v>127.93873715860684</v>
      </c>
      <c r="AW180" s="340">
        <f t="shared" si="463"/>
        <v>127.93873715860684</v>
      </c>
      <c r="AX180" s="369">
        <f t="shared" ref="AX180" si="480">AW180-AX144-AX151-AX152-AX159</f>
        <v>129.45151591079929</v>
      </c>
      <c r="AY180" s="353">
        <f t="shared" ref="AY180" si="481">AX180-AY144-AY151-AY152-AY159</f>
        <v>130.96429466299173</v>
      </c>
      <c r="AZ180" s="353">
        <f t="shared" ref="AZ180" si="482">AY180-AZ144-AZ151-AZ152-AZ159</f>
        <v>132.47707341518418</v>
      </c>
      <c r="BA180" s="354">
        <f t="shared" ref="BA180" si="483">AZ180-BA144-BA151-BA152-BA159</f>
        <v>133.98985216737663</v>
      </c>
      <c r="BB180" s="340">
        <f t="shared" si="468"/>
        <v>133.98985216737663</v>
      </c>
      <c r="BC180" s="369">
        <f t="shared" ref="BC180" si="484">BB180-BC144-BC151-BC152-BC159</f>
        <v>135.39457529441245</v>
      </c>
      <c r="BD180" s="353">
        <f t="shared" ref="BD180" si="485">BC180-BD144-BD151-BD152-BD159</f>
        <v>136.79929842144827</v>
      </c>
      <c r="BE180" s="353">
        <f t="shared" ref="BE180" si="486">BD180-BE144-BE151-BE152-BE159</f>
        <v>138.20402154848409</v>
      </c>
      <c r="BF180" s="354">
        <f t="shared" ref="BF180" si="487">BE180-BF144-BF151-BF152-BF159</f>
        <v>139.60874467551992</v>
      </c>
      <c r="BG180" s="340">
        <f t="shared" si="473"/>
        <v>139.60874467551992</v>
      </c>
      <c r="BH180" s="369">
        <f t="shared" ref="BH180" si="488">BG180-BH144-BH151-BH152-BH159</f>
        <v>140.79735655224255</v>
      </c>
      <c r="BI180" s="353">
        <f t="shared" ref="BI180" si="489">BH180-BI144-BI151-BI152-BI159</f>
        <v>141.98596842896518</v>
      </c>
      <c r="BJ180" s="353">
        <f t="shared" ref="BJ180" si="490">BI180-BJ144-BJ151-BJ152-BJ159</f>
        <v>143.17458030568781</v>
      </c>
      <c r="BK180" s="354">
        <f t="shared" ref="BK180" si="491">BJ180-BK144-BK151-BK152-BK159</f>
        <v>144.36319218241044</v>
      </c>
      <c r="BL180" s="340">
        <f t="shared" si="478"/>
        <v>144.36319218241044</v>
      </c>
      <c r="BM180" s="1716"/>
      <c r="BN180" s="1716"/>
      <c r="BO180" s="1716"/>
      <c r="BP180" s="1716"/>
      <c r="BQ180" s="1716"/>
      <c r="BR180" s="1716"/>
      <c r="BS180" s="1716"/>
      <c r="BT180" s="1716"/>
      <c r="BU180" s="1716"/>
      <c r="BV180" s="1716"/>
      <c r="BW180" s="1716"/>
      <c r="BX180" s="1716"/>
      <c r="BY180" s="1716"/>
      <c r="BZ180" s="1716"/>
      <c r="CA180" s="1716"/>
      <c r="CB180" s="1716"/>
      <c r="CC180" s="1716"/>
      <c r="CD180" s="1716"/>
      <c r="CE180" s="1716"/>
      <c r="CF180" s="1716"/>
      <c r="CG180" s="1716"/>
      <c r="CH180" s="1716"/>
      <c r="CI180" s="1716"/>
      <c r="CJ180" s="1716"/>
      <c r="CK180" s="1716"/>
      <c r="CL180" s="1716"/>
      <c r="CM180" s="1716"/>
      <c r="CN180" s="1716"/>
      <c r="CO180" s="1716"/>
      <c r="CP180" s="1716"/>
    </row>
    <row r="181" spans="1:94">
      <c r="A181" s="1716"/>
      <c r="B181" s="1716"/>
      <c r="C181" s="1716"/>
      <c r="D181" s="1716"/>
      <c r="E181" s="1717"/>
      <c r="F181" s="1718"/>
      <c r="G181" s="1718"/>
      <c r="H181" s="1719"/>
      <c r="I181" s="1716"/>
      <c r="J181" s="1717"/>
      <c r="K181" s="1718"/>
      <c r="L181" s="1718"/>
      <c r="M181" s="1719"/>
      <c r="N181" s="1716"/>
      <c r="O181" s="1717"/>
      <c r="P181" s="1718"/>
      <c r="Q181" s="1718"/>
      <c r="R181" s="1719"/>
      <c r="S181" s="1716"/>
      <c r="T181" s="337"/>
      <c r="U181" s="338"/>
      <c r="V181" s="338"/>
      <c r="W181" s="1684"/>
      <c r="X181" s="647"/>
      <c r="Y181" s="337"/>
      <c r="Z181" s="338"/>
      <c r="AA181" s="338"/>
      <c r="AB181" s="1684"/>
      <c r="AC181" s="647"/>
      <c r="AD181" s="337"/>
      <c r="AE181" s="338"/>
      <c r="AF181" s="338"/>
      <c r="AG181" s="1684"/>
      <c r="AH181" s="647"/>
      <c r="AI181" s="337"/>
      <c r="AJ181" s="338"/>
      <c r="AK181" s="338"/>
      <c r="AL181" s="1684"/>
      <c r="AM181" s="647"/>
      <c r="AN181" s="337"/>
      <c r="AO181" s="338"/>
      <c r="AP181" s="338"/>
      <c r="AQ181" s="1684"/>
      <c r="AR181" s="647"/>
      <c r="AS181" s="369"/>
      <c r="AT181" s="353"/>
      <c r="AU181" s="353"/>
      <c r="AV181" s="354"/>
      <c r="AW181" s="340"/>
      <c r="AX181" s="369"/>
      <c r="AY181" s="353"/>
      <c r="AZ181" s="353"/>
      <c r="BA181" s="354"/>
      <c r="BB181" s="340"/>
      <c r="BC181" s="369"/>
      <c r="BD181" s="353"/>
      <c r="BE181" s="353"/>
      <c r="BF181" s="354"/>
      <c r="BG181" s="340"/>
      <c r="BH181" s="369"/>
      <c r="BI181" s="353"/>
      <c r="BJ181" s="353"/>
      <c r="BK181" s="354"/>
      <c r="BL181" s="340"/>
      <c r="BM181" s="1716"/>
      <c r="BN181" s="1716"/>
      <c r="BO181" s="1716"/>
      <c r="BP181" s="1716"/>
      <c r="BQ181" s="1716"/>
      <c r="BR181" s="1716"/>
      <c r="BS181" s="1716"/>
      <c r="BT181" s="1716"/>
      <c r="BU181" s="1716"/>
      <c r="BV181" s="1716"/>
      <c r="BW181" s="1716"/>
      <c r="BX181" s="1716"/>
      <c r="BY181" s="1716"/>
      <c r="BZ181" s="1716"/>
      <c r="CA181" s="1716"/>
      <c r="CB181" s="1716"/>
      <c r="CC181" s="1716"/>
      <c r="CD181" s="1716"/>
      <c r="CE181" s="1716"/>
      <c r="CF181" s="1716"/>
      <c r="CG181" s="1716"/>
      <c r="CH181" s="1716"/>
      <c r="CI181" s="1716"/>
      <c r="CJ181" s="1716"/>
      <c r="CK181" s="1716"/>
      <c r="CL181" s="1716"/>
      <c r="CM181" s="1716"/>
      <c r="CN181" s="1716"/>
      <c r="CO181" s="1716"/>
      <c r="CP181" s="1716"/>
    </row>
    <row r="182" spans="1:94" s="1909" customFormat="1">
      <c r="A182" s="1756"/>
      <c r="B182" s="1756"/>
      <c r="C182" s="1756" t="s">
        <v>971</v>
      </c>
      <c r="D182" s="1756"/>
      <c r="E182" s="1906"/>
      <c r="F182" s="1907"/>
      <c r="G182" s="1907"/>
      <c r="H182" s="1908"/>
      <c r="I182" s="1756"/>
      <c r="J182" s="1906"/>
      <c r="K182" s="1907"/>
      <c r="L182" s="1907"/>
      <c r="M182" s="1908"/>
      <c r="N182" s="1756"/>
      <c r="O182" s="1906"/>
      <c r="P182" s="1907"/>
      <c r="Q182" s="1907"/>
      <c r="R182" s="1908"/>
      <c r="S182" s="1756"/>
      <c r="T182" s="292">
        <f>SUM(T173,T177,T179:T180)</f>
        <v>3282</v>
      </c>
      <c r="U182" s="261">
        <f t="shared" ref="U182:Z182" si="492">SUM(U173,U177,U179:U180)</f>
        <v>3329</v>
      </c>
      <c r="V182" s="261">
        <f t="shared" si="492"/>
        <v>3323</v>
      </c>
      <c r="W182" s="293">
        <f t="shared" si="492"/>
        <v>3275</v>
      </c>
      <c r="X182" s="583">
        <f t="shared" si="492"/>
        <v>3275</v>
      </c>
      <c r="Y182" s="292">
        <f t="shared" si="492"/>
        <v>3225</v>
      </c>
      <c r="Z182" s="261">
        <f t="shared" si="492"/>
        <v>3262</v>
      </c>
      <c r="AA182" s="261">
        <f t="shared" ref="AA182:AE182" si="493">SUM(AA173,AA177,AA179:AA180)</f>
        <v>3274</v>
      </c>
      <c r="AB182" s="293">
        <f t="shared" si="493"/>
        <v>3262</v>
      </c>
      <c r="AC182" s="583">
        <f t="shared" si="493"/>
        <v>3262</v>
      </c>
      <c r="AD182" s="292">
        <f t="shared" si="493"/>
        <v>3292</v>
      </c>
      <c r="AE182" s="261">
        <f t="shared" si="493"/>
        <v>3390</v>
      </c>
      <c r="AF182" s="261">
        <f t="shared" ref="AF182:AI182" si="494">SUM(AF173,AF177,AF179:AF180)</f>
        <v>3405</v>
      </c>
      <c r="AG182" s="293">
        <f t="shared" si="494"/>
        <v>3417</v>
      </c>
      <c r="AH182" s="583">
        <f t="shared" si="494"/>
        <v>3417</v>
      </c>
      <c r="AI182" s="292">
        <f t="shared" si="494"/>
        <v>3393</v>
      </c>
      <c r="AJ182" s="261">
        <f t="shared" ref="AJ182:AM182" si="495">SUM(AJ173,AJ177,AJ179:AJ180)</f>
        <v>3461</v>
      </c>
      <c r="AK182" s="261">
        <f t="shared" si="495"/>
        <v>3507</v>
      </c>
      <c r="AL182" s="293">
        <f t="shared" si="495"/>
        <v>3457</v>
      </c>
      <c r="AM182" s="583">
        <f t="shared" si="495"/>
        <v>3457</v>
      </c>
      <c r="AN182" s="292">
        <f t="shared" ref="AN182:AO182" si="496">SUM(AN173,AN177,AN179:AN180)</f>
        <v>3451</v>
      </c>
      <c r="AO182" s="261">
        <f t="shared" si="496"/>
        <v>3478</v>
      </c>
      <c r="AP182" s="261">
        <f t="shared" ref="AP182:AW182" si="497">SUM(AP173,AP177,AP179:AP180)</f>
        <v>3510</v>
      </c>
      <c r="AQ182" s="293">
        <f t="shared" si="497"/>
        <v>3445</v>
      </c>
      <c r="AR182" s="583">
        <f t="shared" si="497"/>
        <v>3445</v>
      </c>
      <c r="AS182" s="292">
        <f t="shared" ca="1" si="497"/>
        <v>3506.2098472904377</v>
      </c>
      <c r="AT182" s="261">
        <f t="shared" ca="1" si="497"/>
        <v>3569.0996242533301</v>
      </c>
      <c r="AU182" s="261">
        <f t="shared" ca="1" si="497"/>
        <v>3664.7155116721619</v>
      </c>
      <c r="AV182" s="293">
        <f t="shared" ca="1" si="497"/>
        <v>3699.1018543753876</v>
      </c>
      <c r="AW182" s="228">
        <f t="shared" ca="1" si="497"/>
        <v>3699.1018543753876</v>
      </c>
      <c r="AX182" s="292">
        <f t="shared" ref="AX182:BG182" ca="1" si="498">SUM(AX173,AX177,AX179:AX180)</f>
        <v>3745.0862382897467</v>
      </c>
      <c r="AY182" s="261">
        <f t="shared" ca="1" si="498"/>
        <v>3796.3434052968869</v>
      </c>
      <c r="AZ182" s="261">
        <f t="shared" ca="1" si="498"/>
        <v>3876.6719985048112</v>
      </c>
      <c r="BA182" s="293">
        <f t="shared" ca="1" si="498"/>
        <v>3897.4515102914365</v>
      </c>
      <c r="BB182" s="228">
        <f t="shared" ca="1" si="498"/>
        <v>3897.4515102914365</v>
      </c>
      <c r="BC182" s="292">
        <f t="shared" ca="1" si="498"/>
        <v>3946.7032405327241</v>
      </c>
      <c r="BD182" s="261">
        <f t="shared" ca="1" si="498"/>
        <v>3995.5026817169251</v>
      </c>
      <c r="BE182" s="261">
        <f t="shared" ca="1" si="498"/>
        <v>4073.8279585823548</v>
      </c>
      <c r="BF182" s="293">
        <f t="shared" ca="1" si="498"/>
        <v>4091.7617581242544</v>
      </c>
      <c r="BG182" s="228">
        <f t="shared" ca="1" si="498"/>
        <v>4091.7617581242544</v>
      </c>
      <c r="BH182" s="292">
        <f t="shared" ref="BH182:BL182" ca="1" si="499">SUM(BH173,BH177,BH179:BH180)</f>
        <v>4119.0137120476011</v>
      </c>
      <c r="BI182" s="261">
        <f t="shared" ca="1" si="499"/>
        <v>4145.6011885203006</v>
      </c>
      <c r="BJ182" s="261">
        <f t="shared" ca="1" si="499"/>
        <v>4195.9912437950206</v>
      </c>
      <c r="BK182" s="293">
        <f t="shared" ca="1" si="499"/>
        <v>4202.4301482520959</v>
      </c>
      <c r="BL182" s="228">
        <f t="shared" ca="1" si="499"/>
        <v>4202.4301482520959</v>
      </c>
      <c r="BM182" s="1756"/>
      <c r="BN182" s="1756"/>
      <c r="BO182" s="1756"/>
      <c r="BP182" s="1756"/>
      <c r="BQ182" s="1756"/>
      <c r="BR182" s="1756"/>
      <c r="BS182" s="1756"/>
      <c r="BT182" s="1756"/>
      <c r="BU182" s="1756"/>
      <c r="BV182" s="1756"/>
      <c r="BW182" s="1756"/>
      <c r="BX182" s="1756"/>
      <c r="BY182" s="1756"/>
      <c r="BZ182" s="1756"/>
      <c r="CA182" s="1756"/>
      <c r="CB182" s="1756"/>
      <c r="CC182" s="1756"/>
      <c r="CD182" s="1756"/>
      <c r="CE182" s="1756"/>
      <c r="CF182" s="1756"/>
      <c r="CG182" s="1756"/>
      <c r="CH182" s="1756"/>
      <c r="CI182" s="1756"/>
      <c r="CJ182" s="1756"/>
      <c r="CK182" s="1756"/>
      <c r="CL182" s="1756"/>
      <c r="CM182" s="1756"/>
      <c r="CN182" s="1756"/>
      <c r="CO182" s="1756"/>
      <c r="CP182" s="1756"/>
    </row>
    <row r="183" spans="1:94">
      <c r="A183" s="1716"/>
      <c r="B183" s="1716"/>
      <c r="C183" s="1716"/>
      <c r="D183" s="1716"/>
      <c r="E183" s="1717"/>
      <c r="F183" s="1718"/>
      <c r="G183" s="1718"/>
      <c r="H183" s="1719"/>
      <c r="I183" s="1716"/>
      <c r="J183" s="1717"/>
      <c r="K183" s="1718"/>
      <c r="L183" s="1718"/>
      <c r="M183" s="1719"/>
      <c r="N183" s="1716"/>
      <c r="O183" s="1717"/>
      <c r="P183" s="1718"/>
      <c r="Q183" s="1718"/>
      <c r="R183" s="1719"/>
      <c r="S183" s="1716"/>
      <c r="T183" s="337"/>
      <c r="U183" s="338"/>
      <c r="V183" s="338"/>
      <c r="W183" s="1684"/>
      <c r="X183" s="647"/>
      <c r="Y183" s="337"/>
      <c r="Z183" s="338"/>
      <c r="AA183" s="338"/>
      <c r="AB183" s="1684"/>
      <c r="AC183" s="647"/>
      <c r="AD183" s="337"/>
      <c r="AE183" s="338"/>
      <c r="AF183" s="338"/>
      <c r="AG183" s="1684"/>
      <c r="AH183" s="647"/>
      <c r="AI183" s="337"/>
      <c r="AJ183" s="338"/>
      <c r="AK183" s="338"/>
      <c r="AL183" s="1684"/>
      <c r="AM183" s="647"/>
      <c r="AN183" s="337"/>
      <c r="AO183" s="338"/>
      <c r="AP183" s="260"/>
      <c r="AQ183" s="1684"/>
      <c r="AR183" s="647"/>
      <c r="AS183" s="290"/>
      <c r="AT183" s="260"/>
      <c r="AU183" s="260"/>
      <c r="AV183" s="291"/>
      <c r="AW183" s="45"/>
      <c r="AX183" s="290"/>
      <c r="AY183" s="260"/>
      <c r="AZ183" s="260"/>
      <c r="BA183" s="291"/>
      <c r="BB183" s="45"/>
      <c r="BC183" s="290"/>
      <c r="BD183" s="260"/>
      <c r="BE183" s="260"/>
      <c r="BF183" s="291"/>
      <c r="BG183" s="45"/>
      <c r="BH183" s="290"/>
      <c r="BI183" s="260"/>
      <c r="BJ183" s="260"/>
      <c r="BK183" s="291"/>
      <c r="BL183" s="45"/>
      <c r="BM183" s="1716"/>
      <c r="BN183" s="1716"/>
      <c r="BO183" s="1716"/>
      <c r="BP183" s="1716"/>
      <c r="BQ183" s="1716"/>
      <c r="BR183" s="1716"/>
      <c r="BS183" s="1716"/>
      <c r="BT183" s="1716"/>
      <c r="BU183" s="1716"/>
      <c r="BV183" s="1716"/>
      <c r="BW183" s="1716"/>
      <c r="BX183" s="1716"/>
      <c r="BY183" s="1716"/>
      <c r="BZ183" s="1716"/>
      <c r="CA183" s="1716"/>
      <c r="CB183" s="1716"/>
      <c r="CC183" s="1716"/>
      <c r="CD183" s="1716"/>
      <c r="CE183" s="1716"/>
      <c r="CF183" s="1716"/>
      <c r="CG183" s="1716"/>
      <c r="CH183" s="1716"/>
      <c r="CI183" s="1716"/>
      <c r="CJ183" s="1716"/>
      <c r="CK183" s="1716"/>
      <c r="CL183" s="1716"/>
      <c r="CM183" s="1716"/>
      <c r="CN183" s="1716"/>
      <c r="CO183" s="1716"/>
      <c r="CP183" s="1716"/>
    </row>
    <row r="184" spans="1:94">
      <c r="A184" s="1716"/>
      <c r="B184" s="1716"/>
      <c r="C184" s="1716" t="s">
        <v>962</v>
      </c>
      <c r="D184" s="1716"/>
      <c r="E184" s="1717"/>
      <c r="F184" s="1718"/>
      <c r="G184" s="1718"/>
      <c r="H184" s="1719"/>
      <c r="I184" s="1716"/>
      <c r="J184" s="1717"/>
      <c r="K184" s="1718"/>
      <c r="L184" s="1718"/>
      <c r="M184" s="1719"/>
      <c r="N184" s="1716"/>
      <c r="O184" s="1717"/>
      <c r="P184" s="1718"/>
      <c r="Q184" s="1718"/>
      <c r="R184" s="1719"/>
      <c r="S184" s="1716"/>
      <c r="T184" s="337">
        <v>208</v>
      </c>
      <c r="U184" s="338">
        <v>64</v>
      </c>
      <c r="V184" s="338">
        <v>117</v>
      </c>
      <c r="W184" s="1684">
        <v>138</v>
      </c>
      <c r="X184" s="647">
        <f>W184</f>
        <v>138</v>
      </c>
      <c r="Y184" s="337">
        <v>119</v>
      </c>
      <c r="Z184" s="338">
        <v>180</v>
      </c>
      <c r="AA184" s="338">
        <v>99</v>
      </c>
      <c r="AB184" s="1684">
        <v>127</v>
      </c>
      <c r="AC184" s="647">
        <f>AB184</f>
        <v>127</v>
      </c>
      <c r="AD184" s="337">
        <v>143</v>
      </c>
      <c r="AE184" s="338">
        <v>218</v>
      </c>
      <c r="AF184" s="338">
        <v>225</v>
      </c>
      <c r="AG184" s="1684">
        <v>5</v>
      </c>
      <c r="AH184" s="647">
        <f>AG184</f>
        <v>5</v>
      </c>
      <c r="AI184" s="337">
        <v>0</v>
      </c>
      <c r="AJ184" s="338">
        <v>0</v>
      </c>
      <c r="AK184" s="338">
        <v>0</v>
      </c>
      <c r="AL184" s="1684">
        <v>0</v>
      </c>
      <c r="AM184" s="647">
        <f>AL184</f>
        <v>0</v>
      </c>
      <c r="AN184" s="337">
        <v>0</v>
      </c>
      <c r="AO184" s="338">
        <v>42</v>
      </c>
      <c r="AP184" s="338">
        <v>65</v>
      </c>
      <c r="AQ184" s="1684">
        <v>108</v>
      </c>
      <c r="AR184" s="647">
        <f>AQ184</f>
        <v>108</v>
      </c>
      <c r="AS184" s="290">
        <f ca="1">AS210</f>
        <v>134.25393878282057</v>
      </c>
      <c r="AT184" s="260">
        <f ca="1">AT210</f>
        <v>160.47006260504889</v>
      </c>
      <c r="AU184" s="260">
        <f ca="1">AU210</f>
        <v>0</v>
      </c>
      <c r="AV184" s="291">
        <f ca="1">AV210</f>
        <v>0</v>
      </c>
      <c r="AW184" s="45">
        <f ca="1">AV184</f>
        <v>0</v>
      </c>
      <c r="AX184" s="290">
        <f ca="1">AX210</f>
        <v>30.124085002674704</v>
      </c>
      <c r="AY184" s="260">
        <f ca="1">AY210</f>
        <v>63.995662269245031</v>
      </c>
      <c r="AZ184" s="260">
        <f ca="1">AZ210</f>
        <v>0</v>
      </c>
      <c r="BA184" s="291">
        <f ca="1">BA210</f>
        <v>1.3475485892794694</v>
      </c>
      <c r="BB184" s="45">
        <f ca="1">BA184</f>
        <v>1.3475485892794694</v>
      </c>
      <c r="BC184" s="290">
        <f ca="1">BC210</f>
        <v>32.643759478023924</v>
      </c>
      <c r="BD184" s="260">
        <f ca="1">BD210</f>
        <v>61.606209474995715</v>
      </c>
      <c r="BE184" s="260">
        <f ca="1">BE210</f>
        <v>0</v>
      </c>
      <c r="BF184" s="291">
        <f ca="1">BF210</f>
        <v>0.99358191664928341</v>
      </c>
      <c r="BG184" s="45">
        <f ca="1">BF184</f>
        <v>0.99358191664928341</v>
      </c>
      <c r="BH184" s="290">
        <f ca="1">BH210</f>
        <v>21.606656124512753</v>
      </c>
      <c r="BI184" s="260">
        <f ca="1">BI210</f>
        <v>39.670359200671896</v>
      </c>
      <c r="BJ184" s="260">
        <f ca="1">BJ210</f>
        <v>0</v>
      </c>
      <c r="BK184" s="291">
        <f ca="1">BK210</f>
        <v>5.6843418860808015E-14</v>
      </c>
      <c r="BL184" s="45">
        <f ca="1">BK184</f>
        <v>5.6843418860808015E-14</v>
      </c>
      <c r="BM184" s="1716"/>
      <c r="BN184" s="1716"/>
      <c r="BO184" s="1716"/>
      <c r="BP184" s="1716"/>
      <c r="BQ184" s="1716"/>
      <c r="BR184" s="1716"/>
      <c r="BS184" s="1716"/>
      <c r="BT184" s="1716"/>
      <c r="BU184" s="1716"/>
      <c r="BV184" s="1716"/>
      <c r="BW184" s="1716"/>
      <c r="BX184" s="1716"/>
      <c r="BY184" s="1716"/>
      <c r="BZ184" s="1716"/>
      <c r="CA184" s="1716"/>
      <c r="CB184" s="1716"/>
      <c r="CC184" s="1716"/>
      <c r="CD184" s="1716"/>
      <c r="CE184" s="1716"/>
      <c r="CF184" s="1716"/>
      <c r="CG184" s="1716"/>
      <c r="CH184" s="1716"/>
      <c r="CI184" s="1716"/>
      <c r="CJ184" s="1716"/>
      <c r="CK184" s="1716"/>
      <c r="CL184" s="1716"/>
      <c r="CM184" s="1716"/>
      <c r="CN184" s="1716"/>
      <c r="CO184" s="1716"/>
      <c r="CP184" s="1716"/>
    </row>
    <row r="185" spans="1:94">
      <c r="A185" s="1716"/>
      <c r="B185" s="1716"/>
      <c r="C185" s="1716" t="s">
        <v>963</v>
      </c>
      <c r="D185" s="1716"/>
      <c r="E185" s="1717"/>
      <c r="F185" s="1718"/>
      <c r="G185" s="1718"/>
      <c r="H185" s="1719"/>
      <c r="I185" s="1716"/>
      <c r="J185" s="1717"/>
      <c r="K185" s="1718"/>
      <c r="L185" s="1718"/>
      <c r="M185" s="1719"/>
      <c r="N185" s="1716"/>
      <c r="O185" s="1717"/>
      <c r="P185" s="1718"/>
      <c r="Q185" s="1718"/>
      <c r="R185" s="1719"/>
      <c r="S185" s="1716"/>
      <c r="T185" s="337">
        <v>108</v>
      </c>
      <c r="U185" s="338">
        <v>109</v>
      </c>
      <c r="V185" s="338">
        <v>48</v>
      </c>
      <c r="W185" s="1684">
        <v>148</v>
      </c>
      <c r="X185" s="647">
        <f>W185</f>
        <v>148</v>
      </c>
      <c r="Y185" s="337">
        <v>149</v>
      </c>
      <c r="Z185" s="338">
        <v>149</v>
      </c>
      <c r="AA185" s="338">
        <v>58</v>
      </c>
      <c r="AB185" s="1684">
        <v>59</v>
      </c>
      <c r="AC185" s="647">
        <f>AB185</f>
        <v>59</v>
      </c>
      <c r="AD185" s="337">
        <v>59</v>
      </c>
      <c r="AE185" s="338">
        <v>60</v>
      </c>
      <c r="AF185" s="338">
        <v>48</v>
      </c>
      <c r="AG185" s="1684">
        <v>48</v>
      </c>
      <c r="AH185" s="647">
        <f>AG185</f>
        <v>48</v>
      </c>
      <c r="AI185" s="337">
        <v>47</v>
      </c>
      <c r="AJ185" s="338">
        <v>44</v>
      </c>
      <c r="AK185" s="338">
        <v>38</v>
      </c>
      <c r="AL185" s="1684">
        <v>35</v>
      </c>
      <c r="AM185" s="647">
        <f>AL185</f>
        <v>35</v>
      </c>
      <c r="AN185" s="337">
        <v>33</v>
      </c>
      <c r="AO185" s="338">
        <v>33</v>
      </c>
      <c r="AP185" s="338">
        <v>32</v>
      </c>
      <c r="AQ185" s="1684">
        <v>281</v>
      </c>
      <c r="AR185" s="647">
        <f>AQ185</f>
        <v>281</v>
      </c>
      <c r="AS185" s="290">
        <f>-SUM(AT127:AV127)</f>
        <v>281</v>
      </c>
      <c r="AT185" s="260">
        <f>-SUM(AU127:AV127)</f>
        <v>281</v>
      </c>
      <c r="AU185" s="260">
        <f>-AV127</f>
        <v>0</v>
      </c>
      <c r="AV185" s="291">
        <f>-AV127</f>
        <v>0</v>
      </c>
      <c r="AW185" s="45">
        <f>AV185</f>
        <v>0</v>
      </c>
      <c r="AX185" s="290">
        <f>-SUM(AY127:BA127)</f>
        <v>18</v>
      </c>
      <c r="AY185" s="260">
        <f>-SUM(AZ127:BA127)</f>
        <v>18</v>
      </c>
      <c r="AZ185" s="260">
        <f>-BA127</f>
        <v>0</v>
      </c>
      <c r="BA185" s="291">
        <f>-BA127</f>
        <v>0</v>
      </c>
      <c r="BB185" s="45">
        <f>BA185</f>
        <v>0</v>
      </c>
      <c r="BC185" s="290">
        <f>-SUM(BD127:BF127)</f>
        <v>20</v>
      </c>
      <c r="BD185" s="260">
        <f>-SUM(BE127:BF127)</f>
        <v>20</v>
      </c>
      <c r="BE185" s="260">
        <f>-BF127</f>
        <v>0</v>
      </c>
      <c r="BF185" s="291">
        <f>-BF127</f>
        <v>0</v>
      </c>
      <c r="BG185" s="45">
        <f>BF185</f>
        <v>0</v>
      </c>
      <c r="BH185" s="290">
        <f>-SUM(BI127:BK127)</f>
        <v>238.86500000000001</v>
      </c>
      <c r="BI185" s="260">
        <f>-SUM(BJ127:BK127)</f>
        <v>238.86500000000001</v>
      </c>
      <c r="BJ185" s="260">
        <f>-BK127</f>
        <v>0</v>
      </c>
      <c r="BK185" s="291">
        <f>-BK127</f>
        <v>0</v>
      </c>
      <c r="BL185" s="45">
        <f>BK185</f>
        <v>0</v>
      </c>
      <c r="BM185" s="1716"/>
      <c r="BN185" s="1716"/>
      <c r="BO185" s="1716"/>
      <c r="BP185" s="1716"/>
      <c r="BQ185" s="1716"/>
      <c r="BR185" s="1716"/>
      <c r="BS185" s="1716"/>
      <c r="BT185" s="1716"/>
      <c r="BU185" s="1716"/>
      <c r="BV185" s="1716"/>
      <c r="BW185" s="1716"/>
      <c r="BX185" s="1716"/>
      <c r="BY185" s="1716"/>
      <c r="BZ185" s="1716"/>
      <c r="CA185" s="1716"/>
      <c r="CB185" s="1716"/>
      <c r="CC185" s="1716"/>
      <c r="CD185" s="1716"/>
      <c r="CE185" s="1716"/>
      <c r="CF185" s="1716"/>
      <c r="CG185" s="1716"/>
      <c r="CH185" s="1716"/>
      <c r="CI185" s="1716"/>
      <c r="CJ185" s="1716"/>
      <c r="CK185" s="1716"/>
      <c r="CL185" s="1716"/>
      <c r="CM185" s="1716"/>
      <c r="CN185" s="1716"/>
      <c r="CO185" s="1716"/>
      <c r="CP185" s="1716"/>
    </row>
    <row r="186" spans="1:94">
      <c r="A186" s="1716"/>
      <c r="B186" s="1716"/>
      <c r="C186" s="1716" t="s">
        <v>677</v>
      </c>
      <c r="D186" s="1716"/>
      <c r="E186" s="1717"/>
      <c r="F186" s="1718"/>
      <c r="G186" s="1718"/>
      <c r="H186" s="1719"/>
      <c r="I186" s="1716"/>
      <c r="J186" s="1717"/>
      <c r="K186" s="1718"/>
      <c r="L186" s="1718"/>
      <c r="M186" s="1719"/>
      <c r="N186" s="1716"/>
      <c r="O186" s="1717"/>
      <c r="P186" s="1718"/>
      <c r="Q186" s="1718"/>
      <c r="R186" s="1719"/>
      <c r="S186" s="1716"/>
      <c r="T186" s="337">
        <v>122</v>
      </c>
      <c r="U186" s="338">
        <v>152</v>
      </c>
      <c r="V186" s="338">
        <v>129</v>
      </c>
      <c r="W186" s="1684">
        <f>105+21</f>
        <v>126</v>
      </c>
      <c r="X186" s="647">
        <f>W186</f>
        <v>126</v>
      </c>
      <c r="Y186" s="337">
        <f>24+107</f>
        <v>131</v>
      </c>
      <c r="Z186" s="338">
        <f>107+21</f>
        <v>128</v>
      </c>
      <c r="AA186" s="338">
        <f>25+103</f>
        <v>128</v>
      </c>
      <c r="AB186" s="1684">
        <f>20+103</f>
        <v>123</v>
      </c>
      <c r="AC186" s="647">
        <f>AB186</f>
        <v>123</v>
      </c>
      <c r="AD186" s="337">
        <f>28+109</f>
        <v>137</v>
      </c>
      <c r="AE186" s="338">
        <f>24+136</f>
        <v>160</v>
      </c>
      <c r="AF186" s="338">
        <f>30+125</f>
        <v>155</v>
      </c>
      <c r="AG186" s="1684">
        <f>25+106</f>
        <v>131</v>
      </c>
      <c r="AH186" s="647">
        <f>AG186</f>
        <v>131</v>
      </c>
      <c r="AI186" s="337">
        <f>101+77</f>
        <v>178</v>
      </c>
      <c r="AJ186" s="338">
        <f>107+86</f>
        <v>193</v>
      </c>
      <c r="AK186" s="338">
        <f>110+72</f>
        <v>182</v>
      </c>
      <c r="AL186" s="1684">
        <f>132+38</f>
        <v>170</v>
      </c>
      <c r="AM186" s="647">
        <f>AL186</f>
        <v>170</v>
      </c>
      <c r="AN186" s="337">
        <f>125+50</f>
        <v>175</v>
      </c>
      <c r="AO186" s="338">
        <f>122+56</f>
        <v>178</v>
      </c>
      <c r="AP186" s="338">
        <f>122+39</f>
        <v>161</v>
      </c>
      <c r="AQ186" s="1684">
        <f>118+33</f>
        <v>151</v>
      </c>
      <c r="AR186" s="647">
        <f>AQ186</f>
        <v>151</v>
      </c>
      <c r="AS186" s="290">
        <f t="shared" ref="AS186:AW187" si="500">AR186</f>
        <v>151</v>
      </c>
      <c r="AT186" s="260">
        <f t="shared" si="500"/>
        <v>151</v>
      </c>
      <c r="AU186" s="260">
        <f t="shared" si="500"/>
        <v>151</v>
      </c>
      <c r="AV186" s="291">
        <f t="shared" si="500"/>
        <v>151</v>
      </c>
      <c r="AW186" s="45">
        <f t="shared" si="500"/>
        <v>151</v>
      </c>
      <c r="AX186" s="290">
        <f t="shared" ref="AX186:AX187" si="501">AW186</f>
        <v>151</v>
      </c>
      <c r="AY186" s="260">
        <f t="shared" ref="AY186:AY187" si="502">AX186</f>
        <v>151</v>
      </c>
      <c r="AZ186" s="260">
        <f t="shared" ref="AZ186:AZ187" si="503">AY186</f>
        <v>151</v>
      </c>
      <c r="BA186" s="291">
        <f t="shared" ref="BA186:BA187" si="504">AZ186</f>
        <v>151</v>
      </c>
      <c r="BB186" s="45">
        <f t="shared" ref="BB186:BB187" si="505">BA186</f>
        <v>151</v>
      </c>
      <c r="BC186" s="290">
        <f t="shared" ref="BC186:BC187" si="506">BB186</f>
        <v>151</v>
      </c>
      <c r="BD186" s="260">
        <f t="shared" ref="BD186:BD187" si="507">BC186</f>
        <v>151</v>
      </c>
      <c r="BE186" s="260">
        <f t="shared" ref="BE186:BE187" si="508">BD186</f>
        <v>151</v>
      </c>
      <c r="BF186" s="291">
        <f t="shared" ref="BF186:BF187" si="509">BE186</f>
        <v>151</v>
      </c>
      <c r="BG186" s="45">
        <f t="shared" ref="BG186:BG187" si="510">BF186</f>
        <v>151</v>
      </c>
      <c r="BH186" s="290">
        <f t="shared" ref="BH186:BH187" si="511">BG186</f>
        <v>151</v>
      </c>
      <c r="BI186" s="260">
        <f t="shared" ref="BI186:BI187" si="512">BH186</f>
        <v>151</v>
      </c>
      <c r="BJ186" s="260">
        <f t="shared" ref="BJ186:BJ187" si="513">BI186</f>
        <v>151</v>
      </c>
      <c r="BK186" s="291">
        <f t="shared" ref="BK186:BK187" si="514">BJ186</f>
        <v>151</v>
      </c>
      <c r="BL186" s="45">
        <f t="shared" ref="BL186:BL187" si="515">BK186</f>
        <v>151</v>
      </c>
      <c r="BM186" s="1716"/>
      <c r="BN186" s="1716"/>
      <c r="BO186" s="1716"/>
      <c r="BP186" s="1716"/>
      <c r="BQ186" s="1716"/>
      <c r="BR186" s="1716"/>
      <c r="BS186" s="1716"/>
      <c r="BT186" s="1716"/>
      <c r="BU186" s="1716"/>
      <c r="BV186" s="1716"/>
      <c r="BW186" s="1716"/>
      <c r="BX186" s="1716"/>
      <c r="BY186" s="1716"/>
      <c r="BZ186" s="1716"/>
      <c r="CA186" s="1716"/>
      <c r="CB186" s="1716"/>
      <c r="CC186" s="1716"/>
      <c r="CD186" s="1716"/>
      <c r="CE186" s="1716"/>
      <c r="CF186" s="1716"/>
      <c r="CG186" s="1716"/>
      <c r="CH186" s="1716"/>
      <c r="CI186" s="1716"/>
      <c r="CJ186" s="1716"/>
      <c r="CK186" s="1716"/>
      <c r="CL186" s="1716"/>
      <c r="CM186" s="1716"/>
      <c r="CN186" s="1716"/>
      <c r="CO186" s="1716"/>
      <c r="CP186" s="1716"/>
    </row>
    <row r="187" spans="1:94">
      <c r="A187" s="1716"/>
      <c r="B187" s="1716"/>
      <c r="C187" s="1716" t="s">
        <v>62</v>
      </c>
      <c r="D187" s="1716"/>
      <c r="E187" s="1717"/>
      <c r="F187" s="1718"/>
      <c r="G187" s="1718"/>
      <c r="H187" s="1719"/>
      <c r="I187" s="1716"/>
      <c r="J187" s="1717"/>
      <c r="K187" s="1718"/>
      <c r="L187" s="1718"/>
      <c r="M187" s="1719"/>
      <c r="N187" s="1716"/>
      <c r="O187" s="1717"/>
      <c r="P187" s="1718"/>
      <c r="Q187" s="1718"/>
      <c r="R187" s="1719"/>
      <c r="S187" s="1716"/>
      <c r="T187" s="337">
        <f>44+20+20+17</f>
        <v>101</v>
      </c>
      <c r="U187" s="338">
        <f>17+25+14+17+13</f>
        <v>86</v>
      </c>
      <c r="V187" s="338">
        <f>12+11+19+25+20</f>
        <v>87</v>
      </c>
      <c r="W187" s="1684">
        <f>15+12+13+22+23</f>
        <v>85</v>
      </c>
      <c r="X187" s="647">
        <f>W187</f>
        <v>85</v>
      </c>
      <c r="Y187" s="337">
        <f>13+18+19+20+27</f>
        <v>97</v>
      </c>
      <c r="Z187" s="338">
        <f>14+16+12+20+26</f>
        <v>88</v>
      </c>
      <c r="AA187" s="338">
        <f>13+12+19+20+43</f>
        <v>107</v>
      </c>
      <c r="AB187" s="1684">
        <f>15+1+13+21+22</f>
        <v>72</v>
      </c>
      <c r="AC187" s="647">
        <f>AB187</f>
        <v>72</v>
      </c>
      <c r="AD187" s="337">
        <f>17+8+19+22+22</f>
        <v>88</v>
      </c>
      <c r="AE187" s="338">
        <f>15+9+13+22+20</f>
        <v>79</v>
      </c>
      <c r="AF187" s="338">
        <f>15+11+18+24+20</f>
        <v>88</v>
      </c>
      <c r="AG187" s="1684">
        <f>16+22+13+30+21</f>
        <v>102</v>
      </c>
      <c r="AH187" s="647">
        <f>AG187</f>
        <v>102</v>
      </c>
      <c r="AI187" s="337">
        <f>36+35+22+110+16</f>
        <v>219</v>
      </c>
      <c r="AJ187" s="338">
        <f>25+37+21+48+7</f>
        <v>138</v>
      </c>
      <c r="AK187" s="338">
        <f>27+35+35+14+7</f>
        <v>118</v>
      </c>
      <c r="AL187" s="1684">
        <f>29+33+25+20+8</f>
        <v>115</v>
      </c>
      <c r="AM187" s="647">
        <f>AL187</f>
        <v>115</v>
      </c>
      <c r="AN187" s="337">
        <f>24+32+25+22+9</f>
        <v>112</v>
      </c>
      <c r="AO187" s="338">
        <f>23+31+20+21+8</f>
        <v>103</v>
      </c>
      <c r="AP187" s="338">
        <f>24+31+18+8+6</f>
        <v>87</v>
      </c>
      <c r="AQ187" s="1684">
        <f>29+31+11+8</f>
        <v>79</v>
      </c>
      <c r="AR187" s="647">
        <f>AQ187</f>
        <v>79</v>
      </c>
      <c r="AS187" s="290">
        <f t="shared" si="500"/>
        <v>79</v>
      </c>
      <c r="AT187" s="260">
        <f t="shared" si="500"/>
        <v>79</v>
      </c>
      <c r="AU187" s="260">
        <f t="shared" si="500"/>
        <v>79</v>
      </c>
      <c r="AV187" s="291">
        <f t="shared" si="500"/>
        <v>79</v>
      </c>
      <c r="AW187" s="45">
        <f t="shared" si="500"/>
        <v>79</v>
      </c>
      <c r="AX187" s="290">
        <f t="shared" si="501"/>
        <v>79</v>
      </c>
      <c r="AY187" s="260">
        <f t="shared" si="502"/>
        <v>79</v>
      </c>
      <c r="AZ187" s="260">
        <f t="shared" si="503"/>
        <v>79</v>
      </c>
      <c r="BA187" s="291">
        <f t="shared" si="504"/>
        <v>79</v>
      </c>
      <c r="BB187" s="45">
        <f t="shared" si="505"/>
        <v>79</v>
      </c>
      <c r="BC187" s="290">
        <f t="shared" si="506"/>
        <v>79</v>
      </c>
      <c r="BD187" s="260">
        <f t="shared" si="507"/>
        <v>79</v>
      </c>
      <c r="BE187" s="260">
        <f t="shared" si="508"/>
        <v>79</v>
      </c>
      <c r="BF187" s="291">
        <f t="shared" si="509"/>
        <v>79</v>
      </c>
      <c r="BG187" s="45">
        <f t="shared" si="510"/>
        <v>79</v>
      </c>
      <c r="BH187" s="290">
        <f t="shared" si="511"/>
        <v>79</v>
      </c>
      <c r="BI187" s="260">
        <f t="shared" si="512"/>
        <v>79</v>
      </c>
      <c r="BJ187" s="260">
        <f t="shared" si="513"/>
        <v>79</v>
      </c>
      <c r="BK187" s="291">
        <f t="shared" si="514"/>
        <v>79</v>
      </c>
      <c r="BL187" s="45">
        <f t="shared" si="515"/>
        <v>79</v>
      </c>
      <c r="BM187" s="1716"/>
      <c r="BN187" s="1716"/>
      <c r="BO187" s="1716"/>
      <c r="BP187" s="1716"/>
      <c r="BQ187" s="1716"/>
      <c r="BR187" s="1716"/>
      <c r="BS187" s="1716"/>
      <c r="BT187" s="1716"/>
      <c r="BU187" s="1716"/>
      <c r="BV187" s="1716"/>
      <c r="BW187" s="1716"/>
      <c r="BX187" s="1716"/>
      <c r="BY187" s="1716"/>
      <c r="BZ187" s="1716"/>
      <c r="CA187" s="1716"/>
      <c r="CB187" s="1716"/>
      <c r="CC187" s="1716"/>
      <c r="CD187" s="1716"/>
      <c r="CE187" s="1716"/>
      <c r="CF187" s="1716"/>
      <c r="CG187" s="1716"/>
      <c r="CH187" s="1716"/>
      <c r="CI187" s="1716"/>
      <c r="CJ187" s="1716"/>
      <c r="CK187" s="1716"/>
      <c r="CL187" s="1716"/>
      <c r="CM187" s="1716"/>
      <c r="CN187" s="1716"/>
      <c r="CO187" s="1716"/>
      <c r="CP187" s="1716"/>
    </row>
    <row r="188" spans="1:94" s="1909" customFormat="1">
      <c r="A188" s="1756"/>
      <c r="B188" s="1756"/>
      <c r="C188" s="1756" t="s">
        <v>187</v>
      </c>
      <c r="D188" s="1756"/>
      <c r="E188" s="1906"/>
      <c r="F188" s="1907"/>
      <c r="G188" s="1907"/>
      <c r="H188" s="1908"/>
      <c r="I188" s="1756"/>
      <c r="J188" s="1906"/>
      <c r="K188" s="1907"/>
      <c r="L188" s="1907"/>
      <c r="M188" s="1908"/>
      <c r="N188" s="1756"/>
      <c r="O188" s="1906"/>
      <c r="P188" s="1907"/>
      <c r="Q188" s="1907"/>
      <c r="R188" s="1908"/>
      <c r="S188" s="1756"/>
      <c r="T188" s="292">
        <f t="shared" ref="T188:AW188" si="516">SUM(T184:T187)</f>
        <v>539</v>
      </c>
      <c r="U188" s="261">
        <f t="shared" si="516"/>
        <v>411</v>
      </c>
      <c r="V188" s="261">
        <f t="shared" si="516"/>
        <v>381</v>
      </c>
      <c r="W188" s="293">
        <f t="shared" si="516"/>
        <v>497</v>
      </c>
      <c r="X188" s="583">
        <f t="shared" si="516"/>
        <v>497</v>
      </c>
      <c r="Y188" s="292">
        <f t="shared" si="516"/>
        <v>496</v>
      </c>
      <c r="Z188" s="261">
        <f t="shared" si="516"/>
        <v>545</v>
      </c>
      <c r="AA188" s="261">
        <f t="shared" ref="AA188" si="517">SUM(AA184:AA187)</f>
        <v>392</v>
      </c>
      <c r="AB188" s="293">
        <f t="shared" ref="AB188:AC188" si="518">SUM(AB184:AB187)</f>
        <v>381</v>
      </c>
      <c r="AC188" s="583">
        <f t="shared" si="518"/>
        <v>381</v>
      </c>
      <c r="AD188" s="292">
        <f t="shared" ref="AD188:AE188" si="519">SUM(AD184:AD187)</f>
        <v>427</v>
      </c>
      <c r="AE188" s="261">
        <f t="shared" si="519"/>
        <v>517</v>
      </c>
      <c r="AF188" s="261">
        <f t="shared" ref="AF188:AI188" si="520">SUM(AF184:AF187)</f>
        <v>516</v>
      </c>
      <c r="AG188" s="293">
        <f t="shared" si="520"/>
        <v>286</v>
      </c>
      <c r="AH188" s="583">
        <f t="shared" si="520"/>
        <v>286</v>
      </c>
      <c r="AI188" s="292">
        <f t="shared" si="520"/>
        <v>444</v>
      </c>
      <c r="AJ188" s="261">
        <f t="shared" ref="AJ188:AM188" si="521">SUM(AJ184:AJ187)</f>
        <v>375</v>
      </c>
      <c r="AK188" s="261">
        <f t="shared" si="521"/>
        <v>338</v>
      </c>
      <c r="AL188" s="293">
        <f t="shared" si="521"/>
        <v>320</v>
      </c>
      <c r="AM188" s="583">
        <f t="shared" si="521"/>
        <v>320</v>
      </c>
      <c r="AN188" s="292">
        <f t="shared" ref="AN188:AO188" si="522">SUM(AN184:AN187)</f>
        <v>320</v>
      </c>
      <c r="AO188" s="261">
        <f t="shared" si="522"/>
        <v>356</v>
      </c>
      <c r="AP188" s="261">
        <f t="shared" si="516"/>
        <v>345</v>
      </c>
      <c r="AQ188" s="293">
        <f t="shared" ref="AQ188:AR188" si="523">SUM(AQ184:AQ187)</f>
        <v>619</v>
      </c>
      <c r="AR188" s="583">
        <f t="shared" si="523"/>
        <v>619</v>
      </c>
      <c r="AS188" s="286">
        <f t="shared" ca="1" si="516"/>
        <v>645.25393878282057</v>
      </c>
      <c r="AT188" s="258">
        <f t="shared" ca="1" si="516"/>
        <v>671.47006260504895</v>
      </c>
      <c r="AU188" s="258">
        <f t="shared" ca="1" si="516"/>
        <v>230</v>
      </c>
      <c r="AV188" s="287">
        <f t="shared" ca="1" si="516"/>
        <v>230</v>
      </c>
      <c r="AW188" s="341">
        <f t="shared" ca="1" si="516"/>
        <v>230</v>
      </c>
      <c r="AX188" s="286">
        <f t="shared" ref="AX188:BG188" ca="1" si="524">SUM(AX184:AX187)</f>
        <v>278.12408500267469</v>
      </c>
      <c r="AY188" s="258">
        <f t="shared" ca="1" si="524"/>
        <v>311.99566226924503</v>
      </c>
      <c r="AZ188" s="258">
        <f t="shared" ca="1" si="524"/>
        <v>230</v>
      </c>
      <c r="BA188" s="287">
        <f t="shared" ca="1" si="524"/>
        <v>231.34754858927948</v>
      </c>
      <c r="BB188" s="341">
        <f t="shared" ca="1" si="524"/>
        <v>231.34754858927948</v>
      </c>
      <c r="BC188" s="286">
        <f t="shared" ca="1" si="524"/>
        <v>282.64375947802392</v>
      </c>
      <c r="BD188" s="258">
        <f t="shared" ca="1" si="524"/>
        <v>311.60620947499569</v>
      </c>
      <c r="BE188" s="258">
        <f t="shared" ca="1" si="524"/>
        <v>230</v>
      </c>
      <c r="BF188" s="287">
        <f t="shared" ca="1" si="524"/>
        <v>230.99358191664928</v>
      </c>
      <c r="BG188" s="341">
        <f t="shared" ca="1" si="524"/>
        <v>230.99358191664928</v>
      </c>
      <c r="BH188" s="286">
        <f t="shared" ref="BH188:BL188" ca="1" si="525">SUM(BH184:BH187)</f>
        <v>490.47165612451278</v>
      </c>
      <c r="BI188" s="258">
        <f t="shared" ca="1" si="525"/>
        <v>508.53535920067191</v>
      </c>
      <c r="BJ188" s="258">
        <f t="shared" ca="1" si="525"/>
        <v>230</v>
      </c>
      <c r="BK188" s="287">
        <f t="shared" ca="1" si="525"/>
        <v>230.00000000000006</v>
      </c>
      <c r="BL188" s="341">
        <f t="shared" ca="1" si="525"/>
        <v>230.00000000000006</v>
      </c>
      <c r="BM188" s="1756"/>
      <c r="BN188" s="1756"/>
      <c r="BO188" s="1756"/>
      <c r="BP188" s="1756"/>
      <c r="BQ188" s="1756"/>
      <c r="BR188" s="1756"/>
      <c r="BS188" s="1756"/>
      <c r="BT188" s="1756"/>
      <c r="BU188" s="1756"/>
      <c r="BV188" s="1756"/>
      <c r="BW188" s="1756"/>
      <c r="BX188" s="1756"/>
      <c r="BY188" s="1756"/>
      <c r="BZ188" s="1756"/>
      <c r="CA188" s="1756"/>
      <c r="CB188" s="1756"/>
      <c r="CC188" s="1756"/>
      <c r="CD188" s="1756"/>
      <c r="CE188" s="1756"/>
      <c r="CF188" s="1756"/>
      <c r="CG188" s="1756"/>
      <c r="CH188" s="1756"/>
      <c r="CI188" s="1756"/>
      <c r="CJ188" s="1756"/>
      <c r="CK188" s="1756"/>
      <c r="CL188" s="1756"/>
      <c r="CM188" s="1756"/>
      <c r="CN188" s="1756"/>
      <c r="CO188" s="1756"/>
      <c r="CP188" s="1756"/>
    </row>
    <row r="189" spans="1:94">
      <c r="A189" s="1716"/>
      <c r="B189" s="1716"/>
      <c r="C189" s="1716"/>
      <c r="D189" s="1716"/>
      <c r="E189" s="1717"/>
      <c r="F189" s="1718"/>
      <c r="G189" s="1718"/>
      <c r="H189" s="1719"/>
      <c r="I189" s="1716"/>
      <c r="J189" s="1717"/>
      <c r="K189" s="1718"/>
      <c r="L189" s="1718"/>
      <c r="M189" s="1719"/>
      <c r="N189" s="1716"/>
      <c r="O189" s="1717"/>
      <c r="P189" s="1718"/>
      <c r="Q189" s="1718"/>
      <c r="R189" s="1719"/>
      <c r="S189" s="1716"/>
      <c r="T189" s="337"/>
      <c r="U189" s="338"/>
      <c r="V189" s="338"/>
      <c r="W189" s="1684"/>
      <c r="X189" s="647"/>
      <c r="Y189" s="337"/>
      <c r="Z189" s="338"/>
      <c r="AA189" s="338"/>
      <c r="AB189" s="1684"/>
      <c r="AC189" s="647"/>
      <c r="AD189" s="337"/>
      <c r="AE189" s="338"/>
      <c r="AF189" s="338"/>
      <c r="AG189" s="1684"/>
      <c r="AH189" s="647"/>
      <c r="AI189" s="337"/>
      <c r="AJ189" s="338"/>
      <c r="AK189" s="338"/>
      <c r="AL189" s="1684"/>
      <c r="AM189" s="647"/>
      <c r="AN189" s="337"/>
      <c r="AO189" s="338"/>
      <c r="AP189" s="353"/>
      <c r="AQ189" s="1684"/>
      <c r="AR189" s="647"/>
      <c r="AS189" s="369"/>
      <c r="AT189" s="353"/>
      <c r="AU189" s="353"/>
      <c r="AV189" s="354"/>
      <c r="AW189" s="340"/>
      <c r="AX189" s="369"/>
      <c r="AY189" s="353"/>
      <c r="AZ189" s="353"/>
      <c r="BA189" s="354"/>
      <c r="BB189" s="340"/>
      <c r="BC189" s="369"/>
      <c r="BD189" s="353"/>
      <c r="BE189" s="353"/>
      <c r="BF189" s="354"/>
      <c r="BG189" s="340"/>
      <c r="BH189" s="369"/>
      <c r="BI189" s="353"/>
      <c r="BJ189" s="353"/>
      <c r="BK189" s="354"/>
      <c r="BL189" s="340"/>
      <c r="BM189" s="1716"/>
      <c r="BN189" s="1716"/>
      <c r="BO189" s="1716"/>
      <c r="BP189" s="1716"/>
      <c r="BQ189" s="1716"/>
      <c r="BR189" s="1716"/>
      <c r="BS189" s="1716"/>
      <c r="BT189" s="1716"/>
      <c r="BU189" s="1716"/>
      <c r="BV189" s="1716"/>
      <c r="BW189" s="1716"/>
      <c r="BX189" s="1716"/>
      <c r="BY189" s="1716"/>
      <c r="BZ189" s="1716"/>
      <c r="CA189" s="1716"/>
      <c r="CB189" s="1716"/>
      <c r="CC189" s="1716"/>
      <c r="CD189" s="1716"/>
      <c r="CE189" s="1716"/>
      <c r="CF189" s="1716"/>
      <c r="CG189" s="1716"/>
      <c r="CH189" s="1716"/>
      <c r="CI189" s="1716"/>
      <c r="CJ189" s="1716"/>
      <c r="CK189" s="1716"/>
      <c r="CL189" s="1716"/>
      <c r="CM189" s="1716"/>
      <c r="CN189" s="1716"/>
      <c r="CO189" s="1716"/>
      <c r="CP189" s="1716"/>
    </row>
    <row r="190" spans="1:94">
      <c r="A190" s="1716"/>
      <c r="B190" s="1716"/>
      <c r="C190" s="1716" t="s">
        <v>964</v>
      </c>
      <c r="D190" s="1716"/>
      <c r="E190" s="1717"/>
      <c r="F190" s="1718"/>
      <c r="G190" s="1718"/>
      <c r="H190" s="1719"/>
      <c r="I190" s="1716"/>
      <c r="J190" s="1717"/>
      <c r="K190" s="1718"/>
      <c r="L190" s="1718"/>
      <c r="M190" s="1719"/>
      <c r="N190" s="1716"/>
      <c r="O190" s="1717"/>
      <c r="P190" s="1718"/>
      <c r="Q190" s="1718"/>
      <c r="R190" s="1719"/>
      <c r="S190" s="1716"/>
      <c r="T190" s="337">
        <v>760</v>
      </c>
      <c r="U190" s="338">
        <v>860</v>
      </c>
      <c r="V190" s="338">
        <v>853</v>
      </c>
      <c r="W190" s="1684">
        <v>753</v>
      </c>
      <c r="X190" s="647">
        <f>W190</f>
        <v>753</v>
      </c>
      <c r="Y190" s="337">
        <v>753</v>
      </c>
      <c r="Z190" s="338">
        <v>753</v>
      </c>
      <c r="AA190" s="338">
        <v>888</v>
      </c>
      <c r="AB190" s="1684">
        <v>888</v>
      </c>
      <c r="AC190" s="647">
        <f>AB190</f>
        <v>888</v>
      </c>
      <c r="AD190" s="337">
        <v>888</v>
      </c>
      <c r="AE190" s="338">
        <v>888</v>
      </c>
      <c r="AF190" s="338">
        <v>886</v>
      </c>
      <c r="AG190" s="1684">
        <v>1030</v>
      </c>
      <c r="AH190" s="647">
        <f>AG190</f>
        <v>1030</v>
      </c>
      <c r="AI190" s="337">
        <v>1144</v>
      </c>
      <c r="AJ190" s="338">
        <v>1136</v>
      </c>
      <c r="AK190" s="338">
        <v>1129</v>
      </c>
      <c r="AL190" s="1684">
        <v>1120</v>
      </c>
      <c r="AM190" s="647">
        <f>AL190</f>
        <v>1120</v>
      </c>
      <c r="AN190" s="337">
        <v>1112</v>
      </c>
      <c r="AO190" s="338">
        <v>1105</v>
      </c>
      <c r="AP190" s="338">
        <v>1098</v>
      </c>
      <c r="AQ190" s="1684">
        <v>840</v>
      </c>
      <c r="AR190" s="647">
        <f>AQ190</f>
        <v>840</v>
      </c>
      <c r="AS190" s="369">
        <f>AS211-AS185-AS191</f>
        <v>840</v>
      </c>
      <c r="AT190" s="353">
        <f>AT211-AT185-AT191</f>
        <v>840</v>
      </c>
      <c r="AU190" s="353">
        <f>AU211-AU185-AU191</f>
        <v>1295</v>
      </c>
      <c r="AV190" s="354">
        <f>AV211-AV185-AV191</f>
        <v>1295</v>
      </c>
      <c r="AW190" s="340">
        <f>AV190</f>
        <v>1295</v>
      </c>
      <c r="AX190" s="369">
        <f>AX211-AX185-AX191</f>
        <v>1277</v>
      </c>
      <c r="AY190" s="353">
        <f>AY211-AY185-AY191</f>
        <v>1277</v>
      </c>
      <c r="AZ190" s="353">
        <f>AZ211-AZ185-AZ191</f>
        <v>1372</v>
      </c>
      <c r="BA190" s="354">
        <f>BA211-BA185-BA191</f>
        <v>1372</v>
      </c>
      <c r="BB190" s="340">
        <f>BA190</f>
        <v>1372</v>
      </c>
      <c r="BC190" s="369">
        <f>BC211-BC185-BC191</f>
        <v>1352</v>
      </c>
      <c r="BD190" s="353">
        <f>BD211-BD185-BD191</f>
        <v>1352</v>
      </c>
      <c r="BE190" s="353">
        <f>BE211-BE185-BE191</f>
        <v>1447</v>
      </c>
      <c r="BF190" s="354">
        <f>BF211-BF185-BF191</f>
        <v>1447</v>
      </c>
      <c r="BG190" s="340">
        <f>BF190</f>
        <v>1447</v>
      </c>
      <c r="BH190" s="369">
        <f>BH211-BH185-BH191</f>
        <v>1208.135</v>
      </c>
      <c r="BI190" s="353">
        <f>BI211-BI185-BI191</f>
        <v>1208.135</v>
      </c>
      <c r="BJ190" s="353">
        <f>BJ211-BJ185-BJ191</f>
        <v>1483.135</v>
      </c>
      <c r="BK190" s="354">
        <f>BK211-BK185-BK191</f>
        <v>1483.135</v>
      </c>
      <c r="BL190" s="340">
        <f>BK190</f>
        <v>1483.135</v>
      </c>
      <c r="BM190" s="1716"/>
      <c r="BN190" s="1716"/>
      <c r="BO190" s="1716"/>
      <c r="BP190" s="1716"/>
      <c r="BQ190" s="1716"/>
      <c r="BR190" s="1716"/>
      <c r="BS190" s="1716"/>
      <c r="BT190" s="1716"/>
      <c r="BU190" s="1716"/>
      <c r="BV190" s="1716"/>
      <c r="BW190" s="1716"/>
      <c r="BX190" s="1716"/>
      <c r="BY190" s="1716"/>
      <c r="BZ190" s="1716"/>
      <c r="CA190" s="1716"/>
      <c r="CB190" s="1716"/>
      <c r="CC190" s="1716"/>
      <c r="CD190" s="1716"/>
      <c r="CE190" s="1716"/>
      <c r="CF190" s="1716"/>
      <c r="CG190" s="1716"/>
      <c r="CH190" s="1716"/>
      <c r="CI190" s="1716"/>
      <c r="CJ190" s="1716"/>
      <c r="CK190" s="1716"/>
      <c r="CL190" s="1716"/>
      <c r="CM190" s="1716"/>
      <c r="CN190" s="1716"/>
      <c r="CO190" s="1716"/>
      <c r="CP190" s="1716"/>
    </row>
    <row r="191" spans="1:94">
      <c r="A191" s="1716"/>
      <c r="B191" s="1716"/>
      <c r="C191" s="1716" t="s">
        <v>976</v>
      </c>
      <c r="D191" s="1716"/>
      <c r="E191" s="1717"/>
      <c r="F191" s="1718"/>
      <c r="G191" s="1718"/>
      <c r="H191" s="1719"/>
      <c r="I191" s="1716"/>
      <c r="J191" s="1717"/>
      <c r="K191" s="1718"/>
      <c r="L191" s="1718"/>
      <c r="M191" s="1719"/>
      <c r="N191" s="1716"/>
      <c r="O191" s="1717"/>
      <c r="P191" s="1718"/>
      <c r="Q191" s="1718"/>
      <c r="R191" s="1719"/>
      <c r="S191" s="1716"/>
      <c r="T191" s="337">
        <v>246</v>
      </c>
      <c r="U191" s="338">
        <v>236</v>
      </c>
      <c r="V191" s="338">
        <v>226</v>
      </c>
      <c r="W191" s="1684">
        <v>214</v>
      </c>
      <c r="X191" s="647">
        <f>W191</f>
        <v>214</v>
      </c>
      <c r="Y191" s="337">
        <v>204</v>
      </c>
      <c r="Z191" s="338">
        <v>193</v>
      </c>
      <c r="AA191" s="338">
        <v>183</v>
      </c>
      <c r="AB191" s="1684">
        <v>171</v>
      </c>
      <c r="AC191" s="647">
        <f>AB191</f>
        <v>171</v>
      </c>
      <c r="AD191" s="337">
        <v>159</v>
      </c>
      <c r="AE191" s="338">
        <v>148</v>
      </c>
      <c r="AF191" s="338">
        <v>138</v>
      </c>
      <c r="AG191" s="1684">
        <v>124</v>
      </c>
      <c r="AH191" s="647">
        <f>AG191</f>
        <v>124</v>
      </c>
      <c r="AI191" s="337">
        <v>0</v>
      </c>
      <c r="AJ191" s="338">
        <v>0</v>
      </c>
      <c r="AK191" s="338">
        <v>0</v>
      </c>
      <c r="AL191" s="1684">
        <v>0</v>
      </c>
      <c r="AM191" s="647">
        <f>AL191</f>
        <v>0</v>
      </c>
      <c r="AN191" s="337">
        <v>0</v>
      </c>
      <c r="AO191" s="338">
        <v>0</v>
      </c>
      <c r="AP191" s="338">
        <v>0</v>
      </c>
      <c r="AQ191" s="1684">
        <v>0</v>
      </c>
      <c r="AR191" s="647">
        <f>AQ191</f>
        <v>0</v>
      </c>
      <c r="AS191" s="369">
        <f t="shared" ref="AS191:AW193" si="526">AR191</f>
        <v>0</v>
      </c>
      <c r="AT191" s="353">
        <f t="shared" si="526"/>
        <v>0</v>
      </c>
      <c r="AU191" s="353">
        <f t="shared" si="526"/>
        <v>0</v>
      </c>
      <c r="AV191" s="354">
        <f t="shared" si="526"/>
        <v>0</v>
      </c>
      <c r="AW191" s="340">
        <f t="shared" si="526"/>
        <v>0</v>
      </c>
      <c r="AX191" s="369">
        <f t="shared" ref="AX191:AX192" si="527">AW191</f>
        <v>0</v>
      </c>
      <c r="AY191" s="353">
        <f t="shared" ref="AY191:AY192" si="528">AX191</f>
        <v>0</v>
      </c>
      <c r="AZ191" s="353">
        <f t="shared" ref="AZ191:AZ192" si="529">AY191</f>
        <v>0</v>
      </c>
      <c r="BA191" s="354">
        <f t="shared" ref="BA191:BA192" si="530">AZ191</f>
        <v>0</v>
      </c>
      <c r="BB191" s="340">
        <f t="shared" ref="BB191:BB194" si="531">BA191</f>
        <v>0</v>
      </c>
      <c r="BC191" s="369">
        <f t="shared" ref="BC191:BC192" si="532">BB191</f>
        <v>0</v>
      </c>
      <c r="BD191" s="353">
        <f t="shared" ref="BD191:BD192" si="533">BC191</f>
        <v>0</v>
      </c>
      <c r="BE191" s="353">
        <f t="shared" ref="BE191:BE192" si="534">BD191</f>
        <v>0</v>
      </c>
      <c r="BF191" s="354">
        <f t="shared" ref="BF191:BF192" si="535">BE191</f>
        <v>0</v>
      </c>
      <c r="BG191" s="340">
        <f t="shared" ref="BG191:BG194" si="536">BF191</f>
        <v>0</v>
      </c>
      <c r="BH191" s="369">
        <f t="shared" ref="BH191:BH192" si="537">BG191</f>
        <v>0</v>
      </c>
      <c r="BI191" s="353">
        <f t="shared" ref="BI191:BI192" si="538">BH191</f>
        <v>0</v>
      </c>
      <c r="BJ191" s="353">
        <f t="shared" ref="BJ191:BJ192" si="539">BI191</f>
        <v>0</v>
      </c>
      <c r="BK191" s="354">
        <f t="shared" ref="BK191:BK192" si="540">BJ191</f>
        <v>0</v>
      </c>
      <c r="BL191" s="340">
        <f t="shared" ref="BL191:BL194" si="541">BK191</f>
        <v>0</v>
      </c>
      <c r="BM191" s="1716"/>
      <c r="BN191" s="1716"/>
      <c r="BO191" s="1716"/>
      <c r="BP191" s="1716"/>
      <c r="BQ191" s="1716"/>
      <c r="BR191" s="1716"/>
      <c r="BS191" s="1716"/>
      <c r="BT191" s="1716"/>
      <c r="BU191" s="1716"/>
      <c r="BV191" s="1716"/>
      <c r="BW191" s="1716"/>
      <c r="BX191" s="1716"/>
      <c r="BY191" s="1716"/>
      <c r="BZ191" s="1716"/>
      <c r="CA191" s="1716"/>
      <c r="CB191" s="1716"/>
      <c r="CC191" s="1716"/>
      <c r="CD191" s="1716"/>
      <c r="CE191" s="1716"/>
      <c r="CF191" s="1716"/>
      <c r="CG191" s="1716"/>
      <c r="CH191" s="1716"/>
      <c r="CI191" s="1716"/>
      <c r="CJ191" s="1716"/>
      <c r="CK191" s="1716"/>
      <c r="CL191" s="1716"/>
      <c r="CM191" s="1716"/>
      <c r="CN191" s="1716"/>
      <c r="CO191" s="1716"/>
      <c r="CP191" s="1716"/>
    </row>
    <row r="192" spans="1:94">
      <c r="A192" s="1716"/>
      <c r="B192" s="1716"/>
      <c r="C192" s="1716" t="s">
        <v>1293</v>
      </c>
      <c r="D192" s="1716"/>
      <c r="E192" s="1717"/>
      <c r="F192" s="1718"/>
      <c r="G192" s="1718"/>
      <c r="H192" s="1719"/>
      <c r="I192" s="1716"/>
      <c r="J192" s="1717"/>
      <c r="K192" s="1718"/>
      <c r="L192" s="1718"/>
      <c r="M192" s="1719"/>
      <c r="N192" s="1716"/>
      <c r="O192" s="1717"/>
      <c r="P192" s="1718"/>
      <c r="Q192" s="1718"/>
      <c r="R192" s="1719"/>
      <c r="S192" s="1716"/>
      <c r="T192" s="337">
        <v>89</v>
      </c>
      <c r="U192" s="338">
        <v>68</v>
      </c>
      <c r="V192" s="338">
        <v>82</v>
      </c>
      <c r="W192" s="1684">
        <v>57</v>
      </c>
      <c r="X192" s="647">
        <f>W192</f>
        <v>57</v>
      </c>
      <c r="Y192" s="337">
        <v>29</v>
      </c>
      <c r="Z192" s="338">
        <v>18</v>
      </c>
      <c r="AA192" s="338">
        <v>18</v>
      </c>
      <c r="AB192" s="1684">
        <v>14</v>
      </c>
      <c r="AC192" s="647">
        <f>AB192</f>
        <v>14</v>
      </c>
      <c r="AD192" s="337">
        <v>14</v>
      </c>
      <c r="AE192" s="338">
        <v>17</v>
      </c>
      <c r="AF192" s="338">
        <v>28</v>
      </c>
      <c r="AG192" s="1684">
        <v>27</v>
      </c>
      <c r="AH192" s="647">
        <f>AG192</f>
        <v>27</v>
      </c>
      <c r="AI192" s="337">
        <v>5</v>
      </c>
      <c r="AJ192" s="338">
        <v>2</v>
      </c>
      <c r="AK192" s="338">
        <v>1</v>
      </c>
      <c r="AL192" s="1684">
        <v>0</v>
      </c>
      <c r="AM192" s="647">
        <f>AL192</f>
        <v>0</v>
      </c>
      <c r="AN192" s="337">
        <v>0</v>
      </c>
      <c r="AO192" s="338">
        <v>0</v>
      </c>
      <c r="AP192" s="338">
        <v>0</v>
      </c>
      <c r="AQ192" s="1684">
        <v>411</v>
      </c>
      <c r="AR192" s="647">
        <f>AQ192</f>
        <v>411</v>
      </c>
      <c r="AS192" s="369">
        <f t="shared" si="526"/>
        <v>411</v>
      </c>
      <c r="AT192" s="353">
        <f t="shared" si="526"/>
        <v>411</v>
      </c>
      <c r="AU192" s="353">
        <f t="shared" si="526"/>
        <v>411</v>
      </c>
      <c r="AV192" s="354">
        <f t="shared" si="526"/>
        <v>411</v>
      </c>
      <c r="AW192" s="340">
        <f t="shared" si="526"/>
        <v>411</v>
      </c>
      <c r="AX192" s="369">
        <f t="shared" si="527"/>
        <v>411</v>
      </c>
      <c r="AY192" s="353">
        <f t="shared" si="528"/>
        <v>411</v>
      </c>
      <c r="AZ192" s="353">
        <f t="shared" si="529"/>
        <v>411</v>
      </c>
      <c r="BA192" s="354">
        <f t="shared" si="530"/>
        <v>411</v>
      </c>
      <c r="BB192" s="340">
        <f t="shared" si="531"/>
        <v>411</v>
      </c>
      <c r="BC192" s="369">
        <f t="shared" si="532"/>
        <v>411</v>
      </c>
      <c r="BD192" s="353">
        <f t="shared" si="533"/>
        <v>411</v>
      </c>
      <c r="BE192" s="353">
        <f t="shared" si="534"/>
        <v>411</v>
      </c>
      <c r="BF192" s="354">
        <f t="shared" si="535"/>
        <v>411</v>
      </c>
      <c r="BG192" s="340">
        <f t="shared" si="536"/>
        <v>411</v>
      </c>
      <c r="BH192" s="369">
        <f t="shared" si="537"/>
        <v>411</v>
      </c>
      <c r="BI192" s="353">
        <f t="shared" si="538"/>
        <v>411</v>
      </c>
      <c r="BJ192" s="353">
        <f t="shared" si="539"/>
        <v>411</v>
      </c>
      <c r="BK192" s="354">
        <f t="shared" si="540"/>
        <v>411</v>
      </c>
      <c r="BL192" s="340">
        <f t="shared" si="541"/>
        <v>411</v>
      </c>
      <c r="BM192" s="1716"/>
      <c r="BN192" s="1716"/>
      <c r="BO192" s="1716"/>
      <c r="BP192" s="1716"/>
      <c r="BQ192" s="1716"/>
      <c r="BR192" s="1716"/>
      <c r="BS192" s="1716"/>
      <c r="BT192" s="1716"/>
      <c r="BU192" s="1716"/>
      <c r="BV192" s="1716"/>
      <c r="BW192" s="1716"/>
      <c r="BX192" s="1716"/>
      <c r="BY192" s="1716"/>
      <c r="BZ192" s="1716"/>
      <c r="CA192" s="1716"/>
      <c r="CB192" s="1716"/>
      <c r="CC192" s="1716"/>
      <c r="CD192" s="1716"/>
      <c r="CE192" s="1716"/>
      <c r="CF192" s="1716"/>
      <c r="CG192" s="1716"/>
      <c r="CH192" s="1716"/>
      <c r="CI192" s="1716"/>
      <c r="CJ192" s="1716"/>
      <c r="CK192" s="1716"/>
      <c r="CL192" s="1716"/>
      <c r="CM192" s="1716"/>
      <c r="CN192" s="1716"/>
      <c r="CO192" s="1716"/>
      <c r="CP192" s="1716"/>
    </row>
    <row r="193" spans="1:94">
      <c r="A193" s="1716"/>
      <c r="B193" s="1716"/>
      <c r="C193" s="1716" t="s">
        <v>678</v>
      </c>
      <c r="D193" s="1716"/>
      <c r="E193" s="1717"/>
      <c r="F193" s="1718"/>
      <c r="G193" s="1718"/>
      <c r="H193" s="1719"/>
      <c r="I193" s="1716"/>
      <c r="J193" s="1717"/>
      <c r="K193" s="1718"/>
      <c r="L193" s="1718"/>
      <c r="M193" s="1719"/>
      <c r="N193" s="1716"/>
      <c r="O193" s="1717"/>
      <c r="P193" s="1718"/>
      <c r="Q193" s="1718"/>
      <c r="R193" s="1719"/>
      <c r="S193" s="1716"/>
      <c r="T193" s="337">
        <v>769</v>
      </c>
      <c r="U193" s="338">
        <v>789</v>
      </c>
      <c r="V193" s="338">
        <v>815</v>
      </c>
      <c r="W193" s="1684">
        <v>833</v>
      </c>
      <c r="X193" s="647">
        <f>W193</f>
        <v>833</v>
      </c>
      <c r="Y193" s="337">
        <v>838</v>
      </c>
      <c r="Z193" s="338">
        <v>841</v>
      </c>
      <c r="AA193" s="338">
        <v>856</v>
      </c>
      <c r="AB193" s="1684">
        <v>865</v>
      </c>
      <c r="AC193" s="647">
        <f>AB193</f>
        <v>865</v>
      </c>
      <c r="AD193" s="337">
        <v>868</v>
      </c>
      <c r="AE193" s="338">
        <v>875</v>
      </c>
      <c r="AF193" s="338">
        <v>877</v>
      </c>
      <c r="AG193" s="1684">
        <v>888</v>
      </c>
      <c r="AH193" s="647">
        <f>AG193</f>
        <v>888</v>
      </c>
      <c r="AI193" s="337">
        <v>854</v>
      </c>
      <c r="AJ193" s="338">
        <v>859</v>
      </c>
      <c r="AK193" s="338">
        <v>908</v>
      </c>
      <c r="AL193" s="1684">
        <v>917</v>
      </c>
      <c r="AM193" s="647">
        <f>AL193</f>
        <v>917</v>
      </c>
      <c r="AN193" s="337">
        <v>911</v>
      </c>
      <c r="AO193" s="338">
        <v>911</v>
      </c>
      <c r="AP193" s="338">
        <v>951</v>
      </c>
      <c r="AQ193" s="1684">
        <v>493</v>
      </c>
      <c r="AR193" s="647">
        <f>AQ193</f>
        <v>493</v>
      </c>
      <c r="AS193" s="369">
        <f ca="1">AR193+AS145</f>
        <v>498.21306444734438</v>
      </c>
      <c r="AT193" s="353">
        <f ca="1">AS193+AT145</f>
        <v>503.42612889468876</v>
      </c>
      <c r="AU193" s="353">
        <f ca="1">AT193+AU145</f>
        <v>508.63919334203314</v>
      </c>
      <c r="AV193" s="354">
        <f ca="1">AU193+AV145</f>
        <v>513.85225778937752</v>
      </c>
      <c r="AW193" s="340">
        <f t="shared" ca="1" si="526"/>
        <v>513.85225778937752</v>
      </c>
      <c r="AX193" s="369">
        <f ca="1">AW193+AX145</f>
        <v>519.91149939052423</v>
      </c>
      <c r="AY193" s="353">
        <f ca="1">AX193+AY145</f>
        <v>525.97074099167094</v>
      </c>
      <c r="AZ193" s="353">
        <f ca="1">AY193+AZ145</f>
        <v>532.02998259281765</v>
      </c>
      <c r="BA193" s="354">
        <f ca="1">AZ193+BA145</f>
        <v>538.08922419396436</v>
      </c>
      <c r="BB193" s="340">
        <f t="shared" ca="1" si="531"/>
        <v>538.08922419396436</v>
      </c>
      <c r="BC193" s="369">
        <f ca="1">BB193+BC145</f>
        <v>545.68849371125168</v>
      </c>
      <c r="BD193" s="353">
        <f ca="1">BC193+BD145</f>
        <v>553.28776322853901</v>
      </c>
      <c r="BE193" s="353">
        <f ca="1">BD193+BE145</f>
        <v>560.88703274582633</v>
      </c>
      <c r="BF193" s="354">
        <f ca="1">BE193+BF145</f>
        <v>568.48630226311366</v>
      </c>
      <c r="BG193" s="340">
        <f t="shared" ca="1" si="536"/>
        <v>568.48630226311366</v>
      </c>
      <c r="BH193" s="369">
        <f ca="1">BG193+BH145</f>
        <v>576.54283375342288</v>
      </c>
      <c r="BI193" s="353">
        <f ca="1">BH193+BI145</f>
        <v>584.59936524373211</v>
      </c>
      <c r="BJ193" s="353">
        <f ca="1">BI193+BJ145</f>
        <v>592.65589673404133</v>
      </c>
      <c r="BK193" s="354">
        <f ca="1">BJ193+BK145</f>
        <v>600.71242822435056</v>
      </c>
      <c r="BL193" s="340">
        <f t="shared" ca="1" si="541"/>
        <v>600.71242822435056</v>
      </c>
      <c r="BM193" s="1716"/>
      <c r="BN193" s="1716"/>
      <c r="BO193" s="1716"/>
      <c r="BP193" s="1716"/>
      <c r="BQ193" s="1716"/>
      <c r="BR193" s="1716"/>
      <c r="BS193" s="1716"/>
      <c r="BT193" s="1716"/>
      <c r="BU193" s="1716"/>
      <c r="BV193" s="1716"/>
      <c r="BW193" s="1716"/>
      <c r="BX193" s="1716"/>
      <c r="BY193" s="1716"/>
      <c r="BZ193" s="1716"/>
      <c r="CA193" s="1716"/>
      <c r="CB193" s="1716"/>
      <c r="CC193" s="1716"/>
      <c r="CD193" s="1716"/>
      <c r="CE193" s="1716"/>
      <c r="CF193" s="1716"/>
      <c r="CG193" s="1716"/>
      <c r="CH193" s="1716"/>
      <c r="CI193" s="1716"/>
      <c r="CJ193" s="1716"/>
      <c r="CK193" s="1716"/>
      <c r="CL193" s="1716"/>
      <c r="CM193" s="1716"/>
      <c r="CN193" s="1716"/>
      <c r="CO193" s="1716"/>
      <c r="CP193" s="1716"/>
    </row>
    <row r="194" spans="1:94">
      <c r="A194" s="1716"/>
      <c r="B194" s="1716"/>
      <c r="C194" s="1716" t="s">
        <v>676</v>
      </c>
      <c r="D194" s="1716"/>
      <c r="E194" s="1717"/>
      <c r="F194" s="1718"/>
      <c r="G194" s="1718"/>
      <c r="H194" s="1719"/>
      <c r="I194" s="1716"/>
      <c r="J194" s="1717"/>
      <c r="K194" s="1718"/>
      <c r="L194" s="1718"/>
      <c r="M194" s="1719"/>
      <c r="N194" s="1716"/>
      <c r="O194" s="1717"/>
      <c r="P194" s="1718"/>
      <c r="Q194" s="1718"/>
      <c r="R194" s="1719"/>
      <c r="S194" s="1716"/>
      <c r="T194" s="337">
        <f>6+34+11+17</f>
        <v>68</v>
      </c>
      <c r="U194" s="338">
        <f>6+36+14+16</f>
        <v>72</v>
      </c>
      <c r="V194" s="338">
        <f>6+36+14+17</f>
        <v>73</v>
      </c>
      <c r="W194" s="1684">
        <f>5+35+14</f>
        <v>54</v>
      </c>
      <c r="X194" s="647">
        <f>W194</f>
        <v>54</v>
      </c>
      <c r="Y194" s="337">
        <f>5+35+14</f>
        <v>54</v>
      </c>
      <c r="Z194" s="338">
        <f>5+35+15</f>
        <v>55</v>
      </c>
      <c r="AA194" s="338">
        <f>5+38+14</f>
        <v>57</v>
      </c>
      <c r="AB194" s="1684">
        <f>5+36+16</f>
        <v>57</v>
      </c>
      <c r="AC194" s="647">
        <f>AB194</f>
        <v>57</v>
      </c>
      <c r="AD194" s="337">
        <f>5+36+17</f>
        <v>58</v>
      </c>
      <c r="AE194" s="338">
        <f>5+35+17</f>
        <v>57</v>
      </c>
      <c r="AF194" s="338">
        <f>5+35+2+16</f>
        <v>58</v>
      </c>
      <c r="AG194" s="1684">
        <f>4+33+18</f>
        <v>55</v>
      </c>
      <c r="AH194" s="647">
        <f>AG194</f>
        <v>55</v>
      </c>
      <c r="AI194" s="337">
        <f>35+22</f>
        <v>57</v>
      </c>
      <c r="AJ194" s="338">
        <f>35+23</f>
        <v>58</v>
      </c>
      <c r="AK194" s="338">
        <f>35+31</f>
        <v>66</v>
      </c>
      <c r="AL194" s="1684">
        <f>34+32</f>
        <v>66</v>
      </c>
      <c r="AM194" s="647">
        <f>AL194</f>
        <v>66</v>
      </c>
      <c r="AN194" s="337">
        <f>33+23</f>
        <v>56</v>
      </c>
      <c r="AO194" s="338">
        <f>35+23</f>
        <v>58</v>
      </c>
      <c r="AP194" s="338">
        <f>33+25</f>
        <v>58</v>
      </c>
      <c r="AQ194" s="1684">
        <f>14+25</f>
        <v>39</v>
      </c>
      <c r="AR194" s="647">
        <f>AQ194</f>
        <v>39</v>
      </c>
      <c r="AS194" s="369">
        <f t="shared" ref="AS194:AW194" si="542">AR194</f>
        <v>39</v>
      </c>
      <c r="AT194" s="353">
        <f t="shared" si="542"/>
        <v>39</v>
      </c>
      <c r="AU194" s="353">
        <f t="shared" si="542"/>
        <v>39</v>
      </c>
      <c r="AV194" s="354">
        <f t="shared" si="542"/>
        <v>39</v>
      </c>
      <c r="AW194" s="340">
        <f t="shared" si="542"/>
        <v>39</v>
      </c>
      <c r="AX194" s="369">
        <f t="shared" ref="AX194" si="543">AW194</f>
        <v>39</v>
      </c>
      <c r="AY194" s="353">
        <f t="shared" ref="AY194" si="544">AX194</f>
        <v>39</v>
      </c>
      <c r="AZ194" s="353">
        <f t="shared" ref="AZ194" si="545">AY194</f>
        <v>39</v>
      </c>
      <c r="BA194" s="354">
        <f t="shared" ref="BA194" si="546">AZ194</f>
        <v>39</v>
      </c>
      <c r="BB194" s="340">
        <f t="shared" si="531"/>
        <v>39</v>
      </c>
      <c r="BC194" s="369">
        <f t="shared" ref="BC194" si="547">BB194</f>
        <v>39</v>
      </c>
      <c r="BD194" s="353">
        <f t="shared" ref="BD194" si="548">BC194</f>
        <v>39</v>
      </c>
      <c r="BE194" s="353">
        <f t="shared" ref="BE194" si="549">BD194</f>
        <v>39</v>
      </c>
      <c r="BF194" s="354">
        <f t="shared" ref="BF194" si="550">BE194</f>
        <v>39</v>
      </c>
      <c r="BG194" s="340">
        <f t="shared" si="536"/>
        <v>39</v>
      </c>
      <c r="BH194" s="369">
        <f t="shared" ref="BH194" si="551">BG194</f>
        <v>39</v>
      </c>
      <c r="BI194" s="353">
        <f t="shared" ref="BI194" si="552">BH194</f>
        <v>39</v>
      </c>
      <c r="BJ194" s="353">
        <f t="shared" ref="BJ194" si="553">BI194</f>
        <v>39</v>
      </c>
      <c r="BK194" s="354">
        <f t="shared" ref="BK194" si="554">BJ194</f>
        <v>39</v>
      </c>
      <c r="BL194" s="340">
        <f t="shared" si="541"/>
        <v>39</v>
      </c>
      <c r="BM194" s="1716"/>
      <c r="BN194" s="1716"/>
      <c r="BO194" s="1716"/>
      <c r="BP194" s="1716"/>
      <c r="BQ194" s="1716"/>
      <c r="BR194" s="1716"/>
      <c r="BS194" s="1716"/>
      <c r="BT194" s="1716"/>
      <c r="BU194" s="1716"/>
      <c r="BV194" s="1716"/>
      <c r="BW194" s="1716"/>
      <c r="BX194" s="1716"/>
      <c r="BY194" s="1716"/>
      <c r="BZ194" s="1716"/>
      <c r="CA194" s="1716"/>
      <c r="CB194" s="1716"/>
      <c r="CC194" s="1716"/>
      <c r="CD194" s="1716"/>
      <c r="CE194" s="1716"/>
      <c r="CF194" s="1716"/>
      <c r="CG194" s="1716"/>
      <c r="CH194" s="1716"/>
      <c r="CI194" s="1716"/>
      <c r="CJ194" s="1716"/>
      <c r="CK194" s="1716"/>
      <c r="CL194" s="1716"/>
      <c r="CM194" s="1716"/>
      <c r="CN194" s="1716"/>
      <c r="CO194" s="1716"/>
      <c r="CP194" s="1716"/>
    </row>
    <row r="195" spans="1:94">
      <c r="A195" s="1716"/>
      <c r="B195" s="1716"/>
      <c r="C195" s="1716"/>
      <c r="D195" s="1716"/>
      <c r="E195" s="1717"/>
      <c r="F195" s="1718"/>
      <c r="G195" s="1718"/>
      <c r="H195" s="1719"/>
      <c r="I195" s="1716"/>
      <c r="J195" s="1717"/>
      <c r="K195" s="1718"/>
      <c r="L195" s="1718"/>
      <c r="M195" s="1719"/>
      <c r="N195" s="1716"/>
      <c r="O195" s="1717"/>
      <c r="P195" s="1718"/>
      <c r="Q195" s="1718"/>
      <c r="R195" s="1719"/>
      <c r="S195" s="1716"/>
      <c r="T195" s="337"/>
      <c r="U195" s="338"/>
      <c r="V195" s="338"/>
      <c r="W195" s="1684"/>
      <c r="X195" s="647"/>
      <c r="Y195" s="337"/>
      <c r="Z195" s="338"/>
      <c r="AA195" s="338"/>
      <c r="AB195" s="1684"/>
      <c r="AC195" s="647"/>
      <c r="AD195" s="337"/>
      <c r="AE195" s="338"/>
      <c r="AF195" s="338"/>
      <c r="AG195" s="1684"/>
      <c r="AH195" s="647"/>
      <c r="AI195" s="337"/>
      <c r="AJ195" s="338"/>
      <c r="AK195" s="338"/>
      <c r="AL195" s="1684"/>
      <c r="AM195" s="647"/>
      <c r="AN195" s="337"/>
      <c r="AO195" s="338"/>
      <c r="AP195" s="338"/>
      <c r="AQ195" s="1684"/>
      <c r="AR195" s="647"/>
      <c r="AS195" s="369"/>
      <c r="AT195" s="353"/>
      <c r="AU195" s="353"/>
      <c r="AV195" s="354"/>
      <c r="AW195" s="340"/>
      <c r="AX195" s="369"/>
      <c r="AY195" s="353"/>
      <c r="AZ195" s="353"/>
      <c r="BA195" s="354"/>
      <c r="BB195" s="340"/>
      <c r="BC195" s="369"/>
      <c r="BD195" s="353"/>
      <c r="BE195" s="353"/>
      <c r="BF195" s="354"/>
      <c r="BG195" s="340"/>
      <c r="BH195" s="369"/>
      <c r="BI195" s="353"/>
      <c r="BJ195" s="353"/>
      <c r="BK195" s="354"/>
      <c r="BL195" s="340"/>
      <c r="BM195" s="1716"/>
      <c r="BN195" s="1716"/>
      <c r="BO195" s="1716"/>
      <c r="BP195" s="1716"/>
      <c r="BQ195" s="1716"/>
      <c r="BR195" s="1716"/>
      <c r="BS195" s="1716"/>
      <c r="BT195" s="1716"/>
      <c r="BU195" s="1716"/>
      <c r="BV195" s="1716"/>
      <c r="BW195" s="1716"/>
      <c r="BX195" s="1716"/>
      <c r="BY195" s="1716"/>
      <c r="BZ195" s="1716"/>
      <c r="CA195" s="1716"/>
      <c r="CB195" s="1716"/>
      <c r="CC195" s="1716"/>
      <c r="CD195" s="1716"/>
      <c r="CE195" s="1716"/>
      <c r="CF195" s="1716"/>
      <c r="CG195" s="1716"/>
      <c r="CH195" s="1716"/>
      <c r="CI195" s="1716"/>
      <c r="CJ195" s="1716"/>
      <c r="CK195" s="1716"/>
      <c r="CL195" s="1716"/>
      <c r="CM195" s="1716"/>
      <c r="CN195" s="1716"/>
      <c r="CO195" s="1716"/>
      <c r="CP195" s="1716"/>
    </row>
    <row r="196" spans="1:94" s="1909" customFormat="1">
      <c r="A196" s="1756"/>
      <c r="B196" s="1756"/>
      <c r="C196" s="1756" t="s">
        <v>190</v>
      </c>
      <c r="D196" s="1756"/>
      <c r="E196" s="1906"/>
      <c r="F196" s="1907"/>
      <c r="G196" s="1907"/>
      <c r="H196" s="1908"/>
      <c r="I196" s="1756"/>
      <c r="J196" s="1906"/>
      <c r="K196" s="1907"/>
      <c r="L196" s="1907"/>
      <c r="M196" s="1908"/>
      <c r="N196" s="1756"/>
      <c r="O196" s="1906"/>
      <c r="P196" s="1907"/>
      <c r="Q196" s="1907"/>
      <c r="R196" s="1908"/>
      <c r="S196" s="1756"/>
      <c r="T196" s="292">
        <f t="shared" ref="T196:Z196" si="555">SUM(T190:T194,T188)</f>
        <v>2471</v>
      </c>
      <c r="U196" s="261">
        <f t="shared" si="555"/>
        <v>2436</v>
      </c>
      <c r="V196" s="261">
        <f t="shared" si="555"/>
        <v>2430</v>
      </c>
      <c r="W196" s="293">
        <f t="shared" si="555"/>
        <v>2408</v>
      </c>
      <c r="X196" s="583">
        <f t="shared" si="555"/>
        <v>2408</v>
      </c>
      <c r="Y196" s="292">
        <f t="shared" si="555"/>
        <v>2374</v>
      </c>
      <c r="Z196" s="261">
        <f t="shared" si="555"/>
        <v>2405</v>
      </c>
      <c r="AA196" s="261">
        <f t="shared" ref="AA196:AE196" si="556">SUM(AA190:AA194,AA188)</f>
        <v>2394</v>
      </c>
      <c r="AB196" s="293">
        <f t="shared" si="556"/>
        <v>2376</v>
      </c>
      <c r="AC196" s="583">
        <f t="shared" si="556"/>
        <v>2376</v>
      </c>
      <c r="AD196" s="292">
        <f t="shared" si="556"/>
        <v>2414</v>
      </c>
      <c r="AE196" s="261">
        <f t="shared" si="556"/>
        <v>2502</v>
      </c>
      <c r="AF196" s="261">
        <f t="shared" ref="AF196:AI196" si="557">SUM(AF190:AF194,AF188)</f>
        <v>2503</v>
      </c>
      <c r="AG196" s="293">
        <f t="shared" si="557"/>
        <v>2410</v>
      </c>
      <c r="AH196" s="583">
        <f t="shared" si="557"/>
        <v>2410</v>
      </c>
      <c r="AI196" s="292">
        <f t="shared" si="557"/>
        <v>2504</v>
      </c>
      <c r="AJ196" s="261">
        <f t="shared" ref="AJ196:AM196" si="558">SUM(AJ190:AJ194,AJ188)</f>
        <v>2430</v>
      </c>
      <c r="AK196" s="261">
        <f t="shared" si="558"/>
        <v>2442</v>
      </c>
      <c r="AL196" s="293">
        <f t="shared" si="558"/>
        <v>2423</v>
      </c>
      <c r="AM196" s="583">
        <f t="shared" si="558"/>
        <v>2423</v>
      </c>
      <c r="AN196" s="292">
        <f t="shared" ref="AN196:AR196" si="559">SUM(AN190:AN194,AN188)</f>
        <v>2399</v>
      </c>
      <c r="AO196" s="261">
        <f t="shared" si="559"/>
        <v>2430</v>
      </c>
      <c r="AP196" s="261">
        <f t="shared" si="559"/>
        <v>2452</v>
      </c>
      <c r="AQ196" s="293">
        <f t="shared" si="559"/>
        <v>2402</v>
      </c>
      <c r="AR196" s="583">
        <f t="shared" si="559"/>
        <v>2402</v>
      </c>
      <c r="AS196" s="292">
        <f t="shared" ref="AS196:AW196" ca="1" si="560">SUM(AS190:AS194,AS188)</f>
        <v>2433.4670032301647</v>
      </c>
      <c r="AT196" s="261">
        <f t="shared" ca="1" si="560"/>
        <v>2464.8961914997376</v>
      </c>
      <c r="AU196" s="261">
        <f t="shared" ca="1" si="560"/>
        <v>2483.6391933420332</v>
      </c>
      <c r="AV196" s="293">
        <f t="shared" ca="1" si="560"/>
        <v>2488.8522577893773</v>
      </c>
      <c r="AW196" s="228">
        <f t="shared" ca="1" si="560"/>
        <v>2488.8522577893773</v>
      </c>
      <c r="AX196" s="292">
        <f t="shared" ref="AX196:BG196" ca="1" si="561">SUM(AX190:AX194,AX188)</f>
        <v>2525.0355843931989</v>
      </c>
      <c r="AY196" s="261">
        <f t="shared" ca="1" si="561"/>
        <v>2564.9664032609162</v>
      </c>
      <c r="AZ196" s="261">
        <f t="shared" ca="1" si="561"/>
        <v>2584.0299825928178</v>
      </c>
      <c r="BA196" s="293">
        <f t="shared" ca="1" si="561"/>
        <v>2591.4367727832441</v>
      </c>
      <c r="BB196" s="228">
        <f t="shared" ca="1" si="561"/>
        <v>2591.4367727832441</v>
      </c>
      <c r="BC196" s="292">
        <f t="shared" ca="1" si="561"/>
        <v>2630.3322531892759</v>
      </c>
      <c r="BD196" s="261">
        <f t="shared" ca="1" si="561"/>
        <v>2666.8939727035349</v>
      </c>
      <c r="BE196" s="261">
        <f t="shared" ca="1" si="561"/>
        <v>2687.8870327458262</v>
      </c>
      <c r="BF196" s="293">
        <f t="shared" ca="1" si="561"/>
        <v>2696.4798841797628</v>
      </c>
      <c r="BG196" s="228">
        <f t="shared" ca="1" si="561"/>
        <v>2696.4798841797628</v>
      </c>
      <c r="BH196" s="292">
        <f t="shared" ref="BH196:BL196" ca="1" si="562">SUM(BH190:BH194,BH188)</f>
        <v>2725.1494898779356</v>
      </c>
      <c r="BI196" s="261">
        <f t="shared" ca="1" si="562"/>
        <v>2751.2697244444039</v>
      </c>
      <c r="BJ196" s="261">
        <f t="shared" ca="1" si="562"/>
        <v>2755.7908967340413</v>
      </c>
      <c r="BK196" s="293">
        <f t="shared" ca="1" si="562"/>
        <v>2763.8474282243506</v>
      </c>
      <c r="BL196" s="228">
        <f t="shared" ca="1" si="562"/>
        <v>2763.8474282243506</v>
      </c>
      <c r="BM196" s="1756"/>
      <c r="BN196" s="1756"/>
      <c r="BO196" s="1756"/>
      <c r="BP196" s="1756"/>
      <c r="BQ196" s="1756"/>
      <c r="BR196" s="1756"/>
      <c r="BS196" s="1756"/>
      <c r="BT196" s="1756"/>
      <c r="BU196" s="1756"/>
      <c r="BV196" s="1756"/>
      <c r="BW196" s="1756"/>
      <c r="BX196" s="1756"/>
      <c r="BY196" s="1756"/>
      <c r="BZ196" s="1756"/>
      <c r="CA196" s="1756"/>
      <c r="CB196" s="1756"/>
      <c r="CC196" s="1756"/>
      <c r="CD196" s="1756"/>
      <c r="CE196" s="1756"/>
      <c r="CF196" s="1756"/>
      <c r="CG196" s="1756"/>
      <c r="CH196" s="1756"/>
      <c r="CI196" s="1756"/>
      <c r="CJ196" s="1756"/>
      <c r="CK196" s="1756"/>
      <c r="CL196" s="1756"/>
      <c r="CM196" s="1756"/>
      <c r="CN196" s="1756"/>
      <c r="CO196" s="1756"/>
      <c r="CP196" s="1756"/>
    </row>
    <row r="197" spans="1:94">
      <c r="A197" s="1716"/>
      <c r="B197" s="1716"/>
      <c r="C197" s="1716"/>
      <c r="D197" s="1716"/>
      <c r="E197" s="1717"/>
      <c r="F197" s="1718"/>
      <c r="G197" s="1718"/>
      <c r="H197" s="1719"/>
      <c r="I197" s="1716"/>
      <c r="J197" s="1717"/>
      <c r="K197" s="1718"/>
      <c r="L197" s="1718"/>
      <c r="M197" s="1719"/>
      <c r="N197" s="1716"/>
      <c r="O197" s="1717"/>
      <c r="P197" s="1718"/>
      <c r="Q197" s="1718"/>
      <c r="R197" s="1719"/>
      <c r="S197" s="1716"/>
      <c r="T197" s="337"/>
      <c r="U197" s="338"/>
      <c r="V197" s="338"/>
      <c r="W197" s="1684"/>
      <c r="X197" s="647"/>
      <c r="Y197" s="337"/>
      <c r="Z197" s="338"/>
      <c r="AA197" s="338"/>
      <c r="AB197" s="1684"/>
      <c r="AC197" s="647"/>
      <c r="AD197" s="337"/>
      <c r="AE197" s="338"/>
      <c r="AF197" s="338"/>
      <c r="AG197" s="1684"/>
      <c r="AH197" s="647"/>
      <c r="AI197" s="337"/>
      <c r="AJ197" s="338"/>
      <c r="AK197" s="338"/>
      <c r="AL197" s="1684"/>
      <c r="AM197" s="647"/>
      <c r="AN197" s="337"/>
      <c r="AO197" s="338"/>
      <c r="AP197" s="260"/>
      <c r="AQ197" s="1684"/>
      <c r="AR197" s="647"/>
      <c r="AS197" s="290"/>
      <c r="AT197" s="260"/>
      <c r="AU197" s="260"/>
      <c r="AV197" s="291"/>
      <c r="AW197" s="45"/>
      <c r="AX197" s="290"/>
      <c r="AY197" s="260"/>
      <c r="AZ197" s="260"/>
      <c r="BA197" s="291"/>
      <c r="BB197" s="45"/>
      <c r="BC197" s="290"/>
      <c r="BD197" s="260"/>
      <c r="BE197" s="260"/>
      <c r="BF197" s="291"/>
      <c r="BG197" s="45"/>
      <c r="BH197" s="290"/>
      <c r="BI197" s="260"/>
      <c r="BJ197" s="260"/>
      <c r="BK197" s="291"/>
      <c r="BL197" s="45"/>
      <c r="BM197" s="1716"/>
      <c r="BN197" s="1716"/>
      <c r="BO197" s="1716"/>
      <c r="BP197" s="1716"/>
      <c r="BQ197" s="1716"/>
      <c r="BR197" s="1716"/>
      <c r="BS197" s="1716"/>
      <c r="BT197" s="1716"/>
      <c r="BU197" s="1716"/>
      <c r="BV197" s="1716"/>
      <c r="BW197" s="1716"/>
      <c r="BX197" s="1716"/>
      <c r="BY197" s="1716"/>
      <c r="BZ197" s="1716"/>
      <c r="CA197" s="1716"/>
      <c r="CB197" s="1716"/>
      <c r="CC197" s="1716"/>
      <c r="CD197" s="1716"/>
      <c r="CE197" s="1716"/>
      <c r="CF197" s="1716"/>
      <c r="CG197" s="1716"/>
      <c r="CH197" s="1716"/>
      <c r="CI197" s="1716"/>
      <c r="CJ197" s="1716"/>
      <c r="CK197" s="1716"/>
      <c r="CL197" s="1716"/>
      <c r="CM197" s="1716"/>
      <c r="CN197" s="1716"/>
      <c r="CO197" s="1716"/>
      <c r="CP197" s="1716"/>
    </row>
    <row r="198" spans="1:94">
      <c r="A198" s="1716"/>
      <c r="B198" s="1716"/>
      <c r="C198" s="1716" t="s">
        <v>974</v>
      </c>
      <c r="D198" s="1716"/>
      <c r="E198" s="1717"/>
      <c r="F198" s="1718"/>
      <c r="G198" s="1718"/>
      <c r="H198" s="1719"/>
      <c r="I198" s="1716"/>
      <c r="J198" s="1717"/>
      <c r="K198" s="1718"/>
      <c r="L198" s="1718"/>
      <c r="M198" s="1719"/>
      <c r="N198" s="1716"/>
      <c r="O198" s="1717"/>
      <c r="P198" s="1718"/>
      <c r="Q198" s="1718"/>
      <c r="R198" s="1719"/>
      <c r="S198" s="1716"/>
      <c r="T198" s="337">
        <v>26</v>
      </c>
      <c r="U198" s="338">
        <v>26</v>
      </c>
      <c r="V198" s="338">
        <v>26</v>
      </c>
      <c r="W198" s="1684">
        <v>26</v>
      </c>
      <c r="X198" s="647">
        <f>W198</f>
        <v>26</v>
      </c>
      <c r="Y198" s="337">
        <v>26</v>
      </c>
      <c r="Z198" s="338">
        <v>26</v>
      </c>
      <c r="AA198" s="338">
        <v>26</v>
      </c>
      <c r="AB198" s="1684">
        <v>26</v>
      </c>
      <c r="AC198" s="647">
        <f>AB198</f>
        <v>26</v>
      </c>
      <c r="AD198" s="337">
        <v>26</v>
      </c>
      <c r="AE198" s="338">
        <v>26</v>
      </c>
      <c r="AF198" s="338">
        <v>26</v>
      </c>
      <c r="AG198" s="1684">
        <v>26</v>
      </c>
      <c r="AH198" s="647">
        <f>AG198</f>
        <v>26</v>
      </c>
      <c r="AI198" s="337">
        <v>0</v>
      </c>
      <c r="AJ198" s="338">
        <v>0</v>
      </c>
      <c r="AK198" s="338">
        <v>0</v>
      </c>
      <c r="AL198" s="1684">
        <v>0</v>
      </c>
      <c r="AM198" s="647">
        <f>AL198</f>
        <v>0</v>
      </c>
      <c r="AN198" s="337">
        <v>0</v>
      </c>
      <c r="AO198" s="338">
        <v>0</v>
      </c>
      <c r="AP198" s="338">
        <v>0</v>
      </c>
      <c r="AQ198" s="1684">
        <v>0</v>
      </c>
      <c r="AR198" s="647">
        <f>AQ198</f>
        <v>0</v>
      </c>
      <c r="AS198" s="290">
        <f t="shared" ref="AS198:AW200" si="563">AR198</f>
        <v>0</v>
      </c>
      <c r="AT198" s="260">
        <f t="shared" si="563"/>
        <v>0</v>
      </c>
      <c r="AU198" s="260">
        <f t="shared" si="563"/>
        <v>0</v>
      </c>
      <c r="AV198" s="291">
        <f t="shared" si="563"/>
        <v>0</v>
      </c>
      <c r="AW198" s="45">
        <f t="shared" si="563"/>
        <v>0</v>
      </c>
      <c r="AX198" s="290">
        <f t="shared" ref="AX198:AX199" si="564">AW198</f>
        <v>0</v>
      </c>
      <c r="AY198" s="260">
        <f t="shared" ref="AY198:AY199" si="565">AX198</f>
        <v>0</v>
      </c>
      <c r="AZ198" s="260">
        <f t="shared" ref="AZ198:AZ199" si="566">AY198</f>
        <v>0</v>
      </c>
      <c r="BA198" s="291">
        <f t="shared" ref="BA198:BA199" si="567">AZ198</f>
        <v>0</v>
      </c>
      <c r="BB198" s="45">
        <f t="shared" ref="BB198:BB200" si="568">BA198</f>
        <v>0</v>
      </c>
      <c r="BC198" s="290">
        <f t="shared" ref="BC198:BC199" si="569">BB198</f>
        <v>0</v>
      </c>
      <c r="BD198" s="260">
        <f t="shared" ref="BD198:BD199" si="570">BC198</f>
        <v>0</v>
      </c>
      <c r="BE198" s="260">
        <f t="shared" ref="BE198:BE199" si="571">BD198</f>
        <v>0</v>
      </c>
      <c r="BF198" s="291">
        <f t="shared" ref="BF198:BF199" si="572">BE198</f>
        <v>0</v>
      </c>
      <c r="BG198" s="45">
        <f t="shared" ref="BG198:BG200" si="573">BF198</f>
        <v>0</v>
      </c>
      <c r="BH198" s="290">
        <f t="shared" ref="BH198:BH199" si="574">BG198</f>
        <v>0</v>
      </c>
      <c r="BI198" s="260">
        <f t="shared" ref="BI198:BI199" si="575">BH198</f>
        <v>0</v>
      </c>
      <c r="BJ198" s="260">
        <f t="shared" ref="BJ198:BJ199" si="576">BI198</f>
        <v>0</v>
      </c>
      <c r="BK198" s="291">
        <f t="shared" ref="BK198:BK199" si="577">BJ198</f>
        <v>0</v>
      </c>
      <c r="BL198" s="45">
        <f t="shared" ref="BL198:BL200" si="578">BK198</f>
        <v>0</v>
      </c>
      <c r="BM198" s="1716"/>
      <c r="BN198" s="1716"/>
      <c r="BO198" s="1716"/>
      <c r="BP198" s="1716"/>
      <c r="BQ198" s="1716"/>
      <c r="BR198" s="1716"/>
      <c r="BS198" s="1716"/>
      <c r="BT198" s="1716"/>
      <c r="BU198" s="1716"/>
      <c r="BV198" s="1716"/>
      <c r="BW198" s="1716"/>
      <c r="BX198" s="1716"/>
      <c r="BY198" s="1716"/>
      <c r="BZ198" s="1716"/>
      <c r="CA198" s="1716"/>
      <c r="CB198" s="1716"/>
      <c r="CC198" s="1716"/>
      <c r="CD198" s="1716"/>
      <c r="CE198" s="1716"/>
      <c r="CF198" s="1716"/>
      <c r="CG198" s="1716"/>
      <c r="CH198" s="1716"/>
      <c r="CI198" s="1716"/>
      <c r="CJ198" s="1716"/>
      <c r="CK198" s="1716"/>
      <c r="CL198" s="1716"/>
      <c r="CM198" s="1716"/>
      <c r="CN198" s="1716"/>
      <c r="CO198" s="1716"/>
      <c r="CP198" s="1716"/>
    </row>
    <row r="199" spans="1:94">
      <c r="A199" s="1716"/>
      <c r="B199" s="1716"/>
      <c r="C199" s="1716" t="s">
        <v>965</v>
      </c>
      <c r="D199" s="1716"/>
      <c r="E199" s="1717"/>
      <c r="F199" s="1718"/>
      <c r="G199" s="1718"/>
      <c r="H199" s="1719"/>
      <c r="I199" s="1716"/>
      <c r="J199" s="1717"/>
      <c r="K199" s="1718"/>
      <c r="L199" s="1718"/>
      <c r="M199" s="1719"/>
      <c r="N199" s="1716"/>
      <c r="O199" s="1717"/>
      <c r="P199" s="1718"/>
      <c r="Q199" s="1718"/>
      <c r="R199" s="1719"/>
      <c r="S199" s="1716"/>
      <c r="T199" s="337">
        <v>576</v>
      </c>
      <c r="U199" s="338">
        <v>651</v>
      </c>
      <c r="V199" s="338">
        <v>651</v>
      </c>
      <c r="W199" s="1684">
        <v>651</v>
      </c>
      <c r="X199" s="647">
        <f>W199</f>
        <v>651</v>
      </c>
      <c r="Y199" s="337">
        <v>651</v>
      </c>
      <c r="Z199" s="338">
        <v>651</v>
      </c>
      <c r="AA199" s="338">
        <v>651</v>
      </c>
      <c r="AB199" s="1684">
        <v>651</v>
      </c>
      <c r="AC199" s="647">
        <f>AB199</f>
        <v>651</v>
      </c>
      <c r="AD199" s="337">
        <v>651</v>
      </c>
      <c r="AE199" s="338">
        <v>651</v>
      </c>
      <c r="AF199" s="338">
        <v>651</v>
      </c>
      <c r="AG199" s="1684">
        <v>746</v>
      </c>
      <c r="AH199" s="647">
        <f>AG199</f>
        <v>746</v>
      </c>
      <c r="AI199" s="337">
        <v>773</v>
      </c>
      <c r="AJ199" s="338">
        <v>912</v>
      </c>
      <c r="AK199" s="338">
        <v>912</v>
      </c>
      <c r="AL199" s="1684">
        <v>912</v>
      </c>
      <c r="AM199" s="647">
        <f>AL199</f>
        <v>912</v>
      </c>
      <c r="AN199" s="337">
        <v>912</v>
      </c>
      <c r="AO199" s="338">
        <v>912</v>
      </c>
      <c r="AP199" s="338">
        <v>912</v>
      </c>
      <c r="AQ199" s="1684">
        <v>912</v>
      </c>
      <c r="AR199" s="647">
        <f>AQ199</f>
        <v>912</v>
      </c>
      <c r="AS199" s="290">
        <f t="shared" si="563"/>
        <v>912</v>
      </c>
      <c r="AT199" s="260">
        <f t="shared" si="563"/>
        <v>912</v>
      </c>
      <c r="AU199" s="260">
        <f t="shared" si="563"/>
        <v>912</v>
      </c>
      <c r="AV199" s="291">
        <f t="shared" si="563"/>
        <v>912</v>
      </c>
      <c r="AW199" s="45">
        <f t="shared" si="563"/>
        <v>912</v>
      </c>
      <c r="AX199" s="290">
        <f t="shared" si="564"/>
        <v>912</v>
      </c>
      <c r="AY199" s="260">
        <f t="shared" si="565"/>
        <v>912</v>
      </c>
      <c r="AZ199" s="260">
        <f t="shared" si="566"/>
        <v>912</v>
      </c>
      <c r="BA199" s="291">
        <f t="shared" si="567"/>
        <v>912</v>
      </c>
      <c r="BB199" s="45">
        <f t="shared" si="568"/>
        <v>912</v>
      </c>
      <c r="BC199" s="290">
        <f t="shared" si="569"/>
        <v>912</v>
      </c>
      <c r="BD199" s="260">
        <f t="shared" si="570"/>
        <v>912</v>
      </c>
      <c r="BE199" s="260">
        <f t="shared" si="571"/>
        <v>912</v>
      </c>
      <c r="BF199" s="291">
        <f t="shared" si="572"/>
        <v>912</v>
      </c>
      <c r="BG199" s="45">
        <f t="shared" si="573"/>
        <v>912</v>
      </c>
      <c r="BH199" s="290">
        <f t="shared" si="574"/>
        <v>912</v>
      </c>
      <c r="BI199" s="260">
        <f t="shared" si="575"/>
        <v>912</v>
      </c>
      <c r="BJ199" s="260">
        <f t="shared" si="576"/>
        <v>912</v>
      </c>
      <c r="BK199" s="291">
        <f t="shared" si="577"/>
        <v>912</v>
      </c>
      <c r="BL199" s="45">
        <f t="shared" si="578"/>
        <v>912</v>
      </c>
      <c r="BM199" s="1716"/>
      <c r="BN199" s="1716"/>
      <c r="BO199" s="1716"/>
      <c r="BP199" s="1716"/>
      <c r="BQ199" s="1716"/>
      <c r="BR199" s="1716"/>
      <c r="BS199" s="1716"/>
      <c r="BT199" s="1716"/>
      <c r="BU199" s="1716"/>
      <c r="BV199" s="1716"/>
      <c r="BW199" s="1716"/>
      <c r="BX199" s="1716"/>
      <c r="BY199" s="1716"/>
      <c r="BZ199" s="1716"/>
      <c r="CA199" s="1716"/>
      <c r="CB199" s="1716"/>
      <c r="CC199" s="1716"/>
      <c r="CD199" s="1716"/>
      <c r="CE199" s="1716"/>
      <c r="CF199" s="1716"/>
      <c r="CG199" s="1716"/>
      <c r="CH199" s="1716"/>
      <c r="CI199" s="1716"/>
      <c r="CJ199" s="1716"/>
      <c r="CK199" s="1716"/>
      <c r="CL199" s="1716"/>
      <c r="CM199" s="1716"/>
      <c r="CN199" s="1716"/>
      <c r="CO199" s="1716"/>
      <c r="CP199" s="1716"/>
    </row>
    <row r="200" spans="1:94">
      <c r="A200" s="1716"/>
      <c r="B200" s="1716"/>
      <c r="C200" s="1716" t="s">
        <v>966</v>
      </c>
      <c r="D200" s="1716"/>
      <c r="E200" s="1717"/>
      <c r="F200" s="1718"/>
      <c r="G200" s="1718"/>
      <c r="H200" s="1719"/>
      <c r="I200" s="1716"/>
      <c r="J200" s="1717"/>
      <c r="K200" s="1718"/>
      <c r="L200" s="1718"/>
      <c r="M200" s="1719"/>
      <c r="N200" s="1716"/>
      <c r="O200" s="1717"/>
      <c r="P200" s="1718"/>
      <c r="Q200" s="1718"/>
      <c r="R200" s="1719"/>
      <c r="S200" s="1716"/>
      <c r="T200" s="337">
        <v>209</v>
      </c>
      <c r="U200" s="338">
        <v>216</v>
      </c>
      <c r="V200" s="338">
        <v>216</v>
      </c>
      <c r="W200" s="1684">
        <v>190</v>
      </c>
      <c r="X200" s="647">
        <f>W200</f>
        <v>190</v>
      </c>
      <c r="Y200" s="337">
        <v>174</v>
      </c>
      <c r="Z200" s="338">
        <v>180</v>
      </c>
      <c r="AA200" s="338">
        <v>203</v>
      </c>
      <c r="AB200" s="1684">
        <v>209</v>
      </c>
      <c r="AC200" s="647">
        <f>AB200</f>
        <v>209</v>
      </c>
      <c r="AD200" s="337">
        <v>201</v>
      </c>
      <c r="AE200" s="338">
        <v>211</v>
      </c>
      <c r="AF200" s="338">
        <v>225</v>
      </c>
      <c r="AG200" s="1684">
        <v>235</v>
      </c>
      <c r="AH200" s="647">
        <f>AG200</f>
        <v>235</v>
      </c>
      <c r="AI200" s="337">
        <v>116</v>
      </c>
      <c r="AJ200" s="338">
        <v>119</v>
      </c>
      <c r="AK200" s="338">
        <v>153</v>
      </c>
      <c r="AL200" s="1684">
        <v>122</v>
      </c>
      <c r="AM200" s="647">
        <f>AL200</f>
        <v>122</v>
      </c>
      <c r="AN200" s="337">
        <v>140</v>
      </c>
      <c r="AO200" s="338">
        <v>136</v>
      </c>
      <c r="AP200" s="338">
        <v>146</v>
      </c>
      <c r="AQ200" s="1684">
        <v>131</v>
      </c>
      <c r="AR200" s="647">
        <f>AQ200</f>
        <v>131</v>
      </c>
      <c r="AS200" s="290">
        <f>AR200+AS142+AS158</f>
        <v>160.74284406027229</v>
      </c>
      <c r="AT200" s="260">
        <f ca="1">AS200+AT142+AT158</f>
        <v>192.20343275359201</v>
      </c>
      <c r="AU200" s="260">
        <f ca="1">AT200+AU142+AU158</f>
        <v>269.07631833012863</v>
      </c>
      <c r="AV200" s="291">
        <f ca="1">AU200+AV142+AV158</f>
        <v>298.24959658601017</v>
      </c>
      <c r="AW200" s="45">
        <f t="shared" ca="1" si="563"/>
        <v>298.24959658601017</v>
      </c>
      <c r="AX200" s="290">
        <f ca="1">AW200+AX142+AX158</f>
        <v>308.05065389654777</v>
      </c>
      <c r="AY200" s="260">
        <f ca="1">AX200+AY142+AY158</f>
        <v>319.37700203597058</v>
      </c>
      <c r="AZ200" s="260">
        <f ca="1">AY200+AZ142+AZ158</f>
        <v>380.64201591199293</v>
      </c>
      <c r="BA200" s="291">
        <f ca="1">AZ200+BA142+BA158</f>
        <v>394.01473750819224</v>
      </c>
      <c r="BB200" s="45">
        <f t="shared" ca="1" si="568"/>
        <v>394.01473750819224</v>
      </c>
      <c r="BC200" s="290">
        <f ca="1">BB200+BC142+BC158</f>
        <v>404.37098734344823</v>
      </c>
      <c r="BD200" s="260">
        <f ca="1">BC200+BD142+BD158</f>
        <v>416.60870901339018</v>
      </c>
      <c r="BE200" s="260">
        <f ca="1">BD200+BE142+BE158</f>
        <v>473.94092583652821</v>
      </c>
      <c r="BF200" s="291">
        <f ca="1">BE200+BF142+BF158</f>
        <v>483.281873944491</v>
      </c>
      <c r="BG200" s="45">
        <f t="shared" ca="1" si="573"/>
        <v>483.281873944491</v>
      </c>
      <c r="BH200" s="290">
        <f ca="1">BG200+BH142+BH158</f>
        <v>481.86422216966537</v>
      </c>
      <c r="BI200" s="260">
        <f ca="1">BH200+BI142+BI158</f>
        <v>482.33146407589635</v>
      </c>
      <c r="BJ200" s="260">
        <f ca="1">BI200+BJ142+BJ158</f>
        <v>528.20034706097942</v>
      </c>
      <c r="BK200" s="291">
        <f ca="1">BJ200+BK142+BK158</f>
        <v>526.5827200277447</v>
      </c>
      <c r="BL200" s="45">
        <f t="shared" ca="1" si="578"/>
        <v>526.5827200277447</v>
      </c>
      <c r="BM200" s="1716"/>
      <c r="BN200" s="1716"/>
      <c r="BO200" s="1716"/>
      <c r="BP200" s="1716"/>
      <c r="BQ200" s="1716"/>
      <c r="BR200" s="1716"/>
      <c r="BS200" s="1716"/>
      <c r="BT200" s="1716"/>
      <c r="BU200" s="1716"/>
      <c r="BV200" s="1716"/>
      <c r="BW200" s="1716"/>
      <c r="BX200" s="1716"/>
      <c r="BY200" s="1716"/>
      <c r="BZ200" s="1716"/>
      <c r="CA200" s="1716"/>
      <c r="CB200" s="1716"/>
      <c r="CC200" s="1716"/>
      <c r="CD200" s="1716"/>
      <c r="CE200" s="1716"/>
      <c r="CF200" s="1716"/>
      <c r="CG200" s="1716"/>
      <c r="CH200" s="1716"/>
      <c r="CI200" s="1716"/>
      <c r="CJ200" s="1716"/>
      <c r="CK200" s="1716"/>
      <c r="CL200" s="1716"/>
      <c r="CM200" s="1716"/>
      <c r="CN200" s="1716"/>
      <c r="CO200" s="1716"/>
      <c r="CP200" s="1716"/>
    </row>
    <row r="201" spans="1:94" s="1909" customFormat="1">
      <c r="A201" s="1756"/>
      <c r="B201" s="1756"/>
      <c r="C201" s="1756" t="s">
        <v>967</v>
      </c>
      <c r="D201" s="1756"/>
      <c r="E201" s="1906"/>
      <c r="F201" s="1907"/>
      <c r="G201" s="1907"/>
      <c r="H201" s="1908"/>
      <c r="I201" s="1756"/>
      <c r="J201" s="1906"/>
      <c r="K201" s="1907"/>
      <c r="L201" s="1907"/>
      <c r="M201" s="1908"/>
      <c r="N201" s="1756"/>
      <c r="O201" s="1906"/>
      <c r="P201" s="1907"/>
      <c r="Q201" s="1907"/>
      <c r="R201" s="1908"/>
      <c r="S201" s="1756"/>
      <c r="T201" s="292">
        <f t="shared" ref="T201:Y201" si="579">SUM(T198:T200)</f>
        <v>811</v>
      </c>
      <c r="U201" s="261">
        <f t="shared" si="579"/>
        <v>893</v>
      </c>
      <c r="V201" s="261">
        <f t="shared" si="579"/>
        <v>893</v>
      </c>
      <c r="W201" s="293">
        <f t="shared" si="579"/>
        <v>867</v>
      </c>
      <c r="X201" s="583">
        <f>W201</f>
        <v>867</v>
      </c>
      <c r="Y201" s="292">
        <f t="shared" si="579"/>
        <v>851</v>
      </c>
      <c r="Z201" s="261">
        <f t="shared" ref="Z201:AW201" si="580">SUM(Z198:Z200)</f>
        <v>857</v>
      </c>
      <c r="AA201" s="261">
        <f t="shared" ref="AA201" si="581">SUM(AA198:AA200)</f>
        <v>880</v>
      </c>
      <c r="AB201" s="293">
        <f t="shared" ref="AB201" si="582">SUM(AB198:AB200)</f>
        <v>886</v>
      </c>
      <c r="AC201" s="583">
        <f>AB201</f>
        <v>886</v>
      </c>
      <c r="AD201" s="292">
        <f t="shared" ref="AD201" si="583">SUM(AD198:AD200)</f>
        <v>878</v>
      </c>
      <c r="AE201" s="261">
        <f t="shared" ref="AE201:AG201" si="584">SUM(AE198:AE200)</f>
        <v>888</v>
      </c>
      <c r="AF201" s="261">
        <f t="shared" si="584"/>
        <v>902</v>
      </c>
      <c r="AG201" s="293">
        <f t="shared" si="584"/>
        <v>1007</v>
      </c>
      <c r="AH201" s="583">
        <f>AG201</f>
        <v>1007</v>
      </c>
      <c r="AI201" s="292">
        <f t="shared" ref="AI201:AL201" si="585">SUM(AI198:AI200)</f>
        <v>889</v>
      </c>
      <c r="AJ201" s="261">
        <f t="shared" si="585"/>
        <v>1031</v>
      </c>
      <c r="AK201" s="261">
        <f t="shared" si="585"/>
        <v>1065</v>
      </c>
      <c r="AL201" s="293">
        <f t="shared" si="585"/>
        <v>1034</v>
      </c>
      <c r="AM201" s="583">
        <f>AL201</f>
        <v>1034</v>
      </c>
      <c r="AN201" s="292">
        <f t="shared" ref="AN201:AQ201" si="586">SUM(AN198:AN200)</f>
        <v>1052</v>
      </c>
      <c r="AO201" s="261">
        <f t="shared" si="586"/>
        <v>1048</v>
      </c>
      <c r="AP201" s="261">
        <f t="shared" si="586"/>
        <v>1058</v>
      </c>
      <c r="AQ201" s="293">
        <f t="shared" si="586"/>
        <v>1043</v>
      </c>
      <c r="AR201" s="583">
        <f>AQ201</f>
        <v>1043</v>
      </c>
      <c r="AS201" s="292">
        <f t="shared" si="580"/>
        <v>1072.7428440602723</v>
      </c>
      <c r="AT201" s="261">
        <f t="shared" ca="1" si="580"/>
        <v>1104.2034327535921</v>
      </c>
      <c r="AU201" s="261">
        <f t="shared" ca="1" si="580"/>
        <v>1181.0763183301287</v>
      </c>
      <c r="AV201" s="293">
        <f t="shared" ca="1" si="580"/>
        <v>1210.2495965860103</v>
      </c>
      <c r="AW201" s="228">
        <f t="shared" ca="1" si="580"/>
        <v>1210.2495965860103</v>
      </c>
      <c r="AX201" s="292">
        <f t="shared" ref="AX201:BG201" ca="1" si="587">SUM(AX198:AX200)</f>
        <v>1220.0506538965478</v>
      </c>
      <c r="AY201" s="261">
        <f t="shared" ca="1" si="587"/>
        <v>1231.3770020359707</v>
      </c>
      <c r="AZ201" s="261">
        <f t="shared" ca="1" si="587"/>
        <v>1292.642015911993</v>
      </c>
      <c r="BA201" s="293">
        <f t="shared" ca="1" si="587"/>
        <v>1306.0147375081922</v>
      </c>
      <c r="BB201" s="228">
        <f t="shared" ca="1" si="587"/>
        <v>1306.0147375081922</v>
      </c>
      <c r="BC201" s="292">
        <f t="shared" ca="1" si="587"/>
        <v>1316.3709873434482</v>
      </c>
      <c r="BD201" s="261">
        <f t="shared" ca="1" si="587"/>
        <v>1328.6087090133901</v>
      </c>
      <c r="BE201" s="261">
        <f t="shared" ca="1" si="587"/>
        <v>1385.9409258365281</v>
      </c>
      <c r="BF201" s="293">
        <f t="shared" ca="1" si="587"/>
        <v>1395.2818739444911</v>
      </c>
      <c r="BG201" s="228">
        <f t="shared" ca="1" si="587"/>
        <v>1395.2818739444911</v>
      </c>
      <c r="BH201" s="292">
        <f t="shared" ref="BH201:BL201" ca="1" si="588">SUM(BH198:BH200)</f>
        <v>1393.8642221696655</v>
      </c>
      <c r="BI201" s="261">
        <f t="shared" ca="1" si="588"/>
        <v>1394.3314640758963</v>
      </c>
      <c r="BJ201" s="261">
        <f t="shared" ca="1" si="588"/>
        <v>1440.2003470609793</v>
      </c>
      <c r="BK201" s="293">
        <f t="shared" ca="1" si="588"/>
        <v>1438.5827200277447</v>
      </c>
      <c r="BL201" s="228">
        <f t="shared" ca="1" si="588"/>
        <v>1438.5827200277447</v>
      </c>
      <c r="BM201" s="1756"/>
      <c r="BN201" s="1756"/>
      <c r="BO201" s="1756"/>
      <c r="BP201" s="1756"/>
      <c r="BQ201" s="1756"/>
      <c r="BR201" s="1756"/>
      <c r="BS201" s="1756"/>
      <c r="BT201" s="1756"/>
      <c r="BU201" s="1756"/>
      <c r="BV201" s="1756"/>
      <c r="BW201" s="1756"/>
      <c r="BX201" s="1756"/>
      <c r="BY201" s="1756"/>
      <c r="BZ201" s="1756"/>
      <c r="CA201" s="1756"/>
      <c r="CB201" s="1756"/>
      <c r="CC201" s="1756"/>
      <c r="CD201" s="1756"/>
      <c r="CE201" s="1756"/>
      <c r="CF201" s="1756"/>
      <c r="CG201" s="1756"/>
      <c r="CH201" s="1756"/>
      <c r="CI201" s="1756"/>
      <c r="CJ201" s="1756"/>
      <c r="CK201" s="1756"/>
      <c r="CL201" s="1756"/>
      <c r="CM201" s="1756"/>
      <c r="CN201" s="1756"/>
      <c r="CO201" s="1756"/>
      <c r="CP201" s="1756"/>
    </row>
    <row r="202" spans="1:94">
      <c r="A202" s="1716"/>
      <c r="B202" s="1716"/>
      <c r="C202" s="1716"/>
      <c r="D202" s="1716"/>
      <c r="E202" s="1717"/>
      <c r="F202" s="1718"/>
      <c r="G202" s="1718"/>
      <c r="H202" s="1719"/>
      <c r="I202" s="1716"/>
      <c r="J202" s="1717"/>
      <c r="K202" s="1718"/>
      <c r="L202" s="1718"/>
      <c r="M202" s="1719"/>
      <c r="N202" s="1716"/>
      <c r="O202" s="1717"/>
      <c r="P202" s="1718"/>
      <c r="Q202" s="1718"/>
      <c r="R202" s="1719"/>
      <c r="S202" s="1716"/>
      <c r="T202" s="337"/>
      <c r="U202" s="338"/>
      <c r="V202" s="338"/>
      <c r="W202" s="1684"/>
      <c r="X202" s="647"/>
      <c r="Y202" s="337"/>
      <c r="Z202" s="338"/>
      <c r="AA202" s="338"/>
      <c r="AB202" s="1684"/>
      <c r="AC202" s="647"/>
      <c r="AD202" s="337"/>
      <c r="AE202" s="338"/>
      <c r="AF202" s="338"/>
      <c r="AG202" s="1684"/>
      <c r="AH202" s="647"/>
      <c r="AI202" s="337"/>
      <c r="AJ202" s="338"/>
      <c r="AK202" s="338"/>
      <c r="AL202" s="1684"/>
      <c r="AM202" s="647"/>
      <c r="AN202" s="337"/>
      <c r="AO202" s="338"/>
      <c r="AP202" s="260"/>
      <c r="AQ202" s="1684"/>
      <c r="AR202" s="647"/>
      <c r="AS202" s="290"/>
      <c r="AT202" s="260"/>
      <c r="AU202" s="260"/>
      <c r="AV202" s="291"/>
      <c r="AW202" s="45"/>
      <c r="AX202" s="290"/>
      <c r="AY202" s="260"/>
      <c r="AZ202" s="260"/>
      <c r="BA202" s="291"/>
      <c r="BB202" s="45"/>
      <c r="BC202" s="290"/>
      <c r="BD202" s="260"/>
      <c r="BE202" s="260"/>
      <c r="BF202" s="291"/>
      <c r="BG202" s="45"/>
      <c r="BH202" s="290"/>
      <c r="BI202" s="260"/>
      <c r="BJ202" s="260"/>
      <c r="BK202" s="291"/>
      <c r="BL202" s="45"/>
      <c r="BM202" s="1716"/>
      <c r="BN202" s="1716"/>
      <c r="BO202" s="1716"/>
      <c r="BP202" s="1716"/>
      <c r="BQ202" s="1716"/>
      <c r="BR202" s="1716"/>
      <c r="BS202" s="1716"/>
      <c r="BT202" s="1716"/>
      <c r="BU202" s="1716"/>
      <c r="BV202" s="1716"/>
      <c r="BW202" s="1716"/>
      <c r="BX202" s="1716"/>
      <c r="BY202" s="1716"/>
      <c r="BZ202" s="1716"/>
      <c r="CA202" s="1716"/>
      <c r="CB202" s="1716"/>
      <c r="CC202" s="1716"/>
      <c r="CD202" s="1716"/>
      <c r="CE202" s="1716"/>
      <c r="CF202" s="1716"/>
      <c r="CG202" s="1716"/>
      <c r="CH202" s="1716"/>
      <c r="CI202" s="1716"/>
      <c r="CJ202" s="1716"/>
      <c r="CK202" s="1716"/>
      <c r="CL202" s="1716"/>
      <c r="CM202" s="1716"/>
      <c r="CN202" s="1716"/>
      <c r="CO202" s="1716"/>
      <c r="CP202" s="1716"/>
    </row>
    <row r="203" spans="1:94" s="1909" customFormat="1">
      <c r="A203" s="1756"/>
      <c r="B203" s="1756"/>
      <c r="C203" s="1756" t="s">
        <v>970</v>
      </c>
      <c r="D203" s="1756"/>
      <c r="E203" s="1906"/>
      <c r="F203" s="1907"/>
      <c r="G203" s="1907"/>
      <c r="H203" s="1908"/>
      <c r="I203" s="1756"/>
      <c r="J203" s="1906"/>
      <c r="K203" s="1907"/>
      <c r="L203" s="1907"/>
      <c r="M203" s="1908"/>
      <c r="N203" s="1756"/>
      <c r="O203" s="1906"/>
      <c r="P203" s="1907"/>
      <c r="Q203" s="1907"/>
      <c r="R203" s="1908"/>
      <c r="S203" s="1756"/>
      <c r="T203" s="292">
        <f t="shared" ref="T203:Y203" si="589">T201+T196</f>
        <v>3282</v>
      </c>
      <c r="U203" s="261">
        <f t="shared" si="589"/>
        <v>3329</v>
      </c>
      <c r="V203" s="261">
        <f t="shared" si="589"/>
        <v>3323</v>
      </c>
      <c r="W203" s="293">
        <f t="shared" si="589"/>
        <v>3275</v>
      </c>
      <c r="X203" s="583">
        <f t="shared" si="589"/>
        <v>3275</v>
      </c>
      <c r="Y203" s="292">
        <f t="shared" si="589"/>
        <v>3225</v>
      </c>
      <c r="Z203" s="261">
        <f t="shared" ref="Z203:AD203" si="590">Z201+Z196</f>
        <v>3262</v>
      </c>
      <c r="AA203" s="261">
        <f t="shared" si="590"/>
        <v>3274</v>
      </c>
      <c r="AB203" s="293">
        <f t="shared" si="590"/>
        <v>3262</v>
      </c>
      <c r="AC203" s="583">
        <f t="shared" si="590"/>
        <v>3262</v>
      </c>
      <c r="AD203" s="292">
        <f t="shared" si="590"/>
        <v>3292</v>
      </c>
      <c r="AE203" s="261">
        <f t="shared" ref="AE203:AI203" si="591">AE201+AE196</f>
        <v>3390</v>
      </c>
      <c r="AF203" s="261">
        <f t="shared" si="591"/>
        <v>3405</v>
      </c>
      <c r="AG203" s="293">
        <f t="shared" si="591"/>
        <v>3417</v>
      </c>
      <c r="AH203" s="583">
        <f t="shared" si="591"/>
        <v>3417</v>
      </c>
      <c r="AI203" s="292">
        <f t="shared" si="591"/>
        <v>3393</v>
      </c>
      <c r="AJ203" s="261">
        <f t="shared" ref="AJ203:AM203" si="592">AJ201+AJ196</f>
        <v>3461</v>
      </c>
      <c r="AK203" s="261">
        <f t="shared" si="592"/>
        <v>3507</v>
      </c>
      <c r="AL203" s="293">
        <f t="shared" si="592"/>
        <v>3457</v>
      </c>
      <c r="AM203" s="583">
        <f t="shared" si="592"/>
        <v>3457</v>
      </c>
      <c r="AN203" s="292">
        <f t="shared" ref="AN203:AO203" si="593">AN201+AN196</f>
        <v>3451</v>
      </c>
      <c r="AO203" s="261">
        <f t="shared" si="593"/>
        <v>3478</v>
      </c>
      <c r="AP203" s="258">
        <f t="shared" ref="AP203:AW203" si="594">AP201+AP196</f>
        <v>3510</v>
      </c>
      <c r="AQ203" s="293">
        <f t="shared" si="594"/>
        <v>3445</v>
      </c>
      <c r="AR203" s="583">
        <f t="shared" si="594"/>
        <v>3445</v>
      </c>
      <c r="AS203" s="286">
        <f t="shared" ca="1" si="594"/>
        <v>3506.2098472904372</v>
      </c>
      <c r="AT203" s="258">
        <f t="shared" ca="1" si="594"/>
        <v>3569.0996242533297</v>
      </c>
      <c r="AU203" s="258">
        <f t="shared" ca="1" si="594"/>
        <v>3664.7155116721619</v>
      </c>
      <c r="AV203" s="287">
        <f t="shared" ca="1" si="594"/>
        <v>3699.1018543753876</v>
      </c>
      <c r="AW203" s="341">
        <f t="shared" ca="1" si="594"/>
        <v>3699.1018543753876</v>
      </c>
      <c r="AX203" s="286">
        <f t="shared" ref="AX203:BG203" ca="1" si="595">AX201+AX196</f>
        <v>3745.0862382897467</v>
      </c>
      <c r="AY203" s="258">
        <f t="shared" ca="1" si="595"/>
        <v>3796.3434052968869</v>
      </c>
      <c r="AZ203" s="258">
        <f t="shared" ca="1" si="595"/>
        <v>3876.6719985048107</v>
      </c>
      <c r="BA203" s="287">
        <f t="shared" ca="1" si="595"/>
        <v>3897.4515102914365</v>
      </c>
      <c r="BB203" s="341">
        <f t="shared" ca="1" si="595"/>
        <v>3897.4515102914365</v>
      </c>
      <c r="BC203" s="286">
        <f t="shared" ca="1" si="595"/>
        <v>3946.7032405327241</v>
      </c>
      <c r="BD203" s="258">
        <f t="shared" ca="1" si="595"/>
        <v>3995.5026817169251</v>
      </c>
      <c r="BE203" s="258">
        <f t="shared" ca="1" si="595"/>
        <v>4073.8279585823543</v>
      </c>
      <c r="BF203" s="287">
        <f t="shared" ca="1" si="595"/>
        <v>4091.7617581242539</v>
      </c>
      <c r="BG203" s="341">
        <f t="shared" ca="1" si="595"/>
        <v>4091.7617581242539</v>
      </c>
      <c r="BH203" s="286">
        <f t="shared" ref="BH203:BL203" ca="1" si="596">BH201+BH196</f>
        <v>4119.0137120476011</v>
      </c>
      <c r="BI203" s="258">
        <f t="shared" ca="1" si="596"/>
        <v>4145.6011885203006</v>
      </c>
      <c r="BJ203" s="258">
        <f t="shared" ca="1" si="596"/>
        <v>4195.9912437950206</v>
      </c>
      <c r="BK203" s="287">
        <f t="shared" ca="1" si="596"/>
        <v>4202.430148252095</v>
      </c>
      <c r="BL203" s="341">
        <f t="shared" ca="1" si="596"/>
        <v>4202.430148252095</v>
      </c>
      <c r="BM203" s="1756"/>
      <c r="BN203" s="1756"/>
      <c r="BO203" s="1756"/>
      <c r="BP203" s="1756"/>
      <c r="BQ203" s="1756"/>
      <c r="BR203" s="1756"/>
      <c r="BS203" s="1756"/>
      <c r="BT203" s="1756"/>
      <c r="BU203" s="1756"/>
      <c r="BV203" s="1756"/>
      <c r="BW203" s="1756"/>
      <c r="BX203" s="1756"/>
      <c r="BY203" s="1756"/>
      <c r="BZ203" s="1756"/>
      <c r="CA203" s="1756"/>
      <c r="CB203" s="1756"/>
      <c r="CC203" s="1756"/>
      <c r="CD203" s="1756"/>
      <c r="CE203" s="1756"/>
      <c r="CF203" s="1756"/>
      <c r="CG203" s="1756"/>
      <c r="CH203" s="1756"/>
      <c r="CI203" s="1756"/>
      <c r="CJ203" s="1756"/>
      <c r="CK203" s="1756"/>
      <c r="CL203" s="1756"/>
      <c r="CM203" s="1756"/>
      <c r="CN203" s="1756"/>
      <c r="CO203" s="1756"/>
      <c r="CP203" s="1756"/>
    </row>
    <row r="204" spans="1:94">
      <c r="A204" s="1716"/>
      <c r="B204" s="1716"/>
      <c r="C204" s="1716"/>
      <c r="D204" s="1716"/>
      <c r="E204" s="1717"/>
      <c r="F204" s="1718"/>
      <c r="G204" s="1718"/>
      <c r="H204" s="1719"/>
      <c r="I204" s="1716"/>
      <c r="J204" s="1717"/>
      <c r="K204" s="1718"/>
      <c r="L204" s="1718"/>
      <c r="M204" s="1719"/>
      <c r="N204" s="1716"/>
      <c r="O204" s="1717"/>
      <c r="P204" s="1718"/>
      <c r="Q204" s="1718"/>
      <c r="R204" s="1719"/>
      <c r="S204" s="1716"/>
      <c r="T204" s="337"/>
      <c r="U204" s="338"/>
      <c r="V204" s="338"/>
      <c r="W204" s="1684"/>
      <c r="X204" s="647"/>
      <c r="Y204" s="337"/>
      <c r="Z204" s="338"/>
      <c r="AA204" s="353"/>
      <c r="AB204" s="354"/>
      <c r="AC204" s="340"/>
      <c r="AD204" s="337"/>
      <c r="AE204" s="338"/>
      <c r="AF204" s="353"/>
      <c r="AG204" s="354"/>
      <c r="AH204" s="340"/>
      <c r="AI204" s="337"/>
      <c r="AJ204" s="353"/>
      <c r="AK204" s="353"/>
      <c r="AL204" s="354"/>
      <c r="AM204" s="340"/>
      <c r="AN204" s="337"/>
      <c r="AO204" s="353"/>
      <c r="AP204" s="353"/>
      <c r="AQ204" s="354"/>
      <c r="AR204" s="340"/>
      <c r="AS204" s="369"/>
      <c r="AT204" s="353"/>
      <c r="AU204" s="353"/>
      <c r="AV204" s="354"/>
      <c r="AW204" s="340"/>
      <c r="AX204" s="369"/>
      <c r="AY204" s="353"/>
      <c r="AZ204" s="353"/>
      <c r="BA204" s="354"/>
      <c r="BB204" s="340"/>
      <c r="BC204" s="369"/>
      <c r="BD204" s="353"/>
      <c r="BE204" s="353"/>
      <c r="BF204" s="354"/>
      <c r="BG204" s="340"/>
      <c r="BH204" s="369"/>
      <c r="BI204" s="353"/>
      <c r="BJ204" s="353"/>
      <c r="BK204" s="354"/>
      <c r="BL204" s="340"/>
      <c r="BM204" s="1716"/>
      <c r="BN204" s="1716"/>
      <c r="BO204" s="1716"/>
      <c r="BP204" s="1716"/>
      <c r="BQ204" s="1716"/>
      <c r="BR204" s="1716"/>
      <c r="BS204" s="1716"/>
      <c r="BT204" s="1716"/>
      <c r="BU204" s="1716"/>
      <c r="BV204" s="1716"/>
      <c r="BW204" s="1716"/>
      <c r="BX204" s="1716"/>
      <c r="BY204" s="1716"/>
      <c r="BZ204" s="1716"/>
      <c r="CA204" s="1716"/>
      <c r="CB204" s="1716"/>
      <c r="CC204" s="1716"/>
      <c r="CD204" s="1716"/>
      <c r="CE204" s="1716"/>
      <c r="CF204" s="1716"/>
      <c r="CG204" s="1716"/>
      <c r="CH204" s="1716"/>
      <c r="CI204" s="1716"/>
      <c r="CJ204" s="1716"/>
      <c r="CK204" s="1716"/>
      <c r="CL204" s="1716"/>
      <c r="CM204" s="1716"/>
      <c r="CN204" s="1716"/>
      <c r="CO204" s="1716"/>
      <c r="CP204" s="1716"/>
    </row>
    <row r="205" spans="1:94">
      <c r="A205" s="1716"/>
      <c r="B205" s="1716"/>
      <c r="C205" s="1716" t="s">
        <v>969</v>
      </c>
      <c r="D205" s="1716"/>
      <c r="E205" s="1717"/>
      <c r="F205" s="1718"/>
      <c r="G205" s="1718"/>
      <c r="H205" s="1719"/>
      <c r="I205" s="1716"/>
      <c r="J205" s="1717"/>
      <c r="K205" s="1718"/>
      <c r="L205" s="1718"/>
      <c r="M205" s="1719"/>
      <c r="N205" s="1716"/>
      <c r="O205" s="1717"/>
      <c r="P205" s="1718"/>
      <c r="Q205" s="1718"/>
      <c r="R205" s="1719"/>
      <c r="S205" s="1716"/>
      <c r="T205" s="662">
        <f t="shared" ref="T205:AW205" si="597">T182-T203</f>
        <v>0</v>
      </c>
      <c r="U205" s="663">
        <f t="shared" si="597"/>
        <v>0</v>
      </c>
      <c r="V205" s="663">
        <f t="shared" si="597"/>
        <v>0</v>
      </c>
      <c r="W205" s="664">
        <f t="shared" si="597"/>
        <v>0</v>
      </c>
      <c r="X205" s="665">
        <f t="shared" si="597"/>
        <v>0</v>
      </c>
      <c r="Y205" s="662">
        <f t="shared" si="597"/>
        <v>0</v>
      </c>
      <c r="Z205" s="663">
        <f t="shared" si="597"/>
        <v>0</v>
      </c>
      <c r="AA205" s="353">
        <f t="shared" si="597"/>
        <v>0</v>
      </c>
      <c r="AB205" s="354">
        <f t="shared" si="597"/>
        <v>0</v>
      </c>
      <c r="AC205" s="340">
        <f t="shared" si="597"/>
        <v>0</v>
      </c>
      <c r="AD205" s="662">
        <f t="shared" ref="AD205:AH205" si="598">AD182-AD203</f>
        <v>0</v>
      </c>
      <c r="AE205" s="663">
        <f t="shared" si="598"/>
        <v>0</v>
      </c>
      <c r="AF205" s="353">
        <f t="shared" si="598"/>
        <v>0</v>
      </c>
      <c r="AG205" s="354">
        <f t="shared" si="598"/>
        <v>0</v>
      </c>
      <c r="AH205" s="340">
        <f t="shared" si="598"/>
        <v>0</v>
      </c>
      <c r="AI205" s="662">
        <f t="shared" ref="AI205" si="599">AI182-AI203</f>
        <v>0</v>
      </c>
      <c r="AJ205" s="353">
        <f t="shared" si="597"/>
        <v>0</v>
      </c>
      <c r="AK205" s="353">
        <f t="shared" si="597"/>
        <v>0</v>
      </c>
      <c r="AL205" s="354">
        <f t="shared" si="597"/>
        <v>0</v>
      </c>
      <c r="AM205" s="340">
        <f t="shared" si="597"/>
        <v>0</v>
      </c>
      <c r="AN205" s="662">
        <f t="shared" ref="AN205:AO205" si="600">AN182-AN203</f>
        <v>0</v>
      </c>
      <c r="AO205" s="353">
        <f t="shared" si="600"/>
        <v>0</v>
      </c>
      <c r="AP205" s="353">
        <f t="shared" si="597"/>
        <v>0</v>
      </c>
      <c r="AQ205" s="354">
        <f t="shared" ref="AQ205:AR205" si="601">AQ182-AQ203</f>
        <v>0</v>
      </c>
      <c r="AR205" s="340">
        <f t="shared" si="601"/>
        <v>0</v>
      </c>
      <c r="AS205" s="369">
        <f t="shared" ca="1" si="597"/>
        <v>0</v>
      </c>
      <c r="AT205" s="353">
        <f t="shared" ca="1" si="597"/>
        <v>0</v>
      </c>
      <c r="AU205" s="353">
        <f t="shared" ca="1" si="597"/>
        <v>0</v>
      </c>
      <c r="AV205" s="354">
        <f t="shared" ca="1" si="597"/>
        <v>0</v>
      </c>
      <c r="AW205" s="340">
        <f t="shared" ca="1" si="597"/>
        <v>0</v>
      </c>
      <c r="AX205" s="369">
        <f t="shared" ref="AX205:BG205" ca="1" si="602">AX182-AX203</f>
        <v>0</v>
      </c>
      <c r="AY205" s="353">
        <f t="shared" ca="1" si="602"/>
        <v>0</v>
      </c>
      <c r="AZ205" s="353">
        <f t="shared" ca="1" si="602"/>
        <v>0</v>
      </c>
      <c r="BA205" s="354">
        <f t="shared" ca="1" si="602"/>
        <v>0</v>
      </c>
      <c r="BB205" s="340">
        <f t="shared" ca="1" si="602"/>
        <v>0</v>
      </c>
      <c r="BC205" s="369">
        <f t="shared" ca="1" si="602"/>
        <v>0</v>
      </c>
      <c r="BD205" s="353">
        <f t="shared" ca="1" si="602"/>
        <v>0</v>
      </c>
      <c r="BE205" s="353">
        <f t="shared" ca="1" si="602"/>
        <v>0</v>
      </c>
      <c r="BF205" s="354">
        <f t="shared" ca="1" si="602"/>
        <v>0</v>
      </c>
      <c r="BG205" s="340">
        <f t="shared" ca="1" si="602"/>
        <v>0</v>
      </c>
      <c r="BH205" s="369">
        <f t="shared" ref="BH205:BL205" ca="1" si="603">BH182-BH203</f>
        <v>0</v>
      </c>
      <c r="BI205" s="353">
        <f t="shared" ca="1" si="603"/>
        <v>0</v>
      </c>
      <c r="BJ205" s="353">
        <f t="shared" ca="1" si="603"/>
        <v>0</v>
      </c>
      <c r="BK205" s="354">
        <f t="shared" ca="1" si="603"/>
        <v>0</v>
      </c>
      <c r="BL205" s="340">
        <f t="shared" ca="1" si="603"/>
        <v>0</v>
      </c>
      <c r="BM205" s="1716"/>
      <c r="BN205" s="1716"/>
      <c r="BO205" s="1716"/>
      <c r="BP205" s="1716"/>
      <c r="BQ205" s="1716"/>
      <c r="BR205" s="1716"/>
      <c r="BS205" s="1716"/>
      <c r="BT205" s="1716"/>
      <c r="BU205" s="1716"/>
      <c r="BV205" s="1716"/>
      <c r="BW205" s="1716"/>
      <c r="BX205" s="1716"/>
      <c r="BY205" s="1716"/>
      <c r="BZ205" s="1716"/>
      <c r="CA205" s="1716"/>
      <c r="CB205" s="1716"/>
      <c r="CC205" s="1716"/>
      <c r="CD205" s="1716"/>
      <c r="CE205" s="1716"/>
      <c r="CF205" s="1716"/>
      <c r="CG205" s="1716"/>
      <c r="CH205" s="1716"/>
      <c r="CI205" s="1716"/>
      <c r="CJ205" s="1716"/>
      <c r="CK205" s="1716"/>
      <c r="CL205" s="1716"/>
      <c r="CM205" s="1716"/>
      <c r="CN205" s="1716"/>
      <c r="CO205" s="1716"/>
      <c r="CP205" s="1716"/>
    </row>
    <row r="206" spans="1:94">
      <c r="A206" s="1716"/>
      <c r="B206" s="1716"/>
      <c r="C206" s="1716"/>
      <c r="D206" s="1716"/>
      <c r="E206" s="1717"/>
      <c r="F206" s="1718"/>
      <c r="G206" s="1718"/>
      <c r="H206" s="1719"/>
      <c r="I206" s="1716"/>
      <c r="J206" s="1717"/>
      <c r="K206" s="1718"/>
      <c r="L206" s="1718"/>
      <c r="M206" s="1719"/>
      <c r="N206" s="1716"/>
      <c r="O206" s="1717"/>
      <c r="P206" s="1718"/>
      <c r="Q206" s="1718"/>
      <c r="R206" s="1719"/>
      <c r="S206" s="1716"/>
      <c r="T206" s="337"/>
      <c r="U206" s="338"/>
      <c r="V206" s="338"/>
      <c r="W206" s="1684"/>
      <c r="X206" s="647"/>
      <c r="Y206" s="337"/>
      <c r="Z206" s="338"/>
      <c r="AA206" s="1910"/>
      <c r="AB206" s="1911"/>
      <c r="AC206" s="1912"/>
      <c r="AD206" s="337"/>
      <c r="AE206" s="338"/>
      <c r="AF206" s="1910"/>
      <c r="AG206" s="1911"/>
      <c r="AH206" s="1912"/>
      <c r="AI206" s="1717"/>
      <c r="AJ206" s="1718"/>
      <c r="AK206" s="1718"/>
      <c r="AL206" s="1719"/>
      <c r="AM206" s="1716"/>
      <c r="AN206" s="1717"/>
      <c r="AO206" s="1718"/>
      <c r="AP206" s="1718"/>
      <c r="AQ206" s="1719"/>
      <c r="AR206" s="1716"/>
      <c r="AS206" s="1717"/>
      <c r="AT206" s="1718"/>
      <c r="AU206" s="1718"/>
      <c r="AV206" s="1719"/>
      <c r="AW206" s="1716"/>
      <c r="AX206" s="1717"/>
      <c r="AY206" s="1718"/>
      <c r="AZ206" s="1718"/>
      <c r="BA206" s="1719"/>
      <c r="BB206" s="1716"/>
      <c r="BC206" s="1717"/>
      <c r="BD206" s="1718"/>
      <c r="BE206" s="1718"/>
      <c r="BF206" s="1719"/>
      <c r="BG206" s="1716"/>
      <c r="BH206" s="1717"/>
      <c r="BI206" s="1718"/>
      <c r="BJ206" s="1718"/>
      <c r="BK206" s="1719"/>
      <c r="BL206" s="1716"/>
      <c r="BM206" s="1716"/>
      <c r="BN206" s="1716"/>
      <c r="BO206" s="1716"/>
      <c r="BP206" s="1716"/>
      <c r="BQ206" s="1716"/>
      <c r="BR206" s="1716"/>
      <c r="BS206" s="1716"/>
      <c r="BT206" s="1716"/>
      <c r="BU206" s="1716"/>
      <c r="BV206" s="1716"/>
      <c r="BW206" s="1716"/>
      <c r="BX206" s="1716"/>
      <c r="BY206" s="1716"/>
      <c r="BZ206" s="1716"/>
      <c r="CA206" s="1716"/>
      <c r="CB206" s="1716"/>
      <c r="CC206" s="1716"/>
      <c r="CD206" s="1716"/>
      <c r="CE206" s="1716"/>
      <c r="CF206" s="1716"/>
      <c r="CG206" s="1716"/>
      <c r="CH206" s="1716"/>
      <c r="CI206" s="1716"/>
      <c r="CJ206" s="1716"/>
      <c r="CK206" s="1716"/>
      <c r="CL206" s="1716"/>
      <c r="CM206" s="1716"/>
      <c r="CN206" s="1716"/>
      <c r="CO206" s="1716"/>
      <c r="CP206" s="1716"/>
    </row>
    <row r="207" spans="1:94">
      <c r="A207" s="1716"/>
      <c r="B207" s="1771" t="s">
        <v>315</v>
      </c>
      <c r="C207" s="1772"/>
      <c r="D207" s="1773"/>
      <c r="E207" s="1717"/>
      <c r="F207" s="1718"/>
      <c r="G207" s="1718"/>
      <c r="H207" s="1719"/>
      <c r="I207" s="1716"/>
      <c r="J207" s="1717"/>
      <c r="K207" s="1718"/>
      <c r="L207" s="1718"/>
      <c r="M207" s="1719"/>
      <c r="N207" s="1716"/>
      <c r="O207" s="1717"/>
      <c r="P207" s="1718"/>
      <c r="Q207" s="1718"/>
      <c r="R207" s="1719"/>
      <c r="S207" s="1716"/>
      <c r="T207" s="1717"/>
      <c r="U207" s="1718"/>
      <c r="V207" s="1718"/>
      <c r="W207" s="1719"/>
      <c r="X207" s="1716"/>
      <c r="Y207" s="1717"/>
      <c r="Z207" s="1718"/>
      <c r="AA207" s="1718"/>
      <c r="AB207" s="1719"/>
      <c r="AC207" s="1716"/>
      <c r="AD207" s="1717"/>
      <c r="AE207" s="1718"/>
      <c r="AF207" s="1718"/>
      <c r="AG207" s="1719"/>
      <c r="AH207" s="1716"/>
      <c r="AI207" s="1717"/>
      <c r="AJ207" s="1718"/>
      <c r="AK207" s="1718"/>
      <c r="AL207" s="1719"/>
      <c r="AM207" s="1716"/>
      <c r="AN207" s="1717"/>
      <c r="AO207" s="1718"/>
      <c r="AP207" s="1718"/>
      <c r="AQ207" s="1719"/>
      <c r="AR207" s="1716"/>
      <c r="AS207" s="1717"/>
      <c r="AT207" s="1718"/>
      <c r="AU207" s="1718"/>
      <c r="AV207" s="1719"/>
      <c r="AW207" s="1716"/>
      <c r="AX207" s="1717"/>
      <c r="AY207" s="1718"/>
      <c r="AZ207" s="1718"/>
      <c r="BA207" s="1719"/>
      <c r="BB207" s="1716"/>
      <c r="BC207" s="1717"/>
      <c r="BD207" s="1718"/>
      <c r="BE207" s="1718"/>
      <c r="BF207" s="1719"/>
      <c r="BG207" s="1716"/>
      <c r="BH207" s="1717"/>
      <c r="BI207" s="1718"/>
      <c r="BJ207" s="1718"/>
      <c r="BK207" s="1719"/>
      <c r="BL207" s="1716"/>
      <c r="BM207" s="1716"/>
      <c r="BN207" s="1716"/>
      <c r="BO207" s="1716"/>
      <c r="BP207" s="1716"/>
      <c r="BQ207" s="1716"/>
      <c r="BR207" s="1716"/>
      <c r="BS207" s="1716"/>
      <c r="BT207" s="1716"/>
      <c r="BU207" s="1716"/>
      <c r="BV207" s="1716"/>
      <c r="BW207" s="1716"/>
      <c r="BX207" s="1716"/>
      <c r="BY207" s="1716"/>
      <c r="BZ207" s="1716"/>
      <c r="CA207" s="1716"/>
      <c r="CB207" s="1716"/>
      <c r="CC207" s="1716"/>
      <c r="CD207" s="1716"/>
      <c r="CE207" s="1716"/>
      <c r="CF207" s="1716"/>
      <c r="CG207" s="1716"/>
      <c r="CH207" s="1716"/>
      <c r="CI207" s="1716"/>
      <c r="CJ207" s="1716"/>
      <c r="CK207" s="1716"/>
      <c r="CL207" s="1716"/>
      <c r="CM207" s="1716"/>
      <c r="CN207" s="1716"/>
      <c r="CO207" s="1716"/>
      <c r="CP207" s="1716"/>
    </row>
    <row r="208" spans="1:94">
      <c r="A208" s="45"/>
      <c r="B208" s="45"/>
      <c r="C208" s="391" t="s">
        <v>316</v>
      </c>
      <c r="D208" s="45"/>
      <c r="E208" s="337"/>
      <c r="F208" s="338"/>
      <c r="G208" s="338"/>
      <c r="H208" s="291"/>
      <c r="I208" s="1432">
        <v>4</v>
      </c>
      <c r="J208" s="337">
        <v>4</v>
      </c>
      <c r="K208" s="338">
        <v>4</v>
      </c>
      <c r="L208" s="338">
        <v>91</v>
      </c>
      <c r="M208" s="291">
        <f>N208</f>
        <v>91</v>
      </c>
      <c r="N208" s="1432">
        <v>91</v>
      </c>
      <c r="O208" s="337">
        <v>49</v>
      </c>
      <c r="P208" s="338">
        <v>3</v>
      </c>
      <c r="Q208" s="338">
        <v>7</v>
      </c>
      <c r="R208" s="291">
        <f>S208</f>
        <v>6</v>
      </c>
      <c r="S208" s="1432">
        <v>6</v>
      </c>
      <c r="T208" s="290">
        <f>T169</f>
        <v>10</v>
      </c>
      <c r="U208" s="260">
        <f t="shared" ref="U208:AW208" si="604">U169</f>
        <v>4</v>
      </c>
      <c r="V208" s="260">
        <f t="shared" si="604"/>
        <v>6</v>
      </c>
      <c r="W208" s="291">
        <f t="shared" si="604"/>
        <v>3</v>
      </c>
      <c r="X208" s="774">
        <f t="shared" si="604"/>
        <v>3</v>
      </c>
      <c r="Y208" s="290">
        <f t="shared" si="604"/>
        <v>7</v>
      </c>
      <c r="Z208" s="260">
        <f t="shared" si="604"/>
        <v>6</v>
      </c>
      <c r="AA208" s="260">
        <f t="shared" ref="AA208:AE208" si="605">AA169</f>
        <v>6</v>
      </c>
      <c r="AB208" s="291">
        <f t="shared" si="605"/>
        <v>2</v>
      </c>
      <c r="AC208" s="774">
        <f t="shared" si="605"/>
        <v>2</v>
      </c>
      <c r="AD208" s="290">
        <f t="shared" si="605"/>
        <v>6</v>
      </c>
      <c r="AE208" s="260">
        <f t="shared" si="605"/>
        <v>3</v>
      </c>
      <c r="AF208" s="260">
        <f t="shared" ref="AF208:AJ208" si="606">AF169</f>
        <v>4</v>
      </c>
      <c r="AG208" s="291">
        <f t="shared" si="606"/>
        <v>3</v>
      </c>
      <c r="AH208" s="774">
        <f t="shared" si="606"/>
        <v>3</v>
      </c>
      <c r="AI208" s="290">
        <f t="shared" si="606"/>
        <v>122</v>
      </c>
      <c r="AJ208" s="260">
        <f t="shared" si="606"/>
        <v>151</v>
      </c>
      <c r="AK208" s="260">
        <f t="shared" ref="AK208:AO208" si="607">AK169</f>
        <v>165</v>
      </c>
      <c r="AL208" s="291">
        <f t="shared" si="607"/>
        <v>101</v>
      </c>
      <c r="AM208" s="774">
        <f t="shared" si="607"/>
        <v>101</v>
      </c>
      <c r="AN208" s="290">
        <f t="shared" si="607"/>
        <v>54</v>
      </c>
      <c r="AO208" s="260">
        <f t="shared" si="607"/>
        <v>7</v>
      </c>
      <c r="AP208" s="260">
        <f t="shared" ref="AP208:AR208" si="608">AP169</f>
        <v>5</v>
      </c>
      <c r="AQ208" s="291">
        <f t="shared" si="608"/>
        <v>2</v>
      </c>
      <c r="AR208" s="774">
        <f t="shared" si="608"/>
        <v>2</v>
      </c>
      <c r="AS208" s="290">
        <f t="shared" ca="1" si="604"/>
        <v>0</v>
      </c>
      <c r="AT208" s="260">
        <f t="shared" ca="1" si="604"/>
        <v>0</v>
      </c>
      <c r="AU208" s="260">
        <f t="shared" ca="1" si="604"/>
        <v>33.306561630224962</v>
      </c>
      <c r="AV208" s="291">
        <f t="shared" ca="1" si="604"/>
        <v>5.9585428197357828</v>
      </c>
      <c r="AW208" s="45">
        <f t="shared" ca="1" si="604"/>
        <v>5.9585428197357828</v>
      </c>
      <c r="AX208" s="290">
        <f t="shared" ref="AX208:BG208" ca="1" si="609">AX169</f>
        <v>0</v>
      </c>
      <c r="AY208" s="260">
        <f t="shared" ca="1" si="609"/>
        <v>0</v>
      </c>
      <c r="AZ208" s="260">
        <f t="shared" ca="1" si="609"/>
        <v>29.541650856747808</v>
      </c>
      <c r="BA208" s="291">
        <f t="shared" ca="1" si="609"/>
        <v>0</v>
      </c>
      <c r="BB208" s="45">
        <f t="shared" ca="1" si="609"/>
        <v>0</v>
      </c>
      <c r="BC208" s="290">
        <f t="shared" ca="1" si="609"/>
        <v>0</v>
      </c>
      <c r="BD208" s="260">
        <f t="shared" ca="1" si="609"/>
        <v>0</v>
      </c>
      <c r="BE208" s="260">
        <f t="shared" ca="1" si="609"/>
        <v>29.973849332109189</v>
      </c>
      <c r="BF208" s="291">
        <f t="shared" ca="1" si="609"/>
        <v>0</v>
      </c>
      <c r="BG208" s="45">
        <f t="shared" ca="1" si="609"/>
        <v>0</v>
      </c>
      <c r="BH208" s="290">
        <f t="shared" ref="BH208:BL208" ca="1" si="610">BH169</f>
        <v>0</v>
      </c>
      <c r="BI208" s="260">
        <f t="shared" ca="1" si="610"/>
        <v>0</v>
      </c>
      <c r="BJ208" s="260">
        <f t="shared" ca="1" si="610"/>
        <v>24.042669650164527</v>
      </c>
      <c r="BK208" s="291">
        <f t="shared" ca="1" si="610"/>
        <v>4.3720097957006061</v>
      </c>
      <c r="BL208" s="45">
        <f t="shared" ca="1" si="610"/>
        <v>4.3720097957006061</v>
      </c>
      <c r="BM208" s="45"/>
      <c r="BN208" s="45"/>
      <c r="BO208" s="45"/>
      <c r="BP208" s="45"/>
      <c r="BQ208" s="45"/>
      <c r="BR208" s="45"/>
      <c r="BS208" s="45"/>
      <c r="BT208" s="45"/>
      <c r="BU208" s="45"/>
      <c r="BV208" s="45"/>
      <c r="BW208" s="45"/>
      <c r="BX208" s="45"/>
      <c r="BY208" s="45"/>
      <c r="BZ208" s="45"/>
      <c r="CA208" s="45"/>
      <c r="CB208" s="45"/>
      <c r="CC208" s="45"/>
      <c r="CD208" s="45"/>
      <c r="CE208" s="45"/>
      <c r="CF208" s="45"/>
      <c r="CG208" s="45"/>
      <c r="CH208" s="45"/>
      <c r="CI208" s="45"/>
      <c r="CJ208" s="45"/>
      <c r="CK208" s="45"/>
      <c r="CL208" s="45"/>
      <c r="CM208" s="45"/>
      <c r="CN208" s="45"/>
      <c r="CO208" s="45"/>
      <c r="CP208" s="45"/>
    </row>
    <row r="209" spans="1:94">
      <c r="A209" s="45"/>
      <c r="B209" s="45"/>
      <c r="C209" s="391"/>
      <c r="D209" s="45"/>
      <c r="E209" s="662"/>
      <c r="F209" s="663"/>
      <c r="G209" s="663"/>
      <c r="H209" s="664"/>
      <c r="I209" s="665"/>
      <c r="J209" s="662"/>
      <c r="K209" s="663"/>
      <c r="L209" s="663"/>
      <c r="M209" s="664"/>
      <c r="N209" s="665"/>
      <c r="O209" s="662"/>
      <c r="P209" s="663"/>
      <c r="Q209" s="663"/>
      <c r="R209" s="664"/>
      <c r="S209" s="665"/>
      <c r="T209" s="290"/>
      <c r="U209" s="260"/>
      <c r="V209" s="260"/>
      <c r="W209" s="291"/>
      <c r="X209" s="45"/>
      <c r="Y209" s="290"/>
      <c r="Z209" s="260"/>
      <c r="AA209" s="260"/>
      <c r="AB209" s="291"/>
      <c r="AC209" s="45"/>
      <c r="AD209" s="290"/>
      <c r="AE209" s="260"/>
      <c r="AF209" s="260"/>
      <c r="AG209" s="291"/>
      <c r="AH209" s="45"/>
      <c r="AI209" s="290"/>
      <c r="AJ209" s="260"/>
      <c r="AK209" s="260"/>
      <c r="AL209" s="291"/>
      <c r="AM209" s="45"/>
      <c r="AN209" s="290"/>
      <c r="AO209" s="260"/>
      <c r="AP209" s="260"/>
      <c r="AQ209" s="291"/>
      <c r="AR209" s="45"/>
      <c r="AS209" s="290"/>
      <c r="AT209" s="260"/>
      <c r="AU209" s="260"/>
      <c r="AV209" s="291"/>
      <c r="AW209" s="45"/>
      <c r="AX209" s="290"/>
      <c r="AY209" s="260"/>
      <c r="AZ209" s="260"/>
      <c r="BA209" s="291"/>
      <c r="BB209" s="45"/>
      <c r="BC209" s="290"/>
      <c r="BD209" s="260"/>
      <c r="BE209" s="260"/>
      <c r="BF209" s="291"/>
      <c r="BG209" s="45"/>
      <c r="BH209" s="290"/>
      <c r="BI209" s="260"/>
      <c r="BJ209" s="260"/>
      <c r="BK209" s="291"/>
      <c r="BL209" s="45"/>
      <c r="BM209" s="45"/>
      <c r="BN209" s="45"/>
      <c r="BO209" s="45"/>
      <c r="BP209" s="45"/>
      <c r="BQ209" s="45"/>
      <c r="BR209" s="45"/>
      <c r="BS209" s="45"/>
      <c r="BT209" s="45"/>
      <c r="BU209" s="45"/>
      <c r="BV209" s="45"/>
      <c r="BW209" s="45"/>
      <c r="BX209" s="45"/>
      <c r="BY209" s="45"/>
      <c r="BZ209" s="45"/>
      <c r="CA209" s="45"/>
      <c r="CB209" s="45"/>
      <c r="CC209" s="45"/>
      <c r="CD209" s="45"/>
      <c r="CE209" s="45"/>
      <c r="CF209" s="45"/>
      <c r="CG209" s="45"/>
      <c r="CH209" s="45"/>
      <c r="CI209" s="45"/>
      <c r="CJ209" s="45"/>
      <c r="CK209" s="45"/>
      <c r="CL209" s="45"/>
      <c r="CM209" s="45"/>
      <c r="CN209" s="45"/>
      <c r="CO209" s="45"/>
      <c r="CP209" s="45"/>
    </row>
    <row r="210" spans="1:94">
      <c r="A210" s="45"/>
      <c r="B210" s="45"/>
      <c r="C210" s="391" t="s">
        <v>317</v>
      </c>
      <c r="D210" s="45"/>
      <c r="E210" s="337"/>
      <c r="F210" s="338"/>
      <c r="G210" s="338"/>
      <c r="H210" s="291"/>
      <c r="I210" s="1432">
        <v>181</v>
      </c>
      <c r="J210" s="337">
        <v>188</v>
      </c>
      <c r="K210" s="338">
        <v>48</v>
      </c>
      <c r="L210" s="338">
        <v>23</v>
      </c>
      <c r="M210" s="291">
        <f>N210</f>
        <v>23</v>
      </c>
      <c r="N210" s="1432">
        <v>23</v>
      </c>
      <c r="O210" s="337">
        <v>23</v>
      </c>
      <c r="P210" s="338">
        <v>97</v>
      </c>
      <c r="Q210" s="338">
        <v>116</v>
      </c>
      <c r="R210" s="291">
        <f>S210</f>
        <v>133</v>
      </c>
      <c r="S210" s="1432">
        <v>133</v>
      </c>
      <c r="T210" s="290">
        <f>T184</f>
        <v>208</v>
      </c>
      <c r="U210" s="260">
        <f t="shared" ref="U210:Z210" si="611">U184</f>
        <v>64</v>
      </c>
      <c r="V210" s="260">
        <f t="shared" si="611"/>
        <v>117</v>
      </c>
      <c r="W210" s="291">
        <f t="shared" si="611"/>
        <v>138</v>
      </c>
      <c r="X210" s="774">
        <f t="shared" si="611"/>
        <v>138</v>
      </c>
      <c r="Y210" s="290">
        <f t="shared" si="611"/>
        <v>119</v>
      </c>
      <c r="Z210" s="260">
        <f t="shared" si="611"/>
        <v>180</v>
      </c>
      <c r="AA210" s="260">
        <f t="shared" ref="AA210:AE210" si="612">AA184</f>
        <v>99</v>
      </c>
      <c r="AB210" s="291">
        <f t="shared" si="612"/>
        <v>127</v>
      </c>
      <c r="AC210" s="774">
        <f t="shared" si="612"/>
        <v>127</v>
      </c>
      <c r="AD210" s="290">
        <f t="shared" si="612"/>
        <v>143</v>
      </c>
      <c r="AE210" s="260">
        <f t="shared" si="612"/>
        <v>218</v>
      </c>
      <c r="AF210" s="260">
        <f t="shared" ref="AF210:AJ210" si="613">AF184</f>
        <v>225</v>
      </c>
      <c r="AG210" s="291">
        <f t="shared" si="613"/>
        <v>5</v>
      </c>
      <c r="AH210" s="774">
        <f t="shared" si="613"/>
        <v>5</v>
      </c>
      <c r="AI210" s="290">
        <f t="shared" si="613"/>
        <v>0</v>
      </c>
      <c r="AJ210" s="260">
        <f t="shared" si="613"/>
        <v>0</v>
      </c>
      <c r="AK210" s="260">
        <f t="shared" ref="AK210:AO210" si="614">AK184</f>
        <v>0</v>
      </c>
      <c r="AL210" s="291">
        <f t="shared" si="614"/>
        <v>0</v>
      </c>
      <c r="AM210" s="774">
        <f t="shared" si="614"/>
        <v>0</v>
      </c>
      <c r="AN210" s="290">
        <f t="shared" si="614"/>
        <v>0</v>
      </c>
      <c r="AO210" s="260">
        <f t="shared" si="614"/>
        <v>42</v>
      </c>
      <c r="AP210" s="260">
        <f t="shared" ref="AP210:AR210" si="615">AP184</f>
        <v>65</v>
      </c>
      <c r="AQ210" s="291">
        <f t="shared" si="615"/>
        <v>108</v>
      </c>
      <c r="AR210" s="774">
        <f t="shared" si="615"/>
        <v>108</v>
      </c>
      <c r="AS210" s="290">
        <f ca="1">+AR210+AS164</f>
        <v>134.25393878282057</v>
      </c>
      <c r="AT210" s="260">
        <f ca="1">+AS210+AT164</f>
        <v>160.47006260504889</v>
      </c>
      <c r="AU210" s="260">
        <f ca="1">+AT210+AU164</f>
        <v>0</v>
      </c>
      <c r="AV210" s="291">
        <f ca="1">+AU210+AV164</f>
        <v>0</v>
      </c>
      <c r="AW210" s="45">
        <f ca="1">+AV210</f>
        <v>0</v>
      </c>
      <c r="AX210" s="290">
        <f ca="1">+AW210+AX164</f>
        <v>30.124085002674704</v>
      </c>
      <c r="AY210" s="260">
        <f ca="1">+AX210+AY164</f>
        <v>63.995662269245031</v>
      </c>
      <c r="AZ210" s="260">
        <f ca="1">+AY210+AZ164</f>
        <v>0</v>
      </c>
      <c r="BA210" s="291">
        <f ca="1">+AZ210+BA164</f>
        <v>1.3475485892794694</v>
      </c>
      <c r="BB210" s="45">
        <f ca="1">+BA210</f>
        <v>1.3475485892794694</v>
      </c>
      <c r="BC210" s="290">
        <f ca="1">+BB210+BC164</f>
        <v>32.643759478023924</v>
      </c>
      <c r="BD210" s="260">
        <f ca="1">+BC210+BD164</f>
        <v>61.606209474995715</v>
      </c>
      <c r="BE210" s="260">
        <f ca="1">+BD210+BE164</f>
        <v>0</v>
      </c>
      <c r="BF210" s="291">
        <f ca="1">+BE210+BF164</f>
        <v>0.99358191664928341</v>
      </c>
      <c r="BG210" s="45">
        <f ca="1">+BF210</f>
        <v>0.99358191664928341</v>
      </c>
      <c r="BH210" s="290">
        <f ca="1">+BG210+BH164</f>
        <v>21.606656124512753</v>
      </c>
      <c r="BI210" s="260">
        <f ca="1">+BH210+BI164</f>
        <v>39.670359200671896</v>
      </c>
      <c r="BJ210" s="260">
        <f ca="1">+BI210+BJ164</f>
        <v>0</v>
      </c>
      <c r="BK210" s="291">
        <f ca="1">+BJ210+BK164</f>
        <v>0</v>
      </c>
      <c r="BL210" s="45">
        <f ca="1">+BK210</f>
        <v>0</v>
      </c>
      <c r="BM210" s="45"/>
      <c r="BN210" s="45"/>
      <c r="BO210" s="45"/>
      <c r="BP210" s="45"/>
      <c r="BQ210" s="45"/>
      <c r="BR210" s="45"/>
      <c r="BS210" s="45"/>
      <c r="BT210" s="45"/>
      <c r="BU210" s="45"/>
      <c r="BV210" s="45"/>
      <c r="BW210" s="45"/>
      <c r="BX210" s="45"/>
      <c r="BY210" s="45"/>
      <c r="BZ210" s="45"/>
      <c r="CA210" s="45"/>
      <c r="CB210" s="45"/>
      <c r="CC210" s="45"/>
      <c r="CD210" s="45"/>
      <c r="CE210" s="45"/>
      <c r="CF210" s="45"/>
      <c r="CG210" s="45"/>
      <c r="CH210" s="45"/>
      <c r="CI210" s="45"/>
      <c r="CJ210" s="45"/>
      <c r="CK210" s="45"/>
      <c r="CL210" s="45"/>
      <c r="CM210" s="45"/>
      <c r="CN210" s="45"/>
      <c r="CO210" s="45"/>
      <c r="CP210" s="45"/>
    </row>
    <row r="211" spans="1:94">
      <c r="A211" s="45"/>
      <c r="B211" s="45"/>
      <c r="C211" s="391" t="s">
        <v>745</v>
      </c>
      <c r="D211" s="45"/>
      <c r="E211" s="337"/>
      <c r="F211" s="338"/>
      <c r="G211" s="338"/>
      <c r="H211" s="291"/>
      <c r="I211" s="339">
        <f>965+35</f>
        <v>1000</v>
      </c>
      <c r="J211" s="337">
        <f>956+36</f>
        <v>992</v>
      </c>
      <c r="K211" s="338">
        <f>1147+36</f>
        <v>1183</v>
      </c>
      <c r="L211" s="338">
        <f>1138+37</f>
        <v>1175</v>
      </c>
      <c r="M211" s="291">
        <f>+N211</f>
        <v>1164</v>
      </c>
      <c r="N211" s="339">
        <f>37+1127</f>
        <v>1164</v>
      </c>
      <c r="O211" s="337">
        <f>1118+38</f>
        <v>1156</v>
      </c>
      <c r="P211" s="338">
        <f>1108+38</f>
        <v>1146</v>
      </c>
      <c r="Q211" s="338">
        <f>1027+108</f>
        <v>1135</v>
      </c>
      <c r="R211" s="291">
        <f>+S211</f>
        <v>1124</v>
      </c>
      <c r="S211" s="339">
        <f>108+1016</f>
        <v>1124</v>
      </c>
      <c r="T211" s="290">
        <f>T190+T191+T185</f>
        <v>1114</v>
      </c>
      <c r="U211" s="260">
        <f t="shared" ref="U211:Z211" si="616">U190+U191+U185</f>
        <v>1205</v>
      </c>
      <c r="V211" s="260">
        <f t="shared" si="616"/>
        <v>1127</v>
      </c>
      <c r="W211" s="291">
        <f t="shared" si="616"/>
        <v>1115</v>
      </c>
      <c r="X211" s="45">
        <f t="shared" si="616"/>
        <v>1115</v>
      </c>
      <c r="Y211" s="290">
        <f t="shared" si="616"/>
        <v>1106</v>
      </c>
      <c r="Z211" s="260">
        <f t="shared" si="616"/>
        <v>1095</v>
      </c>
      <c r="AA211" s="260">
        <f t="shared" ref="AA211:AE211" si="617">AA190+AA191+AA185</f>
        <v>1129</v>
      </c>
      <c r="AB211" s="291">
        <f t="shared" si="617"/>
        <v>1118</v>
      </c>
      <c r="AC211" s="45">
        <f t="shared" si="617"/>
        <v>1118</v>
      </c>
      <c r="AD211" s="290">
        <f t="shared" si="617"/>
        <v>1106</v>
      </c>
      <c r="AE211" s="260">
        <f t="shared" si="617"/>
        <v>1096</v>
      </c>
      <c r="AF211" s="260">
        <f t="shared" ref="AF211:AJ211" si="618">AF190+AF191+AF185</f>
        <v>1072</v>
      </c>
      <c r="AG211" s="291">
        <f t="shared" si="618"/>
        <v>1202</v>
      </c>
      <c r="AH211" s="45">
        <f t="shared" si="618"/>
        <v>1202</v>
      </c>
      <c r="AI211" s="290">
        <f t="shared" si="618"/>
        <v>1191</v>
      </c>
      <c r="AJ211" s="260">
        <f t="shared" si="618"/>
        <v>1180</v>
      </c>
      <c r="AK211" s="260">
        <f t="shared" ref="AK211:AO211" si="619">AK190+AK191+AK185</f>
        <v>1167</v>
      </c>
      <c r="AL211" s="291">
        <f t="shared" si="619"/>
        <v>1155</v>
      </c>
      <c r="AM211" s="45">
        <f t="shared" si="619"/>
        <v>1155</v>
      </c>
      <c r="AN211" s="290">
        <f t="shared" si="619"/>
        <v>1145</v>
      </c>
      <c r="AO211" s="260">
        <f t="shared" si="619"/>
        <v>1138</v>
      </c>
      <c r="AP211" s="260">
        <f t="shared" ref="AP211:AR211" si="620">AP190+AP191+AP185</f>
        <v>1130</v>
      </c>
      <c r="AQ211" s="291">
        <f t="shared" si="620"/>
        <v>1121</v>
      </c>
      <c r="AR211" s="45">
        <f t="shared" si="620"/>
        <v>1121</v>
      </c>
      <c r="AS211" s="290">
        <f>+AR211+AS155+AS156</f>
        <v>1121</v>
      </c>
      <c r="AT211" s="260">
        <f>+AS211+AT155+AT156</f>
        <v>1121</v>
      </c>
      <c r="AU211" s="260">
        <f>+AT211+AU155+AU156</f>
        <v>1295</v>
      </c>
      <c r="AV211" s="291">
        <f>+AU211+AV155+AV156</f>
        <v>1295</v>
      </c>
      <c r="AW211" s="45">
        <f>+AV211</f>
        <v>1295</v>
      </c>
      <c r="AX211" s="290">
        <f>+AW211+AX155+AX156</f>
        <v>1295</v>
      </c>
      <c r="AY211" s="260">
        <f>+AX211+AY155+AY156</f>
        <v>1295</v>
      </c>
      <c r="AZ211" s="260">
        <f>+AY211+AZ155+AZ156</f>
        <v>1372</v>
      </c>
      <c r="BA211" s="291">
        <f>+AZ211+BA155+BA156</f>
        <v>1372</v>
      </c>
      <c r="BB211" s="45">
        <f>+BA211</f>
        <v>1372</v>
      </c>
      <c r="BC211" s="290">
        <f>+BB211+BC155+BC156</f>
        <v>1372</v>
      </c>
      <c r="BD211" s="260">
        <f>+BC211+BD155+BD156</f>
        <v>1372</v>
      </c>
      <c r="BE211" s="260">
        <f>+BD211+BE155+BE156</f>
        <v>1447</v>
      </c>
      <c r="BF211" s="291">
        <f>+BE211+BF155+BF156</f>
        <v>1447</v>
      </c>
      <c r="BG211" s="45">
        <f>+BF211</f>
        <v>1447</v>
      </c>
      <c r="BH211" s="290">
        <f>+BG211+BH155+BH156</f>
        <v>1447</v>
      </c>
      <c r="BI211" s="260">
        <f>+BH211+BI155+BI156</f>
        <v>1447</v>
      </c>
      <c r="BJ211" s="260">
        <f>+BI211+BJ155+BJ156</f>
        <v>1483.135</v>
      </c>
      <c r="BK211" s="291">
        <f>+BJ211+BK155+BK156</f>
        <v>1483.135</v>
      </c>
      <c r="BL211" s="45">
        <f>+BK211</f>
        <v>1483.135</v>
      </c>
      <c r="BM211" s="45"/>
      <c r="BN211" s="45"/>
      <c r="BO211" s="45"/>
      <c r="BP211" s="45"/>
      <c r="BQ211" s="45"/>
      <c r="BR211" s="45"/>
      <c r="BS211" s="45"/>
      <c r="BT211" s="45"/>
      <c r="BU211" s="45"/>
      <c r="BV211" s="45"/>
      <c r="BW211" s="45"/>
      <c r="BX211" s="45"/>
      <c r="BY211" s="45"/>
      <c r="BZ211" s="45"/>
      <c r="CA211" s="45"/>
      <c r="CB211" s="45"/>
      <c r="CC211" s="45"/>
      <c r="CD211" s="45"/>
      <c r="CE211" s="45"/>
      <c r="CF211" s="45"/>
      <c r="CG211" s="45"/>
      <c r="CH211" s="45"/>
      <c r="CI211" s="45"/>
      <c r="CJ211" s="45"/>
      <c r="CK211" s="45"/>
      <c r="CL211" s="45"/>
      <c r="CM211" s="45"/>
      <c r="CN211" s="45"/>
      <c r="CO211" s="45"/>
      <c r="CP211" s="45"/>
    </row>
    <row r="212" spans="1:94">
      <c r="A212" s="45"/>
      <c r="B212" s="45"/>
      <c r="C212" s="389" t="s">
        <v>373</v>
      </c>
      <c r="D212" s="45"/>
      <c r="E212" s="292"/>
      <c r="F212" s="261"/>
      <c r="G212" s="261"/>
      <c r="H212" s="293"/>
      <c r="I212" s="228">
        <f>SUM(I210:I211)</f>
        <v>1181</v>
      </c>
      <c r="J212" s="292">
        <f>SUM(J210:J211)</f>
        <v>1180</v>
      </c>
      <c r="K212" s="261">
        <f>SUM(K210:K211)</f>
        <v>1231</v>
      </c>
      <c r="L212" s="261">
        <f>SUM(L210:L211)</f>
        <v>1198</v>
      </c>
      <c r="M212" s="293">
        <f>+N212</f>
        <v>1187</v>
      </c>
      <c r="N212" s="228">
        <f>SUM(N210:N211)</f>
        <v>1187</v>
      </c>
      <c r="O212" s="292">
        <f>SUM(O210:O211)</f>
        <v>1179</v>
      </c>
      <c r="P212" s="261">
        <f>SUM(P210:P211)</f>
        <v>1243</v>
      </c>
      <c r="Q212" s="261">
        <f>SUM(Q210:Q211)</f>
        <v>1251</v>
      </c>
      <c r="R212" s="293">
        <f>+S212</f>
        <v>1257</v>
      </c>
      <c r="S212" s="228">
        <f>SUM(S210:S211)</f>
        <v>1257</v>
      </c>
      <c r="T212" s="286">
        <f>SUM(T210:T211)</f>
        <v>1322</v>
      </c>
      <c r="U212" s="258">
        <f t="shared" ref="U212:Z212" si="621">SUM(U210:U211)</f>
        <v>1269</v>
      </c>
      <c r="V212" s="258">
        <f t="shared" si="621"/>
        <v>1244</v>
      </c>
      <c r="W212" s="287">
        <f t="shared" si="621"/>
        <v>1253</v>
      </c>
      <c r="X212" s="341">
        <f t="shared" si="621"/>
        <v>1253</v>
      </c>
      <c r="Y212" s="286">
        <f t="shared" si="621"/>
        <v>1225</v>
      </c>
      <c r="Z212" s="258">
        <f t="shared" si="621"/>
        <v>1275</v>
      </c>
      <c r="AA212" s="258">
        <f t="shared" ref="AA212:AE212" si="622">SUM(AA210:AA211)</f>
        <v>1228</v>
      </c>
      <c r="AB212" s="287">
        <f t="shared" si="622"/>
        <v>1245</v>
      </c>
      <c r="AC212" s="341">
        <f t="shared" si="622"/>
        <v>1245</v>
      </c>
      <c r="AD212" s="286">
        <f t="shared" si="622"/>
        <v>1249</v>
      </c>
      <c r="AE212" s="258">
        <f t="shared" si="622"/>
        <v>1314</v>
      </c>
      <c r="AF212" s="258">
        <f t="shared" ref="AF212:AJ212" si="623">SUM(AF210:AF211)</f>
        <v>1297</v>
      </c>
      <c r="AG212" s="287">
        <f t="shared" si="623"/>
        <v>1207</v>
      </c>
      <c r="AH212" s="341">
        <f t="shared" si="623"/>
        <v>1207</v>
      </c>
      <c r="AI212" s="286">
        <f t="shared" si="623"/>
        <v>1191</v>
      </c>
      <c r="AJ212" s="258">
        <f t="shared" si="623"/>
        <v>1180</v>
      </c>
      <c r="AK212" s="258">
        <f t="shared" ref="AK212:AO212" si="624">SUM(AK210:AK211)</f>
        <v>1167</v>
      </c>
      <c r="AL212" s="287">
        <f t="shared" si="624"/>
        <v>1155</v>
      </c>
      <c r="AM212" s="341">
        <f t="shared" si="624"/>
        <v>1155</v>
      </c>
      <c r="AN212" s="286">
        <f t="shared" si="624"/>
        <v>1145</v>
      </c>
      <c r="AO212" s="258">
        <f t="shared" si="624"/>
        <v>1180</v>
      </c>
      <c r="AP212" s="258">
        <f t="shared" ref="AP212:AR212" si="625">SUM(AP210:AP211)</f>
        <v>1195</v>
      </c>
      <c r="AQ212" s="287">
        <f t="shared" si="625"/>
        <v>1229</v>
      </c>
      <c r="AR212" s="341">
        <f t="shared" si="625"/>
        <v>1229</v>
      </c>
      <c r="AS212" s="292">
        <f t="shared" ref="AS212:AW212" ca="1" si="626">SUM(AS210:AS211)</f>
        <v>1255.2539387828206</v>
      </c>
      <c r="AT212" s="261">
        <f t="shared" ca="1" si="626"/>
        <v>1281.470062605049</v>
      </c>
      <c r="AU212" s="261">
        <f t="shared" ca="1" si="626"/>
        <v>1295</v>
      </c>
      <c r="AV212" s="293">
        <f t="shared" ca="1" si="626"/>
        <v>1295</v>
      </c>
      <c r="AW212" s="228">
        <f t="shared" ca="1" si="626"/>
        <v>1295</v>
      </c>
      <c r="AX212" s="292">
        <f t="shared" ref="AX212:BG212" ca="1" si="627">SUM(AX210:AX211)</f>
        <v>1325.1240850026747</v>
      </c>
      <c r="AY212" s="261">
        <f t="shared" ca="1" si="627"/>
        <v>1358.995662269245</v>
      </c>
      <c r="AZ212" s="261">
        <f t="shared" ca="1" si="627"/>
        <v>1372</v>
      </c>
      <c r="BA212" s="293">
        <f t="shared" ca="1" si="627"/>
        <v>1373.3475485892795</v>
      </c>
      <c r="BB212" s="228">
        <f t="shared" ca="1" si="627"/>
        <v>1373.3475485892795</v>
      </c>
      <c r="BC212" s="292">
        <f t="shared" ca="1" si="627"/>
        <v>1404.6437594780239</v>
      </c>
      <c r="BD212" s="261">
        <f t="shared" ca="1" si="627"/>
        <v>1433.6062094749957</v>
      </c>
      <c r="BE212" s="261">
        <f t="shared" ca="1" si="627"/>
        <v>1447</v>
      </c>
      <c r="BF212" s="293">
        <f t="shared" ca="1" si="627"/>
        <v>1447.9935819166492</v>
      </c>
      <c r="BG212" s="228">
        <f t="shared" ca="1" si="627"/>
        <v>1447.9935819166492</v>
      </c>
      <c r="BH212" s="292">
        <f t="shared" ref="BH212:BL212" ca="1" si="628">SUM(BH210:BH211)</f>
        <v>1468.6066561245127</v>
      </c>
      <c r="BI212" s="261">
        <f t="shared" ca="1" si="628"/>
        <v>1486.670359200672</v>
      </c>
      <c r="BJ212" s="261">
        <f t="shared" ca="1" si="628"/>
        <v>1483.135</v>
      </c>
      <c r="BK212" s="293">
        <f t="shared" ca="1" si="628"/>
        <v>1483.135</v>
      </c>
      <c r="BL212" s="228">
        <f t="shared" ca="1" si="628"/>
        <v>1483.135</v>
      </c>
      <c r="BM212" s="45"/>
      <c r="BN212" s="45"/>
      <c r="BO212" s="45"/>
      <c r="BP212" s="45"/>
      <c r="BQ212" s="45"/>
      <c r="BR212" s="45"/>
      <c r="BS212" s="45"/>
      <c r="BT212" s="45"/>
      <c r="BU212" s="45"/>
      <c r="BV212" s="45"/>
      <c r="BW212" s="45"/>
      <c r="BX212" s="45"/>
      <c r="BY212" s="45"/>
      <c r="BZ212" s="45"/>
      <c r="CA212" s="45"/>
      <c r="CB212" s="45"/>
      <c r="CC212" s="45"/>
      <c r="CD212" s="45"/>
      <c r="CE212" s="45"/>
      <c r="CF212" s="45"/>
      <c r="CG212" s="45"/>
      <c r="CH212" s="45"/>
      <c r="CI212" s="45"/>
      <c r="CJ212" s="45"/>
      <c r="CK212" s="45"/>
      <c r="CL212" s="45"/>
      <c r="CM212" s="45"/>
      <c r="CN212" s="45"/>
      <c r="CO212" s="45"/>
      <c r="CP212" s="45"/>
    </row>
    <row r="213" spans="1:94">
      <c r="A213" s="1699"/>
      <c r="B213" s="1699"/>
      <c r="C213" s="390" t="s">
        <v>612</v>
      </c>
      <c r="D213" s="1699"/>
      <c r="E213" s="1758"/>
      <c r="F213" s="1759"/>
      <c r="G213" s="1759"/>
      <c r="H213" s="1760"/>
      <c r="I213" s="1761">
        <f t="shared" ref="I213:AW213" si="629">+I212/I221</f>
        <v>0.62685774946921446</v>
      </c>
      <c r="J213" s="1758">
        <f t="shared" si="629"/>
        <v>0.62466913710958183</v>
      </c>
      <c r="K213" s="1759">
        <f t="shared" si="629"/>
        <v>0.62870275791624108</v>
      </c>
      <c r="L213" s="1759">
        <f t="shared" si="629"/>
        <v>0.59840159840159846</v>
      </c>
      <c r="M213" s="1760">
        <f t="shared" si="629"/>
        <v>0.5967823026646556</v>
      </c>
      <c r="N213" s="1761">
        <f t="shared" si="629"/>
        <v>0.5967823026646556</v>
      </c>
      <c r="O213" s="1758">
        <f t="shared" si="629"/>
        <v>0.59455370650529504</v>
      </c>
      <c r="P213" s="1759">
        <f t="shared" si="629"/>
        <v>0.60752688172043012</v>
      </c>
      <c r="Q213" s="1759">
        <f t="shared" si="629"/>
        <v>0.60905550146056475</v>
      </c>
      <c r="R213" s="1760">
        <f t="shared" si="629"/>
        <v>0.6104905293831957</v>
      </c>
      <c r="S213" s="1761">
        <f t="shared" si="629"/>
        <v>0.6104905293831957</v>
      </c>
      <c r="T213" s="1758">
        <f t="shared" si="629"/>
        <v>0.6197843413033286</v>
      </c>
      <c r="U213" s="1759">
        <f t="shared" ref="U213:Z213" si="630">+U212/U221</f>
        <v>0.58695652173913049</v>
      </c>
      <c r="V213" s="1759">
        <f t="shared" si="630"/>
        <v>0.58212447356106689</v>
      </c>
      <c r="W213" s="1760">
        <f t="shared" si="630"/>
        <v>0.59103773584905661</v>
      </c>
      <c r="X213" s="1761">
        <f t="shared" si="630"/>
        <v>0.59103773584905661</v>
      </c>
      <c r="Y213" s="1758">
        <f t="shared" si="630"/>
        <v>0.59007707129094411</v>
      </c>
      <c r="Z213" s="1759">
        <f t="shared" si="630"/>
        <v>0.59803001876172612</v>
      </c>
      <c r="AA213" s="1759">
        <f t="shared" ref="AA213:AE213" si="631">+AA212/AA221</f>
        <v>0.58254269449715368</v>
      </c>
      <c r="AB213" s="1760">
        <f t="shared" si="631"/>
        <v>0.58423275457531676</v>
      </c>
      <c r="AC213" s="1761">
        <f t="shared" si="631"/>
        <v>0.58423275457531676</v>
      </c>
      <c r="AD213" s="1758">
        <f t="shared" si="631"/>
        <v>0.58721203573107661</v>
      </c>
      <c r="AE213" s="1759">
        <f t="shared" si="631"/>
        <v>0.59673024523160767</v>
      </c>
      <c r="AF213" s="1759">
        <f t="shared" ref="AF213:AJ213" si="632">+AF212/AF221</f>
        <v>0.58981355161437021</v>
      </c>
      <c r="AG213" s="1760">
        <f t="shared" si="632"/>
        <v>0.54516711833785003</v>
      </c>
      <c r="AH213" s="1761">
        <f t="shared" si="632"/>
        <v>0.54516711833785003</v>
      </c>
      <c r="AI213" s="1758">
        <f t="shared" si="632"/>
        <v>0.57259615384615381</v>
      </c>
      <c r="AJ213" s="1759">
        <f t="shared" si="632"/>
        <v>0.53369516056083222</v>
      </c>
      <c r="AK213" s="1759">
        <f t="shared" ref="AK213:AO213" si="633">+AK212/AK221</f>
        <v>0.52284946236559138</v>
      </c>
      <c r="AL213" s="1760">
        <f t="shared" si="633"/>
        <v>0.52763819095477382</v>
      </c>
      <c r="AM213" s="1761">
        <f t="shared" si="633"/>
        <v>0.52763819095477382</v>
      </c>
      <c r="AN213" s="1758">
        <f t="shared" si="633"/>
        <v>0.52116522530723719</v>
      </c>
      <c r="AO213" s="1759">
        <f t="shared" si="633"/>
        <v>0.52962298025134646</v>
      </c>
      <c r="AP213" s="1759">
        <f t="shared" ref="AP213:AR213" si="634">+AP212/AP221</f>
        <v>0.53040390590324016</v>
      </c>
      <c r="AQ213" s="1760">
        <f t="shared" si="634"/>
        <v>0.54093309859154926</v>
      </c>
      <c r="AR213" s="1761">
        <f t="shared" si="634"/>
        <v>0.54093309859154926</v>
      </c>
      <c r="AS213" s="1758">
        <f t="shared" ca="1" si="629"/>
        <v>0.53919917245324855</v>
      </c>
      <c r="AT213" s="1759">
        <f t="shared" ca="1" si="629"/>
        <v>0.53715232411231706</v>
      </c>
      <c r="AU213" s="1759">
        <f t="shared" ca="1" si="629"/>
        <v>0.5230048809131016</v>
      </c>
      <c r="AV213" s="1760">
        <f t="shared" ca="1" si="629"/>
        <v>0.51691456283028281</v>
      </c>
      <c r="AW213" s="1761">
        <f t="shared" ca="1" si="629"/>
        <v>0.51691456283028281</v>
      </c>
      <c r="AX213" s="1758">
        <f t="shared" ref="AX213:BG213" ca="1" si="635">+AX212/AX221</f>
        <v>0.52064169298481466</v>
      </c>
      <c r="AY213" s="1759">
        <f t="shared" ca="1" si="635"/>
        <v>0.52463326261735077</v>
      </c>
      <c r="AZ213" s="1759">
        <f t="shared" ca="1" si="635"/>
        <v>0.51489092786462842</v>
      </c>
      <c r="BA213" s="1760">
        <f t="shared" ca="1" si="635"/>
        <v>0.51256508151780367</v>
      </c>
      <c r="BB213" s="1761">
        <f t="shared" ca="1" si="635"/>
        <v>0.51256508151780367</v>
      </c>
      <c r="BC213" s="1758">
        <f t="shared" ca="1" si="635"/>
        <v>0.51622056114133352</v>
      </c>
      <c r="BD213" s="1759">
        <f t="shared" ca="1" si="635"/>
        <v>0.51900603384603128</v>
      </c>
      <c r="BE213" s="1759">
        <f t="shared" ca="1" si="635"/>
        <v>0.51077662326217443</v>
      </c>
      <c r="BF213" s="1760">
        <f t="shared" ca="1" si="635"/>
        <v>0.50926953944323228</v>
      </c>
      <c r="BG213" s="1761">
        <f t="shared" ca="1" si="635"/>
        <v>0.50926953944323228</v>
      </c>
      <c r="BH213" s="1758">
        <f t="shared" ref="BH213:BL213" ca="1" si="636">+BH212/BH221</f>
        <v>0.51305557980023686</v>
      </c>
      <c r="BI213" s="1759">
        <f t="shared" ca="1" si="636"/>
        <v>0.51602548363189837</v>
      </c>
      <c r="BJ213" s="1759">
        <f t="shared" ca="1" si="636"/>
        <v>0.50734343615113908</v>
      </c>
      <c r="BK213" s="1760">
        <f t="shared" ca="1" si="636"/>
        <v>0.50762432997323104</v>
      </c>
      <c r="BL213" s="1761">
        <f t="shared" ca="1" si="636"/>
        <v>0.50762432997323104</v>
      </c>
      <c r="BM213" s="1699"/>
      <c r="BN213" s="1699"/>
      <c r="BO213" s="1699"/>
      <c r="BP213" s="1699"/>
      <c r="BQ213" s="1699"/>
      <c r="BR213" s="1699"/>
      <c r="BS213" s="1699"/>
      <c r="BT213" s="1699"/>
      <c r="BU213" s="1699"/>
      <c r="BV213" s="1699"/>
      <c r="BW213" s="1699"/>
      <c r="BX213" s="1699"/>
      <c r="BY213" s="1699"/>
      <c r="BZ213" s="1699"/>
      <c r="CA213" s="1699"/>
      <c r="CB213" s="1699"/>
      <c r="CC213" s="1699"/>
      <c r="CD213" s="1699"/>
      <c r="CE213" s="1699"/>
      <c r="CF213" s="1699"/>
      <c r="CG213" s="1699"/>
      <c r="CH213" s="1699"/>
      <c r="CI213" s="1699"/>
      <c r="CJ213" s="1699"/>
      <c r="CK213" s="1699"/>
      <c r="CL213" s="1699"/>
      <c r="CM213" s="1699"/>
      <c r="CN213" s="1699"/>
      <c r="CO213" s="1699"/>
      <c r="CP213" s="1699"/>
    </row>
    <row r="214" spans="1:94">
      <c r="A214" s="1716"/>
      <c r="B214" s="1716"/>
      <c r="C214" s="578"/>
      <c r="D214" s="1716"/>
      <c r="E214" s="1717"/>
      <c r="F214" s="1718"/>
      <c r="G214" s="1718"/>
      <c r="H214" s="1719"/>
      <c r="I214" s="1716"/>
      <c r="J214" s="1717"/>
      <c r="K214" s="1718"/>
      <c r="L214" s="1718"/>
      <c r="M214" s="1719"/>
      <c r="N214" s="1716"/>
      <c r="O214" s="1717"/>
      <c r="P214" s="1718"/>
      <c r="Q214" s="1718"/>
      <c r="R214" s="1719"/>
      <c r="S214" s="1716"/>
      <c r="T214" s="1913"/>
      <c r="U214" s="1910"/>
      <c r="V214" s="1910"/>
      <c r="W214" s="1911"/>
      <c r="X214" s="1912"/>
      <c r="Y214" s="1913"/>
      <c r="Z214" s="1910"/>
      <c r="AA214" s="1910"/>
      <c r="AB214" s="1911"/>
      <c r="AC214" s="1912"/>
      <c r="AD214" s="1913"/>
      <c r="AE214" s="1910"/>
      <c r="AF214" s="1910"/>
      <c r="AG214" s="1911"/>
      <c r="AH214" s="1912"/>
      <c r="AI214" s="1913"/>
      <c r="AJ214" s="1910"/>
      <c r="AK214" s="1910"/>
      <c r="AL214" s="1911"/>
      <c r="AM214" s="1912"/>
      <c r="AN214" s="1913"/>
      <c r="AO214" s="1910"/>
      <c r="AP214" s="1910"/>
      <c r="AQ214" s="1911"/>
      <c r="AR214" s="1912"/>
      <c r="AS214" s="1717"/>
      <c r="AT214" s="1718"/>
      <c r="AU214" s="1718"/>
      <c r="AV214" s="1719"/>
      <c r="AW214" s="1716"/>
      <c r="AX214" s="1717"/>
      <c r="AY214" s="1718"/>
      <c r="AZ214" s="1718"/>
      <c r="BA214" s="1719"/>
      <c r="BB214" s="1716"/>
      <c r="BC214" s="1717"/>
      <c r="BD214" s="1718"/>
      <c r="BE214" s="1718"/>
      <c r="BF214" s="1719"/>
      <c r="BG214" s="1716"/>
      <c r="BH214" s="1717"/>
      <c r="BI214" s="1718"/>
      <c r="BJ214" s="1718"/>
      <c r="BK214" s="1719"/>
      <c r="BL214" s="1716"/>
      <c r="BM214" s="1716"/>
      <c r="BN214" s="1716"/>
      <c r="BO214" s="1716"/>
      <c r="BP214" s="1716"/>
      <c r="BQ214" s="1716"/>
      <c r="BR214" s="1716"/>
      <c r="BS214" s="1716"/>
      <c r="BT214" s="1716"/>
      <c r="BU214" s="1716"/>
      <c r="BV214" s="1716"/>
      <c r="BW214" s="1716"/>
      <c r="BX214" s="1716"/>
      <c r="BY214" s="1716"/>
      <c r="BZ214" s="1716"/>
      <c r="CA214" s="1716"/>
      <c r="CB214" s="1716"/>
      <c r="CC214" s="1716"/>
      <c r="CD214" s="1716"/>
      <c r="CE214" s="1716"/>
      <c r="CF214" s="1716"/>
      <c r="CG214" s="1716"/>
      <c r="CH214" s="1716"/>
      <c r="CI214" s="1716"/>
      <c r="CJ214" s="1716"/>
      <c r="CK214" s="1716"/>
      <c r="CL214" s="1716"/>
      <c r="CM214" s="1716"/>
      <c r="CN214" s="1716"/>
      <c r="CO214" s="1716"/>
      <c r="CP214" s="1716"/>
    </row>
    <row r="215" spans="1:94">
      <c r="A215" s="45"/>
      <c r="B215" s="45"/>
      <c r="C215" s="389" t="s">
        <v>611</v>
      </c>
      <c r="D215" s="45"/>
      <c r="E215" s="585"/>
      <c r="F215" s="343"/>
      <c r="G215" s="343"/>
      <c r="H215" s="291"/>
      <c r="I215" s="650">
        <v>0</v>
      </c>
      <c r="J215" s="585">
        <v>0</v>
      </c>
      <c r="K215" s="343">
        <v>0</v>
      </c>
      <c r="L215" s="343">
        <v>0</v>
      </c>
      <c r="M215" s="291">
        <f>N215</f>
        <v>0</v>
      </c>
      <c r="N215" s="650">
        <v>0</v>
      </c>
      <c r="O215" s="585">
        <v>0</v>
      </c>
      <c r="P215" s="343">
        <v>0</v>
      </c>
      <c r="Q215" s="343">
        <v>0</v>
      </c>
      <c r="R215" s="291">
        <f>S215</f>
        <v>0</v>
      </c>
      <c r="S215" s="650">
        <v>0</v>
      </c>
      <c r="T215" s="292">
        <v>0</v>
      </c>
      <c r="U215" s="261">
        <v>0</v>
      </c>
      <c r="V215" s="261">
        <v>0</v>
      </c>
      <c r="W215" s="291">
        <v>0</v>
      </c>
      <c r="X215" s="1915">
        <v>0</v>
      </c>
      <c r="Y215" s="286">
        <v>0</v>
      </c>
      <c r="Z215" s="258">
        <v>0</v>
      </c>
      <c r="AA215" s="261">
        <v>0</v>
      </c>
      <c r="AB215" s="291">
        <v>0</v>
      </c>
      <c r="AC215" s="1915">
        <v>0</v>
      </c>
      <c r="AD215" s="286">
        <v>0</v>
      </c>
      <c r="AE215" s="258">
        <v>0</v>
      </c>
      <c r="AF215" s="261">
        <v>0</v>
      </c>
      <c r="AG215" s="291">
        <v>0</v>
      </c>
      <c r="AH215" s="1915">
        <v>0</v>
      </c>
      <c r="AI215" s="286">
        <v>0</v>
      </c>
      <c r="AJ215" s="258">
        <v>0</v>
      </c>
      <c r="AK215" s="261">
        <v>0</v>
      </c>
      <c r="AL215" s="291">
        <v>0</v>
      </c>
      <c r="AM215" s="1915">
        <v>0</v>
      </c>
      <c r="AN215" s="286">
        <v>0</v>
      </c>
      <c r="AO215" s="258">
        <v>0</v>
      </c>
      <c r="AP215" s="258">
        <v>0</v>
      </c>
      <c r="AQ215" s="291">
        <v>0</v>
      </c>
      <c r="AR215" s="1915">
        <v>0</v>
      </c>
      <c r="AS215" s="292">
        <f t="shared" ref="AS215:AW215" si="637">+AR215</f>
        <v>0</v>
      </c>
      <c r="AT215" s="261">
        <f t="shared" si="637"/>
        <v>0</v>
      </c>
      <c r="AU215" s="261">
        <f t="shared" si="637"/>
        <v>0</v>
      </c>
      <c r="AV215" s="293">
        <f t="shared" si="637"/>
        <v>0</v>
      </c>
      <c r="AW215" s="228">
        <f t="shared" si="637"/>
        <v>0</v>
      </c>
      <c r="AX215" s="292">
        <f t="shared" ref="AX215" si="638">+AW215</f>
        <v>0</v>
      </c>
      <c r="AY215" s="261">
        <f t="shared" ref="AY215" si="639">+AX215</f>
        <v>0</v>
      </c>
      <c r="AZ215" s="261">
        <f t="shared" ref="AZ215" si="640">+AY215</f>
        <v>0</v>
      </c>
      <c r="BA215" s="293">
        <f t="shared" ref="BA215" si="641">+AZ215</f>
        <v>0</v>
      </c>
      <c r="BB215" s="228">
        <f t="shared" ref="BB215" si="642">+BA215</f>
        <v>0</v>
      </c>
      <c r="BC215" s="292">
        <f t="shared" ref="BC215" si="643">+BB215</f>
        <v>0</v>
      </c>
      <c r="BD215" s="261">
        <f t="shared" ref="BD215" si="644">+BC215</f>
        <v>0</v>
      </c>
      <c r="BE215" s="261">
        <f t="shared" ref="BE215" si="645">+BD215</f>
        <v>0</v>
      </c>
      <c r="BF215" s="293">
        <f t="shared" ref="BF215" si="646">+BE215</f>
        <v>0</v>
      </c>
      <c r="BG215" s="228">
        <f t="shared" ref="BG215" si="647">+BF215</f>
        <v>0</v>
      </c>
      <c r="BH215" s="292">
        <f t="shared" ref="BH215" si="648">+BG215</f>
        <v>0</v>
      </c>
      <c r="BI215" s="261">
        <f t="shared" ref="BI215" si="649">+BH215</f>
        <v>0</v>
      </c>
      <c r="BJ215" s="261">
        <f t="shared" ref="BJ215" si="650">+BI215</f>
        <v>0</v>
      </c>
      <c r="BK215" s="293">
        <f t="shared" ref="BK215" si="651">+BJ215</f>
        <v>0</v>
      </c>
      <c r="BL215" s="228">
        <f t="shared" ref="BL215" si="652">+BK215</f>
        <v>0</v>
      </c>
      <c r="BM215" s="45"/>
      <c r="BN215" s="45"/>
      <c r="BO215" s="45"/>
      <c r="BP215" s="45"/>
      <c r="BQ215" s="45"/>
      <c r="BR215" s="45"/>
      <c r="BS215" s="45"/>
      <c r="BT215" s="45"/>
      <c r="BU215" s="45"/>
      <c r="BV215" s="45"/>
      <c r="BW215" s="45"/>
      <c r="BX215" s="45"/>
      <c r="BY215" s="45"/>
      <c r="BZ215" s="45"/>
      <c r="CA215" s="45"/>
      <c r="CB215" s="45"/>
      <c r="CC215" s="45"/>
      <c r="CD215" s="45"/>
      <c r="CE215" s="45"/>
      <c r="CF215" s="45"/>
      <c r="CG215" s="45"/>
      <c r="CH215" s="45"/>
      <c r="CI215" s="45"/>
      <c r="CJ215" s="45"/>
      <c r="CK215" s="45"/>
      <c r="CL215" s="45"/>
      <c r="CM215" s="45"/>
      <c r="CN215" s="45"/>
      <c r="CO215" s="45"/>
      <c r="CP215" s="45"/>
    </row>
    <row r="216" spans="1:94">
      <c r="A216" s="895"/>
      <c r="B216" s="895"/>
      <c r="C216" s="391"/>
      <c r="D216" s="895"/>
      <c r="E216" s="896"/>
      <c r="F216" s="897"/>
      <c r="G216" s="897"/>
      <c r="H216" s="898"/>
      <c r="I216" s="899"/>
      <c r="J216" s="896"/>
      <c r="K216" s="897"/>
      <c r="L216" s="897"/>
      <c r="M216" s="898"/>
      <c r="N216" s="899"/>
      <c r="O216" s="896"/>
      <c r="P216" s="897"/>
      <c r="Q216" s="897"/>
      <c r="R216" s="898"/>
      <c r="S216" s="899"/>
      <c r="T216" s="1916"/>
      <c r="U216" s="1917"/>
      <c r="V216" s="1917"/>
      <c r="W216" s="1918"/>
      <c r="X216" s="1919"/>
      <c r="Y216" s="1916"/>
      <c r="Z216" s="1917"/>
      <c r="AA216" s="1917"/>
      <c r="AB216" s="1918"/>
      <c r="AC216" s="1919"/>
      <c r="AD216" s="1916"/>
      <c r="AE216" s="1917"/>
      <c r="AF216" s="1917"/>
      <c r="AG216" s="1918"/>
      <c r="AH216" s="1919"/>
      <c r="AI216" s="1916"/>
      <c r="AJ216" s="1917"/>
      <c r="AK216" s="1917"/>
      <c r="AL216" s="1918"/>
      <c r="AM216" s="1919"/>
      <c r="AN216" s="1916"/>
      <c r="AO216" s="1917"/>
      <c r="AP216" s="897"/>
      <c r="AQ216" s="1918"/>
      <c r="AR216" s="1919"/>
      <c r="AS216" s="896"/>
      <c r="AT216" s="897"/>
      <c r="AU216" s="897"/>
      <c r="AV216" s="898"/>
      <c r="AW216" s="899"/>
      <c r="AX216" s="896"/>
      <c r="AY216" s="897"/>
      <c r="AZ216" s="897"/>
      <c r="BA216" s="898"/>
      <c r="BB216" s="899"/>
      <c r="BC216" s="896"/>
      <c r="BD216" s="897"/>
      <c r="BE216" s="897"/>
      <c r="BF216" s="898"/>
      <c r="BG216" s="899"/>
      <c r="BH216" s="896"/>
      <c r="BI216" s="897"/>
      <c r="BJ216" s="897"/>
      <c r="BK216" s="898"/>
      <c r="BL216" s="899"/>
      <c r="BM216" s="895"/>
      <c r="BN216" s="895"/>
      <c r="BO216" s="895"/>
      <c r="BP216" s="895"/>
      <c r="BQ216" s="895"/>
      <c r="BR216" s="895"/>
      <c r="BS216" s="895"/>
      <c r="BT216" s="895"/>
      <c r="BU216" s="895"/>
      <c r="BV216" s="895"/>
      <c r="BW216" s="895"/>
      <c r="BX216" s="895"/>
      <c r="BY216" s="895"/>
      <c r="BZ216" s="895"/>
      <c r="CA216" s="895"/>
      <c r="CB216" s="895"/>
      <c r="CC216" s="895"/>
      <c r="CD216" s="895"/>
      <c r="CE216" s="895"/>
      <c r="CF216" s="895"/>
      <c r="CG216" s="895"/>
      <c r="CH216" s="895"/>
      <c r="CI216" s="895"/>
      <c r="CJ216" s="895"/>
      <c r="CK216" s="895"/>
      <c r="CL216" s="895"/>
      <c r="CM216" s="895"/>
      <c r="CN216" s="895"/>
      <c r="CO216" s="895"/>
      <c r="CP216" s="895"/>
    </row>
    <row r="217" spans="1:94">
      <c r="A217" s="45"/>
      <c r="B217" s="45"/>
      <c r="C217" s="389" t="s">
        <v>193</v>
      </c>
      <c r="D217" s="339"/>
      <c r="E217" s="585"/>
      <c r="F217" s="343"/>
      <c r="G217" s="343"/>
      <c r="H217" s="293"/>
      <c r="I217" s="344">
        <v>703</v>
      </c>
      <c r="J217" s="585">
        <v>709</v>
      </c>
      <c r="K217" s="343">
        <v>727</v>
      </c>
      <c r="L217" s="343">
        <v>804</v>
      </c>
      <c r="M217" s="293">
        <f>+N217</f>
        <v>802</v>
      </c>
      <c r="N217" s="344">
        <v>802</v>
      </c>
      <c r="O217" s="585">
        <v>804</v>
      </c>
      <c r="P217" s="343">
        <v>803</v>
      </c>
      <c r="Q217" s="343">
        <v>803</v>
      </c>
      <c r="R217" s="293">
        <f>+S217</f>
        <v>802</v>
      </c>
      <c r="S217" s="344">
        <v>802</v>
      </c>
      <c r="T217" s="292">
        <f>T201</f>
        <v>811</v>
      </c>
      <c r="U217" s="261">
        <f t="shared" ref="U217:AW217" si="653">U201</f>
        <v>893</v>
      </c>
      <c r="V217" s="261">
        <f t="shared" si="653"/>
        <v>893</v>
      </c>
      <c r="W217" s="293">
        <f t="shared" si="653"/>
        <v>867</v>
      </c>
      <c r="X217" s="228">
        <f t="shared" si="653"/>
        <v>867</v>
      </c>
      <c r="Y217" s="292">
        <f t="shared" si="653"/>
        <v>851</v>
      </c>
      <c r="Z217" s="261">
        <f t="shared" si="653"/>
        <v>857</v>
      </c>
      <c r="AA217" s="261">
        <f t="shared" ref="AA217:AE217" si="654">AA201</f>
        <v>880</v>
      </c>
      <c r="AB217" s="293">
        <f t="shared" si="654"/>
        <v>886</v>
      </c>
      <c r="AC217" s="228">
        <f t="shared" si="654"/>
        <v>886</v>
      </c>
      <c r="AD217" s="292">
        <f t="shared" si="654"/>
        <v>878</v>
      </c>
      <c r="AE217" s="261">
        <f t="shared" si="654"/>
        <v>888</v>
      </c>
      <c r="AF217" s="261">
        <f t="shared" ref="AF217:AJ217" si="655">AF201</f>
        <v>902</v>
      </c>
      <c r="AG217" s="293">
        <f t="shared" si="655"/>
        <v>1007</v>
      </c>
      <c r="AH217" s="228">
        <f t="shared" si="655"/>
        <v>1007</v>
      </c>
      <c r="AI217" s="292">
        <f t="shared" si="655"/>
        <v>889</v>
      </c>
      <c r="AJ217" s="261">
        <f t="shared" si="655"/>
        <v>1031</v>
      </c>
      <c r="AK217" s="261">
        <f t="shared" ref="AK217:AO217" si="656">AK201</f>
        <v>1065</v>
      </c>
      <c r="AL217" s="293">
        <f t="shared" si="656"/>
        <v>1034</v>
      </c>
      <c r="AM217" s="228">
        <f t="shared" si="656"/>
        <v>1034</v>
      </c>
      <c r="AN217" s="292">
        <f t="shared" si="656"/>
        <v>1052</v>
      </c>
      <c r="AO217" s="261">
        <f t="shared" si="656"/>
        <v>1048</v>
      </c>
      <c r="AP217" s="261">
        <f t="shared" ref="AP217:AR217" si="657">AP201</f>
        <v>1058</v>
      </c>
      <c r="AQ217" s="293">
        <f t="shared" si="657"/>
        <v>1043</v>
      </c>
      <c r="AR217" s="228">
        <f t="shared" si="657"/>
        <v>1043</v>
      </c>
      <c r="AS217" s="292">
        <f t="shared" si="653"/>
        <v>1072.7428440602723</v>
      </c>
      <c r="AT217" s="261">
        <f t="shared" ca="1" si="653"/>
        <v>1104.2034327535921</v>
      </c>
      <c r="AU217" s="261">
        <f t="shared" ca="1" si="653"/>
        <v>1181.0763183301287</v>
      </c>
      <c r="AV217" s="293">
        <f t="shared" ca="1" si="653"/>
        <v>1210.2495965860103</v>
      </c>
      <c r="AW217" s="228">
        <f t="shared" ca="1" si="653"/>
        <v>1210.2495965860103</v>
      </c>
      <c r="AX217" s="292">
        <f t="shared" ref="AX217:BG217" ca="1" si="658">AX201</f>
        <v>1220.0506538965478</v>
      </c>
      <c r="AY217" s="261">
        <f t="shared" ca="1" si="658"/>
        <v>1231.3770020359707</v>
      </c>
      <c r="AZ217" s="261">
        <f t="shared" ca="1" si="658"/>
        <v>1292.642015911993</v>
      </c>
      <c r="BA217" s="293">
        <f t="shared" ca="1" si="658"/>
        <v>1306.0147375081922</v>
      </c>
      <c r="BB217" s="228">
        <f t="shared" ca="1" si="658"/>
        <v>1306.0147375081922</v>
      </c>
      <c r="BC217" s="292">
        <f t="shared" ca="1" si="658"/>
        <v>1316.3709873434482</v>
      </c>
      <c r="BD217" s="261">
        <f t="shared" ca="1" si="658"/>
        <v>1328.6087090133901</v>
      </c>
      <c r="BE217" s="261">
        <f t="shared" ca="1" si="658"/>
        <v>1385.9409258365281</v>
      </c>
      <c r="BF217" s="293">
        <f t="shared" ca="1" si="658"/>
        <v>1395.2818739444911</v>
      </c>
      <c r="BG217" s="228">
        <f t="shared" ca="1" si="658"/>
        <v>1395.2818739444911</v>
      </c>
      <c r="BH217" s="292">
        <f t="shared" ref="BH217:BL217" ca="1" si="659">BH201</f>
        <v>1393.8642221696655</v>
      </c>
      <c r="BI217" s="261">
        <f t="shared" ca="1" si="659"/>
        <v>1394.3314640758963</v>
      </c>
      <c r="BJ217" s="261">
        <f t="shared" ca="1" si="659"/>
        <v>1440.2003470609793</v>
      </c>
      <c r="BK217" s="293">
        <f t="shared" ca="1" si="659"/>
        <v>1438.5827200277447</v>
      </c>
      <c r="BL217" s="228">
        <f t="shared" ca="1" si="659"/>
        <v>1438.5827200277447</v>
      </c>
      <c r="BM217" s="45"/>
      <c r="BN217" s="45"/>
      <c r="BO217" s="45"/>
      <c r="BP217" s="45"/>
      <c r="BQ217" s="45"/>
      <c r="BR217" s="45"/>
      <c r="BS217" s="45"/>
      <c r="BT217" s="45"/>
      <c r="BU217" s="45"/>
      <c r="BV217" s="45"/>
      <c r="BW217" s="45"/>
      <c r="BX217" s="45"/>
      <c r="BY217" s="45"/>
      <c r="BZ217" s="45"/>
      <c r="CA217" s="45"/>
      <c r="CB217" s="45"/>
      <c r="CC217" s="45"/>
      <c r="CD217" s="45"/>
      <c r="CE217" s="45"/>
      <c r="CF217" s="45"/>
      <c r="CG217" s="45"/>
      <c r="CH217" s="45"/>
      <c r="CI217" s="45"/>
      <c r="CJ217" s="45"/>
      <c r="CK217" s="45"/>
      <c r="CL217" s="45"/>
      <c r="CM217" s="45"/>
      <c r="CN217" s="45"/>
      <c r="CO217" s="45"/>
      <c r="CP217" s="45"/>
    </row>
    <row r="218" spans="1:94">
      <c r="A218" s="1699"/>
      <c r="B218" s="1699"/>
      <c r="C218" s="408" t="s">
        <v>612</v>
      </c>
      <c r="D218" s="1699"/>
      <c r="E218" s="1758"/>
      <c r="F218" s="1759"/>
      <c r="G218" s="1759"/>
      <c r="H218" s="1760"/>
      <c r="I218" s="1761">
        <f t="shared" ref="I218:AW218" si="660">+I217/I221</f>
        <v>0.37314225053078554</v>
      </c>
      <c r="J218" s="1758">
        <f t="shared" si="660"/>
        <v>0.37533086289041823</v>
      </c>
      <c r="K218" s="1759">
        <f t="shared" si="660"/>
        <v>0.37129724208375892</v>
      </c>
      <c r="L218" s="1759">
        <f t="shared" si="660"/>
        <v>0.4015984015984016</v>
      </c>
      <c r="M218" s="1760">
        <f t="shared" si="660"/>
        <v>0.4032176973353444</v>
      </c>
      <c r="N218" s="1761">
        <f t="shared" si="660"/>
        <v>0.4032176973353444</v>
      </c>
      <c r="O218" s="1758">
        <f t="shared" si="660"/>
        <v>0.40544629349470501</v>
      </c>
      <c r="P218" s="1759">
        <f t="shared" si="660"/>
        <v>0.39247311827956988</v>
      </c>
      <c r="Q218" s="1759">
        <f t="shared" si="660"/>
        <v>0.39094449853943525</v>
      </c>
      <c r="R218" s="1760">
        <f t="shared" si="660"/>
        <v>0.3895094706168043</v>
      </c>
      <c r="S218" s="1761">
        <f t="shared" si="660"/>
        <v>0.3895094706168043</v>
      </c>
      <c r="T218" s="1758">
        <f t="shared" si="660"/>
        <v>0.38021565869667134</v>
      </c>
      <c r="U218" s="1759">
        <f t="shared" ref="U218:Z218" si="661">+U217/U221</f>
        <v>0.41304347826086957</v>
      </c>
      <c r="V218" s="1759">
        <f t="shared" si="661"/>
        <v>0.41787552643893311</v>
      </c>
      <c r="W218" s="1760">
        <f t="shared" si="661"/>
        <v>0.40896226415094339</v>
      </c>
      <c r="X218" s="1761">
        <f t="shared" si="661"/>
        <v>0.40896226415094339</v>
      </c>
      <c r="Y218" s="1758">
        <f t="shared" si="661"/>
        <v>0.40992292870905589</v>
      </c>
      <c r="Z218" s="1759">
        <f t="shared" si="661"/>
        <v>0.40196998123827393</v>
      </c>
      <c r="AA218" s="1759">
        <f t="shared" ref="AA218:AE218" si="662">+AA217/AA221</f>
        <v>0.41745730550284632</v>
      </c>
      <c r="AB218" s="1760">
        <f t="shared" si="662"/>
        <v>0.41576724542468324</v>
      </c>
      <c r="AC218" s="1761">
        <f t="shared" si="662"/>
        <v>0.41576724542468324</v>
      </c>
      <c r="AD218" s="1758">
        <f t="shared" si="662"/>
        <v>0.41278796426892339</v>
      </c>
      <c r="AE218" s="1759">
        <f t="shared" si="662"/>
        <v>0.40326975476839239</v>
      </c>
      <c r="AF218" s="1759">
        <f t="shared" ref="AF218:AJ218" si="663">+AF217/AF221</f>
        <v>0.41018644838562984</v>
      </c>
      <c r="AG218" s="1760">
        <f t="shared" si="663"/>
        <v>0.45483288166214997</v>
      </c>
      <c r="AH218" s="1761">
        <f t="shared" si="663"/>
        <v>0.45483288166214997</v>
      </c>
      <c r="AI218" s="1758">
        <f t="shared" si="663"/>
        <v>0.42740384615384613</v>
      </c>
      <c r="AJ218" s="1759">
        <f t="shared" si="663"/>
        <v>0.46630483943916778</v>
      </c>
      <c r="AK218" s="1759">
        <f t="shared" ref="AK218:AO218" si="664">+AK217/AK221</f>
        <v>0.47715053763440862</v>
      </c>
      <c r="AL218" s="1760">
        <f t="shared" si="664"/>
        <v>0.47236180904522612</v>
      </c>
      <c r="AM218" s="1761">
        <f t="shared" si="664"/>
        <v>0.47236180904522612</v>
      </c>
      <c r="AN218" s="1758">
        <f t="shared" si="664"/>
        <v>0.47883477469276287</v>
      </c>
      <c r="AO218" s="1759">
        <f t="shared" si="664"/>
        <v>0.47037701974865348</v>
      </c>
      <c r="AP218" s="1759">
        <f t="shared" ref="AP218:AR218" si="665">+AP217/AP221</f>
        <v>0.4695960940967599</v>
      </c>
      <c r="AQ218" s="1760">
        <f t="shared" si="665"/>
        <v>0.45906690140845069</v>
      </c>
      <c r="AR218" s="1761">
        <f t="shared" si="665"/>
        <v>0.45906690140845069</v>
      </c>
      <c r="AS218" s="1758">
        <f t="shared" ca="1" si="660"/>
        <v>0.46080082754675156</v>
      </c>
      <c r="AT218" s="1759">
        <f t="shared" ca="1" si="660"/>
        <v>0.462847675887683</v>
      </c>
      <c r="AU218" s="1759">
        <f t="shared" ca="1" si="660"/>
        <v>0.4769951190868984</v>
      </c>
      <c r="AV218" s="1760">
        <f t="shared" ca="1" si="660"/>
        <v>0.48308543716971714</v>
      </c>
      <c r="AW218" s="1761">
        <f t="shared" ca="1" si="660"/>
        <v>0.48308543716971714</v>
      </c>
      <c r="AX218" s="1758">
        <f t="shared" ref="AX218:BG218" ca="1" si="666">+AX217/AX221</f>
        <v>0.47935830701518539</v>
      </c>
      <c r="AY218" s="1759">
        <f t="shared" ca="1" si="666"/>
        <v>0.47536673738264912</v>
      </c>
      <c r="AZ218" s="1759">
        <f t="shared" ca="1" si="666"/>
        <v>0.48510907213537158</v>
      </c>
      <c r="BA218" s="1760">
        <f t="shared" ca="1" si="666"/>
        <v>0.48743491848219622</v>
      </c>
      <c r="BB218" s="1761">
        <f ca="1">+BB217/BB221</f>
        <v>0.48743491848219622</v>
      </c>
      <c r="BC218" s="1758">
        <f t="shared" ca="1" si="666"/>
        <v>0.48377943885866653</v>
      </c>
      <c r="BD218" s="1759">
        <f t="shared" ca="1" si="666"/>
        <v>0.48099396615396878</v>
      </c>
      <c r="BE218" s="1759">
        <f t="shared" ca="1" si="666"/>
        <v>0.48922337673782557</v>
      </c>
      <c r="BF218" s="1760">
        <f t="shared" ca="1" si="666"/>
        <v>0.49073046055676767</v>
      </c>
      <c r="BG218" s="1761">
        <f t="shared" ca="1" si="666"/>
        <v>0.49073046055676767</v>
      </c>
      <c r="BH218" s="1758">
        <f t="shared" ref="BH218:BL218" ca="1" si="667">+BH217/BH221</f>
        <v>0.48694442019976319</v>
      </c>
      <c r="BI218" s="1759">
        <f t="shared" ca="1" si="667"/>
        <v>0.48397451636810168</v>
      </c>
      <c r="BJ218" s="1759">
        <f t="shared" ca="1" si="667"/>
        <v>0.49265656384886097</v>
      </c>
      <c r="BK218" s="1760">
        <f t="shared" ca="1" si="667"/>
        <v>0.49237567002676902</v>
      </c>
      <c r="BL218" s="1761">
        <f t="shared" ca="1" si="667"/>
        <v>0.49237567002676902</v>
      </c>
      <c r="BM218" s="1699"/>
      <c r="BN218" s="1699"/>
      <c r="BO218" s="1699"/>
      <c r="BP218" s="1699"/>
      <c r="BQ218" s="1699"/>
      <c r="BR218" s="1699"/>
      <c r="BS218" s="1699"/>
      <c r="BT218" s="1699"/>
      <c r="BU218" s="1699"/>
      <c r="BV218" s="1699"/>
      <c r="BW218" s="1699"/>
      <c r="BX218" s="1699"/>
      <c r="BY218" s="1699"/>
      <c r="BZ218" s="1699"/>
      <c r="CA218" s="1699"/>
      <c r="CB218" s="1699"/>
      <c r="CC218" s="1699"/>
      <c r="CD218" s="1699"/>
      <c r="CE218" s="1699"/>
      <c r="CF218" s="1699"/>
      <c r="CG218" s="1699"/>
      <c r="CH218" s="1699"/>
      <c r="CI218" s="1699"/>
      <c r="CJ218" s="1699"/>
      <c r="CK218" s="1699"/>
      <c r="CL218" s="1699"/>
      <c r="CM218" s="1699"/>
      <c r="CN218" s="1699"/>
      <c r="CO218" s="1699"/>
      <c r="CP218" s="1699"/>
    </row>
    <row r="219" spans="1:94">
      <c r="A219" s="1699"/>
      <c r="B219" s="1699"/>
      <c r="C219" s="408" t="s">
        <v>768</v>
      </c>
      <c r="D219" s="1699"/>
      <c r="E219" s="1758"/>
      <c r="F219" s="1759"/>
      <c r="G219" s="1759"/>
      <c r="H219" s="1760"/>
      <c r="I219" s="1761">
        <f>I217/(I221-I129)</f>
        <v>0.39943181818181817</v>
      </c>
      <c r="J219" s="1758"/>
      <c r="K219" s="1759"/>
      <c r="L219" s="1759"/>
      <c r="M219" s="1760"/>
      <c r="N219" s="1761">
        <f>N217/(N221-N129)</f>
        <v>0.43002680965147455</v>
      </c>
      <c r="O219" s="1758"/>
      <c r="P219" s="1759"/>
      <c r="Q219" s="1759"/>
      <c r="R219" s="1760"/>
      <c r="S219" s="1761">
        <f>S217/(S221-S129)</f>
        <v>0.41447028423772608</v>
      </c>
      <c r="T219" s="1758"/>
      <c r="U219" s="1759"/>
      <c r="V219" s="1759"/>
      <c r="W219" s="1760"/>
      <c r="X219" s="1761">
        <f>X217/(X221-X129)</f>
        <v>0.43436873747494992</v>
      </c>
      <c r="Y219" s="1758"/>
      <c r="Z219" s="1759"/>
      <c r="AA219" s="1759"/>
      <c r="AB219" s="1760"/>
      <c r="AC219" s="1761">
        <f>AC217/(AC221-AC129)</f>
        <v>0.44145490782262081</v>
      </c>
      <c r="AD219" s="1758"/>
      <c r="AE219" s="1759"/>
      <c r="AF219" s="1759"/>
      <c r="AG219" s="1760"/>
      <c r="AH219" s="1761">
        <f>AH217/(AH221-AH129)</f>
        <v>0.48181818181818181</v>
      </c>
      <c r="AI219" s="1758"/>
      <c r="AJ219" s="1759"/>
      <c r="AK219" s="1759"/>
      <c r="AL219" s="1760"/>
      <c r="AM219" s="1761">
        <f>AM217/(AM221-AM129)</f>
        <v>0.50072639225181603</v>
      </c>
      <c r="AN219" s="1758"/>
      <c r="AO219" s="1759"/>
      <c r="AP219" s="1759"/>
      <c r="AQ219" s="1760"/>
      <c r="AR219" s="1761">
        <f>AR217/(AR221-AR129)</f>
        <v>0.47800183318056827</v>
      </c>
      <c r="AS219" s="1758"/>
      <c r="AT219" s="1759"/>
      <c r="AU219" s="1759"/>
      <c r="AV219" s="1760"/>
      <c r="AW219" s="1761">
        <f ca="1">AW217/(AW221-AW129)</f>
        <v>0.49473675878170259</v>
      </c>
      <c r="AX219" s="1758"/>
      <c r="AY219" s="1759"/>
      <c r="AZ219" s="1759"/>
      <c r="BA219" s="1760"/>
      <c r="BB219" s="1761">
        <f ca="1">BB217/(BB221-BB129)</f>
        <v>0.49500962941673227</v>
      </c>
      <c r="BC219" s="1758"/>
      <c r="BD219" s="1759"/>
      <c r="BE219" s="1759"/>
      <c r="BF219" s="1760"/>
      <c r="BG219" s="1761">
        <f ca="1">BG217/(BG221-BG129)</f>
        <v>0.49438188999123006</v>
      </c>
      <c r="BH219" s="1758"/>
      <c r="BI219" s="1759"/>
      <c r="BJ219" s="1759"/>
      <c r="BK219" s="1760"/>
      <c r="BL219" s="1761">
        <f ca="1">BL217/(BL221-BL129)</f>
        <v>0.49594026681575382</v>
      </c>
      <c r="BM219" s="1699"/>
      <c r="BN219" s="1699"/>
      <c r="BO219" s="1699"/>
      <c r="BP219" s="1699"/>
      <c r="BQ219" s="1699"/>
      <c r="BR219" s="1699"/>
      <c r="BS219" s="1699"/>
      <c r="BT219" s="1699"/>
      <c r="BU219" s="1699"/>
      <c r="BV219" s="1699"/>
      <c r="BW219" s="1699"/>
      <c r="BX219" s="1699"/>
      <c r="BY219" s="1699"/>
      <c r="BZ219" s="1699"/>
      <c r="CA219" s="1699"/>
      <c r="CB219" s="1699"/>
      <c r="CC219" s="1699"/>
      <c r="CD219" s="1699"/>
      <c r="CE219" s="1699"/>
      <c r="CF219" s="1699"/>
      <c r="CG219" s="1699"/>
      <c r="CH219" s="1699"/>
      <c r="CI219" s="1699"/>
      <c r="CJ219" s="1699"/>
      <c r="CK219" s="1699"/>
      <c r="CL219" s="1699"/>
      <c r="CM219" s="1699"/>
      <c r="CN219" s="1699"/>
      <c r="CO219" s="1699"/>
      <c r="CP219" s="1699"/>
    </row>
    <row r="220" spans="1:94">
      <c r="A220" s="895"/>
      <c r="B220" s="895"/>
      <c r="C220" s="409"/>
      <c r="D220" s="895"/>
      <c r="E220" s="896"/>
      <c r="F220" s="897"/>
      <c r="G220" s="897"/>
      <c r="H220" s="898"/>
      <c r="I220" s="899"/>
      <c r="J220" s="896"/>
      <c r="K220" s="897"/>
      <c r="L220" s="897"/>
      <c r="M220" s="898"/>
      <c r="N220" s="899"/>
      <c r="O220" s="896"/>
      <c r="P220" s="897"/>
      <c r="Q220" s="897"/>
      <c r="R220" s="898"/>
      <c r="S220" s="899"/>
      <c r="T220" s="1916"/>
      <c r="U220" s="1917"/>
      <c r="V220" s="1917"/>
      <c r="W220" s="1918"/>
      <c r="X220" s="1919"/>
      <c r="Y220" s="1916"/>
      <c r="Z220" s="1917"/>
      <c r="AA220" s="1917"/>
      <c r="AB220" s="1918"/>
      <c r="AC220" s="1919"/>
      <c r="AD220" s="1916"/>
      <c r="AE220" s="1917"/>
      <c r="AF220" s="1917"/>
      <c r="AG220" s="1918"/>
      <c r="AH220" s="1919"/>
      <c r="AI220" s="1916"/>
      <c r="AJ220" s="1917"/>
      <c r="AK220" s="1917"/>
      <c r="AL220" s="1918"/>
      <c r="AM220" s="1919"/>
      <c r="AN220" s="1916"/>
      <c r="AO220" s="1917"/>
      <c r="AP220" s="1917"/>
      <c r="AQ220" s="1918"/>
      <c r="AR220" s="1919"/>
      <c r="AS220" s="896"/>
      <c r="AT220" s="897"/>
      <c r="AU220" s="897"/>
      <c r="AV220" s="898"/>
      <c r="AW220" s="899"/>
      <c r="AX220" s="896"/>
      <c r="AY220" s="897"/>
      <c r="AZ220" s="897"/>
      <c r="BA220" s="898"/>
      <c r="BB220" s="899"/>
      <c r="BC220" s="896"/>
      <c r="BD220" s="897"/>
      <c r="BE220" s="897"/>
      <c r="BF220" s="898"/>
      <c r="BG220" s="899"/>
      <c r="BH220" s="896"/>
      <c r="BI220" s="897"/>
      <c r="BJ220" s="897"/>
      <c r="BK220" s="898"/>
      <c r="BL220" s="899"/>
      <c r="BM220" s="895"/>
      <c r="BN220" s="895"/>
      <c r="BO220" s="895"/>
      <c r="BP220" s="895"/>
      <c r="BQ220" s="895"/>
      <c r="BR220" s="895"/>
      <c r="BS220" s="895"/>
      <c r="BT220" s="895"/>
      <c r="BU220" s="895"/>
      <c r="BV220" s="895"/>
      <c r="BW220" s="895"/>
      <c r="BX220" s="895"/>
      <c r="BY220" s="895"/>
      <c r="BZ220" s="895"/>
      <c r="CA220" s="895"/>
      <c r="CB220" s="895"/>
      <c r="CC220" s="895"/>
      <c r="CD220" s="895"/>
      <c r="CE220" s="895"/>
      <c r="CF220" s="895"/>
      <c r="CG220" s="895"/>
      <c r="CH220" s="895"/>
      <c r="CI220" s="895"/>
      <c r="CJ220" s="895"/>
      <c r="CK220" s="895"/>
      <c r="CL220" s="895"/>
      <c r="CM220" s="895"/>
      <c r="CN220" s="895"/>
      <c r="CO220" s="895"/>
      <c r="CP220" s="895"/>
    </row>
    <row r="221" spans="1:94">
      <c r="A221" s="45"/>
      <c r="B221" s="45"/>
      <c r="C221" s="389" t="s">
        <v>494</v>
      </c>
      <c r="D221" s="45"/>
      <c r="E221" s="292"/>
      <c r="F221" s="261"/>
      <c r="G221" s="261"/>
      <c r="H221" s="293"/>
      <c r="I221" s="228">
        <f>+I217+I215+I212</f>
        <v>1884</v>
      </c>
      <c r="J221" s="292">
        <f>+J217+J215+J212</f>
        <v>1889</v>
      </c>
      <c r="K221" s="261">
        <f>+K217+K215+K212</f>
        <v>1958</v>
      </c>
      <c r="L221" s="261">
        <f>+L217+L215+L212</f>
        <v>2002</v>
      </c>
      <c r="M221" s="293">
        <f>+N221</f>
        <v>1989</v>
      </c>
      <c r="N221" s="228">
        <f>+N217+N215+N212</f>
        <v>1989</v>
      </c>
      <c r="O221" s="292">
        <f>+O217+O215+O212</f>
        <v>1983</v>
      </c>
      <c r="P221" s="261">
        <f>+P217+P215+P212</f>
        <v>2046</v>
      </c>
      <c r="Q221" s="261">
        <f>+Q217+Q215+Q212</f>
        <v>2054</v>
      </c>
      <c r="R221" s="293">
        <f>+S221</f>
        <v>2059</v>
      </c>
      <c r="S221" s="228">
        <f>+S217+S215+S212</f>
        <v>2059</v>
      </c>
      <c r="T221" s="292">
        <f>+T217+T215+T212</f>
        <v>2133</v>
      </c>
      <c r="U221" s="261">
        <f t="shared" ref="U221:AW221" si="668">+U217+U215+U212</f>
        <v>2162</v>
      </c>
      <c r="V221" s="261">
        <f t="shared" si="668"/>
        <v>2137</v>
      </c>
      <c r="W221" s="293">
        <f t="shared" si="668"/>
        <v>2120</v>
      </c>
      <c r="X221" s="228">
        <f t="shared" si="668"/>
        <v>2120</v>
      </c>
      <c r="Y221" s="292">
        <f t="shared" si="668"/>
        <v>2076</v>
      </c>
      <c r="Z221" s="261">
        <f t="shared" si="668"/>
        <v>2132</v>
      </c>
      <c r="AA221" s="261">
        <f t="shared" ref="AA221:AE221" si="669">+AA217+AA215+AA212</f>
        <v>2108</v>
      </c>
      <c r="AB221" s="293">
        <f t="shared" si="669"/>
        <v>2131</v>
      </c>
      <c r="AC221" s="228">
        <f t="shared" si="669"/>
        <v>2131</v>
      </c>
      <c r="AD221" s="292">
        <f t="shared" si="669"/>
        <v>2127</v>
      </c>
      <c r="AE221" s="261">
        <f t="shared" si="669"/>
        <v>2202</v>
      </c>
      <c r="AF221" s="261">
        <f t="shared" ref="AF221:AJ221" si="670">+AF217+AF215+AF212</f>
        <v>2199</v>
      </c>
      <c r="AG221" s="293">
        <f t="shared" si="670"/>
        <v>2214</v>
      </c>
      <c r="AH221" s="228">
        <f t="shared" si="670"/>
        <v>2214</v>
      </c>
      <c r="AI221" s="292">
        <f t="shared" si="670"/>
        <v>2080</v>
      </c>
      <c r="AJ221" s="261">
        <f t="shared" si="670"/>
        <v>2211</v>
      </c>
      <c r="AK221" s="261">
        <f t="shared" ref="AK221:AO221" si="671">+AK217+AK215+AK212</f>
        <v>2232</v>
      </c>
      <c r="AL221" s="293">
        <f t="shared" si="671"/>
        <v>2189</v>
      </c>
      <c r="AM221" s="228">
        <f t="shared" si="671"/>
        <v>2189</v>
      </c>
      <c r="AN221" s="292">
        <f t="shared" si="671"/>
        <v>2197</v>
      </c>
      <c r="AO221" s="261">
        <f t="shared" si="671"/>
        <v>2228</v>
      </c>
      <c r="AP221" s="261">
        <f t="shared" ref="AP221:AR221" si="672">+AP217+AP215+AP212</f>
        <v>2253</v>
      </c>
      <c r="AQ221" s="293">
        <f t="shared" si="672"/>
        <v>2272</v>
      </c>
      <c r="AR221" s="228">
        <f t="shared" si="672"/>
        <v>2272</v>
      </c>
      <c r="AS221" s="292">
        <f t="shared" ca="1" si="668"/>
        <v>2327.9967828430927</v>
      </c>
      <c r="AT221" s="261">
        <f t="shared" ca="1" si="668"/>
        <v>2385.673495358641</v>
      </c>
      <c r="AU221" s="261">
        <f t="shared" ca="1" si="668"/>
        <v>2476.0763183301287</v>
      </c>
      <c r="AV221" s="293">
        <f t="shared" ca="1" si="668"/>
        <v>2505.2495965860103</v>
      </c>
      <c r="AW221" s="228">
        <f t="shared" ca="1" si="668"/>
        <v>2505.2495965860103</v>
      </c>
      <c r="AX221" s="292">
        <f t="shared" ref="AX221:BG221" ca="1" si="673">+AX217+AX215+AX212</f>
        <v>2545.1747388992226</v>
      </c>
      <c r="AY221" s="261">
        <f t="shared" ca="1" si="673"/>
        <v>2590.3726643052159</v>
      </c>
      <c r="AZ221" s="261">
        <f t="shared" ca="1" si="673"/>
        <v>2664.642015911993</v>
      </c>
      <c r="BA221" s="293">
        <f t="shared" ca="1" si="673"/>
        <v>2679.362286097472</v>
      </c>
      <c r="BB221" s="228">
        <f t="shared" ca="1" si="673"/>
        <v>2679.362286097472</v>
      </c>
      <c r="BC221" s="292">
        <f t="shared" ca="1" si="673"/>
        <v>2721.0147468214718</v>
      </c>
      <c r="BD221" s="261">
        <f t="shared" ca="1" si="673"/>
        <v>2762.2149184883856</v>
      </c>
      <c r="BE221" s="261">
        <f t="shared" ca="1" si="673"/>
        <v>2832.9409258365281</v>
      </c>
      <c r="BF221" s="293">
        <f t="shared" ca="1" si="673"/>
        <v>2843.2754558611405</v>
      </c>
      <c r="BG221" s="228">
        <f t="shared" ca="1" si="673"/>
        <v>2843.2754558611405</v>
      </c>
      <c r="BH221" s="292">
        <f t="shared" ref="BH221:BL221" ca="1" si="674">+BH217+BH215+BH212</f>
        <v>2862.470878294178</v>
      </c>
      <c r="BI221" s="261">
        <f t="shared" ca="1" si="674"/>
        <v>2881.0018232765683</v>
      </c>
      <c r="BJ221" s="261">
        <f t="shared" ca="1" si="674"/>
        <v>2923.3353470609791</v>
      </c>
      <c r="BK221" s="293">
        <f t="shared" ca="1" si="674"/>
        <v>2921.7177200277447</v>
      </c>
      <c r="BL221" s="228">
        <f t="shared" ca="1" si="674"/>
        <v>2921.7177200277447</v>
      </c>
      <c r="BM221" s="45"/>
      <c r="BN221" s="45"/>
      <c r="BO221" s="45"/>
      <c r="BP221" s="45"/>
      <c r="BQ221" s="45"/>
      <c r="BR221" s="45"/>
      <c r="BS221" s="45"/>
      <c r="BT221" s="45"/>
      <c r="BU221" s="45"/>
      <c r="BV221" s="45"/>
      <c r="BW221" s="45"/>
      <c r="BX221" s="45"/>
      <c r="BY221" s="45"/>
      <c r="BZ221" s="45"/>
      <c r="CA221" s="45"/>
      <c r="CB221" s="45"/>
      <c r="CC221" s="45"/>
      <c r="CD221" s="45"/>
      <c r="CE221" s="45"/>
      <c r="CF221" s="45"/>
      <c r="CG221" s="45"/>
      <c r="CH221" s="45"/>
      <c r="CI221" s="45"/>
      <c r="CJ221" s="45"/>
      <c r="CK221" s="45"/>
      <c r="CL221" s="45"/>
      <c r="CM221" s="45"/>
      <c r="CN221" s="45"/>
      <c r="CO221" s="45"/>
      <c r="CP221" s="45"/>
    </row>
    <row r="222" spans="1:94">
      <c r="A222" s="1699"/>
      <c r="B222" s="1699"/>
      <c r="C222" s="408" t="s">
        <v>612</v>
      </c>
      <c r="D222" s="1699"/>
      <c r="E222" s="1758"/>
      <c r="F222" s="1759"/>
      <c r="G222" s="1759"/>
      <c r="H222" s="1760"/>
      <c r="I222" s="1761">
        <f t="shared" ref="I222:AW222" si="675">(I212+I215+I217)/I221</f>
        <v>1</v>
      </c>
      <c r="J222" s="1758">
        <f t="shared" si="675"/>
        <v>1</v>
      </c>
      <c r="K222" s="1759">
        <f t="shared" si="675"/>
        <v>1</v>
      </c>
      <c r="L222" s="1759">
        <f t="shared" si="675"/>
        <v>1</v>
      </c>
      <c r="M222" s="1760">
        <f t="shared" si="675"/>
        <v>1</v>
      </c>
      <c r="N222" s="1761">
        <f t="shared" si="675"/>
        <v>1</v>
      </c>
      <c r="O222" s="1758">
        <f t="shared" si="675"/>
        <v>1</v>
      </c>
      <c r="P222" s="1759">
        <f t="shared" si="675"/>
        <v>1</v>
      </c>
      <c r="Q222" s="1759">
        <f t="shared" si="675"/>
        <v>1</v>
      </c>
      <c r="R222" s="1760">
        <f t="shared" si="675"/>
        <v>1</v>
      </c>
      <c r="S222" s="1761">
        <f t="shared" si="675"/>
        <v>1</v>
      </c>
      <c r="T222" s="1758">
        <f t="shared" si="675"/>
        <v>1</v>
      </c>
      <c r="U222" s="1759">
        <f t="shared" si="675"/>
        <v>1</v>
      </c>
      <c r="V222" s="1759">
        <f t="shared" si="675"/>
        <v>1</v>
      </c>
      <c r="W222" s="1760">
        <f t="shared" si="675"/>
        <v>1</v>
      </c>
      <c r="X222" s="1761">
        <f t="shared" si="675"/>
        <v>1</v>
      </c>
      <c r="Y222" s="1758">
        <f t="shared" si="675"/>
        <v>1</v>
      </c>
      <c r="Z222" s="1759">
        <f t="shared" si="675"/>
        <v>1</v>
      </c>
      <c r="AA222" s="1759">
        <f t="shared" ref="AA222:AE222" si="676">(AA212+AA215+AA217)/AA221</f>
        <v>1</v>
      </c>
      <c r="AB222" s="1760">
        <f t="shared" si="676"/>
        <v>1</v>
      </c>
      <c r="AC222" s="1761">
        <f t="shared" si="676"/>
        <v>1</v>
      </c>
      <c r="AD222" s="1758">
        <f t="shared" si="676"/>
        <v>1</v>
      </c>
      <c r="AE222" s="1759">
        <f t="shared" si="676"/>
        <v>1</v>
      </c>
      <c r="AF222" s="1759">
        <f t="shared" ref="AF222:AJ222" si="677">(AF212+AF215+AF217)/AF221</f>
        <v>1</v>
      </c>
      <c r="AG222" s="1760">
        <f t="shared" si="677"/>
        <v>1</v>
      </c>
      <c r="AH222" s="1761">
        <f t="shared" si="677"/>
        <v>1</v>
      </c>
      <c r="AI222" s="1758">
        <f t="shared" si="677"/>
        <v>1</v>
      </c>
      <c r="AJ222" s="1759">
        <f t="shared" si="677"/>
        <v>1</v>
      </c>
      <c r="AK222" s="1759">
        <f t="shared" ref="AK222:AO222" si="678">(AK212+AK215+AK217)/AK221</f>
        <v>1</v>
      </c>
      <c r="AL222" s="1760">
        <f t="shared" si="678"/>
        <v>1</v>
      </c>
      <c r="AM222" s="1761">
        <f t="shared" si="678"/>
        <v>1</v>
      </c>
      <c r="AN222" s="1758">
        <f t="shared" si="678"/>
        <v>1</v>
      </c>
      <c r="AO222" s="1759">
        <f t="shared" si="678"/>
        <v>1</v>
      </c>
      <c r="AP222" s="1759">
        <f t="shared" ref="AP222:AR222" si="679">(AP212+AP215+AP217)/AP221</f>
        <v>1</v>
      </c>
      <c r="AQ222" s="1760">
        <f t="shared" si="679"/>
        <v>1</v>
      </c>
      <c r="AR222" s="1761">
        <f t="shared" si="679"/>
        <v>1</v>
      </c>
      <c r="AS222" s="1758">
        <f t="shared" ca="1" si="675"/>
        <v>1</v>
      </c>
      <c r="AT222" s="1759">
        <f t="shared" ca="1" si="675"/>
        <v>1</v>
      </c>
      <c r="AU222" s="1759">
        <f t="shared" ca="1" si="675"/>
        <v>1</v>
      </c>
      <c r="AV222" s="1760">
        <f t="shared" ca="1" si="675"/>
        <v>1</v>
      </c>
      <c r="AW222" s="1761">
        <f t="shared" ca="1" si="675"/>
        <v>1</v>
      </c>
      <c r="AX222" s="1758">
        <f t="shared" ref="AX222:BG222" ca="1" si="680">(AX212+AX215+AX217)/AX221</f>
        <v>1</v>
      </c>
      <c r="AY222" s="1759">
        <f t="shared" ca="1" si="680"/>
        <v>1</v>
      </c>
      <c r="AZ222" s="1759">
        <f t="shared" ca="1" si="680"/>
        <v>1</v>
      </c>
      <c r="BA222" s="1760">
        <f t="shared" ca="1" si="680"/>
        <v>1</v>
      </c>
      <c r="BB222" s="1761">
        <f t="shared" ca="1" si="680"/>
        <v>1</v>
      </c>
      <c r="BC222" s="1758">
        <f t="shared" ca="1" si="680"/>
        <v>1</v>
      </c>
      <c r="BD222" s="1759">
        <f t="shared" ca="1" si="680"/>
        <v>1</v>
      </c>
      <c r="BE222" s="1759">
        <f t="shared" ca="1" si="680"/>
        <v>1</v>
      </c>
      <c r="BF222" s="1760">
        <f t="shared" ca="1" si="680"/>
        <v>1</v>
      </c>
      <c r="BG222" s="1761">
        <f t="shared" ca="1" si="680"/>
        <v>1</v>
      </c>
      <c r="BH222" s="1758">
        <f t="shared" ref="BH222:BL222" ca="1" si="681">(BH212+BH215+BH217)/BH221</f>
        <v>1</v>
      </c>
      <c r="BI222" s="1759">
        <f t="shared" ca="1" si="681"/>
        <v>1</v>
      </c>
      <c r="BJ222" s="1759">
        <f t="shared" ca="1" si="681"/>
        <v>1</v>
      </c>
      <c r="BK222" s="1760">
        <f t="shared" ca="1" si="681"/>
        <v>1</v>
      </c>
      <c r="BL222" s="1761">
        <f t="shared" ca="1" si="681"/>
        <v>1</v>
      </c>
      <c r="BM222" s="1699"/>
      <c r="BN222" s="1699"/>
      <c r="BO222" s="1699"/>
      <c r="BP222" s="1699"/>
      <c r="BQ222" s="1699"/>
      <c r="BR222" s="1699"/>
      <c r="BS222" s="1699"/>
      <c r="BT222" s="1699"/>
      <c r="BU222" s="1699"/>
      <c r="BV222" s="1699"/>
      <c r="BW222" s="1699"/>
      <c r="BX222" s="1699"/>
      <c r="BY222" s="1699"/>
      <c r="BZ222" s="1699"/>
      <c r="CA222" s="1699"/>
      <c r="CB222" s="1699"/>
      <c r="CC222" s="1699"/>
      <c r="CD222" s="1699"/>
      <c r="CE222" s="1699"/>
      <c r="CF222" s="1699"/>
      <c r="CG222" s="1699"/>
      <c r="CH222" s="1699"/>
      <c r="CI222" s="1699"/>
      <c r="CJ222" s="1699"/>
      <c r="CK222" s="1699"/>
      <c r="CL222" s="1699"/>
      <c r="CM222" s="1699"/>
      <c r="CN222" s="1699"/>
      <c r="CO222" s="1699"/>
      <c r="CP222" s="1699"/>
    </row>
    <row r="223" spans="1:94">
      <c r="A223" s="895"/>
      <c r="B223" s="895"/>
      <c r="C223" s="895"/>
      <c r="D223" s="895"/>
      <c r="E223" s="896"/>
      <c r="F223" s="897"/>
      <c r="G223" s="897"/>
      <c r="H223" s="898"/>
      <c r="I223" s="899"/>
      <c r="J223" s="896"/>
      <c r="K223" s="897"/>
      <c r="L223" s="897"/>
      <c r="M223" s="898"/>
      <c r="N223" s="899"/>
      <c r="O223" s="896"/>
      <c r="P223" s="897"/>
      <c r="Q223" s="897"/>
      <c r="R223" s="898"/>
      <c r="S223" s="899"/>
      <c r="T223" s="896"/>
      <c r="U223" s="897"/>
      <c r="V223" s="897"/>
      <c r="W223" s="898"/>
      <c r="X223" s="899"/>
      <c r="Y223" s="896"/>
      <c r="Z223" s="897"/>
      <c r="AA223" s="897"/>
      <c r="AB223" s="898"/>
      <c r="AC223" s="899"/>
      <c r="AD223" s="896"/>
      <c r="AE223" s="897"/>
      <c r="AF223" s="897"/>
      <c r="AG223" s="898"/>
      <c r="AH223" s="899"/>
      <c r="AI223" s="896"/>
      <c r="AJ223" s="897"/>
      <c r="AK223" s="897"/>
      <c r="AL223" s="898"/>
      <c r="AM223" s="899"/>
      <c r="AN223" s="896"/>
      <c r="AO223" s="897"/>
      <c r="AP223" s="897"/>
      <c r="AQ223" s="898"/>
      <c r="AR223" s="899"/>
      <c r="AS223" s="896"/>
      <c r="AT223" s="897"/>
      <c r="AU223" s="897"/>
      <c r="AV223" s="898"/>
      <c r="AW223" s="899"/>
      <c r="AX223" s="896"/>
      <c r="AY223" s="897"/>
      <c r="AZ223" s="897"/>
      <c r="BA223" s="898"/>
      <c r="BB223" s="899"/>
      <c r="BC223" s="896"/>
      <c r="BD223" s="897"/>
      <c r="BE223" s="897"/>
      <c r="BF223" s="898"/>
      <c r="BG223" s="899"/>
      <c r="BH223" s="896"/>
      <c r="BI223" s="897"/>
      <c r="BJ223" s="897"/>
      <c r="BK223" s="898"/>
      <c r="BL223" s="899"/>
      <c r="BM223" s="895"/>
      <c r="BN223" s="895"/>
      <c r="BO223" s="895"/>
      <c r="BP223" s="895"/>
      <c r="BQ223" s="895"/>
      <c r="BR223" s="895"/>
      <c r="BS223" s="895"/>
      <c r="BT223" s="895"/>
      <c r="BU223" s="895"/>
      <c r="BV223" s="895"/>
      <c r="BW223" s="895"/>
      <c r="BX223" s="895"/>
      <c r="BY223" s="895"/>
      <c r="BZ223" s="895"/>
      <c r="CA223" s="895"/>
      <c r="CB223" s="895"/>
      <c r="CC223" s="895"/>
      <c r="CD223" s="895"/>
      <c r="CE223" s="895"/>
      <c r="CF223" s="895"/>
      <c r="CG223" s="895"/>
      <c r="CH223" s="895"/>
      <c r="CI223" s="895"/>
      <c r="CJ223" s="895"/>
      <c r="CK223" s="895"/>
      <c r="CL223" s="895"/>
      <c r="CM223" s="895"/>
      <c r="CN223" s="895"/>
      <c r="CO223" s="895"/>
      <c r="CP223" s="895"/>
    </row>
    <row r="224" spans="1:94">
      <c r="A224" s="895"/>
      <c r="B224" s="895"/>
      <c r="C224" s="895"/>
      <c r="D224" s="895"/>
      <c r="E224" s="896"/>
      <c r="F224" s="897"/>
      <c r="G224" s="897"/>
      <c r="H224" s="898"/>
      <c r="I224" s="899"/>
      <c r="J224" s="896"/>
      <c r="K224" s="897"/>
      <c r="L224" s="897"/>
      <c r="M224" s="898"/>
      <c r="N224" s="899"/>
      <c r="O224" s="896"/>
      <c r="P224" s="897"/>
      <c r="Q224" s="897"/>
      <c r="R224" s="898"/>
      <c r="S224" s="899"/>
      <c r="T224" s="896"/>
      <c r="U224" s="897"/>
      <c r="V224" s="897"/>
      <c r="W224" s="898"/>
      <c r="X224" s="899"/>
      <c r="Y224" s="896"/>
      <c r="Z224" s="897"/>
      <c r="AA224" s="897"/>
      <c r="AB224" s="898"/>
      <c r="AC224" s="899"/>
      <c r="AD224" s="896"/>
      <c r="AE224" s="897"/>
      <c r="AF224" s="897"/>
      <c r="AG224" s="898"/>
      <c r="AH224" s="899"/>
      <c r="AI224" s="896"/>
      <c r="AJ224" s="897"/>
      <c r="AK224" s="897"/>
      <c r="AL224" s="898"/>
      <c r="AM224" s="899"/>
      <c r="AN224" s="896"/>
      <c r="AO224" s="897"/>
      <c r="AP224" s="897"/>
      <c r="AQ224" s="898"/>
      <c r="AR224" s="899"/>
      <c r="AS224" s="896"/>
      <c r="AT224" s="897"/>
      <c r="AU224" s="897"/>
      <c r="AV224" s="898"/>
      <c r="AW224" s="899"/>
      <c r="AX224" s="896"/>
      <c r="AY224" s="897"/>
      <c r="AZ224" s="897"/>
      <c r="BA224" s="898"/>
      <c r="BB224" s="899"/>
      <c r="BC224" s="896"/>
      <c r="BD224" s="897"/>
      <c r="BE224" s="897"/>
      <c r="BF224" s="898"/>
      <c r="BG224" s="899"/>
      <c r="BH224" s="896"/>
      <c r="BI224" s="897"/>
      <c r="BJ224" s="897"/>
      <c r="BK224" s="898"/>
      <c r="BL224" s="899"/>
      <c r="BM224" s="895"/>
      <c r="BN224" s="895"/>
      <c r="BO224" s="895"/>
      <c r="BP224" s="895"/>
      <c r="BQ224" s="895"/>
      <c r="BR224" s="895"/>
      <c r="BS224" s="895"/>
      <c r="BT224" s="895"/>
      <c r="BU224" s="895"/>
      <c r="BV224" s="895"/>
      <c r="BW224" s="895"/>
      <c r="BX224" s="895"/>
      <c r="BY224" s="895"/>
      <c r="BZ224" s="895"/>
      <c r="CA224" s="895"/>
      <c r="CB224" s="895"/>
      <c r="CC224" s="895"/>
      <c r="CD224" s="895"/>
      <c r="CE224" s="895"/>
      <c r="CF224" s="895"/>
      <c r="CG224" s="895"/>
      <c r="CH224" s="895"/>
      <c r="CI224" s="895"/>
      <c r="CJ224" s="895"/>
      <c r="CK224" s="895"/>
      <c r="CL224" s="895"/>
      <c r="CM224" s="895"/>
      <c r="CN224" s="895"/>
      <c r="CO224" s="895"/>
      <c r="CP224" s="895"/>
    </row>
    <row r="225" spans="1:94">
      <c r="A225" s="895"/>
      <c r="B225" s="1681" t="s">
        <v>613</v>
      </c>
      <c r="C225" s="1682"/>
      <c r="D225" s="1683"/>
      <c r="E225" s="896"/>
      <c r="F225" s="897"/>
      <c r="G225" s="897"/>
      <c r="H225" s="898"/>
      <c r="I225" s="899"/>
      <c r="J225" s="896"/>
      <c r="K225" s="897"/>
      <c r="L225" s="897"/>
      <c r="M225" s="898"/>
      <c r="N225" s="899"/>
      <c r="O225" s="896"/>
      <c r="P225" s="897"/>
      <c r="Q225" s="897"/>
      <c r="R225" s="898"/>
      <c r="S225" s="899"/>
      <c r="T225" s="896"/>
      <c r="U225" s="897"/>
      <c r="V225" s="897"/>
      <c r="W225" s="898"/>
      <c r="X225" s="899"/>
      <c r="Y225" s="896"/>
      <c r="Z225" s="897"/>
      <c r="AA225" s="897"/>
      <c r="AB225" s="898"/>
      <c r="AC225" s="899"/>
      <c r="AD225" s="896"/>
      <c r="AE225" s="897"/>
      <c r="AF225" s="897"/>
      <c r="AG225" s="898"/>
      <c r="AH225" s="899"/>
      <c r="AI225" s="896"/>
      <c r="AJ225" s="897"/>
      <c r="AK225" s="897"/>
      <c r="AL225" s="898"/>
      <c r="AM225" s="899"/>
      <c r="AN225" s="896"/>
      <c r="AO225" s="897"/>
      <c r="AP225" s="897"/>
      <c r="AQ225" s="898"/>
      <c r="AR225" s="899"/>
      <c r="AS225" s="896"/>
      <c r="AT225" s="897"/>
      <c r="AU225" s="897"/>
      <c r="AV225" s="898"/>
      <c r="AW225" s="899"/>
      <c r="AX225" s="896"/>
      <c r="AY225" s="897"/>
      <c r="AZ225" s="897"/>
      <c r="BA225" s="898"/>
      <c r="BB225" s="899"/>
      <c r="BC225" s="896"/>
      <c r="BD225" s="897"/>
      <c r="BE225" s="897"/>
      <c r="BF225" s="898"/>
      <c r="BG225" s="899"/>
      <c r="BH225" s="896"/>
      <c r="BI225" s="897"/>
      <c r="BJ225" s="897"/>
      <c r="BK225" s="898"/>
      <c r="BL225" s="899"/>
      <c r="BM225" s="895"/>
      <c r="BN225" s="895"/>
      <c r="BO225" s="895"/>
      <c r="BP225" s="895"/>
      <c r="BQ225" s="895"/>
      <c r="BR225" s="895"/>
      <c r="BS225" s="895"/>
      <c r="BT225" s="895"/>
      <c r="BU225" s="895"/>
      <c r="BV225" s="895"/>
      <c r="BW225" s="895"/>
      <c r="BX225" s="895"/>
      <c r="BY225" s="895"/>
      <c r="BZ225" s="895"/>
      <c r="CA225" s="895"/>
      <c r="CB225" s="895"/>
      <c r="CC225" s="895"/>
      <c r="CD225" s="895"/>
      <c r="CE225" s="895"/>
      <c r="CF225" s="895"/>
      <c r="CG225" s="895"/>
      <c r="CH225" s="895"/>
      <c r="CI225" s="895"/>
      <c r="CJ225" s="895"/>
      <c r="CK225" s="895"/>
      <c r="CL225" s="895"/>
      <c r="CM225" s="895"/>
      <c r="CN225" s="895"/>
      <c r="CO225" s="895"/>
      <c r="CP225" s="895"/>
    </row>
    <row r="226" spans="1:94">
      <c r="A226" s="45"/>
      <c r="B226" s="45"/>
      <c r="C226" s="391" t="s">
        <v>222</v>
      </c>
      <c r="D226" s="45"/>
      <c r="E226" s="290"/>
      <c r="F226" s="260"/>
      <c r="G226" s="260"/>
      <c r="H226" s="291"/>
      <c r="I226" s="45">
        <f>I34+I13</f>
        <v>165</v>
      </c>
      <c r="J226" s="290">
        <f>SUM(J34,F34:H34)+SUM(J13,F13:H13)</f>
        <v>39</v>
      </c>
      <c r="K226" s="260">
        <f>SUM(J34:K34,G34:H34)+SUM(J13:K13,G13:H13)</f>
        <v>90</v>
      </c>
      <c r="L226" s="260">
        <f>SUM(J34:L34,H34)+SUM(J13:L13,H13)</f>
        <v>148</v>
      </c>
      <c r="M226" s="291">
        <f>SUM(J34:M34)+SUM(J13:M13)</f>
        <v>173</v>
      </c>
      <c r="N226" s="45">
        <f>N34+N13</f>
        <v>173</v>
      </c>
      <c r="O226" s="290">
        <f>SUM(O34,K34:M34)+SUM(O13,K13:M13)</f>
        <v>164</v>
      </c>
      <c r="P226" s="260">
        <f>SUM(O34:P34,L34:M34)+SUM(O13:P13,L13:M13)</f>
        <v>154</v>
      </c>
      <c r="Q226" s="260">
        <f>SUM(O34:Q34,M34)+SUM(O13:Q13,M13)</f>
        <v>153</v>
      </c>
      <c r="R226" s="291">
        <f>SUM(O34:R34)+SUM(O13:R13)</f>
        <v>159</v>
      </c>
      <c r="S226" s="45">
        <f>S34+S13</f>
        <v>159</v>
      </c>
      <c r="T226" s="290">
        <f>SUM(T34,P34:R34)+SUM(T13,P13:R13)</f>
        <v>171</v>
      </c>
      <c r="U226" s="260">
        <f>SUM(T34:U34,Q34:R34)+SUM(T13:U13,Q13:R13)</f>
        <v>169</v>
      </c>
      <c r="V226" s="260">
        <f>SUM(T34:V34,R34)+SUM(T13:V13,R13)</f>
        <v>175</v>
      </c>
      <c r="W226" s="291">
        <f>SUM(T34:W34)+SUM(T13:W13)</f>
        <v>186</v>
      </c>
      <c r="X226" s="45">
        <f>X34+X13</f>
        <v>186</v>
      </c>
      <c r="Y226" s="290">
        <f>SUM(Y34,U34:W34)+SUM(Y13,U13:W13)</f>
        <v>192</v>
      </c>
      <c r="Z226" s="260">
        <f>SUM(Y34:Z34,V34:W34)+SUM(Y13:Z13,V13:W13)</f>
        <v>196</v>
      </c>
      <c r="AA226" s="260">
        <f>SUM(Y34:AA34,W34)+SUM(Y13:AA13,W13)</f>
        <v>198</v>
      </c>
      <c r="AB226" s="291">
        <f>SUM(Y34:AB34)+SUM(Y13:AB13)</f>
        <v>202</v>
      </c>
      <c r="AC226" s="45">
        <f>AC34+AC13</f>
        <v>202</v>
      </c>
      <c r="AD226" s="290">
        <f>SUM(AD34,Z34:AB34)+SUM(AD13,Z13:AB13)</f>
        <v>201</v>
      </c>
      <c r="AE226" s="260">
        <f>SUM(AD34:AE34,AA34:AB34)+SUM(AD13:AE13,AA13:AB13)</f>
        <v>211</v>
      </c>
      <c r="AF226" s="260">
        <f>SUM(AD34:AF34,AB34)+SUM(AD13:AF13,AB13)</f>
        <v>209</v>
      </c>
      <c r="AG226" s="291">
        <f>SUM(AD34:AG34)+SUM(AD13:AG13)</f>
        <v>214</v>
      </c>
      <c r="AH226" s="45">
        <f>AH34+AH13</f>
        <v>214</v>
      </c>
      <c r="AI226" s="290">
        <f>SUM(AI34,AE34:AG34)+SUM(AI13,AE13:AG13)</f>
        <v>107</v>
      </c>
      <c r="AJ226" s="260">
        <f>SUM(AI34:AJ34,AF34:AG34)+SUM(AI13:AJ13,AF13:AG13)</f>
        <v>98</v>
      </c>
      <c r="AK226" s="260">
        <f>SUM(AI34:AK34,AG34)+SUM(AI13:AK13,AG13)</f>
        <v>131</v>
      </c>
      <c r="AL226" s="291">
        <f>SUM(AI34:AL34)+SUM(AI13:AL13)</f>
        <v>123</v>
      </c>
      <c r="AM226" s="45">
        <f>AM34+AM13</f>
        <v>123</v>
      </c>
      <c r="AN226" s="290">
        <f>SUM(AN34,AJ34:AL34)+SUM(AN13,AJ13:AL13)</f>
        <v>246</v>
      </c>
      <c r="AO226" s="260">
        <f>SUM(AN34:AO34,AK34:AL34)+SUM(AN13:AO13,AK13:AL13)</f>
        <v>247</v>
      </c>
      <c r="AP226" s="260">
        <f>SUM(AN34:AP34,AL34)+SUM(AN13:AP13,AL13)</f>
        <v>233</v>
      </c>
      <c r="AQ226" s="291">
        <f>SUM(AN34:AQ34)+SUM(AN13:AQ13)</f>
        <v>223</v>
      </c>
      <c r="AR226" s="45">
        <f>AR34+AR13</f>
        <v>223</v>
      </c>
      <c r="AS226" s="290">
        <f>SUM(AS34,AO34:AQ34)+SUM(AS13,AO13:AQ13)</f>
        <v>203.01768105948676</v>
      </c>
      <c r="AT226" s="260">
        <f ca="1">SUM(AS34:AT34,AP34:AQ34)+SUM(AS13:AT13,AP13:AQ13)</f>
        <v>203.07317707956577</v>
      </c>
      <c r="AU226" s="260">
        <f ca="1">SUM(AS34:AU34,AQ34)+SUM(AS13:AU13,AQ13)</f>
        <v>212.12142115714695</v>
      </c>
      <c r="AV226" s="291">
        <f ca="1">SUM(AS34:AV34)+SUM(AS13:AV13)</f>
        <v>223.04502218896511</v>
      </c>
      <c r="AW226" s="45">
        <f ca="1">AW34+AW13</f>
        <v>223.04502218896513</v>
      </c>
      <c r="AX226" s="290">
        <f ca="1">SUM(AX34,AT34:AV34)+SUM(AX13,AT13:AV13)</f>
        <v>223.14825045811355</v>
      </c>
      <c r="AY226" s="260">
        <f ca="1">SUM(AX34:AY34,AU34:AV34)+SUM(AX13:AY13,AU13:AV13)</f>
        <v>223.42471432250989</v>
      </c>
      <c r="AZ226" s="260">
        <f ca="1">SUM(AX34:AZ34,AV34)+SUM(AX13:AZ13,AV13)</f>
        <v>228.11732052196723</v>
      </c>
      <c r="BA226" s="291">
        <f ca="1">SUM(AX34:BA34)+SUM(AX13:BA13)</f>
        <v>232.50805719516748</v>
      </c>
      <c r="BB226" s="45">
        <f ca="1">BB34+BB13</f>
        <v>232.50805719516751</v>
      </c>
      <c r="BC226" s="290">
        <f ca="1">SUM(BC34,AY34:BA34)+SUM(BC13,AY13:BA13)</f>
        <v>241.8963905875363</v>
      </c>
      <c r="BD226" s="260">
        <f ca="1">SUM(BC34:BD34,AZ34:BA34)+SUM(BC13:BD13,AZ13:BA13)</f>
        <v>251.40743431583763</v>
      </c>
      <c r="BE226" s="260">
        <f ca="1">SUM(BC34:BE34,BA34)+SUM(BC13:BE13,BA13)</f>
        <v>256.05209645565253</v>
      </c>
      <c r="BF226" s="291">
        <f ca="1">SUM(BC34:BF34)+SUM(BC13:BF13)</f>
        <v>260.57578111162417</v>
      </c>
      <c r="BG226" s="45">
        <f ca="1">BG34+BG13</f>
        <v>260.57578111162394</v>
      </c>
      <c r="BH226" s="290">
        <f ca="1">SUM(BH34,BD34:BF34)+SUM(BH13,BD13:BF13)</f>
        <v>259.33554456916994</v>
      </c>
      <c r="BI226" s="260">
        <f ca="1">SUM(BH34:BI34,BE34:BF34)+SUM(BH13:BI13,BE13:BF13)</f>
        <v>258.31091826664749</v>
      </c>
      <c r="BJ226" s="260">
        <f ca="1">SUM(BH34:BJ34,BF34)+SUM(BH13:BJ13,BF13)</f>
        <v>257.38551508704387</v>
      </c>
      <c r="BK226" s="291">
        <f ca="1">SUM(BH34:BK34)+SUM(BH13:BK13)</f>
        <v>256.7589132580033</v>
      </c>
      <c r="BL226" s="45">
        <f ca="1">BL34+BL13</f>
        <v>256.7589132580033</v>
      </c>
      <c r="BM226" s="45"/>
      <c r="BN226" s="45"/>
      <c r="BO226" s="45"/>
      <c r="BP226" s="45"/>
      <c r="BQ226" s="45"/>
      <c r="BR226" s="45"/>
      <c r="BS226" s="45"/>
      <c r="BT226" s="45"/>
      <c r="BU226" s="45"/>
      <c r="BV226" s="45"/>
      <c r="BW226" s="45"/>
      <c r="BX226" s="45"/>
      <c r="BY226" s="45"/>
      <c r="BZ226" s="45"/>
      <c r="CA226" s="45"/>
      <c r="CB226" s="45"/>
      <c r="CC226" s="45"/>
      <c r="CD226" s="45"/>
      <c r="CE226" s="45"/>
      <c r="CF226" s="45"/>
      <c r="CG226" s="45"/>
      <c r="CH226" s="45"/>
      <c r="CI226" s="45"/>
      <c r="CJ226" s="45"/>
      <c r="CK226" s="45"/>
      <c r="CL226" s="45"/>
      <c r="CM226" s="45"/>
      <c r="CN226" s="45"/>
      <c r="CO226" s="45"/>
      <c r="CP226" s="45"/>
    </row>
    <row r="227" spans="1:94">
      <c r="A227" s="45"/>
      <c r="B227" s="45"/>
      <c r="C227" s="391" t="s">
        <v>227</v>
      </c>
      <c r="D227" s="45"/>
      <c r="E227" s="290"/>
      <c r="F227" s="260"/>
      <c r="G227" s="260"/>
      <c r="H227" s="291"/>
      <c r="I227" s="45">
        <f>+I23</f>
        <v>161</v>
      </c>
      <c r="J227" s="290">
        <f>SUM(J23,F23:H23)</f>
        <v>26</v>
      </c>
      <c r="K227" s="260">
        <f>SUM(J23:K23,G23:H23)</f>
        <v>76</v>
      </c>
      <c r="L227" s="260">
        <f>SUM(J23:L23,H23)</f>
        <v>128</v>
      </c>
      <c r="M227" s="291">
        <f>SUM(J23:M23)</f>
        <v>141</v>
      </c>
      <c r="N227" s="45">
        <f>+N23</f>
        <v>141</v>
      </c>
      <c r="O227" s="290">
        <f>SUM(O23,K23:M23)</f>
        <v>133</v>
      </c>
      <c r="P227" s="260">
        <f>SUM(O23:P23,L23:M23)</f>
        <v>124</v>
      </c>
      <c r="Q227" s="260">
        <f>SUM(O23:Q23,M23)</f>
        <v>122</v>
      </c>
      <c r="R227" s="291">
        <f>SUM(O23:R23)</f>
        <v>123</v>
      </c>
      <c r="S227" s="45">
        <f>+S23</f>
        <v>123</v>
      </c>
      <c r="T227" s="290">
        <f>SUM(T23,P23:R23)</f>
        <v>130</v>
      </c>
      <c r="U227" s="260">
        <f>SUM(T23:U23,Q23:R23)</f>
        <v>118</v>
      </c>
      <c r="V227" s="260">
        <f>SUM(T23:V23,R23)</f>
        <v>123</v>
      </c>
      <c r="W227" s="291">
        <f>SUM(T23:W23)</f>
        <v>137</v>
      </c>
      <c r="X227" s="45">
        <f>+X23</f>
        <v>137</v>
      </c>
      <c r="Y227" s="290">
        <f>SUM(Y23,U23:W23)</f>
        <v>143</v>
      </c>
      <c r="Z227" s="260">
        <f>SUM(Y23:Z23,V23:W23)</f>
        <v>140</v>
      </c>
      <c r="AA227" s="260">
        <f>SUM(Y23:AA23,W23)</f>
        <v>138</v>
      </c>
      <c r="AB227" s="291">
        <f>SUM(Y23:AB23)</f>
        <v>136</v>
      </c>
      <c r="AC227" s="45">
        <f>+AC23</f>
        <v>136</v>
      </c>
      <c r="AD227" s="290">
        <f>SUM(AD23,Z23:AB23)</f>
        <v>126</v>
      </c>
      <c r="AE227" s="260">
        <f>SUM(AD23:AE23,AA23:AB23)</f>
        <v>134</v>
      </c>
      <c r="AF227" s="260">
        <f>SUM(AD23:AF23,AB23)</f>
        <v>119</v>
      </c>
      <c r="AG227" s="291">
        <f>SUM(AD23:AG23)</f>
        <v>133</v>
      </c>
      <c r="AH227" s="45">
        <f>+AH23</f>
        <v>133</v>
      </c>
      <c r="AI227" s="290">
        <f>SUM(AI23,AE23:AG23)</f>
        <v>-5</v>
      </c>
      <c r="AJ227" s="260">
        <f>SUM(AI23:AJ23,AF23:AG23)</f>
        <v>-18</v>
      </c>
      <c r="AK227" s="260">
        <f>SUM(AI23:AK23,AG23)</f>
        <v>29</v>
      </c>
      <c r="AL227" s="291">
        <f>SUM(AI23:AL23)</f>
        <v>16</v>
      </c>
      <c r="AM227" s="45">
        <f>+AM23</f>
        <v>16</v>
      </c>
      <c r="AN227" s="290">
        <f>SUM(AN23,AJ23:AL23)</f>
        <v>160</v>
      </c>
      <c r="AO227" s="260">
        <f>SUM(AN23:AO23,AK23:AL23)</f>
        <v>166</v>
      </c>
      <c r="AP227" s="260">
        <f>SUM(AN23:AP23,AL23)</f>
        <v>161</v>
      </c>
      <c r="AQ227" s="291">
        <f>SUM(AN23:AQ23)</f>
        <v>164</v>
      </c>
      <c r="AR227" s="45">
        <f>+AR23</f>
        <v>164</v>
      </c>
      <c r="AS227" s="290">
        <f>SUM(AS23,AO23:AQ23)</f>
        <v>165.7146826390937</v>
      </c>
      <c r="AT227" s="260">
        <f>SUM(AS23:AT23,AP23:AQ23)</f>
        <v>169.41249526709828</v>
      </c>
      <c r="AU227" s="260">
        <f>SUM(AS23:AU23,AQ23)</f>
        <v>178.50341826867458</v>
      </c>
      <c r="AV227" s="291">
        <f>SUM(AS23:AV23)</f>
        <v>177.106974780169</v>
      </c>
      <c r="AW227" s="45">
        <f>+AW23</f>
        <v>177.10697478016905</v>
      </c>
      <c r="AX227" s="290">
        <f>SUM(AX23,AT23:AV23)</f>
        <v>178.49176943980984</v>
      </c>
      <c r="AY227" s="260">
        <f>SUM(AX23:AY23,AU23:AV23)</f>
        <v>179.66738785207028</v>
      </c>
      <c r="AZ227" s="260">
        <f>SUM(AX23:AZ23,AV23)</f>
        <v>188.1479805544802</v>
      </c>
      <c r="BA227" s="291">
        <f>SUM(AX23:BA23)</f>
        <v>195.92246575977077</v>
      </c>
      <c r="BB227" s="45">
        <f>+BB23</f>
        <v>195.92246575977077</v>
      </c>
      <c r="BC227" s="290">
        <f>SUM(BC23,AY23:BA23)</f>
        <v>205.36435605665281</v>
      </c>
      <c r="BD227" s="260">
        <f>SUM(BC23:BD23,AZ23:BA23)</f>
        <v>215.24423155430486</v>
      </c>
      <c r="BE227" s="260">
        <f>SUM(BC23:BE23,BA23)</f>
        <v>219.50371041788935</v>
      </c>
      <c r="BF227" s="291">
        <f>SUM(BC23:BF23)</f>
        <v>223.17434511365227</v>
      </c>
      <c r="BG227" s="45">
        <f>+BG23</f>
        <v>223.17434511365209</v>
      </c>
      <c r="BH227" s="290">
        <f>SUM(BH23,BD23:BF23)</f>
        <v>226.49063364160367</v>
      </c>
      <c r="BI227" s="260">
        <f>SUM(BH23:BI23,BE23:BF23)</f>
        <v>229.76950674171167</v>
      </c>
      <c r="BJ227" s="260">
        <f>SUM(BH23:BJ23,BF23)</f>
        <v>233.59654958447675</v>
      </c>
      <c r="BK227" s="291">
        <f>SUM(BH23:BK23)</f>
        <v>237.72416648351276</v>
      </c>
      <c r="BL227" s="45">
        <f>+BL23</f>
        <v>237.72416648351279</v>
      </c>
      <c r="BM227" s="45"/>
      <c r="BN227" s="45"/>
      <c r="BO227" s="45"/>
      <c r="BP227" s="45"/>
      <c r="BQ227" s="45"/>
      <c r="BR227" s="45"/>
      <c r="BS227" s="45"/>
      <c r="BT227" s="45"/>
      <c r="BU227" s="45"/>
      <c r="BV227" s="45"/>
      <c r="BW227" s="45"/>
      <c r="BX227" s="45"/>
      <c r="BY227" s="45"/>
      <c r="BZ227" s="45"/>
      <c r="CA227" s="45"/>
      <c r="CB227" s="45"/>
      <c r="CC227" s="45"/>
      <c r="CD227" s="45"/>
      <c r="CE227" s="45"/>
      <c r="CF227" s="45"/>
      <c r="CG227" s="45"/>
      <c r="CH227" s="45"/>
      <c r="CI227" s="45"/>
      <c r="CJ227" s="45"/>
      <c r="CK227" s="45"/>
      <c r="CL227" s="45"/>
      <c r="CM227" s="45"/>
      <c r="CN227" s="45"/>
      <c r="CO227" s="45"/>
      <c r="CP227" s="45"/>
    </row>
    <row r="228" spans="1:94">
      <c r="A228" s="45"/>
      <c r="B228" s="45"/>
      <c r="C228" s="391" t="s">
        <v>228</v>
      </c>
      <c r="D228" s="45"/>
      <c r="E228" s="290"/>
      <c r="F228" s="260"/>
      <c r="G228" s="260"/>
      <c r="H228" s="291"/>
      <c r="I228" s="45">
        <f>+I24</f>
        <v>273</v>
      </c>
      <c r="J228" s="290">
        <f>SUM(J24,F24:H24)</f>
        <v>59</v>
      </c>
      <c r="K228" s="260">
        <f>SUM(J24:K24,G24:H24)</f>
        <v>142</v>
      </c>
      <c r="L228" s="260">
        <f>SUM(J24:L24,H24)</f>
        <v>235</v>
      </c>
      <c r="M228" s="291">
        <f>SUM(J24:M24)</f>
        <v>275</v>
      </c>
      <c r="N228" s="45">
        <f>+N24</f>
        <v>275</v>
      </c>
      <c r="O228" s="290">
        <f>SUM(O24,K24:M24)</f>
        <v>262</v>
      </c>
      <c r="P228" s="260">
        <f>SUM(O24:P24,L24:M24)</f>
        <v>247</v>
      </c>
      <c r="Q228" s="260">
        <f>SUM(O24:Q24,M24)</f>
        <v>241</v>
      </c>
      <c r="R228" s="291">
        <f>SUM(O24:R24)</f>
        <v>247</v>
      </c>
      <c r="S228" s="45">
        <f>+S24</f>
        <v>247</v>
      </c>
      <c r="T228" s="290">
        <f>SUM(T24,P24:R24)</f>
        <v>257</v>
      </c>
      <c r="U228" s="260">
        <f>SUM(T24:U24,Q24:R24)</f>
        <v>250</v>
      </c>
      <c r="V228" s="260">
        <f>SUM(T24:V24,R24)</f>
        <v>256</v>
      </c>
      <c r="W228" s="291">
        <f>SUM(T24:W24)</f>
        <v>273</v>
      </c>
      <c r="X228" s="45">
        <f>+X24</f>
        <v>273</v>
      </c>
      <c r="Y228" s="290">
        <f>SUM(Y24,U24:W24)</f>
        <v>286</v>
      </c>
      <c r="Z228" s="260">
        <f>SUM(Y24:Z24,V24:W24)</f>
        <v>288</v>
      </c>
      <c r="AA228" s="260">
        <f>SUM(Y24:AA24,W24)</f>
        <v>290</v>
      </c>
      <c r="AB228" s="291">
        <f>SUM(Y24:AB24)</f>
        <v>293</v>
      </c>
      <c r="AC228" s="45">
        <f>+AC24</f>
        <v>293</v>
      </c>
      <c r="AD228" s="290">
        <f>SUM(AD24,Z24:AB24)</f>
        <v>288</v>
      </c>
      <c r="AE228" s="260">
        <f>SUM(AD24:AE24,AA24:AB24)</f>
        <v>302</v>
      </c>
      <c r="AF228" s="260">
        <f>SUM(AD24:AF24,AB24)</f>
        <v>294</v>
      </c>
      <c r="AG228" s="291">
        <f>SUM(AD24:AG24)</f>
        <v>309</v>
      </c>
      <c r="AH228" s="45">
        <f>+AH24</f>
        <v>309</v>
      </c>
      <c r="AI228" s="290">
        <f>SUM(AI24,AE24:AG24)</f>
        <v>168</v>
      </c>
      <c r="AJ228" s="260">
        <f>SUM(AI24:AJ24,AF24:AG24)</f>
        <v>153</v>
      </c>
      <c r="AK228" s="260">
        <f>SUM(AI24:AK24,AG24)</f>
        <v>200</v>
      </c>
      <c r="AL228" s="291">
        <f>SUM(AI24:AL24)</f>
        <v>181</v>
      </c>
      <c r="AM228" s="45">
        <f>+AM24</f>
        <v>181</v>
      </c>
      <c r="AN228" s="290">
        <f>SUM(AN24,AJ24:AL24)</f>
        <v>320</v>
      </c>
      <c r="AO228" s="260">
        <f>SUM(AN24:AO24,AK24:AL24)</f>
        <v>322</v>
      </c>
      <c r="AP228" s="260">
        <f>SUM(AN24:AP24,AL24)</f>
        <v>309</v>
      </c>
      <c r="AQ228" s="291">
        <f>SUM(AN24:AQ24)</f>
        <v>310</v>
      </c>
      <c r="AR228" s="45">
        <f>+AR24</f>
        <v>310</v>
      </c>
      <c r="AS228" s="290">
        <f>SUM(AS24,AO24:AQ24)</f>
        <v>308.73951963830814</v>
      </c>
      <c r="AT228" s="260">
        <f>SUM(AS24:AT24,AP24:AQ24)</f>
        <v>307.78223959307201</v>
      </c>
      <c r="AU228" s="260">
        <f>SUM(AS24:AU24,AQ24)</f>
        <v>308.79852109569288</v>
      </c>
      <c r="AV228" s="291">
        <f>SUM(AS24:AV24)</f>
        <v>307.90240038312396</v>
      </c>
      <c r="AW228" s="45">
        <f>+AW24</f>
        <v>307.90240038312402</v>
      </c>
      <c r="AX228" s="290">
        <f>SUM(AX24,AT24:AV24)</f>
        <v>308.08221006164791</v>
      </c>
      <c r="AY228" s="260">
        <f>SUM(AX24:AY24,AU24:AV24)</f>
        <v>308.41853289220165</v>
      </c>
      <c r="AZ228" s="260">
        <f>SUM(AX24:AZ24,AV24)</f>
        <v>315.94960349458313</v>
      </c>
      <c r="BA228" s="291">
        <f>SUM(AX24:BA24)</f>
        <v>322.66538203275616</v>
      </c>
      <c r="BB228" s="45">
        <f>+BB24</f>
        <v>322.66538203275621</v>
      </c>
      <c r="BC228" s="290">
        <f>SUM(BC24,AY24:BA24)</f>
        <v>334.69041319728865</v>
      </c>
      <c r="BD228" s="260">
        <f>SUM(BC24:BD24,AZ24:BA24)</f>
        <v>346.91995889272289</v>
      </c>
      <c r="BE228" s="260">
        <f>SUM(BC24:BE24,BA24)</f>
        <v>353.50689694900666</v>
      </c>
      <c r="BF228" s="291">
        <f>SUM(BC24:BF24)</f>
        <v>359.48298978897765</v>
      </c>
      <c r="BG228" s="45">
        <f>+BG24</f>
        <v>359.48298978897753</v>
      </c>
      <c r="BH228" s="290">
        <f>SUM(BH24,BD24:BF24)</f>
        <v>359.58294338455653</v>
      </c>
      <c r="BI228" s="260">
        <f>SUM(BH24:BI24,BE24:BF24)</f>
        <v>359.85766994585299</v>
      </c>
      <c r="BJ228" s="260">
        <f>SUM(BH24:BJ24,BF24)</f>
        <v>360.47264344706946</v>
      </c>
      <c r="BK228" s="291">
        <f>SUM(BH24:BK24)</f>
        <v>361.18223365826236</v>
      </c>
      <c r="BL228" s="45">
        <f>+BL24</f>
        <v>361.18223365826236</v>
      </c>
      <c r="BM228" s="45"/>
      <c r="BN228" s="45"/>
      <c r="BO228" s="45"/>
      <c r="BP228" s="45"/>
      <c r="BQ228" s="45"/>
      <c r="BR228" s="45"/>
      <c r="BS228" s="45"/>
      <c r="BT228" s="45"/>
      <c r="BU228" s="45"/>
      <c r="BV228" s="45"/>
      <c r="BW228" s="45"/>
      <c r="BX228" s="45"/>
      <c r="BY228" s="45"/>
      <c r="BZ228" s="45"/>
      <c r="CA228" s="45"/>
      <c r="CB228" s="45"/>
      <c r="CC228" s="45"/>
      <c r="CD228" s="45"/>
      <c r="CE228" s="45"/>
      <c r="CF228" s="45"/>
      <c r="CG228" s="45"/>
      <c r="CH228" s="45"/>
      <c r="CI228" s="45"/>
      <c r="CJ228" s="45"/>
      <c r="CK228" s="45"/>
      <c r="CL228" s="45"/>
      <c r="CM228" s="45"/>
      <c r="CN228" s="45"/>
      <c r="CO228" s="45"/>
      <c r="CP228" s="45"/>
    </row>
    <row r="229" spans="1:94">
      <c r="A229" s="45"/>
      <c r="B229" s="45"/>
      <c r="C229" s="391" t="s">
        <v>226</v>
      </c>
      <c r="D229" s="45"/>
      <c r="E229" s="290"/>
      <c r="F229" s="260"/>
      <c r="G229" s="260"/>
      <c r="H229" s="291"/>
      <c r="I229" s="45">
        <f>I26</f>
        <v>65</v>
      </c>
      <c r="J229" s="814">
        <v>0</v>
      </c>
      <c r="K229" s="262">
        <v>0</v>
      </c>
      <c r="L229" s="262">
        <v>0</v>
      </c>
      <c r="M229" s="294">
        <v>0</v>
      </c>
      <c r="N229" s="45">
        <f>N26</f>
        <v>69</v>
      </c>
      <c r="O229" s="290">
        <f>SUM(O26,K26:M26)</f>
        <v>71</v>
      </c>
      <c r="P229" s="260">
        <f>SUM(O26:P26,L26:M26)</f>
        <v>71</v>
      </c>
      <c r="Q229" s="260">
        <f>SUM(O26:Q26,M26)</f>
        <v>70</v>
      </c>
      <c r="R229" s="291">
        <f>SUM(O26:R26)</f>
        <v>70</v>
      </c>
      <c r="S229" s="45">
        <f>S26</f>
        <v>70</v>
      </c>
      <c r="T229" s="290">
        <f>SUM(T26,P26:R26)</f>
        <v>70</v>
      </c>
      <c r="U229" s="260">
        <f>SUM(T26:U26,Q26:R26)</f>
        <v>70</v>
      </c>
      <c r="V229" s="260">
        <f>SUM(T26:V26,R26)</f>
        <v>70</v>
      </c>
      <c r="W229" s="291">
        <f>SUM(T26:W26)</f>
        <v>68</v>
      </c>
      <c r="X229" s="45">
        <f>X26</f>
        <v>68</v>
      </c>
      <c r="Y229" s="290">
        <f>SUM(Y26,U26:W26)</f>
        <v>66</v>
      </c>
      <c r="Z229" s="260">
        <f>SUM(Y26:Z26,V26:W26)</f>
        <v>64</v>
      </c>
      <c r="AA229" s="260">
        <f>SUM(Y26:AA26,W26)</f>
        <v>63</v>
      </c>
      <c r="AB229" s="291">
        <f>SUM(Y26:AB26)</f>
        <v>63</v>
      </c>
      <c r="AC229" s="45">
        <f>AC26</f>
        <v>63</v>
      </c>
      <c r="AD229" s="290">
        <f>SUM(AD26,Z26:AB26)</f>
        <v>63</v>
      </c>
      <c r="AE229" s="260">
        <f>SUM(AD26:AE26,AA26:AB26)</f>
        <v>64</v>
      </c>
      <c r="AF229" s="260">
        <f>SUM(AD26:AF26,AB26)</f>
        <v>65</v>
      </c>
      <c r="AG229" s="291">
        <f>SUM(AD26:AG26)</f>
        <v>64</v>
      </c>
      <c r="AH229" s="45">
        <f>AH26</f>
        <v>64</v>
      </c>
      <c r="AI229" s="290">
        <f>SUM(AI26,AE26:AG26)</f>
        <v>65</v>
      </c>
      <c r="AJ229" s="260">
        <f>SUM(AI26:AJ26,AF26:AG26)</f>
        <v>64</v>
      </c>
      <c r="AK229" s="260">
        <f>SUM(AI26:AK26,AG26)</f>
        <v>62</v>
      </c>
      <c r="AL229" s="291">
        <f>SUM(AI26:AL26)</f>
        <v>62</v>
      </c>
      <c r="AM229" s="45">
        <f>AM26</f>
        <v>62</v>
      </c>
      <c r="AN229" s="290">
        <f>SUM(AN26,AJ26:AL26)</f>
        <v>61</v>
      </c>
      <c r="AO229" s="260">
        <f>SUM(AN26:AO26,AK26:AL26)</f>
        <v>60</v>
      </c>
      <c r="AP229" s="260">
        <f>SUM(AN26:AP26,AL26)</f>
        <v>60</v>
      </c>
      <c r="AQ229" s="291">
        <f>SUM(AN26:AQ26)</f>
        <v>61</v>
      </c>
      <c r="AR229" s="45">
        <f>AR26</f>
        <v>61</v>
      </c>
      <c r="AS229" s="290">
        <f>SUM(AS26,AO26:AQ26)</f>
        <v>61.194353070175438</v>
      </c>
      <c r="AT229" s="260">
        <f ca="1">SUM(AS26:AT26,AP26:AQ26)</f>
        <v>61.197475834264978</v>
      </c>
      <c r="AU229" s="260">
        <f ca="1">SUM(AS26:AU26,AQ26)</f>
        <v>62.109788866588467</v>
      </c>
      <c r="AV229" s="291">
        <f ca="1">SUM(AS26:AV26)</f>
        <v>61.91398518181115</v>
      </c>
      <c r="AW229" s="45">
        <f ca="1">AW26</f>
        <v>61.91398518181115</v>
      </c>
      <c r="AX229" s="290">
        <f ca="1">SUM(AX26,AT26:AV26)</f>
        <v>61.650281850145959</v>
      </c>
      <c r="AY229" s="260">
        <f ca="1">SUM(AX26:AY26,AU26:AV26)</f>
        <v>61.421014681432325</v>
      </c>
      <c r="AZ229" s="260">
        <f ca="1">SUM(AX26:AZ26,AV26)</f>
        <v>62.767140975801482</v>
      </c>
      <c r="BA229" s="291">
        <f ca="1">SUM(AX26:BA26)</f>
        <v>63.65106478465632</v>
      </c>
      <c r="BB229" s="45">
        <f ca="1">BB26</f>
        <v>63.65106478465632</v>
      </c>
      <c r="BC229" s="290">
        <f ca="1">SUM(BC26,AY26:BA26)</f>
        <v>64.450063681536705</v>
      </c>
      <c r="BD229" s="260">
        <f ca="1">SUM(BC26:BD26,AZ26:BA26)</f>
        <v>65.23618574652798</v>
      </c>
      <c r="BE229" s="260">
        <f ca="1">SUM(BC26:BE26,BA26)</f>
        <v>66.533772675430782</v>
      </c>
      <c r="BF229" s="291">
        <f ca="1">SUM(BC26:BF26)</f>
        <v>67.367802063540083</v>
      </c>
      <c r="BG229" s="45">
        <f ca="1">BG26</f>
        <v>67.367802063540083</v>
      </c>
      <c r="BH229" s="290">
        <f ca="1">SUM(BH26,BD26:BF26)</f>
        <v>68.125252930119174</v>
      </c>
      <c r="BI229" s="260">
        <f ca="1">SUM(BH26:BI26,BE26:BF26)</f>
        <v>68.84095691775272</v>
      </c>
      <c r="BJ229" s="260">
        <f ca="1">SUM(BH26:BJ26,BF26)</f>
        <v>69.71603833708636</v>
      </c>
      <c r="BK229" s="291">
        <f ca="1">SUM(BH26:BK26)</f>
        <v>70.252758753377705</v>
      </c>
      <c r="BL229" s="45">
        <f ca="1">BL26</f>
        <v>70.252758753377705</v>
      </c>
      <c r="BM229" s="45"/>
      <c r="BN229" s="45"/>
      <c r="BO229" s="45"/>
      <c r="BP229" s="45"/>
      <c r="BQ229" s="45"/>
      <c r="BR229" s="45"/>
      <c r="BS229" s="45"/>
      <c r="BT229" s="45"/>
      <c r="BU229" s="45"/>
      <c r="BV229" s="45"/>
      <c r="BW229" s="45"/>
      <c r="BX229" s="45"/>
      <c r="BY229" s="45"/>
      <c r="BZ229" s="45"/>
      <c r="CA229" s="45"/>
      <c r="CB229" s="45"/>
      <c r="CC229" s="45"/>
      <c r="CD229" s="45"/>
      <c r="CE229" s="45"/>
      <c r="CF229" s="45"/>
      <c r="CG229" s="45"/>
      <c r="CH229" s="45"/>
      <c r="CI229" s="45"/>
      <c r="CJ229" s="45"/>
      <c r="CK229" s="45"/>
      <c r="CL229" s="45"/>
      <c r="CM229" s="45"/>
      <c r="CN229" s="45"/>
      <c r="CO229" s="45"/>
      <c r="CP229" s="45"/>
    </row>
    <row r="230" spans="1:94">
      <c r="A230" s="45"/>
      <c r="B230" s="45"/>
      <c r="C230" s="391" t="s">
        <v>231</v>
      </c>
      <c r="D230" s="45"/>
      <c r="E230" s="290"/>
      <c r="F230" s="260"/>
      <c r="G230" s="260"/>
      <c r="H230" s="291"/>
      <c r="I230" s="45">
        <f>I34</f>
        <v>53</v>
      </c>
      <c r="J230" s="290">
        <f>SUM(J34,F34:H34)</f>
        <v>6</v>
      </c>
      <c r="K230" s="260">
        <f>SUM(J34:K34,G34:H34)</f>
        <v>24</v>
      </c>
      <c r="L230" s="260">
        <f>SUM(J34:L34,H34)</f>
        <v>41</v>
      </c>
      <c r="M230" s="291">
        <f>SUM(J34:M34)</f>
        <v>39</v>
      </c>
      <c r="N230" s="45">
        <f>N34</f>
        <v>39</v>
      </c>
      <c r="O230" s="290">
        <f>SUM(O34,K34:M34)</f>
        <v>35</v>
      </c>
      <c r="P230" s="260">
        <f>SUM(O34:P34,L34:M34)</f>
        <v>31</v>
      </c>
      <c r="Q230" s="260">
        <f>SUM(O34:Q34,M34)</f>
        <v>34</v>
      </c>
      <c r="R230" s="291">
        <f>SUM(O34:R34)</f>
        <v>35</v>
      </c>
      <c r="S230" s="45">
        <f>S34</f>
        <v>35</v>
      </c>
      <c r="T230" s="290">
        <f>SUM(T34,P34:R34)</f>
        <v>44</v>
      </c>
      <c r="U230" s="260">
        <f>SUM(T34:U34,Q34:R34)</f>
        <v>37</v>
      </c>
      <c r="V230" s="260">
        <f>SUM(T34:V34,R34)</f>
        <v>42</v>
      </c>
      <c r="W230" s="291">
        <f>SUM(T34:W34)</f>
        <v>50</v>
      </c>
      <c r="X230" s="45">
        <f>X34</f>
        <v>50</v>
      </c>
      <c r="Y230" s="290">
        <f>SUM(Y34,U34:W34)</f>
        <v>49</v>
      </c>
      <c r="Z230" s="260">
        <f>SUM(Y34:Z34,V34:W34)</f>
        <v>48</v>
      </c>
      <c r="AA230" s="260">
        <f>SUM(Y34:AA34,W34)</f>
        <v>46</v>
      </c>
      <c r="AB230" s="291">
        <f>SUM(Y34:AB34)</f>
        <v>45</v>
      </c>
      <c r="AC230" s="45">
        <f>AC34</f>
        <v>45</v>
      </c>
      <c r="AD230" s="290">
        <f>SUM(AD34,Z34:AB34)</f>
        <v>39</v>
      </c>
      <c r="AE230" s="260">
        <f>SUM(AD34:AE34,AA34:AB34)</f>
        <v>43</v>
      </c>
      <c r="AF230" s="260">
        <f>SUM(AD34:AF34,AB34)</f>
        <v>34</v>
      </c>
      <c r="AG230" s="291">
        <f>SUM(AD34:AG34)</f>
        <v>38</v>
      </c>
      <c r="AH230" s="45">
        <f>AH34</f>
        <v>38</v>
      </c>
      <c r="AI230" s="290">
        <f>SUM(AI34,AE34:AG34)</f>
        <v>-66</v>
      </c>
      <c r="AJ230" s="260">
        <f>SUM(AI34:AJ34,AF34:AG34)</f>
        <v>-73</v>
      </c>
      <c r="AK230" s="260">
        <f>SUM(AI34:AK34,AG34)</f>
        <v>-40</v>
      </c>
      <c r="AL230" s="291">
        <f>SUM(AI34:AL34)</f>
        <v>-42</v>
      </c>
      <c r="AM230" s="45">
        <f>AM34</f>
        <v>-42</v>
      </c>
      <c r="AN230" s="290">
        <f>SUM(AN34,AJ34:AL34)</f>
        <v>86</v>
      </c>
      <c r="AO230" s="260">
        <f>SUM(AN34:AO34,AK34:AL34)</f>
        <v>91</v>
      </c>
      <c r="AP230" s="260">
        <f>SUM(AN34:AP34,AL34)</f>
        <v>85</v>
      </c>
      <c r="AQ230" s="291">
        <f>SUM(AN34:AQ34)</f>
        <v>77</v>
      </c>
      <c r="AR230" s="45">
        <f>AR34</f>
        <v>77</v>
      </c>
      <c r="AS230" s="290">
        <f>SUM(AS34,AO34:AQ34)</f>
        <v>59.99284406027229</v>
      </c>
      <c r="AT230" s="260">
        <f ca="1">SUM(AS34:AT34,AP34:AQ34)</f>
        <v>64.703432753592011</v>
      </c>
      <c r="AU230" s="260">
        <f ca="1">SUM(AS34:AU34,AQ34)</f>
        <v>81.826318330128629</v>
      </c>
      <c r="AV230" s="291">
        <f ca="1">SUM(AS34:AV34)</f>
        <v>92.249596586010171</v>
      </c>
      <c r="AW230" s="45">
        <f ca="1">AW34</f>
        <v>92.249596586010199</v>
      </c>
      <c r="AX230" s="290">
        <f ca="1">SUM(AX34,AT34:AV34)</f>
        <v>93.557809836275482</v>
      </c>
      <c r="AY230" s="260">
        <f ca="1">SUM(AX34:AY34,AU34:AV34)</f>
        <v>94.673569282378537</v>
      </c>
      <c r="AZ230" s="260">
        <f ca="1">SUM(AX34:AZ34,AV34)</f>
        <v>100.3156975818643</v>
      </c>
      <c r="BA230" s="291">
        <f ca="1">SUM(AX34:BA34)</f>
        <v>105.76514092218206</v>
      </c>
      <c r="BB230" s="45">
        <f ca="1">BB34</f>
        <v>105.76514092218207</v>
      </c>
      <c r="BC230" s="290">
        <f ca="1">SUM(BC34,AY34:BA34)</f>
        <v>112.57033344690046</v>
      </c>
      <c r="BD230" s="260">
        <f ca="1">SUM(BC34:BD34,AZ34:BA34)</f>
        <v>119.73170697741959</v>
      </c>
      <c r="BE230" s="260">
        <f ca="1">SUM(BC34:BE34,BA34)</f>
        <v>122.04890992453527</v>
      </c>
      <c r="BF230" s="291">
        <f ca="1">SUM(BC34:BF34)</f>
        <v>124.26713643629874</v>
      </c>
      <c r="BG230" s="45">
        <f ca="1">BG34</f>
        <v>124.26713643629854</v>
      </c>
      <c r="BH230" s="290">
        <f ca="1">SUM(BH34,BD34:BF34)</f>
        <v>126.24323482621709</v>
      </c>
      <c r="BI230" s="260">
        <f ca="1">SUM(BH34:BI34,BE34:BF34)</f>
        <v>128.22275506250614</v>
      </c>
      <c r="BJ230" s="260">
        <f ca="1">SUM(BH34:BJ34,BF34)</f>
        <v>130.50942122445119</v>
      </c>
      <c r="BK230" s="291">
        <f ca="1">SUM(BH34:BK34)</f>
        <v>133.3008460832537</v>
      </c>
      <c r="BL230" s="45">
        <f ca="1">BL34</f>
        <v>133.3008460832537</v>
      </c>
      <c r="BM230" s="45"/>
      <c r="BN230" s="45"/>
      <c r="BO230" s="45"/>
      <c r="BP230" s="45"/>
      <c r="BQ230" s="45"/>
      <c r="BR230" s="45"/>
      <c r="BS230" s="45"/>
      <c r="BT230" s="45"/>
      <c r="BU230" s="45"/>
      <c r="BV230" s="45"/>
      <c r="BW230" s="45"/>
      <c r="BX230" s="45"/>
      <c r="BY230" s="45"/>
      <c r="BZ230" s="45"/>
      <c r="CA230" s="45"/>
      <c r="CB230" s="45"/>
      <c r="CC230" s="45"/>
      <c r="CD230" s="45"/>
      <c r="CE230" s="45"/>
      <c r="CF230" s="45"/>
      <c r="CG230" s="45"/>
      <c r="CH230" s="45"/>
      <c r="CI230" s="45"/>
      <c r="CJ230" s="45"/>
      <c r="CK230" s="45"/>
      <c r="CL230" s="45"/>
      <c r="CM230" s="45"/>
      <c r="CN230" s="45"/>
      <c r="CO230" s="45"/>
      <c r="CP230" s="45"/>
    </row>
    <row r="231" spans="1:94">
      <c r="A231" s="1716"/>
      <c r="B231" s="1716"/>
      <c r="C231" s="1716"/>
      <c r="D231" s="1716"/>
      <c r="E231" s="1717"/>
      <c r="F231" s="1718"/>
      <c r="G231" s="1718"/>
      <c r="H231" s="1719"/>
      <c r="I231" s="1716"/>
      <c r="J231" s="1717"/>
      <c r="K231" s="1718"/>
      <c r="L231" s="1718"/>
      <c r="M231" s="1719"/>
      <c r="N231" s="1716"/>
      <c r="O231" s="1717"/>
      <c r="P231" s="1718"/>
      <c r="Q231" s="1718"/>
      <c r="R231" s="1719"/>
      <c r="S231" s="1716"/>
      <c r="T231" s="1717"/>
      <c r="U231" s="1718"/>
      <c r="V231" s="1718"/>
      <c r="W231" s="1719"/>
      <c r="X231" s="1716"/>
      <c r="Y231" s="1717"/>
      <c r="Z231" s="1718"/>
      <c r="AA231" s="1718"/>
      <c r="AB231" s="1719"/>
      <c r="AC231" s="1716"/>
      <c r="AD231" s="1717"/>
      <c r="AE231" s="1718"/>
      <c r="AF231" s="1718"/>
      <c r="AG231" s="1719"/>
      <c r="AH231" s="1716"/>
      <c r="AI231" s="1717"/>
      <c r="AJ231" s="1718"/>
      <c r="AK231" s="1718"/>
      <c r="AL231" s="1719"/>
      <c r="AM231" s="1716"/>
      <c r="AN231" s="1717"/>
      <c r="AO231" s="1718"/>
      <c r="AP231" s="1718"/>
      <c r="AQ231" s="1719"/>
      <c r="AR231" s="1716"/>
      <c r="AS231" s="1717"/>
      <c r="AT231" s="1718"/>
      <c r="AU231" s="1718"/>
      <c r="AV231" s="1719"/>
      <c r="AW231" s="1716"/>
      <c r="AX231" s="1717"/>
      <c r="AY231" s="1718"/>
      <c r="AZ231" s="1718"/>
      <c r="BA231" s="1719"/>
      <c r="BB231" s="1716"/>
      <c r="BC231" s="1717"/>
      <c r="BD231" s="1718"/>
      <c r="BE231" s="1718"/>
      <c r="BF231" s="1719"/>
      <c r="BG231" s="1716"/>
      <c r="BH231" s="1717"/>
      <c r="BI231" s="1718"/>
      <c r="BJ231" s="1718"/>
      <c r="BK231" s="1719"/>
      <c r="BL231" s="1716"/>
      <c r="BM231" s="1716"/>
      <c r="BN231" s="1716"/>
      <c r="BO231" s="1716"/>
      <c r="BP231" s="1716"/>
      <c r="BQ231" s="1716"/>
      <c r="BR231" s="1716"/>
      <c r="BS231" s="1716"/>
      <c r="BT231" s="1716"/>
      <c r="BU231" s="1716"/>
      <c r="BV231" s="1716"/>
      <c r="BW231" s="1716"/>
      <c r="BX231" s="1716"/>
      <c r="BY231" s="1716"/>
      <c r="BZ231" s="1716"/>
      <c r="CA231" s="1716"/>
      <c r="CB231" s="1716"/>
      <c r="CC231" s="1716"/>
      <c r="CD231" s="1716"/>
      <c r="CE231" s="1716"/>
      <c r="CF231" s="1716"/>
      <c r="CG231" s="1716"/>
      <c r="CH231" s="1716"/>
      <c r="CI231" s="1716"/>
      <c r="CJ231" s="1716"/>
      <c r="CK231" s="1716"/>
      <c r="CL231" s="1716"/>
      <c r="CM231" s="1716"/>
      <c r="CN231" s="1716"/>
      <c r="CO231" s="1716"/>
      <c r="CP231" s="1716"/>
    </row>
    <row r="232" spans="1:94">
      <c r="A232" s="1716"/>
      <c r="B232" s="1716"/>
      <c r="C232" s="389" t="s">
        <v>374</v>
      </c>
      <c r="D232" s="1716"/>
      <c r="E232" s="1717"/>
      <c r="F232" s="1718"/>
      <c r="G232" s="1718"/>
      <c r="H232" s="1719"/>
      <c r="I232" s="1716"/>
      <c r="J232" s="1717"/>
      <c r="K232" s="1718"/>
      <c r="L232" s="1718"/>
      <c r="M232" s="1719"/>
      <c r="N232" s="1716"/>
      <c r="O232" s="1717"/>
      <c r="P232" s="1718"/>
      <c r="Q232" s="1718"/>
      <c r="R232" s="1719"/>
      <c r="S232" s="1716"/>
      <c r="T232" s="1717"/>
      <c r="U232" s="1718"/>
      <c r="V232" s="1718"/>
      <c r="W232" s="1719"/>
      <c r="X232" s="1716"/>
      <c r="Y232" s="1717"/>
      <c r="Z232" s="1718"/>
      <c r="AA232" s="1718"/>
      <c r="AB232" s="1719"/>
      <c r="AC232" s="1716"/>
      <c r="AD232" s="1717"/>
      <c r="AE232" s="1718"/>
      <c r="AF232" s="1718"/>
      <c r="AG232" s="1719"/>
      <c r="AH232" s="1716"/>
      <c r="AI232" s="1717"/>
      <c r="AJ232" s="1718"/>
      <c r="AK232" s="1718"/>
      <c r="AL232" s="1719"/>
      <c r="AM232" s="1716"/>
      <c r="AN232" s="1717"/>
      <c r="AO232" s="1718"/>
      <c r="AP232" s="1718"/>
      <c r="AQ232" s="1719"/>
      <c r="AR232" s="1716"/>
      <c r="AS232" s="1717"/>
      <c r="AT232" s="1718"/>
      <c r="AU232" s="1718"/>
      <c r="AV232" s="1719"/>
      <c r="AW232" s="1716"/>
      <c r="AX232" s="1717"/>
      <c r="AY232" s="1718"/>
      <c r="AZ232" s="1718"/>
      <c r="BA232" s="1719"/>
      <c r="BB232" s="1716"/>
      <c r="BC232" s="1717"/>
      <c r="BD232" s="1718"/>
      <c r="BE232" s="1718"/>
      <c r="BF232" s="1719"/>
      <c r="BG232" s="1716"/>
      <c r="BH232" s="1717"/>
      <c r="BI232" s="1718"/>
      <c r="BJ232" s="1718"/>
      <c r="BK232" s="1719"/>
      <c r="BL232" s="1716"/>
      <c r="BM232" s="1716"/>
      <c r="BN232" s="1716"/>
      <c r="BO232" s="1716"/>
      <c r="BP232" s="1716"/>
      <c r="BQ232" s="1716"/>
      <c r="BR232" s="1716"/>
      <c r="BS232" s="1716"/>
      <c r="BT232" s="1716"/>
      <c r="BU232" s="1716"/>
      <c r="BV232" s="1716"/>
      <c r="BW232" s="1716"/>
      <c r="BX232" s="1716"/>
      <c r="BY232" s="1716"/>
      <c r="BZ232" s="1716"/>
      <c r="CA232" s="1716"/>
      <c r="CB232" s="1716"/>
      <c r="CC232" s="1716"/>
      <c r="CD232" s="1716"/>
      <c r="CE232" s="1716"/>
      <c r="CF232" s="1716"/>
      <c r="CG232" s="1716"/>
      <c r="CH232" s="1716"/>
      <c r="CI232" s="1716"/>
      <c r="CJ232" s="1716"/>
      <c r="CK232" s="1716"/>
      <c r="CL232" s="1716"/>
      <c r="CM232" s="1716"/>
      <c r="CN232" s="1716"/>
      <c r="CO232" s="1716"/>
      <c r="CP232" s="1716"/>
    </row>
    <row r="233" spans="1:94">
      <c r="A233" s="895"/>
      <c r="B233" s="895"/>
      <c r="C233" s="895" t="s">
        <v>615</v>
      </c>
      <c r="D233" s="895"/>
      <c r="E233" s="905"/>
      <c r="F233" s="906"/>
      <c r="G233" s="906"/>
      <c r="H233" s="907"/>
      <c r="I233" s="908">
        <f t="shared" ref="I233:AW233" si="682">I211/I221</f>
        <v>0.53078556263269638</v>
      </c>
      <c r="J233" s="905">
        <f t="shared" si="682"/>
        <v>0.52514557967178399</v>
      </c>
      <c r="K233" s="906">
        <f t="shared" si="682"/>
        <v>0.60418794688457611</v>
      </c>
      <c r="L233" s="906">
        <f t="shared" si="682"/>
        <v>0.58691308691308697</v>
      </c>
      <c r="M233" s="907">
        <f t="shared" si="682"/>
        <v>0.58521870286576172</v>
      </c>
      <c r="N233" s="908">
        <f t="shared" si="682"/>
        <v>0.58521870286576172</v>
      </c>
      <c r="O233" s="905">
        <f t="shared" si="682"/>
        <v>0.58295511850731219</v>
      </c>
      <c r="P233" s="906">
        <f t="shared" si="682"/>
        <v>0.56011730205278587</v>
      </c>
      <c r="Q233" s="906">
        <f t="shared" si="682"/>
        <v>0.55258033106134374</v>
      </c>
      <c r="R233" s="907">
        <f t="shared" si="682"/>
        <v>0.54589606605148133</v>
      </c>
      <c r="S233" s="908">
        <f t="shared" si="682"/>
        <v>0.54589606605148133</v>
      </c>
      <c r="T233" s="905">
        <f t="shared" si="682"/>
        <v>0.52226910454758557</v>
      </c>
      <c r="U233" s="906">
        <f t="shared" si="682"/>
        <v>0.55735430157261789</v>
      </c>
      <c r="V233" s="906">
        <f t="shared" si="682"/>
        <v>0.52737482452035567</v>
      </c>
      <c r="W233" s="907">
        <f t="shared" si="682"/>
        <v>0.52594339622641506</v>
      </c>
      <c r="X233" s="908">
        <f t="shared" si="682"/>
        <v>0.52594339622641506</v>
      </c>
      <c r="Y233" s="905">
        <f t="shared" si="682"/>
        <v>0.53275529865125237</v>
      </c>
      <c r="Z233" s="906">
        <f t="shared" si="682"/>
        <v>0.51360225140712945</v>
      </c>
      <c r="AA233" s="906">
        <f t="shared" si="682"/>
        <v>0.53557874762808344</v>
      </c>
      <c r="AB233" s="907">
        <f t="shared" si="682"/>
        <v>0.5246363209760676</v>
      </c>
      <c r="AC233" s="908">
        <f t="shared" si="682"/>
        <v>0.5246363209760676</v>
      </c>
      <c r="AD233" s="905">
        <f t="shared" si="682"/>
        <v>0.51998119417019273</v>
      </c>
      <c r="AE233" s="906">
        <f t="shared" si="682"/>
        <v>0.49772933696639421</v>
      </c>
      <c r="AF233" s="906">
        <f t="shared" si="682"/>
        <v>0.48749431559799911</v>
      </c>
      <c r="AG233" s="907">
        <f t="shared" si="682"/>
        <v>0.54290876242095754</v>
      </c>
      <c r="AH233" s="908">
        <f t="shared" si="682"/>
        <v>0.54290876242095754</v>
      </c>
      <c r="AI233" s="905">
        <f t="shared" ref="AI233" si="683">AI211/AI221</f>
        <v>0.57259615384615381</v>
      </c>
      <c r="AJ233" s="906">
        <f t="shared" si="682"/>
        <v>0.53369516056083222</v>
      </c>
      <c r="AK233" s="906">
        <f t="shared" si="682"/>
        <v>0.52284946236559138</v>
      </c>
      <c r="AL233" s="907">
        <f t="shared" si="682"/>
        <v>0.52763819095477382</v>
      </c>
      <c r="AM233" s="908">
        <f t="shared" si="682"/>
        <v>0.52763819095477382</v>
      </c>
      <c r="AN233" s="905">
        <f t="shared" si="682"/>
        <v>0.52116522530723719</v>
      </c>
      <c r="AO233" s="906">
        <f t="shared" ref="AO233:AR233" si="684">AO211/AO221</f>
        <v>0.51077199281867147</v>
      </c>
      <c r="AP233" s="906">
        <f t="shared" si="684"/>
        <v>0.50155348424323121</v>
      </c>
      <c r="AQ233" s="907">
        <f t="shared" si="684"/>
        <v>0.49339788732394368</v>
      </c>
      <c r="AR233" s="908">
        <f t="shared" si="684"/>
        <v>0.49339788732394368</v>
      </c>
      <c r="AS233" s="905">
        <f t="shared" ca="1" si="682"/>
        <v>0.48152987506751016</v>
      </c>
      <c r="AT233" s="906">
        <f t="shared" ca="1" si="682"/>
        <v>0.46988827355500246</v>
      </c>
      <c r="AU233" s="906">
        <f t="shared" ca="1" si="682"/>
        <v>0.5230048809131016</v>
      </c>
      <c r="AV233" s="907">
        <f t="shared" ca="1" si="682"/>
        <v>0.51691456283028281</v>
      </c>
      <c r="AW233" s="908">
        <f t="shared" ca="1" si="682"/>
        <v>0.51691456283028281</v>
      </c>
      <c r="AX233" s="905">
        <f t="shared" ref="AX233:BG233" ca="1" si="685">AX211/AX221</f>
        <v>0.50880592998502028</v>
      </c>
      <c r="AY233" s="906">
        <f t="shared" ca="1" si="685"/>
        <v>0.49992806743401225</v>
      </c>
      <c r="AZ233" s="906">
        <f t="shared" ca="1" si="685"/>
        <v>0.51489092786462842</v>
      </c>
      <c r="BA233" s="907">
        <f t="shared" ca="1" si="685"/>
        <v>0.51206214520483417</v>
      </c>
      <c r="BB233" s="908">
        <f t="shared" ca="1" si="685"/>
        <v>0.51206214520483417</v>
      </c>
      <c r="BC233" s="905">
        <f t="shared" ca="1" si="685"/>
        <v>0.50422365465041641</v>
      </c>
      <c r="BD233" s="906">
        <f t="shared" ca="1" si="685"/>
        <v>0.496702841917465</v>
      </c>
      <c r="BE233" s="906">
        <f t="shared" ca="1" si="685"/>
        <v>0.51077662326217443</v>
      </c>
      <c r="BF233" s="907">
        <f t="shared" ca="1" si="685"/>
        <v>0.50892008968640301</v>
      </c>
      <c r="BG233" s="908">
        <f t="shared" ca="1" si="685"/>
        <v>0.50892008968640301</v>
      </c>
      <c r="BH233" s="905">
        <f t="shared" ref="BH233:BL233" ca="1" si="686">BH211/BH221</f>
        <v>0.50550732619585825</v>
      </c>
      <c r="BI233" s="906">
        <f t="shared" ca="1" si="686"/>
        <v>0.50225584319635186</v>
      </c>
      <c r="BJ233" s="906">
        <f t="shared" ca="1" si="686"/>
        <v>0.50734343615113908</v>
      </c>
      <c r="BK233" s="907">
        <f t="shared" ca="1" si="686"/>
        <v>0.50762432997323104</v>
      </c>
      <c r="BL233" s="908">
        <f t="shared" ca="1" si="686"/>
        <v>0.50762432997323104</v>
      </c>
      <c r="BM233" s="895"/>
      <c r="BN233" s="895"/>
      <c r="BO233" s="895"/>
      <c r="BP233" s="895"/>
      <c r="BQ233" s="895"/>
      <c r="BR233" s="895"/>
      <c r="BS233" s="895"/>
      <c r="BT233" s="895"/>
      <c r="BU233" s="895"/>
      <c r="BV233" s="895"/>
      <c r="BW233" s="895"/>
      <c r="BX233" s="895"/>
      <c r="BY233" s="895"/>
      <c r="BZ233" s="895"/>
      <c r="CA233" s="895"/>
      <c r="CB233" s="895"/>
      <c r="CC233" s="895"/>
      <c r="CD233" s="895"/>
      <c r="CE233" s="895"/>
      <c r="CF233" s="895"/>
      <c r="CG233" s="895"/>
      <c r="CH233" s="895"/>
      <c r="CI233" s="895"/>
      <c r="CJ233" s="895"/>
      <c r="CK233" s="895"/>
      <c r="CL233" s="895"/>
      <c r="CM233" s="895"/>
      <c r="CN233" s="895"/>
      <c r="CO233" s="895"/>
      <c r="CP233" s="895"/>
    </row>
    <row r="234" spans="1:94">
      <c r="A234" s="895"/>
      <c r="B234" s="895"/>
      <c r="C234" s="895" t="s">
        <v>1311</v>
      </c>
      <c r="D234" s="895"/>
      <c r="E234" s="905"/>
      <c r="F234" s="906"/>
      <c r="G234" s="906"/>
      <c r="H234" s="907"/>
      <c r="I234" s="908">
        <f t="shared" ref="I234:AW234" si="687">+I212/I221</f>
        <v>0.62685774946921446</v>
      </c>
      <c r="J234" s="905">
        <f t="shared" si="687"/>
        <v>0.62466913710958183</v>
      </c>
      <c r="K234" s="906">
        <f t="shared" si="687"/>
        <v>0.62870275791624108</v>
      </c>
      <c r="L234" s="906">
        <f t="shared" si="687"/>
        <v>0.59840159840159846</v>
      </c>
      <c r="M234" s="907">
        <f t="shared" si="687"/>
        <v>0.5967823026646556</v>
      </c>
      <c r="N234" s="908">
        <f t="shared" si="687"/>
        <v>0.5967823026646556</v>
      </c>
      <c r="O234" s="905">
        <f t="shared" si="687"/>
        <v>0.59455370650529504</v>
      </c>
      <c r="P234" s="906">
        <f t="shared" si="687"/>
        <v>0.60752688172043012</v>
      </c>
      <c r="Q234" s="906">
        <f t="shared" si="687"/>
        <v>0.60905550146056475</v>
      </c>
      <c r="R234" s="907">
        <f t="shared" si="687"/>
        <v>0.6104905293831957</v>
      </c>
      <c r="S234" s="908">
        <f t="shared" si="687"/>
        <v>0.6104905293831957</v>
      </c>
      <c r="T234" s="905">
        <f t="shared" si="687"/>
        <v>0.6197843413033286</v>
      </c>
      <c r="U234" s="906">
        <f t="shared" si="687"/>
        <v>0.58695652173913049</v>
      </c>
      <c r="V234" s="906">
        <f t="shared" si="687"/>
        <v>0.58212447356106689</v>
      </c>
      <c r="W234" s="907">
        <f t="shared" si="687"/>
        <v>0.59103773584905661</v>
      </c>
      <c r="X234" s="908">
        <f t="shared" si="687"/>
        <v>0.59103773584905661</v>
      </c>
      <c r="Y234" s="905">
        <f t="shared" si="687"/>
        <v>0.59007707129094411</v>
      </c>
      <c r="Z234" s="906">
        <f t="shared" si="687"/>
        <v>0.59803001876172612</v>
      </c>
      <c r="AA234" s="906">
        <f t="shared" si="687"/>
        <v>0.58254269449715368</v>
      </c>
      <c r="AB234" s="907">
        <f t="shared" si="687"/>
        <v>0.58423275457531676</v>
      </c>
      <c r="AC234" s="908">
        <f t="shared" si="687"/>
        <v>0.58423275457531676</v>
      </c>
      <c r="AD234" s="905">
        <f t="shared" si="687"/>
        <v>0.58721203573107661</v>
      </c>
      <c r="AE234" s="906">
        <f t="shared" si="687"/>
        <v>0.59673024523160767</v>
      </c>
      <c r="AF234" s="906">
        <f t="shared" si="687"/>
        <v>0.58981355161437021</v>
      </c>
      <c r="AG234" s="907">
        <f t="shared" si="687"/>
        <v>0.54516711833785003</v>
      </c>
      <c r="AH234" s="908">
        <f t="shared" si="687"/>
        <v>0.54516711833785003</v>
      </c>
      <c r="AI234" s="905">
        <f t="shared" ref="AI234" si="688">+AI212/AI221</f>
        <v>0.57259615384615381</v>
      </c>
      <c r="AJ234" s="906">
        <f t="shared" si="687"/>
        <v>0.53369516056083222</v>
      </c>
      <c r="AK234" s="906">
        <f t="shared" si="687"/>
        <v>0.52284946236559138</v>
      </c>
      <c r="AL234" s="907">
        <f t="shared" si="687"/>
        <v>0.52763819095477382</v>
      </c>
      <c r="AM234" s="908">
        <f t="shared" si="687"/>
        <v>0.52763819095477382</v>
      </c>
      <c r="AN234" s="905">
        <f t="shared" si="687"/>
        <v>0.52116522530723719</v>
      </c>
      <c r="AO234" s="906">
        <f t="shared" ref="AO234:AR234" si="689">+AO212/AO221</f>
        <v>0.52962298025134646</v>
      </c>
      <c r="AP234" s="906">
        <f t="shared" si="689"/>
        <v>0.53040390590324016</v>
      </c>
      <c r="AQ234" s="907">
        <f t="shared" si="689"/>
        <v>0.54093309859154926</v>
      </c>
      <c r="AR234" s="908">
        <f t="shared" si="689"/>
        <v>0.54093309859154926</v>
      </c>
      <c r="AS234" s="905">
        <f t="shared" ca="1" si="687"/>
        <v>0.53919917245324855</v>
      </c>
      <c r="AT234" s="906">
        <f t="shared" ca="1" si="687"/>
        <v>0.53715232411231706</v>
      </c>
      <c r="AU234" s="906">
        <f t="shared" ca="1" si="687"/>
        <v>0.5230048809131016</v>
      </c>
      <c r="AV234" s="907">
        <f t="shared" ca="1" si="687"/>
        <v>0.51691456283028281</v>
      </c>
      <c r="AW234" s="908">
        <f t="shared" ca="1" si="687"/>
        <v>0.51691456283028281</v>
      </c>
      <c r="AX234" s="905">
        <f t="shared" ref="AX234:BG234" ca="1" si="690">+AX212/AX221</f>
        <v>0.52064169298481466</v>
      </c>
      <c r="AY234" s="906">
        <f t="shared" ca="1" si="690"/>
        <v>0.52463326261735077</v>
      </c>
      <c r="AZ234" s="906">
        <f t="shared" ca="1" si="690"/>
        <v>0.51489092786462842</v>
      </c>
      <c r="BA234" s="907">
        <f t="shared" ca="1" si="690"/>
        <v>0.51256508151780367</v>
      </c>
      <c r="BB234" s="908">
        <f t="shared" ca="1" si="690"/>
        <v>0.51256508151780367</v>
      </c>
      <c r="BC234" s="905">
        <f t="shared" ca="1" si="690"/>
        <v>0.51622056114133352</v>
      </c>
      <c r="BD234" s="906">
        <f t="shared" ca="1" si="690"/>
        <v>0.51900603384603128</v>
      </c>
      <c r="BE234" s="906">
        <f t="shared" ca="1" si="690"/>
        <v>0.51077662326217443</v>
      </c>
      <c r="BF234" s="907">
        <f t="shared" ca="1" si="690"/>
        <v>0.50926953944323228</v>
      </c>
      <c r="BG234" s="908">
        <f t="shared" ca="1" si="690"/>
        <v>0.50926953944323228</v>
      </c>
      <c r="BH234" s="905">
        <f t="shared" ref="BH234:BL234" ca="1" si="691">+BH212/BH221</f>
        <v>0.51305557980023686</v>
      </c>
      <c r="BI234" s="906">
        <f t="shared" ca="1" si="691"/>
        <v>0.51602548363189837</v>
      </c>
      <c r="BJ234" s="906">
        <f t="shared" ca="1" si="691"/>
        <v>0.50734343615113908</v>
      </c>
      <c r="BK234" s="907">
        <f t="shared" ca="1" si="691"/>
        <v>0.50762432997323104</v>
      </c>
      <c r="BL234" s="908">
        <f t="shared" ca="1" si="691"/>
        <v>0.50762432997323104</v>
      </c>
      <c r="BM234" s="895"/>
      <c r="BN234" s="895"/>
      <c r="BO234" s="895"/>
      <c r="BP234" s="895"/>
      <c r="BQ234" s="895"/>
      <c r="BR234" s="895"/>
      <c r="BS234" s="895"/>
      <c r="BT234" s="895"/>
      <c r="BU234" s="895"/>
      <c r="BV234" s="895"/>
      <c r="BW234" s="895"/>
      <c r="BX234" s="895"/>
      <c r="BY234" s="895"/>
      <c r="BZ234" s="895"/>
      <c r="CA234" s="895"/>
      <c r="CB234" s="895"/>
      <c r="CC234" s="895"/>
      <c r="CD234" s="895"/>
      <c r="CE234" s="895"/>
      <c r="CF234" s="895"/>
      <c r="CG234" s="895"/>
      <c r="CH234" s="895"/>
      <c r="CI234" s="895"/>
      <c r="CJ234" s="895"/>
      <c r="CK234" s="895"/>
      <c r="CL234" s="895"/>
      <c r="CM234" s="895"/>
      <c r="CN234" s="895"/>
      <c r="CO234" s="895"/>
      <c r="CP234" s="895"/>
    </row>
    <row r="235" spans="1:94">
      <c r="A235" s="895"/>
      <c r="B235" s="895"/>
      <c r="C235" s="895" t="s">
        <v>614</v>
      </c>
      <c r="D235" s="895"/>
      <c r="E235" s="1779"/>
      <c r="F235" s="1780"/>
      <c r="G235" s="1780"/>
      <c r="H235" s="1781"/>
      <c r="I235" s="1782">
        <f t="shared" ref="I235:AW235" si="692">(I212-I208)/I228</f>
        <v>4.3113553113553111</v>
      </c>
      <c r="J235" s="1779">
        <f t="shared" si="692"/>
        <v>19.932203389830509</v>
      </c>
      <c r="K235" s="1780">
        <f t="shared" si="692"/>
        <v>8.6408450704225359</v>
      </c>
      <c r="L235" s="1780">
        <f t="shared" si="692"/>
        <v>4.7106382978723405</v>
      </c>
      <c r="M235" s="1781">
        <f t="shared" si="692"/>
        <v>3.9854545454545454</v>
      </c>
      <c r="N235" s="1782">
        <f t="shared" si="692"/>
        <v>3.9854545454545454</v>
      </c>
      <c r="O235" s="1779">
        <f t="shared" si="692"/>
        <v>4.3129770992366412</v>
      </c>
      <c r="P235" s="1780">
        <f t="shared" si="692"/>
        <v>5.0202429149797574</v>
      </c>
      <c r="Q235" s="1780">
        <f t="shared" si="692"/>
        <v>5.1618257261410792</v>
      </c>
      <c r="R235" s="1781">
        <f t="shared" si="692"/>
        <v>5.0647773279352224</v>
      </c>
      <c r="S235" s="1782">
        <f t="shared" si="692"/>
        <v>5.0647773279352224</v>
      </c>
      <c r="T235" s="1779">
        <f t="shared" si="692"/>
        <v>5.1050583657587545</v>
      </c>
      <c r="U235" s="1780">
        <f t="shared" si="692"/>
        <v>5.0599999999999996</v>
      </c>
      <c r="V235" s="1780">
        <f t="shared" si="692"/>
        <v>4.8359375</v>
      </c>
      <c r="W235" s="1781">
        <f t="shared" si="692"/>
        <v>4.5787545787545785</v>
      </c>
      <c r="X235" s="1782">
        <f t="shared" si="692"/>
        <v>4.5787545787545785</v>
      </c>
      <c r="Y235" s="1779">
        <f t="shared" si="692"/>
        <v>4.2587412587412583</v>
      </c>
      <c r="Z235" s="1780">
        <f t="shared" si="692"/>
        <v>4.40625</v>
      </c>
      <c r="AA235" s="1780">
        <f t="shared" si="692"/>
        <v>4.2137931034482756</v>
      </c>
      <c r="AB235" s="1781">
        <f t="shared" si="692"/>
        <v>4.2423208191126278</v>
      </c>
      <c r="AC235" s="1782">
        <f t="shared" si="692"/>
        <v>4.2423208191126278</v>
      </c>
      <c r="AD235" s="1779">
        <f t="shared" si="692"/>
        <v>4.3159722222222223</v>
      </c>
      <c r="AE235" s="1780">
        <f t="shared" si="692"/>
        <v>4.3410596026490067</v>
      </c>
      <c r="AF235" s="1780">
        <f t="shared" si="692"/>
        <v>4.3979591836734695</v>
      </c>
      <c r="AG235" s="1781">
        <f t="shared" si="692"/>
        <v>3.8964401294498381</v>
      </c>
      <c r="AH235" s="1782">
        <f t="shared" si="692"/>
        <v>3.8964401294498381</v>
      </c>
      <c r="AI235" s="1779">
        <f t="shared" ref="AI235" si="693">(AI212-AI208)/AI228</f>
        <v>6.3630952380952381</v>
      </c>
      <c r="AJ235" s="1780">
        <f t="shared" si="692"/>
        <v>6.7254901960784315</v>
      </c>
      <c r="AK235" s="1780">
        <f t="shared" si="692"/>
        <v>5.01</v>
      </c>
      <c r="AL235" s="1781">
        <f t="shared" si="692"/>
        <v>5.8232044198895023</v>
      </c>
      <c r="AM235" s="1782">
        <f t="shared" si="692"/>
        <v>5.8232044198895023</v>
      </c>
      <c r="AN235" s="1779">
        <f t="shared" si="692"/>
        <v>3.4093749999999998</v>
      </c>
      <c r="AO235" s="1780">
        <f t="shared" ref="AO235:AR235" si="694">(AO212-AO208)/AO228</f>
        <v>3.6428571428571428</v>
      </c>
      <c r="AP235" s="1780">
        <f t="shared" si="694"/>
        <v>3.8511326860841426</v>
      </c>
      <c r="AQ235" s="1781">
        <f t="shared" si="694"/>
        <v>3.9580645161290322</v>
      </c>
      <c r="AR235" s="1782">
        <f t="shared" si="694"/>
        <v>3.9580645161290322</v>
      </c>
      <c r="AS235" s="1779">
        <f t="shared" ca="1" si="692"/>
        <v>4.0657378111275317</v>
      </c>
      <c r="AT235" s="1780">
        <f t="shared" ca="1" si="692"/>
        <v>4.1635607834270045</v>
      </c>
      <c r="AU235" s="1780">
        <f t="shared" ca="1" si="692"/>
        <v>4.0858143811472196</v>
      </c>
      <c r="AV235" s="1781">
        <f t="shared" ca="1" si="692"/>
        <v>4.1865261705537398</v>
      </c>
      <c r="AW235" s="1782">
        <f t="shared" ca="1" si="692"/>
        <v>4.1865261705537389</v>
      </c>
      <c r="AX235" s="1779">
        <f t="shared" ref="AX235:BG235" ca="1" si="695">(AX212-AX208)/AX228</f>
        <v>4.3012028663956761</v>
      </c>
      <c r="AY235" s="1780">
        <f t="shared" ca="1" si="695"/>
        <v>4.4063359277577545</v>
      </c>
      <c r="AZ235" s="1780">
        <f t="shared" ca="1" si="695"/>
        <v>4.2489635508160033</v>
      </c>
      <c r="BA235" s="1781">
        <f t="shared" ca="1" si="695"/>
        <v>4.2562593481127173</v>
      </c>
      <c r="BB235" s="1782">
        <f t="shared" ca="1" si="695"/>
        <v>4.2562593481127164</v>
      </c>
      <c r="BC235" s="1779">
        <f t="shared" ca="1" si="695"/>
        <v>4.1968449172460582</v>
      </c>
      <c r="BD235" s="1780">
        <f t="shared" ca="1" si="695"/>
        <v>4.1323831988528106</v>
      </c>
      <c r="BE235" s="1780">
        <f t="shared" ca="1" si="695"/>
        <v>4.0084823320216483</v>
      </c>
      <c r="BF235" s="1781">
        <f t="shared" ca="1" si="695"/>
        <v>4.0279891484341022</v>
      </c>
      <c r="BG235" s="1782">
        <f t="shared" ca="1" si="695"/>
        <v>4.0279891484341039</v>
      </c>
      <c r="BH235" s="1779">
        <f t="shared" ref="BH235:BL235" ca="1" si="696">(BH212-BH208)/BH228</f>
        <v>4.0841944345338677</v>
      </c>
      <c r="BI235" s="1780">
        <f t="shared" ca="1" si="696"/>
        <v>4.1312732320652445</v>
      </c>
      <c r="BJ235" s="1780">
        <f t="shared" ca="1" si="696"/>
        <v>4.0477200055933888</v>
      </c>
      <c r="BK235" s="1781">
        <f t="shared" ca="1" si="696"/>
        <v>4.0942295949236849</v>
      </c>
      <c r="BL235" s="1782">
        <f t="shared" ca="1" si="696"/>
        <v>4.0942295949236849</v>
      </c>
      <c r="BM235" s="895"/>
      <c r="BN235" s="895"/>
      <c r="BO235" s="895"/>
      <c r="BP235" s="895"/>
      <c r="BQ235" s="895"/>
      <c r="BR235" s="895"/>
      <c r="BS235" s="895"/>
      <c r="BT235" s="895"/>
      <c r="BU235" s="895"/>
      <c r="BV235" s="895"/>
      <c r="BW235" s="895"/>
      <c r="BX235" s="895"/>
      <c r="BY235" s="895"/>
      <c r="BZ235" s="895"/>
      <c r="CA235" s="895"/>
      <c r="CB235" s="895"/>
      <c r="CC235" s="895"/>
      <c r="CD235" s="895"/>
      <c r="CE235" s="895"/>
      <c r="CF235" s="895"/>
      <c r="CG235" s="895"/>
      <c r="CH235" s="895"/>
      <c r="CI235" s="895"/>
      <c r="CJ235" s="895"/>
      <c r="CK235" s="895"/>
      <c r="CL235" s="895"/>
      <c r="CM235" s="895"/>
      <c r="CN235" s="895"/>
      <c r="CO235" s="895"/>
      <c r="CP235" s="895"/>
    </row>
    <row r="236" spans="1:94">
      <c r="A236" s="895"/>
      <c r="B236" s="895"/>
      <c r="C236" s="895" t="s">
        <v>393</v>
      </c>
      <c r="D236" s="895"/>
      <c r="E236" s="905"/>
      <c r="F236" s="906"/>
      <c r="G236" s="906"/>
      <c r="H236" s="907"/>
      <c r="I236" s="908">
        <f t="shared" ref="I236:AW236" si="697">I226/I212</f>
        <v>0.13971210838272649</v>
      </c>
      <c r="J236" s="905">
        <f t="shared" si="697"/>
        <v>3.3050847457627118E-2</v>
      </c>
      <c r="K236" s="906">
        <f t="shared" si="697"/>
        <v>7.3111291632818848E-2</v>
      </c>
      <c r="L236" s="906">
        <f t="shared" si="697"/>
        <v>0.12353923205342238</v>
      </c>
      <c r="M236" s="907">
        <f t="shared" si="697"/>
        <v>0.14574557708508845</v>
      </c>
      <c r="N236" s="908">
        <f t="shared" si="697"/>
        <v>0.14574557708508845</v>
      </c>
      <c r="O236" s="905">
        <f t="shared" si="697"/>
        <v>0.13910093299406276</v>
      </c>
      <c r="P236" s="906">
        <f t="shared" si="697"/>
        <v>0.12389380530973451</v>
      </c>
      <c r="Q236" s="906">
        <f t="shared" si="697"/>
        <v>0.1223021582733813</v>
      </c>
      <c r="R236" s="907">
        <f t="shared" si="697"/>
        <v>0.12649164677804295</v>
      </c>
      <c r="S236" s="908">
        <f t="shared" si="697"/>
        <v>0.12649164677804295</v>
      </c>
      <c r="T236" s="905">
        <f t="shared" si="697"/>
        <v>0.12934947049924356</v>
      </c>
      <c r="U236" s="906">
        <f t="shared" si="697"/>
        <v>0.13317572892040977</v>
      </c>
      <c r="V236" s="906">
        <f t="shared" si="697"/>
        <v>0.14067524115755628</v>
      </c>
      <c r="W236" s="907">
        <f t="shared" si="697"/>
        <v>0.14844373503591379</v>
      </c>
      <c r="X236" s="908">
        <f t="shared" si="697"/>
        <v>0.14844373503591379</v>
      </c>
      <c r="Y236" s="905">
        <f t="shared" si="697"/>
        <v>0.15673469387755101</v>
      </c>
      <c r="Z236" s="906">
        <f t="shared" si="697"/>
        <v>0.15372549019607842</v>
      </c>
      <c r="AA236" s="906">
        <f t="shared" si="697"/>
        <v>0.16123778501628663</v>
      </c>
      <c r="AB236" s="907">
        <f t="shared" si="697"/>
        <v>0.16224899598393575</v>
      </c>
      <c r="AC236" s="908">
        <f t="shared" si="697"/>
        <v>0.16224899598393575</v>
      </c>
      <c r="AD236" s="905">
        <f t="shared" si="697"/>
        <v>0.16092874299439552</v>
      </c>
      <c r="AE236" s="906">
        <f t="shared" si="697"/>
        <v>0.16057838660578386</v>
      </c>
      <c r="AF236" s="906">
        <f t="shared" si="697"/>
        <v>0.16114109483423283</v>
      </c>
      <c r="AG236" s="907">
        <f t="shared" si="697"/>
        <v>0.17729908864954433</v>
      </c>
      <c r="AH236" s="908">
        <f t="shared" si="697"/>
        <v>0.17729908864954433</v>
      </c>
      <c r="AI236" s="905">
        <f t="shared" ref="AI236" si="698">AI226/AI212</f>
        <v>8.984047019311503E-2</v>
      </c>
      <c r="AJ236" s="906">
        <f t="shared" si="697"/>
        <v>8.3050847457627114E-2</v>
      </c>
      <c r="AK236" s="906">
        <f t="shared" si="697"/>
        <v>0.11225364181662383</v>
      </c>
      <c r="AL236" s="907">
        <f t="shared" si="697"/>
        <v>0.10649350649350649</v>
      </c>
      <c r="AM236" s="908">
        <f t="shared" si="697"/>
        <v>0.10649350649350649</v>
      </c>
      <c r="AN236" s="905">
        <f t="shared" si="697"/>
        <v>0.21484716157205241</v>
      </c>
      <c r="AO236" s="906">
        <f t="shared" ref="AO236:AR236" si="699">AO226/AO212</f>
        <v>0.20932203389830509</v>
      </c>
      <c r="AP236" s="906">
        <f t="shared" si="699"/>
        <v>0.19497907949790794</v>
      </c>
      <c r="AQ236" s="907">
        <f t="shared" si="699"/>
        <v>0.18144833197721724</v>
      </c>
      <c r="AR236" s="908">
        <f t="shared" si="699"/>
        <v>0.18144833197721724</v>
      </c>
      <c r="AS236" s="905">
        <f t="shared" ca="1" si="697"/>
        <v>0.16173435094443639</v>
      </c>
      <c r="AT236" s="906">
        <f t="shared" ca="1" si="697"/>
        <v>0.15846892019213191</v>
      </c>
      <c r="AU236" s="906">
        <f t="shared" ca="1" si="697"/>
        <v>0.1638003252178741</v>
      </c>
      <c r="AV236" s="907">
        <f t="shared" ca="1" si="697"/>
        <v>0.17223553836985722</v>
      </c>
      <c r="AW236" s="908">
        <f t="shared" ca="1" si="697"/>
        <v>0.17223553836985725</v>
      </c>
      <c r="AX236" s="905">
        <f t="shared" ref="AX236:BG236" ca="1" si="700">AX226/AX212</f>
        <v>0.16839800361613919</v>
      </c>
      <c r="AY236" s="906">
        <f t="shared" ca="1" si="700"/>
        <v>0.1644042880530143</v>
      </c>
      <c r="AZ236" s="906">
        <f t="shared" ca="1" si="700"/>
        <v>0.16626626860201693</v>
      </c>
      <c r="BA236" s="907">
        <f t="shared" ca="1" si="700"/>
        <v>0.16930023098231964</v>
      </c>
      <c r="BB236" s="908">
        <f t="shared" ca="1" si="700"/>
        <v>0.16930023098231967</v>
      </c>
      <c r="BC236" s="905">
        <f t="shared" ca="1" si="700"/>
        <v>0.17221191419910398</v>
      </c>
      <c r="BD236" s="906">
        <f t="shared" ca="1" si="700"/>
        <v>0.17536714939865261</v>
      </c>
      <c r="BE236" s="906">
        <f t="shared" ca="1" si="700"/>
        <v>0.17695376396382345</v>
      </c>
      <c r="BF236" s="907">
        <f t="shared" ca="1" si="700"/>
        <v>0.179956447573967</v>
      </c>
      <c r="BG236" s="908">
        <f t="shared" ca="1" si="700"/>
        <v>0.17995644757396684</v>
      </c>
      <c r="BH236" s="905">
        <f t="shared" ref="BH236:BL236" ca="1" si="701">BH226/BH212</f>
        <v>0.17658611547732406</v>
      </c>
      <c r="BI236" s="906">
        <f t="shared" ca="1" si="701"/>
        <v>0.17375130718657214</v>
      </c>
      <c r="BJ236" s="906">
        <f t="shared" ca="1" si="701"/>
        <v>0.17354152864509562</v>
      </c>
      <c r="BK236" s="907">
        <f t="shared" ca="1" si="701"/>
        <v>0.17311904395621661</v>
      </c>
      <c r="BL236" s="908">
        <f t="shared" ca="1" si="701"/>
        <v>0.17311904395621661</v>
      </c>
      <c r="BM236" s="895"/>
      <c r="BN236" s="895"/>
      <c r="BO236" s="895"/>
      <c r="BP236" s="895"/>
      <c r="BQ236" s="895"/>
      <c r="BR236" s="895"/>
      <c r="BS236" s="895"/>
      <c r="BT236" s="895"/>
      <c r="BU236" s="895"/>
      <c r="BV236" s="895"/>
      <c r="BW236" s="895"/>
      <c r="BX236" s="895"/>
      <c r="BY236" s="895"/>
      <c r="BZ236" s="895"/>
      <c r="CA236" s="895"/>
      <c r="CB236" s="895"/>
      <c r="CC236" s="895"/>
      <c r="CD236" s="895"/>
      <c r="CE236" s="895"/>
      <c r="CF236" s="895"/>
      <c r="CG236" s="895"/>
      <c r="CH236" s="895"/>
      <c r="CI236" s="895"/>
      <c r="CJ236" s="895"/>
      <c r="CK236" s="895"/>
      <c r="CL236" s="895"/>
      <c r="CM236" s="895"/>
      <c r="CN236" s="895"/>
      <c r="CO236" s="895"/>
      <c r="CP236" s="895"/>
    </row>
    <row r="237" spans="1:94">
      <c r="A237" s="1716"/>
      <c r="B237" s="1716"/>
      <c r="C237" s="1716"/>
      <c r="D237" s="1716"/>
      <c r="E237" s="1717"/>
      <c r="F237" s="1718"/>
      <c r="G237" s="1718"/>
      <c r="H237" s="1719"/>
      <c r="I237" s="1716"/>
      <c r="J237" s="1717"/>
      <c r="K237" s="1718"/>
      <c r="L237" s="1718"/>
      <c r="M237" s="1719"/>
      <c r="N237" s="1716"/>
      <c r="O237" s="1717"/>
      <c r="P237" s="1718"/>
      <c r="Q237" s="1718"/>
      <c r="R237" s="1719"/>
      <c r="S237" s="1716"/>
      <c r="T237" s="1717"/>
      <c r="U237" s="1718"/>
      <c r="V237" s="1718"/>
      <c r="W237" s="1719"/>
      <c r="X237" s="1716"/>
      <c r="Y237" s="1717"/>
      <c r="Z237" s="1718"/>
      <c r="AA237" s="1718"/>
      <c r="AB237" s="1719"/>
      <c r="AC237" s="1716"/>
      <c r="AD237" s="1717"/>
      <c r="AE237" s="1718"/>
      <c r="AF237" s="1718"/>
      <c r="AG237" s="1719"/>
      <c r="AH237" s="1716"/>
      <c r="AI237" s="1717"/>
      <c r="AJ237" s="1718"/>
      <c r="AK237" s="1718"/>
      <c r="AL237" s="1719"/>
      <c r="AM237" s="1716"/>
      <c r="AN237" s="1717"/>
      <c r="AO237" s="1718"/>
      <c r="AP237" s="1718"/>
      <c r="AQ237" s="1719"/>
      <c r="AR237" s="1716"/>
      <c r="AS237" s="1717"/>
      <c r="AT237" s="1718"/>
      <c r="AU237" s="1718"/>
      <c r="AV237" s="1719"/>
      <c r="AW237" s="1716"/>
      <c r="AX237" s="1717"/>
      <c r="AY237" s="1718"/>
      <c r="AZ237" s="1718"/>
      <c r="BA237" s="1719"/>
      <c r="BB237" s="1716"/>
      <c r="BC237" s="1717"/>
      <c r="BD237" s="1718"/>
      <c r="BE237" s="1718"/>
      <c r="BF237" s="1719"/>
      <c r="BG237" s="1716"/>
      <c r="BH237" s="1717"/>
      <c r="BI237" s="1718"/>
      <c r="BJ237" s="1718"/>
      <c r="BK237" s="1719"/>
      <c r="BL237" s="1716"/>
      <c r="BM237" s="1716"/>
      <c r="BN237" s="1716"/>
      <c r="BO237" s="1716"/>
      <c r="BP237" s="1716"/>
      <c r="BQ237" s="1716"/>
      <c r="BR237" s="1716"/>
      <c r="BS237" s="1716"/>
      <c r="BT237" s="1716"/>
      <c r="BU237" s="1716"/>
      <c r="BV237" s="1716"/>
      <c r="BW237" s="1716"/>
      <c r="BX237" s="1716"/>
      <c r="BY237" s="1716"/>
      <c r="BZ237" s="1716"/>
      <c r="CA237" s="1716"/>
      <c r="CB237" s="1716"/>
      <c r="CC237" s="1716"/>
      <c r="CD237" s="1716"/>
      <c r="CE237" s="1716"/>
      <c r="CF237" s="1716"/>
      <c r="CG237" s="1716"/>
      <c r="CH237" s="1716"/>
      <c r="CI237" s="1716"/>
      <c r="CJ237" s="1716"/>
      <c r="CK237" s="1716"/>
      <c r="CL237" s="1716"/>
      <c r="CM237" s="1716"/>
      <c r="CN237" s="1716"/>
      <c r="CO237" s="1716"/>
      <c r="CP237" s="1716"/>
    </row>
    <row r="238" spans="1:94">
      <c r="A238" s="1716"/>
      <c r="B238" s="1716"/>
      <c r="C238" s="389" t="s">
        <v>201</v>
      </c>
      <c r="D238" s="1716"/>
      <c r="E238" s="1717"/>
      <c r="F238" s="1718"/>
      <c r="G238" s="1718"/>
      <c r="H238" s="1719"/>
      <c r="I238" s="1716"/>
      <c r="J238" s="1717"/>
      <c r="K238" s="1718"/>
      <c r="L238" s="1718"/>
      <c r="M238" s="1719"/>
      <c r="N238" s="1716"/>
      <c r="O238" s="1717"/>
      <c r="P238" s="1718"/>
      <c r="Q238" s="1718"/>
      <c r="R238" s="1719"/>
      <c r="S238" s="1716"/>
      <c r="T238" s="1717"/>
      <c r="U238" s="1718"/>
      <c r="V238" s="1718"/>
      <c r="W238" s="1719"/>
      <c r="X238" s="1716"/>
      <c r="Y238" s="1717"/>
      <c r="Z238" s="1718"/>
      <c r="AA238" s="1718"/>
      <c r="AB238" s="1719"/>
      <c r="AC238" s="1716"/>
      <c r="AD238" s="1717"/>
      <c r="AE238" s="1718"/>
      <c r="AF238" s="1718"/>
      <c r="AG238" s="1719"/>
      <c r="AH238" s="1716"/>
      <c r="AI238" s="1717"/>
      <c r="AJ238" s="1718"/>
      <c r="AK238" s="1718"/>
      <c r="AL238" s="1719"/>
      <c r="AM238" s="1716"/>
      <c r="AN238" s="1717"/>
      <c r="AO238" s="1718"/>
      <c r="AP238" s="1718"/>
      <c r="AQ238" s="1719"/>
      <c r="AR238" s="1716"/>
      <c r="AS238" s="1717"/>
      <c r="AT238" s="1718"/>
      <c r="AU238" s="1718"/>
      <c r="AV238" s="1719"/>
      <c r="AW238" s="1716"/>
      <c r="AX238" s="1717"/>
      <c r="AY238" s="1718"/>
      <c r="AZ238" s="1718"/>
      <c r="BA238" s="1719"/>
      <c r="BB238" s="1716"/>
      <c r="BC238" s="1717"/>
      <c r="BD238" s="1718"/>
      <c r="BE238" s="1718"/>
      <c r="BF238" s="1719"/>
      <c r="BG238" s="1716"/>
      <c r="BH238" s="1717"/>
      <c r="BI238" s="1718"/>
      <c r="BJ238" s="1718"/>
      <c r="BK238" s="1719"/>
      <c r="BL238" s="1716"/>
      <c r="BM238" s="1716"/>
      <c r="BN238" s="1716"/>
      <c r="BO238" s="1716"/>
      <c r="BP238" s="1716"/>
      <c r="BQ238" s="1716"/>
      <c r="BR238" s="1716"/>
      <c r="BS238" s="1716"/>
      <c r="BT238" s="1716"/>
      <c r="BU238" s="1716"/>
      <c r="BV238" s="1716"/>
      <c r="BW238" s="1716"/>
      <c r="BX238" s="1716"/>
      <c r="BY238" s="1716"/>
      <c r="BZ238" s="1716"/>
      <c r="CA238" s="1716"/>
      <c r="CB238" s="1716"/>
      <c r="CC238" s="1716"/>
      <c r="CD238" s="1716"/>
      <c r="CE238" s="1716"/>
      <c r="CF238" s="1716"/>
      <c r="CG238" s="1716"/>
      <c r="CH238" s="1716"/>
      <c r="CI238" s="1716"/>
      <c r="CJ238" s="1716"/>
      <c r="CK238" s="1716"/>
      <c r="CL238" s="1716"/>
      <c r="CM238" s="1716"/>
      <c r="CN238" s="1716"/>
      <c r="CO238" s="1716"/>
      <c r="CP238" s="1716"/>
    </row>
    <row r="239" spans="1:94">
      <c r="A239" s="1716"/>
      <c r="B239" s="1716"/>
      <c r="C239" s="1716" t="s">
        <v>279</v>
      </c>
      <c r="D239" s="1716"/>
      <c r="E239" s="1779"/>
      <c r="F239" s="1780"/>
      <c r="G239" s="1780"/>
      <c r="H239" s="1781"/>
      <c r="I239" s="1782">
        <f>(I226+I229)/I229</f>
        <v>3.5384615384615383</v>
      </c>
      <c r="J239" s="1779"/>
      <c r="K239" s="1780"/>
      <c r="L239" s="1780"/>
      <c r="M239" s="1781"/>
      <c r="N239" s="1782">
        <f t="shared" ref="N239:AW239" si="702">(N226+N229)/N229</f>
        <v>3.5072463768115942</v>
      </c>
      <c r="O239" s="1779">
        <f t="shared" si="702"/>
        <v>3.3098591549295775</v>
      </c>
      <c r="P239" s="1780">
        <f t="shared" si="702"/>
        <v>3.1690140845070425</v>
      </c>
      <c r="Q239" s="1780">
        <f t="shared" si="702"/>
        <v>3.1857142857142855</v>
      </c>
      <c r="R239" s="1781">
        <f t="shared" si="702"/>
        <v>3.2714285714285714</v>
      </c>
      <c r="S239" s="1782">
        <f t="shared" si="702"/>
        <v>3.2714285714285714</v>
      </c>
      <c r="T239" s="1779">
        <f t="shared" si="702"/>
        <v>3.4428571428571431</v>
      </c>
      <c r="U239" s="1780">
        <f t="shared" si="702"/>
        <v>3.4142857142857141</v>
      </c>
      <c r="V239" s="1780">
        <f t="shared" si="702"/>
        <v>3.5</v>
      </c>
      <c r="W239" s="1781">
        <f t="shared" si="702"/>
        <v>3.7352941176470589</v>
      </c>
      <c r="X239" s="1782">
        <f t="shared" si="702"/>
        <v>3.7352941176470589</v>
      </c>
      <c r="Y239" s="1779">
        <f t="shared" si="702"/>
        <v>3.9090909090909092</v>
      </c>
      <c r="Z239" s="1780">
        <f t="shared" si="702"/>
        <v>4.0625</v>
      </c>
      <c r="AA239" s="1780">
        <f t="shared" si="702"/>
        <v>4.1428571428571432</v>
      </c>
      <c r="AB239" s="1781">
        <f t="shared" si="702"/>
        <v>4.2063492063492065</v>
      </c>
      <c r="AC239" s="1782">
        <f t="shared" si="702"/>
        <v>4.2063492063492065</v>
      </c>
      <c r="AD239" s="1779">
        <f t="shared" si="702"/>
        <v>4.1904761904761907</v>
      </c>
      <c r="AE239" s="1780">
        <f t="shared" si="702"/>
        <v>4.296875</v>
      </c>
      <c r="AF239" s="1780">
        <f t="shared" si="702"/>
        <v>4.2153846153846155</v>
      </c>
      <c r="AG239" s="1781">
        <f t="shared" si="702"/>
        <v>4.34375</v>
      </c>
      <c r="AH239" s="1782">
        <f t="shared" si="702"/>
        <v>4.34375</v>
      </c>
      <c r="AI239" s="1779">
        <f t="shared" ref="AI239" si="703">(AI226+AI229)/AI229</f>
        <v>2.6461538461538461</v>
      </c>
      <c r="AJ239" s="1780">
        <f t="shared" si="702"/>
        <v>2.53125</v>
      </c>
      <c r="AK239" s="1780">
        <f t="shared" si="702"/>
        <v>3.1129032258064515</v>
      </c>
      <c r="AL239" s="1781">
        <f t="shared" si="702"/>
        <v>2.9838709677419355</v>
      </c>
      <c r="AM239" s="1782">
        <f t="shared" si="702"/>
        <v>2.9838709677419355</v>
      </c>
      <c r="AN239" s="1779">
        <f t="shared" si="702"/>
        <v>5.0327868852459012</v>
      </c>
      <c r="AO239" s="1780">
        <f t="shared" ref="AO239:AR239" si="704">(AO226+AO229)/AO229</f>
        <v>5.1166666666666663</v>
      </c>
      <c r="AP239" s="1780">
        <f t="shared" si="704"/>
        <v>4.8833333333333337</v>
      </c>
      <c r="AQ239" s="1781">
        <f t="shared" si="704"/>
        <v>4.6557377049180326</v>
      </c>
      <c r="AR239" s="1782">
        <f t="shared" si="704"/>
        <v>4.6557377049180326</v>
      </c>
      <c r="AS239" s="1779">
        <f t="shared" si="702"/>
        <v>4.3175884844582555</v>
      </c>
      <c r="AT239" s="1780">
        <f t="shared" ca="1" si="702"/>
        <v>4.3183260307913454</v>
      </c>
      <c r="AU239" s="1780">
        <f t="shared" ca="1" si="702"/>
        <v>4.4152655326647903</v>
      </c>
      <c r="AV239" s="1781">
        <f t="shared" ca="1" si="702"/>
        <v>4.6024982325720236</v>
      </c>
      <c r="AW239" s="1782">
        <f t="shared" ca="1" si="702"/>
        <v>4.6024982325720245</v>
      </c>
      <c r="AX239" s="1779">
        <f t="shared" ref="AX239:BG239" ca="1" si="705">(AX226+AX229)/AX229</f>
        <v>4.619581999649613</v>
      </c>
      <c r="AY239" s="1780">
        <f t="shared" ca="1" si="705"/>
        <v>4.6375939974507059</v>
      </c>
      <c r="AZ239" s="1780">
        <f t="shared" ca="1" si="705"/>
        <v>4.6343430173108082</v>
      </c>
      <c r="BA239" s="1781">
        <f t="shared" ca="1" si="705"/>
        <v>4.6528541664116148</v>
      </c>
      <c r="BB239" s="1782">
        <f t="shared" ca="1" si="705"/>
        <v>4.6528541664116156</v>
      </c>
      <c r="BC239" s="1779">
        <f t="shared" ca="1" si="705"/>
        <v>4.7532374177751731</v>
      </c>
      <c r="BD239" s="1780">
        <f t="shared" ca="1" si="705"/>
        <v>4.8538033982040112</v>
      </c>
      <c r="BE239" s="1780">
        <f t="shared" ca="1" si="705"/>
        <v>4.8484529910056642</v>
      </c>
      <c r="BF239" s="1781">
        <f t="shared" ca="1" si="705"/>
        <v>4.8679572901288042</v>
      </c>
      <c r="BG239" s="1782">
        <f t="shared" ca="1" si="705"/>
        <v>4.8679572901288006</v>
      </c>
      <c r="BH239" s="1779">
        <f t="shared" ref="BH239:BL239" ca="1" si="706">(BH226+BH229)/BH229</f>
        <v>4.8067461538115461</v>
      </c>
      <c r="BI239" s="1780">
        <f t="shared" ca="1" si="706"/>
        <v>4.7522854101993781</v>
      </c>
      <c r="BJ239" s="1780">
        <f t="shared" ca="1" si="706"/>
        <v>4.6919125243828468</v>
      </c>
      <c r="BK239" s="1781">
        <f t="shared" ca="1" si="706"/>
        <v>4.6547876242035615</v>
      </c>
      <c r="BL239" s="1782">
        <f t="shared" ca="1" si="706"/>
        <v>4.6547876242035615</v>
      </c>
      <c r="BM239" s="1716"/>
      <c r="BN239" s="1716"/>
      <c r="BO239" s="1716"/>
      <c r="BP239" s="1716"/>
      <c r="BQ239" s="1716"/>
      <c r="BR239" s="1716"/>
      <c r="BS239" s="1716"/>
      <c r="BT239" s="1716"/>
      <c r="BU239" s="1716"/>
      <c r="BV239" s="1716"/>
      <c r="BW239" s="1716"/>
      <c r="BX239" s="1716"/>
      <c r="BY239" s="1716"/>
      <c r="BZ239" s="1716"/>
      <c r="CA239" s="1716"/>
      <c r="CB239" s="1716"/>
      <c r="CC239" s="1716"/>
      <c r="CD239" s="1716"/>
      <c r="CE239" s="1716"/>
      <c r="CF239" s="1716"/>
      <c r="CG239" s="1716"/>
      <c r="CH239" s="1716"/>
      <c r="CI239" s="1716"/>
      <c r="CJ239" s="1716"/>
      <c r="CK239" s="1716"/>
      <c r="CL239" s="1716"/>
      <c r="CM239" s="1716"/>
      <c r="CN239" s="1716"/>
      <c r="CO239" s="1716"/>
      <c r="CP239" s="1716"/>
    </row>
    <row r="240" spans="1:94">
      <c r="A240" s="1716"/>
      <c r="B240" s="1716"/>
      <c r="C240" s="1716" t="s">
        <v>280</v>
      </c>
      <c r="D240" s="1716"/>
      <c r="E240" s="1779"/>
      <c r="F240" s="1780"/>
      <c r="G240" s="1780"/>
      <c r="H240" s="1781"/>
      <c r="I240" s="1782">
        <f>I227/I229</f>
        <v>2.476923076923077</v>
      </c>
      <c r="J240" s="1779"/>
      <c r="K240" s="1780"/>
      <c r="L240" s="1780"/>
      <c r="M240" s="1781"/>
      <c r="N240" s="1782">
        <f t="shared" ref="N240:AW240" si="707">N227/N229</f>
        <v>2.0434782608695654</v>
      </c>
      <c r="O240" s="1779">
        <f t="shared" si="707"/>
        <v>1.8732394366197183</v>
      </c>
      <c r="P240" s="1780">
        <f t="shared" si="707"/>
        <v>1.7464788732394365</v>
      </c>
      <c r="Q240" s="1780">
        <f t="shared" si="707"/>
        <v>1.7428571428571429</v>
      </c>
      <c r="R240" s="1781">
        <f t="shared" si="707"/>
        <v>1.7571428571428571</v>
      </c>
      <c r="S240" s="1782">
        <f t="shared" si="707"/>
        <v>1.7571428571428571</v>
      </c>
      <c r="T240" s="1779">
        <f t="shared" si="707"/>
        <v>1.8571428571428572</v>
      </c>
      <c r="U240" s="1780">
        <f t="shared" si="707"/>
        <v>1.6857142857142857</v>
      </c>
      <c r="V240" s="1780">
        <f t="shared" si="707"/>
        <v>1.7571428571428571</v>
      </c>
      <c r="W240" s="1781">
        <f t="shared" si="707"/>
        <v>2.0147058823529411</v>
      </c>
      <c r="X240" s="1782">
        <f t="shared" si="707"/>
        <v>2.0147058823529411</v>
      </c>
      <c r="Y240" s="1779">
        <f t="shared" si="707"/>
        <v>2.1666666666666665</v>
      </c>
      <c r="Z240" s="1780">
        <f t="shared" si="707"/>
        <v>2.1875</v>
      </c>
      <c r="AA240" s="1780">
        <f t="shared" si="707"/>
        <v>2.1904761904761907</v>
      </c>
      <c r="AB240" s="1781">
        <f t="shared" si="707"/>
        <v>2.1587301587301586</v>
      </c>
      <c r="AC240" s="1782">
        <f t="shared" si="707"/>
        <v>2.1587301587301586</v>
      </c>
      <c r="AD240" s="1779">
        <f t="shared" si="707"/>
        <v>2</v>
      </c>
      <c r="AE240" s="1780">
        <f t="shared" si="707"/>
        <v>2.09375</v>
      </c>
      <c r="AF240" s="1780">
        <f t="shared" si="707"/>
        <v>1.8307692307692307</v>
      </c>
      <c r="AG240" s="1781">
        <f t="shared" si="707"/>
        <v>2.078125</v>
      </c>
      <c r="AH240" s="1782">
        <f t="shared" si="707"/>
        <v>2.078125</v>
      </c>
      <c r="AI240" s="1779">
        <f t="shared" ref="AI240" si="708">AI227/AI229</f>
        <v>-7.6923076923076927E-2</v>
      </c>
      <c r="AJ240" s="1780">
        <f t="shared" si="707"/>
        <v>-0.28125</v>
      </c>
      <c r="AK240" s="1780">
        <f t="shared" si="707"/>
        <v>0.46774193548387094</v>
      </c>
      <c r="AL240" s="1781">
        <f t="shared" si="707"/>
        <v>0.25806451612903225</v>
      </c>
      <c r="AM240" s="1782">
        <f t="shared" si="707"/>
        <v>0.25806451612903225</v>
      </c>
      <c r="AN240" s="1779">
        <f t="shared" si="707"/>
        <v>2.622950819672131</v>
      </c>
      <c r="AO240" s="1780">
        <f t="shared" ref="AO240:AR240" si="709">AO227/AO229</f>
        <v>2.7666666666666666</v>
      </c>
      <c r="AP240" s="1780">
        <f t="shared" si="709"/>
        <v>2.6833333333333331</v>
      </c>
      <c r="AQ240" s="1781">
        <f t="shared" si="709"/>
        <v>2.6885245901639343</v>
      </c>
      <c r="AR240" s="1782">
        <f t="shared" si="709"/>
        <v>2.6885245901639343</v>
      </c>
      <c r="AS240" s="1779">
        <f t="shared" si="707"/>
        <v>2.7080061202552166</v>
      </c>
      <c r="AT240" s="1780">
        <f t="shared" ca="1" si="707"/>
        <v>2.7682922041736044</v>
      </c>
      <c r="AU240" s="1780">
        <f t="shared" ca="1" si="707"/>
        <v>2.8739981495042444</v>
      </c>
      <c r="AV240" s="1781">
        <f t="shared" ca="1" si="707"/>
        <v>2.8605326286152035</v>
      </c>
      <c r="AW240" s="1782">
        <f t="shared" ca="1" si="707"/>
        <v>2.8605326286152044</v>
      </c>
      <c r="AX240" s="1779">
        <f t="shared" ref="AX240:BG240" ca="1" si="710">AX227/AX229</f>
        <v>2.8952303879757082</v>
      </c>
      <c r="AY240" s="1780">
        <f t="shared" ca="1" si="710"/>
        <v>2.9251777878294156</v>
      </c>
      <c r="AZ240" s="1780">
        <f t="shared" ca="1" si="710"/>
        <v>2.9975553710024263</v>
      </c>
      <c r="BA240" s="1781">
        <f t="shared" ca="1" si="710"/>
        <v>3.0780705149648919</v>
      </c>
      <c r="BB240" s="1782">
        <f t="shared" ca="1" si="710"/>
        <v>3.0780705149648919</v>
      </c>
      <c r="BC240" s="1779">
        <f t="shared" ca="1" si="710"/>
        <v>3.1864104443931596</v>
      </c>
      <c r="BD240" s="1780">
        <f t="shared" ca="1" si="710"/>
        <v>3.2994607071392221</v>
      </c>
      <c r="BE240" s="1780">
        <f t="shared" ca="1" si="710"/>
        <v>3.2991321789113943</v>
      </c>
      <c r="BF240" s="1781">
        <f t="shared" ca="1" si="710"/>
        <v>3.3127746234493194</v>
      </c>
      <c r="BG240" s="1782">
        <f t="shared" ca="1" si="710"/>
        <v>3.3127746234493167</v>
      </c>
      <c r="BH240" s="1779">
        <f t="shared" ref="BH240:BL240" ca="1" si="711">BH227/BH229</f>
        <v>3.3246208109338089</v>
      </c>
      <c r="BI240" s="1780">
        <f t="shared" ca="1" si="711"/>
        <v>3.3376861250814289</v>
      </c>
      <c r="BJ240" s="1780">
        <f t="shared" ca="1" si="711"/>
        <v>3.3506859419493433</v>
      </c>
      <c r="BK240" s="1781">
        <f t="shared" ca="1" si="711"/>
        <v>3.3838410149563436</v>
      </c>
      <c r="BL240" s="1782">
        <f t="shared" ca="1" si="711"/>
        <v>3.383841014956344</v>
      </c>
      <c r="BM240" s="1716"/>
      <c r="BN240" s="1716"/>
      <c r="BO240" s="1716"/>
      <c r="BP240" s="1716"/>
      <c r="BQ240" s="1716"/>
      <c r="BR240" s="1716"/>
      <c r="BS240" s="1716"/>
      <c r="BT240" s="1716"/>
      <c r="BU240" s="1716"/>
      <c r="BV240" s="1716"/>
      <c r="BW240" s="1716"/>
      <c r="BX240" s="1716"/>
      <c r="BY240" s="1716"/>
      <c r="BZ240" s="1716"/>
      <c r="CA240" s="1716"/>
      <c r="CB240" s="1716"/>
      <c r="CC240" s="1716"/>
      <c r="CD240" s="1716"/>
      <c r="CE240" s="1716"/>
      <c r="CF240" s="1716"/>
      <c r="CG240" s="1716"/>
      <c r="CH240" s="1716"/>
      <c r="CI240" s="1716"/>
      <c r="CJ240" s="1716"/>
      <c r="CK240" s="1716"/>
      <c r="CL240" s="1716"/>
      <c r="CM240" s="1716"/>
      <c r="CN240" s="1716"/>
      <c r="CO240" s="1716"/>
      <c r="CP240" s="1716"/>
    </row>
    <row r="241" spans="1:94">
      <c r="A241" s="1716"/>
      <c r="B241" s="1716"/>
      <c r="C241" s="1716"/>
      <c r="D241" s="1716"/>
      <c r="E241" s="1717"/>
      <c r="F241" s="1718"/>
      <c r="G241" s="1718"/>
      <c r="H241" s="1719"/>
      <c r="I241" s="1716"/>
      <c r="J241" s="1717"/>
      <c r="K241" s="1718"/>
      <c r="L241" s="1718"/>
      <c r="M241" s="1719"/>
      <c r="N241" s="1716"/>
      <c r="O241" s="1717"/>
      <c r="P241" s="1718"/>
      <c r="Q241" s="1718"/>
      <c r="R241" s="1719"/>
      <c r="S241" s="1716"/>
      <c r="T241" s="1717"/>
      <c r="U241" s="1718"/>
      <c r="V241" s="1718"/>
      <c r="W241" s="1719"/>
      <c r="X241" s="1716"/>
      <c r="Y241" s="1717"/>
      <c r="Z241" s="1718"/>
      <c r="AA241" s="1718"/>
      <c r="AB241" s="1719"/>
      <c r="AC241" s="1716"/>
      <c r="AD241" s="1717"/>
      <c r="AE241" s="1718"/>
      <c r="AF241" s="1718"/>
      <c r="AG241" s="1719"/>
      <c r="AH241" s="1716"/>
      <c r="AI241" s="1717"/>
      <c r="AJ241" s="1718"/>
      <c r="AK241" s="1718"/>
      <c r="AL241" s="1719"/>
      <c r="AM241" s="1716"/>
      <c r="AN241" s="1717"/>
      <c r="AO241" s="1718"/>
      <c r="AP241" s="1718"/>
      <c r="AQ241" s="1719"/>
      <c r="AR241" s="1716"/>
      <c r="AS241" s="1717"/>
      <c r="AT241" s="1718"/>
      <c r="AU241" s="1718"/>
      <c r="AV241" s="1719"/>
      <c r="AW241" s="1716"/>
      <c r="AX241" s="1717"/>
      <c r="AY241" s="1718"/>
      <c r="AZ241" s="1718"/>
      <c r="BA241" s="1719"/>
      <c r="BB241" s="1716"/>
      <c r="BC241" s="1717"/>
      <c r="BD241" s="1718"/>
      <c r="BE241" s="1718"/>
      <c r="BF241" s="1719"/>
      <c r="BG241" s="1716"/>
      <c r="BH241" s="1717"/>
      <c r="BI241" s="1718"/>
      <c r="BJ241" s="1718"/>
      <c r="BK241" s="1719"/>
      <c r="BL241" s="1716"/>
      <c r="BM241" s="1716"/>
      <c r="BN241" s="1716"/>
      <c r="BO241" s="1716"/>
      <c r="BP241" s="1716"/>
      <c r="BQ241" s="1716"/>
      <c r="BR241" s="1716"/>
      <c r="BS241" s="1716"/>
      <c r="BT241" s="1716"/>
      <c r="BU241" s="1716"/>
      <c r="BV241" s="1716"/>
      <c r="BW241" s="1716"/>
      <c r="BX241" s="1716"/>
      <c r="BY241" s="1716"/>
      <c r="BZ241" s="1716"/>
      <c r="CA241" s="1716"/>
      <c r="CB241" s="1716"/>
      <c r="CC241" s="1716"/>
      <c r="CD241" s="1716"/>
      <c r="CE241" s="1716"/>
      <c r="CF241" s="1716"/>
      <c r="CG241" s="1716"/>
      <c r="CH241" s="1716"/>
      <c r="CI241" s="1716"/>
      <c r="CJ241" s="1716"/>
      <c r="CK241" s="1716"/>
      <c r="CL241" s="1716"/>
      <c r="CM241" s="1716"/>
      <c r="CN241" s="1716"/>
      <c r="CO241" s="1716"/>
      <c r="CP241" s="1716"/>
    </row>
    <row r="242" spans="1:94">
      <c r="A242" s="1716"/>
      <c r="B242" s="1716"/>
      <c r="C242" s="1716"/>
      <c r="D242" s="1716"/>
      <c r="E242" s="1717"/>
      <c r="F242" s="1718"/>
      <c r="G242" s="1718"/>
      <c r="H242" s="1719"/>
      <c r="I242" s="1716"/>
      <c r="J242" s="1717"/>
      <c r="K242" s="1718"/>
      <c r="L242" s="1718"/>
      <c r="M242" s="1719"/>
      <c r="N242" s="1716"/>
      <c r="O242" s="1717"/>
      <c r="P242" s="1718"/>
      <c r="Q242" s="1718"/>
      <c r="R242" s="1719"/>
      <c r="S242" s="1716"/>
      <c r="T242" s="1717"/>
      <c r="U242" s="1718"/>
      <c r="V242" s="1718"/>
      <c r="W242" s="1719"/>
      <c r="X242" s="1716"/>
      <c r="Y242" s="1717"/>
      <c r="Z242" s="1718"/>
      <c r="AA242" s="1718"/>
      <c r="AB242" s="1719"/>
      <c r="AC242" s="1716"/>
      <c r="AD242" s="1717"/>
      <c r="AE242" s="1718"/>
      <c r="AF242" s="1718"/>
      <c r="AG242" s="1719"/>
      <c r="AH242" s="1716"/>
      <c r="AI242" s="1717"/>
      <c r="AJ242" s="1718"/>
      <c r="AK242" s="1718"/>
      <c r="AL242" s="1719"/>
      <c r="AM242" s="1716"/>
      <c r="AN242" s="1717"/>
      <c r="AO242" s="1718"/>
      <c r="AP242" s="1718"/>
      <c r="AQ242" s="1719"/>
      <c r="AR242" s="1716"/>
      <c r="AS242" s="1717"/>
      <c r="AT242" s="1718"/>
      <c r="AU242" s="1718"/>
      <c r="AV242" s="1719"/>
      <c r="AW242" s="1716"/>
      <c r="AX242" s="1717"/>
      <c r="AY242" s="1718"/>
      <c r="AZ242" s="1718"/>
      <c r="BA242" s="1719"/>
      <c r="BB242" s="1716"/>
      <c r="BC242" s="1717"/>
      <c r="BD242" s="1718"/>
      <c r="BE242" s="1718"/>
      <c r="BF242" s="1719"/>
      <c r="BG242" s="1716"/>
      <c r="BH242" s="1717"/>
      <c r="BI242" s="1718"/>
      <c r="BJ242" s="1718"/>
      <c r="BK242" s="1719"/>
      <c r="BL242" s="1716"/>
      <c r="BM242" s="1716"/>
      <c r="BN242" s="1716"/>
      <c r="BO242" s="1716"/>
      <c r="BP242" s="1716"/>
      <c r="BQ242" s="1716"/>
      <c r="BR242" s="1716"/>
      <c r="BS242" s="1716"/>
      <c r="BT242" s="1716"/>
      <c r="BU242" s="1716"/>
      <c r="BV242" s="1716"/>
      <c r="BW242" s="1716"/>
      <c r="BX242" s="1716"/>
      <c r="BY242" s="1716"/>
      <c r="BZ242" s="1716"/>
      <c r="CA242" s="1716"/>
      <c r="CB242" s="1716"/>
      <c r="CC242" s="1716"/>
      <c r="CD242" s="1716"/>
      <c r="CE242" s="1716"/>
      <c r="CF242" s="1716"/>
      <c r="CG242" s="1716"/>
      <c r="CH242" s="1716"/>
      <c r="CI242" s="1716"/>
      <c r="CJ242" s="1716"/>
      <c r="CK242" s="1716"/>
      <c r="CL242" s="1716"/>
      <c r="CM242" s="1716"/>
      <c r="CN242" s="1716"/>
      <c r="CO242" s="1716"/>
      <c r="CP242" s="1716"/>
    </row>
    <row r="243" spans="1:94">
      <c r="A243" s="1716"/>
      <c r="B243" s="1771" t="s">
        <v>156</v>
      </c>
      <c r="C243" s="1772"/>
      <c r="D243" s="1773"/>
      <c r="E243" s="1717"/>
      <c r="F243" s="1718"/>
      <c r="G243" s="1718"/>
      <c r="H243" s="1719"/>
      <c r="I243" s="1716"/>
      <c r="J243" s="1717"/>
      <c r="K243" s="1718"/>
      <c r="L243" s="1718"/>
      <c r="M243" s="1719"/>
      <c r="N243" s="1716"/>
      <c r="O243" s="1717"/>
      <c r="P243" s="1718"/>
      <c r="Q243" s="1718"/>
      <c r="R243" s="1719"/>
      <c r="S243" s="1716"/>
      <c r="T243" s="1717"/>
      <c r="U243" s="1718"/>
      <c r="V243" s="1718"/>
      <c r="W243" s="1719"/>
      <c r="X243" s="1716"/>
      <c r="Y243" s="1717"/>
      <c r="Z243" s="1718"/>
      <c r="AA243" s="1718"/>
      <c r="AB243" s="1719"/>
      <c r="AC243" s="1716"/>
      <c r="AD243" s="1717"/>
      <c r="AE243" s="1718"/>
      <c r="AF243" s="1718"/>
      <c r="AG243" s="1719"/>
      <c r="AH243" s="1716"/>
      <c r="AI243" s="1717"/>
      <c r="AJ243" s="1718"/>
      <c r="AK243" s="1718"/>
      <c r="AL243" s="1719"/>
      <c r="AM243" s="1716"/>
      <c r="AN243" s="1717"/>
      <c r="AO243" s="1718"/>
      <c r="AP243" s="1718"/>
      <c r="AQ243" s="1719"/>
      <c r="AR243" s="1716"/>
      <c r="AS243" s="1717"/>
      <c r="AT243" s="1718"/>
      <c r="AU243" s="1718"/>
      <c r="AV243" s="1719"/>
      <c r="AW243" s="1716"/>
      <c r="AX243" s="1717"/>
      <c r="AY243" s="1718"/>
      <c r="AZ243" s="1718"/>
      <c r="BA243" s="1719"/>
      <c r="BB243" s="1716"/>
      <c r="BC243" s="1717"/>
      <c r="BD243" s="1718"/>
      <c r="BE243" s="1718"/>
      <c r="BF243" s="1719"/>
      <c r="BG243" s="1716"/>
      <c r="BH243" s="1717"/>
      <c r="BI243" s="1718"/>
      <c r="BJ243" s="1718"/>
      <c r="BK243" s="1719"/>
      <c r="BL243" s="1716"/>
      <c r="BM243" s="1716"/>
      <c r="BN243" s="1716"/>
      <c r="BO243" s="1716"/>
      <c r="BP243" s="1716"/>
      <c r="BQ243" s="1716"/>
      <c r="BR243" s="1716"/>
      <c r="BS243" s="1716"/>
      <c r="BT243" s="1716"/>
      <c r="BU243" s="1716"/>
      <c r="BV243" s="1716"/>
      <c r="BW243" s="1716"/>
      <c r="BX243" s="1716"/>
      <c r="BY243" s="1716"/>
      <c r="BZ243" s="1716"/>
      <c r="CA243" s="1716"/>
      <c r="CB243" s="1716"/>
      <c r="CC243" s="1716"/>
      <c r="CD243" s="1716"/>
      <c r="CE243" s="1716"/>
      <c r="CF243" s="1716"/>
      <c r="CG243" s="1716"/>
      <c r="CH243" s="1716"/>
      <c r="CI243" s="1716"/>
      <c r="CJ243" s="1716"/>
      <c r="CK243" s="1716"/>
      <c r="CL243" s="1716"/>
      <c r="CM243" s="1716"/>
      <c r="CN243" s="1716"/>
      <c r="CO243" s="1716"/>
      <c r="CP243" s="1716"/>
    </row>
    <row r="244" spans="1:94">
      <c r="A244" s="45"/>
      <c r="B244" s="45"/>
      <c r="C244" s="389" t="s">
        <v>403</v>
      </c>
      <c r="D244" s="45"/>
      <c r="E244" s="295"/>
      <c r="F244" s="261"/>
      <c r="G244" s="261"/>
      <c r="H244" s="293"/>
      <c r="I244" s="228">
        <f>I249-SUM(I245:I248)</f>
        <v>1281.7175</v>
      </c>
      <c r="J244" s="292">
        <f>+I249</f>
        <v>1325.7175</v>
      </c>
      <c r="K244" s="261">
        <f>+J249</f>
        <v>1321.105</v>
      </c>
      <c r="L244" s="261">
        <f>+K249</f>
        <v>1320.4925000000001</v>
      </c>
      <c r="M244" s="293">
        <f>+L249</f>
        <v>1321.88</v>
      </c>
      <c r="N244" s="228">
        <f>N249-SUM(N245:N248)</f>
        <v>1325.7175</v>
      </c>
      <c r="O244" s="292">
        <f>+N249</f>
        <v>1349.2674999999999</v>
      </c>
      <c r="P244" s="261">
        <f>+O249</f>
        <v>1314.2006249999999</v>
      </c>
      <c r="Q244" s="261">
        <f>+P249</f>
        <v>1368.13375</v>
      </c>
      <c r="R244" s="293">
        <f>+Q249</f>
        <v>1407.066875</v>
      </c>
      <c r="S244" s="228">
        <f>S249-SUM(S245:S248)</f>
        <v>1349.2674999999999</v>
      </c>
      <c r="T244" s="292">
        <f>+S249</f>
        <v>1467</v>
      </c>
      <c r="U244" s="261">
        <f>+T249</f>
        <v>1516.933125</v>
      </c>
      <c r="V244" s="261">
        <f>+U249</f>
        <v>1541.86625</v>
      </c>
      <c r="W244" s="293">
        <f>+V249</f>
        <v>1553.7993750000001</v>
      </c>
      <c r="X244" s="228">
        <f>+S249</f>
        <v>1467</v>
      </c>
      <c r="Y244" s="292">
        <f>+X249</f>
        <v>1574.7325000000001</v>
      </c>
      <c r="Z244" s="261">
        <f>+Y249</f>
        <v>1591.6656250000001</v>
      </c>
      <c r="AA244" s="261">
        <f>+Z249</f>
        <v>1610.5987500000001</v>
      </c>
      <c r="AB244" s="293">
        <f>+AA249</f>
        <v>1614.5318750000001</v>
      </c>
      <c r="AC244" s="228">
        <f>+X249</f>
        <v>1574.7325000000001</v>
      </c>
      <c r="AD244" s="292">
        <f>+AC249</f>
        <v>1641.4650000000001</v>
      </c>
      <c r="AE244" s="261">
        <f>+AD249</f>
        <v>1659.3981250000002</v>
      </c>
      <c r="AF244" s="261">
        <f>+AE249</f>
        <v>1702.3312500000002</v>
      </c>
      <c r="AG244" s="293">
        <f>+AF249</f>
        <v>1738.2643750000002</v>
      </c>
      <c r="AH244" s="228">
        <f>+AC249</f>
        <v>1641.4650000000001</v>
      </c>
      <c r="AI244" s="292">
        <f>+AH249</f>
        <v>1771.1975000000002</v>
      </c>
      <c r="AJ244" s="261">
        <f>+AI249</f>
        <v>1844.1306250000002</v>
      </c>
      <c r="AK244" s="261">
        <f>+AJ249</f>
        <v>1870.0637500000003</v>
      </c>
      <c r="AL244" s="293">
        <f>+AK249</f>
        <v>1850.9968750000003</v>
      </c>
      <c r="AM244" s="228">
        <f>+AH249</f>
        <v>1771.1975000000002</v>
      </c>
      <c r="AN244" s="292">
        <f>+AM249</f>
        <v>1900.9300000000003</v>
      </c>
      <c r="AO244" s="261">
        <f>+AN249</f>
        <v>1869.8631250000003</v>
      </c>
      <c r="AP244" s="261">
        <f t="shared" ref="AP244" si="712">+AO249</f>
        <v>1929.7962500000003</v>
      </c>
      <c r="AQ244" s="293">
        <f>+AP249</f>
        <v>1928.7293750000003</v>
      </c>
      <c r="AR244" s="228">
        <f>+AM249</f>
        <v>1900.9300000000003</v>
      </c>
      <c r="AS244" s="292">
        <f>+AR249</f>
        <v>1970.6625000000004</v>
      </c>
      <c r="AT244" s="261">
        <f>+AS249</f>
        <v>2041.6223472904378</v>
      </c>
      <c r="AU244" s="261">
        <f>+AT249</f>
        <v>2112.2621242533301</v>
      </c>
      <c r="AV244" s="293">
        <f>+AU249</f>
        <v>2182.3214500419372</v>
      </c>
      <c r="AW244" s="228">
        <f>+AR249</f>
        <v>1970.6625000000004</v>
      </c>
      <c r="AX244" s="292">
        <f ca="1">+AW249</f>
        <v>2225.0148166076679</v>
      </c>
      <c r="AY244" s="261">
        <f ca="1">+AX249</f>
        <v>2331.4577433417626</v>
      </c>
      <c r="AZ244" s="261">
        <f ca="1">+AY249</f>
        <v>2387.2149103489023</v>
      </c>
      <c r="BA244" s="293">
        <f ca="1">+AZ249</f>
        <v>2442.5018527000784</v>
      </c>
      <c r="BB244" s="228">
        <f ca="1">+AW249</f>
        <v>2225.0148166076679</v>
      </c>
      <c r="BC244" s="292">
        <f ca="1">+BB249</f>
        <v>2491.2719003346824</v>
      </c>
      <c r="BD244" s="261">
        <f ca="1">+BC249</f>
        <v>2566.5196379316471</v>
      </c>
      <c r="BE244" s="261">
        <f ca="1">+BD249</f>
        <v>2611.3150864715253</v>
      </c>
      <c r="BF244" s="293">
        <f ca="1">+BE249</f>
        <v>2655.6625213605225</v>
      </c>
      <c r="BG244" s="228">
        <f ca="1">+BB249</f>
        <v>2491.2719003346824</v>
      </c>
      <c r="BH244" s="292">
        <f ca="1">+BG249</f>
        <v>2699.5661775902076</v>
      </c>
      <c r="BI244" s="261">
        <f ca="1">+BH249</f>
        <v>2747.5729881465231</v>
      </c>
      <c r="BJ244" s="261">
        <f ca="1">+BI249</f>
        <v>2764.9153212521906</v>
      </c>
      <c r="BK244" s="293">
        <f ca="1">+BJ249</f>
        <v>2782.0175635097148</v>
      </c>
      <c r="BL244" s="228">
        <f ca="1">+BG249</f>
        <v>2699.5661775902076</v>
      </c>
      <c r="BM244" s="45"/>
      <c r="BN244" s="45"/>
      <c r="BO244" s="45"/>
      <c r="BP244" s="45"/>
      <c r="BQ244" s="45"/>
      <c r="BR244" s="45"/>
      <c r="BS244" s="45"/>
      <c r="BT244" s="45"/>
      <c r="BU244" s="45"/>
      <c r="BV244" s="45"/>
      <c r="BW244" s="45"/>
      <c r="BX244" s="45"/>
      <c r="BY244" s="45"/>
      <c r="BZ244" s="45"/>
      <c r="CA244" s="45"/>
      <c r="CB244" s="45"/>
      <c r="CC244" s="45"/>
      <c r="CD244" s="45"/>
      <c r="CE244" s="45"/>
      <c r="CF244" s="45"/>
      <c r="CG244" s="45"/>
      <c r="CH244" s="45"/>
      <c r="CI244" s="45"/>
      <c r="CJ244" s="45"/>
      <c r="CK244" s="45"/>
      <c r="CL244" s="45"/>
      <c r="CM244" s="45"/>
      <c r="CN244" s="45"/>
      <c r="CO244" s="45"/>
      <c r="CP244" s="45"/>
    </row>
    <row r="245" spans="1:94">
      <c r="A245" s="45"/>
      <c r="B245" s="45"/>
      <c r="C245" s="391" t="s">
        <v>404</v>
      </c>
      <c r="D245" s="45"/>
      <c r="E245" s="290"/>
      <c r="F245" s="260"/>
      <c r="G245" s="260"/>
      <c r="H245" s="291"/>
      <c r="I245" s="45">
        <f t="shared" ref="I245:AW245" si="713">I117</f>
        <v>156</v>
      </c>
      <c r="J245" s="290">
        <f t="shared" si="713"/>
        <v>22</v>
      </c>
      <c r="K245" s="260">
        <f t="shared" si="713"/>
        <v>38</v>
      </c>
      <c r="L245" s="260">
        <f t="shared" si="713"/>
        <v>36</v>
      </c>
      <c r="M245" s="291">
        <f t="shared" si="713"/>
        <v>42</v>
      </c>
      <c r="N245" s="45">
        <f t="shared" si="713"/>
        <v>138</v>
      </c>
      <c r="O245" s="290">
        <f t="shared" si="713"/>
        <v>53</v>
      </c>
      <c r="P245" s="260">
        <f t="shared" si="713"/>
        <v>61</v>
      </c>
      <c r="Q245" s="260">
        <f t="shared" si="713"/>
        <v>72</v>
      </c>
      <c r="R245" s="291">
        <f t="shared" si="713"/>
        <v>70</v>
      </c>
      <c r="S245" s="45">
        <f t="shared" si="713"/>
        <v>256</v>
      </c>
      <c r="T245" s="290">
        <f t="shared" si="713"/>
        <v>74</v>
      </c>
      <c r="U245" s="260">
        <f t="shared" si="713"/>
        <v>67</v>
      </c>
      <c r="V245" s="260">
        <f t="shared" si="713"/>
        <v>63</v>
      </c>
      <c r="W245" s="291">
        <f t="shared" si="713"/>
        <v>57</v>
      </c>
      <c r="X245" s="45">
        <f t="shared" si="713"/>
        <v>261</v>
      </c>
      <c r="Y245" s="290">
        <f t="shared" si="713"/>
        <v>53</v>
      </c>
      <c r="Z245" s="260">
        <f t="shared" si="713"/>
        <v>51</v>
      </c>
      <c r="AA245" s="260">
        <f t="shared" si="713"/>
        <v>54</v>
      </c>
      <c r="AB245" s="291">
        <f t="shared" si="713"/>
        <v>67</v>
      </c>
      <c r="AC245" s="45">
        <f t="shared" si="713"/>
        <v>225</v>
      </c>
      <c r="AD245" s="290">
        <f t="shared" si="713"/>
        <v>54</v>
      </c>
      <c r="AE245" s="260">
        <f t="shared" si="713"/>
        <v>84</v>
      </c>
      <c r="AF245" s="260">
        <f t="shared" si="713"/>
        <v>74</v>
      </c>
      <c r="AG245" s="291">
        <f t="shared" si="713"/>
        <v>88</v>
      </c>
      <c r="AH245" s="45">
        <f t="shared" si="713"/>
        <v>300</v>
      </c>
      <c r="AI245" s="290">
        <f t="shared" ref="AI245" si="714">AI117</f>
        <v>101</v>
      </c>
      <c r="AJ245" s="260">
        <f t="shared" si="713"/>
        <v>63</v>
      </c>
      <c r="AK245" s="260">
        <f t="shared" si="713"/>
        <v>63</v>
      </c>
      <c r="AL245" s="291">
        <f t="shared" si="713"/>
        <v>84</v>
      </c>
      <c r="AM245" s="45">
        <f t="shared" si="713"/>
        <v>311</v>
      </c>
      <c r="AN245" s="290">
        <f t="shared" si="713"/>
        <v>88</v>
      </c>
      <c r="AO245" s="260">
        <f t="shared" si="713"/>
        <v>87</v>
      </c>
      <c r="AP245" s="260">
        <f t="shared" ref="AP245:AR245" si="715">AP117</f>
        <v>67</v>
      </c>
      <c r="AQ245" s="291">
        <f t="shared" si="715"/>
        <v>70</v>
      </c>
      <c r="AR245" s="45">
        <f t="shared" si="715"/>
        <v>312</v>
      </c>
      <c r="AS245" s="290">
        <f t="shared" si="713"/>
        <v>93.75</v>
      </c>
      <c r="AT245" s="260">
        <f t="shared" si="713"/>
        <v>93.75</v>
      </c>
      <c r="AU245" s="260">
        <f t="shared" si="713"/>
        <v>93.75</v>
      </c>
      <c r="AV245" s="291">
        <f t="shared" si="713"/>
        <v>93.75</v>
      </c>
      <c r="AW245" s="45">
        <f t="shared" si="713"/>
        <v>375</v>
      </c>
      <c r="AX245" s="290">
        <f t="shared" ref="AX245:BG245" si="716">AX117</f>
        <v>81.25</v>
      </c>
      <c r="AY245" s="260">
        <f t="shared" si="716"/>
        <v>81.25</v>
      </c>
      <c r="AZ245" s="260">
        <f t="shared" si="716"/>
        <v>81.25</v>
      </c>
      <c r="BA245" s="291">
        <f t="shared" si="716"/>
        <v>81.25</v>
      </c>
      <c r="BB245" s="45">
        <f t="shared" si="716"/>
        <v>325</v>
      </c>
      <c r="BC245" s="290">
        <f t="shared" si="716"/>
        <v>81.25</v>
      </c>
      <c r="BD245" s="260">
        <f t="shared" si="716"/>
        <v>81.25</v>
      </c>
      <c r="BE245" s="260">
        <f t="shared" si="716"/>
        <v>81.25</v>
      </c>
      <c r="BF245" s="291">
        <f t="shared" si="716"/>
        <v>81.25</v>
      </c>
      <c r="BG245" s="45">
        <f t="shared" si="716"/>
        <v>325</v>
      </c>
      <c r="BH245" s="290">
        <f t="shared" ref="BH245:BL245" si="717">BH117</f>
        <v>56.25</v>
      </c>
      <c r="BI245" s="260">
        <f t="shared" si="717"/>
        <v>56.25</v>
      </c>
      <c r="BJ245" s="260">
        <f t="shared" si="717"/>
        <v>56.25</v>
      </c>
      <c r="BK245" s="291">
        <f t="shared" si="717"/>
        <v>56.25</v>
      </c>
      <c r="BL245" s="45">
        <f t="shared" si="717"/>
        <v>225</v>
      </c>
      <c r="BM245" s="45"/>
      <c r="BN245" s="45"/>
      <c r="BO245" s="45"/>
      <c r="BP245" s="45"/>
      <c r="BQ245" s="45"/>
      <c r="BR245" s="45"/>
      <c r="BS245" s="45"/>
      <c r="BT245" s="45"/>
      <c r="BU245" s="45"/>
      <c r="BV245" s="45"/>
      <c r="BW245" s="45"/>
      <c r="BX245" s="45"/>
      <c r="BY245" s="45"/>
      <c r="BZ245" s="45"/>
      <c r="CA245" s="45"/>
      <c r="CB245" s="45"/>
      <c r="CC245" s="45"/>
      <c r="CD245" s="45"/>
      <c r="CE245" s="45"/>
      <c r="CF245" s="45"/>
      <c r="CG245" s="45"/>
      <c r="CH245" s="45"/>
      <c r="CI245" s="45"/>
      <c r="CJ245" s="45"/>
      <c r="CK245" s="45"/>
      <c r="CL245" s="45"/>
      <c r="CM245" s="45"/>
      <c r="CN245" s="45"/>
      <c r="CO245" s="45"/>
      <c r="CP245" s="45"/>
    </row>
    <row r="246" spans="1:94">
      <c r="A246" s="45"/>
      <c r="B246" s="45"/>
      <c r="C246" s="391" t="s">
        <v>587</v>
      </c>
      <c r="D246" s="45">
        <f>+-D110</f>
        <v>0</v>
      </c>
      <c r="E246" s="290"/>
      <c r="F246" s="260"/>
      <c r="G246" s="260"/>
      <c r="H246" s="291"/>
      <c r="I246" s="45">
        <f t="shared" ref="I246:AW246" si="718">+-I110</f>
        <v>-112</v>
      </c>
      <c r="J246" s="290">
        <f t="shared" si="718"/>
        <v>-17.612500000000001</v>
      </c>
      <c r="K246" s="260">
        <f t="shared" si="718"/>
        <v>-17.612500000000001</v>
      </c>
      <c r="L246" s="260">
        <f t="shared" si="718"/>
        <v>-25.612500000000001</v>
      </c>
      <c r="M246" s="291">
        <f t="shared" si="718"/>
        <v>-11.612500000000001</v>
      </c>
      <c r="N246" s="45">
        <f t="shared" si="718"/>
        <v>-72.45</v>
      </c>
      <c r="O246" s="290">
        <f t="shared" si="718"/>
        <v>-16.066875</v>
      </c>
      <c r="P246" s="260">
        <f t="shared" si="718"/>
        <v>-15.066875</v>
      </c>
      <c r="Q246" s="260">
        <f t="shared" si="718"/>
        <v>-25.066875</v>
      </c>
      <c r="R246" s="291">
        <f t="shared" si="718"/>
        <v>-20.066875</v>
      </c>
      <c r="S246" s="45">
        <f t="shared" si="718"/>
        <v>-76.267499999999998</v>
      </c>
      <c r="T246" s="290">
        <f t="shared" si="718"/>
        <v>-22.066875</v>
      </c>
      <c r="U246" s="260">
        <f t="shared" si="718"/>
        <v>-23.066875</v>
      </c>
      <c r="V246" s="260">
        <f t="shared" si="718"/>
        <v>-29.066875</v>
      </c>
      <c r="W246" s="291">
        <f t="shared" si="718"/>
        <v>-26.066875</v>
      </c>
      <c r="X246" s="45">
        <f t="shared" si="718"/>
        <v>-100.2675</v>
      </c>
      <c r="Y246" s="290">
        <f t="shared" si="718"/>
        <v>-29.066875</v>
      </c>
      <c r="Z246" s="260">
        <f t="shared" si="718"/>
        <v>-28.066875</v>
      </c>
      <c r="AA246" s="260">
        <f t="shared" si="718"/>
        <v>-33.066874999999996</v>
      </c>
      <c r="AB246" s="291">
        <f t="shared" si="718"/>
        <v>-31.066875</v>
      </c>
      <c r="AC246" s="45">
        <f>+-AC110</f>
        <v>-121.2675</v>
      </c>
      <c r="AD246" s="290">
        <f t="shared" si="718"/>
        <v>-34.066874999999996</v>
      </c>
      <c r="AE246" s="260">
        <f t="shared" si="718"/>
        <v>-34.066874999999996</v>
      </c>
      <c r="AF246" s="260">
        <f t="shared" si="718"/>
        <v>-40.066874999999996</v>
      </c>
      <c r="AG246" s="291">
        <f t="shared" si="718"/>
        <v>-32.066874999999996</v>
      </c>
      <c r="AH246" s="45">
        <f>+-AH110</f>
        <v>-140.26749999999998</v>
      </c>
      <c r="AI246" s="290">
        <f t="shared" ref="AI246" si="719">+-AI110</f>
        <v>-31.066875</v>
      </c>
      <c r="AJ246" s="260">
        <f t="shared" si="718"/>
        <v>-32.066874999999996</v>
      </c>
      <c r="AK246" s="260">
        <f t="shared" si="718"/>
        <v>-40.066874999999996</v>
      </c>
      <c r="AL246" s="291">
        <f>+-AL110</f>
        <v>-26.066875</v>
      </c>
      <c r="AM246" s="45">
        <f t="shared" si="718"/>
        <v>-129.26749999999998</v>
      </c>
      <c r="AN246" s="290">
        <f t="shared" si="718"/>
        <v>-26.066875</v>
      </c>
      <c r="AO246" s="260">
        <f t="shared" si="718"/>
        <v>-28.066875</v>
      </c>
      <c r="AP246" s="260">
        <f t="shared" ref="AP246" si="720">+-AP110</f>
        <v>-32.066874999999996</v>
      </c>
      <c r="AQ246" s="291">
        <f>+-AQ110</f>
        <v>-24.066875</v>
      </c>
      <c r="AR246" s="45">
        <f t="shared" ref="AR246" si="721">+-AR110</f>
        <v>-110.2675</v>
      </c>
      <c r="AS246" s="290">
        <f t="shared" si="718"/>
        <v>-24.274836999214457</v>
      </c>
      <c r="AT246" s="260">
        <f t="shared" si="718"/>
        <v>-24.594907326759291</v>
      </c>
      <c r="AU246" s="260">
        <f t="shared" si="718"/>
        <v>-25.175358501044563</v>
      </c>
      <c r="AV246" s="291">
        <f t="shared" si="718"/>
        <v>-25.750322775936617</v>
      </c>
      <c r="AW246" s="45">
        <f t="shared" si="718"/>
        <v>-99.795425602954936</v>
      </c>
      <c r="AX246" s="290">
        <f t="shared" ref="AX246:BG246" si="722">+-AX110</f>
        <v>-26.319852018097606</v>
      </c>
      <c r="AY246" s="260">
        <f t="shared" si="722"/>
        <v>-27.005611745052569</v>
      </c>
      <c r="AZ246" s="260">
        <f t="shared" si="722"/>
        <v>-27.475836401016153</v>
      </c>
      <c r="BA246" s="291">
        <f t="shared" si="722"/>
        <v>-27.941616108819101</v>
      </c>
      <c r="BB246" s="45">
        <f t="shared" si="722"/>
        <v>-108.74291627298543</v>
      </c>
      <c r="BC246" s="290">
        <f t="shared" si="722"/>
        <v>-28.402992885748031</v>
      </c>
      <c r="BD246" s="260">
        <f t="shared" si="722"/>
        <v>-28.855281942834761</v>
      </c>
      <c r="BE246" s="260">
        <f t="shared" si="722"/>
        <v>-29.303295593715369</v>
      </c>
      <c r="BF246" s="291">
        <f t="shared" si="722"/>
        <v>-29.747074253027233</v>
      </c>
      <c r="BG246" s="45">
        <f t="shared" si="722"/>
        <v>-116.30864467532541</v>
      </c>
      <c r="BH246" s="290">
        <f t="shared" ref="BH246:BL246" si="723">+-BH110</f>
        <v>-30.186657953375498</v>
      </c>
      <c r="BI246" s="260">
        <f t="shared" si="723"/>
        <v>-30.851135404023228</v>
      </c>
      <c r="BJ246" s="260">
        <f t="shared" si="723"/>
        <v>-31.09122625216671</v>
      </c>
      <c r="BK246" s="291">
        <f t="shared" si="723"/>
        <v>-31.32904756518414</v>
      </c>
      <c r="BL246" s="45">
        <f t="shared" si="723"/>
        <v>-123.45806717474957</v>
      </c>
      <c r="BM246" s="45"/>
      <c r="BN246" s="45"/>
      <c r="BO246" s="45"/>
      <c r="BP246" s="45"/>
      <c r="BQ246" s="45"/>
      <c r="BR246" s="45"/>
      <c r="BS246" s="45"/>
      <c r="BT246" s="45"/>
      <c r="BU246" s="45"/>
      <c r="BV246" s="45"/>
      <c r="BW246" s="45"/>
      <c r="BX246" s="45"/>
      <c r="BY246" s="45"/>
      <c r="BZ246" s="45"/>
      <c r="CA246" s="45"/>
      <c r="CB246" s="45"/>
      <c r="CC246" s="45"/>
      <c r="CD246" s="45"/>
      <c r="CE246" s="45"/>
      <c r="CF246" s="45"/>
      <c r="CG246" s="45"/>
      <c r="CH246" s="45"/>
      <c r="CI246" s="45"/>
      <c r="CJ246" s="45"/>
      <c r="CK246" s="45"/>
      <c r="CL246" s="45"/>
      <c r="CM246" s="45"/>
      <c r="CN246" s="45"/>
      <c r="CO246" s="45"/>
      <c r="CP246" s="45"/>
    </row>
    <row r="247" spans="1:94">
      <c r="A247" s="45"/>
      <c r="B247" s="45"/>
      <c r="C247" s="391" t="s">
        <v>158</v>
      </c>
      <c r="D247" s="45"/>
      <c r="E247" s="290"/>
      <c r="F247" s="260"/>
      <c r="G247" s="260"/>
      <c r="H247" s="291"/>
      <c r="I247" s="45">
        <f>SUM(E247:H247)</f>
        <v>0</v>
      </c>
      <c r="J247" s="290">
        <f>+-J145</f>
        <v>-9</v>
      </c>
      <c r="K247" s="260">
        <f>+-K145</f>
        <v>-21</v>
      </c>
      <c r="L247" s="260">
        <f>+-L145</f>
        <v>-9</v>
      </c>
      <c r="M247" s="291">
        <f>+-M145</f>
        <v>-3</v>
      </c>
      <c r="N247" s="45">
        <f>SUM(J247:M247)</f>
        <v>-42</v>
      </c>
      <c r="O247" s="290">
        <f>+-O145</f>
        <v>-72</v>
      </c>
      <c r="P247" s="260">
        <f>+-P145</f>
        <v>8</v>
      </c>
      <c r="Q247" s="260">
        <f>+-Q145</f>
        <v>-8</v>
      </c>
      <c r="R247" s="291">
        <f>+-R145</f>
        <v>10</v>
      </c>
      <c r="S247" s="45">
        <f>SUM(O247:R247)</f>
        <v>-62</v>
      </c>
      <c r="T247" s="290">
        <f t="shared" ref="T247:AO247" si="724">+-T145</f>
        <v>-2</v>
      </c>
      <c r="U247" s="260">
        <f t="shared" si="724"/>
        <v>-19</v>
      </c>
      <c r="V247" s="260">
        <f t="shared" si="724"/>
        <v>-22</v>
      </c>
      <c r="W247" s="291">
        <f t="shared" si="724"/>
        <v>-10</v>
      </c>
      <c r="X247" s="45">
        <f t="shared" si="724"/>
        <v>-53</v>
      </c>
      <c r="Y247" s="290">
        <f t="shared" si="724"/>
        <v>-7</v>
      </c>
      <c r="Z247" s="260">
        <f t="shared" si="724"/>
        <v>-4</v>
      </c>
      <c r="AA247" s="260">
        <f t="shared" si="724"/>
        <v>-17</v>
      </c>
      <c r="AB247" s="291">
        <f t="shared" si="724"/>
        <v>-9</v>
      </c>
      <c r="AC247" s="45">
        <f t="shared" si="724"/>
        <v>-37</v>
      </c>
      <c r="AD247" s="290">
        <f t="shared" si="724"/>
        <v>-2</v>
      </c>
      <c r="AE247" s="260">
        <f t="shared" si="724"/>
        <v>-7</v>
      </c>
      <c r="AF247" s="260">
        <f t="shared" si="724"/>
        <v>2</v>
      </c>
      <c r="AG247" s="291">
        <f t="shared" si="724"/>
        <v>-23</v>
      </c>
      <c r="AH247" s="45">
        <f t="shared" si="724"/>
        <v>-30</v>
      </c>
      <c r="AI247" s="290">
        <f t="shared" ref="AI247" si="725">+-AI145</f>
        <v>33</v>
      </c>
      <c r="AJ247" s="260">
        <f t="shared" si="724"/>
        <v>-5</v>
      </c>
      <c r="AK247" s="260">
        <f t="shared" si="724"/>
        <v>-42</v>
      </c>
      <c r="AL247" s="291">
        <f t="shared" si="724"/>
        <v>-8</v>
      </c>
      <c r="AM247" s="45">
        <f t="shared" si="724"/>
        <v>-22</v>
      </c>
      <c r="AN247" s="290">
        <f t="shared" si="724"/>
        <v>7</v>
      </c>
      <c r="AO247" s="260">
        <f t="shared" si="724"/>
        <v>1</v>
      </c>
      <c r="AP247" s="260">
        <f t="shared" ref="AP247:AR247" si="726">+-AP145</f>
        <v>-36</v>
      </c>
      <c r="AQ247" s="291">
        <f t="shared" si="726"/>
        <v>-4</v>
      </c>
      <c r="AR247" s="45">
        <f t="shared" si="726"/>
        <v>-32</v>
      </c>
      <c r="AS247" s="290">
        <f t="shared" ref="AS247:AV247" si="727">+-AS144</f>
        <v>1.4846842896517163</v>
      </c>
      <c r="AT247" s="260">
        <f t="shared" si="727"/>
        <v>1.4846842896517163</v>
      </c>
      <c r="AU247" s="260">
        <f t="shared" si="727"/>
        <v>1.4846842896517163</v>
      </c>
      <c r="AV247" s="291">
        <f t="shared" si="727"/>
        <v>1.4846842896517163</v>
      </c>
      <c r="AW247" s="2032">
        <f ca="1">-AW145</f>
        <v>-20.852257789377539</v>
      </c>
      <c r="AX247" s="290">
        <f t="shared" ref="AX247:BA247" si="728">+-AX144</f>
        <v>1.512778752192433</v>
      </c>
      <c r="AY247" s="260">
        <f t="shared" si="728"/>
        <v>1.512778752192433</v>
      </c>
      <c r="AZ247" s="260">
        <f t="shared" si="728"/>
        <v>1.512778752192433</v>
      </c>
      <c r="BA247" s="291">
        <f t="shared" si="728"/>
        <v>1.512778752192433</v>
      </c>
      <c r="BB247" s="2032">
        <v>0</v>
      </c>
      <c r="BC247" s="290">
        <f t="shared" ref="BC247:BG247" ca="1" si="729">+-BC145</f>
        <v>-7.599269517287345</v>
      </c>
      <c r="BD247" s="260">
        <f t="shared" ca="1" si="729"/>
        <v>-7.5992695172873441</v>
      </c>
      <c r="BE247" s="260">
        <f t="shared" ca="1" si="729"/>
        <v>-7.599269517287345</v>
      </c>
      <c r="BF247" s="291">
        <f t="shared" ca="1" si="729"/>
        <v>-7.5992695172873468</v>
      </c>
      <c r="BG247" s="2032">
        <f t="shared" ca="1" si="729"/>
        <v>-30.39707806914938</v>
      </c>
      <c r="BH247" s="290">
        <f t="shared" ref="BH247:BL247" ca="1" si="730">+-BH145</f>
        <v>-8.056531490309272</v>
      </c>
      <c r="BI247" s="260">
        <f t="shared" ca="1" si="730"/>
        <v>-8.056531490309272</v>
      </c>
      <c r="BJ247" s="260">
        <f t="shared" ca="1" si="730"/>
        <v>-8.056531490309272</v>
      </c>
      <c r="BK247" s="291">
        <f t="shared" ca="1" si="730"/>
        <v>-8.056531490309272</v>
      </c>
      <c r="BL247" s="45">
        <f t="shared" ca="1" si="730"/>
        <v>-32.226125961237088</v>
      </c>
      <c r="BM247" s="45"/>
      <c r="BN247" s="45"/>
      <c r="BO247" s="45"/>
      <c r="BP247" s="45"/>
      <c r="BQ247" s="45"/>
      <c r="BR247" s="45"/>
      <c r="BS247" s="45"/>
      <c r="BT247" s="45"/>
      <c r="BU247" s="45"/>
      <c r="BV247" s="45"/>
      <c r="BW247" s="45"/>
      <c r="BX247" s="45"/>
      <c r="BY247" s="45"/>
      <c r="BZ247" s="45"/>
      <c r="CA247" s="45"/>
      <c r="CB247" s="45"/>
      <c r="CC247" s="45"/>
      <c r="CD247" s="45"/>
      <c r="CE247" s="45"/>
      <c r="CF247" s="45"/>
      <c r="CG247" s="45"/>
      <c r="CH247" s="45"/>
      <c r="CI247" s="45"/>
      <c r="CJ247" s="45"/>
      <c r="CK247" s="45"/>
      <c r="CL247" s="45"/>
      <c r="CM247" s="45"/>
      <c r="CN247" s="45"/>
      <c r="CO247" s="45"/>
      <c r="CP247" s="45"/>
    </row>
    <row r="248" spans="1:94">
      <c r="A248" s="45"/>
      <c r="B248" s="45"/>
      <c r="C248" s="391" t="s">
        <v>1288</v>
      </c>
      <c r="D248" s="45"/>
      <c r="E248" s="814"/>
      <c r="F248" s="260"/>
      <c r="G248" s="260"/>
      <c r="H248" s="291"/>
      <c r="I248" s="45">
        <f>SUM(E248:H248)</f>
        <v>0</v>
      </c>
      <c r="J248" s="814">
        <v>0</v>
      </c>
      <c r="K248" s="260">
        <v>0</v>
      </c>
      <c r="L248" s="260">
        <v>0</v>
      </c>
      <c r="M248" s="291">
        <v>0</v>
      </c>
      <c r="N248" s="45">
        <f>SUM(J248:M248)</f>
        <v>0</v>
      </c>
      <c r="O248" s="814">
        <v>0</v>
      </c>
      <c r="P248" s="260">
        <v>0</v>
      </c>
      <c r="Q248" s="260">
        <v>0</v>
      </c>
      <c r="R248" s="291">
        <v>0</v>
      </c>
      <c r="S248" s="45">
        <f>SUM(O248:R248)</f>
        <v>0</v>
      </c>
      <c r="T248" s="814">
        <v>0</v>
      </c>
      <c r="U248" s="260">
        <v>0</v>
      </c>
      <c r="V248" s="260">
        <v>0</v>
      </c>
      <c r="W248" s="291">
        <v>0</v>
      </c>
      <c r="X248" s="45">
        <f>SUM(T248:W248)</f>
        <v>0</v>
      </c>
      <c r="Y248" s="814">
        <v>0</v>
      </c>
      <c r="Z248" s="260">
        <v>0</v>
      </c>
      <c r="AA248" s="260">
        <v>0</v>
      </c>
      <c r="AB248" s="291">
        <v>0</v>
      </c>
      <c r="AC248" s="45">
        <f>SUM(Y248:AB248)</f>
        <v>0</v>
      </c>
      <c r="AD248" s="814">
        <v>0</v>
      </c>
      <c r="AE248" s="260">
        <v>0</v>
      </c>
      <c r="AF248" s="260">
        <v>0</v>
      </c>
      <c r="AG248" s="291">
        <v>0</v>
      </c>
      <c r="AH248" s="45">
        <f>SUM(AD248:AG248)</f>
        <v>0</v>
      </c>
      <c r="AI248" s="814">
        <v>-30</v>
      </c>
      <c r="AJ248" s="260">
        <v>0</v>
      </c>
      <c r="AK248" s="260">
        <v>0</v>
      </c>
      <c r="AL248" s="291">
        <v>0</v>
      </c>
      <c r="AM248" s="45">
        <f>SUM(AI248:AL248)</f>
        <v>-30</v>
      </c>
      <c r="AN248" s="814">
        <v>-100</v>
      </c>
      <c r="AO248" s="2038">
        <v>0</v>
      </c>
      <c r="AP248" s="2038">
        <v>0</v>
      </c>
      <c r="AQ248" s="291">
        <v>0</v>
      </c>
      <c r="AR248" s="45">
        <f>SUM(AN248:AQ248)</f>
        <v>-100</v>
      </c>
      <c r="AS248" s="814">
        <v>0</v>
      </c>
      <c r="AT248" s="260">
        <v>0</v>
      </c>
      <c r="AU248" s="260">
        <v>0</v>
      </c>
      <c r="AV248" s="291">
        <v>0</v>
      </c>
      <c r="AW248" s="45">
        <f>SUM(AS248:AV248)</f>
        <v>0</v>
      </c>
      <c r="AX248" s="814">
        <v>50</v>
      </c>
      <c r="AY248" s="260">
        <v>0</v>
      </c>
      <c r="AZ248" s="260">
        <v>0</v>
      </c>
      <c r="BA248" s="291">
        <v>0</v>
      </c>
      <c r="BB248" s="45">
        <f>SUM(AX248:BA248)</f>
        <v>50</v>
      </c>
      <c r="BC248" s="2037">
        <v>30</v>
      </c>
      <c r="BD248" s="2038">
        <v>0</v>
      </c>
      <c r="BE248" s="2038">
        <v>0</v>
      </c>
      <c r="BF248" s="2039">
        <v>0</v>
      </c>
      <c r="BG248" s="45">
        <f>SUM(BC248:BF248)</f>
        <v>30</v>
      </c>
      <c r="BH248" s="300">
        <v>30</v>
      </c>
      <c r="BI248" s="264">
        <v>0</v>
      </c>
      <c r="BJ248" s="264">
        <v>0</v>
      </c>
      <c r="BK248" s="299">
        <v>0</v>
      </c>
      <c r="BL248" s="45">
        <f>SUM(BH248:BK248)</f>
        <v>30</v>
      </c>
      <c r="BM248" s="45"/>
      <c r="BN248" s="45"/>
      <c r="BO248" s="45"/>
      <c r="BP248" s="45"/>
      <c r="BQ248" s="45"/>
      <c r="BR248" s="45"/>
      <c r="BS248" s="45"/>
      <c r="BT248" s="45"/>
      <c r="BU248" s="45"/>
      <c r="BV248" s="45"/>
      <c r="BW248" s="45"/>
      <c r="BX248" s="45"/>
      <c r="BY248" s="45"/>
      <c r="BZ248" s="45"/>
      <c r="CA248" s="45"/>
      <c r="CB248" s="45"/>
      <c r="CC248" s="45"/>
      <c r="CD248" s="45"/>
      <c r="CE248" s="45"/>
      <c r="CF248" s="45"/>
      <c r="CG248" s="45"/>
      <c r="CH248" s="45"/>
      <c r="CI248" s="45"/>
      <c r="CJ248" s="45"/>
      <c r="CK248" s="45"/>
      <c r="CL248" s="45"/>
      <c r="CM248" s="45"/>
      <c r="CN248" s="45"/>
      <c r="CO248" s="45"/>
      <c r="CP248" s="45"/>
    </row>
    <row r="249" spans="1:94">
      <c r="A249" s="45"/>
      <c r="B249" s="45"/>
      <c r="C249" s="389" t="s">
        <v>405</v>
      </c>
      <c r="D249" s="45"/>
      <c r="E249" s="292"/>
      <c r="F249" s="261"/>
      <c r="G249" s="261"/>
      <c r="H249" s="293"/>
      <c r="I249" s="228">
        <f>N244</f>
        <v>1325.7175</v>
      </c>
      <c r="J249" s="292">
        <f>SUM(J244:J248)</f>
        <v>1321.105</v>
      </c>
      <c r="K249" s="261">
        <f>SUM(K244:K248)</f>
        <v>1320.4925000000001</v>
      </c>
      <c r="L249" s="261">
        <f>SUM(L244:L248)</f>
        <v>1321.88</v>
      </c>
      <c r="M249" s="293">
        <f>SUM(M244:M248)</f>
        <v>1349.2675000000002</v>
      </c>
      <c r="N249" s="228">
        <f>S244</f>
        <v>1349.2674999999999</v>
      </c>
      <c r="O249" s="292">
        <f>SUM(O244:O248)</f>
        <v>1314.2006249999999</v>
      </c>
      <c r="P249" s="261">
        <f>SUM(P244:P248)</f>
        <v>1368.13375</v>
      </c>
      <c r="Q249" s="261">
        <f>SUM(Q244:Q248)</f>
        <v>1407.066875</v>
      </c>
      <c r="R249" s="293">
        <f>S244</f>
        <v>1349.2674999999999</v>
      </c>
      <c r="S249" s="669">
        <f>1072+395</f>
        <v>1467</v>
      </c>
      <c r="T249" s="292">
        <f t="shared" ref="T249:AW249" si="731">SUM(T244:T248)</f>
        <v>1516.933125</v>
      </c>
      <c r="U249" s="261">
        <f t="shared" si="731"/>
        <v>1541.86625</v>
      </c>
      <c r="V249" s="261">
        <f t="shared" si="731"/>
        <v>1553.7993750000001</v>
      </c>
      <c r="W249" s="293">
        <f t="shared" si="731"/>
        <v>1574.7325000000001</v>
      </c>
      <c r="X249" s="228">
        <f t="shared" si="731"/>
        <v>1574.7325000000001</v>
      </c>
      <c r="Y249" s="292">
        <f t="shared" si="731"/>
        <v>1591.6656250000001</v>
      </c>
      <c r="Z249" s="261">
        <f t="shared" si="731"/>
        <v>1610.5987500000001</v>
      </c>
      <c r="AA249" s="261">
        <f t="shared" si="731"/>
        <v>1614.5318750000001</v>
      </c>
      <c r="AB249" s="293">
        <f t="shared" si="731"/>
        <v>1641.4650000000001</v>
      </c>
      <c r="AC249" s="228">
        <f t="shared" si="731"/>
        <v>1641.4650000000001</v>
      </c>
      <c r="AD249" s="292">
        <f t="shared" si="731"/>
        <v>1659.3981250000002</v>
      </c>
      <c r="AE249" s="261">
        <f t="shared" si="731"/>
        <v>1702.3312500000002</v>
      </c>
      <c r="AF249" s="261">
        <f t="shared" si="731"/>
        <v>1738.2643750000002</v>
      </c>
      <c r="AG249" s="293">
        <f t="shared" si="731"/>
        <v>1771.1975000000002</v>
      </c>
      <c r="AH249" s="228">
        <f t="shared" si="731"/>
        <v>1771.1975000000002</v>
      </c>
      <c r="AI249" s="292">
        <f t="shared" ref="AI249" si="732">SUM(AI244:AI248)</f>
        <v>1844.1306250000002</v>
      </c>
      <c r="AJ249" s="261">
        <f t="shared" si="731"/>
        <v>1870.0637500000003</v>
      </c>
      <c r="AK249" s="261">
        <f t="shared" si="731"/>
        <v>1850.9968750000003</v>
      </c>
      <c r="AL249" s="293">
        <f t="shared" si="731"/>
        <v>1900.9300000000003</v>
      </c>
      <c r="AM249" s="228">
        <f t="shared" si="731"/>
        <v>1900.9300000000003</v>
      </c>
      <c r="AN249" s="292">
        <f t="shared" si="731"/>
        <v>1869.8631250000003</v>
      </c>
      <c r="AO249" s="261">
        <f t="shared" si="731"/>
        <v>1929.7962500000003</v>
      </c>
      <c r="AP249" s="261">
        <f t="shared" ref="AP249:AR249" si="733">SUM(AP244:AP248)</f>
        <v>1928.7293750000003</v>
      </c>
      <c r="AQ249" s="293">
        <f t="shared" si="733"/>
        <v>1970.6625000000004</v>
      </c>
      <c r="AR249" s="228">
        <f t="shared" si="733"/>
        <v>1970.6625000000004</v>
      </c>
      <c r="AS249" s="292">
        <f t="shared" si="731"/>
        <v>2041.6223472904378</v>
      </c>
      <c r="AT249" s="261">
        <f t="shared" si="731"/>
        <v>2112.2621242533301</v>
      </c>
      <c r="AU249" s="261">
        <f t="shared" si="731"/>
        <v>2182.3214500419372</v>
      </c>
      <c r="AV249" s="293">
        <f t="shared" si="731"/>
        <v>2251.8058115556523</v>
      </c>
      <c r="AW249" s="228">
        <f t="shared" ca="1" si="731"/>
        <v>2225.0148166076679</v>
      </c>
      <c r="AX249" s="292">
        <f t="shared" ref="AX249:BG249" ca="1" si="734">SUM(AX244:AX248)</f>
        <v>2331.4577433417626</v>
      </c>
      <c r="AY249" s="261">
        <f t="shared" ca="1" si="734"/>
        <v>2387.2149103489023</v>
      </c>
      <c r="AZ249" s="261">
        <f t="shared" ca="1" si="734"/>
        <v>2442.5018527000784</v>
      </c>
      <c r="BA249" s="293">
        <f t="shared" ca="1" si="734"/>
        <v>2497.3230153434515</v>
      </c>
      <c r="BB249" s="228">
        <f t="shared" ca="1" si="734"/>
        <v>2491.2719003346824</v>
      </c>
      <c r="BC249" s="292">
        <f t="shared" ca="1" si="734"/>
        <v>2566.5196379316471</v>
      </c>
      <c r="BD249" s="261">
        <f t="shared" ca="1" si="734"/>
        <v>2611.3150864715253</v>
      </c>
      <c r="BE249" s="261">
        <f t="shared" ca="1" si="734"/>
        <v>2655.6625213605225</v>
      </c>
      <c r="BF249" s="293">
        <f t="shared" ca="1" si="734"/>
        <v>2699.5661775902081</v>
      </c>
      <c r="BG249" s="228">
        <f t="shared" ca="1" si="734"/>
        <v>2699.5661775902076</v>
      </c>
      <c r="BH249" s="292">
        <f t="shared" ref="BH249:BL249" ca="1" si="735">SUM(BH244:BH248)</f>
        <v>2747.5729881465231</v>
      </c>
      <c r="BI249" s="261">
        <f t="shared" ca="1" si="735"/>
        <v>2764.9153212521906</v>
      </c>
      <c r="BJ249" s="261">
        <f t="shared" ca="1" si="735"/>
        <v>2782.0175635097148</v>
      </c>
      <c r="BK249" s="293">
        <f t="shared" ca="1" si="735"/>
        <v>2798.8819844542213</v>
      </c>
      <c r="BL249" s="228">
        <f t="shared" ca="1" si="735"/>
        <v>2798.8819844542213</v>
      </c>
      <c r="BM249" s="45"/>
      <c r="BN249" s="45"/>
      <c r="BO249" s="45"/>
      <c r="BP249" s="45"/>
      <c r="BQ249" s="45"/>
      <c r="BR249" s="45"/>
      <c r="BS249" s="45"/>
      <c r="BT249" s="45"/>
      <c r="BU249" s="45"/>
      <c r="BV249" s="45"/>
      <c r="BW249" s="45"/>
      <c r="BX249" s="45"/>
      <c r="BY249" s="45"/>
      <c r="BZ249" s="45"/>
      <c r="CA249" s="45"/>
      <c r="CB249" s="45"/>
      <c r="CC249" s="45"/>
      <c r="CD249" s="45"/>
      <c r="CE249" s="45"/>
      <c r="CF249" s="45"/>
      <c r="CG249" s="45"/>
      <c r="CH249" s="45"/>
      <c r="CI249" s="45"/>
      <c r="CJ249" s="45"/>
      <c r="CK249" s="45"/>
      <c r="CL249" s="45"/>
      <c r="CM249" s="45"/>
      <c r="CN249" s="45"/>
      <c r="CO249" s="45"/>
      <c r="CP249" s="45"/>
    </row>
    <row r="250" spans="1:94">
      <c r="A250" s="45"/>
      <c r="B250" s="45"/>
      <c r="C250" s="45"/>
      <c r="D250" s="45"/>
      <c r="E250" s="290"/>
      <c r="F250" s="260"/>
      <c r="G250" s="260"/>
      <c r="H250" s="291"/>
      <c r="I250" s="45"/>
      <c r="J250" s="290"/>
      <c r="K250" s="260"/>
      <c r="L250" s="260"/>
      <c r="M250" s="291"/>
      <c r="N250" s="45"/>
      <c r="O250" s="290"/>
      <c r="P250" s="260"/>
      <c r="Q250" s="260"/>
      <c r="R250" s="291"/>
      <c r="S250" s="45"/>
      <c r="T250" s="290"/>
      <c r="U250" s="260"/>
      <c r="V250" s="260"/>
      <c r="W250" s="291"/>
      <c r="X250" s="45"/>
      <c r="Y250" s="290"/>
      <c r="Z250" s="260"/>
      <c r="AA250" s="260"/>
      <c r="AB250" s="291"/>
      <c r="AC250" s="45"/>
      <c r="AD250" s="290"/>
      <c r="AE250" s="260"/>
      <c r="AF250" s="260"/>
      <c r="AG250" s="291"/>
      <c r="AH250" s="45"/>
      <c r="AI250" s="290"/>
      <c r="AJ250" s="260"/>
      <c r="AK250" s="260"/>
      <c r="AL250" s="291"/>
      <c r="AM250" s="45"/>
      <c r="AN250" s="290"/>
      <c r="AO250" s="260"/>
      <c r="AP250" s="260"/>
      <c r="AQ250" s="291"/>
      <c r="AR250" s="45"/>
      <c r="AS250" s="290"/>
      <c r="AT250" s="260"/>
      <c r="AU250" s="260"/>
      <c r="AV250" s="291"/>
      <c r="AW250" s="45"/>
      <c r="AX250" s="290"/>
      <c r="AY250" s="260"/>
      <c r="AZ250" s="260"/>
      <c r="BA250" s="291"/>
      <c r="BB250" s="45"/>
      <c r="BC250" s="290"/>
      <c r="BD250" s="260"/>
      <c r="BE250" s="260"/>
      <c r="BF250" s="291"/>
      <c r="BG250" s="45"/>
      <c r="BH250" s="300"/>
      <c r="BI250" s="264"/>
      <c r="BJ250" s="264"/>
      <c r="BK250" s="299"/>
      <c r="BL250" s="45"/>
      <c r="BM250" s="45"/>
      <c r="BN250" s="45"/>
      <c r="BO250" s="45"/>
      <c r="BP250" s="45"/>
      <c r="BQ250" s="45"/>
      <c r="BR250" s="45"/>
      <c r="BS250" s="45"/>
      <c r="BT250" s="45"/>
      <c r="BU250" s="45"/>
      <c r="BV250" s="45"/>
      <c r="BW250" s="45"/>
      <c r="BX250" s="45"/>
      <c r="BY250" s="45"/>
      <c r="BZ250" s="45"/>
      <c r="CA250" s="45"/>
      <c r="CB250" s="45"/>
      <c r="CC250" s="45"/>
      <c r="CD250" s="45"/>
      <c r="CE250" s="45"/>
      <c r="CF250" s="45"/>
      <c r="CG250" s="45"/>
      <c r="CH250" s="45"/>
      <c r="CI250" s="45"/>
      <c r="CJ250" s="45"/>
      <c r="CK250" s="45"/>
      <c r="CL250" s="45"/>
      <c r="CM250" s="45"/>
      <c r="CN250" s="45"/>
      <c r="CO250" s="45"/>
      <c r="CP250" s="45"/>
    </row>
    <row r="251" spans="1:94">
      <c r="A251" s="45"/>
      <c r="B251" s="45"/>
      <c r="C251" s="389" t="s">
        <v>157</v>
      </c>
      <c r="D251" s="45"/>
      <c r="E251" s="290"/>
      <c r="F251" s="260"/>
      <c r="G251" s="260"/>
      <c r="H251" s="291"/>
      <c r="I251" s="228"/>
      <c r="J251" s="292"/>
      <c r="K251" s="261"/>
      <c r="L251" s="261"/>
      <c r="M251" s="293"/>
      <c r="N251" s="228">
        <f>AVERAGE(N249,N244)</f>
        <v>1337.4924999999998</v>
      </c>
      <c r="O251" s="292"/>
      <c r="P251" s="261"/>
      <c r="Q251" s="261"/>
      <c r="R251" s="293"/>
      <c r="S251" s="228">
        <f>AVERAGE(S249,S244)</f>
        <v>1408.13375</v>
      </c>
      <c r="T251" s="292"/>
      <c r="U251" s="261"/>
      <c r="V251" s="261"/>
      <c r="W251" s="293"/>
      <c r="X251" s="228">
        <f>AVERAGE(X249,X244)</f>
        <v>1520.86625</v>
      </c>
      <c r="Y251" s="292"/>
      <c r="Z251" s="261"/>
      <c r="AA251" s="261"/>
      <c r="AB251" s="293"/>
      <c r="AC251" s="228">
        <f>AVERAGE(AC249,AC244)</f>
        <v>1608.0987500000001</v>
      </c>
      <c r="AD251" s="292"/>
      <c r="AE251" s="261"/>
      <c r="AF251" s="261"/>
      <c r="AG251" s="293"/>
      <c r="AH251" s="228">
        <f>AVERAGE(AH249,AH244)</f>
        <v>1706.3312500000002</v>
      </c>
      <c r="AI251" s="292"/>
      <c r="AJ251" s="261"/>
      <c r="AK251" s="261"/>
      <c r="AL251" s="293"/>
      <c r="AM251" s="228">
        <f>AVERAGE(AM249,AM244)</f>
        <v>1836.0637500000003</v>
      </c>
      <c r="AN251" s="292"/>
      <c r="AO251" s="261"/>
      <c r="AP251" s="261"/>
      <c r="AQ251" s="293"/>
      <c r="AR251" s="228">
        <f>AVERAGE(AR249,AR244)</f>
        <v>1935.7962500000003</v>
      </c>
      <c r="AS251" s="292"/>
      <c r="AT251" s="261"/>
      <c r="AU251" s="261"/>
      <c r="AV251" s="293"/>
      <c r="AW251" s="228">
        <f ca="1">AVERAGE(AW249,AW244)</f>
        <v>2097.8386583038341</v>
      </c>
      <c r="AX251" s="292"/>
      <c r="AY251" s="261"/>
      <c r="AZ251" s="261"/>
      <c r="BA251" s="293"/>
      <c r="BB251" s="228">
        <f ca="1">AVERAGE(BB249,BB244)</f>
        <v>2358.1433584711749</v>
      </c>
      <c r="BC251" s="292"/>
      <c r="BD251" s="261"/>
      <c r="BE251" s="261"/>
      <c r="BF251" s="293"/>
      <c r="BG251" s="228">
        <f ca="1">AVERAGE(BG249,BG244)</f>
        <v>2595.419038962445</v>
      </c>
      <c r="BH251" s="292"/>
      <c r="BI251" s="261"/>
      <c r="BJ251" s="261"/>
      <c r="BK251" s="293"/>
      <c r="BL251" s="228">
        <f ca="1">AVERAGE(BL249,BL244)</f>
        <v>2749.2240810222147</v>
      </c>
      <c r="BM251" s="45"/>
      <c r="BN251" s="45"/>
      <c r="BO251" s="45"/>
      <c r="BP251" s="45"/>
      <c r="BQ251" s="45"/>
      <c r="BR251" s="45"/>
      <c r="BS251" s="45"/>
      <c r="BT251" s="45"/>
      <c r="BU251" s="45"/>
      <c r="BV251" s="45"/>
      <c r="BW251" s="45"/>
      <c r="BX251" s="45"/>
      <c r="BY251" s="45"/>
      <c r="BZ251" s="45"/>
      <c r="CA251" s="45"/>
      <c r="CB251" s="45"/>
      <c r="CC251" s="45"/>
      <c r="CD251" s="45"/>
      <c r="CE251" s="45"/>
      <c r="CF251" s="45"/>
      <c r="CG251" s="45"/>
      <c r="CH251" s="45"/>
      <c r="CI251" s="45"/>
      <c r="CJ251" s="45"/>
      <c r="CK251" s="45"/>
      <c r="CL251" s="45"/>
      <c r="CM251" s="45"/>
      <c r="CN251" s="45"/>
      <c r="CO251" s="45"/>
      <c r="CP251" s="45"/>
    </row>
    <row r="252" spans="1:94">
      <c r="A252" s="45"/>
      <c r="B252" s="45"/>
      <c r="C252" s="1373" t="s">
        <v>996</v>
      </c>
      <c r="D252" s="45"/>
      <c r="E252" s="290"/>
      <c r="F252" s="260"/>
      <c r="G252" s="260"/>
      <c r="H252" s="291"/>
      <c r="I252" s="228"/>
      <c r="J252" s="292"/>
      <c r="K252" s="261"/>
      <c r="L252" s="261"/>
      <c r="M252" s="293"/>
      <c r="N252" s="1378"/>
      <c r="O252" s="292"/>
      <c r="P252" s="261"/>
      <c r="Q252" s="261"/>
      <c r="R252" s="293"/>
      <c r="S252" s="1378">
        <f>+S251/N251-1</f>
        <v>5.2816184015985312E-2</v>
      </c>
      <c r="T252" s="292"/>
      <c r="U252" s="261"/>
      <c r="V252" s="261"/>
      <c r="W252" s="293"/>
      <c r="X252" s="1378">
        <f>+X251/S251-1</f>
        <v>8.0058091072669813E-2</v>
      </c>
      <c r="Y252" s="292"/>
      <c r="Z252" s="261"/>
      <c r="AA252" s="261"/>
      <c r="AB252" s="293"/>
      <c r="AC252" s="1378">
        <f>+AC251/X251-1</f>
        <v>5.7357114736420911E-2</v>
      </c>
      <c r="AD252" s="292"/>
      <c r="AE252" s="261"/>
      <c r="AF252" s="261"/>
      <c r="AG252" s="293"/>
      <c r="AH252" s="1378">
        <f>+AH251/AC251-1</f>
        <v>6.1086111782625352E-2</v>
      </c>
      <c r="AI252" s="292"/>
      <c r="AJ252" s="261"/>
      <c r="AK252" s="261"/>
      <c r="AL252" s="293"/>
      <c r="AM252" s="1378">
        <f>+AM251/AH251-1</f>
        <v>7.6030079153740049E-2</v>
      </c>
      <c r="AN252" s="292"/>
      <c r="AO252" s="261"/>
      <c r="AP252" s="261"/>
      <c r="AQ252" s="293"/>
      <c r="AR252" s="1378">
        <f>+AR251/AM251-1</f>
        <v>5.4318647704906686E-2</v>
      </c>
      <c r="AS252" s="292"/>
      <c r="AT252" s="261"/>
      <c r="AU252" s="261"/>
      <c r="AV252" s="293"/>
      <c r="AW252" s="1378">
        <f ca="1">+AW251/AR251-1</f>
        <v>8.3708400769881619E-2</v>
      </c>
      <c r="AX252" s="292"/>
      <c r="AY252" s="261"/>
      <c r="AZ252" s="261"/>
      <c r="BA252" s="293"/>
      <c r="BB252" s="1378">
        <f ca="1">+BB251/AW251-1</f>
        <v>0.12408232593911928</v>
      </c>
      <c r="BC252" s="292"/>
      <c r="BD252" s="261"/>
      <c r="BE252" s="261"/>
      <c r="BF252" s="293"/>
      <c r="BG252" s="1378">
        <f ca="1">+BG251/BB251-1</f>
        <v>0.10061970135908105</v>
      </c>
      <c r="BH252" s="292"/>
      <c r="BI252" s="261"/>
      <c r="BJ252" s="261"/>
      <c r="BK252" s="293"/>
      <c r="BL252" s="1378">
        <f ca="1">+BL251/BG251-1</f>
        <v>5.926019642718483E-2</v>
      </c>
      <c r="BM252" s="45"/>
      <c r="BN252" s="45"/>
      <c r="BO252" s="45"/>
      <c r="BP252" s="45"/>
      <c r="BQ252" s="45"/>
      <c r="BR252" s="45"/>
      <c r="BS252" s="45"/>
      <c r="BT252" s="45"/>
      <c r="BU252" s="45"/>
      <c r="BV252" s="45"/>
      <c r="BW252" s="45"/>
      <c r="BX252" s="45"/>
      <c r="BY252" s="45"/>
      <c r="BZ252" s="45"/>
      <c r="CA252" s="45"/>
      <c r="CB252" s="45"/>
      <c r="CC252" s="45"/>
      <c r="CD252" s="45"/>
      <c r="CE252" s="45"/>
      <c r="CF252" s="45"/>
      <c r="CG252" s="45"/>
      <c r="CH252" s="45"/>
      <c r="CI252" s="45"/>
      <c r="CJ252" s="45"/>
      <c r="CK252" s="45"/>
      <c r="CL252" s="45"/>
      <c r="CM252" s="45"/>
      <c r="CN252" s="45"/>
      <c r="CO252" s="45"/>
      <c r="CP252" s="45"/>
    </row>
    <row r="253" spans="1:94">
      <c r="A253" s="45"/>
      <c r="B253" s="45"/>
      <c r="C253" s="45"/>
      <c r="D253" s="45"/>
      <c r="E253" s="290"/>
      <c r="F253" s="260"/>
      <c r="G253" s="260"/>
      <c r="H253" s="291"/>
      <c r="I253" s="45"/>
      <c r="J253" s="290"/>
      <c r="K253" s="260"/>
      <c r="L253" s="260"/>
      <c r="M253" s="291"/>
      <c r="N253" s="45"/>
      <c r="O253" s="290"/>
      <c r="P253" s="260"/>
      <c r="Q253" s="260"/>
      <c r="R253" s="291"/>
      <c r="S253" s="45"/>
      <c r="T253" s="290"/>
      <c r="U253" s="260"/>
      <c r="V253" s="260"/>
      <c r="W253" s="291"/>
      <c r="X253" s="45"/>
      <c r="Y253" s="290"/>
      <c r="Z253" s="260"/>
      <c r="AA253" s="260"/>
      <c r="AB253" s="291"/>
      <c r="AC253" s="45"/>
      <c r="AD253" s="290"/>
      <c r="AE253" s="260"/>
      <c r="AF253" s="260"/>
      <c r="AG253" s="291"/>
      <c r="AH253" s="45"/>
      <c r="AI253" s="290"/>
      <c r="AJ253" s="260"/>
      <c r="AK253" s="260"/>
      <c r="AL253" s="291"/>
      <c r="AM253" s="45"/>
      <c r="AN253" s="290"/>
      <c r="AO253" s="260"/>
      <c r="AP253" s="260"/>
      <c r="AQ253" s="291"/>
      <c r="AR253" s="45"/>
      <c r="AS253" s="290"/>
      <c r="AT253" s="260"/>
      <c r="AU253" s="260"/>
      <c r="AV253" s="291"/>
      <c r="AW253" s="45"/>
      <c r="AX253" s="290"/>
      <c r="AY253" s="260"/>
      <c r="AZ253" s="260"/>
      <c r="BA253" s="291"/>
      <c r="BB253" s="45"/>
      <c r="BC253" s="290"/>
      <c r="BD253" s="260"/>
      <c r="BE253" s="260"/>
      <c r="BF253" s="291"/>
      <c r="BG253" s="45"/>
      <c r="BH253" s="300"/>
      <c r="BI253" s="264"/>
      <c r="BJ253" s="264"/>
      <c r="BK253" s="299"/>
      <c r="BL253" s="45"/>
      <c r="BM253" s="45"/>
      <c r="BN253" s="45"/>
      <c r="BO253" s="45"/>
      <c r="BP253" s="45"/>
      <c r="BQ253" s="45"/>
      <c r="BR253" s="45"/>
      <c r="BS253" s="45"/>
      <c r="BT253" s="45"/>
      <c r="BU253" s="45"/>
      <c r="BV253" s="45"/>
      <c r="BW253" s="45"/>
      <c r="BX253" s="45"/>
      <c r="BY253" s="45"/>
      <c r="BZ253" s="45"/>
      <c r="CA253" s="45"/>
      <c r="CB253" s="45"/>
      <c r="CC253" s="45"/>
      <c r="CD253" s="45"/>
      <c r="CE253" s="45"/>
      <c r="CF253" s="45"/>
      <c r="CG253" s="45"/>
      <c r="CH253" s="45"/>
      <c r="CI253" s="45"/>
      <c r="CJ253" s="45"/>
      <c r="CK253" s="45"/>
      <c r="CL253" s="45"/>
      <c r="CM253" s="45"/>
      <c r="CN253" s="45"/>
      <c r="CO253" s="45"/>
      <c r="CP253" s="45"/>
    </row>
    <row r="254" spans="1:94">
      <c r="A254" s="45"/>
      <c r="B254" s="45"/>
      <c r="C254" s="1960" t="s">
        <v>1334</v>
      </c>
      <c r="D254" s="45"/>
      <c r="E254" s="290"/>
      <c r="F254" s="260"/>
      <c r="G254" s="260"/>
      <c r="H254" s="291"/>
      <c r="I254" s="45"/>
      <c r="J254" s="290"/>
      <c r="K254" s="260"/>
      <c r="L254" s="260"/>
      <c r="M254" s="291"/>
      <c r="N254" s="45"/>
      <c r="O254" s="290"/>
      <c r="P254" s="260"/>
      <c r="Q254" s="260"/>
      <c r="R254" s="291"/>
      <c r="S254" s="45"/>
      <c r="T254" s="290"/>
      <c r="U254" s="260"/>
      <c r="V254" s="260"/>
      <c r="W254" s="291"/>
      <c r="X254" s="45"/>
      <c r="Y254" s="290"/>
      <c r="Z254" s="260"/>
      <c r="AA254" s="260"/>
      <c r="AB254" s="291"/>
      <c r="AC254" s="45"/>
      <c r="AD254" s="290"/>
      <c r="AE254" s="260"/>
      <c r="AF254" s="260"/>
      <c r="AG254" s="291"/>
      <c r="AH254" s="2130">
        <v>1800</v>
      </c>
      <c r="AI254" s="290"/>
      <c r="AJ254" s="260"/>
      <c r="AK254" s="260"/>
      <c r="AL254" s="291"/>
      <c r="AM254" s="2130">
        <v>1900</v>
      </c>
      <c r="AN254" s="290"/>
      <c r="AO254" s="260"/>
      <c r="AP254" s="260"/>
      <c r="AQ254" s="291"/>
      <c r="AR254" s="2130">
        <v>2100</v>
      </c>
      <c r="AS254" s="290"/>
      <c r="AT254" s="260"/>
      <c r="AU254" s="260"/>
      <c r="AV254" s="291"/>
      <c r="AW254" s="2130">
        <v>2200</v>
      </c>
      <c r="AX254" s="290"/>
      <c r="AY254" s="260"/>
      <c r="AZ254" s="260"/>
      <c r="BA254" s="291"/>
      <c r="BB254" s="2130">
        <v>2500</v>
      </c>
      <c r="BC254" s="290"/>
      <c r="BD254" s="260"/>
      <c r="BE254" s="260"/>
      <c r="BF254" s="291"/>
      <c r="BG254" s="2130">
        <v>2700</v>
      </c>
      <c r="BH254" s="300"/>
      <c r="BI254" s="264"/>
      <c r="BJ254" s="264"/>
      <c r="BK254" s="299"/>
      <c r="BL254" s="2130">
        <v>2800</v>
      </c>
      <c r="BM254" s="45"/>
      <c r="BN254" s="45"/>
      <c r="BO254" s="45"/>
      <c r="BP254" s="45"/>
      <c r="BQ254" s="45"/>
      <c r="BR254" s="45"/>
      <c r="BS254" s="45"/>
      <c r="BT254" s="45"/>
      <c r="BU254" s="45"/>
      <c r="BV254" s="45"/>
      <c r="BW254" s="45"/>
      <c r="BX254" s="45"/>
      <c r="BY254" s="45"/>
      <c r="BZ254" s="45"/>
      <c r="CA254" s="45"/>
      <c r="CB254" s="45"/>
      <c r="CC254" s="45"/>
      <c r="CD254" s="45"/>
      <c r="CE254" s="45"/>
      <c r="CF254" s="45"/>
      <c r="CG254" s="45"/>
      <c r="CH254" s="45"/>
      <c r="CI254" s="45"/>
      <c r="CJ254" s="45"/>
      <c r="CK254" s="45"/>
      <c r="CL254" s="45"/>
      <c r="CM254" s="45"/>
      <c r="CN254" s="45"/>
      <c r="CO254" s="45"/>
      <c r="CP254" s="45"/>
    </row>
    <row r="255" spans="1:94">
      <c r="A255" s="45"/>
      <c r="B255" s="45"/>
      <c r="C255" s="45"/>
      <c r="D255" s="45"/>
      <c r="E255" s="290"/>
      <c r="F255" s="260"/>
      <c r="G255" s="260"/>
      <c r="H255" s="291"/>
      <c r="I255" s="45"/>
      <c r="J255" s="290"/>
      <c r="K255" s="260"/>
      <c r="L255" s="260"/>
      <c r="M255" s="291"/>
      <c r="N255" s="45"/>
      <c r="O255" s="290"/>
      <c r="P255" s="260"/>
      <c r="Q255" s="260"/>
      <c r="R255" s="291"/>
      <c r="S255" s="45"/>
      <c r="T255" s="290"/>
      <c r="U255" s="260"/>
      <c r="V255" s="260"/>
      <c r="W255" s="291"/>
      <c r="X255" s="45"/>
      <c r="Y255" s="290"/>
      <c r="Z255" s="260"/>
      <c r="AA255" s="260"/>
      <c r="AB255" s="291"/>
      <c r="AC255" s="45"/>
      <c r="AD255" s="290"/>
      <c r="AE255" s="260"/>
      <c r="AF255" s="260"/>
      <c r="AG255" s="291"/>
      <c r="AH255" s="45"/>
      <c r="AI255" s="290"/>
      <c r="AJ255" s="260"/>
      <c r="AK255" s="260"/>
      <c r="AL255" s="291"/>
      <c r="AM255" s="45"/>
      <c r="AN255" s="290"/>
      <c r="AO255" s="260"/>
      <c r="AP255" s="260"/>
      <c r="AQ255" s="291"/>
      <c r="AR255" s="45"/>
      <c r="AS255" s="290"/>
      <c r="AT255" s="260"/>
      <c r="AU255" s="260"/>
      <c r="AV255" s="291"/>
      <c r="AW255" s="45"/>
      <c r="AX255" s="290"/>
      <c r="AY255" s="260"/>
      <c r="AZ255" s="260"/>
      <c r="BA255" s="291"/>
      <c r="BB255" s="45"/>
      <c r="BC255" s="290"/>
      <c r="BD255" s="260"/>
      <c r="BE255" s="260"/>
      <c r="BF255" s="291"/>
      <c r="BG255" s="45"/>
      <c r="BH255" s="300"/>
      <c r="BI255" s="264"/>
      <c r="BJ255" s="264"/>
      <c r="BK255" s="299"/>
      <c r="BL255" s="45"/>
      <c r="BM255" s="45"/>
      <c r="BN255" s="45"/>
      <c r="BO255" s="45"/>
      <c r="BP255" s="45"/>
      <c r="BQ255" s="45"/>
      <c r="BR255" s="45"/>
      <c r="BS255" s="45"/>
      <c r="BT255" s="45"/>
      <c r="BU255" s="45"/>
      <c r="BV255" s="45"/>
      <c r="BW255" s="45"/>
      <c r="BX255" s="45"/>
      <c r="BY255" s="45"/>
      <c r="BZ255" s="45"/>
      <c r="CA255" s="45"/>
      <c r="CB255" s="45"/>
      <c r="CC255" s="45"/>
      <c r="CD255" s="45"/>
      <c r="CE255" s="45"/>
      <c r="CF255" s="45"/>
      <c r="CG255" s="45"/>
      <c r="CH255" s="45"/>
      <c r="CI255" s="45"/>
      <c r="CJ255" s="45"/>
      <c r="CK255" s="45"/>
      <c r="CL255" s="45"/>
      <c r="CM255" s="45"/>
      <c r="CN255" s="45"/>
      <c r="CO255" s="45"/>
      <c r="CP255" s="45"/>
    </row>
    <row r="256" spans="1:94">
      <c r="A256" s="45"/>
      <c r="B256" s="45"/>
      <c r="C256" s="389" t="s">
        <v>281</v>
      </c>
      <c r="D256" s="45"/>
      <c r="E256" s="290"/>
      <c r="F256" s="260"/>
      <c r="G256" s="260"/>
      <c r="H256" s="291"/>
      <c r="I256" s="45"/>
      <c r="J256" s="290"/>
      <c r="K256" s="260"/>
      <c r="L256" s="260"/>
      <c r="M256" s="291"/>
      <c r="N256" s="45"/>
      <c r="O256" s="290"/>
      <c r="P256" s="260"/>
      <c r="Q256" s="260"/>
      <c r="R256" s="291"/>
      <c r="S256" s="45"/>
      <c r="T256" s="290"/>
      <c r="U256" s="260"/>
      <c r="V256" s="260"/>
      <c r="W256" s="291"/>
      <c r="X256" s="45"/>
      <c r="Y256" s="290"/>
      <c r="Z256" s="260"/>
      <c r="AA256" s="260"/>
      <c r="AB256" s="291"/>
      <c r="AC256" s="45"/>
      <c r="AD256" s="290"/>
      <c r="AE256" s="260"/>
      <c r="AF256" s="260"/>
      <c r="AG256" s="291"/>
      <c r="AH256" s="45"/>
      <c r="AI256" s="290"/>
      <c r="AJ256" s="260"/>
      <c r="AK256" s="260"/>
      <c r="AL256" s="291"/>
      <c r="AM256" s="45"/>
      <c r="AN256" s="290"/>
      <c r="AO256" s="260"/>
      <c r="AP256" s="260"/>
      <c r="AQ256" s="291"/>
      <c r="AR256" s="45"/>
      <c r="AS256" s="290"/>
      <c r="AT256" s="260"/>
      <c r="AU256" s="260"/>
      <c r="AV256" s="291"/>
      <c r="AW256" s="45"/>
      <c r="AX256" s="290"/>
      <c r="AY256" s="260"/>
      <c r="AZ256" s="260"/>
      <c r="BA256" s="291"/>
      <c r="BB256" s="45"/>
      <c r="BC256" s="290"/>
      <c r="BD256" s="260"/>
      <c r="BE256" s="260"/>
      <c r="BF256" s="291"/>
      <c r="BG256" s="45"/>
      <c r="BH256" s="300"/>
      <c r="BI256" s="264"/>
      <c r="BJ256" s="264"/>
      <c r="BK256" s="299"/>
      <c r="BL256" s="45"/>
      <c r="BM256" s="45"/>
      <c r="BN256" s="45"/>
      <c r="BO256" s="45"/>
      <c r="BP256" s="45"/>
      <c r="BQ256" s="45"/>
      <c r="BR256" s="45"/>
      <c r="BS256" s="45"/>
      <c r="BT256" s="45"/>
      <c r="BU256" s="45"/>
      <c r="BV256" s="45"/>
      <c r="BW256" s="45"/>
      <c r="BX256" s="45"/>
      <c r="BY256" s="45"/>
      <c r="BZ256" s="45"/>
      <c r="CA256" s="45"/>
      <c r="CB256" s="45"/>
      <c r="CC256" s="45"/>
      <c r="CD256" s="45"/>
      <c r="CE256" s="45"/>
      <c r="CF256" s="45"/>
      <c r="CG256" s="45"/>
      <c r="CH256" s="45"/>
      <c r="CI256" s="45"/>
      <c r="CJ256" s="45"/>
      <c r="CK256" s="45"/>
      <c r="CL256" s="45"/>
      <c r="CM256" s="45"/>
      <c r="CN256" s="45"/>
      <c r="CO256" s="45"/>
      <c r="CP256" s="45"/>
    </row>
    <row r="257" spans="1:94">
      <c r="A257" s="1716"/>
      <c r="B257" s="1716"/>
      <c r="C257" s="391" t="s">
        <v>769</v>
      </c>
      <c r="D257" s="1716"/>
      <c r="E257" s="1783"/>
      <c r="F257" s="1784"/>
      <c r="G257" s="1784"/>
      <c r="H257" s="1785"/>
      <c r="I257" s="1714">
        <v>0.5</v>
      </c>
      <c r="J257" s="1783">
        <v>0.5</v>
      </c>
      <c r="K257" s="1784">
        <v>0.5</v>
      </c>
      <c r="L257" s="1784">
        <v>0.5</v>
      </c>
      <c r="M257" s="1785">
        <v>0.5</v>
      </c>
      <c r="N257" s="1714">
        <v>0.5</v>
      </c>
      <c r="O257" s="1783">
        <v>0.5</v>
      </c>
      <c r="P257" s="1784">
        <v>0.5</v>
      </c>
      <c r="Q257" s="1784">
        <v>0.5</v>
      </c>
      <c r="R257" s="1785">
        <v>0.5</v>
      </c>
      <c r="S257" s="1714">
        <v>0.5</v>
      </c>
      <c r="T257" s="1783">
        <v>0.5</v>
      </c>
      <c r="U257" s="1784">
        <v>0.5</v>
      </c>
      <c r="V257" s="1784">
        <v>0.5</v>
      </c>
      <c r="W257" s="1785">
        <v>0.5</v>
      </c>
      <c r="X257" s="1714">
        <v>0.5</v>
      </c>
      <c r="Y257" s="1783">
        <v>0.5</v>
      </c>
      <c r="Z257" s="1784">
        <v>0.5</v>
      </c>
      <c r="AA257" s="1784">
        <v>0.5</v>
      </c>
      <c r="AB257" s="1785">
        <v>0.5</v>
      </c>
      <c r="AC257" s="1714">
        <v>0.5</v>
      </c>
      <c r="AD257" s="1783">
        <v>0.5</v>
      </c>
      <c r="AE257" s="1784">
        <v>0.5</v>
      </c>
      <c r="AF257" s="1784">
        <v>0.5</v>
      </c>
      <c r="AG257" s="1785">
        <v>0.5</v>
      </c>
      <c r="AH257" s="1714">
        <v>0.5</v>
      </c>
      <c r="AI257" s="1783">
        <v>0.5</v>
      </c>
      <c r="AJ257" s="1784">
        <v>0.5</v>
      </c>
      <c r="AK257" s="1784">
        <v>0.49480000000000002</v>
      </c>
      <c r="AL257" s="1785">
        <f t="shared" ref="AL257:BG257" si="736">AK257</f>
        <v>0.49480000000000002</v>
      </c>
      <c r="AM257" s="1714">
        <f t="shared" si="736"/>
        <v>0.49480000000000002</v>
      </c>
      <c r="AN257" s="1783">
        <f t="shared" si="736"/>
        <v>0.49480000000000002</v>
      </c>
      <c r="AO257" s="1784">
        <f t="shared" si="736"/>
        <v>0.49480000000000002</v>
      </c>
      <c r="AP257" s="1784">
        <f t="shared" si="736"/>
        <v>0.49480000000000002</v>
      </c>
      <c r="AQ257" s="1785">
        <f t="shared" si="736"/>
        <v>0.49480000000000002</v>
      </c>
      <c r="AR257" s="1714">
        <f t="shared" si="736"/>
        <v>0.49480000000000002</v>
      </c>
      <c r="AS257" s="1783">
        <f t="shared" si="736"/>
        <v>0.49480000000000002</v>
      </c>
      <c r="AT257" s="1784">
        <f t="shared" si="736"/>
        <v>0.49480000000000002</v>
      </c>
      <c r="AU257" s="1784">
        <f t="shared" si="736"/>
        <v>0.49480000000000002</v>
      </c>
      <c r="AV257" s="1785">
        <f t="shared" si="736"/>
        <v>0.49480000000000002</v>
      </c>
      <c r="AW257" s="1714">
        <f t="shared" si="736"/>
        <v>0.49480000000000002</v>
      </c>
      <c r="AX257" s="1783">
        <f t="shared" si="736"/>
        <v>0.49480000000000002</v>
      </c>
      <c r="AY257" s="1784">
        <f t="shared" si="736"/>
        <v>0.49480000000000002</v>
      </c>
      <c r="AZ257" s="1784">
        <f t="shared" si="736"/>
        <v>0.49480000000000002</v>
      </c>
      <c r="BA257" s="1785">
        <f t="shared" si="736"/>
        <v>0.49480000000000002</v>
      </c>
      <c r="BB257" s="1714">
        <f t="shared" si="736"/>
        <v>0.49480000000000002</v>
      </c>
      <c r="BC257" s="1783">
        <f t="shared" si="736"/>
        <v>0.49480000000000002</v>
      </c>
      <c r="BD257" s="1784">
        <f t="shared" si="736"/>
        <v>0.49480000000000002</v>
      </c>
      <c r="BE257" s="1784">
        <f t="shared" si="736"/>
        <v>0.49480000000000002</v>
      </c>
      <c r="BF257" s="1785">
        <f t="shared" si="736"/>
        <v>0.49480000000000002</v>
      </c>
      <c r="BG257" s="1714">
        <f t="shared" si="736"/>
        <v>0.49480000000000002</v>
      </c>
      <c r="BH257" s="2023">
        <f t="shared" ref="BH257" si="737">BG257</f>
        <v>0.49480000000000002</v>
      </c>
      <c r="BI257" s="2024">
        <f t="shared" ref="BI257" si="738">BH257</f>
        <v>0.49480000000000002</v>
      </c>
      <c r="BJ257" s="2024">
        <f t="shared" ref="BJ257" si="739">BI257</f>
        <v>0.49480000000000002</v>
      </c>
      <c r="BK257" s="2025">
        <f t="shared" ref="BK257" si="740">BJ257</f>
        <v>0.49480000000000002</v>
      </c>
      <c r="BL257" s="2281">
        <f>+BG257</f>
        <v>0.49480000000000002</v>
      </c>
      <c r="BM257" s="1716"/>
      <c r="BN257" s="1716"/>
      <c r="BO257" s="1716"/>
      <c r="BP257" s="1716"/>
      <c r="BQ257" s="1716"/>
      <c r="BR257" s="1716"/>
      <c r="BS257" s="1716"/>
      <c r="BT257" s="1716"/>
      <c r="BU257" s="1716"/>
      <c r="BV257" s="1716"/>
      <c r="BW257" s="1716"/>
      <c r="BX257" s="1716"/>
      <c r="BY257" s="1716"/>
      <c r="BZ257" s="1716"/>
      <c r="CA257" s="1716"/>
      <c r="CB257" s="1716"/>
      <c r="CC257" s="1716"/>
      <c r="CD257" s="1716"/>
      <c r="CE257" s="1716"/>
      <c r="CF257" s="1716"/>
      <c r="CG257" s="1716"/>
      <c r="CH257" s="1716"/>
      <c r="CI257" s="1716"/>
      <c r="CJ257" s="1716"/>
      <c r="CK257" s="1716"/>
      <c r="CL257" s="1716"/>
      <c r="CM257" s="1716"/>
      <c r="CN257" s="1716"/>
      <c r="CO257" s="1716"/>
      <c r="CP257" s="1716"/>
    </row>
    <row r="258" spans="1:94">
      <c r="A258" s="1716"/>
      <c r="B258" s="1716"/>
      <c r="C258" s="1960" t="s">
        <v>519</v>
      </c>
      <c r="D258" s="1716"/>
      <c r="E258" s="1786"/>
      <c r="F258" s="1768"/>
      <c r="G258" s="1768"/>
      <c r="H258" s="1769"/>
      <c r="I258" s="1787">
        <f>+I219</f>
        <v>0.39943181818181817</v>
      </c>
      <c r="J258" s="1786"/>
      <c r="K258" s="1768"/>
      <c r="L258" s="1768"/>
      <c r="M258" s="1769"/>
      <c r="N258" s="1787">
        <f>+N219</f>
        <v>0.43002680965147455</v>
      </c>
      <c r="O258" s="1786"/>
      <c r="P258" s="1768"/>
      <c r="Q258" s="1768"/>
      <c r="R258" s="1769"/>
      <c r="S258" s="1787">
        <f>+S219</f>
        <v>0.41447028423772608</v>
      </c>
      <c r="T258" s="1786"/>
      <c r="U258" s="1768"/>
      <c r="V258" s="1768"/>
      <c r="W258" s="1769"/>
      <c r="X258" s="1787">
        <f>+X219</f>
        <v>0.43436873747494992</v>
      </c>
      <c r="Y258" s="1786"/>
      <c r="Z258" s="1768"/>
      <c r="AA258" s="1768"/>
      <c r="AB258" s="1769"/>
      <c r="AC258" s="1787">
        <f>+AC219</f>
        <v>0.44145490782262081</v>
      </c>
      <c r="AD258" s="1786"/>
      <c r="AE258" s="1768"/>
      <c r="AF258" s="1768"/>
      <c r="AG258" s="1769"/>
      <c r="AH258" s="1787">
        <f>+AH219</f>
        <v>0.48181818181818181</v>
      </c>
      <c r="AI258" s="1786"/>
      <c r="AJ258" s="1768"/>
      <c r="AK258" s="1768"/>
      <c r="AL258" s="1769"/>
      <c r="AM258" s="1787">
        <f>+AM219</f>
        <v>0.50072639225181603</v>
      </c>
      <c r="AN258" s="1786"/>
      <c r="AO258" s="1768"/>
      <c r="AP258" s="1768"/>
      <c r="AQ258" s="1769"/>
      <c r="AR258" s="1787">
        <f>+AR219</f>
        <v>0.47800183318056827</v>
      </c>
      <c r="AS258" s="1786"/>
      <c r="AT258" s="1768"/>
      <c r="AU258" s="1768"/>
      <c r="AV258" s="1769"/>
      <c r="AW258" s="1787">
        <f ca="1">+AW219</f>
        <v>0.49473675878170259</v>
      </c>
      <c r="AX258" s="1786"/>
      <c r="AY258" s="1768"/>
      <c r="AZ258" s="1768"/>
      <c r="BA258" s="1769"/>
      <c r="BB258" s="1787">
        <f ca="1">+BB219</f>
        <v>0.49500962941673227</v>
      </c>
      <c r="BC258" s="1786"/>
      <c r="BD258" s="1768"/>
      <c r="BE258" s="1768"/>
      <c r="BF258" s="1769"/>
      <c r="BG258" s="1787">
        <f ca="1">+BG219</f>
        <v>0.49438188999123006</v>
      </c>
      <c r="BH258" s="2023"/>
      <c r="BI258" s="2024"/>
      <c r="BJ258" s="2024"/>
      <c r="BK258" s="2025"/>
      <c r="BL258" s="1787">
        <f ca="1">+BL219</f>
        <v>0.49594026681575382</v>
      </c>
      <c r="BM258" s="1716"/>
      <c r="BN258" s="1716"/>
      <c r="BO258" s="1716"/>
      <c r="BP258" s="1716"/>
      <c r="BQ258" s="1716"/>
      <c r="BR258" s="1716"/>
      <c r="BS258" s="1716"/>
      <c r="BT258" s="1716"/>
      <c r="BU258" s="1716"/>
      <c r="BV258" s="1716"/>
      <c r="BW258" s="1716"/>
      <c r="BX258" s="1716"/>
      <c r="BY258" s="1716"/>
      <c r="BZ258" s="1716"/>
      <c r="CA258" s="1716"/>
      <c r="CB258" s="1716"/>
      <c r="CC258" s="1716"/>
      <c r="CD258" s="1716"/>
      <c r="CE258" s="1716"/>
      <c r="CF258" s="1716"/>
      <c r="CG258" s="1716"/>
      <c r="CH258" s="1716"/>
      <c r="CI258" s="1716"/>
      <c r="CJ258" s="1716"/>
      <c r="CK258" s="1716"/>
      <c r="CL258" s="1716"/>
      <c r="CM258" s="1716"/>
      <c r="CN258" s="1716"/>
      <c r="CO258" s="1716"/>
      <c r="CP258" s="1716"/>
    </row>
    <row r="259" spans="1:94">
      <c r="A259" s="1716"/>
      <c r="B259" s="1716"/>
      <c r="C259" s="1716"/>
      <c r="D259" s="1716"/>
      <c r="E259" s="1700"/>
      <c r="F259" s="1337"/>
      <c r="G259" s="1337"/>
      <c r="H259" s="1701"/>
      <c r="I259" s="1713"/>
      <c r="J259" s="1700"/>
      <c r="K259" s="1337"/>
      <c r="L259" s="1337"/>
      <c r="M259" s="1701"/>
      <c r="N259" s="1713"/>
      <c r="O259" s="1700"/>
      <c r="P259" s="1337"/>
      <c r="Q259" s="1337"/>
      <c r="R259" s="1701"/>
      <c r="S259" s="1713"/>
      <c r="T259" s="1700"/>
      <c r="U259" s="1337"/>
      <c r="V259" s="1337"/>
      <c r="W259" s="1701"/>
      <c r="X259" s="1713"/>
      <c r="Y259" s="1700"/>
      <c r="Z259" s="1337"/>
      <c r="AA259" s="1337"/>
      <c r="AB259" s="1701"/>
      <c r="AC259" s="1713"/>
      <c r="AD259" s="1700"/>
      <c r="AE259" s="1337"/>
      <c r="AF259" s="1337"/>
      <c r="AG259" s="1701"/>
      <c r="AH259" s="1713"/>
      <c r="AI259" s="1700"/>
      <c r="AJ259" s="1337"/>
      <c r="AK259" s="1337"/>
      <c r="AL259" s="1701"/>
      <c r="AM259" s="1713"/>
      <c r="AN259" s="1700"/>
      <c r="AO259" s="1337"/>
      <c r="AP259" s="1337"/>
      <c r="AQ259" s="1701"/>
      <c r="AR259" s="1713"/>
      <c r="AS259" s="1700"/>
      <c r="AT259" s="1337"/>
      <c r="AU259" s="1337"/>
      <c r="AV259" s="1701"/>
      <c r="AW259" s="1713"/>
      <c r="AX259" s="1700"/>
      <c r="AY259" s="1337"/>
      <c r="AZ259" s="1337"/>
      <c r="BA259" s="1701"/>
      <c r="BB259" s="1713"/>
      <c r="BC259" s="1700"/>
      <c r="BD259" s="1337"/>
      <c r="BE259" s="1337"/>
      <c r="BF259" s="1701"/>
      <c r="BG259" s="1713"/>
      <c r="BH259" s="1700"/>
      <c r="BI259" s="1337"/>
      <c r="BJ259" s="1337"/>
      <c r="BK259" s="1701"/>
      <c r="BL259" s="1713"/>
      <c r="BM259" s="1716"/>
      <c r="BN259" s="1716"/>
      <c r="BO259" s="1716"/>
      <c r="BP259" s="1716"/>
      <c r="BQ259" s="1716"/>
      <c r="BR259" s="1716"/>
      <c r="BS259" s="1716"/>
      <c r="BT259" s="1716"/>
      <c r="BU259" s="1716"/>
      <c r="BV259" s="1716"/>
      <c r="BW259" s="1716"/>
      <c r="BX259" s="1716"/>
      <c r="BY259" s="1716"/>
      <c r="BZ259" s="1716"/>
      <c r="CA259" s="1716"/>
      <c r="CB259" s="1716"/>
      <c r="CC259" s="1716"/>
      <c r="CD259" s="1716"/>
      <c r="CE259" s="1716"/>
      <c r="CF259" s="1716"/>
      <c r="CG259" s="1716"/>
      <c r="CH259" s="1716"/>
      <c r="CI259" s="1716"/>
      <c r="CJ259" s="1716"/>
      <c r="CK259" s="1716"/>
      <c r="CL259" s="1716"/>
      <c r="CM259" s="1716"/>
      <c r="CN259" s="1716"/>
      <c r="CO259" s="1716"/>
      <c r="CP259" s="1716"/>
    </row>
    <row r="260" spans="1:94">
      <c r="A260" s="1716"/>
      <c r="B260" s="1716"/>
      <c r="C260" s="389" t="s">
        <v>1312</v>
      </c>
      <c r="D260" s="1716"/>
      <c r="E260" s="1783"/>
      <c r="F260" s="1784"/>
      <c r="G260" s="1784"/>
      <c r="H260" s="1785"/>
      <c r="I260" s="1714"/>
      <c r="J260" s="1783"/>
      <c r="K260" s="1784"/>
      <c r="L260" s="1784"/>
      <c r="M260" s="1785"/>
      <c r="N260" s="1714"/>
      <c r="O260" s="1783"/>
      <c r="P260" s="1784"/>
      <c r="Q260" s="1784"/>
      <c r="R260" s="1785"/>
      <c r="S260" s="1714"/>
      <c r="T260" s="1783"/>
      <c r="U260" s="1784"/>
      <c r="V260" s="1784"/>
      <c r="W260" s="1785"/>
      <c r="X260" s="1714"/>
      <c r="Y260" s="1783"/>
      <c r="Z260" s="1784"/>
      <c r="AA260" s="1784"/>
      <c r="AB260" s="1785"/>
      <c r="AC260" s="1714"/>
      <c r="AD260" s="1783"/>
      <c r="AE260" s="1784"/>
      <c r="AF260" s="1784"/>
      <c r="AG260" s="1785"/>
      <c r="AH260" s="1714"/>
      <c r="AI260" s="1783"/>
      <c r="AJ260" s="1784"/>
      <c r="AK260" s="1784"/>
      <c r="AL260" s="1785"/>
      <c r="AM260" s="1714"/>
      <c r="AN260" s="1783"/>
      <c r="AO260" s="1784"/>
      <c r="AP260" s="1784"/>
      <c r="AQ260" s="1785"/>
      <c r="AR260" s="1714"/>
      <c r="AS260" s="1783"/>
      <c r="AT260" s="1784"/>
      <c r="AU260" s="1784"/>
      <c r="AV260" s="1785"/>
      <c r="AW260" s="1714"/>
      <c r="AX260" s="1783"/>
      <c r="AY260" s="1784"/>
      <c r="AZ260" s="1784"/>
      <c r="BA260" s="1785"/>
      <c r="BB260" s="1714"/>
      <c r="BC260" s="1783"/>
      <c r="BD260" s="1784"/>
      <c r="BE260" s="1784"/>
      <c r="BF260" s="1785"/>
      <c r="BG260" s="1714"/>
      <c r="BH260" s="1783"/>
      <c r="BI260" s="1784"/>
      <c r="BJ260" s="1784"/>
      <c r="BK260" s="1785"/>
      <c r="BL260" s="1714"/>
      <c r="BM260" s="1716"/>
      <c r="BN260" s="1716"/>
      <c r="BO260" s="1716"/>
      <c r="BP260" s="1716"/>
      <c r="BQ260" s="1716"/>
      <c r="BR260" s="1716"/>
      <c r="BS260" s="1716"/>
      <c r="BT260" s="1716"/>
      <c r="BU260" s="1716"/>
      <c r="BV260" s="1716"/>
      <c r="BW260" s="1716"/>
      <c r="BX260" s="1716"/>
      <c r="BY260" s="1716"/>
      <c r="BZ260" s="1716"/>
      <c r="CA260" s="1716"/>
      <c r="CB260" s="1716"/>
      <c r="CC260" s="1716"/>
      <c r="CD260" s="1716"/>
      <c r="CE260" s="1716"/>
      <c r="CF260" s="1716"/>
      <c r="CG260" s="1716"/>
      <c r="CH260" s="1716"/>
      <c r="CI260" s="1716"/>
      <c r="CJ260" s="1716"/>
      <c r="CK260" s="1716"/>
      <c r="CL260" s="1716"/>
      <c r="CM260" s="1716"/>
      <c r="CN260" s="1716"/>
      <c r="CO260" s="1716"/>
      <c r="CP260" s="1716"/>
    </row>
    <row r="261" spans="1:94">
      <c r="A261" s="1716"/>
      <c r="B261" s="1716"/>
      <c r="C261" s="1716" t="s">
        <v>1313</v>
      </c>
      <c r="D261" s="1716"/>
      <c r="E261" s="1700"/>
      <c r="F261" s="1337"/>
      <c r="G261" s="1337"/>
      <c r="H261" s="1701"/>
      <c r="I261" s="1714">
        <f>N261</f>
        <v>0.10167348329925018</v>
      </c>
      <c r="J261" s="1783"/>
      <c r="K261" s="1784"/>
      <c r="L261" s="1784"/>
      <c r="M261" s="1785"/>
      <c r="N261" s="1714">
        <f>S261</f>
        <v>0.10167348329925018</v>
      </c>
      <c r="O261" s="1783"/>
      <c r="P261" s="1784"/>
      <c r="Q261" s="1784"/>
      <c r="R261" s="1785"/>
      <c r="S261" s="1714">
        <f>9.75%*(1072/S249)+11.3%*(395/S249)</f>
        <v>0.10167348329925018</v>
      </c>
      <c r="T261" s="1783"/>
      <c r="U261" s="1784"/>
      <c r="V261" s="1784"/>
      <c r="W261" s="1785"/>
      <c r="X261" s="1714">
        <f>S261</f>
        <v>0.10167348329925018</v>
      </c>
      <c r="Y261" s="1783"/>
      <c r="Z261" s="1784"/>
      <c r="AA261" s="1784"/>
      <c r="AB261" s="1785"/>
      <c r="AC261" s="1714">
        <f>X261</f>
        <v>0.10167348329925018</v>
      </c>
      <c r="AD261" s="1783"/>
      <c r="AE261" s="1784"/>
      <c r="AF261" s="1784"/>
      <c r="AG261" s="1785"/>
      <c r="AH261" s="1714">
        <f>AC261</f>
        <v>0.10167348329925018</v>
      </c>
      <c r="AI261" s="1783"/>
      <c r="AJ261" s="1784"/>
      <c r="AK261" s="1784"/>
      <c r="AL261" s="1785"/>
      <c r="AM261" s="1714">
        <f>(1200/AM254*9.75%)+(700/AM254*$BN$48)</f>
        <v>0.10026315789473683</v>
      </c>
      <c r="AN261" s="1783"/>
      <c r="AO261" s="1784"/>
      <c r="AP261" s="1784"/>
      <c r="AQ261" s="1785"/>
      <c r="AR261" s="1714">
        <f>(1316.150936/AR254*9.6%)+(700/AR254*$BN$48)</f>
        <v>9.5166899931428572E-2</v>
      </c>
      <c r="AS261" s="1783"/>
      <c r="AT261" s="1784"/>
      <c r="AU261" s="1784"/>
      <c r="AV261" s="1785"/>
      <c r="AW261" s="1714">
        <f>AR261</f>
        <v>9.5166899931428572E-2</v>
      </c>
      <c r="AX261" s="1783"/>
      <c r="AY261" s="1784"/>
      <c r="AZ261" s="1784"/>
      <c r="BA261" s="1785"/>
      <c r="BB261" s="1714">
        <f>AW261</f>
        <v>9.5166899931428572E-2</v>
      </c>
      <c r="BC261" s="1783"/>
      <c r="BD261" s="1784"/>
      <c r="BE261" s="1784"/>
      <c r="BF261" s="1785"/>
      <c r="BG261" s="1714">
        <f>BB261</f>
        <v>9.5166899931428572E-2</v>
      </c>
      <c r="BH261" s="1783"/>
      <c r="BI261" s="1784"/>
      <c r="BJ261" s="1784"/>
      <c r="BK261" s="1785"/>
      <c r="BL261" s="2281">
        <f>+BG261</f>
        <v>9.5166899931428572E-2</v>
      </c>
      <c r="BM261" s="1716"/>
      <c r="BN261" s="1716"/>
      <c r="BO261" s="1716"/>
      <c r="BP261" s="1716"/>
      <c r="BQ261" s="1716"/>
      <c r="BR261" s="1716"/>
      <c r="BS261" s="1716"/>
      <c r="BT261" s="1716"/>
      <c r="BU261" s="1716"/>
      <c r="BV261" s="1716"/>
      <c r="BW261" s="1716"/>
      <c r="BX261" s="1716"/>
      <c r="BY261" s="1716"/>
      <c r="BZ261" s="1716"/>
      <c r="CA261" s="1716"/>
      <c r="CB261" s="1716"/>
      <c r="CC261" s="1716"/>
      <c r="CD261" s="1716"/>
      <c r="CE261" s="1716"/>
      <c r="CF261" s="1716"/>
      <c r="CG261" s="1716"/>
      <c r="CH261" s="1716"/>
      <c r="CI261" s="1716"/>
      <c r="CJ261" s="1716"/>
      <c r="CK261" s="1716"/>
      <c r="CL261" s="1716"/>
      <c r="CM261" s="1716"/>
      <c r="CN261" s="1716"/>
      <c r="CO261" s="1716"/>
      <c r="CP261" s="1716"/>
    </row>
    <row r="262" spans="1:94">
      <c r="A262" s="1716"/>
      <c r="B262" s="1716"/>
      <c r="C262" s="1716" t="s">
        <v>747</v>
      </c>
      <c r="D262" s="1716"/>
      <c r="E262" s="1786"/>
      <c r="F262" s="1768"/>
      <c r="G262" s="1768"/>
      <c r="H262" s="1769"/>
      <c r="I262" s="1787">
        <f>I230/(I257*(AVERAGE(I249,I244)))</f>
        <v>8.1305957770759385E-2</v>
      </c>
      <c r="J262" s="1786"/>
      <c r="K262" s="1768"/>
      <c r="L262" s="1768"/>
      <c r="M262" s="1769"/>
      <c r="N262" s="1787">
        <f>N230/(N257*(AVERAGE(N249,N244)))</f>
        <v>5.8318084026639412E-2</v>
      </c>
      <c r="O262" s="1786"/>
      <c r="P262" s="1768"/>
      <c r="Q262" s="1768"/>
      <c r="R262" s="1769"/>
      <c r="S262" s="1787">
        <f>S230/(S257*(AVERAGE(S249,S244)))</f>
        <v>4.9711186881217784E-2</v>
      </c>
      <c r="T262" s="1786"/>
      <c r="U262" s="1768"/>
      <c r="V262" s="1768"/>
      <c r="W262" s="1769"/>
      <c r="X262" s="1787">
        <f>X230/(X257*(AVERAGE(X249,X244)))</f>
        <v>6.5752001532021639E-2</v>
      </c>
      <c r="Y262" s="1786"/>
      <c r="Z262" s="1768"/>
      <c r="AA262" s="1768"/>
      <c r="AB262" s="1769"/>
      <c r="AC262" s="1787">
        <f>AC230/(AC257*(AVERAGE(AC249,AC244)))</f>
        <v>5.5966712243262419E-2</v>
      </c>
      <c r="AD262" s="1786"/>
      <c r="AE262" s="1768"/>
      <c r="AF262" s="1768"/>
      <c r="AG262" s="1769"/>
      <c r="AH262" s="1787">
        <f>AH230/(AH257*(AVERAGE(AH249,AH244)))</f>
        <v>4.4540003589572656E-2</v>
      </c>
      <c r="AI262" s="1786"/>
      <c r="AJ262" s="1768"/>
      <c r="AK262" s="1768"/>
      <c r="AL262" s="1769"/>
      <c r="AM262" s="1787">
        <f>AM230/(AM257*(AVERAGE(AM249,AM244)))</f>
        <v>-4.6230846244627651E-2</v>
      </c>
      <c r="AN262" s="1786"/>
      <c r="AO262" s="1768"/>
      <c r="AP262" s="1768"/>
      <c r="AQ262" s="1769"/>
      <c r="AR262" s="1787">
        <f>AR230/(AR257*(AVERAGE(AR249,AR244)))</f>
        <v>8.0389881780983677E-2</v>
      </c>
      <c r="AS262" s="1786"/>
      <c r="AT262" s="1768"/>
      <c r="AU262" s="1768"/>
      <c r="AV262" s="1769"/>
      <c r="AW262" s="1787">
        <f ca="1">AW230/(AW257*(AVERAGE(AW249,AW244)))</f>
        <v>8.8871538901874783E-2</v>
      </c>
      <c r="AX262" s="1786"/>
      <c r="AY262" s="1768"/>
      <c r="AZ262" s="1768"/>
      <c r="BA262" s="1769"/>
      <c r="BB262" s="1787">
        <f ca="1">BB230/(BB257*(AVERAGE(BB249,BB244)))</f>
        <v>9.0644750484050379E-2</v>
      </c>
      <c r="BC262" s="1786"/>
      <c r="BD262" s="1768"/>
      <c r="BE262" s="1768"/>
      <c r="BF262" s="1769"/>
      <c r="BG262" s="1787">
        <f ca="1">BG230/(BG257*(AVERAGE(BG249,BG244)))</f>
        <v>9.6765181079636664E-2</v>
      </c>
      <c r="BH262" s="1786"/>
      <c r="BI262" s="1768"/>
      <c r="BJ262" s="1768"/>
      <c r="BK262" s="1769"/>
      <c r="BL262" s="1787">
        <f ca="1">BL230/(BL257*(AVERAGE(BL249,BL244)))</f>
        <v>9.7992553719440725E-2</v>
      </c>
      <c r="BM262" s="1716"/>
      <c r="BN262" s="1716"/>
      <c r="BO262" s="1716"/>
      <c r="BP262" s="1716"/>
      <c r="BQ262" s="1716"/>
      <c r="BR262" s="1716"/>
      <c r="BS262" s="1716"/>
      <c r="BT262" s="1716"/>
      <c r="BU262" s="1716"/>
      <c r="BV262" s="1716"/>
      <c r="BW262" s="1716"/>
      <c r="BX262" s="1716"/>
      <c r="BY262" s="1716"/>
      <c r="BZ262" s="1716"/>
      <c r="CA262" s="1716"/>
      <c r="CB262" s="1716"/>
      <c r="CC262" s="1716"/>
      <c r="CD262" s="1716"/>
      <c r="CE262" s="1716"/>
      <c r="CF262" s="1716"/>
      <c r="CG262" s="1716"/>
      <c r="CH262" s="1716"/>
      <c r="CI262" s="1716"/>
      <c r="CJ262" s="1716"/>
      <c r="CK262" s="1716"/>
      <c r="CL262" s="1716"/>
      <c r="CM262" s="1716"/>
      <c r="CN262" s="1716"/>
      <c r="CO262" s="1716"/>
      <c r="CP262" s="1716"/>
    </row>
    <row r="263" spans="1:94">
      <c r="A263" s="1716"/>
      <c r="B263" s="1716"/>
      <c r="C263" s="1716"/>
      <c r="D263" s="1716"/>
      <c r="E263" s="1788"/>
      <c r="F263" s="1789"/>
      <c r="G263" s="1789"/>
      <c r="H263" s="1790"/>
      <c r="I263" s="1787"/>
      <c r="J263" s="1788"/>
      <c r="K263" s="1789"/>
      <c r="L263" s="1789"/>
      <c r="M263" s="1790"/>
      <c r="N263" s="1787"/>
      <c r="O263" s="1788"/>
      <c r="P263" s="1789"/>
      <c r="Q263" s="1789"/>
      <c r="R263" s="1790"/>
      <c r="S263" s="1787"/>
      <c r="T263" s="1788"/>
      <c r="U263" s="1789"/>
      <c r="V263" s="1789"/>
      <c r="W263" s="1790"/>
      <c r="X263" s="1787"/>
      <c r="Y263" s="1788"/>
      <c r="Z263" s="1789"/>
      <c r="AA263" s="1789"/>
      <c r="AB263" s="1790"/>
      <c r="AC263" s="1787"/>
      <c r="AD263" s="1788"/>
      <c r="AE263" s="1789"/>
      <c r="AF263" s="1789"/>
      <c r="AG263" s="1790"/>
      <c r="AH263" s="1787"/>
      <c r="AI263" s="1788"/>
      <c r="AJ263" s="1789"/>
      <c r="AK263" s="1789"/>
      <c r="AL263" s="1790"/>
      <c r="AM263" s="1787"/>
      <c r="AN263" s="1788"/>
      <c r="AO263" s="1789"/>
      <c r="AP263" s="1789"/>
      <c r="AQ263" s="1790"/>
      <c r="AR263" s="1787"/>
      <c r="AS263" s="1788"/>
      <c r="AT263" s="1789"/>
      <c r="AU263" s="1789"/>
      <c r="AV263" s="1790"/>
      <c r="AW263" s="1787"/>
      <c r="AX263" s="1788"/>
      <c r="AY263" s="1789"/>
      <c r="AZ263" s="1789"/>
      <c r="BA263" s="1790"/>
      <c r="BB263" s="1787"/>
      <c r="BC263" s="1788"/>
      <c r="BD263" s="1789"/>
      <c r="BE263" s="1789"/>
      <c r="BF263" s="1790"/>
      <c r="BG263" s="1787"/>
      <c r="BH263" s="1788"/>
      <c r="BI263" s="1789"/>
      <c r="BJ263" s="1789"/>
      <c r="BK263" s="1790"/>
      <c r="BL263" s="1787"/>
      <c r="BM263" s="1716"/>
      <c r="BN263" s="1716"/>
      <c r="BO263" s="1716"/>
      <c r="BP263" s="1716"/>
      <c r="BQ263" s="1716"/>
      <c r="BR263" s="1716"/>
      <c r="BS263" s="1716"/>
      <c r="BT263" s="1716"/>
      <c r="BU263" s="1716"/>
      <c r="BV263" s="1716"/>
      <c r="BW263" s="1716"/>
      <c r="BX263" s="1716"/>
      <c r="BY263" s="1716"/>
      <c r="BZ263" s="1716"/>
      <c r="CA263" s="1716"/>
      <c r="CB263" s="1716"/>
      <c r="CC263" s="1716"/>
      <c r="CD263" s="1716"/>
      <c r="CE263" s="1716"/>
      <c r="CF263" s="1716"/>
      <c r="CG263" s="1716"/>
      <c r="CH263" s="1716"/>
      <c r="CI263" s="1716"/>
      <c r="CJ263" s="1716"/>
      <c r="CK263" s="1716"/>
      <c r="CL263" s="1716"/>
      <c r="CM263" s="1716"/>
      <c r="CN263" s="1716"/>
      <c r="CO263" s="1716"/>
      <c r="CP263" s="1716"/>
    </row>
  </sheetData>
  <phoneticPr fontId="2" type="noConversion"/>
  <pageMargins left="0.5" right="0.5" top="0.5" bottom="0.5" header="0" footer="0"/>
  <pageSetup scale="55" fitToHeight="4" orientation="landscape" r:id="rId1"/>
  <headerFooter alignWithMargins="0"/>
  <rowBreaks count="4" manualBreakCount="4">
    <brk id="59" max="39" man="1"/>
    <brk id="83" max="39" man="1"/>
    <brk id="140" max="39" man="1"/>
    <brk id="224" max="39"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V205"/>
  <sheetViews>
    <sheetView zoomScale="85" zoomScaleNormal="90" zoomScaleSheetLayoutView="40" workbookViewId="0">
      <pane xSplit="4" ySplit="5" topLeftCell="I6" activePane="bottomRight" state="frozen"/>
      <selection activeCell="X1" sqref="X1"/>
      <selection pane="topRight" activeCell="X1" sqref="X1"/>
      <selection pane="bottomLeft" activeCell="X1" sqref="X1"/>
      <selection pane="bottomRight" activeCell="I6" sqref="I6"/>
    </sheetView>
  </sheetViews>
  <sheetFormatPr defaultRowHeight="12.75" outlineLevelCol="1"/>
  <cols>
    <col min="1" max="2" width="2.7109375" customWidth="1"/>
    <col min="3" max="3" width="45.7109375" customWidth="1"/>
    <col min="4" max="4" width="6.7109375" customWidth="1"/>
    <col min="5" max="8" width="9" hidden="1" customWidth="1" outlineLevel="1"/>
    <col min="9" max="9" width="9" customWidth="1" collapsed="1"/>
    <col min="10" max="13" width="9" hidden="1" customWidth="1" outlineLevel="1"/>
    <col min="14" max="14" width="9" customWidth="1" collapsed="1"/>
    <col min="15" max="18" width="9" hidden="1" customWidth="1" outlineLevel="1"/>
    <col min="19" max="19" width="9" customWidth="1" collapsed="1"/>
    <col min="20" max="20" width="9" hidden="1" customWidth="1" outlineLevel="1"/>
    <col min="21" max="21" width="9" style="19" hidden="1" customWidth="1" outlineLevel="1"/>
    <col min="22" max="23" width="9" hidden="1" customWidth="1" outlineLevel="1"/>
    <col min="24" max="24" width="9" customWidth="1" collapsed="1"/>
    <col min="25" max="28" width="9" hidden="1" customWidth="1" outlineLevel="1"/>
    <col min="29" max="29" width="9" customWidth="1" collapsed="1"/>
    <col min="30" max="33" width="9" hidden="1" customWidth="1" outlineLevel="1"/>
    <col min="34" max="34" width="9" customWidth="1" collapsed="1"/>
    <col min="35" max="38" width="9" hidden="1" customWidth="1" outlineLevel="1"/>
    <col min="39" max="39" width="9" customWidth="1" collapsed="1"/>
    <col min="40" max="43" width="9" hidden="1" customWidth="1" outlineLevel="1"/>
    <col min="44" max="44" width="9" customWidth="1" collapsed="1"/>
    <col min="45" max="48" width="9" hidden="1" customWidth="1" outlineLevel="1"/>
    <col min="49" max="49" width="9" customWidth="1" collapsed="1"/>
    <col min="50" max="53" width="9" hidden="1" customWidth="1" outlineLevel="1"/>
    <col min="54" max="54" width="9" customWidth="1" collapsed="1"/>
    <col min="55" max="58" width="9" hidden="1" customWidth="1" outlineLevel="1"/>
    <col min="59" max="59" width="9" customWidth="1" collapsed="1"/>
    <col min="60" max="63" width="9" hidden="1" customWidth="1" outlineLevel="1"/>
    <col min="64" max="64" width="9" customWidth="1" collapsed="1"/>
    <col min="65" max="68" width="9" hidden="1" customWidth="1" outlineLevel="1"/>
    <col min="69" max="69" width="9" customWidth="1" collapsed="1"/>
  </cols>
  <sheetData>
    <row r="1" spans="1:99" ht="15" customHeight="1">
      <c r="A1" s="6"/>
      <c r="B1" s="6"/>
      <c r="C1" s="6"/>
      <c r="D1" s="8"/>
      <c r="E1" s="9"/>
      <c r="F1" s="9"/>
      <c r="G1" s="9"/>
      <c r="H1" s="9"/>
      <c r="I1" s="9"/>
      <c r="J1" s="9"/>
      <c r="K1" s="9"/>
      <c r="L1" s="9"/>
      <c r="M1" s="9"/>
      <c r="N1" s="9"/>
      <c r="O1" s="9"/>
      <c r="P1" s="9"/>
      <c r="Q1" s="9"/>
      <c r="R1" s="9"/>
      <c r="S1" s="9"/>
      <c r="T1" s="9"/>
      <c r="U1" s="1155"/>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row>
    <row r="2" spans="1:99" ht="15" customHeight="1">
      <c r="A2" s="6"/>
      <c r="B2" s="469" t="str">
        <f>Cover!$B$2</f>
        <v>Exelon Corporation</v>
      </c>
      <c r="C2" s="6"/>
      <c r="D2" s="8"/>
      <c r="E2" s="9"/>
      <c r="F2" s="9"/>
      <c r="G2" s="9"/>
      <c r="H2" s="9"/>
      <c r="I2" s="9"/>
      <c r="J2" s="9"/>
      <c r="K2" s="9"/>
      <c r="L2" s="9"/>
      <c r="M2" s="9"/>
      <c r="N2" s="9"/>
      <c r="O2" s="9"/>
      <c r="P2" s="9"/>
      <c r="Q2" s="9"/>
      <c r="R2" s="9"/>
      <c r="S2" s="9"/>
      <c r="T2" s="9"/>
      <c r="U2" s="1155"/>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row>
    <row r="3" spans="1:99" ht="15" customHeight="1">
      <c r="A3" s="47"/>
      <c r="B3" s="47" t="s">
        <v>113</v>
      </c>
      <c r="C3" s="7"/>
      <c r="D3" s="7"/>
      <c r="E3" s="9"/>
      <c r="F3" s="9"/>
      <c r="G3" s="9"/>
      <c r="H3" s="9"/>
      <c r="I3" s="9"/>
      <c r="J3" s="9"/>
      <c r="K3" s="9"/>
      <c r="L3" s="9"/>
      <c r="M3" s="9"/>
      <c r="N3" s="9"/>
      <c r="O3" s="9"/>
      <c r="P3" s="9"/>
      <c r="Q3" s="9"/>
      <c r="R3" s="9"/>
      <c r="S3" s="9"/>
      <c r="T3" s="9"/>
      <c r="U3" s="1155"/>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row>
    <row r="4" spans="1:99" ht="15" customHeight="1">
      <c r="A4" s="12"/>
      <c r="B4" s="12" t="s">
        <v>69</v>
      </c>
      <c r="C4" s="10"/>
      <c r="D4" s="10"/>
      <c r="E4" s="11"/>
      <c r="F4" s="11"/>
      <c r="G4" s="11"/>
      <c r="H4" s="11"/>
      <c r="I4" s="11"/>
      <c r="J4" s="11"/>
      <c r="K4" s="11"/>
      <c r="L4" s="11"/>
      <c r="M4" s="11"/>
      <c r="N4" s="11"/>
      <c r="O4" s="11"/>
      <c r="P4" s="11"/>
      <c r="Q4" s="11"/>
      <c r="R4" s="11"/>
      <c r="S4" s="11"/>
      <c r="T4" s="11"/>
      <c r="U4" s="1156"/>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row>
    <row r="5" spans="1:99" ht="12" customHeight="1">
      <c r="A5" s="249"/>
      <c r="B5" s="249" t="s">
        <v>504</v>
      </c>
      <c r="C5" s="249"/>
      <c r="D5" s="1383"/>
      <c r="E5" s="1015" t="s">
        <v>358</v>
      </c>
      <c r="F5" s="1016" t="s">
        <v>359</v>
      </c>
      <c r="G5" s="1016" t="s">
        <v>322</v>
      </c>
      <c r="H5" s="1017" t="s">
        <v>323</v>
      </c>
      <c r="I5" s="1018">
        <v>2009</v>
      </c>
      <c r="J5" s="1015" t="s">
        <v>324</v>
      </c>
      <c r="K5" s="1016" t="s">
        <v>325</v>
      </c>
      <c r="L5" s="1016" t="s">
        <v>326</v>
      </c>
      <c r="M5" s="1017" t="s">
        <v>327</v>
      </c>
      <c r="N5" s="1018" t="s">
        <v>112</v>
      </c>
      <c r="O5" s="1015" t="s">
        <v>268</v>
      </c>
      <c r="P5" s="1016" t="s">
        <v>269</v>
      </c>
      <c r="Q5" s="1016" t="s">
        <v>270</v>
      </c>
      <c r="R5" s="1017" t="s">
        <v>271</v>
      </c>
      <c r="S5" s="1018">
        <v>2011</v>
      </c>
      <c r="T5" s="554" t="s">
        <v>616</v>
      </c>
      <c r="U5" s="555" t="s">
        <v>1201</v>
      </c>
      <c r="V5" s="555" t="s">
        <v>1251</v>
      </c>
      <c r="W5" s="556" t="s">
        <v>1252</v>
      </c>
      <c r="X5" s="1019" t="s">
        <v>1253</v>
      </c>
      <c r="Y5" s="1015" t="s">
        <v>674</v>
      </c>
      <c r="Z5" s="1016" t="s">
        <v>673</v>
      </c>
      <c r="AA5" s="1016" t="s">
        <v>919</v>
      </c>
      <c r="AB5" s="1017" t="s">
        <v>920</v>
      </c>
      <c r="AC5" s="1019" t="s">
        <v>921</v>
      </c>
      <c r="AD5" s="1015" t="s">
        <v>1218</v>
      </c>
      <c r="AE5" s="1016" t="s">
        <v>1211</v>
      </c>
      <c r="AF5" s="1016" t="s">
        <v>1344</v>
      </c>
      <c r="AG5" s="1017" t="s">
        <v>1345</v>
      </c>
      <c r="AH5" s="1019" t="s">
        <v>1343</v>
      </c>
      <c r="AI5" s="1015" t="s">
        <v>1409</v>
      </c>
      <c r="AJ5" s="1016" t="s">
        <v>1405</v>
      </c>
      <c r="AK5" s="1016" t="s">
        <v>1406</v>
      </c>
      <c r="AL5" s="1017" t="s">
        <v>1407</v>
      </c>
      <c r="AM5" s="558" t="s">
        <v>1410</v>
      </c>
      <c r="AN5" s="554" t="s">
        <v>1436</v>
      </c>
      <c r="AO5" s="555" t="s">
        <v>1439</v>
      </c>
      <c r="AP5" s="555" t="s">
        <v>1480</v>
      </c>
      <c r="AQ5" s="556" t="s">
        <v>1501</v>
      </c>
      <c r="AR5" s="558" t="s">
        <v>1502</v>
      </c>
      <c r="AS5" s="554" t="s">
        <v>1515</v>
      </c>
      <c r="AT5" s="555" t="s">
        <v>1534</v>
      </c>
      <c r="AU5" s="555" t="s">
        <v>1536</v>
      </c>
      <c r="AV5" s="556" t="s">
        <v>1538</v>
      </c>
      <c r="AW5" s="558" t="s">
        <v>1539</v>
      </c>
      <c r="AX5" s="554" t="s">
        <v>926</v>
      </c>
      <c r="AY5" s="555" t="s">
        <v>927</v>
      </c>
      <c r="AZ5" s="555" t="s">
        <v>928</v>
      </c>
      <c r="BA5" s="556" t="s">
        <v>929</v>
      </c>
      <c r="BB5" s="558">
        <v>2018</v>
      </c>
      <c r="BC5" s="554" t="s">
        <v>1361</v>
      </c>
      <c r="BD5" s="555" t="s">
        <v>1362</v>
      </c>
      <c r="BE5" s="555" t="s">
        <v>1363</v>
      </c>
      <c r="BF5" s="556" t="s">
        <v>1364</v>
      </c>
      <c r="BG5" s="558">
        <v>2019</v>
      </c>
      <c r="BH5" s="554" t="s">
        <v>1365</v>
      </c>
      <c r="BI5" s="555" t="s">
        <v>1366</v>
      </c>
      <c r="BJ5" s="555" t="s">
        <v>1367</v>
      </c>
      <c r="BK5" s="556" t="s">
        <v>1368</v>
      </c>
      <c r="BL5" s="558">
        <v>2020</v>
      </c>
      <c r="BM5" s="554" t="s">
        <v>1516</v>
      </c>
      <c r="BN5" s="555" t="s">
        <v>1517</v>
      </c>
      <c r="BO5" s="555" t="s">
        <v>1518</v>
      </c>
      <c r="BP5" s="556" t="s">
        <v>1519</v>
      </c>
      <c r="BQ5" s="558">
        <v>2021</v>
      </c>
    </row>
    <row r="6" spans="1:99" s="1" customFormat="1">
      <c r="E6" s="273"/>
      <c r="F6" s="3"/>
      <c r="G6" s="3"/>
      <c r="H6" s="274"/>
      <c r="J6" s="273"/>
      <c r="K6" s="3"/>
      <c r="L6" s="3"/>
      <c r="M6" s="274"/>
      <c r="O6" s="273"/>
      <c r="P6" s="3"/>
      <c r="Q6" s="3"/>
      <c r="R6" s="274"/>
      <c r="T6" s="273"/>
      <c r="U6" s="3"/>
      <c r="V6" s="3"/>
      <c r="W6" s="274"/>
      <c r="Y6" s="273"/>
      <c r="Z6" s="3"/>
      <c r="AA6" s="3"/>
      <c r="AB6" s="274"/>
      <c r="AD6" s="273"/>
      <c r="AE6" s="3"/>
      <c r="AF6" s="3"/>
      <c r="AG6" s="274"/>
      <c r="AI6" s="273"/>
      <c r="AJ6" s="3"/>
      <c r="AK6" s="3"/>
      <c r="AL6" s="274"/>
      <c r="AN6" s="273"/>
      <c r="AO6" s="3"/>
      <c r="AP6" s="3"/>
      <c r="AQ6" s="274"/>
      <c r="AS6" s="273"/>
      <c r="AT6" s="3"/>
      <c r="AU6" s="3"/>
      <c r="AV6" s="274"/>
      <c r="AX6" s="273"/>
      <c r="AY6" s="3"/>
      <c r="AZ6" s="3"/>
      <c r="BA6" s="274"/>
      <c r="BC6" s="273"/>
      <c r="BD6" s="3"/>
      <c r="BE6" s="3"/>
      <c r="BF6" s="274"/>
      <c r="BH6" s="273"/>
      <c r="BI6" s="3"/>
      <c r="BJ6" s="3"/>
      <c r="BK6" s="274"/>
      <c r="BM6" s="273"/>
      <c r="BN6" s="3"/>
      <c r="BO6" s="3"/>
      <c r="BP6" s="274"/>
    </row>
    <row r="7" spans="1:99" s="1" customFormat="1" ht="12.75" customHeight="1">
      <c r="B7" s="73" t="s">
        <v>277</v>
      </c>
      <c r="C7" s="211"/>
      <c r="D7" s="211"/>
      <c r="E7" s="267"/>
      <c r="F7" s="250"/>
      <c r="G7" s="250"/>
      <c r="H7" s="268"/>
      <c r="J7" s="267"/>
      <c r="K7" s="250"/>
      <c r="L7" s="250"/>
      <c r="M7" s="268"/>
      <c r="O7" s="267"/>
      <c r="P7" s="250"/>
      <c r="Q7" s="250"/>
      <c r="R7" s="268"/>
      <c r="T7" s="267"/>
      <c r="U7" s="250"/>
      <c r="V7" s="250"/>
      <c r="W7" s="268"/>
      <c r="Y7" s="267"/>
      <c r="Z7" s="250"/>
      <c r="AA7" s="1498"/>
      <c r="AB7" s="1499"/>
      <c r="AD7" s="267"/>
      <c r="AE7" s="250"/>
      <c r="AF7" s="250"/>
      <c r="AG7" s="268"/>
      <c r="AI7" s="267"/>
      <c r="AJ7" s="250"/>
      <c r="AK7" s="250"/>
      <c r="AL7" s="268"/>
      <c r="AN7" s="267"/>
      <c r="AO7" s="250"/>
      <c r="AP7" s="250"/>
      <c r="AQ7" s="268"/>
      <c r="AS7" s="267"/>
      <c r="AT7" s="250"/>
      <c r="AU7" s="250"/>
      <c r="AV7" s="268"/>
      <c r="AW7" s="2226"/>
      <c r="AX7" s="267"/>
      <c r="AY7" s="250"/>
      <c r="AZ7" s="250"/>
      <c r="BA7" s="268"/>
      <c r="BC7" s="267"/>
      <c r="BD7" s="250"/>
      <c r="BE7" s="250"/>
      <c r="BF7" s="268"/>
      <c r="BH7" s="267"/>
      <c r="BI7" s="250"/>
      <c r="BJ7" s="250"/>
      <c r="BK7" s="268"/>
      <c r="BM7" s="267"/>
      <c r="BN7" s="250"/>
      <c r="BO7" s="250"/>
      <c r="BP7" s="268"/>
    </row>
    <row r="8" spans="1:99" s="1" customFormat="1">
      <c r="C8" s="1" t="s">
        <v>60</v>
      </c>
      <c r="E8" s="300">
        <f>EXC!E8-ExGen!E8-ComEd!E8-PECO!E8</f>
        <v>-946</v>
      </c>
      <c r="F8" s="264">
        <f>EXC!F8-ExGen!F8-ComEd!F8-PECO!F8</f>
        <v>-830</v>
      </c>
      <c r="G8" s="264">
        <f>EXC!G8-ExGen!G8-ComEd!G8-PECO!G8</f>
        <v>-908</v>
      </c>
      <c r="H8" s="299">
        <f>EXC!H8-ExGen!H8-ComEd!H8-PECO!H8</f>
        <v>-786</v>
      </c>
      <c r="I8" s="330">
        <f>EXC!I8-ExGen!I8-ComEd!I8-PECO!I8</f>
        <v>-3470</v>
      </c>
      <c r="J8" s="300">
        <f>EXC!J8-ExGen!J8-ComEd!J8-PECO!J8</f>
        <v>-830</v>
      </c>
      <c r="K8" s="264">
        <f>EXC!K8-ExGen!K8-ComEd!K8-PECO!K8</f>
        <v>-723</v>
      </c>
      <c r="L8" s="264">
        <f>EXC!L8-ExGen!L8-ComEd!L8-PECO!L8</f>
        <v>-777</v>
      </c>
      <c r="M8" s="299">
        <f>EXC!M8-ExGen!M8-ComEd!M8-PECO!M8</f>
        <v>-774</v>
      </c>
      <c r="N8" s="330">
        <f>EXC!N8-ExGen!N8-ComEd!N8-PECO!N8</f>
        <v>-3104</v>
      </c>
      <c r="O8" s="300">
        <f>EXC!O8-ExGen!O8-ComEd!O8-PECO!O8</f>
        <v>-306</v>
      </c>
      <c r="P8" s="264">
        <f>EXC!P8-ExGen!P8-ComEd!P8-PECO!P8</f>
        <v>-245</v>
      </c>
      <c r="Q8" s="264">
        <f>EXC!Q8-ExGen!Q8-ComEd!Q8-PECO!Q8</f>
        <v>-297</v>
      </c>
      <c r="R8" s="299">
        <f>EXC!R8-ExGen!R8-ComEd!R8-PECO!R8</f>
        <v>-312</v>
      </c>
      <c r="S8" s="330">
        <f>EXC!S8-ExGen!S8-ComEd!S8-PECO!S8</f>
        <v>-1160</v>
      </c>
      <c r="T8" s="300">
        <f>EXC!T8-ExGen!T8-ComEd!T8-PECO!T8</f>
        <v>-316</v>
      </c>
      <c r="U8" s="264">
        <f>EXC!U8-ExGen!U8-ComEd!U8-PECO!U8-BGE!U8</f>
        <v>-411</v>
      </c>
      <c r="V8" s="264">
        <f>EXC!V8-ExGen!V8-ComEd!V8-PECO!V8-BGE!V8</f>
        <v>-462</v>
      </c>
      <c r="W8" s="299">
        <f>EXC!W8-ExGen!W8-ComEd!W8-PECO!W8-BGE!W8</f>
        <v>-427</v>
      </c>
      <c r="X8" s="330">
        <f>EXC!X8-ExGen!X8-ComEd!X8-PECO!X8-BGE!X8</f>
        <v>-2312</v>
      </c>
      <c r="Y8" s="300">
        <f>EXC!Y8-ExGen!Y8-ComEd!Y8-PECO!Y8-BGE!Y8</f>
        <v>-386</v>
      </c>
      <c r="Z8" s="264">
        <f>EXC!Z8-ExGen!Z8-ComEd!Z8-PECO!Z8-BGE!Z8</f>
        <v>-334</v>
      </c>
      <c r="AA8" s="1441">
        <f>EXC!AA8-ExGen!AA8-ComEd!AA8-PECO!AA8-BGE!AA8</f>
        <v>-374</v>
      </c>
      <c r="AB8" s="1442">
        <f>EXC!AB8-ExGen!AB8-ComEd!AB8-PECO!AB8-BGE!AB8</f>
        <v>-277</v>
      </c>
      <c r="AC8" s="1443">
        <f>EXC!AC8-ExGen!AC8-ComEd!AC8-PECO!AC8-BGE!AC8</f>
        <v>-1371</v>
      </c>
      <c r="AD8" s="300">
        <f>EXC!AD8-ExGen!AD8-ComEd!AD8-PECO!AD8-BGE!AD8</f>
        <v>-334</v>
      </c>
      <c r="AE8" s="264">
        <f>EXC!AE8-ExGen!AE8-ComEd!AE8-PECO!AE8-BGE!AE8</f>
        <v>-202</v>
      </c>
      <c r="AF8" s="1441">
        <f>EXC!AF8-ExGen!AF8-ComEd!AF8-PECO!AF8-BGE!AF8</f>
        <v>-112</v>
      </c>
      <c r="AG8" s="1442">
        <f>EXC!AG8-ExGen!AG8-ComEd!AG8-PECO!AG8-BGE!AG8</f>
        <v>-139</v>
      </c>
      <c r="AH8" s="1443">
        <f>EXC!AH8-ExGen!AH8-ComEd!AH8-PECO!AH8-BGE!AH8</f>
        <v>-787</v>
      </c>
      <c r="AI8" s="300">
        <f>EXC!AI8-ExGen!AI8-ComEd!AI8-PECO!AI8-BGE!AI8</f>
        <v>-216</v>
      </c>
      <c r="AJ8" s="264">
        <f>EXC!AJ8-ExGen!AJ8-ComEd!AJ8-PECO!AJ8-BGE!AJ8</f>
        <v>-155</v>
      </c>
      <c r="AK8" s="1441">
        <f>EXC!AK8-ExGen!AK8-ComEd!AK8-PECO!AK8-BGE!AK8</f>
        <v>-208</v>
      </c>
      <c r="AL8" s="1442">
        <f>EXC!AL8-ExGen!AL8-ComEd!AL8-PECO!AL8-BGE!AL8</f>
        <v>-181</v>
      </c>
      <c r="AM8" s="1443">
        <f>EXC!AM8-ExGen!AM8-ComEd!AM8-PECO!AM8-BGE!AM8</f>
        <v>-760</v>
      </c>
      <c r="AN8" s="300">
        <f>EXC!AN8-ExGen!AN8-ComEd!AN8-PECO!AN8-BGE!AN8</f>
        <v>-185</v>
      </c>
      <c r="AO8" s="264">
        <f>EXC!AO8-ExGen!AO8-ComEd!AO8-PECO!AO8-BGE!AO8-Pepco!AJ8-DPL!AJ10-ACE!AJ8</f>
        <v>-369</v>
      </c>
      <c r="AP8" s="1441">
        <f>EXC!AP8-ExGen!AP8-ComEd!AP8-PECO!AP8-BGE!AP8-Pepco!AK8-DPL!AK10-ACE!AK8</f>
        <v>-517</v>
      </c>
      <c r="AQ8" s="1442">
        <f>EXC!AQ8-ExGen!AQ8-ComEd!AQ8-PECO!AQ8-BGE!AQ8-Pepco!AL8-DPL!AL10-ACE!AL8</f>
        <v>-317</v>
      </c>
      <c r="AR8" s="1443">
        <f>+SUM(AN8:AQ8)</f>
        <v>-1388</v>
      </c>
      <c r="AS8" s="300">
        <f>EXC!AS8-ExGen!AS8-ComEd!AS8-PECO!AS8-BGE!AS8-Pepco!AN8-DPL!AN10-ACE!AN8</f>
        <v>-343</v>
      </c>
      <c r="AT8" s="264">
        <f>EXC!AT8-ExGen!AT8-ComEd!AT8-PECO!AT8-BGE!AT8-Pepco!AO8-DPL!AO10-ACE!AO8</f>
        <v>-278</v>
      </c>
      <c r="AU8" s="264">
        <f>EXC!AU8-ExGen!AU8-ComEd!AU8-PECO!AU8-BGE!AU8-Pepco!AP8-DPL!AP10-ACE!AP8</f>
        <v>-307</v>
      </c>
      <c r="AV8" s="1442">
        <f>EXC!AV8-ExGen!AV8-ComEd!AV8-PECO!AV8-BGE!AV8-Pepco!AQ8-DPL!AQ10-ACE!AQ8</f>
        <v>-233</v>
      </c>
      <c r="AW8" s="1443">
        <f>+SUM(AS8:AV8)</f>
        <v>-1161</v>
      </c>
      <c r="AX8" s="972">
        <v>-32.5</v>
      </c>
      <c r="AY8" s="970">
        <v>-32.5</v>
      </c>
      <c r="AZ8" s="970">
        <v>-32.5</v>
      </c>
      <c r="BA8" s="971">
        <v>-32.5</v>
      </c>
      <c r="BB8" s="980">
        <f>SUM(AX8:BA8)</f>
        <v>-130</v>
      </c>
      <c r="BC8" s="972">
        <v>-10</v>
      </c>
      <c r="BD8" s="970">
        <v>-10</v>
      </c>
      <c r="BE8" s="970">
        <v>-10</v>
      </c>
      <c r="BF8" s="971">
        <v>-10</v>
      </c>
      <c r="BG8" s="980">
        <f>SUM(BC8:BF8)</f>
        <v>-40</v>
      </c>
      <c r="BH8" s="972">
        <f>BC8</f>
        <v>-10</v>
      </c>
      <c r="BI8" s="970">
        <f>BD8</f>
        <v>-10</v>
      </c>
      <c r="BJ8" s="970">
        <f>BE8</f>
        <v>-10</v>
      </c>
      <c r="BK8" s="971">
        <f>BF8</f>
        <v>-10</v>
      </c>
      <c r="BL8" s="980">
        <f>SUM(BH8:BK8)</f>
        <v>-40</v>
      </c>
      <c r="BM8" s="972">
        <f>BH8</f>
        <v>-10</v>
      </c>
      <c r="BN8" s="970">
        <f>BI8</f>
        <v>-10</v>
      </c>
      <c r="BO8" s="970">
        <f>BJ8</f>
        <v>-10</v>
      </c>
      <c r="BP8" s="971">
        <f>BK8</f>
        <v>-10</v>
      </c>
      <c r="BQ8" s="980">
        <f>SUM(BM8:BP8)</f>
        <v>-40</v>
      </c>
    </row>
    <row r="9" spans="1:99" s="1" customFormat="1">
      <c r="C9" s="1" t="s">
        <v>1046</v>
      </c>
      <c r="E9" s="300">
        <f>EXC!E9-ExGen!E9-ComEd!E9-PECO!E9-PECO!E10</f>
        <v>-944</v>
      </c>
      <c r="F9" s="264">
        <f>EXC!F9-ExGen!F9-ComEd!F9-PECO!F9-PECO!F10</f>
        <v>-827</v>
      </c>
      <c r="G9" s="264">
        <f>EXC!G9-ExGen!G9-ComEd!G9-PECO!G9-PECO!G10</f>
        <v>-909</v>
      </c>
      <c r="H9" s="299">
        <f>EXC!H9-ExGen!H9-ComEd!H9-PECO!H9-PECO!H10</f>
        <v>-782</v>
      </c>
      <c r="I9" s="330">
        <f>EXC!I9-ExGen!I9-ComEd!I9-PECO!I9-PECO!I10</f>
        <v>-3462</v>
      </c>
      <c r="J9" s="300">
        <f>EXC!J9-ExGen!J9-ComEd!J9-PECO!J9-PECO!J10</f>
        <v>-828</v>
      </c>
      <c r="K9" s="264">
        <f>EXC!K9-ExGen!K9-ComEd!K9-PECO!K9-PECO!K10</f>
        <v>-722</v>
      </c>
      <c r="L9" s="264">
        <f>EXC!L9-ExGen!L9-ComEd!L9-PECO!L9-PECO!L10</f>
        <v>-774</v>
      </c>
      <c r="M9" s="299">
        <f>EXC!M9-ExGen!M9-ComEd!M9-PECO!M9-PECO!M10</f>
        <v>-773</v>
      </c>
      <c r="N9" s="330">
        <f>EXC!N9-ExGen!N9-ComEd!N9-PECO!N9-PECO!N10</f>
        <v>-3097</v>
      </c>
      <c r="O9" s="300">
        <f>EXC!O9-ExGen!O9-ComEd!O9-PECO!O9-PECO!O10</f>
        <v>-304</v>
      </c>
      <c r="P9" s="264">
        <f>EXC!P9-ExGen!P9-ComEd!P9-PECO!P9-PECO!P10</f>
        <v>-249</v>
      </c>
      <c r="Q9" s="264">
        <f>EXC!Q9-ExGen!Q9-ComEd!Q9-PECO!Q9-PECO!Q10</f>
        <v>-346</v>
      </c>
      <c r="R9" s="299">
        <f>EXC!R9-ExGen!R9-ComEd!R9-PECO!R9-PECO!R10</f>
        <v>-322</v>
      </c>
      <c r="S9" s="330">
        <f>EXC!S9-ExGen!S9-ComEd!S9-PECO!S9-PECO!S10</f>
        <v>-1221</v>
      </c>
      <c r="T9" s="300">
        <f>EXC!T9-ExGen!T9-ComEd!T9-PECO!T9-PECO!T10</f>
        <v>-310</v>
      </c>
      <c r="U9" s="264">
        <f>EXC!U9-ExGen!U9-ComEd!U9-PECO!U9-PECO!U10-BGE!U9-BGE!U10</f>
        <v>-414</v>
      </c>
      <c r="V9" s="264">
        <f>EXC!V9-ExGen!V9-ComEd!V9-PECO!V9-PECO!V10-BGE!V9-BGE!V10</f>
        <v>-473</v>
      </c>
      <c r="W9" s="299">
        <f>EXC!W9-ExGen!W9-ComEd!W9-PECO!W9-PECO!W10-BGE!W9-BGE!W10</f>
        <v>-372.99999999999983</v>
      </c>
      <c r="X9" s="330">
        <f>EXC!X9-ExGen!X9-ComEd!X9-PECO!X9-PECO!X10-BGE!X9-BGE!X10</f>
        <v>-1955</v>
      </c>
      <c r="Y9" s="300">
        <f>EXC!Y9-ExGen!Y9-ComEd!Y9-PECO!Y9-PECO!Y10-BGE!Y9-BGE!Y10</f>
        <v>-402</v>
      </c>
      <c r="Z9" s="264">
        <f>EXC!Z9-ExGen!Z9-ComEd!Z9-PECO!Z9-PECO!Z10-BGE!Z9-BGE!Z10</f>
        <v>-321</v>
      </c>
      <c r="AA9" s="1441">
        <f>EXC!AA9-ExGen!AA9-ComEd!AA9-PECO!AA9-PECO!AA10-BGE!AA9-BGE!AA10</f>
        <v>-372</v>
      </c>
      <c r="AB9" s="1442">
        <f>EXC!AB9-ExGen!AB9-ComEd!AB9-PECO!AB9-PECO!AB10-BGE!AB9-BGE!AB10</f>
        <v>-272.99999999999989</v>
      </c>
      <c r="AC9" s="1443">
        <f>EXC!AC9-ExGen!AC9-ComEd!AC9-PECO!AC9-PECO!AC10-BGE!AC9-BGE!AC10</f>
        <v>-1368</v>
      </c>
      <c r="AD9" s="300">
        <f>EXC!AD9-ExGen!AD9-ComEd!AD9-PECO!AD9-PECO!AD10-BGE!AD9-BGE!AD10</f>
        <v>-330</v>
      </c>
      <c r="AE9" s="264">
        <f>EXC!AE9-ExGen!AE9-ComEd!AE9-PECO!AE9-PECO!AE10-BGE!AE9-BGE!AE10</f>
        <v>-201</v>
      </c>
      <c r="AF9" s="1441">
        <f>EXC!AF9-ExGen!AF9-ComEd!AF9-PECO!AF9-PECO!AF10-BGE!AF9-BGE!AF10</f>
        <v>-110.00000000000003</v>
      </c>
      <c r="AG9" s="1442">
        <f>EXC!AG9-ExGen!AG9-ComEd!AG9-PECO!AG9-PECO!AG10-BGE!AG9-BGE!AG10</f>
        <v>-135.99999999999997</v>
      </c>
      <c r="AH9" s="1443">
        <f>EXC!AH9-ExGen!AH9-ComEd!AH9-PECO!AH9-PECO!AH10-BGE!AH9-BGE!AH10</f>
        <v>-777</v>
      </c>
      <c r="AI9" s="300">
        <f>EXC!AI9-ExGen!AI9-ComEd!AI9-PECO!AI9-PECO!AI10-BGE!AI9-BGE!AI10</f>
        <v>-215</v>
      </c>
      <c r="AJ9" s="264">
        <f>EXC!AJ9-ExGen!AJ9-ComEd!AJ9-PECO!AJ9-PECO!AJ10-BGE!AJ9-BGE!AJ10</f>
        <v>-151</v>
      </c>
      <c r="AK9" s="1441">
        <f>EXC!AK9-ExGen!AK9-ComEd!AK9-PECO!AK9-PECO!AK10-BGE!AK9-BGE!AK10</f>
        <v>-207</v>
      </c>
      <c r="AL9" s="1442">
        <f>EXC!AL9-ExGen!AL9-ComEd!AL9-PECO!AL9-PECO!AL10-BGE!AL9-BGE!AL10</f>
        <v>-177.99999999999989</v>
      </c>
      <c r="AM9" s="1443">
        <f>EXC!AM9-ExGen!AM9-ComEd!AM9-PECO!AM9-PECO!AM10-BGE!AM9-BGE!AM10</f>
        <v>-750.99999999999989</v>
      </c>
      <c r="AN9" s="300">
        <f>EXC!AN9-ExGen!AN9-ComEd!AN9-PECO!AN9-PECO!AN10-BGE!AN9-BGE!AN10</f>
        <v>-230</v>
      </c>
      <c r="AO9" s="264">
        <f>EXC!AO9-ExGen!AO9-ComEd!AO9-PECO!AO9-PECO!AO10-BGE!AO9-BGE!AO10-Pepco!AJ9-DPL!AJ14-ACE!AJ9</f>
        <v>-355</v>
      </c>
      <c r="AP9" s="1441">
        <f>EXC!AP9-ExGen!AP9-ComEd!AP9-PECO!AP9-PECO!AP10-BGE!AP9-BGE!AP10-Pepco!AK9-DPL!AK14-ACE!AK9</f>
        <v>-505</v>
      </c>
      <c r="AQ9" s="1442">
        <f>EXC!AQ9-ExGen!AQ9-ComEd!AQ9-PECO!AQ9-PECO!AQ10-BGE!AQ9-BGE!AQ10-Pepco!AL9-DPL!AL14-ACE!AL9</f>
        <v>-307.99999999999989</v>
      </c>
      <c r="AR9" s="1443">
        <f>+SUM(AN9:AQ9)</f>
        <v>-1398</v>
      </c>
      <c r="AS9" s="300">
        <f>EXC!AS9-ExGen!AS9-ComEd!AS9-PECO!AS9-PECO!AS10-BGE!AS9-BGE!AS10-Pepco!AN9-DPL!AN14-ACE!AN9</f>
        <v>-329.99999999999994</v>
      </c>
      <c r="AT9" s="264">
        <f>EXC!AT9-ExGen!AT9-ComEd!AT9-PECO!AT9-PECO!AT10-BGE!AT9-BGE!AT10-Pepco!AO9-DPL!AO14-ACE!AO9</f>
        <v>-264</v>
      </c>
      <c r="AU9" s="264">
        <f>EXC!AU9-ExGen!AU9-ComEd!AU9-PECO!AU9-PECO!AU10-BGE!AU9-BGE!AU10-Pepco!AP9-DPL!AP14-ACE!AP9</f>
        <v>-295.00000000000006</v>
      </c>
      <c r="AV9" s="1442">
        <f>EXC!AV9-ExGen!AV9-ComEd!AV9-PECO!AV9-PECO!AV10-BGE!AV9-BGE!AV10-Pepco!AQ9-DPL!AQ14-ACE!AQ9</f>
        <v>-224.99999999999997</v>
      </c>
      <c r="AW9" s="1443">
        <f>+SUM(AS9:AV9)</f>
        <v>-1114</v>
      </c>
      <c r="AX9" s="972">
        <v>0</v>
      </c>
      <c r="AY9" s="970">
        <v>0</v>
      </c>
      <c r="AZ9" s="970">
        <v>0</v>
      </c>
      <c r="BA9" s="971">
        <v>0</v>
      </c>
      <c r="BB9" s="980">
        <f>SUM(AX9:BA9)</f>
        <v>0</v>
      </c>
      <c r="BC9" s="972">
        <v>0</v>
      </c>
      <c r="BD9" s="970">
        <v>0</v>
      </c>
      <c r="BE9" s="970">
        <v>0</v>
      </c>
      <c r="BF9" s="971">
        <v>0</v>
      </c>
      <c r="BG9" s="980">
        <f>SUM(BC9:BF9)</f>
        <v>0</v>
      </c>
      <c r="BH9" s="972">
        <v>0</v>
      </c>
      <c r="BI9" s="970">
        <v>0</v>
      </c>
      <c r="BJ9" s="970">
        <v>0</v>
      </c>
      <c r="BK9" s="971">
        <v>0</v>
      </c>
      <c r="BL9" s="980">
        <f>SUM(BH9:BK9)</f>
        <v>0</v>
      </c>
      <c r="BM9" s="972">
        <v>0</v>
      </c>
      <c r="BN9" s="970">
        <v>0</v>
      </c>
      <c r="BO9" s="970">
        <v>0</v>
      </c>
      <c r="BP9" s="971">
        <v>0</v>
      </c>
      <c r="BQ9" s="980">
        <f>SUM(BM9:BP9)</f>
        <v>0</v>
      </c>
    </row>
    <row r="10" spans="1:99" s="1" customFormat="1">
      <c r="C10" s="32" t="s">
        <v>63</v>
      </c>
      <c r="D10" s="28"/>
      <c r="E10" s="286">
        <f>E8-E9</f>
        <v>-2</v>
      </c>
      <c r="F10" s="258">
        <f t="shared" ref="F10:AE10" si="0">F8-F9</f>
        <v>-3</v>
      </c>
      <c r="G10" s="258">
        <f t="shared" si="0"/>
        <v>1</v>
      </c>
      <c r="H10" s="287">
        <f t="shared" si="0"/>
        <v>-4</v>
      </c>
      <c r="I10" s="341">
        <f t="shared" si="0"/>
        <v>-8</v>
      </c>
      <c r="J10" s="286">
        <f t="shared" si="0"/>
        <v>-2</v>
      </c>
      <c r="K10" s="258">
        <f t="shared" si="0"/>
        <v>-1</v>
      </c>
      <c r="L10" s="258">
        <f t="shared" si="0"/>
        <v>-3</v>
      </c>
      <c r="M10" s="287">
        <f t="shared" si="0"/>
        <v>-1</v>
      </c>
      <c r="N10" s="341">
        <f t="shared" si="0"/>
        <v>-7</v>
      </c>
      <c r="O10" s="286">
        <f t="shared" si="0"/>
        <v>-2</v>
      </c>
      <c r="P10" s="258">
        <f t="shared" si="0"/>
        <v>4</v>
      </c>
      <c r="Q10" s="258">
        <f t="shared" si="0"/>
        <v>49</v>
      </c>
      <c r="R10" s="287">
        <f t="shared" si="0"/>
        <v>10</v>
      </c>
      <c r="S10" s="341">
        <f t="shared" si="0"/>
        <v>61</v>
      </c>
      <c r="T10" s="286">
        <f t="shared" si="0"/>
        <v>-6</v>
      </c>
      <c r="U10" s="258">
        <f t="shared" si="0"/>
        <v>3</v>
      </c>
      <c r="V10" s="258">
        <f>V8-V9</f>
        <v>11</v>
      </c>
      <c r="W10" s="287">
        <f>W8-W9</f>
        <v>-54.000000000000171</v>
      </c>
      <c r="X10" s="341">
        <f>X8-X9</f>
        <v>-357</v>
      </c>
      <c r="Y10" s="286">
        <f t="shared" si="0"/>
        <v>16</v>
      </c>
      <c r="Z10" s="258">
        <f t="shared" si="0"/>
        <v>-13</v>
      </c>
      <c r="AA10" s="1438">
        <f>AA8-AA9</f>
        <v>-2</v>
      </c>
      <c r="AB10" s="1439">
        <f>AB8-AB9</f>
        <v>-4.0000000000001137</v>
      </c>
      <c r="AC10" s="1440">
        <f>AC8-AC9</f>
        <v>-3</v>
      </c>
      <c r="AD10" s="286">
        <f t="shared" si="0"/>
        <v>-4</v>
      </c>
      <c r="AE10" s="258">
        <f t="shared" si="0"/>
        <v>-1</v>
      </c>
      <c r="AF10" s="1438">
        <f>AF8-AF9</f>
        <v>-1.9999999999999716</v>
      </c>
      <c r="AG10" s="1439">
        <f>AG8-AG9</f>
        <v>-3.0000000000000284</v>
      </c>
      <c r="AH10" s="1440">
        <f>AH8-AH9</f>
        <v>-10</v>
      </c>
      <c r="AI10" s="286">
        <f t="shared" ref="AI10:AJ10" si="1">AI8-AI9</f>
        <v>-1</v>
      </c>
      <c r="AJ10" s="258">
        <f t="shared" si="1"/>
        <v>-4</v>
      </c>
      <c r="AK10" s="1438">
        <f>AK8-AK9</f>
        <v>-1</v>
      </c>
      <c r="AL10" s="1439">
        <f>AL8-AL9</f>
        <v>-3.0000000000001137</v>
      </c>
      <c r="AM10" s="1440">
        <f>AM8-AM9</f>
        <v>-9.0000000000001137</v>
      </c>
      <c r="AN10" s="286">
        <f t="shared" ref="AN10" si="2">AN8-AN9</f>
        <v>45</v>
      </c>
      <c r="AO10" s="258">
        <f t="shared" ref="AO10:AT10" si="3">AO8-AO9</f>
        <v>-14</v>
      </c>
      <c r="AP10" s="1438">
        <f t="shared" si="3"/>
        <v>-12</v>
      </c>
      <c r="AQ10" s="1439">
        <f t="shared" si="3"/>
        <v>-9.0000000000001137</v>
      </c>
      <c r="AR10" s="1440">
        <f t="shared" si="3"/>
        <v>10</v>
      </c>
      <c r="AS10" s="286">
        <f t="shared" si="3"/>
        <v>-13.000000000000057</v>
      </c>
      <c r="AT10" s="258">
        <f t="shared" si="3"/>
        <v>-14</v>
      </c>
      <c r="AU10" s="258">
        <f t="shared" ref="AU10:AW10" si="4">AU8-AU9</f>
        <v>-11.999999999999943</v>
      </c>
      <c r="AV10" s="1439">
        <f t="shared" si="4"/>
        <v>-8.0000000000000284</v>
      </c>
      <c r="AW10" s="1440">
        <f t="shared" si="4"/>
        <v>-47</v>
      </c>
      <c r="AX10" s="973">
        <f t="shared" ref="AX10:BB10" si="5">AX8-AX9</f>
        <v>-32.5</v>
      </c>
      <c r="AY10" s="974">
        <f t="shared" si="5"/>
        <v>-32.5</v>
      </c>
      <c r="AZ10" s="974">
        <f t="shared" si="5"/>
        <v>-32.5</v>
      </c>
      <c r="BA10" s="975">
        <f t="shared" si="5"/>
        <v>-32.5</v>
      </c>
      <c r="BB10" s="976">
        <f t="shared" si="5"/>
        <v>-130</v>
      </c>
      <c r="BC10" s="973">
        <f t="shared" ref="BC10:BL10" si="6">BC8-BC9</f>
        <v>-10</v>
      </c>
      <c r="BD10" s="974">
        <f t="shared" si="6"/>
        <v>-10</v>
      </c>
      <c r="BE10" s="974">
        <f t="shared" si="6"/>
        <v>-10</v>
      </c>
      <c r="BF10" s="975">
        <f t="shared" si="6"/>
        <v>-10</v>
      </c>
      <c r="BG10" s="976">
        <f t="shared" si="6"/>
        <v>-40</v>
      </c>
      <c r="BH10" s="973">
        <f t="shared" si="6"/>
        <v>-10</v>
      </c>
      <c r="BI10" s="974">
        <f t="shared" si="6"/>
        <v>-10</v>
      </c>
      <c r="BJ10" s="974">
        <f t="shared" si="6"/>
        <v>-10</v>
      </c>
      <c r="BK10" s="975">
        <f t="shared" si="6"/>
        <v>-10</v>
      </c>
      <c r="BL10" s="976">
        <f t="shared" si="6"/>
        <v>-40</v>
      </c>
      <c r="BM10" s="973">
        <f t="shared" ref="BM10:BQ10" si="7">BM8-BM9</f>
        <v>-10</v>
      </c>
      <c r="BN10" s="974">
        <f t="shared" si="7"/>
        <v>-10</v>
      </c>
      <c r="BO10" s="974">
        <f t="shared" si="7"/>
        <v>-10</v>
      </c>
      <c r="BP10" s="975">
        <f t="shared" si="7"/>
        <v>-10</v>
      </c>
      <c r="BQ10" s="976">
        <f t="shared" si="7"/>
        <v>-40</v>
      </c>
    </row>
    <row r="11" spans="1:99" s="1" customFormat="1">
      <c r="E11" s="369"/>
      <c r="F11" s="353"/>
      <c r="G11" s="353"/>
      <c r="H11" s="354"/>
      <c r="I11" s="340"/>
      <c r="J11" s="369"/>
      <c r="K11" s="353"/>
      <c r="L11" s="353"/>
      <c r="M11" s="354"/>
      <c r="N11" s="340"/>
      <c r="O11" s="369"/>
      <c r="P11" s="353"/>
      <c r="Q11" s="353"/>
      <c r="R11" s="354"/>
      <c r="S11" s="340"/>
      <c r="T11" s="286"/>
      <c r="U11" s="258"/>
      <c r="V11" s="353"/>
      <c r="W11" s="354"/>
      <c r="X11" s="340"/>
      <c r="Y11" s="286"/>
      <c r="Z11" s="258"/>
      <c r="AA11" s="1441"/>
      <c r="AB11" s="1442"/>
      <c r="AC11" s="1443"/>
      <c r="AD11" s="286"/>
      <c r="AE11" s="258"/>
      <c r="AF11" s="1441"/>
      <c r="AG11" s="1442"/>
      <c r="AH11" s="1443"/>
      <c r="AI11" s="286"/>
      <c r="AJ11" s="258"/>
      <c r="AK11" s="1441"/>
      <c r="AL11" s="1442"/>
      <c r="AM11" s="1443"/>
      <c r="AN11" s="286"/>
      <c r="AO11" s="258"/>
      <c r="AP11" s="1441"/>
      <c r="AQ11" s="1442"/>
      <c r="AR11" s="1443"/>
      <c r="AS11" s="286"/>
      <c r="AT11" s="258"/>
      <c r="AU11" s="258"/>
      <c r="AV11" s="1442"/>
      <c r="AW11" s="1443"/>
      <c r="AX11" s="977"/>
      <c r="AY11" s="978"/>
      <c r="AZ11" s="978"/>
      <c r="BA11" s="979"/>
      <c r="BB11" s="980"/>
      <c r="BC11" s="977"/>
      <c r="BD11" s="978"/>
      <c r="BE11" s="978"/>
      <c r="BF11" s="979"/>
      <c r="BG11" s="980"/>
      <c r="BH11" s="977"/>
      <c r="BI11" s="978"/>
      <c r="BJ11" s="978"/>
      <c r="BK11" s="979"/>
      <c r="BL11" s="980"/>
      <c r="BM11" s="977"/>
      <c r="BN11" s="978"/>
      <c r="BO11" s="978"/>
      <c r="BP11" s="979"/>
      <c r="BQ11" s="980"/>
    </row>
    <row r="12" spans="1:99" s="1" customFormat="1">
      <c r="C12" s="1" t="s">
        <v>64</v>
      </c>
      <c r="E12" s="369">
        <f>EXC!E12-ExGen!E12-ComEd!E12-PECO!E13</f>
        <v>3</v>
      </c>
      <c r="F12" s="353">
        <f>EXC!F12-ExGen!F12-ComEd!F12-PECO!F13</f>
        <v>3</v>
      </c>
      <c r="G12" s="353">
        <f>EXC!G12-ExGen!G12-ComEd!G12-PECO!G13</f>
        <v>1</v>
      </c>
      <c r="H12" s="354">
        <f>EXC!H12-ExGen!H12-ComEd!H12-PECO!H13</f>
        <v>-1</v>
      </c>
      <c r="I12" s="340">
        <f>EXC!I12-ExGen!I12-ComEd!I12-PECO!I13</f>
        <v>6</v>
      </c>
      <c r="J12" s="369">
        <f>EXC!J12-ExGen!J12-ComEd!J12-PECO!J13</f>
        <v>-18</v>
      </c>
      <c r="K12" s="353">
        <f>EXC!K12-ExGen!K12-ComEd!K12-PECO!K13</f>
        <v>-3</v>
      </c>
      <c r="L12" s="353">
        <f>EXC!L12-ExGen!L12-ComEd!L12-PECO!L13</f>
        <v>-1</v>
      </c>
      <c r="M12" s="354">
        <f>EXC!M12-ExGen!M12-ComEd!M12-PECO!M13</f>
        <v>8</v>
      </c>
      <c r="N12" s="340">
        <f>EXC!N12-ExGen!N12-ComEd!N12-PECO!N13</f>
        <v>-14</v>
      </c>
      <c r="O12" s="369">
        <f>EXC!O12-ExGen!O12-ComEd!O12-PECO!O13</f>
        <v>-3</v>
      </c>
      <c r="P12" s="353">
        <f>EXC!P12-ExGen!P12-ComEd!P12-PECO!P13</f>
        <v>23</v>
      </c>
      <c r="Q12" s="353">
        <f>EXC!Q12-ExGen!Q12-ComEd!Q12-PECO!Q13</f>
        <v>8</v>
      </c>
      <c r="R12" s="354">
        <f>EXC!R12-ExGen!R12-ComEd!R12-PECO!R13</f>
        <v>25</v>
      </c>
      <c r="S12" s="340">
        <f>EXC!S12-ExGen!S12-ComEd!S12-PECO!S13</f>
        <v>53</v>
      </c>
      <c r="T12" s="369">
        <f>EXC!T12-ExGen!T12-ComEd!T12-PECO!T13</f>
        <v>268</v>
      </c>
      <c r="U12" s="353">
        <f>EXC!U12-ExGen!U12-ComEd!U12-PECO!U13-BGE!U13</f>
        <v>-1</v>
      </c>
      <c r="V12" s="353">
        <f>EXC!V12-ExGen!V12-ComEd!V12-PECO!V13-BGE!V13</f>
        <v>-9</v>
      </c>
      <c r="W12" s="354">
        <f>EXC!W12-ExGen!W12-ComEd!W12-PECO!W13-BGE!W13</f>
        <v>-12</v>
      </c>
      <c r="X12" s="340">
        <f>EXC!X12-ExGen!X12-ComEd!X12-PECO!X13-BGE!X13</f>
        <v>51</v>
      </c>
      <c r="Y12" s="369">
        <f>EXC!Y12-ExGen!Y12-ComEd!Y12-PECO!Y13-BGE!Y13</f>
        <v>-7</v>
      </c>
      <c r="Z12" s="353">
        <f>EXC!Z12-ExGen!Z12-ComEd!Z12-PECO!Z13-BGE!Z13</f>
        <v>3</v>
      </c>
      <c r="AA12" s="1441">
        <f>EXC!AA12-ExGen!AA12-ComEd!AA12-PECO!AA13-BGE!AA13</f>
        <v>-6</v>
      </c>
      <c r="AB12" s="1442">
        <f>EXC!AB12-ExGen!AB12-ComEd!AB12-PECO!AB13-BGE!AB13</f>
        <v>-4</v>
      </c>
      <c r="AC12" s="1443">
        <f>EXC!AC12-ExGen!AC12-ComEd!AC12-PECO!AC13-BGE!AC13</f>
        <v>-14</v>
      </c>
      <c r="AD12" s="369">
        <f>EXC!AD12-ExGen!AD12-ComEd!AD12-PECO!AD13-BGE!AD13</f>
        <v>-23</v>
      </c>
      <c r="AE12" s="353">
        <f>EXC!AE12-ExGen!AE12-ComEd!AE12-PECO!AE13-BGE!AE13</f>
        <v>26</v>
      </c>
      <c r="AF12" s="1441">
        <f>EXC!AF12-ExGen!AF12-ComEd!AF12-PECO!AF13-BGE!AF13</f>
        <v>-12</v>
      </c>
      <c r="AG12" s="1442">
        <f>EXC!AG12-ExGen!AG12-ComEd!AG12-PECO!AG13-BGE!AG13</f>
        <v>-1</v>
      </c>
      <c r="AH12" s="1443">
        <f>EXC!AH12-ExGen!AH12-ComEd!AH12-PECO!AH13-BGE!AH13</f>
        <v>-10</v>
      </c>
      <c r="AI12" s="369">
        <f>EXC!AI12-ExGen!AI12-ComEd!AI12-PECO!AI13-BGE!AI13</f>
        <v>-12</v>
      </c>
      <c r="AJ12" s="353">
        <f>EXC!AJ12-ExGen!AJ12-ComEd!AJ12-PECO!AJ13-BGE!AJ13</f>
        <v>9</v>
      </c>
      <c r="AK12" s="1441">
        <f>EXC!AK12-ExGen!AK12-ComEd!AK12-PECO!AK13-BGE!AK13</f>
        <v>-14</v>
      </c>
      <c r="AL12" s="1442">
        <f>EXC!AL12-ExGen!AL12-ComEd!AL12-PECO!AL13-BGE!AL13</f>
        <v>-13</v>
      </c>
      <c r="AM12" s="1443">
        <f>EXC!AM12-ExGen!AM12-ComEd!AM12-PECO!AM13-BGE!AM13</f>
        <v>-30</v>
      </c>
      <c r="AN12" s="369">
        <f>EXC!AN12-ExGen!AN12-ComEd!AN12-PECO!AN13-BGE!AN13</f>
        <v>583</v>
      </c>
      <c r="AO12" s="353">
        <f>EXC!AO12-ExGen!AO12-ComEd!AO12-PECO!AO13-BGE!AO13-Pepco!AJ12-DPL!AJ18-ACE!AJ12</f>
        <v>-46</v>
      </c>
      <c r="AP12" s="1441">
        <f>EXC!AP12-ExGen!AP12-ComEd!AP12-PECO!AP13-BGE!AP13-Pepco!AK12-DPL!AK18-ACE!AK12</f>
        <v>17</v>
      </c>
      <c r="AQ12" s="1442">
        <f>EXC!AQ12-ExGen!AQ12-ComEd!AQ12-PECO!AQ13-BGE!AQ13-Pepco!AL12-DPL!AL18-ACE!AL12</f>
        <v>-30</v>
      </c>
      <c r="AR12" s="1443">
        <f>+SUM(AN12:AQ12)</f>
        <v>524</v>
      </c>
      <c r="AS12" s="369">
        <f>EXC!AS12-ExGen!AS12-ComEd!AS12-PECO!AS13-BGE!AS13-Pepco!AN12-DPL!AN18-ACE!AN12</f>
        <v>-51</v>
      </c>
      <c r="AT12" s="353">
        <f>EXC!AT12-ExGen!AT12-ComEd!AT12-PECO!AT13-BGE!AT13-Pepco!AO12-DPL!AO18-ACE!AO12</f>
        <v>-52</v>
      </c>
      <c r="AU12" s="353">
        <f>EXC!AU12-ExGen!AU12-ComEd!AU12-PECO!AU13-BGE!AU13-Pepco!AP12-DPL!AP18-ACE!AP12</f>
        <v>-46</v>
      </c>
      <c r="AV12" s="1442">
        <f>EXC!AV12-ExGen!AV12-ComEd!AV12-PECO!AV13-BGE!AV13-Pepco!AQ12-DPL!AQ18-ACE!AQ12</f>
        <v>-41</v>
      </c>
      <c r="AW12" s="1443">
        <f>+SUM(AS12:AV12)</f>
        <v>-190</v>
      </c>
      <c r="AX12" s="977">
        <f>AS12</f>
        <v>-51</v>
      </c>
      <c r="AY12" s="978">
        <f t="shared" ref="AY12:AY14" si="8">AT12</f>
        <v>-52</v>
      </c>
      <c r="AZ12" s="978">
        <f t="shared" ref="AZ12:AZ14" si="9">AU12</f>
        <v>-46</v>
      </c>
      <c r="BA12" s="979">
        <f t="shared" ref="BA12:BA14" si="10">AV12</f>
        <v>-41</v>
      </c>
      <c r="BB12" s="980">
        <f>SUM(AX12:BA12)</f>
        <v>-190</v>
      </c>
      <c r="BC12" s="972">
        <f t="shared" ref="BC12:BF14" si="11">AX12</f>
        <v>-51</v>
      </c>
      <c r="BD12" s="970">
        <f t="shared" si="11"/>
        <v>-52</v>
      </c>
      <c r="BE12" s="970">
        <f t="shared" si="11"/>
        <v>-46</v>
      </c>
      <c r="BF12" s="971">
        <f t="shared" si="11"/>
        <v>-41</v>
      </c>
      <c r="BG12" s="980">
        <f>SUM(BC12:BF12)</f>
        <v>-190</v>
      </c>
      <c r="BH12" s="972">
        <f t="shared" ref="BH12:BK14" si="12">BC12</f>
        <v>-51</v>
      </c>
      <c r="BI12" s="970">
        <f t="shared" si="12"/>
        <v>-52</v>
      </c>
      <c r="BJ12" s="970">
        <f t="shared" si="12"/>
        <v>-46</v>
      </c>
      <c r="BK12" s="971">
        <f t="shared" si="12"/>
        <v>-41</v>
      </c>
      <c r="BL12" s="980">
        <f>SUM(BH12:BK12)</f>
        <v>-190</v>
      </c>
      <c r="BM12" s="972">
        <f t="shared" ref="BM12:BM13" si="13">BH12</f>
        <v>-51</v>
      </c>
      <c r="BN12" s="970">
        <f t="shared" ref="BN12:BN14" si="14">BI12</f>
        <v>-52</v>
      </c>
      <c r="BO12" s="970">
        <f t="shared" ref="BO12:BO14" si="15">BJ12</f>
        <v>-46</v>
      </c>
      <c r="BP12" s="971">
        <f t="shared" ref="BP12:BP14" si="16">BK12</f>
        <v>-41</v>
      </c>
      <c r="BQ12" s="980">
        <f>SUM(BM12:BP12)</f>
        <v>-190</v>
      </c>
    </row>
    <row r="13" spans="1:99" s="1" customFormat="1">
      <c r="C13" s="1" t="s">
        <v>67</v>
      </c>
      <c r="E13" s="369">
        <f>EXC!E13-ExGen!E13-ComEd!E13-PECO!E14</f>
        <v>12</v>
      </c>
      <c r="F13" s="353">
        <f>EXC!F13-ExGen!F13-ComEd!F13-PECO!F14</f>
        <v>13</v>
      </c>
      <c r="G13" s="353">
        <f>EXC!G13-ExGen!G13-ComEd!G13-PECO!G14</f>
        <v>14</v>
      </c>
      <c r="H13" s="354">
        <f>EXC!H13-ExGen!H13-ComEd!H13-PECO!H14</f>
        <v>16</v>
      </c>
      <c r="I13" s="340">
        <f>EXC!I13-ExGen!I13-ComEd!I13-PECO!I14</f>
        <v>55</v>
      </c>
      <c r="J13" s="369">
        <f>EXC!J13-ExGen!J13-ComEd!J13-PECO!J14</f>
        <v>10</v>
      </c>
      <c r="K13" s="353">
        <f>EXC!K13-ExGen!K13-ComEd!K13-PECO!K14</f>
        <v>5</v>
      </c>
      <c r="L13" s="353">
        <f>EXC!L13-ExGen!L13-ComEd!L13-PECO!L14</f>
        <v>5</v>
      </c>
      <c r="M13" s="354">
        <f>EXC!M13-ExGen!M13-ComEd!M13-PECO!M14</f>
        <v>5</v>
      </c>
      <c r="N13" s="340">
        <f>EXC!N13-ExGen!N13-ComEd!N13-PECO!N14</f>
        <v>25</v>
      </c>
      <c r="O13" s="369">
        <f>EXC!O13-ExGen!O13-ComEd!O13-PECO!O14</f>
        <v>6</v>
      </c>
      <c r="P13" s="353">
        <f>EXC!P13-ExGen!P13-ComEd!P13-PECO!P14</f>
        <v>5</v>
      </c>
      <c r="Q13" s="353">
        <f>EXC!Q13-ExGen!Q13-ComEd!Q13-PECO!Q14</f>
        <v>7</v>
      </c>
      <c r="R13" s="354">
        <f>EXC!R13-ExGen!R13-ComEd!R13-PECO!R14</f>
        <v>3</v>
      </c>
      <c r="S13" s="340">
        <f>EXC!S13-ExGen!S13-ComEd!S13-PECO!S14</f>
        <v>21</v>
      </c>
      <c r="T13" s="369">
        <f>EXC!T13-ExGen!T13-ComEd!T13-PECO!T14</f>
        <v>27</v>
      </c>
      <c r="U13" s="353">
        <f>EXC!U13-ExGen!U13-ComEd!U13-PECO!U14-BGE!U14</f>
        <v>13</v>
      </c>
      <c r="V13" s="353">
        <f>EXC!V13-ExGen!V13-ComEd!V13-PECO!V14-BGE!V14</f>
        <v>13</v>
      </c>
      <c r="W13" s="354">
        <f>EXC!W13-ExGen!W13-ComEd!W13-PECO!W14-BGE!W14</f>
        <v>14</v>
      </c>
      <c r="X13" s="340">
        <f>EXC!X13-ExGen!X13-ComEd!X13-PECO!X14-BGE!X14</f>
        <v>-12</v>
      </c>
      <c r="Y13" s="369">
        <f>EXC!Y13-ExGen!Y13-ComEd!Y13-PECO!Y14-BGE!Y14</f>
        <v>12</v>
      </c>
      <c r="Z13" s="353">
        <f>EXC!Z13-ExGen!Z13-ComEd!Z13-PECO!Z14-BGE!Z14</f>
        <v>15</v>
      </c>
      <c r="AA13" s="1441">
        <f>EXC!AA13-ExGen!AA13-ComEd!AA13-PECO!AA14-BGE!AA14</f>
        <v>13</v>
      </c>
      <c r="AB13" s="1442">
        <f>EXC!AB13-ExGen!AB13-ComEd!AB13-PECO!AB14-BGE!AB14</f>
        <v>12</v>
      </c>
      <c r="AC13" s="1443">
        <f>EXC!AC13-ExGen!AC13-ComEd!AC13-PECO!AC14-BGE!AC14</f>
        <v>52</v>
      </c>
      <c r="AD13" s="369">
        <f>EXC!AD13-ExGen!AD13-ComEd!AD13-PECO!AD14-BGE!AD14</f>
        <v>14</v>
      </c>
      <c r="AE13" s="353">
        <f>EXC!AE13-ExGen!AE13-ComEd!AE13-PECO!AE14-BGE!AE14</f>
        <v>14</v>
      </c>
      <c r="AF13" s="1441">
        <f>EXC!AF13-ExGen!AF13-ComEd!AF13-PECO!AF14-BGE!AF14</f>
        <v>13</v>
      </c>
      <c r="AG13" s="1442">
        <f>EXC!AG13-ExGen!AG13-ComEd!AG13-PECO!AG14-BGE!AG14</f>
        <v>12</v>
      </c>
      <c r="AH13" s="1443">
        <f>EXC!AH13-ExGen!AH13-ComEd!AH13-PECO!AH14-BGE!AH14</f>
        <v>53</v>
      </c>
      <c r="AI13" s="369">
        <f>EXC!AI13-ExGen!AI13-ComEd!AI13-PECO!AI14-BGE!AI14</f>
        <v>13</v>
      </c>
      <c r="AJ13" s="353">
        <f>EXC!AJ13-ExGen!AJ13-ComEd!AJ13-PECO!AJ14-BGE!AJ14</f>
        <v>14</v>
      </c>
      <c r="AK13" s="1441">
        <f>EXC!AK13-ExGen!AK13-ComEd!AK13-PECO!AK14-BGE!AK14</f>
        <v>19</v>
      </c>
      <c r="AL13" s="1442">
        <f>EXC!AL13-ExGen!AL13-ComEd!AL13-PECO!AL14-BGE!AL14</f>
        <v>17</v>
      </c>
      <c r="AM13" s="1443">
        <f>EXC!AM13-ExGen!AM13-ComEd!AM13-PECO!AM14-BGE!AM14</f>
        <v>63</v>
      </c>
      <c r="AN13" s="369">
        <f>EXC!AN13-ExGen!AN13-ComEd!AN13-PECO!AN14-BGE!AN14</f>
        <v>31</v>
      </c>
      <c r="AO13" s="353">
        <f>EXC!AO13-ExGen!AO13-ComEd!AO13-PECO!AO14-BGE!AO14-Pepco!AJ13-DPL!AJ19-ACE!AJ13</f>
        <v>30</v>
      </c>
      <c r="AP13" s="1441">
        <f>EXC!AP13-ExGen!AP13-ComEd!AP13-PECO!AP14-BGE!AP14-Pepco!AK13-DPL!AK19-ACE!AK13</f>
        <v>30</v>
      </c>
      <c r="AQ13" s="1442">
        <f>EXC!AQ13-ExGen!AQ13-ComEd!AQ13-PECO!AQ14-BGE!AQ14-Pepco!AL13-DPL!AL19-ACE!AL13</f>
        <v>35</v>
      </c>
      <c r="AR13" s="1443">
        <f>+SUM(AN13:AQ13)</f>
        <v>126</v>
      </c>
      <c r="AS13" s="369">
        <f>EXC!AS13-ExGen!AS13-ComEd!AS13-PECO!AS14-BGE!AS14-Pepco!AN13-DPL!AN19-ACE!AN13</f>
        <v>31</v>
      </c>
      <c r="AT13" s="353">
        <f>EXC!AT13-ExGen!AT13-ComEd!AT13-PECO!AT14-BGE!AT14-Pepco!AO13-DPL!AO19-ACE!AO13</f>
        <v>32</v>
      </c>
      <c r="AU13" s="353">
        <f>EXC!AU13-ExGen!AU13-ComEd!AU13-PECO!AU14-BGE!AU14-Pepco!AP13-DPL!AP19-ACE!AP13</f>
        <v>31</v>
      </c>
      <c r="AV13" s="1442">
        <f>EXC!AV13-ExGen!AV13-ComEd!AV13-PECO!AV14-BGE!AV14-Pepco!AQ13-DPL!AQ19-ACE!AQ13</f>
        <v>34</v>
      </c>
      <c r="AW13" s="1443">
        <f>+SUM(AS13:AV13)</f>
        <v>128</v>
      </c>
      <c r="AX13" s="977">
        <f>+AV13</f>
        <v>34</v>
      </c>
      <c r="AY13" s="978">
        <f>AT13</f>
        <v>32</v>
      </c>
      <c r="AZ13" s="978">
        <f>AU13</f>
        <v>31</v>
      </c>
      <c r="BA13" s="979">
        <f t="shared" si="10"/>
        <v>34</v>
      </c>
      <c r="BB13" s="980">
        <f>SUM(AX13:BA13)</f>
        <v>131</v>
      </c>
      <c r="BC13" s="977">
        <f t="shared" si="11"/>
        <v>34</v>
      </c>
      <c r="BD13" s="978">
        <f t="shared" si="11"/>
        <v>32</v>
      </c>
      <c r="BE13" s="978">
        <f t="shared" si="11"/>
        <v>31</v>
      </c>
      <c r="BF13" s="979">
        <f t="shared" si="11"/>
        <v>34</v>
      </c>
      <c r="BG13" s="980">
        <f>SUM(BC13:BF13)</f>
        <v>131</v>
      </c>
      <c r="BH13" s="977">
        <f t="shared" si="12"/>
        <v>34</v>
      </c>
      <c r="BI13" s="978">
        <f t="shared" si="12"/>
        <v>32</v>
      </c>
      <c r="BJ13" s="978">
        <f t="shared" si="12"/>
        <v>31</v>
      </c>
      <c r="BK13" s="979">
        <f t="shared" si="12"/>
        <v>34</v>
      </c>
      <c r="BL13" s="980">
        <f>SUM(BH13:BK13)</f>
        <v>131</v>
      </c>
      <c r="BM13" s="977">
        <f t="shared" si="13"/>
        <v>34</v>
      </c>
      <c r="BN13" s="978">
        <f t="shared" si="14"/>
        <v>32</v>
      </c>
      <c r="BO13" s="978">
        <f t="shared" si="15"/>
        <v>31</v>
      </c>
      <c r="BP13" s="979">
        <f t="shared" si="16"/>
        <v>34</v>
      </c>
      <c r="BQ13" s="980">
        <f>SUM(BM13:BP13)</f>
        <v>131</v>
      </c>
    </row>
    <row r="14" spans="1:99" s="1" customFormat="1">
      <c r="C14" s="1" t="s">
        <v>65</v>
      </c>
      <c r="E14" s="369">
        <f>EXC!E14-ExGen!E14-ComEd!E14-PECO!E15</f>
        <v>6</v>
      </c>
      <c r="F14" s="353">
        <f>EXC!F14-ExGen!F14-ComEd!F14-PECO!F15</f>
        <v>4</v>
      </c>
      <c r="G14" s="353">
        <f>EXC!G14-ExGen!G14-ComEd!G14-PECO!G15</f>
        <v>4</v>
      </c>
      <c r="H14" s="354">
        <f>EXC!H14-ExGen!H14-ComEd!H14-PECO!H15</f>
        <v>2</v>
      </c>
      <c r="I14" s="340">
        <f>EXC!I14-ExGen!I14-ComEd!I14-PECO!I15</f>
        <v>16</v>
      </c>
      <c r="J14" s="369">
        <f>EXC!J14-ExGen!J14-ComEd!J14-PECO!J15</f>
        <v>5</v>
      </c>
      <c r="K14" s="353">
        <f>EXC!K14-ExGen!K14-ComEd!K14-PECO!K15</f>
        <v>4</v>
      </c>
      <c r="L14" s="353">
        <f>EXC!L14-ExGen!L14-ComEd!L14-PECO!L15</f>
        <v>4</v>
      </c>
      <c r="M14" s="354">
        <f>EXC!M14-ExGen!M14-ComEd!M14-PECO!M15</f>
        <v>6</v>
      </c>
      <c r="N14" s="340">
        <f>EXC!N14-ExGen!N14-ComEd!N14-PECO!N15</f>
        <v>19</v>
      </c>
      <c r="O14" s="369">
        <f>EXC!O14-ExGen!O14-ComEd!O14-PECO!O15</f>
        <v>4</v>
      </c>
      <c r="P14" s="353">
        <f>EXC!P14-ExGen!P14-ComEd!P14-PECO!P15</f>
        <v>4</v>
      </c>
      <c r="Q14" s="353">
        <f>EXC!Q14-ExGen!Q14-ComEd!Q14-PECO!Q15</f>
        <v>3</v>
      </c>
      <c r="R14" s="354">
        <f>EXC!R14-ExGen!R14-ComEd!R14-PECO!R15</f>
        <v>9</v>
      </c>
      <c r="S14" s="340">
        <f>EXC!S14-ExGen!S14-ComEd!S14-PECO!S15</f>
        <v>20</v>
      </c>
      <c r="T14" s="369">
        <f>EXC!T14-ExGen!T14-ComEd!T14-PECO!T15</f>
        <v>15</v>
      </c>
      <c r="U14" s="353">
        <f>EXC!U14-ExGen!U14-ComEd!U14-PECO!U15-BGE!U15</f>
        <v>6</v>
      </c>
      <c r="V14" s="353">
        <f>EXC!V14-ExGen!V14-ComEd!V14-PECO!V15-BGE!V15</f>
        <v>4</v>
      </c>
      <c r="W14" s="354">
        <f>EXC!W14-ExGen!W14-ComEd!W14-PECO!W15-BGE!W15</f>
        <v>8</v>
      </c>
      <c r="X14" s="340">
        <f>EXC!X14-ExGen!X14-ComEd!X14-PECO!X15-BGE!X15</f>
        <v>-15</v>
      </c>
      <c r="Y14" s="369">
        <f>EXC!Y14-ExGen!Y14-ComEd!Y14-PECO!Y15-BGE!Y15</f>
        <v>14</v>
      </c>
      <c r="Z14" s="353">
        <f>EXC!Z14-ExGen!Z14-ComEd!Z14-PECO!Z15-BGE!Z15</f>
        <v>6</v>
      </c>
      <c r="AA14" s="1441">
        <f>EXC!AA14-ExGen!AA14-ComEd!AA14-PECO!AA15-BGE!AA15</f>
        <v>5</v>
      </c>
      <c r="AB14" s="1442">
        <f>EXC!AB14-ExGen!AB14-ComEd!AB14-PECO!AB15-BGE!AB15</f>
        <v>11</v>
      </c>
      <c r="AC14" s="1443">
        <f>EXC!AC14-ExGen!AC14-ComEd!AC14-PECO!AC15-BGE!AC15</f>
        <v>36</v>
      </c>
      <c r="AD14" s="369">
        <f>EXC!AD14-ExGen!AD14-ComEd!AD14-PECO!AD15-BGE!AD15</f>
        <v>9</v>
      </c>
      <c r="AE14" s="353">
        <f>EXC!AE14-ExGen!AE14-ComEd!AE14-PECO!AE15-BGE!AE15</f>
        <v>7</v>
      </c>
      <c r="AF14" s="1441">
        <f>EXC!AF14-ExGen!AF14-ComEd!AF14-PECO!AF15-BGE!AF15</f>
        <v>6</v>
      </c>
      <c r="AG14" s="1442">
        <f>EXC!AG14-ExGen!AG14-ComEd!AG14-PECO!AG15-BGE!AG15</f>
        <v>-6</v>
      </c>
      <c r="AH14" s="1443">
        <f>EXC!AH14-ExGen!AH14-ComEd!AH14-PECO!AH15-BGE!AH15</f>
        <v>16</v>
      </c>
      <c r="AI14" s="369">
        <f>EXC!AI14-ExGen!AI14-ComEd!AI14-PECO!AI15-BGE!AI15</f>
        <v>9</v>
      </c>
      <c r="AJ14" s="353">
        <f>EXC!AJ14-ExGen!AJ14-ComEd!AJ14-PECO!AJ15-BGE!AJ15</f>
        <v>8</v>
      </c>
      <c r="AK14" s="1441">
        <f>EXC!AK14-ExGen!AK14-ComEd!AK14-PECO!AK15-BGE!AK15</f>
        <v>7</v>
      </c>
      <c r="AL14" s="1442">
        <f>EXC!AL14-ExGen!AL14-ComEd!AL14-PECO!AL15-BGE!AL15</f>
        <v>7</v>
      </c>
      <c r="AM14" s="1443">
        <f>EXC!AM14-ExGen!AM14-ComEd!AM14-PECO!AM15-BGE!AM15</f>
        <v>31</v>
      </c>
      <c r="AN14" s="369">
        <f>EXC!AN14-ExGen!AN14-ComEd!AN14-PECO!AN15-BGE!AN15</f>
        <v>24</v>
      </c>
      <c r="AO14" s="353">
        <f>EXC!AO14-ExGen!AO14-ComEd!AO14-PECO!AO15-BGE!AO15-Pepco!AJ14-DPL!AJ20-ACE!AJ14</f>
        <v>14</v>
      </c>
      <c r="AP14" s="1441">
        <f>EXC!AP14-ExGen!AP14-ComEd!AP14-PECO!AP15-BGE!AP15-Pepco!AK14-DPL!AK20-ACE!AK14</f>
        <v>7</v>
      </c>
      <c r="AQ14" s="1442">
        <f>EXC!AQ14-ExGen!AQ14-ComEd!AQ14-PECO!AQ15-BGE!AQ15-Pepco!AL14-DPL!AL20-ACE!AL14</f>
        <v>11</v>
      </c>
      <c r="AR14" s="1443">
        <f>+SUM(AN14:AQ14)</f>
        <v>56</v>
      </c>
      <c r="AS14" s="369">
        <f>EXC!AS14-ExGen!AS14-ComEd!AS14-PECO!AS15-BGE!AS15-Pepco!AN14-DPL!AN20-ACE!AN14</f>
        <v>14</v>
      </c>
      <c r="AT14" s="353">
        <f>EXC!AT14-ExGen!AT14-ComEd!AT14-PECO!AT15-BGE!AT15-Pepco!AO14-DPL!AO20-ACE!AO14</f>
        <v>11</v>
      </c>
      <c r="AU14" s="353">
        <f>EXC!AU14-ExGen!AU14-ComEd!AU14-PECO!AU15-BGE!AU15-Pepco!AP14-DPL!AP20-ACE!AP14</f>
        <v>13</v>
      </c>
      <c r="AV14" s="1442">
        <f>EXC!AV14-ExGen!AV14-ComEd!AV14-PECO!AV15-BGE!AV15-Pepco!AQ14-DPL!AQ20-ACE!AQ14</f>
        <v>14</v>
      </c>
      <c r="AW14" s="1443">
        <f>+SUM(AS14:AV14)</f>
        <v>52</v>
      </c>
      <c r="AX14" s="972">
        <f>AS14</f>
        <v>14</v>
      </c>
      <c r="AY14" s="970">
        <f t="shared" si="8"/>
        <v>11</v>
      </c>
      <c r="AZ14" s="970">
        <f t="shared" si="9"/>
        <v>13</v>
      </c>
      <c r="BA14" s="971">
        <f t="shared" si="10"/>
        <v>14</v>
      </c>
      <c r="BB14" s="980">
        <f>SUM(AX14:BA14)</f>
        <v>52</v>
      </c>
      <c r="BC14" s="972">
        <f>AX14</f>
        <v>14</v>
      </c>
      <c r="BD14" s="970">
        <f t="shared" si="11"/>
        <v>11</v>
      </c>
      <c r="BE14" s="970">
        <f t="shared" si="11"/>
        <v>13</v>
      </c>
      <c r="BF14" s="971">
        <f t="shared" si="11"/>
        <v>14</v>
      </c>
      <c r="BG14" s="980">
        <f>SUM(BC14:BF14)</f>
        <v>52</v>
      </c>
      <c r="BH14" s="972">
        <f>BC14</f>
        <v>14</v>
      </c>
      <c r="BI14" s="970">
        <f t="shared" si="12"/>
        <v>11</v>
      </c>
      <c r="BJ14" s="970">
        <f t="shared" si="12"/>
        <v>13</v>
      </c>
      <c r="BK14" s="971">
        <f t="shared" si="12"/>
        <v>14</v>
      </c>
      <c r="BL14" s="980">
        <f>SUM(BH14:BK14)</f>
        <v>52</v>
      </c>
      <c r="BM14" s="972">
        <f>BH14</f>
        <v>14</v>
      </c>
      <c r="BN14" s="970">
        <f t="shared" si="14"/>
        <v>11</v>
      </c>
      <c r="BO14" s="970">
        <f t="shared" si="15"/>
        <v>13</v>
      </c>
      <c r="BP14" s="971">
        <f t="shared" si="16"/>
        <v>14</v>
      </c>
      <c r="BQ14" s="980">
        <f>SUM(BM14:BP14)</f>
        <v>52</v>
      </c>
    </row>
    <row r="15" spans="1:99" s="1" customFormat="1">
      <c r="C15" s="32" t="s">
        <v>79</v>
      </c>
      <c r="E15" s="286">
        <f t="shared" ref="E15:AE15" si="17">SUM(E12:E14,E9:E9)</f>
        <v>-923</v>
      </c>
      <c r="F15" s="258">
        <f t="shared" si="17"/>
        <v>-807</v>
      </c>
      <c r="G15" s="258">
        <f t="shared" si="17"/>
        <v>-890</v>
      </c>
      <c r="H15" s="287">
        <f t="shared" si="17"/>
        <v>-765</v>
      </c>
      <c r="I15" s="341">
        <f t="shared" si="17"/>
        <v>-3385</v>
      </c>
      <c r="J15" s="286">
        <f t="shared" si="17"/>
        <v>-831</v>
      </c>
      <c r="K15" s="258">
        <f t="shared" si="17"/>
        <v>-716</v>
      </c>
      <c r="L15" s="258">
        <f t="shared" si="17"/>
        <v>-766</v>
      </c>
      <c r="M15" s="287">
        <f t="shared" si="17"/>
        <v>-754</v>
      </c>
      <c r="N15" s="341">
        <f t="shared" si="17"/>
        <v>-3067</v>
      </c>
      <c r="O15" s="286">
        <f t="shared" si="17"/>
        <v>-297</v>
      </c>
      <c r="P15" s="258">
        <f t="shared" si="17"/>
        <v>-217</v>
      </c>
      <c r="Q15" s="258">
        <f t="shared" si="17"/>
        <v>-328</v>
      </c>
      <c r="R15" s="287">
        <f t="shared" si="17"/>
        <v>-285</v>
      </c>
      <c r="S15" s="341">
        <f t="shared" si="17"/>
        <v>-1127</v>
      </c>
      <c r="T15" s="286">
        <f t="shared" si="17"/>
        <v>0</v>
      </c>
      <c r="U15" s="258">
        <f>SUM(U12:U14,U9:U9)</f>
        <v>-396</v>
      </c>
      <c r="V15" s="258">
        <f>SUM(V12:V14,V9:V9)</f>
        <v>-465</v>
      </c>
      <c r="W15" s="287">
        <f>SUM(W12:W14,W9:W9)</f>
        <v>-362.99999999999983</v>
      </c>
      <c r="X15" s="341">
        <f>SUM(X12:X14,X9:X9)</f>
        <v>-1931</v>
      </c>
      <c r="Y15" s="286">
        <f t="shared" si="17"/>
        <v>-383</v>
      </c>
      <c r="Z15" s="258">
        <f t="shared" si="17"/>
        <v>-297</v>
      </c>
      <c r="AA15" s="1438">
        <f>SUM(AA12:AA14,AA9:AA9)</f>
        <v>-360</v>
      </c>
      <c r="AB15" s="1439">
        <f>SUM(AB12:AB14,AB9:AB9)</f>
        <v>-253.99999999999989</v>
      </c>
      <c r="AC15" s="1440">
        <f>SUM(AC12:AC14,AC9:AC9)</f>
        <v>-1294</v>
      </c>
      <c r="AD15" s="286">
        <f t="shared" si="17"/>
        <v>-330</v>
      </c>
      <c r="AE15" s="258">
        <f t="shared" si="17"/>
        <v>-154</v>
      </c>
      <c r="AF15" s="1438">
        <f>SUM(AF12:AF14,AF9:AF9)</f>
        <v>-103.00000000000003</v>
      </c>
      <c r="AG15" s="1439">
        <f>SUM(AG12:AG14,AG9:AG9)</f>
        <v>-130.99999999999997</v>
      </c>
      <c r="AH15" s="1440">
        <f>SUM(AH12:AH14,AH9:AH9)</f>
        <v>-718</v>
      </c>
      <c r="AI15" s="286">
        <f t="shared" ref="AI15:AJ15" si="18">SUM(AI12:AI14,AI9:AI9)</f>
        <v>-205</v>
      </c>
      <c r="AJ15" s="258">
        <f t="shared" si="18"/>
        <v>-120</v>
      </c>
      <c r="AK15" s="1438">
        <f>SUM(AK12:AK14,AK9:AK9)</f>
        <v>-195</v>
      </c>
      <c r="AL15" s="1439">
        <f>SUM(AL12:AL14,AL9:AL9)</f>
        <v>-166.99999999999989</v>
      </c>
      <c r="AM15" s="1440">
        <f>SUM(AM12:AM14,AM9:AM9)</f>
        <v>-686.99999999999989</v>
      </c>
      <c r="AN15" s="286">
        <f t="shared" ref="AN15" si="19">SUM(AN12:AN14,AN9:AN9)</f>
        <v>408</v>
      </c>
      <c r="AO15" s="258">
        <f t="shared" ref="AO15:AT15" si="20">SUM(AO12:AO14,AO9:AO9)</f>
        <v>-357</v>
      </c>
      <c r="AP15" s="1438">
        <f t="shared" si="20"/>
        <v>-451</v>
      </c>
      <c r="AQ15" s="1439">
        <f t="shared" si="20"/>
        <v>-291.99999999999989</v>
      </c>
      <c r="AR15" s="1440">
        <f t="shared" si="20"/>
        <v>-692</v>
      </c>
      <c r="AS15" s="286">
        <f t="shared" si="20"/>
        <v>-335.99999999999994</v>
      </c>
      <c r="AT15" s="258">
        <f t="shared" si="20"/>
        <v>-273</v>
      </c>
      <c r="AU15" s="258">
        <f t="shared" ref="AU15:AW15" si="21">SUM(AU12:AU14,AU9:AU9)</f>
        <v>-297.00000000000006</v>
      </c>
      <c r="AV15" s="1439">
        <f t="shared" si="21"/>
        <v>-217.99999999999997</v>
      </c>
      <c r="AW15" s="1440">
        <f t="shared" si="21"/>
        <v>-1124</v>
      </c>
      <c r="AX15" s="973">
        <f t="shared" ref="AX15:BB15" si="22">SUM(AX12:AX14,AX9:AX9)</f>
        <v>-3</v>
      </c>
      <c r="AY15" s="974">
        <f t="shared" si="22"/>
        <v>-9</v>
      </c>
      <c r="AZ15" s="974">
        <f t="shared" si="22"/>
        <v>-2</v>
      </c>
      <c r="BA15" s="975">
        <f t="shared" si="22"/>
        <v>7</v>
      </c>
      <c r="BB15" s="976">
        <f t="shared" si="22"/>
        <v>-7</v>
      </c>
      <c r="BC15" s="973">
        <f t="shared" ref="BC15:BL15" si="23">SUM(BC12:BC14,BC9:BC9)</f>
        <v>-3</v>
      </c>
      <c r="BD15" s="974">
        <f t="shared" si="23"/>
        <v>-9</v>
      </c>
      <c r="BE15" s="974">
        <f t="shared" si="23"/>
        <v>-2</v>
      </c>
      <c r="BF15" s="975">
        <f t="shared" si="23"/>
        <v>7</v>
      </c>
      <c r="BG15" s="976">
        <f t="shared" si="23"/>
        <v>-7</v>
      </c>
      <c r="BH15" s="973">
        <f t="shared" si="23"/>
        <v>-3</v>
      </c>
      <c r="BI15" s="974">
        <f t="shared" si="23"/>
        <v>-9</v>
      </c>
      <c r="BJ15" s="974">
        <f t="shared" si="23"/>
        <v>-2</v>
      </c>
      <c r="BK15" s="975">
        <f t="shared" si="23"/>
        <v>7</v>
      </c>
      <c r="BL15" s="976">
        <f t="shared" si="23"/>
        <v>-7</v>
      </c>
      <c r="BM15" s="973">
        <f t="shared" ref="BM15:BQ15" si="24">SUM(BM12:BM14,BM9:BM9)</f>
        <v>-3</v>
      </c>
      <c r="BN15" s="974">
        <f t="shared" si="24"/>
        <v>-9</v>
      </c>
      <c r="BO15" s="974">
        <f t="shared" si="24"/>
        <v>-2</v>
      </c>
      <c r="BP15" s="975">
        <f t="shared" si="24"/>
        <v>7</v>
      </c>
      <c r="BQ15" s="976">
        <f t="shared" si="24"/>
        <v>-7</v>
      </c>
    </row>
    <row r="16" spans="1:99">
      <c r="A16" s="330"/>
      <c r="B16" s="330"/>
      <c r="C16" s="32"/>
      <c r="D16" s="330"/>
      <c r="E16" s="286"/>
      <c r="F16" s="258"/>
      <c r="G16" s="258"/>
      <c r="H16" s="287"/>
      <c r="I16" s="341"/>
      <c r="J16" s="286"/>
      <c r="K16" s="258"/>
      <c r="L16" s="258"/>
      <c r="M16" s="287"/>
      <c r="N16" s="341"/>
      <c r="O16" s="286"/>
      <c r="P16" s="258"/>
      <c r="Q16" s="258"/>
      <c r="R16" s="287"/>
      <c r="S16" s="341"/>
      <c r="T16" s="286"/>
      <c r="U16" s="258"/>
      <c r="V16" s="258"/>
      <c r="W16" s="287"/>
      <c r="X16" s="341"/>
      <c r="Y16" s="286"/>
      <c r="Z16" s="258"/>
      <c r="AA16" s="1438"/>
      <c r="AB16" s="1439"/>
      <c r="AC16" s="1440"/>
      <c r="AD16" s="286"/>
      <c r="AE16" s="258"/>
      <c r="AF16" s="1438"/>
      <c r="AG16" s="1439"/>
      <c r="AH16" s="1440"/>
      <c r="AI16" s="286"/>
      <c r="AJ16" s="258"/>
      <c r="AK16" s="1438"/>
      <c r="AL16" s="1439"/>
      <c r="AM16" s="1440"/>
      <c r="AN16" s="286"/>
      <c r="AO16" s="258"/>
      <c r="AP16" s="1438"/>
      <c r="AQ16" s="1439"/>
      <c r="AR16" s="1440"/>
      <c r="AS16" s="286"/>
      <c r="AT16" s="258"/>
      <c r="AU16" s="258"/>
      <c r="AV16" s="1439"/>
      <c r="AW16" s="1440"/>
      <c r="AX16" s="973"/>
      <c r="AY16" s="974"/>
      <c r="AZ16" s="974"/>
      <c r="BA16" s="975"/>
      <c r="BB16" s="976"/>
      <c r="BC16" s="973"/>
      <c r="BD16" s="974"/>
      <c r="BE16" s="974"/>
      <c r="BF16" s="975"/>
      <c r="BG16" s="976"/>
      <c r="BH16" s="973"/>
      <c r="BI16" s="974"/>
      <c r="BJ16" s="974"/>
      <c r="BK16" s="975"/>
      <c r="BL16" s="976"/>
      <c r="BM16" s="973"/>
      <c r="BN16" s="974"/>
      <c r="BO16" s="974"/>
      <c r="BP16" s="975"/>
      <c r="BQ16" s="976"/>
      <c r="BR16" s="330"/>
      <c r="BS16" s="330"/>
      <c r="BT16" s="330"/>
      <c r="BU16" s="330"/>
      <c r="BV16" s="330"/>
      <c r="BW16" s="330"/>
      <c r="BX16" s="330"/>
      <c r="BY16" s="330"/>
      <c r="BZ16" s="330"/>
      <c r="CA16" s="330"/>
      <c r="CB16" s="330"/>
      <c r="CC16" s="330"/>
      <c r="CD16" s="330"/>
      <c r="CE16" s="330"/>
      <c r="CF16" s="330"/>
      <c r="CG16" s="330"/>
      <c r="CH16" s="330"/>
      <c r="CI16" s="330"/>
      <c r="CJ16" s="330"/>
      <c r="CK16" s="330"/>
      <c r="CL16" s="330"/>
      <c r="CM16" s="330"/>
      <c r="CN16" s="330"/>
      <c r="CO16" s="330"/>
      <c r="CP16" s="330"/>
      <c r="CQ16" s="330"/>
      <c r="CR16" s="330"/>
      <c r="CS16" s="330"/>
      <c r="CT16" s="330"/>
      <c r="CU16" s="330"/>
    </row>
    <row r="17" spans="1:100" s="1" customFormat="1">
      <c r="C17" s="1" t="s">
        <v>1028</v>
      </c>
      <c r="E17" s="369">
        <f>EXC!E17-ExGen!E17-PECO!E18</f>
        <v>0</v>
      </c>
      <c r="F17" s="353">
        <f>EXC!F17-ExGen!F17-PECO!F18</f>
        <v>0</v>
      </c>
      <c r="G17" s="353">
        <f>EXC!G17-ExGen!G17-PECO!G18</f>
        <v>1</v>
      </c>
      <c r="H17" s="354">
        <f>EXC!H17-ExGen!H17-PECO!H18</f>
        <v>-1</v>
      </c>
      <c r="I17" s="340">
        <f>EXC!I17-ExGen!I17-PECO!I18</f>
        <v>0</v>
      </c>
      <c r="J17" s="369">
        <f>EXC!J17-ExGen!J17-PECO!J18</f>
        <v>0</v>
      </c>
      <c r="K17" s="353">
        <f>EXC!K17-ExGen!K17-PECO!K18</f>
        <v>0</v>
      </c>
      <c r="L17" s="353">
        <f>EXC!L17-ExGen!L17-PECO!L18</f>
        <v>0</v>
      </c>
      <c r="M17" s="354">
        <f>EXC!M17-ExGen!M17-PECO!M18</f>
        <v>0</v>
      </c>
      <c r="N17" s="340">
        <f>EXC!N17-ExGen!N17-PECO!N18</f>
        <v>0</v>
      </c>
      <c r="O17" s="369">
        <f>EXC!O17-ExGen!O17-PECO!O18</f>
        <v>0</v>
      </c>
      <c r="P17" s="353">
        <f>EXC!P17-ExGen!P17-PECO!P18</f>
        <v>0</v>
      </c>
      <c r="Q17" s="353">
        <f>EXC!Q17-ExGen!Q17-PECO!Q18</f>
        <v>0</v>
      </c>
      <c r="R17" s="354">
        <f>EXC!R17-ExGen!R17-PECO!R18</f>
        <v>0</v>
      </c>
      <c r="S17" s="340">
        <f>EXC!S17-ExGen!S17-PECO!S18</f>
        <v>0</v>
      </c>
      <c r="T17" s="369">
        <f>EXC!T17-ExGen!T17-PECO!T18</f>
        <v>0</v>
      </c>
      <c r="U17" s="353">
        <f>EXC!U17-ExGen!U17-PECO!U18</f>
        <v>0</v>
      </c>
      <c r="V17" s="353">
        <f>EXC!V17-ExGen!V17-PECO!V18</f>
        <v>0</v>
      </c>
      <c r="W17" s="354">
        <f>EXC!W17-ExGen!W17-PECO!W18</f>
        <v>0</v>
      </c>
      <c r="X17" s="340">
        <f>EXC!X17-ExGen!X17-PECO!X18</f>
        <v>0</v>
      </c>
      <c r="Y17" s="369">
        <f>EXC!Y17-ExGen!Y17-PECO!Y18</f>
        <v>0</v>
      </c>
      <c r="Z17" s="353">
        <f>EXC!Z17-ExGen!Z17-PECO!Z18</f>
        <v>0</v>
      </c>
      <c r="AA17" s="1441">
        <f>EXC!AA17-ExGen!AA17-PECO!AA18</f>
        <v>0</v>
      </c>
      <c r="AB17" s="1442">
        <f>EXC!AB17-ExGen!AB17-PECO!AB18</f>
        <v>0</v>
      </c>
      <c r="AC17" s="1443">
        <f>EXC!AC17-ExGen!AC17-PECO!AC18</f>
        <v>0</v>
      </c>
      <c r="AD17" s="369">
        <f>EXC!AD17-ExGen!AD17-PECO!AD18</f>
        <v>0</v>
      </c>
      <c r="AE17" s="353">
        <f>EXC!AE17-ExGen!AE17-PECO!AE18</f>
        <v>-1</v>
      </c>
      <c r="AF17" s="1441">
        <f>EXC!AF17-ExGen!AF17-PECO!AF18</f>
        <v>0</v>
      </c>
      <c r="AG17" s="1442">
        <f>EXC!AG17-ExGen!AG17-PECO!AG18</f>
        <v>1</v>
      </c>
      <c r="AH17" s="1443">
        <f>EXC!AH17-ExGen!AH17-PECO!AH18</f>
        <v>0</v>
      </c>
      <c r="AI17" s="369">
        <f>EXC!AI17-ExGen!AI17-PECO!AI18</f>
        <v>0</v>
      </c>
      <c r="AJ17" s="353">
        <f>EXC!AJ17-ExGen!AJ17-PECO!AJ18</f>
        <v>0</v>
      </c>
      <c r="AK17" s="1441">
        <f>EXC!AK17-ExGen!AK17-PECO!AK18</f>
        <v>0</v>
      </c>
      <c r="AL17" s="1442">
        <f>EXC!AL17-ExGen!AL17-PECO!AL18</f>
        <v>-1</v>
      </c>
      <c r="AM17" s="1443">
        <f>EXC!AM17-ExGen!AM17-PECO!AM18</f>
        <v>-1</v>
      </c>
      <c r="AN17" s="369">
        <f>EXC!AN17-ExGen!AN17-PECO!AN18</f>
        <v>0</v>
      </c>
      <c r="AO17" s="353">
        <f>EXC!AO17-ExGen!AO17-PECO!AO18</f>
        <v>-1</v>
      </c>
      <c r="AP17" s="1441">
        <f>EXC!AP17-ExGen!AP17-PECO!AP18</f>
        <v>-1</v>
      </c>
      <c r="AQ17" s="1442">
        <f>EXC!AQ17-ExGen!AQ17-PECO!AQ18</f>
        <v>1</v>
      </c>
      <c r="AR17" s="1443">
        <f>+SUM(AN17:AQ17)</f>
        <v>-1</v>
      </c>
      <c r="AS17" s="369">
        <f>EXC!AS17-ExGen!AS17-PECO!AS18</f>
        <v>0</v>
      </c>
      <c r="AT17" s="353">
        <f>EXC!AT17-ExGen!AT17-PECO!AT18</f>
        <v>0</v>
      </c>
      <c r="AU17" s="353">
        <f>EXC!AU17-ExGen!AU17-PECO!AU18</f>
        <v>-1</v>
      </c>
      <c r="AV17" s="1442">
        <f>EXC!AV17-ExGen!AV17-PECO!AV18</f>
        <v>0</v>
      </c>
      <c r="AW17" s="1443">
        <f>+SUM(AS17:AV17)</f>
        <v>-1</v>
      </c>
      <c r="AX17" s="972">
        <v>0</v>
      </c>
      <c r="AY17" s="970">
        <v>0</v>
      </c>
      <c r="AZ17" s="970">
        <v>0</v>
      </c>
      <c r="BA17" s="971">
        <v>0</v>
      </c>
      <c r="BB17" s="969">
        <f>SUM(AX17:BA17)</f>
        <v>0</v>
      </c>
      <c r="BC17" s="972">
        <v>0</v>
      </c>
      <c r="BD17" s="970">
        <v>0</v>
      </c>
      <c r="BE17" s="970">
        <v>0</v>
      </c>
      <c r="BF17" s="971">
        <v>0</v>
      </c>
      <c r="BG17" s="969">
        <f>SUM(BC17:BF17)</f>
        <v>0</v>
      </c>
      <c r="BH17" s="972">
        <v>0</v>
      </c>
      <c r="BI17" s="970">
        <v>0</v>
      </c>
      <c r="BJ17" s="970">
        <v>0</v>
      </c>
      <c r="BK17" s="971">
        <v>0</v>
      </c>
      <c r="BL17" s="969">
        <f>SUM(BH17:BK17)</f>
        <v>0</v>
      </c>
      <c r="BM17" s="972">
        <v>0</v>
      </c>
      <c r="BN17" s="970">
        <v>0</v>
      </c>
      <c r="BO17" s="970">
        <v>0</v>
      </c>
      <c r="BP17" s="971">
        <v>0</v>
      </c>
      <c r="BQ17" s="969">
        <f>SUM(BM17:BP17)</f>
        <v>0</v>
      </c>
      <c r="BR17" s="330"/>
      <c r="BS17" s="330"/>
      <c r="BT17" s="330"/>
      <c r="BU17" s="330"/>
      <c r="BV17" s="330"/>
      <c r="BW17" s="330"/>
      <c r="BX17" s="330"/>
      <c r="BY17" s="330"/>
      <c r="BZ17" s="330"/>
      <c r="CA17" s="330"/>
      <c r="CB17" s="330"/>
      <c r="CC17" s="330"/>
      <c r="CD17" s="330"/>
      <c r="CE17" s="330"/>
      <c r="CF17" s="330"/>
      <c r="CG17" s="330"/>
      <c r="CH17" s="330"/>
      <c r="CI17" s="330"/>
      <c r="CJ17" s="798"/>
      <c r="CK17" s="798"/>
      <c r="CL17" s="330"/>
      <c r="CM17" s="330"/>
      <c r="CN17" s="330"/>
      <c r="CO17" s="330"/>
      <c r="CP17" s="330"/>
    </row>
    <row r="18" spans="1:100" s="1" customFormat="1">
      <c r="E18" s="369"/>
      <c r="F18" s="353"/>
      <c r="G18" s="353"/>
      <c r="H18" s="354"/>
      <c r="I18" s="340"/>
      <c r="J18" s="369"/>
      <c r="K18" s="353"/>
      <c r="L18" s="353"/>
      <c r="M18" s="354"/>
      <c r="N18" s="340"/>
      <c r="O18" s="369"/>
      <c r="P18" s="353"/>
      <c r="Q18" s="353"/>
      <c r="R18" s="354"/>
      <c r="S18" s="340"/>
      <c r="T18" s="369"/>
      <c r="U18" s="353"/>
      <c r="V18" s="353"/>
      <c r="W18" s="354"/>
      <c r="X18" s="340"/>
      <c r="Y18" s="369"/>
      <c r="Z18" s="353"/>
      <c r="AA18" s="1441"/>
      <c r="AB18" s="1442"/>
      <c r="AC18" s="1443"/>
      <c r="AD18" s="369"/>
      <c r="AE18" s="353"/>
      <c r="AF18" s="1441"/>
      <c r="AG18" s="1442"/>
      <c r="AH18" s="1443"/>
      <c r="AI18" s="369"/>
      <c r="AJ18" s="353"/>
      <c r="AK18" s="1441"/>
      <c r="AL18" s="1442"/>
      <c r="AM18" s="1443"/>
      <c r="AN18" s="369"/>
      <c r="AO18" s="353"/>
      <c r="AP18" s="1441"/>
      <c r="AQ18" s="1442"/>
      <c r="AR18" s="1443"/>
      <c r="AS18" s="369"/>
      <c r="AT18" s="353"/>
      <c r="AU18" s="353"/>
      <c r="AV18" s="1442"/>
      <c r="AW18" s="1443"/>
      <c r="AX18" s="977"/>
      <c r="AY18" s="978"/>
      <c r="AZ18" s="978"/>
      <c r="BA18" s="979"/>
      <c r="BB18" s="980"/>
      <c r="BC18" s="977"/>
      <c r="BD18" s="978"/>
      <c r="BE18" s="978"/>
      <c r="BF18" s="979"/>
      <c r="BG18" s="980"/>
      <c r="BH18" s="977"/>
      <c r="BI18" s="978"/>
      <c r="BJ18" s="978"/>
      <c r="BK18" s="979"/>
      <c r="BL18" s="980"/>
      <c r="BM18" s="977"/>
      <c r="BN18" s="978"/>
      <c r="BO18" s="978"/>
      <c r="BP18" s="979"/>
      <c r="BQ18" s="980"/>
    </row>
    <row r="19" spans="1:100" s="1" customFormat="1">
      <c r="C19" s="32" t="s">
        <v>70</v>
      </c>
      <c r="E19" s="286">
        <f t="shared" ref="E19:T19" si="25">E8-E15-E17</f>
        <v>-23</v>
      </c>
      <c r="F19" s="258">
        <f t="shared" si="25"/>
        <v>-23</v>
      </c>
      <c r="G19" s="258">
        <f t="shared" si="25"/>
        <v>-19</v>
      </c>
      <c r="H19" s="287">
        <f t="shared" si="25"/>
        <v>-20</v>
      </c>
      <c r="I19" s="341">
        <f t="shared" si="25"/>
        <v>-85</v>
      </c>
      <c r="J19" s="286">
        <f t="shared" si="25"/>
        <v>1</v>
      </c>
      <c r="K19" s="258">
        <f t="shared" si="25"/>
        <v>-7</v>
      </c>
      <c r="L19" s="258">
        <f t="shared" si="25"/>
        <v>-11</v>
      </c>
      <c r="M19" s="287">
        <f t="shared" si="25"/>
        <v>-20</v>
      </c>
      <c r="N19" s="341">
        <f t="shared" si="25"/>
        <v>-37</v>
      </c>
      <c r="O19" s="286">
        <f t="shared" si="25"/>
        <v>-9</v>
      </c>
      <c r="P19" s="258">
        <f t="shared" si="25"/>
        <v>-28</v>
      </c>
      <c r="Q19" s="258">
        <f t="shared" si="25"/>
        <v>31</v>
      </c>
      <c r="R19" s="287">
        <f t="shared" si="25"/>
        <v>-27</v>
      </c>
      <c r="S19" s="341">
        <f t="shared" si="25"/>
        <v>-33</v>
      </c>
      <c r="T19" s="286">
        <f t="shared" si="25"/>
        <v>-316</v>
      </c>
      <c r="U19" s="258">
        <f t="shared" ref="U19:Z19" si="26">U8-U15-U17</f>
        <v>-15</v>
      </c>
      <c r="V19" s="258">
        <f t="shared" si="26"/>
        <v>3</v>
      </c>
      <c r="W19" s="287">
        <f t="shared" si="26"/>
        <v>-64.000000000000171</v>
      </c>
      <c r="X19" s="341">
        <f t="shared" si="26"/>
        <v>-381</v>
      </c>
      <c r="Y19" s="286">
        <f t="shared" si="26"/>
        <v>-3</v>
      </c>
      <c r="Z19" s="258">
        <f t="shared" si="26"/>
        <v>-37</v>
      </c>
      <c r="AA19" s="1438">
        <f t="shared" ref="AA19:AF19" si="27">AA8-AA15-AA17</f>
        <v>-14</v>
      </c>
      <c r="AB19" s="1439">
        <f t="shared" si="27"/>
        <v>-23.000000000000114</v>
      </c>
      <c r="AC19" s="1440">
        <f t="shared" si="27"/>
        <v>-77</v>
      </c>
      <c r="AD19" s="286">
        <f t="shared" si="27"/>
        <v>-4</v>
      </c>
      <c r="AE19" s="258">
        <f t="shared" si="27"/>
        <v>-47</v>
      </c>
      <c r="AF19" s="1438">
        <f t="shared" si="27"/>
        <v>-8.9999999999999716</v>
      </c>
      <c r="AG19" s="1439">
        <f t="shared" ref="AG19:AK19" si="28">AG8-AG15-AG17</f>
        <v>-9.0000000000000284</v>
      </c>
      <c r="AH19" s="1440">
        <f t="shared" si="28"/>
        <v>-69</v>
      </c>
      <c r="AI19" s="286">
        <f t="shared" si="28"/>
        <v>-11</v>
      </c>
      <c r="AJ19" s="258">
        <f t="shared" si="28"/>
        <v>-35</v>
      </c>
      <c r="AK19" s="1438">
        <f t="shared" si="28"/>
        <v>-13</v>
      </c>
      <c r="AL19" s="1439">
        <f t="shared" ref="AL19:AN19" si="29">AL8-AL15-AL17</f>
        <v>-13.000000000000114</v>
      </c>
      <c r="AM19" s="1440">
        <f t="shared" si="29"/>
        <v>-72.000000000000114</v>
      </c>
      <c r="AN19" s="286">
        <f t="shared" si="29"/>
        <v>-593</v>
      </c>
      <c r="AO19" s="258">
        <f t="shared" ref="AO19:AT19" si="30">AO8-AO15-AO17</f>
        <v>-11</v>
      </c>
      <c r="AP19" s="1438">
        <f t="shared" si="30"/>
        <v>-65</v>
      </c>
      <c r="AQ19" s="1439">
        <f t="shared" si="30"/>
        <v>-26.000000000000114</v>
      </c>
      <c r="AR19" s="1440">
        <f t="shared" si="30"/>
        <v>-695</v>
      </c>
      <c r="AS19" s="286">
        <f t="shared" si="30"/>
        <v>-7.0000000000000568</v>
      </c>
      <c r="AT19" s="258">
        <f t="shared" si="30"/>
        <v>-5</v>
      </c>
      <c r="AU19" s="258">
        <f t="shared" ref="AU19:AW19" si="31">AU8-AU15-AU17</f>
        <v>-8.9999999999999432</v>
      </c>
      <c r="AV19" s="1439">
        <f t="shared" si="31"/>
        <v>-15.000000000000028</v>
      </c>
      <c r="AW19" s="1440">
        <f t="shared" si="31"/>
        <v>-36</v>
      </c>
      <c r="AX19" s="973">
        <f t="shared" ref="AX19:BB19" si="32">AX8-AX15-AX17</f>
        <v>-29.5</v>
      </c>
      <c r="AY19" s="974">
        <f t="shared" si="32"/>
        <v>-23.5</v>
      </c>
      <c r="AZ19" s="974">
        <f t="shared" si="32"/>
        <v>-30.5</v>
      </c>
      <c r="BA19" s="975">
        <f t="shared" si="32"/>
        <v>-39.5</v>
      </c>
      <c r="BB19" s="976">
        <f t="shared" si="32"/>
        <v>-123</v>
      </c>
      <c r="BC19" s="973">
        <f t="shared" ref="BC19:BL19" si="33">BC8-BC15-BC17</f>
        <v>-7</v>
      </c>
      <c r="BD19" s="974">
        <f t="shared" si="33"/>
        <v>-1</v>
      </c>
      <c r="BE19" s="974">
        <f t="shared" si="33"/>
        <v>-8</v>
      </c>
      <c r="BF19" s="975">
        <f t="shared" si="33"/>
        <v>-17</v>
      </c>
      <c r="BG19" s="976">
        <f t="shared" si="33"/>
        <v>-33</v>
      </c>
      <c r="BH19" s="973">
        <f t="shared" si="33"/>
        <v>-7</v>
      </c>
      <c r="BI19" s="974">
        <f t="shared" si="33"/>
        <v>-1</v>
      </c>
      <c r="BJ19" s="974">
        <f t="shared" si="33"/>
        <v>-8</v>
      </c>
      <c r="BK19" s="975">
        <f t="shared" si="33"/>
        <v>-17</v>
      </c>
      <c r="BL19" s="976">
        <f t="shared" si="33"/>
        <v>-33</v>
      </c>
      <c r="BM19" s="973">
        <f t="shared" ref="BM19:BQ19" si="34">BM8-BM15-BM17</f>
        <v>-7</v>
      </c>
      <c r="BN19" s="974">
        <f t="shared" si="34"/>
        <v>-1</v>
      </c>
      <c r="BO19" s="974">
        <f t="shared" si="34"/>
        <v>-8</v>
      </c>
      <c r="BP19" s="975">
        <f t="shared" si="34"/>
        <v>-17</v>
      </c>
      <c r="BQ19" s="976">
        <f t="shared" si="34"/>
        <v>-33</v>
      </c>
    </row>
    <row r="20" spans="1:100" s="1" customFormat="1">
      <c r="C20" s="32"/>
      <c r="E20" s="286"/>
      <c r="F20" s="258"/>
      <c r="G20" s="258"/>
      <c r="H20" s="287"/>
      <c r="I20" s="341"/>
      <c r="J20" s="286"/>
      <c r="K20" s="258"/>
      <c r="L20" s="258"/>
      <c r="M20" s="287"/>
      <c r="N20" s="341"/>
      <c r="O20" s="286"/>
      <c r="P20" s="258"/>
      <c r="Q20" s="258"/>
      <c r="R20" s="287"/>
      <c r="S20" s="341"/>
      <c r="T20" s="369"/>
      <c r="U20" s="353"/>
      <c r="V20" s="258"/>
      <c r="W20" s="287"/>
      <c r="X20" s="341"/>
      <c r="Y20" s="369"/>
      <c r="Z20" s="353"/>
      <c r="AA20" s="1438"/>
      <c r="AB20" s="1439"/>
      <c r="AC20" s="1440"/>
      <c r="AD20" s="369"/>
      <c r="AE20" s="353"/>
      <c r="AF20" s="1438"/>
      <c r="AG20" s="1439"/>
      <c r="AH20" s="1440"/>
      <c r="AI20" s="369"/>
      <c r="AJ20" s="353"/>
      <c r="AK20" s="1438"/>
      <c r="AL20" s="1439"/>
      <c r="AM20" s="1440"/>
      <c r="AN20" s="369"/>
      <c r="AO20" s="353"/>
      <c r="AP20" s="1438"/>
      <c r="AQ20" s="1439"/>
      <c r="AR20" s="1440"/>
      <c r="AS20" s="369"/>
      <c r="AT20" s="353"/>
      <c r="AU20" s="353"/>
      <c r="AV20" s="1439"/>
      <c r="AW20" s="1440"/>
      <c r="AX20" s="973"/>
      <c r="AY20" s="974"/>
      <c r="AZ20" s="974"/>
      <c r="BA20" s="975"/>
      <c r="BB20" s="976"/>
      <c r="BC20" s="973"/>
      <c r="BD20" s="974"/>
      <c r="BE20" s="974"/>
      <c r="BF20" s="975"/>
      <c r="BG20" s="976"/>
      <c r="BH20" s="973"/>
      <c r="BI20" s="974"/>
      <c r="BJ20" s="974"/>
      <c r="BK20" s="975"/>
      <c r="BL20" s="976"/>
      <c r="BM20" s="973"/>
      <c r="BN20" s="974"/>
      <c r="BO20" s="974"/>
      <c r="BP20" s="975"/>
      <c r="BQ20" s="976"/>
    </row>
    <row r="21" spans="1:100" s="1" customFormat="1">
      <c r="C21" s="1" t="s">
        <v>319</v>
      </c>
      <c r="E21" s="369">
        <f>EXC!E30-ExGen!E21-ComEd!E21-PECO!E24</f>
        <v>8</v>
      </c>
      <c r="F21" s="353">
        <f>EXC!F30-ExGen!F21-ComEd!F21-PECO!F24</f>
        <v>-16</v>
      </c>
      <c r="G21" s="353">
        <f>EXC!G30-ExGen!G21-ComEd!G21-PECO!G24</f>
        <v>-27</v>
      </c>
      <c r="H21" s="354">
        <f>EXC!H30-ExGen!H21-ComEd!H21-PECO!H24</f>
        <v>-6</v>
      </c>
      <c r="I21" s="340">
        <f>EXC!I30-ExGen!I21-ComEd!I21-PECO!I24</f>
        <v>-41</v>
      </c>
      <c r="J21" s="369">
        <f>EXC!J30-ExGen!J21-ComEd!J21-PECO!J24</f>
        <v>7</v>
      </c>
      <c r="K21" s="353">
        <f>EXC!K30-ExGen!K21-ComEd!K21-PECO!K24</f>
        <v>4</v>
      </c>
      <c r="L21" s="353">
        <f>EXC!L30-ExGen!L21-ComEd!L21-PECO!L24</f>
        <v>8</v>
      </c>
      <c r="M21" s="354">
        <f>EXC!M30-ExGen!M21-ComEd!M21-PECO!M24</f>
        <v>4</v>
      </c>
      <c r="N21" s="340">
        <f>EXC!N30-ExGen!N21-ComEd!N21-PECO!N24</f>
        <v>23</v>
      </c>
      <c r="O21" s="369">
        <f>EXC!O30-ExGen!O21-ComEd!O21-PECO!O24</f>
        <v>9</v>
      </c>
      <c r="P21" s="353">
        <f>EXC!P30-ExGen!P21-ComEd!P21-PECO!P24</f>
        <v>17</v>
      </c>
      <c r="Q21" s="353">
        <f>EXC!Q30-ExGen!Q21-ComEd!Q21-PECO!Q24</f>
        <v>2</v>
      </c>
      <c r="R21" s="354">
        <f>EXC!R30-ExGen!R21-ComEd!R21-PECO!R24</f>
        <v>6</v>
      </c>
      <c r="S21" s="340">
        <f>EXC!S30-ExGen!S21-ComEd!S21-PECO!S24</f>
        <v>34</v>
      </c>
      <c r="T21" s="369">
        <f>EXC!T30-ExGen!T21-ComEd!T21-PECO!T24-BGE!T22</f>
        <v>4</v>
      </c>
      <c r="U21" s="353">
        <f>EXC!U30-ExGen!U21-ComEd!U21-PECO!U24-BGE!U22</f>
        <v>21</v>
      </c>
      <c r="V21" s="353">
        <f>EXC!V30-ExGen!V21-ComEd!V21-PECO!V24-BGE!V22</f>
        <v>6</v>
      </c>
      <c r="W21" s="354">
        <f>EXC!W30-ExGen!W21-ComEd!W21-PECO!W24-BGE!W22</f>
        <v>6</v>
      </c>
      <c r="X21" s="340">
        <f>EXC!X30-ExGen!X21-ComEd!X21-PECO!X24-BGE!X22</f>
        <v>37</v>
      </c>
      <c r="Y21" s="369">
        <f>EXC!Y30-ExGen!Y21-ComEd!Y21-PECO!Y24-BGE!Y22</f>
        <v>31</v>
      </c>
      <c r="Z21" s="353">
        <f>EXC!Z30-ExGen!Z21-ComEd!Z21-PECO!Z24-BGE!Z22</f>
        <v>6</v>
      </c>
      <c r="AA21" s="1441">
        <f>EXC!AA30-ExGen!AA21-ComEd!AA21-PECO!AA24-BGE!AA22</f>
        <v>9</v>
      </c>
      <c r="AB21" s="1442">
        <f>EXC!AB30-ExGen!AB21-ComEd!AB21-PECO!AB24-BGE!AB22</f>
        <v>10</v>
      </c>
      <c r="AC21" s="1443">
        <f>EXC!AC30-ExGen!AC21-ComEd!AC21-PECO!AC24-BGE!AC22</f>
        <v>56</v>
      </c>
      <c r="AD21" s="369">
        <f>EXC!AD30-ExGen!AD21-ComEd!AD21-PECO!AD24-BGE!AD22</f>
        <v>2</v>
      </c>
      <c r="AE21" s="353">
        <f>EXC!AE30-ExGen!AE21-ComEd!AE21-PECO!AE24-BGE!AE22</f>
        <v>4</v>
      </c>
      <c r="AF21" s="1441">
        <f>EXC!AF30-ExGen!AF21-ComEd!AF21-PECO!AF24-BGE!AF22</f>
        <v>2</v>
      </c>
      <c r="AG21" s="1442">
        <f>EXC!AG30-ExGen!AG21-ComEd!AG21-PECO!AG24-BGE!AG22</f>
        <v>-3</v>
      </c>
      <c r="AH21" s="1443">
        <f>EXC!AH30-ExGen!AH21-ComEd!AH21-PECO!AH24-BGE!AH22</f>
        <v>5</v>
      </c>
      <c r="AI21" s="369">
        <f>EXC!AI30-ExGen!AI21-ComEd!AI21-PECO!AI24-BGE!AI22</f>
        <v>-22</v>
      </c>
      <c r="AJ21" s="353">
        <f>EXC!AJ30-ExGen!AJ21-ComEd!AJ21-PECO!AJ24-BGE!AJ22</f>
        <v>4</v>
      </c>
      <c r="AK21" s="1441">
        <f>EXC!AK30-ExGen!AK21-ComEd!AK21-PECO!AK24-BGE!AK22</f>
        <v>4</v>
      </c>
      <c r="AL21" s="1442">
        <f>EXC!AL30-ExGen!AL21-ComEd!AL21-PECO!AL24-BGE!AL22</f>
        <v>-14</v>
      </c>
      <c r="AM21" s="1443">
        <f>EXC!AM30-ExGen!AM21-ComEd!AM21-PECO!AM24-BGE!AM22</f>
        <v>-28</v>
      </c>
      <c r="AN21" s="369">
        <f>EXC!AN30-ExGen!AN21-ComEd!AN21-PECO!AN24-BGE!AN22</f>
        <v>15</v>
      </c>
      <c r="AO21" s="353">
        <f>EXC!AO30-ExGen!AO21-ComEd!AO21-PECO!AO24-BGE!AO22-Pepco!AJ21-DPL!AJ27-ACE!AJ21</f>
        <v>-3</v>
      </c>
      <c r="AP21" s="1441">
        <f>EXC!AP30-ExGen!AP21-ComEd!AP21-PECO!AP24-BGE!AP22-Pepco!AK21-DPL!AK27-ACE!AK21</f>
        <v>-13</v>
      </c>
      <c r="AQ21" s="1442">
        <f>EXC!AQ30-ExGen!AQ21-ComEd!AQ21-PECO!AQ24-BGE!AQ22-Pepco!AL21-DPL!AL27-ACE!AL21</f>
        <v>-7</v>
      </c>
      <c r="AR21" s="1443">
        <f>+SUM(AN21:AQ21)</f>
        <v>-8</v>
      </c>
      <c r="AS21" s="369">
        <f>EXC!AS30-ExGen!AS21-ComEd!AS21-PECO!AS24-BGE!AS22-Pepco!AN21-DPL!AN27-ACE!AN21</f>
        <v>1</v>
      </c>
      <c r="AT21" s="353">
        <f>EXC!AT30-ExGen!AT21-ComEd!AT21-PECO!AT24-BGE!AT22-Pepco!AO21-DPL!AO27-ACE!AO21</f>
        <v>2</v>
      </c>
      <c r="AU21" s="353">
        <f>EXC!AU30-ExGen!AU21-ComEd!AU21-PECO!AU24-BGE!AU22-Pepco!AP21-DPL!AP27-ACE!AP21</f>
        <v>6</v>
      </c>
      <c r="AV21" s="1442">
        <f>EXC!AV30-ExGen!AV21-ComEd!AV21-PECO!AV24-BGE!AV22-Pepco!AQ21-DPL!AQ27-ACE!AQ21</f>
        <v>-2</v>
      </c>
      <c r="AW21" s="1443">
        <f>+SUM(AS21:AV21)</f>
        <v>7</v>
      </c>
      <c r="AX21" s="966">
        <f>+AS21</f>
        <v>1</v>
      </c>
      <c r="AY21" s="978">
        <f>AT21</f>
        <v>2</v>
      </c>
      <c r="AZ21" s="978">
        <f>AU21</f>
        <v>6</v>
      </c>
      <c r="BA21" s="979">
        <f>AV21</f>
        <v>-2</v>
      </c>
      <c r="BB21" s="980">
        <f>SUM(AX21:BA21)</f>
        <v>7</v>
      </c>
      <c r="BC21" s="977">
        <f>AX21</f>
        <v>1</v>
      </c>
      <c r="BD21" s="978">
        <f>AY21</f>
        <v>2</v>
      </c>
      <c r="BE21" s="978">
        <f>AZ21</f>
        <v>6</v>
      </c>
      <c r="BF21" s="979">
        <f>BA21</f>
        <v>-2</v>
      </c>
      <c r="BG21" s="980">
        <f>SUM(BC21:BF21)</f>
        <v>7</v>
      </c>
      <c r="BH21" s="977">
        <f>BC21</f>
        <v>1</v>
      </c>
      <c r="BI21" s="978">
        <f>BD21</f>
        <v>2</v>
      </c>
      <c r="BJ21" s="978">
        <f>BE21</f>
        <v>6</v>
      </c>
      <c r="BK21" s="979">
        <f>BF21</f>
        <v>-2</v>
      </c>
      <c r="BL21" s="980">
        <f>SUM(BH21:BK21)</f>
        <v>7</v>
      </c>
      <c r="BM21" s="977">
        <f>BH21</f>
        <v>1</v>
      </c>
      <c r="BN21" s="978">
        <f>BI21</f>
        <v>2</v>
      </c>
      <c r="BO21" s="978">
        <f>BJ21</f>
        <v>6</v>
      </c>
      <c r="BP21" s="979">
        <f>BK21</f>
        <v>-2</v>
      </c>
      <c r="BQ21" s="980">
        <f>SUM(BM21:BP21)</f>
        <v>7</v>
      </c>
    </row>
    <row r="22" spans="1:100" s="1" customFormat="1">
      <c r="C22" s="32"/>
      <c r="E22" s="286"/>
      <c r="F22" s="258"/>
      <c r="G22" s="258"/>
      <c r="H22" s="287"/>
      <c r="I22" s="341"/>
      <c r="J22" s="286"/>
      <c r="K22" s="258"/>
      <c r="L22" s="258"/>
      <c r="M22" s="287"/>
      <c r="N22" s="341"/>
      <c r="O22" s="286"/>
      <c r="P22" s="258"/>
      <c r="Q22" s="258"/>
      <c r="R22" s="287"/>
      <c r="S22" s="341"/>
      <c r="T22" s="369"/>
      <c r="U22" s="353"/>
      <c r="V22" s="258"/>
      <c r="W22" s="287"/>
      <c r="X22" s="341"/>
      <c r="Y22" s="369"/>
      <c r="Z22" s="353"/>
      <c r="AA22" s="1438"/>
      <c r="AB22" s="1439"/>
      <c r="AC22" s="1440"/>
      <c r="AD22" s="369"/>
      <c r="AE22" s="353"/>
      <c r="AF22" s="1438"/>
      <c r="AG22" s="1439"/>
      <c r="AH22" s="1440"/>
      <c r="AI22" s="369"/>
      <c r="AJ22" s="353"/>
      <c r="AK22" s="1438"/>
      <c r="AL22" s="1439"/>
      <c r="AM22" s="1440"/>
      <c r="AN22" s="369"/>
      <c r="AO22" s="353"/>
      <c r="AP22" s="1438"/>
      <c r="AQ22" s="1439"/>
      <c r="AR22" s="1440"/>
      <c r="AS22" s="369"/>
      <c r="AT22" s="353"/>
      <c r="AU22" s="353"/>
      <c r="AV22" s="1439"/>
      <c r="AW22" s="1440"/>
      <c r="AX22" s="973"/>
      <c r="AY22" s="974"/>
      <c r="AZ22" s="974"/>
      <c r="BA22" s="975"/>
      <c r="BB22" s="976"/>
      <c r="BC22" s="973"/>
      <c r="BD22" s="974"/>
      <c r="BE22" s="974"/>
      <c r="BF22" s="975"/>
      <c r="BG22" s="976"/>
      <c r="BH22" s="973"/>
      <c r="BI22" s="974"/>
      <c r="BJ22" s="974"/>
      <c r="BK22" s="975"/>
      <c r="BL22" s="976"/>
      <c r="BM22" s="973"/>
      <c r="BN22" s="974"/>
      <c r="BO22" s="974"/>
      <c r="BP22" s="975"/>
      <c r="BQ22" s="976"/>
    </row>
    <row r="23" spans="1:100" s="1" customFormat="1">
      <c r="C23" s="32" t="s">
        <v>475</v>
      </c>
      <c r="E23" s="286">
        <f t="shared" ref="E23:T23" si="35">E19+E21</f>
        <v>-15</v>
      </c>
      <c r="F23" s="258">
        <f t="shared" si="35"/>
        <v>-39</v>
      </c>
      <c r="G23" s="258">
        <f t="shared" si="35"/>
        <v>-46</v>
      </c>
      <c r="H23" s="287">
        <f t="shared" si="35"/>
        <v>-26</v>
      </c>
      <c r="I23" s="341">
        <f t="shared" si="35"/>
        <v>-126</v>
      </c>
      <c r="J23" s="286">
        <f t="shared" si="35"/>
        <v>8</v>
      </c>
      <c r="K23" s="258">
        <f t="shared" si="35"/>
        <v>-3</v>
      </c>
      <c r="L23" s="258">
        <f t="shared" si="35"/>
        <v>-3</v>
      </c>
      <c r="M23" s="287">
        <f t="shared" si="35"/>
        <v>-16</v>
      </c>
      <c r="N23" s="341">
        <f t="shared" si="35"/>
        <v>-14</v>
      </c>
      <c r="O23" s="286">
        <f t="shared" si="35"/>
        <v>0</v>
      </c>
      <c r="P23" s="258">
        <f t="shared" si="35"/>
        <v>-11</v>
      </c>
      <c r="Q23" s="258">
        <f t="shared" si="35"/>
        <v>33</v>
      </c>
      <c r="R23" s="287">
        <f t="shared" si="35"/>
        <v>-21</v>
      </c>
      <c r="S23" s="341">
        <f t="shared" si="35"/>
        <v>1</v>
      </c>
      <c r="T23" s="286">
        <f t="shared" si="35"/>
        <v>-312</v>
      </c>
      <c r="U23" s="258">
        <f t="shared" ref="U23:Z23" si="36">U19+U21</f>
        <v>6</v>
      </c>
      <c r="V23" s="258">
        <f t="shared" si="36"/>
        <v>9</v>
      </c>
      <c r="W23" s="287">
        <f t="shared" si="36"/>
        <v>-58.000000000000171</v>
      </c>
      <c r="X23" s="341">
        <f t="shared" si="36"/>
        <v>-344</v>
      </c>
      <c r="Y23" s="286">
        <f t="shared" si="36"/>
        <v>28</v>
      </c>
      <c r="Z23" s="258">
        <f t="shared" si="36"/>
        <v>-31</v>
      </c>
      <c r="AA23" s="1438">
        <f t="shared" ref="AA23:AF23" si="37">AA19+AA21</f>
        <v>-5</v>
      </c>
      <c r="AB23" s="1439">
        <f t="shared" si="37"/>
        <v>-13.000000000000114</v>
      </c>
      <c r="AC23" s="1440">
        <f t="shared" si="37"/>
        <v>-21</v>
      </c>
      <c r="AD23" s="286">
        <f t="shared" si="37"/>
        <v>-2</v>
      </c>
      <c r="AE23" s="258">
        <f t="shared" si="37"/>
        <v>-43</v>
      </c>
      <c r="AF23" s="1438">
        <f t="shared" si="37"/>
        <v>-6.9999999999999716</v>
      </c>
      <c r="AG23" s="1439">
        <f t="shared" ref="AG23:AK23" si="38">AG19+AG21</f>
        <v>-12.000000000000028</v>
      </c>
      <c r="AH23" s="1440">
        <f t="shared" si="38"/>
        <v>-64</v>
      </c>
      <c r="AI23" s="286">
        <f t="shared" si="38"/>
        <v>-33</v>
      </c>
      <c r="AJ23" s="258">
        <f t="shared" si="38"/>
        <v>-31</v>
      </c>
      <c r="AK23" s="1438">
        <f t="shared" si="38"/>
        <v>-9</v>
      </c>
      <c r="AL23" s="1439">
        <f t="shared" ref="AL23:AN23" si="39">AL19+AL21</f>
        <v>-27.000000000000114</v>
      </c>
      <c r="AM23" s="1440">
        <f t="shared" si="39"/>
        <v>-100.00000000000011</v>
      </c>
      <c r="AN23" s="286">
        <f t="shared" si="39"/>
        <v>-578</v>
      </c>
      <c r="AO23" s="258">
        <f t="shared" ref="AO23:AT23" si="40">AO19+AO21</f>
        <v>-14</v>
      </c>
      <c r="AP23" s="1438">
        <f t="shared" si="40"/>
        <v>-78</v>
      </c>
      <c r="AQ23" s="1439">
        <f t="shared" si="40"/>
        <v>-33.000000000000114</v>
      </c>
      <c r="AR23" s="1440">
        <f t="shared" si="40"/>
        <v>-703</v>
      </c>
      <c r="AS23" s="286">
        <f t="shared" si="40"/>
        <v>-6.0000000000000568</v>
      </c>
      <c r="AT23" s="258">
        <f t="shared" si="40"/>
        <v>-3</v>
      </c>
      <c r="AU23" s="258">
        <f t="shared" ref="AU23:AW23" si="41">AU19+AU21</f>
        <v>-2.9999999999999432</v>
      </c>
      <c r="AV23" s="1439">
        <f t="shared" si="41"/>
        <v>-17.000000000000028</v>
      </c>
      <c r="AW23" s="1440">
        <f t="shared" si="41"/>
        <v>-29</v>
      </c>
      <c r="AX23" s="973">
        <f t="shared" ref="AX23:BB23" si="42">AX19+AX21</f>
        <v>-28.5</v>
      </c>
      <c r="AY23" s="974">
        <f t="shared" si="42"/>
        <v>-21.5</v>
      </c>
      <c r="AZ23" s="974">
        <f t="shared" si="42"/>
        <v>-24.5</v>
      </c>
      <c r="BA23" s="975">
        <f t="shared" si="42"/>
        <v>-41.5</v>
      </c>
      <c r="BB23" s="976">
        <f t="shared" si="42"/>
        <v>-116</v>
      </c>
      <c r="BC23" s="973">
        <f t="shared" ref="BC23:BL23" si="43">BC19+BC21</f>
        <v>-6</v>
      </c>
      <c r="BD23" s="974">
        <f t="shared" si="43"/>
        <v>1</v>
      </c>
      <c r="BE23" s="974">
        <f t="shared" si="43"/>
        <v>-2</v>
      </c>
      <c r="BF23" s="975">
        <f t="shared" si="43"/>
        <v>-19</v>
      </c>
      <c r="BG23" s="976">
        <f t="shared" si="43"/>
        <v>-26</v>
      </c>
      <c r="BH23" s="973">
        <f t="shared" si="43"/>
        <v>-6</v>
      </c>
      <c r="BI23" s="974">
        <f t="shared" si="43"/>
        <v>1</v>
      </c>
      <c r="BJ23" s="974">
        <f t="shared" si="43"/>
        <v>-2</v>
      </c>
      <c r="BK23" s="975">
        <f t="shared" si="43"/>
        <v>-19</v>
      </c>
      <c r="BL23" s="976">
        <f t="shared" si="43"/>
        <v>-26</v>
      </c>
      <c r="BM23" s="973">
        <f t="shared" ref="BM23:BQ23" si="44">BM19+BM21</f>
        <v>-6</v>
      </c>
      <c r="BN23" s="974">
        <f t="shared" si="44"/>
        <v>1</v>
      </c>
      <c r="BO23" s="974">
        <f t="shared" si="44"/>
        <v>-2</v>
      </c>
      <c r="BP23" s="975">
        <f t="shared" si="44"/>
        <v>-19</v>
      </c>
      <c r="BQ23" s="976">
        <f t="shared" si="44"/>
        <v>-26</v>
      </c>
    </row>
    <row r="24" spans="1:100" s="1" customFormat="1">
      <c r="C24" s="32" t="s">
        <v>66</v>
      </c>
      <c r="E24" s="286">
        <f t="shared" ref="E24:U24" si="45">+E23+E13</f>
        <v>-3</v>
      </c>
      <c r="F24" s="258">
        <f t="shared" si="45"/>
        <v>-26</v>
      </c>
      <c r="G24" s="258">
        <f t="shared" si="45"/>
        <v>-32</v>
      </c>
      <c r="H24" s="287">
        <f t="shared" si="45"/>
        <v>-10</v>
      </c>
      <c r="I24" s="341">
        <f t="shared" si="45"/>
        <v>-71</v>
      </c>
      <c r="J24" s="286">
        <f t="shared" si="45"/>
        <v>18</v>
      </c>
      <c r="K24" s="258">
        <f t="shared" si="45"/>
        <v>2</v>
      </c>
      <c r="L24" s="258">
        <f t="shared" si="45"/>
        <v>2</v>
      </c>
      <c r="M24" s="287">
        <f t="shared" si="45"/>
        <v>-11</v>
      </c>
      <c r="N24" s="341">
        <f t="shared" si="45"/>
        <v>11</v>
      </c>
      <c r="O24" s="286">
        <f t="shared" si="45"/>
        <v>6</v>
      </c>
      <c r="P24" s="258">
        <f t="shared" si="45"/>
        <v>-6</v>
      </c>
      <c r="Q24" s="258">
        <f t="shared" si="45"/>
        <v>40</v>
      </c>
      <c r="R24" s="287">
        <f t="shared" si="45"/>
        <v>-18</v>
      </c>
      <c r="S24" s="341">
        <f t="shared" si="45"/>
        <v>22</v>
      </c>
      <c r="T24" s="286">
        <f t="shared" si="45"/>
        <v>-285</v>
      </c>
      <c r="U24" s="258">
        <f t="shared" si="45"/>
        <v>19</v>
      </c>
      <c r="V24" s="258">
        <f t="shared" ref="V24:AE24" si="46">+V23+V13</f>
        <v>22</v>
      </c>
      <c r="W24" s="287">
        <f t="shared" si="46"/>
        <v>-44.000000000000171</v>
      </c>
      <c r="X24" s="341">
        <f t="shared" si="46"/>
        <v>-356</v>
      </c>
      <c r="Y24" s="286">
        <f t="shared" si="46"/>
        <v>40</v>
      </c>
      <c r="Z24" s="258">
        <f t="shared" si="46"/>
        <v>-16</v>
      </c>
      <c r="AA24" s="1438">
        <f>+AA23+AA13</f>
        <v>8</v>
      </c>
      <c r="AB24" s="1439">
        <f>+AB23+AB13</f>
        <v>-1.0000000000001137</v>
      </c>
      <c r="AC24" s="1440">
        <f>+AC23+AC13</f>
        <v>31</v>
      </c>
      <c r="AD24" s="286">
        <f t="shared" si="46"/>
        <v>12</v>
      </c>
      <c r="AE24" s="258">
        <f t="shared" si="46"/>
        <v>-29</v>
      </c>
      <c r="AF24" s="1438">
        <f>+AF23+AF13</f>
        <v>6.0000000000000284</v>
      </c>
      <c r="AG24" s="1439">
        <f>+AG23+AG13</f>
        <v>-2.8421709430404007E-14</v>
      </c>
      <c r="AH24" s="1440">
        <f>+AH23+AH13</f>
        <v>-11</v>
      </c>
      <c r="AI24" s="286">
        <f t="shared" ref="AI24:AJ24" si="47">+AI23+AI13</f>
        <v>-20</v>
      </c>
      <c r="AJ24" s="258">
        <f t="shared" si="47"/>
        <v>-17</v>
      </c>
      <c r="AK24" s="1438">
        <f>+AK23+AK13</f>
        <v>10</v>
      </c>
      <c r="AL24" s="1439">
        <f>+AL23+AL13</f>
        <v>-10.000000000000114</v>
      </c>
      <c r="AM24" s="1440">
        <f>+AM23+AM13</f>
        <v>-37.000000000000114</v>
      </c>
      <c r="AN24" s="286">
        <f t="shared" ref="AN24" si="48">+AN23+AN13</f>
        <v>-547</v>
      </c>
      <c r="AO24" s="258">
        <f t="shared" ref="AO24:AT24" si="49">+AO23+AO13</f>
        <v>16</v>
      </c>
      <c r="AP24" s="1438">
        <f t="shared" si="49"/>
        <v>-48</v>
      </c>
      <c r="AQ24" s="1439">
        <f t="shared" si="49"/>
        <v>1.9999999999998863</v>
      </c>
      <c r="AR24" s="1440">
        <f t="shared" si="49"/>
        <v>-577</v>
      </c>
      <c r="AS24" s="286">
        <f t="shared" si="49"/>
        <v>24.999999999999943</v>
      </c>
      <c r="AT24" s="258">
        <f t="shared" si="49"/>
        <v>29</v>
      </c>
      <c r="AU24" s="258">
        <f t="shared" ref="AU24:AW24" si="50">+AU23+AU13</f>
        <v>28.000000000000057</v>
      </c>
      <c r="AV24" s="1439">
        <f t="shared" si="50"/>
        <v>16.999999999999972</v>
      </c>
      <c r="AW24" s="1440">
        <f t="shared" si="50"/>
        <v>99</v>
      </c>
      <c r="AX24" s="973">
        <f t="shared" ref="AX24:BB24" si="51">AX23+AX13</f>
        <v>5.5</v>
      </c>
      <c r="AY24" s="974">
        <f t="shared" si="51"/>
        <v>10.5</v>
      </c>
      <c r="AZ24" s="974">
        <f t="shared" si="51"/>
        <v>6.5</v>
      </c>
      <c r="BA24" s="975">
        <f t="shared" si="51"/>
        <v>-7.5</v>
      </c>
      <c r="BB24" s="976">
        <f t="shared" si="51"/>
        <v>15</v>
      </c>
      <c r="BC24" s="973">
        <f t="shared" ref="BC24:BL24" si="52">BC23+BC13</f>
        <v>28</v>
      </c>
      <c r="BD24" s="974">
        <f t="shared" si="52"/>
        <v>33</v>
      </c>
      <c r="BE24" s="974">
        <f t="shared" si="52"/>
        <v>29</v>
      </c>
      <c r="BF24" s="975">
        <f t="shared" si="52"/>
        <v>15</v>
      </c>
      <c r="BG24" s="976">
        <f t="shared" si="52"/>
        <v>105</v>
      </c>
      <c r="BH24" s="973">
        <f t="shared" si="52"/>
        <v>28</v>
      </c>
      <c r="BI24" s="974">
        <f t="shared" si="52"/>
        <v>33</v>
      </c>
      <c r="BJ24" s="974">
        <f t="shared" si="52"/>
        <v>29</v>
      </c>
      <c r="BK24" s="975">
        <f t="shared" si="52"/>
        <v>15</v>
      </c>
      <c r="BL24" s="976">
        <f t="shared" si="52"/>
        <v>105</v>
      </c>
      <c r="BM24" s="973">
        <f t="shared" ref="BM24:BQ24" si="53">BM23+BM13</f>
        <v>28</v>
      </c>
      <c r="BN24" s="974">
        <f t="shared" si="53"/>
        <v>33</v>
      </c>
      <c r="BO24" s="974">
        <f t="shared" si="53"/>
        <v>29</v>
      </c>
      <c r="BP24" s="975">
        <f t="shared" si="53"/>
        <v>15</v>
      </c>
      <c r="BQ24" s="976">
        <f t="shared" si="53"/>
        <v>105</v>
      </c>
    </row>
    <row r="25" spans="1:100" s="1" customFormat="1">
      <c r="C25" s="32"/>
      <c r="E25" s="286"/>
      <c r="F25" s="258"/>
      <c r="G25" s="258"/>
      <c r="H25" s="287"/>
      <c r="I25" s="341"/>
      <c r="J25" s="286"/>
      <c r="K25" s="258"/>
      <c r="L25" s="258"/>
      <c r="M25" s="287"/>
      <c r="N25" s="341"/>
      <c r="O25" s="286"/>
      <c r="P25" s="258"/>
      <c r="Q25" s="258"/>
      <c r="R25" s="287"/>
      <c r="S25" s="341"/>
      <c r="T25" s="369"/>
      <c r="U25" s="353"/>
      <c r="V25" s="258"/>
      <c r="W25" s="287"/>
      <c r="X25" s="341"/>
      <c r="Y25" s="369"/>
      <c r="Z25" s="353"/>
      <c r="AA25" s="1438"/>
      <c r="AB25" s="1439"/>
      <c r="AC25" s="1440"/>
      <c r="AD25" s="369"/>
      <c r="AE25" s="353"/>
      <c r="AF25" s="1438"/>
      <c r="AG25" s="1439"/>
      <c r="AH25" s="1440"/>
      <c r="AI25" s="369"/>
      <c r="AJ25" s="353"/>
      <c r="AK25" s="1438"/>
      <c r="AL25" s="1439"/>
      <c r="AM25" s="1440"/>
      <c r="AN25" s="369"/>
      <c r="AO25" s="353"/>
      <c r="AP25" s="1438"/>
      <c r="AQ25" s="1439"/>
      <c r="AR25" s="1440"/>
      <c r="AS25" s="369"/>
      <c r="AT25" s="353"/>
      <c r="AU25" s="353"/>
      <c r="AV25" s="1439"/>
      <c r="AW25" s="1440"/>
      <c r="AX25" s="973"/>
      <c r="AY25" s="974"/>
      <c r="AZ25" s="974"/>
      <c r="BA25" s="975"/>
      <c r="BB25" s="976"/>
      <c r="BC25" s="973"/>
      <c r="BD25" s="974"/>
      <c r="BE25" s="974"/>
      <c r="BF25" s="975"/>
      <c r="BG25" s="976"/>
      <c r="BH25" s="973"/>
      <c r="BI25" s="974"/>
      <c r="BJ25" s="974"/>
      <c r="BK25" s="975"/>
      <c r="BL25" s="976"/>
      <c r="BM25" s="973"/>
      <c r="BN25" s="974"/>
      <c r="BO25" s="974"/>
      <c r="BP25" s="975"/>
      <c r="BQ25" s="976"/>
    </row>
    <row r="26" spans="1:100" s="28" customFormat="1">
      <c r="C26" s="28" t="s">
        <v>80</v>
      </c>
      <c r="E26" s="369">
        <f>EXC!E35-ExGen!E26-ComEd!E26-PECO!E29</f>
        <v>25</v>
      </c>
      <c r="F26" s="353">
        <f>EXC!F35-ExGen!F26-ComEd!F26-PECO!F29</f>
        <v>32</v>
      </c>
      <c r="G26" s="353">
        <f>EXC!G35-ExGen!G26-ComEd!G26-PECO!G29</f>
        <v>36</v>
      </c>
      <c r="H26" s="354">
        <f>EXC!H35-ExGen!H26-ComEd!H26-PECO!H29</f>
        <v>19</v>
      </c>
      <c r="I26" s="340">
        <f>EXC!I35-ExGen!I26-ComEd!I26-PECO!I29</f>
        <v>112</v>
      </c>
      <c r="J26" s="369">
        <f>EXC!J35-ExGen!J26-ComEd!J26-PECO!J29</f>
        <v>19</v>
      </c>
      <c r="K26" s="353">
        <f>EXC!K35-ExGen!K26-ComEd!K26-PECO!K29</f>
        <v>27</v>
      </c>
      <c r="L26" s="353">
        <f>EXC!L35-ExGen!L26-ComEd!L26-PECO!L29</f>
        <v>18</v>
      </c>
      <c r="M26" s="354">
        <f>EXC!M35-ExGen!M26-ComEd!M26-PECO!M29</f>
        <v>21</v>
      </c>
      <c r="N26" s="340">
        <f>EXC!N35-ExGen!N26-ComEd!N26-PECO!N29</f>
        <v>85</v>
      </c>
      <c r="O26" s="369">
        <f>EXC!O35-ExGen!O26-ComEd!O26-PECO!O29</f>
        <v>17</v>
      </c>
      <c r="P26" s="353">
        <f>EXC!P35-ExGen!P26-ComEd!P26-PECO!P29</f>
        <v>17</v>
      </c>
      <c r="Q26" s="353">
        <f>EXC!Q35-ExGen!Q26-ComEd!Q26-PECO!Q29</f>
        <v>25</v>
      </c>
      <c r="R26" s="354">
        <f>EXC!R35-ExGen!R26-ComEd!R26-PECO!R29</f>
        <v>18</v>
      </c>
      <c r="S26" s="340">
        <f>EXC!S35-ExGen!S26-ComEd!S26-PECO!S29</f>
        <v>77</v>
      </c>
      <c r="T26" s="369">
        <f>EXC!T35-ExGen!T26-ComEd!T26-PECO!T29</f>
        <v>28</v>
      </c>
      <c r="U26" s="353">
        <f>EXC!U35-ExGen!U26-ComEd!U26-PECO!U29-BGE!U27</f>
        <v>32</v>
      </c>
      <c r="V26" s="353">
        <f>EXC!V35-ExGen!V26-ComEd!V26-PECO!V29-BGE!V27</f>
        <v>20</v>
      </c>
      <c r="W26" s="354">
        <f>EXC!W35-ExGen!W26-ComEd!W26-PECO!W29-BGE!W27</f>
        <v>14</v>
      </c>
      <c r="X26" s="340">
        <f>EXC!X35-ExGen!X26-ComEd!X26-PECO!X29-BGE!X27</f>
        <v>53</v>
      </c>
      <c r="Y26" s="369">
        <f>EXC!Y35-ExGen!Y26-ComEd!Y26-PECO!Y29-BGE!Y27</f>
        <v>126</v>
      </c>
      <c r="Z26" s="353">
        <f>EXC!Z35-ExGen!Z26-ComEd!Z26-PECO!Z29-BGE!Z27</f>
        <v>23</v>
      </c>
      <c r="AA26" s="1441">
        <f>EXC!AA35-ExGen!AA26-ComEd!AA26-PECO!AA29-BGE!AA27</f>
        <v>20</v>
      </c>
      <c r="AB26" s="1442">
        <f>EXC!AB35-ExGen!AB26-ComEd!AB26-PECO!AB29-BGE!AB27</f>
        <v>14</v>
      </c>
      <c r="AC26" s="1443">
        <f>EXC!AC35-ExGen!AC26-ComEd!AC26-PECO!AC29-BGE!AC27</f>
        <v>183</v>
      </c>
      <c r="AD26" s="369">
        <f>EXC!AD35-ExGen!AD26-ComEd!AD26-PECO!AD29-BGE!AD27</f>
        <v>7</v>
      </c>
      <c r="AE26" s="353">
        <f>EXC!AE35-ExGen!AE26-ComEd!AE26-PECO!AE29-BGE!AE27</f>
        <v>17</v>
      </c>
      <c r="AF26" s="1441">
        <f>EXC!AF35-ExGen!AF26-ComEd!AF26-PECO!AF29-BGE!AF27</f>
        <v>33</v>
      </c>
      <c r="AG26" s="1442">
        <f>EXC!AG35-ExGen!AG26-ComEd!AG26-PECO!AG29-BGE!AG27</f>
        <v>112</v>
      </c>
      <c r="AH26" s="1443">
        <f>EXC!AH35-ExGen!AH26-ComEd!AH26-PECO!AH29-BGE!AH27</f>
        <v>169</v>
      </c>
      <c r="AI26" s="369">
        <f>EXC!AI35-ExGen!AI26-ComEd!AI26-PECO!AI29-BGE!AI27</f>
        <v>106</v>
      </c>
      <c r="AJ26" s="353">
        <f>EXC!AJ35-ExGen!AJ26-ComEd!AJ26-PECO!AJ29-BGE!AJ27</f>
        <v>-77</v>
      </c>
      <c r="AK26" s="1441">
        <f>EXC!AK35-ExGen!AK26-ComEd!AK26-PECO!AK29-BGE!AK27</f>
        <v>49</v>
      </c>
      <c r="AL26" s="1442">
        <f>EXC!AL35-ExGen!AL26-ComEd!AL26-PECO!AL29-BGE!AL27</f>
        <v>45</v>
      </c>
      <c r="AM26" s="1443">
        <f>EXC!AM35-ExGen!AM26-ComEd!AM26-PECO!AM29-BGE!AM27</f>
        <v>123</v>
      </c>
      <c r="AN26" s="369">
        <f>EXC!AN35-ExGen!AN26-ComEd!AN26-PECO!AN29-BGE!AN27</f>
        <v>49</v>
      </c>
      <c r="AO26" s="353">
        <f>EXC!AO35-ExGen!AO26-ComEd!AO26-PECO!AO29-BGE!AO27-Pepco!AJ26-DPL!AJ32-ACE!AJ26</f>
        <v>71</v>
      </c>
      <c r="AP26" s="1441">
        <f>EXC!AP35-ExGen!AP26-ComEd!AP26-PECO!AP29-BGE!AP27-Pepco!AK26-DPL!AK32-ACE!AK26</f>
        <v>127</v>
      </c>
      <c r="AQ26" s="1442">
        <f>EXC!AQ35-ExGen!AQ26-ComEd!AQ26-PECO!AQ29-BGE!AQ27-Pepco!AL26-DPL!AL32-ACE!AL26</f>
        <v>64</v>
      </c>
      <c r="AR26" s="1443">
        <f>+SUM(AN26:AQ26)</f>
        <v>311</v>
      </c>
      <c r="AS26" s="369">
        <f>EXC!AS35-ExGen!AS26-ComEd!AS26-PECO!AS29-BGE!AS27-Pepco!AN26-DPL!AN32-ACE!AN26</f>
        <v>73</v>
      </c>
      <c r="AT26" s="353">
        <f>EXC!AT35-ExGen!AT26-ComEd!AT26-PECO!AT29-BGE!AT27-Pepco!AO26-DPL!AO32-ACE!AO26</f>
        <v>93</v>
      </c>
      <c r="AU26" s="353">
        <f>EXC!AU35-ExGen!AU26-ComEd!AU26-PECO!AU29-BGE!AU27-Pepco!AP26-DPL!AP32-ACE!AP26</f>
        <v>68</v>
      </c>
      <c r="AV26" s="1442">
        <f>EXC!AV35-ExGen!AV26-ComEd!AV26-PECO!AV29-BGE!AV27-Pepco!AQ26-DPL!AQ32-ACE!AQ26</f>
        <v>61</v>
      </c>
      <c r="AW26" s="1443">
        <f>+SUM(AS26:AV26)</f>
        <v>295</v>
      </c>
      <c r="AX26" s="977">
        <f>EXC!AX35-ExGen!AX26-ComEd!AX26-PECO!AX29-BGE!AX27-Pepco!AS26-DPL!AS32-ACE!AS26</f>
        <v>52.200841354166698</v>
      </c>
      <c r="AY26" s="978">
        <f ca="1">EXC!AY35-ExGen!AY26-ComEd!AY26-PECO!AY29-BGE!AY27-Pepco!AT26-DPL!AT32-ACE!AT26</f>
        <v>78.326260365877275</v>
      </c>
      <c r="AZ26" s="978">
        <f ca="1">EXC!AZ35-ExGen!AZ26-ComEd!AZ26-PECO!AZ29-BGE!AZ27-Pepco!AU26-DPL!AU32-ACE!AU26</f>
        <v>56.595233490055612</v>
      </c>
      <c r="BA26" s="979">
        <f ca="1">EXC!BA35-ExGen!BA26-ComEd!BA26-PECO!BA29-BGE!BA27-Pepco!AV26-DPL!AV32-ACE!AV26</f>
        <v>68.485968096323248</v>
      </c>
      <c r="BB26" s="980">
        <f ca="1">EXC!BB35-ExGen!BB26-ComEd!BB26-PECO!BB29-BGE!BB27-Pepco!AW26-DPL!AW32-ACE!AW26</f>
        <v>255.6083033064229</v>
      </c>
      <c r="BC26" s="977">
        <f ca="1">EXC!BC35-ExGen!BC26-ComEd!BC26-PECO!BC29-BGE!BC27-Pepco!AX26-DPL!AX32-ACE!AX26</f>
        <v>59.33792212499948</v>
      </c>
      <c r="BD26" s="978">
        <f ca="1">EXC!BD35-ExGen!BD26-ComEd!BD26-PECO!BD29-BGE!BD27-Pepco!AY26-DPL!AY32-ACE!AY26</f>
        <v>85.174746206631028</v>
      </c>
      <c r="BE26" s="978">
        <f ca="1">EXC!BE35-ExGen!BE26-ComEd!BE26-PECO!BE29-BGE!BE27-Pepco!AZ26-DPL!AZ32-ACE!AZ26</f>
        <v>63.683768354542927</v>
      </c>
      <c r="BF26" s="979">
        <f ca="1">EXC!BF35-ExGen!BF26-ComEd!BF26-PECO!BF29-BGE!BF27-Pepco!BA26-DPL!BA32-ACE!BA26</f>
        <v>60.569957505136834</v>
      </c>
      <c r="BG26" s="980">
        <f ca="1">EXC!BG35-ExGen!BG26-ComEd!BG26-PECO!BG29-BGE!BG27-Pepco!BB26-DPL!BB32-ACE!BB26</f>
        <v>268.76639419130993</v>
      </c>
      <c r="BH26" s="977">
        <f ca="1">EXC!BH35-ExGen!BH26-ComEd!BH26-PECO!BH29-BGE!BH27-Pepco!BC26-DPL!BC32-ACE!BC26</f>
        <v>46.064362436769557</v>
      </c>
      <c r="BI26" s="978">
        <f ca="1">EXC!BI35-ExGen!BI26-ComEd!BI26-PECO!BI29-BGE!BI27-Pepco!BD26-DPL!BD32-ACE!BD26</f>
        <v>70.39548214310912</v>
      </c>
      <c r="BJ26" s="978">
        <f ca="1">EXC!BJ35-ExGen!BJ26-ComEd!BJ26-PECO!BJ29-BGE!BJ27-Pepco!BE26-DPL!BE32-ACE!BE26</f>
        <v>65.047712339632227</v>
      </c>
      <c r="BK26" s="979">
        <f ca="1">EXC!BK35-ExGen!BK26-ComEd!BK26-PECO!BK29-BGE!BK27-Pepco!BF26-DPL!BF32-ACE!BF26</f>
        <v>60.590238929865492</v>
      </c>
      <c r="BL26" s="980">
        <f ca="1">EXC!BL35-ExGen!BL26-ComEd!BL26-PECO!BL29-BGE!BL27-Pepco!BG26-DPL!BG32-ACE!BG26</f>
        <v>242.09779584937621</v>
      </c>
      <c r="BM26" s="977">
        <f ca="1">EXC!BM35-ExGen!BM26-ComEd!BM26-PECO!BM29-BGE!BM27-Pepco!BH26-DPL!BH32-ACE!BH26</f>
        <v>53.74229854725202</v>
      </c>
      <c r="BN26" s="978">
        <f ca="1">EXC!BN35-ExGen!BN26-ComEd!BN26-PECO!BN29-BGE!BN27-Pepco!BI26-DPL!BI32-ACE!BI26</f>
        <v>69.448416663647876</v>
      </c>
      <c r="BO26" s="978">
        <f ca="1">EXC!BO35-ExGen!BO26-ComEd!BO26-PECO!BO29-BGE!BO27-Pepco!BJ26-DPL!BJ32-ACE!BJ26</f>
        <v>82.199834679799125</v>
      </c>
      <c r="BP26" s="979">
        <f ca="1">EXC!BP35-ExGen!BP26-ComEd!BP26-PECO!BP29-BGE!BP27-Pepco!BK26-DPL!BK32-ACE!BK26</f>
        <v>74.936319498542275</v>
      </c>
      <c r="BQ26" s="980">
        <f ca="1">EXC!BQ35-ExGen!BQ26-ComEd!BQ26-PECO!BQ29-BGE!BQ27-Pepco!BL26-DPL!BL32-ACE!BL26</f>
        <v>280.32686938924127</v>
      </c>
      <c r="BR26" s="45"/>
      <c r="BS26" s="330"/>
      <c r="BT26" s="45"/>
      <c r="BU26" s="45"/>
      <c r="BV26" s="45"/>
      <c r="BW26" s="45"/>
      <c r="BX26" s="45"/>
    </row>
    <row r="27" spans="1:100" s="1" customFormat="1">
      <c r="C27" s="32"/>
      <c r="E27" s="286"/>
      <c r="F27" s="258"/>
      <c r="G27" s="258"/>
      <c r="H27" s="287"/>
      <c r="I27" s="341"/>
      <c r="J27" s="286"/>
      <c r="K27" s="258"/>
      <c r="L27" s="258"/>
      <c r="M27" s="287"/>
      <c r="N27" s="341"/>
      <c r="O27" s="286"/>
      <c r="P27" s="258"/>
      <c r="Q27" s="258"/>
      <c r="R27" s="287"/>
      <c r="S27" s="341"/>
      <c r="T27" s="369"/>
      <c r="U27" s="353"/>
      <c r="V27" s="258"/>
      <c r="W27" s="287"/>
      <c r="X27" s="341"/>
      <c r="Y27" s="369"/>
      <c r="Z27" s="353"/>
      <c r="AA27" s="1438"/>
      <c r="AB27" s="1439"/>
      <c r="AC27" s="1440"/>
      <c r="AD27" s="369"/>
      <c r="AE27" s="353"/>
      <c r="AF27" s="1438"/>
      <c r="AG27" s="1439"/>
      <c r="AH27" s="1440"/>
      <c r="AI27" s="369"/>
      <c r="AJ27" s="353"/>
      <c r="AK27" s="1438"/>
      <c r="AL27" s="1439"/>
      <c r="AM27" s="1440"/>
      <c r="AN27" s="369"/>
      <c r="AO27" s="353"/>
      <c r="AP27" s="1438"/>
      <c r="AQ27" s="1439"/>
      <c r="AR27" s="1440"/>
      <c r="AS27" s="369"/>
      <c r="AT27" s="353"/>
      <c r="AU27" s="353"/>
      <c r="AV27" s="1439"/>
      <c r="AW27" s="1440"/>
      <c r="AX27" s="973"/>
      <c r="AY27" s="974"/>
      <c r="AZ27" s="974"/>
      <c r="BA27" s="975"/>
      <c r="BB27" s="976"/>
      <c r="BC27" s="973"/>
      <c r="BD27" s="974"/>
      <c r="BE27" s="974"/>
      <c r="BF27" s="975"/>
      <c r="BG27" s="976"/>
      <c r="BH27" s="973"/>
      <c r="BI27" s="974"/>
      <c r="BJ27" s="974"/>
      <c r="BK27" s="975"/>
      <c r="BL27" s="976"/>
      <c r="BM27" s="973"/>
      <c r="BN27" s="974"/>
      <c r="BO27" s="974"/>
      <c r="BP27" s="975"/>
      <c r="BQ27" s="976"/>
    </row>
    <row r="28" spans="1:100" s="1" customFormat="1">
      <c r="C28" s="32" t="s">
        <v>576</v>
      </c>
      <c r="E28" s="286">
        <f t="shared" ref="E28:T28" si="54">+E23-E26</f>
        <v>-40</v>
      </c>
      <c r="F28" s="258">
        <f t="shared" si="54"/>
        <v>-71</v>
      </c>
      <c r="G28" s="258">
        <f t="shared" si="54"/>
        <v>-82</v>
      </c>
      <c r="H28" s="287">
        <f t="shared" si="54"/>
        <v>-45</v>
      </c>
      <c r="I28" s="341">
        <f t="shared" si="54"/>
        <v>-238</v>
      </c>
      <c r="J28" s="286">
        <f t="shared" si="54"/>
        <v>-11</v>
      </c>
      <c r="K28" s="258">
        <f t="shared" si="54"/>
        <v>-30</v>
      </c>
      <c r="L28" s="258">
        <f t="shared" si="54"/>
        <v>-21</v>
      </c>
      <c r="M28" s="287">
        <f t="shared" si="54"/>
        <v>-37</v>
      </c>
      <c r="N28" s="341">
        <f t="shared" si="54"/>
        <v>-99</v>
      </c>
      <c r="O28" s="286">
        <f t="shared" si="54"/>
        <v>-17</v>
      </c>
      <c r="P28" s="258">
        <f t="shared" si="54"/>
        <v>-28</v>
      </c>
      <c r="Q28" s="258">
        <f t="shared" si="54"/>
        <v>8</v>
      </c>
      <c r="R28" s="287">
        <f t="shared" si="54"/>
        <v>-39</v>
      </c>
      <c r="S28" s="341">
        <f t="shared" si="54"/>
        <v>-76</v>
      </c>
      <c r="T28" s="286">
        <f t="shared" si="54"/>
        <v>-340</v>
      </c>
      <c r="U28" s="258">
        <f t="shared" ref="U28:Z28" si="55">+U23-U26</f>
        <v>-26</v>
      </c>
      <c r="V28" s="258">
        <f t="shared" si="55"/>
        <v>-11</v>
      </c>
      <c r="W28" s="287">
        <f t="shared" si="55"/>
        <v>-72.000000000000171</v>
      </c>
      <c r="X28" s="341">
        <f t="shared" si="55"/>
        <v>-397</v>
      </c>
      <c r="Y28" s="286">
        <f t="shared" si="55"/>
        <v>-98</v>
      </c>
      <c r="Z28" s="258">
        <f t="shared" si="55"/>
        <v>-54</v>
      </c>
      <c r="AA28" s="1438">
        <f t="shared" ref="AA28:AF28" si="56">+AA23-AA26</f>
        <v>-25</v>
      </c>
      <c r="AB28" s="1439">
        <f t="shared" si="56"/>
        <v>-27.000000000000114</v>
      </c>
      <c r="AC28" s="1440">
        <f t="shared" si="56"/>
        <v>-204</v>
      </c>
      <c r="AD28" s="286">
        <f t="shared" si="56"/>
        <v>-9</v>
      </c>
      <c r="AE28" s="258">
        <f t="shared" si="56"/>
        <v>-60</v>
      </c>
      <c r="AF28" s="1438">
        <f t="shared" si="56"/>
        <v>-39.999999999999972</v>
      </c>
      <c r="AG28" s="1439">
        <f t="shared" ref="AG28:AK28" si="57">+AG23-AG26</f>
        <v>-124.00000000000003</v>
      </c>
      <c r="AH28" s="1440">
        <f t="shared" si="57"/>
        <v>-233</v>
      </c>
      <c r="AI28" s="286">
        <f t="shared" si="57"/>
        <v>-139</v>
      </c>
      <c r="AJ28" s="258">
        <f t="shared" si="57"/>
        <v>46</v>
      </c>
      <c r="AK28" s="1438">
        <f t="shared" si="57"/>
        <v>-58</v>
      </c>
      <c r="AL28" s="1439">
        <f t="shared" ref="AL28:AN28" si="58">+AL23-AL26</f>
        <v>-72.000000000000114</v>
      </c>
      <c r="AM28" s="1440">
        <f t="shared" si="58"/>
        <v>-223.00000000000011</v>
      </c>
      <c r="AN28" s="286">
        <f t="shared" si="58"/>
        <v>-627</v>
      </c>
      <c r="AO28" s="258">
        <f t="shared" ref="AO28:AT28" si="59">+AO23-AO26</f>
        <v>-85</v>
      </c>
      <c r="AP28" s="1438">
        <f t="shared" si="59"/>
        <v>-205</v>
      </c>
      <c r="AQ28" s="1439">
        <f t="shared" si="59"/>
        <v>-97.000000000000114</v>
      </c>
      <c r="AR28" s="1440">
        <f t="shared" si="59"/>
        <v>-1014</v>
      </c>
      <c r="AS28" s="286">
        <f t="shared" si="59"/>
        <v>-79.000000000000057</v>
      </c>
      <c r="AT28" s="258">
        <f t="shared" si="59"/>
        <v>-96</v>
      </c>
      <c r="AU28" s="258">
        <f t="shared" ref="AU28:AW28" si="60">+AU23-AU26</f>
        <v>-70.999999999999943</v>
      </c>
      <c r="AV28" s="1439">
        <f t="shared" si="60"/>
        <v>-78.000000000000028</v>
      </c>
      <c r="AW28" s="1440">
        <f t="shared" si="60"/>
        <v>-324</v>
      </c>
      <c r="AX28" s="973">
        <f t="shared" ref="AX28:BB28" si="61">AX23-AX26</f>
        <v>-80.700841354166698</v>
      </c>
      <c r="AY28" s="974">
        <f t="shared" ca="1" si="61"/>
        <v>-99.826260365877275</v>
      </c>
      <c r="AZ28" s="974">
        <f t="shared" ca="1" si="61"/>
        <v>-81.09523349005562</v>
      </c>
      <c r="BA28" s="975">
        <f t="shared" ca="1" si="61"/>
        <v>-109.98596809632325</v>
      </c>
      <c r="BB28" s="976">
        <f t="shared" ca="1" si="61"/>
        <v>-371.6083033064229</v>
      </c>
      <c r="BC28" s="973">
        <f t="shared" ref="BC28:BL28" ca="1" si="62">BC23-BC26</f>
        <v>-65.33792212499948</v>
      </c>
      <c r="BD28" s="974">
        <f t="shared" ca="1" si="62"/>
        <v>-84.174746206631028</v>
      </c>
      <c r="BE28" s="974">
        <f t="shared" ca="1" si="62"/>
        <v>-65.683768354542934</v>
      </c>
      <c r="BF28" s="975">
        <f t="shared" ca="1" si="62"/>
        <v>-79.569957505136841</v>
      </c>
      <c r="BG28" s="976">
        <f t="shared" ca="1" si="62"/>
        <v>-294.76639419130993</v>
      </c>
      <c r="BH28" s="973">
        <f t="shared" ca="1" si="62"/>
        <v>-52.064362436769557</v>
      </c>
      <c r="BI28" s="974">
        <f t="shared" ca="1" si="62"/>
        <v>-69.39548214310912</v>
      </c>
      <c r="BJ28" s="974">
        <f t="shared" ca="1" si="62"/>
        <v>-67.047712339632227</v>
      </c>
      <c r="BK28" s="975">
        <f t="shared" ca="1" si="62"/>
        <v>-79.590238929865492</v>
      </c>
      <c r="BL28" s="976">
        <f t="shared" ca="1" si="62"/>
        <v>-268.09779584937621</v>
      </c>
      <c r="BM28" s="973">
        <f t="shared" ref="BM28:BQ28" ca="1" si="63">BM23-BM26</f>
        <v>-59.74229854725202</v>
      </c>
      <c r="BN28" s="974">
        <f t="shared" ca="1" si="63"/>
        <v>-68.448416663647876</v>
      </c>
      <c r="BO28" s="974">
        <f t="shared" ca="1" si="63"/>
        <v>-84.199834679799125</v>
      </c>
      <c r="BP28" s="975">
        <f t="shared" ca="1" si="63"/>
        <v>-93.936319498542275</v>
      </c>
      <c r="BQ28" s="976">
        <f t="shared" ca="1" si="63"/>
        <v>-306.32686938924127</v>
      </c>
    </row>
    <row r="29" spans="1:100" s="1" customFormat="1">
      <c r="C29" s="32"/>
      <c r="E29" s="286"/>
      <c r="F29" s="258"/>
      <c r="G29" s="258"/>
      <c r="H29" s="287"/>
      <c r="I29" s="341"/>
      <c r="J29" s="286"/>
      <c r="K29" s="258"/>
      <c r="L29" s="258"/>
      <c r="M29" s="287"/>
      <c r="N29" s="341"/>
      <c r="O29" s="286"/>
      <c r="P29" s="258"/>
      <c r="Q29" s="258"/>
      <c r="R29" s="287"/>
      <c r="S29" s="341"/>
      <c r="T29" s="369"/>
      <c r="U29" s="353"/>
      <c r="V29" s="258"/>
      <c r="W29" s="287"/>
      <c r="X29" s="341"/>
      <c r="Y29" s="369"/>
      <c r="Z29" s="353"/>
      <c r="AA29" s="1438"/>
      <c r="AB29" s="1439"/>
      <c r="AC29" s="1440"/>
      <c r="AD29" s="369"/>
      <c r="AE29" s="353"/>
      <c r="AF29" s="1438"/>
      <c r="AG29" s="1439"/>
      <c r="AH29" s="1440"/>
      <c r="AI29" s="369"/>
      <c r="AJ29" s="353"/>
      <c r="AK29" s="1438"/>
      <c r="AL29" s="1439"/>
      <c r="AM29" s="1440"/>
      <c r="AN29" s="369"/>
      <c r="AO29" s="353"/>
      <c r="AP29" s="1438"/>
      <c r="AQ29" s="1439"/>
      <c r="AR29" s="1440"/>
      <c r="AS29" s="369"/>
      <c r="AT29" s="353"/>
      <c r="AU29" s="353"/>
      <c r="AV29" s="1439"/>
      <c r="AW29" s="1440"/>
      <c r="AX29" s="973"/>
      <c r="AY29" s="974"/>
      <c r="AZ29" s="974"/>
      <c r="BA29" s="975"/>
      <c r="BB29" s="976"/>
      <c r="BC29" s="973"/>
      <c r="BD29" s="974"/>
      <c r="BE29" s="974"/>
      <c r="BF29" s="975"/>
      <c r="BG29" s="976"/>
      <c r="BH29" s="973"/>
      <c r="BI29" s="974"/>
      <c r="BJ29" s="974"/>
      <c r="BK29" s="975"/>
      <c r="BL29" s="976"/>
      <c r="BM29" s="973"/>
      <c r="BN29" s="974"/>
      <c r="BO29" s="974"/>
      <c r="BP29" s="975"/>
      <c r="BQ29" s="976"/>
    </row>
    <row r="30" spans="1:100" s="28" customFormat="1">
      <c r="C30" s="28" t="s">
        <v>320</v>
      </c>
      <c r="E30" s="369">
        <f>EXC!E39-ExGen!E30-ComEd!E30-PECO!E33</f>
        <v>3</v>
      </c>
      <c r="F30" s="353">
        <f>EXC!F39-ExGen!F30-ComEd!F30-PECO!F33</f>
        <v>-29</v>
      </c>
      <c r="G30" s="353">
        <f>EXC!G39-ExGen!G30-ComEd!G30-PECO!G33</f>
        <v>-44</v>
      </c>
      <c r="H30" s="354">
        <f>EXC!H39-ExGen!H30-ComEd!H30-PECO!H33</f>
        <v>-26</v>
      </c>
      <c r="I30" s="340">
        <f>EXC!I39-ExGen!I30-ComEd!I30-PECO!I33</f>
        <v>-96</v>
      </c>
      <c r="J30" s="369">
        <f>EXC!J39-ExGen!J30-ComEd!J30-PECO!J33</f>
        <v>18</v>
      </c>
      <c r="K30" s="353">
        <f>EXC!K39-ExGen!K30-ComEd!K30-PECO!K33</f>
        <v>-9</v>
      </c>
      <c r="L30" s="353">
        <f>EXC!L39-ExGen!L30-ComEd!L30-PECO!L33</f>
        <v>-13</v>
      </c>
      <c r="M30" s="354">
        <f>EXC!M39-ExGen!M30-ComEd!M30-PECO!M33</f>
        <v>-25</v>
      </c>
      <c r="N30" s="340">
        <f>EXC!N39-ExGen!N30-ComEd!N30-PECO!N33</f>
        <v>-29</v>
      </c>
      <c r="O30" s="369">
        <f>EXC!O39-ExGen!O30-ComEd!O30-PECO!O33</f>
        <v>4</v>
      </c>
      <c r="P30" s="353">
        <f>EXC!P39-ExGen!P30-ComEd!P30-PECO!P33</f>
        <v>-8</v>
      </c>
      <c r="Q30" s="353">
        <f>EXC!Q39-ExGen!Q30-ComEd!Q30-PECO!Q33</f>
        <v>10</v>
      </c>
      <c r="R30" s="354">
        <f>EXC!R39-ExGen!R30-ComEd!R30-PECO!R33</f>
        <v>-1</v>
      </c>
      <c r="S30" s="340">
        <f>EXC!S39-ExGen!S30-ComEd!S30-PECO!S33</f>
        <v>5</v>
      </c>
      <c r="T30" s="369">
        <f>EXC!T39-ExGen!T30-ComEd!T30-PECO!T33</f>
        <v>-184</v>
      </c>
      <c r="U30" s="353">
        <f>EXC!U39-ExGen!U30-ComEd!U30-PECO!U33-BGE!U31</f>
        <v>-12</v>
      </c>
      <c r="V30" s="353">
        <f>EXC!V39-ExGen!V30-ComEd!V30-PECO!V33-BGE!V31</f>
        <v>-8</v>
      </c>
      <c r="W30" s="354">
        <f>EXC!W39-ExGen!W30-ComEd!W30-PECO!W33-BGE!W31</f>
        <v>-58</v>
      </c>
      <c r="X30" s="340">
        <f>EXC!X39-ExGen!X30-ComEd!X30-PECO!X33-BGE!X31</f>
        <v>-246</v>
      </c>
      <c r="Y30" s="369">
        <f>EXC!Y39-ExGen!Y30-ComEd!Y30-PECO!Y33-BGE!Y31</f>
        <v>5</v>
      </c>
      <c r="Z30" s="353">
        <f>EXC!Z39-ExGen!Z30-ComEd!Z30-PECO!Z33-BGE!Z31</f>
        <v>-24</v>
      </c>
      <c r="AA30" s="1441">
        <f>EXC!AA39-ExGen!AA30-ComEd!AA30-PECO!AA33-BGE!AA31</f>
        <v>-5</v>
      </c>
      <c r="AB30" s="1442">
        <f>EXC!AB39-ExGen!AB30-ComEd!AB30-PECO!AB33-BGE!AB31</f>
        <v>5</v>
      </c>
      <c r="AC30" s="1443">
        <f>EXC!AC39-ExGen!AC30-ComEd!AC30-PECO!AC33-BGE!AC31</f>
        <v>-19</v>
      </c>
      <c r="AD30" s="369">
        <f>EXC!AD39-ExGen!AD30-ComEd!AD30-PECO!AD33-BGE!AD31</f>
        <v>-12</v>
      </c>
      <c r="AE30" s="353">
        <f>EXC!AE39-ExGen!AE30-ComEd!AE30-PECO!AE33-BGE!AE31</f>
        <v>-31</v>
      </c>
      <c r="AF30" s="1441">
        <f>EXC!AF39-ExGen!AF30-ComEd!AF30-PECO!AF33-BGE!AF31</f>
        <v>-9</v>
      </c>
      <c r="AG30" s="1442">
        <f>EXC!AG39-ExGen!AG30-ComEd!AG30-PECO!AG33-BGE!AG31</f>
        <v>-11</v>
      </c>
      <c r="AH30" s="1443">
        <f>EXC!AH39-ExGen!AH30-ComEd!AH30-PECO!AH33-BGE!AH31</f>
        <v>-63</v>
      </c>
      <c r="AI30" s="369">
        <f>EXC!AI39-ExGen!AI30-ComEd!AI30-PECO!AI33-BGE!AI31</f>
        <v>-54</v>
      </c>
      <c r="AJ30" s="353">
        <f>EXC!AJ39-ExGen!AJ30-ComEd!AJ30-PECO!AJ33-BGE!AJ31</f>
        <v>19</v>
      </c>
      <c r="AK30" s="1441">
        <f>EXC!AK39-ExGen!AK30-ComEd!AK30-PECO!AK33-BGE!AK31</f>
        <v>-20</v>
      </c>
      <c r="AL30" s="1442">
        <f>EXC!AL39-ExGen!AL30-ComEd!AL30-PECO!AL33-BGE!AL31</f>
        <v>14</v>
      </c>
      <c r="AM30" s="1443">
        <f>EXC!AM39-ExGen!AM30-ComEd!AM30-PECO!AM33-BGE!AM31</f>
        <v>-41</v>
      </c>
      <c r="AN30" s="369">
        <f>EXC!AN39-ExGen!AN30-ComEd!AN30-PECO!AN33-BGE!AN31</f>
        <v>-153</v>
      </c>
      <c r="AO30" s="353">
        <f>EXC!AO39-ExGen!AO30-ComEd!AO30-PECO!AO33-BGE!AO31-Pepco!AJ30-DPL!AJ36-ACE!AJ30</f>
        <v>-20</v>
      </c>
      <c r="AP30" s="1441">
        <f>EXC!AP39-ExGen!AP30-ComEd!AP30-PECO!AP33-BGE!AP31-Pepco!AK30-DPL!AK36-ACE!AK30</f>
        <v>-75</v>
      </c>
      <c r="AQ30" s="1442">
        <f>EXC!AQ39-ExGen!AQ30-ComEd!AQ30-PECO!AQ33-BGE!AQ31-Pepco!AL30-DPL!AL36-ACE!AL30</f>
        <v>-31</v>
      </c>
      <c r="AR30" s="1443">
        <f>+SUM(AN30:AQ30)</f>
        <v>-279</v>
      </c>
      <c r="AS30" s="369">
        <f>EXC!AS39-ExGen!AS30-ComEd!AS30-PECO!AS33-BGE!AS31-Pepco!AN30-DPL!AN36-ACE!AN30</f>
        <v>-115</v>
      </c>
      <c r="AT30" s="353">
        <f>EXC!AT39-ExGen!AT30-ComEd!AT30-PECO!AT33-BGE!AT31-Pepco!AO30-DPL!AO36-ACE!AO30</f>
        <v>-105</v>
      </c>
      <c r="AU30" s="353">
        <f>EXC!AU39-ExGen!AU30-ComEd!AU30-PECO!AU33-BGE!AU31-Pepco!AP30-DPL!AP36-ACE!AP30</f>
        <v>-68</v>
      </c>
      <c r="AV30" s="1442">
        <f>EXC!AV39-ExGen!AV30-ComEd!AV30-PECO!AV33-BGE!AV31-Pepco!AQ30-DPL!AQ36-ACE!AQ30</f>
        <v>597</v>
      </c>
      <c r="AW30" s="1443">
        <f>+SUM(AS30:AV30)</f>
        <v>309</v>
      </c>
      <c r="AX30" s="977">
        <f>EXC!AX39-ExGen!AX30-ComEd!AX30-PECO!AX33-BGE!AX31-Pepco!AS30-DPL!AS36-ACE!AS30</f>
        <v>-46.426126116086408</v>
      </c>
      <c r="AY30" s="978">
        <f ca="1">EXC!AY39-ExGen!AY30-ComEd!AY30-PECO!AY33-BGE!AY31-Pepco!AT30-DPL!AT36-ACE!AT30</f>
        <v>-40.758511439367616</v>
      </c>
      <c r="AZ30" s="978">
        <f ca="1">EXC!AZ39-ExGen!AZ30-ComEd!AZ30-PECO!AZ33-BGE!AZ31-Pepco!AU30-DPL!AU36-ACE!AU30</f>
        <v>-47.179470243616009</v>
      </c>
      <c r="BA30" s="979">
        <f ca="1">EXC!BA39-ExGen!BA30-ComEd!BA30-PECO!BA33-BGE!BA31-Pepco!AV30-DPL!AV36-ACE!AV30</f>
        <v>-42.422891146092439</v>
      </c>
      <c r="BB30" s="980">
        <f ca="1">EXC!BB39-ExGen!BB30-ComEd!BB30-PECO!BB33-BGE!BB31-Pepco!AW30-DPL!AW36-ACE!AW30</f>
        <v>-176.78699894516254</v>
      </c>
      <c r="BC30" s="977">
        <f ca="1">EXC!BC39-ExGen!BC30-ComEd!BC30-PECO!BC33-BGE!BC31-Pepco!AX30-DPL!AX36-ACE!AX30</f>
        <v>-32.842435504616368</v>
      </c>
      <c r="BD30" s="978">
        <f ca="1">EXC!BD39-ExGen!BD30-ComEd!BD30-PECO!BD33-BGE!BD31-Pepco!AY30-DPL!AY36-ACE!AY30</f>
        <v>-31.10705743178108</v>
      </c>
      <c r="BE30" s="978">
        <f ca="1">EXC!BE39-ExGen!BE30-ComEd!BE30-PECO!BE33-BGE!BE31-Pepco!AZ30-DPL!AZ36-ACE!AZ30</f>
        <v>-34.456241735527847</v>
      </c>
      <c r="BF30" s="979">
        <f ca="1">EXC!BF39-ExGen!BF30-ComEd!BF30-PECO!BF33-BGE!BF31-Pepco!BA30-DPL!BA36-ACE!BA30</f>
        <v>-31.898169060882527</v>
      </c>
      <c r="BG30" s="980">
        <f ca="1">EXC!BG39-ExGen!BG30-ComEd!BG30-PECO!BG33-BGE!BG31-Pepco!BB30-DPL!BB36-ACE!BB30</f>
        <v>-130.30390373280781</v>
      </c>
      <c r="BH30" s="977">
        <f ca="1">EXC!BH39-ExGen!BH30-ComEd!BH30-PECO!BH33-BGE!BH31-Pepco!BC30-DPL!BC36-ACE!BC30</f>
        <v>-15.925391185642722</v>
      </c>
      <c r="BI30" s="978">
        <f ca="1">EXC!BI39-ExGen!BI30-ComEd!BI30-PECO!BI33-BGE!BI31-Pepco!BD30-DPL!BD36-ACE!BD30</f>
        <v>-19.564926323974305</v>
      </c>
      <c r="BJ30" s="978">
        <f ca="1">EXC!BJ39-ExGen!BJ30-ComEd!BJ30-PECO!BJ33-BGE!BJ31-Pepco!BE30-DPL!BE36-ACE!BE30</f>
        <v>-19.071894665244336</v>
      </c>
      <c r="BK30" s="979">
        <f ca="1">EXC!BK39-ExGen!BK30-ComEd!BK30-PECO!BK33-BGE!BK31-Pepco!BF30-DPL!BF36-ACE!BF30</f>
        <v>-21.70582524919303</v>
      </c>
      <c r="BL30" s="980">
        <f ca="1">EXC!BL39-ExGen!BL30-ComEd!BL30-PECO!BL33-BGE!BL31-Pepco!BG30-DPL!BG36-ACE!BG30</f>
        <v>-76.268037424054555</v>
      </c>
      <c r="BM30" s="977">
        <f ca="1">EXC!BM39-ExGen!BM30-ComEd!BM30-PECO!BM33-BGE!BM31-Pepco!BH30-DPL!BH36-ACE!BH30</f>
        <v>-14.151520771662401</v>
      </c>
      <c r="BN30" s="978">
        <f ca="1">EXC!BN39-ExGen!BN30-ComEd!BN30-PECO!BN33-BGE!BN31-Pepco!BI30-DPL!BI36-ACE!BI30</f>
        <v>-17.045198383143024</v>
      </c>
      <c r="BO30" s="978">
        <f ca="1">EXC!BO39-ExGen!BO30-ComEd!BO30-PECO!BO33-BGE!BO31-Pepco!BJ30-DPL!BJ36-ACE!BJ30</f>
        <v>-19.251311214737683</v>
      </c>
      <c r="BP30" s="979">
        <f ca="1">EXC!BP39-ExGen!BP30-ComEd!BP30-PECO!BP33-BGE!BP31-Pepco!BK30-DPL!BK36-ACE!BK30</f>
        <v>-22.287089022140215</v>
      </c>
      <c r="BQ30" s="980">
        <f ca="1">EXC!BQ39-ExGen!BQ30-ComEd!BQ30-PECO!BQ33-BGE!BQ31-Pepco!BL30-DPL!BL36-ACE!BL30</f>
        <v>-72.735119391683327</v>
      </c>
    </row>
    <row r="31" spans="1:100">
      <c r="A31" s="330"/>
      <c r="B31" s="330"/>
      <c r="C31" s="28"/>
      <c r="D31" s="330"/>
      <c r="E31" s="369"/>
      <c r="F31" s="353"/>
      <c r="G31" s="353"/>
      <c r="H31" s="354"/>
      <c r="I31" s="340"/>
      <c r="J31" s="369"/>
      <c r="K31" s="353"/>
      <c r="L31" s="353"/>
      <c r="M31" s="354"/>
      <c r="N31" s="340"/>
      <c r="O31" s="369"/>
      <c r="P31" s="353"/>
      <c r="Q31" s="353"/>
      <c r="R31" s="354"/>
      <c r="S31" s="340"/>
      <c r="T31" s="369"/>
      <c r="U31" s="353"/>
      <c r="V31" s="353"/>
      <c r="W31" s="354"/>
      <c r="X31" s="340"/>
      <c r="Y31" s="369"/>
      <c r="Z31" s="353"/>
      <c r="AA31" s="1441"/>
      <c r="AB31" s="1442"/>
      <c r="AC31" s="1443"/>
      <c r="AD31" s="369"/>
      <c r="AE31" s="353"/>
      <c r="AF31" s="1441"/>
      <c r="AG31" s="1442"/>
      <c r="AH31" s="1443"/>
      <c r="AI31" s="369"/>
      <c r="AJ31" s="353"/>
      <c r="AK31" s="1441"/>
      <c r="AL31" s="1442"/>
      <c r="AM31" s="1443"/>
      <c r="AN31" s="369"/>
      <c r="AO31" s="353"/>
      <c r="AP31" s="1441"/>
      <c r="AQ31" s="1442"/>
      <c r="AR31" s="1443"/>
      <c r="AS31" s="369"/>
      <c r="AT31" s="353"/>
      <c r="AU31" s="353"/>
      <c r="AV31" s="1442"/>
      <c r="AW31" s="1443"/>
      <c r="AX31" s="977"/>
      <c r="AY31" s="978"/>
      <c r="AZ31" s="978"/>
      <c r="BA31" s="979"/>
      <c r="BB31" s="980"/>
      <c r="BC31" s="977"/>
      <c r="BD31" s="978"/>
      <c r="BE31" s="978"/>
      <c r="BF31" s="979"/>
      <c r="BG31" s="980"/>
      <c r="BH31" s="977"/>
      <c r="BI31" s="978"/>
      <c r="BJ31" s="978"/>
      <c r="BK31" s="979"/>
      <c r="BL31" s="980"/>
      <c r="BM31" s="977"/>
      <c r="BN31" s="978"/>
      <c r="BO31" s="978"/>
      <c r="BP31" s="979"/>
      <c r="BQ31" s="980"/>
      <c r="BR31" s="330"/>
      <c r="BS31" s="330"/>
      <c r="BT31" s="330"/>
      <c r="BU31" s="330"/>
      <c r="BV31" s="330"/>
      <c r="BW31" s="330"/>
      <c r="BX31" s="330"/>
      <c r="BY31" s="330"/>
      <c r="BZ31" s="330"/>
      <c r="CA31" s="330"/>
      <c r="CB31" s="330"/>
      <c r="CC31" s="330"/>
      <c r="CD31" s="330"/>
      <c r="CE31" s="330"/>
      <c r="CF31" s="330"/>
      <c r="CG31" s="330"/>
      <c r="CH31" s="330"/>
      <c r="CI31" s="330"/>
      <c r="CJ31" s="330"/>
      <c r="CK31" s="330"/>
      <c r="CL31" s="330"/>
      <c r="CM31" s="330"/>
      <c r="CN31" s="330"/>
      <c r="CO31" s="330"/>
      <c r="CP31" s="330"/>
      <c r="CQ31" s="330"/>
      <c r="CR31" s="330"/>
      <c r="CS31" s="330"/>
      <c r="CT31" s="330"/>
      <c r="CU31" s="330"/>
    </row>
    <row r="32" spans="1:100" s="34" customFormat="1">
      <c r="A32" s="228"/>
      <c r="B32" s="228"/>
      <c r="C32" s="808" t="s">
        <v>1309</v>
      </c>
      <c r="D32" s="228"/>
      <c r="E32" s="286">
        <f t="shared" ref="E32:T32" si="64">E28-E30</f>
        <v>-43</v>
      </c>
      <c r="F32" s="258">
        <f t="shared" si="64"/>
        <v>-42</v>
      </c>
      <c r="G32" s="258">
        <f t="shared" si="64"/>
        <v>-38</v>
      </c>
      <c r="H32" s="287">
        <f t="shared" si="64"/>
        <v>-19</v>
      </c>
      <c r="I32" s="341">
        <f t="shared" si="64"/>
        <v>-142</v>
      </c>
      <c r="J32" s="286">
        <f t="shared" si="64"/>
        <v>-29</v>
      </c>
      <c r="K32" s="258">
        <f t="shared" si="64"/>
        <v>-21</v>
      </c>
      <c r="L32" s="258">
        <f t="shared" si="64"/>
        <v>-8</v>
      </c>
      <c r="M32" s="287">
        <f t="shared" si="64"/>
        <v>-12</v>
      </c>
      <c r="N32" s="341">
        <f t="shared" si="64"/>
        <v>-70</v>
      </c>
      <c r="O32" s="286">
        <f t="shared" si="64"/>
        <v>-21</v>
      </c>
      <c r="P32" s="258">
        <f t="shared" si="64"/>
        <v>-20</v>
      </c>
      <c r="Q32" s="258">
        <f t="shared" si="64"/>
        <v>-2</v>
      </c>
      <c r="R32" s="287">
        <f t="shared" si="64"/>
        <v>-38</v>
      </c>
      <c r="S32" s="341">
        <f t="shared" si="64"/>
        <v>-81</v>
      </c>
      <c r="T32" s="286">
        <f t="shared" si="64"/>
        <v>-156</v>
      </c>
      <c r="U32" s="258">
        <f t="shared" ref="U32:Z32" si="65">U28-U30</f>
        <v>-14</v>
      </c>
      <c r="V32" s="258">
        <f t="shared" si="65"/>
        <v>-3</v>
      </c>
      <c r="W32" s="287">
        <f t="shared" si="65"/>
        <v>-14.000000000000171</v>
      </c>
      <c r="X32" s="341">
        <f t="shared" si="65"/>
        <v>-151</v>
      </c>
      <c r="Y32" s="286">
        <f t="shared" si="65"/>
        <v>-103</v>
      </c>
      <c r="Z32" s="258">
        <f t="shared" si="65"/>
        <v>-30</v>
      </c>
      <c r="AA32" s="1438">
        <f t="shared" ref="AA32:AF32" si="66">AA28-AA30</f>
        <v>-20</v>
      </c>
      <c r="AB32" s="1439">
        <f t="shared" si="66"/>
        <v>-32.000000000000114</v>
      </c>
      <c r="AC32" s="1440">
        <f t="shared" si="66"/>
        <v>-185</v>
      </c>
      <c r="AD32" s="286">
        <f t="shared" si="66"/>
        <v>3</v>
      </c>
      <c r="AE32" s="258">
        <f t="shared" si="66"/>
        <v>-29</v>
      </c>
      <c r="AF32" s="1438">
        <f t="shared" si="66"/>
        <v>-30.999999999999972</v>
      </c>
      <c r="AG32" s="1439">
        <f t="shared" ref="AG32:AK32" si="67">AG28-AG30</f>
        <v>-113.00000000000003</v>
      </c>
      <c r="AH32" s="1440">
        <f t="shared" si="67"/>
        <v>-170</v>
      </c>
      <c r="AI32" s="286">
        <f t="shared" si="67"/>
        <v>-85</v>
      </c>
      <c r="AJ32" s="258">
        <f t="shared" si="67"/>
        <v>27</v>
      </c>
      <c r="AK32" s="1438">
        <f t="shared" si="67"/>
        <v>-38</v>
      </c>
      <c r="AL32" s="1439">
        <f t="shared" ref="AL32:AN32" si="68">AL28-AL30</f>
        <v>-86.000000000000114</v>
      </c>
      <c r="AM32" s="1440">
        <f t="shared" si="68"/>
        <v>-182.00000000000011</v>
      </c>
      <c r="AN32" s="286">
        <f t="shared" si="68"/>
        <v>-474</v>
      </c>
      <c r="AO32" s="258">
        <f t="shared" ref="AO32:AT32" si="69">AO28-AO30</f>
        <v>-65</v>
      </c>
      <c r="AP32" s="1438">
        <f t="shared" si="69"/>
        <v>-130</v>
      </c>
      <c r="AQ32" s="1439">
        <f t="shared" si="69"/>
        <v>-66.000000000000114</v>
      </c>
      <c r="AR32" s="1440">
        <f t="shared" si="69"/>
        <v>-735</v>
      </c>
      <c r="AS32" s="286">
        <f t="shared" si="69"/>
        <v>35.999999999999943</v>
      </c>
      <c r="AT32" s="258">
        <f t="shared" si="69"/>
        <v>9</v>
      </c>
      <c r="AU32" s="258">
        <f t="shared" ref="AU32:AW32" si="70">AU28-AU30</f>
        <v>-2.9999999999999432</v>
      </c>
      <c r="AV32" s="1439">
        <f t="shared" si="70"/>
        <v>-675</v>
      </c>
      <c r="AW32" s="1440">
        <f t="shared" si="70"/>
        <v>-633</v>
      </c>
      <c r="AX32" s="973">
        <f t="shared" ref="AX32:BB32" si="71">AX28-AX30</f>
        <v>-34.27471523808029</v>
      </c>
      <c r="AY32" s="974">
        <f t="shared" ca="1" si="71"/>
        <v>-59.067748926509658</v>
      </c>
      <c r="AZ32" s="974">
        <f t="shared" ca="1" si="71"/>
        <v>-33.91576324643961</v>
      </c>
      <c r="BA32" s="975">
        <f t="shared" ca="1" si="71"/>
        <v>-67.563076950230808</v>
      </c>
      <c r="BB32" s="976">
        <f t="shared" ca="1" si="71"/>
        <v>-194.82130436126036</v>
      </c>
      <c r="BC32" s="973">
        <f t="shared" ref="BC32:BL32" ca="1" si="72">BC28-BC30</f>
        <v>-32.495486620383112</v>
      </c>
      <c r="BD32" s="974">
        <f t="shared" ca="1" si="72"/>
        <v>-53.067688774849948</v>
      </c>
      <c r="BE32" s="974">
        <f t="shared" ca="1" si="72"/>
        <v>-31.227526619015087</v>
      </c>
      <c r="BF32" s="975">
        <f t="shared" ca="1" si="72"/>
        <v>-47.671788444254318</v>
      </c>
      <c r="BG32" s="976">
        <f t="shared" ca="1" si="72"/>
        <v>-164.46249045850212</v>
      </c>
      <c r="BH32" s="973">
        <f t="shared" ca="1" si="72"/>
        <v>-36.138971251126833</v>
      </c>
      <c r="BI32" s="974">
        <f t="shared" ca="1" si="72"/>
        <v>-49.830555819134815</v>
      </c>
      <c r="BJ32" s="974">
        <f t="shared" ca="1" si="72"/>
        <v>-47.975817674387891</v>
      </c>
      <c r="BK32" s="975">
        <f t="shared" ca="1" si="72"/>
        <v>-57.884413680672466</v>
      </c>
      <c r="BL32" s="976">
        <f t="shared" ca="1" si="72"/>
        <v>-191.82975842532164</v>
      </c>
      <c r="BM32" s="973">
        <f t="shared" ref="BM32:BQ32" ca="1" si="73">BM28-BM30</f>
        <v>-45.590777775589615</v>
      </c>
      <c r="BN32" s="974">
        <f t="shared" ca="1" si="73"/>
        <v>-51.403218280504852</v>
      </c>
      <c r="BO32" s="974">
        <f t="shared" ca="1" si="73"/>
        <v>-64.948523465061442</v>
      </c>
      <c r="BP32" s="975">
        <f t="shared" ca="1" si="73"/>
        <v>-71.649230476402067</v>
      </c>
      <c r="BQ32" s="976">
        <f t="shared" ca="1" si="73"/>
        <v>-233.59174999755794</v>
      </c>
      <c r="BR32" s="228"/>
      <c r="BS32" s="228"/>
      <c r="BT32" s="228"/>
      <c r="BU32" s="228"/>
      <c r="BV32" s="228"/>
      <c r="BW32" s="228"/>
      <c r="BX32" s="228"/>
      <c r="BY32" s="228"/>
      <c r="BZ32" s="228"/>
      <c r="CA32" s="228"/>
      <c r="CB32" s="228"/>
      <c r="CC32" s="228"/>
      <c r="CD32" s="228"/>
      <c r="CE32" s="228"/>
      <c r="CF32" s="228"/>
      <c r="CG32" s="228"/>
      <c r="CH32" s="228"/>
      <c r="CI32" s="228"/>
      <c r="CJ32" s="228"/>
      <c r="CK32" s="228"/>
      <c r="CL32" s="228"/>
      <c r="CM32" s="228"/>
      <c r="CN32" s="228"/>
      <c r="CO32" s="228"/>
      <c r="CP32" s="228"/>
      <c r="CQ32" s="228"/>
      <c r="CR32" s="228"/>
      <c r="CS32" s="228"/>
      <c r="CT32" s="228"/>
      <c r="CU32" s="228"/>
      <c r="CV32" s="228"/>
    </row>
    <row r="33" spans="1:100">
      <c r="A33" s="330"/>
      <c r="B33" s="330"/>
      <c r="C33" s="28" t="s">
        <v>1294</v>
      </c>
      <c r="D33" s="330"/>
      <c r="E33" s="369">
        <f>EXC!E42-ExGen!E33-ComEd!E33-PECO!E36</f>
        <v>-1</v>
      </c>
      <c r="F33" s="353">
        <f>EXC!F42-ExGen!F33-ComEd!F33-PECO!F36</f>
        <v>-1</v>
      </c>
      <c r="G33" s="353">
        <f>EXC!G42-ExGen!G33-ComEd!G33-PECO!G36</f>
        <v>-1</v>
      </c>
      <c r="H33" s="354">
        <f>EXC!H42-ExGen!H33-ComEd!H33-PECO!H36</f>
        <v>-1</v>
      </c>
      <c r="I33" s="340">
        <f>EXC!I42-ExGen!I33-ComEd!I33-PECO!I36</f>
        <v>-4</v>
      </c>
      <c r="J33" s="369">
        <f>EXC!J42-ExGen!J33-ComEd!J33-PECO!J36</f>
        <v>-1</v>
      </c>
      <c r="K33" s="353">
        <f>EXC!K42-ExGen!K33-ComEd!K33-PECO!K36</f>
        <v>-1</v>
      </c>
      <c r="L33" s="353">
        <f>EXC!L42-ExGen!L33-ComEd!L33-PECO!L36</f>
        <v>-1</v>
      </c>
      <c r="M33" s="354">
        <f>EXC!M42-ExGen!M33-ComEd!M33-PECO!M36</f>
        <v>-1</v>
      </c>
      <c r="N33" s="340">
        <f>EXC!N42-ExGen!N33-ComEd!N33-PECO!N36</f>
        <v>-4</v>
      </c>
      <c r="O33" s="369">
        <f>EXC!O42-ExGen!O33-ComEd!O33-PECO!O36</f>
        <v>0</v>
      </c>
      <c r="P33" s="353">
        <f>EXC!P42-ExGen!P33-ComEd!P33-PECO!P36</f>
        <v>-1</v>
      </c>
      <c r="Q33" s="353">
        <f>EXC!Q42-ExGen!Q33-ComEd!Q33-PECO!Q36</f>
        <v>-1</v>
      </c>
      <c r="R33" s="354">
        <f>EXC!R42-ExGen!R33-ComEd!R33-PECO!R36</f>
        <v>-2</v>
      </c>
      <c r="S33" s="340">
        <f>EXC!S42-ExGen!S33-ComEd!S33-PECO!S36</f>
        <v>-4</v>
      </c>
      <c r="T33" s="369">
        <f>EXC!T42-ExGen!T33-ComEd!T33-PECO!T36</f>
        <v>1</v>
      </c>
      <c r="U33" s="353">
        <f>EXC!U42-ExGen!U33-ComEd!U33-PECO!U36-BGE!U34</f>
        <v>0</v>
      </c>
      <c r="V33" s="353">
        <f>EXC!V42-ExGen!V33-ComEd!V33-PECO!V36-BGE!V34</f>
        <v>0</v>
      </c>
      <c r="W33" s="354">
        <f>EXC!W42-ExGen!W33-ComEd!W33-PECO!W36-BGE!W34</f>
        <v>0</v>
      </c>
      <c r="X33" s="340">
        <f>EXC!X42-ExGen!X33-ComEd!X33-PECO!X36-BGE!X34</f>
        <v>-2</v>
      </c>
      <c r="Y33" s="369">
        <f>EXC!Y42-ExGen!Y33-ComEd!Y33-PECO!Y36-BGE!Y34</f>
        <v>0</v>
      </c>
      <c r="Z33" s="353">
        <f>EXC!Z42-ExGen!Z33-ComEd!Z33-PECO!Z36-BGE!Z34</f>
        <v>0</v>
      </c>
      <c r="AA33" s="1441">
        <f>EXC!AA42-ExGen!AA33-ComEd!AA33-PECO!AA36-BGE!AA34</f>
        <v>0</v>
      </c>
      <c r="AB33" s="1442">
        <f>EXC!AB42-ExGen!AB33-ComEd!AB33-PECO!AB36-BGE!AB34</f>
        <v>0</v>
      </c>
      <c r="AC33" s="1443">
        <f>EXC!AC42-ExGen!AC33-ComEd!AC33-PECO!AC36-BGE!AC34</f>
        <v>0</v>
      </c>
      <c r="AD33" s="369">
        <f>EXC!AD42-ExGen!AD33-ComEd!AD33-PECO!AD36-BGE!AD34</f>
        <v>0</v>
      </c>
      <c r="AE33" s="353">
        <f>EXC!AE42-ExGen!AE33-ComEd!AE33-PECO!AE36-BGE!AE34</f>
        <v>0</v>
      </c>
      <c r="AF33" s="1441">
        <f>EXC!AF42-ExGen!AF33-ComEd!AF33-PECO!AF36-BGE!AF34</f>
        <v>0</v>
      </c>
      <c r="AG33" s="1442">
        <f>EXC!AG42-ExGen!AG33-ComEd!AG33-PECO!AG36-BGE!AG34</f>
        <v>0</v>
      </c>
      <c r="AH33" s="1443">
        <f>EXC!AH42-ExGen!AH33-ComEd!AH33-PECO!AH36-BGE!AH34</f>
        <v>0</v>
      </c>
      <c r="AI33" s="369">
        <f>EXC!AI42-ExGen!AI33-ComEd!AI33-PECO!AI36-BGE!AI34</f>
        <v>0</v>
      </c>
      <c r="AJ33" s="353">
        <f>EXC!AJ42-ExGen!AJ33-ComEd!AJ33-PECO!AJ36-BGE!AJ34</f>
        <v>0</v>
      </c>
      <c r="AK33" s="1441">
        <f>EXC!AK42-ExGen!AK33-ComEd!AK33-PECO!AK36-BGE!AK34</f>
        <v>0</v>
      </c>
      <c r="AL33" s="1442">
        <f>EXC!AL42-ExGen!AL33-ComEd!AL33-PECO!AL36-BGE!AL34</f>
        <v>0</v>
      </c>
      <c r="AM33" s="1443">
        <f>EXC!AM42-ExGen!AM33-ComEd!AM33-PECO!AM36-BGE!AM34</f>
        <v>0</v>
      </c>
      <c r="AN33" s="369">
        <f>EXC!AN42-ExGen!AN33-ComEd!AN33-PECO!AN36-BGE!AN34</f>
        <v>0</v>
      </c>
      <c r="AO33" s="353">
        <f>EXC!AO42-ExGen!AO33-ComEd!AO33-PECO!AO36-BGE!AO34</f>
        <v>0</v>
      </c>
      <c r="AP33" s="1441">
        <f>EXC!AP42-ExGen!AP33-ComEd!AP33-PECO!AP36-BGE!AP34</f>
        <v>-1</v>
      </c>
      <c r="AQ33" s="1442">
        <f>EXC!AQ42-ExGen!AQ33-ComEd!AQ33-PECO!AQ36-BGE!AQ34</f>
        <v>1</v>
      </c>
      <c r="AR33" s="1443">
        <f>+SUM(AN33:AQ33)</f>
        <v>0</v>
      </c>
      <c r="AS33" s="369">
        <f>EXC!AS42-ExGen!AS33-ComEd!AS33-PECO!AS36-BGE!AS34</f>
        <v>0</v>
      </c>
      <c r="AT33" s="353">
        <f>EXC!AT42-ExGen!AT33-ComEd!AT33-PECO!AT36-BGE!AT34</f>
        <v>0</v>
      </c>
      <c r="AU33" s="353">
        <f>EXC!AU42-ExGen!AU33-ComEd!AU33-PECO!AU36-BGE!AU34</f>
        <v>0</v>
      </c>
      <c r="AV33" s="1442">
        <f>EXC!AV42-ExGen!AV33-ComEd!AV33-PECO!AV36-BGE!AV34</f>
        <v>2</v>
      </c>
      <c r="AW33" s="1443">
        <f>+SUM(AS33:AV33)</f>
        <v>2</v>
      </c>
      <c r="AX33" s="977">
        <f>EXC!AX42-ExGen!AX33-ComEd!AX33-PECO!AX36-BGE!AX34</f>
        <v>0</v>
      </c>
      <c r="AY33" s="978">
        <f>EXC!AY42-ExGen!AY33-ComEd!AY33-PECO!AY36-BGE!AY34</f>
        <v>0</v>
      </c>
      <c r="AZ33" s="978">
        <f>EXC!AZ42-ExGen!AZ33-ComEd!AZ33-PECO!AZ36-BGE!AZ34</f>
        <v>0</v>
      </c>
      <c r="BA33" s="979">
        <f>EXC!BA42-ExGen!BA33-ComEd!BA33-PECO!BA36-BGE!BA34</f>
        <v>0</v>
      </c>
      <c r="BB33" s="980">
        <f>EXC!BB42-ExGen!BB33-ComEd!BB33-PECO!BB36-BGE!BB34</f>
        <v>0</v>
      </c>
      <c r="BC33" s="977">
        <f>EXC!BC42-ExGen!BC33-ComEd!BC33-PECO!BC36-BGE!BC34</f>
        <v>0</v>
      </c>
      <c r="BD33" s="978">
        <f>EXC!BD42-ExGen!BD33-ComEd!BD33-PECO!BD36-BGE!BD34</f>
        <v>0</v>
      </c>
      <c r="BE33" s="978">
        <f>EXC!BE42-ExGen!BE33-ComEd!BE33-PECO!BE36-BGE!BE34</f>
        <v>0</v>
      </c>
      <c r="BF33" s="979">
        <f>EXC!BF42-ExGen!BF33-ComEd!BF33-PECO!BF36-BGE!BF34</f>
        <v>0</v>
      </c>
      <c r="BG33" s="980">
        <f>EXC!BG42-ExGen!BG33-ComEd!BG33-PECO!BG36-BGE!BG34</f>
        <v>0</v>
      </c>
      <c r="BH33" s="977">
        <f>EXC!BH42-ExGen!BH33-ComEd!BH33-PECO!BH36-BGE!BH34</f>
        <v>0</v>
      </c>
      <c r="BI33" s="978">
        <f>EXC!BI42-ExGen!BI33-ComEd!BI33-PECO!BI36-BGE!BI34</f>
        <v>0</v>
      </c>
      <c r="BJ33" s="978">
        <f>EXC!BJ42-ExGen!BJ33-ComEd!BJ33-PECO!BJ36-BGE!BJ34</f>
        <v>0</v>
      </c>
      <c r="BK33" s="979">
        <f>EXC!BK42-ExGen!BK33-ComEd!BK33-PECO!BK36-BGE!BK34</f>
        <v>0</v>
      </c>
      <c r="BL33" s="980">
        <f>EXC!BL42-ExGen!BL33-ComEd!BL33-PECO!BL36-BGE!BL34</f>
        <v>0</v>
      </c>
      <c r="BM33" s="977">
        <f>EXC!BM42-ExGen!BM33-ComEd!BM33-PECO!BM36-BGE!BM34</f>
        <v>0</v>
      </c>
      <c r="BN33" s="978">
        <f>EXC!BN42-ExGen!BN33-ComEd!BN33-PECO!BN36-BGE!BN34</f>
        <v>0</v>
      </c>
      <c r="BO33" s="978">
        <f>EXC!BO42-ExGen!BO33-ComEd!BO33-PECO!BO36-BGE!BO34</f>
        <v>0</v>
      </c>
      <c r="BP33" s="979">
        <f>EXC!BP42-ExGen!BP33-ComEd!BP33-PECO!BP36-BGE!BP34</f>
        <v>0</v>
      </c>
      <c r="BQ33" s="980">
        <f>EXC!BQ42-ExGen!BQ33-ComEd!BQ33-PECO!BQ36-BGE!BQ34</f>
        <v>0</v>
      </c>
      <c r="BR33" s="330"/>
      <c r="BS33" s="330"/>
      <c r="BT33" s="330"/>
      <c r="BU33" s="330"/>
      <c r="BV33" s="330"/>
      <c r="BW33" s="330"/>
      <c r="BX33" s="330"/>
      <c r="BY33" s="330"/>
      <c r="BZ33" s="330"/>
      <c r="CA33" s="330"/>
      <c r="CB33" s="330"/>
      <c r="CC33" s="330"/>
      <c r="CD33" s="330"/>
      <c r="CE33" s="330"/>
      <c r="CF33" s="330"/>
      <c r="CG33" s="330"/>
      <c r="CH33" s="330"/>
      <c r="CI33" s="330"/>
      <c r="CJ33" s="330"/>
      <c r="CK33" s="330"/>
      <c r="CL33" s="330"/>
      <c r="CM33" s="330"/>
      <c r="CN33" s="330"/>
      <c r="CO33" s="330"/>
      <c r="CP33" s="330"/>
      <c r="CQ33" s="330"/>
      <c r="CR33" s="330"/>
      <c r="CS33" s="330"/>
      <c r="CT33" s="330"/>
      <c r="CU33" s="330"/>
    </row>
    <row r="34" spans="1:100" s="1" customFormat="1">
      <c r="C34" s="28"/>
      <c r="E34" s="286"/>
      <c r="F34" s="258"/>
      <c r="G34" s="258"/>
      <c r="H34" s="287"/>
      <c r="I34" s="341"/>
      <c r="J34" s="286"/>
      <c r="K34" s="258"/>
      <c r="L34" s="258"/>
      <c r="M34" s="287"/>
      <c r="N34" s="341"/>
      <c r="O34" s="286"/>
      <c r="P34" s="258"/>
      <c r="Q34" s="258"/>
      <c r="R34" s="287"/>
      <c r="S34" s="341"/>
      <c r="T34" s="369"/>
      <c r="U34" s="353"/>
      <c r="V34" s="258"/>
      <c r="W34" s="287"/>
      <c r="X34" s="341"/>
      <c r="Y34" s="369"/>
      <c r="Z34" s="353"/>
      <c r="AA34" s="1438"/>
      <c r="AB34" s="1439"/>
      <c r="AC34" s="1440"/>
      <c r="AD34" s="369"/>
      <c r="AE34" s="353"/>
      <c r="AF34" s="1438"/>
      <c r="AG34" s="1439"/>
      <c r="AH34" s="1440"/>
      <c r="AI34" s="369"/>
      <c r="AJ34" s="353"/>
      <c r="AK34" s="1438"/>
      <c r="AL34" s="1439"/>
      <c r="AM34" s="1440"/>
      <c r="AN34" s="369"/>
      <c r="AO34" s="353"/>
      <c r="AP34" s="1438"/>
      <c r="AQ34" s="1439"/>
      <c r="AR34" s="1440"/>
      <c r="AS34" s="369"/>
      <c r="AT34" s="353"/>
      <c r="AU34" s="353"/>
      <c r="AV34" s="1439"/>
      <c r="AW34" s="1440"/>
      <c r="AX34" s="973"/>
      <c r="AY34" s="974"/>
      <c r="AZ34" s="974"/>
      <c r="BA34" s="975"/>
      <c r="BB34" s="976"/>
      <c r="BC34" s="973"/>
      <c r="BD34" s="974"/>
      <c r="BE34" s="974"/>
      <c r="BF34" s="975"/>
      <c r="BG34" s="976"/>
      <c r="BH34" s="973"/>
      <c r="BI34" s="974"/>
      <c r="BJ34" s="974"/>
      <c r="BK34" s="975"/>
      <c r="BL34" s="976"/>
      <c r="BM34" s="973"/>
      <c r="BN34" s="974"/>
      <c r="BO34" s="974"/>
      <c r="BP34" s="975"/>
      <c r="BQ34" s="976"/>
    </row>
    <row r="35" spans="1:100" s="1" customFormat="1">
      <c r="C35" s="32" t="s">
        <v>82</v>
      </c>
      <c r="E35" s="286">
        <f t="shared" ref="E35:T35" si="74">E32-E33</f>
        <v>-42</v>
      </c>
      <c r="F35" s="258">
        <f t="shared" si="74"/>
        <v>-41</v>
      </c>
      <c r="G35" s="258">
        <f t="shared" si="74"/>
        <v>-37</v>
      </c>
      <c r="H35" s="287">
        <f t="shared" si="74"/>
        <v>-18</v>
      </c>
      <c r="I35" s="341">
        <f t="shared" si="74"/>
        <v>-138</v>
      </c>
      <c r="J35" s="286">
        <f t="shared" si="74"/>
        <v>-28</v>
      </c>
      <c r="K35" s="258">
        <f t="shared" si="74"/>
        <v>-20</v>
      </c>
      <c r="L35" s="258">
        <f t="shared" si="74"/>
        <v>-7</v>
      </c>
      <c r="M35" s="287">
        <f t="shared" si="74"/>
        <v>-11</v>
      </c>
      <c r="N35" s="341">
        <f t="shared" si="74"/>
        <v>-66</v>
      </c>
      <c r="O35" s="286">
        <f t="shared" si="74"/>
        <v>-21</v>
      </c>
      <c r="P35" s="258">
        <f t="shared" si="74"/>
        <v>-19</v>
      </c>
      <c r="Q35" s="258">
        <f t="shared" si="74"/>
        <v>-1</v>
      </c>
      <c r="R35" s="287">
        <f t="shared" si="74"/>
        <v>-36</v>
      </c>
      <c r="S35" s="341">
        <f t="shared" si="74"/>
        <v>-77</v>
      </c>
      <c r="T35" s="286">
        <f t="shared" si="74"/>
        <v>-157</v>
      </c>
      <c r="U35" s="258">
        <f t="shared" ref="U35:Z35" si="75">U32-U33</f>
        <v>-14</v>
      </c>
      <c r="V35" s="258">
        <f t="shared" si="75"/>
        <v>-3</v>
      </c>
      <c r="W35" s="287">
        <f t="shared" si="75"/>
        <v>-14.000000000000171</v>
      </c>
      <c r="X35" s="341">
        <f t="shared" si="75"/>
        <v>-149</v>
      </c>
      <c r="Y35" s="286">
        <f t="shared" si="75"/>
        <v>-103</v>
      </c>
      <c r="Z35" s="258">
        <f t="shared" si="75"/>
        <v>-30</v>
      </c>
      <c r="AA35" s="1438">
        <f t="shared" ref="AA35:AF35" si="76">AA32-AA33</f>
        <v>-20</v>
      </c>
      <c r="AB35" s="1439">
        <f t="shared" si="76"/>
        <v>-32.000000000000114</v>
      </c>
      <c r="AC35" s="1440">
        <f t="shared" si="76"/>
        <v>-185</v>
      </c>
      <c r="AD35" s="286">
        <f t="shared" si="76"/>
        <v>3</v>
      </c>
      <c r="AE35" s="258">
        <f t="shared" si="76"/>
        <v>-29</v>
      </c>
      <c r="AF35" s="1438">
        <f t="shared" si="76"/>
        <v>-30.999999999999972</v>
      </c>
      <c r="AG35" s="1439">
        <f t="shared" ref="AG35:AK35" si="77">AG32-AG33</f>
        <v>-113.00000000000003</v>
      </c>
      <c r="AH35" s="1440">
        <f t="shared" si="77"/>
        <v>-170</v>
      </c>
      <c r="AI35" s="286">
        <f t="shared" si="77"/>
        <v>-85</v>
      </c>
      <c r="AJ35" s="258">
        <f t="shared" si="77"/>
        <v>27</v>
      </c>
      <c r="AK35" s="1438">
        <f t="shared" si="77"/>
        <v>-38</v>
      </c>
      <c r="AL35" s="1439">
        <f t="shared" ref="AL35:AO35" si="78">AL32-AL33</f>
        <v>-86.000000000000114</v>
      </c>
      <c r="AM35" s="1440">
        <f t="shared" si="78"/>
        <v>-182.00000000000011</v>
      </c>
      <c r="AN35" s="286">
        <f t="shared" si="78"/>
        <v>-474</v>
      </c>
      <c r="AO35" s="258">
        <f t="shared" si="78"/>
        <v>-65</v>
      </c>
      <c r="AP35" s="1438">
        <f t="shared" ref="AP35:AR35" si="79">AP32-AP33</f>
        <v>-129</v>
      </c>
      <c r="AQ35" s="1439">
        <f t="shared" ref="AQ35:AT35" si="80">AQ32-AQ33</f>
        <v>-67.000000000000114</v>
      </c>
      <c r="AR35" s="1440">
        <f t="shared" si="79"/>
        <v>-735</v>
      </c>
      <c r="AS35" s="286">
        <f t="shared" si="80"/>
        <v>35.999999999999943</v>
      </c>
      <c r="AT35" s="258">
        <f t="shared" si="80"/>
        <v>9</v>
      </c>
      <c r="AU35" s="258">
        <f t="shared" ref="AU35:AW35" si="81">AU32-AU33</f>
        <v>-2.9999999999999432</v>
      </c>
      <c r="AV35" s="1439">
        <f t="shared" si="81"/>
        <v>-677</v>
      </c>
      <c r="AW35" s="1440">
        <f t="shared" si="81"/>
        <v>-635</v>
      </c>
      <c r="AX35" s="973">
        <f t="shared" ref="AX35:BB35" si="82">AX32-AX33</f>
        <v>-34.27471523808029</v>
      </c>
      <c r="AY35" s="974">
        <f t="shared" ca="1" si="82"/>
        <v>-59.067748926509658</v>
      </c>
      <c r="AZ35" s="974">
        <f t="shared" ca="1" si="82"/>
        <v>-33.91576324643961</v>
      </c>
      <c r="BA35" s="975">
        <f t="shared" ca="1" si="82"/>
        <v>-67.563076950230808</v>
      </c>
      <c r="BB35" s="976">
        <f t="shared" ca="1" si="82"/>
        <v>-194.82130436126036</v>
      </c>
      <c r="BC35" s="973">
        <f t="shared" ref="BC35:BL35" ca="1" si="83">BC32-BC33</f>
        <v>-32.495486620383112</v>
      </c>
      <c r="BD35" s="974">
        <f t="shared" ca="1" si="83"/>
        <v>-53.067688774849948</v>
      </c>
      <c r="BE35" s="974">
        <f t="shared" ca="1" si="83"/>
        <v>-31.227526619015087</v>
      </c>
      <c r="BF35" s="975">
        <f t="shared" ca="1" si="83"/>
        <v>-47.671788444254318</v>
      </c>
      <c r="BG35" s="976">
        <f t="shared" ca="1" si="83"/>
        <v>-164.46249045850212</v>
      </c>
      <c r="BH35" s="973">
        <f t="shared" ca="1" si="83"/>
        <v>-36.138971251126833</v>
      </c>
      <c r="BI35" s="974">
        <f t="shared" ca="1" si="83"/>
        <v>-49.830555819134815</v>
      </c>
      <c r="BJ35" s="974">
        <f t="shared" ca="1" si="83"/>
        <v>-47.975817674387891</v>
      </c>
      <c r="BK35" s="975">
        <f t="shared" ca="1" si="83"/>
        <v>-57.884413680672466</v>
      </c>
      <c r="BL35" s="976">
        <f t="shared" ca="1" si="83"/>
        <v>-191.82975842532164</v>
      </c>
      <c r="BM35" s="973">
        <f t="shared" ref="BM35:BQ35" ca="1" si="84">BM32-BM33</f>
        <v>-45.590777775589615</v>
      </c>
      <c r="BN35" s="974">
        <f t="shared" ca="1" si="84"/>
        <v>-51.403218280504852</v>
      </c>
      <c r="BO35" s="974">
        <f t="shared" ca="1" si="84"/>
        <v>-64.948523465061442</v>
      </c>
      <c r="BP35" s="975">
        <f t="shared" ca="1" si="84"/>
        <v>-71.649230476402067</v>
      </c>
      <c r="BQ35" s="976">
        <f t="shared" ca="1" si="84"/>
        <v>-233.59174999755794</v>
      </c>
    </row>
    <row r="36" spans="1:100" s="1" customFormat="1">
      <c r="C36" s="232" t="s">
        <v>83</v>
      </c>
      <c r="E36" s="369">
        <f>EXC!E45-ExGen!E36-ComEd!E36-PECO!E39</f>
        <v>7</v>
      </c>
      <c r="F36" s="353">
        <f>EXC!F45-ExGen!F36-ComEd!F36-PECO!F39</f>
        <v>18</v>
      </c>
      <c r="G36" s="353">
        <f>EXC!G45-ExGen!G36-ComEd!G36-PECO!G39</f>
        <v>27</v>
      </c>
      <c r="H36" s="354">
        <f>EXC!H45-ExGen!H36-ComEd!H36-PECO!H39</f>
        <v>7</v>
      </c>
      <c r="I36" s="340">
        <f>EXC!I45-ExGen!I36-ComEd!I36-PECO!I39</f>
        <v>59</v>
      </c>
      <c r="J36" s="369">
        <f>EXC!J45-ExGen!J36-ComEd!J36-PECO!J39</f>
        <v>16</v>
      </c>
      <c r="K36" s="353">
        <f>EXC!K45-ExGen!K36-ComEd!K36-PECO!K39</f>
        <v>6</v>
      </c>
      <c r="L36" s="353">
        <f>EXC!L45-ExGen!L36-ComEd!L36-PECO!L39</f>
        <v>-1</v>
      </c>
      <c r="M36" s="354">
        <f>EXC!M45-ExGen!M36-ComEd!M36-PECO!M39</f>
        <v>-1</v>
      </c>
      <c r="N36" s="340">
        <f>EXC!N45-ExGen!N36-ComEd!N36-PECO!N39</f>
        <v>20</v>
      </c>
      <c r="O36" s="369">
        <f>EXC!O45-ExGen!O36-ComEd!O36-PECO!O39</f>
        <v>3</v>
      </c>
      <c r="P36" s="353">
        <f>EXC!P45-ExGen!P36-ComEd!P36-PECO!P39</f>
        <v>13</v>
      </c>
      <c r="Q36" s="353">
        <f>EXC!Q45-ExGen!Q36-ComEd!Q36-PECO!Q39</f>
        <v>5</v>
      </c>
      <c r="R36" s="354">
        <f>EXC!R45-ExGen!R36-ComEd!R36-PECO!R39</f>
        <v>26</v>
      </c>
      <c r="S36" s="340">
        <f>EXC!S45-ExGen!S36-ComEd!S36-PECO!S39</f>
        <v>47</v>
      </c>
      <c r="T36" s="369">
        <f>EXC!T45-ExGen!T36-ComEd!T36-PECO!T39</f>
        <v>157</v>
      </c>
      <c r="U36" s="353">
        <f>EXC!U45-ExGen!U36-ComEd!U36-PECO!U39-BGE!U37</f>
        <v>-1</v>
      </c>
      <c r="V36" s="353">
        <f>EXC!V45-ExGen!V36-ComEd!V36-PECO!V39-BGE!V37</f>
        <v>-8</v>
      </c>
      <c r="W36" s="354">
        <f>EXC!W45-ExGen!W36-ComEd!W36-PECO!W39-BGE!W37</f>
        <v>27.650000000000006</v>
      </c>
      <c r="X36" s="340">
        <f>EXC!X45-ExGen!X36-ComEd!X36-PECO!X39-BGE!X37</f>
        <v>84</v>
      </c>
      <c r="Y36" s="369">
        <f>EXC!Y45-ExGen!Y36-ComEd!Y36-PECO!Y39-BGE!Y37</f>
        <v>83</v>
      </c>
      <c r="Z36" s="353">
        <f>EXC!Z45-ExGen!Z36-ComEd!Z36-PECO!Z39-BGE!Z37</f>
        <v>18</v>
      </c>
      <c r="AA36" s="1441">
        <f>EXC!AA45-ExGen!AA36-ComEd!AA36-PECO!AA39-BGE!AA37</f>
        <v>5</v>
      </c>
      <c r="AB36" s="1442">
        <f>EXC!AB45-ExGen!AB36-ComEd!AB36-PECO!AB39-BGE!AB37</f>
        <v>17</v>
      </c>
      <c r="AC36" s="1443">
        <f>EXC!AC45-ExGen!AC36-ComEd!AC36-PECO!AC39-BGE!AC37</f>
        <v>123</v>
      </c>
      <c r="AD36" s="369">
        <f>EXC!AD45-ExGen!AD36-ComEd!AD36-PECO!AD39-BGE!AD37</f>
        <v>-3</v>
      </c>
      <c r="AE36" s="353">
        <f>EXC!AE45-ExGen!AE36-ComEd!AE36-PECO!AE39-BGE!AE37</f>
        <v>27</v>
      </c>
      <c r="AF36" s="1441">
        <f>EXC!AF45-ExGen!AF36-ComEd!AF36-PECO!AF39-BGE!AF37</f>
        <v>21</v>
      </c>
      <c r="AG36" s="1442">
        <f>EXC!AG45-ExGen!AG36-ComEd!AG36-PECO!AG39-BGE!AG37</f>
        <v>76</v>
      </c>
      <c r="AH36" s="1443">
        <f>EXC!AH45-ExGen!AH36-ComEd!AH36-PECO!AH39-BGE!AH37</f>
        <v>121</v>
      </c>
      <c r="AI36" s="369">
        <f>EXC!AI45-ExGen!AI36-ComEd!AI36-PECO!AI39-BGE!AI37</f>
        <v>58</v>
      </c>
      <c r="AJ36" s="353">
        <f>EXC!AJ45-ExGen!AJ36-ComEd!AJ36-PECO!AJ39-BGE!AJ37</f>
        <v>-45</v>
      </c>
      <c r="AK36" s="1441">
        <f>EXC!AK45-ExGen!AK36-ComEd!AK36-PECO!AK39-BGE!AK37</f>
        <v>2</v>
      </c>
      <c r="AL36" s="1442">
        <f>EXC!AL45-ExGen!AL36-ComEd!AL36-PECO!AL39-BGE!AL37</f>
        <v>52</v>
      </c>
      <c r="AM36" s="1443">
        <f>EXC!AM45-ExGen!AM36-ComEd!AM36-PECO!AM39-BGE!AM37</f>
        <v>67</v>
      </c>
      <c r="AN36" s="369">
        <f>EXC!AN45-ExGen!AN36-ComEd!AN36-PECO!AN39-BGE!AN37</f>
        <v>455</v>
      </c>
      <c r="AO36" s="353">
        <f>EXC!AO45-ExGen!AO36-ComEd!AO36-PECO!AO39-BGE!AO37-Pepco!AJ33-DPL!AJ39-ACE!AJ33</f>
        <v>0</v>
      </c>
      <c r="AP36" s="1441">
        <f>EXC!AP45-ExGen!AP36-ComEd!AP36-PECO!AP39-BGE!AP37-Pepco!AK33-DPL!AK39-ACE!AK33</f>
        <v>96</v>
      </c>
      <c r="AQ36" s="1442">
        <f>EXC!AQ45-ExGen!AQ36-ComEd!AQ36-PECO!AQ39-BGE!AQ37-Pepco!AL33-DPL!AL39-ACE!AL33</f>
        <v>252</v>
      </c>
      <c r="AR36" s="1443">
        <f>+SUM(AN36:AQ36)</f>
        <v>803</v>
      </c>
      <c r="AS36" s="369">
        <f>EXC!AS45-ExGen!AS36-ComEd!AS36-PECO!AS39-BGE!AS37-Pepco!AN33-DPL!AN39-ACE!AN33</f>
        <v>-83</v>
      </c>
      <c r="AT36" s="353">
        <f>EXC!AT45-ExGen!AT36-ComEd!AT36-PECO!AT39-BGE!AT37-Pepco!AO33-DPL!AO39-ACE!AO33</f>
        <v>-45</v>
      </c>
      <c r="AU36" s="353">
        <f>EXC!AU45-ExGen!AU36-ComEd!AU36-PECO!AU39-BGE!AU37-Pepco!AP33-DPL!AP39-ACE!AP33</f>
        <v>-39</v>
      </c>
      <c r="AV36" s="1442">
        <f>EXC!AV45-ExGen!AV36-ComEd!AV36-PECO!AV39-BGE!AV37-Pepco!AQ33-DPL!AQ39-ACE!AQ33</f>
        <v>584</v>
      </c>
      <c r="AW36" s="1443">
        <f>+SUM(AS36:AV36)</f>
        <v>417</v>
      </c>
      <c r="AX36" s="977">
        <f>EXC!AX45-ExGen!AX36-ComEd!AX36-PECO!AX39-BGE!AX37-Pepco!AS33-DPL!AS39-ACE!AS33</f>
        <v>0</v>
      </c>
      <c r="AY36" s="978">
        <f>EXC!AY45-ExGen!AY36-ComEd!AY36-PECO!AY39-BGE!AY37-Pepco!AT33-DPL!AT39-ACE!AT33</f>
        <v>0</v>
      </c>
      <c r="AZ36" s="978">
        <f>EXC!AZ45-ExGen!AZ36-ComEd!AZ36-PECO!AZ39-BGE!AZ37-Pepco!AU33-DPL!AU39-ACE!AU33</f>
        <v>0</v>
      </c>
      <c r="BA36" s="979">
        <f>EXC!BA45-ExGen!BA36-ComEd!BA36-PECO!BA39-BGE!BA37-Pepco!AV33-DPL!AV39-ACE!AV33</f>
        <v>0</v>
      </c>
      <c r="BB36" s="980">
        <f>EXC!BB45-ExGen!BB36-ComEd!BB36-PECO!BB39-BGE!BB37-Pepco!AW33-DPL!AW39-ACE!AW33</f>
        <v>0</v>
      </c>
      <c r="BC36" s="977">
        <f>EXC!BC45-ExGen!BC36-ComEd!BC36-PECO!BC39-BGE!BC37-Pepco!AX33-DPL!AX39-ACE!AX33</f>
        <v>0</v>
      </c>
      <c r="BD36" s="978">
        <f>EXC!BD45-ExGen!BD36-ComEd!BD36-PECO!BD39-BGE!BD37-Pepco!AY33-DPL!AY39-ACE!AY33</f>
        <v>0</v>
      </c>
      <c r="BE36" s="978">
        <f>EXC!BE45-ExGen!BE36-ComEd!BE36-PECO!BE39-BGE!BE37-Pepco!AZ33-DPL!AZ39-ACE!AZ33</f>
        <v>0</v>
      </c>
      <c r="BF36" s="979">
        <f>EXC!BF45-ExGen!BF36-ComEd!BF36-PECO!BF39-BGE!BF37-Pepco!BA33-DPL!BA39-ACE!BA33</f>
        <v>0</v>
      </c>
      <c r="BG36" s="980">
        <f>EXC!BG45-ExGen!BG36-ComEd!BG36-PECO!BG39-BGE!BG37-Pepco!BB33-DPL!BB39-ACE!BB33</f>
        <v>0</v>
      </c>
      <c r="BH36" s="977">
        <f>EXC!BH45-ExGen!BH36-ComEd!BH36-PECO!BH39-BGE!BH37-Pepco!BC33-DPL!BC39-ACE!BC33</f>
        <v>0</v>
      </c>
      <c r="BI36" s="978">
        <f>EXC!BI45-ExGen!BI36-ComEd!BI36-PECO!BI39-BGE!BI37-Pepco!BD33-DPL!BD39-ACE!BD33</f>
        <v>0</v>
      </c>
      <c r="BJ36" s="978">
        <f>EXC!BJ45-ExGen!BJ36-ComEd!BJ36-PECO!BJ39-BGE!BJ37-Pepco!BE33-DPL!BE39-ACE!BE33</f>
        <v>0</v>
      </c>
      <c r="BK36" s="979">
        <f>EXC!BK45-ExGen!BK36-ComEd!BK36-PECO!BK39-BGE!BK37-Pepco!BF33-DPL!BF39-ACE!BF33</f>
        <v>0</v>
      </c>
      <c r="BL36" s="980">
        <f>EXC!BL45-ExGen!BL36-ComEd!BL36-PECO!BL39-BGE!BL37-Pepco!BG33-DPL!BG39-ACE!BG33</f>
        <v>0</v>
      </c>
      <c r="BM36" s="977">
        <f>EXC!BM45-ExGen!BM36-ComEd!BM36-PECO!BM39-BGE!BM37-Pepco!BH33-DPL!BH39-ACE!BH33</f>
        <v>0</v>
      </c>
      <c r="BN36" s="978">
        <f>EXC!BN45-ExGen!BN36-ComEd!BN36-PECO!BN39-BGE!BN37-Pepco!BI33-DPL!BI39-ACE!BI33</f>
        <v>0</v>
      </c>
      <c r="BO36" s="978">
        <f>EXC!BO45-ExGen!BO36-ComEd!BO36-PECO!BO39-BGE!BO37-Pepco!BJ33-DPL!BJ39-ACE!BJ33</f>
        <v>0</v>
      </c>
      <c r="BP36" s="979">
        <f>EXC!BP45-ExGen!BP36-ComEd!BP36-PECO!BP39-BGE!BP37-Pepco!BK33-DPL!BK39-ACE!BK33</f>
        <v>0</v>
      </c>
      <c r="BQ36" s="980">
        <f>EXC!BQ45-ExGen!BQ36-ComEd!BQ36-PECO!BQ39-BGE!BQ37-Pepco!BL33-DPL!BL39-ACE!BL33</f>
        <v>0</v>
      </c>
    </row>
    <row r="37" spans="1:100" s="1" customFormat="1">
      <c r="C37" s="32" t="s">
        <v>360</v>
      </c>
      <c r="E37" s="286">
        <f t="shared" ref="E37:U37" si="85">SUM(E35:E36)</f>
        <v>-35</v>
      </c>
      <c r="F37" s="258">
        <f t="shared" si="85"/>
        <v>-23</v>
      </c>
      <c r="G37" s="258">
        <f t="shared" si="85"/>
        <v>-10</v>
      </c>
      <c r="H37" s="287">
        <f t="shared" si="85"/>
        <v>-11</v>
      </c>
      <c r="I37" s="341">
        <f t="shared" si="85"/>
        <v>-79</v>
      </c>
      <c r="J37" s="286">
        <f t="shared" si="85"/>
        <v>-12</v>
      </c>
      <c r="K37" s="258">
        <f t="shared" si="85"/>
        <v>-14</v>
      </c>
      <c r="L37" s="258">
        <f t="shared" si="85"/>
        <v>-8</v>
      </c>
      <c r="M37" s="287">
        <f t="shared" si="85"/>
        <v>-12</v>
      </c>
      <c r="N37" s="341">
        <f t="shared" si="85"/>
        <v>-46</v>
      </c>
      <c r="O37" s="286">
        <f t="shared" si="85"/>
        <v>-18</v>
      </c>
      <c r="P37" s="258">
        <f t="shared" si="85"/>
        <v>-6</v>
      </c>
      <c r="Q37" s="258">
        <f t="shared" si="85"/>
        <v>4</v>
      </c>
      <c r="R37" s="287">
        <f t="shared" si="85"/>
        <v>-10</v>
      </c>
      <c r="S37" s="341">
        <f t="shared" si="85"/>
        <v>-30</v>
      </c>
      <c r="T37" s="286">
        <f t="shared" si="85"/>
        <v>0</v>
      </c>
      <c r="U37" s="258">
        <f t="shared" si="85"/>
        <v>-15</v>
      </c>
      <c r="V37" s="258">
        <f t="shared" ref="V37:AE37" si="86">SUM(V35:V36)</f>
        <v>-11</v>
      </c>
      <c r="W37" s="287">
        <f t="shared" si="86"/>
        <v>13.649999999999835</v>
      </c>
      <c r="X37" s="341">
        <f t="shared" si="86"/>
        <v>-65</v>
      </c>
      <c r="Y37" s="286">
        <f t="shared" si="86"/>
        <v>-20</v>
      </c>
      <c r="Z37" s="258">
        <f t="shared" si="86"/>
        <v>-12</v>
      </c>
      <c r="AA37" s="1438">
        <f>SUM(AA35:AA36)</f>
        <v>-15</v>
      </c>
      <c r="AB37" s="1439">
        <f>SUM(AB35:AB36)</f>
        <v>-15.000000000000114</v>
      </c>
      <c r="AC37" s="1440">
        <f>SUM(AC35:AC36)</f>
        <v>-62</v>
      </c>
      <c r="AD37" s="286">
        <f t="shared" si="86"/>
        <v>0</v>
      </c>
      <c r="AE37" s="258">
        <f t="shared" si="86"/>
        <v>-2</v>
      </c>
      <c r="AF37" s="1438">
        <f>SUM(AF35:AF36)</f>
        <v>-9.9999999999999716</v>
      </c>
      <c r="AG37" s="1439">
        <f>SUM(AG35:AG36)</f>
        <v>-37.000000000000028</v>
      </c>
      <c r="AH37" s="1440">
        <f>SUM(AH35:AH36)</f>
        <v>-49</v>
      </c>
      <c r="AI37" s="286">
        <f t="shared" ref="AI37:AJ37" si="87">SUM(AI35:AI36)</f>
        <v>-27</v>
      </c>
      <c r="AJ37" s="258">
        <f t="shared" si="87"/>
        <v>-18</v>
      </c>
      <c r="AK37" s="1438">
        <f>SUM(AK35:AK36)</f>
        <v>-36</v>
      </c>
      <c r="AL37" s="1439">
        <f>SUM(AL35:AL36)</f>
        <v>-34.000000000000114</v>
      </c>
      <c r="AM37" s="1440">
        <f>SUM(AM35:AM36)</f>
        <v>-115.00000000000011</v>
      </c>
      <c r="AN37" s="286">
        <f t="shared" ref="AN37" si="88">SUM(AN35:AN36)</f>
        <v>-19</v>
      </c>
      <c r="AO37" s="258">
        <f t="shared" ref="AO37:AT37" si="89">SUM(AO35:AO36)</f>
        <v>-65</v>
      </c>
      <c r="AP37" s="1438">
        <f t="shared" si="89"/>
        <v>-33</v>
      </c>
      <c r="AQ37" s="1439">
        <f t="shared" si="89"/>
        <v>184.99999999999989</v>
      </c>
      <c r="AR37" s="1440">
        <f t="shared" si="89"/>
        <v>68</v>
      </c>
      <c r="AS37" s="286">
        <f t="shared" si="89"/>
        <v>-47.000000000000057</v>
      </c>
      <c r="AT37" s="258">
        <f t="shared" si="89"/>
        <v>-36</v>
      </c>
      <c r="AU37" s="258">
        <f t="shared" ref="AU37:AW37" si="90">SUM(AU35:AU36)</f>
        <v>-41.999999999999943</v>
      </c>
      <c r="AV37" s="1439">
        <f t="shared" si="90"/>
        <v>-93</v>
      </c>
      <c r="AW37" s="1440">
        <f t="shared" si="90"/>
        <v>-218</v>
      </c>
      <c r="AX37" s="973">
        <f t="shared" ref="AX37:BB37" si="91">SUM(AX35:AX36)</f>
        <v>-34.27471523808029</v>
      </c>
      <c r="AY37" s="974">
        <f t="shared" ca="1" si="91"/>
        <v>-59.067748926509658</v>
      </c>
      <c r="AZ37" s="974">
        <f t="shared" ca="1" si="91"/>
        <v>-33.91576324643961</v>
      </c>
      <c r="BA37" s="975">
        <f t="shared" ca="1" si="91"/>
        <v>-67.563076950230808</v>
      </c>
      <c r="BB37" s="976">
        <f t="shared" ca="1" si="91"/>
        <v>-194.82130436126036</v>
      </c>
      <c r="BC37" s="973">
        <f t="shared" ref="BC37:BL37" ca="1" si="92">SUM(BC35:BC36)</f>
        <v>-32.495486620383112</v>
      </c>
      <c r="BD37" s="974">
        <f t="shared" ca="1" si="92"/>
        <v>-53.067688774849948</v>
      </c>
      <c r="BE37" s="974">
        <f t="shared" ca="1" si="92"/>
        <v>-31.227526619015087</v>
      </c>
      <c r="BF37" s="975">
        <f t="shared" ca="1" si="92"/>
        <v>-47.671788444254318</v>
      </c>
      <c r="BG37" s="976">
        <f t="shared" ca="1" si="92"/>
        <v>-164.46249045850212</v>
      </c>
      <c r="BH37" s="973">
        <f t="shared" ca="1" si="92"/>
        <v>-36.138971251126833</v>
      </c>
      <c r="BI37" s="974">
        <f t="shared" ca="1" si="92"/>
        <v>-49.830555819134815</v>
      </c>
      <c r="BJ37" s="974">
        <f t="shared" ca="1" si="92"/>
        <v>-47.975817674387891</v>
      </c>
      <c r="BK37" s="975">
        <f t="shared" ca="1" si="92"/>
        <v>-57.884413680672466</v>
      </c>
      <c r="BL37" s="976">
        <f t="shared" ca="1" si="92"/>
        <v>-191.82975842532164</v>
      </c>
      <c r="BM37" s="973">
        <f t="shared" ref="BM37:BQ37" ca="1" si="93">SUM(BM35:BM36)</f>
        <v>-45.590777775589615</v>
      </c>
      <c r="BN37" s="974">
        <f t="shared" ca="1" si="93"/>
        <v>-51.403218280504852</v>
      </c>
      <c r="BO37" s="974">
        <f t="shared" ca="1" si="93"/>
        <v>-64.948523465061442</v>
      </c>
      <c r="BP37" s="975">
        <f t="shared" ca="1" si="93"/>
        <v>-71.649230476402067</v>
      </c>
      <c r="BQ37" s="976">
        <f t="shared" ca="1" si="93"/>
        <v>-233.59174999755794</v>
      </c>
    </row>
    <row r="38" spans="1:100" s="1" customFormat="1">
      <c r="C38" s="32"/>
      <c r="E38" s="286"/>
      <c r="F38" s="258"/>
      <c r="G38" s="258"/>
      <c r="H38" s="287"/>
      <c r="I38" s="341"/>
      <c r="J38" s="286"/>
      <c r="K38" s="258"/>
      <c r="L38" s="258"/>
      <c r="M38" s="287"/>
      <c r="N38" s="341"/>
      <c r="O38" s="286"/>
      <c r="P38" s="258"/>
      <c r="Q38" s="258"/>
      <c r="R38" s="287"/>
      <c r="S38" s="341"/>
      <c r="T38" s="286"/>
      <c r="U38" s="258"/>
      <c r="V38" s="258"/>
      <c r="W38" s="287"/>
      <c r="X38" s="341"/>
      <c r="Y38" s="286"/>
      <c r="Z38" s="258"/>
      <c r="AA38" s="1438"/>
      <c r="AB38" s="1439"/>
      <c r="AC38" s="1440"/>
      <c r="AD38" s="286"/>
      <c r="AE38" s="258"/>
      <c r="AF38" s="1438"/>
      <c r="AG38" s="1439"/>
      <c r="AH38" s="1440"/>
      <c r="AI38" s="286"/>
      <c r="AJ38" s="258"/>
      <c r="AK38" s="1438"/>
      <c r="AL38" s="1439"/>
      <c r="AM38" s="1440"/>
      <c r="AN38" s="286"/>
      <c r="AO38" s="258"/>
      <c r="AP38" s="1438"/>
      <c r="AQ38" s="1439"/>
      <c r="AR38" s="1440"/>
      <c r="AS38" s="286"/>
      <c r="AT38" s="258"/>
      <c r="AU38" s="258"/>
      <c r="AV38" s="1439"/>
      <c r="AW38" s="1440"/>
      <c r="AX38" s="973"/>
      <c r="AY38" s="974"/>
      <c r="AZ38" s="974"/>
      <c r="BA38" s="975"/>
      <c r="BB38" s="976"/>
      <c r="BC38" s="973"/>
      <c r="BD38" s="974"/>
      <c r="BE38" s="974"/>
      <c r="BF38" s="975"/>
      <c r="BG38" s="976"/>
      <c r="BH38" s="973"/>
      <c r="BI38" s="974"/>
      <c r="BJ38" s="974"/>
      <c r="BK38" s="975"/>
      <c r="BL38" s="976"/>
      <c r="BM38" s="973"/>
      <c r="BN38" s="974"/>
      <c r="BO38" s="974"/>
      <c r="BP38" s="975"/>
      <c r="BQ38" s="976"/>
    </row>
    <row r="39" spans="1:100" s="1" customFormat="1">
      <c r="C39" s="28" t="s">
        <v>333</v>
      </c>
      <c r="D39" s="28"/>
      <c r="E39" s="918">
        <f>+EXC!E49</f>
        <v>659</v>
      </c>
      <c r="F39" s="919">
        <f>+EXC!F49</f>
        <v>659</v>
      </c>
      <c r="G39" s="919">
        <f>+EXC!G49</f>
        <v>660</v>
      </c>
      <c r="H39" s="920">
        <f>+EXC!H49</f>
        <v>660</v>
      </c>
      <c r="I39" s="868">
        <f>+EXC!I49</f>
        <v>659</v>
      </c>
      <c r="J39" s="918">
        <f>+EXC!J49</f>
        <v>661</v>
      </c>
      <c r="K39" s="919">
        <f>+EXC!K49</f>
        <v>661</v>
      </c>
      <c r="L39" s="919">
        <f>+EXC!L49</f>
        <v>662</v>
      </c>
      <c r="M39" s="920">
        <f>+EXC!M49</f>
        <v>662</v>
      </c>
      <c r="N39" s="868">
        <f>+EXC!N49</f>
        <v>661</v>
      </c>
      <c r="O39" s="918">
        <f>+EXC!O49</f>
        <v>662</v>
      </c>
      <c r="P39" s="919">
        <f>+EXC!P49</f>
        <v>663</v>
      </c>
      <c r="Q39" s="919">
        <f>+EXC!Q49</f>
        <v>663</v>
      </c>
      <c r="R39" s="920">
        <f>+EXC!R49</f>
        <v>664</v>
      </c>
      <c r="S39" s="868">
        <f>+EXC!S49</f>
        <v>663</v>
      </c>
      <c r="T39" s="918">
        <f>+EXC!T49</f>
        <v>705</v>
      </c>
      <c r="U39" s="919">
        <f>+EXC!U49</f>
        <v>853</v>
      </c>
      <c r="V39" s="919">
        <f>+EXC!V49</f>
        <v>854</v>
      </c>
      <c r="W39" s="920">
        <f>+EXC!W49</f>
        <v>816</v>
      </c>
      <c r="X39" s="868">
        <f>+EXC!X49</f>
        <v>816</v>
      </c>
      <c r="Y39" s="918">
        <f>+EXC!Y49</f>
        <v>855</v>
      </c>
      <c r="Z39" s="919">
        <f>+EXC!Z49</f>
        <v>856</v>
      </c>
      <c r="AA39" s="346">
        <f>+EXC!AA49</f>
        <v>857</v>
      </c>
      <c r="AB39" s="347">
        <f>+EXC!AB49</f>
        <v>857</v>
      </c>
      <c r="AC39" s="349">
        <f>+EXC!AC49</f>
        <v>856</v>
      </c>
      <c r="AD39" s="918">
        <f>+EXC!AD49</f>
        <v>858</v>
      </c>
      <c r="AE39" s="919">
        <f>+EXC!AE49</f>
        <v>860</v>
      </c>
      <c r="AF39" s="346">
        <f>+EXC!AF49</f>
        <v>861</v>
      </c>
      <c r="AG39" s="347">
        <f>+EXC!AG49</f>
        <v>861</v>
      </c>
      <c r="AH39" s="349">
        <f>+EXC!AH49</f>
        <v>860</v>
      </c>
      <c r="AI39" s="918">
        <f>+EXC!AI49</f>
        <v>862</v>
      </c>
      <c r="AJ39" s="919">
        <f>+EXC!AJ49</f>
        <v>863</v>
      </c>
      <c r="AK39" s="346">
        <f>+EXC!AK49</f>
        <v>913</v>
      </c>
      <c r="AL39" s="347">
        <f>+EXC!AL49</f>
        <v>921</v>
      </c>
      <c r="AM39" s="349">
        <f>+EXC!AM49</f>
        <v>890</v>
      </c>
      <c r="AN39" s="918">
        <f>+EXC!AN49</f>
        <v>923</v>
      </c>
      <c r="AO39" s="919">
        <f>+EXC!AO49</f>
        <v>924</v>
      </c>
      <c r="AP39" s="346">
        <f>+EXC!AP49</f>
        <v>925</v>
      </c>
      <c r="AQ39" s="347">
        <f>+EXC!AQ49</f>
        <v>925</v>
      </c>
      <c r="AR39" s="349">
        <f>+EXC!AR49</f>
        <v>924</v>
      </c>
      <c r="AS39" s="918">
        <f>+EXC!AS49</f>
        <v>928</v>
      </c>
      <c r="AT39" s="919">
        <f>+EXC!AT49</f>
        <v>934</v>
      </c>
      <c r="AU39" s="919">
        <f>+EXC!AU49</f>
        <v>962</v>
      </c>
      <c r="AV39" s="347">
        <f>+EXC!AV49</f>
        <v>964</v>
      </c>
      <c r="AW39" s="349">
        <f>+EXC!AW49</f>
        <v>947</v>
      </c>
      <c r="AX39" s="985">
        <f>+EXC!AX49</f>
        <v>963</v>
      </c>
      <c r="AY39" s="986">
        <f>+EXC!AY49</f>
        <v>963</v>
      </c>
      <c r="AZ39" s="986">
        <f>+EXC!AZ49</f>
        <v>963</v>
      </c>
      <c r="BA39" s="987">
        <f>+EXC!BA49</f>
        <v>963</v>
      </c>
      <c r="BB39" s="988">
        <f>+EXC!BB49</f>
        <v>963</v>
      </c>
      <c r="BC39" s="985">
        <f>+EXC!BC49</f>
        <v>963</v>
      </c>
      <c r="BD39" s="986">
        <f>+EXC!BD49</f>
        <v>963</v>
      </c>
      <c r="BE39" s="986">
        <f>+EXC!BE49</f>
        <v>963</v>
      </c>
      <c r="BF39" s="987">
        <f>+EXC!BF49</f>
        <v>963</v>
      </c>
      <c r="BG39" s="988">
        <f>+EXC!BG49</f>
        <v>963</v>
      </c>
      <c r="BH39" s="985">
        <f>+EXC!BH49</f>
        <v>963</v>
      </c>
      <c r="BI39" s="986">
        <f>+EXC!BI49</f>
        <v>963</v>
      </c>
      <c r="BJ39" s="986">
        <f>+EXC!BJ49</f>
        <v>963</v>
      </c>
      <c r="BK39" s="987">
        <f>+EXC!BK49</f>
        <v>963</v>
      </c>
      <c r="BL39" s="988">
        <f>+EXC!BL49</f>
        <v>963</v>
      </c>
      <c r="BM39" s="985">
        <f>+EXC!BM49</f>
        <v>963</v>
      </c>
      <c r="BN39" s="986">
        <f>+EXC!BN49</f>
        <v>963</v>
      </c>
      <c r="BO39" s="986">
        <f>+EXC!BO49</f>
        <v>963</v>
      </c>
      <c r="BP39" s="987">
        <f>+EXC!BP49</f>
        <v>963</v>
      </c>
      <c r="BQ39" s="988">
        <f>+EXC!BQ49</f>
        <v>963</v>
      </c>
    </row>
    <row r="40" spans="1:100" s="1" customFormat="1">
      <c r="C40" s="28" t="s">
        <v>334</v>
      </c>
      <c r="D40" s="28"/>
      <c r="E40" s="918">
        <f>+EXC!E50</f>
        <v>661</v>
      </c>
      <c r="F40" s="919">
        <f>+EXC!F50</f>
        <v>661</v>
      </c>
      <c r="G40" s="919">
        <f>+EXC!G50</f>
        <v>662</v>
      </c>
      <c r="H40" s="920">
        <f>+EXC!H50</f>
        <v>662</v>
      </c>
      <c r="I40" s="868">
        <f>EXC!I50</f>
        <v>662</v>
      </c>
      <c r="J40" s="918">
        <f>+EXC!J50</f>
        <v>662</v>
      </c>
      <c r="K40" s="919">
        <f>+EXC!K50</f>
        <v>662</v>
      </c>
      <c r="L40" s="919">
        <f>+EXC!L50</f>
        <v>663</v>
      </c>
      <c r="M40" s="920">
        <f>+EXC!M50</f>
        <v>663</v>
      </c>
      <c r="N40" s="868">
        <f>EXC!N50</f>
        <v>663</v>
      </c>
      <c r="O40" s="918">
        <f>+EXC!O50</f>
        <v>664</v>
      </c>
      <c r="P40" s="919">
        <f>+EXC!P50</f>
        <v>664</v>
      </c>
      <c r="Q40" s="919">
        <f>+EXC!Q50</f>
        <v>665</v>
      </c>
      <c r="R40" s="920">
        <f>+EXC!R50</f>
        <v>666</v>
      </c>
      <c r="S40" s="868">
        <f>EXC!S50</f>
        <v>665</v>
      </c>
      <c r="T40" s="918">
        <f>+EXC!T50</f>
        <v>707</v>
      </c>
      <c r="U40" s="919">
        <f>+EXC!U50</f>
        <v>856</v>
      </c>
      <c r="V40" s="919">
        <f>+EXC!V50</f>
        <v>857</v>
      </c>
      <c r="W40" s="920">
        <f>+EXC!W50</f>
        <v>819</v>
      </c>
      <c r="X40" s="868">
        <f>+EXC!X50</f>
        <v>819</v>
      </c>
      <c r="Y40" s="918">
        <f>+EXC!Y50</f>
        <v>855</v>
      </c>
      <c r="Z40" s="919">
        <f>+EXC!Z50</f>
        <v>860</v>
      </c>
      <c r="AA40" s="346">
        <f>+EXC!AA50</f>
        <v>860</v>
      </c>
      <c r="AB40" s="347">
        <f>+EXC!AB50</f>
        <v>861</v>
      </c>
      <c r="AC40" s="349">
        <f>+EXC!AC50</f>
        <v>860</v>
      </c>
      <c r="AD40" s="918">
        <f>+EXC!AD50</f>
        <v>861</v>
      </c>
      <c r="AE40" s="919">
        <f>+EXC!AE50</f>
        <v>864</v>
      </c>
      <c r="AF40" s="346">
        <f>+EXC!AF50</f>
        <v>863</v>
      </c>
      <c r="AG40" s="347">
        <f>+EXC!AG50</f>
        <v>868</v>
      </c>
      <c r="AH40" s="349">
        <f>+EXC!AH50</f>
        <v>864</v>
      </c>
      <c r="AI40" s="918">
        <f>+EXC!AI50</f>
        <v>867</v>
      </c>
      <c r="AJ40" s="919">
        <f>+EXC!AJ50</f>
        <v>864</v>
      </c>
      <c r="AK40" s="346">
        <f>+EXC!AK50</f>
        <v>915</v>
      </c>
      <c r="AL40" s="347">
        <f>+EXC!AL50</f>
        <v>924</v>
      </c>
      <c r="AM40" s="349">
        <f>+EXC!AM50</f>
        <v>893</v>
      </c>
      <c r="AN40" s="918">
        <f>+EXC!AN50</f>
        <v>925</v>
      </c>
      <c r="AO40" s="919">
        <f>+EXC!AO50</f>
        <v>926</v>
      </c>
      <c r="AP40" s="346">
        <f>+EXC!AP50</f>
        <v>927</v>
      </c>
      <c r="AQ40" s="347">
        <f>+EXC!AQ50</f>
        <v>928</v>
      </c>
      <c r="AR40" s="349">
        <f>+EXC!AR50</f>
        <v>927</v>
      </c>
      <c r="AS40" s="918">
        <f>+EXC!AS50</f>
        <v>930</v>
      </c>
      <c r="AT40" s="919">
        <f>+EXC!AT50</f>
        <v>936</v>
      </c>
      <c r="AU40" s="919">
        <f>+EXC!AU50</f>
        <v>965</v>
      </c>
      <c r="AV40" s="347">
        <f>+EXC!AV50</f>
        <v>967</v>
      </c>
      <c r="AW40" s="349">
        <f>+EXC!AW50</f>
        <v>949</v>
      </c>
      <c r="AX40" s="985">
        <f>+EXC!AX50</f>
        <v>966</v>
      </c>
      <c r="AY40" s="986">
        <f>+EXC!AY50</f>
        <v>966</v>
      </c>
      <c r="AZ40" s="986">
        <f>+EXC!AZ50</f>
        <v>966</v>
      </c>
      <c r="BA40" s="987">
        <f>+EXC!BA50</f>
        <v>966</v>
      </c>
      <c r="BB40" s="988">
        <f>EXC!BB50</f>
        <v>966</v>
      </c>
      <c r="BC40" s="985">
        <f>+EXC!BC50</f>
        <v>966</v>
      </c>
      <c r="BD40" s="986">
        <f>+EXC!BD50</f>
        <v>966</v>
      </c>
      <c r="BE40" s="986">
        <f>+EXC!BE50</f>
        <v>966</v>
      </c>
      <c r="BF40" s="987">
        <f>+EXC!BF50</f>
        <v>966</v>
      </c>
      <c r="BG40" s="988">
        <f>EXC!BG50</f>
        <v>966</v>
      </c>
      <c r="BH40" s="985">
        <f>+EXC!BH50</f>
        <v>966</v>
      </c>
      <c r="BI40" s="986">
        <f>+EXC!BI50</f>
        <v>966</v>
      </c>
      <c r="BJ40" s="986">
        <f>+EXC!BJ50</f>
        <v>966</v>
      </c>
      <c r="BK40" s="987">
        <f>+EXC!BK50</f>
        <v>966</v>
      </c>
      <c r="BL40" s="988">
        <f>EXC!BL50</f>
        <v>966</v>
      </c>
      <c r="BM40" s="985">
        <f>+EXC!BM50</f>
        <v>966</v>
      </c>
      <c r="BN40" s="986">
        <f>+EXC!BN50</f>
        <v>966</v>
      </c>
      <c r="BO40" s="986">
        <f>+EXC!BO50</f>
        <v>966</v>
      </c>
      <c r="BP40" s="987">
        <f>+EXC!BP50</f>
        <v>966</v>
      </c>
      <c r="BQ40" s="988">
        <f>EXC!BQ50</f>
        <v>966</v>
      </c>
    </row>
    <row r="41" spans="1:100" s="1" customFormat="1">
      <c r="C41" s="28"/>
      <c r="D41" s="28"/>
      <c r="E41" s="918"/>
      <c r="F41" s="919"/>
      <c r="G41" s="919"/>
      <c r="H41" s="920"/>
      <c r="I41" s="868"/>
      <c r="J41" s="918"/>
      <c r="K41" s="919"/>
      <c r="L41" s="919"/>
      <c r="M41" s="920"/>
      <c r="N41" s="868"/>
      <c r="O41" s="918"/>
      <c r="P41" s="919"/>
      <c r="Q41" s="919"/>
      <c r="R41" s="920"/>
      <c r="S41" s="868"/>
      <c r="T41" s="918"/>
      <c r="U41" s="919"/>
      <c r="V41" s="919"/>
      <c r="W41" s="920"/>
      <c r="X41" s="868"/>
      <c r="Y41" s="918"/>
      <c r="Z41" s="919"/>
      <c r="AA41" s="346"/>
      <c r="AB41" s="347"/>
      <c r="AC41" s="349"/>
      <c r="AD41" s="918"/>
      <c r="AE41" s="919"/>
      <c r="AF41" s="346"/>
      <c r="AG41" s="347"/>
      <c r="AH41" s="349"/>
      <c r="AI41" s="918"/>
      <c r="AJ41" s="919"/>
      <c r="AK41" s="346"/>
      <c r="AL41" s="347"/>
      <c r="AM41" s="349"/>
      <c r="AN41" s="918"/>
      <c r="AO41" s="919"/>
      <c r="AP41" s="346"/>
      <c r="AQ41" s="347"/>
      <c r="AR41" s="349"/>
      <c r="AS41" s="918"/>
      <c r="AT41" s="919"/>
      <c r="AU41" s="919"/>
      <c r="AV41" s="347"/>
      <c r="AW41" s="349"/>
      <c r="AX41" s="918"/>
      <c r="AY41" s="919"/>
      <c r="AZ41" s="919"/>
      <c r="BA41" s="920"/>
      <c r="BB41" s="868"/>
      <c r="BC41" s="918"/>
      <c r="BD41" s="919"/>
      <c r="BE41" s="919"/>
      <c r="BF41" s="920"/>
      <c r="BG41" s="868"/>
      <c r="BH41" s="918"/>
      <c r="BI41" s="919"/>
      <c r="BJ41" s="919"/>
      <c r="BK41" s="920"/>
      <c r="BL41" s="868"/>
      <c r="BM41" s="918"/>
      <c r="BN41" s="919"/>
      <c r="BO41" s="919"/>
      <c r="BP41" s="920"/>
      <c r="BQ41" s="868"/>
    </row>
    <row r="42" spans="1:100" s="1" customFormat="1">
      <c r="C42" s="28" t="s">
        <v>447</v>
      </c>
      <c r="D42" s="28"/>
      <c r="E42" s="370">
        <f t="shared" ref="E42:N42" si="94">E35/E40</f>
        <v>-6.3540090771558241E-2</v>
      </c>
      <c r="F42" s="371">
        <f t="shared" si="94"/>
        <v>-6.2027231467473527E-2</v>
      </c>
      <c r="G42" s="371">
        <f t="shared" si="94"/>
        <v>-5.5891238670694864E-2</v>
      </c>
      <c r="H42" s="372">
        <f t="shared" si="94"/>
        <v>-2.7190332326283987E-2</v>
      </c>
      <c r="I42" s="373">
        <f t="shared" si="94"/>
        <v>-0.20845921450151059</v>
      </c>
      <c r="J42" s="370">
        <f t="shared" si="94"/>
        <v>-4.2296072507552872E-2</v>
      </c>
      <c r="K42" s="371">
        <f t="shared" si="94"/>
        <v>-3.0211480362537766E-2</v>
      </c>
      <c r="L42" s="371">
        <f t="shared" si="94"/>
        <v>-1.0558069381598794E-2</v>
      </c>
      <c r="M42" s="372">
        <f t="shared" si="94"/>
        <v>-1.6591251885369532E-2</v>
      </c>
      <c r="N42" s="373">
        <f t="shared" si="94"/>
        <v>-9.9547511312217188E-2</v>
      </c>
      <c r="O42" s="370">
        <f t="shared" ref="O42:S42" si="95">O35/O40</f>
        <v>-3.1626506024096383E-2</v>
      </c>
      <c r="P42" s="371">
        <f t="shared" si="95"/>
        <v>-2.86144578313253E-2</v>
      </c>
      <c r="Q42" s="371">
        <f t="shared" si="95"/>
        <v>-1.5037593984962407E-3</v>
      </c>
      <c r="R42" s="372">
        <f t="shared" si="95"/>
        <v>-5.4054054054054057E-2</v>
      </c>
      <c r="S42" s="373">
        <f t="shared" si="95"/>
        <v>-0.11578947368421053</v>
      </c>
      <c r="T42" s="370">
        <f t="shared" ref="T42:Z42" si="96">T35/T40</f>
        <v>-0.22206506364922207</v>
      </c>
      <c r="U42" s="371">
        <f t="shared" si="96"/>
        <v>-1.6355140186915886E-2</v>
      </c>
      <c r="V42" s="371">
        <f t="shared" si="96"/>
        <v>-3.5005834305717621E-3</v>
      </c>
      <c r="W42" s="372">
        <f t="shared" si="96"/>
        <v>-1.7094017094017304E-2</v>
      </c>
      <c r="X42" s="373">
        <f t="shared" si="96"/>
        <v>-0.18192918192918192</v>
      </c>
      <c r="Y42" s="370">
        <f t="shared" si="96"/>
        <v>-0.12046783625730995</v>
      </c>
      <c r="Z42" s="371">
        <f t="shared" si="96"/>
        <v>-3.4883720930232558E-2</v>
      </c>
      <c r="AA42" s="364">
        <f t="shared" ref="AA42:AF42" si="97">AA35/AA40</f>
        <v>-2.3255813953488372E-2</v>
      </c>
      <c r="AB42" s="365">
        <f t="shared" si="97"/>
        <v>-3.7166085946573883E-2</v>
      </c>
      <c r="AC42" s="366">
        <f t="shared" si="97"/>
        <v>-0.21511627906976744</v>
      </c>
      <c r="AD42" s="370">
        <f t="shared" si="97"/>
        <v>3.4843205574912892E-3</v>
      </c>
      <c r="AE42" s="371">
        <f t="shared" si="97"/>
        <v>-3.3564814814814818E-2</v>
      </c>
      <c r="AF42" s="364">
        <f t="shared" si="97"/>
        <v>-3.5921205098493593E-2</v>
      </c>
      <c r="AG42" s="365">
        <f t="shared" ref="AG42:AK42" si="98">AG35/AG40</f>
        <v>-0.13018433179723504</v>
      </c>
      <c r="AH42" s="366">
        <f t="shared" si="98"/>
        <v>-0.19675925925925927</v>
      </c>
      <c r="AI42" s="370">
        <f t="shared" si="98"/>
        <v>-9.8039215686274508E-2</v>
      </c>
      <c r="AJ42" s="371">
        <f t="shared" si="98"/>
        <v>3.125E-2</v>
      </c>
      <c r="AK42" s="364">
        <f t="shared" si="98"/>
        <v>-4.1530054644808745E-2</v>
      </c>
      <c r="AL42" s="365">
        <f t="shared" ref="AL42:AN42" si="99">AL35/AL40</f>
        <v>-9.3073593073593197E-2</v>
      </c>
      <c r="AM42" s="366">
        <f t="shared" si="99"/>
        <v>-0.20380739081746932</v>
      </c>
      <c r="AN42" s="370">
        <f t="shared" si="99"/>
        <v>-0.51243243243243242</v>
      </c>
      <c r="AO42" s="371">
        <f>AO35/AO40</f>
        <v>-7.0194384449244057E-2</v>
      </c>
      <c r="AP42" s="364">
        <f>AP35/AP40</f>
        <v>-0.13915857605177995</v>
      </c>
      <c r="AQ42" s="365">
        <f>AQ35/AQ40</f>
        <v>-7.2198275862069089E-2</v>
      </c>
      <c r="AR42" s="366">
        <f t="shared" ref="AR42" si="100">AR35/AR40</f>
        <v>-0.79288025889967639</v>
      </c>
      <c r="AS42" s="370">
        <f>AS35/AS40</f>
        <v>3.8709677419354778E-2</v>
      </c>
      <c r="AT42" s="371">
        <f>AT35/AT40</f>
        <v>9.6153846153846159E-3</v>
      </c>
      <c r="AU42" s="371">
        <f t="shared" ref="AU42" si="101">AU35/AU40</f>
        <v>-3.1088082901553817E-3</v>
      </c>
      <c r="AV42" s="365">
        <f>AV35/AV40</f>
        <v>-0.70010341261633924</v>
      </c>
      <c r="AW42" s="366">
        <f t="shared" ref="AW42" si="102">AW35/AW40</f>
        <v>-0.66912539515279246</v>
      </c>
      <c r="AX42" s="370">
        <f t="shared" ref="AX42:BB42" si="103">AX35/AX40</f>
        <v>-3.5481071675031353E-2</v>
      </c>
      <c r="AY42" s="371">
        <f t="shared" ca="1" si="103"/>
        <v>-6.1146738019161137E-2</v>
      </c>
      <c r="AZ42" s="371">
        <f t="shared" ca="1" si="103"/>
        <v>-3.5109485762359845E-2</v>
      </c>
      <c r="BA42" s="372">
        <f t="shared" ca="1" si="103"/>
        <v>-6.9941073447443908E-2</v>
      </c>
      <c r="BB42" s="373">
        <f t="shared" ca="1" si="103"/>
        <v>-0.20167836890399624</v>
      </c>
      <c r="BC42" s="370">
        <f t="shared" ref="BC42:BL42" ca="1" si="104">BC35/BC40</f>
        <v>-3.3639220103916262E-2</v>
      </c>
      <c r="BD42" s="371">
        <f t="shared" ca="1" si="104"/>
        <v>-5.4935495626138663E-2</v>
      </c>
      <c r="BE42" s="371">
        <f t="shared" ca="1" si="104"/>
        <v>-3.2326632110781663E-2</v>
      </c>
      <c r="BF42" s="372">
        <f t="shared" ca="1" si="104"/>
        <v>-4.9349677478524138E-2</v>
      </c>
      <c r="BG42" s="373">
        <f t="shared" ca="1" si="104"/>
        <v>-0.17025102531936037</v>
      </c>
      <c r="BH42" s="370">
        <f t="shared" ca="1" si="104"/>
        <v>-3.7410943324147863E-2</v>
      </c>
      <c r="BI42" s="371">
        <f t="shared" ca="1" si="104"/>
        <v>-5.1584426313804159E-2</v>
      </c>
      <c r="BJ42" s="371">
        <f t="shared" ca="1" si="104"/>
        <v>-4.9664407530422248E-2</v>
      </c>
      <c r="BK42" s="372">
        <f t="shared" ca="1" si="104"/>
        <v>-5.9921753292621602E-2</v>
      </c>
      <c r="BL42" s="373">
        <f t="shared" ca="1" si="104"/>
        <v>-0.1985815304609955</v>
      </c>
      <c r="BM42" s="370">
        <f t="shared" ref="BM42:BQ42" ca="1" si="105">BM35/BM40</f>
        <v>-4.7195422127939562E-2</v>
      </c>
      <c r="BN42" s="371">
        <f t="shared" ca="1" si="105"/>
        <v>-5.3212441284166516E-2</v>
      </c>
      <c r="BO42" s="371">
        <f t="shared" ca="1" si="105"/>
        <v>-6.723449634064331E-2</v>
      </c>
      <c r="BP42" s="372">
        <f t="shared" ca="1" si="105"/>
        <v>-7.417104604182409E-2</v>
      </c>
      <c r="BQ42" s="373">
        <f t="shared" ca="1" si="105"/>
        <v>-0.24181340579457344</v>
      </c>
    </row>
    <row r="43" spans="1:100" s="1" customFormat="1">
      <c r="C43" s="367" t="s">
        <v>445</v>
      </c>
      <c r="D43" s="368"/>
      <c r="E43" s="355">
        <f t="shared" ref="E43:N43" si="106">E37/E40</f>
        <v>-5.2950075642965201E-2</v>
      </c>
      <c r="F43" s="356">
        <f t="shared" si="106"/>
        <v>-3.4795763993948563E-2</v>
      </c>
      <c r="G43" s="356">
        <f t="shared" si="106"/>
        <v>-1.5105740181268883E-2</v>
      </c>
      <c r="H43" s="357">
        <f t="shared" si="106"/>
        <v>-1.6616314199395771E-2</v>
      </c>
      <c r="I43" s="358">
        <f t="shared" si="106"/>
        <v>-0.11933534743202417</v>
      </c>
      <c r="J43" s="355">
        <f t="shared" si="106"/>
        <v>-1.812688821752266E-2</v>
      </c>
      <c r="K43" s="356">
        <f t="shared" si="106"/>
        <v>-2.1148036253776436E-2</v>
      </c>
      <c r="L43" s="356">
        <f t="shared" si="106"/>
        <v>-1.2066365007541479E-2</v>
      </c>
      <c r="M43" s="357">
        <f t="shared" si="106"/>
        <v>-1.8099547511312219E-2</v>
      </c>
      <c r="N43" s="358">
        <f t="shared" si="106"/>
        <v>-6.9381598793363503E-2</v>
      </c>
      <c r="O43" s="355">
        <f t="shared" ref="O43:S43" si="107">O37/O40</f>
        <v>-2.710843373493976E-2</v>
      </c>
      <c r="P43" s="356">
        <f t="shared" si="107"/>
        <v>-9.0361445783132526E-3</v>
      </c>
      <c r="Q43" s="356">
        <f t="shared" si="107"/>
        <v>6.0150375939849628E-3</v>
      </c>
      <c r="R43" s="357">
        <f t="shared" si="107"/>
        <v>-1.5015015015015015E-2</v>
      </c>
      <c r="S43" s="358">
        <f t="shared" si="107"/>
        <v>-4.5112781954887216E-2</v>
      </c>
      <c r="T43" s="355">
        <f t="shared" ref="T43:Z43" si="108">T37/T40</f>
        <v>0</v>
      </c>
      <c r="U43" s="356">
        <f t="shared" si="108"/>
        <v>-1.7523364485981307E-2</v>
      </c>
      <c r="V43" s="356">
        <f t="shared" si="108"/>
        <v>-1.2835472578763127E-2</v>
      </c>
      <c r="W43" s="357">
        <f t="shared" si="108"/>
        <v>1.6666666666666465E-2</v>
      </c>
      <c r="X43" s="358">
        <f t="shared" si="108"/>
        <v>-7.9365079365079361E-2</v>
      </c>
      <c r="Y43" s="355">
        <f t="shared" si="108"/>
        <v>-2.3391812865497075E-2</v>
      </c>
      <c r="Z43" s="356">
        <f t="shared" si="108"/>
        <v>-1.3953488372093023E-2</v>
      </c>
      <c r="AA43" s="592">
        <f t="shared" ref="AA43:AF43" si="109">AA37/AA40</f>
        <v>-1.7441860465116279E-2</v>
      </c>
      <c r="AB43" s="593">
        <f t="shared" si="109"/>
        <v>-1.7421602787456577E-2</v>
      </c>
      <c r="AC43" s="594">
        <f t="shared" si="109"/>
        <v>-7.2093023255813959E-2</v>
      </c>
      <c r="AD43" s="355">
        <f t="shared" si="109"/>
        <v>0</v>
      </c>
      <c r="AE43" s="356">
        <f t="shared" si="109"/>
        <v>-2.3148148148148147E-3</v>
      </c>
      <c r="AF43" s="592">
        <f t="shared" si="109"/>
        <v>-1.1587485515643073E-2</v>
      </c>
      <c r="AG43" s="593">
        <f t="shared" ref="AG43:AK43" si="110">AG37/AG40</f>
        <v>-4.2626728110599109E-2</v>
      </c>
      <c r="AH43" s="594">
        <f t="shared" si="110"/>
        <v>-5.6712962962962965E-2</v>
      </c>
      <c r="AI43" s="355">
        <f t="shared" si="110"/>
        <v>-3.1141868512110725E-2</v>
      </c>
      <c r="AJ43" s="356">
        <f t="shared" si="110"/>
        <v>-2.0833333333333332E-2</v>
      </c>
      <c r="AK43" s="592">
        <f t="shared" si="110"/>
        <v>-3.9344262295081971E-2</v>
      </c>
      <c r="AL43" s="593">
        <f t="shared" ref="AL43:AN43" si="111">AL37/AL40</f>
        <v>-3.6796536796536918E-2</v>
      </c>
      <c r="AM43" s="594">
        <f t="shared" si="111"/>
        <v>-0.12877939529675264</v>
      </c>
      <c r="AN43" s="355">
        <f t="shared" si="111"/>
        <v>-2.0540540540540539E-2</v>
      </c>
      <c r="AO43" s="356">
        <f>AO37/AO40</f>
        <v>-7.0194384449244057E-2</v>
      </c>
      <c r="AP43" s="592">
        <f>AP37/AP40</f>
        <v>-3.5598705501618123E-2</v>
      </c>
      <c r="AQ43" s="593">
        <f>AQ37/AQ40</f>
        <v>0.19935344827586193</v>
      </c>
      <c r="AR43" s="594">
        <f t="shared" ref="AR43" si="112">AR37/AR40</f>
        <v>7.3354908306364611E-2</v>
      </c>
      <c r="AS43" s="355">
        <f>AS37/AS40</f>
        <v>-5.0537634408602213E-2</v>
      </c>
      <c r="AT43" s="356">
        <f>AT37/AT40</f>
        <v>-3.8461538461538464E-2</v>
      </c>
      <c r="AU43" s="356">
        <f t="shared" ref="AU43" si="113">AU37/AU40</f>
        <v>-4.3523316062176104E-2</v>
      </c>
      <c r="AV43" s="593">
        <f>AV37/AV40</f>
        <v>-9.6173733195449848E-2</v>
      </c>
      <c r="AW43" s="594">
        <f t="shared" ref="AW43" si="114">AW37/AW40</f>
        <v>-0.22971548998946259</v>
      </c>
      <c r="AX43" s="355">
        <f t="shared" ref="AX43:BL43" si="115">AX37/AX40</f>
        <v>-3.5481071675031353E-2</v>
      </c>
      <c r="AY43" s="356">
        <f t="shared" ca="1" si="115"/>
        <v>-6.1146738019161137E-2</v>
      </c>
      <c r="AZ43" s="356">
        <f t="shared" ca="1" si="115"/>
        <v>-3.5109485762359845E-2</v>
      </c>
      <c r="BA43" s="357">
        <f t="shared" ca="1" si="115"/>
        <v>-6.9941073447443908E-2</v>
      </c>
      <c r="BB43" s="358">
        <f t="shared" ca="1" si="115"/>
        <v>-0.20167836890399624</v>
      </c>
      <c r="BC43" s="355">
        <f t="shared" ca="1" si="115"/>
        <v>-3.3639220103916262E-2</v>
      </c>
      <c r="BD43" s="356">
        <f t="shared" ca="1" si="115"/>
        <v>-5.4935495626138663E-2</v>
      </c>
      <c r="BE43" s="356">
        <f t="shared" ca="1" si="115"/>
        <v>-3.2326632110781663E-2</v>
      </c>
      <c r="BF43" s="357">
        <f t="shared" ca="1" si="115"/>
        <v>-4.9349677478524138E-2</v>
      </c>
      <c r="BG43" s="358">
        <f t="shared" ca="1" si="115"/>
        <v>-0.17025102531936037</v>
      </c>
      <c r="BH43" s="355">
        <f t="shared" ca="1" si="115"/>
        <v>-3.7410943324147863E-2</v>
      </c>
      <c r="BI43" s="356">
        <f t="shared" ca="1" si="115"/>
        <v>-5.1584426313804159E-2</v>
      </c>
      <c r="BJ43" s="356">
        <f t="shared" ca="1" si="115"/>
        <v>-4.9664407530422248E-2</v>
      </c>
      <c r="BK43" s="357">
        <f t="shared" ca="1" si="115"/>
        <v>-5.9921753292621602E-2</v>
      </c>
      <c r="BL43" s="358">
        <f t="shared" ca="1" si="115"/>
        <v>-0.1985815304609955</v>
      </c>
      <c r="BM43" s="355">
        <f t="shared" ref="BM43:BQ43" ca="1" si="116">BM37/BM40</f>
        <v>-4.7195422127939562E-2</v>
      </c>
      <c r="BN43" s="356">
        <f t="shared" ca="1" si="116"/>
        <v>-5.3212441284166516E-2</v>
      </c>
      <c r="BO43" s="356">
        <f t="shared" ca="1" si="116"/>
        <v>-6.723449634064331E-2</v>
      </c>
      <c r="BP43" s="357">
        <f t="shared" ca="1" si="116"/>
        <v>-7.417104604182409E-2</v>
      </c>
      <c r="BQ43" s="921">
        <f t="shared" ca="1" si="116"/>
        <v>-0.24181340579457344</v>
      </c>
    </row>
    <row r="44" spans="1:100">
      <c r="A44" s="40"/>
      <c r="B44" s="40"/>
      <c r="C44" s="223"/>
      <c r="D44" s="28"/>
      <c r="E44" s="303"/>
      <c r="F44" s="239"/>
      <c r="G44" s="239"/>
      <c r="H44" s="304"/>
      <c r="I44" s="766"/>
      <c r="J44" s="303"/>
      <c r="K44" s="239"/>
      <c r="L44" s="239"/>
      <c r="M44" s="304"/>
      <c r="N44" s="767"/>
      <c r="O44" s="303"/>
      <c r="P44" s="239"/>
      <c r="Q44" s="239"/>
      <c r="R44" s="304"/>
      <c r="S44" s="767"/>
      <c r="T44" s="303"/>
      <c r="U44" s="239"/>
      <c r="V44" s="239"/>
      <c r="W44" s="304"/>
      <c r="X44" s="767"/>
      <c r="Y44" s="303"/>
      <c r="Z44" s="239"/>
      <c r="AA44" s="239"/>
      <c r="AB44" s="304"/>
      <c r="AC44" s="767"/>
      <c r="AD44" s="303"/>
      <c r="AE44" s="239"/>
      <c r="AF44" s="239"/>
      <c r="AG44" s="304"/>
      <c r="AH44" s="767"/>
      <c r="AI44" s="303"/>
      <c r="AJ44" s="239"/>
      <c r="AK44" s="239"/>
      <c r="AL44" s="304"/>
      <c r="AM44" s="767"/>
      <c r="AN44" s="303"/>
      <c r="AO44" s="239"/>
      <c r="AP44" s="364"/>
      <c r="AQ44" s="304"/>
      <c r="AR44" s="767"/>
      <c r="AS44" s="303"/>
      <c r="AT44" s="239"/>
      <c r="AU44" s="239"/>
      <c r="AV44" s="304"/>
      <c r="AW44" s="767"/>
      <c r="AX44" s="2290"/>
      <c r="AY44" s="2291"/>
      <c r="AZ44" s="2291"/>
      <c r="BA44" s="2292"/>
      <c r="BB44" s="767"/>
      <c r="BC44" s="2290"/>
      <c r="BD44" s="2291"/>
      <c r="BE44" s="2291"/>
      <c r="BF44" s="2292"/>
      <c r="BG44" s="767"/>
      <c r="BH44" s="2290"/>
      <c r="BI44" s="2291"/>
      <c r="BJ44" s="2291"/>
      <c r="BK44" s="2292"/>
      <c r="BL44" s="767"/>
      <c r="BM44" s="2290"/>
      <c r="BN44" s="2291"/>
      <c r="BO44" s="2291"/>
      <c r="BP44" s="2292"/>
      <c r="BQ44" s="767"/>
      <c r="BR44" s="40"/>
      <c r="BS44" s="40"/>
      <c r="BT44" s="40"/>
      <c r="BU44" s="40"/>
      <c r="BV44" s="40"/>
      <c r="BW44" s="40"/>
      <c r="BX44" s="40"/>
      <c r="BY44" s="40"/>
      <c r="BZ44" s="40"/>
      <c r="CA44" s="40"/>
      <c r="CB44" s="232"/>
      <c r="CC44" s="232"/>
      <c r="CD44" s="232"/>
      <c r="CE44" s="232"/>
      <c r="CF44" s="232"/>
      <c r="CG44" s="232"/>
      <c r="CH44" s="232"/>
      <c r="CI44" s="232"/>
      <c r="CJ44" s="232"/>
      <c r="CK44" s="232"/>
      <c r="CL44" s="232"/>
      <c r="CM44" s="232"/>
      <c r="CN44" s="232"/>
      <c r="CO44" s="232"/>
      <c r="CP44" s="232"/>
      <c r="CQ44" s="232"/>
      <c r="CR44" s="232"/>
      <c r="CS44" s="232"/>
      <c r="CT44" s="232"/>
      <c r="CU44" s="232"/>
      <c r="CV44" s="232"/>
    </row>
    <row r="45" spans="1:100" s="1" customFormat="1">
      <c r="C45" s="28"/>
      <c r="E45" s="271"/>
      <c r="F45" s="17"/>
      <c r="G45" s="17"/>
      <c r="H45" s="272"/>
      <c r="I45" s="26"/>
      <c r="J45" s="271"/>
      <c r="K45" s="17"/>
      <c r="L45" s="17"/>
      <c r="M45" s="272"/>
      <c r="N45" s="26"/>
      <c r="O45" s="271"/>
      <c r="P45" s="17"/>
      <c r="Q45" s="17"/>
      <c r="R45" s="272"/>
      <c r="S45" s="26"/>
      <c r="T45" s="271"/>
      <c r="U45" s="17"/>
      <c r="V45" s="17"/>
      <c r="W45" s="272"/>
      <c r="X45" s="26"/>
      <c r="Y45" s="271"/>
      <c r="Z45" s="17"/>
      <c r="AA45" s="17"/>
      <c r="AB45" s="272"/>
      <c r="AC45" s="26"/>
      <c r="AD45" s="271"/>
      <c r="AE45" s="17"/>
      <c r="AF45" s="17"/>
      <c r="AG45" s="272"/>
      <c r="AH45" s="26"/>
      <c r="AI45" s="271"/>
      <c r="AJ45" s="17"/>
      <c r="AK45" s="17"/>
      <c r="AL45" s="272"/>
      <c r="AM45" s="26"/>
      <c r="AN45" s="271"/>
      <c r="AO45" s="17"/>
      <c r="AP45" s="17"/>
      <c r="AQ45" s="272"/>
      <c r="AR45" s="26"/>
      <c r="AS45" s="271"/>
      <c r="AT45" s="17"/>
      <c r="AU45" s="17"/>
      <c r="AV45" s="272"/>
      <c r="AW45" s="26"/>
      <c r="AX45" s="271"/>
      <c r="AY45" s="17"/>
      <c r="AZ45" s="17"/>
      <c r="BA45" s="272"/>
      <c r="BB45" s="26"/>
      <c r="BC45" s="271"/>
      <c r="BD45" s="17"/>
      <c r="BE45" s="17"/>
      <c r="BF45" s="272"/>
      <c r="BG45" s="26"/>
      <c r="BH45" s="271"/>
      <c r="BI45" s="17"/>
      <c r="BJ45" s="17"/>
      <c r="BK45" s="272"/>
      <c r="BL45" s="26"/>
      <c r="BM45" s="271"/>
      <c r="BN45" s="17"/>
      <c r="BO45" s="17"/>
      <c r="BP45" s="272"/>
      <c r="BQ45" s="26"/>
    </row>
    <row r="46" spans="1:100" s="1" customFormat="1">
      <c r="B46" s="210" t="s">
        <v>357</v>
      </c>
      <c r="C46" s="211"/>
      <c r="D46" s="211"/>
      <c r="E46" s="271"/>
      <c r="F46" s="17"/>
      <c r="G46" s="17"/>
      <c r="H46" s="272"/>
      <c r="I46" s="26"/>
      <c r="J46" s="271"/>
      <c r="K46" s="17"/>
      <c r="L46" s="17"/>
      <c r="M46" s="272"/>
      <c r="N46" s="26"/>
      <c r="O46" s="271"/>
      <c r="P46" s="17"/>
      <c r="Q46" s="17"/>
      <c r="R46" s="272"/>
      <c r="S46" s="26"/>
      <c r="T46" s="271"/>
      <c r="U46" s="17"/>
      <c r="V46" s="17"/>
      <c r="W46" s="272"/>
      <c r="X46" s="26"/>
      <c r="Y46" s="271"/>
      <c r="Z46" s="17"/>
      <c r="AA46" s="17"/>
      <c r="AB46" s="272"/>
      <c r="AC46" s="26"/>
      <c r="AD46" s="271"/>
      <c r="AE46" s="17"/>
      <c r="AF46" s="17"/>
      <c r="AG46" s="272"/>
      <c r="AH46" s="26"/>
      <c r="AI46" s="271"/>
      <c r="AJ46" s="17"/>
      <c r="AK46" s="17"/>
      <c r="AL46" s="272"/>
      <c r="AM46" s="26"/>
      <c r="AN46" s="271"/>
      <c r="AO46" s="17"/>
      <c r="AP46" s="17"/>
      <c r="AQ46" s="272"/>
      <c r="AR46" s="26"/>
      <c r="AS46" s="271"/>
      <c r="AT46" s="17"/>
      <c r="AU46" s="17"/>
      <c r="AV46" s="272"/>
      <c r="AW46" s="26"/>
      <c r="AX46" s="271"/>
      <c r="AY46" s="17"/>
      <c r="AZ46" s="17"/>
      <c r="BA46" s="272"/>
      <c r="BB46" s="26"/>
      <c r="BC46" s="271"/>
      <c r="BD46" s="17"/>
      <c r="BE46" s="17"/>
      <c r="BF46" s="272"/>
      <c r="BG46" s="26"/>
      <c r="BH46" s="271"/>
      <c r="BI46" s="17"/>
      <c r="BJ46" s="17"/>
      <c r="BK46" s="272"/>
      <c r="BL46" s="26"/>
      <c r="BM46" s="271"/>
      <c r="BN46" s="17"/>
      <c r="BO46" s="17"/>
      <c r="BP46" s="272"/>
      <c r="BQ46" s="26"/>
    </row>
    <row r="47" spans="1:100" s="1" customFormat="1">
      <c r="B47" s="232"/>
      <c r="C47" s="396" t="s">
        <v>236</v>
      </c>
      <c r="D47" s="232"/>
      <c r="E47" s="271"/>
      <c r="F47" s="17"/>
      <c r="G47" s="17"/>
      <c r="H47" s="272"/>
      <c r="I47" s="26"/>
      <c r="J47" s="271"/>
      <c r="K47" s="17"/>
      <c r="L47" s="17"/>
      <c r="M47" s="272"/>
      <c r="N47" s="26"/>
      <c r="O47" s="271"/>
      <c r="P47" s="17"/>
      <c r="Q47" s="17"/>
      <c r="R47" s="272"/>
      <c r="S47" s="26"/>
      <c r="T47" s="271"/>
      <c r="U47" s="17"/>
      <c r="V47" s="17"/>
      <c r="W47" s="272"/>
      <c r="X47" s="26"/>
      <c r="Y47" s="271"/>
      <c r="Z47" s="17"/>
      <c r="AA47" s="17"/>
      <c r="AB47" s="272"/>
      <c r="AC47" s="26"/>
      <c r="AD47" s="271"/>
      <c r="AE47" s="17"/>
      <c r="AF47" s="17"/>
      <c r="AG47" s="272"/>
      <c r="AH47" s="26"/>
      <c r="AI47" s="271"/>
      <c r="AJ47" s="17"/>
      <c r="AK47" s="17"/>
      <c r="AL47" s="272"/>
      <c r="AM47" s="26"/>
      <c r="AN47" s="271"/>
      <c r="AO47" s="17"/>
      <c r="AP47" s="17"/>
      <c r="AQ47" s="272"/>
      <c r="AR47" s="26"/>
      <c r="AS47" s="271"/>
      <c r="AT47" s="17"/>
      <c r="AU47" s="17"/>
      <c r="AV47" s="272"/>
      <c r="AW47" s="26"/>
      <c r="AX47" s="271"/>
      <c r="AY47" s="17"/>
      <c r="AZ47" s="17"/>
      <c r="BA47" s="272"/>
      <c r="BB47" s="26"/>
      <c r="BC47" s="271"/>
      <c r="BD47" s="17"/>
      <c r="BE47" s="17"/>
      <c r="BF47" s="272"/>
      <c r="BG47" s="26"/>
      <c r="BH47" s="271"/>
      <c r="BI47" s="17"/>
      <c r="BJ47" s="17"/>
      <c r="BK47" s="272"/>
      <c r="BL47" s="26"/>
      <c r="BM47" s="271"/>
      <c r="BN47" s="17"/>
      <c r="BO47" s="17"/>
      <c r="BP47" s="272"/>
      <c r="BQ47" s="26"/>
    </row>
    <row r="48" spans="1:100" s="1" customFormat="1">
      <c r="B48" s="232"/>
      <c r="C48" s="397" t="s">
        <v>234</v>
      </c>
      <c r="D48" s="232"/>
      <c r="E48" s="321">
        <f>E68</f>
        <v>0</v>
      </c>
      <c r="F48" s="346">
        <f t="shared" ref="F48:R49" si="117">F68</f>
        <v>0</v>
      </c>
      <c r="G48" s="346">
        <f t="shared" si="117"/>
        <v>0</v>
      </c>
      <c r="H48" s="347">
        <f t="shared" si="117"/>
        <v>0</v>
      </c>
      <c r="I48" s="349">
        <f t="shared" si="117"/>
        <v>0</v>
      </c>
      <c r="J48" s="345">
        <f t="shared" si="117"/>
        <v>0</v>
      </c>
      <c r="K48" s="346">
        <f t="shared" si="117"/>
        <v>0</v>
      </c>
      <c r="L48" s="346">
        <f t="shared" si="117"/>
        <v>0</v>
      </c>
      <c r="M48" s="347">
        <f t="shared" si="117"/>
        <v>0</v>
      </c>
      <c r="N48" s="349">
        <f t="shared" si="117"/>
        <v>0</v>
      </c>
      <c r="O48" s="345">
        <f t="shared" si="117"/>
        <v>0</v>
      </c>
      <c r="P48" s="346">
        <f t="shared" si="117"/>
        <v>0</v>
      </c>
      <c r="Q48" s="346">
        <f t="shared" si="117"/>
        <v>0</v>
      </c>
      <c r="R48" s="347">
        <f t="shared" si="117"/>
        <v>0</v>
      </c>
      <c r="S48" s="349">
        <f t="shared" ref="S48:U49" si="118">S68</f>
        <v>0</v>
      </c>
      <c r="T48" s="345">
        <f t="shared" si="118"/>
        <v>0</v>
      </c>
      <c r="U48" s="346">
        <f t="shared" si="118"/>
        <v>0</v>
      </c>
      <c r="V48" s="346">
        <f t="shared" ref="V48:Y49" si="119">V68</f>
        <v>1</v>
      </c>
      <c r="W48" s="347">
        <f t="shared" si="119"/>
        <v>0</v>
      </c>
      <c r="X48" s="349">
        <f t="shared" si="119"/>
        <v>1</v>
      </c>
      <c r="Y48" s="345">
        <f t="shared" si="119"/>
        <v>0</v>
      </c>
      <c r="Z48" s="346">
        <f>Z68</f>
        <v>0</v>
      </c>
      <c r="AA48" s="346">
        <f t="shared" ref="AA48:AD49" si="120">AA68</f>
        <v>0</v>
      </c>
      <c r="AB48" s="347">
        <f t="shared" si="120"/>
        <v>1</v>
      </c>
      <c r="AC48" s="349">
        <f t="shared" si="120"/>
        <v>1</v>
      </c>
      <c r="AD48" s="345">
        <f t="shared" si="120"/>
        <v>0</v>
      </c>
      <c r="AE48" s="346">
        <f>AE68</f>
        <v>1150</v>
      </c>
      <c r="AF48" s="346">
        <f t="shared" ref="AF48:AI48" si="121">AF68</f>
        <v>0</v>
      </c>
      <c r="AG48" s="347">
        <f t="shared" si="121"/>
        <v>1</v>
      </c>
      <c r="AH48" s="349">
        <f t="shared" si="121"/>
        <v>1151</v>
      </c>
      <c r="AI48" s="345">
        <f t="shared" si="121"/>
        <v>0</v>
      </c>
      <c r="AJ48" s="346">
        <f>AJ68</f>
        <v>4200</v>
      </c>
      <c r="AK48" s="346">
        <f t="shared" ref="AK48:AM48" si="122">AK68</f>
        <v>2</v>
      </c>
      <c r="AL48" s="347">
        <f t="shared" si="122"/>
        <v>-2</v>
      </c>
      <c r="AM48" s="349">
        <f t="shared" si="122"/>
        <v>4200</v>
      </c>
      <c r="AN48" s="345">
        <f>AN68</f>
        <v>0</v>
      </c>
      <c r="AO48" s="346">
        <f>AO68</f>
        <v>1800</v>
      </c>
      <c r="AP48" s="346">
        <f>AP68</f>
        <v>-2</v>
      </c>
      <c r="AQ48" s="347">
        <f t="shared" ref="AQ48:AR48" si="123">AQ68</f>
        <v>1</v>
      </c>
      <c r="AR48" s="349">
        <f t="shared" si="123"/>
        <v>1799</v>
      </c>
      <c r="AS48" s="345">
        <f t="shared" ref="AS48" si="124">AS68</f>
        <v>0</v>
      </c>
      <c r="AT48" s="346">
        <f>AT68</f>
        <v>0</v>
      </c>
      <c r="AU48" s="346">
        <f t="shared" ref="AU48:AW49" si="125">AU68</f>
        <v>0</v>
      </c>
      <c r="AV48" s="347">
        <f t="shared" si="125"/>
        <v>-2</v>
      </c>
      <c r="AW48" s="349">
        <f t="shared" si="125"/>
        <v>-2</v>
      </c>
      <c r="AX48" s="345">
        <f>+Debt!AL39</f>
        <v>0</v>
      </c>
      <c r="AY48" s="346">
        <f>+Debt!AM39</f>
        <v>0</v>
      </c>
      <c r="AZ48" s="346">
        <f>+Debt!AN39</f>
        <v>0</v>
      </c>
      <c r="BA48" s="347">
        <f>+Debt!AO39</f>
        <v>0</v>
      </c>
      <c r="BB48" s="922">
        <v>0</v>
      </c>
      <c r="BC48" s="345">
        <f>+Debt!AQ39</f>
        <v>0</v>
      </c>
      <c r="BD48" s="346">
        <f>+Debt!AR39</f>
        <v>0</v>
      </c>
      <c r="BE48" s="346">
        <f>+Debt!AS39</f>
        <v>0</v>
      </c>
      <c r="BF48" s="347">
        <f>+Debt!AT39</f>
        <v>0</v>
      </c>
      <c r="BG48" s="922">
        <v>0</v>
      </c>
      <c r="BH48" s="345">
        <f>+Debt!AV39</f>
        <v>0</v>
      </c>
      <c r="BI48" s="346">
        <f>+Debt!AW39</f>
        <v>0</v>
      </c>
      <c r="BJ48" s="346">
        <f>+Debt!AX39</f>
        <v>1450</v>
      </c>
      <c r="BK48" s="347">
        <f>+Debt!AY39</f>
        <v>0</v>
      </c>
      <c r="BL48" s="922">
        <v>1450</v>
      </c>
      <c r="BM48" s="345">
        <f>+Debt!BA39</f>
        <v>0</v>
      </c>
      <c r="BN48" s="346">
        <f>+Debt!BB39</f>
        <v>0</v>
      </c>
      <c r="BO48" s="346">
        <f>+Debt!BC39</f>
        <v>1450</v>
      </c>
      <c r="BP48" s="347">
        <f>+Debt!BD39</f>
        <v>0</v>
      </c>
      <c r="BQ48" s="2270">
        <f>+BL48</f>
        <v>1450</v>
      </c>
    </row>
    <row r="49" spans="2:69" s="1" customFormat="1">
      <c r="B49" s="232"/>
      <c r="C49" s="397" t="s">
        <v>235</v>
      </c>
      <c r="D49" s="232"/>
      <c r="E49" s="321">
        <f>E69</f>
        <v>0</v>
      </c>
      <c r="F49" s="346">
        <f t="shared" si="117"/>
        <v>0</v>
      </c>
      <c r="G49" s="346">
        <f t="shared" si="117"/>
        <v>-387</v>
      </c>
      <c r="H49" s="347">
        <f t="shared" si="117"/>
        <v>-113</v>
      </c>
      <c r="I49" s="349">
        <f t="shared" si="117"/>
        <v>-500</v>
      </c>
      <c r="J49" s="345">
        <f t="shared" si="117"/>
        <v>0</v>
      </c>
      <c r="K49" s="346">
        <f t="shared" si="117"/>
        <v>-400</v>
      </c>
      <c r="L49" s="346">
        <f t="shared" si="117"/>
        <v>0</v>
      </c>
      <c r="M49" s="347">
        <f t="shared" si="117"/>
        <v>0</v>
      </c>
      <c r="N49" s="349">
        <f t="shared" si="117"/>
        <v>-400</v>
      </c>
      <c r="O49" s="345">
        <f t="shared" si="117"/>
        <v>0</v>
      </c>
      <c r="P49" s="346">
        <f t="shared" si="117"/>
        <v>0</v>
      </c>
      <c r="Q49" s="346">
        <f t="shared" si="117"/>
        <v>0</v>
      </c>
      <c r="R49" s="347">
        <f t="shared" si="117"/>
        <v>0</v>
      </c>
      <c r="S49" s="349">
        <f t="shared" si="118"/>
        <v>0</v>
      </c>
      <c r="T49" s="345">
        <f t="shared" si="118"/>
        <v>0</v>
      </c>
      <c r="U49" s="346">
        <f t="shared" si="118"/>
        <v>-2</v>
      </c>
      <c r="V49" s="346">
        <f t="shared" si="119"/>
        <v>0</v>
      </c>
      <c r="W49" s="347">
        <f t="shared" si="119"/>
        <v>0</v>
      </c>
      <c r="X49" s="349">
        <f t="shared" si="119"/>
        <v>-2</v>
      </c>
      <c r="Y49" s="345">
        <f t="shared" si="119"/>
        <v>0</v>
      </c>
      <c r="Z49" s="346">
        <f>Z69</f>
        <v>0</v>
      </c>
      <c r="AA49" s="346">
        <f t="shared" si="120"/>
        <v>0</v>
      </c>
      <c r="AB49" s="347">
        <f t="shared" si="120"/>
        <v>0</v>
      </c>
      <c r="AC49" s="349">
        <f t="shared" si="120"/>
        <v>0</v>
      </c>
      <c r="AD49" s="345">
        <f t="shared" si="120"/>
        <v>-1</v>
      </c>
      <c r="AE49" s="346">
        <f>AE69</f>
        <v>0</v>
      </c>
      <c r="AF49" s="346">
        <f t="shared" ref="AF49:AI49" si="126">AF69</f>
        <v>-9</v>
      </c>
      <c r="AG49" s="347">
        <f t="shared" si="126"/>
        <v>-12</v>
      </c>
      <c r="AH49" s="349">
        <f t="shared" si="126"/>
        <v>-22</v>
      </c>
      <c r="AI49" s="345">
        <f t="shared" si="126"/>
        <v>-12</v>
      </c>
      <c r="AJ49" s="346">
        <f>AJ69</f>
        <v>-810</v>
      </c>
      <c r="AK49" s="346">
        <f t="shared" ref="AK49:AN49" si="127">AK69</f>
        <v>-12</v>
      </c>
      <c r="AL49" s="347">
        <f t="shared" si="127"/>
        <v>1595</v>
      </c>
      <c r="AM49" s="349">
        <f>AM69</f>
        <v>761</v>
      </c>
      <c r="AN49" s="345">
        <f t="shared" si="127"/>
        <v>1161</v>
      </c>
      <c r="AO49" s="346">
        <f>AO69</f>
        <v>-763</v>
      </c>
      <c r="AP49" s="346">
        <f t="shared" ref="AP49:AR49" si="128">AP69</f>
        <v>340</v>
      </c>
      <c r="AQ49" s="347">
        <f t="shared" si="128"/>
        <v>211</v>
      </c>
      <c r="AR49" s="349">
        <f t="shared" si="128"/>
        <v>949</v>
      </c>
      <c r="AS49" s="345">
        <f t="shared" ref="AS49" si="129">AS69</f>
        <v>-10</v>
      </c>
      <c r="AT49" s="346">
        <f>AT69</f>
        <v>-861</v>
      </c>
      <c r="AU49" s="346">
        <f t="shared" si="125"/>
        <v>105</v>
      </c>
      <c r="AV49" s="347">
        <f t="shared" si="125"/>
        <v>41</v>
      </c>
      <c r="AW49" s="349">
        <f t="shared" si="125"/>
        <v>-725</v>
      </c>
      <c r="AX49" s="345">
        <f>+Debt!AL31</f>
        <v>0</v>
      </c>
      <c r="AY49" s="346">
        <f>+Debt!AM31</f>
        <v>0</v>
      </c>
      <c r="AZ49" s="346">
        <f>+Debt!AN31</f>
        <v>0</v>
      </c>
      <c r="BA49" s="347">
        <f>+Debt!AO31</f>
        <v>0</v>
      </c>
      <c r="BB49" s="349">
        <f>SUM(AX49:BA49)</f>
        <v>0</v>
      </c>
      <c r="BC49" s="345">
        <f>+Debt!AQ31</f>
        <v>0</v>
      </c>
      <c r="BD49" s="346">
        <f>+Debt!AR31</f>
        <v>0</v>
      </c>
      <c r="BE49" s="346">
        <f>+Debt!AS31</f>
        <v>0</v>
      </c>
      <c r="BF49" s="347">
        <f>+Debt!AT31</f>
        <v>0</v>
      </c>
      <c r="BG49" s="349">
        <f>SUM(BC49:BF49)</f>
        <v>0</v>
      </c>
      <c r="BH49" s="345">
        <f>+Debt!AV31</f>
        <v>0</v>
      </c>
      <c r="BI49" s="346">
        <f>+Debt!AW31</f>
        <v>-900</v>
      </c>
      <c r="BJ49" s="346">
        <f>+Debt!AX31</f>
        <v>0</v>
      </c>
      <c r="BK49" s="347">
        <f>+Debt!AY31</f>
        <v>-550</v>
      </c>
      <c r="BL49" s="349">
        <f>SUM(BH49:BK49)</f>
        <v>-1450</v>
      </c>
      <c r="BM49" s="345">
        <f>+Debt!BA31</f>
        <v>0</v>
      </c>
      <c r="BN49" s="346">
        <f>+Debt!BB31</f>
        <v>-300</v>
      </c>
      <c r="BO49" s="346">
        <f>+Debt!BC31</f>
        <v>0</v>
      </c>
      <c r="BP49" s="347">
        <f>+Debt!BD31</f>
        <v>0</v>
      </c>
      <c r="BQ49" s="349">
        <f>SUM(BM49:BP49)</f>
        <v>-300</v>
      </c>
    </row>
    <row r="50" spans="2:69" s="1" customFormat="1">
      <c r="B50" s="232"/>
      <c r="C50" s="397"/>
      <c r="D50" s="232"/>
      <c r="E50" s="321"/>
      <c r="F50" s="346"/>
      <c r="G50" s="346"/>
      <c r="H50" s="347"/>
      <c r="I50" s="349"/>
      <c r="J50" s="345"/>
      <c r="K50" s="346"/>
      <c r="L50" s="346"/>
      <c r="M50" s="347"/>
      <c r="N50" s="349"/>
      <c r="O50" s="345"/>
      <c r="P50" s="346"/>
      <c r="Q50" s="346"/>
      <c r="R50" s="347"/>
      <c r="S50" s="349"/>
      <c r="T50" s="345"/>
      <c r="U50" s="346"/>
      <c r="V50" s="346"/>
      <c r="W50" s="347"/>
      <c r="X50" s="349"/>
      <c r="Y50" s="345"/>
      <c r="Z50" s="346"/>
      <c r="AA50" s="346"/>
      <c r="AB50" s="347"/>
      <c r="AC50" s="349"/>
      <c r="AD50" s="345"/>
      <c r="AE50" s="346"/>
      <c r="AF50" s="346"/>
      <c r="AG50" s="347"/>
      <c r="AH50" s="349"/>
      <c r="AI50" s="345"/>
      <c r="AJ50" s="346"/>
      <c r="AK50" s="346"/>
      <c r="AL50" s="347"/>
      <c r="AM50" s="349"/>
      <c r="AN50" s="345"/>
      <c r="AO50" s="346"/>
      <c r="AP50" s="346"/>
      <c r="AQ50" s="347"/>
      <c r="AR50" s="349"/>
      <c r="AS50" s="345"/>
      <c r="AT50" s="346"/>
      <c r="AU50" s="346"/>
      <c r="AV50" s="347"/>
      <c r="AW50" s="349"/>
      <c r="AX50" s="345"/>
      <c r="AY50" s="346"/>
      <c r="AZ50" s="346"/>
      <c r="BA50" s="347"/>
      <c r="BB50" s="349"/>
      <c r="BC50" s="345"/>
      <c r="BD50" s="346"/>
      <c r="BE50" s="346"/>
      <c r="BF50" s="347"/>
      <c r="BG50" s="349"/>
      <c r="BH50" s="345"/>
      <c r="BI50" s="346"/>
      <c r="BJ50" s="346"/>
      <c r="BK50" s="347"/>
      <c r="BL50" s="349"/>
      <c r="BM50" s="345"/>
      <c r="BN50" s="346"/>
      <c r="BO50" s="346"/>
      <c r="BP50" s="347"/>
      <c r="BQ50" s="349"/>
    </row>
    <row r="51" spans="2:69" s="1" customFormat="1">
      <c r="C51" s="28"/>
      <c r="E51" s="271"/>
      <c r="F51" s="17"/>
      <c r="G51" s="17"/>
      <c r="H51" s="272"/>
      <c r="I51" s="26"/>
      <c r="J51" s="271"/>
      <c r="K51" s="17"/>
      <c r="L51" s="17"/>
      <c r="M51" s="272"/>
      <c r="N51" s="26"/>
      <c r="O51" s="271"/>
      <c r="P51" s="17"/>
      <c r="Q51" s="17"/>
      <c r="R51" s="272"/>
      <c r="S51" s="26"/>
      <c r="T51" s="271"/>
      <c r="U51" s="237"/>
      <c r="V51" s="237"/>
      <c r="W51" s="270"/>
      <c r="X51" s="26"/>
      <c r="Y51" s="271"/>
      <c r="Z51" s="17"/>
      <c r="AA51" s="237"/>
      <c r="AB51" s="270"/>
      <c r="AC51" s="26"/>
      <c r="AD51" s="271"/>
      <c r="AE51" s="17"/>
      <c r="AF51" s="237"/>
      <c r="AG51" s="270"/>
      <c r="AH51" s="26"/>
      <c r="AI51" s="271"/>
      <c r="AJ51" s="17"/>
      <c r="AK51" s="237"/>
      <c r="AL51" s="270"/>
      <c r="AM51" s="26"/>
      <c r="AN51" s="271"/>
      <c r="AO51" s="17"/>
      <c r="AP51" s="237"/>
      <c r="AQ51" s="270"/>
      <c r="AR51" s="26"/>
      <c r="AS51" s="271"/>
      <c r="AT51" s="17"/>
      <c r="AU51" s="17"/>
      <c r="AV51" s="272"/>
      <c r="AW51" s="26"/>
      <c r="AX51" s="271"/>
      <c r="AY51" s="17"/>
      <c r="AZ51" s="17"/>
      <c r="BA51" s="272"/>
      <c r="BB51" s="26"/>
      <c r="BC51" s="271"/>
      <c r="BD51" s="17"/>
      <c r="BE51" s="17"/>
      <c r="BF51" s="272"/>
      <c r="BG51" s="26"/>
      <c r="BH51" s="271"/>
      <c r="BI51" s="17"/>
      <c r="BJ51" s="17"/>
      <c r="BK51" s="272"/>
      <c r="BL51" s="26"/>
      <c r="BM51" s="271"/>
      <c r="BN51" s="17"/>
      <c r="BO51" s="17"/>
      <c r="BP51" s="272"/>
      <c r="BQ51" s="26"/>
    </row>
    <row r="52" spans="2:69" s="1" customFormat="1">
      <c r="B52" s="73" t="s">
        <v>276</v>
      </c>
      <c r="C52" s="211"/>
      <c r="D52" s="211"/>
      <c r="E52" s="267"/>
      <c r="F52" s="250"/>
      <c r="G52" s="250"/>
      <c r="H52" s="268"/>
      <c r="I52" s="227"/>
      <c r="J52" s="296"/>
      <c r="K52" s="263"/>
      <c r="L52" s="263"/>
      <c r="M52" s="297"/>
      <c r="N52" s="227"/>
      <c r="O52" s="296"/>
      <c r="P52" s="263"/>
      <c r="Q52" s="263"/>
      <c r="R52" s="297"/>
      <c r="S52" s="227"/>
      <c r="T52" s="296"/>
      <c r="U52" s="260"/>
      <c r="V52" s="260"/>
      <c r="W52" s="291"/>
      <c r="X52" s="45"/>
      <c r="Y52" s="296"/>
      <c r="Z52" s="263"/>
      <c r="AA52" s="1441"/>
      <c r="AB52" s="1442"/>
      <c r="AC52" s="1443"/>
      <c r="AD52" s="296"/>
      <c r="AE52" s="263"/>
      <c r="AF52" s="1441"/>
      <c r="AG52" s="1442"/>
      <c r="AH52" s="1443"/>
      <c r="AI52" s="296"/>
      <c r="AJ52" s="263"/>
      <c r="AK52" s="1441"/>
      <c r="AL52" s="1442"/>
      <c r="AM52" s="1443"/>
      <c r="AN52" s="296"/>
      <c r="AO52" s="263"/>
      <c r="AP52" s="1441"/>
      <c r="AQ52" s="1442"/>
      <c r="AR52" s="1443"/>
      <c r="AS52" s="296"/>
      <c r="AT52" s="263"/>
      <c r="AU52" s="263"/>
      <c r="AV52" s="297"/>
      <c r="AW52" s="227"/>
      <c r="AX52" s="296"/>
      <c r="AY52" s="263"/>
      <c r="AZ52" s="263"/>
      <c r="BA52" s="297"/>
      <c r="BB52" s="227"/>
      <c r="BC52" s="296"/>
      <c r="BD52" s="263"/>
      <c r="BE52" s="263"/>
      <c r="BF52" s="297"/>
      <c r="BG52" s="227"/>
      <c r="BH52" s="296"/>
      <c r="BI52" s="263"/>
      <c r="BJ52" s="263"/>
      <c r="BK52" s="297"/>
      <c r="BL52" s="227"/>
      <c r="BM52" s="296"/>
      <c r="BN52" s="263"/>
      <c r="BO52" s="263"/>
      <c r="BP52" s="297"/>
      <c r="BQ52" s="227"/>
    </row>
    <row r="53" spans="2:69" s="1" customFormat="1">
      <c r="E53" s="271"/>
      <c r="F53" s="17"/>
      <c r="G53" s="17"/>
      <c r="H53" s="272"/>
      <c r="I53" s="227"/>
      <c r="J53" s="288"/>
      <c r="K53" s="259"/>
      <c r="L53" s="259"/>
      <c r="M53" s="289"/>
      <c r="N53" s="227"/>
      <c r="O53" s="288"/>
      <c r="P53" s="259"/>
      <c r="Q53" s="259"/>
      <c r="R53" s="289"/>
      <c r="S53" s="227"/>
      <c r="T53" s="288"/>
      <c r="U53" s="260"/>
      <c r="V53" s="260"/>
      <c r="W53" s="291"/>
      <c r="X53" s="45"/>
      <c r="Y53" s="288"/>
      <c r="Z53" s="259"/>
      <c r="AA53" s="1441"/>
      <c r="AB53" s="1442"/>
      <c r="AC53" s="1443"/>
      <c r="AD53" s="288"/>
      <c r="AE53" s="259"/>
      <c r="AF53" s="1441"/>
      <c r="AG53" s="1442"/>
      <c r="AH53" s="1443"/>
      <c r="AI53" s="288"/>
      <c r="AJ53" s="259"/>
      <c r="AK53" s="1441"/>
      <c r="AL53" s="1442"/>
      <c r="AM53" s="1443"/>
      <c r="AN53" s="288"/>
      <c r="AO53" s="259"/>
      <c r="AP53" s="1441"/>
      <c r="AQ53" s="1442"/>
      <c r="AR53" s="1443"/>
      <c r="AS53" s="288"/>
      <c r="AT53" s="259"/>
      <c r="AU53" s="259"/>
      <c r="AV53" s="1442"/>
      <c r="AW53" s="1443"/>
      <c r="AX53" s="288"/>
      <c r="AY53" s="259"/>
      <c r="AZ53" s="259"/>
      <c r="BA53" s="289"/>
      <c r="BB53" s="227"/>
      <c r="BC53" s="288"/>
      <c r="BD53" s="259"/>
      <c r="BE53" s="259"/>
      <c r="BF53" s="289"/>
      <c r="BG53" s="227"/>
      <c r="BH53" s="288"/>
      <c r="BI53" s="259"/>
      <c r="BJ53" s="259"/>
      <c r="BK53" s="289"/>
      <c r="BL53" s="227"/>
      <c r="BM53" s="288"/>
      <c r="BN53" s="259"/>
      <c r="BO53" s="259"/>
      <c r="BP53" s="289"/>
      <c r="BQ53" s="227"/>
    </row>
    <row r="54" spans="2:69" s="965" customFormat="1">
      <c r="C54" s="965" t="s">
        <v>321</v>
      </c>
      <c r="E54" s="966">
        <f>EXC!E149-ExGen!E819-ComEd!E163-PECO!E192</f>
        <v>-43</v>
      </c>
      <c r="F54" s="967">
        <f>EXC!F149-ExGen!F819-ComEd!F163-PECO!F192</f>
        <v>-42</v>
      </c>
      <c r="G54" s="967">
        <f>EXC!G149-ExGen!G819-ComEd!G163-PECO!G192</f>
        <v>-36</v>
      </c>
      <c r="H54" s="968">
        <f>EXC!H149-ExGen!H819-ComEd!H163-PECO!H192</f>
        <v>-21</v>
      </c>
      <c r="I54" s="969">
        <f>EXC!I149-ExGen!I819-ComEd!I163-PECO!I192</f>
        <v>-142</v>
      </c>
      <c r="J54" s="966">
        <f>EXC!J149-ExGen!J819-ComEd!J163-PECO!J192</f>
        <v>-29</v>
      </c>
      <c r="K54" s="967">
        <f>EXC!K149-ExGen!K819-ComEd!K163-PECO!K192</f>
        <v>-21</v>
      </c>
      <c r="L54" s="967">
        <f>EXC!L149-ExGen!L819-ComEd!L163-PECO!L192</f>
        <v>-8</v>
      </c>
      <c r="M54" s="968">
        <f>EXC!M149-ExGen!M819-ComEd!M163-PECO!M192</f>
        <v>-12</v>
      </c>
      <c r="N54" s="969">
        <f>EXC!N149-ExGen!N819-ComEd!N163-PECO!N192</f>
        <v>-70</v>
      </c>
      <c r="O54" s="966">
        <f>EXC!O149-ExGen!O819-ComEd!O163-PECO!O192</f>
        <v>-21</v>
      </c>
      <c r="P54" s="967">
        <f>EXC!P149-ExGen!P819-ComEd!P163-PECO!P192</f>
        <v>-22</v>
      </c>
      <c r="Q54" s="967">
        <f>EXC!Q149-ExGen!Q819-ComEd!Q163-PECO!Q192</f>
        <v>-2</v>
      </c>
      <c r="R54" s="968">
        <f>EXC!R149-ExGen!R819-ComEd!R163-PECO!R192</f>
        <v>-36</v>
      </c>
      <c r="S54" s="969">
        <f>EXC!S149-ExGen!S819-ComEd!S163-PECO!S192</f>
        <v>-81</v>
      </c>
      <c r="T54" s="966">
        <f>EXC!T149-ExGen!T819-ComEd!T163-PECO!T192-BGE!T189</f>
        <v>-120</v>
      </c>
      <c r="U54" s="1329">
        <f>EXC!U149-ExGen!U819-ComEd!U163-PECO!U192-BGE!U189</f>
        <v>-14</v>
      </c>
      <c r="V54" s="1329">
        <f>EXC!V149-ExGen!V819-ComEd!V163-PECO!V192-BGE!V189</f>
        <v>-3</v>
      </c>
      <c r="W54" s="1330">
        <f>EXC!W149-ExGen!W819-ComEd!W163-PECO!W192-BGE!W189</f>
        <v>-14</v>
      </c>
      <c r="X54" s="1331">
        <f>EXC!X149-ExGen!X819-ComEd!X163-PECO!X192-BGE!X189</f>
        <v>-151</v>
      </c>
      <c r="Y54" s="966">
        <f>EXC!Y149-ExGen!Y819-ComEd!Y163-PECO!Y192-BGE!Y189</f>
        <v>-103</v>
      </c>
      <c r="Z54" s="967">
        <f>EXC!Z149-ExGen!Z819-ComEd!Z163-PECO!Z192-BGE!Z189</f>
        <v>-29</v>
      </c>
      <c r="AA54" s="1500">
        <f>EXC!AA149-ExGen!AA819-ComEd!AA163-PECO!AA192-BGE!AA189</f>
        <v>-20</v>
      </c>
      <c r="AB54" s="1501">
        <f>EXC!AB149-ExGen!AB819-ComEd!AB163-PECO!AB192-BGE!AB189</f>
        <v>-33</v>
      </c>
      <c r="AC54" s="1502">
        <f>EXC!AC149-ExGen!AC819-ComEd!AC163-PECO!AC192-BGE!AC189</f>
        <v>-185</v>
      </c>
      <c r="AD54" s="966">
        <f>EXC!AD149-ExGen!AD819-ComEd!AD163-PECO!AD192-BGE!AD189</f>
        <v>3</v>
      </c>
      <c r="AE54" s="967">
        <f>EXC!AE149-ExGen!AE819-ComEd!AE163-PECO!AE192-BGE!AE189</f>
        <v>-28</v>
      </c>
      <c r="AF54" s="1500">
        <f>EXC!AF149-ExGen!AF819-ComEd!AF163-PECO!AF192-BGE!AF189</f>
        <v>-33</v>
      </c>
      <c r="AG54" s="1501">
        <f>EXC!AG149-ExGen!AG819-ComEd!AG163-PECO!AG192-BGE!AG189</f>
        <v>-112</v>
      </c>
      <c r="AH54" s="1502">
        <f>EXC!AH149-ExGen!AH819-ComEd!AH163-PECO!AH192-BGE!AH189</f>
        <v>-170</v>
      </c>
      <c r="AI54" s="966">
        <f>EXC!AI149-ExGen!AI819-ComEd!AI163-PECO!AI192-BGE!AI189</f>
        <v>-85</v>
      </c>
      <c r="AJ54" s="967">
        <f>EXC!AJ149-ExGen!AJ819-ComEd!AJ163-PECO!AJ192-BGE!AJ189</f>
        <v>27</v>
      </c>
      <c r="AK54" s="1500">
        <f>EXC!AK149-ExGen!AK819-ComEd!AK163-PECO!AK192-BGE!AK189</f>
        <v>-41</v>
      </c>
      <c r="AL54" s="1501">
        <f>EXC!AL149-ExGen!AL819-ComEd!AL163-PECO!AL192-BGE!AL189</f>
        <v>-83</v>
      </c>
      <c r="AM54" s="1502">
        <f>EXC!AM149-ExGen!AM819-ComEd!AM163-PECO!AM192-BGE!AM189</f>
        <v>-182</v>
      </c>
      <c r="AN54" s="966">
        <f>EXC!AN149-ExGen!AN819-ComEd!AN163-PECO!AN192-BGE!AN189</f>
        <v>-474</v>
      </c>
      <c r="AO54" s="967">
        <f>EXC!AO149-ExGen!AO819-ComEd!AO163-PECO!AO192-BGE!AO189-Pepco!AJ143-DPL!AJ173-ACE!AJ142</f>
        <v>-63</v>
      </c>
      <c r="AP54" s="1500">
        <f>EXC!AP149-ExGen!AP819-ComEd!AP163-PECO!AP192-BGE!AP189-Pepco!AK143-DPL!AK173-ACE!AK142</f>
        <v>-131</v>
      </c>
      <c r="AQ54" s="1501">
        <f>EXC!AQ149-ExGen!AQ819-ComEd!AQ163-PECO!AQ192-BGE!AQ189-Pepco!AL143-DPL!AL173-ACE!AL142</f>
        <v>-67</v>
      </c>
      <c r="AR54" s="1502">
        <f t="shared" ref="AR54:AR60" si="130">+SUM(AN54:AQ54)</f>
        <v>-735</v>
      </c>
      <c r="AS54" s="966">
        <f>EXC!AS149-ExGen!AS819-ComEd!AS163-PECO!AS192-BGE!AS189-Pepco!AN143-DPL!AN173-ACE!AN142</f>
        <v>36</v>
      </c>
      <c r="AT54" s="967">
        <f>EXC!AT149-ExGen!AT819-ComEd!AT163-PECO!AT192-BGE!AT189-Pepco!AO143-DPL!AO173-ACE!AO142</f>
        <v>10</v>
      </c>
      <c r="AU54" s="967">
        <f>EXC!AU149-ExGen!AU819-ComEd!AU163-PECO!AU192-BGE!AU189-Pepco!AP143-DPL!AP173-ACE!AP142</f>
        <v>-3</v>
      </c>
      <c r="AV54" s="1501">
        <f>EXC!AV149-ExGen!AV819-ComEd!AV163-PECO!AV192-BGE!AV189-Pepco!AQ143-DPL!AQ173-ACE!AQ142</f>
        <v>-675</v>
      </c>
      <c r="AW54" s="1502">
        <f t="shared" ref="AW54:AW60" si="131">+SUM(AS54:AV54)</f>
        <v>-632</v>
      </c>
      <c r="AX54" s="966">
        <f>AX35</f>
        <v>-34.27471523808029</v>
      </c>
      <c r="AY54" s="967">
        <f ca="1">AY35</f>
        <v>-59.067748926509658</v>
      </c>
      <c r="AZ54" s="967">
        <f ca="1">AZ35</f>
        <v>-33.91576324643961</v>
      </c>
      <c r="BA54" s="968">
        <f ca="1">BA35</f>
        <v>-67.563076950230808</v>
      </c>
      <c r="BB54" s="969">
        <f t="shared" ref="BB54:BB60" ca="1" si="132">SUM(AX54:BA54)</f>
        <v>-194.82130436126039</v>
      </c>
      <c r="BC54" s="966">
        <f ca="1">BC35</f>
        <v>-32.495486620383112</v>
      </c>
      <c r="BD54" s="967">
        <f ca="1">BD35</f>
        <v>-53.067688774849948</v>
      </c>
      <c r="BE54" s="967">
        <f ca="1">BE35</f>
        <v>-31.227526619015087</v>
      </c>
      <c r="BF54" s="968">
        <f ca="1">BF35</f>
        <v>-47.671788444254318</v>
      </c>
      <c r="BG54" s="969">
        <f t="shared" ref="BG54:BG60" ca="1" si="133">SUM(BC54:BF54)</f>
        <v>-164.46249045850249</v>
      </c>
      <c r="BH54" s="966">
        <f ca="1">BH35</f>
        <v>-36.138971251126833</v>
      </c>
      <c r="BI54" s="967">
        <f ca="1">BI35</f>
        <v>-49.830555819134815</v>
      </c>
      <c r="BJ54" s="967">
        <f ca="1">BJ35</f>
        <v>-47.975817674387891</v>
      </c>
      <c r="BK54" s="968">
        <f ca="1">BK35</f>
        <v>-57.884413680672466</v>
      </c>
      <c r="BL54" s="969">
        <f t="shared" ref="BL54:BL60" ca="1" si="134">SUM(BH54:BK54)</f>
        <v>-191.82975842532198</v>
      </c>
      <c r="BM54" s="966">
        <f ca="1">BM35</f>
        <v>-45.590777775589615</v>
      </c>
      <c r="BN54" s="967">
        <f ca="1">BN35</f>
        <v>-51.403218280504852</v>
      </c>
      <c r="BO54" s="967">
        <f ca="1">BO35</f>
        <v>-64.948523465061442</v>
      </c>
      <c r="BP54" s="968">
        <f ca="1">BP35</f>
        <v>-71.649230476402067</v>
      </c>
      <c r="BQ54" s="969">
        <f t="shared" ref="BQ54:BQ60" ca="1" si="135">SUM(BM54:BP54)</f>
        <v>-233.59174999755797</v>
      </c>
    </row>
    <row r="55" spans="2:69" s="965" customFormat="1">
      <c r="C55" s="965" t="s">
        <v>67</v>
      </c>
      <c r="E55" s="966">
        <f>+EXC!E150-ExGen!E820-ComEd!E164-PECO!E193</f>
        <v>12</v>
      </c>
      <c r="F55" s="967">
        <f>+EXC!F150-ExGen!F820-ComEd!F164-PECO!F193</f>
        <v>14</v>
      </c>
      <c r="G55" s="967">
        <f>+EXC!G150-ExGen!G820-ComEd!G164-PECO!G193</f>
        <v>14</v>
      </c>
      <c r="H55" s="968">
        <f>+EXC!H150-ExGen!H820-ComEd!H164-PECO!H193</f>
        <v>14</v>
      </c>
      <c r="I55" s="969">
        <f>+EXC!I150-ExGen!I820-ComEd!I164-PECO!I193</f>
        <v>54</v>
      </c>
      <c r="J55" s="966">
        <f>+EXC!J150-ExGen!J820-ComEd!J164-PECO!J193</f>
        <v>10</v>
      </c>
      <c r="K55" s="967">
        <f>+EXC!K150-ExGen!K820-ComEd!K164-PECO!K193</f>
        <v>5</v>
      </c>
      <c r="L55" s="967">
        <f>+EXC!L150-ExGen!L820-ComEd!L164-PECO!L193</f>
        <v>5</v>
      </c>
      <c r="M55" s="968">
        <f>+EXC!M150-ExGen!M820-ComEd!M164-PECO!M193</f>
        <v>4</v>
      </c>
      <c r="N55" s="969">
        <f>+EXC!N150-ExGen!N820-ComEd!N164-PECO!N193</f>
        <v>24</v>
      </c>
      <c r="O55" s="966">
        <f>+EXC!O150-ExGen!O820-ComEd!O164-PECO!O193</f>
        <v>6</v>
      </c>
      <c r="P55" s="967">
        <f>+EXC!P150-ExGen!P820-ComEd!P164-PECO!P193</f>
        <v>5</v>
      </c>
      <c r="Q55" s="967">
        <f>+EXC!Q150-ExGen!Q820-ComEd!Q164-PECO!Q193</f>
        <v>6</v>
      </c>
      <c r="R55" s="968">
        <f>+EXC!R150-ExGen!R820-ComEd!R164-PECO!R193</f>
        <v>4</v>
      </c>
      <c r="S55" s="969">
        <f>+EXC!S150-ExGen!S820-ComEd!S164-PECO!S193</f>
        <v>21</v>
      </c>
      <c r="T55" s="966">
        <f>+EXC!T150-ExGen!T820-ComEd!T164-PECO!T193-BGE!T190</f>
        <v>-52</v>
      </c>
      <c r="U55" s="1329">
        <f>+EXC!U150-ExGen!U820-ComEd!U164-PECO!U193-BGE!U190</f>
        <v>14</v>
      </c>
      <c r="V55" s="1329">
        <f>+EXC!V150-ExGen!V820-ComEd!V164-PECO!V193-BGE!V190</f>
        <v>13</v>
      </c>
      <c r="W55" s="1330">
        <f>+EXC!W150-ExGen!W820-ComEd!W164-PECO!W193-BGE!W190</f>
        <v>13</v>
      </c>
      <c r="X55" s="1331">
        <f>+EXC!X150-ExGen!X820-ComEd!X164-PECO!X193-BGE!X190</f>
        <v>-12</v>
      </c>
      <c r="Y55" s="966">
        <f>+EXC!Y150-ExGen!Y820-ComEd!Y164-PECO!Y193-BGE!Y190</f>
        <v>12</v>
      </c>
      <c r="Z55" s="967">
        <f>+EXC!Z150-ExGen!Z820-ComEd!Z164-PECO!Z193-BGE!Z190</f>
        <v>15</v>
      </c>
      <c r="AA55" s="1500">
        <f>+EXC!AA150-ExGen!AA820-ComEd!AA164-PECO!AA193-BGE!AA190</f>
        <v>13</v>
      </c>
      <c r="AB55" s="1501">
        <f>+EXC!AB150-ExGen!AB820-ComEd!AB164-PECO!AB193-BGE!AB190</f>
        <v>12</v>
      </c>
      <c r="AC55" s="1502">
        <f>+EXC!AC150-ExGen!AC820-ComEd!AC164-PECO!AC193-BGE!AC190</f>
        <v>52</v>
      </c>
      <c r="AD55" s="966">
        <f>+EXC!AD150-ExGen!AD820-ComEd!AD164-PECO!AD193-BGE!AD190</f>
        <v>14</v>
      </c>
      <c r="AE55" s="967">
        <f>+EXC!AE150-ExGen!AE820-ComEd!AE164-PECO!AE193-BGE!AE190</f>
        <v>14</v>
      </c>
      <c r="AF55" s="1500">
        <f>+EXC!AF150-ExGen!AF820-ComEd!AF164-PECO!AF193-BGE!AF190</f>
        <v>13</v>
      </c>
      <c r="AG55" s="1501">
        <f>+EXC!AG150-ExGen!AG820-ComEd!AG164-PECO!AG193-BGE!AG190</f>
        <v>12</v>
      </c>
      <c r="AH55" s="1502">
        <f>+EXC!AH150-ExGen!AH820-ComEd!AH164-PECO!AH193-BGE!AH190</f>
        <v>53</v>
      </c>
      <c r="AI55" s="966">
        <f>+EXC!AI150-ExGen!AI820-ComEd!AI164-PECO!AI193-BGE!AI190</f>
        <v>13</v>
      </c>
      <c r="AJ55" s="967">
        <f>+EXC!AJ150-ExGen!AJ820-ComEd!AJ164-PECO!AJ193-BGE!AJ190</f>
        <v>15</v>
      </c>
      <c r="AK55" s="1500">
        <f>+EXC!AK150-ExGen!AK820-ComEd!AK164-PECO!AK193-BGE!AK190</f>
        <v>20</v>
      </c>
      <c r="AL55" s="1501">
        <f>+EXC!AL150-ExGen!AL820-ComEd!AL164-PECO!AL193-BGE!AL190</f>
        <v>15</v>
      </c>
      <c r="AM55" s="1502">
        <f>+EXC!AM150-ExGen!AM820-ComEd!AM164-PECO!AM193-BGE!AM190</f>
        <v>63</v>
      </c>
      <c r="AN55" s="966">
        <f>+EXC!AN150-ExGen!AN820-ComEd!AN164-PECO!AN193-BGE!AN190</f>
        <v>31</v>
      </c>
      <c r="AO55" s="967">
        <f>+EXC!AO150-ExGen!AO820-ComEd!AO164-PECO!AO193-BGE!AO190-Pepco!AJ144-DPL!AJ174-ACE!AJ143</f>
        <v>32</v>
      </c>
      <c r="AP55" s="1500">
        <f>+EXC!AP150-ExGen!AP820-ComEd!AP164-PECO!AP193-BGE!AP190-Pepco!AK144-DPL!AK174-ACE!AK143</f>
        <v>30</v>
      </c>
      <c r="AQ55" s="1501">
        <f>+EXC!AQ150-ExGen!AQ820-ComEd!AQ164-PECO!AQ193-BGE!AQ190-Pepco!AL144-DPL!AL174-ACE!AL143</f>
        <v>33</v>
      </c>
      <c r="AR55" s="1502">
        <f t="shared" si="130"/>
        <v>126</v>
      </c>
      <c r="AS55" s="966">
        <f>+EXC!AS150-ExGen!AS820-ComEd!AS164-PECO!AS193-BGE!AS190-Pepco!AN144-DPL!AN174-ACE!AN143</f>
        <v>31</v>
      </c>
      <c r="AT55" s="967">
        <f>+EXC!AT150-ExGen!AT820-ComEd!AT164-PECO!AT193-BGE!AT190-Pepco!AO144-DPL!AO174-ACE!AO143</f>
        <v>34</v>
      </c>
      <c r="AU55" s="967">
        <f>+EXC!AU150-ExGen!AU820-ComEd!AU164-PECO!AU193-BGE!AU190-Pepco!AP144-DPL!AP174-ACE!AP143</f>
        <v>31</v>
      </c>
      <c r="AV55" s="1501">
        <f>+EXC!AV150-ExGen!AV820-ComEd!AV164-PECO!AV193-BGE!AV190-Pepco!AQ144-DPL!AQ174-ACE!AQ143</f>
        <v>32</v>
      </c>
      <c r="AW55" s="1502">
        <f t="shared" si="131"/>
        <v>128</v>
      </c>
      <c r="AX55" s="966">
        <f>AX13</f>
        <v>34</v>
      </c>
      <c r="AY55" s="967">
        <f>AY13</f>
        <v>32</v>
      </c>
      <c r="AZ55" s="967">
        <f>AZ13</f>
        <v>31</v>
      </c>
      <c r="BA55" s="968">
        <f>BA13</f>
        <v>34</v>
      </c>
      <c r="BB55" s="969">
        <f t="shared" si="132"/>
        <v>131</v>
      </c>
      <c r="BC55" s="966">
        <f>BC13</f>
        <v>34</v>
      </c>
      <c r="BD55" s="967">
        <f>BD13</f>
        <v>32</v>
      </c>
      <c r="BE55" s="967">
        <f>BE13</f>
        <v>31</v>
      </c>
      <c r="BF55" s="968">
        <f>BF13</f>
        <v>34</v>
      </c>
      <c r="BG55" s="969">
        <f t="shared" si="133"/>
        <v>131</v>
      </c>
      <c r="BH55" s="966">
        <f>BH13</f>
        <v>34</v>
      </c>
      <c r="BI55" s="967">
        <f>BI13</f>
        <v>32</v>
      </c>
      <c r="BJ55" s="967">
        <f>BJ13</f>
        <v>31</v>
      </c>
      <c r="BK55" s="968">
        <f>BK13</f>
        <v>34</v>
      </c>
      <c r="BL55" s="969">
        <f t="shared" si="134"/>
        <v>131</v>
      </c>
      <c r="BM55" s="966">
        <f>BM13</f>
        <v>34</v>
      </c>
      <c r="BN55" s="967">
        <f>BN13</f>
        <v>32</v>
      </c>
      <c r="BO55" s="967">
        <f>BO13</f>
        <v>31</v>
      </c>
      <c r="BP55" s="968">
        <f>BP13</f>
        <v>34</v>
      </c>
      <c r="BQ55" s="969">
        <f t="shared" si="135"/>
        <v>131</v>
      </c>
    </row>
    <row r="56" spans="2:69" s="965" customFormat="1">
      <c r="C56" s="965" t="s">
        <v>631</v>
      </c>
      <c r="E56" s="966">
        <f>+EXC!E151-ExGen!E821</f>
        <v>0</v>
      </c>
      <c r="F56" s="967">
        <f>+EXC!F151-ExGen!F821</f>
        <v>0</v>
      </c>
      <c r="G56" s="967">
        <f>+EXC!G151-ExGen!G821</f>
        <v>0</v>
      </c>
      <c r="H56" s="968">
        <f>+EXC!H151-ExGen!H821</f>
        <v>2</v>
      </c>
      <c r="I56" s="969">
        <f>+EXC!I151-ExGen!I821</f>
        <v>2</v>
      </c>
      <c r="J56" s="966">
        <f>+EXC!J151-ExGen!J821</f>
        <v>0</v>
      </c>
      <c r="K56" s="967">
        <f>+EXC!K151-ExGen!K821</f>
        <v>1</v>
      </c>
      <c r="L56" s="967">
        <f>+EXC!L151-ExGen!L821</f>
        <v>1</v>
      </c>
      <c r="M56" s="968">
        <f>+EXC!M151-ExGen!M821</f>
        <v>-1</v>
      </c>
      <c r="N56" s="969">
        <f>+EXC!N151-ExGen!N821</f>
        <v>1</v>
      </c>
      <c r="O56" s="966">
        <f>+EXC!O151-ExGen!O821</f>
        <v>0</v>
      </c>
      <c r="P56" s="967">
        <f>+EXC!P151-ExGen!P821</f>
        <v>0</v>
      </c>
      <c r="Q56" s="967">
        <f>+EXC!Q151-ExGen!Q821</f>
        <v>-1</v>
      </c>
      <c r="R56" s="968">
        <f>+EXC!R151-ExGen!R821</f>
        <v>1</v>
      </c>
      <c r="S56" s="969">
        <f>+EXC!S151-ExGen!S821</f>
        <v>0</v>
      </c>
      <c r="T56" s="966">
        <f>+EXC!T151-ExGen!T821</f>
        <v>0</v>
      </c>
      <c r="U56" s="1329">
        <f>+EXC!U151-ExGen!U821</f>
        <v>-47</v>
      </c>
      <c r="V56" s="1329">
        <f>+EXC!V151-ExGen!V821</f>
        <v>-34</v>
      </c>
      <c r="W56" s="1330">
        <f>+EXC!W151-ExGen!W821</f>
        <v>81</v>
      </c>
      <c r="X56" s="1331">
        <f>+EXC!X151-ExGen!X821</f>
        <v>0</v>
      </c>
      <c r="Y56" s="966">
        <f>+EXC!Y151-ExGen!Y821</f>
        <v>0</v>
      </c>
      <c r="Z56" s="967">
        <f>+EXC!Z151-ExGen!Z821</f>
        <v>-38</v>
      </c>
      <c r="AA56" s="1500">
        <f>+EXC!AA151-ExGen!AA821</f>
        <v>-19</v>
      </c>
      <c r="AB56" s="1501">
        <f>+EXC!AB151-ExGen!AB821</f>
        <v>-20</v>
      </c>
      <c r="AC56" s="1502">
        <f>+EXC!AC151-ExGen!AC821</f>
        <v>-77</v>
      </c>
      <c r="AD56" s="966">
        <f>+EXC!AD151-ExGen!AD821</f>
        <v>-2</v>
      </c>
      <c r="AE56" s="967">
        <f>+EXC!AE151-ExGen!AE821</f>
        <v>-4</v>
      </c>
      <c r="AF56" s="1500">
        <f>+EXC!AF151-ExGen!AF821</f>
        <v>-4</v>
      </c>
      <c r="AG56" s="1501">
        <f>+EXC!AG151-ExGen!AG821</f>
        <v>12</v>
      </c>
      <c r="AH56" s="1502">
        <f>+EXC!AH151-ExGen!AH821</f>
        <v>2</v>
      </c>
      <c r="AI56" s="966">
        <f>+EXC!AI151-ExGen!AI821</f>
        <v>1</v>
      </c>
      <c r="AJ56" s="967">
        <f>+EXC!AJ151-ExGen!AJ821</f>
        <v>-2</v>
      </c>
      <c r="AK56" s="1500">
        <f>+EXC!AK151-ExGen!AK821</f>
        <v>-1</v>
      </c>
      <c r="AL56" s="1501">
        <f>+EXC!AL151-ExGen!AL821</f>
        <v>4</v>
      </c>
      <c r="AM56" s="1502">
        <f>+EXC!AM151-ExGen!AM821</f>
        <v>2</v>
      </c>
      <c r="AN56" s="966">
        <f>+EXC!AN151-ExGen!AN821</f>
        <v>0</v>
      </c>
      <c r="AO56" s="967">
        <f>+EXC!AO151-ExGen!AO821</f>
        <v>0</v>
      </c>
      <c r="AP56" s="1500">
        <f>+EXC!AP151-ExGen!AP821</f>
        <v>1</v>
      </c>
      <c r="AQ56" s="1501">
        <f>+EXC!AQ151-ExGen!AQ821</f>
        <v>-1</v>
      </c>
      <c r="AR56" s="1502">
        <f t="shared" si="130"/>
        <v>0</v>
      </c>
      <c r="AS56" s="966">
        <f>+EXC!AS151-ExGen!AS821</f>
        <v>2</v>
      </c>
      <c r="AT56" s="967">
        <f>+EXC!AT151-ExGen!AT821</f>
        <v>-1</v>
      </c>
      <c r="AU56" s="967">
        <f>+EXC!AU151-ExGen!AU821</f>
        <v>0</v>
      </c>
      <c r="AV56" s="1501">
        <f>+EXC!AV151-ExGen!AV821</f>
        <v>-1</v>
      </c>
      <c r="AW56" s="1502">
        <f t="shared" si="131"/>
        <v>0</v>
      </c>
      <c r="AX56" s="972">
        <v>0</v>
      </c>
      <c r="AY56" s="970">
        <v>0</v>
      </c>
      <c r="AZ56" s="970">
        <v>0</v>
      </c>
      <c r="BA56" s="971">
        <v>0</v>
      </c>
      <c r="BB56" s="969">
        <f t="shared" si="132"/>
        <v>0</v>
      </c>
      <c r="BC56" s="972">
        <v>0</v>
      </c>
      <c r="BD56" s="970">
        <v>0</v>
      </c>
      <c r="BE56" s="970">
        <v>0</v>
      </c>
      <c r="BF56" s="971">
        <v>0</v>
      </c>
      <c r="BG56" s="969">
        <f t="shared" si="133"/>
        <v>0</v>
      </c>
      <c r="BH56" s="972">
        <v>0</v>
      </c>
      <c r="BI56" s="970">
        <v>0</v>
      </c>
      <c r="BJ56" s="970">
        <v>0</v>
      </c>
      <c r="BK56" s="971">
        <v>0</v>
      </c>
      <c r="BL56" s="969">
        <f t="shared" si="134"/>
        <v>0</v>
      </c>
      <c r="BM56" s="972">
        <v>0</v>
      </c>
      <c r="BN56" s="970">
        <v>0</v>
      </c>
      <c r="BO56" s="970">
        <v>0</v>
      </c>
      <c r="BP56" s="971">
        <v>0</v>
      </c>
      <c r="BQ56" s="969">
        <f t="shared" si="135"/>
        <v>0</v>
      </c>
    </row>
    <row r="57" spans="2:69" s="965" customFormat="1">
      <c r="C57" s="963" t="s">
        <v>422</v>
      </c>
      <c r="E57" s="966">
        <f>+EXC!E152-ExGen!E822-ComEd!E165-PECO!E194</f>
        <v>5</v>
      </c>
      <c r="F57" s="967">
        <f>+EXC!F152-ExGen!F822-ComEd!F165-PECO!F194</f>
        <v>4</v>
      </c>
      <c r="G57" s="967">
        <f>+EXC!G152-ExGen!G822-ComEd!G165-PECO!G194</f>
        <v>18</v>
      </c>
      <c r="H57" s="968">
        <f>+EXC!H152-ExGen!H822-ComEd!H165-PECO!H194</f>
        <v>3</v>
      </c>
      <c r="I57" s="969">
        <f>+EXC!I152-ExGen!I822-ComEd!I165-PECO!I194</f>
        <v>30</v>
      </c>
      <c r="J57" s="966">
        <f>+EXC!J152-ExGen!J822-ComEd!J165-PECO!J194</f>
        <v>27</v>
      </c>
      <c r="K57" s="967">
        <f>+EXC!K152-ExGen!K822-ComEd!K165-PECO!K194</f>
        <v>11</v>
      </c>
      <c r="L57" s="967">
        <f>+EXC!L152-ExGen!L822-ComEd!L165-PECO!L194</f>
        <v>-1</v>
      </c>
      <c r="M57" s="968">
        <f>+EXC!M152-ExGen!M822-ComEd!M165-PECO!M194</f>
        <v>21</v>
      </c>
      <c r="N57" s="969">
        <f>+EXC!N152-ExGen!N822-ComEd!N165-PECO!N194</f>
        <v>58</v>
      </c>
      <c r="O57" s="966">
        <f>+EXC!O152-ExGen!O822-ComEd!O165-PECO!O194</f>
        <v>23</v>
      </c>
      <c r="P57" s="967">
        <f>+EXC!P152-ExGen!P822-ComEd!P165-PECO!P194</f>
        <v>-6</v>
      </c>
      <c r="Q57" s="967">
        <f>+EXC!Q152-ExGen!Q822-ComEd!Q165-PECO!Q194</f>
        <v>-53</v>
      </c>
      <c r="R57" s="968">
        <f>+EXC!R152-ExGen!R822-ComEd!R165-PECO!R194</f>
        <v>-11</v>
      </c>
      <c r="S57" s="969">
        <f>+EXC!S152-ExGen!S822-ComEd!S165-PECO!S194</f>
        <v>-47</v>
      </c>
      <c r="T57" s="966">
        <f>+EXC!T152-ExGen!T822-ComEd!T165-PECO!T194-BGE!T191</f>
        <v>-171</v>
      </c>
      <c r="U57" s="1329">
        <f>+EXC!U152-ExGen!U822-ComEd!U165-PECO!U194-BGE!U191</f>
        <v>4</v>
      </c>
      <c r="V57" s="1329">
        <f>+EXC!V152-ExGen!V822-ComEd!V165-PECO!V194-BGE!V191</f>
        <v>35</v>
      </c>
      <c r="W57" s="1330">
        <f>+EXC!W152-ExGen!W822-ComEd!W165-PECO!W194-BGE!W191</f>
        <v>-72</v>
      </c>
      <c r="X57" s="1331">
        <f>+EXC!X152-ExGen!X822-ComEd!X165-PECO!X194-BGE!X191</f>
        <v>-204</v>
      </c>
      <c r="Y57" s="966">
        <f>+EXC!Y152-ExGen!Y822-ComEd!Y165-PECO!Y194-BGE!Y191</f>
        <v>-326</v>
      </c>
      <c r="Z57" s="967">
        <f>+EXC!Z152-ExGen!Z822-ComEd!Z165-PECO!Z194-BGE!Z191</f>
        <v>5</v>
      </c>
      <c r="AA57" s="1500">
        <f>+EXC!AA152-ExGen!AA822-ComEd!AA165-PECO!AA194-BGE!AA191</f>
        <v>-14</v>
      </c>
      <c r="AB57" s="1501">
        <f>+EXC!AB152-ExGen!AB822-ComEd!AB165-PECO!AB194-BGE!AB191</f>
        <v>51</v>
      </c>
      <c r="AC57" s="1502">
        <f>+EXC!AC152-ExGen!AC822-ComEd!AC165-PECO!AC194-BGE!AC191</f>
        <v>-284</v>
      </c>
      <c r="AD57" s="966">
        <f>+EXC!AD152-ExGen!AD822-ComEd!AD165-PECO!AD194-BGE!AD191</f>
        <v>53</v>
      </c>
      <c r="AE57" s="967">
        <f>+EXC!AE152-ExGen!AE822-ComEd!AE165-PECO!AE194-BGE!AE191</f>
        <v>-21</v>
      </c>
      <c r="AF57" s="1500">
        <f>+EXC!AF152-ExGen!AF822-ComEd!AF165-PECO!AF194-BGE!AF191</f>
        <v>55</v>
      </c>
      <c r="AG57" s="1501">
        <f>+EXC!AG152-ExGen!AG822-ComEd!AG165-PECO!AG194-BGE!AG191</f>
        <v>-24</v>
      </c>
      <c r="AH57" s="1502">
        <f>+EXC!AH152-ExGen!AH822-ComEd!AH165-PECO!AH194-BGE!AH191</f>
        <v>63</v>
      </c>
      <c r="AI57" s="966">
        <f>+EXC!AI152-ExGen!AI822-ComEd!AI165-PECO!AI194-BGE!AI191</f>
        <v>-33</v>
      </c>
      <c r="AJ57" s="967">
        <f>+EXC!AJ152-ExGen!AJ822-ComEd!AJ165-PECO!AJ194-BGE!AJ191</f>
        <v>85</v>
      </c>
      <c r="AK57" s="1500">
        <f>+EXC!AK152-ExGen!AK822-ComEd!AK165-PECO!AK194-BGE!AK191</f>
        <v>-29</v>
      </c>
      <c r="AL57" s="1501">
        <f>+EXC!AL152-ExGen!AL822-ComEd!AL165-PECO!AL194-BGE!AL191</f>
        <v>72</v>
      </c>
      <c r="AM57" s="1502">
        <f>+EXC!AM152-ExGen!AM822-ComEd!AM165-PECO!AM194-BGE!AM191</f>
        <v>95</v>
      </c>
      <c r="AN57" s="966">
        <f>+EXC!AN152-ExGen!AN822-ComEd!AN165-PECO!AN194-BGE!AN191</f>
        <v>-60</v>
      </c>
      <c r="AO57" s="967">
        <f>+EXC!AO152-ExGen!AO822-ComEd!AO165-PECO!AO194-BGE!AO191-Pepco!AJ145-DPL!AJ176-ACE!AJ145</f>
        <v>7</v>
      </c>
      <c r="AP57" s="1500">
        <f>+EXC!AP152-ExGen!AP822-ComEd!AP165-PECO!AP194-BGE!AP191-Pepco!AK145-DPL!AK176-ACE!AK145</f>
        <v>41</v>
      </c>
      <c r="AQ57" s="1501">
        <f>+EXC!AQ152-ExGen!AQ822-ComEd!AQ165-PECO!AQ194-BGE!AQ191-Pepco!AL145-DPL!AL176-ACE!AL145</f>
        <v>-42</v>
      </c>
      <c r="AR57" s="1502">
        <f t="shared" si="130"/>
        <v>-54</v>
      </c>
      <c r="AS57" s="966">
        <f>+EXC!AS152-ExGen!AS822-ComEd!AS165-PECO!AS194-BGE!AS191-Pepco!AN145-DPL!AN176-ACE!AN145</f>
        <v>-167</v>
      </c>
      <c r="AT57" s="967">
        <f>+EXC!AT152-ExGen!AT822-ComEd!AT165-PECO!AT194-BGE!AT191-Pepco!AO145-DPL!AO176-ACE!AO145</f>
        <v>14</v>
      </c>
      <c r="AU57" s="967">
        <f>+EXC!AU152-ExGen!AU822-ComEd!AU165-PECO!AU194-BGE!AU191-Pepco!AP145-DPL!AP176-ACE!AP145</f>
        <v>-36</v>
      </c>
      <c r="AV57" s="1501">
        <f>+EXC!AV152-ExGen!AV822-ComEd!AV165-PECO!AV194-BGE!AV191-Pepco!AQ145-DPL!AQ176-ACE!AQ145</f>
        <v>793</v>
      </c>
      <c r="AW57" s="1502">
        <f t="shared" si="131"/>
        <v>604</v>
      </c>
      <c r="AX57" s="972">
        <f t="shared" ref="AX57:BE57" ca="1" si="136">AY57/4</f>
        <v>-0.26276800256291072</v>
      </c>
      <c r="AY57" s="970">
        <f t="shared" ca="1" si="136"/>
        <v>-1.0510720102516429</v>
      </c>
      <c r="AZ57" s="970">
        <f t="shared" ca="1" si="136"/>
        <v>-4.2042880410065715</v>
      </c>
      <c r="BA57" s="294">
        <f ca="1">BB57/4</f>
        <v>-16.817152164026286</v>
      </c>
      <c r="BB57" s="969">
        <f ca="1">(BB28/EXC!BB37)*EXC!BB152</f>
        <v>-67.268608656105144</v>
      </c>
      <c r="BC57" s="972">
        <f t="shared" ca="1" si="136"/>
        <v>-0.21098438337967371</v>
      </c>
      <c r="BD57" s="970">
        <f t="shared" ca="1" si="136"/>
        <v>-0.84393753351869483</v>
      </c>
      <c r="BE57" s="970">
        <f t="shared" ca="1" si="136"/>
        <v>-3.3757501340747793</v>
      </c>
      <c r="BF57" s="971">
        <f ca="1">BG57/4</f>
        <v>-13.503000536299117</v>
      </c>
      <c r="BG57" s="969">
        <f ca="1">(BG28/EXC!BG37)*EXC!BG152</f>
        <v>-54.012002145196469</v>
      </c>
      <c r="BH57" s="972">
        <f t="shared" ref="BH57:BJ57" ca="1" si="137">BI57/4</f>
        <v>-0.20431461106414542</v>
      </c>
      <c r="BI57" s="970">
        <f t="shared" ca="1" si="137"/>
        <v>-0.81725844425658167</v>
      </c>
      <c r="BJ57" s="970">
        <f t="shared" ca="1" si="137"/>
        <v>-3.2690337770263267</v>
      </c>
      <c r="BK57" s="971">
        <f ca="1">BL57/4</f>
        <v>-13.076135108105307</v>
      </c>
      <c r="BL57" s="969">
        <f ca="1">(BL28/EXC!BL37)*EXC!BL152</f>
        <v>-52.304540432421227</v>
      </c>
      <c r="BM57" s="972">
        <f t="shared" ref="BM57:BO57" ca="1" si="138">BN57/4</f>
        <v>-0.23025684867382762</v>
      </c>
      <c r="BN57" s="970">
        <f t="shared" ca="1" si="138"/>
        <v>-0.92102739469531025</v>
      </c>
      <c r="BO57" s="970">
        <f t="shared" ca="1" si="138"/>
        <v>-3.684109578781241</v>
      </c>
      <c r="BP57" s="971">
        <f ca="1">BQ57/4</f>
        <v>-14.736438315124964</v>
      </c>
      <c r="BQ57" s="969">
        <f ca="1">(BQ28/EXC!BQ37)*EXC!BQ152</f>
        <v>-58.945753260499856</v>
      </c>
    </row>
    <row r="58" spans="2:69" s="965" customFormat="1">
      <c r="C58" s="963" t="s">
        <v>632</v>
      </c>
      <c r="E58" s="966">
        <f>+EXC!E153-ComEd!E166-PECO!E195</f>
        <v>0</v>
      </c>
      <c r="F58" s="967">
        <f>+EXC!F153-ComEd!F166-PECO!F195</f>
        <v>0</v>
      </c>
      <c r="G58" s="967">
        <f>+EXC!G153-ComEd!G166-PECO!G195</f>
        <v>0</v>
      </c>
      <c r="H58" s="968">
        <f>+EXC!H153-ComEd!H166-PECO!H195</f>
        <v>0</v>
      </c>
      <c r="I58" s="969">
        <f>+EXC!I153-ComEd!I166-PECO!I195</f>
        <v>0</v>
      </c>
      <c r="J58" s="966">
        <f>+EXC!J153-ComEd!J166-PECO!J195</f>
        <v>0</v>
      </c>
      <c r="K58" s="967">
        <f>+EXC!K153-ComEd!K166-PECO!K195</f>
        <v>0</v>
      </c>
      <c r="L58" s="967">
        <f>+EXC!L153-ComEd!L166-PECO!L195</f>
        <v>0</v>
      </c>
      <c r="M58" s="968">
        <f>+EXC!M153-ComEd!M166-PECO!M195</f>
        <v>0</v>
      </c>
      <c r="N58" s="969">
        <f>+EXC!N153-ComEd!N166-PECO!N195</f>
        <v>0</v>
      </c>
      <c r="O58" s="966">
        <f>+EXC!O153-ComEd!O166-PECO!O195</f>
        <v>0</v>
      </c>
      <c r="P58" s="967">
        <f>+EXC!P153-ComEd!P166-PECO!P195</f>
        <v>0</v>
      </c>
      <c r="Q58" s="967">
        <f>+EXC!Q153-ComEd!Q166-PECO!Q195</f>
        <v>0</v>
      </c>
      <c r="R58" s="968">
        <f>+EXC!R153-ComEd!R166-PECO!R195</f>
        <v>0</v>
      </c>
      <c r="S58" s="969">
        <f>+EXC!S153-ComEd!S166-PECO!S195</f>
        <v>0</v>
      </c>
      <c r="T58" s="966">
        <f>+EXC!T153-ComEd!T166-PECO!T195-BGE!T192</f>
        <v>0</v>
      </c>
      <c r="U58" s="1329">
        <f>+EXC!U153-ComEd!U166-PECO!U195-BGE!U192</f>
        <v>0</v>
      </c>
      <c r="V58" s="1329">
        <f>+EXC!V153-ComEd!V166-PECO!V195-BGE!V192</f>
        <v>0</v>
      </c>
      <c r="W58" s="1330">
        <f>+EXC!W153-ComEd!W166-PECO!W195-BGE!W192</f>
        <v>0</v>
      </c>
      <c r="X58" s="1331">
        <f>+EXC!X153-ComEd!X166-PECO!X195-BGE!X192</f>
        <v>0</v>
      </c>
      <c r="Y58" s="966">
        <f>+EXC!Y153-ComEd!Y166-PECO!Y195-BGE!Y192</f>
        <v>0</v>
      </c>
      <c r="Z58" s="967">
        <f>+EXC!Z153-ComEd!Z166-PECO!Z195-BGE!Z192</f>
        <v>0</v>
      </c>
      <c r="AA58" s="1500">
        <f>+EXC!AA153-ComEd!AA166-PECO!AA195-BGE!AA192</f>
        <v>0</v>
      </c>
      <c r="AB58" s="1501">
        <f>+EXC!AB153-ComEd!AB166-PECO!AB195-BGE!AB192</f>
        <v>0</v>
      </c>
      <c r="AC58" s="1502">
        <f>+EXC!AC153-ComEd!AC166-PECO!AC195-BGE!AC192</f>
        <v>0</v>
      </c>
      <c r="AD58" s="966">
        <f>+EXC!AD153-ComEd!AD166-PECO!AD195-BGE!AD192</f>
        <v>0</v>
      </c>
      <c r="AE58" s="967">
        <f>+EXC!AE153-ComEd!AE166-PECO!AE195-BGE!AE192</f>
        <v>0</v>
      </c>
      <c r="AF58" s="1500">
        <f>+EXC!AF153-ComEd!AF166-PECO!AF195-BGE!AF192</f>
        <v>0</v>
      </c>
      <c r="AG58" s="1501">
        <f>+EXC!AG153-ComEd!AG166-PECO!AG195-BGE!AG192</f>
        <v>0</v>
      </c>
      <c r="AH58" s="1502">
        <f>+EXC!AH153-ComEd!AH166-PECO!AH195-BGE!AH192</f>
        <v>0</v>
      </c>
      <c r="AI58" s="966">
        <f>+EXC!AI153-ComEd!AI166-PECO!AI195-BGE!AI192</f>
        <v>0</v>
      </c>
      <c r="AJ58" s="967">
        <f>+EXC!AJ153-ComEd!AJ166-PECO!AJ195-BGE!AJ192</f>
        <v>0</v>
      </c>
      <c r="AK58" s="1500">
        <f>+EXC!AK153-ComEd!AK166-PECO!AK195-BGE!AK192</f>
        <v>0</v>
      </c>
      <c r="AL58" s="1501">
        <f>+EXC!AL153-ComEd!AL166-PECO!AL195-BGE!AL192</f>
        <v>0</v>
      </c>
      <c r="AM58" s="1502">
        <f>+EXC!AM153-ComEd!AM166-PECO!AM195-BGE!AM192</f>
        <v>0</v>
      </c>
      <c r="AN58" s="966">
        <f>+EXC!AN153-ComEd!AN166-PECO!AN195-BGE!AN192</f>
        <v>0</v>
      </c>
      <c r="AO58" s="967">
        <f>+EXC!AO153-ComEd!AO166-PECO!AO195-BGE!AO192-DPL!AJ175-ACE!AJ144</f>
        <v>0</v>
      </c>
      <c r="AP58" s="1500">
        <f>+EXC!AP153-ComEd!AP166-PECO!AP195-BGE!AP192-DPL!AK175-ACE!AK144</f>
        <v>0</v>
      </c>
      <c r="AQ58" s="1501">
        <f>+EXC!AQ153-ComEd!AQ166-PECO!AQ195-BGE!AQ192-DPL!AL175-ACE!AL144</f>
        <v>0</v>
      </c>
      <c r="AR58" s="1502">
        <f t="shared" si="130"/>
        <v>0</v>
      </c>
      <c r="AS58" s="966">
        <f>+EXC!AS153-ComEd!AS166-PECO!AS195-BGE!AS192-DPL!AN175-ACE!AN144</f>
        <v>0</v>
      </c>
      <c r="AT58" s="967">
        <f>+EXC!AT153-ComEd!AT166-PECO!AT195-BGE!AT192-DPL!AO175-ACE!AO144</f>
        <v>0</v>
      </c>
      <c r="AU58" s="967">
        <f>+EXC!AU153-ComEd!AU166-PECO!AU195-BGE!AU192-DPL!AP175-ACE!AP144</f>
        <v>0</v>
      </c>
      <c r="AV58" s="1501">
        <f>+EXC!AV153-ComEd!AV166-PECO!AV195-BGE!AV192-DPL!AQ175-ACE!AQ144</f>
        <v>0</v>
      </c>
      <c r="AW58" s="1502">
        <f t="shared" si="131"/>
        <v>0</v>
      </c>
      <c r="AX58" s="972">
        <v>0</v>
      </c>
      <c r="AY58" s="970">
        <v>0</v>
      </c>
      <c r="AZ58" s="970">
        <v>0</v>
      </c>
      <c r="BA58" s="971">
        <v>0</v>
      </c>
      <c r="BB58" s="969">
        <f t="shared" si="132"/>
        <v>0</v>
      </c>
      <c r="BC58" s="972">
        <v>0</v>
      </c>
      <c r="BD58" s="970">
        <v>0</v>
      </c>
      <c r="BE58" s="970">
        <v>0</v>
      </c>
      <c r="BF58" s="971">
        <v>0</v>
      </c>
      <c r="BG58" s="969">
        <f t="shared" si="133"/>
        <v>0</v>
      </c>
      <c r="BH58" s="972">
        <v>0</v>
      </c>
      <c r="BI58" s="970">
        <v>0</v>
      </c>
      <c r="BJ58" s="970">
        <v>0</v>
      </c>
      <c r="BK58" s="971">
        <v>0</v>
      </c>
      <c r="BL58" s="969">
        <f t="shared" si="134"/>
        <v>0</v>
      </c>
      <c r="BM58" s="972">
        <v>0</v>
      </c>
      <c r="BN58" s="970">
        <v>0</v>
      </c>
      <c r="BO58" s="970">
        <v>0</v>
      </c>
      <c r="BP58" s="971">
        <v>0</v>
      </c>
      <c r="BQ58" s="969">
        <f t="shared" si="135"/>
        <v>0</v>
      </c>
    </row>
    <row r="59" spans="2:69" s="965" customFormat="1">
      <c r="C59" s="965" t="s">
        <v>62</v>
      </c>
      <c r="E59" s="966">
        <f>+EXC!E154-ExGen!E823-ComEd!E167-PECO!E196</f>
        <v>38</v>
      </c>
      <c r="F59" s="967">
        <f>+EXC!F154-ExGen!F823-ComEd!F167-PECO!F196</f>
        <v>18</v>
      </c>
      <c r="G59" s="967">
        <f>+EXC!G154-ExGen!G823-ComEd!G167-PECO!G196</f>
        <v>37</v>
      </c>
      <c r="H59" s="968">
        <f>+EXC!H154-ExGen!H823-ComEd!H167-PECO!H196</f>
        <v>5</v>
      </c>
      <c r="I59" s="969">
        <f>+EXC!I154-ExGen!I823-ComEd!I167-PECO!I196</f>
        <v>98</v>
      </c>
      <c r="J59" s="966">
        <f>+EXC!J154-ExGen!J823-ComEd!J167-PECO!J196</f>
        <v>25</v>
      </c>
      <c r="K59" s="967">
        <f>+EXC!K154-ExGen!K823-ComEd!K167-PECO!K196</f>
        <v>16</v>
      </c>
      <c r="L59" s="967">
        <f>+EXC!L154-ExGen!L823-ComEd!L167-PECO!L196</f>
        <v>16</v>
      </c>
      <c r="M59" s="968">
        <f>+EXC!M154-ExGen!M823-ComEd!M167-PECO!M196</f>
        <v>24</v>
      </c>
      <c r="N59" s="969">
        <f>+EXC!N154-ExGen!N823-ComEd!N167-PECO!N196</f>
        <v>81</v>
      </c>
      <c r="O59" s="966">
        <f>+EXC!O154-ExGen!O823-ComEd!O167-PECO!O196</f>
        <v>34</v>
      </c>
      <c r="P59" s="967">
        <f>+EXC!P154-ExGen!P823-ComEd!P167-PECO!P196</f>
        <v>17</v>
      </c>
      <c r="Q59" s="967">
        <f>+EXC!Q154-ExGen!Q823-ComEd!Q167-PECO!Q196</f>
        <v>6</v>
      </c>
      <c r="R59" s="968">
        <f>+EXC!R154-ExGen!R823-ComEd!R167-PECO!R196</f>
        <v>8</v>
      </c>
      <c r="S59" s="969">
        <f>+EXC!S154-ExGen!S823-ComEd!S167-PECO!S196</f>
        <v>65</v>
      </c>
      <c r="T59" s="966">
        <f>+EXC!T154-ExGen!T823-ComEd!T167-PECO!T196-BGE!T193</f>
        <v>152</v>
      </c>
      <c r="U59" s="1329">
        <f>+EXC!U154-ExGen!U823-ComEd!U167-PECO!U196-BGE!U193</f>
        <v>66</v>
      </c>
      <c r="V59" s="1329">
        <f>+EXC!V154-ExGen!V823-ComEd!V167-PECO!V196-BGE!V193</f>
        <v>10</v>
      </c>
      <c r="W59" s="1330">
        <f>+EXC!W154-ExGen!W823-ComEd!W167-PECO!W196-BGE!W193</f>
        <v>55</v>
      </c>
      <c r="X59" s="1331">
        <f>+EXC!X154-ExGen!X823-ComEd!X167-PECO!X196-BGE!X193</f>
        <v>283</v>
      </c>
      <c r="Y59" s="966">
        <f>+EXC!Y154-ExGen!Y823-ComEd!Y167-PECO!Y196-BGE!Y193</f>
        <v>24</v>
      </c>
      <c r="Z59" s="967">
        <f>+EXC!Z154-ExGen!Z823-ComEd!Z167-PECO!Z196-BGE!Z193</f>
        <v>80</v>
      </c>
      <c r="AA59" s="1500">
        <f>+EXC!AA154-ExGen!AA823-ComEd!AA167-PECO!AA196-BGE!AA193</f>
        <v>37</v>
      </c>
      <c r="AB59" s="1501">
        <f>+EXC!AB154-ExGen!AB823-ComEd!AB167-PECO!AB196-BGE!AB193</f>
        <v>35</v>
      </c>
      <c r="AC59" s="1502">
        <f>+EXC!AC154-ExGen!AC823-ComEd!AC167-PECO!AC196-BGE!AC193</f>
        <v>176</v>
      </c>
      <c r="AD59" s="966">
        <f>+EXC!AD154-ExGen!AD823-ComEd!AD167-PECO!AD196-BGE!AD193</f>
        <v>52</v>
      </c>
      <c r="AE59" s="967">
        <f>+EXC!AE154-ExGen!AE823-ComEd!AE167-PECO!AE196-BGE!AE193</f>
        <v>59</v>
      </c>
      <c r="AF59" s="1500">
        <f>+EXC!AF154-ExGen!AF823-ComEd!AF167-PECO!AF196-BGE!AF193</f>
        <v>57</v>
      </c>
      <c r="AG59" s="1501">
        <f>+EXC!AG154-ExGen!AG823-ComEd!AG167-PECO!AG196-BGE!AG193</f>
        <v>118</v>
      </c>
      <c r="AH59" s="1502">
        <f>+EXC!AH154-ExGen!AH823-ComEd!AH167-PECO!AH196-BGE!AH193</f>
        <v>286</v>
      </c>
      <c r="AI59" s="966">
        <f>+EXC!AI154-ExGen!AI823-ComEd!AI167-PECO!AI196-BGE!AI193</f>
        <v>137</v>
      </c>
      <c r="AJ59" s="967">
        <f>+EXC!AJ154-ExGen!AJ823-ComEd!AJ167-PECO!AJ196-BGE!AJ193</f>
        <v>-123</v>
      </c>
      <c r="AK59" s="1500">
        <f>+EXC!AK154-ExGen!AK823-ComEd!AK167-PECO!AK196-BGE!AK193</f>
        <v>33</v>
      </c>
      <c r="AL59" s="1501">
        <f>+EXC!AL154-ExGen!AL823-ComEd!AL167-PECO!AL196-BGE!AL193</f>
        <v>71</v>
      </c>
      <c r="AM59" s="1502">
        <f>+EXC!AM154-ExGen!AM823-ComEd!AM167-PECO!AM196-BGE!AM193</f>
        <v>118</v>
      </c>
      <c r="AN59" s="966">
        <f>+EXC!AN154-ExGen!AN823-ComEd!AN167-PECO!AN196-BGE!AN193</f>
        <v>524</v>
      </c>
      <c r="AO59" s="967">
        <f>+EXC!AO154-ExGen!AO823-ComEd!AO167-PECO!AO196-BGE!AO193-Pepco!AJ146-DPL!AJ177-ACE!AJ146</f>
        <v>173</v>
      </c>
      <c r="AP59" s="1500">
        <f>+EXC!AP154-ExGen!AP823-ComEd!AP167-PECO!AP196-BGE!AP193-Pepco!AK146-DPL!AK177-ACE!AK146</f>
        <v>107</v>
      </c>
      <c r="AQ59" s="1501">
        <f>+EXC!AQ154-ExGen!AQ823-ComEd!AQ167-PECO!AQ196-BGE!AQ193-Pepco!AL146-DPL!AL177-ACE!AL146</f>
        <v>89</v>
      </c>
      <c r="AR59" s="1502">
        <f t="shared" si="130"/>
        <v>893</v>
      </c>
      <c r="AS59" s="966">
        <f>+EXC!AS154-ExGen!AS823-ComEd!AS167-PECO!AS196-BGE!AS193-Pepco!AN146-DPL!AN177-ACE!AN146</f>
        <v>66</v>
      </c>
      <c r="AT59" s="967">
        <f>+EXC!AT154-ExGen!AT823-ComEd!AT167-PECO!AT196-BGE!AT193-Pepco!AO146-DPL!AO177-ACE!AO146</f>
        <v>104</v>
      </c>
      <c r="AU59" s="967">
        <f>+EXC!AU154-ExGen!AU823-ComEd!AU167-PECO!AU196-BGE!AU193-Pepco!AP146-DPL!AP177-ACE!AP146</f>
        <v>54</v>
      </c>
      <c r="AV59" s="1501">
        <f>+EXC!AV154-ExGen!AV823-ComEd!AV167-PECO!AV196-BGE!AV193-Pepco!AQ146-DPL!AQ177-ACE!AQ146</f>
        <v>94</v>
      </c>
      <c r="AW59" s="1502">
        <f t="shared" si="131"/>
        <v>318</v>
      </c>
      <c r="AX59" s="972">
        <v>0</v>
      </c>
      <c r="AY59" s="970">
        <v>0</v>
      </c>
      <c r="AZ59" s="970">
        <v>0</v>
      </c>
      <c r="BA59" s="971">
        <v>0</v>
      </c>
      <c r="BB59" s="969">
        <f t="shared" si="132"/>
        <v>0</v>
      </c>
      <c r="BC59" s="972">
        <v>0</v>
      </c>
      <c r="BD59" s="970">
        <v>0</v>
      </c>
      <c r="BE59" s="970">
        <v>0</v>
      </c>
      <c r="BF59" s="971">
        <v>0</v>
      </c>
      <c r="BG59" s="969">
        <f t="shared" si="133"/>
        <v>0</v>
      </c>
      <c r="BH59" s="972">
        <v>0</v>
      </c>
      <c r="BI59" s="970">
        <v>0</v>
      </c>
      <c r="BJ59" s="970">
        <v>0</v>
      </c>
      <c r="BK59" s="971">
        <v>0</v>
      </c>
      <c r="BL59" s="969">
        <f t="shared" si="134"/>
        <v>0</v>
      </c>
      <c r="BM59" s="972">
        <v>0</v>
      </c>
      <c r="BN59" s="970">
        <v>0</v>
      </c>
      <c r="BO59" s="970">
        <v>0</v>
      </c>
      <c r="BP59" s="971">
        <v>0</v>
      </c>
      <c r="BQ59" s="969">
        <f t="shared" si="135"/>
        <v>0</v>
      </c>
    </row>
    <row r="60" spans="2:69" s="965" customFormat="1">
      <c r="C60" s="965" t="s">
        <v>425</v>
      </c>
      <c r="E60" s="966">
        <f>+EXC!E155-ExGen!E824-ComEd!E168-PECO!E197</f>
        <v>-108</v>
      </c>
      <c r="F60" s="967">
        <f>+EXC!F155-ExGen!F824-ComEd!F168-PECO!F197</f>
        <v>-30</v>
      </c>
      <c r="G60" s="967">
        <f>+EXC!G155-ExGen!G824-ComEd!G168-PECO!G197</f>
        <v>0</v>
      </c>
      <c r="H60" s="968">
        <f>+EXC!H155-ExGen!H824-ComEd!H168-PECO!H197</f>
        <v>74</v>
      </c>
      <c r="I60" s="969">
        <f>+EXC!I155-ExGen!I824-ComEd!I168-PECO!I197</f>
        <v>-64</v>
      </c>
      <c r="J60" s="966">
        <f>+EXC!J155-ExGen!J824-ComEd!J168-PECO!J197</f>
        <v>-113</v>
      </c>
      <c r="K60" s="967">
        <f>+EXC!K155-ExGen!K824-ComEd!K168-PECO!K197</f>
        <v>25</v>
      </c>
      <c r="L60" s="967">
        <f>+EXC!L155-ExGen!L824-ComEd!L168-PECO!L197</f>
        <v>18</v>
      </c>
      <c r="M60" s="968">
        <f>+EXC!M155-ExGen!M824-ComEd!M168-PECO!M197</f>
        <v>-39</v>
      </c>
      <c r="N60" s="969">
        <f>+EXC!N155-ExGen!N824-ComEd!N168-PECO!N197</f>
        <v>-109</v>
      </c>
      <c r="O60" s="966">
        <f>+EXC!O155-ExGen!O824-ComEd!O168-PECO!O197</f>
        <v>-489</v>
      </c>
      <c r="P60" s="967">
        <f>+EXC!P155-ExGen!P824-ComEd!P168-PECO!P197</f>
        <v>-40</v>
      </c>
      <c r="Q60" s="967">
        <f>+EXC!Q155-ExGen!Q824-ComEd!Q168-PECO!Q197</f>
        <v>61</v>
      </c>
      <c r="R60" s="968">
        <f>+EXC!R155-ExGen!R824-ComEd!R168-PECO!R197</f>
        <v>396</v>
      </c>
      <c r="S60" s="969">
        <f>+EXC!S155-ExGen!S824-ComEd!S168-PECO!S197</f>
        <v>-72</v>
      </c>
      <c r="T60" s="966">
        <f>+EXC!T155-ExGen!T824-ComEd!T168-PECO!T197-BGE!T194</f>
        <v>-325</v>
      </c>
      <c r="U60" s="1329">
        <f>+EXC!U155-ExGen!U824-ComEd!U168-PECO!U197-BGE!U194</f>
        <v>-144</v>
      </c>
      <c r="V60" s="1329">
        <f>+EXC!V155-ExGen!V824-ComEd!V168-PECO!V197-BGE!V194</f>
        <v>28</v>
      </c>
      <c r="W60" s="1330">
        <f>+EXC!W155-ExGen!W824-ComEd!W168-PECO!W197-BGE!W194</f>
        <v>378</v>
      </c>
      <c r="X60" s="1331">
        <f>+EXC!X155-ExGen!X824-ComEd!X168-PECO!X197-BGE!X194</f>
        <v>-63</v>
      </c>
      <c r="Y60" s="966">
        <f>+EXC!Y155-ExGen!Y824-ComEd!Y168-PECO!Y197-BGE!Y194</f>
        <v>308</v>
      </c>
      <c r="Z60" s="967">
        <f>+EXC!Z155-ExGen!Z824-ComEd!Z168-PECO!Z197-BGE!Z194</f>
        <v>-96</v>
      </c>
      <c r="AA60" s="1500">
        <f>+EXC!AA155-ExGen!AA824-ComEd!AA168-PECO!AA197-BGE!AA194</f>
        <v>-15</v>
      </c>
      <c r="AB60" s="1501">
        <f>+EXC!AB155-ExGen!AB824-ComEd!AB168-PECO!AB197-BGE!AB194</f>
        <v>51</v>
      </c>
      <c r="AC60" s="1502">
        <f>+EXC!AC155-ExGen!AC824-ComEd!AC168-PECO!AC197-BGE!AC194</f>
        <v>248</v>
      </c>
      <c r="AD60" s="966">
        <f>+EXC!AD155-ExGen!AD824-ComEd!AD168-PECO!AD197-BGE!AD194</f>
        <v>-155</v>
      </c>
      <c r="AE60" s="967">
        <f>+EXC!AE155-ExGen!AE824-ComEd!AE168-PECO!AE197-BGE!AE194</f>
        <v>-155</v>
      </c>
      <c r="AF60" s="1500">
        <f>+EXC!AF155-ExGen!AF824-ComEd!AF168-PECO!AF197-BGE!AF194</f>
        <v>-37</v>
      </c>
      <c r="AG60" s="1501">
        <f>+EXC!AG155-ExGen!AG824-ComEd!AG168-PECO!AG197-BGE!AG194</f>
        <v>-34</v>
      </c>
      <c r="AH60" s="1502">
        <f>+EXC!AH155-ExGen!AH824-ComEd!AH168-PECO!AH197-BGE!AH194</f>
        <v>-381</v>
      </c>
      <c r="AI60" s="966">
        <f>+EXC!AI155-ExGen!AI824-ComEd!AI168-PECO!AI197-BGE!AI194</f>
        <v>-70</v>
      </c>
      <c r="AJ60" s="967">
        <f>+EXC!AJ155-ExGen!AJ824-ComEd!AJ168-PECO!AJ197-BGE!AJ194</f>
        <v>-83</v>
      </c>
      <c r="AK60" s="1500">
        <f>+EXC!AK155-ExGen!AK824-ComEd!AK168-PECO!AK197-BGE!AK194</f>
        <v>-5</v>
      </c>
      <c r="AL60" s="1501">
        <f>+EXC!AL155-ExGen!AL824-ComEd!AL168-PECO!AL197-BGE!AL194</f>
        <v>31</v>
      </c>
      <c r="AM60" s="1502">
        <f>+EXC!AM155-ExGen!AM824-ComEd!AM168-PECO!AM197-BGE!AM194</f>
        <v>-127</v>
      </c>
      <c r="AN60" s="966">
        <f>+EXC!AN155-ExGen!AN824-ComEd!AN168-PECO!AN197-BGE!AN194</f>
        <v>-25</v>
      </c>
      <c r="AO60" s="967">
        <f>+EXC!AO155-ExGen!AO824-ComEd!AO168-PECO!AO197-BGE!AO194-Pepco!AJ147-DPL!AJ178-ACE!AJ147</f>
        <v>-77</v>
      </c>
      <c r="AP60" s="1500">
        <f>+EXC!AP155-ExGen!AP824-ComEd!AP168-PECO!AP197-BGE!AP194-Pepco!AK147-DPL!AK178-ACE!AK147</f>
        <v>98</v>
      </c>
      <c r="AQ60" s="1501">
        <f>+EXC!AQ155-ExGen!AQ824-ComEd!AQ168-PECO!AQ197-BGE!AQ194-Pepco!AL147-DPL!AL178-ACE!AL147</f>
        <v>-1199</v>
      </c>
      <c r="AR60" s="1502">
        <f t="shared" si="130"/>
        <v>-1203</v>
      </c>
      <c r="AS60" s="966">
        <f>+EXC!AS155-ExGen!AS824-ComEd!AS168-PECO!AS197-BGE!AS194-Pepco!AN147-DPL!AN178-ACE!AN147</f>
        <v>-93</v>
      </c>
      <c r="AT60" s="967">
        <f>+EXC!AT155-ExGen!AT824-ComEd!AT168-PECO!AT197-BGE!AT194-Pepco!AO147-DPL!AO178-ACE!AO147</f>
        <v>-140</v>
      </c>
      <c r="AU60" s="967">
        <f>+EXC!AU155-ExGen!AU824-ComEd!AU168-PECO!AU197-BGE!AU194-Pepco!AP147-DPL!AP178-ACE!AP147</f>
        <v>240</v>
      </c>
      <c r="AV60" s="1501">
        <f>+EXC!AV155-ExGen!AV824-ComEd!AV168-PECO!AV197-BGE!AV194-Pepco!AQ147-DPL!AQ178-ACE!AQ147</f>
        <v>-280</v>
      </c>
      <c r="AW60" s="1502">
        <f t="shared" si="131"/>
        <v>-273</v>
      </c>
      <c r="AX60" s="972">
        <v>0</v>
      </c>
      <c r="AY60" s="970">
        <v>0</v>
      </c>
      <c r="AZ60" s="970">
        <v>0</v>
      </c>
      <c r="BA60" s="971">
        <v>0</v>
      </c>
      <c r="BB60" s="969">
        <f t="shared" si="132"/>
        <v>0</v>
      </c>
      <c r="BC60" s="972">
        <v>0</v>
      </c>
      <c r="BD60" s="970">
        <v>0</v>
      </c>
      <c r="BE60" s="970">
        <v>0</v>
      </c>
      <c r="BF60" s="971">
        <v>0</v>
      </c>
      <c r="BG60" s="969">
        <f t="shared" si="133"/>
        <v>0</v>
      </c>
      <c r="BH60" s="972">
        <v>0</v>
      </c>
      <c r="BI60" s="970">
        <v>0</v>
      </c>
      <c r="BJ60" s="970">
        <v>0</v>
      </c>
      <c r="BK60" s="971">
        <v>0</v>
      </c>
      <c r="BL60" s="969">
        <f t="shared" si="134"/>
        <v>0</v>
      </c>
      <c r="BM60" s="972">
        <v>0</v>
      </c>
      <c r="BN60" s="970">
        <v>0</v>
      </c>
      <c r="BO60" s="970">
        <v>0</v>
      </c>
      <c r="BP60" s="971">
        <v>0</v>
      </c>
      <c r="BQ60" s="969">
        <f t="shared" si="135"/>
        <v>0</v>
      </c>
    </row>
    <row r="61" spans="2:69" s="965" customFormat="1">
      <c r="C61" s="964" t="s">
        <v>76</v>
      </c>
      <c r="E61" s="973">
        <f>SUM(E54:E60)</f>
        <v>-96</v>
      </c>
      <c r="F61" s="974">
        <f t="shared" ref="F61:AE61" si="139">SUM(F54:F60)</f>
        <v>-36</v>
      </c>
      <c r="G61" s="974">
        <f t="shared" si="139"/>
        <v>33</v>
      </c>
      <c r="H61" s="975">
        <f t="shared" si="139"/>
        <v>77</v>
      </c>
      <c r="I61" s="976">
        <f t="shared" si="139"/>
        <v>-22</v>
      </c>
      <c r="J61" s="973">
        <f t="shared" si="139"/>
        <v>-80</v>
      </c>
      <c r="K61" s="974">
        <f t="shared" si="139"/>
        <v>37</v>
      </c>
      <c r="L61" s="974">
        <f t="shared" si="139"/>
        <v>31</v>
      </c>
      <c r="M61" s="975">
        <f t="shared" si="139"/>
        <v>-3</v>
      </c>
      <c r="N61" s="976">
        <f t="shared" si="139"/>
        <v>-15</v>
      </c>
      <c r="O61" s="973">
        <f t="shared" si="139"/>
        <v>-447</v>
      </c>
      <c r="P61" s="974">
        <f t="shared" si="139"/>
        <v>-46</v>
      </c>
      <c r="Q61" s="974">
        <f t="shared" si="139"/>
        <v>17</v>
      </c>
      <c r="R61" s="975">
        <f t="shared" si="139"/>
        <v>362</v>
      </c>
      <c r="S61" s="976">
        <f t="shared" si="139"/>
        <v>-114</v>
      </c>
      <c r="T61" s="973">
        <f t="shared" si="139"/>
        <v>-516</v>
      </c>
      <c r="U61" s="982">
        <f t="shared" si="139"/>
        <v>-121</v>
      </c>
      <c r="V61" s="982">
        <f>SUM(V54:V60)</f>
        <v>49</v>
      </c>
      <c r="W61" s="983">
        <f>SUM(W54:W60)</f>
        <v>441</v>
      </c>
      <c r="X61" s="984">
        <f>SUM(X54:X60)</f>
        <v>-147</v>
      </c>
      <c r="Y61" s="973">
        <f t="shared" si="139"/>
        <v>-85</v>
      </c>
      <c r="Z61" s="974">
        <f t="shared" si="139"/>
        <v>-63</v>
      </c>
      <c r="AA61" s="1503">
        <f>SUM(AA54:AA60)</f>
        <v>-18</v>
      </c>
      <c r="AB61" s="1504">
        <f>SUM(AB54:AB60)</f>
        <v>96</v>
      </c>
      <c r="AC61" s="1505">
        <f>SUM(AC54:AC60)</f>
        <v>-70</v>
      </c>
      <c r="AD61" s="973">
        <f t="shared" si="139"/>
        <v>-35</v>
      </c>
      <c r="AE61" s="974">
        <f t="shared" si="139"/>
        <v>-135</v>
      </c>
      <c r="AF61" s="1503">
        <f>SUM(AF54:AF60)</f>
        <v>51</v>
      </c>
      <c r="AG61" s="1504">
        <f>SUM(AG54:AG60)</f>
        <v>-28</v>
      </c>
      <c r="AH61" s="1505">
        <f>SUM(AH54:AH60)</f>
        <v>-147</v>
      </c>
      <c r="AI61" s="973">
        <f t="shared" ref="AI61:AJ61" si="140">SUM(AI54:AI60)</f>
        <v>-37</v>
      </c>
      <c r="AJ61" s="974">
        <f t="shared" si="140"/>
        <v>-81</v>
      </c>
      <c r="AK61" s="1503">
        <f>SUM(AK54:AK60)</f>
        <v>-23</v>
      </c>
      <c r="AL61" s="1504">
        <f>SUM(AL54:AL60)</f>
        <v>110</v>
      </c>
      <c r="AM61" s="1505">
        <f>SUM(AM54:AM60)</f>
        <v>-31</v>
      </c>
      <c r="AN61" s="350">
        <f t="shared" ref="AN61" si="141">SUM(AN54:AN60)</f>
        <v>-4</v>
      </c>
      <c r="AO61" s="351">
        <f>SUM(AO54:AO60)</f>
        <v>72</v>
      </c>
      <c r="AP61" s="351">
        <f t="shared" ref="AP61" si="142">SUM(AP54:AP60)</f>
        <v>146</v>
      </c>
      <c r="AQ61" s="352">
        <f>SUM(AQ54:AQ60)</f>
        <v>-1187</v>
      </c>
      <c r="AR61" s="1505">
        <f>SUM(AR54:AR60)</f>
        <v>-973</v>
      </c>
      <c r="AS61" s="350">
        <f>SUM(AS54:AS60)</f>
        <v>-125</v>
      </c>
      <c r="AT61" s="351">
        <f>SUM(AT54:AT60)</f>
        <v>21</v>
      </c>
      <c r="AU61" s="351">
        <f t="shared" ref="AU61" si="143">SUM(AU54:AU60)</f>
        <v>286</v>
      </c>
      <c r="AV61" s="352">
        <f>SUM(AV54:AV60)</f>
        <v>-37</v>
      </c>
      <c r="AW61" s="1505">
        <f>SUM(AW54:AW60)</f>
        <v>145</v>
      </c>
      <c r="AX61" s="973">
        <f t="shared" ref="AX61:BB61" ca="1" si="144">SUM(AX54:AX60)</f>
        <v>-0.53748324064320085</v>
      </c>
      <c r="AY61" s="974">
        <f t="shared" ca="1" si="144"/>
        <v>-28.118820936761303</v>
      </c>
      <c r="AZ61" s="974">
        <f t="shared" ca="1" si="144"/>
        <v>-7.1200512874461817</v>
      </c>
      <c r="BA61" s="975">
        <f t="shared" ca="1" si="144"/>
        <v>-50.380229114257091</v>
      </c>
      <c r="BB61" s="976">
        <f t="shared" ca="1" si="144"/>
        <v>-131.08991301736552</v>
      </c>
      <c r="BC61" s="973">
        <f t="shared" ref="BC61:BL61" ca="1" si="145">SUM(BC54:BC60)</f>
        <v>1.2935289962372147</v>
      </c>
      <c r="BD61" s="974">
        <f t="shared" ca="1" si="145"/>
        <v>-21.911626308368643</v>
      </c>
      <c r="BE61" s="974">
        <f t="shared" ca="1" si="145"/>
        <v>-3.6032767530898666</v>
      </c>
      <c r="BF61" s="975">
        <f t="shared" ca="1" si="145"/>
        <v>-27.174788980553437</v>
      </c>
      <c r="BG61" s="976">
        <f t="shared" ca="1" si="145"/>
        <v>-87.474492603698963</v>
      </c>
      <c r="BH61" s="973">
        <f t="shared" ca="1" si="145"/>
        <v>-2.3432858621909785</v>
      </c>
      <c r="BI61" s="974">
        <f t="shared" ca="1" si="145"/>
        <v>-18.647814263391396</v>
      </c>
      <c r="BJ61" s="974">
        <f t="shared" ca="1" si="145"/>
        <v>-20.244851451414217</v>
      </c>
      <c r="BK61" s="975">
        <f t="shared" ca="1" si="145"/>
        <v>-36.960548788777771</v>
      </c>
      <c r="BL61" s="976">
        <f t="shared" ca="1" si="145"/>
        <v>-113.1342988577432</v>
      </c>
      <c r="BM61" s="973">
        <f t="shared" ref="BM61:BQ61" ca="1" si="146">SUM(BM54:BM60)</f>
        <v>-11.821034624263442</v>
      </c>
      <c r="BN61" s="974">
        <f t="shared" ca="1" si="146"/>
        <v>-20.324245675200164</v>
      </c>
      <c r="BO61" s="974">
        <f t="shared" ca="1" si="146"/>
        <v>-37.632633043842681</v>
      </c>
      <c r="BP61" s="975">
        <f t="shared" ca="1" si="146"/>
        <v>-52.385668791527031</v>
      </c>
      <c r="BQ61" s="976">
        <f t="shared" ca="1" si="146"/>
        <v>-161.53750325805782</v>
      </c>
    </row>
    <row r="62" spans="2:69" s="965" customFormat="1">
      <c r="E62" s="977"/>
      <c r="F62" s="978"/>
      <c r="G62" s="978"/>
      <c r="H62" s="979"/>
      <c r="I62" s="980"/>
      <c r="J62" s="977"/>
      <c r="K62" s="978"/>
      <c r="L62" s="978"/>
      <c r="M62" s="979"/>
      <c r="N62" s="980"/>
      <c r="O62" s="977"/>
      <c r="P62" s="978"/>
      <c r="Q62" s="978"/>
      <c r="R62" s="979"/>
      <c r="S62" s="980"/>
      <c r="T62" s="977"/>
      <c r="U62" s="1329"/>
      <c r="V62" s="1329"/>
      <c r="W62" s="1330"/>
      <c r="X62" s="1331"/>
      <c r="Y62" s="977"/>
      <c r="Z62" s="978"/>
      <c r="AA62" s="1500"/>
      <c r="AB62" s="1501"/>
      <c r="AC62" s="1502"/>
      <c r="AD62" s="977"/>
      <c r="AE62" s="978"/>
      <c r="AF62" s="1500"/>
      <c r="AG62" s="1501"/>
      <c r="AH62" s="1502"/>
      <c r="AI62" s="977"/>
      <c r="AJ62" s="978"/>
      <c r="AK62" s="1500"/>
      <c r="AL62" s="1501"/>
      <c r="AM62" s="1502"/>
      <c r="AN62" s="977"/>
      <c r="AO62" s="978"/>
      <c r="AP62" s="1500"/>
      <c r="AQ62" s="1501"/>
      <c r="AR62" s="1502"/>
      <c r="AS62" s="977"/>
      <c r="AT62" s="978"/>
      <c r="AU62" s="978"/>
      <c r="AV62" s="1501"/>
      <c r="AW62" s="1502"/>
      <c r="AX62" s="977"/>
      <c r="AY62" s="978"/>
      <c r="AZ62" s="978"/>
      <c r="BA62" s="979"/>
      <c r="BB62" s="980"/>
      <c r="BC62" s="977"/>
      <c r="BD62" s="978"/>
      <c r="BE62" s="978"/>
      <c r="BF62" s="979"/>
      <c r="BG62" s="980"/>
      <c r="BH62" s="977"/>
      <c r="BI62" s="978"/>
      <c r="BJ62" s="978"/>
      <c r="BK62" s="979"/>
      <c r="BL62" s="980"/>
      <c r="BM62" s="977"/>
      <c r="BN62" s="978"/>
      <c r="BO62" s="978"/>
      <c r="BP62" s="979"/>
      <c r="BQ62" s="980"/>
    </row>
    <row r="63" spans="2:69" s="965" customFormat="1">
      <c r="C63" s="965" t="s">
        <v>423</v>
      </c>
      <c r="E63" s="966">
        <f>+EXC!E158-ExGen!E827-ComEd!E171-PECO!E200</f>
        <v>-20</v>
      </c>
      <c r="F63" s="967">
        <f>+EXC!F158-ExGen!F827-ComEd!F171-PECO!F200</f>
        <v>-21</v>
      </c>
      <c r="G63" s="967">
        <f>+EXC!G158-ExGen!G827-ComEd!G171-PECO!G200</f>
        <v>-9</v>
      </c>
      <c r="H63" s="968">
        <f>+EXC!H158-ExGen!H827-ComEd!H171-PECO!H200</f>
        <v>-4</v>
      </c>
      <c r="I63" s="969">
        <f>+EXC!I158-ExGen!I827-ComEd!I171-PECO!I200</f>
        <v>-54</v>
      </c>
      <c r="J63" s="966">
        <f>+EXC!J158-ExGen!J827-ComEd!J171-PECO!J200</f>
        <v>71</v>
      </c>
      <c r="K63" s="967">
        <f>+EXC!K158-ExGen!K827-ComEd!K171-PECO!K200</f>
        <v>-2</v>
      </c>
      <c r="L63" s="967">
        <f>+EXC!L158-ExGen!L827-ComEd!L171-PECO!L200</f>
        <v>-2</v>
      </c>
      <c r="M63" s="968">
        <f>+EXC!M158-ExGen!M827-ComEd!M171-PECO!M200</f>
        <v>-3</v>
      </c>
      <c r="N63" s="969">
        <f>+EXC!N158-ExGen!N827-ComEd!N171-PECO!N200</f>
        <v>64</v>
      </c>
      <c r="O63" s="966">
        <f>+EXC!O158-ExGen!O827-ComEd!O171-PECO!O200</f>
        <v>-6</v>
      </c>
      <c r="P63" s="967">
        <f>+EXC!P158-ExGen!P827-ComEd!P171-PECO!P200</f>
        <v>-5</v>
      </c>
      <c r="Q63" s="967">
        <f>+EXC!Q158-ExGen!Q827-ComEd!Q171-PECO!Q200</f>
        <v>-17</v>
      </c>
      <c r="R63" s="968">
        <f>+EXC!R158-ExGen!R827-ComEd!R171-PECO!R200</f>
        <v>-14</v>
      </c>
      <c r="S63" s="969">
        <f>+EXC!S158-ExGen!S827-ComEd!S171-PECO!S200</f>
        <v>-42</v>
      </c>
      <c r="T63" s="966">
        <f>+EXC!T158-ExGen!T827-ComEd!T171-PECO!T200-BGE!T197</f>
        <v>61</v>
      </c>
      <c r="U63" s="1329">
        <f>+EXC!U158-ExGen!U827-ComEd!U171-PECO!U200-BGE!U197</f>
        <v>-11</v>
      </c>
      <c r="V63" s="1329">
        <f>+EXC!V158-ExGen!V827-ComEd!V171-PECO!V200-BGE!V197</f>
        <v>-21</v>
      </c>
      <c r="W63" s="1330">
        <f>+EXC!W158-ExGen!W827-ComEd!W171-PECO!W200-BGE!W197</f>
        <v>-14</v>
      </c>
      <c r="X63" s="1331">
        <f>+EXC!X158-ExGen!X827-ComEd!X171-PECO!X200-BGE!X197</f>
        <v>15</v>
      </c>
      <c r="Y63" s="966">
        <f>+EXC!Y158-ExGen!Y827-ComEd!Y171-PECO!Y200-BGE!Y197</f>
        <v>-4</v>
      </c>
      <c r="Z63" s="967">
        <f>+EXC!Z158-ExGen!Z827-ComEd!Z171-PECO!Z200-BGE!Z197</f>
        <v>-8</v>
      </c>
      <c r="AA63" s="1500">
        <f>+EXC!AA158-ExGen!AA827-ComEd!AA171-PECO!AA200-BGE!AA197</f>
        <v>-41</v>
      </c>
      <c r="AB63" s="1501">
        <f>+EXC!AB158-ExGen!AB827-ComEd!AB171-PECO!AB200-BGE!AB197</f>
        <v>-33</v>
      </c>
      <c r="AC63" s="1502">
        <f>+EXC!AC158-ExGen!AC827-ComEd!AC171-PECO!AC200-BGE!AC197</f>
        <v>-86</v>
      </c>
      <c r="AD63" s="966">
        <f>+EXC!AD158-ExGen!AD827-ComEd!AD171-PECO!AD200-BGE!AD197</f>
        <v>-11</v>
      </c>
      <c r="AE63" s="967">
        <f>+EXC!AE158-ExGen!AE827-ComEd!AE171-PECO!AE200-BGE!AE197</f>
        <v>-19</v>
      </c>
      <c r="AF63" s="1500">
        <f>+EXC!AF158-ExGen!AF827-ComEd!AF171-PECO!AF200-BGE!AF197</f>
        <v>-31</v>
      </c>
      <c r="AG63" s="1501">
        <f>+EXC!AG158-ExGen!AG827-ComEd!AG171-PECO!AG200-BGE!AG197</f>
        <v>-34</v>
      </c>
      <c r="AH63" s="1502">
        <f>+EXC!AH158-ExGen!AH827-ComEd!AH171-PECO!AH200-BGE!AH197</f>
        <v>-95</v>
      </c>
      <c r="AI63" s="966">
        <f>+EXC!AI158-ExGen!AI827-ComEd!AI171-PECO!AI200-BGE!AI197</f>
        <v>-33</v>
      </c>
      <c r="AJ63" s="967">
        <f>+EXC!AJ158-ExGen!AJ827-ComEd!AJ171-PECO!AJ200-BGE!AJ197</f>
        <v>-9</v>
      </c>
      <c r="AK63" s="1500">
        <f>+EXC!AK158-ExGen!AK827-ComEd!AK171-PECO!AK200-BGE!AK197</f>
        <v>-16</v>
      </c>
      <c r="AL63" s="1501">
        <f>+EXC!AL158-ExGen!AL827-ComEd!AL171-PECO!AL200-BGE!AL197</f>
        <v>-7</v>
      </c>
      <c r="AM63" s="1502">
        <f>+EXC!AM158-ExGen!AM827-ComEd!AM171-PECO!AM200-BGE!AM197</f>
        <v>-65</v>
      </c>
      <c r="AN63" s="966">
        <f>+EXC!AN158-ExGen!AN827-ComEd!AN171-PECO!AN200-BGE!AN197</f>
        <v>-67</v>
      </c>
      <c r="AO63" s="967">
        <f>+EXC!AO158-ExGen!AO827-ComEd!AO171-PECO!AO200-BGE!AO197-Pepco!AJ150-DPL!AJ181-ACE!AJ150</f>
        <v>-35</v>
      </c>
      <c r="AP63" s="1500">
        <f>+EXC!AP158-ExGen!AP827-ComEd!AP171-PECO!AP200-BGE!AP197-Pepco!AK150-DPL!AK181-ACE!AK150</f>
        <v>-18</v>
      </c>
      <c r="AQ63" s="1501">
        <f>+EXC!AQ158-ExGen!AQ827-ComEd!AQ171-PECO!AQ200-BGE!AQ197-Pepco!AL150-DPL!AL181-ACE!AL150</f>
        <v>-46</v>
      </c>
      <c r="AR63" s="1502">
        <f t="shared" ref="AR63:AR65" si="147">+SUM(AN63:AQ63)</f>
        <v>-166</v>
      </c>
      <c r="AS63" s="966">
        <f>+EXC!AS158-ExGen!AS827-ComEd!AS171-PECO!AS200-BGE!AS197-Pepco!AN150-DPL!AN181-ACE!AN150</f>
        <v>-22</v>
      </c>
      <c r="AT63" s="967">
        <f>+EXC!AT158-ExGen!AT827-ComEd!AT171-PECO!AT200-BGE!AT197-Pepco!AO150-DPL!AO181-ACE!AO150</f>
        <v>-36</v>
      </c>
      <c r="AU63" s="967">
        <f>+EXC!AU158-ExGen!AU827-ComEd!AU171-PECO!AU200-BGE!AU197-Pepco!AP150-DPL!AP181-ACE!AP150</f>
        <v>-19</v>
      </c>
      <c r="AV63" s="1501">
        <f>+EXC!AV158-ExGen!AV827-ComEd!AV171-PECO!AV200-BGE!AV197-Pepco!AQ150-DPL!AQ181-ACE!AQ150</f>
        <v>-16</v>
      </c>
      <c r="AW63" s="1502">
        <f t="shared" ref="AW63:AW65" si="148">+SUM(AS63:AV63)</f>
        <v>-93</v>
      </c>
      <c r="AX63" s="972">
        <v>0</v>
      </c>
      <c r="AY63" s="970">
        <v>0</v>
      </c>
      <c r="AZ63" s="970">
        <v>0</v>
      </c>
      <c r="BA63" s="971">
        <v>0</v>
      </c>
      <c r="BB63" s="969">
        <f>SUM(AX63:BA63)</f>
        <v>0</v>
      </c>
      <c r="BC63" s="972">
        <v>0</v>
      </c>
      <c r="BD63" s="970">
        <v>0</v>
      </c>
      <c r="BE63" s="970">
        <v>0</v>
      </c>
      <c r="BF63" s="971">
        <v>0</v>
      </c>
      <c r="BG63" s="969">
        <f>SUM(BC63:BF63)</f>
        <v>0</v>
      </c>
      <c r="BH63" s="972">
        <v>0</v>
      </c>
      <c r="BI63" s="970">
        <v>0</v>
      </c>
      <c r="BJ63" s="970">
        <v>0</v>
      </c>
      <c r="BK63" s="971">
        <v>0</v>
      </c>
      <c r="BL63" s="969">
        <f>SUM(BH63:BK63)</f>
        <v>0</v>
      </c>
      <c r="BM63" s="972">
        <v>0</v>
      </c>
      <c r="BN63" s="970">
        <v>0</v>
      </c>
      <c r="BO63" s="970">
        <v>0</v>
      </c>
      <c r="BP63" s="971">
        <v>0</v>
      </c>
      <c r="BQ63" s="969">
        <f>SUM(BM63:BP63)</f>
        <v>0</v>
      </c>
    </row>
    <row r="64" spans="2:69" s="965" customFormat="1">
      <c r="C64" s="965" t="s">
        <v>426</v>
      </c>
      <c r="E64" s="966">
        <f>+EXC!E159-ExGen!E828-ComEd!E172</f>
        <v>0</v>
      </c>
      <c r="F64" s="967">
        <f>+EXC!F159-ExGen!F828-ComEd!F172</f>
        <v>0</v>
      </c>
      <c r="G64" s="967">
        <f>+EXC!G159-ExGen!G828-ComEd!G172</f>
        <v>0</v>
      </c>
      <c r="H64" s="968">
        <f>+EXC!H159-ExGen!H828-ComEd!H172</f>
        <v>0</v>
      </c>
      <c r="I64" s="980">
        <f>+EXC!I159-ExGen!I828-ComEd!I172</f>
        <v>0</v>
      </c>
      <c r="J64" s="966">
        <f>+EXC!J159-ExGen!J828-ComEd!J172</f>
        <v>0</v>
      </c>
      <c r="K64" s="967">
        <f>+EXC!K159-ExGen!K828-ComEd!K172</f>
        <v>0</v>
      </c>
      <c r="L64" s="967">
        <f>+EXC!L159-ExGen!L828-ComEd!L172</f>
        <v>0</v>
      </c>
      <c r="M64" s="968">
        <f>+EXC!M159-ExGen!M828-ComEd!M172</f>
        <v>0</v>
      </c>
      <c r="N64" s="980">
        <f>+EXC!N159-ExGen!N828-ComEd!N172</f>
        <v>0</v>
      </c>
      <c r="O64" s="966">
        <f>+EXC!O159-ExGen!O828-ComEd!O172</f>
        <v>0</v>
      </c>
      <c r="P64" s="967">
        <f>+EXC!P159-ExGen!P828-ComEd!P172</f>
        <v>0</v>
      </c>
      <c r="Q64" s="967">
        <f>+EXC!Q159-ExGen!Q828-ComEd!Q172</f>
        <v>0</v>
      </c>
      <c r="R64" s="968">
        <f>+EXC!R159-ExGen!R828-ComEd!R172</f>
        <v>0</v>
      </c>
      <c r="S64" s="980">
        <f>+EXC!S159-ExGen!S828-ComEd!S172</f>
        <v>0</v>
      </c>
      <c r="T64" s="966">
        <f>+EXC!T159-ExGen!T828-ComEd!T172-BGE!T198</f>
        <v>0</v>
      </c>
      <c r="U64" s="1329">
        <f>+EXC!U159-ExGen!U828-ComEd!U172-BGE!U198</f>
        <v>0</v>
      </c>
      <c r="V64" s="1329">
        <f>+EXC!V159-ExGen!V828-ComEd!V172-BGE!V198</f>
        <v>964</v>
      </c>
      <c r="W64" s="1330">
        <f>+EXC!W159-ExGen!W828-ComEd!W172-BGE!W198</f>
        <v>-708</v>
      </c>
      <c r="X64" s="1331">
        <f>+EXC!X159-ExGen!X828-ComEd!X172-BGE!X198</f>
        <v>256</v>
      </c>
      <c r="Y64" s="966">
        <f>+EXC!Y159-ExGen!Y828-ComEd!Y172-BGE!Y198</f>
        <v>-1</v>
      </c>
      <c r="Z64" s="967">
        <f>+EXC!Z159-ExGen!Z828-ComEd!Z172-BGE!Z198</f>
        <v>1</v>
      </c>
      <c r="AA64" s="1500">
        <f>+EXC!AA159-ExGen!AA828-ComEd!AA172-BGE!AA198</f>
        <v>47</v>
      </c>
      <c r="AB64" s="1501">
        <f>+EXC!AB159-ExGen!AB828-ComEd!AB172-BGE!AB198</f>
        <v>-32</v>
      </c>
      <c r="AC64" s="1502">
        <f>+EXC!AC159-ExGen!AC828-ComEd!AC172-BGE!AC198</f>
        <v>15</v>
      </c>
      <c r="AD64" s="966">
        <f>+EXC!AD159-ExGen!AD828-ComEd!AD172-BGE!AD198</f>
        <v>-3</v>
      </c>
      <c r="AE64" s="967">
        <f>+EXC!AE159-ExGen!AE828-ComEd!AE172-BGE!AE198</f>
        <v>-35</v>
      </c>
      <c r="AF64" s="1500">
        <f>+EXC!AF159-ExGen!AF828-ComEd!AF172-BGE!AF198</f>
        <v>373</v>
      </c>
      <c r="AG64" s="1501">
        <f>+EXC!AG159-ExGen!AG828-ComEd!AG172-BGE!AG198</f>
        <v>0</v>
      </c>
      <c r="AH64" s="1502">
        <f>+EXC!AH159-ExGen!AH828-ComEd!AH172-BGE!AH198</f>
        <v>335</v>
      </c>
      <c r="AI64" s="966">
        <f>+EXC!AI159-ExGen!AI828-ComEd!AI172-BGE!AI198</f>
        <v>0</v>
      </c>
      <c r="AJ64" s="967">
        <f>+EXC!AJ159-ExGen!AJ828-ComEd!AJ172-BGE!AJ198</f>
        <v>1</v>
      </c>
      <c r="AK64" s="1500">
        <f>+EXC!AK159-ExGen!AK828-ComEd!AK172-BGE!AK198</f>
        <v>0</v>
      </c>
      <c r="AL64" s="1501">
        <f>+EXC!AL159-ExGen!AL828-ComEd!AL172-BGE!AL198</f>
        <v>-1</v>
      </c>
      <c r="AM64" s="1502">
        <f>+EXC!AM159-ExGen!AM828-ComEd!AM172-BGE!AM198</f>
        <v>0</v>
      </c>
      <c r="AN64" s="966">
        <f>+EXC!AN159-ExGen!AN828-ComEd!AN172-BGE!AN198</f>
        <v>-6644</v>
      </c>
      <c r="AO64" s="967">
        <f>+EXC!AO159-ExGen!AO828-ComEd!AO172-BGE!AO198-Pepco!AJ151-DPL!AJ182-ACE!AJ151</f>
        <v>4</v>
      </c>
      <c r="AP64" s="1500">
        <f>+EXC!AP159-ExGen!AP828-ComEd!AP172-BGE!AP198-Pepco!AK151-DPL!AK182-ACE!AK151</f>
        <v>361</v>
      </c>
      <c r="AQ64" s="1501">
        <f>+EXC!AQ159-ExGen!AQ828-ComEd!AQ172-BGE!AQ198-Pepco!AL151-DPL!AL182-ACE!AL151</f>
        <v>-2</v>
      </c>
      <c r="AR64" s="1502">
        <f t="shared" si="147"/>
        <v>-6281</v>
      </c>
      <c r="AS64" s="966">
        <f>+EXC!AS159-ExGen!AS828-ComEd!AS172-BGE!AS198-Pepco!AN151-DPL!AN182-ACE!AN151</f>
        <v>0</v>
      </c>
      <c r="AT64" s="967">
        <f>+EXC!AT159-ExGen!AT828-ComEd!AT172-BGE!AT198-Pepco!AO151-DPL!AO182-ACE!AO151</f>
        <v>0</v>
      </c>
      <c r="AU64" s="967">
        <f>+EXC!AU159-ExGen!AU828-ComEd!AU172-BGE!AU198-Pepco!AP151-DPL!AP182-ACE!AP151</f>
        <v>0</v>
      </c>
      <c r="AV64" s="1501">
        <f>+EXC!AV159-ExGen!AV828-ComEd!AV172-BGE!AV198-Pepco!AQ151-DPL!AQ182-ACE!AQ151</f>
        <v>0</v>
      </c>
      <c r="AW64" s="1502">
        <f t="shared" si="148"/>
        <v>0</v>
      </c>
      <c r="AX64" s="972">
        <v>0</v>
      </c>
      <c r="AY64" s="970">
        <v>0</v>
      </c>
      <c r="AZ64" s="970">
        <v>0</v>
      </c>
      <c r="BA64" s="971">
        <v>0</v>
      </c>
      <c r="BB64" s="969">
        <f>SUM(AX64:BA64)</f>
        <v>0</v>
      </c>
      <c r="BC64" s="972">
        <v>0</v>
      </c>
      <c r="BD64" s="970">
        <v>0</v>
      </c>
      <c r="BE64" s="970">
        <v>0</v>
      </c>
      <c r="BF64" s="971">
        <v>0</v>
      </c>
      <c r="BG64" s="969">
        <f>SUM(BC64:BF64)</f>
        <v>0</v>
      </c>
      <c r="BH64" s="972">
        <v>0</v>
      </c>
      <c r="BI64" s="970">
        <v>0</v>
      </c>
      <c r="BJ64" s="970">
        <v>0</v>
      </c>
      <c r="BK64" s="971">
        <v>0</v>
      </c>
      <c r="BL64" s="969">
        <f>SUM(BH64:BK64)</f>
        <v>0</v>
      </c>
      <c r="BM64" s="972">
        <v>0</v>
      </c>
      <c r="BN64" s="970">
        <v>0</v>
      </c>
      <c r="BO64" s="970">
        <v>0</v>
      </c>
      <c r="BP64" s="971">
        <v>0</v>
      </c>
      <c r="BQ64" s="969">
        <f>SUM(BM64:BP64)</f>
        <v>0</v>
      </c>
    </row>
    <row r="65" spans="3:69" s="965" customFormat="1">
      <c r="C65" s="965" t="s">
        <v>77</v>
      </c>
      <c r="E65" s="966">
        <f>+EXC!E160-ExGen!E829-ComEd!E173-PECO!E201</f>
        <v>110</v>
      </c>
      <c r="F65" s="967">
        <f>+EXC!F160-ExGen!F829-ComEd!F173-PECO!F201</f>
        <v>-18</v>
      </c>
      <c r="G65" s="967">
        <f>+EXC!G160-ExGen!G829-ComEd!G173-PECO!G201</f>
        <v>-75</v>
      </c>
      <c r="H65" s="968">
        <f>+EXC!H160-ExGen!H829-ComEd!H173-PECO!H201</f>
        <v>-3</v>
      </c>
      <c r="I65" s="980">
        <f>+EXC!I160-ExGen!I829-ComEd!I173-PECO!I201</f>
        <v>14</v>
      </c>
      <c r="J65" s="966">
        <f>+EXC!J160-ExGen!J829-ComEd!J173-PECO!J201</f>
        <v>-2</v>
      </c>
      <c r="K65" s="967">
        <f>+EXC!K160-ExGen!K829-ComEd!K173-PECO!K201</f>
        <v>9</v>
      </c>
      <c r="L65" s="967">
        <f>+EXC!L160-ExGen!L829-ComEd!L173-PECO!L201</f>
        <v>-1</v>
      </c>
      <c r="M65" s="968">
        <f>+EXC!M160-ExGen!M829-ComEd!M173-PECO!M201</f>
        <v>-9</v>
      </c>
      <c r="N65" s="980">
        <f>+EXC!N160-ExGen!N829-ComEd!N173-PECO!N201</f>
        <v>-3</v>
      </c>
      <c r="O65" s="966">
        <f>+EXC!O160-ExGen!O829-ComEd!O173-PECO!O201</f>
        <v>63</v>
      </c>
      <c r="P65" s="967">
        <f>+EXC!P160-ExGen!P829-ComEd!P173-PECO!P201</f>
        <v>106</v>
      </c>
      <c r="Q65" s="967">
        <f>+EXC!Q160-ExGen!Q829-ComEd!Q173-PECO!Q201</f>
        <v>-73</v>
      </c>
      <c r="R65" s="968">
        <f>+EXC!R160-ExGen!R829-ComEd!R173-PECO!R201</f>
        <v>-16</v>
      </c>
      <c r="S65" s="980">
        <f>+EXC!S160-ExGen!S829-ComEd!S173-PECO!S201</f>
        <v>80</v>
      </c>
      <c r="T65" s="966">
        <f>+EXC!T160-ExGen!T829-ComEd!T173-PECO!T201-BGE!T199</f>
        <v>320</v>
      </c>
      <c r="U65" s="1329">
        <f>+EXC!U160-ExGen!U829-ComEd!U173-PECO!U201-BGE!U199</f>
        <v>-62</v>
      </c>
      <c r="V65" s="1329">
        <f>+EXC!V160-ExGen!V829-ComEd!V173-PECO!V201-BGE!V199</f>
        <v>-977</v>
      </c>
      <c r="W65" s="1330">
        <f>+EXC!W160-ExGen!W829-ComEd!W173-PECO!W201-BGE!W199</f>
        <v>614</v>
      </c>
      <c r="X65" s="1331">
        <f>+EXC!X160-ExGen!X829-ComEd!X173-PECO!X201-BGE!X199</f>
        <v>-105</v>
      </c>
      <c r="Y65" s="966">
        <f>+EXC!Y160-ExGen!Y829-ComEd!Y173-PECO!Y201-BGE!Y199</f>
        <v>60</v>
      </c>
      <c r="Z65" s="967">
        <f>+EXC!Z160-ExGen!Z829-ComEd!Z173-PECO!Z201-BGE!Z199</f>
        <v>245</v>
      </c>
      <c r="AA65" s="1500">
        <f>+EXC!AA160-ExGen!AA829-ComEd!AA173-PECO!AA201-BGE!AA199</f>
        <v>-301</v>
      </c>
      <c r="AB65" s="1501">
        <f>+EXC!AB160-ExGen!AB829-ComEd!AB173-PECO!AB201-BGE!AB199</f>
        <v>78</v>
      </c>
      <c r="AC65" s="1502">
        <f>+EXC!AC160-ExGen!AC829-ComEd!AC173-PECO!AC201-BGE!AC199</f>
        <v>82</v>
      </c>
      <c r="AD65" s="966">
        <f>+EXC!AD160-ExGen!AD829-ComEd!AD173-PECO!AD201-BGE!AD199</f>
        <v>296</v>
      </c>
      <c r="AE65" s="967">
        <f>+EXC!AE160-ExGen!AE829-ComEd!AE173-PECO!AE201-BGE!AE199</f>
        <v>-36</v>
      </c>
      <c r="AF65" s="1500">
        <f>+EXC!AF160-ExGen!AF829-ComEd!AF173-PECO!AF201-BGE!AF199</f>
        <v>-399</v>
      </c>
      <c r="AG65" s="1501">
        <f>+EXC!AG160-ExGen!AG829-ComEd!AG173-PECO!AG201-BGE!AG199</f>
        <v>-7</v>
      </c>
      <c r="AH65" s="1502">
        <f>+EXC!AH160-ExGen!AH829-ComEd!AH173-PECO!AH201-BGE!AH199</f>
        <v>-146</v>
      </c>
      <c r="AI65" s="966">
        <f>+EXC!AI160-ExGen!AI829-ComEd!AI173-PECO!AI201-BGE!AI199</f>
        <v>-20</v>
      </c>
      <c r="AJ65" s="967">
        <f>+EXC!AJ160-ExGen!AJ829-ComEd!AJ173-PECO!AJ201-BGE!AJ199</f>
        <v>-35</v>
      </c>
      <c r="AK65" s="1500">
        <f>+EXC!AK160-ExGen!AK829-ComEd!AK173-PECO!AK201-BGE!AK199</f>
        <v>5</v>
      </c>
      <c r="AL65" s="1501">
        <f>+EXC!AL160-ExGen!AL829-ComEd!AL173-PECO!AL201-BGE!AL199</f>
        <v>-13</v>
      </c>
      <c r="AM65" s="1502">
        <f>+EXC!AM160-ExGen!AM829-ComEd!AM173-PECO!AM201-BGE!AM199</f>
        <v>-63</v>
      </c>
      <c r="AN65" s="966">
        <f>+EXC!AN160-ExGen!AN829-ComEd!AN173-PECO!AN201-BGE!AN199</f>
        <v>535</v>
      </c>
      <c r="AO65" s="967">
        <f>+EXC!AO160-ExGen!AO829-ComEd!AO173-PECO!AO201-BGE!AO199-Pepco!AJ152-DPL!AJ183-ACE!AJ152</f>
        <v>-151</v>
      </c>
      <c r="AP65" s="1500">
        <f>+EXC!AP160-ExGen!AP829-ComEd!AP173-PECO!AP201-BGE!AP199-Pepco!AK152-DPL!AK183-ACE!AK152</f>
        <v>-356</v>
      </c>
      <c r="AQ65" s="1501">
        <f>+EXC!AQ160-ExGen!AQ829-ComEd!AQ173-PECO!AQ201-BGE!AQ199-Pepco!AL152-DPL!AL183-ACE!AL152</f>
        <v>135</v>
      </c>
      <c r="AR65" s="1502">
        <f t="shared" si="147"/>
        <v>163</v>
      </c>
      <c r="AS65" s="966">
        <f>+EXC!AS160-ExGen!AS829-ComEd!AS173-PECO!AS201-BGE!AS199-Pepco!AN152-DPL!AN183-ACE!AN152</f>
        <v>-131</v>
      </c>
      <c r="AT65" s="967">
        <f>+EXC!AT160-ExGen!AT829-ComEd!AT173-PECO!AT201-BGE!AT199-Pepco!AO152-DPL!AO183-ACE!AO152</f>
        <v>14</v>
      </c>
      <c r="AU65" s="967">
        <f>+EXC!AU160-ExGen!AU829-ComEd!AU173-PECO!AU201-BGE!AU199-Pepco!AP152-DPL!AP183-ACE!AP152</f>
        <v>34</v>
      </c>
      <c r="AV65" s="1501">
        <f>+EXC!AV160-ExGen!AV829-ComEd!AV173-PECO!AV201-BGE!AV199-Pepco!AQ152-DPL!AQ183-ACE!AQ152</f>
        <v>-55</v>
      </c>
      <c r="AW65" s="1502">
        <f t="shared" si="148"/>
        <v>-138</v>
      </c>
      <c r="AX65" s="972">
        <v>0</v>
      </c>
      <c r="AY65" s="970">
        <v>0</v>
      </c>
      <c r="AZ65" s="970">
        <v>0</v>
      </c>
      <c r="BA65" s="971">
        <v>0</v>
      </c>
      <c r="BB65" s="969">
        <f>SUM(AX65:BA65)</f>
        <v>0</v>
      </c>
      <c r="BC65" s="972">
        <v>0</v>
      </c>
      <c r="BD65" s="970">
        <v>0</v>
      </c>
      <c r="BE65" s="970">
        <v>0</v>
      </c>
      <c r="BF65" s="971">
        <v>0</v>
      </c>
      <c r="BG65" s="969">
        <f>SUM(BC65:BF65)</f>
        <v>0</v>
      </c>
      <c r="BH65" s="972">
        <v>0</v>
      </c>
      <c r="BI65" s="970">
        <v>0</v>
      </c>
      <c r="BJ65" s="970">
        <v>0</v>
      </c>
      <c r="BK65" s="971">
        <v>0</v>
      </c>
      <c r="BL65" s="969">
        <f>SUM(BH65:BK65)</f>
        <v>0</v>
      </c>
      <c r="BM65" s="972">
        <v>0</v>
      </c>
      <c r="BN65" s="970">
        <v>0</v>
      </c>
      <c r="BO65" s="970">
        <v>0</v>
      </c>
      <c r="BP65" s="971">
        <v>0</v>
      </c>
      <c r="BQ65" s="969">
        <f>SUM(BM65:BP65)</f>
        <v>0</v>
      </c>
    </row>
    <row r="66" spans="3:69" s="965" customFormat="1">
      <c r="C66" s="964" t="s">
        <v>78</v>
      </c>
      <c r="E66" s="973">
        <f>SUM(E63:E65)</f>
        <v>90</v>
      </c>
      <c r="F66" s="974">
        <f t="shared" ref="F66:AE66" si="149">SUM(F63:F65)</f>
        <v>-39</v>
      </c>
      <c r="G66" s="974">
        <f t="shared" si="149"/>
        <v>-84</v>
      </c>
      <c r="H66" s="975">
        <f t="shared" si="149"/>
        <v>-7</v>
      </c>
      <c r="I66" s="976">
        <f t="shared" si="149"/>
        <v>-40</v>
      </c>
      <c r="J66" s="973">
        <f t="shared" si="149"/>
        <v>69</v>
      </c>
      <c r="K66" s="974">
        <f t="shared" si="149"/>
        <v>7</v>
      </c>
      <c r="L66" s="974">
        <f t="shared" si="149"/>
        <v>-3</v>
      </c>
      <c r="M66" s="975">
        <f t="shared" si="149"/>
        <v>-12</v>
      </c>
      <c r="N66" s="976">
        <f t="shared" si="149"/>
        <v>61</v>
      </c>
      <c r="O66" s="973">
        <f t="shared" si="149"/>
        <v>57</v>
      </c>
      <c r="P66" s="974">
        <f t="shared" si="149"/>
        <v>101</v>
      </c>
      <c r="Q66" s="974">
        <f t="shared" si="149"/>
        <v>-90</v>
      </c>
      <c r="R66" s="975">
        <f t="shared" si="149"/>
        <v>-30</v>
      </c>
      <c r="S66" s="976">
        <f t="shared" si="149"/>
        <v>38</v>
      </c>
      <c r="T66" s="973">
        <f t="shared" si="149"/>
        <v>381</v>
      </c>
      <c r="U66" s="982">
        <f t="shared" si="149"/>
        <v>-73</v>
      </c>
      <c r="V66" s="982">
        <f>SUM(V63:V65)</f>
        <v>-34</v>
      </c>
      <c r="W66" s="983">
        <f>SUM(W63:W65)</f>
        <v>-108</v>
      </c>
      <c r="X66" s="984">
        <f>SUM(X63:X65)</f>
        <v>166</v>
      </c>
      <c r="Y66" s="973">
        <f t="shared" si="149"/>
        <v>55</v>
      </c>
      <c r="Z66" s="974">
        <f t="shared" si="149"/>
        <v>238</v>
      </c>
      <c r="AA66" s="1503">
        <f>SUM(AA63:AA65)</f>
        <v>-295</v>
      </c>
      <c r="AB66" s="1504">
        <f>SUM(AB63:AB65)</f>
        <v>13</v>
      </c>
      <c r="AC66" s="1505">
        <f>SUM(AC63:AC65)</f>
        <v>11</v>
      </c>
      <c r="AD66" s="973">
        <f t="shared" si="149"/>
        <v>282</v>
      </c>
      <c r="AE66" s="974">
        <f t="shared" si="149"/>
        <v>-90</v>
      </c>
      <c r="AF66" s="1503">
        <f>SUM(AF63:AF65)</f>
        <v>-57</v>
      </c>
      <c r="AG66" s="1504">
        <f>SUM(AG63:AG65)</f>
        <v>-41</v>
      </c>
      <c r="AH66" s="1505">
        <f>SUM(AH63:AH65)</f>
        <v>94</v>
      </c>
      <c r="AI66" s="973">
        <f t="shared" ref="AI66:AJ66" si="150">SUM(AI63:AI65)</f>
        <v>-53</v>
      </c>
      <c r="AJ66" s="974">
        <f t="shared" si="150"/>
        <v>-43</v>
      </c>
      <c r="AK66" s="1503">
        <f>SUM(AK63:AK65)</f>
        <v>-11</v>
      </c>
      <c r="AL66" s="1504">
        <f>SUM(AL63:AL65)</f>
        <v>-21</v>
      </c>
      <c r="AM66" s="1505">
        <f>SUM(AM63:AM65)</f>
        <v>-128</v>
      </c>
      <c r="AN66" s="350">
        <f t="shared" ref="AN66" si="151">SUM(AN63:AN65)</f>
        <v>-6176</v>
      </c>
      <c r="AO66" s="351">
        <f>SUM(AO63:AO65)</f>
        <v>-182</v>
      </c>
      <c r="AP66" s="351">
        <f t="shared" ref="AP66" si="152">SUM(AP63:AP65)</f>
        <v>-13</v>
      </c>
      <c r="AQ66" s="352">
        <f>SUM(AQ63:AQ65)</f>
        <v>87</v>
      </c>
      <c r="AR66" s="1505">
        <f>SUM(AR63:AR65)</f>
        <v>-6284</v>
      </c>
      <c r="AS66" s="350">
        <f>SUM(AS63:AS65)</f>
        <v>-153</v>
      </c>
      <c r="AT66" s="351">
        <f>SUM(AT63:AT65)</f>
        <v>-22</v>
      </c>
      <c r="AU66" s="351">
        <f t="shared" ref="AU66" si="153">SUM(AU63:AU65)</f>
        <v>15</v>
      </c>
      <c r="AV66" s="352">
        <f>SUM(AV63:AV65)</f>
        <v>-71</v>
      </c>
      <c r="AW66" s="1505">
        <f>SUM(AW63:AW65)</f>
        <v>-231</v>
      </c>
      <c r="AX66" s="973">
        <f t="shared" ref="AX66:BB66" si="154">SUM(AX63:AX65)</f>
        <v>0</v>
      </c>
      <c r="AY66" s="974">
        <f t="shared" si="154"/>
        <v>0</v>
      </c>
      <c r="AZ66" s="974">
        <f t="shared" si="154"/>
        <v>0</v>
      </c>
      <c r="BA66" s="975">
        <f t="shared" si="154"/>
        <v>0</v>
      </c>
      <c r="BB66" s="976">
        <f t="shared" si="154"/>
        <v>0</v>
      </c>
      <c r="BC66" s="973">
        <f t="shared" ref="BC66:BL66" si="155">SUM(BC63:BC65)</f>
        <v>0</v>
      </c>
      <c r="BD66" s="974">
        <f t="shared" si="155"/>
        <v>0</v>
      </c>
      <c r="BE66" s="974">
        <f t="shared" si="155"/>
        <v>0</v>
      </c>
      <c r="BF66" s="975">
        <f t="shared" si="155"/>
        <v>0</v>
      </c>
      <c r="BG66" s="976">
        <f t="shared" si="155"/>
        <v>0</v>
      </c>
      <c r="BH66" s="973">
        <f t="shared" si="155"/>
        <v>0</v>
      </c>
      <c r="BI66" s="974">
        <f t="shared" si="155"/>
        <v>0</v>
      </c>
      <c r="BJ66" s="974">
        <f t="shared" si="155"/>
        <v>0</v>
      </c>
      <c r="BK66" s="975">
        <f t="shared" si="155"/>
        <v>0</v>
      </c>
      <c r="BL66" s="976">
        <f t="shared" si="155"/>
        <v>0</v>
      </c>
      <c r="BM66" s="973">
        <f t="shared" ref="BM66:BQ66" si="156">SUM(BM63:BM65)</f>
        <v>0</v>
      </c>
      <c r="BN66" s="974">
        <f t="shared" si="156"/>
        <v>0</v>
      </c>
      <c r="BO66" s="974">
        <f t="shared" si="156"/>
        <v>0</v>
      </c>
      <c r="BP66" s="975">
        <f t="shared" si="156"/>
        <v>0</v>
      </c>
      <c r="BQ66" s="976">
        <f t="shared" si="156"/>
        <v>0</v>
      </c>
    </row>
    <row r="67" spans="3:69" s="965" customFormat="1">
      <c r="E67" s="977"/>
      <c r="F67" s="978"/>
      <c r="G67" s="978"/>
      <c r="H67" s="979"/>
      <c r="I67" s="980"/>
      <c r="J67" s="977"/>
      <c r="K67" s="978"/>
      <c r="L67" s="978"/>
      <c r="M67" s="979"/>
      <c r="N67" s="980"/>
      <c r="O67" s="977"/>
      <c r="P67" s="978"/>
      <c r="Q67" s="978"/>
      <c r="R67" s="979"/>
      <c r="S67" s="980"/>
      <c r="T67" s="977"/>
      <c r="U67" s="1329"/>
      <c r="V67" s="1329"/>
      <c r="W67" s="1330"/>
      <c r="X67" s="1331"/>
      <c r="Y67" s="977"/>
      <c r="Z67" s="978"/>
      <c r="AA67" s="1500"/>
      <c r="AB67" s="1501"/>
      <c r="AC67" s="1502"/>
      <c r="AD67" s="977"/>
      <c r="AE67" s="978"/>
      <c r="AF67" s="1500"/>
      <c r="AG67" s="1501"/>
      <c r="AH67" s="1502"/>
      <c r="AI67" s="977"/>
      <c r="AJ67" s="978"/>
      <c r="AK67" s="1500"/>
      <c r="AL67" s="1501"/>
      <c r="AM67" s="1502"/>
      <c r="AN67" s="977"/>
      <c r="AO67" s="978"/>
      <c r="AP67" s="1500"/>
      <c r="AQ67" s="1501"/>
      <c r="AR67" s="1502"/>
      <c r="AS67" s="977"/>
      <c r="AT67" s="978"/>
      <c r="AU67" s="978"/>
      <c r="AV67" s="1501"/>
      <c r="AW67" s="1502"/>
      <c r="AX67" s="977"/>
      <c r="AY67" s="978"/>
      <c r="AZ67" s="978"/>
      <c r="BA67" s="979"/>
      <c r="BB67" s="980"/>
      <c r="BC67" s="977"/>
      <c r="BD67" s="978"/>
      <c r="BE67" s="978"/>
      <c r="BF67" s="979"/>
      <c r="BG67" s="980"/>
      <c r="BH67" s="977"/>
      <c r="BI67" s="978"/>
      <c r="BJ67" s="978"/>
      <c r="BK67" s="979"/>
      <c r="BL67" s="980"/>
      <c r="BM67" s="977"/>
      <c r="BN67" s="978"/>
      <c r="BO67" s="978"/>
      <c r="BP67" s="979"/>
      <c r="BQ67" s="980"/>
    </row>
    <row r="68" spans="3:69" s="965" customFormat="1">
      <c r="C68" s="965" t="s">
        <v>240</v>
      </c>
      <c r="E68" s="966">
        <f>+EXC!E163-ExGen!E832-ComEd!E176-PECO!E204</f>
        <v>0</v>
      </c>
      <c r="F68" s="967">
        <f>+EXC!F163-ExGen!F832-ComEd!F176-PECO!F204</f>
        <v>0</v>
      </c>
      <c r="G68" s="967">
        <f>+EXC!G163-ExGen!G832-ComEd!G176-PECO!G204</f>
        <v>0</v>
      </c>
      <c r="H68" s="968">
        <f>+EXC!H163-ExGen!H832-ComEd!H176-PECO!H204</f>
        <v>0</v>
      </c>
      <c r="I68" s="980">
        <f>+EXC!I163-ExGen!I832-ComEd!I176-PECO!I204</f>
        <v>0</v>
      </c>
      <c r="J68" s="966">
        <f>+EXC!J163-ExGen!J832-ComEd!J176-PECO!J204</f>
        <v>0</v>
      </c>
      <c r="K68" s="967">
        <f>+EXC!K163-ExGen!K832-ComEd!K176-PECO!K204</f>
        <v>0</v>
      </c>
      <c r="L68" s="967">
        <f>+EXC!L163-ExGen!L832-ComEd!L176-PECO!L204</f>
        <v>0</v>
      </c>
      <c r="M68" s="968">
        <f>+EXC!M163-ExGen!M832-ComEd!M176-PECO!M204</f>
        <v>0</v>
      </c>
      <c r="N68" s="980">
        <f>+EXC!N163-ExGen!N832-ComEd!N176-PECO!N204</f>
        <v>0</v>
      </c>
      <c r="O68" s="966">
        <f>+EXC!O163-ExGen!O832-ComEd!O176-PECO!O204</f>
        <v>0</v>
      </c>
      <c r="P68" s="967">
        <f>+EXC!P163-ExGen!P832-ComEd!P176-PECO!P204</f>
        <v>0</v>
      </c>
      <c r="Q68" s="967">
        <f>+EXC!Q163-ExGen!Q832-ComEd!Q176-PECO!Q204</f>
        <v>0</v>
      </c>
      <c r="R68" s="968">
        <f>+EXC!R163-ExGen!R832-ComEd!R176-PECO!R204</f>
        <v>0</v>
      </c>
      <c r="S68" s="980">
        <f>+EXC!S163-ExGen!S832-ComEd!S176-PECO!S204</f>
        <v>0</v>
      </c>
      <c r="T68" s="966">
        <f>+EXC!T163-ExGen!T832-ComEd!T176-PECO!T204-BGE!T202</f>
        <v>0</v>
      </c>
      <c r="U68" s="1329">
        <f>+EXC!U163-ExGen!U832-ComEd!U176-PECO!U204-BGE!U202</f>
        <v>0</v>
      </c>
      <c r="V68" s="1329">
        <f>+EXC!V163-ExGen!V832-ComEd!V176-PECO!V204-BGE!V202</f>
        <v>1</v>
      </c>
      <c r="W68" s="1330">
        <f>+EXC!W163-ExGen!W832-ComEd!W176-PECO!W204-BGE!W202</f>
        <v>0</v>
      </c>
      <c r="X68" s="1331">
        <f>+EXC!X163-ExGen!X832-ComEd!X176-PECO!X204-BGE!X202</f>
        <v>1</v>
      </c>
      <c r="Y68" s="966">
        <f>+EXC!Y163-ExGen!Y832-ComEd!Y176-PECO!Y204-BGE!Y202</f>
        <v>0</v>
      </c>
      <c r="Z68" s="967">
        <f>+EXC!Z163-ExGen!Z832-ComEd!Z176-PECO!Z204-BGE!Z202</f>
        <v>0</v>
      </c>
      <c r="AA68" s="1500">
        <f>+EXC!AA163-ExGen!AA832-ComEd!AA176-PECO!AA204-BGE!AA202</f>
        <v>0</v>
      </c>
      <c r="AB68" s="1501">
        <f>+EXC!AB163-ExGen!AB832-ComEd!AB176-PECO!AB204-BGE!AB202</f>
        <v>1</v>
      </c>
      <c r="AC68" s="1502">
        <f>+EXC!AC163-ExGen!AC832-ComEd!AC176-PECO!AC204-BGE!AC202</f>
        <v>1</v>
      </c>
      <c r="AD68" s="966">
        <f>+EXC!AD163-ExGen!AD832-ComEd!AD176-PECO!AD204-BGE!AD202</f>
        <v>0</v>
      </c>
      <c r="AE68" s="967">
        <f>+EXC!AE163-ExGen!AE832-ComEd!AE176-PECO!AE204-BGE!AE202</f>
        <v>1150</v>
      </c>
      <c r="AF68" s="1500">
        <f>+EXC!AF163-ExGen!AF832-ComEd!AF176-PECO!AF204-BGE!AF202</f>
        <v>0</v>
      </c>
      <c r="AG68" s="1501">
        <f>+EXC!AG163-ExGen!AG832-ComEd!AG176-PECO!AG204-BGE!AG202</f>
        <v>1</v>
      </c>
      <c r="AH68" s="1502">
        <f>+EXC!AH163-ExGen!AH832-ComEd!AH176-PECO!AH204-BGE!AH202</f>
        <v>1151</v>
      </c>
      <c r="AI68" s="966">
        <f>+EXC!AI163-ExGen!AI832-ComEd!AI176-PECO!AI204-BGE!AI202</f>
        <v>0</v>
      </c>
      <c r="AJ68" s="967">
        <f>+EXC!AJ163-ExGen!AJ832-ComEd!AJ176-PECO!AJ204-BGE!AJ202</f>
        <v>4200</v>
      </c>
      <c r="AK68" s="1500">
        <f>+EXC!AK163-ExGen!AK832-ComEd!AK176-PECO!AK204-BGE!AK202</f>
        <v>2</v>
      </c>
      <c r="AL68" s="1501">
        <f>+EXC!AL163-ExGen!AL832-ComEd!AL176-PECO!AL204-BGE!AL202</f>
        <v>-2</v>
      </c>
      <c r="AM68" s="1502">
        <f>+EXC!AM163-ExGen!AM832-ComEd!AM176-PECO!AM204-BGE!AM202</f>
        <v>4200</v>
      </c>
      <c r="AN68" s="966">
        <f>+EXC!AN163-ExGen!AN832-ComEd!AN176-PECO!AN204-BGE!AN202</f>
        <v>0</v>
      </c>
      <c r="AO68" s="967">
        <f>+EXC!AO163-ExGen!AO832-ComEd!AO176-PECO!AO204-BGE!AO202-Pepco!AJ155-DPL!AJ186-ACE!AJ155</f>
        <v>1800</v>
      </c>
      <c r="AP68" s="1500">
        <f>+EXC!AP163-ExGen!AP832-ComEd!AP176-PECO!AP204-BGE!AP202-Pepco!AK155-DPL!AK186-ACE!AK155</f>
        <v>-2</v>
      </c>
      <c r="AQ68" s="1501">
        <f>+EXC!AQ163-ExGen!AQ832-ComEd!AQ176-PECO!AQ204-BGE!AQ202-Pepco!AL155-DPL!AL186-ACE!AL155</f>
        <v>1</v>
      </c>
      <c r="AR68" s="1502">
        <f t="shared" ref="AR68:AR72" si="157">+SUM(AN68:AQ68)</f>
        <v>1799</v>
      </c>
      <c r="AS68" s="966">
        <f>+EXC!AS163-ExGen!AS832-ComEd!AS176-PECO!AS204-BGE!AS202-Pepco!AN155-DPL!AN186-ACE!AN155</f>
        <v>0</v>
      </c>
      <c r="AT68" s="967">
        <f>+EXC!AT163-ExGen!AT832-ComEd!AT176-PECO!AT204-BGE!AT202-Pepco!AO155-DPL!AO186-ACE!AO155</f>
        <v>0</v>
      </c>
      <c r="AU68" s="967">
        <f>+EXC!AU163-ExGen!AU832-ComEd!AU176-PECO!AU204-BGE!AU202-Pepco!AP155-DPL!AP186-ACE!AP155</f>
        <v>0</v>
      </c>
      <c r="AV68" s="1501">
        <f>+EXC!AV163-ExGen!AV832-ComEd!AV176-PECO!AV204-BGE!AV202-Pepco!AQ155-DPL!AQ186-ACE!AQ155</f>
        <v>-2</v>
      </c>
      <c r="AW68" s="1502">
        <f t="shared" ref="AW68:AW72" si="158">+SUM(AS68:AV68)</f>
        <v>-2</v>
      </c>
      <c r="AX68" s="966">
        <f t="shared" ref="AX68:BA69" si="159">AX48</f>
        <v>0</v>
      </c>
      <c r="AY68" s="967">
        <f t="shared" si="159"/>
        <v>0</v>
      </c>
      <c r="AZ68" s="967">
        <f t="shared" si="159"/>
        <v>0</v>
      </c>
      <c r="BA68" s="968">
        <f t="shared" si="159"/>
        <v>0</v>
      </c>
      <c r="BB68" s="969">
        <f>SUM(AX68:BA68)</f>
        <v>0</v>
      </c>
      <c r="BC68" s="966">
        <f t="shared" ref="BC68:BF68" si="160">BC48</f>
        <v>0</v>
      </c>
      <c r="BD68" s="967">
        <f t="shared" si="160"/>
        <v>0</v>
      </c>
      <c r="BE68" s="967">
        <f t="shared" si="160"/>
        <v>0</v>
      </c>
      <c r="BF68" s="968">
        <f t="shared" si="160"/>
        <v>0</v>
      </c>
      <c r="BG68" s="969">
        <f>SUM(BC68:BF68)</f>
        <v>0</v>
      </c>
      <c r="BH68" s="966">
        <f t="shared" ref="BH68:BK68" si="161">BH48</f>
        <v>0</v>
      </c>
      <c r="BI68" s="967">
        <f t="shared" si="161"/>
        <v>0</v>
      </c>
      <c r="BJ68" s="967">
        <f t="shared" si="161"/>
        <v>1450</v>
      </c>
      <c r="BK68" s="968">
        <f t="shared" si="161"/>
        <v>0</v>
      </c>
      <c r="BL68" s="969">
        <f>SUM(BH68:BK68)</f>
        <v>1450</v>
      </c>
      <c r="BM68" s="966">
        <f t="shared" ref="BM68:BP68" si="162">BM48</f>
        <v>0</v>
      </c>
      <c r="BN68" s="967">
        <f t="shared" si="162"/>
        <v>0</v>
      </c>
      <c r="BO68" s="967">
        <f t="shared" si="162"/>
        <v>1450</v>
      </c>
      <c r="BP68" s="968">
        <f t="shared" si="162"/>
        <v>0</v>
      </c>
      <c r="BQ68" s="969">
        <f>SUM(BM68:BP68)</f>
        <v>1450</v>
      </c>
    </row>
    <row r="69" spans="3:69" s="965" customFormat="1">
      <c r="C69" s="965" t="s">
        <v>247</v>
      </c>
      <c r="E69" s="966">
        <f>+EXC!E164-ExGen!E833-ComEd!E177-PECO!E205</f>
        <v>0</v>
      </c>
      <c r="F69" s="967">
        <f>+EXC!F164-ExGen!F833-ComEd!F177-PECO!F205</f>
        <v>0</v>
      </c>
      <c r="G69" s="967">
        <f>+EXC!G164-ExGen!G833-ComEd!G177-PECO!G205</f>
        <v>-387</v>
      </c>
      <c r="H69" s="968">
        <f>+EXC!H164-ExGen!H833-ComEd!H177-PECO!H205</f>
        <v>-113</v>
      </c>
      <c r="I69" s="980">
        <f>+EXC!I164-ExGen!I833-ComEd!I177-PECO!I205</f>
        <v>-500</v>
      </c>
      <c r="J69" s="966">
        <f>+EXC!J164-ExGen!J833-ComEd!J177-PECO!J205</f>
        <v>0</v>
      </c>
      <c r="K69" s="967">
        <f>+EXC!K164-ExGen!K833-ComEd!K177-PECO!K205</f>
        <v>-400</v>
      </c>
      <c r="L69" s="967">
        <f>+EXC!L164-ExGen!L833-ComEd!L177-PECO!L205</f>
        <v>0</v>
      </c>
      <c r="M69" s="968">
        <f>+EXC!M164-ExGen!M833-ComEd!M177-PECO!M205</f>
        <v>0</v>
      </c>
      <c r="N69" s="980">
        <f>+EXC!N164-ExGen!N833-ComEd!N177-PECO!N205</f>
        <v>-400</v>
      </c>
      <c r="O69" s="966">
        <f>+EXC!O164-ExGen!O833-ComEd!O177-PECO!O205</f>
        <v>0</v>
      </c>
      <c r="P69" s="967">
        <f>+EXC!P164-ExGen!P833-ComEd!P177-PECO!P205</f>
        <v>0</v>
      </c>
      <c r="Q69" s="967">
        <f>+EXC!Q164-ExGen!Q833-ComEd!Q177-PECO!Q205</f>
        <v>0</v>
      </c>
      <c r="R69" s="968">
        <f>+EXC!R164-ExGen!R833-ComEd!R177-PECO!R205</f>
        <v>0</v>
      </c>
      <c r="S69" s="980">
        <f>+EXC!S164-ExGen!S833-ComEd!S177-PECO!S205</f>
        <v>0</v>
      </c>
      <c r="T69" s="966">
        <f>+EXC!T164-ExGen!T833-ComEd!T177-PECO!T205-BGE!T203</f>
        <v>0</v>
      </c>
      <c r="U69" s="1329">
        <f>+EXC!U164-ExGen!U833-ComEd!U177-PECO!U205-BGE!U203</f>
        <v>-2</v>
      </c>
      <c r="V69" s="1329">
        <f>+EXC!V164-ExGen!V833-ComEd!V177-PECO!V205-BGE!V203</f>
        <v>0</v>
      </c>
      <c r="W69" s="1330">
        <f>+EXC!W164-ExGen!W833-ComEd!W177-PECO!W205-BGE!W203</f>
        <v>0</v>
      </c>
      <c r="X69" s="1331">
        <f>+EXC!X164-ExGen!X833-ComEd!X177-PECO!X205-BGE!X203</f>
        <v>-2</v>
      </c>
      <c r="Y69" s="966">
        <f>+EXC!Y164-ExGen!Y833-ComEd!Y177-PECO!Y205-BGE!Y203</f>
        <v>0</v>
      </c>
      <c r="Z69" s="967">
        <f>+EXC!Z164-ExGen!Z833-ComEd!Z177-PECO!Z205-BGE!Z203</f>
        <v>0</v>
      </c>
      <c r="AA69" s="1500">
        <f>+EXC!AA164-ExGen!AA833-ComEd!AA177-PECO!AA205-BGE!AA203</f>
        <v>0</v>
      </c>
      <c r="AB69" s="1501">
        <f>+EXC!AB164-ExGen!AB833-ComEd!AB177-PECO!AB205-BGE!AB203</f>
        <v>0</v>
      </c>
      <c r="AC69" s="1502">
        <f>+EXC!AC164-ExGen!AC833-ComEd!AC177-PECO!AC205-BGE!AC203</f>
        <v>0</v>
      </c>
      <c r="AD69" s="966">
        <f>+EXC!AD164-ExGen!AD833-ComEd!AD177-PECO!AD205-BGE!AD203</f>
        <v>-1</v>
      </c>
      <c r="AE69" s="967">
        <f>+EXC!AE164-ExGen!AE833-ComEd!AE177-PECO!AE205-BGE!AE203</f>
        <v>0</v>
      </c>
      <c r="AF69" s="1500">
        <f>+EXC!AF164-ExGen!AF833-ComEd!AF177-PECO!AF205-BGE!AF203</f>
        <v>-9</v>
      </c>
      <c r="AG69" s="1501">
        <f>+EXC!AG164-ExGen!AG833-ComEd!AG177-PECO!AG205-BGE!AG203</f>
        <v>-12</v>
      </c>
      <c r="AH69" s="1502">
        <f>+EXC!AH164-ExGen!AH833-ComEd!AH177-PECO!AH205-BGE!AH203</f>
        <v>-22</v>
      </c>
      <c r="AI69" s="966">
        <f>+EXC!AI164-ExGen!AI833-ComEd!AI177-PECO!AI205-BGE!AI203</f>
        <v>-12</v>
      </c>
      <c r="AJ69" s="967">
        <f>+EXC!AJ164-ExGen!AJ833-ComEd!AJ177-PECO!AJ205-BGE!AJ203</f>
        <v>-810</v>
      </c>
      <c r="AK69" s="1500">
        <f>+EXC!AK164-ExGen!AK833-ComEd!AK177-PECO!AK205-BGE!AK203</f>
        <v>-12</v>
      </c>
      <c r="AL69" s="1501">
        <f>+EXC!AL164-ExGen!AL833-ComEd!AL177-PECO!AL205-BGE!AL203</f>
        <v>1595</v>
      </c>
      <c r="AM69" s="1502">
        <f>+EXC!AM164-ExGen!AM833-ComEd!AM177-PECO!AM205-BGE!AM203</f>
        <v>761</v>
      </c>
      <c r="AN69" s="966">
        <f>+EXC!AN164-ExGen!AN833-ComEd!AN177-PECO!AN205-BGE!AN203</f>
        <v>1161</v>
      </c>
      <c r="AO69" s="967">
        <f>+EXC!AO164-ExGen!AO833-ComEd!AO177-PECO!AO205-BGE!AO203-Pepco!AJ156-DPL!AJ187-ACE!AJ156</f>
        <v>-763</v>
      </c>
      <c r="AP69" s="1500">
        <f>+EXC!AP164-ExGen!AP833-ComEd!AP177-PECO!AP205-BGE!AP203-Pepco!AK156-DPL!AK187-ACE!AK156</f>
        <v>340</v>
      </c>
      <c r="AQ69" s="1501">
        <f>+EXC!AQ164-ExGen!AQ833-ComEd!AQ177-PECO!AQ205-BGE!AQ203-Pepco!AL156-DPL!AL187-ACE!AL156</f>
        <v>211</v>
      </c>
      <c r="AR69" s="1502">
        <f t="shared" si="157"/>
        <v>949</v>
      </c>
      <c r="AS69" s="966">
        <f>+EXC!AS164-ExGen!AS833-ComEd!AS177-PECO!AS205-BGE!AS203-Pepco!AN156-DPL!AN187-ACE!AN156</f>
        <v>-10</v>
      </c>
      <c r="AT69" s="967">
        <f>+EXC!AT164-ExGen!AT833-ComEd!AT177-PECO!AT205-BGE!AT203-Pepco!AO156-DPL!AO187-ACE!AO156</f>
        <v>-861</v>
      </c>
      <c r="AU69" s="967">
        <f>+EXC!AU164-ExGen!AU833-ComEd!AU177-PECO!AU205-BGE!AU203-Pepco!AP156-DPL!AP187-ACE!AP156</f>
        <v>105</v>
      </c>
      <c r="AV69" s="1501">
        <f>+EXC!AV164-ExGen!AV833-ComEd!AV177-PECO!AV205-BGE!AV203-Pepco!AQ156-DPL!AQ187-ACE!AQ156</f>
        <v>41</v>
      </c>
      <c r="AW69" s="1502">
        <f t="shared" si="158"/>
        <v>-725</v>
      </c>
      <c r="AX69" s="966">
        <f t="shared" si="159"/>
        <v>0</v>
      </c>
      <c r="AY69" s="967">
        <f t="shared" si="159"/>
        <v>0</v>
      </c>
      <c r="AZ69" s="967">
        <f t="shared" si="159"/>
        <v>0</v>
      </c>
      <c r="BA69" s="968">
        <f t="shared" si="159"/>
        <v>0</v>
      </c>
      <c r="BB69" s="969">
        <f>SUM(AX69:BA69)</f>
        <v>0</v>
      </c>
      <c r="BC69" s="966">
        <f t="shared" ref="BC69:BF69" si="163">BC49</f>
        <v>0</v>
      </c>
      <c r="BD69" s="967">
        <f t="shared" si="163"/>
        <v>0</v>
      </c>
      <c r="BE69" s="967">
        <f t="shared" si="163"/>
        <v>0</v>
      </c>
      <c r="BF69" s="968">
        <f t="shared" si="163"/>
        <v>0</v>
      </c>
      <c r="BG69" s="969">
        <f>SUM(BC69:BF69)</f>
        <v>0</v>
      </c>
      <c r="BH69" s="966">
        <f t="shared" ref="BH69:BK69" si="164">BH49</f>
        <v>0</v>
      </c>
      <c r="BI69" s="967">
        <f t="shared" si="164"/>
        <v>-900</v>
      </c>
      <c r="BJ69" s="967">
        <f t="shared" si="164"/>
        <v>0</v>
      </c>
      <c r="BK69" s="968">
        <f t="shared" si="164"/>
        <v>-550</v>
      </c>
      <c r="BL69" s="969">
        <f>SUM(BH69:BK69)</f>
        <v>-1450</v>
      </c>
      <c r="BM69" s="966">
        <f t="shared" ref="BM69:BP69" si="165">BM49</f>
        <v>0</v>
      </c>
      <c r="BN69" s="967">
        <f t="shared" si="165"/>
        <v>-300</v>
      </c>
      <c r="BO69" s="967">
        <f t="shared" si="165"/>
        <v>0</v>
      </c>
      <c r="BP69" s="968">
        <f t="shared" si="165"/>
        <v>0</v>
      </c>
      <c r="BQ69" s="969">
        <f>SUM(BM69:BP69)</f>
        <v>-300</v>
      </c>
    </row>
    <row r="70" spans="3:69" s="965" customFormat="1">
      <c r="C70" s="965" t="s">
        <v>248</v>
      </c>
      <c r="E70" s="966">
        <f>+EXC!E165-ExGen!E834-ComEd!E178-PECO!E206</f>
        <v>-24</v>
      </c>
      <c r="F70" s="967">
        <f>+EXC!F165-ExGen!F834-ComEd!F178-PECO!F206</f>
        <v>-32</v>
      </c>
      <c r="G70" s="967">
        <f>+EXC!G165-ExGen!G834-ComEd!G178-PECO!G206</f>
        <v>0</v>
      </c>
      <c r="H70" s="968">
        <f>+EXC!H165-ExGen!H834-ComEd!H178-PECO!H206</f>
        <v>0</v>
      </c>
      <c r="I70" s="980">
        <f>+EXC!I165-ExGen!I834-ComEd!I178-PECO!I206</f>
        <v>-56</v>
      </c>
      <c r="J70" s="966">
        <f>+EXC!J165-ExGen!J834-ComEd!J178-PECO!J206</f>
        <v>0</v>
      </c>
      <c r="K70" s="967">
        <f>+EXC!K165-ExGen!K834-ComEd!K178-PECO!K206</f>
        <v>0</v>
      </c>
      <c r="L70" s="967">
        <f>+EXC!L165-ExGen!L834-ComEd!L178-PECO!L206</f>
        <v>0</v>
      </c>
      <c r="M70" s="968">
        <f>+EXC!M165-ExGen!M834-ComEd!M178-PECO!M206</f>
        <v>0</v>
      </c>
      <c r="N70" s="980">
        <f>+EXC!N165-ExGen!N834-ComEd!N178-PECO!N206</f>
        <v>0</v>
      </c>
      <c r="O70" s="966">
        <f>+EXC!O165-ExGen!O834-ComEd!O178-PECO!O206</f>
        <v>0</v>
      </c>
      <c r="P70" s="967">
        <f>+EXC!P165-ExGen!P834-ComEd!P178-PECO!P206</f>
        <v>140</v>
      </c>
      <c r="Q70" s="967">
        <f>+EXC!Q165-ExGen!Q834-ComEd!Q178-PECO!Q206</f>
        <v>250</v>
      </c>
      <c r="R70" s="968">
        <f>+EXC!R165-ExGen!R834-ComEd!R178-PECO!R206</f>
        <v>-229</v>
      </c>
      <c r="S70" s="980">
        <f>+EXC!S165-ExGen!S834-ComEd!S178-PECO!S206</f>
        <v>161</v>
      </c>
      <c r="T70" s="966">
        <f>+EXC!T165-ExGen!T834-ComEd!T178-PECO!T206-BGE!T204</f>
        <v>-161</v>
      </c>
      <c r="U70" s="1329">
        <f>+EXC!U165-ExGen!U834-ComEd!U178-PECO!U206-BGE!U204</f>
        <v>204</v>
      </c>
      <c r="V70" s="1329">
        <f>+EXC!V165-ExGen!V834-ComEd!V178-PECO!V206-BGE!V204</f>
        <v>-176</v>
      </c>
      <c r="W70" s="1330">
        <f>+EXC!W165-ExGen!W834-ComEd!W178-PECO!W206-BGE!W204</f>
        <v>3</v>
      </c>
      <c r="X70" s="1331">
        <f>+EXC!X165-ExGen!X834-ComEd!X178-PECO!X206-BGE!X204</f>
        <v>-130</v>
      </c>
      <c r="Y70" s="966">
        <f>+EXC!Y165-ExGen!Y834-ComEd!Y178-PECO!Y206-BGE!Y204</f>
        <v>0</v>
      </c>
      <c r="Z70" s="967">
        <f>+EXC!Z165-ExGen!Z834-ComEd!Z178-PECO!Z206-BGE!Z204</f>
        <v>0</v>
      </c>
      <c r="AA70" s="1500">
        <f>+EXC!AA165-ExGen!AA834-ComEd!AA178-PECO!AA206-BGE!AA204</f>
        <v>0</v>
      </c>
      <c r="AB70" s="1501">
        <f>+EXC!AB165-ExGen!AB834-ComEd!AB178-PECO!AB206-BGE!AB204</f>
        <v>210</v>
      </c>
      <c r="AC70" s="1502">
        <f>+EXC!AC165-ExGen!AC834-ComEd!AC178-PECO!AC206-BGE!AC204</f>
        <v>210</v>
      </c>
      <c r="AD70" s="966">
        <f>+EXC!AD165-ExGen!AD834-ComEd!AD178-PECO!AD206-BGE!AD204</f>
        <v>0</v>
      </c>
      <c r="AE70" s="967">
        <f>+EXC!AE165-ExGen!AE834-ComEd!AE178-PECO!AE206-BGE!AE204</f>
        <v>-2</v>
      </c>
      <c r="AF70" s="1500">
        <f>+EXC!AF165-ExGen!AF834-ComEd!AF178-PECO!AF206-BGE!AF204</f>
        <v>2</v>
      </c>
      <c r="AG70" s="1501">
        <f>+EXC!AG165-ExGen!AG834-ComEd!AG178-PECO!AG206-BGE!AG204</f>
        <v>0</v>
      </c>
      <c r="AH70" s="1502">
        <f>+EXC!AH165-ExGen!AH834-ComEd!AH178-PECO!AH206-BGE!AH204</f>
        <v>0</v>
      </c>
      <c r="AI70" s="966">
        <f>+EXC!AI165-ExGen!AI834-ComEd!AI178-PECO!AI206-BGE!AI204</f>
        <v>-64</v>
      </c>
      <c r="AJ70" s="967">
        <f>+EXC!AJ165-ExGen!AJ834-ComEd!AJ178-PECO!AJ206-BGE!AJ204</f>
        <v>23</v>
      </c>
      <c r="AK70" s="1500">
        <f>+EXC!AK165-ExGen!AK834-ComEd!AK178-PECO!AK206-BGE!AK204</f>
        <v>-14</v>
      </c>
      <c r="AL70" s="1501">
        <f>+EXC!AL165-ExGen!AL834-ComEd!AL178-PECO!AL206-BGE!AL204</f>
        <v>55</v>
      </c>
      <c r="AM70" s="1502">
        <f>+EXC!AM165-ExGen!AM834-ComEd!AM178-PECO!AM206-BGE!AM204</f>
        <v>0</v>
      </c>
      <c r="AN70" s="966">
        <f>+EXC!AN165-ExGen!AN834-ComEd!AN178-PECO!AN206-BGE!AN204</f>
        <v>-19</v>
      </c>
      <c r="AO70" s="967">
        <f>+EXC!AO165-ExGen!AO834-ComEd!AO178-PECO!AO206-BGE!AO204-Pepco!AJ157-DPL!AJ188-ACE!AJ157</f>
        <v>-743</v>
      </c>
      <c r="AP70" s="1500">
        <f>+EXC!AP165-ExGen!AP834-ComEd!AP178-PECO!AP206-BGE!AP204-Pepco!AK157-DPL!AK188-ACE!AK157</f>
        <v>0</v>
      </c>
      <c r="AQ70" s="1501">
        <f>+EXC!AQ165-ExGen!AQ834-ComEd!AQ178-PECO!AQ206-BGE!AQ204-Pepco!AL157-DPL!AL188-ACE!AL157</f>
        <v>0</v>
      </c>
      <c r="AR70" s="1502">
        <f t="shared" si="157"/>
        <v>-762</v>
      </c>
      <c r="AS70" s="966">
        <f>+EXC!AS165-ExGen!AS834-ComEd!AS178-PECO!AS206-BGE!AS204-Pepco!AN157-DPL!AN188-ACE!AN157</f>
        <v>204</v>
      </c>
      <c r="AT70" s="967">
        <f>+EXC!AT165-ExGen!AT834-ComEd!AT178-PECO!AT206-BGE!AT204-Pepco!AO157-DPL!AO188-ACE!AO157</f>
        <v>-204</v>
      </c>
      <c r="AU70" s="967">
        <f>+EXC!AU165-ExGen!AU834-ComEd!AU178-PECO!AU206-BGE!AU204-Pepco!AP157-DPL!AP188-ACE!AP157</f>
        <v>-1</v>
      </c>
      <c r="AV70" s="1501">
        <f>+EXC!AV165-ExGen!AV834-ComEd!AV178-PECO!AV206-BGE!AV204-Pepco!AQ157-DPL!AQ188-ACE!AQ157</f>
        <v>1</v>
      </c>
      <c r="AW70" s="1502">
        <f t="shared" si="158"/>
        <v>0</v>
      </c>
      <c r="AX70" s="966">
        <f ca="1">+EXC!AX174-ExGen!AX841-ComEd!AX185-PECO!AX213-BGE!AX211-ACE!AS164-DPL!AS194-Pepco!AS164</f>
        <v>-699.1207400873858</v>
      </c>
      <c r="AY70" s="967">
        <f ca="1">+EXC!AY174-ExGen!AY841-ComEd!AY185-PECO!AY213-BGE!AY211-ACE!AT164-DPL!AT194-Pepco!AT164</f>
        <v>150.12829871670792</v>
      </c>
      <c r="AZ70" s="967">
        <f ca="1">+EXC!AZ174-ExGen!AZ841-ComEd!AZ185-PECO!AZ213-BGE!AZ211-ACE!AU164-DPL!AU194-Pepco!AU164</f>
        <v>-115.00755862932212</v>
      </c>
      <c r="BA70" s="968">
        <f ca="1">+EXC!BA174-ExGen!BA841-ComEd!BA185-PECO!BA213-BGE!BA211-ACE!AV164-DPL!AV194-Pepco!AV164</f>
        <v>-19.384043737211698</v>
      </c>
      <c r="BB70" s="969">
        <f ca="1">SUM(AX70:BA70)</f>
        <v>-683.38404373721164</v>
      </c>
      <c r="BC70" s="966">
        <f ca="1">+EXC!BC174-ExGen!BC841-ComEd!BC185-PECO!BC213-BGE!BC211-ACE!AX164-DPL!AX194-Pepco!AX164</f>
        <v>-134.44977735492262</v>
      </c>
      <c r="BD70" s="967">
        <f ca="1">+EXC!BD174-ExGen!BD841-ComEd!BD185-PECO!BD213-BGE!BD211-ACE!AY164-DPL!AY194-Pepco!AY164</f>
        <v>-391.41630649546175</v>
      </c>
      <c r="BE70" s="967">
        <f ca="1">+EXC!BE174-ExGen!BE841-ComEd!BE185-PECO!BE213-BGE!BE211-ACE!AZ164-DPL!AZ194-Pepco!AZ164</f>
        <v>512.72857493759523</v>
      </c>
      <c r="BF70" s="968">
        <f ca="1">+EXC!BF174-ExGen!BF841-ComEd!BF185-PECO!BF213-BGE!BF211-ACE!BA164-DPL!BA194-Pepco!BA164</f>
        <v>-24.019789517791281</v>
      </c>
      <c r="BG70" s="969">
        <f ca="1">SUM(BC70:BF70)</f>
        <v>-37.157298430580425</v>
      </c>
      <c r="BH70" s="966">
        <f ca="1">+EXC!BH174-ExGen!BH841-ComEd!BH185-PECO!BH213-BGE!BH211-ACE!BC164-DPL!BC194-Pepco!BC164</f>
        <v>221.25066282399897</v>
      </c>
      <c r="BI70" s="967">
        <f ca="1">+EXC!BI174-ExGen!BI841-ComEd!BI185-PECO!BI213-BGE!BI211-ACE!BD164-DPL!BD194-Pepco!BD164</f>
        <v>1064.5983071041653</v>
      </c>
      <c r="BJ70" s="967">
        <f ca="1">+EXC!BJ174-ExGen!BJ841-ComEd!BJ185-PECO!BJ213-BGE!BJ211-ACE!BE164-DPL!BE194-Pepco!BE164</f>
        <v>-1294.3192211821531</v>
      </c>
      <c r="BK70" s="968">
        <f ca="1">+EXC!BK174-ExGen!BK841-ComEd!BK185-PECO!BK213-BGE!BK211-ACE!BF164-DPL!BF194-Pepco!BF164</f>
        <v>658.15193193146433</v>
      </c>
      <c r="BL70" s="969">
        <f ca="1">SUM(BH70:BK70)</f>
        <v>649.68168067747547</v>
      </c>
      <c r="BM70" s="966">
        <f ca="1">+EXC!BM174-ExGen!BM841-ComEd!BM185-PECO!BM213-BGE!BM211-ACE!BH164-DPL!BH194-Pepco!BH164</f>
        <v>-19.569061973942645</v>
      </c>
      <c r="BN70" s="967">
        <f ca="1">+EXC!BN174-ExGen!BN841-ComEd!BN185-PECO!BN213-BGE!BN211-ACE!BI164-DPL!BI194-Pepco!BI164</f>
        <v>400.65863656959823</v>
      </c>
      <c r="BO70" s="967">
        <f ca="1">+EXC!BO174-ExGen!BO841-ComEd!BO185-PECO!BO213-BGE!BO211-ACE!BJ164-DPL!BJ194-Pepco!BJ164</f>
        <v>-1681.7431046534539</v>
      </c>
      <c r="BP70" s="968">
        <f ca="1">+EXC!BP174-ExGen!BP841-ComEd!BP185-PECO!BP213-BGE!BP211-ACE!BK164-DPL!BK194-Pepco!BK164</f>
        <v>109.25002544756005</v>
      </c>
      <c r="BQ70" s="969">
        <f ca="1">SUM(BM70:BP70)</f>
        <v>-1191.4035046102383</v>
      </c>
    </row>
    <row r="71" spans="3:69" s="965" customFormat="1">
      <c r="C71" s="965" t="s">
        <v>1280</v>
      </c>
      <c r="E71" s="966">
        <f>+EXC!E166+EXC!E167-ExGen!E835-ComEd!E179-PECO!E207</f>
        <v>90</v>
      </c>
      <c r="F71" s="967">
        <f>+EXC!F166+EXC!F167-ExGen!F835-ComEd!F179-PECO!F207</f>
        <v>188</v>
      </c>
      <c r="G71" s="967">
        <f>+EXC!G166+EXC!G167-ExGen!G835-ComEd!G179-PECO!G207</f>
        <v>857</v>
      </c>
      <c r="H71" s="968">
        <f>+EXC!H166+EXC!H167-ExGen!H835-ComEd!H179-PECO!H207</f>
        <v>262</v>
      </c>
      <c r="I71" s="980">
        <f>+EXC!I166+EXC!I167-ExGen!I835-ComEd!I179-PECO!I207</f>
        <v>1397</v>
      </c>
      <c r="J71" s="966">
        <f>+EXC!J166+EXC!J167-ExGen!J835-ComEd!J179-PECO!J207</f>
        <v>65</v>
      </c>
      <c r="K71" s="967">
        <f>+EXC!K166+EXC!K167-ExGen!K835-ComEd!K179-PECO!K207</f>
        <v>-53</v>
      </c>
      <c r="L71" s="967">
        <f>+EXC!L166+EXC!L167-ExGen!L835-ComEd!L179-PECO!L207</f>
        <v>3</v>
      </c>
      <c r="M71" s="968">
        <f>+EXC!M166+EXC!M167-ExGen!M835-ComEd!M179-PECO!M207</f>
        <v>583</v>
      </c>
      <c r="N71" s="980">
        <f>+EXC!N166+EXC!N167-ExGen!N835-ComEd!N179-PECO!N207</f>
        <v>598</v>
      </c>
      <c r="O71" s="966">
        <f>+EXC!O166+EXC!O167-ExGen!O835-ComEd!O179-PECO!O207</f>
        <v>-153</v>
      </c>
      <c r="P71" s="967">
        <f>+EXC!P166+EXC!P167-ExGen!P835-ComEd!P179-PECO!P207</f>
        <v>-191</v>
      </c>
      <c r="Q71" s="967">
        <f>+EXC!Q166+EXC!Q167-ExGen!Q835-ComEd!Q179-PECO!Q207</f>
        <v>-147</v>
      </c>
      <c r="R71" s="968">
        <f>+EXC!R166+EXC!R167-ExGen!R835-ComEd!R179-PECO!R207</f>
        <v>-88</v>
      </c>
      <c r="S71" s="980">
        <f>+EXC!S166+EXC!S167-ExGen!S835-ComEd!S179-PECO!S207</f>
        <v>-579</v>
      </c>
      <c r="T71" s="966">
        <f>+EXC!T166+EXC!T167-ExGen!T835-ComEd!T179-PECO!T207-BGE!T205</f>
        <v>428</v>
      </c>
      <c r="U71" s="1329">
        <f>+EXC!U166+EXC!U167-ExGen!U835-ComEd!U179-PECO!U207-BGE!U205</f>
        <v>-120</v>
      </c>
      <c r="V71" s="1329">
        <f>+EXC!V166+EXC!V167-ExGen!V835-ComEd!V179-PECO!V207-BGE!V205</f>
        <v>160</v>
      </c>
      <c r="W71" s="1330">
        <f>+EXC!W166+EXC!W167-ExGen!W835-ComEd!W179-PECO!W207-BGE!W205</f>
        <v>-144</v>
      </c>
      <c r="X71" s="1331">
        <f>+EXC!X166+EXC!X167-ExGen!X835-ComEd!X179-PECO!X207-BGE!X205</f>
        <v>324</v>
      </c>
      <c r="Y71" s="966">
        <f>+EXC!Y166+EXC!Y167-ExGen!Y835-ComEd!Y179-PECO!Y207-BGE!Y205</f>
        <v>-85</v>
      </c>
      <c r="Z71" s="967">
        <f>+EXC!Z166+EXC!Z167-ExGen!Z835-ComEd!Z179-PECO!Z207-BGE!Z205</f>
        <v>157</v>
      </c>
      <c r="AA71" s="1500">
        <f>+EXC!AA166+EXC!AA167-ExGen!AA835-ComEd!AA179-PECO!AA207-BGE!AA205</f>
        <v>-39</v>
      </c>
      <c r="AB71" s="1501">
        <f>+EXC!AB166+EXC!AB167-ExGen!AB835-ComEd!AB179-PECO!AB207-BGE!AB205</f>
        <v>-97</v>
      </c>
      <c r="AC71" s="1502">
        <f>+EXC!AC166+EXC!AC167-ExGen!AC835-ComEd!AC179-PECO!AC207-BGE!AC205</f>
        <v>-64</v>
      </c>
      <c r="AD71" s="966">
        <f>+EXC!AD166+EXC!AD167-ExGen!AD835-ComEd!AD179-PECO!AD207-BGE!AD205</f>
        <v>-108</v>
      </c>
      <c r="AE71" s="967">
        <f>+EXC!AE166+EXC!AE167-ExGen!AE835-ComEd!AE179-PECO!AE207-BGE!AE205</f>
        <v>147</v>
      </c>
      <c r="AF71" s="1500">
        <f>+EXC!AF166+EXC!AF167-ExGen!AF835-ComEd!AF179-PECO!AF207-BGE!AF205</f>
        <v>-85</v>
      </c>
      <c r="AG71" s="1501">
        <f>+EXC!AG166+EXC!AG167-ExGen!AG835-ComEd!AG179-PECO!AG207-BGE!AG205</f>
        <v>-49</v>
      </c>
      <c r="AH71" s="1502">
        <f>+EXC!AH166+EXC!AH167-ExGen!AH835-ComEd!AH179-PECO!AH207-BGE!AH205</f>
        <v>-95</v>
      </c>
      <c r="AI71" s="966">
        <f>+EXC!AI166+EXC!AI167-ExGen!AI835-ComEd!AI179-PECO!AI207-BGE!AI205</f>
        <v>326</v>
      </c>
      <c r="AJ71" s="967">
        <f>+EXC!AJ166+EXC!AJ167-ExGen!AJ835-ComEd!AJ179-PECO!AJ207-BGE!AJ205</f>
        <v>1098</v>
      </c>
      <c r="AK71" s="1500">
        <f>+EXC!AK166+EXC!AK167-ExGen!AK835-ComEd!AK179-PECO!AK207-BGE!AK205</f>
        <v>1211</v>
      </c>
      <c r="AL71" s="1501">
        <f>+EXC!AL166+EXC!AL167-ExGen!AL835-ComEd!AL179-PECO!AL207-BGE!AL205</f>
        <v>-2574</v>
      </c>
      <c r="AM71" s="1502">
        <f>+EXC!AM166+EXC!AM167-ExGen!AM835-ComEd!AM179-PECO!AM207-BGE!AM205</f>
        <v>61</v>
      </c>
      <c r="AN71" s="966">
        <f>+EXC!AN166+EXC!AN167-ExGen!AN835-ComEd!AN179-PECO!AN207-BGE!AN205</f>
        <v>-101</v>
      </c>
      <c r="AO71" s="967">
        <f>+EXC!AO166+EXC!AO167-ExGen!AO835-ComEd!AO179-PECO!AO207-BGE!AO205-Pepco!AJ158-DPL!AJ189-ACE!AJ158</f>
        <v>-498</v>
      </c>
      <c r="AP71" s="1500">
        <f>+EXC!AP166+EXC!AP167-ExGen!AP835-ComEd!AP179-PECO!AP207-BGE!AP205-Pepco!AK158-DPL!AK189-ACE!AK158</f>
        <v>-202</v>
      </c>
      <c r="AQ71" s="1501">
        <f>+EXC!AQ166+EXC!AQ167-ExGen!AQ835-ComEd!AQ179-PECO!AQ207-BGE!AQ205-Pepco!AL158-DPL!AL189-ACE!AL158</f>
        <v>730</v>
      </c>
      <c r="AR71" s="1502">
        <f t="shared" si="157"/>
        <v>-71</v>
      </c>
      <c r="AS71" s="966">
        <f>+EXC!AS166+EXC!AS167-ExGen!AS835-ComEd!AS179-PECO!AS207-BGE!AS205-Pepco!AN158-DPL!AN189-ACE!AN158</f>
        <v>69</v>
      </c>
      <c r="AT71" s="967">
        <f>+EXC!AT166+EXC!AT167-ExGen!AT835-ComEd!AT179-PECO!AT207-BGE!AT205-Pepco!AO158-DPL!AO189-ACE!AO158</f>
        <v>1090</v>
      </c>
      <c r="AU71" s="967">
        <f>+EXC!AU166+EXC!AU167-ExGen!AU835-ComEd!AU179-PECO!AU207-BGE!AU205-Pepco!AP158-DPL!AP189-ACE!AP158</f>
        <v>-350</v>
      </c>
      <c r="AV71" s="1501">
        <f>+EXC!AV166+EXC!AV167-ExGen!AV835-ComEd!AV179-PECO!AV207-BGE!AV205-Pepco!AQ158-DPL!AQ189-ACE!AQ158</f>
        <v>123</v>
      </c>
      <c r="AW71" s="1502">
        <f t="shared" si="158"/>
        <v>932</v>
      </c>
      <c r="AX71" s="966">
        <f>+EXC!AX166+EXC!AX167-ExGen!AX835-ComEd!AX179-PECO!AX207-BGE!AX205-Pepco!AS158-DPL!AS189-ACE!AS158</f>
        <v>-30.984999999999957</v>
      </c>
      <c r="AY71" s="967">
        <f>+EXC!AY166+EXC!AY167-ExGen!AY835-ComEd!AY179-PECO!AY207-BGE!AY205-Pepco!AT158-DPL!AT189-ACE!AT158</f>
        <v>-30.984999999999957</v>
      </c>
      <c r="AZ71" s="967">
        <f>+EXC!AZ166+EXC!AZ167-ExGen!AZ835-ComEd!AZ179-PECO!AZ207-BGE!AZ205-Pepco!AU158-DPL!AU189-ACE!AU158</f>
        <v>-30.984999999999957</v>
      </c>
      <c r="BA71" s="968">
        <f>+EXC!BA166+EXC!BA167-ExGen!BA835-ComEd!BA179-PECO!BA207-BGE!BA205-Pepco!AV158-DPL!AV189-ACE!AV158</f>
        <v>-30.984999999999957</v>
      </c>
      <c r="BB71" s="980">
        <f>SUM(AX71:BA71)</f>
        <v>-123.93999999999983</v>
      </c>
      <c r="BC71" s="966">
        <f>+EXC!BC166+EXC!BC167-ExGen!BC835-ComEd!BC179-PECO!BC207-BGE!BC205-Pepco!AX158-DPL!AX189-ACE!AX158</f>
        <v>-21.346749999999986</v>
      </c>
      <c r="BD71" s="967">
        <f>+EXC!BD166+EXC!BD167-ExGen!BD835-ComEd!BD179-PECO!BD207-BGE!BD205-Pepco!AY158-DPL!AY189-ACE!AY158</f>
        <v>-21.346749999999986</v>
      </c>
      <c r="BE71" s="967">
        <f>+EXC!BE166+EXC!BE167-ExGen!BE835-ComEd!BE179-PECO!BE207-BGE!BE205-Pepco!AZ158-DPL!AZ189-ACE!AZ158</f>
        <v>-21.346749999999986</v>
      </c>
      <c r="BF71" s="968">
        <f>+EXC!BF166+EXC!BF167-ExGen!BF835-ComEd!BF179-PECO!BF207-BGE!BF205-Pepco!BA158-DPL!BA189-ACE!BA158</f>
        <v>-21.346749999999986</v>
      </c>
      <c r="BG71" s="980">
        <f>SUM(BC71:BF71)</f>
        <v>-85.386999999999944</v>
      </c>
      <c r="BH71" s="966">
        <f>+EXC!BH166+EXC!BH167-ExGen!BH835-ComEd!BH179-PECO!BH207-BGE!BH205-Pepco!BC158-DPL!BC189-ACE!BC158</f>
        <v>19.960912500000006</v>
      </c>
      <c r="BI71" s="967">
        <f>+EXC!BI166+EXC!BI167-ExGen!BI835-ComEd!BI179-PECO!BI207-BGE!BI205-Pepco!BD158-DPL!BD189-ACE!BD158</f>
        <v>19.960912500000006</v>
      </c>
      <c r="BJ71" s="967">
        <f>+EXC!BJ166+EXC!BJ167-ExGen!BJ835-ComEd!BJ179-PECO!BJ207-BGE!BJ205-Pepco!BE158-DPL!BE189-ACE!BE158</f>
        <v>19.960912500000006</v>
      </c>
      <c r="BK71" s="968">
        <f>+EXC!BK166+EXC!BK167-ExGen!BK835-ComEd!BK179-PECO!BK207-BGE!BK205-Pepco!BF158-DPL!BF189-ACE!BF158</f>
        <v>19.960912500000006</v>
      </c>
      <c r="BL71" s="980">
        <f>SUM(BH71:BK71)</f>
        <v>79.843650000000025</v>
      </c>
      <c r="BM71" s="966">
        <f>+EXC!BM166+EXC!BM167-ExGen!BM835-ComEd!BM179-PECO!BM207-BGE!BM205-Pepco!BH158-DPL!BH189-ACE!BH158</f>
        <v>62.896458125000038</v>
      </c>
      <c r="BN71" s="967">
        <f>+EXC!BN166+EXC!BN167-ExGen!BN835-ComEd!BN179-PECO!BN207-BGE!BN205-Pepco!BI158-DPL!BI189-ACE!BI158</f>
        <v>62.896458125000038</v>
      </c>
      <c r="BO71" s="967">
        <f>+EXC!BO166+EXC!BO167-ExGen!BO835-ComEd!BO179-PECO!BO207-BGE!BO205-Pepco!BJ158-DPL!BJ189-ACE!BJ158</f>
        <v>62.896458125000038</v>
      </c>
      <c r="BP71" s="968">
        <f>+EXC!BP166+EXC!BP167-ExGen!BP835-ComEd!BP179-PECO!BP207-BGE!BP205-Pepco!BK158-DPL!BK189-ACE!BK158</f>
        <v>62.896458125000038</v>
      </c>
      <c r="BQ71" s="980">
        <f>SUM(BM71:BP71)</f>
        <v>251.58583250000015</v>
      </c>
    </row>
    <row r="72" spans="3:69" s="965" customFormat="1">
      <c r="C72" s="965" t="s">
        <v>160</v>
      </c>
      <c r="E72" s="966">
        <f>+EXC!E168-ExGen!E836-ComEd!E180-PECO!E208</f>
        <v>-77</v>
      </c>
      <c r="F72" s="978">
        <f>+EXC!F168-ExGen!F836-ComEd!F180-PECO!F208</f>
        <v>-80</v>
      </c>
      <c r="G72" s="978">
        <f>+EXC!G168-ExGen!G836-ComEd!G180-PECO!G208</f>
        <v>-89</v>
      </c>
      <c r="H72" s="979">
        <f>+EXC!H168-ExGen!H836-ComEd!H180-PECO!H208</f>
        <v>-66</v>
      </c>
      <c r="I72" s="980">
        <f>+EXC!I168-ExGen!I836-ComEd!I180-PECO!I208</f>
        <v>-312</v>
      </c>
      <c r="J72" s="966">
        <f>+EXC!J168-ExGen!J836-ComEd!J180-PECO!J208</f>
        <v>-45</v>
      </c>
      <c r="K72" s="978">
        <f>+EXC!K168-ExGen!K836-ComEd!K180-PECO!K208</f>
        <v>-45</v>
      </c>
      <c r="L72" s="978">
        <f>+EXC!L168-ExGen!L836-ComEd!L180-PECO!L208</f>
        <v>-43</v>
      </c>
      <c r="M72" s="979">
        <f>+EXC!M168-ExGen!M836-ComEd!M180-PECO!M208</f>
        <v>-44</v>
      </c>
      <c r="N72" s="980">
        <f>+EXC!N168-ExGen!N836-ComEd!N180-PECO!N208</f>
        <v>-177</v>
      </c>
      <c r="O72" s="966">
        <f>+EXC!O168-ExGen!O836-ComEd!O180-PECO!O208</f>
        <v>-3</v>
      </c>
      <c r="P72" s="978">
        <f>+EXC!P168-ExGen!P836-ComEd!P180-PECO!P208</f>
        <v>-2</v>
      </c>
      <c r="Q72" s="978">
        <f>+EXC!Q168-ExGen!Q836-ComEd!Q180-PECO!Q208</f>
        <v>-16</v>
      </c>
      <c r="R72" s="979">
        <f>+EXC!R168-ExGen!R836-ComEd!R180-PECO!R208</f>
        <v>23</v>
      </c>
      <c r="S72" s="980">
        <f>+EXC!S168-ExGen!S836-ComEd!S180-PECO!S208</f>
        <v>2</v>
      </c>
      <c r="T72" s="966">
        <f>+EXC!T168-ExGen!T836-ComEd!T180-PECO!T208-BGE!T206</f>
        <v>3</v>
      </c>
      <c r="U72" s="1329">
        <f>+EXC!U168-ExGen!U836-ComEd!U180-PECO!U208-BGE!U206</f>
        <v>-1</v>
      </c>
      <c r="V72" s="1329">
        <f>+EXC!V168-ExGen!V836-ComEd!V180-PECO!V208-BGE!V206</f>
        <v>5</v>
      </c>
      <c r="W72" s="1330">
        <f>+EXC!W168-ExGen!W836-ComEd!W180-PECO!W208-BGE!W206</f>
        <v>-42</v>
      </c>
      <c r="X72" s="1331">
        <f>+EXC!X168-ExGen!X836-ComEd!X180-PECO!X208-BGE!X206</f>
        <v>-35</v>
      </c>
      <c r="Y72" s="966">
        <f>+EXC!Y168-ExGen!Y836-ComEd!Y180-PECO!Y208-BGE!Y206</f>
        <v>-5</v>
      </c>
      <c r="Z72" s="967">
        <f>+EXC!Z168-ExGen!Z836-ComEd!Z180-PECO!Z208-BGE!Z206</f>
        <v>-269</v>
      </c>
      <c r="AA72" s="1500">
        <f>+EXC!AA168-ExGen!AA836-ComEd!AA180-PECO!AA208-BGE!AA206</f>
        <v>255</v>
      </c>
      <c r="AB72" s="1501">
        <f>+EXC!AB168-ExGen!AB836-ComEd!AB180-PECO!AB208-BGE!AB206</f>
        <v>-222</v>
      </c>
      <c r="AC72" s="1502">
        <f>+EXC!AC168-ExGen!AC836-ComEd!AC180-PECO!AC208-BGE!AC206</f>
        <v>-241</v>
      </c>
      <c r="AD72" s="966">
        <f>+EXC!AD168-ExGen!AD836-ComEd!AD180-PECO!AD208-BGE!AD206</f>
        <v>-19</v>
      </c>
      <c r="AE72" s="967">
        <f>+EXC!AE168-ExGen!AE836-ComEd!AE180-PECO!AE208-BGE!AE206</f>
        <v>-345</v>
      </c>
      <c r="AF72" s="1500">
        <f>+EXC!AF168-ExGen!AF836-ComEd!AF180-PECO!AF208-BGE!AF206</f>
        <v>222</v>
      </c>
      <c r="AG72" s="1501">
        <f>+EXC!AG168-ExGen!AG836-ComEd!AG180-PECO!AG208-BGE!AG206</f>
        <v>32</v>
      </c>
      <c r="AH72" s="1502">
        <f>+EXC!AH168-ExGen!AH836-ComEd!AH180-PECO!AH208-BGE!AH206</f>
        <v>-110</v>
      </c>
      <c r="AI72" s="966">
        <f>+EXC!AI168-ExGen!AI836-ComEd!AI180-PECO!AI208-BGE!AI206</f>
        <v>8</v>
      </c>
      <c r="AJ72" s="967">
        <f>+EXC!AJ168-ExGen!AJ836-ComEd!AJ180-PECO!AJ208-BGE!AJ206</f>
        <v>-36</v>
      </c>
      <c r="AK72" s="1500">
        <f>+EXC!AK168-ExGen!AK836-ComEd!AK180-PECO!AK208-BGE!AK206</f>
        <v>0</v>
      </c>
      <c r="AL72" s="1501">
        <f>+EXC!AL168-ExGen!AL836-ComEd!AL180-PECO!AL208-BGE!AL206</f>
        <v>-73</v>
      </c>
      <c r="AM72" s="1502">
        <f>+EXC!AM168-ExGen!AM836-ComEd!AM180-PECO!AM208-BGE!AM206</f>
        <v>-101</v>
      </c>
      <c r="AN72" s="966">
        <f>+EXC!AN168-ExGen!AN836-ComEd!AN180-PECO!AN208-BGE!AN206</f>
        <v>-17</v>
      </c>
      <c r="AO72" s="967">
        <f>+EXC!AO168-ExGen!AO836-ComEd!AO180-PECO!AO208-BGE!AO206-Pepco!AJ159-DPL!AJ190-ACE!AJ159</f>
        <v>-44</v>
      </c>
      <c r="AP72" s="1500">
        <f>+EXC!AP168-ExGen!AP836-ComEd!AP180-PECO!AP208-BGE!AP206-Pepco!AK159-DPL!AK190-ACE!AK159</f>
        <v>44</v>
      </c>
      <c r="AQ72" s="1501">
        <f>+EXC!AQ168-ExGen!AQ836-ComEd!AQ180-PECO!AQ208-BGE!AQ206-Pepco!AL159-DPL!AL190-ACE!AL159</f>
        <v>-145</v>
      </c>
      <c r="AR72" s="1502">
        <f t="shared" si="157"/>
        <v>-162</v>
      </c>
      <c r="AS72" s="966">
        <f>+EXC!AS168-ExGen!AS836-ComEd!AS180-PECO!AS208-BGE!AS206-Pepco!AN159-DPL!AN190-ACE!AN159</f>
        <v>1</v>
      </c>
      <c r="AT72" s="967">
        <f>+EXC!AT168-ExGen!AT836-ComEd!AT180-PECO!AT208-BGE!AT206-Pepco!AO159-DPL!AO190-ACE!AO159</f>
        <v>-14</v>
      </c>
      <c r="AU72" s="967">
        <f>+EXC!AU168-ExGen!AU836-ComEd!AU180-PECO!AU208-BGE!AU206-Pepco!AP159-DPL!AP190-ACE!AP159</f>
        <v>4</v>
      </c>
      <c r="AV72" s="1501">
        <f>+EXC!AV168-ExGen!AV836-ComEd!AV180-PECO!AV208-BGE!AV206-Pepco!AQ159-DPL!AQ190-ACE!AQ159</f>
        <v>-47</v>
      </c>
      <c r="AW72" s="1502">
        <f t="shared" si="158"/>
        <v>-56</v>
      </c>
      <c r="AX72" s="972">
        <v>0</v>
      </c>
      <c r="AY72" s="970">
        <v>0</v>
      </c>
      <c r="AZ72" s="970">
        <v>0</v>
      </c>
      <c r="BA72" s="971">
        <v>0</v>
      </c>
      <c r="BB72" s="969">
        <f>SUM(AX72:BA72)</f>
        <v>0</v>
      </c>
      <c r="BC72" s="972">
        <v>0</v>
      </c>
      <c r="BD72" s="970">
        <v>0</v>
      </c>
      <c r="BE72" s="970">
        <v>0</v>
      </c>
      <c r="BF72" s="971">
        <v>0</v>
      </c>
      <c r="BG72" s="969">
        <f>SUM(BC72:BF72)</f>
        <v>0</v>
      </c>
      <c r="BH72" s="972">
        <v>0</v>
      </c>
      <c r="BI72" s="970">
        <v>0</v>
      </c>
      <c r="BJ72" s="970">
        <v>0</v>
      </c>
      <c r="BK72" s="971">
        <v>0</v>
      </c>
      <c r="BL72" s="969">
        <f>SUM(BH72:BK72)</f>
        <v>0</v>
      </c>
      <c r="BM72" s="972">
        <v>0</v>
      </c>
      <c r="BN72" s="970">
        <v>0</v>
      </c>
      <c r="BO72" s="970">
        <v>0</v>
      </c>
      <c r="BP72" s="971">
        <v>0</v>
      </c>
      <c r="BQ72" s="969">
        <f>SUM(BM72:BP72)</f>
        <v>0</v>
      </c>
    </row>
    <row r="73" spans="3:69" s="965" customFormat="1">
      <c r="C73" s="964" t="s">
        <v>161</v>
      </c>
      <c r="E73" s="973">
        <f>SUM(E68:E72)</f>
        <v>-11</v>
      </c>
      <c r="F73" s="974">
        <f t="shared" ref="F73:AE73" si="166">SUM(F68:F72)</f>
        <v>76</v>
      </c>
      <c r="G73" s="974">
        <f t="shared" si="166"/>
        <v>381</v>
      </c>
      <c r="H73" s="975">
        <f t="shared" si="166"/>
        <v>83</v>
      </c>
      <c r="I73" s="976">
        <f t="shared" si="166"/>
        <v>529</v>
      </c>
      <c r="J73" s="973">
        <f t="shared" si="166"/>
        <v>20</v>
      </c>
      <c r="K73" s="974">
        <f t="shared" si="166"/>
        <v>-498</v>
      </c>
      <c r="L73" s="974">
        <f t="shared" si="166"/>
        <v>-40</v>
      </c>
      <c r="M73" s="975">
        <f t="shared" si="166"/>
        <v>539</v>
      </c>
      <c r="N73" s="976">
        <f t="shared" si="166"/>
        <v>21</v>
      </c>
      <c r="O73" s="973">
        <f t="shared" si="166"/>
        <v>-156</v>
      </c>
      <c r="P73" s="974">
        <f t="shared" si="166"/>
        <v>-53</v>
      </c>
      <c r="Q73" s="974">
        <f t="shared" si="166"/>
        <v>87</v>
      </c>
      <c r="R73" s="975">
        <f t="shared" si="166"/>
        <v>-294</v>
      </c>
      <c r="S73" s="976">
        <f t="shared" si="166"/>
        <v>-416</v>
      </c>
      <c r="T73" s="973">
        <f t="shared" si="166"/>
        <v>270</v>
      </c>
      <c r="U73" s="982">
        <f t="shared" si="166"/>
        <v>81</v>
      </c>
      <c r="V73" s="982">
        <f>SUM(V68:V72)</f>
        <v>-10</v>
      </c>
      <c r="W73" s="983">
        <f>SUM(W68:W72)</f>
        <v>-183</v>
      </c>
      <c r="X73" s="984">
        <f>SUM(X68:X72)</f>
        <v>158</v>
      </c>
      <c r="Y73" s="973">
        <f t="shared" si="166"/>
        <v>-90</v>
      </c>
      <c r="Z73" s="974">
        <f t="shared" si="166"/>
        <v>-112</v>
      </c>
      <c r="AA73" s="1503">
        <f>SUM(AA68:AA72)</f>
        <v>216</v>
      </c>
      <c r="AB73" s="1504">
        <f>SUM(AB68:AB72)</f>
        <v>-108</v>
      </c>
      <c r="AC73" s="1505">
        <f>SUM(AC68:AC72)</f>
        <v>-94</v>
      </c>
      <c r="AD73" s="973">
        <f t="shared" si="166"/>
        <v>-128</v>
      </c>
      <c r="AE73" s="974">
        <f t="shared" si="166"/>
        <v>950</v>
      </c>
      <c r="AF73" s="1503">
        <f>SUM(AF68:AF72)</f>
        <v>130</v>
      </c>
      <c r="AG73" s="1504">
        <f>SUM(AG68:AG72)</f>
        <v>-28</v>
      </c>
      <c r="AH73" s="1505">
        <f>SUM(AH68:AH72)</f>
        <v>924</v>
      </c>
      <c r="AI73" s="973">
        <f t="shared" ref="AI73:AJ73" si="167">SUM(AI68:AI72)</f>
        <v>258</v>
      </c>
      <c r="AJ73" s="974">
        <f t="shared" si="167"/>
        <v>4475</v>
      </c>
      <c r="AK73" s="1503">
        <f>SUM(AK68:AK72)</f>
        <v>1187</v>
      </c>
      <c r="AL73" s="1504">
        <f>SUM(AL68:AL72)</f>
        <v>-999</v>
      </c>
      <c r="AM73" s="1505">
        <f>SUM(AM68:AM72)</f>
        <v>4921</v>
      </c>
      <c r="AN73" s="350">
        <f t="shared" ref="AN73" si="168">SUM(AN68:AN72)</f>
        <v>1024</v>
      </c>
      <c r="AO73" s="351">
        <f>SUM(AO68:AO72)</f>
        <v>-248</v>
      </c>
      <c r="AP73" s="351">
        <f t="shared" ref="AP73" si="169">SUM(AP68:AP72)</f>
        <v>180</v>
      </c>
      <c r="AQ73" s="352">
        <f>SUM(AQ68:AQ72)</f>
        <v>797</v>
      </c>
      <c r="AR73" s="1505">
        <f>SUM(AR68:AR72)</f>
        <v>1753</v>
      </c>
      <c r="AS73" s="350">
        <f>SUM(AS68:AS72)</f>
        <v>264</v>
      </c>
      <c r="AT73" s="351">
        <f>SUM(AT68:AT72)</f>
        <v>11</v>
      </c>
      <c r="AU73" s="351">
        <f t="shared" ref="AU73" si="170">SUM(AU68:AU72)</f>
        <v>-242</v>
      </c>
      <c r="AV73" s="352">
        <f>SUM(AV68:AV72)</f>
        <v>116</v>
      </c>
      <c r="AW73" s="1505">
        <f>SUM(AW68:AW72)</f>
        <v>149</v>
      </c>
      <c r="AX73" s="973">
        <f t="shared" ref="AX73:BB73" ca="1" si="171">SUM(AX68:AX72)</f>
        <v>-730.10574008738581</v>
      </c>
      <c r="AY73" s="974">
        <f t="shared" ca="1" si="171"/>
        <v>119.14329871670796</v>
      </c>
      <c r="AZ73" s="974">
        <f t="shared" ca="1" si="171"/>
        <v>-145.99255862932208</v>
      </c>
      <c r="BA73" s="975">
        <f t="shared" ca="1" si="171"/>
        <v>-50.369043737211655</v>
      </c>
      <c r="BB73" s="976">
        <f t="shared" ca="1" si="171"/>
        <v>-807.32404373721147</v>
      </c>
      <c r="BC73" s="973">
        <f t="shared" ref="BC73:BL73" ca="1" si="172">SUM(BC68:BC72)</f>
        <v>-155.7965273549226</v>
      </c>
      <c r="BD73" s="974">
        <f t="shared" ca="1" si="172"/>
        <v>-412.76305649546174</v>
      </c>
      <c r="BE73" s="974">
        <f t="shared" ca="1" si="172"/>
        <v>491.38182493759524</v>
      </c>
      <c r="BF73" s="975">
        <f t="shared" ca="1" si="172"/>
        <v>-45.366539517791267</v>
      </c>
      <c r="BG73" s="976">
        <f t="shared" ca="1" si="172"/>
        <v>-122.54429843058037</v>
      </c>
      <c r="BH73" s="973">
        <f t="shared" ca="1" si="172"/>
        <v>241.21157532399897</v>
      </c>
      <c r="BI73" s="974">
        <f t="shared" ca="1" si="172"/>
        <v>184.55921960416532</v>
      </c>
      <c r="BJ73" s="974">
        <f t="shared" ca="1" si="172"/>
        <v>175.64169131784689</v>
      </c>
      <c r="BK73" s="975">
        <f t="shared" ca="1" si="172"/>
        <v>128.11284443146434</v>
      </c>
      <c r="BL73" s="976">
        <f t="shared" ca="1" si="172"/>
        <v>729.52533067747549</v>
      </c>
      <c r="BM73" s="973">
        <f t="shared" ref="BM73:BQ73" ca="1" si="173">SUM(BM68:BM72)</f>
        <v>43.327396151057393</v>
      </c>
      <c r="BN73" s="974">
        <f t="shared" ca="1" si="173"/>
        <v>163.55509469459827</v>
      </c>
      <c r="BO73" s="974">
        <f t="shared" ca="1" si="173"/>
        <v>-168.84664652845385</v>
      </c>
      <c r="BP73" s="975">
        <f t="shared" ca="1" si="173"/>
        <v>172.1464835725601</v>
      </c>
      <c r="BQ73" s="976">
        <f t="shared" ca="1" si="173"/>
        <v>210.18232788976184</v>
      </c>
    </row>
    <row r="74" spans="3:69" s="965" customFormat="1">
      <c r="E74" s="977"/>
      <c r="F74" s="978"/>
      <c r="G74" s="978"/>
      <c r="H74" s="979"/>
      <c r="I74" s="980"/>
      <c r="J74" s="977"/>
      <c r="K74" s="978"/>
      <c r="L74" s="978"/>
      <c r="M74" s="979"/>
      <c r="N74" s="980"/>
      <c r="O74" s="977"/>
      <c r="P74" s="978"/>
      <c r="Q74" s="978"/>
      <c r="R74" s="979"/>
      <c r="S74" s="980"/>
      <c r="T74" s="977"/>
      <c r="U74" s="1329"/>
      <c r="V74" s="1329"/>
      <c r="W74" s="1330"/>
      <c r="X74" s="1331"/>
      <c r="Y74" s="977"/>
      <c r="Z74" s="978"/>
      <c r="AA74" s="1500"/>
      <c r="AB74" s="1501"/>
      <c r="AC74" s="1502"/>
      <c r="AD74" s="977"/>
      <c r="AE74" s="978"/>
      <c r="AF74" s="1500"/>
      <c r="AG74" s="1501"/>
      <c r="AH74" s="1502"/>
      <c r="AI74" s="977"/>
      <c r="AJ74" s="978"/>
      <c r="AK74" s="1500"/>
      <c r="AL74" s="1501"/>
      <c r="AM74" s="1502"/>
      <c r="AN74" s="977"/>
      <c r="AO74" s="978"/>
      <c r="AP74" s="1500"/>
      <c r="AQ74" s="1501"/>
      <c r="AR74" s="1502"/>
      <c r="AS74" s="977"/>
      <c r="AT74" s="978"/>
      <c r="AU74" s="978"/>
      <c r="AV74" s="1501"/>
      <c r="AW74" s="1502"/>
      <c r="AX74" s="977"/>
      <c r="AY74" s="978"/>
      <c r="AZ74" s="978"/>
      <c r="BA74" s="979"/>
      <c r="BB74" s="980"/>
      <c r="BC74" s="977"/>
      <c r="BD74" s="978"/>
      <c r="BE74" s="978"/>
      <c r="BF74" s="979"/>
      <c r="BG74" s="980"/>
      <c r="BH74" s="977"/>
      <c r="BI74" s="978"/>
      <c r="BJ74" s="978"/>
      <c r="BK74" s="979"/>
      <c r="BL74" s="980"/>
      <c r="BM74" s="977"/>
      <c r="BN74" s="978"/>
      <c r="BO74" s="978"/>
      <c r="BP74" s="979"/>
      <c r="BQ74" s="980"/>
    </row>
    <row r="75" spans="3:69" s="965" customFormat="1">
      <c r="C75" s="964" t="s">
        <v>162</v>
      </c>
      <c r="E75" s="981">
        <f t="shared" ref="E75:T75" si="174">E61+E66+E73</f>
        <v>-17</v>
      </c>
      <c r="F75" s="982">
        <f t="shared" si="174"/>
        <v>1</v>
      </c>
      <c r="G75" s="982">
        <f t="shared" si="174"/>
        <v>330</v>
      </c>
      <c r="H75" s="983">
        <f t="shared" si="174"/>
        <v>153</v>
      </c>
      <c r="I75" s="984">
        <f t="shared" si="174"/>
        <v>467</v>
      </c>
      <c r="J75" s="981">
        <f t="shared" si="174"/>
        <v>9</v>
      </c>
      <c r="K75" s="982">
        <f t="shared" si="174"/>
        <v>-454</v>
      </c>
      <c r="L75" s="982">
        <f t="shared" si="174"/>
        <v>-12</v>
      </c>
      <c r="M75" s="983">
        <f t="shared" si="174"/>
        <v>524</v>
      </c>
      <c r="N75" s="984">
        <f t="shared" si="174"/>
        <v>67</v>
      </c>
      <c r="O75" s="981">
        <f t="shared" si="174"/>
        <v>-546</v>
      </c>
      <c r="P75" s="982">
        <f t="shared" si="174"/>
        <v>2</v>
      </c>
      <c r="Q75" s="982">
        <f t="shared" si="174"/>
        <v>14</v>
      </c>
      <c r="R75" s="983">
        <f t="shared" si="174"/>
        <v>38</v>
      </c>
      <c r="S75" s="984">
        <f t="shared" si="174"/>
        <v>-492</v>
      </c>
      <c r="T75" s="981">
        <f t="shared" si="174"/>
        <v>135</v>
      </c>
      <c r="U75" s="982">
        <f t="shared" ref="U75:Z75" si="175">U61+U66+U73</f>
        <v>-113</v>
      </c>
      <c r="V75" s="982">
        <f t="shared" si="175"/>
        <v>5</v>
      </c>
      <c r="W75" s="983">
        <f t="shared" si="175"/>
        <v>150</v>
      </c>
      <c r="X75" s="984">
        <f t="shared" si="175"/>
        <v>177</v>
      </c>
      <c r="Y75" s="981">
        <f t="shared" si="175"/>
        <v>-120</v>
      </c>
      <c r="Z75" s="982">
        <f t="shared" si="175"/>
        <v>63</v>
      </c>
      <c r="AA75" s="1503">
        <f t="shared" ref="AA75:AF75" si="176">AA61+AA66+AA73</f>
        <v>-97</v>
      </c>
      <c r="AB75" s="1504">
        <f t="shared" si="176"/>
        <v>1</v>
      </c>
      <c r="AC75" s="1505">
        <f t="shared" si="176"/>
        <v>-153</v>
      </c>
      <c r="AD75" s="981">
        <f t="shared" si="176"/>
        <v>119</v>
      </c>
      <c r="AE75" s="982">
        <f t="shared" si="176"/>
        <v>725</v>
      </c>
      <c r="AF75" s="1503">
        <f t="shared" si="176"/>
        <v>124</v>
      </c>
      <c r="AG75" s="1504">
        <f t="shared" ref="AG75:AK75" si="177">AG61+AG66+AG73</f>
        <v>-97</v>
      </c>
      <c r="AH75" s="1505">
        <f t="shared" si="177"/>
        <v>871</v>
      </c>
      <c r="AI75" s="981">
        <f t="shared" si="177"/>
        <v>168</v>
      </c>
      <c r="AJ75" s="982">
        <f t="shared" si="177"/>
        <v>4351</v>
      </c>
      <c r="AK75" s="1503">
        <f t="shared" si="177"/>
        <v>1153</v>
      </c>
      <c r="AL75" s="1504">
        <f t="shared" ref="AL75:AN75" si="178">AL61+AL66+AL73</f>
        <v>-910</v>
      </c>
      <c r="AM75" s="1505">
        <f t="shared" si="178"/>
        <v>4762</v>
      </c>
      <c r="AN75" s="981">
        <f t="shared" si="178"/>
        <v>-5156</v>
      </c>
      <c r="AO75" s="982">
        <f>AO61+AO66+AO73</f>
        <v>-358</v>
      </c>
      <c r="AP75" s="1503">
        <f t="shared" ref="AP75:AR75" si="179">AP61+AP66+AP73</f>
        <v>313</v>
      </c>
      <c r="AQ75" s="1504">
        <f t="shared" si="179"/>
        <v>-303</v>
      </c>
      <c r="AR75" s="1505">
        <f t="shared" si="179"/>
        <v>-5504</v>
      </c>
      <c r="AS75" s="981">
        <f t="shared" ref="AS75" si="180">AS61+AS66+AS73</f>
        <v>-14</v>
      </c>
      <c r="AT75" s="982">
        <f>AT61+AT66+AT73</f>
        <v>10</v>
      </c>
      <c r="AU75" s="982">
        <f t="shared" ref="AU75:AW75" si="181">AU61+AU66+AU73</f>
        <v>59</v>
      </c>
      <c r="AV75" s="1504">
        <f t="shared" si="181"/>
        <v>8</v>
      </c>
      <c r="AW75" s="1505">
        <f t="shared" si="181"/>
        <v>63</v>
      </c>
      <c r="AX75" s="981">
        <f t="shared" ref="AX75:BB75" ca="1" si="182">AX61+AX66+AX73</f>
        <v>-730.64322332802897</v>
      </c>
      <c r="AY75" s="982">
        <f t="shared" ca="1" si="182"/>
        <v>91.024477779946665</v>
      </c>
      <c r="AZ75" s="982">
        <f t="shared" ca="1" si="182"/>
        <v>-153.11260991676826</v>
      </c>
      <c r="BA75" s="983">
        <f t="shared" ca="1" si="182"/>
        <v>-100.74927285146875</v>
      </c>
      <c r="BB75" s="984">
        <f t="shared" ca="1" si="182"/>
        <v>-938.41395675457693</v>
      </c>
      <c r="BC75" s="981">
        <f t="shared" ref="BC75:BL75" ca="1" si="183">BC61+BC66+BC73</f>
        <v>-154.50299835868537</v>
      </c>
      <c r="BD75" s="982">
        <f t="shared" ca="1" si="183"/>
        <v>-434.67468280383036</v>
      </c>
      <c r="BE75" s="982">
        <f t="shared" ca="1" si="183"/>
        <v>487.77854818450538</v>
      </c>
      <c r="BF75" s="983">
        <f t="shared" ca="1" si="183"/>
        <v>-72.541328498344711</v>
      </c>
      <c r="BG75" s="984">
        <f t="shared" ca="1" si="183"/>
        <v>-210.01879103427933</v>
      </c>
      <c r="BH75" s="981">
        <f t="shared" ca="1" si="183"/>
        <v>238.86828946180799</v>
      </c>
      <c r="BI75" s="982">
        <f t="shared" ca="1" si="183"/>
        <v>165.91140534077391</v>
      </c>
      <c r="BJ75" s="982">
        <f t="shared" ca="1" si="183"/>
        <v>155.39683986643269</v>
      </c>
      <c r="BK75" s="983">
        <f t="shared" ca="1" si="183"/>
        <v>91.152295642686568</v>
      </c>
      <c r="BL75" s="984">
        <f t="shared" ca="1" si="183"/>
        <v>616.39103181973223</v>
      </c>
      <c r="BM75" s="981">
        <f t="shared" ref="BM75:BQ75" ca="1" si="184">BM61+BM66+BM73</f>
        <v>31.506361526793953</v>
      </c>
      <c r="BN75" s="982">
        <f t="shared" ca="1" si="184"/>
        <v>143.23084901939811</v>
      </c>
      <c r="BO75" s="982">
        <f t="shared" ca="1" si="184"/>
        <v>-206.47927957229652</v>
      </c>
      <c r="BP75" s="983">
        <f t="shared" ca="1" si="184"/>
        <v>119.76081478103308</v>
      </c>
      <c r="BQ75" s="984">
        <f t="shared" ca="1" si="184"/>
        <v>48.644824631704012</v>
      </c>
    </row>
    <row r="76" spans="3:69" s="1" customFormat="1">
      <c r="E76" s="271"/>
      <c r="F76" s="17"/>
      <c r="G76" s="17"/>
      <c r="H76" s="272"/>
      <c r="I76" s="227"/>
      <c r="J76" s="288"/>
      <c r="K76" s="259"/>
      <c r="L76" s="259"/>
      <c r="M76" s="289"/>
      <c r="N76" s="227"/>
      <c r="O76" s="288"/>
      <c r="P76" s="259"/>
      <c r="Q76" s="259"/>
      <c r="R76" s="289"/>
      <c r="S76" s="227"/>
      <c r="T76" s="288"/>
      <c r="U76" s="259"/>
      <c r="V76" s="259"/>
      <c r="W76" s="289"/>
      <c r="X76" s="227"/>
      <c r="Y76" s="288"/>
      <c r="Z76" s="259"/>
      <c r="AA76" s="1506"/>
      <c r="AB76" s="1507"/>
      <c r="AC76" s="1508"/>
      <c r="AD76" s="288"/>
      <c r="AE76" s="259"/>
      <c r="AF76" s="259"/>
      <c r="AG76" s="289"/>
      <c r="AH76" s="227"/>
      <c r="AI76" s="288"/>
      <c r="AJ76" s="259"/>
      <c r="AK76" s="259"/>
      <c r="AL76" s="289"/>
      <c r="AM76" s="227"/>
      <c r="AN76" s="288"/>
      <c r="AO76" s="259"/>
      <c r="AP76" s="259"/>
      <c r="AQ76" s="289"/>
      <c r="AR76" s="227"/>
      <c r="AS76" s="288"/>
      <c r="AT76" s="259"/>
      <c r="AU76" s="259"/>
      <c r="AV76" s="289"/>
      <c r="AW76" s="227"/>
      <c r="AX76" s="288"/>
      <c r="AY76" s="259"/>
      <c r="AZ76" s="259"/>
      <c r="BA76" s="289"/>
      <c r="BB76" s="227"/>
      <c r="BC76" s="288"/>
      <c r="BD76" s="259"/>
      <c r="BE76" s="259"/>
      <c r="BF76" s="289"/>
      <c r="BG76" s="227"/>
      <c r="BH76" s="288"/>
      <c r="BI76" s="259"/>
      <c r="BJ76" s="259"/>
      <c r="BK76" s="289"/>
      <c r="BL76" s="227"/>
      <c r="BM76" s="288"/>
      <c r="BN76" s="259"/>
      <c r="BO76" s="259"/>
      <c r="BP76" s="289"/>
      <c r="BQ76" s="227"/>
    </row>
    <row r="77" spans="3:69" s="1" customFormat="1">
      <c r="E77" s="273"/>
      <c r="F77" s="3"/>
      <c r="G77" s="3"/>
      <c r="H77" s="274"/>
      <c r="J77" s="273"/>
      <c r="K77" s="3"/>
      <c r="L77" s="3"/>
      <c r="M77" s="274"/>
      <c r="O77" s="273"/>
      <c r="P77" s="3"/>
      <c r="Q77" s="3"/>
      <c r="R77" s="274"/>
      <c r="T77" s="273"/>
      <c r="U77" s="3"/>
      <c r="V77" s="3"/>
      <c r="W77" s="274"/>
      <c r="Y77" s="273"/>
      <c r="Z77" s="3"/>
      <c r="AA77" s="3"/>
      <c r="AB77" s="274"/>
      <c r="AD77" s="273"/>
      <c r="AE77" s="3"/>
      <c r="AF77" s="3"/>
      <c r="AG77" s="274"/>
      <c r="AI77" s="273"/>
      <c r="AJ77" s="3"/>
      <c r="AK77" s="3"/>
      <c r="AL77" s="274"/>
      <c r="AN77" s="273"/>
      <c r="AO77" s="3"/>
      <c r="AP77" s="3"/>
      <c r="AQ77" s="274"/>
      <c r="AS77" s="273"/>
      <c r="AT77" s="3"/>
      <c r="AU77" s="3"/>
      <c r="AV77" s="274"/>
      <c r="AX77" s="273"/>
      <c r="AY77" s="3"/>
      <c r="AZ77" s="3"/>
      <c r="BA77" s="274"/>
      <c r="BC77" s="273"/>
      <c r="BD77" s="3"/>
      <c r="BE77" s="3"/>
      <c r="BF77" s="274"/>
      <c r="BH77" s="273"/>
      <c r="BI77" s="3"/>
      <c r="BJ77" s="3"/>
      <c r="BK77" s="274"/>
      <c r="BM77" s="273"/>
      <c r="BN77" s="3"/>
      <c r="BO77" s="3"/>
      <c r="BP77" s="274"/>
    </row>
    <row r="78" spans="3:69" s="1" customFormat="1">
      <c r="E78" s="273"/>
      <c r="F78" s="3"/>
      <c r="G78" s="3"/>
      <c r="H78" s="274"/>
      <c r="J78" s="273"/>
      <c r="K78" s="3"/>
      <c r="L78" s="3"/>
      <c r="M78" s="274"/>
      <c r="O78" s="273"/>
      <c r="P78" s="3"/>
      <c r="Q78" s="3"/>
      <c r="R78" s="274"/>
      <c r="T78" s="273"/>
      <c r="U78" s="3"/>
      <c r="V78" s="3"/>
      <c r="W78" s="274"/>
      <c r="Y78" s="273"/>
      <c r="Z78" s="3"/>
      <c r="AA78" s="3"/>
      <c r="AB78" s="274"/>
      <c r="AD78" s="273"/>
      <c r="AE78" s="3"/>
      <c r="AF78" s="3"/>
      <c r="AG78" s="274"/>
      <c r="AI78" s="273"/>
      <c r="AJ78" s="3"/>
      <c r="AK78" s="3"/>
      <c r="AL78" s="274"/>
      <c r="AN78" s="273"/>
      <c r="AO78" s="3"/>
      <c r="AP78" s="3"/>
      <c r="AQ78" s="274"/>
      <c r="AS78" s="273"/>
      <c r="AT78" s="3"/>
      <c r="AU78" s="3"/>
      <c r="AV78" s="274"/>
      <c r="AX78" s="273"/>
      <c r="AY78" s="3"/>
      <c r="AZ78" s="3"/>
      <c r="BA78" s="274"/>
      <c r="BC78" s="273"/>
      <c r="BD78" s="3"/>
      <c r="BE78" s="3"/>
      <c r="BF78" s="274"/>
      <c r="BH78" s="273"/>
      <c r="BI78" s="3"/>
      <c r="BJ78" s="3"/>
      <c r="BK78" s="274"/>
      <c r="BM78" s="273"/>
      <c r="BN78" s="3"/>
      <c r="BO78" s="3"/>
      <c r="BP78" s="274"/>
    </row>
    <row r="79" spans="3:69" s="1" customFormat="1">
      <c r="E79" s="273"/>
      <c r="F79" s="3"/>
      <c r="G79" s="3"/>
      <c r="H79" s="274"/>
      <c r="J79" s="273"/>
      <c r="K79" s="3"/>
      <c r="L79" s="3"/>
      <c r="M79" s="274"/>
      <c r="O79" s="273"/>
      <c r="P79" s="3"/>
      <c r="Q79" s="3"/>
      <c r="R79" s="274"/>
      <c r="T79" s="273"/>
      <c r="U79" s="3"/>
      <c r="V79" s="3"/>
      <c r="W79" s="274"/>
      <c r="Y79" s="273"/>
      <c r="Z79" s="3"/>
      <c r="AA79" s="3"/>
      <c r="AB79" s="274"/>
      <c r="AD79" s="273"/>
      <c r="AE79" s="3"/>
      <c r="AF79" s="3"/>
      <c r="AG79" s="274"/>
      <c r="AI79" s="273"/>
      <c r="AJ79" s="3"/>
      <c r="AK79" s="3"/>
      <c r="AL79" s="274"/>
      <c r="AN79" s="273"/>
      <c r="AO79" s="3"/>
      <c r="AP79" s="3"/>
      <c r="AQ79" s="274"/>
      <c r="AS79" s="273"/>
      <c r="AT79" s="3"/>
      <c r="AU79" s="3"/>
      <c r="AV79" s="274"/>
      <c r="AX79" s="273"/>
      <c r="AY79" s="3"/>
      <c r="AZ79" s="3"/>
      <c r="BA79" s="274"/>
      <c r="BC79" s="273"/>
      <c r="BD79" s="3"/>
      <c r="BE79" s="3"/>
      <c r="BF79" s="274"/>
      <c r="BH79" s="273"/>
      <c r="BI79" s="3"/>
      <c r="BJ79" s="3"/>
      <c r="BK79" s="274"/>
      <c r="BM79" s="273"/>
      <c r="BN79" s="3"/>
      <c r="BO79" s="3"/>
      <c r="BP79" s="274"/>
    </row>
    <row r="80" spans="3:69" s="1" customFormat="1">
      <c r="E80" s="273"/>
      <c r="F80" s="3"/>
      <c r="G80" s="3"/>
      <c r="H80" s="274"/>
      <c r="J80" s="273"/>
      <c r="K80" s="3"/>
      <c r="L80" s="3"/>
      <c r="M80" s="274"/>
      <c r="O80" s="273"/>
      <c r="P80" s="3"/>
      <c r="Q80" s="3"/>
      <c r="R80" s="274"/>
      <c r="T80" s="273"/>
      <c r="U80" s="3"/>
      <c r="V80" s="3"/>
      <c r="W80" s="274"/>
      <c r="Y80" s="273"/>
      <c r="Z80" s="3"/>
      <c r="AA80" s="3"/>
      <c r="AB80" s="274"/>
      <c r="AD80" s="273"/>
      <c r="AE80" s="3"/>
      <c r="AF80" s="3"/>
      <c r="AG80" s="274"/>
      <c r="AI80" s="273"/>
      <c r="AJ80" s="3"/>
      <c r="AK80" s="3"/>
      <c r="AL80" s="274"/>
      <c r="AN80" s="273"/>
      <c r="AO80" s="3"/>
      <c r="AP80" s="3"/>
      <c r="AQ80" s="274"/>
      <c r="AS80" s="273"/>
      <c r="AT80" s="3"/>
      <c r="AU80" s="3"/>
      <c r="AV80" s="274"/>
      <c r="AX80" s="273"/>
      <c r="AY80" s="3"/>
      <c r="AZ80" s="3"/>
      <c r="BA80" s="274"/>
      <c r="BC80" s="273"/>
      <c r="BD80" s="3"/>
      <c r="BE80" s="3"/>
      <c r="BF80" s="274"/>
      <c r="BH80" s="273"/>
      <c r="BI80" s="3"/>
      <c r="BJ80" s="3"/>
      <c r="BK80" s="274"/>
      <c r="BM80" s="273"/>
      <c r="BN80" s="3"/>
      <c r="BO80" s="3"/>
      <c r="BP80" s="274"/>
    </row>
    <row r="81" spans="5:68" s="1" customFormat="1">
      <c r="E81" s="273"/>
      <c r="F81" s="3"/>
      <c r="G81" s="3"/>
      <c r="H81" s="274"/>
      <c r="J81" s="273"/>
      <c r="K81" s="3"/>
      <c r="L81" s="3"/>
      <c r="M81" s="274"/>
      <c r="O81" s="273"/>
      <c r="P81" s="3"/>
      <c r="Q81" s="3"/>
      <c r="R81" s="274"/>
      <c r="T81" s="273"/>
      <c r="U81" s="3"/>
      <c r="V81" s="3"/>
      <c r="W81" s="274"/>
      <c r="Y81" s="273"/>
      <c r="Z81" s="3"/>
      <c r="AA81" s="3"/>
      <c r="AB81" s="274"/>
      <c r="AD81" s="273"/>
      <c r="AE81" s="3"/>
      <c r="AF81" s="3"/>
      <c r="AG81" s="274"/>
      <c r="AI81" s="273"/>
      <c r="AJ81" s="3"/>
      <c r="AK81" s="3"/>
      <c r="AL81" s="274"/>
      <c r="AN81" s="273"/>
      <c r="AO81" s="3"/>
      <c r="AP81" s="3"/>
      <c r="AQ81" s="274"/>
      <c r="AS81" s="273"/>
      <c r="AT81" s="3"/>
      <c r="AU81" s="3"/>
      <c r="AV81" s="274"/>
      <c r="AX81" s="273"/>
      <c r="AY81" s="3"/>
      <c r="AZ81" s="3"/>
      <c r="BA81" s="274"/>
      <c r="BC81" s="273"/>
      <c r="BD81" s="3"/>
      <c r="BE81" s="3"/>
      <c r="BF81" s="274"/>
      <c r="BH81" s="273"/>
      <c r="BI81" s="3"/>
      <c r="BJ81" s="3"/>
      <c r="BK81" s="274"/>
      <c r="BM81" s="273"/>
      <c r="BN81" s="3"/>
      <c r="BO81" s="3"/>
      <c r="BP81" s="274"/>
    </row>
    <row r="82" spans="5:68" s="1" customFormat="1">
      <c r="E82" s="273"/>
      <c r="F82" s="3"/>
      <c r="G82" s="3"/>
      <c r="H82" s="274"/>
      <c r="J82" s="273"/>
      <c r="K82" s="3"/>
      <c r="L82" s="3"/>
      <c r="M82" s="274"/>
      <c r="O82" s="273"/>
      <c r="P82" s="3"/>
      <c r="Q82" s="3"/>
      <c r="R82" s="274"/>
      <c r="T82" s="273"/>
      <c r="U82" s="3"/>
      <c r="V82" s="3"/>
      <c r="W82" s="274"/>
      <c r="Y82" s="273"/>
      <c r="Z82" s="3"/>
      <c r="AA82" s="3"/>
      <c r="AB82" s="274"/>
      <c r="AD82" s="273"/>
      <c r="AE82" s="3"/>
      <c r="AF82" s="3"/>
      <c r="AG82" s="274"/>
      <c r="AI82" s="273"/>
      <c r="AJ82" s="3"/>
      <c r="AK82" s="3"/>
      <c r="AL82" s="274"/>
      <c r="AN82" s="273"/>
      <c r="AO82" s="3"/>
      <c r="AP82" s="3"/>
      <c r="AQ82" s="274"/>
      <c r="AS82" s="273"/>
      <c r="AT82" s="3"/>
      <c r="AU82" s="3"/>
      <c r="AV82" s="274"/>
      <c r="AX82" s="273"/>
      <c r="AY82" s="3"/>
      <c r="AZ82" s="3"/>
      <c r="BA82" s="274"/>
      <c r="BC82" s="273"/>
      <c r="BD82" s="3"/>
      <c r="BE82" s="3"/>
      <c r="BF82" s="274"/>
      <c r="BH82" s="273"/>
      <c r="BI82" s="3"/>
      <c r="BJ82" s="3"/>
      <c r="BK82" s="274"/>
      <c r="BM82" s="273"/>
      <c r="BN82" s="3"/>
      <c r="BO82" s="3"/>
      <c r="BP82" s="274"/>
    </row>
    <row r="83" spans="5:68" s="1" customFormat="1">
      <c r="E83" s="273"/>
      <c r="F83" s="3"/>
      <c r="G83" s="3"/>
      <c r="H83" s="274"/>
      <c r="J83" s="273"/>
      <c r="K83" s="3"/>
      <c r="L83" s="3"/>
      <c r="M83" s="274"/>
      <c r="O83" s="273"/>
      <c r="P83" s="3"/>
      <c r="Q83" s="3"/>
      <c r="R83" s="274"/>
      <c r="T83" s="273"/>
      <c r="U83" s="3"/>
      <c r="V83" s="3"/>
      <c r="W83" s="274"/>
      <c r="Y83" s="273"/>
      <c r="Z83" s="3"/>
      <c r="AA83" s="3"/>
      <c r="AB83" s="274"/>
      <c r="AD83" s="273"/>
      <c r="AE83" s="3"/>
      <c r="AF83" s="3"/>
      <c r="AG83" s="274"/>
      <c r="AI83" s="273"/>
      <c r="AJ83" s="3"/>
      <c r="AK83" s="3"/>
      <c r="AL83" s="274"/>
      <c r="AN83" s="273"/>
      <c r="AO83" s="3"/>
      <c r="AP83" s="3"/>
      <c r="AQ83" s="274"/>
      <c r="AS83" s="273"/>
      <c r="AT83" s="3"/>
      <c r="AU83" s="3"/>
      <c r="AV83" s="274"/>
      <c r="AX83" s="273"/>
      <c r="AY83" s="3"/>
      <c r="AZ83" s="3"/>
      <c r="BA83" s="274"/>
      <c r="BC83" s="273"/>
      <c r="BD83" s="3"/>
      <c r="BE83" s="3"/>
      <c r="BF83" s="274"/>
      <c r="BH83" s="273"/>
      <c r="BI83" s="3"/>
      <c r="BJ83" s="3"/>
      <c r="BK83" s="274"/>
      <c r="BM83" s="273"/>
      <c r="BN83" s="3"/>
      <c r="BO83" s="3"/>
      <c r="BP83" s="274"/>
    </row>
    <row r="84" spans="5:68" s="1" customFormat="1">
      <c r="E84" s="273"/>
      <c r="F84" s="3"/>
      <c r="G84" s="3"/>
      <c r="H84" s="274"/>
      <c r="J84" s="273"/>
      <c r="K84" s="3"/>
      <c r="L84" s="3"/>
      <c r="M84" s="274"/>
      <c r="O84" s="273"/>
      <c r="P84" s="3"/>
      <c r="Q84" s="3"/>
      <c r="R84" s="274"/>
      <c r="T84" s="273"/>
      <c r="U84" s="3"/>
      <c r="V84" s="3"/>
      <c r="W84" s="274"/>
      <c r="Y84" s="273"/>
      <c r="Z84" s="3"/>
      <c r="AA84" s="3"/>
      <c r="AB84" s="274"/>
      <c r="AD84" s="273"/>
      <c r="AE84" s="3"/>
      <c r="AF84" s="3"/>
      <c r="AG84" s="274"/>
      <c r="AI84" s="273"/>
      <c r="AJ84" s="3"/>
      <c r="AK84" s="3"/>
      <c r="AL84" s="274"/>
      <c r="AN84" s="273"/>
      <c r="AO84" s="3"/>
      <c r="AP84" s="3"/>
      <c r="AQ84" s="274"/>
      <c r="AS84" s="273"/>
      <c r="AT84" s="3"/>
      <c r="AU84" s="3"/>
      <c r="AV84" s="274"/>
      <c r="AX84" s="273"/>
      <c r="AY84" s="3"/>
      <c r="AZ84" s="3"/>
      <c r="BA84" s="274"/>
      <c r="BC84" s="273"/>
      <c r="BD84" s="3"/>
      <c r="BE84" s="3"/>
      <c r="BF84" s="274"/>
      <c r="BH84" s="273"/>
      <c r="BI84" s="3"/>
      <c r="BJ84" s="3"/>
      <c r="BK84" s="274"/>
      <c r="BM84" s="273"/>
      <c r="BN84" s="3"/>
      <c r="BO84" s="3"/>
      <c r="BP84" s="274"/>
    </row>
    <row r="85" spans="5:68" s="1" customFormat="1">
      <c r="E85" s="273"/>
      <c r="F85" s="3"/>
      <c r="G85" s="3"/>
      <c r="H85" s="274"/>
      <c r="J85" s="273"/>
      <c r="K85" s="3"/>
      <c r="L85" s="3"/>
      <c r="M85" s="274"/>
      <c r="O85" s="273"/>
      <c r="P85" s="3"/>
      <c r="Q85" s="3"/>
      <c r="R85" s="274"/>
      <c r="T85" s="273"/>
      <c r="U85" s="3"/>
      <c r="V85" s="3"/>
      <c r="W85" s="274"/>
      <c r="Y85" s="273"/>
      <c r="Z85" s="3"/>
      <c r="AA85" s="3"/>
      <c r="AB85" s="274"/>
      <c r="AD85" s="273"/>
      <c r="AE85" s="3"/>
      <c r="AF85" s="3"/>
      <c r="AG85" s="274"/>
      <c r="AI85" s="273"/>
      <c r="AJ85" s="3"/>
      <c r="AK85" s="3"/>
      <c r="AL85" s="274"/>
      <c r="AN85" s="273"/>
      <c r="AO85" s="3"/>
      <c r="AP85" s="3"/>
      <c r="AQ85" s="274"/>
      <c r="AS85" s="273"/>
      <c r="AT85" s="3"/>
      <c r="AU85" s="3"/>
      <c r="AV85" s="274"/>
      <c r="AX85" s="273"/>
      <c r="AY85" s="3"/>
      <c r="AZ85" s="3"/>
      <c r="BA85" s="274"/>
      <c r="BC85" s="273"/>
      <c r="BD85" s="3"/>
      <c r="BE85" s="3"/>
      <c r="BF85" s="274"/>
      <c r="BH85" s="273"/>
      <c r="BI85" s="3"/>
      <c r="BJ85" s="3"/>
      <c r="BK85" s="274"/>
      <c r="BM85" s="273"/>
      <c r="BN85" s="3"/>
      <c r="BO85" s="3"/>
      <c r="BP85" s="274"/>
    </row>
    <row r="86" spans="5:68" s="1" customFormat="1">
      <c r="E86" s="273"/>
      <c r="F86" s="3"/>
      <c r="G86" s="3"/>
      <c r="H86" s="274"/>
      <c r="J86" s="273"/>
      <c r="K86" s="3"/>
      <c r="L86" s="3"/>
      <c r="M86" s="274"/>
      <c r="O86" s="273"/>
      <c r="P86" s="3"/>
      <c r="Q86" s="3"/>
      <c r="R86" s="274"/>
      <c r="T86" s="273"/>
      <c r="U86" s="3"/>
      <c r="V86" s="3"/>
      <c r="W86" s="274"/>
      <c r="Y86" s="273"/>
      <c r="Z86" s="3"/>
      <c r="AA86" s="3"/>
      <c r="AB86" s="274"/>
      <c r="AD86" s="273"/>
      <c r="AE86" s="3"/>
      <c r="AF86" s="3"/>
      <c r="AG86" s="274"/>
      <c r="AI86" s="273"/>
      <c r="AJ86" s="3"/>
      <c r="AK86" s="3"/>
      <c r="AL86" s="274"/>
      <c r="AN86" s="273"/>
      <c r="AO86" s="3"/>
      <c r="AP86" s="3"/>
      <c r="AQ86" s="274"/>
      <c r="AS86" s="273"/>
      <c r="AT86" s="3"/>
      <c r="AU86" s="3"/>
      <c r="AV86" s="274"/>
      <c r="AX86" s="273"/>
      <c r="AY86" s="3"/>
      <c r="AZ86" s="3"/>
      <c r="BA86" s="274"/>
      <c r="BC86" s="273"/>
      <c r="BD86" s="3"/>
      <c r="BE86" s="3"/>
      <c r="BF86" s="274"/>
      <c r="BH86" s="273"/>
      <c r="BI86" s="3"/>
      <c r="BJ86" s="3"/>
      <c r="BK86" s="274"/>
      <c r="BM86" s="273"/>
      <c r="BN86" s="3"/>
      <c r="BO86" s="3"/>
      <c r="BP86" s="274"/>
    </row>
    <row r="87" spans="5:68" s="1" customFormat="1">
      <c r="E87" s="273"/>
      <c r="F87" s="3"/>
      <c r="G87" s="3"/>
      <c r="H87" s="274"/>
      <c r="J87" s="273"/>
      <c r="K87" s="3"/>
      <c r="L87" s="3"/>
      <c r="M87" s="274"/>
      <c r="O87" s="273"/>
      <c r="P87" s="3"/>
      <c r="Q87" s="3"/>
      <c r="R87" s="274"/>
      <c r="T87" s="273"/>
      <c r="U87" s="3"/>
      <c r="V87" s="3"/>
      <c r="W87" s="274"/>
      <c r="Y87" s="273"/>
      <c r="Z87" s="3"/>
      <c r="AA87" s="3"/>
      <c r="AB87" s="274"/>
      <c r="AD87" s="273"/>
      <c r="AE87" s="3"/>
      <c r="AF87" s="3"/>
      <c r="AG87" s="274"/>
      <c r="AI87" s="273"/>
      <c r="AJ87" s="3"/>
      <c r="AK87" s="3"/>
      <c r="AL87" s="274"/>
      <c r="AN87" s="273"/>
      <c r="AO87" s="3"/>
      <c r="AP87" s="3"/>
      <c r="AQ87" s="274"/>
      <c r="AS87" s="273"/>
      <c r="AT87" s="3"/>
      <c r="AU87" s="3"/>
      <c r="AV87" s="274"/>
      <c r="AX87" s="273"/>
      <c r="AY87" s="3"/>
      <c r="AZ87" s="3"/>
      <c r="BA87" s="274"/>
      <c r="BC87" s="273"/>
      <c r="BD87" s="3"/>
      <c r="BE87" s="3"/>
      <c r="BF87" s="274"/>
      <c r="BH87" s="273"/>
      <c r="BI87" s="3"/>
      <c r="BJ87" s="3"/>
      <c r="BK87" s="274"/>
      <c r="BM87" s="273"/>
      <c r="BN87" s="3"/>
      <c r="BO87" s="3"/>
      <c r="BP87" s="274"/>
    </row>
    <row r="88" spans="5:68" s="1" customFormat="1">
      <c r="E88" s="273"/>
      <c r="F88" s="3"/>
      <c r="G88" s="3"/>
      <c r="H88" s="274"/>
      <c r="J88" s="273"/>
      <c r="K88" s="3"/>
      <c r="L88" s="3"/>
      <c r="M88" s="274"/>
      <c r="O88" s="273"/>
      <c r="P88" s="3"/>
      <c r="Q88" s="3"/>
      <c r="R88" s="274"/>
      <c r="T88" s="273"/>
      <c r="U88" s="3"/>
      <c r="V88" s="3"/>
      <c r="W88" s="274"/>
      <c r="Y88" s="273"/>
      <c r="Z88" s="3"/>
      <c r="AA88" s="3"/>
      <c r="AB88" s="274"/>
      <c r="AD88" s="273"/>
      <c r="AE88" s="3"/>
      <c r="AF88" s="3"/>
      <c r="AG88" s="274"/>
      <c r="AI88" s="273"/>
      <c r="AJ88" s="3"/>
      <c r="AK88" s="3"/>
      <c r="AL88" s="274"/>
      <c r="AN88" s="273"/>
      <c r="AO88" s="3"/>
      <c r="AP88" s="3"/>
      <c r="AQ88" s="274"/>
      <c r="AS88" s="273"/>
      <c r="AT88" s="3"/>
      <c r="AU88" s="3"/>
      <c r="AV88" s="274"/>
      <c r="AX88" s="273"/>
      <c r="AY88" s="3"/>
      <c r="AZ88" s="3"/>
      <c r="BA88" s="274"/>
      <c r="BC88" s="273"/>
      <c r="BD88" s="3"/>
      <c r="BE88" s="3"/>
      <c r="BF88" s="274"/>
      <c r="BH88" s="273"/>
      <c r="BI88" s="3"/>
      <c r="BJ88" s="3"/>
      <c r="BK88" s="274"/>
      <c r="BM88" s="273"/>
      <c r="BN88" s="3"/>
      <c r="BO88" s="3"/>
      <c r="BP88" s="274"/>
    </row>
    <row r="89" spans="5:68" s="1" customFormat="1">
      <c r="E89" s="273"/>
      <c r="F89" s="3"/>
      <c r="G89" s="3"/>
      <c r="H89" s="274"/>
      <c r="J89" s="273"/>
      <c r="K89" s="3"/>
      <c r="L89" s="3"/>
      <c r="M89" s="274"/>
      <c r="O89" s="273"/>
      <c r="P89" s="3"/>
      <c r="Q89" s="3"/>
      <c r="R89" s="274"/>
      <c r="T89" s="273"/>
      <c r="U89" s="3"/>
      <c r="V89" s="3"/>
      <c r="W89" s="274"/>
      <c r="Y89" s="273"/>
      <c r="Z89" s="3"/>
      <c r="AA89" s="3"/>
      <c r="AB89" s="274"/>
      <c r="AD89" s="273"/>
      <c r="AE89" s="3"/>
      <c r="AF89" s="3"/>
      <c r="AG89" s="274"/>
      <c r="AI89" s="273"/>
      <c r="AJ89" s="3"/>
      <c r="AK89" s="3"/>
      <c r="AL89" s="274"/>
      <c r="AN89" s="273"/>
      <c r="AO89" s="3"/>
      <c r="AP89" s="3"/>
      <c r="AQ89" s="274"/>
      <c r="AS89" s="273"/>
      <c r="AT89" s="3"/>
      <c r="AU89" s="3"/>
      <c r="AV89" s="274"/>
      <c r="AX89" s="273"/>
      <c r="AY89" s="3"/>
      <c r="AZ89" s="3"/>
      <c r="BA89" s="274"/>
      <c r="BC89" s="273"/>
      <c r="BD89" s="3"/>
      <c r="BE89" s="3"/>
      <c r="BF89" s="274"/>
      <c r="BH89" s="273"/>
      <c r="BI89" s="3"/>
      <c r="BJ89" s="3"/>
      <c r="BK89" s="274"/>
      <c r="BM89" s="273"/>
      <c r="BN89" s="3"/>
      <c r="BO89" s="3"/>
      <c r="BP89" s="274"/>
    </row>
    <row r="90" spans="5:68" s="1" customFormat="1">
      <c r="E90" s="273"/>
      <c r="F90" s="3"/>
      <c r="G90" s="3"/>
      <c r="H90" s="274"/>
      <c r="J90" s="273"/>
      <c r="K90" s="3"/>
      <c r="L90" s="3"/>
      <c r="M90" s="274"/>
      <c r="O90" s="273"/>
      <c r="P90" s="3"/>
      <c r="Q90" s="3"/>
      <c r="R90" s="274"/>
      <c r="T90" s="273"/>
      <c r="U90" s="3"/>
      <c r="V90" s="3"/>
      <c r="W90" s="274"/>
      <c r="Y90" s="273"/>
      <c r="Z90" s="3"/>
      <c r="AA90" s="3"/>
      <c r="AB90" s="274"/>
      <c r="AD90" s="273"/>
      <c r="AE90" s="3"/>
      <c r="AF90" s="3"/>
      <c r="AG90" s="274"/>
      <c r="AI90" s="273"/>
      <c r="AJ90" s="3"/>
      <c r="AK90" s="3"/>
      <c r="AL90" s="274"/>
      <c r="AN90" s="273"/>
      <c r="AO90" s="3"/>
      <c r="AP90" s="3"/>
      <c r="AQ90" s="274"/>
      <c r="AS90" s="273"/>
      <c r="AT90" s="3"/>
      <c r="AU90" s="3"/>
      <c r="AV90" s="274"/>
      <c r="AX90" s="273"/>
      <c r="AY90" s="3"/>
      <c r="AZ90" s="3"/>
      <c r="BA90" s="274"/>
      <c r="BC90" s="273"/>
      <c r="BD90" s="3"/>
      <c r="BE90" s="3"/>
      <c r="BF90" s="274"/>
      <c r="BH90" s="273"/>
      <c r="BI90" s="3"/>
      <c r="BJ90" s="3"/>
      <c r="BK90" s="274"/>
      <c r="BM90" s="273"/>
      <c r="BN90" s="3"/>
      <c r="BO90" s="3"/>
      <c r="BP90" s="274"/>
    </row>
    <row r="91" spans="5:68" s="1" customFormat="1">
      <c r="E91" s="273"/>
      <c r="F91" s="3"/>
      <c r="G91" s="3"/>
      <c r="H91" s="274"/>
      <c r="J91" s="273"/>
      <c r="K91" s="3"/>
      <c r="L91" s="3"/>
      <c r="M91" s="274"/>
      <c r="O91" s="273"/>
      <c r="P91" s="3"/>
      <c r="Q91" s="3"/>
      <c r="R91" s="274"/>
      <c r="T91" s="273"/>
      <c r="U91" s="3"/>
      <c r="V91" s="3"/>
      <c r="W91" s="274"/>
      <c r="Y91" s="273"/>
      <c r="Z91" s="3"/>
      <c r="AA91" s="3"/>
      <c r="AB91" s="274"/>
      <c r="AD91" s="273"/>
      <c r="AE91" s="3"/>
      <c r="AF91" s="3"/>
      <c r="AG91" s="274"/>
      <c r="AI91" s="273"/>
      <c r="AJ91" s="3"/>
      <c r="AK91" s="3"/>
      <c r="AL91" s="274"/>
      <c r="AN91" s="273"/>
      <c r="AO91" s="3"/>
      <c r="AP91" s="3"/>
      <c r="AQ91" s="274"/>
      <c r="AS91" s="273"/>
      <c r="AT91" s="3"/>
      <c r="AU91" s="3"/>
      <c r="AV91" s="274"/>
      <c r="AX91" s="273"/>
      <c r="AY91" s="3"/>
      <c r="AZ91" s="3"/>
      <c r="BA91" s="274"/>
      <c r="BC91" s="273"/>
      <c r="BD91" s="3"/>
      <c r="BE91" s="3"/>
      <c r="BF91" s="274"/>
      <c r="BH91" s="273"/>
      <c r="BI91" s="3"/>
      <c r="BJ91" s="3"/>
      <c r="BK91" s="274"/>
      <c r="BM91" s="273"/>
      <c r="BN91" s="3"/>
      <c r="BO91" s="3"/>
      <c r="BP91" s="274"/>
    </row>
    <row r="92" spans="5:68" s="1" customFormat="1">
      <c r="E92" s="273"/>
      <c r="F92" s="3"/>
      <c r="G92" s="3"/>
      <c r="H92" s="274"/>
      <c r="J92" s="273"/>
      <c r="K92" s="3"/>
      <c r="L92" s="3"/>
      <c r="M92" s="274"/>
      <c r="O92" s="273"/>
      <c r="P92" s="3"/>
      <c r="Q92" s="3"/>
      <c r="R92" s="274"/>
      <c r="T92" s="273"/>
      <c r="U92" s="3"/>
      <c r="V92" s="3"/>
      <c r="W92" s="274"/>
      <c r="Y92" s="273"/>
      <c r="Z92" s="3"/>
      <c r="AA92" s="3"/>
      <c r="AB92" s="274"/>
      <c r="AD92" s="273"/>
      <c r="AE92" s="3"/>
      <c r="AF92" s="3"/>
      <c r="AG92" s="274"/>
      <c r="AI92" s="273"/>
      <c r="AJ92" s="3"/>
      <c r="AK92" s="3"/>
      <c r="AL92" s="274"/>
      <c r="AN92" s="273"/>
      <c r="AO92" s="3"/>
      <c r="AP92" s="3"/>
      <c r="AQ92" s="274"/>
      <c r="AS92" s="273"/>
      <c r="AT92" s="3"/>
      <c r="AU92" s="3"/>
      <c r="AV92" s="274"/>
      <c r="AX92" s="273"/>
      <c r="AY92" s="3"/>
      <c r="AZ92" s="3"/>
      <c r="BA92" s="274"/>
      <c r="BC92" s="273"/>
      <c r="BD92" s="3"/>
      <c r="BE92" s="3"/>
      <c r="BF92" s="274"/>
      <c r="BH92" s="273"/>
      <c r="BI92" s="3"/>
      <c r="BJ92" s="3"/>
      <c r="BK92" s="274"/>
      <c r="BM92" s="273"/>
      <c r="BN92" s="3"/>
      <c r="BO92" s="3"/>
      <c r="BP92" s="274"/>
    </row>
    <row r="93" spans="5:68" s="1" customFormat="1">
      <c r="E93" s="273"/>
      <c r="F93" s="3"/>
      <c r="G93" s="3"/>
      <c r="H93" s="274"/>
      <c r="J93" s="273"/>
      <c r="K93" s="3"/>
      <c r="L93" s="3"/>
      <c r="M93" s="274"/>
      <c r="O93" s="273"/>
      <c r="P93" s="3"/>
      <c r="Q93" s="3"/>
      <c r="R93" s="274"/>
      <c r="T93" s="273"/>
      <c r="U93" s="3"/>
      <c r="V93" s="3"/>
      <c r="W93" s="274"/>
      <c r="Y93" s="273"/>
      <c r="Z93" s="3"/>
      <c r="AA93" s="3"/>
      <c r="AB93" s="274"/>
      <c r="AD93" s="273"/>
      <c r="AE93" s="3"/>
      <c r="AF93" s="3"/>
      <c r="AG93" s="274"/>
      <c r="AI93" s="273"/>
      <c r="AJ93" s="3"/>
      <c r="AK93" s="3"/>
      <c r="AL93" s="274"/>
      <c r="AN93" s="273"/>
      <c r="AO93" s="3"/>
      <c r="AP93" s="3"/>
      <c r="AQ93" s="274"/>
      <c r="AS93" s="273"/>
      <c r="AT93" s="3"/>
      <c r="AU93" s="3"/>
      <c r="AV93" s="274"/>
      <c r="AX93" s="273"/>
      <c r="AY93" s="3"/>
      <c r="AZ93" s="3"/>
      <c r="BA93" s="274"/>
      <c r="BC93" s="273"/>
      <c r="BD93" s="3"/>
      <c r="BE93" s="3"/>
      <c r="BF93" s="274"/>
      <c r="BH93" s="273"/>
      <c r="BI93" s="3"/>
      <c r="BJ93" s="3"/>
      <c r="BK93" s="274"/>
      <c r="BM93" s="273"/>
      <c r="BN93" s="3"/>
      <c r="BO93" s="3"/>
      <c r="BP93" s="274"/>
    </row>
    <row r="94" spans="5:68" s="1" customFormat="1">
      <c r="E94" s="273"/>
      <c r="F94" s="3"/>
      <c r="G94" s="3"/>
      <c r="H94" s="274"/>
      <c r="J94" s="273"/>
      <c r="K94" s="3"/>
      <c r="L94" s="3"/>
      <c r="M94" s="274"/>
      <c r="O94" s="273"/>
      <c r="P94" s="3"/>
      <c r="Q94" s="3"/>
      <c r="R94" s="274"/>
      <c r="T94" s="273"/>
      <c r="U94" s="3"/>
      <c r="V94" s="3"/>
      <c r="W94" s="274"/>
      <c r="Y94" s="273"/>
      <c r="Z94" s="3"/>
      <c r="AA94" s="3"/>
      <c r="AB94" s="274"/>
      <c r="AD94" s="273"/>
      <c r="AE94" s="3"/>
      <c r="AF94" s="3"/>
      <c r="AG94" s="274"/>
      <c r="AI94" s="273"/>
      <c r="AJ94" s="3"/>
      <c r="AK94" s="3"/>
      <c r="AL94" s="274"/>
      <c r="AN94" s="273"/>
      <c r="AO94" s="3"/>
      <c r="AP94" s="3"/>
      <c r="AQ94" s="274"/>
      <c r="AS94" s="273"/>
      <c r="AT94" s="3"/>
      <c r="AU94" s="3"/>
      <c r="AV94" s="274"/>
      <c r="AX94" s="273"/>
      <c r="AY94" s="3"/>
      <c r="AZ94" s="3"/>
      <c r="BA94" s="274"/>
      <c r="BC94" s="273"/>
      <c r="BD94" s="3"/>
      <c r="BE94" s="3"/>
      <c r="BF94" s="274"/>
      <c r="BH94" s="273"/>
      <c r="BI94" s="3"/>
      <c r="BJ94" s="3"/>
      <c r="BK94" s="274"/>
      <c r="BM94" s="273"/>
      <c r="BN94" s="3"/>
      <c r="BO94" s="3"/>
      <c r="BP94" s="274"/>
    </row>
    <row r="95" spans="5:68" s="1" customFormat="1">
      <c r="E95" s="273"/>
      <c r="F95" s="3"/>
      <c r="G95" s="3"/>
      <c r="H95" s="274"/>
      <c r="J95" s="273"/>
      <c r="K95" s="3"/>
      <c r="L95" s="3"/>
      <c r="M95" s="274"/>
      <c r="O95" s="273"/>
      <c r="P95" s="3"/>
      <c r="Q95" s="3"/>
      <c r="R95" s="274"/>
      <c r="T95" s="273"/>
      <c r="U95" s="3"/>
      <c r="V95" s="3"/>
      <c r="W95" s="274"/>
      <c r="Y95" s="273"/>
      <c r="Z95" s="3"/>
      <c r="AA95" s="3"/>
      <c r="AB95" s="274"/>
      <c r="AD95" s="273"/>
      <c r="AE95" s="3"/>
      <c r="AF95" s="3"/>
      <c r="AG95" s="274"/>
      <c r="AI95" s="273"/>
      <c r="AJ95" s="3"/>
      <c r="AK95" s="3"/>
      <c r="AL95" s="274"/>
      <c r="AN95" s="273"/>
      <c r="AO95" s="3"/>
      <c r="AP95" s="3"/>
      <c r="AQ95" s="274"/>
      <c r="AS95" s="273"/>
      <c r="AT95" s="3"/>
      <c r="AU95" s="3"/>
      <c r="AV95" s="274"/>
      <c r="AX95" s="273"/>
      <c r="AY95" s="3"/>
      <c r="AZ95" s="3"/>
      <c r="BA95" s="274"/>
      <c r="BC95" s="273"/>
      <c r="BD95" s="3"/>
      <c r="BE95" s="3"/>
      <c r="BF95" s="274"/>
      <c r="BH95" s="273"/>
      <c r="BI95" s="3"/>
      <c r="BJ95" s="3"/>
      <c r="BK95" s="274"/>
      <c r="BM95" s="273"/>
      <c r="BN95" s="3"/>
      <c r="BO95" s="3"/>
      <c r="BP95" s="274"/>
    </row>
    <row r="96" spans="5:68" s="1" customFormat="1">
      <c r="E96" s="273"/>
      <c r="F96" s="3"/>
      <c r="G96" s="3"/>
      <c r="H96" s="274"/>
      <c r="J96" s="273"/>
      <c r="K96" s="3"/>
      <c r="L96" s="3"/>
      <c r="M96" s="274"/>
      <c r="O96" s="273"/>
      <c r="P96" s="3"/>
      <c r="Q96" s="3"/>
      <c r="R96" s="274"/>
      <c r="T96" s="273"/>
      <c r="U96" s="3"/>
      <c r="V96" s="3"/>
      <c r="W96" s="274"/>
      <c r="Y96" s="273"/>
      <c r="Z96" s="3"/>
      <c r="AA96" s="3"/>
      <c r="AB96" s="274"/>
      <c r="AD96" s="273"/>
      <c r="AE96" s="3"/>
      <c r="AF96" s="3"/>
      <c r="AG96" s="274"/>
      <c r="AI96" s="273"/>
      <c r="AJ96" s="3"/>
      <c r="AK96" s="3"/>
      <c r="AL96" s="274"/>
      <c r="AN96" s="273"/>
      <c r="AO96" s="3"/>
      <c r="AP96" s="3"/>
      <c r="AQ96" s="274"/>
      <c r="AS96" s="273"/>
      <c r="AT96" s="3"/>
      <c r="AU96" s="3"/>
      <c r="AV96" s="274"/>
      <c r="AX96" s="273"/>
      <c r="AY96" s="3"/>
      <c r="AZ96" s="3"/>
      <c r="BA96" s="274"/>
      <c r="BC96" s="273"/>
      <c r="BD96" s="3"/>
      <c r="BE96" s="3"/>
      <c r="BF96" s="274"/>
      <c r="BH96" s="273"/>
      <c r="BI96" s="3"/>
      <c r="BJ96" s="3"/>
      <c r="BK96" s="274"/>
      <c r="BM96" s="273"/>
      <c r="BN96" s="3"/>
      <c r="BO96" s="3"/>
      <c r="BP96" s="274"/>
    </row>
    <row r="97" spans="5:68" s="1" customFormat="1">
      <c r="E97" s="273"/>
      <c r="F97" s="3"/>
      <c r="G97" s="3"/>
      <c r="H97" s="274"/>
      <c r="J97" s="273"/>
      <c r="K97" s="3"/>
      <c r="L97" s="3"/>
      <c r="M97" s="274"/>
      <c r="O97" s="273"/>
      <c r="P97" s="3"/>
      <c r="Q97" s="3"/>
      <c r="R97" s="274"/>
      <c r="T97" s="273"/>
      <c r="U97" s="3"/>
      <c r="V97" s="3"/>
      <c r="W97" s="274"/>
      <c r="Y97" s="273"/>
      <c r="Z97" s="3"/>
      <c r="AA97" s="3"/>
      <c r="AB97" s="274"/>
      <c r="AD97" s="273"/>
      <c r="AE97" s="3"/>
      <c r="AF97" s="3"/>
      <c r="AG97" s="274"/>
      <c r="AI97" s="273"/>
      <c r="AJ97" s="3"/>
      <c r="AK97" s="3"/>
      <c r="AL97" s="274"/>
      <c r="AN97" s="273"/>
      <c r="AO97" s="3"/>
      <c r="AP97" s="3"/>
      <c r="AQ97" s="274"/>
      <c r="AS97" s="273"/>
      <c r="AT97" s="3"/>
      <c r="AU97" s="3"/>
      <c r="AV97" s="274"/>
      <c r="AX97" s="273"/>
      <c r="AY97" s="3"/>
      <c r="AZ97" s="3"/>
      <c r="BA97" s="274"/>
      <c r="BC97" s="273"/>
      <c r="BD97" s="3"/>
      <c r="BE97" s="3"/>
      <c r="BF97" s="274"/>
      <c r="BH97" s="273"/>
      <c r="BI97" s="3"/>
      <c r="BJ97" s="3"/>
      <c r="BK97" s="274"/>
      <c r="BM97" s="273"/>
      <c r="BN97" s="3"/>
      <c r="BO97" s="3"/>
      <c r="BP97" s="274"/>
    </row>
    <row r="98" spans="5:68" s="1" customFormat="1">
      <c r="E98" s="273"/>
      <c r="F98" s="3"/>
      <c r="G98" s="3"/>
      <c r="H98" s="274"/>
      <c r="J98" s="273"/>
      <c r="K98" s="3"/>
      <c r="L98" s="3"/>
      <c r="M98" s="274"/>
      <c r="O98" s="273"/>
      <c r="P98" s="3"/>
      <c r="Q98" s="3"/>
      <c r="R98" s="274"/>
      <c r="T98" s="273"/>
      <c r="U98" s="3"/>
      <c r="V98" s="3"/>
      <c r="W98" s="274"/>
      <c r="Y98" s="273"/>
      <c r="Z98" s="3"/>
      <c r="AA98" s="3"/>
      <c r="AB98" s="274"/>
      <c r="AD98" s="273"/>
      <c r="AE98" s="3"/>
      <c r="AF98" s="3"/>
      <c r="AG98" s="274"/>
      <c r="AI98" s="273"/>
      <c r="AJ98" s="3"/>
      <c r="AK98" s="3"/>
      <c r="AL98" s="274"/>
      <c r="AN98" s="273"/>
      <c r="AO98" s="3"/>
      <c r="AP98" s="3"/>
      <c r="AQ98" s="274"/>
      <c r="AS98" s="273"/>
      <c r="AT98" s="3"/>
      <c r="AU98" s="3"/>
      <c r="AV98" s="274"/>
      <c r="AX98" s="273"/>
      <c r="AY98" s="3"/>
      <c r="AZ98" s="3"/>
      <c r="BA98" s="274"/>
      <c r="BC98" s="273"/>
      <c r="BD98" s="3"/>
      <c r="BE98" s="3"/>
      <c r="BF98" s="274"/>
      <c r="BH98" s="273"/>
      <c r="BI98" s="3"/>
      <c r="BJ98" s="3"/>
      <c r="BK98" s="274"/>
      <c r="BM98" s="273"/>
      <c r="BN98" s="3"/>
      <c r="BO98" s="3"/>
      <c r="BP98" s="274"/>
    </row>
    <row r="99" spans="5:68" s="1" customFormat="1">
      <c r="E99" s="273"/>
      <c r="F99" s="3"/>
      <c r="G99" s="3"/>
      <c r="H99" s="274"/>
      <c r="J99" s="273"/>
      <c r="K99" s="3"/>
      <c r="L99" s="3"/>
      <c r="M99" s="274"/>
      <c r="O99" s="273"/>
      <c r="P99" s="3"/>
      <c r="Q99" s="3"/>
      <c r="R99" s="274"/>
      <c r="T99" s="273"/>
      <c r="U99" s="3"/>
      <c r="V99" s="3"/>
      <c r="W99" s="274"/>
      <c r="Y99" s="273"/>
      <c r="Z99" s="3"/>
      <c r="AA99" s="3"/>
      <c r="AB99" s="274"/>
      <c r="AD99" s="273"/>
      <c r="AE99" s="3"/>
      <c r="AF99" s="3"/>
      <c r="AG99" s="274"/>
      <c r="AI99" s="273"/>
      <c r="AJ99" s="3"/>
      <c r="AK99" s="3"/>
      <c r="AL99" s="274"/>
      <c r="AN99" s="273"/>
      <c r="AO99" s="3"/>
      <c r="AP99" s="3"/>
      <c r="AQ99" s="274"/>
      <c r="AS99" s="273"/>
      <c r="AT99" s="3"/>
      <c r="AU99" s="3"/>
      <c r="AV99" s="274"/>
      <c r="AX99" s="273"/>
      <c r="AY99" s="3"/>
      <c r="AZ99" s="3"/>
      <c r="BA99" s="274"/>
      <c r="BC99" s="273"/>
      <c r="BD99" s="3"/>
      <c r="BE99" s="3"/>
      <c r="BF99" s="274"/>
      <c r="BH99" s="273"/>
      <c r="BI99" s="3"/>
      <c r="BJ99" s="3"/>
      <c r="BK99" s="274"/>
      <c r="BM99" s="273"/>
      <c r="BN99" s="3"/>
      <c r="BO99" s="3"/>
      <c r="BP99" s="274"/>
    </row>
    <row r="100" spans="5:68" s="1" customFormat="1">
      <c r="E100" s="273"/>
      <c r="F100" s="3"/>
      <c r="G100" s="3"/>
      <c r="H100" s="274"/>
      <c r="J100" s="273"/>
      <c r="K100" s="3"/>
      <c r="L100" s="3"/>
      <c r="M100" s="274"/>
      <c r="O100" s="273"/>
      <c r="P100" s="3"/>
      <c r="Q100" s="3"/>
      <c r="R100" s="274"/>
      <c r="T100" s="273"/>
      <c r="U100" s="3"/>
      <c r="V100" s="3"/>
      <c r="W100" s="274"/>
      <c r="Y100" s="273"/>
      <c r="Z100" s="3"/>
      <c r="AA100" s="3"/>
      <c r="AB100" s="274"/>
      <c r="AD100" s="273"/>
      <c r="AE100" s="3"/>
      <c r="AF100" s="3"/>
      <c r="AG100" s="274"/>
      <c r="AI100" s="273"/>
      <c r="AJ100" s="3"/>
      <c r="AK100" s="3"/>
      <c r="AL100" s="274"/>
      <c r="AN100" s="273"/>
      <c r="AO100" s="3"/>
      <c r="AP100" s="3"/>
      <c r="AQ100" s="274"/>
      <c r="AS100" s="273"/>
      <c r="AT100" s="3"/>
      <c r="AU100" s="3"/>
      <c r="AV100" s="274"/>
      <c r="AX100" s="273"/>
      <c r="AY100" s="3"/>
      <c r="AZ100" s="3"/>
      <c r="BA100" s="274"/>
      <c r="BC100" s="273"/>
      <c r="BD100" s="3"/>
      <c r="BE100" s="3"/>
      <c r="BF100" s="274"/>
      <c r="BH100" s="273"/>
      <c r="BI100" s="3"/>
      <c r="BJ100" s="3"/>
      <c r="BK100" s="274"/>
      <c r="BM100" s="273"/>
      <c r="BN100" s="3"/>
      <c r="BO100" s="3"/>
      <c r="BP100" s="274"/>
    </row>
    <row r="101" spans="5:68" s="1" customFormat="1">
      <c r="E101" s="273"/>
      <c r="F101" s="3"/>
      <c r="G101" s="3"/>
      <c r="H101" s="274"/>
      <c r="J101" s="273"/>
      <c r="K101" s="3"/>
      <c r="L101" s="3"/>
      <c r="M101" s="274"/>
      <c r="O101" s="273"/>
      <c r="P101" s="3"/>
      <c r="Q101" s="3"/>
      <c r="R101" s="274"/>
      <c r="T101" s="273"/>
      <c r="U101" s="3"/>
      <c r="V101" s="3"/>
      <c r="W101" s="274"/>
      <c r="Y101" s="273"/>
      <c r="Z101" s="3"/>
      <c r="AA101" s="3"/>
      <c r="AB101" s="274"/>
      <c r="AD101" s="273"/>
      <c r="AE101" s="3"/>
      <c r="AF101" s="3"/>
      <c r="AG101" s="274"/>
      <c r="AI101" s="273"/>
      <c r="AJ101" s="3"/>
      <c r="AK101" s="3"/>
      <c r="AL101" s="274"/>
      <c r="AN101" s="273"/>
      <c r="AO101" s="3"/>
      <c r="AP101" s="3"/>
      <c r="AQ101" s="274"/>
      <c r="AS101" s="273"/>
      <c r="AT101" s="3"/>
      <c r="AU101" s="3"/>
      <c r="AV101" s="274"/>
      <c r="AX101" s="273"/>
      <c r="AY101" s="3"/>
      <c r="AZ101" s="3"/>
      <c r="BA101" s="274"/>
      <c r="BC101" s="273"/>
      <c r="BD101" s="3"/>
      <c r="BE101" s="3"/>
      <c r="BF101" s="274"/>
      <c r="BH101" s="273"/>
      <c r="BI101" s="3"/>
      <c r="BJ101" s="3"/>
      <c r="BK101" s="274"/>
      <c r="BM101" s="273"/>
      <c r="BN101" s="3"/>
      <c r="BO101" s="3"/>
      <c r="BP101" s="274"/>
    </row>
    <row r="102" spans="5:68" s="1" customFormat="1">
      <c r="E102" s="273"/>
      <c r="F102" s="3"/>
      <c r="G102" s="3"/>
      <c r="H102" s="274"/>
      <c r="J102" s="273"/>
      <c r="K102" s="3"/>
      <c r="L102" s="3"/>
      <c r="M102" s="274"/>
      <c r="O102" s="273"/>
      <c r="P102" s="3"/>
      <c r="Q102" s="3"/>
      <c r="R102" s="274"/>
      <c r="T102" s="273"/>
      <c r="U102" s="3"/>
      <c r="V102" s="3"/>
      <c r="W102" s="274"/>
      <c r="Y102" s="273"/>
      <c r="Z102" s="3"/>
      <c r="AA102" s="3"/>
      <c r="AB102" s="274"/>
      <c r="AD102" s="273"/>
      <c r="AE102" s="3"/>
      <c r="AF102" s="3"/>
      <c r="AG102" s="274"/>
      <c r="AI102" s="273"/>
      <c r="AJ102" s="3"/>
      <c r="AK102" s="3"/>
      <c r="AL102" s="274"/>
      <c r="AN102" s="273"/>
      <c r="AO102" s="3"/>
      <c r="AP102" s="3"/>
      <c r="AQ102" s="274"/>
      <c r="AS102" s="273"/>
      <c r="AT102" s="3"/>
      <c r="AU102" s="3"/>
      <c r="AV102" s="274"/>
      <c r="AX102" s="273"/>
      <c r="AY102" s="3"/>
      <c r="AZ102" s="3"/>
      <c r="BA102" s="274"/>
      <c r="BC102" s="273"/>
      <c r="BD102" s="3"/>
      <c r="BE102" s="3"/>
      <c r="BF102" s="274"/>
      <c r="BH102" s="273"/>
      <c r="BI102" s="3"/>
      <c r="BJ102" s="3"/>
      <c r="BK102" s="274"/>
      <c r="BM102" s="273"/>
      <c r="BN102" s="3"/>
      <c r="BO102" s="3"/>
      <c r="BP102" s="274"/>
    </row>
    <row r="103" spans="5:68" s="1" customFormat="1">
      <c r="E103" s="273"/>
      <c r="F103" s="3"/>
      <c r="G103" s="3"/>
      <c r="H103" s="274"/>
      <c r="J103" s="273"/>
      <c r="K103" s="3"/>
      <c r="L103" s="3"/>
      <c r="M103" s="274"/>
      <c r="O103" s="273"/>
      <c r="P103" s="3"/>
      <c r="Q103" s="3"/>
      <c r="R103" s="274"/>
      <c r="T103" s="273"/>
      <c r="U103" s="3"/>
      <c r="V103" s="3"/>
      <c r="W103" s="274"/>
      <c r="Y103" s="273"/>
      <c r="Z103" s="3"/>
      <c r="AA103" s="3"/>
      <c r="AB103" s="274"/>
      <c r="AD103" s="273"/>
      <c r="AE103" s="3"/>
      <c r="AF103" s="3"/>
      <c r="AG103" s="274"/>
      <c r="AI103" s="273"/>
      <c r="AJ103" s="3"/>
      <c r="AK103" s="3"/>
      <c r="AL103" s="274"/>
      <c r="AN103" s="273"/>
      <c r="AO103" s="3"/>
      <c r="AP103" s="3"/>
      <c r="AQ103" s="274"/>
      <c r="AS103" s="273"/>
      <c r="AT103" s="3"/>
      <c r="AU103" s="3"/>
      <c r="AV103" s="274"/>
      <c r="AX103" s="273"/>
      <c r="AY103" s="3"/>
      <c r="AZ103" s="3"/>
      <c r="BA103" s="274"/>
      <c r="BC103" s="273"/>
      <c r="BD103" s="3"/>
      <c r="BE103" s="3"/>
      <c r="BF103" s="274"/>
      <c r="BH103" s="273"/>
      <c r="BI103" s="3"/>
      <c r="BJ103" s="3"/>
      <c r="BK103" s="274"/>
      <c r="BM103" s="273"/>
      <c r="BN103" s="3"/>
      <c r="BO103" s="3"/>
      <c r="BP103" s="274"/>
    </row>
    <row r="104" spans="5:68" s="1" customFormat="1">
      <c r="E104" s="273"/>
      <c r="F104" s="3"/>
      <c r="G104" s="3"/>
      <c r="H104" s="274"/>
      <c r="J104" s="273"/>
      <c r="K104" s="3"/>
      <c r="L104" s="3"/>
      <c r="M104" s="274"/>
      <c r="O104" s="273"/>
      <c r="P104" s="3"/>
      <c r="Q104" s="3"/>
      <c r="R104" s="274"/>
      <c r="T104" s="273"/>
      <c r="U104" s="3"/>
      <c r="V104" s="3"/>
      <c r="W104" s="274"/>
      <c r="Y104" s="273"/>
      <c r="Z104" s="3"/>
      <c r="AA104" s="3"/>
      <c r="AB104" s="274"/>
      <c r="AD104" s="273"/>
      <c r="AE104" s="3"/>
      <c r="AF104" s="3"/>
      <c r="AG104" s="274"/>
      <c r="AI104" s="273"/>
      <c r="AJ104" s="3"/>
      <c r="AK104" s="3"/>
      <c r="AL104" s="274"/>
      <c r="AN104" s="273"/>
      <c r="AO104" s="3"/>
      <c r="AP104" s="3"/>
      <c r="AQ104" s="274"/>
      <c r="AS104" s="273"/>
      <c r="AT104" s="3"/>
      <c r="AU104" s="3"/>
      <c r="AV104" s="274"/>
      <c r="AX104" s="273"/>
      <c r="AY104" s="3"/>
      <c r="AZ104" s="3"/>
      <c r="BA104" s="274"/>
      <c r="BC104" s="273"/>
      <c r="BD104" s="3"/>
      <c r="BE104" s="3"/>
      <c r="BF104" s="274"/>
      <c r="BH104" s="273"/>
      <c r="BI104" s="3"/>
      <c r="BJ104" s="3"/>
      <c r="BK104" s="274"/>
      <c r="BM104" s="273"/>
      <c r="BN104" s="3"/>
      <c r="BO104" s="3"/>
      <c r="BP104" s="274"/>
    </row>
    <row r="105" spans="5:68" s="1" customFormat="1">
      <c r="E105" s="273"/>
      <c r="F105" s="3"/>
      <c r="G105" s="3"/>
      <c r="H105" s="274"/>
      <c r="J105" s="273"/>
      <c r="K105" s="3"/>
      <c r="L105" s="3"/>
      <c r="M105" s="274"/>
      <c r="O105" s="273"/>
      <c r="P105" s="3"/>
      <c r="Q105" s="3"/>
      <c r="R105" s="274"/>
      <c r="T105" s="273"/>
      <c r="U105" s="3"/>
      <c r="V105" s="3"/>
      <c r="W105" s="274"/>
      <c r="Y105" s="273"/>
      <c r="Z105" s="3"/>
      <c r="AA105" s="3"/>
      <c r="AB105" s="274"/>
      <c r="AD105" s="273"/>
      <c r="AE105" s="3"/>
      <c r="AF105" s="3"/>
      <c r="AG105" s="274"/>
      <c r="AI105" s="273"/>
      <c r="AJ105" s="3"/>
      <c r="AK105" s="3"/>
      <c r="AL105" s="274"/>
      <c r="AN105" s="273"/>
      <c r="AO105" s="3"/>
      <c r="AP105" s="3"/>
      <c r="AQ105" s="274"/>
      <c r="AS105" s="273"/>
      <c r="AT105" s="3"/>
      <c r="AU105" s="3"/>
      <c r="AV105" s="274"/>
      <c r="AX105" s="273"/>
      <c r="AY105" s="3"/>
      <c r="AZ105" s="3"/>
      <c r="BA105" s="274"/>
      <c r="BC105" s="273"/>
      <c r="BD105" s="3"/>
      <c r="BE105" s="3"/>
      <c r="BF105" s="274"/>
      <c r="BH105" s="273"/>
      <c r="BI105" s="3"/>
      <c r="BJ105" s="3"/>
      <c r="BK105" s="274"/>
      <c r="BM105" s="273"/>
      <c r="BN105" s="3"/>
      <c r="BO105" s="3"/>
      <c r="BP105" s="274"/>
    </row>
    <row r="106" spans="5:68" s="1" customFormat="1">
      <c r="E106" s="273"/>
      <c r="F106" s="3"/>
      <c r="G106" s="3"/>
      <c r="H106" s="274"/>
      <c r="J106" s="273"/>
      <c r="K106" s="3"/>
      <c r="L106" s="3"/>
      <c r="M106" s="274"/>
      <c r="O106" s="273"/>
      <c r="P106" s="3"/>
      <c r="Q106" s="3"/>
      <c r="R106" s="274"/>
      <c r="T106" s="273"/>
      <c r="U106" s="3"/>
      <c r="V106" s="3"/>
      <c r="W106" s="274"/>
      <c r="Y106" s="273"/>
      <c r="Z106" s="3"/>
      <c r="AA106" s="3"/>
      <c r="AB106" s="274"/>
      <c r="AD106" s="273"/>
      <c r="AE106" s="3"/>
      <c r="AF106" s="3"/>
      <c r="AG106" s="274"/>
      <c r="AI106" s="273"/>
      <c r="AJ106" s="3"/>
      <c r="AK106" s="3"/>
      <c r="AL106" s="274"/>
      <c r="AN106" s="273"/>
      <c r="AO106" s="3"/>
      <c r="AP106" s="3"/>
      <c r="AQ106" s="274"/>
      <c r="AS106" s="273"/>
      <c r="AT106" s="3"/>
      <c r="AU106" s="3"/>
      <c r="AV106" s="274"/>
      <c r="AX106" s="273"/>
      <c r="AY106" s="3"/>
      <c r="AZ106" s="3"/>
      <c r="BA106" s="274"/>
      <c r="BC106" s="273"/>
      <c r="BD106" s="3"/>
      <c r="BE106" s="3"/>
      <c r="BF106" s="274"/>
      <c r="BH106" s="273"/>
      <c r="BI106" s="3"/>
      <c r="BJ106" s="3"/>
      <c r="BK106" s="274"/>
      <c r="BM106" s="273"/>
      <c r="BN106" s="3"/>
      <c r="BO106" s="3"/>
      <c r="BP106" s="274"/>
    </row>
    <row r="107" spans="5:68" s="1" customFormat="1">
      <c r="E107" s="273"/>
      <c r="F107" s="3"/>
      <c r="G107" s="3"/>
      <c r="H107" s="274"/>
      <c r="J107" s="273"/>
      <c r="K107" s="3"/>
      <c r="L107" s="3"/>
      <c r="M107" s="274"/>
      <c r="O107" s="273"/>
      <c r="P107" s="3"/>
      <c r="Q107" s="3"/>
      <c r="R107" s="274"/>
      <c r="T107" s="273"/>
      <c r="U107" s="3"/>
      <c r="V107" s="3"/>
      <c r="W107" s="274"/>
      <c r="Y107" s="273"/>
      <c r="Z107" s="3"/>
      <c r="AA107" s="3"/>
      <c r="AB107" s="274"/>
      <c r="AD107" s="273"/>
      <c r="AE107" s="3"/>
      <c r="AF107" s="3"/>
      <c r="AG107" s="274"/>
      <c r="AI107" s="273"/>
      <c r="AJ107" s="3"/>
      <c r="AK107" s="3"/>
      <c r="AL107" s="274"/>
      <c r="AN107" s="273"/>
      <c r="AO107" s="3"/>
      <c r="AP107" s="3"/>
      <c r="AQ107" s="274"/>
      <c r="AS107" s="273"/>
      <c r="AT107" s="3"/>
      <c r="AU107" s="3"/>
      <c r="AV107" s="274"/>
      <c r="AX107" s="273"/>
      <c r="AY107" s="3"/>
      <c r="AZ107" s="3"/>
      <c r="BA107" s="274"/>
      <c r="BC107" s="273"/>
      <c r="BD107" s="3"/>
      <c r="BE107" s="3"/>
      <c r="BF107" s="274"/>
      <c r="BH107" s="273"/>
      <c r="BI107" s="3"/>
      <c r="BJ107" s="3"/>
      <c r="BK107" s="274"/>
      <c r="BM107" s="273"/>
      <c r="BN107" s="3"/>
      <c r="BO107" s="3"/>
      <c r="BP107" s="274"/>
    </row>
    <row r="108" spans="5:68" s="1" customFormat="1">
      <c r="E108" s="273"/>
      <c r="F108" s="3"/>
      <c r="G108" s="3"/>
      <c r="H108" s="274"/>
      <c r="J108" s="273"/>
      <c r="K108" s="3"/>
      <c r="L108" s="3"/>
      <c r="M108" s="274"/>
      <c r="O108" s="273"/>
      <c r="P108" s="3"/>
      <c r="Q108" s="3"/>
      <c r="R108" s="274"/>
      <c r="T108" s="273"/>
      <c r="U108" s="3"/>
      <c r="V108" s="3"/>
      <c r="W108" s="274"/>
      <c r="Y108" s="273"/>
      <c r="Z108" s="3"/>
      <c r="AA108" s="3"/>
      <c r="AB108" s="274"/>
      <c r="AD108" s="273"/>
      <c r="AE108" s="3"/>
      <c r="AF108" s="3"/>
      <c r="AG108" s="274"/>
      <c r="AI108" s="273"/>
      <c r="AJ108" s="3"/>
      <c r="AK108" s="3"/>
      <c r="AL108" s="274"/>
      <c r="AN108" s="273"/>
      <c r="AO108" s="3"/>
      <c r="AP108" s="3"/>
      <c r="AQ108" s="274"/>
      <c r="AS108" s="273"/>
      <c r="AT108" s="3"/>
      <c r="AU108" s="3"/>
      <c r="AV108" s="274"/>
      <c r="AX108" s="273"/>
      <c r="AY108" s="3"/>
      <c r="AZ108" s="3"/>
      <c r="BA108" s="274"/>
      <c r="BC108" s="273"/>
      <c r="BD108" s="3"/>
      <c r="BE108" s="3"/>
      <c r="BF108" s="274"/>
      <c r="BH108" s="273"/>
      <c r="BI108" s="3"/>
      <c r="BJ108" s="3"/>
      <c r="BK108" s="274"/>
      <c r="BM108" s="273"/>
      <c r="BN108" s="3"/>
      <c r="BO108" s="3"/>
      <c r="BP108" s="274"/>
    </row>
    <row r="109" spans="5:68" s="1" customFormat="1">
      <c r="E109" s="273"/>
      <c r="F109" s="3"/>
      <c r="G109" s="3"/>
      <c r="H109" s="274"/>
      <c r="J109" s="273"/>
      <c r="K109" s="3"/>
      <c r="L109" s="3"/>
      <c r="M109" s="274"/>
      <c r="O109" s="273"/>
      <c r="P109" s="3"/>
      <c r="Q109" s="3"/>
      <c r="R109" s="274"/>
      <c r="T109" s="273"/>
      <c r="U109" s="3"/>
      <c r="V109" s="3"/>
      <c r="W109" s="274"/>
      <c r="Y109" s="273"/>
      <c r="Z109" s="3"/>
      <c r="AA109" s="3"/>
      <c r="AB109" s="274"/>
      <c r="AD109" s="273"/>
      <c r="AE109" s="3"/>
      <c r="AF109" s="3"/>
      <c r="AG109" s="274"/>
      <c r="AI109" s="273"/>
      <c r="AJ109" s="3"/>
      <c r="AK109" s="3"/>
      <c r="AL109" s="274"/>
      <c r="AN109" s="273"/>
      <c r="AO109" s="3"/>
      <c r="AP109" s="3"/>
      <c r="AQ109" s="274"/>
      <c r="AS109" s="273"/>
      <c r="AT109" s="3"/>
      <c r="AU109" s="3"/>
      <c r="AV109" s="274"/>
      <c r="AX109" s="273"/>
      <c r="AY109" s="3"/>
      <c r="AZ109" s="3"/>
      <c r="BA109" s="274"/>
      <c r="BC109" s="273"/>
      <c r="BD109" s="3"/>
      <c r="BE109" s="3"/>
      <c r="BF109" s="274"/>
      <c r="BH109" s="273"/>
      <c r="BI109" s="3"/>
      <c r="BJ109" s="3"/>
      <c r="BK109" s="274"/>
      <c r="BM109" s="273"/>
      <c r="BN109" s="3"/>
      <c r="BO109" s="3"/>
      <c r="BP109" s="274"/>
    </row>
    <row r="110" spans="5:68" s="1" customFormat="1">
      <c r="E110" s="273"/>
      <c r="F110" s="3"/>
      <c r="G110" s="3"/>
      <c r="H110" s="274"/>
      <c r="J110" s="273"/>
      <c r="K110" s="3"/>
      <c r="L110" s="3"/>
      <c r="M110" s="274"/>
      <c r="O110" s="273"/>
      <c r="P110" s="3"/>
      <c r="Q110" s="3"/>
      <c r="R110" s="274"/>
      <c r="T110" s="273"/>
      <c r="U110" s="3"/>
      <c r="V110" s="3"/>
      <c r="W110" s="274"/>
      <c r="Y110" s="273"/>
      <c r="Z110" s="3"/>
      <c r="AA110" s="3"/>
      <c r="AB110" s="274"/>
      <c r="AD110" s="273"/>
      <c r="AE110" s="3"/>
      <c r="AF110" s="3"/>
      <c r="AG110" s="274"/>
      <c r="AI110" s="273"/>
      <c r="AJ110" s="3"/>
      <c r="AK110" s="3"/>
      <c r="AL110" s="274"/>
      <c r="AN110" s="273"/>
      <c r="AO110" s="3"/>
      <c r="AP110" s="3"/>
      <c r="AQ110" s="274"/>
      <c r="AS110" s="273"/>
      <c r="AT110" s="3"/>
      <c r="AU110" s="3"/>
      <c r="AV110" s="274"/>
      <c r="AX110" s="273"/>
      <c r="AY110" s="3"/>
      <c r="AZ110" s="3"/>
      <c r="BA110" s="274"/>
      <c r="BC110" s="273"/>
      <c r="BD110" s="3"/>
      <c r="BE110" s="3"/>
      <c r="BF110" s="274"/>
      <c r="BH110" s="273"/>
      <c r="BI110" s="3"/>
      <c r="BJ110" s="3"/>
      <c r="BK110" s="274"/>
      <c r="BM110" s="273"/>
      <c r="BN110" s="3"/>
      <c r="BO110" s="3"/>
      <c r="BP110" s="274"/>
    </row>
    <row r="111" spans="5:68" s="1" customFormat="1">
      <c r="E111" s="273"/>
      <c r="F111" s="3"/>
      <c r="G111" s="3"/>
      <c r="H111" s="274"/>
      <c r="J111" s="273"/>
      <c r="K111" s="3"/>
      <c r="L111" s="3"/>
      <c r="M111" s="274"/>
      <c r="O111" s="273"/>
      <c r="P111" s="3"/>
      <c r="Q111" s="3"/>
      <c r="R111" s="274"/>
      <c r="T111" s="273"/>
      <c r="U111" s="3"/>
      <c r="V111" s="3"/>
      <c r="W111" s="274"/>
      <c r="Y111" s="273"/>
      <c r="Z111" s="3"/>
      <c r="AA111" s="3"/>
      <c r="AB111" s="274"/>
      <c r="AD111" s="273"/>
      <c r="AE111" s="3"/>
      <c r="AF111" s="3"/>
      <c r="AG111" s="274"/>
      <c r="AI111" s="273"/>
      <c r="AJ111" s="3"/>
      <c r="AK111" s="3"/>
      <c r="AL111" s="274"/>
      <c r="AN111" s="273"/>
      <c r="AO111" s="3"/>
      <c r="AP111" s="3"/>
      <c r="AQ111" s="274"/>
      <c r="AS111" s="273"/>
      <c r="AT111" s="3"/>
      <c r="AU111" s="3"/>
      <c r="AV111" s="274"/>
      <c r="AX111" s="273"/>
      <c r="AY111" s="3"/>
      <c r="AZ111" s="3"/>
      <c r="BA111" s="274"/>
      <c r="BC111" s="273"/>
      <c r="BD111" s="3"/>
      <c r="BE111" s="3"/>
      <c r="BF111" s="274"/>
      <c r="BH111" s="273"/>
      <c r="BI111" s="3"/>
      <c r="BJ111" s="3"/>
      <c r="BK111" s="274"/>
      <c r="BM111" s="273"/>
      <c r="BN111" s="3"/>
      <c r="BO111" s="3"/>
      <c r="BP111" s="274"/>
    </row>
    <row r="112" spans="5:68" s="1" customFormat="1">
      <c r="E112" s="273"/>
      <c r="F112" s="3"/>
      <c r="G112" s="3"/>
      <c r="H112" s="274"/>
      <c r="J112" s="273"/>
      <c r="K112" s="3"/>
      <c r="L112" s="3"/>
      <c r="M112" s="274"/>
      <c r="O112" s="273"/>
      <c r="P112" s="3"/>
      <c r="Q112" s="3"/>
      <c r="R112" s="274"/>
      <c r="T112" s="273"/>
      <c r="U112" s="3"/>
      <c r="V112" s="3"/>
      <c r="W112" s="274"/>
      <c r="Y112" s="273"/>
      <c r="Z112" s="3"/>
      <c r="AA112" s="3"/>
      <c r="AB112" s="274"/>
      <c r="AD112" s="273"/>
      <c r="AE112" s="3"/>
      <c r="AF112" s="3"/>
      <c r="AG112" s="274"/>
      <c r="AI112" s="273"/>
      <c r="AJ112" s="3"/>
      <c r="AK112" s="3"/>
      <c r="AL112" s="274"/>
      <c r="AN112" s="273"/>
      <c r="AO112" s="3"/>
      <c r="AP112" s="3"/>
      <c r="AQ112" s="274"/>
      <c r="AS112" s="273"/>
      <c r="AT112" s="3"/>
      <c r="AU112" s="3"/>
      <c r="AV112" s="274"/>
      <c r="AX112" s="273"/>
      <c r="AY112" s="3"/>
      <c r="AZ112" s="3"/>
      <c r="BA112" s="274"/>
      <c r="BC112" s="273"/>
      <c r="BD112" s="3"/>
      <c r="BE112" s="3"/>
      <c r="BF112" s="274"/>
      <c r="BH112" s="273"/>
      <c r="BI112" s="3"/>
      <c r="BJ112" s="3"/>
      <c r="BK112" s="274"/>
      <c r="BM112" s="273"/>
      <c r="BN112" s="3"/>
      <c r="BO112" s="3"/>
      <c r="BP112" s="274"/>
    </row>
    <row r="113" spans="5:68" s="1" customFormat="1">
      <c r="E113" s="273"/>
      <c r="F113" s="3"/>
      <c r="G113" s="3"/>
      <c r="H113" s="274"/>
      <c r="J113" s="273"/>
      <c r="K113" s="3"/>
      <c r="L113" s="3"/>
      <c r="M113" s="274"/>
      <c r="O113" s="273"/>
      <c r="P113" s="3"/>
      <c r="Q113" s="3"/>
      <c r="R113" s="274"/>
      <c r="T113" s="273"/>
      <c r="U113" s="3"/>
      <c r="V113" s="3"/>
      <c r="W113" s="274"/>
      <c r="Y113" s="273"/>
      <c r="Z113" s="3"/>
      <c r="AA113" s="3"/>
      <c r="AB113" s="274"/>
      <c r="AD113" s="273"/>
      <c r="AE113" s="3"/>
      <c r="AF113" s="3"/>
      <c r="AG113" s="274"/>
      <c r="AI113" s="273"/>
      <c r="AJ113" s="3"/>
      <c r="AK113" s="3"/>
      <c r="AL113" s="274"/>
      <c r="AN113" s="273"/>
      <c r="AO113" s="3"/>
      <c r="AP113" s="3"/>
      <c r="AQ113" s="274"/>
      <c r="AS113" s="273"/>
      <c r="AT113" s="3"/>
      <c r="AU113" s="3"/>
      <c r="AV113" s="274"/>
      <c r="AX113" s="273"/>
      <c r="AY113" s="3"/>
      <c r="AZ113" s="3"/>
      <c r="BA113" s="274"/>
      <c r="BC113" s="273"/>
      <c r="BD113" s="3"/>
      <c r="BE113" s="3"/>
      <c r="BF113" s="274"/>
      <c r="BH113" s="273"/>
      <c r="BI113" s="3"/>
      <c r="BJ113" s="3"/>
      <c r="BK113" s="274"/>
      <c r="BM113" s="273"/>
      <c r="BN113" s="3"/>
      <c r="BO113" s="3"/>
      <c r="BP113" s="274"/>
    </row>
    <row r="114" spans="5:68" s="1" customFormat="1">
      <c r="E114" s="273"/>
      <c r="F114" s="3"/>
      <c r="G114" s="3"/>
      <c r="H114" s="274"/>
      <c r="J114" s="273"/>
      <c r="K114" s="3"/>
      <c r="L114" s="3"/>
      <c r="M114" s="274"/>
      <c r="O114" s="273"/>
      <c r="P114" s="3"/>
      <c r="Q114" s="3"/>
      <c r="R114" s="274"/>
      <c r="T114" s="273"/>
      <c r="U114" s="3"/>
      <c r="V114" s="3"/>
      <c r="W114" s="274"/>
      <c r="Y114" s="273"/>
      <c r="Z114" s="3"/>
      <c r="AA114" s="3"/>
      <c r="AB114" s="274"/>
      <c r="AD114" s="273"/>
      <c r="AE114" s="3"/>
      <c r="AF114" s="3"/>
      <c r="AG114" s="274"/>
      <c r="AI114" s="273"/>
      <c r="AJ114" s="3"/>
      <c r="AK114" s="3"/>
      <c r="AL114" s="274"/>
      <c r="AN114" s="273"/>
      <c r="AO114" s="3"/>
      <c r="AP114" s="3"/>
      <c r="AQ114" s="274"/>
      <c r="AS114" s="273"/>
      <c r="AT114" s="3"/>
      <c r="AU114" s="3"/>
      <c r="AV114" s="274"/>
      <c r="AX114" s="273"/>
      <c r="AY114" s="3"/>
      <c r="AZ114" s="3"/>
      <c r="BA114" s="274"/>
      <c r="BC114" s="273"/>
      <c r="BD114" s="3"/>
      <c r="BE114" s="3"/>
      <c r="BF114" s="274"/>
      <c r="BH114" s="273"/>
      <c r="BI114" s="3"/>
      <c r="BJ114" s="3"/>
      <c r="BK114" s="274"/>
      <c r="BM114" s="273"/>
      <c r="BN114" s="3"/>
      <c r="BO114" s="3"/>
      <c r="BP114" s="274"/>
    </row>
    <row r="115" spans="5:68" s="1" customFormat="1">
      <c r="E115" s="273"/>
      <c r="F115" s="3"/>
      <c r="G115" s="3"/>
      <c r="H115" s="274"/>
      <c r="J115" s="273"/>
      <c r="K115" s="3"/>
      <c r="L115" s="3"/>
      <c r="M115" s="274"/>
      <c r="O115" s="273"/>
      <c r="P115" s="3"/>
      <c r="Q115" s="3"/>
      <c r="R115" s="274"/>
      <c r="T115" s="273"/>
      <c r="U115" s="3"/>
      <c r="V115" s="3"/>
      <c r="W115" s="274"/>
      <c r="Y115" s="273"/>
      <c r="Z115" s="3"/>
      <c r="AA115" s="3"/>
      <c r="AB115" s="274"/>
      <c r="AD115" s="273"/>
      <c r="AE115" s="3"/>
      <c r="AF115" s="3"/>
      <c r="AG115" s="274"/>
      <c r="AI115" s="273"/>
      <c r="AJ115" s="3"/>
      <c r="AK115" s="3"/>
      <c r="AL115" s="274"/>
      <c r="AN115" s="273"/>
      <c r="AO115" s="3"/>
      <c r="AP115" s="3"/>
      <c r="AQ115" s="274"/>
      <c r="AS115" s="273"/>
      <c r="AT115" s="3"/>
      <c r="AU115" s="3"/>
      <c r="AV115" s="274"/>
      <c r="AX115" s="273"/>
      <c r="AY115" s="3"/>
      <c r="AZ115" s="3"/>
      <c r="BA115" s="274"/>
      <c r="BC115" s="273"/>
      <c r="BD115" s="3"/>
      <c r="BE115" s="3"/>
      <c r="BF115" s="274"/>
      <c r="BH115" s="273"/>
      <c r="BI115" s="3"/>
      <c r="BJ115" s="3"/>
      <c r="BK115" s="274"/>
      <c r="BM115" s="273"/>
      <c r="BN115" s="3"/>
      <c r="BO115" s="3"/>
      <c r="BP115" s="274"/>
    </row>
    <row r="116" spans="5:68" s="1" customFormat="1">
      <c r="E116" s="273"/>
      <c r="F116" s="3"/>
      <c r="G116" s="3"/>
      <c r="H116" s="274"/>
      <c r="J116" s="273"/>
      <c r="K116" s="3"/>
      <c r="L116" s="3"/>
      <c r="M116" s="274"/>
      <c r="O116" s="273"/>
      <c r="P116" s="3"/>
      <c r="Q116" s="3"/>
      <c r="R116" s="274"/>
      <c r="T116" s="273"/>
      <c r="U116" s="3"/>
      <c r="V116" s="3"/>
      <c r="W116" s="274"/>
      <c r="Y116" s="273"/>
      <c r="Z116" s="3"/>
      <c r="AA116" s="3"/>
      <c r="AB116" s="274"/>
      <c r="AD116" s="273"/>
      <c r="AE116" s="3"/>
      <c r="AF116" s="3"/>
      <c r="AG116" s="274"/>
      <c r="AI116" s="273"/>
      <c r="AJ116" s="3"/>
      <c r="AK116" s="3"/>
      <c r="AL116" s="274"/>
      <c r="AN116" s="273"/>
      <c r="AO116" s="3"/>
      <c r="AP116" s="3"/>
      <c r="AQ116" s="274"/>
      <c r="AS116" s="273"/>
      <c r="AT116" s="3"/>
      <c r="AU116" s="3"/>
      <c r="AV116" s="274"/>
      <c r="AX116" s="273"/>
      <c r="AY116" s="3"/>
      <c r="AZ116" s="3"/>
      <c r="BA116" s="274"/>
      <c r="BC116" s="273"/>
      <c r="BD116" s="3"/>
      <c r="BE116" s="3"/>
      <c r="BF116" s="274"/>
      <c r="BH116" s="273"/>
      <c r="BI116" s="3"/>
      <c r="BJ116" s="3"/>
      <c r="BK116" s="274"/>
      <c r="BM116" s="273"/>
      <c r="BN116" s="3"/>
      <c r="BO116" s="3"/>
      <c r="BP116" s="274"/>
    </row>
    <row r="117" spans="5:68" s="1" customFormat="1">
      <c r="E117" s="273"/>
      <c r="F117" s="3"/>
      <c r="G117" s="3"/>
      <c r="H117" s="274"/>
      <c r="J117" s="273"/>
      <c r="K117" s="3"/>
      <c r="L117" s="3"/>
      <c r="M117" s="274"/>
      <c r="O117" s="273"/>
      <c r="P117" s="3"/>
      <c r="Q117" s="3"/>
      <c r="R117" s="274"/>
      <c r="T117" s="273"/>
      <c r="U117" s="3"/>
      <c r="V117" s="3"/>
      <c r="W117" s="274"/>
      <c r="Y117" s="273"/>
      <c r="Z117" s="3"/>
      <c r="AA117" s="3"/>
      <c r="AB117" s="274"/>
      <c r="AD117" s="273"/>
      <c r="AE117" s="3"/>
      <c r="AF117" s="3"/>
      <c r="AG117" s="274"/>
      <c r="AI117" s="273"/>
      <c r="AJ117" s="3"/>
      <c r="AK117" s="3"/>
      <c r="AL117" s="274"/>
      <c r="AN117" s="273"/>
      <c r="AO117" s="3"/>
      <c r="AP117" s="3"/>
      <c r="AQ117" s="274"/>
      <c r="AS117" s="273"/>
      <c r="AT117" s="3"/>
      <c r="AU117" s="3"/>
      <c r="AV117" s="274"/>
      <c r="AX117" s="273"/>
      <c r="AY117" s="3"/>
      <c r="AZ117" s="3"/>
      <c r="BA117" s="274"/>
      <c r="BC117" s="273"/>
      <c r="BD117" s="3"/>
      <c r="BE117" s="3"/>
      <c r="BF117" s="274"/>
      <c r="BH117" s="273"/>
      <c r="BI117" s="3"/>
      <c r="BJ117" s="3"/>
      <c r="BK117" s="274"/>
      <c r="BM117" s="273"/>
      <c r="BN117" s="3"/>
      <c r="BO117" s="3"/>
      <c r="BP117" s="274"/>
    </row>
    <row r="118" spans="5:68" s="1" customFormat="1">
      <c r="E118" s="273"/>
      <c r="F118" s="3"/>
      <c r="G118" s="3"/>
      <c r="H118" s="274"/>
      <c r="J118" s="273"/>
      <c r="K118" s="3"/>
      <c r="L118" s="3"/>
      <c r="M118" s="274"/>
      <c r="O118" s="273"/>
      <c r="P118" s="3"/>
      <c r="Q118" s="3"/>
      <c r="R118" s="274"/>
      <c r="T118" s="273"/>
      <c r="U118" s="3"/>
      <c r="V118" s="3"/>
      <c r="W118" s="274"/>
      <c r="Y118" s="273"/>
      <c r="Z118" s="3"/>
      <c r="AA118" s="3"/>
      <c r="AB118" s="274"/>
      <c r="AD118" s="273"/>
      <c r="AE118" s="3"/>
      <c r="AF118" s="3"/>
      <c r="AG118" s="274"/>
      <c r="AI118" s="273"/>
      <c r="AJ118" s="3"/>
      <c r="AK118" s="3"/>
      <c r="AL118" s="274"/>
      <c r="AN118" s="273"/>
      <c r="AO118" s="3"/>
      <c r="AP118" s="3"/>
      <c r="AQ118" s="274"/>
      <c r="AS118" s="273"/>
      <c r="AT118" s="3"/>
      <c r="AU118" s="3"/>
      <c r="AV118" s="274"/>
      <c r="AX118" s="273"/>
      <c r="AY118" s="3"/>
      <c r="AZ118" s="3"/>
      <c r="BA118" s="274"/>
      <c r="BC118" s="273"/>
      <c r="BD118" s="3"/>
      <c r="BE118" s="3"/>
      <c r="BF118" s="274"/>
      <c r="BH118" s="273"/>
      <c r="BI118" s="3"/>
      <c r="BJ118" s="3"/>
      <c r="BK118" s="274"/>
      <c r="BM118" s="273"/>
      <c r="BN118" s="3"/>
      <c r="BO118" s="3"/>
      <c r="BP118" s="274"/>
    </row>
    <row r="119" spans="5:68" s="1" customFormat="1">
      <c r="E119" s="273"/>
      <c r="F119" s="3"/>
      <c r="G119" s="3"/>
      <c r="H119" s="274"/>
      <c r="J119" s="273"/>
      <c r="K119" s="3"/>
      <c r="L119" s="3"/>
      <c r="M119" s="274"/>
      <c r="O119" s="273"/>
      <c r="P119" s="3"/>
      <c r="Q119" s="3"/>
      <c r="R119" s="274"/>
      <c r="T119" s="273"/>
      <c r="U119" s="3"/>
      <c r="V119" s="3"/>
      <c r="W119" s="274"/>
      <c r="Y119" s="273"/>
      <c r="Z119" s="3"/>
      <c r="AA119" s="3"/>
      <c r="AB119" s="274"/>
      <c r="AD119" s="273"/>
      <c r="AE119" s="3"/>
      <c r="AF119" s="3"/>
      <c r="AG119" s="274"/>
      <c r="AI119" s="273"/>
      <c r="AJ119" s="3"/>
      <c r="AK119" s="3"/>
      <c r="AL119" s="274"/>
      <c r="AN119" s="273"/>
      <c r="AO119" s="3"/>
      <c r="AP119" s="3"/>
      <c r="AQ119" s="274"/>
      <c r="AS119" s="273"/>
      <c r="AT119" s="3"/>
      <c r="AU119" s="3"/>
      <c r="AV119" s="274"/>
      <c r="AX119" s="273"/>
      <c r="AY119" s="3"/>
      <c r="AZ119" s="3"/>
      <c r="BA119" s="274"/>
      <c r="BC119" s="273"/>
      <c r="BD119" s="3"/>
      <c r="BE119" s="3"/>
      <c r="BF119" s="274"/>
      <c r="BH119" s="273"/>
      <c r="BI119" s="3"/>
      <c r="BJ119" s="3"/>
      <c r="BK119" s="274"/>
      <c r="BM119" s="273"/>
      <c r="BN119" s="3"/>
      <c r="BO119" s="3"/>
      <c r="BP119" s="274"/>
    </row>
    <row r="120" spans="5:68" s="1" customFormat="1">
      <c r="E120" s="273"/>
      <c r="F120" s="3"/>
      <c r="G120" s="3"/>
      <c r="H120" s="274"/>
      <c r="J120" s="273"/>
      <c r="K120" s="3"/>
      <c r="L120" s="3"/>
      <c r="M120" s="274"/>
      <c r="O120" s="273"/>
      <c r="P120" s="3"/>
      <c r="Q120" s="3"/>
      <c r="R120" s="274"/>
      <c r="T120" s="273"/>
      <c r="U120" s="3"/>
      <c r="V120" s="3"/>
      <c r="W120" s="274"/>
      <c r="Y120" s="273"/>
      <c r="Z120" s="3"/>
      <c r="AA120" s="3"/>
      <c r="AB120" s="274"/>
      <c r="AD120" s="273"/>
      <c r="AE120" s="3"/>
      <c r="AF120" s="3"/>
      <c r="AG120" s="274"/>
      <c r="AI120" s="273"/>
      <c r="AJ120" s="3"/>
      <c r="AK120" s="3"/>
      <c r="AL120" s="274"/>
      <c r="AN120" s="273"/>
      <c r="AO120" s="3"/>
      <c r="AP120" s="3"/>
      <c r="AQ120" s="274"/>
      <c r="AS120" s="273"/>
      <c r="AT120" s="3"/>
      <c r="AU120" s="3"/>
      <c r="AV120" s="274"/>
      <c r="AX120" s="273"/>
      <c r="AY120" s="3"/>
      <c r="AZ120" s="3"/>
      <c r="BA120" s="274"/>
      <c r="BC120" s="273"/>
      <c r="BD120" s="3"/>
      <c r="BE120" s="3"/>
      <c r="BF120" s="274"/>
      <c r="BH120" s="273"/>
      <c r="BI120" s="3"/>
      <c r="BJ120" s="3"/>
      <c r="BK120" s="274"/>
      <c r="BM120" s="273"/>
      <c r="BN120" s="3"/>
      <c r="BO120" s="3"/>
      <c r="BP120" s="274"/>
    </row>
    <row r="121" spans="5:68" s="1" customFormat="1">
      <c r="E121" s="273"/>
      <c r="F121" s="3"/>
      <c r="G121" s="3"/>
      <c r="H121" s="274"/>
      <c r="J121" s="273"/>
      <c r="K121" s="3"/>
      <c r="L121" s="3"/>
      <c r="M121" s="274"/>
      <c r="O121" s="273"/>
      <c r="P121" s="3"/>
      <c r="Q121" s="3"/>
      <c r="R121" s="274"/>
      <c r="T121" s="273"/>
      <c r="U121" s="3"/>
      <c r="V121" s="3"/>
      <c r="W121" s="274"/>
      <c r="Y121" s="273"/>
      <c r="Z121" s="3"/>
      <c r="AA121" s="3"/>
      <c r="AB121" s="274"/>
      <c r="AD121" s="273"/>
      <c r="AE121" s="3"/>
      <c r="AF121" s="3"/>
      <c r="AG121" s="274"/>
      <c r="AI121" s="273"/>
      <c r="AJ121" s="3"/>
      <c r="AK121" s="3"/>
      <c r="AL121" s="274"/>
      <c r="AN121" s="273"/>
      <c r="AO121" s="3"/>
      <c r="AP121" s="3"/>
      <c r="AQ121" s="274"/>
      <c r="AS121" s="273"/>
      <c r="AT121" s="3"/>
      <c r="AU121" s="3"/>
      <c r="AV121" s="274"/>
      <c r="AX121" s="273"/>
      <c r="AY121" s="3"/>
      <c r="AZ121" s="3"/>
      <c r="BA121" s="274"/>
      <c r="BC121" s="273"/>
      <c r="BD121" s="3"/>
      <c r="BE121" s="3"/>
      <c r="BF121" s="274"/>
      <c r="BH121" s="273"/>
      <c r="BI121" s="3"/>
      <c r="BJ121" s="3"/>
      <c r="BK121" s="274"/>
      <c r="BM121" s="273"/>
      <c r="BN121" s="3"/>
      <c r="BO121" s="3"/>
      <c r="BP121" s="274"/>
    </row>
    <row r="122" spans="5:68" s="1" customFormat="1">
      <c r="E122" s="273"/>
      <c r="F122" s="3"/>
      <c r="G122" s="3"/>
      <c r="H122" s="274"/>
      <c r="J122" s="273"/>
      <c r="K122" s="3"/>
      <c r="L122" s="3"/>
      <c r="M122" s="274"/>
      <c r="O122" s="273"/>
      <c r="P122" s="3"/>
      <c r="Q122" s="3"/>
      <c r="R122" s="274"/>
      <c r="T122" s="273"/>
      <c r="U122" s="3"/>
      <c r="V122" s="3"/>
      <c r="W122" s="274"/>
      <c r="Y122" s="273"/>
      <c r="Z122" s="3"/>
      <c r="AA122" s="3"/>
      <c r="AB122" s="274"/>
      <c r="AD122" s="273"/>
      <c r="AE122" s="3"/>
      <c r="AF122" s="3"/>
      <c r="AG122" s="274"/>
      <c r="AI122" s="273"/>
      <c r="AJ122" s="3"/>
      <c r="AK122" s="3"/>
      <c r="AL122" s="274"/>
      <c r="AN122" s="273"/>
      <c r="AO122" s="3"/>
      <c r="AP122" s="3"/>
      <c r="AQ122" s="274"/>
      <c r="AS122" s="273"/>
      <c r="AT122" s="3"/>
      <c r="AU122" s="3"/>
      <c r="AV122" s="274"/>
      <c r="AX122" s="273"/>
      <c r="AY122" s="3"/>
      <c r="AZ122" s="3"/>
      <c r="BA122" s="274"/>
      <c r="BC122" s="273"/>
      <c r="BD122" s="3"/>
      <c r="BE122" s="3"/>
      <c r="BF122" s="274"/>
      <c r="BH122" s="273"/>
      <c r="BI122" s="3"/>
      <c r="BJ122" s="3"/>
      <c r="BK122" s="274"/>
      <c r="BM122" s="273"/>
      <c r="BN122" s="3"/>
      <c r="BO122" s="3"/>
      <c r="BP122" s="274"/>
    </row>
    <row r="123" spans="5:68" s="1" customFormat="1">
      <c r="E123" s="273"/>
      <c r="F123" s="3"/>
      <c r="G123" s="3"/>
      <c r="H123" s="274"/>
      <c r="J123" s="273"/>
      <c r="K123" s="3"/>
      <c r="L123" s="3"/>
      <c r="M123" s="274"/>
      <c r="O123" s="273"/>
      <c r="P123" s="3"/>
      <c r="Q123" s="3"/>
      <c r="R123" s="274"/>
      <c r="T123" s="273"/>
      <c r="U123" s="3"/>
      <c r="V123" s="3"/>
      <c r="W123" s="274"/>
      <c r="Y123" s="273"/>
      <c r="Z123" s="3"/>
      <c r="AA123" s="3"/>
      <c r="AB123" s="274"/>
      <c r="AD123" s="273"/>
      <c r="AE123" s="3"/>
      <c r="AF123" s="3"/>
      <c r="AG123" s="274"/>
      <c r="AI123" s="273"/>
      <c r="AJ123" s="3"/>
      <c r="AK123" s="3"/>
      <c r="AL123" s="274"/>
      <c r="AN123" s="273"/>
      <c r="AO123" s="3"/>
      <c r="AP123" s="3"/>
      <c r="AQ123" s="274"/>
      <c r="AS123" s="273"/>
      <c r="AT123" s="3"/>
      <c r="AU123" s="3"/>
      <c r="AV123" s="274"/>
      <c r="AX123" s="273"/>
      <c r="AY123" s="3"/>
      <c r="AZ123" s="3"/>
      <c r="BA123" s="274"/>
      <c r="BC123" s="273"/>
      <c r="BD123" s="3"/>
      <c r="BE123" s="3"/>
      <c r="BF123" s="274"/>
      <c r="BH123" s="273"/>
      <c r="BI123" s="3"/>
      <c r="BJ123" s="3"/>
      <c r="BK123" s="274"/>
      <c r="BM123" s="273"/>
      <c r="BN123" s="3"/>
      <c r="BO123" s="3"/>
      <c r="BP123" s="274"/>
    </row>
    <row r="124" spans="5:68" s="1" customFormat="1">
      <c r="E124" s="273"/>
      <c r="F124" s="3"/>
      <c r="G124" s="3"/>
      <c r="H124" s="274"/>
      <c r="J124" s="273"/>
      <c r="K124" s="3"/>
      <c r="L124" s="3"/>
      <c r="M124" s="274"/>
      <c r="O124" s="273"/>
      <c r="P124" s="3"/>
      <c r="Q124" s="3"/>
      <c r="R124" s="274"/>
      <c r="T124" s="273"/>
      <c r="U124" s="3"/>
      <c r="V124" s="3"/>
      <c r="W124" s="274"/>
      <c r="Y124" s="273"/>
      <c r="Z124" s="3"/>
      <c r="AA124" s="3"/>
      <c r="AB124" s="274"/>
      <c r="AD124" s="273"/>
      <c r="AE124" s="3"/>
      <c r="AF124" s="3"/>
      <c r="AG124" s="274"/>
      <c r="AI124" s="273"/>
      <c r="AJ124" s="3"/>
      <c r="AK124" s="3"/>
      <c r="AL124" s="274"/>
      <c r="AN124" s="273"/>
      <c r="AO124" s="3"/>
      <c r="AP124" s="3"/>
      <c r="AQ124" s="274"/>
      <c r="AS124" s="273"/>
      <c r="AT124" s="3"/>
      <c r="AU124" s="3"/>
      <c r="AV124" s="274"/>
      <c r="AX124" s="273"/>
      <c r="AY124" s="3"/>
      <c r="AZ124" s="3"/>
      <c r="BA124" s="274"/>
      <c r="BC124" s="273"/>
      <c r="BD124" s="3"/>
      <c r="BE124" s="3"/>
      <c r="BF124" s="274"/>
      <c r="BH124" s="273"/>
      <c r="BI124" s="3"/>
      <c r="BJ124" s="3"/>
      <c r="BK124" s="274"/>
      <c r="BM124" s="273"/>
      <c r="BN124" s="3"/>
      <c r="BO124" s="3"/>
      <c r="BP124" s="274"/>
    </row>
    <row r="125" spans="5:68" s="1" customFormat="1">
      <c r="E125" s="273"/>
      <c r="F125" s="3"/>
      <c r="G125" s="3"/>
      <c r="H125" s="274"/>
      <c r="J125" s="273"/>
      <c r="K125" s="3"/>
      <c r="L125" s="3"/>
      <c r="M125" s="274"/>
      <c r="O125" s="273"/>
      <c r="P125" s="3"/>
      <c r="Q125" s="3"/>
      <c r="R125" s="274"/>
      <c r="T125" s="273"/>
      <c r="U125" s="3"/>
      <c r="V125" s="3"/>
      <c r="W125" s="274"/>
      <c r="Y125" s="273"/>
      <c r="Z125" s="3"/>
      <c r="AA125" s="3"/>
      <c r="AB125" s="274"/>
      <c r="AD125" s="273"/>
      <c r="AE125" s="3"/>
      <c r="AF125" s="3"/>
      <c r="AG125" s="274"/>
      <c r="AI125" s="273"/>
      <c r="AJ125" s="3"/>
      <c r="AK125" s="3"/>
      <c r="AL125" s="274"/>
      <c r="AN125" s="273"/>
      <c r="AO125" s="3"/>
      <c r="AP125" s="3"/>
      <c r="AQ125" s="274"/>
      <c r="AS125" s="273"/>
      <c r="AT125" s="3"/>
      <c r="AU125" s="3"/>
      <c r="AV125" s="274"/>
      <c r="AX125" s="273"/>
      <c r="AY125" s="3"/>
      <c r="AZ125" s="3"/>
      <c r="BA125" s="274"/>
      <c r="BC125" s="273"/>
      <c r="BD125" s="3"/>
      <c r="BE125" s="3"/>
      <c r="BF125" s="274"/>
      <c r="BH125" s="273"/>
      <c r="BI125" s="3"/>
      <c r="BJ125" s="3"/>
      <c r="BK125" s="274"/>
      <c r="BM125" s="273"/>
      <c r="BN125" s="3"/>
      <c r="BO125" s="3"/>
      <c r="BP125" s="274"/>
    </row>
    <row r="126" spans="5:68" s="1" customFormat="1">
      <c r="E126" s="273"/>
      <c r="F126" s="3"/>
      <c r="G126" s="3"/>
      <c r="H126" s="274"/>
      <c r="J126" s="273"/>
      <c r="K126" s="3"/>
      <c r="L126" s="3"/>
      <c r="M126" s="274"/>
      <c r="O126" s="273"/>
      <c r="P126" s="3"/>
      <c r="Q126" s="3"/>
      <c r="R126" s="274"/>
      <c r="T126" s="273"/>
      <c r="U126" s="3"/>
      <c r="V126" s="3"/>
      <c r="W126" s="274"/>
      <c r="Y126" s="273"/>
      <c r="Z126" s="3"/>
      <c r="AA126" s="3"/>
      <c r="AB126" s="274"/>
      <c r="AD126" s="273"/>
      <c r="AE126" s="3"/>
      <c r="AF126" s="3"/>
      <c r="AG126" s="274"/>
      <c r="AI126" s="273"/>
      <c r="AJ126" s="3"/>
      <c r="AK126" s="3"/>
      <c r="AL126" s="274"/>
      <c r="AN126" s="273"/>
      <c r="AO126" s="3"/>
      <c r="AP126" s="3"/>
      <c r="AQ126" s="274"/>
      <c r="AS126" s="273"/>
      <c r="AT126" s="3"/>
      <c r="AU126" s="3"/>
      <c r="AV126" s="274"/>
      <c r="AX126" s="273"/>
      <c r="AY126" s="3"/>
      <c r="AZ126" s="3"/>
      <c r="BA126" s="274"/>
      <c r="BC126" s="273"/>
      <c r="BD126" s="3"/>
      <c r="BE126" s="3"/>
      <c r="BF126" s="274"/>
      <c r="BH126" s="273"/>
      <c r="BI126" s="3"/>
      <c r="BJ126" s="3"/>
      <c r="BK126" s="274"/>
      <c r="BM126" s="273"/>
      <c r="BN126" s="3"/>
      <c r="BO126" s="3"/>
      <c r="BP126" s="274"/>
    </row>
    <row r="127" spans="5:68" s="1" customFormat="1">
      <c r="E127" s="273"/>
      <c r="F127" s="3"/>
      <c r="G127" s="3"/>
      <c r="H127" s="274"/>
      <c r="J127" s="273"/>
      <c r="K127" s="3"/>
      <c r="L127" s="3"/>
      <c r="M127" s="274"/>
      <c r="O127" s="273"/>
      <c r="P127" s="3"/>
      <c r="Q127" s="3"/>
      <c r="R127" s="274"/>
      <c r="T127" s="273"/>
      <c r="U127" s="3"/>
      <c r="V127" s="3"/>
      <c r="W127" s="274"/>
      <c r="Y127" s="273"/>
      <c r="Z127" s="3"/>
      <c r="AA127" s="3"/>
      <c r="AB127" s="274"/>
      <c r="AD127" s="273"/>
      <c r="AE127" s="3"/>
      <c r="AF127" s="3"/>
      <c r="AG127" s="274"/>
      <c r="AI127" s="273"/>
      <c r="AJ127" s="3"/>
      <c r="AK127" s="3"/>
      <c r="AL127" s="274"/>
      <c r="AN127" s="273"/>
      <c r="AO127" s="3"/>
      <c r="AP127" s="3"/>
      <c r="AQ127" s="274"/>
      <c r="AS127" s="273"/>
      <c r="AT127" s="3"/>
      <c r="AU127" s="3"/>
      <c r="AV127" s="274"/>
      <c r="AX127" s="273"/>
      <c r="AY127" s="3"/>
      <c r="AZ127" s="3"/>
      <c r="BA127" s="274"/>
      <c r="BC127" s="273"/>
      <c r="BD127" s="3"/>
      <c r="BE127" s="3"/>
      <c r="BF127" s="274"/>
      <c r="BH127" s="273"/>
      <c r="BI127" s="3"/>
      <c r="BJ127" s="3"/>
      <c r="BK127" s="274"/>
      <c r="BM127" s="273"/>
      <c r="BN127" s="3"/>
      <c r="BO127" s="3"/>
      <c r="BP127" s="274"/>
    </row>
    <row r="128" spans="5:68" s="1" customFormat="1">
      <c r="E128" s="273"/>
      <c r="F128" s="3"/>
      <c r="G128" s="3"/>
      <c r="H128" s="274"/>
      <c r="J128" s="273"/>
      <c r="K128" s="3"/>
      <c r="L128" s="3"/>
      <c r="M128" s="274"/>
      <c r="O128" s="273"/>
      <c r="P128" s="3"/>
      <c r="Q128" s="3"/>
      <c r="R128" s="274"/>
      <c r="T128" s="273"/>
      <c r="U128" s="3"/>
      <c r="V128" s="3"/>
      <c r="W128" s="274"/>
      <c r="Y128" s="273"/>
      <c r="Z128" s="3"/>
      <c r="AA128" s="3"/>
      <c r="AB128" s="274"/>
      <c r="AD128" s="273"/>
      <c r="AE128" s="3"/>
      <c r="AF128" s="3"/>
      <c r="AG128" s="274"/>
      <c r="AI128" s="273"/>
      <c r="AJ128" s="3"/>
      <c r="AK128" s="3"/>
      <c r="AL128" s="274"/>
      <c r="AN128" s="273"/>
      <c r="AO128" s="3"/>
      <c r="AP128" s="3"/>
      <c r="AQ128" s="274"/>
      <c r="AS128" s="273"/>
      <c r="AT128" s="3"/>
      <c r="AU128" s="3"/>
      <c r="AV128" s="274"/>
      <c r="AX128" s="273"/>
      <c r="AY128" s="3"/>
      <c r="AZ128" s="3"/>
      <c r="BA128" s="274"/>
      <c r="BC128" s="273"/>
      <c r="BD128" s="3"/>
      <c r="BE128" s="3"/>
      <c r="BF128" s="274"/>
      <c r="BH128" s="273"/>
      <c r="BI128" s="3"/>
      <c r="BJ128" s="3"/>
      <c r="BK128" s="274"/>
      <c r="BM128" s="273"/>
      <c r="BN128" s="3"/>
      <c r="BO128" s="3"/>
      <c r="BP128" s="274"/>
    </row>
    <row r="129" spans="5:68" s="1" customFormat="1">
      <c r="E129" s="273"/>
      <c r="F129" s="3"/>
      <c r="G129" s="3"/>
      <c r="H129" s="274"/>
      <c r="J129" s="273"/>
      <c r="K129" s="3"/>
      <c r="L129" s="3"/>
      <c r="M129" s="274"/>
      <c r="O129" s="273"/>
      <c r="P129" s="3"/>
      <c r="Q129" s="3"/>
      <c r="R129" s="274"/>
      <c r="T129" s="273"/>
      <c r="U129" s="3"/>
      <c r="V129" s="3"/>
      <c r="W129" s="274"/>
      <c r="Y129" s="273"/>
      <c r="Z129" s="3"/>
      <c r="AA129" s="3"/>
      <c r="AB129" s="274"/>
      <c r="AD129" s="273"/>
      <c r="AE129" s="3"/>
      <c r="AF129" s="3"/>
      <c r="AG129" s="274"/>
      <c r="AI129" s="273"/>
      <c r="AJ129" s="3"/>
      <c r="AK129" s="3"/>
      <c r="AL129" s="274"/>
      <c r="AN129" s="273"/>
      <c r="AO129" s="3"/>
      <c r="AP129" s="3"/>
      <c r="AQ129" s="274"/>
      <c r="AS129" s="273"/>
      <c r="AT129" s="3"/>
      <c r="AU129" s="3"/>
      <c r="AV129" s="274"/>
      <c r="AX129" s="273"/>
      <c r="AY129" s="3"/>
      <c r="AZ129" s="3"/>
      <c r="BA129" s="274"/>
      <c r="BC129" s="273"/>
      <c r="BD129" s="3"/>
      <c r="BE129" s="3"/>
      <c r="BF129" s="274"/>
      <c r="BH129" s="273"/>
      <c r="BI129" s="3"/>
      <c r="BJ129" s="3"/>
      <c r="BK129" s="274"/>
      <c r="BM129" s="273"/>
      <c r="BN129" s="3"/>
      <c r="BO129" s="3"/>
      <c r="BP129" s="274"/>
    </row>
    <row r="130" spans="5:68" s="1" customFormat="1">
      <c r="E130" s="273"/>
      <c r="F130" s="3"/>
      <c r="G130" s="3"/>
      <c r="H130" s="274"/>
      <c r="J130" s="273"/>
      <c r="K130" s="3"/>
      <c r="L130" s="3"/>
      <c r="M130" s="274"/>
      <c r="O130" s="273"/>
      <c r="P130" s="3"/>
      <c r="Q130" s="3"/>
      <c r="R130" s="274"/>
      <c r="T130" s="273"/>
      <c r="U130" s="3"/>
      <c r="V130" s="3"/>
      <c r="W130" s="274"/>
      <c r="Y130" s="273"/>
      <c r="Z130" s="3"/>
      <c r="AA130" s="3"/>
      <c r="AB130" s="274"/>
      <c r="AD130" s="273"/>
      <c r="AE130" s="3"/>
      <c r="AF130" s="3"/>
      <c r="AG130" s="274"/>
      <c r="AI130" s="273"/>
      <c r="AJ130" s="3"/>
      <c r="AK130" s="3"/>
      <c r="AL130" s="274"/>
      <c r="AN130" s="273"/>
      <c r="AO130" s="3"/>
      <c r="AP130" s="3"/>
      <c r="AQ130" s="274"/>
      <c r="AS130" s="273"/>
      <c r="AT130" s="3"/>
      <c r="AU130" s="3"/>
      <c r="AV130" s="274"/>
      <c r="AX130" s="273"/>
      <c r="AY130" s="3"/>
      <c r="AZ130" s="3"/>
      <c r="BA130" s="274"/>
      <c r="BC130" s="273"/>
      <c r="BD130" s="3"/>
      <c r="BE130" s="3"/>
      <c r="BF130" s="274"/>
      <c r="BH130" s="273"/>
      <c r="BI130" s="3"/>
      <c r="BJ130" s="3"/>
      <c r="BK130" s="274"/>
      <c r="BM130" s="273"/>
      <c r="BN130" s="3"/>
      <c r="BO130" s="3"/>
      <c r="BP130" s="274"/>
    </row>
    <row r="131" spans="5:68" s="1" customFormat="1">
      <c r="E131" s="273"/>
      <c r="F131" s="3"/>
      <c r="G131" s="3"/>
      <c r="H131" s="274"/>
      <c r="J131" s="273"/>
      <c r="K131" s="3"/>
      <c r="L131" s="3"/>
      <c r="M131" s="274"/>
      <c r="O131" s="273"/>
      <c r="P131" s="3"/>
      <c r="Q131" s="3"/>
      <c r="R131" s="274"/>
      <c r="T131" s="273"/>
      <c r="U131" s="3"/>
      <c r="V131" s="3"/>
      <c r="W131" s="274"/>
      <c r="Y131" s="273"/>
      <c r="Z131" s="3"/>
      <c r="AA131" s="3"/>
      <c r="AB131" s="274"/>
      <c r="AD131" s="273"/>
      <c r="AE131" s="3"/>
      <c r="AF131" s="3"/>
      <c r="AG131" s="274"/>
      <c r="AI131" s="273"/>
      <c r="AJ131" s="3"/>
      <c r="AK131" s="3"/>
      <c r="AL131" s="274"/>
      <c r="AN131" s="273"/>
      <c r="AO131" s="3"/>
      <c r="AP131" s="3"/>
      <c r="AQ131" s="274"/>
      <c r="AS131" s="273"/>
      <c r="AT131" s="3"/>
      <c r="AU131" s="3"/>
      <c r="AV131" s="274"/>
      <c r="AX131" s="273"/>
      <c r="AY131" s="3"/>
      <c r="AZ131" s="3"/>
      <c r="BA131" s="274"/>
      <c r="BC131" s="273"/>
      <c r="BD131" s="3"/>
      <c r="BE131" s="3"/>
      <c r="BF131" s="274"/>
      <c r="BH131" s="273"/>
      <c r="BI131" s="3"/>
      <c r="BJ131" s="3"/>
      <c r="BK131" s="274"/>
      <c r="BM131" s="273"/>
      <c r="BN131" s="3"/>
      <c r="BO131" s="3"/>
      <c r="BP131" s="274"/>
    </row>
    <row r="132" spans="5:68" s="1" customFormat="1">
      <c r="E132" s="273"/>
      <c r="F132" s="3"/>
      <c r="G132" s="3"/>
      <c r="H132" s="274"/>
      <c r="J132" s="273"/>
      <c r="K132" s="3"/>
      <c r="L132" s="3"/>
      <c r="M132" s="274"/>
      <c r="O132" s="273"/>
      <c r="P132" s="3"/>
      <c r="Q132" s="3"/>
      <c r="R132" s="274"/>
      <c r="T132" s="273"/>
      <c r="U132" s="3"/>
      <c r="V132" s="3"/>
      <c r="W132" s="274"/>
      <c r="Y132" s="273"/>
      <c r="Z132" s="3"/>
      <c r="AA132" s="3"/>
      <c r="AB132" s="274"/>
      <c r="AD132" s="273"/>
      <c r="AE132" s="3"/>
      <c r="AF132" s="3"/>
      <c r="AG132" s="274"/>
      <c r="AI132" s="273"/>
      <c r="AJ132" s="3"/>
      <c r="AK132" s="3"/>
      <c r="AL132" s="274"/>
      <c r="AN132" s="273"/>
      <c r="AO132" s="3"/>
      <c r="AP132" s="3"/>
      <c r="AQ132" s="274"/>
      <c r="AS132" s="273"/>
      <c r="AT132" s="3"/>
      <c r="AU132" s="3"/>
      <c r="AV132" s="274"/>
      <c r="AX132" s="273"/>
      <c r="AY132" s="3"/>
      <c r="AZ132" s="3"/>
      <c r="BA132" s="274"/>
      <c r="BC132" s="273"/>
      <c r="BD132" s="3"/>
      <c r="BE132" s="3"/>
      <c r="BF132" s="274"/>
      <c r="BH132" s="273"/>
      <c r="BI132" s="3"/>
      <c r="BJ132" s="3"/>
      <c r="BK132" s="274"/>
      <c r="BM132" s="273"/>
      <c r="BN132" s="3"/>
      <c r="BO132" s="3"/>
      <c r="BP132" s="274"/>
    </row>
    <row r="133" spans="5:68" s="1" customFormat="1">
      <c r="E133" s="273"/>
      <c r="F133" s="3"/>
      <c r="G133" s="3"/>
      <c r="H133" s="274"/>
      <c r="J133" s="273"/>
      <c r="K133" s="3"/>
      <c r="L133" s="3"/>
      <c r="M133" s="274"/>
      <c r="O133" s="273"/>
      <c r="P133" s="3"/>
      <c r="Q133" s="3"/>
      <c r="R133" s="274"/>
      <c r="T133" s="273"/>
      <c r="U133" s="3"/>
      <c r="V133" s="3"/>
      <c r="W133" s="274"/>
      <c r="Y133" s="273"/>
      <c r="Z133" s="3"/>
      <c r="AA133" s="3"/>
      <c r="AB133" s="274"/>
      <c r="AD133" s="273"/>
      <c r="AE133" s="3"/>
      <c r="AF133" s="3"/>
      <c r="AG133" s="274"/>
      <c r="AI133" s="273"/>
      <c r="AJ133" s="3"/>
      <c r="AK133" s="3"/>
      <c r="AL133" s="274"/>
      <c r="AN133" s="273"/>
      <c r="AO133" s="3"/>
      <c r="AP133" s="3"/>
      <c r="AQ133" s="274"/>
      <c r="AS133" s="273"/>
      <c r="AT133" s="3"/>
      <c r="AU133" s="3"/>
      <c r="AV133" s="274"/>
      <c r="AX133" s="273"/>
      <c r="AY133" s="3"/>
      <c r="AZ133" s="3"/>
      <c r="BA133" s="274"/>
      <c r="BC133" s="273"/>
      <c r="BD133" s="3"/>
      <c r="BE133" s="3"/>
      <c r="BF133" s="274"/>
      <c r="BH133" s="273"/>
      <c r="BI133" s="3"/>
      <c r="BJ133" s="3"/>
      <c r="BK133" s="274"/>
      <c r="BM133" s="273"/>
      <c r="BN133" s="3"/>
      <c r="BO133" s="3"/>
      <c r="BP133" s="274"/>
    </row>
    <row r="134" spans="5:68" s="1" customFormat="1">
      <c r="E134" s="273"/>
      <c r="F134" s="3"/>
      <c r="G134" s="3"/>
      <c r="H134" s="274"/>
      <c r="J134" s="273"/>
      <c r="K134" s="3"/>
      <c r="L134" s="3"/>
      <c r="M134" s="274"/>
      <c r="O134" s="273"/>
      <c r="P134" s="3"/>
      <c r="Q134" s="3"/>
      <c r="R134" s="274"/>
      <c r="T134" s="273"/>
      <c r="U134" s="3"/>
      <c r="V134" s="3"/>
      <c r="W134" s="274"/>
      <c r="Y134" s="273"/>
      <c r="Z134" s="3"/>
      <c r="AA134" s="3"/>
      <c r="AB134" s="274"/>
      <c r="AD134" s="273"/>
      <c r="AE134" s="3"/>
      <c r="AF134" s="3"/>
      <c r="AG134" s="274"/>
      <c r="AI134" s="273"/>
      <c r="AJ134" s="3"/>
      <c r="AK134" s="3"/>
      <c r="AL134" s="274"/>
      <c r="AN134" s="273"/>
      <c r="AO134" s="3"/>
      <c r="AP134" s="3"/>
      <c r="AQ134" s="274"/>
      <c r="AS134" s="273"/>
      <c r="AT134" s="3"/>
      <c r="AU134" s="3"/>
      <c r="AV134" s="274"/>
      <c r="AX134" s="273"/>
      <c r="AY134" s="3"/>
      <c r="AZ134" s="3"/>
      <c r="BA134" s="274"/>
      <c r="BC134" s="273"/>
      <c r="BD134" s="3"/>
      <c r="BE134" s="3"/>
      <c r="BF134" s="274"/>
      <c r="BH134" s="273"/>
      <c r="BI134" s="3"/>
      <c r="BJ134" s="3"/>
      <c r="BK134" s="274"/>
      <c r="BM134" s="273"/>
      <c r="BN134" s="3"/>
      <c r="BO134" s="3"/>
      <c r="BP134" s="274"/>
    </row>
    <row r="135" spans="5:68" s="1" customFormat="1">
      <c r="E135" s="273"/>
      <c r="F135" s="3"/>
      <c r="G135" s="3"/>
      <c r="H135" s="274"/>
      <c r="J135" s="273"/>
      <c r="K135" s="3"/>
      <c r="L135" s="3"/>
      <c r="M135" s="274"/>
      <c r="O135" s="273"/>
      <c r="P135" s="3"/>
      <c r="Q135" s="3"/>
      <c r="R135" s="274"/>
      <c r="T135" s="273"/>
      <c r="U135" s="3"/>
      <c r="V135" s="3"/>
      <c r="W135" s="274"/>
      <c r="Y135" s="273"/>
      <c r="Z135" s="3"/>
      <c r="AA135" s="3"/>
      <c r="AB135" s="274"/>
      <c r="AD135" s="273"/>
      <c r="AE135" s="3"/>
      <c r="AF135" s="3"/>
      <c r="AG135" s="274"/>
      <c r="AI135" s="273"/>
      <c r="AJ135" s="3"/>
      <c r="AK135" s="3"/>
      <c r="AL135" s="274"/>
      <c r="AN135" s="273"/>
      <c r="AO135" s="3"/>
      <c r="AP135" s="3"/>
      <c r="AQ135" s="274"/>
      <c r="AS135" s="273"/>
      <c r="AT135" s="3"/>
      <c r="AU135" s="3"/>
      <c r="AV135" s="274"/>
      <c r="AX135" s="273"/>
      <c r="AY135" s="3"/>
      <c r="AZ135" s="3"/>
      <c r="BA135" s="274"/>
      <c r="BC135" s="273"/>
      <c r="BD135" s="3"/>
      <c r="BE135" s="3"/>
      <c r="BF135" s="274"/>
      <c r="BH135" s="273"/>
      <c r="BI135" s="3"/>
      <c r="BJ135" s="3"/>
      <c r="BK135" s="274"/>
      <c r="BM135" s="273"/>
      <c r="BN135" s="3"/>
      <c r="BO135" s="3"/>
      <c r="BP135" s="274"/>
    </row>
    <row r="136" spans="5:68" s="1" customFormat="1">
      <c r="E136" s="273"/>
      <c r="F136" s="3"/>
      <c r="G136" s="3"/>
      <c r="H136" s="274"/>
      <c r="J136" s="273"/>
      <c r="K136" s="3"/>
      <c r="L136" s="3"/>
      <c r="M136" s="274"/>
      <c r="O136" s="273"/>
      <c r="P136" s="3"/>
      <c r="Q136" s="3"/>
      <c r="R136" s="274"/>
      <c r="T136" s="273"/>
      <c r="U136" s="3"/>
      <c r="V136" s="3"/>
      <c r="W136" s="274"/>
      <c r="Y136" s="273"/>
      <c r="Z136" s="3"/>
      <c r="AA136" s="3"/>
      <c r="AB136" s="274"/>
      <c r="AD136" s="273"/>
      <c r="AE136" s="3"/>
      <c r="AF136" s="3"/>
      <c r="AG136" s="274"/>
      <c r="AI136" s="273"/>
      <c r="AJ136" s="3"/>
      <c r="AK136" s="3"/>
      <c r="AL136" s="274"/>
      <c r="AN136" s="273"/>
      <c r="AO136" s="3"/>
      <c r="AP136" s="3"/>
      <c r="AQ136" s="274"/>
      <c r="AS136" s="273"/>
      <c r="AT136" s="3"/>
      <c r="AU136" s="3"/>
      <c r="AV136" s="274"/>
      <c r="AX136" s="273"/>
      <c r="AY136" s="3"/>
      <c r="AZ136" s="3"/>
      <c r="BA136" s="274"/>
      <c r="BC136" s="273"/>
      <c r="BD136" s="3"/>
      <c r="BE136" s="3"/>
      <c r="BF136" s="274"/>
      <c r="BH136" s="273"/>
      <c r="BI136" s="3"/>
      <c r="BJ136" s="3"/>
      <c r="BK136" s="274"/>
      <c r="BM136" s="273"/>
      <c r="BN136" s="3"/>
      <c r="BO136" s="3"/>
      <c r="BP136" s="274"/>
    </row>
    <row r="137" spans="5:68" s="1" customFormat="1">
      <c r="E137" s="273"/>
      <c r="F137" s="3"/>
      <c r="G137" s="3"/>
      <c r="H137" s="274"/>
      <c r="J137" s="273"/>
      <c r="K137" s="3"/>
      <c r="L137" s="3"/>
      <c r="M137" s="274"/>
      <c r="O137" s="273"/>
      <c r="P137" s="3"/>
      <c r="Q137" s="3"/>
      <c r="R137" s="274"/>
      <c r="T137" s="273"/>
      <c r="U137" s="3"/>
      <c r="V137" s="3"/>
      <c r="W137" s="274"/>
      <c r="Y137" s="273"/>
      <c r="Z137" s="3"/>
      <c r="AA137" s="3"/>
      <c r="AB137" s="274"/>
      <c r="AD137" s="273"/>
      <c r="AE137" s="3"/>
      <c r="AF137" s="3"/>
      <c r="AG137" s="274"/>
      <c r="AI137" s="273"/>
      <c r="AJ137" s="3"/>
      <c r="AK137" s="3"/>
      <c r="AL137" s="274"/>
      <c r="AN137" s="273"/>
      <c r="AO137" s="3"/>
      <c r="AP137" s="3"/>
      <c r="AQ137" s="274"/>
      <c r="AS137" s="273"/>
      <c r="AT137" s="3"/>
      <c r="AU137" s="3"/>
      <c r="AV137" s="274"/>
      <c r="AX137" s="273"/>
      <c r="AY137" s="3"/>
      <c r="AZ137" s="3"/>
      <c r="BA137" s="274"/>
      <c r="BC137" s="273"/>
      <c r="BD137" s="3"/>
      <c r="BE137" s="3"/>
      <c r="BF137" s="274"/>
      <c r="BH137" s="273"/>
      <c r="BI137" s="3"/>
      <c r="BJ137" s="3"/>
      <c r="BK137" s="274"/>
      <c r="BM137" s="273"/>
      <c r="BN137" s="3"/>
      <c r="BO137" s="3"/>
      <c r="BP137" s="274"/>
    </row>
    <row r="138" spans="5:68" s="1" customFormat="1">
      <c r="E138" s="273"/>
      <c r="F138" s="3"/>
      <c r="G138" s="3"/>
      <c r="H138" s="274"/>
      <c r="J138" s="273"/>
      <c r="K138" s="3"/>
      <c r="L138" s="3"/>
      <c r="M138" s="274"/>
      <c r="O138" s="273"/>
      <c r="P138" s="3"/>
      <c r="Q138" s="3"/>
      <c r="R138" s="274"/>
      <c r="T138" s="273"/>
      <c r="U138" s="3"/>
      <c r="V138" s="3"/>
      <c r="W138" s="274"/>
      <c r="Y138" s="273"/>
      <c r="Z138" s="3"/>
      <c r="AA138" s="3"/>
      <c r="AB138" s="274"/>
      <c r="AD138" s="273"/>
      <c r="AE138" s="3"/>
      <c r="AF138" s="3"/>
      <c r="AG138" s="274"/>
      <c r="AI138" s="273"/>
      <c r="AJ138" s="3"/>
      <c r="AK138" s="3"/>
      <c r="AL138" s="274"/>
      <c r="AN138" s="273"/>
      <c r="AO138" s="3"/>
      <c r="AP138" s="3"/>
      <c r="AQ138" s="274"/>
      <c r="AS138" s="273"/>
      <c r="AT138" s="3"/>
      <c r="AU138" s="3"/>
      <c r="AV138" s="274"/>
      <c r="AX138" s="273"/>
      <c r="AY138" s="3"/>
      <c r="AZ138" s="3"/>
      <c r="BA138" s="274"/>
      <c r="BC138" s="273"/>
      <c r="BD138" s="3"/>
      <c r="BE138" s="3"/>
      <c r="BF138" s="274"/>
      <c r="BH138" s="273"/>
      <c r="BI138" s="3"/>
      <c r="BJ138" s="3"/>
      <c r="BK138" s="274"/>
      <c r="BM138" s="273"/>
      <c r="BN138" s="3"/>
      <c r="BO138" s="3"/>
      <c r="BP138" s="274"/>
    </row>
    <row r="139" spans="5:68" s="1" customFormat="1">
      <c r="E139" s="273"/>
      <c r="F139" s="3"/>
      <c r="G139" s="3"/>
      <c r="H139" s="274"/>
      <c r="J139" s="273"/>
      <c r="K139" s="3"/>
      <c r="L139" s="3"/>
      <c r="M139" s="274"/>
      <c r="O139" s="273"/>
      <c r="P139" s="3"/>
      <c r="Q139" s="3"/>
      <c r="R139" s="274"/>
      <c r="T139" s="273"/>
      <c r="U139" s="3"/>
      <c r="V139" s="3"/>
      <c r="W139" s="274"/>
      <c r="Y139" s="273"/>
      <c r="Z139" s="3"/>
      <c r="AA139" s="3"/>
      <c r="AB139" s="274"/>
      <c r="AD139" s="273"/>
      <c r="AE139" s="3"/>
      <c r="AF139" s="3"/>
      <c r="AG139" s="274"/>
      <c r="AI139" s="273"/>
      <c r="AJ139" s="3"/>
      <c r="AK139" s="3"/>
      <c r="AL139" s="274"/>
      <c r="AN139" s="273"/>
      <c r="AO139" s="3"/>
      <c r="AP139" s="3"/>
      <c r="AQ139" s="274"/>
      <c r="AS139" s="273"/>
      <c r="AT139" s="3"/>
      <c r="AU139" s="3"/>
      <c r="AV139" s="274"/>
      <c r="AX139" s="273"/>
      <c r="AY139" s="3"/>
      <c r="AZ139" s="3"/>
      <c r="BA139" s="274"/>
      <c r="BC139" s="273"/>
      <c r="BD139" s="3"/>
      <c r="BE139" s="3"/>
      <c r="BF139" s="274"/>
      <c r="BH139" s="273"/>
      <c r="BI139" s="3"/>
      <c r="BJ139" s="3"/>
      <c r="BK139" s="274"/>
      <c r="BM139" s="273"/>
      <c r="BN139" s="3"/>
      <c r="BO139" s="3"/>
      <c r="BP139" s="274"/>
    </row>
    <row r="140" spans="5:68" s="1" customFormat="1">
      <c r="E140" s="273"/>
      <c r="F140" s="3"/>
      <c r="G140" s="3"/>
      <c r="H140" s="274"/>
      <c r="J140" s="273"/>
      <c r="K140" s="3"/>
      <c r="L140" s="3"/>
      <c r="M140" s="274"/>
      <c r="O140" s="273"/>
      <c r="P140" s="3"/>
      <c r="Q140" s="3"/>
      <c r="R140" s="274"/>
      <c r="T140" s="273"/>
      <c r="U140" s="3"/>
      <c r="V140" s="3"/>
      <c r="W140" s="274"/>
      <c r="Y140" s="273"/>
      <c r="Z140" s="3"/>
      <c r="AA140" s="3"/>
      <c r="AB140" s="274"/>
      <c r="AD140" s="273"/>
      <c r="AE140" s="3"/>
      <c r="AF140" s="3"/>
      <c r="AG140" s="274"/>
      <c r="AI140" s="273"/>
      <c r="AJ140" s="3"/>
      <c r="AK140" s="3"/>
      <c r="AL140" s="274"/>
      <c r="AN140" s="273"/>
      <c r="AO140" s="3"/>
      <c r="AP140" s="3"/>
      <c r="AQ140" s="274"/>
      <c r="AS140" s="273"/>
      <c r="AT140" s="3"/>
      <c r="AU140" s="3"/>
      <c r="AV140" s="274"/>
      <c r="AX140" s="273"/>
      <c r="AY140" s="3"/>
      <c r="AZ140" s="3"/>
      <c r="BA140" s="274"/>
      <c r="BC140" s="273"/>
      <c r="BD140" s="3"/>
      <c r="BE140" s="3"/>
      <c r="BF140" s="274"/>
      <c r="BH140" s="273"/>
      <c r="BI140" s="3"/>
      <c r="BJ140" s="3"/>
      <c r="BK140" s="274"/>
      <c r="BM140" s="273"/>
      <c r="BN140" s="3"/>
      <c r="BO140" s="3"/>
      <c r="BP140" s="274"/>
    </row>
    <row r="141" spans="5:68" s="1" customFormat="1">
      <c r="E141" s="273"/>
      <c r="F141" s="3"/>
      <c r="G141" s="3"/>
      <c r="H141" s="274"/>
      <c r="J141" s="273"/>
      <c r="K141" s="3"/>
      <c r="L141" s="3"/>
      <c r="M141" s="274"/>
      <c r="O141" s="273"/>
      <c r="P141" s="3"/>
      <c r="Q141" s="3"/>
      <c r="R141" s="274"/>
      <c r="T141" s="273"/>
      <c r="U141" s="3"/>
      <c r="V141" s="3"/>
      <c r="W141" s="274"/>
      <c r="Y141" s="273"/>
      <c r="Z141" s="3"/>
      <c r="AA141" s="3"/>
      <c r="AB141" s="274"/>
      <c r="AD141" s="273"/>
      <c r="AE141" s="3"/>
      <c r="AF141" s="3"/>
      <c r="AG141" s="274"/>
      <c r="AI141" s="273"/>
      <c r="AJ141" s="3"/>
      <c r="AK141" s="3"/>
      <c r="AL141" s="274"/>
      <c r="AN141" s="273"/>
      <c r="AO141" s="3"/>
      <c r="AP141" s="3"/>
      <c r="AQ141" s="274"/>
      <c r="AS141" s="273"/>
      <c r="AT141" s="3"/>
      <c r="AU141" s="3"/>
      <c r="AV141" s="274"/>
      <c r="AX141" s="273"/>
      <c r="AY141" s="3"/>
      <c r="AZ141" s="3"/>
      <c r="BA141" s="274"/>
      <c r="BC141" s="273"/>
      <c r="BD141" s="3"/>
      <c r="BE141" s="3"/>
      <c r="BF141" s="274"/>
      <c r="BH141" s="273"/>
      <c r="BI141" s="3"/>
      <c r="BJ141" s="3"/>
      <c r="BK141" s="274"/>
      <c r="BM141" s="273"/>
      <c r="BN141" s="3"/>
      <c r="BO141" s="3"/>
      <c r="BP141" s="274"/>
    </row>
    <row r="142" spans="5:68" s="1" customFormat="1">
      <c r="E142" s="273"/>
      <c r="F142" s="3"/>
      <c r="G142" s="3"/>
      <c r="H142" s="274"/>
      <c r="J142" s="273"/>
      <c r="K142" s="3"/>
      <c r="L142" s="3"/>
      <c r="M142" s="274"/>
      <c r="O142" s="273"/>
      <c r="P142" s="3"/>
      <c r="Q142" s="3"/>
      <c r="R142" s="274"/>
      <c r="T142" s="273"/>
      <c r="U142" s="3"/>
      <c r="V142" s="3"/>
      <c r="W142" s="274"/>
      <c r="Y142" s="273"/>
      <c r="Z142" s="3"/>
      <c r="AA142" s="3"/>
      <c r="AB142" s="274"/>
      <c r="AD142" s="273"/>
      <c r="AE142" s="3"/>
      <c r="AF142" s="3"/>
      <c r="AG142" s="274"/>
      <c r="AI142" s="273"/>
      <c r="AJ142" s="3"/>
      <c r="AK142" s="3"/>
      <c r="AL142" s="274"/>
      <c r="AN142" s="273"/>
      <c r="AO142" s="3"/>
      <c r="AP142" s="3"/>
      <c r="AQ142" s="274"/>
      <c r="AS142" s="273"/>
      <c r="AT142" s="3"/>
      <c r="AU142" s="3"/>
      <c r="AV142" s="274"/>
      <c r="AX142" s="273"/>
      <c r="AY142" s="3"/>
      <c r="AZ142" s="3"/>
      <c r="BA142" s="274"/>
      <c r="BC142" s="273"/>
      <c r="BD142" s="3"/>
      <c r="BE142" s="3"/>
      <c r="BF142" s="274"/>
      <c r="BH142" s="273"/>
      <c r="BI142" s="3"/>
      <c r="BJ142" s="3"/>
      <c r="BK142" s="274"/>
      <c r="BM142" s="273"/>
      <c r="BN142" s="3"/>
      <c r="BO142" s="3"/>
      <c r="BP142" s="274"/>
    </row>
    <row r="143" spans="5:68" s="1" customFormat="1">
      <c r="E143" s="273"/>
      <c r="F143" s="3"/>
      <c r="G143" s="3"/>
      <c r="H143" s="274"/>
      <c r="J143" s="273"/>
      <c r="K143" s="3"/>
      <c r="L143" s="3"/>
      <c r="M143" s="274"/>
      <c r="O143" s="273"/>
      <c r="P143" s="3"/>
      <c r="Q143" s="3"/>
      <c r="R143" s="274"/>
      <c r="T143" s="273"/>
      <c r="U143" s="3"/>
      <c r="V143" s="3"/>
      <c r="W143" s="274"/>
      <c r="Y143" s="273"/>
      <c r="Z143" s="3"/>
      <c r="AA143" s="3"/>
      <c r="AB143" s="274"/>
      <c r="AD143" s="273"/>
      <c r="AE143" s="3"/>
      <c r="AF143" s="3"/>
      <c r="AG143" s="274"/>
      <c r="AI143" s="273"/>
      <c r="AJ143" s="3"/>
      <c r="AK143" s="3"/>
      <c r="AL143" s="274"/>
      <c r="AN143" s="273"/>
      <c r="AO143" s="3"/>
      <c r="AP143" s="3"/>
      <c r="AQ143" s="274"/>
      <c r="AS143" s="273"/>
      <c r="AT143" s="3"/>
      <c r="AU143" s="3"/>
      <c r="AV143" s="274"/>
      <c r="AX143" s="273"/>
      <c r="AY143" s="3"/>
      <c r="AZ143" s="3"/>
      <c r="BA143" s="274"/>
      <c r="BC143" s="273"/>
      <c r="BD143" s="3"/>
      <c r="BE143" s="3"/>
      <c r="BF143" s="274"/>
      <c r="BH143" s="273"/>
      <c r="BI143" s="3"/>
      <c r="BJ143" s="3"/>
      <c r="BK143" s="274"/>
      <c r="BM143" s="273"/>
      <c r="BN143" s="3"/>
      <c r="BO143" s="3"/>
      <c r="BP143" s="274"/>
    </row>
    <row r="144" spans="5:68" s="1" customFormat="1">
      <c r="E144" s="273"/>
      <c r="F144" s="3"/>
      <c r="G144" s="3"/>
      <c r="H144" s="274"/>
      <c r="J144" s="273"/>
      <c r="K144" s="3"/>
      <c r="L144" s="3"/>
      <c r="M144" s="274"/>
      <c r="O144" s="273"/>
      <c r="P144" s="3"/>
      <c r="Q144" s="3"/>
      <c r="R144" s="274"/>
      <c r="T144" s="273"/>
      <c r="U144" s="3"/>
      <c r="V144" s="3"/>
      <c r="W144" s="274"/>
      <c r="Y144" s="273"/>
      <c r="Z144" s="3"/>
      <c r="AA144" s="3"/>
      <c r="AB144" s="274"/>
      <c r="AD144" s="273"/>
      <c r="AE144" s="3"/>
      <c r="AF144" s="3"/>
      <c r="AG144" s="274"/>
      <c r="AI144" s="273"/>
      <c r="AJ144" s="3"/>
      <c r="AK144" s="3"/>
      <c r="AL144" s="274"/>
      <c r="AN144" s="273"/>
      <c r="AO144" s="3"/>
      <c r="AP144" s="3"/>
      <c r="AQ144" s="274"/>
      <c r="AS144" s="273"/>
      <c r="AT144" s="3"/>
      <c r="AU144" s="3"/>
      <c r="AV144" s="274"/>
      <c r="AX144" s="273"/>
      <c r="AY144" s="3"/>
      <c r="AZ144" s="3"/>
      <c r="BA144" s="274"/>
      <c r="BC144" s="273"/>
      <c r="BD144" s="3"/>
      <c r="BE144" s="3"/>
      <c r="BF144" s="274"/>
      <c r="BH144" s="273"/>
      <c r="BI144" s="3"/>
      <c r="BJ144" s="3"/>
      <c r="BK144" s="274"/>
      <c r="BM144" s="273"/>
      <c r="BN144" s="3"/>
      <c r="BO144" s="3"/>
      <c r="BP144" s="274"/>
    </row>
    <row r="145" spans="5:68" s="1" customFormat="1">
      <c r="E145" s="273"/>
      <c r="F145" s="3"/>
      <c r="G145" s="3"/>
      <c r="H145" s="274"/>
      <c r="J145" s="273"/>
      <c r="K145" s="3"/>
      <c r="L145" s="3"/>
      <c r="M145" s="274"/>
      <c r="O145" s="273"/>
      <c r="P145" s="3"/>
      <c r="Q145" s="3"/>
      <c r="R145" s="274"/>
      <c r="T145" s="273"/>
      <c r="U145" s="3"/>
      <c r="V145" s="3"/>
      <c r="W145" s="274"/>
      <c r="Y145" s="273"/>
      <c r="Z145" s="3"/>
      <c r="AA145" s="3"/>
      <c r="AB145" s="274"/>
      <c r="AD145" s="273"/>
      <c r="AE145" s="3"/>
      <c r="AF145" s="3"/>
      <c r="AG145" s="274"/>
      <c r="AI145" s="273"/>
      <c r="AJ145" s="3"/>
      <c r="AK145" s="3"/>
      <c r="AL145" s="274"/>
      <c r="AN145" s="273"/>
      <c r="AO145" s="3"/>
      <c r="AP145" s="3"/>
      <c r="AQ145" s="274"/>
      <c r="AS145" s="273"/>
      <c r="AT145" s="3"/>
      <c r="AU145" s="3"/>
      <c r="AV145" s="274"/>
      <c r="AX145" s="273"/>
      <c r="AY145" s="3"/>
      <c r="AZ145" s="3"/>
      <c r="BA145" s="274"/>
      <c r="BC145" s="273"/>
      <c r="BD145" s="3"/>
      <c r="BE145" s="3"/>
      <c r="BF145" s="274"/>
      <c r="BH145" s="273"/>
      <c r="BI145" s="3"/>
      <c r="BJ145" s="3"/>
      <c r="BK145" s="274"/>
      <c r="BM145" s="273"/>
      <c r="BN145" s="3"/>
      <c r="BO145" s="3"/>
      <c r="BP145" s="274"/>
    </row>
    <row r="146" spans="5:68" s="1" customFormat="1">
      <c r="E146" s="273"/>
      <c r="F146" s="3"/>
      <c r="G146" s="3"/>
      <c r="H146" s="274"/>
      <c r="J146" s="273"/>
      <c r="K146" s="3"/>
      <c r="L146" s="3"/>
      <c r="M146" s="274"/>
      <c r="O146" s="273"/>
      <c r="P146" s="3"/>
      <c r="Q146" s="3"/>
      <c r="R146" s="274"/>
      <c r="T146" s="273"/>
      <c r="U146" s="3"/>
      <c r="V146" s="3"/>
      <c r="W146" s="274"/>
      <c r="Y146" s="273"/>
      <c r="Z146" s="3"/>
      <c r="AA146" s="3"/>
      <c r="AB146" s="274"/>
      <c r="AD146" s="273"/>
      <c r="AE146" s="3"/>
      <c r="AF146" s="3"/>
      <c r="AG146" s="274"/>
      <c r="AI146" s="273"/>
      <c r="AJ146" s="3"/>
      <c r="AK146" s="3"/>
      <c r="AL146" s="274"/>
      <c r="AN146" s="273"/>
      <c r="AO146" s="3"/>
      <c r="AP146" s="3"/>
      <c r="AQ146" s="274"/>
      <c r="AS146" s="273"/>
      <c r="AT146" s="3"/>
      <c r="AU146" s="3"/>
      <c r="AV146" s="274"/>
      <c r="AX146" s="273"/>
      <c r="AY146" s="3"/>
      <c r="AZ146" s="3"/>
      <c r="BA146" s="274"/>
      <c r="BC146" s="273"/>
      <c r="BD146" s="3"/>
      <c r="BE146" s="3"/>
      <c r="BF146" s="274"/>
      <c r="BH146" s="273"/>
      <c r="BI146" s="3"/>
      <c r="BJ146" s="3"/>
      <c r="BK146" s="274"/>
      <c r="BM146" s="273"/>
      <c r="BN146" s="3"/>
      <c r="BO146" s="3"/>
      <c r="BP146" s="274"/>
    </row>
    <row r="147" spans="5:68" s="1" customFormat="1">
      <c r="E147" s="273"/>
      <c r="F147" s="3"/>
      <c r="G147" s="3"/>
      <c r="H147" s="274"/>
      <c r="J147" s="273"/>
      <c r="K147" s="3"/>
      <c r="L147" s="3"/>
      <c r="M147" s="274"/>
      <c r="O147" s="273"/>
      <c r="P147" s="3"/>
      <c r="Q147" s="3"/>
      <c r="R147" s="274"/>
      <c r="T147" s="273"/>
      <c r="U147" s="3"/>
      <c r="V147" s="3"/>
      <c r="W147" s="274"/>
      <c r="Y147" s="273"/>
      <c r="Z147" s="3"/>
      <c r="AA147" s="3"/>
      <c r="AB147" s="274"/>
      <c r="AD147" s="273"/>
      <c r="AE147" s="3"/>
      <c r="AF147" s="3"/>
      <c r="AG147" s="274"/>
      <c r="AI147" s="273"/>
      <c r="AJ147" s="3"/>
      <c r="AK147" s="3"/>
      <c r="AL147" s="274"/>
      <c r="AN147" s="273"/>
      <c r="AO147" s="3"/>
      <c r="AP147" s="3"/>
      <c r="AQ147" s="274"/>
      <c r="AS147" s="273"/>
      <c r="AT147" s="3"/>
      <c r="AU147" s="3"/>
      <c r="AV147" s="274"/>
      <c r="AX147" s="273"/>
      <c r="AY147" s="3"/>
      <c r="AZ147" s="3"/>
      <c r="BA147" s="274"/>
      <c r="BC147" s="273"/>
      <c r="BD147" s="3"/>
      <c r="BE147" s="3"/>
      <c r="BF147" s="274"/>
      <c r="BH147" s="273"/>
      <c r="BI147" s="3"/>
      <c r="BJ147" s="3"/>
      <c r="BK147" s="274"/>
      <c r="BM147" s="273"/>
      <c r="BN147" s="3"/>
      <c r="BO147" s="3"/>
      <c r="BP147" s="274"/>
    </row>
    <row r="148" spans="5:68" s="1" customFormat="1">
      <c r="E148" s="273"/>
      <c r="F148" s="3"/>
      <c r="G148" s="3"/>
      <c r="H148" s="274"/>
      <c r="J148" s="273"/>
      <c r="K148" s="3"/>
      <c r="L148" s="3"/>
      <c r="M148" s="274"/>
      <c r="O148" s="273"/>
      <c r="P148" s="3"/>
      <c r="Q148" s="3"/>
      <c r="R148" s="274"/>
      <c r="T148" s="273"/>
      <c r="U148" s="3"/>
      <c r="V148" s="3"/>
      <c r="W148" s="274"/>
      <c r="Y148" s="273"/>
      <c r="Z148" s="3"/>
      <c r="AA148" s="3"/>
      <c r="AB148" s="274"/>
      <c r="AD148" s="273"/>
      <c r="AE148" s="3"/>
      <c r="AF148" s="3"/>
      <c r="AG148" s="274"/>
      <c r="AI148" s="273"/>
      <c r="AJ148" s="3"/>
      <c r="AK148" s="3"/>
      <c r="AL148" s="274"/>
      <c r="AN148" s="273"/>
      <c r="AO148" s="3"/>
      <c r="AP148" s="3"/>
      <c r="AQ148" s="274"/>
      <c r="AS148" s="273"/>
      <c r="AT148" s="3"/>
      <c r="AU148" s="3"/>
      <c r="AV148" s="274"/>
      <c r="AX148" s="273"/>
      <c r="AY148" s="3"/>
      <c r="AZ148" s="3"/>
      <c r="BA148" s="274"/>
      <c r="BC148" s="273"/>
      <c r="BD148" s="3"/>
      <c r="BE148" s="3"/>
      <c r="BF148" s="274"/>
      <c r="BH148" s="273"/>
      <c r="BI148" s="3"/>
      <c r="BJ148" s="3"/>
      <c r="BK148" s="274"/>
      <c r="BM148" s="273"/>
      <c r="BN148" s="3"/>
      <c r="BO148" s="3"/>
      <c r="BP148" s="274"/>
    </row>
    <row r="149" spans="5:68" s="1" customFormat="1">
      <c r="E149" s="273"/>
      <c r="F149" s="3"/>
      <c r="G149" s="3"/>
      <c r="H149" s="274"/>
      <c r="J149" s="273"/>
      <c r="K149" s="3"/>
      <c r="L149" s="3"/>
      <c r="M149" s="274"/>
      <c r="O149" s="273"/>
      <c r="P149" s="3"/>
      <c r="Q149" s="3"/>
      <c r="R149" s="274"/>
      <c r="T149" s="273"/>
      <c r="U149" s="3"/>
      <c r="V149" s="3"/>
      <c r="W149" s="274"/>
      <c r="Y149" s="273"/>
      <c r="Z149" s="3"/>
      <c r="AA149" s="3"/>
      <c r="AB149" s="274"/>
      <c r="AD149" s="273"/>
      <c r="AE149" s="3"/>
      <c r="AF149" s="3"/>
      <c r="AG149" s="274"/>
      <c r="AI149" s="273"/>
      <c r="AJ149" s="3"/>
      <c r="AK149" s="3"/>
      <c r="AL149" s="274"/>
      <c r="AN149" s="273"/>
      <c r="AO149" s="3"/>
      <c r="AP149" s="3"/>
      <c r="AQ149" s="274"/>
      <c r="AS149" s="273"/>
      <c r="AT149" s="3"/>
      <c r="AU149" s="3"/>
      <c r="AV149" s="274"/>
      <c r="AX149" s="273"/>
      <c r="AY149" s="3"/>
      <c r="AZ149" s="3"/>
      <c r="BA149" s="274"/>
      <c r="BC149" s="273"/>
      <c r="BD149" s="3"/>
      <c r="BE149" s="3"/>
      <c r="BF149" s="274"/>
      <c r="BH149" s="273"/>
      <c r="BI149" s="3"/>
      <c r="BJ149" s="3"/>
      <c r="BK149" s="274"/>
      <c r="BM149" s="273"/>
      <c r="BN149" s="3"/>
      <c r="BO149" s="3"/>
      <c r="BP149" s="274"/>
    </row>
    <row r="150" spans="5:68" s="1" customFormat="1">
      <c r="E150" s="273"/>
      <c r="F150" s="3"/>
      <c r="G150" s="3"/>
      <c r="H150" s="274"/>
      <c r="J150" s="273"/>
      <c r="K150" s="3"/>
      <c r="L150" s="3"/>
      <c r="M150" s="274"/>
      <c r="O150" s="273"/>
      <c r="P150" s="3"/>
      <c r="Q150" s="3"/>
      <c r="R150" s="274"/>
      <c r="T150" s="273"/>
      <c r="U150" s="3"/>
      <c r="V150" s="3"/>
      <c r="W150" s="274"/>
      <c r="Y150" s="273"/>
      <c r="Z150" s="3"/>
      <c r="AA150" s="3"/>
      <c r="AB150" s="274"/>
      <c r="AD150" s="273"/>
      <c r="AE150" s="3"/>
      <c r="AF150" s="3"/>
      <c r="AG150" s="274"/>
      <c r="AI150" s="273"/>
      <c r="AJ150" s="3"/>
      <c r="AK150" s="3"/>
      <c r="AL150" s="274"/>
      <c r="AN150" s="273"/>
      <c r="AO150" s="3"/>
      <c r="AP150" s="3"/>
      <c r="AQ150" s="274"/>
      <c r="AS150" s="273"/>
      <c r="AT150" s="3"/>
      <c r="AU150" s="3"/>
      <c r="AV150" s="274"/>
      <c r="AX150" s="273"/>
      <c r="AY150" s="3"/>
      <c r="AZ150" s="3"/>
      <c r="BA150" s="274"/>
      <c r="BC150" s="273"/>
      <c r="BD150" s="3"/>
      <c r="BE150" s="3"/>
      <c r="BF150" s="274"/>
      <c r="BH150" s="273"/>
      <c r="BI150" s="3"/>
      <c r="BJ150" s="3"/>
      <c r="BK150" s="274"/>
      <c r="BM150" s="273"/>
      <c r="BN150" s="3"/>
      <c r="BO150" s="3"/>
      <c r="BP150" s="274"/>
    </row>
    <row r="151" spans="5:68" s="1" customFormat="1">
      <c r="E151" s="273"/>
      <c r="F151" s="3"/>
      <c r="G151" s="3"/>
      <c r="H151" s="274"/>
      <c r="J151" s="273"/>
      <c r="K151" s="3"/>
      <c r="L151" s="3"/>
      <c r="M151" s="274"/>
      <c r="O151" s="273"/>
      <c r="P151" s="3"/>
      <c r="Q151" s="3"/>
      <c r="R151" s="274"/>
      <c r="T151" s="273"/>
      <c r="U151" s="3"/>
      <c r="V151" s="3"/>
      <c r="W151" s="274"/>
      <c r="Y151" s="273"/>
      <c r="Z151" s="3"/>
      <c r="AA151" s="3"/>
      <c r="AB151" s="274"/>
      <c r="AD151" s="273"/>
      <c r="AE151" s="3"/>
      <c r="AF151" s="3"/>
      <c r="AG151" s="274"/>
      <c r="AI151" s="273"/>
      <c r="AJ151" s="3"/>
      <c r="AK151" s="3"/>
      <c r="AL151" s="274"/>
      <c r="AN151" s="273"/>
      <c r="AO151" s="3"/>
      <c r="AP151" s="3"/>
      <c r="AQ151" s="274"/>
      <c r="AS151" s="273"/>
      <c r="AT151" s="3"/>
      <c r="AU151" s="3"/>
      <c r="AV151" s="274"/>
      <c r="AX151" s="273"/>
      <c r="AY151" s="3"/>
      <c r="AZ151" s="3"/>
      <c r="BA151" s="274"/>
      <c r="BC151" s="273"/>
      <c r="BD151" s="3"/>
      <c r="BE151" s="3"/>
      <c r="BF151" s="274"/>
      <c r="BH151" s="273"/>
      <c r="BI151" s="3"/>
      <c r="BJ151" s="3"/>
      <c r="BK151" s="274"/>
      <c r="BM151" s="273"/>
      <c r="BN151" s="3"/>
      <c r="BO151" s="3"/>
      <c r="BP151" s="274"/>
    </row>
    <row r="152" spans="5:68" s="1" customFormat="1">
      <c r="E152" s="273"/>
      <c r="F152" s="3"/>
      <c r="G152" s="3"/>
      <c r="H152" s="274"/>
      <c r="J152" s="273"/>
      <c r="K152" s="3"/>
      <c r="L152" s="3"/>
      <c r="M152" s="274"/>
      <c r="O152" s="273"/>
      <c r="P152" s="3"/>
      <c r="Q152" s="3"/>
      <c r="R152" s="274"/>
      <c r="T152" s="273"/>
      <c r="U152" s="3"/>
      <c r="V152" s="3"/>
      <c r="W152" s="274"/>
      <c r="Y152" s="273"/>
      <c r="Z152" s="3"/>
      <c r="AA152" s="3"/>
      <c r="AB152" s="274"/>
      <c r="AD152" s="273"/>
      <c r="AE152" s="3"/>
      <c r="AF152" s="3"/>
      <c r="AG152" s="274"/>
      <c r="AI152" s="273"/>
      <c r="AJ152" s="3"/>
      <c r="AK152" s="3"/>
      <c r="AL152" s="274"/>
      <c r="AN152" s="273"/>
      <c r="AO152" s="3"/>
      <c r="AP152" s="3"/>
      <c r="AQ152" s="274"/>
      <c r="AS152" s="273"/>
      <c r="AT152" s="3"/>
      <c r="AU152" s="3"/>
      <c r="AV152" s="274"/>
      <c r="AX152" s="273"/>
      <c r="AY152" s="3"/>
      <c r="AZ152" s="3"/>
      <c r="BA152" s="274"/>
      <c r="BC152" s="273"/>
      <c r="BD152" s="3"/>
      <c r="BE152" s="3"/>
      <c r="BF152" s="274"/>
      <c r="BH152" s="273"/>
      <c r="BI152" s="3"/>
      <c r="BJ152" s="3"/>
      <c r="BK152" s="274"/>
      <c r="BM152" s="273"/>
      <c r="BN152" s="3"/>
      <c r="BO152" s="3"/>
      <c r="BP152" s="274"/>
    </row>
    <row r="153" spans="5:68" s="1" customFormat="1">
      <c r="E153" s="273"/>
      <c r="F153" s="3"/>
      <c r="G153" s="3"/>
      <c r="H153" s="274"/>
      <c r="J153" s="273"/>
      <c r="K153" s="3"/>
      <c r="L153" s="3"/>
      <c r="M153" s="274"/>
      <c r="O153" s="273"/>
      <c r="P153" s="3"/>
      <c r="Q153" s="3"/>
      <c r="R153" s="274"/>
      <c r="T153" s="273"/>
      <c r="U153" s="3"/>
      <c r="V153" s="3"/>
      <c r="W153" s="274"/>
      <c r="Y153" s="273"/>
      <c r="Z153" s="3"/>
      <c r="AA153" s="3"/>
      <c r="AB153" s="274"/>
      <c r="AD153" s="273"/>
      <c r="AE153" s="3"/>
      <c r="AF153" s="3"/>
      <c r="AG153" s="274"/>
      <c r="AI153" s="273"/>
      <c r="AJ153" s="3"/>
      <c r="AK153" s="3"/>
      <c r="AL153" s="274"/>
      <c r="AN153" s="273"/>
      <c r="AO153" s="3"/>
      <c r="AP153" s="3"/>
      <c r="AQ153" s="274"/>
      <c r="AS153" s="273"/>
      <c r="AT153" s="3"/>
      <c r="AU153" s="3"/>
      <c r="AV153" s="274"/>
      <c r="AX153" s="273"/>
      <c r="AY153" s="3"/>
      <c r="AZ153" s="3"/>
      <c r="BA153" s="274"/>
      <c r="BC153" s="273"/>
      <c r="BD153" s="3"/>
      <c r="BE153" s="3"/>
      <c r="BF153" s="274"/>
      <c r="BH153" s="273"/>
      <c r="BI153" s="3"/>
      <c r="BJ153" s="3"/>
      <c r="BK153" s="274"/>
      <c r="BM153" s="273"/>
      <c r="BN153" s="3"/>
      <c r="BO153" s="3"/>
      <c r="BP153" s="274"/>
    </row>
    <row r="154" spans="5:68" s="1" customFormat="1">
      <c r="E154" s="273"/>
      <c r="F154" s="3"/>
      <c r="G154" s="3"/>
      <c r="H154" s="274"/>
      <c r="J154" s="273"/>
      <c r="K154" s="3"/>
      <c r="L154" s="3"/>
      <c r="M154" s="274"/>
      <c r="O154" s="273"/>
      <c r="P154" s="3"/>
      <c r="Q154" s="3"/>
      <c r="R154" s="274"/>
      <c r="T154" s="273"/>
      <c r="U154" s="3"/>
      <c r="V154" s="3"/>
      <c r="W154" s="274"/>
      <c r="Y154" s="273"/>
      <c r="Z154" s="3"/>
      <c r="AA154" s="3"/>
      <c r="AB154" s="274"/>
      <c r="AD154" s="273"/>
      <c r="AE154" s="3"/>
      <c r="AF154" s="3"/>
      <c r="AG154" s="274"/>
      <c r="AI154" s="273"/>
      <c r="AJ154" s="3"/>
      <c r="AK154" s="3"/>
      <c r="AL154" s="274"/>
      <c r="AN154" s="273"/>
      <c r="AO154" s="3"/>
      <c r="AP154" s="3"/>
      <c r="AQ154" s="274"/>
      <c r="AS154" s="273"/>
      <c r="AT154" s="3"/>
      <c r="AU154" s="3"/>
      <c r="AV154" s="274"/>
      <c r="AX154" s="273"/>
      <c r="AY154" s="3"/>
      <c r="AZ154" s="3"/>
      <c r="BA154" s="274"/>
      <c r="BC154" s="273"/>
      <c r="BD154" s="3"/>
      <c r="BE154" s="3"/>
      <c r="BF154" s="274"/>
      <c r="BH154" s="273"/>
      <c r="BI154" s="3"/>
      <c r="BJ154" s="3"/>
      <c r="BK154" s="274"/>
      <c r="BM154" s="273"/>
      <c r="BN154" s="3"/>
      <c r="BO154" s="3"/>
      <c r="BP154" s="274"/>
    </row>
    <row r="155" spans="5:68" s="1" customFormat="1">
      <c r="E155" s="273"/>
      <c r="F155" s="3"/>
      <c r="G155" s="3"/>
      <c r="H155" s="274"/>
      <c r="J155" s="273"/>
      <c r="K155" s="3"/>
      <c r="L155" s="3"/>
      <c r="M155" s="274"/>
      <c r="O155" s="273"/>
      <c r="P155" s="3"/>
      <c r="Q155" s="3"/>
      <c r="R155" s="274"/>
      <c r="T155" s="273"/>
      <c r="U155" s="3"/>
      <c r="V155" s="3"/>
      <c r="W155" s="274"/>
      <c r="Y155" s="273"/>
      <c r="Z155" s="3"/>
      <c r="AA155" s="3"/>
      <c r="AB155" s="274"/>
      <c r="AD155" s="273"/>
      <c r="AE155" s="3"/>
      <c r="AF155" s="3"/>
      <c r="AG155" s="274"/>
      <c r="AI155" s="273"/>
      <c r="AJ155" s="3"/>
      <c r="AK155" s="3"/>
      <c r="AL155" s="274"/>
      <c r="AN155" s="273"/>
      <c r="AO155" s="3"/>
      <c r="AP155" s="3"/>
      <c r="AQ155" s="274"/>
      <c r="AS155" s="273"/>
      <c r="AT155" s="3"/>
      <c r="AU155" s="3"/>
      <c r="AV155" s="274"/>
      <c r="AX155" s="273"/>
      <c r="AY155" s="3"/>
      <c r="AZ155" s="3"/>
      <c r="BA155" s="274"/>
      <c r="BC155" s="273"/>
      <c r="BD155" s="3"/>
      <c r="BE155" s="3"/>
      <c r="BF155" s="274"/>
      <c r="BH155" s="273"/>
      <c r="BI155" s="3"/>
      <c r="BJ155" s="3"/>
      <c r="BK155" s="274"/>
      <c r="BM155" s="273"/>
      <c r="BN155" s="3"/>
      <c r="BO155" s="3"/>
      <c r="BP155" s="274"/>
    </row>
    <row r="156" spans="5:68" s="1" customFormat="1">
      <c r="E156" s="273"/>
      <c r="F156" s="3"/>
      <c r="G156" s="3"/>
      <c r="H156" s="274"/>
      <c r="J156" s="273"/>
      <c r="K156" s="3"/>
      <c r="L156" s="3"/>
      <c r="M156" s="274"/>
      <c r="O156" s="273"/>
      <c r="P156" s="3"/>
      <c r="Q156" s="3"/>
      <c r="R156" s="274"/>
      <c r="T156" s="273"/>
      <c r="U156" s="3"/>
      <c r="V156" s="3"/>
      <c r="W156" s="274"/>
      <c r="Y156" s="273"/>
      <c r="Z156" s="3"/>
      <c r="AA156" s="3"/>
      <c r="AB156" s="274"/>
      <c r="AD156" s="273"/>
      <c r="AE156" s="3"/>
      <c r="AF156" s="3"/>
      <c r="AG156" s="274"/>
      <c r="AI156" s="273"/>
      <c r="AJ156" s="3"/>
      <c r="AK156" s="3"/>
      <c r="AL156" s="274"/>
      <c r="AN156" s="273"/>
      <c r="AO156" s="3"/>
      <c r="AP156" s="3"/>
      <c r="AQ156" s="274"/>
      <c r="AS156" s="273"/>
      <c r="AT156" s="3"/>
      <c r="AU156" s="3"/>
      <c r="AV156" s="274"/>
      <c r="AX156" s="273"/>
      <c r="AY156" s="3"/>
      <c r="AZ156" s="3"/>
      <c r="BA156" s="274"/>
      <c r="BC156" s="273"/>
      <c r="BD156" s="3"/>
      <c r="BE156" s="3"/>
      <c r="BF156" s="274"/>
      <c r="BH156" s="273"/>
      <c r="BI156" s="3"/>
      <c r="BJ156" s="3"/>
      <c r="BK156" s="274"/>
      <c r="BM156" s="273"/>
      <c r="BN156" s="3"/>
      <c r="BO156" s="3"/>
      <c r="BP156" s="274"/>
    </row>
    <row r="157" spans="5:68" s="1" customFormat="1">
      <c r="E157" s="273"/>
      <c r="F157" s="3"/>
      <c r="G157" s="3"/>
      <c r="H157" s="274"/>
      <c r="J157" s="273"/>
      <c r="K157" s="3"/>
      <c r="L157" s="3"/>
      <c r="M157" s="274"/>
      <c r="O157" s="273"/>
      <c r="P157" s="3"/>
      <c r="Q157" s="3"/>
      <c r="R157" s="274"/>
      <c r="T157" s="273"/>
      <c r="U157" s="3"/>
      <c r="V157" s="3"/>
      <c r="W157" s="274"/>
      <c r="Y157" s="273"/>
      <c r="Z157" s="3"/>
      <c r="AA157" s="3"/>
      <c r="AB157" s="274"/>
      <c r="AD157" s="273"/>
      <c r="AE157" s="3"/>
      <c r="AF157" s="3"/>
      <c r="AG157" s="274"/>
      <c r="AI157" s="273"/>
      <c r="AJ157" s="3"/>
      <c r="AK157" s="3"/>
      <c r="AL157" s="274"/>
      <c r="AN157" s="273"/>
      <c r="AO157" s="3"/>
      <c r="AP157" s="3"/>
      <c r="AQ157" s="274"/>
      <c r="AS157" s="273"/>
      <c r="AT157" s="3"/>
      <c r="AU157" s="3"/>
      <c r="AV157" s="274"/>
      <c r="AX157" s="273"/>
      <c r="AY157" s="3"/>
      <c r="AZ157" s="3"/>
      <c r="BA157" s="274"/>
      <c r="BC157" s="273"/>
      <c r="BD157" s="3"/>
      <c r="BE157" s="3"/>
      <c r="BF157" s="274"/>
      <c r="BH157" s="273"/>
      <c r="BI157" s="3"/>
      <c r="BJ157" s="3"/>
      <c r="BK157" s="274"/>
      <c r="BM157" s="273"/>
      <c r="BN157" s="3"/>
      <c r="BO157" s="3"/>
      <c r="BP157" s="274"/>
    </row>
    <row r="158" spans="5:68" s="1" customFormat="1">
      <c r="E158" s="273"/>
      <c r="F158" s="3"/>
      <c r="G158" s="3"/>
      <c r="H158" s="274"/>
      <c r="J158" s="273"/>
      <c r="K158" s="3"/>
      <c r="L158" s="3"/>
      <c r="M158" s="274"/>
      <c r="O158" s="273"/>
      <c r="P158" s="3"/>
      <c r="Q158" s="3"/>
      <c r="R158" s="274"/>
      <c r="T158" s="273"/>
      <c r="U158" s="3"/>
      <c r="V158" s="3"/>
      <c r="W158" s="274"/>
      <c r="Y158" s="273"/>
      <c r="Z158" s="3"/>
      <c r="AA158" s="3"/>
      <c r="AB158" s="274"/>
      <c r="AD158" s="273"/>
      <c r="AE158" s="3"/>
      <c r="AF158" s="3"/>
      <c r="AG158" s="274"/>
      <c r="AI158" s="273"/>
      <c r="AJ158" s="3"/>
      <c r="AK158" s="3"/>
      <c r="AL158" s="274"/>
      <c r="AN158" s="273"/>
      <c r="AO158" s="3"/>
      <c r="AP158" s="3"/>
      <c r="AQ158" s="274"/>
      <c r="AS158" s="273"/>
      <c r="AT158" s="3"/>
      <c r="AU158" s="3"/>
      <c r="AV158" s="274"/>
      <c r="AX158" s="273"/>
      <c r="AY158" s="3"/>
      <c r="AZ158" s="3"/>
      <c r="BA158" s="274"/>
      <c r="BC158" s="273"/>
      <c r="BD158" s="3"/>
      <c r="BE158" s="3"/>
      <c r="BF158" s="274"/>
      <c r="BH158" s="273"/>
      <c r="BI158" s="3"/>
      <c r="BJ158" s="3"/>
      <c r="BK158" s="274"/>
      <c r="BM158" s="273"/>
      <c r="BN158" s="3"/>
      <c r="BO158" s="3"/>
      <c r="BP158" s="274"/>
    </row>
    <row r="159" spans="5:68" s="1" customFormat="1">
      <c r="E159" s="273"/>
      <c r="F159" s="3"/>
      <c r="G159" s="3"/>
      <c r="H159" s="274"/>
      <c r="J159" s="273"/>
      <c r="K159" s="3"/>
      <c r="L159" s="3"/>
      <c r="M159" s="274"/>
      <c r="O159" s="273"/>
      <c r="P159" s="3"/>
      <c r="Q159" s="3"/>
      <c r="R159" s="274"/>
      <c r="T159" s="273"/>
      <c r="U159" s="3"/>
      <c r="V159" s="3"/>
      <c r="W159" s="274"/>
      <c r="Y159" s="273"/>
      <c r="Z159" s="3"/>
      <c r="AA159" s="3"/>
      <c r="AB159" s="274"/>
      <c r="AD159" s="273"/>
      <c r="AE159" s="3"/>
      <c r="AF159" s="3"/>
      <c r="AG159" s="274"/>
      <c r="AI159" s="273"/>
      <c r="AJ159" s="3"/>
      <c r="AK159" s="3"/>
      <c r="AL159" s="274"/>
      <c r="AN159" s="273"/>
      <c r="AO159" s="3"/>
      <c r="AP159" s="3"/>
      <c r="AQ159" s="274"/>
      <c r="AS159" s="273"/>
      <c r="AT159" s="3"/>
      <c r="AU159" s="3"/>
      <c r="AV159" s="274"/>
      <c r="AX159" s="273"/>
      <c r="AY159" s="3"/>
      <c r="AZ159" s="3"/>
      <c r="BA159" s="274"/>
      <c r="BC159" s="273"/>
      <c r="BD159" s="3"/>
      <c r="BE159" s="3"/>
      <c r="BF159" s="274"/>
      <c r="BH159" s="273"/>
      <c r="BI159" s="3"/>
      <c r="BJ159" s="3"/>
      <c r="BK159" s="274"/>
      <c r="BM159" s="273"/>
      <c r="BN159" s="3"/>
      <c r="BO159" s="3"/>
      <c r="BP159" s="274"/>
    </row>
    <row r="160" spans="5:68" s="1" customFormat="1">
      <c r="E160" s="273"/>
      <c r="F160" s="3"/>
      <c r="G160" s="3"/>
      <c r="H160" s="274"/>
      <c r="J160" s="273"/>
      <c r="K160" s="3"/>
      <c r="L160" s="3"/>
      <c r="M160" s="274"/>
      <c r="O160" s="273"/>
      <c r="P160" s="3"/>
      <c r="Q160" s="3"/>
      <c r="R160" s="274"/>
      <c r="T160" s="273"/>
      <c r="U160" s="3"/>
      <c r="V160" s="3"/>
      <c r="W160" s="274"/>
      <c r="Y160" s="273"/>
      <c r="Z160" s="3"/>
      <c r="AA160" s="3"/>
      <c r="AB160" s="274"/>
      <c r="AD160" s="273"/>
      <c r="AE160" s="3"/>
      <c r="AF160" s="3"/>
      <c r="AG160" s="274"/>
      <c r="AI160" s="273"/>
      <c r="AJ160" s="3"/>
      <c r="AK160" s="3"/>
      <c r="AL160" s="274"/>
      <c r="AN160" s="273"/>
      <c r="AO160" s="3"/>
      <c r="AP160" s="3"/>
      <c r="AQ160" s="274"/>
      <c r="AS160" s="273"/>
      <c r="AT160" s="3"/>
      <c r="AU160" s="3"/>
      <c r="AV160" s="274"/>
      <c r="AX160" s="273"/>
      <c r="AY160" s="3"/>
      <c r="AZ160" s="3"/>
      <c r="BA160" s="274"/>
      <c r="BC160" s="273"/>
      <c r="BD160" s="3"/>
      <c r="BE160" s="3"/>
      <c r="BF160" s="274"/>
      <c r="BH160" s="273"/>
      <c r="BI160" s="3"/>
      <c r="BJ160" s="3"/>
      <c r="BK160" s="274"/>
      <c r="BM160" s="273"/>
      <c r="BN160" s="3"/>
      <c r="BO160" s="3"/>
      <c r="BP160" s="274"/>
    </row>
    <row r="161" spans="5:68" s="1" customFormat="1">
      <c r="E161" s="273"/>
      <c r="F161" s="3"/>
      <c r="G161" s="3"/>
      <c r="H161" s="274"/>
      <c r="J161" s="273"/>
      <c r="K161" s="3"/>
      <c r="L161" s="3"/>
      <c r="M161" s="274"/>
      <c r="O161" s="273"/>
      <c r="P161" s="3"/>
      <c r="Q161" s="3"/>
      <c r="R161" s="274"/>
      <c r="T161" s="273"/>
      <c r="U161" s="3"/>
      <c r="V161" s="3"/>
      <c r="W161" s="274"/>
      <c r="Y161" s="273"/>
      <c r="Z161" s="3"/>
      <c r="AA161" s="3"/>
      <c r="AB161" s="274"/>
      <c r="AD161" s="273"/>
      <c r="AE161" s="3"/>
      <c r="AF161" s="3"/>
      <c r="AG161" s="274"/>
      <c r="AI161" s="273"/>
      <c r="AJ161" s="3"/>
      <c r="AK161" s="3"/>
      <c r="AL161" s="274"/>
      <c r="AN161" s="273"/>
      <c r="AO161" s="3"/>
      <c r="AP161" s="3"/>
      <c r="AQ161" s="274"/>
      <c r="AS161" s="273"/>
      <c r="AT161" s="3"/>
      <c r="AU161" s="3"/>
      <c r="AV161" s="274"/>
      <c r="AX161" s="273"/>
      <c r="AY161" s="3"/>
      <c r="AZ161" s="3"/>
      <c r="BA161" s="274"/>
      <c r="BC161" s="273"/>
      <c r="BD161" s="3"/>
      <c r="BE161" s="3"/>
      <c r="BF161" s="274"/>
      <c r="BH161" s="273"/>
      <c r="BI161" s="3"/>
      <c r="BJ161" s="3"/>
      <c r="BK161" s="274"/>
      <c r="BM161" s="273"/>
      <c r="BN161" s="3"/>
      <c r="BO161" s="3"/>
      <c r="BP161" s="274"/>
    </row>
    <row r="162" spans="5:68" s="1" customFormat="1">
      <c r="E162" s="273"/>
      <c r="F162" s="3"/>
      <c r="G162" s="3"/>
      <c r="H162" s="274"/>
      <c r="J162" s="273"/>
      <c r="K162" s="3"/>
      <c r="L162" s="3"/>
      <c r="M162" s="274"/>
      <c r="O162" s="273"/>
      <c r="P162" s="3"/>
      <c r="Q162" s="3"/>
      <c r="R162" s="274"/>
      <c r="T162" s="273"/>
      <c r="U162" s="3"/>
      <c r="V162" s="3"/>
      <c r="W162" s="274"/>
      <c r="Y162" s="273"/>
      <c r="Z162" s="3"/>
      <c r="AA162" s="3"/>
      <c r="AB162" s="274"/>
      <c r="AD162" s="273"/>
      <c r="AE162" s="3"/>
      <c r="AF162" s="3"/>
      <c r="AG162" s="274"/>
      <c r="AI162" s="273"/>
      <c r="AJ162" s="3"/>
      <c r="AK162" s="3"/>
      <c r="AL162" s="274"/>
      <c r="AN162" s="273"/>
      <c r="AO162" s="3"/>
      <c r="AP162" s="3"/>
      <c r="AQ162" s="274"/>
      <c r="AS162" s="273"/>
      <c r="AT162" s="3"/>
      <c r="AU162" s="3"/>
      <c r="AV162" s="274"/>
      <c r="AX162" s="273"/>
      <c r="AY162" s="3"/>
      <c r="AZ162" s="3"/>
      <c r="BA162" s="274"/>
      <c r="BC162" s="273"/>
      <c r="BD162" s="3"/>
      <c r="BE162" s="3"/>
      <c r="BF162" s="274"/>
      <c r="BH162" s="273"/>
      <c r="BI162" s="3"/>
      <c r="BJ162" s="3"/>
      <c r="BK162" s="274"/>
      <c r="BM162" s="273"/>
      <c r="BN162" s="3"/>
      <c r="BO162" s="3"/>
      <c r="BP162" s="274"/>
    </row>
    <row r="163" spans="5:68" s="1" customFormat="1">
      <c r="E163" s="273"/>
      <c r="F163" s="3"/>
      <c r="G163" s="3"/>
      <c r="H163" s="274"/>
      <c r="J163" s="273"/>
      <c r="K163" s="3"/>
      <c r="L163" s="3"/>
      <c r="M163" s="274"/>
      <c r="O163" s="273"/>
      <c r="P163" s="3"/>
      <c r="Q163" s="3"/>
      <c r="R163" s="274"/>
      <c r="T163" s="273"/>
      <c r="U163" s="3"/>
      <c r="V163" s="3"/>
      <c r="W163" s="274"/>
      <c r="Y163" s="273"/>
      <c r="Z163" s="3"/>
      <c r="AA163" s="3"/>
      <c r="AB163" s="274"/>
      <c r="AD163" s="273"/>
      <c r="AE163" s="3"/>
      <c r="AF163" s="3"/>
      <c r="AG163" s="274"/>
      <c r="AI163" s="273"/>
      <c r="AJ163" s="3"/>
      <c r="AK163" s="3"/>
      <c r="AL163" s="274"/>
      <c r="AN163" s="273"/>
      <c r="AO163" s="3"/>
      <c r="AP163" s="3"/>
      <c r="AQ163" s="274"/>
      <c r="AS163" s="273"/>
      <c r="AT163" s="3"/>
      <c r="AU163" s="3"/>
      <c r="AV163" s="274"/>
      <c r="AX163" s="273"/>
      <c r="AY163" s="3"/>
      <c r="AZ163" s="3"/>
      <c r="BA163" s="274"/>
      <c r="BC163" s="273"/>
      <c r="BD163" s="3"/>
      <c r="BE163" s="3"/>
      <c r="BF163" s="274"/>
      <c r="BH163" s="273"/>
      <c r="BI163" s="3"/>
      <c r="BJ163" s="3"/>
      <c r="BK163" s="274"/>
      <c r="BM163" s="273"/>
      <c r="BN163" s="3"/>
      <c r="BO163" s="3"/>
      <c r="BP163" s="274"/>
    </row>
    <row r="164" spans="5:68" s="1" customFormat="1">
      <c r="E164" s="273"/>
      <c r="F164" s="3"/>
      <c r="G164" s="3"/>
      <c r="H164" s="274"/>
      <c r="J164" s="273"/>
      <c r="K164" s="3"/>
      <c r="L164" s="3"/>
      <c r="M164" s="274"/>
      <c r="O164" s="273"/>
      <c r="P164" s="3"/>
      <c r="Q164" s="3"/>
      <c r="R164" s="274"/>
      <c r="T164" s="273"/>
      <c r="U164" s="3"/>
      <c r="V164" s="3"/>
      <c r="W164" s="274"/>
      <c r="Y164" s="273"/>
      <c r="Z164" s="3"/>
      <c r="AA164" s="3"/>
      <c r="AB164" s="274"/>
      <c r="AD164" s="273"/>
      <c r="AE164" s="3"/>
      <c r="AF164" s="3"/>
      <c r="AG164" s="274"/>
      <c r="AI164" s="273"/>
      <c r="AJ164" s="3"/>
      <c r="AK164" s="3"/>
      <c r="AL164" s="274"/>
      <c r="AN164" s="273"/>
      <c r="AO164" s="3"/>
      <c r="AP164" s="3"/>
      <c r="AQ164" s="274"/>
      <c r="AS164" s="273"/>
      <c r="AT164" s="3"/>
      <c r="AU164" s="3"/>
      <c r="AV164" s="274"/>
      <c r="AX164" s="273"/>
      <c r="AY164" s="3"/>
      <c r="AZ164" s="3"/>
      <c r="BA164" s="274"/>
      <c r="BC164" s="273"/>
      <c r="BD164" s="3"/>
      <c r="BE164" s="3"/>
      <c r="BF164" s="274"/>
      <c r="BH164" s="273"/>
      <c r="BI164" s="3"/>
      <c r="BJ164" s="3"/>
      <c r="BK164" s="274"/>
      <c r="BM164" s="273"/>
      <c r="BN164" s="3"/>
      <c r="BO164" s="3"/>
      <c r="BP164" s="274"/>
    </row>
    <row r="165" spans="5:68" s="1" customFormat="1">
      <c r="E165" s="273"/>
      <c r="F165" s="3"/>
      <c r="G165" s="3"/>
      <c r="H165" s="274"/>
      <c r="J165" s="273"/>
      <c r="K165" s="3"/>
      <c r="L165" s="3"/>
      <c r="M165" s="274"/>
      <c r="O165" s="273"/>
      <c r="P165" s="3"/>
      <c r="Q165" s="3"/>
      <c r="R165" s="274"/>
      <c r="T165" s="273"/>
      <c r="U165" s="3"/>
      <c r="V165" s="3"/>
      <c r="W165" s="274"/>
      <c r="Y165" s="273"/>
      <c r="Z165" s="3"/>
      <c r="AA165" s="3"/>
      <c r="AB165" s="274"/>
      <c r="AD165" s="273"/>
      <c r="AE165" s="3"/>
      <c r="AF165" s="3"/>
      <c r="AG165" s="274"/>
      <c r="AI165" s="273"/>
      <c r="AJ165" s="3"/>
      <c r="AK165" s="3"/>
      <c r="AL165" s="274"/>
      <c r="AN165" s="273"/>
      <c r="AO165" s="3"/>
      <c r="AP165" s="3"/>
      <c r="AQ165" s="274"/>
      <c r="AS165" s="273"/>
      <c r="AT165" s="3"/>
      <c r="AU165" s="3"/>
      <c r="AV165" s="274"/>
      <c r="AX165" s="273"/>
      <c r="AY165" s="3"/>
      <c r="AZ165" s="3"/>
      <c r="BA165" s="274"/>
      <c r="BC165" s="273"/>
      <c r="BD165" s="3"/>
      <c r="BE165" s="3"/>
      <c r="BF165" s="274"/>
      <c r="BH165" s="273"/>
      <c r="BI165" s="3"/>
      <c r="BJ165" s="3"/>
      <c r="BK165" s="274"/>
      <c r="BM165" s="273"/>
      <c r="BN165" s="3"/>
      <c r="BO165" s="3"/>
      <c r="BP165" s="274"/>
    </row>
    <row r="166" spans="5:68" s="1" customFormat="1">
      <c r="E166" s="273"/>
      <c r="F166" s="3"/>
      <c r="G166" s="3"/>
      <c r="H166" s="274"/>
      <c r="J166" s="273"/>
      <c r="K166" s="3"/>
      <c r="L166" s="3"/>
      <c r="M166" s="274"/>
      <c r="O166" s="273"/>
      <c r="P166" s="3"/>
      <c r="Q166" s="3"/>
      <c r="R166" s="274"/>
      <c r="T166" s="273"/>
      <c r="U166" s="3"/>
      <c r="V166" s="3"/>
      <c r="W166" s="274"/>
      <c r="Y166" s="273"/>
      <c r="Z166" s="3"/>
      <c r="AA166" s="3"/>
      <c r="AB166" s="274"/>
      <c r="AD166" s="273"/>
      <c r="AE166" s="3"/>
      <c r="AF166" s="3"/>
      <c r="AG166" s="274"/>
      <c r="AI166" s="273"/>
      <c r="AJ166" s="3"/>
      <c r="AK166" s="3"/>
      <c r="AL166" s="274"/>
      <c r="AN166" s="273"/>
      <c r="AO166" s="3"/>
      <c r="AP166" s="3"/>
      <c r="AQ166" s="274"/>
      <c r="AS166" s="273"/>
      <c r="AT166" s="3"/>
      <c r="AU166" s="3"/>
      <c r="AV166" s="274"/>
      <c r="AX166" s="273"/>
      <c r="AY166" s="3"/>
      <c r="AZ166" s="3"/>
      <c r="BA166" s="274"/>
      <c r="BC166" s="273"/>
      <c r="BD166" s="3"/>
      <c r="BE166" s="3"/>
      <c r="BF166" s="274"/>
      <c r="BH166" s="273"/>
      <c r="BI166" s="3"/>
      <c r="BJ166" s="3"/>
      <c r="BK166" s="274"/>
      <c r="BM166" s="273"/>
      <c r="BN166" s="3"/>
      <c r="BO166" s="3"/>
      <c r="BP166" s="274"/>
    </row>
    <row r="167" spans="5:68" s="1" customFormat="1">
      <c r="E167" s="273"/>
      <c r="F167" s="3"/>
      <c r="G167" s="3"/>
      <c r="H167" s="274"/>
      <c r="J167" s="273"/>
      <c r="K167" s="3"/>
      <c r="L167" s="3"/>
      <c r="M167" s="274"/>
      <c r="O167" s="273"/>
      <c r="P167" s="3"/>
      <c r="Q167" s="3"/>
      <c r="R167" s="274"/>
      <c r="T167" s="273"/>
      <c r="U167" s="3"/>
      <c r="V167" s="3"/>
      <c r="W167" s="274"/>
      <c r="Y167" s="273"/>
      <c r="Z167" s="3"/>
      <c r="AA167" s="3"/>
      <c r="AB167" s="274"/>
      <c r="AD167" s="273"/>
      <c r="AE167" s="3"/>
      <c r="AF167" s="3"/>
      <c r="AG167" s="274"/>
      <c r="AI167" s="273"/>
      <c r="AJ167" s="3"/>
      <c r="AK167" s="3"/>
      <c r="AL167" s="274"/>
      <c r="AN167" s="273"/>
      <c r="AO167" s="3"/>
      <c r="AP167" s="3"/>
      <c r="AQ167" s="274"/>
      <c r="AS167" s="273"/>
      <c r="AT167" s="3"/>
      <c r="AU167" s="3"/>
      <c r="AV167" s="274"/>
      <c r="AX167" s="273"/>
      <c r="AY167" s="3"/>
      <c r="AZ167" s="3"/>
      <c r="BA167" s="274"/>
      <c r="BC167" s="273"/>
      <c r="BD167" s="3"/>
      <c r="BE167" s="3"/>
      <c r="BF167" s="274"/>
      <c r="BH167" s="273"/>
      <c r="BI167" s="3"/>
      <c r="BJ167" s="3"/>
      <c r="BK167" s="274"/>
      <c r="BM167" s="273"/>
      <c r="BN167" s="3"/>
      <c r="BO167" s="3"/>
      <c r="BP167" s="274"/>
    </row>
    <row r="168" spans="5:68" s="1" customFormat="1">
      <c r="E168" s="273"/>
      <c r="F168" s="3"/>
      <c r="G168" s="3"/>
      <c r="H168" s="274"/>
      <c r="J168" s="273"/>
      <c r="K168" s="3"/>
      <c r="L168" s="3"/>
      <c r="M168" s="274"/>
      <c r="O168" s="273"/>
      <c r="P168" s="3"/>
      <c r="Q168" s="3"/>
      <c r="R168" s="274"/>
      <c r="T168" s="273"/>
      <c r="U168" s="3"/>
      <c r="V168" s="3"/>
      <c r="W168" s="274"/>
      <c r="Y168" s="273"/>
      <c r="Z168" s="3"/>
      <c r="AA168" s="3"/>
      <c r="AB168" s="274"/>
      <c r="AD168" s="273"/>
      <c r="AE168" s="3"/>
      <c r="AF168" s="3"/>
      <c r="AG168" s="274"/>
      <c r="AI168" s="273"/>
      <c r="AJ168" s="3"/>
      <c r="AK168" s="3"/>
      <c r="AL168" s="274"/>
      <c r="AN168" s="273"/>
      <c r="AO168" s="3"/>
      <c r="AP168" s="3"/>
      <c r="AQ168" s="274"/>
      <c r="AS168" s="273"/>
      <c r="AT168" s="3"/>
      <c r="AU168" s="3"/>
      <c r="AV168" s="274"/>
      <c r="AX168" s="273"/>
      <c r="AY168" s="3"/>
      <c r="AZ168" s="3"/>
      <c r="BA168" s="274"/>
      <c r="BC168" s="273"/>
      <c r="BD168" s="3"/>
      <c r="BE168" s="3"/>
      <c r="BF168" s="274"/>
      <c r="BH168" s="273"/>
      <c r="BI168" s="3"/>
      <c r="BJ168" s="3"/>
      <c r="BK168" s="274"/>
      <c r="BM168" s="273"/>
      <c r="BN168" s="3"/>
      <c r="BO168" s="3"/>
      <c r="BP168" s="274"/>
    </row>
    <row r="169" spans="5:68" s="1" customFormat="1">
      <c r="E169" s="273"/>
      <c r="F169" s="3"/>
      <c r="G169" s="3"/>
      <c r="H169" s="274"/>
      <c r="J169" s="273"/>
      <c r="K169" s="3"/>
      <c r="L169" s="3"/>
      <c r="M169" s="274"/>
      <c r="O169" s="273"/>
      <c r="P169" s="3"/>
      <c r="Q169" s="3"/>
      <c r="R169" s="274"/>
      <c r="T169" s="273"/>
      <c r="U169" s="3"/>
      <c r="V169" s="3"/>
      <c r="W169" s="274"/>
      <c r="Y169" s="273"/>
      <c r="Z169" s="3"/>
      <c r="AA169" s="3"/>
      <c r="AB169" s="274"/>
      <c r="AD169" s="273"/>
      <c r="AE169" s="3"/>
      <c r="AF169" s="3"/>
      <c r="AG169" s="274"/>
      <c r="AI169" s="273"/>
      <c r="AJ169" s="3"/>
      <c r="AK169" s="3"/>
      <c r="AL169" s="274"/>
      <c r="AN169" s="273"/>
      <c r="AO169" s="3"/>
      <c r="AP169" s="3"/>
      <c r="AQ169" s="274"/>
      <c r="AS169" s="273"/>
      <c r="AT169" s="3"/>
      <c r="AU169" s="3"/>
      <c r="AV169" s="274"/>
      <c r="AX169" s="273"/>
      <c r="AY169" s="3"/>
      <c r="AZ169" s="3"/>
      <c r="BA169" s="274"/>
      <c r="BC169" s="273"/>
      <c r="BD169" s="3"/>
      <c r="BE169" s="3"/>
      <c r="BF169" s="274"/>
      <c r="BH169" s="273"/>
      <c r="BI169" s="3"/>
      <c r="BJ169" s="3"/>
      <c r="BK169" s="274"/>
      <c r="BM169" s="273"/>
      <c r="BN169" s="3"/>
      <c r="BO169" s="3"/>
      <c r="BP169" s="274"/>
    </row>
    <row r="170" spans="5:68" s="1" customFormat="1">
      <c r="E170" s="273"/>
      <c r="F170" s="3"/>
      <c r="G170" s="3"/>
      <c r="H170" s="274"/>
      <c r="J170" s="273"/>
      <c r="K170" s="3"/>
      <c r="L170" s="3"/>
      <c r="M170" s="274"/>
      <c r="O170" s="273"/>
      <c r="P170" s="3"/>
      <c r="Q170" s="3"/>
      <c r="R170" s="274"/>
      <c r="T170" s="273"/>
      <c r="U170" s="3"/>
      <c r="V170" s="3"/>
      <c r="W170" s="274"/>
      <c r="Y170" s="273"/>
      <c r="Z170" s="3"/>
      <c r="AA170" s="3"/>
      <c r="AB170" s="274"/>
      <c r="AD170" s="273"/>
      <c r="AE170" s="3"/>
      <c r="AF170" s="3"/>
      <c r="AG170" s="274"/>
      <c r="AI170" s="273"/>
      <c r="AJ170" s="3"/>
      <c r="AK170" s="3"/>
      <c r="AL170" s="274"/>
      <c r="AN170" s="273"/>
      <c r="AO170" s="3"/>
      <c r="AP170" s="3"/>
      <c r="AQ170" s="274"/>
      <c r="AS170" s="273"/>
      <c r="AT170" s="3"/>
      <c r="AU170" s="3"/>
      <c r="AV170" s="274"/>
      <c r="AX170" s="273"/>
      <c r="AY170" s="3"/>
      <c r="AZ170" s="3"/>
      <c r="BA170" s="274"/>
      <c r="BC170" s="273"/>
      <c r="BD170" s="3"/>
      <c r="BE170" s="3"/>
      <c r="BF170" s="274"/>
      <c r="BH170" s="273"/>
      <c r="BI170" s="3"/>
      <c r="BJ170" s="3"/>
      <c r="BK170" s="274"/>
      <c r="BM170" s="273"/>
      <c r="BN170" s="3"/>
      <c r="BO170" s="3"/>
      <c r="BP170" s="274"/>
    </row>
    <row r="171" spans="5:68" s="1" customFormat="1">
      <c r="E171" s="273"/>
      <c r="F171" s="3"/>
      <c r="G171" s="3"/>
      <c r="H171" s="274"/>
      <c r="J171" s="273"/>
      <c r="K171" s="3"/>
      <c r="L171" s="3"/>
      <c r="M171" s="274"/>
      <c r="O171" s="273"/>
      <c r="P171" s="3"/>
      <c r="Q171" s="3"/>
      <c r="R171" s="274"/>
      <c r="T171" s="273"/>
      <c r="U171" s="3"/>
      <c r="V171" s="3"/>
      <c r="W171" s="274"/>
      <c r="Y171" s="273"/>
      <c r="Z171" s="3"/>
      <c r="AA171" s="3"/>
      <c r="AB171" s="274"/>
      <c r="AD171" s="273"/>
      <c r="AE171" s="3"/>
      <c r="AF171" s="3"/>
      <c r="AG171" s="274"/>
      <c r="AI171" s="273"/>
      <c r="AJ171" s="3"/>
      <c r="AK171" s="3"/>
      <c r="AL171" s="274"/>
      <c r="AN171" s="273"/>
      <c r="AO171" s="3"/>
      <c r="AP171" s="3"/>
      <c r="AQ171" s="274"/>
      <c r="AS171" s="273"/>
      <c r="AT171" s="3"/>
      <c r="AU171" s="3"/>
      <c r="AV171" s="274"/>
      <c r="AX171" s="273"/>
      <c r="AY171" s="3"/>
      <c r="AZ171" s="3"/>
      <c r="BA171" s="274"/>
      <c r="BC171" s="273"/>
      <c r="BD171" s="3"/>
      <c r="BE171" s="3"/>
      <c r="BF171" s="274"/>
      <c r="BH171" s="273"/>
      <c r="BI171" s="3"/>
      <c r="BJ171" s="3"/>
      <c r="BK171" s="274"/>
      <c r="BM171" s="273"/>
      <c r="BN171" s="3"/>
      <c r="BO171" s="3"/>
      <c r="BP171" s="274"/>
    </row>
    <row r="172" spans="5:68" s="1" customFormat="1">
      <c r="E172" s="273"/>
      <c r="F172" s="3"/>
      <c r="G172" s="3"/>
      <c r="H172" s="274"/>
      <c r="J172" s="273"/>
      <c r="K172" s="3"/>
      <c r="L172" s="3"/>
      <c r="M172" s="274"/>
      <c r="O172" s="273"/>
      <c r="P172" s="3"/>
      <c r="Q172" s="3"/>
      <c r="R172" s="274"/>
      <c r="T172" s="273"/>
      <c r="U172" s="3"/>
      <c r="V172" s="3"/>
      <c r="W172" s="274"/>
      <c r="Y172" s="273"/>
      <c r="Z172" s="3"/>
      <c r="AA172" s="3"/>
      <c r="AB172" s="274"/>
      <c r="AD172" s="273"/>
      <c r="AE172" s="3"/>
      <c r="AF172" s="3"/>
      <c r="AG172" s="274"/>
      <c r="AI172" s="273"/>
      <c r="AJ172" s="3"/>
      <c r="AK172" s="3"/>
      <c r="AL172" s="274"/>
      <c r="AN172" s="273"/>
      <c r="AO172" s="3"/>
      <c r="AP172" s="3"/>
      <c r="AQ172" s="274"/>
      <c r="AS172" s="273"/>
      <c r="AT172" s="3"/>
      <c r="AU172" s="3"/>
      <c r="AV172" s="274"/>
      <c r="AX172" s="273"/>
      <c r="AY172" s="3"/>
      <c r="AZ172" s="3"/>
      <c r="BA172" s="274"/>
      <c r="BC172" s="273"/>
      <c r="BD172" s="3"/>
      <c r="BE172" s="3"/>
      <c r="BF172" s="274"/>
      <c r="BH172" s="273"/>
      <c r="BI172" s="3"/>
      <c r="BJ172" s="3"/>
      <c r="BK172" s="274"/>
      <c r="BM172" s="273"/>
      <c r="BN172" s="3"/>
      <c r="BO172" s="3"/>
      <c r="BP172" s="274"/>
    </row>
    <row r="173" spans="5:68" s="1" customFormat="1">
      <c r="E173" s="273"/>
      <c r="F173" s="3"/>
      <c r="G173" s="3"/>
      <c r="H173" s="274"/>
      <c r="J173" s="273"/>
      <c r="K173" s="3"/>
      <c r="L173" s="3"/>
      <c r="M173" s="274"/>
      <c r="O173" s="273"/>
      <c r="P173" s="3"/>
      <c r="Q173" s="3"/>
      <c r="R173" s="274"/>
      <c r="T173" s="273"/>
      <c r="U173" s="3"/>
      <c r="V173" s="3"/>
      <c r="W173" s="274"/>
      <c r="Y173" s="273"/>
      <c r="Z173" s="3"/>
      <c r="AA173" s="3"/>
      <c r="AB173" s="274"/>
      <c r="AD173" s="273"/>
      <c r="AE173" s="3"/>
      <c r="AF173" s="3"/>
      <c r="AG173" s="274"/>
      <c r="AI173" s="273"/>
      <c r="AJ173" s="3"/>
      <c r="AK173" s="3"/>
      <c r="AL173" s="274"/>
      <c r="AN173" s="273"/>
      <c r="AO173" s="3"/>
      <c r="AP173" s="3"/>
      <c r="AQ173" s="274"/>
      <c r="AS173" s="273"/>
      <c r="AT173" s="3"/>
      <c r="AU173" s="3"/>
      <c r="AV173" s="274"/>
      <c r="AX173" s="273"/>
      <c r="AY173" s="3"/>
      <c r="AZ173" s="3"/>
      <c r="BA173" s="274"/>
      <c r="BC173" s="273"/>
      <c r="BD173" s="3"/>
      <c r="BE173" s="3"/>
      <c r="BF173" s="274"/>
      <c r="BH173" s="273"/>
      <c r="BI173" s="3"/>
      <c r="BJ173" s="3"/>
      <c r="BK173" s="274"/>
      <c r="BM173" s="273"/>
      <c r="BN173" s="3"/>
      <c r="BO173" s="3"/>
      <c r="BP173" s="274"/>
    </row>
    <row r="174" spans="5:68" s="1" customFormat="1">
      <c r="E174" s="273"/>
      <c r="F174" s="3"/>
      <c r="G174" s="3"/>
      <c r="H174" s="274"/>
      <c r="J174" s="273"/>
      <c r="K174" s="3"/>
      <c r="L174" s="3"/>
      <c r="M174" s="274"/>
      <c r="O174" s="273"/>
      <c r="P174" s="3"/>
      <c r="Q174" s="3"/>
      <c r="R174" s="274"/>
      <c r="T174" s="273"/>
      <c r="U174" s="3"/>
      <c r="V174" s="3"/>
      <c r="W174" s="274"/>
      <c r="Y174" s="273"/>
      <c r="Z174" s="3"/>
      <c r="AA174" s="3"/>
      <c r="AB174" s="274"/>
      <c r="AD174" s="273"/>
      <c r="AE174" s="3"/>
      <c r="AF174" s="3"/>
      <c r="AG174" s="274"/>
      <c r="AI174" s="273"/>
      <c r="AJ174" s="3"/>
      <c r="AK174" s="3"/>
      <c r="AL174" s="274"/>
      <c r="AN174" s="273"/>
      <c r="AO174" s="3"/>
      <c r="AP174" s="3"/>
      <c r="AQ174" s="274"/>
      <c r="AS174" s="273"/>
      <c r="AT174" s="3"/>
      <c r="AU174" s="3"/>
      <c r="AV174" s="274"/>
      <c r="AX174" s="273"/>
      <c r="AY174" s="3"/>
      <c r="AZ174" s="3"/>
      <c r="BA174" s="274"/>
      <c r="BC174" s="273"/>
      <c r="BD174" s="3"/>
      <c r="BE174" s="3"/>
      <c r="BF174" s="274"/>
      <c r="BH174" s="273"/>
      <c r="BI174" s="3"/>
      <c r="BJ174" s="3"/>
      <c r="BK174" s="274"/>
      <c r="BM174" s="273"/>
      <c r="BN174" s="3"/>
      <c r="BO174" s="3"/>
      <c r="BP174" s="274"/>
    </row>
    <row r="175" spans="5:68" s="1" customFormat="1">
      <c r="E175" s="273"/>
      <c r="F175" s="3"/>
      <c r="G175" s="3"/>
      <c r="H175" s="274"/>
      <c r="J175" s="273"/>
      <c r="K175" s="3"/>
      <c r="L175" s="3"/>
      <c r="M175" s="274"/>
      <c r="O175" s="273"/>
      <c r="P175" s="3"/>
      <c r="Q175" s="3"/>
      <c r="R175" s="274"/>
      <c r="T175" s="273"/>
      <c r="U175" s="3"/>
      <c r="V175" s="3"/>
      <c r="W175" s="274"/>
      <c r="Y175" s="273"/>
      <c r="Z175" s="3"/>
      <c r="AA175" s="3"/>
      <c r="AB175" s="274"/>
      <c r="AD175" s="273"/>
      <c r="AE175" s="3"/>
      <c r="AF175" s="3"/>
      <c r="AG175" s="274"/>
      <c r="AI175" s="273"/>
      <c r="AJ175" s="3"/>
      <c r="AK175" s="3"/>
      <c r="AL175" s="274"/>
      <c r="AN175" s="273"/>
      <c r="AO175" s="3"/>
      <c r="AP175" s="3"/>
      <c r="AQ175" s="274"/>
      <c r="AS175" s="273"/>
      <c r="AT175" s="3"/>
      <c r="AU175" s="3"/>
      <c r="AV175" s="274"/>
      <c r="AX175" s="273"/>
      <c r="AY175" s="3"/>
      <c r="AZ175" s="3"/>
      <c r="BA175" s="274"/>
      <c r="BC175" s="273"/>
      <c r="BD175" s="3"/>
      <c r="BE175" s="3"/>
      <c r="BF175" s="274"/>
      <c r="BH175" s="273"/>
      <c r="BI175" s="3"/>
      <c r="BJ175" s="3"/>
      <c r="BK175" s="274"/>
      <c r="BM175" s="273"/>
      <c r="BN175" s="3"/>
      <c r="BO175" s="3"/>
      <c r="BP175" s="274"/>
    </row>
    <row r="176" spans="5:68" s="1" customFormat="1">
      <c r="E176" s="273"/>
      <c r="F176" s="3"/>
      <c r="G176" s="3"/>
      <c r="H176" s="274"/>
      <c r="J176" s="273"/>
      <c r="K176" s="3"/>
      <c r="L176" s="3"/>
      <c r="M176" s="274"/>
      <c r="O176" s="273"/>
      <c r="P176" s="3"/>
      <c r="Q176" s="3"/>
      <c r="R176" s="274"/>
      <c r="T176" s="273"/>
      <c r="U176" s="3"/>
      <c r="V176" s="3"/>
      <c r="W176" s="274"/>
      <c r="Y176" s="273"/>
      <c r="Z176" s="3"/>
      <c r="AA176" s="3"/>
      <c r="AB176" s="274"/>
      <c r="AD176" s="273"/>
      <c r="AE176" s="3"/>
      <c r="AF176" s="3"/>
      <c r="AG176" s="274"/>
      <c r="AI176" s="273"/>
      <c r="AJ176" s="3"/>
      <c r="AK176" s="3"/>
      <c r="AL176" s="274"/>
      <c r="AN176" s="273"/>
      <c r="AO176" s="3"/>
      <c r="AP176" s="3"/>
      <c r="AQ176" s="274"/>
      <c r="AS176" s="273"/>
      <c r="AT176" s="3"/>
      <c r="AU176" s="3"/>
      <c r="AV176" s="274"/>
      <c r="AX176" s="273"/>
      <c r="AY176" s="3"/>
      <c r="AZ176" s="3"/>
      <c r="BA176" s="274"/>
      <c r="BC176" s="273"/>
      <c r="BD176" s="3"/>
      <c r="BE176" s="3"/>
      <c r="BF176" s="274"/>
      <c r="BH176" s="273"/>
      <c r="BI176" s="3"/>
      <c r="BJ176" s="3"/>
      <c r="BK176" s="274"/>
      <c r="BM176" s="273"/>
      <c r="BN176" s="3"/>
      <c r="BO176" s="3"/>
      <c r="BP176" s="274"/>
    </row>
    <row r="177" spans="5:68" s="1" customFormat="1">
      <c r="E177" s="273"/>
      <c r="F177" s="3"/>
      <c r="G177" s="3"/>
      <c r="H177" s="274"/>
      <c r="J177" s="273"/>
      <c r="K177" s="3"/>
      <c r="L177" s="3"/>
      <c r="M177" s="274"/>
      <c r="O177" s="273"/>
      <c r="P177" s="3"/>
      <c r="Q177" s="3"/>
      <c r="R177" s="274"/>
      <c r="T177" s="273"/>
      <c r="U177" s="3"/>
      <c r="V177" s="3"/>
      <c r="W177" s="274"/>
      <c r="Y177" s="273"/>
      <c r="Z177" s="3"/>
      <c r="AA177" s="3"/>
      <c r="AB177" s="274"/>
      <c r="AD177" s="273"/>
      <c r="AE177" s="3"/>
      <c r="AF177" s="3"/>
      <c r="AG177" s="274"/>
      <c r="AI177" s="273"/>
      <c r="AJ177" s="3"/>
      <c r="AK177" s="3"/>
      <c r="AL177" s="274"/>
      <c r="AN177" s="273"/>
      <c r="AO177" s="3"/>
      <c r="AP177" s="3"/>
      <c r="AQ177" s="274"/>
      <c r="AS177" s="273"/>
      <c r="AT177" s="3"/>
      <c r="AU177" s="3"/>
      <c r="AV177" s="274"/>
      <c r="AX177" s="273"/>
      <c r="AY177" s="3"/>
      <c r="AZ177" s="3"/>
      <c r="BA177" s="274"/>
      <c r="BC177" s="273"/>
      <c r="BD177" s="3"/>
      <c r="BE177" s="3"/>
      <c r="BF177" s="274"/>
      <c r="BH177" s="273"/>
      <c r="BI177" s="3"/>
      <c r="BJ177" s="3"/>
      <c r="BK177" s="274"/>
      <c r="BM177" s="273"/>
      <c r="BN177" s="3"/>
      <c r="BO177" s="3"/>
      <c r="BP177" s="274"/>
    </row>
    <row r="178" spans="5:68" s="1" customFormat="1">
      <c r="E178" s="273"/>
      <c r="F178" s="3"/>
      <c r="G178" s="3"/>
      <c r="H178" s="274"/>
      <c r="J178" s="273"/>
      <c r="K178" s="3"/>
      <c r="L178" s="3"/>
      <c r="M178" s="274"/>
      <c r="O178" s="273"/>
      <c r="P178" s="3"/>
      <c r="Q178" s="3"/>
      <c r="R178" s="274"/>
      <c r="T178" s="273"/>
      <c r="U178" s="3"/>
      <c r="V178" s="3"/>
      <c r="W178" s="274"/>
      <c r="Y178" s="273"/>
      <c r="Z178" s="3"/>
      <c r="AA178" s="3"/>
      <c r="AB178" s="274"/>
      <c r="AD178" s="273"/>
      <c r="AE178" s="3"/>
      <c r="AF178" s="3"/>
      <c r="AG178" s="274"/>
      <c r="AI178" s="273"/>
      <c r="AJ178" s="3"/>
      <c r="AK178" s="3"/>
      <c r="AL178" s="274"/>
      <c r="AN178" s="273"/>
      <c r="AO178" s="3"/>
      <c r="AP178" s="3"/>
      <c r="AQ178" s="274"/>
      <c r="AS178" s="273"/>
      <c r="AT178" s="3"/>
      <c r="AU178" s="3"/>
      <c r="AV178" s="274"/>
      <c r="AX178" s="273"/>
      <c r="AY178" s="3"/>
      <c r="AZ178" s="3"/>
      <c r="BA178" s="274"/>
      <c r="BC178" s="273"/>
      <c r="BD178" s="3"/>
      <c r="BE178" s="3"/>
      <c r="BF178" s="274"/>
      <c r="BH178" s="273"/>
      <c r="BI178" s="3"/>
      <c r="BJ178" s="3"/>
      <c r="BK178" s="274"/>
      <c r="BM178" s="273"/>
      <c r="BN178" s="3"/>
      <c r="BO178" s="3"/>
      <c r="BP178" s="274"/>
    </row>
    <row r="179" spans="5:68" s="1" customFormat="1">
      <c r="E179" s="273"/>
      <c r="F179" s="3"/>
      <c r="G179" s="3"/>
      <c r="H179" s="274"/>
      <c r="J179" s="273"/>
      <c r="K179" s="3"/>
      <c r="L179" s="3"/>
      <c r="M179" s="274"/>
      <c r="O179" s="273"/>
      <c r="P179" s="3"/>
      <c r="Q179" s="3"/>
      <c r="R179" s="274"/>
      <c r="T179" s="273"/>
      <c r="U179" s="3"/>
      <c r="V179" s="3"/>
      <c r="W179" s="274"/>
      <c r="Y179" s="273"/>
      <c r="Z179" s="3"/>
      <c r="AA179" s="3"/>
      <c r="AB179" s="274"/>
      <c r="AD179" s="273"/>
      <c r="AE179" s="3"/>
      <c r="AF179" s="3"/>
      <c r="AG179" s="274"/>
      <c r="AI179" s="273"/>
      <c r="AJ179" s="3"/>
      <c r="AK179" s="3"/>
      <c r="AL179" s="274"/>
      <c r="AN179" s="273"/>
      <c r="AO179" s="3"/>
      <c r="AP179" s="3"/>
      <c r="AQ179" s="274"/>
      <c r="AS179" s="273"/>
      <c r="AT179" s="3"/>
      <c r="AU179" s="3"/>
      <c r="AV179" s="274"/>
      <c r="AX179" s="273"/>
      <c r="AY179" s="3"/>
      <c r="AZ179" s="3"/>
      <c r="BA179" s="274"/>
      <c r="BC179" s="273"/>
      <c r="BD179" s="3"/>
      <c r="BE179" s="3"/>
      <c r="BF179" s="274"/>
      <c r="BH179" s="273"/>
      <c r="BI179" s="3"/>
      <c r="BJ179" s="3"/>
      <c r="BK179" s="274"/>
      <c r="BM179" s="273"/>
      <c r="BN179" s="3"/>
      <c r="BO179" s="3"/>
      <c r="BP179" s="274"/>
    </row>
    <row r="180" spans="5:68" s="1" customFormat="1">
      <c r="E180" s="273"/>
      <c r="F180" s="3"/>
      <c r="G180" s="3"/>
      <c r="H180" s="274"/>
      <c r="J180" s="273"/>
      <c r="K180" s="3"/>
      <c r="L180" s="3"/>
      <c r="M180" s="274"/>
      <c r="O180" s="273"/>
      <c r="P180" s="3"/>
      <c r="Q180" s="3"/>
      <c r="R180" s="274"/>
      <c r="T180" s="273"/>
      <c r="U180" s="3"/>
      <c r="V180" s="3"/>
      <c r="W180" s="274"/>
      <c r="Y180" s="273"/>
      <c r="Z180" s="3"/>
      <c r="AA180" s="3"/>
      <c r="AB180" s="274"/>
      <c r="AD180" s="273"/>
      <c r="AE180" s="3"/>
      <c r="AF180" s="3"/>
      <c r="AG180" s="274"/>
      <c r="AI180" s="273"/>
      <c r="AJ180" s="3"/>
      <c r="AK180" s="3"/>
      <c r="AL180" s="274"/>
      <c r="AN180" s="273"/>
      <c r="AO180" s="3"/>
      <c r="AP180" s="3"/>
      <c r="AQ180" s="274"/>
      <c r="AS180" s="273"/>
      <c r="AT180" s="3"/>
      <c r="AU180" s="3"/>
      <c r="AV180" s="274"/>
      <c r="AX180" s="273"/>
      <c r="AY180" s="3"/>
      <c r="AZ180" s="3"/>
      <c r="BA180" s="274"/>
      <c r="BC180" s="273"/>
      <c r="BD180" s="3"/>
      <c r="BE180" s="3"/>
      <c r="BF180" s="274"/>
      <c r="BH180" s="273"/>
      <c r="BI180" s="3"/>
      <c r="BJ180" s="3"/>
      <c r="BK180" s="274"/>
      <c r="BM180" s="273"/>
      <c r="BN180" s="3"/>
      <c r="BO180" s="3"/>
      <c r="BP180" s="274"/>
    </row>
    <row r="181" spans="5:68" s="1" customFormat="1">
      <c r="E181" s="273"/>
      <c r="F181" s="3"/>
      <c r="G181" s="3"/>
      <c r="H181" s="274"/>
      <c r="J181" s="273"/>
      <c r="K181" s="3"/>
      <c r="L181" s="3"/>
      <c r="M181" s="274"/>
      <c r="O181" s="273"/>
      <c r="P181" s="3"/>
      <c r="Q181" s="3"/>
      <c r="R181" s="274"/>
      <c r="T181" s="273"/>
      <c r="U181" s="3"/>
      <c r="V181" s="3"/>
      <c r="W181" s="274"/>
      <c r="Y181" s="273"/>
      <c r="Z181" s="3"/>
      <c r="AA181" s="3"/>
      <c r="AB181" s="274"/>
      <c r="AD181" s="273"/>
      <c r="AE181" s="3"/>
      <c r="AF181" s="3"/>
      <c r="AG181" s="274"/>
      <c r="AI181" s="273"/>
      <c r="AJ181" s="3"/>
      <c r="AK181" s="3"/>
      <c r="AL181" s="274"/>
      <c r="AN181" s="273"/>
      <c r="AO181" s="3"/>
      <c r="AP181" s="3"/>
      <c r="AQ181" s="274"/>
      <c r="AS181" s="273"/>
      <c r="AT181" s="3"/>
      <c r="AU181" s="3"/>
      <c r="AV181" s="274"/>
      <c r="AX181" s="273"/>
      <c r="AY181" s="3"/>
      <c r="AZ181" s="3"/>
      <c r="BA181" s="274"/>
      <c r="BC181" s="273"/>
      <c r="BD181" s="3"/>
      <c r="BE181" s="3"/>
      <c r="BF181" s="274"/>
      <c r="BH181" s="273"/>
      <c r="BI181" s="3"/>
      <c r="BJ181" s="3"/>
      <c r="BK181" s="274"/>
      <c r="BM181" s="273"/>
      <c r="BN181" s="3"/>
      <c r="BO181" s="3"/>
      <c r="BP181" s="274"/>
    </row>
    <row r="182" spans="5:68" s="1" customFormat="1">
      <c r="E182" s="273"/>
      <c r="F182" s="3"/>
      <c r="G182" s="3"/>
      <c r="H182" s="274"/>
      <c r="J182" s="273"/>
      <c r="K182" s="3"/>
      <c r="L182" s="3"/>
      <c r="M182" s="274"/>
      <c r="O182" s="273"/>
      <c r="P182" s="3"/>
      <c r="Q182" s="3"/>
      <c r="R182" s="274"/>
      <c r="T182" s="273"/>
      <c r="U182" s="3"/>
      <c r="V182" s="3"/>
      <c r="W182" s="274"/>
      <c r="Y182" s="273"/>
      <c r="Z182" s="3"/>
      <c r="AA182" s="3"/>
      <c r="AB182" s="274"/>
      <c r="AD182" s="273"/>
      <c r="AE182" s="3"/>
      <c r="AF182" s="3"/>
      <c r="AG182" s="274"/>
      <c r="AI182" s="273"/>
      <c r="AJ182" s="3"/>
      <c r="AK182" s="3"/>
      <c r="AL182" s="274"/>
      <c r="AN182" s="273"/>
      <c r="AO182" s="3"/>
      <c r="AP182" s="3"/>
      <c r="AQ182" s="274"/>
      <c r="AS182" s="273"/>
      <c r="AT182" s="3"/>
      <c r="AU182" s="3"/>
      <c r="AV182" s="274"/>
      <c r="AX182" s="273"/>
      <c r="AY182" s="3"/>
      <c r="AZ182" s="3"/>
      <c r="BA182" s="274"/>
      <c r="BC182" s="273"/>
      <c r="BD182" s="3"/>
      <c r="BE182" s="3"/>
      <c r="BF182" s="274"/>
      <c r="BH182" s="273"/>
      <c r="BI182" s="3"/>
      <c r="BJ182" s="3"/>
      <c r="BK182" s="274"/>
      <c r="BM182" s="273"/>
      <c r="BN182" s="3"/>
      <c r="BO182" s="3"/>
      <c r="BP182" s="274"/>
    </row>
    <row r="183" spans="5:68" s="1" customFormat="1">
      <c r="E183" s="273"/>
      <c r="F183" s="3"/>
      <c r="G183" s="3"/>
      <c r="H183" s="274"/>
      <c r="J183" s="273"/>
      <c r="K183" s="3"/>
      <c r="L183" s="3"/>
      <c r="M183" s="274"/>
      <c r="O183" s="273"/>
      <c r="P183" s="3"/>
      <c r="Q183" s="3"/>
      <c r="R183" s="274"/>
      <c r="T183" s="273"/>
      <c r="U183" s="3"/>
      <c r="V183" s="3"/>
      <c r="W183" s="274"/>
      <c r="Y183" s="273"/>
      <c r="Z183" s="3"/>
      <c r="AA183" s="3"/>
      <c r="AB183" s="274"/>
      <c r="AD183" s="273"/>
      <c r="AE183" s="3"/>
      <c r="AF183" s="3"/>
      <c r="AG183" s="274"/>
      <c r="AI183" s="273"/>
      <c r="AJ183" s="3"/>
      <c r="AK183" s="3"/>
      <c r="AL183" s="274"/>
      <c r="AN183" s="273"/>
      <c r="AO183" s="3"/>
      <c r="AP183" s="3"/>
      <c r="AQ183" s="274"/>
      <c r="AS183" s="273"/>
      <c r="AT183" s="3"/>
      <c r="AU183" s="3"/>
      <c r="AV183" s="274"/>
      <c r="AX183" s="273"/>
      <c r="AY183" s="3"/>
      <c r="AZ183" s="3"/>
      <c r="BA183" s="274"/>
      <c r="BC183" s="273"/>
      <c r="BD183" s="3"/>
      <c r="BE183" s="3"/>
      <c r="BF183" s="274"/>
      <c r="BH183" s="273"/>
      <c r="BI183" s="3"/>
      <c r="BJ183" s="3"/>
      <c r="BK183" s="274"/>
      <c r="BM183" s="273"/>
      <c r="BN183" s="3"/>
      <c r="BO183" s="3"/>
      <c r="BP183" s="274"/>
    </row>
    <row r="184" spans="5:68" s="1" customFormat="1">
      <c r="E184" s="273"/>
      <c r="F184" s="3"/>
      <c r="G184" s="3"/>
      <c r="H184" s="274"/>
      <c r="J184" s="273"/>
      <c r="K184" s="3"/>
      <c r="L184" s="3"/>
      <c r="M184" s="274"/>
      <c r="O184" s="273"/>
      <c r="P184" s="3"/>
      <c r="Q184" s="3"/>
      <c r="R184" s="274"/>
      <c r="T184" s="273"/>
      <c r="U184" s="3"/>
      <c r="V184" s="3"/>
      <c r="W184" s="274"/>
      <c r="Y184" s="273"/>
      <c r="Z184" s="3"/>
      <c r="AA184" s="3"/>
      <c r="AB184" s="274"/>
      <c r="AD184" s="273"/>
      <c r="AE184" s="3"/>
      <c r="AF184" s="3"/>
      <c r="AG184" s="274"/>
      <c r="AI184" s="273"/>
      <c r="AJ184" s="3"/>
      <c r="AK184" s="3"/>
      <c r="AL184" s="274"/>
      <c r="AN184" s="273"/>
      <c r="AO184" s="3"/>
      <c r="AP184" s="3"/>
      <c r="AQ184" s="274"/>
      <c r="AS184" s="273"/>
      <c r="AT184" s="3"/>
      <c r="AU184" s="3"/>
      <c r="AV184" s="274"/>
      <c r="AX184" s="273"/>
      <c r="AY184" s="3"/>
      <c r="AZ184" s="3"/>
      <c r="BA184" s="274"/>
      <c r="BC184" s="273"/>
      <c r="BD184" s="3"/>
      <c r="BE184" s="3"/>
      <c r="BF184" s="274"/>
      <c r="BH184" s="273"/>
      <c r="BI184" s="3"/>
      <c r="BJ184" s="3"/>
      <c r="BK184" s="274"/>
      <c r="BM184" s="273"/>
      <c r="BN184" s="3"/>
      <c r="BO184" s="3"/>
      <c r="BP184" s="274"/>
    </row>
    <row r="185" spans="5:68" s="1" customFormat="1">
      <c r="E185" s="273"/>
      <c r="F185" s="3"/>
      <c r="G185" s="3"/>
      <c r="H185" s="274"/>
      <c r="J185" s="273"/>
      <c r="K185" s="3"/>
      <c r="L185" s="3"/>
      <c r="M185" s="274"/>
      <c r="O185" s="273"/>
      <c r="P185" s="3"/>
      <c r="Q185" s="3"/>
      <c r="R185" s="274"/>
      <c r="T185" s="273"/>
      <c r="U185" s="3"/>
      <c r="V185" s="3"/>
      <c r="W185" s="274"/>
      <c r="Y185" s="273"/>
      <c r="Z185" s="3"/>
      <c r="AA185" s="3"/>
      <c r="AB185" s="274"/>
      <c r="AD185" s="273"/>
      <c r="AE185" s="3"/>
      <c r="AF185" s="3"/>
      <c r="AG185" s="274"/>
      <c r="AI185" s="273"/>
      <c r="AJ185" s="3"/>
      <c r="AK185" s="3"/>
      <c r="AL185" s="274"/>
      <c r="AN185" s="273"/>
      <c r="AO185" s="3"/>
      <c r="AP185" s="3"/>
      <c r="AQ185" s="274"/>
      <c r="AS185" s="273"/>
      <c r="AT185" s="3"/>
      <c r="AU185" s="3"/>
      <c r="AV185" s="274"/>
      <c r="AX185" s="273"/>
      <c r="AY185" s="3"/>
      <c r="AZ185" s="3"/>
      <c r="BA185" s="274"/>
      <c r="BC185" s="273"/>
      <c r="BD185" s="3"/>
      <c r="BE185" s="3"/>
      <c r="BF185" s="274"/>
      <c r="BH185" s="273"/>
      <c r="BI185" s="3"/>
      <c r="BJ185" s="3"/>
      <c r="BK185" s="274"/>
      <c r="BM185" s="273"/>
      <c r="BN185" s="3"/>
      <c r="BO185" s="3"/>
      <c r="BP185" s="274"/>
    </row>
    <row r="186" spans="5:68" s="1" customFormat="1">
      <c r="E186" s="273"/>
      <c r="F186" s="3"/>
      <c r="G186" s="3"/>
      <c r="H186" s="274"/>
      <c r="J186" s="273"/>
      <c r="K186" s="3"/>
      <c r="L186" s="3"/>
      <c r="M186" s="274"/>
      <c r="O186" s="273"/>
      <c r="P186" s="3"/>
      <c r="Q186" s="3"/>
      <c r="R186" s="274"/>
      <c r="T186" s="273"/>
      <c r="U186" s="3"/>
      <c r="V186" s="3"/>
      <c r="W186" s="274"/>
      <c r="Y186" s="273"/>
      <c r="Z186" s="3"/>
      <c r="AA186" s="3"/>
      <c r="AB186" s="274"/>
      <c r="AD186" s="273"/>
      <c r="AE186" s="3"/>
      <c r="AF186" s="3"/>
      <c r="AG186" s="274"/>
      <c r="AI186" s="273"/>
      <c r="AJ186" s="3"/>
      <c r="AK186" s="3"/>
      <c r="AL186" s="274"/>
      <c r="AN186" s="273"/>
      <c r="AO186" s="3"/>
      <c r="AP186" s="3"/>
      <c r="AQ186" s="274"/>
      <c r="AS186" s="273"/>
      <c r="AT186" s="3"/>
      <c r="AU186" s="3"/>
      <c r="AV186" s="274"/>
      <c r="AX186" s="273"/>
      <c r="AY186" s="3"/>
      <c r="AZ186" s="3"/>
      <c r="BA186" s="274"/>
      <c r="BC186" s="273"/>
      <c r="BD186" s="3"/>
      <c r="BE186" s="3"/>
      <c r="BF186" s="274"/>
      <c r="BH186" s="273"/>
      <c r="BI186" s="3"/>
      <c r="BJ186" s="3"/>
      <c r="BK186" s="274"/>
      <c r="BM186" s="273"/>
      <c r="BN186" s="3"/>
      <c r="BO186" s="3"/>
      <c r="BP186" s="274"/>
    </row>
    <row r="187" spans="5:68" s="1" customFormat="1">
      <c r="E187" s="273"/>
      <c r="F187" s="3"/>
      <c r="G187" s="3"/>
      <c r="H187" s="274"/>
      <c r="J187" s="273"/>
      <c r="K187" s="3"/>
      <c r="L187" s="3"/>
      <c r="M187" s="274"/>
      <c r="O187" s="273"/>
      <c r="P187" s="3"/>
      <c r="Q187" s="3"/>
      <c r="R187" s="274"/>
      <c r="T187" s="273"/>
      <c r="U187" s="3"/>
      <c r="V187" s="3"/>
      <c r="W187" s="274"/>
      <c r="Y187" s="273"/>
      <c r="Z187" s="3"/>
      <c r="AA187" s="3"/>
      <c r="AB187" s="274"/>
      <c r="AD187" s="273"/>
      <c r="AE187" s="3"/>
      <c r="AF187" s="3"/>
      <c r="AG187" s="274"/>
      <c r="AI187" s="273"/>
      <c r="AJ187" s="3"/>
      <c r="AK187" s="3"/>
      <c r="AL187" s="274"/>
      <c r="AN187" s="273"/>
      <c r="AO187" s="3"/>
      <c r="AP187" s="3"/>
      <c r="AQ187" s="274"/>
      <c r="AS187" s="273"/>
      <c r="AT187" s="3"/>
      <c r="AU187" s="3"/>
      <c r="AV187" s="274"/>
      <c r="AX187" s="273"/>
      <c r="AY187" s="3"/>
      <c r="AZ187" s="3"/>
      <c r="BA187" s="274"/>
      <c r="BC187" s="273"/>
      <c r="BD187" s="3"/>
      <c r="BE187" s="3"/>
      <c r="BF187" s="274"/>
      <c r="BH187" s="273"/>
      <c r="BI187" s="3"/>
      <c r="BJ187" s="3"/>
      <c r="BK187" s="274"/>
      <c r="BM187" s="273"/>
      <c r="BN187" s="3"/>
      <c r="BO187" s="3"/>
      <c r="BP187" s="274"/>
    </row>
    <row r="188" spans="5:68" s="1" customFormat="1">
      <c r="E188" s="273"/>
      <c r="F188" s="3"/>
      <c r="G188" s="3"/>
      <c r="H188" s="274"/>
      <c r="J188" s="273"/>
      <c r="K188" s="3"/>
      <c r="L188" s="3"/>
      <c r="M188" s="274"/>
      <c r="O188" s="273"/>
      <c r="P188" s="3"/>
      <c r="Q188" s="3"/>
      <c r="R188" s="274"/>
      <c r="T188" s="273"/>
      <c r="U188" s="3"/>
      <c r="V188" s="3"/>
      <c r="W188" s="274"/>
      <c r="Y188" s="273"/>
      <c r="Z188" s="3"/>
      <c r="AA188" s="3"/>
      <c r="AB188" s="274"/>
      <c r="AD188" s="273"/>
      <c r="AE188" s="3"/>
      <c r="AF188" s="3"/>
      <c r="AG188" s="274"/>
      <c r="AI188" s="273"/>
      <c r="AJ188" s="3"/>
      <c r="AK188" s="3"/>
      <c r="AL188" s="274"/>
      <c r="AN188" s="273"/>
      <c r="AO188" s="3"/>
      <c r="AP188" s="3"/>
      <c r="AQ188" s="274"/>
      <c r="AS188" s="273"/>
      <c r="AT188" s="3"/>
      <c r="AU188" s="3"/>
      <c r="AV188" s="274"/>
      <c r="AX188" s="273"/>
      <c r="AY188" s="3"/>
      <c r="AZ188" s="3"/>
      <c r="BA188" s="274"/>
      <c r="BC188" s="273"/>
      <c r="BD188" s="3"/>
      <c r="BE188" s="3"/>
      <c r="BF188" s="274"/>
      <c r="BH188" s="273"/>
      <c r="BI188" s="3"/>
      <c r="BJ188" s="3"/>
      <c r="BK188" s="274"/>
      <c r="BM188" s="273"/>
      <c r="BN188" s="3"/>
      <c r="BO188" s="3"/>
      <c r="BP188" s="274"/>
    </row>
    <row r="189" spans="5:68" s="1" customFormat="1">
      <c r="E189" s="273"/>
      <c r="F189" s="3"/>
      <c r="G189" s="3"/>
      <c r="H189" s="274"/>
      <c r="J189" s="273"/>
      <c r="K189" s="3"/>
      <c r="L189" s="3"/>
      <c r="M189" s="274"/>
      <c r="O189" s="273"/>
      <c r="P189" s="3"/>
      <c r="Q189" s="3"/>
      <c r="R189" s="274"/>
      <c r="T189" s="273"/>
      <c r="U189" s="3"/>
      <c r="V189" s="3"/>
      <c r="W189" s="274"/>
      <c r="Y189" s="273"/>
      <c r="Z189" s="3"/>
      <c r="AA189" s="3"/>
      <c r="AB189" s="274"/>
      <c r="AD189" s="273"/>
      <c r="AE189" s="3"/>
      <c r="AF189" s="3"/>
      <c r="AG189" s="274"/>
      <c r="AI189" s="273"/>
      <c r="AJ189" s="3"/>
      <c r="AK189" s="3"/>
      <c r="AL189" s="274"/>
      <c r="AN189" s="273"/>
      <c r="AO189" s="3"/>
      <c r="AP189" s="3"/>
      <c r="AQ189" s="274"/>
      <c r="AS189" s="273"/>
      <c r="AT189" s="3"/>
      <c r="AU189" s="3"/>
      <c r="AV189" s="274"/>
      <c r="AX189" s="273"/>
      <c r="AY189" s="3"/>
      <c r="AZ189" s="3"/>
      <c r="BA189" s="274"/>
      <c r="BC189" s="273"/>
      <c r="BD189" s="3"/>
      <c r="BE189" s="3"/>
      <c r="BF189" s="274"/>
      <c r="BH189" s="273"/>
      <c r="BI189" s="3"/>
      <c r="BJ189" s="3"/>
      <c r="BK189" s="274"/>
      <c r="BM189" s="273"/>
      <c r="BN189" s="3"/>
      <c r="BO189" s="3"/>
      <c r="BP189" s="274"/>
    </row>
    <row r="190" spans="5:68" s="1" customFormat="1">
      <c r="E190" s="273"/>
      <c r="F190" s="3"/>
      <c r="G190" s="3"/>
      <c r="H190" s="274"/>
      <c r="J190" s="273"/>
      <c r="K190" s="3"/>
      <c r="L190" s="3"/>
      <c r="M190" s="274"/>
      <c r="O190" s="273"/>
      <c r="P190" s="3"/>
      <c r="Q190" s="3"/>
      <c r="R190" s="274"/>
      <c r="T190" s="273"/>
      <c r="U190" s="3"/>
      <c r="V190" s="3"/>
      <c r="W190" s="274"/>
      <c r="Y190" s="273"/>
      <c r="Z190" s="3"/>
      <c r="AA190" s="3"/>
      <c r="AB190" s="274"/>
      <c r="AD190" s="273"/>
      <c r="AE190" s="3"/>
      <c r="AF190" s="3"/>
      <c r="AG190" s="274"/>
      <c r="AI190" s="273"/>
      <c r="AJ190" s="3"/>
      <c r="AK190" s="3"/>
      <c r="AL190" s="274"/>
      <c r="AN190" s="273"/>
      <c r="AO190" s="3"/>
      <c r="AP190" s="3"/>
      <c r="AQ190" s="274"/>
      <c r="AS190" s="273"/>
      <c r="AT190" s="3"/>
      <c r="AU190" s="3"/>
      <c r="AV190" s="274"/>
      <c r="AX190" s="273"/>
      <c r="AY190" s="3"/>
      <c r="AZ190" s="3"/>
      <c r="BA190" s="274"/>
      <c r="BC190" s="273"/>
      <c r="BD190" s="3"/>
      <c r="BE190" s="3"/>
      <c r="BF190" s="274"/>
      <c r="BH190" s="273"/>
      <c r="BI190" s="3"/>
      <c r="BJ190" s="3"/>
      <c r="BK190" s="274"/>
      <c r="BM190" s="273"/>
      <c r="BN190" s="3"/>
      <c r="BO190" s="3"/>
      <c r="BP190" s="274"/>
    </row>
    <row r="191" spans="5:68" s="1" customFormat="1">
      <c r="E191" s="273"/>
      <c r="F191" s="3"/>
      <c r="G191" s="3"/>
      <c r="H191" s="274"/>
      <c r="J191" s="273"/>
      <c r="K191" s="3"/>
      <c r="L191" s="3"/>
      <c r="M191" s="274"/>
      <c r="O191" s="273"/>
      <c r="P191" s="3"/>
      <c r="Q191" s="3"/>
      <c r="R191" s="274"/>
      <c r="T191" s="273"/>
      <c r="U191" s="3"/>
      <c r="V191" s="3"/>
      <c r="W191" s="274"/>
      <c r="Y191" s="273"/>
      <c r="Z191" s="3"/>
      <c r="AA191" s="3"/>
      <c r="AB191" s="274"/>
      <c r="AD191" s="273"/>
      <c r="AE191" s="3"/>
      <c r="AF191" s="3"/>
      <c r="AG191" s="274"/>
      <c r="AI191" s="273"/>
      <c r="AJ191" s="3"/>
      <c r="AK191" s="3"/>
      <c r="AL191" s="274"/>
      <c r="AN191" s="273"/>
      <c r="AO191" s="3"/>
      <c r="AP191" s="3"/>
      <c r="AQ191" s="274"/>
      <c r="AS191" s="273"/>
      <c r="AT191" s="3"/>
      <c r="AU191" s="3"/>
      <c r="AV191" s="274"/>
      <c r="AX191" s="273"/>
      <c r="AY191" s="3"/>
      <c r="AZ191" s="3"/>
      <c r="BA191" s="274"/>
      <c r="BC191" s="273"/>
      <c r="BD191" s="3"/>
      <c r="BE191" s="3"/>
      <c r="BF191" s="274"/>
      <c r="BH191" s="273"/>
      <c r="BI191" s="3"/>
      <c r="BJ191" s="3"/>
      <c r="BK191" s="274"/>
      <c r="BM191" s="273"/>
      <c r="BN191" s="3"/>
      <c r="BO191" s="3"/>
      <c r="BP191" s="274"/>
    </row>
    <row r="192" spans="5:68" s="1" customFormat="1">
      <c r="E192" s="273"/>
      <c r="F192" s="3"/>
      <c r="G192" s="3"/>
      <c r="H192" s="274"/>
      <c r="J192" s="273"/>
      <c r="K192" s="3"/>
      <c r="L192" s="3"/>
      <c r="M192" s="274"/>
      <c r="O192" s="273"/>
      <c r="P192" s="3"/>
      <c r="Q192" s="3"/>
      <c r="R192" s="274"/>
      <c r="T192" s="273"/>
      <c r="U192" s="3"/>
      <c r="V192" s="3"/>
      <c r="W192" s="274"/>
      <c r="Y192" s="273"/>
      <c r="Z192" s="3"/>
      <c r="AA192" s="3"/>
      <c r="AB192" s="274"/>
      <c r="AD192" s="273"/>
      <c r="AE192" s="3"/>
      <c r="AF192" s="3"/>
      <c r="AG192" s="274"/>
      <c r="AI192" s="273"/>
      <c r="AJ192" s="3"/>
      <c r="AK192" s="3"/>
      <c r="AL192" s="274"/>
      <c r="AN192" s="273"/>
      <c r="AO192" s="3"/>
      <c r="AP192" s="3"/>
      <c r="AQ192" s="274"/>
      <c r="AS192" s="273"/>
      <c r="AT192" s="3"/>
      <c r="AU192" s="3"/>
      <c r="AV192" s="274"/>
      <c r="AX192" s="273"/>
      <c r="AY192" s="3"/>
      <c r="AZ192" s="3"/>
      <c r="BA192" s="274"/>
      <c r="BC192" s="273"/>
      <c r="BD192" s="3"/>
      <c r="BE192" s="3"/>
      <c r="BF192" s="274"/>
      <c r="BH192" s="273"/>
      <c r="BI192" s="3"/>
      <c r="BJ192" s="3"/>
      <c r="BK192" s="274"/>
      <c r="BM192" s="273"/>
      <c r="BN192" s="3"/>
      <c r="BO192" s="3"/>
      <c r="BP192" s="274"/>
    </row>
    <row r="193" spans="5:68" s="1" customFormat="1">
      <c r="E193" s="273"/>
      <c r="F193" s="3"/>
      <c r="G193" s="3"/>
      <c r="H193" s="274"/>
      <c r="J193" s="273"/>
      <c r="K193" s="3"/>
      <c r="L193" s="3"/>
      <c r="M193" s="274"/>
      <c r="O193" s="273"/>
      <c r="P193" s="3"/>
      <c r="Q193" s="3"/>
      <c r="R193" s="274"/>
      <c r="T193" s="273"/>
      <c r="U193" s="3"/>
      <c r="V193" s="3"/>
      <c r="W193" s="274"/>
      <c r="Y193" s="273"/>
      <c r="Z193" s="3"/>
      <c r="AA193" s="3"/>
      <c r="AB193" s="274"/>
      <c r="AD193" s="273"/>
      <c r="AE193" s="3"/>
      <c r="AF193" s="3"/>
      <c r="AG193" s="274"/>
      <c r="AI193" s="273"/>
      <c r="AJ193" s="3"/>
      <c r="AK193" s="3"/>
      <c r="AL193" s="274"/>
      <c r="AN193" s="273"/>
      <c r="AO193" s="3"/>
      <c r="AP193" s="3"/>
      <c r="AQ193" s="274"/>
      <c r="AS193" s="273"/>
      <c r="AT193" s="3"/>
      <c r="AU193" s="3"/>
      <c r="AV193" s="274"/>
      <c r="AX193" s="273"/>
      <c r="AY193" s="3"/>
      <c r="AZ193" s="3"/>
      <c r="BA193" s="274"/>
      <c r="BC193" s="273"/>
      <c r="BD193" s="3"/>
      <c r="BE193" s="3"/>
      <c r="BF193" s="274"/>
      <c r="BH193" s="273"/>
      <c r="BI193" s="3"/>
      <c r="BJ193" s="3"/>
      <c r="BK193" s="274"/>
      <c r="BM193" s="273"/>
      <c r="BN193" s="3"/>
      <c r="BO193" s="3"/>
      <c r="BP193" s="274"/>
    </row>
    <row r="194" spans="5:68" s="1" customFormat="1">
      <c r="E194" s="273"/>
      <c r="F194" s="3"/>
      <c r="G194" s="3"/>
      <c r="H194" s="274"/>
      <c r="J194" s="273"/>
      <c r="K194" s="3"/>
      <c r="L194" s="3"/>
      <c r="M194" s="274"/>
      <c r="O194" s="273"/>
      <c r="P194" s="3"/>
      <c r="Q194" s="3"/>
      <c r="R194" s="274"/>
      <c r="T194" s="273"/>
      <c r="U194" s="3"/>
      <c r="V194" s="3"/>
      <c r="W194" s="274"/>
      <c r="Y194" s="273"/>
      <c r="Z194" s="3"/>
      <c r="AA194" s="3"/>
      <c r="AB194" s="274"/>
      <c r="AD194" s="273"/>
      <c r="AE194" s="3"/>
      <c r="AF194" s="3"/>
      <c r="AG194" s="274"/>
      <c r="AI194" s="273"/>
      <c r="AJ194" s="3"/>
      <c r="AK194" s="3"/>
      <c r="AL194" s="274"/>
      <c r="AN194" s="273"/>
      <c r="AO194" s="3"/>
      <c r="AP194" s="3"/>
      <c r="AQ194" s="274"/>
      <c r="AS194" s="273"/>
      <c r="AT194" s="3"/>
      <c r="AU194" s="3"/>
      <c r="AV194" s="274"/>
      <c r="AX194" s="273"/>
      <c r="AY194" s="3"/>
      <c r="AZ194" s="3"/>
      <c r="BA194" s="274"/>
      <c r="BC194" s="273"/>
      <c r="BD194" s="3"/>
      <c r="BE194" s="3"/>
      <c r="BF194" s="274"/>
      <c r="BH194" s="273"/>
      <c r="BI194" s="3"/>
      <c r="BJ194" s="3"/>
      <c r="BK194" s="274"/>
      <c r="BM194" s="273"/>
      <c r="BN194" s="3"/>
      <c r="BO194" s="3"/>
      <c r="BP194" s="274"/>
    </row>
    <row r="195" spans="5:68" s="1" customFormat="1">
      <c r="E195" s="273"/>
      <c r="F195" s="3"/>
      <c r="G195" s="3"/>
      <c r="H195" s="274"/>
      <c r="J195" s="273"/>
      <c r="K195" s="3"/>
      <c r="L195" s="3"/>
      <c r="M195" s="274"/>
      <c r="O195" s="273"/>
      <c r="P195" s="3"/>
      <c r="Q195" s="3"/>
      <c r="R195" s="274"/>
      <c r="T195" s="273"/>
      <c r="U195" s="3"/>
      <c r="V195" s="3"/>
      <c r="W195" s="274"/>
      <c r="Y195" s="273"/>
      <c r="Z195" s="3"/>
      <c r="AA195" s="3"/>
      <c r="AB195" s="274"/>
      <c r="AD195" s="273"/>
      <c r="AE195" s="3"/>
      <c r="AF195" s="3"/>
      <c r="AG195" s="274"/>
      <c r="AI195" s="273"/>
      <c r="AJ195" s="3"/>
      <c r="AK195" s="3"/>
      <c r="AL195" s="274"/>
      <c r="AN195" s="273"/>
      <c r="AO195" s="3"/>
      <c r="AP195" s="3"/>
      <c r="AQ195" s="274"/>
      <c r="AS195" s="273"/>
      <c r="AT195" s="3"/>
      <c r="AU195" s="3"/>
      <c r="AV195" s="274"/>
      <c r="AX195" s="273"/>
      <c r="AY195" s="3"/>
      <c r="AZ195" s="3"/>
      <c r="BA195" s="274"/>
      <c r="BC195" s="273"/>
      <c r="BD195" s="3"/>
      <c r="BE195" s="3"/>
      <c r="BF195" s="274"/>
      <c r="BH195" s="273"/>
      <c r="BI195" s="3"/>
      <c r="BJ195" s="3"/>
      <c r="BK195" s="274"/>
      <c r="BM195" s="273"/>
      <c r="BN195" s="3"/>
      <c r="BO195" s="3"/>
      <c r="BP195" s="274"/>
    </row>
    <row r="196" spans="5:68" s="1" customFormat="1">
      <c r="E196" s="273"/>
      <c r="F196" s="3"/>
      <c r="G196" s="3"/>
      <c r="H196" s="274"/>
      <c r="J196" s="273"/>
      <c r="K196" s="3"/>
      <c r="L196" s="3"/>
      <c r="M196" s="274"/>
      <c r="O196" s="273"/>
      <c r="P196" s="3"/>
      <c r="Q196" s="3"/>
      <c r="R196" s="274"/>
      <c r="T196" s="273"/>
      <c r="U196" s="3"/>
      <c r="V196" s="3"/>
      <c r="W196" s="274"/>
      <c r="Y196" s="273"/>
      <c r="Z196" s="3"/>
      <c r="AA196" s="3"/>
      <c r="AB196" s="274"/>
      <c r="AD196" s="273"/>
      <c r="AE196" s="3"/>
      <c r="AF196" s="3"/>
      <c r="AG196" s="274"/>
      <c r="AI196" s="273"/>
      <c r="AJ196" s="3"/>
      <c r="AK196" s="3"/>
      <c r="AL196" s="274"/>
      <c r="AN196" s="273"/>
      <c r="AO196" s="3"/>
      <c r="AP196" s="3"/>
      <c r="AQ196" s="274"/>
      <c r="AS196" s="273"/>
      <c r="AT196" s="3"/>
      <c r="AU196" s="3"/>
      <c r="AV196" s="274"/>
      <c r="AX196" s="273"/>
      <c r="AY196" s="3"/>
      <c r="AZ196" s="3"/>
      <c r="BA196" s="274"/>
      <c r="BC196" s="273"/>
      <c r="BD196" s="3"/>
      <c r="BE196" s="3"/>
      <c r="BF196" s="274"/>
      <c r="BH196" s="273"/>
      <c r="BI196" s="3"/>
      <c r="BJ196" s="3"/>
      <c r="BK196" s="274"/>
      <c r="BM196" s="273"/>
      <c r="BN196" s="3"/>
      <c r="BO196" s="3"/>
      <c r="BP196" s="274"/>
    </row>
    <row r="197" spans="5:68" s="1" customFormat="1">
      <c r="E197" s="273"/>
      <c r="F197" s="3"/>
      <c r="G197" s="3"/>
      <c r="H197" s="274"/>
      <c r="J197" s="273"/>
      <c r="K197" s="3"/>
      <c r="L197" s="3"/>
      <c r="M197" s="274"/>
      <c r="O197" s="273"/>
      <c r="P197" s="3"/>
      <c r="Q197" s="3"/>
      <c r="R197" s="274"/>
      <c r="T197" s="273"/>
      <c r="U197" s="3"/>
      <c r="V197" s="3"/>
      <c r="W197" s="274"/>
      <c r="Y197" s="273"/>
      <c r="Z197" s="3"/>
      <c r="AA197" s="3"/>
      <c r="AB197" s="274"/>
      <c r="AD197" s="273"/>
      <c r="AE197" s="3"/>
      <c r="AF197" s="3"/>
      <c r="AG197" s="274"/>
      <c r="AI197" s="273"/>
      <c r="AJ197" s="3"/>
      <c r="AK197" s="3"/>
      <c r="AL197" s="274"/>
      <c r="AN197" s="273"/>
      <c r="AO197" s="3"/>
      <c r="AP197" s="3"/>
      <c r="AQ197" s="274"/>
      <c r="AS197" s="273"/>
      <c r="AT197" s="3"/>
      <c r="AU197" s="3"/>
      <c r="AV197" s="274"/>
      <c r="AX197" s="273"/>
      <c r="AY197" s="3"/>
      <c r="AZ197" s="3"/>
      <c r="BA197" s="274"/>
      <c r="BC197" s="273"/>
      <c r="BD197" s="3"/>
      <c r="BE197" s="3"/>
      <c r="BF197" s="274"/>
      <c r="BH197" s="273"/>
      <c r="BI197" s="3"/>
      <c r="BJ197" s="3"/>
      <c r="BK197" s="274"/>
      <c r="BM197" s="273"/>
      <c r="BN197" s="3"/>
      <c r="BO197" s="3"/>
      <c r="BP197" s="274"/>
    </row>
    <row r="198" spans="5:68" s="1" customFormat="1">
      <c r="E198" s="273"/>
      <c r="F198" s="3"/>
      <c r="G198" s="3"/>
      <c r="H198" s="274"/>
      <c r="J198" s="273"/>
      <c r="K198" s="3"/>
      <c r="L198" s="3"/>
      <c r="M198" s="274"/>
      <c r="O198" s="273"/>
      <c r="P198" s="3"/>
      <c r="Q198" s="3"/>
      <c r="R198" s="274"/>
      <c r="T198" s="273"/>
      <c r="U198" s="3"/>
      <c r="V198" s="3"/>
      <c r="W198" s="274"/>
      <c r="Y198" s="273"/>
      <c r="Z198" s="3"/>
      <c r="AA198" s="3"/>
      <c r="AB198" s="274"/>
      <c r="AD198" s="273"/>
      <c r="AE198" s="3"/>
      <c r="AF198" s="3"/>
      <c r="AG198" s="274"/>
      <c r="AI198" s="273"/>
      <c r="AJ198" s="3"/>
      <c r="AK198" s="3"/>
      <c r="AL198" s="274"/>
      <c r="AN198" s="273"/>
      <c r="AO198" s="3"/>
      <c r="AP198" s="3"/>
      <c r="AQ198" s="274"/>
      <c r="AS198" s="273"/>
      <c r="AT198" s="3"/>
      <c r="AU198" s="3"/>
      <c r="AV198" s="274"/>
      <c r="AX198" s="273"/>
      <c r="AY198" s="3"/>
      <c r="AZ198" s="3"/>
      <c r="BA198" s="274"/>
      <c r="BC198" s="273"/>
      <c r="BD198" s="3"/>
      <c r="BE198" s="3"/>
      <c r="BF198" s="274"/>
      <c r="BH198" s="273"/>
      <c r="BI198" s="3"/>
      <c r="BJ198" s="3"/>
      <c r="BK198" s="274"/>
      <c r="BM198" s="273"/>
      <c r="BN198" s="3"/>
      <c r="BO198" s="3"/>
      <c r="BP198" s="274"/>
    </row>
    <row r="199" spans="5:68" s="1" customFormat="1">
      <c r="E199" s="273"/>
      <c r="F199" s="3"/>
      <c r="G199" s="3"/>
      <c r="H199" s="274"/>
      <c r="J199" s="273"/>
      <c r="K199" s="3"/>
      <c r="L199" s="3"/>
      <c r="M199" s="274"/>
      <c r="O199" s="273"/>
      <c r="P199" s="3"/>
      <c r="Q199" s="3"/>
      <c r="R199" s="274"/>
      <c r="T199" s="273"/>
      <c r="U199" s="3"/>
      <c r="V199" s="3"/>
      <c r="W199" s="274"/>
      <c r="Y199" s="273"/>
      <c r="Z199" s="3"/>
      <c r="AA199" s="3"/>
      <c r="AB199" s="274"/>
      <c r="AD199" s="273"/>
      <c r="AE199" s="3"/>
      <c r="AF199" s="3"/>
      <c r="AG199" s="274"/>
      <c r="AI199" s="273"/>
      <c r="AJ199" s="3"/>
      <c r="AK199" s="3"/>
      <c r="AL199" s="274"/>
      <c r="AN199" s="273"/>
      <c r="AO199" s="3"/>
      <c r="AP199" s="3"/>
      <c r="AQ199" s="274"/>
      <c r="AS199" s="273"/>
      <c r="AT199" s="3"/>
      <c r="AU199" s="3"/>
      <c r="AV199" s="274"/>
      <c r="AX199" s="273"/>
      <c r="AY199" s="3"/>
      <c r="AZ199" s="3"/>
      <c r="BA199" s="274"/>
      <c r="BC199" s="273"/>
      <c r="BD199" s="3"/>
      <c r="BE199" s="3"/>
      <c r="BF199" s="274"/>
      <c r="BH199" s="273"/>
      <c r="BI199" s="3"/>
      <c r="BJ199" s="3"/>
      <c r="BK199" s="274"/>
      <c r="BM199" s="273"/>
      <c r="BN199" s="3"/>
      <c r="BO199" s="3"/>
      <c r="BP199" s="274"/>
    </row>
    <row r="200" spans="5:68" s="1" customFormat="1">
      <c r="E200" s="273"/>
      <c r="F200" s="3"/>
      <c r="G200" s="3"/>
      <c r="H200" s="274"/>
      <c r="J200" s="273"/>
      <c r="K200" s="3"/>
      <c r="L200" s="3"/>
      <c r="M200" s="274"/>
      <c r="O200" s="273"/>
      <c r="P200" s="3"/>
      <c r="Q200" s="3"/>
      <c r="R200" s="274"/>
      <c r="T200" s="273"/>
      <c r="U200" s="3"/>
      <c r="V200" s="3"/>
      <c r="W200" s="274"/>
      <c r="Y200" s="273"/>
      <c r="Z200" s="3"/>
      <c r="AA200" s="3"/>
      <c r="AB200" s="274"/>
      <c r="AD200" s="273"/>
      <c r="AE200" s="3"/>
      <c r="AF200" s="3"/>
      <c r="AG200" s="274"/>
      <c r="AI200" s="273"/>
      <c r="AJ200" s="3"/>
      <c r="AK200" s="3"/>
      <c r="AL200" s="274"/>
      <c r="AN200" s="273"/>
      <c r="AO200" s="3"/>
      <c r="AP200" s="3"/>
      <c r="AQ200" s="274"/>
      <c r="AS200" s="273"/>
      <c r="AT200" s="3"/>
      <c r="AU200" s="3"/>
      <c r="AV200" s="274"/>
      <c r="AX200" s="273"/>
      <c r="AY200" s="3"/>
      <c r="AZ200" s="3"/>
      <c r="BA200" s="274"/>
      <c r="BC200" s="273"/>
      <c r="BD200" s="3"/>
      <c r="BE200" s="3"/>
      <c r="BF200" s="274"/>
      <c r="BH200" s="273"/>
      <c r="BI200" s="3"/>
      <c r="BJ200" s="3"/>
      <c r="BK200" s="274"/>
      <c r="BM200" s="273"/>
      <c r="BN200" s="3"/>
      <c r="BO200" s="3"/>
      <c r="BP200" s="274"/>
    </row>
    <row r="201" spans="5:68" s="1" customFormat="1">
      <c r="E201" s="273"/>
      <c r="F201" s="3"/>
      <c r="G201" s="3"/>
      <c r="H201" s="274"/>
      <c r="J201" s="273"/>
      <c r="K201" s="3"/>
      <c r="L201" s="3"/>
      <c r="M201" s="274"/>
      <c r="O201" s="273"/>
      <c r="P201" s="3"/>
      <c r="Q201" s="3"/>
      <c r="R201" s="274"/>
      <c r="T201" s="273"/>
      <c r="U201" s="3"/>
      <c r="V201" s="3"/>
      <c r="W201" s="274"/>
      <c r="Y201" s="273"/>
      <c r="Z201" s="3"/>
      <c r="AA201" s="3"/>
      <c r="AB201" s="274"/>
      <c r="AD201" s="273"/>
      <c r="AE201" s="3"/>
      <c r="AF201" s="3"/>
      <c r="AG201" s="274"/>
      <c r="AI201" s="273"/>
      <c r="AJ201" s="3"/>
      <c r="AK201" s="3"/>
      <c r="AL201" s="274"/>
      <c r="AN201" s="273"/>
      <c r="AO201" s="3"/>
      <c r="AP201" s="3"/>
      <c r="AQ201" s="274"/>
      <c r="AS201" s="273"/>
      <c r="AT201" s="3"/>
      <c r="AU201" s="3"/>
      <c r="AV201" s="274"/>
      <c r="AX201" s="273"/>
      <c r="AY201" s="3"/>
      <c r="AZ201" s="3"/>
      <c r="BA201" s="274"/>
      <c r="BC201" s="273"/>
      <c r="BD201" s="3"/>
      <c r="BE201" s="3"/>
      <c r="BF201" s="274"/>
      <c r="BH201" s="273"/>
      <c r="BI201" s="3"/>
      <c r="BJ201" s="3"/>
      <c r="BK201" s="274"/>
      <c r="BM201" s="273"/>
      <c r="BN201" s="3"/>
      <c r="BO201" s="3"/>
      <c r="BP201" s="274"/>
    </row>
    <row r="202" spans="5:68" s="1" customFormat="1">
      <c r="T202" s="273"/>
      <c r="U202" s="3"/>
      <c r="V202" s="3"/>
      <c r="W202" s="274"/>
      <c r="Y202" s="273"/>
      <c r="Z202" s="3"/>
      <c r="AA202" s="3"/>
      <c r="AB202" s="274"/>
      <c r="AD202" s="273"/>
      <c r="AE202" s="3"/>
      <c r="AF202" s="3"/>
      <c r="AG202" s="274"/>
      <c r="AI202" s="273"/>
      <c r="AJ202" s="3"/>
      <c r="AK202" s="3"/>
      <c r="AL202" s="274"/>
      <c r="AN202" s="273"/>
      <c r="AO202" s="3"/>
      <c r="AP202" s="3"/>
      <c r="AQ202" s="274"/>
      <c r="AS202" s="273"/>
      <c r="AT202" s="3"/>
      <c r="AU202" s="3"/>
      <c r="AV202" s="274"/>
      <c r="AX202" s="273"/>
      <c r="AY202" s="3"/>
      <c r="AZ202" s="3"/>
      <c r="BA202" s="274"/>
      <c r="BC202" s="273"/>
      <c r="BD202" s="3"/>
      <c r="BE202" s="3"/>
      <c r="BF202" s="274"/>
      <c r="BH202" s="273"/>
      <c r="BI202" s="3"/>
      <c r="BJ202" s="3"/>
      <c r="BK202" s="274"/>
      <c r="BM202" s="273"/>
      <c r="BN202" s="3"/>
      <c r="BO202" s="3"/>
      <c r="BP202" s="274"/>
    </row>
    <row r="203" spans="5:68" s="1" customFormat="1"/>
    <row r="204" spans="5:68" s="1" customFormat="1"/>
    <row r="205" spans="5:68" s="1" customFormat="1"/>
  </sheetData>
  <phoneticPr fontId="2" type="noConversion"/>
  <pageMargins left="0.75" right="0.75" top="1" bottom="1" header="0.5" footer="0.5"/>
  <pageSetup scale="73"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JE357"/>
  <sheetViews>
    <sheetView zoomScale="85" zoomScaleNormal="85" workbookViewId="0">
      <pane xSplit="4" ySplit="6" topLeftCell="E7" activePane="bottomRight" state="frozen"/>
      <selection activeCell="H41" sqref="H41"/>
      <selection pane="topRight" activeCell="H41" sqref="H41"/>
      <selection pane="bottomLeft" activeCell="H41" sqref="H41"/>
      <selection pane="bottomRight" activeCell="E7" sqref="E7"/>
    </sheetView>
  </sheetViews>
  <sheetFormatPr defaultRowHeight="12.75" customHeight="1" outlineLevelCol="1"/>
  <cols>
    <col min="1" max="2" width="2.7109375" customWidth="1"/>
    <col min="3" max="3" width="56.28515625" customWidth="1"/>
    <col min="4" max="4" width="3.28515625" hidden="1" customWidth="1"/>
    <col min="5" max="7" width="7.7109375" customWidth="1"/>
    <col min="8" max="8" width="11.28515625" customWidth="1"/>
    <col min="9" max="10" width="7.7109375" customWidth="1"/>
    <col min="11" max="11" width="1.85546875" customWidth="1"/>
    <col min="12" max="12" width="8.85546875" customWidth="1"/>
    <col min="13" max="16" width="8.85546875" hidden="1" customWidth="1" outlineLevel="1"/>
    <col min="17" max="17" width="8.85546875" customWidth="1" collapsed="1"/>
    <col min="18" max="21" width="8.85546875" hidden="1" customWidth="1" outlineLevel="1"/>
    <col min="22" max="22" width="8.85546875" customWidth="1" collapsed="1"/>
    <col min="23" max="26" width="8.85546875" hidden="1" customWidth="1" outlineLevel="1"/>
    <col min="27" max="27" width="8.85546875" customWidth="1" collapsed="1"/>
    <col min="28" max="31" width="8.85546875" hidden="1" customWidth="1" outlineLevel="1"/>
    <col min="32" max="32" width="8.85546875" customWidth="1" collapsed="1"/>
    <col min="33" max="36" width="8.85546875" hidden="1" customWidth="1" outlineLevel="1"/>
    <col min="37" max="37" width="8.85546875" customWidth="1" collapsed="1"/>
    <col min="38" max="41" width="8.85546875" hidden="1" customWidth="1" outlineLevel="1"/>
    <col min="42" max="42" width="8.85546875" customWidth="1" collapsed="1"/>
    <col min="43" max="46" width="8.85546875" hidden="1" customWidth="1" outlineLevel="1"/>
    <col min="47" max="47" width="8.85546875" customWidth="1" collapsed="1"/>
    <col min="48" max="51" width="8.85546875" hidden="1" customWidth="1" outlineLevel="1"/>
    <col min="52" max="52" width="8.85546875" customWidth="1" collapsed="1"/>
    <col min="53" max="56" width="8.85546875" hidden="1" customWidth="1" outlineLevel="1"/>
    <col min="57" max="57" width="8.85546875" customWidth="1" collapsed="1"/>
    <col min="58" max="58" width="2.5703125" customWidth="1"/>
    <col min="59" max="59" width="8.7109375" customWidth="1"/>
    <col min="60" max="63" width="8.7109375" hidden="1" customWidth="1" outlineLevel="1"/>
    <col min="64" max="64" width="8.7109375" customWidth="1" collapsed="1"/>
    <col min="65" max="68" width="8.7109375" hidden="1" customWidth="1" outlineLevel="1"/>
    <col min="69" max="69" width="8.7109375" customWidth="1" collapsed="1"/>
    <col min="70" max="73" width="8.7109375" hidden="1" customWidth="1" outlineLevel="1"/>
    <col min="74" max="74" width="8.7109375" customWidth="1" collapsed="1"/>
    <col min="75" max="78" width="8.7109375" hidden="1" customWidth="1" outlineLevel="1"/>
    <col min="79" max="79" width="8.7109375" customWidth="1" collapsed="1"/>
    <col min="80" max="83" width="8.7109375" hidden="1" customWidth="1" outlineLevel="1"/>
    <col min="84" max="84" width="8.7109375" customWidth="1" collapsed="1"/>
    <col min="85" max="88" width="8.7109375" hidden="1" customWidth="1" outlineLevel="1"/>
    <col min="89" max="89" width="8.7109375" customWidth="1" collapsed="1"/>
    <col min="90" max="93" width="8.7109375" hidden="1" customWidth="1" outlineLevel="1"/>
    <col min="94" max="94" width="8.7109375" customWidth="1" collapsed="1"/>
    <col min="95" max="98" width="8.7109375" hidden="1" customWidth="1" outlineLevel="1"/>
    <col min="99" max="99" width="8.7109375" customWidth="1" collapsed="1"/>
    <col min="100" max="103" width="8.7109375" hidden="1" customWidth="1" outlineLevel="1"/>
    <col min="104" max="104" width="8.7109375" customWidth="1" collapsed="1"/>
  </cols>
  <sheetData>
    <row r="1" spans="1:104" ht="15" customHeight="1">
      <c r="A1" s="6"/>
      <c r="B1" s="6"/>
      <c r="C1" s="6"/>
      <c r="D1" s="8"/>
      <c r="E1" s="9"/>
      <c r="F1" s="9"/>
      <c r="G1" s="9"/>
      <c r="H1" s="9"/>
      <c r="I1" s="9"/>
      <c r="J1" s="9"/>
      <c r="K1" s="9"/>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6"/>
      <c r="BH1" s="46"/>
      <c r="BI1" s="46"/>
      <c r="BJ1" s="46"/>
      <c r="BK1" s="46"/>
      <c r="BL1" s="46"/>
      <c r="BM1" s="46"/>
      <c r="BN1" s="46"/>
      <c r="BO1" s="46"/>
      <c r="BP1" s="46"/>
      <c r="BQ1" s="46"/>
      <c r="BR1" s="46"/>
      <c r="BS1" s="46"/>
      <c r="BT1" s="46"/>
      <c r="BU1" s="46"/>
      <c r="BV1" s="46"/>
      <c r="BW1" s="46"/>
      <c r="BX1" s="46"/>
      <c r="BY1" s="46"/>
      <c r="BZ1" s="46"/>
      <c r="CA1" s="46"/>
      <c r="CB1" s="46"/>
      <c r="CC1" s="46"/>
      <c r="CD1" s="46"/>
      <c r="CE1" s="46"/>
      <c r="CF1" s="46"/>
      <c r="CG1" s="46"/>
      <c r="CH1" s="46"/>
      <c r="CI1" s="46"/>
      <c r="CJ1" s="46"/>
      <c r="CK1" s="46"/>
      <c r="CL1" s="46"/>
      <c r="CM1" s="46"/>
      <c r="CN1" s="46"/>
      <c r="CO1" s="46"/>
      <c r="CP1" s="46"/>
      <c r="CQ1" s="46"/>
      <c r="CR1" s="46"/>
      <c r="CS1" s="46"/>
      <c r="CT1" s="46"/>
      <c r="CU1" s="46"/>
      <c r="CV1" s="46"/>
      <c r="CW1" s="46"/>
      <c r="CX1" s="46"/>
      <c r="CY1" s="46"/>
      <c r="CZ1" s="46"/>
    </row>
    <row r="2" spans="1:104" ht="15" customHeight="1">
      <c r="A2" s="6"/>
      <c r="B2" s="469" t="str">
        <f>Cover!$B$2</f>
        <v>Exelon Corporation</v>
      </c>
      <c r="C2" s="6"/>
      <c r="D2" s="8"/>
      <c r="E2" s="9"/>
      <c r="F2" s="9"/>
      <c r="G2" s="9"/>
      <c r="H2" s="9"/>
      <c r="I2" s="9"/>
      <c r="J2" s="9"/>
      <c r="K2" s="9"/>
      <c r="L2" s="46"/>
      <c r="M2" s="46"/>
      <c r="N2" s="46"/>
      <c r="O2" s="46"/>
      <c r="P2" s="46"/>
      <c r="Q2" s="46"/>
      <c r="R2" s="46"/>
      <c r="S2" s="46"/>
      <c r="T2" s="46"/>
      <c r="U2" s="46"/>
      <c r="V2" s="46"/>
      <c r="W2" s="46"/>
      <c r="X2" s="46"/>
      <c r="Y2" s="46"/>
      <c r="Z2" s="46"/>
      <c r="AA2" s="46"/>
      <c r="AB2" s="46"/>
      <c r="AC2" s="46"/>
      <c r="AD2" s="46"/>
      <c r="AE2" s="46"/>
      <c r="AF2" s="46"/>
      <c r="AG2" s="46"/>
      <c r="AH2" s="46"/>
      <c r="AI2" s="46"/>
      <c r="AJ2" s="46"/>
      <c r="AK2" s="46"/>
      <c r="AL2" s="46"/>
      <c r="AM2" s="46"/>
      <c r="AN2" s="46"/>
      <c r="AO2" s="46"/>
      <c r="AP2" s="46"/>
      <c r="AQ2" s="46"/>
      <c r="AR2" s="46"/>
      <c r="AS2" s="46"/>
      <c r="AT2" s="46"/>
      <c r="AU2" s="46"/>
      <c r="AV2" s="46"/>
      <c r="AW2" s="46"/>
      <c r="AX2" s="46"/>
      <c r="AY2" s="46"/>
      <c r="AZ2" s="46"/>
      <c r="BA2" s="46"/>
      <c r="BB2" s="46"/>
      <c r="BC2" s="46"/>
      <c r="BD2" s="46"/>
      <c r="BE2" s="46"/>
      <c r="BF2" s="46"/>
      <c r="BG2" s="46"/>
      <c r="BH2" s="46"/>
      <c r="BI2" s="46"/>
      <c r="BJ2" s="46"/>
      <c r="BK2" s="46"/>
      <c r="BL2" s="46"/>
      <c r="BM2" s="46"/>
      <c r="BN2" s="46"/>
      <c r="BO2" s="46"/>
      <c r="BP2" s="46"/>
      <c r="BQ2" s="46"/>
      <c r="BR2" s="46"/>
      <c r="BS2" s="46"/>
      <c r="BT2" s="46"/>
      <c r="BU2" s="46"/>
      <c r="BV2" s="46"/>
      <c r="BW2" s="46"/>
      <c r="BX2" s="46"/>
      <c r="BY2" s="46"/>
      <c r="BZ2" s="46"/>
      <c r="CA2" s="46"/>
      <c r="CB2" s="46"/>
      <c r="CC2" s="46"/>
      <c r="CD2" s="46"/>
      <c r="CE2" s="46"/>
      <c r="CF2" s="46"/>
      <c r="CG2" s="46"/>
      <c r="CH2" s="46"/>
      <c r="CI2" s="46"/>
      <c r="CJ2" s="46"/>
      <c r="CK2" s="46"/>
      <c r="CL2" s="46"/>
      <c r="CM2" s="46"/>
      <c r="CN2" s="46"/>
      <c r="CO2" s="46"/>
      <c r="CP2" s="46"/>
      <c r="CQ2" s="46"/>
      <c r="CR2" s="46"/>
      <c r="CS2" s="46"/>
      <c r="CT2" s="46"/>
      <c r="CU2" s="46"/>
      <c r="CV2" s="46"/>
      <c r="CW2" s="46"/>
      <c r="CX2" s="46"/>
      <c r="CY2" s="46"/>
      <c r="CZ2" s="46"/>
    </row>
    <row r="3" spans="1:104" ht="15" customHeight="1">
      <c r="A3" s="7"/>
      <c r="B3" s="47" t="s">
        <v>503</v>
      </c>
      <c r="C3" s="7"/>
      <c r="D3" s="9"/>
      <c r="E3" s="9"/>
      <c r="F3" s="9"/>
      <c r="G3" s="9"/>
      <c r="H3" s="9"/>
      <c r="I3" s="9"/>
      <c r="J3" s="9"/>
      <c r="K3" s="9"/>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6"/>
      <c r="CH3" s="46"/>
      <c r="CI3" s="46"/>
      <c r="CJ3" s="46"/>
      <c r="CK3" s="46"/>
      <c r="CL3" s="46"/>
      <c r="CM3" s="46"/>
      <c r="CN3" s="46"/>
      <c r="CO3" s="46"/>
      <c r="CP3" s="46"/>
      <c r="CQ3" s="46"/>
      <c r="CR3" s="46"/>
      <c r="CS3" s="46"/>
      <c r="CT3" s="46"/>
      <c r="CU3" s="46"/>
      <c r="CV3" s="46"/>
      <c r="CW3" s="46"/>
      <c r="CX3" s="46"/>
      <c r="CY3" s="46"/>
      <c r="CZ3" s="46"/>
    </row>
    <row r="4" spans="1:104">
      <c r="A4" s="10"/>
      <c r="B4" s="27" t="s">
        <v>69</v>
      </c>
      <c r="C4" s="10"/>
      <c r="D4" s="10"/>
      <c r="E4" s="11"/>
      <c r="F4" s="11"/>
      <c r="G4" s="11"/>
      <c r="H4" s="11"/>
      <c r="I4" s="11"/>
      <c r="J4" s="11"/>
      <c r="K4" s="1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row>
    <row r="5" spans="1:104">
      <c r="A5" s="48"/>
      <c r="B5" s="48" t="s">
        <v>504</v>
      </c>
      <c r="C5" s="49"/>
      <c r="D5" s="50"/>
      <c r="E5" s="51" t="s">
        <v>502</v>
      </c>
      <c r="F5" s="52">
        <v>2017</v>
      </c>
      <c r="G5" s="52">
        <v>2016</v>
      </c>
      <c r="H5" s="53" t="s">
        <v>525</v>
      </c>
      <c r="I5" s="53" t="s">
        <v>526</v>
      </c>
      <c r="J5" s="54" t="s">
        <v>527</v>
      </c>
      <c r="K5" s="55"/>
      <c r="L5" s="1315">
        <v>2012</v>
      </c>
      <c r="M5" s="57" t="s">
        <v>674</v>
      </c>
      <c r="N5" s="58" t="s">
        <v>673</v>
      </c>
      <c r="O5" s="58" t="s">
        <v>919</v>
      </c>
      <c r="P5" s="59" t="s">
        <v>920</v>
      </c>
      <c r="Q5" s="1315">
        <v>2013</v>
      </c>
      <c r="R5" s="57" t="s">
        <v>1218</v>
      </c>
      <c r="S5" s="1016" t="s">
        <v>1211</v>
      </c>
      <c r="T5" s="58" t="s">
        <v>1344</v>
      </c>
      <c r="U5" s="59" t="s">
        <v>1345</v>
      </c>
      <c r="V5" s="1315">
        <v>2014</v>
      </c>
      <c r="W5" s="57" t="s">
        <v>1409</v>
      </c>
      <c r="X5" s="58" t="s">
        <v>1405</v>
      </c>
      <c r="Y5" s="58" t="s">
        <v>1406</v>
      </c>
      <c r="Z5" s="59" t="s">
        <v>1407</v>
      </c>
      <c r="AA5" s="1315">
        <v>2015</v>
      </c>
      <c r="AB5" s="57" t="s">
        <v>1436</v>
      </c>
      <c r="AC5" s="555" t="s">
        <v>1439</v>
      </c>
      <c r="AD5" s="555" t="s">
        <v>1480</v>
      </c>
      <c r="AE5" s="59" t="s">
        <v>1501</v>
      </c>
      <c r="AF5" s="1315">
        <v>2016</v>
      </c>
      <c r="AG5" s="57" t="s">
        <v>1515</v>
      </c>
      <c r="AH5" s="58" t="s">
        <v>1534</v>
      </c>
      <c r="AI5" s="58" t="s">
        <v>1536</v>
      </c>
      <c r="AJ5" s="59" t="s">
        <v>1538</v>
      </c>
      <c r="AK5" s="1315">
        <v>2017</v>
      </c>
      <c r="AL5" s="57" t="s">
        <v>926</v>
      </c>
      <c r="AM5" s="58" t="s">
        <v>927</v>
      </c>
      <c r="AN5" s="58" t="s">
        <v>928</v>
      </c>
      <c r="AO5" s="59" t="s">
        <v>929</v>
      </c>
      <c r="AP5" s="56">
        <v>2018</v>
      </c>
      <c r="AQ5" s="57" t="s">
        <v>1361</v>
      </c>
      <c r="AR5" s="58" t="s">
        <v>1362</v>
      </c>
      <c r="AS5" s="58" t="s">
        <v>1363</v>
      </c>
      <c r="AT5" s="59" t="s">
        <v>1364</v>
      </c>
      <c r="AU5" s="56">
        <v>2019</v>
      </c>
      <c r="AV5" s="57" t="s">
        <v>1365</v>
      </c>
      <c r="AW5" s="58" t="s">
        <v>1366</v>
      </c>
      <c r="AX5" s="58" t="s">
        <v>1367</v>
      </c>
      <c r="AY5" s="59" t="s">
        <v>1368</v>
      </c>
      <c r="AZ5" s="56">
        <v>2020</v>
      </c>
      <c r="BA5" s="57" t="s">
        <v>1516</v>
      </c>
      <c r="BB5" s="58" t="s">
        <v>1517</v>
      </c>
      <c r="BC5" s="58" t="s">
        <v>1518</v>
      </c>
      <c r="BD5" s="59" t="s">
        <v>1519</v>
      </c>
      <c r="BE5" s="56">
        <v>2021</v>
      </c>
      <c r="BF5" s="60"/>
      <c r="BG5" s="1315">
        <v>2012</v>
      </c>
      <c r="BH5" s="57" t="s">
        <v>674</v>
      </c>
      <c r="BI5" s="58" t="s">
        <v>673</v>
      </c>
      <c r="BJ5" s="58" t="s">
        <v>919</v>
      </c>
      <c r="BK5" s="59" t="s">
        <v>920</v>
      </c>
      <c r="BL5" s="1315">
        <v>2013</v>
      </c>
      <c r="BM5" s="57" t="s">
        <v>1218</v>
      </c>
      <c r="BN5" s="1016" t="s">
        <v>1211</v>
      </c>
      <c r="BO5" s="58" t="s">
        <v>1344</v>
      </c>
      <c r="BP5" s="59" t="s">
        <v>1345</v>
      </c>
      <c r="BQ5" s="1315">
        <v>2014</v>
      </c>
      <c r="BR5" s="57" t="s">
        <v>1409</v>
      </c>
      <c r="BS5" s="58" t="s">
        <v>1405</v>
      </c>
      <c r="BT5" s="58" t="s">
        <v>1406</v>
      </c>
      <c r="BU5" s="59" t="s">
        <v>1407</v>
      </c>
      <c r="BV5" s="1315">
        <v>2015</v>
      </c>
      <c r="BW5" s="57" t="s">
        <v>1436</v>
      </c>
      <c r="BX5" s="555" t="s">
        <v>1439</v>
      </c>
      <c r="BY5" s="555" t="s">
        <v>1480</v>
      </c>
      <c r="BZ5" s="59" t="s">
        <v>1501</v>
      </c>
      <c r="CA5" s="1315">
        <v>2016</v>
      </c>
      <c r="CB5" s="57" t="s">
        <v>1515</v>
      </c>
      <c r="CC5" s="58" t="s">
        <v>1534</v>
      </c>
      <c r="CD5" s="58" t="s">
        <v>1536</v>
      </c>
      <c r="CE5" s="59" t="s">
        <v>1538</v>
      </c>
      <c r="CF5" s="1315">
        <v>2017</v>
      </c>
      <c r="CG5" s="57" t="s">
        <v>926</v>
      </c>
      <c r="CH5" s="58" t="s">
        <v>927</v>
      </c>
      <c r="CI5" s="58" t="s">
        <v>928</v>
      </c>
      <c r="CJ5" s="59" t="s">
        <v>929</v>
      </c>
      <c r="CK5" s="56">
        <v>2018</v>
      </c>
      <c r="CL5" s="57" t="s">
        <v>1361</v>
      </c>
      <c r="CM5" s="58" t="s">
        <v>1362</v>
      </c>
      <c r="CN5" s="58" t="s">
        <v>1363</v>
      </c>
      <c r="CO5" s="59" t="s">
        <v>1364</v>
      </c>
      <c r="CP5" s="56">
        <v>2019</v>
      </c>
      <c r="CQ5" s="57" t="s">
        <v>1365</v>
      </c>
      <c r="CR5" s="58" t="s">
        <v>1366</v>
      </c>
      <c r="CS5" s="58" t="s">
        <v>1367</v>
      </c>
      <c r="CT5" s="59" t="s">
        <v>1368</v>
      </c>
      <c r="CU5" s="56">
        <v>2020</v>
      </c>
      <c r="CV5" s="57" t="s">
        <v>1516</v>
      </c>
      <c r="CW5" s="58" t="s">
        <v>1517</v>
      </c>
      <c r="CX5" s="58" t="s">
        <v>1518</v>
      </c>
      <c r="CY5" s="59" t="s">
        <v>1519</v>
      </c>
      <c r="CZ5" s="56">
        <v>2021</v>
      </c>
    </row>
    <row r="6" spans="1:104" ht="12.75" customHeight="1" thickBot="1">
      <c r="A6" s="4"/>
      <c r="B6" s="61"/>
      <c r="C6" s="62"/>
      <c r="D6" s="62"/>
      <c r="E6" s="63"/>
      <c r="F6" s="64"/>
      <c r="G6" s="64"/>
      <c r="H6" s="65"/>
      <c r="I6" s="65"/>
      <c r="J6" s="66"/>
      <c r="K6" s="67"/>
      <c r="L6" s="68" t="s">
        <v>528</v>
      </c>
      <c r="M6" s="69" t="s">
        <v>528</v>
      </c>
      <c r="N6" s="70" t="s">
        <v>528</v>
      </c>
      <c r="O6" s="70" t="s">
        <v>528</v>
      </c>
      <c r="P6" s="71" t="s">
        <v>528</v>
      </c>
      <c r="Q6" s="68" t="s">
        <v>528</v>
      </c>
      <c r="R6" s="69" t="s">
        <v>528</v>
      </c>
      <c r="S6" s="70" t="s">
        <v>528</v>
      </c>
      <c r="T6" s="70" t="s">
        <v>528</v>
      </c>
      <c r="U6" s="71" t="s">
        <v>528</v>
      </c>
      <c r="V6" s="68" t="s">
        <v>528</v>
      </c>
      <c r="W6" s="69" t="s">
        <v>528</v>
      </c>
      <c r="X6" s="70" t="s">
        <v>528</v>
      </c>
      <c r="Y6" s="70" t="s">
        <v>528</v>
      </c>
      <c r="Z6" s="71" t="s">
        <v>528</v>
      </c>
      <c r="AA6" s="68" t="s">
        <v>528</v>
      </c>
      <c r="AB6" s="69" t="s">
        <v>528</v>
      </c>
      <c r="AC6" s="70" t="s">
        <v>528</v>
      </c>
      <c r="AD6" s="70" t="s">
        <v>528</v>
      </c>
      <c r="AE6" s="71" t="s">
        <v>528</v>
      </c>
      <c r="AF6" s="68" t="s">
        <v>528</v>
      </c>
      <c r="AG6" s="69" t="s">
        <v>528</v>
      </c>
      <c r="AH6" s="70" t="s">
        <v>528</v>
      </c>
      <c r="AI6" s="70" t="s">
        <v>528</v>
      </c>
      <c r="AJ6" s="71" t="s">
        <v>528</v>
      </c>
      <c r="AK6" s="68" t="s">
        <v>528</v>
      </c>
      <c r="AL6" s="69" t="s">
        <v>528</v>
      </c>
      <c r="AM6" s="70" t="s">
        <v>528</v>
      </c>
      <c r="AN6" s="70" t="s">
        <v>528</v>
      </c>
      <c r="AO6" s="71" t="s">
        <v>528</v>
      </c>
      <c r="AP6" s="68" t="s">
        <v>528</v>
      </c>
      <c r="AQ6" s="69" t="s">
        <v>528</v>
      </c>
      <c r="AR6" s="70" t="s">
        <v>528</v>
      </c>
      <c r="AS6" s="70" t="s">
        <v>528</v>
      </c>
      <c r="AT6" s="71" t="s">
        <v>528</v>
      </c>
      <c r="AU6" s="68" t="s">
        <v>528</v>
      </c>
      <c r="AV6" s="69" t="s">
        <v>528</v>
      </c>
      <c r="AW6" s="70" t="s">
        <v>528</v>
      </c>
      <c r="AX6" s="70" t="s">
        <v>528</v>
      </c>
      <c r="AY6" s="71" t="s">
        <v>528</v>
      </c>
      <c r="AZ6" s="68" t="s">
        <v>528</v>
      </c>
      <c r="BA6" s="69" t="s">
        <v>528</v>
      </c>
      <c r="BB6" s="70" t="s">
        <v>528</v>
      </c>
      <c r="BC6" s="70" t="s">
        <v>528</v>
      </c>
      <c r="BD6" s="71" t="s">
        <v>528</v>
      </c>
      <c r="BE6" s="68" t="s">
        <v>528</v>
      </c>
      <c r="BF6" s="72"/>
      <c r="BG6" s="68" t="s">
        <v>560</v>
      </c>
      <c r="BH6" s="69" t="s">
        <v>560</v>
      </c>
      <c r="BI6" s="70" t="s">
        <v>560</v>
      </c>
      <c r="BJ6" s="70" t="s">
        <v>560</v>
      </c>
      <c r="BK6" s="71" t="s">
        <v>560</v>
      </c>
      <c r="BL6" s="68" t="s">
        <v>560</v>
      </c>
      <c r="BM6" s="69" t="s">
        <v>560</v>
      </c>
      <c r="BN6" s="70" t="s">
        <v>560</v>
      </c>
      <c r="BO6" s="70" t="s">
        <v>560</v>
      </c>
      <c r="BP6" s="71" t="s">
        <v>560</v>
      </c>
      <c r="BQ6" s="68" t="s">
        <v>560</v>
      </c>
      <c r="BR6" s="69" t="s">
        <v>560</v>
      </c>
      <c r="BS6" s="70" t="s">
        <v>560</v>
      </c>
      <c r="BT6" s="70" t="s">
        <v>560</v>
      </c>
      <c r="BU6" s="71" t="s">
        <v>560</v>
      </c>
      <c r="BV6" s="68" t="s">
        <v>560</v>
      </c>
      <c r="BW6" s="69" t="s">
        <v>560</v>
      </c>
      <c r="BX6" s="70" t="s">
        <v>560</v>
      </c>
      <c r="BY6" s="70" t="s">
        <v>560</v>
      </c>
      <c r="BZ6" s="71" t="s">
        <v>560</v>
      </c>
      <c r="CA6" s="68" t="s">
        <v>560</v>
      </c>
      <c r="CB6" s="69" t="s">
        <v>560</v>
      </c>
      <c r="CC6" s="70" t="s">
        <v>560</v>
      </c>
      <c r="CD6" s="70" t="s">
        <v>560</v>
      </c>
      <c r="CE6" s="71" t="s">
        <v>560</v>
      </c>
      <c r="CF6" s="68" t="s">
        <v>560</v>
      </c>
      <c r="CG6" s="69" t="s">
        <v>560</v>
      </c>
      <c r="CH6" s="70" t="s">
        <v>560</v>
      </c>
      <c r="CI6" s="70" t="s">
        <v>560</v>
      </c>
      <c r="CJ6" s="71" t="s">
        <v>560</v>
      </c>
      <c r="CK6" s="68" t="s">
        <v>560</v>
      </c>
      <c r="CL6" s="69" t="s">
        <v>560</v>
      </c>
      <c r="CM6" s="70" t="s">
        <v>560</v>
      </c>
      <c r="CN6" s="70" t="s">
        <v>560</v>
      </c>
      <c r="CO6" s="71" t="s">
        <v>560</v>
      </c>
      <c r="CP6" s="68" t="s">
        <v>560</v>
      </c>
      <c r="CQ6" s="69" t="s">
        <v>560</v>
      </c>
      <c r="CR6" s="70" t="s">
        <v>560</v>
      </c>
      <c r="CS6" s="70" t="s">
        <v>560</v>
      </c>
      <c r="CT6" s="71" t="s">
        <v>560</v>
      </c>
      <c r="CU6" s="68" t="s">
        <v>560</v>
      </c>
      <c r="CV6" s="69" t="s">
        <v>560</v>
      </c>
      <c r="CW6" s="70" t="s">
        <v>560</v>
      </c>
      <c r="CX6" s="70" t="s">
        <v>560</v>
      </c>
      <c r="CY6" s="71" t="s">
        <v>560</v>
      </c>
      <c r="CZ6" s="68" t="s">
        <v>560</v>
      </c>
    </row>
    <row r="7" spans="1:104" ht="12.75" customHeight="1">
      <c r="A7" s="4"/>
      <c r="B7" s="29" t="s">
        <v>658</v>
      </c>
      <c r="C7" s="74"/>
      <c r="D7" s="15"/>
      <c r="E7" s="75"/>
      <c r="F7" s="76"/>
      <c r="G7" s="76"/>
      <c r="H7" s="77"/>
      <c r="I7" s="78"/>
      <c r="J7" s="79"/>
      <c r="K7" s="80"/>
      <c r="L7" s="81"/>
      <c r="M7" s="82"/>
      <c r="N7" s="83"/>
      <c r="O7" s="83"/>
      <c r="P7" s="84"/>
      <c r="Q7" s="81"/>
      <c r="R7" s="82"/>
      <c r="S7" s="83"/>
      <c r="T7" s="83"/>
      <c r="U7" s="84"/>
      <c r="V7" s="81"/>
      <c r="W7" s="82"/>
      <c r="X7" s="83"/>
      <c r="Y7" s="83"/>
      <c r="Z7" s="84"/>
      <c r="AA7" s="81"/>
      <c r="AB7" s="82"/>
      <c r="AC7" s="83"/>
      <c r="AD7" s="83"/>
      <c r="AE7" s="84"/>
      <c r="AF7" s="81"/>
      <c r="AG7" s="82"/>
      <c r="AH7" s="83"/>
      <c r="AI7" s="83"/>
      <c r="AJ7" s="84"/>
      <c r="AK7" s="81"/>
      <c r="AL7" s="82"/>
      <c r="AM7" s="83"/>
      <c r="AN7" s="83"/>
      <c r="AO7" s="84"/>
      <c r="AP7" s="81"/>
      <c r="AQ7" s="82"/>
      <c r="AR7" s="83"/>
      <c r="AS7" s="83"/>
      <c r="AT7" s="84"/>
      <c r="AU7" s="81"/>
      <c r="AV7" s="82"/>
      <c r="AW7" s="83"/>
      <c r="AX7" s="83"/>
      <c r="AY7" s="84"/>
      <c r="AZ7" s="81"/>
      <c r="BA7" s="82"/>
      <c r="BB7" s="83"/>
      <c r="BC7" s="83"/>
      <c r="BD7" s="84"/>
      <c r="BE7" s="81"/>
      <c r="BF7" s="1873"/>
      <c r="BG7" s="2004"/>
      <c r="BH7" s="86"/>
      <c r="BI7" s="87"/>
      <c r="BJ7" s="87"/>
      <c r="BK7" s="88"/>
      <c r="BL7" s="85"/>
      <c r="BM7" s="86"/>
      <c r="BN7" s="87"/>
      <c r="BO7" s="87"/>
      <c r="BP7" s="88"/>
      <c r="BQ7" s="85"/>
      <c r="BR7" s="86"/>
      <c r="BS7" s="87"/>
      <c r="BT7" s="87"/>
      <c r="BU7" s="88"/>
      <c r="BV7" s="85"/>
      <c r="BW7" s="86"/>
      <c r="BX7" s="87"/>
      <c r="BY7" s="87"/>
      <c r="BZ7" s="88"/>
      <c r="CA7" s="85"/>
      <c r="CB7" s="86"/>
      <c r="CC7" s="87"/>
      <c r="CD7" s="87"/>
      <c r="CE7" s="88"/>
      <c r="CF7" s="85"/>
      <c r="CG7" s="86"/>
      <c r="CH7" s="87"/>
      <c r="CI7" s="87"/>
      <c r="CJ7" s="88"/>
      <c r="CK7" s="85"/>
      <c r="CL7" s="86"/>
      <c r="CM7" s="87"/>
      <c r="CN7" s="87"/>
      <c r="CO7" s="88"/>
      <c r="CP7" s="85"/>
      <c r="CQ7" s="86"/>
      <c r="CR7" s="87"/>
      <c r="CS7" s="87"/>
      <c r="CT7" s="88"/>
      <c r="CU7" s="85"/>
      <c r="CV7" s="86"/>
      <c r="CW7" s="87"/>
      <c r="CX7" s="87"/>
      <c r="CY7" s="88"/>
      <c r="CZ7" s="85"/>
    </row>
    <row r="8" spans="1:104" ht="12.75" customHeight="1">
      <c r="A8" s="4"/>
      <c r="B8" s="4"/>
      <c r="C8" s="90"/>
      <c r="D8" s="89"/>
      <c r="E8" s="75"/>
      <c r="F8" s="76"/>
      <c r="G8" s="76"/>
      <c r="H8" s="77"/>
      <c r="I8" s="78"/>
      <c r="J8" s="79"/>
      <c r="K8" s="80"/>
      <c r="L8" s="81"/>
      <c r="M8" s="82"/>
      <c r="N8" s="83"/>
      <c r="O8" s="83"/>
      <c r="P8" s="84"/>
      <c r="Q8" s="81"/>
      <c r="R8" s="82"/>
      <c r="S8" s="83"/>
      <c r="T8" s="83"/>
      <c r="U8" s="84"/>
      <c r="V8" s="81"/>
      <c r="W8" s="82"/>
      <c r="X8" s="83"/>
      <c r="Y8" s="83"/>
      <c r="Z8" s="84"/>
      <c r="AA8" s="81"/>
      <c r="AB8" s="82"/>
      <c r="AC8" s="83"/>
      <c r="AD8" s="83"/>
      <c r="AE8" s="84"/>
      <c r="AF8" s="81"/>
      <c r="AG8" s="82"/>
      <c r="AH8" s="83"/>
      <c r="AI8" s="83"/>
      <c r="AJ8" s="84"/>
      <c r="AK8" s="81"/>
      <c r="AL8" s="82"/>
      <c r="AM8" s="83"/>
      <c r="AN8" s="83"/>
      <c r="AO8" s="84"/>
      <c r="AP8" s="81"/>
      <c r="AQ8" s="82"/>
      <c r="AR8" s="83"/>
      <c r="AS8" s="83"/>
      <c r="AT8" s="84"/>
      <c r="AU8" s="81"/>
      <c r="AV8" s="82"/>
      <c r="AW8" s="83"/>
      <c r="AX8" s="83"/>
      <c r="AY8" s="84"/>
      <c r="AZ8" s="81"/>
      <c r="BA8" s="82"/>
      <c r="BB8" s="83"/>
      <c r="BC8" s="83"/>
      <c r="BD8" s="84"/>
      <c r="BE8" s="81"/>
      <c r="BF8" s="1874"/>
      <c r="BG8" s="2005"/>
      <c r="BH8" s="86"/>
      <c r="BI8" s="87"/>
      <c r="BJ8" s="87"/>
      <c r="BK8" s="88"/>
      <c r="BL8" s="85"/>
      <c r="BM8" s="86"/>
      <c r="BN8" s="87"/>
      <c r="BO8" s="87"/>
      <c r="BP8" s="88"/>
      <c r="BQ8" s="85"/>
      <c r="BR8" s="86"/>
      <c r="BS8" s="87"/>
      <c r="BT8" s="87"/>
      <c r="BU8" s="88"/>
      <c r="BV8" s="85"/>
      <c r="BW8" s="86"/>
      <c r="BX8" s="87"/>
      <c r="BY8" s="87"/>
      <c r="BZ8" s="88"/>
      <c r="CA8" s="85"/>
      <c r="CB8" s="86"/>
      <c r="CC8" s="87"/>
      <c r="CD8" s="87"/>
      <c r="CE8" s="88"/>
      <c r="CF8" s="85"/>
      <c r="CG8" s="86"/>
      <c r="CH8" s="87"/>
      <c r="CI8" s="87"/>
      <c r="CJ8" s="88"/>
      <c r="CK8" s="85"/>
      <c r="CL8" s="86"/>
      <c r="CM8" s="87"/>
      <c r="CN8" s="87"/>
      <c r="CO8" s="88"/>
      <c r="CP8" s="85"/>
      <c r="CQ8" s="86"/>
      <c r="CR8" s="87"/>
      <c r="CS8" s="87"/>
      <c r="CT8" s="88"/>
      <c r="CU8" s="85"/>
      <c r="CV8" s="86"/>
      <c r="CW8" s="87"/>
      <c r="CX8" s="87"/>
      <c r="CY8" s="88"/>
      <c r="CZ8" s="85"/>
    </row>
    <row r="9" spans="1:104" ht="12.75" customHeight="1">
      <c r="A9" s="4"/>
      <c r="B9" s="4"/>
      <c r="C9" s="90" t="s">
        <v>409</v>
      </c>
      <c r="D9" s="89"/>
      <c r="E9" s="75"/>
      <c r="F9" s="76"/>
      <c r="G9" s="76"/>
      <c r="H9" s="77"/>
      <c r="I9" s="78"/>
      <c r="J9" s="79"/>
      <c r="K9" s="80"/>
      <c r="L9" s="81"/>
      <c r="M9" s="82"/>
      <c r="N9" s="83"/>
      <c r="O9" s="83"/>
      <c r="P9" s="84"/>
      <c r="Q9" s="81"/>
      <c r="R9" s="82"/>
      <c r="S9" s="83"/>
      <c r="T9" s="83"/>
      <c r="U9" s="84"/>
      <c r="V9" s="81"/>
      <c r="W9" s="82"/>
      <c r="X9" s="83"/>
      <c r="Y9" s="83"/>
      <c r="Z9" s="84"/>
      <c r="AA9" s="81"/>
      <c r="AB9" s="82"/>
      <c r="AC9" s="83"/>
      <c r="AD9" s="83"/>
      <c r="AE9" s="84"/>
      <c r="AF9" s="81"/>
      <c r="AG9" s="82"/>
      <c r="AH9" s="83"/>
      <c r="AI9" s="83"/>
      <c r="AJ9" s="84"/>
      <c r="AK9" s="81"/>
      <c r="AL9" s="82"/>
      <c r="AM9" s="83"/>
      <c r="AN9" s="83"/>
      <c r="AO9" s="84"/>
      <c r="AP9" s="81"/>
      <c r="AQ9" s="82"/>
      <c r="AR9" s="83"/>
      <c r="AS9" s="83"/>
      <c r="AT9" s="84"/>
      <c r="AU9" s="81"/>
      <c r="AV9" s="82"/>
      <c r="AW9" s="83"/>
      <c r="AX9" s="83"/>
      <c r="AY9" s="84"/>
      <c r="AZ9" s="81"/>
      <c r="BA9" s="82"/>
      <c r="BB9" s="83"/>
      <c r="BC9" s="83"/>
      <c r="BD9" s="84"/>
      <c r="BE9" s="81"/>
      <c r="BF9" s="1874"/>
      <c r="BG9" s="2005"/>
      <c r="BH9" s="86"/>
      <c r="BI9" s="87"/>
      <c r="BJ9" s="87"/>
      <c r="BK9" s="88"/>
      <c r="BL9" s="85"/>
      <c r="BM9" s="86"/>
      <c r="BN9" s="87"/>
      <c r="BO9" s="87"/>
      <c r="BP9" s="88"/>
      <c r="BQ9" s="85"/>
      <c r="BR9" s="86"/>
      <c r="BS9" s="87"/>
      <c r="BT9" s="87"/>
      <c r="BU9" s="88"/>
      <c r="BV9" s="85"/>
      <c r="BW9" s="86"/>
      <c r="BX9" s="87"/>
      <c r="BY9" s="87"/>
      <c r="BZ9" s="88"/>
      <c r="CA9" s="85"/>
      <c r="CB9" s="86"/>
      <c r="CC9" s="87"/>
      <c r="CD9" s="87"/>
      <c r="CE9" s="88"/>
      <c r="CF9" s="85"/>
      <c r="CG9" s="86"/>
      <c r="CH9" s="87"/>
      <c r="CI9" s="87"/>
      <c r="CJ9" s="88"/>
      <c r="CK9" s="85"/>
      <c r="CL9" s="86"/>
      <c r="CM9" s="87"/>
      <c r="CN9" s="87"/>
      <c r="CO9" s="88"/>
      <c r="CP9" s="85"/>
      <c r="CQ9" s="86"/>
      <c r="CR9" s="87"/>
      <c r="CS9" s="87"/>
      <c r="CT9" s="88"/>
      <c r="CU9" s="85"/>
      <c r="CV9" s="86"/>
      <c r="CW9" s="87"/>
      <c r="CX9" s="87"/>
      <c r="CY9" s="88"/>
      <c r="CZ9" s="85"/>
    </row>
    <row r="10" spans="1:104" ht="12.75" customHeight="1">
      <c r="A10" s="4"/>
      <c r="B10" s="4"/>
      <c r="C10" s="89" t="s">
        <v>529</v>
      </c>
      <c r="D10" s="89"/>
      <c r="E10" s="75"/>
      <c r="F10" s="76"/>
      <c r="G10" s="76"/>
      <c r="H10" s="77"/>
      <c r="I10" s="78"/>
      <c r="J10" s="79"/>
      <c r="K10" s="80"/>
      <c r="L10" s="81">
        <f t="shared" ref="L10:X10" si="0">L31+L90+L121+L163+L192</f>
        <v>0</v>
      </c>
      <c r="M10" s="82">
        <f t="shared" si="0"/>
        <v>0</v>
      </c>
      <c r="N10" s="83">
        <f t="shared" si="0"/>
        <v>0</v>
      </c>
      <c r="O10" s="83">
        <f t="shared" si="0"/>
        <v>0</v>
      </c>
      <c r="P10" s="84">
        <f t="shared" si="0"/>
        <v>0</v>
      </c>
      <c r="Q10" s="81">
        <f t="shared" si="0"/>
        <v>0</v>
      </c>
      <c r="R10" s="82">
        <f t="shared" si="0"/>
        <v>0</v>
      </c>
      <c r="S10" s="83">
        <f t="shared" si="0"/>
        <v>0</v>
      </c>
      <c r="T10" s="83">
        <f t="shared" si="0"/>
        <v>0</v>
      </c>
      <c r="U10" s="84">
        <f t="shared" si="0"/>
        <v>0</v>
      </c>
      <c r="V10" s="81">
        <f t="shared" si="0"/>
        <v>0</v>
      </c>
      <c r="W10" s="82">
        <f t="shared" si="0"/>
        <v>0</v>
      </c>
      <c r="X10" s="83">
        <f t="shared" si="0"/>
        <v>0</v>
      </c>
      <c r="Y10" s="83">
        <f t="shared" ref="Y10:BE10" si="1">Y31+Y90+Y121+Y163+Y192+Y216+Y247+Y281+Y311</f>
        <v>0</v>
      </c>
      <c r="Z10" s="84">
        <f t="shared" si="1"/>
        <v>0</v>
      </c>
      <c r="AA10" s="81">
        <f t="shared" si="1"/>
        <v>0</v>
      </c>
      <c r="AB10" s="82">
        <f t="shared" si="1"/>
        <v>0</v>
      </c>
      <c r="AC10" s="83">
        <f t="shared" si="1"/>
        <v>0</v>
      </c>
      <c r="AD10" s="83">
        <f t="shared" si="1"/>
        <v>0</v>
      </c>
      <c r="AE10" s="84">
        <f t="shared" si="1"/>
        <v>0</v>
      </c>
      <c r="AF10" s="81">
        <f t="shared" si="1"/>
        <v>0</v>
      </c>
      <c r="AG10" s="82">
        <f t="shared" si="1"/>
        <v>-550</v>
      </c>
      <c r="AH10" s="83">
        <f t="shared" si="1"/>
        <v>-1150</v>
      </c>
      <c r="AI10" s="83">
        <f t="shared" si="1"/>
        <v>-805.08899999999994</v>
      </c>
      <c r="AJ10" s="84">
        <f t="shared" si="1"/>
        <v>-914</v>
      </c>
      <c r="AK10" s="81">
        <f t="shared" si="1"/>
        <v>-3419.0889999999999</v>
      </c>
      <c r="AL10" s="82">
        <f t="shared" si="1"/>
        <v>-1220</v>
      </c>
      <c r="AM10" s="83">
        <f t="shared" si="1"/>
        <v>-116</v>
      </c>
      <c r="AN10" s="83">
        <f t="shared" si="1"/>
        <v>-430</v>
      </c>
      <c r="AO10" s="84">
        <f t="shared" si="1"/>
        <v>0</v>
      </c>
      <c r="AP10" s="81">
        <f t="shared" si="1"/>
        <v>-1766</v>
      </c>
      <c r="AQ10" s="82">
        <f t="shared" si="1"/>
        <v>0</v>
      </c>
      <c r="AR10" s="83">
        <f t="shared" si="1"/>
        <v>0</v>
      </c>
      <c r="AS10" s="83">
        <f t="shared" si="1"/>
        <v>-34</v>
      </c>
      <c r="AT10" s="84">
        <f t="shared" si="1"/>
        <v>-600</v>
      </c>
      <c r="AU10" s="81">
        <f t="shared" si="1"/>
        <v>-634</v>
      </c>
      <c r="AV10" s="82">
        <f t="shared" si="1"/>
        <v>-1000</v>
      </c>
      <c r="AW10" s="83">
        <f t="shared" si="1"/>
        <v>-900</v>
      </c>
      <c r="AX10" s="83">
        <f t="shared" si="1"/>
        <v>-955.47</v>
      </c>
      <c r="AY10" s="84">
        <f t="shared" si="1"/>
        <v>-1100</v>
      </c>
      <c r="AZ10" s="81">
        <f t="shared" si="1"/>
        <v>-3955.4700000000003</v>
      </c>
      <c r="BA10" s="82">
        <f t="shared" si="1"/>
        <v>-861</v>
      </c>
      <c r="BB10" s="83">
        <f t="shared" si="1"/>
        <v>-300</v>
      </c>
      <c r="BC10" s="83">
        <f t="shared" si="1"/>
        <v>-888.86500000000001</v>
      </c>
      <c r="BD10" s="84">
        <f t="shared" si="1"/>
        <v>-300</v>
      </c>
      <c r="BE10" s="81">
        <f t="shared" si="1"/>
        <v>-2349.8649999999998</v>
      </c>
      <c r="BF10" s="1875"/>
      <c r="BG10" s="2005">
        <f t="shared" ref="BG10:BS10" si="2">BG31+BG90+BG121+BG163+BG192</f>
        <v>0</v>
      </c>
      <c r="BH10" s="86">
        <f t="shared" si="2"/>
        <v>0</v>
      </c>
      <c r="BI10" s="87">
        <f t="shared" si="2"/>
        <v>0</v>
      </c>
      <c r="BJ10" s="87">
        <f t="shared" si="2"/>
        <v>0</v>
      </c>
      <c r="BK10" s="88">
        <f t="shared" si="2"/>
        <v>0</v>
      </c>
      <c r="BL10" s="85">
        <f t="shared" si="2"/>
        <v>0</v>
      </c>
      <c r="BM10" s="86">
        <f t="shared" si="2"/>
        <v>0</v>
      </c>
      <c r="BN10" s="87">
        <f t="shared" si="2"/>
        <v>0</v>
      </c>
      <c r="BO10" s="87">
        <f t="shared" si="2"/>
        <v>0</v>
      </c>
      <c r="BP10" s="88">
        <f t="shared" si="2"/>
        <v>0</v>
      </c>
      <c r="BQ10" s="85">
        <f t="shared" si="2"/>
        <v>0</v>
      </c>
      <c r="BR10" s="86">
        <f t="shared" si="2"/>
        <v>0</v>
      </c>
      <c r="BS10" s="87">
        <f t="shared" si="2"/>
        <v>0</v>
      </c>
      <c r="BT10" s="87">
        <f t="shared" ref="BT10:CZ10" si="3">BT31+BT90+BT121+BT163+BT192+BT216+BT247+BT281+BT311</f>
        <v>0</v>
      </c>
      <c r="BU10" s="88">
        <f t="shared" si="3"/>
        <v>0</v>
      </c>
      <c r="BV10" s="85">
        <f t="shared" si="3"/>
        <v>0</v>
      </c>
      <c r="BW10" s="86">
        <f t="shared" si="3"/>
        <v>0</v>
      </c>
      <c r="BX10" s="87">
        <f t="shared" si="3"/>
        <v>0</v>
      </c>
      <c r="BY10" s="87">
        <f t="shared" si="3"/>
        <v>0</v>
      </c>
      <c r="BZ10" s="88">
        <f t="shared" si="3"/>
        <v>0</v>
      </c>
      <c r="CA10" s="85">
        <f t="shared" si="3"/>
        <v>0</v>
      </c>
      <c r="CB10" s="86">
        <f t="shared" si="3"/>
        <v>-0.7104166666666667</v>
      </c>
      <c r="CC10" s="87">
        <f t="shared" si="3"/>
        <v>-6.9229166666666675</v>
      </c>
      <c r="CD10" s="87">
        <f t="shared" si="3"/>
        <v>-18.240605575657892</v>
      </c>
      <c r="CE10" s="88">
        <f t="shared" si="3"/>
        <v>-35.482897242324562</v>
      </c>
      <c r="CF10" s="85">
        <f t="shared" si="3"/>
        <v>-61.35683615131579</v>
      </c>
      <c r="CG10" s="86">
        <f t="shared" si="3"/>
        <v>-40.6016305756579</v>
      </c>
      <c r="CH10" s="87">
        <f t="shared" si="3"/>
        <v>-46.026805575657903</v>
      </c>
      <c r="CI10" s="87">
        <f t="shared" si="3"/>
        <v>-43.088628947368427</v>
      </c>
      <c r="CJ10" s="88">
        <f t="shared" si="3"/>
        <v>-25.846337280701754</v>
      </c>
      <c r="CK10" s="85">
        <f t="shared" si="3"/>
        <v>-155.56340237938593</v>
      </c>
      <c r="CL10" s="86">
        <f t="shared" si="3"/>
        <v>-20.017187280701755</v>
      </c>
      <c r="CM10" s="87">
        <f t="shared" si="3"/>
        <v>-8.3795122807017552</v>
      </c>
      <c r="CN10" s="87">
        <f t="shared" si="3"/>
        <v>-0.48958508771929821</v>
      </c>
      <c r="CO10" s="88">
        <f t="shared" si="3"/>
        <v>-8.3229184210526324</v>
      </c>
      <c r="CP10" s="85">
        <f t="shared" si="3"/>
        <v>-37.209203070175434</v>
      </c>
      <c r="CQ10" s="86">
        <f t="shared" si="3"/>
        <v>-15.697918421052634</v>
      </c>
      <c r="CR10" s="87">
        <f t="shared" si="3"/>
        <v>-17.835418421052633</v>
      </c>
      <c r="CS10" s="87">
        <f t="shared" si="3"/>
        <v>-26.169483245614039</v>
      </c>
      <c r="CT10" s="88">
        <f t="shared" si="3"/>
        <v>-29.750269912280704</v>
      </c>
      <c r="CU10" s="85">
        <f t="shared" si="3"/>
        <v>-89.453089999999989</v>
      </c>
      <c r="CV10" s="86">
        <f t="shared" si="3"/>
        <v>-34.271103245614036</v>
      </c>
      <c r="CW10" s="87">
        <f t="shared" si="3"/>
        <v>-37.558603245614037</v>
      </c>
      <c r="CX10" s="87">
        <f t="shared" si="3"/>
        <v>-32.987324999999998</v>
      </c>
      <c r="CY10" s="88">
        <f t="shared" si="3"/>
        <v>-26.156538333333334</v>
      </c>
      <c r="CZ10" s="85">
        <f t="shared" si="3"/>
        <v>-130.97356982456142</v>
      </c>
    </row>
    <row r="11" spans="1:104" ht="12.75" customHeight="1">
      <c r="A11" s="4"/>
      <c r="B11" s="4"/>
      <c r="C11" s="91" t="s">
        <v>530</v>
      </c>
      <c r="D11" s="91"/>
      <c r="E11" s="92"/>
      <c r="F11" s="93"/>
      <c r="G11" s="93"/>
      <c r="H11" s="94"/>
      <c r="I11" s="95"/>
      <c r="J11" s="96"/>
      <c r="K11" s="97"/>
      <c r="L11" s="98">
        <f t="shared" ref="L11:X11" si="4">L39+L99+L131+L174+L202</f>
        <v>0</v>
      </c>
      <c r="M11" s="99">
        <f t="shared" si="4"/>
        <v>0</v>
      </c>
      <c r="N11" s="100">
        <f t="shared" si="4"/>
        <v>0</v>
      </c>
      <c r="O11" s="100">
        <f t="shared" si="4"/>
        <v>0</v>
      </c>
      <c r="P11" s="101">
        <f t="shared" si="4"/>
        <v>0</v>
      </c>
      <c r="Q11" s="98">
        <f t="shared" si="4"/>
        <v>0</v>
      </c>
      <c r="R11" s="99">
        <f t="shared" si="4"/>
        <v>0</v>
      </c>
      <c r="S11" s="100">
        <f t="shared" si="4"/>
        <v>0</v>
      </c>
      <c r="T11" s="100">
        <f t="shared" si="4"/>
        <v>0</v>
      </c>
      <c r="U11" s="101">
        <f t="shared" si="4"/>
        <v>0</v>
      </c>
      <c r="V11" s="98">
        <f t="shared" si="4"/>
        <v>0</v>
      </c>
      <c r="W11" s="99">
        <f t="shared" si="4"/>
        <v>0</v>
      </c>
      <c r="X11" s="100">
        <f t="shared" si="4"/>
        <v>0</v>
      </c>
      <c r="Y11" s="100">
        <f t="shared" ref="Y11:BE11" si="5">Y39+Y99+Y131+Y174+Y202+Y224+Y256+Y289+Y319</f>
        <v>0</v>
      </c>
      <c r="Z11" s="101">
        <f t="shared" si="5"/>
        <v>0</v>
      </c>
      <c r="AA11" s="98">
        <f t="shared" si="5"/>
        <v>0</v>
      </c>
      <c r="AB11" s="99">
        <f t="shared" si="5"/>
        <v>0</v>
      </c>
      <c r="AC11" s="100">
        <f t="shared" si="5"/>
        <v>0</v>
      </c>
      <c r="AD11" s="100">
        <f t="shared" si="5"/>
        <v>0</v>
      </c>
      <c r="AE11" s="101">
        <f t="shared" si="5"/>
        <v>0</v>
      </c>
      <c r="AF11" s="98">
        <f t="shared" si="5"/>
        <v>0</v>
      </c>
      <c r="AG11" s="99">
        <f t="shared" si="5"/>
        <v>0</v>
      </c>
      <c r="AH11" s="100">
        <f t="shared" si="5"/>
        <v>200</v>
      </c>
      <c r="AI11" s="100">
        <f t="shared" si="5"/>
        <v>1625</v>
      </c>
      <c r="AJ11" s="101">
        <f t="shared" si="5"/>
        <v>500</v>
      </c>
      <c r="AK11" s="98">
        <f t="shared" si="5"/>
        <v>2325</v>
      </c>
      <c r="AL11" s="99">
        <f t="shared" si="5"/>
        <v>0</v>
      </c>
      <c r="AM11" s="100">
        <f t="shared" si="5"/>
        <v>0</v>
      </c>
      <c r="AN11" s="100">
        <f t="shared" si="5"/>
        <v>3505</v>
      </c>
      <c r="AO11" s="101">
        <f t="shared" si="5"/>
        <v>0</v>
      </c>
      <c r="AP11" s="98">
        <f t="shared" si="5"/>
        <v>3505</v>
      </c>
      <c r="AQ11" s="99">
        <f t="shared" si="5"/>
        <v>0</v>
      </c>
      <c r="AR11" s="100">
        <f t="shared" si="5"/>
        <v>0</v>
      </c>
      <c r="AS11" s="100">
        <f t="shared" si="5"/>
        <v>1260</v>
      </c>
      <c r="AT11" s="101">
        <f t="shared" si="5"/>
        <v>0</v>
      </c>
      <c r="AU11" s="98">
        <f t="shared" si="5"/>
        <v>1260</v>
      </c>
      <c r="AV11" s="99">
        <f t="shared" si="5"/>
        <v>0</v>
      </c>
      <c r="AW11" s="100">
        <f t="shared" si="5"/>
        <v>0</v>
      </c>
      <c r="AX11" s="100">
        <f t="shared" si="5"/>
        <v>3185</v>
      </c>
      <c r="AY11" s="101">
        <f t="shared" si="5"/>
        <v>0</v>
      </c>
      <c r="AZ11" s="98">
        <f t="shared" si="5"/>
        <v>3185</v>
      </c>
      <c r="BA11" s="99">
        <f t="shared" si="5"/>
        <v>0</v>
      </c>
      <c r="BB11" s="100">
        <f t="shared" si="5"/>
        <v>0</v>
      </c>
      <c r="BC11" s="100">
        <f t="shared" si="5"/>
        <v>3650</v>
      </c>
      <c r="BD11" s="101">
        <f t="shared" si="5"/>
        <v>0</v>
      </c>
      <c r="BE11" s="98">
        <f t="shared" si="5"/>
        <v>3650</v>
      </c>
      <c r="BF11" s="1876"/>
      <c r="BG11" s="2006">
        <f t="shared" ref="BG11:BS11" si="6">BG39+BG99+BG131+BG174+BG202</f>
        <v>0</v>
      </c>
      <c r="BH11" s="103">
        <f t="shared" si="6"/>
        <v>0</v>
      </c>
      <c r="BI11" s="104">
        <f t="shared" si="6"/>
        <v>0</v>
      </c>
      <c r="BJ11" s="104">
        <f t="shared" si="6"/>
        <v>0</v>
      </c>
      <c r="BK11" s="105">
        <f t="shared" si="6"/>
        <v>0</v>
      </c>
      <c r="BL11" s="102">
        <f t="shared" si="6"/>
        <v>0</v>
      </c>
      <c r="BM11" s="103">
        <f t="shared" si="6"/>
        <v>0</v>
      </c>
      <c r="BN11" s="104">
        <f t="shared" si="6"/>
        <v>0</v>
      </c>
      <c r="BO11" s="104">
        <f t="shared" si="6"/>
        <v>0</v>
      </c>
      <c r="BP11" s="105">
        <f t="shared" si="6"/>
        <v>0</v>
      </c>
      <c r="BQ11" s="102">
        <f t="shared" si="6"/>
        <v>0</v>
      </c>
      <c r="BR11" s="103">
        <f t="shared" si="6"/>
        <v>0</v>
      </c>
      <c r="BS11" s="104">
        <f t="shared" si="6"/>
        <v>0</v>
      </c>
      <c r="BT11" s="104">
        <f t="shared" ref="BT11:CZ11" si="7">BT39+BT99+BT131+BT174+BT202+BT224+BT256+BT289+BT319</f>
        <v>0</v>
      </c>
      <c r="BU11" s="105">
        <f t="shared" si="7"/>
        <v>0</v>
      </c>
      <c r="BV11" s="102">
        <f t="shared" si="7"/>
        <v>0</v>
      </c>
      <c r="BW11" s="103">
        <f t="shared" si="7"/>
        <v>0</v>
      </c>
      <c r="BX11" s="104">
        <f t="shared" si="7"/>
        <v>0</v>
      </c>
      <c r="BY11" s="104">
        <f t="shared" si="7"/>
        <v>0</v>
      </c>
      <c r="BZ11" s="105">
        <f t="shared" si="7"/>
        <v>0</v>
      </c>
      <c r="CA11" s="102">
        <f t="shared" si="7"/>
        <v>0</v>
      </c>
      <c r="CB11" s="103">
        <f t="shared" si="7"/>
        <v>0</v>
      </c>
      <c r="CC11" s="104">
        <f t="shared" si="7"/>
        <v>1.3833333333333335</v>
      </c>
      <c r="CD11" s="104">
        <f t="shared" si="7"/>
        <v>10.735416666666666</v>
      </c>
      <c r="CE11" s="105">
        <f t="shared" si="7"/>
        <v>19.402083333333334</v>
      </c>
      <c r="CF11" s="102">
        <f t="shared" si="7"/>
        <v>31.520833333333332</v>
      </c>
      <c r="CG11" s="103">
        <f t="shared" si="7"/>
        <v>20.818749999999998</v>
      </c>
      <c r="CH11" s="104">
        <f t="shared" si="7"/>
        <v>19.435416666666665</v>
      </c>
      <c r="CI11" s="104">
        <f t="shared" si="7"/>
        <v>53.895833333333329</v>
      </c>
      <c r="CJ11" s="105">
        <f t="shared" si="7"/>
        <v>45.229166666666664</v>
      </c>
      <c r="CK11" s="102">
        <f t="shared" si="7"/>
        <v>139.37916666666666</v>
      </c>
      <c r="CL11" s="103">
        <f t="shared" si="7"/>
        <v>43.8125</v>
      </c>
      <c r="CM11" s="104">
        <f t="shared" si="7"/>
        <v>43.8125</v>
      </c>
      <c r="CN11" s="104">
        <f t="shared" si="7"/>
        <v>15.75</v>
      </c>
      <c r="CO11" s="105">
        <f t="shared" si="7"/>
        <v>15.75</v>
      </c>
      <c r="CP11" s="102">
        <f t="shared" si="7"/>
        <v>119.125</v>
      </c>
      <c r="CQ11" s="103">
        <f t="shared" si="7"/>
        <v>15.75</v>
      </c>
      <c r="CR11" s="104">
        <f t="shared" si="7"/>
        <v>15.75</v>
      </c>
      <c r="CS11" s="104">
        <f t="shared" si="7"/>
        <v>39.8125</v>
      </c>
      <c r="CT11" s="105">
        <f t="shared" si="7"/>
        <v>39.8125</v>
      </c>
      <c r="CU11" s="102">
        <f t="shared" si="7"/>
        <v>111.125</v>
      </c>
      <c r="CV11" s="103">
        <f t="shared" si="7"/>
        <v>39.8125</v>
      </c>
      <c r="CW11" s="104">
        <f t="shared" si="7"/>
        <v>39.8125</v>
      </c>
      <c r="CX11" s="104">
        <f t="shared" si="7"/>
        <v>45.625</v>
      </c>
      <c r="CY11" s="105">
        <f t="shared" si="7"/>
        <v>45.625</v>
      </c>
      <c r="CZ11" s="102">
        <f t="shared" si="7"/>
        <v>170.875</v>
      </c>
    </row>
    <row r="12" spans="1:104" ht="12.75" customHeight="1">
      <c r="A12" s="4"/>
      <c r="B12" s="4"/>
      <c r="C12" s="90" t="s">
        <v>531</v>
      </c>
      <c r="D12" s="90"/>
      <c r="E12" s="106">
        <f>E31+E39+E90+E99+E121+E131+E163+E174+E192+E202+E216+E224+E247+E256+E281+E289+E311+E319</f>
        <v>51009.114999999998</v>
      </c>
      <c r="F12" s="119">
        <f>F31+F39+F90+F99+F121+F131+F163+F174+F192+F202+F216+F224+F247+F256+F281+F289+F311+F319</f>
        <v>34753.026000000005</v>
      </c>
      <c r="G12" s="119">
        <f>G31+G39+G90+G99+G121+G131+G163+G174+G192+G202+G216+G224+G247+G256+G281+G289+G311+G319</f>
        <v>34712.115000000005</v>
      </c>
      <c r="H12" s="108"/>
      <c r="I12" s="109"/>
      <c r="J12" s="110"/>
      <c r="K12" s="423"/>
      <c r="L12" s="111">
        <f>+L10+L11</f>
        <v>0</v>
      </c>
      <c r="M12" s="112">
        <f t="shared" ref="M12:AP12" si="8">+M10+M11</f>
        <v>0</v>
      </c>
      <c r="N12" s="113">
        <f t="shared" si="8"/>
        <v>0</v>
      </c>
      <c r="O12" s="113">
        <f t="shared" si="8"/>
        <v>0</v>
      </c>
      <c r="P12" s="114">
        <f t="shared" si="8"/>
        <v>0</v>
      </c>
      <c r="Q12" s="111">
        <f t="shared" si="8"/>
        <v>0</v>
      </c>
      <c r="R12" s="112">
        <f t="shared" si="8"/>
        <v>0</v>
      </c>
      <c r="S12" s="113">
        <f t="shared" si="8"/>
        <v>0</v>
      </c>
      <c r="T12" s="113">
        <f t="shared" si="8"/>
        <v>0</v>
      </c>
      <c r="U12" s="114">
        <f t="shared" si="8"/>
        <v>0</v>
      </c>
      <c r="V12" s="111">
        <f t="shared" si="8"/>
        <v>0</v>
      </c>
      <c r="W12" s="112">
        <f t="shared" si="8"/>
        <v>0</v>
      </c>
      <c r="X12" s="113">
        <f t="shared" si="8"/>
        <v>0</v>
      </c>
      <c r="Y12" s="113">
        <f t="shared" si="8"/>
        <v>0</v>
      </c>
      <c r="Z12" s="114">
        <f t="shared" si="8"/>
        <v>0</v>
      </c>
      <c r="AA12" s="111">
        <f>+AA10+AA11</f>
        <v>0</v>
      </c>
      <c r="AB12" s="112">
        <f t="shared" si="8"/>
        <v>0</v>
      </c>
      <c r="AC12" s="113">
        <f t="shared" si="8"/>
        <v>0</v>
      </c>
      <c r="AD12" s="113">
        <f t="shared" si="8"/>
        <v>0</v>
      </c>
      <c r="AE12" s="114">
        <f t="shared" si="8"/>
        <v>0</v>
      </c>
      <c r="AF12" s="111">
        <f t="shared" si="8"/>
        <v>0</v>
      </c>
      <c r="AG12" s="112">
        <f t="shared" si="8"/>
        <v>-550</v>
      </c>
      <c r="AH12" s="113">
        <f t="shared" si="8"/>
        <v>-950</v>
      </c>
      <c r="AI12" s="113">
        <f t="shared" si="8"/>
        <v>819.91100000000006</v>
      </c>
      <c r="AJ12" s="114">
        <f t="shared" si="8"/>
        <v>-414</v>
      </c>
      <c r="AK12" s="111">
        <f t="shared" si="8"/>
        <v>-1094.0889999999999</v>
      </c>
      <c r="AL12" s="112">
        <f t="shared" si="8"/>
        <v>-1220</v>
      </c>
      <c r="AM12" s="113">
        <f t="shared" si="8"/>
        <v>-116</v>
      </c>
      <c r="AN12" s="113">
        <f t="shared" si="8"/>
        <v>3075</v>
      </c>
      <c r="AO12" s="114">
        <f t="shared" si="8"/>
        <v>0</v>
      </c>
      <c r="AP12" s="111">
        <f t="shared" si="8"/>
        <v>1739</v>
      </c>
      <c r="AQ12" s="112">
        <f t="shared" ref="AQ12:AZ12" si="9">+AQ10+AQ11</f>
        <v>0</v>
      </c>
      <c r="AR12" s="113">
        <f t="shared" si="9"/>
        <v>0</v>
      </c>
      <c r="AS12" s="113">
        <f t="shared" si="9"/>
        <v>1226</v>
      </c>
      <c r="AT12" s="114">
        <f t="shared" si="9"/>
        <v>-600</v>
      </c>
      <c r="AU12" s="111">
        <f t="shared" si="9"/>
        <v>626</v>
      </c>
      <c r="AV12" s="112">
        <f t="shared" si="9"/>
        <v>-1000</v>
      </c>
      <c r="AW12" s="113">
        <f t="shared" si="9"/>
        <v>-900</v>
      </c>
      <c r="AX12" s="113">
        <f t="shared" si="9"/>
        <v>2229.5299999999997</v>
      </c>
      <c r="AY12" s="114">
        <f t="shared" si="9"/>
        <v>-1100</v>
      </c>
      <c r="AZ12" s="111">
        <f t="shared" si="9"/>
        <v>-770.47000000000025</v>
      </c>
      <c r="BA12" s="112">
        <f t="shared" ref="BA12:BE12" si="10">+BA10+BA11</f>
        <v>-861</v>
      </c>
      <c r="BB12" s="113">
        <f t="shared" si="10"/>
        <v>-300</v>
      </c>
      <c r="BC12" s="113">
        <f t="shared" si="10"/>
        <v>2761.1350000000002</v>
      </c>
      <c r="BD12" s="114">
        <f t="shared" si="10"/>
        <v>-300</v>
      </c>
      <c r="BE12" s="111">
        <f t="shared" si="10"/>
        <v>1300.1350000000002</v>
      </c>
      <c r="BF12" s="115"/>
      <c r="BG12" s="2007">
        <f t="shared" ref="BG12:CK12" si="11">+BG10+BG11</f>
        <v>0</v>
      </c>
      <c r="BH12" s="116">
        <f t="shared" si="11"/>
        <v>0</v>
      </c>
      <c r="BI12" s="117">
        <f t="shared" si="11"/>
        <v>0</v>
      </c>
      <c r="BJ12" s="117">
        <f t="shared" si="11"/>
        <v>0</v>
      </c>
      <c r="BK12" s="118">
        <f t="shared" si="11"/>
        <v>0</v>
      </c>
      <c r="BL12" s="115">
        <f t="shared" si="11"/>
        <v>0</v>
      </c>
      <c r="BM12" s="116">
        <f t="shared" si="11"/>
        <v>0</v>
      </c>
      <c r="BN12" s="117">
        <f t="shared" si="11"/>
        <v>0</v>
      </c>
      <c r="BO12" s="117">
        <f t="shared" si="11"/>
        <v>0</v>
      </c>
      <c r="BP12" s="118">
        <f t="shared" si="11"/>
        <v>0</v>
      </c>
      <c r="BQ12" s="115">
        <f t="shared" si="11"/>
        <v>0</v>
      </c>
      <c r="BR12" s="116">
        <f t="shared" si="11"/>
        <v>0</v>
      </c>
      <c r="BS12" s="117">
        <f t="shared" si="11"/>
        <v>0</v>
      </c>
      <c r="BT12" s="117">
        <f t="shared" si="11"/>
        <v>0</v>
      </c>
      <c r="BU12" s="118">
        <f t="shared" si="11"/>
        <v>0</v>
      </c>
      <c r="BV12" s="115">
        <f t="shared" si="11"/>
        <v>0</v>
      </c>
      <c r="BW12" s="116">
        <f t="shared" si="11"/>
        <v>0</v>
      </c>
      <c r="BX12" s="117">
        <f t="shared" si="11"/>
        <v>0</v>
      </c>
      <c r="BY12" s="117">
        <f t="shared" si="11"/>
        <v>0</v>
      </c>
      <c r="BZ12" s="118">
        <f t="shared" si="11"/>
        <v>0</v>
      </c>
      <c r="CA12" s="115">
        <f t="shared" si="11"/>
        <v>0</v>
      </c>
      <c r="CB12" s="116">
        <f t="shared" si="11"/>
        <v>-0.7104166666666667</v>
      </c>
      <c r="CC12" s="117">
        <f t="shared" si="11"/>
        <v>-5.5395833333333337</v>
      </c>
      <c r="CD12" s="117">
        <f t="shared" si="11"/>
        <v>-7.5051889089912258</v>
      </c>
      <c r="CE12" s="118">
        <f t="shared" si="11"/>
        <v>-16.080813908991228</v>
      </c>
      <c r="CF12" s="115">
        <f t="shared" si="11"/>
        <v>-29.836002817982457</v>
      </c>
      <c r="CG12" s="116">
        <f t="shared" si="11"/>
        <v>-19.782880575657902</v>
      </c>
      <c r="CH12" s="117">
        <f t="shared" si="11"/>
        <v>-26.591388908991238</v>
      </c>
      <c r="CI12" s="117">
        <f t="shared" si="11"/>
        <v>10.807204385964901</v>
      </c>
      <c r="CJ12" s="118">
        <f t="shared" si="11"/>
        <v>19.382829385964911</v>
      </c>
      <c r="CK12" s="115">
        <f t="shared" si="11"/>
        <v>-16.184235712719271</v>
      </c>
      <c r="CL12" s="116">
        <f t="shared" ref="CL12:CU12" si="12">+CL10+CL11</f>
        <v>23.795312719298245</v>
      </c>
      <c r="CM12" s="117">
        <f t="shared" si="12"/>
        <v>35.432987719298247</v>
      </c>
      <c r="CN12" s="117">
        <f t="shared" si="12"/>
        <v>15.260414912280702</v>
      </c>
      <c r="CO12" s="118">
        <f t="shared" si="12"/>
        <v>7.4270815789473676</v>
      </c>
      <c r="CP12" s="115">
        <f t="shared" si="12"/>
        <v>81.915796929824566</v>
      </c>
      <c r="CQ12" s="116">
        <f t="shared" si="12"/>
        <v>5.208157894736587E-2</v>
      </c>
      <c r="CR12" s="117">
        <f t="shared" si="12"/>
        <v>-2.0854184210526334</v>
      </c>
      <c r="CS12" s="117">
        <f t="shared" si="12"/>
        <v>13.643016754385961</v>
      </c>
      <c r="CT12" s="118">
        <f t="shared" si="12"/>
        <v>10.062230087719296</v>
      </c>
      <c r="CU12" s="115">
        <f t="shared" si="12"/>
        <v>21.671910000000011</v>
      </c>
      <c r="CV12" s="116">
        <f t="shared" ref="CV12:CZ12" si="13">+CV10+CV11</f>
        <v>5.5413967543859641</v>
      </c>
      <c r="CW12" s="117">
        <f t="shared" si="13"/>
        <v>2.2538967543859627</v>
      </c>
      <c r="CX12" s="117">
        <f t="shared" si="13"/>
        <v>12.637675000000002</v>
      </c>
      <c r="CY12" s="118">
        <f t="shared" si="13"/>
        <v>19.468461666666666</v>
      </c>
      <c r="CZ12" s="115">
        <f t="shared" si="13"/>
        <v>39.901430175438577</v>
      </c>
    </row>
    <row r="13" spans="1:104" s="865" customFormat="1" ht="12.75" customHeight="1">
      <c r="A13" s="849"/>
      <c r="B13" s="849"/>
      <c r="C13" s="850"/>
      <c r="D13" s="851"/>
      <c r="E13" s="852"/>
      <c r="F13" s="1335"/>
      <c r="G13" s="1335"/>
      <c r="H13" s="853"/>
      <c r="I13" s="854"/>
      <c r="J13" s="855"/>
      <c r="K13" s="856"/>
      <c r="L13" s="857"/>
      <c r="M13" s="858"/>
      <c r="N13" s="859"/>
      <c r="O13" s="859"/>
      <c r="P13" s="860"/>
      <c r="Q13" s="857"/>
      <c r="R13" s="858"/>
      <c r="S13" s="859"/>
      <c r="T13" s="859"/>
      <c r="U13" s="860"/>
      <c r="V13" s="857"/>
      <c r="W13" s="858"/>
      <c r="X13" s="859"/>
      <c r="Y13" s="859"/>
      <c r="Z13" s="860"/>
      <c r="AA13" s="857"/>
      <c r="AB13" s="858"/>
      <c r="AC13" s="859"/>
      <c r="AD13" s="859"/>
      <c r="AE13" s="860"/>
      <c r="AF13" s="857"/>
      <c r="AG13" s="858"/>
      <c r="AH13" s="859"/>
      <c r="AI13" s="859"/>
      <c r="AJ13" s="860"/>
      <c r="AK13" s="857"/>
      <c r="AL13" s="858"/>
      <c r="AM13" s="859"/>
      <c r="AN13" s="859"/>
      <c r="AO13" s="860"/>
      <c r="AP13" s="857"/>
      <c r="AQ13" s="858"/>
      <c r="AR13" s="859"/>
      <c r="AS13" s="859"/>
      <c r="AT13" s="860"/>
      <c r="AU13" s="857"/>
      <c r="AV13" s="858"/>
      <c r="AW13" s="859"/>
      <c r="AX13" s="859"/>
      <c r="AY13" s="860"/>
      <c r="AZ13" s="857"/>
      <c r="BA13" s="858"/>
      <c r="BB13" s="859"/>
      <c r="BC13" s="859"/>
      <c r="BD13" s="860"/>
      <c r="BE13" s="857"/>
      <c r="BF13" s="861"/>
      <c r="BG13" s="2008"/>
      <c r="BH13" s="862"/>
      <c r="BI13" s="863"/>
      <c r="BJ13" s="863"/>
      <c r="BK13" s="864"/>
      <c r="BL13" s="861"/>
      <c r="BM13" s="862"/>
      <c r="BN13" s="863"/>
      <c r="BO13" s="863"/>
      <c r="BP13" s="864"/>
      <c r="BQ13" s="861"/>
      <c r="BR13" s="862"/>
      <c r="BS13" s="863"/>
      <c r="BT13" s="863"/>
      <c r="BU13" s="864"/>
      <c r="BV13" s="861"/>
      <c r="BW13" s="862"/>
      <c r="BX13" s="863"/>
      <c r="BY13" s="863"/>
      <c r="BZ13" s="864"/>
      <c r="CA13" s="861"/>
      <c r="CB13" s="862"/>
      <c r="CC13" s="863"/>
      <c r="CD13" s="863"/>
      <c r="CE13" s="864"/>
      <c r="CF13" s="861"/>
      <c r="CG13" s="862"/>
      <c r="CH13" s="863"/>
      <c r="CI13" s="863"/>
      <c r="CJ13" s="864"/>
      <c r="CK13" s="861"/>
      <c r="CL13" s="862"/>
      <c r="CM13" s="863"/>
      <c r="CN13" s="863"/>
      <c r="CO13" s="864"/>
      <c r="CP13" s="861"/>
      <c r="CQ13" s="862"/>
      <c r="CR13" s="863"/>
      <c r="CS13" s="863"/>
      <c r="CT13" s="864"/>
      <c r="CU13" s="861"/>
      <c r="CV13" s="862"/>
      <c r="CW13" s="863"/>
      <c r="CX13" s="863"/>
      <c r="CY13" s="864"/>
      <c r="CZ13" s="861"/>
    </row>
    <row r="14" spans="1:104" ht="12.75" customHeight="1">
      <c r="A14" s="4"/>
      <c r="B14" s="4"/>
      <c r="C14" s="204"/>
      <c r="D14" s="90"/>
      <c r="E14" s="106"/>
      <c r="F14" s="119"/>
      <c r="G14" s="119"/>
      <c r="H14" s="108"/>
      <c r="I14" s="109"/>
      <c r="J14" s="110"/>
      <c r="K14" s="80"/>
      <c r="L14" s="111"/>
      <c r="M14" s="112"/>
      <c r="N14" s="113"/>
      <c r="O14" s="113"/>
      <c r="P14" s="114"/>
      <c r="Q14" s="111"/>
      <c r="R14" s="112"/>
      <c r="S14" s="113"/>
      <c r="T14" s="113"/>
      <c r="U14" s="114"/>
      <c r="V14" s="111"/>
      <c r="W14" s="112"/>
      <c r="X14" s="113"/>
      <c r="Y14" s="113"/>
      <c r="Z14" s="114"/>
      <c r="AA14" s="111"/>
      <c r="AB14" s="112"/>
      <c r="AC14" s="113"/>
      <c r="AD14" s="113"/>
      <c r="AE14" s="114"/>
      <c r="AF14" s="111"/>
      <c r="AG14" s="112"/>
      <c r="AH14" s="113"/>
      <c r="AI14" s="113"/>
      <c r="AJ14" s="114"/>
      <c r="AK14" s="111"/>
      <c r="AL14" s="112"/>
      <c r="AM14" s="113"/>
      <c r="AN14" s="113"/>
      <c r="AO14" s="114"/>
      <c r="AP14" s="111"/>
      <c r="AQ14" s="112"/>
      <c r="AR14" s="113"/>
      <c r="AS14" s="113"/>
      <c r="AT14" s="114"/>
      <c r="AU14" s="111"/>
      <c r="AV14" s="112"/>
      <c r="AW14" s="113"/>
      <c r="AX14" s="113"/>
      <c r="AY14" s="114"/>
      <c r="AZ14" s="111"/>
      <c r="BA14" s="112"/>
      <c r="BB14" s="113"/>
      <c r="BC14" s="113"/>
      <c r="BD14" s="114"/>
      <c r="BE14" s="111"/>
      <c r="BF14" s="115"/>
      <c r="BG14" s="2007"/>
      <c r="BH14" s="116"/>
      <c r="BI14" s="117"/>
      <c r="BJ14" s="117"/>
      <c r="BK14" s="118"/>
      <c r="BL14" s="115"/>
      <c r="BM14" s="116"/>
      <c r="BN14" s="117"/>
      <c r="BO14" s="117"/>
      <c r="BP14" s="118"/>
      <c r="BQ14" s="115"/>
      <c r="BR14" s="116"/>
      <c r="BS14" s="117"/>
      <c r="BT14" s="117"/>
      <c r="BU14" s="118"/>
      <c r="BV14" s="115"/>
      <c r="BW14" s="116"/>
      <c r="BX14" s="117"/>
      <c r="BY14" s="117"/>
      <c r="BZ14" s="118"/>
      <c r="CA14" s="115"/>
      <c r="CB14" s="116"/>
      <c r="CC14" s="117"/>
      <c r="CD14" s="117"/>
      <c r="CE14" s="118"/>
      <c r="CF14" s="115"/>
      <c r="CG14" s="116"/>
      <c r="CH14" s="117"/>
      <c r="CI14" s="117"/>
      <c r="CJ14" s="118"/>
      <c r="CK14" s="115"/>
      <c r="CL14" s="116"/>
      <c r="CM14" s="117"/>
      <c r="CN14" s="117"/>
      <c r="CO14" s="118"/>
      <c r="CP14" s="115"/>
      <c r="CQ14" s="116"/>
      <c r="CR14" s="117"/>
      <c r="CS14" s="117"/>
      <c r="CT14" s="118"/>
      <c r="CU14" s="115"/>
      <c r="CV14" s="116"/>
      <c r="CW14" s="117"/>
      <c r="CX14" s="117"/>
      <c r="CY14" s="118"/>
      <c r="CZ14" s="115"/>
    </row>
    <row r="15" spans="1:104" ht="12.75" customHeight="1">
      <c r="A15" s="4"/>
      <c r="B15" s="73" t="s">
        <v>659</v>
      </c>
      <c r="C15" s="74"/>
      <c r="D15" s="15"/>
      <c r="E15" s="126"/>
      <c r="F15" s="37"/>
      <c r="G15" s="37"/>
      <c r="H15" s="37"/>
      <c r="I15" s="127"/>
      <c r="J15" s="128"/>
      <c r="K15" s="129"/>
      <c r="L15" s="35"/>
      <c r="M15" s="130"/>
      <c r="N15" s="39"/>
      <c r="O15" s="39"/>
      <c r="P15" s="131"/>
      <c r="Q15" s="35"/>
      <c r="R15" s="130"/>
      <c r="S15" s="39"/>
      <c r="T15" s="39"/>
      <c r="U15" s="131"/>
      <c r="V15" s="35"/>
      <c r="W15" s="130"/>
      <c r="X15" s="39"/>
      <c r="Y15" s="39"/>
      <c r="Z15" s="131"/>
      <c r="AA15" s="35"/>
      <c r="AB15" s="130"/>
      <c r="AC15" s="39"/>
      <c r="AD15" s="39"/>
      <c r="AE15" s="131"/>
      <c r="AF15" s="35"/>
      <c r="AG15" s="130"/>
      <c r="AH15" s="39"/>
      <c r="AI15" s="39"/>
      <c r="AJ15" s="131"/>
      <c r="AK15" s="35"/>
      <c r="AL15" s="130"/>
      <c r="AM15" s="39"/>
      <c r="AN15" s="39"/>
      <c r="AO15" s="131"/>
      <c r="AP15" s="35"/>
      <c r="AQ15" s="130"/>
      <c r="AR15" s="39"/>
      <c r="AS15" s="39"/>
      <c r="AT15" s="131"/>
      <c r="AU15" s="35"/>
      <c r="AV15" s="130"/>
      <c r="AW15" s="39"/>
      <c r="AX15" s="39"/>
      <c r="AY15" s="131"/>
      <c r="AZ15" s="35"/>
      <c r="BA15" s="130"/>
      <c r="BB15" s="39"/>
      <c r="BC15" s="39"/>
      <c r="BD15" s="131"/>
      <c r="BE15" s="35"/>
      <c r="BF15" s="35"/>
      <c r="BG15" s="2009"/>
      <c r="BH15" s="130"/>
      <c r="BI15" s="39"/>
      <c r="BJ15" s="39"/>
      <c r="BK15" s="131"/>
      <c r="BL15" s="35"/>
      <c r="BM15" s="130"/>
      <c r="BN15" s="39"/>
      <c r="BO15" s="39"/>
      <c r="BP15" s="131"/>
      <c r="BQ15" s="35"/>
      <c r="BR15" s="130"/>
      <c r="BS15" s="39"/>
      <c r="BT15" s="39"/>
      <c r="BU15" s="131"/>
      <c r="BV15" s="35"/>
      <c r="BW15" s="130"/>
      <c r="BX15" s="39"/>
      <c r="BY15" s="39"/>
      <c r="BZ15" s="131"/>
      <c r="CA15" s="35"/>
      <c r="CB15" s="130"/>
      <c r="CC15" s="39"/>
      <c r="CD15" s="39"/>
      <c r="CE15" s="131"/>
      <c r="CF15" s="35"/>
      <c r="CG15" s="130"/>
      <c r="CH15" s="39"/>
      <c r="CI15" s="39"/>
      <c r="CJ15" s="131"/>
      <c r="CK15" s="35"/>
      <c r="CL15" s="130"/>
      <c r="CM15" s="39"/>
      <c r="CN15" s="39"/>
      <c r="CO15" s="131"/>
      <c r="CP15" s="35"/>
      <c r="CQ15" s="130"/>
      <c r="CR15" s="39"/>
      <c r="CS15" s="39"/>
      <c r="CT15" s="131"/>
      <c r="CU15" s="35"/>
      <c r="CV15" s="130"/>
      <c r="CW15" s="39"/>
      <c r="CX15" s="39"/>
      <c r="CY15" s="131"/>
      <c r="CZ15" s="35"/>
    </row>
    <row r="16" spans="1:104" ht="12.75" customHeight="1">
      <c r="A16" s="4"/>
      <c r="B16" s="4"/>
      <c r="C16" s="90"/>
      <c r="D16" s="90"/>
      <c r="E16" s="126"/>
      <c r="F16" s="37"/>
      <c r="G16" s="37"/>
      <c r="H16" s="37"/>
      <c r="I16" s="127"/>
      <c r="J16" s="128"/>
      <c r="K16" s="133"/>
      <c r="L16" s="134"/>
      <c r="M16" s="135"/>
      <c r="N16" s="136"/>
      <c r="O16" s="136"/>
      <c r="P16" s="137"/>
      <c r="Q16" s="134"/>
      <c r="R16" s="135"/>
      <c r="S16" s="136"/>
      <c r="T16" s="136"/>
      <c r="U16" s="137"/>
      <c r="V16" s="134"/>
      <c r="W16" s="135"/>
      <c r="X16" s="136"/>
      <c r="Y16" s="136"/>
      <c r="Z16" s="137"/>
      <c r="AA16" s="134"/>
      <c r="AB16" s="135"/>
      <c r="AC16" s="136"/>
      <c r="AD16" s="136"/>
      <c r="AE16" s="137"/>
      <c r="AF16" s="134"/>
      <c r="AG16" s="135"/>
      <c r="AH16" s="136"/>
      <c r="AI16" s="136"/>
      <c r="AJ16" s="137"/>
      <c r="AK16" s="134"/>
      <c r="AL16" s="135"/>
      <c r="AM16" s="136"/>
      <c r="AN16" s="136"/>
      <c r="AO16" s="137"/>
      <c r="AP16" s="134"/>
      <c r="AQ16" s="135"/>
      <c r="AR16" s="136"/>
      <c r="AS16" s="136"/>
      <c r="AT16" s="137"/>
      <c r="AU16" s="134"/>
      <c r="AV16" s="135"/>
      <c r="AW16" s="136"/>
      <c r="AX16" s="136"/>
      <c r="AY16" s="137"/>
      <c r="AZ16" s="134"/>
      <c r="BA16" s="135"/>
      <c r="BB16" s="136"/>
      <c r="BC16" s="136"/>
      <c r="BD16" s="137"/>
      <c r="BE16" s="134"/>
      <c r="BF16" s="134"/>
      <c r="BG16" s="2010"/>
      <c r="BH16" s="130"/>
      <c r="BI16" s="39"/>
      <c r="BJ16" s="39"/>
      <c r="BK16" s="131"/>
      <c r="BL16" s="138"/>
      <c r="BM16" s="130"/>
      <c r="BN16" s="39"/>
      <c r="BO16" s="39"/>
      <c r="BP16" s="131"/>
      <c r="BQ16" s="138"/>
      <c r="BR16" s="130"/>
      <c r="BS16" s="39"/>
      <c r="BT16" s="39"/>
      <c r="BU16" s="131"/>
      <c r="BV16" s="138"/>
      <c r="BW16" s="130"/>
      <c r="BX16" s="39"/>
      <c r="BY16" s="39"/>
      <c r="BZ16" s="131"/>
      <c r="CA16" s="138"/>
      <c r="CB16" s="130"/>
      <c r="CC16" s="39"/>
      <c r="CD16" s="39"/>
      <c r="CE16" s="131"/>
      <c r="CF16" s="138"/>
      <c r="CG16" s="130"/>
      <c r="CH16" s="39"/>
      <c r="CI16" s="39"/>
      <c r="CJ16" s="131"/>
      <c r="CK16" s="138"/>
      <c r="CL16" s="130"/>
      <c r="CM16" s="39"/>
      <c r="CN16" s="39"/>
      <c r="CO16" s="131"/>
      <c r="CP16" s="138"/>
      <c r="CQ16" s="130"/>
      <c r="CR16" s="39"/>
      <c r="CS16" s="39"/>
      <c r="CT16" s="131"/>
      <c r="CU16" s="138"/>
      <c r="CV16" s="130"/>
      <c r="CW16" s="39"/>
      <c r="CX16" s="39"/>
      <c r="CY16" s="131"/>
      <c r="CZ16" s="138"/>
    </row>
    <row r="17" spans="1:104" ht="12.75" customHeight="1">
      <c r="A17" s="4"/>
      <c r="B17" s="4"/>
      <c r="C17" s="139" t="s">
        <v>532</v>
      </c>
      <c r="D17" s="139"/>
      <c r="E17" s="2120"/>
      <c r="F17" s="2121"/>
      <c r="G17" s="2121"/>
      <c r="H17" s="2121"/>
      <c r="I17" s="37"/>
      <c r="J17" s="37"/>
      <c r="K17" s="140"/>
      <c r="L17" s="134"/>
      <c r="M17" s="135"/>
      <c r="N17" s="136"/>
      <c r="O17" s="136"/>
      <c r="P17" s="137"/>
      <c r="Q17" s="134"/>
      <c r="R17" s="135"/>
      <c r="S17" s="136"/>
      <c r="T17" s="136"/>
      <c r="U17" s="137"/>
      <c r="V17" s="134"/>
      <c r="W17" s="135"/>
      <c r="X17" s="136"/>
      <c r="Y17" s="136"/>
      <c r="Z17" s="137"/>
      <c r="AA17" s="134"/>
      <c r="AB17" s="135"/>
      <c r="AC17" s="136"/>
      <c r="AD17" s="136"/>
      <c r="AE17" s="137"/>
      <c r="AF17" s="134"/>
      <c r="AG17" s="135"/>
      <c r="AH17" s="136"/>
      <c r="AI17" s="136"/>
      <c r="AJ17" s="137"/>
      <c r="AK17" s="134"/>
      <c r="AL17" s="135"/>
      <c r="AM17" s="136"/>
      <c r="AN17" s="136"/>
      <c r="AO17" s="137"/>
      <c r="AP17" s="134"/>
      <c r="AQ17" s="135"/>
      <c r="AR17" s="136"/>
      <c r="AS17" s="136"/>
      <c r="AT17" s="137"/>
      <c r="AU17" s="134"/>
      <c r="AV17" s="135"/>
      <c r="AW17" s="136"/>
      <c r="AX17" s="136"/>
      <c r="AY17" s="137"/>
      <c r="AZ17" s="134"/>
      <c r="BA17" s="135"/>
      <c r="BB17" s="136"/>
      <c r="BC17" s="136"/>
      <c r="BD17" s="137"/>
      <c r="BE17" s="134"/>
      <c r="BF17" s="134"/>
      <c r="BG17" s="2011"/>
      <c r="BH17" s="142"/>
      <c r="BI17" s="143"/>
      <c r="BJ17" s="143"/>
      <c r="BK17" s="144"/>
      <c r="BL17" s="141"/>
      <c r="BM17" s="142"/>
      <c r="BN17" s="143"/>
      <c r="BO17" s="143"/>
      <c r="BP17" s="144"/>
      <c r="BQ17" s="141"/>
      <c r="BR17" s="142"/>
      <c r="BS17" s="143"/>
      <c r="BT17" s="143"/>
      <c r="BU17" s="144"/>
      <c r="BV17" s="141"/>
      <c r="BW17" s="142"/>
      <c r="BX17" s="143"/>
      <c r="BY17" s="143"/>
      <c r="BZ17" s="144"/>
      <c r="CA17" s="141"/>
      <c r="CB17" s="142"/>
      <c r="CC17" s="143"/>
      <c r="CD17" s="143"/>
      <c r="CE17" s="144"/>
      <c r="CF17" s="141"/>
      <c r="CG17" s="142"/>
      <c r="CH17" s="143"/>
      <c r="CI17" s="143"/>
      <c r="CJ17" s="144"/>
      <c r="CK17" s="141"/>
      <c r="CL17" s="142"/>
      <c r="CM17" s="143"/>
      <c r="CN17" s="143"/>
      <c r="CO17" s="144"/>
      <c r="CP17" s="141"/>
      <c r="CQ17" s="142"/>
      <c r="CR17" s="143"/>
      <c r="CS17" s="143"/>
      <c r="CT17" s="144"/>
      <c r="CU17" s="141"/>
      <c r="CV17" s="142"/>
      <c r="CW17" s="143"/>
      <c r="CX17" s="143"/>
      <c r="CY17" s="144"/>
      <c r="CZ17" s="141"/>
    </row>
    <row r="18" spans="1:104" s="232" customFormat="1" ht="12.75" customHeight="1">
      <c r="A18" s="40"/>
      <c r="B18" s="40"/>
      <c r="C18" s="2000" t="s">
        <v>1287</v>
      </c>
      <c r="D18" s="2114"/>
      <c r="E18" s="2115">
        <f t="shared" ref="E18:E29" si="14">IF(F18=0,G18,F18)</f>
        <v>500</v>
      </c>
      <c r="F18" s="2314">
        <v>500</v>
      </c>
      <c r="G18" s="1510">
        <v>500</v>
      </c>
      <c r="H18" s="1334">
        <v>2035</v>
      </c>
      <c r="I18" s="1831">
        <v>5.6250000000000001E-2</v>
      </c>
      <c r="J18" s="1510">
        <v>6</v>
      </c>
      <c r="K18" s="80"/>
      <c r="L18" s="81">
        <f t="shared" ref="L18:L29" si="15">IF(L$5=$H18,-$E18,0)</f>
        <v>0</v>
      </c>
      <c r="M18" s="82">
        <f t="shared" ref="M18:M25" si="16">IF(Q18=0,0,IF(Q18&lt;0,IF($J18=3,Q18,IF($J18=2,Q18,IF($J18=1,Q18,0)))))</f>
        <v>0</v>
      </c>
      <c r="N18" s="83">
        <f t="shared" ref="N18:N25" si="17">IF(Q18=0,0,IF(Q18&lt;0,IF($J18=6,Q18,IF($J18=5,Q18,IF($J18=4,Q18,0)))))</f>
        <v>0</v>
      </c>
      <c r="O18" s="83">
        <f t="shared" ref="O18:O25" si="18">IF(Q18=0,0,IF(Q18&lt;0,IF($J18=9,Q18,IF($J18=8,Q18,IF($J18=7,Q18,0)))))</f>
        <v>0</v>
      </c>
      <c r="P18" s="84">
        <f t="shared" ref="P18:P25" si="19">IF(Q18=0,0,IF(Q18&lt;0,IF($J18=12,Q18,IF($J18=11,Q18,IF($J18=10,Q18,0)))))</f>
        <v>0</v>
      </c>
      <c r="Q18" s="81">
        <f t="shared" ref="Q18:Q29" si="20">IF(Q$5=$H18,-$E18,0)</f>
        <v>0</v>
      </c>
      <c r="R18" s="82">
        <f t="shared" ref="R18:R25" si="21">IF(V18=0,0,IF(V18&lt;0,IF($J18=3,V18,IF($J18=2,V18,IF($J18=1,V18,0)))))</f>
        <v>0</v>
      </c>
      <c r="S18" s="83">
        <f t="shared" ref="S18:S25" si="22">IF(V18=0,0,IF(V18&lt;0,IF($J18=6,V18,IF($J18=5,V18,IF($J18=4,V18,0)))))</f>
        <v>0</v>
      </c>
      <c r="T18" s="83">
        <f t="shared" ref="T18:T25" si="23">IF(V18=0,0,IF(V18&lt;0,IF($J18=9,V18,IF($J18=8,V18,IF($J18=7,V18,0)))))</f>
        <v>0</v>
      </c>
      <c r="U18" s="84">
        <f t="shared" ref="U18:U25" si="24">IF(V18=0,0,IF(V18&lt;0,IF($J18=12,V18,IF($J18=11,V18,IF($J18=10,V18,0)))))</f>
        <v>0</v>
      </c>
      <c r="V18" s="81">
        <f t="shared" ref="V18:V29" si="25">IF(V$5=$H18,-$E18,0)</f>
        <v>0</v>
      </c>
      <c r="W18" s="82">
        <f t="shared" ref="W18:W25" si="26">IF(AA18=0,0,IF(AA18&lt;0,IF($J18=3,AA18,IF($J18=2,AA18,IF($J18=1,AA18,0)))))</f>
        <v>0</v>
      </c>
      <c r="X18" s="83">
        <f t="shared" ref="X18:X25" si="27">IF(AA18=0,0,IF(AA18&lt;0,IF($J18=6,AA18,IF($J18=5,AA18,IF($J18=4,AA18,0)))))</f>
        <v>0</v>
      </c>
      <c r="Y18" s="83">
        <f t="shared" ref="Y18:Y25" si="28">IF(AA18=0,0,IF(AA18&lt;0,IF($J18=9,AA18,IF($J18=8,AA18,IF($J18=7,AA18,0)))))</f>
        <v>0</v>
      </c>
      <c r="Z18" s="84">
        <f t="shared" ref="Z18:Z25" si="29">IF(AA18=0,0,IF(AA18&lt;0,IF($J18=12,AA18,IF($J18=11,AA18,IF($J18=10,AA18,0)))))</f>
        <v>0</v>
      </c>
      <c r="AA18" s="81">
        <f t="shared" ref="AA18:AA29" si="30">IF(AA$5=$H18,-$E18,0)</f>
        <v>0</v>
      </c>
      <c r="AB18" s="82">
        <f t="shared" ref="AB18:AB25" si="31">IF(AF18=0,0,IF(AF18&lt;0,IF($J18=3,AF18,IF($J18=2,AF18,IF($J18=1,AF18,0)))))</f>
        <v>0</v>
      </c>
      <c r="AC18" s="83">
        <f t="shared" ref="AC18:AC25" si="32">IF(AF18=0,0,IF(AF18&lt;0,IF($J18=6,AF18,IF($J18=5,AF18,IF($J18=4,AF18,0)))))</f>
        <v>0</v>
      </c>
      <c r="AD18" s="83">
        <f t="shared" ref="AD18:AD25" si="33">IF(AF18=0,0,IF(AF18&lt;0,IF($J18=9,AF18,IF($J18=8,AF18,IF($J18=7,AF18,0)))))</f>
        <v>0</v>
      </c>
      <c r="AE18" s="84">
        <f t="shared" ref="AE18:AE25" si="34">IF(AF18=0,0,IF(AF18&lt;0,IF($J18=12,AF18,IF($J18=11,AF18,IF($J18=10,AF18,0)))))</f>
        <v>0</v>
      </c>
      <c r="AF18" s="81">
        <f t="shared" ref="AF18:AF29" si="35">IF(AF$5=$H18,-$E18,0)</f>
        <v>0</v>
      </c>
      <c r="AG18" s="82">
        <f t="shared" ref="AG18:AG25" si="36">IF(AK18=0,0,IF(AK18&lt;0,IF($J18=3,AK18,IF($J18=2,AK18,IF($J18=1,AK18,0)))))</f>
        <v>0</v>
      </c>
      <c r="AH18" s="83">
        <f t="shared" ref="AH18:AH25" si="37">IF(AK18=0,0,IF(AK18&lt;0,IF($J18=6,AK18,IF($J18=5,AK18,IF($J18=4,AK18,0)))))</f>
        <v>0</v>
      </c>
      <c r="AI18" s="83">
        <f t="shared" ref="AI18:AI25" si="38">IF(AK18=0,0,IF(AK18&lt;0,IF($J18=9,AK18,IF($J18=8,AK18,IF($J18=7,AK18,0)))))</f>
        <v>0</v>
      </c>
      <c r="AJ18" s="84">
        <f t="shared" ref="AJ18:AJ25" si="39">IF(AK18=0,0,IF(AK18&lt;0,IF($J18=12,AK18,IF($J18=11,AK18,IF($J18=10,AK18,0)))))</f>
        <v>0</v>
      </c>
      <c r="AK18" s="81">
        <f t="shared" ref="AK18:AK29" si="40">IF(AK$5=$H18,-$E18,0)</f>
        <v>0</v>
      </c>
      <c r="AL18" s="82">
        <f t="shared" ref="AL18:AL25" si="41">IF(AP18=0,0,IF(AP18&lt;0,IF($J18=3,AP18,IF($J18=2,AP18,IF($J18=1,AP18,0)))))</f>
        <v>0</v>
      </c>
      <c r="AM18" s="83">
        <f t="shared" ref="AM18:AM25" si="42">IF(AP18=0,0,IF(AP18&lt;0,IF($J18=6,AP18,IF($J18=5,AP18,IF($J18=4,AP18,0)))))</f>
        <v>0</v>
      </c>
      <c r="AN18" s="83">
        <f t="shared" ref="AN18:AN25" si="43">IF(AP18=0,0,IF(AP18&lt;0,IF($J18=9,AP18,IF($J18=8,AP18,IF($J18=7,AP18,0)))))</f>
        <v>0</v>
      </c>
      <c r="AO18" s="84">
        <f t="shared" ref="AO18:AO25" si="44">IF(AP18=0,0,IF(AP18&lt;0,IF($J18=12,AP18,IF($J18=11,AP18,IF($J18=10,AP18,0)))))</f>
        <v>0</v>
      </c>
      <c r="AP18" s="81">
        <f t="shared" ref="AP18:AP29" si="45">IF(AP$5=$H18,-$E18,0)</f>
        <v>0</v>
      </c>
      <c r="AQ18" s="82">
        <f t="shared" ref="AQ18:AQ25" si="46">IF(AU18=0,0,IF(AU18&lt;0,IF($J18=3,AU18,IF($J18=2,AU18,IF($J18=1,AU18,0)))))</f>
        <v>0</v>
      </c>
      <c r="AR18" s="83">
        <f t="shared" ref="AR18:AR25" si="47">IF(AU18=0,0,IF(AU18&lt;0,IF($J18=6,AU18,IF($J18=5,AU18,IF($J18=4,AU18,0)))))</f>
        <v>0</v>
      </c>
      <c r="AS18" s="83">
        <f t="shared" ref="AS18:AS25" si="48">IF(AU18=0,0,IF(AU18&lt;0,IF($J18=9,AU18,IF($J18=8,AU18,IF($J18=7,AU18,0)))))</f>
        <v>0</v>
      </c>
      <c r="AT18" s="84">
        <f t="shared" ref="AT18:AT25" si="49">IF(AU18=0,0,IF(AU18&lt;0,IF($J18=12,AU18,IF($J18=11,AU18,IF($J18=10,AU18,0)))))</f>
        <v>0</v>
      </c>
      <c r="AU18" s="81">
        <f t="shared" ref="AU18:AU29" si="50">IF(AU$5=$H18,-$E18,0)</f>
        <v>0</v>
      </c>
      <c r="AV18" s="82">
        <f t="shared" ref="AV18:AV25" si="51">IF(AZ18=0,0,IF(AZ18&lt;0,IF($J18=3,AZ18,IF($J18=2,AZ18,IF($J18=1,AZ18,0)))))</f>
        <v>0</v>
      </c>
      <c r="AW18" s="83">
        <f t="shared" ref="AW18:AW25" si="52">IF(AZ18=0,0,IF(AZ18&lt;0,IF($J18=6,AZ18,IF($J18=5,AZ18,IF($J18=4,AZ18,0)))))</f>
        <v>0</v>
      </c>
      <c r="AX18" s="83">
        <f t="shared" ref="AX18:AX25" si="53">IF(AZ18=0,0,IF(AZ18&lt;0,IF($J18=9,AZ18,IF($J18=8,AZ18,IF($J18=7,AZ18,0)))))</f>
        <v>0</v>
      </c>
      <c r="AY18" s="84">
        <f t="shared" ref="AY18:AY25" si="54">IF(AZ18=0,0,IF(AZ18&lt;0,IF($J18=12,AZ18,IF($J18=11,AZ18,IF($J18=10,AZ18,0)))))</f>
        <v>0</v>
      </c>
      <c r="AZ18" s="81">
        <f t="shared" ref="AZ18:AZ29" si="55">IF(AZ$5=$H18,-$E18,0)</f>
        <v>0</v>
      </c>
      <c r="BA18" s="82">
        <f t="shared" ref="BA18:BA28" si="56">IF(BE18=0,0,IF(BE18&lt;0,IF($J18=3,BE18,IF($J18=2,BE18,IF($J18=1,BE18,0)))))</f>
        <v>0</v>
      </c>
      <c r="BB18" s="83">
        <f t="shared" ref="BB18:BB28" si="57">IF(BE18=0,0,IF(BE18&lt;0,IF($J18=6,BE18,IF($J18=5,BE18,IF($J18=4,BE18,0)))))</f>
        <v>0</v>
      </c>
      <c r="BC18" s="83">
        <f t="shared" ref="BC18:BC28" si="58">IF(BE18=0,0,IF(BE18&lt;0,IF($J18=9,BE18,IF($J18=8,BE18,IF($J18=7,BE18,0)))))</f>
        <v>0</v>
      </c>
      <c r="BD18" s="84">
        <f t="shared" ref="BD18:BD28" si="59">IF(BE18=0,0,IF(BE18&lt;0,IF($J18=12,BE18,IF($J18=11,BE18,IF($J18=10,BE18,0)))))</f>
        <v>0</v>
      </c>
      <c r="BE18" s="81">
        <f t="shared" ref="BE18:BE29" si="60">IF(BE$5=$H18,-$E18,0)</f>
        <v>0</v>
      </c>
      <c r="BF18" s="1877"/>
      <c r="BG18" s="2005">
        <f t="shared" ref="BG18:BG25" si="61">IF(AND(BF18&lt;&gt;0,BF$5=$H18),-$I18*$E18-BF18,IF(BG$5=$H18,-$I18*$E18*(12-$J18+1)/12,0))</f>
        <v>0</v>
      </c>
      <c r="BH18" s="86">
        <f t="shared" ref="BH18:BH25" si="62">IF($H18&lt;&gt;BL$5,0,IF(BL18&lt;0,IF($J18=1,-$E18*$I18/12*3,IF($J18=2,-$E18*$I18/12*2,IF($J18=3,-$E18*$I18/12*1,0)))))+IF(BG$5&lt;&gt;$H18,0,IF(BG18&lt;0,IF($J18=1,-$E18*$I18/12*0,IF($J18=2,-$E18*$I18/12*1,IF($J18=3,-$E18*$I18/12*2,IF($J18&gt;=4,-$E18*$I18/12*3,0))))))</f>
        <v>0</v>
      </c>
      <c r="BI18" s="87">
        <f t="shared" ref="BI18:BI25" si="63">IF($H18&lt;&gt;BL$5,0,IF(BL18&lt;0,IF(OR($J18=1,$J18=2,$J18=3,$J18=4),-$E18*$I18/12*3,IF($J18=5,-$E18*$I18/12*2,IF($J18=6,-$E18*$I18/12*1,0)))))+IF(BG$5&lt;&gt;$H18,0,IF(BG18&lt;0,IF($J18=4,-$E18*$I18/12*0,IF($J18=5,-$E18*$I18/12*1,IF($J18=6,-$E18*$I18/12*2,IF($J18&gt;=7,-$E18*$I18/12*3,0))))))</f>
        <v>0</v>
      </c>
      <c r="BJ18" s="87">
        <f t="shared" ref="BJ18:BJ25" si="64">IF($H18&lt;&gt;BL$5,0,IF(BL18&lt;0,IF(OR($J18=1,$J18=2,$J18=3,$J18=4,$J18=5,$J18=6,$J18=7),-$E18*$I18/12*3,IF($J18=8,-$E18*$I18/12*2,IF($J18=9,-$E18*$I18/12*1,0)))))+IF(BG$5&lt;&gt;$H18,0,IF(BG18&lt;0,IF($J18=7,-$E18*$I18/12*0,IF($J18=8,-$E18*$I18/12*1,IF($J18=9,-$E18*$I18/12*2,IF($J18&gt;=10,-$E18*$I18/12*3,0))))))</f>
        <v>0</v>
      </c>
      <c r="BK18" s="88">
        <f t="shared" ref="BK18:BK25" si="65">IF($H18&lt;&gt;BL$5,0,IF(BL18&lt;0,IF(OR($J18=1,$J18=2,$J18=3,$J18=4,$J18=5,$J18=6,$J18=7,$J18=8,$J18=9,$J18=10),-$E18*$I18/12*3,IF($J18=11,-$E18*$I18/12*2,IF($J18=12,-$E18*$I18/12*1,0)))))+IF(BG$5&lt;&gt;$H18,0,IF(BG18&lt;0,IF($J18=10,-$E18*$I18/12*0,IF($J18=11,-$E18*$I18/12*1,IF($J18=12,-$E18*$I18/12*2,0)))))</f>
        <v>0</v>
      </c>
      <c r="BL18" s="85">
        <f t="shared" ref="BL18:BL25" si="66">IF(AND(BG18&lt;&gt;0,BG$5=$H18),-$I18*$E18-BG18,IF(BL$5=$H18,-$I18*$E18*(12-$J18+1)/12,0))</f>
        <v>0</v>
      </c>
      <c r="BM18" s="86">
        <f t="shared" ref="BM18:BM25" si="67">IF($H18&lt;&gt;BQ$5,0,IF(BQ18&lt;0,IF($J18=1,-$E18*$I18/12*3,IF($J18=2,-$E18*$I18/12*2,IF($J18=3,-$E18*$I18/12*1,0)))))+IF(BL$5&lt;&gt;$H18,0,IF(BL18&lt;0,IF($J18=1,-$E18*$I18/12*0,IF($J18=2,-$E18*$I18/12*1,IF($J18=3,-$E18*$I18/12*2,IF($J18&gt;=4,-$E18*$I18/12*3,0))))))</f>
        <v>0</v>
      </c>
      <c r="BN18" s="87">
        <f t="shared" ref="BN18:BN25" si="68">IF($H18&lt;&gt;BQ$5,0,IF(BQ18&lt;0,IF(OR($J18=1,$J18=2,$J18=3,$J18=4),-$E18*$I18/12*3,IF($J18=5,-$E18*$I18/12*2,IF($J18=6,-$E18*$I18/12*1,0)))))+IF(BL$5&lt;&gt;$H18,0,IF(BL18&lt;0,IF($J18=4,-$E18*$I18/12*0,IF($J18=5,-$E18*$I18/12*1,IF($J18=6,-$E18*$I18/12*2,IF($J18&gt;=7,-$E18*$I18/12*3,0))))))</f>
        <v>0</v>
      </c>
      <c r="BO18" s="87">
        <f t="shared" ref="BO18:BO25" si="69">IF($H18&lt;&gt;BQ$5,0,IF(BQ18&lt;0,IF(OR($J18=1,$J18=2,$J18=3,$J18=4,$J18=5,$J18=6,$J18=7),-$E18*$I18/12*3,IF($J18=8,-$E18*$I18/12*2,IF($J18=9,-$E18*$I18/12*1,0)))))+IF(BL$5&lt;&gt;$H18,0,IF(BL18&lt;0,IF($J18=7,-$E18*$I18/12*0,IF($J18=8,-$E18*$I18/12*1,IF($J18=9,-$E18*$I18/12*2,IF($J18&gt;=10,-$E18*$I18/12*3,0))))))</f>
        <v>0</v>
      </c>
      <c r="BP18" s="88">
        <f t="shared" ref="BP18:BP25" si="70">IF($H18&lt;&gt;BQ$5,0,IF(BQ18&lt;0,IF(OR($J18=1,$J18=2,$J18=3,$J18=4,$J18=5,$J18=6,$J18=7,$J18=8,$J18=9,$J18=10),-$E18*$I18/12*3,IF($J18=11,-$E18*$I18/12*2,IF($J18=12,-$E18*$I18/12*1,0)))))+IF(BL$5&lt;&gt;$H18,0,IF(BL18&lt;0,IF($J18=10,-$E18*$I18/12*0,IF($J18=11,-$E18*$I18/12*1,IF($J18=12,-$E18*$I18/12*2,0)))))</f>
        <v>0</v>
      </c>
      <c r="BQ18" s="85">
        <f t="shared" ref="BQ18:BQ25" si="71">IF(AND(BL18&lt;&gt;0,BL$5=$H18),-$I18*$E18-BL18,IF(BQ$5=$H18,-$I18*$E18*(12-$J18+1)/12,0))</f>
        <v>0</v>
      </c>
      <c r="BR18" s="86">
        <f t="shared" ref="BR18:BR25" si="72">IF($H18&lt;&gt;BV$5,0,IF(BV18&lt;0,IF($J18=1,-$E18*$I18/12*3,IF($J18=2,-$E18*$I18/12*2,IF($J18=3,-$E18*$I18/12*1,0)))))+IF(BQ$5&lt;&gt;$H18,0,IF(BQ18&lt;0,IF($J18=1,-$E18*$I18/12*0,IF($J18=2,-$E18*$I18/12*1,IF($J18=3,-$E18*$I18/12*2,IF($J18&gt;=4,-$E18*$I18/12*3,0))))))</f>
        <v>0</v>
      </c>
      <c r="BS18" s="87">
        <f t="shared" ref="BS18:BS25" si="73">IF($H18&lt;&gt;BV$5,0,IF(BV18&lt;0,IF(OR($J18=1,$J18=2,$J18=3,$J18=4),-$E18*$I18/12*3,IF($J18=5,-$E18*$I18/12*2,IF($J18=6,-$E18*$I18/12*1,0)))))+IF(BQ$5&lt;&gt;$H18,0,IF(BQ18&lt;0,IF($J18=4,-$E18*$I18/12*0,IF($J18=5,-$E18*$I18/12*1,IF($J18=6,-$E18*$I18/12*2,IF($J18&gt;=7,-$E18*$I18/12*3,0))))))</f>
        <v>0</v>
      </c>
      <c r="BT18" s="87">
        <f t="shared" ref="BT18:BT25" si="74">IF($H18&lt;&gt;BV$5,0,IF(BV18&lt;0,IF(OR($J18=1,$J18=2,$J18=3,$J18=4,$J18=5,$J18=6,$J18=7),-$E18*$I18/12*3,IF($J18=8,-$E18*$I18/12*2,IF($J18=9,-$E18*$I18/12*1,0)))))+IF(BQ$5&lt;&gt;$H18,0,IF(BQ18&lt;0,IF($J18=7,-$E18*$I18/12*0,IF($J18=8,-$E18*$I18/12*1,IF($J18=9,-$E18*$I18/12*2,IF($J18&gt;=10,-$E18*$I18/12*3,0))))))</f>
        <v>0</v>
      </c>
      <c r="BU18" s="88">
        <f t="shared" ref="BU18:BU25" si="75">IF($H18&lt;&gt;BV$5,0,IF(BV18&lt;0,IF(OR($J18=1,$J18=2,$J18=3,$J18=4,$J18=5,$J18=6,$J18=7,$J18=8,$J18=9,$J18=10),-$E18*$I18/12*3,IF($J18=11,-$E18*$I18/12*2,IF($J18=12,-$E18*$I18/12*1,0)))))+IF(BQ$5&lt;&gt;$H18,0,IF(BQ18&lt;0,IF($J18=10,-$E18*$I18/12*0,IF($J18=11,-$E18*$I18/12*1,IF($J18=12,-$E18*$I18/12*2,0)))))</f>
        <v>0</v>
      </c>
      <c r="BV18" s="85">
        <f t="shared" ref="BV18:BV25" si="76">IF(AND(BQ18&lt;&gt;0,BQ$5=$H18),-$I18*$E18-BQ18,IF(BV$5=$H18,-$I18*$E18*(12-$J18+1)/12,0))</f>
        <v>0</v>
      </c>
      <c r="BW18" s="86">
        <f t="shared" ref="BW18:BW25" si="77">IF($H18&lt;&gt;CA$5,0,IF(CA18&lt;0,IF($J18=1,-$E18*$I18/12*3,IF($J18=2,-$E18*$I18/12*2,IF($J18=3,-$E18*$I18/12*1,0)))))+IF(BV$5&lt;&gt;$H18,0,IF(BV18&lt;0,IF($J18=1,-$E18*$I18/12*0,IF($J18=2,-$E18*$I18/12*1,IF($J18=3,-$E18*$I18/12*2,IF($J18&gt;=4,-$E18*$I18/12*3,0))))))</f>
        <v>0</v>
      </c>
      <c r="BX18" s="87">
        <f t="shared" ref="BX18:BX25" si="78">IF($H18&lt;&gt;CA$5,0,IF(CA18&lt;0,IF(OR($J18=1,$J18=2,$J18=3,$J18=4),-$E18*$I18/12*3,IF($J18=5,-$E18*$I18/12*2,IF($J18=6,-$E18*$I18/12*1,0)))))+IF(BV$5&lt;&gt;$H18,0,IF(BV18&lt;0,IF($J18=4,-$E18*$I18/12*0,IF($J18=5,-$E18*$I18/12*1,IF($J18=6,-$E18*$I18/12*2,IF($J18&gt;=7,-$E18*$I18/12*3,0))))))</f>
        <v>0</v>
      </c>
      <c r="BY18" s="87">
        <f t="shared" ref="BY18:BY25" si="79">IF($H18&lt;&gt;CA$5,0,IF(CA18&lt;0,IF(OR($J18=1,$J18=2,$J18=3,$J18=4,$J18=5,$J18=6,$J18=7),-$E18*$I18/12*3,IF($J18=8,-$E18*$I18/12*2,IF($J18=9,-$E18*$I18/12*1,0)))))+IF(BV$5&lt;&gt;$H18,0,IF(BV18&lt;0,IF($J18=7,-$E18*$I18/12*0,IF($J18=8,-$E18*$I18/12*1,IF($J18=9,-$E18*$I18/12*2,IF($J18&gt;=10,-$E18*$I18/12*3,0))))))</f>
        <v>0</v>
      </c>
      <c r="BZ18" s="88">
        <f t="shared" ref="BZ18:BZ25" si="80">IF($H18&lt;&gt;CA$5,0,IF(CA18&lt;0,IF(OR($J18=1,$J18=2,$J18=3,$J18=4,$J18=5,$J18=6,$J18=7,$J18=8,$J18=9,$J18=10),-$E18*$I18/12*3,IF($J18=11,-$E18*$I18/12*2,IF($J18=12,-$E18*$I18/12*1,0)))))+IF(BV$5&lt;&gt;$H18,0,IF(BV18&lt;0,IF($J18=10,-$E18*$I18/12*0,IF($J18=11,-$E18*$I18/12*1,IF($J18=12,-$E18*$I18/12*2,0)))))</f>
        <v>0</v>
      </c>
      <c r="CA18" s="85">
        <f t="shared" ref="CA18:CA25" si="81">IF(AND(BV18&lt;&gt;0,BV$5=$H18),-$I18*$E18-BV18,IF(CA$5=$H18,-$I18*$E18*(12-$J18+1)/12,0))</f>
        <v>0</v>
      </c>
      <c r="CB18" s="86">
        <f t="shared" ref="CB18:CB25" si="82">IF($H18&lt;&gt;CF$5,0,IF(CF18&lt;0,IF($J18=1,-$E18*$I18/12*3,IF($J18=2,-$E18*$I18/12*2,IF($J18=3,-$E18*$I18/12*1,0)))))+IF(CA$5&lt;&gt;$H18,0,IF(CA18&lt;0,IF($J18=1,-$E18*$I18/12*0,IF($J18=2,-$E18*$I18/12*1,IF($J18=3,-$E18*$I18/12*2,IF($J18&gt;=4,-$E18*$I18/12*3,0))))))</f>
        <v>0</v>
      </c>
      <c r="CC18" s="87">
        <f t="shared" ref="CC18:CC25" si="83">IF($H18&lt;&gt;CF$5,0,IF(CF18&lt;0,IF(OR($J18=1,$J18=2,$J18=3,$J18=4),-$E18*$I18/12*3,IF($J18=5,-$E18*$I18/12*2,IF($J18=6,-$E18*$I18/12*1,0)))))+IF(CA$5&lt;&gt;$H18,0,IF(CA18&lt;0,IF($J18=4,-$E18*$I18/12*0,IF($J18=5,-$E18*$I18/12*1,IF($J18=6,-$E18*$I18/12*2,IF($J18&gt;=7,-$E18*$I18/12*3,0))))))</f>
        <v>0</v>
      </c>
      <c r="CD18" s="87">
        <f t="shared" ref="CD18:CD25" si="84">IF($H18&lt;&gt;CF$5,0,IF(CF18&lt;0,IF(OR($J18=1,$J18=2,$J18=3,$J18=4,$J18=5,$J18=6,$J18=7),-$E18*$I18/12*3,IF($J18=8,-$E18*$I18/12*2,IF($J18=9,-$E18*$I18/12*1,0)))))+IF(CA$5&lt;&gt;$H18,0,IF(CA18&lt;0,IF($J18=7,-$E18*$I18/12*0,IF($J18=8,-$E18*$I18/12*1,IF($J18=9,-$E18*$I18/12*2,IF($J18&gt;=10,-$E18*$I18/12*3,0))))))</f>
        <v>0</v>
      </c>
      <c r="CE18" s="88">
        <f t="shared" ref="CE18:CE25" si="85">IF($H18&lt;&gt;CF$5,0,IF(CF18&lt;0,IF(OR($J18=1,$J18=2,$J18=3,$J18=4,$J18=5,$J18=6,$J18=7,$J18=8,$J18=9,$J18=10),-$E18*$I18/12*3,IF($J18=11,-$E18*$I18/12*2,IF($J18=12,-$E18*$I18/12*1,0)))))+IF(CA$5&lt;&gt;$H18,0,IF(CA18&lt;0,IF($J18=10,-$E18*$I18/12*0,IF($J18=11,-$E18*$I18/12*1,IF($J18=12,-$E18*$I18/12*2,0)))))</f>
        <v>0</v>
      </c>
      <c r="CF18" s="85">
        <f t="shared" ref="CF18:CF25" si="86">IF(AND(CA18&lt;&gt;0,CA$5=$H18),-$I18*$E18-CA18,IF(CF$5=$H18,-$I18*$E18*(12-$J18+1)/12,0))</f>
        <v>0</v>
      </c>
      <c r="CG18" s="86">
        <f t="shared" ref="CG18:CG25" si="87">IF($H18&lt;&gt;CK$5,0,IF(CK18&lt;0,IF($J18=1,-$E18*$I18/12*3,IF($J18=2,-$E18*$I18/12*2,IF($J18=3,-$E18*$I18/12*1,0)))))+IF(CF$5&lt;&gt;$H18,0,IF(CF18&lt;0,IF($J18=1,-$E18*$I18/12*0,IF($J18=2,-$E18*$I18/12*1,IF($J18=3,-$E18*$I18/12*2,IF($J18&gt;=4,-$E18*$I18/12*3,0))))))</f>
        <v>0</v>
      </c>
      <c r="CH18" s="87">
        <f t="shared" ref="CH18:CH25" si="88">IF($H18&lt;&gt;CK$5,0,IF(CK18&lt;0,IF(OR($J18=1,$J18=2,$J18=3,$J18=4),-$E18*$I18/12*3,IF($J18=5,-$E18*$I18/12*2,IF($J18=6,-$E18*$I18/12*1,0)))))+IF(CF$5&lt;&gt;$H18,0,IF(CF18&lt;0,IF($J18=4,-$E18*$I18/12*0,IF($J18=5,-$E18*$I18/12*1,IF($J18=6,-$E18*$I18/12*2,IF($J18&gt;=7,-$E18*$I18/12*3,0))))))</f>
        <v>0</v>
      </c>
      <c r="CI18" s="87">
        <f t="shared" ref="CI18:CI25" si="89">IF($H18&lt;&gt;CK$5,0,IF(CK18&lt;0,IF(OR($J18=1,$J18=2,$J18=3,$J18=4,$J18=5,$J18=6,$J18=7),-$E18*$I18/12*3,IF($J18=8,-$E18*$I18/12*2,IF($J18=9,-$E18*$I18/12*1,0)))))+IF(CF$5&lt;&gt;$H18,0,IF(CF18&lt;0,IF($J18=7,-$E18*$I18/12*0,IF($J18=8,-$E18*$I18/12*1,IF($J18=9,-$E18*$I18/12*2,IF($J18&gt;=10,-$E18*$I18/12*3,0))))))</f>
        <v>0</v>
      </c>
      <c r="CJ18" s="88">
        <f t="shared" ref="CJ18:CJ25" si="90">IF($H18&lt;&gt;CK$5,0,IF(CK18&lt;0,IF(OR($J18=1,$J18=2,$J18=3,$J18=4,$J18=5,$J18=6,$J18=7,$J18=8,$J18=9,$J18=10),-$E18*$I18/12*3,IF($J18=11,-$E18*$I18/12*2,IF($J18=12,-$E18*$I18/12*1,0)))))+IF(CF$5&lt;&gt;$H18,0,IF(CF18&lt;0,IF($J18=10,-$E18*$I18/12*0,IF($J18=11,-$E18*$I18/12*1,IF($J18=12,-$E18*$I18/12*2,0)))))</f>
        <v>0</v>
      </c>
      <c r="CK18" s="85">
        <f t="shared" ref="CK18:CK25" si="91">IF(AND(CF18&lt;&gt;0,CF$5=$H18),-$I18*$E18-CF18,IF(CK$5=$H18,-$I18*$E18*(12-$J18+1)/12,0))</f>
        <v>0</v>
      </c>
      <c r="CL18" s="86">
        <f t="shared" ref="CL18:CL25" si="92">IF($H18&lt;&gt;CP$5,0,IF(CP18&lt;0,IF($J18=1,-$E18*$I18/12*3,IF($J18=2,-$E18*$I18/12*2,IF($J18=3,-$E18*$I18/12*1,0)))))+IF(CK$5&lt;&gt;$H18,0,IF(CK18&lt;0,IF($J18=1,-$E18*$I18/12*0,IF($J18=2,-$E18*$I18/12*1,IF($J18=3,-$E18*$I18/12*2,IF($J18&gt;=4,-$E18*$I18/12*3,0))))))</f>
        <v>0</v>
      </c>
      <c r="CM18" s="87">
        <f t="shared" ref="CM18:CM25" si="93">IF($H18&lt;&gt;CP$5,0,IF(CP18&lt;0,IF(OR($J18=1,$J18=2,$J18=3,$J18=4),-$E18*$I18/12*3,IF($J18=5,-$E18*$I18/12*2,IF($J18=6,-$E18*$I18/12*1,0)))))+IF(CK$5&lt;&gt;$H18,0,IF(CK18&lt;0,IF($J18=4,-$E18*$I18/12*0,IF($J18=5,-$E18*$I18/12*1,IF($J18=6,-$E18*$I18/12*2,IF($J18&gt;=7,-$E18*$I18/12*3,0))))))</f>
        <v>0</v>
      </c>
      <c r="CN18" s="87">
        <f t="shared" ref="CN18:CN25" si="94">IF($H18&lt;&gt;CP$5,0,IF(CP18&lt;0,IF(OR($J18=1,$J18=2,$J18=3,$J18=4,$J18=5,$J18=6,$J18=7),-$E18*$I18/12*3,IF($J18=8,-$E18*$I18/12*2,IF($J18=9,-$E18*$I18/12*1,0)))))+IF(CK$5&lt;&gt;$H18,0,IF(CK18&lt;0,IF($J18=7,-$E18*$I18/12*0,IF($J18=8,-$E18*$I18/12*1,IF($J18=9,-$E18*$I18/12*2,IF($J18&gt;=10,-$E18*$I18/12*3,0))))))</f>
        <v>0</v>
      </c>
      <c r="CO18" s="88">
        <f t="shared" ref="CO18:CO25" si="95">IF($H18&lt;&gt;CP$5,0,IF(CP18&lt;0,IF(OR($J18=1,$J18=2,$J18=3,$J18=4,$J18=5,$J18=6,$J18=7,$J18=8,$J18=9,$J18=10),-$E18*$I18/12*3,IF($J18=11,-$E18*$I18/12*2,IF($J18=12,-$E18*$I18/12*1,0)))))+IF(CK$5&lt;&gt;$H18,0,IF(CK18&lt;0,IF($J18=10,-$E18*$I18/12*0,IF($J18=11,-$E18*$I18/12*1,IF($J18=12,-$E18*$I18/12*2,0)))))</f>
        <v>0</v>
      </c>
      <c r="CP18" s="85">
        <f t="shared" ref="CP18:CP25" si="96">IF(AND(CK18&lt;&gt;0,CK$5=$H18),-$I18*$E18-CK18,IF(CP$5=$H18,-$I18*$E18*(12-$J18+1)/12,0))</f>
        <v>0</v>
      </c>
      <c r="CQ18" s="86">
        <f t="shared" ref="CQ18:CQ25" si="97">IF($H18&lt;&gt;CU$5,0,IF(CU18&lt;0,IF($J18=1,-$E18*$I18/12*3,IF($J18=2,-$E18*$I18/12*2,IF($J18=3,-$E18*$I18/12*1,0)))))+IF(CP$5&lt;&gt;$H18,0,IF(CP18&lt;0,IF($J18=1,-$E18*$I18/12*0,IF($J18=2,-$E18*$I18/12*1,IF($J18=3,-$E18*$I18/12*2,IF($J18&gt;=4,-$E18*$I18/12*3,0))))))</f>
        <v>0</v>
      </c>
      <c r="CR18" s="87">
        <f t="shared" ref="CR18:CR25" si="98">IF($H18&lt;&gt;CU$5,0,IF(CU18&lt;0,IF(OR($J18=1,$J18=2,$J18=3,$J18=4),-$E18*$I18/12*3,IF($J18=5,-$E18*$I18/12*2,IF($J18=6,-$E18*$I18/12*1,0)))))+IF(CP$5&lt;&gt;$H18,0,IF(CP18&lt;0,IF($J18=4,-$E18*$I18/12*0,IF($J18=5,-$E18*$I18/12*1,IF($J18=6,-$E18*$I18/12*2,IF($J18&gt;=7,-$E18*$I18/12*3,0))))))</f>
        <v>0</v>
      </c>
      <c r="CS18" s="87">
        <f t="shared" ref="CS18:CS25" si="99">IF($H18&lt;&gt;CU$5,0,IF(CU18&lt;0,IF(OR($J18=1,$J18=2,$J18=3,$J18=4,$J18=5,$J18=6,$J18=7),-$E18*$I18/12*3,IF($J18=8,-$E18*$I18/12*2,IF($J18=9,-$E18*$I18/12*1,0)))))+IF(CP$5&lt;&gt;$H18,0,IF(CP18&lt;0,IF($J18=7,-$E18*$I18/12*0,IF($J18=8,-$E18*$I18/12*1,IF($J18=9,-$E18*$I18/12*2,IF($J18&gt;=10,-$E18*$I18/12*3,0))))))</f>
        <v>0</v>
      </c>
      <c r="CT18" s="88">
        <f t="shared" ref="CT18:CT25" si="100">IF($H18&lt;&gt;CU$5,0,IF(CU18&lt;0,IF(OR($J18=1,$J18=2,$J18=3,$J18=4,$J18=5,$J18=6,$J18=7,$J18=8,$J18=9,$J18=10),-$E18*$I18/12*3,IF($J18=11,-$E18*$I18/12*2,IF($J18=12,-$E18*$I18/12*1,0)))))+IF(CP$5&lt;&gt;$H18,0,IF(CP18&lt;0,IF($J18=10,-$E18*$I18/12*0,IF($J18=11,-$E18*$I18/12*1,IF($J18=12,-$E18*$I18/12*2,0)))))</f>
        <v>0</v>
      </c>
      <c r="CU18" s="85">
        <f t="shared" ref="CU18:CU25" si="101">IF(AND(CP18&lt;&gt;0,CP$5=$H18),-$I18*$E18-CP18,IF(CU$5=$H18,-$I18*$E18*(12-$J18+1)/12,0))</f>
        <v>0</v>
      </c>
      <c r="CV18" s="86">
        <f t="shared" ref="CV18:CV28" si="102">IF($H18&lt;&gt;CZ$5,0,IF(CZ18&lt;0,IF($J18=1,-$E18*$I18/12*3,IF($J18=2,-$E18*$I18/12*2,IF($J18=3,-$E18*$I18/12*1,0)))))+IF(CU$5&lt;&gt;$H18,0,IF(CU18&lt;0,IF($J18=1,-$E18*$I18/12*0,IF($J18=2,-$E18*$I18/12*1,IF($J18=3,-$E18*$I18/12*2,IF($J18&gt;=4,-$E18*$I18/12*3,0))))))</f>
        <v>0</v>
      </c>
      <c r="CW18" s="87">
        <f t="shared" ref="CW18:CW28" si="103">IF($H18&lt;&gt;CZ$5,0,IF(CZ18&lt;0,IF(OR($J18=1,$J18=2,$J18=3,$J18=4),-$E18*$I18/12*3,IF($J18=5,-$E18*$I18/12*2,IF($J18=6,-$E18*$I18/12*1,0)))))+IF(CU$5&lt;&gt;$H18,0,IF(CU18&lt;0,IF($J18=4,-$E18*$I18/12*0,IF($J18=5,-$E18*$I18/12*1,IF($J18=6,-$E18*$I18/12*2,IF($J18&gt;=7,-$E18*$I18/12*3,0))))))</f>
        <v>0</v>
      </c>
      <c r="CX18" s="87">
        <f t="shared" ref="CX18:CX28" si="104">IF($H18&lt;&gt;CZ$5,0,IF(CZ18&lt;0,IF(OR($J18=1,$J18=2,$J18=3,$J18=4,$J18=5,$J18=6,$J18=7),-$E18*$I18/12*3,IF($J18=8,-$E18*$I18/12*2,IF($J18=9,-$E18*$I18/12*1,0)))))+IF(CU$5&lt;&gt;$H18,0,IF(CU18&lt;0,IF($J18=7,-$E18*$I18/12*0,IF($J18=8,-$E18*$I18/12*1,IF($J18=9,-$E18*$I18/12*2,IF($J18&gt;=10,-$E18*$I18/12*3,0))))))</f>
        <v>0</v>
      </c>
      <c r="CY18" s="88">
        <f t="shared" ref="CY18:CY28" si="105">IF($H18&lt;&gt;CZ$5,0,IF(CZ18&lt;0,IF(OR($J18=1,$J18=2,$J18=3,$J18=4,$J18=5,$J18=6,$J18=7,$J18=8,$J18=9,$J18=10),-$E18*$I18/12*3,IF($J18=11,-$E18*$I18/12*2,IF($J18=12,-$E18*$I18/12*1,0)))))+IF(CU$5&lt;&gt;$H18,0,IF(CU18&lt;0,IF($J18=10,-$E18*$I18/12*0,IF($J18=11,-$E18*$I18/12*1,IF($J18=12,-$E18*$I18/12*2,0)))))</f>
        <v>0</v>
      </c>
      <c r="CZ18" s="85">
        <f t="shared" ref="CZ18:CZ28" si="106">IF(AND(CU18&lt;&gt;0,CU$5=$H18),-$I18*$E18-CU18,IF(CZ$5=$H18,-$I18*$E18*(12-$J18+1)/12,0))</f>
        <v>0</v>
      </c>
    </row>
    <row r="19" spans="1:104" s="232" customFormat="1" ht="12.75" customHeight="1">
      <c r="A19" s="40"/>
      <c r="B19" s="40"/>
      <c r="C19" s="145" t="s">
        <v>252</v>
      </c>
      <c r="D19" s="2114"/>
      <c r="E19" s="2115">
        <f t="shared" si="14"/>
        <v>1150</v>
      </c>
      <c r="F19" s="2314">
        <v>1150</v>
      </c>
      <c r="G19" s="1510">
        <v>1150</v>
      </c>
      <c r="H19" s="1334">
        <v>2017</v>
      </c>
      <c r="I19" s="2122">
        <v>2.5000000000000001E-2</v>
      </c>
      <c r="J19" s="1334">
        <v>5</v>
      </c>
      <c r="K19" s="80"/>
      <c r="L19" s="81">
        <f t="shared" si="15"/>
        <v>0</v>
      </c>
      <c r="M19" s="82">
        <f t="shared" si="16"/>
        <v>0</v>
      </c>
      <c r="N19" s="83">
        <f t="shared" si="17"/>
        <v>0</v>
      </c>
      <c r="O19" s="83">
        <f t="shared" si="18"/>
        <v>0</v>
      </c>
      <c r="P19" s="84">
        <f t="shared" si="19"/>
        <v>0</v>
      </c>
      <c r="Q19" s="81">
        <f t="shared" si="20"/>
        <v>0</v>
      </c>
      <c r="R19" s="82">
        <f t="shared" si="21"/>
        <v>0</v>
      </c>
      <c r="S19" s="83">
        <f t="shared" si="22"/>
        <v>0</v>
      </c>
      <c r="T19" s="83">
        <f t="shared" si="23"/>
        <v>0</v>
      </c>
      <c r="U19" s="84">
        <f t="shared" si="24"/>
        <v>0</v>
      </c>
      <c r="V19" s="81">
        <f t="shared" si="25"/>
        <v>0</v>
      </c>
      <c r="W19" s="82">
        <f t="shared" si="26"/>
        <v>0</v>
      </c>
      <c r="X19" s="83">
        <f t="shared" si="27"/>
        <v>0</v>
      </c>
      <c r="Y19" s="83">
        <f t="shared" si="28"/>
        <v>0</v>
      </c>
      <c r="Z19" s="84">
        <f t="shared" si="29"/>
        <v>0</v>
      </c>
      <c r="AA19" s="81">
        <f t="shared" si="30"/>
        <v>0</v>
      </c>
      <c r="AB19" s="82">
        <f t="shared" si="31"/>
        <v>0</v>
      </c>
      <c r="AC19" s="83">
        <f t="shared" si="32"/>
        <v>0</v>
      </c>
      <c r="AD19" s="83">
        <f t="shared" si="33"/>
        <v>0</v>
      </c>
      <c r="AE19" s="84">
        <f t="shared" si="34"/>
        <v>0</v>
      </c>
      <c r="AF19" s="81">
        <f t="shared" si="35"/>
        <v>0</v>
      </c>
      <c r="AG19" s="82">
        <f t="shared" si="36"/>
        <v>0</v>
      </c>
      <c r="AH19" s="83">
        <f t="shared" si="37"/>
        <v>-1150</v>
      </c>
      <c r="AI19" s="83">
        <f t="shared" si="38"/>
        <v>0</v>
      </c>
      <c r="AJ19" s="84">
        <f t="shared" si="39"/>
        <v>0</v>
      </c>
      <c r="AK19" s="81">
        <f t="shared" si="40"/>
        <v>-1150</v>
      </c>
      <c r="AL19" s="82">
        <f t="shared" si="41"/>
        <v>0</v>
      </c>
      <c r="AM19" s="83">
        <f t="shared" si="42"/>
        <v>0</v>
      </c>
      <c r="AN19" s="83">
        <f t="shared" si="43"/>
        <v>0</v>
      </c>
      <c r="AO19" s="84">
        <f t="shared" si="44"/>
        <v>0</v>
      </c>
      <c r="AP19" s="81">
        <f t="shared" si="45"/>
        <v>0</v>
      </c>
      <c r="AQ19" s="82">
        <f t="shared" si="46"/>
        <v>0</v>
      </c>
      <c r="AR19" s="83">
        <f t="shared" si="47"/>
        <v>0</v>
      </c>
      <c r="AS19" s="83">
        <f t="shared" si="48"/>
        <v>0</v>
      </c>
      <c r="AT19" s="84">
        <f t="shared" si="49"/>
        <v>0</v>
      </c>
      <c r="AU19" s="81">
        <f t="shared" si="50"/>
        <v>0</v>
      </c>
      <c r="AV19" s="82">
        <f t="shared" si="51"/>
        <v>0</v>
      </c>
      <c r="AW19" s="83">
        <f t="shared" si="52"/>
        <v>0</v>
      </c>
      <c r="AX19" s="83">
        <f t="shared" si="53"/>
        <v>0</v>
      </c>
      <c r="AY19" s="84">
        <f t="shared" si="54"/>
        <v>0</v>
      </c>
      <c r="AZ19" s="81">
        <f t="shared" si="55"/>
        <v>0</v>
      </c>
      <c r="BA19" s="82">
        <f t="shared" si="56"/>
        <v>0</v>
      </c>
      <c r="BB19" s="83">
        <f t="shared" si="57"/>
        <v>0</v>
      </c>
      <c r="BC19" s="83">
        <f t="shared" si="58"/>
        <v>0</v>
      </c>
      <c r="BD19" s="84">
        <f t="shared" si="59"/>
        <v>0</v>
      </c>
      <c r="BE19" s="81">
        <f t="shared" si="60"/>
        <v>0</v>
      </c>
      <c r="BF19" s="1877"/>
      <c r="BG19" s="2005">
        <f t="shared" si="61"/>
        <v>0</v>
      </c>
      <c r="BH19" s="86">
        <f t="shared" si="62"/>
        <v>0</v>
      </c>
      <c r="BI19" s="87">
        <f t="shared" si="63"/>
        <v>0</v>
      </c>
      <c r="BJ19" s="87">
        <f t="shared" si="64"/>
        <v>0</v>
      </c>
      <c r="BK19" s="88">
        <f t="shared" si="65"/>
        <v>0</v>
      </c>
      <c r="BL19" s="85">
        <f t="shared" si="66"/>
        <v>0</v>
      </c>
      <c r="BM19" s="86">
        <f t="shared" si="67"/>
        <v>0</v>
      </c>
      <c r="BN19" s="87">
        <f t="shared" si="68"/>
        <v>0</v>
      </c>
      <c r="BO19" s="87">
        <f t="shared" si="69"/>
        <v>0</v>
      </c>
      <c r="BP19" s="88">
        <f t="shared" si="70"/>
        <v>0</v>
      </c>
      <c r="BQ19" s="85">
        <f t="shared" si="71"/>
        <v>0</v>
      </c>
      <c r="BR19" s="86">
        <f t="shared" si="72"/>
        <v>0</v>
      </c>
      <c r="BS19" s="87">
        <f t="shared" si="73"/>
        <v>0</v>
      </c>
      <c r="BT19" s="87">
        <f t="shared" si="74"/>
        <v>0</v>
      </c>
      <c r="BU19" s="88">
        <f t="shared" si="75"/>
        <v>0</v>
      </c>
      <c r="BV19" s="85">
        <f t="shared" si="76"/>
        <v>0</v>
      </c>
      <c r="BW19" s="86">
        <f t="shared" si="77"/>
        <v>0</v>
      </c>
      <c r="BX19" s="87">
        <f t="shared" si="78"/>
        <v>0</v>
      </c>
      <c r="BY19" s="87">
        <f t="shared" si="79"/>
        <v>0</v>
      </c>
      <c r="BZ19" s="88">
        <f t="shared" si="80"/>
        <v>0</v>
      </c>
      <c r="CA19" s="85">
        <f t="shared" si="81"/>
        <v>0</v>
      </c>
      <c r="CB19" s="86">
        <f t="shared" si="82"/>
        <v>0</v>
      </c>
      <c r="CC19" s="87">
        <f t="shared" si="83"/>
        <v>-4.791666666666667</v>
      </c>
      <c r="CD19" s="87">
        <f t="shared" si="84"/>
        <v>-7.1875</v>
      </c>
      <c r="CE19" s="88">
        <f t="shared" si="85"/>
        <v>-7.1875</v>
      </c>
      <c r="CF19" s="85">
        <f t="shared" si="86"/>
        <v>-19.166666666666668</v>
      </c>
      <c r="CG19" s="86">
        <f t="shared" si="87"/>
        <v>-7.1875</v>
      </c>
      <c r="CH19" s="87">
        <f t="shared" si="88"/>
        <v>-2.3958333333333335</v>
      </c>
      <c r="CI19" s="87">
        <f t="shared" si="89"/>
        <v>0</v>
      </c>
      <c r="CJ19" s="88">
        <f t="shared" si="90"/>
        <v>0</v>
      </c>
      <c r="CK19" s="85">
        <f t="shared" si="91"/>
        <v>-9.5833333333333321</v>
      </c>
      <c r="CL19" s="86">
        <f t="shared" si="92"/>
        <v>0</v>
      </c>
      <c r="CM19" s="87">
        <f t="shared" si="93"/>
        <v>0</v>
      </c>
      <c r="CN19" s="87">
        <f t="shared" si="94"/>
        <v>0</v>
      </c>
      <c r="CO19" s="88">
        <f t="shared" si="95"/>
        <v>0</v>
      </c>
      <c r="CP19" s="85">
        <f t="shared" si="96"/>
        <v>0</v>
      </c>
      <c r="CQ19" s="86">
        <f t="shared" si="97"/>
        <v>0</v>
      </c>
      <c r="CR19" s="87">
        <f t="shared" si="98"/>
        <v>0</v>
      </c>
      <c r="CS19" s="87">
        <f t="shared" si="99"/>
        <v>0</v>
      </c>
      <c r="CT19" s="88">
        <f t="shared" si="100"/>
        <v>0</v>
      </c>
      <c r="CU19" s="85">
        <f t="shared" si="101"/>
        <v>0</v>
      </c>
      <c r="CV19" s="86">
        <f t="shared" si="102"/>
        <v>0</v>
      </c>
      <c r="CW19" s="87">
        <f t="shared" si="103"/>
        <v>0</v>
      </c>
      <c r="CX19" s="87">
        <f t="shared" si="104"/>
        <v>0</v>
      </c>
      <c r="CY19" s="88">
        <f t="shared" si="105"/>
        <v>0</v>
      </c>
      <c r="CZ19" s="85">
        <f t="shared" si="106"/>
        <v>0</v>
      </c>
    </row>
    <row r="20" spans="1:104" s="232" customFormat="1" ht="12.75" customHeight="1">
      <c r="A20" s="40"/>
      <c r="B20" s="40"/>
      <c r="C20" s="1999" t="s">
        <v>1411</v>
      </c>
      <c r="D20" s="2114"/>
      <c r="E20" s="2115">
        <f t="shared" si="14"/>
        <v>807.08199999999999</v>
      </c>
      <c r="F20" s="2314">
        <v>807.08199999999999</v>
      </c>
      <c r="G20" s="1510">
        <v>807.08199999999999</v>
      </c>
      <c r="H20" s="1334">
        <v>2025</v>
      </c>
      <c r="I20" s="2122">
        <v>3.95E-2</v>
      </c>
      <c r="J20" s="1334">
        <v>6</v>
      </c>
      <c r="K20" s="80"/>
      <c r="L20" s="81">
        <f t="shared" si="15"/>
        <v>0</v>
      </c>
      <c r="M20" s="82">
        <f t="shared" si="16"/>
        <v>0</v>
      </c>
      <c r="N20" s="83">
        <f t="shared" si="17"/>
        <v>0</v>
      </c>
      <c r="O20" s="83">
        <f t="shared" si="18"/>
        <v>0</v>
      </c>
      <c r="P20" s="84">
        <f t="shared" si="19"/>
        <v>0</v>
      </c>
      <c r="Q20" s="81">
        <f t="shared" si="20"/>
        <v>0</v>
      </c>
      <c r="R20" s="82">
        <f t="shared" si="21"/>
        <v>0</v>
      </c>
      <c r="S20" s="83">
        <f t="shared" si="22"/>
        <v>0</v>
      </c>
      <c r="T20" s="83">
        <f t="shared" si="23"/>
        <v>0</v>
      </c>
      <c r="U20" s="84">
        <f t="shared" si="24"/>
        <v>0</v>
      </c>
      <c r="V20" s="81">
        <f t="shared" si="25"/>
        <v>0</v>
      </c>
      <c r="W20" s="82">
        <f t="shared" si="26"/>
        <v>0</v>
      </c>
      <c r="X20" s="83">
        <f t="shared" si="27"/>
        <v>0</v>
      </c>
      <c r="Y20" s="83">
        <f t="shared" si="28"/>
        <v>0</v>
      </c>
      <c r="Z20" s="84">
        <f t="shared" si="29"/>
        <v>0</v>
      </c>
      <c r="AA20" s="81">
        <f t="shared" si="30"/>
        <v>0</v>
      </c>
      <c r="AB20" s="82">
        <f t="shared" si="31"/>
        <v>0</v>
      </c>
      <c r="AC20" s="83">
        <f t="shared" si="32"/>
        <v>0</v>
      </c>
      <c r="AD20" s="83">
        <f t="shared" si="33"/>
        <v>0</v>
      </c>
      <c r="AE20" s="84">
        <f t="shared" si="34"/>
        <v>0</v>
      </c>
      <c r="AF20" s="81">
        <f t="shared" si="35"/>
        <v>0</v>
      </c>
      <c r="AG20" s="82">
        <f t="shared" si="36"/>
        <v>0</v>
      </c>
      <c r="AH20" s="83">
        <f t="shared" si="37"/>
        <v>0</v>
      </c>
      <c r="AI20" s="83">
        <f t="shared" si="38"/>
        <v>0</v>
      </c>
      <c r="AJ20" s="84">
        <f t="shared" si="39"/>
        <v>0</v>
      </c>
      <c r="AK20" s="81">
        <f t="shared" si="40"/>
        <v>0</v>
      </c>
      <c r="AL20" s="82">
        <f t="shared" si="41"/>
        <v>0</v>
      </c>
      <c r="AM20" s="83">
        <f t="shared" si="42"/>
        <v>0</v>
      </c>
      <c r="AN20" s="83">
        <f t="shared" si="43"/>
        <v>0</v>
      </c>
      <c r="AO20" s="84">
        <f t="shared" si="44"/>
        <v>0</v>
      </c>
      <c r="AP20" s="81">
        <f t="shared" si="45"/>
        <v>0</v>
      </c>
      <c r="AQ20" s="82">
        <f t="shared" si="46"/>
        <v>0</v>
      </c>
      <c r="AR20" s="83">
        <f t="shared" si="47"/>
        <v>0</v>
      </c>
      <c r="AS20" s="83">
        <f t="shared" si="48"/>
        <v>0</v>
      </c>
      <c r="AT20" s="84">
        <f t="shared" si="49"/>
        <v>0</v>
      </c>
      <c r="AU20" s="81">
        <f t="shared" si="50"/>
        <v>0</v>
      </c>
      <c r="AV20" s="82">
        <f t="shared" si="51"/>
        <v>0</v>
      </c>
      <c r="AW20" s="83">
        <f t="shared" si="52"/>
        <v>0</v>
      </c>
      <c r="AX20" s="83">
        <f t="shared" si="53"/>
        <v>0</v>
      </c>
      <c r="AY20" s="84">
        <f t="shared" si="54"/>
        <v>0</v>
      </c>
      <c r="AZ20" s="81">
        <f t="shared" si="55"/>
        <v>0</v>
      </c>
      <c r="BA20" s="82">
        <f t="shared" si="56"/>
        <v>0</v>
      </c>
      <c r="BB20" s="83">
        <f t="shared" si="57"/>
        <v>0</v>
      </c>
      <c r="BC20" s="83">
        <f t="shared" si="58"/>
        <v>0</v>
      </c>
      <c r="BD20" s="84">
        <f t="shared" si="59"/>
        <v>0</v>
      </c>
      <c r="BE20" s="81">
        <f t="shared" si="60"/>
        <v>0</v>
      </c>
      <c r="BF20" s="1877"/>
      <c r="BG20" s="2005">
        <f t="shared" si="61"/>
        <v>0</v>
      </c>
      <c r="BH20" s="86">
        <f t="shared" si="62"/>
        <v>0</v>
      </c>
      <c r="BI20" s="87">
        <f t="shared" si="63"/>
        <v>0</v>
      </c>
      <c r="BJ20" s="87">
        <f t="shared" si="64"/>
        <v>0</v>
      </c>
      <c r="BK20" s="88">
        <f t="shared" si="65"/>
        <v>0</v>
      </c>
      <c r="BL20" s="85">
        <f t="shared" si="66"/>
        <v>0</v>
      </c>
      <c r="BM20" s="86">
        <f t="shared" si="67"/>
        <v>0</v>
      </c>
      <c r="BN20" s="87">
        <f t="shared" si="68"/>
        <v>0</v>
      </c>
      <c r="BO20" s="87">
        <f t="shared" si="69"/>
        <v>0</v>
      </c>
      <c r="BP20" s="88">
        <f t="shared" si="70"/>
        <v>0</v>
      </c>
      <c r="BQ20" s="85">
        <f t="shared" si="71"/>
        <v>0</v>
      </c>
      <c r="BR20" s="86">
        <f t="shared" si="72"/>
        <v>0</v>
      </c>
      <c r="BS20" s="87">
        <f t="shared" si="73"/>
        <v>0</v>
      </c>
      <c r="BT20" s="87">
        <f t="shared" si="74"/>
        <v>0</v>
      </c>
      <c r="BU20" s="88">
        <f t="shared" si="75"/>
        <v>0</v>
      </c>
      <c r="BV20" s="85">
        <f t="shared" si="76"/>
        <v>0</v>
      </c>
      <c r="BW20" s="86">
        <f t="shared" si="77"/>
        <v>0</v>
      </c>
      <c r="BX20" s="87">
        <f t="shared" si="78"/>
        <v>0</v>
      </c>
      <c r="BY20" s="87">
        <f t="shared" si="79"/>
        <v>0</v>
      </c>
      <c r="BZ20" s="88">
        <f t="shared" si="80"/>
        <v>0</v>
      </c>
      <c r="CA20" s="85">
        <f t="shared" si="81"/>
        <v>0</v>
      </c>
      <c r="CB20" s="86">
        <f t="shared" si="82"/>
        <v>0</v>
      </c>
      <c r="CC20" s="87">
        <f t="shared" si="83"/>
        <v>0</v>
      </c>
      <c r="CD20" s="87">
        <f t="shared" si="84"/>
        <v>0</v>
      </c>
      <c r="CE20" s="88">
        <f t="shared" si="85"/>
        <v>0</v>
      </c>
      <c r="CF20" s="85">
        <f t="shared" si="86"/>
        <v>0</v>
      </c>
      <c r="CG20" s="86">
        <f t="shared" si="87"/>
        <v>0</v>
      </c>
      <c r="CH20" s="87">
        <f t="shared" si="88"/>
        <v>0</v>
      </c>
      <c r="CI20" s="87">
        <f t="shared" si="89"/>
        <v>0</v>
      </c>
      <c r="CJ20" s="88">
        <f t="shared" si="90"/>
        <v>0</v>
      </c>
      <c r="CK20" s="85">
        <f t="shared" si="91"/>
        <v>0</v>
      </c>
      <c r="CL20" s="86">
        <f t="shared" si="92"/>
        <v>0</v>
      </c>
      <c r="CM20" s="87">
        <f t="shared" si="93"/>
        <v>0</v>
      </c>
      <c r="CN20" s="87">
        <f t="shared" si="94"/>
        <v>0</v>
      </c>
      <c r="CO20" s="88">
        <f t="shared" si="95"/>
        <v>0</v>
      </c>
      <c r="CP20" s="85">
        <f t="shared" si="96"/>
        <v>0</v>
      </c>
      <c r="CQ20" s="86">
        <f t="shared" si="97"/>
        <v>0</v>
      </c>
      <c r="CR20" s="87">
        <f t="shared" si="98"/>
        <v>0</v>
      </c>
      <c r="CS20" s="87">
        <f t="shared" si="99"/>
        <v>0</v>
      </c>
      <c r="CT20" s="88">
        <f t="shared" si="100"/>
        <v>0</v>
      </c>
      <c r="CU20" s="85">
        <f t="shared" si="101"/>
        <v>0</v>
      </c>
      <c r="CV20" s="86">
        <f t="shared" si="102"/>
        <v>0</v>
      </c>
      <c r="CW20" s="87">
        <f t="shared" si="103"/>
        <v>0</v>
      </c>
      <c r="CX20" s="87">
        <f t="shared" si="104"/>
        <v>0</v>
      </c>
      <c r="CY20" s="88">
        <f t="shared" si="105"/>
        <v>0</v>
      </c>
      <c r="CZ20" s="85">
        <f t="shared" si="106"/>
        <v>0</v>
      </c>
    </row>
    <row r="21" spans="1:104" s="232" customFormat="1" ht="12.75" customHeight="1">
      <c r="A21" s="40"/>
      <c r="B21" s="40"/>
      <c r="C21" s="1999" t="s">
        <v>1412</v>
      </c>
      <c r="D21" s="2114"/>
      <c r="E21" s="2115">
        <f t="shared" si="14"/>
        <v>333.48500000000001</v>
      </c>
      <c r="F21" s="2314">
        <v>333.48500000000001</v>
      </c>
      <c r="G21" s="1510">
        <v>333.48500000000001</v>
      </c>
      <c r="H21" s="1334">
        <v>2035</v>
      </c>
      <c r="I21" s="2122">
        <v>4.9500000000000002E-2</v>
      </c>
      <c r="J21" s="1334">
        <v>6</v>
      </c>
      <c r="K21" s="80"/>
      <c r="L21" s="81">
        <f t="shared" si="15"/>
        <v>0</v>
      </c>
      <c r="M21" s="82">
        <f t="shared" si="16"/>
        <v>0</v>
      </c>
      <c r="N21" s="83">
        <f t="shared" si="17"/>
        <v>0</v>
      </c>
      <c r="O21" s="83">
        <f t="shared" si="18"/>
        <v>0</v>
      </c>
      <c r="P21" s="84">
        <f t="shared" si="19"/>
        <v>0</v>
      </c>
      <c r="Q21" s="81">
        <f t="shared" si="20"/>
        <v>0</v>
      </c>
      <c r="R21" s="82">
        <f t="shared" si="21"/>
        <v>0</v>
      </c>
      <c r="S21" s="83">
        <f t="shared" si="22"/>
        <v>0</v>
      </c>
      <c r="T21" s="83">
        <f t="shared" si="23"/>
        <v>0</v>
      </c>
      <c r="U21" s="84">
        <f t="shared" si="24"/>
        <v>0</v>
      </c>
      <c r="V21" s="81">
        <f t="shared" si="25"/>
        <v>0</v>
      </c>
      <c r="W21" s="82">
        <f t="shared" si="26"/>
        <v>0</v>
      </c>
      <c r="X21" s="83">
        <f t="shared" si="27"/>
        <v>0</v>
      </c>
      <c r="Y21" s="83">
        <f t="shared" si="28"/>
        <v>0</v>
      </c>
      <c r="Z21" s="84">
        <f t="shared" si="29"/>
        <v>0</v>
      </c>
      <c r="AA21" s="81">
        <f t="shared" si="30"/>
        <v>0</v>
      </c>
      <c r="AB21" s="82">
        <f t="shared" si="31"/>
        <v>0</v>
      </c>
      <c r="AC21" s="83">
        <f t="shared" si="32"/>
        <v>0</v>
      </c>
      <c r="AD21" s="83">
        <f t="shared" si="33"/>
        <v>0</v>
      </c>
      <c r="AE21" s="84">
        <f t="shared" si="34"/>
        <v>0</v>
      </c>
      <c r="AF21" s="81">
        <f t="shared" si="35"/>
        <v>0</v>
      </c>
      <c r="AG21" s="82">
        <f t="shared" si="36"/>
        <v>0</v>
      </c>
      <c r="AH21" s="83">
        <f t="shared" si="37"/>
        <v>0</v>
      </c>
      <c r="AI21" s="83">
        <f t="shared" si="38"/>
        <v>0</v>
      </c>
      <c r="AJ21" s="84">
        <f t="shared" si="39"/>
        <v>0</v>
      </c>
      <c r="AK21" s="81">
        <f t="shared" si="40"/>
        <v>0</v>
      </c>
      <c r="AL21" s="82">
        <f t="shared" si="41"/>
        <v>0</v>
      </c>
      <c r="AM21" s="83">
        <f t="shared" si="42"/>
        <v>0</v>
      </c>
      <c r="AN21" s="83">
        <f t="shared" si="43"/>
        <v>0</v>
      </c>
      <c r="AO21" s="84">
        <f t="shared" si="44"/>
        <v>0</v>
      </c>
      <c r="AP21" s="81">
        <f t="shared" si="45"/>
        <v>0</v>
      </c>
      <c r="AQ21" s="82">
        <f t="shared" si="46"/>
        <v>0</v>
      </c>
      <c r="AR21" s="83">
        <f t="shared" si="47"/>
        <v>0</v>
      </c>
      <c r="AS21" s="83">
        <f t="shared" si="48"/>
        <v>0</v>
      </c>
      <c r="AT21" s="84">
        <f t="shared" si="49"/>
        <v>0</v>
      </c>
      <c r="AU21" s="81">
        <f t="shared" si="50"/>
        <v>0</v>
      </c>
      <c r="AV21" s="82">
        <f t="shared" si="51"/>
        <v>0</v>
      </c>
      <c r="AW21" s="83">
        <f t="shared" si="52"/>
        <v>0</v>
      </c>
      <c r="AX21" s="83">
        <f t="shared" si="53"/>
        <v>0</v>
      </c>
      <c r="AY21" s="84">
        <f t="shared" si="54"/>
        <v>0</v>
      </c>
      <c r="AZ21" s="81">
        <f t="shared" si="55"/>
        <v>0</v>
      </c>
      <c r="BA21" s="82">
        <f t="shared" si="56"/>
        <v>0</v>
      </c>
      <c r="BB21" s="83">
        <f t="shared" si="57"/>
        <v>0</v>
      </c>
      <c r="BC21" s="83">
        <f t="shared" si="58"/>
        <v>0</v>
      </c>
      <c r="BD21" s="84">
        <f t="shared" si="59"/>
        <v>0</v>
      </c>
      <c r="BE21" s="81">
        <f t="shared" si="60"/>
        <v>0</v>
      </c>
      <c r="BF21" s="1877"/>
      <c r="BG21" s="2005">
        <f t="shared" si="61"/>
        <v>0</v>
      </c>
      <c r="BH21" s="86">
        <f t="shared" si="62"/>
        <v>0</v>
      </c>
      <c r="BI21" s="87">
        <f t="shared" si="63"/>
        <v>0</v>
      </c>
      <c r="BJ21" s="87">
        <f t="shared" si="64"/>
        <v>0</v>
      </c>
      <c r="BK21" s="88">
        <f t="shared" si="65"/>
        <v>0</v>
      </c>
      <c r="BL21" s="85">
        <f t="shared" si="66"/>
        <v>0</v>
      </c>
      <c r="BM21" s="86">
        <f t="shared" si="67"/>
        <v>0</v>
      </c>
      <c r="BN21" s="87">
        <f t="shared" si="68"/>
        <v>0</v>
      </c>
      <c r="BO21" s="87">
        <f t="shared" si="69"/>
        <v>0</v>
      </c>
      <c r="BP21" s="88">
        <f t="shared" si="70"/>
        <v>0</v>
      </c>
      <c r="BQ21" s="85">
        <f t="shared" si="71"/>
        <v>0</v>
      </c>
      <c r="BR21" s="86">
        <f t="shared" si="72"/>
        <v>0</v>
      </c>
      <c r="BS21" s="87">
        <f t="shared" si="73"/>
        <v>0</v>
      </c>
      <c r="BT21" s="87">
        <f t="shared" si="74"/>
        <v>0</v>
      </c>
      <c r="BU21" s="88">
        <f t="shared" si="75"/>
        <v>0</v>
      </c>
      <c r="BV21" s="85">
        <f t="shared" si="76"/>
        <v>0</v>
      </c>
      <c r="BW21" s="86">
        <f t="shared" si="77"/>
        <v>0</v>
      </c>
      <c r="BX21" s="87">
        <f t="shared" si="78"/>
        <v>0</v>
      </c>
      <c r="BY21" s="87">
        <f t="shared" si="79"/>
        <v>0</v>
      </c>
      <c r="BZ21" s="88">
        <f t="shared" si="80"/>
        <v>0</v>
      </c>
      <c r="CA21" s="85">
        <f t="shared" si="81"/>
        <v>0</v>
      </c>
      <c r="CB21" s="86">
        <f t="shared" si="82"/>
        <v>0</v>
      </c>
      <c r="CC21" s="87">
        <f t="shared" si="83"/>
        <v>0</v>
      </c>
      <c r="CD21" s="87">
        <f t="shared" si="84"/>
        <v>0</v>
      </c>
      <c r="CE21" s="88">
        <f t="shared" si="85"/>
        <v>0</v>
      </c>
      <c r="CF21" s="85">
        <f t="shared" si="86"/>
        <v>0</v>
      </c>
      <c r="CG21" s="86">
        <f t="shared" si="87"/>
        <v>0</v>
      </c>
      <c r="CH21" s="87">
        <f t="shared" si="88"/>
        <v>0</v>
      </c>
      <c r="CI21" s="87">
        <f t="shared" si="89"/>
        <v>0</v>
      </c>
      <c r="CJ21" s="88">
        <f t="shared" si="90"/>
        <v>0</v>
      </c>
      <c r="CK21" s="85">
        <f t="shared" si="91"/>
        <v>0</v>
      </c>
      <c r="CL21" s="86">
        <f t="shared" si="92"/>
        <v>0</v>
      </c>
      <c r="CM21" s="87">
        <f t="shared" si="93"/>
        <v>0</v>
      </c>
      <c r="CN21" s="87">
        <f t="shared" si="94"/>
        <v>0</v>
      </c>
      <c r="CO21" s="88">
        <f t="shared" si="95"/>
        <v>0</v>
      </c>
      <c r="CP21" s="85">
        <f t="shared" si="96"/>
        <v>0</v>
      </c>
      <c r="CQ21" s="86">
        <f t="shared" si="97"/>
        <v>0</v>
      </c>
      <c r="CR21" s="87">
        <f t="shared" si="98"/>
        <v>0</v>
      </c>
      <c r="CS21" s="87">
        <f t="shared" si="99"/>
        <v>0</v>
      </c>
      <c r="CT21" s="88">
        <f t="shared" si="100"/>
        <v>0</v>
      </c>
      <c r="CU21" s="85">
        <f t="shared" si="101"/>
        <v>0</v>
      </c>
      <c r="CV21" s="86">
        <f t="shared" si="102"/>
        <v>0</v>
      </c>
      <c r="CW21" s="87">
        <f t="shared" si="103"/>
        <v>0</v>
      </c>
      <c r="CX21" s="87">
        <f t="shared" si="104"/>
        <v>0</v>
      </c>
      <c r="CY21" s="88">
        <f t="shared" si="105"/>
        <v>0</v>
      </c>
      <c r="CZ21" s="85">
        <f t="shared" si="106"/>
        <v>0</v>
      </c>
    </row>
    <row r="22" spans="1:104" s="232" customFormat="1" ht="12.75" customHeight="1">
      <c r="A22" s="40"/>
      <c r="B22" s="40"/>
      <c r="C22" s="1999" t="s">
        <v>1413</v>
      </c>
      <c r="D22" s="2114"/>
      <c r="E22" s="2115">
        <f t="shared" si="14"/>
        <v>741.00099999999998</v>
      </c>
      <c r="F22" s="2314">
        <v>741.00099999999998</v>
      </c>
      <c r="G22" s="1510">
        <v>741.00099999999998</v>
      </c>
      <c r="H22" s="1334">
        <v>2045</v>
      </c>
      <c r="I22" s="2122">
        <v>5.0999999999999997E-2</v>
      </c>
      <c r="J22" s="1334">
        <v>6</v>
      </c>
      <c r="K22" s="80"/>
      <c r="L22" s="81">
        <f t="shared" si="15"/>
        <v>0</v>
      </c>
      <c r="M22" s="82">
        <f t="shared" si="16"/>
        <v>0</v>
      </c>
      <c r="N22" s="83">
        <f t="shared" si="17"/>
        <v>0</v>
      </c>
      <c r="O22" s="83">
        <f t="shared" si="18"/>
        <v>0</v>
      </c>
      <c r="P22" s="84">
        <f t="shared" si="19"/>
        <v>0</v>
      </c>
      <c r="Q22" s="81">
        <f t="shared" si="20"/>
        <v>0</v>
      </c>
      <c r="R22" s="82">
        <f t="shared" si="21"/>
        <v>0</v>
      </c>
      <c r="S22" s="83">
        <f t="shared" si="22"/>
        <v>0</v>
      </c>
      <c r="T22" s="83">
        <f t="shared" si="23"/>
        <v>0</v>
      </c>
      <c r="U22" s="84">
        <f t="shared" si="24"/>
        <v>0</v>
      </c>
      <c r="V22" s="81">
        <f t="shared" si="25"/>
        <v>0</v>
      </c>
      <c r="W22" s="82">
        <f t="shared" si="26"/>
        <v>0</v>
      </c>
      <c r="X22" s="83">
        <f t="shared" si="27"/>
        <v>0</v>
      </c>
      <c r="Y22" s="83">
        <f t="shared" si="28"/>
        <v>0</v>
      </c>
      <c r="Z22" s="84">
        <f t="shared" si="29"/>
        <v>0</v>
      </c>
      <c r="AA22" s="81">
        <f t="shared" si="30"/>
        <v>0</v>
      </c>
      <c r="AB22" s="82">
        <f t="shared" si="31"/>
        <v>0</v>
      </c>
      <c r="AC22" s="83">
        <f t="shared" si="32"/>
        <v>0</v>
      </c>
      <c r="AD22" s="83">
        <f t="shared" si="33"/>
        <v>0</v>
      </c>
      <c r="AE22" s="84">
        <f t="shared" si="34"/>
        <v>0</v>
      </c>
      <c r="AF22" s="81">
        <f t="shared" si="35"/>
        <v>0</v>
      </c>
      <c r="AG22" s="82">
        <f t="shared" si="36"/>
        <v>0</v>
      </c>
      <c r="AH22" s="83">
        <f t="shared" si="37"/>
        <v>0</v>
      </c>
      <c r="AI22" s="83">
        <f t="shared" si="38"/>
        <v>0</v>
      </c>
      <c r="AJ22" s="84">
        <f t="shared" si="39"/>
        <v>0</v>
      </c>
      <c r="AK22" s="81">
        <f t="shared" si="40"/>
        <v>0</v>
      </c>
      <c r="AL22" s="82">
        <f t="shared" si="41"/>
        <v>0</v>
      </c>
      <c r="AM22" s="83">
        <f t="shared" si="42"/>
        <v>0</v>
      </c>
      <c r="AN22" s="83">
        <f t="shared" si="43"/>
        <v>0</v>
      </c>
      <c r="AO22" s="84">
        <f t="shared" si="44"/>
        <v>0</v>
      </c>
      <c r="AP22" s="81">
        <f t="shared" si="45"/>
        <v>0</v>
      </c>
      <c r="AQ22" s="82">
        <f t="shared" si="46"/>
        <v>0</v>
      </c>
      <c r="AR22" s="83">
        <f t="shared" si="47"/>
        <v>0</v>
      </c>
      <c r="AS22" s="83">
        <f t="shared" si="48"/>
        <v>0</v>
      </c>
      <c r="AT22" s="84">
        <f t="shared" si="49"/>
        <v>0</v>
      </c>
      <c r="AU22" s="81">
        <f t="shared" si="50"/>
        <v>0</v>
      </c>
      <c r="AV22" s="82">
        <f t="shared" si="51"/>
        <v>0</v>
      </c>
      <c r="AW22" s="83">
        <f t="shared" si="52"/>
        <v>0</v>
      </c>
      <c r="AX22" s="83">
        <f t="shared" si="53"/>
        <v>0</v>
      </c>
      <c r="AY22" s="84">
        <f t="shared" si="54"/>
        <v>0</v>
      </c>
      <c r="AZ22" s="81">
        <f t="shared" si="55"/>
        <v>0</v>
      </c>
      <c r="BA22" s="82">
        <f t="shared" si="56"/>
        <v>0</v>
      </c>
      <c r="BB22" s="83">
        <f t="shared" si="57"/>
        <v>0</v>
      </c>
      <c r="BC22" s="83">
        <f t="shared" si="58"/>
        <v>0</v>
      </c>
      <c r="BD22" s="84">
        <f t="shared" si="59"/>
        <v>0</v>
      </c>
      <c r="BE22" s="81">
        <f t="shared" si="60"/>
        <v>0</v>
      </c>
      <c r="BF22" s="1877"/>
      <c r="BG22" s="2005">
        <f t="shared" si="61"/>
        <v>0</v>
      </c>
      <c r="BH22" s="86">
        <f t="shared" si="62"/>
        <v>0</v>
      </c>
      <c r="BI22" s="87">
        <f t="shared" si="63"/>
        <v>0</v>
      </c>
      <c r="BJ22" s="87">
        <f t="shared" si="64"/>
        <v>0</v>
      </c>
      <c r="BK22" s="88">
        <f t="shared" si="65"/>
        <v>0</v>
      </c>
      <c r="BL22" s="85">
        <f t="shared" si="66"/>
        <v>0</v>
      </c>
      <c r="BM22" s="86">
        <f t="shared" si="67"/>
        <v>0</v>
      </c>
      <c r="BN22" s="87">
        <f t="shared" si="68"/>
        <v>0</v>
      </c>
      <c r="BO22" s="87">
        <f t="shared" si="69"/>
        <v>0</v>
      </c>
      <c r="BP22" s="88">
        <f t="shared" si="70"/>
        <v>0</v>
      </c>
      <c r="BQ22" s="85">
        <f t="shared" si="71"/>
        <v>0</v>
      </c>
      <c r="BR22" s="86">
        <f t="shared" si="72"/>
        <v>0</v>
      </c>
      <c r="BS22" s="87">
        <f t="shared" si="73"/>
        <v>0</v>
      </c>
      <c r="BT22" s="87">
        <f t="shared" si="74"/>
        <v>0</v>
      </c>
      <c r="BU22" s="88">
        <f t="shared" si="75"/>
        <v>0</v>
      </c>
      <c r="BV22" s="85">
        <f t="shared" si="76"/>
        <v>0</v>
      </c>
      <c r="BW22" s="86">
        <f t="shared" si="77"/>
        <v>0</v>
      </c>
      <c r="BX22" s="87">
        <f t="shared" si="78"/>
        <v>0</v>
      </c>
      <c r="BY22" s="87">
        <f t="shared" si="79"/>
        <v>0</v>
      </c>
      <c r="BZ22" s="88">
        <f t="shared" si="80"/>
        <v>0</v>
      </c>
      <c r="CA22" s="85">
        <f t="shared" si="81"/>
        <v>0</v>
      </c>
      <c r="CB22" s="86">
        <f t="shared" si="82"/>
        <v>0</v>
      </c>
      <c r="CC22" s="87">
        <f t="shared" si="83"/>
        <v>0</v>
      </c>
      <c r="CD22" s="87">
        <f t="shared" si="84"/>
        <v>0</v>
      </c>
      <c r="CE22" s="88">
        <f t="shared" si="85"/>
        <v>0</v>
      </c>
      <c r="CF22" s="85">
        <f t="shared" si="86"/>
        <v>0</v>
      </c>
      <c r="CG22" s="86">
        <f t="shared" si="87"/>
        <v>0</v>
      </c>
      <c r="CH22" s="87">
        <f t="shared" si="88"/>
        <v>0</v>
      </c>
      <c r="CI22" s="87">
        <f t="shared" si="89"/>
        <v>0</v>
      </c>
      <c r="CJ22" s="88">
        <f t="shared" si="90"/>
        <v>0</v>
      </c>
      <c r="CK22" s="85">
        <f t="shared" si="91"/>
        <v>0</v>
      </c>
      <c r="CL22" s="86">
        <f t="shared" si="92"/>
        <v>0</v>
      </c>
      <c r="CM22" s="87">
        <f t="shared" si="93"/>
        <v>0</v>
      </c>
      <c r="CN22" s="87">
        <f t="shared" si="94"/>
        <v>0</v>
      </c>
      <c r="CO22" s="88">
        <f t="shared" si="95"/>
        <v>0</v>
      </c>
      <c r="CP22" s="85">
        <f t="shared" si="96"/>
        <v>0</v>
      </c>
      <c r="CQ22" s="86">
        <f t="shared" si="97"/>
        <v>0</v>
      </c>
      <c r="CR22" s="87">
        <f t="shared" si="98"/>
        <v>0</v>
      </c>
      <c r="CS22" s="87">
        <f t="shared" si="99"/>
        <v>0</v>
      </c>
      <c r="CT22" s="88">
        <f t="shared" si="100"/>
        <v>0</v>
      </c>
      <c r="CU22" s="85">
        <f t="shared" si="101"/>
        <v>0</v>
      </c>
      <c r="CV22" s="86">
        <f t="shared" si="102"/>
        <v>0</v>
      </c>
      <c r="CW22" s="87">
        <f t="shared" si="103"/>
        <v>0</v>
      </c>
      <c r="CX22" s="87">
        <f t="shared" si="104"/>
        <v>0</v>
      </c>
      <c r="CY22" s="88">
        <f t="shared" si="105"/>
        <v>0</v>
      </c>
      <c r="CZ22" s="85">
        <f t="shared" si="106"/>
        <v>0</v>
      </c>
    </row>
    <row r="23" spans="1:104" s="232" customFormat="1" ht="12.75" customHeight="1">
      <c r="A23" s="40"/>
      <c r="B23" s="40"/>
      <c r="C23" s="1999" t="s">
        <v>1414</v>
      </c>
      <c r="D23" s="2114"/>
      <c r="E23" s="2115">
        <f t="shared" si="14"/>
        <v>550</v>
      </c>
      <c r="F23" s="2314">
        <v>0</v>
      </c>
      <c r="G23" s="1510">
        <v>550</v>
      </c>
      <c r="H23" s="1334">
        <v>2017</v>
      </c>
      <c r="I23" s="2122">
        <v>1.55E-2</v>
      </c>
      <c r="J23" s="1334">
        <v>3</v>
      </c>
      <c r="K23" s="80"/>
      <c r="L23" s="81">
        <f t="shared" si="15"/>
        <v>0</v>
      </c>
      <c r="M23" s="82">
        <f t="shared" si="16"/>
        <v>0</v>
      </c>
      <c r="N23" s="83">
        <f t="shared" si="17"/>
        <v>0</v>
      </c>
      <c r="O23" s="83">
        <f t="shared" si="18"/>
        <v>0</v>
      </c>
      <c r="P23" s="84">
        <f t="shared" si="19"/>
        <v>0</v>
      </c>
      <c r="Q23" s="81">
        <f t="shared" si="20"/>
        <v>0</v>
      </c>
      <c r="R23" s="82">
        <f t="shared" si="21"/>
        <v>0</v>
      </c>
      <c r="S23" s="83">
        <f t="shared" si="22"/>
        <v>0</v>
      </c>
      <c r="T23" s="83">
        <f t="shared" si="23"/>
        <v>0</v>
      </c>
      <c r="U23" s="84">
        <f t="shared" si="24"/>
        <v>0</v>
      </c>
      <c r="V23" s="81">
        <f t="shared" si="25"/>
        <v>0</v>
      </c>
      <c r="W23" s="82">
        <f t="shared" si="26"/>
        <v>0</v>
      </c>
      <c r="X23" s="83">
        <f t="shared" si="27"/>
        <v>0</v>
      </c>
      <c r="Y23" s="83">
        <f t="shared" si="28"/>
        <v>0</v>
      </c>
      <c r="Z23" s="84">
        <f t="shared" si="29"/>
        <v>0</v>
      </c>
      <c r="AA23" s="81">
        <f t="shared" si="30"/>
        <v>0</v>
      </c>
      <c r="AB23" s="82">
        <f t="shared" si="31"/>
        <v>0</v>
      </c>
      <c r="AC23" s="83">
        <f t="shared" si="32"/>
        <v>0</v>
      </c>
      <c r="AD23" s="83">
        <f t="shared" si="33"/>
        <v>0</v>
      </c>
      <c r="AE23" s="84">
        <f t="shared" si="34"/>
        <v>0</v>
      </c>
      <c r="AF23" s="81">
        <f t="shared" si="35"/>
        <v>0</v>
      </c>
      <c r="AG23" s="82">
        <f t="shared" si="36"/>
        <v>-550</v>
      </c>
      <c r="AH23" s="83">
        <f t="shared" si="37"/>
        <v>0</v>
      </c>
      <c r="AI23" s="83">
        <f t="shared" si="38"/>
        <v>0</v>
      </c>
      <c r="AJ23" s="84">
        <f t="shared" si="39"/>
        <v>0</v>
      </c>
      <c r="AK23" s="81">
        <f t="shared" si="40"/>
        <v>-550</v>
      </c>
      <c r="AL23" s="82">
        <f t="shared" si="41"/>
        <v>0</v>
      </c>
      <c r="AM23" s="83">
        <f t="shared" si="42"/>
        <v>0</v>
      </c>
      <c r="AN23" s="83">
        <f t="shared" si="43"/>
        <v>0</v>
      </c>
      <c r="AO23" s="84">
        <f t="shared" si="44"/>
        <v>0</v>
      </c>
      <c r="AP23" s="81">
        <f t="shared" si="45"/>
        <v>0</v>
      </c>
      <c r="AQ23" s="82">
        <f t="shared" si="46"/>
        <v>0</v>
      </c>
      <c r="AR23" s="83">
        <f t="shared" si="47"/>
        <v>0</v>
      </c>
      <c r="AS23" s="83">
        <f t="shared" si="48"/>
        <v>0</v>
      </c>
      <c r="AT23" s="84">
        <f t="shared" si="49"/>
        <v>0</v>
      </c>
      <c r="AU23" s="81">
        <f t="shared" si="50"/>
        <v>0</v>
      </c>
      <c r="AV23" s="82">
        <f t="shared" si="51"/>
        <v>0</v>
      </c>
      <c r="AW23" s="83">
        <f t="shared" si="52"/>
        <v>0</v>
      </c>
      <c r="AX23" s="83">
        <f t="shared" si="53"/>
        <v>0</v>
      </c>
      <c r="AY23" s="84">
        <f t="shared" si="54"/>
        <v>0</v>
      </c>
      <c r="AZ23" s="81">
        <f t="shared" si="55"/>
        <v>0</v>
      </c>
      <c r="BA23" s="82">
        <f t="shared" si="56"/>
        <v>0</v>
      </c>
      <c r="BB23" s="83">
        <f t="shared" si="57"/>
        <v>0</v>
      </c>
      <c r="BC23" s="83">
        <f t="shared" si="58"/>
        <v>0</v>
      </c>
      <c r="BD23" s="84">
        <f t="shared" si="59"/>
        <v>0</v>
      </c>
      <c r="BE23" s="81">
        <f t="shared" si="60"/>
        <v>0</v>
      </c>
      <c r="BF23" s="1877"/>
      <c r="BG23" s="2005">
        <f t="shared" si="61"/>
        <v>0</v>
      </c>
      <c r="BH23" s="86">
        <f t="shared" si="62"/>
        <v>0</v>
      </c>
      <c r="BI23" s="87">
        <f t="shared" si="63"/>
        <v>0</v>
      </c>
      <c r="BJ23" s="87">
        <f t="shared" si="64"/>
        <v>0</v>
      </c>
      <c r="BK23" s="88">
        <f t="shared" si="65"/>
        <v>0</v>
      </c>
      <c r="BL23" s="85">
        <f t="shared" si="66"/>
        <v>0</v>
      </c>
      <c r="BM23" s="86">
        <f t="shared" si="67"/>
        <v>0</v>
      </c>
      <c r="BN23" s="87">
        <f t="shared" si="68"/>
        <v>0</v>
      </c>
      <c r="BO23" s="87">
        <f t="shared" si="69"/>
        <v>0</v>
      </c>
      <c r="BP23" s="88">
        <f t="shared" si="70"/>
        <v>0</v>
      </c>
      <c r="BQ23" s="85">
        <f t="shared" si="71"/>
        <v>0</v>
      </c>
      <c r="BR23" s="86">
        <f t="shared" si="72"/>
        <v>0</v>
      </c>
      <c r="BS23" s="87">
        <f t="shared" si="73"/>
        <v>0</v>
      </c>
      <c r="BT23" s="87">
        <f t="shared" si="74"/>
        <v>0</v>
      </c>
      <c r="BU23" s="88">
        <f t="shared" si="75"/>
        <v>0</v>
      </c>
      <c r="BV23" s="85">
        <f t="shared" si="76"/>
        <v>0</v>
      </c>
      <c r="BW23" s="86">
        <f t="shared" si="77"/>
        <v>0</v>
      </c>
      <c r="BX23" s="87">
        <f t="shared" si="78"/>
        <v>0</v>
      </c>
      <c r="BY23" s="87">
        <f t="shared" si="79"/>
        <v>0</v>
      </c>
      <c r="BZ23" s="88">
        <f t="shared" si="80"/>
        <v>0</v>
      </c>
      <c r="CA23" s="85">
        <f t="shared" si="81"/>
        <v>0</v>
      </c>
      <c r="CB23" s="86">
        <f t="shared" si="82"/>
        <v>-0.7104166666666667</v>
      </c>
      <c r="CC23" s="87">
        <f t="shared" si="83"/>
        <v>-2.1312500000000001</v>
      </c>
      <c r="CD23" s="87">
        <f t="shared" si="84"/>
        <v>-2.1312500000000001</v>
      </c>
      <c r="CE23" s="88">
        <f t="shared" si="85"/>
        <v>-2.1312500000000001</v>
      </c>
      <c r="CF23" s="85">
        <f t="shared" si="86"/>
        <v>-7.104166666666667</v>
      </c>
      <c r="CG23" s="86">
        <f t="shared" si="87"/>
        <v>-1.4208333333333334</v>
      </c>
      <c r="CH23" s="87">
        <f t="shared" si="88"/>
        <v>0</v>
      </c>
      <c r="CI23" s="87">
        <f t="shared" si="89"/>
        <v>0</v>
      </c>
      <c r="CJ23" s="88">
        <f t="shared" si="90"/>
        <v>0</v>
      </c>
      <c r="CK23" s="85">
        <f t="shared" si="91"/>
        <v>-1.4208333333333334</v>
      </c>
      <c r="CL23" s="86">
        <f t="shared" si="92"/>
        <v>0</v>
      </c>
      <c r="CM23" s="87">
        <f t="shared" si="93"/>
        <v>0</v>
      </c>
      <c r="CN23" s="87">
        <f t="shared" si="94"/>
        <v>0</v>
      </c>
      <c r="CO23" s="88">
        <f t="shared" si="95"/>
        <v>0</v>
      </c>
      <c r="CP23" s="85">
        <f t="shared" si="96"/>
        <v>0</v>
      </c>
      <c r="CQ23" s="86">
        <f t="shared" si="97"/>
        <v>0</v>
      </c>
      <c r="CR23" s="87">
        <f t="shared" si="98"/>
        <v>0</v>
      </c>
      <c r="CS23" s="87">
        <f t="shared" si="99"/>
        <v>0</v>
      </c>
      <c r="CT23" s="88">
        <f t="shared" si="100"/>
        <v>0</v>
      </c>
      <c r="CU23" s="85">
        <f t="shared" si="101"/>
        <v>0</v>
      </c>
      <c r="CV23" s="86">
        <f t="shared" si="102"/>
        <v>0</v>
      </c>
      <c r="CW23" s="87">
        <f t="shared" si="103"/>
        <v>0</v>
      </c>
      <c r="CX23" s="87">
        <f t="shared" si="104"/>
        <v>0</v>
      </c>
      <c r="CY23" s="88">
        <f t="shared" si="105"/>
        <v>0</v>
      </c>
      <c r="CZ23" s="85">
        <f t="shared" si="106"/>
        <v>0</v>
      </c>
    </row>
    <row r="24" spans="1:104" s="232" customFormat="1" ht="12.75" customHeight="1">
      <c r="A24" s="40"/>
      <c r="B24" s="40"/>
      <c r="C24" s="1999" t="s">
        <v>1415</v>
      </c>
      <c r="D24" s="2114"/>
      <c r="E24" s="2115">
        <f t="shared" si="14"/>
        <v>900</v>
      </c>
      <c r="F24" s="2314">
        <v>900</v>
      </c>
      <c r="G24" s="1510">
        <v>900</v>
      </c>
      <c r="H24" s="1334">
        <v>2020</v>
      </c>
      <c r="I24" s="2122">
        <v>2.8500000000000001E-2</v>
      </c>
      <c r="J24" s="1334">
        <v>6</v>
      </c>
      <c r="K24" s="80"/>
      <c r="L24" s="81">
        <f t="shared" si="15"/>
        <v>0</v>
      </c>
      <c r="M24" s="82">
        <f t="shared" si="16"/>
        <v>0</v>
      </c>
      <c r="N24" s="83">
        <f t="shared" si="17"/>
        <v>0</v>
      </c>
      <c r="O24" s="83">
        <f t="shared" si="18"/>
        <v>0</v>
      </c>
      <c r="P24" s="84">
        <f t="shared" si="19"/>
        <v>0</v>
      </c>
      <c r="Q24" s="81">
        <f t="shared" si="20"/>
        <v>0</v>
      </c>
      <c r="R24" s="82">
        <f t="shared" si="21"/>
        <v>0</v>
      </c>
      <c r="S24" s="83">
        <f t="shared" si="22"/>
        <v>0</v>
      </c>
      <c r="T24" s="83">
        <f t="shared" si="23"/>
        <v>0</v>
      </c>
      <c r="U24" s="84">
        <f t="shared" si="24"/>
        <v>0</v>
      </c>
      <c r="V24" s="81">
        <f t="shared" si="25"/>
        <v>0</v>
      </c>
      <c r="W24" s="82">
        <f t="shared" si="26"/>
        <v>0</v>
      </c>
      <c r="X24" s="83">
        <f t="shared" si="27"/>
        <v>0</v>
      </c>
      <c r="Y24" s="83">
        <f t="shared" si="28"/>
        <v>0</v>
      </c>
      <c r="Z24" s="84">
        <f t="shared" si="29"/>
        <v>0</v>
      </c>
      <c r="AA24" s="81">
        <f t="shared" si="30"/>
        <v>0</v>
      </c>
      <c r="AB24" s="82">
        <f t="shared" si="31"/>
        <v>0</v>
      </c>
      <c r="AC24" s="83">
        <f t="shared" si="32"/>
        <v>0</v>
      </c>
      <c r="AD24" s="83">
        <f t="shared" si="33"/>
        <v>0</v>
      </c>
      <c r="AE24" s="84">
        <f t="shared" si="34"/>
        <v>0</v>
      </c>
      <c r="AF24" s="81">
        <f t="shared" si="35"/>
        <v>0</v>
      </c>
      <c r="AG24" s="82">
        <f t="shared" si="36"/>
        <v>0</v>
      </c>
      <c r="AH24" s="83">
        <f t="shared" si="37"/>
        <v>0</v>
      </c>
      <c r="AI24" s="83">
        <f t="shared" si="38"/>
        <v>0</v>
      </c>
      <c r="AJ24" s="84">
        <f t="shared" si="39"/>
        <v>0</v>
      </c>
      <c r="AK24" s="81">
        <f t="shared" si="40"/>
        <v>0</v>
      </c>
      <c r="AL24" s="82">
        <f t="shared" si="41"/>
        <v>0</v>
      </c>
      <c r="AM24" s="83">
        <f t="shared" si="42"/>
        <v>0</v>
      </c>
      <c r="AN24" s="83">
        <f t="shared" si="43"/>
        <v>0</v>
      </c>
      <c r="AO24" s="84">
        <f t="shared" si="44"/>
        <v>0</v>
      </c>
      <c r="AP24" s="81">
        <f t="shared" si="45"/>
        <v>0</v>
      </c>
      <c r="AQ24" s="82">
        <f t="shared" si="46"/>
        <v>0</v>
      </c>
      <c r="AR24" s="83">
        <f t="shared" si="47"/>
        <v>0</v>
      </c>
      <c r="AS24" s="83">
        <f t="shared" si="48"/>
        <v>0</v>
      </c>
      <c r="AT24" s="84">
        <f t="shared" si="49"/>
        <v>0</v>
      </c>
      <c r="AU24" s="81">
        <f t="shared" si="50"/>
        <v>0</v>
      </c>
      <c r="AV24" s="82">
        <f t="shared" si="51"/>
        <v>0</v>
      </c>
      <c r="AW24" s="83">
        <f t="shared" si="52"/>
        <v>-900</v>
      </c>
      <c r="AX24" s="83">
        <f t="shared" si="53"/>
        <v>0</v>
      </c>
      <c r="AY24" s="84">
        <f t="shared" si="54"/>
        <v>0</v>
      </c>
      <c r="AZ24" s="81">
        <f t="shared" si="55"/>
        <v>-900</v>
      </c>
      <c r="BA24" s="82">
        <f t="shared" si="56"/>
        <v>0</v>
      </c>
      <c r="BB24" s="83">
        <f t="shared" si="57"/>
        <v>0</v>
      </c>
      <c r="BC24" s="83">
        <f t="shared" si="58"/>
        <v>0</v>
      </c>
      <c r="BD24" s="84">
        <f t="shared" si="59"/>
        <v>0</v>
      </c>
      <c r="BE24" s="81">
        <f t="shared" si="60"/>
        <v>0</v>
      </c>
      <c r="BF24" s="1877"/>
      <c r="BG24" s="2005">
        <f t="shared" si="61"/>
        <v>0</v>
      </c>
      <c r="BH24" s="86">
        <f t="shared" si="62"/>
        <v>0</v>
      </c>
      <c r="BI24" s="87">
        <f t="shared" si="63"/>
        <v>0</v>
      </c>
      <c r="BJ24" s="87">
        <f t="shared" si="64"/>
        <v>0</v>
      </c>
      <c r="BK24" s="88">
        <f t="shared" si="65"/>
        <v>0</v>
      </c>
      <c r="BL24" s="85">
        <f t="shared" si="66"/>
        <v>0</v>
      </c>
      <c r="BM24" s="86">
        <f t="shared" si="67"/>
        <v>0</v>
      </c>
      <c r="BN24" s="87">
        <f t="shared" si="68"/>
        <v>0</v>
      </c>
      <c r="BO24" s="87">
        <f t="shared" si="69"/>
        <v>0</v>
      </c>
      <c r="BP24" s="88">
        <f t="shared" si="70"/>
        <v>0</v>
      </c>
      <c r="BQ24" s="85">
        <f t="shared" si="71"/>
        <v>0</v>
      </c>
      <c r="BR24" s="86">
        <f t="shared" si="72"/>
        <v>0</v>
      </c>
      <c r="BS24" s="87">
        <f t="shared" si="73"/>
        <v>0</v>
      </c>
      <c r="BT24" s="87">
        <f t="shared" si="74"/>
        <v>0</v>
      </c>
      <c r="BU24" s="88">
        <f t="shared" si="75"/>
        <v>0</v>
      </c>
      <c r="BV24" s="85">
        <f t="shared" si="76"/>
        <v>0</v>
      </c>
      <c r="BW24" s="86">
        <f t="shared" si="77"/>
        <v>0</v>
      </c>
      <c r="BX24" s="87">
        <f t="shared" si="78"/>
        <v>0</v>
      </c>
      <c r="BY24" s="87">
        <f t="shared" si="79"/>
        <v>0</v>
      </c>
      <c r="BZ24" s="88">
        <f t="shared" si="80"/>
        <v>0</v>
      </c>
      <c r="CA24" s="85">
        <f t="shared" si="81"/>
        <v>0</v>
      </c>
      <c r="CB24" s="86">
        <f t="shared" si="82"/>
        <v>0</v>
      </c>
      <c r="CC24" s="87">
        <f t="shared" si="83"/>
        <v>0</v>
      </c>
      <c r="CD24" s="87">
        <f t="shared" si="84"/>
        <v>0</v>
      </c>
      <c r="CE24" s="88">
        <f t="shared" si="85"/>
        <v>0</v>
      </c>
      <c r="CF24" s="85">
        <f t="shared" si="86"/>
        <v>0</v>
      </c>
      <c r="CG24" s="86">
        <f t="shared" si="87"/>
        <v>0</v>
      </c>
      <c r="CH24" s="87">
        <f t="shared" si="88"/>
        <v>0</v>
      </c>
      <c r="CI24" s="87">
        <f t="shared" si="89"/>
        <v>0</v>
      </c>
      <c r="CJ24" s="88">
        <f t="shared" si="90"/>
        <v>0</v>
      </c>
      <c r="CK24" s="85">
        <f t="shared" si="91"/>
        <v>0</v>
      </c>
      <c r="CL24" s="86">
        <f t="shared" si="92"/>
        <v>0</v>
      </c>
      <c r="CM24" s="87">
        <f t="shared" si="93"/>
        <v>0</v>
      </c>
      <c r="CN24" s="87">
        <f t="shared" si="94"/>
        <v>0</v>
      </c>
      <c r="CO24" s="88">
        <f t="shared" si="95"/>
        <v>0</v>
      </c>
      <c r="CP24" s="85">
        <f t="shared" si="96"/>
        <v>0</v>
      </c>
      <c r="CQ24" s="86">
        <f t="shared" si="97"/>
        <v>0</v>
      </c>
      <c r="CR24" s="87">
        <f t="shared" si="98"/>
        <v>-2.1375000000000002</v>
      </c>
      <c r="CS24" s="87">
        <f t="shared" si="99"/>
        <v>-6.4125000000000005</v>
      </c>
      <c r="CT24" s="88">
        <f t="shared" si="100"/>
        <v>-6.4125000000000005</v>
      </c>
      <c r="CU24" s="85">
        <f t="shared" si="101"/>
        <v>-14.9625</v>
      </c>
      <c r="CV24" s="86">
        <f t="shared" si="102"/>
        <v>-6.4125000000000005</v>
      </c>
      <c r="CW24" s="87">
        <f t="shared" si="103"/>
        <v>-4.2750000000000004</v>
      </c>
      <c r="CX24" s="87">
        <f t="shared" si="104"/>
        <v>0</v>
      </c>
      <c r="CY24" s="88">
        <f t="shared" si="105"/>
        <v>0</v>
      </c>
      <c r="CZ24" s="85">
        <f t="shared" si="106"/>
        <v>-10.687500000000002</v>
      </c>
    </row>
    <row r="25" spans="1:104" s="232" customFormat="1" ht="12.75" customHeight="1">
      <c r="A25" s="40"/>
      <c r="B25" s="40"/>
      <c r="C25" s="2000" t="s">
        <v>1032</v>
      </c>
      <c r="D25" s="2114"/>
      <c r="E25" s="2115">
        <f>IF(F25=0,G25,F25)</f>
        <v>257.90300000000002</v>
      </c>
      <c r="F25" s="2314">
        <v>257.90300000000002</v>
      </c>
      <c r="G25" s="1510">
        <v>257.90300000000002</v>
      </c>
      <c r="H25" s="1334">
        <v>2032</v>
      </c>
      <c r="I25" s="1513">
        <v>7.5999999999999998E-2</v>
      </c>
      <c r="J25" s="1334">
        <v>4</v>
      </c>
      <c r="K25" s="80"/>
      <c r="L25" s="81">
        <f t="shared" si="15"/>
        <v>0</v>
      </c>
      <c r="M25" s="82">
        <f t="shared" si="16"/>
        <v>0</v>
      </c>
      <c r="N25" s="83">
        <f t="shared" si="17"/>
        <v>0</v>
      </c>
      <c r="O25" s="83">
        <f t="shared" si="18"/>
        <v>0</v>
      </c>
      <c r="P25" s="84">
        <f t="shared" si="19"/>
        <v>0</v>
      </c>
      <c r="Q25" s="81">
        <f t="shared" si="20"/>
        <v>0</v>
      </c>
      <c r="R25" s="82">
        <f t="shared" si="21"/>
        <v>0</v>
      </c>
      <c r="S25" s="83">
        <f t="shared" si="22"/>
        <v>0</v>
      </c>
      <c r="T25" s="83">
        <f t="shared" si="23"/>
        <v>0</v>
      </c>
      <c r="U25" s="84">
        <f t="shared" si="24"/>
        <v>0</v>
      </c>
      <c r="V25" s="81">
        <f t="shared" si="25"/>
        <v>0</v>
      </c>
      <c r="W25" s="82">
        <f t="shared" si="26"/>
        <v>0</v>
      </c>
      <c r="X25" s="83">
        <f t="shared" si="27"/>
        <v>0</v>
      </c>
      <c r="Y25" s="83">
        <f t="shared" si="28"/>
        <v>0</v>
      </c>
      <c r="Z25" s="84">
        <f t="shared" si="29"/>
        <v>0</v>
      </c>
      <c r="AA25" s="81">
        <f t="shared" si="30"/>
        <v>0</v>
      </c>
      <c r="AB25" s="82">
        <f t="shared" si="31"/>
        <v>0</v>
      </c>
      <c r="AC25" s="83">
        <f t="shared" si="32"/>
        <v>0</v>
      </c>
      <c r="AD25" s="83">
        <f t="shared" si="33"/>
        <v>0</v>
      </c>
      <c r="AE25" s="84">
        <f t="shared" si="34"/>
        <v>0</v>
      </c>
      <c r="AF25" s="81">
        <f t="shared" si="35"/>
        <v>0</v>
      </c>
      <c r="AG25" s="82">
        <f t="shared" si="36"/>
        <v>0</v>
      </c>
      <c r="AH25" s="83">
        <f t="shared" si="37"/>
        <v>0</v>
      </c>
      <c r="AI25" s="83">
        <f t="shared" si="38"/>
        <v>0</v>
      </c>
      <c r="AJ25" s="84">
        <f t="shared" si="39"/>
        <v>0</v>
      </c>
      <c r="AK25" s="81">
        <f t="shared" si="40"/>
        <v>0</v>
      </c>
      <c r="AL25" s="82">
        <f t="shared" si="41"/>
        <v>0</v>
      </c>
      <c r="AM25" s="83">
        <f t="shared" si="42"/>
        <v>0</v>
      </c>
      <c r="AN25" s="83">
        <f t="shared" si="43"/>
        <v>0</v>
      </c>
      <c r="AO25" s="84">
        <f t="shared" si="44"/>
        <v>0</v>
      </c>
      <c r="AP25" s="81">
        <f t="shared" si="45"/>
        <v>0</v>
      </c>
      <c r="AQ25" s="82">
        <f t="shared" si="46"/>
        <v>0</v>
      </c>
      <c r="AR25" s="83">
        <f t="shared" si="47"/>
        <v>0</v>
      </c>
      <c r="AS25" s="83">
        <f t="shared" si="48"/>
        <v>0</v>
      </c>
      <c r="AT25" s="84">
        <f t="shared" si="49"/>
        <v>0</v>
      </c>
      <c r="AU25" s="81">
        <f t="shared" si="50"/>
        <v>0</v>
      </c>
      <c r="AV25" s="82">
        <f t="shared" si="51"/>
        <v>0</v>
      </c>
      <c r="AW25" s="83">
        <f t="shared" si="52"/>
        <v>0</v>
      </c>
      <c r="AX25" s="83">
        <f t="shared" si="53"/>
        <v>0</v>
      </c>
      <c r="AY25" s="84">
        <f t="shared" si="54"/>
        <v>0</v>
      </c>
      <c r="AZ25" s="81">
        <f t="shared" si="55"/>
        <v>0</v>
      </c>
      <c r="BA25" s="82">
        <f t="shared" si="56"/>
        <v>0</v>
      </c>
      <c r="BB25" s="83">
        <f t="shared" si="57"/>
        <v>0</v>
      </c>
      <c r="BC25" s="83">
        <f t="shared" si="58"/>
        <v>0</v>
      </c>
      <c r="BD25" s="84">
        <f t="shared" si="59"/>
        <v>0</v>
      </c>
      <c r="BE25" s="81">
        <f t="shared" si="60"/>
        <v>0</v>
      </c>
      <c r="BF25" s="1877"/>
      <c r="BG25" s="2005">
        <f t="shared" si="61"/>
        <v>0</v>
      </c>
      <c r="BH25" s="86">
        <f t="shared" si="62"/>
        <v>0</v>
      </c>
      <c r="BI25" s="87">
        <f t="shared" si="63"/>
        <v>0</v>
      </c>
      <c r="BJ25" s="87">
        <f t="shared" si="64"/>
        <v>0</v>
      </c>
      <c r="BK25" s="88">
        <f t="shared" si="65"/>
        <v>0</v>
      </c>
      <c r="BL25" s="85">
        <f t="shared" si="66"/>
        <v>0</v>
      </c>
      <c r="BM25" s="86">
        <f t="shared" si="67"/>
        <v>0</v>
      </c>
      <c r="BN25" s="87">
        <f t="shared" si="68"/>
        <v>0</v>
      </c>
      <c r="BO25" s="87">
        <f t="shared" si="69"/>
        <v>0</v>
      </c>
      <c r="BP25" s="88">
        <f t="shared" si="70"/>
        <v>0</v>
      </c>
      <c r="BQ25" s="85">
        <f t="shared" si="71"/>
        <v>0</v>
      </c>
      <c r="BR25" s="86">
        <f t="shared" si="72"/>
        <v>0</v>
      </c>
      <c r="BS25" s="87">
        <f t="shared" si="73"/>
        <v>0</v>
      </c>
      <c r="BT25" s="87">
        <f t="shared" si="74"/>
        <v>0</v>
      </c>
      <c r="BU25" s="88">
        <f t="shared" si="75"/>
        <v>0</v>
      </c>
      <c r="BV25" s="85">
        <f t="shared" si="76"/>
        <v>0</v>
      </c>
      <c r="BW25" s="86">
        <f t="shared" si="77"/>
        <v>0</v>
      </c>
      <c r="BX25" s="87">
        <f t="shared" si="78"/>
        <v>0</v>
      </c>
      <c r="BY25" s="87">
        <f t="shared" si="79"/>
        <v>0</v>
      </c>
      <c r="BZ25" s="88">
        <f t="shared" si="80"/>
        <v>0</v>
      </c>
      <c r="CA25" s="85">
        <f t="shared" si="81"/>
        <v>0</v>
      </c>
      <c r="CB25" s="86">
        <f t="shared" si="82"/>
        <v>0</v>
      </c>
      <c r="CC25" s="87">
        <f t="shared" si="83"/>
        <v>0</v>
      </c>
      <c r="CD25" s="87">
        <f t="shared" si="84"/>
        <v>0</v>
      </c>
      <c r="CE25" s="88">
        <f t="shared" si="85"/>
        <v>0</v>
      </c>
      <c r="CF25" s="85">
        <f t="shared" si="86"/>
        <v>0</v>
      </c>
      <c r="CG25" s="86">
        <f t="shared" si="87"/>
        <v>0</v>
      </c>
      <c r="CH25" s="87">
        <f t="shared" si="88"/>
        <v>0</v>
      </c>
      <c r="CI25" s="87">
        <f t="shared" si="89"/>
        <v>0</v>
      </c>
      <c r="CJ25" s="88">
        <f t="shared" si="90"/>
        <v>0</v>
      </c>
      <c r="CK25" s="85">
        <f t="shared" si="91"/>
        <v>0</v>
      </c>
      <c r="CL25" s="86">
        <f t="shared" si="92"/>
        <v>0</v>
      </c>
      <c r="CM25" s="87">
        <f t="shared" si="93"/>
        <v>0</v>
      </c>
      <c r="CN25" s="87">
        <f t="shared" si="94"/>
        <v>0</v>
      </c>
      <c r="CO25" s="88">
        <f t="shared" si="95"/>
        <v>0</v>
      </c>
      <c r="CP25" s="85">
        <f t="shared" si="96"/>
        <v>0</v>
      </c>
      <c r="CQ25" s="86">
        <f t="shared" si="97"/>
        <v>0</v>
      </c>
      <c r="CR25" s="87">
        <f t="shared" si="98"/>
        <v>0</v>
      </c>
      <c r="CS25" s="87">
        <f t="shared" si="99"/>
        <v>0</v>
      </c>
      <c r="CT25" s="88">
        <f t="shared" si="100"/>
        <v>0</v>
      </c>
      <c r="CU25" s="85">
        <f t="shared" si="101"/>
        <v>0</v>
      </c>
      <c r="CV25" s="86">
        <f t="shared" si="102"/>
        <v>0</v>
      </c>
      <c r="CW25" s="87">
        <f t="shared" si="103"/>
        <v>0</v>
      </c>
      <c r="CX25" s="87">
        <f t="shared" si="104"/>
        <v>0</v>
      </c>
      <c r="CY25" s="88">
        <f t="shared" si="105"/>
        <v>0</v>
      </c>
      <c r="CZ25" s="85">
        <f t="shared" si="106"/>
        <v>0</v>
      </c>
    </row>
    <row r="26" spans="1:104" s="232" customFormat="1" ht="12.75" customHeight="1">
      <c r="A26" s="40"/>
      <c r="B26" s="40"/>
      <c r="C26" s="1999" t="s">
        <v>1440</v>
      </c>
      <c r="D26" s="2114"/>
      <c r="E26" s="2115">
        <f t="shared" si="14"/>
        <v>300</v>
      </c>
      <c r="F26" s="2314">
        <v>300</v>
      </c>
      <c r="G26" s="1510">
        <v>300</v>
      </c>
      <c r="H26" s="1334">
        <v>2021</v>
      </c>
      <c r="I26" s="2122">
        <v>2.4500000000000001E-2</v>
      </c>
      <c r="J26" s="1334">
        <v>4</v>
      </c>
      <c r="K26" s="80"/>
      <c r="L26" s="81">
        <f t="shared" si="15"/>
        <v>0</v>
      </c>
      <c r="M26" s="82">
        <f t="shared" ref="M26" si="107">IF(Q26=0,0,IF(Q26&lt;0,IF($J26=3,Q26,IF($J26=2,Q26,IF($J26=1,Q26,0)))))</f>
        <v>0</v>
      </c>
      <c r="N26" s="83">
        <f t="shared" ref="N26" si="108">IF(Q26=0,0,IF(Q26&lt;0,IF($J26=6,Q26,IF($J26=5,Q26,IF($J26=4,Q26,0)))))</f>
        <v>0</v>
      </c>
      <c r="O26" s="83">
        <f t="shared" ref="O26" si="109">IF(Q26=0,0,IF(Q26&lt;0,IF($J26=9,Q26,IF($J26=8,Q26,IF($J26=7,Q26,0)))))</f>
        <v>0</v>
      </c>
      <c r="P26" s="84">
        <f t="shared" ref="P26" si="110">IF(Q26=0,0,IF(Q26&lt;0,IF($J26=12,Q26,IF($J26=11,Q26,IF($J26=10,Q26,0)))))</f>
        <v>0</v>
      </c>
      <c r="Q26" s="81">
        <f t="shared" si="20"/>
        <v>0</v>
      </c>
      <c r="R26" s="82">
        <f t="shared" ref="R26" si="111">IF(V26=0,0,IF(V26&lt;0,IF($J26=3,V26,IF($J26=2,V26,IF($J26=1,V26,0)))))</f>
        <v>0</v>
      </c>
      <c r="S26" s="83">
        <f t="shared" ref="S26" si="112">IF(V26=0,0,IF(V26&lt;0,IF($J26=6,V26,IF($J26=5,V26,IF($J26=4,V26,0)))))</f>
        <v>0</v>
      </c>
      <c r="T26" s="83">
        <f t="shared" ref="T26" si="113">IF(V26=0,0,IF(V26&lt;0,IF($J26=9,V26,IF($J26=8,V26,IF($J26=7,V26,0)))))</f>
        <v>0</v>
      </c>
      <c r="U26" s="84">
        <f t="shared" ref="U26" si="114">IF(V26=0,0,IF(V26&lt;0,IF($J26=12,V26,IF($J26=11,V26,IF($J26=10,V26,0)))))</f>
        <v>0</v>
      </c>
      <c r="V26" s="81">
        <f t="shared" si="25"/>
        <v>0</v>
      </c>
      <c r="W26" s="82">
        <f t="shared" ref="W26" si="115">IF(AA26=0,0,IF(AA26&lt;0,IF($J26=3,AA26,IF($J26=2,AA26,IF($J26=1,AA26,0)))))</f>
        <v>0</v>
      </c>
      <c r="X26" s="83">
        <f t="shared" ref="X26" si="116">IF(AA26=0,0,IF(AA26&lt;0,IF($J26=6,AA26,IF($J26=5,AA26,IF($J26=4,AA26,0)))))</f>
        <v>0</v>
      </c>
      <c r="Y26" s="83">
        <f t="shared" ref="Y26" si="117">IF(AA26=0,0,IF(AA26&lt;0,IF($J26=9,AA26,IF($J26=8,AA26,IF($J26=7,AA26,0)))))</f>
        <v>0</v>
      </c>
      <c r="Z26" s="84">
        <f t="shared" ref="Z26" si="118">IF(AA26=0,0,IF(AA26&lt;0,IF($J26=12,AA26,IF($J26=11,AA26,IF($J26=10,AA26,0)))))</f>
        <v>0</v>
      </c>
      <c r="AA26" s="81">
        <f t="shared" si="30"/>
        <v>0</v>
      </c>
      <c r="AB26" s="82">
        <f t="shared" ref="AB26" si="119">IF(AF26=0,0,IF(AF26&lt;0,IF($J26=3,AF26,IF($J26=2,AF26,IF($J26=1,AF26,0)))))</f>
        <v>0</v>
      </c>
      <c r="AC26" s="83">
        <f t="shared" ref="AC26" si="120">IF(AF26=0,0,IF(AF26&lt;0,IF($J26=6,AF26,IF($J26=5,AF26,IF($J26=4,AF26,0)))))</f>
        <v>0</v>
      </c>
      <c r="AD26" s="83">
        <f t="shared" ref="AD26" si="121">IF(AF26=0,0,IF(AF26&lt;0,IF($J26=9,AF26,IF($J26=8,AF26,IF($J26=7,AF26,0)))))</f>
        <v>0</v>
      </c>
      <c r="AE26" s="84">
        <f t="shared" ref="AE26" si="122">IF(AF26=0,0,IF(AF26&lt;0,IF($J26=12,AF26,IF($J26=11,AF26,IF($J26=10,AF26,0)))))</f>
        <v>0</v>
      </c>
      <c r="AF26" s="81">
        <f t="shared" si="35"/>
        <v>0</v>
      </c>
      <c r="AG26" s="82">
        <f t="shared" ref="AG26" si="123">IF(AK26=0,0,IF(AK26&lt;0,IF($J26=3,AK26,IF($J26=2,AK26,IF($J26=1,AK26,0)))))</f>
        <v>0</v>
      </c>
      <c r="AH26" s="83">
        <f t="shared" ref="AH26" si="124">IF(AK26=0,0,IF(AK26&lt;0,IF($J26=6,AK26,IF($J26=5,AK26,IF($J26=4,AK26,0)))))</f>
        <v>0</v>
      </c>
      <c r="AI26" s="83">
        <f t="shared" ref="AI26" si="125">IF(AK26=0,0,IF(AK26&lt;0,IF($J26=9,AK26,IF($J26=8,AK26,IF($J26=7,AK26,0)))))</f>
        <v>0</v>
      </c>
      <c r="AJ26" s="84">
        <f t="shared" ref="AJ26" si="126">IF(AK26=0,0,IF(AK26&lt;0,IF($J26=12,AK26,IF($J26=11,AK26,IF($J26=10,AK26,0)))))</f>
        <v>0</v>
      </c>
      <c r="AK26" s="81">
        <f t="shared" si="40"/>
        <v>0</v>
      </c>
      <c r="AL26" s="82">
        <f t="shared" ref="AL26" si="127">IF(AP26=0,0,IF(AP26&lt;0,IF($J26=3,AP26,IF($J26=2,AP26,IF($J26=1,AP26,0)))))</f>
        <v>0</v>
      </c>
      <c r="AM26" s="83">
        <f t="shared" ref="AM26" si="128">IF(AP26=0,0,IF(AP26&lt;0,IF($J26=6,AP26,IF($J26=5,AP26,IF($J26=4,AP26,0)))))</f>
        <v>0</v>
      </c>
      <c r="AN26" s="83">
        <f t="shared" ref="AN26" si="129">IF(AP26=0,0,IF(AP26&lt;0,IF($J26=9,AP26,IF($J26=8,AP26,IF($J26=7,AP26,0)))))</f>
        <v>0</v>
      </c>
      <c r="AO26" s="84">
        <f t="shared" ref="AO26" si="130">IF(AP26=0,0,IF(AP26&lt;0,IF($J26=12,AP26,IF($J26=11,AP26,IF($J26=10,AP26,0)))))</f>
        <v>0</v>
      </c>
      <c r="AP26" s="81">
        <f t="shared" si="45"/>
        <v>0</v>
      </c>
      <c r="AQ26" s="82">
        <f t="shared" ref="AQ26" si="131">IF(AU26=0,0,IF(AU26&lt;0,IF($J26=3,AU26,IF($J26=2,AU26,IF($J26=1,AU26,0)))))</f>
        <v>0</v>
      </c>
      <c r="AR26" s="83">
        <f t="shared" ref="AR26" si="132">IF(AU26=0,0,IF(AU26&lt;0,IF($J26=6,AU26,IF($J26=5,AU26,IF($J26=4,AU26,0)))))</f>
        <v>0</v>
      </c>
      <c r="AS26" s="83">
        <f t="shared" ref="AS26" si="133">IF(AU26=0,0,IF(AU26&lt;0,IF($J26=9,AU26,IF($J26=8,AU26,IF($J26=7,AU26,0)))))</f>
        <v>0</v>
      </c>
      <c r="AT26" s="84">
        <f t="shared" ref="AT26" si="134">IF(AU26=0,0,IF(AU26&lt;0,IF($J26=12,AU26,IF($J26=11,AU26,IF($J26=10,AU26,0)))))</f>
        <v>0</v>
      </c>
      <c r="AU26" s="81">
        <f t="shared" si="50"/>
        <v>0</v>
      </c>
      <c r="AV26" s="82">
        <f t="shared" ref="AV26" si="135">IF(AZ26=0,0,IF(AZ26&lt;0,IF($J26=3,AZ26,IF($J26=2,AZ26,IF($J26=1,AZ26,0)))))</f>
        <v>0</v>
      </c>
      <c r="AW26" s="83">
        <f t="shared" ref="AW26" si="136">IF(AZ26=0,0,IF(AZ26&lt;0,IF($J26=6,AZ26,IF($J26=5,AZ26,IF($J26=4,AZ26,0)))))</f>
        <v>0</v>
      </c>
      <c r="AX26" s="83">
        <f t="shared" ref="AX26" si="137">IF(AZ26=0,0,IF(AZ26&lt;0,IF($J26=9,AZ26,IF($J26=8,AZ26,IF($J26=7,AZ26,0)))))</f>
        <v>0</v>
      </c>
      <c r="AY26" s="84">
        <f t="shared" ref="AY26" si="138">IF(AZ26=0,0,IF(AZ26&lt;0,IF($J26=12,AZ26,IF($J26=11,AZ26,IF($J26=10,AZ26,0)))))</f>
        <v>0</v>
      </c>
      <c r="AZ26" s="81">
        <f t="shared" si="55"/>
        <v>0</v>
      </c>
      <c r="BA26" s="82">
        <f t="shared" si="56"/>
        <v>0</v>
      </c>
      <c r="BB26" s="83">
        <f t="shared" si="57"/>
        <v>-300</v>
      </c>
      <c r="BC26" s="83">
        <f t="shared" si="58"/>
        <v>0</v>
      </c>
      <c r="BD26" s="84">
        <f t="shared" si="59"/>
        <v>0</v>
      </c>
      <c r="BE26" s="81">
        <f t="shared" si="60"/>
        <v>-300</v>
      </c>
      <c r="BF26" s="1877"/>
      <c r="BG26" s="2005">
        <f t="shared" ref="BG26" si="139">IF(AND(BF26&lt;&gt;0,BF$5=$H26),-$I26*$E26-BF26,IF(BG$5=$H26,-$I26*$E26*(12-$J26+1)/12,0))</f>
        <v>0</v>
      </c>
      <c r="BH26" s="86">
        <f t="shared" ref="BH26" si="140">IF($H26&lt;&gt;BL$5,0,IF(BL26&lt;0,IF($J26=1,-$E26*$I26/12*3,IF($J26=2,-$E26*$I26/12*2,IF($J26=3,-$E26*$I26/12*1,0)))))+IF(BG$5&lt;&gt;$H26,0,IF(BG26&lt;0,IF($J26=1,-$E26*$I26/12*0,IF($J26=2,-$E26*$I26/12*1,IF($J26=3,-$E26*$I26/12*2,IF($J26&gt;=4,-$E26*$I26/12*3,0))))))</f>
        <v>0</v>
      </c>
      <c r="BI26" s="87">
        <f t="shared" ref="BI26" si="141">IF($H26&lt;&gt;BL$5,0,IF(BL26&lt;0,IF(OR($J26=1,$J26=2,$J26=3,$J26=4),-$E26*$I26/12*3,IF($J26=5,-$E26*$I26/12*2,IF($J26=6,-$E26*$I26/12*1,0)))))+IF(BG$5&lt;&gt;$H26,0,IF(BG26&lt;0,IF($J26=4,-$E26*$I26/12*0,IF($J26=5,-$E26*$I26/12*1,IF($J26=6,-$E26*$I26/12*2,IF($J26&gt;=7,-$E26*$I26/12*3,0))))))</f>
        <v>0</v>
      </c>
      <c r="BJ26" s="87">
        <f t="shared" ref="BJ26" si="142">IF($H26&lt;&gt;BL$5,0,IF(BL26&lt;0,IF(OR($J26=1,$J26=2,$J26=3,$J26=4,$J26=5,$J26=6,$J26=7),-$E26*$I26/12*3,IF($J26=8,-$E26*$I26/12*2,IF($J26=9,-$E26*$I26/12*1,0)))))+IF(BG$5&lt;&gt;$H26,0,IF(BG26&lt;0,IF($J26=7,-$E26*$I26/12*0,IF($J26=8,-$E26*$I26/12*1,IF($J26=9,-$E26*$I26/12*2,IF($J26&gt;=10,-$E26*$I26/12*3,0))))))</f>
        <v>0</v>
      </c>
      <c r="BK26" s="88">
        <f t="shared" ref="BK26" si="143">IF($H26&lt;&gt;BL$5,0,IF(BL26&lt;0,IF(OR($J26=1,$J26=2,$J26=3,$J26=4,$J26=5,$J26=6,$J26=7,$J26=8,$J26=9,$J26=10),-$E26*$I26/12*3,IF($J26=11,-$E26*$I26/12*2,IF($J26=12,-$E26*$I26/12*1,0)))))+IF(BG$5&lt;&gt;$H26,0,IF(BG26&lt;0,IF($J26=10,-$E26*$I26/12*0,IF($J26=11,-$E26*$I26/12*1,IF($J26=12,-$E26*$I26/12*2,0)))))</f>
        <v>0</v>
      </c>
      <c r="BL26" s="85">
        <f t="shared" ref="BL26" si="144">IF(AND(BG26&lt;&gt;0,BG$5=$H26),-$I26*$E26-BG26,IF(BL$5=$H26,-$I26*$E26*(12-$J26+1)/12,0))</f>
        <v>0</v>
      </c>
      <c r="BM26" s="86">
        <f t="shared" ref="BM26" si="145">IF($H26&lt;&gt;BQ$5,0,IF(BQ26&lt;0,IF($J26=1,-$E26*$I26/12*3,IF($J26=2,-$E26*$I26/12*2,IF($J26=3,-$E26*$I26/12*1,0)))))+IF(BL$5&lt;&gt;$H26,0,IF(BL26&lt;0,IF($J26=1,-$E26*$I26/12*0,IF($J26=2,-$E26*$I26/12*1,IF($J26=3,-$E26*$I26/12*2,IF($J26&gt;=4,-$E26*$I26/12*3,0))))))</f>
        <v>0</v>
      </c>
      <c r="BN26" s="87">
        <f t="shared" ref="BN26" si="146">IF($H26&lt;&gt;BQ$5,0,IF(BQ26&lt;0,IF(OR($J26=1,$J26=2,$J26=3,$J26=4),-$E26*$I26/12*3,IF($J26=5,-$E26*$I26/12*2,IF($J26=6,-$E26*$I26/12*1,0)))))+IF(BL$5&lt;&gt;$H26,0,IF(BL26&lt;0,IF($J26=4,-$E26*$I26/12*0,IF($J26=5,-$E26*$I26/12*1,IF($J26=6,-$E26*$I26/12*2,IF($J26&gt;=7,-$E26*$I26/12*3,0))))))</f>
        <v>0</v>
      </c>
      <c r="BO26" s="87">
        <f t="shared" ref="BO26" si="147">IF($H26&lt;&gt;BQ$5,0,IF(BQ26&lt;0,IF(OR($J26=1,$J26=2,$J26=3,$J26=4,$J26=5,$J26=6,$J26=7),-$E26*$I26/12*3,IF($J26=8,-$E26*$I26/12*2,IF($J26=9,-$E26*$I26/12*1,0)))))+IF(BL$5&lt;&gt;$H26,0,IF(BL26&lt;0,IF($J26=7,-$E26*$I26/12*0,IF($J26=8,-$E26*$I26/12*1,IF($J26=9,-$E26*$I26/12*2,IF($J26&gt;=10,-$E26*$I26/12*3,0))))))</f>
        <v>0</v>
      </c>
      <c r="BP26" s="88">
        <f t="shared" ref="BP26" si="148">IF($H26&lt;&gt;BQ$5,0,IF(BQ26&lt;0,IF(OR($J26=1,$J26=2,$J26=3,$J26=4,$J26=5,$J26=6,$J26=7,$J26=8,$J26=9,$J26=10),-$E26*$I26/12*3,IF($J26=11,-$E26*$I26/12*2,IF($J26=12,-$E26*$I26/12*1,0)))))+IF(BL$5&lt;&gt;$H26,0,IF(BL26&lt;0,IF($J26=10,-$E26*$I26/12*0,IF($J26=11,-$E26*$I26/12*1,IF($J26=12,-$E26*$I26/12*2,0)))))</f>
        <v>0</v>
      </c>
      <c r="BQ26" s="85">
        <f t="shared" ref="BQ26" si="149">IF(AND(BL26&lt;&gt;0,BL$5=$H26),-$I26*$E26-BL26,IF(BQ$5=$H26,-$I26*$E26*(12-$J26+1)/12,0))</f>
        <v>0</v>
      </c>
      <c r="BR26" s="86">
        <f t="shared" ref="BR26" si="150">IF($H26&lt;&gt;BV$5,0,IF(BV26&lt;0,IF($J26=1,-$E26*$I26/12*3,IF($J26=2,-$E26*$I26/12*2,IF($J26=3,-$E26*$I26/12*1,0)))))+IF(BQ$5&lt;&gt;$H26,0,IF(BQ26&lt;0,IF($J26=1,-$E26*$I26/12*0,IF($J26=2,-$E26*$I26/12*1,IF($J26=3,-$E26*$I26/12*2,IF($J26&gt;=4,-$E26*$I26/12*3,0))))))</f>
        <v>0</v>
      </c>
      <c r="BS26" s="87">
        <f t="shared" ref="BS26" si="151">IF($H26&lt;&gt;BV$5,0,IF(BV26&lt;0,IF(OR($J26=1,$J26=2,$J26=3,$J26=4),-$E26*$I26/12*3,IF($J26=5,-$E26*$I26/12*2,IF($J26=6,-$E26*$I26/12*1,0)))))+IF(BQ$5&lt;&gt;$H26,0,IF(BQ26&lt;0,IF($J26=4,-$E26*$I26/12*0,IF($J26=5,-$E26*$I26/12*1,IF($J26=6,-$E26*$I26/12*2,IF($J26&gt;=7,-$E26*$I26/12*3,0))))))</f>
        <v>0</v>
      </c>
      <c r="BT26" s="87">
        <f t="shared" ref="BT26" si="152">IF($H26&lt;&gt;BV$5,0,IF(BV26&lt;0,IF(OR($J26=1,$J26=2,$J26=3,$J26=4,$J26=5,$J26=6,$J26=7),-$E26*$I26/12*3,IF($J26=8,-$E26*$I26/12*2,IF($J26=9,-$E26*$I26/12*1,0)))))+IF(BQ$5&lt;&gt;$H26,0,IF(BQ26&lt;0,IF($J26=7,-$E26*$I26/12*0,IF($J26=8,-$E26*$I26/12*1,IF($J26=9,-$E26*$I26/12*2,IF($J26&gt;=10,-$E26*$I26/12*3,0))))))</f>
        <v>0</v>
      </c>
      <c r="BU26" s="88">
        <f t="shared" ref="BU26" si="153">IF($H26&lt;&gt;BV$5,0,IF(BV26&lt;0,IF(OR($J26=1,$J26=2,$J26=3,$J26=4,$J26=5,$J26=6,$J26=7,$J26=8,$J26=9,$J26=10),-$E26*$I26/12*3,IF($J26=11,-$E26*$I26/12*2,IF($J26=12,-$E26*$I26/12*1,0)))))+IF(BQ$5&lt;&gt;$H26,0,IF(BQ26&lt;0,IF($J26=10,-$E26*$I26/12*0,IF($J26=11,-$E26*$I26/12*1,IF($J26=12,-$E26*$I26/12*2,0)))))</f>
        <v>0</v>
      </c>
      <c r="BV26" s="85">
        <f t="shared" ref="BV26" si="154">IF(AND(BQ26&lt;&gt;0,BQ$5=$H26),-$I26*$E26-BQ26,IF(BV$5=$H26,-$I26*$E26*(12-$J26+1)/12,0))</f>
        <v>0</v>
      </c>
      <c r="BW26" s="86">
        <f t="shared" ref="BW26" si="155">IF($H26&lt;&gt;CA$5,0,IF(CA26&lt;0,IF($J26=1,-$E26*$I26/12*3,IF($J26=2,-$E26*$I26/12*2,IF($J26=3,-$E26*$I26/12*1,0)))))+IF(BV$5&lt;&gt;$H26,0,IF(BV26&lt;0,IF($J26=1,-$E26*$I26/12*0,IF($J26=2,-$E26*$I26/12*1,IF($J26=3,-$E26*$I26/12*2,IF($J26&gt;=4,-$E26*$I26/12*3,0))))))</f>
        <v>0</v>
      </c>
      <c r="BX26" s="87">
        <f t="shared" ref="BX26" si="156">IF($H26&lt;&gt;CA$5,0,IF(CA26&lt;0,IF(OR($J26=1,$J26=2,$J26=3,$J26=4),-$E26*$I26/12*3,IF($J26=5,-$E26*$I26/12*2,IF($J26=6,-$E26*$I26/12*1,0)))))+IF(BV$5&lt;&gt;$H26,0,IF(BV26&lt;0,IF($J26=4,-$E26*$I26/12*0,IF($J26=5,-$E26*$I26/12*1,IF($J26=6,-$E26*$I26/12*2,IF($J26&gt;=7,-$E26*$I26/12*3,0))))))</f>
        <v>0</v>
      </c>
      <c r="BY26" s="87">
        <f t="shared" ref="BY26" si="157">IF($H26&lt;&gt;CA$5,0,IF(CA26&lt;0,IF(OR($J26=1,$J26=2,$J26=3,$J26=4,$J26=5,$J26=6,$J26=7),-$E26*$I26/12*3,IF($J26=8,-$E26*$I26/12*2,IF($J26=9,-$E26*$I26/12*1,0)))))+IF(BV$5&lt;&gt;$H26,0,IF(BV26&lt;0,IF($J26=7,-$E26*$I26/12*0,IF($J26=8,-$E26*$I26/12*1,IF($J26=9,-$E26*$I26/12*2,IF($J26&gt;=10,-$E26*$I26/12*3,0))))))</f>
        <v>0</v>
      </c>
      <c r="BZ26" s="88">
        <f t="shared" ref="BZ26" si="158">IF($H26&lt;&gt;CA$5,0,IF(CA26&lt;0,IF(OR($J26=1,$J26=2,$J26=3,$J26=4,$J26=5,$J26=6,$J26=7,$J26=8,$J26=9,$J26=10),-$E26*$I26/12*3,IF($J26=11,-$E26*$I26/12*2,IF($J26=12,-$E26*$I26/12*1,0)))))+IF(BV$5&lt;&gt;$H26,0,IF(BV26&lt;0,IF($J26=10,-$E26*$I26/12*0,IF($J26=11,-$E26*$I26/12*1,IF($J26=12,-$E26*$I26/12*2,0)))))</f>
        <v>0</v>
      </c>
      <c r="CA26" s="85">
        <f t="shared" ref="CA26" si="159">IF(AND(BV26&lt;&gt;0,BV$5=$H26),-$I26*$E26-BV26,IF(CA$5=$H26,-$I26*$E26*(12-$J26+1)/12,0))</f>
        <v>0</v>
      </c>
      <c r="CB26" s="86">
        <f t="shared" ref="CB26" si="160">IF($H26&lt;&gt;CF$5,0,IF(CF26&lt;0,IF($J26=1,-$E26*$I26/12*3,IF($J26=2,-$E26*$I26/12*2,IF($J26=3,-$E26*$I26/12*1,0)))))+IF(CA$5&lt;&gt;$H26,0,IF(CA26&lt;0,IF($J26=1,-$E26*$I26/12*0,IF($J26=2,-$E26*$I26/12*1,IF($J26=3,-$E26*$I26/12*2,IF($J26&gt;=4,-$E26*$I26/12*3,0))))))</f>
        <v>0</v>
      </c>
      <c r="CC26" s="87">
        <f t="shared" ref="CC26" si="161">IF($H26&lt;&gt;CF$5,0,IF(CF26&lt;0,IF(OR($J26=1,$J26=2,$J26=3,$J26=4),-$E26*$I26/12*3,IF($J26=5,-$E26*$I26/12*2,IF($J26=6,-$E26*$I26/12*1,0)))))+IF(CA$5&lt;&gt;$H26,0,IF(CA26&lt;0,IF($J26=4,-$E26*$I26/12*0,IF($J26=5,-$E26*$I26/12*1,IF($J26=6,-$E26*$I26/12*2,IF($J26&gt;=7,-$E26*$I26/12*3,0))))))</f>
        <v>0</v>
      </c>
      <c r="CD26" s="87">
        <f t="shared" ref="CD26" si="162">IF($H26&lt;&gt;CF$5,0,IF(CF26&lt;0,IF(OR($J26=1,$J26=2,$J26=3,$J26=4,$J26=5,$J26=6,$J26=7),-$E26*$I26/12*3,IF($J26=8,-$E26*$I26/12*2,IF($J26=9,-$E26*$I26/12*1,0)))))+IF(CA$5&lt;&gt;$H26,0,IF(CA26&lt;0,IF($J26=7,-$E26*$I26/12*0,IF($J26=8,-$E26*$I26/12*1,IF($J26=9,-$E26*$I26/12*2,IF($J26&gt;=10,-$E26*$I26/12*3,0))))))</f>
        <v>0</v>
      </c>
      <c r="CE26" s="88">
        <f t="shared" ref="CE26" si="163">IF($H26&lt;&gt;CF$5,0,IF(CF26&lt;0,IF(OR($J26=1,$J26=2,$J26=3,$J26=4,$J26=5,$J26=6,$J26=7,$J26=8,$J26=9,$J26=10),-$E26*$I26/12*3,IF($J26=11,-$E26*$I26/12*2,IF($J26=12,-$E26*$I26/12*1,0)))))+IF(CA$5&lt;&gt;$H26,0,IF(CA26&lt;0,IF($J26=10,-$E26*$I26/12*0,IF($J26=11,-$E26*$I26/12*1,IF($J26=12,-$E26*$I26/12*2,0)))))</f>
        <v>0</v>
      </c>
      <c r="CF26" s="85">
        <f t="shared" ref="CF26" si="164">IF(AND(CA26&lt;&gt;0,CA$5=$H26),-$I26*$E26-CA26,IF(CF$5=$H26,-$I26*$E26*(12-$J26+1)/12,0))</f>
        <v>0</v>
      </c>
      <c r="CG26" s="86">
        <f t="shared" ref="CG26" si="165">IF($H26&lt;&gt;CK$5,0,IF(CK26&lt;0,IF($J26=1,-$E26*$I26/12*3,IF($J26=2,-$E26*$I26/12*2,IF($J26=3,-$E26*$I26/12*1,0)))))+IF(CF$5&lt;&gt;$H26,0,IF(CF26&lt;0,IF($J26=1,-$E26*$I26/12*0,IF($J26=2,-$E26*$I26/12*1,IF($J26=3,-$E26*$I26/12*2,IF($J26&gt;=4,-$E26*$I26/12*3,0))))))</f>
        <v>0</v>
      </c>
      <c r="CH26" s="87">
        <f t="shared" ref="CH26" si="166">IF($H26&lt;&gt;CK$5,0,IF(CK26&lt;0,IF(OR($J26=1,$J26=2,$J26=3,$J26=4),-$E26*$I26/12*3,IF($J26=5,-$E26*$I26/12*2,IF($J26=6,-$E26*$I26/12*1,0)))))+IF(CF$5&lt;&gt;$H26,0,IF(CF26&lt;0,IF($J26=4,-$E26*$I26/12*0,IF($J26=5,-$E26*$I26/12*1,IF($J26=6,-$E26*$I26/12*2,IF($J26&gt;=7,-$E26*$I26/12*3,0))))))</f>
        <v>0</v>
      </c>
      <c r="CI26" s="87">
        <f t="shared" ref="CI26" si="167">IF($H26&lt;&gt;CK$5,0,IF(CK26&lt;0,IF(OR($J26=1,$J26=2,$J26=3,$J26=4,$J26=5,$J26=6,$J26=7),-$E26*$I26/12*3,IF($J26=8,-$E26*$I26/12*2,IF($J26=9,-$E26*$I26/12*1,0)))))+IF(CF$5&lt;&gt;$H26,0,IF(CF26&lt;0,IF($J26=7,-$E26*$I26/12*0,IF($J26=8,-$E26*$I26/12*1,IF($J26=9,-$E26*$I26/12*2,IF($J26&gt;=10,-$E26*$I26/12*3,0))))))</f>
        <v>0</v>
      </c>
      <c r="CJ26" s="88">
        <f t="shared" ref="CJ26" si="168">IF($H26&lt;&gt;CK$5,0,IF(CK26&lt;0,IF(OR($J26=1,$J26=2,$J26=3,$J26=4,$J26=5,$J26=6,$J26=7,$J26=8,$J26=9,$J26=10),-$E26*$I26/12*3,IF($J26=11,-$E26*$I26/12*2,IF($J26=12,-$E26*$I26/12*1,0)))))+IF(CF$5&lt;&gt;$H26,0,IF(CF26&lt;0,IF($J26=10,-$E26*$I26/12*0,IF($J26=11,-$E26*$I26/12*1,IF($J26=12,-$E26*$I26/12*2,0)))))</f>
        <v>0</v>
      </c>
      <c r="CK26" s="85">
        <f t="shared" ref="CK26" si="169">IF(AND(CF26&lt;&gt;0,CF$5=$H26),-$I26*$E26-CF26,IF(CK$5=$H26,-$I26*$E26*(12-$J26+1)/12,0))</f>
        <v>0</v>
      </c>
      <c r="CL26" s="86">
        <f t="shared" ref="CL26" si="170">IF($H26&lt;&gt;CP$5,0,IF(CP26&lt;0,IF($J26=1,-$E26*$I26/12*3,IF($J26=2,-$E26*$I26/12*2,IF($J26=3,-$E26*$I26/12*1,0)))))+IF(CK$5&lt;&gt;$H26,0,IF(CK26&lt;0,IF($J26=1,-$E26*$I26/12*0,IF($J26=2,-$E26*$I26/12*1,IF($J26=3,-$E26*$I26/12*2,IF($J26&gt;=4,-$E26*$I26/12*3,0))))))</f>
        <v>0</v>
      </c>
      <c r="CM26" s="87">
        <f t="shared" ref="CM26" si="171">IF($H26&lt;&gt;CP$5,0,IF(CP26&lt;0,IF(OR($J26=1,$J26=2,$J26=3,$J26=4),-$E26*$I26/12*3,IF($J26=5,-$E26*$I26/12*2,IF($J26=6,-$E26*$I26/12*1,0)))))+IF(CK$5&lt;&gt;$H26,0,IF(CK26&lt;0,IF($J26=4,-$E26*$I26/12*0,IF($J26=5,-$E26*$I26/12*1,IF($J26=6,-$E26*$I26/12*2,IF($J26&gt;=7,-$E26*$I26/12*3,0))))))</f>
        <v>0</v>
      </c>
      <c r="CN26" s="87">
        <f t="shared" ref="CN26" si="172">IF($H26&lt;&gt;CP$5,0,IF(CP26&lt;0,IF(OR($J26=1,$J26=2,$J26=3,$J26=4,$J26=5,$J26=6,$J26=7),-$E26*$I26/12*3,IF($J26=8,-$E26*$I26/12*2,IF($J26=9,-$E26*$I26/12*1,0)))))+IF(CK$5&lt;&gt;$H26,0,IF(CK26&lt;0,IF($J26=7,-$E26*$I26/12*0,IF($J26=8,-$E26*$I26/12*1,IF($J26=9,-$E26*$I26/12*2,IF($J26&gt;=10,-$E26*$I26/12*3,0))))))</f>
        <v>0</v>
      </c>
      <c r="CO26" s="88">
        <f t="shared" ref="CO26" si="173">IF($H26&lt;&gt;CP$5,0,IF(CP26&lt;0,IF(OR($J26=1,$J26=2,$J26=3,$J26=4,$J26=5,$J26=6,$J26=7,$J26=8,$J26=9,$J26=10),-$E26*$I26/12*3,IF($J26=11,-$E26*$I26/12*2,IF($J26=12,-$E26*$I26/12*1,0)))))+IF(CK$5&lt;&gt;$H26,0,IF(CK26&lt;0,IF($J26=10,-$E26*$I26/12*0,IF($J26=11,-$E26*$I26/12*1,IF($J26=12,-$E26*$I26/12*2,0)))))</f>
        <v>0</v>
      </c>
      <c r="CP26" s="85">
        <f t="shared" ref="CP26" si="174">IF(AND(CK26&lt;&gt;0,CK$5=$H26),-$I26*$E26-CK26,IF(CP$5=$H26,-$I26*$E26*(12-$J26+1)/12,0))</f>
        <v>0</v>
      </c>
      <c r="CQ26" s="86">
        <f t="shared" ref="CQ26" si="175">IF($H26&lt;&gt;CU$5,0,IF(CU26&lt;0,IF($J26=1,-$E26*$I26/12*3,IF($J26=2,-$E26*$I26/12*2,IF($J26=3,-$E26*$I26/12*1,0)))))+IF(CP$5&lt;&gt;$H26,0,IF(CP26&lt;0,IF($J26=1,-$E26*$I26/12*0,IF($J26=2,-$E26*$I26/12*1,IF($J26=3,-$E26*$I26/12*2,IF($J26&gt;=4,-$E26*$I26/12*3,0))))))</f>
        <v>0</v>
      </c>
      <c r="CR26" s="87">
        <f t="shared" ref="CR26" si="176">IF($H26&lt;&gt;CU$5,0,IF(CU26&lt;0,IF(OR($J26=1,$J26=2,$J26=3,$J26=4),-$E26*$I26/12*3,IF($J26=5,-$E26*$I26/12*2,IF($J26=6,-$E26*$I26/12*1,0)))))+IF(CP$5&lt;&gt;$H26,0,IF(CP26&lt;0,IF($J26=4,-$E26*$I26/12*0,IF($J26=5,-$E26*$I26/12*1,IF($J26=6,-$E26*$I26/12*2,IF($J26&gt;=7,-$E26*$I26/12*3,0))))))</f>
        <v>0</v>
      </c>
      <c r="CS26" s="87">
        <f t="shared" ref="CS26" si="177">IF($H26&lt;&gt;CU$5,0,IF(CU26&lt;0,IF(OR($J26=1,$J26=2,$J26=3,$J26=4,$J26=5,$J26=6,$J26=7),-$E26*$I26/12*3,IF($J26=8,-$E26*$I26/12*2,IF($J26=9,-$E26*$I26/12*1,0)))))+IF(CP$5&lt;&gt;$H26,0,IF(CP26&lt;0,IF($J26=7,-$E26*$I26/12*0,IF($J26=8,-$E26*$I26/12*1,IF($J26=9,-$E26*$I26/12*2,IF($J26&gt;=10,-$E26*$I26/12*3,0))))))</f>
        <v>0</v>
      </c>
      <c r="CT26" s="88">
        <f t="shared" ref="CT26" si="178">IF($H26&lt;&gt;CU$5,0,IF(CU26&lt;0,IF(OR($J26=1,$J26=2,$J26=3,$J26=4,$J26=5,$J26=6,$J26=7,$J26=8,$J26=9,$J26=10),-$E26*$I26/12*3,IF($J26=11,-$E26*$I26/12*2,IF($J26=12,-$E26*$I26/12*1,0)))))+IF(CP$5&lt;&gt;$H26,0,IF(CP26&lt;0,IF($J26=10,-$E26*$I26/12*0,IF($J26=11,-$E26*$I26/12*1,IF($J26=12,-$E26*$I26/12*2,0)))))</f>
        <v>0</v>
      </c>
      <c r="CU26" s="85">
        <f t="shared" ref="CU26" si="179">IF(AND(CP26&lt;&gt;0,CP$5=$H26),-$I26*$E26-CP26,IF(CU$5=$H26,-$I26*$E26*(12-$J26+1)/12,0))</f>
        <v>0</v>
      </c>
      <c r="CV26" s="86">
        <f t="shared" si="102"/>
        <v>0</v>
      </c>
      <c r="CW26" s="87">
        <f t="shared" si="103"/>
        <v>-1.8375000000000001</v>
      </c>
      <c r="CX26" s="87">
        <f t="shared" si="104"/>
        <v>-1.8375000000000001</v>
      </c>
      <c r="CY26" s="88">
        <f t="shared" si="105"/>
        <v>-1.8375000000000001</v>
      </c>
      <c r="CZ26" s="85">
        <f t="shared" si="106"/>
        <v>-5.5125000000000002</v>
      </c>
    </row>
    <row r="27" spans="1:104" s="232" customFormat="1" ht="12.75" customHeight="1">
      <c r="A27" s="40"/>
      <c r="B27" s="40"/>
      <c r="C27" s="2000" t="s">
        <v>1031</v>
      </c>
      <c r="D27" s="2114"/>
      <c r="E27" s="2115">
        <f>IF(F27=0,G27,F27)</f>
        <v>550</v>
      </c>
      <c r="F27" s="2314">
        <v>550</v>
      </c>
      <c r="G27" s="1510">
        <v>550</v>
      </c>
      <c r="H27" s="1334">
        <v>2020</v>
      </c>
      <c r="I27" s="1513">
        <v>5.1499999999999997E-2</v>
      </c>
      <c r="J27" s="1334">
        <v>12</v>
      </c>
      <c r="K27" s="80"/>
      <c r="L27" s="81">
        <f t="shared" si="15"/>
        <v>0</v>
      </c>
      <c r="M27" s="82">
        <f t="shared" ref="M27" si="180">IF(Q27=0,0,IF(Q27&lt;0,IF($J27=3,Q27,IF($J27=2,Q27,IF($J27=1,Q27,0)))))</f>
        <v>0</v>
      </c>
      <c r="N27" s="83">
        <f t="shared" ref="N27" si="181">IF(Q27=0,0,IF(Q27&lt;0,IF($J27=6,Q27,IF($J27=5,Q27,IF($J27=4,Q27,0)))))</f>
        <v>0</v>
      </c>
      <c r="O27" s="83">
        <f t="shared" ref="O27" si="182">IF(Q27=0,0,IF(Q27&lt;0,IF($J27=9,Q27,IF($J27=8,Q27,IF($J27=7,Q27,0)))))</f>
        <v>0</v>
      </c>
      <c r="P27" s="84">
        <f t="shared" ref="P27" si="183">IF(Q27=0,0,IF(Q27&lt;0,IF($J27=12,Q27,IF($J27=11,Q27,IF($J27=10,Q27,0)))))</f>
        <v>0</v>
      </c>
      <c r="Q27" s="81">
        <f t="shared" si="20"/>
        <v>0</v>
      </c>
      <c r="R27" s="82">
        <f t="shared" ref="R27" si="184">IF(V27=0,0,IF(V27&lt;0,IF($J27=3,V27,IF($J27=2,V27,IF($J27=1,V27,0)))))</f>
        <v>0</v>
      </c>
      <c r="S27" s="83">
        <f t="shared" ref="S27" si="185">IF(V27=0,0,IF(V27&lt;0,IF($J27=6,V27,IF($J27=5,V27,IF($J27=4,V27,0)))))</f>
        <v>0</v>
      </c>
      <c r="T27" s="83">
        <f t="shared" ref="T27" si="186">IF(V27=0,0,IF(V27&lt;0,IF($J27=9,V27,IF($J27=8,V27,IF($J27=7,V27,0)))))</f>
        <v>0</v>
      </c>
      <c r="U27" s="84">
        <f t="shared" ref="U27" si="187">IF(V27=0,0,IF(V27&lt;0,IF($J27=12,V27,IF($J27=11,V27,IF($J27=10,V27,0)))))</f>
        <v>0</v>
      </c>
      <c r="V27" s="81">
        <f t="shared" si="25"/>
        <v>0</v>
      </c>
      <c r="W27" s="82">
        <f t="shared" ref="W27" si="188">IF(AA27=0,0,IF(AA27&lt;0,IF($J27=3,AA27,IF($J27=2,AA27,IF($J27=1,AA27,0)))))</f>
        <v>0</v>
      </c>
      <c r="X27" s="83">
        <f t="shared" ref="X27" si="189">IF(AA27=0,0,IF(AA27&lt;0,IF($J27=6,AA27,IF($J27=5,AA27,IF($J27=4,AA27,0)))))</f>
        <v>0</v>
      </c>
      <c r="Y27" s="83">
        <f t="shared" ref="Y27" si="190">IF(AA27=0,0,IF(AA27&lt;0,IF($J27=9,AA27,IF($J27=8,AA27,IF($J27=7,AA27,0)))))</f>
        <v>0</v>
      </c>
      <c r="Z27" s="84">
        <f t="shared" ref="Z27" si="191">IF(AA27=0,0,IF(AA27&lt;0,IF($J27=12,AA27,IF($J27=11,AA27,IF($J27=10,AA27,0)))))</f>
        <v>0</v>
      </c>
      <c r="AA27" s="81">
        <f t="shared" si="30"/>
        <v>0</v>
      </c>
      <c r="AB27" s="82">
        <f t="shared" ref="AB27" si="192">IF(AF27=0,0,IF(AF27&lt;0,IF($J27=3,AF27,IF($J27=2,AF27,IF($J27=1,AF27,0)))))</f>
        <v>0</v>
      </c>
      <c r="AC27" s="83">
        <f t="shared" ref="AC27" si="193">IF(AF27=0,0,IF(AF27&lt;0,IF($J27=6,AF27,IF($J27=5,AF27,IF($J27=4,AF27,0)))))</f>
        <v>0</v>
      </c>
      <c r="AD27" s="83">
        <f t="shared" ref="AD27" si="194">IF(AF27=0,0,IF(AF27&lt;0,IF($J27=9,AF27,IF($J27=8,AF27,IF($J27=7,AF27,0)))))</f>
        <v>0</v>
      </c>
      <c r="AE27" s="84">
        <f t="shared" ref="AE27" si="195">IF(AF27=0,0,IF(AF27&lt;0,IF($J27=12,AF27,IF($J27=11,AF27,IF($J27=10,AF27,0)))))</f>
        <v>0</v>
      </c>
      <c r="AF27" s="81">
        <f t="shared" si="35"/>
        <v>0</v>
      </c>
      <c r="AG27" s="82">
        <f t="shared" ref="AG27" si="196">IF(AK27=0,0,IF(AK27&lt;0,IF($J27=3,AK27,IF($J27=2,AK27,IF($J27=1,AK27,0)))))</f>
        <v>0</v>
      </c>
      <c r="AH27" s="83">
        <f t="shared" ref="AH27" si="197">IF(AK27=0,0,IF(AK27&lt;0,IF($J27=6,AK27,IF($J27=5,AK27,IF($J27=4,AK27,0)))))</f>
        <v>0</v>
      </c>
      <c r="AI27" s="83">
        <f t="shared" ref="AI27" si="198">IF(AK27=0,0,IF(AK27&lt;0,IF($J27=9,AK27,IF($J27=8,AK27,IF($J27=7,AK27,0)))))</f>
        <v>0</v>
      </c>
      <c r="AJ27" s="84">
        <f t="shared" ref="AJ27" si="199">IF(AK27=0,0,IF(AK27&lt;0,IF($J27=12,AK27,IF($J27=11,AK27,IF($J27=10,AK27,0)))))</f>
        <v>0</v>
      </c>
      <c r="AK27" s="81">
        <f t="shared" si="40"/>
        <v>0</v>
      </c>
      <c r="AL27" s="82">
        <f t="shared" ref="AL27" si="200">IF(AP27=0,0,IF(AP27&lt;0,IF($J27=3,AP27,IF($J27=2,AP27,IF($J27=1,AP27,0)))))</f>
        <v>0</v>
      </c>
      <c r="AM27" s="83">
        <f t="shared" ref="AM27" si="201">IF(AP27=0,0,IF(AP27&lt;0,IF($J27=6,AP27,IF($J27=5,AP27,IF($J27=4,AP27,0)))))</f>
        <v>0</v>
      </c>
      <c r="AN27" s="83">
        <f t="shared" ref="AN27" si="202">IF(AP27=0,0,IF(AP27&lt;0,IF($J27=9,AP27,IF($J27=8,AP27,IF($J27=7,AP27,0)))))</f>
        <v>0</v>
      </c>
      <c r="AO27" s="84">
        <f t="shared" ref="AO27" si="203">IF(AP27=0,0,IF(AP27&lt;0,IF($J27=12,AP27,IF($J27=11,AP27,IF($J27=10,AP27,0)))))</f>
        <v>0</v>
      </c>
      <c r="AP27" s="81">
        <f t="shared" si="45"/>
        <v>0</v>
      </c>
      <c r="AQ27" s="82">
        <f t="shared" ref="AQ27" si="204">IF(AU27=0,0,IF(AU27&lt;0,IF($J27=3,AU27,IF($J27=2,AU27,IF($J27=1,AU27,0)))))</f>
        <v>0</v>
      </c>
      <c r="AR27" s="83">
        <f t="shared" ref="AR27" si="205">IF(AU27=0,0,IF(AU27&lt;0,IF($J27=6,AU27,IF($J27=5,AU27,IF($J27=4,AU27,0)))))</f>
        <v>0</v>
      </c>
      <c r="AS27" s="83">
        <f t="shared" ref="AS27" si="206">IF(AU27=0,0,IF(AU27&lt;0,IF($J27=9,AU27,IF($J27=8,AU27,IF($J27=7,AU27,0)))))</f>
        <v>0</v>
      </c>
      <c r="AT27" s="84">
        <f t="shared" ref="AT27" si="207">IF(AU27=0,0,IF(AU27&lt;0,IF($J27=12,AU27,IF($J27=11,AU27,IF($J27=10,AU27,0)))))</f>
        <v>0</v>
      </c>
      <c r="AU27" s="81">
        <f t="shared" si="50"/>
        <v>0</v>
      </c>
      <c r="AV27" s="82">
        <f t="shared" ref="AV27" si="208">IF(AZ27=0,0,IF(AZ27&lt;0,IF($J27=3,AZ27,IF($J27=2,AZ27,IF($J27=1,AZ27,0)))))</f>
        <v>0</v>
      </c>
      <c r="AW27" s="83">
        <f t="shared" ref="AW27" si="209">IF(AZ27=0,0,IF(AZ27&lt;0,IF($J27=6,AZ27,IF($J27=5,AZ27,IF($J27=4,AZ27,0)))))</f>
        <v>0</v>
      </c>
      <c r="AX27" s="83">
        <f t="shared" ref="AX27" si="210">IF(AZ27=0,0,IF(AZ27&lt;0,IF($J27=9,AZ27,IF($J27=8,AZ27,IF($J27=7,AZ27,0)))))</f>
        <v>0</v>
      </c>
      <c r="AY27" s="84">
        <f t="shared" ref="AY27" si="211">IF(AZ27=0,0,IF(AZ27&lt;0,IF($J27=12,AZ27,IF($J27=11,AZ27,IF($J27=10,AZ27,0)))))</f>
        <v>-550</v>
      </c>
      <c r="AZ27" s="81">
        <f t="shared" si="55"/>
        <v>-550</v>
      </c>
      <c r="BA27" s="82">
        <f t="shared" si="56"/>
        <v>0</v>
      </c>
      <c r="BB27" s="83">
        <f t="shared" si="57"/>
        <v>0</v>
      </c>
      <c r="BC27" s="83">
        <f t="shared" si="58"/>
        <v>0</v>
      </c>
      <c r="BD27" s="84">
        <f t="shared" si="59"/>
        <v>0</v>
      </c>
      <c r="BE27" s="81">
        <f t="shared" si="60"/>
        <v>0</v>
      </c>
      <c r="BF27" s="1877"/>
      <c r="BG27" s="2005">
        <f t="shared" ref="BG27" si="212">IF(AND(BF27&lt;&gt;0,BF$5=$H27),-$I27*$E27-BF27,IF(BG$5=$H27,-$I27*$E27*(12-$J27+1)/12,0))</f>
        <v>0</v>
      </c>
      <c r="BH27" s="86">
        <f t="shared" ref="BH27" si="213">IF($H27&lt;&gt;BL$5,0,IF(BL27&lt;0,IF($J27=1,-$E27*$I27/12*3,IF($J27=2,-$E27*$I27/12*2,IF($J27=3,-$E27*$I27/12*1,0)))))+IF(BG$5&lt;&gt;$H27,0,IF(BG27&lt;0,IF($J27=1,-$E27*$I27/12*0,IF($J27=2,-$E27*$I27/12*1,IF($J27=3,-$E27*$I27/12*2,IF($J27&gt;=4,-$E27*$I27/12*3,0))))))</f>
        <v>0</v>
      </c>
      <c r="BI27" s="87">
        <f t="shared" ref="BI27" si="214">IF($H27&lt;&gt;BL$5,0,IF(BL27&lt;0,IF(OR($J27=1,$J27=2,$J27=3,$J27=4),-$E27*$I27/12*3,IF($J27=5,-$E27*$I27/12*2,IF($J27=6,-$E27*$I27/12*1,0)))))+IF(BG$5&lt;&gt;$H27,0,IF(BG27&lt;0,IF($J27=4,-$E27*$I27/12*0,IF($J27=5,-$E27*$I27/12*1,IF($J27=6,-$E27*$I27/12*2,IF($J27&gt;=7,-$E27*$I27/12*3,0))))))</f>
        <v>0</v>
      </c>
      <c r="BJ27" s="87">
        <f t="shared" ref="BJ27" si="215">IF($H27&lt;&gt;BL$5,0,IF(BL27&lt;0,IF(OR($J27=1,$J27=2,$J27=3,$J27=4,$J27=5,$J27=6,$J27=7),-$E27*$I27/12*3,IF($J27=8,-$E27*$I27/12*2,IF($J27=9,-$E27*$I27/12*1,0)))))+IF(BG$5&lt;&gt;$H27,0,IF(BG27&lt;0,IF($J27=7,-$E27*$I27/12*0,IF($J27=8,-$E27*$I27/12*1,IF($J27=9,-$E27*$I27/12*2,IF($J27&gt;=10,-$E27*$I27/12*3,0))))))</f>
        <v>0</v>
      </c>
      <c r="BK27" s="88">
        <f t="shared" ref="BK27" si="216">IF($H27&lt;&gt;BL$5,0,IF(BL27&lt;0,IF(OR($J27=1,$J27=2,$J27=3,$J27=4,$J27=5,$J27=6,$J27=7,$J27=8,$J27=9,$J27=10),-$E27*$I27/12*3,IF($J27=11,-$E27*$I27/12*2,IF($J27=12,-$E27*$I27/12*1,0)))))+IF(BG$5&lt;&gt;$H27,0,IF(BG27&lt;0,IF($J27=10,-$E27*$I27/12*0,IF($J27=11,-$E27*$I27/12*1,IF($J27=12,-$E27*$I27/12*2,0)))))</f>
        <v>0</v>
      </c>
      <c r="BL27" s="85">
        <f t="shared" ref="BL27" si="217">IF(AND(BG27&lt;&gt;0,BG$5=$H27),-$I27*$E27-BG27,IF(BL$5=$H27,-$I27*$E27*(12-$J27+1)/12,0))</f>
        <v>0</v>
      </c>
      <c r="BM27" s="86">
        <f t="shared" ref="BM27" si="218">IF($H27&lt;&gt;BQ$5,0,IF(BQ27&lt;0,IF($J27=1,-$E27*$I27/12*3,IF($J27=2,-$E27*$I27/12*2,IF($J27=3,-$E27*$I27/12*1,0)))))+IF(BL$5&lt;&gt;$H27,0,IF(BL27&lt;0,IF($J27=1,-$E27*$I27/12*0,IF($J27=2,-$E27*$I27/12*1,IF($J27=3,-$E27*$I27/12*2,IF($J27&gt;=4,-$E27*$I27/12*3,0))))))</f>
        <v>0</v>
      </c>
      <c r="BN27" s="87">
        <f t="shared" ref="BN27" si="219">IF($H27&lt;&gt;BQ$5,0,IF(BQ27&lt;0,IF(OR($J27=1,$J27=2,$J27=3,$J27=4),-$E27*$I27/12*3,IF($J27=5,-$E27*$I27/12*2,IF($J27=6,-$E27*$I27/12*1,0)))))+IF(BL$5&lt;&gt;$H27,0,IF(BL27&lt;0,IF($J27=4,-$E27*$I27/12*0,IF($J27=5,-$E27*$I27/12*1,IF($J27=6,-$E27*$I27/12*2,IF($J27&gt;=7,-$E27*$I27/12*3,0))))))</f>
        <v>0</v>
      </c>
      <c r="BO27" s="87">
        <f t="shared" ref="BO27" si="220">IF($H27&lt;&gt;BQ$5,0,IF(BQ27&lt;0,IF(OR($J27=1,$J27=2,$J27=3,$J27=4,$J27=5,$J27=6,$J27=7),-$E27*$I27/12*3,IF($J27=8,-$E27*$I27/12*2,IF($J27=9,-$E27*$I27/12*1,0)))))+IF(BL$5&lt;&gt;$H27,0,IF(BL27&lt;0,IF($J27=7,-$E27*$I27/12*0,IF($J27=8,-$E27*$I27/12*1,IF($J27=9,-$E27*$I27/12*2,IF($J27&gt;=10,-$E27*$I27/12*3,0))))))</f>
        <v>0</v>
      </c>
      <c r="BP27" s="88">
        <f t="shared" ref="BP27" si="221">IF($H27&lt;&gt;BQ$5,0,IF(BQ27&lt;0,IF(OR($J27=1,$J27=2,$J27=3,$J27=4,$J27=5,$J27=6,$J27=7,$J27=8,$J27=9,$J27=10),-$E27*$I27/12*3,IF($J27=11,-$E27*$I27/12*2,IF($J27=12,-$E27*$I27/12*1,0)))))+IF(BL$5&lt;&gt;$H27,0,IF(BL27&lt;0,IF($J27=10,-$E27*$I27/12*0,IF($J27=11,-$E27*$I27/12*1,IF($J27=12,-$E27*$I27/12*2,0)))))</f>
        <v>0</v>
      </c>
      <c r="BQ27" s="85">
        <f t="shared" ref="BQ27" si="222">IF(AND(BL27&lt;&gt;0,BL$5=$H27),-$I27*$E27-BL27,IF(BQ$5=$H27,-$I27*$E27*(12-$J27+1)/12,0))</f>
        <v>0</v>
      </c>
      <c r="BR27" s="86">
        <f t="shared" ref="BR27" si="223">IF($H27&lt;&gt;BV$5,0,IF(BV27&lt;0,IF($J27=1,-$E27*$I27/12*3,IF($J27=2,-$E27*$I27/12*2,IF($J27=3,-$E27*$I27/12*1,0)))))+IF(BQ$5&lt;&gt;$H27,0,IF(BQ27&lt;0,IF($J27=1,-$E27*$I27/12*0,IF($J27=2,-$E27*$I27/12*1,IF($J27=3,-$E27*$I27/12*2,IF($J27&gt;=4,-$E27*$I27/12*3,0))))))</f>
        <v>0</v>
      </c>
      <c r="BS27" s="87">
        <f t="shared" ref="BS27" si="224">IF($H27&lt;&gt;BV$5,0,IF(BV27&lt;0,IF(OR($J27=1,$J27=2,$J27=3,$J27=4),-$E27*$I27/12*3,IF($J27=5,-$E27*$I27/12*2,IF($J27=6,-$E27*$I27/12*1,0)))))+IF(BQ$5&lt;&gt;$H27,0,IF(BQ27&lt;0,IF($J27=4,-$E27*$I27/12*0,IF($J27=5,-$E27*$I27/12*1,IF($J27=6,-$E27*$I27/12*2,IF($J27&gt;=7,-$E27*$I27/12*3,0))))))</f>
        <v>0</v>
      </c>
      <c r="BT27" s="87">
        <f t="shared" ref="BT27" si="225">IF($H27&lt;&gt;BV$5,0,IF(BV27&lt;0,IF(OR($J27=1,$J27=2,$J27=3,$J27=4,$J27=5,$J27=6,$J27=7),-$E27*$I27/12*3,IF($J27=8,-$E27*$I27/12*2,IF($J27=9,-$E27*$I27/12*1,0)))))+IF(BQ$5&lt;&gt;$H27,0,IF(BQ27&lt;0,IF($J27=7,-$E27*$I27/12*0,IF($J27=8,-$E27*$I27/12*1,IF($J27=9,-$E27*$I27/12*2,IF($J27&gt;=10,-$E27*$I27/12*3,0))))))</f>
        <v>0</v>
      </c>
      <c r="BU27" s="88">
        <f t="shared" ref="BU27" si="226">IF($H27&lt;&gt;BV$5,0,IF(BV27&lt;0,IF(OR($J27=1,$J27=2,$J27=3,$J27=4,$J27=5,$J27=6,$J27=7,$J27=8,$J27=9,$J27=10),-$E27*$I27/12*3,IF($J27=11,-$E27*$I27/12*2,IF($J27=12,-$E27*$I27/12*1,0)))))+IF(BQ$5&lt;&gt;$H27,0,IF(BQ27&lt;0,IF($J27=10,-$E27*$I27/12*0,IF($J27=11,-$E27*$I27/12*1,IF($J27=12,-$E27*$I27/12*2,0)))))</f>
        <v>0</v>
      </c>
      <c r="BV27" s="85">
        <f t="shared" ref="BV27" si="227">IF(AND(BQ27&lt;&gt;0,BQ$5=$H27),-$I27*$E27-BQ27,IF(BV$5=$H27,-$I27*$E27*(12-$J27+1)/12,0))</f>
        <v>0</v>
      </c>
      <c r="BW27" s="86">
        <f t="shared" ref="BW27" si="228">IF($H27&lt;&gt;CA$5,0,IF(CA27&lt;0,IF($J27=1,-$E27*$I27/12*3,IF($J27=2,-$E27*$I27/12*2,IF($J27=3,-$E27*$I27/12*1,0)))))+IF(BV$5&lt;&gt;$H27,0,IF(BV27&lt;0,IF($J27=1,-$E27*$I27/12*0,IF($J27=2,-$E27*$I27/12*1,IF($J27=3,-$E27*$I27/12*2,IF($J27&gt;=4,-$E27*$I27/12*3,0))))))</f>
        <v>0</v>
      </c>
      <c r="BX27" s="87">
        <f t="shared" ref="BX27" si="229">IF($H27&lt;&gt;CA$5,0,IF(CA27&lt;0,IF(OR($J27=1,$J27=2,$J27=3,$J27=4),-$E27*$I27/12*3,IF($J27=5,-$E27*$I27/12*2,IF($J27=6,-$E27*$I27/12*1,0)))))+IF(BV$5&lt;&gt;$H27,0,IF(BV27&lt;0,IF($J27=4,-$E27*$I27/12*0,IF($J27=5,-$E27*$I27/12*1,IF($J27=6,-$E27*$I27/12*2,IF($J27&gt;=7,-$E27*$I27/12*3,0))))))</f>
        <v>0</v>
      </c>
      <c r="BY27" s="87">
        <f t="shared" ref="BY27" si="230">IF($H27&lt;&gt;CA$5,0,IF(CA27&lt;0,IF(OR($J27=1,$J27=2,$J27=3,$J27=4,$J27=5,$J27=6,$J27=7),-$E27*$I27/12*3,IF($J27=8,-$E27*$I27/12*2,IF($J27=9,-$E27*$I27/12*1,0)))))+IF(BV$5&lt;&gt;$H27,0,IF(BV27&lt;0,IF($J27=7,-$E27*$I27/12*0,IF($J27=8,-$E27*$I27/12*1,IF($J27=9,-$E27*$I27/12*2,IF($J27&gt;=10,-$E27*$I27/12*3,0))))))</f>
        <v>0</v>
      </c>
      <c r="BZ27" s="88">
        <f t="shared" ref="BZ27" si="231">IF($H27&lt;&gt;CA$5,0,IF(CA27&lt;0,IF(OR($J27=1,$J27=2,$J27=3,$J27=4,$J27=5,$J27=6,$J27=7,$J27=8,$J27=9,$J27=10),-$E27*$I27/12*3,IF($J27=11,-$E27*$I27/12*2,IF($J27=12,-$E27*$I27/12*1,0)))))+IF(BV$5&lt;&gt;$H27,0,IF(BV27&lt;0,IF($J27=10,-$E27*$I27/12*0,IF($J27=11,-$E27*$I27/12*1,IF($J27=12,-$E27*$I27/12*2,0)))))</f>
        <v>0</v>
      </c>
      <c r="CA27" s="85">
        <f t="shared" ref="CA27" si="232">IF(AND(BV27&lt;&gt;0,BV$5=$H27),-$I27*$E27-BV27,IF(CA$5=$H27,-$I27*$E27*(12-$J27+1)/12,0))</f>
        <v>0</v>
      </c>
      <c r="CB27" s="86">
        <f t="shared" ref="CB27" si="233">IF($H27&lt;&gt;CF$5,0,IF(CF27&lt;0,IF($J27=1,-$E27*$I27/12*3,IF($J27=2,-$E27*$I27/12*2,IF($J27=3,-$E27*$I27/12*1,0)))))+IF(CA$5&lt;&gt;$H27,0,IF(CA27&lt;0,IF($J27=1,-$E27*$I27/12*0,IF($J27=2,-$E27*$I27/12*1,IF($J27=3,-$E27*$I27/12*2,IF($J27&gt;=4,-$E27*$I27/12*3,0))))))</f>
        <v>0</v>
      </c>
      <c r="CC27" s="87">
        <f t="shared" ref="CC27" si="234">IF($H27&lt;&gt;CF$5,0,IF(CF27&lt;0,IF(OR($J27=1,$J27=2,$J27=3,$J27=4),-$E27*$I27/12*3,IF($J27=5,-$E27*$I27/12*2,IF($J27=6,-$E27*$I27/12*1,0)))))+IF(CA$5&lt;&gt;$H27,0,IF(CA27&lt;0,IF($J27=4,-$E27*$I27/12*0,IF($J27=5,-$E27*$I27/12*1,IF($J27=6,-$E27*$I27/12*2,IF($J27&gt;=7,-$E27*$I27/12*3,0))))))</f>
        <v>0</v>
      </c>
      <c r="CD27" s="87">
        <f t="shared" ref="CD27" si="235">IF($H27&lt;&gt;CF$5,0,IF(CF27&lt;0,IF(OR($J27=1,$J27=2,$J27=3,$J27=4,$J27=5,$J27=6,$J27=7),-$E27*$I27/12*3,IF($J27=8,-$E27*$I27/12*2,IF($J27=9,-$E27*$I27/12*1,0)))))+IF(CA$5&lt;&gt;$H27,0,IF(CA27&lt;0,IF($J27=7,-$E27*$I27/12*0,IF($J27=8,-$E27*$I27/12*1,IF($J27=9,-$E27*$I27/12*2,IF($J27&gt;=10,-$E27*$I27/12*3,0))))))</f>
        <v>0</v>
      </c>
      <c r="CE27" s="88">
        <f t="shared" ref="CE27" si="236">IF($H27&lt;&gt;CF$5,0,IF(CF27&lt;0,IF(OR($J27=1,$J27=2,$J27=3,$J27=4,$J27=5,$J27=6,$J27=7,$J27=8,$J27=9,$J27=10),-$E27*$I27/12*3,IF($J27=11,-$E27*$I27/12*2,IF($J27=12,-$E27*$I27/12*1,0)))))+IF(CA$5&lt;&gt;$H27,0,IF(CA27&lt;0,IF($J27=10,-$E27*$I27/12*0,IF($J27=11,-$E27*$I27/12*1,IF($J27=12,-$E27*$I27/12*2,0)))))</f>
        <v>0</v>
      </c>
      <c r="CF27" s="85">
        <f t="shared" ref="CF27" si="237">IF(AND(CA27&lt;&gt;0,CA$5=$H27),-$I27*$E27-CA27,IF(CF$5=$H27,-$I27*$E27*(12-$J27+1)/12,0))</f>
        <v>0</v>
      </c>
      <c r="CG27" s="86">
        <f t="shared" ref="CG27" si="238">IF($H27&lt;&gt;CK$5,0,IF(CK27&lt;0,IF($J27=1,-$E27*$I27/12*3,IF($J27=2,-$E27*$I27/12*2,IF($J27=3,-$E27*$I27/12*1,0)))))+IF(CF$5&lt;&gt;$H27,0,IF(CF27&lt;0,IF($J27=1,-$E27*$I27/12*0,IF($J27=2,-$E27*$I27/12*1,IF($J27=3,-$E27*$I27/12*2,IF($J27&gt;=4,-$E27*$I27/12*3,0))))))</f>
        <v>0</v>
      </c>
      <c r="CH27" s="87">
        <f t="shared" ref="CH27" si="239">IF($H27&lt;&gt;CK$5,0,IF(CK27&lt;0,IF(OR($J27=1,$J27=2,$J27=3,$J27=4),-$E27*$I27/12*3,IF($J27=5,-$E27*$I27/12*2,IF($J27=6,-$E27*$I27/12*1,0)))))+IF(CF$5&lt;&gt;$H27,0,IF(CF27&lt;0,IF($J27=4,-$E27*$I27/12*0,IF($J27=5,-$E27*$I27/12*1,IF($J27=6,-$E27*$I27/12*2,IF($J27&gt;=7,-$E27*$I27/12*3,0))))))</f>
        <v>0</v>
      </c>
      <c r="CI27" s="87">
        <f t="shared" ref="CI27" si="240">IF($H27&lt;&gt;CK$5,0,IF(CK27&lt;0,IF(OR($J27=1,$J27=2,$J27=3,$J27=4,$J27=5,$J27=6,$J27=7),-$E27*$I27/12*3,IF($J27=8,-$E27*$I27/12*2,IF($J27=9,-$E27*$I27/12*1,0)))))+IF(CF$5&lt;&gt;$H27,0,IF(CF27&lt;0,IF($J27=7,-$E27*$I27/12*0,IF($J27=8,-$E27*$I27/12*1,IF($J27=9,-$E27*$I27/12*2,IF($J27&gt;=10,-$E27*$I27/12*3,0))))))</f>
        <v>0</v>
      </c>
      <c r="CJ27" s="88">
        <f t="shared" ref="CJ27" si="241">IF($H27&lt;&gt;CK$5,0,IF(CK27&lt;0,IF(OR($J27=1,$J27=2,$J27=3,$J27=4,$J27=5,$J27=6,$J27=7,$J27=8,$J27=9,$J27=10),-$E27*$I27/12*3,IF($J27=11,-$E27*$I27/12*2,IF($J27=12,-$E27*$I27/12*1,0)))))+IF(CF$5&lt;&gt;$H27,0,IF(CF27&lt;0,IF($J27=10,-$E27*$I27/12*0,IF($J27=11,-$E27*$I27/12*1,IF($J27=12,-$E27*$I27/12*2,0)))))</f>
        <v>0</v>
      </c>
      <c r="CK27" s="85">
        <f t="shared" ref="CK27" si="242">IF(AND(CF27&lt;&gt;0,CF$5=$H27),-$I27*$E27-CF27,IF(CK$5=$H27,-$I27*$E27*(12-$J27+1)/12,0))</f>
        <v>0</v>
      </c>
      <c r="CL27" s="86">
        <f t="shared" ref="CL27" si="243">IF($H27&lt;&gt;CP$5,0,IF(CP27&lt;0,IF($J27=1,-$E27*$I27/12*3,IF($J27=2,-$E27*$I27/12*2,IF($J27=3,-$E27*$I27/12*1,0)))))+IF(CK$5&lt;&gt;$H27,0,IF(CK27&lt;0,IF($J27=1,-$E27*$I27/12*0,IF($J27=2,-$E27*$I27/12*1,IF($J27=3,-$E27*$I27/12*2,IF($J27&gt;=4,-$E27*$I27/12*3,0))))))</f>
        <v>0</v>
      </c>
      <c r="CM27" s="87">
        <f t="shared" ref="CM27" si="244">IF($H27&lt;&gt;CP$5,0,IF(CP27&lt;0,IF(OR($J27=1,$J27=2,$J27=3,$J27=4),-$E27*$I27/12*3,IF($J27=5,-$E27*$I27/12*2,IF($J27=6,-$E27*$I27/12*1,0)))))+IF(CK$5&lt;&gt;$H27,0,IF(CK27&lt;0,IF($J27=4,-$E27*$I27/12*0,IF($J27=5,-$E27*$I27/12*1,IF($J27=6,-$E27*$I27/12*2,IF($J27&gt;=7,-$E27*$I27/12*3,0))))))</f>
        <v>0</v>
      </c>
      <c r="CN27" s="87">
        <f t="shared" ref="CN27" si="245">IF($H27&lt;&gt;CP$5,0,IF(CP27&lt;0,IF(OR($J27=1,$J27=2,$J27=3,$J27=4,$J27=5,$J27=6,$J27=7),-$E27*$I27/12*3,IF($J27=8,-$E27*$I27/12*2,IF($J27=9,-$E27*$I27/12*1,0)))))+IF(CK$5&lt;&gt;$H27,0,IF(CK27&lt;0,IF($J27=7,-$E27*$I27/12*0,IF($J27=8,-$E27*$I27/12*1,IF($J27=9,-$E27*$I27/12*2,IF($J27&gt;=10,-$E27*$I27/12*3,0))))))</f>
        <v>0</v>
      </c>
      <c r="CO27" s="88">
        <f t="shared" ref="CO27" si="246">IF($H27&lt;&gt;CP$5,0,IF(CP27&lt;0,IF(OR($J27=1,$J27=2,$J27=3,$J27=4,$J27=5,$J27=6,$J27=7,$J27=8,$J27=9,$J27=10),-$E27*$I27/12*3,IF($J27=11,-$E27*$I27/12*2,IF($J27=12,-$E27*$I27/12*1,0)))))+IF(CK$5&lt;&gt;$H27,0,IF(CK27&lt;0,IF($J27=10,-$E27*$I27/12*0,IF($J27=11,-$E27*$I27/12*1,IF($J27=12,-$E27*$I27/12*2,0)))))</f>
        <v>0</v>
      </c>
      <c r="CP27" s="85">
        <f t="shared" ref="CP27" si="247">IF(AND(CK27&lt;&gt;0,CK$5=$H27),-$I27*$E27-CK27,IF(CP$5=$H27,-$I27*$E27*(12-$J27+1)/12,0))</f>
        <v>0</v>
      </c>
      <c r="CQ27" s="86">
        <f t="shared" ref="CQ27" si="248">IF($H27&lt;&gt;CU$5,0,IF(CU27&lt;0,IF($J27=1,-$E27*$I27/12*3,IF($J27=2,-$E27*$I27/12*2,IF($J27=3,-$E27*$I27/12*1,0)))))+IF(CP$5&lt;&gt;$H27,0,IF(CP27&lt;0,IF($J27=1,-$E27*$I27/12*0,IF($J27=2,-$E27*$I27/12*1,IF($J27=3,-$E27*$I27/12*2,IF($J27&gt;=4,-$E27*$I27/12*3,0))))))</f>
        <v>0</v>
      </c>
      <c r="CR27" s="87">
        <f t="shared" ref="CR27" si="249">IF($H27&lt;&gt;CU$5,0,IF(CU27&lt;0,IF(OR($J27=1,$J27=2,$J27=3,$J27=4),-$E27*$I27/12*3,IF($J27=5,-$E27*$I27/12*2,IF($J27=6,-$E27*$I27/12*1,0)))))+IF(CP$5&lt;&gt;$H27,0,IF(CP27&lt;0,IF($J27=4,-$E27*$I27/12*0,IF($J27=5,-$E27*$I27/12*1,IF($J27=6,-$E27*$I27/12*2,IF($J27&gt;=7,-$E27*$I27/12*3,0))))))</f>
        <v>0</v>
      </c>
      <c r="CS27" s="87">
        <f t="shared" ref="CS27" si="250">IF($H27&lt;&gt;CU$5,0,IF(CU27&lt;0,IF(OR($J27=1,$J27=2,$J27=3,$J27=4,$J27=5,$J27=6,$J27=7),-$E27*$I27/12*3,IF($J27=8,-$E27*$I27/12*2,IF($J27=9,-$E27*$I27/12*1,0)))))+IF(CP$5&lt;&gt;$H27,0,IF(CP27&lt;0,IF($J27=7,-$E27*$I27/12*0,IF($J27=8,-$E27*$I27/12*1,IF($J27=9,-$E27*$I27/12*2,IF($J27&gt;=10,-$E27*$I27/12*3,0))))))</f>
        <v>0</v>
      </c>
      <c r="CT27" s="88">
        <f t="shared" ref="CT27" si="251">IF($H27&lt;&gt;CU$5,0,IF(CU27&lt;0,IF(OR($J27=1,$J27=2,$J27=3,$J27=4,$J27=5,$J27=6,$J27=7,$J27=8,$J27=9,$J27=10),-$E27*$I27/12*3,IF($J27=11,-$E27*$I27/12*2,IF($J27=12,-$E27*$I27/12*1,0)))))+IF(CP$5&lt;&gt;$H27,0,IF(CP27&lt;0,IF($J27=10,-$E27*$I27/12*0,IF($J27=11,-$E27*$I27/12*1,IF($J27=12,-$E27*$I27/12*2,0)))))</f>
        <v>-2.3604166666666666</v>
      </c>
      <c r="CU27" s="85">
        <f t="shared" ref="CU27" si="252">IF(AND(CP27&lt;&gt;0,CP$5=$H27),-$I27*$E27-CP27,IF(CU$5=$H27,-$I27*$E27*(12-$J27+1)/12,0))</f>
        <v>-2.3604166666666666</v>
      </c>
      <c r="CV27" s="86">
        <f t="shared" si="102"/>
        <v>-7.0812499999999998</v>
      </c>
      <c r="CW27" s="87">
        <f t="shared" si="103"/>
        <v>-7.0812499999999998</v>
      </c>
      <c r="CX27" s="87">
        <f t="shared" si="104"/>
        <v>-7.0812499999999998</v>
      </c>
      <c r="CY27" s="88">
        <f t="shared" si="105"/>
        <v>-4.7208333333333332</v>
      </c>
      <c r="CZ27" s="85">
        <f t="shared" si="106"/>
        <v>-25.964583333333334</v>
      </c>
    </row>
    <row r="28" spans="1:104" s="232" customFormat="1" ht="12.75" customHeight="1">
      <c r="A28" s="40"/>
      <c r="B28" s="40"/>
      <c r="C28" s="1999" t="s">
        <v>1441</v>
      </c>
      <c r="D28" s="2114"/>
      <c r="E28" s="2115">
        <f t="shared" si="14"/>
        <v>750</v>
      </c>
      <c r="F28" s="2314">
        <v>750</v>
      </c>
      <c r="G28" s="1510">
        <v>750</v>
      </c>
      <c r="H28" s="1334">
        <v>2026</v>
      </c>
      <c r="I28" s="2122">
        <v>3.4000000000000002E-2</v>
      </c>
      <c r="J28" s="1334">
        <v>4</v>
      </c>
      <c r="K28" s="80"/>
      <c r="L28" s="81">
        <f t="shared" si="15"/>
        <v>0</v>
      </c>
      <c r="M28" s="82">
        <f t="shared" ref="M28" si="253">IF(Q28=0,0,IF(Q28&lt;0,IF($J28=3,Q28,IF($J28=2,Q28,IF($J28=1,Q28,0)))))</f>
        <v>0</v>
      </c>
      <c r="N28" s="83">
        <f t="shared" ref="N28" si="254">IF(Q28=0,0,IF(Q28&lt;0,IF($J28=6,Q28,IF($J28=5,Q28,IF($J28=4,Q28,0)))))</f>
        <v>0</v>
      </c>
      <c r="O28" s="83">
        <f t="shared" ref="O28" si="255">IF(Q28=0,0,IF(Q28&lt;0,IF($J28=9,Q28,IF($J28=8,Q28,IF($J28=7,Q28,0)))))</f>
        <v>0</v>
      </c>
      <c r="P28" s="84">
        <f t="shared" ref="P28" si="256">IF(Q28=0,0,IF(Q28&lt;0,IF($J28=12,Q28,IF($J28=11,Q28,IF($J28=10,Q28,0)))))</f>
        <v>0</v>
      </c>
      <c r="Q28" s="81">
        <f t="shared" si="20"/>
        <v>0</v>
      </c>
      <c r="R28" s="82">
        <f t="shared" ref="R28" si="257">IF(V28=0,0,IF(V28&lt;0,IF($J28=3,V28,IF($J28=2,V28,IF($J28=1,V28,0)))))</f>
        <v>0</v>
      </c>
      <c r="S28" s="83">
        <f t="shared" ref="S28" si="258">IF(V28=0,0,IF(V28&lt;0,IF($J28=6,V28,IF($J28=5,V28,IF($J28=4,V28,0)))))</f>
        <v>0</v>
      </c>
      <c r="T28" s="83">
        <f t="shared" ref="T28" si="259">IF(V28=0,0,IF(V28&lt;0,IF($J28=9,V28,IF($J28=8,V28,IF($J28=7,V28,0)))))</f>
        <v>0</v>
      </c>
      <c r="U28" s="84">
        <f t="shared" ref="U28" si="260">IF(V28=0,0,IF(V28&lt;0,IF($J28=12,V28,IF($J28=11,V28,IF($J28=10,V28,0)))))</f>
        <v>0</v>
      </c>
      <c r="V28" s="81">
        <f t="shared" si="25"/>
        <v>0</v>
      </c>
      <c r="W28" s="82">
        <f t="shared" ref="W28" si="261">IF(AA28=0,0,IF(AA28&lt;0,IF($J28=3,AA28,IF($J28=2,AA28,IF($J28=1,AA28,0)))))</f>
        <v>0</v>
      </c>
      <c r="X28" s="83">
        <f t="shared" ref="X28" si="262">IF(AA28=0,0,IF(AA28&lt;0,IF($J28=6,AA28,IF($J28=5,AA28,IF($J28=4,AA28,0)))))</f>
        <v>0</v>
      </c>
      <c r="Y28" s="83">
        <f t="shared" ref="Y28" si="263">IF(AA28=0,0,IF(AA28&lt;0,IF($J28=9,AA28,IF($J28=8,AA28,IF($J28=7,AA28,0)))))</f>
        <v>0</v>
      </c>
      <c r="Z28" s="84">
        <f t="shared" ref="Z28" si="264">IF(AA28=0,0,IF(AA28&lt;0,IF($J28=12,AA28,IF($J28=11,AA28,IF($J28=10,AA28,0)))))</f>
        <v>0</v>
      </c>
      <c r="AA28" s="81">
        <f t="shared" si="30"/>
        <v>0</v>
      </c>
      <c r="AB28" s="82">
        <f t="shared" ref="AB28" si="265">IF(AF28=0,0,IF(AF28&lt;0,IF($J28=3,AF28,IF($J28=2,AF28,IF($J28=1,AF28,0)))))</f>
        <v>0</v>
      </c>
      <c r="AC28" s="83">
        <f t="shared" ref="AC28" si="266">IF(AF28=0,0,IF(AF28&lt;0,IF($J28=6,AF28,IF($J28=5,AF28,IF($J28=4,AF28,0)))))</f>
        <v>0</v>
      </c>
      <c r="AD28" s="83">
        <f t="shared" ref="AD28" si="267">IF(AF28=0,0,IF(AF28&lt;0,IF($J28=9,AF28,IF($J28=8,AF28,IF($J28=7,AF28,0)))))</f>
        <v>0</v>
      </c>
      <c r="AE28" s="84">
        <f t="shared" ref="AE28" si="268">IF(AF28=0,0,IF(AF28&lt;0,IF($J28=12,AF28,IF($J28=11,AF28,IF($J28=10,AF28,0)))))</f>
        <v>0</v>
      </c>
      <c r="AF28" s="81">
        <f t="shared" si="35"/>
        <v>0</v>
      </c>
      <c r="AG28" s="82">
        <f t="shared" ref="AG28" si="269">IF(AK28=0,0,IF(AK28&lt;0,IF($J28=3,AK28,IF($J28=2,AK28,IF($J28=1,AK28,0)))))</f>
        <v>0</v>
      </c>
      <c r="AH28" s="83">
        <f t="shared" ref="AH28" si="270">IF(AK28=0,0,IF(AK28&lt;0,IF($J28=6,AK28,IF($J28=5,AK28,IF($J28=4,AK28,0)))))</f>
        <v>0</v>
      </c>
      <c r="AI28" s="83">
        <f t="shared" ref="AI28" si="271">IF(AK28=0,0,IF(AK28&lt;0,IF($J28=9,AK28,IF($J28=8,AK28,IF($J28=7,AK28,0)))))</f>
        <v>0</v>
      </c>
      <c r="AJ28" s="84">
        <f t="shared" ref="AJ28" si="272">IF(AK28=0,0,IF(AK28&lt;0,IF($J28=12,AK28,IF($J28=11,AK28,IF($J28=10,AK28,0)))))</f>
        <v>0</v>
      </c>
      <c r="AK28" s="81">
        <f t="shared" si="40"/>
        <v>0</v>
      </c>
      <c r="AL28" s="82">
        <f t="shared" ref="AL28" si="273">IF(AP28=0,0,IF(AP28&lt;0,IF($J28=3,AP28,IF($J28=2,AP28,IF($J28=1,AP28,0)))))</f>
        <v>0</v>
      </c>
      <c r="AM28" s="83">
        <f t="shared" ref="AM28" si="274">IF(AP28=0,0,IF(AP28&lt;0,IF($J28=6,AP28,IF($J28=5,AP28,IF($J28=4,AP28,0)))))</f>
        <v>0</v>
      </c>
      <c r="AN28" s="83">
        <f t="shared" ref="AN28" si="275">IF(AP28=0,0,IF(AP28&lt;0,IF($J28=9,AP28,IF($J28=8,AP28,IF($J28=7,AP28,0)))))</f>
        <v>0</v>
      </c>
      <c r="AO28" s="84">
        <f t="shared" ref="AO28" si="276">IF(AP28=0,0,IF(AP28&lt;0,IF($J28=12,AP28,IF($J28=11,AP28,IF($J28=10,AP28,0)))))</f>
        <v>0</v>
      </c>
      <c r="AP28" s="81">
        <f t="shared" si="45"/>
        <v>0</v>
      </c>
      <c r="AQ28" s="82">
        <f t="shared" ref="AQ28" si="277">IF(AU28=0,0,IF(AU28&lt;0,IF($J28=3,AU28,IF($J28=2,AU28,IF($J28=1,AU28,0)))))</f>
        <v>0</v>
      </c>
      <c r="AR28" s="83">
        <f t="shared" ref="AR28" si="278">IF(AU28=0,0,IF(AU28&lt;0,IF($J28=6,AU28,IF($J28=5,AU28,IF($J28=4,AU28,0)))))</f>
        <v>0</v>
      </c>
      <c r="AS28" s="83">
        <f t="shared" ref="AS28" si="279">IF(AU28=0,0,IF(AU28&lt;0,IF($J28=9,AU28,IF($J28=8,AU28,IF($J28=7,AU28,0)))))</f>
        <v>0</v>
      </c>
      <c r="AT28" s="84">
        <f t="shared" ref="AT28" si="280">IF(AU28=0,0,IF(AU28&lt;0,IF($J28=12,AU28,IF($J28=11,AU28,IF($J28=10,AU28,0)))))</f>
        <v>0</v>
      </c>
      <c r="AU28" s="81">
        <f t="shared" si="50"/>
        <v>0</v>
      </c>
      <c r="AV28" s="82">
        <f t="shared" ref="AV28" si="281">IF(AZ28=0,0,IF(AZ28&lt;0,IF($J28=3,AZ28,IF($J28=2,AZ28,IF($J28=1,AZ28,0)))))</f>
        <v>0</v>
      </c>
      <c r="AW28" s="83">
        <f t="shared" ref="AW28" si="282">IF(AZ28=0,0,IF(AZ28&lt;0,IF($J28=6,AZ28,IF($J28=5,AZ28,IF($J28=4,AZ28,0)))))</f>
        <v>0</v>
      </c>
      <c r="AX28" s="83">
        <f t="shared" ref="AX28" si="283">IF(AZ28=0,0,IF(AZ28&lt;0,IF($J28=9,AZ28,IF($J28=8,AZ28,IF($J28=7,AZ28,0)))))</f>
        <v>0</v>
      </c>
      <c r="AY28" s="84">
        <f t="shared" ref="AY28" si="284">IF(AZ28=0,0,IF(AZ28&lt;0,IF($J28=12,AZ28,IF($J28=11,AZ28,IF($J28=10,AZ28,0)))))</f>
        <v>0</v>
      </c>
      <c r="AZ28" s="81">
        <f t="shared" si="55"/>
        <v>0</v>
      </c>
      <c r="BA28" s="82">
        <f t="shared" si="56"/>
        <v>0</v>
      </c>
      <c r="BB28" s="83">
        <f t="shared" si="57"/>
        <v>0</v>
      </c>
      <c r="BC28" s="83">
        <f t="shared" si="58"/>
        <v>0</v>
      </c>
      <c r="BD28" s="84">
        <f t="shared" si="59"/>
        <v>0</v>
      </c>
      <c r="BE28" s="81">
        <f t="shared" si="60"/>
        <v>0</v>
      </c>
      <c r="BF28" s="1877"/>
      <c r="BG28" s="2005">
        <f t="shared" ref="BG28" si="285">IF(AND(BF28&lt;&gt;0,BF$5=$H28),-$I28*$E28-BF28,IF(BG$5=$H28,-$I28*$E28*(12-$J28+1)/12,0))</f>
        <v>0</v>
      </c>
      <c r="BH28" s="86">
        <f t="shared" ref="BH28" si="286">IF($H28&lt;&gt;BL$5,0,IF(BL28&lt;0,IF($J28=1,-$E28*$I28/12*3,IF($J28=2,-$E28*$I28/12*2,IF($J28=3,-$E28*$I28/12*1,0)))))+IF(BG$5&lt;&gt;$H28,0,IF(BG28&lt;0,IF($J28=1,-$E28*$I28/12*0,IF($J28=2,-$E28*$I28/12*1,IF($J28=3,-$E28*$I28/12*2,IF($J28&gt;=4,-$E28*$I28/12*3,0))))))</f>
        <v>0</v>
      </c>
      <c r="BI28" s="87">
        <f t="shared" ref="BI28" si="287">IF($H28&lt;&gt;BL$5,0,IF(BL28&lt;0,IF(OR($J28=1,$J28=2,$J28=3,$J28=4),-$E28*$I28/12*3,IF($J28=5,-$E28*$I28/12*2,IF($J28=6,-$E28*$I28/12*1,0)))))+IF(BG$5&lt;&gt;$H28,0,IF(BG28&lt;0,IF($J28=4,-$E28*$I28/12*0,IF($J28=5,-$E28*$I28/12*1,IF($J28=6,-$E28*$I28/12*2,IF($J28&gt;=7,-$E28*$I28/12*3,0))))))</f>
        <v>0</v>
      </c>
      <c r="BJ28" s="87">
        <f t="shared" ref="BJ28" si="288">IF($H28&lt;&gt;BL$5,0,IF(BL28&lt;0,IF(OR($J28=1,$J28=2,$J28=3,$J28=4,$J28=5,$J28=6,$J28=7),-$E28*$I28/12*3,IF($J28=8,-$E28*$I28/12*2,IF($J28=9,-$E28*$I28/12*1,0)))))+IF(BG$5&lt;&gt;$H28,0,IF(BG28&lt;0,IF($J28=7,-$E28*$I28/12*0,IF($J28=8,-$E28*$I28/12*1,IF($J28=9,-$E28*$I28/12*2,IF($J28&gt;=10,-$E28*$I28/12*3,0))))))</f>
        <v>0</v>
      </c>
      <c r="BK28" s="88">
        <f t="shared" ref="BK28" si="289">IF($H28&lt;&gt;BL$5,0,IF(BL28&lt;0,IF(OR($J28=1,$J28=2,$J28=3,$J28=4,$J28=5,$J28=6,$J28=7,$J28=8,$J28=9,$J28=10),-$E28*$I28/12*3,IF($J28=11,-$E28*$I28/12*2,IF($J28=12,-$E28*$I28/12*1,0)))))+IF(BG$5&lt;&gt;$H28,0,IF(BG28&lt;0,IF($J28=10,-$E28*$I28/12*0,IF($J28=11,-$E28*$I28/12*1,IF($J28=12,-$E28*$I28/12*2,0)))))</f>
        <v>0</v>
      </c>
      <c r="BL28" s="85">
        <f t="shared" ref="BL28" si="290">IF(AND(BG28&lt;&gt;0,BG$5=$H28),-$I28*$E28-BG28,IF(BL$5=$H28,-$I28*$E28*(12-$J28+1)/12,0))</f>
        <v>0</v>
      </c>
      <c r="BM28" s="86">
        <f t="shared" ref="BM28" si="291">IF($H28&lt;&gt;BQ$5,0,IF(BQ28&lt;0,IF($J28=1,-$E28*$I28/12*3,IF($J28=2,-$E28*$I28/12*2,IF($J28=3,-$E28*$I28/12*1,0)))))+IF(BL$5&lt;&gt;$H28,0,IF(BL28&lt;0,IF($J28=1,-$E28*$I28/12*0,IF($J28=2,-$E28*$I28/12*1,IF($J28=3,-$E28*$I28/12*2,IF($J28&gt;=4,-$E28*$I28/12*3,0))))))</f>
        <v>0</v>
      </c>
      <c r="BN28" s="87">
        <f t="shared" ref="BN28" si="292">IF($H28&lt;&gt;BQ$5,0,IF(BQ28&lt;0,IF(OR($J28=1,$J28=2,$J28=3,$J28=4),-$E28*$I28/12*3,IF($J28=5,-$E28*$I28/12*2,IF($J28=6,-$E28*$I28/12*1,0)))))+IF(BL$5&lt;&gt;$H28,0,IF(BL28&lt;0,IF($J28=4,-$E28*$I28/12*0,IF($J28=5,-$E28*$I28/12*1,IF($J28=6,-$E28*$I28/12*2,IF($J28&gt;=7,-$E28*$I28/12*3,0))))))</f>
        <v>0</v>
      </c>
      <c r="BO28" s="87">
        <f t="shared" ref="BO28" si="293">IF($H28&lt;&gt;BQ$5,0,IF(BQ28&lt;0,IF(OR($J28=1,$J28=2,$J28=3,$J28=4,$J28=5,$J28=6,$J28=7),-$E28*$I28/12*3,IF($J28=8,-$E28*$I28/12*2,IF($J28=9,-$E28*$I28/12*1,0)))))+IF(BL$5&lt;&gt;$H28,0,IF(BL28&lt;0,IF($J28=7,-$E28*$I28/12*0,IF($J28=8,-$E28*$I28/12*1,IF($J28=9,-$E28*$I28/12*2,IF($J28&gt;=10,-$E28*$I28/12*3,0))))))</f>
        <v>0</v>
      </c>
      <c r="BP28" s="88">
        <f t="shared" ref="BP28" si="294">IF($H28&lt;&gt;BQ$5,0,IF(BQ28&lt;0,IF(OR($J28=1,$J28=2,$J28=3,$J28=4,$J28=5,$J28=6,$J28=7,$J28=8,$J28=9,$J28=10),-$E28*$I28/12*3,IF($J28=11,-$E28*$I28/12*2,IF($J28=12,-$E28*$I28/12*1,0)))))+IF(BL$5&lt;&gt;$H28,0,IF(BL28&lt;0,IF($J28=10,-$E28*$I28/12*0,IF($J28=11,-$E28*$I28/12*1,IF($J28=12,-$E28*$I28/12*2,0)))))</f>
        <v>0</v>
      </c>
      <c r="BQ28" s="85">
        <f t="shared" ref="BQ28" si="295">IF(AND(BL28&lt;&gt;0,BL$5=$H28),-$I28*$E28-BL28,IF(BQ$5=$H28,-$I28*$E28*(12-$J28+1)/12,0))</f>
        <v>0</v>
      </c>
      <c r="BR28" s="86">
        <f t="shared" ref="BR28" si="296">IF($H28&lt;&gt;BV$5,0,IF(BV28&lt;0,IF($J28=1,-$E28*$I28/12*3,IF($J28=2,-$E28*$I28/12*2,IF($J28=3,-$E28*$I28/12*1,0)))))+IF(BQ$5&lt;&gt;$H28,0,IF(BQ28&lt;0,IF($J28=1,-$E28*$I28/12*0,IF($J28=2,-$E28*$I28/12*1,IF($J28=3,-$E28*$I28/12*2,IF($J28&gt;=4,-$E28*$I28/12*3,0))))))</f>
        <v>0</v>
      </c>
      <c r="BS28" s="87">
        <f t="shared" ref="BS28" si="297">IF($H28&lt;&gt;BV$5,0,IF(BV28&lt;0,IF(OR($J28=1,$J28=2,$J28=3,$J28=4),-$E28*$I28/12*3,IF($J28=5,-$E28*$I28/12*2,IF($J28=6,-$E28*$I28/12*1,0)))))+IF(BQ$5&lt;&gt;$H28,0,IF(BQ28&lt;0,IF($J28=4,-$E28*$I28/12*0,IF($J28=5,-$E28*$I28/12*1,IF($J28=6,-$E28*$I28/12*2,IF($J28&gt;=7,-$E28*$I28/12*3,0))))))</f>
        <v>0</v>
      </c>
      <c r="BT28" s="87">
        <f t="shared" ref="BT28" si="298">IF($H28&lt;&gt;BV$5,0,IF(BV28&lt;0,IF(OR($J28=1,$J28=2,$J28=3,$J28=4,$J28=5,$J28=6,$J28=7),-$E28*$I28/12*3,IF($J28=8,-$E28*$I28/12*2,IF($J28=9,-$E28*$I28/12*1,0)))))+IF(BQ$5&lt;&gt;$H28,0,IF(BQ28&lt;0,IF($J28=7,-$E28*$I28/12*0,IF($J28=8,-$E28*$I28/12*1,IF($J28=9,-$E28*$I28/12*2,IF($J28&gt;=10,-$E28*$I28/12*3,0))))))</f>
        <v>0</v>
      </c>
      <c r="BU28" s="88">
        <f t="shared" ref="BU28" si="299">IF($H28&lt;&gt;BV$5,0,IF(BV28&lt;0,IF(OR($J28=1,$J28=2,$J28=3,$J28=4,$J28=5,$J28=6,$J28=7,$J28=8,$J28=9,$J28=10),-$E28*$I28/12*3,IF($J28=11,-$E28*$I28/12*2,IF($J28=12,-$E28*$I28/12*1,0)))))+IF(BQ$5&lt;&gt;$H28,0,IF(BQ28&lt;0,IF($J28=10,-$E28*$I28/12*0,IF($J28=11,-$E28*$I28/12*1,IF($J28=12,-$E28*$I28/12*2,0)))))</f>
        <v>0</v>
      </c>
      <c r="BV28" s="85">
        <f t="shared" ref="BV28" si="300">IF(AND(BQ28&lt;&gt;0,BQ$5=$H28),-$I28*$E28-BQ28,IF(BV$5=$H28,-$I28*$E28*(12-$J28+1)/12,0))</f>
        <v>0</v>
      </c>
      <c r="BW28" s="86">
        <f t="shared" ref="BW28" si="301">IF($H28&lt;&gt;CA$5,0,IF(CA28&lt;0,IF($J28=1,-$E28*$I28/12*3,IF($J28=2,-$E28*$I28/12*2,IF($J28=3,-$E28*$I28/12*1,0)))))+IF(BV$5&lt;&gt;$H28,0,IF(BV28&lt;0,IF($J28=1,-$E28*$I28/12*0,IF($J28=2,-$E28*$I28/12*1,IF($J28=3,-$E28*$I28/12*2,IF($J28&gt;=4,-$E28*$I28/12*3,0))))))</f>
        <v>0</v>
      </c>
      <c r="BX28" s="87">
        <f t="shared" ref="BX28" si="302">IF($H28&lt;&gt;CA$5,0,IF(CA28&lt;0,IF(OR($J28=1,$J28=2,$J28=3,$J28=4),-$E28*$I28/12*3,IF($J28=5,-$E28*$I28/12*2,IF($J28=6,-$E28*$I28/12*1,0)))))+IF(BV$5&lt;&gt;$H28,0,IF(BV28&lt;0,IF($J28=4,-$E28*$I28/12*0,IF($J28=5,-$E28*$I28/12*1,IF($J28=6,-$E28*$I28/12*2,IF($J28&gt;=7,-$E28*$I28/12*3,0))))))</f>
        <v>0</v>
      </c>
      <c r="BY28" s="87">
        <f t="shared" ref="BY28" si="303">IF($H28&lt;&gt;CA$5,0,IF(CA28&lt;0,IF(OR($J28=1,$J28=2,$J28=3,$J28=4,$J28=5,$J28=6,$J28=7),-$E28*$I28/12*3,IF($J28=8,-$E28*$I28/12*2,IF($J28=9,-$E28*$I28/12*1,0)))))+IF(BV$5&lt;&gt;$H28,0,IF(BV28&lt;0,IF($J28=7,-$E28*$I28/12*0,IF($J28=8,-$E28*$I28/12*1,IF($J28=9,-$E28*$I28/12*2,IF($J28&gt;=10,-$E28*$I28/12*3,0))))))</f>
        <v>0</v>
      </c>
      <c r="BZ28" s="88">
        <f t="shared" ref="BZ28" si="304">IF($H28&lt;&gt;CA$5,0,IF(CA28&lt;0,IF(OR($J28=1,$J28=2,$J28=3,$J28=4,$J28=5,$J28=6,$J28=7,$J28=8,$J28=9,$J28=10),-$E28*$I28/12*3,IF($J28=11,-$E28*$I28/12*2,IF($J28=12,-$E28*$I28/12*1,0)))))+IF(BV$5&lt;&gt;$H28,0,IF(BV28&lt;0,IF($J28=10,-$E28*$I28/12*0,IF($J28=11,-$E28*$I28/12*1,IF($J28=12,-$E28*$I28/12*2,0)))))</f>
        <v>0</v>
      </c>
      <c r="CA28" s="85">
        <f t="shared" ref="CA28" si="305">IF(AND(BV28&lt;&gt;0,BV$5=$H28),-$I28*$E28-BV28,IF(CA$5=$H28,-$I28*$E28*(12-$J28+1)/12,0))</f>
        <v>0</v>
      </c>
      <c r="CB28" s="86">
        <f t="shared" ref="CB28" si="306">IF($H28&lt;&gt;CF$5,0,IF(CF28&lt;0,IF($J28=1,-$E28*$I28/12*3,IF($J28=2,-$E28*$I28/12*2,IF($J28=3,-$E28*$I28/12*1,0)))))+IF(CA$5&lt;&gt;$H28,0,IF(CA28&lt;0,IF($J28=1,-$E28*$I28/12*0,IF($J28=2,-$E28*$I28/12*1,IF($J28=3,-$E28*$I28/12*2,IF($J28&gt;=4,-$E28*$I28/12*3,0))))))</f>
        <v>0</v>
      </c>
      <c r="CC28" s="87">
        <f t="shared" ref="CC28" si="307">IF($H28&lt;&gt;CF$5,0,IF(CF28&lt;0,IF(OR($J28=1,$J28=2,$J28=3,$J28=4),-$E28*$I28/12*3,IF($J28=5,-$E28*$I28/12*2,IF($J28=6,-$E28*$I28/12*1,0)))))+IF(CA$5&lt;&gt;$H28,0,IF(CA28&lt;0,IF($J28=4,-$E28*$I28/12*0,IF($J28=5,-$E28*$I28/12*1,IF($J28=6,-$E28*$I28/12*2,IF($J28&gt;=7,-$E28*$I28/12*3,0))))))</f>
        <v>0</v>
      </c>
      <c r="CD28" s="87">
        <f t="shared" ref="CD28" si="308">IF($H28&lt;&gt;CF$5,0,IF(CF28&lt;0,IF(OR($J28=1,$J28=2,$J28=3,$J28=4,$J28=5,$J28=6,$J28=7),-$E28*$I28/12*3,IF($J28=8,-$E28*$I28/12*2,IF($J28=9,-$E28*$I28/12*1,0)))))+IF(CA$5&lt;&gt;$H28,0,IF(CA28&lt;0,IF($J28=7,-$E28*$I28/12*0,IF($J28=8,-$E28*$I28/12*1,IF($J28=9,-$E28*$I28/12*2,IF($J28&gt;=10,-$E28*$I28/12*3,0))))))</f>
        <v>0</v>
      </c>
      <c r="CE28" s="88">
        <f t="shared" ref="CE28" si="309">IF($H28&lt;&gt;CF$5,0,IF(CF28&lt;0,IF(OR($J28=1,$J28=2,$J28=3,$J28=4,$J28=5,$J28=6,$J28=7,$J28=8,$J28=9,$J28=10),-$E28*$I28/12*3,IF($J28=11,-$E28*$I28/12*2,IF($J28=12,-$E28*$I28/12*1,0)))))+IF(CA$5&lt;&gt;$H28,0,IF(CA28&lt;0,IF($J28=10,-$E28*$I28/12*0,IF($J28=11,-$E28*$I28/12*1,IF($J28=12,-$E28*$I28/12*2,0)))))</f>
        <v>0</v>
      </c>
      <c r="CF28" s="85">
        <f t="shared" ref="CF28" si="310">IF(AND(CA28&lt;&gt;0,CA$5=$H28),-$I28*$E28-CA28,IF(CF$5=$H28,-$I28*$E28*(12-$J28+1)/12,0))</f>
        <v>0</v>
      </c>
      <c r="CG28" s="86">
        <f t="shared" ref="CG28" si="311">IF($H28&lt;&gt;CK$5,0,IF(CK28&lt;0,IF($J28=1,-$E28*$I28/12*3,IF($J28=2,-$E28*$I28/12*2,IF($J28=3,-$E28*$I28/12*1,0)))))+IF(CF$5&lt;&gt;$H28,0,IF(CF28&lt;0,IF($J28=1,-$E28*$I28/12*0,IF($J28=2,-$E28*$I28/12*1,IF($J28=3,-$E28*$I28/12*2,IF($J28&gt;=4,-$E28*$I28/12*3,0))))))</f>
        <v>0</v>
      </c>
      <c r="CH28" s="87">
        <f t="shared" ref="CH28" si="312">IF($H28&lt;&gt;CK$5,0,IF(CK28&lt;0,IF(OR($J28=1,$J28=2,$J28=3,$J28=4),-$E28*$I28/12*3,IF($J28=5,-$E28*$I28/12*2,IF($J28=6,-$E28*$I28/12*1,0)))))+IF(CF$5&lt;&gt;$H28,0,IF(CF28&lt;0,IF($J28=4,-$E28*$I28/12*0,IF($J28=5,-$E28*$I28/12*1,IF($J28=6,-$E28*$I28/12*2,IF($J28&gt;=7,-$E28*$I28/12*3,0))))))</f>
        <v>0</v>
      </c>
      <c r="CI28" s="87">
        <f t="shared" ref="CI28" si="313">IF($H28&lt;&gt;CK$5,0,IF(CK28&lt;0,IF(OR($J28=1,$J28=2,$J28=3,$J28=4,$J28=5,$J28=6,$J28=7),-$E28*$I28/12*3,IF($J28=8,-$E28*$I28/12*2,IF($J28=9,-$E28*$I28/12*1,0)))))+IF(CF$5&lt;&gt;$H28,0,IF(CF28&lt;0,IF($J28=7,-$E28*$I28/12*0,IF($J28=8,-$E28*$I28/12*1,IF($J28=9,-$E28*$I28/12*2,IF($J28&gt;=10,-$E28*$I28/12*3,0))))))</f>
        <v>0</v>
      </c>
      <c r="CJ28" s="88">
        <f t="shared" ref="CJ28" si="314">IF($H28&lt;&gt;CK$5,0,IF(CK28&lt;0,IF(OR($J28=1,$J28=2,$J28=3,$J28=4,$J28=5,$J28=6,$J28=7,$J28=8,$J28=9,$J28=10),-$E28*$I28/12*3,IF($J28=11,-$E28*$I28/12*2,IF($J28=12,-$E28*$I28/12*1,0)))))+IF(CF$5&lt;&gt;$H28,0,IF(CF28&lt;0,IF($J28=10,-$E28*$I28/12*0,IF($J28=11,-$E28*$I28/12*1,IF($J28=12,-$E28*$I28/12*2,0)))))</f>
        <v>0</v>
      </c>
      <c r="CK28" s="85">
        <f t="shared" ref="CK28" si="315">IF(AND(CF28&lt;&gt;0,CF$5=$H28),-$I28*$E28-CF28,IF(CK$5=$H28,-$I28*$E28*(12-$J28+1)/12,0))</f>
        <v>0</v>
      </c>
      <c r="CL28" s="86">
        <f t="shared" ref="CL28" si="316">IF($H28&lt;&gt;CP$5,0,IF(CP28&lt;0,IF($J28=1,-$E28*$I28/12*3,IF($J28=2,-$E28*$I28/12*2,IF($J28=3,-$E28*$I28/12*1,0)))))+IF(CK$5&lt;&gt;$H28,0,IF(CK28&lt;0,IF($J28=1,-$E28*$I28/12*0,IF($J28=2,-$E28*$I28/12*1,IF($J28=3,-$E28*$I28/12*2,IF($J28&gt;=4,-$E28*$I28/12*3,0))))))</f>
        <v>0</v>
      </c>
      <c r="CM28" s="87">
        <f t="shared" ref="CM28" si="317">IF($H28&lt;&gt;CP$5,0,IF(CP28&lt;0,IF(OR($J28=1,$J28=2,$J28=3,$J28=4),-$E28*$I28/12*3,IF($J28=5,-$E28*$I28/12*2,IF($J28=6,-$E28*$I28/12*1,0)))))+IF(CK$5&lt;&gt;$H28,0,IF(CK28&lt;0,IF($J28=4,-$E28*$I28/12*0,IF($J28=5,-$E28*$I28/12*1,IF($J28=6,-$E28*$I28/12*2,IF($J28&gt;=7,-$E28*$I28/12*3,0))))))</f>
        <v>0</v>
      </c>
      <c r="CN28" s="87">
        <f t="shared" ref="CN28" si="318">IF($H28&lt;&gt;CP$5,0,IF(CP28&lt;0,IF(OR($J28=1,$J28=2,$J28=3,$J28=4,$J28=5,$J28=6,$J28=7),-$E28*$I28/12*3,IF($J28=8,-$E28*$I28/12*2,IF($J28=9,-$E28*$I28/12*1,0)))))+IF(CK$5&lt;&gt;$H28,0,IF(CK28&lt;0,IF($J28=7,-$E28*$I28/12*0,IF($J28=8,-$E28*$I28/12*1,IF($J28=9,-$E28*$I28/12*2,IF($J28&gt;=10,-$E28*$I28/12*3,0))))))</f>
        <v>0</v>
      </c>
      <c r="CO28" s="88">
        <f t="shared" ref="CO28" si="319">IF($H28&lt;&gt;CP$5,0,IF(CP28&lt;0,IF(OR($J28=1,$J28=2,$J28=3,$J28=4,$J28=5,$J28=6,$J28=7,$J28=8,$J28=9,$J28=10),-$E28*$I28/12*3,IF($J28=11,-$E28*$I28/12*2,IF($J28=12,-$E28*$I28/12*1,0)))))+IF(CK$5&lt;&gt;$H28,0,IF(CK28&lt;0,IF($J28=10,-$E28*$I28/12*0,IF($J28=11,-$E28*$I28/12*1,IF($J28=12,-$E28*$I28/12*2,0)))))</f>
        <v>0</v>
      </c>
      <c r="CP28" s="85">
        <f t="shared" ref="CP28" si="320">IF(AND(CK28&lt;&gt;0,CK$5=$H28),-$I28*$E28-CK28,IF(CP$5=$H28,-$I28*$E28*(12-$J28+1)/12,0))</f>
        <v>0</v>
      </c>
      <c r="CQ28" s="86">
        <f t="shared" ref="CQ28" si="321">IF($H28&lt;&gt;CU$5,0,IF(CU28&lt;0,IF($J28=1,-$E28*$I28/12*3,IF($J28=2,-$E28*$I28/12*2,IF($J28=3,-$E28*$I28/12*1,0)))))+IF(CP$5&lt;&gt;$H28,0,IF(CP28&lt;0,IF($J28=1,-$E28*$I28/12*0,IF($J28=2,-$E28*$I28/12*1,IF($J28=3,-$E28*$I28/12*2,IF($J28&gt;=4,-$E28*$I28/12*3,0))))))</f>
        <v>0</v>
      </c>
      <c r="CR28" s="87">
        <f t="shared" ref="CR28" si="322">IF($H28&lt;&gt;CU$5,0,IF(CU28&lt;0,IF(OR($J28=1,$J28=2,$J28=3,$J28=4),-$E28*$I28/12*3,IF($J28=5,-$E28*$I28/12*2,IF($J28=6,-$E28*$I28/12*1,0)))))+IF(CP$5&lt;&gt;$H28,0,IF(CP28&lt;0,IF($J28=4,-$E28*$I28/12*0,IF($J28=5,-$E28*$I28/12*1,IF($J28=6,-$E28*$I28/12*2,IF($J28&gt;=7,-$E28*$I28/12*3,0))))))</f>
        <v>0</v>
      </c>
      <c r="CS28" s="87">
        <f t="shared" ref="CS28" si="323">IF($H28&lt;&gt;CU$5,0,IF(CU28&lt;0,IF(OR($J28=1,$J28=2,$J28=3,$J28=4,$J28=5,$J28=6,$J28=7),-$E28*$I28/12*3,IF($J28=8,-$E28*$I28/12*2,IF($J28=9,-$E28*$I28/12*1,0)))))+IF(CP$5&lt;&gt;$H28,0,IF(CP28&lt;0,IF($J28=7,-$E28*$I28/12*0,IF($J28=8,-$E28*$I28/12*1,IF($J28=9,-$E28*$I28/12*2,IF($J28&gt;=10,-$E28*$I28/12*3,0))))))</f>
        <v>0</v>
      </c>
      <c r="CT28" s="88">
        <f t="shared" ref="CT28" si="324">IF($H28&lt;&gt;CU$5,0,IF(CU28&lt;0,IF(OR($J28=1,$J28=2,$J28=3,$J28=4,$J28=5,$J28=6,$J28=7,$J28=8,$J28=9,$J28=10),-$E28*$I28/12*3,IF($J28=11,-$E28*$I28/12*2,IF($J28=12,-$E28*$I28/12*1,0)))))+IF(CP$5&lt;&gt;$H28,0,IF(CP28&lt;0,IF($J28=10,-$E28*$I28/12*0,IF($J28=11,-$E28*$I28/12*1,IF($J28=12,-$E28*$I28/12*2,0)))))</f>
        <v>0</v>
      </c>
      <c r="CU28" s="85">
        <f t="shared" ref="CU28" si="325">IF(AND(CP28&lt;&gt;0,CP$5=$H28),-$I28*$E28-CP28,IF(CU$5=$H28,-$I28*$E28*(12-$J28+1)/12,0))</f>
        <v>0</v>
      </c>
      <c r="CV28" s="86">
        <f t="shared" si="102"/>
        <v>0</v>
      </c>
      <c r="CW28" s="87">
        <f t="shared" si="103"/>
        <v>0</v>
      </c>
      <c r="CX28" s="87">
        <f t="shared" si="104"/>
        <v>0</v>
      </c>
      <c r="CY28" s="88">
        <f t="shared" si="105"/>
        <v>0</v>
      </c>
      <c r="CZ28" s="85">
        <f t="shared" si="106"/>
        <v>0</v>
      </c>
    </row>
    <row r="29" spans="1:104" s="232" customFormat="1" ht="12.75" customHeight="1">
      <c r="A29" s="40"/>
      <c r="B29" s="40"/>
      <c r="C29" s="1999" t="s">
        <v>1442</v>
      </c>
      <c r="D29" s="2114"/>
      <c r="E29" s="2115">
        <f t="shared" si="14"/>
        <v>750</v>
      </c>
      <c r="F29" s="2314">
        <v>750</v>
      </c>
      <c r="G29" s="1510">
        <v>750</v>
      </c>
      <c r="H29" s="1334">
        <v>2046</v>
      </c>
      <c r="I29" s="2122">
        <v>4.4499999999999998E-2</v>
      </c>
      <c r="J29" s="1334">
        <v>4</v>
      </c>
      <c r="K29" s="80"/>
      <c r="L29" s="81">
        <f t="shared" si="15"/>
        <v>0</v>
      </c>
      <c r="M29" s="82">
        <f t="shared" ref="M29" si="326">IF(Q29=0,0,IF(Q29&lt;0,IF($J29=3,Q29,IF($J29=2,Q29,IF($J29=1,Q29,0)))))</f>
        <v>0</v>
      </c>
      <c r="N29" s="83">
        <f t="shared" ref="N29" si="327">IF(Q29=0,0,IF(Q29&lt;0,IF($J29=6,Q29,IF($J29=5,Q29,IF($J29=4,Q29,0)))))</f>
        <v>0</v>
      </c>
      <c r="O29" s="83">
        <f t="shared" ref="O29" si="328">IF(Q29=0,0,IF(Q29&lt;0,IF($J29=9,Q29,IF($J29=8,Q29,IF($J29=7,Q29,0)))))</f>
        <v>0</v>
      </c>
      <c r="P29" s="84">
        <f t="shared" ref="P29" si="329">IF(Q29=0,0,IF(Q29&lt;0,IF($J29=12,Q29,IF($J29=11,Q29,IF($J29=10,Q29,0)))))</f>
        <v>0</v>
      </c>
      <c r="Q29" s="81">
        <f t="shared" si="20"/>
        <v>0</v>
      </c>
      <c r="R29" s="82">
        <f t="shared" ref="R29" si="330">IF(V29=0,0,IF(V29&lt;0,IF($J29=3,V29,IF($J29=2,V29,IF($J29=1,V29,0)))))</f>
        <v>0</v>
      </c>
      <c r="S29" s="83">
        <f t="shared" ref="S29" si="331">IF(V29=0,0,IF(V29&lt;0,IF($J29=6,V29,IF($J29=5,V29,IF($J29=4,V29,0)))))</f>
        <v>0</v>
      </c>
      <c r="T29" s="83">
        <f t="shared" ref="T29" si="332">IF(V29=0,0,IF(V29&lt;0,IF($J29=9,V29,IF($J29=8,V29,IF($J29=7,V29,0)))))</f>
        <v>0</v>
      </c>
      <c r="U29" s="84">
        <f t="shared" ref="U29" si="333">IF(V29=0,0,IF(V29&lt;0,IF($J29=12,V29,IF($J29=11,V29,IF($J29=10,V29,0)))))</f>
        <v>0</v>
      </c>
      <c r="V29" s="81">
        <f t="shared" si="25"/>
        <v>0</v>
      </c>
      <c r="W29" s="82">
        <f t="shared" ref="W29" si="334">IF(AA29=0,0,IF(AA29&lt;0,IF($J29=3,AA29,IF($J29=2,AA29,IF($J29=1,AA29,0)))))</f>
        <v>0</v>
      </c>
      <c r="X29" s="83">
        <f t="shared" ref="X29" si="335">IF(AA29=0,0,IF(AA29&lt;0,IF($J29=6,AA29,IF($J29=5,AA29,IF($J29=4,AA29,0)))))</f>
        <v>0</v>
      </c>
      <c r="Y29" s="83">
        <f t="shared" ref="Y29" si="336">IF(AA29=0,0,IF(AA29&lt;0,IF($J29=9,AA29,IF($J29=8,AA29,IF($J29=7,AA29,0)))))</f>
        <v>0</v>
      </c>
      <c r="Z29" s="84">
        <f t="shared" ref="Z29" si="337">IF(AA29=0,0,IF(AA29&lt;0,IF($J29=12,AA29,IF($J29=11,AA29,IF($J29=10,AA29,0)))))</f>
        <v>0</v>
      </c>
      <c r="AA29" s="81">
        <f t="shared" si="30"/>
        <v>0</v>
      </c>
      <c r="AB29" s="82">
        <f t="shared" ref="AB29" si="338">IF(AF29=0,0,IF(AF29&lt;0,IF($J29=3,AF29,IF($J29=2,AF29,IF($J29=1,AF29,0)))))</f>
        <v>0</v>
      </c>
      <c r="AC29" s="83">
        <f t="shared" ref="AC29" si="339">IF(AF29=0,0,IF(AF29&lt;0,IF($J29=6,AF29,IF($J29=5,AF29,IF($J29=4,AF29,0)))))</f>
        <v>0</v>
      </c>
      <c r="AD29" s="83">
        <f t="shared" ref="AD29" si="340">IF(AF29=0,0,IF(AF29&lt;0,IF($J29=9,AF29,IF($J29=8,AF29,IF($J29=7,AF29,0)))))</f>
        <v>0</v>
      </c>
      <c r="AE29" s="84">
        <f t="shared" ref="AE29" si="341">IF(AF29=0,0,IF(AF29&lt;0,IF($J29=12,AF29,IF($J29=11,AF29,IF($J29=10,AF29,0)))))</f>
        <v>0</v>
      </c>
      <c r="AF29" s="81">
        <f t="shared" si="35"/>
        <v>0</v>
      </c>
      <c r="AG29" s="82">
        <f t="shared" ref="AG29" si="342">IF(AK29=0,0,IF(AK29&lt;0,IF($J29=3,AK29,IF($J29=2,AK29,IF($J29=1,AK29,0)))))</f>
        <v>0</v>
      </c>
      <c r="AH29" s="83">
        <f t="shared" ref="AH29" si="343">IF(AK29=0,0,IF(AK29&lt;0,IF($J29=6,AK29,IF($J29=5,AK29,IF($J29=4,AK29,0)))))</f>
        <v>0</v>
      </c>
      <c r="AI29" s="83">
        <f t="shared" ref="AI29" si="344">IF(AK29=0,0,IF(AK29&lt;0,IF($J29=9,AK29,IF($J29=8,AK29,IF($J29=7,AK29,0)))))</f>
        <v>0</v>
      </c>
      <c r="AJ29" s="84">
        <f t="shared" ref="AJ29" si="345">IF(AK29=0,0,IF(AK29&lt;0,IF($J29=12,AK29,IF($J29=11,AK29,IF($J29=10,AK29,0)))))</f>
        <v>0</v>
      </c>
      <c r="AK29" s="81">
        <f t="shared" si="40"/>
        <v>0</v>
      </c>
      <c r="AL29" s="82">
        <f t="shared" ref="AL29" si="346">IF(AP29=0,0,IF(AP29&lt;0,IF($J29=3,AP29,IF($J29=2,AP29,IF($J29=1,AP29,0)))))</f>
        <v>0</v>
      </c>
      <c r="AM29" s="83">
        <f t="shared" ref="AM29" si="347">IF(AP29=0,0,IF(AP29&lt;0,IF($J29=6,AP29,IF($J29=5,AP29,IF($J29=4,AP29,0)))))</f>
        <v>0</v>
      </c>
      <c r="AN29" s="83">
        <f t="shared" ref="AN29" si="348">IF(AP29=0,0,IF(AP29&lt;0,IF($J29=9,AP29,IF($J29=8,AP29,IF($J29=7,AP29,0)))))</f>
        <v>0</v>
      </c>
      <c r="AO29" s="84">
        <f t="shared" ref="AO29" si="349">IF(AP29=0,0,IF(AP29&lt;0,IF($J29=12,AP29,IF($J29=11,AP29,IF($J29=10,AP29,0)))))</f>
        <v>0</v>
      </c>
      <c r="AP29" s="81">
        <f t="shared" si="45"/>
        <v>0</v>
      </c>
      <c r="AQ29" s="82">
        <f t="shared" ref="AQ29" si="350">IF(AU29=0,0,IF(AU29&lt;0,IF($J29=3,AU29,IF($J29=2,AU29,IF($J29=1,AU29,0)))))</f>
        <v>0</v>
      </c>
      <c r="AR29" s="83">
        <f t="shared" ref="AR29" si="351">IF(AU29=0,0,IF(AU29&lt;0,IF($J29=6,AU29,IF($J29=5,AU29,IF($J29=4,AU29,0)))))</f>
        <v>0</v>
      </c>
      <c r="AS29" s="83">
        <f t="shared" ref="AS29" si="352">IF(AU29=0,0,IF(AU29&lt;0,IF($J29=9,AU29,IF($J29=8,AU29,IF($J29=7,AU29,0)))))</f>
        <v>0</v>
      </c>
      <c r="AT29" s="84">
        <f t="shared" ref="AT29" si="353">IF(AU29=0,0,IF(AU29&lt;0,IF($J29=12,AU29,IF($J29=11,AU29,IF($J29=10,AU29,0)))))</f>
        <v>0</v>
      </c>
      <c r="AU29" s="81">
        <f t="shared" si="50"/>
        <v>0</v>
      </c>
      <c r="AV29" s="82">
        <f t="shared" ref="AV29" si="354">IF(AZ29=0,0,IF(AZ29&lt;0,IF($J29=3,AZ29,IF($J29=2,AZ29,IF($J29=1,AZ29,0)))))</f>
        <v>0</v>
      </c>
      <c r="AW29" s="83">
        <f t="shared" ref="AW29" si="355">IF(AZ29=0,0,IF(AZ29&lt;0,IF($J29=6,AZ29,IF($J29=5,AZ29,IF($J29=4,AZ29,0)))))</f>
        <v>0</v>
      </c>
      <c r="AX29" s="83">
        <f t="shared" ref="AX29" si="356">IF(AZ29=0,0,IF(AZ29&lt;0,IF($J29=9,AZ29,IF($J29=8,AZ29,IF($J29=7,AZ29,0)))))</f>
        <v>0</v>
      </c>
      <c r="AY29" s="84">
        <f t="shared" ref="AY29" si="357">IF(AZ29=0,0,IF(AZ29&lt;0,IF($J29=12,AZ29,IF($J29=11,AZ29,IF($J29=10,AZ29,0)))))</f>
        <v>0</v>
      </c>
      <c r="AZ29" s="81">
        <f t="shared" si="55"/>
        <v>0</v>
      </c>
      <c r="BA29" s="82">
        <f t="shared" ref="BA29" si="358">IF(BE29=0,0,IF(BE29&lt;0,IF($J29=3,BE29,IF($J29=2,BE29,IF($J29=1,BE29,0)))))</f>
        <v>0</v>
      </c>
      <c r="BB29" s="83">
        <f t="shared" ref="BB29" si="359">IF(BE29=0,0,IF(BE29&lt;0,IF($J29=6,BE29,IF($J29=5,BE29,IF($J29=4,BE29,0)))))</f>
        <v>0</v>
      </c>
      <c r="BC29" s="83">
        <f t="shared" ref="BC29" si="360">IF(BE29=0,0,IF(BE29&lt;0,IF($J29=9,BE29,IF($J29=8,BE29,IF($J29=7,BE29,0)))))</f>
        <v>0</v>
      </c>
      <c r="BD29" s="84">
        <f t="shared" ref="BD29" si="361">IF(BE29=0,0,IF(BE29&lt;0,IF($J29=12,BE29,IF($J29=11,BE29,IF($J29=10,BE29,0)))))</f>
        <v>0</v>
      </c>
      <c r="BE29" s="81">
        <f t="shared" si="60"/>
        <v>0</v>
      </c>
      <c r="BF29" s="1877"/>
      <c r="BG29" s="2005">
        <f t="shared" ref="BG29" si="362">IF(AND(BF29&lt;&gt;0,BF$5=$H29),-$I29*$E29-BF29,IF(BG$5=$H29,-$I29*$E29*(12-$J29+1)/12,0))</f>
        <v>0</v>
      </c>
      <c r="BH29" s="86">
        <f t="shared" ref="BH29" si="363">IF($H29&lt;&gt;BL$5,0,IF(BL29&lt;0,IF($J29=1,-$E29*$I29/12*3,IF($J29=2,-$E29*$I29/12*2,IF($J29=3,-$E29*$I29/12*1,0)))))+IF(BG$5&lt;&gt;$H29,0,IF(BG29&lt;0,IF($J29=1,-$E29*$I29/12*0,IF($J29=2,-$E29*$I29/12*1,IF($J29=3,-$E29*$I29/12*2,IF($J29&gt;=4,-$E29*$I29/12*3,0))))))</f>
        <v>0</v>
      </c>
      <c r="BI29" s="87">
        <f t="shared" ref="BI29" si="364">IF($H29&lt;&gt;BL$5,0,IF(BL29&lt;0,IF(OR($J29=1,$J29=2,$J29=3,$J29=4),-$E29*$I29/12*3,IF($J29=5,-$E29*$I29/12*2,IF($J29=6,-$E29*$I29/12*1,0)))))+IF(BG$5&lt;&gt;$H29,0,IF(BG29&lt;0,IF($J29=4,-$E29*$I29/12*0,IF($J29=5,-$E29*$I29/12*1,IF($J29=6,-$E29*$I29/12*2,IF($J29&gt;=7,-$E29*$I29/12*3,0))))))</f>
        <v>0</v>
      </c>
      <c r="BJ29" s="87">
        <f t="shared" ref="BJ29" si="365">IF($H29&lt;&gt;BL$5,0,IF(BL29&lt;0,IF(OR($J29=1,$J29=2,$J29=3,$J29=4,$J29=5,$J29=6,$J29=7),-$E29*$I29/12*3,IF($J29=8,-$E29*$I29/12*2,IF($J29=9,-$E29*$I29/12*1,0)))))+IF(BG$5&lt;&gt;$H29,0,IF(BG29&lt;0,IF($J29=7,-$E29*$I29/12*0,IF($J29=8,-$E29*$I29/12*1,IF($J29=9,-$E29*$I29/12*2,IF($J29&gt;=10,-$E29*$I29/12*3,0))))))</f>
        <v>0</v>
      </c>
      <c r="BK29" s="88">
        <f t="shared" ref="BK29" si="366">IF($H29&lt;&gt;BL$5,0,IF(BL29&lt;0,IF(OR($J29=1,$J29=2,$J29=3,$J29=4,$J29=5,$J29=6,$J29=7,$J29=8,$J29=9,$J29=10),-$E29*$I29/12*3,IF($J29=11,-$E29*$I29/12*2,IF($J29=12,-$E29*$I29/12*1,0)))))+IF(BG$5&lt;&gt;$H29,0,IF(BG29&lt;0,IF($J29=10,-$E29*$I29/12*0,IF($J29=11,-$E29*$I29/12*1,IF($J29=12,-$E29*$I29/12*2,0)))))</f>
        <v>0</v>
      </c>
      <c r="BL29" s="85">
        <f t="shared" ref="BL29" si="367">IF(AND(BG29&lt;&gt;0,BG$5=$H29),-$I29*$E29-BG29,IF(BL$5=$H29,-$I29*$E29*(12-$J29+1)/12,0))</f>
        <v>0</v>
      </c>
      <c r="BM29" s="86">
        <f t="shared" ref="BM29" si="368">IF($H29&lt;&gt;BQ$5,0,IF(BQ29&lt;0,IF($J29=1,-$E29*$I29/12*3,IF($J29=2,-$E29*$I29/12*2,IF($J29=3,-$E29*$I29/12*1,0)))))+IF(BL$5&lt;&gt;$H29,0,IF(BL29&lt;0,IF($J29=1,-$E29*$I29/12*0,IF($J29=2,-$E29*$I29/12*1,IF($J29=3,-$E29*$I29/12*2,IF($J29&gt;=4,-$E29*$I29/12*3,0))))))</f>
        <v>0</v>
      </c>
      <c r="BN29" s="87">
        <f t="shared" ref="BN29" si="369">IF($H29&lt;&gt;BQ$5,0,IF(BQ29&lt;0,IF(OR($J29=1,$J29=2,$J29=3,$J29=4),-$E29*$I29/12*3,IF($J29=5,-$E29*$I29/12*2,IF($J29=6,-$E29*$I29/12*1,0)))))+IF(BL$5&lt;&gt;$H29,0,IF(BL29&lt;0,IF($J29=4,-$E29*$I29/12*0,IF($J29=5,-$E29*$I29/12*1,IF($J29=6,-$E29*$I29/12*2,IF($J29&gt;=7,-$E29*$I29/12*3,0))))))</f>
        <v>0</v>
      </c>
      <c r="BO29" s="87">
        <f t="shared" ref="BO29" si="370">IF($H29&lt;&gt;BQ$5,0,IF(BQ29&lt;0,IF(OR($J29=1,$J29=2,$J29=3,$J29=4,$J29=5,$J29=6,$J29=7),-$E29*$I29/12*3,IF($J29=8,-$E29*$I29/12*2,IF($J29=9,-$E29*$I29/12*1,0)))))+IF(BL$5&lt;&gt;$H29,0,IF(BL29&lt;0,IF($J29=7,-$E29*$I29/12*0,IF($J29=8,-$E29*$I29/12*1,IF($J29=9,-$E29*$I29/12*2,IF($J29&gt;=10,-$E29*$I29/12*3,0))))))</f>
        <v>0</v>
      </c>
      <c r="BP29" s="88">
        <f t="shared" ref="BP29" si="371">IF($H29&lt;&gt;BQ$5,0,IF(BQ29&lt;0,IF(OR($J29=1,$J29=2,$J29=3,$J29=4,$J29=5,$J29=6,$J29=7,$J29=8,$J29=9,$J29=10),-$E29*$I29/12*3,IF($J29=11,-$E29*$I29/12*2,IF($J29=12,-$E29*$I29/12*1,0)))))+IF(BL$5&lt;&gt;$H29,0,IF(BL29&lt;0,IF($J29=10,-$E29*$I29/12*0,IF($J29=11,-$E29*$I29/12*1,IF($J29=12,-$E29*$I29/12*2,0)))))</f>
        <v>0</v>
      </c>
      <c r="BQ29" s="85">
        <f t="shared" ref="BQ29" si="372">IF(AND(BL29&lt;&gt;0,BL$5=$H29),-$I29*$E29-BL29,IF(BQ$5=$H29,-$I29*$E29*(12-$J29+1)/12,0))</f>
        <v>0</v>
      </c>
      <c r="BR29" s="86">
        <f t="shared" ref="BR29" si="373">IF($H29&lt;&gt;BV$5,0,IF(BV29&lt;0,IF($J29=1,-$E29*$I29/12*3,IF($J29=2,-$E29*$I29/12*2,IF($J29=3,-$E29*$I29/12*1,0)))))+IF(BQ$5&lt;&gt;$H29,0,IF(BQ29&lt;0,IF($J29=1,-$E29*$I29/12*0,IF($J29=2,-$E29*$I29/12*1,IF($J29=3,-$E29*$I29/12*2,IF($J29&gt;=4,-$E29*$I29/12*3,0))))))</f>
        <v>0</v>
      </c>
      <c r="BS29" s="87">
        <f t="shared" ref="BS29" si="374">IF($H29&lt;&gt;BV$5,0,IF(BV29&lt;0,IF(OR($J29=1,$J29=2,$J29=3,$J29=4),-$E29*$I29/12*3,IF($J29=5,-$E29*$I29/12*2,IF($J29=6,-$E29*$I29/12*1,0)))))+IF(BQ$5&lt;&gt;$H29,0,IF(BQ29&lt;0,IF($J29=4,-$E29*$I29/12*0,IF($J29=5,-$E29*$I29/12*1,IF($J29=6,-$E29*$I29/12*2,IF($J29&gt;=7,-$E29*$I29/12*3,0))))))</f>
        <v>0</v>
      </c>
      <c r="BT29" s="87">
        <f t="shared" ref="BT29" si="375">IF($H29&lt;&gt;BV$5,0,IF(BV29&lt;0,IF(OR($J29=1,$J29=2,$J29=3,$J29=4,$J29=5,$J29=6,$J29=7),-$E29*$I29/12*3,IF($J29=8,-$E29*$I29/12*2,IF($J29=9,-$E29*$I29/12*1,0)))))+IF(BQ$5&lt;&gt;$H29,0,IF(BQ29&lt;0,IF($J29=7,-$E29*$I29/12*0,IF($J29=8,-$E29*$I29/12*1,IF($J29=9,-$E29*$I29/12*2,IF($J29&gt;=10,-$E29*$I29/12*3,0))))))</f>
        <v>0</v>
      </c>
      <c r="BU29" s="88">
        <f t="shared" ref="BU29" si="376">IF($H29&lt;&gt;BV$5,0,IF(BV29&lt;0,IF(OR($J29=1,$J29=2,$J29=3,$J29=4,$J29=5,$J29=6,$J29=7,$J29=8,$J29=9,$J29=10),-$E29*$I29/12*3,IF($J29=11,-$E29*$I29/12*2,IF($J29=12,-$E29*$I29/12*1,0)))))+IF(BQ$5&lt;&gt;$H29,0,IF(BQ29&lt;0,IF($J29=10,-$E29*$I29/12*0,IF($J29=11,-$E29*$I29/12*1,IF($J29=12,-$E29*$I29/12*2,0)))))</f>
        <v>0</v>
      </c>
      <c r="BV29" s="85">
        <f t="shared" ref="BV29" si="377">IF(AND(BQ29&lt;&gt;0,BQ$5=$H29),-$I29*$E29-BQ29,IF(BV$5=$H29,-$I29*$E29*(12-$J29+1)/12,0))</f>
        <v>0</v>
      </c>
      <c r="BW29" s="86">
        <f t="shared" ref="BW29" si="378">IF($H29&lt;&gt;CA$5,0,IF(CA29&lt;0,IF($J29=1,-$E29*$I29/12*3,IF($J29=2,-$E29*$I29/12*2,IF($J29=3,-$E29*$I29/12*1,0)))))+IF(BV$5&lt;&gt;$H29,0,IF(BV29&lt;0,IF($J29=1,-$E29*$I29/12*0,IF($J29=2,-$E29*$I29/12*1,IF($J29=3,-$E29*$I29/12*2,IF($J29&gt;=4,-$E29*$I29/12*3,0))))))</f>
        <v>0</v>
      </c>
      <c r="BX29" s="87">
        <f t="shared" ref="BX29" si="379">IF($H29&lt;&gt;CA$5,0,IF(CA29&lt;0,IF(OR($J29=1,$J29=2,$J29=3,$J29=4),-$E29*$I29/12*3,IF($J29=5,-$E29*$I29/12*2,IF($J29=6,-$E29*$I29/12*1,0)))))+IF(BV$5&lt;&gt;$H29,0,IF(BV29&lt;0,IF($J29=4,-$E29*$I29/12*0,IF($J29=5,-$E29*$I29/12*1,IF($J29=6,-$E29*$I29/12*2,IF($J29&gt;=7,-$E29*$I29/12*3,0))))))</f>
        <v>0</v>
      </c>
      <c r="BY29" s="87">
        <f t="shared" ref="BY29" si="380">IF($H29&lt;&gt;CA$5,0,IF(CA29&lt;0,IF(OR($J29=1,$J29=2,$J29=3,$J29=4,$J29=5,$J29=6,$J29=7),-$E29*$I29/12*3,IF($J29=8,-$E29*$I29/12*2,IF($J29=9,-$E29*$I29/12*1,0)))))+IF(BV$5&lt;&gt;$H29,0,IF(BV29&lt;0,IF($J29=7,-$E29*$I29/12*0,IF($J29=8,-$E29*$I29/12*1,IF($J29=9,-$E29*$I29/12*2,IF($J29&gt;=10,-$E29*$I29/12*3,0))))))</f>
        <v>0</v>
      </c>
      <c r="BZ29" s="88">
        <f t="shared" ref="BZ29" si="381">IF($H29&lt;&gt;CA$5,0,IF(CA29&lt;0,IF(OR($J29=1,$J29=2,$J29=3,$J29=4,$J29=5,$J29=6,$J29=7,$J29=8,$J29=9,$J29=10),-$E29*$I29/12*3,IF($J29=11,-$E29*$I29/12*2,IF($J29=12,-$E29*$I29/12*1,0)))))+IF(BV$5&lt;&gt;$H29,0,IF(BV29&lt;0,IF($J29=10,-$E29*$I29/12*0,IF($J29=11,-$E29*$I29/12*1,IF($J29=12,-$E29*$I29/12*2,0)))))</f>
        <v>0</v>
      </c>
      <c r="CA29" s="85">
        <f t="shared" ref="CA29" si="382">IF(AND(BV29&lt;&gt;0,BV$5=$H29),-$I29*$E29-BV29,IF(CA$5=$H29,-$I29*$E29*(12-$J29+1)/12,0))</f>
        <v>0</v>
      </c>
      <c r="CB29" s="86">
        <f t="shared" ref="CB29" si="383">IF($H29&lt;&gt;CF$5,0,IF(CF29&lt;0,IF($J29=1,-$E29*$I29/12*3,IF($J29=2,-$E29*$I29/12*2,IF($J29=3,-$E29*$I29/12*1,0)))))+IF(CA$5&lt;&gt;$H29,0,IF(CA29&lt;0,IF($J29=1,-$E29*$I29/12*0,IF($J29=2,-$E29*$I29/12*1,IF($J29=3,-$E29*$I29/12*2,IF($J29&gt;=4,-$E29*$I29/12*3,0))))))</f>
        <v>0</v>
      </c>
      <c r="CC29" s="87">
        <f t="shared" ref="CC29" si="384">IF($H29&lt;&gt;CF$5,0,IF(CF29&lt;0,IF(OR($J29=1,$J29=2,$J29=3,$J29=4),-$E29*$I29/12*3,IF($J29=5,-$E29*$I29/12*2,IF($J29=6,-$E29*$I29/12*1,0)))))+IF(CA$5&lt;&gt;$H29,0,IF(CA29&lt;0,IF($J29=4,-$E29*$I29/12*0,IF($J29=5,-$E29*$I29/12*1,IF($J29=6,-$E29*$I29/12*2,IF($J29&gt;=7,-$E29*$I29/12*3,0))))))</f>
        <v>0</v>
      </c>
      <c r="CD29" s="87">
        <f t="shared" ref="CD29" si="385">IF($H29&lt;&gt;CF$5,0,IF(CF29&lt;0,IF(OR($J29=1,$J29=2,$J29=3,$J29=4,$J29=5,$J29=6,$J29=7),-$E29*$I29/12*3,IF($J29=8,-$E29*$I29/12*2,IF($J29=9,-$E29*$I29/12*1,0)))))+IF(CA$5&lt;&gt;$H29,0,IF(CA29&lt;0,IF($J29=7,-$E29*$I29/12*0,IF($J29=8,-$E29*$I29/12*1,IF($J29=9,-$E29*$I29/12*2,IF($J29&gt;=10,-$E29*$I29/12*3,0))))))</f>
        <v>0</v>
      </c>
      <c r="CE29" s="88">
        <f t="shared" ref="CE29" si="386">IF($H29&lt;&gt;CF$5,0,IF(CF29&lt;0,IF(OR($J29=1,$J29=2,$J29=3,$J29=4,$J29=5,$J29=6,$J29=7,$J29=8,$J29=9,$J29=10),-$E29*$I29/12*3,IF($J29=11,-$E29*$I29/12*2,IF($J29=12,-$E29*$I29/12*1,0)))))+IF(CA$5&lt;&gt;$H29,0,IF(CA29&lt;0,IF($J29=10,-$E29*$I29/12*0,IF($J29=11,-$E29*$I29/12*1,IF($J29=12,-$E29*$I29/12*2,0)))))</f>
        <v>0</v>
      </c>
      <c r="CF29" s="85">
        <f t="shared" ref="CF29" si="387">IF(AND(CA29&lt;&gt;0,CA$5=$H29),-$I29*$E29-CA29,IF(CF$5=$H29,-$I29*$E29*(12-$J29+1)/12,0))</f>
        <v>0</v>
      </c>
      <c r="CG29" s="86">
        <f t="shared" ref="CG29" si="388">IF($H29&lt;&gt;CK$5,0,IF(CK29&lt;0,IF($J29=1,-$E29*$I29/12*3,IF($J29=2,-$E29*$I29/12*2,IF($J29=3,-$E29*$I29/12*1,0)))))+IF(CF$5&lt;&gt;$H29,0,IF(CF29&lt;0,IF($J29=1,-$E29*$I29/12*0,IF($J29=2,-$E29*$I29/12*1,IF($J29=3,-$E29*$I29/12*2,IF($J29&gt;=4,-$E29*$I29/12*3,0))))))</f>
        <v>0</v>
      </c>
      <c r="CH29" s="87">
        <f t="shared" ref="CH29" si="389">IF($H29&lt;&gt;CK$5,0,IF(CK29&lt;0,IF(OR($J29=1,$J29=2,$J29=3,$J29=4),-$E29*$I29/12*3,IF($J29=5,-$E29*$I29/12*2,IF($J29=6,-$E29*$I29/12*1,0)))))+IF(CF$5&lt;&gt;$H29,0,IF(CF29&lt;0,IF($J29=4,-$E29*$I29/12*0,IF($J29=5,-$E29*$I29/12*1,IF($J29=6,-$E29*$I29/12*2,IF($J29&gt;=7,-$E29*$I29/12*3,0))))))</f>
        <v>0</v>
      </c>
      <c r="CI29" s="87">
        <f t="shared" ref="CI29" si="390">IF($H29&lt;&gt;CK$5,0,IF(CK29&lt;0,IF(OR($J29=1,$J29=2,$J29=3,$J29=4,$J29=5,$J29=6,$J29=7),-$E29*$I29/12*3,IF($J29=8,-$E29*$I29/12*2,IF($J29=9,-$E29*$I29/12*1,0)))))+IF(CF$5&lt;&gt;$H29,0,IF(CF29&lt;0,IF($J29=7,-$E29*$I29/12*0,IF($J29=8,-$E29*$I29/12*1,IF($J29=9,-$E29*$I29/12*2,IF($J29&gt;=10,-$E29*$I29/12*3,0))))))</f>
        <v>0</v>
      </c>
      <c r="CJ29" s="88">
        <f t="shared" ref="CJ29" si="391">IF($H29&lt;&gt;CK$5,0,IF(CK29&lt;0,IF(OR($J29=1,$J29=2,$J29=3,$J29=4,$J29=5,$J29=6,$J29=7,$J29=8,$J29=9,$J29=10),-$E29*$I29/12*3,IF($J29=11,-$E29*$I29/12*2,IF($J29=12,-$E29*$I29/12*1,0)))))+IF(CF$5&lt;&gt;$H29,0,IF(CF29&lt;0,IF($J29=10,-$E29*$I29/12*0,IF($J29=11,-$E29*$I29/12*1,IF($J29=12,-$E29*$I29/12*2,0)))))</f>
        <v>0</v>
      </c>
      <c r="CK29" s="85">
        <f t="shared" ref="CK29" si="392">IF(AND(CF29&lt;&gt;0,CF$5=$H29),-$I29*$E29-CF29,IF(CK$5=$H29,-$I29*$E29*(12-$J29+1)/12,0))</f>
        <v>0</v>
      </c>
      <c r="CL29" s="86">
        <f t="shared" ref="CL29" si="393">IF($H29&lt;&gt;CP$5,0,IF(CP29&lt;0,IF($J29=1,-$E29*$I29/12*3,IF($J29=2,-$E29*$I29/12*2,IF($J29=3,-$E29*$I29/12*1,0)))))+IF(CK$5&lt;&gt;$H29,0,IF(CK29&lt;0,IF($J29=1,-$E29*$I29/12*0,IF($J29=2,-$E29*$I29/12*1,IF($J29=3,-$E29*$I29/12*2,IF($J29&gt;=4,-$E29*$I29/12*3,0))))))</f>
        <v>0</v>
      </c>
      <c r="CM29" s="87">
        <f t="shared" ref="CM29" si="394">IF($H29&lt;&gt;CP$5,0,IF(CP29&lt;0,IF(OR($J29=1,$J29=2,$J29=3,$J29=4),-$E29*$I29/12*3,IF($J29=5,-$E29*$I29/12*2,IF($J29=6,-$E29*$I29/12*1,0)))))+IF(CK$5&lt;&gt;$H29,0,IF(CK29&lt;0,IF($J29=4,-$E29*$I29/12*0,IF($J29=5,-$E29*$I29/12*1,IF($J29=6,-$E29*$I29/12*2,IF($J29&gt;=7,-$E29*$I29/12*3,0))))))</f>
        <v>0</v>
      </c>
      <c r="CN29" s="87">
        <f t="shared" ref="CN29" si="395">IF($H29&lt;&gt;CP$5,0,IF(CP29&lt;0,IF(OR($J29=1,$J29=2,$J29=3,$J29=4,$J29=5,$J29=6,$J29=7),-$E29*$I29/12*3,IF($J29=8,-$E29*$I29/12*2,IF($J29=9,-$E29*$I29/12*1,0)))))+IF(CK$5&lt;&gt;$H29,0,IF(CK29&lt;0,IF($J29=7,-$E29*$I29/12*0,IF($J29=8,-$E29*$I29/12*1,IF($J29=9,-$E29*$I29/12*2,IF($J29&gt;=10,-$E29*$I29/12*3,0))))))</f>
        <v>0</v>
      </c>
      <c r="CO29" s="88">
        <f t="shared" ref="CO29" si="396">IF($H29&lt;&gt;CP$5,0,IF(CP29&lt;0,IF(OR($J29=1,$J29=2,$J29=3,$J29=4,$J29=5,$J29=6,$J29=7,$J29=8,$J29=9,$J29=10),-$E29*$I29/12*3,IF($J29=11,-$E29*$I29/12*2,IF($J29=12,-$E29*$I29/12*1,0)))))+IF(CK$5&lt;&gt;$H29,0,IF(CK29&lt;0,IF($J29=10,-$E29*$I29/12*0,IF($J29=11,-$E29*$I29/12*1,IF($J29=12,-$E29*$I29/12*2,0)))))</f>
        <v>0</v>
      </c>
      <c r="CP29" s="85">
        <f t="shared" ref="CP29" si="397">IF(AND(CK29&lt;&gt;0,CK$5=$H29),-$I29*$E29-CK29,IF(CP$5=$H29,-$I29*$E29*(12-$J29+1)/12,0))</f>
        <v>0</v>
      </c>
      <c r="CQ29" s="86">
        <f t="shared" ref="CQ29" si="398">IF($H29&lt;&gt;CU$5,0,IF(CU29&lt;0,IF($J29=1,-$E29*$I29/12*3,IF($J29=2,-$E29*$I29/12*2,IF($J29=3,-$E29*$I29/12*1,0)))))+IF(CP$5&lt;&gt;$H29,0,IF(CP29&lt;0,IF($J29=1,-$E29*$I29/12*0,IF($J29=2,-$E29*$I29/12*1,IF($J29=3,-$E29*$I29/12*2,IF($J29&gt;=4,-$E29*$I29/12*3,0))))))</f>
        <v>0</v>
      </c>
      <c r="CR29" s="87">
        <f t="shared" ref="CR29" si="399">IF($H29&lt;&gt;CU$5,0,IF(CU29&lt;0,IF(OR($J29=1,$J29=2,$J29=3,$J29=4),-$E29*$I29/12*3,IF($J29=5,-$E29*$I29/12*2,IF($J29=6,-$E29*$I29/12*1,0)))))+IF(CP$5&lt;&gt;$H29,0,IF(CP29&lt;0,IF($J29=4,-$E29*$I29/12*0,IF($J29=5,-$E29*$I29/12*1,IF($J29=6,-$E29*$I29/12*2,IF($J29&gt;=7,-$E29*$I29/12*3,0))))))</f>
        <v>0</v>
      </c>
      <c r="CS29" s="87">
        <f t="shared" ref="CS29" si="400">IF($H29&lt;&gt;CU$5,0,IF(CU29&lt;0,IF(OR($J29=1,$J29=2,$J29=3,$J29=4,$J29=5,$J29=6,$J29=7),-$E29*$I29/12*3,IF($J29=8,-$E29*$I29/12*2,IF($J29=9,-$E29*$I29/12*1,0)))))+IF(CP$5&lt;&gt;$H29,0,IF(CP29&lt;0,IF($J29=7,-$E29*$I29/12*0,IF($J29=8,-$E29*$I29/12*1,IF($J29=9,-$E29*$I29/12*2,IF($J29&gt;=10,-$E29*$I29/12*3,0))))))</f>
        <v>0</v>
      </c>
      <c r="CT29" s="88">
        <f t="shared" ref="CT29" si="401">IF($H29&lt;&gt;CU$5,0,IF(CU29&lt;0,IF(OR($J29=1,$J29=2,$J29=3,$J29=4,$J29=5,$J29=6,$J29=7,$J29=8,$J29=9,$J29=10),-$E29*$I29/12*3,IF($J29=11,-$E29*$I29/12*2,IF($J29=12,-$E29*$I29/12*1,0)))))+IF(CP$5&lt;&gt;$H29,0,IF(CP29&lt;0,IF($J29=10,-$E29*$I29/12*0,IF($J29=11,-$E29*$I29/12*1,IF($J29=12,-$E29*$I29/12*2,0)))))</f>
        <v>0</v>
      </c>
      <c r="CU29" s="85">
        <f t="shared" ref="CU29" si="402">IF(AND(CP29&lt;&gt;0,CP$5=$H29),-$I29*$E29-CP29,IF(CU$5=$H29,-$I29*$E29*(12-$J29+1)/12,0))</f>
        <v>0</v>
      </c>
      <c r="CV29" s="86">
        <f t="shared" ref="CV29" si="403">IF($H29&lt;&gt;CZ$5,0,IF(CZ29&lt;0,IF($J29=1,-$E29*$I29/12*3,IF($J29=2,-$E29*$I29/12*2,IF($J29=3,-$E29*$I29/12*1,0)))))+IF(CU$5&lt;&gt;$H29,0,IF(CU29&lt;0,IF($J29=1,-$E29*$I29/12*0,IF($J29=2,-$E29*$I29/12*1,IF($J29=3,-$E29*$I29/12*2,IF($J29&gt;=4,-$E29*$I29/12*3,0))))))</f>
        <v>0</v>
      </c>
      <c r="CW29" s="87">
        <f t="shared" ref="CW29" si="404">IF($H29&lt;&gt;CZ$5,0,IF(CZ29&lt;0,IF(OR($J29=1,$J29=2,$J29=3,$J29=4),-$E29*$I29/12*3,IF($J29=5,-$E29*$I29/12*2,IF($J29=6,-$E29*$I29/12*1,0)))))+IF(CU$5&lt;&gt;$H29,0,IF(CU29&lt;0,IF($J29=4,-$E29*$I29/12*0,IF($J29=5,-$E29*$I29/12*1,IF($J29=6,-$E29*$I29/12*2,IF($J29&gt;=7,-$E29*$I29/12*3,0))))))</f>
        <v>0</v>
      </c>
      <c r="CX29" s="87">
        <f t="shared" ref="CX29" si="405">IF($H29&lt;&gt;CZ$5,0,IF(CZ29&lt;0,IF(OR($J29=1,$J29=2,$J29=3,$J29=4,$J29=5,$J29=6,$J29=7),-$E29*$I29/12*3,IF($J29=8,-$E29*$I29/12*2,IF($J29=9,-$E29*$I29/12*1,0)))))+IF(CU$5&lt;&gt;$H29,0,IF(CU29&lt;0,IF($J29=7,-$E29*$I29/12*0,IF($J29=8,-$E29*$I29/12*1,IF($J29=9,-$E29*$I29/12*2,IF($J29&gt;=10,-$E29*$I29/12*3,0))))))</f>
        <v>0</v>
      </c>
      <c r="CY29" s="88">
        <f t="shared" ref="CY29" si="406">IF($H29&lt;&gt;CZ$5,0,IF(CZ29&lt;0,IF(OR($J29=1,$J29=2,$J29=3,$J29=4,$J29=5,$J29=6,$J29=7,$J29=8,$J29=9,$J29=10),-$E29*$I29/12*3,IF($J29=11,-$E29*$I29/12*2,IF($J29=12,-$E29*$I29/12*1,0)))))+IF(CU$5&lt;&gt;$H29,0,IF(CU29&lt;0,IF($J29=10,-$E29*$I29/12*0,IF($J29=11,-$E29*$I29/12*1,IF($J29=12,-$E29*$I29/12*2,0)))))</f>
        <v>0</v>
      </c>
      <c r="CZ29" s="85">
        <f t="shared" ref="CZ29" si="407">IF(AND(CU29&lt;&gt;0,CU$5=$H29),-$I29*$E29-CU29,IF(CZ$5=$H29,-$I29*$E29*(12-$J29+1)/12,0))</f>
        <v>0</v>
      </c>
    </row>
    <row r="30" spans="1:104" ht="12.75" customHeight="1">
      <c r="A30" s="4"/>
      <c r="B30" s="4"/>
      <c r="C30" s="150"/>
      <c r="D30" s="150"/>
      <c r="E30" s="151"/>
      <c r="F30" s="152"/>
      <c r="G30" s="152"/>
      <c r="H30" s="153"/>
      <c r="I30" s="154"/>
      <c r="J30" s="155"/>
      <c r="K30" s="97"/>
      <c r="L30" s="98"/>
      <c r="M30" s="99"/>
      <c r="N30" s="100"/>
      <c r="O30" s="100"/>
      <c r="P30" s="101"/>
      <c r="Q30" s="98"/>
      <c r="R30" s="99"/>
      <c r="S30" s="100"/>
      <c r="T30" s="100"/>
      <c r="U30" s="101"/>
      <c r="V30" s="98"/>
      <c r="W30" s="99"/>
      <c r="X30" s="100"/>
      <c r="Y30" s="100"/>
      <c r="Z30" s="101"/>
      <c r="AA30" s="98"/>
      <c r="AB30" s="99"/>
      <c r="AC30" s="100"/>
      <c r="AD30" s="100"/>
      <c r="AE30" s="101"/>
      <c r="AF30" s="98"/>
      <c r="AG30" s="99"/>
      <c r="AH30" s="100"/>
      <c r="AI30" s="100"/>
      <c r="AJ30" s="101"/>
      <c r="AK30" s="98"/>
      <c r="AL30" s="99"/>
      <c r="AM30" s="100"/>
      <c r="AN30" s="100"/>
      <c r="AO30" s="101"/>
      <c r="AP30" s="98"/>
      <c r="AQ30" s="99"/>
      <c r="AR30" s="100"/>
      <c r="AS30" s="100"/>
      <c r="AT30" s="101"/>
      <c r="AU30" s="98"/>
      <c r="AV30" s="99"/>
      <c r="AW30" s="100"/>
      <c r="AX30" s="100"/>
      <c r="AY30" s="101"/>
      <c r="AZ30" s="98"/>
      <c r="BA30" s="99"/>
      <c r="BB30" s="100"/>
      <c r="BC30" s="100"/>
      <c r="BD30" s="101"/>
      <c r="BE30" s="98"/>
      <c r="BF30" s="1878"/>
      <c r="BG30" s="2006"/>
      <c r="BH30" s="103"/>
      <c r="BI30" s="104"/>
      <c r="BJ30" s="104"/>
      <c r="BK30" s="105"/>
      <c r="BL30" s="102"/>
      <c r="BM30" s="103"/>
      <c r="BN30" s="104"/>
      <c r="BO30" s="104"/>
      <c r="BP30" s="105"/>
      <c r="BQ30" s="102"/>
      <c r="BR30" s="103"/>
      <c r="BS30" s="104"/>
      <c r="BT30" s="104"/>
      <c r="BU30" s="105"/>
      <c r="BV30" s="102"/>
      <c r="BW30" s="103"/>
      <c r="BX30" s="104"/>
      <c r="BY30" s="104"/>
      <c r="BZ30" s="105"/>
      <c r="CA30" s="102"/>
      <c r="CB30" s="103"/>
      <c r="CC30" s="104"/>
      <c r="CD30" s="104"/>
      <c r="CE30" s="105"/>
      <c r="CF30" s="102"/>
      <c r="CG30" s="103"/>
      <c r="CH30" s="104"/>
      <c r="CI30" s="104"/>
      <c r="CJ30" s="105"/>
      <c r="CK30" s="102"/>
      <c r="CL30" s="103"/>
      <c r="CM30" s="104"/>
      <c r="CN30" s="104"/>
      <c r="CO30" s="105"/>
      <c r="CP30" s="102"/>
      <c r="CQ30" s="103"/>
      <c r="CR30" s="104"/>
      <c r="CS30" s="104"/>
      <c r="CT30" s="105"/>
      <c r="CU30" s="102"/>
      <c r="CV30" s="103"/>
      <c r="CW30" s="104"/>
      <c r="CX30" s="104"/>
      <c r="CY30" s="105"/>
      <c r="CZ30" s="102"/>
    </row>
    <row r="31" spans="1:104" ht="12.75" customHeight="1">
      <c r="A31" s="156"/>
      <c r="B31" s="156"/>
      <c r="C31" s="157" t="s">
        <v>399</v>
      </c>
      <c r="D31" s="157"/>
      <c r="E31" s="158">
        <f>SUM(E18:E30)</f>
        <v>7589.4710000000005</v>
      </c>
      <c r="F31" s="107">
        <f>SUM(F18:F30)</f>
        <v>7039.4710000000005</v>
      </c>
      <c r="G31" s="107">
        <f>SUM(G18:G30)</f>
        <v>7589.4710000000005</v>
      </c>
      <c r="H31" s="159"/>
      <c r="I31" s="160"/>
      <c r="J31" s="161"/>
      <c r="K31" s="162"/>
      <c r="L31" s="163">
        <f t="shared" ref="L31:BE31" si="408">SUM(L18:L30)</f>
        <v>0</v>
      </c>
      <c r="M31" s="112">
        <f t="shared" si="408"/>
        <v>0</v>
      </c>
      <c r="N31" s="113">
        <f t="shared" si="408"/>
        <v>0</v>
      </c>
      <c r="O31" s="113">
        <f t="shared" si="408"/>
        <v>0</v>
      </c>
      <c r="P31" s="114">
        <f t="shared" si="408"/>
        <v>0</v>
      </c>
      <c r="Q31" s="163">
        <f t="shared" si="408"/>
        <v>0</v>
      </c>
      <c r="R31" s="112">
        <f t="shared" si="408"/>
        <v>0</v>
      </c>
      <c r="S31" s="113">
        <f t="shared" si="408"/>
        <v>0</v>
      </c>
      <c r="T31" s="113">
        <f t="shared" si="408"/>
        <v>0</v>
      </c>
      <c r="U31" s="114">
        <f t="shared" si="408"/>
        <v>0</v>
      </c>
      <c r="V31" s="163">
        <f t="shared" si="408"/>
        <v>0</v>
      </c>
      <c r="W31" s="112">
        <f t="shared" si="408"/>
        <v>0</v>
      </c>
      <c r="X31" s="113">
        <f t="shared" si="408"/>
        <v>0</v>
      </c>
      <c r="Y31" s="113">
        <f t="shared" si="408"/>
        <v>0</v>
      </c>
      <c r="Z31" s="114">
        <f t="shared" si="408"/>
        <v>0</v>
      </c>
      <c r="AA31" s="163">
        <f t="shared" si="408"/>
        <v>0</v>
      </c>
      <c r="AB31" s="112">
        <f t="shared" si="408"/>
        <v>0</v>
      </c>
      <c r="AC31" s="113">
        <f t="shared" si="408"/>
        <v>0</v>
      </c>
      <c r="AD31" s="113">
        <f t="shared" si="408"/>
        <v>0</v>
      </c>
      <c r="AE31" s="114">
        <f t="shared" si="408"/>
        <v>0</v>
      </c>
      <c r="AF31" s="163">
        <f t="shared" si="408"/>
        <v>0</v>
      </c>
      <c r="AG31" s="112">
        <f t="shared" si="408"/>
        <v>-550</v>
      </c>
      <c r="AH31" s="113">
        <f t="shared" si="408"/>
        <v>-1150</v>
      </c>
      <c r="AI31" s="113">
        <f t="shared" si="408"/>
        <v>0</v>
      </c>
      <c r="AJ31" s="114">
        <f t="shared" si="408"/>
        <v>0</v>
      </c>
      <c r="AK31" s="163">
        <f t="shared" si="408"/>
        <v>-1700</v>
      </c>
      <c r="AL31" s="112">
        <f t="shared" si="408"/>
        <v>0</v>
      </c>
      <c r="AM31" s="113">
        <f t="shared" si="408"/>
        <v>0</v>
      </c>
      <c r="AN31" s="113">
        <f t="shared" si="408"/>
        <v>0</v>
      </c>
      <c r="AO31" s="114">
        <f t="shared" si="408"/>
        <v>0</v>
      </c>
      <c r="AP31" s="163">
        <f t="shared" si="408"/>
        <v>0</v>
      </c>
      <c r="AQ31" s="112">
        <f t="shared" si="408"/>
        <v>0</v>
      </c>
      <c r="AR31" s="113">
        <f t="shared" si="408"/>
        <v>0</v>
      </c>
      <c r="AS31" s="113">
        <f t="shared" si="408"/>
        <v>0</v>
      </c>
      <c r="AT31" s="114">
        <f t="shared" si="408"/>
        <v>0</v>
      </c>
      <c r="AU31" s="163">
        <f t="shared" si="408"/>
        <v>0</v>
      </c>
      <c r="AV31" s="112">
        <f t="shared" si="408"/>
        <v>0</v>
      </c>
      <c r="AW31" s="113">
        <f t="shared" si="408"/>
        <v>-900</v>
      </c>
      <c r="AX31" s="113">
        <f t="shared" si="408"/>
        <v>0</v>
      </c>
      <c r="AY31" s="114">
        <f t="shared" si="408"/>
        <v>-550</v>
      </c>
      <c r="AZ31" s="163">
        <f t="shared" si="408"/>
        <v>-1450</v>
      </c>
      <c r="BA31" s="112">
        <f t="shared" si="408"/>
        <v>0</v>
      </c>
      <c r="BB31" s="113">
        <f t="shared" si="408"/>
        <v>-300</v>
      </c>
      <c r="BC31" s="113">
        <f t="shared" si="408"/>
        <v>0</v>
      </c>
      <c r="BD31" s="114">
        <f t="shared" si="408"/>
        <v>0</v>
      </c>
      <c r="BE31" s="163">
        <f t="shared" si="408"/>
        <v>-300</v>
      </c>
      <c r="BF31" s="1879"/>
      <c r="BG31" s="2012">
        <f t="shared" ref="BG31:CZ31" si="409">SUM(BG18:BG30)</f>
        <v>0</v>
      </c>
      <c r="BH31" s="116">
        <f t="shared" si="409"/>
        <v>0</v>
      </c>
      <c r="BI31" s="117">
        <f t="shared" si="409"/>
        <v>0</v>
      </c>
      <c r="BJ31" s="117">
        <f t="shared" si="409"/>
        <v>0</v>
      </c>
      <c r="BK31" s="118">
        <f t="shared" si="409"/>
        <v>0</v>
      </c>
      <c r="BL31" s="164">
        <f t="shared" si="409"/>
        <v>0</v>
      </c>
      <c r="BM31" s="116">
        <f t="shared" si="409"/>
        <v>0</v>
      </c>
      <c r="BN31" s="117">
        <f t="shared" si="409"/>
        <v>0</v>
      </c>
      <c r="BO31" s="117">
        <f t="shared" si="409"/>
        <v>0</v>
      </c>
      <c r="BP31" s="118">
        <f t="shared" si="409"/>
        <v>0</v>
      </c>
      <c r="BQ31" s="164">
        <f t="shared" si="409"/>
        <v>0</v>
      </c>
      <c r="BR31" s="116">
        <f t="shared" si="409"/>
        <v>0</v>
      </c>
      <c r="BS31" s="117">
        <f t="shared" si="409"/>
        <v>0</v>
      </c>
      <c r="BT31" s="117">
        <f t="shared" si="409"/>
        <v>0</v>
      </c>
      <c r="BU31" s="118">
        <f t="shared" si="409"/>
        <v>0</v>
      </c>
      <c r="BV31" s="164">
        <f t="shared" si="409"/>
        <v>0</v>
      </c>
      <c r="BW31" s="116">
        <f t="shared" si="409"/>
        <v>0</v>
      </c>
      <c r="BX31" s="117">
        <f t="shared" si="409"/>
        <v>0</v>
      </c>
      <c r="BY31" s="117">
        <f t="shared" si="409"/>
        <v>0</v>
      </c>
      <c r="BZ31" s="118">
        <f t="shared" si="409"/>
        <v>0</v>
      </c>
      <c r="CA31" s="164">
        <f t="shared" si="409"/>
        <v>0</v>
      </c>
      <c r="CB31" s="116">
        <f t="shared" si="409"/>
        <v>-0.7104166666666667</v>
      </c>
      <c r="CC31" s="117">
        <f t="shared" si="409"/>
        <v>-6.9229166666666675</v>
      </c>
      <c r="CD31" s="117">
        <f t="shared" si="409"/>
        <v>-9.3187499999999996</v>
      </c>
      <c r="CE31" s="118">
        <f t="shared" si="409"/>
        <v>-9.3187499999999996</v>
      </c>
      <c r="CF31" s="164">
        <f t="shared" si="409"/>
        <v>-26.270833333333336</v>
      </c>
      <c r="CG31" s="116">
        <f t="shared" si="409"/>
        <v>-8.6083333333333343</v>
      </c>
      <c r="CH31" s="117">
        <f t="shared" si="409"/>
        <v>-2.3958333333333335</v>
      </c>
      <c r="CI31" s="117">
        <f t="shared" si="409"/>
        <v>0</v>
      </c>
      <c r="CJ31" s="118">
        <f t="shared" si="409"/>
        <v>0</v>
      </c>
      <c r="CK31" s="164">
        <f t="shared" si="409"/>
        <v>-11.004166666666666</v>
      </c>
      <c r="CL31" s="116">
        <f t="shared" si="409"/>
        <v>0</v>
      </c>
      <c r="CM31" s="117">
        <f t="shared" si="409"/>
        <v>0</v>
      </c>
      <c r="CN31" s="117">
        <f t="shared" si="409"/>
        <v>0</v>
      </c>
      <c r="CO31" s="118">
        <f t="shared" si="409"/>
        <v>0</v>
      </c>
      <c r="CP31" s="164">
        <f t="shared" si="409"/>
        <v>0</v>
      </c>
      <c r="CQ31" s="116">
        <f t="shared" si="409"/>
        <v>0</v>
      </c>
      <c r="CR31" s="117">
        <f t="shared" si="409"/>
        <v>-2.1375000000000002</v>
      </c>
      <c r="CS31" s="117">
        <f t="shared" si="409"/>
        <v>-6.4125000000000005</v>
      </c>
      <c r="CT31" s="118">
        <f t="shared" si="409"/>
        <v>-8.7729166666666671</v>
      </c>
      <c r="CU31" s="164">
        <f t="shared" si="409"/>
        <v>-17.322916666666668</v>
      </c>
      <c r="CV31" s="116">
        <f t="shared" si="409"/>
        <v>-13.49375</v>
      </c>
      <c r="CW31" s="117">
        <f t="shared" si="409"/>
        <v>-13.193750000000001</v>
      </c>
      <c r="CX31" s="117">
        <f t="shared" si="409"/>
        <v>-8.9187499999999993</v>
      </c>
      <c r="CY31" s="118">
        <f t="shared" si="409"/>
        <v>-6.5583333333333336</v>
      </c>
      <c r="CZ31" s="164">
        <f t="shared" si="409"/>
        <v>-42.16458333333334</v>
      </c>
    </row>
    <row r="32" spans="1:104" ht="12.75" customHeight="1">
      <c r="A32" s="156"/>
      <c r="B32" s="156"/>
      <c r="C32" s="157"/>
      <c r="D32" s="157"/>
      <c r="E32" s="158"/>
      <c r="F32" s="107"/>
      <c r="G32" s="107"/>
      <c r="H32" s="159"/>
      <c r="I32" s="160"/>
      <c r="J32" s="161"/>
      <c r="K32" s="162"/>
      <c r="L32" s="163"/>
      <c r="M32" s="112"/>
      <c r="N32" s="113"/>
      <c r="O32" s="113"/>
      <c r="P32" s="114"/>
      <c r="Q32" s="163"/>
      <c r="R32" s="112"/>
      <c r="S32" s="113"/>
      <c r="T32" s="113"/>
      <c r="U32" s="114"/>
      <c r="V32" s="163"/>
      <c r="W32" s="112"/>
      <c r="X32" s="113"/>
      <c r="Y32" s="113"/>
      <c r="Z32" s="114"/>
      <c r="AA32" s="163"/>
      <c r="AB32" s="112"/>
      <c r="AC32" s="113"/>
      <c r="AD32" s="113"/>
      <c r="AE32" s="114"/>
      <c r="AF32" s="163"/>
      <c r="AG32" s="112"/>
      <c r="AH32" s="113"/>
      <c r="AI32" s="113"/>
      <c r="AJ32" s="114"/>
      <c r="AK32" s="163"/>
      <c r="AL32" s="112"/>
      <c r="AM32" s="113"/>
      <c r="AN32" s="113"/>
      <c r="AO32" s="114"/>
      <c r="AP32" s="163"/>
      <c r="AQ32" s="112"/>
      <c r="AR32" s="113"/>
      <c r="AS32" s="113"/>
      <c r="AT32" s="114"/>
      <c r="AU32" s="163"/>
      <c r="AV32" s="112"/>
      <c r="AW32" s="113"/>
      <c r="AX32" s="113"/>
      <c r="AY32" s="114"/>
      <c r="AZ32" s="163"/>
      <c r="BA32" s="112"/>
      <c r="BB32" s="113"/>
      <c r="BC32" s="113"/>
      <c r="BD32" s="114"/>
      <c r="BE32" s="163"/>
      <c r="BF32" s="1880"/>
      <c r="BG32" s="2012"/>
      <c r="BH32" s="116"/>
      <c r="BI32" s="117"/>
      <c r="BJ32" s="117"/>
      <c r="BK32" s="118"/>
      <c r="BL32" s="164"/>
      <c r="BM32" s="116"/>
      <c r="BN32" s="117"/>
      <c r="BO32" s="117"/>
      <c r="BP32" s="118"/>
      <c r="BQ32" s="164"/>
      <c r="BR32" s="116"/>
      <c r="BS32" s="117"/>
      <c r="BT32" s="117"/>
      <c r="BU32" s="118"/>
      <c r="BV32" s="164"/>
      <c r="BW32" s="116"/>
      <c r="BX32" s="117"/>
      <c r="BY32" s="117"/>
      <c r="BZ32" s="118"/>
      <c r="CA32" s="164"/>
      <c r="CB32" s="116"/>
      <c r="CC32" s="117"/>
      <c r="CD32" s="117"/>
      <c r="CE32" s="118"/>
      <c r="CF32" s="164"/>
      <c r="CG32" s="116"/>
      <c r="CH32" s="117"/>
      <c r="CI32" s="117"/>
      <c r="CJ32" s="118"/>
      <c r="CK32" s="164"/>
      <c r="CL32" s="116"/>
      <c r="CM32" s="117"/>
      <c r="CN32" s="117"/>
      <c r="CO32" s="118"/>
      <c r="CP32" s="164"/>
      <c r="CQ32" s="116"/>
      <c r="CR32" s="117"/>
      <c r="CS32" s="117"/>
      <c r="CT32" s="118"/>
      <c r="CU32" s="164"/>
      <c r="CV32" s="116"/>
      <c r="CW32" s="117"/>
      <c r="CX32" s="117"/>
      <c r="CY32" s="118"/>
      <c r="CZ32" s="164"/>
    </row>
    <row r="33" spans="1:104" ht="12.75" customHeight="1">
      <c r="A33" s="4"/>
      <c r="B33" s="4"/>
      <c r="C33" s="168" t="s">
        <v>530</v>
      </c>
      <c r="D33" s="168"/>
      <c r="E33" s="75"/>
      <c r="F33" s="76"/>
      <c r="G33" s="76"/>
      <c r="H33" s="77"/>
      <c r="I33" s="78"/>
      <c r="J33" s="79"/>
      <c r="K33" s="80"/>
      <c r="L33" s="169"/>
      <c r="M33" s="82"/>
      <c r="N33" s="83"/>
      <c r="O33" s="83"/>
      <c r="P33" s="84"/>
      <c r="Q33" s="169"/>
      <c r="R33" s="82"/>
      <c r="S33" s="83"/>
      <c r="T33" s="83"/>
      <c r="U33" s="84"/>
      <c r="V33" s="169"/>
      <c r="W33" s="82"/>
      <c r="X33" s="83"/>
      <c r="Y33" s="83"/>
      <c r="Z33" s="84"/>
      <c r="AA33" s="169"/>
      <c r="AB33" s="82"/>
      <c r="AC33" s="83"/>
      <c r="AD33" s="83"/>
      <c r="AE33" s="84"/>
      <c r="AF33" s="169"/>
      <c r="AG33" s="82"/>
      <c r="AH33" s="83"/>
      <c r="AI33" s="83"/>
      <c r="AJ33" s="84"/>
      <c r="AK33" s="169"/>
      <c r="AL33" s="82"/>
      <c r="AM33" s="83"/>
      <c r="AN33" s="83"/>
      <c r="AO33" s="84"/>
      <c r="AP33" s="169"/>
      <c r="AQ33" s="82"/>
      <c r="AR33" s="83"/>
      <c r="AS33" s="83"/>
      <c r="AT33" s="84"/>
      <c r="AU33" s="169"/>
      <c r="AV33" s="82"/>
      <c r="AW33" s="83"/>
      <c r="AX33" s="83"/>
      <c r="AY33" s="84"/>
      <c r="AZ33" s="169"/>
      <c r="BA33" s="82"/>
      <c r="BB33" s="83"/>
      <c r="BC33" s="83"/>
      <c r="BD33" s="84"/>
      <c r="BE33" s="169"/>
      <c r="BF33" s="134"/>
      <c r="BG33" s="2013"/>
      <c r="BH33" s="86"/>
      <c r="BI33" s="87"/>
      <c r="BJ33" s="87"/>
      <c r="BK33" s="88"/>
      <c r="BL33" s="170"/>
      <c r="BM33" s="86"/>
      <c r="BN33" s="87"/>
      <c r="BO33" s="87"/>
      <c r="BP33" s="88"/>
      <c r="BQ33" s="170"/>
      <c r="BR33" s="86"/>
      <c r="BS33" s="87"/>
      <c r="BT33" s="87"/>
      <c r="BU33" s="88"/>
      <c r="BV33" s="170"/>
      <c r="BW33" s="86"/>
      <c r="BX33" s="87"/>
      <c r="BY33" s="87"/>
      <c r="BZ33" s="88"/>
      <c r="CA33" s="170"/>
      <c r="CB33" s="86"/>
      <c r="CC33" s="87"/>
      <c r="CD33" s="87"/>
      <c r="CE33" s="88"/>
      <c r="CF33" s="170"/>
      <c r="CG33" s="86"/>
      <c r="CH33" s="87"/>
      <c r="CI33" s="87"/>
      <c r="CJ33" s="88"/>
      <c r="CK33" s="170"/>
      <c r="CL33" s="86"/>
      <c r="CM33" s="87"/>
      <c r="CN33" s="87"/>
      <c r="CO33" s="88"/>
      <c r="CP33" s="170"/>
      <c r="CQ33" s="86"/>
      <c r="CR33" s="87"/>
      <c r="CS33" s="87"/>
      <c r="CT33" s="88"/>
      <c r="CU33" s="170"/>
      <c r="CV33" s="86"/>
      <c r="CW33" s="87"/>
      <c r="CX33" s="87"/>
      <c r="CY33" s="88"/>
      <c r="CZ33" s="170"/>
    </row>
    <row r="34" spans="1:104" ht="12.75" customHeight="1">
      <c r="A34" s="4"/>
      <c r="B34" s="4"/>
      <c r="C34" s="145" t="s">
        <v>934</v>
      </c>
      <c r="D34" s="146"/>
      <c r="E34" s="147">
        <f>Parent!BB48</f>
        <v>0</v>
      </c>
      <c r="F34" s="326"/>
      <c r="G34" s="326"/>
      <c r="H34" s="171">
        <v>2018</v>
      </c>
      <c r="I34" s="172">
        <v>0.05</v>
      </c>
      <c r="J34" s="171">
        <v>7</v>
      </c>
      <c r="K34" s="80"/>
      <c r="L34" s="81">
        <f t="shared" ref="L34:L37" si="410">IF(L$5=$H34,$E34,0)</f>
        <v>0</v>
      </c>
      <c r="M34" s="82">
        <f t="shared" ref="M34" si="411">IF(Q34=0,0,IF(Q34&gt;0,IF($J34=3,Q34,IF($J34=2,Q34,IF($J34=1,Q34,0)))))</f>
        <v>0</v>
      </c>
      <c r="N34" s="83">
        <f t="shared" ref="N34" si="412">IF(Q34=0,0,IF(Q34&gt;0,IF($J34=6,Q34,IF($J34=5,Q34,IF($J34=4,Q34,0)))))</f>
        <v>0</v>
      </c>
      <c r="O34" s="83">
        <f t="shared" ref="O34" si="413">IF(Q34=0,0,IF(Q34&gt;0,IF($J34=9,Q34,IF($J34=8,Q34,IF($J34=7,Q34,0)))))</f>
        <v>0</v>
      </c>
      <c r="P34" s="84">
        <f t="shared" ref="P34" si="414">IF(Q34=0,0,IF(Q34&gt;0,IF($J34=12,Q34,IF($J34=11,Q34,IF($J34=10,Q34,0)))))</f>
        <v>0</v>
      </c>
      <c r="Q34" s="81">
        <f t="shared" ref="Q34:Q37" si="415">IF(Q$5=$H34,$E34,0)</f>
        <v>0</v>
      </c>
      <c r="R34" s="82">
        <f t="shared" ref="R34" si="416">IF(V34=0,0,IF(V34&gt;0,IF($J34=3,V34,IF($J34=2,V34,IF($J34=1,V34,0)))))</f>
        <v>0</v>
      </c>
      <c r="S34" s="83">
        <f t="shared" ref="S34" si="417">IF(V34=0,0,IF(V34&gt;0,IF($J34=6,V34,IF($J34=5,V34,IF($J34=4,V34,0)))))</f>
        <v>0</v>
      </c>
      <c r="T34" s="83">
        <f t="shared" ref="T34" si="418">IF(V34=0,0,IF(V34&gt;0,IF($J34=9,V34,IF($J34=8,V34,IF($J34=7,V34,0)))))</f>
        <v>0</v>
      </c>
      <c r="U34" s="84">
        <f t="shared" ref="U34" si="419">IF(V34=0,0,IF(V34&gt;0,IF($J34=12,V34,IF($J34=11,V34,IF($J34=10,V34,0)))))</f>
        <v>0</v>
      </c>
      <c r="V34" s="81">
        <f t="shared" ref="V34:V37" si="420">IF(V$5=$H34,$E34,0)</f>
        <v>0</v>
      </c>
      <c r="W34" s="82">
        <f t="shared" ref="W34" si="421">IF(AA34=0,0,IF(AA34&gt;0,IF($J34=3,AA34,IF($J34=2,AA34,IF($J34=1,AA34,0)))))</f>
        <v>0</v>
      </c>
      <c r="X34" s="83">
        <f t="shared" ref="X34" si="422">IF(AA34=0,0,IF(AA34&gt;0,IF($J34=6,AA34,IF($J34=5,AA34,IF($J34=4,AA34,0)))))</f>
        <v>0</v>
      </c>
      <c r="Y34" s="83">
        <f t="shared" ref="Y34" si="423">IF(AA34=0,0,IF(AA34&gt;0,IF($J34=9,AA34,IF($J34=8,AA34,IF($J34=7,AA34,0)))))</f>
        <v>0</v>
      </c>
      <c r="Z34" s="84">
        <f t="shared" ref="Z34" si="424">IF(AA34=0,0,IF(AA34&gt;0,IF($J34=12,AA34,IF($J34=11,AA34,IF($J34=10,AA34,0)))))</f>
        <v>0</v>
      </c>
      <c r="AA34" s="81">
        <f t="shared" ref="AA34:AA37" si="425">IF(AA$5=$H34,$E34,0)</f>
        <v>0</v>
      </c>
      <c r="AB34" s="82">
        <f t="shared" ref="AB34" si="426">IF(AF34=0,0,IF(AF34&gt;0,IF($J34=3,AF34,IF($J34=2,AF34,IF($J34=1,AF34,0)))))</f>
        <v>0</v>
      </c>
      <c r="AC34" s="83">
        <f t="shared" ref="AC34" si="427">IF(AF34=0,0,IF(AF34&gt;0,IF($J34=6,AF34,IF($J34=5,AF34,IF($J34=4,AF34,0)))))</f>
        <v>0</v>
      </c>
      <c r="AD34" s="83">
        <f t="shared" ref="AD34" si="428">IF(AF34=0,0,IF(AF34&gt;0,IF($J34=9,AF34,IF($J34=8,AF34,IF($J34=7,AF34,0)))))</f>
        <v>0</v>
      </c>
      <c r="AE34" s="84">
        <f t="shared" ref="AE34" si="429">IF(AF34=0,0,IF(AF34&gt;0,IF($J34=12,AF34,IF($J34=11,AF34,IF($J34=10,AF34,0)))))</f>
        <v>0</v>
      </c>
      <c r="AF34" s="81">
        <f t="shared" ref="AF34:AF37" si="430">IF(AF$5=$H34,$E34,0)</f>
        <v>0</v>
      </c>
      <c r="AG34" s="82">
        <f t="shared" ref="AG34" si="431">IF(AK34=0,0,IF(AK34&gt;0,IF($J34=3,AK34,IF($J34=2,AK34,IF($J34=1,AK34,0)))))</f>
        <v>0</v>
      </c>
      <c r="AH34" s="83">
        <f t="shared" ref="AH34" si="432">IF(AK34=0,0,IF(AK34&gt;0,IF($J34=6,AK34,IF($J34=5,AK34,IF($J34=4,AK34,0)))))</f>
        <v>0</v>
      </c>
      <c r="AI34" s="83">
        <f t="shared" ref="AI34" si="433">IF(AK34=0,0,IF(AK34&gt;0,IF($J34=9,AK34,IF($J34=8,AK34,IF($J34=7,AK34,0)))))</f>
        <v>0</v>
      </c>
      <c r="AJ34" s="84">
        <f t="shared" ref="AJ34" si="434">IF(AK34=0,0,IF(AK34&gt;0,IF($J34=12,AK34,IF($J34=11,AK34,IF($J34=10,AK34,0)))))</f>
        <v>0</v>
      </c>
      <c r="AK34" s="81">
        <f t="shared" ref="AK34:AK37" si="435">IF(AK$5=$H34,$E34,0)</f>
        <v>0</v>
      </c>
      <c r="AL34" s="82">
        <f t="shared" ref="AL34" si="436">IF(AP34=0,0,IF(AP34&gt;0,IF($J34=3,AP34,IF($J34=2,AP34,IF($J34=1,AP34,0)))))</f>
        <v>0</v>
      </c>
      <c r="AM34" s="83">
        <f t="shared" ref="AM34" si="437">IF(AP34=0,0,IF(AP34&gt;0,IF($J34=6,AP34,IF($J34=5,AP34,IF($J34=4,AP34,0)))))</f>
        <v>0</v>
      </c>
      <c r="AN34" s="83">
        <f t="shared" ref="AN34" si="438">IF(AP34=0,0,IF(AP34&gt;0,IF($J34=9,AP34,IF($J34=8,AP34,IF($J34=7,AP34,0)))))</f>
        <v>0</v>
      </c>
      <c r="AO34" s="84">
        <f t="shared" ref="AO34" si="439">IF(AP34=0,0,IF(AP34&gt;0,IF($J34=12,AP34,IF($J34=11,AP34,IF($J34=10,AP34,0)))))</f>
        <v>0</v>
      </c>
      <c r="AP34" s="81">
        <f t="shared" ref="AP34:AP37" si="440">IF(AP$5=$H34,$E34,0)</f>
        <v>0</v>
      </c>
      <c r="AQ34" s="82">
        <f t="shared" ref="AQ34" si="441">IF(AU34=0,0,IF(AU34&gt;0,IF($J34=3,AU34,IF($J34=2,AU34,IF($J34=1,AU34,0)))))</f>
        <v>0</v>
      </c>
      <c r="AR34" s="83">
        <f t="shared" ref="AR34" si="442">IF(AU34=0,0,IF(AU34&gt;0,IF($J34=6,AU34,IF($J34=5,AU34,IF($J34=4,AU34,0)))))</f>
        <v>0</v>
      </c>
      <c r="AS34" s="83">
        <f t="shared" ref="AS34" si="443">IF(AU34=0,0,IF(AU34&gt;0,IF($J34=9,AU34,IF($J34=8,AU34,IF($J34=7,AU34,0)))))</f>
        <v>0</v>
      </c>
      <c r="AT34" s="84">
        <f t="shared" ref="AT34" si="444">IF(AU34=0,0,IF(AU34&gt;0,IF($J34=12,AU34,IF($J34=11,AU34,IF($J34=10,AU34,0)))))</f>
        <v>0</v>
      </c>
      <c r="AU34" s="81">
        <f t="shared" ref="AU34:AU37" si="445">IF(AU$5=$H34,$E34,0)</f>
        <v>0</v>
      </c>
      <c r="AV34" s="82">
        <f t="shared" ref="AV34" si="446">IF(AZ34=0,0,IF(AZ34&gt;0,IF($J34=3,AZ34,IF($J34=2,AZ34,IF($J34=1,AZ34,0)))))</f>
        <v>0</v>
      </c>
      <c r="AW34" s="83">
        <f t="shared" ref="AW34" si="447">IF(AZ34=0,0,IF(AZ34&gt;0,IF($J34=6,AZ34,IF($J34=5,AZ34,IF($J34=4,AZ34,0)))))</f>
        <v>0</v>
      </c>
      <c r="AX34" s="83">
        <f t="shared" ref="AX34" si="448">IF(AZ34=0,0,IF(AZ34&gt;0,IF($J34=9,AZ34,IF($J34=8,AZ34,IF($J34=7,AZ34,0)))))</f>
        <v>0</v>
      </c>
      <c r="AY34" s="84">
        <f t="shared" ref="AY34" si="449">IF(AZ34=0,0,IF(AZ34&gt;0,IF($J34=12,AZ34,IF($J34=11,AZ34,IF($J34=10,AZ34,0)))))</f>
        <v>0</v>
      </c>
      <c r="AZ34" s="81">
        <f t="shared" ref="AZ34:AZ37" si="450">IF(AZ$5=$H34,$E34,0)</f>
        <v>0</v>
      </c>
      <c r="BA34" s="82">
        <f t="shared" ref="BA34:BA37" si="451">IF(BE34=0,0,IF(BE34&gt;0,IF($J34=3,BE34,IF($J34=2,BE34,IF($J34=1,BE34,0)))))</f>
        <v>0</v>
      </c>
      <c r="BB34" s="83">
        <f t="shared" ref="BB34:BB37" si="452">IF(BE34=0,0,IF(BE34&gt;0,IF($J34=6,BE34,IF($J34=5,BE34,IF($J34=4,BE34,0)))))</f>
        <v>0</v>
      </c>
      <c r="BC34" s="83">
        <f t="shared" ref="BC34:BC37" si="453">IF(BE34=0,0,IF(BE34&gt;0,IF($J34=9,BE34,IF($J34=8,BE34,IF($J34=7,BE34,0)))))</f>
        <v>0</v>
      </c>
      <c r="BD34" s="84">
        <f t="shared" ref="BD34:BD37" si="454">IF(BE34=0,0,IF(BE34&gt;0,IF($J34=12,BE34,IF($J34=11,BE34,IF($J34=10,BE34,0)))))</f>
        <v>0</v>
      </c>
      <c r="BE34" s="81">
        <f t="shared" ref="BE34:BE37" si="455">IF(BE$5=$H34,$E34,0)</f>
        <v>0</v>
      </c>
      <c r="BF34" s="1881"/>
      <c r="BG34" s="2005">
        <f t="shared" ref="BG34" si="456">IF(AND(BF34&lt;&gt;0,BF$5=$H34),$I34*$E34-BF34,IF(BG$5=$H34,$I34*$E34*(12-$J34+1)/12,0))</f>
        <v>0</v>
      </c>
      <c r="BH34" s="86">
        <f t="shared" ref="BH34" si="457">IF($H34&lt;&gt;BL$5,0,IF(BL34&gt;0,IF($J34=1,$E34*$I34/12*3,IF($J34=2,$E34*$I34/12*2,IF($J34=3,$E34*$I34/12*1,0)))))+IF(BG$5&lt;&gt;$H34,0,IF(BG34&gt;0,IF($J34=1,$E34*$I34/12*0,IF($J34=2,$E34*$I34/12*1,IF($J34=3,$E34*$I34/12*2,IF($J34&gt;=4,$E34*$I34/12*3,0))))))</f>
        <v>0</v>
      </c>
      <c r="BI34" s="87">
        <f t="shared" ref="BI34" si="458">IF($H34&lt;&gt;BL$5,0,IF(BL34&gt;0,IF(OR($J34=1,$J34=2,$J34=3,$J34=4),$E34*$I34/12*3,IF($J34=5,$E34*$I34/12*2,IF($J34=6,$E34*$I34/12*1,0)))))+IF(BG$5&lt;&gt;$H34,0,IF(BG34&gt;0,IF($J34=4,$E34*$I34/12*0,IF($J34=5,$E34*$I34/12*1,IF($J34=6,$E34*$I34/12*2,IF($J34&gt;=7,$E34*$I34/12*3,0))))))</f>
        <v>0</v>
      </c>
      <c r="BJ34" s="87">
        <f t="shared" ref="BJ34" si="459">IF($H34&lt;&gt;BL$5,0,IF(BL34&gt;0,IF(OR($J34=1,$J34=2,$J34=3,$J34=4,$J34=5,$J34=6,$J34=7),$E34*$I34/12*3,IF($J34=8,$E34*$I34/12*2,IF($J34=9,$E34*$I34/12*1,0)))))+IF(BG$5&lt;&gt;$H34,0,IF(BG34&gt;0,IF($J34=7,$E34*$I34/12*0,IF($J34=8,$E34*$I34/12*1,IF($J34=9,$E34*$I34/12*2,IF($J34&gt;=10,$E34*$I34/12*3,0))))))</f>
        <v>0</v>
      </c>
      <c r="BK34" s="88">
        <f t="shared" ref="BK34" si="460">IF($H34&lt;&gt;BL$5,0,IF(BL34&gt;0,IF(OR($J34=1,$J34=2,$J34=3,$J34=4,$J34=5,$J34=6,$J34=7,$J34=8,$J34=9,$J34=10),$E34*$I34/12*3,IF($J34=11,$E34*$I34/12*2,IF($J34=12,$E34*$I34/12*1,0)))))+IF(BG$5&lt;&gt;$H34,0,IF(BG34&gt;0,IF($J34=10,$E34*$I34/12*0,IF($J34=11,$E34*$I34/12*1,IF($J34=12,$E34*$I34/12*2,0)))))</f>
        <v>0</v>
      </c>
      <c r="BL34" s="85">
        <f t="shared" ref="BL34" si="461">IF(AND(BG34&lt;&gt;0,BG$5=$H34),$I34*$E34-BG34,IF(BL$5=$H34,$I34*$E34*(12-$J34+1)/12,0))</f>
        <v>0</v>
      </c>
      <c r="BM34" s="86">
        <f t="shared" ref="BM34" si="462">IF($H34&lt;&gt;BQ$5,0,IF(BQ34&gt;0,IF($J34=1,$E34*$I34/12*3,IF($J34=2,$E34*$I34/12*2,IF($J34=3,$E34*$I34/12*1,0)))))+IF(BL$5&lt;&gt;$H34,0,IF(BL34&gt;0,IF($J34=1,$E34*$I34/12*0,IF($J34=2,$E34*$I34/12*1,IF($J34=3,$E34*$I34/12*2,IF($J34&gt;=4,$E34*$I34/12*3,0))))))</f>
        <v>0</v>
      </c>
      <c r="BN34" s="87">
        <f t="shared" ref="BN34" si="463">IF($H34&lt;&gt;BQ$5,0,IF(BQ34&gt;0,IF(OR($J34=1,$J34=2,$J34=3,$J34=4),$E34*$I34/12*3,IF($J34=5,$E34*$I34/12*2,IF($J34=6,$E34*$I34/12*1,0)))))+IF(BL$5&lt;&gt;$H34,0,IF(BL34&gt;0,IF($J34=4,$E34*$I34/12*0,IF($J34=5,$E34*$I34/12*1,IF($J34=6,$E34*$I34/12*2,IF($J34&gt;=7,$E34*$I34/12*3,0))))))</f>
        <v>0</v>
      </c>
      <c r="BO34" s="87">
        <f t="shared" ref="BO34" si="464">IF($H34&lt;&gt;BQ$5,0,IF(BQ34&gt;0,IF(OR($J34=1,$J34=2,$J34=3,$J34=4,$J34=5,$J34=6,$J34=7),$E34*$I34/12*3,IF($J34=8,$E34*$I34/12*2,IF($J34=9,$E34*$I34/12*1,0)))))+IF(BL$5&lt;&gt;$H34,0,IF(BL34&gt;0,IF($J34=7,$E34*$I34/12*0,IF($J34=8,$E34*$I34/12*1,IF($J34=9,$E34*$I34/12*2,IF($J34&gt;=10,$E34*$I34/12*3,0))))))</f>
        <v>0</v>
      </c>
      <c r="BP34" s="88">
        <f t="shared" ref="BP34" si="465">IF($H34&lt;&gt;BQ$5,0,IF(BQ34&gt;0,IF(OR($J34=1,$J34=2,$J34=3,$J34=4,$J34=5,$J34=6,$J34=7,$J34=8,$J34=9,$J34=10),$E34*$I34/12*3,IF($J34=11,$E34*$I34/12*2,IF($J34=12,$E34*$I34/12*1,0)))))+IF(BL$5&lt;&gt;$H34,0,IF(BL34&gt;0,IF($J34=10,$E34*$I34/12*0,IF($J34=11,$E34*$I34/12*1,IF($J34=12,$E34*$I34/12*2,0)))))</f>
        <v>0</v>
      </c>
      <c r="BQ34" s="85">
        <f t="shared" ref="BQ34" si="466">IF(AND(BL34&lt;&gt;0,BL$5=$H34),$I34*$E34-BL34,IF(BQ$5=$H34,$I34*$E34*(12-$J34+1)/12,0))</f>
        <v>0</v>
      </c>
      <c r="BR34" s="86">
        <f t="shared" ref="BR34" si="467">IF($H34&lt;&gt;BV$5,0,IF(BV34&gt;0,IF($J34=1,$E34*$I34/12*3,IF($J34=2,$E34*$I34/12*2,IF($J34=3,$E34*$I34/12*1,0)))))+IF(BQ$5&lt;&gt;$H34,0,IF(BQ34&gt;0,IF($J34=1,$E34*$I34/12*0,IF($J34=2,$E34*$I34/12*1,IF($J34=3,$E34*$I34/12*2,IF($J34&gt;=4,$E34*$I34/12*3,0))))))</f>
        <v>0</v>
      </c>
      <c r="BS34" s="87">
        <f t="shared" ref="BS34" si="468">IF($H34&lt;&gt;BV$5,0,IF(BV34&gt;0,IF(OR($J34=1,$J34=2,$J34=3,$J34=4),$E34*$I34/12*3,IF($J34=5,$E34*$I34/12*2,IF($J34=6,$E34*$I34/12*1,0)))))+IF(BQ$5&lt;&gt;$H34,0,IF(BQ34&gt;0,IF($J34=4,$E34*$I34/12*0,IF($J34=5,$E34*$I34/12*1,IF($J34=6,$E34*$I34/12*2,IF($J34&gt;=7,$E34*$I34/12*3,0))))))</f>
        <v>0</v>
      </c>
      <c r="BT34" s="87">
        <f t="shared" ref="BT34" si="469">IF($H34&lt;&gt;BV$5,0,IF(BV34&gt;0,IF(OR($J34=1,$J34=2,$J34=3,$J34=4,$J34=5,$J34=6,$J34=7),$E34*$I34/12*3,IF($J34=8,$E34*$I34/12*2,IF($J34=9,$E34*$I34/12*1,0)))))+IF(BQ$5&lt;&gt;$H34,0,IF(BQ34&gt;0,IF($J34=7,$E34*$I34/12*0,IF($J34=8,$E34*$I34/12*1,IF($J34=9,$E34*$I34/12*2,IF($J34&gt;=10,$E34*$I34/12*3,0))))))</f>
        <v>0</v>
      </c>
      <c r="BU34" s="88">
        <f t="shared" ref="BU34" si="470">IF($H34&lt;&gt;BV$5,0,IF(BV34&gt;0,IF(OR($J34=1,$J34=2,$J34=3,$J34=4,$J34=5,$J34=6,$J34=7,$J34=8,$J34=9,$J34=10),$E34*$I34/12*3,IF($J34=11,$E34*$I34/12*2,IF($J34=12,$E34*$I34/12*1,0)))))+IF(BQ$5&lt;&gt;$H34,0,IF(BQ34&gt;0,IF($J34=10,$E34*$I34/12*0,IF($J34=11,$E34*$I34/12*1,IF($J34=12,$E34*$I34/12*2,0)))))</f>
        <v>0</v>
      </c>
      <c r="BV34" s="85">
        <f t="shared" ref="BV34" si="471">IF(AND(BQ34&lt;&gt;0,BQ$5=$H34),$I34*$E34-BQ34,IF(BV$5=$H34,$I34*$E34*(12-$J34+1)/12,0))</f>
        <v>0</v>
      </c>
      <c r="BW34" s="86">
        <f t="shared" ref="BW34" si="472">IF($H34&lt;&gt;CA$5,0,IF(CA34&gt;0,IF($J34=1,$E34*$I34/12*3,IF($J34=2,$E34*$I34/12*2,IF($J34=3,$E34*$I34/12*1,0)))))+IF(BV$5&lt;&gt;$H34,0,IF(BV34&gt;0,IF($J34=1,$E34*$I34/12*0,IF($J34=2,$E34*$I34/12*1,IF($J34=3,$E34*$I34/12*2,IF($J34&gt;=4,$E34*$I34/12*3,0))))))</f>
        <v>0</v>
      </c>
      <c r="BX34" s="87">
        <f t="shared" ref="BX34" si="473">IF($H34&lt;&gt;CA$5,0,IF(CA34&gt;0,IF(OR($J34=1,$J34=2,$J34=3,$J34=4),$E34*$I34/12*3,IF($J34=5,$E34*$I34/12*2,IF($J34=6,$E34*$I34/12*1,0)))))+IF(BV$5&lt;&gt;$H34,0,IF(BV34&gt;0,IF($J34=4,$E34*$I34/12*0,IF($J34=5,$E34*$I34/12*1,IF($J34=6,$E34*$I34/12*2,IF($J34&gt;=7,$E34*$I34/12*3,0))))))</f>
        <v>0</v>
      </c>
      <c r="BY34" s="87">
        <f t="shared" ref="BY34" si="474">IF($H34&lt;&gt;CA$5,0,IF(CA34&gt;0,IF(OR($J34=1,$J34=2,$J34=3,$J34=4,$J34=5,$J34=6,$J34=7),$E34*$I34/12*3,IF($J34=8,$E34*$I34/12*2,IF($J34=9,$E34*$I34/12*1,0)))))+IF(BV$5&lt;&gt;$H34,0,IF(BV34&gt;0,IF($J34=7,$E34*$I34/12*0,IF($J34=8,$E34*$I34/12*1,IF($J34=9,$E34*$I34/12*2,IF($J34&gt;=10,$E34*$I34/12*3,0))))))</f>
        <v>0</v>
      </c>
      <c r="BZ34" s="88">
        <f t="shared" ref="BZ34" si="475">IF($H34&lt;&gt;CA$5,0,IF(CA34&gt;0,IF(OR($J34=1,$J34=2,$J34=3,$J34=4,$J34=5,$J34=6,$J34=7,$J34=8,$J34=9,$J34=10),$E34*$I34/12*3,IF($J34=11,$E34*$I34/12*2,IF($J34=12,$E34*$I34/12*1,0)))))+IF(BV$5&lt;&gt;$H34,0,IF(BV34&gt;0,IF($J34=10,$E34*$I34/12*0,IF($J34=11,$E34*$I34/12*1,IF($J34=12,$E34*$I34/12*2,0)))))</f>
        <v>0</v>
      </c>
      <c r="CA34" s="85">
        <f t="shared" ref="CA34" si="476">IF(AND(BV34&lt;&gt;0,BV$5=$H34),$I34*$E34-BV34,IF(CA$5=$H34,$I34*$E34*(12-$J34+1)/12,0))</f>
        <v>0</v>
      </c>
      <c r="CB34" s="86">
        <f t="shared" ref="CB34" si="477">IF($H34&lt;&gt;CF$5,0,IF(CF34&gt;0,IF($J34=1,$E34*$I34/12*3,IF($J34=2,$E34*$I34/12*2,IF($J34=3,$E34*$I34/12*1,0)))))+IF(CA$5&lt;&gt;$H34,0,IF(CA34&gt;0,IF($J34=1,$E34*$I34/12*0,IF($J34=2,$E34*$I34/12*1,IF($J34=3,$E34*$I34/12*2,IF($J34&gt;=4,$E34*$I34/12*3,0))))))</f>
        <v>0</v>
      </c>
      <c r="CC34" s="87">
        <f t="shared" ref="CC34" si="478">IF($H34&lt;&gt;CF$5,0,IF(CF34&gt;0,IF(OR($J34=1,$J34=2,$J34=3,$J34=4),$E34*$I34/12*3,IF($J34=5,$E34*$I34/12*2,IF($J34=6,$E34*$I34/12*1,0)))))+IF(CA$5&lt;&gt;$H34,0,IF(CA34&gt;0,IF($J34=4,$E34*$I34/12*0,IF($J34=5,$E34*$I34/12*1,IF($J34=6,$E34*$I34/12*2,IF($J34&gt;=7,$E34*$I34/12*3,0))))))</f>
        <v>0</v>
      </c>
      <c r="CD34" s="87">
        <f t="shared" ref="CD34" si="479">IF($H34&lt;&gt;CF$5,0,IF(CF34&gt;0,IF(OR($J34=1,$J34=2,$J34=3,$J34=4,$J34=5,$J34=6,$J34=7),$E34*$I34/12*3,IF($J34=8,$E34*$I34/12*2,IF($J34=9,$E34*$I34/12*1,0)))))+IF(CA$5&lt;&gt;$H34,0,IF(CA34&gt;0,IF($J34=7,$E34*$I34/12*0,IF($J34=8,$E34*$I34/12*1,IF($J34=9,$E34*$I34/12*2,IF($J34&gt;=10,$E34*$I34/12*3,0))))))</f>
        <v>0</v>
      </c>
      <c r="CE34" s="88">
        <f t="shared" ref="CE34" si="480">IF($H34&lt;&gt;CF$5,0,IF(CF34&gt;0,IF(OR($J34=1,$J34=2,$J34=3,$J34=4,$J34=5,$J34=6,$J34=7,$J34=8,$J34=9,$J34=10),$E34*$I34/12*3,IF($J34=11,$E34*$I34/12*2,IF($J34=12,$E34*$I34/12*1,0)))))+IF(CA$5&lt;&gt;$H34,0,IF(CA34&gt;0,IF($J34=10,$E34*$I34/12*0,IF($J34=11,$E34*$I34/12*1,IF($J34=12,$E34*$I34/12*2,0)))))</f>
        <v>0</v>
      </c>
      <c r="CF34" s="85">
        <f t="shared" ref="CF34" si="481">IF(AND(CA34&lt;&gt;0,CA$5=$H34),$I34*$E34-CA34,IF(CF$5=$H34,$I34*$E34*(12-$J34+1)/12,0))</f>
        <v>0</v>
      </c>
      <c r="CG34" s="86">
        <f t="shared" ref="CG34" si="482">IF($H34&lt;&gt;CK$5,0,IF(CK34&gt;0,IF($J34=1,$E34*$I34/12*3,IF($J34=2,$E34*$I34/12*2,IF($J34=3,$E34*$I34/12*1,0)))))+IF(CF$5&lt;&gt;$H34,0,IF(CF34&gt;0,IF($J34=1,$E34*$I34/12*0,IF($J34=2,$E34*$I34/12*1,IF($J34=3,$E34*$I34/12*2,IF($J34&gt;=4,$E34*$I34/12*3,0))))))</f>
        <v>0</v>
      </c>
      <c r="CH34" s="87">
        <f t="shared" ref="CH34" si="483">IF($H34&lt;&gt;CK$5,0,IF(CK34&gt;0,IF(OR($J34=1,$J34=2,$J34=3,$J34=4),$E34*$I34/12*3,IF($J34=5,$E34*$I34/12*2,IF($J34=6,$E34*$I34/12*1,0)))))+IF(CF$5&lt;&gt;$H34,0,IF(CF34&gt;0,IF($J34=4,$E34*$I34/12*0,IF($J34=5,$E34*$I34/12*1,IF($J34=6,$E34*$I34/12*2,IF($J34&gt;=7,$E34*$I34/12*3,0))))))</f>
        <v>0</v>
      </c>
      <c r="CI34" s="87">
        <f t="shared" ref="CI34" si="484">IF($H34&lt;&gt;CK$5,0,IF(CK34&gt;0,IF(OR($J34=1,$J34=2,$J34=3,$J34=4,$J34=5,$J34=6,$J34=7),$E34*$I34/12*3,IF($J34=8,$E34*$I34/12*2,IF($J34=9,$E34*$I34/12*1,0)))))+IF(CF$5&lt;&gt;$H34,0,IF(CF34&gt;0,IF($J34=7,$E34*$I34/12*0,IF($J34=8,$E34*$I34/12*1,IF($J34=9,$E34*$I34/12*2,IF($J34&gt;=10,$E34*$I34/12*3,0))))))</f>
        <v>0</v>
      </c>
      <c r="CJ34" s="88">
        <f t="shared" ref="CJ34" si="485">IF($H34&lt;&gt;CK$5,0,IF(CK34&gt;0,IF(OR($J34=1,$J34=2,$J34=3,$J34=4,$J34=5,$J34=6,$J34=7,$J34=8,$J34=9,$J34=10),$E34*$I34/12*3,IF($J34=11,$E34*$I34/12*2,IF($J34=12,$E34*$I34/12*1,0)))))+IF(CF$5&lt;&gt;$H34,0,IF(CF34&gt;0,IF($J34=10,$E34*$I34/12*0,IF($J34=11,$E34*$I34/12*1,IF($J34=12,$E34*$I34/12*2,0)))))</f>
        <v>0</v>
      </c>
      <c r="CK34" s="85">
        <f t="shared" ref="CK34" si="486">IF(AND(CF34&lt;&gt;0,CF$5=$H34),$I34*$E34-CF34,IF(CK$5=$H34,$I34*$E34*(12-$J34+1)/12,0))</f>
        <v>0</v>
      </c>
      <c r="CL34" s="86">
        <f t="shared" ref="CL34" si="487">IF($H34&lt;&gt;CP$5,0,IF(CP34&gt;0,IF($J34=1,$E34*$I34/12*3,IF($J34=2,$E34*$I34/12*2,IF($J34=3,$E34*$I34/12*1,0)))))+IF(CK$5&lt;&gt;$H34,0,IF(CK34&gt;0,IF($J34=1,$E34*$I34/12*0,IF($J34=2,$E34*$I34/12*1,IF($J34=3,$E34*$I34/12*2,IF($J34&gt;=4,$E34*$I34/12*3,0))))))</f>
        <v>0</v>
      </c>
      <c r="CM34" s="87">
        <f t="shared" ref="CM34" si="488">IF($H34&lt;&gt;CP$5,0,IF(CP34&gt;0,IF(OR($J34=1,$J34=2,$J34=3,$J34=4),$E34*$I34/12*3,IF($J34=5,$E34*$I34/12*2,IF($J34=6,$E34*$I34/12*1,0)))))+IF(CK$5&lt;&gt;$H34,0,IF(CK34&gt;0,IF($J34=4,$E34*$I34/12*0,IF($J34=5,$E34*$I34/12*1,IF($J34=6,$E34*$I34/12*2,IF($J34&gt;=7,$E34*$I34/12*3,0))))))</f>
        <v>0</v>
      </c>
      <c r="CN34" s="87">
        <f t="shared" ref="CN34" si="489">IF($H34&lt;&gt;CP$5,0,IF(CP34&gt;0,IF(OR($J34=1,$J34=2,$J34=3,$J34=4,$J34=5,$J34=6,$J34=7),$E34*$I34/12*3,IF($J34=8,$E34*$I34/12*2,IF($J34=9,$E34*$I34/12*1,0)))))+IF(CK$5&lt;&gt;$H34,0,IF(CK34&gt;0,IF($J34=7,$E34*$I34/12*0,IF($J34=8,$E34*$I34/12*1,IF($J34=9,$E34*$I34/12*2,IF($J34&gt;=10,$E34*$I34/12*3,0))))))</f>
        <v>0</v>
      </c>
      <c r="CO34" s="88">
        <f t="shared" ref="CO34" si="490">IF($H34&lt;&gt;CP$5,0,IF(CP34&gt;0,IF(OR($J34=1,$J34=2,$J34=3,$J34=4,$J34=5,$J34=6,$J34=7,$J34=8,$J34=9,$J34=10),$E34*$I34/12*3,IF($J34=11,$E34*$I34/12*2,IF($J34=12,$E34*$I34/12*1,0)))))+IF(CK$5&lt;&gt;$H34,0,IF(CK34&gt;0,IF($J34=10,$E34*$I34/12*0,IF($J34=11,$E34*$I34/12*1,IF($J34=12,$E34*$I34/12*2,0)))))</f>
        <v>0</v>
      </c>
      <c r="CP34" s="85">
        <f t="shared" ref="CP34" si="491">IF(AND(CK34&lt;&gt;0,CK$5=$H34),$I34*$E34-CK34,IF(CP$5=$H34,$I34*$E34*(12-$J34+1)/12,0))</f>
        <v>0</v>
      </c>
      <c r="CQ34" s="86">
        <f t="shared" ref="CQ34" si="492">IF($H34&lt;&gt;CU$5,0,IF(CU34&gt;0,IF($J34=1,$E34*$I34/12*3,IF($J34=2,$E34*$I34/12*2,IF($J34=3,$E34*$I34/12*1,0)))))+IF(CP$5&lt;&gt;$H34,0,IF(CP34&gt;0,IF($J34=1,$E34*$I34/12*0,IF($J34=2,$E34*$I34/12*1,IF($J34=3,$E34*$I34/12*2,IF($J34&gt;=4,$E34*$I34/12*3,0))))))</f>
        <v>0</v>
      </c>
      <c r="CR34" s="87">
        <f t="shared" ref="CR34" si="493">IF($H34&lt;&gt;CU$5,0,IF(CU34&gt;0,IF(OR($J34=1,$J34=2,$J34=3,$J34=4),$E34*$I34/12*3,IF($J34=5,$E34*$I34/12*2,IF($J34=6,$E34*$I34/12*1,0)))))+IF(CP$5&lt;&gt;$H34,0,IF(CP34&gt;0,IF($J34=4,$E34*$I34/12*0,IF($J34=5,$E34*$I34/12*1,IF($J34=6,$E34*$I34/12*2,IF($J34&gt;=7,$E34*$I34/12*3,0))))))</f>
        <v>0</v>
      </c>
      <c r="CS34" s="87">
        <f t="shared" ref="CS34" si="494">IF($H34&lt;&gt;CU$5,0,IF(CU34&gt;0,IF(OR($J34=1,$J34=2,$J34=3,$J34=4,$J34=5,$J34=6,$J34=7),$E34*$I34/12*3,IF($J34=8,$E34*$I34/12*2,IF($J34=9,$E34*$I34/12*1,0)))))+IF(CP$5&lt;&gt;$H34,0,IF(CP34&gt;0,IF($J34=7,$E34*$I34/12*0,IF($J34=8,$E34*$I34/12*1,IF($J34=9,$E34*$I34/12*2,IF($J34&gt;=10,$E34*$I34/12*3,0))))))</f>
        <v>0</v>
      </c>
      <c r="CT34" s="88">
        <f t="shared" ref="CT34" si="495">IF($H34&lt;&gt;CU$5,0,IF(CU34&gt;0,IF(OR($J34=1,$J34=2,$J34=3,$J34=4,$J34=5,$J34=6,$J34=7,$J34=8,$J34=9,$J34=10),$E34*$I34/12*3,IF($J34=11,$E34*$I34/12*2,IF($J34=12,$E34*$I34/12*1,0)))))+IF(CP$5&lt;&gt;$H34,0,IF(CP34&gt;0,IF($J34=10,$E34*$I34/12*0,IF($J34=11,$E34*$I34/12*1,IF($J34=12,$E34*$I34/12*2,0)))))</f>
        <v>0</v>
      </c>
      <c r="CU34" s="85">
        <f t="shared" ref="CU34" si="496">IF(AND(CP34&lt;&gt;0,CP$5=$H34),$I34*$E34-CP34,IF(CU$5=$H34,$I34*$E34*(12-$J34+1)/12,0))</f>
        <v>0</v>
      </c>
      <c r="CV34" s="86">
        <f t="shared" ref="CV34:CV37" si="497">IF($H34&lt;&gt;CZ$5,0,IF(CZ34&gt;0,IF($J34=1,$E34*$I34/12*3,IF($J34=2,$E34*$I34/12*2,IF($J34=3,$E34*$I34/12*1,0)))))+IF(CU$5&lt;&gt;$H34,0,IF(CU34&gt;0,IF($J34=1,$E34*$I34/12*0,IF($J34=2,$E34*$I34/12*1,IF($J34=3,$E34*$I34/12*2,IF($J34&gt;=4,$E34*$I34/12*3,0))))))</f>
        <v>0</v>
      </c>
      <c r="CW34" s="87">
        <f t="shared" ref="CW34:CW37" si="498">IF($H34&lt;&gt;CZ$5,0,IF(CZ34&gt;0,IF(OR($J34=1,$J34=2,$J34=3,$J34=4),$E34*$I34/12*3,IF($J34=5,$E34*$I34/12*2,IF($J34=6,$E34*$I34/12*1,0)))))+IF(CU$5&lt;&gt;$H34,0,IF(CU34&gt;0,IF($J34=4,$E34*$I34/12*0,IF($J34=5,$E34*$I34/12*1,IF($J34=6,$E34*$I34/12*2,IF($J34&gt;=7,$E34*$I34/12*3,0))))))</f>
        <v>0</v>
      </c>
      <c r="CX34" s="87">
        <f t="shared" ref="CX34:CX37" si="499">IF($H34&lt;&gt;CZ$5,0,IF(CZ34&gt;0,IF(OR($J34=1,$J34=2,$J34=3,$J34=4,$J34=5,$J34=6,$J34=7),$E34*$I34/12*3,IF($J34=8,$E34*$I34/12*2,IF($J34=9,$E34*$I34/12*1,0)))))+IF(CU$5&lt;&gt;$H34,0,IF(CU34&gt;0,IF($J34=7,$E34*$I34/12*0,IF($J34=8,$E34*$I34/12*1,IF($J34=9,$E34*$I34/12*2,IF($J34&gt;=10,$E34*$I34/12*3,0))))))</f>
        <v>0</v>
      </c>
      <c r="CY34" s="88">
        <f t="shared" ref="CY34:CY37" si="500">IF($H34&lt;&gt;CZ$5,0,IF(CZ34&gt;0,IF(OR($J34=1,$J34=2,$J34=3,$J34=4,$J34=5,$J34=6,$J34=7,$J34=8,$J34=9,$J34=10),$E34*$I34/12*3,IF($J34=11,$E34*$I34/12*2,IF($J34=12,$E34*$I34/12*1,0)))))+IF(CU$5&lt;&gt;$H34,0,IF(CU34&gt;0,IF($J34=10,$E34*$I34/12*0,IF($J34=11,$E34*$I34/12*1,IF($J34=12,$E34*$I34/12*2,0)))))</f>
        <v>0</v>
      </c>
      <c r="CZ34" s="85">
        <f t="shared" ref="CZ34:CZ37" si="501">IF(AND(CU34&lt;&gt;0,CU$5=$H34),$I34*$E34-CU34,IF(CZ$5=$H34,$I34*$E34*(12-$J34+1)/12,0))</f>
        <v>0</v>
      </c>
    </row>
    <row r="35" spans="1:104" ht="12.75" customHeight="1">
      <c r="A35" s="4"/>
      <c r="B35" s="4"/>
      <c r="C35" s="1999" t="s">
        <v>1371</v>
      </c>
      <c r="D35" s="146"/>
      <c r="E35" s="147">
        <f>Parent!BG48</f>
        <v>0</v>
      </c>
      <c r="F35" s="326"/>
      <c r="G35" s="326"/>
      <c r="H35" s="171">
        <v>2019</v>
      </c>
      <c r="I35" s="172">
        <v>0.05</v>
      </c>
      <c r="J35" s="171">
        <v>7</v>
      </c>
      <c r="K35" s="80"/>
      <c r="L35" s="81">
        <f t="shared" si="410"/>
        <v>0</v>
      </c>
      <c r="M35" s="82">
        <f t="shared" ref="M35:M36" si="502">IF(Q35=0,0,IF(Q35&gt;0,IF($J35=3,Q35,IF($J35=2,Q35,IF($J35=1,Q35,0)))))</f>
        <v>0</v>
      </c>
      <c r="N35" s="83">
        <f t="shared" ref="N35:N36" si="503">IF(Q35=0,0,IF(Q35&gt;0,IF($J35=6,Q35,IF($J35=5,Q35,IF($J35=4,Q35,0)))))</f>
        <v>0</v>
      </c>
      <c r="O35" s="83">
        <f t="shared" ref="O35:O36" si="504">IF(Q35=0,0,IF(Q35&gt;0,IF($J35=9,Q35,IF($J35=8,Q35,IF($J35=7,Q35,0)))))</f>
        <v>0</v>
      </c>
      <c r="P35" s="84">
        <f t="shared" ref="P35:P36" si="505">IF(Q35=0,0,IF(Q35&gt;0,IF($J35=12,Q35,IF($J35=11,Q35,IF($J35=10,Q35,0)))))</f>
        <v>0</v>
      </c>
      <c r="Q35" s="81">
        <f t="shared" si="415"/>
        <v>0</v>
      </c>
      <c r="R35" s="82">
        <f t="shared" ref="R35:R36" si="506">IF(V35=0,0,IF(V35&gt;0,IF($J35=3,V35,IF($J35=2,V35,IF($J35=1,V35,0)))))</f>
        <v>0</v>
      </c>
      <c r="S35" s="83">
        <f t="shared" ref="S35:S36" si="507">IF(V35=0,0,IF(V35&gt;0,IF($J35=6,V35,IF($J35=5,V35,IF($J35=4,V35,0)))))</f>
        <v>0</v>
      </c>
      <c r="T35" s="83">
        <f t="shared" ref="T35:T36" si="508">IF(V35=0,0,IF(V35&gt;0,IF($J35=9,V35,IF($J35=8,V35,IF($J35=7,V35,0)))))</f>
        <v>0</v>
      </c>
      <c r="U35" s="84">
        <f t="shared" ref="U35:U36" si="509">IF(V35=0,0,IF(V35&gt;0,IF($J35=12,V35,IF($J35=11,V35,IF($J35=10,V35,0)))))</f>
        <v>0</v>
      </c>
      <c r="V35" s="81">
        <f t="shared" si="420"/>
        <v>0</v>
      </c>
      <c r="W35" s="82">
        <f t="shared" ref="W35:W36" si="510">IF(AA35=0,0,IF(AA35&gt;0,IF($J35=3,AA35,IF($J35=2,AA35,IF($J35=1,AA35,0)))))</f>
        <v>0</v>
      </c>
      <c r="X35" s="83">
        <f t="shared" ref="X35:X36" si="511">IF(AA35=0,0,IF(AA35&gt;0,IF($J35=6,AA35,IF($J35=5,AA35,IF($J35=4,AA35,0)))))</f>
        <v>0</v>
      </c>
      <c r="Y35" s="83">
        <f t="shared" ref="Y35:Y36" si="512">IF(AA35=0,0,IF(AA35&gt;0,IF($J35=9,AA35,IF($J35=8,AA35,IF($J35=7,AA35,0)))))</f>
        <v>0</v>
      </c>
      <c r="Z35" s="84">
        <f t="shared" ref="Z35:Z36" si="513">IF(AA35=0,0,IF(AA35&gt;0,IF($J35=12,AA35,IF($J35=11,AA35,IF($J35=10,AA35,0)))))</f>
        <v>0</v>
      </c>
      <c r="AA35" s="81">
        <f t="shared" si="425"/>
        <v>0</v>
      </c>
      <c r="AB35" s="82">
        <f t="shared" ref="AB35:AB36" si="514">IF(AF35=0,0,IF(AF35&gt;0,IF($J35=3,AF35,IF($J35=2,AF35,IF($J35=1,AF35,0)))))</f>
        <v>0</v>
      </c>
      <c r="AC35" s="83">
        <f t="shared" ref="AC35:AC36" si="515">IF(AF35=0,0,IF(AF35&gt;0,IF($J35=6,AF35,IF($J35=5,AF35,IF($J35=4,AF35,0)))))</f>
        <v>0</v>
      </c>
      <c r="AD35" s="83">
        <f t="shared" ref="AD35:AD36" si="516">IF(AF35=0,0,IF(AF35&gt;0,IF($J35=9,AF35,IF($J35=8,AF35,IF($J35=7,AF35,0)))))</f>
        <v>0</v>
      </c>
      <c r="AE35" s="84">
        <f t="shared" ref="AE35:AE36" si="517">IF(AF35=0,0,IF(AF35&gt;0,IF($J35=12,AF35,IF($J35=11,AF35,IF($J35=10,AF35,0)))))</f>
        <v>0</v>
      </c>
      <c r="AF35" s="81">
        <f t="shared" si="430"/>
        <v>0</v>
      </c>
      <c r="AG35" s="82">
        <f t="shared" ref="AG35:AG36" si="518">IF(AK35=0,0,IF(AK35&gt;0,IF($J35=3,AK35,IF($J35=2,AK35,IF($J35=1,AK35,0)))))</f>
        <v>0</v>
      </c>
      <c r="AH35" s="83">
        <f t="shared" ref="AH35:AH36" si="519">IF(AK35=0,0,IF(AK35&gt;0,IF($J35=6,AK35,IF($J35=5,AK35,IF($J35=4,AK35,0)))))</f>
        <v>0</v>
      </c>
      <c r="AI35" s="83">
        <f t="shared" ref="AI35:AI36" si="520">IF(AK35=0,0,IF(AK35&gt;0,IF($J35=9,AK35,IF($J35=8,AK35,IF($J35=7,AK35,0)))))</f>
        <v>0</v>
      </c>
      <c r="AJ35" s="84">
        <f t="shared" ref="AJ35:AJ36" si="521">IF(AK35=0,0,IF(AK35&gt;0,IF($J35=12,AK35,IF($J35=11,AK35,IF($J35=10,AK35,0)))))</f>
        <v>0</v>
      </c>
      <c r="AK35" s="81">
        <f t="shared" si="435"/>
        <v>0</v>
      </c>
      <c r="AL35" s="82">
        <f t="shared" ref="AL35:AL36" si="522">IF(AP35=0,0,IF(AP35&gt;0,IF($J35=3,AP35,IF($J35=2,AP35,IF($J35=1,AP35,0)))))</f>
        <v>0</v>
      </c>
      <c r="AM35" s="83">
        <f t="shared" ref="AM35:AM36" si="523">IF(AP35=0,0,IF(AP35&gt;0,IF($J35=6,AP35,IF($J35=5,AP35,IF($J35=4,AP35,0)))))</f>
        <v>0</v>
      </c>
      <c r="AN35" s="83">
        <f t="shared" ref="AN35:AN36" si="524">IF(AP35=0,0,IF(AP35&gt;0,IF($J35=9,AP35,IF($J35=8,AP35,IF($J35=7,AP35,0)))))</f>
        <v>0</v>
      </c>
      <c r="AO35" s="84">
        <f t="shared" ref="AO35:AO36" si="525">IF(AP35=0,0,IF(AP35&gt;0,IF($J35=12,AP35,IF($J35=11,AP35,IF($J35=10,AP35,0)))))</f>
        <v>0</v>
      </c>
      <c r="AP35" s="81">
        <f t="shared" si="440"/>
        <v>0</v>
      </c>
      <c r="AQ35" s="82">
        <f t="shared" ref="AQ35:AQ36" si="526">IF(AU35=0,0,IF(AU35&gt;0,IF($J35=3,AU35,IF($J35=2,AU35,IF($J35=1,AU35,0)))))</f>
        <v>0</v>
      </c>
      <c r="AR35" s="83">
        <f t="shared" ref="AR35:AR36" si="527">IF(AU35=0,0,IF(AU35&gt;0,IF($J35=6,AU35,IF($J35=5,AU35,IF($J35=4,AU35,0)))))</f>
        <v>0</v>
      </c>
      <c r="AS35" s="83">
        <f t="shared" ref="AS35:AS36" si="528">IF(AU35=0,0,IF(AU35&gt;0,IF($J35=9,AU35,IF($J35=8,AU35,IF($J35=7,AU35,0)))))</f>
        <v>0</v>
      </c>
      <c r="AT35" s="84">
        <f t="shared" ref="AT35:AT36" si="529">IF(AU35=0,0,IF(AU35&gt;0,IF($J35=12,AU35,IF($J35=11,AU35,IF($J35=10,AU35,0)))))</f>
        <v>0</v>
      </c>
      <c r="AU35" s="81">
        <f t="shared" si="445"/>
        <v>0</v>
      </c>
      <c r="AV35" s="82">
        <f t="shared" ref="AV35:AV36" si="530">IF(AZ35=0,0,IF(AZ35&gt;0,IF($J35=3,AZ35,IF($J35=2,AZ35,IF($J35=1,AZ35,0)))))</f>
        <v>0</v>
      </c>
      <c r="AW35" s="83">
        <f t="shared" ref="AW35:AW36" si="531">IF(AZ35=0,0,IF(AZ35&gt;0,IF($J35=6,AZ35,IF($J35=5,AZ35,IF($J35=4,AZ35,0)))))</f>
        <v>0</v>
      </c>
      <c r="AX35" s="83">
        <f t="shared" ref="AX35:AX36" si="532">IF(AZ35=0,0,IF(AZ35&gt;0,IF($J35=9,AZ35,IF($J35=8,AZ35,IF($J35=7,AZ35,0)))))</f>
        <v>0</v>
      </c>
      <c r="AY35" s="84">
        <f t="shared" ref="AY35:AY36" si="533">IF(AZ35=0,0,IF(AZ35&gt;0,IF($J35=12,AZ35,IF($J35=11,AZ35,IF($J35=10,AZ35,0)))))</f>
        <v>0</v>
      </c>
      <c r="AZ35" s="81">
        <f t="shared" si="450"/>
        <v>0</v>
      </c>
      <c r="BA35" s="82">
        <f t="shared" si="451"/>
        <v>0</v>
      </c>
      <c r="BB35" s="83">
        <f t="shared" si="452"/>
        <v>0</v>
      </c>
      <c r="BC35" s="83">
        <f t="shared" si="453"/>
        <v>0</v>
      </c>
      <c r="BD35" s="84">
        <f t="shared" si="454"/>
        <v>0</v>
      </c>
      <c r="BE35" s="81">
        <f t="shared" si="455"/>
        <v>0</v>
      </c>
      <c r="BF35" s="1881"/>
      <c r="BG35" s="2005">
        <f t="shared" ref="BG35:BG36" si="534">IF(AND(BF35&lt;&gt;0,BF$5=$H35),$I35*$E35-BF35,IF(BG$5=$H35,$I35*$E35*(12-$J35+1)/12,0))</f>
        <v>0</v>
      </c>
      <c r="BH35" s="86">
        <f t="shared" ref="BH35:BH36" si="535">IF($H35&lt;&gt;BL$5,0,IF(BL35&gt;0,IF($J35=1,$E35*$I35/12*3,IF($J35=2,$E35*$I35/12*2,IF($J35=3,$E35*$I35/12*1,0)))))+IF(BG$5&lt;&gt;$H35,0,IF(BG35&gt;0,IF($J35=1,$E35*$I35/12*0,IF($J35=2,$E35*$I35/12*1,IF($J35=3,$E35*$I35/12*2,IF($J35&gt;=4,$E35*$I35/12*3,0))))))</f>
        <v>0</v>
      </c>
      <c r="BI35" s="87">
        <f t="shared" ref="BI35:BI36" si="536">IF($H35&lt;&gt;BL$5,0,IF(BL35&gt;0,IF(OR($J35=1,$J35=2,$J35=3,$J35=4),$E35*$I35/12*3,IF($J35=5,$E35*$I35/12*2,IF($J35=6,$E35*$I35/12*1,0)))))+IF(BG$5&lt;&gt;$H35,0,IF(BG35&gt;0,IF($J35=4,$E35*$I35/12*0,IF($J35=5,$E35*$I35/12*1,IF($J35=6,$E35*$I35/12*2,IF($J35&gt;=7,$E35*$I35/12*3,0))))))</f>
        <v>0</v>
      </c>
      <c r="BJ35" s="87">
        <f t="shared" ref="BJ35:BJ36" si="537">IF($H35&lt;&gt;BL$5,0,IF(BL35&gt;0,IF(OR($J35=1,$J35=2,$J35=3,$J35=4,$J35=5,$J35=6,$J35=7),$E35*$I35/12*3,IF($J35=8,$E35*$I35/12*2,IF($J35=9,$E35*$I35/12*1,0)))))+IF(BG$5&lt;&gt;$H35,0,IF(BG35&gt;0,IF($J35=7,$E35*$I35/12*0,IF($J35=8,$E35*$I35/12*1,IF($J35=9,$E35*$I35/12*2,IF($J35&gt;=10,$E35*$I35/12*3,0))))))</f>
        <v>0</v>
      </c>
      <c r="BK35" s="88">
        <f t="shared" ref="BK35:BK36" si="538">IF($H35&lt;&gt;BL$5,0,IF(BL35&gt;0,IF(OR($J35=1,$J35=2,$J35=3,$J35=4,$J35=5,$J35=6,$J35=7,$J35=8,$J35=9,$J35=10),$E35*$I35/12*3,IF($J35=11,$E35*$I35/12*2,IF($J35=12,$E35*$I35/12*1,0)))))+IF(BG$5&lt;&gt;$H35,0,IF(BG35&gt;0,IF($J35=10,$E35*$I35/12*0,IF($J35=11,$E35*$I35/12*1,IF($J35=12,$E35*$I35/12*2,0)))))</f>
        <v>0</v>
      </c>
      <c r="BL35" s="85">
        <f t="shared" ref="BL35:BL36" si="539">IF(AND(BG35&lt;&gt;0,BG$5=$H35),$I35*$E35-BG35,IF(BL$5=$H35,$I35*$E35*(12-$J35+1)/12,0))</f>
        <v>0</v>
      </c>
      <c r="BM35" s="86">
        <f t="shared" ref="BM35:BM36" si="540">IF($H35&lt;&gt;BQ$5,0,IF(BQ35&gt;0,IF($J35=1,$E35*$I35/12*3,IF($J35=2,$E35*$I35/12*2,IF($J35=3,$E35*$I35/12*1,0)))))+IF(BL$5&lt;&gt;$H35,0,IF(BL35&gt;0,IF($J35=1,$E35*$I35/12*0,IF($J35=2,$E35*$I35/12*1,IF($J35=3,$E35*$I35/12*2,IF($J35&gt;=4,$E35*$I35/12*3,0))))))</f>
        <v>0</v>
      </c>
      <c r="BN35" s="87">
        <f t="shared" ref="BN35:BN36" si="541">IF($H35&lt;&gt;BQ$5,0,IF(BQ35&gt;0,IF(OR($J35=1,$J35=2,$J35=3,$J35=4),$E35*$I35/12*3,IF($J35=5,$E35*$I35/12*2,IF($J35=6,$E35*$I35/12*1,0)))))+IF(BL$5&lt;&gt;$H35,0,IF(BL35&gt;0,IF($J35=4,$E35*$I35/12*0,IF($J35=5,$E35*$I35/12*1,IF($J35=6,$E35*$I35/12*2,IF($J35&gt;=7,$E35*$I35/12*3,0))))))</f>
        <v>0</v>
      </c>
      <c r="BO35" s="87">
        <f t="shared" ref="BO35:BO36" si="542">IF($H35&lt;&gt;BQ$5,0,IF(BQ35&gt;0,IF(OR($J35=1,$J35=2,$J35=3,$J35=4,$J35=5,$J35=6,$J35=7),$E35*$I35/12*3,IF($J35=8,$E35*$I35/12*2,IF($J35=9,$E35*$I35/12*1,0)))))+IF(BL$5&lt;&gt;$H35,0,IF(BL35&gt;0,IF($J35=7,$E35*$I35/12*0,IF($J35=8,$E35*$I35/12*1,IF($J35=9,$E35*$I35/12*2,IF($J35&gt;=10,$E35*$I35/12*3,0))))))</f>
        <v>0</v>
      </c>
      <c r="BP35" s="88">
        <f t="shared" ref="BP35:BP36" si="543">IF($H35&lt;&gt;BQ$5,0,IF(BQ35&gt;0,IF(OR($J35=1,$J35=2,$J35=3,$J35=4,$J35=5,$J35=6,$J35=7,$J35=8,$J35=9,$J35=10),$E35*$I35/12*3,IF($J35=11,$E35*$I35/12*2,IF($J35=12,$E35*$I35/12*1,0)))))+IF(BL$5&lt;&gt;$H35,0,IF(BL35&gt;0,IF($J35=10,$E35*$I35/12*0,IF($J35=11,$E35*$I35/12*1,IF($J35=12,$E35*$I35/12*2,0)))))</f>
        <v>0</v>
      </c>
      <c r="BQ35" s="85">
        <f t="shared" ref="BQ35:BQ36" si="544">IF(AND(BL35&lt;&gt;0,BL$5=$H35),$I35*$E35-BL35,IF(BQ$5=$H35,$I35*$E35*(12-$J35+1)/12,0))</f>
        <v>0</v>
      </c>
      <c r="BR35" s="86">
        <f t="shared" ref="BR35:BR36" si="545">IF($H35&lt;&gt;BV$5,0,IF(BV35&gt;0,IF($J35=1,$E35*$I35/12*3,IF($J35=2,$E35*$I35/12*2,IF($J35=3,$E35*$I35/12*1,0)))))+IF(BQ$5&lt;&gt;$H35,0,IF(BQ35&gt;0,IF($J35=1,$E35*$I35/12*0,IF($J35=2,$E35*$I35/12*1,IF($J35=3,$E35*$I35/12*2,IF($J35&gt;=4,$E35*$I35/12*3,0))))))</f>
        <v>0</v>
      </c>
      <c r="BS35" s="87">
        <f t="shared" ref="BS35:BS36" si="546">IF($H35&lt;&gt;BV$5,0,IF(BV35&gt;0,IF(OR($J35=1,$J35=2,$J35=3,$J35=4),$E35*$I35/12*3,IF($J35=5,$E35*$I35/12*2,IF($J35=6,$E35*$I35/12*1,0)))))+IF(BQ$5&lt;&gt;$H35,0,IF(BQ35&gt;0,IF($J35=4,$E35*$I35/12*0,IF($J35=5,$E35*$I35/12*1,IF($J35=6,$E35*$I35/12*2,IF($J35&gt;=7,$E35*$I35/12*3,0))))))</f>
        <v>0</v>
      </c>
      <c r="BT35" s="87">
        <f t="shared" ref="BT35:BT36" si="547">IF($H35&lt;&gt;BV$5,0,IF(BV35&gt;0,IF(OR($J35=1,$J35=2,$J35=3,$J35=4,$J35=5,$J35=6,$J35=7),$E35*$I35/12*3,IF($J35=8,$E35*$I35/12*2,IF($J35=9,$E35*$I35/12*1,0)))))+IF(BQ$5&lt;&gt;$H35,0,IF(BQ35&gt;0,IF($J35=7,$E35*$I35/12*0,IF($J35=8,$E35*$I35/12*1,IF($J35=9,$E35*$I35/12*2,IF($J35&gt;=10,$E35*$I35/12*3,0))))))</f>
        <v>0</v>
      </c>
      <c r="BU35" s="88">
        <f t="shared" ref="BU35:BU36" si="548">IF($H35&lt;&gt;BV$5,0,IF(BV35&gt;0,IF(OR($J35=1,$J35=2,$J35=3,$J35=4,$J35=5,$J35=6,$J35=7,$J35=8,$J35=9,$J35=10),$E35*$I35/12*3,IF($J35=11,$E35*$I35/12*2,IF($J35=12,$E35*$I35/12*1,0)))))+IF(BQ$5&lt;&gt;$H35,0,IF(BQ35&gt;0,IF($J35=10,$E35*$I35/12*0,IF($J35=11,$E35*$I35/12*1,IF($J35=12,$E35*$I35/12*2,0)))))</f>
        <v>0</v>
      </c>
      <c r="BV35" s="85">
        <f t="shared" ref="BV35:BV36" si="549">IF(AND(BQ35&lt;&gt;0,BQ$5=$H35),$I35*$E35-BQ35,IF(BV$5=$H35,$I35*$E35*(12-$J35+1)/12,0))</f>
        <v>0</v>
      </c>
      <c r="BW35" s="86">
        <f t="shared" ref="BW35:BW36" si="550">IF($H35&lt;&gt;CA$5,0,IF(CA35&gt;0,IF($J35=1,$E35*$I35/12*3,IF($J35=2,$E35*$I35/12*2,IF($J35=3,$E35*$I35/12*1,0)))))+IF(BV$5&lt;&gt;$H35,0,IF(BV35&gt;0,IF($J35=1,$E35*$I35/12*0,IF($J35=2,$E35*$I35/12*1,IF($J35=3,$E35*$I35/12*2,IF($J35&gt;=4,$E35*$I35/12*3,0))))))</f>
        <v>0</v>
      </c>
      <c r="BX35" s="87">
        <f t="shared" ref="BX35:BX36" si="551">IF($H35&lt;&gt;CA$5,0,IF(CA35&gt;0,IF(OR($J35=1,$J35=2,$J35=3,$J35=4),$E35*$I35/12*3,IF($J35=5,$E35*$I35/12*2,IF($J35=6,$E35*$I35/12*1,0)))))+IF(BV$5&lt;&gt;$H35,0,IF(BV35&gt;0,IF($J35=4,$E35*$I35/12*0,IF($J35=5,$E35*$I35/12*1,IF($J35=6,$E35*$I35/12*2,IF($J35&gt;=7,$E35*$I35/12*3,0))))))</f>
        <v>0</v>
      </c>
      <c r="BY35" s="87">
        <f t="shared" ref="BY35:BY36" si="552">IF($H35&lt;&gt;CA$5,0,IF(CA35&gt;0,IF(OR($J35=1,$J35=2,$J35=3,$J35=4,$J35=5,$J35=6,$J35=7),$E35*$I35/12*3,IF($J35=8,$E35*$I35/12*2,IF($J35=9,$E35*$I35/12*1,0)))))+IF(BV$5&lt;&gt;$H35,0,IF(BV35&gt;0,IF($J35=7,$E35*$I35/12*0,IF($J35=8,$E35*$I35/12*1,IF($J35=9,$E35*$I35/12*2,IF($J35&gt;=10,$E35*$I35/12*3,0))))))</f>
        <v>0</v>
      </c>
      <c r="BZ35" s="88">
        <f t="shared" ref="BZ35:BZ36" si="553">IF($H35&lt;&gt;CA$5,0,IF(CA35&gt;0,IF(OR($J35=1,$J35=2,$J35=3,$J35=4,$J35=5,$J35=6,$J35=7,$J35=8,$J35=9,$J35=10),$E35*$I35/12*3,IF($J35=11,$E35*$I35/12*2,IF($J35=12,$E35*$I35/12*1,0)))))+IF(BV$5&lt;&gt;$H35,0,IF(BV35&gt;0,IF($J35=10,$E35*$I35/12*0,IF($J35=11,$E35*$I35/12*1,IF($J35=12,$E35*$I35/12*2,0)))))</f>
        <v>0</v>
      </c>
      <c r="CA35" s="85">
        <f t="shared" ref="CA35:CA36" si="554">IF(AND(BV35&lt;&gt;0,BV$5=$H35),$I35*$E35-BV35,IF(CA$5=$H35,$I35*$E35*(12-$J35+1)/12,0))</f>
        <v>0</v>
      </c>
      <c r="CB35" s="86">
        <f t="shared" ref="CB35:CB36" si="555">IF($H35&lt;&gt;CF$5,0,IF(CF35&gt;0,IF($J35=1,$E35*$I35/12*3,IF($J35=2,$E35*$I35/12*2,IF($J35=3,$E35*$I35/12*1,0)))))+IF(CA$5&lt;&gt;$H35,0,IF(CA35&gt;0,IF($J35=1,$E35*$I35/12*0,IF($J35=2,$E35*$I35/12*1,IF($J35=3,$E35*$I35/12*2,IF($J35&gt;=4,$E35*$I35/12*3,0))))))</f>
        <v>0</v>
      </c>
      <c r="CC35" s="87">
        <f t="shared" ref="CC35:CC36" si="556">IF($H35&lt;&gt;CF$5,0,IF(CF35&gt;0,IF(OR($J35=1,$J35=2,$J35=3,$J35=4),$E35*$I35/12*3,IF($J35=5,$E35*$I35/12*2,IF($J35=6,$E35*$I35/12*1,0)))))+IF(CA$5&lt;&gt;$H35,0,IF(CA35&gt;0,IF($J35=4,$E35*$I35/12*0,IF($J35=5,$E35*$I35/12*1,IF($J35=6,$E35*$I35/12*2,IF($J35&gt;=7,$E35*$I35/12*3,0))))))</f>
        <v>0</v>
      </c>
      <c r="CD35" s="87">
        <f t="shared" ref="CD35:CD36" si="557">IF($H35&lt;&gt;CF$5,0,IF(CF35&gt;0,IF(OR($J35=1,$J35=2,$J35=3,$J35=4,$J35=5,$J35=6,$J35=7),$E35*$I35/12*3,IF($J35=8,$E35*$I35/12*2,IF($J35=9,$E35*$I35/12*1,0)))))+IF(CA$5&lt;&gt;$H35,0,IF(CA35&gt;0,IF($J35=7,$E35*$I35/12*0,IF($J35=8,$E35*$I35/12*1,IF($J35=9,$E35*$I35/12*2,IF($J35&gt;=10,$E35*$I35/12*3,0))))))</f>
        <v>0</v>
      </c>
      <c r="CE35" s="88">
        <f t="shared" ref="CE35:CE36" si="558">IF($H35&lt;&gt;CF$5,0,IF(CF35&gt;0,IF(OR($J35=1,$J35=2,$J35=3,$J35=4,$J35=5,$J35=6,$J35=7,$J35=8,$J35=9,$J35=10),$E35*$I35/12*3,IF($J35=11,$E35*$I35/12*2,IF($J35=12,$E35*$I35/12*1,0)))))+IF(CA$5&lt;&gt;$H35,0,IF(CA35&gt;0,IF($J35=10,$E35*$I35/12*0,IF($J35=11,$E35*$I35/12*1,IF($J35=12,$E35*$I35/12*2,0)))))</f>
        <v>0</v>
      </c>
      <c r="CF35" s="85">
        <f t="shared" ref="CF35:CF36" si="559">IF(AND(CA35&lt;&gt;0,CA$5=$H35),$I35*$E35-CA35,IF(CF$5=$H35,$I35*$E35*(12-$J35+1)/12,0))</f>
        <v>0</v>
      </c>
      <c r="CG35" s="86">
        <f t="shared" ref="CG35:CG36" si="560">IF($H35&lt;&gt;CK$5,0,IF(CK35&gt;0,IF($J35=1,$E35*$I35/12*3,IF($J35=2,$E35*$I35/12*2,IF($J35=3,$E35*$I35/12*1,0)))))+IF(CF$5&lt;&gt;$H35,0,IF(CF35&gt;0,IF($J35=1,$E35*$I35/12*0,IF($J35=2,$E35*$I35/12*1,IF($J35=3,$E35*$I35/12*2,IF($J35&gt;=4,$E35*$I35/12*3,0))))))</f>
        <v>0</v>
      </c>
      <c r="CH35" s="87">
        <f t="shared" ref="CH35:CH36" si="561">IF($H35&lt;&gt;CK$5,0,IF(CK35&gt;0,IF(OR($J35=1,$J35=2,$J35=3,$J35=4),$E35*$I35/12*3,IF($J35=5,$E35*$I35/12*2,IF($J35=6,$E35*$I35/12*1,0)))))+IF(CF$5&lt;&gt;$H35,0,IF(CF35&gt;0,IF($J35=4,$E35*$I35/12*0,IF($J35=5,$E35*$I35/12*1,IF($J35=6,$E35*$I35/12*2,IF($J35&gt;=7,$E35*$I35/12*3,0))))))</f>
        <v>0</v>
      </c>
      <c r="CI35" s="87">
        <f t="shared" ref="CI35:CI36" si="562">IF($H35&lt;&gt;CK$5,0,IF(CK35&gt;0,IF(OR($J35=1,$J35=2,$J35=3,$J35=4,$J35=5,$J35=6,$J35=7),$E35*$I35/12*3,IF($J35=8,$E35*$I35/12*2,IF($J35=9,$E35*$I35/12*1,0)))))+IF(CF$5&lt;&gt;$H35,0,IF(CF35&gt;0,IF($J35=7,$E35*$I35/12*0,IF($J35=8,$E35*$I35/12*1,IF($J35=9,$E35*$I35/12*2,IF($J35&gt;=10,$E35*$I35/12*3,0))))))</f>
        <v>0</v>
      </c>
      <c r="CJ35" s="88">
        <f t="shared" ref="CJ35:CJ36" si="563">IF($H35&lt;&gt;CK$5,0,IF(CK35&gt;0,IF(OR($J35=1,$J35=2,$J35=3,$J35=4,$J35=5,$J35=6,$J35=7,$J35=8,$J35=9,$J35=10),$E35*$I35/12*3,IF($J35=11,$E35*$I35/12*2,IF($J35=12,$E35*$I35/12*1,0)))))+IF(CF$5&lt;&gt;$H35,0,IF(CF35&gt;0,IF($J35=10,$E35*$I35/12*0,IF($J35=11,$E35*$I35/12*1,IF($J35=12,$E35*$I35/12*2,0)))))</f>
        <v>0</v>
      </c>
      <c r="CK35" s="85">
        <f t="shared" ref="CK35:CK36" si="564">IF(AND(CF35&lt;&gt;0,CF$5=$H35),$I35*$E35-CF35,IF(CK$5=$H35,$I35*$E35*(12-$J35+1)/12,0))</f>
        <v>0</v>
      </c>
      <c r="CL35" s="86">
        <f t="shared" ref="CL35:CL36" si="565">IF($H35&lt;&gt;CP$5,0,IF(CP35&gt;0,IF($J35=1,$E35*$I35/12*3,IF($J35=2,$E35*$I35/12*2,IF($J35=3,$E35*$I35/12*1,0)))))+IF(CK$5&lt;&gt;$H35,0,IF(CK35&gt;0,IF($J35=1,$E35*$I35/12*0,IF($J35=2,$E35*$I35/12*1,IF($J35=3,$E35*$I35/12*2,IF($J35&gt;=4,$E35*$I35/12*3,0))))))</f>
        <v>0</v>
      </c>
      <c r="CM35" s="87">
        <f t="shared" ref="CM35:CM36" si="566">IF($H35&lt;&gt;CP$5,0,IF(CP35&gt;0,IF(OR($J35=1,$J35=2,$J35=3,$J35=4),$E35*$I35/12*3,IF($J35=5,$E35*$I35/12*2,IF($J35=6,$E35*$I35/12*1,0)))))+IF(CK$5&lt;&gt;$H35,0,IF(CK35&gt;0,IF($J35=4,$E35*$I35/12*0,IF($J35=5,$E35*$I35/12*1,IF($J35=6,$E35*$I35/12*2,IF($J35&gt;=7,$E35*$I35/12*3,0))))))</f>
        <v>0</v>
      </c>
      <c r="CN35" s="87">
        <f t="shared" ref="CN35:CN36" si="567">IF($H35&lt;&gt;CP$5,0,IF(CP35&gt;0,IF(OR($J35=1,$J35=2,$J35=3,$J35=4,$J35=5,$J35=6,$J35=7),$E35*$I35/12*3,IF($J35=8,$E35*$I35/12*2,IF($J35=9,$E35*$I35/12*1,0)))))+IF(CK$5&lt;&gt;$H35,0,IF(CK35&gt;0,IF($J35=7,$E35*$I35/12*0,IF($J35=8,$E35*$I35/12*1,IF($J35=9,$E35*$I35/12*2,IF($J35&gt;=10,$E35*$I35/12*3,0))))))</f>
        <v>0</v>
      </c>
      <c r="CO35" s="88">
        <f t="shared" ref="CO35:CO36" si="568">IF($H35&lt;&gt;CP$5,0,IF(CP35&gt;0,IF(OR($J35=1,$J35=2,$J35=3,$J35=4,$J35=5,$J35=6,$J35=7,$J35=8,$J35=9,$J35=10),$E35*$I35/12*3,IF($J35=11,$E35*$I35/12*2,IF($J35=12,$E35*$I35/12*1,0)))))+IF(CK$5&lt;&gt;$H35,0,IF(CK35&gt;0,IF($J35=10,$E35*$I35/12*0,IF($J35=11,$E35*$I35/12*1,IF($J35=12,$E35*$I35/12*2,0)))))</f>
        <v>0</v>
      </c>
      <c r="CP35" s="85">
        <f t="shared" ref="CP35:CP36" si="569">IF(AND(CK35&lt;&gt;0,CK$5=$H35),$I35*$E35-CK35,IF(CP$5=$H35,$I35*$E35*(12-$J35+1)/12,0))</f>
        <v>0</v>
      </c>
      <c r="CQ35" s="86">
        <f t="shared" ref="CQ35:CQ36" si="570">IF($H35&lt;&gt;CU$5,0,IF(CU35&gt;0,IF($J35=1,$E35*$I35/12*3,IF($J35=2,$E35*$I35/12*2,IF($J35=3,$E35*$I35/12*1,0)))))+IF(CP$5&lt;&gt;$H35,0,IF(CP35&gt;0,IF($J35=1,$E35*$I35/12*0,IF($J35=2,$E35*$I35/12*1,IF($J35=3,$E35*$I35/12*2,IF($J35&gt;=4,$E35*$I35/12*3,0))))))</f>
        <v>0</v>
      </c>
      <c r="CR35" s="87">
        <f t="shared" ref="CR35:CR36" si="571">IF($H35&lt;&gt;CU$5,0,IF(CU35&gt;0,IF(OR($J35=1,$J35=2,$J35=3,$J35=4),$E35*$I35/12*3,IF($J35=5,$E35*$I35/12*2,IF($J35=6,$E35*$I35/12*1,0)))))+IF(CP$5&lt;&gt;$H35,0,IF(CP35&gt;0,IF($J35=4,$E35*$I35/12*0,IF($J35=5,$E35*$I35/12*1,IF($J35=6,$E35*$I35/12*2,IF($J35&gt;=7,$E35*$I35/12*3,0))))))</f>
        <v>0</v>
      </c>
      <c r="CS35" s="87">
        <f t="shared" ref="CS35:CS36" si="572">IF($H35&lt;&gt;CU$5,0,IF(CU35&gt;0,IF(OR($J35=1,$J35=2,$J35=3,$J35=4,$J35=5,$J35=6,$J35=7),$E35*$I35/12*3,IF($J35=8,$E35*$I35/12*2,IF($J35=9,$E35*$I35/12*1,0)))))+IF(CP$5&lt;&gt;$H35,0,IF(CP35&gt;0,IF($J35=7,$E35*$I35/12*0,IF($J35=8,$E35*$I35/12*1,IF($J35=9,$E35*$I35/12*2,IF($J35&gt;=10,$E35*$I35/12*3,0))))))</f>
        <v>0</v>
      </c>
      <c r="CT35" s="88">
        <f t="shared" ref="CT35:CT36" si="573">IF($H35&lt;&gt;CU$5,0,IF(CU35&gt;0,IF(OR($J35=1,$J35=2,$J35=3,$J35=4,$J35=5,$J35=6,$J35=7,$J35=8,$J35=9,$J35=10),$E35*$I35/12*3,IF($J35=11,$E35*$I35/12*2,IF($J35=12,$E35*$I35/12*1,0)))))+IF(CP$5&lt;&gt;$H35,0,IF(CP35&gt;0,IF($J35=10,$E35*$I35/12*0,IF($J35=11,$E35*$I35/12*1,IF($J35=12,$E35*$I35/12*2,0)))))</f>
        <v>0</v>
      </c>
      <c r="CU35" s="85">
        <f t="shared" ref="CU35:CU36" si="574">IF(AND(CP35&lt;&gt;0,CP$5=$H35),$I35*$E35-CP35,IF(CU$5=$H35,$I35*$E35*(12-$J35+1)/12,0))</f>
        <v>0</v>
      </c>
      <c r="CV35" s="86">
        <f t="shared" si="497"/>
        <v>0</v>
      </c>
      <c r="CW35" s="87">
        <f t="shared" si="498"/>
        <v>0</v>
      </c>
      <c r="CX35" s="87">
        <f t="shared" si="499"/>
        <v>0</v>
      </c>
      <c r="CY35" s="88">
        <f t="shared" si="500"/>
        <v>0</v>
      </c>
      <c r="CZ35" s="85">
        <f t="shared" si="501"/>
        <v>0</v>
      </c>
    </row>
    <row r="36" spans="1:104" ht="12.75" customHeight="1">
      <c r="A36" s="4"/>
      <c r="B36" s="4"/>
      <c r="C36" s="1999" t="s">
        <v>1372</v>
      </c>
      <c r="D36" s="146"/>
      <c r="E36" s="147">
        <f>Parent!BL48</f>
        <v>1450</v>
      </c>
      <c r="F36" s="326"/>
      <c r="G36" s="326"/>
      <c r="H36" s="171">
        <v>2020</v>
      </c>
      <c r="I36" s="172">
        <v>0.05</v>
      </c>
      <c r="J36" s="171">
        <v>7</v>
      </c>
      <c r="K36" s="80"/>
      <c r="L36" s="81">
        <f t="shared" si="410"/>
        <v>0</v>
      </c>
      <c r="M36" s="82">
        <f t="shared" si="502"/>
        <v>0</v>
      </c>
      <c r="N36" s="83">
        <f t="shared" si="503"/>
        <v>0</v>
      </c>
      <c r="O36" s="83">
        <f t="shared" si="504"/>
        <v>0</v>
      </c>
      <c r="P36" s="84">
        <f t="shared" si="505"/>
        <v>0</v>
      </c>
      <c r="Q36" s="81">
        <f t="shared" si="415"/>
        <v>0</v>
      </c>
      <c r="R36" s="82">
        <f t="shared" si="506"/>
        <v>0</v>
      </c>
      <c r="S36" s="83">
        <f t="shared" si="507"/>
        <v>0</v>
      </c>
      <c r="T36" s="83">
        <f t="shared" si="508"/>
        <v>0</v>
      </c>
      <c r="U36" s="84">
        <f t="shared" si="509"/>
        <v>0</v>
      </c>
      <c r="V36" s="81">
        <f t="shared" si="420"/>
        <v>0</v>
      </c>
      <c r="W36" s="82">
        <f t="shared" si="510"/>
        <v>0</v>
      </c>
      <c r="X36" s="83">
        <f t="shared" si="511"/>
        <v>0</v>
      </c>
      <c r="Y36" s="83">
        <f t="shared" si="512"/>
        <v>0</v>
      </c>
      <c r="Z36" s="84">
        <f t="shared" si="513"/>
        <v>0</v>
      </c>
      <c r="AA36" s="81">
        <f t="shared" si="425"/>
        <v>0</v>
      </c>
      <c r="AB36" s="82">
        <f t="shared" si="514"/>
        <v>0</v>
      </c>
      <c r="AC36" s="83">
        <f t="shared" si="515"/>
        <v>0</v>
      </c>
      <c r="AD36" s="83">
        <f t="shared" si="516"/>
        <v>0</v>
      </c>
      <c r="AE36" s="84">
        <f t="shared" si="517"/>
        <v>0</v>
      </c>
      <c r="AF36" s="81">
        <f t="shared" si="430"/>
        <v>0</v>
      </c>
      <c r="AG36" s="82">
        <f t="shared" si="518"/>
        <v>0</v>
      </c>
      <c r="AH36" s="83">
        <f t="shared" si="519"/>
        <v>0</v>
      </c>
      <c r="AI36" s="83">
        <f t="shared" si="520"/>
        <v>0</v>
      </c>
      <c r="AJ36" s="84">
        <f t="shared" si="521"/>
        <v>0</v>
      </c>
      <c r="AK36" s="81">
        <f t="shared" si="435"/>
        <v>0</v>
      </c>
      <c r="AL36" s="82">
        <f t="shared" si="522"/>
        <v>0</v>
      </c>
      <c r="AM36" s="83">
        <f t="shared" si="523"/>
        <v>0</v>
      </c>
      <c r="AN36" s="83">
        <f t="shared" si="524"/>
        <v>0</v>
      </c>
      <c r="AO36" s="84">
        <f t="shared" si="525"/>
        <v>0</v>
      </c>
      <c r="AP36" s="81">
        <f t="shared" si="440"/>
        <v>0</v>
      </c>
      <c r="AQ36" s="82">
        <f t="shared" si="526"/>
        <v>0</v>
      </c>
      <c r="AR36" s="83">
        <f t="shared" si="527"/>
        <v>0</v>
      </c>
      <c r="AS36" s="83">
        <f t="shared" si="528"/>
        <v>0</v>
      </c>
      <c r="AT36" s="84">
        <f t="shared" si="529"/>
        <v>0</v>
      </c>
      <c r="AU36" s="81">
        <f t="shared" si="445"/>
        <v>0</v>
      </c>
      <c r="AV36" s="82">
        <f t="shared" si="530"/>
        <v>0</v>
      </c>
      <c r="AW36" s="83">
        <f t="shared" si="531"/>
        <v>0</v>
      </c>
      <c r="AX36" s="83">
        <f t="shared" si="532"/>
        <v>1450</v>
      </c>
      <c r="AY36" s="84">
        <f t="shared" si="533"/>
        <v>0</v>
      </c>
      <c r="AZ36" s="81">
        <f t="shared" si="450"/>
        <v>1450</v>
      </c>
      <c r="BA36" s="82">
        <f t="shared" si="451"/>
        <v>0</v>
      </c>
      <c r="BB36" s="83">
        <f t="shared" si="452"/>
        <v>0</v>
      </c>
      <c r="BC36" s="83">
        <f t="shared" si="453"/>
        <v>0</v>
      </c>
      <c r="BD36" s="84">
        <f t="shared" si="454"/>
        <v>0</v>
      </c>
      <c r="BE36" s="81">
        <f t="shared" si="455"/>
        <v>0</v>
      </c>
      <c r="BF36" s="1881"/>
      <c r="BG36" s="2005">
        <f t="shared" si="534"/>
        <v>0</v>
      </c>
      <c r="BH36" s="86">
        <f t="shared" si="535"/>
        <v>0</v>
      </c>
      <c r="BI36" s="87">
        <f t="shared" si="536"/>
        <v>0</v>
      </c>
      <c r="BJ36" s="87">
        <f t="shared" si="537"/>
        <v>0</v>
      </c>
      <c r="BK36" s="88">
        <f t="shared" si="538"/>
        <v>0</v>
      </c>
      <c r="BL36" s="85">
        <f t="shared" si="539"/>
        <v>0</v>
      </c>
      <c r="BM36" s="86">
        <f t="shared" si="540"/>
        <v>0</v>
      </c>
      <c r="BN36" s="87">
        <f t="shared" si="541"/>
        <v>0</v>
      </c>
      <c r="BO36" s="87">
        <f t="shared" si="542"/>
        <v>0</v>
      </c>
      <c r="BP36" s="88">
        <f t="shared" si="543"/>
        <v>0</v>
      </c>
      <c r="BQ36" s="85">
        <f t="shared" si="544"/>
        <v>0</v>
      </c>
      <c r="BR36" s="86">
        <f t="shared" si="545"/>
        <v>0</v>
      </c>
      <c r="BS36" s="87">
        <f t="shared" si="546"/>
        <v>0</v>
      </c>
      <c r="BT36" s="87">
        <f t="shared" si="547"/>
        <v>0</v>
      </c>
      <c r="BU36" s="88">
        <f t="shared" si="548"/>
        <v>0</v>
      </c>
      <c r="BV36" s="85">
        <f t="shared" si="549"/>
        <v>0</v>
      </c>
      <c r="BW36" s="86">
        <f t="shared" si="550"/>
        <v>0</v>
      </c>
      <c r="BX36" s="87">
        <f t="shared" si="551"/>
        <v>0</v>
      </c>
      <c r="BY36" s="87">
        <f t="shared" si="552"/>
        <v>0</v>
      </c>
      <c r="BZ36" s="88">
        <f t="shared" si="553"/>
        <v>0</v>
      </c>
      <c r="CA36" s="85">
        <f t="shared" si="554"/>
        <v>0</v>
      </c>
      <c r="CB36" s="86">
        <f t="shared" si="555"/>
        <v>0</v>
      </c>
      <c r="CC36" s="87">
        <f t="shared" si="556"/>
        <v>0</v>
      </c>
      <c r="CD36" s="87">
        <f t="shared" si="557"/>
        <v>0</v>
      </c>
      <c r="CE36" s="88">
        <f t="shared" si="558"/>
        <v>0</v>
      </c>
      <c r="CF36" s="85">
        <f t="shared" si="559"/>
        <v>0</v>
      </c>
      <c r="CG36" s="86">
        <f t="shared" si="560"/>
        <v>0</v>
      </c>
      <c r="CH36" s="87">
        <f t="shared" si="561"/>
        <v>0</v>
      </c>
      <c r="CI36" s="87">
        <f t="shared" si="562"/>
        <v>0</v>
      </c>
      <c r="CJ36" s="88">
        <f t="shared" si="563"/>
        <v>0</v>
      </c>
      <c r="CK36" s="85">
        <f t="shared" si="564"/>
        <v>0</v>
      </c>
      <c r="CL36" s="86">
        <f t="shared" si="565"/>
        <v>0</v>
      </c>
      <c r="CM36" s="87">
        <f t="shared" si="566"/>
        <v>0</v>
      </c>
      <c r="CN36" s="87">
        <f t="shared" si="567"/>
        <v>0</v>
      </c>
      <c r="CO36" s="88">
        <f t="shared" si="568"/>
        <v>0</v>
      </c>
      <c r="CP36" s="85">
        <f t="shared" si="569"/>
        <v>0</v>
      </c>
      <c r="CQ36" s="86">
        <f t="shared" si="570"/>
        <v>0</v>
      </c>
      <c r="CR36" s="87">
        <f t="shared" si="571"/>
        <v>0</v>
      </c>
      <c r="CS36" s="87">
        <f t="shared" si="572"/>
        <v>18.125</v>
      </c>
      <c r="CT36" s="88">
        <f t="shared" si="573"/>
        <v>18.125</v>
      </c>
      <c r="CU36" s="85">
        <f t="shared" si="574"/>
        <v>36.25</v>
      </c>
      <c r="CV36" s="86">
        <f t="shared" si="497"/>
        <v>18.125</v>
      </c>
      <c r="CW36" s="87">
        <f t="shared" si="498"/>
        <v>18.125</v>
      </c>
      <c r="CX36" s="87">
        <f t="shared" si="499"/>
        <v>0</v>
      </c>
      <c r="CY36" s="88">
        <f t="shared" si="500"/>
        <v>0</v>
      </c>
      <c r="CZ36" s="85">
        <f t="shared" si="501"/>
        <v>36.25</v>
      </c>
    </row>
    <row r="37" spans="1:104" ht="12.75" customHeight="1">
      <c r="A37" s="4"/>
      <c r="B37" s="4"/>
      <c r="C37" s="1999" t="s">
        <v>1521</v>
      </c>
      <c r="D37" s="146"/>
      <c r="E37" s="147">
        <f>Parent!BQ48</f>
        <v>1450</v>
      </c>
      <c r="F37" s="326"/>
      <c r="G37" s="326"/>
      <c r="H37" s="171">
        <v>2021</v>
      </c>
      <c r="I37" s="172">
        <v>0.05</v>
      </c>
      <c r="J37" s="171">
        <v>7</v>
      </c>
      <c r="K37" s="80"/>
      <c r="L37" s="81">
        <f t="shared" si="410"/>
        <v>0</v>
      </c>
      <c r="M37" s="82">
        <f t="shared" ref="M37" si="575">IF(Q37=0,0,IF(Q37&gt;0,IF($J37=3,Q37,IF($J37=2,Q37,IF($J37=1,Q37,0)))))</f>
        <v>0</v>
      </c>
      <c r="N37" s="83">
        <f t="shared" ref="N37" si="576">IF(Q37=0,0,IF(Q37&gt;0,IF($J37=6,Q37,IF($J37=5,Q37,IF($J37=4,Q37,0)))))</f>
        <v>0</v>
      </c>
      <c r="O37" s="83">
        <f t="shared" ref="O37" si="577">IF(Q37=0,0,IF(Q37&gt;0,IF($J37=9,Q37,IF($J37=8,Q37,IF($J37=7,Q37,0)))))</f>
        <v>0</v>
      </c>
      <c r="P37" s="84">
        <f t="shared" ref="P37" si="578">IF(Q37=0,0,IF(Q37&gt;0,IF($J37=12,Q37,IF($J37=11,Q37,IF($J37=10,Q37,0)))))</f>
        <v>0</v>
      </c>
      <c r="Q37" s="81">
        <f t="shared" si="415"/>
        <v>0</v>
      </c>
      <c r="R37" s="82">
        <f t="shared" ref="R37" si="579">IF(V37=0,0,IF(V37&gt;0,IF($J37=3,V37,IF($J37=2,V37,IF($J37=1,V37,0)))))</f>
        <v>0</v>
      </c>
      <c r="S37" s="83">
        <f t="shared" ref="S37" si="580">IF(V37=0,0,IF(V37&gt;0,IF($J37=6,V37,IF($J37=5,V37,IF($J37=4,V37,0)))))</f>
        <v>0</v>
      </c>
      <c r="T37" s="83">
        <f t="shared" ref="T37" si="581">IF(V37=0,0,IF(V37&gt;0,IF($J37=9,V37,IF($J37=8,V37,IF($J37=7,V37,0)))))</f>
        <v>0</v>
      </c>
      <c r="U37" s="84">
        <f t="shared" ref="U37" si="582">IF(V37=0,0,IF(V37&gt;0,IF($J37=12,V37,IF($J37=11,V37,IF($J37=10,V37,0)))))</f>
        <v>0</v>
      </c>
      <c r="V37" s="81">
        <f t="shared" si="420"/>
        <v>0</v>
      </c>
      <c r="W37" s="82">
        <f t="shared" ref="W37" si="583">IF(AA37=0,0,IF(AA37&gt;0,IF($J37=3,AA37,IF($J37=2,AA37,IF($J37=1,AA37,0)))))</f>
        <v>0</v>
      </c>
      <c r="X37" s="83">
        <f t="shared" ref="X37" si="584">IF(AA37=0,0,IF(AA37&gt;0,IF($J37=6,AA37,IF($J37=5,AA37,IF($J37=4,AA37,0)))))</f>
        <v>0</v>
      </c>
      <c r="Y37" s="83">
        <f t="shared" ref="Y37" si="585">IF(AA37=0,0,IF(AA37&gt;0,IF($J37=9,AA37,IF($J37=8,AA37,IF($J37=7,AA37,0)))))</f>
        <v>0</v>
      </c>
      <c r="Z37" s="84">
        <f t="shared" ref="Z37" si="586">IF(AA37=0,0,IF(AA37&gt;0,IF($J37=12,AA37,IF($J37=11,AA37,IF($J37=10,AA37,0)))))</f>
        <v>0</v>
      </c>
      <c r="AA37" s="81">
        <f t="shared" si="425"/>
        <v>0</v>
      </c>
      <c r="AB37" s="82">
        <f t="shared" ref="AB37" si="587">IF(AF37=0,0,IF(AF37&gt;0,IF($J37=3,AF37,IF($J37=2,AF37,IF($J37=1,AF37,0)))))</f>
        <v>0</v>
      </c>
      <c r="AC37" s="83">
        <f t="shared" ref="AC37" si="588">IF(AF37=0,0,IF(AF37&gt;0,IF($J37=6,AF37,IF($J37=5,AF37,IF($J37=4,AF37,0)))))</f>
        <v>0</v>
      </c>
      <c r="AD37" s="83">
        <f t="shared" ref="AD37" si="589">IF(AF37=0,0,IF(AF37&gt;0,IF($J37=9,AF37,IF($J37=8,AF37,IF($J37=7,AF37,0)))))</f>
        <v>0</v>
      </c>
      <c r="AE37" s="84">
        <f t="shared" ref="AE37" si="590">IF(AF37=0,0,IF(AF37&gt;0,IF($J37=12,AF37,IF($J37=11,AF37,IF($J37=10,AF37,0)))))</f>
        <v>0</v>
      </c>
      <c r="AF37" s="81">
        <f t="shared" si="430"/>
        <v>0</v>
      </c>
      <c r="AG37" s="82">
        <f t="shared" ref="AG37" si="591">IF(AK37=0,0,IF(AK37&gt;0,IF($J37=3,AK37,IF($J37=2,AK37,IF($J37=1,AK37,0)))))</f>
        <v>0</v>
      </c>
      <c r="AH37" s="83">
        <f t="shared" ref="AH37" si="592">IF(AK37=0,0,IF(AK37&gt;0,IF($J37=6,AK37,IF($J37=5,AK37,IF($J37=4,AK37,0)))))</f>
        <v>0</v>
      </c>
      <c r="AI37" s="83">
        <f t="shared" ref="AI37" si="593">IF(AK37=0,0,IF(AK37&gt;0,IF($J37=9,AK37,IF($J37=8,AK37,IF($J37=7,AK37,0)))))</f>
        <v>0</v>
      </c>
      <c r="AJ37" s="84">
        <f t="shared" ref="AJ37" si="594">IF(AK37=0,0,IF(AK37&gt;0,IF($J37=12,AK37,IF($J37=11,AK37,IF($J37=10,AK37,0)))))</f>
        <v>0</v>
      </c>
      <c r="AK37" s="81">
        <f t="shared" si="435"/>
        <v>0</v>
      </c>
      <c r="AL37" s="82">
        <f t="shared" ref="AL37" si="595">IF(AP37=0,0,IF(AP37&gt;0,IF($J37=3,AP37,IF($J37=2,AP37,IF($J37=1,AP37,0)))))</f>
        <v>0</v>
      </c>
      <c r="AM37" s="83">
        <f t="shared" ref="AM37" si="596">IF(AP37=0,0,IF(AP37&gt;0,IF($J37=6,AP37,IF($J37=5,AP37,IF($J37=4,AP37,0)))))</f>
        <v>0</v>
      </c>
      <c r="AN37" s="83">
        <f t="shared" ref="AN37" si="597">IF(AP37=0,0,IF(AP37&gt;0,IF($J37=9,AP37,IF($J37=8,AP37,IF($J37=7,AP37,0)))))</f>
        <v>0</v>
      </c>
      <c r="AO37" s="84">
        <f t="shared" ref="AO37" si="598">IF(AP37=0,0,IF(AP37&gt;0,IF($J37=12,AP37,IF($J37=11,AP37,IF($J37=10,AP37,0)))))</f>
        <v>0</v>
      </c>
      <c r="AP37" s="81">
        <f t="shared" si="440"/>
        <v>0</v>
      </c>
      <c r="AQ37" s="82">
        <f t="shared" ref="AQ37" si="599">IF(AU37=0,0,IF(AU37&gt;0,IF($J37=3,AU37,IF($J37=2,AU37,IF($J37=1,AU37,0)))))</f>
        <v>0</v>
      </c>
      <c r="AR37" s="83">
        <f t="shared" ref="AR37" si="600">IF(AU37=0,0,IF(AU37&gt;0,IF($J37=6,AU37,IF($J37=5,AU37,IF($J37=4,AU37,0)))))</f>
        <v>0</v>
      </c>
      <c r="AS37" s="83">
        <f t="shared" ref="AS37" si="601">IF(AU37=0,0,IF(AU37&gt;0,IF($J37=9,AU37,IF($J37=8,AU37,IF($J37=7,AU37,0)))))</f>
        <v>0</v>
      </c>
      <c r="AT37" s="84">
        <f t="shared" ref="AT37" si="602">IF(AU37=0,0,IF(AU37&gt;0,IF($J37=12,AU37,IF($J37=11,AU37,IF($J37=10,AU37,0)))))</f>
        <v>0</v>
      </c>
      <c r="AU37" s="81">
        <f t="shared" si="445"/>
        <v>0</v>
      </c>
      <c r="AV37" s="82">
        <f t="shared" ref="AV37" si="603">IF(AZ37=0,0,IF(AZ37&gt;0,IF($J37=3,AZ37,IF($J37=2,AZ37,IF($J37=1,AZ37,0)))))</f>
        <v>0</v>
      </c>
      <c r="AW37" s="83">
        <f t="shared" ref="AW37" si="604">IF(AZ37=0,0,IF(AZ37&gt;0,IF($J37=6,AZ37,IF($J37=5,AZ37,IF($J37=4,AZ37,0)))))</f>
        <v>0</v>
      </c>
      <c r="AX37" s="83">
        <f t="shared" ref="AX37" si="605">IF(AZ37=0,0,IF(AZ37&gt;0,IF($J37=9,AZ37,IF($J37=8,AZ37,IF($J37=7,AZ37,0)))))</f>
        <v>0</v>
      </c>
      <c r="AY37" s="84">
        <f t="shared" ref="AY37" si="606">IF(AZ37=0,0,IF(AZ37&gt;0,IF($J37=12,AZ37,IF($J37=11,AZ37,IF($J37=10,AZ37,0)))))</f>
        <v>0</v>
      </c>
      <c r="AZ37" s="81">
        <f t="shared" si="450"/>
        <v>0</v>
      </c>
      <c r="BA37" s="82">
        <f t="shared" si="451"/>
        <v>0</v>
      </c>
      <c r="BB37" s="83">
        <f t="shared" si="452"/>
        <v>0</v>
      </c>
      <c r="BC37" s="83">
        <f t="shared" si="453"/>
        <v>1450</v>
      </c>
      <c r="BD37" s="84">
        <f t="shared" si="454"/>
        <v>0</v>
      </c>
      <c r="BE37" s="81">
        <f t="shared" si="455"/>
        <v>1450</v>
      </c>
      <c r="BF37" s="1881"/>
      <c r="BG37" s="2005">
        <f t="shared" ref="BG37" si="607">IF(AND(BF37&lt;&gt;0,BF$5=$H37),$I37*$E37-BF37,IF(BG$5=$H37,$I37*$E37*(12-$J37+1)/12,0))</f>
        <v>0</v>
      </c>
      <c r="BH37" s="86">
        <f t="shared" ref="BH37" si="608">IF($H37&lt;&gt;BL$5,0,IF(BL37&gt;0,IF($J37=1,$E37*$I37/12*3,IF($J37=2,$E37*$I37/12*2,IF($J37=3,$E37*$I37/12*1,0)))))+IF(BG$5&lt;&gt;$H37,0,IF(BG37&gt;0,IF($J37=1,$E37*$I37/12*0,IF($J37=2,$E37*$I37/12*1,IF($J37=3,$E37*$I37/12*2,IF($J37&gt;=4,$E37*$I37/12*3,0))))))</f>
        <v>0</v>
      </c>
      <c r="BI37" s="87">
        <f t="shared" ref="BI37" si="609">IF($H37&lt;&gt;BL$5,0,IF(BL37&gt;0,IF(OR($J37=1,$J37=2,$J37=3,$J37=4),$E37*$I37/12*3,IF($J37=5,$E37*$I37/12*2,IF($J37=6,$E37*$I37/12*1,0)))))+IF(BG$5&lt;&gt;$H37,0,IF(BG37&gt;0,IF($J37=4,$E37*$I37/12*0,IF($J37=5,$E37*$I37/12*1,IF($J37=6,$E37*$I37/12*2,IF($J37&gt;=7,$E37*$I37/12*3,0))))))</f>
        <v>0</v>
      </c>
      <c r="BJ37" s="87">
        <f t="shared" ref="BJ37" si="610">IF($H37&lt;&gt;BL$5,0,IF(BL37&gt;0,IF(OR($J37=1,$J37=2,$J37=3,$J37=4,$J37=5,$J37=6,$J37=7),$E37*$I37/12*3,IF($J37=8,$E37*$I37/12*2,IF($J37=9,$E37*$I37/12*1,0)))))+IF(BG$5&lt;&gt;$H37,0,IF(BG37&gt;0,IF($J37=7,$E37*$I37/12*0,IF($J37=8,$E37*$I37/12*1,IF($J37=9,$E37*$I37/12*2,IF($J37&gt;=10,$E37*$I37/12*3,0))))))</f>
        <v>0</v>
      </c>
      <c r="BK37" s="88">
        <f t="shared" ref="BK37" si="611">IF($H37&lt;&gt;BL$5,0,IF(BL37&gt;0,IF(OR($J37=1,$J37=2,$J37=3,$J37=4,$J37=5,$J37=6,$J37=7,$J37=8,$J37=9,$J37=10),$E37*$I37/12*3,IF($J37=11,$E37*$I37/12*2,IF($J37=12,$E37*$I37/12*1,0)))))+IF(BG$5&lt;&gt;$H37,0,IF(BG37&gt;0,IF($J37=10,$E37*$I37/12*0,IF($J37=11,$E37*$I37/12*1,IF($J37=12,$E37*$I37/12*2,0)))))</f>
        <v>0</v>
      </c>
      <c r="BL37" s="85">
        <f t="shared" ref="BL37" si="612">IF(AND(BG37&lt;&gt;0,BG$5=$H37),$I37*$E37-BG37,IF(BL$5=$H37,$I37*$E37*(12-$J37+1)/12,0))</f>
        <v>0</v>
      </c>
      <c r="BM37" s="86">
        <f t="shared" ref="BM37" si="613">IF($H37&lt;&gt;BQ$5,0,IF(BQ37&gt;0,IF($J37=1,$E37*$I37/12*3,IF($J37=2,$E37*$I37/12*2,IF($J37=3,$E37*$I37/12*1,0)))))+IF(BL$5&lt;&gt;$H37,0,IF(BL37&gt;0,IF($J37=1,$E37*$I37/12*0,IF($J37=2,$E37*$I37/12*1,IF($J37=3,$E37*$I37/12*2,IF($J37&gt;=4,$E37*$I37/12*3,0))))))</f>
        <v>0</v>
      </c>
      <c r="BN37" s="87">
        <f t="shared" ref="BN37" si="614">IF($H37&lt;&gt;BQ$5,0,IF(BQ37&gt;0,IF(OR($J37=1,$J37=2,$J37=3,$J37=4),$E37*$I37/12*3,IF($J37=5,$E37*$I37/12*2,IF($J37=6,$E37*$I37/12*1,0)))))+IF(BL$5&lt;&gt;$H37,0,IF(BL37&gt;0,IF($J37=4,$E37*$I37/12*0,IF($J37=5,$E37*$I37/12*1,IF($J37=6,$E37*$I37/12*2,IF($J37&gt;=7,$E37*$I37/12*3,0))))))</f>
        <v>0</v>
      </c>
      <c r="BO37" s="87">
        <f t="shared" ref="BO37" si="615">IF($H37&lt;&gt;BQ$5,0,IF(BQ37&gt;0,IF(OR($J37=1,$J37=2,$J37=3,$J37=4,$J37=5,$J37=6,$J37=7),$E37*$I37/12*3,IF($J37=8,$E37*$I37/12*2,IF($J37=9,$E37*$I37/12*1,0)))))+IF(BL$5&lt;&gt;$H37,0,IF(BL37&gt;0,IF($J37=7,$E37*$I37/12*0,IF($J37=8,$E37*$I37/12*1,IF($J37=9,$E37*$I37/12*2,IF($J37&gt;=10,$E37*$I37/12*3,0))))))</f>
        <v>0</v>
      </c>
      <c r="BP37" s="88">
        <f t="shared" ref="BP37" si="616">IF($H37&lt;&gt;BQ$5,0,IF(BQ37&gt;0,IF(OR($J37=1,$J37=2,$J37=3,$J37=4,$J37=5,$J37=6,$J37=7,$J37=8,$J37=9,$J37=10),$E37*$I37/12*3,IF($J37=11,$E37*$I37/12*2,IF($J37=12,$E37*$I37/12*1,0)))))+IF(BL$5&lt;&gt;$H37,0,IF(BL37&gt;0,IF($J37=10,$E37*$I37/12*0,IF($J37=11,$E37*$I37/12*1,IF($J37=12,$E37*$I37/12*2,0)))))</f>
        <v>0</v>
      </c>
      <c r="BQ37" s="85">
        <f t="shared" ref="BQ37" si="617">IF(AND(BL37&lt;&gt;0,BL$5=$H37),$I37*$E37-BL37,IF(BQ$5=$H37,$I37*$E37*(12-$J37+1)/12,0))</f>
        <v>0</v>
      </c>
      <c r="BR37" s="86">
        <f t="shared" ref="BR37" si="618">IF($H37&lt;&gt;BV$5,0,IF(BV37&gt;0,IF($J37=1,$E37*$I37/12*3,IF($J37=2,$E37*$I37/12*2,IF($J37=3,$E37*$I37/12*1,0)))))+IF(BQ$5&lt;&gt;$H37,0,IF(BQ37&gt;0,IF($J37=1,$E37*$I37/12*0,IF($J37=2,$E37*$I37/12*1,IF($J37=3,$E37*$I37/12*2,IF($J37&gt;=4,$E37*$I37/12*3,0))))))</f>
        <v>0</v>
      </c>
      <c r="BS37" s="87">
        <f t="shared" ref="BS37" si="619">IF($H37&lt;&gt;BV$5,0,IF(BV37&gt;0,IF(OR($J37=1,$J37=2,$J37=3,$J37=4),$E37*$I37/12*3,IF($J37=5,$E37*$I37/12*2,IF($J37=6,$E37*$I37/12*1,0)))))+IF(BQ$5&lt;&gt;$H37,0,IF(BQ37&gt;0,IF($J37=4,$E37*$I37/12*0,IF($J37=5,$E37*$I37/12*1,IF($J37=6,$E37*$I37/12*2,IF($J37&gt;=7,$E37*$I37/12*3,0))))))</f>
        <v>0</v>
      </c>
      <c r="BT37" s="87">
        <f t="shared" ref="BT37" si="620">IF($H37&lt;&gt;BV$5,0,IF(BV37&gt;0,IF(OR($J37=1,$J37=2,$J37=3,$J37=4,$J37=5,$J37=6,$J37=7),$E37*$I37/12*3,IF($J37=8,$E37*$I37/12*2,IF($J37=9,$E37*$I37/12*1,0)))))+IF(BQ$5&lt;&gt;$H37,0,IF(BQ37&gt;0,IF($J37=7,$E37*$I37/12*0,IF($J37=8,$E37*$I37/12*1,IF($J37=9,$E37*$I37/12*2,IF($J37&gt;=10,$E37*$I37/12*3,0))))))</f>
        <v>0</v>
      </c>
      <c r="BU37" s="88">
        <f t="shared" ref="BU37" si="621">IF($H37&lt;&gt;BV$5,0,IF(BV37&gt;0,IF(OR($J37=1,$J37=2,$J37=3,$J37=4,$J37=5,$J37=6,$J37=7,$J37=8,$J37=9,$J37=10),$E37*$I37/12*3,IF($J37=11,$E37*$I37/12*2,IF($J37=12,$E37*$I37/12*1,0)))))+IF(BQ$5&lt;&gt;$H37,0,IF(BQ37&gt;0,IF($J37=10,$E37*$I37/12*0,IF($J37=11,$E37*$I37/12*1,IF($J37=12,$E37*$I37/12*2,0)))))</f>
        <v>0</v>
      </c>
      <c r="BV37" s="85">
        <f t="shared" ref="BV37" si="622">IF(AND(BQ37&lt;&gt;0,BQ$5=$H37),$I37*$E37-BQ37,IF(BV$5=$H37,$I37*$E37*(12-$J37+1)/12,0))</f>
        <v>0</v>
      </c>
      <c r="BW37" s="86">
        <f t="shared" ref="BW37" si="623">IF($H37&lt;&gt;CA$5,0,IF(CA37&gt;0,IF($J37=1,$E37*$I37/12*3,IF($J37=2,$E37*$I37/12*2,IF($J37=3,$E37*$I37/12*1,0)))))+IF(BV$5&lt;&gt;$H37,0,IF(BV37&gt;0,IF($J37=1,$E37*$I37/12*0,IF($J37=2,$E37*$I37/12*1,IF($J37=3,$E37*$I37/12*2,IF($J37&gt;=4,$E37*$I37/12*3,0))))))</f>
        <v>0</v>
      </c>
      <c r="BX37" s="87">
        <f t="shared" ref="BX37" si="624">IF($H37&lt;&gt;CA$5,0,IF(CA37&gt;0,IF(OR($J37=1,$J37=2,$J37=3,$J37=4),$E37*$I37/12*3,IF($J37=5,$E37*$I37/12*2,IF($J37=6,$E37*$I37/12*1,0)))))+IF(BV$5&lt;&gt;$H37,0,IF(BV37&gt;0,IF($J37=4,$E37*$I37/12*0,IF($J37=5,$E37*$I37/12*1,IF($J37=6,$E37*$I37/12*2,IF($J37&gt;=7,$E37*$I37/12*3,0))))))</f>
        <v>0</v>
      </c>
      <c r="BY37" s="87">
        <f t="shared" ref="BY37" si="625">IF($H37&lt;&gt;CA$5,0,IF(CA37&gt;0,IF(OR($J37=1,$J37=2,$J37=3,$J37=4,$J37=5,$J37=6,$J37=7),$E37*$I37/12*3,IF($J37=8,$E37*$I37/12*2,IF($J37=9,$E37*$I37/12*1,0)))))+IF(BV$5&lt;&gt;$H37,0,IF(BV37&gt;0,IF($J37=7,$E37*$I37/12*0,IF($J37=8,$E37*$I37/12*1,IF($J37=9,$E37*$I37/12*2,IF($J37&gt;=10,$E37*$I37/12*3,0))))))</f>
        <v>0</v>
      </c>
      <c r="BZ37" s="88">
        <f t="shared" ref="BZ37" si="626">IF($H37&lt;&gt;CA$5,0,IF(CA37&gt;0,IF(OR($J37=1,$J37=2,$J37=3,$J37=4,$J37=5,$J37=6,$J37=7,$J37=8,$J37=9,$J37=10),$E37*$I37/12*3,IF($J37=11,$E37*$I37/12*2,IF($J37=12,$E37*$I37/12*1,0)))))+IF(BV$5&lt;&gt;$H37,0,IF(BV37&gt;0,IF($J37=10,$E37*$I37/12*0,IF($J37=11,$E37*$I37/12*1,IF($J37=12,$E37*$I37/12*2,0)))))</f>
        <v>0</v>
      </c>
      <c r="CA37" s="85">
        <f t="shared" ref="CA37" si="627">IF(AND(BV37&lt;&gt;0,BV$5=$H37),$I37*$E37-BV37,IF(CA$5=$H37,$I37*$E37*(12-$J37+1)/12,0))</f>
        <v>0</v>
      </c>
      <c r="CB37" s="86">
        <f t="shared" ref="CB37" si="628">IF($H37&lt;&gt;CF$5,0,IF(CF37&gt;0,IF($J37=1,$E37*$I37/12*3,IF($J37=2,$E37*$I37/12*2,IF($J37=3,$E37*$I37/12*1,0)))))+IF(CA$5&lt;&gt;$H37,0,IF(CA37&gt;0,IF($J37=1,$E37*$I37/12*0,IF($J37=2,$E37*$I37/12*1,IF($J37=3,$E37*$I37/12*2,IF($J37&gt;=4,$E37*$I37/12*3,0))))))</f>
        <v>0</v>
      </c>
      <c r="CC37" s="87">
        <f t="shared" ref="CC37" si="629">IF($H37&lt;&gt;CF$5,0,IF(CF37&gt;0,IF(OR($J37=1,$J37=2,$J37=3,$J37=4),$E37*$I37/12*3,IF($J37=5,$E37*$I37/12*2,IF($J37=6,$E37*$I37/12*1,0)))))+IF(CA$5&lt;&gt;$H37,0,IF(CA37&gt;0,IF($J37=4,$E37*$I37/12*0,IF($J37=5,$E37*$I37/12*1,IF($J37=6,$E37*$I37/12*2,IF($J37&gt;=7,$E37*$I37/12*3,0))))))</f>
        <v>0</v>
      </c>
      <c r="CD37" s="87">
        <f t="shared" ref="CD37" si="630">IF($H37&lt;&gt;CF$5,0,IF(CF37&gt;0,IF(OR($J37=1,$J37=2,$J37=3,$J37=4,$J37=5,$J37=6,$J37=7),$E37*$I37/12*3,IF($J37=8,$E37*$I37/12*2,IF($J37=9,$E37*$I37/12*1,0)))))+IF(CA$5&lt;&gt;$H37,0,IF(CA37&gt;0,IF($J37=7,$E37*$I37/12*0,IF($J37=8,$E37*$I37/12*1,IF($J37=9,$E37*$I37/12*2,IF($J37&gt;=10,$E37*$I37/12*3,0))))))</f>
        <v>0</v>
      </c>
      <c r="CE37" s="88">
        <f t="shared" ref="CE37" si="631">IF($H37&lt;&gt;CF$5,0,IF(CF37&gt;0,IF(OR($J37=1,$J37=2,$J37=3,$J37=4,$J37=5,$J37=6,$J37=7,$J37=8,$J37=9,$J37=10),$E37*$I37/12*3,IF($J37=11,$E37*$I37/12*2,IF($J37=12,$E37*$I37/12*1,0)))))+IF(CA$5&lt;&gt;$H37,0,IF(CA37&gt;0,IF($J37=10,$E37*$I37/12*0,IF($J37=11,$E37*$I37/12*1,IF($J37=12,$E37*$I37/12*2,0)))))</f>
        <v>0</v>
      </c>
      <c r="CF37" s="85">
        <f t="shared" ref="CF37" si="632">IF(AND(CA37&lt;&gt;0,CA$5=$H37),$I37*$E37-CA37,IF(CF$5=$H37,$I37*$E37*(12-$J37+1)/12,0))</f>
        <v>0</v>
      </c>
      <c r="CG37" s="86">
        <f t="shared" ref="CG37" si="633">IF($H37&lt;&gt;CK$5,0,IF(CK37&gt;0,IF($J37=1,$E37*$I37/12*3,IF($J37=2,$E37*$I37/12*2,IF($J37=3,$E37*$I37/12*1,0)))))+IF(CF$5&lt;&gt;$H37,0,IF(CF37&gt;0,IF($J37=1,$E37*$I37/12*0,IF($J37=2,$E37*$I37/12*1,IF($J37=3,$E37*$I37/12*2,IF($J37&gt;=4,$E37*$I37/12*3,0))))))</f>
        <v>0</v>
      </c>
      <c r="CH37" s="87">
        <f t="shared" ref="CH37" si="634">IF($H37&lt;&gt;CK$5,0,IF(CK37&gt;0,IF(OR($J37=1,$J37=2,$J37=3,$J37=4),$E37*$I37/12*3,IF($J37=5,$E37*$I37/12*2,IF($J37=6,$E37*$I37/12*1,0)))))+IF(CF$5&lt;&gt;$H37,0,IF(CF37&gt;0,IF($J37=4,$E37*$I37/12*0,IF($J37=5,$E37*$I37/12*1,IF($J37=6,$E37*$I37/12*2,IF($J37&gt;=7,$E37*$I37/12*3,0))))))</f>
        <v>0</v>
      </c>
      <c r="CI37" s="87">
        <f t="shared" ref="CI37" si="635">IF($H37&lt;&gt;CK$5,0,IF(CK37&gt;0,IF(OR($J37=1,$J37=2,$J37=3,$J37=4,$J37=5,$J37=6,$J37=7),$E37*$I37/12*3,IF($J37=8,$E37*$I37/12*2,IF($J37=9,$E37*$I37/12*1,0)))))+IF(CF$5&lt;&gt;$H37,0,IF(CF37&gt;0,IF($J37=7,$E37*$I37/12*0,IF($J37=8,$E37*$I37/12*1,IF($J37=9,$E37*$I37/12*2,IF($J37&gt;=10,$E37*$I37/12*3,0))))))</f>
        <v>0</v>
      </c>
      <c r="CJ37" s="88">
        <f t="shared" ref="CJ37" si="636">IF($H37&lt;&gt;CK$5,0,IF(CK37&gt;0,IF(OR($J37=1,$J37=2,$J37=3,$J37=4,$J37=5,$J37=6,$J37=7,$J37=8,$J37=9,$J37=10),$E37*$I37/12*3,IF($J37=11,$E37*$I37/12*2,IF($J37=12,$E37*$I37/12*1,0)))))+IF(CF$5&lt;&gt;$H37,0,IF(CF37&gt;0,IF($J37=10,$E37*$I37/12*0,IF($J37=11,$E37*$I37/12*1,IF($J37=12,$E37*$I37/12*2,0)))))</f>
        <v>0</v>
      </c>
      <c r="CK37" s="85">
        <f t="shared" ref="CK37" si="637">IF(AND(CF37&lt;&gt;0,CF$5=$H37),$I37*$E37-CF37,IF(CK$5=$H37,$I37*$E37*(12-$J37+1)/12,0))</f>
        <v>0</v>
      </c>
      <c r="CL37" s="86">
        <f t="shared" ref="CL37" si="638">IF($H37&lt;&gt;CP$5,0,IF(CP37&gt;0,IF($J37=1,$E37*$I37/12*3,IF($J37=2,$E37*$I37/12*2,IF($J37=3,$E37*$I37/12*1,0)))))+IF(CK$5&lt;&gt;$H37,0,IF(CK37&gt;0,IF($J37=1,$E37*$I37/12*0,IF($J37=2,$E37*$I37/12*1,IF($J37=3,$E37*$I37/12*2,IF($J37&gt;=4,$E37*$I37/12*3,0))))))</f>
        <v>0</v>
      </c>
      <c r="CM37" s="87">
        <f t="shared" ref="CM37" si="639">IF($H37&lt;&gt;CP$5,0,IF(CP37&gt;0,IF(OR($J37=1,$J37=2,$J37=3,$J37=4),$E37*$I37/12*3,IF($J37=5,$E37*$I37/12*2,IF($J37=6,$E37*$I37/12*1,0)))))+IF(CK$5&lt;&gt;$H37,0,IF(CK37&gt;0,IF($J37=4,$E37*$I37/12*0,IF($J37=5,$E37*$I37/12*1,IF($J37=6,$E37*$I37/12*2,IF($J37&gt;=7,$E37*$I37/12*3,0))))))</f>
        <v>0</v>
      </c>
      <c r="CN37" s="87">
        <f t="shared" ref="CN37" si="640">IF($H37&lt;&gt;CP$5,0,IF(CP37&gt;0,IF(OR($J37=1,$J37=2,$J37=3,$J37=4,$J37=5,$J37=6,$J37=7),$E37*$I37/12*3,IF($J37=8,$E37*$I37/12*2,IF($J37=9,$E37*$I37/12*1,0)))))+IF(CK$5&lt;&gt;$H37,0,IF(CK37&gt;0,IF($J37=7,$E37*$I37/12*0,IF($J37=8,$E37*$I37/12*1,IF($J37=9,$E37*$I37/12*2,IF($J37&gt;=10,$E37*$I37/12*3,0))))))</f>
        <v>0</v>
      </c>
      <c r="CO37" s="88">
        <f t="shared" ref="CO37" si="641">IF($H37&lt;&gt;CP$5,0,IF(CP37&gt;0,IF(OR($J37=1,$J37=2,$J37=3,$J37=4,$J37=5,$J37=6,$J37=7,$J37=8,$J37=9,$J37=10),$E37*$I37/12*3,IF($J37=11,$E37*$I37/12*2,IF($J37=12,$E37*$I37/12*1,0)))))+IF(CK$5&lt;&gt;$H37,0,IF(CK37&gt;0,IF($J37=10,$E37*$I37/12*0,IF($J37=11,$E37*$I37/12*1,IF($J37=12,$E37*$I37/12*2,0)))))</f>
        <v>0</v>
      </c>
      <c r="CP37" s="85">
        <f t="shared" ref="CP37" si="642">IF(AND(CK37&lt;&gt;0,CK$5=$H37),$I37*$E37-CK37,IF(CP$5=$H37,$I37*$E37*(12-$J37+1)/12,0))</f>
        <v>0</v>
      </c>
      <c r="CQ37" s="86">
        <f t="shared" ref="CQ37" si="643">IF($H37&lt;&gt;CU$5,0,IF(CU37&gt;0,IF($J37=1,$E37*$I37/12*3,IF($J37=2,$E37*$I37/12*2,IF($J37=3,$E37*$I37/12*1,0)))))+IF(CP$5&lt;&gt;$H37,0,IF(CP37&gt;0,IF($J37=1,$E37*$I37/12*0,IF($J37=2,$E37*$I37/12*1,IF($J37=3,$E37*$I37/12*2,IF($J37&gt;=4,$E37*$I37/12*3,0))))))</f>
        <v>0</v>
      </c>
      <c r="CR37" s="87">
        <f t="shared" ref="CR37" si="644">IF($H37&lt;&gt;CU$5,0,IF(CU37&gt;0,IF(OR($J37=1,$J37=2,$J37=3,$J37=4),$E37*$I37/12*3,IF($J37=5,$E37*$I37/12*2,IF($J37=6,$E37*$I37/12*1,0)))))+IF(CP$5&lt;&gt;$H37,0,IF(CP37&gt;0,IF($J37=4,$E37*$I37/12*0,IF($J37=5,$E37*$I37/12*1,IF($J37=6,$E37*$I37/12*2,IF($J37&gt;=7,$E37*$I37/12*3,0))))))</f>
        <v>0</v>
      </c>
      <c r="CS37" s="87">
        <f t="shared" ref="CS37" si="645">IF($H37&lt;&gt;CU$5,0,IF(CU37&gt;0,IF(OR($J37=1,$J37=2,$J37=3,$J37=4,$J37=5,$J37=6,$J37=7),$E37*$I37/12*3,IF($J37=8,$E37*$I37/12*2,IF($J37=9,$E37*$I37/12*1,0)))))+IF(CP$5&lt;&gt;$H37,0,IF(CP37&gt;0,IF($J37=7,$E37*$I37/12*0,IF($J37=8,$E37*$I37/12*1,IF($J37=9,$E37*$I37/12*2,IF($J37&gt;=10,$E37*$I37/12*3,0))))))</f>
        <v>0</v>
      </c>
      <c r="CT37" s="88">
        <f t="shared" ref="CT37" si="646">IF($H37&lt;&gt;CU$5,0,IF(CU37&gt;0,IF(OR($J37=1,$J37=2,$J37=3,$J37=4,$J37=5,$J37=6,$J37=7,$J37=8,$J37=9,$J37=10),$E37*$I37/12*3,IF($J37=11,$E37*$I37/12*2,IF($J37=12,$E37*$I37/12*1,0)))))+IF(CP$5&lt;&gt;$H37,0,IF(CP37&gt;0,IF($J37=10,$E37*$I37/12*0,IF($J37=11,$E37*$I37/12*1,IF($J37=12,$E37*$I37/12*2,0)))))</f>
        <v>0</v>
      </c>
      <c r="CU37" s="85">
        <f t="shared" ref="CU37" si="647">IF(AND(CP37&lt;&gt;0,CP$5=$H37),$I37*$E37-CP37,IF(CU$5=$H37,$I37*$E37*(12-$J37+1)/12,0))</f>
        <v>0</v>
      </c>
      <c r="CV37" s="86">
        <f t="shared" si="497"/>
        <v>0</v>
      </c>
      <c r="CW37" s="87">
        <f t="shared" si="498"/>
        <v>0</v>
      </c>
      <c r="CX37" s="87">
        <f t="shared" si="499"/>
        <v>18.125</v>
      </c>
      <c r="CY37" s="88">
        <f t="shared" si="500"/>
        <v>18.125</v>
      </c>
      <c r="CZ37" s="85">
        <f t="shared" si="501"/>
        <v>36.25</v>
      </c>
    </row>
    <row r="38" spans="1:104" ht="12.75" customHeight="1">
      <c r="A38" s="4"/>
      <c r="B38" s="4"/>
      <c r="C38" s="174"/>
      <c r="D38" s="175"/>
      <c r="E38" s="92"/>
      <c r="F38" s="93"/>
      <c r="G38" s="93"/>
      <c r="H38" s="176"/>
      <c r="I38" s="177"/>
      <c r="J38" s="178"/>
      <c r="K38" s="179"/>
      <c r="L38" s="98"/>
      <c r="M38" s="99"/>
      <c r="N38" s="100"/>
      <c r="O38" s="100"/>
      <c r="P38" s="101"/>
      <c r="Q38" s="98"/>
      <c r="R38" s="99"/>
      <c r="S38" s="100"/>
      <c r="T38" s="100"/>
      <c r="U38" s="101"/>
      <c r="V38" s="98"/>
      <c r="W38" s="99"/>
      <c r="X38" s="100"/>
      <c r="Y38" s="100"/>
      <c r="Z38" s="101"/>
      <c r="AA38" s="98"/>
      <c r="AB38" s="99"/>
      <c r="AC38" s="100"/>
      <c r="AD38" s="100"/>
      <c r="AE38" s="101"/>
      <c r="AF38" s="98"/>
      <c r="AG38" s="99"/>
      <c r="AH38" s="100"/>
      <c r="AI38" s="100"/>
      <c r="AJ38" s="101"/>
      <c r="AK38" s="98"/>
      <c r="AL38" s="99"/>
      <c r="AM38" s="100"/>
      <c r="AN38" s="100"/>
      <c r="AO38" s="101"/>
      <c r="AP38" s="98"/>
      <c r="AQ38" s="99"/>
      <c r="AR38" s="100"/>
      <c r="AS38" s="100"/>
      <c r="AT38" s="101"/>
      <c r="AU38" s="98"/>
      <c r="AV38" s="99"/>
      <c r="AW38" s="100"/>
      <c r="AX38" s="100"/>
      <c r="AY38" s="101"/>
      <c r="AZ38" s="98"/>
      <c r="BA38" s="99"/>
      <c r="BB38" s="100"/>
      <c r="BC38" s="100"/>
      <c r="BD38" s="101"/>
      <c r="BE38" s="98"/>
      <c r="BF38" s="1882"/>
      <c r="BG38" s="2006"/>
      <c r="BH38" s="103"/>
      <c r="BI38" s="104"/>
      <c r="BJ38" s="104"/>
      <c r="BK38" s="105"/>
      <c r="BL38" s="102"/>
      <c r="BM38" s="103"/>
      <c r="BN38" s="104"/>
      <c r="BO38" s="104"/>
      <c r="BP38" s="105"/>
      <c r="BQ38" s="102"/>
      <c r="BR38" s="103"/>
      <c r="BS38" s="104"/>
      <c r="BT38" s="104"/>
      <c r="BU38" s="105"/>
      <c r="BV38" s="102"/>
      <c r="BW38" s="103"/>
      <c r="BX38" s="104"/>
      <c r="BY38" s="104"/>
      <c r="BZ38" s="105"/>
      <c r="CA38" s="102"/>
      <c r="CB38" s="103"/>
      <c r="CC38" s="104"/>
      <c r="CD38" s="104"/>
      <c r="CE38" s="105"/>
      <c r="CF38" s="102"/>
      <c r="CG38" s="103"/>
      <c r="CH38" s="104"/>
      <c r="CI38" s="104"/>
      <c r="CJ38" s="105"/>
      <c r="CK38" s="102"/>
      <c r="CL38" s="103"/>
      <c r="CM38" s="104"/>
      <c r="CN38" s="104"/>
      <c r="CO38" s="105"/>
      <c r="CP38" s="102"/>
      <c r="CQ38" s="103"/>
      <c r="CR38" s="104"/>
      <c r="CS38" s="104"/>
      <c r="CT38" s="105"/>
      <c r="CU38" s="102"/>
      <c r="CV38" s="103"/>
      <c r="CW38" s="104"/>
      <c r="CX38" s="104"/>
      <c r="CY38" s="105"/>
      <c r="CZ38" s="102"/>
    </row>
    <row r="39" spans="1:104" ht="12.75" customHeight="1">
      <c r="A39" s="156"/>
      <c r="B39" s="156"/>
      <c r="C39" s="157" t="s">
        <v>399</v>
      </c>
      <c r="D39" s="90"/>
      <c r="E39" s="106">
        <f>SUM(E34:E38)</f>
        <v>2900</v>
      </c>
      <c r="F39" s="119"/>
      <c r="G39" s="119"/>
      <c r="H39" s="108"/>
      <c r="I39" s="108"/>
      <c r="J39" s="110"/>
      <c r="K39" s="180"/>
      <c r="L39" s="111">
        <f t="shared" ref="L39:BE39" si="648">SUM(L34:L38)</f>
        <v>0</v>
      </c>
      <c r="M39" s="112">
        <f t="shared" si="648"/>
        <v>0</v>
      </c>
      <c r="N39" s="113">
        <f t="shared" si="648"/>
        <v>0</v>
      </c>
      <c r="O39" s="113">
        <f t="shared" si="648"/>
        <v>0</v>
      </c>
      <c r="P39" s="114">
        <f t="shared" si="648"/>
        <v>0</v>
      </c>
      <c r="Q39" s="111">
        <f t="shared" si="648"/>
        <v>0</v>
      </c>
      <c r="R39" s="112">
        <f t="shared" si="648"/>
        <v>0</v>
      </c>
      <c r="S39" s="113">
        <f t="shared" si="648"/>
        <v>0</v>
      </c>
      <c r="T39" s="113">
        <f t="shared" si="648"/>
        <v>0</v>
      </c>
      <c r="U39" s="114">
        <f t="shared" si="648"/>
        <v>0</v>
      </c>
      <c r="V39" s="111">
        <f t="shared" si="648"/>
        <v>0</v>
      </c>
      <c r="W39" s="112">
        <f t="shared" si="648"/>
        <v>0</v>
      </c>
      <c r="X39" s="113">
        <f t="shared" si="648"/>
        <v>0</v>
      </c>
      <c r="Y39" s="113">
        <f t="shared" si="648"/>
        <v>0</v>
      </c>
      <c r="Z39" s="114">
        <f t="shared" si="648"/>
        <v>0</v>
      </c>
      <c r="AA39" s="111">
        <f t="shared" si="648"/>
        <v>0</v>
      </c>
      <c r="AB39" s="112">
        <f t="shared" si="648"/>
        <v>0</v>
      </c>
      <c r="AC39" s="113">
        <f t="shared" si="648"/>
        <v>0</v>
      </c>
      <c r="AD39" s="113">
        <f t="shared" si="648"/>
        <v>0</v>
      </c>
      <c r="AE39" s="114">
        <f t="shared" si="648"/>
        <v>0</v>
      </c>
      <c r="AF39" s="111">
        <f t="shared" si="648"/>
        <v>0</v>
      </c>
      <c r="AG39" s="112">
        <f t="shared" si="648"/>
        <v>0</v>
      </c>
      <c r="AH39" s="113">
        <f t="shared" si="648"/>
        <v>0</v>
      </c>
      <c r="AI39" s="113">
        <f t="shared" si="648"/>
        <v>0</v>
      </c>
      <c r="AJ39" s="114">
        <f t="shared" si="648"/>
        <v>0</v>
      </c>
      <c r="AK39" s="111">
        <f t="shared" si="648"/>
        <v>0</v>
      </c>
      <c r="AL39" s="112">
        <f t="shared" si="648"/>
        <v>0</v>
      </c>
      <c r="AM39" s="113">
        <f t="shared" si="648"/>
        <v>0</v>
      </c>
      <c r="AN39" s="113">
        <f t="shared" si="648"/>
        <v>0</v>
      </c>
      <c r="AO39" s="114">
        <f t="shared" si="648"/>
        <v>0</v>
      </c>
      <c r="AP39" s="111">
        <f t="shared" si="648"/>
        <v>0</v>
      </c>
      <c r="AQ39" s="112">
        <f t="shared" si="648"/>
        <v>0</v>
      </c>
      <c r="AR39" s="113">
        <f t="shared" si="648"/>
        <v>0</v>
      </c>
      <c r="AS39" s="113">
        <f t="shared" si="648"/>
        <v>0</v>
      </c>
      <c r="AT39" s="114">
        <f t="shared" si="648"/>
        <v>0</v>
      </c>
      <c r="AU39" s="111">
        <f t="shared" si="648"/>
        <v>0</v>
      </c>
      <c r="AV39" s="112">
        <f t="shared" si="648"/>
        <v>0</v>
      </c>
      <c r="AW39" s="113">
        <f t="shared" si="648"/>
        <v>0</v>
      </c>
      <c r="AX39" s="113">
        <f t="shared" si="648"/>
        <v>1450</v>
      </c>
      <c r="AY39" s="114">
        <f t="shared" si="648"/>
        <v>0</v>
      </c>
      <c r="AZ39" s="111">
        <f t="shared" si="648"/>
        <v>1450</v>
      </c>
      <c r="BA39" s="112">
        <f t="shared" si="648"/>
        <v>0</v>
      </c>
      <c r="BB39" s="113">
        <f t="shared" si="648"/>
        <v>0</v>
      </c>
      <c r="BC39" s="113">
        <f t="shared" si="648"/>
        <v>1450</v>
      </c>
      <c r="BD39" s="114">
        <f t="shared" si="648"/>
        <v>0</v>
      </c>
      <c r="BE39" s="111">
        <f t="shared" si="648"/>
        <v>1450</v>
      </c>
      <c r="BF39" s="1883"/>
      <c r="BG39" s="2007">
        <f t="shared" ref="BG39:CZ39" si="649">SUM(BG34:BG38)</f>
        <v>0</v>
      </c>
      <c r="BH39" s="116">
        <f t="shared" si="649"/>
        <v>0</v>
      </c>
      <c r="BI39" s="117">
        <f t="shared" si="649"/>
        <v>0</v>
      </c>
      <c r="BJ39" s="117">
        <f t="shared" si="649"/>
        <v>0</v>
      </c>
      <c r="BK39" s="118">
        <f t="shared" si="649"/>
        <v>0</v>
      </c>
      <c r="BL39" s="115">
        <f t="shared" si="649"/>
        <v>0</v>
      </c>
      <c r="BM39" s="116">
        <f t="shared" si="649"/>
        <v>0</v>
      </c>
      <c r="BN39" s="117">
        <f t="shared" si="649"/>
        <v>0</v>
      </c>
      <c r="BO39" s="117">
        <f t="shared" si="649"/>
        <v>0</v>
      </c>
      <c r="BP39" s="118">
        <f t="shared" si="649"/>
        <v>0</v>
      </c>
      <c r="BQ39" s="115">
        <f t="shared" si="649"/>
        <v>0</v>
      </c>
      <c r="BR39" s="116">
        <f t="shared" si="649"/>
        <v>0</v>
      </c>
      <c r="BS39" s="117">
        <f t="shared" si="649"/>
        <v>0</v>
      </c>
      <c r="BT39" s="117">
        <f t="shared" si="649"/>
        <v>0</v>
      </c>
      <c r="BU39" s="118">
        <f t="shared" si="649"/>
        <v>0</v>
      </c>
      <c r="BV39" s="115">
        <f t="shared" si="649"/>
        <v>0</v>
      </c>
      <c r="BW39" s="116">
        <f t="shared" si="649"/>
        <v>0</v>
      </c>
      <c r="BX39" s="117">
        <f t="shared" si="649"/>
        <v>0</v>
      </c>
      <c r="BY39" s="117">
        <f t="shared" si="649"/>
        <v>0</v>
      </c>
      <c r="BZ39" s="118">
        <f t="shared" si="649"/>
        <v>0</v>
      </c>
      <c r="CA39" s="115">
        <f t="shared" si="649"/>
        <v>0</v>
      </c>
      <c r="CB39" s="116">
        <f t="shared" si="649"/>
        <v>0</v>
      </c>
      <c r="CC39" s="117">
        <f t="shared" si="649"/>
        <v>0</v>
      </c>
      <c r="CD39" s="117">
        <f t="shared" si="649"/>
        <v>0</v>
      </c>
      <c r="CE39" s="118">
        <f t="shared" si="649"/>
        <v>0</v>
      </c>
      <c r="CF39" s="115">
        <f t="shared" si="649"/>
        <v>0</v>
      </c>
      <c r="CG39" s="116">
        <f t="shared" si="649"/>
        <v>0</v>
      </c>
      <c r="CH39" s="117">
        <f t="shared" si="649"/>
        <v>0</v>
      </c>
      <c r="CI39" s="117">
        <f t="shared" si="649"/>
        <v>0</v>
      </c>
      <c r="CJ39" s="118">
        <f t="shared" si="649"/>
        <v>0</v>
      </c>
      <c r="CK39" s="115">
        <f t="shared" si="649"/>
        <v>0</v>
      </c>
      <c r="CL39" s="116">
        <f t="shared" si="649"/>
        <v>0</v>
      </c>
      <c r="CM39" s="117">
        <f t="shared" si="649"/>
        <v>0</v>
      </c>
      <c r="CN39" s="117">
        <f t="shared" si="649"/>
        <v>0</v>
      </c>
      <c r="CO39" s="118">
        <f t="shared" si="649"/>
        <v>0</v>
      </c>
      <c r="CP39" s="115">
        <f t="shared" si="649"/>
        <v>0</v>
      </c>
      <c r="CQ39" s="116">
        <f t="shared" si="649"/>
        <v>0</v>
      </c>
      <c r="CR39" s="117">
        <f t="shared" si="649"/>
        <v>0</v>
      </c>
      <c r="CS39" s="117">
        <f t="shared" si="649"/>
        <v>18.125</v>
      </c>
      <c r="CT39" s="118">
        <f t="shared" si="649"/>
        <v>18.125</v>
      </c>
      <c r="CU39" s="115">
        <f t="shared" si="649"/>
        <v>36.25</v>
      </c>
      <c r="CV39" s="116">
        <f t="shared" si="649"/>
        <v>18.125</v>
      </c>
      <c r="CW39" s="117">
        <f t="shared" si="649"/>
        <v>18.125</v>
      </c>
      <c r="CX39" s="117">
        <f t="shared" si="649"/>
        <v>18.125</v>
      </c>
      <c r="CY39" s="118">
        <f t="shared" si="649"/>
        <v>18.125</v>
      </c>
      <c r="CZ39" s="115">
        <f t="shared" si="649"/>
        <v>72.5</v>
      </c>
    </row>
    <row r="40" spans="1:104" ht="12.75" customHeight="1">
      <c r="A40" s="4"/>
      <c r="B40" s="4"/>
      <c r="C40" s="90"/>
      <c r="D40" s="90"/>
      <c r="E40" s="75"/>
      <c r="F40" s="119"/>
      <c r="G40" s="119"/>
      <c r="H40" s="119"/>
      <c r="I40" s="119"/>
      <c r="J40" s="110"/>
      <c r="K40" s="80"/>
      <c r="L40" s="81"/>
      <c r="M40" s="82"/>
      <c r="N40" s="83"/>
      <c r="O40" s="83"/>
      <c r="P40" s="84"/>
      <c r="Q40" s="81"/>
      <c r="R40" s="82"/>
      <c r="S40" s="83"/>
      <c r="T40" s="83"/>
      <c r="U40" s="84"/>
      <c r="V40" s="81"/>
      <c r="W40" s="82"/>
      <c r="X40" s="83"/>
      <c r="Y40" s="83"/>
      <c r="Z40" s="84"/>
      <c r="AA40" s="81"/>
      <c r="AB40" s="82"/>
      <c r="AC40" s="83"/>
      <c r="AD40" s="83"/>
      <c r="AE40" s="84"/>
      <c r="AF40" s="81"/>
      <c r="AG40" s="82"/>
      <c r="AH40" s="83"/>
      <c r="AI40" s="83"/>
      <c r="AJ40" s="84"/>
      <c r="AK40" s="81"/>
      <c r="AL40" s="82"/>
      <c r="AM40" s="83"/>
      <c r="AN40" s="83"/>
      <c r="AO40" s="84"/>
      <c r="AP40" s="81"/>
      <c r="AQ40" s="82"/>
      <c r="AR40" s="83"/>
      <c r="AS40" s="83"/>
      <c r="AT40" s="84"/>
      <c r="AU40" s="81"/>
      <c r="AV40" s="82"/>
      <c r="AW40" s="83"/>
      <c r="AX40" s="83"/>
      <c r="AY40" s="84"/>
      <c r="AZ40" s="81"/>
      <c r="BA40" s="82"/>
      <c r="BB40" s="83"/>
      <c r="BC40" s="83"/>
      <c r="BD40" s="84"/>
      <c r="BE40" s="81"/>
      <c r="BF40" s="1884"/>
      <c r="BG40" s="2005"/>
      <c r="BH40" s="86"/>
      <c r="BI40" s="87"/>
      <c r="BJ40" s="87"/>
      <c r="BK40" s="88"/>
      <c r="BL40" s="85"/>
      <c r="BM40" s="86"/>
      <c r="BN40" s="87"/>
      <c r="BO40" s="87"/>
      <c r="BP40" s="88"/>
      <c r="BQ40" s="85"/>
      <c r="BR40" s="86"/>
      <c r="BS40" s="87"/>
      <c r="BT40" s="87"/>
      <c r="BU40" s="88"/>
      <c r="BV40" s="85"/>
      <c r="BW40" s="86"/>
      <c r="BX40" s="87"/>
      <c r="BY40" s="87"/>
      <c r="BZ40" s="88"/>
      <c r="CA40" s="85"/>
      <c r="CB40" s="86"/>
      <c r="CC40" s="87"/>
      <c r="CD40" s="87"/>
      <c r="CE40" s="88"/>
      <c r="CF40" s="85"/>
      <c r="CG40" s="86"/>
      <c r="CH40" s="87"/>
      <c r="CI40" s="87"/>
      <c r="CJ40" s="88"/>
      <c r="CK40" s="85"/>
      <c r="CL40" s="86"/>
      <c r="CM40" s="87"/>
      <c r="CN40" s="87"/>
      <c r="CO40" s="88"/>
      <c r="CP40" s="85"/>
      <c r="CQ40" s="86"/>
      <c r="CR40" s="87"/>
      <c r="CS40" s="87"/>
      <c r="CT40" s="88"/>
      <c r="CU40" s="85"/>
      <c r="CV40" s="86"/>
      <c r="CW40" s="87"/>
      <c r="CX40" s="87"/>
      <c r="CY40" s="88"/>
      <c r="CZ40" s="85"/>
    </row>
    <row r="41" spans="1:104" ht="12.75" customHeight="1">
      <c r="A41" s="4"/>
      <c r="B41" s="4"/>
      <c r="C41" s="90" t="s">
        <v>542</v>
      </c>
      <c r="D41" s="90"/>
      <c r="E41" s="75"/>
      <c r="F41" s="119"/>
      <c r="G41" s="119"/>
      <c r="H41" s="119"/>
      <c r="I41" s="119"/>
      <c r="J41" s="110"/>
      <c r="K41" s="180"/>
      <c r="L41" s="111">
        <f t="shared" ref="L41:BE41" si="650">+L31+L39</f>
        <v>0</v>
      </c>
      <c r="M41" s="112">
        <f t="shared" si="650"/>
        <v>0</v>
      </c>
      <c r="N41" s="113">
        <f t="shared" si="650"/>
        <v>0</v>
      </c>
      <c r="O41" s="113">
        <f t="shared" si="650"/>
        <v>0</v>
      </c>
      <c r="P41" s="114">
        <f t="shared" si="650"/>
        <v>0</v>
      </c>
      <c r="Q41" s="111">
        <f t="shared" si="650"/>
        <v>0</v>
      </c>
      <c r="R41" s="112">
        <f t="shared" si="650"/>
        <v>0</v>
      </c>
      <c r="S41" s="113">
        <f t="shared" si="650"/>
        <v>0</v>
      </c>
      <c r="T41" s="113">
        <f t="shared" si="650"/>
        <v>0</v>
      </c>
      <c r="U41" s="114">
        <f t="shared" si="650"/>
        <v>0</v>
      </c>
      <c r="V41" s="111">
        <f t="shared" si="650"/>
        <v>0</v>
      </c>
      <c r="W41" s="112">
        <f t="shared" si="650"/>
        <v>0</v>
      </c>
      <c r="X41" s="113">
        <f t="shared" si="650"/>
        <v>0</v>
      </c>
      <c r="Y41" s="113">
        <f t="shared" si="650"/>
        <v>0</v>
      </c>
      <c r="Z41" s="114">
        <f t="shared" si="650"/>
        <v>0</v>
      </c>
      <c r="AA41" s="111">
        <f t="shared" si="650"/>
        <v>0</v>
      </c>
      <c r="AB41" s="112">
        <f t="shared" si="650"/>
        <v>0</v>
      </c>
      <c r="AC41" s="113">
        <f t="shared" si="650"/>
        <v>0</v>
      </c>
      <c r="AD41" s="113">
        <f t="shared" si="650"/>
        <v>0</v>
      </c>
      <c r="AE41" s="114">
        <f t="shared" si="650"/>
        <v>0</v>
      </c>
      <c r="AF41" s="111">
        <f t="shared" si="650"/>
        <v>0</v>
      </c>
      <c r="AG41" s="112">
        <f t="shared" si="650"/>
        <v>-550</v>
      </c>
      <c r="AH41" s="113">
        <f t="shared" si="650"/>
        <v>-1150</v>
      </c>
      <c r="AI41" s="113">
        <f t="shared" si="650"/>
        <v>0</v>
      </c>
      <c r="AJ41" s="114">
        <f t="shared" si="650"/>
        <v>0</v>
      </c>
      <c r="AK41" s="111">
        <f t="shared" si="650"/>
        <v>-1700</v>
      </c>
      <c r="AL41" s="112">
        <f t="shared" si="650"/>
        <v>0</v>
      </c>
      <c r="AM41" s="113">
        <f t="shared" si="650"/>
        <v>0</v>
      </c>
      <c r="AN41" s="113">
        <f t="shared" si="650"/>
        <v>0</v>
      </c>
      <c r="AO41" s="114">
        <f t="shared" si="650"/>
        <v>0</v>
      </c>
      <c r="AP41" s="111">
        <f t="shared" si="650"/>
        <v>0</v>
      </c>
      <c r="AQ41" s="112">
        <f t="shared" si="650"/>
        <v>0</v>
      </c>
      <c r="AR41" s="113">
        <f t="shared" si="650"/>
        <v>0</v>
      </c>
      <c r="AS41" s="113">
        <f t="shared" si="650"/>
        <v>0</v>
      </c>
      <c r="AT41" s="114">
        <f t="shared" si="650"/>
        <v>0</v>
      </c>
      <c r="AU41" s="111">
        <f t="shared" si="650"/>
        <v>0</v>
      </c>
      <c r="AV41" s="112">
        <f t="shared" si="650"/>
        <v>0</v>
      </c>
      <c r="AW41" s="113">
        <f t="shared" si="650"/>
        <v>-900</v>
      </c>
      <c r="AX41" s="113">
        <f t="shared" si="650"/>
        <v>1450</v>
      </c>
      <c r="AY41" s="114">
        <f t="shared" si="650"/>
        <v>-550</v>
      </c>
      <c r="AZ41" s="111">
        <f t="shared" si="650"/>
        <v>0</v>
      </c>
      <c r="BA41" s="112">
        <f t="shared" si="650"/>
        <v>0</v>
      </c>
      <c r="BB41" s="113">
        <f t="shared" si="650"/>
        <v>-300</v>
      </c>
      <c r="BC41" s="113">
        <f t="shared" si="650"/>
        <v>1450</v>
      </c>
      <c r="BD41" s="114">
        <f t="shared" si="650"/>
        <v>0</v>
      </c>
      <c r="BE41" s="111">
        <f t="shared" si="650"/>
        <v>1150</v>
      </c>
      <c r="BF41" s="1883"/>
      <c r="BG41" s="2007">
        <f t="shared" ref="BG41:CZ41" si="651">+BG31+BG39</f>
        <v>0</v>
      </c>
      <c r="BH41" s="116">
        <f t="shared" si="651"/>
        <v>0</v>
      </c>
      <c r="BI41" s="117">
        <f t="shared" si="651"/>
        <v>0</v>
      </c>
      <c r="BJ41" s="117">
        <f t="shared" si="651"/>
        <v>0</v>
      </c>
      <c r="BK41" s="118">
        <f t="shared" si="651"/>
        <v>0</v>
      </c>
      <c r="BL41" s="115">
        <f t="shared" si="651"/>
        <v>0</v>
      </c>
      <c r="BM41" s="116">
        <f t="shared" si="651"/>
        <v>0</v>
      </c>
      <c r="BN41" s="117">
        <f t="shared" si="651"/>
        <v>0</v>
      </c>
      <c r="BO41" s="117">
        <f t="shared" si="651"/>
        <v>0</v>
      </c>
      <c r="BP41" s="118">
        <f t="shared" si="651"/>
        <v>0</v>
      </c>
      <c r="BQ41" s="115">
        <f t="shared" si="651"/>
        <v>0</v>
      </c>
      <c r="BR41" s="116">
        <f t="shared" si="651"/>
        <v>0</v>
      </c>
      <c r="BS41" s="117">
        <f t="shared" si="651"/>
        <v>0</v>
      </c>
      <c r="BT41" s="117">
        <f t="shared" si="651"/>
        <v>0</v>
      </c>
      <c r="BU41" s="118">
        <f t="shared" si="651"/>
        <v>0</v>
      </c>
      <c r="BV41" s="115">
        <f t="shared" si="651"/>
        <v>0</v>
      </c>
      <c r="BW41" s="116">
        <f t="shared" si="651"/>
        <v>0</v>
      </c>
      <c r="BX41" s="117">
        <f t="shared" si="651"/>
        <v>0</v>
      </c>
      <c r="BY41" s="117">
        <f t="shared" si="651"/>
        <v>0</v>
      </c>
      <c r="BZ41" s="118">
        <f t="shared" si="651"/>
        <v>0</v>
      </c>
      <c r="CA41" s="115">
        <f t="shared" si="651"/>
        <v>0</v>
      </c>
      <c r="CB41" s="116">
        <f t="shared" si="651"/>
        <v>-0.7104166666666667</v>
      </c>
      <c r="CC41" s="117">
        <f t="shared" si="651"/>
        <v>-6.9229166666666675</v>
      </c>
      <c r="CD41" s="117">
        <f t="shared" si="651"/>
        <v>-9.3187499999999996</v>
      </c>
      <c r="CE41" s="118">
        <f t="shared" si="651"/>
        <v>-9.3187499999999996</v>
      </c>
      <c r="CF41" s="115">
        <f t="shared" si="651"/>
        <v>-26.270833333333336</v>
      </c>
      <c r="CG41" s="116">
        <f t="shared" si="651"/>
        <v>-8.6083333333333343</v>
      </c>
      <c r="CH41" s="117">
        <f t="shared" si="651"/>
        <v>-2.3958333333333335</v>
      </c>
      <c r="CI41" s="117">
        <f t="shared" si="651"/>
        <v>0</v>
      </c>
      <c r="CJ41" s="118">
        <f t="shared" si="651"/>
        <v>0</v>
      </c>
      <c r="CK41" s="115">
        <f t="shared" si="651"/>
        <v>-11.004166666666666</v>
      </c>
      <c r="CL41" s="116">
        <f t="shared" si="651"/>
        <v>0</v>
      </c>
      <c r="CM41" s="117">
        <f t="shared" si="651"/>
        <v>0</v>
      </c>
      <c r="CN41" s="117">
        <f t="shared" si="651"/>
        <v>0</v>
      </c>
      <c r="CO41" s="118">
        <f t="shared" si="651"/>
        <v>0</v>
      </c>
      <c r="CP41" s="115">
        <f t="shared" si="651"/>
        <v>0</v>
      </c>
      <c r="CQ41" s="116">
        <f t="shared" si="651"/>
        <v>0</v>
      </c>
      <c r="CR41" s="117">
        <f t="shared" si="651"/>
        <v>-2.1375000000000002</v>
      </c>
      <c r="CS41" s="117">
        <f t="shared" si="651"/>
        <v>11.712499999999999</v>
      </c>
      <c r="CT41" s="118">
        <f t="shared" si="651"/>
        <v>9.3520833333333329</v>
      </c>
      <c r="CU41" s="115">
        <f t="shared" si="651"/>
        <v>18.927083333333332</v>
      </c>
      <c r="CV41" s="116">
        <f t="shared" si="651"/>
        <v>4.6312499999999996</v>
      </c>
      <c r="CW41" s="117">
        <f t="shared" si="651"/>
        <v>4.9312499999999986</v>
      </c>
      <c r="CX41" s="117">
        <f t="shared" si="651"/>
        <v>9.2062500000000007</v>
      </c>
      <c r="CY41" s="118">
        <f t="shared" si="651"/>
        <v>11.566666666666666</v>
      </c>
      <c r="CZ41" s="115">
        <f t="shared" si="651"/>
        <v>30.33541666666666</v>
      </c>
    </row>
    <row r="42" spans="1:104" ht="12.75" customHeight="1">
      <c r="A42" s="4"/>
      <c r="B42" s="4"/>
      <c r="C42" s="90"/>
      <c r="D42" s="90"/>
      <c r="E42" s="75"/>
      <c r="F42" s="119"/>
      <c r="G42" s="119"/>
      <c r="H42" s="119"/>
      <c r="I42" s="119"/>
      <c r="J42" s="110"/>
      <c r="K42" s="180"/>
      <c r="L42" s="111"/>
      <c r="M42" s="112"/>
      <c r="N42" s="113"/>
      <c r="O42" s="113"/>
      <c r="P42" s="114"/>
      <c r="Q42" s="111"/>
      <c r="R42" s="112"/>
      <c r="S42" s="113"/>
      <c r="T42" s="113"/>
      <c r="U42" s="114"/>
      <c r="V42" s="111"/>
      <c r="W42" s="112"/>
      <c r="X42" s="113"/>
      <c r="Y42" s="113"/>
      <c r="Z42" s="114"/>
      <c r="AA42" s="111"/>
      <c r="AB42" s="112"/>
      <c r="AC42" s="113"/>
      <c r="AD42" s="113"/>
      <c r="AE42" s="114"/>
      <c r="AF42" s="111"/>
      <c r="AG42" s="112"/>
      <c r="AH42" s="113"/>
      <c r="AI42" s="113"/>
      <c r="AJ42" s="114"/>
      <c r="AK42" s="111"/>
      <c r="AL42" s="112"/>
      <c r="AM42" s="113"/>
      <c r="AN42" s="113"/>
      <c r="AO42" s="114"/>
      <c r="AP42" s="111"/>
      <c r="AQ42" s="112"/>
      <c r="AR42" s="113"/>
      <c r="AS42" s="113"/>
      <c r="AT42" s="114"/>
      <c r="AU42" s="111"/>
      <c r="AV42" s="112"/>
      <c r="AW42" s="113"/>
      <c r="AX42" s="113"/>
      <c r="AY42" s="114"/>
      <c r="AZ42" s="111"/>
      <c r="BA42" s="112"/>
      <c r="BB42" s="113"/>
      <c r="BC42" s="113"/>
      <c r="BD42" s="114"/>
      <c r="BE42" s="111"/>
      <c r="BF42" s="1883"/>
      <c r="BG42" s="2007"/>
      <c r="BH42" s="116"/>
      <c r="BI42" s="117"/>
      <c r="BJ42" s="117"/>
      <c r="BK42" s="118"/>
      <c r="BL42" s="115"/>
      <c r="BM42" s="116"/>
      <c r="BN42" s="117"/>
      <c r="BO42" s="117"/>
      <c r="BP42" s="118"/>
      <c r="BQ42" s="115"/>
      <c r="BR42" s="116"/>
      <c r="BS42" s="117"/>
      <c r="BT42" s="117"/>
      <c r="BU42" s="118"/>
      <c r="BV42" s="115"/>
      <c r="BW42" s="116"/>
      <c r="BX42" s="117"/>
      <c r="BY42" s="117"/>
      <c r="BZ42" s="118"/>
      <c r="CA42" s="115"/>
      <c r="CB42" s="116"/>
      <c r="CC42" s="117"/>
      <c r="CD42" s="117"/>
      <c r="CE42" s="118"/>
      <c r="CF42" s="115"/>
      <c r="CG42" s="116"/>
      <c r="CH42" s="117"/>
      <c r="CI42" s="117"/>
      <c r="CJ42" s="118"/>
      <c r="CK42" s="115"/>
      <c r="CL42" s="116"/>
      <c r="CM42" s="117"/>
      <c r="CN42" s="117"/>
      <c r="CO42" s="118"/>
      <c r="CP42" s="115"/>
      <c r="CQ42" s="116"/>
      <c r="CR42" s="117"/>
      <c r="CS42" s="117"/>
      <c r="CT42" s="118"/>
      <c r="CU42" s="115"/>
      <c r="CV42" s="116"/>
      <c r="CW42" s="117"/>
      <c r="CX42" s="117"/>
      <c r="CY42" s="118"/>
      <c r="CZ42" s="115"/>
    </row>
    <row r="43" spans="1:104" ht="12.75" customHeight="1" thickBot="1">
      <c r="A43" s="4"/>
      <c r="B43" s="61"/>
      <c r="C43" s="120"/>
      <c r="D43" s="120"/>
      <c r="E43" s="181"/>
      <c r="F43" s="182"/>
      <c r="G43" s="182"/>
      <c r="H43" s="121"/>
      <c r="I43" s="122"/>
      <c r="J43" s="123"/>
      <c r="K43" s="183"/>
      <c r="L43" s="124"/>
      <c r="M43" s="184"/>
      <c r="N43" s="185"/>
      <c r="O43" s="185"/>
      <c r="P43" s="186"/>
      <c r="Q43" s="124"/>
      <c r="R43" s="184"/>
      <c r="S43" s="185"/>
      <c r="T43" s="185"/>
      <c r="U43" s="186"/>
      <c r="V43" s="124"/>
      <c r="W43" s="184"/>
      <c r="X43" s="185"/>
      <c r="Y43" s="185"/>
      <c r="Z43" s="186"/>
      <c r="AA43" s="124"/>
      <c r="AB43" s="184"/>
      <c r="AC43" s="185"/>
      <c r="AD43" s="185"/>
      <c r="AE43" s="186"/>
      <c r="AF43" s="124"/>
      <c r="AG43" s="184"/>
      <c r="AH43" s="185"/>
      <c r="AI43" s="185"/>
      <c r="AJ43" s="186"/>
      <c r="AK43" s="124"/>
      <c r="AL43" s="184"/>
      <c r="AM43" s="185"/>
      <c r="AN43" s="185"/>
      <c r="AO43" s="186"/>
      <c r="AP43" s="124"/>
      <c r="AQ43" s="184"/>
      <c r="AR43" s="185"/>
      <c r="AS43" s="185"/>
      <c r="AT43" s="186"/>
      <c r="AU43" s="124"/>
      <c r="AV43" s="184"/>
      <c r="AW43" s="185"/>
      <c r="AX43" s="185"/>
      <c r="AY43" s="186"/>
      <c r="AZ43" s="124"/>
      <c r="BA43" s="184"/>
      <c r="BB43" s="185"/>
      <c r="BC43" s="185"/>
      <c r="BD43" s="186"/>
      <c r="BE43" s="124"/>
      <c r="BF43" s="1885"/>
      <c r="BG43" s="2014"/>
      <c r="BH43" s="187"/>
      <c r="BI43" s="188"/>
      <c r="BJ43" s="188"/>
      <c r="BK43" s="189"/>
      <c r="BL43" s="125"/>
      <c r="BM43" s="187"/>
      <c r="BN43" s="188"/>
      <c r="BO43" s="188"/>
      <c r="BP43" s="189"/>
      <c r="BQ43" s="125"/>
      <c r="BR43" s="187"/>
      <c r="BS43" s="188"/>
      <c r="BT43" s="188"/>
      <c r="BU43" s="189"/>
      <c r="BV43" s="125"/>
      <c r="BW43" s="187"/>
      <c r="BX43" s="188"/>
      <c r="BY43" s="188"/>
      <c r="BZ43" s="189"/>
      <c r="CA43" s="125"/>
      <c r="CB43" s="187"/>
      <c r="CC43" s="188"/>
      <c r="CD43" s="188"/>
      <c r="CE43" s="189"/>
      <c r="CF43" s="125"/>
      <c r="CG43" s="187"/>
      <c r="CH43" s="188"/>
      <c r="CI43" s="188"/>
      <c r="CJ43" s="189"/>
      <c r="CK43" s="125"/>
      <c r="CL43" s="187"/>
      <c r="CM43" s="188"/>
      <c r="CN43" s="188"/>
      <c r="CO43" s="189"/>
      <c r="CP43" s="125"/>
      <c r="CQ43" s="187"/>
      <c r="CR43" s="188"/>
      <c r="CS43" s="188"/>
      <c r="CT43" s="189"/>
      <c r="CU43" s="125"/>
      <c r="CV43" s="187"/>
      <c r="CW43" s="188"/>
      <c r="CX43" s="188"/>
      <c r="CY43" s="189"/>
      <c r="CZ43" s="125"/>
    </row>
    <row r="44" spans="1:104" ht="13.5" customHeight="1">
      <c r="A44" s="4"/>
      <c r="B44" s="73" t="s">
        <v>1070</v>
      </c>
      <c r="C44" s="74"/>
      <c r="D44" s="15"/>
      <c r="E44" s="75"/>
      <c r="F44" s="76"/>
      <c r="G44" s="76"/>
      <c r="H44" s="77"/>
      <c r="I44" s="78"/>
      <c r="J44" s="79"/>
      <c r="K44" s="80"/>
      <c r="L44" s="81"/>
      <c r="M44" s="82"/>
      <c r="N44" s="83"/>
      <c r="O44" s="83"/>
      <c r="P44" s="84"/>
      <c r="Q44" s="81"/>
      <c r="R44" s="82"/>
      <c r="S44" s="83"/>
      <c r="T44" s="83"/>
      <c r="U44" s="84"/>
      <c r="V44" s="81"/>
      <c r="W44" s="82"/>
      <c r="X44" s="83"/>
      <c r="Y44" s="83"/>
      <c r="Z44" s="84"/>
      <c r="AA44" s="81"/>
      <c r="AB44" s="82"/>
      <c r="AC44" s="83"/>
      <c r="AD44" s="83"/>
      <c r="AE44" s="84"/>
      <c r="AF44" s="81"/>
      <c r="AG44" s="82"/>
      <c r="AH44" s="83"/>
      <c r="AI44" s="83"/>
      <c r="AJ44" s="84"/>
      <c r="AK44" s="81"/>
      <c r="AL44" s="82"/>
      <c r="AM44" s="83"/>
      <c r="AN44" s="83"/>
      <c r="AO44" s="84"/>
      <c r="AP44" s="81"/>
      <c r="AQ44" s="82"/>
      <c r="AR44" s="83"/>
      <c r="AS44" s="83"/>
      <c r="AT44" s="84"/>
      <c r="AU44" s="81"/>
      <c r="AV44" s="82"/>
      <c r="AW44" s="83"/>
      <c r="AX44" s="83"/>
      <c r="AY44" s="84"/>
      <c r="AZ44" s="81"/>
      <c r="BA44" s="82"/>
      <c r="BB44" s="83"/>
      <c r="BC44" s="83"/>
      <c r="BD44" s="84"/>
      <c r="BE44" s="81"/>
      <c r="BF44" s="1884"/>
      <c r="BG44" s="2005"/>
      <c r="BH44" s="86"/>
      <c r="BI44" s="87"/>
      <c r="BJ44" s="87"/>
      <c r="BK44" s="88"/>
      <c r="BL44" s="85"/>
      <c r="BM44" s="86"/>
      <c r="BN44" s="87"/>
      <c r="BO44" s="87"/>
      <c r="BP44" s="88"/>
      <c r="BQ44" s="85"/>
      <c r="BR44" s="86"/>
      <c r="BS44" s="87"/>
      <c r="BT44" s="87"/>
      <c r="BU44" s="88"/>
      <c r="BV44" s="85"/>
      <c r="BW44" s="86"/>
      <c r="BX44" s="87"/>
      <c r="BY44" s="87"/>
      <c r="BZ44" s="88"/>
      <c r="CA44" s="85"/>
      <c r="CB44" s="86"/>
      <c r="CC44" s="87"/>
      <c r="CD44" s="87"/>
      <c r="CE44" s="88"/>
      <c r="CF44" s="85"/>
      <c r="CG44" s="86"/>
      <c r="CH44" s="87"/>
      <c r="CI44" s="87"/>
      <c r="CJ44" s="88"/>
      <c r="CK44" s="85"/>
      <c r="CL44" s="86"/>
      <c r="CM44" s="87"/>
      <c r="CN44" s="87"/>
      <c r="CO44" s="88"/>
      <c r="CP44" s="85"/>
      <c r="CQ44" s="86"/>
      <c r="CR44" s="87"/>
      <c r="CS44" s="87"/>
      <c r="CT44" s="88"/>
      <c r="CU44" s="85"/>
      <c r="CV44" s="86"/>
      <c r="CW44" s="87"/>
      <c r="CX44" s="87"/>
      <c r="CY44" s="88"/>
      <c r="CZ44" s="85"/>
    </row>
    <row r="45" spans="1:104" ht="13.5" customHeight="1">
      <c r="A45" s="4"/>
      <c r="B45" s="4"/>
      <c r="C45" s="90"/>
      <c r="D45" s="90"/>
      <c r="E45" s="75"/>
      <c r="F45" s="76"/>
      <c r="G45" s="76"/>
      <c r="H45" s="128"/>
      <c r="I45" s="128"/>
      <c r="J45" s="190"/>
      <c r="K45" s="80"/>
      <c r="L45" s="81"/>
      <c r="M45" s="82"/>
      <c r="N45" s="83"/>
      <c r="O45" s="83"/>
      <c r="P45" s="84"/>
      <c r="Q45" s="81"/>
      <c r="R45" s="82"/>
      <c r="S45" s="83"/>
      <c r="T45" s="83"/>
      <c r="U45" s="84"/>
      <c r="V45" s="81"/>
      <c r="W45" s="82"/>
      <c r="X45" s="83"/>
      <c r="Y45" s="83"/>
      <c r="Z45" s="84"/>
      <c r="AA45" s="81"/>
      <c r="AB45" s="82"/>
      <c r="AC45" s="83"/>
      <c r="AD45" s="83"/>
      <c r="AE45" s="84"/>
      <c r="AF45" s="81"/>
      <c r="AG45" s="82"/>
      <c r="AH45" s="83"/>
      <c r="AI45" s="83"/>
      <c r="AJ45" s="84"/>
      <c r="AK45" s="81"/>
      <c r="AL45" s="82"/>
      <c r="AM45" s="83"/>
      <c r="AN45" s="83"/>
      <c r="AO45" s="84"/>
      <c r="AP45" s="81"/>
      <c r="AQ45" s="82"/>
      <c r="AR45" s="83"/>
      <c r="AS45" s="83"/>
      <c r="AT45" s="84"/>
      <c r="AU45" s="81"/>
      <c r="AV45" s="82"/>
      <c r="AW45" s="83"/>
      <c r="AX45" s="83"/>
      <c r="AY45" s="84"/>
      <c r="AZ45" s="81"/>
      <c r="BA45" s="82"/>
      <c r="BB45" s="83"/>
      <c r="BC45" s="83"/>
      <c r="BD45" s="84"/>
      <c r="BE45" s="81"/>
      <c r="BF45" s="1884"/>
      <c r="BG45" s="2005"/>
      <c r="BH45" s="86"/>
      <c r="BI45" s="87"/>
      <c r="BJ45" s="87"/>
      <c r="BK45" s="88"/>
      <c r="BL45" s="85"/>
      <c r="BM45" s="86"/>
      <c r="BN45" s="87"/>
      <c r="BO45" s="87"/>
      <c r="BP45" s="88"/>
      <c r="BQ45" s="85"/>
      <c r="BR45" s="86"/>
      <c r="BS45" s="87"/>
      <c r="BT45" s="87"/>
      <c r="BU45" s="88"/>
      <c r="BV45" s="85"/>
      <c r="BW45" s="86"/>
      <c r="BX45" s="87"/>
      <c r="BY45" s="87"/>
      <c r="BZ45" s="88"/>
      <c r="CA45" s="85"/>
      <c r="CB45" s="86"/>
      <c r="CC45" s="87"/>
      <c r="CD45" s="87"/>
      <c r="CE45" s="88"/>
      <c r="CF45" s="85"/>
      <c r="CG45" s="86"/>
      <c r="CH45" s="87"/>
      <c r="CI45" s="87"/>
      <c r="CJ45" s="88"/>
      <c r="CK45" s="85"/>
      <c r="CL45" s="86"/>
      <c r="CM45" s="87"/>
      <c r="CN45" s="87"/>
      <c r="CO45" s="88"/>
      <c r="CP45" s="85"/>
      <c r="CQ45" s="86"/>
      <c r="CR45" s="87"/>
      <c r="CS45" s="87"/>
      <c r="CT45" s="88"/>
      <c r="CU45" s="85"/>
      <c r="CV45" s="86"/>
      <c r="CW45" s="87"/>
      <c r="CX45" s="87"/>
      <c r="CY45" s="88"/>
      <c r="CZ45" s="85"/>
    </row>
    <row r="46" spans="1:104" ht="12.75" customHeight="1">
      <c r="A46" s="4"/>
      <c r="B46" s="4"/>
      <c r="C46" s="139" t="s">
        <v>532</v>
      </c>
      <c r="D46" s="139"/>
      <c r="E46" s="205"/>
      <c r="F46" s="128"/>
      <c r="G46" s="128"/>
      <c r="H46" s="128"/>
      <c r="I46" s="128"/>
      <c r="J46" s="79"/>
      <c r="K46" s="191"/>
      <c r="L46" s="81"/>
      <c r="M46" s="82"/>
      <c r="N46" s="83"/>
      <c r="O46" s="83"/>
      <c r="P46" s="84"/>
      <c r="Q46" s="81"/>
      <c r="R46" s="82"/>
      <c r="S46" s="83"/>
      <c r="T46" s="83"/>
      <c r="U46" s="84"/>
      <c r="V46" s="81"/>
      <c r="W46" s="82"/>
      <c r="X46" s="83"/>
      <c r="Y46" s="83"/>
      <c r="Z46" s="84"/>
      <c r="AA46" s="81"/>
      <c r="AB46" s="82"/>
      <c r="AC46" s="83"/>
      <c r="AD46" s="83"/>
      <c r="AE46" s="84"/>
      <c r="AF46" s="81"/>
      <c r="AG46" s="82"/>
      <c r="AH46" s="83"/>
      <c r="AI46" s="83"/>
      <c r="AJ46" s="84"/>
      <c r="AK46" s="81"/>
      <c r="AL46" s="82"/>
      <c r="AM46" s="83"/>
      <c r="AN46" s="83"/>
      <c r="AO46" s="84"/>
      <c r="AP46" s="81"/>
      <c r="AQ46" s="82"/>
      <c r="AR46" s="83"/>
      <c r="AS46" s="83"/>
      <c r="AT46" s="84"/>
      <c r="AU46" s="81"/>
      <c r="AV46" s="82"/>
      <c r="AW46" s="83"/>
      <c r="AX46" s="83"/>
      <c r="AY46" s="84"/>
      <c r="AZ46" s="81"/>
      <c r="BA46" s="82"/>
      <c r="BB46" s="83"/>
      <c r="BC46" s="83"/>
      <c r="BD46" s="84"/>
      <c r="BE46" s="81"/>
      <c r="BF46" s="1884"/>
      <c r="BG46" s="2005"/>
      <c r="BH46" s="86"/>
      <c r="BI46" s="87"/>
      <c r="BJ46" s="87"/>
      <c r="BK46" s="88"/>
      <c r="BL46" s="85"/>
      <c r="BM46" s="86"/>
      <c r="BN46" s="87"/>
      <c r="BO46" s="87"/>
      <c r="BP46" s="88"/>
      <c r="BQ46" s="85"/>
      <c r="BR46" s="86"/>
      <c r="BS46" s="87"/>
      <c r="BT46" s="87"/>
      <c r="BU46" s="88"/>
      <c r="BV46" s="85"/>
      <c r="BW46" s="86"/>
      <c r="BX46" s="87"/>
      <c r="BY46" s="87"/>
      <c r="BZ46" s="88"/>
      <c r="CA46" s="85"/>
      <c r="CB46" s="86"/>
      <c r="CC46" s="87"/>
      <c r="CD46" s="87"/>
      <c r="CE46" s="88"/>
      <c r="CF46" s="85"/>
      <c r="CG46" s="86"/>
      <c r="CH46" s="87"/>
      <c r="CI46" s="87"/>
      <c r="CJ46" s="88"/>
      <c r="CK46" s="85"/>
      <c r="CL46" s="86"/>
      <c r="CM46" s="87"/>
      <c r="CN46" s="87"/>
      <c r="CO46" s="88"/>
      <c r="CP46" s="85"/>
      <c r="CQ46" s="86"/>
      <c r="CR46" s="87"/>
      <c r="CS46" s="87"/>
      <c r="CT46" s="88"/>
      <c r="CU46" s="85"/>
      <c r="CV46" s="86"/>
      <c r="CW46" s="87"/>
      <c r="CX46" s="87"/>
      <c r="CY46" s="88"/>
      <c r="CZ46" s="85"/>
    </row>
    <row r="47" spans="1:104" ht="12.75" customHeight="1">
      <c r="A47" s="4"/>
      <c r="B47" s="4"/>
      <c r="C47" t="s">
        <v>1100</v>
      </c>
      <c r="D47" s="2114"/>
      <c r="E47" s="2115">
        <f t="shared" ref="E47:E56" si="652">IF(F47=0,G47,F47)</f>
        <v>550</v>
      </c>
      <c r="F47" s="2314">
        <v>550</v>
      </c>
      <c r="G47" s="1510">
        <v>550</v>
      </c>
      <c r="H47" s="1334">
        <v>2020</v>
      </c>
      <c r="I47" s="1513">
        <v>0.04</v>
      </c>
      <c r="J47" s="1334">
        <v>10</v>
      </c>
      <c r="K47" s="80"/>
      <c r="L47" s="81">
        <f t="shared" ref="L47:L59" si="653">IF(L$5=$H47,-$E47,0)</f>
        <v>0</v>
      </c>
      <c r="M47" s="82">
        <f t="shared" ref="M47:M53" si="654">IF(Q47=0,0,IF(Q47&lt;0,IF($J47=3,Q47,IF($J47=2,Q47,IF($J47=1,Q47,0)))))</f>
        <v>0</v>
      </c>
      <c r="N47" s="83">
        <f t="shared" ref="N47:N53" si="655">IF(Q47=0,0,IF(Q47&lt;0,IF($J47=6,Q47,IF($J47=5,Q47,IF($J47=4,Q47,0)))))</f>
        <v>0</v>
      </c>
      <c r="O47" s="83">
        <f t="shared" ref="O47:O53" si="656">IF(Q47=0,0,IF(Q47&lt;0,IF($J47=9,Q47,IF($J47=8,Q47,IF($J47=7,Q47,0)))))</f>
        <v>0</v>
      </c>
      <c r="P47" s="84">
        <f t="shared" ref="P47:P53" si="657">IF(Q47=0,0,IF(Q47&lt;0,IF($J47=12,Q47,IF($J47=11,Q47,IF($J47=10,Q47,0)))))</f>
        <v>0</v>
      </c>
      <c r="Q47" s="81">
        <f t="shared" ref="Q47:Q59" si="658">IF(Q$5=$H47,-$E47,0)</f>
        <v>0</v>
      </c>
      <c r="R47" s="82">
        <f t="shared" ref="R47:R53" si="659">IF(V47=0,0,IF(V47&lt;0,IF($J47=3,V47,IF($J47=2,V47,IF($J47=1,V47,0)))))</f>
        <v>0</v>
      </c>
      <c r="S47" s="83">
        <f t="shared" ref="S47:S53" si="660">IF(V47=0,0,IF(V47&lt;0,IF($J47=6,V47,IF($J47=5,V47,IF($J47=4,V47,0)))))</f>
        <v>0</v>
      </c>
      <c r="T47" s="83">
        <f t="shared" ref="T47:T53" si="661">IF(V47=0,0,IF(V47&lt;0,IF($J47=9,V47,IF($J47=8,V47,IF($J47=7,V47,0)))))</f>
        <v>0</v>
      </c>
      <c r="U47" s="84">
        <f t="shared" ref="U47:U53" si="662">IF(V47=0,0,IF(V47&lt;0,IF($J47=12,V47,IF($J47=11,V47,IF($J47=10,V47,0)))))</f>
        <v>0</v>
      </c>
      <c r="V47" s="81">
        <f t="shared" ref="V47:V59" si="663">IF(V$5=$H47,-$E47,0)</f>
        <v>0</v>
      </c>
      <c r="W47" s="82">
        <f t="shared" ref="W47:W53" si="664">IF(AA47=0,0,IF(AA47&lt;0,IF($J47=3,AA47,IF($J47=2,AA47,IF($J47=1,AA47,0)))))</f>
        <v>0</v>
      </c>
      <c r="X47" s="83">
        <f t="shared" ref="X47:X53" si="665">IF(AA47=0,0,IF(AA47&lt;0,IF($J47=6,AA47,IF($J47=5,AA47,IF($J47=4,AA47,0)))))</f>
        <v>0</v>
      </c>
      <c r="Y47" s="83">
        <f t="shared" ref="Y47:Y53" si="666">IF(AA47=0,0,IF(AA47&lt;0,IF($J47=9,AA47,IF($J47=8,AA47,IF($J47=7,AA47,0)))))</f>
        <v>0</v>
      </c>
      <c r="Z47" s="84">
        <f t="shared" ref="Z47:Z53" si="667">IF(AA47=0,0,IF(AA47&lt;0,IF($J47=12,AA47,IF($J47=11,AA47,IF($J47=10,AA47,0)))))</f>
        <v>0</v>
      </c>
      <c r="AA47" s="81">
        <f t="shared" ref="AA47:AA59" si="668">IF(AA$5=$H47,-$E47,0)</f>
        <v>0</v>
      </c>
      <c r="AB47" s="82">
        <f t="shared" ref="AB47:AB53" si="669">IF(AF47=0,0,IF(AF47&lt;0,IF($J47=3,AF47,IF($J47=2,AF47,IF($J47=1,AF47,0)))))</f>
        <v>0</v>
      </c>
      <c r="AC47" s="83">
        <f t="shared" ref="AC47:AC53" si="670">IF(AF47=0,0,IF(AF47&lt;0,IF($J47=6,AF47,IF($J47=5,AF47,IF($J47=4,AF47,0)))))</f>
        <v>0</v>
      </c>
      <c r="AD47" s="83">
        <f t="shared" ref="AD47:AD53" si="671">IF(AF47=0,0,IF(AF47&lt;0,IF($J47=9,AF47,IF($J47=8,AF47,IF($J47=7,AF47,0)))))</f>
        <v>0</v>
      </c>
      <c r="AE47" s="84">
        <f t="shared" ref="AE47:AE53" si="672">IF(AF47=0,0,IF(AF47&lt;0,IF($J47=12,AF47,IF($J47=11,AF47,IF($J47=10,AF47,0)))))</f>
        <v>0</v>
      </c>
      <c r="AF47" s="81">
        <f t="shared" ref="AF47:AF59" si="673">IF(AF$5=$H47,-$E47,0)</f>
        <v>0</v>
      </c>
      <c r="AG47" s="82">
        <f t="shared" ref="AG47:AG59" si="674">IF(AK47=0,0,IF(AK47&lt;0,IF($J47=3,AK47,IF($J47=2,AK47,IF($J47=1,AK47,0)))))</f>
        <v>0</v>
      </c>
      <c r="AH47" s="83">
        <f t="shared" ref="AH47:AH59" si="675">IF(AK47=0,0,IF(AK47&lt;0,IF($J47=6,AK47,IF($J47=5,AK47,IF($J47=4,AK47,0)))))</f>
        <v>0</v>
      </c>
      <c r="AI47" s="83">
        <f t="shared" ref="AI47:AI59" si="676">IF(AK47=0,0,IF(AK47&lt;0,IF($J47=9,AK47,IF($J47=8,AK47,IF($J47=7,AK47,0)))))</f>
        <v>0</v>
      </c>
      <c r="AJ47" s="84">
        <f t="shared" ref="AJ47:AJ59" si="677">IF(AK47=0,0,IF(AK47&lt;0,IF($J47=12,AK47,IF($J47=11,AK47,IF($J47=10,AK47,0)))))</f>
        <v>0</v>
      </c>
      <c r="AK47" s="81">
        <f t="shared" ref="AK47:AK59" si="678">IF(AK$5=$H47,-$E47,0)</f>
        <v>0</v>
      </c>
      <c r="AL47" s="82">
        <f t="shared" ref="AL47:AL59" si="679">IF(AP47=0,0,IF(AP47&lt;0,IF($J47=3,AP47,IF($J47=2,AP47,IF($J47=1,AP47,0)))))</f>
        <v>0</v>
      </c>
      <c r="AM47" s="83">
        <f t="shared" ref="AM47:AM59" si="680">IF(AP47=0,0,IF(AP47&lt;0,IF($J47=6,AP47,IF($J47=5,AP47,IF($J47=4,AP47,0)))))</f>
        <v>0</v>
      </c>
      <c r="AN47" s="83">
        <f t="shared" ref="AN47:AN59" si="681">IF(AP47=0,0,IF(AP47&lt;0,IF($J47=9,AP47,IF($J47=8,AP47,IF($J47=7,AP47,0)))))</f>
        <v>0</v>
      </c>
      <c r="AO47" s="84">
        <f t="shared" ref="AO47:AO59" si="682">IF(AP47=0,0,IF(AP47&lt;0,IF($J47=12,AP47,IF($J47=11,AP47,IF($J47=10,AP47,0)))))</f>
        <v>0</v>
      </c>
      <c r="AP47" s="81">
        <f t="shared" ref="AP47:AP59" si="683">IF(AP$5=$H47,-$E47,0)</f>
        <v>0</v>
      </c>
      <c r="AQ47" s="82">
        <f t="shared" ref="AQ47:AQ59" si="684">IF(AU47=0,0,IF(AU47&lt;0,IF($J47=3,AU47,IF($J47=2,AU47,IF($J47=1,AU47,0)))))</f>
        <v>0</v>
      </c>
      <c r="AR47" s="83">
        <f t="shared" ref="AR47:AR59" si="685">IF(AU47=0,0,IF(AU47&lt;0,IF($J47=6,AU47,IF($J47=5,AU47,IF($J47=4,AU47,0)))))</f>
        <v>0</v>
      </c>
      <c r="AS47" s="83">
        <f t="shared" ref="AS47:AS59" si="686">IF(AU47=0,0,IF(AU47&lt;0,IF($J47=9,AU47,IF($J47=8,AU47,IF($J47=7,AU47,0)))))</f>
        <v>0</v>
      </c>
      <c r="AT47" s="84">
        <f t="shared" ref="AT47:AT59" si="687">IF(AU47=0,0,IF(AU47&lt;0,IF($J47=12,AU47,IF($J47=11,AU47,IF($J47=10,AU47,0)))))</f>
        <v>0</v>
      </c>
      <c r="AU47" s="81">
        <f t="shared" ref="AU47:AU59" si="688">IF(AU$5=$H47,-$E47,0)</f>
        <v>0</v>
      </c>
      <c r="AV47" s="82">
        <f t="shared" ref="AV47:AV59" si="689">IF(AZ47=0,0,IF(AZ47&lt;0,IF($J47=3,AZ47,IF($J47=2,AZ47,IF($J47=1,AZ47,0)))))</f>
        <v>0</v>
      </c>
      <c r="AW47" s="83">
        <f t="shared" ref="AW47:AW59" si="690">IF(AZ47=0,0,IF(AZ47&lt;0,IF($J47=6,AZ47,IF($J47=5,AZ47,IF($J47=4,AZ47,0)))))</f>
        <v>0</v>
      </c>
      <c r="AX47" s="83">
        <f t="shared" ref="AX47:AX59" si="691">IF(AZ47=0,0,IF(AZ47&lt;0,IF($J47=9,AZ47,IF($J47=8,AZ47,IF($J47=7,AZ47,0)))))</f>
        <v>0</v>
      </c>
      <c r="AY47" s="84">
        <f t="shared" ref="AY47:AY59" si="692">IF(AZ47=0,0,IF(AZ47&lt;0,IF($J47=12,AZ47,IF($J47=11,AZ47,IF($J47=10,AZ47,0)))))</f>
        <v>-550</v>
      </c>
      <c r="AZ47" s="81">
        <f t="shared" ref="AZ47:AZ59" si="693">IF(AZ$5=$H47,-$E47,0)</f>
        <v>-550</v>
      </c>
      <c r="BA47" s="82">
        <f t="shared" ref="BA47:BA59" si="694">IF(BE47=0,0,IF(BE47&lt;0,IF($J47=3,BE47,IF($J47=2,BE47,IF($J47=1,BE47,0)))))</f>
        <v>0</v>
      </c>
      <c r="BB47" s="83">
        <f t="shared" ref="BB47:BB59" si="695">IF(BE47=0,0,IF(BE47&lt;0,IF($J47=6,BE47,IF($J47=5,BE47,IF($J47=4,BE47,0)))))</f>
        <v>0</v>
      </c>
      <c r="BC47" s="83">
        <f t="shared" ref="BC47:BC59" si="696">IF(BE47=0,0,IF(BE47&lt;0,IF($J47=9,BE47,IF($J47=8,BE47,IF($J47=7,BE47,0)))))</f>
        <v>0</v>
      </c>
      <c r="BD47" s="84">
        <f t="shared" ref="BD47:BD59" si="697">IF(BE47=0,0,IF(BE47&lt;0,IF($J47=12,BE47,IF($J47=11,BE47,IF($J47=10,BE47,0)))))</f>
        <v>0</v>
      </c>
      <c r="BE47" s="81">
        <f t="shared" ref="BE47:BE59" si="698">IF(BE$5=$H47,-$E47,0)</f>
        <v>0</v>
      </c>
      <c r="BF47" s="1877"/>
      <c r="BG47" s="2005">
        <f t="shared" ref="BG47:BG59" si="699">IF(AND(BF47&lt;&gt;0,BF$5=$H47),-$I47*$E47-BF47,IF(BG$5=$H47,-$I47*$E47*(12-$J47+1)/12,0))</f>
        <v>0</v>
      </c>
      <c r="BH47" s="86">
        <f t="shared" ref="BH47:BH53" si="700">IF($H47&lt;&gt;BL$5,0,IF(BL47&lt;0,IF($J47=1,-$E47*$I47/12*3,IF($J47=2,-$E47*$I47/12*2,IF($J47=3,-$E47*$I47/12*1,0)))))+IF(BG$5&lt;&gt;$H47,0,IF(BG47&lt;0,IF($J47=1,-$E47*$I47/12*0,IF($J47=2,-$E47*$I47/12*1,IF($J47=3,-$E47*$I47/12*2,IF($J47&gt;=4,-$E47*$I47/12*3,0))))))</f>
        <v>0</v>
      </c>
      <c r="BI47" s="87">
        <f t="shared" ref="BI47:BI53" si="701">IF($H47&lt;&gt;BL$5,0,IF(BL47&lt;0,IF(OR($J47=1,$J47=2,$J47=3,$J47=4),-$E47*$I47/12*3,IF($J47=5,-$E47*$I47/12*2,IF($J47=6,-$E47*$I47/12*1,0)))))+IF(BG$5&lt;&gt;$H47,0,IF(BG47&lt;0,IF($J47=4,-$E47*$I47/12*0,IF($J47=5,-$E47*$I47/12*1,IF($J47=6,-$E47*$I47/12*2,IF($J47&gt;=7,-$E47*$I47/12*3,0))))))</f>
        <v>0</v>
      </c>
      <c r="BJ47" s="87">
        <f t="shared" ref="BJ47:BJ53" si="702">IF($H47&lt;&gt;BL$5,0,IF(BL47&lt;0,IF(OR($J47=1,$J47=2,$J47=3,$J47=4,$J47=5,$J47=6,$J47=7),-$E47*$I47/12*3,IF($J47=8,-$E47*$I47/12*2,IF($J47=9,-$E47*$I47/12*1,0)))))+IF(BG$5&lt;&gt;$H47,0,IF(BG47&lt;0,IF($J47=7,-$E47*$I47/12*0,IF($J47=8,-$E47*$I47/12*1,IF($J47=9,-$E47*$I47/12*2,IF($J47&gt;=10,-$E47*$I47/12*3,0))))))</f>
        <v>0</v>
      </c>
      <c r="BK47" s="88">
        <f t="shared" ref="BK47:BK53" si="703">IF($H47&lt;&gt;BL$5,0,IF(BL47&lt;0,IF(OR($J47=1,$J47=2,$J47=3,$J47=4,$J47=5,$J47=6,$J47=7,$J47=8,$J47=9,$J47=10),-$E47*$I47/12*3,IF($J47=11,-$E47*$I47/12*2,IF($J47=12,-$E47*$I47/12*1,0)))))+IF(BG$5&lt;&gt;$H47,0,IF(BG47&lt;0,IF($J47=10,-$E47*$I47/12*0,IF($J47=11,-$E47*$I47/12*1,IF($J47=12,-$E47*$I47/12*2,0)))))</f>
        <v>0</v>
      </c>
      <c r="BL47" s="85">
        <f t="shared" ref="BL47:BL53" si="704">IF(AND(BG47&lt;&gt;0,BG$5=$H47),-$I47*$E47-BG47,IF(BL$5=$H47,-$I47*$E47*(12-$J47+1)/12,0))</f>
        <v>0</v>
      </c>
      <c r="BM47" s="86">
        <f t="shared" ref="BM47:BM53" si="705">IF($H47&lt;&gt;BQ$5,0,IF(BQ47&lt;0,IF($J47=1,-$E47*$I47/12*3,IF($J47=2,-$E47*$I47/12*2,IF($J47=3,-$E47*$I47/12*1,0)))))+IF(BL$5&lt;&gt;$H47,0,IF(BL47&lt;0,IF($J47=1,-$E47*$I47/12*0,IF($J47=2,-$E47*$I47/12*1,IF($J47=3,-$E47*$I47/12*2,IF($J47&gt;=4,-$E47*$I47/12*3,0))))))</f>
        <v>0</v>
      </c>
      <c r="BN47" s="87">
        <f t="shared" ref="BN47:BN53" si="706">IF($H47&lt;&gt;BQ$5,0,IF(BQ47&lt;0,IF(OR($J47=1,$J47=2,$J47=3,$J47=4),-$E47*$I47/12*3,IF($J47=5,-$E47*$I47/12*2,IF($J47=6,-$E47*$I47/12*1,0)))))+IF(BL$5&lt;&gt;$H47,0,IF(BL47&lt;0,IF($J47=4,-$E47*$I47/12*0,IF($J47=5,-$E47*$I47/12*1,IF($J47=6,-$E47*$I47/12*2,IF($J47&gt;=7,-$E47*$I47/12*3,0))))))</f>
        <v>0</v>
      </c>
      <c r="BO47" s="87">
        <f t="shared" ref="BO47:BO53" si="707">IF($H47&lt;&gt;BQ$5,0,IF(BQ47&lt;0,IF(OR($J47=1,$J47=2,$J47=3,$J47=4,$J47=5,$J47=6,$J47=7),-$E47*$I47/12*3,IF($J47=8,-$E47*$I47/12*2,IF($J47=9,-$E47*$I47/12*1,0)))))+IF(BL$5&lt;&gt;$H47,0,IF(BL47&lt;0,IF($J47=7,-$E47*$I47/12*0,IF($J47=8,-$E47*$I47/12*1,IF($J47=9,-$E47*$I47/12*2,IF($J47&gt;=10,-$E47*$I47/12*3,0))))))</f>
        <v>0</v>
      </c>
      <c r="BP47" s="88">
        <f t="shared" ref="BP47:BP53" si="708">IF($H47&lt;&gt;BQ$5,0,IF(BQ47&lt;0,IF(OR($J47=1,$J47=2,$J47=3,$J47=4,$J47=5,$J47=6,$J47=7,$J47=8,$J47=9,$J47=10),-$E47*$I47/12*3,IF($J47=11,-$E47*$I47/12*2,IF($J47=12,-$E47*$I47/12*1,0)))))+IF(BL$5&lt;&gt;$H47,0,IF(BL47&lt;0,IF($J47=10,-$E47*$I47/12*0,IF($J47=11,-$E47*$I47/12*1,IF($J47=12,-$E47*$I47/12*2,0)))))</f>
        <v>0</v>
      </c>
      <c r="BQ47" s="85">
        <f t="shared" ref="BQ47:BQ53" si="709">IF(AND(BL47&lt;&gt;0,BL$5=$H47),-$I47*$E47-BL47,IF(BQ$5=$H47,-$I47*$E47*(12-$J47+1)/12,0))</f>
        <v>0</v>
      </c>
      <c r="BR47" s="86">
        <f t="shared" ref="BR47:BR53" si="710">IF($H47&lt;&gt;BV$5,0,IF(BV47&lt;0,IF($J47=1,-$E47*$I47/12*3,IF($J47=2,-$E47*$I47/12*2,IF($J47=3,-$E47*$I47/12*1,0)))))+IF(BQ$5&lt;&gt;$H47,0,IF(BQ47&lt;0,IF($J47=1,-$E47*$I47/12*0,IF($J47=2,-$E47*$I47/12*1,IF($J47=3,-$E47*$I47/12*2,IF($J47&gt;=4,-$E47*$I47/12*3,0))))))</f>
        <v>0</v>
      </c>
      <c r="BS47" s="87">
        <f t="shared" ref="BS47:BS53" si="711">IF($H47&lt;&gt;BV$5,0,IF(BV47&lt;0,IF(OR($J47=1,$J47=2,$J47=3,$J47=4),-$E47*$I47/12*3,IF($J47=5,-$E47*$I47/12*2,IF($J47=6,-$E47*$I47/12*1,0)))))+IF(BQ$5&lt;&gt;$H47,0,IF(BQ47&lt;0,IF($J47=4,-$E47*$I47/12*0,IF($J47=5,-$E47*$I47/12*1,IF($J47=6,-$E47*$I47/12*2,IF($J47&gt;=7,-$E47*$I47/12*3,0))))))</f>
        <v>0</v>
      </c>
      <c r="BT47" s="87">
        <f t="shared" ref="BT47:BT53" si="712">IF($H47&lt;&gt;BV$5,0,IF(BV47&lt;0,IF(OR($J47=1,$J47=2,$J47=3,$J47=4,$J47=5,$J47=6,$J47=7),-$E47*$I47/12*3,IF($J47=8,-$E47*$I47/12*2,IF($J47=9,-$E47*$I47/12*1,0)))))+IF(BQ$5&lt;&gt;$H47,0,IF(BQ47&lt;0,IF($J47=7,-$E47*$I47/12*0,IF($J47=8,-$E47*$I47/12*1,IF($J47=9,-$E47*$I47/12*2,IF($J47&gt;=10,-$E47*$I47/12*3,0))))))</f>
        <v>0</v>
      </c>
      <c r="BU47" s="88">
        <f t="shared" ref="BU47:BU53" si="713">IF($H47&lt;&gt;BV$5,0,IF(BV47&lt;0,IF(OR($J47=1,$J47=2,$J47=3,$J47=4,$J47=5,$J47=6,$J47=7,$J47=8,$J47=9,$J47=10),-$E47*$I47/12*3,IF($J47=11,-$E47*$I47/12*2,IF($J47=12,-$E47*$I47/12*1,0)))))+IF(BQ$5&lt;&gt;$H47,0,IF(BQ47&lt;0,IF($J47=10,-$E47*$I47/12*0,IF($J47=11,-$E47*$I47/12*1,IF($J47=12,-$E47*$I47/12*2,0)))))</f>
        <v>0</v>
      </c>
      <c r="BV47" s="85">
        <f t="shared" ref="BV47:BV53" si="714">IF(AND(BQ47&lt;&gt;0,BQ$5=$H47),-$I47*$E47-BQ47,IF(BV$5=$H47,-$I47*$E47*(12-$J47+1)/12,0))</f>
        <v>0</v>
      </c>
      <c r="BW47" s="86">
        <f t="shared" ref="BW47:BW53" si="715">IF($H47&lt;&gt;CA$5,0,IF(CA47&lt;0,IF($J47=1,-$E47*$I47/12*3,IF($J47=2,-$E47*$I47/12*2,IF($J47=3,-$E47*$I47/12*1,0)))))+IF(BV$5&lt;&gt;$H47,0,IF(BV47&lt;0,IF($J47=1,-$E47*$I47/12*0,IF($J47=2,-$E47*$I47/12*1,IF($J47=3,-$E47*$I47/12*2,IF($J47&gt;=4,-$E47*$I47/12*3,0))))))</f>
        <v>0</v>
      </c>
      <c r="BX47" s="87">
        <f t="shared" ref="BX47:BX53" si="716">IF($H47&lt;&gt;CA$5,0,IF(CA47&lt;0,IF(OR($J47=1,$J47=2,$J47=3,$J47=4),-$E47*$I47/12*3,IF($J47=5,-$E47*$I47/12*2,IF($J47=6,-$E47*$I47/12*1,0)))))+IF(BV$5&lt;&gt;$H47,0,IF(BV47&lt;0,IF($J47=4,-$E47*$I47/12*0,IF($J47=5,-$E47*$I47/12*1,IF($J47=6,-$E47*$I47/12*2,IF($J47&gt;=7,-$E47*$I47/12*3,0))))))</f>
        <v>0</v>
      </c>
      <c r="BY47" s="87">
        <f t="shared" ref="BY47:BY53" si="717">IF($H47&lt;&gt;CA$5,0,IF(CA47&lt;0,IF(OR($J47=1,$J47=2,$J47=3,$J47=4,$J47=5,$J47=6,$J47=7),-$E47*$I47/12*3,IF($J47=8,-$E47*$I47/12*2,IF($J47=9,-$E47*$I47/12*1,0)))))+IF(BV$5&lt;&gt;$H47,0,IF(BV47&lt;0,IF($J47=7,-$E47*$I47/12*0,IF($J47=8,-$E47*$I47/12*1,IF($J47=9,-$E47*$I47/12*2,IF($J47&gt;=10,-$E47*$I47/12*3,0))))))</f>
        <v>0</v>
      </c>
      <c r="BZ47" s="88">
        <f t="shared" ref="BZ47:BZ53" si="718">IF($H47&lt;&gt;CA$5,0,IF(CA47&lt;0,IF(OR($J47=1,$J47=2,$J47=3,$J47=4,$J47=5,$J47=6,$J47=7,$J47=8,$J47=9,$J47=10),-$E47*$I47/12*3,IF($J47=11,-$E47*$I47/12*2,IF($J47=12,-$E47*$I47/12*1,0)))))+IF(BV$5&lt;&gt;$H47,0,IF(BV47&lt;0,IF($J47=10,-$E47*$I47/12*0,IF($J47=11,-$E47*$I47/12*1,IF($J47=12,-$E47*$I47/12*2,0)))))</f>
        <v>0</v>
      </c>
      <c r="CA47" s="85">
        <f t="shared" ref="CA47:CA53" si="719">IF(AND(BV47&lt;&gt;0,BV$5=$H47),-$I47*$E47-BV47,IF(CA$5=$H47,-$I47*$E47*(12-$J47+1)/12,0))</f>
        <v>0</v>
      </c>
      <c r="CB47" s="86">
        <f t="shared" ref="CB47:CB59" si="720">IF($H47&lt;&gt;CF$5,0,IF(CF47&lt;0,IF($J47=1,-$E47*$I47/12*3,IF($J47=2,-$E47*$I47/12*2,IF($J47=3,-$E47*$I47/12*1,0)))))+IF(CA$5&lt;&gt;$H47,0,IF(CA47&lt;0,IF($J47=1,-$E47*$I47/12*0,IF($J47=2,-$E47*$I47/12*1,IF($J47=3,-$E47*$I47/12*2,IF($J47&gt;=4,-$E47*$I47/12*3,0))))))</f>
        <v>0</v>
      </c>
      <c r="CC47" s="87">
        <f t="shared" ref="CC47:CC59" si="721">IF($H47&lt;&gt;CF$5,0,IF(CF47&lt;0,IF(OR($J47=1,$J47=2,$J47=3,$J47=4),-$E47*$I47/12*3,IF($J47=5,-$E47*$I47/12*2,IF($J47=6,-$E47*$I47/12*1,0)))))+IF(CA$5&lt;&gt;$H47,0,IF(CA47&lt;0,IF($J47=4,-$E47*$I47/12*0,IF($J47=5,-$E47*$I47/12*1,IF($J47=6,-$E47*$I47/12*2,IF($J47&gt;=7,-$E47*$I47/12*3,0))))))</f>
        <v>0</v>
      </c>
      <c r="CD47" s="87">
        <f t="shared" ref="CD47:CD59" si="722">IF($H47&lt;&gt;CF$5,0,IF(CF47&lt;0,IF(OR($J47=1,$J47=2,$J47=3,$J47=4,$J47=5,$J47=6,$J47=7),-$E47*$I47/12*3,IF($J47=8,-$E47*$I47/12*2,IF($J47=9,-$E47*$I47/12*1,0)))))+IF(CA$5&lt;&gt;$H47,0,IF(CA47&lt;0,IF($J47=7,-$E47*$I47/12*0,IF($J47=8,-$E47*$I47/12*1,IF($J47=9,-$E47*$I47/12*2,IF($J47&gt;=10,-$E47*$I47/12*3,0))))))</f>
        <v>0</v>
      </c>
      <c r="CE47" s="88">
        <f t="shared" ref="CE47:CE59" si="723">IF($H47&lt;&gt;CF$5,0,IF(CF47&lt;0,IF(OR($J47=1,$J47=2,$J47=3,$J47=4,$J47=5,$J47=6,$J47=7,$J47=8,$J47=9,$J47=10),-$E47*$I47/12*3,IF($J47=11,-$E47*$I47/12*2,IF($J47=12,-$E47*$I47/12*1,0)))))+IF(CA$5&lt;&gt;$H47,0,IF(CA47&lt;0,IF($J47=10,-$E47*$I47/12*0,IF($J47=11,-$E47*$I47/12*1,IF($J47=12,-$E47*$I47/12*2,0)))))</f>
        <v>0</v>
      </c>
      <c r="CF47" s="85">
        <f t="shared" ref="CF47:CF59" si="724">IF(AND(CA47&lt;&gt;0,CA$5=$H47),-$I47*$E47-CA47,IF(CF$5=$H47,-$I47*$E47*(12-$J47+1)/12,0))</f>
        <v>0</v>
      </c>
      <c r="CG47" s="86">
        <f t="shared" ref="CG47:CG59" si="725">IF($H47&lt;&gt;CK$5,0,IF(CK47&lt;0,IF($J47=1,-$E47*$I47/12*3,IF($J47=2,-$E47*$I47/12*2,IF($J47=3,-$E47*$I47/12*1,0)))))+IF(CF$5&lt;&gt;$H47,0,IF(CF47&lt;0,IF($J47=1,-$E47*$I47/12*0,IF($J47=2,-$E47*$I47/12*1,IF($J47=3,-$E47*$I47/12*2,IF($J47&gt;=4,-$E47*$I47/12*3,0))))))</f>
        <v>0</v>
      </c>
      <c r="CH47" s="87">
        <f t="shared" ref="CH47:CH59" si="726">IF($H47&lt;&gt;CK$5,0,IF(CK47&lt;0,IF(OR($J47=1,$J47=2,$J47=3,$J47=4),-$E47*$I47/12*3,IF($J47=5,-$E47*$I47/12*2,IF($J47=6,-$E47*$I47/12*1,0)))))+IF(CF$5&lt;&gt;$H47,0,IF(CF47&lt;0,IF($J47=4,-$E47*$I47/12*0,IF($J47=5,-$E47*$I47/12*1,IF($J47=6,-$E47*$I47/12*2,IF($J47&gt;=7,-$E47*$I47/12*3,0))))))</f>
        <v>0</v>
      </c>
      <c r="CI47" s="87">
        <f t="shared" ref="CI47:CI59" si="727">IF($H47&lt;&gt;CK$5,0,IF(CK47&lt;0,IF(OR($J47=1,$J47=2,$J47=3,$J47=4,$J47=5,$J47=6,$J47=7),-$E47*$I47/12*3,IF($J47=8,-$E47*$I47/12*2,IF($J47=9,-$E47*$I47/12*1,0)))))+IF(CF$5&lt;&gt;$H47,0,IF(CF47&lt;0,IF($J47=7,-$E47*$I47/12*0,IF($J47=8,-$E47*$I47/12*1,IF($J47=9,-$E47*$I47/12*2,IF($J47&gt;=10,-$E47*$I47/12*3,0))))))</f>
        <v>0</v>
      </c>
      <c r="CJ47" s="88">
        <f t="shared" ref="CJ47:CJ59" si="728">IF($H47&lt;&gt;CK$5,0,IF(CK47&lt;0,IF(OR($J47=1,$J47=2,$J47=3,$J47=4,$J47=5,$J47=6,$J47=7,$J47=8,$J47=9,$J47=10),-$E47*$I47/12*3,IF($J47=11,-$E47*$I47/12*2,IF($J47=12,-$E47*$I47/12*1,0)))))+IF(CF$5&lt;&gt;$H47,0,IF(CF47&lt;0,IF($J47=10,-$E47*$I47/12*0,IF($J47=11,-$E47*$I47/12*1,IF($J47=12,-$E47*$I47/12*2,0)))))</f>
        <v>0</v>
      </c>
      <c r="CK47" s="85">
        <f t="shared" ref="CK47:CK59" si="729">IF(AND(CF47&lt;&gt;0,CF$5=$H47),-$I47*$E47-CF47,IF(CK$5=$H47,-$I47*$E47*(12-$J47+1)/12,0))</f>
        <v>0</v>
      </c>
      <c r="CL47" s="86">
        <f t="shared" ref="CL47:CL59" si="730">IF($H47&lt;&gt;CP$5,0,IF(CP47&lt;0,IF($J47=1,-$E47*$I47/12*3,IF($J47=2,-$E47*$I47/12*2,IF($J47=3,-$E47*$I47/12*1,0)))))+IF(CK$5&lt;&gt;$H47,0,IF(CK47&lt;0,IF($J47=1,-$E47*$I47/12*0,IF($J47=2,-$E47*$I47/12*1,IF($J47=3,-$E47*$I47/12*2,IF($J47&gt;=4,-$E47*$I47/12*3,0))))))</f>
        <v>0</v>
      </c>
      <c r="CM47" s="87">
        <f t="shared" ref="CM47:CM59" si="731">IF($H47&lt;&gt;CP$5,0,IF(CP47&lt;0,IF(OR($J47=1,$J47=2,$J47=3,$J47=4),-$E47*$I47/12*3,IF($J47=5,-$E47*$I47/12*2,IF($J47=6,-$E47*$I47/12*1,0)))))+IF(CK$5&lt;&gt;$H47,0,IF(CK47&lt;0,IF($J47=4,-$E47*$I47/12*0,IF($J47=5,-$E47*$I47/12*1,IF($J47=6,-$E47*$I47/12*2,IF($J47&gt;=7,-$E47*$I47/12*3,0))))))</f>
        <v>0</v>
      </c>
      <c r="CN47" s="87">
        <f t="shared" ref="CN47:CN59" si="732">IF($H47&lt;&gt;CP$5,0,IF(CP47&lt;0,IF(OR($J47=1,$J47=2,$J47=3,$J47=4,$J47=5,$J47=6,$J47=7),-$E47*$I47/12*3,IF($J47=8,-$E47*$I47/12*2,IF($J47=9,-$E47*$I47/12*1,0)))))+IF(CK$5&lt;&gt;$H47,0,IF(CK47&lt;0,IF($J47=7,-$E47*$I47/12*0,IF($J47=8,-$E47*$I47/12*1,IF($J47=9,-$E47*$I47/12*2,IF($J47&gt;=10,-$E47*$I47/12*3,0))))))</f>
        <v>0</v>
      </c>
      <c r="CO47" s="88">
        <f t="shared" ref="CO47:CO59" si="733">IF($H47&lt;&gt;CP$5,0,IF(CP47&lt;0,IF(OR($J47=1,$J47=2,$J47=3,$J47=4,$J47=5,$J47=6,$J47=7,$J47=8,$J47=9,$J47=10),-$E47*$I47/12*3,IF($J47=11,-$E47*$I47/12*2,IF($J47=12,-$E47*$I47/12*1,0)))))+IF(CK$5&lt;&gt;$H47,0,IF(CK47&lt;0,IF($J47=10,-$E47*$I47/12*0,IF($J47=11,-$E47*$I47/12*1,IF($J47=12,-$E47*$I47/12*2,0)))))</f>
        <v>0</v>
      </c>
      <c r="CP47" s="85">
        <f t="shared" ref="CP47:CP59" si="734">IF(AND(CK47&lt;&gt;0,CK$5=$H47),-$I47*$E47-CK47,IF(CP$5=$H47,-$I47*$E47*(12-$J47+1)/12,0))</f>
        <v>0</v>
      </c>
      <c r="CQ47" s="86">
        <f t="shared" ref="CQ47:CQ59" si="735">IF($H47&lt;&gt;CU$5,0,IF(CU47&lt;0,IF($J47=1,-$E47*$I47/12*3,IF($J47=2,-$E47*$I47/12*2,IF($J47=3,-$E47*$I47/12*1,0)))))+IF(CP$5&lt;&gt;$H47,0,IF(CP47&lt;0,IF($J47=1,-$E47*$I47/12*0,IF($J47=2,-$E47*$I47/12*1,IF($J47=3,-$E47*$I47/12*2,IF($J47&gt;=4,-$E47*$I47/12*3,0))))))</f>
        <v>0</v>
      </c>
      <c r="CR47" s="87">
        <f t="shared" ref="CR47:CR59" si="736">IF($H47&lt;&gt;CU$5,0,IF(CU47&lt;0,IF(OR($J47=1,$J47=2,$J47=3,$J47=4),-$E47*$I47/12*3,IF($J47=5,-$E47*$I47/12*2,IF($J47=6,-$E47*$I47/12*1,0)))))+IF(CP$5&lt;&gt;$H47,0,IF(CP47&lt;0,IF($J47=4,-$E47*$I47/12*0,IF($J47=5,-$E47*$I47/12*1,IF($J47=6,-$E47*$I47/12*2,IF($J47&gt;=7,-$E47*$I47/12*3,0))))))</f>
        <v>0</v>
      </c>
      <c r="CS47" s="87">
        <f t="shared" ref="CS47:CS59" si="737">IF($H47&lt;&gt;CU$5,0,IF(CU47&lt;0,IF(OR($J47=1,$J47=2,$J47=3,$J47=4,$J47=5,$J47=6,$J47=7),-$E47*$I47/12*3,IF($J47=8,-$E47*$I47/12*2,IF($J47=9,-$E47*$I47/12*1,0)))))+IF(CP$5&lt;&gt;$H47,0,IF(CP47&lt;0,IF($J47=7,-$E47*$I47/12*0,IF($J47=8,-$E47*$I47/12*1,IF($J47=9,-$E47*$I47/12*2,IF($J47&gt;=10,-$E47*$I47/12*3,0))))))</f>
        <v>0</v>
      </c>
      <c r="CT47" s="88">
        <f t="shared" ref="CT47:CT59" si="738">IF($H47&lt;&gt;CU$5,0,IF(CU47&lt;0,IF(OR($J47=1,$J47=2,$J47=3,$J47=4,$J47=5,$J47=6,$J47=7,$J47=8,$J47=9,$J47=10),-$E47*$I47/12*3,IF($J47=11,-$E47*$I47/12*2,IF($J47=12,-$E47*$I47/12*1,0)))))+IF(CP$5&lt;&gt;$H47,0,IF(CP47&lt;0,IF($J47=10,-$E47*$I47/12*0,IF($J47=11,-$E47*$I47/12*1,IF($J47=12,-$E47*$I47/12*2,0)))))</f>
        <v>-5.5</v>
      </c>
      <c r="CU47" s="85">
        <f t="shared" ref="CU47:CU59" si="739">IF(AND(CP47&lt;&gt;0,CP$5=$H47),-$I47*$E47-CP47,IF(CU$5=$H47,-$I47*$E47*(12-$J47+1)/12,0))</f>
        <v>-5.5</v>
      </c>
      <c r="CV47" s="86">
        <f t="shared" ref="CV47:CV59" si="740">IF($H47&lt;&gt;CZ$5,0,IF(CZ47&lt;0,IF($J47=1,-$E47*$I47/12*3,IF($J47=2,-$E47*$I47/12*2,IF($J47=3,-$E47*$I47/12*1,0)))))+IF(CU$5&lt;&gt;$H47,0,IF(CU47&lt;0,IF($J47=1,-$E47*$I47/12*0,IF($J47=2,-$E47*$I47/12*1,IF($J47=3,-$E47*$I47/12*2,IF($J47&gt;=4,-$E47*$I47/12*3,0))))))</f>
        <v>-5.5</v>
      </c>
      <c r="CW47" s="87">
        <f t="shared" ref="CW47:CW59" si="741">IF($H47&lt;&gt;CZ$5,0,IF(CZ47&lt;0,IF(OR($J47=1,$J47=2,$J47=3,$J47=4),-$E47*$I47/12*3,IF($J47=5,-$E47*$I47/12*2,IF($J47=6,-$E47*$I47/12*1,0)))))+IF(CU$5&lt;&gt;$H47,0,IF(CU47&lt;0,IF($J47=4,-$E47*$I47/12*0,IF($J47=5,-$E47*$I47/12*1,IF($J47=6,-$E47*$I47/12*2,IF($J47&gt;=7,-$E47*$I47/12*3,0))))))</f>
        <v>-5.5</v>
      </c>
      <c r="CX47" s="87">
        <f t="shared" ref="CX47:CX59" si="742">IF($H47&lt;&gt;CZ$5,0,IF(CZ47&lt;0,IF(OR($J47=1,$J47=2,$J47=3,$J47=4,$J47=5,$J47=6,$J47=7),-$E47*$I47/12*3,IF($J47=8,-$E47*$I47/12*2,IF($J47=9,-$E47*$I47/12*1,0)))))+IF(CU$5&lt;&gt;$H47,0,IF(CU47&lt;0,IF($J47=7,-$E47*$I47/12*0,IF($J47=8,-$E47*$I47/12*1,IF($J47=9,-$E47*$I47/12*2,IF($J47&gt;=10,-$E47*$I47/12*3,0))))))</f>
        <v>-5.5</v>
      </c>
      <c r="CY47" s="88">
        <f t="shared" ref="CY47:CY59" si="743">IF($H47&lt;&gt;CZ$5,0,IF(CZ47&lt;0,IF(OR($J47=1,$J47=2,$J47=3,$J47=4,$J47=5,$J47=6,$J47=7,$J47=8,$J47=9,$J47=10),-$E47*$I47/12*3,IF($J47=11,-$E47*$I47/12*2,IF($J47=12,-$E47*$I47/12*1,0)))))+IF(CU$5&lt;&gt;$H47,0,IF(CU47&lt;0,IF($J47=10,-$E47*$I47/12*0,IF($J47=11,-$E47*$I47/12*1,IF($J47=12,-$E47*$I47/12*2,0)))))</f>
        <v>0</v>
      </c>
      <c r="CZ47" s="85">
        <f t="shared" ref="CZ47:CZ59" si="744">IF(AND(CU47&lt;&gt;0,CU$5=$H47),-$I47*$E47-CU47,IF(CZ$5=$H47,-$I47*$E47*(12-$J47+1)/12,0))</f>
        <v>-16.5</v>
      </c>
    </row>
    <row r="48" spans="1:104" ht="12.75" customHeight="1">
      <c r="A48" s="4"/>
      <c r="B48" s="4"/>
      <c r="C48" s="2116" t="s">
        <v>826</v>
      </c>
      <c r="D48" s="2114"/>
      <c r="E48" s="2115">
        <f t="shared" si="652"/>
        <v>350</v>
      </c>
      <c r="F48" s="2314">
        <v>350</v>
      </c>
      <c r="G48" s="1510">
        <v>350</v>
      </c>
      <c r="H48" s="1334">
        <v>2041</v>
      </c>
      <c r="I48" s="1513">
        <v>6.25E-2</v>
      </c>
      <c r="J48" s="1334">
        <v>10</v>
      </c>
      <c r="K48" s="80"/>
      <c r="L48" s="81">
        <f t="shared" si="653"/>
        <v>0</v>
      </c>
      <c r="M48" s="82">
        <f t="shared" si="654"/>
        <v>0</v>
      </c>
      <c r="N48" s="83">
        <f t="shared" si="655"/>
        <v>0</v>
      </c>
      <c r="O48" s="83">
        <f t="shared" si="656"/>
        <v>0</v>
      </c>
      <c r="P48" s="84">
        <f t="shared" si="657"/>
        <v>0</v>
      </c>
      <c r="Q48" s="81">
        <f t="shared" si="658"/>
        <v>0</v>
      </c>
      <c r="R48" s="82">
        <f t="shared" si="659"/>
        <v>0</v>
      </c>
      <c r="S48" s="83">
        <f t="shared" si="660"/>
        <v>0</v>
      </c>
      <c r="T48" s="83">
        <f t="shared" si="661"/>
        <v>0</v>
      </c>
      <c r="U48" s="84">
        <f t="shared" si="662"/>
        <v>0</v>
      </c>
      <c r="V48" s="81">
        <f t="shared" si="663"/>
        <v>0</v>
      </c>
      <c r="W48" s="82">
        <f t="shared" si="664"/>
        <v>0</v>
      </c>
      <c r="X48" s="83">
        <f t="shared" si="665"/>
        <v>0</v>
      </c>
      <c r="Y48" s="83">
        <f t="shared" si="666"/>
        <v>0</v>
      </c>
      <c r="Z48" s="84">
        <f t="shared" si="667"/>
        <v>0</v>
      </c>
      <c r="AA48" s="81">
        <f t="shared" si="668"/>
        <v>0</v>
      </c>
      <c r="AB48" s="82">
        <f t="shared" si="669"/>
        <v>0</v>
      </c>
      <c r="AC48" s="83">
        <f t="shared" si="670"/>
        <v>0</v>
      </c>
      <c r="AD48" s="83">
        <f t="shared" si="671"/>
        <v>0</v>
      </c>
      <c r="AE48" s="84">
        <f t="shared" si="672"/>
        <v>0</v>
      </c>
      <c r="AF48" s="81">
        <f t="shared" si="673"/>
        <v>0</v>
      </c>
      <c r="AG48" s="82">
        <f t="shared" si="674"/>
        <v>0</v>
      </c>
      <c r="AH48" s="83">
        <f t="shared" si="675"/>
        <v>0</v>
      </c>
      <c r="AI48" s="83">
        <f t="shared" si="676"/>
        <v>0</v>
      </c>
      <c r="AJ48" s="84">
        <f t="shared" si="677"/>
        <v>0</v>
      </c>
      <c r="AK48" s="81">
        <f t="shared" si="678"/>
        <v>0</v>
      </c>
      <c r="AL48" s="82">
        <f t="shared" si="679"/>
        <v>0</v>
      </c>
      <c r="AM48" s="83">
        <f t="shared" si="680"/>
        <v>0</v>
      </c>
      <c r="AN48" s="83">
        <f t="shared" si="681"/>
        <v>0</v>
      </c>
      <c r="AO48" s="84">
        <f t="shared" si="682"/>
        <v>0</v>
      </c>
      <c r="AP48" s="81">
        <f t="shared" si="683"/>
        <v>0</v>
      </c>
      <c r="AQ48" s="82">
        <f t="shared" si="684"/>
        <v>0</v>
      </c>
      <c r="AR48" s="83">
        <f t="shared" si="685"/>
        <v>0</v>
      </c>
      <c r="AS48" s="83">
        <f t="shared" si="686"/>
        <v>0</v>
      </c>
      <c r="AT48" s="84">
        <f t="shared" si="687"/>
        <v>0</v>
      </c>
      <c r="AU48" s="81">
        <f t="shared" si="688"/>
        <v>0</v>
      </c>
      <c r="AV48" s="82">
        <f t="shared" si="689"/>
        <v>0</v>
      </c>
      <c r="AW48" s="83">
        <f t="shared" si="690"/>
        <v>0</v>
      </c>
      <c r="AX48" s="83">
        <f t="shared" si="691"/>
        <v>0</v>
      </c>
      <c r="AY48" s="84">
        <f t="shared" si="692"/>
        <v>0</v>
      </c>
      <c r="AZ48" s="81">
        <f t="shared" si="693"/>
        <v>0</v>
      </c>
      <c r="BA48" s="82">
        <f t="shared" si="694"/>
        <v>0</v>
      </c>
      <c r="BB48" s="83">
        <f t="shared" si="695"/>
        <v>0</v>
      </c>
      <c r="BC48" s="83">
        <f t="shared" si="696"/>
        <v>0</v>
      </c>
      <c r="BD48" s="84">
        <f t="shared" si="697"/>
        <v>0</v>
      </c>
      <c r="BE48" s="81">
        <f t="shared" si="698"/>
        <v>0</v>
      </c>
      <c r="BF48" s="1877"/>
      <c r="BG48" s="2005">
        <f t="shared" si="699"/>
        <v>0</v>
      </c>
      <c r="BH48" s="86">
        <f t="shared" si="700"/>
        <v>0</v>
      </c>
      <c r="BI48" s="87">
        <f t="shared" si="701"/>
        <v>0</v>
      </c>
      <c r="BJ48" s="87">
        <f t="shared" si="702"/>
        <v>0</v>
      </c>
      <c r="BK48" s="88">
        <f t="shared" si="703"/>
        <v>0</v>
      </c>
      <c r="BL48" s="85">
        <f t="shared" si="704"/>
        <v>0</v>
      </c>
      <c r="BM48" s="86">
        <f t="shared" si="705"/>
        <v>0</v>
      </c>
      <c r="BN48" s="87">
        <f t="shared" si="706"/>
        <v>0</v>
      </c>
      <c r="BO48" s="87">
        <f t="shared" si="707"/>
        <v>0</v>
      </c>
      <c r="BP48" s="88">
        <f t="shared" si="708"/>
        <v>0</v>
      </c>
      <c r="BQ48" s="85">
        <f t="shared" si="709"/>
        <v>0</v>
      </c>
      <c r="BR48" s="86">
        <f t="shared" si="710"/>
        <v>0</v>
      </c>
      <c r="BS48" s="87">
        <f t="shared" si="711"/>
        <v>0</v>
      </c>
      <c r="BT48" s="87">
        <f t="shared" si="712"/>
        <v>0</v>
      </c>
      <c r="BU48" s="88">
        <f t="shared" si="713"/>
        <v>0</v>
      </c>
      <c r="BV48" s="85">
        <f t="shared" si="714"/>
        <v>0</v>
      </c>
      <c r="BW48" s="86">
        <f t="shared" si="715"/>
        <v>0</v>
      </c>
      <c r="BX48" s="87">
        <f t="shared" si="716"/>
        <v>0</v>
      </c>
      <c r="BY48" s="87">
        <f t="shared" si="717"/>
        <v>0</v>
      </c>
      <c r="BZ48" s="88">
        <f t="shared" si="718"/>
        <v>0</v>
      </c>
      <c r="CA48" s="85">
        <f t="shared" si="719"/>
        <v>0</v>
      </c>
      <c r="CB48" s="86">
        <f t="shared" si="720"/>
        <v>0</v>
      </c>
      <c r="CC48" s="87">
        <f t="shared" si="721"/>
        <v>0</v>
      </c>
      <c r="CD48" s="87">
        <f t="shared" si="722"/>
        <v>0</v>
      </c>
      <c r="CE48" s="88">
        <f t="shared" si="723"/>
        <v>0</v>
      </c>
      <c r="CF48" s="85">
        <f t="shared" si="724"/>
        <v>0</v>
      </c>
      <c r="CG48" s="86">
        <f t="shared" si="725"/>
        <v>0</v>
      </c>
      <c r="CH48" s="87">
        <f t="shared" si="726"/>
        <v>0</v>
      </c>
      <c r="CI48" s="87">
        <f t="shared" si="727"/>
        <v>0</v>
      </c>
      <c r="CJ48" s="88">
        <f t="shared" si="728"/>
        <v>0</v>
      </c>
      <c r="CK48" s="85">
        <f t="shared" si="729"/>
        <v>0</v>
      </c>
      <c r="CL48" s="86">
        <f t="shared" si="730"/>
        <v>0</v>
      </c>
      <c r="CM48" s="87">
        <f t="shared" si="731"/>
        <v>0</v>
      </c>
      <c r="CN48" s="87">
        <f t="shared" si="732"/>
        <v>0</v>
      </c>
      <c r="CO48" s="88">
        <f t="shared" si="733"/>
        <v>0</v>
      </c>
      <c r="CP48" s="85">
        <f t="shared" si="734"/>
        <v>0</v>
      </c>
      <c r="CQ48" s="86">
        <f t="shared" si="735"/>
        <v>0</v>
      </c>
      <c r="CR48" s="87">
        <f t="shared" si="736"/>
        <v>0</v>
      </c>
      <c r="CS48" s="87">
        <f t="shared" si="737"/>
        <v>0</v>
      </c>
      <c r="CT48" s="88">
        <f t="shared" si="738"/>
        <v>0</v>
      </c>
      <c r="CU48" s="85">
        <f t="shared" si="739"/>
        <v>0</v>
      </c>
      <c r="CV48" s="86">
        <f t="shared" si="740"/>
        <v>0</v>
      </c>
      <c r="CW48" s="87">
        <f t="shared" si="741"/>
        <v>0</v>
      </c>
      <c r="CX48" s="87">
        <f t="shared" si="742"/>
        <v>0</v>
      </c>
      <c r="CY48" s="88">
        <f t="shared" si="743"/>
        <v>0</v>
      </c>
      <c r="CZ48" s="85">
        <f t="shared" si="744"/>
        <v>0</v>
      </c>
    </row>
    <row r="49" spans="1:265" ht="12.75" customHeight="1">
      <c r="A49" s="4"/>
      <c r="B49" s="4"/>
      <c r="C49" t="s">
        <v>1101</v>
      </c>
      <c r="D49" s="2114"/>
      <c r="E49" s="2115">
        <f t="shared" si="652"/>
        <v>700</v>
      </c>
      <c r="F49" s="2314">
        <v>0</v>
      </c>
      <c r="G49" s="1510">
        <v>700</v>
      </c>
      <c r="H49" s="1334">
        <v>2017</v>
      </c>
      <c r="I49" s="1513">
        <v>6.2E-2</v>
      </c>
      <c r="J49" s="1334">
        <v>10</v>
      </c>
      <c r="K49" s="80"/>
      <c r="L49" s="81">
        <f t="shared" si="653"/>
        <v>0</v>
      </c>
      <c r="M49" s="82">
        <f t="shared" si="654"/>
        <v>0</v>
      </c>
      <c r="N49" s="83">
        <f t="shared" si="655"/>
        <v>0</v>
      </c>
      <c r="O49" s="83">
        <f t="shared" si="656"/>
        <v>0</v>
      </c>
      <c r="P49" s="84">
        <f t="shared" si="657"/>
        <v>0</v>
      </c>
      <c r="Q49" s="81">
        <f t="shared" si="658"/>
        <v>0</v>
      </c>
      <c r="R49" s="82">
        <f t="shared" si="659"/>
        <v>0</v>
      </c>
      <c r="S49" s="83">
        <f t="shared" si="660"/>
        <v>0</v>
      </c>
      <c r="T49" s="83">
        <f t="shared" si="661"/>
        <v>0</v>
      </c>
      <c r="U49" s="84">
        <f t="shared" si="662"/>
        <v>0</v>
      </c>
      <c r="V49" s="81">
        <f t="shared" si="663"/>
        <v>0</v>
      </c>
      <c r="W49" s="82">
        <f t="shared" si="664"/>
        <v>0</v>
      </c>
      <c r="X49" s="83">
        <f t="shared" si="665"/>
        <v>0</v>
      </c>
      <c r="Y49" s="83">
        <f t="shared" si="666"/>
        <v>0</v>
      </c>
      <c r="Z49" s="84">
        <f t="shared" si="667"/>
        <v>0</v>
      </c>
      <c r="AA49" s="81">
        <f t="shared" si="668"/>
        <v>0</v>
      </c>
      <c r="AB49" s="82">
        <f t="shared" si="669"/>
        <v>0</v>
      </c>
      <c r="AC49" s="83">
        <f t="shared" si="670"/>
        <v>0</v>
      </c>
      <c r="AD49" s="83">
        <f t="shared" si="671"/>
        <v>0</v>
      </c>
      <c r="AE49" s="84">
        <f t="shared" si="672"/>
        <v>0</v>
      </c>
      <c r="AF49" s="81">
        <f t="shared" si="673"/>
        <v>0</v>
      </c>
      <c r="AG49" s="82">
        <f t="shared" si="674"/>
        <v>0</v>
      </c>
      <c r="AH49" s="83">
        <f t="shared" si="675"/>
        <v>0</v>
      </c>
      <c r="AI49" s="83">
        <f t="shared" si="676"/>
        <v>0</v>
      </c>
      <c r="AJ49" s="84">
        <f t="shared" si="677"/>
        <v>-700</v>
      </c>
      <c r="AK49" s="81">
        <f t="shared" si="678"/>
        <v>-700</v>
      </c>
      <c r="AL49" s="82">
        <f t="shared" si="679"/>
        <v>0</v>
      </c>
      <c r="AM49" s="83">
        <f t="shared" si="680"/>
        <v>0</v>
      </c>
      <c r="AN49" s="83">
        <f t="shared" si="681"/>
        <v>0</v>
      </c>
      <c r="AO49" s="84">
        <f t="shared" si="682"/>
        <v>0</v>
      </c>
      <c r="AP49" s="81">
        <f t="shared" si="683"/>
        <v>0</v>
      </c>
      <c r="AQ49" s="82">
        <f t="shared" si="684"/>
        <v>0</v>
      </c>
      <c r="AR49" s="83">
        <f t="shared" si="685"/>
        <v>0</v>
      </c>
      <c r="AS49" s="83">
        <f t="shared" si="686"/>
        <v>0</v>
      </c>
      <c r="AT49" s="84">
        <f t="shared" si="687"/>
        <v>0</v>
      </c>
      <c r="AU49" s="81">
        <f t="shared" si="688"/>
        <v>0</v>
      </c>
      <c r="AV49" s="82">
        <f t="shared" si="689"/>
        <v>0</v>
      </c>
      <c r="AW49" s="83">
        <f t="shared" si="690"/>
        <v>0</v>
      </c>
      <c r="AX49" s="83">
        <f t="shared" si="691"/>
        <v>0</v>
      </c>
      <c r="AY49" s="84">
        <f t="shared" si="692"/>
        <v>0</v>
      </c>
      <c r="AZ49" s="81">
        <f t="shared" si="693"/>
        <v>0</v>
      </c>
      <c r="BA49" s="82">
        <f t="shared" si="694"/>
        <v>0</v>
      </c>
      <c r="BB49" s="83">
        <f t="shared" si="695"/>
        <v>0</v>
      </c>
      <c r="BC49" s="83">
        <f t="shared" si="696"/>
        <v>0</v>
      </c>
      <c r="BD49" s="84">
        <f t="shared" si="697"/>
        <v>0</v>
      </c>
      <c r="BE49" s="81">
        <f t="shared" si="698"/>
        <v>0</v>
      </c>
      <c r="BF49" s="1877"/>
      <c r="BG49" s="2005">
        <f t="shared" si="699"/>
        <v>0</v>
      </c>
      <c r="BH49" s="86">
        <f t="shared" si="700"/>
        <v>0</v>
      </c>
      <c r="BI49" s="87">
        <f t="shared" si="701"/>
        <v>0</v>
      </c>
      <c r="BJ49" s="87">
        <f t="shared" si="702"/>
        <v>0</v>
      </c>
      <c r="BK49" s="88">
        <f t="shared" si="703"/>
        <v>0</v>
      </c>
      <c r="BL49" s="85">
        <f t="shared" si="704"/>
        <v>0</v>
      </c>
      <c r="BM49" s="86">
        <f t="shared" si="705"/>
        <v>0</v>
      </c>
      <c r="BN49" s="87">
        <f t="shared" si="706"/>
        <v>0</v>
      </c>
      <c r="BO49" s="87">
        <f t="shared" si="707"/>
        <v>0</v>
      </c>
      <c r="BP49" s="88">
        <f t="shared" si="708"/>
        <v>0</v>
      </c>
      <c r="BQ49" s="85">
        <f t="shared" si="709"/>
        <v>0</v>
      </c>
      <c r="BR49" s="86">
        <f t="shared" si="710"/>
        <v>0</v>
      </c>
      <c r="BS49" s="87">
        <f t="shared" si="711"/>
        <v>0</v>
      </c>
      <c r="BT49" s="87">
        <f t="shared" si="712"/>
        <v>0</v>
      </c>
      <c r="BU49" s="88">
        <f t="shared" si="713"/>
        <v>0</v>
      </c>
      <c r="BV49" s="85">
        <f t="shared" si="714"/>
        <v>0</v>
      </c>
      <c r="BW49" s="86">
        <f t="shared" si="715"/>
        <v>0</v>
      </c>
      <c r="BX49" s="87">
        <f t="shared" si="716"/>
        <v>0</v>
      </c>
      <c r="BY49" s="87">
        <f t="shared" si="717"/>
        <v>0</v>
      </c>
      <c r="BZ49" s="88">
        <f t="shared" si="718"/>
        <v>0</v>
      </c>
      <c r="CA49" s="85">
        <f t="shared" si="719"/>
        <v>0</v>
      </c>
      <c r="CB49" s="86">
        <f t="shared" si="720"/>
        <v>0</v>
      </c>
      <c r="CC49" s="87">
        <f t="shared" si="721"/>
        <v>0</v>
      </c>
      <c r="CD49" s="87">
        <f t="shared" si="722"/>
        <v>0</v>
      </c>
      <c r="CE49" s="88">
        <f t="shared" si="723"/>
        <v>-10.85</v>
      </c>
      <c r="CF49" s="85">
        <f t="shared" si="724"/>
        <v>-10.85</v>
      </c>
      <c r="CG49" s="86">
        <f t="shared" si="725"/>
        <v>-10.85</v>
      </c>
      <c r="CH49" s="87">
        <f t="shared" si="726"/>
        <v>-10.85</v>
      </c>
      <c r="CI49" s="87">
        <f t="shared" si="727"/>
        <v>-10.85</v>
      </c>
      <c r="CJ49" s="88">
        <f t="shared" si="728"/>
        <v>0</v>
      </c>
      <c r="CK49" s="85">
        <f t="shared" si="729"/>
        <v>-32.549999999999997</v>
      </c>
      <c r="CL49" s="86">
        <f t="shared" si="730"/>
        <v>0</v>
      </c>
      <c r="CM49" s="87">
        <f t="shared" si="731"/>
        <v>0</v>
      </c>
      <c r="CN49" s="87">
        <f t="shared" si="732"/>
        <v>0</v>
      </c>
      <c r="CO49" s="88">
        <f t="shared" si="733"/>
        <v>0</v>
      </c>
      <c r="CP49" s="85">
        <f t="shared" si="734"/>
        <v>0</v>
      </c>
      <c r="CQ49" s="86">
        <f t="shared" si="735"/>
        <v>0</v>
      </c>
      <c r="CR49" s="87">
        <f t="shared" si="736"/>
        <v>0</v>
      </c>
      <c r="CS49" s="87">
        <f t="shared" si="737"/>
        <v>0</v>
      </c>
      <c r="CT49" s="88">
        <f t="shared" si="738"/>
        <v>0</v>
      </c>
      <c r="CU49" s="85">
        <f t="shared" si="739"/>
        <v>0</v>
      </c>
      <c r="CV49" s="86">
        <f t="shared" si="740"/>
        <v>0</v>
      </c>
      <c r="CW49" s="87">
        <f t="shared" si="741"/>
        <v>0</v>
      </c>
      <c r="CX49" s="87">
        <f t="shared" si="742"/>
        <v>0</v>
      </c>
      <c r="CY49" s="88">
        <f t="shared" si="743"/>
        <v>0</v>
      </c>
      <c r="CZ49" s="85">
        <f t="shared" si="744"/>
        <v>0</v>
      </c>
    </row>
    <row r="50" spans="1:265" ht="12.75" customHeight="1">
      <c r="A50" s="4"/>
      <c r="B50" s="4"/>
      <c r="C50" t="s">
        <v>1098</v>
      </c>
      <c r="D50" s="2114"/>
      <c r="E50" s="2115">
        <f t="shared" si="652"/>
        <v>900</v>
      </c>
      <c r="F50" s="2314">
        <f>900</f>
        <v>900</v>
      </c>
      <c r="G50" s="1510">
        <f>900</f>
        <v>900</v>
      </c>
      <c r="H50" s="1334">
        <v>2039</v>
      </c>
      <c r="I50" s="1513">
        <v>6.25E-2</v>
      </c>
      <c r="J50" s="1334">
        <v>10</v>
      </c>
      <c r="K50" s="80"/>
      <c r="L50" s="81">
        <f t="shared" si="653"/>
        <v>0</v>
      </c>
      <c r="M50" s="82">
        <f>IF(Q50=0,0,IF(Q50&lt;0,IF($J50=3,Q50,IF($J50=2,Q50,IF($J50=1,Q50,0)))))</f>
        <v>0</v>
      </c>
      <c r="N50" s="83">
        <f>IF(Q50=0,0,IF(Q50&lt;0,IF($J50=6,Q50,IF($J50=5,Q50,IF($J50=4,Q50,0)))))</f>
        <v>0</v>
      </c>
      <c r="O50" s="83">
        <f>IF(Q50=0,0,IF(Q50&lt;0,IF($J50=9,Q50,IF($J50=8,Q50,IF($J50=7,Q50,0)))))</f>
        <v>0</v>
      </c>
      <c r="P50" s="84">
        <f>IF(Q50=0,0,IF(Q50&lt;0,IF($J50=12,Q50,IF($J50=11,Q50,IF($J50=10,Q50,0)))))</f>
        <v>0</v>
      </c>
      <c r="Q50" s="81">
        <f t="shared" si="658"/>
        <v>0</v>
      </c>
      <c r="R50" s="82">
        <f>IF(V50=0,0,IF(V50&lt;0,IF($J50=3,V50,IF($J50=2,V50,IF($J50=1,V50,0)))))</f>
        <v>0</v>
      </c>
      <c r="S50" s="83">
        <f>IF(V50=0,0,IF(V50&lt;0,IF($J50=6,V50,IF($J50=5,V50,IF($J50=4,V50,0)))))</f>
        <v>0</v>
      </c>
      <c r="T50" s="83">
        <f>IF(V50=0,0,IF(V50&lt;0,IF($J50=9,V50,IF($J50=8,V50,IF($J50=7,V50,0)))))</f>
        <v>0</v>
      </c>
      <c r="U50" s="84">
        <f>IF(V50=0,0,IF(V50&lt;0,IF($J50=12,V50,IF($J50=11,V50,IF($J50=10,V50,0)))))</f>
        <v>0</v>
      </c>
      <c r="V50" s="81">
        <f t="shared" si="663"/>
        <v>0</v>
      </c>
      <c r="W50" s="82">
        <f>IF(AA50=0,0,IF(AA50&lt;0,IF($J50=3,AA50,IF($J50=2,AA50,IF($J50=1,AA50,0)))))</f>
        <v>0</v>
      </c>
      <c r="X50" s="83">
        <f>IF(AA50=0,0,IF(AA50&lt;0,IF($J50=6,AA50,IF($J50=5,AA50,IF($J50=4,AA50,0)))))</f>
        <v>0</v>
      </c>
      <c r="Y50" s="83">
        <f>IF(AA50=0,0,IF(AA50&lt;0,IF($J50=9,AA50,IF($J50=8,AA50,IF($J50=7,AA50,0)))))</f>
        <v>0</v>
      </c>
      <c r="Z50" s="84">
        <f>IF(AA50=0,0,IF(AA50&lt;0,IF($J50=12,AA50,IF($J50=11,AA50,IF($J50=10,AA50,0)))))</f>
        <v>0</v>
      </c>
      <c r="AA50" s="81">
        <f t="shared" si="668"/>
        <v>0</v>
      </c>
      <c r="AB50" s="82">
        <f>IF(AF50=0,0,IF(AF50&lt;0,IF($J50=3,AF50,IF($J50=2,AF50,IF($J50=1,AF50,0)))))</f>
        <v>0</v>
      </c>
      <c r="AC50" s="83">
        <f>IF(AF50=0,0,IF(AF50&lt;0,IF($J50=6,AF50,IF($J50=5,AF50,IF($J50=4,AF50,0)))))</f>
        <v>0</v>
      </c>
      <c r="AD50" s="83">
        <f>IF(AF50=0,0,IF(AF50&lt;0,IF($J50=9,AF50,IF($J50=8,AF50,IF($J50=7,AF50,0)))))</f>
        <v>0</v>
      </c>
      <c r="AE50" s="84">
        <f>IF(AF50=0,0,IF(AF50&lt;0,IF($J50=12,AF50,IF($J50=11,AF50,IF($J50=10,AF50,0)))))</f>
        <v>0</v>
      </c>
      <c r="AF50" s="81">
        <f t="shared" si="673"/>
        <v>0</v>
      </c>
      <c r="AG50" s="82">
        <f t="shared" si="674"/>
        <v>0</v>
      </c>
      <c r="AH50" s="83">
        <f t="shared" si="675"/>
        <v>0</v>
      </c>
      <c r="AI50" s="83">
        <f t="shared" si="676"/>
        <v>0</v>
      </c>
      <c r="AJ50" s="84">
        <f t="shared" si="677"/>
        <v>0</v>
      </c>
      <c r="AK50" s="81">
        <f t="shared" si="678"/>
        <v>0</v>
      </c>
      <c r="AL50" s="82">
        <f t="shared" si="679"/>
        <v>0</v>
      </c>
      <c r="AM50" s="83">
        <f t="shared" si="680"/>
        <v>0</v>
      </c>
      <c r="AN50" s="83">
        <f t="shared" si="681"/>
        <v>0</v>
      </c>
      <c r="AO50" s="84">
        <f t="shared" si="682"/>
        <v>0</v>
      </c>
      <c r="AP50" s="81">
        <f t="shared" si="683"/>
        <v>0</v>
      </c>
      <c r="AQ50" s="82">
        <f t="shared" si="684"/>
        <v>0</v>
      </c>
      <c r="AR50" s="83">
        <f t="shared" si="685"/>
        <v>0</v>
      </c>
      <c r="AS50" s="83">
        <f t="shared" si="686"/>
        <v>0</v>
      </c>
      <c r="AT50" s="84">
        <f t="shared" si="687"/>
        <v>0</v>
      </c>
      <c r="AU50" s="81">
        <f t="shared" si="688"/>
        <v>0</v>
      </c>
      <c r="AV50" s="82">
        <f t="shared" si="689"/>
        <v>0</v>
      </c>
      <c r="AW50" s="83">
        <f t="shared" si="690"/>
        <v>0</v>
      </c>
      <c r="AX50" s="83">
        <f t="shared" si="691"/>
        <v>0</v>
      </c>
      <c r="AY50" s="84">
        <f t="shared" si="692"/>
        <v>0</v>
      </c>
      <c r="AZ50" s="81">
        <f t="shared" si="693"/>
        <v>0</v>
      </c>
      <c r="BA50" s="82">
        <f t="shared" si="694"/>
        <v>0</v>
      </c>
      <c r="BB50" s="83">
        <f t="shared" si="695"/>
        <v>0</v>
      </c>
      <c r="BC50" s="83">
        <f t="shared" si="696"/>
        <v>0</v>
      </c>
      <c r="BD50" s="84">
        <f t="shared" si="697"/>
        <v>0</v>
      </c>
      <c r="BE50" s="81">
        <f t="shared" si="698"/>
        <v>0</v>
      </c>
      <c r="BF50" s="1877"/>
      <c r="BG50" s="2005">
        <f t="shared" si="699"/>
        <v>0</v>
      </c>
      <c r="BH50" s="86">
        <f>IF($H50&lt;&gt;BL$5,0,IF(BL50&lt;0,IF($J50=1,-$E50*$I50/12*3,IF($J50=2,-$E50*$I50/12*2,IF($J50=3,-$E50*$I50/12*1,0)))))+IF(BG$5&lt;&gt;$H50,0,IF(BG50&lt;0,IF($J50=1,-$E50*$I50/12*0,IF($J50=2,-$E50*$I50/12*1,IF($J50=3,-$E50*$I50/12*2,IF($J50&gt;=4,-$E50*$I50/12*3,0))))))</f>
        <v>0</v>
      </c>
      <c r="BI50" s="87">
        <f>IF($H50&lt;&gt;BL$5,0,IF(BL50&lt;0,IF(OR($J50=1,$J50=2,$J50=3,$J50=4),-$E50*$I50/12*3,IF($J50=5,-$E50*$I50/12*2,IF($J50=6,-$E50*$I50/12*1,0)))))+IF(BG$5&lt;&gt;$H50,0,IF(BG50&lt;0,IF($J50=4,-$E50*$I50/12*0,IF($J50=5,-$E50*$I50/12*1,IF($J50=6,-$E50*$I50/12*2,IF($J50&gt;=7,-$E50*$I50/12*3,0))))))</f>
        <v>0</v>
      </c>
      <c r="BJ50" s="87">
        <f>IF($H50&lt;&gt;BL$5,0,IF(BL50&lt;0,IF(OR($J50=1,$J50=2,$J50=3,$J50=4,$J50=5,$J50=6,$J50=7),-$E50*$I50/12*3,IF($J50=8,-$E50*$I50/12*2,IF($J50=9,-$E50*$I50/12*1,0)))))+IF(BG$5&lt;&gt;$H50,0,IF(BG50&lt;0,IF($J50=7,-$E50*$I50/12*0,IF($J50=8,-$E50*$I50/12*1,IF($J50=9,-$E50*$I50/12*2,IF($J50&gt;=10,-$E50*$I50/12*3,0))))))</f>
        <v>0</v>
      </c>
      <c r="BK50" s="88">
        <f>IF($H50&lt;&gt;BL$5,0,IF(BL50&lt;0,IF(OR($J50=1,$J50=2,$J50=3,$J50=4,$J50=5,$J50=6,$J50=7,$J50=8,$J50=9,$J50=10),-$E50*$I50/12*3,IF($J50=11,-$E50*$I50/12*2,IF($J50=12,-$E50*$I50/12*1,0)))))+IF(BG$5&lt;&gt;$H50,0,IF(BG50&lt;0,IF($J50=10,-$E50*$I50/12*0,IF($J50=11,-$E50*$I50/12*1,IF($J50=12,-$E50*$I50/12*2,0)))))</f>
        <v>0</v>
      </c>
      <c r="BL50" s="85">
        <f>IF(AND(BG50&lt;&gt;0,BG$5=$H50),-$I50*$E50-BG50,IF(BL$5=$H50,-$I50*$E50*(12-$J50+1)/12,0))</f>
        <v>0</v>
      </c>
      <c r="BM50" s="86">
        <f>IF($H50&lt;&gt;BQ$5,0,IF(BQ50&lt;0,IF($J50=1,-$E50*$I50/12*3,IF($J50=2,-$E50*$I50/12*2,IF($J50=3,-$E50*$I50/12*1,0)))))+IF(BL$5&lt;&gt;$H50,0,IF(BL50&lt;0,IF($J50=1,-$E50*$I50/12*0,IF($J50=2,-$E50*$I50/12*1,IF($J50=3,-$E50*$I50/12*2,IF($J50&gt;=4,-$E50*$I50/12*3,0))))))</f>
        <v>0</v>
      </c>
      <c r="BN50" s="87">
        <f>IF($H50&lt;&gt;BQ$5,0,IF(BQ50&lt;0,IF(OR($J50=1,$J50=2,$J50=3,$J50=4),-$E50*$I50/12*3,IF($J50=5,-$E50*$I50/12*2,IF($J50=6,-$E50*$I50/12*1,0)))))+IF(BL$5&lt;&gt;$H50,0,IF(BL50&lt;0,IF($J50=4,-$E50*$I50/12*0,IF($J50=5,-$E50*$I50/12*1,IF($J50=6,-$E50*$I50/12*2,IF($J50&gt;=7,-$E50*$I50/12*3,0))))))</f>
        <v>0</v>
      </c>
      <c r="BO50" s="87">
        <f>IF($H50&lt;&gt;BQ$5,0,IF(BQ50&lt;0,IF(OR($J50=1,$J50=2,$J50=3,$J50=4,$J50=5,$J50=6,$J50=7),-$E50*$I50/12*3,IF($J50=8,-$E50*$I50/12*2,IF($J50=9,-$E50*$I50/12*1,0)))))+IF(BL$5&lt;&gt;$H50,0,IF(BL50&lt;0,IF($J50=7,-$E50*$I50/12*0,IF($J50=8,-$E50*$I50/12*1,IF($J50=9,-$E50*$I50/12*2,IF($J50&gt;=10,-$E50*$I50/12*3,0))))))</f>
        <v>0</v>
      </c>
      <c r="BP50" s="88">
        <f>IF($H50&lt;&gt;BQ$5,0,IF(BQ50&lt;0,IF(OR($J50=1,$J50=2,$J50=3,$J50=4,$J50=5,$J50=6,$J50=7,$J50=8,$J50=9,$J50=10),-$E50*$I50/12*3,IF($J50=11,-$E50*$I50/12*2,IF($J50=12,-$E50*$I50/12*1,0)))))+IF(BL$5&lt;&gt;$H50,0,IF(BL50&lt;0,IF($J50=10,-$E50*$I50/12*0,IF($J50=11,-$E50*$I50/12*1,IF($J50=12,-$E50*$I50/12*2,0)))))</f>
        <v>0</v>
      </c>
      <c r="BQ50" s="85">
        <f>IF(AND(BL50&lt;&gt;0,BL$5=$H50),-$I50*$E50-BL50,IF(BQ$5=$H50,-$I50*$E50*(12-$J50+1)/12,0))</f>
        <v>0</v>
      </c>
      <c r="BR50" s="86">
        <f>IF($H50&lt;&gt;BV$5,0,IF(BV50&lt;0,IF($J50=1,-$E50*$I50/12*3,IF($J50=2,-$E50*$I50/12*2,IF($J50=3,-$E50*$I50/12*1,0)))))+IF(BQ$5&lt;&gt;$H50,0,IF(BQ50&lt;0,IF($J50=1,-$E50*$I50/12*0,IF($J50=2,-$E50*$I50/12*1,IF($J50=3,-$E50*$I50/12*2,IF($J50&gt;=4,-$E50*$I50/12*3,0))))))</f>
        <v>0</v>
      </c>
      <c r="BS50" s="87">
        <f>IF($H50&lt;&gt;BV$5,0,IF(BV50&lt;0,IF(OR($J50=1,$J50=2,$J50=3,$J50=4),-$E50*$I50/12*3,IF($J50=5,-$E50*$I50/12*2,IF($J50=6,-$E50*$I50/12*1,0)))))+IF(BQ$5&lt;&gt;$H50,0,IF(BQ50&lt;0,IF($J50=4,-$E50*$I50/12*0,IF($J50=5,-$E50*$I50/12*1,IF($J50=6,-$E50*$I50/12*2,IF($J50&gt;=7,-$E50*$I50/12*3,0))))))</f>
        <v>0</v>
      </c>
      <c r="BT50" s="87">
        <f>IF($H50&lt;&gt;BV$5,0,IF(BV50&lt;0,IF(OR($J50=1,$J50=2,$J50=3,$J50=4,$J50=5,$J50=6,$J50=7),-$E50*$I50/12*3,IF($J50=8,-$E50*$I50/12*2,IF($J50=9,-$E50*$I50/12*1,0)))))+IF(BQ$5&lt;&gt;$H50,0,IF(BQ50&lt;0,IF($J50=7,-$E50*$I50/12*0,IF($J50=8,-$E50*$I50/12*1,IF($J50=9,-$E50*$I50/12*2,IF($J50&gt;=10,-$E50*$I50/12*3,0))))))</f>
        <v>0</v>
      </c>
      <c r="BU50" s="88">
        <f>IF($H50&lt;&gt;BV$5,0,IF(BV50&lt;0,IF(OR($J50=1,$J50=2,$J50=3,$J50=4,$J50=5,$J50=6,$J50=7,$J50=8,$J50=9,$J50=10),-$E50*$I50/12*3,IF($J50=11,-$E50*$I50/12*2,IF($J50=12,-$E50*$I50/12*1,0)))))+IF(BQ$5&lt;&gt;$H50,0,IF(BQ50&lt;0,IF($J50=10,-$E50*$I50/12*0,IF($J50=11,-$E50*$I50/12*1,IF($J50=12,-$E50*$I50/12*2,0)))))</f>
        <v>0</v>
      </c>
      <c r="BV50" s="85">
        <f>IF(AND(BQ50&lt;&gt;0,BQ$5=$H50),-$I50*$E50-BQ50,IF(BV$5=$H50,-$I50*$E50*(12-$J50+1)/12,0))</f>
        <v>0</v>
      </c>
      <c r="BW50" s="86">
        <f>IF($H50&lt;&gt;CA$5,0,IF(CA50&lt;0,IF($J50=1,-$E50*$I50/12*3,IF($J50=2,-$E50*$I50/12*2,IF($J50=3,-$E50*$I50/12*1,0)))))+IF(BV$5&lt;&gt;$H50,0,IF(BV50&lt;0,IF($J50=1,-$E50*$I50/12*0,IF($J50=2,-$E50*$I50/12*1,IF($J50=3,-$E50*$I50/12*2,IF($J50&gt;=4,-$E50*$I50/12*3,0))))))</f>
        <v>0</v>
      </c>
      <c r="BX50" s="87">
        <f>IF($H50&lt;&gt;CA$5,0,IF(CA50&lt;0,IF(OR($J50=1,$J50=2,$J50=3,$J50=4),-$E50*$I50/12*3,IF($J50=5,-$E50*$I50/12*2,IF($J50=6,-$E50*$I50/12*1,0)))))+IF(BV$5&lt;&gt;$H50,0,IF(BV50&lt;0,IF($J50=4,-$E50*$I50/12*0,IF($J50=5,-$E50*$I50/12*1,IF($J50=6,-$E50*$I50/12*2,IF($J50&gt;=7,-$E50*$I50/12*3,0))))))</f>
        <v>0</v>
      </c>
      <c r="BY50" s="87">
        <f>IF($H50&lt;&gt;CA$5,0,IF(CA50&lt;0,IF(OR($J50=1,$J50=2,$J50=3,$J50=4,$J50=5,$J50=6,$J50=7),-$E50*$I50/12*3,IF($J50=8,-$E50*$I50/12*2,IF($J50=9,-$E50*$I50/12*1,0)))))+IF(BV$5&lt;&gt;$H50,0,IF(BV50&lt;0,IF($J50=7,-$E50*$I50/12*0,IF($J50=8,-$E50*$I50/12*1,IF($J50=9,-$E50*$I50/12*2,IF($J50&gt;=10,-$E50*$I50/12*3,0))))))</f>
        <v>0</v>
      </c>
      <c r="BZ50" s="88">
        <f>IF($H50&lt;&gt;CA$5,0,IF(CA50&lt;0,IF(OR($J50=1,$J50=2,$J50=3,$J50=4,$J50=5,$J50=6,$J50=7,$J50=8,$J50=9,$J50=10),-$E50*$I50/12*3,IF($J50=11,-$E50*$I50/12*2,IF($J50=12,-$E50*$I50/12*1,0)))))+IF(BV$5&lt;&gt;$H50,0,IF(BV50&lt;0,IF($J50=10,-$E50*$I50/12*0,IF($J50=11,-$E50*$I50/12*1,IF($J50=12,-$E50*$I50/12*2,0)))))</f>
        <v>0</v>
      </c>
      <c r="CA50" s="85">
        <f>IF(AND(BV50&lt;&gt;0,BV$5=$H50),-$I50*$E50-BV50,IF(CA$5=$H50,-$I50*$E50*(12-$J50+1)/12,0))</f>
        <v>0</v>
      </c>
      <c r="CB50" s="86">
        <f t="shared" si="720"/>
        <v>0</v>
      </c>
      <c r="CC50" s="87">
        <f t="shared" si="721"/>
        <v>0</v>
      </c>
      <c r="CD50" s="87">
        <f t="shared" si="722"/>
        <v>0</v>
      </c>
      <c r="CE50" s="88">
        <f t="shared" si="723"/>
        <v>0</v>
      </c>
      <c r="CF50" s="85">
        <f t="shared" si="724"/>
        <v>0</v>
      </c>
      <c r="CG50" s="86">
        <f t="shared" si="725"/>
        <v>0</v>
      </c>
      <c r="CH50" s="87">
        <f t="shared" si="726"/>
        <v>0</v>
      </c>
      <c r="CI50" s="87">
        <f t="shared" si="727"/>
        <v>0</v>
      </c>
      <c r="CJ50" s="88">
        <f t="shared" si="728"/>
        <v>0</v>
      </c>
      <c r="CK50" s="85">
        <f t="shared" si="729"/>
        <v>0</v>
      </c>
      <c r="CL50" s="86">
        <f t="shared" si="730"/>
        <v>0</v>
      </c>
      <c r="CM50" s="87">
        <f t="shared" si="731"/>
        <v>0</v>
      </c>
      <c r="CN50" s="87">
        <f t="shared" si="732"/>
        <v>0</v>
      </c>
      <c r="CO50" s="88">
        <f t="shared" si="733"/>
        <v>0</v>
      </c>
      <c r="CP50" s="85">
        <f t="shared" si="734"/>
        <v>0</v>
      </c>
      <c r="CQ50" s="86">
        <f t="shared" si="735"/>
        <v>0</v>
      </c>
      <c r="CR50" s="87">
        <f t="shared" si="736"/>
        <v>0</v>
      </c>
      <c r="CS50" s="87">
        <f t="shared" si="737"/>
        <v>0</v>
      </c>
      <c r="CT50" s="88">
        <f t="shared" si="738"/>
        <v>0</v>
      </c>
      <c r="CU50" s="85">
        <f t="shared" si="739"/>
        <v>0</v>
      </c>
      <c r="CV50" s="86">
        <f t="shared" si="740"/>
        <v>0</v>
      </c>
      <c r="CW50" s="87">
        <f t="shared" si="741"/>
        <v>0</v>
      </c>
      <c r="CX50" s="87">
        <f t="shared" si="742"/>
        <v>0</v>
      </c>
      <c r="CY50" s="88">
        <f t="shared" si="743"/>
        <v>0</v>
      </c>
      <c r="CZ50" s="85">
        <f t="shared" si="744"/>
        <v>0</v>
      </c>
    </row>
    <row r="51" spans="1:265" ht="12.75" customHeight="1">
      <c r="A51" s="4"/>
      <c r="B51" s="4"/>
      <c r="C51" t="s">
        <v>1102</v>
      </c>
      <c r="D51" s="2114"/>
      <c r="E51" s="2115">
        <f t="shared" si="652"/>
        <v>788</v>
      </c>
      <c r="F51" s="2314">
        <v>788</v>
      </c>
      <c r="G51" s="1510">
        <v>788</v>
      </c>
      <c r="H51" s="1334">
        <v>2042</v>
      </c>
      <c r="I51" s="1513">
        <v>5.5999999999999994E-2</v>
      </c>
      <c r="J51" s="1334">
        <v>6</v>
      </c>
      <c r="K51" s="80"/>
      <c r="L51" s="81">
        <f t="shared" si="653"/>
        <v>0</v>
      </c>
      <c r="M51" s="82">
        <f t="shared" si="654"/>
        <v>0</v>
      </c>
      <c r="N51" s="83">
        <f t="shared" si="655"/>
        <v>0</v>
      </c>
      <c r="O51" s="83">
        <f t="shared" si="656"/>
        <v>0</v>
      </c>
      <c r="P51" s="84">
        <f t="shared" si="657"/>
        <v>0</v>
      </c>
      <c r="Q51" s="81">
        <f t="shared" si="658"/>
        <v>0</v>
      </c>
      <c r="R51" s="82">
        <f t="shared" si="659"/>
        <v>0</v>
      </c>
      <c r="S51" s="83">
        <f t="shared" si="660"/>
        <v>0</v>
      </c>
      <c r="T51" s="83">
        <f t="shared" si="661"/>
        <v>0</v>
      </c>
      <c r="U51" s="84">
        <f t="shared" si="662"/>
        <v>0</v>
      </c>
      <c r="V51" s="81">
        <f t="shared" si="663"/>
        <v>0</v>
      </c>
      <c r="W51" s="82">
        <f t="shared" si="664"/>
        <v>0</v>
      </c>
      <c r="X51" s="83">
        <f t="shared" si="665"/>
        <v>0</v>
      </c>
      <c r="Y51" s="83">
        <f t="shared" si="666"/>
        <v>0</v>
      </c>
      <c r="Z51" s="84">
        <f t="shared" si="667"/>
        <v>0</v>
      </c>
      <c r="AA51" s="81">
        <f t="shared" si="668"/>
        <v>0</v>
      </c>
      <c r="AB51" s="82">
        <f t="shared" si="669"/>
        <v>0</v>
      </c>
      <c r="AC51" s="83">
        <f t="shared" si="670"/>
        <v>0</v>
      </c>
      <c r="AD51" s="83">
        <f t="shared" si="671"/>
        <v>0</v>
      </c>
      <c r="AE51" s="84">
        <f t="shared" si="672"/>
        <v>0</v>
      </c>
      <c r="AF51" s="81">
        <f t="shared" si="673"/>
        <v>0</v>
      </c>
      <c r="AG51" s="82">
        <f t="shared" si="674"/>
        <v>0</v>
      </c>
      <c r="AH51" s="83">
        <f t="shared" si="675"/>
        <v>0</v>
      </c>
      <c r="AI51" s="83">
        <f t="shared" si="676"/>
        <v>0</v>
      </c>
      <c r="AJ51" s="84">
        <f t="shared" si="677"/>
        <v>0</v>
      </c>
      <c r="AK51" s="81">
        <f t="shared" si="678"/>
        <v>0</v>
      </c>
      <c r="AL51" s="82">
        <f t="shared" si="679"/>
        <v>0</v>
      </c>
      <c r="AM51" s="83">
        <f t="shared" si="680"/>
        <v>0</v>
      </c>
      <c r="AN51" s="83">
        <f t="shared" si="681"/>
        <v>0</v>
      </c>
      <c r="AO51" s="84">
        <f t="shared" si="682"/>
        <v>0</v>
      </c>
      <c r="AP51" s="81">
        <f t="shared" si="683"/>
        <v>0</v>
      </c>
      <c r="AQ51" s="82">
        <f t="shared" si="684"/>
        <v>0</v>
      </c>
      <c r="AR51" s="83">
        <f t="shared" si="685"/>
        <v>0</v>
      </c>
      <c r="AS51" s="83">
        <f t="shared" si="686"/>
        <v>0</v>
      </c>
      <c r="AT51" s="84">
        <f t="shared" si="687"/>
        <v>0</v>
      </c>
      <c r="AU51" s="81">
        <f t="shared" si="688"/>
        <v>0</v>
      </c>
      <c r="AV51" s="82">
        <f t="shared" si="689"/>
        <v>0</v>
      </c>
      <c r="AW51" s="83">
        <f t="shared" si="690"/>
        <v>0</v>
      </c>
      <c r="AX51" s="83">
        <f t="shared" si="691"/>
        <v>0</v>
      </c>
      <c r="AY51" s="84">
        <f t="shared" si="692"/>
        <v>0</v>
      </c>
      <c r="AZ51" s="81">
        <f t="shared" si="693"/>
        <v>0</v>
      </c>
      <c r="BA51" s="82">
        <f t="shared" si="694"/>
        <v>0</v>
      </c>
      <c r="BB51" s="83">
        <f t="shared" si="695"/>
        <v>0</v>
      </c>
      <c r="BC51" s="83">
        <f t="shared" si="696"/>
        <v>0</v>
      </c>
      <c r="BD51" s="84">
        <f t="shared" si="697"/>
        <v>0</v>
      </c>
      <c r="BE51" s="81">
        <f t="shared" si="698"/>
        <v>0</v>
      </c>
      <c r="BF51" s="1877"/>
      <c r="BG51" s="2005">
        <f t="shared" si="699"/>
        <v>0</v>
      </c>
      <c r="BH51" s="86">
        <f t="shared" si="700"/>
        <v>0</v>
      </c>
      <c r="BI51" s="87">
        <f t="shared" si="701"/>
        <v>0</v>
      </c>
      <c r="BJ51" s="87">
        <f t="shared" si="702"/>
        <v>0</v>
      </c>
      <c r="BK51" s="88">
        <f t="shared" si="703"/>
        <v>0</v>
      </c>
      <c r="BL51" s="85">
        <f t="shared" si="704"/>
        <v>0</v>
      </c>
      <c r="BM51" s="86">
        <f t="shared" si="705"/>
        <v>0</v>
      </c>
      <c r="BN51" s="87">
        <f t="shared" si="706"/>
        <v>0</v>
      </c>
      <c r="BO51" s="87">
        <f t="shared" si="707"/>
        <v>0</v>
      </c>
      <c r="BP51" s="88">
        <f t="shared" si="708"/>
        <v>0</v>
      </c>
      <c r="BQ51" s="85">
        <f t="shared" si="709"/>
        <v>0</v>
      </c>
      <c r="BR51" s="86">
        <f t="shared" si="710"/>
        <v>0</v>
      </c>
      <c r="BS51" s="87">
        <f t="shared" si="711"/>
        <v>0</v>
      </c>
      <c r="BT51" s="87">
        <f t="shared" si="712"/>
        <v>0</v>
      </c>
      <c r="BU51" s="88">
        <f t="shared" si="713"/>
        <v>0</v>
      </c>
      <c r="BV51" s="85">
        <f t="shared" si="714"/>
        <v>0</v>
      </c>
      <c r="BW51" s="86">
        <f t="shared" si="715"/>
        <v>0</v>
      </c>
      <c r="BX51" s="87">
        <f t="shared" si="716"/>
        <v>0</v>
      </c>
      <c r="BY51" s="87">
        <f t="shared" si="717"/>
        <v>0</v>
      </c>
      <c r="BZ51" s="88">
        <f t="shared" si="718"/>
        <v>0</v>
      </c>
      <c r="CA51" s="85">
        <f t="shared" si="719"/>
        <v>0</v>
      </c>
      <c r="CB51" s="86">
        <f t="shared" si="720"/>
        <v>0</v>
      </c>
      <c r="CC51" s="87">
        <f t="shared" si="721"/>
        <v>0</v>
      </c>
      <c r="CD51" s="87">
        <f t="shared" si="722"/>
        <v>0</v>
      </c>
      <c r="CE51" s="88">
        <f t="shared" si="723"/>
        <v>0</v>
      </c>
      <c r="CF51" s="85">
        <f t="shared" si="724"/>
        <v>0</v>
      </c>
      <c r="CG51" s="86">
        <f t="shared" si="725"/>
        <v>0</v>
      </c>
      <c r="CH51" s="87">
        <f t="shared" si="726"/>
        <v>0</v>
      </c>
      <c r="CI51" s="87">
        <f t="shared" si="727"/>
        <v>0</v>
      </c>
      <c r="CJ51" s="88">
        <f t="shared" si="728"/>
        <v>0</v>
      </c>
      <c r="CK51" s="85">
        <f t="shared" si="729"/>
        <v>0</v>
      </c>
      <c r="CL51" s="86">
        <f t="shared" si="730"/>
        <v>0</v>
      </c>
      <c r="CM51" s="87">
        <f t="shared" si="731"/>
        <v>0</v>
      </c>
      <c r="CN51" s="87">
        <f t="shared" si="732"/>
        <v>0</v>
      </c>
      <c r="CO51" s="88">
        <f t="shared" si="733"/>
        <v>0</v>
      </c>
      <c r="CP51" s="85">
        <f t="shared" si="734"/>
        <v>0</v>
      </c>
      <c r="CQ51" s="86">
        <f t="shared" si="735"/>
        <v>0</v>
      </c>
      <c r="CR51" s="87">
        <f t="shared" si="736"/>
        <v>0</v>
      </c>
      <c r="CS51" s="87">
        <f t="shared" si="737"/>
        <v>0</v>
      </c>
      <c r="CT51" s="88">
        <f t="shared" si="738"/>
        <v>0</v>
      </c>
      <c r="CU51" s="85">
        <f t="shared" si="739"/>
        <v>0</v>
      </c>
      <c r="CV51" s="86">
        <f t="shared" si="740"/>
        <v>0</v>
      </c>
      <c r="CW51" s="87">
        <f t="shared" si="741"/>
        <v>0</v>
      </c>
      <c r="CX51" s="87">
        <f t="shared" si="742"/>
        <v>0</v>
      </c>
      <c r="CY51" s="88">
        <f t="shared" si="743"/>
        <v>0</v>
      </c>
      <c r="CZ51" s="85">
        <f t="shared" si="744"/>
        <v>0</v>
      </c>
    </row>
    <row r="52" spans="1:265" ht="12.75" customHeight="1">
      <c r="A52" s="4"/>
      <c r="B52" s="4"/>
      <c r="C52" t="s">
        <v>1099</v>
      </c>
      <c r="D52" s="2114"/>
      <c r="E52" s="2115">
        <f t="shared" si="652"/>
        <v>523</v>
      </c>
      <c r="F52" s="2314">
        <v>523</v>
      </c>
      <c r="G52" s="1510">
        <v>523</v>
      </c>
      <c r="H52" s="1334">
        <v>2022</v>
      </c>
      <c r="I52" s="1513">
        <v>4.2500000000000003E-2</v>
      </c>
      <c r="J52" s="1334">
        <v>6</v>
      </c>
      <c r="K52" s="80"/>
      <c r="L52" s="81">
        <f t="shared" si="653"/>
        <v>0</v>
      </c>
      <c r="M52" s="82">
        <f t="shared" si="654"/>
        <v>0</v>
      </c>
      <c r="N52" s="83">
        <f t="shared" si="655"/>
        <v>0</v>
      </c>
      <c r="O52" s="83">
        <f t="shared" si="656"/>
        <v>0</v>
      </c>
      <c r="P52" s="84">
        <f t="shared" si="657"/>
        <v>0</v>
      </c>
      <c r="Q52" s="81">
        <f t="shared" si="658"/>
        <v>0</v>
      </c>
      <c r="R52" s="82">
        <f t="shared" si="659"/>
        <v>0</v>
      </c>
      <c r="S52" s="83">
        <f t="shared" si="660"/>
        <v>0</v>
      </c>
      <c r="T52" s="83">
        <f t="shared" si="661"/>
        <v>0</v>
      </c>
      <c r="U52" s="84">
        <f t="shared" si="662"/>
        <v>0</v>
      </c>
      <c r="V52" s="81">
        <f t="shared" si="663"/>
        <v>0</v>
      </c>
      <c r="W52" s="82">
        <f t="shared" si="664"/>
        <v>0</v>
      </c>
      <c r="X52" s="83">
        <f t="shared" si="665"/>
        <v>0</v>
      </c>
      <c r="Y52" s="83">
        <f t="shared" si="666"/>
        <v>0</v>
      </c>
      <c r="Z52" s="84">
        <f t="shared" si="667"/>
        <v>0</v>
      </c>
      <c r="AA52" s="81">
        <f t="shared" si="668"/>
        <v>0</v>
      </c>
      <c r="AB52" s="82">
        <f t="shared" si="669"/>
        <v>0</v>
      </c>
      <c r="AC52" s="83">
        <f t="shared" si="670"/>
        <v>0</v>
      </c>
      <c r="AD52" s="83">
        <f t="shared" si="671"/>
        <v>0</v>
      </c>
      <c r="AE52" s="84">
        <f t="shared" si="672"/>
        <v>0</v>
      </c>
      <c r="AF52" s="81">
        <f t="shared" si="673"/>
        <v>0</v>
      </c>
      <c r="AG52" s="82">
        <f t="shared" si="674"/>
        <v>0</v>
      </c>
      <c r="AH52" s="83">
        <f t="shared" si="675"/>
        <v>0</v>
      </c>
      <c r="AI52" s="83">
        <f t="shared" si="676"/>
        <v>0</v>
      </c>
      <c r="AJ52" s="84">
        <f t="shared" si="677"/>
        <v>0</v>
      </c>
      <c r="AK52" s="81">
        <f t="shared" si="678"/>
        <v>0</v>
      </c>
      <c r="AL52" s="82">
        <f t="shared" si="679"/>
        <v>0</v>
      </c>
      <c r="AM52" s="83">
        <f t="shared" si="680"/>
        <v>0</v>
      </c>
      <c r="AN52" s="83">
        <f t="shared" si="681"/>
        <v>0</v>
      </c>
      <c r="AO52" s="84">
        <f t="shared" si="682"/>
        <v>0</v>
      </c>
      <c r="AP52" s="81">
        <f t="shared" si="683"/>
        <v>0</v>
      </c>
      <c r="AQ52" s="82">
        <f t="shared" si="684"/>
        <v>0</v>
      </c>
      <c r="AR52" s="83">
        <f t="shared" si="685"/>
        <v>0</v>
      </c>
      <c r="AS52" s="83">
        <f t="shared" si="686"/>
        <v>0</v>
      </c>
      <c r="AT52" s="84">
        <f t="shared" si="687"/>
        <v>0</v>
      </c>
      <c r="AU52" s="81">
        <f t="shared" si="688"/>
        <v>0</v>
      </c>
      <c r="AV52" s="82">
        <f t="shared" si="689"/>
        <v>0</v>
      </c>
      <c r="AW52" s="83">
        <f t="shared" si="690"/>
        <v>0</v>
      </c>
      <c r="AX52" s="83">
        <f t="shared" si="691"/>
        <v>0</v>
      </c>
      <c r="AY52" s="84">
        <f t="shared" si="692"/>
        <v>0</v>
      </c>
      <c r="AZ52" s="81">
        <f t="shared" si="693"/>
        <v>0</v>
      </c>
      <c r="BA52" s="82">
        <f t="shared" si="694"/>
        <v>0</v>
      </c>
      <c r="BB52" s="83">
        <f t="shared" si="695"/>
        <v>0</v>
      </c>
      <c r="BC52" s="83">
        <f t="shared" si="696"/>
        <v>0</v>
      </c>
      <c r="BD52" s="84">
        <f t="shared" si="697"/>
        <v>0</v>
      </c>
      <c r="BE52" s="81">
        <f t="shared" si="698"/>
        <v>0</v>
      </c>
      <c r="BF52" s="1877"/>
      <c r="BG52" s="2005">
        <f t="shared" si="699"/>
        <v>0</v>
      </c>
      <c r="BH52" s="86">
        <f t="shared" si="700"/>
        <v>0</v>
      </c>
      <c r="BI52" s="87">
        <f t="shared" si="701"/>
        <v>0</v>
      </c>
      <c r="BJ52" s="87">
        <f t="shared" si="702"/>
        <v>0</v>
      </c>
      <c r="BK52" s="88">
        <f t="shared" si="703"/>
        <v>0</v>
      </c>
      <c r="BL52" s="85">
        <f t="shared" si="704"/>
        <v>0</v>
      </c>
      <c r="BM52" s="86">
        <f t="shared" si="705"/>
        <v>0</v>
      </c>
      <c r="BN52" s="87">
        <f t="shared" si="706"/>
        <v>0</v>
      </c>
      <c r="BO52" s="87">
        <f t="shared" si="707"/>
        <v>0</v>
      </c>
      <c r="BP52" s="88">
        <f t="shared" si="708"/>
        <v>0</v>
      </c>
      <c r="BQ52" s="85">
        <f t="shared" si="709"/>
        <v>0</v>
      </c>
      <c r="BR52" s="86">
        <f t="shared" si="710"/>
        <v>0</v>
      </c>
      <c r="BS52" s="87">
        <f t="shared" si="711"/>
        <v>0</v>
      </c>
      <c r="BT52" s="87">
        <f t="shared" si="712"/>
        <v>0</v>
      </c>
      <c r="BU52" s="88">
        <f t="shared" si="713"/>
        <v>0</v>
      </c>
      <c r="BV52" s="85">
        <f t="shared" si="714"/>
        <v>0</v>
      </c>
      <c r="BW52" s="86">
        <f t="shared" si="715"/>
        <v>0</v>
      </c>
      <c r="BX52" s="87">
        <f t="shared" si="716"/>
        <v>0</v>
      </c>
      <c r="BY52" s="87">
        <f t="shared" si="717"/>
        <v>0</v>
      </c>
      <c r="BZ52" s="88">
        <f t="shared" si="718"/>
        <v>0</v>
      </c>
      <c r="CA52" s="85">
        <f t="shared" si="719"/>
        <v>0</v>
      </c>
      <c r="CB52" s="86">
        <f t="shared" si="720"/>
        <v>0</v>
      </c>
      <c r="CC52" s="87">
        <f t="shared" si="721"/>
        <v>0</v>
      </c>
      <c r="CD52" s="87">
        <f t="shared" si="722"/>
        <v>0</v>
      </c>
      <c r="CE52" s="88">
        <f t="shared" si="723"/>
        <v>0</v>
      </c>
      <c r="CF52" s="85">
        <f t="shared" si="724"/>
        <v>0</v>
      </c>
      <c r="CG52" s="86">
        <f t="shared" si="725"/>
        <v>0</v>
      </c>
      <c r="CH52" s="87">
        <f t="shared" si="726"/>
        <v>0</v>
      </c>
      <c r="CI52" s="87">
        <f t="shared" si="727"/>
        <v>0</v>
      </c>
      <c r="CJ52" s="88">
        <f t="shared" si="728"/>
        <v>0</v>
      </c>
      <c r="CK52" s="85">
        <f t="shared" si="729"/>
        <v>0</v>
      </c>
      <c r="CL52" s="86">
        <f t="shared" si="730"/>
        <v>0</v>
      </c>
      <c r="CM52" s="87">
        <f t="shared" si="731"/>
        <v>0</v>
      </c>
      <c r="CN52" s="87">
        <f t="shared" si="732"/>
        <v>0</v>
      </c>
      <c r="CO52" s="88">
        <f t="shared" si="733"/>
        <v>0</v>
      </c>
      <c r="CP52" s="85">
        <f t="shared" si="734"/>
        <v>0</v>
      </c>
      <c r="CQ52" s="86">
        <f t="shared" si="735"/>
        <v>0</v>
      </c>
      <c r="CR52" s="87">
        <f t="shared" si="736"/>
        <v>0</v>
      </c>
      <c r="CS52" s="87">
        <f t="shared" si="737"/>
        <v>0</v>
      </c>
      <c r="CT52" s="88">
        <f t="shared" si="738"/>
        <v>0</v>
      </c>
      <c r="CU52" s="85">
        <f t="shared" si="739"/>
        <v>0</v>
      </c>
      <c r="CV52" s="86">
        <f t="shared" si="740"/>
        <v>0</v>
      </c>
      <c r="CW52" s="87">
        <f t="shared" si="741"/>
        <v>0</v>
      </c>
      <c r="CX52" s="87">
        <f t="shared" si="742"/>
        <v>0</v>
      </c>
      <c r="CY52" s="88">
        <f t="shared" si="743"/>
        <v>0</v>
      </c>
      <c r="CZ52" s="85">
        <f t="shared" si="744"/>
        <v>0</v>
      </c>
    </row>
    <row r="53" spans="1:265" ht="12.75" customHeight="1">
      <c r="A53" s="4"/>
      <c r="B53" s="4"/>
      <c r="C53" s="2000" t="s">
        <v>1352</v>
      </c>
      <c r="D53" s="2114"/>
      <c r="E53" s="2115">
        <f t="shared" si="652"/>
        <v>600</v>
      </c>
      <c r="F53" s="2314">
        <v>600</v>
      </c>
      <c r="G53" s="1510">
        <v>600</v>
      </c>
      <c r="H53" s="1334">
        <v>2019</v>
      </c>
      <c r="I53" s="1513">
        <v>5.1999999999999998E-2</v>
      </c>
      <c r="J53" s="1334">
        <v>10</v>
      </c>
      <c r="K53" s="80"/>
      <c r="L53" s="81">
        <f t="shared" si="653"/>
        <v>0</v>
      </c>
      <c r="M53" s="82">
        <f t="shared" si="654"/>
        <v>0</v>
      </c>
      <c r="N53" s="83">
        <f t="shared" si="655"/>
        <v>0</v>
      </c>
      <c r="O53" s="83">
        <f t="shared" si="656"/>
        <v>0</v>
      </c>
      <c r="P53" s="84">
        <f t="shared" si="657"/>
        <v>0</v>
      </c>
      <c r="Q53" s="81">
        <f t="shared" si="658"/>
        <v>0</v>
      </c>
      <c r="R53" s="82">
        <f t="shared" si="659"/>
        <v>0</v>
      </c>
      <c r="S53" s="83">
        <f t="shared" si="660"/>
        <v>0</v>
      </c>
      <c r="T53" s="83">
        <f t="shared" si="661"/>
        <v>0</v>
      </c>
      <c r="U53" s="84">
        <f t="shared" si="662"/>
        <v>0</v>
      </c>
      <c r="V53" s="81">
        <f t="shared" si="663"/>
        <v>0</v>
      </c>
      <c r="W53" s="82">
        <f t="shared" si="664"/>
        <v>0</v>
      </c>
      <c r="X53" s="83">
        <f t="shared" si="665"/>
        <v>0</v>
      </c>
      <c r="Y53" s="83">
        <f t="shared" si="666"/>
        <v>0</v>
      </c>
      <c r="Z53" s="84">
        <f t="shared" si="667"/>
        <v>0</v>
      </c>
      <c r="AA53" s="81">
        <f t="shared" si="668"/>
        <v>0</v>
      </c>
      <c r="AB53" s="82">
        <f t="shared" si="669"/>
        <v>0</v>
      </c>
      <c r="AC53" s="83">
        <f t="shared" si="670"/>
        <v>0</v>
      </c>
      <c r="AD53" s="83">
        <f t="shared" si="671"/>
        <v>0</v>
      </c>
      <c r="AE53" s="84">
        <f t="shared" si="672"/>
        <v>0</v>
      </c>
      <c r="AF53" s="81">
        <f t="shared" si="673"/>
        <v>0</v>
      </c>
      <c r="AG53" s="82">
        <f t="shared" si="674"/>
        <v>0</v>
      </c>
      <c r="AH53" s="83">
        <f t="shared" si="675"/>
        <v>0</v>
      </c>
      <c r="AI53" s="83">
        <f t="shared" si="676"/>
        <v>0</v>
      </c>
      <c r="AJ53" s="84">
        <f t="shared" si="677"/>
        <v>0</v>
      </c>
      <c r="AK53" s="81">
        <f t="shared" si="678"/>
        <v>0</v>
      </c>
      <c r="AL53" s="82">
        <f t="shared" si="679"/>
        <v>0</v>
      </c>
      <c r="AM53" s="83">
        <f t="shared" si="680"/>
        <v>0</v>
      </c>
      <c r="AN53" s="83">
        <f t="shared" si="681"/>
        <v>0</v>
      </c>
      <c r="AO53" s="84">
        <f t="shared" si="682"/>
        <v>0</v>
      </c>
      <c r="AP53" s="81">
        <f t="shared" si="683"/>
        <v>0</v>
      </c>
      <c r="AQ53" s="82">
        <f t="shared" si="684"/>
        <v>0</v>
      </c>
      <c r="AR53" s="83">
        <f t="shared" si="685"/>
        <v>0</v>
      </c>
      <c r="AS53" s="83">
        <f t="shared" si="686"/>
        <v>0</v>
      </c>
      <c r="AT53" s="84">
        <f t="shared" si="687"/>
        <v>-600</v>
      </c>
      <c r="AU53" s="81">
        <f t="shared" si="688"/>
        <v>-600</v>
      </c>
      <c r="AV53" s="82">
        <f t="shared" si="689"/>
        <v>0</v>
      </c>
      <c r="AW53" s="83">
        <f t="shared" si="690"/>
        <v>0</v>
      </c>
      <c r="AX53" s="83">
        <f t="shared" si="691"/>
        <v>0</v>
      </c>
      <c r="AY53" s="84">
        <f t="shared" si="692"/>
        <v>0</v>
      </c>
      <c r="AZ53" s="81">
        <f t="shared" si="693"/>
        <v>0</v>
      </c>
      <c r="BA53" s="82">
        <f t="shared" si="694"/>
        <v>0</v>
      </c>
      <c r="BB53" s="83">
        <f t="shared" si="695"/>
        <v>0</v>
      </c>
      <c r="BC53" s="83">
        <f t="shared" si="696"/>
        <v>0</v>
      </c>
      <c r="BD53" s="84">
        <f t="shared" si="697"/>
        <v>0</v>
      </c>
      <c r="BE53" s="81">
        <f t="shared" si="698"/>
        <v>0</v>
      </c>
      <c r="BF53" s="1877"/>
      <c r="BG53" s="2005">
        <f t="shared" si="699"/>
        <v>0</v>
      </c>
      <c r="BH53" s="86">
        <f t="shared" si="700"/>
        <v>0</v>
      </c>
      <c r="BI53" s="87">
        <f t="shared" si="701"/>
        <v>0</v>
      </c>
      <c r="BJ53" s="87">
        <f t="shared" si="702"/>
        <v>0</v>
      </c>
      <c r="BK53" s="88">
        <f t="shared" si="703"/>
        <v>0</v>
      </c>
      <c r="BL53" s="85">
        <f t="shared" si="704"/>
        <v>0</v>
      </c>
      <c r="BM53" s="86">
        <f t="shared" si="705"/>
        <v>0</v>
      </c>
      <c r="BN53" s="87">
        <f t="shared" si="706"/>
        <v>0</v>
      </c>
      <c r="BO53" s="87">
        <f t="shared" si="707"/>
        <v>0</v>
      </c>
      <c r="BP53" s="88">
        <f t="shared" si="708"/>
        <v>0</v>
      </c>
      <c r="BQ53" s="85">
        <f t="shared" si="709"/>
        <v>0</v>
      </c>
      <c r="BR53" s="86">
        <f t="shared" si="710"/>
        <v>0</v>
      </c>
      <c r="BS53" s="87">
        <f t="shared" si="711"/>
        <v>0</v>
      </c>
      <c r="BT53" s="87">
        <f t="shared" si="712"/>
        <v>0</v>
      </c>
      <c r="BU53" s="88">
        <f t="shared" si="713"/>
        <v>0</v>
      </c>
      <c r="BV53" s="85">
        <f t="shared" si="714"/>
        <v>0</v>
      </c>
      <c r="BW53" s="86">
        <f t="shared" si="715"/>
        <v>0</v>
      </c>
      <c r="BX53" s="87">
        <f t="shared" si="716"/>
        <v>0</v>
      </c>
      <c r="BY53" s="87">
        <f t="shared" si="717"/>
        <v>0</v>
      </c>
      <c r="BZ53" s="88">
        <f t="shared" si="718"/>
        <v>0</v>
      </c>
      <c r="CA53" s="85">
        <f t="shared" si="719"/>
        <v>0</v>
      </c>
      <c r="CB53" s="86">
        <f t="shared" si="720"/>
        <v>0</v>
      </c>
      <c r="CC53" s="87">
        <f t="shared" si="721"/>
        <v>0</v>
      </c>
      <c r="CD53" s="87">
        <f t="shared" si="722"/>
        <v>0</v>
      </c>
      <c r="CE53" s="88">
        <f t="shared" si="723"/>
        <v>0</v>
      </c>
      <c r="CF53" s="85">
        <f t="shared" si="724"/>
        <v>0</v>
      </c>
      <c r="CG53" s="86">
        <f t="shared" si="725"/>
        <v>0</v>
      </c>
      <c r="CH53" s="87">
        <f t="shared" si="726"/>
        <v>0</v>
      </c>
      <c r="CI53" s="87">
        <f t="shared" si="727"/>
        <v>0</v>
      </c>
      <c r="CJ53" s="88">
        <f t="shared" si="728"/>
        <v>0</v>
      </c>
      <c r="CK53" s="85">
        <f t="shared" si="729"/>
        <v>0</v>
      </c>
      <c r="CL53" s="86">
        <f t="shared" si="730"/>
        <v>0</v>
      </c>
      <c r="CM53" s="87">
        <f t="shared" si="731"/>
        <v>0</v>
      </c>
      <c r="CN53" s="87">
        <f t="shared" si="732"/>
        <v>0</v>
      </c>
      <c r="CO53" s="88">
        <f t="shared" si="733"/>
        <v>-7.8000000000000007</v>
      </c>
      <c r="CP53" s="85">
        <f t="shared" si="734"/>
        <v>-7.8</v>
      </c>
      <c r="CQ53" s="86">
        <f t="shared" si="735"/>
        <v>-7.8000000000000007</v>
      </c>
      <c r="CR53" s="87">
        <f t="shared" si="736"/>
        <v>-7.8000000000000007</v>
      </c>
      <c r="CS53" s="87">
        <f t="shared" si="737"/>
        <v>-7.8000000000000007</v>
      </c>
      <c r="CT53" s="88">
        <f t="shared" si="738"/>
        <v>0</v>
      </c>
      <c r="CU53" s="85">
        <f t="shared" si="739"/>
        <v>-23.4</v>
      </c>
      <c r="CV53" s="86">
        <f t="shared" si="740"/>
        <v>0</v>
      </c>
      <c r="CW53" s="87">
        <f t="shared" si="741"/>
        <v>0</v>
      </c>
      <c r="CX53" s="87">
        <f t="shared" si="742"/>
        <v>0</v>
      </c>
      <c r="CY53" s="88">
        <f t="shared" si="743"/>
        <v>0</v>
      </c>
      <c r="CZ53" s="85">
        <f t="shared" si="744"/>
        <v>0</v>
      </c>
    </row>
    <row r="54" spans="1:265" ht="12.75" customHeight="1">
      <c r="A54" s="4"/>
      <c r="B54" s="4"/>
      <c r="C54" s="2000" t="s">
        <v>1416</v>
      </c>
      <c r="D54" s="2114"/>
      <c r="E54" s="2115">
        <f t="shared" si="652"/>
        <v>435.47</v>
      </c>
      <c r="F54" s="2314">
        <v>435.47</v>
      </c>
      <c r="G54" s="1510">
        <v>435.47</v>
      </c>
      <c r="H54" s="1334">
        <v>2020</v>
      </c>
      <c r="I54" s="1513">
        <f>+AVERAGE(2.5%,2.7%)</f>
        <v>2.6000000000000002E-2</v>
      </c>
      <c r="J54" s="1334">
        <v>9</v>
      </c>
      <c r="K54" s="80"/>
      <c r="L54" s="81">
        <f t="shared" si="653"/>
        <v>0</v>
      </c>
      <c r="M54" s="82">
        <f t="shared" ref="M54:M59" si="745">IF(Q54=0,0,IF(Q54&lt;0,IF($J54=3,Q54,IF($J54=2,Q54,IF($J54=1,Q54,0)))))</f>
        <v>0</v>
      </c>
      <c r="N54" s="83">
        <f t="shared" ref="N54:N59" si="746">IF(Q54=0,0,IF(Q54&lt;0,IF($J54=6,Q54,IF($J54=5,Q54,IF($J54=4,Q54,0)))))</f>
        <v>0</v>
      </c>
      <c r="O54" s="83">
        <f t="shared" ref="O54:O59" si="747">IF(Q54=0,0,IF(Q54&lt;0,IF($J54=9,Q54,IF($J54=8,Q54,IF($J54=7,Q54,0)))))</f>
        <v>0</v>
      </c>
      <c r="P54" s="84">
        <f t="shared" ref="P54:P59" si="748">IF(Q54=0,0,IF(Q54&lt;0,IF($J54=12,Q54,IF($J54=11,Q54,IF($J54=10,Q54,0)))))</f>
        <v>0</v>
      </c>
      <c r="Q54" s="81">
        <f t="shared" si="658"/>
        <v>0</v>
      </c>
      <c r="R54" s="82">
        <f t="shared" ref="R54:R59" si="749">IF(V54=0,0,IF(V54&lt;0,IF($J54=3,V54,IF($J54=2,V54,IF($J54=1,V54,0)))))</f>
        <v>0</v>
      </c>
      <c r="S54" s="83">
        <f t="shared" ref="S54:S59" si="750">IF(V54=0,0,IF(V54&lt;0,IF($J54=6,V54,IF($J54=5,V54,IF($J54=4,V54,0)))))</f>
        <v>0</v>
      </c>
      <c r="T54" s="83">
        <f t="shared" ref="T54:T59" si="751">IF(V54=0,0,IF(V54&lt;0,IF($J54=9,V54,IF($J54=8,V54,IF($J54=7,V54,0)))))</f>
        <v>0</v>
      </c>
      <c r="U54" s="84">
        <f t="shared" ref="U54:U59" si="752">IF(V54=0,0,IF(V54&lt;0,IF($J54=12,V54,IF($J54=11,V54,IF($J54=10,V54,0)))))</f>
        <v>0</v>
      </c>
      <c r="V54" s="81">
        <f t="shared" si="663"/>
        <v>0</v>
      </c>
      <c r="W54" s="82">
        <f t="shared" ref="W54:W59" si="753">IF(AA54=0,0,IF(AA54&lt;0,IF($J54=3,AA54,IF($J54=2,AA54,IF($J54=1,AA54,0)))))</f>
        <v>0</v>
      </c>
      <c r="X54" s="83">
        <f t="shared" ref="X54:X59" si="754">IF(AA54=0,0,IF(AA54&lt;0,IF($J54=6,AA54,IF($J54=5,AA54,IF($J54=4,AA54,0)))))</f>
        <v>0</v>
      </c>
      <c r="Y54" s="83">
        <f t="shared" ref="Y54:Y59" si="755">IF(AA54=0,0,IF(AA54&lt;0,IF($J54=9,AA54,IF($J54=8,AA54,IF($J54=7,AA54,0)))))</f>
        <v>0</v>
      </c>
      <c r="Z54" s="84">
        <f t="shared" ref="Z54:Z59" si="756">IF(AA54=0,0,IF(AA54&lt;0,IF($J54=12,AA54,IF($J54=11,AA54,IF($J54=10,AA54,0)))))</f>
        <v>0</v>
      </c>
      <c r="AA54" s="81">
        <f t="shared" si="668"/>
        <v>0</v>
      </c>
      <c r="AB54" s="82">
        <f t="shared" ref="AB54:AB59" si="757">IF(AF54=0,0,IF(AF54&lt;0,IF($J54=3,AF54,IF($J54=2,AF54,IF($J54=1,AF54,0)))))</f>
        <v>0</v>
      </c>
      <c r="AC54" s="83">
        <f t="shared" ref="AC54:AC59" si="758">IF(AF54=0,0,IF(AF54&lt;0,IF($J54=6,AF54,IF($J54=5,AF54,IF($J54=4,AF54,0)))))</f>
        <v>0</v>
      </c>
      <c r="AD54" s="83">
        <f t="shared" ref="AD54:AD59" si="759">IF(AF54=0,0,IF(AF54&lt;0,IF($J54=9,AF54,IF($J54=8,AF54,IF($J54=7,AF54,0)))))</f>
        <v>0</v>
      </c>
      <c r="AE54" s="84">
        <f t="shared" ref="AE54:AE59" si="760">IF(AF54=0,0,IF(AF54&lt;0,IF($J54=12,AF54,IF($J54=11,AF54,IF($J54=10,AF54,0)))))</f>
        <v>0</v>
      </c>
      <c r="AF54" s="81">
        <f t="shared" si="673"/>
        <v>0</v>
      </c>
      <c r="AG54" s="82">
        <f t="shared" si="674"/>
        <v>0</v>
      </c>
      <c r="AH54" s="83">
        <f t="shared" si="675"/>
        <v>0</v>
      </c>
      <c r="AI54" s="83">
        <f t="shared" si="676"/>
        <v>0</v>
      </c>
      <c r="AJ54" s="84">
        <f t="shared" si="677"/>
        <v>0</v>
      </c>
      <c r="AK54" s="81">
        <f t="shared" si="678"/>
        <v>0</v>
      </c>
      <c r="AL54" s="82">
        <f t="shared" si="679"/>
        <v>0</v>
      </c>
      <c r="AM54" s="83">
        <f t="shared" si="680"/>
        <v>0</v>
      </c>
      <c r="AN54" s="83">
        <f t="shared" si="681"/>
        <v>0</v>
      </c>
      <c r="AO54" s="84">
        <f t="shared" si="682"/>
        <v>0</v>
      </c>
      <c r="AP54" s="81">
        <f t="shared" si="683"/>
        <v>0</v>
      </c>
      <c r="AQ54" s="82">
        <f t="shared" si="684"/>
        <v>0</v>
      </c>
      <c r="AR54" s="83">
        <f t="shared" si="685"/>
        <v>0</v>
      </c>
      <c r="AS54" s="83">
        <f t="shared" si="686"/>
        <v>0</v>
      </c>
      <c r="AT54" s="84">
        <f t="shared" si="687"/>
        <v>0</v>
      </c>
      <c r="AU54" s="81">
        <f t="shared" si="688"/>
        <v>0</v>
      </c>
      <c r="AV54" s="82">
        <f t="shared" si="689"/>
        <v>0</v>
      </c>
      <c r="AW54" s="83">
        <f t="shared" si="690"/>
        <v>0</v>
      </c>
      <c r="AX54" s="83">
        <f t="shared" si="691"/>
        <v>-435.47</v>
      </c>
      <c r="AY54" s="84">
        <f t="shared" si="692"/>
        <v>0</v>
      </c>
      <c r="AZ54" s="81">
        <f t="shared" si="693"/>
        <v>-435.47</v>
      </c>
      <c r="BA54" s="82">
        <f t="shared" si="694"/>
        <v>0</v>
      </c>
      <c r="BB54" s="83">
        <f t="shared" si="695"/>
        <v>0</v>
      </c>
      <c r="BC54" s="83">
        <f t="shared" si="696"/>
        <v>0</v>
      </c>
      <c r="BD54" s="84">
        <f t="shared" si="697"/>
        <v>0</v>
      </c>
      <c r="BE54" s="81">
        <f t="shared" si="698"/>
        <v>0</v>
      </c>
      <c r="BF54" s="1877"/>
      <c r="BG54" s="2005">
        <f t="shared" si="699"/>
        <v>0</v>
      </c>
      <c r="BH54" s="86">
        <f t="shared" ref="BH54:BH59" si="761">IF($H54&lt;&gt;BL$5,0,IF(BL54&lt;0,IF($J54=1,-$E54*$I54/12*3,IF($J54=2,-$E54*$I54/12*2,IF($J54=3,-$E54*$I54/12*1,0)))))+IF(BG$5&lt;&gt;$H54,0,IF(BG54&lt;0,IF($J54=1,-$E54*$I54/12*0,IF($J54=2,-$E54*$I54/12*1,IF($J54=3,-$E54*$I54/12*2,IF($J54&gt;=4,-$E54*$I54/12*3,0))))))</f>
        <v>0</v>
      </c>
      <c r="BI54" s="87">
        <f t="shared" ref="BI54:BI59" si="762">IF($H54&lt;&gt;BL$5,0,IF(BL54&lt;0,IF(OR($J54=1,$J54=2,$J54=3,$J54=4),-$E54*$I54/12*3,IF($J54=5,-$E54*$I54/12*2,IF($J54=6,-$E54*$I54/12*1,0)))))+IF(BG$5&lt;&gt;$H54,0,IF(BG54&lt;0,IF($J54=4,-$E54*$I54/12*0,IF($J54=5,-$E54*$I54/12*1,IF($J54=6,-$E54*$I54/12*2,IF($J54&gt;=7,-$E54*$I54/12*3,0))))))</f>
        <v>0</v>
      </c>
      <c r="BJ54" s="87">
        <f t="shared" ref="BJ54:BJ59" si="763">IF($H54&lt;&gt;BL$5,0,IF(BL54&lt;0,IF(OR($J54=1,$J54=2,$J54=3,$J54=4,$J54=5,$J54=6,$J54=7),-$E54*$I54/12*3,IF($J54=8,-$E54*$I54/12*2,IF($J54=9,-$E54*$I54/12*1,0)))))+IF(BG$5&lt;&gt;$H54,0,IF(BG54&lt;0,IF($J54=7,-$E54*$I54/12*0,IF($J54=8,-$E54*$I54/12*1,IF($J54=9,-$E54*$I54/12*2,IF($J54&gt;=10,-$E54*$I54/12*3,0))))))</f>
        <v>0</v>
      </c>
      <c r="BK54" s="88">
        <f t="shared" ref="BK54:BK59" si="764">IF($H54&lt;&gt;BL$5,0,IF(BL54&lt;0,IF(OR($J54=1,$J54=2,$J54=3,$J54=4,$J54=5,$J54=6,$J54=7,$J54=8,$J54=9,$J54=10),-$E54*$I54/12*3,IF($J54=11,-$E54*$I54/12*2,IF($J54=12,-$E54*$I54/12*1,0)))))+IF(BG$5&lt;&gt;$H54,0,IF(BG54&lt;0,IF($J54=10,-$E54*$I54/12*0,IF($J54=11,-$E54*$I54/12*1,IF($J54=12,-$E54*$I54/12*2,0)))))</f>
        <v>0</v>
      </c>
      <c r="BL54" s="85">
        <f t="shared" ref="BL54:BL59" si="765">IF(AND(BG54&lt;&gt;0,BG$5=$H54),-$I54*$E54-BG54,IF(BL$5=$H54,-$I54*$E54*(12-$J54+1)/12,0))</f>
        <v>0</v>
      </c>
      <c r="BM54" s="86">
        <f t="shared" ref="BM54:BM59" si="766">IF($H54&lt;&gt;BQ$5,0,IF(BQ54&lt;0,IF($J54=1,-$E54*$I54/12*3,IF($J54=2,-$E54*$I54/12*2,IF($J54=3,-$E54*$I54/12*1,0)))))+IF(BL$5&lt;&gt;$H54,0,IF(BL54&lt;0,IF($J54=1,-$E54*$I54/12*0,IF($J54=2,-$E54*$I54/12*1,IF($J54=3,-$E54*$I54/12*2,IF($J54&gt;=4,-$E54*$I54/12*3,0))))))</f>
        <v>0</v>
      </c>
      <c r="BN54" s="87">
        <f t="shared" ref="BN54:BN59" si="767">IF($H54&lt;&gt;BQ$5,0,IF(BQ54&lt;0,IF(OR($J54=1,$J54=2,$J54=3,$J54=4),-$E54*$I54/12*3,IF($J54=5,-$E54*$I54/12*2,IF($J54=6,-$E54*$I54/12*1,0)))))+IF(BL$5&lt;&gt;$H54,0,IF(BL54&lt;0,IF($J54=4,-$E54*$I54/12*0,IF($J54=5,-$E54*$I54/12*1,IF($J54=6,-$E54*$I54/12*2,IF($J54&gt;=7,-$E54*$I54/12*3,0))))))</f>
        <v>0</v>
      </c>
      <c r="BO54" s="87">
        <f t="shared" ref="BO54:BO59" si="768">IF($H54&lt;&gt;BQ$5,0,IF(BQ54&lt;0,IF(OR($J54=1,$J54=2,$J54=3,$J54=4,$J54=5,$J54=6,$J54=7),-$E54*$I54/12*3,IF($J54=8,-$E54*$I54/12*2,IF($J54=9,-$E54*$I54/12*1,0)))))+IF(BL$5&lt;&gt;$H54,0,IF(BL54&lt;0,IF($J54=7,-$E54*$I54/12*0,IF($J54=8,-$E54*$I54/12*1,IF($J54=9,-$E54*$I54/12*2,IF($J54&gt;=10,-$E54*$I54/12*3,0))))))</f>
        <v>0</v>
      </c>
      <c r="BP54" s="88">
        <f t="shared" ref="BP54:BP59" si="769">IF($H54&lt;&gt;BQ$5,0,IF(BQ54&lt;0,IF(OR($J54=1,$J54=2,$J54=3,$J54=4,$J54=5,$J54=6,$J54=7,$J54=8,$J54=9,$J54=10),-$E54*$I54/12*3,IF($J54=11,-$E54*$I54/12*2,IF($J54=12,-$E54*$I54/12*1,0)))))+IF(BL$5&lt;&gt;$H54,0,IF(BL54&lt;0,IF($J54=10,-$E54*$I54/12*0,IF($J54=11,-$E54*$I54/12*1,IF($J54=12,-$E54*$I54/12*2,0)))))</f>
        <v>0</v>
      </c>
      <c r="BQ54" s="85">
        <f t="shared" ref="BQ54:BQ59" si="770">IF(AND(BL54&lt;&gt;0,BL$5=$H54),-$I54*$E54-BL54,IF(BQ$5=$H54,-$I54*$E54*(12-$J54+1)/12,0))</f>
        <v>0</v>
      </c>
      <c r="BR54" s="86">
        <f t="shared" ref="BR54:BR59" si="771">IF($H54&lt;&gt;BV$5,0,IF(BV54&lt;0,IF($J54=1,-$E54*$I54/12*3,IF($J54=2,-$E54*$I54/12*2,IF($J54=3,-$E54*$I54/12*1,0)))))+IF(BQ$5&lt;&gt;$H54,0,IF(BQ54&lt;0,IF($J54=1,-$E54*$I54/12*0,IF($J54=2,-$E54*$I54/12*1,IF($J54=3,-$E54*$I54/12*2,IF($J54&gt;=4,-$E54*$I54/12*3,0))))))</f>
        <v>0</v>
      </c>
      <c r="BS54" s="87">
        <f t="shared" ref="BS54:BS59" si="772">IF($H54&lt;&gt;BV$5,0,IF(BV54&lt;0,IF(OR($J54=1,$J54=2,$J54=3,$J54=4),-$E54*$I54/12*3,IF($J54=5,-$E54*$I54/12*2,IF($J54=6,-$E54*$I54/12*1,0)))))+IF(BQ$5&lt;&gt;$H54,0,IF(BQ54&lt;0,IF($J54=4,-$E54*$I54/12*0,IF($J54=5,-$E54*$I54/12*1,IF($J54=6,-$E54*$I54/12*2,IF($J54&gt;=7,-$E54*$I54/12*3,0))))))</f>
        <v>0</v>
      </c>
      <c r="BT54" s="87">
        <f t="shared" ref="BT54:BT59" si="773">IF($H54&lt;&gt;BV$5,0,IF(BV54&lt;0,IF(OR($J54=1,$J54=2,$J54=3,$J54=4,$J54=5,$J54=6,$J54=7),-$E54*$I54/12*3,IF($J54=8,-$E54*$I54/12*2,IF($J54=9,-$E54*$I54/12*1,0)))))+IF(BQ$5&lt;&gt;$H54,0,IF(BQ54&lt;0,IF($J54=7,-$E54*$I54/12*0,IF($J54=8,-$E54*$I54/12*1,IF($J54=9,-$E54*$I54/12*2,IF($J54&gt;=10,-$E54*$I54/12*3,0))))))</f>
        <v>0</v>
      </c>
      <c r="BU54" s="88">
        <f t="shared" ref="BU54:BU59" si="774">IF($H54&lt;&gt;BV$5,0,IF(BV54&lt;0,IF(OR($J54=1,$J54=2,$J54=3,$J54=4,$J54=5,$J54=6,$J54=7,$J54=8,$J54=9,$J54=10),-$E54*$I54/12*3,IF($J54=11,-$E54*$I54/12*2,IF($J54=12,-$E54*$I54/12*1,0)))))+IF(BQ$5&lt;&gt;$H54,0,IF(BQ54&lt;0,IF($J54=10,-$E54*$I54/12*0,IF($J54=11,-$E54*$I54/12*1,IF($J54=12,-$E54*$I54/12*2,0)))))</f>
        <v>0</v>
      </c>
      <c r="BV54" s="85">
        <f t="shared" ref="BV54:BV59" si="775">IF(AND(BQ54&lt;&gt;0,BQ$5=$H54),-$I54*$E54-BQ54,IF(BV$5=$H54,-$I54*$E54*(12-$J54+1)/12,0))</f>
        <v>0</v>
      </c>
      <c r="BW54" s="86">
        <f t="shared" ref="BW54:BW59" si="776">IF($H54&lt;&gt;CA$5,0,IF(CA54&lt;0,IF($J54=1,-$E54*$I54/12*3,IF($J54=2,-$E54*$I54/12*2,IF($J54=3,-$E54*$I54/12*1,0)))))+IF(BV$5&lt;&gt;$H54,0,IF(BV54&lt;0,IF($J54=1,-$E54*$I54/12*0,IF($J54=2,-$E54*$I54/12*1,IF($J54=3,-$E54*$I54/12*2,IF($J54&gt;=4,-$E54*$I54/12*3,0))))))</f>
        <v>0</v>
      </c>
      <c r="BX54" s="87">
        <f t="shared" ref="BX54:BX59" si="777">IF($H54&lt;&gt;CA$5,0,IF(CA54&lt;0,IF(OR($J54=1,$J54=2,$J54=3,$J54=4),-$E54*$I54/12*3,IF($J54=5,-$E54*$I54/12*2,IF($J54=6,-$E54*$I54/12*1,0)))))+IF(BV$5&lt;&gt;$H54,0,IF(BV54&lt;0,IF($J54=4,-$E54*$I54/12*0,IF($J54=5,-$E54*$I54/12*1,IF($J54=6,-$E54*$I54/12*2,IF($J54&gt;=7,-$E54*$I54/12*3,0))))))</f>
        <v>0</v>
      </c>
      <c r="BY54" s="87">
        <f t="shared" ref="BY54:BY59" si="778">IF($H54&lt;&gt;CA$5,0,IF(CA54&lt;0,IF(OR($J54=1,$J54=2,$J54=3,$J54=4,$J54=5,$J54=6,$J54=7),-$E54*$I54/12*3,IF($J54=8,-$E54*$I54/12*2,IF($J54=9,-$E54*$I54/12*1,0)))))+IF(BV$5&lt;&gt;$H54,0,IF(BV54&lt;0,IF($J54=7,-$E54*$I54/12*0,IF($J54=8,-$E54*$I54/12*1,IF($J54=9,-$E54*$I54/12*2,IF($J54&gt;=10,-$E54*$I54/12*3,0))))))</f>
        <v>0</v>
      </c>
      <c r="BZ54" s="88">
        <f t="shared" ref="BZ54:BZ59" si="779">IF($H54&lt;&gt;CA$5,0,IF(CA54&lt;0,IF(OR($J54=1,$J54=2,$J54=3,$J54=4,$J54=5,$J54=6,$J54=7,$J54=8,$J54=9,$J54=10),-$E54*$I54/12*3,IF($J54=11,-$E54*$I54/12*2,IF($J54=12,-$E54*$I54/12*1,0)))))+IF(BV$5&lt;&gt;$H54,0,IF(BV54&lt;0,IF($J54=10,-$E54*$I54/12*0,IF($J54=11,-$E54*$I54/12*1,IF($J54=12,-$E54*$I54/12*2,0)))))</f>
        <v>0</v>
      </c>
      <c r="CA54" s="85">
        <f t="shared" ref="CA54:CA59" si="780">IF(AND(BV54&lt;&gt;0,BV$5=$H54),-$I54*$E54-BV54,IF(CA$5=$H54,-$I54*$E54*(12-$J54+1)/12,0))</f>
        <v>0</v>
      </c>
      <c r="CB54" s="86">
        <f t="shared" si="720"/>
        <v>0</v>
      </c>
      <c r="CC54" s="87">
        <f t="shared" si="721"/>
        <v>0</v>
      </c>
      <c r="CD54" s="87">
        <f t="shared" si="722"/>
        <v>0</v>
      </c>
      <c r="CE54" s="88">
        <f t="shared" si="723"/>
        <v>0</v>
      </c>
      <c r="CF54" s="85">
        <f t="shared" si="724"/>
        <v>0</v>
      </c>
      <c r="CG54" s="86">
        <f t="shared" si="725"/>
        <v>0</v>
      </c>
      <c r="CH54" s="87">
        <f t="shared" si="726"/>
        <v>0</v>
      </c>
      <c r="CI54" s="87">
        <f t="shared" si="727"/>
        <v>0</v>
      </c>
      <c r="CJ54" s="88">
        <f t="shared" si="728"/>
        <v>0</v>
      </c>
      <c r="CK54" s="85">
        <f t="shared" si="729"/>
        <v>0</v>
      </c>
      <c r="CL54" s="86">
        <f t="shared" si="730"/>
        <v>0</v>
      </c>
      <c r="CM54" s="87">
        <f t="shared" si="731"/>
        <v>0</v>
      </c>
      <c r="CN54" s="87">
        <f t="shared" si="732"/>
        <v>0</v>
      </c>
      <c r="CO54" s="88">
        <f t="shared" si="733"/>
        <v>0</v>
      </c>
      <c r="CP54" s="85">
        <f t="shared" si="734"/>
        <v>0</v>
      </c>
      <c r="CQ54" s="86">
        <f t="shared" si="735"/>
        <v>0</v>
      </c>
      <c r="CR54" s="87">
        <f t="shared" si="736"/>
        <v>0</v>
      </c>
      <c r="CS54" s="87">
        <f t="shared" si="737"/>
        <v>-0.94351833333333346</v>
      </c>
      <c r="CT54" s="88">
        <f t="shared" si="738"/>
        <v>-2.8305550000000004</v>
      </c>
      <c r="CU54" s="85">
        <f t="shared" si="739"/>
        <v>-3.7740733333333338</v>
      </c>
      <c r="CV54" s="86">
        <f t="shared" si="740"/>
        <v>-2.8305550000000004</v>
      </c>
      <c r="CW54" s="87">
        <f t="shared" si="741"/>
        <v>-2.8305550000000004</v>
      </c>
      <c r="CX54" s="87">
        <f t="shared" si="742"/>
        <v>-1.8870366666666669</v>
      </c>
      <c r="CY54" s="88">
        <f t="shared" si="743"/>
        <v>0</v>
      </c>
      <c r="CZ54" s="85">
        <f t="shared" si="744"/>
        <v>-7.5481466666666677</v>
      </c>
    </row>
    <row r="55" spans="1:265" s="232" customFormat="1" ht="12.75" customHeight="1">
      <c r="A55" s="40"/>
      <c r="B55" s="40"/>
      <c r="C55" s="2000" t="s">
        <v>1417</v>
      </c>
      <c r="D55" s="2114"/>
      <c r="E55" s="2115">
        <f t="shared" si="652"/>
        <v>1000</v>
      </c>
      <c r="F55" s="2314">
        <v>1000</v>
      </c>
      <c r="G55" s="1510">
        <v>1000</v>
      </c>
      <c r="H55" s="1334">
        <v>2020</v>
      </c>
      <c r="I55" s="1513">
        <v>2.9499999999999998E-2</v>
      </c>
      <c r="J55" s="1334">
        <v>1</v>
      </c>
      <c r="K55" s="80"/>
      <c r="L55" s="81">
        <f t="shared" si="653"/>
        <v>0</v>
      </c>
      <c r="M55" s="82">
        <f t="shared" si="745"/>
        <v>0</v>
      </c>
      <c r="N55" s="83">
        <f t="shared" si="746"/>
        <v>0</v>
      </c>
      <c r="O55" s="83">
        <f t="shared" si="747"/>
        <v>0</v>
      </c>
      <c r="P55" s="84">
        <f t="shared" si="748"/>
        <v>0</v>
      </c>
      <c r="Q55" s="81">
        <f t="shared" si="658"/>
        <v>0</v>
      </c>
      <c r="R55" s="82">
        <f t="shared" si="749"/>
        <v>0</v>
      </c>
      <c r="S55" s="83">
        <f t="shared" si="750"/>
        <v>0</v>
      </c>
      <c r="T55" s="83">
        <f t="shared" si="751"/>
        <v>0</v>
      </c>
      <c r="U55" s="84">
        <f t="shared" si="752"/>
        <v>0</v>
      </c>
      <c r="V55" s="81">
        <f t="shared" si="663"/>
        <v>0</v>
      </c>
      <c r="W55" s="82">
        <f t="shared" si="753"/>
        <v>0</v>
      </c>
      <c r="X55" s="83">
        <f t="shared" si="754"/>
        <v>0</v>
      </c>
      <c r="Y55" s="83">
        <f t="shared" si="755"/>
        <v>0</v>
      </c>
      <c r="Z55" s="84">
        <f t="shared" si="756"/>
        <v>0</v>
      </c>
      <c r="AA55" s="81">
        <f t="shared" si="668"/>
        <v>0</v>
      </c>
      <c r="AB55" s="82">
        <f t="shared" si="757"/>
        <v>0</v>
      </c>
      <c r="AC55" s="83">
        <f t="shared" si="758"/>
        <v>0</v>
      </c>
      <c r="AD55" s="83">
        <f t="shared" si="759"/>
        <v>0</v>
      </c>
      <c r="AE55" s="84">
        <f t="shared" si="760"/>
        <v>0</v>
      </c>
      <c r="AF55" s="81">
        <f t="shared" si="673"/>
        <v>0</v>
      </c>
      <c r="AG55" s="82">
        <f t="shared" si="674"/>
        <v>0</v>
      </c>
      <c r="AH55" s="83">
        <f t="shared" si="675"/>
        <v>0</v>
      </c>
      <c r="AI55" s="83">
        <f t="shared" si="676"/>
        <v>0</v>
      </c>
      <c r="AJ55" s="84">
        <f t="shared" si="677"/>
        <v>0</v>
      </c>
      <c r="AK55" s="81">
        <f t="shared" si="678"/>
        <v>0</v>
      </c>
      <c r="AL55" s="82">
        <f t="shared" si="679"/>
        <v>0</v>
      </c>
      <c r="AM55" s="83">
        <f t="shared" si="680"/>
        <v>0</v>
      </c>
      <c r="AN55" s="83">
        <f t="shared" si="681"/>
        <v>0</v>
      </c>
      <c r="AO55" s="84">
        <f t="shared" si="682"/>
        <v>0</v>
      </c>
      <c r="AP55" s="81">
        <f t="shared" si="683"/>
        <v>0</v>
      </c>
      <c r="AQ55" s="82">
        <f t="shared" si="684"/>
        <v>0</v>
      </c>
      <c r="AR55" s="83">
        <f t="shared" si="685"/>
        <v>0</v>
      </c>
      <c r="AS55" s="83">
        <f t="shared" si="686"/>
        <v>0</v>
      </c>
      <c r="AT55" s="84">
        <f t="shared" si="687"/>
        <v>0</v>
      </c>
      <c r="AU55" s="81">
        <f t="shared" si="688"/>
        <v>0</v>
      </c>
      <c r="AV55" s="82">
        <f t="shared" si="689"/>
        <v>-1000</v>
      </c>
      <c r="AW55" s="83">
        <f t="shared" si="690"/>
        <v>0</v>
      </c>
      <c r="AX55" s="83">
        <f t="shared" si="691"/>
        <v>0</v>
      </c>
      <c r="AY55" s="84">
        <f t="shared" si="692"/>
        <v>0</v>
      </c>
      <c r="AZ55" s="81">
        <f t="shared" si="693"/>
        <v>-1000</v>
      </c>
      <c r="BA55" s="82">
        <f t="shared" si="694"/>
        <v>0</v>
      </c>
      <c r="BB55" s="83">
        <f t="shared" si="695"/>
        <v>0</v>
      </c>
      <c r="BC55" s="83">
        <f t="shared" si="696"/>
        <v>0</v>
      </c>
      <c r="BD55" s="84">
        <f t="shared" si="697"/>
        <v>0</v>
      </c>
      <c r="BE55" s="81">
        <f t="shared" si="698"/>
        <v>0</v>
      </c>
      <c r="BF55" s="1877"/>
      <c r="BG55" s="2005">
        <f t="shared" si="699"/>
        <v>0</v>
      </c>
      <c r="BH55" s="86">
        <f t="shared" si="761"/>
        <v>0</v>
      </c>
      <c r="BI55" s="87">
        <f t="shared" si="762"/>
        <v>0</v>
      </c>
      <c r="BJ55" s="87">
        <f t="shared" si="763"/>
        <v>0</v>
      </c>
      <c r="BK55" s="88">
        <f t="shared" si="764"/>
        <v>0</v>
      </c>
      <c r="BL55" s="85">
        <f t="shared" si="765"/>
        <v>0</v>
      </c>
      <c r="BM55" s="86">
        <f t="shared" si="766"/>
        <v>0</v>
      </c>
      <c r="BN55" s="87">
        <f t="shared" si="767"/>
        <v>0</v>
      </c>
      <c r="BO55" s="87">
        <f t="shared" si="768"/>
        <v>0</v>
      </c>
      <c r="BP55" s="88">
        <f t="shared" si="769"/>
        <v>0</v>
      </c>
      <c r="BQ55" s="85">
        <f t="shared" si="770"/>
        <v>0</v>
      </c>
      <c r="BR55" s="86">
        <f t="shared" si="771"/>
        <v>0</v>
      </c>
      <c r="BS55" s="87">
        <f t="shared" si="772"/>
        <v>0</v>
      </c>
      <c r="BT55" s="87">
        <f t="shared" si="773"/>
        <v>0</v>
      </c>
      <c r="BU55" s="88">
        <f t="shared" si="774"/>
        <v>0</v>
      </c>
      <c r="BV55" s="85">
        <f t="shared" si="775"/>
        <v>0</v>
      </c>
      <c r="BW55" s="86">
        <f t="shared" si="776"/>
        <v>0</v>
      </c>
      <c r="BX55" s="87">
        <f t="shared" si="777"/>
        <v>0</v>
      </c>
      <c r="BY55" s="87">
        <f t="shared" si="778"/>
        <v>0</v>
      </c>
      <c r="BZ55" s="88">
        <f t="shared" si="779"/>
        <v>0</v>
      </c>
      <c r="CA55" s="85">
        <f t="shared" si="780"/>
        <v>0</v>
      </c>
      <c r="CB55" s="86">
        <f t="shared" si="720"/>
        <v>0</v>
      </c>
      <c r="CC55" s="87">
        <f t="shared" si="721"/>
        <v>0</v>
      </c>
      <c r="CD55" s="87">
        <f t="shared" si="722"/>
        <v>0</v>
      </c>
      <c r="CE55" s="88">
        <f t="shared" si="723"/>
        <v>0</v>
      </c>
      <c r="CF55" s="85">
        <f t="shared" si="724"/>
        <v>0</v>
      </c>
      <c r="CG55" s="86">
        <f t="shared" si="725"/>
        <v>0</v>
      </c>
      <c r="CH55" s="87">
        <f t="shared" si="726"/>
        <v>0</v>
      </c>
      <c r="CI55" s="87">
        <f t="shared" si="727"/>
        <v>0</v>
      </c>
      <c r="CJ55" s="88">
        <f t="shared" si="728"/>
        <v>0</v>
      </c>
      <c r="CK55" s="85">
        <f t="shared" si="729"/>
        <v>0</v>
      </c>
      <c r="CL55" s="86">
        <f t="shared" si="730"/>
        <v>0</v>
      </c>
      <c r="CM55" s="87">
        <f t="shared" si="731"/>
        <v>0</v>
      </c>
      <c r="CN55" s="87">
        <f t="shared" si="732"/>
        <v>0</v>
      </c>
      <c r="CO55" s="88">
        <f t="shared" si="733"/>
        <v>0</v>
      </c>
      <c r="CP55" s="85">
        <f t="shared" si="734"/>
        <v>0</v>
      </c>
      <c r="CQ55" s="86">
        <f t="shared" si="735"/>
        <v>-7.375</v>
      </c>
      <c r="CR55" s="87">
        <f t="shared" si="736"/>
        <v>-7.375</v>
      </c>
      <c r="CS55" s="87">
        <f t="shared" si="737"/>
        <v>-7.375</v>
      </c>
      <c r="CT55" s="88">
        <f t="shared" si="738"/>
        <v>-7.375</v>
      </c>
      <c r="CU55" s="85">
        <f t="shared" si="739"/>
        <v>-29.5</v>
      </c>
      <c r="CV55" s="86">
        <f t="shared" si="740"/>
        <v>0</v>
      </c>
      <c r="CW55" s="87">
        <f t="shared" si="741"/>
        <v>0</v>
      </c>
      <c r="CX55" s="87">
        <f t="shared" si="742"/>
        <v>0</v>
      </c>
      <c r="CY55" s="88">
        <f t="shared" si="743"/>
        <v>0</v>
      </c>
      <c r="CZ55" s="85">
        <f t="shared" si="744"/>
        <v>0</v>
      </c>
    </row>
    <row r="56" spans="1:265" s="232" customFormat="1" ht="12.75" customHeight="1">
      <c r="A56" s="40"/>
      <c r="B56" s="40"/>
      <c r="C56" s="2000" t="s">
        <v>1481</v>
      </c>
      <c r="D56" s="2114"/>
      <c r="E56" s="2115">
        <f t="shared" si="652"/>
        <v>150</v>
      </c>
      <c r="F56" s="2314">
        <v>150</v>
      </c>
      <c r="G56" s="1510">
        <v>150</v>
      </c>
      <c r="H56" s="1334">
        <v>2036</v>
      </c>
      <c r="I56" s="1513">
        <v>3.9300000000000002E-2</v>
      </c>
      <c r="J56" s="1334">
        <v>9</v>
      </c>
      <c r="K56" s="80"/>
      <c r="L56" s="81">
        <f t="shared" si="653"/>
        <v>0</v>
      </c>
      <c r="M56" s="82">
        <f t="shared" si="745"/>
        <v>0</v>
      </c>
      <c r="N56" s="83">
        <f t="shared" si="746"/>
        <v>0</v>
      </c>
      <c r="O56" s="83">
        <f t="shared" si="747"/>
        <v>0</v>
      </c>
      <c r="P56" s="84">
        <f t="shared" si="748"/>
        <v>0</v>
      </c>
      <c r="Q56" s="81">
        <f t="shared" si="658"/>
        <v>0</v>
      </c>
      <c r="R56" s="82">
        <f t="shared" si="749"/>
        <v>0</v>
      </c>
      <c r="S56" s="83">
        <f t="shared" si="750"/>
        <v>0</v>
      </c>
      <c r="T56" s="83">
        <f t="shared" si="751"/>
        <v>0</v>
      </c>
      <c r="U56" s="84">
        <f t="shared" si="752"/>
        <v>0</v>
      </c>
      <c r="V56" s="81">
        <f t="shared" si="663"/>
        <v>0</v>
      </c>
      <c r="W56" s="82">
        <f t="shared" si="753"/>
        <v>0</v>
      </c>
      <c r="X56" s="83">
        <f t="shared" si="754"/>
        <v>0</v>
      </c>
      <c r="Y56" s="83">
        <f t="shared" si="755"/>
        <v>0</v>
      </c>
      <c r="Z56" s="84">
        <f t="shared" si="756"/>
        <v>0</v>
      </c>
      <c r="AA56" s="81">
        <f t="shared" si="668"/>
        <v>0</v>
      </c>
      <c r="AB56" s="82">
        <f t="shared" si="757"/>
        <v>0</v>
      </c>
      <c r="AC56" s="83">
        <f t="shared" si="758"/>
        <v>0</v>
      </c>
      <c r="AD56" s="83">
        <f t="shared" si="759"/>
        <v>0</v>
      </c>
      <c r="AE56" s="84">
        <f t="shared" si="760"/>
        <v>0</v>
      </c>
      <c r="AF56" s="81">
        <f t="shared" si="673"/>
        <v>0</v>
      </c>
      <c r="AG56" s="82">
        <f t="shared" si="674"/>
        <v>0</v>
      </c>
      <c r="AH56" s="83">
        <f t="shared" si="675"/>
        <v>0</v>
      </c>
      <c r="AI56" s="83">
        <f t="shared" si="676"/>
        <v>0</v>
      </c>
      <c r="AJ56" s="84">
        <f t="shared" si="677"/>
        <v>0</v>
      </c>
      <c r="AK56" s="81">
        <f t="shared" si="678"/>
        <v>0</v>
      </c>
      <c r="AL56" s="82">
        <f t="shared" si="679"/>
        <v>0</v>
      </c>
      <c r="AM56" s="83">
        <f t="shared" si="680"/>
        <v>0</v>
      </c>
      <c r="AN56" s="83">
        <f t="shared" si="681"/>
        <v>0</v>
      </c>
      <c r="AO56" s="84">
        <f t="shared" si="682"/>
        <v>0</v>
      </c>
      <c r="AP56" s="81">
        <f t="shared" si="683"/>
        <v>0</v>
      </c>
      <c r="AQ56" s="82">
        <f t="shared" si="684"/>
        <v>0</v>
      </c>
      <c r="AR56" s="83">
        <f t="shared" si="685"/>
        <v>0</v>
      </c>
      <c r="AS56" s="83">
        <f t="shared" si="686"/>
        <v>0</v>
      </c>
      <c r="AT56" s="84">
        <f t="shared" si="687"/>
        <v>0</v>
      </c>
      <c r="AU56" s="81">
        <f t="shared" si="688"/>
        <v>0</v>
      </c>
      <c r="AV56" s="82">
        <f t="shared" si="689"/>
        <v>0</v>
      </c>
      <c r="AW56" s="83">
        <f t="shared" si="690"/>
        <v>0</v>
      </c>
      <c r="AX56" s="83">
        <f t="shared" si="691"/>
        <v>0</v>
      </c>
      <c r="AY56" s="84">
        <f t="shared" si="692"/>
        <v>0</v>
      </c>
      <c r="AZ56" s="81">
        <f t="shared" si="693"/>
        <v>0</v>
      </c>
      <c r="BA56" s="82">
        <f t="shared" si="694"/>
        <v>0</v>
      </c>
      <c r="BB56" s="83">
        <f t="shared" si="695"/>
        <v>0</v>
      </c>
      <c r="BC56" s="83">
        <f t="shared" si="696"/>
        <v>0</v>
      </c>
      <c r="BD56" s="84">
        <f t="shared" si="697"/>
        <v>0</v>
      </c>
      <c r="BE56" s="81">
        <f t="shared" si="698"/>
        <v>0</v>
      </c>
      <c r="BF56" s="1877"/>
      <c r="BG56" s="2005">
        <f t="shared" si="699"/>
        <v>0</v>
      </c>
      <c r="BH56" s="86">
        <f t="shared" si="761"/>
        <v>0</v>
      </c>
      <c r="BI56" s="87">
        <f t="shared" si="762"/>
        <v>0</v>
      </c>
      <c r="BJ56" s="87">
        <f t="shared" si="763"/>
        <v>0</v>
      </c>
      <c r="BK56" s="88">
        <f t="shared" si="764"/>
        <v>0</v>
      </c>
      <c r="BL56" s="85">
        <f t="shared" si="765"/>
        <v>0</v>
      </c>
      <c r="BM56" s="86">
        <f t="shared" si="766"/>
        <v>0</v>
      </c>
      <c r="BN56" s="87">
        <f t="shared" si="767"/>
        <v>0</v>
      </c>
      <c r="BO56" s="87">
        <f t="shared" si="768"/>
        <v>0</v>
      </c>
      <c r="BP56" s="88">
        <f t="shared" si="769"/>
        <v>0</v>
      </c>
      <c r="BQ56" s="85">
        <f t="shared" si="770"/>
        <v>0</v>
      </c>
      <c r="BR56" s="86">
        <f t="shared" si="771"/>
        <v>0</v>
      </c>
      <c r="BS56" s="87">
        <f t="shared" si="772"/>
        <v>0</v>
      </c>
      <c r="BT56" s="87">
        <f t="shared" si="773"/>
        <v>0</v>
      </c>
      <c r="BU56" s="88">
        <f t="shared" si="774"/>
        <v>0</v>
      </c>
      <c r="BV56" s="85">
        <f t="shared" si="775"/>
        <v>0</v>
      </c>
      <c r="BW56" s="86">
        <f t="shared" si="776"/>
        <v>0</v>
      </c>
      <c r="BX56" s="87">
        <f t="shared" si="777"/>
        <v>0</v>
      </c>
      <c r="BY56" s="87">
        <f t="shared" si="778"/>
        <v>0</v>
      </c>
      <c r="BZ56" s="88">
        <f t="shared" si="779"/>
        <v>0</v>
      </c>
      <c r="CA56" s="85">
        <f t="shared" si="780"/>
        <v>0</v>
      </c>
      <c r="CB56" s="86">
        <f t="shared" si="720"/>
        <v>0</v>
      </c>
      <c r="CC56" s="87">
        <f t="shared" si="721"/>
        <v>0</v>
      </c>
      <c r="CD56" s="87">
        <f t="shared" si="722"/>
        <v>0</v>
      </c>
      <c r="CE56" s="88">
        <f t="shared" si="723"/>
        <v>0</v>
      </c>
      <c r="CF56" s="85">
        <f t="shared" si="724"/>
        <v>0</v>
      </c>
      <c r="CG56" s="86">
        <f t="shared" si="725"/>
        <v>0</v>
      </c>
      <c r="CH56" s="87">
        <f t="shared" si="726"/>
        <v>0</v>
      </c>
      <c r="CI56" s="87">
        <f t="shared" si="727"/>
        <v>0</v>
      </c>
      <c r="CJ56" s="88">
        <f t="shared" si="728"/>
        <v>0</v>
      </c>
      <c r="CK56" s="85">
        <f t="shared" si="729"/>
        <v>0</v>
      </c>
      <c r="CL56" s="86">
        <f t="shared" si="730"/>
        <v>0</v>
      </c>
      <c r="CM56" s="87">
        <f t="shared" si="731"/>
        <v>0</v>
      </c>
      <c r="CN56" s="87">
        <f t="shared" si="732"/>
        <v>0</v>
      </c>
      <c r="CO56" s="88">
        <f t="shared" si="733"/>
        <v>0</v>
      </c>
      <c r="CP56" s="85">
        <f t="shared" si="734"/>
        <v>0</v>
      </c>
      <c r="CQ56" s="86">
        <f t="shared" si="735"/>
        <v>0</v>
      </c>
      <c r="CR56" s="87">
        <f t="shared" si="736"/>
        <v>0</v>
      </c>
      <c r="CS56" s="87">
        <f t="shared" si="737"/>
        <v>0</v>
      </c>
      <c r="CT56" s="88">
        <f t="shared" si="738"/>
        <v>0</v>
      </c>
      <c r="CU56" s="85">
        <f t="shared" si="739"/>
        <v>0</v>
      </c>
      <c r="CV56" s="86">
        <f t="shared" si="740"/>
        <v>0</v>
      </c>
      <c r="CW56" s="87">
        <f t="shared" si="741"/>
        <v>0</v>
      </c>
      <c r="CX56" s="87">
        <f t="shared" si="742"/>
        <v>0</v>
      </c>
      <c r="CY56" s="88">
        <f t="shared" si="743"/>
        <v>0</v>
      </c>
      <c r="CZ56" s="85">
        <f t="shared" si="744"/>
        <v>0</v>
      </c>
    </row>
    <row r="57" spans="1:265" s="232" customFormat="1" ht="12.75" customHeight="1">
      <c r="A57" s="40"/>
      <c r="B57" s="40"/>
      <c r="C57" s="2000" t="s">
        <v>1544</v>
      </c>
      <c r="D57" s="2114"/>
      <c r="E57" s="2115">
        <f t="shared" ref="E57" si="781">IF(F57=0,G57,F57)</f>
        <v>500</v>
      </c>
      <c r="F57" s="2314">
        <v>500</v>
      </c>
      <c r="G57" s="1510">
        <v>0</v>
      </c>
      <c r="H57" s="1334">
        <v>2022</v>
      </c>
      <c r="I57" s="1513">
        <v>3.4000000000000002E-2</v>
      </c>
      <c r="J57" s="1334">
        <v>3</v>
      </c>
      <c r="K57" s="80"/>
      <c r="L57" s="81">
        <f t="shared" si="653"/>
        <v>0</v>
      </c>
      <c r="M57" s="82">
        <f t="shared" si="745"/>
        <v>0</v>
      </c>
      <c r="N57" s="83">
        <f t="shared" si="746"/>
        <v>0</v>
      </c>
      <c r="O57" s="83">
        <f t="shared" si="747"/>
        <v>0</v>
      </c>
      <c r="P57" s="84">
        <f t="shared" si="748"/>
        <v>0</v>
      </c>
      <c r="Q57" s="81">
        <f t="shared" si="658"/>
        <v>0</v>
      </c>
      <c r="R57" s="82">
        <f t="shared" si="749"/>
        <v>0</v>
      </c>
      <c r="S57" s="83">
        <f t="shared" si="750"/>
        <v>0</v>
      </c>
      <c r="T57" s="83">
        <f t="shared" si="751"/>
        <v>0</v>
      </c>
      <c r="U57" s="84">
        <f t="shared" si="752"/>
        <v>0</v>
      </c>
      <c r="V57" s="81">
        <f t="shared" si="663"/>
        <v>0</v>
      </c>
      <c r="W57" s="82">
        <f t="shared" si="753"/>
        <v>0</v>
      </c>
      <c r="X57" s="83">
        <f t="shared" si="754"/>
        <v>0</v>
      </c>
      <c r="Y57" s="83">
        <f t="shared" si="755"/>
        <v>0</v>
      </c>
      <c r="Z57" s="84">
        <f t="shared" si="756"/>
        <v>0</v>
      </c>
      <c r="AA57" s="81">
        <f t="shared" si="668"/>
        <v>0</v>
      </c>
      <c r="AB57" s="82">
        <f t="shared" si="757"/>
        <v>0</v>
      </c>
      <c r="AC57" s="83">
        <f t="shared" si="758"/>
        <v>0</v>
      </c>
      <c r="AD57" s="83">
        <f t="shared" si="759"/>
        <v>0</v>
      </c>
      <c r="AE57" s="84">
        <f t="shared" si="760"/>
        <v>0</v>
      </c>
      <c r="AF57" s="81">
        <f t="shared" si="673"/>
        <v>0</v>
      </c>
      <c r="AG57" s="82">
        <f t="shared" ref="AG57" si="782">IF(AK57=0,0,IF(AK57&lt;0,IF($J57=3,AK57,IF($J57=2,AK57,IF($J57=1,AK57,0)))))</f>
        <v>0</v>
      </c>
      <c r="AH57" s="83">
        <f t="shared" ref="AH57" si="783">IF(AK57=0,0,IF(AK57&lt;0,IF($J57=6,AK57,IF($J57=5,AK57,IF($J57=4,AK57,0)))))</f>
        <v>0</v>
      </c>
      <c r="AI57" s="83">
        <f t="shared" ref="AI57" si="784">IF(AK57=0,0,IF(AK57&lt;0,IF($J57=9,AK57,IF($J57=8,AK57,IF($J57=7,AK57,0)))))</f>
        <v>0</v>
      </c>
      <c r="AJ57" s="84">
        <f t="shared" ref="AJ57" si="785">IF(AK57=0,0,IF(AK57&lt;0,IF($J57=12,AK57,IF($J57=11,AK57,IF($J57=10,AK57,0)))))</f>
        <v>0</v>
      </c>
      <c r="AK57" s="81">
        <f t="shared" si="678"/>
        <v>0</v>
      </c>
      <c r="AL57" s="82">
        <f t="shared" ref="AL57" si="786">IF(AP57=0,0,IF(AP57&lt;0,IF($J57=3,AP57,IF($J57=2,AP57,IF($J57=1,AP57,0)))))</f>
        <v>0</v>
      </c>
      <c r="AM57" s="83">
        <f t="shared" ref="AM57" si="787">IF(AP57=0,0,IF(AP57&lt;0,IF($J57=6,AP57,IF($J57=5,AP57,IF($J57=4,AP57,0)))))</f>
        <v>0</v>
      </c>
      <c r="AN57" s="83">
        <f t="shared" ref="AN57" si="788">IF(AP57=0,0,IF(AP57&lt;0,IF($J57=9,AP57,IF($J57=8,AP57,IF($J57=7,AP57,0)))))</f>
        <v>0</v>
      </c>
      <c r="AO57" s="84">
        <f t="shared" ref="AO57" si="789">IF(AP57=0,0,IF(AP57&lt;0,IF($J57=12,AP57,IF($J57=11,AP57,IF($J57=10,AP57,0)))))</f>
        <v>0</v>
      </c>
      <c r="AP57" s="81">
        <f t="shared" si="683"/>
        <v>0</v>
      </c>
      <c r="AQ57" s="82">
        <f t="shared" ref="AQ57" si="790">IF(AU57=0,0,IF(AU57&lt;0,IF($J57=3,AU57,IF($J57=2,AU57,IF($J57=1,AU57,0)))))</f>
        <v>0</v>
      </c>
      <c r="AR57" s="83">
        <f t="shared" ref="AR57" si="791">IF(AU57=0,0,IF(AU57&lt;0,IF($J57=6,AU57,IF($J57=5,AU57,IF($J57=4,AU57,0)))))</f>
        <v>0</v>
      </c>
      <c r="AS57" s="83">
        <f t="shared" ref="AS57" si="792">IF(AU57=0,0,IF(AU57&lt;0,IF($J57=9,AU57,IF($J57=8,AU57,IF($J57=7,AU57,0)))))</f>
        <v>0</v>
      </c>
      <c r="AT57" s="84">
        <f t="shared" ref="AT57" si="793">IF(AU57=0,0,IF(AU57&lt;0,IF($J57=12,AU57,IF($J57=11,AU57,IF($J57=10,AU57,0)))))</f>
        <v>0</v>
      </c>
      <c r="AU57" s="81">
        <f t="shared" si="688"/>
        <v>0</v>
      </c>
      <c r="AV57" s="82">
        <f t="shared" ref="AV57" si="794">IF(AZ57=0,0,IF(AZ57&lt;0,IF($J57=3,AZ57,IF($J57=2,AZ57,IF($J57=1,AZ57,0)))))</f>
        <v>0</v>
      </c>
      <c r="AW57" s="83">
        <f t="shared" ref="AW57" si="795">IF(AZ57=0,0,IF(AZ57&lt;0,IF($J57=6,AZ57,IF($J57=5,AZ57,IF($J57=4,AZ57,0)))))</f>
        <v>0</v>
      </c>
      <c r="AX57" s="83">
        <f t="shared" ref="AX57" si="796">IF(AZ57=0,0,IF(AZ57&lt;0,IF($J57=9,AZ57,IF($J57=8,AZ57,IF($J57=7,AZ57,0)))))</f>
        <v>0</v>
      </c>
      <c r="AY57" s="84">
        <f t="shared" ref="AY57" si="797">IF(AZ57=0,0,IF(AZ57&lt;0,IF($J57=12,AZ57,IF($J57=11,AZ57,IF($J57=10,AZ57,0)))))</f>
        <v>0</v>
      </c>
      <c r="AZ57" s="81">
        <f t="shared" si="693"/>
        <v>0</v>
      </c>
      <c r="BA57" s="82">
        <f t="shared" ref="BA57" si="798">IF(BE57=0,0,IF(BE57&lt;0,IF($J57=3,BE57,IF($J57=2,BE57,IF($J57=1,BE57,0)))))</f>
        <v>0</v>
      </c>
      <c r="BB57" s="83">
        <f t="shared" ref="BB57" si="799">IF(BE57=0,0,IF(BE57&lt;0,IF($J57=6,BE57,IF($J57=5,BE57,IF($J57=4,BE57,0)))))</f>
        <v>0</v>
      </c>
      <c r="BC57" s="83">
        <f t="shared" ref="BC57" si="800">IF(BE57=0,0,IF(BE57&lt;0,IF($J57=9,BE57,IF($J57=8,BE57,IF($J57=7,BE57,0)))))</f>
        <v>0</v>
      </c>
      <c r="BD57" s="84">
        <f t="shared" ref="BD57" si="801">IF(BE57=0,0,IF(BE57&lt;0,IF($J57=12,BE57,IF($J57=11,BE57,IF($J57=10,BE57,0)))))</f>
        <v>0</v>
      </c>
      <c r="BE57" s="81">
        <f t="shared" si="698"/>
        <v>0</v>
      </c>
      <c r="BF57" s="1877"/>
      <c r="BG57" s="2005">
        <f t="shared" ref="BG57" si="802">IF(AND(BF57&lt;&gt;0,BF$5=$H57),-$I57*$E57-BF57,IF(BG$5=$H57,-$I57*$E57*(12-$J57+1)/12,0))</f>
        <v>0</v>
      </c>
      <c r="BH57" s="86">
        <f t="shared" si="761"/>
        <v>0</v>
      </c>
      <c r="BI57" s="87">
        <f t="shared" si="762"/>
        <v>0</v>
      </c>
      <c r="BJ57" s="87">
        <f t="shared" si="763"/>
        <v>0</v>
      </c>
      <c r="BK57" s="88">
        <f t="shared" si="764"/>
        <v>0</v>
      </c>
      <c r="BL57" s="85">
        <f t="shared" si="765"/>
        <v>0</v>
      </c>
      <c r="BM57" s="86">
        <f t="shared" si="766"/>
        <v>0</v>
      </c>
      <c r="BN57" s="87">
        <f t="shared" si="767"/>
        <v>0</v>
      </c>
      <c r="BO57" s="87">
        <f t="shared" si="768"/>
        <v>0</v>
      </c>
      <c r="BP57" s="88">
        <f t="shared" si="769"/>
        <v>0</v>
      </c>
      <c r="BQ57" s="85">
        <f t="shared" si="770"/>
        <v>0</v>
      </c>
      <c r="BR57" s="86">
        <f t="shared" si="771"/>
        <v>0</v>
      </c>
      <c r="BS57" s="87">
        <f t="shared" si="772"/>
        <v>0</v>
      </c>
      <c r="BT57" s="87">
        <f t="shared" si="773"/>
        <v>0</v>
      </c>
      <c r="BU57" s="88">
        <f t="shared" si="774"/>
        <v>0</v>
      </c>
      <c r="BV57" s="85">
        <f t="shared" si="775"/>
        <v>0</v>
      </c>
      <c r="BW57" s="86">
        <f t="shared" si="776"/>
        <v>0</v>
      </c>
      <c r="BX57" s="87">
        <f t="shared" si="777"/>
        <v>0</v>
      </c>
      <c r="BY57" s="87">
        <f t="shared" si="778"/>
        <v>0</v>
      </c>
      <c r="BZ57" s="88">
        <f t="shared" si="779"/>
        <v>0</v>
      </c>
      <c r="CA57" s="85">
        <f t="shared" si="780"/>
        <v>0</v>
      </c>
      <c r="CB57" s="86">
        <f t="shared" ref="CB57" si="803">IF($H57&lt;&gt;CF$5,0,IF(CF57&lt;0,IF($J57=1,-$E57*$I57/12*3,IF($J57=2,-$E57*$I57/12*2,IF($J57=3,-$E57*$I57/12*1,0)))))+IF(CA$5&lt;&gt;$H57,0,IF(CA57&lt;0,IF($J57=1,-$E57*$I57/12*0,IF($J57=2,-$E57*$I57/12*1,IF($J57=3,-$E57*$I57/12*2,IF($J57&gt;=4,-$E57*$I57/12*3,0))))))</f>
        <v>0</v>
      </c>
      <c r="CC57" s="87">
        <f t="shared" ref="CC57" si="804">IF($H57&lt;&gt;CF$5,0,IF(CF57&lt;0,IF(OR($J57=1,$J57=2,$J57=3,$J57=4),-$E57*$I57/12*3,IF($J57=5,-$E57*$I57/12*2,IF($J57=6,-$E57*$I57/12*1,0)))))+IF(CA$5&lt;&gt;$H57,0,IF(CA57&lt;0,IF($J57=4,-$E57*$I57/12*0,IF($J57=5,-$E57*$I57/12*1,IF($J57=6,-$E57*$I57/12*2,IF($J57&gt;=7,-$E57*$I57/12*3,0))))))</f>
        <v>0</v>
      </c>
      <c r="CD57" s="87">
        <f t="shared" ref="CD57" si="805">IF($H57&lt;&gt;CF$5,0,IF(CF57&lt;0,IF(OR($J57=1,$J57=2,$J57=3,$J57=4,$J57=5,$J57=6,$J57=7),-$E57*$I57/12*3,IF($J57=8,-$E57*$I57/12*2,IF($J57=9,-$E57*$I57/12*1,0)))))+IF(CA$5&lt;&gt;$H57,0,IF(CA57&lt;0,IF($J57=7,-$E57*$I57/12*0,IF($J57=8,-$E57*$I57/12*1,IF($J57=9,-$E57*$I57/12*2,IF($J57&gt;=10,-$E57*$I57/12*3,0))))))</f>
        <v>0</v>
      </c>
      <c r="CE57" s="88">
        <f t="shared" ref="CE57" si="806">IF($H57&lt;&gt;CF$5,0,IF(CF57&lt;0,IF(OR($J57=1,$J57=2,$J57=3,$J57=4,$J57=5,$J57=6,$J57=7,$J57=8,$J57=9,$J57=10),-$E57*$I57/12*3,IF($J57=11,-$E57*$I57/12*2,IF($J57=12,-$E57*$I57/12*1,0)))))+IF(CA$5&lt;&gt;$H57,0,IF(CA57&lt;0,IF($J57=10,-$E57*$I57/12*0,IF($J57=11,-$E57*$I57/12*1,IF($J57=12,-$E57*$I57/12*2,0)))))</f>
        <v>0</v>
      </c>
      <c r="CF57" s="85">
        <f t="shared" ref="CF57" si="807">IF(AND(CA57&lt;&gt;0,CA$5=$H57),-$I57*$E57-CA57,IF(CF$5=$H57,-$I57*$E57*(12-$J57+1)/12,0))</f>
        <v>0</v>
      </c>
      <c r="CG57" s="86">
        <f t="shared" ref="CG57" si="808">IF($H57&lt;&gt;CK$5,0,IF(CK57&lt;0,IF($J57=1,-$E57*$I57/12*3,IF($J57=2,-$E57*$I57/12*2,IF($J57=3,-$E57*$I57/12*1,0)))))+IF(CF$5&lt;&gt;$H57,0,IF(CF57&lt;0,IF($J57=1,-$E57*$I57/12*0,IF($J57=2,-$E57*$I57/12*1,IF($J57=3,-$E57*$I57/12*2,IF($J57&gt;=4,-$E57*$I57/12*3,0))))))</f>
        <v>0</v>
      </c>
      <c r="CH57" s="87">
        <f t="shared" ref="CH57" si="809">IF($H57&lt;&gt;CK$5,0,IF(CK57&lt;0,IF(OR($J57=1,$J57=2,$J57=3,$J57=4),-$E57*$I57/12*3,IF($J57=5,-$E57*$I57/12*2,IF($J57=6,-$E57*$I57/12*1,0)))))+IF(CF$5&lt;&gt;$H57,0,IF(CF57&lt;0,IF($J57=4,-$E57*$I57/12*0,IF($J57=5,-$E57*$I57/12*1,IF($J57=6,-$E57*$I57/12*2,IF($J57&gt;=7,-$E57*$I57/12*3,0))))))</f>
        <v>0</v>
      </c>
      <c r="CI57" s="87">
        <f t="shared" ref="CI57" si="810">IF($H57&lt;&gt;CK$5,0,IF(CK57&lt;0,IF(OR($J57=1,$J57=2,$J57=3,$J57=4,$J57=5,$J57=6,$J57=7),-$E57*$I57/12*3,IF($J57=8,-$E57*$I57/12*2,IF($J57=9,-$E57*$I57/12*1,0)))))+IF(CF$5&lt;&gt;$H57,0,IF(CF57&lt;0,IF($J57=7,-$E57*$I57/12*0,IF($J57=8,-$E57*$I57/12*1,IF($J57=9,-$E57*$I57/12*2,IF($J57&gt;=10,-$E57*$I57/12*3,0))))))</f>
        <v>0</v>
      </c>
      <c r="CJ57" s="88">
        <f t="shared" ref="CJ57" si="811">IF($H57&lt;&gt;CK$5,0,IF(CK57&lt;0,IF(OR($J57=1,$J57=2,$J57=3,$J57=4,$J57=5,$J57=6,$J57=7,$J57=8,$J57=9,$J57=10),-$E57*$I57/12*3,IF($J57=11,-$E57*$I57/12*2,IF($J57=12,-$E57*$I57/12*1,0)))))+IF(CF$5&lt;&gt;$H57,0,IF(CF57&lt;0,IF($J57=10,-$E57*$I57/12*0,IF($J57=11,-$E57*$I57/12*1,IF($J57=12,-$E57*$I57/12*2,0)))))</f>
        <v>0</v>
      </c>
      <c r="CK57" s="85">
        <f t="shared" ref="CK57" si="812">IF(AND(CF57&lt;&gt;0,CF$5=$H57),-$I57*$E57-CF57,IF(CK$5=$H57,-$I57*$E57*(12-$J57+1)/12,0))</f>
        <v>0</v>
      </c>
      <c r="CL57" s="86">
        <f t="shared" ref="CL57" si="813">IF($H57&lt;&gt;CP$5,0,IF(CP57&lt;0,IF($J57=1,-$E57*$I57/12*3,IF($J57=2,-$E57*$I57/12*2,IF($J57=3,-$E57*$I57/12*1,0)))))+IF(CK$5&lt;&gt;$H57,0,IF(CK57&lt;0,IF($J57=1,-$E57*$I57/12*0,IF($J57=2,-$E57*$I57/12*1,IF($J57=3,-$E57*$I57/12*2,IF($J57&gt;=4,-$E57*$I57/12*3,0))))))</f>
        <v>0</v>
      </c>
      <c r="CM57" s="87">
        <f t="shared" ref="CM57" si="814">IF($H57&lt;&gt;CP$5,0,IF(CP57&lt;0,IF(OR($J57=1,$J57=2,$J57=3,$J57=4),-$E57*$I57/12*3,IF($J57=5,-$E57*$I57/12*2,IF($J57=6,-$E57*$I57/12*1,0)))))+IF(CK$5&lt;&gt;$H57,0,IF(CK57&lt;0,IF($J57=4,-$E57*$I57/12*0,IF($J57=5,-$E57*$I57/12*1,IF($J57=6,-$E57*$I57/12*2,IF($J57&gt;=7,-$E57*$I57/12*3,0))))))</f>
        <v>0</v>
      </c>
      <c r="CN57" s="87">
        <f t="shared" ref="CN57" si="815">IF($H57&lt;&gt;CP$5,0,IF(CP57&lt;0,IF(OR($J57=1,$J57=2,$J57=3,$J57=4,$J57=5,$J57=6,$J57=7),-$E57*$I57/12*3,IF($J57=8,-$E57*$I57/12*2,IF($J57=9,-$E57*$I57/12*1,0)))))+IF(CK$5&lt;&gt;$H57,0,IF(CK57&lt;0,IF($J57=7,-$E57*$I57/12*0,IF($J57=8,-$E57*$I57/12*1,IF($J57=9,-$E57*$I57/12*2,IF($J57&gt;=10,-$E57*$I57/12*3,0))))))</f>
        <v>0</v>
      </c>
      <c r="CO57" s="88">
        <f t="shared" ref="CO57" si="816">IF($H57&lt;&gt;CP$5,0,IF(CP57&lt;0,IF(OR($J57=1,$J57=2,$J57=3,$J57=4,$J57=5,$J57=6,$J57=7,$J57=8,$J57=9,$J57=10),-$E57*$I57/12*3,IF($J57=11,-$E57*$I57/12*2,IF($J57=12,-$E57*$I57/12*1,0)))))+IF(CK$5&lt;&gt;$H57,0,IF(CK57&lt;0,IF($J57=10,-$E57*$I57/12*0,IF($J57=11,-$E57*$I57/12*1,IF($J57=12,-$E57*$I57/12*2,0)))))</f>
        <v>0</v>
      </c>
      <c r="CP57" s="85">
        <f t="shared" ref="CP57" si="817">IF(AND(CK57&lt;&gt;0,CK$5=$H57),-$I57*$E57-CK57,IF(CP$5=$H57,-$I57*$E57*(12-$J57+1)/12,0))</f>
        <v>0</v>
      </c>
      <c r="CQ57" s="86">
        <f t="shared" ref="CQ57" si="818">IF($H57&lt;&gt;CU$5,0,IF(CU57&lt;0,IF($J57=1,-$E57*$I57/12*3,IF($J57=2,-$E57*$I57/12*2,IF($J57=3,-$E57*$I57/12*1,0)))))+IF(CP$5&lt;&gt;$H57,0,IF(CP57&lt;0,IF($J57=1,-$E57*$I57/12*0,IF($J57=2,-$E57*$I57/12*1,IF($J57=3,-$E57*$I57/12*2,IF($J57&gt;=4,-$E57*$I57/12*3,0))))))</f>
        <v>0</v>
      </c>
      <c r="CR57" s="87">
        <f t="shared" ref="CR57" si="819">IF($H57&lt;&gt;CU$5,0,IF(CU57&lt;0,IF(OR($J57=1,$J57=2,$J57=3,$J57=4),-$E57*$I57/12*3,IF($J57=5,-$E57*$I57/12*2,IF($J57=6,-$E57*$I57/12*1,0)))))+IF(CP$5&lt;&gt;$H57,0,IF(CP57&lt;0,IF($J57=4,-$E57*$I57/12*0,IF($J57=5,-$E57*$I57/12*1,IF($J57=6,-$E57*$I57/12*2,IF($J57&gt;=7,-$E57*$I57/12*3,0))))))</f>
        <v>0</v>
      </c>
      <c r="CS57" s="87">
        <f t="shared" ref="CS57" si="820">IF($H57&lt;&gt;CU$5,0,IF(CU57&lt;0,IF(OR($J57=1,$J57=2,$J57=3,$J57=4,$J57=5,$J57=6,$J57=7),-$E57*$I57/12*3,IF($J57=8,-$E57*$I57/12*2,IF($J57=9,-$E57*$I57/12*1,0)))))+IF(CP$5&lt;&gt;$H57,0,IF(CP57&lt;0,IF($J57=7,-$E57*$I57/12*0,IF($J57=8,-$E57*$I57/12*1,IF($J57=9,-$E57*$I57/12*2,IF($J57&gt;=10,-$E57*$I57/12*3,0))))))</f>
        <v>0</v>
      </c>
      <c r="CT57" s="88">
        <f t="shared" ref="CT57" si="821">IF($H57&lt;&gt;CU$5,0,IF(CU57&lt;0,IF(OR($J57=1,$J57=2,$J57=3,$J57=4,$J57=5,$J57=6,$J57=7,$J57=8,$J57=9,$J57=10),-$E57*$I57/12*3,IF($J57=11,-$E57*$I57/12*2,IF($J57=12,-$E57*$I57/12*1,0)))))+IF(CP$5&lt;&gt;$H57,0,IF(CP57&lt;0,IF($J57=10,-$E57*$I57/12*0,IF($J57=11,-$E57*$I57/12*1,IF($J57=12,-$E57*$I57/12*2,0)))))</f>
        <v>0</v>
      </c>
      <c r="CU57" s="85">
        <f t="shared" ref="CU57" si="822">IF(AND(CP57&lt;&gt;0,CP$5=$H57),-$I57*$E57-CP57,IF(CU$5=$H57,-$I57*$E57*(12-$J57+1)/12,0))</f>
        <v>0</v>
      </c>
      <c r="CV57" s="86">
        <f t="shared" ref="CV57" si="823">IF($H57&lt;&gt;CZ$5,0,IF(CZ57&lt;0,IF($J57=1,-$E57*$I57/12*3,IF($J57=2,-$E57*$I57/12*2,IF($J57=3,-$E57*$I57/12*1,0)))))+IF(CU$5&lt;&gt;$H57,0,IF(CU57&lt;0,IF($J57=1,-$E57*$I57/12*0,IF($J57=2,-$E57*$I57/12*1,IF($J57=3,-$E57*$I57/12*2,IF($J57&gt;=4,-$E57*$I57/12*3,0))))))</f>
        <v>0</v>
      </c>
      <c r="CW57" s="87">
        <f t="shared" ref="CW57" si="824">IF($H57&lt;&gt;CZ$5,0,IF(CZ57&lt;0,IF(OR($J57=1,$J57=2,$J57=3,$J57=4),-$E57*$I57/12*3,IF($J57=5,-$E57*$I57/12*2,IF($J57=6,-$E57*$I57/12*1,0)))))+IF(CU$5&lt;&gt;$H57,0,IF(CU57&lt;0,IF($J57=4,-$E57*$I57/12*0,IF($J57=5,-$E57*$I57/12*1,IF($J57=6,-$E57*$I57/12*2,IF($J57&gt;=7,-$E57*$I57/12*3,0))))))</f>
        <v>0</v>
      </c>
      <c r="CX57" s="87">
        <f t="shared" ref="CX57" si="825">IF($H57&lt;&gt;CZ$5,0,IF(CZ57&lt;0,IF(OR($J57=1,$J57=2,$J57=3,$J57=4,$J57=5,$J57=6,$J57=7),-$E57*$I57/12*3,IF($J57=8,-$E57*$I57/12*2,IF($J57=9,-$E57*$I57/12*1,0)))))+IF(CU$5&lt;&gt;$H57,0,IF(CU57&lt;0,IF($J57=7,-$E57*$I57/12*0,IF($J57=8,-$E57*$I57/12*1,IF($J57=9,-$E57*$I57/12*2,IF($J57&gt;=10,-$E57*$I57/12*3,0))))))</f>
        <v>0</v>
      </c>
      <c r="CY57" s="88">
        <f t="shared" ref="CY57" si="826">IF($H57&lt;&gt;CZ$5,0,IF(CZ57&lt;0,IF(OR($J57=1,$J57=2,$J57=3,$J57=4,$J57=5,$J57=6,$J57=7,$J57=8,$J57=9,$J57=10),-$E57*$I57/12*3,IF($J57=11,-$E57*$I57/12*2,IF($J57=12,-$E57*$I57/12*1,0)))))+IF(CU$5&lt;&gt;$H57,0,IF(CU57&lt;0,IF($J57=10,-$E57*$I57/12*0,IF($J57=11,-$E57*$I57/12*1,IF($J57=12,-$E57*$I57/12*2,0)))))</f>
        <v>0</v>
      </c>
      <c r="CZ57" s="85">
        <f t="shared" ref="CZ57" si="827">IF(AND(CU57&lt;&gt;0,CU$5=$H57),-$I57*$E57-CU57,IF(CZ$5=$H57,-$I57*$E57*(12-$J57+1)/12,0))</f>
        <v>0</v>
      </c>
    </row>
    <row r="58" spans="1:265" s="232" customFormat="1" ht="12.75" customHeight="1">
      <c r="A58" s="40"/>
      <c r="B58" s="40"/>
      <c r="C58" s="2000"/>
      <c r="D58" s="2114"/>
      <c r="E58" s="2118"/>
      <c r="F58" s="1510"/>
      <c r="G58" s="1510"/>
      <c r="H58" s="1334"/>
      <c r="I58" s="2122"/>
      <c r="J58" s="1334"/>
      <c r="K58" s="80"/>
      <c r="L58" s="81">
        <f t="shared" si="653"/>
        <v>0</v>
      </c>
      <c r="M58" s="82">
        <f t="shared" si="745"/>
        <v>0</v>
      </c>
      <c r="N58" s="83">
        <f t="shared" si="746"/>
        <v>0</v>
      </c>
      <c r="O58" s="83">
        <f t="shared" si="747"/>
        <v>0</v>
      </c>
      <c r="P58" s="84">
        <f t="shared" si="748"/>
        <v>0</v>
      </c>
      <c r="Q58" s="81">
        <f t="shared" si="658"/>
        <v>0</v>
      </c>
      <c r="R58" s="82">
        <f t="shared" si="749"/>
        <v>0</v>
      </c>
      <c r="S58" s="83">
        <f t="shared" si="750"/>
        <v>0</v>
      </c>
      <c r="T58" s="83">
        <f t="shared" si="751"/>
        <v>0</v>
      </c>
      <c r="U58" s="84">
        <f t="shared" si="752"/>
        <v>0</v>
      </c>
      <c r="V58" s="81">
        <f t="shared" si="663"/>
        <v>0</v>
      </c>
      <c r="W58" s="82">
        <f t="shared" si="753"/>
        <v>0</v>
      </c>
      <c r="X58" s="83">
        <f t="shared" si="754"/>
        <v>0</v>
      </c>
      <c r="Y58" s="83">
        <f t="shared" si="755"/>
        <v>0</v>
      </c>
      <c r="Z58" s="84">
        <f t="shared" si="756"/>
        <v>0</v>
      </c>
      <c r="AA58" s="81">
        <f t="shared" si="668"/>
        <v>0</v>
      </c>
      <c r="AB58" s="82">
        <f t="shared" si="757"/>
        <v>0</v>
      </c>
      <c r="AC58" s="83">
        <f t="shared" si="758"/>
        <v>0</v>
      </c>
      <c r="AD58" s="83">
        <f t="shared" si="759"/>
        <v>0</v>
      </c>
      <c r="AE58" s="84">
        <f t="shared" si="760"/>
        <v>0</v>
      </c>
      <c r="AF58" s="81">
        <f t="shared" si="673"/>
        <v>0</v>
      </c>
      <c r="AG58" s="82">
        <f t="shared" si="674"/>
        <v>0</v>
      </c>
      <c r="AH58" s="83">
        <f t="shared" si="675"/>
        <v>0</v>
      </c>
      <c r="AI58" s="83">
        <f t="shared" si="676"/>
        <v>0</v>
      </c>
      <c r="AJ58" s="84">
        <f t="shared" si="677"/>
        <v>0</v>
      </c>
      <c r="AK58" s="81">
        <f t="shared" si="678"/>
        <v>0</v>
      </c>
      <c r="AL58" s="82">
        <f t="shared" si="679"/>
        <v>0</v>
      </c>
      <c r="AM58" s="83">
        <f t="shared" si="680"/>
        <v>0</v>
      </c>
      <c r="AN58" s="83">
        <f t="shared" si="681"/>
        <v>0</v>
      </c>
      <c r="AO58" s="84">
        <f t="shared" si="682"/>
        <v>0</v>
      </c>
      <c r="AP58" s="81">
        <f t="shared" si="683"/>
        <v>0</v>
      </c>
      <c r="AQ58" s="82">
        <f t="shared" si="684"/>
        <v>0</v>
      </c>
      <c r="AR58" s="83">
        <f t="shared" si="685"/>
        <v>0</v>
      </c>
      <c r="AS58" s="83">
        <f t="shared" si="686"/>
        <v>0</v>
      </c>
      <c r="AT58" s="84">
        <f t="shared" si="687"/>
        <v>0</v>
      </c>
      <c r="AU58" s="81">
        <f t="shared" si="688"/>
        <v>0</v>
      </c>
      <c r="AV58" s="82">
        <f t="shared" si="689"/>
        <v>0</v>
      </c>
      <c r="AW58" s="83">
        <f t="shared" si="690"/>
        <v>0</v>
      </c>
      <c r="AX58" s="83">
        <f t="shared" si="691"/>
        <v>0</v>
      </c>
      <c r="AY58" s="84">
        <f t="shared" si="692"/>
        <v>0</v>
      </c>
      <c r="AZ58" s="81">
        <f t="shared" si="693"/>
        <v>0</v>
      </c>
      <c r="BA58" s="82">
        <f t="shared" si="694"/>
        <v>0</v>
      </c>
      <c r="BB58" s="83">
        <f t="shared" si="695"/>
        <v>0</v>
      </c>
      <c r="BC58" s="83">
        <f t="shared" si="696"/>
        <v>0</v>
      </c>
      <c r="BD58" s="84">
        <f t="shared" si="697"/>
        <v>0</v>
      </c>
      <c r="BE58" s="81">
        <f t="shared" si="698"/>
        <v>0</v>
      </c>
      <c r="BF58" s="1877"/>
      <c r="BG58" s="2005">
        <f t="shared" si="699"/>
        <v>0</v>
      </c>
      <c r="BH58" s="86">
        <f t="shared" si="761"/>
        <v>0</v>
      </c>
      <c r="BI58" s="87">
        <f t="shared" si="762"/>
        <v>0</v>
      </c>
      <c r="BJ58" s="87">
        <f t="shared" si="763"/>
        <v>0</v>
      </c>
      <c r="BK58" s="88">
        <f t="shared" si="764"/>
        <v>0</v>
      </c>
      <c r="BL58" s="85">
        <f t="shared" si="765"/>
        <v>0</v>
      </c>
      <c r="BM58" s="86">
        <f t="shared" si="766"/>
        <v>0</v>
      </c>
      <c r="BN58" s="87">
        <f t="shared" si="767"/>
        <v>0</v>
      </c>
      <c r="BO58" s="87">
        <f t="shared" si="768"/>
        <v>0</v>
      </c>
      <c r="BP58" s="88">
        <f t="shared" si="769"/>
        <v>0</v>
      </c>
      <c r="BQ58" s="85">
        <f t="shared" si="770"/>
        <v>0</v>
      </c>
      <c r="BR58" s="86">
        <f t="shared" si="771"/>
        <v>0</v>
      </c>
      <c r="BS58" s="87">
        <f t="shared" si="772"/>
        <v>0</v>
      </c>
      <c r="BT58" s="87">
        <f t="shared" si="773"/>
        <v>0</v>
      </c>
      <c r="BU58" s="88">
        <f t="shared" si="774"/>
        <v>0</v>
      </c>
      <c r="BV58" s="85">
        <f t="shared" si="775"/>
        <v>0</v>
      </c>
      <c r="BW58" s="86">
        <f t="shared" si="776"/>
        <v>0</v>
      </c>
      <c r="BX58" s="87">
        <f t="shared" si="777"/>
        <v>0</v>
      </c>
      <c r="BY58" s="87">
        <f t="shared" si="778"/>
        <v>0</v>
      </c>
      <c r="BZ58" s="88">
        <f t="shared" si="779"/>
        <v>0</v>
      </c>
      <c r="CA58" s="85">
        <f t="shared" si="780"/>
        <v>0</v>
      </c>
      <c r="CB58" s="86">
        <f t="shared" si="720"/>
        <v>0</v>
      </c>
      <c r="CC58" s="87">
        <f t="shared" si="721"/>
        <v>0</v>
      </c>
      <c r="CD58" s="87">
        <f t="shared" si="722"/>
        <v>0</v>
      </c>
      <c r="CE58" s="88">
        <f t="shared" si="723"/>
        <v>0</v>
      </c>
      <c r="CF58" s="85">
        <f t="shared" si="724"/>
        <v>0</v>
      </c>
      <c r="CG58" s="86">
        <f t="shared" si="725"/>
        <v>0</v>
      </c>
      <c r="CH58" s="87">
        <f t="shared" si="726"/>
        <v>0</v>
      </c>
      <c r="CI58" s="87">
        <f t="shared" si="727"/>
        <v>0</v>
      </c>
      <c r="CJ58" s="88">
        <f t="shared" si="728"/>
        <v>0</v>
      </c>
      <c r="CK58" s="85">
        <f t="shared" si="729"/>
        <v>0</v>
      </c>
      <c r="CL58" s="86">
        <f t="shared" si="730"/>
        <v>0</v>
      </c>
      <c r="CM58" s="87">
        <f t="shared" si="731"/>
        <v>0</v>
      </c>
      <c r="CN58" s="87">
        <f t="shared" si="732"/>
        <v>0</v>
      </c>
      <c r="CO58" s="88">
        <f t="shared" si="733"/>
        <v>0</v>
      </c>
      <c r="CP58" s="85">
        <f t="shared" si="734"/>
        <v>0</v>
      </c>
      <c r="CQ58" s="86">
        <f t="shared" si="735"/>
        <v>0</v>
      </c>
      <c r="CR58" s="87">
        <f t="shared" si="736"/>
        <v>0</v>
      </c>
      <c r="CS58" s="87">
        <f t="shared" si="737"/>
        <v>0</v>
      </c>
      <c r="CT58" s="88">
        <f t="shared" si="738"/>
        <v>0</v>
      </c>
      <c r="CU58" s="85">
        <f t="shared" si="739"/>
        <v>0</v>
      </c>
      <c r="CV58" s="86">
        <f t="shared" si="740"/>
        <v>0</v>
      </c>
      <c r="CW58" s="87">
        <f t="shared" si="741"/>
        <v>0</v>
      </c>
      <c r="CX58" s="87">
        <f t="shared" si="742"/>
        <v>0</v>
      </c>
      <c r="CY58" s="88">
        <f t="shared" si="743"/>
        <v>0</v>
      </c>
      <c r="CZ58" s="85">
        <f t="shared" si="744"/>
        <v>0</v>
      </c>
    </row>
    <row r="59" spans="1:265" s="232" customFormat="1" ht="12.75" customHeight="1">
      <c r="A59" s="40"/>
      <c r="B59" s="40"/>
      <c r="C59"/>
      <c r="D59" s="2114"/>
      <c r="E59" s="2115"/>
      <c r="F59" s="1510"/>
      <c r="G59" s="1510"/>
      <c r="H59" s="1334"/>
      <c r="I59" s="1513"/>
      <c r="J59" s="1334"/>
      <c r="K59" s="80"/>
      <c r="L59" s="81">
        <f t="shared" si="653"/>
        <v>0</v>
      </c>
      <c r="M59" s="82">
        <f t="shared" si="745"/>
        <v>0</v>
      </c>
      <c r="N59" s="83">
        <f t="shared" si="746"/>
        <v>0</v>
      </c>
      <c r="O59" s="83">
        <f t="shared" si="747"/>
        <v>0</v>
      </c>
      <c r="P59" s="84">
        <f t="shared" si="748"/>
        <v>0</v>
      </c>
      <c r="Q59" s="81">
        <f t="shared" si="658"/>
        <v>0</v>
      </c>
      <c r="R59" s="82">
        <f t="shared" si="749"/>
        <v>0</v>
      </c>
      <c r="S59" s="83">
        <f t="shared" si="750"/>
        <v>0</v>
      </c>
      <c r="T59" s="83">
        <f t="shared" si="751"/>
        <v>0</v>
      </c>
      <c r="U59" s="84">
        <f t="shared" si="752"/>
        <v>0</v>
      </c>
      <c r="V59" s="81">
        <f t="shared" si="663"/>
        <v>0</v>
      </c>
      <c r="W59" s="82">
        <f t="shared" si="753"/>
        <v>0</v>
      </c>
      <c r="X59" s="83">
        <f t="shared" si="754"/>
        <v>0</v>
      </c>
      <c r="Y59" s="83">
        <f t="shared" si="755"/>
        <v>0</v>
      </c>
      <c r="Z59" s="84">
        <f t="shared" si="756"/>
        <v>0</v>
      </c>
      <c r="AA59" s="81">
        <f t="shared" si="668"/>
        <v>0</v>
      </c>
      <c r="AB59" s="82">
        <f t="shared" si="757"/>
        <v>0</v>
      </c>
      <c r="AC59" s="83">
        <f t="shared" si="758"/>
        <v>0</v>
      </c>
      <c r="AD59" s="83">
        <f t="shared" si="759"/>
        <v>0</v>
      </c>
      <c r="AE59" s="84">
        <f t="shared" si="760"/>
        <v>0</v>
      </c>
      <c r="AF59" s="81">
        <f t="shared" si="673"/>
        <v>0</v>
      </c>
      <c r="AG59" s="82">
        <f t="shared" si="674"/>
        <v>0</v>
      </c>
      <c r="AH59" s="83">
        <f t="shared" si="675"/>
        <v>0</v>
      </c>
      <c r="AI59" s="83">
        <f t="shared" si="676"/>
        <v>0</v>
      </c>
      <c r="AJ59" s="84">
        <f t="shared" si="677"/>
        <v>0</v>
      </c>
      <c r="AK59" s="81">
        <f t="shared" si="678"/>
        <v>0</v>
      </c>
      <c r="AL59" s="82">
        <f t="shared" si="679"/>
        <v>0</v>
      </c>
      <c r="AM59" s="83">
        <f t="shared" si="680"/>
        <v>0</v>
      </c>
      <c r="AN59" s="83">
        <f t="shared" si="681"/>
        <v>0</v>
      </c>
      <c r="AO59" s="84">
        <f t="shared" si="682"/>
        <v>0</v>
      </c>
      <c r="AP59" s="81">
        <f t="shared" si="683"/>
        <v>0</v>
      </c>
      <c r="AQ59" s="82">
        <f t="shared" si="684"/>
        <v>0</v>
      </c>
      <c r="AR59" s="83">
        <f t="shared" si="685"/>
        <v>0</v>
      </c>
      <c r="AS59" s="83">
        <f t="shared" si="686"/>
        <v>0</v>
      </c>
      <c r="AT59" s="84">
        <f t="shared" si="687"/>
        <v>0</v>
      </c>
      <c r="AU59" s="81">
        <f t="shared" si="688"/>
        <v>0</v>
      </c>
      <c r="AV59" s="82">
        <f t="shared" si="689"/>
        <v>0</v>
      </c>
      <c r="AW59" s="83">
        <f t="shared" si="690"/>
        <v>0</v>
      </c>
      <c r="AX59" s="83">
        <f t="shared" si="691"/>
        <v>0</v>
      </c>
      <c r="AY59" s="84">
        <f t="shared" si="692"/>
        <v>0</v>
      </c>
      <c r="AZ59" s="81">
        <f t="shared" si="693"/>
        <v>0</v>
      </c>
      <c r="BA59" s="82">
        <f t="shared" si="694"/>
        <v>0</v>
      </c>
      <c r="BB59" s="83">
        <f t="shared" si="695"/>
        <v>0</v>
      </c>
      <c r="BC59" s="83">
        <f t="shared" si="696"/>
        <v>0</v>
      </c>
      <c r="BD59" s="84">
        <f t="shared" si="697"/>
        <v>0</v>
      </c>
      <c r="BE59" s="81">
        <f t="shared" si="698"/>
        <v>0</v>
      </c>
      <c r="BF59" s="1877"/>
      <c r="BG59" s="2005">
        <f t="shared" si="699"/>
        <v>0</v>
      </c>
      <c r="BH59" s="86">
        <f t="shared" si="761"/>
        <v>0</v>
      </c>
      <c r="BI59" s="87">
        <f t="shared" si="762"/>
        <v>0</v>
      </c>
      <c r="BJ59" s="87">
        <f t="shared" si="763"/>
        <v>0</v>
      </c>
      <c r="BK59" s="88">
        <f t="shared" si="764"/>
        <v>0</v>
      </c>
      <c r="BL59" s="85">
        <f t="shared" si="765"/>
        <v>0</v>
      </c>
      <c r="BM59" s="86">
        <f t="shared" si="766"/>
        <v>0</v>
      </c>
      <c r="BN59" s="87">
        <f t="shared" si="767"/>
        <v>0</v>
      </c>
      <c r="BO59" s="87">
        <f t="shared" si="768"/>
        <v>0</v>
      </c>
      <c r="BP59" s="88">
        <f t="shared" si="769"/>
        <v>0</v>
      </c>
      <c r="BQ59" s="85">
        <f t="shared" si="770"/>
        <v>0</v>
      </c>
      <c r="BR59" s="86">
        <f t="shared" si="771"/>
        <v>0</v>
      </c>
      <c r="BS59" s="87">
        <f t="shared" si="772"/>
        <v>0</v>
      </c>
      <c r="BT59" s="87">
        <f t="shared" si="773"/>
        <v>0</v>
      </c>
      <c r="BU59" s="88">
        <f t="shared" si="774"/>
        <v>0</v>
      </c>
      <c r="BV59" s="85">
        <f t="shared" si="775"/>
        <v>0</v>
      </c>
      <c r="BW59" s="86">
        <f t="shared" si="776"/>
        <v>0</v>
      </c>
      <c r="BX59" s="87">
        <f t="shared" si="777"/>
        <v>0</v>
      </c>
      <c r="BY59" s="87">
        <f t="shared" si="778"/>
        <v>0</v>
      </c>
      <c r="BZ59" s="88">
        <f t="shared" si="779"/>
        <v>0</v>
      </c>
      <c r="CA59" s="85">
        <f t="shared" si="780"/>
        <v>0</v>
      </c>
      <c r="CB59" s="86">
        <f t="shared" si="720"/>
        <v>0</v>
      </c>
      <c r="CC59" s="87">
        <f t="shared" si="721"/>
        <v>0</v>
      </c>
      <c r="CD59" s="87">
        <f t="shared" si="722"/>
        <v>0</v>
      </c>
      <c r="CE59" s="88">
        <f t="shared" si="723"/>
        <v>0</v>
      </c>
      <c r="CF59" s="85">
        <f t="shared" si="724"/>
        <v>0</v>
      </c>
      <c r="CG59" s="86">
        <f t="shared" si="725"/>
        <v>0</v>
      </c>
      <c r="CH59" s="87">
        <f t="shared" si="726"/>
        <v>0</v>
      </c>
      <c r="CI59" s="87">
        <f t="shared" si="727"/>
        <v>0</v>
      </c>
      <c r="CJ59" s="88">
        <f t="shared" si="728"/>
        <v>0</v>
      </c>
      <c r="CK59" s="85">
        <f t="shared" si="729"/>
        <v>0</v>
      </c>
      <c r="CL59" s="86">
        <f t="shared" si="730"/>
        <v>0</v>
      </c>
      <c r="CM59" s="87">
        <f t="shared" si="731"/>
        <v>0</v>
      </c>
      <c r="CN59" s="87">
        <f t="shared" si="732"/>
        <v>0</v>
      </c>
      <c r="CO59" s="88">
        <f t="shared" si="733"/>
        <v>0</v>
      </c>
      <c r="CP59" s="85">
        <f t="shared" si="734"/>
        <v>0</v>
      </c>
      <c r="CQ59" s="86">
        <f t="shared" si="735"/>
        <v>0</v>
      </c>
      <c r="CR59" s="87">
        <f t="shared" si="736"/>
        <v>0</v>
      </c>
      <c r="CS59" s="87">
        <f t="shared" si="737"/>
        <v>0</v>
      </c>
      <c r="CT59" s="88">
        <f t="shared" si="738"/>
        <v>0</v>
      </c>
      <c r="CU59" s="85">
        <f t="shared" si="739"/>
        <v>0</v>
      </c>
      <c r="CV59" s="86">
        <f t="shared" si="740"/>
        <v>0</v>
      </c>
      <c r="CW59" s="87">
        <f t="shared" si="741"/>
        <v>0</v>
      </c>
      <c r="CX59" s="87">
        <f t="shared" si="742"/>
        <v>0</v>
      </c>
      <c r="CY59" s="88">
        <f t="shared" si="743"/>
        <v>0</v>
      </c>
      <c r="CZ59" s="85">
        <f t="shared" si="744"/>
        <v>0</v>
      </c>
    </row>
    <row r="60" spans="1:265" s="232" customFormat="1" ht="12.75" customHeight="1">
      <c r="A60" s="40"/>
      <c r="B60" s="40"/>
      <c r="C60" t="s">
        <v>1238</v>
      </c>
      <c r="D60" s="2114"/>
      <c r="E60" s="2115">
        <f>IF(F60=0,G60,F60)</f>
        <v>572</v>
      </c>
      <c r="F60" s="2314">
        <v>572</v>
      </c>
      <c r="G60" s="1510">
        <v>572</v>
      </c>
      <c r="H60" s="1334">
        <v>2033</v>
      </c>
      <c r="I60" s="1513">
        <v>0.06</v>
      </c>
      <c r="J60" s="1334">
        <v>2</v>
      </c>
      <c r="K60" s="80"/>
      <c r="L60" s="81"/>
      <c r="M60" s="82"/>
      <c r="N60" s="83"/>
      <c r="O60" s="83"/>
      <c r="P60" s="84"/>
      <c r="Q60" s="81"/>
      <c r="R60" s="82"/>
      <c r="S60" s="83"/>
      <c r="T60" s="83"/>
      <c r="U60" s="84"/>
      <c r="V60" s="81"/>
      <c r="W60" s="82"/>
      <c r="X60" s="83"/>
      <c r="Y60" s="83"/>
      <c r="Z60" s="84"/>
      <c r="AA60" s="81"/>
      <c r="AB60" s="82"/>
      <c r="AC60" s="83"/>
      <c r="AD60" s="83"/>
      <c r="AE60" s="84"/>
      <c r="AF60" s="81"/>
      <c r="AG60" s="82"/>
      <c r="AH60" s="83"/>
      <c r="AI60" s="83"/>
      <c r="AJ60" s="84"/>
      <c r="AK60" s="81"/>
      <c r="AL60" s="82"/>
      <c r="AM60" s="83"/>
      <c r="AN60" s="83"/>
      <c r="AO60" s="84"/>
      <c r="AP60" s="81"/>
      <c r="AQ60" s="82"/>
      <c r="AR60" s="83"/>
      <c r="AS60" s="83"/>
      <c r="AT60" s="84"/>
      <c r="AU60" s="81"/>
      <c r="AV60" s="82"/>
      <c r="AW60" s="83"/>
      <c r="AX60" s="83"/>
      <c r="AY60" s="84"/>
      <c r="AZ60" s="81"/>
      <c r="BA60" s="82"/>
      <c r="BB60" s="83"/>
      <c r="BC60" s="83"/>
      <c r="BD60" s="84"/>
      <c r="BE60" s="81"/>
      <c r="BF60" s="1877"/>
      <c r="BG60" s="2005"/>
      <c r="BH60" s="86"/>
      <c r="BI60" s="87"/>
      <c r="BJ60" s="87"/>
      <c r="BK60" s="88"/>
      <c r="BL60" s="85"/>
      <c r="BM60" s="86"/>
      <c r="BN60" s="87"/>
      <c r="BO60" s="87"/>
      <c r="BP60" s="88"/>
      <c r="BQ60" s="85"/>
      <c r="BR60" s="86"/>
      <c r="BS60" s="87"/>
      <c r="BT60" s="87"/>
      <c r="BU60" s="88"/>
      <c r="BV60" s="85"/>
      <c r="BW60" s="86"/>
      <c r="BX60" s="87"/>
      <c r="BY60" s="87"/>
      <c r="BZ60" s="88"/>
      <c r="CA60" s="85"/>
      <c r="CB60" s="86"/>
      <c r="CC60" s="87"/>
      <c r="CD60" s="87"/>
      <c r="CE60" s="88"/>
      <c r="CF60" s="85"/>
      <c r="CG60" s="86"/>
      <c r="CH60" s="87"/>
      <c r="CI60" s="87"/>
      <c r="CJ60" s="88"/>
      <c r="CK60" s="85"/>
      <c r="CL60" s="86"/>
      <c r="CM60" s="87"/>
      <c r="CN60" s="87"/>
      <c r="CO60" s="88"/>
      <c r="CP60" s="85"/>
      <c r="CQ60" s="86"/>
      <c r="CR60" s="87"/>
      <c r="CS60" s="87"/>
      <c r="CT60" s="88"/>
      <c r="CU60" s="85"/>
      <c r="CV60" s="86"/>
      <c r="CW60" s="87"/>
      <c r="CX60" s="87"/>
      <c r="CY60" s="88"/>
      <c r="CZ60" s="85"/>
    </row>
    <row r="61" spans="1:265" ht="12.75" customHeight="1">
      <c r="A61" s="4"/>
      <c r="B61" s="4"/>
      <c r="D61" s="2114"/>
      <c r="E61" s="2115"/>
      <c r="F61" s="2314"/>
      <c r="G61" s="1510"/>
      <c r="H61" s="1334"/>
      <c r="I61" s="1513"/>
      <c r="J61" s="1334"/>
      <c r="K61" s="80"/>
      <c r="L61" s="81"/>
      <c r="M61" s="82"/>
      <c r="N61" s="83"/>
      <c r="O61" s="83"/>
      <c r="P61" s="84"/>
      <c r="Q61" s="81"/>
      <c r="R61" s="82"/>
      <c r="S61" s="83"/>
      <c r="T61" s="83"/>
      <c r="U61" s="84"/>
      <c r="V61" s="81"/>
      <c r="W61" s="82"/>
      <c r="X61" s="83"/>
      <c r="Y61" s="83"/>
      <c r="Z61" s="84"/>
      <c r="AA61" s="81"/>
      <c r="AB61" s="82"/>
      <c r="AC61" s="83"/>
      <c r="AD61" s="83"/>
      <c r="AE61" s="84"/>
      <c r="AF61" s="81"/>
      <c r="AG61" s="82"/>
      <c r="AH61" s="83"/>
      <c r="AI61" s="83"/>
      <c r="AJ61" s="84"/>
      <c r="AK61" s="81"/>
      <c r="AL61" s="82"/>
      <c r="AM61" s="83"/>
      <c r="AN61" s="83"/>
      <c r="AO61" s="84"/>
      <c r="AP61" s="81"/>
      <c r="AQ61" s="82"/>
      <c r="AR61" s="83"/>
      <c r="AS61" s="83"/>
      <c r="AT61" s="84"/>
      <c r="AU61" s="81"/>
      <c r="AV61" s="82"/>
      <c r="AW61" s="83"/>
      <c r="AX61" s="83"/>
      <c r="AY61" s="84"/>
      <c r="AZ61" s="81"/>
      <c r="BA61" s="82"/>
      <c r="BB61" s="83"/>
      <c r="BC61" s="83"/>
      <c r="BD61" s="84"/>
      <c r="BE61" s="81"/>
      <c r="BF61" s="1877"/>
      <c r="BG61" s="2005"/>
      <c r="BH61" s="86"/>
      <c r="BI61" s="87"/>
      <c r="BJ61" s="87"/>
      <c r="BK61" s="88"/>
      <c r="BL61" s="85"/>
      <c r="BM61" s="86"/>
      <c r="BN61" s="87"/>
      <c r="BO61" s="87"/>
      <c r="BP61" s="88"/>
      <c r="BQ61" s="85"/>
      <c r="BR61" s="86"/>
      <c r="BS61" s="87"/>
      <c r="BT61" s="87"/>
      <c r="BU61" s="88"/>
      <c r="BV61" s="85"/>
      <c r="BW61" s="86"/>
      <c r="BX61" s="87"/>
      <c r="BY61" s="87"/>
      <c r="BZ61" s="88"/>
      <c r="CA61" s="85"/>
      <c r="CB61" s="86"/>
      <c r="CC61" s="87"/>
      <c r="CD61" s="87"/>
      <c r="CE61" s="88"/>
      <c r="CF61" s="85"/>
      <c r="CG61" s="86"/>
      <c r="CH61" s="87"/>
      <c r="CI61" s="87"/>
      <c r="CJ61" s="88"/>
      <c r="CK61" s="85"/>
      <c r="CL61" s="86"/>
      <c r="CM61" s="87"/>
      <c r="CN61" s="87"/>
      <c r="CO61" s="88"/>
      <c r="CP61" s="85"/>
      <c r="CQ61" s="86"/>
      <c r="CR61" s="87"/>
      <c r="CS61" s="87"/>
      <c r="CT61" s="88"/>
      <c r="CU61" s="85"/>
      <c r="CV61" s="86"/>
      <c r="CW61" s="87"/>
      <c r="CX61" s="87"/>
      <c r="CY61" s="88"/>
      <c r="CZ61" s="85"/>
      <c r="DA61" s="232"/>
      <c r="DB61" s="232"/>
      <c r="DC61" s="232"/>
      <c r="DD61" s="232"/>
      <c r="DE61" s="232"/>
      <c r="DF61" s="232"/>
      <c r="DG61" s="232"/>
      <c r="DH61" s="232"/>
      <c r="DI61" s="232"/>
      <c r="DJ61" s="232"/>
      <c r="DK61" s="232"/>
      <c r="DL61" s="232"/>
      <c r="DM61" s="232"/>
      <c r="DN61" s="232"/>
      <c r="DO61" s="232"/>
      <c r="DP61" s="232"/>
      <c r="DQ61" s="232"/>
      <c r="DR61" s="232"/>
      <c r="DS61" s="232"/>
      <c r="DT61" s="232"/>
      <c r="DU61" s="232"/>
      <c r="DV61" s="232"/>
      <c r="DW61" s="232"/>
      <c r="DX61" s="232"/>
      <c r="DY61" s="232"/>
      <c r="DZ61" s="232"/>
      <c r="EA61" s="232"/>
      <c r="EB61" s="232"/>
      <c r="EC61" s="232"/>
      <c r="ED61" s="232"/>
      <c r="EE61" s="232"/>
      <c r="EF61" s="232"/>
      <c r="EG61" s="232"/>
      <c r="EH61" s="232"/>
      <c r="EI61" s="232"/>
      <c r="EJ61" s="232"/>
      <c r="EK61" s="232"/>
      <c r="EL61" s="232"/>
      <c r="EM61" s="232"/>
      <c r="EN61" s="232"/>
      <c r="EO61" s="232"/>
      <c r="EP61" s="232"/>
      <c r="EQ61" s="232"/>
      <c r="ER61" s="232"/>
      <c r="ES61" s="232"/>
      <c r="ET61" s="232"/>
      <c r="EU61" s="232"/>
      <c r="EV61" s="232"/>
      <c r="EW61" s="232"/>
      <c r="EX61" s="232"/>
      <c r="EY61" s="232"/>
      <c r="EZ61" s="232"/>
      <c r="FA61" s="232"/>
      <c r="FB61" s="232"/>
      <c r="FC61" s="232"/>
      <c r="FD61" s="232"/>
      <c r="FE61" s="232"/>
      <c r="FF61" s="232"/>
      <c r="FG61" s="232"/>
      <c r="FH61" s="232"/>
      <c r="FI61" s="232"/>
      <c r="FJ61" s="232"/>
      <c r="FK61" s="232"/>
      <c r="FL61" s="232"/>
      <c r="FM61" s="232"/>
      <c r="FN61" s="232"/>
      <c r="FO61" s="232"/>
      <c r="FP61" s="232"/>
      <c r="FQ61" s="232"/>
      <c r="FR61" s="232"/>
      <c r="FS61" s="232"/>
      <c r="FT61" s="232"/>
      <c r="FU61" s="232"/>
      <c r="FV61" s="232"/>
      <c r="FW61" s="232"/>
      <c r="FX61" s="232"/>
      <c r="FY61" s="232"/>
      <c r="FZ61" s="232"/>
      <c r="GA61" s="232"/>
      <c r="GB61" s="232"/>
      <c r="GC61" s="232"/>
      <c r="GD61" s="232"/>
      <c r="GE61" s="232"/>
      <c r="GF61" s="232"/>
      <c r="GG61" s="232"/>
      <c r="GH61" s="232"/>
      <c r="GI61" s="232"/>
      <c r="GJ61" s="232"/>
      <c r="GK61" s="232"/>
      <c r="GL61" s="232"/>
      <c r="GM61" s="232"/>
      <c r="GN61" s="232"/>
      <c r="GO61" s="232"/>
      <c r="GP61" s="232"/>
      <c r="GQ61" s="232"/>
      <c r="GR61" s="232"/>
      <c r="GS61" s="232"/>
      <c r="GT61" s="232"/>
      <c r="GU61" s="232"/>
      <c r="GV61" s="232"/>
      <c r="GW61" s="232"/>
      <c r="GX61" s="232"/>
      <c r="GY61" s="232"/>
      <c r="GZ61" s="232"/>
      <c r="HA61" s="232"/>
      <c r="HB61" s="232"/>
      <c r="HC61" s="232"/>
      <c r="HD61" s="232"/>
      <c r="HE61" s="232"/>
      <c r="HF61" s="232"/>
      <c r="HG61" s="232"/>
      <c r="HH61" s="232"/>
      <c r="HI61" s="232"/>
      <c r="HJ61" s="232"/>
      <c r="HK61" s="232"/>
      <c r="HL61" s="232"/>
      <c r="HM61" s="232"/>
      <c r="HN61" s="232"/>
      <c r="HO61" s="232"/>
      <c r="HP61" s="232"/>
      <c r="HQ61" s="232"/>
      <c r="HR61" s="232"/>
      <c r="HS61" s="232"/>
      <c r="HT61" s="232"/>
      <c r="HU61" s="232"/>
      <c r="HV61" s="232"/>
      <c r="HW61" s="232"/>
      <c r="HX61" s="232"/>
      <c r="HY61" s="232"/>
      <c r="HZ61" s="232"/>
      <c r="IA61" s="232"/>
      <c r="IB61" s="232"/>
      <c r="IC61" s="232"/>
      <c r="ID61" s="232"/>
      <c r="IE61" s="232"/>
      <c r="IF61" s="232"/>
      <c r="IG61" s="232"/>
      <c r="IH61" s="232"/>
      <c r="II61" s="232"/>
      <c r="IJ61" s="232"/>
      <c r="IK61" s="232"/>
      <c r="IL61" s="232"/>
      <c r="IM61" s="232"/>
      <c r="IN61" s="232"/>
      <c r="IO61" s="232"/>
      <c r="IP61" s="232"/>
      <c r="IQ61" s="232"/>
      <c r="IR61" s="232"/>
      <c r="IS61" s="232"/>
      <c r="IT61" s="232"/>
      <c r="IU61" s="232"/>
      <c r="IV61" s="232"/>
      <c r="IW61" s="232"/>
      <c r="IX61" s="232"/>
      <c r="IY61" s="232"/>
      <c r="IZ61" s="232"/>
      <c r="JA61" s="232"/>
      <c r="JB61" s="232"/>
      <c r="JC61" s="232"/>
      <c r="JD61" s="232"/>
      <c r="JE61" s="232"/>
    </row>
    <row r="62" spans="1:265" ht="12.75" customHeight="1">
      <c r="A62" s="4"/>
      <c r="B62" s="4"/>
      <c r="C62" s="4" t="s">
        <v>1071</v>
      </c>
      <c r="D62" s="2117"/>
      <c r="E62" s="1332">
        <f t="shared" ref="E62:E71" si="828">IF(F62=0,G62,F62)</f>
        <v>75</v>
      </c>
      <c r="F62" s="2314">
        <v>75</v>
      </c>
      <c r="G62" s="1510">
        <v>75</v>
      </c>
      <c r="H62" s="1334">
        <v>2024</v>
      </c>
      <c r="I62" s="1512">
        <v>0.03</v>
      </c>
      <c r="J62" s="1334">
        <v>4</v>
      </c>
      <c r="K62" s="80"/>
      <c r="L62" s="81">
        <f t="shared" ref="L62:L70" si="829">IF(L$5=$H62,-$E62,0)</f>
        <v>0</v>
      </c>
      <c r="M62" s="82">
        <f>IF(Q62=0,0,IF(Q62&lt;0,IF($J62=3,Q62,IF($J62=2,Q62,IF($J62=1,Q62,0)))))</f>
        <v>0</v>
      </c>
      <c r="N62" s="83">
        <f>IF(Q62=0,0,IF(Q62&lt;0,IF($J62=6,Q62,IF($J62=5,Q62,IF($J62=4,Q62,0)))))</f>
        <v>0</v>
      </c>
      <c r="O62" s="83">
        <f>IF(Q62=0,0,IF(Q62&lt;0,IF($J62=9,Q62,IF($J62=8,Q62,IF($J62=7,Q62,0)))))</f>
        <v>0</v>
      </c>
      <c r="P62" s="84">
        <f>IF(Q62=0,0,IF(Q62&lt;0,IF($J62=12,Q62,IF($J62=11,Q62,IF($J62=10,Q62,0)))))</f>
        <v>0</v>
      </c>
      <c r="Q62" s="81">
        <f t="shared" ref="Q62:Q70" si="830">IF(Q$5=$H62,-$E62,0)</f>
        <v>0</v>
      </c>
      <c r="R62" s="82">
        <f>IF(V62=0,0,IF(V62&lt;0,IF($J62=3,V62,IF($J62=2,V62,IF($J62=1,V62,0)))))</f>
        <v>0</v>
      </c>
      <c r="S62" s="83">
        <f>IF(V62=0,0,IF(V62&lt;0,IF($J62=6,V62,IF($J62=5,V62,IF($J62=4,V62,0)))))</f>
        <v>0</v>
      </c>
      <c r="T62" s="83">
        <f>IF(V62=0,0,IF(V62&lt;0,IF($J62=9,V62,IF($J62=8,V62,IF($J62=7,V62,0)))))</f>
        <v>0</v>
      </c>
      <c r="U62" s="84">
        <f>IF(V62=0,0,IF(V62&lt;0,IF($J62=12,V62,IF($J62=11,V62,IF($J62=10,V62,0)))))</f>
        <v>0</v>
      </c>
      <c r="V62" s="81">
        <f t="shared" ref="V62:V70" si="831">IF(V$5=$H62,-$E62,0)</f>
        <v>0</v>
      </c>
      <c r="W62" s="82">
        <f>IF(AA62=0,0,IF(AA62&lt;0,IF($J62=3,AA62,IF($J62=2,AA62,IF($J62=1,AA62,0)))))</f>
        <v>0</v>
      </c>
      <c r="X62" s="83">
        <f>IF(AA62=0,0,IF(AA62&lt;0,IF($J62=6,AA62,IF($J62=5,AA62,IF($J62=4,AA62,0)))))</f>
        <v>0</v>
      </c>
      <c r="Y62" s="83">
        <f>IF(AA62=0,0,IF(AA62&lt;0,IF($J62=9,AA62,IF($J62=8,AA62,IF($J62=7,AA62,0)))))</f>
        <v>0</v>
      </c>
      <c r="Z62" s="84">
        <f>IF(AA62=0,0,IF(AA62&lt;0,IF($J62=12,AA62,IF($J62=11,AA62,IF($J62=10,AA62,0)))))</f>
        <v>0</v>
      </c>
      <c r="AA62" s="81">
        <f t="shared" ref="AA62:AA70" si="832">IF(AA$5=$H62,-$E62,0)</f>
        <v>0</v>
      </c>
      <c r="AB62" s="82">
        <f>IF(AF62=0,0,IF(AF62&lt;0,IF($J62=3,AF62,IF($J62=2,AF62,IF($J62=1,AF62,0)))))</f>
        <v>0</v>
      </c>
      <c r="AC62" s="83">
        <f>IF(AF62=0,0,IF(AF62&lt;0,IF($J62=6,AF62,IF($J62=5,AF62,IF($J62=4,AF62,0)))))</f>
        <v>0</v>
      </c>
      <c r="AD62" s="83">
        <f>IF(AF62=0,0,IF(AF62&lt;0,IF($J62=9,AF62,IF($J62=8,AF62,IF($J62=7,AF62,0)))))</f>
        <v>0</v>
      </c>
      <c r="AE62" s="84">
        <f>IF(AF62=0,0,IF(AF62&lt;0,IF($J62=12,AF62,IF($J62=11,AF62,IF($J62=10,AF62,0)))))</f>
        <v>0</v>
      </c>
      <c r="AF62" s="81">
        <f t="shared" ref="AF62:AF70" si="833">IF(AF$5=$H62,-$E62,0)</f>
        <v>0</v>
      </c>
      <c r="AG62" s="82">
        <f t="shared" ref="AG62:AG65" si="834">IF(AK62=0,0,IF(AK62&lt;0,IF($J62=3,AK62,IF($J62=2,AK62,IF($J62=1,AK62,0)))))</f>
        <v>0</v>
      </c>
      <c r="AH62" s="83">
        <f t="shared" ref="AH62:AH65" si="835">IF(AK62=0,0,IF(AK62&lt;0,IF($J62=6,AK62,IF($J62=5,AK62,IF($J62=4,AK62,0)))))</f>
        <v>0</v>
      </c>
      <c r="AI62" s="83">
        <f t="shared" ref="AI62:AI65" si="836">IF(AK62=0,0,IF(AK62&lt;0,IF($J62=9,AK62,IF($J62=8,AK62,IF($J62=7,AK62,0)))))</f>
        <v>0</v>
      </c>
      <c r="AJ62" s="84">
        <f t="shared" ref="AJ62:AJ65" si="837">IF(AK62=0,0,IF(AK62&lt;0,IF($J62=12,AK62,IF($J62=11,AK62,IF($J62=10,AK62,0)))))</f>
        <v>0</v>
      </c>
      <c r="AK62" s="81">
        <f t="shared" ref="AK62:AK70" si="838">IF(AK$5=$H62,-$E62,0)</f>
        <v>0</v>
      </c>
      <c r="AL62" s="82">
        <f>IF(AP62=0,0,IF(AP62&lt;0,IF($J62=3,AP62,IF($J62=2,AP62,IF($J62=1,AP62,0)))))</f>
        <v>0</v>
      </c>
      <c r="AM62" s="83">
        <f>IF(AP62=0,0,IF(AP62&lt;0,IF($J62=6,AP62,IF($J62=5,AP62,IF($J62=4,AP62,0)))))</f>
        <v>0</v>
      </c>
      <c r="AN62" s="83">
        <f>IF(AP62=0,0,IF(AP62&lt;0,IF($J62=9,AP62,IF($J62=8,AP62,IF($J62=7,AP62,0)))))</f>
        <v>0</v>
      </c>
      <c r="AO62" s="84">
        <f>IF(AP62=0,0,IF(AP62&lt;0,IF($J62=12,AP62,IF($J62=11,AP62,IF($J62=10,AP62,0)))))</f>
        <v>0</v>
      </c>
      <c r="AP62" s="81">
        <f t="shared" ref="AP62:AP70" si="839">IF(AP$5=$H62,-$E62,0)</f>
        <v>0</v>
      </c>
      <c r="AQ62" s="82">
        <f>IF(AU62=0,0,IF(AU62&lt;0,IF($J62=3,AU62,IF($J62=2,AU62,IF($J62=1,AU62,0)))))</f>
        <v>0</v>
      </c>
      <c r="AR62" s="83">
        <f>IF(AU62=0,0,IF(AU62&lt;0,IF($J62=6,AU62,IF($J62=5,AU62,IF($J62=4,AU62,0)))))</f>
        <v>0</v>
      </c>
      <c r="AS62" s="83">
        <f>IF(AU62=0,0,IF(AU62&lt;0,IF($J62=9,AU62,IF($J62=8,AU62,IF($J62=7,AU62,0)))))</f>
        <v>0</v>
      </c>
      <c r="AT62" s="84">
        <f>IF(AU62=0,0,IF(AU62&lt;0,IF($J62=12,AU62,IF($J62=11,AU62,IF($J62=10,AU62,0)))))</f>
        <v>0</v>
      </c>
      <c r="AU62" s="81">
        <f t="shared" ref="AU62:AU70" si="840">IF(AU$5=$H62,-$E62,0)</f>
        <v>0</v>
      </c>
      <c r="AV62" s="82">
        <f>IF(AZ62=0,0,IF(AZ62&lt;0,IF($J62=3,AZ62,IF($J62=2,AZ62,IF($J62=1,AZ62,0)))))</f>
        <v>0</v>
      </c>
      <c r="AW62" s="83">
        <f>IF(AZ62=0,0,IF(AZ62&lt;0,IF($J62=6,AZ62,IF($J62=5,AZ62,IF($J62=4,AZ62,0)))))</f>
        <v>0</v>
      </c>
      <c r="AX62" s="83">
        <f>IF(AZ62=0,0,IF(AZ62&lt;0,IF($J62=9,AZ62,IF($J62=8,AZ62,IF($J62=7,AZ62,0)))))</f>
        <v>0</v>
      </c>
      <c r="AY62" s="84">
        <f>IF(AZ62=0,0,IF(AZ62&lt;0,IF($J62=12,AZ62,IF($J62=11,AZ62,IF($J62=10,AZ62,0)))))</f>
        <v>0</v>
      </c>
      <c r="AZ62" s="81">
        <f t="shared" ref="AZ62:AZ70" si="841">IF(AZ$5=$H62,-$E62,0)</f>
        <v>0</v>
      </c>
      <c r="BA62" s="82">
        <f>IF(BE62=0,0,IF(BE62&lt;0,IF($J62=3,BE62,IF($J62=2,BE62,IF($J62=1,BE62,0)))))</f>
        <v>0</v>
      </c>
      <c r="BB62" s="83">
        <f>IF(BE62=0,0,IF(BE62&lt;0,IF($J62=6,BE62,IF($J62=5,BE62,IF($J62=4,BE62,0)))))</f>
        <v>0</v>
      </c>
      <c r="BC62" s="83">
        <f>IF(BE62=0,0,IF(BE62&lt;0,IF($J62=9,BE62,IF($J62=8,BE62,IF($J62=7,BE62,0)))))</f>
        <v>0</v>
      </c>
      <c r="BD62" s="84">
        <f>IF(BE62=0,0,IF(BE62&lt;0,IF($J62=12,BE62,IF($J62=11,BE62,IF($J62=10,BE62,0)))))</f>
        <v>0</v>
      </c>
      <c r="BE62" s="81">
        <f t="shared" ref="BE62:BE70" si="842">IF(BE$5=$H62,-$E62,0)</f>
        <v>0</v>
      </c>
      <c r="BF62" s="1877"/>
      <c r="BG62" s="2005">
        <f>IF(AND(BF62&lt;&gt;0,BF$5=$H62),-$I62*$E62-BF62,IF(BG$5=$H62,-$I62*$E62*(12-$J62+1)/12,0))</f>
        <v>0</v>
      </c>
      <c r="BH62" s="86">
        <f>IF($H62&lt;&gt;BL$5,0,IF(BL62&lt;0,IF($J62=1,-$E62*$I62/12*3,IF($J62=2,-$E62*$I62/12*2,IF($J62=3,-$E62*$I62/12*1,0)))))+IF(BG$5&lt;&gt;$H62,0,IF(BG62&lt;0,IF($J62=1,-$E62*$I62/12*0,IF($J62=2,-$E62*$I62/12*1,IF($J62=3,-$E62*$I62/12*2,IF($J62&gt;=4,-$E62*$I62/12*3,0))))))</f>
        <v>0</v>
      </c>
      <c r="BI62" s="87">
        <f>IF($H62&lt;&gt;BL$5,0,IF(BL62&lt;0,IF(OR($J62=1,$J62=2,$J62=3,$J62=4),-$E62*$I62/12*3,IF($J62=5,-$E62*$I62/12*2,IF($J62=6,-$E62*$I62/12*1,0)))))+IF(BG$5&lt;&gt;$H62,0,IF(BG62&lt;0,IF($J62=4,-$E62*$I62/12*0,IF($J62=5,-$E62*$I62/12*1,IF($J62=6,-$E62*$I62/12*2,IF($J62&gt;=7,-$E62*$I62/12*3,0))))))</f>
        <v>0</v>
      </c>
      <c r="BJ62" s="87">
        <f>IF($H62&lt;&gt;BL$5,0,IF(BL62&lt;0,IF(OR($J62=1,$J62=2,$J62=3,$J62=4,$J62=5,$J62=6,$J62=7),-$E62*$I62/12*3,IF($J62=8,-$E62*$I62/12*2,IF($J62=9,-$E62*$I62/12*1,0)))))+IF(BG$5&lt;&gt;$H62,0,IF(BG62&lt;0,IF($J62=7,-$E62*$I62/12*0,IF($J62=8,-$E62*$I62/12*1,IF($J62=9,-$E62*$I62/12*2,IF($J62&gt;=10,-$E62*$I62/12*3,0))))))</f>
        <v>0</v>
      </c>
      <c r="BK62" s="88">
        <f>IF($H62&lt;&gt;BL$5,0,IF(BL62&lt;0,IF(OR($J62=1,$J62=2,$J62=3,$J62=4,$J62=5,$J62=6,$J62=7,$J62=8,$J62=9,$J62=10),-$E62*$I62/12*3,IF($J62=11,-$E62*$I62/12*2,IF($J62=12,-$E62*$I62/12*1,0)))))+IF(BG$5&lt;&gt;$H62,0,IF(BG62&lt;0,IF($J62=10,-$E62*$I62/12*0,IF($J62=11,-$E62*$I62/12*1,IF($J62=12,-$E62*$I62/12*2,0)))))</f>
        <v>0</v>
      </c>
      <c r="BL62" s="85">
        <f>IF(AND(BG62&lt;&gt;0,BG$5=$H62),-$I62*$E62-BG62,IF(BL$5=$H62,-$I62*$E62*(12-$J62+1)/12,0))</f>
        <v>0</v>
      </c>
      <c r="BM62" s="86">
        <f>IF($H62&lt;&gt;BQ$5,0,IF(BQ62&lt;0,IF($J62=1,-$E62*$I62/12*3,IF($J62=2,-$E62*$I62/12*2,IF($J62=3,-$E62*$I62/12*1,0)))))+IF(BL$5&lt;&gt;$H62,0,IF(BL62&lt;0,IF($J62=1,-$E62*$I62/12*0,IF($J62=2,-$E62*$I62/12*1,IF($J62=3,-$E62*$I62/12*2,IF($J62&gt;=4,-$E62*$I62/12*3,0))))))</f>
        <v>0</v>
      </c>
      <c r="BN62" s="87">
        <f>IF($H62&lt;&gt;BQ$5,0,IF(BQ62&lt;0,IF(OR($J62=1,$J62=2,$J62=3,$J62=4),-$E62*$I62/12*3,IF($J62=5,-$E62*$I62/12*2,IF($J62=6,-$E62*$I62/12*1,0)))))+IF(BL$5&lt;&gt;$H62,0,IF(BL62&lt;0,IF($J62=4,-$E62*$I62/12*0,IF($J62=5,-$E62*$I62/12*1,IF($J62=6,-$E62*$I62/12*2,IF($J62&gt;=7,-$E62*$I62/12*3,0))))))</f>
        <v>0</v>
      </c>
      <c r="BO62" s="87">
        <f>IF($H62&lt;&gt;BQ$5,0,IF(BQ62&lt;0,IF(OR($J62=1,$J62=2,$J62=3,$J62=4,$J62=5,$J62=6,$J62=7),-$E62*$I62/12*3,IF($J62=8,-$E62*$I62/12*2,IF($J62=9,-$E62*$I62/12*1,0)))))+IF(BL$5&lt;&gt;$H62,0,IF(BL62&lt;0,IF($J62=7,-$E62*$I62/12*0,IF($J62=8,-$E62*$I62/12*1,IF($J62=9,-$E62*$I62/12*2,IF($J62&gt;=10,-$E62*$I62/12*3,0))))))</f>
        <v>0</v>
      </c>
      <c r="BP62" s="88">
        <f>IF($H62&lt;&gt;BQ$5,0,IF(BQ62&lt;0,IF(OR($J62=1,$J62=2,$J62=3,$J62=4,$J62=5,$J62=6,$J62=7,$J62=8,$J62=9,$J62=10),-$E62*$I62/12*3,IF($J62=11,-$E62*$I62/12*2,IF($J62=12,-$E62*$I62/12*1,0)))))+IF(BL$5&lt;&gt;$H62,0,IF(BL62&lt;0,IF($J62=10,-$E62*$I62/12*0,IF($J62=11,-$E62*$I62/12*1,IF($J62=12,-$E62*$I62/12*2,0)))))</f>
        <v>0</v>
      </c>
      <c r="BQ62" s="85">
        <f>IF(AND(BL62&lt;&gt;0,BL$5=$H62),-$I62*$E62-BL62,IF(BQ$5=$H62,-$I62*$E62*(12-$J62+1)/12,0))</f>
        <v>0</v>
      </c>
      <c r="BR62" s="86">
        <f>IF($H62&lt;&gt;BV$5,0,IF(BV62&lt;0,IF($J62=1,-$E62*$I62/12*3,IF($J62=2,-$E62*$I62/12*2,IF($J62=3,-$E62*$I62/12*1,0)))))+IF(BQ$5&lt;&gt;$H62,0,IF(BQ62&lt;0,IF($J62=1,-$E62*$I62/12*0,IF($J62=2,-$E62*$I62/12*1,IF($J62=3,-$E62*$I62/12*2,IF($J62&gt;=4,-$E62*$I62/12*3,0))))))</f>
        <v>0</v>
      </c>
      <c r="BS62" s="87">
        <f>IF($H62&lt;&gt;BV$5,0,IF(BV62&lt;0,IF(OR($J62=1,$J62=2,$J62=3,$J62=4),-$E62*$I62/12*3,IF($J62=5,-$E62*$I62/12*2,IF($J62=6,-$E62*$I62/12*1,0)))))+IF(BQ$5&lt;&gt;$H62,0,IF(BQ62&lt;0,IF($J62=4,-$E62*$I62/12*0,IF($J62=5,-$E62*$I62/12*1,IF($J62=6,-$E62*$I62/12*2,IF($J62&gt;=7,-$E62*$I62/12*3,0))))))</f>
        <v>0</v>
      </c>
      <c r="BT62" s="87">
        <f>IF($H62&lt;&gt;BV$5,0,IF(BV62&lt;0,IF(OR($J62=1,$J62=2,$J62=3,$J62=4,$J62=5,$J62=6,$J62=7),-$E62*$I62/12*3,IF($J62=8,-$E62*$I62/12*2,IF($J62=9,-$E62*$I62/12*1,0)))))+IF(BQ$5&lt;&gt;$H62,0,IF(BQ62&lt;0,IF($J62=7,-$E62*$I62/12*0,IF($J62=8,-$E62*$I62/12*1,IF($J62=9,-$E62*$I62/12*2,IF($J62&gt;=10,-$E62*$I62/12*3,0))))))</f>
        <v>0</v>
      </c>
      <c r="BU62" s="88">
        <f>IF($H62&lt;&gt;BV$5,0,IF(BV62&lt;0,IF(OR($J62=1,$J62=2,$J62=3,$J62=4,$J62=5,$J62=6,$J62=7,$J62=8,$J62=9,$J62=10),-$E62*$I62/12*3,IF($J62=11,-$E62*$I62/12*2,IF($J62=12,-$E62*$I62/12*1,0)))))+IF(BQ$5&lt;&gt;$H62,0,IF(BQ62&lt;0,IF($J62=10,-$E62*$I62/12*0,IF($J62=11,-$E62*$I62/12*1,IF($J62=12,-$E62*$I62/12*2,0)))))</f>
        <v>0</v>
      </c>
      <c r="BV62" s="85">
        <f>IF(AND(BQ62&lt;&gt;0,BQ$5=$H62),-$I62*$E62-BQ62,IF(BV$5=$H62,-$I62*$E62*(12-$J62+1)/12,0))</f>
        <v>0</v>
      </c>
      <c r="BW62" s="86">
        <f>IF($H62&lt;&gt;CA$5,0,IF(CA62&lt;0,IF($J62=1,-$E62*$I62/12*3,IF($J62=2,-$E62*$I62/12*2,IF($J62=3,-$E62*$I62/12*1,0)))))+IF(BV$5&lt;&gt;$H62,0,IF(BV62&lt;0,IF($J62=1,-$E62*$I62/12*0,IF($J62=2,-$E62*$I62/12*1,IF($J62=3,-$E62*$I62/12*2,IF($J62&gt;=4,-$E62*$I62/12*3,0))))))</f>
        <v>0</v>
      </c>
      <c r="BX62" s="87">
        <f>IF($H62&lt;&gt;CA$5,0,IF(CA62&lt;0,IF(OR($J62=1,$J62=2,$J62=3,$J62=4),-$E62*$I62/12*3,IF($J62=5,-$E62*$I62/12*2,IF($J62=6,-$E62*$I62/12*1,0)))))+IF(BV$5&lt;&gt;$H62,0,IF(BV62&lt;0,IF($J62=4,-$E62*$I62/12*0,IF($J62=5,-$E62*$I62/12*1,IF($J62=6,-$E62*$I62/12*2,IF($J62&gt;=7,-$E62*$I62/12*3,0))))))</f>
        <v>0</v>
      </c>
      <c r="BY62" s="87">
        <f>IF($H62&lt;&gt;CA$5,0,IF(CA62&lt;0,IF(OR($J62=1,$J62=2,$J62=3,$J62=4,$J62=5,$J62=6,$J62=7),-$E62*$I62/12*3,IF($J62=8,-$E62*$I62/12*2,IF($J62=9,-$E62*$I62/12*1,0)))))+IF(BV$5&lt;&gt;$H62,0,IF(BV62&lt;0,IF($J62=7,-$E62*$I62/12*0,IF($J62=8,-$E62*$I62/12*1,IF($J62=9,-$E62*$I62/12*2,IF($J62&gt;=10,-$E62*$I62/12*3,0))))))</f>
        <v>0</v>
      </c>
      <c r="BZ62" s="88">
        <f>IF($H62&lt;&gt;CA$5,0,IF(CA62&lt;0,IF(OR($J62=1,$J62=2,$J62=3,$J62=4,$J62=5,$J62=6,$J62=7,$J62=8,$J62=9,$J62=10),-$E62*$I62/12*3,IF($J62=11,-$E62*$I62/12*2,IF($J62=12,-$E62*$I62/12*1,0)))))+IF(BV$5&lt;&gt;$H62,0,IF(BV62&lt;0,IF($J62=10,-$E62*$I62/12*0,IF($J62=11,-$E62*$I62/12*1,IF($J62=12,-$E62*$I62/12*2,0)))))</f>
        <v>0</v>
      </c>
      <c r="CA62" s="85">
        <f>IF(AND(BV62&lt;&gt;0,BV$5=$H62),-$I62*$E62-BV62,IF(CA$5=$H62,-$I62*$E62*(12-$J62+1)/12,0))</f>
        <v>0</v>
      </c>
      <c r="CB62" s="86">
        <f t="shared" ref="CB62:CB65" si="843">IF($H62&lt;&gt;CF$5,0,IF(CF62&lt;0,IF($J62=1,-$E62*$I62/12*3,IF($J62=2,-$E62*$I62/12*2,IF($J62=3,-$E62*$I62/12*1,0)))))+IF(CA$5&lt;&gt;$H62,0,IF(CA62&lt;0,IF($J62=1,-$E62*$I62/12*0,IF($J62=2,-$E62*$I62/12*1,IF($J62=3,-$E62*$I62/12*2,IF($J62&gt;=4,-$E62*$I62/12*3,0))))))</f>
        <v>0</v>
      </c>
      <c r="CC62" s="87">
        <f t="shared" ref="CC62:CC65" si="844">IF($H62&lt;&gt;CF$5,0,IF(CF62&lt;0,IF(OR($J62=1,$J62=2,$J62=3,$J62=4),-$E62*$I62/12*3,IF($J62=5,-$E62*$I62/12*2,IF($J62=6,-$E62*$I62/12*1,0)))))+IF(CA$5&lt;&gt;$H62,0,IF(CA62&lt;0,IF($J62=4,-$E62*$I62/12*0,IF($J62=5,-$E62*$I62/12*1,IF($J62=6,-$E62*$I62/12*2,IF($J62&gt;=7,-$E62*$I62/12*3,0))))))</f>
        <v>0</v>
      </c>
      <c r="CD62" s="87">
        <f t="shared" ref="CD62:CD65" si="845">IF($H62&lt;&gt;CF$5,0,IF(CF62&lt;0,IF(OR($J62=1,$J62=2,$J62=3,$J62=4,$J62=5,$J62=6,$J62=7),-$E62*$I62/12*3,IF($J62=8,-$E62*$I62/12*2,IF($J62=9,-$E62*$I62/12*1,0)))))+IF(CA$5&lt;&gt;$H62,0,IF(CA62&lt;0,IF($J62=7,-$E62*$I62/12*0,IF($J62=8,-$E62*$I62/12*1,IF($J62=9,-$E62*$I62/12*2,IF($J62&gt;=10,-$E62*$I62/12*3,0))))))</f>
        <v>0</v>
      </c>
      <c r="CE62" s="88">
        <f t="shared" ref="CE62:CE65" si="846">IF($H62&lt;&gt;CF$5,0,IF(CF62&lt;0,IF(OR($J62=1,$J62=2,$J62=3,$J62=4,$J62=5,$J62=6,$J62=7,$J62=8,$J62=9,$J62=10),-$E62*$I62/12*3,IF($J62=11,-$E62*$I62/12*2,IF($J62=12,-$E62*$I62/12*1,0)))))+IF(CA$5&lt;&gt;$H62,0,IF(CA62&lt;0,IF($J62=10,-$E62*$I62/12*0,IF($J62=11,-$E62*$I62/12*1,IF($J62=12,-$E62*$I62/12*2,0)))))</f>
        <v>0</v>
      </c>
      <c r="CF62" s="85">
        <f t="shared" ref="CF62:CF65" si="847">IF(AND(CA62&lt;&gt;0,CA$5=$H62),-$I62*$E62-CA62,IF(CF$5=$H62,-$I62*$E62*(12-$J62+1)/12,0))</f>
        <v>0</v>
      </c>
      <c r="CG62" s="86">
        <f>IF($H62&lt;&gt;CK$5,0,IF(CK62&lt;0,IF($J62=1,-$E62*$I62/12*3,IF($J62=2,-$E62*$I62/12*2,IF($J62=3,-$E62*$I62/12*1,0)))))+IF(CF$5&lt;&gt;$H62,0,IF(CF62&lt;0,IF($J62=1,-$E62*$I62/12*0,IF($J62=2,-$E62*$I62/12*1,IF($J62=3,-$E62*$I62/12*2,IF($J62&gt;=4,-$E62*$I62/12*3,0))))))</f>
        <v>0</v>
      </c>
      <c r="CH62" s="87">
        <f>IF($H62&lt;&gt;CK$5,0,IF(CK62&lt;0,IF(OR($J62=1,$J62=2,$J62=3,$J62=4),-$E62*$I62/12*3,IF($J62=5,-$E62*$I62/12*2,IF($J62=6,-$E62*$I62/12*1,0)))))+IF(CF$5&lt;&gt;$H62,0,IF(CF62&lt;0,IF($J62=4,-$E62*$I62/12*0,IF($J62=5,-$E62*$I62/12*1,IF($J62=6,-$E62*$I62/12*2,IF($J62&gt;=7,-$E62*$I62/12*3,0))))))</f>
        <v>0</v>
      </c>
      <c r="CI62" s="87">
        <f>IF($H62&lt;&gt;CK$5,0,IF(CK62&lt;0,IF(OR($J62=1,$J62=2,$J62=3,$J62=4,$J62=5,$J62=6,$J62=7),-$E62*$I62/12*3,IF($J62=8,-$E62*$I62/12*2,IF($J62=9,-$E62*$I62/12*1,0)))))+IF(CF$5&lt;&gt;$H62,0,IF(CF62&lt;0,IF($J62=7,-$E62*$I62/12*0,IF($J62=8,-$E62*$I62/12*1,IF($J62=9,-$E62*$I62/12*2,IF($J62&gt;=10,-$E62*$I62/12*3,0))))))</f>
        <v>0</v>
      </c>
      <c r="CJ62" s="88">
        <f>IF($H62&lt;&gt;CK$5,0,IF(CK62&lt;0,IF(OR($J62=1,$J62=2,$J62=3,$J62=4,$J62=5,$J62=6,$J62=7,$J62=8,$J62=9,$J62=10),-$E62*$I62/12*3,IF($J62=11,-$E62*$I62/12*2,IF($J62=12,-$E62*$I62/12*1,0)))))+IF(CF$5&lt;&gt;$H62,0,IF(CF62&lt;0,IF($J62=10,-$E62*$I62/12*0,IF($J62=11,-$E62*$I62/12*1,IF($J62=12,-$E62*$I62/12*2,0)))))</f>
        <v>0</v>
      </c>
      <c r="CK62" s="85">
        <f>IF(AND(CF62&lt;&gt;0,CF$5=$H62),-$I62*$E62-CF62,IF(CK$5=$H62,-$I62*$E62*(12-$J62+1)/12,0))</f>
        <v>0</v>
      </c>
      <c r="CL62" s="86">
        <f>IF($H62&lt;&gt;CP$5,0,IF(CP62&lt;0,IF($J62=1,-$E62*$I62/12*3,IF($J62=2,-$E62*$I62/12*2,IF($J62=3,-$E62*$I62/12*1,0)))))+IF(CK$5&lt;&gt;$H62,0,IF(CK62&lt;0,IF($J62=1,-$E62*$I62/12*0,IF($J62=2,-$E62*$I62/12*1,IF($J62=3,-$E62*$I62/12*2,IF($J62&gt;=4,-$E62*$I62/12*3,0))))))</f>
        <v>0</v>
      </c>
      <c r="CM62" s="87">
        <f>IF($H62&lt;&gt;CP$5,0,IF(CP62&lt;0,IF(OR($J62=1,$J62=2,$J62=3,$J62=4),-$E62*$I62/12*3,IF($J62=5,-$E62*$I62/12*2,IF($J62=6,-$E62*$I62/12*1,0)))))+IF(CK$5&lt;&gt;$H62,0,IF(CK62&lt;0,IF($J62=4,-$E62*$I62/12*0,IF($J62=5,-$E62*$I62/12*1,IF($J62=6,-$E62*$I62/12*2,IF($J62&gt;=7,-$E62*$I62/12*3,0))))))</f>
        <v>0</v>
      </c>
      <c r="CN62" s="87">
        <f>IF($H62&lt;&gt;CP$5,0,IF(CP62&lt;0,IF(OR($J62=1,$J62=2,$J62=3,$J62=4,$J62=5,$J62=6,$J62=7),-$E62*$I62/12*3,IF($J62=8,-$E62*$I62/12*2,IF($J62=9,-$E62*$I62/12*1,0)))))+IF(CK$5&lt;&gt;$H62,0,IF(CK62&lt;0,IF($J62=7,-$E62*$I62/12*0,IF($J62=8,-$E62*$I62/12*1,IF($J62=9,-$E62*$I62/12*2,IF($J62&gt;=10,-$E62*$I62/12*3,0))))))</f>
        <v>0</v>
      </c>
      <c r="CO62" s="88">
        <f>IF($H62&lt;&gt;CP$5,0,IF(CP62&lt;0,IF(OR($J62=1,$J62=2,$J62=3,$J62=4,$J62=5,$J62=6,$J62=7,$J62=8,$J62=9,$J62=10),-$E62*$I62/12*3,IF($J62=11,-$E62*$I62/12*2,IF($J62=12,-$E62*$I62/12*1,0)))))+IF(CK$5&lt;&gt;$H62,0,IF(CK62&lt;0,IF($J62=10,-$E62*$I62/12*0,IF($J62=11,-$E62*$I62/12*1,IF($J62=12,-$E62*$I62/12*2,0)))))</f>
        <v>0</v>
      </c>
      <c r="CP62" s="85">
        <f>IF(AND(CK62&lt;&gt;0,CK$5=$H62),-$I62*$E62-CK62,IF(CP$5=$H62,-$I62*$E62*(12-$J62+1)/12,0))</f>
        <v>0</v>
      </c>
      <c r="CQ62" s="86">
        <f>IF($H62&lt;&gt;CU$5,0,IF(CU62&lt;0,IF($J62=1,-$E62*$I62/12*3,IF($J62=2,-$E62*$I62/12*2,IF($J62=3,-$E62*$I62/12*1,0)))))+IF(CP$5&lt;&gt;$H62,0,IF(CP62&lt;0,IF($J62=1,-$E62*$I62/12*0,IF($J62=2,-$E62*$I62/12*1,IF($J62=3,-$E62*$I62/12*2,IF($J62&gt;=4,-$E62*$I62/12*3,0))))))</f>
        <v>0</v>
      </c>
      <c r="CR62" s="87">
        <f>IF($H62&lt;&gt;CU$5,0,IF(CU62&lt;0,IF(OR($J62=1,$J62=2,$J62=3,$J62=4),-$E62*$I62/12*3,IF($J62=5,-$E62*$I62/12*2,IF($J62=6,-$E62*$I62/12*1,0)))))+IF(CP$5&lt;&gt;$H62,0,IF(CP62&lt;0,IF($J62=4,-$E62*$I62/12*0,IF($J62=5,-$E62*$I62/12*1,IF($J62=6,-$E62*$I62/12*2,IF($J62&gt;=7,-$E62*$I62/12*3,0))))))</f>
        <v>0</v>
      </c>
      <c r="CS62" s="87">
        <f>IF($H62&lt;&gt;CU$5,0,IF(CU62&lt;0,IF(OR($J62=1,$J62=2,$J62=3,$J62=4,$J62=5,$J62=6,$J62=7),-$E62*$I62/12*3,IF($J62=8,-$E62*$I62/12*2,IF($J62=9,-$E62*$I62/12*1,0)))))+IF(CP$5&lt;&gt;$H62,0,IF(CP62&lt;0,IF($J62=7,-$E62*$I62/12*0,IF($J62=8,-$E62*$I62/12*1,IF($J62=9,-$E62*$I62/12*2,IF($J62&gt;=10,-$E62*$I62/12*3,0))))))</f>
        <v>0</v>
      </c>
      <c r="CT62" s="88">
        <f>IF($H62&lt;&gt;CU$5,0,IF(CU62&lt;0,IF(OR($J62=1,$J62=2,$J62=3,$J62=4,$J62=5,$J62=6,$J62=7,$J62=8,$J62=9,$J62=10),-$E62*$I62/12*3,IF($J62=11,-$E62*$I62/12*2,IF($J62=12,-$E62*$I62/12*1,0)))))+IF(CP$5&lt;&gt;$H62,0,IF(CP62&lt;0,IF($J62=10,-$E62*$I62/12*0,IF($J62=11,-$E62*$I62/12*1,IF($J62=12,-$E62*$I62/12*2,0)))))</f>
        <v>0</v>
      </c>
      <c r="CU62" s="85">
        <f>IF(AND(CP62&lt;&gt;0,CP$5=$H62),-$I62*$E62-CP62,IF(CU$5=$H62,-$I62*$E62*(12-$J62+1)/12,0))</f>
        <v>0</v>
      </c>
      <c r="CV62" s="86">
        <f>IF($H62&lt;&gt;CZ$5,0,IF(CZ62&lt;0,IF($J62=1,-$E62*$I62/12*3,IF($J62=2,-$E62*$I62/12*2,IF($J62=3,-$E62*$I62/12*1,0)))))+IF(CU$5&lt;&gt;$H62,0,IF(CU62&lt;0,IF($J62=1,-$E62*$I62/12*0,IF($J62=2,-$E62*$I62/12*1,IF($J62=3,-$E62*$I62/12*2,IF($J62&gt;=4,-$E62*$I62/12*3,0))))))</f>
        <v>0</v>
      </c>
      <c r="CW62" s="87">
        <f>IF($H62&lt;&gt;CZ$5,0,IF(CZ62&lt;0,IF(OR($J62=1,$J62=2,$J62=3,$J62=4),-$E62*$I62/12*3,IF($J62=5,-$E62*$I62/12*2,IF($J62=6,-$E62*$I62/12*1,0)))))+IF(CU$5&lt;&gt;$H62,0,IF(CU62&lt;0,IF($J62=4,-$E62*$I62/12*0,IF($J62=5,-$E62*$I62/12*1,IF($J62=6,-$E62*$I62/12*2,IF($J62&gt;=7,-$E62*$I62/12*3,0))))))</f>
        <v>0</v>
      </c>
      <c r="CX62" s="87">
        <f>IF($H62&lt;&gt;CZ$5,0,IF(CZ62&lt;0,IF(OR($J62=1,$J62=2,$J62=3,$J62=4,$J62=5,$J62=6,$J62=7),-$E62*$I62/12*3,IF($J62=8,-$E62*$I62/12*2,IF($J62=9,-$E62*$I62/12*1,0)))))+IF(CU$5&lt;&gt;$H62,0,IF(CU62&lt;0,IF($J62=7,-$E62*$I62/12*0,IF($J62=8,-$E62*$I62/12*1,IF($J62=9,-$E62*$I62/12*2,IF($J62&gt;=10,-$E62*$I62/12*3,0))))))</f>
        <v>0</v>
      </c>
      <c r="CY62" s="88">
        <f>IF($H62&lt;&gt;CZ$5,0,IF(CZ62&lt;0,IF(OR($J62=1,$J62=2,$J62=3,$J62=4,$J62=5,$J62=6,$J62=7,$J62=8,$J62=9,$J62=10),-$E62*$I62/12*3,IF($J62=11,-$E62*$I62/12*2,IF($J62=12,-$E62*$I62/12*1,0)))))+IF(CU$5&lt;&gt;$H62,0,IF(CU62&lt;0,IF($J62=10,-$E62*$I62/12*0,IF($J62=11,-$E62*$I62/12*1,IF($J62=12,-$E62*$I62/12*2,0)))))</f>
        <v>0</v>
      </c>
      <c r="CZ62" s="85">
        <f>IF(AND(CU62&lt;&gt;0,CU$5=$H62),-$I62*$E62-CU62,IF(CZ$5=$H62,-$I62*$E62*(12-$J62+1)/12,0))</f>
        <v>0</v>
      </c>
      <c r="DA62" s="232"/>
      <c r="DB62" s="232"/>
      <c r="DC62" s="232"/>
      <c r="DD62" s="232"/>
      <c r="DE62" s="232"/>
      <c r="DF62" s="232"/>
      <c r="DG62" s="232"/>
      <c r="DH62" s="232"/>
      <c r="DI62" s="232"/>
      <c r="DJ62" s="232"/>
      <c r="DK62" s="232"/>
      <c r="DL62" s="232"/>
      <c r="DM62" s="232"/>
      <c r="DN62" s="232"/>
      <c r="DO62" s="232"/>
      <c r="DP62" s="232"/>
      <c r="DQ62" s="232"/>
      <c r="DR62" s="232"/>
      <c r="DS62" s="232"/>
      <c r="DT62" s="232"/>
      <c r="DU62" s="232"/>
      <c r="DV62" s="232"/>
      <c r="DW62" s="232"/>
      <c r="DX62" s="232"/>
      <c r="DY62" s="232"/>
      <c r="DZ62" s="232"/>
      <c r="EA62" s="232"/>
      <c r="EB62" s="232"/>
      <c r="EC62" s="232"/>
      <c r="ED62" s="232"/>
      <c r="EE62" s="232"/>
      <c r="EF62" s="232"/>
      <c r="EG62" s="232"/>
      <c r="EH62" s="232"/>
      <c r="EI62" s="232"/>
      <c r="EJ62" s="232"/>
      <c r="EK62" s="232"/>
      <c r="EL62" s="232"/>
      <c r="EM62" s="232"/>
      <c r="EN62" s="232"/>
      <c r="EO62" s="232"/>
      <c r="EP62" s="232"/>
      <c r="EQ62" s="232"/>
      <c r="ER62" s="232"/>
      <c r="ES62" s="232"/>
      <c r="ET62" s="232"/>
      <c r="EU62" s="232"/>
      <c r="EV62" s="232"/>
      <c r="EW62" s="232"/>
      <c r="EX62" s="232"/>
      <c r="EY62" s="232"/>
      <c r="EZ62" s="232"/>
      <c r="FA62" s="232"/>
      <c r="FB62" s="232"/>
      <c r="FC62" s="232"/>
      <c r="FD62" s="232"/>
      <c r="FE62" s="232"/>
      <c r="FF62" s="232"/>
      <c r="FG62" s="232"/>
      <c r="FH62" s="232"/>
      <c r="FI62" s="232"/>
      <c r="FJ62" s="232"/>
      <c r="FK62" s="232"/>
      <c r="FL62" s="232"/>
      <c r="FM62" s="232"/>
      <c r="FN62" s="232"/>
      <c r="FO62" s="232"/>
      <c r="FP62" s="232"/>
      <c r="FQ62" s="232"/>
      <c r="FR62" s="232"/>
      <c r="FS62" s="232"/>
      <c r="FT62" s="232"/>
      <c r="FU62" s="232"/>
      <c r="FV62" s="232"/>
      <c r="FW62" s="232"/>
      <c r="FX62" s="232"/>
      <c r="FY62" s="232"/>
      <c r="FZ62" s="232"/>
      <c r="GA62" s="232"/>
      <c r="GB62" s="232"/>
      <c r="GC62" s="232"/>
      <c r="GD62" s="232"/>
      <c r="GE62" s="232"/>
      <c r="GF62" s="232"/>
      <c r="GG62" s="232"/>
      <c r="GH62" s="232"/>
      <c r="GI62" s="232"/>
      <c r="GJ62" s="232"/>
      <c r="GK62" s="232"/>
      <c r="GL62" s="232"/>
      <c r="GM62" s="232"/>
      <c r="GN62" s="232"/>
      <c r="GO62" s="232"/>
      <c r="GP62" s="232"/>
      <c r="GQ62" s="232"/>
      <c r="GR62" s="232"/>
      <c r="GS62" s="232"/>
      <c r="GT62" s="232"/>
      <c r="GU62" s="232"/>
      <c r="GV62" s="232"/>
      <c r="GW62" s="232"/>
      <c r="GX62" s="232"/>
      <c r="GY62" s="232"/>
      <c r="GZ62" s="232"/>
      <c r="HA62" s="232"/>
      <c r="HB62" s="232"/>
      <c r="HC62" s="232"/>
      <c r="HD62" s="232"/>
      <c r="HE62" s="232"/>
      <c r="HF62" s="232"/>
      <c r="HG62" s="232"/>
      <c r="HH62" s="232"/>
      <c r="HI62" s="232"/>
      <c r="HJ62" s="232"/>
      <c r="HK62" s="232"/>
      <c r="HL62" s="232"/>
      <c r="HM62" s="232"/>
      <c r="HN62" s="232"/>
      <c r="HO62" s="232"/>
      <c r="HP62" s="232"/>
      <c r="HQ62" s="232"/>
      <c r="HR62" s="232"/>
      <c r="HS62" s="232"/>
      <c r="HT62" s="232"/>
      <c r="HU62" s="232"/>
      <c r="HV62" s="232"/>
      <c r="HW62" s="232"/>
      <c r="HX62" s="232"/>
      <c r="HY62" s="232"/>
      <c r="HZ62" s="232"/>
      <c r="IA62" s="232"/>
      <c r="IB62" s="232"/>
      <c r="IC62" s="232"/>
      <c r="ID62" s="232"/>
      <c r="IE62" s="232"/>
      <c r="IF62" s="232"/>
      <c r="IG62" s="232"/>
      <c r="IH62" s="232"/>
      <c r="II62" s="232"/>
      <c r="IJ62" s="232"/>
      <c r="IK62" s="232"/>
      <c r="IL62" s="232"/>
      <c r="IM62" s="232"/>
      <c r="IN62" s="232"/>
      <c r="IO62" s="232"/>
      <c r="IP62" s="232"/>
      <c r="IQ62" s="232"/>
      <c r="IR62" s="232"/>
      <c r="IS62" s="232"/>
      <c r="IT62" s="232"/>
      <c r="IU62" s="232"/>
      <c r="IV62" s="232"/>
      <c r="IW62" s="232"/>
      <c r="IX62" s="232"/>
      <c r="IY62" s="232"/>
      <c r="IZ62" s="232"/>
      <c r="JA62" s="232"/>
      <c r="JB62" s="232"/>
      <c r="JC62" s="232"/>
      <c r="JD62" s="232"/>
      <c r="JE62" s="232"/>
    </row>
    <row r="63" spans="1:265" ht="12.75" customHeight="1">
      <c r="A63" s="4"/>
      <c r="B63" s="4"/>
      <c r="C63" s="4" t="s">
        <v>1097</v>
      </c>
      <c r="D63" s="2117"/>
      <c r="E63" s="1332">
        <f t="shared" si="828"/>
        <v>11</v>
      </c>
      <c r="F63" s="2314">
        <v>11</v>
      </c>
      <c r="G63" s="1510">
        <v>11</v>
      </c>
      <c r="H63" s="1334">
        <v>2031</v>
      </c>
      <c r="I63" s="1512">
        <v>0.05</v>
      </c>
      <c r="J63" s="1334">
        <v>12</v>
      </c>
      <c r="K63" s="80"/>
      <c r="L63" s="81"/>
      <c r="M63" s="82"/>
      <c r="N63" s="83"/>
      <c r="O63" s="83"/>
      <c r="P63" s="84"/>
      <c r="Q63" s="81"/>
      <c r="R63" s="82"/>
      <c r="S63" s="83"/>
      <c r="T63" s="83"/>
      <c r="U63" s="84"/>
      <c r="V63" s="81"/>
      <c r="W63" s="82"/>
      <c r="X63" s="83"/>
      <c r="Y63" s="83"/>
      <c r="Z63" s="84"/>
      <c r="AA63" s="81"/>
      <c r="AB63" s="82"/>
      <c r="AC63" s="83"/>
      <c r="AD63" s="83"/>
      <c r="AE63" s="84"/>
      <c r="AF63" s="81"/>
      <c r="AG63" s="82"/>
      <c r="AH63" s="83"/>
      <c r="AI63" s="83"/>
      <c r="AJ63" s="84"/>
      <c r="AK63" s="81"/>
      <c r="AL63" s="82"/>
      <c r="AM63" s="83"/>
      <c r="AN63" s="83"/>
      <c r="AO63" s="84"/>
      <c r="AP63" s="81"/>
      <c r="AQ63" s="82"/>
      <c r="AR63" s="83"/>
      <c r="AS63" s="83"/>
      <c r="AT63" s="84"/>
      <c r="AU63" s="81"/>
      <c r="AV63" s="82"/>
      <c r="AW63" s="83"/>
      <c r="AX63" s="83"/>
      <c r="AY63" s="84"/>
      <c r="AZ63" s="81"/>
      <c r="BA63" s="82"/>
      <c r="BB63" s="83"/>
      <c r="BC63" s="83"/>
      <c r="BD63" s="84"/>
      <c r="BE63" s="81"/>
      <c r="BF63" s="1877"/>
      <c r="BG63" s="2005"/>
      <c r="BH63" s="86"/>
      <c r="BI63" s="87"/>
      <c r="BJ63" s="87"/>
      <c r="BK63" s="88"/>
      <c r="BL63" s="85"/>
      <c r="BM63" s="86"/>
      <c r="BN63" s="87"/>
      <c r="BO63" s="87"/>
      <c r="BP63" s="88"/>
      <c r="BQ63" s="85"/>
      <c r="BR63" s="86"/>
      <c r="BS63" s="87"/>
      <c r="BT63" s="87"/>
      <c r="BU63" s="88"/>
      <c r="BV63" s="85"/>
      <c r="BW63" s="86"/>
      <c r="BX63" s="87"/>
      <c r="BY63" s="87"/>
      <c r="BZ63" s="88"/>
      <c r="CA63" s="85"/>
      <c r="CB63" s="86"/>
      <c r="CC63" s="87"/>
      <c r="CD63" s="87"/>
      <c r="CE63" s="88"/>
      <c r="CF63" s="85"/>
      <c r="CG63" s="86"/>
      <c r="CH63" s="87"/>
      <c r="CI63" s="87"/>
      <c r="CJ63" s="88"/>
      <c r="CK63" s="85"/>
      <c r="CL63" s="86"/>
      <c r="CM63" s="87"/>
      <c r="CN63" s="87"/>
      <c r="CO63" s="88"/>
      <c r="CP63" s="85"/>
      <c r="CQ63" s="86"/>
      <c r="CR63" s="87"/>
      <c r="CS63" s="87"/>
      <c r="CT63" s="88"/>
      <c r="CU63" s="85"/>
      <c r="CV63" s="86"/>
      <c r="CW63" s="87"/>
      <c r="CX63" s="87"/>
      <c r="CY63" s="88"/>
      <c r="CZ63" s="85"/>
    </row>
    <row r="64" spans="1:265" ht="12.75" customHeight="1">
      <c r="A64" s="4"/>
      <c r="B64" s="4"/>
      <c r="C64" s="4" t="s">
        <v>468</v>
      </c>
      <c r="D64" s="1333"/>
      <c r="E64" s="1332">
        <f t="shared" si="828"/>
        <v>69</v>
      </c>
      <c r="F64" s="2314">
        <v>69</v>
      </c>
      <c r="G64" s="1510">
        <v>69</v>
      </c>
      <c r="H64" s="1334">
        <v>2037</v>
      </c>
      <c r="I64" s="1513">
        <v>3.092E-2</v>
      </c>
      <c r="J64" s="1334">
        <v>1</v>
      </c>
      <c r="K64" s="80"/>
      <c r="L64" s="81">
        <f t="shared" si="829"/>
        <v>0</v>
      </c>
      <c r="M64" s="82">
        <f>IF(Q64=0,0,IF(Q64&lt;0,IF($J64=3,Q64,IF($J64=2,Q64,IF($J64=1,Q64,0)))))</f>
        <v>0</v>
      </c>
      <c r="N64" s="83">
        <f>IF(Q64=0,0,IF(Q64&lt;0,IF($J64=6,Q64,IF($J64=5,Q64,IF($J64=4,Q64,0)))))</f>
        <v>0</v>
      </c>
      <c r="O64" s="83">
        <f>IF(Q64=0,0,IF(Q64&lt;0,IF($J64=9,Q64,IF($J64=8,Q64,IF($J64=7,Q64,0)))))</f>
        <v>0</v>
      </c>
      <c r="P64" s="84">
        <f>IF(Q64=0,0,IF(Q64&lt;0,IF($J64=12,Q64,IF($J64=11,Q64,IF($J64=10,Q64,0)))))</f>
        <v>0</v>
      </c>
      <c r="Q64" s="81">
        <f t="shared" si="830"/>
        <v>0</v>
      </c>
      <c r="R64" s="82">
        <f>IF(V64=0,0,IF(V64&lt;0,IF($J64=3,V64,IF($J64=2,V64,IF($J64=1,V64,0)))))</f>
        <v>0</v>
      </c>
      <c r="S64" s="83">
        <f>IF(V64=0,0,IF(V64&lt;0,IF($J64=6,V64,IF($J64=5,V64,IF($J64=4,V64,0)))))</f>
        <v>0</v>
      </c>
      <c r="T64" s="83">
        <f>IF(V64=0,0,IF(V64&lt;0,IF($J64=9,V64,IF($J64=8,V64,IF($J64=7,V64,0)))))</f>
        <v>0</v>
      </c>
      <c r="U64" s="84">
        <f>IF(V64=0,0,IF(V64&lt;0,IF($J64=12,V64,IF($J64=11,V64,IF($J64=10,V64,0)))))</f>
        <v>0</v>
      </c>
      <c r="V64" s="81">
        <f t="shared" si="831"/>
        <v>0</v>
      </c>
      <c r="W64" s="82">
        <f>IF(AA64=0,0,IF(AA64&lt;0,IF($J64=3,AA64,IF($J64=2,AA64,IF($J64=1,AA64,0)))))</f>
        <v>0</v>
      </c>
      <c r="X64" s="83">
        <f>IF(AA64=0,0,IF(AA64&lt;0,IF($J64=6,AA64,IF($J64=5,AA64,IF($J64=4,AA64,0)))))</f>
        <v>0</v>
      </c>
      <c r="Y64" s="83">
        <f>IF(AA64=0,0,IF(AA64&lt;0,IF($J64=9,AA64,IF($J64=8,AA64,IF($J64=7,AA64,0)))))</f>
        <v>0</v>
      </c>
      <c r="Z64" s="84">
        <f>IF(AA64=0,0,IF(AA64&lt;0,IF($J64=12,AA64,IF($J64=11,AA64,IF($J64=10,AA64,0)))))</f>
        <v>0</v>
      </c>
      <c r="AA64" s="81">
        <f t="shared" si="832"/>
        <v>0</v>
      </c>
      <c r="AB64" s="82">
        <f>IF(AF64=0,0,IF(AF64&lt;0,IF($J64=3,AF64,IF($J64=2,AF64,IF($J64=1,AF64,0)))))</f>
        <v>0</v>
      </c>
      <c r="AC64" s="83">
        <f>IF(AF64=0,0,IF(AF64&lt;0,IF($J64=6,AF64,IF($J64=5,AF64,IF($J64=4,AF64,0)))))</f>
        <v>0</v>
      </c>
      <c r="AD64" s="83">
        <f>IF(AF64=0,0,IF(AF64&lt;0,IF($J64=9,AF64,IF($J64=8,AF64,IF($J64=7,AF64,0)))))</f>
        <v>0</v>
      </c>
      <c r="AE64" s="84">
        <f>IF(AF64=0,0,IF(AF64&lt;0,IF($J64=12,AF64,IF($J64=11,AF64,IF($J64=10,AF64,0)))))</f>
        <v>0</v>
      </c>
      <c r="AF64" s="81">
        <f t="shared" si="833"/>
        <v>0</v>
      </c>
      <c r="AG64" s="82">
        <f t="shared" si="834"/>
        <v>0</v>
      </c>
      <c r="AH64" s="83">
        <f t="shared" si="835"/>
        <v>0</v>
      </c>
      <c r="AI64" s="83">
        <f t="shared" si="836"/>
        <v>0</v>
      </c>
      <c r="AJ64" s="84">
        <f t="shared" si="837"/>
        <v>0</v>
      </c>
      <c r="AK64" s="81">
        <f t="shared" si="838"/>
        <v>0</v>
      </c>
      <c r="AL64" s="82">
        <f t="shared" ref="AL64:AL70" si="848">IF(AP64=0,0,IF(AP64&lt;0,IF($J64=3,AP64,IF($J64=2,AP64,IF($J64=1,AP64,0)))))</f>
        <v>0</v>
      </c>
      <c r="AM64" s="83">
        <f t="shared" ref="AM64:AM70" si="849">IF(AP64=0,0,IF(AP64&lt;0,IF($J64=6,AP64,IF($J64=5,AP64,IF($J64=4,AP64,0)))))</f>
        <v>0</v>
      </c>
      <c r="AN64" s="83">
        <f t="shared" ref="AN64:AN70" si="850">IF(AP64=0,0,IF(AP64&lt;0,IF($J64=9,AP64,IF($J64=8,AP64,IF($J64=7,AP64,0)))))</f>
        <v>0</v>
      </c>
      <c r="AO64" s="84">
        <f t="shared" ref="AO64:AO70" si="851">IF(AP64=0,0,IF(AP64&lt;0,IF($J64=12,AP64,IF($J64=11,AP64,IF($J64=10,AP64,0)))))</f>
        <v>0</v>
      </c>
      <c r="AP64" s="81">
        <f t="shared" si="839"/>
        <v>0</v>
      </c>
      <c r="AQ64" s="82">
        <f t="shared" ref="AQ64:AQ70" si="852">IF(AU64=0,0,IF(AU64&lt;0,IF($J64=3,AU64,IF($J64=2,AU64,IF($J64=1,AU64,0)))))</f>
        <v>0</v>
      </c>
      <c r="AR64" s="83">
        <f t="shared" ref="AR64:AR70" si="853">IF(AU64=0,0,IF(AU64&lt;0,IF($J64=6,AU64,IF($J64=5,AU64,IF($J64=4,AU64,0)))))</f>
        <v>0</v>
      </c>
      <c r="AS64" s="83">
        <f t="shared" ref="AS64:AS70" si="854">IF(AU64=0,0,IF(AU64&lt;0,IF($J64=9,AU64,IF($J64=8,AU64,IF($J64=7,AU64,0)))))</f>
        <v>0</v>
      </c>
      <c r="AT64" s="84">
        <f t="shared" ref="AT64:AT70" si="855">IF(AU64=0,0,IF(AU64&lt;0,IF($J64=12,AU64,IF($J64=11,AU64,IF($J64=10,AU64,0)))))</f>
        <v>0</v>
      </c>
      <c r="AU64" s="81">
        <f t="shared" si="840"/>
        <v>0</v>
      </c>
      <c r="AV64" s="82">
        <f t="shared" ref="AV64:AV70" si="856">IF(AZ64=0,0,IF(AZ64&lt;0,IF($J64=3,AZ64,IF($J64=2,AZ64,IF($J64=1,AZ64,0)))))</f>
        <v>0</v>
      </c>
      <c r="AW64" s="83">
        <f t="shared" ref="AW64:AW70" si="857">IF(AZ64=0,0,IF(AZ64&lt;0,IF($J64=6,AZ64,IF($J64=5,AZ64,IF($J64=4,AZ64,0)))))</f>
        <v>0</v>
      </c>
      <c r="AX64" s="83">
        <f t="shared" ref="AX64:AX70" si="858">IF(AZ64=0,0,IF(AZ64&lt;0,IF($J64=9,AZ64,IF($J64=8,AZ64,IF($J64=7,AZ64,0)))))</f>
        <v>0</v>
      </c>
      <c r="AY64" s="84">
        <f t="shared" ref="AY64:AY70" si="859">IF(AZ64=0,0,IF(AZ64&lt;0,IF($J64=12,AZ64,IF($J64=11,AZ64,IF($J64=10,AZ64,0)))))</f>
        <v>0</v>
      </c>
      <c r="AZ64" s="81">
        <f t="shared" si="841"/>
        <v>0</v>
      </c>
      <c r="BA64" s="82">
        <f t="shared" ref="BA64:BA70" si="860">IF(BE64=0,0,IF(BE64&lt;0,IF($J64=3,BE64,IF($J64=2,BE64,IF($J64=1,BE64,0)))))</f>
        <v>0</v>
      </c>
      <c r="BB64" s="83">
        <f t="shared" ref="BB64:BB70" si="861">IF(BE64=0,0,IF(BE64&lt;0,IF($J64=6,BE64,IF($J64=5,BE64,IF($J64=4,BE64,0)))))</f>
        <v>0</v>
      </c>
      <c r="BC64" s="83">
        <f t="shared" ref="BC64:BC70" si="862">IF(BE64=0,0,IF(BE64&lt;0,IF($J64=9,BE64,IF($J64=8,BE64,IF($J64=7,BE64,0)))))</f>
        <v>0</v>
      </c>
      <c r="BD64" s="84">
        <f t="shared" ref="BD64:BD70" si="863">IF(BE64=0,0,IF(BE64&lt;0,IF($J64=12,BE64,IF($J64=11,BE64,IF($J64=10,BE64,0)))))</f>
        <v>0</v>
      </c>
      <c r="BE64" s="81">
        <f t="shared" si="842"/>
        <v>0</v>
      </c>
      <c r="BF64" s="1877"/>
      <c r="BG64" s="2005">
        <f t="shared" ref="BG64:BG70" si="864">IF(AND(BF64&lt;&gt;0,BF$5=$H64),-$I64*$E64-BF64,IF(BG$5=$H64,-$I64*$E64*(12-$J64+1)/12,0))</f>
        <v>0</v>
      </c>
      <c r="BH64" s="86">
        <f>IF($H64&lt;&gt;BL$5,0,IF(BL64&lt;0,IF($J64=1,-$E64*$I64/12*3,IF($J64=2,-$E64*$I64/12*2,IF($J64=3,-$E64*$I64/12*1,0)))))+IF(BG$5&lt;&gt;$H64,0,IF(BG64&lt;0,IF($J64=1,-$E64*$I64/12*0,IF($J64=2,-$E64*$I64/12*1,IF($J64=3,-$E64*$I64/12*2,IF($J64&gt;=4,-$E64*$I64/12*3,0))))))</f>
        <v>0</v>
      </c>
      <c r="BI64" s="87">
        <f>IF($H64&lt;&gt;BL$5,0,IF(BL64&lt;0,IF(OR($J64=1,$J64=2,$J64=3,$J64=4),-$E64*$I64/12*3,IF($J64=5,-$E64*$I64/12*2,IF($J64=6,-$E64*$I64/12*1,0)))))+IF(BG$5&lt;&gt;$H64,0,IF(BG64&lt;0,IF($J64=4,-$E64*$I64/12*0,IF($J64=5,-$E64*$I64/12*1,IF($J64=6,-$E64*$I64/12*2,IF($J64&gt;=7,-$E64*$I64/12*3,0))))))</f>
        <v>0</v>
      </c>
      <c r="BJ64" s="87">
        <f>IF($H64&lt;&gt;BL$5,0,IF(BL64&lt;0,IF(OR($J64=1,$J64=2,$J64=3,$J64=4,$J64=5,$J64=6,$J64=7),-$E64*$I64/12*3,IF($J64=8,-$E64*$I64/12*2,IF($J64=9,-$E64*$I64/12*1,0)))))+IF(BG$5&lt;&gt;$H64,0,IF(BG64&lt;0,IF($J64=7,-$E64*$I64/12*0,IF($J64=8,-$E64*$I64/12*1,IF($J64=9,-$E64*$I64/12*2,IF($J64&gt;=10,-$E64*$I64/12*3,0))))))</f>
        <v>0</v>
      </c>
      <c r="BK64" s="88">
        <f>IF($H64&lt;&gt;BL$5,0,IF(BL64&lt;0,IF(OR($J64=1,$J64=2,$J64=3,$J64=4,$J64=5,$J64=6,$J64=7,$J64=8,$J64=9,$J64=10),-$E64*$I64/12*3,IF($J64=11,-$E64*$I64/12*2,IF($J64=12,-$E64*$I64/12*1,0)))))+IF(BG$5&lt;&gt;$H64,0,IF(BG64&lt;0,IF($J64=10,-$E64*$I64/12*0,IF($J64=11,-$E64*$I64/12*1,IF($J64=12,-$E64*$I64/12*2,0)))))</f>
        <v>0</v>
      </c>
      <c r="BL64" s="85">
        <f>IF(AND(BG64&lt;&gt;0,BG$5=$H64),-$I64*$E64-BG64,IF(BL$5=$H64,-$I64*$E64*(12-$J64+1)/12,0))</f>
        <v>0</v>
      </c>
      <c r="BM64" s="86">
        <f>IF($H64&lt;&gt;BQ$5,0,IF(BQ64&lt;0,IF($J64=1,-$E64*$I64/12*3,IF($J64=2,-$E64*$I64/12*2,IF($J64=3,-$E64*$I64/12*1,0)))))+IF(BL$5&lt;&gt;$H64,0,IF(BL64&lt;0,IF($J64=1,-$E64*$I64/12*0,IF($J64=2,-$E64*$I64/12*1,IF($J64=3,-$E64*$I64/12*2,IF($J64&gt;=4,-$E64*$I64/12*3,0))))))</f>
        <v>0</v>
      </c>
      <c r="BN64" s="87">
        <f>IF($H64&lt;&gt;BQ$5,0,IF(BQ64&lt;0,IF(OR($J64=1,$J64=2,$J64=3,$J64=4),-$E64*$I64/12*3,IF($J64=5,-$E64*$I64/12*2,IF($J64=6,-$E64*$I64/12*1,0)))))+IF(BL$5&lt;&gt;$H64,0,IF(BL64&lt;0,IF($J64=4,-$E64*$I64/12*0,IF($J64=5,-$E64*$I64/12*1,IF($J64=6,-$E64*$I64/12*2,IF($J64&gt;=7,-$E64*$I64/12*3,0))))))</f>
        <v>0</v>
      </c>
      <c r="BO64" s="87">
        <f>IF($H64&lt;&gt;BQ$5,0,IF(BQ64&lt;0,IF(OR($J64=1,$J64=2,$J64=3,$J64=4,$J64=5,$J64=6,$J64=7),-$E64*$I64/12*3,IF($J64=8,-$E64*$I64/12*2,IF($J64=9,-$E64*$I64/12*1,0)))))+IF(BL$5&lt;&gt;$H64,0,IF(BL64&lt;0,IF($J64=7,-$E64*$I64/12*0,IF($J64=8,-$E64*$I64/12*1,IF($J64=9,-$E64*$I64/12*2,IF($J64&gt;=10,-$E64*$I64/12*3,0))))))</f>
        <v>0</v>
      </c>
      <c r="BP64" s="88">
        <f>IF($H64&lt;&gt;BQ$5,0,IF(BQ64&lt;0,IF(OR($J64=1,$J64=2,$J64=3,$J64=4,$J64=5,$J64=6,$J64=7,$J64=8,$J64=9,$J64=10),-$E64*$I64/12*3,IF($J64=11,-$E64*$I64/12*2,IF($J64=12,-$E64*$I64/12*1,0)))))+IF(BL$5&lt;&gt;$H64,0,IF(BL64&lt;0,IF($J64=10,-$E64*$I64/12*0,IF($J64=11,-$E64*$I64/12*1,IF($J64=12,-$E64*$I64/12*2,0)))))</f>
        <v>0</v>
      </c>
      <c r="BQ64" s="85">
        <f>IF(AND(BL64&lt;&gt;0,BL$5=$H64),-$I64*$E64-BL64,IF(BQ$5=$H64,-$I64*$E64*(12-$J64+1)/12,0))</f>
        <v>0</v>
      </c>
      <c r="BR64" s="86">
        <f>IF($H64&lt;&gt;BV$5,0,IF(BV64&lt;0,IF($J64=1,-$E64*$I64/12*3,IF($J64=2,-$E64*$I64/12*2,IF($J64=3,-$E64*$I64/12*1,0)))))+IF(BQ$5&lt;&gt;$H64,0,IF(BQ64&lt;0,IF($J64=1,-$E64*$I64/12*0,IF($J64=2,-$E64*$I64/12*1,IF($J64=3,-$E64*$I64/12*2,IF($J64&gt;=4,-$E64*$I64/12*3,0))))))</f>
        <v>0</v>
      </c>
      <c r="BS64" s="87">
        <f>IF($H64&lt;&gt;BV$5,0,IF(BV64&lt;0,IF(OR($J64=1,$J64=2,$J64=3,$J64=4),-$E64*$I64/12*3,IF($J64=5,-$E64*$I64/12*2,IF($J64=6,-$E64*$I64/12*1,0)))))+IF(BQ$5&lt;&gt;$H64,0,IF(BQ64&lt;0,IF($J64=4,-$E64*$I64/12*0,IF($J64=5,-$E64*$I64/12*1,IF($J64=6,-$E64*$I64/12*2,IF($J64&gt;=7,-$E64*$I64/12*3,0))))))</f>
        <v>0</v>
      </c>
      <c r="BT64" s="87">
        <f>IF($H64&lt;&gt;BV$5,0,IF(BV64&lt;0,IF(OR($J64=1,$J64=2,$J64=3,$J64=4,$J64=5,$J64=6,$J64=7),-$E64*$I64/12*3,IF($J64=8,-$E64*$I64/12*2,IF($J64=9,-$E64*$I64/12*1,0)))))+IF(BQ$5&lt;&gt;$H64,0,IF(BQ64&lt;0,IF($J64=7,-$E64*$I64/12*0,IF($J64=8,-$E64*$I64/12*1,IF($J64=9,-$E64*$I64/12*2,IF($J64&gt;=10,-$E64*$I64/12*3,0))))))</f>
        <v>0</v>
      </c>
      <c r="BU64" s="88">
        <f>IF($H64&lt;&gt;BV$5,0,IF(BV64&lt;0,IF(OR($J64=1,$J64=2,$J64=3,$J64=4,$J64=5,$J64=6,$J64=7,$J64=8,$J64=9,$J64=10),-$E64*$I64/12*3,IF($J64=11,-$E64*$I64/12*2,IF($J64=12,-$E64*$I64/12*1,0)))))+IF(BQ$5&lt;&gt;$H64,0,IF(BQ64&lt;0,IF($J64=10,-$E64*$I64/12*0,IF($J64=11,-$E64*$I64/12*1,IF($J64=12,-$E64*$I64/12*2,0)))))</f>
        <v>0</v>
      </c>
      <c r="BV64" s="85">
        <f>IF(AND(BQ64&lt;&gt;0,BQ$5=$H64),-$I64*$E64-BQ64,IF(BV$5=$H64,-$I64*$E64*(12-$J64+1)/12,0))</f>
        <v>0</v>
      </c>
      <c r="BW64" s="86">
        <f>IF($H64&lt;&gt;CA$5,0,IF(CA64&lt;0,IF($J64=1,-$E64*$I64/12*3,IF($J64=2,-$E64*$I64/12*2,IF($J64=3,-$E64*$I64/12*1,0)))))+IF(BV$5&lt;&gt;$H64,0,IF(BV64&lt;0,IF($J64=1,-$E64*$I64/12*0,IF($J64=2,-$E64*$I64/12*1,IF($J64=3,-$E64*$I64/12*2,IF($J64&gt;=4,-$E64*$I64/12*3,0))))))</f>
        <v>0</v>
      </c>
      <c r="BX64" s="87">
        <f>IF($H64&lt;&gt;CA$5,0,IF(CA64&lt;0,IF(OR($J64=1,$J64=2,$J64=3,$J64=4),-$E64*$I64/12*3,IF($J64=5,-$E64*$I64/12*2,IF($J64=6,-$E64*$I64/12*1,0)))))+IF(BV$5&lt;&gt;$H64,0,IF(BV64&lt;0,IF($J64=4,-$E64*$I64/12*0,IF($J64=5,-$E64*$I64/12*1,IF($J64=6,-$E64*$I64/12*2,IF($J64&gt;=7,-$E64*$I64/12*3,0))))))</f>
        <v>0</v>
      </c>
      <c r="BY64" s="87">
        <f>IF($H64&lt;&gt;CA$5,0,IF(CA64&lt;0,IF(OR($J64=1,$J64=2,$J64=3,$J64=4,$J64=5,$J64=6,$J64=7),-$E64*$I64/12*3,IF($J64=8,-$E64*$I64/12*2,IF($J64=9,-$E64*$I64/12*1,0)))))+IF(BV$5&lt;&gt;$H64,0,IF(BV64&lt;0,IF($J64=7,-$E64*$I64/12*0,IF($J64=8,-$E64*$I64/12*1,IF($J64=9,-$E64*$I64/12*2,IF($J64&gt;=10,-$E64*$I64/12*3,0))))))</f>
        <v>0</v>
      </c>
      <c r="BZ64" s="88">
        <f>IF($H64&lt;&gt;CA$5,0,IF(CA64&lt;0,IF(OR($J64=1,$J64=2,$J64=3,$J64=4,$J64=5,$J64=6,$J64=7,$J64=8,$J64=9,$J64=10),-$E64*$I64/12*3,IF($J64=11,-$E64*$I64/12*2,IF($J64=12,-$E64*$I64/12*1,0)))))+IF(BV$5&lt;&gt;$H64,0,IF(BV64&lt;0,IF($J64=10,-$E64*$I64/12*0,IF($J64=11,-$E64*$I64/12*1,IF($J64=12,-$E64*$I64/12*2,0)))))</f>
        <v>0</v>
      </c>
      <c r="CA64" s="85">
        <f>IF(AND(BV64&lt;&gt;0,BV$5=$H64),-$I64*$E64-BV64,IF(CA$5=$H64,-$I64*$E64*(12-$J64+1)/12,0))</f>
        <v>0</v>
      </c>
      <c r="CB64" s="86">
        <f t="shared" si="843"/>
        <v>0</v>
      </c>
      <c r="CC64" s="87">
        <f t="shared" si="844"/>
        <v>0</v>
      </c>
      <c r="CD64" s="87">
        <f t="shared" si="845"/>
        <v>0</v>
      </c>
      <c r="CE64" s="88">
        <f t="shared" si="846"/>
        <v>0</v>
      </c>
      <c r="CF64" s="85">
        <f t="shared" si="847"/>
        <v>0</v>
      </c>
      <c r="CG64" s="86">
        <f t="shared" ref="CG64:CG70" si="865">IF($H64&lt;&gt;CK$5,0,IF(CK64&lt;0,IF($J64=1,-$E64*$I64/12*3,IF($J64=2,-$E64*$I64/12*2,IF($J64=3,-$E64*$I64/12*1,0)))))+IF(CF$5&lt;&gt;$H64,0,IF(CF64&lt;0,IF($J64=1,-$E64*$I64/12*0,IF($J64=2,-$E64*$I64/12*1,IF($J64=3,-$E64*$I64/12*2,IF($J64&gt;=4,-$E64*$I64/12*3,0))))))</f>
        <v>0</v>
      </c>
      <c r="CH64" s="87">
        <f t="shared" ref="CH64:CH70" si="866">IF($H64&lt;&gt;CK$5,0,IF(CK64&lt;0,IF(OR($J64=1,$J64=2,$J64=3,$J64=4),-$E64*$I64/12*3,IF($J64=5,-$E64*$I64/12*2,IF($J64=6,-$E64*$I64/12*1,0)))))+IF(CF$5&lt;&gt;$H64,0,IF(CF64&lt;0,IF($J64=4,-$E64*$I64/12*0,IF($J64=5,-$E64*$I64/12*1,IF($J64=6,-$E64*$I64/12*2,IF($J64&gt;=7,-$E64*$I64/12*3,0))))))</f>
        <v>0</v>
      </c>
      <c r="CI64" s="87">
        <f t="shared" ref="CI64:CI70" si="867">IF($H64&lt;&gt;CK$5,0,IF(CK64&lt;0,IF(OR($J64=1,$J64=2,$J64=3,$J64=4,$J64=5,$J64=6,$J64=7),-$E64*$I64/12*3,IF($J64=8,-$E64*$I64/12*2,IF($J64=9,-$E64*$I64/12*1,0)))))+IF(CF$5&lt;&gt;$H64,0,IF(CF64&lt;0,IF($J64=7,-$E64*$I64/12*0,IF($J64=8,-$E64*$I64/12*1,IF($J64=9,-$E64*$I64/12*2,IF($J64&gt;=10,-$E64*$I64/12*3,0))))))</f>
        <v>0</v>
      </c>
      <c r="CJ64" s="88">
        <f t="shared" ref="CJ64:CJ70" si="868">IF($H64&lt;&gt;CK$5,0,IF(CK64&lt;0,IF(OR($J64=1,$J64=2,$J64=3,$J64=4,$J64=5,$J64=6,$J64=7,$J64=8,$J64=9,$J64=10),-$E64*$I64/12*3,IF($J64=11,-$E64*$I64/12*2,IF($J64=12,-$E64*$I64/12*1,0)))))+IF(CF$5&lt;&gt;$H64,0,IF(CF64&lt;0,IF($J64=10,-$E64*$I64/12*0,IF($J64=11,-$E64*$I64/12*1,IF($J64=12,-$E64*$I64/12*2,0)))))</f>
        <v>0</v>
      </c>
      <c r="CK64" s="85">
        <f t="shared" ref="CK64:CK70" si="869">IF(AND(CF64&lt;&gt;0,CF$5=$H64),-$I64*$E64-CF64,IF(CK$5=$H64,-$I64*$E64*(12-$J64+1)/12,0))</f>
        <v>0</v>
      </c>
      <c r="CL64" s="86">
        <f t="shared" ref="CL64:CL70" si="870">IF($H64&lt;&gt;CP$5,0,IF(CP64&lt;0,IF($J64=1,-$E64*$I64/12*3,IF($J64=2,-$E64*$I64/12*2,IF($J64=3,-$E64*$I64/12*1,0)))))+IF(CK$5&lt;&gt;$H64,0,IF(CK64&lt;0,IF($J64=1,-$E64*$I64/12*0,IF($J64=2,-$E64*$I64/12*1,IF($J64=3,-$E64*$I64/12*2,IF($J64&gt;=4,-$E64*$I64/12*3,0))))))</f>
        <v>0</v>
      </c>
      <c r="CM64" s="87">
        <f t="shared" ref="CM64:CM70" si="871">IF($H64&lt;&gt;CP$5,0,IF(CP64&lt;0,IF(OR($J64=1,$J64=2,$J64=3,$J64=4),-$E64*$I64/12*3,IF($J64=5,-$E64*$I64/12*2,IF($J64=6,-$E64*$I64/12*1,0)))))+IF(CK$5&lt;&gt;$H64,0,IF(CK64&lt;0,IF($J64=4,-$E64*$I64/12*0,IF($J64=5,-$E64*$I64/12*1,IF($J64=6,-$E64*$I64/12*2,IF($J64&gt;=7,-$E64*$I64/12*3,0))))))</f>
        <v>0</v>
      </c>
      <c r="CN64" s="87">
        <f t="shared" ref="CN64:CN70" si="872">IF($H64&lt;&gt;CP$5,0,IF(CP64&lt;0,IF(OR($J64=1,$J64=2,$J64=3,$J64=4,$J64=5,$J64=6,$J64=7),-$E64*$I64/12*3,IF($J64=8,-$E64*$I64/12*2,IF($J64=9,-$E64*$I64/12*1,0)))))+IF(CK$5&lt;&gt;$H64,0,IF(CK64&lt;0,IF($J64=7,-$E64*$I64/12*0,IF($J64=8,-$E64*$I64/12*1,IF($J64=9,-$E64*$I64/12*2,IF($J64&gt;=10,-$E64*$I64/12*3,0))))))</f>
        <v>0</v>
      </c>
      <c r="CO64" s="88">
        <f t="shared" ref="CO64:CO70" si="873">IF($H64&lt;&gt;CP$5,0,IF(CP64&lt;0,IF(OR($J64=1,$J64=2,$J64=3,$J64=4,$J64=5,$J64=6,$J64=7,$J64=8,$J64=9,$J64=10),-$E64*$I64/12*3,IF($J64=11,-$E64*$I64/12*2,IF($J64=12,-$E64*$I64/12*1,0)))))+IF(CK$5&lt;&gt;$H64,0,IF(CK64&lt;0,IF($J64=10,-$E64*$I64/12*0,IF($J64=11,-$E64*$I64/12*1,IF($J64=12,-$E64*$I64/12*2,0)))))</f>
        <v>0</v>
      </c>
      <c r="CP64" s="85">
        <f t="shared" ref="CP64:CP70" si="874">IF(AND(CK64&lt;&gt;0,CK$5=$H64),-$I64*$E64-CK64,IF(CP$5=$H64,-$I64*$E64*(12-$J64+1)/12,0))</f>
        <v>0</v>
      </c>
      <c r="CQ64" s="86">
        <f t="shared" ref="CQ64:CQ70" si="875">IF($H64&lt;&gt;CU$5,0,IF(CU64&lt;0,IF($J64=1,-$E64*$I64/12*3,IF($J64=2,-$E64*$I64/12*2,IF($J64=3,-$E64*$I64/12*1,0)))))+IF(CP$5&lt;&gt;$H64,0,IF(CP64&lt;0,IF($J64=1,-$E64*$I64/12*0,IF($J64=2,-$E64*$I64/12*1,IF($J64=3,-$E64*$I64/12*2,IF($J64&gt;=4,-$E64*$I64/12*3,0))))))</f>
        <v>0</v>
      </c>
      <c r="CR64" s="87">
        <f t="shared" ref="CR64:CR70" si="876">IF($H64&lt;&gt;CU$5,0,IF(CU64&lt;0,IF(OR($J64=1,$J64=2,$J64=3,$J64=4),-$E64*$I64/12*3,IF($J64=5,-$E64*$I64/12*2,IF($J64=6,-$E64*$I64/12*1,0)))))+IF(CP$5&lt;&gt;$H64,0,IF(CP64&lt;0,IF($J64=4,-$E64*$I64/12*0,IF($J64=5,-$E64*$I64/12*1,IF($J64=6,-$E64*$I64/12*2,IF($J64&gt;=7,-$E64*$I64/12*3,0))))))</f>
        <v>0</v>
      </c>
      <c r="CS64" s="87">
        <f t="shared" ref="CS64:CS70" si="877">IF($H64&lt;&gt;CU$5,0,IF(CU64&lt;0,IF(OR($J64=1,$J64=2,$J64=3,$J64=4,$J64=5,$J64=6,$J64=7),-$E64*$I64/12*3,IF($J64=8,-$E64*$I64/12*2,IF($J64=9,-$E64*$I64/12*1,0)))))+IF(CP$5&lt;&gt;$H64,0,IF(CP64&lt;0,IF($J64=7,-$E64*$I64/12*0,IF($J64=8,-$E64*$I64/12*1,IF($J64=9,-$E64*$I64/12*2,IF($J64&gt;=10,-$E64*$I64/12*3,0))))))</f>
        <v>0</v>
      </c>
      <c r="CT64" s="88">
        <f t="shared" ref="CT64:CT70" si="878">IF($H64&lt;&gt;CU$5,0,IF(CU64&lt;0,IF(OR($J64=1,$J64=2,$J64=3,$J64=4,$J64=5,$J64=6,$J64=7,$J64=8,$J64=9,$J64=10),-$E64*$I64/12*3,IF($J64=11,-$E64*$I64/12*2,IF($J64=12,-$E64*$I64/12*1,0)))))+IF(CP$5&lt;&gt;$H64,0,IF(CP64&lt;0,IF($J64=10,-$E64*$I64/12*0,IF($J64=11,-$E64*$I64/12*1,IF($J64=12,-$E64*$I64/12*2,0)))))</f>
        <v>0</v>
      </c>
      <c r="CU64" s="85">
        <f t="shared" ref="CU64:CU70" si="879">IF(AND(CP64&lt;&gt;0,CP$5=$H64),-$I64*$E64-CP64,IF(CU$5=$H64,-$I64*$E64*(12-$J64+1)/12,0))</f>
        <v>0</v>
      </c>
      <c r="CV64" s="86">
        <f t="shared" ref="CV64:CV70" si="880">IF($H64&lt;&gt;CZ$5,0,IF(CZ64&lt;0,IF($J64=1,-$E64*$I64/12*3,IF($J64=2,-$E64*$I64/12*2,IF($J64=3,-$E64*$I64/12*1,0)))))+IF(CU$5&lt;&gt;$H64,0,IF(CU64&lt;0,IF($J64=1,-$E64*$I64/12*0,IF($J64=2,-$E64*$I64/12*1,IF($J64=3,-$E64*$I64/12*2,IF($J64&gt;=4,-$E64*$I64/12*3,0))))))</f>
        <v>0</v>
      </c>
      <c r="CW64" s="87">
        <f t="shared" ref="CW64:CW70" si="881">IF($H64&lt;&gt;CZ$5,0,IF(CZ64&lt;0,IF(OR($J64=1,$J64=2,$J64=3,$J64=4),-$E64*$I64/12*3,IF($J64=5,-$E64*$I64/12*2,IF($J64=6,-$E64*$I64/12*1,0)))))+IF(CU$5&lt;&gt;$H64,0,IF(CU64&lt;0,IF($J64=4,-$E64*$I64/12*0,IF($J64=5,-$E64*$I64/12*1,IF($J64=6,-$E64*$I64/12*2,IF($J64&gt;=7,-$E64*$I64/12*3,0))))))</f>
        <v>0</v>
      </c>
      <c r="CX64" s="87">
        <f t="shared" ref="CX64:CX70" si="882">IF($H64&lt;&gt;CZ$5,0,IF(CZ64&lt;0,IF(OR($J64=1,$J64=2,$J64=3,$J64=4,$J64=5,$J64=6,$J64=7),-$E64*$I64/12*3,IF($J64=8,-$E64*$I64/12*2,IF($J64=9,-$E64*$I64/12*1,0)))))+IF(CU$5&lt;&gt;$H64,0,IF(CU64&lt;0,IF($J64=7,-$E64*$I64/12*0,IF($J64=8,-$E64*$I64/12*1,IF($J64=9,-$E64*$I64/12*2,IF($J64&gt;=10,-$E64*$I64/12*3,0))))))</f>
        <v>0</v>
      </c>
      <c r="CY64" s="88">
        <f t="shared" ref="CY64:CY70" si="883">IF($H64&lt;&gt;CZ$5,0,IF(CZ64&lt;0,IF(OR($J64=1,$J64=2,$J64=3,$J64=4,$J64=5,$J64=6,$J64=7,$J64=8,$J64=9,$J64=10),-$E64*$I64/12*3,IF($J64=11,-$E64*$I64/12*2,IF($J64=12,-$E64*$I64/12*1,0)))))+IF(CU$5&lt;&gt;$H64,0,IF(CU64&lt;0,IF($J64=10,-$E64*$I64/12*0,IF($J64=11,-$E64*$I64/12*1,IF($J64=12,-$E64*$I64/12*2,0)))))</f>
        <v>0</v>
      </c>
      <c r="CZ64" s="85">
        <f t="shared" ref="CZ64:CZ70" si="884">IF(AND(CU64&lt;&gt;0,CU$5=$H64),-$I64*$E64-CU64,IF(CZ$5=$H64,-$I64*$E64*(12-$J64+1)/12,0))</f>
        <v>0</v>
      </c>
    </row>
    <row r="65" spans="1:265" ht="12.75" customHeight="1">
      <c r="A65" s="4"/>
      <c r="B65" s="4"/>
      <c r="C65" s="4" t="s">
        <v>467</v>
      </c>
      <c r="D65" s="1333"/>
      <c r="E65" s="1332">
        <f t="shared" si="828"/>
        <v>329</v>
      </c>
      <c r="F65" s="2314">
        <f>31+(1400-1102)</f>
        <v>329</v>
      </c>
      <c r="G65" s="1510">
        <f>31+(1400-1102)</f>
        <v>329</v>
      </c>
      <c r="H65" s="1334">
        <v>2037</v>
      </c>
      <c r="I65" s="1513">
        <f>+AVERAGE(2.33%,3.092%)</f>
        <v>2.7110000000000002E-2</v>
      </c>
      <c r="J65" s="1334">
        <v>1</v>
      </c>
      <c r="K65" s="80"/>
      <c r="L65" s="81">
        <f t="shared" si="829"/>
        <v>0</v>
      </c>
      <c r="M65" s="82">
        <f>IF(Q65=0,0,IF(Q65&lt;0,IF($J65=3,Q65,IF($J65=2,Q65,IF($J65=1,Q65,0)))))</f>
        <v>0</v>
      </c>
      <c r="N65" s="83">
        <f>IF(Q65=0,0,IF(Q65&lt;0,IF($J65=6,Q65,IF($J65=5,Q65,IF($J65=4,Q65,0)))))</f>
        <v>0</v>
      </c>
      <c r="O65" s="83">
        <f>IF(Q65=0,0,IF(Q65&lt;0,IF($J65=9,Q65,IF($J65=8,Q65,IF($J65=7,Q65,0)))))</f>
        <v>0</v>
      </c>
      <c r="P65" s="84">
        <f>IF(Q65=0,0,IF(Q65&lt;0,IF($J65=12,Q65,IF($J65=11,Q65,IF($J65=10,Q65,0)))))</f>
        <v>0</v>
      </c>
      <c r="Q65" s="81">
        <f t="shared" si="830"/>
        <v>0</v>
      </c>
      <c r="R65" s="82">
        <f>IF(V65=0,0,IF(V65&lt;0,IF($J65=3,V65,IF($J65=2,V65,IF($J65=1,V65,0)))))</f>
        <v>0</v>
      </c>
      <c r="S65" s="83">
        <f>IF(V65=0,0,IF(V65&lt;0,IF($J65=6,V65,IF($J65=5,V65,IF($J65=4,V65,0)))))</f>
        <v>0</v>
      </c>
      <c r="T65" s="83">
        <f>IF(V65=0,0,IF(V65&lt;0,IF($J65=9,V65,IF($J65=8,V65,IF($J65=7,V65,0)))))</f>
        <v>0</v>
      </c>
      <c r="U65" s="84">
        <f>IF(V65=0,0,IF(V65&lt;0,IF($J65=12,V65,IF($J65=11,V65,IF($J65=10,V65,0)))))</f>
        <v>0</v>
      </c>
      <c r="V65" s="81">
        <f t="shared" si="831"/>
        <v>0</v>
      </c>
      <c r="W65" s="82">
        <f>IF(AA65=0,0,IF(AA65&lt;0,IF($J65=3,AA65,IF($J65=2,AA65,IF($J65=1,AA65,0)))))</f>
        <v>0</v>
      </c>
      <c r="X65" s="83">
        <f>IF(AA65=0,0,IF(AA65&lt;0,IF($J65=6,AA65,IF($J65=5,AA65,IF($J65=4,AA65,0)))))</f>
        <v>0</v>
      </c>
      <c r="Y65" s="83">
        <f>IF(AA65=0,0,IF(AA65&lt;0,IF($J65=9,AA65,IF($J65=8,AA65,IF($J65=7,AA65,0)))))</f>
        <v>0</v>
      </c>
      <c r="Z65" s="84">
        <f>IF(AA65=0,0,IF(AA65&lt;0,IF($J65=12,AA65,IF($J65=11,AA65,IF($J65=10,AA65,0)))))</f>
        <v>0</v>
      </c>
      <c r="AA65" s="81">
        <f t="shared" si="832"/>
        <v>0</v>
      </c>
      <c r="AB65" s="82">
        <f>IF(AF65=0,0,IF(AF65&lt;0,IF($J65=3,AF65,IF($J65=2,AF65,IF($J65=1,AF65,0)))))</f>
        <v>0</v>
      </c>
      <c r="AC65" s="83">
        <f>IF(AF65=0,0,IF(AF65&lt;0,IF($J65=6,AF65,IF($J65=5,AF65,IF($J65=4,AF65,0)))))</f>
        <v>0</v>
      </c>
      <c r="AD65" s="83">
        <f>IF(AF65=0,0,IF(AF65&lt;0,IF($J65=9,AF65,IF($J65=8,AF65,IF($J65=7,AF65,0)))))</f>
        <v>0</v>
      </c>
      <c r="AE65" s="84">
        <f>IF(AF65=0,0,IF(AF65&lt;0,IF($J65=12,AF65,IF($J65=11,AF65,IF($J65=10,AF65,0)))))</f>
        <v>0</v>
      </c>
      <c r="AF65" s="81">
        <f t="shared" si="833"/>
        <v>0</v>
      </c>
      <c r="AG65" s="82">
        <f t="shared" si="834"/>
        <v>0</v>
      </c>
      <c r="AH65" s="83">
        <f t="shared" si="835"/>
        <v>0</v>
      </c>
      <c r="AI65" s="83">
        <f t="shared" si="836"/>
        <v>0</v>
      </c>
      <c r="AJ65" s="84">
        <f t="shared" si="837"/>
        <v>0</v>
      </c>
      <c r="AK65" s="81">
        <f t="shared" si="838"/>
        <v>0</v>
      </c>
      <c r="AL65" s="82">
        <f t="shared" si="848"/>
        <v>0</v>
      </c>
      <c r="AM65" s="83">
        <f t="shared" si="849"/>
        <v>0</v>
      </c>
      <c r="AN65" s="83">
        <f t="shared" si="850"/>
        <v>0</v>
      </c>
      <c r="AO65" s="84">
        <f t="shared" si="851"/>
        <v>0</v>
      </c>
      <c r="AP65" s="81">
        <f t="shared" si="839"/>
        <v>0</v>
      </c>
      <c r="AQ65" s="82">
        <f t="shared" si="852"/>
        <v>0</v>
      </c>
      <c r="AR65" s="83">
        <f t="shared" si="853"/>
        <v>0</v>
      </c>
      <c r="AS65" s="83">
        <f t="shared" si="854"/>
        <v>0</v>
      </c>
      <c r="AT65" s="84">
        <f t="shared" si="855"/>
        <v>0</v>
      </c>
      <c r="AU65" s="81">
        <f t="shared" si="840"/>
        <v>0</v>
      </c>
      <c r="AV65" s="82">
        <f t="shared" si="856"/>
        <v>0</v>
      </c>
      <c r="AW65" s="83">
        <f t="shared" si="857"/>
        <v>0</v>
      </c>
      <c r="AX65" s="83">
        <f t="shared" si="858"/>
        <v>0</v>
      </c>
      <c r="AY65" s="84">
        <f t="shared" si="859"/>
        <v>0</v>
      </c>
      <c r="AZ65" s="81">
        <f t="shared" si="841"/>
        <v>0</v>
      </c>
      <c r="BA65" s="82">
        <f t="shared" si="860"/>
        <v>0</v>
      </c>
      <c r="BB65" s="83">
        <f t="shared" si="861"/>
        <v>0</v>
      </c>
      <c r="BC65" s="83">
        <f t="shared" si="862"/>
        <v>0</v>
      </c>
      <c r="BD65" s="84">
        <f t="shared" si="863"/>
        <v>0</v>
      </c>
      <c r="BE65" s="81">
        <f t="shared" si="842"/>
        <v>0</v>
      </c>
      <c r="BF65" s="1877"/>
      <c r="BG65" s="2005">
        <f t="shared" si="864"/>
        <v>0</v>
      </c>
      <c r="BH65" s="86">
        <f>IF($H65&lt;&gt;BL$5,0,IF(BL65&lt;0,IF($J65=1,-$E65*$I65/12*3,IF($J65=2,-$E65*$I65/12*2,IF($J65=3,-$E65*$I65/12*1,0)))))+IF(BG$5&lt;&gt;$H65,0,IF(BG65&lt;0,IF($J65=1,-$E65*$I65/12*0,IF($J65=2,-$E65*$I65/12*1,IF($J65=3,-$E65*$I65/12*2,IF($J65&gt;=4,-$E65*$I65/12*3,0))))))</f>
        <v>0</v>
      </c>
      <c r="BI65" s="87">
        <f>IF($H65&lt;&gt;BL$5,0,IF(BL65&lt;0,IF(OR($J65=1,$J65=2,$J65=3,$J65=4),-$E65*$I65/12*3,IF($J65=5,-$E65*$I65/12*2,IF($J65=6,-$E65*$I65/12*1,0)))))+IF(BG$5&lt;&gt;$H65,0,IF(BG65&lt;0,IF($J65=4,-$E65*$I65/12*0,IF($J65=5,-$E65*$I65/12*1,IF($J65=6,-$E65*$I65/12*2,IF($J65&gt;=7,-$E65*$I65/12*3,0))))))</f>
        <v>0</v>
      </c>
      <c r="BJ65" s="87">
        <f>IF($H65&lt;&gt;BL$5,0,IF(BL65&lt;0,IF(OR($J65=1,$J65=2,$J65=3,$J65=4,$J65=5,$J65=6,$J65=7),-$E65*$I65/12*3,IF($J65=8,-$E65*$I65/12*2,IF($J65=9,-$E65*$I65/12*1,0)))))+IF(BG$5&lt;&gt;$H65,0,IF(BG65&lt;0,IF($J65=7,-$E65*$I65/12*0,IF($J65=8,-$E65*$I65/12*1,IF($J65=9,-$E65*$I65/12*2,IF($J65&gt;=10,-$E65*$I65/12*3,0))))))</f>
        <v>0</v>
      </c>
      <c r="BK65" s="88">
        <f>IF($H65&lt;&gt;BL$5,0,IF(BL65&lt;0,IF(OR($J65=1,$J65=2,$J65=3,$J65=4,$J65=5,$J65=6,$J65=7,$J65=8,$J65=9,$J65=10),-$E65*$I65/12*3,IF($J65=11,-$E65*$I65/12*2,IF($J65=12,-$E65*$I65/12*1,0)))))+IF(BG$5&lt;&gt;$H65,0,IF(BG65&lt;0,IF($J65=10,-$E65*$I65/12*0,IF($J65=11,-$E65*$I65/12*1,IF($J65=12,-$E65*$I65/12*2,0)))))</f>
        <v>0</v>
      </c>
      <c r="BL65" s="85">
        <f>IF(AND(BG65&lt;&gt;0,BG$5=$H65),-$I65*$E65-BG65,IF(BL$5=$H65,-$I65*$E65*(12-$J65+1)/12,0))</f>
        <v>0</v>
      </c>
      <c r="BM65" s="86">
        <f>IF($H65&lt;&gt;BQ$5,0,IF(BQ65&lt;0,IF($J65=1,-$E65*$I65/12*3,IF($J65=2,-$E65*$I65/12*2,IF($J65=3,-$E65*$I65/12*1,0)))))+IF(BL$5&lt;&gt;$H65,0,IF(BL65&lt;0,IF($J65=1,-$E65*$I65/12*0,IF($J65=2,-$E65*$I65/12*1,IF($J65=3,-$E65*$I65/12*2,IF($J65&gt;=4,-$E65*$I65/12*3,0))))))</f>
        <v>0</v>
      </c>
      <c r="BN65" s="87">
        <f>IF($H65&lt;&gt;BQ$5,0,IF(BQ65&lt;0,IF(OR($J65=1,$J65=2,$J65=3,$J65=4),-$E65*$I65/12*3,IF($J65=5,-$E65*$I65/12*2,IF($J65=6,-$E65*$I65/12*1,0)))))+IF(BL$5&lt;&gt;$H65,0,IF(BL65&lt;0,IF($J65=4,-$E65*$I65/12*0,IF($J65=5,-$E65*$I65/12*1,IF($J65=6,-$E65*$I65/12*2,IF($J65&gt;=7,-$E65*$I65/12*3,0))))))</f>
        <v>0</v>
      </c>
      <c r="BO65" s="87">
        <f>IF($H65&lt;&gt;BQ$5,0,IF(BQ65&lt;0,IF(OR($J65=1,$J65=2,$J65=3,$J65=4,$J65=5,$J65=6,$J65=7),-$E65*$I65/12*3,IF($J65=8,-$E65*$I65/12*2,IF($J65=9,-$E65*$I65/12*1,0)))))+IF(BL$5&lt;&gt;$H65,0,IF(BL65&lt;0,IF($J65=7,-$E65*$I65/12*0,IF($J65=8,-$E65*$I65/12*1,IF($J65=9,-$E65*$I65/12*2,IF($J65&gt;=10,-$E65*$I65/12*3,0))))))</f>
        <v>0</v>
      </c>
      <c r="BP65" s="88">
        <f>IF($H65&lt;&gt;BQ$5,0,IF(BQ65&lt;0,IF(OR($J65=1,$J65=2,$J65=3,$J65=4,$J65=5,$J65=6,$J65=7,$J65=8,$J65=9,$J65=10),-$E65*$I65/12*3,IF($J65=11,-$E65*$I65/12*2,IF($J65=12,-$E65*$I65/12*1,0)))))+IF(BL$5&lt;&gt;$H65,0,IF(BL65&lt;0,IF($J65=10,-$E65*$I65/12*0,IF($J65=11,-$E65*$I65/12*1,IF($J65=12,-$E65*$I65/12*2,0)))))</f>
        <v>0</v>
      </c>
      <c r="BQ65" s="85">
        <f>IF(AND(BL65&lt;&gt;0,BL$5=$H65),-$I65*$E65-BL65,IF(BQ$5=$H65,-$I65*$E65*(12-$J65+1)/12,0))</f>
        <v>0</v>
      </c>
      <c r="BR65" s="86">
        <f>IF($H65&lt;&gt;BV$5,0,IF(BV65&lt;0,IF($J65=1,-$E65*$I65/12*3,IF($J65=2,-$E65*$I65/12*2,IF($J65=3,-$E65*$I65/12*1,0)))))+IF(BQ$5&lt;&gt;$H65,0,IF(BQ65&lt;0,IF($J65=1,-$E65*$I65/12*0,IF($J65=2,-$E65*$I65/12*1,IF($J65=3,-$E65*$I65/12*2,IF($J65&gt;=4,-$E65*$I65/12*3,0))))))</f>
        <v>0</v>
      </c>
      <c r="BS65" s="87">
        <f>IF($H65&lt;&gt;BV$5,0,IF(BV65&lt;0,IF(OR($J65=1,$J65=2,$J65=3,$J65=4),-$E65*$I65/12*3,IF($J65=5,-$E65*$I65/12*2,IF($J65=6,-$E65*$I65/12*1,0)))))+IF(BQ$5&lt;&gt;$H65,0,IF(BQ65&lt;0,IF($J65=4,-$E65*$I65/12*0,IF($J65=5,-$E65*$I65/12*1,IF($J65=6,-$E65*$I65/12*2,IF($J65&gt;=7,-$E65*$I65/12*3,0))))))</f>
        <v>0</v>
      </c>
      <c r="BT65" s="87">
        <f>IF($H65&lt;&gt;BV$5,0,IF(BV65&lt;0,IF(OR($J65=1,$J65=2,$J65=3,$J65=4,$J65=5,$J65=6,$J65=7),-$E65*$I65/12*3,IF($J65=8,-$E65*$I65/12*2,IF($J65=9,-$E65*$I65/12*1,0)))))+IF(BQ$5&lt;&gt;$H65,0,IF(BQ65&lt;0,IF($J65=7,-$E65*$I65/12*0,IF($J65=8,-$E65*$I65/12*1,IF($J65=9,-$E65*$I65/12*2,IF($J65&gt;=10,-$E65*$I65/12*3,0))))))</f>
        <v>0</v>
      </c>
      <c r="BU65" s="88">
        <f>IF($H65&lt;&gt;BV$5,0,IF(BV65&lt;0,IF(OR($J65=1,$J65=2,$J65=3,$J65=4,$J65=5,$J65=6,$J65=7,$J65=8,$J65=9,$J65=10),-$E65*$I65/12*3,IF($J65=11,-$E65*$I65/12*2,IF($J65=12,-$E65*$I65/12*1,0)))))+IF(BQ$5&lt;&gt;$H65,0,IF(BQ65&lt;0,IF($J65=10,-$E65*$I65/12*0,IF($J65=11,-$E65*$I65/12*1,IF($J65=12,-$E65*$I65/12*2,0)))))</f>
        <v>0</v>
      </c>
      <c r="BV65" s="85">
        <f>IF(AND(BQ65&lt;&gt;0,BQ$5=$H65),-$I65*$E65-BQ65,IF(BV$5=$H65,-$I65*$E65*(12-$J65+1)/12,0))</f>
        <v>0</v>
      </c>
      <c r="BW65" s="86">
        <f>IF($H65&lt;&gt;CA$5,0,IF(CA65&lt;0,IF($J65=1,-$E65*$I65/12*3,IF($J65=2,-$E65*$I65/12*2,IF($J65=3,-$E65*$I65/12*1,0)))))+IF(BV$5&lt;&gt;$H65,0,IF(BV65&lt;0,IF($J65=1,-$E65*$I65/12*0,IF($J65=2,-$E65*$I65/12*1,IF($J65=3,-$E65*$I65/12*2,IF($J65&gt;=4,-$E65*$I65/12*3,0))))))</f>
        <v>0</v>
      </c>
      <c r="BX65" s="87">
        <f>IF($H65&lt;&gt;CA$5,0,IF(CA65&lt;0,IF(OR($J65=1,$J65=2,$J65=3,$J65=4),-$E65*$I65/12*3,IF($J65=5,-$E65*$I65/12*2,IF($J65=6,-$E65*$I65/12*1,0)))))+IF(BV$5&lt;&gt;$H65,0,IF(BV65&lt;0,IF($J65=4,-$E65*$I65/12*0,IF($J65=5,-$E65*$I65/12*1,IF($J65=6,-$E65*$I65/12*2,IF($J65&gt;=7,-$E65*$I65/12*3,0))))))</f>
        <v>0</v>
      </c>
      <c r="BY65" s="87">
        <f>IF($H65&lt;&gt;CA$5,0,IF(CA65&lt;0,IF(OR($J65=1,$J65=2,$J65=3,$J65=4,$J65=5,$J65=6,$J65=7),-$E65*$I65/12*3,IF($J65=8,-$E65*$I65/12*2,IF($J65=9,-$E65*$I65/12*1,0)))))+IF(BV$5&lt;&gt;$H65,0,IF(BV65&lt;0,IF($J65=7,-$E65*$I65/12*0,IF($J65=8,-$E65*$I65/12*1,IF($J65=9,-$E65*$I65/12*2,IF($J65&gt;=10,-$E65*$I65/12*3,0))))))</f>
        <v>0</v>
      </c>
      <c r="BZ65" s="88">
        <f>IF($H65&lt;&gt;CA$5,0,IF(CA65&lt;0,IF(OR($J65=1,$J65=2,$J65=3,$J65=4,$J65=5,$J65=6,$J65=7,$J65=8,$J65=9,$J65=10),-$E65*$I65/12*3,IF($J65=11,-$E65*$I65/12*2,IF($J65=12,-$E65*$I65/12*1,0)))))+IF(BV$5&lt;&gt;$H65,0,IF(BV65&lt;0,IF($J65=10,-$E65*$I65/12*0,IF($J65=11,-$E65*$I65/12*1,IF($J65=12,-$E65*$I65/12*2,0)))))</f>
        <v>0</v>
      </c>
      <c r="CA65" s="85">
        <f>IF(AND(BV65&lt;&gt;0,BV$5=$H65),-$I65*$E65-BV65,IF(CA$5=$H65,-$I65*$E65*(12-$J65+1)/12,0))</f>
        <v>0</v>
      </c>
      <c r="CB65" s="86">
        <f t="shared" si="843"/>
        <v>0</v>
      </c>
      <c r="CC65" s="87">
        <f t="shared" si="844"/>
        <v>0</v>
      </c>
      <c r="CD65" s="87">
        <f t="shared" si="845"/>
        <v>0</v>
      </c>
      <c r="CE65" s="88">
        <f t="shared" si="846"/>
        <v>0</v>
      </c>
      <c r="CF65" s="85">
        <f t="shared" si="847"/>
        <v>0</v>
      </c>
      <c r="CG65" s="86">
        <f t="shared" si="865"/>
        <v>0</v>
      </c>
      <c r="CH65" s="87">
        <f t="shared" si="866"/>
        <v>0</v>
      </c>
      <c r="CI65" s="87">
        <f t="shared" si="867"/>
        <v>0</v>
      </c>
      <c r="CJ65" s="88">
        <f t="shared" si="868"/>
        <v>0</v>
      </c>
      <c r="CK65" s="85">
        <f t="shared" si="869"/>
        <v>0</v>
      </c>
      <c r="CL65" s="86">
        <f t="shared" si="870"/>
        <v>0</v>
      </c>
      <c r="CM65" s="87">
        <f t="shared" si="871"/>
        <v>0</v>
      </c>
      <c r="CN65" s="87">
        <f t="shared" si="872"/>
        <v>0</v>
      </c>
      <c r="CO65" s="88">
        <f t="shared" si="873"/>
        <v>0</v>
      </c>
      <c r="CP65" s="85">
        <f t="shared" si="874"/>
        <v>0</v>
      </c>
      <c r="CQ65" s="86">
        <f t="shared" si="875"/>
        <v>0</v>
      </c>
      <c r="CR65" s="87">
        <f t="shared" si="876"/>
        <v>0</v>
      </c>
      <c r="CS65" s="87">
        <f t="shared" si="877"/>
        <v>0</v>
      </c>
      <c r="CT65" s="88">
        <f t="shared" si="878"/>
        <v>0</v>
      </c>
      <c r="CU65" s="85">
        <f t="shared" si="879"/>
        <v>0</v>
      </c>
      <c r="CV65" s="86">
        <f t="shared" si="880"/>
        <v>0</v>
      </c>
      <c r="CW65" s="87">
        <f t="shared" si="881"/>
        <v>0</v>
      </c>
      <c r="CX65" s="87">
        <f t="shared" si="882"/>
        <v>0</v>
      </c>
      <c r="CY65" s="88">
        <f t="shared" si="883"/>
        <v>0</v>
      </c>
      <c r="CZ65" s="85">
        <f t="shared" si="884"/>
        <v>0</v>
      </c>
    </row>
    <row r="66" spans="1:265" ht="12.75" customHeight="1">
      <c r="A66" s="4"/>
      <c r="B66" s="4"/>
      <c r="C66" s="4" t="s">
        <v>466</v>
      </c>
      <c r="D66" s="1333"/>
      <c r="E66" s="1332">
        <f t="shared" si="828"/>
        <v>38</v>
      </c>
      <c r="F66" s="2314">
        <v>38</v>
      </c>
      <c r="G66" s="1510">
        <v>38</v>
      </c>
      <c r="H66" s="1334">
        <v>2030</v>
      </c>
      <c r="I66" s="1513">
        <v>2.5000000000000001E-2</v>
      </c>
      <c r="J66" s="1334">
        <v>6</v>
      </c>
      <c r="K66" s="80"/>
      <c r="L66" s="81">
        <f t="shared" si="829"/>
        <v>0</v>
      </c>
      <c r="M66" s="82">
        <f t="shared" ref="M66:M70" si="885">IF(Q66=0,0,IF(Q66&lt;0,IF($J66=3,Q66,IF($J66=2,Q66,IF($J66=1,Q66,0)))))</f>
        <v>0</v>
      </c>
      <c r="N66" s="83">
        <f t="shared" ref="N66:N70" si="886">IF(Q66=0,0,IF(Q66&lt;0,IF($J66=6,Q66,IF($J66=5,Q66,IF($J66=4,Q66,0)))))</f>
        <v>0</v>
      </c>
      <c r="O66" s="83">
        <f t="shared" ref="O66:O70" si="887">IF(Q66=0,0,IF(Q66&lt;0,IF($J66=9,Q66,IF($J66=8,Q66,IF($J66=7,Q66,0)))))</f>
        <v>0</v>
      </c>
      <c r="P66" s="84">
        <f t="shared" ref="P66:P70" si="888">IF(Q66=0,0,IF(Q66&lt;0,IF($J66=12,Q66,IF($J66=11,Q66,IF($J66=10,Q66,0)))))</f>
        <v>0</v>
      </c>
      <c r="Q66" s="81">
        <f t="shared" si="830"/>
        <v>0</v>
      </c>
      <c r="R66" s="82">
        <f t="shared" ref="R66:R70" si="889">IF(V66=0,0,IF(V66&lt;0,IF($J66=3,V66,IF($J66=2,V66,IF($J66=1,V66,0)))))</f>
        <v>0</v>
      </c>
      <c r="S66" s="83">
        <f t="shared" ref="S66:S70" si="890">IF(V66=0,0,IF(V66&lt;0,IF($J66=6,V66,IF($J66=5,V66,IF($J66=4,V66,0)))))</f>
        <v>0</v>
      </c>
      <c r="T66" s="83">
        <f t="shared" ref="T66:T70" si="891">IF(V66=0,0,IF(V66&lt;0,IF($J66=9,V66,IF($J66=8,V66,IF($J66=7,V66,0)))))</f>
        <v>0</v>
      </c>
      <c r="U66" s="84">
        <f t="shared" ref="U66:U70" si="892">IF(V66=0,0,IF(V66&lt;0,IF($J66=12,V66,IF($J66=11,V66,IF($J66=10,V66,0)))))</f>
        <v>0</v>
      </c>
      <c r="V66" s="81">
        <f t="shared" si="831"/>
        <v>0</v>
      </c>
      <c r="W66" s="82">
        <f t="shared" ref="W66:W70" si="893">IF(AA66=0,0,IF(AA66&lt;0,IF($J66=3,AA66,IF($J66=2,AA66,IF($J66=1,AA66,0)))))</f>
        <v>0</v>
      </c>
      <c r="X66" s="83">
        <f t="shared" ref="X66:X70" si="894">IF(AA66=0,0,IF(AA66&lt;0,IF($J66=6,AA66,IF($J66=5,AA66,IF($J66=4,AA66,0)))))</f>
        <v>0</v>
      </c>
      <c r="Y66" s="83">
        <f t="shared" ref="Y66:Y70" si="895">IF(AA66=0,0,IF(AA66&lt;0,IF($J66=9,AA66,IF($J66=8,AA66,IF($J66=7,AA66,0)))))</f>
        <v>0</v>
      </c>
      <c r="Z66" s="84">
        <f t="shared" ref="Z66:Z70" si="896">IF(AA66=0,0,IF(AA66&lt;0,IF($J66=12,AA66,IF($J66=11,AA66,IF($J66=10,AA66,0)))))</f>
        <v>0</v>
      </c>
      <c r="AA66" s="81">
        <f t="shared" si="832"/>
        <v>0</v>
      </c>
      <c r="AB66" s="82">
        <f t="shared" ref="AB66:AB70" si="897">IF(AF66=0,0,IF(AF66&lt;0,IF($J66=3,AF66,IF($J66=2,AF66,IF($J66=1,AF66,0)))))</f>
        <v>0</v>
      </c>
      <c r="AC66" s="83">
        <f t="shared" ref="AC66:AC70" si="898">IF(AF66=0,0,IF(AF66&lt;0,IF($J66=6,AF66,IF($J66=5,AF66,IF($J66=4,AF66,0)))))</f>
        <v>0</v>
      </c>
      <c r="AD66" s="83">
        <f t="shared" ref="AD66:AD70" si="899">IF(AF66=0,0,IF(AF66&lt;0,IF($J66=9,AF66,IF($J66=8,AF66,IF($J66=7,AF66,0)))))</f>
        <v>0</v>
      </c>
      <c r="AE66" s="84">
        <f t="shared" ref="AE66:AE70" si="900">IF(AF66=0,0,IF(AF66&lt;0,IF($J66=12,AF66,IF($J66=11,AF66,IF($J66=10,AF66,0)))))</f>
        <v>0</v>
      </c>
      <c r="AF66" s="81">
        <f t="shared" si="833"/>
        <v>0</v>
      </c>
      <c r="AG66" s="82">
        <f t="shared" ref="AG66:AG70" si="901">IF(AK66=0,0,IF(AK66&lt;0,IF($J66=3,AK66,IF($J66=2,AK66,IF($J66=1,AK66,0)))))</f>
        <v>0</v>
      </c>
      <c r="AH66" s="83">
        <f t="shared" ref="AH66:AH70" si="902">IF(AK66=0,0,IF(AK66&lt;0,IF($J66=6,AK66,IF($J66=5,AK66,IF($J66=4,AK66,0)))))</f>
        <v>0</v>
      </c>
      <c r="AI66" s="83">
        <f t="shared" ref="AI66:AI70" si="903">IF(AK66=0,0,IF(AK66&lt;0,IF($J66=9,AK66,IF($J66=8,AK66,IF($J66=7,AK66,0)))))</f>
        <v>0</v>
      </c>
      <c r="AJ66" s="84">
        <f t="shared" ref="AJ66:AJ70" si="904">IF(AK66=0,0,IF(AK66&lt;0,IF($J66=12,AK66,IF($J66=11,AK66,IF($J66=10,AK66,0)))))</f>
        <v>0</v>
      </c>
      <c r="AK66" s="81">
        <f t="shared" si="838"/>
        <v>0</v>
      </c>
      <c r="AL66" s="82">
        <f t="shared" si="848"/>
        <v>0</v>
      </c>
      <c r="AM66" s="83">
        <f t="shared" si="849"/>
        <v>0</v>
      </c>
      <c r="AN66" s="83">
        <f t="shared" si="850"/>
        <v>0</v>
      </c>
      <c r="AO66" s="84">
        <f t="shared" si="851"/>
        <v>0</v>
      </c>
      <c r="AP66" s="81">
        <f t="shared" si="839"/>
        <v>0</v>
      </c>
      <c r="AQ66" s="82">
        <f t="shared" si="852"/>
        <v>0</v>
      </c>
      <c r="AR66" s="83">
        <f t="shared" si="853"/>
        <v>0</v>
      </c>
      <c r="AS66" s="83">
        <f t="shared" si="854"/>
        <v>0</v>
      </c>
      <c r="AT66" s="84">
        <f t="shared" si="855"/>
        <v>0</v>
      </c>
      <c r="AU66" s="81">
        <f t="shared" si="840"/>
        <v>0</v>
      </c>
      <c r="AV66" s="82">
        <f t="shared" si="856"/>
        <v>0</v>
      </c>
      <c r="AW66" s="83">
        <f t="shared" si="857"/>
        <v>0</v>
      </c>
      <c r="AX66" s="83">
        <f t="shared" si="858"/>
        <v>0</v>
      </c>
      <c r="AY66" s="84">
        <f t="shared" si="859"/>
        <v>0</v>
      </c>
      <c r="AZ66" s="81">
        <f t="shared" si="841"/>
        <v>0</v>
      </c>
      <c r="BA66" s="82">
        <f t="shared" si="860"/>
        <v>0</v>
      </c>
      <c r="BB66" s="83">
        <f t="shared" si="861"/>
        <v>0</v>
      </c>
      <c r="BC66" s="83">
        <f t="shared" si="862"/>
        <v>0</v>
      </c>
      <c r="BD66" s="84">
        <f t="shared" si="863"/>
        <v>0</v>
      </c>
      <c r="BE66" s="81">
        <f t="shared" si="842"/>
        <v>0</v>
      </c>
      <c r="BF66" s="1877"/>
      <c r="BG66" s="2005">
        <f t="shared" si="864"/>
        <v>0</v>
      </c>
      <c r="BH66" s="86">
        <f t="shared" ref="BH66:BH70" si="905">IF($H66&lt;&gt;BL$5,0,IF(BL66&lt;0,IF($J66=1,-$E66*$I66/12*3,IF($J66=2,-$E66*$I66/12*2,IF($J66=3,-$E66*$I66/12*1,0)))))+IF(BG$5&lt;&gt;$H66,0,IF(BG66&lt;0,IF($J66=1,-$E66*$I66/12*0,IF($J66=2,-$E66*$I66/12*1,IF($J66=3,-$E66*$I66/12*2,IF($J66&gt;=4,-$E66*$I66/12*3,0))))))</f>
        <v>0</v>
      </c>
      <c r="BI66" s="87">
        <f t="shared" ref="BI66:BI70" si="906">IF($H66&lt;&gt;BL$5,0,IF(BL66&lt;0,IF(OR($J66=1,$J66=2,$J66=3,$J66=4),-$E66*$I66/12*3,IF($J66=5,-$E66*$I66/12*2,IF($J66=6,-$E66*$I66/12*1,0)))))+IF(BG$5&lt;&gt;$H66,0,IF(BG66&lt;0,IF($J66=4,-$E66*$I66/12*0,IF($J66=5,-$E66*$I66/12*1,IF($J66=6,-$E66*$I66/12*2,IF($J66&gt;=7,-$E66*$I66/12*3,0))))))</f>
        <v>0</v>
      </c>
      <c r="BJ66" s="87">
        <f t="shared" ref="BJ66:BJ70" si="907">IF($H66&lt;&gt;BL$5,0,IF(BL66&lt;0,IF(OR($J66=1,$J66=2,$J66=3,$J66=4,$J66=5,$J66=6,$J66=7),-$E66*$I66/12*3,IF($J66=8,-$E66*$I66/12*2,IF($J66=9,-$E66*$I66/12*1,0)))))+IF(BG$5&lt;&gt;$H66,0,IF(BG66&lt;0,IF($J66=7,-$E66*$I66/12*0,IF($J66=8,-$E66*$I66/12*1,IF($J66=9,-$E66*$I66/12*2,IF($J66&gt;=10,-$E66*$I66/12*3,0))))))</f>
        <v>0</v>
      </c>
      <c r="BK66" s="88">
        <f t="shared" ref="BK66:BK70" si="908">IF($H66&lt;&gt;BL$5,0,IF(BL66&lt;0,IF(OR($J66=1,$J66=2,$J66=3,$J66=4,$J66=5,$J66=6,$J66=7,$J66=8,$J66=9,$J66=10),-$E66*$I66/12*3,IF($J66=11,-$E66*$I66/12*2,IF($J66=12,-$E66*$I66/12*1,0)))))+IF(BG$5&lt;&gt;$H66,0,IF(BG66&lt;0,IF($J66=10,-$E66*$I66/12*0,IF($J66=11,-$E66*$I66/12*1,IF($J66=12,-$E66*$I66/12*2,0)))))</f>
        <v>0</v>
      </c>
      <c r="BL66" s="85">
        <f t="shared" ref="BL66:BL70" si="909">IF(AND(BG66&lt;&gt;0,BG$5=$H66),-$I66*$E66-BG66,IF(BL$5=$H66,-$I66*$E66*(12-$J66+1)/12,0))</f>
        <v>0</v>
      </c>
      <c r="BM66" s="86">
        <f t="shared" ref="BM66:BM70" si="910">IF($H66&lt;&gt;BQ$5,0,IF(BQ66&lt;0,IF($J66=1,-$E66*$I66/12*3,IF($J66=2,-$E66*$I66/12*2,IF($J66=3,-$E66*$I66/12*1,0)))))+IF(BL$5&lt;&gt;$H66,0,IF(BL66&lt;0,IF($J66=1,-$E66*$I66/12*0,IF($J66=2,-$E66*$I66/12*1,IF($J66=3,-$E66*$I66/12*2,IF($J66&gt;=4,-$E66*$I66/12*3,0))))))</f>
        <v>0</v>
      </c>
      <c r="BN66" s="87">
        <f t="shared" ref="BN66:BN70" si="911">IF($H66&lt;&gt;BQ$5,0,IF(BQ66&lt;0,IF(OR($J66=1,$J66=2,$J66=3,$J66=4),-$E66*$I66/12*3,IF($J66=5,-$E66*$I66/12*2,IF($J66=6,-$E66*$I66/12*1,0)))))+IF(BL$5&lt;&gt;$H66,0,IF(BL66&lt;0,IF($J66=4,-$E66*$I66/12*0,IF($J66=5,-$E66*$I66/12*1,IF($J66=6,-$E66*$I66/12*2,IF($J66&gt;=7,-$E66*$I66/12*3,0))))))</f>
        <v>0</v>
      </c>
      <c r="BO66" s="87">
        <f t="shared" ref="BO66:BO70" si="912">IF($H66&lt;&gt;BQ$5,0,IF(BQ66&lt;0,IF(OR($J66=1,$J66=2,$J66=3,$J66=4,$J66=5,$J66=6,$J66=7),-$E66*$I66/12*3,IF($J66=8,-$E66*$I66/12*2,IF($J66=9,-$E66*$I66/12*1,0)))))+IF(BL$5&lt;&gt;$H66,0,IF(BL66&lt;0,IF($J66=7,-$E66*$I66/12*0,IF($J66=8,-$E66*$I66/12*1,IF($J66=9,-$E66*$I66/12*2,IF($J66&gt;=10,-$E66*$I66/12*3,0))))))</f>
        <v>0</v>
      </c>
      <c r="BP66" s="88">
        <f t="shared" ref="BP66:BP70" si="913">IF($H66&lt;&gt;BQ$5,0,IF(BQ66&lt;0,IF(OR($J66=1,$J66=2,$J66=3,$J66=4,$J66=5,$J66=6,$J66=7,$J66=8,$J66=9,$J66=10),-$E66*$I66/12*3,IF($J66=11,-$E66*$I66/12*2,IF($J66=12,-$E66*$I66/12*1,0)))))+IF(BL$5&lt;&gt;$H66,0,IF(BL66&lt;0,IF($J66=10,-$E66*$I66/12*0,IF($J66=11,-$E66*$I66/12*1,IF($J66=12,-$E66*$I66/12*2,0)))))</f>
        <v>0</v>
      </c>
      <c r="BQ66" s="85">
        <f t="shared" ref="BQ66:BQ70" si="914">IF(AND(BL66&lt;&gt;0,BL$5=$H66),-$I66*$E66-BL66,IF(BQ$5=$H66,-$I66*$E66*(12-$J66+1)/12,0))</f>
        <v>0</v>
      </c>
      <c r="BR66" s="86">
        <f t="shared" ref="BR66:BR70" si="915">IF($H66&lt;&gt;BV$5,0,IF(BV66&lt;0,IF($J66=1,-$E66*$I66/12*3,IF($J66=2,-$E66*$I66/12*2,IF($J66=3,-$E66*$I66/12*1,0)))))+IF(BQ$5&lt;&gt;$H66,0,IF(BQ66&lt;0,IF($J66=1,-$E66*$I66/12*0,IF($J66=2,-$E66*$I66/12*1,IF($J66=3,-$E66*$I66/12*2,IF($J66&gt;=4,-$E66*$I66/12*3,0))))))</f>
        <v>0</v>
      </c>
      <c r="BS66" s="87">
        <f t="shared" ref="BS66:BS70" si="916">IF($H66&lt;&gt;BV$5,0,IF(BV66&lt;0,IF(OR($J66=1,$J66=2,$J66=3,$J66=4),-$E66*$I66/12*3,IF($J66=5,-$E66*$I66/12*2,IF($J66=6,-$E66*$I66/12*1,0)))))+IF(BQ$5&lt;&gt;$H66,0,IF(BQ66&lt;0,IF($J66=4,-$E66*$I66/12*0,IF($J66=5,-$E66*$I66/12*1,IF($J66=6,-$E66*$I66/12*2,IF($J66&gt;=7,-$E66*$I66/12*3,0))))))</f>
        <v>0</v>
      </c>
      <c r="BT66" s="87">
        <f t="shared" ref="BT66:BT70" si="917">IF($H66&lt;&gt;BV$5,0,IF(BV66&lt;0,IF(OR($J66=1,$J66=2,$J66=3,$J66=4,$J66=5,$J66=6,$J66=7),-$E66*$I66/12*3,IF($J66=8,-$E66*$I66/12*2,IF($J66=9,-$E66*$I66/12*1,0)))))+IF(BQ$5&lt;&gt;$H66,0,IF(BQ66&lt;0,IF($J66=7,-$E66*$I66/12*0,IF($J66=8,-$E66*$I66/12*1,IF($J66=9,-$E66*$I66/12*2,IF($J66&gt;=10,-$E66*$I66/12*3,0))))))</f>
        <v>0</v>
      </c>
      <c r="BU66" s="88">
        <f t="shared" ref="BU66:BU70" si="918">IF($H66&lt;&gt;BV$5,0,IF(BV66&lt;0,IF(OR($J66=1,$J66=2,$J66=3,$J66=4,$J66=5,$J66=6,$J66=7,$J66=8,$J66=9,$J66=10),-$E66*$I66/12*3,IF($J66=11,-$E66*$I66/12*2,IF($J66=12,-$E66*$I66/12*1,0)))))+IF(BQ$5&lt;&gt;$H66,0,IF(BQ66&lt;0,IF($J66=10,-$E66*$I66/12*0,IF($J66=11,-$E66*$I66/12*1,IF($J66=12,-$E66*$I66/12*2,0)))))</f>
        <v>0</v>
      </c>
      <c r="BV66" s="85">
        <f t="shared" ref="BV66:BV70" si="919">IF(AND(BQ66&lt;&gt;0,BQ$5=$H66),-$I66*$E66-BQ66,IF(BV$5=$H66,-$I66*$E66*(12-$J66+1)/12,0))</f>
        <v>0</v>
      </c>
      <c r="BW66" s="86">
        <f t="shared" ref="BW66:BW70" si="920">IF($H66&lt;&gt;CA$5,0,IF(CA66&lt;0,IF($J66=1,-$E66*$I66/12*3,IF($J66=2,-$E66*$I66/12*2,IF($J66=3,-$E66*$I66/12*1,0)))))+IF(BV$5&lt;&gt;$H66,0,IF(BV66&lt;0,IF($J66=1,-$E66*$I66/12*0,IF($J66=2,-$E66*$I66/12*1,IF($J66=3,-$E66*$I66/12*2,IF($J66&gt;=4,-$E66*$I66/12*3,0))))))</f>
        <v>0</v>
      </c>
      <c r="BX66" s="87">
        <f t="shared" ref="BX66:BX70" si="921">IF($H66&lt;&gt;CA$5,0,IF(CA66&lt;0,IF(OR($J66=1,$J66=2,$J66=3,$J66=4),-$E66*$I66/12*3,IF($J66=5,-$E66*$I66/12*2,IF($J66=6,-$E66*$I66/12*1,0)))))+IF(BV$5&lt;&gt;$H66,0,IF(BV66&lt;0,IF($J66=4,-$E66*$I66/12*0,IF($J66=5,-$E66*$I66/12*1,IF($J66=6,-$E66*$I66/12*2,IF($J66&gt;=7,-$E66*$I66/12*3,0))))))</f>
        <v>0</v>
      </c>
      <c r="BY66" s="87">
        <f t="shared" ref="BY66:BY70" si="922">IF($H66&lt;&gt;CA$5,0,IF(CA66&lt;0,IF(OR($J66=1,$J66=2,$J66=3,$J66=4,$J66=5,$J66=6,$J66=7),-$E66*$I66/12*3,IF($J66=8,-$E66*$I66/12*2,IF($J66=9,-$E66*$I66/12*1,0)))))+IF(BV$5&lt;&gt;$H66,0,IF(BV66&lt;0,IF($J66=7,-$E66*$I66/12*0,IF($J66=8,-$E66*$I66/12*1,IF($J66=9,-$E66*$I66/12*2,IF($J66&gt;=10,-$E66*$I66/12*3,0))))))</f>
        <v>0</v>
      </c>
      <c r="BZ66" s="88">
        <f t="shared" ref="BZ66:BZ70" si="923">IF($H66&lt;&gt;CA$5,0,IF(CA66&lt;0,IF(OR($J66=1,$J66=2,$J66=3,$J66=4,$J66=5,$J66=6,$J66=7,$J66=8,$J66=9,$J66=10),-$E66*$I66/12*3,IF($J66=11,-$E66*$I66/12*2,IF($J66=12,-$E66*$I66/12*1,0)))))+IF(BV$5&lt;&gt;$H66,0,IF(BV66&lt;0,IF($J66=10,-$E66*$I66/12*0,IF($J66=11,-$E66*$I66/12*1,IF($J66=12,-$E66*$I66/12*2,0)))))</f>
        <v>0</v>
      </c>
      <c r="CA66" s="85">
        <f t="shared" ref="CA66:CA70" si="924">IF(AND(BV66&lt;&gt;0,BV$5=$H66),-$I66*$E66-BV66,IF(CA$5=$H66,-$I66*$E66*(12-$J66+1)/12,0))</f>
        <v>0</v>
      </c>
      <c r="CB66" s="86">
        <f t="shared" ref="CB66:CB70" si="925">IF($H66&lt;&gt;CF$5,0,IF(CF66&lt;0,IF($J66=1,-$E66*$I66/12*3,IF($J66=2,-$E66*$I66/12*2,IF($J66=3,-$E66*$I66/12*1,0)))))+IF(CA$5&lt;&gt;$H66,0,IF(CA66&lt;0,IF($J66=1,-$E66*$I66/12*0,IF($J66=2,-$E66*$I66/12*1,IF($J66=3,-$E66*$I66/12*2,IF($J66&gt;=4,-$E66*$I66/12*3,0))))))</f>
        <v>0</v>
      </c>
      <c r="CC66" s="87">
        <f t="shared" ref="CC66:CC70" si="926">IF($H66&lt;&gt;CF$5,0,IF(CF66&lt;0,IF(OR($J66=1,$J66=2,$J66=3,$J66=4),-$E66*$I66/12*3,IF($J66=5,-$E66*$I66/12*2,IF($J66=6,-$E66*$I66/12*1,0)))))+IF(CA$5&lt;&gt;$H66,0,IF(CA66&lt;0,IF($J66=4,-$E66*$I66/12*0,IF($J66=5,-$E66*$I66/12*1,IF($J66=6,-$E66*$I66/12*2,IF($J66&gt;=7,-$E66*$I66/12*3,0))))))</f>
        <v>0</v>
      </c>
      <c r="CD66" s="87">
        <f t="shared" ref="CD66:CD70" si="927">IF($H66&lt;&gt;CF$5,0,IF(CF66&lt;0,IF(OR($J66=1,$J66=2,$J66=3,$J66=4,$J66=5,$J66=6,$J66=7),-$E66*$I66/12*3,IF($J66=8,-$E66*$I66/12*2,IF($J66=9,-$E66*$I66/12*1,0)))))+IF(CA$5&lt;&gt;$H66,0,IF(CA66&lt;0,IF($J66=7,-$E66*$I66/12*0,IF($J66=8,-$E66*$I66/12*1,IF($J66=9,-$E66*$I66/12*2,IF($J66&gt;=10,-$E66*$I66/12*3,0))))))</f>
        <v>0</v>
      </c>
      <c r="CE66" s="88">
        <f t="shared" ref="CE66:CE70" si="928">IF($H66&lt;&gt;CF$5,0,IF(CF66&lt;0,IF(OR($J66=1,$J66=2,$J66=3,$J66=4,$J66=5,$J66=6,$J66=7,$J66=8,$J66=9,$J66=10),-$E66*$I66/12*3,IF($J66=11,-$E66*$I66/12*2,IF($J66=12,-$E66*$I66/12*1,0)))))+IF(CA$5&lt;&gt;$H66,0,IF(CA66&lt;0,IF($J66=10,-$E66*$I66/12*0,IF($J66=11,-$E66*$I66/12*1,IF($J66=12,-$E66*$I66/12*2,0)))))</f>
        <v>0</v>
      </c>
      <c r="CF66" s="85">
        <f t="shared" ref="CF66:CF70" si="929">IF(AND(CA66&lt;&gt;0,CA$5=$H66),-$I66*$E66-CA66,IF(CF$5=$H66,-$I66*$E66*(12-$J66+1)/12,0))</f>
        <v>0</v>
      </c>
      <c r="CG66" s="86">
        <f t="shared" si="865"/>
        <v>0</v>
      </c>
      <c r="CH66" s="87">
        <f t="shared" si="866"/>
        <v>0</v>
      </c>
      <c r="CI66" s="87">
        <f t="shared" si="867"/>
        <v>0</v>
      </c>
      <c r="CJ66" s="88">
        <f t="shared" si="868"/>
        <v>0</v>
      </c>
      <c r="CK66" s="85">
        <f t="shared" si="869"/>
        <v>0</v>
      </c>
      <c r="CL66" s="86">
        <f t="shared" si="870"/>
        <v>0</v>
      </c>
      <c r="CM66" s="87">
        <f t="shared" si="871"/>
        <v>0</v>
      </c>
      <c r="CN66" s="87">
        <f t="shared" si="872"/>
        <v>0</v>
      </c>
      <c r="CO66" s="88">
        <f t="shared" si="873"/>
        <v>0</v>
      </c>
      <c r="CP66" s="85">
        <f t="shared" si="874"/>
        <v>0</v>
      </c>
      <c r="CQ66" s="86">
        <f t="shared" si="875"/>
        <v>0</v>
      </c>
      <c r="CR66" s="87">
        <f t="shared" si="876"/>
        <v>0</v>
      </c>
      <c r="CS66" s="87">
        <f t="shared" si="877"/>
        <v>0</v>
      </c>
      <c r="CT66" s="88">
        <f t="shared" si="878"/>
        <v>0</v>
      </c>
      <c r="CU66" s="85">
        <f t="shared" si="879"/>
        <v>0</v>
      </c>
      <c r="CV66" s="86">
        <f t="shared" si="880"/>
        <v>0</v>
      </c>
      <c r="CW66" s="87">
        <f t="shared" si="881"/>
        <v>0</v>
      </c>
      <c r="CX66" s="87">
        <f t="shared" si="882"/>
        <v>0</v>
      </c>
      <c r="CY66" s="88">
        <f t="shared" si="883"/>
        <v>0</v>
      </c>
      <c r="CZ66" s="85">
        <f t="shared" si="884"/>
        <v>0</v>
      </c>
    </row>
    <row r="67" spans="1:265" ht="12.75" customHeight="1">
      <c r="A67" s="4"/>
      <c r="B67" s="4"/>
      <c r="C67" t="s">
        <v>675</v>
      </c>
      <c r="D67" s="2117"/>
      <c r="E67" s="1332">
        <f t="shared" si="828"/>
        <v>5</v>
      </c>
      <c r="F67" s="2314">
        <v>5</v>
      </c>
      <c r="G67" s="1510">
        <v>5</v>
      </c>
      <c r="H67" s="1334">
        <v>2018</v>
      </c>
      <c r="I67" s="1513">
        <v>2.2100000000000002E-2</v>
      </c>
      <c r="J67" s="1334">
        <v>7</v>
      </c>
      <c r="K67" s="80"/>
      <c r="L67" s="81">
        <f t="shared" si="829"/>
        <v>0</v>
      </c>
      <c r="M67" s="82">
        <f t="shared" si="885"/>
        <v>0</v>
      </c>
      <c r="N67" s="83">
        <f t="shared" si="886"/>
        <v>0</v>
      </c>
      <c r="O67" s="83">
        <f t="shared" si="887"/>
        <v>0</v>
      </c>
      <c r="P67" s="84">
        <f t="shared" si="888"/>
        <v>0</v>
      </c>
      <c r="Q67" s="81">
        <f t="shared" si="830"/>
        <v>0</v>
      </c>
      <c r="R67" s="82">
        <f t="shared" si="889"/>
        <v>0</v>
      </c>
      <c r="S67" s="83">
        <f t="shared" si="890"/>
        <v>0</v>
      </c>
      <c r="T67" s="83">
        <f t="shared" si="891"/>
        <v>0</v>
      </c>
      <c r="U67" s="84">
        <f t="shared" si="892"/>
        <v>0</v>
      </c>
      <c r="V67" s="81">
        <f t="shared" si="831"/>
        <v>0</v>
      </c>
      <c r="W67" s="82">
        <f t="shared" si="893"/>
        <v>0</v>
      </c>
      <c r="X67" s="83">
        <f t="shared" si="894"/>
        <v>0</v>
      </c>
      <c r="Y67" s="83">
        <f t="shared" si="895"/>
        <v>0</v>
      </c>
      <c r="Z67" s="84">
        <f t="shared" si="896"/>
        <v>0</v>
      </c>
      <c r="AA67" s="81">
        <f t="shared" si="832"/>
        <v>0</v>
      </c>
      <c r="AB67" s="82">
        <f t="shared" si="897"/>
        <v>0</v>
      </c>
      <c r="AC67" s="83">
        <f t="shared" si="898"/>
        <v>0</v>
      </c>
      <c r="AD67" s="83">
        <f t="shared" si="899"/>
        <v>0</v>
      </c>
      <c r="AE67" s="84">
        <f t="shared" si="900"/>
        <v>0</v>
      </c>
      <c r="AF67" s="81">
        <f t="shared" si="833"/>
        <v>0</v>
      </c>
      <c r="AG67" s="82">
        <f t="shared" si="901"/>
        <v>0</v>
      </c>
      <c r="AH67" s="83">
        <f t="shared" si="902"/>
        <v>0</v>
      </c>
      <c r="AI67" s="83">
        <f t="shared" si="903"/>
        <v>0</v>
      </c>
      <c r="AJ67" s="84">
        <f t="shared" si="904"/>
        <v>0</v>
      </c>
      <c r="AK67" s="81">
        <f t="shared" si="838"/>
        <v>0</v>
      </c>
      <c r="AL67" s="82">
        <f t="shared" si="848"/>
        <v>0</v>
      </c>
      <c r="AM67" s="83">
        <f t="shared" si="849"/>
        <v>0</v>
      </c>
      <c r="AN67" s="83">
        <f t="shared" si="850"/>
        <v>-5</v>
      </c>
      <c r="AO67" s="84">
        <f t="shared" si="851"/>
        <v>0</v>
      </c>
      <c r="AP67" s="81">
        <f t="shared" si="839"/>
        <v>-5</v>
      </c>
      <c r="AQ67" s="82">
        <f t="shared" si="852"/>
        <v>0</v>
      </c>
      <c r="AR67" s="83">
        <f t="shared" si="853"/>
        <v>0</v>
      </c>
      <c r="AS67" s="83">
        <f t="shared" si="854"/>
        <v>0</v>
      </c>
      <c r="AT67" s="84">
        <f t="shared" si="855"/>
        <v>0</v>
      </c>
      <c r="AU67" s="81">
        <f t="shared" si="840"/>
        <v>0</v>
      </c>
      <c r="AV67" s="82">
        <f t="shared" si="856"/>
        <v>0</v>
      </c>
      <c r="AW67" s="83">
        <f t="shared" si="857"/>
        <v>0</v>
      </c>
      <c r="AX67" s="83">
        <f t="shared" si="858"/>
        <v>0</v>
      </c>
      <c r="AY67" s="84">
        <f t="shared" si="859"/>
        <v>0</v>
      </c>
      <c r="AZ67" s="81">
        <f t="shared" si="841"/>
        <v>0</v>
      </c>
      <c r="BA67" s="82">
        <f t="shared" si="860"/>
        <v>0</v>
      </c>
      <c r="BB67" s="83">
        <f t="shared" si="861"/>
        <v>0</v>
      </c>
      <c r="BC67" s="83">
        <f t="shared" si="862"/>
        <v>0</v>
      </c>
      <c r="BD67" s="84">
        <f t="shared" si="863"/>
        <v>0</v>
      </c>
      <c r="BE67" s="81">
        <f t="shared" si="842"/>
        <v>0</v>
      </c>
      <c r="BF67" s="1877"/>
      <c r="BG67" s="2005">
        <f t="shared" si="864"/>
        <v>0</v>
      </c>
      <c r="BH67" s="86">
        <f t="shared" si="905"/>
        <v>0</v>
      </c>
      <c r="BI67" s="87">
        <f t="shared" si="906"/>
        <v>0</v>
      </c>
      <c r="BJ67" s="87">
        <f t="shared" si="907"/>
        <v>0</v>
      </c>
      <c r="BK67" s="88">
        <f t="shared" si="908"/>
        <v>0</v>
      </c>
      <c r="BL67" s="85">
        <f t="shared" si="909"/>
        <v>0</v>
      </c>
      <c r="BM67" s="86">
        <f t="shared" si="910"/>
        <v>0</v>
      </c>
      <c r="BN67" s="87">
        <f t="shared" si="911"/>
        <v>0</v>
      </c>
      <c r="BO67" s="87">
        <f t="shared" si="912"/>
        <v>0</v>
      </c>
      <c r="BP67" s="88">
        <f t="shared" si="913"/>
        <v>0</v>
      </c>
      <c r="BQ67" s="85">
        <f t="shared" si="914"/>
        <v>0</v>
      </c>
      <c r="BR67" s="86">
        <f t="shared" si="915"/>
        <v>0</v>
      </c>
      <c r="BS67" s="87">
        <f t="shared" si="916"/>
        <v>0</v>
      </c>
      <c r="BT67" s="87">
        <f t="shared" si="917"/>
        <v>0</v>
      </c>
      <c r="BU67" s="88">
        <f t="shared" si="918"/>
        <v>0</v>
      </c>
      <c r="BV67" s="85">
        <f t="shared" si="919"/>
        <v>0</v>
      </c>
      <c r="BW67" s="86">
        <f t="shared" si="920"/>
        <v>0</v>
      </c>
      <c r="BX67" s="87">
        <f t="shared" si="921"/>
        <v>0</v>
      </c>
      <c r="BY67" s="87">
        <f t="shared" si="922"/>
        <v>0</v>
      </c>
      <c r="BZ67" s="88">
        <f t="shared" si="923"/>
        <v>0</v>
      </c>
      <c r="CA67" s="85">
        <f t="shared" si="924"/>
        <v>0</v>
      </c>
      <c r="CB67" s="86">
        <f t="shared" si="925"/>
        <v>0</v>
      </c>
      <c r="CC67" s="87">
        <f t="shared" si="926"/>
        <v>0</v>
      </c>
      <c r="CD67" s="87">
        <f t="shared" si="927"/>
        <v>0</v>
      </c>
      <c r="CE67" s="88">
        <f t="shared" si="928"/>
        <v>0</v>
      </c>
      <c r="CF67" s="85">
        <f t="shared" si="929"/>
        <v>0</v>
      </c>
      <c r="CG67" s="86">
        <f t="shared" si="865"/>
        <v>0</v>
      </c>
      <c r="CH67" s="87">
        <f t="shared" si="866"/>
        <v>0</v>
      </c>
      <c r="CI67" s="87">
        <f t="shared" si="867"/>
        <v>-2.7625000000000004E-2</v>
      </c>
      <c r="CJ67" s="88">
        <f t="shared" si="868"/>
        <v>-2.7625000000000004E-2</v>
      </c>
      <c r="CK67" s="85">
        <f t="shared" si="869"/>
        <v>-5.525E-2</v>
      </c>
      <c r="CL67" s="86">
        <f t="shared" si="870"/>
        <v>-2.7625000000000004E-2</v>
      </c>
      <c r="CM67" s="87">
        <f t="shared" si="871"/>
        <v>-2.7625000000000004E-2</v>
      </c>
      <c r="CN67" s="87">
        <f t="shared" si="872"/>
        <v>0</v>
      </c>
      <c r="CO67" s="88">
        <f t="shared" si="873"/>
        <v>0</v>
      </c>
      <c r="CP67" s="85">
        <f t="shared" si="874"/>
        <v>-5.5250000000000014E-2</v>
      </c>
      <c r="CQ67" s="86">
        <f t="shared" si="875"/>
        <v>0</v>
      </c>
      <c r="CR67" s="87">
        <f t="shared" si="876"/>
        <v>0</v>
      </c>
      <c r="CS67" s="87">
        <f t="shared" si="877"/>
        <v>0</v>
      </c>
      <c r="CT67" s="88">
        <f t="shared" si="878"/>
        <v>0</v>
      </c>
      <c r="CU67" s="85">
        <f t="shared" si="879"/>
        <v>0</v>
      </c>
      <c r="CV67" s="86">
        <f t="shared" si="880"/>
        <v>0</v>
      </c>
      <c r="CW67" s="87">
        <f t="shared" si="881"/>
        <v>0</v>
      </c>
      <c r="CX67" s="87">
        <f t="shared" si="882"/>
        <v>0</v>
      </c>
      <c r="CY67" s="88">
        <f t="shared" si="883"/>
        <v>0</v>
      </c>
      <c r="CZ67" s="85">
        <f t="shared" si="884"/>
        <v>0</v>
      </c>
      <c r="DA67" s="232"/>
      <c r="DB67" s="232"/>
      <c r="DC67" s="232"/>
      <c r="DD67" s="232"/>
      <c r="DE67" s="232"/>
      <c r="DF67" s="232"/>
      <c r="DG67" s="232"/>
      <c r="DH67" s="232"/>
      <c r="DI67" s="232"/>
      <c r="DJ67" s="232"/>
      <c r="DK67" s="232"/>
      <c r="DL67" s="232"/>
      <c r="DM67" s="232"/>
      <c r="DN67" s="232"/>
      <c r="DO67" s="232"/>
      <c r="DP67" s="232"/>
      <c r="DQ67" s="232"/>
      <c r="DR67" s="232"/>
      <c r="DS67" s="232"/>
      <c r="DT67" s="232"/>
      <c r="DU67" s="232"/>
      <c r="DV67" s="232"/>
      <c r="DW67" s="232"/>
      <c r="DX67" s="232"/>
      <c r="DY67" s="232"/>
      <c r="DZ67" s="232"/>
      <c r="EA67" s="232"/>
      <c r="EB67" s="232"/>
      <c r="EC67" s="232"/>
      <c r="ED67" s="232"/>
      <c r="EE67" s="232"/>
      <c r="EF67" s="232"/>
      <c r="EG67" s="232"/>
      <c r="EH67" s="232"/>
      <c r="EI67" s="232"/>
      <c r="EJ67" s="232"/>
      <c r="EK67" s="232"/>
      <c r="EL67" s="232"/>
      <c r="EM67" s="232"/>
      <c r="EN67" s="232"/>
      <c r="EO67" s="232"/>
      <c r="EP67" s="232"/>
      <c r="EQ67" s="232"/>
      <c r="ER67" s="232"/>
      <c r="ES67" s="232"/>
      <c r="ET67" s="232"/>
      <c r="EU67" s="232"/>
      <c r="EV67" s="232"/>
      <c r="EW67" s="232"/>
      <c r="EX67" s="232"/>
      <c r="EY67" s="232"/>
      <c r="EZ67" s="232"/>
      <c r="FA67" s="232"/>
      <c r="FB67" s="232"/>
      <c r="FC67" s="232"/>
      <c r="FD67" s="232"/>
      <c r="FE67" s="232"/>
      <c r="FF67" s="232"/>
      <c r="FG67" s="232"/>
      <c r="FH67" s="232"/>
      <c r="FI67" s="232"/>
      <c r="FJ67" s="232"/>
      <c r="FK67" s="232"/>
      <c r="FL67" s="232"/>
      <c r="FM67" s="232"/>
      <c r="FN67" s="232"/>
      <c r="FO67" s="232"/>
      <c r="FP67" s="232"/>
      <c r="FQ67" s="232"/>
      <c r="FR67" s="232"/>
      <c r="FS67" s="232"/>
      <c r="FT67" s="232"/>
      <c r="FU67" s="232"/>
      <c r="FV67" s="232"/>
      <c r="FW67" s="232"/>
      <c r="FX67" s="232"/>
      <c r="FY67" s="232"/>
      <c r="FZ67" s="232"/>
      <c r="GA67" s="232"/>
      <c r="GB67" s="232"/>
      <c r="GC67" s="232"/>
      <c r="GD67" s="232"/>
      <c r="GE67" s="232"/>
      <c r="GF67" s="232"/>
      <c r="GG67" s="232"/>
      <c r="GH67" s="232"/>
      <c r="GI67" s="232"/>
      <c r="GJ67" s="232"/>
      <c r="GK67" s="232"/>
      <c r="GL67" s="232"/>
      <c r="GM67" s="232"/>
      <c r="GN67" s="232"/>
      <c r="GO67" s="232"/>
      <c r="GP67" s="232"/>
      <c r="GQ67" s="232"/>
      <c r="GR67" s="232"/>
      <c r="GS67" s="232"/>
      <c r="GT67" s="232"/>
      <c r="GU67" s="232"/>
      <c r="GV67" s="232"/>
      <c r="GW67" s="232"/>
      <c r="GX67" s="232"/>
      <c r="GY67" s="232"/>
      <c r="GZ67" s="232"/>
      <c r="HA67" s="232"/>
      <c r="HB67" s="232"/>
      <c r="HC67" s="232"/>
      <c r="HD67" s="232"/>
      <c r="HE67" s="232"/>
      <c r="HF67" s="232"/>
      <c r="HG67" s="232"/>
      <c r="HH67" s="232"/>
      <c r="HI67" s="232"/>
      <c r="HJ67" s="232"/>
      <c r="HK67" s="232"/>
      <c r="HL67" s="232"/>
      <c r="HM67" s="232"/>
      <c r="HN67" s="232"/>
      <c r="HO67" s="232"/>
      <c r="HP67" s="232"/>
      <c r="HQ67" s="232"/>
      <c r="HR67" s="232"/>
      <c r="HS67" s="232"/>
      <c r="HT67" s="232"/>
      <c r="HU67" s="232"/>
      <c r="HV67" s="232"/>
      <c r="HW67" s="232"/>
      <c r="HX67" s="232"/>
      <c r="HY67" s="232"/>
      <c r="HZ67" s="232"/>
      <c r="IA67" s="232"/>
      <c r="IB67" s="232"/>
      <c r="IC67" s="232"/>
      <c r="ID67" s="232"/>
      <c r="IE67" s="232"/>
      <c r="IF67" s="232"/>
      <c r="IG67" s="232"/>
      <c r="IH67" s="232"/>
      <c r="II67" s="232"/>
      <c r="IJ67" s="232"/>
      <c r="IK67" s="232"/>
      <c r="IL67" s="232"/>
      <c r="IM67" s="232"/>
      <c r="IN67" s="232"/>
      <c r="IO67" s="232"/>
      <c r="IP67" s="232"/>
      <c r="IQ67" s="232"/>
      <c r="IR67" s="232"/>
      <c r="IS67" s="232"/>
      <c r="IT67" s="232"/>
      <c r="IU67" s="232"/>
      <c r="IV67" s="232"/>
      <c r="IW67" s="232"/>
      <c r="IX67" s="232"/>
      <c r="IY67" s="232"/>
      <c r="IZ67" s="232"/>
      <c r="JA67" s="232"/>
      <c r="JB67" s="232"/>
      <c r="JC67" s="232"/>
      <c r="JD67" s="232"/>
      <c r="JE67" s="232"/>
    </row>
    <row r="68" spans="1:265" ht="12.75" customHeight="1">
      <c r="A68" s="4"/>
      <c r="B68" s="4"/>
      <c r="C68" t="s">
        <v>679</v>
      </c>
      <c r="D68" s="2117"/>
      <c r="E68" s="1332">
        <f t="shared" si="828"/>
        <v>330</v>
      </c>
      <c r="F68" s="2314">
        <f>227+126-23</f>
        <v>330</v>
      </c>
      <c r="G68" s="1510">
        <f>227+126-23</f>
        <v>330</v>
      </c>
      <c r="H68" s="1334">
        <v>2037</v>
      </c>
      <c r="I68" s="1513">
        <f>+AVERAGE(2.72%,2.81%)</f>
        <v>2.7650000000000001E-2</v>
      </c>
      <c r="J68" s="1334">
        <v>1</v>
      </c>
      <c r="K68" s="80"/>
      <c r="L68" s="81">
        <f t="shared" si="829"/>
        <v>0</v>
      </c>
      <c r="M68" s="82">
        <f t="shared" si="885"/>
        <v>0</v>
      </c>
      <c r="N68" s="83">
        <f t="shared" si="886"/>
        <v>0</v>
      </c>
      <c r="O68" s="83">
        <f t="shared" si="887"/>
        <v>0</v>
      </c>
      <c r="P68" s="84">
        <f t="shared" si="888"/>
        <v>0</v>
      </c>
      <c r="Q68" s="81">
        <f t="shared" si="830"/>
        <v>0</v>
      </c>
      <c r="R68" s="82">
        <f t="shared" si="889"/>
        <v>0</v>
      </c>
      <c r="S68" s="83">
        <f t="shared" si="890"/>
        <v>0</v>
      </c>
      <c r="T68" s="83">
        <f t="shared" si="891"/>
        <v>0</v>
      </c>
      <c r="U68" s="84">
        <f t="shared" si="892"/>
        <v>0</v>
      </c>
      <c r="V68" s="81">
        <f t="shared" si="831"/>
        <v>0</v>
      </c>
      <c r="W68" s="82">
        <f t="shared" si="893"/>
        <v>0</v>
      </c>
      <c r="X68" s="83">
        <f t="shared" si="894"/>
        <v>0</v>
      </c>
      <c r="Y68" s="83">
        <f t="shared" si="895"/>
        <v>0</v>
      </c>
      <c r="Z68" s="84">
        <f t="shared" si="896"/>
        <v>0</v>
      </c>
      <c r="AA68" s="81">
        <f t="shared" si="832"/>
        <v>0</v>
      </c>
      <c r="AB68" s="82">
        <f t="shared" si="897"/>
        <v>0</v>
      </c>
      <c r="AC68" s="83">
        <f t="shared" si="898"/>
        <v>0</v>
      </c>
      <c r="AD68" s="83">
        <f t="shared" si="899"/>
        <v>0</v>
      </c>
      <c r="AE68" s="84">
        <f t="shared" si="900"/>
        <v>0</v>
      </c>
      <c r="AF68" s="81">
        <f t="shared" si="833"/>
        <v>0</v>
      </c>
      <c r="AG68" s="82">
        <f t="shared" si="901"/>
        <v>0</v>
      </c>
      <c r="AH68" s="83">
        <f t="shared" si="902"/>
        <v>0</v>
      </c>
      <c r="AI68" s="83">
        <f t="shared" si="903"/>
        <v>0</v>
      </c>
      <c r="AJ68" s="84">
        <f t="shared" si="904"/>
        <v>0</v>
      </c>
      <c r="AK68" s="81">
        <f t="shared" si="838"/>
        <v>0</v>
      </c>
      <c r="AL68" s="82">
        <f t="shared" si="848"/>
        <v>0</v>
      </c>
      <c r="AM68" s="83">
        <f t="shared" si="849"/>
        <v>0</v>
      </c>
      <c r="AN68" s="83">
        <f t="shared" si="850"/>
        <v>0</v>
      </c>
      <c r="AO68" s="84">
        <f t="shared" si="851"/>
        <v>0</v>
      </c>
      <c r="AP68" s="81">
        <f t="shared" si="839"/>
        <v>0</v>
      </c>
      <c r="AQ68" s="82">
        <f t="shared" si="852"/>
        <v>0</v>
      </c>
      <c r="AR68" s="83">
        <f t="shared" si="853"/>
        <v>0</v>
      </c>
      <c r="AS68" s="83">
        <f t="shared" si="854"/>
        <v>0</v>
      </c>
      <c r="AT68" s="84">
        <f t="shared" si="855"/>
        <v>0</v>
      </c>
      <c r="AU68" s="81">
        <f t="shared" si="840"/>
        <v>0</v>
      </c>
      <c r="AV68" s="82">
        <f t="shared" si="856"/>
        <v>0</v>
      </c>
      <c r="AW68" s="83">
        <f t="shared" si="857"/>
        <v>0</v>
      </c>
      <c r="AX68" s="83">
        <f t="shared" si="858"/>
        <v>0</v>
      </c>
      <c r="AY68" s="84">
        <f t="shared" si="859"/>
        <v>0</v>
      </c>
      <c r="AZ68" s="81">
        <f t="shared" si="841"/>
        <v>0</v>
      </c>
      <c r="BA68" s="82">
        <f t="shared" si="860"/>
        <v>0</v>
      </c>
      <c r="BB68" s="83">
        <f t="shared" si="861"/>
        <v>0</v>
      </c>
      <c r="BC68" s="83">
        <f t="shared" si="862"/>
        <v>0</v>
      </c>
      <c r="BD68" s="84">
        <f t="shared" si="863"/>
        <v>0</v>
      </c>
      <c r="BE68" s="81">
        <f t="shared" si="842"/>
        <v>0</v>
      </c>
      <c r="BF68" s="1877"/>
      <c r="BG68" s="2005">
        <f t="shared" si="864"/>
        <v>0</v>
      </c>
      <c r="BH68" s="86">
        <f t="shared" si="905"/>
        <v>0</v>
      </c>
      <c r="BI68" s="87">
        <f t="shared" si="906"/>
        <v>0</v>
      </c>
      <c r="BJ68" s="87">
        <f t="shared" si="907"/>
        <v>0</v>
      </c>
      <c r="BK68" s="88">
        <f t="shared" si="908"/>
        <v>0</v>
      </c>
      <c r="BL68" s="85">
        <f t="shared" si="909"/>
        <v>0</v>
      </c>
      <c r="BM68" s="86">
        <f t="shared" si="910"/>
        <v>0</v>
      </c>
      <c r="BN68" s="87">
        <f t="shared" si="911"/>
        <v>0</v>
      </c>
      <c r="BO68" s="87">
        <f t="shared" si="912"/>
        <v>0</v>
      </c>
      <c r="BP68" s="88">
        <f t="shared" si="913"/>
        <v>0</v>
      </c>
      <c r="BQ68" s="85">
        <f t="shared" si="914"/>
        <v>0</v>
      </c>
      <c r="BR68" s="86">
        <f t="shared" si="915"/>
        <v>0</v>
      </c>
      <c r="BS68" s="87">
        <f t="shared" si="916"/>
        <v>0</v>
      </c>
      <c r="BT68" s="87">
        <f t="shared" si="917"/>
        <v>0</v>
      </c>
      <c r="BU68" s="88">
        <f t="shared" si="918"/>
        <v>0</v>
      </c>
      <c r="BV68" s="85">
        <f t="shared" si="919"/>
        <v>0</v>
      </c>
      <c r="BW68" s="86">
        <f t="shared" si="920"/>
        <v>0</v>
      </c>
      <c r="BX68" s="87">
        <f t="shared" si="921"/>
        <v>0</v>
      </c>
      <c r="BY68" s="87">
        <f t="shared" si="922"/>
        <v>0</v>
      </c>
      <c r="BZ68" s="88">
        <f t="shared" si="923"/>
        <v>0</v>
      </c>
      <c r="CA68" s="85">
        <f t="shared" si="924"/>
        <v>0</v>
      </c>
      <c r="CB68" s="86">
        <f t="shared" si="925"/>
        <v>0</v>
      </c>
      <c r="CC68" s="87">
        <f t="shared" si="926"/>
        <v>0</v>
      </c>
      <c r="CD68" s="87">
        <f t="shared" si="927"/>
        <v>0</v>
      </c>
      <c r="CE68" s="88">
        <f t="shared" si="928"/>
        <v>0</v>
      </c>
      <c r="CF68" s="85">
        <f t="shared" si="929"/>
        <v>0</v>
      </c>
      <c r="CG68" s="86">
        <f t="shared" si="865"/>
        <v>0</v>
      </c>
      <c r="CH68" s="87">
        <f t="shared" si="866"/>
        <v>0</v>
      </c>
      <c r="CI68" s="87">
        <f t="shared" si="867"/>
        <v>0</v>
      </c>
      <c r="CJ68" s="88">
        <f t="shared" si="868"/>
        <v>0</v>
      </c>
      <c r="CK68" s="85">
        <f t="shared" si="869"/>
        <v>0</v>
      </c>
      <c r="CL68" s="86">
        <f t="shared" si="870"/>
        <v>0</v>
      </c>
      <c r="CM68" s="87">
        <f t="shared" si="871"/>
        <v>0</v>
      </c>
      <c r="CN68" s="87">
        <f t="shared" si="872"/>
        <v>0</v>
      </c>
      <c r="CO68" s="88">
        <f t="shared" si="873"/>
        <v>0</v>
      </c>
      <c r="CP68" s="85">
        <f t="shared" si="874"/>
        <v>0</v>
      </c>
      <c r="CQ68" s="86">
        <f t="shared" si="875"/>
        <v>0</v>
      </c>
      <c r="CR68" s="87">
        <f t="shared" si="876"/>
        <v>0</v>
      </c>
      <c r="CS68" s="87">
        <f t="shared" si="877"/>
        <v>0</v>
      </c>
      <c r="CT68" s="88">
        <f t="shared" si="878"/>
        <v>0</v>
      </c>
      <c r="CU68" s="85">
        <f t="shared" si="879"/>
        <v>0</v>
      </c>
      <c r="CV68" s="86">
        <f t="shared" si="880"/>
        <v>0</v>
      </c>
      <c r="CW68" s="87">
        <f t="shared" si="881"/>
        <v>0</v>
      </c>
      <c r="CX68" s="87">
        <f t="shared" si="882"/>
        <v>0</v>
      </c>
      <c r="CY68" s="88">
        <f t="shared" si="883"/>
        <v>0</v>
      </c>
      <c r="CZ68" s="85">
        <f t="shared" si="884"/>
        <v>0</v>
      </c>
      <c r="DA68" s="232"/>
      <c r="DB68" s="232"/>
      <c r="DC68" s="232"/>
      <c r="DD68" s="232"/>
      <c r="DE68" s="232"/>
      <c r="DF68" s="232"/>
      <c r="DG68" s="232"/>
      <c r="DH68" s="232"/>
      <c r="DI68" s="232"/>
      <c r="DJ68" s="232"/>
      <c r="DK68" s="232"/>
      <c r="DL68" s="232"/>
      <c r="DM68" s="232"/>
      <c r="DN68" s="232"/>
      <c r="DO68" s="232"/>
      <c r="DP68" s="232"/>
      <c r="DQ68" s="232"/>
      <c r="DR68" s="232"/>
      <c r="DS68" s="232"/>
      <c r="DT68" s="232"/>
      <c r="DU68" s="232"/>
      <c r="DV68" s="232"/>
      <c r="DW68" s="232"/>
      <c r="DX68" s="232"/>
      <c r="DY68" s="232"/>
      <c r="DZ68" s="232"/>
      <c r="EA68" s="232"/>
      <c r="EB68" s="232"/>
      <c r="EC68" s="232"/>
      <c r="ED68" s="232"/>
      <c r="EE68" s="232"/>
      <c r="EF68" s="232"/>
      <c r="EG68" s="232"/>
      <c r="EH68" s="232"/>
      <c r="EI68" s="232"/>
      <c r="EJ68" s="232"/>
      <c r="EK68" s="232"/>
      <c r="EL68" s="232"/>
      <c r="EM68" s="232"/>
      <c r="EN68" s="232"/>
      <c r="EO68" s="232"/>
      <c r="EP68" s="232"/>
      <c r="EQ68" s="232"/>
      <c r="ER68" s="232"/>
      <c r="ES68" s="232"/>
      <c r="ET68" s="232"/>
      <c r="EU68" s="232"/>
      <c r="EV68" s="232"/>
      <c r="EW68" s="232"/>
      <c r="EX68" s="232"/>
      <c r="EY68" s="232"/>
      <c r="EZ68" s="232"/>
      <c r="FA68" s="232"/>
      <c r="FB68" s="232"/>
      <c r="FC68" s="232"/>
      <c r="FD68" s="232"/>
      <c r="FE68" s="232"/>
      <c r="FF68" s="232"/>
      <c r="FG68" s="232"/>
      <c r="FH68" s="232"/>
      <c r="FI68" s="232"/>
      <c r="FJ68" s="232"/>
      <c r="FK68" s="232"/>
      <c r="FL68" s="232"/>
      <c r="FM68" s="232"/>
      <c r="FN68" s="232"/>
      <c r="FO68" s="232"/>
      <c r="FP68" s="232"/>
      <c r="FQ68" s="232"/>
      <c r="FR68" s="232"/>
      <c r="FS68" s="232"/>
      <c r="FT68" s="232"/>
      <c r="FU68" s="232"/>
      <c r="FV68" s="232"/>
      <c r="FW68" s="232"/>
      <c r="FX68" s="232"/>
      <c r="FY68" s="232"/>
      <c r="FZ68" s="232"/>
      <c r="GA68" s="232"/>
      <c r="GB68" s="232"/>
      <c r="GC68" s="232"/>
      <c r="GD68" s="232"/>
      <c r="GE68" s="232"/>
      <c r="GF68" s="232"/>
      <c r="GG68" s="232"/>
      <c r="GH68" s="232"/>
      <c r="GI68" s="232"/>
      <c r="GJ68" s="232"/>
      <c r="GK68" s="232"/>
      <c r="GL68" s="232"/>
      <c r="GM68" s="232"/>
      <c r="GN68" s="232"/>
      <c r="GO68" s="232"/>
      <c r="GP68" s="232"/>
      <c r="GQ68" s="232"/>
      <c r="GR68" s="232"/>
      <c r="GS68" s="232"/>
      <c r="GT68" s="232"/>
      <c r="GU68" s="232"/>
      <c r="GV68" s="232"/>
      <c r="GW68" s="232"/>
      <c r="GX68" s="232"/>
      <c r="GY68" s="232"/>
      <c r="GZ68" s="232"/>
      <c r="HA68" s="232"/>
      <c r="HB68" s="232"/>
      <c r="HC68" s="232"/>
      <c r="HD68" s="232"/>
      <c r="HE68" s="232"/>
      <c r="HF68" s="232"/>
      <c r="HG68" s="232"/>
      <c r="HH68" s="232"/>
      <c r="HI68" s="232"/>
      <c r="HJ68" s="232"/>
      <c r="HK68" s="232"/>
      <c r="HL68" s="232"/>
      <c r="HM68" s="232"/>
      <c r="HN68" s="232"/>
      <c r="HO68" s="232"/>
      <c r="HP68" s="232"/>
      <c r="HQ68" s="232"/>
      <c r="HR68" s="232"/>
      <c r="HS68" s="232"/>
      <c r="HT68" s="232"/>
      <c r="HU68" s="232"/>
      <c r="HV68" s="232"/>
      <c r="HW68" s="232"/>
      <c r="HX68" s="232"/>
      <c r="HY68" s="232"/>
      <c r="HZ68" s="232"/>
      <c r="IA68" s="232"/>
      <c r="IB68" s="232"/>
      <c r="IC68" s="232"/>
      <c r="ID68" s="232"/>
      <c r="IE68" s="232"/>
      <c r="IF68" s="232"/>
      <c r="IG68" s="232"/>
      <c r="IH68" s="232"/>
      <c r="II68" s="232"/>
      <c r="IJ68" s="232"/>
      <c r="IK68" s="232"/>
      <c r="IL68" s="232"/>
      <c r="IM68" s="232"/>
      <c r="IN68" s="232"/>
      <c r="IO68" s="232"/>
      <c r="IP68" s="232"/>
      <c r="IQ68" s="232"/>
      <c r="IR68" s="232"/>
      <c r="IS68" s="232"/>
      <c r="IT68" s="232"/>
      <c r="IU68" s="232"/>
      <c r="IV68" s="232"/>
      <c r="IW68" s="232"/>
      <c r="IX68" s="232"/>
      <c r="IY68" s="232"/>
      <c r="IZ68" s="232"/>
      <c r="JA68" s="232"/>
      <c r="JB68" s="232"/>
      <c r="JC68" s="232"/>
      <c r="JD68" s="232"/>
      <c r="JE68" s="232"/>
    </row>
    <row r="69" spans="1:265" ht="12.75" customHeight="1">
      <c r="A69" s="4"/>
      <c r="B69" s="4"/>
      <c r="C69" s="2000" t="s">
        <v>1437</v>
      </c>
      <c r="D69" s="2114"/>
      <c r="E69" s="1332">
        <f t="shared" si="828"/>
        <v>32</v>
      </c>
      <c r="F69" s="2314">
        <v>0</v>
      </c>
      <c r="G69" s="1510">
        <v>32</v>
      </c>
      <c r="H69" s="1334">
        <v>2017</v>
      </c>
      <c r="I69" s="1841">
        <v>0.03</v>
      </c>
      <c r="J69" s="1334">
        <v>11</v>
      </c>
      <c r="K69" s="80"/>
      <c r="L69" s="81">
        <f t="shared" si="829"/>
        <v>0</v>
      </c>
      <c r="M69" s="82">
        <f t="shared" si="885"/>
        <v>0</v>
      </c>
      <c r="N69" s="83">
        <f t="shared" si="886"/>
        <v>0</v>
      </c>
      <c r="O69" s="83">
        <f t="shared" si="887"/>
        <v>0</v>
      </c>
      <c r="P69" s="84">
        <f t="shared" si="888"/>
        <v>0</v>
      </c>
      <c r="Q69" s="81">
        <f t="shared" si="830"/>
        <v>0</v>
      </c>
      <c r="R69" s="82">
        <f t="shared" si="889"/>
        <v>0</v>
      </c>
      <c r="S69" s="83">
        <f t="shared" si="890"/>
        <v>0</v>
      </c>
      <c r="T69" s="83">
        <f t="shared" si="891"/>
        <v>0</v>
      </c>
      <c r="U69" s="84">
        <f t="shared" si="892"/>
        <v>0</v>
      </c>
      <c r="V69" s="81">
        <f t="shared" si="831"/>
        <v>0</v>
      </c>
      <c r="W69" s="82">
        <f t="shared" si="893"/>
        <v>0</v>
      </c>
      <c r="X69" s="83">
        <f t="shared" si="894"/>
        <v>0</v>
      </c>
      <c r="Y69" s="83">
        <f t="shared" si="895"/>
        <v>0</v>
      </c>
      <c r="Z69" s="84">
        <f t="shared" si="896"/>
        <v>0</v>
      </c>
      <c r="AA69" s="81">
        <f t="shared" si="832"/>
        <v>0</v>
      </c>
      <c r="AB69" s="82">
        <f t="shared" si="897"/>
        <v>0</v>
      </c>
      <c r="AC69" s="83">
        <f t="shared" si="898"/>
        <v>0</v>
      </c>
      <c r="AD69" s="83">
        <f t="shared" si="899"/>
        <v>0</v>
      </c>
      <c r="AE69" s="84">
        <f t="shared" si="900"/>
        <v>0</v>
      </c>
      <c r="AF69" s="81">
        <f t="shared" si="833"/>
        <v>0</v>
      </c>
      <c r="AG69" s="82">
        <f t="shared" si="901"/>
        <v>0</v>
      </c>
      <c r="AH69" s="83">
        <f t="shared" si="902"/>
        <v>0</v>
      </c>
      <c r="AI69" s="83">
        <f t="shared" si="903"/>
        <v>0</v>
      </c>
      <c r="AJ69" s="84">
        <f t="shared" si="904"/>
        <v>-32</v>
      </c>
      <c r="AK69" s="81">
        <f t="shared" si="838"/>
        <v>-32</v>
      </c>
      <c r="AL69" s="82">
        <f t="shared" si="848"/>
        <v>0</v>
      </c>
      <c r="AM69" s="83">
        <f t="shared" si="849"/>
        <v>0</v>
      </c>
      <c r="AN69" s="83">
        <f t="shared" si="850"/>
        <v>0</v>
      </c>
      <c r="AO69" s="84">
        <f t="shared" si="851"/>
        <v>0</v>
      </c>
      <c r="AP69" s="81">
        <f t="shared" si="839"/>
        <v>0</v>
      </c>
      <c r="AQ69" s="82">
        <f t="shared" si="852"/>
        <v>0</v>
      </c>
      <c r="AR69" s="83">
        <f t="shared" si="853"/>
        <v>0</v>
      </c>
      <c r="AS69" s="83">
        <f t="shared" si="854"/>
        <v>0</v>
      </c>
      <c r="AT69" s="84">
        <f t="shared" si="855"/>
        <v>0</v>
      </c>
      <c r="AU69" s="81">
        <f t="shared" si="840"/>
        <v>0</v>
      </c>
      <c r="AV69" s="82">
        <f t="shared" si="856"/>
        <v>0</v>
      </c>
      <c r="AW69" s="83">
        <f t="shared" si="857"/>
        <v>0</v>
      </c>
      <c r="AX69" s="83">
        <f t="shared" si="858"/>
        <v>0</v>
      </c>
      <c r="AY69" s="84">
        <f t="shared" si="859"/>
        <v>0</v>
      </c>
      <c r="AZ69" s="81">
        <f t="shared" si="841"/>
        <v>0</v>
      </c>
      <c r="BA69" s="82">
        <f t="shared" si="860"/>
        <v>0</v>
      </c>
      <c r="BB69" s="83">
        <f t="shared" si="861"/>
        <v>0</v>
      </c>
      <c r="BC69" s="83">
        <f t="shared" si="862"/>
        <v>0</v>
      </c>
      <c r="BD69" s="84">
        <f t="shared" si="863"/>
        <v>0</v>
      </c>
      <c r="BE69" s="81">
        <f t="shared" si="842"/>
        <v>0</v>
      </c>
      <c r="BF69" s="1877"/>
      <c r="BG69" s="2005">
        <f t="shared" si="864"/>
        <v>0</v>
      </c>
      <c r="BH69" s="86">
        <f t="shared" si="905"/>
        <v>0</v>
      </c>
      <c r="BI69" s="87">
        <f t="shared" si="906"/>
        <v>0</v>
      </c>
      <c r="BJ69" s="87">
        <f t="shared" si="907"/>
        <v>0</v>
      </c>
      <c r="BK69" s="88">
        <f t="shared" si="908"/>
        <v>0</v>
      </c>
      <c r="BL69" s="85">
        <f t="shared" si="909"/>
        <v>0</v>
      </c>
      <c r="BM69" s="86">
        <f t="shared" si="910"/>
        <v>0</v>
      </c>
      <c r="BN69" s="87">
        <f t="shared" si="911"/>
        <v>0</v>
      </c>
      <c r="BO69" s="87">
        <f t="shared" si="912"/>
        <v>0</v>
      </c>
      <c r="BP69" s="88">
        <f t="shared" si="913"/>
        <v>0</v>
      </c>
      <c r="BQ69" s="85">
        <f t="shared" si="914"/>
        <v>0</v>
      </c>
      <c r="BR69" s="86">
        <f t="shared" si="915"/>
        <v>0</v>
      </c>
      <c r="BS69" s="87">
        <f t="shared" si="916"/>
        <v>0</v>
      </c>
      <c r="BT69" s="87">
        <f t="shared" si="917"/>
        <v>0</v>
      </c>
      <c r="BU69" s="88">
        <f t="shared" si="918"/>
        <v>0</v>
      </c>
      <c r="BV69" s="85">
        <f t="shared" si="919"/>
        <v>0</v>
      </c>
      <c r="BW69" s="86">
        <f t="shared" si="920"/>
        <v>0</v>
      </c>
      <c r="BX69" s="87">
        <f t="shared" si="921"/>
        <v>0</v>
      </c>
      <c r="BY69" s="87">
        <f t="shared" si="922"/>
        <v>0</v>
      </c>
      <c r="BZ69" s="88">
        <f t="shared" si="923"/>
        <v>0</v>
      </c>
      <c r="CA69" s="85">
        <f t="shared" si="924"/>
        <v>0</v>
      </c>
      <c r="CB69" s="86">
        <f t="shared" si="925"/>
        <v>0</v>
      </c>
      <c r="CC69" s="87">
        <f t="shared" si="926"/>
        <v>0</v>
      </c>
      <c r="CD69" s="87">
        <f t="shared" si="927"/>
        <v>0</v>
      </c>
      <c r="CE69" s="88">
        <f t="shared" si="928"/>
        <v>-0.16</v>
      </c>
      <c r="CF69" s="85">
        <f t="shared" si="929"/>
        <v>-0.16</v>
      </c>
      <c r="CG69" s="86">
        <f t="shared" si="865"/>
        <v>-0.24</v>
      </c>
      <c r="CH69" s="87">
        <f t="shared" si="866"/>
        <v>-0.24</v>
      </c>
      <c r="CI69" s="87">
        <f t="shared" si="867"/>
        <v>-0.24</v>
      </c>
      <c r="CJ69" s="88">
        <f t="shared" si="868"/>
        <v>-0.08</v>
      </c>
      <c r="CK69" s="85">
        <f t="shared" si="869"/>
        <v>-0.79999999999999993</v>
      </c>
      <c r="CL69" s="86">
        <f t="shared" si="870"/>
        <v>0</v>
      </c>
      <c r="CM69" s="87">
        <f t="shared" si="871"/>
        <v>0</v>
      </c>
      <c r="CN69" s="87">
        <f t="shared" si="872"/>
        <v>0</v>
      </c>
      <c r="CO69" s="88">
        <f t="shared" si="873"/>
        <v>0</v>
      </c>
      <c r="CP69" s="85">
        <f t="shared" si="874"/>
        <v>0</v>
      </c>
      <c r="CQ69" s="86">
        <f t="shared" si="875"/>
        <v>0</v>
      </c>
      <c r="CR69" s="87">
        <f t="shared" si="876"/>
        <v>0</v>
      </c>
      <c r="CS69" s="87">
        <f t="shared" si="877"/>
        <v>0</v>
      </c>
      <c r="CT69" s="88">
        <f t="shared" si="878"/>
        <v>0</v>
      </c>
      <c r="CU69" s="85">
        <f t="shared" si="879"/>
        <v>0</v>
      </c>
      <c r="CV69" s="86">
        <f t="shared" si="880"/>
        <v>0</v>
      </c>
      <c r="CW69" s="87">
        <f t="shared" si="881"/>
        <v>0</v>
      </c>
      <c r="CX69" s="87">
        <f t="shared" si="882"/>
        <v>0</v>
      </c>
      <c r="CY69" s="88">
        <f t="shared" si="883"/>
        <v>0</v>
      </c>
      <c r="CZ69" s="85">
        <f t="shared" si="884"/>
        <v>0</v>
      </c>
      <c r="DA69" s="232"/>
      <c r="DB69" s="232"/>
      <c r="DC69" s="232"/>
      <c r="DD69" s="232"/>
      <c r="DE69" s="232"/>
      <c r="DF69" s="232"/>
      <c r="DG69" s="232"/>
      <c r="DH69" s="232"/>
      <c r="DI69" s="232"/>
      <c r="DJ69" s="232"/>
      <c r="DK69" s="232"/>
      <c r="DL69" s="232"/>
      <c r="DM69" s="232"/>
      <c r="DN69" s="232"/>
      <c r="DO69" s="232"/>
      <c r="DP69" s="232"/>
      <c r="DQ69" s="232"/>
      <c r="DR69" s="232"/>
      <c r="DS69" s="232"/>
      <c r="DT69" s="232"/>
      <c r="DU69" s="232"/>
      <c r="DV69" s="232"/>
      <c r="DW69" s="232"/>
      <c r="DX69" s="232"/>
      <c r="DY69" s="232"/>
      <c r="DZ69" s="232"/>
      <c r="EA69" s="232"/>
      <c r="EB69" s="232"/>
      <c r="EC69" s="232"/>
      <c r="ED69" s="232"/>
      <c r="EE69" s="232"/>
      <c r="EF69" s="232"/>
      <c r="EG69" s="232"/>
      <c r="EH69" s="232"/>
      <c r="EI69" s="232"/>
      <c r="EJ69" s="232"/>
      <c r="EK69" s="232"/>
      <c r="EL69" s="232"/>
      <c r="EM69" s="232"/>
      <c r="EN69" s="232"/>
      <c r="EO69" s="232"/>
      <c r="EP69" s="232"/>
      <c r="EQ69" s="232"/>
      <c r="ER69" s="232"/>
      <c r="ES69" s="232"/>
      <c r="ET69" s="232"/>
      <c r="EU69" s="232"/>
      <c r="EV69" s="232"/>
      <c r="EW69" s="232"/>
      <c r="EX69" s="232"/>
      <c r="EY69" s="232"/>
      <c r="EZ69" s="232"/>
      <c r="FA69" s="232"/>
      <c r="FB69" s="232"/>
      <c r="FC69" s="232"/>
      <c r="FD69" s="232"/>
      <c r="FE69" s="232"/>
      <c r="FF69" s="232"/>
      <c r="FG69" s="232"/>
      <c r="FH69" s="232"/>
      <c r="FI69" s="232"/>
      <c r="FJ69" s="232"/>
      <c r="FK69" s="232"/>
      <c r="FL69" s="232"/>
      <c r="FM69" s="232"/>
      <c r="FN69" s="232"/>
      <c r="FO69" s="232"/>
      <c r="FP69" s="232"/>
      <c r="FQ69" s="232"/>
      <c r="FR69" s="232"/>
      <c r="FS69" s="232"/>
      <c r="FT69" s="232"/>
      <c r="FU69" s="232"/>
      <c r="FV69" s="232"/>
      <c r="FW69" s="232"/>
      <c r="FX69" s="232"/>
      <c r="FY69" s="232"/>
      <c r="FZ69" s="232"/>
      <c r="GA69" s="232"/>
      <c r="GB69" s="232"/>
      <c r="GC69" s="232"/>
      <c r="GD69" s="232"/>
      <c r="GE69" s="232"/>
      <c r="GF69" s="232"/>
      <c r="GG69" s="232"/>
      <c r="GH69" s="232"/>
      <c r="GI69" s="232"/>
      <c r="GJ69" s="232"/>
      <c r="GK69" s="232"/>
      <c r="GL69" s="232"/>
      <c r="GM69" s="232"/>
      <c r="GN69" s="232"/>
      <c r="GO69" s="232"/>
      <c r="GP69" s="232"/>
      <c r="GQ69" s="232"/>
      <c r="GR69" s="232"/>
      <c r="GS69" s="232"/>
      <c r="GT69" s="232"/>
      <c r="GU69" s="232"/>
      <c r="GV69" s="232"/>
      <c r="GW69" s="232"/>
      <c r="GX69" s="232"/>
      <c r="GY69" s="232"/>
      <c r="GZ69" s="232"/>
      <c r="HA69" s="232"/>
      <c r="HB69" s="232"/>
      <c r="HC69" s="232"/>
      <c r="HD69" s="232"/>
      <c r="HE69" s="232"/>
      <c r="HF69" s="232"/>
      <c r="HG69" s="232"/>
      <c r="HH69" s="232"/>
      <c r="HI69" s="232"/>
      <c r="HJ69" s="232"/>
      <c r="HK69" s="232"/>
      <c r="HL69" s="232"/>
      <c r="HM69" s="232"/>
      <c r="HN69" s="232"/>
      <c r="HO69" s="232"/>
      <c r="HP69" s="232"/>
      <c r="HQ69" s="232"/>
      <c r="HR69" s="232"/>
      <c r="HS69" s="232"/>
      <c r="HT69" s="232"/>
      <c r="HU69" s="232"/>
      <c r="HV69" s="232"/>
      <c r="HW69" s="232"/>
      <c r="HX69" s="232"/>
      <c r="HY69" s="232"/>
      <c r="HZ69" s="232"/>
      <c r="IA69" s="232"/>
      <c r="IB69" s="232"/>
      <c r="IC69" s="232"/>
      <c r="ID69" s="232"/>
      <c r="IE69" s="232"/>
      <c r="IF69" s="232"/>
      <c r="IG69" s="232"/>
      <c r="IH69" s="232"/>
      <c r="II69" s="232"/>
      <c r="IJ69" s="232"/>
      <c r="IK69" s="232"/>
      <c r="IL69" s="232"/>
      <c r="IM69" s="232"/>
      <c r="IN69" s="232"/>
      <c r="IO69" s="232"/>
      <c r="IP69" s="232"/>
      <c r="IQ69" s="232"/>
      <c r="IR69" s="232"/>
      <c r="IS69" s="232"/>
      <c r="IT69" s="232"/>
      <c r="IU69" s="232"/>
      <c r="IV69" s="232"/>
      <c r="IW69" s="232"/>
      <c r="IX69" s="232"/>
      <c r="IY69" s="232"/>
      <c r="IZ69" s="232"/>
      <c r="JA69" s="232"/>
      <c r="JB69" s="232"/>
      <c r="JC69" s="232"/>
      <c r="JD69" s="232"/>
      <c r="JE69" s="232"/>
    </row>
    <row r="70" spans="1:265" ht="12.75" customHeight="1">
      <c r="A70" s="4"/>
      <c r="B70" s="4"/>
      <c r="C70" s="2000" t="s">
        <v>1437</v>
      </c>
      <c r="D70" s="2114"/>
      <c r="E70" s="1332">
        <f t="shared" si="828"/>
        <v>23</v>
      </c>
      <c r="F70" s="2314">
        <v>0</v>
      </c>
      <c r="G70" s="1510">
        <f>86-G69-G71</f>
        <v>23</v>
      </c>
      <c r="H70" s="1334">
        <v>2017</v>
      </c>
      <c r="I70" s="1841">
        <v>0.03</v>
      </c>
      <c r="J70" s="1334">
        <v>11</v>
      </c>
      <c r="K70" s="80"/>
      <c r="L70" s="81">
        <f t="shared" si="829"/>
        <v>0</v>
      </c>
      <c r="M70" s="82">
        <f t="shared" si="885"/>
        <v>0</v>
      </c>
      <c r="N70" s="83">
        <f t="shared" si="886"/>
        <v>0</v>
      </c>
      <c r="O70" s="83">
        <f t="shared" si="887"/>
        <v>0</v>
      </c>
      <c r="P70" s="84">
        <f t="shared" si="888"/>
        <v>0</v>
      </c>
      <c r="Q70" s="81">
        <f t="shared" si="830"/>
        <v>0</v>
      </c>
      <c r="R70" s="82">
        <f t="shared" si="889"/>
        <v>0</v>
      </c>
      <c r="S70" s="83">
        <f t="shared" si="890"/>
        <v>0</v>
      </c>
      <c r="T70" s="83">
        <f t="shared" si="891"/>
        <v>0</v>
      </c>
      <c r="U70" s="84">
        <f t="shared" si="892"/>
        <v>0</v>
      </c>
      <c r="V70" s="81">
        <f t="shared" si="831"/>
        <v>0</v>
      </c>
      <c r="W70" s="82">
        <f t="shared" si="893"/>
        <v>0</v>
      </c>
      <c r="X70" s="83">
        <f t="shared" si="894"/>
        <v>0</v>
      </c>
      <c r="Y70" s="83">
        <f t="shared" si="895"/>
        <v>0</v>
      </c>
      <c r="Z70" s="84">
        <f t="shared" si="896"/>
        <v>0</v>
      </c>
      <c r="AA70" s="81">
        <f t="shared" si="832"/>
        <v>0</v>
      </c>
      <c r="AB70" s="82">
        <f t="shared" si="897"/>
        <v>0</v>
      </c>
      <c r="AC70" s="83">
        <f t="shared" si="898"/>
        <v>0</v>
      </c>
      <c r="AD70" s="83">
        <f t="shared" si="899"/>
        <v>0</v>
      </c>
      <c r="AE70" s="84">
        <f t="shared" si="900"/>
        <v>0</v>
      </c>
      <c r="AF70" s="81">
        <f t="shared" si="833"/>
        <v>0</v>
      </c>
      <c r="AG70" s="82">
        <f t="shared" si="901"/>
        <v>0</v>
      </c>
      <c r="AH70" s="83">
        <f t="shared" si="902"/>
        <v>0</v>
      </c>
      <c r="AI70" s="83">
        <f t="shared" si="903"/>
        <v>0</v>
      </c>
      <c r="AJ70" s="84">
        <f t="shared" si="904"/>
        <v>-23</v>
      </c>
      <c r="AK70" s="81">
        <f t="shared" si="838"/>
        <v>-23</v>
      </c>
      <c r="AL70" s="82">
        <f t="shared" si="848"/>
        <v>0</v>
      </c>
      <c r="AM70" s="83">
        <f t="shared" si="849"/>
        <v>0</v>
      </c>
      <c r="AN70" s="83">
        <f t="shared" si="850"/>
        <v>0</v>
      </c>
      <c r="AO70" s="84">
        <f t="shared" si="851"/>
        <v>0</v>
      </c>
      <c r="AP70" s="81">
        <f t="shared" si="839"/>
        <v>0</v>
      </c>
      <c r="AQ70" s="82">
        <f t="shared" si="852"/>
        <v>0</v>
      </c>
      <c r="AR70" s="83">
        <f t="shared" si="853"/>
        <v>0</v>
      </c>
      <c r="AS70" s="83">
        <f t="shared" si="854"/>
        <v>0</v>
      </c>
      <c r="AT70" s="84">
        <f t="shared" si="855"/>
        <v>0</v>
      </c>
      <c r="AU70" s="81">
        <f t="shared" si="840"/>
        <v>0</v>
      </c>
      <c r="AV70" s="82">
        <f t="shared" si="856"/>
        <v>0</v>
      </c>
      <c r="AW70" s="83">
        <f t="shared" si="857"/>
        <v>0</v>
      </c>
      <c r="AX70" s="83">
        <f t="shared" si="858"/>
        <v>0</v>
      </c>
      <c r="AY70" s="84">
        <f t="shared" si="859"/>
        <v>0</v>
      </c>
      <c r="AZ70" s="81">
        <f t="shared" si="841"/>
        <v>0</v>
      </c>
      <c r="BA70" s="82">
        <f t="shared" si="860"/>
        <v>0</v>
      </c>
      <c r="BB70" s="83">
        <f t="shared" si="861"/>
        <v>0</v>
      </c>
      <c r="BC70" s="83">
        <f t="shared" si="862"/>
        <v>0</v>
      </c>
      <c r="BD70" s="84">
        <f t="shared" si="863"/>
        <v>0</v>
      </c>
      <c r="BE70" s="81">
        <f t="shared" si="842"/>
        <v>0</v>
      </c>
      <c r="BF70" s="1877"/>
      <c r="BG70" s="2005">
        <f t="shared" si="864"/>
        <v>0</v>
      </c>
      <c r="BH70" s="86">
        <f t="shared" si="905"/>
        <v>0</v>
      </c>
      <c r="BI70" s="87">
        <f t="shared" si="906"/>
        <v>0</v>
      </c>
      <c r="BJ70" s="87">
        <f t="shared" si="907"/>
        <v>0</v>
      </c>
      <c r="BK70" s="88">
        <f t="shared" si="908"/>
        <v>0</v>
      </c>
      <c r="BL70" s="85">
        <f t="shared" si="909"/>
        <v>0</v>
      </c>
      <c r="BM70" s="86">
        <f t="shared" si="910"/>
        <v>0</v>
      </c>
      <c r="BN70" s="87">
        <f t="shared" si="911"/>
        <v>0</v>
      </c>
      <c r="BO70" s="87">
        <f t="shared" si="912"/>
        <v>0</v>
      </c>
      <c r="BP70" s="88">
        <f t="shared" si="913"/>
        <v>0</v>
      </c>
      <c r="BQ70" s="85">
        <f t="shared" si="914"/>
        <v>0</v>
      </c>
      <c r="BR70" s="86">
        <f t="shared" si="915"/>
        <v>0</v>
      </c>
      <c r="BS70" s="87">
        <f t="shared" si="916"/>
        <v>0</v>
      </c>
      <c r="BT70" s="87">
        <f t="shared" si="917"/>
        <v>0</v>
      </c>
      <c r="BU70" s="88">
        <f t="shared" si="918"/>
        <v>0</v>
      </c>
      <c r="BV70" s="85">
        <f t="shared" si="919"/>
        <v>0</v>
      </c>
      <c r="BW70" s="86">
        <f t="shared" si="920"/>
        <v>0</v>
      </c>
      <c r="BX70" s="87">
        <f t="shared" si="921"/>
        <v>0</v>
      </c>
      <c r="BY70" s="87">
        <f t="shared" si="922"/>
        <v>0</v>
      </c>
      <c r="BZ70" s="88">
        <f t="shared" si="923"/>
        <v>0</v>
      </c>
      <c r="CA70" s="85">
        <f t="shared" si="924"/>
        <v>0</v>
      </c>
      <c r="CB70" s="86">
        <f t="shared" si="925"/>
        <v>0</v>
      </c>
      <c r="CC70" s="87">
        <f t="shared" si="926"/>
        <v>0</v>
      </c>
      <c r="CD70" s="87">
        <f t="shared" si="927"/>
        <v>0</v>
      </c>
      <c r="CE70" s="88">
        <f t="shared" si="928"/>
        <v>-0.11499999999999999</v>
      </c>
      <c r="CF70" s="85">
        <f t="shared" si="929"/>
        <v>-0.11499999999999999</v>
      </c>
      <c r="CG70" s="86">
        <f t="shared" si="865"/>
        <v>-0.17249999999999999</v>
      </c>
      <c r="CH70" s="87">
        <f t="shared" si="866"/>
        <v>-0.17249999999999999</v>
      </c>
      <c r="CI70" s="87">
        <f t="shared" si="867"/>
        <v>-0.17249999999999999</v>
      </c>
      <c r="CJ70" s="88">
        <f t="shared" si="868"/>
        <v>-5.7499999999999996E-2</v>
      </c>
      <c r="CK70" s="85">
        <f t="shared" si="869"/>
        <v>-0.57499999999999996</v>
      </c>
      <c r="CL70" s="86">
        <f t="shared" si="870"/>
        <v>0</v>
      </c>
      <c r="CM70" s="87">
        <f t="shared" si="871"/>
        <v>0</v>
      </c>
      <c r="CN70" s="87">
        <f t="shared" si="872"/>
        <v>0</v>
      </c>
      <c r="CO70" s="88">
        <f t="shared" si="873"/>
        <v>0</v>
      </c>
      <c r="CP70" s="85">
        <f t="shared" si="874"/>
        <v>0</v>
      </c>
      <c r="CQ70" s="86">
        <f t="shared" si="875"/>
        <v>0</v>
      </c>
      <c r="CR70" s="87">
        <f t="shared" si="876"/>
        <v>0</v>
      </c>
      <c r="CS70" s="87">
        <f t="shared" si="877"/>
        <v>0</v>
      </c>
      <c r="CT70" s="88">
        <f t="shared" si="878"/>
        <v>0</v>
      </c>
      <c r="CU70" s="85">
        <f t="shared" si="879"/>
        <v>0</v>
      </c>
      <c r="CV70" s="86">
        <f t="shared" si="880"/>
        <v>0</v>
      </c>
      <c r="CW70" s="87">
        <f t="shared" si="881"/>
        <v>0</v>
      </c>
      <c r="CX70" s="87">
        <f t="shared" si="882"/>
        <v>0</v>
      </c>
      <c r="CY70" s="88">
        <f t="shared" si="883"/>
        <v>0</v>
      </c>
      <c r="CZ70" s="85">
        <f t="shared" si="884"/>
        <v>0</v>
      </c>
      <c r="DA70" s="232"/>
      <c r="DB70" s="232"/>
      <c r="DC70" s="232"/>
      <c r="DD70" s="232"/>
      <c r="DE70" s="232"/>
      <c r="DF70" s="232"/>
      <c r="DG70" s="232"/>
      <c r="DH70" s="232"/>
      <c r="DI70" s="232"/>
      <c r="DJ70" s="232"/>
      <c r="DK70" s="232"/>
      <c r="DL70" s="232"/>
      <c r="DM70" s="232"/>
      <c r="DN70" s="232"/>
      <c r="DO70" s="232"/>
      <c r="DP70" s="232"/>
      <c r="DQ70" s="232"/>
      <c r="DR70" s="232"/>
      <c r="DS70" s="232"/>
      <c r="DT70" s="232"/>
      <c r="DU70" s="232"/>
      <c r="DV70" s="232"/>
      <c r="DW70" s="232"/>
      <c r="DX70" s="232"/>
      <c r="DY70" s="232"/>
      <c r="DZ70" s="232"/>
      <c r="EA70" s="232"/>
      <c r="EB70" s="232"/>
      <c r="EC70" s="232"/>
      <c r="ED70" s="232"/>
      <c r="EE70" s="232"/>
      <c r="EF70" s="232"/>
      <c r="EG70" s="232"/>
      <c r="EH70" s="232"/>
      <c r="EI70" s="232"/>
      <c r="EJ70" s="232"/>
      <c r="EK70" s="232"/>
      <c r="EL70" s="232"/>
      <c r="EM70" s="232"/>
      <c r="EN70" s="232"/>
      <c r="EO70" s="232"/>
      <c r="EP70" s="232"/>
      <c r="EQ70" s="232"/>
      <c r="ER70" s="232"/>
      <c r="ES70" s="232"/>
      <c r="ET70" s="232"/>
      <c r="EU70" s="232"/>
      <c r="EV70" s="232"/>
      <c r="EW70" s="232"/>
      <c r="EX70" s="232"/>
      <c r="EY70" s="232"/>
      <c r="EZ70" s="232"/>
      <c r="FA70" s="232"/>
      <c r="FB70" s="232"/>
      <c r="FC70" s="232"/>
      <c r="FD70" s="232"/>
      <c r="FE70" s="232"/>
      <c r="FF70" s="232"/>
      <c r="FG70" s="232"/>
      <c r="FH70" s="232"/>
      <c r="FI70" s="232"/>
      <c r="FJ70" s="232"/>
      <c r="FK70" s="232"/>
      <c r="FL70" s="232"/>
      <c r="FM70" s="232"/>
      <c r="FN70" s="232"/>
      <c r="FO70" s="232"/>
      <c r="FP70" s="232"/>
      <c r="FQ70" s="232"/>
      <c r="FR70" s="232"/>
      <c r="FS70" s="232"/>
      <c r="FT70" s="232"/>
      <c r="FU70" s="232"/>
      <c r="FV70" s="232"/>
      <c r="FW70" s="232"/>
      <c r="FX70" s="232"/>
      <c r="FY70" s="232"/>
      <c r="FZ70" s="232"/>
      <c r="GA70" s="232"/>
      <c r="GB70" s="232"/>
      <c r="GC70" s="232"/>
      <c r="GD70" s="232"/>
      <c r="GE70" s="232"/>
      <c r="GF70" s="232"/>
      <c r="GG70" s="232"/>
      <c r="GH70" s="232"/>
      <c r="GI70" s="232"/>
      <c r="GJ70" s="232"/>
      <c r="GK70" s="232"/>
      <c r="GL70" s="232"/>
      <c r="GM70" s="232"/>
      <c r="GN70" s="232"/>
      <c r="GO70" s="232"/>
      <c r="GP70" s="232"/>
      <c r="GQ70" s="232"/>
      <c r="GR70" s="232"/>
      <c r="GS70" s="232"/>
      <c r="GT70" s="232"/>
      <c r="GU70" s="232"/>
      <c r="GV70" s="232"/>
      <c r="GW70" s="232"/>
      <c r="GX70" s="232"/>
      <c r="GY70" s="232"/>
      <c r="GZ70" s="232"/>
      <c r="HA70" s="232"/>
      <c r="HB70" s="232"/>
      <c r="HC70" s="232"/>
      <c r="HD70" s="232"/>
      <c r="HE70" s="232"/>
      <c r="HF70" s="232"/>
      <c r="HG70" s="232"/>
      <c r="HH70" s="232"/>
      <c r="HI70" s="232"/>
      <c r="HJ70" s="232"/>
      <c r="HK70" s="232"/>
      <c r="HL70" s="232"/>
      <c r="HM70" s="232"/>
      <c r="HN70" s="232"/>
      <c r="HO70" s="232"/>
      <c r="HP70" s="232"/>
      <c r="HQ70" s="232"/>
      <c r="HR70" s="232"/>
      <c r="HS70" s="232"/>
      <c r="HT70" s="232"/>
      <c r="HU70" s="232"/>
      <c r="HV70" s="232"/>
      <c r="HW70" s="232"/>
      <c r="HX70" s="232"/>
      <c r="HY70" s="232"/>
      <c r="HZ70" s="232"/>
      <c r="IA70" s="232"/>
      <c r="IB70" s="232"/>
      <c r="IC70" s="232"/>
      <c r="ID70" s="232"/>
      <c r="IE70" s="232"/>
      <c r="IF70" s="232"/>
      <c r="IG70" s="232"/>
      <c r="IH70" s="232"/>
      <c r="II70" s="232"/>
      <c r="IJ70" s="232"/>
      <c r="IK70" s="232"/>
      <c r="IL70" s="232"/>
      <c r="IM70" s="232"/>
      <c r="IN70" s="232"/>
      <c r="IO70" s="232"/>
      <c r="IP70" s="232"/>
      <c r="IQ70" s="232"/>
      <c r="IR70" s="232"/>
      <c r="IS70" s="232"/>
      <c r="IT70" s="232"/>
      <c r="IU70" s="232"/>
      <c r="IV70" s="232"/>
      <c r="IW70" s="232"/>
      <c r="IX70" s="232"/>
      <c r="IY70" s="232"/>
      <c r="IZ70" s="232"/>
      <c r="JA70" s="232"/>
      <c r="JB70" s="232"/>
      <c r="JC70" s="232"/>
      <c r="JD70" s="232"/>
      <c r="JE70" s="232"/>
    </row>
    <row r="71" spans="1:265" ht="12.75" customHeight="1">
      <c r="A71" s="4"/>
      <c r="B71" s="4"/>
      <c r="C71" s="2000" t="s">
        <v>1437</v>
      </c>
      <c r="D71" s="2114"/>
      <c r="E71" s="1332">
        <f t="shared" si="828"/>
        <v>31</v>
      </c>
      <c r="F71" s="2314">
        <v>0</v>
      </c>
      <c r="G71" s="1510">
        <f>63-G69</f>
        <v>31</v>
      </c>
      <c r="H71" s="1334">
        <v>2017</v>
      </c>
      <c r="I71" s="1841">
        <v>0.03</v>
      </c>
      <c r="J71" s="1334">
        <v>11</v>
      </c>
      <c r="K71" s="80"/>
      <c r="L71" s="81">
        <f t="shared" ref="L71:L72" si="930">IF(L$5=$H71,$E71,0)</f>
        <v>0</v>
      </c>
      <c r="M71" s="82">
        <f t="shared" ref="M71:M72" si="931">IF(Q71=0,0,IF(Q71&gt;0,IF($J71=3,Q71,IF($J71=2,Q71,IF($J71=1,Q71,0)))))</f>
        <v>0</v>
      </c>
      <c r="N71" s="83">
        <f t="shared" ref="N71:N72" si="932">IF(Q71=0,0,IF(Q71&gt;0,IF($J71=6,Q71,IF($J71=5,Q71,IF($J71=4,Q71,0)))))</f>
        <v>0</v>
      </c>
      <c r="O71" s="83">
        <f t="shared" ref="O71:O72" si="933">IF(Q71=0,0,IF(Q71&gt;0,IF($J71=9,Q71,IF($J71=8,Q71,IF($J71=7,Q71,0)))))</f>
        <v>0</v>
      </c>
      <c r="P71" s="84">
        <f t="shared" ref="P71:P72" si="934">IF(Q71=0,0,IF(Q71&gt;0,IF($J71=12,Q71,IF($J71=11,Q71,IF($J71=10,Q71,0)))))</f>
        <v>0</v>
      </c>
      <c r="Q71" s="81">
        <f t="shared" ref="Q71:Q72" si="935">IF(Q$5=$H71,$E71,0)</f>
        <v>0</v>
      </c>
      <c r="R71" s="82">
        <f t="shared" ref="R71:R72" si="936">IF(V71=0,0,IF(V71&gt;0,IF($J71=3,V71,IF($J71=2,V71,IF($J71=1,V71,0)))))</f>
        <v>0</v>
      </c>
      <c r="S71" s="83">
        <f t="shared" ref="S71:S72" si="937">IF(V71=0,0,IF(V71&gt;0,IF($J71=6,V71,IF($J71=5,V71,IF($J71=4,V71,0)))))</f>
        <v>0</v>
      </c>
      <c r="T71" s="83">
        <f t="shared" ref="T71:T72" si="938">IF(V71=0,0,IF(V71&gt;0,IF($J71=9,V71,IF($J71=8,V71,IF($J71=7,V71,0)))))</f>
        <v>0</v>
      </c>
      <c r="U71" s="84">
        <f t="shared" ref="U71:U72" si="939">IF(V71=0,0,IF(V71&gt;0,IF($J71=12,V71,IF($J71=11,V71,IF($J71=10,V71,0)))))</f>
        <v>0</v>
      </c>
      <c r="V71" s="81">
        <f t="shared" ref="V71:V72" si="940">IF(V$5=$H71,$E71,0)</f>
        <v>0</v>
      </c>
      <c r="W71" s="82">
        <f t="shared" ref="W71:W72" si="941">IF(AA71=0,0,IF(AA71&gt;0,IF($J71=3,AA71,IF($J71=2,AA71,IF($J71=1,AA71,0)))))</f>
        <v>0</v>
      </c>
      <c r="X71" s="83">
        <f t="shared" ref="X71:X72" si="942">IF(AA71=0,0,IF(AA71&gt;0,IF($J71=6,AA71,IF($J71=5,AA71,IF($J71=4,AA71,0)))))</f>
        <v>0</v>
      </c>
      <c r="Y71" s="83">
        <f t="shared" ref="Y71:Y72" si="943">IF(AA71=0,0,IF(AA71&gt;0,IF($J71=9,AA71,IF($J71=8,AA71,IF($J71=7,AA71,0)))))</f>
        <v>0</v>
      </c>
      <c r="Z71" s="84">
        <f t="shared" ref="Z71:Z72" si="944">IF(AA71=0,0,IF(AA71&gt;0,IF($J71=12,AA71,IF($J71=11,AA71,IF($J71=10,AA71,0)))))</f>
        <v>0</v>
      </c>
      <c r="AA71" s="81">
        <f t="shared" ref="AA71:AA72" si="945">IF(AA$5=$H71,$E71,0)</f>
        <v>0</v>
      </c>
      <c r="AB71" s="82">
        <f t="shared" ref="AB71:AB72" si="946">IF(AF71=0,0,IF(AF71&gt;0,IF($J71=3,AF71,IF($J71=2,AF71,IF($J71=1,AF71,0)))))</f>
        <v>0</v>
      </c>
      <c r="AC71" s="83">
        <f t="shared" ref="AC71:AC72" si="947">IF(AF71=0,0,IF(AF71&gt;0,IF($J71=6,AF71,IF($J71=5,AF71,IF($J71=4,AF71,0)))))</f>
        <v>0</v>
      </c>
      <c r="AD71" s="83">
        <f t="shared" ref="AD71:AD72" si="948">IF(AF71=0,0,IF(AF71&gt;0,IF($J71=9,AF71,IF($J71=8,AF71,IF($J71=7,AF71,0)))))</f>
        <v>0</v>
      </c>
      <c r="AE71" s="84">
        <f t="shared" ref="AE71:AE72" si="949">IF(AF71=0,0,IF(AF71&gt;0,IF($J71=12,AF71,IF($J71=11,AF71,IF($J71=10,AF71,0)))))</f>
        <v>0</v>
      </c>
      <c r="AF71" s="81">
        <f t="shared" ref="AF71:AF72" si="950">IF(AF$5=$H71,$E71,0)</f>
        <v>0</v>
      </c>
      <c r="AG71" s="82">
        <f t="shared" ref="AG71:AG72" si="951">IF(AK71=0,0,IF(AK71&gt;0,IF($J71=3,AK71,IF($J71=2,AK71,IF($J71=1,AK71,0)))))</f>
        <v>0</v>
      </c>
      <c r="AH71" s="83">
        <f t="shared" ref="AH71:AH72" si="952">IF(AK71=0,0,IF(AK71&gt;0,IF($J71=6,AK71,IF($J71=5,AK71,IF($J71=4,AK71,0)))))</f>
        <v>0</v>
      </c>
      <c r="AI71" s="83">
        <f t="shared" ref="AI71:AI72" si="953">IF(AK71=0,0,IF(AK71&gt;0,IF($J71=9,AK71,IF($J71=8,AK71,IF($J71=7,AK71,0)))))</f>
        <v>0</v>
      </c>
      <c r="AJ71" s="84">
        <f t="shared" ref="AJ71:AJ72" si="954">IF(AK71=0,0,IF(AK71&gt;0,IF($J71=12,AK71,IF($J71=11,AK71,IF($J71=10,AK71,0)))))</f>
        <v>31</v>
      </c>
      <c r="AK71" s="81">
        <f t="shared" ref="AK71:AK72" si="955">IF(AK$5=$H71,$E71,0)</f>
        <v>31</v>
      </c>
      <c r="AL71" s="82">
        <f t="shared" ref="AL71:AL72" si="956">IF(AP71=0,0,IF(AP71&gt;0,IF($J71=3,AP71,IF($J71=2,AP71,IF($J71=1,AP71,0)))))</f>
        <v>0</v>
      </c>
      <c r="AM71" s="83">
        <f t="shared" ref="AM71:AM72" si="957">IF(AP71=0,0,IF(AP71&gt;0,IF($J71=6,AP71,IF($J71=5,AP71,IF($J71=4,AP71,0)))))</f>
        <v>0</v>
      </c>
      <c r="AN71" s="83">
        <f t="shared" ref="AN71:AN72" si="958">IF(AP71=0,0,IF(AP71&gt;0,IF($J71=9,AP71,IF($J71=8,AP71,IF($J71=7,AP71,0)))))</f>
        <v>0</v>
      </c>
      <c r="AO71" s="84">
        <f t="shared" ref="AO71:AO72" si="959">IF(AP71=0,0,IF(AP71&gt;0,IF($J71=12,AP71,IF($J71=11,AP71,IF($J71=10,AP71,0)))))</f>
        <v>0</v>
      </c>
      <c r="AP71" s="81">
        <f t="shared" ref="AP71:AP72" si="960">IF(AP$5=$H71,$E71,0)</f>
        <v>0</v>
      </c>
      <c r="AQ71" s="82">
        <f t="shared" ref="AQ71:AQ72" si="961">IF(AU71=0,0,IF(AU71&gt;0,IF($J71=3,AU71,IF($J71=2,AU71,IF($J71=1,AU71,0)))))</f>
        <v>0</v>
      </c>
      <c r="AR71" s="83">
        <f t="shared" ref="AR71:AR72" si="962">IF(AU71=0,0,IF(AU71&gt;0,IF($J71=6,AU71,IF($J71=5,AU71,IF($J71=4,AU71,0)))))</f>
        <v>0</v>
      </c>
      <c r="AS71" s="83">
        <f t="shared" ref="AS71:AS72" si="963">IF(AU71=0,0,IF(AU71&gt;0,IF($J71=9,AU71,IF($J71=8,AU71,IF($J71=7,AU71,0)))))</f>
        <v>0</v>
      </c>
      <c r="AT71" s="84">
        <f t="shared" ref="AT71:AT72" si="964">IF(AU71=0,0,IF(AU71&gt;0,IF($J71=12,AU71,IF($J71=11,AU71,IF($J71=10,AU71,0)))))</f>
        <v>0</v>
      </c>
      <c r="AU71" s="81">
        <f t="shared" ref="AU71:AU72" si="965">IF(AU$5=$H71,$E71,0)</f>
        <v>0</v>
      </c>
      <c r="AV71" s="82">
        <f t="shared" ref="AV71:AV72" si="966">IF(AZ71=0,0,IF(AZ71&gt;0,IF($J71=3,AZ71,IF($J71=2,AZ71,IF($J71=1,AZ71,0)))))</f>
        <v>0</v>
      </c>
      <c r="AW71" s="83">
        <f t="shared" ref="AW71:AW72" si="967">IF(AZ71=0,0,IF(AZ71&gt;0,IF($J71=6,AZ71,IF($J71=5,AZ71,IF($J71=4,AZ71,0)))))</f>
        <v>0</v>
      </c>
      <c r="AX71" s="83">
        <f t="shared" ref="AX71:AX72" si="968">IF(AZ71=0,0,IF(AZ71&gt;0,IF($J71=9,AZ71,IF($J71=8,AZ71,IF($J71=7,AZ71,0)))))</f>
        <v>0</v>
      </c>
      <c r="AY71" s="84">
        <f t="shared" ref="AY71:AY72" si="969">IF(AZ71=0,0,IF(AZ71&gt;0,IF($J71=12,AZ71,IF($J71=11,AZ71,IF($J71=10,AZ71,0)))))</f>
        <v>0</v>
      </c>
      <c r="AZ71" s="81">
        <f t="shared" ref="AZ71:AZ72" si="970">IF(AZ$5=$H71,$E71,0)</f>
        <v>0</v>
      </c>
      <c r="BA71" s="82">
        <f t="shared" ref="BA71:BA72" si="971">IF(BE71=0,0,IF(BE71&gt;0,IF($J71=3,BE71,IF($J71=2,BE71,IF($J71=1,BE71,0)))))</f>
        <v>0</v>
      </c>
      <c r="BB71" s="83">
        <f t="shared" ref="BB71:BB72" si="972">IF(BE71=0,0,IF(BE71&gt;0,IF($J71=6,BE71,IF($J71=5,BE71,IF($J71=4,BE71,0)))))</f>
        <v>0</v>
      </c>
      <c r="BC71" s="83">
        <f t="shared" ref="BC71:BC72" si="973">IF(BE71=0,0,IF(BE71&gt;0,IF($J71=9,BE71,IF($J71=8,BE71,IF($J71=7,BE71,0)))))</f>
        <v>0</v>
      </c>
      <c r="BD71" s="84">
        <f t="shared" ref="BD71:BD72" si="974">IF(BE71=0,0,IF(BE71&gt;0,IF($J71=12,BE71,IF($J71=11,BE71,IF($J71=10,BE71,0)))))</f>
        <v>0</v>
      </c>
      <c r="BE71" s="81">
        <f t="shared" ref="BE71:BE72" si="975">IF(BE$5=$H71,$E71,0)</f>
        <v>0</v>
      </c>
      <c r="BF71" s="1884"/>
      <c r="BG71" s="2005">
        <f t="shared" ref="BG71:BG72" si="976">IF(AND(BF71&lt;&gt;0,BF$5=$H71),$I71*$E71-BF71,IF(BG$5=$H71,$I71*$E71*(12-$J71+1)/12,0))</f>
        <v>0</v>
      </c>
      <c r="BH71" s="86">
        <f t="shared" ref="BH71:BH72" si="977">IF($H71&lt;&gt;BL$5,0,IF(BL71&gt;0,IF($J71=1,$E71*$I71/12*3,IF($J71=2,$E71*$I71/12*2,IF($J71=3,$E71*$I71/12*1,0)))))+IF(BG$5&lt;&gt;$H71,0,IF(BG71&gt;0,IF($J71=1,$E71*$I71/12*0,IF($J71=2,$E71*$I71/12*1,IF($J71=3,$E71*$I71/12*2,IF($J71&gt;=4,$E71*$I71/12*3,0))))))</f>
        <v>0</v>
      </c>
      <c r="BI71" s="87">
        <f t="shared" ref="BI71:BI72" si="978">IF($H71&lt;&gt;BL$5,0,IF(BL71&gt;0,IF(OR($J71=1,$J71=2,$J71=3,$J71=4),$E71*$I71/12*3,IF($J71=5,$E71*$I71/12*2,IF($J71=6,$E71*$I71/12*1,0)))))+IF(BG$5&lt;&gt;$H71,0,IF(BG71&gt;0,IF($J71=4,$E71*$I71/12*0,IF($J71=5,$E71*$I71/12*1,IF($J71=6,$E71*$I71/12*2,IF($J71&gt;=7,$E71*$I71/12*3,0))))))</f>
        <v>0</v>
      </c>
      <c r="BJ71" s="87">
        <f t="shared" ref="BJ71:BJ72" si="979">IF($H71&lt;&gt;BL$5,0,IF(BL71&gt;0,IF(OR($J71=1,$J71=2,$J71=3,$J71=4,$J71=5,$J71=6,$J71=7),$E71*$I71/12*3,IF($J71=8,$E71*$I71/12*2,IF($J71=9,$E71*$I71/12*1,0)))))+IF(BG$5&lt;&gt;$H71,0,IF(BG71&gt;0,IF($J71=7,$E71*$I71/12*0,IF($J71=8,$E71*$I71/12*1,IF($J71=9,$E71*$I71/12*2,IF($J71&gt;=10,$E71*$I71/12*3,0))))))</f>
        <v>0</v>
      </c>
      <c r="BK71" s="88">
        <f t="shared" ref="BK71:BK72" si="980">IF($H71&lt;&gt;BL$5,0,IF(BL71&gt;0,IF(OR($J71=1,$J71=2,$J71=3,$J71=4,$J71=5,$J71=6,$J71=7,$J71=8,$J71=9,$J71=10),$E71*$I71/12*3,IF($J71=11,$E71*$I71/12*2,IF($J71=12,$E71*$I71/12*1,0)))))+IF(BG$5&lt;&gt;$H71,0,IF(BG71&gt;0,IF($J71=10,$E71*$I71/12*0,IF($J71=11,$E71*$I71/12*1,IF($J71=12,$E71*$I71/12*2,0)))))</f>
        <v>0</v>
      </c>
      <c r="BL71" s="85">
        <f t="shared" ref="BL71:BL72" si="981">IF(AND(BG71&lt;&gt;0,BG$5=$H71),$I71*$E71-BG71,IF(BL$5=$H71,$I71*$E71*(12-$J71+1)/12,0))</f>
        <v>0</v>
      </c>
      <c r="BM71" s="86">
        <f t="shared" ref="BM71:BM72" si="982">IF($H71&lt;&gt;BQ$5,0,IF(BQ71&gt;0,IF($J71=1,$E71*$I71/12*3,IF($J71=2,$E71*$I71/12*2,IF($J71=3,$E71*$I71/12*1,0)))))+IF(BL$5&lt;&gt;$H71,0,IF(BL71&gt;0,IF($J71=1,$E71*$I71/12*0,IF($J71=2,$E71*$I71/12*1,IF($J71=3,$E71*$I71/12*2,IF($J71&gt;=4,$E71*$I71/12*3,0))))))</f>
        <v>0</v>
      </c>
      <c r="BN71" s="87">
        <f t="shared" ref="BN71:BN72" si="983">IF($H71&lt;&gt;BQ$5,0,IF(BQ71&gt;0,IF(OR($J71=1,$J71=2,$J71=3,$J71=4),$E71*$I71/12*3,IF($J71=5,$E71*$I71/12*2,IF($J71=6,$E71*$I71/12*1,0)))))+IF(BL$5&lt;&gt;$H71,0,IF(BL71&gt;0,IF($J71=4,$E71*$I71/12*0,IF($J71=5,$E71*$I71/12*1,IF($J71=6,$E71*$I71/12*2,IF($J71&gt;=7,$E71*$I71/12*3,0))))))</f>
        <v>0</v>
      </c>
      <c r="BO71" s="87">
        <f t="shared" ref="BO71:BO72" si="984">IF($H71&lt;&gt;BQ$5,0,IF(BQ71&gt;0,IF(OR($J71=1,$J71=2,$J71=3,$J71=4,$J71=5,$J71=6,$J71=7),$E71*$I71/12*3,IF($J71=8,$E71*$I71/12*2,IF($J71=9,$E71*$I71/12*1,0)))))+IF(BL$5&lt;&gt;$H71,0,IF(BL71&gt;0,IF($J71=7,$E71*$I71/12*0,IF($J71=8,$E71*$I71/12*1,IF($J71=9,$E71*$I71/12*2,IF($J71&gt;=10,$E71*$I71/12*3,0))))))</f>
        <v>0</v>
      </c>
      <c r="BP71" s="88">
        <f t="shared" ref="BP71:BP72" si="985">IF($H71&lt;&gt;BQ$5,0,IF(BQ71&gt;0,IF(OR($J71=1,$J71=2,$J71=3,$J71=4,$J71=5,$J71=6,$J71=7,$J71=8,$J71=9,$J71=10),$E71*$I71/12*3,IF($J71=11,$E71*$I71/12*2,IF($J71=12,$E71*$I71/12*1,0)))))+IF(BL$5&lt;&gt;$H71,0,IF(BL71&gt;0,IF($J71=10,$E71*$I71/12*0,IF($J71=11,$E71*$I71/12*1,IF($J71=12,$E71*$I71/12*2,0)))))</f>
        <v>0</v>
      </c>
      <c r="BQ71" s="85">
        <f t="shared" ref="BQ71:BQ72" si="986">IF(AND(BL71&lt;&gt;0,BL$5=$H71),$I71*$E71-BL71,IF(BQ$5=$H71,$I71*$E71*(12-$J71+1)/12,0))</f>
        <v>0</v>
      </c>
      <c r="BR71" s="86">
        <f t="shared" ref="BR71:BR72" si="987">IF($H71&lt;&gt;BV$5,0,IF(BV71&gt;0,IF($J71=1,$E71*$I71/12*3,IF($J71=2,$E71*$I71/12*2,IF($J71=3,$E71*$I71/12*1,0)))))+IF(BQ$5&lt;&gt;$H71,0,IF(BQ71&gt;0,IF($J71=1,$E71*$I71/12*0,IF($J71=2,$E71*$I71/12*1,IF($J71=3,$E71*$I71/12*2,IF($J71&gt;=4,$E71*$I71/12*3,0))))))</f>
        <v>0</v>
      </c>
      <c r="BS71" s="87">
        <f t="shared" ref="BS71:BS72" si="988">IF($H71&lt;&gt;BV$5,0,IF(BV71&gt;0,IF(OR($J71=1,$J71=2,$J71=3,$J71=4),$E71*$I71/12*3,IF($J71=5,$E71*$I71/12*2,IF($J71=6,$E71*$I71/12*1,0)))))+IF(BQ$5&lt;&gt;$H71,0,IF(BQ71&gt;0,IF($J71=4,$E71*$I71/12*0,IF($J71=5,$E71*$I71/12*1,IF($J71=6,$E71*$I71/12*2,IF($J71&gt;=7,$E71*$I71/12*3,0))))))</f>
        <v>0</v>
      </c>
      <c r="BT71" s="87">
        <f t="shared" ref="BT71:BT72" si="989">IF($H71&lt;&gt;BV$5,0,IF(BV71&gt;0,IF(OR($J71=1,$J71=2,$J71=3,$J71=4,$J71=5,$J71=6,$J71=7),$E71*$I71/12*3,IF($J71=8,$E71*$I71/12*2,IF($J71=9,$E71*$I71/12*1,0)))))+IF(BQ$5&lt;&gt;$H71,0,IF(BQ71&gt;0,IF($J71=7,$E71*$I71/12*0,IF($J71=8,$E71*$I71/12*1,IF($J71=9,$E71*$I71/12*2,IF($J71&gt;=10,$E71*$I71/12*3,0))))))</f>
        <v>0</v>
      </c>
      <c r="BU71" s="88">
        <f t="shared" ref="BU71:BU72" si="990">IF($H71&lt;&gt;BV$5,0,IF(BV71&gt;0,IF(OR($J71=1,$J71=2,$J71=3,$J71=4,$J71=5,$J71=6,$J71=7,$J71=8,$J71=9,$J71=10),$E71*$I71/12*3,IF($J71=11,$E71*$I71/12*2,IF($J71=12,$E71*$I71/12*1,0)))))+IF(BQ$5&lt;&gt;$H71,0,IF(BQ71&gt;0,IF($J71=10,$E71*$I71/12*0,IF($J71=11,$E71*$I71/12*1,IF($J71=12,$E71*$I71/12*2,0)))))</f>
        <v>0</v>
      </c>
      <c r="BV71" s="85">
        <f t="shared" ref="BV71:BV72" si="991">IF(AND(BQ71&lt;&gt;0,BQ$5=$H71),$I71*$E71-BQ71,IF(BV$5=$H71,$I71*$E71*(12-$J71+1)/12,0))</f>
        <v>0</v>
      </c>
      <c r="BW71" s="86">
        <f t="shared" ref="BW71:BW72" si="992">IF($H71&lt;&gt;CA$5,0,IF(CA71&gt;0,IF($J71=1,$E71*$I71/12*3,IF($J71=2,$E71*$I71/12*2,IF($J71=3,$E71*$I71/12*1,0)))))+IF(BV$5&lt;&gt;$H71,0,IF(BV71&gt;0,IF($J71=1,$E71*$I71/12*0,IF($J71=2,$E71*$I71/12*1,IF($J71=3,$E71*$I71/12*2,IF($J71&gt;=4,$E71*$I71/12*3,0))))))</f>
        <v>0</v>
      </c>
      <c r="BX71" s="87">
        <f t="shared" ref="BX71:BX72" si="993">IF($H71&lt;&gt;CA$5,0,IF(CA71&gt;0,IF(OR($J71=1,$J71=2,$J71=3,$J71=4),$E71*$I71/12*3,IF($J71=5,$E71*$I71/12*2,IF($J71=6,$E71*$I71/12*1,0)))))+IF(BV$5&lt;&gt;$H71,0,IF(BV71&gt;0,IF($J71=4,$E71*$I71/12*0,IF($J71=5,$E71*$I71/12*1,IF($J71=6,$E71*$I71/12*2,IF($J71&gt;=7,$E71*$I71/12*3,0))))))</f>
        <v>0</v>
      </c>
      <c r="BY71" s="87">
        <f t="shared" ref="BY71:BY72" si="994">IF($H71&lt;&gt;CA$5,0,IF(CA71&gt;0,IF(OR($J71=1,$J71=2,$J71=3,$J71=4,$J71=5,$J71=6,$J71=7),$E71*$I71/12*3,IF($J71=8,$E71*$I71/12*2,IF($J71=9,$E71*$I71/12*1,0)))))+IF(BV$5&lt;&gt;$H71,0,IF(BV71&gt;0,IF($J71=7,$E71*$I71/12*0,IF($J71=8,$E71*$I71/12*1,IF($J71=9,$E71*$I71/12*2,IF($J71&gt;=10,$E71*$I71/12*3,0))))))</f>
        <v>0</v>
      </c>
      <c r="BZ71" s="88">
        <f t="shared" ref="BZ71:BZ72" si="995">IF($H71&lt;&gt;CA$5,0,IF(CA71&gt;0,IF(OR($J71=1,$J71=2,$J71=3,$J71=4,$J71=5,$J71=6,$J71=7,$J71=8,$J71=9,$J71=10),$E71*$I71/12*3,IF($J71=11,$E71*$I71/12*2,IF($J71=12,$E71*$I71/12*1,0)))))+IF(BV$5&lt;&gt;$H71,0,IF(BV71&gt;0,IF($J71=10,$E71*$I71/12*0,IF($J71=11,$E71*$I71/12*1,IF($J71=12,$E71*$I71/12*2,0)))))</f>
        <v>0</v>
      </c>
      <c r="CA71" s="85">
        <f t="shared" ref="CA71:CA72" si="996">IF(AND(BV71&lt;&gt;0,BV$5=$H71),$I71*$E71-BV71,IF(CA$5=$H71,$I71*$E71*(12-$J71+1)/12,0))</f>
        <v>0</v>
      </c>
      <c r="CB71" s="86">
        <f t="shared" ref="CB71:CB72" si="997">IF($H71&lt;&gt;CF$5,0,IF(CF71&gt;0,IF($J71=1,$E71*$I71/12*3,IF($J71=2,$E71*$I71/12*2,IF($J71=3,$E71*$I71/12*1,0)))))+IF(CA$5&lt;&gt;$H71,0,IF(CA71&gt;0,IF($J71=1,$E71*$I71/12*0,IF($J71=2,$E71*$I71/12*1,IF($J71=3,$E71*$I71/12*2,IF($J71&gt;=4,$E71*$I71/12*3,0))))))</f>
        <v>0</v>
      </c>
      <c r="CC71" s="87">
        <f t="shared" ref="CC71:CC72" si="998">IF($H71&lt;&gt;CF$5,0,IF(CF71&gt;0,IF(OR($J71=1,$J71=2,$J71=3,$J71=4),$E71*$I71/12*3,IF($J71=5,$E71*$I71/12*2,IF($J71=6,$E71*$I71/12*1,0)))))+IF(CA$5&lt;&gt;$H71,0,IF(CA71&gt;0,IF($J71=4,$E71*$I71/12*0,IF($J71=5,$E71*$I71/12*1,IF($J71=6,$E71*$I71/12*2,IF($J71&gt;=7,$E71*$I71/12*3,0))))))</f>
        <v>0</v>
      </c>
      <c r="CD71" s="87">
        <f t="shared" ref="CD71:CD72" si="999">IF($H71&lt;&gt;CF$5,0,IF(CF71&gt;0,IF(OR($J71=1,$J71=2,$J71=3,$J71=4,$J71=5,$J71=6,$J71=7),$E71*$I71/12*3,IF($J71=8,$E71*$I71/12*2,IF($J71=9,$E71*$I71/12*1,0)))))+IF(CA$5&lt;&gt;$H71,0,IF(CA71&gt;0,IF($J71=7,$E71*$I71/12*0,IF($J71=8,$E71*$I71/12*1,IF($J71=9,$E71*$I71/12*2,IF($J71&gt;=10,$E71*$I71/12*3,0))))))</f>
        <v>0</v>
      </c>
      <c r="CE71" s="88">
        <f t="shared" ref="CE71:CE72" si="1000">IF($H71&lt;&gt;CF$5,0,IF(CF71&gt;0,IF(OR($J71=1,$J71=2,$J71=3,$J71=4,$J71=5,$J71=6,$J71=7,$J71=8,$J71=9,$J71=10),$E71*$I71/12*3,IF($J71=11,$E71*$I71/12*2,IF($J71=12,$E71*$I71/12*1,0)))))+IF(CA$5&lt;&gt;$H71,0,IF(CA71&gt;0,IF($J71=10,$E71*$I71/12*0,IF($J71=11,$E71*$I71/12*1,IF($J71=12,$E71*$I71/12*2,0)))))</f>
        <v>0.155</v>
      </c>
      <c r="CF71" s="85">
        <f t="shared" ref="CF71:CF72" si="1001">IF(AND(CA71&lt;&gt;0,CA$5=$H71),$I71*$E71-CA71,IF(CF$5=$H71,$I71*$E71*(12-$J71+1)/12,0))</f>
        <v>0.155</v>
      </c>
      <c r="CG71" s="86">
        <f t="shared" ref="CG71:CG72" si="1002">IF($H71&lt;&gt;CK$5,0,IF(CK71&gt;0,IF($J71=1,$E71*$I71/12*3,IF($J71=2,$E71*$I71/12*2,IF($J71=3,$E71*$I71/12*1,0)))))+IF(CF$5&lt;&gt;$H71,0,IF(CF71&gt;0,IF($J71=1,$E71*$I71/12*0,IF($J71=2,$E71*$I71/12*1,IF($J71=3,$E71*$I71/12*2,IF($J71&gt;=4,$E71*$I71/12*3,0))))))</f>
        <v>0.23249999999999998</v>
      </c>
      <c r="CH71" s="87">
        <f t="shared" ref="CH71:CH72" si="1003">IF($H71&lt;&gt;CK$5,0,IF(CK71&gt;0,IF(OR($J71=1,$J71=2,$J71=3,$J71=4),$E71*$I71/12*3,IF($J71=5,$E71*$I71/12*2,IF($J71=6,$E71*$I71/12*1,0)))))+IF(CF$5&lt;&gt;$H71,0,IF(CF71&gt;0,IF($J71=4,$E71*$I71/12*0,IF($J71=5,$E71*$I71/12*1,IF($J71=6,$E71*$I71/12*2,IF($J71&gt;=7,$E71*$I71/12*3,0))))))</f>
        <v>0.23249999999999998</v>
      </c>
      <c r="CI71" s="87">
        <f t="shared" ref="CI71:CI72" si="1004">IF($H71&lt;&gt;CK$5,0,IF(CK71&gt;0,IF(OR($J71=1,$J71=2,$J71=3,$J71=4,$J71=5,$J71=6,$J71=7),$E71*$I71/12*3,IF($J71=8,$E71*$I71/12*2,IF($J71=9,$E71*$I71/12*1,0)))))+IF(CF$5&lt;&gt;$H71,0,IF(CF71&gt;0,IF($J71=7,$E71*$I71/12*0,IF($J71=8,$E71*$I71/12*1,IF($J71=9,$E71*$I71/12*2,IF($J71&gt;=10,$E71*$I71/12*3,0))))))</f>
        <v>0.23249999999999998</v>
      </c>
      <c r="CJ71" s="88">
        <f t="shared" ref="CJ71:CJ72" si="1005">IF($H71&lt;&gt;CK$5,0,IF(CK71&gt;0,IF(OR($J71=1,$J71=2,$J71=3,$J71=4,$J71=5,$J71=6,$J71=7,$J71=8,$J71=9,$J71=10),$E71*$I71/12*3,IF($J71=11,$E71*$I71/12*2,IF($J71=12,$E71*$I71/12*1,0)))))+IF(CF$5&lt;&gt;$H71,0,IF(CF71&gt;0,IF($J71=10,$E71*$I71/12*0,IF($J71=11,$E71*$I71/12*1,IF($J71=12,$E71*$I71/12*2,0)))))</f>
        <v>7.7499999999999999E-2</v>
      </c>
      <c r="CK71" s="85">
        <f t="shared" ref="CK71:CK72" si="1006">IF(AND(CF71&lt;&gt;0,CF$5=$H71),$I71*$E71-CF71,IF(CK$5=$H71,$I71*$E71*(12-$J71+1)/12,0))</f>
        <v>0.77499999999999991</v>
      </c>
      <c r="CL71" s="86">
        <f t="shared" ref="CL71:CL72" si="1007">IF($H71&lt;&gt;CP$5,0,IF(CP71&gt;0,IF($J71=1,$E71*$I71/12*3,IF($J71=2,$E71*$I71/12*2,IF($J71=3,$E71*$I71/12*1,0)))))+IF(CK$5&lt;&gt;$H71,0,IF(CK71&gt;0,IF($J71=1,$E71*$I71/12*0,IF($J71=2,$E71*$I71/12*1,IF($J71=3,$E71*$I71/12*2,IF($J71&gt;=4,$E71*$I71/12*3,0))))))</f>
        <v>0</v>
      </c>
      <c r="CM71" s="87">
        <f t="shared" ref="CM71:CM72" si="1008">IF($H71&lt;&gt;CP$5,0,IF(CP71&gt;0,IF(OR($J71=1,$J71=2,$J71=3,$J71=4),$E71*$I71/12*3,IF($J71=5,$E71*$I71/12*2,IF($J71=6,$E71*$I71/12*1,0)))))+IF(CK$5&lt;&gt;$H71,0,IF(CK71&gt;0,IF($J71=4,$E71*$I71/12*0,IF($J71=5,$E71*$I71/12*1,IF($J71=6,$E71*$I71/12*2,IF($J71&gt;=7,$E71*$I71/12*3,0))))))</f>
        <v>0</v>
      </c>
      <c r="CN71" s="87">
        <f t="shared" ref="CN71:CN72" si="1009">IF($H71&lt;&gt;CP$5,0,IF(CP71&gt;0,IF(OR($J71=1,$J71=2,$J71=3,$J71=4,$J71=5,$J71=6,$J71=7),$E71*$I71/12*3,IF($J71=8,$E71*$I71/12*2,IF($J71=9,$E71*$I71/12*1,0)))))+IF(CK$5&lt;&gt;$H71,0,IF(CK71&gt;0,IF($J71=7,$E71*$I71/12*0,IF($J71=8,$E71*$I71/12*1,IF($J71=9,$E71*$I71/12*2,IF($J71&gt;=10,$E71*$I71/12*3,0))))))</f>
        <v>0</v>
      </c>
      <c r="CO71" s="88">
        <f t="shared" ref="CO71:CO72" si="1010">IF($H71&lt;&gt;CP$5,0,IF(CP71&gt;0,IF(OR($J71=1,$J71=2,$J71=3,$J71=4,$J71=5,$J71=6,$J71=7,$J71=8,$J71=9,$J71=10),$E71*$I71/12*3,IF($J71=11,$E71*$I71/12*2,IF($J71=12,$E71*$I71/12*1,0)))))+IF(CK$5&lt;&gt;$H71,0,IF(CK71&gt;0,IF($J71=10,$E71*$I71/12*0,IF($J71=11,$E71*$I71/12*1,IF($J71=12,$E71*$I71/12*2,0)))))</f>
        <v>0</v>
      </c>
      <c r="CP71" s="85">
        <f t="shared" ref="CP71:CP72" si="1011">IF(AND(CK71&lt;&gt;0,CK$5=$H71),$I71*$E71-CK71,IF(CP$5=$H71,$I71*$E71*(12-$J71+1)/12,0))</f>
        <v>0</v>
      </c>
      <c r="CQ71" s="86">
        <f t="shared" ref="CQ71:CQ72" si="1012">IF($H71&lt;&gt;CU$5,0,IF(CU71&gt;0,IF($J71=1,$E71*$I71/12*3,IF($J71=2,$E71*$I71/12*2,IF($J71=3,$E71*$I71/12*1,0)))))+IF(CP$5&lt;&gt;$H71,0,IF(CP71&gt;0,IF($J71=1,$E71*$I71/12*0,IF($J71=2,$E71*$I71/12*1,IF($J71=3,$E71*$I71/12*2,IF($J71&gt;=4,$E71*$I71/12*3,0))))))</f>
        <v>0</v>
      </c>
      <c r="CR71" s="87">
        <f t="shared" ref="CR71:CR72" si="1013">IF($H71&lt;&gt;CU$5,0,IF(CU71&gt;0,IF(OR($J71=1,$J71=2,$J71=3,$J71=4),$E71*$I71/12*3,IF($J71=5,$E71*$I71/12*2,IF($J71=6,$E71*$I71/12*1,0)))))+IF(CP$5&lt;&gt;$H71,0,IF(CP71&gt;0,IF($J71=4,$E71*$I71/12*0,IF($J71=5,$E71*$I71/12*1,IF($J71=6,$E71*$I71/12*2,IF($J71&gt;=7,$E71*$I71/12*3,0))))))</f>
        <v>0</v>
      </c>
      <c r="CS71" s="87">
        <f t="shared" ref="CS71:CS72" si="1014">IF($H71&lt;&gt;CU$5,0,IF(CU71&gt;0,IF(OR($J71=1,$J71=2,$J71=3,$J71=4,$J71=5,$J71=6,$J71=7),$E71*$I71/12*3,IF($J71=8,$E71*$I71/12*2,IF($J71=9,$E71*$I71/12*1,0)))))+IF(CP$5&lt;&gt;$H71,0,IF(CP71&gt;0,IF($J71=7,$E71*$I71/12*0,IF($J71=8,$E71*$I71/12*1,IF($J71=9,$E71*$I71/12*2,IF($J71&gt;=10,$E71*$I71/12*3,0))))))</f>
        <v>0</v>
      </c>
      <c r="CT71" s="88">
        <f t="shared" ref="CT71:CT72" si="1015">IF($H71&lt;&gt;CU$5,0,IF(CU71&gt;0,IF(OR($J71=1,$J71=2,$J71=3,$J71=4,$J71=5,$J71=6,$J71=7,$J71=8,$J71=9,$J71=10),$E71*$I71/12*3,IF($J71=11,$E71*$I71/12*2,IF($J71=12,$E71*$I71/12*1,0)))))+IF(CP$5&lt;&gt;$H71,0,IF(CP71&gt;0,IF($J71=10,$E71*$I71/12*0,IF($J71=11,$E71*$I71/12*1,IF($J71=12,$E71*$I71/12*2,0)))))</f>
        <v>0</v>
      </c>
      <c r="CU71" s="85">
        <f t="shared" ref="CU71:CU72" si="1016">IF(AND(CP71&lt;&gt;0,CP$5=$H71),$I71*$E71-CP71,IF(CU$5=$H71,$I71*$E71*(12-$J71+1)/12,0))</f>
        <v>0</v>
      </c>
      <c r="CV71" s="86">
        <f t="shared" ref="CV71:CV72" si="1017">IF($H71&lt;&gt;CZ$5,0,IF(CZ71&gt;0,IF($J71=1,$E71*$I71/12*3,IF($J71=2,$E71*$I71/12*2,IF($J71=3,$E71*$I71/12*1,0)))))+IF(CU$5&lt;&gt;$H71,0,IF(CU71&gt;0,IF($J71=1,$E71*$I71/12*0,IF($J71=2,$E71*$I71/12*1,IF($J71=3,$E71*$I71/12*2,IF($J71&gt;=4,$E71*$I71/12*3,0))))))</f>
        <v>0</v>
      </c>
      <c r="CW71" s="87">
        <f t="shared" ref="CW71:CW72" si="1018">IF($H71&lt;&gt;CZ$5,0,IF(CZ71&gt;0,IF(OR($J71=1,$J71=2,$J71=3,$J71=4),$E71*$I71/12*3,IF($J71=5,$E71*$I71/12*2,IF($J71=6,$E71*$I71/12*1,0)))))+IF(CU$5&lt;&gt;$H71,0,IF(CU71&gt;0,IF($J71=4,$E71*$I71/12*0,IF($J71=5,$E71*$I71/12*1,IF($J71=6,$E71*$I71/12*2,IF($J71&gt;=7,$E71*$I71/12*3,0))))))</f>
        <v>0</v>
      </c>
      <c r="CX71" s="87">
        <f t="shared" ref="CX71:CX72" si="1019">IF($H71&lt;&gt;CZ$5,0,IF(CZ71&gt;0,IF(OR($J71=1,$J71=2,$J71=3,$J71=4,$J71=5,$J71=6,$J71=7),$E71*$I71/12*3,IF($J71=8,$E71*$I71/12*2,IF($J71=9,$E71*$I71/12*1,0)))))+IF(CU$5&lt;&gt;$H71,0,IF(CU71&gt;0,IF($J71=7,$E71*$I71/12*0,IF($J71=8,$E71*$I71/12*1,IF($J71=9,$E71*$I71/12*2,IF($J71&gt;=10,$E71*$I71/12*3,0))))))</f>
        <v>0</v>
      </c>
      <c r="CY71" s="88">
        <f t="shared" ref="CY71:CY72" si="1020">IF($H71&lt;&gt;CZ$5,0,IF(CZ71&gt;0,IF(OR($J71=1,$J71=2,$J71=3,$J71=4,$J71=5,$J71=6,$J71=7,$J71=8,$J71=9,$J71=10),$E71*$I71/12*3,IF($J71=11,$E71*$I71/12*2,IF($J71=12,$E71*$I71/12*1,0)))))+IF(CU$5&lt;&gt;$H71,0,IF(CU71&gt;0,IF($J71=10,$E71*$I71/12*0,IF($J71=11,$E71*$I71/12*1,IF($J71=12,$E71*$I71/12*2,0)))))</f>
        <v>0</v>
      </c>
      <c r="CZ71" s="85">
        <f t="shared" ref="CZ71:CZ72" si="1021">IF(AND(CU71&lt;&gt;0,CU$5=$H71),$I71*$E71-CU71,IF(CZ$5=$H71,$I71*$E71*(12-$J71+1)/12,0))</f>
        <v>0</v>
      </c>
    </row>
    <row r="72" spans="1:265" ht="12.75" customHeight="1">
      <c r="A72" s="4"/>
      <c r="B72" s="4"/>
      <c r="C72" s="4"/>
      <c r="D72" s="1333"/>
      <c r="E72" s="2118"/>
      <c r="F72" s="2313"/>
      <c r="G72" s="1511"/>
      <c r="H72" s="1334"/>
      <c r="I72" s="325"/>
      <c r="J72" s="1334"/>
      <c r="K72" s="80"/>
      <c r="L72" s="81">
        <f t="shared" si="930"/>
        <v>0</v>
      </c>
      <c r="M72" s="82">
        <f t="shared" si="931"/>
        <v>0</v>
      </c>
      <c r="N72" s="83">
        <f t="shared" si="932"/>
        <v>0</v>
      </c>
      <c r="O72" s="83">
        <f t="shared" si="933"/>
        <v>0</v>
      </c>
      <c r="P72" s="84">
        <f t="shared" si="934"/>
        <v>0</v>
      </c>
      <c r="Q72" s="81">
        <f t="shared" si="935"/>
        <v>0</v>
      </c>
      <c r="R72" s="82">
        <f t="shared" si="936"/>
        <v>0</v>
      </c>
      <c r="S72" s="83">
        <f t="shared" si="937"/>
        <v>0</v>
      </c>
      <c r="T72" s="83">
        <f t="shared" si="938"/>
        <v>0</v>
      </c>
      <c r="U72" s="84">
        <f t="shared" si="939"/>
        <v>0</v>
      </c>
      <c r="V72" s="81">
        <f t="shared" si="940"/>
        <v>0</v>
      </c>
      <c r="W72" s="82">
        <f t="shared" si="941"/>
        <v>0</v>
      </c>
      <c r="X72" s="83">
        <f t="shared" si="942"/>
        <v>0</v>
      </c>
      <c r="Y72" s="83">
        <f t="shared" si="943"/>
        <v>0</v>
      </c>
      <c r="Z72" s="84">
        <f t="shared" si="944"/>
        <v>0</v>
      </c>
      <c r="AA72" s="81">
        <f t="shared" si="945"/>
        <v>0</v>
      </c>
      <c r="AB72" s="82">
        <f t="shared" si="946"/>
        <v>0</v>
      </c>
      <c r="AC72" s="83">
        <f t="shared" si="947"/>
        <v>0</v>
      </c>
      <c r="AD72" s="83">
        <f t="shared" si="948"/>
        <v>0</v>
      </c>
      <c r="AE72" s="84">
        <f t="shared" si="949"/>
        <v>0</v>
      </c>
      <c r="AF72" s="81">
        <f t="shared" si="950"/>
        <v>0</v>
      </c>
      <c r="AG72" s="82">
        <f t="shared" si="951"/>
        <v>0</v>
      </c>
      <c r="AH72" s="83">
        <f t="shared" si="952"/>
        <v>0</v>
      </c>
      <c r="AI72" s="83">
        <f t="shared" si="953"/>
        <v>0</v>
      </c>
      <c r="AJ72" s="84">
        <f t="shared" si="954"/>
        <v>0</v>
      </c>
      <c r="AK72" s="81">
        <f t="shared" si="955"/>
        <v>0</v>
      </c>
      <c r="AL72" s="82">
        <f t="shared" si="956"/>
        <v>0</v>
      </c>
      <c r="AM72" s="83">
        <f t="shared" si="957"/>
        <v>0</v>
      </c>
      <c r="AN72" s="83">
        <f t="shared" si="958"/>
        <v>0</v>
      </c>
      <c r="AO72" s="84">
        <f t="shared" si="959"/>
        <v>0</v>
      </c>
      <c r="AP72" s="81">
        <f t="shared" si="960"/>
        <v>0</v>
      </c>
      <c r="AQ72" s="82">
        <f t="shared" si="961"/>
        <v>0</v>
      </c>
      <c r="AR72" s="83">
        <f t="shared" si="962"/>
        <v>0</v>
      </c>
      <c r="AS72" s="83">
        <f t="shared" si="963"/>
        <v>0</v>
      </c>
      <c r="AT72" s="84">
        <f t="shared" si="964"/>
        <v>0</v>
      </c>
      <c r="AU72" s="81">
        <f t="shared" si="965"/>
        <v>0</v>
      </c>
      <c r="AV72" s="82">
        <f t="shared" si="966"/>
        <v>0</v>
      </c>
      <c r="AW72" s="83">
        <f t="shared" si="967"/>
        <v>0</v>
      </c>
      <c r="AX72" s="83">
        <f t="shared" si="968"/>
        <v>0</v>
      </c>
      <c r="AY72" s="84">
        <f t="shared" si="969"/>
        <v>0</v>
      </c>
      <c r="AZ72" s="81">
        <f t="shared" si="970"/>
        <v>0</v>
      </c>
      <c r="BA72" s="82">
        <f t="shared" si="971"/>
        <v>0</v>
      </c>
      <c r="BB72" s="83">
        <f t="shared" si="972"/>
        <v>0</v>
      </c>
      <c r="BC72" s="83">
        <f t="shared" si="973"/>
        <v>0</v>
      </c>
      <c r="BD72" s="84">
        <f t="shared" si="974"/>
        <v>0</v>
      </c>
      <c r="BE72" s="81">
        <f t="shared" si="975"/>
        <v>0</v>
      </c>
      <c r="BF72" s="1884"/>
      <c r="BG72" s="2005">
        <f t="shared" si="976"/>
        <v>0</v>
      </c>
      <c r="BH72" s="86">
        <f t="shared" si="977"/>
        <v>0</v>
      </c>
      <c r="BI72" s="87">
        <f t="shared" si="978"/>
        <v>0</v>
      </c>
      <c r="BJ72" s="87">
        <f t="shared" si="979"/>
        <v>0</v>
      </c>
      <c r="BK72" s="88">
        <f t="shared" si="980"/>
        <v>0</v>
      </c>
      <c r="BL72" s="85">
        <f t="shared" si="981"/>
        <v>0</v>
      </c>
      <c r="BM72" s="86">
        <f t="shared" si="982"/>
        <v>0</v>
      </c>
      <c r="BN72" s="87">
        <f t="shared" si="983"/>
        <v>0</v>
      </c>
      <c r="BO72" s="87">
        <f t="shared" si="984"/>
        <v>0</v>
      </c>
      <c r="BP72" s="88">
        <f t="shared" si="985"/>
        <v>0</v>
      </c>
      <c r="BQ72" s="85">
        <f t="shared" si="986"/>
        <v>0</v>
      </c>
      <c r="BR72" s="86">
        <f t="shared" si="987"/>
        <v>0</v>
      </c>
      <c r="BS72" s="87">
        <f t="shared" si="988"/>
        <v>0</v>
      </c>
      <c r="BT72" s="87">
        <f t="shared" si="989"/>
        <v>0</v>
      </c>
      <c r="BU72" s="88">
        <f t="shared" si="990"/>
        <v>0</v>
      </c>
      <c r="BV72" s="85">
        <f t="shared" si="991"/>
        <v>0</v>
      </c>
      <c r="BW72" s="86">
        <f t="shared" si="992"/>
        <v>0</v>
      </c>
      <c r="BX72" s="87">
        <f t="shared" si="993"/>
        <v>0</v>
      </c>
      <c r="BY72" s="87">
        <f t="shared" si="994"/>
        <v>0</v>
      </c>
      <c r="BZ72" s="88">
        <f t="shared" si="995"/>
        <v>0</v>
      </c>
      <c r="CA72" s="85">
        <f t="shared" si="996"/>
        <v>0</v>
      </c>
      <c r="CB72" s="86">
        <f t="shared" si="997"/>
        <v>0</v>
      </c>
      <c r="CC72" s="87">
        <f t="shared" si="998"/>
        <v>0</v>
      </c>
      <c r="CD72" s="87">
        <f t="shared" si="999"/>
        <v>0</v>
      </c>
      <c r="CE72" s="88">
        <f t="shared" si="1000"/>
        <v>0</v>
      </c>
      <c r="CF72" s="85">
        <f t="shared" si="1001"/>
        <v>0</v>
      </c>
      <c r="CG72" s="86">
        <f t="shared" si="1002"/>
        <v>0</v>
      </c>
      <c r="CH72" s="87">
        <f t="shared" si="1003"/>
        <v>0</v>
      </c>
      <c r="CI72" s="87">
        <f t="shared" si="1004"/>
        <v>0</v>
      </c>
      <c r="CJ72" s="88">
        <f t="shared" si="1005"/>
        <v>0</v>
      </c>
      <c r="CK72" s="85">
        <f t="shared" si="1006"/>
        <v>0</v>
      </c>
      <c r="CL72" s="86">
        <f t="shared" si="1007"/>
        <v>0</v>
      </c>
      <c r="CM72" s="87">
        <f t="shared" si="1008"/>
        <v>0</v>
      </c>
      <c r="CN72" s="87">
        <f t="shared" si="1009"/>
        <v>0</v>
      </c>
      <c r="CO72" s="88">
        <f t="shared" si="1010"/>
        <v>0</v>
      </c>
      <c r="CP72" s="85">
        <f t="shared" si="1011"/>
        <v>0</v>
      </c>
      <c r="CQ72" s="86">
        <f t="shared" si="1012"/>
        <v>0</v>
      </c>
      <c r="CR72" s="87">
        <f t="shared" si="1013"/>
        <v>0</v>
      </c>
      <c r="CS72" s="87">
        <f t="shared" si="1014"/>
        <v>0</v>
      </c>
      <c r="CT72" s="88">
        <f t="shared" si="1015"/>
        <v>0</v>
      </c>
      <c r="CU72" s="85">
        <f t="shared" si="1016"/>
        <v>0</v>
      </c>
      <c r="CV72" s="86">
        <f t="shared" si="1017"/>
        <v>0</v>
      </c>
      <c r="CW72" s="87">
        <f t="shared" si="1018"/>
        <v>0</v>
      </c>
      <c r="CX72" s="87">
        <f t="shared" si="1019"/>
        <v>0</v>
      </c>
      <c r="CY72" s="88">
        <f t="shared" si="1020"/>
        <v>0</v>
      </c>
      <c r="CZ72" s="85">
        <f t="shared" si="1021"/>
        <v>0</v>
      </c>
    </row>
    <row r="73" spans="1:265" ht="12.75" customHeight="1">
      <c r="A73" s="4"/>
      <c r="B73" s="4"/>
      <c r="C73" s="4" t="s">
        <v>1095</v>
      </c>
      <c r="D73" s="2117"/>
      <c r="E73" s="1332">
        <f>IF(F73=0,G73,F73)</f>
        <v>38</v>
      </c>
      <c r="F73" s="2314">
        <v>38</v>
      </c>
      <c r="G73" s="1510">
        <v>38</v>
      </c>
      <c r="H73" s="1334">
        <v>2030</v>
      </c>
      <c r="I73" s="1512">
        <v>0.05</v>
      </c>
      <c r="J73" s="1334">
        <v>12</v>
      </c>
      <c r="K73" s="80"/>
      <c r="L73" s="81"/>
      <c r="M73" s="82"/>
      <c r="N73" s="83"/>
      <c r="O73" s="83"/>
      <c r="P73" s="84"/>
      <c r="Q73" s="81"/>
      <c r="R73" s="82"/>
      <c r="S73" s="83"/>
      <c r="T73" s="83"/>
      <c r="U73" s="84"/>
      <c r="V73" s="81"/>
      <c r="W73" s="82"/>
      <c r="X73" s="83"/>
      <c r="Y73" s="83"/>
      <c r="Z73" s="84"/>
      <c r="AA73" s="81"/>
      <c r="AB73" s="82"/>
      <c r="AC73" s="83"/>
      <c r="AD73" s="83"/>
      <c r="AE73" s="84"/>
      <c r="AF73" s="81"/>
      <c r="AG73" s="82"/>
      <c r="AH73" s="83"/>
      <c r="AI73" s="83"/>
      <c r="AJ73" s="84"/>
      <c r="AK73" s="81"/>
      <c r="AL73" s="82"/>
      <c r="AM73" s="83"/>
      <c r="AN73" s="83"/>
      <c r="AO73" s="84"/>
      <c r="AP73" s="81"/>
      <c r="AQ73" s="82"/>
      <c r="AR73" s="83"/>
      <c r="AS73" s="83"/>
      <c r="AT73" s="84"/>
      <c r="AU73" s="81"/>
      <c r="AV73" s="82"/>
      <c r="AW73" s="83"/>
      <c r="AX73" s="83"/>
      <c r="AY73" s="84"/>
      <c r="AZ73" s="81"/>
      <c r="BA73" s="82"/>
      <c r="BB73" s="83"/>
      <c r="BC73" s="83"/>
      <c r="BD73" s="84"/>
      <c r="BE73" s="81"/>
      <c r="BF73" s="1877"/>
      <c r="BG73" s="2005"/>
      <c r="BH73" s="86"/>
      <c r="BI73" s="87"/>
      <c r="BJ73" s="87"/>
      <c r="BK73" s="88"/>
      <c r="BL73" s="85"/>
      <c r="BM73" s="86"/>
      <c r="BN73" s="87"/>
      <c r="BO73" s="87"/>
      <c r="BP73" s="88"/>
      <c r="BQ73" s="85"/>
      <c r="BR73" s="86"/>
      <c r="BS73" s="87"/>
      <c r="BT73" s="87"/>
      <c r="BU73" s="88"/>
      <c r="BV73" s="85"/>
      <c r="BW73" s="86"/>
      <c r="BX73" s="87"/>
      <c r="BY73" s="87"/>
      <c r="BZ73" s="88"/>
      <c r="CA73" s="85"/>
      <c r="CB73" s="86"/>
      <c r="CC73" s="87"/>
      <c r="CD73" s="87"/>
      <c r="CE73" s="88"/>
      <c r="CF73" s="85"/>
      <c r="CG73" s="86"/>
      <c r="CH73" s="87"/>
      <c r="CI73" s="87"/>
      <c r="CJ73" s="88"/>
      <c r="CK73" s="85"/>
      <c r="CL73" s="86"/>
      <c r="CM73" s="87"/>
      <c r="CN73" s="87"/>
      <c r="CO73" s="88"/>
      <c r="CP73" s="85"/>
      <c r="CQ73" s="86"/>
      <c r="CR73" s="87"/>
      <c r="CS73" s="87"/>
      <c r="CT73" s="88"/>
      <c r="CU73" s="85"/>
      <c r="CV73" s="86"/>
      <c r="CW73" s="87"/>
      <c r="CX73" s="87"/>
      <c r="CY73" s="88"/>
      <c r="CZ73" s="85"/>
      <c r="DA73" s="232"/>
      <c r="DB73" s="232"/>
      <c r="DC73" s="232"/>
      <c r="DD73" s="232"/>
      <c r="DE73" s="232"/>
      <c r="DF73" s="232"/>
      <c r="DG73" s="232"/>
      <c r="DH73" s="232"/>
      <c r="DI73" s="232"/>
      <c r="DJ73" s="232"/>
      <c r="DK73" s="232"/>
      <c r="DL73" s="232"/>
      <c r="DM73" s="232"/>
      <c r="DN73" s="232"/>
      <c r="DO73" s="232"/>
      <c r="DP73" s="232"/>
      <c r="DQ73" s="232"/>
      <c r="DR73" s="232"/>
      <c r="DS73" s="232"/>
      <c r="DT73" s="232"/>
      <c r="DU73" s="232"/>
      <c r="DV73" s="232"/>
      <c r="DW73" s="232"/>
      <c r="DX73" s="232"/>
      <c r="DY73" s="232"/>
      <c r="DZ73" s="232"/>
      <c r="EA73" s="232"/>
      <c r="EB73" s="232"/>
      <c r="EC73" s="232"/>
      <c r="ED73" s="232"/>
      <c r="EE73" s="232"/>
      <c r="EF73" s="232"/>
      <c r="EG73" s="232"/>
      <c r="EH73" s="232"/>
      <c r="EI73" s="232"/>
      <c r="EJ73" s="232"/>
      <c r="EK73" s="232"/>
      <c r="EL73" s="232"/>
      <c r="EM73" s="232"/>
      <c r="EN73" s="232"/>
      <c r="EO73" s="232"/>
      <c r="EP73" s="232"/>
      <c r="EQ73" s="232"/>
      <c r="ER73" s="232"/>
      <c r="ES73" s="232"/>
      <c r="ET73" s="232"/>
      <c r="EU73" s="232"/>
      <c r="EV73" s="232"/>
      <c r="EW73" s="232"/>
      <c r="EX73" s="232"/>
      <c r="EY73" s="232"/>
      <c r="EZ73" s="232"/>
      <c r="FA73" s="232"/>
      <c r="FB73" s="232"/>
      <c r="FC73" s="232"/>
      <c r="FD73" s="232"/>
      <c r="FE73" s="232"/>
      <c r="FF73" s="232"/>
      <c r="FG73" s="232"/>
      <c r="FH73" s="232"/>
      <c r="FI73" s="232"/>
      <c r="FJ73" s="232"/>
      <c r="FK73" s="232"/>
      <c r="FL73" s="232"/>
      <c r="FM73" s="232"/>
      <c r="FN73" s="232"/>
      <c r="FO73" s="232"/>
      <c r="FP73" s="232"/>
      <c r="FQ73" s="232"/>
      <c r="FR73" s="232"/>
      <c r="FS73" s="232"/>
      <c r="FT73" s="232"/>
      <c r="FU73" s="232"/>
      <c r="FV73" s="232"/>
      <c r="FW73" s="232"/>
      <c r="FX73" s="232"/>
      <c r="FY73" s="232"/>
      <c r="FZ73" s="232"/>
      <c r="GA73" s="232"/>
      <c r="GB73" s="232"/>
      <c r="GC73" s="232"/>
      <c r="GD73" s="232"/>
      <c r="GE73" s="232"/>
      <c r="GF73" s="232"/>
      <c r="GG73" s="232"/>
      <c r="GH73" s="232"/>
      <c r="GI73" s="232"/>
      <c r="GJ73" s="232"/>
      <c r="GK73" s="232"/>
      <c r="GL73" s="232"/>
      <c r="GM73" s="232"/>
      <c r="GN73" s="232"/>
      <c r="GO73" s="232"/>
      <c r="GP73" s="232"/>
      <c r="GQ73" s="232"/>
      <c r="GR73" s="232"/>
      <c r="GS73" s="232"/>
      <c r="GT73" s="232"/>
      <c r="GU73" s="232"/>
      <c r="GV73" s="232"/>
      <c r="GW73" s="232"/>
      <c r="GX73" s="232"/>
      <c r="GY73" s="232"/>
      <c r="GZ73" s="232"/>
      <c r="HA73" s="232"/>
      <c r="HB73" s="232"/>
      <c r="HC73" s="232"/>
      <c r="HD73" s="232"/>
      <c r="HE73" s="232"/>
      <c r="HF73" s="232"/>
      <c r="HG73" s="232"/>
      <c r="HH73" s="232"/>
      <c r="HI73" s="232"/>
      <c r="HJ73" s="232"/>
      <c r="HK73" s="232"/>
      <c r="HL73" s="232"/>
      <c r="HM73" s="232"/>
      <c r="HN73" s="232"/>
      <c r="HO73" s="232"/>
      <c r="HP73" s="232"/>
      <c r="HQ73" s="232"/>
      <c r="HR73" s="232"/>
      <c r="HS73" s="232"/>
      <c r="HT73" s="232"/>
      <c r="HU73" s="232"/>
      <c r="HV73" s="232"/>
      <c r="HW73" s="232"/>
      <c r="HX73" s="232"/>
      <c r="HY73" s="232"/>
      <c r="HZ73" s="232"/>
      <c r="IA73" s="232"/>
      <c r="IB73" s="232"/>
      <c r="IC73" s="232"/>
      <c r="ID73" s="232"/>
      <c r="IE73" s="232"/>
      <c r="IF73" s="232"/>
      <c r="IG73" s="232"/>
      <c r="IH73" s="232"/>
      <c r="II73" s="232"/>
      <c r="IJ73" s="232"/>
      <c r="IK73" s="232"/>
      <c r="IL73" s="232"/>
      <c r="IM73" s="232"/>
      <c r="IN73" s="232"/>
      <c r="IO73" s="232"/>
      <c r="IP73" s="232"/>
      <c r="IQ73" s="232"/>
      <c r="IR73" s="232"/>
      <c r="IS73" s="232"/>
      <c r="IT73" s="232"/>
      <c r="IU73" s="232"/>
      <c r="IV73" s="232"/>
      <c r="IW73" s="232"/>
      <c r="IX73" s="232"/>
      <c r="IY73" s="232"/>
      <c r="IZ73" s="232"/>
      <c r="JA73" s="232"/>
      <c r="JB73" s="232"/>
      <c r="JC73" s="232"/>
      <c r="JD73" s="232"/>
      <c r="JE73" s="232"/>
    </row>
    <row r="74" spans="1:265" ht="12.75" customHeight="1">
      <c r="A74" s="4"/>
      <c r="B74" s="4"/>
      <c r="C74" s="4" t="s">
        <v>1096</v>
      </c>
      <c r="D74" s="2117"/>
      <c r="E74" s="1332">
        <f>IF(F74=0,G74,F74)</f>
        <v>8</v>
      </c>
      <c r="F74" s="2314">
        <v>8</v>
      </c>
      <c r="G74" s="1510">
        <v>8</v>
      </c>
      <c r="H74" s="1334">
        <v>2031</v>
      </c>
      <c r="I74" s="1512">
        <v>0.05</v>
      </c>
      <c r="J74" s="1334">
        <v>7</v>
      </c>
      <c r="K74" s="80"/>
      <c r="L74" s="81">
        <f t="shared" ref="L74:L88" si="1022">IF(L$5=$H74,-$E74,0)</f>
        <v>0</v>
      </c>
      <c r="M74" s="82">
        <f t="shared" ref="M74:M79" si="1023">IF(Q74=0,0,IF(Q74&lt;0,IF($J74=3,Q74,IF($J74=2,Q74,IF($J74=1,Q74,0)))))</f>
        <v>0</v>
      </c>
      <c r="N74" s="83">
        <f t="shared" ref="N74:N79" si="1024">IF(Q74=0,0,IF(Q74&lt;0,IF($J74=6,Q74,IF($J74=5,Q74,IF($J74=4,Q74,0)))))</f>
        <v>0</v>
      </c>
      <c r="O74" s="83">
        <f t="shared" ref="O74:O79" si="1025">IF(Q74=0,0,IF(Q74&lt;0,IF($J74=9,Q74,IF($J74=8,Q74,IF($J74=7,Q74,0)))))</f>
        <v>0</v>
      </c>
      <c r="P74" s="84">
        <f t="shared" ref="P74:P79" si="1026">IF(Q74=0,0,IF(Q74&lt;0,IF($J74=12,Q74,IF($J74=11,Q74,IF($J74=10,Q74,0)))))</f>
        <v>0</v>
      </c>
      <c r="Q74" s="81">
        <f t="shared" ref="Q74:Q88" si="1027">IF(Q$5=$H74,-$E74,0)</f>
        <v>0</v>
      </c>
      <c r="R74" s="82">
        <f t="shared" ref="R74:R79" si="1028">IF(V74=0,0,IF(V74&lt;0,IF($J74=3,V74,IF($J74=2,V74,IF($J74=1,V74,0)))))</f>
        <v>0</v>
      </c>
      <c r="S74" s="83">
        <f t="shared" ref="S74:S79" si="1029">IF(V74=0,0,IF(V74&lt;0,IF($J74=6,V74,IF($J74=5,V74,IF($J74=4,V74,0)))))</f>
        <v>0</v>
      </c>
      <c r="T74" s="83">
        <f t="shared" ref="T74:T79" si="1030">IF(V74=0,0,IF(V74&lt;0,IF($J74=9,V74,IF($J74=8,V74,IF($J74=7,V74,0)))))</f>
        <v>0</v>
      </c>
      <c r="U74" s="84">
        <f t="shared" ref="U74:U79" si="1031">IF(V74=0,0,IF(V74&lt;0,IF($J74=12,V74,IF($J74=11,V74,IF($J74=10,V74,0)))))</f>
        <v>0</v>
      </c>
      <c r="V74" s="81">
        <f t="shared" ref="V74:V88" si="1032">IF(V$5=$H74,-$E74,0)</f>
        <v>0</v>
      </c>
      <c r="W74" s="82">
        <f t="shared" ref="W74:W79" si="1033">IF(AA74=0,0,IF(AA74&lt;0,IF($J74=3,AA74,IF($J74=2,AA74,IF($J74=1,AA74,0)))))</f>
        <v>0</v>
      </c>
      <c r="X74" s="83">
        <f t="shared" ref="X74:X79" si="1034">IF(AA74=0,0,IF(AA74&lt;0,IF($J74=6,AA74,IF($J74=5,AA74,IF($J74=4,AA74,0)))))</f>
        <v>0</v>
      </c>
      <c r="Y74" s="83">
        <f t="shared" ref="Y74:Y79" si="1035">IF(AA74=0,0,IF(AA74&lt;0,IF($J74=9,AA74,IF($J74=8,AA74,IF($J74=7,AA74,0)))))</f>
        <v>0</v>
      </c>
      <c r="Z74" s="84">
        <f t="shared" ref="Z74:Z79" si="1036">IF(AA74=0,0,IF(AA74&lt;0,IF($J74=12,AA74,IF($J74=11,AA74,IF($J74=10,AA74,0)))))</f>
        <v>0</v>
      </c>
      <c r="AA74" s="81">
        <f t="shared" ref="AA74:AA88" si="1037">IF(AA$5=$H74,-$E74,0)</f>
        <v>0</v>
      </c>
      <c r="AB74" s="82">
        <f t="shared" ref="AB74:AB79" si="1038">IF(AF74=0,0,IF(AF74&lt;0,IF($J74=3,AF74,IF($J74=2,AF74,IF($J74=1,AF74,0)))))</f>
        <v>0</v>
      </c>
      <c r="AC74" s="83">
        <f t="shared" ref="AC74:AC79" si="1039">IF(AF74=0,0,IF(AF74&lt;0,IF($J74=6,AF74,IF($J74=5,AF74,IF($J74=4,AF74,0)))))</f>
        <v>0</v>
      </c>
      <c r="AD74" s="83">
        <f t="shared" ref="AD74:AD79" si="1040">IF(AF74=0,0,IF(AF74&lt;0,IF($J74=9,AF74,IF($J74=8,AF74,IF($J74=7,AF74,0)))))</f>
        <v>0</v>
      </c>
      <c r="AE74" s="84">
        <f t="shared" ref="AE74:AE79" si="1041">IF(AF74=0,0,IF(AF74&lt;0,IF($J74=12,AF74,IF($J74=11,AF74,IF($J74=10,AF74,0)))))</f>
        <v>0</v>
      </c>
      <c r="AF74" s="81">
        <f t="shared" ref="AF74:AF88" si="1042">IF(AF$5=$H74,-$E74,0)</f>
        <v>0</v>
      </c>
      <c r="AG74" s="82">
        <f t="shared" ref="AG74:AG79" si="1043">IF(AK74=0,0,IF(AK74&lt;0,IF($J74=3,AK74,IF($J74=2,AK74,IF($J74=1,AK74,0)))))</f>
        <v>0</v>
      </c>
      <c r="AH74" s="83">
        <f t="shared" ref="AH74:AH79" si="1044">IF(AK74=0,0,IF(AK74&lt;0,IF($J74=6,AK74,IF($J74=5,AK74,IF($J74=4,AK74,0)))))</f>
        <v>0</v>
      </c>
      <c r="AI74" s="83">
        <f t="shared" ref="AI74:AI79" si="1045">IF(AK74=0,0,IF(AK74&lt;0,IF($J74=9,AK74,IF($J74=8,AK74,IF($J74=7,AK74,0)))))</f>
        <v>0</v>
      </c>
      <c r="AJ74" s="84">
        <f t="shared" ref="AJ74:AJ79" si="1046">IF(AK74=0,0,IF(AK74&lt;0,IF($J74=12,AK74,IF($J74=11,AK74,IF($J74=10,AK74,0)))))</f>
        <v>0</v>
      </c>
      <c r="AK74" s="81">
        <f t="shared" ref="AK74:AK88" si="1047">IF(AK$5=$H74,-$E74,0)</f>
        <v>0</v>
      </c>
      <c r="AL74" s="82">
        <f t="shared" ref="AL74:AL79" si="1048">IF(AP74=0,0,IF(AP74&lt;0,IF($J74=3,AP74,IF($J74=2,AP74,IF($J74=1,AP74,0)))))</f>
        <v>0</v>
      </c>
      <c r="AM74" s="83">
        <f t="shared" ref="AM74:AM79" si="1049">IF(AP74=0,0,IF(AP74&lt;0,IF($J74=6,AP74,IF($J74=5,AP74,IF($J74=4,AP74,0)))))</f>
        <v>0</v>
      </c>
      <c r="AN74" s="83">
        <f t="shared" ref="AN74:AN79" si="1050">IF(AP74=0,0,IF(AP74&lt;0,IF($J74=9,AP74,IF($J74=8,AP74,IF($J74=7,AP74,0)))))</f>
        <v>0</v>
      </c>
      <c r="AO74" s="84">
        <f t="shared" ref="AO74:AO79" si="1051">IF(AP74=0,0,IF(AP74&lt;0,IF($J74=12,AP74,IF($J74=11,AP74,IF($J74=10,AP74,0)))))</f>
        <v>0</v>
      </c>
      <c r="AP74" s="81">
        <f t="shared" ref="AP74:AP88" si="1052">IF(AP$5=$H74,-$E74,0)</f>
        <v>0</v>
      </c>
      <c r="AQ74" s="82">
        <f t="shared" ref="AQ74:AQ79" si="1053">IF(AU74=0,0,IF(AU74&lt;0,IF($J74=3,AU74,IF($J74=2,AU74,IF($J74=1,AU74,0)))))</f>
        <v>0</v>
      </c>
      <c r="AR74" s="83">
        <f t="shared" ref="AR74:AR79" si="1054">IF(AU74=0,0,IF(AU74&lt;0,IF($J74=6,AU74,IF($J74=5,AU74,IF($J74=4,AU74,0)))))</f>
        <v>0</v>
      </c>
      <c r="AS74" s="83">
        <f t="shared" ref="AS74:AS79" si="1055">IF(AU74=0,0,IF(AU74&lt;0,IF($J74=9,AU74,IF($J74=8,AU74,IF($J74=7,AU74,0)))))</f>
        <v>0</v>
      </c>
      <c r="AT74" s="84">
        <f t="shared" ref="AT74:AT79" si="1056">IF(AU74=0,0,IF(AU74&lt;0,IF($J74=12,AU74,IF($J74=11,AU74,IF($J74=10,AU74,0)))))</f>
        <v>0</v>
      </c>
      <c r="AU74" s="81">
        <f t="shared" ref="AU74:AU88" si="1057">IF(AU$5=$H74,-$E74,0)</f>
        <v>0</v>
      </c>
      <c r="AV74" s="82">
        <f t="shared" ref="AV74:AV79" si="1058">IF(AZ74=0,0,IF(AZ74&lt;0,IF($J74=3,AZ74,IF($J74=2,AZ74,IF($J74=1,AZ74,0)))))</f>
        <v>0</v>
      </c>
      <c r="AW74" s="83">
        <f t="shared" ref="AW74:AW79" si="1059">IF(AZ74=0,0,IF(AZ74&lt;0,IF($J74=6,AZ74,IF($J74=5,AZ74,IF($J74=4,AZ74,0)))))</f>
        <v>0</v>
      </c>
      <c r="AX74" s="83">
        <f t="shared" ref="AX74:AX79" si="1060">IF(AZ74=0,0,IF(AZ74&lt;0,IF($J74=9,AZ74,IF($J74=8,AZ74,IF($J74=7,AZ74,0)))))</f>
        <v>0</v>
      </c>
      <c r="AY74" s="84">
        <f t="shared" ref="AY74:AY79" si="1061">IF(AZ74=0,0,IF(AZ74&lt;0,IF($J74=12,AZ74,IF($J74=11,AZ74,IF($J74=10,AZ74,0)))))</f>
        <v>0</v>
      </c>
      <c r="AZ74" s="81">
        <f t="shared" ref="AZ74:AZ88" si="1062">IF(AZ$5=$H74,-$E74,0)</f>
        <v>0</v>
      </c>
      <c r="BA74" s="82">
        <f t="shared" ref="BA74:BA88" si="1063">IF(BE74=0,0,IF(BE74&lt;0,IF($J74=3,BE74,IF($J74=2,BE74,IF($J74=1,BE74,0)))))</f>
        <v>0</v>
      </c>
      <c r="BB74" s="83">
        <f t="shared" ref="BB74:BB88" si="1064">IF(BE74=0,0,IF(BE74&lt;0,IF($J74=6,BE74,IF($J74=5,BE74,IF($J74=4,BE74,0)))))</f>
        <v>0</v>
      </c>
      <c r="BC74" s="83">
        <f t="shared" ref="BC74:BC88" si="1065">IF(BE74=0,0,IF(BE74&lt;0,IF($J74=9,BE74,IF($J74=8,BE74,IF($J74=7,BE74,0)))))</f>
        <v>0</v>
      </c>
      <c r="BD74" s="84">
        <f t="shared" ref="BD74:BD88" si="1066">IF(BE74=0,0,IF(BE74&lt;0,IF($J74=12,BE74,IF($J74=11,BE74,IF($J74=10,BE74,0)))))</f>
        <v>0</v>
      </c>
      <c r="BE74" s="81">
        <f t="shared" ref="BE74:BE88" si="1067">IF(BE$5=$H74,-$E74,0)</f>
        <v>0</v>
      </c>
      <c r="BF74" s="1877"/>
      <c r="BG74" s="2005">
        <f t="shared" ref="BG74:BG79" si="1068">IF(AND(BF74&lt;&gt;0,BF$5=$H74),-$I74*$E74-BF74,IF(BG$5=$H74,-$I74*$E74*(12-$J74+1)/12,0))</f>
        <v>0</v>
      </c>
      <c r="BH74" s="86">
        <f t="shared" ref="BH74:BH79" si="1069">IF($H74&lt;&gt;BL$5,0,IF(BL74&lt;0,IF($J74=1,-$E74*$I74/12*3,IF($J74=2,-$E74*$I74/12*2,IF($J74=3,-$E74*$I74/12*1,0)))))+IF(BG$5&lt;&gt;$H74,0,IF(BG74&lt;0,IF($J74=1,-$E74*$I74/12*0,IF($J74=2,-$E74*$I74/12*1,IF($J74=3,-$E74*$I74/12*2,IF($J74&gt;=4,-$E74*$I74/12*3,0))))))</f>
        <v>0</v>
      </c>
      <c r="BI74" s="87">
        <f t="shared" ref="BI74:BI79" si="1070">IF($H74&lt;&gt;BL$5,0,IF(BL74&lt;0,IF(OR($J74=1,$J74=2,$J74=3,$J74=4),-$E74*$I74/12*3,IF($J74=5,-$E74*$I74/12*2,IF($J74=6,-$E74*$I74/12*1,0)))))+IF(BG$5&lt;&gt;$H74,0,IF(BG74&lt;0,IF($J74=4,-$E74*$I74/12*0,IF($J74=5,-$E74*$I74/12*1,IF($J74=6,-$E74*$I74/12*2,IF($J74&gt;=7,-$E74*$I74/12*3,0))))))</f>
        <v>0</v>
      </c>
      <c r="BJ74" s="87">
        <f t="shared" ref="BJ74:BJ79" si="1071">IF($H74&lt;&gt;BL$5,0,IF(BL74&lt;0,IF(OR($J74=1,$J74=2,$J74=3,$J74=4,$J74=5,$J74=6,$J74=7),-$E74*$I74/12*3,IF($J74=8,-$E74*$I74/12*2,IF($J74=9,-$E74*$I74/12*1,0)))))+IF(BG$5&lt;&gt;$H74,0,IF(BG74&lt;0,IF($J74=7,-$E74*$I74/12*0,IF($J74=8,-$E74*$I74/12*1,IF($J74=9,-$E74*$I74/12*2,IF($J74&gt;=10,-$E74*$I74/12*3,0))))))</f>
        <v>0</v>
      </c>
      <c r="BK74" s="88">
        <f t="shared" ref="BK74:BK79" si="1072">IF($H74&lt;&gt;BL$5,0,IF(BL74&lt;0,IF(OR($J74=1,$J74=2,$J74=3,$J74=4,$J74=5,$J74=6,$J74=7,$J74=8,$J74=9,$J74=10),-$E74*$I74/12*3,IF($J74=11,-$E74*$I74/12*2,IF($J74=12,-$E74*$I74/12*1,0)))))+IF(BG$5&lt;&gt;$H74,0,IF(BG74&lt;0,IF($J74=10,-$E74*$I74/12*0,IF($J74=11,-$E74*$I74/12*1,IF($J74=12,-$E74*$I74/12*2,0)))))</f>
        <v>0</v>
      </c>
      <c r="BL74" s="85">
        <f t="shared" ref="BL74:BL79" si="1073">IF(AND(BG74&lt;&gt;0,BG$5=$H74),-$I74*$E74-BG74,IF(BL$5=$H74,-$I74*$E74*(12-$J74+1)/12,0))</f>
        <v>0</v>
      </c>
      <c r="BM74" s="86">
        <f t="shared" ref="BM74:BM79" si="1074">IF($H74&lt;&gt;BQ$5,0,IF(BQ74&lt;0,IF($J74=1,-$E74*$I74/12*3,IF($J74=2,-$E74*$I74/12*2,IF($J74=3,-$E74*$I74/12*1,0)))))+IF(BL$5&lt;&gt;$H74,0,IF(BL74&lt;0,IF($J74=1,-$E74*$I74/12*0,IF($J74=2,-$E74*$I74/12*1,IF($J74=3,-$E74*$I74/12*2,IF($J74&gt;=4,-$E74*$I74/12*3,0))))))</f>
        <v>0</v>
      </c>
      <c r="BN74" s="87">
        <f t="shared" ref="BN74:BN79" si="1075">IF($H74&lt;&gt;BQ$5,0,IF(BQ74&lt;0,IF(OR($J74=1,$J74=2,$J74=3,$J74=4),-$E74*$I74/12*3,IF($J74=5,-$E74*$I74/12*2,IF($J74=6,-$E74*$I74/12*1,0)))))+IF(BL$5&lt;&gt;$H74,0,IF(BL74&lt;0,IF($J74=4,-$E74*$I74/12*0,IF($J74=5,-$E74*$I74/12*1,IF($J74=6,-$E74*$I74/12*2,IF($J74&gt;=7,-$E74*$I74/12*3,0))))))</f>
        <v>0</v>
      </c>
      <c r="BO74" s="87">
        <f t="shared" ref="BO74:BO79" si="1076">IF($H74&lt;&gt;BQ$5,0,IF(BQ74&lt;0,IF(OR($J74=1,$J74=2,$J74=3,$J74=4,$J74=5,$J74=6,$J74=7),-$E74*$I74/12*3,IF($J74=8,-$E74*$I74/12*2,IF($J74=9,-$E74*$I74/12*1,0)))))+IF(BL$5&lt;&gt;$H74,0,IF(BL74&lt;0,IF($J74=7,-$E74*$I74/12*0,IF($J74=8,-$E74*$I74/12*1,IF($J74=9,-$E74*$I74/12*2,IF($J74&gt;=10,-$E74*$I74/12*3,0))))))</f>
        <v>0</v>
      </c>
      <c r="BP74" s="88">
        <f t="shared" ref="BP74:BP79" si="1077">IF($H74&lt;&gt;BQ$5,0,IF(BQ74&lt;0,IF(OR($J74=1,$J74=2,$J74=3,$J74=4,$J74=5,$J74=6,$J74=7,$J74=8,$J74=9,$J74=10),-$E74*$I74/12*3,IF($J74=11,-$E74*$I74/12*2,IF($J74=12,-$E74*$I74/12*1,0)))))+IF(BL$5&lt;&gt;$H74,0,IF(BL74&lt;0,IF($J74=10,-$E74*$I74/12*0,IF($J74=11,-$E74*$I74/12*1,IF($J74=12,-$E74*$I74/12*2,0)))))</f>
        <v>0</v>
      </c>
      <c r="BQ74" s="85">
        <f t="shared" ref="BQ74:BQ79" si="1078">IF(AND(BL74&lt;&gt;0,BL$5=$H74),-$I74*$E74-BL74,IF(BQ$5=$H74,-$I74*$E74*(12-$J74+1)/12,0))</f>
        <v>0</v>
      </c>
      <c r="BR74" s="86">
        <f t="shared" ref="BR74:BR79" si="1079">IF($H74&lt;&gt;BV$5,0,IF(BV74&lt;0,IF($J74=1,-$E74*$I74/12*3,IF($J74=2,-$E74*$I74/12*2,IF($J74=3,-$E74*$I74/12*1,0)))))+IF(BQ$5&lt;&gt;$H74,0,IF(BQ74&lt;0,IF($J74=1,-$E74*$I74/12*0,IF($J74=2,-$E74*$I74/12*1,IF($J74=3,-$E74*$I74/12*2,IF($J74&gt;=4,-$E74*$I74/12*3,0))))))</f>
        <v>0</v>
      </c>
      <c r="BS74" s="87">
        <f t="shared" ref="BS74:BS79" si="1080">IF($H74&lt;&gt;BV$5,0,IF(BV74&lt;0,IF(OR($J74=1,$J74=2,$J74=3,$J74=4),-$E74*$I74/12*3,IF($J74=5,-$E74*$I74/12*2,IF($J74=6,-$E74*$I74/12*1,0)))))+IF(BQ$5&lt;&gt;$H74,0,IF(BQ74&lt;0,IF($J74=4,-$E74*$I74/12*0,IF($J74=5,-$E74*$I74/12*1,IF($J74=6,-$E74*$I74/12*2,IF($J74&gt;=7,-$E74*$I74/12*3,0))))))</f>
        <v>0</v>
      </c>
      <c r="BT74" s="87">
        <f t="shared" ref="BT74:BT79" si="1081">IF($H74&lt;&gt;BV$5,0,IF(BV74&lt;0,IF(OR($J74=1,$J74=2,$J74=3,$J74=4,$J74=5,$J74=6,$J74=7),-$E74*$I74/12*3,IF($J74=8,-$E74*$I74/12*2,IF($J74=9,-$E74*$I74/12*1,0)))))+IF(BQ$5&lt;&gt;$H74,0,IF(BQ74&lt;0,IF($J74=7,-$E74*$I74/12*0,IF($J74=8,-$E74*$I74/12*1,IF($J74=9,-$E74*$I74/12*2,IF($J74&gt;=10,-$E74*$I74/12*3,0))))))</f>
        <v>0</v>
      </c>
      <c r="BU74" s="88">
        <f t="shared" ref="BU74:BU79" si="1082">IF($H74&lt;&gt;BV$5,0,IF(BV74&lt;0,IF(OR($J74=1,$J74=2,$J74=3,$J74=4,$J74=5,$J74=6,$J74=7,$J74=8,$J74=9,$J74=10),-$E74*$I74/12*3,IF($J74=11,-$E74*$I74/12*2,IF($J74=12,-$E74*$I74/12*1,0)))))+IF(BQ$5&lt;&gt;$H74,0,IF(BQ74&lt;0,IF($J74=10,-$E74*$I74/12*0,IF($J74=11,-$E74*$I74/12*1,IF($J74=12,-$E74*$I74/12*2,0)))))</f>
        <v>0</v>
      </c>
      <c r="BV74" s="85">
        <f t="shared" ref="BV74:BV79" si="1083">IF(AND(BQ74&lt;&gt;0,BQ$5=$H74),-$I74*$E74-BQ74,IF(BV$5=$H74,-$I74*$E74*(12-$J74+1)/12,0))</f>
        <v>0</v>
      </c>
      <c r="BW74" s="86">
        <f t="shared" ref="BW74:BW79" si="1084">IF($H74&lt;&gt;CA$5,0,IF(CA74&lt;0,IF($J74=1,-$E74*$I74/12*3,IF($J74=2,-$E74*$I74/12*2,IF($J74=3,-$E74*$I74/12*1,0)))))+IF(BV$5&lt;&gt;$H74,0,IF(BV74&lt;0,IF($J74=1,-$E74*$I74/12*0,IF($J74=2,-$E74*$I74/12*1,IF($J74=3,-$E74*$I74/12*2,IF($J74&gt;=4,-$E74*$I74/12*3,0))))))</f>
        <v>0</v>
      </c>
      <c r="BX74" s="87">
        <f t="shared" ref="BX74:BX79" si="1085">IF($H74&lt;&gt;CA$5,0,IF(CA74&lt;0,IF(OR($J74=1,$J74=2,$J74=3,$J74=4),-$E74*$I74/12*3,IF($J74=5,-$E74*$I74/12*2,IF($J74=6,-$E74*$I74/12*1,0)))))+IF(BV$5&lt;&gt;$H74,0,IF(BV74&lt;0,IF($J74=4,-$E74*$I74/12*0,IF($J74=5,-$E74*$I74/12*1,IF($J74=6,-$E74*$I74/12*2,IF($J74&gt;=7,-$E74*$I74/12*3,0))))))</f>
        <v>0</v>
      </c>
      <c r="BY74" s="87">
        <f t="shared" ref="BY74:BY79" si="1086">IF($H74&lt;&gt;CA$5,0,IF(CA74&lt;0,IF(OR($J74=1,$J74=2,$J74=3,$J74=4,$J74=5,$J74=6,$J74=7),-$E74*$I74/12*3,IF($J74=8,-$E74*$I74/12*2,IF($J74=9,-$E74*$I74/12*1,0)))))+IF(BV$5&lt;&gt;$H74,0,IF(BV74&lt;0,IF($J74=7,-$E74*$I74/12*0,IF($J74=8,-$E74*$I74/12*1,IF($J74=9,-$E74*$I74/12*2,IF($J74&gt;=10,-$E74*$I74/12*3,0))))))</f>
        <v>0</v>
      </c>
      <c r="BZ74" s="88">
        <f t="shared" ref="BZ74:BZ79" si="1087">IF($H74&lt;&gt;CA$5,0,IF(CA74&lt;0,IF(OR($J74=1,$J74=2,$J74=3,$J74=4,$J74=5,$J74=6,$J74=7,$J74=8,$J74=9,$J74=10),-$E74*$I74/12*3,IF($J74=11,-$E74*$I74/12*2,IF($J74=12,-$E74*$I74/12*1,0)))))+IF(BV$5&lt;&gt;$H74,0,IF(BV74&lt;0,IF($J74=10,-$E74*$I74/12*0,IF($J74=11,-$E74*$I74/12*1,IF($J74=12,-$E74*$I74/12*2,0)))))</f>
        <v>0</v>
      </c>
      <c r="CA74" s="85">
        <f t="shared" ref="CA74:CA79" si="1088">IF(AND(BV74&lt;&gt;0,BV$5=$H74),-$I74*$E74-BV74,IF(CA$5=$H74,-$I74*$E74*(12-$J74+1)/12,0))</f>
        <v>0</v>
      </c>
      <c r="CB74" s="86">
        <f t="shared" ref="CB74:CB79" si="1089">IF($H74&lt;&gt;CF$5,0,IF(CF74&lt;0,IF($J74=1,-$E74*$I74/12*3,IF($J74=2,-$E74*$I74/12*2,IF($J74=3,-$E74*$I74/12*1,0)))))+IF(CA$5&lt;&gt;$H74,0,IF(CA74&lt;0,IF($J74=1,-$E74*$I74/12*0,IF($J74=2,-$E74*$I74/12*1,IF($J74=3,-$E74*$I74/12*2,IF($J74&gt;=4,-$E74*$I74/12*3,0))))))</f>
        <v>0</v>
      </c>
      <c r="CC74" s="87">
        <f t="shared" ref="CC74:CC79" si="1090">IF($H74&lt;&gt;CF$5,0,IF(CF74&lt;0,IF(OR($J74=1,$J74=2,$J74=3,$J74=4),-$E74*$I74/12*3,IF($J74=5,-$E74*$I74/12*2,IF($J74=6,-$E74*$I74/12*1,0)))))+IF(CA$5&lt;&gt;$H74,0,IF(CA74&lt;0,IF($J74=4,-$E74*$I74/12*0,IF($J74=5,-$E74*$I74/12*1,IF($J74=6,-$E74*$I74/12*2,IF($J74&gt;=7,-$E74*$I74/12*3,0))))))</f>
        <v>0</v>
      </c>
      <c r="CD74" s="87">
        <f t="shared" ref="CD74:CD79" si="1091">IF($H74&lt;&gt;CF$5,0,IF(CF74&lt;0,IF(OR($J74=1,$J74=2,$J74=3,$J74=4,$J74=5,$J74=6,$J74=7),-$E74*$I74/12*3,IF($J74=8,-$E74*$I74/12*2,IF($J74=9,-$E74*$I74/12*1,0)))))+IF(CA$5&lt;&gt;$H74,0,IF(CA74&lt;0,IF($J74=7,-$E74*$I74/12*0,IF($J74=8,-$E74*$I74/12*1,IF($J74=9,-$E74*$I74/12*2,IF($J74&gt;=10,-$E74*$I74/12*3,0))))))</f>
        <v>0</v>
      </c>
      <c r="CE74" s="88">
        <f t="shared" ref="CE74:CE79" si="1092">IF($H74&lt;&gt;CF$5,0,IF(CF74&lt;0,IF(OR($J74=1,$J74=2,$J74=3,$J74=4,$J74=5,$J74=6,$J74=7,$J74=8,$J74=9,$J74=10),-$E74*$I74/12*3,IF($J74=11,-$E74*$I74/12*2,IF($J74=12,-$E74*$I74/12*1,0)))))+IF(CA$5&lt;&gt;$H74,0,IF(CA74&lt;0,IF($J74=10,-$E74*$I74/12*0,IF($J74=11,-$E74*$I74/12*1,IF($J74=12,-$E74*$I74/12*2,0)))))</f>
        <v>0</v>
      </c>
      <c r="CF74" s="85">
        <f t="shared" ref="CF74:CF79" si="1093">IF(AND(CA74&lt;&gt;0,CA$5=$H74),-$I74*$E74-CA74,IF(CF$5=$H74,-$I74*$E74*(12-$J74+1)/12,0))</f>
        <v>0</v>
      </c>
      <c r="CG74" s="86">
        <f t="shared" ref="CG74:CG79" si="1094">IF($H74&lt;&gt;CK$5,0,IF(CK74&lt;0,IF($J74=1,-$E74*$I74/12*3,IF($J74=2,-$E74*$I74/12*2,IF($J74=3,-$E74*$I74/12*1,0)))))+IF(CF$5&lt;&gt;$H74,0,IF(CF74&lt;0,IF($J74=1,-$E74*$I74/12*0,IF($J74=2,-$E74*$I74/12*1,IF($J74=3,-$E74*$I74/12*2,IF($J74&gt;=4,-$E74*$I74/12*3,0))))))</f>
        <v>0</v>
      </c>
      <c r="CH74" s="87">
        <f t="shared" ref="CH74:CH79" si="1095">IF($H74&lt;&gt;CK$5,0,IF(CK74&lt;0,IF(OR($J74=1,$J74=2,$J74=3,$J74=4),-$E74*$I74/12*3,IF($J74=5,-$E74*$I74/12*2,IF($J74=6,-$E74*$I74/12*1,0)))))+IF(CF$5&lt;&gt;$H74,0,IF(CF74&lt;0,IF($J74=4,-$E74*$I74/12*0,IF($J74=5,-$E74*$I74/12*1,IF($J74=6,-$E74*$I74/12*2,IF($J74&gt;=7,-$E74*$I74/12*3,0))))))</f>
        <v>0</v>
      </c>
      <c r="CI74" s="87">
        <f t="shared" ref="CI74:CI79" si="1096">IF($H74&lt;&gt;CK$5,0,IF(CK74&lt;0,IF(OR($J74=1,$J74=2,$J74=3,$J74=4,$J74=5,$J74=6,$J74=7),-$E74*$I74/12*3,IF($J74=8,-$E74*$I74/12*2,IF($J74=9,-$E74*$I74/12*1,0)))))+IF(CF$5&lt;&gt;$H74,0,IF(CF74&lt;0,IF($J74=7,-$E74*$I74/12*0,IF($J74=8,-$E74*$I74/12*1,IF($J74=9,-$E74*$I74/12*2,IF($J74&gt;=10,-$E74*$I74/12*3,0))))))</f>
        <v>0</v>
      </c>
      <c r="CJ74" s="88">
        <f t="shared" ref="CJ74:CJ79" si="1097">IF($H74&lt;&gt;CK$5,0,IF(CK74&lt;0,IF(OR($J74=1,$J74=2,$J74=3,$J74=4,$J74=5,$J74=6,$J74=7,$J74=8,$J74=9,$J74=10),-$E74*$I74/12*3,IF($J74=11,-$E74*$I74/12*2,IF($J74=12,-$E74*$I74/12*1,0)))))+IF(CF$5&lt;&gt;$H74,0,IF(CF74&lt;0,IF($J74=10,-$E74*$I74/12*0,IF($J74=11,-$E74*$I74/12*1,IF($J74=12,-$E74*$I74/12*2,0)))))</f>
        <v>0</v>
      </c>
      <c r="CK74" s="85">
        <f t="shared" ref="CK74:CK79" si="1098">IF(AND(CF74&lt;&gt;0,CF$5=$H74),-$I74*$E74-CF74,IF(CK$5=$H74,-$I74*$E74*(12-$J74+1)/12,0))</f>
        <v>0</v>
      </c>
      <c r="CL74" s="86">
        <f t="shared" ref="CL74:CL79" si="1099">IF($H74&lt;&gt;CP$5,0,IF(CP74&lt;0,IF($J74=1,-$E74*$I74/12*3,IF($J74=2,-$E74*$I74/12*2,IF($J74=3,-$E74*$I74/12*1,0)))))+IF(CK$5&lt;&gt;$H74,0,IF(CK74&lt;0,IF($J74=1,-$E74*$I74/12*0,IF($J74=2,-$E74*$I74/12*1,IF($J74=3,-$E74*$I74/12*2,IF($J74&gt;=4,-$E74*$I74/12*3,0))))))</f>
        <v>0</v>
      </c>
      <c r="CM74" s="87">
        <f t="shared" ref="CM74:CM79" si="1100">IF($H74&lt;&gt;CP$5,0,IF(CP74&lt;0,IF(OR($J74=1,$J74=2,$J74=3,$J74=4),-$E74*$I74/12*3,IF($J74=5,-$E74*$I74/12*2,IF($J74=6,-$E74*$I74/12*1,0)))))+IF(CK$5&lt;&gt;$H74,0,IF(CK74&lt;0,IF($J74=4,-$E74*$I74/12*0,IF($J74=5,-$E74*$I74/12*1,IF($J74=6,-$E74*$I74/12*2,IF($J74&gt;=7,-$E74*$I74/12*3,0))))))</f>
        <v>0</v>
      </c>
      <c r="CN74" s="87">
        <f t="shared" ref="CN74:CN79" si="1101">IF($H74&lt;&gt;CP$5,0,IF(CP74&lt;0,IF(OR($J74=1,$J74=2,$J74=3,$J74=4,$J74=5,$J74=6,$J74=7),-$E74*$I74/12*3,IF($J74=8,-$E74*$I74/12*2,IF($J74=9,-$E74*$I74/12*1,0)))))+IF(CK$5&lt;&gt;$H74,0,IF(CK74&lt;0,IF($J74=7,-$E74*$I74/12*0,IF($J74=8,-$E74*$I74/12*1,IF($J74=9,-$E74*$I74/12*2,IF($J74&gt;=10,-$E74*$I74/12*3,0))))))</f>
        <v>0</v>
      </c>
      <c r="CO74" s="88">
        <f t="shared" ref="CO74:CO79" si="1102">IF($H74&lt;&gt;CP$5,0,IF(CP74&lt;0,IF(OR($J74=1,$J74=2,$J74=3,$J74=4,$J74=5,$J74=6,$J74=7,$J74=8,$J74=9,$J74=10),-$E74*$I74/12*3,IF($J74=11,-$E74*$I74/12*2,IF($J74=12,-$E74*$I74/12*1,0)))))+IF(CK$5&lt;&gt;$H74,0,IF(CK74&lt;0,IF($J74=10,-$E74*$I74/12*0,IF($J74=11,-$E74*$I74/12*1,IF($J74=12,-$E74*$I74/12*2,0)))))</f>
        <v>0</v>
      </c>
      <c r="CP74" s="85">
        <f t="shared" ref="CP74:CP79" si="1103">IF(AND(CK74&lt;&gt;0,CK$5=$H74),-$I74*$E74-CK74,IF(CP$5=$H74,-$I74*$E74*(12-$J74+1)/12,0))</f>
        <v>0</v>
      </c>
      <c r="CQ74" s="86">
        <f t="shared" ref="CQ74:CQ79" si="1104">IF($H74&lt;&gt;CU$5,0,IF(CU74&lt;0,IF($J74=1,-$E74*$I74/12*3,IF($J74=2,-$E74*$I74/12*2,IF($J74=3,-$E74*$I74/12*1,0)))))+IF(CP$5&lt;&gt;$H74,0,IF(CP74&lt;0,IF($J74=1,-$E74*$I74/12*0,IF($J74=2,-$E74*$I74/12*1,IF($J74=3,-$E74*$I74/12*2,IF($J74&gt;=4,-$E74*$I74/12*3,0))))))</f>
        <v>0</v>
      </c>
      <c r="CR74" s="87">
        <f t="shared" ref="CR74:CR79" si="1105">IF($H74&lt;&gt;CU$5,0,IF(CU74&lt;0,IF(OR($J74=1,$J74=2,$J74=3,$J74=4),-$E74*$I74/12*3,IF($J74=5,-$E74*$I74/12*2,IF($J74=6,-$E74*$I74/12*1,0)))))+IF(CP$5&lt;&gt;$H74,0,IF(CP74&lt;0,IF($J74=4,-$E74*$I74/12*0,IF($J74=5,-$E74*$I74/12*1,IF($J74=6,-$E74*$I74/12*2,IF($J74&gt;=7,-$E74*$I74/12*3,0))))))</f>
        <v>0</v>
      </c>
      <c r="CS74" s="87">
        <f t="shared" ref="CS74:CS79" si="1106">IF($H74&lt;&gt;CU$5,0,IF(CU74&lt;0,IF(OR($J74=1,$J74=2,$J74=3,$J74=4,$J74=5,$J74=6,$J74=7),-$E74*$I74/12*3,IF($J74=8,-$E74*$I74/12*2,IF($J74=9,-$E74*$I74/12*1,0)))))+IF(CP$5&lt;&gt;$H74,0,IF(CP74&lt;0,IF($J74=7,-$E74*$I74/12*0,IF($J74=8,-$E74*$I74/12*1,IF($J74=9,-$E74*$I74/12*2,IF($J74&gt;=10,-$E74*$I74/12*3,0))))))</f>
        <v>0</v>
      </c>
      <c r="CT74" s="88">
        <f t="shared" ref="CT74:CT79" si="1107">IF($H74&lt;&gt;CU$5,0,IF(CU74&lt;0,IF(OR($J74=1,$J74=2,$J74=3,$J74=4,$J74=5,$J74=6,$J74=7,$J74=8,$J74=9,$J74=10),-$E74*$I74/12*3,IF($J74=11,-$E74*$I74/12*2,IF($J74=12,-$E74*$I74/12*1,0)))))+IF(CP$5&lt;&gt;$H74,0,IF(CP74&lt;0,IF($J74=10,-$E74*$I74/12*0,IF($J74=11,-$E74*$I74/12*1,IF($J74=12,-$E74*$I74/12*2,0)))))</f>
        <v>0</v>
      </c>
      <c r="CU74" s="85">
        <f t="shared" ref="CU74:CU79" si="1108">IF(AND(CP74&lt;&gt;0,CP$5=$H74),-$I74*$E74-CP74,IF(CU$5=$H74,-$I74*$E74*(12-$J74+1)/12,0))</f>
        <v>0</v>
      </c>
      <c r="CV74" s="86">
        <f t="shared" ref="CV74:CV88" si="1109">IF($H74&lt;&gt;CZ$5,0,IF(CZ74&lt;0,IF($J74=1,-$E74*$I74/12*3,IF($J74=2,-$E74*$I74/12*2,IF($J74=3,-$E74*$I74/12*1,0)))))+IF(CU$5&lt;&gt;$H74,0,IF(CU74&lt;0,IF($J74=1,-$E74*$I74/12*0,IF($J74=2,-$E74*$I74/12*1,IF($J74=3,-$E74*$I74/12*2,IF($J74&gt;=4,-$E74*$I74/12*3,0))))))</f>
        <v>0</v>
      </c>
      <c r="CW74" s="87">
        <f t="shared" ref="CW74:CW88" si="1110">IF($H74&lt;&gt;CZ$5,0,IF(CZ74&lt;0,IF(OR($J74=1,$J74=2,$J74=3,$J74=4),-$E74*$I74/12*3,IF($J74=5,-$E74*$I74/12*2,IF($J74=6,-$E74*$I74/12*1,0)))))+IF(CU$5&lt;&gt;$H74,0,IF(CU74&lt;0,IF($J74=4,-$E74*$I74/12*0,IF($J74=5,-$E74*$I74/12*1,IF($J74=6,-$E74*$I74/12*2,IF($J74&gt;=7,-$E74*$I74/12*3,0))))))</f>
        <v>0</v>
      </c>
      <c r="CX74" s="87">
        <f t="shared" ref="CX74:CX88" si="1111">IF($H74&lt;&gt;CZ$5,0,IF(CZ74&lt;0,IF(OR($J74=1,$J74=2,$J74=3,$J74=4,$J74=5,$J74=6,$J74=7),-$E74*$I74/12*3,IF($J74=8,-$E74*$I74/12*2,IF($J74=9,-$E74*$I74/12*1,0)))))+IF(CU$5&lt;&gt;$H74,0,IF(CU74&lt;0,IF($J74=7,-$E74*$I74/12*0,IF($J74=8,-$E74*$I74/12*1,IF($J74=9,-$E74*$I74/12*2,IF($J74&gt;=10,-$E74*$I74/12*3,0))))))</f>
        <v>0</v>
      </c>
      <c r="CY74" s="88">
        <f t="shared" ref="CY74:CY88" si="1112">IF($H74&lt;&gt;CZ$5,0,IF(CZ74&lt;0,IF(OR($J74=1,$J74=2,$J74=3,$J74=4,$J74=5,$J74=6,$J74=7,$J74=8,$J74=9,$J74=10),-$E74*$I74/12*3,IF($J74=11,-$E74*$I74/12*2,IF($J74=12,-$E74*$I74/12*1,0)))))+IF(CU$5&lt;&gt;$H74,0,IF(CU74&lt;0,IF($J74=10,-$E74*$I74/12*0,IF($J74=11,-$E74*$I74/12*1,IF($J74=12,-$E74*$I74/12*2,0)))))</f>
        <v>0</v>
      </c>
      <c r="CZ74" s="85">
        <f t="shared" ref="CZ74:CZ88" si="1113">IF(AND(CU74&lt;&gt;0,CU$5=$H74),-$I74*$E74-CU74,IF(CZ$5=$H74,-$I74*$E74*(12-$J74+1)/12,0))</f>
        <v>0</v>
      </c>
      <c r="DA74" s="232"/>
      <c r="DB74" s="232"/>
      <c r="DC74" s="232"/>
      <c r="DD74" s="232"/>
      <c r="DE74" s="232"/>
      <c r="DF74" s="232"/>
      <c r="DG74" s="232"/>
      <c r="DH74" s="232"/>
      <c r="DI74" s="232"/>
      <c r="DJ74" s="232"/>
      <c r="DK74" s="232"/>
      <c r="DL74" s="232"/>
      <c r="DM74" s="232"/>
      <c r="DN74" s="232"/>
      <c r="DO74" s="232"/>
      <c r="DP74" s="232"/>
      <c r="DQ74" s="232"/>
      <c r="DR74" s="232"/>
      <c r="DS74" s="232"/>
      <c r="DT74" s="232"/>
      <c r="DU74" s="232"/>
      <c r="DV74" s="232"/>
      <c r="DW74" s="232"/>
      <c r="DX74" s="232"/>
      <c r="DY74" s="232"/>
      <c r="DZ74" s="232"/>
      <c r="EA74" s="232"/>
      <c r="EB74" s="232"/>
      <c r="EC74" s="232"/>
      <c r="ED74" s="232"/>
      <c r="EE74" s="232"/>
      <c r="EF74" s="232"/>
      <c r="EG74" s="232"/>
      <c r="EH74" s="232"/>
      <c r="EI74" s="232"/>
      <c r="EJ74" s="232"/>
      <c r="EK74" s="232"/>
      <c r="EL74" s="232"/>
      <c r="EM74" s="232"/>
      <c r="EN74" s="232"/>
      <c r="EO74" s="232"/>
      <c r="EP74" s="232"/>
      <c r="EQ74" s="232"/>
      <c r="ER74" s="232"/>
      <c r="ES74" s="232"/>
      <c r="ET74" s="232"/>
      <c r="EU74" s="232"/>
      <c r="EV74" s="232"/>
      <c r="EW74" s="232"/>
      <c r="EX74" s="232"/>
      <c r="EY74" s="232"/>
      <c r="EZ74" s="232"/>
      <c r="FA74" s="232"/>
      <c r="FB74" s="232"/>
      <c r="FC74" s="232"/>
      <c r="FD74" s="232"/>
      <c r="FE74" s="232"/>
      <c r="FF74" s="232"/>
      <c r="FG74" s="232"/>
      <c r="FH74" s="232"/>
      <c r="FI74" s="232"/>
      <c r="FJ74" s="232"/>
      <c r="FK74" s="232"/>
      <c r="FL74" s="232"/>
      <c r="FM74" s="232"/>
      <c r="FN74" s="232"/>
      <c r="FO74" s="232"/>
      <c r="FP74" s="232"/>
      <c r="FQ74" s="232"/>
      <c r="FR74" s="232"/>
      <c r="FS74" s="232"/>
      <c r="FT74" s="232"/>
      <c r="FU74" s="232"/>
      <c r="FV74" s="232"/>
      <c r="FW74" s="232"/>
      <c r="FX74" s="232"/>
      <c r="FY74" s="232"/>
      <c r="FZ74" s="232"/>
      <c r="GA74" s="232"/>
      <c r="GB74" s="232"/>
      <c r="GC74" s="232"/>
      <c r="GD74" s="232"/>
      <c r="GE74" s="232"/>
      <c r="GF74" s="232"/>
      <c r="GG74" s="232"/>
      <c r="GH74" s="232"/>
      <c r="GI74" s="232"/>
      <c r="GJ74" s="232"/>
      <c r="GK74" s="232"/>
      <c r="GL74" s="232"/>
      <c r="GM74" s="232"/>
      <c r="GN74" s="232"/>
      <c r="GO74" s="232"/>
      <c r="GP74" s="232"/>
      <c r="GQ74" s="232"/>
      <c r="GR74" s="232"/>
      <c r="GS74" s="232"/>
      <c r="GT74" s="232"/>
      <c r="GU74" s="232"/>
      <c r="GV74" s="232"/>
      <c r="GW74" s="232"/>
      <c r="GX74" s="232"/>
      <c r="GY74" s="232"/>
      <c r="GZ74" s="232"/>
      <c r="HA74" s="232"/>
      <c r="HB74" s="232"/>
      <c r="HC74" s="232"/>
      <c r="HD74" s="232"/>
      <c r="HE74" s="232"/>
      <c r="HF74" s="232"/>
      <c r="HG74" s="232"/>
      <c r="HH74" s="232"/>
      <c r="HI74" s="232"/>
      <c r="HJ74" s="232"/>
      <c r="HK74" s="232"/>
      <c r="HL74" s="232"/>
      <c r="HM74" s="232"/>
      <c r="HN74" s="232"/>
      <c r="HO74" s="232"/>
      <c r="HP74" s="232"/>
      <c r="HQ74" s="232"/>
      <c r="HR74" s="232"/>
      <c r="HS74" s="232"/>
      <c r="HT74" s="232"/>
      <c r="HU74" s="232"/>
      <c r="HV74" s="232"/>
      <c r="HW74" s="232"/>
      <c r="HX74" s="232"/>
      <c r="HY74" s="232"/>
      <c r="HZ74" s="232"/>
      <c r="IA74" s="232"/>
      <c r="IB74" s="232"/>
      <c r="IC74" s="232"/>
      <c r="ID74" s="232"/>
      <c r="IE74" s="232"/>
      <c r="IF74" s="232"/>
      <c r="IG74" s="232"/>
      <c r="IH74" s="232"/>
      <c r="II74" s="232"/>
      <c r="IJ74" s="232"/>
      <c r="IK74" s="232"/>
      <c r="IL74" s="232"/>
      <c r="IM74" s="232"/>
      <c r="IN74" s="232"/>
      <c r="IO74" s="232"/>
      <c r="IP74" s="232"/>
      <c r="IQ74" s="232"/>
      <c r="IR74" s="232"/>
      <c r="IS74" s="232"/>
      <c r="IT74" s="232"/>
      <c r="IU74" s="232"/>
      <c r="IV74" s="232"/>
      <c r="IW74" s="232"/>
      <c r="IX74" s="232"/>
      <c r="IY74" s="232"/>
      <c r="IZ74" s="232"/>
      <c r="JA74" s="232"/>
      <c r="JB74" s="232"/>
      <c r="JC74" s="232"/>
      <c r="JD74" s="232"/>
      <c r="JE74" s="232"/>
    </row>
    <row r="75" spans="1:265" ht="12.75" customHeight="1">
      <c r="A75" s="4"/>
      <c r="B75" s="4"/>
      <c r="C75" s="4" t="s">
        <v>1096</v>
      </c>
      <c r="D75" s="2117"/>
      <c r="E75" s="1332">
        <f>IF(F75=0,G75,F75)</f>
        <v>8</v>
      </c>
      <c r="F75" s="2314">
        <v>8</v>
      </c>
      <c r="G75" s="1510">
        <v>8</v>
      </c>
      <c r="H75" s="1334">
        <v>2031</v>
      </c>
      <c r="I75" s="1512">
        <v>0.05</v>
      </c>
      <c r="J75" s="1334">
        <v>7</v>
      </c>
      <c r="K75" s="80"/>
      <c r="L75" s="81">
        <f t="shared" si="1022"/>
        <v>0</v>
      </c>
      <c r="M75" s="82">
        <f t="shared" si="1023"/>
        <v>0</v>
      </c>
      <c r="N75" s="83">
        <f t="shared" si="1024"/>
        <v>0</v>
      </c>
      <c r="O75" s="83">
        <f t="shared" si="1025"/>
        <v>0</v>
      </c>
      <c r="P75" s="84">
        <f t="shared" si="1026"/>
        <v>0</v>
      </c>
      <c r="Q75" s="81">
        <f t="shared" si="1027"/>
        <v>0</v>
      </c>
      <c r="R75" s="82">
        <f t="shared" si="1028"/>
        <v>0</v>
      </c>
      <c r="S75" s="83">
        <f t="shared" si="1029"/>
        <v>0</v>
      </c>
      <c r="T75" s="83">
        <f t="shared" si="1030"/>
        <v>0</v>
      </c>
      <c r="U75" s="84">
        <f t="shared" si="1031"/>
        <v>0</v>
      </c>
      <c r="V75" s="81">
        <f t="shared" si="1032"/>
        <v>0</v>
      </c>
      <c r="W75" s="82">
        <f t="shared" si="1033"/>
        <v>0</v>
      </c>
      <c r="X75" s="83">
        <f t="shared" si="1034"/>
        <v>0</v>
      </c>
      <c r="Y75" s="83">
        <f t="shared" si="1035"/>
        <v>0</v>
      </c>
      <c r="Z75" s="84">
        <f t="shared" si="1036"/>
        <v>0</v>
      </c>
      <c r="AA75" s="81">
        <f t="shared" si="1037"/>
        <v>0</v>
      </c>
      <c r="AB75" s="82">
        <f t="shared" si="1038"/>
        <v>0</v>
      </c>
      <c r="AC75" s="83">
        <f t="shared" si="1039"/>
        <v>0</v>
      </c>
      <c r="AD75" s="83">
        <f t="shared" si="1040"/>
        <v>0</v>
      </c>
      <c r="AE75" s="84">
        <f t="shared" si="1041"/>
        <v>0</v>
      </c>
      <c r="AF75" s="81">
        <f t="shared" si="1042"/>
        <v>0</v>
      </c>
      <c r="AG75" s="82">
        <f t="shared" si="1043"/>
        <v>0</v>
      </c>
      <c r="AH75" s="83">
        <f t="shared" si="1044"/>
        <v>0</v>
      </c>
      <c r="AI75" s="83">
        <f t="shared" si="1045"/>
        <v>0</v>
      </c>
      <c r="AJ75" s="84">
        <f t="shared" si="1046"/>
        <v>0</v>
      </c>
      <c r="AK75" s="81">
        <f t="shared" si="1047"/>
        <v>0</v>
      </c>
      <c r="AL75" s="82">
        <f t="shared" si="1048"/>
        <v>0</v>
      </c>
      <c r="AM75" s="83">
        <f t="shared" si="1049"/>
        <v>0</v>
      </c>
      <c r="AN75" s="83">
        <f t="shared" si="1050"/>
        <v>0</v>
      </c>
      <c r="AO75" s="84">
        <f t="shared" si="1051"/>
        <v>0</v>
      </c>
      <c r="AP75" s="81">
        <f t="shared" si="1052"/>
        <v>0</v>
      </c>
      <c r="AQ75" s="82">
        <f t="shared" si="1053"/>
        <v>0</v>
      </c>
      <c r="AR75" s="83">
        <f t="shared" si="1054"/>
        <v>0</v>
      </c>
      <c r="AS75" s="83">
        <f t="shared" si="1055"/>
        <v>0</v>
      </c>
      <c r="AT75" s="84">
        <f t="shared" si="1056"/>
        <v>0</v>
      </c>
      <c r="AU75" s="81">
        <f t="shared" si="1057"/>
        <v>0</v>
      </c>
      <c r="AV75" s="82">
        <f t="shared" si="1058"/>
        <v>0</v>
      </c>
      <c r="AW75" s="83">
        <f t="shared" si="1059"/>
        <v>0</v>
      </c>
      <c r="AX75" s="83">
        <f t="shared" si="1060"/>
        <v>0</v>
      </c>
      <c r="AY75" s="84">
        <f t="shared" si="1061"/>
        <v>0</v>
      </c>
      <c r="AZ75" s="81">
        <f t="shared" si="1062"/>
        <v>0</v>
      </c>
      <c r="BA75" s="82">
        <f t="shared" si="1063"/>
        <v>0</v>
      </c>
      <c r="BB75" s="83">
        <f t="shared" si="1064"/>
        <v>0</v>
      </c>
      <c r="BC75" s="83">
        <f t="shared" si="1065"/>
        <v>0</v>
      </c>
      <c r="BD75" s="84">
        <f t="shared" si="1066"/>
        <v>0</v>
      </c>
      <c r="BE75" s="81">
        <f t="shared" si="1067"/>
        <v>0</v>
      </c>
      <c r="BF75" s="1877"/>
      <c r="BG75" s="2005">
        <f t="shared" si="1068"/>
        <v>0</v>
      </c>
      <c r="BH75" s="86">
        <f t="shared" si="1069"/>
        <v>0</v>
      </c>
      <c r="BI75" s="87">
        <f t="shared" si="1070"/>
        <v>0</v>
      </c>
      <c r="BJ75" s="87">
        <f t="shared" si="1071"/>
        <v>0</v>
      </c>
      <c r="BK75" s="88">
        <f t="shared" si="1072"/>
        <v>0</v>
      </c>
      <c r="BL75" s="85">
        <f t="shared" si="1073"/>
        <v>0</v>
      </c>
      <c r="BM75" s="86">
        <f t="shared" si="1074"/>
        <v>0</v>
      </c>
      <c r="BN75" s="87">
        <f t="shared" si="1075"/>
        <v>0</v>
      </c>
      <c r="BO75" s="87">
        <f t="shared" si="1076"/>
        <v>0</v>
      </c>
      <c r="BP75" s="88">
        <f t="shared" si="1077"/>
        <v>0</v>
      </c>
      <c r="BQ75" s="85">
        <f t="shared" si="1078"/>
        <v>0</v>
      </c>
      <c r="BR75" s="86">
        <f t="shared" si="1079"/>
        <v>0</v>
      </c>
      <c r="BS75" s="87">
        <f t="shared" si="1080"/>
        <v>0</v>
      </c>
      <c r="BT75" s="87">
        <f t="shared" si="1081"/>
        <v>0</v>
      </c>
      <c r="BU75" s="88">
        <f t="shared" si="1082"/>
        <v>0</v>
      </c>
      <c r="BV75" s="85">
        <f t="shared" si="1083"/>
        <v>0</v>
      </c>
      <c r="BW75" s="86">
        <f t="shared" si="1084"/>
        <v>0</v>
      </c>
      <c r="BX75" s="87">
        <f t="shared" si="1085"/>
        <v>0</v>
      </c>
      <c r="BY75" s="87">
        <f t="shared" si="1086"/>
        <v>0</v>
      </c>
      <c r="BZ75" s="88">
        <f t="shared" si="1087"/>
        <v>0</v>
      </c>
      <c r="CA75" s="85">
        <f t="shared" si="1088"/>
        <v>0</v>
      </c>
      <c r="CB75" s="86">
        <f t="shared" si="1089"/>
        <v>0</v>
      </c>
      <c r="CC75" s="87">
        <f t="shared" si="1090"/>
        <v>0</v>
      </c>
      <c r="CD75" s="87">
        <f t="shared" si="1091"/>
        <v>0</v>
      </c>
      <c r="CE75" s="88">
        <f t="shared" si="1092"/>
        <v>0</v>
      </c>
      <c r="CF75" s="85">
        <f t="shared" si="1093"/>
        <v>0</v>
      </c>
      <c r="CG75" s="86">
        <f t="shared" si="1094"/>
        <v>0</v>
      </c>
      <c r="CH75" s="87">
        <f t="shared" si="1095"/>
        <v>0</v>
      </c>
      <c r="CI75" s="87">
        <f t="shared" si="1096"/>
        <v>0</v>
      </c>
      <c r="CJ75" s="88">
        <f t="shared" si="1097"/>
        <v>0</v>
      </c>
      <c r="CK75" s="85">
        <f t="shared" si="1098"/>
        <v>0</v>
      </c>
      <c r="CL75" s="86">
        <f t="shared" si="1099"/>
        <v>0</v>
      </c>
      <c r="CM75" s="87">
        <f t="shared" si="1100"/>
        <v>0</v>
      </c>
      <c r="CN75" s="87">
        <f t="shared" si="1101"/>
        <v>0</v>
      </c>
      <c r="CO75" s="88">
        <f t="shared" si="1102"/>
        <v>0</v>
      </c>
      <c r="CP75" s="85">
        <f t="shared" si="1103"/>
        <v>0</v>
      </c>
      <c r="CQ75" s="86">
        <f t="shared" si="1104"/>
        <v>0</v>
      </c>
      <c r="CR75" s="87">
        <f t="shared" si="1105"/>
        <v>0</v>
      </c>
      <c r="CS75" s="87">
        <f t="shared" si="1106"/>
        <v>0</v>
      </c>
      <c r="CT75" s="88">
        <f t="shared" si="1107"/>
        <v>0</v>
      </c>
      <c r="CU75" s="85">
        <f t="shared" si="1108"/>
        <v>0</v>
      </c>
      <c r="CV75" s="86">
        <f t="shared" si="1109"/>
        <v>0</v>
      </c>
      <c r="CW75" s="87">
        <f t="shared" si="1110"/>
        <v>0</v>
      </c>
      <c r="CX75" s="87">
        <f t="shared" si="1111"/>
        <v>0</v>
      </c>
      <c r="CY75" s="88">
        <f t="shared" si="1112"/>
        <v>0</v>
      </c>
      <c r="CZ75" s="85">
        <f t="shared" si="1113"/>
        <v>0</v>
      </c>
      <c r="DA75" s="232"/>
      <c r="DB75" s="232"/>
      <c r="DC75" s="232"/>
      <c r="DD75" s="232"/>
      <c r="DE75" s="232"/>
      <c r="DF75" s="232"/>
      <c r="DG75" s="232"/>
      <c r="DH75" s="232"/>
      <c r="DI75" s="232"/>
      <c r="DJ75" s="232"/>
      <c r="DK75" s="232"/>
      <c r="DL75" s="232"/>
      <c r="DM75" s="232"/>
      <c r="DN75" s="232"/>
      <c r="DO75" s="232"/>
      <c r="DP75" s="232"/>
      <c r="DQ75" s="232"/>
      <c r="DR75" s="232"/>
      <c r="DS75" s="232"/>
      <c r="DT75" s="232"/>
      <c r="DU75" s="232"/>
      <c r="DV75" s="232"/>
      <c r="DW75" s="232"/>
      <c r="DX75" s="232"/>
      <c r="DY75" s="232"/>
      <c r="DZ75" s="232"/>
      <c r="EA75" s="232"/>
      <c r="EB75" s="232"/>
      <c r="EC75" s="232"/>
      <c r="ED75" s="232"/>
      <c r="EE75" s="232"/>
      <c r="EF75" s="232"/>
      <c r="EG75" s="232"/>
      <c r="EH75" s="232"/>
      <c r="EI75" s="232"/>
      <c r="EJ75" s="232"/>
      <c r="EK75" s="232"/>
      <c r="EL75" s="232"/>
      <c r="EM75" s="232"/>
      <c r="EN75" s="232"/>
      <c r="EO75" s="232"/>
      <c r="EP75" s="232"/>
      <c r="EQ75" s="232"/>
      <c r="ER75" s="232"/>
      <c r="ES75" s="232"/>
      <c r="ET75" s="232"/>
      <c r="EU75" s="232"/>
      <c r="EV75" s="232"/>
      <c r="EW75" s="232"/>
      <c r="EX75" s="232"/>
      <c r="EY75" s="232"/>
      <c r="EZ75" s="232"/>
      <c r="FA75" s="232"/>
      <c r="FB75" s="232"/>
      <c r="FC75" s="232"/>
      <c r="FD75" s="232"/>
      <c r="FE75" s="232"/>
      <c r="FF75" s="232"/>
      <c r="FG75" s="232"/>
      <c r="FH75" s="232"/>
      <c r="FI75" s="232"/>
      <c r="FJ75" s="232"/>
      <c r="FK75" s="232"/>
      <c r="FL75" s="232"/>
      <c r="FM75" s="232"/>
      <c r="FN75" s="232"/>
      <c r="FO75" s="232"/>
      <c r="FP75" s="232"/>
      <c r="FQ75" s="232"/>
      <c r="FR75" s="232"/>
      <c r="FS75" s="232"/>
      <c r="FT75" s="232"/>
      <c r="FU75" s="232"/>
      <c r="FV75" s="232"/>
      <c r="FW75" s="232"/>
      <c r="FX75" s="232"/>
      <c r="FY75" s="232"/>
      <c r="FZ75" s="232"/>
      <c r="GA75" s="232"/>
      <c r="GB75" s="232"/>
      <c r="GC75" s="232"/>
      <c r="GD75" s="232"/>
      <c r="GE75" s="232"/>
      <c r="GF75" s="232"/>
      <c r="GG75" s="232"/>
      <c r="GH75" s="232"/>
      <c r="GI75" s="232"/>
      <c r="GJ75" s="232"/>
      <c r="GK75" s="232"/>
      <c r="GL75" s="232"/>
      <c r="GM75" s="232"/>
      <c r="GN75" s="232"/>
      <c r="GO75" s="232"/>
      <c r="GP75" s="232"/>
      <c r="GQ75" s="232"/>
      <c r="GR75" s="232"/>
      <c r="GS75" s="232"/>
      <c r="GT75" s="232"/>
      <c r="GU75" s="232"/>
      <c r="GV75" s="232"/>
      <c r="GW75" s="232"/>
      <c r="GX75" s="232"/>
      <c r="GY75" s="232"/>
      <c r="GZ75" s="232"/>
      <c r="HA75" s="232"/>
      <c r="HB75" s="232"/>
      <c r="HC75" s="232"/>
      <c r="HD75" s="232"/>
      <c r="HE75" s="232"/>
      <c r="HF75" s="232"/>
      <c r="HG75" s="232"/>
      <c r="HH75" s="232"/>
      <c r="HI75" s="232"/>
      <c r="HJ75" s="232"/>
      <c r="HK75" s="232"/>
      <c r="HL75" s="232"/>
      <c r="HM75" s="232"/>
      <c r="HN75" s="232"/>
      <c r="HO75" s="232"/>
      <c r="HP75" s="232"/>
      <c r="HQ75" s="232"/>
      <c r="HR75" s="232"/>
      <c r="HS75" s="232"/>
      <c r="HT75" s="232"/>
      <c r="HU75" s="232"/>
      <c r="HV75" s="232"/>
      <c r="HW75" s="232"/>
      <c r="HX75" s="232"/>
      <c r="HY75" s="232"/>
      <c r="HZ75" s="232"/>
      <c r="IA75" s="232"/>
      <c r="IB75" s="232"/>
      <c r="IC75" s="232"/>
      <c r="ID75" s="232"/>
      <c r="IE75" s="232"/>
      <c r="IF75" s="232"/>
      <c r="IG75" s="232"/>
      <c r="IH75" s="232"/>
      <c r="II75" s="232"/>
      <c r="IJ75" s="232"/>
      <c r="IK75" s="232"/>
      <c r="IL75" s="232"/>
      <c r="IM75" s="232"/>
      <c r="IN75" s="232"/>
      <c r="IO75" s="232"/>
      <c r="IP75" s="232"/>
      <c r="IQ75" s="232"/>
      <c r="IR75" s="232"/>
      <c r="IS75" s="232"/>
      <c r="IT75" s="232"/>
      <c r="IU75" s="232"/>
      <c r="IV75" s="232"/>
      <c r="IW75" s="232"/>
      <c r="IX75" s="232"/>
      <c r="IY75" s="232"/>
      <c r="IZ75" s="232"/>
      <c r="JA75" s="232"/>
      <c r="JB75" s="232"/>
      <c r="JC75" s="232"/>
      <c r="JD75" s="232"/>
      <c r="JE75" s="232"/>
    </row>
    <row r="76" spans="1:265" ht="12.75" customHeight="1">
      <c r="A76" s="4"/>
      <c r="B76" s="4"/>
      <c r="C76" t="s">
        <v>980</v>
      </c>
      <c r="D76" s="2117"/>
      <c r="E76" s="1332">
        <f t="shared" ref="E76:E86" si="1114">IF(F76=0,G76,F76)</f>
        <v>300</v>
      </c>
      <c r="F76" s="2314">
        <v>300</v>
      </c>
      <c r="G76" s="1510">
        <v>300</v>
      </c>
      <c r="H76" s="1334">
        <v>2021</v>
      </c>
      <c r="I76" s="1841">
        <v>0.05</v>
      </c>
      <c r="J76" s="1334">
        <v>2</v>
      </c>
      <c r="K76" s="80"/>
      <c r="L76" s="81">
        <f t="shared" si="1022"/>
        <v>0</v>
      </c>
      <c r="M76" s="82">
        <f t="shared" si="1023"/>
        <v>0</v>
      </c>
      <c r="N76" s="83">
        <f t="shared" si="1024"/>
        <v>0</v>
      </c>
      <c r="O76" s="83">
        <f t="shared" si="1025"/>
        <v>0</v>
      </c>
      <c r="P76" s="84">
        <f t="shared" si="1026"/>
        <v>0</v>
      </c>
      <c r="Q76" s="81">
        <f t="shared" si="1027"/>
        <v>0</v>
      </c>
      <c r="R76" s="82">
        <f t="shared" si="1028"/>
        <v>0</v>
      </c>
      <c r="S76" s="83">
        <f t="shared" si="1029"/>
        <v>0</v>
      </c>
      <c r="T76" s="83">
        <f t="shared" si="1030"/>
        <v>0</v>
      </c>
      <c r="U76" s="84">
        <f t="shared" si="1031"/>
        <v>0</v>
      </c>
      <c r="V76" s="81">
        <f t="shared" si="1032"/>
        <v>0</v>
      </c>
      <c r="W76" s="82">
        <f t="shared" si="1033"/>
        <v>0</v>
      </c>
      <c r="X76" s="83">
        <f t="shared" si="1034"/>
        <v>0</v>
      </c>
      <c r="Y76" s="83">
        <f t="shared" si="1035"/>
        <v>0</v>
      </c>
      <c r="Z76" s="84">
        <f t="shared" si="1036"/>
        <v>0</v>
      </c>
      <c r="AA76" s="81">
        <f t="shared" si="1037"/>
        <v>0</v>
      </c>
      <c r="AB76" s="82">
        <f t="shared" si="1038"/>
        <v>0</v>
      </c>
      <c r="AC76" s="83">
        <f t="shared" si="1039"/>
        <v>0</v>
      </c>
      <c r="AD76" s="83">
        <f t="shared" si="1040"/>
        <v>0</v>
      </c>
      <c r="AE76" s="84">
        <f t="shared" si="1041"/>
        <v>0</v>
      </c>
      <c r="AF76" s="81">
        <f t="shared" si="1042"/>
        <v>0</v>
      </c>
      <c r="AG76" s="82">
        <f t="shared" si="1043"/>
        <v>0</v>
      </c>
      <c r="AH76" s="83">
        <f t="shared" si="1044"/>
        <v>0</v>
      </c>
      <c r="AI76" s="83">
        <f t="shared" si="1045"/>
        <v>0</v>
      </c>
      <c r="AJ76" s="84">
        <f t="shared" si="1046"/>
        <v>0</v>
      </c>
      <c r="AK76" s="81">
        <f t="shared" si="1047"/>
        <v>0</v>
      </c>
      <c r="AL76" s="82">
        <f t="shared" si="1048"/>
        <v>0</v>
      </c>
      <c r="AM76" s="83">
        <f t="shared" si="1049"/>
        <v>0</v>
      </c>
      <c r="AN76" s="83">
        <f t="shared" si="1050"/>
        <v>0</v>
      </c>
      <c r="AO76" s="84">
        <f t="shared" si="1051"/>
        <v>0</v>
      </c>
      <c r="AP76" s="81">
        <f t="shared" si="1052"/>
        <v>0</v>
      </c>
      <c r="AQ76" s="82">
        <f t="shared" si="1053"/>
        <v>0</v>
      </c>
      <c r="AR76" s="83">
        <f t="shared" si="1054"/>
        <v>0</v>
      </c>
      <c r="AS76" s="83">
        <f t="shared" si="1055"/>
        <v>0</v>
      </c>
      <c r="AT76" s="84">
        <f t="shared" si="1056"/>
        <v>0</v>
      </c>
      <c r="AU76" s="81">
        <f t="shared" si="1057"/>
        <v>0</v>
      </c>
      <c r="AV76" s="82">
        <f t="shared" si="1058"/>
        <v>0</v>
      </c>
      <c r="AW76" s="83">
        <f t="shared" si="1059"/>
        <v>0</v>
      </c>
      <c r="AX76" s="83">
        <f t="shared" si="1060"/>
        <v>0</v>
      </c>
      <c r="AY76" s="84">
        <f t="shared" si="1061"/>
        <v>0</v>
      </c>
      <c r="AZ76" s="81">
        <f t="shared" si="1062"/>
        <v>0</v>
      </c>
      <c r="BA76" s="82">
        <f t="shared" si="1063"/>
        <v>-300</v>
      </c>
      <c r="BB76" s="83">
        <f t="shared" si="1064"/>
        <v>0</v>
      </c>
      <c r="BC76" s="83">
        <f t="shared" si="1065"/>
        <v>0</v>
      </c>
      <c r="BD76" s="84">
        <f t="shared" si="1066"/>
        <v>0</v>
      </c>
      <c r="BE76" s="81">
        <f t="shared" si="1067"/>
        <v>-300</v>
      </c>
      <c r="BF76" s="1877"/>
      <c r="BG76" s="2005">
        <f t="shared" si="1068"/>
        <v>0</v>
      </c>
      <c r="BH76" s="86">
        <f t="shared" si="1069"/>
        <v>0</v>
      </c>
      <c r="BI76" s="87">
        <f t="shared" si="1070"/>
        <v>0</v>
      </c>
      <c r="BJ76" s="87">
        <f t="shared" si="1071"/>
        <v>0</v>
      </c>
      <c r="BK76" s="88">
        <f t="shared" si="1072"/>
        <v>0</v>
      </c>
      <c r="BL76" s="85">
        <f t="shared" si="1073"/>
        <v>0</v>
      </c>
      <c r="BM76" s="86">
        <f t="shared" si="1074"/>
        <v>0</v>
      </c>
      <c r="BN76" s="87">
        <f t="shared" si="1075"/>
        <v>0</v>
      </c>
      <c r="BO76" s="87">
        <f t="shared" si="1076"/>
        <v>0</v>
      </c>
      <c r="BP76" s="88">
        <f t="shared" si="1077"/>
        <v>0</v>
      </c>
      <c r="BQ76" s="85">
        <f t="shared" si="1078"/>
        <v>0</v>
      </c>
      <c r="BR76" s="86">
        <f t="shared" si="1079"/>
        <v>0</v>
      </c>
      <c r="BS76" s="87">
        <f t="shared" si="1080"/>
        <v>0</v>
      </c>
      <c r="BT76" s="87">
        <f t="shared" si="1081"/>
        <v>0</v>
      </c>
      <c r="BU76" s="88">
        <f t="shared" si="1082"/>
        <v>0</v>
      </c>
      <c r="BV76" s="85">
        <f t="shared" si="1083"/>
        <v>0</v>
      </c>
      <c r="BW76" s="86">
        <f t="shared" si="1084"/>
        <v>0</v>
      </c>
      <c r="BX76" s="87">
        <f t="shared" si="1085"/>
        <v>0</v>
      </c>
      <c r="BY76" s="87">
        <f t="shared" si="1086"/>
        <v>0</v>
      </c>
      <c r="BZ76" s="88">
        <f t="shared" si="1087"/>
        <v>0</v>
      </c>
      <c r="CA76" s="85">
        <f t="shared" si="1088"/>
        <v>0</v>
      </c>
      <c r="CB76" s="86">
        <f t="shared" si="1089"/>
        <v>0</v>
      </c>
      <c r="CC76" s="87">
        <f t="shared" si="1090"/>
        <v>0</v>
      </c>
      <c r="CD76" s="87">
        <f t="shared" si="1091"/>
        <v>0</v>
      </c>
      <c r="CE76" s="88">
        <f t="shared" si="1092"/>
        <v>0</v>
      </c>
      <c r="CF76" s="85">
        <f t="shared" si="1093"/>
        <v>0</v>
      </c>
      <c r="CG76" s="86">
        <f t="shared" si="1094"/>
        <v>0</v>
      </c>
      <c r="CH76" s="87">
        <f t="shared" si="1095"/>
        <v>0</v>
      </c>
      <c r="CI76" s="87">
        <f t="shared" si="1096"/>
        <v>0</v>
      </c>
      <c r="CJ76" s="88">
        <f t="shared" si="1097"/>
        <v>0</v>
      </c>
      <c r="CK76" s="85">
        <f t="shared" si="1098"/>
        <v>0</v>
      </c>
      <c r="CL76" s="86">
        <f t="shared" si="1099"/>
        <v>0</v>
      </c>
      <c r="CM76" s="87">
        <f t="shared" si="1100"/>
        <v>0</v>
      </c>
      <c r="CN76" s="87">
        <f t="shared" si="1101"/>
        <v>0</v>
      </c>
      <c r="CO76" s="88">
        <f t="shared" si="1102"/>
        <v>0</v>
      </c>
      <c r="CP76" s="85">
        <f t="shared" si="1103"/>
        <v>0</v>
      </c>
      <c r="CQ76" s="86">
        <f t="shared" si="1104"/>
        <v>0</v>
      </c>
      <c r="CR76" s="87">
        <f t="shared" si="1105"/>
        <v>0</v>
      </c>
      <c r="CS76" s="87">
        <f t="shared" si="1106"/>
        <v>0</v>
      </c>
      <c r="CT76" s="88">
        <f t="shared" si="1107"/>
        <v>0</v>
      </c>
      <c r="CU76" s="85">
        <f t="shared" si="1108"/>
        <v>0</v>
      </c>
      <c r="CV76" s="86">
        <f t="shared" si="1109"/>
        <v>-2.5</v>
      </c>
      <c r="CW76" s="87">
        <f t="shared" si="1110"/>
        <v>-3.75</v>
      </c>
      <c r="CX76" s="87">
        <f t="shared" si="1111"/>
        <v>-3.75</v>
      </c>
      <c r="CY76" s="88">
        <f t="shared" si="1112"/>
        <v>-3.75</v>
      </c>
      <c r="CZ76" s="85">
        <f t="shared" si="1113"/>
        <v>-13.75</v>
      </c>
      <c r="DA76" s="232"/>
      <c r="DB76" s="232"/>
      <c r="DC76" s="232"/>
      <c r="DD76" s="232"/>
      <c r="DE76" s="232"/>
      <c r="DF76" s="232"/>
      <c r="DG76" s="232"/>
      <c r="DH76" s="232"/>
      <c r="DI76" s="232"/>
      <c r="DJ76" s="232"/>
      <c r="DK76" s="232"/>
      <c r="DL76" s="232"/>
      <c r="DM76" s="232"/>
      <c r="DN76" s="232"/>
      <c r="DO76" s="232"/>
      <c r="DP76" s="232"/>
      <c r="DQ76" s="232"/>
      <c r="DR76" s="232"/>
      <c r="DS76" s="232"/>
      <c r="DT76" s="232"/>
      <c r="DU76" s="232"/>
      <c r="DV76" s="232"/>
      <c r="DW76" s="232"/>
      <c r="DX76" s="232"/>
      <c r="DY76" s="232"/>
      <c r="DZ76" s="232"/>
      <c r="EA76" s="232"/>
      <c r="EB76" s="232"/>
      <c r="EC76" s="232"/>
      <c r="ED76" s="232"/>
      <c r="EE76" s="232"/>
      <c r="EF76" s="232"/>
      <c r="EG76" s="232"/>
      <c r="EH76" s="232"/>
      <c r="EI76" s="232"/>
      <c r="EJ76" s="232"/>
      <c r="EK76" s="232"/>
      <c r="EL76" s="232"/>
      <c r="EM76" s="232"/>
      <c r="EN76" s="232"/>
      <c r="EO76" s="232"/>
      <c r="EP76" s="232"/>
      <c r="EQ76" s="232"/>
      <c r="ER76" s="232"/>
      <c r="ES76" s="232"/>
      <c r="ET76" s="232"/>
      <c r="EU76" s="232"/>
      <c r="EV76" s="232"/>
      <c r="EW76" s="232"/>
      <c r="EX76" s="232"/>
      <c r="EY76" s="232"/>
      <c r="EZ76" s="232"/>
      <c r="FA76" s="232"/>
      <c r="FB76" s="232"/>
      <c r="FC76" s="232"/>
      <c r="FD76" s="232"/>
      <c r="FE76" s="232"/>
      <c r="FF76" s="232"/>
      <c r="FG76" s="232"/>
      <c r="FH76" s="232"/>
      <c r="FI76" s="232"/>
      <c r="FJ76" s="232"/>
      <c r="FK76" s="232"/>
      <c r="FL76" s="232"/>
      <c r="FM76" s="232"/>
      <c r="FN76" s="232"/>
      <c r="FO76" s="232"/>
      <c r="FP76" s="232"/>
      <c r="FQ76" s="232"/>
      <c r="FR76" s="232"/>
      <c r="FS76" s="232"/>
      <c r="FT76" s="232"/>
      <c r="FU76" s="232"/>
      <c r="FV76" s="232"/>
      <c r="FW76" s="232"/>
      <c r="FX76" s="232"/>
      <c r="FY76" s="232"/>
      <c r="FZ76" s="232"/>
      <c r="GA76" s="232"/>
      <c r="GB76" s="232"/>
      <c r="GC76" s="232"/>
      <c r="GD76" s="232"/>
      <c r="GE76" s="232"/>
      <c r="GF76" s="232"/>
      <c r="GG76" s="232"/>
      <c r="GH76" s="232"/>
      <c r="GI76" s="232"/>
      <c r="GJ76" s="232"/>
      <c r="GK76" s="232"/>
      <c r="GL76" s="232"/>
      <c r="GM76" s="232"/>
      <c r="GN76" s="232"/>
      <c r="GO76" s="232"/>
      <c r="GP76" s="232"/>
      <c r="GQ76" s="232"/>
      <c r="GR76" s="232"/>
      <c r="GS76" s="232"/>
      <c r="GT76" s="232"/>
      <c r="GU76" s="232"/>
      <c r="GV76" s="232"/>
      <c r="GW76" s="232"/>
      <c r="GX76" s="232"/>
      <c r="GY76" s="232"/>
      <c r="GZ76" s="232"/>
      <c r="HA76" s="232"/>
      <c r="HB76" s="232"/>
      <c r="HC76" s="232"/>
      <c r="HD76" s="232"/>
      <c r="HE76" s="232"/>
      <c r="HF76" s="232"/>
      <c r="HG76" s="232"/>
      <c r="HH76" s="232"/>
      <c r="HI76" s="232"/>
      <c r="HJ76" s="232"/>
      <c r="HK76" s="232"/>
      <c r="HL76" s="232"/>
      <c r="HM76" s="232"/>
      <c r="HN76" s="232"/>
      <c r="HO76" s="232"/>
      <c r="HP76" s="232"/>
      <c r="HQ76" s="232"/>
      <c r="HR76" s="232"/>
      <c r="HS76" s="232"/>
      <c r="HT76" s="232"/>
      <c r="HU76" s="232"/>
      <c r="HV76" s="232"/>
      <c r="HW76" s="232"/>
      <c r="HX76" s="232"/>
      <c r="HY76" s="232"/>
      <c r="HZ76" s="232"/>
      <c r="IA76" s="232"/>
      <c r="IB76" s="232"/>
      <c r="IC76" s="232"/>
      <c r="ID76" s="232"/>
      <c r="IE76" s="232"/>
      <c r="IF76" s="232"/>
      <c r="IG76" s="232"/>
      <c r="IH76" s="232"/>
      <c r="II76" s="232"/>
      <c r="IJ76" s="232"/>
      <c r="IK76" s="232"/>
      <c r="IL76" s="232"/>
      <c r="IM76" s="232"/>
      <c r="IN76" s="232"/>
      <c r="IO76" s="232"/>
      <c r="IP76" s="232"/>
      <c r="IQ76" s="232"/>
      <c r="IR76" s="232"/>
      <c r="IS76" s="232"/>
      <c r="IT76" s="232"/>
      <c r="IU76" s="232"/>
      <c r="IV76" s="232"/>
      <c r="IW76" s="232"/>
      <c r="IX76" s="232"/>
      <c r="IY76" s="232"/>
      <c r="IZ76" s="232"/>
      <c r="JA76" s="232"/>
      <c r="JB76" s="232"/>
      <c r="JC76" s="232"/>
      <c r="JD76" s="232"/>
      <c r="JE76" s="232"/>
    </row>
    <row r="77" spans="1:265" ht="12.75" customHeight="1">
      <c r="A77" s="4"/>
      <c r="B77" s="4"/>
      <c r="C77" s="31" t="s">
        <v>1351</v>
      </c>
      <c r="D77" s="2117"/>
      <c r="E77" s="1332">
        <f t="shared" si="1114"/>
        <v>561</v>
      </c>
      <c r="F77" s="2314">
        <f>675+(915-1029)</f>
        <v>561</v>
      </c>
      <c r="G77" s="1510">
        <f>675+(915-1029)</f>
        <v>561</v>
      </c>
      <c r="H77" s="1334">
        <v>2021</v>
      </c>
      <c r="I77" s="1841">
        <v>0.05</v>
      </c>
      <c r="J77" s="1334">
        <v>2</v>
      </c>
      <c r="K77" s="80"/>
      <c r="L77" s="81">
        <f t="shared" si="1022"/>
        <v>0</v>
      </c>
      <c r="M77" s="82">
        <f t="shared" si="1023"/>
        <v>0</v>
      </c>
      <c r="N77" s="83">
        <f t="shared" si="1024"/>
        <v>0</v>
      </c>
      <c r="O77" s="83">
        <f t="shared" si="1025"/>
        <v>0</v>
      </c>
      <c r="P77" s="84">
        <f t="shared" si="1026"/>
        <v>0</v>
      </c>
      <c r="Q77" s="81">
        <f t="shared" si="1027"/>
        <v>0</v>
      </c>
      <c r="R77" s="82">
        <f t="shared" si="1028"/>
        <v>0</v>
      </c>
      <c r="S77" s="83">
        <f t="shared" si="1029"/>
        <v>0</v>
      </c>
      <c r="T77" s="83">
        <f t="shared" si="1030"/>
        <v>0</v>
      </c>
      <c r="U77" s="84">
        <f t="shared" si="1031"/>
        <v>0</v>
      </c>
      <c r="V77" s="81">
        <f t="shared" si="1032"/>
        <v>0</v>
      </c>
      <c r="W77" s="82">
        <f t="shared" si="1033"/>
        <v>0</v>
      </c>
      <c r="X77" s="83">
        <f t="shared" si="1034"/>
        <v>0</v>
      </c>
      <c r="Y77" s="83">
        <f t="shared" si="1035"/>
        <v>0</v>
      </c>
      <c r="Z77" s="84">
        <f t="shared" si="1036"/>
        <v>0</v>
      </c>
      <c r="AA77" s="81">
        <f t="shared" si="1037"/>
        <v>0</v>
      </c>
      <c r="AB77" s="82">
        <f t="shared" si="1038"/>
        <v>0</v>
      </c>
      <c r="AC77" s="83">
        <f t="shared" si="1039"/>
        <v>0</v>
      </c>
      <c r="AD77" s="83">
        <f t="shared" si="1040"/>
        <v>0</v>
      </c>
      <c r="AE77" s="84">
        <f t="shared" si="1041"/>
        <v>0</v>
      </c>
      <c r="AF77" s="81">
        <f t="shared" si="1042"/>
        <v>0</v>
      </c>
      <c r="AG77" s="82">
        <f t="shared" si="1043"/>
        <v>0</v>
      </c>
      <c r="AH77" s="83">
        <f t="shared" si="1044"/>
        <v>0</v>
      </c>
      <c r="AI77" s="83">
        <f t="shared" si="1045"/>
        <v>0</v>
      </c>
      <c r="AJ77" s="84">
        <f t="shared" si="1046"/>
        <v>0</v>
      </c>
      <c r="AK77" s="81">
        <f t="shared" si="1047"/>
        <v>0</v>
      </c>
      <c r="AL77" s="82">
        <f t="shared" si="1048"/>
        <v>0</v>
      </c>
      <c r="AM77" s="83">
        <f t="shared" si="1049"/>
        <v>0</v>
      </c>
      <c r="AN77" s="83">
        <f t="shared" si="1050"/>
        <v>0</v>
      </c>
      <c r="AO77" s="84">
        <f t="shared" si="1051"/>
        <v>0</v>
      </c>
      <c r="AP77" s="81">
        <f t="shared" si="1052"/>
        <v>0</v>
      </c>
      <c r="AQ77" s="82">
        <f t="shared" si="1053"/>
        <v>0</v>
      </c>
      <c r="AR77" s="83">
        <f t="shared" si="1054"/>
        <v>0</v>
      </c>
      <c r="AS77" s="83">
        <f t="shared" si="1055"/>
        <v>0</v>
      </c>
      <c r="AT77" s="84">
        <f t="shared" si="1056"/>
        <v>0</v>
      </c>
      <c r="AU77" s="81">
        <f t="shared" si="1057"/>
        <v>0</v>
      </c>
      <c r="AV77" s="82">
        <f t="shared" si="1058"/>
        <v>0</v>
      </c>
      <c r="AW77" s="83">
        <f t="shared" si="1059"/>
        <v>0</v>
      </c>
      <c r="AX77" s="83">
        <f t="shared" si="1060"/>
        <v>0</v>
      </c>
      <c r="AY77" s="84">
        <f t="shared" si="1061"/>
        <v>0</v>
      </c>
      <c r="AZ77" s="81">
        <f t="shared" si="1062"/>
        <v>0</v>
      </c>
      <c r="BA77" s="82">
        <f t="shared" si="1063"/>
        <v>-561</v>
      </c>
      <c r="BB77" s="83">
        <f t="shared" si="1064"/>
        <v>0</v>
      </c>
      <c r="BC77" s="83">
        <f t="shared" si="1065"/>
        <v>0</v>
      </c>
      <c r="BD77" s="84">
        <f t="shared" si="1066"/>
        <v>0</v>
      </c>
      <c r="BE77" s="81">
        <f t="shared" si="1067"/>
        <v>-561</v>
      </c>
      <c r="BF77" s="1877"/>
      <c r="BG77" s="2005">
        <f t="shared" si="1068"/>
        <v>0</v>
      </c>
      <c r="BH77" s="86">
        <f t="shared" si="1069"/>
        <v>0</v>
      </c>
      <c r="BI77" s="87">
        <f t="shared" si="1070"/>
        <v>0</v>
      </c>
      <c r="BJ77" s="87">
        <f t="shared" si="1071"/>
        <v>0</v>
      </c>
      <c r="BK77" s="88">
        <f t="shared" si="1072"/>
        <v>0</v>
      </c>
      <c r="BL77" s="85">
        <f t="shared" si="1073"/>
        <v>0</v>
      </c>
      <c r="BM77" s="86">
        <f t="shared" si="1074"/>
        <v>0</v>
      </c>
      <c r="BN77" s="87">
        <f t="shared" si="1075"/>
        <v>0</v>
      </c>
      <c r="BO77" s="87">
        <f t="shared" si="1076"/>
        <v>0</v>
      </c>
      <c r="BP77" s="88">
        <f t="shared" si="1077"/>
        <v>0</v>
      </c>
      <c r="BQ77" s="85">
        <f t="shared" si="1078"/>
        <v>0</v>
      </c>
      <c r="BR77" s="86">
        <f t="shared" si="1079"/>
        <v>0</v>
      </c>
      <c r="BS77" s="87">
        <f t="shared" si="1080"/>
        <v>0</v>
      </c>
      <c r="BT77" s="87">
        <f t="shared" si="1081"/>
        <v>0</v>
      </c>
      <c r="BU77" s="88">
        <f t="shared" si="1082"/>
        <v>0</v>
      </c>
      <c r="BV77" s="85">
        <f t="shared" si="1083"/>
        <v>0</v>
      </c>
      <c r="BW77" s="86">
        <f t="shared" si="1084"/>
        <v>0</v>
      </c>
      <c r="BX77" s="87">
        <f t="shared" si="1085"/>
        <v>0</v>
      </c>
      <c r="BY77" s="87">
        <f t="shared" si="1086"/>
        <v>0</v>
      </c>
      <c r="BZ77" s="88">
        <f t="shared" si="1087"/>
        <v>0</v>
      </c>
      <c r="CA77" s="85">
        <f t="shared" si="1088"/>
        <v>0</v>
      </c>
      <c r="CB77" s="86">
        <f t="shared" si="1089"/>
        <v>0</v>
      </c>
      <c r="CC77" s="87">
        <f t="shared" si="1090"/>
        <v>0</v>
      </c>
      <c r="CD77" s="87">
        <f t="shared" si="1091"/>
        <v>0</v>
      </c>
      <c r="CE77" s="88">
        <f t="shared" si="1092"/>
        <v>0</v>
      </c>
      <c r="CF77" s="85">
        <f t="shared" si="1093"/>
        <v>0</v>
      </c>
      <c r="CG77" s="86">
        <f t="shared" si="1094"/>
        <v>0</v>
      </c>
      <c r="CH77" s="87">
        <f t="shared" si="1095"/>
        <v>0</v>
      </c>
      <c r="CI77" s="87">
        <f t="shared" si="1096"/>
        <v>0</v>
      </c>
      <c r="CJ77" s="88">
        <f t="shared" si="1097"/>
        <v>0</v>
      </c>
      <c r="CK77" s="85">
        <f t="shared" si="1098"/>
        <v>0</v>
      </c>
      <c r="CL77" s="86">
        <f t="shared" si="1099"/>
        <v>0</v>
      </c>
      <c r="CM77" s="87">
        <f t="shared" si="1100"/>
        <v>0</v>
      </c>
      <c r="CN77" s="87">
        <f t="shared" si="1101"/>
        <v>0</v>
      </c>
      <c r="CO77" s="88">
        <f t="shared" si="1102"/>
        <v>0</v>
      </c>
      <c r="CP77" s="85">
        <f t="shared" si="1103"/>
        <v>0</v>
      </c>
      <c r="CQ77" s="86">
        <f t="shared" si="1104"/>
        <v>0</v>
      </c>
      <c r="CR77" s="87">
        <f t="shared" si="1105"/>
        <v>0</v>
      </c>
      <c r="CS77" s="87">
        <f t="shared" si="1106"/>
        <v>0</v>
      </c>
      <c r="CT77" s="88">
        <f t="shared" si="1107"/>
        <v>0</v>
      </c>
      <c r="CU77" s="85">
        <f t="shared" si="1108"/>
        <v>0</v>
      </c>
      <c r="CV77" s="86">
        <f t="shared" si="1109"/>
        <v>-4.6749999999999998</v>
      </c>
      <c r="CW77" s="87">
        <f t="shared" si="1110"/>
        <v>-7.0124999999999993</v>
      </c>
      <c r="CX77" s="87">
        <f t="shared" si="1111"/>
        <v>-7.0124999999999993</v>
      </c>
      <c r="CY77" s="88">
        <f t="shared" si="1112"/>
        <v>-7.0124999999999993</v>
      </c>
      <c r="CZ77" s="85">
        <f t="shared" si="1113"/>
        <v>-25.712500000000002</v>
      </c>
      <c r="DA77" s="232"/>
      <c r="DB77" s="232"/>
      <c r="DC77" s="232"/>
      <c r="DD77" s="232"/>
      <c r="DE77" s="232"/>
      <c r="DF77" s="232"/>
      <c r="DG77" s="232"/>
      <c r="DH77" s="232"/>
      <c r="DI77" s="232"/>
      <c r="DJ77" s="232"/>
      <c r="DK77" s="232"/>
      <c r="DL77" s="232"/>
      <c r="DM77" s="232"/>
      <c r="DN77" s="232"/>
      <c r="DO77" s="232"/>
      <c r="DP77" s="232"/>
      <c r="DQ77" s="232"/>
      <c r="DR77" s="232"/>
      <c r="DS77" s="232"/>
      <c r="DT77" s="232"/>
      <c r="DU77" s="232"/>
      <c r="DV77" s="232"/>
      <c r="DW77" s="232"/>
      <c r="DX77" s="232"/>
      <c r="DY77" s="232"/>
      <c r="DZ77" s="232"/>
      <c r="EA77" s="232"/>
      <c r="EB77" s="232"/>
      <c r="EC77" s="232"/>
      <c r="ED77" s="232"/>
      <c r="EE77" s="232"/>
      <c r="EF77" s="232"/>
      <c r="EG77" s="232"/>
      <c r="EH77" s="232"/>
      <c r="EI77" s="232"/>
      <c r="EJ77" s="232"/>
      <c r="EK77" s="232"/>
      <c r="EL77" s="232"/>
      <c r="EM77" s="232"/>
      <c r="EN77" s="232"/>
      <c r="EO77" s="232"/>
      <c r="EP77" s="232"/>
      <c r="EQ77" s="232"/>
      <c r="ER77" s="232"/>
      <c r="ES77" s="232"/>
      <c r="ET77" s="232"/>
      <c r="EU77" s="232"/>
      <c r="EV77" s="232"/>
      <c r="EW77" s="232"/>
      <c r="EX77" s="232"/>
      <c r="EY77" s="232"/>
      <c r="EZ77" s="232"/>
      <c r="FA77" s="232"/>
      <c r="FB77" s="232"/>
      <c r="FC77" s="232"/>
      <c r="FD77" s="232"/>
      <c r="FE77" s="232"/>
      <c r="FF77" s="232"/>
      <c r="FG77" s="232"/>
      <c r="FH77" s="232"/>
      <c r="FI77" s="232"/>
      <c r="FJ77" s="232"/>
      <c r="FK77" s="232"/>
      <c r="FL77" s="232"/>
      <c r="FM77" s="232"/>
      <c r="FN77" s="232"/>
      <c r="FO77" s="232"/>
      <c r="FP77" s="232"/>
      <c r="FQ77" s="232"/>
      <c r="FR77" s="232"/>
      <c r="FS77" s="232"/>
      <c r="FT77" s="232"/>
      <c r="FU77" s="232"/>
      <c r="FV77" s="232"/>
      <c r="FW77" s="232"/>
      <c r="FX77" s="232"/>
      <c r="FY77" s="232"/>
      <c r="FZ77" s="232"/>
      <c r="GA77" s="232"/>
      <c r="GB77" s="232"/>
      <c r="GC77" s="232"/>
      <c r="GD77" s="232"/>
      <c r="GE77" s="232"/>
      <c r="GF77" s="232"/>
      <c r="GG77" s="232"/>
      <c r="GH77" s="232"/>
      <c r="GI77" s="232"/>
      <c r="GJ77" s="232"/>
      <c r="GK77" s="232"/>
      <c r="GL77" s="232"/>
      <c r="GM77" s="232"/>
      <c r="GN77" s="232"/>
      <c r="GO77" s="232"/>
      <c r="GP77" s="232"/>
      <c r="GQ77" s="232"/>
      <c r="GR77" s="232"/>
      <c r="GS77" s="232"/>
      <c r="GT77" s="232"/>
      <c r="GU77" s="232"/>
      <c r="GV77" s="232"/>
      <c r="GW77" s="232"/>
      <c r="GX77" s="232"/>
      <c r="GY77" s="232"/>
      <c r="GZ77" s="232"/>
      <c r="HA77" s="232"/>
      <c r="HB77" s="232"/>
      <c r="HC77" s="232"/>
      <c r="HD77" s="232"/>
      <c r="HE77" s="232"/>
      <c r="HF77" s="232"/>
      <c r="HG77" s="232"/>
      <c r="HH77" s="232"/>
      <c r="HI77" s="232"/>
      <c r="HJ77" s="232"/>
      <c r="HK77" s="232"/>
      <c r="HL77" s="232"/>
      <c r="HM77" s="232"/>
      <c r="HN77" s="232"/>
      <c r="HO77" s="232"/>
      <c r="HP77" s="232"/>
      <c r="HQ77" s="232"/>
      <c r="HR77" s="232"/>
      <c r="HS77" s="232"/>
      <c r="HT77" s="232"/>
      <c r="HU77" s="232"/>
      <c r="HV77" s="232"/>
      <c r="HW77" s="232"/>
      <c r="HX77" s="232"/>
      <c r="HY77" s="232"/>
      <c r="HZ77" s="232"/>
      <c r="IA77" s="232"/>
      <c r="IB77" s="232"/>
      <c r="IC77" s="232"/>
      <c r="ID77" s="232"/>
      <c r="IE77" s="232"/>
      <c r="IF77" s="232"/>
      <c r="IG77" s="232"/>
      <c r="IH77" s="232"/>
      <c r="II77" s="232"/>
      <c r="IJ77" s="232"/>
      <c r="IK77" s="232"/>
      <c r="IL77" s="232"/>
      <c r="IM77" s="232"/>
      <c r="IN77" s="232"/>
      <c r="IO77" s="232"/>
      <c r="IP77" s="232"/>
      <c r="IQ77" s="232"/>
      <c r="IR77" s="232"/>
      <c r="IS77" s="232"/>
      <c r="IT77" s="232"/>
      <c r="IU77" s="232"/>
      <c r="IV77" s="232"/>
      <c r="IW77" s="232"/>
      <c r="IX77" s="232"/>
      <c r="IY77" s="232"/>
      <c r="IZ77" s="232"/>
      <c r="JA77" s="232"/>
      <c r="JB77" s="232"/>
      <c r="JC77" s="232"/>
      <c r="JD77" s="232"/>
      <c r="JE77" s="232"/>
    </row>
    <row r="78" spans="1:265" ht="12.75" customHeight="1">
      <c r="A78" s="4"/>
      <c r="B78" s="4"/>
      <c r="C78" s="2000" t="s">
        <v>1438</v>
      </c>
      <c r="D78" s="2114"/>
      <c r="E78" s="1332">
        <f t="shared" si="1114"/>
        <v>150</v>
      </c>
      <c r="F78" s="2314">
        <v>150</v>
      </c>
      <c r="G78" s="1510">
        <v>150</v>
      </c>
      <c r="H78" s="1334">
        <v>2035</v>
      </c>
      <c r="I78" s="1841">
        <v>4.1099999999999998E-2</v>
      </c>
      <c r="J78" s="1334">
        <v>3</v>
      </c>
      <c r="K78" s="80"/>
      <c r="L78" s="81">
        <f t="shared" si="1022"/>
        <v>0</v>
      </c>
      <c r="M78" s="82">
        <f t="shared" si="1023"/>
        <v>0</v>
      </c>
      <c r="N78" s="83">
        <f t="shared" si="1024"/>
        <v>0</v>
      </c>
      <c r="O78" s="83">
        <f t="shared" si="1025"/>
        <v>0</v>
      </c>
      <c r="P78" s="84">
        <f t="shared" si="1026"/>
        <v>0</v>
      </c>
      <c r="Q78" s="81">
        <f t="shared" si="1027"/>
        <v>0</v>
      </c>
      <c r="R78" s="82">
        <f t="shared" si="1028"/>
        <v>0</v>
      </c>
      <c r="S78" s="83">
        <f t="shared" si="1029"/>
        <v>0</v>
      </c>
      <c r="T78" s="83">
        <f t="shared" si="1030"/>
        <v>0</v>
      </c>
      <c r="U78" s="84">
        <f t="shared" si="1031"/>
        <v>0</v>
      </c>
      <c r="V78" s="81">
        <f t="shared" si="1032"/>
        <v>0</v>
      </c>
      <c r="W78" s="82">
        <f t="shared" si="1033"/>
        <v>0</v>
      </c>
      <c r="X78" s="83">
        <f t="shared" si="1034"/>
        <v>0</v>
      </c>
      <c r="Y78" s="83">
        <f t="shared" si="1035"/>
        <v>0</v>
      </c>
      <c r="Z78" s="84">
        <f t="shared" si="1036"/>
        <v>0</v>
      </c>
      <c r="AA78" s="81">
        <f t="shared" si="1037"/>
        <v>0</v>
      </c>
      <c r="AB78" s="82">
        <f t="shared" si="1038"/>
        <v>0</v>
      </c>
      <c r="AC78" s="83">
        <f t="shared" si="1039"/>
        <v>0</v>
      </c>
      <c r="AD78" s="83">
        <f t="shared" si="1040"/>
        <v>0</v>
      </c>
      <c r="AE78" s="84">
        <f t="shared" si="1041"/>
        <v>0</v>
      </c>
      <c r="AF78" s="81">
        <f t="shared" si="1042"/>
        <v>0</v>
      </c>
      <c r="AG78" s="82">
        <f t="shared" si="1043"/>
        <v>0</v>
      </c>
      <c r="AH78" s="83">
        <f t="shared" si="1044"/>
        <v>0</v>
      </c>
      <c r="AI78" s="83">
        <f t="shared" si="1045"/>
        <v>0</v>
      </c>
      <c r="AJ78" s="84">
        <f t="shared" si="1046"/>
        <v>0</v>
      </c>
      <c r="AK78" s="81">
        <f t="shared" si="1047"/>
        <v>0</v>
      </c>
      <c r="AL78" s="82">
        <f t="shared" si="1048"/>
        <v>0</v>
      </c>
      <c r="AM78" s="83">
        <f t="shared" si="1049"/>
        <v>0</v>
      </c>
      <c r="AN78" s="83">
        <f t="shared" si="1050"/>
        <v>0</v>
      </c>
      <c r="AO78" s="84">
        <f t="shared" si="1051"/>
        <v>0</v>
      </c>
      <c r="AP78" s="81">
        <f t="shared" si="1052"/>
        <v>0</v>
      </c>
      <c r="AQ78" s="82">
        <f t="shared" si="1053"/>
        <v>0</v>
      </c>
      <c r="AR78" s="83">
        <f t="shared" si="1054"/>
        <v>0</v>
      </c>
      <c r="AS78" s="83">
        <f t="shared" si="1055"/>
        <v>0</v>
      </c>
      <c r="AT78" s="84">
        <f t="shared" si="1056"/>
        <v>0</v>
      </c>
      <c r="AU78" s="81">
        <f t="shared" si="1057"/>
        <v>0</v>
      </c>
      <c r="AV78" s="82">
        <f t="shared" si="1058"/>
        <v>0</v>
      </c>
      <c r="AW78" s="83">
        <f t="shared" si="1059"/>
        <v>0</v>
      </c>
      <c r="AX78" s="83">
        <f t="shared" si="1060"/>
        <v>0</v>
      </c>
      <c r="AY78" s="84">
        <f t="shared" si="1061"/>
        <v>0</v>
      </c>
      <c r="AZ78" s="81">
        <f t="shared" si="1062"/>
        <v>0</v>
      </c>
      <c r="BA78" s="82">
        <f t="shared" si="1063"/>
        <v>0</v>
      </c>
      <c r="BB78" s="83">
        <f t="shared" si="1064"/>
        <v>0</v>
      </c>
      <c r="BC78" s="83">
        <f t="shared" si="1065"/>
        <v>0</v>
      </c>
      <c r="BD78" s="84">
        <f t="shared" si="1066"/>
        <v>0</v>
      </c>
      <c r="BE78" s="81">
        <f t="shared" si="1067"/>
        <v>0</v>
      </c>
      <c r="BF78" s="1877"/>
      <c r="BG78" s="2005">
        <f t="shared" si="1068"/>
        <v>0</v>
      </c>
      <c r="BH78" s="86">
        <f t="shared" si="1069"/>
        <v>0</v>
      </c>
      <c r="BI78" s="87">
        <f t="shared" si="1070"/>
        <v>0</v>
      </c>
      <c r="BJ78" s="87">
        <f t="shared" si="1071"/>
        <v>0</v>
      </c>
      <c r="BK78" s="88">
        <f t="shared" si="1072"/>
        <v>0</v>
      </c>
      <c r="BL78" s="85">
        <f t="shared" si="1073"/>
        <v>0</v>
      </c>
      <c r="BM78" s="86">
        <f t="shared" si="1074"/>
        <v>0</v>
      </c>
      <c r="BN78" s="87">
        <f t="shared" si="1075"/>
        <v>0</v>
      </c>
      <c r="BO78" s="87">
        <f t="shared" si="1076"/>
        <v>0</v>
      </c>
      <c r="BP78" s="88">
        <f t="shared" si="1077"/>
        <v>0</v>
      </c>
      <c r="BQ78" s="85">
        <f t="shared" si="1078"/>
        <v>0</v>
      </c>
      <c r="BR78" s="86">
        <f t="shared" si="1079"/>
        <v>0</v>
      </c>
      <c r="BS78" s="87">
        <f t="shared" si="1080"/>
        <v>0</v>
      </c>
      <c r="BT78" s="87">
        <f t="shared" si="1081"/>
        <v>0</v>
      </c>
      <c r="BU78" s="88">
        <f t="shared" si="1082"/>
        <v>0</v>
      </c>
      <c r="BV78" s="85">
        <f t="shared" si="1083"/>
        <v>0</v>
      </c>
      <c r="BW78" s="86">
        <f t="shared" si="1084"/>
        <v>0</v>
      </c>
      <c r="BX78" s="87">
        <f t="shared" si="1085"/>
        <v>0</v>
      </c>
      <c r="BY78" s="87">
        <f t="shared" si="1086"/>
        <v>0</v>
      </c>
      <c r="BZ78" s="88">
        <f t="shared" si="1087"/>
        <v>0</v>
      </c>
      <c r="CA78" s="85">
        <f t="shared" si="1088"/>
        <v>0</v>
      </c>
      <c r="CB78" s="86">
        <f t="shared" si="1089"/>
        <v>0</v>
      </c>
      <c r="CC78" s="87">
        <f t="shared" si="1090"/>
        <v>0</v>
      </c>
      <c r="CD78" s="87">
        <f t="shared" si="1091"/>
        <v>0</v>
      </c>
      <c r="CE78" s="88">
        <f t="shared" si="1092"/>
        <v>0</v>
      </c>
      <c r="CF78" s="85">
        <f t="shared" si="1093"/>
        <v>0</v>
      </c>
      <c r="CG78" s="86">
        <f t="shared" si="1094"/>
        <v>0</v>
      </c>
      <c r="CH78" s="87">
        <f t="shared" si="1095"/>
        <v>0</v>
      </c>
      <c r="CI78" s="87">
        <f t="shared" si="1096"/>
        <v>0</v>
      </c>
      <c r="CJ78" s="88">
        <f t="shared" si="1097"/>
        <v>0</v>
      </c>
      <c r="CK78" s="85">
        <f t="shared" si="1098"/>
        <v>0</v>
      </c>
      <c r="CL78" s="86">
        <f t="shared" si="1099"/>
        <v>0</v>
      </c>
      <c r="CM78" s="87">
        <f t="shared" si="1100"/>
        <v>0</v>
      </c>
      <c r="CN78" s="87">
        <f t="shared" si="1101"/>
        <v>0</v>
      </c>
      <c r="CO78" s="88">
        <f t="shared" si="1102"/>
        <v>0</v>
      </c>
      <c r="CP78" s="85">
        <f t="shared" si="1103"/>
        <v>0</v>
      </c>
      <c r="CQ78" s="86">
        <f t="shared" si="1104"/>
        <v>0</v>
      </c>
      <c r="CR78" s="87">
        <f t="shared" si="1105"/>
        <v>0</v>
      </c>
      <c r="CS78" s="87">
        <f t="shared" si="1106"/>
        <v>0</v>
      </c>
      <c r="CT78" s="88">
        <f t="shared" si="1107"/>
        <v>0</v>
      </c>
      <c r="CU78" s="85">
        <f t="shared" si="1108"/>
        <v>0</v>
      </c>
      <c r="CV78" s="86">
        <f t="shared" si="1109"/>
        <v>0</v>
      </c>
      <c r="CW78" s="87">
        <f t="shared" si="1110"/>
        <v>0</v>
      </c>
      <c r="CX78" s="87">
        <f t="shared" si="1111"/>
        <v>0</v>
      </c>
      <c r="CY78" s="88">
        <f t="shared" si="1112"/>
        <v>0</v>
      </c>
      <c r="CZ78" s="85">
        <f t="shared" si="1113"/>
        <v>0</v>
      </c>
      <c r="DA78" s="232"/>
      <c r="DB78" s="232"/>
      <c r="DC78" s="232"/>
      <c r="DD78" s="232"/>
      <c r="DE78" s="232"/>
      <c r="DF78" s="232"/>
      <c r="DG78" s="232"/>
      <c r="DH78" s="232"/>
      <c r="DI78" s="232"/>
      <c r="DJ78" s="232"/>
      <c r="DK78" s="232"/>
      <c r="DL78" s="232"/>
      <c r="DM78" s="232"/>
      <c r="DN78" s="232"/>
      <c r="DO78" s="232"/>
      <c r="DP78" s="232"/>
      <c r="DQ78" s="232"/>
      <c r="DR78" s="232"/>
      <c r="DS78" s="232"/>
      <c r="DT78" s="232"/>
      <c r="DU78" s="232"/>
      <c r="DV78" s="232"/>
      <c r="DW78" s="232"/>
      <c r="DX78" s="232"/>
      <c r="DY78" s="232"/>
      <c r="DZ78" s="232"/>
      <c r="EA78" s="232"/>
      <c r="EB78" s="232"/>
      <c r="EC78" s="232"/>
      <c r="ED78" s="232"/>
      <c r="EE78" s="232"/>
      <c r="EF78" s="232"/>
      <c r="EG78" s="232"/>
      <c r="EH78" s="232"/>
      <c r="EI78" s="232"/>
      <c r="EJ78" s="232"/>
      <c r="EK78" s="232"/>
      <c r="EL78" s="232"/>
      <c r="EM78" s="232"/>
      <c r="EN78" s="232"/>
      <c r="EO78" s="232"/>
      <c r="EP78" s="232"/>
      <c r="EQ78" s="232"/>
      <c r="ER78" s="232"/>
      <c r="ES78" s="232"/>
      <c r="ET78" s="232"/>
      <c r="EU78" s="232"/>
      <c r="EV78" s="232"/>
      <c r="EW78" s="232"/>
      <c r="EX78" s="232"/>
      <c r="EY78" s="232"/>
      <c r="EZ78" s="232"/>
      <c r="FA78" s="232"/>
      <c r="FB78" s="232"/>
      <c r="FC78" s="232"/>
      <c r="FD78" s="232"/>
      <c r="FE78" s="232"/>
      <c r="FF78" s="232"/>
      <c r="FG78" s="232"/>
      <c r="FH78" s="232"/>
      <c r="FI78" s="232"/>
      <c r="FJ78" s="232"/>
      <c r="FK78" s="232"/>
      <c r="FL78" s="232"/>
      <c r="FM78" s="232"/>
      <c r="FN78" s="232"/>
      <c r="FO78" s="232"/>
      <c r="FP78" s="232"/>
      <c r="FQ78" s="232"/>
      <c r="FR78" s="232"/>
      <c r="FS78" s="232"/>
      <c r="FT78" s="232"/>
      <c r="FU78" s="232"/>
      <c r="FV78" s="232"/>
      <c r="FW78" s="232"/>
      <c r="FX78" s="232"/>
      <c r="FY78" s="232"/>
      <c r="FZ78" s="232"/>
      <c r="GA78" s="232"/>
      <c r="GB78" s="232"/>
      <c r="GC78" s="232"/>
      <c r="GD78" s="232"/>
      <c r="GE78" s="232"/>
      <c r="GF78" s="232"/>
      <c r="GG78" s="232"/>
      <c r="GH78" s="232"/>
      <c r="GI78" s="232"/>
      <c r="GJ78" s="232"/>
      <c r="GK78" s="232"/>
      <c r="GL78" s="232"/>
      <c r="GM78" s="232"/>
      <c r="GN78" s="232"/>
      <c r="GO78" s="232"/>
      <c r="GP78" s="232"/>
      <c r="GQ78" s="232"/>
      <c r="GR78" s="232"/>
      <c r="GS78" s="232"/>
      <c r="GT78" s="232"/>
      <c r="GU78" s="232"/>
      <c r="GV78" s="232"/>
      <c r="GW78" s="232"/>
      <c r="GX78" s="232"/>
      <c r="GY78" s="232"/>
      <c r="GZ78" s="232"/>
      <c r="HA78" s="232"/>
      <c r="HB78" s="232"/>
      <c r="HC78" s="232"/>
      <c r="HD78" s="232"/>
      <c r="HE78" s="232"/>
      <c r="HF78" s="232"/>
      <c r="HG78" s="232"/>
      <c r="HH78" s="232"/>
      <c r="HI78" s="232"/>
      <c r="HJ78" s="232"/>
      <c r="HK78" s="232"/>
      <c r="HL78" s="232"/>
      <c r="HM78" s="232"/>
      <c r="HN78" s="232"/>
      <c r="HO78" s="232"/>
      <c r="HP78" s="232"/>
      <c r="HQ78" s="232"/>
      <c r="HR78" s="232"/>
      <c r="HS78" s="232"/>
      <c r="HT78" s="232"/>
      <c r="HU78" s="232"/>
      <c r="HV78" s="232"/>
      <c r="HW78" s="232"/>
      <c r="HX78" s="232"/>
      <c r="HY78" s="232"/>
      <c r="HZ78" s="232"/>
      <c r="IA78" s="232"/>
      <c r="IB78" s="232"/>
      <c r="IC78" s="232"/>
      <c r="ID78" s="232"/>
      <c r="IE78" s="232"/>
      <c r="IF78" s="232"/>
      <c r="IG78" s="232"/>
      <c r="IH78" s="232"/>
      <c r="II78" s="232"/>
      <c r="IJ78" s="232"/>
      <c r="IK78" s="232"/>
      <c r="IL78" s="232"/>
      <c r="IM78" s="232"/>
      <c r="IN78" s="232"/>
      <c r="IO78" s="232"/>
      <c r="IP78" s="232"/>
      <c r="IQ78" s="232"/>
      <c r="IR78" s="232"/>
      <c r="IS78" s="232"/>
      <c r="IT78" s="232"/>
      <c r="IU78" s="232"/>
      <c r="IV78" s="232"/>
      <c r="IW78" s="232"/>
      <c r="IX78" s="232"/>
      <c r="IY78" s="232"/>
      <c r="IZ78" s="232"/>
      <c r="JA78" s="232"/>
      <c r="JB78" s="232"/>
      <c r="JC78" s="232"/>
      <c r="JD78" s="232"/>
      <c r="JE78" s="232"/>
    </row>
    <row r="79" spans="1:265" ht="12.75" customHeight="1">
      <c r="A79" s="4"/>
      <c r="B79" s="4"/>
      <c r="C79" s="2000" t="s">
        <v>1443</v>
      </c>
      <c r="D79" s="2114"/>
      <c r="E79" s="1332">
        <f t="shared" si="1114"/>
        <v>16</v>
      </c>
      <c r="F79" s="2314">
        <v>16</v>
      </c>
      <c r="G79" s="1510">
        <v>16</v>
      </c>
      <c r="H79" s="1334">
        <v>2037</v>
      </c>
      <c r="I79" s="1513">
        <v>3.1699999999999999E-2</v>
      </c>
      <c r="J79" s="1334">
        <v>2</v>
      </c>
      <c r="K79" s="80"/>
      <c r="L79" s="81">
        <f t="shared" si="1022"/>
        <v>0</v>
      </c>
      <c r="M79" s="82">
        <f t="shared" si="1023"/>
        <v>0</v>
      </c>
      <c r="N79" s="83">
        <f t="shared" si="1024"/>
        <v>0</v>
      </c>
      <c r="O79" s="83">
        <f t="shared" si="1025"/>
        <v>0</v>
      </c>
      <c r="P79" s="84">
        <f t="shared" si="1026"/>
        <v>0</v>
      </c>
      <c r="Q79" s="81">
        <f t="shared" si="1027"/>
        <v>0</v>
      </c>
      <c r="R79" s="82">
        <f t="shared" si="1028"/>
        <v>0</v>
      </c>
      <c r="S79" s="83">
        <f t="shared" si="1029"/>
        <v>0</v>
      </c>
      <c r="T79" s="83">
        <f t="shared" si="1030"/>
        <v>0</v>
      </c>
      <c r="U79" s="84">
        <f t="shared" si="1031"/>
        <v>0</v>
      </c>
      <c r="V79" s="81">
        <f t="shared" si="1032"/>
        <v>0</v>
      </c>
      <c r="W79" s="82">
        <f t="shared" si="1033"/>
        <v>0</v>
      </c>
      <c r="X79" s="83">
        <f t="shared" si="1034"/>
        <v>0</v>
      </c>
      <c r="Y79" s="83">
        <f t="shared" si="1035"/>
        <v>0</v>
      </c>
      <c r="Z79" s="84">
        <f t="shared" si="1036"/>
        <v>0</v>
      </c>
      <c r="AA79" s="81">
        <f t="shared" si="1037"/>
        <v>0</v>
      </c>
      <c r="AB79" s="82">
        <f t="shared" si="1038"/>
        <v>0</v>
      </c>
      <c r="AC79" s="83">
        <f t="shared" si="1039"/>
        <v>0</v>
      </c>
      <c r="AD79" s="83">
        <f t="shared" si="1040"/>
        <v>0</v>
      </c>
      <c r="AE79" s="84">
        <f t="shared" si="1041"/>
        <v>0</v>
      </c>
      <c r="AF79" s="81">
        <f t="shared" si="1042"/>
        <v>0</v>
      </c>
      <c r="AG79" s="82">
        <f t="shared" si="1043"/>
        <v>0</v>
      </c>
      <c r="AH79" s="83">
        <f t="shared" si="1044"/>
        <v>0</v>
      </c>
      <c r="AI79" s="83">
        <f t="shared" si="1045"/>
        <v>0</v>
      </c>
      <c r="AJ79" s="84">
        <f t="shared" si="1046"/>
        <v>0</v>
      </c>
      <c r="AK79" s="81">
        <f t="shared" si="1047"/>
        <v>0</v>
      </c>
      <c r="AL79" s="82">
        <f t="shared" si="1048"/>
        <v>0</v>
      </c>
      <c r="AM79" s="83">
        <f t="shared" si="1049"/>
        <v>0</v>
      </c>
      <c r="AN79" s="83">
        <f t="shared" si="1050"/>
        <v>0</v>
      </c>
      <c r="AO79" s="84">
        <f t="shared" si="1051"/>
        <v>0</v>
      </c>
      <c r="AP79" s="81">
        <f t="shared" si="1052"/>
        <v>0</v>
      </c>
      <c r="AQ79" s="82">
        <f t="shared" si="1053"/>
        <v>0</v>
      </c>
      <c r="AR79" s="83">
        <f t="shared" si="1054"/>
        <v>0</v>
      </c>
      <c r="AS79" s="83">
        <f t="shared" si="1055"/>
        <v>0</v>
      </c>
      <c r="AT79" s="84">
        <f t="shared" si="1056"/>
        <v>0</v>
      </c>
      <c r="AU79" s="81">
        <f t="shared" si="1057"/>
        <v>0</v>
      </c>
      <c r="AV79" s="82">
        <f t="shared" si="1058"/>
        <v>0</v>
      </c>
      <c r="AW79" s="83">
        <f t="shared" si="1059"/>
        <v>0</v>
      </c>
      <c r="AX79" s="83">
        <f t="shared" si="1060"/>
        <v>0</v>
      </c>
      <c r="AY79" s="84">
        <f t="shared" si="1061"/>
        <v>0</v>
      </c>
      <c r="AZ79" s="81">
        <f t="shared" si="1062"/>
        <v>0</v>
      </c>
      <c r="BA79" s="82">
        <f t="shared" si="1063"/>
        <v>0</v>
      </c>
      <c r="BB79" s="83">
        <f t="shared" si="1064"/>
        <v>0</v>
      </c>
      <c r="BC79" s="83">
        <f t="shared" si="1065"/>
        <v>0</v>
      </c>
      <c r="BD79" s="84">
        <f t="shared" si="1066"/>
        <v>0</v>
      </c>
      <c r="BE79" s="81">
        <f t="shared" si="1067"/>
        <v>0</v>
      </c>
      <c r="BF79" s="1877"/>
      <c r="BG79" s="2005">
        <f t="shared" si="1068"/>
        <v>0</v>
      </c>
      <c r="BH79" s="86">
        <f t="shared" si="1069"/>
        <v>0</v>
      </c>
      <c r="BI79" s="87">
        <f t="shared" si="1070"/>
        <v>0</v>
      </c>
      <c r="BJ79" s="87">
        <f t="shared" si="1071"/>
        <v>0</v>
      </c>
      <c r="BK79" s="88">
        <f t="shared" si="1072"/>
        <v>0</v>
      </c>
      <c r="BL79" s="85">
        <f t="shared" si="1073"/>
        <v>0</v>
      </c>
      <c r="BM79" s="86">
        <f t="shared" si="1074"/>
        <v>0</v>
      </c>
      <c r="BN79" s="87">
        <f t="shared" si="1075"/>
        <v>0</v>
      </c>
      <c r="BO79" s="87">
        <f t="shared" si="1076"/>
        <v>0</v>
      </c>
      <c r="BP79" s="88">
        <f t="shared" si="1077"/>
        <v>0</v>
      </c>
      <c r="BQ79" s="85">
        <f t="shared" si="1078"/>
        <v>0</v>
      </c>
      <c r="BR79" s="86">
        <f t="shared" si="1079"/>
        <v>0</v>
      </c>
      <c r="BS79" s="87">
        <f t="shared" si="1080"/>
        <v>0</v>
      </c>
      <c r="BT79" s="87">
        <f t="shared" si="1081"/>
        <v>0</v>
      </c>
      <c r="BU79" s="88">
        <f t="shared" si="1082"/>
        <v>0</v>
      </c>
      <c r="BV79" s="85">
        <f t="shared" si="1083"/>
        <v>0</v>
      </c>
      <c r="BW79" s="86">
        <f t="shared" si="1084"/>
        <v>0</v>
      </c>
      <c r="BX79" s="87">
        <f t="shared" si="1085"/>
        <v>0</v>
      </c>
      <c r="BY79" s="87">
        <f t="shared" si="1086"/>
        <v>0</v>
      </c>
      <c r="BZ79" s="88">
        <f t="shared" si="1087"/>
        <v>0</v>
      </c>
      <c r="CA79" s="85">
        <f t="shared" si="1088"/>
        <v>0</v>
      </c>
      <c r="CB79" s="86">
        <f t="shared" si="1089"/>
        <v>0</v>
      </c>
      <c r="CC79" s="87">
        <f t="shared" si="1090"/>
        <v>0</v>
      </c>
      <c r="CD79" s="87">
        <f t="shared" si="1091"/>
        <v>0</v>
      </c>
      <c r="CE79" s="88">
        <f t="shared" si="1092"/>
        <v>0</v>
      </c>
      <c r="CF79" s="85">
        <f t="shared" si="1093"/>
        <v>0</v>
      </c>
      <c r="CG79" s="86">
        <f t="shared" si="1094"/>
        <v>0</v>
      </c>
      <c r="CH79" s="87">
        <f t="shared" si="1095"/>
        <v>0</v>
      </c>
      <c r="CI79" s="87">
        <f t="shared" si="1096"/>
        <v>0</v>
      </c>
      <c r="CJ79" s="88">
        <f t="shared" si="1097"/>
        <v>0</v>
      </c>
      <c r="CK79" s="85">
        <f t="shared" si="1098"/>
        <v>0</v>
      </c>
      <c r="CL79" s="86">
        <f t="shared" si="1099"/>
        <v>0</v>
      </c>
      <c r="CM79" s="87">
        <f t="shared" si="1100"/>
        <v>0</v>
      </c>
      <c r="CN79" s="87">
        <f t="shared" si="1101"/>
        <v>0</v>
      </c>
      <c r="CO79" s="88">
        <f t="shared" si="1102"/>
        <v>0</v>
      </c>
      <c r="CP79" s="85">
        <f t="shared" si="1103"/>
        <v>0</v>
      </c>
      <c r="CQ79" s="86">
        <f t="shared" si="1104"/>
        <v>0</v>
      </c>
      <c r="CR79" s="87">
        <f t="shared" si="1105"/>
        <v>0</v>
      </c>
      <c r="CS79" s="87">
        <f t="shared" si="1106"/>
        <v>0</v>
      </c>
      <c r="CT79" s="88">
        <f t="shared" si="1107"/>
        <v>0</v>
      </c>
      <c r="CU79" s="85">
        <f t="shared" si="1108"/>
        <v>0</v>
      </c>
      <c r="CV79" s="86">
        <f t="shared" si="1109"/>
        <v>0</v>
      </c>
      <c r="CW79" s="87">
        <f t="shared" si="1110"/>
        <v>0</v>
      </c>
      <c r="CX79" s="87">
        <f t="shared" si="1111"/>
        <v>0</v>
      </c>
      <c r="CY79" s="88">
        <f t="shared" si="1112"/>
        <v>0</v>
      </c>
      <c r="CZ79" s="85">
        <f t="shared" si="1113"/>
        <v>0</v>
      </c>
      <c r="DA79" s="232"/>
      <c r="DB79" s="232"/>
      <c r="DC79" s="232"/>
      <c r="DD79" s="232"/>
      <c r="DE79" s="232"/>
      <c r="DF79" s="232"/>
      <c r="DG79" s="232"/>
      <c r="DH79" s="232"/>
      <c r="DI79" s="232"/>
      <c r="DJ79" s="232"/>
      <c r="DK79" s="232"/>
      <c r="DL79" s="232"/>
      <c r="DM79" s="232"/>
      <c r="DN79" s="232"/>
      <c r="DO79" s="232"/>
      <c r="DP79" s="232"/>
      <c r="DQ79" s="232"/>
      <c r="DR79" s="232"/>
      <c r="DS79" s="232"/>
      <c r="DT79" s="232"/>
      <c r="DU79" s="232"/>
      <c r="DV79" s="232"/>
      <c r="DW79" s="232"/>
      <c r="DX79" s="232"/>
      <c r="DY79" s="232"/>
      <c r="DZ79" s="232"/>
      <c r="EA79" s="232"/>
      <c r="EB79" s="232"/>
      <c r="EC79" s="232"/>
      <c r="ED79" s="232"/>
      <c r="EE79" s="232"/>
      <c r="EF79" s="232"/>
      <c r="EG79" s="232"/>
      <c r="EH79" s="232"/>
      <c r="EI79" s="232"/>
      <c r="EJ79" s="232"/>
      <c r="EK79" s="232"/>
      <c r="EL79" s="232"/>
      <c r="EM79" s="232"/>
      <c r="EN79" s="232"/>
      <c r="EO79" s="232"/>
      <c r="EP79" s="232"/>
      <c r="EQ79" s="232"/>
      <c r="ER79" s="232"/>
      <c r="ES79" s="232"/>
      <c r="ET79" s="232"/>
      <c r="EU79" s="232"/>
      <c r="EV79" s="232"/>
      <c r="EW79" s="232"/>
      <c r="EX79" s="232"/>
      <c r="EY79" s="232"/>
      <c r="EZ79" s="232"/>
      <c r="FA79" s="232"/>
      <c r="FB79" s="232"/>
      <c r="FC79" s="232"/>
      <c r="FD79" s="232"/>
      <c r="FE79" s="232"/>
      <c r="FF79" s="232"/>
      <c r="FG79" s="232"/>
      <c r="FH79" s="232"/>
      <c r="FI79" s="232"/>
      <c r="FJ79" s="232"/>
      <c r="FK79" s="232"/>
      <c r="FL79" s="232"/>
      <c r="FM79" s="232"/>
      <c r="FN79" s="232"/>
      <c r="FO79" s="232"/>
      <c r="FP79" s="232"/>
      <c r="FQ79" s="232"/>
      <c r="FR79" s="232"/>
      <c r="FS79" s="232"/>
      <c r="FT79" s="232"/>
      <c r="FU79" s="232"/>
      <c r="FV79" s="232"/>
      <c r="FW79" s="232"/>
      <c r="FX79" s="232"/>
      <c r="FY79" s="232"/>
      <c r="FZ79" s="232"/>
      <c r="GA79" s="232"/>
      <c r="GB79" s="232"/>
      <c r="GC79" s="232"/>
      <c r="GD79" s="232"/>
      <c r="GE79" s="232"/>
      <c r="GF79" s="232"/>
      <c r="GG79" s="232"/>
      <c r="GH79" s="232"/>
      <c r="GI79" s="232"/>
      <c r="GJ79" s="232"/>
      <c r="GK79" s="232"/>
      <c r="GL79" s="232"/>
      <c r="GM79" s="232"/>
      <c r="GN79" s="232"/>
      <c r="GO79" s="232"/>
      <c r="GP79" s="232"/>
      <c r="GQ79" s="232"/>
      <c r="GR79" s="232"/>
      <c r="GS79" s="232"/>
      <c r="GT79" s="232"/>
      <c r="GU79" s="232"/>
      <c r="GV79" s="232"/>
      <c r="GW79" s="232"/>
      <c r="GX79" s="232"/>
      <c r="GY79" s="232"/>
      <c r="GZ79" s="232"/>
      <c r="HA79" s="232"/>
      <c r="HB79" s="232"/>
      <c r="HC79" s="232"/>
      <c r="HD79" s="232"/>
      <c r="HE79" s="232"/>
      <c r="HF79" s="232"/>
      <c r="HG79" s="232"/>
      <c r="HH79" s="232"/>
      <c r="HI79" s="232"/>
      <c r="HJ79" s="232"/>
      <c r="HK79" s="232"/>
      <c r="HL79" s="232"/>
      <c r="HM79" s="232"/>
      <c r="HN79" s="232"/>
      <c r="HO79" s="232"/>
      <c r="HP79" s="232"/>
      <c r="HQ79" s="232"/>
      <c r="HR79" s="232"/>
      <c r="HS79" s="232"/>
      <c r="HT79" s="232"/>
      <c r="HU79" s="232"/>
      <c r="HV79" s="232"/>
      <c r="HW79" s="232"/>
      <c r="HX79" s="232"/>
      <c r="HY79" s="232"/>
      <c r="HZ79" s="232"/>
      <c r="IA79" s="232"/>
      <c r="IB79" s="232"/>
      <c r="IC79" s="232"/>
      <c r="ID79" s="232"/>
      <c r="IE79" s="232"/>
      <c r="IF79" s="232"/>
      <c r="IG79" s="232"/>
      <c r="IH79" s="232"/>
      <c r="II79" s="232"/>
      <c r="IJ79" s="232"/>
      <c r="IK79" s="232"/>
      <c r="IL79" s="232"/>
      <c r="IM79" s="232"/>
      <c r="IN79" s="232"/>
      <c r="IO79" s="232"/>
      <c r="IP79" s="232"/>
      <c r="IQ79" s="232"/>
      <c r="IR79" s="232"/>
      <c r="IS79" s="232"/>
      <c r="IT79" s="232"/>
      <c r="IU79" s="232"/>
      <c r="IV79" s="232"/>
      <c r="IW79" s="232"/>
      <c r="IX79" s="232"/>
      <c r="IY79" s="232"/>
      <c r="IZ79" s="232"/>
      <c r="JA79" s="232"/>
      <c r="JB79" s="232"/>
      <c r="JC79" s="232"/>
      <c r="JD79" s="232"/>
      <c r="JE79" s="232"/>
    </row>
    <row r="80" spans="1:265" ht="12.75" customHeight="1">
      <c r="A80" s="4"/>
      <c r="B80" s="4"/>
      <c r="C80" s="2000" t="s">
        <v>1443</v>
      </c>
      <c r="D80" s="2114"/>
      <c r="E80" s="1332">
        <f t="shared" si="1114"/>
        <v>7</v>
      </c>
      <c r="F80" s="2314">
        <v>7</v>
      </c>
      <c r="G80" s="1510">
        <v>7</v>
      </c>
      <c r="H80" s="1334">
        <v>2018</v>
      </c>
      <c r="I80" s="1513">
        <v>3.9E-2</v>
      </c>
      <c r="J80" s="1334">
        <v>2</v>
      </c>
      <c r="K80" s="80"/>
      <c r="L80" s="81">
        <f t="shared" si="1022"/>
        <v>0</v>
      </c>
      <c r="M80" s="82">
        <f t="shared" ref="M80:M86" si="1115">IF(Q80=0,0,IF(Q80&lt;0,IF($J80=3,Q80,IF($J80=2,Q80,IF($J80=1,Q80,0)))))</f>
        <v>0</v>
      </c>
      <c r="N80" s="83">
        <f t="shared" ref="N80:N86" si="1116">IF(Q80=0,0,IF(Q80&lt;0,IF($J80=6,Q80,IF($J80=5,Q80,IF($J80=4,Q80,0)))))</f>
        <v>0</v>
      </c>
      <c r="O80" s="83">
        <f t="shared" ref="O80:O86" si="1117">IF(Q80=0,0,IF(Q80&lt;0,IF($J80=9,Q80,IF($J80=8,Q80,IF($J80=7,Q80,0)))))</f>
        <v>0</v>
      </c>
      <c r="P80" s="84">
        <f t="shared" ref="P80:P86" si="1118">IF(Q80=0,0,IF(Q80&lt;0,IF($J80=12,Q80,IF($J80=11,Q80,IF($J80=10,Q80,0)))))</f>
        <v>0</v>
      </c>
      <c r="Q80" s="81">
        <f t="shared" si="1027"/>
        <v>0</v>
      </c>
      <c r="R80" s="82">
        <f t="shared" ref="R80:R86" si="1119">IF(V80=0,0,IF(V80&lt;0,IF($J80=3,V80,IF($J80=2,V80,IF($J80=1,V80,0)))))</f>
        <v>0</v>
      </c>
      <c r="S80" s="83">
        <f t="shared" ref="S80:S86" si="1120">IF(V80=0,0,IF(V80&lt;0,IF($J80=6,V80,IF($J80=5,V80,IF($J80=4,V80,0)))))</f>
        <v>0</v>
      </c>
      <c r="T80" s="83">
        <f t="shared" ref="T80:T86" si="1121">IF(V80=0,0,IF(V80&lt;0,IF($J80=9,V80,IF($J80=8,V80,IF($J80=7,V80,0)))))</f>
        <v>0</v>
      </c>
      <c r="U80" s="84">
        <f t="shared" ref="U80:U86" si="1122">IF(V80=0,0,IF(V80&lt;0,IF($J80=12,V80,IF($J80=11,V80,IF($J80=10,V80,0)))))</f>
        <v>0</v>
      </c>
      <c r="V80" s="81">
        <f t="shared" si="1032"/>
        <v>0</v>
      </c>
      <c r="W80" s="82">
        <f t="shared" ref="W80:W86" si="1123">IF(AA80=0,0,IF(AA80&lt;0,IF($J80=3,AA80,IF($J80=2,AA80,IF($J80=1,AA80,0)))))</f>
        <v>0</v>
      </c>
      <c r="X80" s="83">
        <f t="shared" ref="X80:X86" si="1124">IF(AA80=0,0,IF(AA80&lt;0,IF($J80=6,AA80,IF($J80=5,AA80,IF($J80=4,AA80,0)))))</f>
        <v>0</v>
      </c>
      <c r="Y80" s="83">
        <f t="shared" ref="Y80:Y86" si="1125">IF(AA80=0,0,IF(AA80&lt;0,IF($J80=9,AA80,IF($J80=8,AA80,IF($J80=7,AA80,0)))))</f>
        <v>0</v>
      </c>
      <c r="Z80" s="84">
        <f t="shared" ref="Z80:Z86" si="1126">IF(AA80=0,0,IF(AA80&lt;0,IF($J80=12,AA80,IF($J80=11,AA80,IF($J80=10,AA80,0)))))</f>
        <v>0</v>
      </c>
      <c r="AA80" s="81">
        <f t="shared" si="1037"/>
        <v>0</v>
      </c>
      <c r="AB80" s="82">
        <f t="shared" ref="AB80:AB86" si="1127">IF(AF80=0,0,IF(AF80&lt;0,IF($J80=3,AF80,IF($J80=2,AF80,IF($J80=1,AF80,0)))))</f>
        <v>0</v>
      </c>
      <c r="AC80" s="83">
        <f t="shared" ref="AC80:AC86" si="1128">IF(AF80=0,0,IF(AF80&lt;0,IF($J80=6,AF80,IF($J80=5,AF80,IF($J80=4,AF80,0)))))</f>
        <v>0</v>
      </c>
      <c r="AD80" s="83">
        <f t="shared" ref="AD80:AD86" si="1129">IF(AF80=0,0,IF(AF80&lt;0,IF($J80=9,AF80,IF($J80=8,AF80,IF($J80=7,AF80,0)))))</f>
        <v>0</v>
      </c>
      <c r="AE80" s="84">
        <f t="shared" ref="AE80:AE86" si="1130">IF(AF80=0,0,IF(AF80&lt;0,IF($J80=12,AF80,IF($J80=11,AF80,IF($J80=10,AF80,0)))))</f>
        <v>0</v>
      </c>
      <c r="AF80" s="81">
        <f t="shared" si="1042"/>
        <v>0</v>
      </c>
      <c r="AG80" s="82">
        <f t="shared" ref="AG80:AG86" si="1131">IF(AK80=0,0,IF(AK80&lt;0,IF($J80=3,AK80,IF($J80=2,AK80,IF($J80=1,AK80,0)))))</f>
        <v>0</v>
      </c>
      <c r="AH80" s="83">
        <f t="shared" ref="AH80:AH86" si="1132">IF(AK80=0,0,IF(AK80&lt;0,IF($J80=6,AK80,IF($J80=5,AK80,IF($J80=4,AK80,0)))))</f>
        <v>0</v>
      </c>
      <c r="AI80" s="83">
        <f t="shared" ref="AI80:AI86" si="1133">IF(AK80=0,0,IF(AK80&lt;0,IF($J80=9,AK80,IF($J80=8,AK80,IF($J80=7,AK80,0)))))</f>
        <v>0</v>
      </c>
      <c r="AJ80" s="84">
        <f t="shared" ref="AJ80:AJ86" si="1134">IF(AK80=0,0,IF(AK80&lt;0,IF($J80=12,AK80,IF($J80=11,AK80,IF($J80=10,AK80,0)))))</f>
        <v>0</v>
      </c>
      <c r="AK80" s="81">
        <f t="shared" si="1047"/>
        <v>0</v>
      </c>
      <c r="AL80" s="82">
        <f t="shared" ref="AL80:AL86" si="1135">IF(AP80=0,0,IF(AP80&lt;0,IF($J80=3,AP80,IF($J80=2,AP80,IF($J80=1,AP80,0)))))</f>
        <v>-7</v>
      </c>
      <c r="AM80" s="83">
        <f t="shared" ref="AM80:AM86" si="1136">IF(AP80=0,0,IF(AP80&lt;0,IF($J80=6,AP80,IF($J80=5,AP80,IF($J80=4,AP80,0)))))</f>
        <v>0</v>
      </c>
      <c r="AN80" s="83">
        <f t="shared" ref="AN80:AN86" si="1137">IF(AP80=0,0,IF(AP80&lt;0,IF($J80=9,AP80,IF($J80=8,AP80,IF($J80=7,AP80,0)))))</f>
        <v>0</v>
      </c>
      <c r="AO80" s="84">
        <f t="shared" ref="AO80:AO86" si="1138">IF(AP80=0,0,IF(AP80&lt;0,IF($J80=12,AP80,IF($J80=11,AP80,IF($J80=10,AP80,0)))))</f>
        <v>0</v>
      </c>
      <c r="AP80" s="81">
        <f t="shared" si="1052"/>
        <v>-7</v>
      </c>
      <c r="AQ80" s="82">
        <f t="shared" ref="AQ80:AQ86" si="1139">IF(AU80=0,0,IF(AU80&lt;0,IF($J80=3,AU80,IF($J80=2,AU80,IF($J80=1,AU80,0)))))</f>
        <v>0</v>
      </c>
      <c r="AR80" s="83">
        <f t="shared" ref="AR80:AR86" si="1140">IF(AU80=0,0,IF(AU80&lt;0,IF($J80=6,AU80,IF($J80=5,AU80,IF($J80=4,AU80,0)))))</f>
        <v>0</v>
      </c>
      <c r="AS80" s="83">
        <f t="shared" ref="AS80:AS86" si="1141">IF(AU80=0,0,IF(AU80&lt;0,IF($J80=9,AU80,IF($J80=8,AU80,IF($J80=7,AU80,0)))))</f>
        <v>0</v>
      </c>
      <c r="AT80" s="84">
        <f t="shared" ref="AT80:AT86" si="1142">IF(AU80=0,0,IF(AU80&lt;0,IF($J80=12,AU80,IF($J80=11,AU80,IF($J80=10,AU80,0)))))</f>
        <v>0</v>
      </c>
      <c r="AU80" s="81">
        <f t="shared" si="1057"/>
        <v>0</v>
      </c>
      <c r="AV80" s="82">
        <f t="shared" ref="AV80:AV86" si="1143">IF(AZ80=0,0,IF(AZ80&lt;0,IF($J80=3,AZ80,IF($J80=2,AZ80,IF($J80=1,AZ80,0)))))</f>
        <v>0</v>
      </c>
      <c r="AW80" s="83">
        <f t="shared" ref="AW80:AW86" si="1144">IF(AZ80=0,0,IF(AZ80&lt;0,IF($J80=6,AZ80,IF($J80=5,AZ80,IF($J80=4,AZ80,0)))))</f>
        <v>0</v>
      </c>
      <c r="AX80" s="83">
        <f t="shared" ref="AX80:AX86" si="1145">IF(AZ80=0,0,IF(AZ80&lt;0,IF($J80=9,AZ80,IF($J80=8,AZ80,IF($J80=7,AZ80,0)))))</f>
        <v>0</v>
      </c>
      <c r="AY80" s="84">
        <f t="shared" ref="AY80:AY86" si="1146">IF(AZ80=0,0,IF(AZ80&lt;0,IF($J80=12,AZ80,IF($J80=11,AZ80,IF($J80=10,AZ80,0)))))</f>
        <v>0</v>
      </c>
      <c r="AZ80" s="81">
        <f t="shared" si="1062"/>
        <v>0</v>
      </c>
      <c r="BA80" s="82">
        <f t="shared" si="1063"/>
        <v>0</v>
      </c>
      <c r="BB80" s="83">
        <f t="shared" si="1064"/>
        <v>0</v>
      </c>
      <c r="BC80" s="83">
        <f t="shared" si="1065"/>
        <v>0</v>
      </c>
      <c r="BD80" s="84">
        <f t="shared" si="1066"/>
        <v>0</v>
      </c>
      <c r="BE80" s="81">
        <f t="shared" si="1067"/>
        <v>0</v>
      </c>
      <c r="BF80" s="1877"/>
      <c r="BG80" s="2005">
        <f t="shared" ref="BG80:BG86" si="1147">IF(AND(BF80&lt;&gt;0,BF$5=$H80),-$I80*$E80-BF80,IF(BG$5=$H80,-$I80*$E80*(12-$J80+1)/12,0))</f>
        <v>0</v>
      </c>
      <c r="BH80" s="86">
        <f t="shared" ref="BH80:BH86" si="1148">IF($H80&lt;&gt;BL$5,0,IF(BL80&lt;0,IF($J80=1,-$E80*$I80/12*3,IF($J80=2,-$E80*$I80/12*2,IF($J80=3,-$E80*$I80/12*1,0)))))+IF(BG$5&lt;&gt;$H80,0,IF(BG80&lt;0,IF($J80=1,-$E80*$I80/12*0,IF($J80=2,-$E80*$I80/12*1,IF($J80=3,-$E80*$I80/12*2,IF($J80&gt;=4,-$E80*$I80/12*3,0))))))</f>
        <v>0</v>
      </c>
      <c r="BI80" s="87">
        <f t="shared" ref="BI80:BI86" si="1149">IF($H80&lt;&gt;BL$5,0,IF(BL80&lt;0,IF(OR($J80=1,$J80=2,$J80=3,$J80=4),-$E80*$I80/12*3,IF($J80=5,-$E80*$I80/12*2,IF($J80=6,-$E80*$I80/12*1,0)))))+IF(BG$5&lt;&gt;$H80,0,IF(BG80&lt;0,IF($J80=4,-$E80*$I80/12*0,IF($J80=5,-$E80*$I80/12*1,IF($J80=6,-$E80*$I80/12*2,IF($J80&gt;=7,-$E80*$I80/12*3,0))))))</f>
        <v>0</v>
      </c>
      <c r="BJ80" s="87">
        <f t="shared" ref="BJ80:BJ86" si="1150">IF($H80&lt;&gt;BL$5,0,IF(BL80&lt;0,IF(OR($J80=1,$J80=2,$J80=3,$J80=4,$J80=5,$J80=6,$J80=7),-$E80*$I80/12*3,IF($J80=8,-$E80*$I80/12*2,IF($J80=9,-$E80*$I80/12*1,0)))))+IF(BG$5&lt;&gt;$H80,0,IF(BG80&lt;0,IF($J80=7,-$E80*$I80/12*0,IF($J80=8,-$E80*$I80/12*1,IF($J80=9,-$E80*$I80/12*2,IF($J80&gt;=10,-$E80*$I80/12*3,0))))))</f>
        <v>0</v>
      </c>
      <c r="BK80" s="88">
        <f t="shared" ref="BK80:BK86" si="1151">IF($H80&lt;&gt;BL$5,0,IF(BL80&lt;0,IF(OR($J80=1,$J80=2,$J80=3,$J80=4,$J80=5,$J80=6,$J80=7,$J80=8,$J80=9,$J80=10),-$E80*$I80/12*3,IF($J80=11,-$E80*$I80/12*2,IF($J80=12,-$E80*$I80/12*1,0)))))+IF(BG$5&lt;&gt;$H80,0,IF(BG80&lt;0,IF($J80=10,-$E80*$I80/12*0,IF($J80=11,-$E80*$I80/12*1,IF($J80=12,-$E80*$I80/12*2,0)))))</f>
        <v>0</v>
      </c>
      <c r="BL80" s="85">
        <f t="shared" ref="BL80:BL86" si="1152">IF(AND(BG80&lt;&gt;0,BG$5=$H80),-$I80*$E80-BG80,IF(BL$5=$H80,-$I80*$E80*(12-$J80+1)/12,0))</f>
        <v>0</v>
      </c>
      <c r="BM80" s="86">
        <f t="shared" ref="BM80:BM86" si="1153">IF($H80&lt;&gt;BQ$5,0,IF(BQ80&lt;0,IF($J80=1,-$E80*$I80/12*3,IF($J80=2,-$E80*$I80/12*2,IF($J80=3,-$E80*$I80/12*1,0)))))+IF(BL$5&lt;&gt;$H80,0,IF(BL80&lt;0,IF($J80=1,-$E80*$I80/12*0,IF($J80=2,-$E80*$I80/12*1,IF($J80=3,-$E80*$I80/12*2,IF($J80&gt;=4,-$E80*$I80/12*3,0))))))</f>
        <v>0</v>
      </c>
      <c r="BN80" s="87">
        <f t="shared" ref="BN80:BN86" si="1154">IF($H80&lt;&gt;BQ$5,0,IF(BQ80&lt;0,IF(OR($J80=1,$J80=2,$J80=3,$J80=4),-$E80*$I80/12*3,IF($J80=5,-$E80*$I80/12*2,IF($J80=6,-$E80*$I80/12*1,0)))))+IF(BL$5&lt;&gt;$H80,0,IF(BL80&lt;0,IF($J80=4,-$E80*$I80/12*0,IF($J80=5,-$E80*$I80/12*1,IF($J80=6,-$E80*$I80/12*2,IF($J80&gt;=7,-$E80*$I80/12*3,0))))))</f>
        <v>0</v>
      </c>
      <c r="BO80" s="87">
        <f t="shared" ref="BO80:BO86" si="1155">IF($H80&lt;&gt;BQ$5,0,IF(BQ80&lt;0,IF(OR($J80=1,$J80=2,$J80=3,$J80=4,$J80=5,$J80=6,$J80=7),-$E80*$I80/12*3,IF($J80=8,-$E80*$I80/12*2,IF($J80=9,-$E80*$I80/12*1,0)))))+IF(BL$5&lt;&gt;$H80,0,IF(BL80&lt;0,IF($J80=7,-$E80*$I80/12*0,IF($J80=8,-$E80*$I80/12*1,IF($J80=9,-$E80*$I80/12*2,IF($J80&gt;=10,-$E80*$I80/12*3,0))))))</f>
        <v>0</v>
      </c>
      <c r="BP80" s="88">
        <f t="shared" ref="BP80:BP86" si="1156">IF($H80&lt;&gt;BQ$5,0,IF(BQ80&lt;0,IF(OR($J80=1,$J80=2,$J80=3,$J80=4,$J80=5,$J80=6,$J80=7,$J80=8,$J80=9,$J80=10),-$E80*$I80/12*3,IF($J80=11,-$E80*$I80/12*2,IF($J80=12,-$E80*$I80/12*1,0)))))+IF(BL$5&lt;&gt;$H80,0,IF(BL80&lt;0,IF($J80=10,-$E80*$I80/12*0,IF($J80=11,-$E80*$I80/12*1,IF($J80=12,-$E80*$I80/12*2,0)))))</f>
        <v>0</v>
      </c>
      <c r="BQ80" s="85">
        <f t="shared" ref="BQ80:BQ86" si="1157">IF(AND(BL80&lt;&gt;0,BL$5=$H80),-$I80*$E80-BL80,IF(BQ$5=$H80,-$I80*$E80*(12-$J80+1)/12,0))</f>
        <v>0</v>
      </c>
      <c r="BR80" s="86">
        <f t="shared" ref="BR80:BR86" si="1158">IF($H80&lt;&gt;BV$5,0,IF(BV80&lt;0,IF($J80=1,-$E80*$I80/12*3,IF($J80=2,-$E80*$I80/12*2,IF($J80=3,-$E80*$I80/12*1,0)))))+IF(BQ$5&lt;&gt;$H80,0,IF(BQ80&lt;0,IF($J80=1,-$E80*$I80/12*0,IF($J80=2,-$E80*$I80/12*1,IF($J80=3,-$E80*$I80/12*2,IF($J80&gt;=4,-$E80*$I80/12*3,0))))))</f>
        <v>0</v>
      </c>
      <c r="BS80" s="87">
        <f t="shared" ref="BS80:BS86" si="1159">IF($H80&lt;&gt;BV$5,0,IF(BV80&lt;0,IF(OR($J80=1,$J80=2,$J80=3,$J80=4),-$E80*$I80/12*3,IF($J80=5,-$E80*$I80/12*2,IF($J80=6,-$E80*$I80/12*1,0)))))+IF(BQ$5&lt;&gt;$H80,0,IF(BQ80&lt;0,IF($J80=4,-$E80*$I80/12*0,IF($J80=5,-$E80*$I80/12*1,IF($J80=6,-$E80*$I80/12*2,IF($J80&gt;=7,-$E80*$I80/12*3,0))))))</f>
        <v>0</v>
      </c>
      <c r="BT80" s="87">
        <f t="shared" ref="BT80:BT86" si="1160">IF($H80&lt;&gt;BV$5,0,IF(BV80&lt;0,IF(OR($J80=1,$J80=2,$J80=3,$J80=4,$J80=5,$J80=6,$J80=7),-$E80*$I80/12*3,IF($J80=8,-$E80*$I80/12*2,IF($J80=9,-$E80*$I80/12*1,0)))))+IF(BQ$5&lt;&gt;$H80,0,IF(BQ80&lt;0,IF($J80=7,-$E80*$I80/12*0,IF($J80=8,-$E80*$I80/12*1,IF($J80=9,-$E80*$I80/12*2,IF($J80&gt;=10,-$E80*$I80/12*3,0))))))</f>
        <v>0</v>
      </c>
      <c r="BU80" s="88">
        <f t="shared" ref="BU80:BU86" si="1161">IF($H80&lt;&gt;BV$5,0,IF(BV80&lt;0,IF(OR($J80=1,$J80=2,$J80=3,$J80=4,$J80=5,$J80=6,$J80=7,$J80=8,$J80=9,$J80=10),-$E80*$I80/12*3,IF($J80=11,-$E80*$I80/12*2,IF($J80=12,-$E80*$I80/12*1,0)))))+IF(BQ$5&lt;&gt;$H80,0,IF(BQ80&lt;0,IF($J80=10,-$E80*$I80/12*0,IF($J80=11,-$E80*$I80/12*1,IF($J80=12,-$E80*$I80/12*2,0)))))</f>
        <v>0</v>
      </c>
      <c r="BV80" s="85">
        <f t="shared" ref="BV80:BV86" si="1162">IF(AND(BQ80&lt;&gt;0,BQ$5=$H80),-$I80*$E80-BQ80,IF(BV$5=$H80,-$I80*$E80*(12-$J80+1)/12,0))</f>
        <v>0</v>
      </c>
      <c r="BW80" s="86">
        <f t="shared" ref="BW80:BW86" si="1163">IF($H80&lt;&gt;CA$5,0,IF(CA80&lt;0,IF($J80=1,-$E80*$I80/12*3,IF($J80=2,-$E80*$I80/12*2,IF($J80=3,-$E80*$I80/12*1,0)))))+IF(BV$5&lt;&gt;$H80,0,IF(BV80&lt;0,IF($J80=1,-$E80*$I80/12*0,IF($J80=2,-$E80*$I80/12*1,IF($J80=3,-$E80*$I80/12*2,IF($J80&gt;=4,-$E80*$I80/12*3,0))))))</f>
        <v>0</v>
      </c>
      <c r="BX80" s="87">
        <f t="shared" ref="BX80:BX86" si="1164">IF($H80&lt;&gt;CA$5,0,IF(CA80&lt;0,IF(OR($J80=1,$J80=2,$J80=3,$J80=4),-$E80*$I80/12*3,IF($J80=5,-$E80*$I80/12*2,IF($J80=6,-$E80*$I80/12*1,0)))))+IF(BV$5&lt;&gt;$H80,0,IF(BV80&lt;0,IF($J80=4,-$E80*$I80/12*0,IF($J80=5,-$E80*$I80/12*1,IF($J80=6,-$E80*$I80/12*2,IF($J80&gt;=7,-$E80*$I80/12*3,0))))))</f>
        <v>0</v>
      </c>
      <c r="BY80" s="87">
        <f t="shared" ref="BY80:BY86" si="1165">IF($H80&lt;&gt;CA$5,0,IF(CA80&lt;0,IF(OR($J80=1,$J80=2,$J80=3,$J80=4,$J80=5,$J80=6,$J80=7),-$E80*$I80/12*3,IF($J80=8,-$E80*$I80/12*2,IF($J80=9,-$E80*$I80/12*1,0)))))+IF(BV$5&lt;&gt;$H80,0,IF(BV80&lt;0,IF($J80=7,-$E80*$I80/12*0,IF($J80=8,-$E80*$I80/12*1,IF($J80=9,-$E80*$I80/12*2,IF($J80&gt;=10,-$E80*$I80/12*3,0))))))</f>
        <v>0</v>
      </c>
      <c r="BZ80" s="88">
        <f t="shared" ref="BZ80:BZ86" si="1166">IF($H80&lt;&gt;CA$5,0,IF(CA80&lt;0,IF(OR($J80=1,$J80=2,$J80=3,$J80=4,$J80=5,$J80=6,$J80=7,$J80=8,$J80=9,$J80=10),-$E80*$I80/12*3,IF($J80=11,-$E80*$I80/12*2,IF($J80=12,-$E80*$I80/12*1,0)))))+IF(BV$5&lt;&gt;$H80,0,IF(BV80&lt;0,IF($J80=10,-$E80*$I80/12*0,IF($J80=11,-$E80*$I80/12*1,IF($J80=12,-$E80*$I80/12*2,0)))))</f>
        <v>0</v>
      </c>
      <c r="CA80" s="85">
        <f t="shared" ref="CA80:CA86" si="1167">IF(AND(BV80&lt;&gt;0,BV$5=$H80),-$I80*$E80-BV80,IF(CA$5=$H80,-$I80*$E80*(12-$J80+1)/12,0))</f>
        <v>0</v>
      </c>
      <c r="CB80" s="86">
        <f t="shared" ref="CB80:CB86" si="1168">IF($H80&lt;&gt;CF$5,0,IF(CF80&lt;0,IF($J80=1,-$E80*$I80/12*3,IF($J80=2,-$E80*$I80/12*2,IF($J80=3,-$E80*$I80/12*1,0)))))+IF(CA$5&lt;&gt;$H80,0,IF(CA80&lt;0,IF($J80=1,-$E80*$I80/12*0,IF($J80=2,-$E80*$I80/12*1,IF($J80=3,-$E80*$I80/12*2,IF($J80&gt;=4,-$E80*$I80/12*3,0))))))</f>
        <v>0</v>
      </c>
      <c r="CC80" s="87">
        <f t="shared" ref="CC80:CC86" si="1169">IF($H80&lt;&gt;CF$5,0,IF(CF80&lt;0,IF(OR($J80=1,$J80=2,$J80=3,$J80=4),-$E80*$I80/12*3,IF($J80=5,-$E80*$I80/12*2,IF($J80=6,-$E80*$I80/12*1,0)))))+IF(CA$5&lt;&gt;$H80,0,IF(CA80&lt;0,IF($J80=4,-$E80*$I80/12*0,IF($J80=5,-$E80*$I80/12*1,IF($J80=6,-$E80*$I80/12*2,IF($J80&gt;=7,-$E80*$I80/12*3,0))))))</f>
        <v>0</v>
      </c>
      <c r="CD80" s="87">
        <f t="shared" ref="CD80:CD86" si="1170">IF($H80&lt;&gt;CF$5,0,IF(CF80&lt;0,IF(OR($J80=1,$J80=2,$J80=3,$J80=4,$J80=5,$J80=6,$J80=7),-$E80*$I80/12*3,IF($J80=8,-$E80*$I80/12*2,IF($J80=9,-$E80*$I80/12*1,0)))))+IF(CA$5&lt;&gt;$H80,0,IF(CA80&lt;0,IF($J80=7,-$E80*$I80/12*0,IF($J80=8,-$E80*$I80/12*1,IF($J80=9,-$E80*$I80/12*2,IF($J80&gt;=10,-$E80*$I80/12*3,0))))))</f>
        <v>0</v>
      </c>
      <c r="CE80" s="88">
        <f t="shared" ref="CE80:CE86" si="1171">IF($H80&lt;&gt;CF$5,0,IF(CF80&lt;0,IF(OR($J80=1,$J80=2,$J80=3,$J80=4,$J80=5,$J80=6,$J80=7,$J80=8,$J80=9,$J80=10),-$E80*$I80/12*3,IF($J80=11,-$E80*$I80/12*2,IF($J80=12,-$E80*$I80/12*1,0)))))+IF(CA$5&lt;&gt;$H80,0,IF(CA80&lt;0,IF($J80=10,-$E80*$I80/12*0,IF($J80=11,-$E80*$I80/12*1,IF($J80=12,-$E80*$I80/12*2,0)))))</f>
        <v>0</v>
      </c>
      <c r="CF80" s="85">
        <f t="shared" ref="CF80:CF86" si="1172">IF(AND(CA80&lt;&gt;0,CA$5=$H80),-$I80*$E80-CA80,IF(CF$5=$H80,-$I80*$E80*(12-$J80+1)/12,0))</f>
        <v>0</v>
      </c>
      <c r="CG80" s="86">
        <f t="shared" ref="CG80:CG86" si="1173">IF($H80&lt;&gt;CK$5,0,IF(CK80&lt;0,IF($J80=1,-$E80*$I80/12*3,IF($J80=2,-$E80*$I80/12*2,IF($J80=3,-$E80*$I80/12*1,0)))))+IF(CF$5&lt;&gt;$H80,0,IF(CF80&lt;0,IF($J80=1,-$E80*$I80/12*0,IF($J80=2,-$E80*$I80/12*1,IF($J80=3,-$E80*$I80/12*2,IF($J80&gt;=4,-$E80*$I80/12*3,0))))))</f>
        <v>-4.5500000000000006E-2</v>
      </c>
      <c r="CH80" s="87">
        <f t="shared" ref="CH80:CH86" si="1174">IF($H80&lt;&gt;CK$5,0,IF(CK80&lt;0,IF(OR($J80=1,$J80=2,$J80=3,$J80=4),-$E80*$I80/12*3,IF($J80=5,-$E80*$I80/12*2,IF($J80=6,-$E80*$I80/12*1,0)))))+IF(CF$5&lt;&gt;$H80,0,IF(CF80&lt;0,IF($J80=4,-$E80*$I80/12*0,IF($J80=5,-$E80*$I80/12*1,IF($J80=6,-$E80*$I80/12*2,IF($J80&gt;=7,-$E80*$I80/12*3,0))))))</f>
        <v>-6.8250000000000005E-2</v>
      </c>
      <c r="CI80" s="87">
        <f t="shared" ref="CI80:CI86" si="1175">IF($H80&lt;&gt;CK$5,0,IF(CK80&lt;0,IF(OR($J80=1,$J80=2,$J80=3,$J80=4,$J80=5,$J80=6,$J80=7),-$E80*$I80/12*3,IF($J80=8,-$E80*$I80/12*2,IF($J80=9,-$E80*$I80/12*1,0)))))+IF(CF$5&lt;&gt;$H80,0,IF(CF80&lt;0,IF($J80=7,-$E80*$I80/12*0,IF($J80=8,-$E80*$I80/12*1,IF($J80=9,-$E80*$I80/12*2,IF($J80&gt;=10,-$E80*$I80/12*3,0))))))</f>
        <v>-6.8250000000000005E-2</v>
      </c>
      <c r="CJ80" s="88">
        <f t="shared" ref="CJ80:CJ86" si="1176">IF($H80&lt;&gt;CK$5,0,IF(CK80&lt;0,IF(OR($J80=1,$J80=2,$J80=3,$J80=4,$J80=5,$J80=6,$J80=7,$J80=8,$J80=9,$J80=10),-$E80*$I80/12*3,IF($J80=11,-$E80*$I80/12*2,IF($J80=12,-$E80*$I80/12*1,0)))))+IF(CF$5&lt;&gt;$H80,0,IF(CF80&lt;0,IF($J80=10,-$E80*$I80/12*0,IF($J80=11,-$E80*$I80/12*1,IF($J80=12,-$E80*$I80/12*2,0)))))</f>
        <v>-6.8250000000000005E-2</v>
      </c>
      <c r="CK80" s="85">
        <f t="shared" ref="CK80:CK86" si="1177">IF(AND(CF80&lt;&gt;0,CF$5=$H80),-$I80*$E80-CF80,IF(CK$5=$H80,-$I80*$E80*(12-$J80+1)/12,0))</f>
        <v>-0.25025000000000003</v>
      </c>
      <c r="CL80" s="86">
        <f t="shared" ref="CL80:CL86" si="1178">IF($H80&lt;&gt;CP$5,0,IF(CP80&lt;0,IF($J80=1,-$E80*$I80/12*3,IF($J80=2,-$E80*$I80/12*2,IF($J80=3,-$E80*$I80/12*1,0)))))+IF(CK$5&lt;&gt;$H80,0,IF(CK80&lt;0,IF($J80=1,-$E80*$I80/12*0,IF($J80=2,-$E80*$I80/12*1,IF($J80=3,-$E80*$I80/12*2,IF($J80&gt;=4,-$E80*$I80/12*3,0))))))</f>
        <v>-2.2750000000000003E-2</v>
      </c>
      <c r="CM80" s="87">
        <f t="shared" ref="CM80:CM86" si="1179">IF($H80&lt;&gt;CP$5,0,IF(CP80&lt;0,IF(OR($J80=1,$J80=2,$J80=3,$J80=4),-$E80*$I80/12*3,IF($J80=5,-$E80*$I80/12*2,IF($J80=6,-$E80*$I80/12*1,0)))))+IF(CK$5&lt;&gt;$H80,0,IF(CK80&lt;0,IF($J80=4,-$E80*$I80/12*0,IF($J80=5,-$E80*$I80/12*1,IF($J80=6,-$E80*$I80/12*2,IF($J80&gt;=7,-$E80*$I80/12*3,0))))))</f>
        <v>0</v>
      </c>
      <c r="CN80" s="87">
        <f t="shared" ref="CN80:CN86" si="1180">IF($H80&lt;&gt;CP$5,0,IF(CP80&lt;0,IF(OR($J80=1,$J80=2,$J80=3,$J80=4,$J80=5,$J80=6,$J80=7),-$E80*$I80/12*3,IF($J80=8,-$E80*$I80/12*2,IF($J80=9,-$E80*$I80/12*1,0)))))+IF(CK$5&lt;&gt;$H80,0,IF(CK80&lt;0,IF($J80=7,-$E80*$I80/12*0,IF($J80=8,-$E80*$I80/12*1,IF($J80=9,-$E80*$I80/12*2,IF($J80&gt;=10,-$E80*$I80/12*3,0))))))</f>
        <v>0</v>
      </c>
      <c r="CO80" s="88">
        <f t="shared" ref="CO80:CO86" si="1181">IF($H80&lt;&gt;CP$5,0,IF(CP80&lt;0,IF(OR($J80=1,$J80=2,$J80=3,$J80=4,$J80=5,$J80=6,$J80=7,$J80=8,$J80=9,$J80=10),-$E80*$I80/12*3,IF($J80=11,-$E80*$I80/12*2,IF($J80=12,-$E80*$I80/12*1,0)))))+IF(CK$5&lt;&gt;$H80,0,IF(CK80&lt;0,IF($J80=10,-$E80*$I80/12*0,IF($J80=11,-$E80*$I80/12*1,IF($J80=12,-$E80*$I80/12*2,0)))))</f>
        <v>0</v>
      </c>
      <c r="CP80" s="85">
        <f t="shared" ref="CP80:CP86" si="1182">IF(AND(CK80&lt;&gt;0,CK$5=$H80),-$I80*$E80-CK80,IF(CP$5=$H80,-$I80*$E80*(12-$J80+1)/12,0))</f>
        <v>-2.2749999999999992E-2</v>
      </c>
      <c r="CQ80" s="86">
        <f t="shared" ref="CQ80:CQ86" si="1183">IF($H80&lt;&gt;CU$5,0,IF(CU80&lt;0,IF($J80=1,-$E80*$I80/12*3,IF($J80=2,-$E80*$I80/12*2,IF($J80=3,-$E80*$I80/12*1,0)))))+IF(CP$5&lt;&gt;$H80,0,IF(CP80&lt;0,IF($J80=1,-$E80*$I80/12*0,IF($J80=2,-$E80*$I80/12*1,IF($J80=3,-$E80*$I80/12*2,IF($J80&gt;=4,-$E80*$I80/12*3,0))))))</f>
        <v>0</v>
      </c>
      <c r="CR80" s="87">
        <f t="shared" ref="CR80:CR86" si="1184">IF($H80&lt;&gt;CU$5,0,IF(CU80&lt;0,IF(OR($J80=1,$J80=2,$J80=3,$J80=4),-$E80*$I80/12*3,IF($J80=5,-$E80*$I80/12*2,IF($J80=6,-$E80*$I80/12*1,0)))))+IF(CP$5&lt;&gt;$H80,0,IF(CP80&lt;0,IF($J80=4,-$E80*$I80/12*0,IF($J80=5,-$E80*$I80/12*1,IF($J80=6,-$E80*$I80/12*2,IF($J80&gt;=7,-$E80*$I80/12*3,0))))))</f>
        <v>0</v>
      </c>
      <c r="CS80" s="87">
        <f t="shared" ref="CS80:CS86" si="1185">IF($H80&lt;&gt;CU$5,0,IF(CU80&lt;0,IF(OR($J80=1,$J80=2,$J80=3,$J80=4,$J80=5,$J80=6,$J80=7),-$E80*$I80/12*3,IF($J80=8,-$E80*$I80/12*2,IF($J80=9,-$E80*$I80/12*1,0)))))+IF(CP$5&lt;&gt;$H80,0,IF(CP80&lt;0,IF($J80=7,-$E80*$I80/12*0,IF($J80=8,-$E80*$I80/12*1,IF($J80=9,-$E80*$I80/12*2,IF($J80&gt;=10,-$E80*$I80/12*3,0))))))</f>
        <v>0</v>
      </c>
      <c r="CT80" s="88">
        <f t="shared" ref="CT80:CT86" si="1186">IF($H80&lt;&gt;CU$5,0,IF(CU80&lt;0,IF(OR($J80=1,$J80=2,$J80=3,$J80=4,$J80=5,$J80=6,$J80=7,$J80=8,$J80=9,$J80=10),-$E80*$I80/12*3,IF($J80=11,-$E80*$I80/12*2,IF($J80=12,-$E80*$I80/12*1,0)))))+IF(CP$5&lt;&gt;$H80,0,IF(CP80&lt;0,IF($J80=10,-$E80*$I80/12*0,IF($J80=11,-$E80*$I80/12*1,IF($J80=12,-$E80*$I80/12*2,0)))))</f>
        <v>0</v>
      </c>
      <c r="CU80" s="85">
        <f t="shared" ref="CU80:CU86" si="1187">IF(AND(CP80&lt;&gt;0,CP$5=$H80),-$I80*$E80-CP80,IF(CU$5=$H80,-$I80*$E80*(12-$J80+1)/12,0))</f>
        <v>0</v>
      </c>
      <c r="CV80" s="86">
        <f t="shared" si="1109"/>
        <v>0</v>
      </c>
      <c r="CW80" s="87">
        <f t="shared" si="1110"/>
        <v>0</v>
      </c>
      <c r="CX80" s="87">
        <f t="shared" si="1111"/>
        <v>0</v>
      </c>
      <c r="CY80" s="88">
        <f t="shared" si="1112"/>
        <v>0</v>
      </c>
      <c r="CZ80" s="85">
        <f t="shared" si="1113"/>
        <v>0</v>
      </c>
    </row>
    <row r="81" spans="1:104" ht="12.75" customHeight="1">
      <c r="A81" s="4"/>
      <c r="B81" s="4"/>
      <c r="C81" s="2000" t="s">
        <v>1443</v>
      </c>
      <c r="D81" s="2114"/>
      <c r="E81" s="1332">
        <f t="shared" si="1114"/>
        <v>13</v>
      </c>
      <c r="F81" s="2314">
        <v>13</v>
      </c>
      <c r="G81" s="1510">
        <v>13</v>
      </c>
      <c r="H81" s="1334">
        <v>2018</v>
      </c>
      <c r="I81" s="1513">
        <v>3.4200000000000001E-2</v>
      </c>
      <c r="J81" s="1334">
        <v>1</v>
      </c>
      <c r="K81" s="80"/>
      <c r="L81" s="81">
        <f t="shared" si="1022"/>
        <v>0</v>
      </c>
      <c r="M81" s="82">
        <f t="shared" si="1115"/>
        <v>0</v>
      </c>
      <c r="N81" s="83">
        <f t="shared" si="1116"/>
        <v>0</v>
      </c>
      <c r="O81" s="83">
        <f t="shared" si="1117"/>
        <v>0</v>
      </c>
      <c r="P81" s="84">
        <f t="shared" si="1118"/>
        <v>0</v>
      </c>
      <c r="Q81" s="81">
        <f t="shared" si="1027"/>
        <v>0</v>
      </c>
      <c r="R81" s="82">
        <f t="shared" si="1119"/>
        <v>0</v>
      </c>
      <c r="S81" s="83">
        <f t="shared" si="1120"/>
        <v>0</v>
      </c>
      <c r="T81" s="83">
        <f t="shared" si="1121"/>
        <v>0</v>
      </c>
      <c r="U81" s="84">
        <f t="shared" si="1122"/>
        <v>0</v>
      </c>
      <c r="V81" s="81">
        <f t="shared" si="1032"/>
        <v>0</v>
      </c>
      <c r="W81" s="82">
        <f t="shared" si="1123"/>
        <v>0</v>
      </c>
      <c r="X81" s="83">
        <f t="shared" si="1124"/>
        <v>0</v>
      </c>
      <c r="Y81" s="83">
        <f t="shared" si="1125"/>
        <v>0</v>
      </c>
      <c r="Z81" s="84">
        <f t="shared" si="1126"/>
        <v>0</v>
      </c>
      <c r="AA81" s="81">
        <f t="shared" si="1037"/>
        <v>0</v>
      </c>
      <c r="AB81" s="82">
        <f t="shared" si="1127"/>
        <v>0</v>
      </c>
      <c r="AC81" s="83">
        <f t="shared" si="1128"/>
        <v>0</v>
      </c>
      <c r="AD81" s="83">
        <f t="shared" si="1129"/>
        <v>0</v>
      </c>
      <c r="AE81" s="84">
        <f t="shared" si="1130"/>
        <v>0</v>
      </c>
      <c r="AF81" s="81">
        <f t="shared" si="1042"/>
        <v>0</v>
      </c>
      <c r="AG81" s="82">
        <f t="shared" si="1131"/>
        <v>0</v>
      </c>
      <c r="AH81" s="83">
        <f t="shared" si="1132"/>
        <v>0</v>
      </c>
      <c r="AI81" s="83">
        <f t="shared" si="1133"/>
        <v>0</v>
      </c>
      <c r="AJ81" s="84">
        <f t="shared" si="1134"/>
        <v>0</v>
      </c>
      <c r="AK81" s="81">
        <f t="shared" si="1047"/>
        <v>0</v>
      </c>
      <c r="AL81" s="82">
        <f t="shared" si="1135"/>
        <v>-13</v>
      </c>
      <c r="AM81" s="83">
        <f t="shared" si="1136"/>
        <v>0</v>
      </c>
      <c r="AN81" s="83">
        <f t="shared" si="1137"/>
        <v>0</v>
      </c>
      <c r="AO81" s="84">
        <f t="shared" si="1138"/>
        <v>0</v>
      </c>
      <c r="AP81" s="81">
        <f t="shared" si="1052"/>
        <v>-13</v>
      </c>
      <c r="AQ81" s="82">
        <f t="shared" si="1139"/>
        <v>0</v>
      </c>
      <c r="AR81" s="83">
        <f t="shared" si="1140"/>
        <v>0</v>
      </c>
      <c r="AS81" s="83">
        <f t="shared" si="1141"/>
        <v>0</v>
      </c>
      <c r="AT81" s="84">
        <f t="shared" si="1142"/>
        <v>0</v>
      </c>
      <c r="AU81" s="81">
        <f t="shared" si="1057"/>
        <v>0</v>
      </c>
      <c r="AV81" s="82">
        <f t="shared" si="1143"/>
        <v>0</v>
      </c>
      <c r="AW81" s="83">
        <f t="shared" si="1144"/>
        <v>0</v>
      </c>
      <c r="AX81" s="83">
        <f t="shared" si="1145"/>
        <v>0</v>
      </c>
      <c r="AY81" s="84">
        <f t="shared" si="1146"/>
        <v>0</v>
      </c>
      <c r="AZ81" s="81">
        <f t="shared" si="1062"/>
        <v>0</v>
      </c>
      <c r="BA81" s="82">
        <f t="shared" si="1063"/>
        <v>0</v>
      </c>
      <c r="BB81" s="83">
        <f t="shared" si="1064"/>
        <v>0</v>
      </c>
      <c r="BC81" s="83">
        <f t="shared" si="1065"/>
        <v>0</v>
      </c>
      <c r="BD81" s="84">
        <f t="shared" si="1066"/>
        <v>0</v>
      </c>
      <c r="BE81" s="81">
        <f t="shared" si="1067"/>
        <v>0</v>
      </c>
      <c r="BF81" s="1877"/>
      <c r="BG81" s="2005">
        <f t="shared" si="1147"/>
        <v>0</v>
      </c>
      <c r="BH81" s="86">
        <f t="shared" si="1148"/>
        <v>0</v>
      </c>
      <c r="BI81" s="87">
        <f t="shared" si="1149"/>
        <v>0</v>
      </c>
      <c r="BJ81" s="87">
        <f t="shared" si="1150"/>
        <v>0</v>
      </c>
      <c r="BK81" s="88">
        <f t="shared" si="1151"/>
        <v>0</v>
      </c>
      <c r="BL81" s="85">
        <f t="shared" si="1152"/>
        <v>0</v>
      </c>
      <c r="BM81" s="86">
        <f t="shared" si="1153"/>
        <v>0</v>
      </c>
      <c r="BN81" s="87">
        <f t="shared" si="1154"/>
        <v>0</v>
      </c>
      <c r="BO81" s="87">
        <f t="shared" si="1155"/>
        <v>0</v>
      </c>
      <c r="BP81" s="88">
        <f t="shared" si="1156"/>
        <v>0</v>
      </c>
      <c r="BQ81" s="85">
        <f t="shared" si="1157"/>
        <v>0</v>
      </c>
      <c r="BR81" s="86">
        <f t="shared" si="1158"/>
        <v>0</v>
      </c>
      <c r="BS81" s="87">
        <f t="shared" si="1159"/>
        <v>0</v>
      </c>
      <c r="BT81" s="87">
        <f t="shared" si="1160"/>
        <v>0</v>
      </c>
      <c r="BU81" s="88">
        <f t="shared" si="1161"/>
        <v>0</v>
      </c>
      <c r="BV81" s="85">
        <f t="shared" si="1162"/>
        <v>0</v>
      </c>
      <c r="BW81" s="86">
        <f t="shared" si="1163"/>
        <v>0</v>
      </c>
      <c r="BX81" s="87">
        <f t="shared" si="1164"/>
        <v>0</v>
      </c>
      <c r="BY81" s="87">
        <f t="shared" si="1165"/>
        <v>0</v>
      </c>
      <c r="BZ81" s="88">
        <f t="shared" si="1166"/>
        <v>0</v>
      </c>
      <c r="CA81" s="85">
        <f t="shared" si="1167"/>
        <v>0</v>
      </c>
      <c r="CB81" s="86">
        <f t="shared" si="1168"/>
        <v>0</v>
      </c>
      <c r="CC81" s="87">
        <f t="shared" si="1169"/>
        <v>0</v>
      </c>
      <c r="CD81" s="87">
        <f t="shared" si="1170"/>
        <v>0</v>
      </c>
      <c r="CE81" s="88">
        <f t="shared" si="1171"/>
        <v>0</v>
      </c>
      <c r="CF81" s="85">
        <f t="shared" si="1172"/>
        <v>0</v>
      </c>
      <c r="CG81" s="86">
        <f t="shared" si="1173"/>
        <v>-0.11115</v>
      </c>
      <c r="CH81" s="87">
        <f t="shared" si="1174"/>
        <v>-0.11115</v>
      </c>
      <c r="CI81" s="87">
        <f t="shared" si="1175"/>
        <v>-0.11115</v>
      </c>
      <c r="CJ81" s="88">
        <f t="shared" si="1176"/>
        <v>-0.11115</v>
      </c>
      <c r="CK81" s="85">
        <f t="shared" si="1177"/>
        <v>-0.44460000000000005</v>
      </c>
      <c r="CL81" s="86">
        <f t="shared" si="1178"/>
        <v>0</v>
      </c>
      <c r="CM81" s="87">
        <f t="shared" si="1179"/>
        <v>0</v>
      </c>
      <c r="CN81" s="87">
        <f t="shared" si="1180"/>
        <v>0</v>
      </c>
      <c r="CO81" s="88">
        <f t="shared" si="1181"/>
        <v>0</v>
      </c>
      <c r="CP81" s="85">
        <f t="shared" si="1182"/>
        <v>5.5511151231257827E-17</v>
      </c>
      <c r="CQ81" s="86">
        <f t="shared" si="1183"/>
        <v>0</v>
      </c>
      <c r="CR81" s="87">
        <f t="shared" si="1184"/>
        <v>0</v>
      </c>
      <c r="CS81" s="87">
        <f t="shared" si="1185"/>
        <v>0</v>
      </c>
      <c r="CT81" s="88">
        <f t="shared" si="1186"/>
        <v>0</v>
      </c>
      <c r="CU81" s="85">
        <f t="shared" si="1187"/>
        <v>0</v>
      </c>
      <c r="CV81" s="86">
        <f t="shared" si="1109"/>
        <v>0</v>
      </c>
      <c r="CW81" s="87">
        <f t="shared" si="1110"/>
        <v>0</v>
      </c>
      <c r="CX81" s="87">
        <f t="shared" si="1111"/>
        <v>0</v>
      </c>
      <c r="CY81" s="88">
        <f t="shared" si="1112"/>
        <v>0</v>
      </c>
      <c r="CZ81" s="85">
        <f t="shared" si="1113"/>
        <v>0</v>
      </c>
    </row>
    <row r="82" spans="1:104" ht="12.75" customHeight="1">
      <c r="A82" s="4"/>
      <c r="B82" s="4"/>
      <c r="C82" s="2000" t="s">
        <v>1443</v>
      </c>
      <c r="D82" s="2114"/>
      <c r="E82" s="1332">
        <f t="shared" si="1114"/>
        <v>11</v>
      </c>
      <c r="F82" s="2314">
        <v>11</v>
      </c>
      <c r="G82" s="1510">
        <v>11</v>
      </c>
      <c r="H82" s="1334">
        <v>2018</v>
      </c>
      <c r="I82" s="1513">
        <v>3.5200000000000002E-2</v>
      </c>
      <c r="J82" s="1334">
        <v>4</v>
      </c>
      <c r="K82" s="80"/>
      <c r="L82" s="81">
        <f t="shared" si="1022"/>
        <v>0</v>
      </c>
      <c r="M82" s="82">
        <f t="shared" ref="M82:M85" si="1188">IF(Q82=0,0,IF(Q82&lt;0,IF($J82=3,Q82,IF($J82=2,Q82,IF($J82=1,Q82,0)))))</f>
        <v>0</v>
      </c>
      <c r="N82" s="83">
        <f t="shared" ref="N82:N85" si="1189">IF(Q82=0,0,IF(Q82&lt;0,IF($J82=6,Q82,IF($J82=5,Q82,IF($J82=4,Q82,0)))))</f>
        <v>0</v>
      </c>
      <c r="O82" s="83">
        <f t="shared" ref="O82:O85" si="1190">IF(Q82=0,0,IF(Q82&lt;0,IF($J82=9,Q82,IF($J82=8,Q82,IF($J82=7,Q82,0)))))</f>
        <v>0</v>
      </c>
      <c r="P82" s="84">
        <f t="shared" ref="P82:P85" si="1191">IF(Q82=0,0,IF(Q82&lt;0,IF($J82=12,Q82,IF($J82=11,Q82,IF($J82=10,Q82,0)))))</f>
        <v>0</v>
      </c>
      <c r="Q82" s="81">
        <f t="shared" si="1027"/>
        <v>0</v>
      </c>
      <c r="R82" s="82">
        <f t="shared" ref="R82:R85" si="1192">IF(V82=0,0,IF(V82&lt;0,IF($J82=3,V82,IF($J82=2,V82,IF($J82=1,V82,0)))))</f>
        <v>0</v>
      </c>
      <c r="S82" s="83">
        <f t="shared" ref="S82:S85" si="1193">IF(V82=0,0,IF(V82&lt;0,IF($J82=6,V82,IF($J82=5,V82,IF($J82=4,V82,0)))))</f>
        <v>0</v>
      </c>
      <c r="T82" s="83">
        <f t="shared" ref="T82:T85" si="1194">IF(V82=0,0,IF(V82&lt;0,IF($J82=9,V82,IF($J82=8,V82,IF($J82=7,V82,0)))))</f>
        <v>0</v>
      </c>
      <c r="U82" s="84">
        <f t="shared" ref="U82:U85" si="1195">IF(V82=0,0,IF(V82&lt;0,IF($J82=12,V82,IF($J82=11,V82,IF($J82=10,V82,0)))))</f>
        <v>0</v>
      </c>
      <c r="V82" s="81">
        <f t="shared" si="1032"/>
        <v>0</v>
      </c>
      <c r="W82" s="82">
        <f t="shared" ref="W82:W85" si="1196">IF(AA82=0,0,IF(AA82&lt;0,IF($J82=3,AA82,IF($J82=2,AA82,IF($J82=1,AA82,0)))))</f>
        <v>0</v>
      </c>
      <c r="X82" s="83">
        <f t="shared" ref="X82:X85" si="1197">IF(AA82=0,0,IF(AA82&lt;0,IF($J82=6,AA82,IF($J82=5,AA82,IF($J82=4,AA82,0)))))</f>
        <v>0</v>
      </c>
      <c r="Y82" s="83">
        <f t="shared" ref="Y82:Y85" si="1198">IF(AA82=0,0,IF(AA82&lt;0,IF($J82=9,AA82,IF($J82=8,AA82,IF($J82=7,AA82,0)))))</f>
        <v>0</v>
      </c>
      <c r="Z82" s="84">
        <f t="shared" ref="Z82:Z85" si="1199">IF(AA82=0,0,IF(AA82&lt;0,IF($J82=12,AA82,IF($J82=11,AA82,IF($J82=10,AA82,0)))))</f>
        <v>0</v>
      </c>
      <c r="AA82" s="81">
        <f t="shared" si="1037"/>
        <v>0</v>
      </c>
      <c r="AB82" s="82">
        <f t="shared" ref="AB82:AB85" si="1200">IF(AF82=0,0,IF(AF82&lt;0,IF($J82=3,AF82,IF($J82=2,AF82,IF($J82=1,AF82,0)))))</f>
        <v>0</v>
      </c>
      <c r="AC82" s="83">
        <f t="shared" ref="AC82:AC85" si="1201">IF(AF82=0,0,IF(AF82&lt;0,IF($J82=6,AF82,IF($J82=5,AF82,IF($J82=4,AF82,0)))))</f>
        <v>0</v>
      </c>
      <c r="AD82" s="83">
        <f t="shared" ref="AD82:AD85" si="1202">IF(AF82=0,0,IF(AF82&lt;0,IF($J82=9,AF82,IF($J82=8,AF82,IF($J82=7,AF82,0)))))</f>
        <v>0</v>
      </c>
      <c r="AE82" s="84">
        <f t="shared" ref="AE82:AE85" si="1203">IF(AF82=0,0,IF(AF82&lt;0,IF($J82=12,AF82,IF($J82=11,AF82,IF($J82=10,AF82,0)))))</f>
        <v>0</v>
      </c>
      <c r="AF82" s="81">
        <f t="shared" si="1042"/>
        <v>0</v>
      </c>
      <c r="AG82" s="82">
        <f t="shared" ref="AG82:AG85" si="1204">IF(AK82=0,0,IF(AK82&lt;0,IF($J82=3,AK82,IF($J82=2,AK82,IF($J82=1,AK82,0)))))</f>
        <v>0</v>
      </c>
      <c r="AH82" s="83">
        <f t="shared" ref="AH82:AH85" si="1205">IF(AK82=0,0,IF(AK82&lt;0,IF($J82=6,AK82,IF($J82=5,AK82,IF($J82=4,AK82,0)))))</f>
        <v>0</v>
      </c>
      <c r="AI82" s="83">
        <f t="shared" ref="AI82:AI85" si="1206">IF(AK82=0,0,IF(AK82&lt;0,IF($J82=9,AK82,IF($J82=8,AK82,IF($J82=7,AK82,0)))))</f>
        <v>0</v>
      </c>
      <c r="AJ82" s="84">
        <f t="shared" ref="AJ82:AJ85" si="1207">IF(AK82=0,0,IF(AK82&lt;0,IF($J82=12,AK82,IF($J82=11,AK82,IF($J82=10,AK82,0)))))</f>
        <v>0</v>
      </c>
      <c r="AK82" s="81">
        <f t="shared" si="1047"/>
        <v>0</v>
      </c>
      <c r="AL82" s="82">
        <f t="shared" ref="AL82:AL85" si="1208">IF(AP82=0,0,IF(AP82&lt;0,IF($J82=3,AP82,IF($J82=2,AP82,IF($J82=1,AP82,0)))))</f>
        <v>0</v>
      </c>
      <c r="AM82" s="83">
        <f t="shared" ref="AM82:AM85" si="1209">IF(AP82=0,0,IF(AP82&lt;0,IF($J82=6,AP82,IF($J82=5,AP82,IF($J82=4,AP82,0)))))</f>
        <v>-11</v>
      </c>
      <c r="AN82" s="83">
        <f t="shared" ref="AN82:AN85" si="1210">IF(AP82=0,0,IF(AP82&lt;0,IF($J82=9,AP82,IF($J82=8,AP82,IF($J82=7,AP82,0)))))</f>
        <v>0</v>
      </c>
      <c r="AO82" s="84">
        <f t="shared" ref="AO82:AO85" si="1211">IF(AP82=0,0,IF(AP82&lt;0,IF($J82=12,AP82,IF($J82=11,AP82,IF($J82=10,AP82,0)))))</f>
        <v>0</v>
      </c>
      <c r="AP82" s="81">
        <f t="shared" si="1052"/>
        <v>-11</v>
      </c>
      <c r="AQ82" s="82">
        <f t="shared" ref="AQ82:AQ85" si="1212">IF(AU82=0,0,IF(AU82&lt;0,IF($J82=3,AU82,IF($J82=2,AU82,IF($J82=1,AU82,0)))))</f>
        <v>0</v>
      </c>
      <c r="AR82" s="83">
        <f t="shared" ref="AR82:AR85" si="1213">IF(AU82=0,0,IF(AU82&lt;0,IF($J82=6,AU82,IF($J82=5,AU82,IF($J82=4,AU82,0)))))</f>
        <v>0</v>
      </c>
      <c r="AS82" s="83">
        <f t="shared" ref="AS82:AS85" si="1214">IF(AU82=0,0,IF(AU82&lt;0,IF($J82=9,AU82,IF($J82=8,AU82,IF($J82=7,AU82,0)))))</f>
        <v>0</v>
      </c>
      <c r="AT82" s="84">
        <f t="shared" ref="AT82:AT85" si="1215">IF(AU82=0,0,IF(AU82&lt;0,IF($J82=12,AU82,IF($J82=11,AU82,IF($J82=10,AU82,0)))))</f>
        <v>0</v>
      </c>
      <c r="AU82" s="81">
        <f t="shared" si="1057"/>
        <v>0</v>
      </c>
      <c r="AV82" s="82">
        <f t="shared" ref="AV82:AV85" si="1216">IF(AZ82=0,0,IF(AZ82&lt;0,IF($J82=3,AZ82,IF($J82=2,AZ82,IF($J82=1,AZ82,0)))))</f>
        <v>0</v>
      </c>
      <c r="AW82" s="83">
        <f t="shared" ref="AW82:AW85" si="1217">IF(AZ82=0,0,IF(AZ82&lt;0,IF($J82=6,AZ82,IF($J82=5,AZ82,IF($J82=4,AZ82,0)))))</f>
        <v>0</v>
      </c>
      <c r="AX82" s="83">
        <f t="shared" ref="AX82:AX85" si="1218">IF(AZ82=0,0,IF(AZ82&lt;0,IF($J82=9,AZ82,IF($J82=8,AZ82,IF($J82=7,AZ82,0)))))</f>
        <v>0</v>
      </c>
      <c r="AY82" s="84">
        <f t="shared" ref="AY82:AY85" si="1219">IF(AZ82=0,0,IF(AZ82&lt;0,IF($J82=12,AZ82,IF($J82=11,AZ82,IF($J82=10,AZ82,0)))))</f>
        <v>0</v>
      </c>
      <c r="AZ82" s="81">
        <f t="shared" si="1062"/>
        <v>0</v>
      </c>
      <c r="BA82" s="82">
        <f t="shared" si="1063"/>
        <v>0</v>
      </c>
      <c r="BB82" s="83">
        <f t="shared" si="1064"/>
        <v>0</v>
      </c>
      <c r="BC82" s="83">
        <f t="shared" si="1065"/>
        <v>0</v>
      </c>
      <c r="BD82" s="84">
        <f t="shared" si="1066"/>
        <v>0</v>
      </c>
      <c r="BE82" s="81">
        <f t="shared" si="1067"/>
        <v>0</v>
      </c>
      <c r="BF82" s="1877"/>
      <c r="BG82" s="2005">
        <f t="shared" ref="BG82:BG85" si="1220">IF(AND(BF82&lt;&gt;0,BF$5=$H82),-$I82*$E82-BF82,IF(BG$5=$H82,-$I82*$E82*(12-$J82+1)/12,0))</f>
        <v>0</v>
      </c>
      <c r="BH82" s="86">
        <f t="shared" ref="BH82:BH85" si="1221">IF($H82&lt;&gt;BL$5,0,IF(BL82&lt;0,IF($J82=1,-$E82*$I82/12*3,IF($J82=2,-$E82*$I82/12*2,IF($J82=3,-$E82*$I82/12*1,0)))))+IF(BG$5&lt;&gt;$H82,0,IF(BG82&lt;0,IF($J82=1,-$E82*$I82/12*0,IF($J82=2,-$E82*$I82/12*1,IF($J82=3,-$E82*$I82/12*2,IF($J82&gt;=4,-$E82*$I82/12*3,0))))))</f>
        <v>0</v>
      </c>
      <c r="BI82" s="87">
        <f t="shared" ref="BI82:BI85" si="1222">IF($H82&lt;&gt;BL$5,0,IF(BL82&lt;0,IF(OR($J82=1,$J82=2,$J82=3,$J82=4),-$E82*$I82/12*3,IF($J82=5,-$E82*$I82/12*2,IF($J82=6,-$E82*$I82/12*1,0)))))+IF(BG$5&lt;&gt;$H82,0,IF(BG82&lt;0,IF($J82=4,-$E82*$I82/12*0,IF($J82=5,-$E82*$I82/12*1,IF($J82=6,-$E82*$I82/12*2,IF($J82&gt;=7,-$E82*$I82/12*3,0))))))</f>
        <v>0</v>
      </c>
      <c r="BJ82" s="87">
        <f t="shared" ref="BJ82:BJ85" si="1223">IF($H82&lt;&gt;BL$5,0,IF(BL82&lt;0,IF(OR($J82=1,$J82=2,$J82=3,$J82=4,$J82=5,$J82=6,$J82=7),-$E82*$I82/12*3,IF($J82=8,-$E82*$I82/12*2,IF($J82=9,-$E82*$I82/12*1,0)))))+IF(BG$5&lt;&gt;$H82,0,IF(BG82&lt;0,IF($J82=7,-$E82*$I82/12*0,IF($J82=8,-$E82*$I82/12*1,IF($J82=9,-$E82*$I82/12*2,IF($J82&gt;=10,-$E82*$I82/12*3,0))))))</f>
        <v>0</v>
      </c>
      <c r="BK82" s="88">
        <f t="shared" ref="BK82:BK85" si="1224">IF($H82&lt;&gt;BL$5,0,IF(BL82&lt;0,IF(OR($J82=1,$J82=2,$J82=3,$J82=4,$J82=5,$J82=6,$J82=7,$J82=8,$J82=9,$J82=10),-$E82*$I82/12*3,IF($J82=11,-$E82*$I82/12*2,IF($J82=12,-$E82*$I82/12*1,0)))))+IF(BG$5&lt;&gt;$H82,0,IF(BG82&lt;0,IF($J82=10,-$E82*$I82/12*0,IF($J82=11,-$E82*$I82/12*1,IF($J82=12,-$E82*$I82/12*2,0)))))</f>
        <v>0</v>
      </c>
      <c r="BL82" s="85">
        <f t="shared" ref="BL82:BL85" si="1225">IF(AND(BG82&lt;&gt;0,BG$5=$H82),-$I82*$E82-BG82,IF(BL$5=$H82,-$I82*$E82*(12-$J82+1)/12,0))</f>
        <v>0</v>
      </c>
      <c r="BM82" s="86">
        <f t="shared" ref="BM82:BM85" si="1226">IF($H82&lt;&gt;BQ$5,0,IF(BQ82&lt;0,IF($J82=1,-$E82*$I82/12*3,IF($J82=2,-$E82*$I82/12*2,IF($J82=3,-$E82*$I82/12*1,0)))))+IF(BL$5&lt;&gt;$H82,0,IF(BL82&lt;0,IF($J82=1,-$E82*$I82/12*0,IF($J82=2,-$E82*$I82/12*1,IF($J82=3,-$E82*$I82/12*2,IF($J82&gt;=4,-$E82*$I82/12*3,0))))))</f>
        <v>0</v>
      </c>
      <c r="BN82" s="87">
        <f t="shared" ref="BN82:BN85" si="1227">IF($H82&lt;&gt;BQ$5,0,IF(BQ82&lt;0,IF(OR($J82=1,$J82=2,$J82=3,$J82=4),-$E82*$I82/12*3,IF($J82=5,-$E82*$I82/12*2,IF($J82=6,-$E82*$I82/12*1,0)))))+IF(BL$5&lt;&gt;$H82,0,IF(BL82&lt;0,IF($J82=4,-$E82*$I82/12*0,IF($J82=5,-$E82*$I82/12*1,IF($J82=6,-$E82*$I82/12*2,IF($J82&gt;=7,-$E82*$I82/12*3,0))))))</f>
        <v>0</v>
      </c>
      <c r="BO82" s="87">
        <f t="shared" ref="BO82:BO85" si="1228">IF($H82&lt;&gt;BQ$5,0,IF(BQ82&lt;0,IF(OR($J82=1,$J82=2,$J82=3,$J82=4,$J82=5,$J82=6,$J82=7),-$E82*$I82/12*3,IF($J82=8,-$E82*$I82/12*2,IF($J82=9,-$E82*$I82/12*1,0)))))+IF(BL$5&lt;&gt;$H82,0,IF(BL82&lt;0,IF($J82=7,-$E82*$I82/12*0,IF($J82=8,-$E82*$I82/12*1,IF($J82=9,-$E82*$I82/12*2,IF($J82&gt;=10,-$E82*$I82/12*3,0))))))</f>
        <v>0</v>
      </c>
      <c r="BP82" s="88">
        <f t="shared" ref="BP82:BP85" si="1229">IF($H82&lt;&gt;BQ$5,0,IF(BQ82&lt;0,IF(OR($J82=1,$J82=2,$J82=3,$J82=4,$J82=5,$J82=6,$J82=7,$J82=8,$J82=9,$J82=10),-$E82*$I82/12*3,IF($J82=11,-$E82*$I82/12*2,IF($J82=12,-$E82*$I82/12*1,0)))))+IF(BL$5&lt;&gt;$H82,0,IF(BL82&lt;0,IF($J82=10,-$E82*$I82/12*0,IF($J82=11,-$E82*$I82/12*1,IF($J82=12,-$E82*$I82/12*2,0)))))</f>
        <v>0</v>
      </c>
      <c r="BQ82" s="85">
        <f t="shared" ref="BQ82:BQ85" si="1230">IF(AND(BL82&lt;&gt;0,BL$5=$H82),-$I82*$E82-BL82,IF(BQ$5=$H82,-$I82*$E82*(12-$J82+1)/12,0))</f>
        <v>0</v>
      </c>
      <c r="BR82" s="86">
        <f t="shared" ref="BR82:BR85" si="1231">IF($H82&lt;&gt;BV$5,0,IF(BV82&lt;0,IF($J82=1,-$E82*$I82/12*3,IF($J82=2,-$E82*$I82/12*2,IF($J82=3,-$E82*$I82/12*1,0)))))+IF(BQ$5&lt;&gt;$H82,0,IF(BQ82&lt;0,IF($J82=1,-$E82*$I82/12*0,IF($J82=2,-$E82*$I82/12*1,IF($J82=3,-$E82*$I82/12*2,IF($J82&gt;=4,-$E82*$I82/12*3,0))))))</f>
        <v>0</v>
      </c>
      <c r="BS82" s="87">
        <f t="shared" ref="BS82:BS85" si="1232">IF($H82&lt;&gt;BV$5,0,IF(BV82&lt;0,IF(OR($J82=1,$J82=2,$J82=3,$J82=4),-$E82*$I82/12*3,IF($J82=5,-$E82*$I82/12*2,IF($J82=6,-$E82*$I82/12*1,0)))))+IF(BQ$5&lt;&gt;$H82,0,IF(BQ82&lt;0,IF($J82=4,-$E82*$I82/12*0,IF($J82=5,-$E82*$I82/12*1,IF($J82=6,-$E82*$I82/12*2,IF($J82&gt;=7,-$E82*$I82/12*3,0))))))</f>
        <v>0</v>
      </c>
      <c r="BT82" s="87">
        <f t="shared" ref="BT82:BT85" si="1233">IF($H82&lt;&gt;BV$5,0,IF(BV82&lt;0,IF(OR($J82=1,$J82=2,$J82=3,$J82=4,$J82=5,$J82=6,$J82=7),-$E82*$I82/12*3,IF($J82=8,-$E82*$I82/12*2,IF($J82=9,-$E82*$I82/12*1,0)))))+IF(BQ$5&lt;&gt;$H82,0,IF(BQ82&lt;0,IF($J82=7,-$E82*$I82/12*0,IF($J82=8,-$E82*$I82/12*1,IF($J82=9,-$E82*$I82/12*2,IF($J82&gt;=10,-$E82*$I82/12*3,0))))))</f>
        <v>0</v>
      </c>
      <c r="BU82" s="88">
        <f t="shared" ref="BU82:BU85" si="1234">IF($H82&lt;&gt;BV$5,0,IF(BV82&lt;0,IF(OR($J82=1,$J82=2,$J82=3,$J82=4,$J82=5,$J82=6,$J82=7,$J82=8,$J82=9,$J82=10),-$E82*$I82/12*3,IF($J82=11,-$E82*$I82/12*2,IF($J82=12,-$E82*$I82/12*1,0)))))+IF(BQ$5&lt;&gt;$H82,0,IF(BQ82&lt;0,IF($J82=10,-$E82*$I82/12*0,IF($J82=11,-$E82*$I82/12*1,IF($J82=12,-$E82*$I82/12*2,0)))))</f>
        <v>0</v>
      </c>
      <c r="BV82" s="85">
        <f t="shared" ref="BV82:BV85" si="1235">IF(AND(BQ82&lt;&gt;0,BQ$5=$H82),-$I82*$E82-BQ82,IF(BV$5=$H82,-$I82*$E82*(12-$J82+1)/12,0))</f>
        <v>0</v>
      </c>
      <c r="BW82" s="86">
        <f t="shared" ref="BW82:BW85" si="1236">IF($H82&lt;&gt;CA$5,0,IF(CA82&lt;0,IF($J82=1,-$E82*$I82/12*3,IF($J82=2,-$E82*$I82/12*2,IF($J82=3,-$E82*$I82/12*1,0)))))+IF(BV$5&lt;&gt;$H82,0,IF(BV82&lt;0,IF($J82=1,-$E82*$I82/12*0,IF($J82=2,-$E82*$I82/12*1,IF($J82=3,-$E82*$I82/12*2,IF($J82&gt;=4,-$E82*$I82/12*3,0))))))</f>
        <v>0</v>
      </c>
      <c r="BX82" s="87">
        <f t="shared" ref="BX82:BX85" si="1237">IF($H82&lt;&gt;CA$5,0,IF(CA82&lt;0,IF(OR($J82=1,$J82=2,$J82=3,$J82=4),-$E82*$I82/12*3,IF($J82=5,-$E82*$I82/12*2,IF($J82=6,-$E82*$I82/12*1,0)))))+IF(BV$5&lt;&gt;$H82,0,IF(BV82&lt;0,IF($J82=4,-$E82*$I82/12*0,IF($J82=5,-$E82*$I82/12*1,IF($J82=6,-$E82*$I82/12*2,IF($J82&gt;=7,-$E82*$I82/12*3,0))))))</f>
        <v>0</v>
      </c>
      <c r="BY82" s="87">
        <f t="shared" ref="BY82:BY85" si="1238">IF($H82&lt;&gt;CA$5,0,IF(CA82&lt;0,IF(OR($J82=1,$J82=2,$J82=3,$J82=4,$J82=5,$J82=6,$J82=7),-$E82*$I82/12*3,IF($J82=8,-$E82*$I82/12*2,IF($J82=9,-$E82*$I82/12*1,0)))))+IF(BV$5&lt;&gt;$H82,0,IF(BV82&lt;0,IF($J82=7,-$E82*$I82/12*0,IF($J82=8,-$E82*$I82/12*1,IF($J82=9,-$E82*$I82/12*2,IF($J82&gt;=10,-$E82*$I82/12*3,0))))))</f>
        <v>0</v>
      </c>
      <c r="BZ82" s="88">
        <f t="shared" ref="BZ82:BZ85" si="1239">IF($H82&lt;&gt;CA$5,0,IF(CA82&lt;0,IF(OR($J82=1,$J82=2,$J82=3,$J82=4,$J82=5,$J82=6,$J82=7,$J82=8,$J82=9,$J82=10),-$E82*$I82/12*3,IF($J82=11,-$E82*$I82/12*2,IF($J82=12,-$E82*$I82/12*1,0)))))+IF(BV$5&lt;&gt;$H82,0,IF(BV82&lt;0,IF($J82=10,-$E82*$I82/12*0,IF($J82=11,-$E82*$I82/12*1,IF($J82=12,-$E82*$I82/12*2,0)))))</f>
        <v>0</v>
      </c>
      <c r="CA82" s="85">
        <f t="shared" ref="CA82:CA85" si="1240">IF(AND(BV82&lt;&gt;0,BV$5=$H82),-$I82*$E82-BV82,IF(CA$5=$H82,-$I82*$E82*(12-$J82+1)/12,0))</f>
        <v>0</v>
      </c>
      <c r="CB82" s="86">
        <f t="shared" ref="CB82:CB85" si="1241">IF($H82&lt;&gt;CF$5,0,IF(CF82&lt;0,IF($J82=1,-$E82*$I82/12*3,IF($J82=2,-$E82*$I82/12*2,IF($J82=3,-$E82*$I82/12*1,0)))))+IF(CA$5&lt;&gt;$H82,0,IF(CA82&lt;0,IF($J82=1,-$E82*$I82/12*0,IF($J82=2,-$E82*$I82/12*1,IF($J82=3,-$E82*$I82/12*2,IF($J82&gt;=4,-$E82*$I82/12*3,0))))))</f>
        <v>0</v>
      </c>
      <c r="CC82" s="87">
        <f t="shared" ref="CC82:CC85" si="1242">IF($H82&lt;&gt;CF$5,0,IF(CF82&lt;0,IF(OR($J82=1,$J82=2,$J82=3,$J82=4),-$E82*$I82/12*3,IF($J82=5,-$E82*$I82/12*2,IF($J82=6,-$E82*$I82/12*1,0)))))+IF(CA$5&lt;&gt;$H82,0,IF(CA82&lt;0,IF($J82=4,-$E82*$I82/12*0,IF($J82=5,-$E82*$I82/12*1,IF($J82=6,-$E82*$I82/12*2,IF($J82&gt;=7,-$E82*$I82/12*3,0))))))</f>
        <v>0</v>
      </c>
      <c r="CD82" s="87">
        <f t="shared" ref="CD82:CD85" si="1243">IF($H82&lt;&gt;CF$5,0,IF(CF82&lt;0,IF(OR($J82=1,$J82=2,$J82=3,$J82=4,$J82=5,$J82=6,$J82=7),-$E82*$I82/12*3,IF($J82=8,-$E82*$I82/12*2,IF($J82=9,-$E82*$I82/12*1,0)))))+IF(CA$5&lt;&gt;$H82,0,IF(CA82&lt;0,IF($J82=7,-$E82*$I82/12*0,IF($J82=8,-$E82*$I82/12*1,IF($J82=9,-$E82*$I82/12*2,IF($J82&gt;=10,-$E82*$I82/12*3,0))))))</f>
        <v>0</v>
      </c>
      <c r="CE82" s="88">
        <f t="shared" ref="CE82:CE85" si="1244">IF($H82&lt;&gt;CF$5,0,IF(CF82&lt;0,IF(OR($J82=1,$J82=2,$J82=3,$J82=4,$J82=5,$J82=6,$J82=7,$J82=8,$J82=9,$J82=10),-$E82*$I82/12*3,IF($J82=11,-$E82*$I82/12*2,IF($J82=12,-$E82*$I82/12*1,0)))))+IF(CA$5&lt;&gt;$H82,0,IF(CA82&lt;0,IF($J82=10,-$E82*$I82/12*0,IF($J82=11,-$E82*$I82/12*1,IF($J82=12,-$E82*$I82/12*2,0)))))</f>
        <v>0</v>
      </c>
      <c r="CF82" s="85">
        <f t="shared" ref="CF82:CF85" si="1245">IF(AND(CA82&lt;&gt;0,CA$5=$H82),-$I82*$E82-CA82,IF(CF$5=$H82,-$I82*$E82*(12-$J82+1)/12,0))</f>
        <v>0</v>
      </c>
      <c r="CG82" s="86">
        <f t="shared" ref="CG82:CG85" si="1246">IF($H82&lt;&gt;CK$5,0,IF(CK82&lt;0,IF($J82=1,-$E82*$I82/12*3,IF($J82=2,-$E82*$I82/12*2,IF($J82=3,-$E82*$I82/12*1,0)))))+IF(CF$5&lt;&gt;$H82,0,IF(CF82&lt;0,IF($J82=1,-$E82*$I82/12*0,IF($J82=2,-$E82*$I82/12*1,IF($J82=3,-$E82*$I82/12*2,IF($J82&gt;=4,-$E82*$I82/12*3,0))))))</f>
        <v>0</v>
      </c>
      <c r="CH82" s="87">
        <f t="shared" ref="CH82:CH85" si="1247">IF($H82&lt;&gt;CK$5,0,IF(CK82&lt;0,IF(OR($J82=1,$J82=2,$J82=3,$J82=4),-$E82*$I82/12*3,IF($J82=5,-$E82*$I82/12*2,IF($J82=6,-$E82*$I82/12*1,0)))))+IF(CF$5&lt;&gt;$H82,0,IF(CF82&lt;0,IF($J82=4,-$E82*$I82/12*0,IF($J82=5,-$E82*$I82/12*1,IF($J82=6,-$E82*$I82/12*2,IF($J82&gt;=7,-$E82*$I82/12*3,0))))))</f>
        <v>-9.6800000000000025E-2</v>
      </c>
      <c r="CI82" s="87">
        <f t="shared" ref="CI82:CI85" si="1248">IF($H82&lt;&gt;CK$5,0,IF(CK82&lt;0,IF(OR($J82=1,$J82=2,$J82=3,$J82=4,$J82=5,$J82=6,$J82=7),-$E82*$I82/12*3,IF($J82=8,-$E82*$I82/12*2,IF($J82=9,-$E82*$I82/12*1,0)))))+IF(CF$5&lt;&gt;$H82,0,IF(CF82&lt;0,IF($J82=7,-$E82*$I82/12*0,IF($J82=8,-$E82*$I82/12*1,IF($J82=9,-$E82*$I82/12*2,IF($J82&gt;=10,-$E82*$I82/12*3,0))))))</f>
        <v>-9.6800000000000025E-2</v>
      </c>
      <c r="CJ82" s="88">
        <f t="shared" ref="CJ82:CJ85" si="1249">IF($H82&lt;&gt;CK$5,0,IF(CK82&lt;0,IF(OR($J82=1,$J82=2,$J82=3,$J82=4,$J82=5,$J82=6,$J82=7,$J82=8,$J82=9,$J82=10),-$E82*$I82/12*3,IF($J82=11,-$E82*$I82/12*2,IF($J82=12,-$E82*$I82/12*1,0)))))+IF(CF$5&lt;&gt;$H82,0,IF(CF82&lt;0,IF($J82=10,-$E82*$I82/12*0,IF($J82=11,-$E82*$I82/12*1,IF($J82=12,-$E82*$I82/12*2,0)))))</f>
        <v>-9.6800000000000025E-2</v>
      </c>
      <c r="CK82" s="85">
        <f t="shared" ref="CK82:CK85" si="1250">IF(AND(CF82&lt;&gt;0,CF$5=$H82),-$I82*$E82-CF82,IF(CK$5=$H82,-$I82*$E82*(12-$J82+1)/12,0))</f>
        <v>-0.29040000000000005</v>
      </c>
      <c r="CL82" s="86">
        <f t="shared" ref="CL82:CL85" si="1251">IF($H82&lt;&gt;CP$5,0,IF(CP82&lt;0,IF($J82=1,-$E82*$I82/12*3,IF($J82=2,-$E82*$I82/12*2,IF($J82=3,-$E82*$I82/12*1,0)))))+IF(CK$5&lt;&gt;$H82,0,IF(CK82&lt;0,IF($J82=1,-$E82*$I82/12*0,IF($J82=2,-$E82*$I82/12*1,IF($J82=3,-$E82*$I82/12*2,IF($J82&gt;=4,-$E82*$I82/12*3,0))))))</f>
        <v>-9.6800000000000025E-2</v>
      </c>
      <c r="CM82" s="87">
        <f t="shared" ref="CM82:CM85" si="1252">IF($H82&lt;&gt;CP$5,0,IF(CP82&lt;0,IF(OR($J82=1,$J82=2,$J82=3,$J82=4),-$E82*$I82/12*3,IF($J82=5,-$E82*$I82/12*2,IF($J82=6,-$E82*$I82/12*1,0)))))+IF(CK$5&lt;&gt;$H82,0,IF(CK82&lt;0,IF($J82=4,-$E82*$I82/12*0,IF($J82=5,-$E82*$I82/12*1,IF($J82=6,-$E82*$I82/12*2,IF($J82&gt;=7,-$E82*$I82/12*3,0))))))</f>
        <v>0</v>
      </c>
      <c r="CN82" s="87">
        <f t="shared" ref="CN82:CN85" si="1253">IF($H82&lt;&gt;CP$5,0,IF(CP82&lt;0,IF(OR($J82=1,$J82=2,$J82=3,$J82=4,$J82=5,$J82=6,$J82=7),-$E82*$I82/12*3,IF($J82=8,-$E82*$I82/12*2,IF($J82=9,-$E82*$I82/12*1,0)))))+IF(CK$5&lt;&gt;$H82,0,IF(CK82&lt;0,IF($J82=7,-$E82*$I82/12*0,IF($J82=8,-$E82*$I82/12*1,IF($J82=9,-$E82*$I82/12*2,IF($J82&gt;=10,-$E82*$I82/12*3,0))))))</f>
        <v>0</v>
      </c>
      <c r="CO82" s="88">
        <f t="shared" ref="CO82:CO85" si="1254">IF($H82&lt;&gt;CP$5,0,IF(CP82&lt;0,IF(OR($J82=1,$J82=2,$J82=3,$J82=4,$J82=5,$J82=6,$J82=7,$J82=8,$J82=9,$J82=10),-$E82*$I82/12*3,IF($J82=11,-$E82*$I82/12*2,IF($J82=12,-$E82*$I82/12*1,0)))))+IF(CK$5&lt;&gt;$H82,0,IF(CK82&lt;0,IF($J82=10,-$E82*$I82/12*0,IF($J82=11,-$E82*$I82/12*1,IF($J82=12,-$E82*$I82/12*2,0)))))</f>
        <v>0</v>
      </c>
      <c r="CP82" s="85">
        <f t="shared" ref="CP82:CP85" si="1255">IF(AND(CK82&lt;&gt;0,CK$5=$H82),-$I82*$E82-CK82,IF(CP$5=$H82,-$I82*$E82*(12-$J82+1)/12,0))</f>
        <v>-9.6799999999999997E-2</v>
      </c>
      <c r="CQ82" s="86">
        <f t="shared" ref="CQ82:CQ85" si="1256">IF($H82&lt;&gt;CU$5,0,IF(CU82&lt;0,IF($J82=1,-$E82*$I82/12*3,IF($J82=2,-$E82*$I82/12*2,IF($J82=3,-$E82*$I82/12*1,0)))))+IF(CP$5&lt;&gt;$H82,0,IF(CP82&lt;0,IF($J82=1,-$E82*$I82/12*0,IF($J82=2,-$E82*$I82/12*1,IF($J82=3,-$E82*$I82/12*2,IF($J82&gt;=4,-$E82*$I82/12*3,0))))))</f>
        <v>0</v>
      </c>
      <c r="CR82" s="87">
        <f t="shared" ref="CR82:CR85" si="1257">IF($H82&lt;&gt;CU$5,0,IF(CU82&lt;0,IF(OR($J82=1,$J82=2,$J82=3,$J82=4),-$E82*$I82/12*3,IF($J82=5,-$E82*$I82/12*2,IF($J82=6,-$E82*$I82/12*1,0)))))+IF(CP$5&lt;&gt;$H82,0,IF(CP82&lt;0,IF($J82=4,-$E82*$I82/12*0,IF($J82=5,-$E82*$I82/12*1,IF($J82=6,-$E82*$I82/12*2,IF($J82&gt;=7,-$E82*$I82/12*3,0))))))</f>
        <v>0</v>
      </c>
      <c r="CS82" s="87">
        <f t="shared" ref="CS82:CS85" si="1258">IF($H82&lt;&gt;CU$5,0,IF(CU82&lt;0,IF(OR($J82=1,$J82=2,$J82=3,$J82=4,$J82=5,$J82=6,$J82=7),-$E82*$I82/12*3,IF($J82=8,-$E82*$I82/12*2,IF($J82=9,-$E82*$I82/12*1,0)))))+IF(CP$5&lt;&gt;$H82,0,IF(CP82&lt;0,IF($J82=7,-$E82*$I82/12*0,IF($J82=8,-$E82*$I82/12*1,IF($J82=9,-$E82*$I82/12*2,IF($J82&gt;=10,-$E82*$I82/12*3,0))))))</f>
        <v>0</v>
      </c>
      <c r="CT82" s="88">
        <f t="shared" ref="CT82:CT85" si="1259">IF($H82&lt;&gt;CU$5,0,IF(CU82&lt;0,IF(OR($J82=1,$J82=2,$J82=3,$J82=4,$J82=5,$J82=6,$J82=7,$J82=8,$J82=9,$J82=10),-$E82*$I82/12*3,IF($J82=11,-$E82*$I82/12*2,IF($J82=12,-$E82*$I82/12*1,0)))))+IF(CP$5&lt;&gt;$H82,0,IF(CP82&lt;0,IF($J82=10,-$E82*$I82/12*0,IF($J82=11,-$E82*$I82/12*1,IF($J82=12,-$E82*$I82/12*2,0)))))</f>
        <v>0</v>
      </c>
      <c r="CU82" s="85">
        <f t="shared" ref="CU82:CU85" si="1260">IF(AND(CP82&lt;&gt;0,CP$5=$H82),-$I82*$E82-CP82,IF(CU$5=$H82,-$I82*$E82*(12-$J82+1)/12,0))</f>
        <v>0</v>
      </c>
      <c r="CV82" s="86">
        <f t="shared" si="1109"/>
        <v>0</v>
      </c>
      <c r="CW82" s="87">
        <f t="shared" si="1110"/>
        <v>0</v>
      </c>
      <c r="CX82" s="87">
        <f t="shared" si="1111"/>
        <v>0</v>
      </c>
      <c r="CY82" s="88">
        <f t="shared" si="1112"/>
        <v>0</v>
      </c>
      <c r="CZ82" s="85">
        <f t="shared" si="1113"/>
        <v>0</v>
      </c>
    </row>
    <row r="83" spans="1:104" ht="12.75" customHeight="1">
      <c r="A83" s="4"/>
      <c r="B83" s="4"/>
      <c r="C83" s="2000" t="s">
        <v>1481</v>
      </c>
      <c r="D83" s="2114"/>
      <c r="E83" s="1332">
        <f t="shared" si="1114"/>
        <v>150</v>
      </c>
      <c r="F83" s="2314">
        <v>150</v>
      </c>
      <c r="G83" s="1510">
        <v>150</v>
      </c>
      <c r="H83" s="1334">
        <v>2036</v>
      </c>
      <c r="I83" s="1513">
        <v>3.9300000000000002E-2</v>
      </c>
      <c r="J83" s="1334">
        <v>9</v>
      </c>
      <c r="K83" s="80"/>
      <c r="L83" s="81">
        <f t="shared" si="1022"/>
        <v>0</v>
      </c>
      <c r="M83" s="82">
        <f t="shared" si="1188"/>
        <v>0</v>
      </c>
      <c r="N83" s="83">
        <f t="shared" si="1189"/>
        <v>0</v>
      </c>
      <c r="O83" s="83">
        <f t="shared" si="1190"/>
        <v>0</v>
      </c>
      <c r="P83" s="84">
        <f t="shared" si="1191"/>
        <v>0</v>
      </c>
      <c r="Q83" s="81">
        <f t="shared" si="1027"/>
        <v>0</v>
      </c>
      <c r="R83" s="82">
        <f t="shared" si="1192"/>
        <v>0</v>
      </c>
      <c r="S83" s="83">
        <f t="shared" si="1193"/>
        <v>0</v>
      </c>
      <c r="T83" s="83">
        <f t="shared" si="1194"/>
        <v>0</v>
      </c>
      <c r="U83" s="84">
        <f t="shared" si="1195"/>
        <v>0</v>
      </c>
      <c r="V83" s="81">
        <f t="shared" si="1032"/>
        <v>0</v>
      </c>
      <c r="W83" s="82">
        <f t="shared" si="1196"/>
        <v>0</v>
      </c>
      <c r="X83" s="83">
        <f t="shared" si="1197"/>
        <v>0</v>
      </c>
      <c r="Y83" s="83">
        <f t="shared" si="1198"/>
        <v>0</v>
      </c>
      <c r="Z83" s="84">
        <f t="shared" si="1199"/>
        <v>0</v>
      </c>
      <c r="AA83" s="81">
        <f t="shared" si="1037"/>
        <v>0</v>
      </c>
      <c r="AB83" s="82">
        <f t="shared" si="1200"/>
        <v>0</v>
      </c>
      <c r="AC83" s="83">
        <f t="shared" si="1201"/>
        <v>0</v>
      </c>
      <c r="AD83" s="83">
        <f t="shared" si="1202"/>
        <v>0</v>
      </c>
      <c r="AE83" s="84">
        <f t="shared" si="1203"/>
        <v>0</v>
      </c>
      <c r="AF83" s="81">
        <f t="shared" si="1042"/>
        <v>0</v>
      </c>
      <c r="AG83" s="82">
        <f t="shared" si="1204"/>
        <v>0</v>
      </c>
      <c r="AH83" s="83">
        <f t="shared" si="1205"/>
        <v>0</v>
      </c>
      <c r="AI83" s="83">
        <f t="shared" si="1206"/>
        <v>0</v>
      </c>
      <c r="AJ83" s="84">
        <f t="shared" si="1207"/>
        <v>0</v>
      </c>
      <c r="AK83" s="81">
        <f t="shared" si="1047"/>
        <v>0</v>
      </c>
      <c r="AL83" s="82">
        <f t="shared" si="1208"/>
        <v>0</v>
      </c>
      <c r="AM83" s="83">
        <f t="shared" si="1209"/>
        <v>0</v>
      </c>
      <c r="AN83" s="83">
        <f t="shared" si="1210"/>
        <v>0</v>
      </c>
      <c r="AO83" s="84">
        <f t="shared" si="1211"/>
        <v>0</v>
      </c>
      <c r="AP83" s="81">
        <f t="shared" si="1052"/>
        <v>0</v>
      </c>
      <c r="AQ83" s="82">
        <f t="shared" si="1212"/>
        <v>0</v>
      </c>
      <c r="AR83" s="83">
        <f t="shared" si="1213"/>
        <v>0</v>
      </c>
      <c r="AS83" s="83">
        <f t="shared" si="1214"/>
        <v>0</v>
      </c>
      <c r="AT83" s="84">
        <f t="shared" si="1215"/>
        <v>0</v>
      </c>
      <c r="AU83" s="81">
        <f t="shared" si="1057"/>
        <v>0</v>
      </c>
      <c r="AV83" s="82">
        <f t="shared" si="1216"/>
        <v>0</v>
      </c>
      <c r="AW83" s="83">
        <f t="shared" si="1217"/>
        <v>0</v>
      </c>
      <c r="AX83" s="83">
        <f t="shared" si="1218"/>
        <v>0</v>
      </c>
      <c r="AY83" s="84">
        <f t="shared" si="1219"/>
        <v>0</v>
      </c>
      <c r="AZ83" s="81">
        <f t="shared" si="1062"/>
        <v>0</v>
      </c>
      <c r="BA83" s="82">
        <f t="shared" si="1063"/>
        <v>0</v>
      </c>
      <c r="BB83" s="83">
        <f t="shared" si="1064"/>
        <v>0</v>
      </c>
      <c r="BC83" s="83">
        <f t="shared" si="1065"/>
        <v>0</v>
      </c>
      <c r="BD83" s="84">
        <f t="shared" si="1066"/>
        <v>0</v>
      </c>
      <c r="BE83" s="81">
        <f t="shared" si="1067"/>
        <v>0</v>
      </c>
      <c r="BF83" s="1877"/>
      <c r="BG83" s="2005">
        <f t="shared" si="1220"/>
        <v>0</v>
      </c>
      <c r="BH83" s="86">
        <f t="shared" si="1221"/>
        <v>0</v>
      </c>
      <c r="BI83" s="87">
        <f t="shared" si="1222"/>
        <v>0</v>
      </c>
      <c r="BJ83" s="87">
        <f t="shared" si="1223"/>
        <v>0</v>
      </c>
      <c r="BK83" s="88">
        <f t="shared" si="1224"/>
        <v>0</v>
      </c>
      <c r="BL83" s="85">
        <f t="shared" si="1225"/>
        <v>0</v>
      </c>
      <c r="BM83" s="86">
        <f t="shared" si="1226"/>
        <v>0</v>
      </c>
      <c r="BN83" s="87">
        <f t="shared" si="1227"/>
        <v>0</v>
      </c>
      <c r="BO83" s="87">
        <f t="shared" si="1228"/>
        <v>0</v>
      </c>
      <c r="BP83" s="88">
        <f t="shared" si="1229"/>
        <v>0</v>
      </c>
      <c r="BQ83" s="85">
        <f t="shared" si="1230"/>
        <v>0</v>
      </c>
      <c r="BR83" s="86">
        <f t="shared" si="1231"/>
        <v>0</v>
      </c>
      <c r="BS83" s="87">
        <f t="shared" si="1232"/>
        <v>0</v>
      </c>
      <c r="BT83" s="87">
        <f t="shared" si="1233"/>
        <v>0</v>
      </c>
      <c r="BU83" s="88">
        <f t="shared" si="1234"/>
        <v>0</v>
      </c>
      <c r="BV83" s="85">
        <f t="shared" si="1235"/>
        <v>0</v>
      </c>
      <c r="BW83" s="86">
        <f t="shared" si="1236"/>
        <v>0</v>
      </c>
      <c r="BX83" s="87">
        <f t="shared" si="1237"/>
        <v>0</v>
      </c>
      <c r="BY83" s="87">
        <f t="shared" si="1238"/>
        <v>0</v>
      </c>
      <c r="BZ83" s="88">
        <f t="shared" si="1239"/>
        <v>0</v>
      </c>
      <c r="CA83" s="85">
        <f t="shared" si="1240"/>
        <v>0</v>
      </c>
      <c r="CB83" s="86">
        <f t="shared" si="1241"/>
        <v>0</v>
      </c>
      <c r="CC83" s="87">
        <f t="shared" si="1242"/>
        <v>0</v>
      </c>
      <c r="CD83" s="87">
        <f t="shared" si="1243"/>
        <v>0</v>
      </c>
      <c r="CE83" s="88">
        <f t="shared" si="1244"/>
        <v>0</v>
      </c>
      <c r="CF83" s="85">
        <f t="shared" si="1245"/>
        <v>0</v>
      </c>
      <c r="CG83" s="86">
        <f t="shared" si="1246"/>
        <v>0</v>
      </c>
      <c r="CH83" s="87">
        <f t="shared" si="1247"/>
        <v>0</v>
      </c>
      <c r="CI83" s="87">
        <f t="shared" si="1248"/>
        <v>0</v>
      </c>
      <c r="CJ83" s="88">
        <f t="shared" si="1249"/>
        <v>0</v>
      </c>
      <c r="CK83" s="85">
        <f t="shared" si="1250"/>
        <v>0</v>
      </c>
      <c r="CL83" s="86">
        <f t="shared" si="1251"/>
        <v>0</v>
      </c>
      <c r="CM83" s="87">
        <f t="shared" si="1252"/>
        <v>0</v>
      </c>
      <c r="CN83" s="87">
        <f t="shared" si="1253"/>
        <v>0</v>
      </c>
      <c r="CO83" s="88">
        <f t="shared" si="1254"/>
        <v>0</v>
      </c>
      <c r="CP83" s="85">
        <f t="shared" si="1255"/>
        <v>0</v>
      </c>
      <c r="CQ83" s="86">
        <f t="shared" si="1256"/>
        <v>0</v>
      </c>
      <c r="CR83" s="87">
        <f t="shared" si="1257"/>
        <v>0</v>
      </c>
      <c r="CS83" s="87">
        <f t="shared" si="1258"/>
        <v>0</v>
      </c>
      <c r="CT83" s="88">
        <f t="shared" si="1259"/>
        <v>0</v>
      </c>
      <c r="CU83" s="85">
        <f t="shared" si="1260"/>
        <v>0</v>
      </c>
      <c r="CV83" s="86">
        <f t="shared" si="1109"/>
        <v>0</v>
      </c>
      <c r="CW83" s="87">
        <f t="shared" si="1110"/>
        <v>0</v>
      </c>
      <c r="CX83" s="87">
        <f t="shared" si="1111"/>
        <v>0</v>
      </c>
      <c r="CY83" s="88">
        <f t="shared" si="1112"/>
        <v>0</v>
      </c>
      <c r="CZ83" s="85">
        <f t="shared" si="1113"/>
        <v>0</v>
      </c>
    </row>
    <row r="84" spans="1:104" ht="12.75" customHeight="1">
      <c r="A84" s="4"/>
      <c r="B84" s="4"/>
      <c r="C84" s="2000" t="s">
        <v>1482</v>
      </c>
      <c r="D84" s="2114"/>
      <c r="E84" s="1332">
        <f t="shared" si="1114"/>
        <v>4</v>
      </c>
      <c r="F84" s="2314">
        <v>4</v>
      </c>
      <c r="G84" s="1510">
        <v>4</v>
      </c>
      <c r="H84" s="1334">
        <v>2019</v>
      </c>
      <c r="I84" s="1841">
        <v>0.05</v>
      </c>
      <c r="J84" s="1334">
        <v>9</v>
      </c>
      <c r="K84" s="80"/>
      <c r="L84" s="81">
        <f t="shared" si="1022"/>
        <v>0</v>
      </c>
      <c r="M84" s="82">
        <f t="shared" si="1188"/>
        <v>0</v>
      </c>
      <c r="N84" s="83">
        <f t="shared" si="1189"/>
        <v>0</v>
      </c>
      <c r="O84" s="83">
        <f t="shared" si="1190"/>
        <v>0</v>
      </c>
      <c r="P84" s="84">
        <f t="shared" si="1191"/>
        <v>0</v>
      </c>
      <c r="Q84" s="81">
        <f t="shared" si="1027"/>
        <v>0</v>
      </c>
      <c r="R84" s="82">
        <f t="shared" si="1192"/>
        <v>0</v>
      </c>
      <c r="S84" s="83">
        <f t="shared" si="1193"/>
        <v>0</v>
      </c>
      <c r="T84" s="83">
        <f t="shared" si="1194"/>
        <v>0</v>
      </c>
      <c r="U84" s="84">
        <f t="shared" si="1195"/>
        <v>0</v>
      </c>
      <c r="V84" s="81">
        <f t="shared" si="1032"/>
        <v>0</v>
      </c>
      <c r="W84" s="82">
        <f t="shared" si="1196"/>
        <v>0</v>
      </c>
      <c r="X84" s="83">
        <f t="shared" si="1197"/>
        <v>0</v>
      </c>
      <c r="Y84" s="83">
        <f t="shared" si="1198"/>
        <v>0</v>
      </c>
      <c r="Z84" s="84">
        <f t="shared" si="1199"/>
        <v>0</v>
      </c>
      <c r="AA84" s="81">
        <f t="shared" si="1037"/>
        <v>0</v>
      </c>
      <c r="AB84" s="82">
        <f t="shared" si="1200"/>
        <v>0</v>
      </c>
      <c r="AC84" s="83">
        <f t="shared" si="1201"/>
        <v>0</v>
      </c>
      <c r="AD84" s="83">
        <f t="shared" si="1202"/>
        <v>0</v>
      </c>
      <c r="AE84" s="84">
        <f t="shared" si="1203"/>
        <v>0</v>
      </c>
      <c r="AF84" s="81">
        <f t="shared" si="1042"/>
        <v>0</v>
      </c>
      <c r="AG84" s="82">
        <f t="shared" si="1204"/>
        <v>0</v>
      </c>
      <c r="AH84" s="83">
        <f t="shared" si="1205"/>
        <v>0</v>
      </c>
      <c r="AI84" s="83">
        <f t="shared" si="1206"/>
        <v>0</v>
      </c>
      <c r="AJ84" s="84">
        <f t="shared" si="1207"/>
        <v>0</v>
      </c>
      <c r="AK84" s="81">
        <f t="shared" si="1047"/>
        <v>0</v>
      </c>
      <c r="AL84" s="82">
        <f t="shared" si="1208"/>
        <v>0</v>
      </c>
      <c r="AM84" s="83">
        <f t="shared" si="1209"/>
        <v>0</v>
      </c>
      <c r="AN84" s="83">
        <f t="shared" si="1210"/>
        <v>0</v>
      </c>
      <c r="AO84" s="84">
        <f t="shared" si="1211"/>
        <v>0</v>
      </c>
      <c r="AP84" s="81">
        <f t="shared" si="1052"/>
        <v>0</v>
      </c>
      <c r="AQ84" s="82">
        <f t="shared" si="1212"/>
        <v>0</v>
      </c>
      <c r="AR84" s="83">
        <f t="shared" si="1213"/>
        <v>0</v>
      </c>
      <c r="AS84" s="83">
        <f t="shared" si="1214"/>
        <v>-4</v>
      </c>
      <c r="AT84" s="84">
        <f t="shared" si="1215"/>
        <v>0</v>
      </c>
      <c r="AU84" s="81">
        <f t="shared" si="1057"/>
        <v>-4</v>
      </c>
      <c r="AV84" s="82">
        <f t="shared" si="1216"/>
        <v>0</v>
      </c>
      <c r="AW84" s="83">
        <f t="shared" si="1217"/>
        <v>0</v>
      </c>
      <c r="AX84" s="83">
        <f t="shared" si="1218"/>
        <v>0</v>
      </c>
      <c r="AY84" s="84">
        <f t="shared" si="1219"/>
        <v>0</v>
      </c>
      <c r="AZ84" s="81">
        <f t="shared" si="1062"/>
        <v>0</v>
      </c>
      <c r="BA84" s="82">
        <f t="shared" si="1063"/>
        <v>0</v>
      </c>
      <c r="BB84" s="83">
        <f t="shared" si="1064"/>
        <v>0</v>
      </c>
      <c r="BC84" s="83">
        <f t="shared" si="1065"/>
        <v>0</v>
      </c>
      <c r="BD84" s="84">
        <f t="shared" si="1066"/>
        <v>0</v>
      </c>
      <c r="BE84" s="81">
        <f t="shared" si="1067"/>
        <v>0</v>
      </c>
      <c r="BF84" s="1877"/>
      <c r="BG84" s="2005">
        <f t="shared" si="1220"/>
        <v>0</v>
      </c>
      <c r="BH84" s="86">
        <f t="shared" si="1221"/>
        <v>0</v>
      </c>
      <c r="BI84" s="87">
        <f t="shared" si="1222"/>
        <v>0</v>
      </c>
      <c r="BJ84" s="87">
        <f t="shared" si="1223"/>
        <v>0</v>
      </c>
      <c r="BK84" s="88">
        <f t="shared" si="1224"/>
        <v>0</v>
      </c>
      <c r="BL84" s="85">
        <f t="shared" si="1225"/>
        <v>0</v>
      </c>
      <c r="BM84" s="86">
        <f t="shared" si="1226"/>
        <v>0</v>
      </c>
      <c r="BN84" s="87">
        <f t="shared" si="1227"/>
        <v>0</v>
      </c>
      <c r="BO84" s="87">
        <f t="shared" si="1228"/>
        <v>0</v>
      </c>
      <c r="BP84" s="88">
        <f t="shared" si="1229"/>
        <v>0</v>
      </c>
      <c r="BQ84" s="85">
        <f t="shared" si="1230"/>
        <v>0</v>
      </c>
      <c r="BR84" s="86">
        <f t="shared" si="1231"/>
        <v>0</v>
      </c>
      <c r="BS84" s="87">
        <f t="shared" si="1232"/>
        <v>0</v>
      </c>
      <c r="BT84" s="87">
        <f t="shared" si="1233"/>
        <v>0</v>
      </c>
      <c r="BU84" s="88">
        <f t="shared" si="1234"/>
        <v>0</v>
      </c>
      <c r="BV84" s="85">
        <f t="shared" si="1235"/>
        <v>0</v>
      </c>
      <c r="BW84" s="86">
        <f t="shared" si="1236"/>
        <v>0</v>
      </c>
      <c r="BX84" s="87">
        <f t="shared" si="1237"/>
        <v>0</v>
      </c>
      <c r="BY84" s="87">
        <f t="shared" si="1238"/>
        <v>0</v>
      </c>
      <c r="BZ84" s="88">
        <f t="shared" si="1239"/>
        <v>0</v>
      </c>
      <c r="CA84" s="85">
        <f t="shared" si="1240"/>
        <v>0</v>
      </c>
      <c r="CB84" s="86">
        <f t="shared" si="1241"/>
        <v>0</v>
      </c>
      <c r="CC84" s="87">
        <f t="shared" si="1242"/>
        <v>0</v>
      </c>
      <c r="CD84" s="87">
        <f t="shared" si="1243"/>
        <v>0</v>
      </c>
      <c r="CE84" s="88">
        <f t="shared" si="1244"/>
        <v>0</v>
      </c>
      <c r="CF84" s="85">
        <f t="shared" si="1245"/>
        <v>0</v>
      </c>
      <c r="CG84" s="86">
        <f t="shared" si="1246"/>
        <v>0</v>
      </c>
      <c r="CH84" s="87">
        <f t="shared" si="1247"/>
        <v>0</v>
      </c>
      <c r="CI84" s="87">
        <f t="shared" si="1248"/>
        <v>0</v>
      </c>
      <c r="CJ84" s="88">
        <f t="shared" si="1249"/>
        <v>0</v>
      </c>
      <c r="CK84" s="85">
        <f t="shared" si="1250"/>
        <v>0</v>
      </c>
      <c r="CL84" s="86">
        <f t="shared" si="1251"/>
        <v>0</v>
      </c>
      <c r="CM84" s="87">
        <f t="shared" si="1252"/>
        <v>0</v>
      </c>
      <c r="CN84" s="87">
        <f t="shared" si="1253"/>
        <v>-1.6666666666666666E-2</v>
      </c>
      <c r="CO84" s="88">
        <f t="shared" si="1254"/>
        <v>-0.05</v>
      </c>
      <c r="CP84" s="85">
        <f t="shared" si="1255"/>
        <v>-6.6666666666666666E-2</v>
      </c>
      <c r="CQ84" s="86">
        <f t="shared" si="1256"/>
        <v>-0.05</v>
      </c>
      <c r="CR84" s="87">
        <f t="shared" si="1257"/>
        <v>-0.05</v>
      </c>
      <c r="CS84" s="87">
        <f t="shared" si="1258"/>
        <v>-3.3333333333333333E-2</v>
      </c>
      <c r="CT84" s="88">
        <f t="shared" si="1259"/>
        <v>0</v>
      </c>
      <c r="CU84" s="85">
        <f t="shared" si="1260"/>
        <v>-0.13333333333333336</v>
      </c>
      <c r="CV84" s="86">
        <f t="shared" si="1109"/>
        <v>0</v>
      </c>
      <c r="CW84" s="87">
        <f t="shared" si="1110"/>
        <v>0</v>
      </c>
      <c r="CX84" s="87">
        <f t="shared" si="1111"/>
        <v>0</v>
      </c>
      <c r="CY84" s="88">
        <f t="shared" si="1112"/>
        <v>0</v>
      </c>
      <c r="CZ84" s="85">
        <f t="shared" si="1113"/>
        <v>0</v>
      </c>
    </row>
    <row r="85" spans="1:104" ht="12.75" customHeight="1">
      <c r="A85" s="4"/>
      <c r="B85" s="4"/>
      <c r="D85" s="2117"/>
      <c r="E85" s="1332"/>
      <c r="F85" s="2314"/>
      <c r="G85" s="1510"/>
      <c r="H85" s="1334"/>
      <c r="I85" s="1841"/>
      <c r="J85" s="1334"/>
      <c r="K85" s="80"/>
      <c r="L85" s="81">
        <f t="shared" si="1022"/>
        <v>0</v>
      </c>
      <c r="M85" s="82">
        <f t="shared" si="1188"/>
        <v>0</v>
      </c>
      <c r="N85" s="83">
        <f t="shared" si="1189"/>
        <v>0</v>
      </c>
      <c r="O85" s="83">
        <f t="shared" si="1190"/>
        <v>0</v>
      </c>
      <c r="P85" s="84">
        <f t="shared" si="1191"/>
        <v>0</v>
      </c>
      <c r="Q85" s="81">
        <f t="shared" si="1027"/>
        <v>0</v>
      </c>
      <c r="R85" s="82">
        <f t="shared" si="1192"/>
        <v>0</v>
      </c>
      <c r="S85" s="83">
        <f t="shared" si="1193"/>
        <v>0</v>
      </c>
      <c r="T85" s="83">
        <f t="shared" si="1194"/>
        <v>0</v>
      </c>
      <c r="U85" s="84">
        <f t="shared" si="1195"/>
        <v>0</v>
      </c>
      <c r="V85" s="81">
        <f t="shared" si="1032"/>
        <v>0</v>
      </c>
      <c r="W85" s="82">
        <f t="shared" si="1196"/>
        <v>0</v>
      </c>
      <c r="X85" s="83">
        <f t="shared" si="1197"/>
        <v>0</v>
      </c>
      <c r="Y85" s="83">
        <f t="shared" si="1198"/>
        <v>0</v>
      </c>
      <c r="Z85" s="84">
        <f t="shared" si="1199"/>
        <v>0</v>
      </c>
      <c r="AA85" s="81">
        <f t="shared" si="1037"/>
        <v>0</v>
      </c>
      <c r="AB85" s="82">
        <f t="shared" si="1200"/>
        <v>0</v>
      </c>
      <c r="AC85" s="83">
        <f t="shared" si="1201"/>
        <v>0</v>
      </c>
      <c r="AD85" s="83">
        <f t="shared" si="1202"/>
        <v>0</v>
      </c>
      <c r="AE85" s="84">
        <f t="shared" si="1203"/>
        <v>0</v>
      </c>
      <c r="AF85" s="81">
        <f t="shared" si="1042"/>
        <v>0</v>
      </c>
      <c r="AG85" s="82">
        <f t="shared" si="1204"/>
        <v>0</v>
      </c>
      <c r="AH85" s="83">
        <f t="shared" si="1205"/>
        <v>0</v>
      </c>
      <c r="AI85" s="83">
        <f t="shared" si="1206"/>
        <v>0</v>
      </c>
      <c r="AJ85" s="84">
        <f t="shared" si="1207"/>
        <v>0</v>
      </c>
      <c r="AK85" s="81">
        <f t="shared" si="1047"/>
        <v>0</v>
      </c>
      <c r="AL85" s="82">
        <f t="shared" si="1208"/>
        <v>0</v>
      </c>
      <c r="AM85" s="83">
        <f t="shared" si="1209"/>
        <v>0</v>
      </c>
      <c r="AN85" s="83">
        <f t="shared" si="1210"/>
        <v>0</v>
      </c>
      <c r="AO85" s="84">
        <f t="shared" si="1211"/>
        <v>0</v>
      </c>
      <c r="AP85" s="81">
        <f t="shared" si="1052"/>
        <v>0</v>
      </c>
      <c r="AQ85" s="82">
        <f t="shared" si="1212"/>
        <v>0</v>
      </c>
      <c r="AR85" s="83">
        <f t="shared" si="1213"/>
        <v>0</v>
      </c>
      <c r="AS85" s="83">
        <f t="shared" si="1214"/>
        <v>0</v>
      </c>
      <c r="AT85" s="84">
        <f t="shared" si="1215"/>
        <v>0</v>
      </c>
      <c r="AU85" s="81">
        <f t="shared" si="1057"/>
        <v>0</v>
      </c>
      <c r="AV85" s="82">
        <f t="shared" si="1216"/>
        <v>0</v>
      </c>
      <c r="AW85" s="83">
        <f t="shared" si="1217"/>
        <v>0</v>
      </c>
      <c r="AX85" s="83">
        <f t="shared" si="1218"/>
        <v>0</v>
      </c>
      <c r="AY85" s="84">
        <f t="shared" si="1219"/>
        <v>0</v>
      </c>
      <c r="AZ85" s="81">
        <f t="shared" si="1062"/>
        <v>0</v>
      </c>
      <c r="BA85" s="82">
        <f t="shared" si="1063"/>
        <v>0</v>
      </c>
      <c r="BB85" s="83">
        <f t="shared" si="1064"/>
        <v>0</v>
      </c>
      <c r="BC85" s="83">
        <f t="shared" si="1065"/>
        <v>0</v>
      </c>
      <c r="BD85" s="84">
        <f t="shared" si="1066"/>
        <v>0</v>
      </c>
      <c r="BE85" s="81">
        <f t="shared" si="1067"/>
        <v>0</v>
      </c>
      <c r="BF85" s="1877"/>
      <c r="BG85" s="2005">
        <f t="shared" si="1220"/>
        <v>0</v>
      </c>
      <c r="BH85" s="86">
        <f t="shared" si="1221"/>
        <v>0</v>
      </c>
      <c r="BI85" s="87">
        <f t="shared" si="1222"/>
        <v>0</v>
      </c>
      <c r="BJ85" s="87">
        <f t="shared" si="1223"/>
        <v>0</v>
      </c>
      <c r="BK85" s="88">
        <f t="shared" si="1224"/>
        <v>0</v>
      </c>
      <c r="BL85" s="85">
        <f t="shared" si="1225"/>
        <v>0</v>
      </c>
      <c r="BM85" s="86">
        <f t="shared" si="1226"/>
        <v>0</v>
      </c>
      <c r="BN85" s="87">
        <f t="shared" si="1227"/>
        <v>0</v>
      </c>
      <c r="BO85" s="87">
        <f t="shared" si="1228"/>
        <v>0</v>
      </c>
      <c r="BP85" s="88">
        <f t="shared" si="1229"/>
        <v>0</v>
      </c>
      <c r="BQ85" s="85">
        <f t="shared" si="1230"/>
        <v>0</v>
      </c>
      <c r="BR85" s="86">
        <f t="shared" si="1231"/>
        <v>0</v>
      </c>
      <c r="BS85" s="87">
        <f t="shared" si="1232"/>
        <v>0</v>
      </c>
      <c r="BT85" s="87">
        <f t="shared" si="1233"/>
        <v>0</v>
      </c>
      <c r="BU85" s="88">
        <f t="shared" si="1234"/>
        <v>0</v>
      </c>
      <c r="BV85" s="85">
        <f t="shared" si="1235"/>
        <v>0</v>
      </c>
      <c r="BW85" s="86">
        <f t="shared" si="1236"/>
        <v>0</v>
      </c>
      <c r="BX85" s="87">
        <f t="shared" si="1237"/>
        <v>0</v>
      </c>
      <c r="BY85" s="87">
        <f t="shared" si="1238"/>
        <v>0</v>
      </c>
      <c r="BZ85" s="88">
        <f t="shared" si="1239"/>
        <v>0</v>
      </c>
      <c r="CA85" s="85">
        <f t="shared" si="1240"/>
        <v>0</v>
      </c>
      <c r="CB85" s="86">
        <f t="shared" si="1241"/>
        <v>0</v>
      </c>
      <c r="CC85" s="87">
        <f t="shared" si="1242"/>
        <v>0</v>
      </c>
      <c r="CD85" s="87">
        <f t="shared" si="1243"/>
        <v>0</v>
      </c>
      <c r="CE85" s="88">
        <f t="shared" si="1244"/>
        <v>0</v>
      </c>
      <c r="CF85" s="85">
        <f t="shared" si="1245"/>
        <v>0</v>
      </c>
      <c r="CG85" s="86">
        <f t="shared" si="1246"/>
        <v>0</v>
      </c>
      <c r="CH85" s="87">
        <f t="shared" si="1247"/>
        <v>0</v>
      </c>
      <c r="CI85" s="87">
        <f t="shared" si="1248"/>
        <v>0</v>
      </c>
      <c r="CJ85" s="88">
        <f t="shared" si="1249"/>
        <v>0</v>
      </c>
      <c r="CK85" s="85">
        <f t="shared" si="1250"/>
        <v>0</v>
      </c>
      <c r="CL85" s="86">
        <f t="shared" si="1251"/>
        <v>0</v>
      </c>
      <c r="CM85" s="87">
        <f t="shared" si="1252"/>
        <v>0</v>
      </c>
      <c r="CN85" s="87">
        <f t="shared" si="1253"/>
        <v>0</v>
      </c>
      <c r="CO85" s="88">
        <f t="shared" si="1254"/>
        <v>0</v>
      </c>
      <c r="CP85" s="85">
        <f t="shared" si="1255"/>
        <v>0</v>
      </c>
      <c r="CQ85" s="86">
        <f t="shared" si="1256"/>
        <v>0</v>
      </c>
      <c r="CR85" s="87">
        <f t="shared" si="1257"/>
        <v>0</v>
      </c>
      <c r="CS85" s="87">
        <f t="shared" si="1258"/>
        <v>0</v>
      </c>
      <c r="CT85" s="88">
        <f t="shared" si="1259"/>
        <v>0</v>
      </c>
      <c r="CU85" s="85">
        <f t="shared" si="1260"/>
        <v>0</v>
      </c>
      <c r="CV85" s="86">
        <f t="shared" si="1109"/>
        <v>0</v>
      </c>
      <c r="CW85" s="87">
        <f t="shared" si="1110"/>
        <v>0</v>
      </c>
      <c r="CX85" s="87">
        <f t="shared" si="1111"/>
        <v>0</v>
      </c>
      <c r="CY85" s="88">
        <f t="shared" si="1112"/>
        <v>0</v>
      </c>
      <c r="CZ85" s="85">
        <f t="shared" si="1113"/>
        <v>0</v>
      </c>
    </row>
    <row r="86" spans="1:104" ht="12.75" customHeight="1">
      <c r="A86" s="4"/>
      <c r="B86" s="4"/>
      <c r="C86" s="31" t="s">
        <v>253</v>
      </c>
      <c r="D86" s="2117"/>
      <c r="E86" s="1332">
        <f t="shared" si="1114"/>
        <v>105</v>
      </c>
      <c r="F86" s="2314">
        <v>105</v>
      </c>
      <c r="G86" s="1510">
        <v>105</v>
      </c>
      <c r="H86" s="1334">
        <v>2018</v>
      </c>
      <c r="I86" s="1513">
        <v>3.3500000000000002E-2</v>
      </c>
      <c r="J86" s="1334">
        <v>6</v>
      </c>
      <c r="K86" s="80"/>
      <c r="L86" s="81">
        <f t="shared" si="1022"/>
        <v>0</v>
      </c>
      <c r="M86" s="82">
        <f t="shared" si="1115"/>
        <v>0</v>
      </c>
      <c r="N86" s="83">
        <f t="shared" si="1116"/>
        <v>0</v>
      </c>
      <c r="O86" s="83">
        <f t="shared" si="1117"/>
        <v>0</v>
      </c>
      <c r="P86" s="84">
        <f t="shared" si="1118"/>
        <v>0</v>
      </c>
      <c r="Q86" s="81">
        <f t="shared" si="1027"/>
        <v>0</v>
      </c>
      <c r="R86" s="82">
        <f t="shared" si="1119"/>
        <v>0</v>
      </c>
      <c r="S86" s="83">
        <f t="shared" si="1120"/>
        <v>0</v>
      </c>
      <c r="T86" s="83">
        <f t="shared" si="1121"/>
        <v>0</v>
      </c>
      <c r="U86" s="84">
        <f t="shared" si="1122"/>
        <v>0</v>
      </c>
      <c r="V86" s="81">
        <f t="shared" si="1032"/>
        <v>0</v>
      </c>
      <c r="W86" s="82">
        <f t="shared" si="1123"/>
        <v>0</v>
      </c>
      <c r="X86" s="83">
        <f t="shared" si="1124"/>
        <v>0</v>
      </c>
      <c r="Y86" s="83">
        <f t="shared" si="1125"/>
        <v>0</v>
      </c>
      <c r="Z86" s="84">
        <f t="shared" si="1126"/>
        <v>0</v>
      </c>
      <c r="AA86" s="81">
        <f t="shared" si="1037"/>
        <v>0</v>
      </c>
      <c r="AB86" s="82">
        <f t="shared" si="1127"/>
        <v>0</v>
      </c>
      <c r="AC86" s="83">
        <f t="shared" si="1128"/>
        <v>0</v>
      </c>
      <c r="AD86" s="83">
        <f t="shared" si="1129"/>
        <v>0</v>
      </c>
      <c r="AE86" s="84">
        <f t="shared" si="1130"/>
        <v>0</v>
      </c>
      <c r="AF86" s="81">
        <f t="shared" si="1042"/>
        <v>0</v>
      </c>
      <c r="AG86" s="82">
        <f t="shared" si="1131"/>
        <v>0</v>
      </c>
      <c r="AH86" s="83">
        <f t="shared" si="1132"/>
        <v>0</v>
      </c>
      <c r="AI86" s="83">
        <f t="shared" si="1133"/>
        <v>0</v>
      </c>
      <c r="AJ86" s="84">
        <f t="shared" si="1134"/>
        <v>0</v>
      </c>
      <c r="AK86" s="81">
        <f t="shared" si="1047"/>
        <v>0</v>
      </c>
      <c r="AL86" s="82">
        <f t="shared" si="1135"/>
        <v>0</v>
      </c>
      <c r="AM86" s="83">
        <f t="shared" si="1136"/>
        <v>-105</v>
      </c>
      <c r="AN86" s="83">
        <f t="shared" si="1137"/>
        <v>0</v>
      </c>
      <c r="AO86" s="84">
        <f t="shared" si="1138"/>
        <v>0</v>
      </c>
      <c r="AP86" s="81">
        <f t="shared" si="1052"/>
        <v>-105</v>
      </c>
      <c r="AQ86" s="82">
        <f t="shared" si="1139"/>
        <v>0</v>
      </c>
      <c r="AR86" s="83">
        <f t="shared" si="1140"/>
        <v>0</v>
      </c>
      <c r="AS86" s="83">
        <f t="shared" si="1141"/>
        <v>0</v>
      </c>
      <c r="AT86" s="84">
        <f t="shared" si="1142"/>
        <v>0</v>
      </c>
      <c r="AU86" s="81">
        <f t="shared" si="1057"/>
        <v>0</v>
      </c>
      <c r="AV86" s="82">
        <f t="shared" si="1143"/>
        <v>0</v>
      </c>
      <c r="AW86" s="83">
        <f t="shared" si="1144"/>
        <v>0</v>
      </c>
      <c r="AX86" s="83">
        <f t="shared" si="1145"/>
        <v>0</v>
      </c>
      <c r="AY86" s="84">
        <f t="shared" si="1146"/>
        <v>0</v>
      </c>
      <c r="AZ86" s="81">
        <f t="shared" si="1062"/>
        <v>0</v>
      </c>
      <c r="BA86" s="82">
        <f t="shared" si="1063"/>
        <v>0</v>
      </c>
      <c r="BB86" s="83">
        <f t="shared" si="1064"/>
        <v>0</v>
      </c>
      <c r="BC86" s="83">
        <f t="shared" si="1065"/>
        <v>0</v>
      </c>
      <c r="BD86" s="84">
        <f t="shared" si="1066"/>
        <v>0</v>
      </c>
      <c r="BE86" s="81">
        <f t="shared" si="1067"/>
        <v>0</v>
      </c>
      <c r="BF86" s="1877"/>
      <c r="BG86" s="2005">
        <f t="shared" si="1147"/>
        <v>0</v>
      </c>
      <c r="BH86" s="86">
        <f t="shared" si="1148"/>
        <v>0</v>
      </c>
      <c r="BI86" s="87">
        <f t="shared" si="1149"/>
        <v>0</v>
      </c>
      <c r="BJ86" s="87">
        <f t="shared" si="1150"/>
        <v>0</v>
      </c>
      <c r="BK86" s="88">
        <f t="shared" si="1151"/>
        <v>0</v>
      </c>
      <c r="BL86" s="85">
        <f t="shared" si="1152"/>
        <v>0</v>
      </c>
      <c r="BM86" s="86">
        <f t="shared" si="1153"/>
        <v>0</v>
      </c>
      <c r="BN86" s="87">
        <f t="shared" si="1154"/>
        <v>0</v>
      </c>
      <c r="BO86" s="87">
        <f t="shared" si="1155"/>
        <v>0</v>
      </c>
      <c r="BP86" s="88">
        <f t="shared" si="1156"/>
        <v>0</v>
      </c>
      <c r="BQ86" s="85">
        <f t="shared" si="1157"/>
        <v>0</v>
      </c>
      <c r="BR86" s="86">
        <f t="shared" si="1158"/>
        <v>0</v>
      </c>
      <c r="BS86" s="87">
        <f t="shared" si="1159"/>
        <v>0</v>
      </c>
      <c r="BT86" s="87">
        <f t="shared" si="1160"/>
        <v>0</v>
      </c>
      <c r="BU86" s="88">
        <f t="shared" si="1161"/>
        <v>0</v>
      </c>
      <c r="BV86" s="85">
        <f t="shared" si="1162"/>
        <v>0</v>
      </c>
      <c r="BW86" s="86">
        <f t="shared" si="1163"/>
        <v>0</v>
      </c>
      <c r="BX86" s="87">
        <f t="shared" si="1164"/>
        <v>0</v>
      </c>
      <c r="BY86" s="87">
        <f t="shared" si="1165"/>
        <v>0</v>
      </c>
      <c r="BZ86" s="88">
        <f t="shared" si="1166"/>
        <v>0</v>
      </c>
      <c r="CA86" s="85">
        <f t="shared" si="1167"/>
        <v>0</v>
      </c>
      <c r="CB86" s="86">
        <f t="shared" si="1168"/>
        <v>0</v>
      </c>
      <c r="CC86" s="87">
        <f t="shared" si="1169"/>
        <v>0</v>
      </c>
      <c r="CD86" s="87">
        <f t="shared" si="1170"/>
        <v>0</v>
      </c>
      <c r="CE86" s="88">
        <f t="shared" si="1171"/>
        <v>0</v>
      </c>
      <c r="CF86" s="85">
        <f t="shared" si="1172"/>
        <v>0</v>
      </c>
      <c r="CG86" s="86">
        <f t="shared" si="1173"/>
        <v>0</v>
      </c>
      <c r="CH86" s="87">
        <f t="shared" si="1174"/>
        <v>-0.29312500000000002</v>
      </c>
      <c r="CI86" s="87">
        <f t="shared" si="1175"/>
        <v>-0.87937500000000002</v>
      </c>
      <c r="CJ86" s="88">
        <f t="shared" si="1176"/>
        <v>-0.87937500000000002</v>
      </c>
      <c r="CK86" s="85">
        <f t="shared" si="1177"/>
        <v>-2.0518750000000003</v>
      </c>
      <c r="CL86" s="86">
        <f t="shared" si="1178"/>
        <v>-0.87937500000000002</v>
      </c>
      <c r="CM86" s="87">
        <f t="shared" si="1179"/>
        <v>-0.58625000000000005</v>
      </c>
      <c r="CN86" s="87">
        <f t="shared" si="1180"/>
        <v>0</v>
      </c>
      <c r="CO86" s="88">
        <f t="shared" si="1181"/>
        <v>0</v>
      </c>
      <c r="CP86" s="85">
        <f t="shared" si="1182"/>
        <v>-1.4656249999999997</v>
      </c>
      <c r="CQ86" s="86">
        <f t="shared" si="1183"/>
        <v>0</v>
      </c>
      <c r="CR86" s="87">
        <f t="shared" si="1184"/>
        <v>0</v>
      </c>
      <c r="CS86" s="87">
        <f t="shared" si="1185"/>
        <v>0</v>
      </c>
      <c r="CT86" s="88">
        <f t="shared" si="1186"/>
        <v>0</v>
      </c>
      <c r="CU86" s="85">
        <f t="shared" si="1187"/>
        <v>0</v>
      </c>
      <c r="CV86" s="86">
        <f t="shared" si="1109"/>
        <v>0</v>
      </c>
      <c r="CW86" s="87">
        <f t="shared" si="1110"/>
        <v>0</v>
      </c>
      <c r="CX86" s="87">
        <f t="shared" si="1111"/>
        <v>0</v>
      </c>
      <c r="CY86" s="88">
        <f t="shared" si="1112"/>
        <v>0</v>
      </c>
      <c r="CZ86" s="85">
        <f t="shared" si="1113"/>
        <v>0</v>
      </c>
    </row>
    <row r="87" spans="1:104" ht="12.75" customHeight="1">
      <c r="A87" s="4"/>
      <c r="B87" s="4"/>
      <c r="C87" s="4"/>
      <c r="D87" s="2117"/>
      <c r="E87" s="1510"/>
      <c r="F87" s="2314"/>
      <c r="G87" s="1510"/>
      <c r="H87" s="1334"/>
      <c r="I87" s="1512"/>
      <c r="J87" s="1334"/>
      <c r="K87" s="80"/>
      <c r="L87" s="81">
        <f t="shared" si="1022"/>
        <v>0</v>
      </c>
      <c r="M87" s="82">
        <f t="shared" ref="M87:M88" si="1261">IF(Q87=0,0,IF(Q87&lt;0,IF($J87=3,Q87,IF($J87=2,Q87,IF($J87=1,Q87,0)))))</f>
        <v>0</v>
      </c>
      <c r="N87" s="83">
        <f t="shared" ref="N87:N88" si="1262">IF(Q87=0,0,IF(Q87&lt;0,IF($J87=6,Q87,IF($J87=5,Q87,IF($J87=4,Q87,0)))))</f>
        <v>0</v>
      </c>
      <c r="O87" s="83">
        <f t="shared" ref="O87:O88" si="1263">IF(Q87=0,0,IF(Q87&lt;0,IF($J87=9,Q87,IF($J87=8,Q87,IF($J87=7,Q87,0)))))</f>
        <v>0</v>
      </c>
      <c r="P87" s="84">
        <f t="shared" ref="P87:P88" si="1264">IF(Q87=0,0,IF(Q87&lt;0,IF($J87=12,Q87,IF($J87=11,Q87,IF($J87=10,Q87,0)))))</f>
        <v>0</v>
      </c>
      <c r="Q87" s="81">
        <f t="shared" si="1027"/>
        <v>0</v>
      </c>
      <c r="R87" s="82">
        <f t="shared" ref="R87:R88" si="1265">IF(V87=0,0,IF(V87&lt;0,IF($J87=3,V87,IF($J87=2,V87,IF($J87=1,V87,0)))))</f>
        <v>0</v>
      </c>
      <c r="S87" s="83">
        <f t="shared" ref="S87:S88" si="1266">IF(V87=0,0,IF(V87&lt;0,IF($J87=6,V87,IF($J87=5,V87,IF($J87=4,V87,0)))))</f>
        <v>0</v>
      </c>
      <c r="T87" s="83">
        <f t="shared" ref="T87:T88" si="1267">IF(V87=0,0,IF(V87&lt;0,IF($J87=9,V87,IF($J87=8,V87,IF($J87=7,V87,0)))))</f>
        <v>0</v>
      </c>
      <c r="U87" s="84">
        <f t="shared" ref="U87:U88" si="1268">IF(V87=0,0,IF(V87&lt;0,IF($J87=12,V87,IF($J87=11,V87,IF($J87=10,V87,0)))))</f>
        <v>0</v>
      </c>
      <c r="V87" s="81">
        <f t="shared" si="1032"/>
        <v>0</v>
      </c>
      <c r="W87" s="82">
        <f t="shared" ref="W87:W88" si="1269">IF(AA87=0,0,IF(AA87&lt;0,IF($J87=3,AA87,IF($J87=2,AA87,IF($J87=1,AA87,0)))))</f>
        <v>0</v>
      </c>
      <c r="X87" s="83">
        <f t="shared" ref="X87:X88" si="1270">IF(AA87=0,0,IF(AA87&lt;0,IF($J87=6,AA87,IF($J87=5,AA87,IF($J87=4,AA87,0)))))</f>
        <v>0</v>
      </c>
      <c r="Y87" s="83">
        <f t="shared" ref="Y87:Y88" si="1271">IF(AA87=0,0,IF(AA87&lt;0,IF($J87=9,AA87,IF($J87=8,AA87,IF($J87=7,AA87,0)))))</f>
        <v>0</v>
      </c>
      <c r="Z87" s="84">
        <f t="shared" ref="Z87:Z88" si="1272">IF(AA87=0,0,IF(AA87&lt;0,IF($J87=12,AA87,IF($J87=11,AA87,IF($J87=10,AA87,0)))))</f>
        <v>0</v>
      </c>
      <c r="AA87" s="81">
        <f t="shared" si="1037"/>
        <v>0</v>
      </c>
      <c r="AB87" s="82">
        <f t="shared" ref="AB87:AB88" si="1273">IF(AF87=0,0,IF(AF87&lt;0,IF($J87=3,AF87,IF($J87=2,AF87,IF($J87=1,AF87,0)))))</f>
        <v>0</v>
      </c>
      <c r="AC87" s="83">
        <f t="shared" ref="AC87:AC88" si="1274">IF(AF87=0,0,IF(AF87&lt;0,IF($J87=6,AF87,IF($J87=5,AF87,IF($J87=4,AF87,0)))))</f>
        <v>0</v>
      </c>
      <c r="AD87" s="83">
        <f t="shared" ref="AD87:AD88" si="1275">IF(AF87=0,0,IF(AF87&lt;0,IF($J87=9,AF87,IF($J87=8,AF87,IF($J87=7,AF87,0)))))</f>
        <v>0</v>
      </c>
      <c r="AE87" s="84">
        <f t="shared" ref="AE87:AE88" si="1276">IF(AF87=0,0,IF(AF87&lt;0,IF($J87=12,AF87,IF($J87=11,AF87,IF($J87=10,AF87,0)))))</f>
        <v>0</v>
      </c>
      <c r="AF87" s="81">
        <f t="shared" si="1042"/>
        <v>0</v>
      </c>
      <c r="AG87" s="82">
        <f t="shared" ref="AG87:AG88" si="1277">IF(AK87=0,0,IF(AK87&lt;0,IF($J87=3,AK87,IF($J87=2,AK87,IF($J87=1,AK87,0)))))</f>
        <v>0</v>
      </c>
      <c r="AH87" s="83">
        <f t="shared" ref="AH87:AH88" si="1278">IF(AK87=0,0,IF(AK87&lt;0,IF($J87=6,AK87,IF($J87=5,AK87,IF($J87=4,AK87,0)))))</f>
        <v>0</v>
      </c>
      <c r="AI87" s="83">
        <f t="shared" ref="AI87:AI88" si="1279">IF(AK87=0,0,IF(AK87&lt;0,IF($J87=9,AK87,IF($J87=8,AK87,IF($J87=7,AK87,0)))))</f>
        <v>0</v>
      </c>
      <c r="AJ87" s="84">
        <f t="shared" ref="AJ87:AJ88" si="1280">IF(AK87=0,0,IF(AK87&lt;0,IF($J87=12,AK87,IF($J87=11,AK87,IF($J87=10,AK87,0)))))</f>
        <v>0</v>
      </c>
      <c r="AK87" s="81">
        <f t="shared" si="1047"/>
        <v>0</v>
      </c>
      <c r="AL87" s="82">
        <f t="shared" ref="AL87:AL88" si="1281">IF(AP87=0,0,IF(AP87&lt;0,IF($J87=3,AP87,IF($J87=2,AP87,IF($J87=1,AP87,0)))))</f>
        <v>0</v>
      </c>
      <c r="AM87" s="83">
        <f t="shared" ref="AM87:AM88" si="1282">IF(AP87=0,0,IF(AP87&lt;0,IF($J87=6,AP87,IF($J87=5,AP87,IF($J87=4,AP87,0)))))</f>
        <v>0</v>
      </c>
      <c r="AN87" s="83">
        <f t="shared" ref="AN87:AN88" si="1283">IF(AP87=0,0,IF(AP87&lt;0,IF($J87=9,AP87,IF($J87=8,AP87,IF($J87=7,AP87,0)))))</f>
        <v>0</v>
      </c>
      <c r="AO87" s="84">
        <f t="shared" ref="AO87:AO88" si="1284">IF(AP87=0,0,IF(AP87&lt;0,IF($J87=12,AP87,IF($J87=11,AP87,IF($J87=10,AP87,0)))))</f>
        <v>0</v>
      </c>
      <c r="AP87" s="81">
        <f t="shared" si="1052"/>
        <v>0</v>
      </c>
      <c r="AQ87" s="82">
        <f t="shared" ref="AQ87:AQ88" si="1285">IF(AU87=0,0,IF(AU87&lt;0,IF($J87=3,AU87,IF($J87=2,AU87,IF($J87=1,AU87,0)))))</f>
        <v>0</v>
      </c>
      <c r="AR87" s="83">
        <f t="shared" ref="AR87:AR88" si="1286">IF(AU87=0,0,IF(AU87&lt;0,IF($J87=6,AU87,IF($J87=5,AU87,IF($J87=4,AU87,0)))))</f>
        <v>0</v>
      </c>
      <c r="AS87" s="83">
        <f t="shared" ref="AS87:AS88" si="1287">IF(AU87=0,0,IF(AU87&lt;0,IF($J87=9,AU87,IF($J87=8,AU87,IF($J87=7,AU87,0)))))</f>
        <v>0</v>
      </c>
      <c r="AT87" s="84">
        <f t="shared" ref="AT87:AT88" si="1288">IF(AU87=0,0,IF(AU87&lt;0,IF($J87=12,AU87,IF($J87=11,AU87,IF($J87=10,AU87,0)))))</f>
        <v>0</v>
      </c>
      <c r="AU87" s="81">
        <f t="shared" si="1057"/>
        <v>0</v>
      </c>
      <c r="AV87" s="82">
        <f t="shared" ref="AV87:AV88" si="1289">IF(AZ87=0,0,IF(AZ87&lt;0,IF($J87=3,AZ87,IF($J87=2,AZ87,IF($J87=1,AZ87,0)))))</f>
        <v>0</v>
      </c>
      <c r="AW87" s="83">
        <f t="shared" ref="AW87:AW88" si="1290">IF(AZ87=0,0,IF(AZ87&lt;0,IF($J87=6,AZ87,IF($J87=5,AZ87,IF($J87=4,AZ87,0)))))</f>
        <v>0</v>
      </c>
      <c r="AX87" s="83">
        <f t="shared" ref="AX87:AX88" si="1291">IF(AZ87=0,0,IF(AZ87&lt;0,IF($J87=9,AZ87,IF($J87=8,AZ87,IF($J87=7,AZ87,0)))))</f>
        <v>0</v>
      </c>
      <c r="AY87" s="84">
        <f t="shared" ref="AY87:AY88" si="1292">IF(AZ87=0,0,IF(AZ87&lt;0,IF($J87=12,AZ87,IF($J87=11,AZ87,IF($J87=10,AZ87,0)))))</f>
        <v>0</v>
      </c>
      <c r="AZ87" s="81">
        <f t="shared" si="1062"/>
        <v>0</v>
      </c>
      <c r="BA87" s="82">
        <f t="shared" si="1063"/>
        <v>0</v>
      </c>
      <c r="BB87" s="83">
        <f t="shared" si="1064"/>
        <v>0</v>
      </c>
      <c r="BC87" s="83">
        <f t="shared" si="1065"/>
        <v>0</v>
      </c>
      <c r="BD87" s="84">
        <f t="shared" si="1066"/>
        <v>0</v>
      </c>
      <c r="BE87" s="81">
        <f t="shared" si="1067"/>
        <v>0</v>
      </c>
      <c r="BF87" s="1877"/>
      <c r="BG87" s="2005">
        <f t="shared" ref="BG87:BG88" si="1293">IF(AND(BF87&lt;&gt;0,BF$5=$H87),-$I87*$E87-BF87,IF(BG$5=$H87,-$I87*$E87*(12-$J87+1)/12,0))</f>
        <v>0</v>
      </c>
      <c r="BH87" s="86">
        <f t="shared" ref="BH87:BH88" si="1294">IF($H87&lt;&gt;BL$5,0,IF(BL87&lt;0,IF($J87=1,-$E87*$I87/12*3,IF($J87=2,-$E87*$I87/12*2,IF($J87=3,-$E87*$I87/12*1,0)))))+IF(BG$5&lt;&gt;$H87,0,IF(BG87&lt;0,IF($J87=1,-$E87*$I87/12*0,IF($J87=2,-$E87*$I87/12*1,IF($J87=3,-$E87*$I87/12*2,IF($J87&gt;=4,-$E87*$I87/12*3,0))))))</f>
        <v>0</v>
      </c>
      <c r="BI87" s="87">
        <f t="shared" ref="BI87:BI88" si="1295">IF($H87&lt;&gt;BL$5,0,IF(BL87&lt;0,IF(OR($J87=1,$J87=2,$J87=3,$J87=4),-$E87*$I87/12*3,IF($J87=5,-$E87*$I87/12*2,IF($J87=6,-$E87*$I87/12*1,0)))))+IF(BG$5&lt;&gt;$H87,0,IF(BG87&lt;0,IF($J87=4,-$E87*$I87/12*0,IF($J87=5,-$E87*$I87/12*1,IF($J87=6,-$E87*$I87/12*2,IF($J87&gt;=7,-$E87*$I87/12*3,0))))))</f>
        <v>0</v>
      </c>
      <c r="BJ87" s="87">
        <f t="shared" ref="BJ87:BJ88" si="1296">IF($H87&lt;&gt;BL$5,0,IF(BL87&lt;0,IF(OR($J87=1,$J87=2,$J87=3,$J87=4,$J87=5,$J87=6,$J87=7),-$E87*$I87/12*3,IF($J87=8,-$E87*$I87/12*2,IF($J87=9,-$E87*$I87/12*1,0)))))+IF(BG$5&lt;&gt;$H87,0,IF(BG87&lt;0,IF($J87=7,-$E87*$I87/12*0,IF($J87=8,-$E87*$I87/12*1,IF($J87=9,-$E87*$I87/12*2,IF($J87&gt;=10,-$E87*$I87/12*3,0))))))</f>
        <v>0</v>
      </c>
      <c r="BK87" s="88">
        <f t="shared" ref="BK87:BK88" si="1297">IF($H87&lt;&gt;BL$5,0,IF(BL87&lt;0,IF(OR($J87=1,$J87=2,$J87=3,$J87=4,$J87=5,$J87=6,$J87=7,$J87=8,$J87=9,$J87=10),-$E87*$I87/12*3,IF($J87=11,-$E87*$I87/12*2,IF($J87=12,-$E87*$I87/12*1,0)))))+IF(BG$5&lt;&gt;$H87,0,IF(BG87&lt;0,IF($J87=10,-$E87*$I87/12*0,IF($J87=11,-$E87*$I87/12*1,IF($J87=12,-$E87*$I87/12*2,0)))))</f>
        <v>0</v>
      </c>
      <c r="BL87" s="85">
        <f t="shared" ref="BL87:BL88" si="1298">IF(AND(BG87&lt;&gt;0,BG$5=$H87),-$I87*$E87-BG87,IF(BL$5=$H87,-$I87*$E87*(12-$J87+1)/12,0))</f>
        <v>0</v>
      </c>
      <c r="BM87" s="86">
        <f t="shared" ref="BM87:BM88" si="1299">IF($H87&lt;&gt;BQ$5,0,IF(BQ87&lt;0,IF($J87=1,-$E87*$I87/12*3,IF($J87=2,-$E87*$I87/12*2,IF($J87=3,-$E87*$I87/12*1,0)))))+IF(BL$5&lt;&gt;$H87,0,IF(BL87&lt;0,IF($J87=1,-$E87*$I87/12*0,IF($J87=2,-$E87*$I87/12*1,IF($J87=3,-$E87*$I87/12*2,IF($J87&gt;=4,-$E87*$I87/12*3,0))))))</f>
        <v>0</v>
      </c>
      <c r="BN87" s="87">
        <f t="shared" ref="BN87:BN88" si="1300">IF($H87&lt;&gt;BQ$5,0,IF(BQ87&lt;0,IF(OR($J87=1,$J87=2,$J87=3,$J87=4),-$E87*$I87/12*3,IF($J87=5,-$E87*$I87/12*2,IF($J87=6,-$E87*$I87/12*1,0)))))+IF(BL$5&lt;&gt;$H87,0,IF(BL87&lt;0,IF($J87=4,-$E87*$I87/12*0,IF($J87=5,-$E87*$I87/12*1,IF($J87=6,-$E87*$I87/12*2,IF($J87&gt;=7,-$E87*$I87/12*3,0))))))</f>
        <v>0</v>
      </c>
      <c r="BO87" s="87">
        <f t="shared" ref="BO87:BO88" si="1301">IF($H87&lt;&gt;BQ$5,0,IF(BQ87&lt;0,IF(OR($J87=1,$J87=2,$J87=3,$J87=4,$J87=5,$J87=6,$J87=7),-$E87*$I87/12*3,IF($J87=8,-$E87*$I87/12*2,IF($J87=9,-$E87*$I87/12*1,0)))))+IF(BL$5&lt;&gt;$H87,0,IF(BL87&lt;0,IF($J87=7,-$E87*$I87/12*0,IF($J87=8,-$E87*$I87/12*1,IF($J87=9,-$E87*$I87/12*2,IF($J87&gt;=10,-$E87*$I87/12*3,0))))))</f>
        <v>0</v>
      </c>
      <c r="BP87" s="88">
        <f t="shared" ref="BP87:BP88" si="1302">IF($H87&lt;&gt;BQ$5,0,IF(BQ87&lt;0,IF(OR($J87=1,$J87=2,$J87=3,$J87=4,$J87=5,$J87=6,$J87=7,$J87=8,$J87=9,$J87=10),-$E87*$I87/12*3,IF($J87=11,-$E87*$I87/12*2,IF($J87=12,-$E87*$I87/12*1,0)))))+IF(BL$5&lt;&gt;$H87,0,IF(BL87&lt;0,IF($J87=10,-$E87*$I87/12*0,IF($J87=11,-$E87*$I87/12*1,IF($J87=12,-$E87*$I87/12*2,0)))))</f>
        <v>0</v>
      </c>
      <c r="BQ87" s="85">
        <f t="shared" ref="BQ87:BQ88" si="1303">IF(AND(BL87&lt;&gt;0,BL$5=$H87),-$I87*$E87-BL87,IF(BQ$5=$H87,-$I87*$E87*(12-$J87+1)/12,0))</f>
        <v>0</v>
      </c>
      <c r="BR87" s="86">
        <f t="shared" ref="BR87:BR88" si="1304">IF($H87&lt;&gt;BV$5,0,IF(BV87&lt;0,IF($J87=1,-$E87*$I87/12*3,IF($J87=2,-$E87*$I87/12*2,IF($J87=3,-$E87*$I87/12*1,0)))))+IF(BQ$5&lt;&gt;$H87,0,IF(BQ87&lt;0,IF($J87=1,-$E87*$I87/12*0,IF($J87=2,-$E87*$I87/12*1,IF($J87=3,-$E87*$I87/12*2,IF($J87&gt;=4,-$E87*$I87/12*3,0))))))</f>
        <v>0</v>
      </c>
      <c r="BS87" s="87">
        <f t="shared" ref="BS87:BS88" si="1305">IF($H87&lt;&gt;BV$5,0,IF(BV87&lt;0,IF(OR($J87=1,$J87=2,$J87=3,$J87=4),-$E87*$I87/12*3,IF($J87=5,-$E87*$I87/12*2,IF($J87=6,-$E87*$I87/12*1,0)))))+IF(BQ$5&lt;&gt;$H87,0,IF(BQ87&lt;0,IF($J87=4,-$E87*$I87/12*0,IF($J87=5,-$E87*$I87/12*1,IF($J87=6,-$E87*$I87/12*2,IF($J87&gt;=7,-$E87*$I87/12*3,0))))))</f>
        <v>0</v>
      </c>
      <c r="BT87" s="87">
        <f t="shared" ref="BT87:BT88" si="1306">IF($H87&lt;&gt;BV$5,0,IF(BV87&lt;0,IF(OR($J87=1,$J87=2,$J87=3,$J87=4,$J87=5,$J87=6,$J87=7),-$E87*$I87/12*3,IF($J87=8,-$E87*$I87/12*2,IF($J87=9,-$E87*$I87/12*1,0)))))+IF(BQ$5&lt;&gt;$H87,0,IF(BQ87&lt;0,IF($J87=7,-$E87*$I87/12*0,IF($J87=8,-$E87*$I87/12*1,IF($J87=9,-$E87*$I87/12*2,IF($J87&gt;=10,-$E87*$I87/12*3,0))))))</f>
        <v>0</v>
      </c>
      <c r="BU87" s="88">
        <f t="shared" ref="BU87:BU88" si="1307">IF($H87&lt;&gt;BV$5,0,IF(BV87&lt;0,IF(OR($J87=1,$J87=2,$J87=3,$J87=4,$J87=5,$J87=6,$J87=7,$J87=8,$J87=9,$J87=10),-$E87*$I87/12*3,IF($J87=11,-$E87*$I87/12*2,IF($J87=12,-$E87*$I87/12*1,0)))))+IF(BQ$5&lt;&gt;$H87,0,IF(BQ87&lt;0,IF($J87=10,-$E87*$I87/12*0,IF($J87=11,-$E87*$I87/12*1,IF($J87=12,-$E87*$I87/12*2,0)))))</f>
        <v>0</v>
      </c>
      <c r="BV87" s="85">
        <f t="shared" ref="BV87:BV88" si="1308">IF(AND(BQ87&lt;&gt;0,BQ$5=$H87),-$I87*$E87-BQ87,IF(BV$5=$H87,-$I87*$E87*(12-$J87+1)/12,0))</f>
        <v>0</v>
      </c>
      <c r="BW87" s="86">
        <f t="shared" ref="BW87:BW88" si="1309">IF($H87&lt;&gt;CA$5,0,IF(CA87&lt;0,IF($J87=1,-$E87*$I87/12*3,IF($J87=2,-$E87*$I87/12*2,IF($J87=3,-$E87*$I87/12*1,0)))))+IF(BV$5&lt;&gt;$H87,0,IF(BV87&lt;0,IF($J87=1,-$E87*$I87/12*0,IF($J87=2,-$E87*$I87/12*1,IF($J87=3,-$E87*$I87/12*2,IF($J87&gt;=4,-$E87*$I87/12*3,0))))))</f>
        <v>0</v>
      </c>
      <c r="BX87" s="87">
        <f t="shared" ref="BX87:BX88" si="1310">IF($H87&lt;&gt;CA$5,0,IF(CA87&lt;0,IF(OR($J87=1,$J87=2,$J87=3,$J87=4),-$E87*$I87/12*3,IF($J87=5,-$E87*$I87/12*2,IF($J87=6,-$E87*$I87/12*1,0)))))+IF(BV$5&lt;&gt;$H87,0,IF(BV87&lt;0,IF($J87=4,-$E87*$I87/12*0,IF($J87=5,-$E87*$I87/12*1,IF($J87=6,-$E87*$I87/12*2,IF($J87&gt;=7,-$E87*$I87/12*3,0))))))</f>
        <v>0</v>
      </c>
      <c r="BY87" s="87">
        <f t="shared" ref="BY87:BY88" si="1311">IF($H87&lt;&gt;CA$5,0,IF(CA87&lt;0,IF(OR($J87=1,$J87=2,$J87=3,$J87=4,$J87=5,$J87=6,$J87=7),-$E87*$I87/12*3,IF($J87=8,-$E87*$I87/12*2,IF($J87=9,-$E87*$I87/12*1,0)))))+IF(BV$5&lt;&gt;$H87,0,IF(BV87&lt;0,IF($J87=7,-$E87*$I87/12*0,IF($J87=8,-$E87*$I87/12*1,IF($J87=9,-$E87*$I87/12*2,IF($J87&gt;=10,-$E87*$I87/12*3,0))))))</f>
        <v>0</v>
      </c>
      <c r="BZ87" s="88">
        <f t="shared" ref="BZ87:BZ88" si="1312">IF($H87&lt;&gt;CA$5,0,IF(CA87&lt;0,IF(OR($J87=1,$J87=2,$J87=3,$J87=4,$J87=5,$J87=6,$J87=7,$J87=8,$J87=9,$J87=10),-$E87*$I87/12*3,IF($J87=11,-$E87*$I87/12*2,IF($J87=12,-$E87*$I87/12*1,0)))))+IF(BV$5&lt;&gt;$H87,0,IF(BV87&lt;0,IF($J87=10,-$E87*$I87/12*0,IF($J87=11,-$E87*$I87/12*1,IF($J87=12,-$E87*$I87/12*2,0)))))</f>
        <v>0</v>
      </c>
      <c r="CA87" s="85">
        <f t="shared" ref="CA87:CA88" si="1313">IF(AND(BV87&lt;&gt;0,BV$5=$H87),-$I87*$E87-BV87,IF(CA$5=$H87,-$I87*$E87*(12-$J87+1)/12,0))</f>
        <v>0</v>
      </c>
      <c r="CB87" s="86">
        <f t="shared" ref="CB87:CB88" si="1314">IF($H87&lt;&gt;CF$5,0,IF(CF87&lt;0,IF($J87=1,-$E87*$I87/12*3,IF($J87=2,-$E87*$I87/12*2,IF($J87=3,-$E87*$I87/12*1,0)))))+IF(CA$5&lt;&gt;$H87,0,IF(CA87&lt;0,IF($J87=1,-$E87*$I87/12*0,IF($J87=2,-$E87*$I87/12*1,IF($J87=3,-$E87*$I87/12*2,IF($J87&gt;=4,-$E87*$I87/12*3,0))))))</f>
        <v>0</v>
      </c>
      <c r="CC87" s="87">
        <f t="shared" ref="CC87:CC88" si="1315">IF($H87&lt;&gt;CF$5,0,IF(CF87&lt;0,IF(OR($J87=1,$J87=2,$J87=3,$J87=4),-$E87*$I87/12*3,IF($J87=5,-$E87*$I87/12*2,IF($J87=6,-$E87*$I87/12*1,0)))))+IF(CA$5&lt;&gt;$H87,0,IF(CA87&lt;0,IF($J87=4,-$E87*$I87/12*0,IF($J87=5,-$E87*$I87/12*1,IF($J87=6,-$E87*$I87/12*2,IF($J87&gt;=7,-$E87*$I87/12*3,0))))))</f>
        <v>0</v>
      </c>
      <c r="CD87" s="87">
        <f t="shared" ref="CD87:CD88" si="1316">IF($H87&lt;&gt;CF$5,0,IF(CF87&lt;0,IF(OR($J87=1,$J87=2,$J87=3,$J87=4,$J87=5,$J87=6,$J87=7),-$E87*$I87/12*3,IF($J87=8,-$E87*$I87/12*2,IF($J87=9,-$E87*$I87/12*1,0)))))+IF(CA$5&lt;&gt;$H87,0,IF(CA87&lt;0,IF($J87=7,-$E87*$I87/12*0,IF($J87=8,-$E87*$I87/12*1,IF($J87=9,-$E87*$I87/12*2,IF($J87&gt;=10,-$E87*$I87/12*3,0))))))</f>
        <v>0</v>
      </c>
      <c r="CE87" s="88">
        <f t="shared" ref="CE87:CE88" si="1317">IF($H87&lt;&gt;CF$5,0,IF(CF87&lt;0,IF(OR($J87=1,$J87=2,$J87=3,$J87=4,$J87=5,$J87=6,$J87=7,$J87=8,$J87=9,$J87=10),-$E87*$I87/12*3,IF($J87=11,-$E87*$I87/12*2,IF($J87=12,-$E87*$I87/12*1,0)))))+IF(CA$5&lt;&gt;$H87,0,IF(CA87&lt;0,IF($J87=10,-$E87*$I87/12*0,IF($J87=11,-$E87*$I87/12*1,IF($J87=12,-$E87*$I87/12*2,0)))))</f>
        <v>0</v>
      </c>
      <c r="CF87" s="85">
        <f t="shared" ref="CF87:CF88" si="1318">IF(AND(CA87&lt;&gt;0,CA$5=$H87),-$I87*$E87-CA87,IF(CF$5=$H87,-$I87*$E87*(12-$J87+1)/12,0))</f>
        <v>0</v>
      </c>
      <c r="CG87" s="86">
        <f t="shared" ref="CG87:CG88" si="1319">IF($H87&lt;&gt;CK$5,0,IF(CK87&lt;0,IF($J87=1,-$E87*$I87/12*3,IF($J87=2,-$E87*$I87/12*2,IF($J87=3,-$E87*$I87/12*1,0)))))+IF(CF$5&lt;&gt;$H87,0,IF(CF87&lt;0,IF($J87=1,-$E87*$I87/12*0,IF($J87=2,-$E87*$I87/12*1,IF($J87=3,-$E87*$I87/12*2,IF($J87&gt;=4,-$E87*$I87/12*3,0))))))</f>
        <v>0</v>
      </c>
      <c r="CH87" s="87">
        <f t="shared" ref="CH87:CH88" si="1320">IF($H87&lt;&gt;CK$5,0,IF(CK87&lt;0,IF(OR($J87=1,$J87=2,$J87=3,$J87=4),-$E87*$I87/12*3,IF($J87=5,-$E87*$I87/12*2,IF($J87=6,-$E87*$I87/12*1,0)))))+IF(CF$5&lt;&gt;$H87,0,IF(CF87&lt;0,IF($J87=4,-$E87*$I87/12*0,IF($J87=5,-$E87*$I87/12*1,IF($J87=6,-$E87*$I87/12*2,IF($J87&gt;=7,-$E87*$I87/12*3,0))))))</f>
        <v>0</v>
      </c>
      <c r="CI87" s="87">
        <f t="shared" ref="CI87:CI88" si="1321">IF($H87&lt;&gt;CK$5,0,IF(CK87&lt;0,IF(OR($J87=1,$J87=2,$J87=3,$J87=4,$J87=5,$J87=6,$J87=7),-$E87*$I87/12*3,IF($J87=8,-$E87*$I87/12*2,IF($J87=9,-$E87*$I87/12*1,0)))))+IF(CF$5&lt;&gt;$H87,0,IF(CF87&lt;0,IF($J87=7,-$E87*$I87/12*0,IF($J87=8,-$E87*$I87/12*1,IF($J87=9,-$E87*$I87/12*2,IF($J87&gt;=10,-$E87*$I87/12*3,0))))))</f>
        <v>0</v>
      </c>
      <c r="CJ87" s="88">
        <f t="shared" ref="CJ87:CJ88" si="1322">IF($H87&lt;&gt;CK$5,0,IF(CK87&lt;0,IF(OR($J87=1,$J87=2,$J87=3,$J87=4,$J87=5,$J87=6,$J87=7,$J87=8,$J87=9,$J87=10),-$E87*$I87/12*3,IF($J87=11,-$E87*$I87/12*2,IF($J87=12,-$E87*$I87/12*1,0)))))+IF(CF$5&lt;&gt;$H87,0,IF(CF87&lt;0,IF($J87=10,-$E87*$I87/12*0,IF($J87=11,-$E87*$I87/12*1,IF($J87=12,-$E87*$I87/12*2,0)))))</f>
        <v>0</v>
      </c>
      <c r="CK87" s="85">
        <f t="shared" ref="CK87:CK88" si="1323">IF(AND(CF87&lt;&gt;0,CF$5=$H87),-$I87*$E87-CF87,IF(CK$5=$H87,-$I87*$E87*(12-$J87+1)/12,0))</f>
        <v>0</v>
      </c>
      <c r="CL87" s="86">
        <f t="shared" ref="CL87:CL88" si="1324">IF($H87&lt;&gt;CP$5,0,IF(CP87&lt;0,IF($J87=1,-$E87*$I87/12*3,IF($J87=2,-$E87*$I87/12*2,IF($J87=3,-$E87*$I87/12*1,0)))))+IF(CK$5&lt;&gt;$H87,0,IF(CK87&lt;0,IF($J87=1,-$E87*$I87/12*0,IF($J87=2,-$E87*$I87/12*1,IF($J87=3,-$E87*$I87/12*2,IF($J87&gt;=4,-$E87*$I87/12*3,0))))))</f>
        <v>0</v>
      </c>
      <c r="CM87" s="87">
        <f t="shared" ref="CM87:CM88" si="1325">IF($H87&lt;&gt;CP$5,0,IF(CP87&lt;0,IF(OR($J87=1,$J87=2,$J87=3,$J87=4),-$E87*$I87/12*3,IF($J87=5,-$E87*$I87/12*2,IF($J87=6,-$E87*$I87/12*1,0)))))+IF(CK$5&lt;&gt;$H87,0,IF(CK87&lt;0,IF($J87=4,-$E87*$I87/12*0,IF($J87=5,-$E87*$I87/12*1,IF($J87=6,-$E87*$I87/12*2,IF($J87&gt;=7,-$E87*$I87/12*3,0))))))</f>
        <v>0</v>
      </c>
      <c r="CN87" s="87">
        <f t="shared" ref="CN87:CN88" si="1326">IF($H87&lt;&gt;CP$5,0,IF(CP87&lt;0,IF(OR($J87=1,$J87=2,$J87=3,$J87=4,$J87=5,$J87=6,$J87=7),-$E87*$I87/12*3,IF($J87=8,-$E87*$I87/12*2,IF($J87=9,-$E87*$I87/12*1,0)))))+IF(CK$5&lt;&gt;$H87,0,IF(CK87&lt;0,IF($J87=7,-$E87*$I87/12*0,IF($J87=8,-$E87*$I87/12*1,IF($J87=9,-$E87*$I87/12*2,IF($J87&gt;=10,-$E87*$I87/12*3,0))))))</f>
        <v>0</v>
      </c>
      <c r="CO87" s="88">
        <f t="shared" ref="CO87:CO88" si="1327">IF($H87&lt;&gt;CP$5,0,IF(CP87&lt;0,IF(OR($J87=1,$J87=2,$J87=3,$J87=4,$J87=5,$J87=6,$J87=7,$J87=8,$J87=9,$J87=10),-$E87*$I87/12*3,IF($J87=11,-$E87*$I87/12*2,IF($J87=12,-$E87*$I87/12*1,0)))))+IF(CK$5&lt;&gt;$H87,0,IF(CK87&lt;0,IF($J87=10,-$E87*$I87/12*0,IF($J87=11,-$E87*$I87/12*1,IF($J87=12,-$E87*$I87/12*2,0)))))</f>
        <v>0</v>
      </c>
      <c r="CP87" s="85">
        <f t="shared" ref="CP87:CP88" si="1328">IF(AND(CK87&lt;&gt;0,CK$5=$H87),-$I87*$E87-CK87,IF(CP$5=$H87,-$I87*$E87*(12-$J87+1)/12,0))</f>
        <v>0</v>
      </c>
      <c r="CQ87" s="86">
        <f t="shared" ref="CQ87:CQ88" si="1329">IF($H87&lt;&gt;CU$5,0,IF(CU87&lt;0,IF($J87=1,-$E87*$I87/12*3,IF($J87=2,-$E87*$I87/12*2,IF($J87=3,-$E87*$I87/12*1,0)))))+IF(CP$5&lt;&gt;$H87,0,IF(CP87&lt;0,IF($J87=1,-$E87*$I87/12*0,IF($J87=2,-$E87*$I87/12*1,IF($J87=3,-$E87*$I87/12*2,IF($J87&gt;=4,-$E87*$I87/12*3,0))))))</f>
        <v>0</v>
      </c>
      <c r="CR87" s="87">
        <f t="shared" ref="CR87:CR88" si="1330">IF($H87&lt;&gt;CU$5,0,IF(CU87&lt;0,IF(OR($J87=1,$J87=2,$J87=3,$J87=4),-$E87*$I87/12*3,IF($J87=5,-$E87*$I87/12*2,IF($J87=6,-$E87*$I87/12*1,0)))))+IF(CP$5&lt;&gt;$H87,0,IF(CP87&lt;0,IF($J87=4,-$E87*$I87/12*0,IF($J87=5,-$E87*$I87/12*1,IF($J87=6,-$E87*$I87/12*2,IF($J87&gt;=7,-$E87*$I87/12*3,0))))))</f>
        <v>0</v>
      </c>
      <c r="CS87" s="87">
        <f t="shared" ref="CS87:CS88" si="1331">IF($H87&lt;&gt;CU$5,0,IF(CU87&lt;0,IF(OR($J87=1,$J87=2,$J87=3,$J87=4,$J87=5,$J87=6,$J87=7),-$E87*$I87/12*3,IF($J87=8,-$E87*$I87/12*2,IF($J87=9,-$E87*$I87/12*1,0)))))+IF(CP$5&lt;&gt;$H87,0,IF(CP87&lt;0,IF($J87=7,-$E87*$I87/12*0,IF($J87=8,-$E87*$I87/12*1,IF($J87=9,-$E87*$I87/12*2,IF($J87&gt;=10,-$E87*$I87/12*3,0))))))</f>
        <v>0</v>
      </c>
      <c r="CT87" s="88">
        <f t="shared" ref="CT87:CT88" si="1332">IF($H87&lt;&gt;CU$5,0,IF(CU87&lt;0,IF(OR($J87=1,$J87=2,$J87=3,$J87=4,$J87=5,$J87=6,$J87=7,$J87=8,$J87=9,$J87=10),-$E87*$I87/12*3,IF($J87=11,-$E87*$I87/12*2,IF($J87=12,-$E87*$I87/12*1,0)))))+IF(CP$5&lt;&gt;$H87,0,IF(CP87&lt;0,IF($J87=10,-$E87*$I87/12*0,IF($J87=11,-$E87*$I87/12*1,IF($J87=12,-$E87*$I87/12*2,0)))))</f>
        <v>0</v>
      </c>
      <c r="CU87" s="85">
        <f t="shared" ref="CU87:CU88" si="1333">IF(AND(CP87&lt;&gt;0,CP$5=$H87),-$I87*$E87-CP87,IF(CU$5=$H87,-$I87*$E87*(12-$J87+1)/12,0))</f>
        <v>0</v>
      </c>
      <c r="CV87" s="86">
        <f t="shared" si="1109"/>
        <v>0</v>
      </c>
      <c r="CW87" s="87">
        <f t="shared" si="1110"/>
        <v>0</v>
      </c>
      <c r="CX87" s="87">
        <f t="shared" si="1111"/>
        <v>0</v>
      </c>
      <c r="CY87" s="88">
        <f t="shared" si="1112"/>
        <v>0</v>
      </c>
      <c r="CZ87" s="85">
        <f t="shared" si="1113"/>
        <v>0</v>
      </c>
    </row>
    <row r="88" spans="1:104" ht="12.75" customHeight="1">
      <c r="A88" s="4"/>
      <c r="B88" s="4"/>
      <c r="C88" t="s">
        <v>465</v>
      </c>
      <c r="D88" s="2114"/>
      <c r="E88" s="2115">
        <f>IF(F88=0,G88,F88)</f>
        <v>382</v>
      </c>
      <c r="F88" s="2314">
        <v>382</v>
      </c>
      <c r="G88" s="1510">
        <v>382</v>
      </c>
      <c r="H88" s="2124">
        <v>2025</v>
      </c>
      <c r="I88" s="1512">
        <v>0.05</v>
      </c>
      <c r="J88" s="2124">
        <v>12</v>
      </c>
      <c r="K88" s="80"/>
      <c r="L88" s="81">
        <f t="shared" si="1022"/>
        <v>0</v>
      </c>
      <c r="M88" s="82">
        <f t="shared" si="1261"/>
        <v>0</v>
      </c>
      <c r="N88" s="83">
        <f t="shared" si="1262"/>
        <v>0</v>
      </c>
      <c r="O88" s="83">
        <f t="shared" si="1263"/>
        <v>0</v>
      </c>
      <c r="P88" s="84">
        <f t="shared" si="1264"/>
        <v>0</v>
      </c>
      <c r="Q88" s="81">
        <f t="shared" si="1027"/>
        <v>0</v>
      </c>
      <c r="R88" s="82">
        <f t="shared" si="1265"/>
        <v>0</v>
      </c>
      <c r="S88" s="83">
        <f t="shared" si="1266"/>
        <v>0</v>
      </c>
      <c r="T88" s="83">
        <f t="shared" si="1267"/>
        <v>0</v>
      </c>
      <c r="U88" s="84">
        <f t="shared" si="1268"/>
        <v>0</v>
      </c>
      <c r="V88" s="81">
        <f t="shared" si="1032"/>
        <v>0</v>
      </c>
      <c r="W88" s="82">
        <f t="shared" si="1269"/>
        <v>0</v>
      </c>
      <c r="X88" s="83">
        <f t="shared" si="1270"/>
        <v>0</v>
      </c>
      <c r="Y88" s="83">
        <f t="shared" si="1271"/>
        <v>0</v>
      </c>
      <c r="Z88" s="84">
        <f t="shared" si="1272"/>
        <v>0</v>
      </c>
      <c r="AA88" s="81">
        <f t="shared" si="1037"/>
        <v>0</v>
      </c>
      <c r="AB88" s="82">
        <f t="shared" si="1273"/>
        <v>0</v>
      </c>
      <c r="AC88" s="83">
        <f t="shared" si="1274"/>
        <v>0</v>
      </c>
      <c r="AD88" s="83">
        <f t="shared" si="1275"/>
        <v>0</v>
      </c>
      <c r="AE88" s="84">
        <f t="shared" si="1276"/>
        <v>0</v>
      </c>
      <c r="AF88" s="81">
        <f t="shared" si="1042"/>
        <v>0</v>
      </c>
      <c r="AG88" s="82">
        <f t="shared" si="1277"/>
        <v>0</v>
      </c>
      <c r="AH88" s="83">
        <f t="shared" si="1278"/>
        <v>0</v>
      </c>
      <c r="AI88" s="83">
        <f t="shared" si="1279"/>
        <v>0</v>
      </c>
      <c r="AJ88" s="84">
        <f t="shared" si="1280"/>
        <v>0</v>
      </c>
      <c r="AK88" s="81">
        <f t="shared" si="1047"/>
        <v>0</v>
      </c>
      <c r="AL88" s="82">
        <f t="shared" si="1281"/>
        <v>0</v>
      </c>
      <c r="AM88" s="83">
        <f t="shared" si="1282"/>
        <v>0</v>
      </c>
      <c r="AN88" s="83">
        <f t="shared" si="1283"/>
        <v>0</v>
      </c>
      <c r="AO88" s="84">
        <f t="shared" si="1284"/>
        <v>0</v>
      </c>
      <c r="AP88" s="81">
        <f t="shared" si="1052"/>
        <v>0</v>
      </c>
      <c r="AQ88" s="82">
        <f t="shared" si="1285"/>
        <v>0</v>
      </c>
      <c r="AR88" s="83">
        <f t="shared" si="1286"/>
        <v>0</v>
      </c>
      <c r="AS88" s="83">
        <f t="shared" si="1287"/>
        <v>0</v>
      </c>
      <c r="AT88" s="84">
        <f t="shared" si="1288"/>
        <v>0</v>
      </c>
      <c r="AU88" s="81">
        <f t="shared" si="1057"/>
        <v>0</v>
      </c>
      <c r="AV88" s="82">
        <f t="shared" si="1289"/>
        <v>0</v>
      </c>
      <c r="AW88" s="83">
        <f t="shared" si="1290"/>
        <v>0</v>
      </c>
      <c r="AX88" s="83">
        <f t="shared" si="1291"/>
        <v>0</v>
      </c>
      <c r="AY88" s="84">
        <f t="shared" si="1292"/>
        <v>0</v>
      </c>
      <c r="AZ88" s="81">
        <f t="shared" si="1062"/>
        <v>0</v>
      </c>
      <c r="BA88" s="82">
        <f t="shared" si="1063"/>
        <v>0</v>
      </c>
      <c r="BB88" s="83">
        <f t="shared" si="1064"/>
        <v>0</v>
      </c>
      <c r="BC88" s="83">
        <f t="shared" si="1065"/>
        <v>0</v>
      </c>
      <c r="BD88" s="84">
        <f t="shared" si="1066"/>
        <v>0</v>
      </c>
      <c r="BE88" s="81">
        <f t="shared" si="1067"/>
        <v>0</v>
      </c>
      <c r="BF88" s="1877"/>
      <c r="BG88" s="2005">
        <f t="shared" si="1293"/>
        <v>0</v>
      </c>
      <c r="BH88" s="86">
        <f t="shared" si="1294"/>
        <v>0</v>
      </c>
      <c r="BI88" s="87">
        <f t="shared" si="1295"/>
        <v>0</v>
      </c>
      <c r="BJ88" s="87">
        <f t="shared" si="1296"/>
        <v>0</v>
      </c>
      <c r="BK88" s="88">
        <f t="shared" si="1297"/>
        <v>0</v>
      </c>
      <c r="BL88" s="85">
        <f t="shared" si="1298"/>
        <v>0</v>
      </c>
      <c r="BM88" s="86">
        <f t="shared" si="1299"/>
        <v>0</v>
      </c>
      <c r="BN88" s="87">
        <f t="shared" si="1300"/>
        <v>0</v>
      </c>
      <c r="BO88" s="87">
        <f t="shared" si="1301"/>
        <v>0</v>
      </c>
      <c r="BP88" s="88">
        <f t="shared" si="1302"/>
        <v>0</v>
      </c>
      <c r="BQ88" s="85">
        <f t="shared" si="1303"/>
        <v>0</v>
      </c>
      <c r="BR88" s="86">
        <f t="shared" si="1304"/>
        <v>0</v>
      </c>
      <c r="BS88" s="87">
        <f t="shared" si="1305"/>
        <v>0</v>
      </c>
      <c r="BT88" s="87">
        <f t="shared" si="1306"/>
        <v>0</v>
      </c>
      <c r="BU88" s="88">
        <f t="shared" si="1307"/>
        <v>0</v>
      </c>
      <c r="BV88" s="85">
        <f t="shared" si="1308"/>
        <v>0</v>
      </c>
      <c r="BW88" s="86">
        <f t="shared" si="1309"/>
        <v>0</v>
      </c>
      <c r="BX88" s="87">
        <f t="shared" si="1310"/>
        <v>0</v>
      </c>
      <c r="BY88" s="87">
        <f t="shared" si="1311"/>
        <v>0</v>
      </c>
      <c r="BZ88" s="88">
        <f t="shared" si="1312"/>
        <v>0</v>
      </c>
      <c r="CA88" s="85">
        <f t="shared" si="1313"/>
        <v>0</v>
      </c>
      <c r="CB88" s="86">
        <f t="shared" si="1314"/>
        <v>0</v>
      </c>
      <c r="CC88" s="87">
        <f t="shared" si="1315"/>
        <v>0</v>
      </c>
      <c r="CD88" s="87">
        <f t="shared" si="1316"/>
        <v>0</v>
      </c>
      <c r="CE88" s="88">
        <f t="shared" si="1317"/>
        <v>0</v>
      </c>
      <c r="CF88" s="85">
        <f t="shared" si="1318"/>
        <v>0</v>
      </c>
      <c r="CG88" s="86">
        <f t="shared" si="1319"/>
        <v>0</v>
      </c>
      <c r="CH88" s="87">
        <f t="shared" si="1320"/>
        <v>0</v>
      </c>
      <c r="CI88" s="87">
        <f t="shared" si="1321"/>
        <v>0</v>
      </c>
      <c r="CJ88" s="88">
        <f t="shared" si="1322"/>
        <v>0</v>
      </c>
      <c r="CK88" s="85">
        <f t="shared" si="1323"/>
        <v>0</v>
      </c>
      <c r="CL88" s="86">
        <f t="shared" si="1324"/>
        <v>0</v>
      </c>
      <c r="CM88" s="87">
        <f t="shared" si="1325"/>
        <v>0</v>
      </c>
      <c r="CN88" s="87">
        <f t="shared" si="1326"/>
        <v>0</v>
      </c>
      <c r="CO88" s="88">
        <f t="shared" si="1327"/>
        <v>0</v>
      </c>
      <c r="CP88" s="85">
        <f t="shared" si="1328"/>
        <v>0</v>
      </c>
      <c r="CQ88" s="86">
        <f t="shared" si="1329"/>
        <v>0</v>
      </c>
      <c r="CR88" s="87">
        <f t="shared" si="1330"/>
        <v>0</v>
      </c>
      <c r="CS88" s="87">
        <f t="shared" si="1331"/>
        <v>0</v>
      </c>
      <c r="CT88" s="88">
        <f t="shared" si="1332"/>
        <v>0</v>
      </c>
      <c r="CU88" s="85">
        <f t="shared" si="1333"/>
        <v>0</v>
      </c>
      <c r="CV88" s="86">
        <f t="shared" si="1109"/>
        <v>0</v>
      </c>
      <c r="CW88" s="87">
        <f t="shared" si="1110"/>
        <v>0</v>
      </c>
      <c r="CX88" s="87">
        <f t="shared" si="1111"/>
        <v>0</v>
      </c>
      <c r="CY88" s="88">
        <f t="shared" si="1112"/>
        <v>0</v>
      </c>
      <c r="CZ88" s="85">
        <f t="shared" si="1113"/>
        <v>0</v>
      </c>
    </row>
    <row r="89" spans="1:104" ht="12.75" customHeight="1">
      <c r="A89" s="4"/>
      <c r="B89" s="4"/>
      <c r="C89" s="174"/>
      <c r="D89" s="175"/>
      <c r="E89" s="92"/>
      <c r="F89" s="93"/>
      <c r="G89" s="93"/>
      <c r="H89" s="176"/>
      <c r="I89" s="176"/>
      <c r="J89" s="178"/>
      <c r="K89" s="97"/>
      <c r="L89" s="98"/>
      <c r="M89" s="99"/>
      <c r="N89" s="100"/>
      <c r="O89" s="100"/>
      <c r="P89" s="101"/>
      <c r="Q89" s="98"/>
      <c r="R89" s="99"/>
      <c r="S89" s="100"/>
      <c r="T89" s="100"/>
      <c r="U89" s="101"/>
      <c r="V89" s="98"/>
      <c r="W89" s="99"/>
      <c r="X89" s="100"/>
      <c r="Y89" s="100"/>
      <c r="Z89" s="101"/>
      <c r="AA89" s="98"/>
      <c r="AB89" s="99"/>
      <c r="AC89" s="100"/>
      <c r="AD89" s="100"/>
      <c r="AE89" s="101"/>
      <c r="AF89" s="98"/>
      <c r="AG89" s="99"/>
      <c r="AH89" s="100"/>
      <c r="AI89" s="100"/>
      <c r="AJ89" s="101"/>
      <c r="AK89" s="98"/>
      <c r="AL89" s="99"/>
      <c r="AM89" s="100"/>
      <c r="AN89" s="100"/>
      <c r="AO89" s="101"/>
      <c r="AP89" s="98"/>
      <c r="AQ89" s="99"/>
      <c r="AR89" s="100"/>
      <c r="AS89" s="100"/>
      <c r="AT89" s="101"/>
      <c r="AU89" s="98"/>
      <c r="AV89" s="99"/>
      <c r="AW89" s="100"/>
      <c r="AX89" s="100"/>
      <c r="AY89" s="101"/>
      <c r="AZ89" s="98"/>
      <c r="BA89" s="99"/>
      <c r="BB89" s="100"/>
      <c r="BC89" s="100"/>
      <c r="BD89" s="101"/>
      <c r="BE89" s="98"/>
      <c r="BF89" s="1657"/>
      <c r="BG89" s="2015"/>
      <c r="BH89" s="219"/>
      <c r="BI89" s="220"/>
      <c r="BJ89" s="220"/>
      <c r="BK89" s="221"/>
      <c r="BL89" s="218"/>
      <c r="BM89" s="219"/>
      <c r="BN89" s="220"/>
      <c r="BO89" s="220"/>
      <c r="BP89" s="221"/>
      <c r="BQ89" s="218"/>
      <c r="BR89" s="219"/>
      <c r="BS89" s="220"/>
      <c r="BT89" s="220"/>
      <c r="BU89" s="221"/>
      <c r="BV89" s="218"/>
      <c r="BW89" s="219"/>
      <c r="BX89" s="220"/>
      <c r="BY89" s="220"/>
      <c r="BZ89" s="221"/>
      <c r="CA89" s="218"/>
      <c r="CB89" s="219"/>
      <c r="CC89" s="220"/>
      <c r="CD89" s="220"/>
      <c r="CE89" s="221"/>
      <c r="CF89" s="218"/>
      <c r="CG89" s="219"/>
      <c r="CH89" s="220"/>
      <c r="CI89" s="220"/>
      <c r="CJ89" s="221"/>
      <c r="CK89" s="218"/>
      <c r="CL89" s="219"/>
      <c r="CM89" s="220"/>
      <c r="CN89" s="220"/>
      <c r="CO89" s="221"/>
      <c r="CP89" s="218"/>
      <c r="CQ89" s="219"/>
      <c r="CR89" s="220"/>
      <c r="CS89" s="220"/>
      <c r="CT89" s="221"/>
      <c r="CU89" s="218"/>
      <c r="CV89" s="219"/>
      <c r="CW89" s="220"/>
      <c r="CX89" s="220"/>
      <c r="CY89" s="221"/>
      <c r="CZ89" s="218"/>
    </row>
    <row r="90" spans="1:104" ht="12.75" customHeight="1">
      <c r="A90" s="156"/>
      <c r="B90" s="156"/>
      <c r="C90" s="417" t="s">
        <v>399</v>
      </c>
      <c r="D90" s="418"/>
      <c r="E90" s="328">
        <f>SUM(E47:E89)</f>
        <v>9764.4700000000012</v>
      </c>
      <c r="F90" s="419">
        <f>SUM(F47:F89)</f>
        <v>8978.4700000000012</v>
      </c>
      <c r="G90" s="419">
        <f>SUM(G47:G89)</f>
        <v>9264.4700000000012</v>
      </c>
      <c r="H90" s="420"/>
      <c r="I90" s="421"/>
      <c r="J90" s="422"/>
      <c r="K90" s="423"/>
      <c r="L90" s="111">
        <f t="shared" ref="L90:BE90" si="1334">SUM(L47:L89)</f>
        <v>0</v>
      </c>
      <c r="M90" s="112">
        <f t="shared" si="1334"/>
        <v>0</v>
      </c>
      <c r="N90" s="113">
        <f t="shared" si="1334"/>
        <v>0</v>
      </c>
      <c r="O90" s="113">
        <f t="shared" si="1334"/>
        <v>0</v>
      </c>
      <c r="P90" s="114">
        <f t="shared" si="1334"/>
        <v>0</v>
      </c>
      <c r="Q90" s="111">
        <f t="shared" si="1334"/>
        <v>0</v>
      </c>
      <c r="R90" s="112">
        <f t="shared" si="1334"/>
        <v>0</v>
      </c>
      <c r="S90" s="113">
        <f t="shared" si="1334"/>
        <v>0</v>
      </c>
      <c r="T90" s="113">
        <f t="shared" si="1334"/>
        <v>0</v>
      </c>
      <c r="U90" s="114">
        <f t="shared" si="1334"/>
        <v>0</v>
      </c>
      <c r="V90" s="111">
        <f t="shared" si="1334"/>
        <v>0</v>
      </c>
      <c r="W90" s="112">
        <f t="shared" si="1334"/>
        <v>0</v>
      </c>
      <c r="X90" s="113">
        <f t="shared" si="1334"/>
        <v>0</v>
      </c>
      <c r="Y90" s="113">
        <f t="shared" si="1334"/>
        <v>0</v>
      </c>
      <c r="Z90" s="114">
        <f t="shared" si="1334"/>
        <v>0</v>
      </c>
      <c r="AA90" s="111">
        <f t="shared" si="1334"/>
        <v>0</v>
      </c>
      <c r="AB90" s="112">
        <f t="shared" si="1334"/>
        <v>0</v>
      </c>
      <c r="AC90" s="113">
        <f t="shared" si="1334"/>
        <v>0</v>
      </c>
      <c r="AD90" s="113">
        <f t="shared" si="1334"/>
        <v>0</v>
      </c>
      <c r="AE90" s="114">
        <f t="shared" si="1334"/>
        <v>0</v>
      </c>
      <c r="AF90" s="111">
        <f t="shared" si="1334"/>
        <v>0</v>
      </c>
      <c r="AG90" s="112">
        <f t="shared" si="1334"/>
        <v>0</v>
      </c>
      <c r="AH90" s="113">
        <f t="shared" si="1334"/>
        <v>0</v>
      </c>
      <c r="AI90" s="113">
        <f t="shared" si="1334"/>
        <v>0</v>
      </c>
      <c r="AJ90" s="114">
        <f t="shared" si="1334"/>
        <v>-724</v>
      </c>
      <c r="AK90" s="111">
        <f t="shared" si="1334"/>
        <v>-724</v>
      </c>
      <c r="AL90" s="112">
        <f t="shared" si="1334"/>
        <v>-20</v>
      </c>
      <c r="AM90" s="113">
        <f t="shared" si="1334"/>
        <v>-116</v>
      </c>
      <c r="AN90" s="113">
        <f t="shared" si="1334"/>
        <v>-5</v>
      </c>
      <c r="AO90" s="114">
        <f t="shared" si="1334"/>
        <v>0</v>
      </c>
      <c r="AP90" s="111">
        <f t="shared" si="1334"/>
        <v>-141</v>
      </c>
      <c r="AQ90" s="112">
        <f t="shared" si="1334"/>
        <v>0</v>
      </c>
      <c r="AR90" s="113">
        <f t="shared" si="1334"/>
        <v>0</v>
      </c>
      <c r="AS90" s="113">
        <f t="shared" si="1334"/>
        <v>-4</v>
      </c>
      <c r="AT90" s="114">
        <f t="shared" si="1334"/>
        <v>-600</v>
      </c>
      <c r="AU90" s="111">
        <f t="shared" si="1334"/>
        <v>-604</v>
      </c>
      <c r="AV90" s="112">
        <f t="shared" si="1334"/>
        <v>-1000</v>
      </c>
      <c r="AW90" s="113">
        <f t="shared" si="1334"/>
        <v>0</v>
      </c>
      <c r="AX90" s="113">
        <f t="shared" si="1334"/>
        <v>-435.47</v>
      </c>
      <c r="AY90" s="114">
        <f t="shared" si="1334"/>
        <v>-550</v>
      </c>
      <c r="AZ90" s="111">
        <f t="shared" si="1334"/>
        <v>-1985.47</v>
      </c>
      <c r="BA90" s="112">
        <f t="shared" si="1334"/>
        <v>-861</v>
      </c>
      <c r="BB90" s="113">
        <f t="shared" si="1334"/>
        <v>0</v>
      </c>
      <c r="BC90" s="113">
        <f t="shared" si="1334"/>
        <v>0</v>
      </c>
      <c r="BD90" s="114">
        <f t="shared" si="1334"/>
        <v>0</v>
      </c>
      <c r="BE90" s="111">
        <f t="shared" si="1334"/>
        <v>-861</v>
      </c>
      <c r="BF90" s="1880"/>
      <c r="BG90" s="2007">
        <f t="shared" ref="BG90:CZ90" si="1335">SUM(BG47:BG89)</f>
        <v>0</v>
      </c>
      <c r="BH90" s="116">
        <f t="shared" si="1335"/>
        <v>0</v>
      </c>
      <c r="BI90" s="117">
        <f t="shared" si="1335"/>
        <v>0</v>
      </c>
      <c r="BJ90" s="117">
        <f t="shared" si="1335"/>
        <v>0</v>
      </c>
      <c r="BK90" s="118">
        <f t="shared" si="1335"/>
        <v>0</v>
      </c>
      <c r="BL90" s="115">
        <f t="shared" si="1335"/>
        <v>0</v>
      </c>
      <c r="BM90" s="116">
        <f t="shared" si="1335"/>
        <v>0</v>
      </c>
      <c r="BN90" s="117">
        <f t="shared" si="1335"/>
        <v>0</v>
      </c>
      <c r="BO90" s="117">
        <f t="shared" si="1335"/>
        <v>0</v>
      </c>
      <c r="BP90" s="118">
        <f t="shared" si="1335"/>
        <v>0</v>
      </c>
      <c r="BQ90" s="115">
        <f t="shared" si="1335"/>
        <v>0</v>
      </c>
      <c r="BR90" s="116">
        <f t="shared" si="1335"/>
        <v>0</v>
      </c>
      <c r="BS90" s="117">
        <f t="shared" si="1335"/>
        <v>0</v>
      </c>
      <c r="BT90" s="117">
        <f t="shared" si="1335"/>
        <v>0</v>
      </c>
      <c r="BU90" s="118">
        <f t="shared" si="1335"/>
        <v>0</v>
      </c>
      <c r="BV90" s="115">
        <f t="shared" si="1335"/>
        <v>0</v>
      </c>
      <c r="BW90" s="116">
        <f t="shared" si="1335"/>
        <v>0</v>
      </c>
      <c r="BX90" s="117">
        <f t="shared" si="1335"/>
        <v>0</v>
      </c>
      <c r="BY90" s="117">
        <f t="shared" si="1335"/>
        <v>0</v>
      </c>
      <c r="BZ90" s="118">
        <f t="shared" si="1335"/>
        <v>0</v>
      </c>
      <c r="CA90" s="115">
        <f t="shared" si="1335"/>
        <v>0</v>
      </c>
      <c r="CB90" s="116">
        <f t="shared" si="1335"/>
        <v>0</v>
      </c>
      <c r="CC90" s="117">
        <f t="shared" si="1335"/>
        <v>0</v>
      </c>
      <c r="CD90" s="117">
        <f t="shared" si="1335"/>
        <v>0</v>
      </c>
      <c r="CE90" s="118">
        <f t="shared" si="1335"/>
        <v>-10.97</v>
      </c>
      <c r="CF90" s="115">
        <f t="shared" si="1335"/>
        <v>-10.97</v>
      </c>
      <c r="CG90" s="116">
        <f t="shared" si="1335"/>
        <v>-11.18665</v>
      </c>
      <c r="CH90" s="117">
        <f t="shared" si="1335"/>
        <v>-11.599325</v>
      </c>
      <c r="CI90" s="117">
        <f t="shared" si="1335"/>
        <v>-12.213200000000001</v>
      </c>
      <c r="CJ90" s="118">
        <f t="shared" si="1335"/>
        <v>-1.2431999999999999</v>
      </c>
      <c r="CK90" s="115">
        <f t="shared" si="1335"/>
        <v>-36.242375000000003</v>
      </c>
      <c r="CL90" s="116">
        <f t="shared" si="1335"/>
        <v>-1.0265500000000001</v>
      </c>
      <c r="CM90" s="117">
        <f t="shared" si="1335"/>
        <v>-0.61387500000000006</v>
      </c>
      <c r="CN90" s="117">
        <f t="shared" si="1335"/>
        <v>-1.6666666666666666E-2</v>
      </c>
      <c r="CO90" s="118">
        <f t="shared" si="1335"/>
        <v>-7.8500000000000005</v>
      </c>
      <c r="CP90" s="115">
        <f t="shared" si="1335"/>
        <v>-9.5070916666666658</v>
      </c>
      <c r="CQ90" s="116">
        <f t="shared" si="1335"/>
        <v>-15.225000000000001</v>
      </c>
      <c r="CR90" s="117">
        <f t="shared" si="1335"/>
        <v>-15.225000000000001</v>
      </c>
      <c r="CS90" s="117">
        <f t="shared" si="1335"/>
        <v>-16.151851666666669</v>
      </c>
      <c r="CT90" s="118">
        <f t="shared" si="1335"/>
        <v>-15.705555</v>
      </c>
      <c r="CU90" s="115">
        <f t="shared" si="1335"/>
        <v>-62.307406666666665</v>
      </c>
      <c r="CV90" s="116">
        <f t="shared" si="1335"/>
        <v>-15.505555000000001</v>
      </c>
      <c r="CW90" s="117">
        <f t="shared" si="1335"/>
        <v>-19.093055</v>
      </c>
      <c r="CX90" s="117">
        <f t="shared" si="1335"/>
        <v>-18.149536666666666</v>
      </c>
      <c r="CY90" s="118">
        <f t="shared" si="1335"/>
        <v>-10.762499999999999</v>
      </c>
      <c r="CZ90" s="115">
        <f t="shared" si="1335"/>
        <v>-63.510646666666673</v>
      </c>
    </row>
    <row r="91" spans="1:104" ht="12.75" customHeight="1">
      <c r="A91" s="4"/>
      <c r="B91" s="4"/>
      <c r="C91" s="149"/>
      <c r="D91" s="149"/>
      <c r="E91" s="147"/>
      <c r="F91" s="2308"/>
      <c r="G91" s="76"/>
      <c r="H91" s="166"/>
      <c r="I91" s="192" t="s">
        <v>68</v>
      </c>
      <c r="J91" s="173" t="s">
        <v>68</v>
      </c>
      <c r="K91" s="80"/>
      <c r="L91" s="81"/>
      <c r="M91" s="82"/>
      <c r="N91" s="83"/>
      <c r="O91" s="83"/>
      <c r="P91" s="84"/>
      <c r="Q91" s="81"/>
      <c r="R91" s="82"/>
      <c r="S91" s="83"/>
      <c r="T91" s="83"/>
      <c r="U91" s="84"/>
      <c r="V91" s="81"/>
      <c r="W91" s="82"/>
      <c r="X91" s="83"/>
      <c r="Y91" s="83"/>
      <c r="Z91" s="84"/>
      <c r="AA91" s="81"/>
      <c r="AB91" s="82"/>
      <c r="AC91" s="83"/>
      <c r="AD91" s="83"/>
      <c r="AE91" s="84"/>
      <c r="AF91" s="81"/>
      <c r="AG91" s="82"/>
      <c r="AH91" s="83"/>
      <c r="AI91" s="83"/>
      <c r="AJ91" s="84"/>
      <c r="AK91" s="81"/>
      <c r="AL91" s="82"/>
      <c r="AM91" s="83"/>
      <c r="AN91" s="83"/>
      <c r="AO91" s="84"/>
      <c r="AP91" s="81"/>
      <c r="AQ91" s="82"/>
      <c r="AR91" s="83"/>
      <c r="AS91" s="83"/>
      <c r="AT91" s="84"/>
      <c r="AU91" s="81"/>
      <c r="AV91" s="82"/>
      <c r="AW91" s="83"/>
      <c r="AX91" s="83"/>
      <c r="AY91" s="84"/>
      <c r="AZ91" s="81"/>
      <c r="BA91" s="82"/>
      <c r="BB91" s="83"/>
      <c r="BC91" s="83"/>
      <c r="BD91" s="84"/>
      <c r="BE91" s="81"/>
      <c r="BF91" s="1877"/>
      <c r="BG91" s="2005"/>
      <c r="BH91" s="86"/>
      <c r="BI91" s="87"/>
      <c r="BJ91" s="87"/>
      <c r="BK91" s="88"/>
      <c r="BL91" s="85"/>
      <c r="BM91" s="86"/>
      <c r="BN91" s="87"/>
      <c r="BO91" s="87"/>
      <c r="BP91" s="88"/>
      <c r="BQ91" s="85"/>
      <c r="BR91" s="86"/>
      <c r="BS91" s="87"/>
      <c r="BT91" s="87"/>
      <c r="BU91" s="88"/>
      <c r="BV91" s="85"/>
      <c r="BW91" s="86"/>
      <c r="BX91" s="87"/>
      <c r="BY91" s="87"/>
      <c r="BZ91" s="88"/>
      <c r="CA91" s="85"/>
      <c r="CB91" s="86"/>
      <c r="CC91" s="87"/>
      <c r="CD91" s="87"/>
      <c r="CE91" s="88"/>
      <c r="CF91" s="85"/>
      <c r="CG91" s="86"/>
      <c r="CH91" s="87"/>
      <c r="CI91" s="87"/>
      <c r="CJ91" s="88"/>
      <c r="CK91" s="85"/>
      <c r="CL91" s="86"/>
      <c r="CM91" s="87"/>
      <c r="CN91" s="87"/>
      <c r="CO91" s="88"/>
      <c r="CP91" s="85"/>
      <c r="CQ91" s="86"/>
      <c r="CR91" s="87"/>
      <c r="CS91" s="87"/>
      <c r="CT91" s="88"/>
      <c r="CU91" s="85"/>
      <c r="CV91" s="86"/>
      <c r="CW91" s="87"/>
      <c r="CX91" s="87"/>
      <c r="CY91" s="88"/>
      <c r="CZ91" s="85"/>
    </row>
    <row r="92" spans="1:104" ht="12.75" customHeight="1">
      <c r="A92" s="4"/>
      <c r="B92" s="4"/>
      <c r="C92" s="193" t="s">
        <v>530</v>
      </c>
      <c r="D92" s="193"/>
      <c r="E92" s="75"/>
      <c r="F92" s="76"/>
      <c r="G92" s="76"/>
      <c r="H92" s="77"/>
      <c r="I92" s="78"/>
      <c r="J92" s="207"/>
      <c r="K92" s="80"/>
      <c r="L92" s="81"/>
      <c r="M92" s="82"/>
      <c r="N92" s="83"/>
      <c r="O92" s="83"/>
      <c r="P92" s="84"/>
      <c r="Q92" s="81"/>
      <c r="R92" s="82"/>
      <c r="S92" s="83"/>
      <c r="T92" s="83"/>
      <c r="U92" s="84"/>
      <c r="V92" s="81"/>
      <c r="W92" s="82"/>
      <c r="X92" s="83"/>
      <c r="Y92" s="83"/>
      <c r="Z92" s="84"/>
      <c r="AA92" s="81"/>
      <c r="AB92" s="82"/>
      <c r="AC92" s="83"/>
      <c r="AD92" s="83"/>
      <c r="AE92" s="84"/>
      <c r="AF92" s="81"/>
      <c r="AG92" s="82"/>
      <c r="AH92" s="83"/>
      <c r="AI92" s="83"/>
      <c r="AJ92" s="84"/>
      <c r="AK92" s="81"/>
      <c r="AL92" s="82"/>
      <c r="AM92" s="83"/>
      <c r="AN92" s="83"/>
      <c r="AO92" s="84"/>
      <c r="AP92" s="81"/>
      <c r="AQ92" s="82"/>
      <c r="AR92" s="83"/>
      <c r="AS92" s="83"/>
      <c r="AT92" s="84"/>
      <c r="AU92" s="81"/>
      <c r="AV92" s="82"/>
      <c r="AW92" s="83"/>
      <c r="AX92" s="83"/>
      <c r="AY92" s="84"/>
      <c r="AZ92" s="81"/>
      <c r="BA92" s="82"/>
      <c r="BB92" s="83"/>
      <c r="BC92" s="83"/>
      <c r="BD92" s="84"/>
      <c r="BE92" s="81"/>
      <c r="BF92" s="1884"/>
      <c r="BG92" s="2005"/>
      <c r="BH92" s="86"/>
      <c r="BI92" s="87"/>
      <c r="BJ92" s="87"/>
      <c r="BK92" s="88"/>
      <c r="BL92" s="85"/>
      <c r="BM92" s="86"/>
      <c r="BN92" s="87"/>
      <c r="BO92" s="87"/>
      <c r="BP92" s="88"/>
      <c r="BQ92" s="85"/>
      <c r="BR92" s="86"/>
      <c r="BS92" s="87"/>
      <c r="BT92" s="87"/>
      <c r="BU92" s="88"/>
      <c r="BV92" s="85"/>
      <c r="BW92" s="86"/>
      <c r="BX92" s="87"/>
      <c r="BY92" s="87"/>
      <c r="BZ92" s="88"/>
      <c r="CA92" s="85"/>
      <c r="CB92" s="86"/>
      <c r="CC92" s="87"/>
      <c r="CD92" s="87"/>
      <c r="CE92" s="88"/>
      <c r="CF92" s="85"/>
      <c r="CG92" s="86"/>
      <c r="CH92" s="87"/>
      <c r="CI92" s="87"/>
      <c r="CJ92" s="88"/>
      <c r="CK92" s="85"/>
      <c r="CL92" s="86"/>
      <c r="CM92" s="87"/>
      <c r="CN92" s="87"/>
      <c r="CO92" s="88"/>
      <c r="CP92" s="85"/>
      <c r="CQ92" s="86"/>
      <c r="CR92" s="87"/>
      <c r="CS92" s="87"/>
      <c r="CT92" s="88"/>
      <c r="CU92" s="85"/>
      <c r="CV92" s="86"/>
      <c r="CW92" s="87"/>
      <c r="CX92" s="87"/>
      <c r="CY92" s="88"/>
      <c r="CZ92" s="85"/>
    </row>
    <row r="93" spans="1:104" ht="12.75" customHeight="1">
      <c r="A93" s="4"/>
      <c r="B93" s="4"/>
      <c r="C93" s="2000" t="s">
        <v>1544</v>
      </c>
      <c r="D93" s="2312"/>
      <c r="E93" s="2314">
        <v>500</v>
      </c>
      <c r="F93" s="2314"/>
      <c r="G93" s="2314"/>
      <c r="H93" s="1334">
        <v>2017</v>
      </c>
      <c r="I93" s="1513">
        <v>3.4000000000000002E-2</v>
      </c>
      <c r="J93" s="1334">
        <v>11</v>
      </c>
      <c r="K93" s="80"/>
      <c r="L93" s="81">
        <f t="shared" ref="L93:L97" si="1336">IF(L$5=$H93,$E93,0)</f>
        <v>0</v>
      </c>
      <c r="M93" s="82">
        <f t="shared" ref="M93" si="1337">IF(Q93=0,0,IF(Q93&gt;0,IF($J93=3,Q93,IF($J93=2,Q93,IF($J93=1,Q93,0)))))</f>
        <v>0</v>
      </c>
      <c r="N93" s="83">
        <f t="shared" ref="N93" si="1338">IF(Q93=0,0,IF(Q93&gt;0,IF($J93=6,Q93,IF($J93=5,Q93,IF($J93=4,Q93,0)))))</f>
        <v>0</v>
      </c>
      <c r="O93" s="83">
        <f t="shared" ref="O93" si="1339">IF(Q93=0,0,IF(Q93&gt;0,IF($J93=9,Q93,IF($J93=8,Q93,IF($J93=7,Q93,0)))))</f>
        <v>0</v>
      </c>
      <c r="P93" s="84">
        <f t="shared" ref="P93" si="1340">IF(Q93=0,0,IF(Q93&gt;0,IF($J93=12,Q93,IF($J93=11,Q93,IF($J93=10,Q93,0)))))</f>
        <v>0</v>
      </c>
      <c r="Q93" s="81">
        <f t="shared" ref="Q93:Q97" si="1341">IF(Q$5=$H93,$E93,0)</f>
        <v>0</v>
      </c>
      <c r="R93" s="82">
        <f t="shared" ref="R93" si="1342">IF(V93=0,0,IF(V93&gt;0,IF($J93=3,V93,IF($J93=2,V93,IF($J93=1,V93,0)))))</f>
        <v>0</v>
      </c>
      <c r="S93" s="83">
        <f t="shared" ref="S93" si="1343">IF(V93=0,0,IF(V93&gt;0,IF($J93=6,V93,IF($J93=5,V93,IF($J93=4,V93,0)))))</f>
        <v>0</v>
      </c>
      <c r="T93" s="83">
        <f t="shared" ref="T93" si="1344">IF(V93=0,0,IF(V93&gt;0,IF($J93=9,V93,IF($J93=8,V93,IF($J93=7,V93,0)))))</f>
        <v>0</v>
      </c>
      <c r="U93" s="84">
        <f t="shared" ref="U93" si="1345">IF(V93=0,0,IF(V93&gt;0,IF($J93=12,V93,IF($J93=11,V93,IF($J93=10,V93,0)))))</f>
        <v>0</v>
      </c>
      <c r="V93" s="81">
        <f t="shared" ref="V93:V97" si="1346">IF(V$5=$H93,$E93,0)</f>
        <v>0</v>
      </c>
      <c r="W93" s="82">
        <f t="shared" ref="W93" si="1347">IF(AA93=0,0,IF(AA93&gt;0,IF($J93=3,AA93,IF($J93=2,AA93,IF($J93=1,AA93,0)))))</f>
        <v>0</v>
      </c>
      <c r="X93" s="83">
        <f t="shared" ref="X93" si="1348">IF(AA93=0,0,IF(AA93&gt;0,IF($J93=6,AA93,IF($J93=5,AA93,IF($J93=4,AA93,0)))))</f>
        <v>0</v>
      </c>
      <c r="Y93" s="83">
        <f t="shared" ref="Y93" si="1349">IF(AA93=0,0,IF(AA93&gt;0,IF($J93=9,AA93,IF($J93=8,AA93,IF($J93=7,AA93,0)))))</f>
        <v>0</v>
      </c>
      <c r="Z93" s="84">
        <f t="shared" ref="Z93" si="1350">IF(AA93=0,0,IF(AA93&gt;0,IF($J93=12,AA93,IF($J93=11,AA93,IF($J93=10,AA93,0)))))</f>
        <v>0</v>
      </c>
      <c r="AA93" s="81">
        <f t="shared" ref="AA93:AA97" si="1351">IF(AA$5=$H93,$E93,0)</f>
        <v>0</v>
      </c>
      <c r="AB93" s="82">
        <f t="shared" ref="AB93" si="1352">IF(AF93=0,0,IF(AF93&gt;0,IF($J93=3,AF93,IF($J93=2,AF93,IF($J93=1,AF93,0)))))</f>
        <v>0</v>
      </c>
      <c r="AC93" s="83">
        <f t="shared" ref="AC93" si="1353">IF(AF93=0,0,IF(AF93&gt;0,IF($J93=6,AF93,IF($J93=5,AF93,IF($J93=4,AF93,0)))))</f>
        <v>0</v>
      </c>
      <c r="AD93" s="83">
        <f t="shared" ref="AD93" si="1354">IF(AF93=0,0,IF(AF93&gt;0,IF($J93=9,AF93,IF($J93=8,AF93,IF($J93=7,AF93,0)))))</f>
        <v>0</v>
      </c>
      <c r="AE93" s="84">
        <f t="shared" ref="AE93" si="1355">IF(AF93=0,0,IF(AF93&gt;0,IF($J93=12,AF93,IF($J93=11,AF93,IF($J93=10,AF93,0)))))</f>
        <v>0</v>
      </c>
      <c r="AF93" s="81">
        <f t="shared" ref="AF93:AF97" si="1356">IF(AF$5=$H93,$E93,0)</f>
        <v>0</v>
      </c>
      <c r="AG93" s="82">
        <f t="shared" ref="AG93" si="1357">IF(AK93=0,0,IF(AK93&gt;0,IF($J93=3,AK93,IF($J93=2,AK93,IF($J93=1,AK93,0)))))</f>
        <v>0</v>
      </c>
      <c r="AH93" s="83">
        <f t="shared" ref="AH93" si="1358">IF(AK93=0,0,IF(AK93&gt;0,IF($J93=6,AK93,IF($J93=5,AK93,IF($J93=4,AK93,0)))))</f>
        <v>0</v>
      </c>
      <c r="AI93" s="83">
        <f t="shared" ref="AI93" si="1359">IF(AK93=0,0,IF(AK93&gt;0,IF($J93=9,AK93,IF($J93=8,AK93,IF($J93=7,AK93,0)))))</f>
        <v>0</v>
      </c>
      <c r="AJ93" s="84">
        <f t="shared" ref="AJ93" si="1360">IF(AK93=0,0,IF(AK93&gt;0,IF($J93=12,AK93,IF($J93=11,AK93,IF($J93=10,AK93,0)))))</f>
        <v>500</v>
      </c>
      <c r="AK93" s="81">
        <f t="shared" ref="AK93:AK97" si="1361">IF(AK$5=$H93,$E93,0)</f>
        <v>500</v>
      </c>
      <c r="AL93" s="82">
        <f t="shared" ref="AL93" si="1362">IF(AP93=0,0,IF(AP93&gt;0,IF($J93=3,AP93,IF($J93=2,AP93,IF($J93=1,AP93,0)))))</f>
        <v>0</v>
      </c>
      <c r="AM93" s="83">
        <f t="shared" ref="AM93" si="1363">IF(AP93=0,0,IF(AP93&gt;0,IF($J93=6,AP93,IF($J93=5,AP93,IF($J93=4,AP93,0)))))</f>
        <v>0</v>
      </c>
      <c r="AN93" s="83">
        <f t="shared" ref="AN93" si="1364">IF(AP93=0,0,IF(AP93&gt;0,IF($J93=9,AP93,IF($J93=8,AP93,IF($J93=7,AP93,0)))))</f>
        <v>0</v>
      </c>
      <c r="AO93" s="84">
        <f t="shared" ref="AO93" si="1365">IF(AP93=0,0,IF(AP93&gt;0,IF($J93=12,AP93,IF($J93=11,AP93,IF($J93=10,AP93,0)))))</f>
        <v>0</v>
      </c>
      <c r="AP93" s="81">
        <f t="shared" ref="AP93:AP97" si="1366">IF(AP$5=$H93,$E93,0)</f>
        <v>0</v>
      </c>
      <c r="AQ93" s="82">
        <f t="shared" ref="AQ93" si="1367">IF(AU93=0,0,IF(AU93&gt;0,IF($J93=3,AU93,IF($J93=2,AU93,IF($J93=1,AU93,0)))))</f>
        <v>0</v>
      </c>
      <c r="AR93" s="83">
        <f t="shared" ref="AR93" si="1368">IF(AU93=0,0,IF(AU93&gt;0,IF($J93=6,AU93,IF($J93=5,AU93,IF($J93=4,AU93,0)))))</f>
        <v>0</v>
      </c>
      <c r="AS93" s="83">
        <f t="shared" ref="AS93" si="1369">IF(AU93=0,0,IF(AU93&gt;0,IF($J93=9,AU93,IF($J93=8,AU93,IF($J93=7,AU93,0)))))</f>
        <v>0</v>
      </c>
      <c r="AT93" s="84">
        <f t="shared" ref="AT93" si="1370">IF(AU93=0,0,IF(AU93&gt;0,IF($J93=12,AU93,IF($J93=11,AU93,IF($J93=10,AU93,0)))))</f>
        <v>0</v>
      </c>
      <c r="AU93" s="81">
        <f t="shared" ref="AU93:AU97" si="1371">IF(AU$5=$H93,$E93,0)</f>
        <v>0</v>
      </c>
      <c r="AV93" s="82">
        <f t="shared" ref="AV93" si="1372">IF(AZ93=0,0,IF(AZ93&gt;0,IF($J93=3,AZ93,IF($J93=2,AZ93,IF($J93=1,AZ93,0)))))</f>
        <v>0</v>
      </c>
      <c r="AW93" s="83">
        <f t="shared" ref="AW93" si="1373">IF(AZ93=0,0,IF(AZ93&gt;0,IF($J93=6,AZ93,IF($J93=5,AZ93,IF($J93=4,AZ93,0)))))</f>
        <v>0</v>
      </c>
      <c r="AX93" s="83">
        <f t="shared" ref="AX93" si="1374">IF(AZ93=0,0,IF(AZ93&gt;0,IF($J93=9,AZ93,IF($J93=8,AZ93,IF($J93=7,AZ93,0)))))</f>
        <v>0</v>
      </c>
      <c r="AY93" s="84">
        <f t="shared" ref="AY93" si="1375">IF(AZ93=0,0,IF(AZ93&gt;0,IF($J93=12,AZ93,IF($J93=11,AZ93,IF($J93=10,AZ93,0)))))</f>
        <v>0</v>
      </c>
      <c r="AZ93" s="81">
        <f t="shared" ref="AZ93:AZ97" si="1376">IF(AZ$5=$H93,$E93,0)</f>
        <v>0</v>
      </c>
      <c r="BA93" s="82">
        <f t="shared" ref="BA93" si="1377">IF(BE93=0,0,IF(BE93&gt;0,IF($J93=3,BE93,IF($J93=2,BE93,IF($J93=1,BE93,0)))))</f>
        <v>0</v>
      </c>
      <c r="BB93" s="83">
        <f t="shared" ref="BB93" si="1378">IF(BE93=0,0,IF(BE93&gt;0,IF($J93=6,BE93,IF($J93=5,BE93,IF($J93=4,BE93,0)))))</f>
        <v>0</v>
      </c>
      <c r="BC93" s="83">
        <f t="shared" ref="BC93" si="1379">IF(BE93=0,0,IF(BE93&gt;0,IF($J93=9,BE93,IF($J93=8,BE93,IF($J93=7,BE93,0)))))</f>
        <v>0</v>
      </c>
      <c r="BD93" s="84">
        <f t="shared" ref="BD93" si="1380">IF(BE93=0,0,IF(BE93&gt;0,IF($J93=12,BE93,IF($J93=11,BE93,IF($J93=10,BE93,0)))))</f>
        <v>0</v>
      </c>
      <c r="BE93" s="81">
        <f t="shared" ref="BE93:BE97" si="1381">IF(BE$5=$H93,$E93,0)</f>
        <v>0</v>
      </c>
      <c r="BF93" s="1884"/>
      <c r="BG93" s="2005">
        <f t="shared" ref="BG93" si="1382">IF(AND(BF93&lt;&gt;0,BF$5=$H93),$I93*$E93-BF93,IF(BG$5=$H93,$I93*$E93*(12-$J93+1)/12,0))</f>
        <v>0</v>
      </c>
      <c r="BH93" s="86">
        <f t="shared" ref="BH93" si="1383">IF($H93&lt;&gt;BL$5,0,IF(BL93&gt;0,IF($J93=1,$E93*$I93/12*3,IF($J93=2,$E93*$I93/12*2,IF($J93=3,$E93*$I93/12*1,0)))))+IF(BG$5&lt;&gt;$H93,0,IF(BG93&gt;0,IF($J93=1,$E93*$I93/12*0,IF($J93=2,$E93*$I93/12*1,IF($J93=3,$E93*$I93/12*2,IF($J93&gt;=4,$E93*$I93/12*3,0))))))</f>
        <v>0</v>
      </c>
      <c r="BI93" s="87">
        <f t="shared" ref="BI93" si="1384">IF($H93&lt;&gt;BL$5,0,IF(BL93&gt;0,IF(OR($J93=1,$J93=2,$J93=3,$J93=4),$E93*$I93/12*3,IF($J93=5,$E93*$I93/12*2,IF($J93=6,$E93*$I93/12*1,0)))))+IF(BG$5&lt;&gt;$H93,0,IF(BG93&gt;0,IF($J93=4,$E93*$I93/12*0,IF($J93=5,$E93*$I93/12*1,IF($J93=6,$E93*$I93/12*2,IF($J93&gt;=7,$E93*$I93/12*3,0))))))</f>
        <v>0</v>
      </c>
      <c r="BJ93" s="87">
        <f t="shared" ref="BJ93" si="1385">IF($H93&lt;&gt;BL$5,0,IF(BL93&gt;0,IF(OR($J93=1,$J93=2,$J93=3,$J93=4,$J93=5,$J93=6,$J93=7),$E93*$I93/12*3,IF($J93=8,$E93*$I93/12*2,IF($J93=9,$E93*$I93/12*1,0)))))+IF(BG$5&lt;&gt;$H93,0,IF(BG93&gt;0,IF($J93=7,$E93*$I93/12*0,IF($J93=8,$E93*$I93/12*1,IF($J93=9,$E93*$I93/12*2,IF($J93&gt;=10,$E93*$I93/12*3,0))))))</f>
        <v>0</v>
      </c>
      <c r="BK93" s="88">
        <f t="shared" ref="BK93" si="1386">IF($H93&lt;&gt;BL$5,0,IF(BL93&gt;0,IF(OR($J93=1,$J93=2,$J93=3,$J93=4,$J93=5,$J93=6,$J93=7,$J93=8,$J93=9,$J93=10),$E93*$I93/12*3,IF($J93=11,$E93*$I93/12*2,IF($J93=12,$E93*$I93/12*1,0)))))+IF(BG$5&lt;&gt;$H93,0,IF(BG93&gt;0,IF($J93=10,$E93*$I93/12*0,IF($J93=11,$E93*$I93/12*1,IF($J93=12,$E93*$I93/12*2,0)))))</f>
        <v>0</v>
      </c>
      <c r="BL93" s="85">
        <f t="shared" ref="BL93" si="1387">IF(AND(BG93&lt;&gt;0,BG$5=$H93),$I93*$E93-BG93,IF(BL$5=$H93,$I93*$E93*(12-$J93+1)/12,0))</f>
        <v>0</v>
      </c>
      <c r="BM93" s="86">
        <f t="shared" ref="BM93" si="1388">IF($H93&lt;&gt;BQ$5,0,IF(BQ93&gt;0,IF($J93=1,$E93*$I93/12*3,IF($J93=2,$E93*$I93/12*2,IF($J93=3,$E93*$I93/12*1,0)))))+IF(BL$5&lt;&gt;$H93,0,IF(BL93&gt;0,IF($J93=1,$E93*$I93/12*0,IF($J93=2,$E93*$I93/12*1,IF($J93=3,$E93*$I93/12*2,IF($J93&gt;=4,$E93*$I93/12*3,0))))))</f>
        <v>0</v>
      </c>
      <c r="BN93" s="87">
        <f t="shared" ref="BN93" si="1389">IF($H93&lt;&gt;BQ$5,0,IF(BQ93&gt;0,IF(OR($J93=1,$J93=2,$J93=3,$J93=4),$E93*$I93/12*3,IF($J93=5,$E93*$I93/12*2,IF($J93=6,$E93*$I93/12*1,0)))))+IF(BL$5&lt;&gt;$H93,0,IF(BL93&gt;0,IF($J93=4,$E93*$I93/12*0,IF($J93=5,$E93*$I93/12*1,IF($J93=6,$E93*$I93/12*2,IF($J93&gt;=7,$E93*$I93/12*3,0))))))</f>
        <v>0</v>
      </c>
      <c r="BO93" s="87">
        <f t="shared" ref="BO93" si="1390">IF($H93&lt;&gt;BQ$5,0,IF(BQ93&gt;0,IF(OR($J93=1,$J93=2,$J93=3,$J93=4,$J93=5,$J93=6,$J93=7),$E93*$I93/12*3,IF($J93=8,$E93*$I93/12*2,IF($J93=9,$E93*$I93/12*1,0)))))+IF(BL$5&lt;&gt;$H93,0,IF(BL93&gt;0,IF($J93=7,$E93*$I93/12*0,IF($J93=8,$E93*$I93/12*1,IF($J93=9,$E93*$I93/12*2,IF($J93&gt;=10,$E93*$I93/12*3,0))))))</f>
        <v>0</v>
      </c>
      <c r="BP93" s="88">
        <f t="shared" ref="BP93" si="1391">IF($H93&lt;&gt;BQ$5,0,IF(BQ93&gt;0,IF(OR($J93=1,$J93=2,$J93=3,$J93=4,$J93=5,$J93=6,$J93=7,$J93=8,$J93=9,$J93=10),$E93*$I93/12*3,IF($J93=11,$E93*$I93/12*2,IF($J93=12,$E93*$I93/12*1,0)))))+IF(BL$5&lt;&gt;$H93,0,IF(BL93&gt;0,IF($J93=10,$E93*$I93/12*0,IF($J93=11,$E93*$I93/12*1,IF($J93=12,$E93*$I93/12*2,0)))))</f>
        <v>0</v>
      </c>
      <c r="BQ93" s="85">
        <f t="shared" ref="BQ93" si="1392">IF(AND(BL93&lt;&gt;0,BL$5=$H93),$I93*$E93-BL93,IF(BQ$5=$H93,$I93*$E93*(12-$J93+1)/12,0))</f>
        <v>0</v>
      </c>
      <c r="BR93" s="86">
        <f t="shared" ref="BR93" si="1393">IF($H93&lt;&gt;BV$5,0,IF(BV93&gt;0,IF($J93=1,$E93*$I93/12*3,IF($J93=2,$E93*$I93/12*2,IF($J93=3,$E93*$I93/12*1,0)))))+IF(BQ$5&lt;&gt;$H93,0,IF(BQ93&gt;0,IF($J93=1,$E93*$I93/12*0,IF($J93=2,$E93*$I93/12*1,IF($J93=3,$E93*$I93/12*2,IF($J93&gt;=4,$E93*$I93/12*3,0))))))</f>
        <v>0</v>
      </c>
      <c r="BS93" s="87">
        <f t="shared" ref="BS93" si="1394">IF($H93&lt;&gt;BV$5,0,IF(BV93&gt;0,IF(OR($J93=1,$J93=2,$J93=3,$J93=4),$E93*$I93/12*3,IF($J93=5,$E93*$I93/12*2,IF($J93=6,$E93*$I93/12*1,0)))))+IF(BQ$5&lt;&gt;$H93,0,IF(BQ93&gt;0,IF($J93=4,$E93*$I93/12*0,IF($J93=5,$E93*$I93/12*1,IF($J93=6,$E93*$I93/12*2,IF($J93&gt;=7,$E93*$I93/12*3,0))))))</f>
        <v>0</v>
      </c>
      <c r="BT93" s="87">
        <f t="shared" ref="BT93" si="1395">IF($H93&lt;&gt;BV$5,0,IF(BV93&gt;0,IF(OR($J93=1,$J93=2,$J93=3,$J93=4,$J93=5,$J93=6,$J93=7),$E93*$I93/12*3,IF($J93=8,$E93*$I93/12*2,IF($J93=9,$E93*$I93/12*1,0)))))+IF(BQ$5&lt;&gt;$H93,0,IF(BQ93&gt;0,IF($J93=7,$E93*$I93/12*0,IF($J93=8,$E93*$I93/12*1,IF($J93=9,$E93*$I93/12*2,IF($J93&gt;=10,$E93*$I93/12*3,0))))))</f>
        <v>0</v>
      </c>
      <c r="BU93" s="88">
        <f t="shared" ref="BU93" si="1396">IF($H93&lt;&gt;BV$5,0,IF(BV93&gt;0,IF(OR($J93=1,$J93=2,$J93=3,$J93=4,$J93=5,$J93=6,$J93=7,$J93=8,$J93=9,$J93=10),$E93*$I93/12*3,IF($J93=11,$E93*$I93/12*2,IF($J93=12,$E93*$I93/12*1,0)))))+IF(BQ$5&lt;&gt;$H93,0,IF(BQ93&gt;0,IF($J93=10,$E93*$I93/12*0,IF($J93=11,$E93*$I93/12*1,IF($J93=12,$E93*$I93/12*2,0)))))</f>
        <v>0</v>
      </c>
      <c r="BV93" s="85">
        <f t="shared" ref="BV93" si="1397">IF(AND(BQ93&lt;&gt;0,BQ$5=$H93),$I93*$E93-BQ93,IF(BV$5=$H93,$I93*$E93*(12-$J93+1)/12,0))</f>
        <v>0</v>
      </c>
      <c r="BW93" s="86">
        <f t="shared" ref="BW93" si="1398">IF($H93&lt;&gt;CA$5,0,IF(CA93&gt;0,IF($J93=1,$E93*$I93/12*3,IF($J93=2,$E93*$I93/12*2,IF($J93=3,$E93*$I93/12*1,0)))))+IF(BV$5&lt;&gt;$H93,0,IF(BV93&gt;0,IF($J93=1,$E93*$I93/12*0,IF($J93=2,$E93*$I93/12*1,IF($J93=3,$E93*$I93/12*2,IF($J93&gt;=4,$E93*$I93/12*3,0))))))</f>
        <v>0</v>
      </c>
      <c r="BX93" s="87">
        <f t="shared" ref="BX93" si="1399">IF($H93&lt;&gt;CA$5,0,IF(CA93&gt;0,IF(OR($J93=1,$J93=2,$J93=3,$J93=4),$E93*$I93/12*3,IF($J93=5,$E93*$I93/12*2,IF($J93=6,$E93*$I93/12*1,0)))))+IF(BV$5&lt;&gt;$H93,0,IF(BV93&gt;0,IF($J93=4,$E93*$I93/12*0,IF($J93=5,$E93*$I93/12*1,IF($J93=6,$E93*$I93/12*2,IF($J93&gt;=7,$E93*$I93/12*3,0))))))</f>
        <v>0</v>
      </c>
      <c r="BY93" s="87">
        <f t="shared" ref="BY93" si="1400">IF($H93&lt;&gt;CA$5,0,IF(CA93&gt;0,IF(OR($J93=1,$J93=2,$J93=3,$J93=4,$J93=5,$J93=6,$J93=7),$E93*$I93/12*3,IF($J93=8,$E93*$I93/12*2,IF($J93=9,$E93*$I93/12*1,0)))))+IF(BV$5&lt;&gt;$H93,0,IF(BV93&gt;0,IF($J93=7,$E93*$I93/12*0,IF($J93=8,$E93*$I93/12*1,IF($J93=9,$E93*$I93/12*2,IF($J93&gt;=10,$E93*$I93/12*3,0))))))</f>
        <v>0</v>
      </c>
      <c r="BZ93" s="88">
        <f t="shared" ref="BZ93" si="1401">IF($H93&lt;&gt;CA$5,0,IF(CA93&gt;0,IF(OR($J93=1,$J93=2,$J93=3,$J93=4,$J93=5,$J93=6,$J93=7,$J93=8,$J93=9,$J93=10),$E93*$I93/12*3,IF($J93=11,$E93*$I93/12*2,IF($J93=12,$E93*$I93/12*1,0)))))+IF(BV$5&lt;&gt;$H93,0,IF(BV93&gt;0,IF($J93=10,$E93*$I93/12*0,IF($J93=11,$E93*$I93/12*1,IF($J93=12,$E93*$I93/12*2,0)))))</f>
        <v>0</v>
      </c>
      <c r="CA93" s="85">
        <f t="shared" ref="CA93" si="1402">IF(AND(BV93&lt;&gt;0,BV$5=$H93),$I93*$E93-BV93,IF(CA$5=$H93,$I93*$E93*(12-$J93+1)/12,0))</f>
        <v>0</v>
      </c>
      <c r="CB93" s="86">
        <f t="shared" ref="CB93" si="1403">IF($H93&lt;&gt;CF$5,0,IF(CF93&gt;0,IF($J93=1,$E93*$I93/12*3,IF($J93=2,$E93*$I93/12*2,IF($J93=3,$E93*$I93/12*1,0)))))+IF(CA$5&lt;&gt;$H93,0,IF(CA93&gt;0,IF($J93=1,$E93*$I93/12*0,IF($J93=2,$E93*$I93/12*1,IF($J93=3,$E93*$I93/12*2,IF($J93&gt;=4,$E93*$I93/12*3,0))))))</f>
        <v>0</v>
      </c>
      <c r="CC93" s="87">
        <f t="shared" ref="CC93" si="1404">IF($H93&lt;&gt;CF$5,0,IF(CF93&gt;0,IF(OR($J93=1,$J93=2,$J93=3,$J93=4),$E93*$I93/12*3,IF($J93=5,$E93*$I93/12*2,IF($J93=6,$E93*$I93/12*1,0)))))+IF(CA$5&lt;&gt;$H93,0,IF(CA93&gt;0,IF($J93=4,$E93*$I93/12*0,IF($J93=5,$E93*$I93/12*1,IF($J93=6,$E93*$I93/12*2,IF($J93&gt;=7,$E93*$I93/12*3,0))))))</f>
        <v>0</v>
      </c>
      <c r="CD93" s="87">
        <f t="shared" ref="CD93" si="1405">IF($H93&lt;&gt;CF$5,0,IF(CF93&gt;0,IF(OR($J93=1,$J93=2,$J93=3,$J93=4,$J93=5,$J93=6,$J93=7),$E93*$I93/12*3,IF($J93=8,$E93*$I93/12*2,IF($J93=9,$E93*$I93/12*1,0)))))+IF(CA$5&lt;&gt;$H93,0,IF(CA93&gt;0,IF($J93=7,$E93*$I93/12*0,IF($J93=8,$E93*$I93/12*1,IF($J93=9,$E93*$I93/12*2,IF($J93&gt;=10,$E93*$I93/12*3,0))))))</f>
        <v>0</v>
      </c>
      <c r="CE93" s="88">
        <f t="shared" ref="CE93" si="1406">IF($H93&lt;&gt;CF$5,0,IF(CF93&gt;0,IF(OR($J93=1,$J93=2,$J93=3,$J93=4,$J93=5,$J93=6,$J93=7,$J93=8,$J93=9,$J93=10),$E93*$I93/12*3,IF($J93=11,$E93*$I93/12*2,IF($J93=12,$E93*$I93/12*1,0)))))+IF(CA$5&lt;&gt;$H93,0,IF(CA93&gt;0,IF($J93=10,$E93*$I93/12*0,IF($J93=11,$E93*$I93/12*1,IF($J93=12,$E93*$I93/12*2,0)))))</f>
        <v>2.8333333333333335</v>
      </c>
      <c r="CF93" s="85">
        <f t="shared" ref="CF93" si="1407">IF(AND(CA93&lt;&gt;0,CA$5=$H93),$I93*$E93-CA93,IF(CF$5=$H93,$I93*$E93*(12-$J93+1)/12,0))</f>
        <v>2.8333333333333335</v>
      </c>
      <c r="CG93" s="86">
        <f t="shared" ref="CG93" si="1408">IF($H93&lt;&gt;CK$5,0,IF(CK93&gt;0,IF($J93=1,$E93*$I93/12*3,IF($J93=2,$E93*$I93/12*2,IF($J93=3,$E93*$I93/12*1,0)))))+IF(CF$5&lt;&gt;$H93,0,IF(CF93&gt;0,IF($J93=1,$E93*$I93/12*0,IF($J93=2,$E93*$I93/12*1,IF($J93=3,$E93*$I93/12*2,IF($J93&gt;=4,$E93*$I93/12*3,0))))))</f>
        <v>4.25</v>
      </c>
      <c r="CH93" s="87">
        <f t="shared" ref="CH93" si="1409">IF($H93&lt;&gt;CK$5,0,IF(CK93&gt;0,IF(OR($J93=1,$J93=2,$J93=3,$J93=4),$E93*$I93/12*3,IF($J93=5,$E93*$I93/12*2,IF($J93=6,$E93*$I93/12*1,0)))))+IF(CF$5&lt;&gt;$H93,0,IF(CF93&gt;0,IF($J93=4,$E93*$I93/12*0,IF($J93=5,$E93*$I93/12*1,IF($J93=6,$E93*$I93/12*2,IF($J93&gt;=7,$E93*$I93/12*3,0))))))</f>
        <v>4.25</v>
      </c>
      <c r="CI93" s="87">
        <f t="shared" ref="CI93" si="1410">IF($H93&lt;&gt;CK$5,0,IF(CK93&gt;0,IF(OR($J93=1,$J93=2,$J93=3,$J93=4,$J93=5,$J93=6,$J93=7),$E93*$I93/12*3,IF($J93=8,$E93*$I93/12*2,IF($J93=9,$E93*$I93/12*1,0)))))+IF(CF$5&lt;&gt;$H93,0,IF(CF93&gt;0,IF($J93=7,$E93*$I93/12*0,IF($J93=8,$E93*$I93/12*1,IF($J93=9,$E93*$I93/12*2,IF($J93&gt;=10,$E93*$I93/12*3,0))))))</f>
        <v>4.25</v>
      </c>
      <c r="CJ93" s="88">
        <f t="shared" ref="CJ93" si="1411">IF($H93&lt;&gt;CK$5,0,IF(CK93&gt;0,IF(OR($J93=1,$J93=2,$J93=3,$J93=4,$J93=5,$J93=6,$J93=7,$J93=8,$J93=9,$J93=10),$E93*$I93/12*3,IF($J93=11,$E93*$I93/12*2,IF($J93=12,$E93*$I93/12*1,0)))))+IF(CF$5&lt;&gt;$H93,0,IF(CF93&gt;0,IF($J93=10,$E93*$I93/12*0,IF($J93=11,$E93*$I93/12*1,IF($J93=12,$E93*$I93/12*2,0)))))</f>
        <v>1.4166666666666667</v>
      </c>
      <c r="CK93" s="85">
        <f t="shared" ref="CK93" si="1412">IF(AND(CF93&lt;&gt;0,CF$5=$H93),$I93*$E93-CF93,IF(CK$5=$H93,$I93*$E93*(12-$J93+1)/12,0))</f>
        <v>14.166666666666666</v>
      </c>
      <c r="CL93" s="86">
        <f t="shared" ref="CL93" si="1413">IF($H93&lt;&gt;CP$5,0,IF(CP93&gt;0,IF($J93=1,$E93*$I93/12*3,IF($J93=2,$E93*$I93/12*2,IF($J93=3,$E93*$I93/12*1,0)))))+IF(CK$5&lt;&gt;$H93,0,IF(CK93&gt;0,IF($J93=1,$E93*$I93/12*0,IF($J93=2,$E93*$I93/12*1,IF($J93=3,$E93*$I93/12*2,IF($J93&gt;=4,$E93*$I93/12*3,0))))))</f>
        <v>0</v>
      </c>
      <c r="CM93" s="87">
        <f t="shared" ref="CM93" si="1414">IF($H93&lt;&gt;CP$5,0,IF(CP93&gt;0,IF(OR($J93=1,$J93=2,$J93=3,$J93=4),$E93*$I93/12*3,IF($J93=5,$E93*$I93/12*2,IF($J93=6,$E93*$I93/12*1,0)))))+IF(CK$5&lt;&gt;$H93,0,IF(CK93&gt;0,IF($J93=4,$E93*$I93/12*0,IF($J93=5,$E93*$I93/12*1,IF($J93=6,$E93*$I93/12*2,IF($J93&gt;=7,$E93*$I93/12*3,0))))))</f>
        <v>0</v>
      </c>
      <c r="CN93" s="87">
        <f t="shared" ref="CN93" si="1415">IF($H93&lt;&gt;CP$5,0,IF(CP93&gt;0,IF(OR($J93=1,$J93=2,$J93=3,$J93=4,$J93=5,$J93=6,$J93=7),$E93*$I93/12*3,IF($J93=8,$E93*$I93/12*2,IF($J93=9,$E93*$I93/12*1,0)))))+IF(CK$5&lt;&gt;$H93,0,IF(CK93&gt;0,IF($J93=7,$E93*$I93/12*0,IF($J93=8,$E93*$I93/12*1,IF($J93=9,$E93*$I93/12*2,IF($J93&gt;=10,$E93*$I93/12*3,0))))))</f>
        <v>0</v>
      </c>
      <c r="CO93" s="88">
        <f t="shared" ref="CO93" si="1416">IF($H93&lt;&gt;CP$5,0,IF(CP93&gt;0,IF(OR($J93=1,$J93=2,$J93=3,$J93=4,$J93=5,$J93=6,$J93=7,$J93=8,$J93=9,$J93=10),$E93*$I93/12*3,IF($J93=11,$E93*$I93/12*2,IF($J93=12,$E93*$I93/12*1,0)))))+IF(CK$5&lt;&gt;$H93,0,IF(CK93&gt;0,IF($J93=10,$E93*$I93/12*0,IF($J93=11,$E93*$I93/12*1,IF($J93=12,$E93*$I93/12*2,0)))))</f>
        <v>0</v>
      </c>
      <c r="CP93" s="85">
        <f t="shared" ref="CP93" si="1417">IF(AND(CK93&lt;&gt;0,CK$5=$H93),$I93*$E93-CK93,IF(CP$5=$H93,$I93*$E93*(12-$J93+1)/12,0))</f>
        <v>0</v>
      </c>
      <c r="CQ93" s="86">
        <f t="shared" ref="CQ93" si="1418">IF($H93&lt;&gt;CU$5,0,IF(CU93&gt;0,IF($J93=1,$E93*$I93/12*3,IF($J93=2,$E93*$I93/12*2,IF($J93=3,$E93*$I93/12*1,0)))))+IF(CP$5&lt;&gt;$H93,0,IF(CP93&gt;0,IF($J93=1,$E93*$I93/12*0,IF($J93=2,$E93*$I93/12*1,IF($J93=3,$E93*$I93/12*2,IF($J93&gt;=4,$E93*$I93/12*3,0))))))</f>
        <v>0</v>
      </c>
      <c r="CR93" s="87">
        <f t="shared" ref="CR93" si="1419">IF($H93&lt;&gt;CU$5,0,IF(CU93&gt;0,IF(OR($J93=1,$J93=2,$J93=3,$J93=4),$E93*$I93/12*3,IF($J93=5,$E93*$I93/12*2,IF($J93=6,$E93*$I93/12*1,0)))))+IF(CP$5&lt;&gt;$H93,0,IF(CP93&gt;0,IF($J93=4,$E93*$I93/12*0,IF($J93=5,$E93*$I93/12*1,IF($J93=6,$E93*$I93/12*2,IF($J93&gt;=7,$E93*$I93/12*3,0))))))</f>
        <v>0</v>
      </c>
      <c r="CS93" s="87">
        <f t="shared" ref="CS93" si="1420">IF($H93&lt;&gt;CU$5,0,IF(CU93&gt;0,IF(OR($J93=1,$J93=2,$J93=3,$J93=4,$J93=5,$J93=6,$J93=7),$E93*$I93/12*3,IF($J93=8,$E93*$I93/12*2,IF($J93=9,$E93*$I93/12*1,0)))))+IF(CP$5&lt;&gt;$H93,0,IF(CP93&gt;0,IF($J93=7,$E93*$I93/12*0,IF($J93=8,$E93*$I93/12*1,IF($J93=9,$E93*$I93/12*2,IF($J93&gt;=10,$E93*$I93/12*3,0))))))</f>
        <v>0</v>
      </c>
      <c r="CT93" s="88">
        <f t="shared" ref="CT93" si="1421">IF($H93&lt;&gt;CU$5,0,IF(CU93&gt;0,IF(OR($J93=1,$J93=2,$J93=3,$J93=4,$J93=5,$J93=6,$J93=7,$J93=8,$J93=9,$J93=10),$E93*$I93/12*3,IF($J93=11,$E93*$I93/12*2,IF($J93=12,$E93*$I93/12*1,0)))))+IF(CP$5&lt;&gt;$H93,0,IF(CP93&gt;0,IF($J93=10,$E93*$I93/12*0,IF($J93=11,$E93*$I93/12*1,IF($J93=12,$E93*$I93/12*2,0)))))</f>
        <v>0</v>
      </c>
      <c r="CU93" s="85">
        <f t="shared" ref="CU93" si="1422">IF(AND(CP93&lt;&gt;0,CP$5=$H93),$I93*$E93-CP93,IF(CU$5=$H93,$I93*$E93*(12-$J93+1)/12,0))</f>
        <v>0</v>
      </c>
      <c r="CV93" s="86">
        <f t="shared" ref="CV93" si="1423">IF($H93&lt;&gt;CZ$5,0,IF(CZ93&gt;0,IF($J93=1,$E93*$I93/12*3,IF($J93=2,$E93*$I93/12*2,IF($J93=3,$E93*$I93/12*1,0)))))+IF(CU$5&lt;&gt;$H93,0,IF(CU93&gt;0,IF($J93=1,$E93*$I93/12*0,IF($J93=2,$E93*$I93/12*1,IF($J93=3,$E93*$I93/12*2,IF($J93&gt;=4,$E93*$I93/12*3,0))))))</f>
        <v>0</v>
      </c>
      <c r="CW93" s="87">
        <f t="shared" ref="CW93" si="1424">IF($H93&lt;&gt;CZ$5,0,IF(CZ93&gt;0,IF(OR($J93=1,$J93=2,$J93=3,$J93=4),$E93*$I93/12*3,IF($J93=5,$E93*$I93/12*2,IF($J93=6,$E93*$I93/12*1,0)))))+IF(CU$5&lt;&gt;$H93,0,IF(CU93&gt;0,IF($J93=4,$E93*$I93/12*0,IF($J93=5,$E93*$I93/12*1,IF($J93=6,$E93*$I93/12*2,IF($J93&gt;=7,$E93*$I93/12*3,0))))))</f>
        <v>0</v>
      </c>
      <c r="CX93" s="87">
        <f t="shared" ref="CX93" si="1425">IF($H93&lt;&gt;CZ$5,0,IF(CZ93&gt;0,IF(OR($J93=1,$J93=2,$J93=3,$J93=4,$J93=5,$J93=6,$J93=7),$E93*$I93/12*3,IF($J93=8,$E93*$I93/12*2,IF($J93=9,$E93*$I93/12*1,0)))))+IF(CU$5&lt;&gt;$H93,0,IF(CU93&gt;0,IF($J93=7,$E93*$I93/12*0,IF($J93=8,$E93*$I93/12*1,IF($J93=9,$E93*$I93/12*2,IF($J93&gt;=10,$E93*$I93/12*3,0))))))</f>
        <v>0</v>
      </c>
      <c r="CY93" s="88">
        <f t="shared" ref="CY93" si="1426">IF($H93&lt;&gt;CZ$5,0,IF(CZ93&gt;0,IF(OR($J93=1,$J93=2,$J93=3,$J93=4,$J93=5,$J93=6,$J93=7,$J93=8,$J93=9,$J93=10),$E93*$I93/12*3,IF($J93=11,$E93*$I93/12*2,IF($J93=12,$E93*$I93/12*1,0)))))+IF(CU$5&lt;&gt;$H93,0,IF(CU93&gt;0,IF($J93=10,$E93*$I93/12*0,IF($J93=11,$E93*$I93/12*1,IF($J93=12,$E93*$I93/12*2,0)))))</f>
        <v>0</v>
      </c>
      <c r="CZ93" s="85">
        <f t="shared" ref="CZ93" si="1427">IF(AND(CU93&lt;&gt;0,CU$5=$H93),$I93*$E93-CU93,IF(CZ$5=$H93,$I93*$E93*(12-$J93+1)/12,0))</f>
        <v>0</v>
      </c>
    </row>
    <row r="94" spans="1:104" ht="12.75" customHeight="1">
      <c r="A94" s="4"/>
      <c r="B94" s="4"/>
      <c r="C94" s="145" t="s">
        <v>934</v>
      </c>
      <c r="D94" s="146"/>
      <c r="E94" s="147">
        <f>ExGen!BB806</f>
        <v>0</v>
      </c>
      <c r="F94" s="326"/>
      <c r="G94" s="326"/>
      <c r="H94" s="171">
        <v>2018</v>
      </c>
      <c r="I94" s="172">
        <v>0.05</v>
      </c>
      <c r="J94" s="171">
        <v>7</v>
      </c>
      <c r="K94" s="80"/>
      <c r="L94" s="81">
        <f t="shared" si="1336"/>
        <v>0</v>
      </c>
      <c r="M94" s="82">
        <f t="shared" ref="M94" si="1428">IF(Q94=0,0,IF(Q94&gt;0,IF($J94=3,Q94,IF($J94=2,Q94,IF($J94=1,Q94,0)))))</f>
        <v>0</v>
      </c>
      <c r="N94" s="83">
        <f t="shared" ref="N94" si="1429">IF(Q94=0,0,IF(Q94&gt;0,IF($J94=6,Q94,IF($J94=5,Q94,IF($J94=4,Q94,0)))))</f>
        <v>0</v>
      </c>
      <c r="O94" s="83">
        <f t="shared" ref="O94" si="1430">IF(Q94=0,0,IF(Q94&gt;0,IF($J94=9,Q94,IF($J94=8,Q94,IF($J94=7,Q94,0)))))</f>
        <v>0</v>
      </c>
      <c r="P94" s="84">
        <f t="shared" ref="P94" si="1431">IF(Q94=0,0,IF(Q94&gt;0,IF($J94=12,Q94,IF($J94=11,Q94,IF($J94=10,Q94,0)))))</f>
        <v>0</v>
      </c>
      <c r="Q94" s="81">
        <f t="shared" si="1341"/>
        <v>0</v>
      </c>
      <c r="R94" s="82">
        <f t="shared" ref="R94" si="1432">IF(V94=0,0,IF(V94&gt;0,IF($J94=3,V94,IF($J94=2,V94,IF($J94=1,V94,0)))))</f>
        <v>0</v>
      </c>
      <c r="S94" s="83">
        <f t="shared" ref="S94" si="1433">IF(V94=0,0,IF(V94&gt;0,IF($J94=6,V94,IF($J94=5,V94,IF($J94=4,V94,0)))))</f>
        <v>0</v>
      </c>
      <c r="T94" s="83">
        <f t="shared" ref="T94" si="1434">IF(V94=0,0,IF(V94&gt;0,IF($J94=9,V94,IF($J94=8,V94,IF($J94=7,V94,0)))))</f>
        <v>0</v>
      </c>
      <c r="U94" s="84">
        <f t="shared" ref="U94" si="1435">IF(V94=0,0,IF(V94&gt;0,IF($J94=12,V94,IF($J94=11,V94,IF($J94=10,V94,0)))))</f>
        <v>0</v>
      </c>
      <c r="V94" s="81">
        <f t="shared" si="1346"/>
        <v>0</v>
      </c>
      <c r="W94" s="82">
        <f t="shared" ref="W94" si="1436">IF(AA94=0,0,IF(AA94&gt;0,IF($J94=3,AA94,IF($J94=2,AA94,IF($J94=1,AA94,0)))))</f>
        <v>0</v>
      </c>
      <c r="X94" s="83">
        <f t="shared" ref="X94" si="1437">IF(AA94=0,0,IF(AA94&gt;0,IF($J94=6,AA94,IF($J94=5,AA94,IF($J94=4,AA94,0)))))</f>
        <v>0</v>
      </c>
      <c r="Y94" s="83">
        <f t="shared" ref="Y94" si="1438">IF(AA94=0,0,IF(AA94&gt;0,IF($J94=9,AA94,IF($J94=8,AA94,IF($J94=7,AA94,0)))))</f>
        <v>0</v>
      </c>
      <c r="Z94" s="84">
        <f t="shared" ref="Z94" si="1439">IF(AA94=0,0,IF(AA94&gt;0,IF($J94=12,AA94,IF($J94=11,AA94,IF($J94=10,AA94,0)))))</f>
        <v>0</v>
      </c>
      <c r="AA94" s="81">
        <f t="shared" si="1351"/>
        <v>0</v>
      </c>
      <c r="AB94" s="82">
        <f t="shared" ref="AB94" si="1440">IF(AF94=0,0,IF(AF94&gt;0,IF($J94=3,AF94,IF($J94=2,AF94,IF($J94=1,AF94,0)))))</f>
        <v>0</v>
      </c>
      <c r="AC94" s="83">
        <f t="shared" ref="AC94" si="1441">IF(AF94=0,0,IF(AF94&gt;0,IF($J94=6,AF94,IF($J94=5,AF94,IF($J94=4,AF94,0)))))</f>
        <v>0</v>
      </c>
      <c r="AD94" s="83">
        <f t="shared" ref="AD94" si="1442">IF(AF94=0,0,IF(AF94&gt;0,IF($J94=9,AF94,IF($J94=8,AF94,IF($J94=7,AF94,0)))))</f>
        <v>0</v>
      </c>
      <c r="AE94" s="84">
        <f t="shared" ref="AE94" si="1443">IF(AF94=0,0,IF(AF94&gt;0,IF($J94=12,AF94,IF($J94=11,AF94,IF($J94=10,AF94,0)))))</f>
        <v>0</v>
      </c>
      <c r="AF94" s="81">
        <f t="shared" si="1356"/>
        <v>0</v>
      </c>
      <c r="AG94" s="82">
        <f t="shared" ref="AG94" si="1444">IF(AK94=0,0,IF(AK94&gt;0,IF($J94=3,AK94,IF($J94=2,AK94,IF($J94=1,AK94,0)))))</f>
        <v>0</v>
      </c>
      <c r="AH94" s="83">
        <f t="shared" ref="AH94" si="1445">IF(AK94=0,0,IF(AK94&gt;0,IF($J94=6,AK94,IF($J94=5,AK94,IF($J94=4,AK94,0)))))</f>
        <v>0</v>
      </c>
      <c r="AI94" s="83">
        <f t="shared" ref="AI94" si="1446">IF(AK94=0,0,IF(AK94&gt;0,IF($J94=9,AK94,IF($J94=8,AK94,IF($J94=7,AK94,0)))))</f>
        <v>0</v>
      </c>
      <c r="AJ94" s="84">
        <f t="shared" ref="AJ94" si="1447">IF(AK94=0,0,IF(AK94&gt;0,IF($J94=12,AK94,IF($J94=11,AK94,IF($J94=10,AK94,0)))))</f>
        <v>0</v>
      </c>
      <c r="AK94" s="81">
        <f t="shared" si="1361"/>
        <v>0</v>
      </c>
      <c r="AL94" s="82">
        <f t="shared" ref="AL94" si="1448">IF(AP94=0,0,IF(AP94&gt;0,IF($J94=3,AP94,IF($J94=2,AP94,IF($J94=1,AP94,0)))))</f>
        <v>0</v>
      </c>
      <c r="AM94" s="83">
        <f t="shared" ref="AM94" si="1449">IF(AP94=0,0,IF(AP94&gt;0,IF($J94=6,AP94,IF($J94=5,AP94,IF($J94=4,AP94,0)))))</f>
        <v>0</v>
      </c>
      <c r="AN94" s="83">
        <f t="shared" ref="AN94" si="1450">IF(AP94=0,0,IF(AP94&gt;0,IF($J94=9,AP94,IF($J94=8,AP94,IF($J94=7,AP94,0)))))</f>
        <v>0</v>
      </c>
      <c r="AO94" s="84">
        <f t="shared" ref="AO94" si="1451">IF(AP94=0,0,IF(AP94&gt;0,IF($J94=12,AP94,IF($J94=11,AP94,IF($J94=10,AP94,0)))))</f>
        <v>0</v>
      </c>
      <c r="AP94" s="81">
        <f t="shared" si="1366"/>
        <v>0</v>
      </c>
      <c r="AQ94" s="82">
        <f t="shared" ref="AQ94" si="1452">IF(AU94=0,0,IF(AU94&gt;0,IF($J94=3,AU94,IF($J94=2,AU94,IF($J94=1,AU94,0)))))</f>
        <v>0</v>
      </c>
      <c r="AR94" s="83">
        <f t="shared" ref="AR94" si="1453">IF(AU94=0,0,IF(AU94&gt;0,IF($J94=6,AU94,IF($J94=5,AU94,IF($J94=4,AU94,0)))))</f>
        <v>0</v>
      </c>
      <c r="AS94" s="83">
        <f t="shared" ref="AS94" si="1454">IF(AU94=0,0,IF(AU94&gt;0,IF($J94=9,AU94,IF($J94=8,AU94,IF($J94=7,AU94,0)))))</f>
        <v>0</v>
      </c>
      <c r="AT94" s="84">
        <f t="shared" ref="AT94" si="1455">IF(AU94=0,0,IF(AU94&gt;0,IF($J94=12,AU94,IF($J94=11,AU94,IF($J94=10,AU94,0)))))</f>
        <v>0</v>
      </c>
      <c r="AU94" s="81">
        <f t="shared" si="1371"/>
        <v>0</v>
      </c>
      <c r="AV94" s="82">
        <f t="shared" ref="AV94" si="1456">IF(AZ94=0,0,IF(AZ94&gt;0,IF($J94=3,AZ94,IF($J94=2,AZ94,IF($J94=1,AZ94,0)))))</f>
        <v>0</v>
      </c>
      <c r="AW94" s="83">
        <f t="shared" ref="AW94" si="1457">IF(AZ94=0,0,IF(AZ94&gt;0,IF($J94=6,AZ94,IF($J94=5,AZ94,IF($J94=4,AZ94,0)))))</f>
        <v>0</v>
      </c>
      <c r="AX94" s="83">
        <f t="shared" ref="AX94" si="1458">IF(AZ94=0,0,IF(AZ94&gt;0,IF($J94=9,AZ94,IF($J94=8,AZ94,IF($J94=7,AZ94,0)))))</f>
        <v>0</v>
      </c>
      <c r="AY94" s="84">
        <f t="shared" ref="AY94" si="1459">IF(AZ94=0,0,IF(AZ94&gt;0,IF($J94=12,AZ94,IF($J94=11,AZ94,IF($J94=10,AZ94,0)))))</f>
        <v>0</v>
      </c>
      <c r="AZ94" s="81">
        <f t="shared" si="1376"/>
        <v>0</v>
      </c>
      <c r="BA94" s="82">
        <f t="shared" ref="BA94:BA97" si="1460">IF(BE94=0,0,IF(BE94&gt;0,IF($J94=3,BE94,IF($J94=2,BE94,IF($J94=1,BE94,0)))))</f>
        <v>0</v>
      </c>
      <c r="BB94" s="83">
        <f t="shared" ref="BB94:BB97" si="1461">IF(BE94=0,0,IF(BE94&gt;0,IF($J94=6,BE94,IF($J94=5,BE94,IF($J94=4,BE94,0)))))</f>
        <v>0</v>
      </c>
      <c r="BC94" s="83">
        <f t="shared" ref="BC94:BC97" si="1462">IF(BE94=0,0,IF(BE94&gt;0,IF($J94=9,BE94,IF($J94=8,BE94,IF($J94=7,BE94,0)))))</f>
        <v>0</v>
      </c>
      <c r="BD94" s="84">
        <f t="shared" ref="BD94:BD97" si="1463">IF(BE94=0,0,IF(BE94&gt;0,IF($J94=12,BE94,IF($J94=11,BE94,IF($J94=10,BE94,0)))))</f>
        <v>0</v>
      </c>
      <c r="BE94" s="81">
        <f t="shared" si="1381"/>
        <v>0</v>
      </c>
      <c r="BF94" s="1884"/>
      <c r="BG94" s="2005">
        <f t="shared" ref="BG94" si="1464">IF(AND(BF94&lt;&gt;0,BF$5=$H94),$I94*$E94-BF94,IF(BG$5=$H94,$I94*$E94*(12-$J94+1)/12,0))</f>
        <v>0</v>
      </c>
      <c r="BH94" s="86">
        <f t="shared" ref="BH94" si="1465">IF($H94&lt;&gt;BL$5,0,IF(BL94&gt;0,IF($J94=1,$E94*$I94/12*3,IF($J94=2,$E94*$I94/12*2,IF($J94=3,$E94*$I94/12*1,0)))))+IF(BG$5&lt;&gt;$H94,0,IF(BG94&gt;0,IF($J94=1,$E94*$I94/12*0,IF($J94=2,$E94*$I94/12*1,IF($J94=3,$E94*$I94/12*2,IF($J94&gt;=4,$E94*$I94/12*3,0))))))</f>
        <v>0</v>
      </c>
      <c r="BI94" s="87">
        <f t="shared" ref="BI94" si="1466">IF($H94&lt;&gt;BL$5,0,IF(BL94&gt;0,IF(OR($J94=1,$J94=2,$J94=3,$J94=4),$E94*$I94/12*3,IF($J94=5,$E94*$I94/12*2,IF($J94=6,$E94*$I94/12*1,0)))))+IF(BG$5&lt;&gt;$H94,0,IF(BG94&gt;0,IF($J94=4,$E94*$I94/12*0,IF($J94=5,$E94*$I94/12*1,IF($J94=6,$E94*$I94/12*2,IF($J94&gt;=7,$E94*$I94/12*3,0))))))</f>
        <v>0</v>
      </c>
      <c r="BJ94" s="87">
        <f t="shared" ref="BJ94" si="1467">IF($H94&lt;&gt;BL$5,0,IF(BL94&gt;0,IF(OR($J94=1,$J94=2,$J94=3,$J94=4,$J94=5,$J94=6,$J94=7),$E94*$I94/12*3,IF($J94=8,$E94*$I94/12*2,IF($J94=9,$E94*$I94/12*1,0)))))+IF(BG$5&lt;&gt;$H94,0,IF(BG94&gt;0,IF($J94=7,$E94*$I94/12*0,IF($J94=8,$E94*$I94/12*1,IF($J94=9,$E94*$I94/12*2,IF($J94&gt;=10,$E94*$I94/12*3,0))))))</f>
        <v>0</v>
      </c>
      <c r="BK94" s="88">
        <f t="shared" ref="BK94" si="1468">IF($H94&lt;&gt;BL$5,0,IF(BL94&gt;0,IF(OR($J94=1,$J94=2,$J94=3,$J94=4,$J94=5,$J94=6,$J94=7,$J94=8,$J94=9,$J94=10),$E94*$I94/12*3,IF($J94=11,$E94*$I94/12*2,IF($J94=12,$E94*$I94/12*1,0)))))+IF(BG$5&lt;&gt;$H94,0,IF(BG94&gt;0,IF($J94=10,$E94*$I94/12*0,IF($J94=11,$E94*$I94/12*1,IF($J94=12,$E94*$I94/12*2,0)))))</f>
        <v>0</v>
      </c>
      <c r="BL94" s="85">
        <f t="shared" ref="BL94" si="1469">IF(AND(BG94&lt;&gt;0,BG$5=$H94),$I94*$E94-BG94,IF(BL$5=$H94,$I94*$E94*(12-$J94+1)/12,0))</f>
        <v>0</v>
      </c>
      <c r="BM94" s="86">
        <f t="shared" ref="BM94" si="1470">IF($H94&lt;&gt;BQ$5,0,IF(BQ94&gt;0,IF($J94=1,$E94*$I94/12*3,IF($J94=2,$E94*$I94/12*2,IF($J94=3,$E94*$I94/12*1,0)))))+IF(BL$5&lt;&gt;$H94,0,IF(BL94&gt;0,IF($J94=1,$E94*$I94/12*0,IF($J94=2,$E94*$I94/12*1,IF($J94=3,$E94*$I94/12*2,IF($J94&gt;=4,$E94*$I94/12*3,0))))))</f>
        <v>0</v>
      </c>
      <c r="BN94" s="87">
        <f t="shared" ref="BN94" si="1471">IF($H94&lt;&gt;BQ$5,0,IF(BQ94&gt;0,IF(OR($J94=1,$J94=2,$J94=3,$J94=4),$E94*$I94/12*3,IF($J94=5,$E94*$I94/12*2,IF($J94=6,$E94*$I94/12*1,0)))))+IF(BL$5&lt;&gt;$H94,0,IF(BL94&gt;0,IF($J94=4,$E94*$I94/12*0,IF($J94=5,$E94*$I94/12*1,IF($J94=6,$E94*$I94/12*2,IF($J94&gt;=7,$E94*$I94/12*3,0))))))</f>
        <v>0</v>
      </c>
      <c r="BO94" s="87">
        <f t="shared" ref="BO94" si="1472">IF($H94&lt;&gt;BQ$5,0,IF(BQ94&gt;0,IF(OR($J94=1,$J94=2,$J94=3,$J94=4,$J94=5,$J94=6,$J94=7),$E94*$I94/12*3,IF($J94=8,$E94*$I94/12*2,IF($J94=9,$E94*$I94/12*1,0)))))+IF(BL$5&lt;&gt;$H94,0,IF(BL94&gt;0,IF($J94=7,$E94*$I94/12*0,IF($J94=8,$E94*$I94/12*1,IF($J94=9,$E94*$I94/12*2,IF($J94&gt;=10,$E94*$I94/12*3,0))))))</f>
        <v>0</v>
      </c>
      <c r="BP94" s="88">
        <f t="shared" ref="BP94" si="1473">IF($H94&lt;&gt;BQ$5,0,IF(BQ94&gt;0,IF(OR($J94=1,$J94=2,$J94=3,$J94=4,$J94=5,$J94=6,$J94=7,$J94=8,$J94=9,$J94=10),$E94*$I94/12*3,IF($J94=11,$E94*$I94/12*2,IF($J94=12,$E94*$I94/12*1,0)))))+IF(BL$5&lt;&gt;$H94,0,IF(BL94&gt;0,IF($J94=10,$E94*$I94/12*0,IF($J94=11,$E94*$I94/12*1,IF($J94=12,$E94*$I94/12*2,0)))))</f>
        <v>0</v>
      </c>
      <c r="BQ94" s="85">
        <f t="shared" ref="BQ94" si="1474">IF(AND(BL94&lt;&gt;0,BL$5=$H94),$I94*$E94-BL94,IF(BQ$5=$H94,$I94*$E94*(12-$J94+1)/12,0))</f>
        <v>0</v>
      </c>
      <c r="BR94" s="86">
        <f t="shared" ref="BR94" si="1475">IF($H94&lt;&gt;BV$5,0,IF(BV94&gt;0,IF($J94=1,$E94*$I94/12*3,IF($J94=2,$E94*$I94/12*2,IF($J94=3,$E94*$I94/12*1,0)))))+IF(BQ$5&lt;&gt;$H94,0,IF(BQ94&gt;0,IF($J94=1,$E94*$I94/12*0,IF($J94=2,$E94*$I94/12*1,IF($J94=3,$E94*$I94/12*2,IF($J94&gt;=4,$E94*$I94/12*3,0))))))</f>
        <v>0</v>
      </c>
      <c r="BS94" s="87">
        <f t="shared" ref="BS94" si="1476">IF($H94&lt;&gt;BV$5,0,IF(BV94&gt;0,IF(OR($J94=1,$J94=2,$J94=3,$J94=4),$E94*$I94/12*3,IF($J94=5,$E94*$I94/12*2,IF($J94=6,$E94*$I94/12*1,0)))))+IF(BQ$5&lt;&gt;$H94,0,IF(BQ94&gt;0,IF($J94=4,$E94*$I94/12*0,IF($J94=5,$E94*$I94/12*1,IF($J94=6,$E94*$I94/12*2,IF($J94&gt;=7,$E94*$I94/12*3,0))))))</f>
        <v>0</v>
      </c>
      <c r="BT94" s="87">
        <f t="shared" ref="BT94" si="1477">IF($H94&lt;&gt;BV$5,0,IF(BV94&gt;0,IF(OR($J94=1,$J94=2,$J94=3,$J94=4,$J94=5,$J94=6,$J94=7),$E94*$I94/12*3,IF($J94=8,$E94*$I94/12*2,IF($J94=9,$E94*$I94/12*1,0)))))+IF(BQ$5&lt;&gt;$H94,0,IF(BQ94&gt;0,IF($J94=7,$E94*$I94/12*0,IF($J94=8,$E94*$I94/12*1,IF($J94=9,$E94*$I94/12*2,IF($J94&gt;=10,$E94*$I94/12*3,0))))))</f>
        <v>0</v>
      </c>
      <c r="BU94" s="88">
        <f t="shared" ref="BU94" si="1478">IF($H94&lt;&gt;BV$5,0,IF(BV94&gt;0,IF(OR($J94=1,$J94=2,$J94=3,$J94=4,$J94=5,$J94=6,$J94=7,$J94=8,$J94=9,$J94=10),$E94*$I94/12*3,IF($J94=11,$E94*$I94/12*2,IF($J94=12,$E94*$I94/12*1,0)))))+IF(BQ$5&lt;&gt;$H94,0,IF(BQ94&gt;0,IF($J94=10,$E94*$I94/12*0,IF($J94=11,$E94*$I94/12*1,IF($J94=12,$E94*$I94/12*2,0)))))</f>
        <v>0</v>
      </c>
      <c r="BV94" s="85">
        <f t="shared" ref="BV94" si="1479">IF(AND(BQ94&lt;&gt;0,BQ$5=$H94),$I94*$E94-BQ94,IF(BV$5=$H94,$I94*$E94*(12-$J94+1)/12,0))</f>
        <v>0</v>
      </c>
      <c r="BW94" s="86">
        <f t="shared" ref="BW94" si="1480">IF($H94&lt;&gt;CA$5,0,IF(CA94&gt;0,IF($J94=1,$E94*$I94/12*3,IF($J94=2,$E94*$I94/12*2,IF($J94=3,$E94*$I94/12*1,0)))))+IF(BV$5&lt;&gt;$H94,0,IF(BV94&gt;0,IF($J94=1,$E94*$I94/12*0,IF($J94=2,$E94*$I94/12*1,IF($J94=3,$E94*$I94/12*2,IF($J94&gt;=4,$E94*$I94/12*3,0))))))</f>
        <v>0</v>
      </c>
      <c r="BX94" s="87">
        <f t="shared" ref="BX94" si="1481">IF($H94&lt;&gt;CA$5,0,IF(CA94&gt;0,IF(OR($J94=1,$J94=2,$J94=3,$J94=4),$E94*$I94/12*3,IF($J94=5,$E94*$I94/12*2,IF($J94=6,$E94*$I94/12*1,0)))))+IF(BV$5&lt;&gt;$H94,0,IF(BV94&gt;0,IF($J94=4,$E94*$I94/12*0,IF($J94=5,$E94*$I94/12*1,IF($J94=6,$E94*$I94/12*2,IF($J94&gt;=7,$E94*$I94/12*3,0))))))</f>
        <v>0</v>
      </c>
      <c r="BY94" s="87">
        <f t="shared" ref="BY94" si="1482">IF($H94&lt;&gt;CA$5,0,IF(CA94&gt;0,IF(OR($J94=1,$J94=2,$J94=3,$J94=4,$J94=5,$J94=6,$J94=7),$E94*$I94/12*3,IF($J94=8,$E94*$I94/12*2,IF($J94=9,$E94*$I94/12*1,0)))))+IF(BV$5&lt;&gt;$H94,0,IF(BV94&gt;0,IF($J94=7,$E94*$I94/12*0,IF($J94=8,$E94*$I94/12*1,IF($J94=9,$E94*$I94/12*2,IF($J94&gt;=10,$E94*$I94/12*3,0))))))</f>
        <v>0</v>
      </c>
      <c r="BZ94" s="88">
        <f t="shared" ref="BZ94" si="1483">IF($H94&lt;&gt;CA$5,0,IF(CA94&gt;0,IF(OR($J94=1,$J94=2,$J94=3,$J94=4,$J94=5,$J94=6,$J94=7,$J94=8,$J94=9,$J94=10),$E94*$I94/12*3,IF($J94=11,$E94*$I94/12*2,IF($J94=12,$E94*$I94/12*1,0)))))+IF(BV$5&lt;&gt;$H94,0,IF(BV94&gt;0,IF($J94=10,$E94*$I94/12*0,IF($J94=11,$E94*$I94/12*1,IF($J94=12,$E94*$I94/12*2,0)))))</f>
        <v>0</v>
      </c>
      <c r="CA94" s="85">
        <f t="shared" ref="CA94" si="1484">IF(AND(BV94&lt;&gt;0,BV$5=$H94),$I94*$E94-BV94,IF(CA$5=$H94,$I94*$E94*(12-$J94+1)/12,0))</f>
        <v>0</v>
      </c>
      <c r="CB94" s="86">
        <f t="shared" ref="CB94" si="1485">IF($H94&lt;&gt;CF$5,0,IF(CF94&gt;0,IF($J94=1,$E94*$I94/12*3,IF($J94=2,$E94*$I94/12*2,IF($J94=3,$E94*$I94/12*1,0)))))+IF(CA$5&lt;&gt;$H94,0,IF(CA94&gt;0,IF($J94=1,$E94*$I94/12*0,IF($J94=2,$E94*$I94/12*1,IF($J94=3,$E94*$I94/12*2,IF($J94&gt;=4,$E94*$I94/12*3,0))))))</f>
        <v>0</v>
      </c>
      <c r="CC94" s="87">
        <f t="shared" ref="CC94" si="1486">IF($H94&lt;&gt;CF$5,0,IF(CF94&gt;0,IF(OR($J94=1,$J94=2,$J94=3,$J94=4),$E94*$I94/12*3,IF($J94=5,$E94*$I94/12*2,IF($J94=6,$E94*$I94/12*1,0)))))+IF(CA$5&lt;&gt;$H94,0,IF(CA94&gt;0,IF($J94=4,$E94*$I94/12*0,IF($J94=5,$E94*$I94/12*1,IF($J94=6,$E94*$I94/12*2,IF($J94&gt;=7,$E94*$I94/12*3,0))))))</f>
        <v>0</v>
      </c>
      <c r="CD94" s="87">
        <f t="shared" ref="CD94" si="1487">IF($H94&lt;&gt;CF$5,0,IF(CF94&gt;0,IF(OR($J94=1,$J94=2,$J94=3,$J94=4,$J94=5,$J94=6,$J94=7),$E94*$I94/12*3,IF($J94=8,$E94*$I94/12*2,IF($J94=9,$E94*$I94/12*1,0)))))+IF(CA$5&lt;&gt;$H94,0,IF(CA94&gt;0,IF($J94=7,$E94*$I94/12*0,IF($J94=8,$E94*$I94/12*1,IF($J94=9,$E94*$I94/12*2,IF($J94&gt;=10,$E94*$I94/12*3,0))))))</f>
        <v>0</v>
      </c>
      <c r="CE94" s="88">
        <f t="shared" ref="CE94" si="1488">IF($H94&lt;&gt;CF$5,0,IF(CF94&gt;0,IF(OR($J94=1,$J94=2,$J94=3,$J94=4,$J94=5,$J94=6,$J94=7,$J94=8,$J94=9,$J94=10),$E94*$I94/12*3,IF($J94=11,$E94*$I94/12*2,IF($J94=12,$E94*$I94/12*1,0)))))+IF(CA$5&lt;&gt;$H94,0,IF(CA94&gt;0,IF($J94=10,$E94*$I94/12*0,IF($J94=11,$E94*$I94/12*1,IF($J94=12,$E94*$I94/12*2,0)))))</f>
        <v>0</v>
      </c>
      <c r="CF94" s="85">
        <f t="shared" ref="CF94" si="1489">IF(AND(CA94&lt;&gt;0,CA$5=$H94),$I94*$E94-CA94,IF(CF$5=$H94,$I94*$E94*(12-$J94+1)/12,0))</f>
        <v>0</v>
      </c>
      <c r="CG94" s="86">
        <f t="shared" ref="CG94" si="1490">IF($H94&lt;&gt;CK$5,0,IF(CK94&gt;0,IF($J94=1,$E94*$I94/12*3,IF($J94=2,$E94*$I94/12*2,IF($J94=3,$E94*$I94/12*1,0)))))+IF(CF$5&lt;&gt;$H94,0,IF(CF94&gt;0,IF($J94=1,$E94*$I94/12*0,IF($J94=2,$E94*$I94/12*1,IF($J94=3,$E94*$I94/12*2,IF($J94&gt;=4,$E94*$I94/12*3,0))))))</f>
        <v>0</v>
      </c>
      <c r="CH94" s="87">
        <f t="shared" ref="CH94" si="1491">IF($H94&lt;&gt;CK$5,0,IF(CK94&gt;0,IF(OR($J94=1,$J94=2,$J94=3,$J94=4),$E94*$I94/12*3,IF($J94=5,$E94*$I94/12*2,IF($J94=6,$E94*$I94/12*1,0)))))+IF(CF$5&lt;&gt;$H94,0,IF(CF94&gt;0,IF($J94=4,$E94*$I94/12*0,IF($J94=5,$E94*$I94/12*1,IF($J94=6,$E94*$I94/12*2,IF($J94&gt;=7,$E94*$I94/12*3,0))))))</f>
        <v>0</v>
      </c>
      <c r="CI94" s="87">
        <f t="shared" ref="CI94" si="1492">IF($H94&lt;&gt;CK$5,0,IF(CK94&gt;0,IF(OR($J94=1,$J94=2,$J94=3,$J94=4,$J94=5,$J94=6,$J94=7),$E94*$I94/12*3,IF($J94=8,$E94*$I94/12*2,IF($J94=9,$E94*$I94/12*1,0)))))+IF(CF$5&lt;&gt;$H94,0,IF(CF94&gt;0,IF($J94=7,$E94*$I94/12*0,IF($J94=8,$E94*$I94/12*1,IF($J94=9,$E94*$I94/12*2,IF($J94&gt;=10,$E94*$I94/12*3,0))))))</f>
        <v>0</v>
      </c>
      <c r="CJ94" s="88">
        <f t="shared" ref="CJ94" si="1493">IF($H94&lt;&gt;CK$5,0,IF(CK94&gt;0,IF(OR($J94=1,$J94=2,$J94=3,$J94=4,$J94=5,$J94=6,$J94=7,$J94=8,$J94=9,$J94=10),$E94*$I94/12*3,IF($J94=11,$E94*$I94/12*2,IF($J94=12,$E94*$I94/12*1,0)))))+IF(CF$5&lt;&gt;$H94,0,IF(CF94&gt;0,IF($J94=10,$E94*$I94/12*0,IF($J94=11,$E94*$I94/12*1,IF($J94=12,$E94*$I94/12*2,0)))))</f>
        <v>0</v>
      </c>
      <c r="CK94" s="85">
        <f t="shared" ref="CK94" si="1494">IF(AND(CF94&lt;&gt;0,CF$5=$H94),$I94*$E94-CF94,IF(CK$5=$H94,$I94*$E94*(12-$J94+1)/12,0))</f>
        <v>0</v>
      </c>
      <c r="CL94" s="86">
        <f t="shared" ref="CL94" si="1495">IF($H94&lt;&gt;CP$5,0,IF(CP94&gt;0,IF($J94=1,$E94*$I94/12*3,IF($J94=2,$E94*$I94/12*2,IF($J94=3,$E94*$I94/12*1,0)))))+IF(CK$5&lt;&gt;$H94,0,IF(CK94&gt;0,IF($J94=1,$E94*$I94/12*0,IF($J94=2,$E94*$I94/12*1,IF($J94=3,$E94*$I94/12*2,IF($J94&gt;=4,$E94*$I94/12*3,0))))))</f>
        <v>0</v>
      </c>
      <c r="CM94" s="87">
        <f t="shared" ref="CM94" si="1496">IF($H94&lt;&gt;CP$5,0,IF(CP94&gt;0,IF(OR($J94=1,$J94=2,$J94=3,$J94=4),$E94*$I94/12*3,IF($J94=5,$E94*$I94/12*2,IF($J94=6,$E94*$I94/12*1,0)))))+IF(CK$5&lt;&gt;$H94,0,IF(CK94&gt;0,IF($J94=4,$E94*$I94/12*0,IF($J94=5,$E94*$I94/12*1,IF($J94=6,$E94*$I94/12*2,IF($J94&gt;=7,$E94*$I94/12*3,0))))))</f>
        <v>0</v>
      </c>
      <c r="CN94" s="87">
        <f t="shared" ref="CN94" si="1497">IF($H94&lt;&gt;CP$5,0,IF(CP94&gt;0,IF(OR($J94=1,$J94=2,$J94=3,$J94=4,$J94=5,$J94=6,$J94=7),$E94*$I94/12*3,IF($J94=8,$E94*$I94/12*2,IF($J94=9,$E94*$I94/12*1,0)))))+IF(CK$5&lt;&gt;$H94,0,IF(CK94&gt;0,IF($J94=7,$E94*$I94/12*0,IF($J94=8,$E94*$I94/12*1,IF($J94=9,$E94*$I94/12*2,IF($J94&gt;=10,$E94*$I94/12*3,0))))))</f>
        <v>0</v>
      </c>
      <c r="CO94" s="88">
        <f t="shared" ref="CO94" si="1498">IF($H94&lt;&gt;CP$5,0,IF(CP94&gt;0,IF(OR($J94=1,$J94=2,$J94=3,$J94=4,$J94=5,$J94=6,$J94=7,$J94=8,$J94=9,$J94=10),$E94*$I94/12*3,IF($J94=11,$E94*$I94/12*2,IF($J94=12,$E94*$I94/12*1,0)))))+IF(CK$5&lt;&gt;$H94,0,IF(CK94&gt;0,IF($J94=10,$E94*$I94/12*0,IF($J94=11,$E94*$I94/12*1,IF($J94=12,$E94*$I94/12*2,0)))))</f>
        <v>0</v>
      </c>
      <c r="CP94" s="85">
        <f t="shared" ref="CP94" si="1499">IF(AND(CK94&lt;&gt;0,CK$5=$H94),$I94*$E94-CK94,IF(CP$5=$H94,$I94*$E94*(12-$J94+1)/12,0))</f>
        <v>0</v>
      </c>
      <c r="CQ94" s="86">
        <f t="shared" ref="CQ94" si="1500">IF($H94&lt;&gt;CU$5,0,IF(CU94&gt;0,IF($J94=1,$E94*$I94/12*3,IF($J94=2,$E94*$I94/12*2,IF($J94=3,$E94*$I94/12*1,0)))))+IF(CP$5&lt;&gt;$H94,0,IF(CP94&gt;0,IF($J94=1,$E94*$I94/12*0,IF($J94=2,$E94*$I94/12*1,IF($J94=3,$E94*$I94/12*2,IF($J94&gt;=4,$E94*$I94/12*3,0))))))</f>
        <v>0</v>
      </c>
      <c r="CR94" s="87">
        <f t="shared" ref="CR94" si="1501">IF($H94&lt;&gt;CU$5,0,IF(CU94&gt;0,IF(OR($J94=1,$J94=2,$J94=3,$J94=4),$E94*$I94/12*3,IF($J94=5,$E94*$I94/12*2,IF($J94=6,$E94*$I94/12*1,0)))))+IF(CP$5&lt;&gt;$H94,0,IF(CP94&gt;0,IF($J94=4,$E94*$I94/12*0,IF($J94=5,$E94*$I94/12*1,IF($J94=6,$E94*$I94/12*2,IF($J94&gt;=7,$E94*$I94/12*3,0))))))</f>
        <v>0</v>
      </c>
      <c r="CS94" s="87">
        <f t="shared" ref="CS94" si="1502">IF($H94&lt;&gt;CU$5,0,IF(CU94&gt;0,IF(OR($J94=1,$J94=2,$J94=3,$J94=4,$J94=5,$J94=6,$J94=7),$E94*$I94/12*3,IF($J94=8,$E94*$I94/12*2,IF($J94=9,$E94*$I94/12*1,0)))))+IF(CP$5&lt;&gt;$H94,0,IF(CP94&gt;0,IF($J94=7,$E94*$I94/12*0,IF($J94=8,$E94*$I94/12*1,IF($J94=9,$E94*$I94/12*2,IF($J94&gt;=10,$E94*$I94/12*3,0))))))</f>
        <v>0</v>
      </c>
      <c r="CT94" s="88">
        <f t="shared" ref="CT94" si="1503">IF($H94&lt;&gt;CU$5,0,IF(CU94&gt;0,IF(OR($J94=1,$J94=2,$J94=3,$J94=4,$J94=5,$J94=6,$J94=7,$J94=8,$J94=9,$J94=10),$E94*$I94/12*3,IF($J94=11,$E94*$I94/12*2,IF($J94=12,$E94*$I94/12*1,0)))))+IF(CP$5&lt;&gt;$H94,0,IF(CP94&gt;0,IF($J94=10,$E94*$I94/12*0,IF($J94=11,$E94*$I94/12*1,IF($J94=12,$E94*$I94/12*2,0)))))</f>
        <v>0</v>
      </c>
      <c r="CU94" s="85">
        <f t="shared" ref="CU94" si="1504">IF(AND(CP94&lt;&gt;0,CP$5=$H94),$I94*$E94-CP94,IF(CU$5=$H94,$I94*$E94*(12-$J94+1)/12,0))</f>
        <v>0</v>
      </c>
      <c r="CV94" s="86">
        <f t="shared" ref="CV94:CV97" si="1505">IF($H94&lt;&gt;CZ$5,0,IF(CZ94&gt;0,IF($J94=1,$E94*$I94/12*3,IF($J94=2,$E94*$I94/12*2,IF($J94=3,$E94*$I94/12*1,0)))))+IF(CU$5&lt;&gt;$H94,0,IF(CU94&gt;0,IF($J94=1,$E94*$I94/12*0,IF($J94=2,$E94*$I94/12*1,IF($J94=3,$E94*$I94/12*2,IF($J94&gt;=4,$E94*$I94/12*3,0))))))</f>
        <v>0</v>
      </c>
      <c r="CW94" s="87">
        <f t="shared" ref="CW94:CW97" si="1506">IF($H94&lt;&gt;CZ$5,0,IF(CZ94&gt;0,IF(OR($J94=1,$J94=2,$J94=3,$J94=4),$E94*$I94/12*3,IF($J94=5,$E94*$I94/12*2,IF($J94=6,$E94*$I94/12*1,0)))))+IF(CU$5&lt;&gt;$H94,0,IF(CU94&gt;0,IF($J94=4,$E94*$I94/12*0,IF($J94=5,$E94*$I94/12*1,IF($J94=6,$E94*$I94/12*2,IF($J94&gt;=7,$E94*$I94/12*3,0))))))</f>
        <v>0</v>
      </c>
      <c r="CX94" s="87">
        <f t="shared" ref="CX94:CX97" si="1507">IF($H94&lt;&gt;CZ$5,0,IF(CZ94&gt;0,IF(OR($J94=1,$J94=2,$J94=3,$J94=4,$J94=5,$J94=6,$J94=7),$E94*$I94/12*3,IF($J94=8,$E94*$I94/12*2,IF($J94=9,$E94*$I94/12*1,0)))))+IF(CU$5&lt;&gt;$H94,0,IF(CU94&gt;0,IF($J94=7,$E94*$I94/12*0,IF($J94=8,$E94*$I94/12*1,IF($J94=9,$E94*$I94/12*2,IF($J94&gt;=10,$E94*$I94/12*3,0))))))</f>
        <v>0</v>
      </c>
      <c r="CY94" s="88">
        <f t="shared" ref="CY94:CY97" si="1508">IF($H94&lt;&gt;CZ$5,0,IF(CZ94&gt;0,IF(OR($J94=1,$J94=2,$J94=3,$J94=4,$J94=5,$J94=6,$J94=7,$J94=8,$J94=9,$J94=10),$E94*$I94/12*3,IF($J94=11,$E94*$I94/12*2,IF($J94=12,$E94*$I94/12*1,0)))))+IF(CU$5&lt;&gt;$H94,0,IF(CU94&gt;0,IF($J94=10,$E94*$I94/12*0,IF($J94=11,$E94*$I94/12*1,IF($J94=12,$E94*$I94/12*2,0)))))</f>
        <v>0</v>
      </c>
      <c r="CZ94" s="85">
        <f t="shared" ref="CZ94:CZ97" si="1509">IF(AND(CU94&lt;&gt;0,CU$5=$H94),$I94*$E94-CU94,IF(CZ$5=$H94,$I94*$E94*(12-$J94+1)/12,0))</f>
        <v>0</v>
      </c>
    </row>
    <row r="95" spans="1:104" ht="12.75" customHeight="1">
      <c r="A95" s="4"/>
      <c r="B95" s="4"/>
      <c r="C95" s="1999" t="s">
        <v>1371</v>
      </c>
      <c r="D95" s="146"/>
      <c r="E95" s="147">
        <f>ExGen!BG806</f>
        <v>0</v>
      </c>
      <c r="F95" s="326"/>
      <c r="G95" s="326"/>
      <c r="H95" s="171">
        <v>2019</v>
      </c>
      <c r="I95" s="172">
        <v>0.05</v>
      </c>
      <c r="J95" s="171">
        <v>7</v>
      </c>
      <c r="K95" s="80"/>
      <c r="L95" s="81">
        <f t="shared" si="1336"/>
        <v>0</v>
      </c>
      <c r="M95" s="82">
        <f t="shared" ref="M95:M96" si="1510">IF(Q95=0,0,IF(Q95&gt;0,IF($J95=3,Q95,IF($J95=2,Q95,IF($J95=1,Q95,0)))))</f>
        <v>0</v>
      </c>
      <c r="N95" s="83">
        <f t="shared" ref="N95:N96" si="1511">IF(Q95=0,0,IF(Q95&gt;0,IF($J95=6,Q95,IF($J95=5,Q95,IF($J95=4,Q95,0)))))</f>
        <v>0</v>
      </c>
      <c r="O95" s="83">
        <f t="shared" ref="O95:O96" si="1512">IF(Q95=0,0,IF(Q95&gt;0,IF($J95=9,Q95,IF($J95=8,Q95,IF($J95=7,Q95,0)))))</f>
        <v>0</v>
      </c>
      <c r="P95" s="84">
        <f t="shared" ref="P95:P96" si="1513">IF(Q95=0,0,IF(Q95&gt;0,IF($J95=12,Q95,IF($J95=11,Q95,IF($J95=10,Q95,0)))))</f>
        <v>0</v>
      </c>
      <c r="Q95" s="81">
        <f t="shared" si="1341"/>
        <v>0</v>
      </c>
      <c r="R95" s="82">
        <f t="shared" ref="R95:R96" si="1514">IF(V95=0,0,IF(V95&gt;0,IF($J95=3,V95,IF($J95=2,V95,IF($J95=1,V95,0)))))</f>
        <v>0</v>
      </c>
      <c r="S95" s="83">
        <f t="shared" ref="S95:S96" si="1515">IF(V95=0,0,IF(V95&gt;0,IF($J95=6,V95,IF($J95=5,V95,IF($J95=4,V95,0)))))</f>
        <v>0</v>
      </c>
      <c r="T95" s="83">
        <f t="shared" ref="T95:T96" si="1516">IF(V95=0,0,IF(V95&gt;0,IF($J95=9,V95,IF($J95=8,V95,IF($J95=7,V95,0)))))</f>
        <v>0</v>
      </c>
      <c r="U95" s="84">
        <f t="shared" ref="U95:U96" si="1517">IF(V95=0,0,IF(V95&gt;0,IF($J95=12,V95,IF($J95=11,V95,IF($J95=10,V95,0)))))</f>
        <v>0</v>
      </c>
      <c r="V95" s="81">
        <f t="shared" si="1346"/>
        <v>0</v>
      </c>
      <c r="W95" s="82">
        <f t="shared" ref="W95:W96" si="1518">IF(AA95=0,0,IF(AA95&gt;0,IF($J95=3,AA95,IF($J95=2,AA95,IF($J95=1,AA95,0)))))</f>
        <v>0</v>
      </c>
      <c r="X95" s="83">
        <f t="shared" ref="X95:X96" si="1519">IF(AA95=0,0,IF(AA95&gt;0,IF($J95=6,AA95,IF($J95=5,AA95,IF($J95=4,AA95,0)))))</f>
        <v>0</v>
      </c>
      <c r="Y95" s="83">
        <f t="shared" ref="Y95:Y96" si="1520">IF(AA95=0,0,IF(AA95&gt;0,IF($J95=9,AA95,IF($J95=8,AA95,IF($J95=7,AA95,0)))))</f>
        <v>0</v>
      </c>
      <c r="Z95" s="84">
        <f t="shared" ref="Z95:Z96" si="1521">IF(AA95=0,0,IF(AA95&gt;0,IF($J95=12,AA95,IF($J95=11,AA95,IF($J95=10,AA95,0)))))</f>
        <v>0</v>
      </c>
      <c r="AA95" s="81">
        <f t="shared" si="1351"/>
        <v>0</v>
      </c>
      <c r="AB95" s="82">
        <f t="shared" ref="AB95:AB96" si="1522">IF(AF95=0,0,IF(AF95&gt;0,IF($J95=3,AF95,IF($J95=2,AF95,IF($J95=1,AF95,0)))))</f>
        <v>0</v>
      </c>
      <c r="AC95" s="83">
        <f t="shared" ref="AC95:AC96" si="1523">IF(AF95=0,0,IF(AF95&gt;0,IF($J95=6,AF95,IF($J95=5,AF95,IF($J95=4,AF95,0)))))</f>
        <v>0</v>
      </c>
      <c r="AD95" s="83">
        <f t="shared" ref="AD95:AD96" si="1524">IF(AF95=0,0,IF(AF95&gt;0,IF($J95=9,AF95,IF($J95=8,AF95,IF($J95=7,AF95,0)))))</f>
        <v>0</v>
      </c>
      <c r="AE95" s="84">
        <f t="shared" ref="AE95:AE96" si="1525">IF(AF95=0,0,IF(AF95&gt;0,IF($J95=12,AF95,IF($J95=11,AF95,IF($J95=10,AF95,0)))))</f>
        <v>0</v>
      </c>
      <c r="AF95" s="81">
        <f t="shared" si="1356"/>
        <v>0</v>
      </c>
      <c r="AG95" s="82">
        <f t="shared" ref="AG95:AG96" si="1526">IF(AK95=0,0,IF(AK95&gt;0,IF($J95=3,AK95,IF($J95=2,AK95,IF($J95=1,AK95,0)))))</f>
        <v>0</v>
      </c>
      <c r="AH95" s="83">
        <f t="shared" ref="AH95:AH96" si="1527">IF(AK95=0,0,IF(AK95&gt;0,IF($J95=6,AK95,IF($J95=5,AK95,IF($J95=4,AK95,0)))))</f>
        <v>0</v>
      </c>
      <c r="AI95" s="83">
        <f t="shared" ref="AI95:AI96" si="1528">IF(AK95=0,0,IF(AK95&gt;0,IF($J95=9,AK95,IF($J95=8,AK95,IF($J95=7,AK95,0)))))</f>
        <v>0</v>
      </c>
      <c r="AJ95" s="84">
        <f t="shared" ref="AJ95:AJ96" si="1529">IF(AK95=0,0,IF(AK95&gt;0,IF($J95=12,AK95,IF($J95=11,AK95,IF($J95=10,AK95,0)))))</f>
        <v>0</v>
      </c>
      <c r="AK95" s="81">
        <f t="shared" si="1361"/>
        <v>0</v>
      </c>
      <c r="AL95" s="82">
        <f t="shared" ref="AL95:AL96" si="1530">IF(AP95=0,0,IF(AP95&gt;0,IF($J95=3,AP95,IF($J95=2,AP95,IF($J95=1,AP95,0)))))</f>
        <v>0</v>
      </c>
      <c r="AM95" s="83">
        <f t="shared" ref="AM95:AM96" si="1531">IF(AP95=0,0,IF(AP95&gt;0,IF($J95=6,AP95,IF($J95=5,AP95,IF($J95=4,AP95,0)))))</f>
        <v>0</v>
      </c>
      <c r="AN95" s="83">
        <f t="shared" ref="AN95:AN96" si="1532">IF(AP95=0,0,IF(AP95&gt;0,IF($J95=9,AP95,IF($J95=8,AP95,IF($J95=7,AP95,0)))))</f>
        <v>0</v>
      </c>
      <c r="AO95" s="84">
        <f t="shared" ref="AO95:AO96" si="1533">IF(AP95=0,0,IF(AP95&gt;0,IF($J95=12,AP95,IF($J95=11,AP95,IF($J95=10,AP95,0)))))</f>
        <v>0</v>
      </c>
      <c r="AP95" s="81">
        <f t="shared" si="1366"/>
        <v>0</v>
      </c>
      <c r="AQ95" s="82">
        <f t="shared" ref="AQ95:AQ96" si="1534">IF(AU95=0,0,IF(AU95&gt;0,IF($J95=3,AU95,IF($J95=2,AU95,IF($J95=1,AU95,0)))))</f>
        <v>0</v>
      </c>
      <c r="AR95" s="83">
        <f t="shared" ref="AR95:AR96" si="1535">IF(AU95=0,0,IF(AU95&gt;0,IF($J95=6,AU95,IF($J95=5,AU95,IF($J95=4,AU95,0)))))</f>
        <v>0</v>
      </c>
      <c r="AS95" s="83">
        <f t="shared" ref="AS95:AS96" si="1536">IF(AU95=0,0,IF(AU95&gt;0,IF($J95=9,AU95,IF($J95=8,AU95,IF($J95=7,AU95,0)))))</f>
        <v>0</v>
      </c>
      <c r="AT95" s="84">
        <f t="shared" ref="AT95:AT96" si="1537">IF(AU95=0,0,IF(AU95&gt;0,IF($J95=12,AU95,IF($J95=11,AU95,IF($J95=10,AU95,0)))))</f>
        <v>0</v>
      </c>
      <c r="AU95" s="81">
        <f t="shared" si="1371"/>
        <v>0</v>
      </c>
      <c r="AV95" s="82">
        <f t="shared" ref="AV95:AV96" si="1538">IF(AZ95=0,0,IF(AZ95&gt;0,IF($J95=3,AZ95,IF($J95=2,AZ95,IF($J95=1,AZ95,0)))))</f>
        <v>0</v>
      </c>
      <c r="AW95" s="83">
        <f t="shared" ref="AW95:AW96" si="1539">IF(AZ95=0,0,IF(AZ95&gt;0,IF($J95=6,AZ95,IF($J95=5,AZ95,IF($J95=4,AZ95,0)))))</f>
        <v>0</v>
      </c>
      <c r="AX95" s="83">
        <f t="shared" ref="AX95:AX96" si="1540">IF(AZ95=0,0,IF(AZ95&gt;0,IF($J95=9,AZ95,IF($J95=8,AZ95,IF($J95=7,AZ95,0)))))</f>
        <v>0</v>
      </c>
      <c r="AY95" s="84">
        <f t="shared" ref="AY95:AY96" si="1541">IF(AZ95=0,0,IF(AZ95&gt;0,IF($J95=12,AZ95,IF($J95=11,AZ95,IF($J95=10,AZ95,0)))))</f>
        <v>0</v>
      </c>
      <c r="AZ95" s="81">
        <f t="shared" si="1376"/>
        <v>0</v>
      </c>
      <c r="BA95" s="82">
        <f t="shared" si="1460"/>
        <v>0</v>
      </c>
      <c r="BB95" s="83">
        <f t="shared" si="1461"/>
        <v>0</v>
      </c>
      <c r="BC95" s="83">
        <f t="shared" si="1462"/>
        <v>0</v>
      </c>
      <c r="BD95" s="84">
        <f t="shared" si="1463"/>
        <v>0</v>
      </c>
      <c r="BE95" s="81">
        <f t="shared" si="1381"/>
        <v>0</v>
      </c>
      <c r="BF95" s="1884"/>
      <c r="BG95" s="2005">
        <f t="shared" ref="BG95:BG96" si="1542">IF(AND(BF95&lt;&gt;0,BF$5=$H95),$I95*$E95-BF95,IF(BG$5=$H95,$I95*$E95*(12-$J95+1)/12,0))</f>
        <v>0</v>
      </c>
      <c r="BH95" s="86">
        <f t="shared" ref="BH95:BH96" si="1543">IF($H95&lt;&gt;BL$5,0,IF(BL95&gt;0,IF($J95=1,$E95*$I95/12*3,IF($J95=2,$E95*$I95/12*2,IF($J95=3,$E95*$I95/12*1,0)))))+IF(BG$5&lt;&gt;$H95,0,IF(BG95&gt;0,IF($J95=1,$E95*$I95/12*0,IF($J95=2,$E95*$I95/12*1,IF($J95=3,$E95*$I95/12*2,IF($J95&gt;=4,$E95*$I95/12*3,0))))))</f>
        <v>0</v>
      </c>
      <c r="BI95" s="87">
        <f t="shared" ref="BI95:BI96" si="1544">IF($H95&lt;&gt;BL$5,0,IF(BL95&gt;0,IF(OR($J95=1,$J95=2,$J95=3,$J95=4),$E95*$I95/12*3,IF($J95=5,$E95*$I95/12*2,IF($J95=6,$E95*$I95/12*1,0)))))+IF(BG$5&lt;&gt;$H95,0,IF(BG95&gt;0,IF($J95=4,$E95*$I95/12*0,IF($J95=5,$E95*$I95/12*1,IF($J95=6,$E95*$I95/12*2,IF($J95&gt;=7,$E95*$I95/12*3,0))))))</f>
        <v>0</v>
      </c>
      <c r="BJ95" s="87">
        <f t="shared" ref="BJ95:BJ96" si="1545">IF($H95&lt;&gt;BL$5,0,IF(BL95&gt;0,IF(OR($J95=1,$J95=2,$J95=3,$J95=4,$J95=5,$J95=6,$J95=7),$E95*$I95/12*3,IF($J95=8,$E95*$I95/12*2,IF($J95=9,$E95*$I95/12*1,0)))))+IF(BG$5&lt;&gt;$H95,0,IF(BG95&gt;0,IF($J95=7,$E95*$I95/12*0,IF($J95=8,$E95*$I95/12*1,IF($J95=9,$E95*$I95/12*2,IF($J95&gt;=10,$E95*$I95/12*3,0))))))</f>
        <v>0</v>
      </c>
      <c r="BK95" s="88">
        <f t="shared" ref="BK95:BK96" si="1546">IF($H95&lt;&gt;BL$5,0,IF(BL95&gt;0,IF(OR($J95=1,$J95=2,$J95=3,$J95=4,$J95=5,$J95=6,$J95=7,$J95=8,$J95=9,$J95=10),$E95*$I95/12*3,IF($J95=11,$E95*$I95/12*2,IF($J95=12,$E95*$I95/12*1,0)))))+IF(BG$5&lt;&gt;$H95,0,IF(BG95&gt;0,IF($J95=10,$E95*$I95/12*0,IF($J95=11,$E95*$I95/12*1,IF($J95=12,$E95*$I95/12*2,0)))))</f>
        <v>0</v>
      </c>
      <c r="BL95" s="85">
        <f t="shared" ref="BL95:BL96" si="1547">IF(AND(BG95&lt;&gt;0,BG$5=$H95),$I95*$E95-BG95,IF(BL$5=$H95,$I95*$E95*(12-$J95+1)/12,0))</f>
        <v>0</v>
      </c>
      <c r="BM95" s="86">
        <f t="shared" ref="BM95:BM96" si="1548">IF($H95&lt;&gt;BQ$5,0,IF(BQ95&gt;0,IF($J95=1,$E95*$I95/12*3,IF($J95=2,$E95*$I95/12*2,IF($J95=3,$E95*$I95/12*1,0)))))+IF(BL$5&lt;&gt;$H95,0,IF(BL95&gt;0,IF($J95=1,$E95*$I95/12*0,IF($J95=2,$E95*$I95/12*1,IF($J95=3,$E95*$I95/12*2,IF($J95&gt;=4,$E95*$I95/12*3,0))))))</f>
        <v>0</v>
      </c>
      <c r="BN95" s="87">
        <f t="shared" ref="BN95:BN96" si="1549">IF($H95&lt;&gt;BQ$5,0,IF(BQ95&gt;0,IF(OR($J95=1,$J95=2,$J95=3,$J95=4),$E95*$I95/12*3,IF($J95=5,$E95*$I95/12*2,IF($J95=6,$E95*$I95/12*1,0)))))+IF(BL$5&lt;&gt;$H95,0,IF(BL95&gt;0,IF($J95=4,$E95*$I95/12*0,IF($J95=5,$E95*$I95/12*1,IF($J95=6,$E95*$I95/12*2,IF($J95&gt;=7,$E95*$I95/12*3,0))))))</f>
        <v>0</v>
      </c>
      <c r="BO95" s="87">
        <f t="shared" ref="BO95:BO96" si="1550">IF($H95&lt;&gt;BQ$5,0,IF(BQ95&gt;0,IF(OR($J95=1,$J95=2,$J95=3,$J95=4,$J95=5,$J95=6,$J95=7),$E95*$I95/12*3,IF($J95=8,$E95*$I95/12*2,IF($J95=9,$E95*$I95/12*1,0)))))+IF(BL$5&lt;&gt;$H95,0,IF(BL95&gt;0,IF($J95=7,$E95*$I95/12*0,IF($J95=8,$E95*$I95/12*1,IF($J95=9,$E95*$I95/12*2,IF($J95&gt;=10,$E95*$I95/12*3,0))))))</f>
        <v>0</v>
      </c>
      <c r="BP95" s="88">
        <f t="shared" ref="BP95:BP96" si="1551">IF($H95&lt;&gt;BQ$5,0,IF(BQ95&gt;0,IF(OR($J95=1,$J95=2,$J95=3,$J95=4,$J95=5,$J95=6,$J95=7,$J95=8,$J95=9,$J95=10),$E95*$I95/12*3,IF($J95=11,$E95*$I95/12*2,IF($J95=12,$E95*$I95/12*1,0)))))+IF(BL$5&lt;&gt;$H95,0,IF(BL95&gt;0,IF($J95=10,$E95*$I95/12*0,IF($J95=11,$E95*$I95/12*1,IF($J95=12,$E95*$I95/12*2,0)))))</f>
        <v>0</v>
      </c>
      <c r="BQ95" s="85">
        <f t="shared" ref="BQ95:BQ96" si="1552">IF(AND(BL95&lt;&gt;0,BL$5=$H95),$I95*$E95-BL95,IF(BQ$5=$H95,$I95*$E95*(12-$J95+1)/12,0))</f>
        <v>0</v>
      </c>
      <c r="BR95" s="86">
        <f t="shared" ref="BR95:BR96" si="1553">IF($H95&lt;&gt;BV$5,0,IF(BV95&gt;0,IF($J95=1,$E95*$I95/12*3,IF($J95=2,$E95*$I95/12*2,IF($J95=3,$E95*$I95/12*1,0)))))+IF(BQ$5&lt;&gt;$H95,0,IF(BQ95&gt;0,IF($J95=1,$E95*$I95/12*0,IF($J95=2,$E95*$I95/12*1,IF($J95=3,$E95*$I95/12*2,IF($J95&gt;=4,$E95*$I95/12*3,0))))))</f>
        <v>0</v>
      </c>
      <c r="BS95" s="87">
        <f t="shared" ref="BS95:BS96" si="1554">IF($H95&lt;&gt;BV$5,0,IF(BV95&gt;0,IF(OR($J95=1,$J95=2,$J95=3,$J95=4),$E95*$I95/12*3,IF($J95=5,$E95*$I95/12*2,IF($J95=6,$E95*$I95/12*1,0)))))+IF(BQ$5&lt;&gt;$H95,0,IF(BQ95&gt;0,IF($J95=4,$E95*$I95/12*0,IF($J95=5,$E95*$I95/12*1,IF($J95=6,$E95*$I95/12*2,IF($J95&gt;=7,$E95*$I95/12*3,0))))))</f>
        <v>0</v>
      </c>
      <c r="BT95" s="87">
        <f t="shared" ref="BT95:BT96" si="1555">IF($H95&lt;&gt;BV$5,0,IF(BV95&gt;0,IF(OR($J95=1,$J95=2,$J95=3,$J95=4,$J95=5,$J95=6,$J95=7),$E95*$I95/12*3,IF($J95=8,$E95*$I95/12*2,IF($J95=9,$E95*$I95/12*1,0)))))+IF(BQ$5&lt;&gt;$H95,0,IF(BQ95&gt;0,IF($J95=7,$E95*$I95/12*0,IF($J95=8,$E95*$I95/12*1,IF($J95=9,$E95*$I95/12*2,IF($J95&gt;=10,$E95*$I95/12*3,0))))))</f>
        <v>0</v>
      </c>
      <c r="BU95" s="88">
        <f t="shared" ref="BU95:BU96" si="1556">IF($H95&lt;&gt;BV$5,0,IF(BV95&gt;0,IF(OR($J95=1,$J95=2,$J95=3,$J95=4,$J95=5,$J95=6,$J95=7,$J95=8,$J95=9,$J95=10),$E95*$I95/12*3,IF($J95=11,$E95*$I95/12*2,IF($J95=12,$E95*$I95/12*1,0)))))+IF(BQ$5&lt;&gt;$H95,0,IF(BQ95&gt;0,IF($J95=10,$E95*$I95/12*0,IF($J95=11,$E95*$I95/12*1,IF($J95=12,$E95*$I95/12*2,0)))))</f>
        <v>0</v>
      </c>
      <c r="BV95" s="85">
        <f t="shared" ref="BV95:BV96" si="1557">IF(AND(BQ95&lt;&gt;0,BQ$5=$H95),$I95*$E95-BQ95,IF(BV$5=$H95,$I95*$E95*(12-$J95+1)/12,0))</f>
        <v>0</v>
      </c>
      <c r="BW95" s="86">
        <f t="shared" ref="BW95:BW96" si="1558">IF($H95&lt;&gt;CA$5,0,IF(CA95&gt;0,IF($J95=1,$E95*$I95/12*3,IF($J95=2,$E95*$I95/12*2,IF($J95=3,$E95*$I95/12*1,0)))))+IF(BV$5&lt;&gt;$H95,0,IF(BV95&gt;0,IF($J95=1,$E95*$I95/12*0,IF($J95=2,$E95*$I95/12*1,IF($J95=3,$E95*$I95/12*2,IF($J95&gt;=4,$E95*$I95/12*3,0))))))</f>
        <v>0</v>
      </c>
      <c r="BX95" s="87">
        <f t="shared" ref="BX95:BX96" si="1559">IF($H95&lt;&gt;CA$5,0,IF(CA95&gt;0,IF(OR($J95=1,$J95=2,$J95=3,$J95=4),$E95*$I95/12*3,IF($J95=5,$E95*$I95/12*2,IF($J95=6,$E95*$I95/12*1,0)))))+IF(BV$5&lt;&gt;$H95,0,IF(BV95&gt;0,IF($J95=4,$E95*$I95/12*0,IF($J95=5,$E95*$I95/12*1,IF($J95=6,$E95*$I95/12*2,IF($J95&gt;=7,$E95*$I95/12*3,0))))))</f>
        <v>0</v>
      </c>
      <c r="BY95" s="87">
        <f t="shared" ref="BY95:BY96" si="1560">IF($H95&lt;&gt;CA$5,0,IF(CA95&gt;0,IF(OR($J95=1,$J95=2,$J95=3,$J95=4,$J95=5,$J95=6,$J95=7),$E95*$I95/12*3,IF($J95=8,$E95*$I95/12*2,IF($J95=9,$E95*$I95/12*1,0)))))+IF(BV$5&lt;&gt;$H95,0,IF(BV95&gt;0,IF($J95=7,$E95*$I95/12*0,IF($J95=8,$E95*$I95/12*1,IF($J95=9,$E95*$I95/12*2,IF($J95&gt;=10,$E95*$I95/12*3,0))))))</f>
        <v>0</v>
      </c>
      <c r="BZ95" s="88">
        <f t="shared" ref="BZ95:BZ96" si="1561">IF($H95&lt;&gt;CA$5,0,IF(CA95&gt;0,IF(OR($J95=1,$J95=2,$J95=3,$J95=4,$J95=5,$J95=6,$J95=7,$J95=8,$J95=9,$J95=10),$E95*$I95/12*3,IF($J95=11,$E95*$I95/12*2,IF($J95=12,$E95*$I95/12*1,0)))))+IF(BV$5&lt;&gt;$H95,0,IF(BV95&gt;0,IF($J95=10,$E95*$I95/12*0,IF($J95=11,$E95*$I95/12*1,IF($J95=12,$E95*$I95/12*2,0)))))</f>
        <v>0</v>
      </c>
      <c r="CA95" s="85">
        <f t="shared" ref="CA95:CA96" si="1562">IF(AND(BV95&lt;&gt;0,BV$5=$H95),$I95*$E95-BV95,IF(CA$5=$H95,$I95*$E95*(12-$J95+1)/12,0))</f>
        <v>0</v>
      </c>
      <c r="CB95" s="86">
        <f t="shared" ref="CB95:CB96" si="1563">IF($H95&lt;&gt;CF$5,0,IF(CF95&gt;0,IF($J95=1,$E95*$I95/12*3,IF($J95=2,$E95*$I95/12*2,IF($J95=3,$E95*$I95/12*1,0)))))+IF(CA$5&lt;&gt;$H95,0,IF(CA95&gt;0,IF($J95=1,$E95*$I95/12*0,IF($J95=2,$E95*$I95/12*1,IF($J95=3,$E95*$I95/12*2,IF($J95&gt;=4,$E95*$I95/12*3,0))))))</f>
        <v>0</v>
      </c>
      <c r="CC95" s="87">
        <f t="shared" ref="CC95:CC96" si="1564">IF($H95&lt;&gt;CF$5,0,IF(CF95&gt;0,IF(OR($J95=1,$J95=2,$J95=3,$J95=4),$E95*$I95/12*3,IF($J95=5,$E95*$I95/12*2,IF($J95=6,$E95*$I95/12*1,0)))))+IF(CA$5&lt;&gt;$H95,0,IF(CA95&gt;0,IF($J95=4,$E95*$I95/12*0,IF($J95=5,$E95*$I95/12*1,IF($J95=6,$E95*$I95/12*2,IF($J95&gt;=7,$E95*$I95/12*3,0))))))</f>
        <v>0</v>
      </c>
      <c r="CD95" s="87">
        <f t="shared" ref="CD95:CD96" si="1565">IF($H95&lt;&gt;CF$5,0,IF(CF95&gt;0,IF(OR($J95=1,$J95=2,$J95=3,$J95=4,$J95=5,$J95=6,$J95=7),$E95*$I95/12*3,IF($J95=8,$E95*$I95/12*2,IF($J95=9,$E95*$I95/12*1,0)))))+IF(CA$5&lt;&gt;$H95,0,IF(CA95&gt;0,IF($J95=7,$E95*$I95/12*0,IF($J95=8,$E95*$I95/12*1,IF($J95=9,$E95*$I95/12*2,IF($J95&gt;=10,$E95*$I95/12*3,0))))))</f>
        <v>0</v>
      </c>
      <c r="CE95" s="88">
        <f t="shared" ref="CE95:CE96" si="1566">IF($H95&lt;&gt;CF$5,0,IF(CF95&gt;0,IF(OR($J95=1,$J95=2,$J95=3,$J95=4,$J95=5,$J95=6,$J95=7,$J95=8,$J95=9,$J95=10),$E95*$I95/12*3,IF($J95=11,$E95*$I95/12*2,IF($J95=12,$E95*$I95/12*1,0)))))+IF(CA$5&lt;&gt;$H95,0,IF(CA95&gt;0,IF($J95=10,$E95*$I95/12*0,IF($J95=11,$E95*$I95/12*1,IF($J95=12,$E95*$I95/12*2,0)))))</f>
        <v>0</v>
      </c>
      <c r="CF95" s="85">
        <f t="shared" ref="CF95:CF96" si="1567">IF(AND(CA95&lt;&gt;0,CA$5=$H95),$I95*$E95-CA95,IF(CF$5=$H95,$I95*$E95*(12-$J95+1)/12,0))</f>
        <v>0</v>
      </c>
      <c r="CG95" s="86">
        <f t="shared" ref="CG95:CG96" si="1568">IF($H95&lt;&gt;CK$5,0,IF(CK95&gt;0,IF($J95=1,$E95*$I95/12*3,IF($J95=2,$E95*$I95/12*2,IF($J95=3,$E95*$I95/12*1,0)))))+IF(CF$5&lt;&gt;$H95,0,IF(CF95&gt;0,IF($J95=1,$E95*$I95/12*0,IF($J95=2,$E95*$I95/12*1,IF($J95=3,$E95*$I95/12*2,IF($J95&gt;=4,$E95*$I95/12*3,0))))))</f>
        <v>0</v>
      </c>
      <c r="CH95" s="87">
        <f t="shared" ref="CH95:CH96" si="1569">IF($H95&lt;&gt;CK$5,0,IF(CK95&gt;0,IF(OR($J95=1,$J95=2,$J95=3,$J95=4),$E95*$I95/12*3,IF($J95=5,$E95*$I95/12*2,IF($J95=6,$E95*$I95/12*1,0)))))+IF(CF$5&lt;&gt;$H95,0,IF(CF95&gt;0,IF($J95=4,$E95*$I95/12*0,IF($J95=5,$E95*$I95/12*1,IF($J95=6,$E95*$I95/12*2,IF($J95&gt;=7,$E95*$I95/12*3,0))))))</f>
        <v>0</v>
      </c>
      <c r="CI95" s="87">
        <f t="shared" ref="CI95:CI96" si="1570">IF($H95&lt;&gt;CK$5,0,IF(CK95&gt;0,IF(OR($J95=1,$J95=2,$J95=3,$J95=4,$J95=5,$J95=6,$J95=7),$E95*$I95/12*3,IF($J95=8,$E95*$I95/12*2,IF($J95=9,$E95*$I95/12*1,0)))))+IF(CF$5&lt;&gt;$H95,0,IF(CF95&gt;0,IF($J95=7,$E95*$I95/12*0,IF($J95=8,$E95*$I95/12*1,IF($J95=9,$E95*$I95/12*2,IF($J95&gt;=10,$E95*$I95/12*3,0))))))</f>
        <v>0</v>
      </c>
      <c r="CJ95" s="88">
        <f t="shared" ref="CJ95:CJ96" si="1571">IF($H95&lt;&gt;CK$5,0,IF(CK95&gt;0,IF(OR($J95=1,$J95=2,$J95=3,$J95=4,$J95=5,$J95=6,$J95=7,$J95=8,$J95=9,$J95=10),$E95*$I95/12*3,IF($J95=11,$E95*$I95/12*2,IF($J95=12,$E95*$I95/12*1,0)))))+IF(CF$5&lt;&gt;$H95,0,IF(CF95&gt;0,IF($J95=10,$E95*$I95/12*0,IF($J95=11,$E95*$I95/12*1,IF($J95=12,$E95*$I95/12*2,0)))))</f>
        <v>0</v>
      </c>
      <c r="CK95" s="85">
        <f t="shared" ref="CK95:CK96" si="1572">IF(AND(CF95&lt;&gt;0,CF$5=$H95),$I95*$E95-CF95,IF(CK$5=$H95,$I95*$E95*(12-$J95+1)/12,0))</f>
        <v>0</v>
      </c>
      <c r="CL95" s="86">
        <f t="shared" ref="CL95:CL96" si="1573">IF($H95&lt;&gt;CP$5,0,IF(CP95&gt;0,IF($J95=1,$E95*$I95/12*3,IF($J95=2,$E95*$I95/12*2,IF($J95=3,$E95*$I95/12*1,0)))))+IF(CK$5&lt;&gt;$H95,0,IF(CK95&gt;0,IF($J95=1,$E95*$I95/12*0,IF($J95=2,$E95*$I95/12*1,IF($J95=3,$E95*$I95/12*2,IF($J95&gt;=4,$E95*$I95/12*3,0))))))</f>
        <v>0</v>
      </c>
      <c r="CM95" s="87">
        <f t="shared" ref="CM95:CM96" si="1574">IF($H95&lt;&gt;CP$5,0,IF(CP95&gt;0,IF(OR($J95=1,$J95=2,$J95=3,$J95=4),$E95*$I95/12*3,IF($J95=5,$E95*$I95/12*2,IF($J95=6,$E95*$I95/12*1,0)))))+IF(CK$5&lt;&gt;$H95,0,IF(CK95&gt;0,IF($J95=4,$E95*$I95/12*0,IF($J95=5,$E95*$I95/12*1,IF($J95=6,$E95*$I95/12*2,IF($J95&gt;=7,$E95*$I95/12*3,0))))))</f>
        <v>0</v>
      </c>
      <c r="CN95" s="87">
        <f t="shared" ref="CN95:CN96" si="1575">IF($H95&lt;&gt;CP$5,0,IF(CP95&gt;0,IF(OR($J95=1,$J95=2,$J95=3,$J95=4,$J95=5,$J95=6,$J95=7),$E95*$I95/12*3,IF($J95=8,$E95*$I95/12*2,IF($J95=9,$E95*$I95/12*1,0)))))+IF(CK$5&lt;&gt;$H95,0,IF(CK95&gt;0,IF($J95=7,$E95*$I95/12*0,IF($J95=8,$E95*$I95/12*1,IF($J95=9,$E95*$I95/12*2,IF($J95&gt;=10,$E95*$I95/12*3,0))))))</f>
        <v>0</v>
      </c>
      <c r="CO95" s="88">
        <f t="shared" ref="CO95:CO96" si="1576">IF($H95&lt;&gt;CP$5,0,IF(CP95&gt;0,IF(OR($J95=1,$J95=2,$J95=3,$J95=4,$J95=5,$J95=6,$J95=7,$J95=8,$J95=9,$J95=10),$E95*$I95/12*3,IF($J95=11,$E95*$I95/12*2,IF($J95=12,$E95*$I95/12*1,0)))))+IF(CK$5&lt;&gt;$H95,0,IF(CK95&gt;0,IF($J95=10,$E95*$I95/12*0,IF($J95=11,$E95*$I95/12*1,IF($J95=12,$E95*$I95/12*2,0)))))</f>
        <v>0</v>
      </c>
      <c r="CP95" s="85">
        <f t="shared" ref="CP95:CP96" si="1577">IF(AND(CK95&lt;&gt;0,CK$5=$H95),$I95*$E95-CK95,IF(CP$5=$H95,$I95*$E95*(12-$J95+1)/12,0))</f>
        <v>0</v>
      </c>
      <c r="CQ95" s="86">
        <f t="shared" ref="CQ95:CQ96" si="1578">IF($H95&lt;&gt;CU$5,0,IF(CU95&gt;0,IF($J95=1,$E95*$I95/12*3,IF($J95=2,$E95*$I95/12*2,IF($J95=3,$E95*$I95/12*1,0)))))+IF(CP$5&lt;&gt;$H95,0,IF(CP95&gt;0,IF($J95=1,$E95*$I95/12*0,IF($J95=2,$E95*$I95/12*1,IF($J95=3,$E95*$I95/12*2,IF($J95&gt;=4,$E95*$I95/12*3,0))))))</f>
        <v>0</v>
      </c>
      <c r="CR95" s="87">
        <f t="shared" ref="CR95:CR96" si="1579">IF($H95&lt;&gt;CU$5,0,IF(CU95&gt;0,IF(OR($J95=1,$J95=2,$J95=3,$J95=4),$E95*$I95/12*3,IF($J95=5,$E95*$I95/12*2,IF($J95=6,$E95*$I95/12*1,0)))))+IF(CP$5&lt;&gt;$H95,0,IF(CP95&gt;0,IF($J95=4,$E95*$I95/12*0,IF($J95=5,$E95*$I95/12*1,IF($J95=6,$E95*$I95/12*2,IF($J95&gt;=7,$E95*$I95/12*3,0))))))</f>
        <v>0</v>
      </c>
      <c r="CS95" s="87">
        <f t="shared" ref="CS95:CS96" si="1580">IF($H95&lt;&gt;CU$5,0,IF(CU95&gt;0,IF(OR($J95=1,$J95=2,$J95=3,$J95=4,$J95=5,$J95=6,$J95=7),$E95*$I95/12*3,IF($J95=8,$E95*$I95/12*2,IF($J95=9,$E95*$I95/12*1,0)))))+IF(CP$5&lt;&gt;$H95,0,IF(CP95&gt;0,IF($J95=7,$E95*$I95/12*0,IF($J95=8,$E95*$I95/12*1,IF($J95=9,$E95*$I95/12*2,IF($J95&gt;=10,$E95*$I95/12*3,0))))))</f>
        <v>0</v>
      </c>
      <c r="CT95" s="88">
        <f t="shared" ref="CT95:CT96" si="1581">IF($H95&lt;&gt;CU$5,0,IF(CU95&gt;0,IF(OR($J95=1,$J95=2,$J95=3,$J95=4,$J95=5,$J95=6,$J95=7,$J95=8,$J95=9,$J95=10),$E95*$I95/12*3,IF($J95=11,$E95*$I95/12*2,IF($J95=12,$E95*$I95/12*1,0)))))+IF(CP$5&lt;&gt;$H95,0,IF(CP95&gt;0,IF($J95=10,$E95*$I95/12*0,IF($J95=11,$E95*$I95/12*1,IF($J95=12,$E95*$I95/12*2,0)))))</f>
        <v>0</v>
      </c>
      <c r="CU95" s="85">
        <f t="shared" ref="CU95:CU96" si="1582">IF(AND(CP95&lt;&gt;0,CP$5=$H95),$I95*$E95-CP95,IF(CU$5=$H95,$I95*$E95*(12-$J95+1)/12,0))</f>
        <v>0</v>
      </c>
      <c r="CV95" s="86">
        <f t="shared" si="1505"/>
        <v>0</v>
      </c>
      <c r="CW95" s="87">
        <f t="shared" si="1506"/>
        <v>0</v>
      </c>
      <c r="CX95" s="87">
        <f t="shared" si="1507"/>
        <v>0</v>
      </c>
      <c r="CY95" s="88">
        <f t="shared" si="1508"/>
        <v>0</v>
      </c>
      <c r="CZ95" s="85">
        <f t="shared" si="1509"/>
        <v>0</v>
      </c>
    </row>
    <row r="96" spans="1:104" ht="12.75" customHeight="1">
      <c r="A96" s="4"/>
      <c r="B96" s="4"/>
      <c r="C96" s="1999" t="s">
        <v>1372</v>
      </c>
      <c r="D96" s="146"/>
      <c r="E96" s="147">
        <f>ExGen!BL806</f>
        <v>0</v>
      </c>
      <c r="F96" s="326"/>
      <c r="G96" s="326"/>
      <c r="H96" s="171">
        <v>2020</v>
      </c>
      <c r="I96" s="172">
        <v>0.05</v>
      </c>
      <c r="J96" s="171">
        <v>7</v>
      </c>
      <c r="K96" s="80"/>
      <c r="L96" s="81">
        <f t="shared" si="1336"/>
        <v>0</v>
      </c>
      <c r="M96" s="82">
        <f t="shared" si="1510"/>
        <v>0</v>
      </c>
      <c r="N96" s="83">
        <f t="shared" si="1511"/>
        <v>0</v>
      </c>
      <c r="O96" s="83">
        <f t="shared" si="1512"/>
        <v>0</v>
      </c>
      <c r="P96" s="84">
        <f t="shared" si="1513"/>
        <v>0</v>
      </c>
      <c r="Q96" s="81">
        <f t="shared" si="1341"/>
        <v>0</v>
      </c>
      <c r="R96" s="82">
        <f t="shared" si="1514"/>
        <v>0</v>
      </c>
      <c r="S96" s="83">
        <f t="shared" si="1515"/>
        <v>0</v>
      </c>
      <c r="T96" s="83">
        <f t="shared" si="1516"/>
        <v>0</v>
      </c>
      <c r="U96" s="84">
        <f t="shared" si="1517"/>
        <v>0</v>
      </c>
      <c r="V96" s="81">
        <f t="shared" si="1346"/>
        <v>0</v>
      </c>
      <c r="W96" s="82">
        <f t="shared" si="1518"/>
        <v>0</v>
      </c>
      <c r="X96" s="83">
        <f t="shared" si="1519"/>
        <v>0</v>
      </c>
      <c r="Y96" s="83">
        <f t="shared" si="1520"/>
        <v>0</v>
      </c>
      <c r="Z96" s="84">
        <f t="shared" si="1521"/>
        <v>0</v>
      </c>
      <c r="AA96" s="81">
        <f t="shared" si="1351"/>
        <v>0</v>
      </c>
      <c r="AB96" s="82">
        <f t="shared" si="1522"/>
        <v>0</v>
      </c>
      <c r="AC96" s="83">
        <f t="shared" si="1523"/>
        <v>0</v>
      </c>
      <c r="AD96" s="83">
        <f t="shared" si="1524"/>
        <v>0</v>
      </c>
      <c r="AE96" s="84">
        <f t="shared" si="1525"/>
        <v>0</v>
      </c>
      <c r="AF96" s="81">
        <f t="shared" si="1356"/>
        <v>0</v>
      </c>
      <c r="AG96" s="82">
        <f t="shared" si="1526"/>
        <v>0</v>
      </c>
      <c r="AH96" s="83">
        <f t="shared" si="1527"/>
        <v>0</v>
      </c>
      <c r="AI96" s="83">
        <f t="shared" si="1528"/>
        <v>0</v>
      </c>
      <c r="AJ96" s="84">
        <f t="shared" si="1529"/>
        <v>0</v>
      </c>
      <c r="AK96" s="81">
        <f t="shared" si="1361"/>
        <v>0</v>
      </c>
      <c r="AL96" s="82">
        <f t="shared" si="1530"/>
        <v>0</v>
      </c>
      <c r="AM96" s="83">
        <f t="shared" si="1531"/>
        <v>0</v>
      </c>
      <c r="AN96" s="83">
        <f t="shared" si="1532"/>
        <v>0</v>
      </c>
      <c r="AO96" s="84">
        <f t="shared" si="1533"/>
        <v>0</v>
      </c>
      <c r="AP96" s="81">
        <f t="shared" si="1366"/>
        <v>0</v>
      </c>
      <c r="AQ96" s="82">
        <f t="shared" si="1534"/>
        <v>0</v>
      </c>
      <c r="AR96" s="83">
        <f t="shared" si="1535"/>
        <v>0</v>
      </c>
      <c r="AS96" s="83">
        <f t="shared" si="1536"/>
        <v>0</v>
      </c>
      <c r="AT96" s="84">
        <f t="shared" si="1537"/>
        <v>0</v>
      </c>
      <c r="AU96" s="81">
        <f t="shared" si="1371"/>
        <v>0</v>
      </c>
      <c r="AV96" s="82">
        <f t="shared" si="1538"/>
        <v>0</v>
      </c>
      <c r="AW96" s="83">
        <f t="shared" si="1539"/>
        <v>0</v>
      </c>
      <c r="AX96" s="83">
        <f t="shared" si="1540"/>
        <v>0</v>
      </c>
      <c r="AY96" s="84">
        <f t="shared" si="1541"/>
        <v>0</v>
      </c>
      <c r="AZ96" s="81">
        <f t="shared" si="1376"/>
        <v>0</v>
      </c>
      <c r="BA96" s="82">
        <f t="shared" si="1460"/>
        <v>0</v>
      </c>
      <c r="BB96" s="83">
        <f t="shared" si="1461"/>
        <v>0</v>
      </c>
      <c r="BC96" s="83">
        <f t="shared" si="1462"/>
        <v>0</v>
      </c>
      <c r="BD96" s="84">
        <f t="shared" si="1463"/>
        <v>0</v>
      </c>
      <c r="BE96" s="81">
        <f t="shared" si="1381"/>
        <v>0</v>
      </c>
      <c r="BF96" s="1884"/>
      <c r="BG96" s="2005">
        <f t="shared" si="1542"/>
        <v>0</v>
      </c>
      <c r="BH96" s="86">
        <f t="shared" si="1543"/>
        <v>0</v>
      </c>
      <c r="BI96" s="87">
        <f t="shared" si="1544"/>
        <v>0</v>
      </c>
      <c r="BJ96" s="87">
        <f t="shared" si="1545"/>
        <v>0</v>
      </c>
      <c r="BK96" s="88">
        <f t="shared" si="1546"/>
        <v>0</v>
      </c>
      <c r="BL96" s="85">
        <f t="shared" si="1547"/>
        <v>0</v>
      </c>
      <c r="BM96" s="86">
        <f t="shared" si="1548"/>
        <v>0</v>
      </c>
      <c r="BN96" s="87">
        <f t="shared" si="1549"/>
        <v>0</v>
      </c>
      <c r="BO96" s="87">
        <f t="shared" si="1550"/>
        <v>0</v>
      </c>
      <c r="BP96" s="88">
        <f t="shared" si="1551"/>
        <v>0</v>
      </c>
      <c r="BQ96" s="85">
        <f t="shared" si="1552"/>
        <v>0</v>
      </c>
      <c r="BR96" s="86">
        <f t="shared" si="1553"/>
        <v>0</v>
      </c>
      <c r="BS96" s="87">
        <f t="shared" si="1554"/>
        <v>0</v>
      </c>
      <c r="BT96" s="87">
        <f t="shared" si="1555"/>
        <v>0</v>
      </c>
      <c r="BU96" s="88">
        <f t="shared" si="1556"/>
        <v>0</v>
      </c>
      <c r="BV96" s="85">
        <f t="shared" si="1557"/>
        <v>0</v>
      </c>
      <c r="BW96" s="86">
        <f t="shared" si="1558"/>
        <v>0</v>
      </c>
      <c r="BX96" s="87">
        <f t="shared" si="1559"/>
        <v>0</v>
      </c>
      <c r="BY96" s="87">
        <f t="shared" si="1560"/>
        <v>0</v>
      </c>
      <c r="BZ96" s="88">
        <f t="shared" si="1561"/>
        <v>0</v>
      </c>
      <c r="CA96" s="85">
        <f t="shared" si="1562"/>
        <v>0</v>
      </c>
      <c r="CB96" s="86">
        <f t="shared" si="1563"/>
        <v>0</v>
      </c>
      <c r="CC96" s="87">
        <f t="shared" si="1564"/>
        <v>0</v>
      </c>
      <c r="CD96" s="87">
        <f t="shared" si="1565"/>
        <v>0</v>
      </c>
      <c r="CE96" s="88">
        <f t="shared" si="1566"/>
        <v>0</v>
      </c>
      <c r="CF96" s="85">
        <f t="shared" si="1567"/>
        <v>0</v>
      </c>
      <c r="CG96" s="86">
        <f t="shared" si="1568"/>
        <v>0</v>
      </c>
      <c r="CH96" s="87">
        <f t="shared" si="1569"/>
        <v>0</v>
      </c>
      <c r="CI96" s="87">
        <f t="shared" si="1570"/>
        <v>0</v>
      </c>
      <c r="CJ96" s="88">
        <f t="shared" si="1571"/>
        <v>0</v>
      </c>
      <c r="CK96" s="85">
        <f t="shared" si="1572"/>
        <v>0</v>
      </c>
      <c r="CL96" s="86">
        <f t="shared" si="1573"/>
        <v>0</v>
      </c>
      <c r="CM96" s="87">
        <f t="shared" si="1574"/>
        <v>0</v>
      </c>
      <c r="CN96" s="87">
        <f t="shared" si="1575"/>
        <v>0</v>
      </c>
      <c r="CO96" s="88">
        <f t="shared" si="1576"/>
        <v>0</v>
      </c>
      <c r="CP96" s="85">
        <f t="shared" si="1577"/>
        <v>0</v>
      </c>
      <c r="CQ96" s="86">
        <f t="shared" si="1578"/>
        <v>0</v>
      </c>
      <c r="CR96" s="87">
        <f t="shared" si="1579"/>
        <v>0</v>
      </c>
      <c r="CS96" s="87">
        <f t="shared" si="1580"/>
        <v>0</v>
      </c>
      <c r="CT96" s="88">
        <f t="shared" si="1581"/>
        <v>0</v>
      </c>
      <c r="CU96" s="85">
        <f t="shared" si="1582"/>
        <v>0</v>
      </c>
      <c r="CV96" s="86">
        <f t="shared" si="1505"/>
        <v>0</v>
      </c>
      <c r="CW96" s="87">
        <f t="shared" si="1506"/>
        <v>0</v>
      </c>
      <c r="CX96" s="87">
        <f t="shared" si="1507"/>
        <v>0</v>
      </c>
      <c r="CY96" s="88">
        <f t="shared" si="1508"/>
        <v>0</v>
      </c>
      <c r="CZ96" s="85">
        <f t="shared" si="1509"/>
        <v>0</v>
      </c>
    </row>
    <row r="97" spans="1:104" ht="12.75" customHeight="1">
      <c r="A97" s="4"/>
      <c r="B97" s="4"/>
      <c r="C97" s="1999" t="s">
        <v>1521</v>
      </c>
      <c r="D97" s="146"/>
      <c r="E97" s="147">
        <f>ExGen!BQ806</f>
        <v>0</v>
      </c>
      <c r="F97" s="326"/>
      <c r="G97" s="326"/>
      <c r="H97" s="171">
        <v>2021</v>
      </c>
      <c r="I97" s="172">
        <v>0.05</v>
      </c>
      <c r="J97" s="171">
        <v>7</v>
      </c>
      <c r="K97" s="80"/>
      <c r="L97" s="81">
        <f t="shared" si="1336"/>
        <v>0</v>
      </c>
      <c r="M97" s="82">
        <f t="shared" ref="M97" si="1583">IF(Q97=0,0,IF(Q97&gt;0,IF($J97=3,Q97,IF($J97=2,Q97,IF($J97=1,Q97,0)))))</f>
        <v>0</v>
      </c>
      <c r="N97" s="83">
        <f t="shared" ref="N97" si="1584">IF(Q97=0,0,IF(Q97&gt;0,IF($J97=6,Q97,IF($J97=5,Q97,IF($J97=4,Q97,0)))))</f>
        <v>0</v>
      </c>
      <c r="O97" s="83">
        <f t="shared" ref="O97" si="1585">IF(Q97=0,0,IF(Q97&gt;0,IF($J97=9,Q97,IF($J97=8,Q97,IF($J97=7,Q97,0)))))</f>
        <v>0</v>
      </c>
      <c r="P97" s="84">
        <f t="shared" ref="P97" si="1586">IF(Q97=0,0,IF(Q97&gt;0,IF($J97=12,Q97,IF($J97=11,Q97,IF($J97=10,Q97,0)))))</f>
        <v>0</v>
      </c>
      <c r="Q97" s="81">
        <f t="shared" si="1341"/>
        <v>0</v>
      </c>
      <c r="R97" s="82">
        <f t="shared" ref="R97" si="1587">IF(V97=0,0,IF(V97&gt;0,IF($J97=3,V97,IF($J97=2,V97,IF($J97=1,V97,0)))))</f>
        <v>0</v>
      </c>
      <c r="S97" s="83">
        <f t="shared" ref="S97" si="1588">IF(V97=0,0,IF(V97&gt;0,IF($J97=6,V97,IF($J97=5,V97,IF($J97=4,V97,0)))))</f>
        <v>0</v>
      </c>
      <c r="T97" s="83">
        <f t="shared" ref="T97" si="1589">IF(V97=0,0,IF(V97&gt;0,IF($J97=9,V97,IF($J97=8,V97,IF($J97=7,V97,0)))))</f>
        <v>0</v>
      </c>
      <c r="U97" s="84">
        <f t="shared" ref="U97" si="1590">IF(V97=0,0,IF(V97&gt;0,IF($J97=12,V97,IF($J97=11,V97,IF($J97=10,V97,0)))))</f>
        <v>0</v>
      </c>
      <c r="V97" s="81">
        <f t="shared" si="1346"/>
        <v>0</v>
      </c>
      <c r="W97" s="82">
        <f t="shared" ref="W97" si="1591">IF(AA97=0,0,IF(AA97&gt;0,IF($J97=3,AA97,IF($J97=2,AA97,IF($J97=1,AA97,0)))))</f>
        <v>0</v>
      </c>
      <c r="X97" s="83">
        <f t="shared" ref="X97" si="1592">IF(AA97=0,0,IF(AA97&gt;0,IF($J97=6,AA97,IF($J97=5,AA97,IF($J97=4,AA97,0)))))</f>
        <v>0</v>
      </c>
      <c r="Y97" s="83">
        <f t="shared" ref="Y97" si="1593">IF(AA97=0,0,IF(AA97&gt;0,IF($J97=9,AA97,IF($J97=8,AA97,IF($J97=7,AA97,0)))))</f>
        <v>0</v>
      </c>
      <c r="Z97" s="84">
        <f t="shared" ref="Z97" si="1594">IF(AA97=0,0,IF(AA97&gt;0,IF($J97=12,AA97,IF($J97=11,AA97,IF($J97=10,AA97,0)))))</f>
        <v>0</v>
      </c>
      <c r="AA97" s="81">
        <f t="shared" si="1351"/>
        <v>0</v>
      </c>
      <c r="AB97" s="82">
        <f t="shared" ref="AB97" si="1595">IF(AF97=0,0,IF(AF97&gt;0,IF($J97=3,AF97,IF($J97=2,AF97,IF($J97=1,AF97,0)))))</f>
        <v>0</v>
      </c>
      <c r="AC97" s="83">
        <f t="shared" ref="AC97" si="1596">IF(AF97=0,0,IF(AF97&gt;0,IF($J97=6,AF97,IF($J97=5,AF97,IF($J97=4,AF97,0)))))</f>
        <v>0</v>
      </c>
      <c r="AD97" s="83">
        <f t="shared" ref="AD97" si="1597">IF(AF97=0,0,IF(AF97&gt;0,IF($J97=9,AF97,IF($J97=8,AF97,IF($J97=7,AF97,0)))))</f>
        <v>0</v>
      </c>
      <c r="AE97" s="84">
        <f t="shared" ref="AE97" si="1598">IF(AF97=0,0,IF(AF97&gt;0,IF($J97=12,AF97,IF($J97=11,AF97,IF($J97=10,AF97,0)))))</f>
        <v>0</v>
      </c>
      <c r="AF97" s="81">
        <f t="shared" si="1356"/>
        <v>0</v>
      </c>
      <c r="AG97" s="82">
        <f t="shared" ref="AG97" si="1599">IF(AK97=0,0,IF(AK97&gt;0,IF($J97=3,AK97,IF($J97=2,AK97,IF($J97=1,AK97,0)))))</f>
        <v>0</v>
      </c>
      <c r="AH97" s="83">
        <f t="shared" ref="AH97" si="1600">IF(AK97=0,0,IF(AK97&gt;0,IF($J97=6,AK97,IF($J97=5,AK97,IF($J97=4,AK97,0)))))</f>
        <v>0</v>
      </c>
      <c r="AI97" s="83">
        <f t="shared" ref="AI97" si="1601">IF(AK97=0,0,IF(AK97&gt;0,IF($J97=9,AK97,IF($J97=8,AK97,IF($J97=7,AK97,0)))))</f>
        <v>0</v>
      </c>
      <c r="AJ97" s="84">
        <f t="shared" ref="AJ97" si="1602">IF(AK97=0,0,IF(AK97&gt;0,IF($J97=12,AK97,IF($J97=11,AK97,IF($J97=10,AK97,0)))))</f>
        <v>0</v>
      </c>
      <c r="AK97" s="81">
        <f t="shared" si="1361"/>
        <v>0</v>
      </c>
      <c r="AL97" s="82">
        <f t="shared" ref="AL97" si="1603">IF(AP97=0,0,IF(AP97&gt;0,IF($J97=3,AP97,IF($J97=2,AP97,IF($J97=1,AP97,0)))))</f>
        <v>0</v>
      </c>
      <c r="AM97" s="83">
        <f t="shared" ref="AM97" si="1604">IF(AP97=0,0,IF(AP97&gt;0,IF($J97=6,AP97,IF($J97=5,AP97,IF($J97=4,AP97,0)))))</f>
        <v>0</v>
      </c>
      <c r="AN97" s="83">
        <f t="shared" ref="AN97" si="1605">IF(AP97=0,0,IF(AP97&gt;0,IF($J97=9,AP97,IF($J97=8,AP97,IF($J97=7,AP97,0)))))</f>
        <v>0</v>
      </c>
      <c r="AO97" s="84">
        <f t="shared" ref="AO97" si="1606">IF(AP97=0,0,IF(AP97&gt;0,IF($J97=12,AP97,IF($J97=11,AP97,IF($J97=10,AP97,0)))))</f>
        <v>0</v>
      </c>
      <c r="AP97" s="81">
        <f t="shared" si="1366"/>
        <v>0</v>
      </c>
      <c r="AQ97" s="82">
        <f t="shared" ref="AQ97" si="1607">IF(AU97=0,0,IF(AU97&gt;0,IF($J97=3,AU97,IF($J97=2,AU97,IF($J97=1,AU97,0)))))</f>
        <v>0</v>
      </c>
      <c r="AR97" s="83">
        <f t="shared" ref="AR97" si="1608">IF(AU97=0,0,IF(AU97&gt;0,IF($J97=6,AU97,IF($J97=5,AU97,IF($J97=4,AU97,0)))))</f>
        <v>0</v>
      </c>
      <c r="AS97" s="83">
        <f t="shared" ref="AS97" si="1609">IF(AU97=0,0,IF(AU97&gt;0,IF($J97=9,AU97,IF($J97=8,AU97,IF($J97=7,AU97,0)))))</f>
        <v>0</v>
      </c>
      <c r="AT97" s="84">
        <f t="shared" ref="AT97" si="1610">IF(AU97=0,0,IF(AU97&gt;0,IF($J97=12,AU97,IF($J97=11,AU97,IF($J97=10,AU97,0)))))</f>
        <v>0</v>
      </c>
      <c r="AU97" s="81">
        <f t="shared" si="1371"/>
        <v>0</v>
      </c>
      <c r="AV97" s="82">
        <f t="shared" ref="AV97" si="1611">IF(AZ97=0,0,IF(AZ97&gt;0,IF($J97=3,AZ97,IF($J97=2,AZ97,IF($J97=1,AZ97,0)))))</f>
        <v>0</v>
      </c>
      <c r="AW97" s="83">
        <f t="shared" ref="AW97" si="1612">IF(AZ97=0,0,IF(AZ97&gt;0,IF($J97=6,AZ97,IF($J97=5,AZ97,IF($J97=4,AZ97,0)))))</f>
        <v>0</v>
      </c>
      <c r="AX97" s="83">
        <f t="shared" ref="AX97" si="1613">IF(AZ97=0,0,IF(AZ97&gt;0,IF($J97=9,AZ97,IF($J97=8,AZ97,IF($J97=7,AZ97,0)))))</f>
        <v>0</v>
      </c>
      <c r="AY97" s="84">
        <f t="shared" ref="AY97" si="1614">IF(AZ97=0,0,IF(AZ97&gt;0,IF($J97=12,AZ97,IF($J97=11,AZ97,IF($J97=10,AZ97,0)))))</f>
        <v>0</v>
      </c>
      <c r="AZ97" s="81">
        <f t="shared" si="1376"/>
        <v>0</v>
      </c>
      <c r="BA97" s="82">
        <f t="shared" si="1460"/>
        <v>0</v>
      </c>
      <c r="BB97" s="83">
        <f t="shared" si="1461"/>
        <v>0</v>
      </c>
      <c r="BC97" s="83">
        <f t="shared" si="1462"/>
        <v>0</v>
      </c>
      <c r="BD97" s="84">
        <f t="shared" si="1463"/>
        <v>0</v>
      </c>
      <c r="BE97" s="81">
        <f t="shared" si="1381"/>
        <v>0</v>
      </c>
      <c r="BF97" s="1884"/>
      <c r="BG97" s="2005">
        <f t="shared" ref="BG97" si="1615">IF(AND(BF97&lt;&gt;0,BF$5=$H97),$I97*$E97-BF97,IF(BG$5=$H97,$I97*$E97*(12-$J97+1)/12,0))</f>
        <v>0</v>
      </c>
      <c r="BH97" s="86">
        <f t="shared" ref="BH97" si="1616">IF($H97&lt;&gt;BL$5,0,IF(BL97&gt;0,IF($J97=1,$E97*$I97/12*3,IF($J97=2,$E97*$I97/12*2,IF($J97=3,$E97*$I97/12*1,0)))))+IF(BG$5&lt;&gt;$H97,0,IF(BG97&gt;0,IF($J97=1,$E97*$I97/12*0,IF($J97=2,$E97*$I97/12*1,IF($J97=3,$E97*$I97/12*2,IF($J97&gt;=4,$E97*$I97/12*3,0))))))</f>
        <v>0</v>
      </c>
      <c r="BI97" s="87">
        <f t="shared" ref="BI97" si="1617">IF($H97&lt;&gt;BL$5,0,IF(BL97&gt;0,IF(OR($J97=1,$J97=2,$J97=3,$J97=4),$E97*$I97/12*3,IF($J97=5,$E97*$I97/12*2,IF($J97=6,$E97*$I97/12*1,0)))))+IF(BG$5&lt;&gt;$H97,0,IF(BG97&gt;0,IF($J97=4,$E97*$I97/12*0,IF($J97=5,$E97*$I97/12*1,IF($J97=6,$E97*$I97/12*2,IF($J97&gt;=7,$E97*$I97/12*3,0))))))</f>
        <v>0</v>
      </c>
      <c r="BJ97" s="87">
        <f t="shared" ref="BJ97" si="1618">IF($H97&lt;&gt;BL$5,0,IF(BL97&gt;0,IF(OR($J97=1,$J97=2,$J97=3,$J97=4,$J97=5,$J97=6,$J97=7),$E97*$I97/12*3,IF($J97=8,$E97*$I97/12*2,IF($J97=9,$E97*$I97/12*1,0)))))+IF(BG$5&lt;&gt;$H97,0,IF(BG97&gt;0,IF($J97=7,$E97*$I97/12*0,IF($J97=8,$E97*$I97/12*1,IF($J97=9,$E97*$I97/12*2,IF($J97&gt;=10,$E97*$I97/12*3,0))))))</f>
        <v>0</v>
      </c>
      <c r="BK97" s="88">
        <f t="shared" ref="BK97" si="1619">IF($H97&lt;&gt;BL$5,0,IF(BL97&gt;0,IF(OR($J97=1,$J97=2,$J97=3,$J97=4,$J97=5,$J97=6,$J97=7,$J97=8,$J97=9,$J97=10),$E97*$I97/12*3,IF($J97=11,$E97*$I97/12*2,IF($J97=12,$E97*$I97/12*1,0)))))+IF(BG$5&lt;&gt;$H97,0,IF(BG97&gt;0,IF($J97=10,$E97*$I97/12*0,IF($J97=11,$E97*$I97/12*1,IF($J97=12,$E97*$I97/12*2,0)))))</f>
        <v>0</v>
      </c>
      <c r="BL97" s="85">
        <f t="shared" ref="BL97" si="1620">IF(AND(BG97&lt;&gt;0,BG$5=$H97),$I97*$E97-BG97,IF(BL$5=$H97,$I97*$E97*(12-$J97+1)/12,0))</f>
        <v>0</v>
      </c>
      <c r="BM97" s="86">
        <f t="shared" ref="BM97" si="1621">IF($H97&lt;&gt;BQ$5,0,IF(BQ97&gt;0,IF($J97=1,$E97*$I97/12*3,IF($J97=2,$E97*$I97/12*2,IF($J97=3,$E97*$I97/12*1,0)))))+IF(BL$5&lt;&gt;$H97,0,IF(BL97&gt;0,IF($J97=1,$E97*$I97/12*0,IF($J97=2,$E97*$I97/12*1,IF($J97=3,$E97*$I97/12*2,IF($J97&gt;=4,$E97*$I97/12*3,0))))))</f>
        <v>0</v>
      </c>
      <c r="BN97" s="87">
        <f t="shared" ref="BN97" si="1622">IF($H97&lt;&gt;BQ$5,0,IF(BQ97&gt;0,IF(OR($J97=1,$J97=2,$J97=3,$J97=4),$E97*$I97/12*3,IF($J97=5,$E97*$I97/12*2,IF($J97=6,$E97*$I97/12*1,0)))))+IF(BL$5&lt;&gt;$H97,0,IF(BL97&gt;0,IF($J97=4,$E97*$I97/12*0,IF($J97=5,$E97*$I97/12*1,IF($J97=6,$E97*$I97/12*2,IF($J97&gt;=7,$E97*$I97/12*3,0))))))</f>
        <v>0</v>
      </c>
      <c r="BO97" s="87">
        <f t="shared" ref="BO97" si="1623">IF($H97&lt;&gt;BQ$5,0,IF(BQ97&gt;0,IF(OR($J97=1,$J97=2,$J97=3,$J97=4,$J97=5,$J97=6,$J97=7),$E97*$I97/12*3,IF($J97=8,$E97*$I97/12*2,IF($J97=9,$E97*$I97/12*1,0)))))+IF(BL$5&lt;&gt;$H97,0,IF(BL97&gt;0,IF($J97=7,$E97*$I97/12*0,IF($J97=8,$E97*$I97/12*1,IF($J97=9,$E97*$I97/12*2,IF($J97&gt;=10,$E97*$I97/12*3,0))))))</f>
        <v>0</v>
      </c>
      <c r="BP97" s="88">
        <f t="shared" ref="BP97" si="1624">IF($H97&lt;&gt;BQ$5,0,IF(BQ97&gt;0,IF(OR($J97=1,$J97=2,$J97=3,$J97=4,$J97=5,$J97=6,$J97=7,$J97=8,$J97=9,$J97=10),$E97*$I97/12*3,IF($J97=11,$E97*$I97/12*2,IF($J97=12,$E97*$I97/12*1,0)))))+IF(BL$5&lt;&gt;$H97,0,IF(BL97&gt;0,IF($J97=10,$E97*$I97/12*0,IF($J97=11,$E97*$I97/12*1,IF($J97=12,$E97*$I97/12*2,0)))))</f>
        <v>0</v>
      </c>
      <c r="BQ97" s="85">
        <f t="shared" ref="BQ97" si="1625">IF(AND(BL97&lt;&gt;0,BL$5=$H97),$I97*$E97-BL97,IF(BQ$5=$H97,$I97*$E97*(12-$J97+1)/12,0))</f>
        <v>0</v>
      </c>
      <c r="BR97" s="86">
        <f t="shared" ref="BR97" si="1626">IF($H97&lt;&gt;BV$5,0,IF(BV97&gt;0,IF($J97=1,$E97*$I97/12*3,IF($J97=2,$E97*$I97/12*2,IF($J97=3,$E97*$I97/12*1,0)))))+IF(BQ$5&lt;&gt;$H97,0,IF(BQ97&gt;0,IF($J97=1,$E97*$I97/12*0,IF($J97=2,$E97*$I97/12*1,IF($J97=3,$E97*$I97/12*2,IF($J97&gt;=4,$E97*$I97/12*3,0))))))</f>
        <v>0</v>
      </c>
      <c r="BS97" s="87">
        <f t="shared" ref="BS97" si="1627">IF($H97&lt;&gt;BV$5,0,IF(BV97&gt;0,IF(OR($J97=1,$J97=2,$J97=3,$J97=4),$E97*$I97/12*3,IF($J97=5,$E97*$I97/12*2,IF($J97=6,$E97*$I97/12*1,0)))))+IF(BQ$5&lt;&gt;$H97,0,IF(BQ97&gt;0,IF($J97=4,$E97*$I97/12*0,IF($J97=5,$E97*$I97/12*1,IF($J97=6,$E97*$I97/12*2,IF($J97&gt;=7,$E97*$I97/12*3,0))))))</f>
        <v>0</v>
      </c>
      <c r="BT97" s="87">
        <f t="shared" ref="BT97" si="1628">IF($H97&lt;&gt;BV$5,0,IF(BV97&gt;0,IF(OR($J97=1,$J97=2,$J97=3,$J97=4,$J97=5,$J97=6,$J97=7),$E97*$I97/12*3,IF($J97=8,$E97*$I97/12*2,IF($J97=9,$E97*$I97/12*1,0)))))+IF(BQ$5&lt;&gt;$H97,0,IF(BQ97&gt;0,IF($J97=7,$E97*$I97/12*0,IF($J97=8,$E97*$I97/12*1,IF($J97=9,$E97*$I97/12*2,IF($J97&gt;=10,$E97*$I97/12*3,0))))))</f>
        <v>0</v>
      </c>
      <c r="BU97" s="88">
        <f t="shared" ref="BU97" si="1629">IF($H97&lt;&gt;BV$5,0,IF(BV97&gt;0,IF(OR($J97=1,$J97=2,$J97=3,$J97=4,$J97=5,$J97=6,$J97=7,$J97=8,$J97=9,$J97=10),$E97*$I97/12*3,IF($J97=11,$E97*$I97/12*2,IF($J97=12,$E97*$I97/12*1,0)))))+IF(BQ$5&lt;&gt;$H97,0,IF(BQ97&gt;0,IF($J97=10,$E97*$I97/12*0,IF($J97=11,$E97*$I97/12*1,IF($J97=12,$E97*$I97/12*2,0)))))</f>
        <v>0</v>
      </c>
      <c r="BV97" s="85">
        <f t="shared" ref="BV97" si="1630">IF(AND(BQ97&lt;&gt;0,BQ$5=$H97),$I97*$E97-BQ97,IF(BV$5=$H97,$I97*$E97*(12-$J97+1)/12,0))</f>
        <v>0</v>
      </c>
      <c r="BW97" s="86">
        <f t="shared" ref="BW97" si="1631">IF($H97&lt;&gt;CA$5,0,IF(CA97&gt;0,IF($J97=1,$E97*$I97/12*3,IF($J97=2,$E97*$I97/12*2,IF($J97=3,$E97*$I97/12*1,0)))))+IF(BV$5&lt;&gt;$H97,0,IF(BV97&gt;0,IF($J97=1,$E97*$I97/12*0,IF($J97=2,$E97*$I97/12*1,IF($J97=3,$E97*$I97/12*2,IF($J97&gt;=4,$E97*$I97/12*3,0))))))</f>
        <v>0</v>
      </c>
      <c r="BX97" s="87">
        <f t="shared" ref="BX97" si="1632">IF($H97&lt;&gt;CA$5,0,IF(CA97&gt;0,IF(OR($J97=1,$J97=2,$J97=3,$J97=4),$E97*$I97/12*3,IF($J97=5,$E97*$I97/12*2,IF($J97=6,$E97*$I97/12*1,0)))))+IF(BV$5&lt;&gt;$H97,0,IF(BV97&gt;0,IF($J97=4,$E97*$I97/12*0,IF($J97=5,$E97*$I97/12*1,IF($J97=6,$E97*$I97/12*2,IF($J97&gt;=7,$E97*$I97/12*3,0))))))</f>
        <v>0</v>
      </c>
      <c r="BY97" s="87">
        <f t="shared" ref="BY97" si="1633">IF($H97&lt;&gt;CA$5,0,IF(CA97&gt;0,IF(OR($J97=1,$J97=2,$J97=3,$J97=4,$J97=5,$J97=6,$J97=7),$E97*$I97/12*3,IF($J97=8,$E97*$I97/12*2,IF($J97=9,$E97*$I97/12*1,0)))))+IF(BV$5&lt;&gt;$H97,0,IF(BV97&gt;0,IF($J97=7,$E97*$I97/12*0,IF($J97=8,$E97*$I97/12*1,IF($J97=9,$E97*$I97/12*2,IF($J97&gt;=10,$E97*$I97/12*3,0))))))</f>
        <v>0</v>
      </c>
      <c r="BZ97" s="88">
        <f t="shared" ref="BZ97" si="1634">IF($H97&lt;&gt;CA$5,0,IF(CA97&gt;0,IF(OR($J97=1,$J97=2,$J97=3,$J97=4,$J97=5,$J97=6,$J97=7,$J97=8,$J97=9,$J97=10),$E97*$I97/12*3,IF($J97=11,$E97*$I97/12*2,IF($J97=12,$E97*$I97/12*1,0)))))+IF(BV$5&lt;&gt;$H97,0,IF(BV97&gt;0,IF($J97=10,$E97*$I97/12*0,IF($J97=11,$E97*$I97/12*1,IF($J97=12,$E97*$I97/12*2,0)))))</f>
        <v>0</v>
      </c>
      <c r="CA97" s="85">
        <f t="shared" ref="CA97" si="1635">IF(AND(BV97&lt;&gt;0,BV$5=$H97),$I97*$E97-BV97,IF(CA$5=$H97,$I97*$E97*(12-$J97+1)/12,0))</f>
        <v>0</v>
      </c>
      <c r="CB97" s="86">
        <f t="shared" ref="CB97" si="1636">IF($H97&lt;&gt;CF$5,0,IF(CF97&gt;0,IF($J97=1,$E97*$I97/12*3,IF($J97=2,$E97*$I97/12*2,IF($J97=3,$E97*$I97/12*1,0)))))+IF(CA$5&lt;&gt;$H97,0,IF(CA97&gt;0,IF($J97=1,$E97*$I97/12*0,IF($J97=2,$E97*$I97/12*1,IF($J97=3,$E97*$I97/12*2,IF($J97&gt;=4,$E97*$I97/12*3,0))))))</f>
        <v>0</v>
      </c>
      <c r="CC97" s="87">
        <f t="shared" ref="CC97" si="1637">IF($H97&lt;&gt;CF$5,0,IF(CF97&gt;0,IF(OR($J97=1,$J97=2,$J97=3,$J97=4),$E97*$I97/12*3,IF($J97=5,$E97*$I97/12*2,IF($J97=6,$E97*$I97/12*1,0)))))+IF(CA$5&lt;&gt;$H97,0,IF(CA97&gt;0,IF($J97=4,$E97*$I97/12*0,IF($J97=5,$E97*$I97/12*1,IF($J97=6,$E97*$I97/12*2,IF($J97&gt;=7,$E97*$I97/12*3,0))))))</f>
        <v>0</v>
      </c>
      <c r="CD97" s="87">
        <f t="shared" ref="CD97" si="1638">IF($H97&lt;&gt;CF$5,0,IF(CF97&gt;0,IF(OR($J97=1,$J97=2,$J97=3,$J97=4,$J97=5,$J97=6,$J97=7),$E97*$I97/12*3,IF($J97=8,$E97*$I97/12*2,IF($J97=9,$E97*$I97/12*1,0)))))+IF(CA$5&lt;&gt;$H97,0,IF(CA97&gt;0,IF($J97=7,$E97*$I97/12*0,IF($J97=8,$E97*$I97/12*1,IF($J97=9,$E97*$I97/12*2,IF($J97&gt;=10,$E97*$I97/12*3,0))))))</f>
        <v>0</v>
      </c>
      <c r="CE97" s="88">
        <f t="shared" ref="CE97" si="1639">IF($H97&lt;&gt;CF$5,0,IF(CF97&gt;0,IF(OR($J97=1,$J97=2,$J97=3,$J97=4,$J97=5,$J97=6,$J97=7,$J97=8,$J97=9,$J97=10),$E97*$I97/12*3,IF($J97=11,$E97*$I97/12*2,IF($J97=12,$E97*$I97/12*1,0)))))+IF(CA$5&lt;&gt;$H97,0,IF(CA97&gt;0,IF($J97=10,$E97*$I97/12*0,IF($J97=11,$E97*$I97/12*1,IF($J97=12,$E97*$I97/12*2,0)))))</f>
        <v>0</v>
      </c>
      <c r="CF97" s="85">
        <f t="shared" ref="CF97" si="1640">IF(AND(CA97&lt;&gt;0,CA$5=$H97),$I97*$E97-CA97,IF(CF$5=$H97,$I97*$E97*(12-$J97+1)/12,0))</f>
        <v>0</v>
      </c>
      <c r="CG97" s="86">
        <f t="shared" ref="CG97" si="1641">IF($H97&lt;&gt;CK$5,0,IF(CK97&gt;0,IF($J97=1,$E97*$I97/12*3,IF($J97=2,$E97*$I97/12*2,IF($J97=3,$E97*$I97/12*1,0)))))+IF(CF$5&lt;&gt;$H97,0,IF(CF97&gt;0,IF($J97=1,$E97*$I97/12*0,IF($J97=2,$E97*$I97/12*1,IF($J97=3,$E97*$I97/12*2,IF($J97&gt;=4,$E97*$I97/12*3,0))))))</f>
        <v>0</v>
      </c>
      <c r="CH97" s="87">
        <f t="shared" ref="CH97" si="1642">IF($H97&lt;&gt;CK$5,0,IF(CK97&gt;0,IF(OR($J97=1,$J97=2,$J97=3,$J97=4),$E97*$I97/12*3,IF($J97=5,$E97*$I97/12*2,IF($J97=6,$E97*$I97/12*1,0)))))+IF(CF$5&lt;&gt;$H97,0,IF(CF97&gt;0,IF($J97=4,$E97*$I97/12*0,IF($J97=5,$E97*$I97/12*1,IF($J97=6,$E97*$I97/12*2,IF($J97&gt;=7,$E97*$I97/12*3,0))))))</f>
        <v>0</v>
      </c>
      <c r="CI97" s="87">
        <f t="shared" ref="CI97" si="1643">IF($H97&lt;&gt;CK$5,0,IF(CK97&gt;0,IF(OR($J97=1,$J97=2,$J97=3,$J97=4,$J97=5,$J97=6,$J97=7),$E97*$I97/12*3,IF($J97=8,$E97*$I97/12*2,IF($J97=9,$E97*$I97/12*1,0)))))+IF(CF$5&lt;&gt;$H97,0,IF(CF97&gt;0,IF($J97=7,$E97*$I97/12*0,IF($J97=8,$E97*$I97/12*1,IF($J97=9,$E97*$I97/12*2,IF($J97&gt;=10,$E97*$I97/12*3,0))))))</f>
        <v>0</v>
      </c>
      <c r="CJ97" s="88">
        <f t="shared" ref="CJ97" si="1644">IF($H97&lt;&gt;CK$5,0,IF(CK97&gt;0,IF(OR($J97=1,$J97=2,$J97=3,$J97=4,$J97=5,$J97=6,$J97=7,$J97=8,$J97=9,$J97=10),$E97*$I97/12*3,IF($J97=11,$E97*$I97/12*2,IF($J97=12,$E97*$I97/12*1,0)))))+IF(CF$5&lt;&gt;$H97,0,IF(CF97&gt;0,IF($J97=10,$E97*$I97/12*0,IF($J97=11,$E97*$I97/12*1,IF($J97=12,$E97*$I97/12*2,0)))))</f>
        <v>0</v>
      </c>
      <c r="CK97" s="85">
        <f t="shared" ref="CK97" si="1645">IF(AND(CF97&lt;&gt;0,CF$5=$H97),$I97*$E97-CF97,IF(CK$5=$H97,$I97*$E97*(12-$J97+1)/12,0))</f>
        <v>0</v>
      </c>
      <c r="CL97" s="86">
        <f t="shared" ref="CL97" si="1646">IF($H97&lt;&gt;CP$5,0,IF(CP97&gt;0,IF($J97=1,$E97*$I97/12*3,IF($J97=2,$E97*$I97/12*2,IF($J97=3,$E97*$I97/12*1,0)))))+IF(CK$5&lt;&gt;$H97,0,IF(CK97&gt;0,IF($J97=1,$E97*$I97/12*0,IF($J97=2,$E97*$I97/12*1,IF($J97=3,$E97*$I97/12*2,IF($J97&gt;=4,$E97*$I97/12*3,0))))))</f>
        <v>0</v>
      </c>
      <c r="CM97" s="87">
        <f t="shared" ref="CM97" si="1647">IF($H97&lt;&gt;CP$5,0,IF(CP97&gt;0,IF(OR($J97=1,$J97=2,$J97=3,$J97=4),$E97*$I97/12*3,IF($J97=5,$E97*$I97/12*2,IF($J97=6,$E97*$I97/12*1,0)))))+IF(CK$5&lt;&gt;$H97,0,IF(CK97&gt;0,IF($J97=4,$E97*$I97/12*0,IF($J97=5,$E97*$I97/12*1,IF($J97=6,$E97*$I97/12*2,IF($J97&gt;=7,$E97*$I97/12*3,0))))))</f>
        <v>0</v>
      </c>
      <c r="CN97" s="87">
        <f t="shared" ref="CN97" si="1648">IF($H97&lt;&gt;CP$5,0,IF(CP97&gt;0,IF(OR($J97=1,$J97=2,$J97=3,$J97=4,$J97=5,$J97=6,$J97=7),$E97*$I97/12*3,IF($J97=8,$E97*$I97/12*2,IF($J97=9,$E97*$I97/12*1,0)))))+IF(CK$5&lt;&gt;$H97,0,IF(CK97&gt;0,IF($J97=7,$E97*$I97/12*0,IF($J97=8,$E97*$I97/12*1,IF($J97=9,$E97*$I97/12*2,IF($J97&gt;=10,$E97*$I97/12*3,0))))))</f>
        <v>0</v>
      </c>
      <c r="CO97" s="88">
        <f t="shared" ref="CO97" si="1649">IF($H97&lt;&gt;CP$5,0,IF(CP97&gt;0,IF(OR($J97=1,$J97=2,$J97=3,$J97=4,$J97=5,$J97=6,$J97=7,$J97=8,$J97=9,$J97=10),$E97*$I97/12*3,IF($J97=11,$E97*$I97/12*2,IF($J97=12,$E97*$I97/12*1,0)))))+IF(CK$5&lt;&gt;$H97,0,IF(CK97&gt;0,IF($J97=10,$E97*$I97/12*0,IF($J97=11,$E97*$I97/12*1,IF($J97=12,$E97*$I97/12*2,0)))))</f>
        <v>0</v>
      </c>
      <c r="CP97" s="85">
        <f t="shared" ref="CP97" si="1650">IF(AND(CK97&lt;&gt;0,CK$5=$H97),$I97*$E97-CK97,IF(CP$5=$H97,$I97*$E97*(12-$J97+1)/12,0))</f>
        <v>0</v>
      </c>
      <c r="CQ97" s="86">
        <f t="shared" ref="CQ97" si="1651">IF($H97&lt;&gt;CU$5,0,IF(CU97&gt;0,IF($J97=1,$E97*$I97/12*3,IF($J97=2,$E97*$I97/12*2,IF($J97=3,$E97*$I97/12*1,0)))))+IF(CP$5&lt;&gt;$H97,0,IF(CP97&gt;0,IF($J97=1,$E97*$I97/12*0,IF($J97=2,$E97*$I97/12*1,IF($J97=3,$E97*$I97/12*2,IF($J97&gt;=4,$E97*$I97/12*3,0))))))</f>
        <v>0</v>
      </c>
      <c r="CR97" s="87">
        <f t="shared" ref="CR97" si="1652">IF($H97&lt;&gt;CU$5,0,IF(CU97&gt;0,IF(OR($J97=1,$J97=2,$J97=3,$J97=4),$E97*$I97/12*3,IF($J97=5,$E97*$I97/12*2,IF($J97=6,$E97*$I97/12*1,0)))))+IF(CP$5&lt;&gt;$H97,0,IF(CP97&gt;0,IF($J97=4,$E97*$I97/12*0,IF($J97=5,$E97*$I97/12*1,IF($J97=6,$E97*$I97/12*2,IF($J97&gt;=7,$E97*$I97/12*3,0))))))</f>
        <v>0</v>
      </c>
      <c r="CS97" s="87">
        <f t="shared" ref="CS97" si="1653">IF($H97&lt;&gt;CU$5,0,IF(CU97&gt;0,IF(OR($J97=1,$J97=2,$J97=3,$J97=4,$J97=5,$J97=6,$J97=7),$E97*$I97/12*3,IF($J97=8,$E97*$I97/12*2,IF($J97=9,$E97*$I97/12*1,0)))))+IF(CP$5&lt;&gt;$H97,0,IF(CP97&gt;0,IF($J97=7,$E97*$I97/12*0,IF($J97=8,$E97*$I97/12*1,IF($J97=9,$E97*$I97/12*2,IF($J97&gt;=10,$E97*$I97/12*3,0))))))</f>
        <v>0</v>
      </c>
      <c r="CT97" s="88">
        <f t="shared" ref="CT97" si="1654">IF($H97&lt;&gt;CU$5,0,IF(CU97&gt;0,IF(OR($J97=1,$J97=2,$J97=3,$J97=4,$J97=5,$J97=6,$J97=7,$J97=8,$J97=9,$J97=10),$E97*$I97/12*3,IF($J97=11,$E97*$I97/12*2,IF($J97=12,$E97*$I97/12*1,0)))))+IF(CP$5&lt;&gt;$H97,0,IF(CP97&gt;0,IF($J97=10,$E97*$I97/12*0,IF($J97=11,$E97*$I97/12*1,IF($J97=12,$E97*$I97/12*2,0)))))</f>
        <v>0</v>
      </c>
      <c r="CU97" s="85">
        <f t="shared" ref="CU97" si="1655">IF(AND(CP97&lt;&gt;0,CP$5=$H97),$I97*$E97-CP97,IF(CU$5=$H97,$I97*$E97*(12-$J97+1)/12,0))</f>
        <v>0</v>
      </c>
      <c r="CV97" s="86">
        <f t="shared" si="1505"/>
        <v>0</v>
      </c>
      <c r="CW97" s="87">
        <f t="shared" si="1506"/>
        <v>0</v>
      </c>
      <c r="CX97" s="87">
        <f t="shared" si="1507"/>
        <v>0</v>
      </c>
      <c r="CY97" s="88">
        <f t="shared" si="1508"/>
        <v>0</v>
      </c>
      <c r="CZ97" s="85">
        <f t="shared" si="1509"/>
        <v>0</v>
      </c>
    </row>
    <row r="98" spans="1:104" ht="12.75" customHeight="1">
      <c r="A98" s="4"/>
      <c r="B98" s="4"/>
      <c r="C98" s="174"/>
      <c r="D98" s="175"/>
      <c r="E98" s="92"/>
      <c r="F98" s="93"/>
      <c r="G98" s="93"/>
      <c r="H98" s="176"/>
      <c r="I98" s="176"/>
      <c r="J98" s="178"/>
      <c r="K98" s="97"/>
      <c r="L98" s="98"/>
      <c r="M98" s="99"/>
      <c r="N98" s="100"/>
      <c r="O98" s="100"/>
      <c r="P98" s="101"/>
      <c r="Q98" s="98"/>
      <c r="R98" s="99"/>
      <c r="S98" s="100"/>
      <c r="T98" s="100"/>
      <c r="U98" s="101"/>
      <c r="V98" s="98"/>
      <c r="W98" s="99"/>
      <c r="X98" s="100"/>
      <c r="Y98" s="100"/>
      <c r="Z98" s="101"/>
      <c r="AA98" s="98"/>
      <c r="AB98" s="99"/>
      <c r="AC98" s="100"/>
      <c r="AD98" s="100"/>
      <c r="AE98" s="101"/>
      <c r="AF98" s="98"/>
      <c r="AG98" s="99"/>
      <c r="AH98" s="100"/>
      <c r="AI98" s="100"/>
      <c r="AJ98" s="101"/>
      <c r="AK98" s="98"/>
      <c r="AL98" s="99"/>
      <c r="AM98" s="100"/>
      <c r="AN98" s="100"/>
      <c r="AO98" s="101"/>
      <c r="AP98" s="98"/>
      <c r="AQ98" s="99"/>
      <c r="AR98" s="100"/>
      <c r="AS98" s="100"/>
      <c r="AT98" s="101"/>
      <c r="AU98" s="98"/>
      <c r="AV98" s="99"/>
      <c r="AW98" s="100"/>
      <c r="AX98" s="100"/>
      <c r="AY98" s="101"/>
      <c r="AZ98" s="98"/>
      <c r="BA98" s="99"/>
      <c r="BB98" s="100"/>
      <c r="BC98" s="100"/>
      <c r="BD98" s="101"/>
      <c r="BE98" s="98"/>
      <c r="BF98" s="1657"/>
      <c r="BG98" s="2015"/>
      <c r="BH98" s="219"/>
      <c r="BI98" s="220"/>
      <c r="BJ98" s="220"/>
      <c r="BK98" s="221"/>
      <c r="BL98" s="218"/>
      <c r="BM98" s="219"/>
      <c r="BN98" s="220"/>
      <c r="BO98" s="220"/>
      <c r="BP98" s="221"/>
      <c r="BQ98" s="218"/>
      <c r="BR98" s="219"/>
      <c r="BS98" s="220"/>
      <c r="BT98" s="220"/>
      <c r="BU98" s="221"/>
      <c r="BV98" s="218"/>
      <c r="BW98" s="219"/>
      <c r="BX98" s="220"/>
      <c r="BY98" s="220"/>
      <c r="BZ98" s="221"/>
      <c r="CA98" s="218"/>
      <c r="CB98" s="219"/>
      <c r="CC98" s="220"/>
      <c r="CD98" s="220"/>
      <c r="CE98" s="221"/>
      <c r="CF98" s="218"/>
      <c r="CG98" s="219"/>
      <c r="CH98" s="220"/>
      <c r="CI98" s="220"/>
      <c r="CJ98" s="221"/>
      <c r="CK98" s="218"/>
      <c r="CL98" s="219"/>
      <c r="CM98" s="220"/>
      <c r="CN98" s="220"/>
      <c r="CO98" s="221"/>
      <c r="CP98" s="218"/>
      <c r="CQ98" s="219"/>
      <c r="CR98" s="220"/>
      <c r="CS98" s="220"/>
      <c r="CT98" s="221"/>
      <c r="CU98" s="218"/>
      <c r="CV98" s="219"/>
      <c r="CW98" s="220"/>
      <c r="CX98" s="220"/>
      <c r="CY98" s="221"/>
      <c r="CZ98" s="218"/>
    </row>
    <row r="99" spans="1:104" ht="12.75" customHeight="1">
      <c r="A99" s="156"/>
      <c r="B99" s="156"/>
      <c r="C99" s="157" t="s">
        <v>399</v>
      </c>
      <c r="D99" s="194"/>
      <c r="E99" s="158">
        <f>SUM(E93:E98)</f>
        <v>500</v>
      </c>
      <c r="F99" s="107"/>
      <c r="G99" s="107"/>
      <c r="H99" s="108"/>
      <c r="I99" s="108"/>
      <c r="J99" s="110"/>
      <c r="K99" s="180"/>
      <c r="L99" s="111">
        <f t="shared" ref="L99:BE99" si="1656">SUM(L93:L98)</f>
        <v>0</v>
      </c>
      <c r="M99" s="112">
        <f t="shared" si="1656"/>
        <v>0</v>
      </c>
      <c r="N99" s="113">
        <f t="shared" si="1656"/>
        <v>0</v>
      </c>
      <c r="O99" s="113">
        <f t="shared" si="1656"/>
        <v>0</v>
      </c>
      <c r="P99" s="114">
        <f t="shared" si="1656"/>
        <v>0</v>
      </c>
      <c r="Q99" s="111">
        <f t="shared" si="1656"/>
        <v>0</v>
      </c>
      <c r="R99" s="112">
        <f t="shared" si="1656"/>
        <v>0</v>
      </c>
      <c r="S99" s="113">
        <f t="shared" si="1656"/>
        <v>0</v>
      </c>
      <c r="T99" s="113">
        <f t="shared" si="1656"/>
        <v>0</v>
      </c>
      <c r="U99" s="114">
        <f t="shared" si="1656"/>
        <v>0</v>
      </c>
      <c r="V99" s="111">
        <f t="shared" si="1656"/>
        <v>0</v>
      </c>
      <c r="W99" s="112">
        <f t="shared" si="1656"/>
        <v>0</v>
      </c>
      <c r="X99" s="113">
        <f t="shared" si="1656"/>
        <v>0</v>
      </c>
      <c r="Y99" s="113">
        <f t="shared" si="1656"/>
        <v>0</v>
      </c>
      <c r="Z99" s="114">
        <f t="shared" si="1656"/>
        <v>0</v>
      </c>
      <c r="AA99" s="111">
        <f t="shared" si="1656"/>
        <v>0</v>
      </c>
      <c r="AB99" s="112">
        <f t="shared" si="1656"/>
        <v>0</v>
      </c>
      <c r="AC99" s="113">
        <f t="shared" si="1656"/>
        <v>0</v>
      </c>
      <c r="AD99" s="113">
        <f t="shared" si="1656"/>
        <v>0</v>
      </c>
      <c r="AE99" s="114">
        <f t="shared" si="1656"/>
        <v>0</v>
      </c>
      <c r="AF99" s="111">
        <f t="shared" si="1656"/>
        <v>0</v>
      </c>
      <c r="AG99" s="112">
        <f t="shared" si="1656"/>
        <v>0</v>
      </c>
      <c r="AH99" s="113">
        <f t="shared" si="1656"/>
        <v>0</v>
      </c>
      <c r="AI99" s="113">
        <f t="shared" si="1656"/>
        <v>0</v>
      </c>
      <c r="AJ99" s="114">
        <f t="shared" si="1656"/>
        <v>500</v>
      </c>
      <c r="AK99" s="111">
        <f t="shared" si="1656"/>
        <v>500</v>
      </c>
      <c r="AL99" s="112">
        <f t="shared" si="1656"/>
        <v>0</v>
      </c>
      <c r="AM99" s="113">
        <f t="shared" si="1656"/>
        <v>0</v>
      </c>
      <c r="AN99" s="113">
        <f t="shared" si="1656"/>
        <v>0</v>
      </c>
      <c r="AO99" s="114">
        <f t="shared" si="1656"/>
        <v>0</v>
      </c>
      <c r="AP99" s="111">
        <f t="shared" si="1656"/>
        <v>0</v>
      </c>
      <c r="AQ99" s="112">
        <f t="shared" si="1656"/>
        <v>0</v>
      </c>
      <c r="AR99" s="113">
        <f t="shared" si="1656"/>
        <v>0</v>
      </c>
      <c r="AS99" s="113">
        <f t="shared" si="1656"/>
        <v>0</v>
      </c>
      <c r="AT99" s="114">
        <f t="shared" si="1656"/>
        <v>0</v>
      </c>
      <c r="AU99" s="111">
        <f t="shared" si="1656"/>
        <v>0</v>
      </c>
      <c r="AV99" s="112">
        <f t="shared" si="1656"/>
        <v>0</v>
      </c>
      <c r="AW99" s="113">
        <f t="shared" si="1656"/>
        <v>0</v>
      </c>
      <c r="AX99" s="113">
        <f t="shared" si="1656"/>
        <v>0</v>
      </c>
      <c r="AY99" s="114">
        <f t="shared" si="1656"/>
        <v>0</v>
      </c>
      <c r="AZ99" s="111">
        <f t="shared" si="1656"/>
        <v>0</v>
      </c>
      <c r="BA99" s="112">
        <f t="shared" si="1656"/>
        <v>0</v>
      </c>
      <c r="BB99" s="113">
        <f t="shared" si="1656"/>
        <v>0</v>
      </c>
      <c r="BC99" s="113">
        <f t="shared" si="1656"/>
        <v>0</v>
      </c>
      <c r="BD99" s="114">
        <f t="shared" si="1656"/>
        <v>0</v>
      </c>
      <c r="BE99" s="111">
        <f t="shared" si="1656"/>
        <v>0</v>
      </c>
      <c r="BF99" s="1883"/>
      <c r="BG99" s="2007">
        <f t="shared" ref="BG99:CZ99" si="1657">SUM(BG93:BG98)</f>
        <v>0</v>
      </c>
      <c r="BH99" s="116">
        <f t="shared" si="1657"/>
        <v>0</v>
      </c>
      <c r="BI99" s="117">
        <f t="shared" si="1657"/>
        <v>0</v>
      </c>
      <c r="BJ99" s="117">
        <f t="shared" si="1657"/>
        <v>0</v>
      </c>
      <c r="BK99" s="118">
        <f t="shared" si="1657"/>
        <v>0</v>
      </c>
      <c r="BL99" s="115">
        <f t="shared" si="1657"/>
        <v>0</v>
      </c>
      <c r="BM99" s="116">
        <f t="shared" si="1657"/>
        <v>0</v>
      </c>
      <c r="BN99" s="117">
        <f t="shared" si="1657"/>
        <v>0</v>
      </c>
      <c r="BO99" s="117">
        <f t="shared" si="1657"/>
        <v>0</v>
      </c>
      <c r="BP99" s="118">
        <f t="shared" si="1657"/>
        <v>0</v>
      </c>
      <c r="BQ99" s="115">
        <f t="shared" si="1657"/>
        <v>0</v>
      </c>
      <c r="BR99" s="116">
        <f t="shared" si="1657"/>
        <v>0</v>
      </c>
      <c r="BS99" s="117">
        <f t="shared" si="1657"/>
        <v>0</v>
      </c>
      <c r="BT99" s="117">
        <f t="shared" si="1657"/>
        <v>0</v>
      </c>
      <c r="BU99" s="118">
        <f t="shared" si="1657"/>
        <v>0</v>
      </c>
      <c r="BV99" s="115">
        <f t="shared" si="1657"/>
        <v>0</v>
      </c>
      <c r="BW99" s="116">
        <f t="shared" si="1657"/>
        <v>0</v>
      </c>
      <c r="BX99" s="117">
        <f t="shared" si="1657"/>
        <v>0</v>
      </c>
      <c r="BY99" s="117">
        <f t="shared" si="1657"/>
        <v>0</v>
      </c>
      <c r="BZ99" s="118">
        <f t="shared" si="1657"/>
        <v>0</v>
      </c>
      <c r="CA99" s="115">
        <f t="shared" si="1657"/>
        <v>0</v>
      </c>
      <c r="CB99" s="116">
        <f t="shared" si="1657"/>
        <v>0</v>
      </c>
      <c r="CC99" s="117">
        <f t="shared" si="1657"/>
        <v>0</v>
      </c>
      <c r="CD99" s="117">
        <f t="shared" si="1657"/>
        <v>0</v>
      </c>
      <c r="CE99" s="118">
        <f t="shared" si="1657"/>
        <v>2.8333333333333335</v>
      </c>
      <c r="CF99" s="115">
        <f t="shared" si="1657"/>
        <v>2.8333333333333335</v>
      </c>
      <c r="CG99" s="116">
        <f t="shared" si="1657"/>
        <v>4.25</v>
      </c>
      <c r="CH99" s="117">
        <f t="shared" si="1657"/>
        <v>4.25</v>
      </c>
      <c r="CI99" s="117">
        <f t="shared" si="1657"/>
        <v>4.25</v>
      </c>
      <c r="CJ99" s="118">
        <f t="shared" si="1657"/>
        <v>1.4166666666666667</v>
      </c>
      <c r="CK99" s="115">
        <f t="shared" si="1657"/>
        <v>14.166666666666666</v>
      </c>
      <c r="CL99" s="116">
        <f t="shared" si="1657"/>
        <v>0</v>
      </c>
      <c r="CM99" s="117">
        <f t="shared" si="1657"/>
        <v>0</v>
      </c>
      <c r="CN99" s="117">
        <f t="shared" si="1657"/>
        <v>0</v>
      </c>
      <c r="CO99" s="118">
        <f t="shared" si="1657"/>
        <v>0</v>
      </c>
      <c r="CP99" s="115">
        <f t="shared" si="1657"/>
        <v>0</v>
      </c>
      <c r="CQ99" s="116">
        <f t="shared" si="1657"/>
        <v>0</v>
      </c>
      <c r="CR99" s="117">
        <f t="shared" si="1657"/>
        <v>0</v>
      </c>
      <c r="CS99" s="117">
        <f t="shared" si="1657"/>
        <v>0</v>
      </c>
      <c r="CT99" s="118">
        <f t="shared" si="1657"/>
        <v>0</v>
      </c>
      <c r="CU99" s="115">
        <f t="shared" si="1657"/>
        <v>0</v>
      </c>
      <c r="CV99" s="116">
        <f t="shared" si="1657"/>
        <v>0</v>
      </c>
      <c r="CW99" s="117">
        <f t="shared" si="1657"/>
        <v>0</v>
      </c>
      <c r="CX99" s="117">
        <f t="shared" si="1657"/>
        <v>0</v>
      </c>
      <c r="CY99" s="118">
        <f t="shared" si="1657"/>
        <v>0</v>
      </c>
      <c r="CZ99" s="115">
        <f t="shared" si="1657"/>
        <v>0</v>
      </c>
    </row>
    <row r="100" spans="1:104" ht="12.75" customHeight="1">
      <c r="A100" s="4"/>
      <c r="B100" s="4"/>
      <c r="C100" s="195"/>
      <c r="D100" s="195"/>
      <c r="E100" s="75"/>
      <c r="F100" s="76"/>
      <c r="G100" s="76"/>
      <c r="H100" s="77"/>
      <c r="I100" s="78"/>
      <c r="J100" s="79"/>
      <c r="K100" s="80"/>
      <c r="L100" s="81"/>
      <c r="M100" s="82"/>
      <c r="N100" s="83"/>
      <c r="O100" s="83"/>
      <c r="P100" s="84"/>
      <c r="Q100" s="81"/>
      <c r="R100" s="82"/>
      <c r="S100" s="83"/>
      <c r="T100" s="83"/>
      <c r="U100" s="84"/>
      <c r="V100" s="81"/>
      <c r="W100" s="82"/>
      <c r="X100" s="83"/>
      <c r="Y100" s="83"/>
      <c r="Z100" s="84"/>
      <c r="AA100" s="81"/>
      <c r="AB100" s="82"/>
      <c r="AC100" s="83"/>
      <c r="AD100" s="83"/>
      <c r="AE100" s="84"/>
      <c r="AF100" s="81"/>
      <c r="AG100" s="82"/>
      <c r="AH100" s="83"/>
      <c r="AI100" s="83"/>
      <c r="AJ100" s="84"/>
      <c r="AK100" s="81"/>
      <c r="AL100" s="82"/>
      <c r="AM100" s="83"/>
      <c r="AN100" s="83"/>
      <c r="AO100" s="84"/>
      <c r="AP100" s="81"/>
      <c r="AQ100" s="82"/>
      <c r="AR100" s="83"/>
      <c r="AS100" s="83"/>
      <c r="AT100" s="84"/>
      <c r="AU100" s="81"/>
      <c r="AV100" s="82"/>
      <c r="AW100" s="83"/>
      <c r="AX100" s="83"/>
      <c r="AY100" s="84"/>
      <c r="AZ100" s="81"/>
      <c r="BA100" s="82"/>
      <c r="BB100" s="83"/>
      <c r="BC100" s="83"/>
      <c r="BD100" s="84"/>
      <c r="BE100" s="81"/>
      <c r="BF100" s="1884"/>
      <c r="BG100" s="2005"/>
      <c r="BH100" s="86"/>
      <c r="BI100" s="87"/>
      <c r="BJ100" s="87"/>
      <c r="BK100" s="88"/>
      <c r="BL100" s="85"/>
      <c r="BM100" s="86"/>
      <c r="BN100" s="87"/>
      <c r="BO100" s="87"/>
      <c r="BP100" s="88"/>
      <c r="BQ100" s="85"/>
      <c r="BR100" s="86"/>
      <c r="BS100" s="87"/>
      <c r="BT100" s="87"/>
      <c r="BU100" s="88"/>
      <c r="BV100" s="85"/>
      <c r="BW100" s="86"/>
      <c r="BX100" s="87"/>
      <c r="BY100" s="87"/>
      <c r="BZ100" s="88"/>
      <c r="CA100" s="85"/>
      <c r="CB100" s="86"/>
      <c r="CC100" s="87"/>
      <c r="CD100" s="87"/>
      <c r="CE100" s="88"/>
      <c r="CF100" s="85"/>
      <c r="CG100" s="86"/>
      <c r="CH100" s="87"/>
      <c r="CI100" s="87"/>
      <c r="CJ100" s="88"/>
      <c r="CK100" s="85"/>
      <c r="CL100" s="86"/>
      <c r="CM100" s="87"/>
      <c r="CN100" s="87"/>
      <c r="CO100" s="88"/>
      <c r="CP100" s="85"/>
      <c r="CQ100" s="86"/>
      <c r="CR100" s="87"/>
      <c r="CS100" s="87"/>
      <c r="CT100" s="88"/>
      <c r="CU100" s="85"/>
      <c r="CV100" s="86"/>
      <c r="CW100" s="87"/>
      <c r="CX100" s="87"/>
      <c r="CY100" s="88"/>
      <c r="CZ100" s="85"/>
    </row>
    <row r="101" spans="1:104" ht="12.75" customHeight="1">
      <c r="A101" s="4"/>
      <c r="B101" s="4"/>
      <c r="C101" s="90" t="s">
        <v>542</v>
      </c>
      <c r="D101" s="90"/>
      <c r="E101" s="106"/>
      <c r="F101" s="119"/>
      <c r="G101" s="119"/>
      <c r="H101" s="108"/>
      <c r="I101" s="109"/>
      <c r="J101" s="110"/>
      <c r="K101" s="180"/>
      <c r="L101" s="111">
        <f t="shared" ref="L101:BE101" si="1658">+L90+L99</f>
        <v>0</v>
      </c>
      <c r="M101" s="112">
        <f t="shared" si="1658"/>
        <v>0</v>
      </c>
      <c r="N101" s="113">
        <f t="shared" si="1658"/>
        <v>0</v>
      </c>
      <c r="O101" s="113">
        <f t="shared" si="1658"/>
        <v>0</v>
      </c>
      <c r="P101" s="114">
        <f t="shared" si="1658"/>
        <v>0</v>
      </c>
      <c r="Q101" s="111">
        <f t="shared" si="1658"/>
        <v>0</v>
      </c>
      <c r="R101" s="112">
        <f t="shared" si="1658"/>
        <v>0</v>
      </c>
      <c r="S101" s="113">
        <f t="shared" si="1658"/>
        <v>0</v>
      </c>
      <c r="T101" s="113">
        <f t="shared" si="1658"/>
        <v>0</v>
      </c>
      <c r="U101" s="114">
        <f t="shared" si="1658"/>
        <v>0</v>
      </c>
      <c r="V101" s="111">
        <f t="shared" si="1658"/>
        <v>0</v>
      </c>
      <c r="W101" s="112">
        <f t="shared" si="1658"/>
        <v>0</v>
      </c>
      <c r="X101" s="113">
        <f t="shared" si="1658"/>
        <v>0</v>
      </c>
      <c r="Y101" s="113">
        <f t="shared" si="1658"/>
        <v>0</v>
      </c>
      <c r="Z101" s="114">
        <f t="shared" si="1658"/>
        <v>0</v>
      </c>
      <c r="AA101" s="111">
        <f t="shared" si="1658"/>
        <v>0</v>
      </c>
      <c r="AB101" s="112">
        <f t="shared" si="1658"/>
        <v>0</v>
      </c>
      <c r="AC101" s="113">
        <f t="shared" si="1658"/>
        <v>0</v>
      </c>
      <c r="AD101" s="113">
        <f t="shared" si="1658"/>
        <v>0</v>
      </c>
      <c r="AE101" s="114">
        <f t="shared" si="1658"/>
        <v>0</v>
      </c>
      <c r="AF101" s="111">
        <f t="shared" si="1658"/>
        <v>0</v>
      </c>
      <c r="AG101" s="112">
        <f t="shared" si="1658"/>
        <v>0</v>
      </c>
      <c r="AH101" s="113">
        <f t="shared" si="1658"/>
        <v>0</v>
      </c>
      <c r="AI101" s="113">
        <f t="shared" si="1658"/>
        <v>0</v>
      </c>
      <c r="AJ101" s="114">
        <f t="shared" si="1658"/>
        <v>-224</v>
      </c>
      <c r="AK101" s="111">
        <f t="shared" si="1658"/>
        <v>-224</v>
      </c>
      <c r="AL101" s="112">
        <f t="shared" si="1658"/>
        <v>-20</v>
      </c>
      <c r="AM101" s="113">
        <f t="shared" si="1658"/>
        <v>-116</v>
      </c>
      <c r="AN101" s="113">
        <f t="shared" si="1658"/>
        <v>-5</v>
      </c>
      <c r="AO101" s="114">
        <f t="shared" si="1658"/>
        <v>0</v>
      </c>
      <c r="AP101" s="111">
        <f t="shared" si="1658"/>
        <v>-141</v>
      </c>
      <c r="AQ101" s="112">
        <f t="shared" si="1658"/>
        <v>0</v>
      </c>
      <c r="AR101" s="113">
        <f t="shared" si="1658"/>
        <v>0</v>
      </c>
      <c r="AS101" s="113">
        <f t="shared" si="1658"/>
        <v>-4</v>
      </c>
      <c r="AT101" s="114">
        <f t="shared" si="1658"/>
        <v>-600</v>
      </c>
      <c r="AU101" s="111">
        <f t="shared" si="1658"/>
        <v>-604</v>
      </c>
      <c r="AV101" s="112">
        <f t="shared" si="1658"/>
        <v>-1000</v>
      </c>
      <c r="AW101" s="113">
        <f t="shared" si="1658"/>
        <v>0</v>
      </c>
      <c r="AX101" s="113">
        <f t="shared" si="1658"/>
        <v>-435.47</v>
      </c>
      <c r="AY101" s="114">
        <f t="shared" si="1658"/>
        <v>-550</v>
      </c>
      <c r="AZ101" s="111">
        <f t="shared" si="1658"/>
        <v>-1985.47</v>
      </c>
      <c r="BA101" s="112">
        <f t="shared" si="1658"/>
        <v>-861</v>
      </c>
      <c r="BB101" s="113">
        <f t="shared" si="1658"/>
        <v>0</v>
      </c>
      <c r="BC101" s="113">
        <f t="shared" si="1658"/>
        <v>0</v>
      </c>
      <c r="BD101" s="114">
        <f t="shared" si="1658"/>
        <v>0</v>
      </c>
      <c r="BE101" s="111">
        <f t="shared" si="1658"/>
        <v>-861</v>
      </c>
      <c r="BF101" s="1883"/>
      <c r="BG101" s="2007">
        <f t="shared" ref="BG101:CZ101" si="1659">+BG90+BG99</f>
        <v>0</v>
      </c>
      <c r="BH101" s="116">
        <f t="shared" si="1659"/>
        <v>0</v>
      </c>
      <c r="BI101" s="117">
        <f t="shared" si="1659"/>
        <v>0</v>
      </c>
      <c r="BJ101" s="117">
        <f t="shared" si="1659"/>
        <v>0</v>
      </c>
      <c r="BK101" s="118">
        <f t="shared" si="1659"/>
        <v>0</v>
      </c>
      <c r="BL101" s="115">
        <f t="shared" si="1659"/>
        <v>0</v>
      </c>
      <c r="BM101" s="116">
        <f t="shared" si="1659"/>
        <v>0</v>
      </c>
      <c r="BN101" s="117">
        <f t="shared" si="1659"/>
        <v>0</v>
      </c>
      <c r="BO101" s="117">
        <f t="shared" si="1659"/>
        <v>0</v>
      </c>
      <c r="BP101" s="118">
        <f t="shared" si="1659"/>
        <v>0</v>
      </c>
      <c r="BQ101" s="115">
        <f t="shared" si="1659"/>
        <v>0</v>
      </c>
      <c r="BR101" s="116">
        <f t="shared" si="1659"/>
        <v>0</v>
      </c>
      <c r="BS101" s="117">
        <f t="shared" si="1659"/>
        <v>0</v>
      </c>
      <c r="BT101" s="117">
        <f t="shared" si="1659"/>
        <v>0</v>
      </c>
      <c r="BU101" s="118">
        <f t="shared" si="1659"/>
        <v>0</v>
      </c>
      <c r="BV101" s="115">
        <f t="shared" si="1659"/>
        <v>0</v>
      </c>
      <c r="BW101" s="116">
        <f t="shared" si="1659"/>
        <v>0</v>
      </c>
      <c r="BX101" s="117">
        <f t="shared" si="1659"/>
        <v>0</v>
      </c>
      <c r="BY101" s="117">
        <f t="shared" si="1659"/>
        <v>0</v>
      </c>
      <c r="BZ101" s="118">
        <f t="shared" si="1659"/>
        <v>0</v>
      </c>
      <c r="CA101" s="115">
        <f t="shared" si="1659"/>
        <v>0</v>
      </c>
      <c r="CB101" s="116">
        <f t="shared" si="1659"/>
        <v>0</v>
      </c>
      <c r="CC101" s="117">
        <f t="shared" si="1659"/>
        <v>0</v>
      </c>
      <c r="CD101" s="117">
        <f t="shared" si="1659"/>
        <v>0</v>
      </c>
      <c r="CE101" s="118">
        <f t="shared" si="1659"/>
        <v>-8.1366666666666667</v>
      </c>
      <c r="CF101" s="115">
        <f t="shared" si="1659"/>
        <v>-8.1366666666666667</v>
      </c>
      <c r="CG101" s="116">
        <f t="shared" si="1659"/>
        <v>-6.9366500000000002</v>
      </c>
      <c r="CH101" s="117">
        <f t="shared" si="1659"/>
        <v>-7.3493250000000003</v>
      </c>
      <c r="CI101" s="117">
        <f t="shared" si="1659"/>
        <v>-7.9632000000000005</v>
      </c>
      <c r="CJ101" s="118">
        <f t="shared" si="1659"/>
        <v>0.17346666666666688</v>
      </c>
      <c r="CK101" s="115">
        <f t="shared" si="1659"/>
        <v>-22.075708333333338</v>
      </c>
      <c r="CL101" s="116">
        <f t="shared" si="1659"/>
        <v>-1.0265500000000001</v>
      </c>
      <c r="CM101" s="117">
        <f t="shared" si="1659"/>
        <v>-0.61387500000000006</v>
      </c>
      <c r="CN101" s="117">
        <f t="shared" si="1659"/>
        <v>-1.6666666666666666E-2</v>
      </c>
      <c r="CO101" s="118">
        <f t="shared" si="1659"/>
        <v>-7.8500000000000005</v>
      </c>
      <c r="CP101" s="115">
        <f t="shared" si="1659"/>
        <v>-9.5070916666666658</v>
      </c>
      <c r="CQ101" s="116">
        <f t="shared" si="1659"/>
        <v>-15.225000000000001</v>
      </c>
      <c r="CR101" s="117">
        <f t="shared" si="1659"/>
        <v>-15.225000000000001</v>
      </c>
      <c r="CS101" s="117">
        <f t="shared" si="1659"/>
        <v>-16.151851666666669</v>
      </c>
      <c r="CT101" s="118">
        <f t="shared" si="1659"/>
        <v>-15.705555</v>
      </c>
      <c r="CU101" s="115">
        <f t="shared" si="1659"/>
        <v>-62.307406666666665</v>
      </c>
      <c r="CV101" s="116">
        <f t="shared" si="1659"/>
        <v>-15.505555000000001</v>
      </c>
      <c r="CW101" s="117">
        <f t="shared" si="1659"/>
        <v>-19.093055</v>
      </c>
      <c r="CX101" s="117">
        <f t="shared" si="1659"/>
        <v>-18.149536666666666</v>
      </c>
      <c r="CY101" s="118">
        <f t="shared" si="1659"/>
        <v>-10.762499999999999</v>
      </c>
      <c r="CZ101" s="115">
        <f t="shared" si="1659"/>
        <v>-63.510646666666673</v>
      </c>
    </row>
    <row r="102" spans="1:104" ht="12.75" customHeight="1">
      <c r="A102" s="4"/>
      <c r="B102" s="4"/>
      <c r="C102" s="90"/>
      <c r="D102" s="90"/>
      <c r="E102" s="106"/>
      <c r="F102" s="119"/>
      <c r="G102" s="119"/>
      <c r="H102" s="108"/>
      <c r="I102" s="109"/>
      <c r="J102" s="110"/>
      <c r="K102" s="180"/>
      <c r="L102" s="111"/>
      <c r="M102" s="112"/>
      <c r="N102" s="113"/>
      <c r="O102" s="113"/>
      <c r="P102" s="114"/>
      <c r="Q102" s="111"/>
      <c r="R102" s="112"/>
      <c r="S102" s="113"/>
      <c r="T102" s="113"/>
      <c r="U102" s="114"/>
      <c r="V102" s="111"/>
      <c r="W102" s="112"/>
      <c r="X102" s="113"/>
      <c r="Y102" s="113"/>
      <c r="Z102" s="114"/>
      <c r="AA102" s="111"/>
      <c r="AB102" s="112"/>
      <c r="AC102" s="113"/>
      <c r="AD102" s="113"/>
      <c r="AE102" s="114"/>
      <c r="AF102" s="111"/>
      <c r="AG102" s="112"/>
      <c r="AH102" s="113"/>
      <c r="AI102" s="113"/>
      <c r="AJ102" s="114"/>
      <c r="AK102" s="111"/>
      <c r="AL102" s="112"/>
      <c r="AM102" s="113"/>
      <c r="AN102" s="113"/>
      <c r="AO102" s="114"/>
      <c r="AP102" s="111"/>
      <c r="AQ102" s="112"/>
      <c r="AR102" s="113"/>
      <c r="AS102" s="113"/>
      <c r="AT102" s="114"/>
      <c r="AU102" s="111"/>
      <c r="AV102" s="112"/>
      <c r="AW102" s="113"/>
      <c r="AX102" s="113"/>
      <c r="AY102" s="114"/>
      <c r="AZ102" s="111"/>
      <c r="BA102" s="112"/>
      <c r="BB102" s="113"/>
      <c r="BC102" s="113"/>
      <c r="BD102" s="114"/>
      <c r="BE102" s="111"/>
      <c r="BF102" s="1883"/>
      <c r="BG102" s="2007"/>
      <c r="BH102" s="116"/>
      <c r="BI102" s="117"/>
      <c r="BJ102" s="117"/>
      <c r="BK102" s="118"/>
      <c r="BL102" s="115"/>
      <c r="BM102" s="116"/>
      <c r="BN102" s="117"/>
      <c r="BO102" s="117"/>
      <c r="BP102" s="118"/>
      <c r="BQ102" s="115"/>
      <c r="BR102" s="116"/>
      <c r="BS102" s="117"/>
      <c r="BT102" s="117"/>
      <c r="BU102" s="118"/>
      <c r="BV102" s="115"/>
      <c r="BW102" s="116"/>
      <c r="BX102" s="117"/>
      <c r="BY102" s="117"/>
      <c r="BZ102" s="118"/>
      <c r="CA102" s="115"/>
      <c r="CB102" s="116"/>
      <c r="CC102" s="117"/>
      <c r="CD102" s="117"/>
      <c r="CE102" s="118"/>
      <c r="CF102" s="115"/>
      <c r="CG102" s="116"/>
      <c r="CH102" s="117"/>
      <c r="CI102" s="117"/>
      <c r="CJ102" s="118"/>
      <c r="CK102" s="115"/>
      <c r="CL102" s="116"/>
      <c r="CM102" s="117"/>
      <c r="CN102" s="117"/>
      <c r="CO102" s="118"/>
      <c r="CP102" s="115"/>
      <c r="CQ102" s="116"/>
      <c r="CR102" s="117"/>
      <c r="CS102" s="117"/>
      <c r="CT102" s="118"/>
      <c r="CU102" s="115"/>
      <c r="CV102" s="116"/>
      <c r="CW102" s="117"/>
      <c r="CX102" s="117"/>
      <c r="CY102" s="118"/>
      <c r="CZ102" s="115"/>
    </row>
    <row r="103" spans="1:104" ht="12.75" customHeight="1" thickBot="1">
      <c r="A103" s="4"/>
      <c r="B103" s="61"/>
      <c r="C103" s="120"/>
      <c r="D103" s="120"/>
      <c r="E103" s="181"/>
      <c r="F103" s="182"/>
      <c r="G103" s="182"/>
      <c r="H103" s="121"/>
      <c r="I103" s="122"/>
      <c r="J103" s="123"/>
      <c r="K103" s="196"/>
      <c r="L103" s="197"/>
      <c r="M103" s="184"/>
      <c r="N103" s="185"/>
      <c r="O103" s="185"/>
      <c r="P103" s="186"/>
      <c r="Q103" s="197"/>
      <c r="R103" s="184"/>
      <c r="S103" s="185"/>
      <c r="T103" s="185"/>
      <c r="U103" s="186"/>
      <c r="V103" s="197"/>
      <c r="W103" s="184"/>
      <c r="X103" s="185"/>
      <c r="Y103" s="185"/>
      <c r="Z103" s="186"/>
      <c r="AA103" s="197"/>
      <c r="AB103" s="184"/>
      <c r="AC103" s="185"/>
      <c r="AD103" s="185"/>
      <c r="AE103" s="186"/>
      <c r="AF103" s="197"/>
      <c r="AG103" s="184"/>
      <c r="AH103" s="185"/>
      <c r="AI103" s="185"/>
      <c r="AJ103" s="186"/>
      <c r="AK103" s="197"/>
      <c r="AL103" s="184"/>
      <c r="AM103" s="185"/>
      <c r="AN103" s="185"/>
      <c r="AO103" s="186"/>
      <c r="AP103" s="197"/>
      <c r="AQ103" s="184"/>
      <c r="AR103" s="185"/>
      <c r="AS103" s="185"/>
      <c r="AT103" s="186"/>
      <c r="AU103" s="197"/>
      <c r="AV103" s="184"/>
      <c r="AW103" s="185"/>
      <c r="AX103" s="185"/>
      <c r="AY103" s="186"/>
      <c r="AZ103" s="197"/>
      <c r="BA103" s="184"/>
      <c r="BB103" s="185"/>
      <c r="BC103" s="185"/>
      <c r="BD103" s="186"/>
      <c r="BE103" s="197"/>
      <c r="BF103" s="1886"/>
      <c r="BG103" s="2016"/>
      <c r="BH103" s="187"/>
      <c r="BI103" s="188"/>
      <c r="BJ103" s="188"/>
      <c r="BK103" s="189"/>
      <c r="BL103" s="198"/>
      <c r="BM103" s="187"/>
      <c r="BN103" s="188"/>
      <c r="BO103" s="188"/>
      <c r="BP103" s="189"/>
      <c r="BQ103" s="198"/>
      <c r="BR103" s="187"/>
      <c r="BS103" s="188"/>
      <c r="BT103" s="188"/>
      <c r="BU103" s="189"/>
      <c r="BV103" s="198"/>
      <c r="BW103" s="187"/>
      <c r="BX103" s="188"/>
      <c r="BY103" s="188"/>
      <c r="BZ103" s="189"/>
      <c r="CA103" s="198"/>
      <c r="CB103" s="187"/>
      <c r="CC103" s="188"/>
      <c r="CD103" s="188"/>
      <c r="CE103" s="189"/>
      <c r="CF103" s="198"/>
      <c r="CG103" s="187"/>
      <c r="CH103" s="188"/>
      <c r="CI103" s="188"/>
      <c r="CJ103" s="189"/>
      <c r="CK103" s="198"/>
      <c r="CL103" s="187"/>
      <c r="CM103" s="188"/>
      <c r="CN103" s="188"/>
      <c r="CO103" s="189"/>
      <c r="CP103" s="198"/>
      <c r="CQ103" s="187"/>
      <c r="CR103" s="188"/>
      <c r="CS103" s="188"/>
      <c r="CT103" s="189"/>
      <c r="CU103" s="198"/>
      <c r="CV103" s="187"/>
      <c r="CW103" s="188"/>
      <c r="CX103" s="188"/>
      <c r="CY103" s="189"/>
      <c r="CZ103" s="198"/>
    </row>
    <row r="104" spans="1:104" ht="12.75" customHeight="1">
      <c r="A104" s="4"/>
      <c r="B104" s="73" t="s">
        <v>635</v>
      </c>
      <c r="C104" s="74"/>
      <c r="D104" s="15"/>
      <c r="E104" s="75"/>
      <c r="F104" s="76"/>
      <c r="G104" s="76"/>
      <c r="H104" s="128"/>
      <c r="I104" s="128"/>
      <c r="J104" s="190"/>
      <c r="K104" s="80"/>
      <c r="L104" s="81"/>
      <c r="M104" s="82"/>
      <c r="N104" s="83"/>
      <c r="O104" s="83"/>
      <c r="P104" s="84"/>
      <c r="Q104" s="81"/>
      <c r="R104" s="82"/>
      <c r="S104" s="83"/>
      <c r="T104" s="83"/>
      <c r="U104" s="84"/>
      <c r="V104" s="81"/>
      <c r="W104" s="82"/>
      <c r="X104" s="83"/>
      <c r="Y104" s="83"/>
      <c r="Z104" s="84"/>
      <c r="AA104" s="81"/>
      <c r="AB104" s="82"/>
      <c r="AC104" s="83"/>
      <c r="AD104" s="83"/>
      <c r="AE104" s="84"/>
      <c r="AF104" s="81"/>
      <c r="AG104" s="82"/>
      <c r="AH104" s="83"/>
      <c r="AI104" s="83"/>
      <c r="AJ104" s="84"/>
      <c r="AK104" s="81"/>
      <c r="AL104" s="82"/>
      <c r="AM104" s="83"/>
      <c r="AN104" s="83"/>
      <c r="AO104" s="84"/>
      <c r="AP104" s="81"/>
      <c r="AQ104" s="82"/>
      <c r="AR104" s="83"/>
      <c r="AS104" s="83"/>
      <c r="AT104" s="84"/>
      <c r="AU104" s="81"/>
      <c r="AV104" s="82"/>
      <c r="AW104" s="83"/>
      <c r="AX104" s="83"/>
      <c r="AY104" s="84"/>
      <c r="AZ104" s="81"/>
      <c r="BA104" s="82"/>
      <c r="BB104" s="83"/>
      <c r="BC104" s="83"/>
      <c r="BD104" s="84"/>
      <c r="BE104" s="81"/>
      <c r="BF104" s="1884"/>
      <c r="BG104" s="2005"/>
      <c r="BH104" s="86"/>
      <c r="BI104" s="87"/>
      <c r="BJ104" s="87"/>
      <c r="BK104" s="88"/>
      <c r="BL104" s="85"/>
      <c r="BM104" s="86"/>
      <c r="BN104" s="87"/>
      <c r="BO104" s="87"/>
      <c r="BP104" s="88"/>
      <c r="BQ104" s="85"/>
      <c r="BR104" s="86"/>
      <c r="BS104" s="87"/>
      <c r="BT104" s="87"/>
      <c r="BU104" s="88"/>
      <c r="BV104" s="85"/>
      <c r="BW104" s="86"/>
      <c r="BX104" s="87"/>
      <c r="BY104" s="87"/>
      <c r="BZ104" s="88"/>
      <c r="CA104" s="85"/>
      <c r="CB104" s="86"/>
      <c r="CC104" s="87"/>
      <c r="CD104" s="87"/>
      <c r="CE104" s="88"/>
      <c r="CF104" s="85"/>
      <c r="CG104" s="86"/>
      <c r="CH104" s="87"/>
      <c r="CI104" s="87"/>
      <c r="CJ104" s="88"/>
      <c r="CK104" s="85"/>
      <c r="CL104" s="86"/>
      <c r="CM104" s="87"/>
      <c r="CN104" s="87"/>
      <c r="CO104" s="88"/>
      <c r="CP104" s="85"/>
      <c r="CQ104" s="86"/>
      <c r="CR104" s="87"/>
      <c r="CS104" s="87"/>
      <c r="CT104" s="88"/>
      <c r="CU104" s="85"/>
      <c r="CV104" s="86"/>
      <c r="CW104" s="87"/>
      <c r="CX104" s="87"/>
      <c r="CY104" s="88"/>
      <c r="CZ104" s="85"/>
    </row>
    <row r="105" spans="1:104" ht="12.75" customHeight="1">
      <c r="A105" s="4"/>
      <c r="B105" s="200"/>
      <c r="C105" s="38"/>
      <c r="D105" s="1"/>
      <c r="E105" s="75"/>
      <c r="F105" s="76"/>
      <c r="G105" s="76"/>
      <c r="H105" s="128"/>
      <c r="I105" s="128"/>
      <c r="J105" s="190"/>
      <c r="K105" s="80"/>
      <c r="L105" s="81"/>
      <c r="M105" s="82"/>
      <c r="N105" s="83"/>
      <c r="O105" s="83"/>
      <c r="P105" s="84"/>
      <c r="Q105" s="81"/>
      <c r="R105" s="82"/>
      <c r="S105" s="83"/>
      <c r="T105" s="83"/>
      <c r="U105" s="84"/>
      <c r="V105" s="81"/>
      <c r="W105" s="82"/>
      <c r="X105" s="83"/>
      <c r="Y105" s="83"/>
      <c r="Z105" s="84"/>
      <c r="AA105" s="81"/>
      <c r="AB105" s="82"/>
      <c r="AC105" s="83"/>
      <c r="AD105" s="83"/>
      <c r="AE105" s="84"/>
      <c r="AF105" s="81"/>
      <c r="AG105" s="82"/>
      <c r="AH105" s="83"/>
      <c r="AI105" s="83"/>
      <c r="AJ105" s="84"/>
      <c r="AK105" s="81"/>
      <c r="AL105" s="82"/>
      <c r="AM105" s="83"/>
      <c r="AN105" s="83"/>
      <c r="AO105" s="84"/>
      <c r="AP105" s="81"/>
      <c r="AQ105" s="82"/>
      <c r="AR105" s="83"/>
      <c r="AS105" s="83"/>
      <c r="AT105" s="84"/>
      <c r="AU105" s="81"/>
      <c r="AV105" s="82"/>
      <c r="AW105" s="83"/>
      <c r="AX105" s="83"/>
      <c r="AY105" s="84"/>
      <c r="AZ105" s="81"/>
      <c r="BA105" s="82"/>
      <c r="BB105" s="83"/>
      <c r="BC105" s="83"/>
      <c r="BD105" s="84"/>
      <c r="BE105" s="81"/>
      <c r="BF105" s="1884"/>
      <c r="BG105" s="2005"/>
      <c r="BH105" s="86"/>
      <c r="BI105" s="87"/>
      <c r="BJ105" s="87"/>
      <c r="BK105" s="88"/>
      <c r="BL105" s="85"/>
      <c r="BM105" s="86"/>
      <c r="BN105" s="87"/>
      <c r="BO105" s="87"/>
      <c r="BP105" s="88"/>
      <c r="BQ105" s="85"/>
      <c r="BR105" s="86"/>
      <c r="BS105" s="87"/>
      <c r="BT105" s="87"/>
      <c r="BU105" s="88"/>
      <c r="BV105" s="85"/>
      <c r="BW105" s="86"/>
      <c r="BX105" s="87"/>
      <c r="BY105" s="87"/>
      <c r="BZ105" s="88"/>
      <c r="CA105" s="85"/>
      <c r="CB105" s="86"/>
      <c r="CC105" s="87"/>
      <c r="CD105" s="87"/>
      <c r="CE105" s="88"/>
      <c r="CF105" s="85"/>
      <c r="CG105" s="86"/>
      <c r="CH105" s="87"/>
      <c r="CI105" s="87"/>
      <c r="CJ105" s="88"/>
      <c r="CK105" s="85"/>
      <c r="CL105" s="86"/>
      <c r="CM105" s="87"/>
      <c r="CN105" s="87"/>
      <c r="CO105" s="88"/>
      <c r="CP105" s="85"/>
      <c r="CQ105" s="86"/>
      <c r="CR105" s="87"/>
      <c r="CS105" s="87"/>
      <c r="CT105" s="88"/>
      <c r="CU105" s="85"/>
      <c r="CV105" s="86"/>
      <c r="CW105" s="87"/>
      <c r="CX105" s="87"/>
      <c r="CY105" s="88"/>
      <c r="CZ105" s="85"/>
    </row>
    <row r="106" spans="1:104" ht="12.75" customHeight="1">
      <c r="A106" s="4"/>
      <c r="B106" s="4"/>
      <c r="C106" s="139" t="s">
        <v>532</v>
      </c>
      <c r="D106" s="139"/>
      <c r="E106" s="205"/>
      <c r="F106" s="1822"/>
      <c r="G106" s="1822"/>
      <c r="H106" s="166"/>
      <c r="I106" s="78"/>
      <c r="J106" s="79"/>
      <c r="K106" s="191"/>
      <c r="L106" s="81"/>
      <c r="M106" s="82"/>
      <c r="N106" s="83"/>
      <c r="O106" s="83"/>
      <c r="P106" s="84"/>
      <c r="Q106" s="81"/>
      <c r="R106" s="82"/>
      <c r="S106" s="83"/>
      <c r="T106" s="83"/>
      <c r="U106" s="84"/>
      <c r="V106" s="81"/>
      <c r="W106" s="82"/>
      <c r="X106" s="83"/>
      <c r="Y106" s="83"/>
      <c r="Z106" s="84"/>
      <c r="AA106" s="81"/>
      <c r="AB106" s="82"/>
      <c r="AC106" s="83"/>
      <c r="AD106" s="83"/>
      <c r="AE106" s="84"/>
      <c r="AF106" s="81"/>
      <c r="AG106" s="82"/>
      <c r="AH106" s="83"/>
      <c r="AI106" s="83"/>
      <c r="AJ106" s="84"/>
      <c r="AK106" s="81"/>
      <c r="AL106" s="82"/>
      <c r="AM106" s="83"/>
      <c r="AN106" s="83"/>
      <c r="AO106" s="84"/>
      <c r="AP106" s="81"/>
      <c r="AQ106" s="82"/>
      <c r="AR106" s="83"/>
      <c r="AS106" s="83"/>
      <c r="AT106" s="84"/>
      <c r="AU106" s="81"/>
      <c r="AV106" s="82"/>
      <c r="AW106" s="83"/>
      <c r="AX106" s="83"/>
      <c r="AY106" s="84"/>
      <c r="AZ106" s="81"/>
      <c r="BA106" s="82"/>
      <c r="BB106" s="83"/>
      <c r="BC106" s="83"/>
      <c r="BD106" s="84"/>
      <c r="BE106" s="81"/>
      <c r="BF106" s="1884"/>
      <c r="BG106" s="2005"/>
      <c r="BH106" s="86"/>
      <c r="BI106" s="87"/>
      <c r="BJ106" s="87"/>
      <c r="BK106" s="88"/>
      <c r="BL106" s="85"/>
      <c r="BM106" s="86"/>
      <c r="BN106" s="87"/>
      <c r="BO106" s="87"/>
      <c r="BP106" s="88"/>
      <c r="BQ106" s="85"/>
      <c r="BR106" s="86"/>
      <c r="BS106" s="87"/>
      <c r="BT106" s="87"/>
      <c r="BU106" s="88"/>
      <c r="BV106" s="85"/>
      <c r="BW106" s="86"/>
      <c r="BX106" s="87"/>
      <c r="BY106" s="87"/>
      <c r="BZ106" s="88"/>
      <c r="CA106" s="85"/>
      <c r="CB106" s="86"/>
      <c r="CC106" s="87"/>
      <c r="CD106" s="87"/>
      <c r="CE106" s="88"/>
      <c r="CF106" s="85"/>
      <c r="CG106" s="86"/>
      <c r="CH106" s="87"/>
      <c r="CI106" s="87"/>
      <c r="CJ106" s="88"/>
      <c r="CK106" s="85"/>
      <c r="CL106" s="86"/>
      <c r="CM106" s="87"/>
      <c r="CN106" s="87"/>
      <c r="CO106" s="88"/>
      <c r="CP106" s="85"/>
      <c r="CQ106" s="86"/>
      <c r="CR106" s="87"/>
      <c r="CS106" s="87"/>
      <c r="CT106" s="88"/>
      <c r="CU106" s="85"/>
      <c r="CV106" s="86"/>
      <c r="CW106" s="87"/>
      <c r="CX106" s="87"/>
      <c r="CY106" s="88"/>
      <c r="CZ106" s="85"/>
    </row>
    <row r="107" spans="1:104" ht="12.75" customHeight="1">
      <c r="A107" s="4"/>
      <c r="B107" s="4"/>
      <c r="C107" s="806" t="s">
        <v>1483</v>
      </c>
      <c r="D107" s="157"/>
      <c r="E107" s="2115">
        <f>IF(F107=0,G107,F107)</f>
        <v>300</v>
      </c>
      <c r="F107" s="2313">
        <v>300</v>
      </c>
      <c r="G107" s="1511">
        <v>300</v>
      </c>
      <c r="H107" s="1334">
        <v>2021</v>
      </c>
      <c r="I107" s="325">
        <v>1.7000000000000001E-2</v>
      </c>
      <c r="J107" s="1334">
        <v>9</v>
      </c>
      <c r="K107" s="80"/>
      <c r="L107" s="81">
        <f t="shared" ref="L107:L118" si="1660">IF(L$5=$H107,-$E107,0)</f>
        <v>0</v>
      </c>
      <c r="M107" s="82">
        <f t="shared" ref="M107:M117" si="1661">IF(Q107=0,0,IF(Q107&lt;0,IF($J107=3,Q107,IF($J107=2,Q107,IF($J107=1,Q107,0)))))</f>
        <v>0</v>
      </c>
      <c r="N107" s="83">
        <f t="shared" ref="N107:N117" si="1662">IF(Q107=0,0,IF(Q107&lt;0,IF($J107=6,Q107,IF($J107=5,Q107,IF($J107=4,Q107,0)))))</f>
        <v>0</v>
      </c>
      <c r="O107" s="83">
        <f t="shared" ref="O107:O117" si="1663">IF(Q107=0,0,IF(Q107&lt;0,IF($J107=9,Q107,IF($J107=8,Q107,IF($J107=7,Q107,0)))))</f>
        <v>0</v>
      </c>
      <c r="P107" s="84">
        <f t="shared" ref="P107:P117" si="1664">IF(Q107=0,0,IF(Q107&lt;0,IF($J107=12,Q107,IF($J107=11,Q107,IF($J107=10,Q107,0)))))</f>
        <v>0</v>
      </c>
      <c r="Q107" s="81">
        <f t="shared" ref="Q107:Q118" si="1665">IF(Q$5=$H107,-$E107,0)</f>
        <v>0</v>
      </c>
      <c r="R107" s="82">
        <f t="shared" ref="R107:R117" si="1666">IF(V107=0,0,IF(V107&lt;0,IF($J107=3,V107,IF($J107=2,V107,IF($J107=1,V107,0)))))</f>
        <v>0</v>
      </c>
      <c r="S107" s="83">
        <f t="shared" ref="S107:S117" si="1667">IF(V107=0,0,IF(V107&lt;0,IF($J107=6,V107,IF($J107=5,V107,IF($J107=4,V107,0)))))</f>
        <v>0</v>
      </c>
      <c r="T107" s="83">
        <f t="shared" ref="T107:T117" si="1668">IF(V107=0,0,IF(V107&lt;0,IF($J107=9,V107,IF($J107=8,V107,IF($J107=7,V107,0)))))</f>
        <v>0</v>
      </c>
      <c r="U107" s="84">
        <f t="shared" ref="U107:U117" si="1669">IF(V107=0,0,IF(V107&lt;0,IF($J107=12,V107,IF($J107=11,V107,IF($J107=10,V107,0)))))</f>
        <v>0</v>
      </c>
      <c r="V107" s="81">
        <f t="shared" ref="V107:V118" si="1670">IF(V$5=$H107,-$E107,0)</f>
        <v>0</v>
      </c>
      <c r="W107" s="82">
        <f t="shared" ref="W107:W117" si="1671">IF(AA107=0,0,IF(AA107&lt;0,IF($J107=3,AA107,IF($J107=2,AA107,IF($J107=1,AA107,0)))))</f>
        <v>0</v>
      </c>
      <c r="X107" s="83">
        <f t="shared" ref="X107:X117" si="1672">IF(AA107=0,0,IF(AA107&lt;0,IF($J107=6,AA107,IF($J107=5,AA107,IF($J107=4,AA107,0)))))</f>
        <v>0</v>
      </c>
      <c r="Y107" s="83">
        <f t="shared" ref="Y107:Y117" si="1673">IF(AA107=0,0,IF(AA107&lt;0,IF($J107=9,AA107,IF($J107=8,AA107,IF($J107=7,AA107,0)))))</f>
        <v>0</v>
      </c>
      <c r="Z107" s="84">
        <f t="shared" ref="Z107:Z117" si="1674">IF(AA107=0,0,IF(AA107&lt;0,IF($J107=12,AA107,IF($J107=11,AA107,IF($J107=10,AA107,0)))))</f>
        <v>0</v>
      </c>
      <c r="AA107" s="81">
        <f t="shared" ref="AA107:AA118" si="1675">IF(AA$5=$H107,-$E107,0)</f>
        <v>0</v>
      </c>
      <c r="AB107" s="82">
        <f t="shared" ref="AB107:AB117" si="1676">IF(AF107=0,0,IF(AF107&lt;0,IF($J107=3,AF107,IF($J107=2,AF107,IF($J107=1,AF107,0)))))</f>
        <v>0</v>
      </c>
      <c r="AC107" s="83">
        <f t="shared" ref="AC107:AC117" si="1677">IF(AF107=0,0,IF(AF107&lt;0,IF($J107=6,AF107,IF($J107=5,AF107,IF($J107=4,AF107,0)))))</f>
        <v>0</v>
      </c>
      <c r="AD107" s="83">
        <f t="shared" ref="AD107:AD117" si="1678">IF(AF107=0,0,IF(AF107&lt;0,IF($J107=9,AF107,IF($J107=8,AF107,IF($J107=7,AF107,0)))))</f>
        <v>0</v>
      </c>
      <c r="AE107" s="84">
        <f t="shared" ref="AE107:AE117" si="1679">IF(AF107=0,0,IF(AF107&lt;0,IF($J107=12,AF107,IF($J107=11,AF107,IF($J107=10,AF107,0)))))</f>
        <v>0</v>
      </c>
      <c r="AF107" s="81">
        <f t="shared" ref="AF107:AF118" si="1680">IF(AF$5=$H107,-$E107,0)</f>
        <v>0</v>
      </c>
      <c r="AG107" s="82">
        <f t="shared" ref="AG107:AG117" si="1681">IF(AK107=0,0,IF(AK107&lt;0,IF($J107=3,AK107,IF($J107=2,AK107,IF($J107=1,AK107,0)))))</f>
        <v>0</v>
      </c>
      <c r="AH107" s="83">
        <f t="shared" ref="AH107:AH117" si="1682">IF(AK107=0,0,IF(AK107&lt;0,IF($J107=6,AK107,IF($J107=5,AK107,IF($J107=4,AK107,0)))))</f>
        <v>0</v>
      </c>
      <c r="AI107" s="83">
        <f t="shared" ref="AI107:AI117" si="1683">IF(AK107=0,0,IF(AK107&lt;0,IF($J107=9,AK107,IF($J107=8,AK107,IF($J107=7,AK107,0)))))</f>
        <v>0</v>
      </c>
      <c r="AJ107" s="84">
        <f t="shared" ref="AJ107:AJ117" si="1684">IF(AK107=0,0,IF(AK107&lt;0,IF($J107=12,AK107,IF($J107=11,AK107,IF($J107=10,AK107,0)))))</f>
        <v>0</v>
      </c>
      <c r="AK107" s="81">
        <f t="shared" ref="AK107:AK118" si="1685">IF(AK$5=$H107,-$E107,0)</f>
        <v>0</v>
      </c>
      <c r="AL107" s="82">
        <f t="shared" ref="AL107:AL117" si="1686">IF(AP107=0,0,IF(AP107&lt;0,IF($J107=3,AP107,IF($J107=2,AP107,IF($J107=1,AP107,0)))))</f>
        <v>0</v>
      </c>
      <c r="AM107" s="83">
        <f t="shared" ref="AM107:AM117" si="1687">IF(AP107=0,0,IF(AP107&lt;0,IF($J107=6,AP107,IF($J107=5,AP107,IF($J107=4,AP107,0)))))</f>
        <v>0</v>
      </c>
      <c r="AN107" s="83">
        <f t="shared" ref="AN107:AN117" si="1688">IF(AP107=0,0,IF(AP107&lt;0,IF($J107=9,AP107,IF($J107=8,AP107,IF($J107=7,AP107,0)))))</f>
        <v>0</v>
      </c>
      <c r="AO107" s="84">
        <f t="shared" ref="AO107:AO117" si="1689">IF(AP107=0,0,IF(AP107&lt;0,IF($J107=12,AP107,IF($J107=11,AP107,IF($J107=10,AP107,0)))))</f>
        <v>0</v>
      </c>
      <c r="AP107" s="81">
        <f t="shared" ref="AP107:AP118" si="1690">IF(AP$5=$H107,-$E107,0)</f>
        <v>0</v>
      </c>
      <c r="AQ107" s="82">
        <f t="shared" ref="AQ107:AQ117" si="1691">IF(AU107=0,0,IF(AU107&lt;0,IF($J107=3,AU107,IF($J107=2,AU107,IF($J107=1,AU107,0)))))</f>
        <v>0</v>
      </c>
      <c r="AR107" s="83">
        <f t="shared" ref="AR107:AR117" si="1692">IF(AU107=0,0,IF(AU107&lt;0,IF($J107=6,AU107,IF($J107=5,AU107,IF($J107=4,AU107,0)))))</f>
        <v>0</v>
      </c>
      <c r="AS107" s="83">
        <f t="shared" ref="AS107:AS117" si="1693">IF(AU107=0,0,IF(AU107&lt;0,IF($J107=9,AU107,IF($J107=8,AU107,IF($J107=7,AU107,0)))))</f>
        <v>0</v>
      </c>
      <c r="AT107" s="84">
        <f t="shared" ref="AT107:AT117" si="1694">IF(AU107=0,0,IF(AU107&lt;0,IF($J107=12,AU107,IF($J107=11,AU107,IF($J107=10,AU107,0)))))</f>
        <v>0</v>
      </c>
      <c r="AU107" s="81">
        <f t="shared" ref="AU107:AU118" si="1695">IF(AU$5=$H107,-$E107,0)</f>
        <v>0</v>
      </c>
      <c r="AV107" s="82">
        <f t="shared" ref="AV107:AV117" si="1696">IF(AZ107=0,0,IF(AZ107&lt;0,IF($J107=3,AZ107,IF($J107=2,AZ107,IF($J107=1,AZ107,0)))))</f>
        <v>0</v>
      </c>
      <c r="AW107" s="83">
        <f t="shared" ref="AW107:AW117" si="1697">IF(AZ107=0,0,IF(AZ107&lt;0,IF($J107=6,AZ107,IF($J107=5,AZ107,IF($J107=4,AZ107,0)))))</f>
        <v>0</v>
      </c>
      <c r="AX107" s="83">
        <f t="shared" ref="AX107:AX117" si="1698">IF(AZ107=0,0,IF(AZ107&lt;0,IF($J107=9,AZ107,IF($J107=8,AZ107,IF($J107=7,AZ107,0)))))</f>
        <v>0</v>
      </c>
      <c r="AY107" s="84">
        <f t="shared" ref="AY107:AY117" si="1699">IF(AZ107=0,0,IF(AZ107&lt;0,IF($J107=12,AZ107,IF($J107=11,AZ107,IF($J107=10,AZ107,0)))))</f>
        <v>0</v>
      </c>
      <c r="AZ107" s="81">
        <f t="shared" ref="AZ107:AZ118" si="1700">IF(AZ$5=$H107,-$E107,0)</f>
        <v>0</v>
      </c>
      <c r="BA107" s="82">
        <f t="shared" ref="BA107:BA117" si="1701">IF(BE107=0,0,IF(BE107&lt;0,IF($J107=3,BE107,IF($J107=2,BE107,IF($J107=1,BE107,0)))))</f>
        <v>0</v>
      </c>
      <c r="BB107" s="83">
        <f t="shared" ref="BB107:BB117" si="1702">IF(BE107=0,0,IF(BE107&lt;0,IF($J107=6,BE107,IF($J107=5,BE107,IF($J107=4,BE107,0)))))</f>
        <v>0</v>
      </c>
      <c r="BC107" s="83">
        <f t="shared" ref="BC107:BC117" si="1703">IF(BE107=0,0,IF(BE107&lt;0,IF($J107=9,BE107,IF($J107=8,BE107,IF($J107=7,BE107,0)))))</f>
        <v>-300</v>
      </c>
      <c r="BD107" s="84">
        <f t="shared" ref="BD107:BD117" si="1704">IF(BE107=0,0,IF(BE107&lt;0,IF($J107=12,BE107,IF($J107=11,BE107,IF($J107=10,BE107,0)))))</f>
        <v>0</v>
      </c>
      <c r="BE107" s="81">
        <f t="shared" ref="BE107:BE118" si="1705">IF(BE$5=$H107,-$E107,0)</f>
        <v>-300</v>
      </c>
      <c r="BF107" s="1877"/>
      <c r="BG107" s="2005">
        <f t="shared" ref="BG107:BG117" si="1706">IF(AND(BF107&lt;&gt;0,BF$5=$H107),-$I107*$E107-BF107,IF(BG$5=$H107,-$I107*$E107*(12-$J107+1)/12,0))</f>
        <v>0</v>
      </c>
      <c r="BH107" s="86">
        <f t="shared" ref="BH107:BH117" si="1707">IF($H107&lt;&gt;BL$5,0,IF(BL107&lt;0,IF($J107=1,-$E107*$I107/12*3,IF($J107=2,-$E107*$I107/12*2,IF($J107=3,-$E107*$I107/12*1,0)))))+IF(BG$5&lt;&gt;$H107,0,IF(BG107&lt;0,IF($J107=1,-$E107*$I107/12*0,IF($J107=2,-$E107*$I107/12*1,IF($J107=3,-$E107*$I107/12*2,IF($J107&gt;=4,-$E107*$I107/12*3,0))))))</f>
        <v>0</v>
      </c>
      <c r="BI107" s="87">
        <f t="shared" ref="BI107:BI117" si="1708">IF($H107&lt;&gt;BL$5,0,IF(BL107&lt;0,IF(OR($J107=1,$J107=2,$J107=3,$J107=4),-$E107*$I107/12*3,IF($J107=5,-$E107*$I107/12*2,IF($J107=6,-$E107*$I107/12*1,0)))))+IF(BG$5&lt;&gt;$H107,0,IF(BG107&lt;0,IF($J107=4,-$E107*$I107/12*0,IF($J107=5,-$E107*$I107/12*1,IF($J107=6,-$E107*$I107/12*2,IF($J107&gt;=7,-$E107*$I107/12*3,0))))))</f>
        <v>0</v>
      </c>
      <c r="BJ107" s="87">
        <f t="shared" ref="BJ107:BJ117" si="1709">IF($H107&lt;&gt;BL$5,0,IF(BL107&lt;0,IF(OR($J107=1,$J107=2,$J107=3,$J107=4,$J107=5,$J107=6,$J107=7),-$E107*$I107/12*3,IF($J107=8,-$E107*$I107/12*2,IF($J107=9,-$E107*$I107/12*1,0)))))+IF(BG$5&lt;&gt;$H107,0,IF(BG107&lt;0,IF($J107=7,-$E107*$I107/12*0,IF($J107=8,-$E107*$I107/12*1,IF($J107=9,-$E107*$I107/12*2,IF($J107&gt;=10,-$E107*$I107/12*3,0))))))</f>
        <v>0</v>
      </c>
      <c r="BK107" s="88">
        <f t="shared" ref="BK107:BK117" si="1710">IF($H107&lt;&gt;BL$5,0,IF(BL107&lt;0,IF(OR($J107=1,$J107=2,$J107=3,$J107=4,$J107=5,$J107=6,$J107=7,$J107=8,$J107=9,$J107=10),-$E107*$I107/12*3,IF($J107=11,-$E107*$I107/12*2,IF($J107=12,-$E107*$I107/12*1,0)))))+IF(BG$5&lt;&gt;$H107,0,IF(BG107&lt;0,IF($J107=10,-$E107*$I107/12*0,IF($J107=11,-$E107*$I107/12*1,IF($J107=12,-$E107*$I107/12*2,0)))))</f>
        <v>0</v>
      </c>
      <c r="BL107" s="85">
        <f t="shared" ref="BL107:BL117" si="1711">IF(AND(BG107&lt;&gt;0,BG$5=$H107),-$I107*$E107-BG107,IF(BL$5=$H107,-$I107*$E107*(12-$J107+1)/12,0))</f>
        <v>0</v>
      </c>
      <c r="BM107" s="86">
        <f t="shared" ref="BM107:BM117" si="1712">IF($H107&lt;&gt;BQ$5,0,IF(BQ107&lt;0,IF($J107=1,-$E107*$I107/12*3,IF($J107=2,-$E107*$I107/12*2,IF($J107=3,-$E107*$I107/12*1,0)))))+IF(BL$5&lt;&gt;$H107,0,IF(BL107&lt;0,IF($J107=1,-$E107*$I107/12*0,IF($J107=2,-$E107*$I107/12*1,IF($J107=3,-$E107*$I107/12*2,IF($J107&gt;=4,-$E107*$I107/12*3,0))))))</f>
        <v>0</v>
      </c>
      <c r="BN107" s="87">
        <f t="shared" ref="BN107:BN117" si="1713">IF($H107&lt;&gt;BQ$5,0,IF(BQ107&lt;0,IF(OR($J107=1,$J107=2,$J107=3,$J107=4),-$E107*$I107/12*3,IF($J107=5,-$E107*$I107/12*2,IF($J107=6,-$E107*$I107/12*1,0)))))+IF(BL$5&lt;&gt;$H107,0,IF(BL107&lt;0,IF($J107=4,-$E107*$I107/12*0,IF($J107=5,-$E107*$I107/12*1,IF($J107=6,-$E107*$I107/12*2,IF($J107&gt;=7,-$E107*$I107/12*3,0))))))</f>
        <v>0</v>
      </c>
      <c r="BO107" s="87">
        <f t="shared" ref="BO107:BO117" si="1714">IF($H107&lt;&gt;BQ$5,0,IF(BQ107&lt;0,IF(OR($J107=1,$J107=2,$J107=3,$J107=4,$J107=5,$J107=6,$J107=7),-$E107*$I107/12*3,IF($J107=8,-$E107*$I107/12*2,IF($J107=9,-$E107*$I107/12*1,0)))))+IF(BL$5&lt;&gt;$H107,0,IF(BL107&lt;0,IF($J107=7,-$E107*$I107/12*0,IF($J107=8,-$E107*$I107/12*1,IF($J107=9,-$E107*$I107/12*2,IF($J107&gt;=10,-$E107*$I107/12*3,0))))))</f>
        <v>0</v>
      </c>
      <c r="BP107" s="88">
        <f t="shared" ref="BP107:BP117" si="1715">IF($H107&lt;&gt;BQ$5,0,IF(BQ107&lt;0,IF(OR($J107=1,$J107=2,$J107=3,$J107=4,$J107=5,$J107=6,$J107=7,$J107=8,$J107=9,$J107=10),-$E107*$I107/12*3,IF($J107=11,-$E107*$I107/12*2,IF($J107=12,-$E107*$I107/12*1,0)))))+IF(BL$5&lt;&gt;$H107,0,IF(BL107&lt;0,IF($J107=10,-$E107*$I107/12*0,IF($J107=11,-$E107*$I107/12*1,IF($J107=12,-$E107*$I107/12*2,0)))))</f>
        <v>0</v>
      </c>
      <c r="BQ107" s="85">
        <f t="shared" ref="BQ107:BQ117" si="1716">IF(AND(BL107&lt;&gt;0,BL$5=$H107),-$I107*$E107-BL107,IF(BQ$5=$H107,-$I107*$E107*(12-$J107+1)/12,0))</f>
        <v>0</v>
      </c>
      <c r="BR107" s="86">
        <f t="shared" ref="BR107:BR117" si="1717">IF($H107&lt;&gt;BV$5,0,IF(BV107&lt;0,IF($J107=1,-$E107*$I107/12*3,IF($J107=2,-$E107*$I107/12*2,IF($J107=3,-$E107*$I107/12*1,0)))))+IF(BQ$5&lt;&gt;$H107,0,IF(BQ107&lt;0,IF($J107=1,-$E107*$I107/12*0,IF($J107=2,-$E107*$I107/12*1,IF($J107=3,-$E107*$I107/12*2,IF($J107&gt;=4,-$E107*$I107/12*3,0))))))</f>
        <v>0</v>
      </c>
      <c r="BS107" s="87">
        <f t="shared" ref="BS107:BS117" si="1718">IF($H107&lt;&gt;BV$5,0,IF(BV107&lt;0,IF(OR($J107=1,$J107=2,$J107=3,$J107=4),-$E107*$I107/12*3,IF($J107=5,-$E107*$I107/12*2,IF($J107=6,-$E107*$I107/12*1,0)))))+IF(BQ$5&lt;&gt;$H107,0,IF(BQ107&lt;0,IF($J107=4,-$E107*$I107/12*0,IF($J107=5,-$E107*$I107/12*1,IF($J107=6,-$E107*$I107/12*2,IF($J107&gt;=7,-$E107*$I107/12*3,0))))))</f>
        <v>0</v>
      </c>
      <c r="BT107" s="87">
        <f t="shared" ref="BT107:BT117" si="1719">IF($H107&lt;&gt;BV$5,0,IF(BV107&lt;0,IF(OR($J107=1,$J107=2,$J107=3,$J107=4,$J107=5,$J107=6,$J107=7),-$E107*$I107/12*3,IF($J107=8,-$E107*$I107/12*2,IF($J107=9,-$E107*$I107/12*1,0)))))+IF(BQ$5&lt;&gt;$H107,0,IF(BQ107&lt;0,IF($J107=7,-$E107*$I107/12*0,IF($J107=8,-$E107*$I107/12*1,IF($J107=9,-$E107*$I107/12*2,IF($J107&gt;=10,-$E107*$I107/12*3,0))))))</f>
        <v>0</v>
      </c>
      <c r="BU107" s="88">
        <f t="shared" ref="BU107:BU117" si="1720">IF($H107&lt;&gt;BV$5,0,IF(BV107&lt;0,IF(OR($J107=1,$J107=2,$J107=3,$J107=4,$J107=5,$J107=6,$J107=7,$J107=8,$J107=9,$J107=10),-$E107*$I107/12*3,IF($J107=11,-$E107*$I107/12*2,IF($J107=12,-$E107*$I107/12*1,0)))))+IF(BQ$5&lt;&gt;$H107,0,IF(BQ107&lt;0,IF($J107=10,-$E107*$I107/12*0,IF($J107=11,-$E107*$I107/12*1,IF($J107=12,-$E107*$I107/12*2,0)))))</f>
        <v>0</v>
      </c>
      <c r="BV107" s="85">
        <f t="shared" ref="BV107:BV117" si="1721">IF(AND(BQ107&lt;&gt;0,BQ$5=$H107),-$I107*$E107-BQ107,IF(BV$5=$H107,-$I107*$E107*(12-$J107+1)/12,0))</f>
        <v>0</v>
      </c>
      <c r="BW107" s="86">
        <f t="shared" ref="BW107:BW117" si="1722">IF($H107&lt;&gt;CA$5,0,IF(CA107&lt;0,IF($J107=1,-$E107*$I107/12*3,IF($J107=2,-$E107*$I107/12*2,IF($J107=3,-$E107*$I107/12*1,0)))))+IF(BV$5&lt;&gt;$H107,0,IF(BV107&lt;0,IF($J107=1,-$E107*$I107/12*0,IF($J107=2,-$E107*$I107/12*1,IF($J107=3,-$E107*$I107/12*2,IF($J107&gt;=4,-$E107*$I107/12*3,0))))))</f>
        <v>0</v>
      </c>
      <c r="BX107" s="87">
        <f t="shared" ref="BX107:BX117" si="1723">IF($H107&lt;&gt;CA$5,0,IF(CA107&lt;0,IF(OR($J107=1,$J107=2,$J107=3,$J107=4),-$E107*$I107/12*3,IF($J107=5,-$E107*$I107/12*2,IF($J107=6,-$E107*$I107/12*1,0)))))+IF(BV$5&lt;&gt;$H107,0,IF(BV107&lt;0,IF($J107=4,-$E107*$I107/12*0,IF($J107=5,-$E107*$I107/12*1,IF($J107=6,-$E107*$I107/12*2,IF($J107&gt;=7,-$E107*$I107/12*3,0))))))</f>
        <v>0</v>
      </c>
      <c r="BY107" s="87">
        <f t="shared" ref="BY107:BY117" si="1724">IF($H107&lt;&gt;CA$5,0,IF(CA107&lt;0,IF(OR($J107=1,$J107=2,$J107=3,$J107=4,$J107=5,$J107=6,$J107=7),-$E107*$I107/12*3,IF($J107=8,-$E107*$I107/12*2,IF($J107=9,-$E107*$I107/12*1,0)))))+IF(BV$5&lt;&gt;$H107,0,IF(BV107&lt;0,IF($J107=7,-$E107*$I107/12*0,IF($J107=8,-$E107*$I107/12*1,IF($J107=9,-$E107*$I107/12*2,IF($J107&gt;=10,-$E107*$I107/12*3,0))))))</f>
        <v>0</v>
      </c>
      <c r="BZ107" s="88">
        <f t="shared" ref="BZ107:BZ117" si="1725">IF($H107&lt;&gt;CA$5,0,IF(CA107&lt;0,IF(OR($J107=1,$J107=2,$J107=3,$J107=4,$J107=5,$J107=6,$J107=7,$J107=8,$J107=9,$J107=10),-$E107*$I107/12*3,IF($J107=11,-$E107*$I107/12*2,IF($J107=12,-$E107*$I107/12*1,0)))))+IF(BV$5&lt;&gt;$H107,0,IF(BV107&lt;0,IF($J107=10,-$E107*$I107/12*0,IF($J107=11,-$E107*$I107/12*1,IF($J107=12,-$E107*$I107/12*2,0)))))</f>
        <v>0</v>
      </c>
      <c r="CA107" s="85">
        <f t="shared" ref="CA107:CA117" si="1726">IF(AND(BV107&lt;&gt;0,BV$5=$H107),-$I107*$E107-BV107,IF(CA$5=$H107,-$I107*$E107*(12-$J107+1)/12,0))</f>
        <v>0</v>
      </c>
      <c r="CB107" s="86">
        <f t="shared" ref="CB107:CB117" si="1727">IF($H107&lt;&gt;CF$5,0,IF(CF107&lt;0,IF($J107=1,-$E107*$I107/12*3,IF($J107=2,-$E107*$I107/12*2,IF($J107=3,-$E107*$I107/12*1,0)))))+IF(CA$5&lt;&gt;$H107,0,IF(CA107&lt;0,IF($J107=1,-$E107*$I107/12*0,IF($J107=2,-$E107*$I107/12*1,IF($J107=3,-$E107*$I107/12*2,IF($J107&gt;=4,-$E107*$I107/12*3,0))))))</f>
        <v>0</v>
      </c>
      <c r="CC107" s="87">
        <f t="shared" ref="CC107:CC117" si="1728">IF($H107&lt;&gt;CF$5,0,IF(CF107&lt;0,IF(OR($J107=1,$J107=2,$J107=3,$J107=4),-$E107*$I107/12*3,IF($J107=5,-$E107*$I107/12*2,IF($J107=6,-$E107*$I107/12*1,0)))))+IF(CA$5&lt;&gt;$H107,0,IF(CA107&lt;0,IF($J107=4,-$E107*$I107/12*0,IF($J107=5,-$E107*$I107/12*1,IF($J107=6,-$E107*$I107/12*2,IF($J107&gt;=7,-$E107*$I107/12*3,0))))))</f>
        <v>0</v>
      </c>
      <c r="CD107" s="87">
        <f t="shared" ref="CD107:CD117" si="1729">IF($H107&lt;&gt;CF$5,0,IF(CF107&lt;0,IF(OR($J107=1,$J107=2,$J107=3,$J107=4,$J107=5,$J107=6,$J107=7),-$E107*$I107/12*3,IF($J107=8,-$E107*$I107/12*2,IF($J107=9,-$E107*$I107/12*1,0)))))+IF(CA$5&lt;&gt;$H107,0,IF(CA107&lt;0,IF($J107=7,-$E107*$I107/12*0,IF($J107=8,-$E107*$I107/12*1,IF($J107=9,-$E107*$I107/12*2,IF($J107&gt;=10,-$E107*$I107/12*3,0))))))</f>
        <v>0</v>
      </c>
      <c r="CE107" s="88">
        <f t="shared" ref="CE107:CE117" si="1730">IF($H107&lt;&gt;CF$5,0,IF(CF107&lt;0,IF(OR($J107=1,$J107=2,$J107=3,$J107=4,$J107=5,$J107=6,$J107=7,$J107=8,$J107=9,$J107=10),-$E107*$I107/12*3,IF($J107=11,-$E107*$I107/12*2,IF($J107=12,-$E107*$I107/12*1,0)))))+IF(CA$5&lt;&gt;$H107,0,IF(CA107&lt;0,IF($J107=10,-$E107*$I107/12*0,IF($J107=11,-$E107*$I107/12*1,IF($J107=12,-$E107*$I107/12*2,0)))))</f>
        <v>0</v>
      </c>
      <c r="CF107" s="85">
        <f t="shared" ref="CF107:CF117" si="1731">IF(AND(CA107&lt;&gt;0,CA$5=$H107),-$I107*$E107-CA107,IF(CF$5=$H107,-$I107*$E107*(12-$J107+1)/12,0))</f>
        <v>0</v>
      </c>
      <c r="CG107" s="86">
        <f t="shared" ref="CG107:CG117" si="1732">IF($H107&lt;&gt;CK$5,0,IF(CK107&lt;0,IF($J107=1,-$E107*$I107/12*3,IF($J107=2,-$E107*$I107/12*2,IF($J107=3,-$E107*$I107/12*1,0)))))+IF(CF$5&lt;&gt;$H107,0,IF(CF107&lt;0,IF($J107=1,-$E107*$I107/12*0,IF($J107=2,-$E107*$I107/12*1,IF($J107=3,-$E107*$I107/12*2,IF($J107&gt;=4,-$E107*$I107/12*3,0))))))</f>
        <v>0</v>
      </c>
      <c r="CH107" s="87">
        <f t="shared" ref="CH107:CH117" si="1733">IF($H107&lt;&gt;CK$5,0,IF(CK107&lt;0,IF(OR($J107=1,$J107=2,$J107=3,$J107=4),-$E107*$I107/12*3,IF($J107=5,-$E107*$I107/12*2,IF($J107=6,-$E107*$I107/12*1,0)))))+IF(CF$5&lt;&gt;$H107,0,IF(CF107&lt;0,IF($J107=4,-$E107*$I107/12*0,IF($J107=5,-$E107*$I107/12*1,IF($J107=6,-$E107*$I107/12*2,IF($J107&gt;=7,-$E107*$I107/12*3,0))))))</f>
        <v>0</v>
      </c>
      <c r="CI107" s="87">
        <f t="shared" ref="CI107:CI117" si="1734">IF($H107&lt;&gt;CK$5,0,IF(CK107&lt;0,IF(OR($J107=1,$J107=2,$J107=3,$J107=4,$J107=5,$J107=6,$J107=7),-$E107*$I107/12*3,IF($J107=8,-$E107*$I107/12*2,IF($J107=9,-$E107*$I107/12*1,0)))))+IF(CF$5&lt;&gt;$H107,0,IF(CF107&lt;0,IF($J107=7,-$E107*$I107/12*0,IF($J107=8,-$E107*$I107/12*1,IF($J107=9,-$E107*$I107/12*2,IF($J107&gt;=10,-$E107*$I107/12*3,0))))))</f>
        <v>0</v>
      </c>
      <c r="CJ107" s="88">
        <f t="shared" ref="CJ107:CJ117" si="1735">IF($H107&lt;&gt;CK$5,0,IF(CK107&lt;0,IF(OR($J107=1,$J107=2,$J107=3,$J107=4,$J107=5,$J107=6,$J107=7,$J107=8,$J107=9,$J107=10),-$E107*$I107/12*3,IF($J107=11,-$E107*$I107/12*2,IF($J107=12,-$E107*$I107/12*1,0)))))+IF(CF$5&lt;&gt;$H107,0,IF(CF107&lt;0,IF($J107=10,-$E107*$I107/12*0,IF($J107=11,-$E107*$I107/12*1,IF($J107=12,-$E107*$I107/12*2,0)))))</f>
        <v>0</v>
      </c>
      <c r="CK107" s="85">
        <f t="shared" ref="CK107:CK117" si="1736">IF(AND(CF107&lt;&gt;0,CF$5=$H107),-$I107*$E107-CF107,IF(CK$5=$H107,-$I107*$E107*(12-$J107+1)/12,0))</f>
        <v>0</v>
      </c>
      <c r="CL107" s="86">
        <f t="shared" ref="CL107:CL117" si="1737">IF($H107&lt;&gt;CP$5,0,IF(CP107&lt;0,IF($J107=1,-$E107*$I107/12*3,IF($J107=2,-$E107*$I107/12*2,IF($J107=3,-$E107*$I107/12*1,0)))))+IF(CK$5&lt;&gt;$H107,0,IF(CK107&lt;0,IF($J107=1,-$E107*$I107/12*0,IF($J107=2,-$E107*$I107/12*1,IF($J107=3,-$E107*$I107/12*2,IF($J107&gt;=4,-$E107*$I107/12*3,0))))))</f>
        <v>0</v>
      </c>
      <c r="CM107" s="87">
        <f t="shared" ref="CM107:CM117" si="1738">IF($H107&lt;&gt;CP$5,0,IF(CP107&lt;0,IF(OR($J107=1,$J107=2,$J107=3,$J107=4),-$E107*$I107/12*3,IF($J107=5,-$E107*$I107/12*2,IF($J107=6,-$E107*$I107/12*1,0)))))+IF(CK$5&lt;&gt;$H107,0,IF(CK107&lt;0,IF($J107=4,-$E107*$I107/12*0,IF($J107=5,-$E107*$I107/12*1,IF($J107=6,-$E107*$I107/12*2,IF($J107&gt;=7,-$E107*$I107/12*3,0))))))</f>
        <v>0</v>
      </c>
      <c r="CN107" s="87">
        <f t="shared" ref="CN107:CN117" si="1739">IF($H107&lt;&gt;CP$5,0,IF(CP107&lt;0,IF(OR($J107=1,$J107=2,$J107=3,$J107=4,$J107=5,$J107=6,$J107=7),-$E107*$I107/12*3,IF($J107=8,-$E107*$I107/12*2,IF($J107=9,-$E107*$I107/12*1,0)))))+IF(CK$5&lt;&gt;$H107,0,IF(CK107&lt;0,IF($J107=7,-$E107*$I107/12*0,IF($J107=8,-$E107*$I107/12*1,IF($J107=9,-$E107*$I107/12*2,IF($J107&gt;=10,-$E107*$I107/12*3,0))))))</f>
        <v>0</v>
      </c>
      <c r="CO107" s="88">
        <f t="shared" ref="CO107:CO117" si="1740">IF($H107&lt;&gt;CP$5,0,IF(CP107&lt;0,IF(OR($J107=1,$J107=2,$J107=3,$J107=4,$J107=5,$J107=6,$J107=7,$J107=8,$J107=9,$J107=10),-$E107*$I107/12*3,IF($J107=11,-$E107*$I107/12*2,IF($J107=12,-$E107*$I107/12*1,0)))))+IF(CK$5&lt;&gt;$H107,0,IF(CK107&lt;0,IF($J107=10,-$E107*$I107/12*0,IF($J107=11,-$E107*$I107/12*1,IF($J107=12,-$E107*$I107/12*2,0)))))</f>
        <v>0</v>
      </c>
      <c r="CP107" s="85">
        <f t="shared" ref="CP107:CP117" si="1741">IF(AND(CK107&lt;&gt;0,CK$5=$H107),-$I107*$E107-CK107,IF(CP$5=$H107,-$I107*$E107*(12-$J107+1)/12,0))</f>
        <v>0</v>
      </c>
      <c r="CQ107" s="86">
        <f t="shared" ref="CQ107:CQ117" si="1742">IF($H107&lt;&gt;CU$5,0,IF(CU107&lt;0,IF($J107=1,-$E107*$I107/12*3,IF($J107=2,-$E107*$I107/12*2,IF($J107=3,-$E107*$I107/12*1,0)))))+IF(CP$5&lt;&gt;$H107,0,IF(CP107&lt;0,IF($J107=1,-$E107*$I107/12*0,IF($J107=2,-$E107*$I107/12*1,IF($J107=3,-$E107*$I107/12*2,IF($J107&gt;=4,-$E107*$I107/12*3,0))))))</f>
        <v>0</v>
      </c>
      <c r="CR107" s="87">
        <f t="shared" ref="CR107:CR117" si="1743">IF($H107&lt;&gt;CU$5,0,IF(CU107&lt;0,IF(OR($J107=1,$J107=2,$J107=3,$J107=4),-$E107*$I107/12*3,IF($J107=5,-$E107*$I107/12*2,IF($J107=6,-$E107*$I107/12*1,0)))))+IF(CP$5&lt;&gt;$H107,0,IF(CP107&lt;0,IF($J107=4,-$E107*$I107/12*0,IF($J107=5,-$E107*$I107/12*1,IF($J107=6,-$E107*$I107/12*2,IF($J107&gt;=7,-$E107*$I107/12*3,0))))))</f>
        <v>0</v>
      </c>
      <c r="CS107" s="87">
        <f t="shared" ref="CS107:CS117" si="1744">IF($H107&lt;&gt;CU$5,0,IF(CU107&lt;0,IF(OR($J107=1,$J107=2,$J107=3,$J107=4,$J107=5,$J107=6,$J107=7),-$E107*$I107/12*3,IF($J107=8,-$E107*$I107/12*2,IF($J107=9,-$E107*$I107/12*1,0)))))+IF(CP$5&lt;&gt;$H107,0,IF(CP107&lt;0,IF($J107=7,-$E107*$I107/12*0,IF($J107=8,-$E107*$I107/12*1,IF($J107=9,-$E107*$I107/12*2,IF($J107&gt;=10,-$E107*$I107/12*3,0))))))</f>
        <v>0</v>
      </c>
      <c r="CT107" s="88">
        <f t="shared" ref="CT107:CT117" si="1745">IF($H107&lt;&gt;CU$5,0,IF(CU107&lt;0,IF(OR($J107=1,$J107=2,$J107=3,$J107=4,$J107=5,$J107=6,$J107=7,$J107=8,$J107=9,$J107=10),-$E107*$I107/12*3,IF($J107=11,-$E107*$I107/12*2,IF($J107=12,-$E107*$I107/12*1,0)))))+IF(CP$5&lt;&gt;$H107,0,IF(CP107&lt;0,IF($J107=10,-$E107*$I107/12*0,IF($J107=11,-$E107*$I107/12*1,IF($J107=12,-$E107*$I107/12*2,0)))))</f>
        <v>0</v>
      </c>
      <c r="CU107" s="85">
        <f t="shared" ref="CU107:CU117" si="1746">IF(AND(CP107&lt;&gt;0,CP$5=$H107),-$I107*$E107-CP107,IF(CU$5=$H107,-$I107*$E107*(12-$J107+1)/12,0))</f>
        <v>0</v>
      </c>
      <c r="CV107" s="86">
        <f t="shared" ref="CV107:CV117" si="1747">IF($H107&lt;&gt;CZ$5,0,IF(CZ107&lt;0,IF($J107=1,-$E107*$I107/12*3,IF($J107=2,-$E107*$I107/12*2,IF($J107=3,-$E107*$I107/12*1,0)))))+IF(CU$5&lt;&gt;$H107,0,IF(CU107&lt;0,IF($J107=1,-$E107*$I107/12*0,IF($J107=2,-$E107*$I107/12*1,IF($J107=3,-$E107*$I107/12*2,IF($J107&gt;=4,-$E107*$I107/12*3,0))))))</f>
        <v>0</v>
      </c>
      <c r="CW107" s="87">
        <f t="shared" ref="CW107:CW117" si="1748">IF($H107&lt;&gt;CZ$5,0,IF(CZ107&lt;0,IF(OR($J107=1,$J107=2,$J107=3,$J107=4),-$E107*$I107/12*3,IF($J107=5,-$E107*$I107/12*2,IF($J107=6,-$E107*$I107/12*1,0)))))+IF(CU$5&lt;&gt;$H107,0,IF(CU107&lt;0,IF($J107=4,-$E107*$I107/12*0,IF($J107=5,-$E107*$I107/12*1,IF($J107=6,-$E107*$I107/12*2,IF($J107&gt;=7,-$E107*$I107/12*3,0))))))</f>
        <v>0</v>
      </c>
      <c r="CX107" s="87">
        <f t="shared" ref="CX107:CX117" si="1749">IF($H107&lt;&gt;CZ$5,0,IF(CZ107&lt;0,IF(OR($J107=1,$J107=2,$J107=3,$J107=4,$J107=5,$J107=6,$J107=7),-$E107*$I107/12*3,IF($J107=8,-$E107*$I107/12*2,IF($J107=9,-$E107*$I107/12*1,0)))))+IF(CU$5&lt;&gt;$H107,0,IF(CU107&lt;0,IF($J107=7,-$E107*$I107/12*0,IF($J107=8,-$E107*$I107/12*1,IF($J107=9,-$E107*$I107/12*2,IF($J107&gt;=10,-$E107*$I107/12*3,0))))))</f>
        <v>-0.42500000000000004</v>
      </c>
      <c r="CY107" s="88">
        <f t="shared" ref="CY107:CY117" si="1750">IF($H107&lt;&gt;CZ$5,0,IF(CZ107&lt;0,IF(OR($J107=1,$J107=2,$J107=3,$J107=4,$J107=5,$J107=6,$J107=7,$J107=8,$J107=9,$J107=10),-$E107*$I107/12*3,IF($J107=11,-$E107*$I107/12*2,IF($J107=12,-$E107*$I107/12*1,0)))))+IF(CU$5&lt;&gt;$H107,0,IF(CU107&lt;0,IF($J107=10,-$E107*$I107/12*0,IF($J107=11,-$E107*$I107/12*1,IF($J107=12,-$E107*$I107/12*2,0)))))</f>
        <v>-1.2750000000000001</v>
      </c>
      <c r="CZ107" s="85">
        <f t="shared" ref="CZ107:CZ117" si="1751">IF(AND(CU107&lt;&gt;0,CU$5=$H107),-$I107*$E107-CU107,IF(CZ$5=$H107,-$I107*$E107*(12-$J107+1)/12,0))</f>
        <v>-1.7000000000000002</v>
      </c>
    </row>
    <row r="108" spans="1:104" ht="12.75" customHeight="1">
      <c r="A108" s="4"/>
      <c r="B108" s="4"/>
      <c r="C108" s="806" t="s">
        <v>1418</v>
      </c>
      <c r="D108" s="157"/>
      <c r="E108" s="2115">
        <f t="shared" ref="E108" si="1752">IF(F108=0,G108,F108)</f>
        <v>350</v>
      </c>
      <c r="F108" s="2313">
        <v>350</v>
      </c>
      <c r="G108" s="1511">
        <v>350</v>
      </c>
      <c r="H108" s="1334">
        <v>2025</v>
      </c>
      <c r="I108" s="325">
        <v>3.15E-2</v>
      </c>
      <c r="J108" s="1334">
        <v>10</v>
      </c>
      <c r="K108" s="80"/>
      <c r="L108" s="81">
        <f t="shared" si="1660"/>
        <v>0</v>
      </c>
      <c r="M108" s="82">
        <f t="shared" si="1661"/>
        <v>0</v>
      </c>
      <c r="N108" s="83">
        <f t="shared" si="1662"/>
        <v>0</v>
      </c>
      <c r="O108" s="83">
        <f t="shared" si="1663"/>
        <v>0</v>
      </c>
      <c r="P108" s="84">
        <f t="shared" si="1664"/>
        <v>0</v>
      </c>
      <c r="Q108" s="81">
        <f t="shared" si="1665"/>
        <v>0</v>
      </c>
      <c r="R108" s="82">
        <f t="shared" si="1666"/>
        <v>0</v>
      </c>
      <c r="S108" s="83">
        <f t="shared" si="1667"/>
        <v>0</v>
      </c>
      <c r="T108" s="83">
        <f t="shared" si="1668"/>
        <v>0</v>
      </c>
      <c r="U108" s="84">
        <f t="shared" si="1669"/>
        <v>0</v>
      </c>
      <c r="V108" s="81">
        <f t="shared" si="1670"/>
        <v>0</v>
      </c>
      <c r="W108" s="82">
        <f t="shared" si="1671"/>
        <v>0</v>
      </c>
      <c r="X108" s="83">
        <f t="shared" si="1672"/>
        <v>0</v>
      </c>
      <c r="Y108" s="83">
        <f t="shared" si="1673"/>
        <v>0</v>
      </c>
      <c r="Z108" s="84">
        <f t="shared" si="1674"/>
        <v>0</v>
      </c>
      <c r="AA108" s="81">
        <f t="shared" si="1675"/>
        <v>0</v>
      </c>
      <c r="AB108" s="82">
        <f t="shared" si="1676"/>
        <v>0</v>
      </c>
      <c r="AC108" s="83">
        <f t="shared" si="1677"/>
        <v>0</v>
      </c>
      <c r="AD108" s="83">
        <f t="shared" si="1678"/>
        <v>0</v>
      </c>
      <c r="AE108" s="84">
        <f t="shared" si="1679"/>
        <v>0</v>
      </c>
      <c r="AF108" s="81">
        <f t="shared" si="1680"/>
        <v>0</v>
      </c>
      <c r="AG108" s="82">
        <f t="shared" si="1681"/>
        <v>0</v>
      </c>
      <c r="AH108" s="83">
        <f t="shared" si="1682"/>
        <v>0</v>
      </c>
      <c r="AI108" s="83">
        <f t="shared" si="1683"/>
        <v>0</v>
      </c>
      <c r="AJ108" s="84">
        <f t="shared" si="1684"/>
        <v>0</v>
      </c>
      <c r="AK108" s="81">
        <f t="shared" si="1685"/>
        <v>0</v>
      </c>
      <c r="AL108" s="82">
        <f t="shared" si="1686"/>
        <v>0</v>
      </c>
      <c r="AM108" s="83">
        <f t="shared" si="1687"/>
        <v>0</v>
      </c>
      <c r="AN108" s="83">
        <f t="shared" si="1688"/>
        <v>0</v>
      </c>
      <c r="AO108" s="84">
        <f t="shared" si="1689"/>
        <v>0</v>
      </c>
      <c r="AP108" s="81">
        <f t="shared" si="1690"/>
        <v>0</v>
      </c>
      <c r="AQ108" s="82">
        <f t="shared" si="1691"/>
        <v>0</v>
      </c>
      <c r="AR108" s="83">
        <f t="shared" si="1692"/>
        <v>0</v>
      </c>
      <c r="AS108" s="83">
        <f t="shared" si="1693"/>
        <v>0</v>
      </c>
      <c r="AT108" s="84">
        <f t="shared" si="1694"/>
        <v>0</v>
      </c>
      <c r="AU108" s="81">
        <f t="shared" si="1695"/>
        <v>0</v>
      </c>
      <c r="AV108" s="82">
        <f t="shared" si="1696"/>
        <v>0</v>
      </c>
      <c r="AW108" s="83">
        <f t="shared" si="1697"/>
        <v>0</v>
      </c>
      <c r="AX108" s="83">
        <f t="shared" si="1698"/>
        <v>0</v>
      </c>
      <c r="AY108" s="84">
        <f t="shared" si="1699"/>
        <v>0</v>
      </c>
      <c r="AZ108" s="81">
        <f t="shared" si="1700"/>
        <v>0</v>
      </c>
      <c r="BA108" s="82">
        <f t="shared" si="1701"/>
        <v>0</v>
      </c>
      <c r="BB108" s="83">
        <f t="shared" si="1702"/>
        <v>0</v>
      </c>
      <c r="BC108" s="83">
        <f t="shared" si="1703"/>
        <v>0</v>
      </c>
      <c r="BD108" s="84">
        <f t="shared" si="1704"/>
        <v>0</v>
      </c>
      <c r="BE108" s="81">
        <f t="shared" si="1705"/>
        <v>0</v>
      </c>
      <c r="BF108" s="1877"/>
      <c r="BG108" s="2005">
        <f t="shared" si="1706"/>
        <v>0</v>
      </c>
      <c r="BH108" s="86">
        <f t="shared" si="1707"/>
        <v>0</v>
      </c>
      <c r="BI108" s="87">
        <f t="shared" si="1708"/>
        <v>0</v>
      </c>
      <c r="BJ108" s="87">
        <f t="shared" si="1709"/>
        <v>0</v>
      </c>
      <c r="BK108" s="88">
        <f t="shared" si="1710"/>
        <v>0</v>
      </c>
      <c r="BL108" s="85">
        <f t="shared" si="1711"/>
        <v>0</v>
      </c>
      <c r="BM108" s="86">
        <f t="shared" si="1712"/>
        <v>0</v>
      </c>
      <c r="BN108" s="87">
        <f t="shared" si="1713"/>
        <v>0</v>
      </c>
      <c r="BO108" s="87">
        <f t="shared" si="1714"/>
        <v>0</v>
      </c>
      <c r="BP108" s="88">
        <f t="shared" si="1715"/>
        <v>0</v>
      </c>
      <c r="BQ108" s="85">
        <f t="shared" si="1716"/>
        <v>0</v>
      </c>
      <c r="BR108" s="86">
        <f t="shared" si="1717"/>
        <v>0</v>
      </c>
      <c r="BS108" s="87">
        <f t="shared" si="1718"/>
        <v>0</v>
      </c>
      <c r="BT108" s="87">
        <f t="shared" si="1719"/>
        <v>0</v>
      </c>
      <c r="BU108" s="88">
        <f t="shared" si="1720"/>
        <v>0</v>
      </c>
      <c r="BV108" s="85">
        <f t="shared" si="1721"/>
        <v>0</v>
      </c>
      <c r="BW108" s="86">
        <f t="shared" si="1722"/>
        <v>0</v>
      </c>
      <c r="BX108" s="87">
        <f t="shared" si="1723"/>
        <v>0</v>
      </c>
      <c r="BY108" s="87">
        <f t="shared" si="1724"/>
        <v>0</v>
      </c>
      <c r="BZ108" s="88">
        <f t="shared" si="1725"/>
        <v>0</v>
      </c>
      <c r="CA108" s="85">
        <f t="shared" si="1726"/>
        <v>0</v>
      </c>
      <c r="CB108" s="86">
        <f t="shared" si="1727"/>
        <v>0</v>
      </c>
      <c r="CC108" s="87">
        <f t="shared" si="1728"/>
        <v>0</v>
      </c>
      <c r="CD108" s="87">
        <f t="shared" si="1729"/>
        <v>0</v>
      </c>
      <c r="CE108" s="88">
        <f t="shared" si="1730"/>
        <v>0</v>
      </c>
      <c r="CF108" s="85">
        <f t="shared" si="1731"/>
        <v>0</v>
      </c>
      <c r="CG108" s="86">
        <f t="shared" si="1732"/>
        <v>0</v>
      </c>
      <c r="CH108" s="87">
        <f t="shared" si="1733"/>
        <v>0</v>
      </c>
      <c r="CI108" s="87">
        <f t="shared" si="1734"/>
        <v>0</v>
      </c>
      <c r="CJ108" s="88">
        <f t="shared" si="1735"/>
        <v>0</v>
      </c>
      <c r="CK108" s="85">
        <f t="shared" si="1736"/>
        <v>0</v>
      </c>
      <c r="CL108" s="86">
        <f t="shared" si="1737"/>
        <v>0</v>
      </c>
      <c r="CM108" s="87">
        <f t="shared" si="1738"/>
        <v>0</v>
      </c>
      <c r="CN108" s="87">
        <f t="shared" si="1739"/>
        <v>0</v>
      </c>
      <c r="CO108" s="88">
        <f t="shared" si="1740"/>
        <v>0</v>
      </c>
      <c r="CP108" s="85">
        <f t="shared" si="1741"/>
        <v>0</v>
      </c>
      <c r="CQ108" s="86">
        <f t="shared" si="1742"/>
        <v>0</v>
      </c>
      <c r="CR108" s="87">
        <f t="shared" si="1743"/>
        <v>0</v>
      </c>
      <c r="CS108" s="87">
        <f t="shared" si="1744"/>
        <v>0</v>
      </c>
      <c r="CT108" s="88">
        <f t="shared" si="1745"/>
        <v>0</v>
      </c>
      <c r="CU108" s="85">
        <f t="shared" si="1746"/>
        <v>0</v>
      </c>
      <c r="CV108" s="86">
        <f t="shared" si="1747"/>
        <v>0</v>
      </c>
      <c r="CW108" s="87">
        <f t="shared" si="1748"/>
        <v>0</v>
      </c>
      <c r="CX108" s="87">
        <f t="shared" si="1749"/>
        <v>0</v>
      </c>
      <c r="CY108" s="88">
        <f t="shared" si="1750"/>
        <v>0</v>
      </c>
      <c r="CZ108" s="85">
        <f t="shared" si="1751"/>
        <v>0</v>
      </c>
    </row>
    <row r="109" spans="1:104" ht="12.75" customHeight="1">
      <c r="A109" s="4"/>
      <c r="B109" s="4"/>
      <c r="C109" s="806" t="s">
        <v>1350</v>
      </c>
      <c r="D109" s="157"/>
      <c r="E109" s="2115">
        <f>IF(F109=0,G109,F109)</f>
        <v>300</v>
      </c>
      <c r="F109" s="2313">
        <v>300</v>
      </c>
      <c r="G109" s="1511">
        <v>300</v>
      </c>
      <c r="H109" s="1334">
        <v>2044</v>
      </c>
      <c r="I109" s="325">
        <v>4.1500000000000002E-2</v>
      </c>
      <c r="J109" s="1334">
        <v>10</v>
      </c>
      <c r="K109" s="80"/>
      <c r="L109" s="81">
        <f t="shared" si="1660"/>
        <v>0</v>
      </c>
      <c r="M109" s="82">
        <f t="shared" si="1661"/>
        <v>0</v>
      </c>
      <c r="N109" s="83">
        <f t="shared" si="1662"/>
        <v>0</v>
      </c>
      <c r="O109" s="83">
        <f t="shared" si="1663"/>
        <v>0</v>
      </c>
      <c r="P109" s="84">
        <f t="shared" si="1664"/>
        <v>0</v>
      </c>
      <c r="Q109" s="81">
        <f t="shared" si="1665"/>
        <v>0</v>
      </c>
      <c r="R109" s="82">
        <f t="shared" si="1666"/>
        <v>0</v>
      </c>
      <c r="S109" s="83">
        <f t="shared" si="1667"/>
        <v>0</v>
      </c>
      <c r="T109" s="83">
        <f t="shared" si="1668"/>
        <v>0</v>
      </c>
      <c r="U109" s="84">
        <f t="shared" si="1669"/>
        <v>0</v>
      </c>
      <c r="V109" s="81">
        <f t="shared" si="1670"/>
        <v>0</v>
      </c>
      <c r="W109" s="82">
        <f t="shared" si="1671"/>
        <v>0</v>
      </c>
      <c r="X109" s="83">
        <f t="shared" si="1672"/>
        <v>0</v>
      </c>
      <c r="Y109" s="83">
        <f t="shared" si="1673"/>
        <v>0</v>
      </c>
      <c r="Z109" s="84">
        <f t="shared" si="1674"/>
        <v>0</v>
      </c>
      <c r="AA109" s="81">
        <f t="shared" si="1675"/>
        <v>0</v>
      </c>
      <c r="AB109" s="82">
        <f t="shared" si="1676"/>
        <v>0</v>
      </c>
      <c r="AC109" s="83">
        <f t="shared" si="1677"/>
        <v>0</v>
      </c>
      <c r="AD109" s="83">
        <f t="shared" si="1678"/>
        <v>0</v>
      </c>
      <c r="AE109" s="84">
        <f t="shared" si="1679"/>
        <v>0</v>
      </c>
      <c r="AF109" s="81">
        <f t="shared" si="1680"/>
        <v>0</v>
      </c>
      <c r="AG109" s="82">
        <f t="shared" si="1681"/>
        <v>0</v>
      </c>
      <c r="AH109" s="83">
        <f t="shared" si="1682"/>
        <v>0</v>
      </c>
      <c r="AI109" s="83">
        <f t="shared" si="1683"/>
        <v>0</v>
      </c>
      <c r="AJ109" s="84">
        <f t="shared" si="1684"/>
        <v>0</v>
      </c>
      <c r="AK109" s="81">
        <f t="shared" si="1685"/>
        <v>0</v>
      </c>
      <c r="AL109" s="82">
        <f t="shared" si="1686"/>
        <v>0</v>
      </c>
      <c r="AM109" s="83">
        <f t="shared" si="1687"/>
        <v>0</v>
      </c>
      <c r="AN109" s="83">
        <f t="shared" si="1688"/>
        <v>0</v>
      </c>
      <c r="AO109" s="84">
        <f t="shared" si="1689"/>
        <v>0</v>
      </c>
      <c r="AP109" s="81">
        <f t="shared" si="1690"/>
        <v>0</v>
      </c>
      <c r="AQ109" s="82">
        <f t="shared" si="1691"/>
        <v>0</v>
      </c>
      <c r="AR109" s="83">
        <f t="shared" si="1692"/>
        <v>0</v>
      </c>
      <c r="AS109" s="83">
        <f t="shared" si="1693"/>
        <v>0</v>
      </c>
      <c r="AT109" s="84">
        <f t="shared" si="1694"/>
        <v>0</v>
      </c>
      <c r="AU109" s="81">
        <f t="shared" si="1695"/>
        <v>0</v>
      </c>
      <c r="AV109" s="82">
        <f t="shared" si="1696"/>
        <v>0</v>
      </c>
      <c r="AW109" s="83">
        <f t="shared" si="1697"/>
        <v>0</v>
      </c>
      <c r="AX109" s="83">
        <f t="shared" si="1698"/>
        <v>0</v>
      </c>
      <c r="AY109" s="84">
        <f t="shared" si="1699"/>
        <v>0</v>
      </c>
      <c r="AZ109" s="81">
        <f t="shared" si="1700"/>
        <v>0</v>
      </c>
      <c r="BA109" s="82">
        <f t="shared" si="1701"/>
        <v>0</v>
      </c>
      <c r="BB109" s="83">
        <f t="shared" si="1702"/>
        <v>0</v>
      </c>
      <c r="BC109" s="83">
        <f t="shared" si="1703"/>
        <v>0</v>
      </c>
      <c r="BD109" s="84">
        <f t="shared" si="1704"/>
        <v>0</v>
      </c>
      <c r="BE109" s="81">
        <f t="shared" si="1705"/>
        <v>0</v>
      </c>
      <c r="BF109" s="1877"/>
      <c r="BG109" s="2005">
        <f t="shared" si="1706"/>
        <v>0</v>
      </c>
      <c r="BH109" s="86">
        <f t="shared" si="1707"/>
        <v>0</v>
      </c>
      <c r="BI109" s="87">
        <f t="shared" si="1708"/>
        <v>0</v>
      </c>
      <c r="BJ109" s="87">
        <f t="shared" si="1709"/>
        <v>0</v>
      </c>
      <c r="BK109" s="88">
        <f t="shared" si="1710"/>
        <v>0</v>
      </c>
      <c r="BL109" s="85">
        <f t="shared" si="1711"/>
        <v>0</v>
      </c>
      <c r="BM109" s="86">
        <f t="shared" si="1712"/>
        <v>0</v>
      </c>
      <c r="BN109" s="87">
        <f t="shared" si="1713"/>
        <v>0</v>
      </c>
      <c r="BO109" s="87">
        <f t="shared" si="1714"/>
        <v>0</v>
      </c>
      <c r="BP109" s="88">
        <f t="shared" si="1715"/>
        <v>0</v>
      </c>
      <c r="BQ109" s="85">
        <f t="shared" si="1716"/>
        <v>0</v>
      </c>
      <c r="BR109" s="86">
        <f t="shared" si="1717"/>
        <v>0</v>
      </c>
      <c r="BS109" s="87">
        <f t="shared" si="1718"/>
        <v>0</v>
      </c>
      <c r="BT109" s="87">
        <f t="shared" si="1719"/>
        <v>0</v>
      </c>
      <c r="BU109" s="88">
        <f t="shared" si="1720"/>
        <v>0</v>
      </c>
      <c r="BV109" s="85">
        <f t="shared" si="1721"/>
        <v>0</v>
      </c>
      <c r="BW109" s="86">
        <f t="shared" si="1722"/>
        <v>0</v>
      </c>
      <c r="BX109" s="87">
        <f t="shared" si="1723"/>
        <v>0</v>
      </c>
      <c r="BY109" s="87">
        <f t="shared" si="1724"/>
        <v>0</v>
      </c>
      <c r="BZ109" s="88">
        <f t="shared" si="1725"/>
        <v>0</v>
      </c>
      <c r="CA109" s="85">
        <f t="shared" si="1726"/>
        <v>0</v>
      </c>
      <c r="CB109" s="86">
        <f t="shared" si="1727"/>
        <v>0</v>
      </c>
      <c r="CC109" s="87">
        <f t="shared" si="1728"/>
        <v>0</v>
      </c>
      <c r="CD109" s="87">
        <f t="shared" si="1729"/>
        <v>0</v>
      </c>
      <c r="CE109" s="88">
        <f t="shared" si="1730"/>
        <v>0</v>
      </c>
      <c r="CF109" s="85">
        <f t="shared" si="1731"/>
        <v>0</v>
      </c>
      <c r="CG109" s="86">
        <f t="shared" si="1732"/>
        <v>0</v>
      </c>
      <c r="CH109" s="87">
        <f t="shared" si="1733"/>
        <v>0</v>
      </c>
      <c r="CI109" s="87">
        <f t="shared" si="1734"/>
        <v>0</v>
      </c>
      <c r="CJ109" s="88">
        <f t="shared" si="1735"/>
        <v>0</v>
      </c>
      <c r="CK109" s="85">
        <f t="shared" si="1736"/>
        <v>0</v>
      </c>
      <c r="CL109" s="86">
        <f t="shared" si="1737"/>
        <v>0</v>
      </c>
      <c r="CM109" s="87">
        <f t="shared" si="1738"/>
        <v>0</v>
      </c>
      <c r="CN109" s="87">
        <f t="shared" si="1739"/>
        <v>0</v>
      </c>
      <c r="CO109" s="88">
        <f t="shared" si="1740"/>
        <v>0</v>
      </c>
      <c r="CP109" s="85">
        <f t="shared" si="1741"/>
        <v>0</v>
      </c>
      <c r="CQ109" s="86">
        <f t="shared" si="1742"/>
        <v>0</v>
      </c>
      <c r="CR109" s="87">
        <f t="shared" si="1743"/>
        <v>0</v>
      </c>
      <c r="CS109" s="87">
        <f t="shared" si="1744"/>
        <v>0</v>
      </c>
      <c r="CT109" s="88">
        <f t="shared" si="1745"/>
        <v>0</v>
      </c>
      <c r="CU109" s="85">
        <f t="shared" si="1746"/>
        <v>0</v>
      </c>
      <c r="CV109" s="86">
        <f t="shared" si="1747"/>
        <v>0</v>
      </c>
      <c r="CW109" s="87">
        <f t="shared" si="1748"/>
        <v>0</v>
      </c>
      <c r="CX109" s="87">
        <f t="shared" si="1749"/>
        <v>0</v>
      </c>
      <c r="CY109" s="88">
        <f t="shared" si="1750"/>
        <v>0</v>
      </c>
      <c r="CZ109" s="85">
        <f t="shared" si="1751"/>
        <v>0</v>
      </c>
    </row>
    <row r="110" spans="1:104" ht="12.75" customHeight="1">
      <c r="A110" s="4"/>
      <c r="B110" s="4"/>
      <c r="C110" s="4" t="s">
        <v>923</v>
      </c>
      <c r="D110" s="157"/>
      <c r="E110" s="2115">
        <f>IF(F110=0,G110,F110)</f>
        <v>250</v>
      </c>
      <c r="F110" s="2313">
        <v>250</v>
      </c>
      <c r="G110" s="1511">
        <v>250</v>
      </c>
      <c r="H110" s="1334">
        <v>2043</v>
      </c>
      <c r="I110" s="325">
        <v>4.8000000000000001E-2</v>
      </c>
      <c r="J110" s="1334">
        <v>9</v>
      </c>
      <c r="K110" s="80"/>
      <c r="L110" s="81">
        <f t="shared" si="1660"/>
        <v>0</v>
      </c>
      <c r="M110" s="82">
        <f t="shared" si="1661"/>
        <v>0</v>
      </c>
      <c r="N110" s="83">
        <f t="shared" si="1662"/>
        <v>0</v>
      </c>
      <c r="O110" s="83">
        <f t="shared" si="1663"/>
        <v>0</v>
      </c>
      <c r="P110" s="84">
        <f t="shared" si="1664"/>
        <v>0</v>
      </c>
      <c r="Q110" s="81">
        <f t="shared" si="1665"/>
        <v>0</v>
      </c>
      <c r="R110" s="82">
        <f t="shared" si="1666"/>
        <v>0</v>
      </c>
      <c r="S110" s="83">
        <f t="shared" si="1667"/>
        <v>0</v>
      </c>
      <c r="T110" s="83">
        <f t="shared" si="1668"/>
        <v>0</v>
      </c>
      <c r="U110" s="84">
        <f t="shared" si="1669"/>
        <v>0</v>
      </c>
      <c r="V110" s="81">
        <f t="shared" si="1670"/>
        <v>0</v>
      </c>
      <c r="W110" s="82">
        <f t="shared" si="1671"/>
        <v>0</v>
      </c>
      <c r="X110" s="83">
        <f t="shared" si="1672"/>
        <v>0</v>
      </c>
      <c r="Y110" s="83">
        <f t="shared" si="1673"/>
        <v>0</v>
      </c>
      <c r="Z110" s="84">
        <f t="shared" si="1674"/>
        <v>0</v>
      </c>
      <c r="AA110" s="81">
        <f t="shared" si="1675"/>
        <v>0</v>
      </c>
      <c r="AB110" s="82">
        <f t="shared" si="1676"/>
        <v>0</v>
      </c>
      <c r="AC110" s="83">
        <f t="shared" si="1677"/>
        <v>0</v>
      </c>
      <c r="AD110" s="83">
        <f t="shared" si="1678"/>
        <v>0</v>
      </c>
      <c r="AE110" s="84">
        <f t="shared" si="1679"/>
        <v>0</v>
      </c>
      <c r="AF110" s="81">
        <f t="shared" si="1680"/>
        <v>0</v>
      </c>
      <c r="AG110" s="82">
        <f t="shared" si="1681"/>
        <v>0</v>
      </c>
      <c r="AH110" s="83">
        <f t="shared" si="1682"/>
        <v>0</v>
      </c>
      <c r="AI110" s="83">
        <f t="shared" si="1683"/>
        <v>0</v>
      </c>
      <c r="AJ110" s="84">
        <f t="shared" si="1684"/>
        <v>0</v>
      </c>
      <c r="AK110" s="81">
        <f t="shared" si="1685"/>
        <v>0</v>
      </c>
      <c r="AL110" s="82">
        <f t="shared" si="1686"/>
        <v>0</v>
      </c>
      <c r="AM110" s="83">
        <f t="shared" si="1687"/>
        <v>0</v>
      </c>
      <c r="AN110" s="83">
        <f t="shared" si="1688"/>
        <v>0</v>
      </c>
      <c r="AO110" s="84">
        <f t="shared" si="1689"/>
        <v>0</v>
      </c>
      <c r="AP110" s="81">
        <f t="shared" si="1690"/>
        <v>0</v>
      </c>
      <c r="AQ110" s="82">
        <f t="shared" si="1691"/>
        <v>0</v>
      </c>
      <c r="AR110" s="83">
        <f t="shared" si="1692"/>
        <v>0</v>
      </c>
      <c r="AS110" s="83">
        <f t="shared" si="1693"/>
        <v>0</v>
      </c>
      <c r="AT110" s="84">
        <f t="shared" si="1694"/>
        <v>0</v>
      </c>
      <c r="AU110" s="81">
        <f t="shared" si="1695"/>
        <v>0</v>
      </c>
      <c r="AV110" s="82">
        <f t="shared" si="1696"/>
        <v>0</v>
      </c>
      <c r="AW110" s="83">
        <f t="shared" si="1697"/>
        <v>0</v>
      </c>
      <c r="AX110" s="83">
        <f t="shared" si="1698"/>
        <v>0</v>
      </c>
      <c r="AY110" s="84">
        <f t="shared" si="1699"/>
        <v>0</v>
      </c>
      <c r="AZ110" s="81">
        <f t="shared" si="1700"/>
        <v>0</v>
      </c>
      <c r="BA110" s="82">
        <f t="shared" si="1701"/>
        <v>0</v>
      </c>
      <c r="BB110" s="83">
        <f t="shared" si="1702"/>
        <v>0</v>
      </c>
      <c r="BC110" s="83">
        <f t="shared" si="1703"/>
        <v>0</v>
      </c>
      <c r="BD110" s="84">
        <f t="shared" si="1704"/>
        <v>0</v>
      </c>
      <c r="BE110" s="81">
        <f t="shared" si="1705"/>
        <v>0</v>
      </c>
      <c r="BF110" s="1877"/>
      <c r="BG110" s="2005">
        <f t="shared" si="1706"/>
        <v>0</v>
      </c>
      <c r="BH110" s="86">
        <f t="shared" si="1707"/>
        <v>0</v>
      </c>
      <c r="BI110" s="87">
        <f t="shared" si="1708"/>
        <v>0</v>
      </c>
      <c r="BJ110" s="87">
        <f t="shared" si="1709"/>
        <v>0</v>
      </c>
      <c r="BK110" s="88">
        <f t="shared" si="1710"/>
        <v>0</v>
      </c>
      <c r="BL110" s="85">
        <f t="shared" si="1711"/>
        <v>0</v>
      </c>
      <c r="BM110" s="86">
        <f t="shared" si="1712"/>
        <v>0</v>
      </c>
      <c r="BN110" s="87">
        <f t="shared" si="1713"/>
        <v>0</v>
      </c>
      <c r="BO110" s="87">
        <f t="shared" si="1714"/>
        <v>0</v>
      </c>
      <c r="BP110" s="88">
        <f t="shared" si="1715"/>
        <v>0</v>
      </c>
      <c r="BQ110" s="85">
        <f t="shared" si="1716"/>
        <v>0</v>
      </c>
      <c r="BR110" s="86">
        <f t="shared" si="1717"/>
        <v>0</v>
      </c>
      <c r="BS110" s="87">
        <f t="shared" si="1718"/>
        <v>0</v>
      </c>
      <c r="BT110" s="87">
        <f t="shared" si="1719"/>
        <v>0</v>
      </c>
      <c r="BU110" s="88">
        <f t="shared" si="1720"/>
        <v>0</v>
      </c>
      <c r="BV110" s="85">
        <f t="shared" si="1721"/>
        <v>0</v>
      </c>
      <c r="BW110" s="86">
        <f t="shared" si="1722"/>
        <v>0</v>
      </c>
      <c r="BX110" s="87">
        <f t="shared" si="1723"/>
        <v>0</v>
      </c>
      <c r="BY110" s="87">
        <f t="shared" si="1724"/>
        <v>0</v>
      </c>
      <c r="BZ110" s="88">
        <f t="shared" si="1725"/>
        <v>0</v>
      </c>
      <c r="CA110" s="85">
        <f t="shared" si="1726"/>
        <v>0</v>
      </c>
      <c r="CB110" s="86">
        <f t="shared" si="1727"/>
        <v>0</v>
      </c>
      <c r="CC110" s="87">
        <f t="shared" si="1728"/>
        <v>0</v>
      </c>
      <c r="CD110" s="87">
        <f t="shared" si="1729"/>
        <v>0</v>
      </c>
      <c r="CE110" s="88">
        <f t="shared" si="1730"/>
        <v>0</v>
      </c>
      <c r="CF110" s="85">
        <f t="shared" si="1731"/>
        <v>0</v>
      </c>
      <c r="CG110" s="86">
        <f t="shared" si="1732"/>
        <v>0</v>
      </c>
      <c r="CH110" s="87">
        <f t="shared" si="1733"/>
        <v>0</v>
      </c>
      <c r="CI110" s="87">
        <f t="shared" si="1734"/>
        <v>0</v>
      </c>
      <c r="CJ110" s="88">
        <f t="shared" si="1735"/>
        <v>0</v>
      </c>
      <c r="CK110" s="85">
        <f t="shared" si="1736"/>
        <v>0</v>
      </c>
      <c r="CL110" s="86">
        <f t="shared" si="1737"/>
        <v>0</v>
      </c>
      <c r="CM110" s="87">
        <f t="shared" si="1738"/>
        <v>0</v>
      </c>
      <c r="CN110" s="87">
        <f t="shared" si="1739"/>
        <v>0</v>
      </c>
      <c r="CO110" s="88">
        <f t="shared" si="1740"/>
        <v>0</v>
      </c>
      <c r="CP110" s="85">
        <f t="shared" si="1741"/>
        <v>0</v>
      </c>
      <c r="CQ110" s="86">
        <f t="shared" si="1742"/>
        <v>0</v>
      </c>
      <c r="CR110" s="87">
        <f t="shared" si="1743"/>
        <v>0</v>
      </c>
      <c r="CS110" s="87">
        <f t="shared" si="1744"/>
        <v>0</v>
      </c>
      <c r="CT110" s="88">
        <f t="shared" si="1745"/>
        <v>0</v>
      </c>
      <c r="CU110" s="85">
        <f t="shared" si="1746"/>
        <v>0</v>
      </c>
      <c r="CV110" s="86">
        <f t="shared" si="1747"/>
        <v>0</v>
      </c>
      <c r="CW110" s="87">
        <f t="shared" si="1748"/>
        <v>0</v>
      </c>
      <c r="CX110" s="87">
        <f t="shared" si="1749"/>
        <v>0</v>
      </c>
      <c r="CY110" s="88">
        <f t="shared" si="1750"/>
        <v>0</v>
      </c>
      <c r="CZ110" s="85">
        <f t="shared" si="1751"/>
        <v>0</v>
      </c>
    </row>
    <row r="111" spans="1:104" ht="12.75" customHeight="1">
      <c r="A111" s="4"/>
      <c r="B111" s="4"/>
      <c r="C111" s="1327" t="s">
        <v>999</v>
      </c>
      <c r="D111" s="157"/>
      <c r="E111" s="2115">
        <f>IF(F111=0,G111,F111)</f>
        <v>350</v>
      </c>
      <c r="F111" s="2313">
        <v>350</v>
      </c>
      <c r="G111" s="1511">
        <v>350</v>
      </c>
      <c r="H111" s="1334">
        <v>2022</v>
      </c>
      <c r="I111" s="325">
        <v>2.375E-2</v>
      </c>
      <c r="J111" s="1334">
        <v>9</v>
      </c>
      <c r="K111" s="80"/>
      <c r="L111" s="81">
        <f t="shared" si="1660"/>
        <v>0</v>
      </c>
      <c r="M111" s="82">
        <f t="shared" si="1661"/>
        <v>0</v>
      </c>
      <c r="N111" s="83">
        <f t="shared" si="1662"/>
        <v>0</v>
      </c>
      <c r="O111" s="83">
        <f t="shared" si="1663"/>
        <v>0</v>
      </c>
      <c r="P111" s="84">
        <f t="shared" si="1664"/>
        <v>0</v>
      </c>
      <c r="Q111" s="81">
        <f t="shared" si="1665"/>
        <v>0</v>
      </c>
      <c r="R111" s="82">
        <f t="shared" si="1666"/>
        <v>0</v>
      </c>
      <c r="S111" s="83">
        <f t="shared" si="1667"/>
        <v>0</v>
      </c>
      <c r="T111" s="83">
        <f t="shared" si="1668"/>
        <v>0</v>
      </c>
      <c r="U111" s="84">
        <f t="shared" si="1669"/>
        <v>0</v>
      </c>
      <c r="V111" s="81">
        <f t="shared" si="1670"/>
        <v>0</v>
      </c>
      <c r="W111" s="82">
        <f t="shared" si="1671"/>
        <v>0</v>
      </c>
      <c r="X111" s="83">
        <f t="shared" si="1672"/>
        <v>0</v>
      </c>
      <c r="Y111" s="83">
        <f t="shared" si="1673"/>
        <v>0</v>
      </c>
      <c r="Z111" s="84">
        <f t="shared" si="1674"/>
        <v>0</v>
      </c>
      <c r="AA111" s="81">
        <f t="shared" si="1675"/>
        <v>0</v>
      </c>
      <c r="AB111" s="82">
        <f t="shared" si="1676"/>
        <v>0</v>
      </c>
      <c r="AC111" s="83">
        <f t="shared" si="1677"/>
        <v>0</v>
      </c>
      <c r="AD111" s="83">
        <f t="shared" si="1678"/>
        <v>0</v>
      </c>
      <c r="AE111" s="84">
        <f t="shared" si="1679"/>
        <v>0</v>
      </c>
      <c r="AF111" s="81">
        <f t="shared" si="1680"/>
        <v>0</v>
      </c>
      <c r="AG111" s="82">
        <f t="shared" si="1681"/>
        <v>0</v>
      </c>
      <c r="AH111" s="83">
        <f t="shared" si="1682"/>
        <v>0</v>
      </c>
      <c r="AI111" s="83">
        <f t="shared" si="1683"/>
        <v>0</v>
      </c>
      <c r="AJ111" s="84">
        <f t="shared" si="1684"/>
        <v>0</v>
      </c>
      <c r="AK111" s="81">
        <f t="shared" si="1685"/>
        <v>0</v>
      </c>
      <c r="AL111" s="82">
        <f t="shared" si="1686"/>
        <v>0</v>
      </c>
      <c r="AM111" s="83">
        <f t="shared" si="1687"/>
        <v>0</v>
      </c>
      <c r="AN111" s="83">
        <f t="shared" si="1688"/>
        <v>0</v>
      </c>
      <c r="AO111" s="84">
        <f t="shared" si="1689"/>
        <v>0</v>
      </c>
      <c r="AP111" s="81">
        <f t="shared" si="1690"/>
        <v>0</v>
      </c>
      <c r="AQ111" s="82">
        <f t="shared" si="1691"/>
        <v>0</v>
      </c>
      <c r="AR111" s="83">
        <f t="shared" si="1692"/>
        <v>0</v>
      </c>
      <c r="AS111" s="83">
        <f t="shared" si="1693"/>
        <v>0</v>
      </c>
      <c r="AT111" s="84">
        <f t="shared" si="1694"/>
        <v>0</v>
      </c>
      <c r="AU111" s="81">
        <f t="shared" si="1695"/>
        <v>0</v>
      </c>
      <c r="AV111" s="82">
        <f t="shared" si="1696"/>
        <v>0</v>
      </c>
      <c r="AW111" s="83">
        <f t="shared" si="1697"/>
        <v>0</v>
      </c>
      <c r="AX111" s="83">
        <f t="shared" si="1698"/>
        <v>0</v>
      </c>
      <c r="AY111" s="84">
        <f t="shared" si="1699"/>
        <v>0</v>
      </c>
      <c r="AZ111" s="81">
        <f t="shared" si="1700"/>
        <v>0</v>
      </c>
      <c r="BA111" s="82">
        <f t="shared" si="1701"/>
        <v>0</v>
      </c>
      <c r="BB111" s="83">
        <f t="shared" si="1702"/>
        <v>0</v>
      </c>
      <c r="BC111" s="83">
        <f t="shared" si="1703"/>
        <v>0</v>
      </c>
      <c r="BD111" s="84">
        <f t="shared" si="1704"/>
        <v>0</v>
      </c>
      <c r="BE111" s="81">
        <f t="shared" si="1705"/>
        <v>0</v>
      </c>
      <c r="BF111" s="1877"/>
      <c r="BG111" s="2005">
        <f t="shared" si="1706"/>
        <v>0</v>
      </c>
      <c r="BH111" s="86">
        <f t="shared" si="1707"/>
        <v>0</v>
      </c>
      <c r="BI111" s="87">
        <f t="shared" si="1708"/>
        <v>0</v>
      </c>
      <c r="BJ111" s="87">
        <f t="shared" si="1709"/>
        <v>0</v>
      </c>
      <c r="BK111" s="88">
        <f t="shared" si="1710"/>
        <v>0</v>
      </c>
      <c r="BL111" s="85">
        <f t="shared" si="1711"/>
        <v>0</v>
      </c>
      <c r="BM111" s="86">
        <f t="shared" si="1712"/>
        <v>0</v>
      </c>
      <c r="BN111" s="87">
        <f t="shared" si="1713"/>
        <v>0</v>
      </c>
      <c r="BO111" s="87">
        <f t="shared" si="1714"/>
        <v>0</v>
      </c>
      <c r="BP111" s="88">
        <f t="shared" si="1715"/>
        <v>0</v>
      </c>
      <c r="BQ111" s="85">
        <f t="shared" si="1716"/>
        <v>0</v>
      </c>
      <c r="BR111" s="86">
        <f t="shared" si="1717"/>
        <v>0</v>
      </c>
      <c r="BS111" s="87">
        <f t="shared" si="1718"/>
        <v>0</v>
      </c>
      <c r="BT111" s="87">
        <f t="shared" si="1719"/>
        <v>0</v>
      </c>
      <c r="BU111" s="88">
        <f t="shared" si="1720"/>
        <v>0</v>
      </c>
      <c r="BV111" s="85">
        <f t="shared" si="1721"/>
        <v>0</v>
      </c>
      <c r="BW111" s="86">
        <f t="shared" si="1722"/>
        <v>0</v>
      </c>
      <c r="BX111" s="87">
        <f t="shared" si="1723"/>
        <v>0</v>
      </c>
      <c r="BY111" s="87">
        <f t="shared" si="1724"/>
        <v>0</v>
      </c>
      <c r="BZ111" s="88">
        <f t="shared" si="1725"/>
        <v>0</v>
      </c>
      <c r="CA111" s="85">
        <f t="shared" si="1726"/>
        <v>0</v>
      </c>
      <c r="CB111" s="86">
        <f t="shared" si="1727"/>
        <v>0</v>
      </c>
      <c r="CC111" s="87">
        <f t="shared" si="1728"/>
        <v>0</v>
      </c>
      <c r="CD111" s="87">
        <f t="shared" si="1729"/>
        <v>0</v>
      </c>
      <c r="CE111" s="88">
        <f t="shared" si="1730"/>
        <v>0</v>
      </c>
      <c r="CF111" s="85">
        <f t="shared" si="1731"/>
        <v>0</v>
      </c>
      <c r="CG111" s="86">
        <f t="shared" si="1732"/>
        <v>0</v>
      </c>
      <c r="CH111" s="87">
        <f t="shared" si="1733"/>
        <v>0</v>
      </c>
      <c r="CI111" s="87">
        <f t="shared" si="1734"/>
        <v>0</v>
      </c>
      <c r="CJ111" s="88">
        <f t="shared" si="1735"/>
        <v>0</v>
      </c>
      <c r="CK111" s="85">
        <f t="shared" si="1736"/>
        <v>0</v>
      </c>
      <c r="CL111" s="86">
        <f t="shared" si="1737"/>
        <v>0</v>
      </c>
      <c r="CM111" s="87">
        <f t="shared" si="1738"/>
        <v>0</v>
      </c>
      <c r="CN111" s="87">
        <f t="shared" si="1739"/>
        <v>0</v>
      </c>
      <c r="CO111" s="88">
        <f t="shared" si="1740"/>
        <v>0</v>
      </c>
      <c r="CP111" s="85">
        <f t="shared" si="1741"/>
        <v>0</v>
      </c>
      <c r="CQ111" s="86">
        <f t="shared" si="1742"/>
        <v>0</v>
      </c>
      <c r="CR111" s="87">
        <f t="shared" si="1743"/>
        <v>0</v>
      </c>
      <c r="CS111" s="87">
        <f t="shared" si="1744"/>
        <v>0</v>
      </c>
      <c r="CT111" s="88">
        <f t="shared" si="1745"/>
        <v>0</v>
      </c>
      <c r="CU111" s="85">
        <f t="shared" si="1746"/>
        <v>0</v>
      </c>
      <c r="CV111" s="86">
        <f t="shared" si="1747"/>
        <v>0</v>
      </c>
      <c r="CW111" s="87">
        <f t="shared" si="1748"/>
        <v>0</v>
      </c>
      <c r="CX111" s="87">
        <f t="shared" si="1749"/>
        <v>0</v>
      </c>
      <c r="CY111" s="88">
        <f t="shared" si="1750"/>
        <v>0</v>
      </c>
      <c r="CZ111" s="85">
        <f t="shared" si="1751"/>
        <v>0</v>
      </c>
    </row>
    <row r="112" spans="1:104" ht="12.75" customHeight="1">
      <c r="A112" s="4"/>
      <c r="B112" s="4"/>
      <c r="C112" s="4" t="s">
        <v>660</v>
      </c>
      <c r="D112" s="157"/>
      <c r="E112" s="2115">
        <f t="shared" ref="E112:E117" si="1753">IF(F112=0,G112,F112)</f>
        <v>500</v>
      </c>
      <c r="F112" s="2313">
        <v>500</v>
      </c>
      <c r="G112" s="1511">
        <v>500</v>
      </c>
      <c r="H112" s="1334">
        <v>2018</v>
      </c>
      <c r="I112" s="325">
        <v>5.3499999999999999E-2</v>
      </c>
      <c r="J112" s="1334">
        <v>3</v>
      </c>
      <c r="K112" s="80"/>
      <c r="L112" s="81">
        <f t="shared" si="1660"/>
        <v>0</v>
      </c>
      <c r="M112" s="82">
        <f t="shared" si="1661"/>
        <v>0</v>
      </c>
      <c r="N112" s="83">
        <f t="shared" si="1662"/>
        <v>0</v>
      </c>
      <c r="O112" s="83">
        <f t="shared" si="1663"/>
        <v>0</v>
      </c>
      <c r="P112" s="84">
        <f t="shared" si="1664"/>
        <v>0</v>
      </c>
      <c r="Q112" s="81">
        <f t="shared" si="1665"/>
        <v>0</v>
      </c>
      <c r="R112" s="82">
        <f t="shared" si="1666"/>
        <v>0</v>
      </c>
      <c r="S112" s="83">
        <f t="shared" si="1667"/>
        <v>0</v>
      </c>
      <c r="T112" s="83">
        <f t="shared" si="1668"/>
        <v>0</v>
      </c>
      <c r="U112" s="84">
        <f t="shared" si="1669"/>
        <v>0</v>
      </c>
      <c r="V112" s="81">
        <f t="shared" si="1670"/>
        <v>0</v>
      </c>
      <c r="W112" s="82">
        <f t="shared" si="1671"/>
        <v>0</v>
      </c>
      <c r="X112" s="83">
        <f t="shared" si="1672"/>
        <v>0</v>
      </c>
      <c r="Y112" s="83">
        <f t="shared" si="1673"/>
        <v>0</v>
      </c>
      <c r="Z112" s="84">
        <f t="shared" si="1674"/>
        <v>0</v>
      </c>
      <c r="AA112" s="81">
        <f t="shared" si="1675"/>
        <v>0</v>
      </c>
      <c r="AB112" s="82">
        <f t="shared" si="1676"/>
        <v>0</v>
      </c>
      <c r="AC112" s="83">
        <f t="shared" si="1677"/>
        <v>0</v>
      </c>
      <c r="AD112" s="83">
        <f t="shared" si="1678"/>
        <v>0</v>
      </c>
      <c r="AE112" s="84">
        <f t="shared" si="1679"/>
        <v>0</v>
      </c>
      <c r="AF112" s="81">
        <f t="shared" si="1680"/>
        <v>0</v>
      </c>
      <c r="AG112" s="82">
        <f t="shared" si="1681"/>
        <v>0</v>
      </c>
      <c r="AH112" s="83">
        <f t="shared" si="1682"/>
        <v>0</v>
      </c>
      <c r="AI112" s="83">
        <f t="shared" si="1683"/>
        <v>0</v>
      </c>
      <c r="AJ112" s="84">
        <f t="shared" si="1684"/>
        <v>0</v>
      </c>
      <c r="AK112" s="81">
        <f t="shared" si="1685"/>
        <v>0</v>
      </c>
      <c r="AL112" s="82">
        <f t="shared" si="1686"/>
        <v>-500</v>
      </c>
      <c r="AM112" s="83">
        <f t="shared" si="1687"/>
        <v>0</v>
      </c>
      <c r="AN112" s="83">
        <f t="shared" si="1688"/>
        <v>0</v>
      </c>
      <c r="AO112" s="84">
        <f t="shared" si="1689"/>
        <v>0</v>
      </c>
      <c r="AP112" s="81">
        <f t="shared" si="1690"/>
        <v>-500</v>
      </c>
      <c r="AQ112" s="82">
        <f t="shared" si="1691"/>
        <v>0</v>
      </c>
      <c r="AR112" s="83">
        <f t="shared" si="1692"/>
        <v>0</v>
      </c>
      <c r="AS112" s="83">
        <f t="shared" si="1693"/>
        <v>0</v>
      </c>
      <c r="AT112" s="84">
        <f t="shared" si="1694"/>
        <v>0</v>
      </c>
      <c r="AU112" s="81">
        <f t="shared" si="1695"/>
        <v>0</v>
      </c>
      <c r="AV112" s="82">
        <f t="shared" si="1696"/>
        <v>0</v>
      </c>
      <c r="AW112" s="83">
        <f t="shared" si="1697"/>
        <v>0</v>
      </c>
      <c r="AX112" s="83">
        <f t="shared" si="1698"/>
        <v>0</v>
      </c>
      <c r="AY112" s="84">
        <f t="shared" si="1699"/>
        <v>0</v>
      </c>
      <c r="AZ112" s="81">
        <f t="shared" si="1700"/>
        <v>0</v>
      </c>
      <c r="BA112" s="82">
        <f t="shared" si="1701"/>
        <v>0</v>
      </c>
      <c r="BB112" s="83">
        <f t="shared" si="1702"/>
        <v>0</v>
      </c>
      <c r="BC112" s="83">
        <f t="shared" si="1703"/>
        <v>0</v>
      </c>
      <c r="BD112" s="84">
        <f t="shared" si="1704"/>
        <v>0</v>
      </c>
      <c r="BE112" s="81">
        <f t="shared" si="1705"/>
        <v>0</v>
      </c>
      <c r="BF112" s="1877"/>
      <c r="BG112" s="2005">
        <f t="shared" si="1706"/>
        <v>0</v>
      </c>
      <c r="BH112" s="86">
        <f t="shared" si="1707"/>
        <v>0</v>
      </c>
      <c r="BI112" s="87">
        <f t="shared" si="1708"/>
        <v>0</v>
      </c>
      <c r="BJ112" s="87">
        <f t="shared" si="1709"/>
        <v>0</v>
      </c>
      <c r="BK112" s="88">
        <f t="shared" si="1710"/>
        <v>0</v>
      </c>
      <c r="BL112" s="85">
        <f t="shared" si="1711"/>
        <v>0</v>
      </c>
      <c r="BM112" s="86">
        <f t="shared" si="1712"/>
        <v>0</v>
      </c>
      <c r="BN112" s="87">
        <f t="shared" si="1713"/>
        <v>0</v>
      </c>
      <c r="BO112" s="87">
        <f t="shared" si="1714"/>
        <v>0</v>
      </c>
      <c r="BP112" s="88">
        <f t="shared" si="1715"/>
        <v>0</v>
      </c>
      <c r="BQ112" s="85">
        <f t="shared" si="1716"/>
        <v>0</v>
      </c>
      <c r="BR112" s="86">
        <f t="shared" si="1717"/>
        <v>0</v>
      </c>
      <c r="BS112" s="87">
        <f t="shared" si="1718"/>
        <v>0</v>
      </c>
      <c r="BT112" s="87">
        <f t="shared" si="1719"/>
        <v>0</v>
      </c>
      <c r="BU112" s="88">
        <f t="shared" si="1720"/>
        <v>0</v>
      </c>
      <c r="BV112" s="85">
        <f t="shared" si="1721"/>
        <v>0</v>
      </c>
      <c r="BW112" s="86">
        <f t="shared" si="1722"/>
        <v>0</v>
      </c>
      <c r="BX112" s="87">
        <f t="shared" si="1723"/>
        <v>0</v>
      </c>
      <c r="BY112" s="87">
        <f t="shared" si="1724"/>
        <v>0</v>
      </c>
      <c r="BZ112" s="88">
        <f t="shared" si="1725"/>
        <v>0</v>
      </c>
      <c r="CA112" s="85">
        <f t="shared" si="1726"/>
        <v>0</v>
      </c>
      <c r="CB112" s="86">
        <f t="shared" si="1727"/>
        <v>0</v>
      </c>
      <c r="CC112" s="87">
        <f t="shared" si="1728"/>
        <v>0</v>
      </c>
      <c r="CD112" s="87">
        <f t="shared" si="1729"/>
        <v>0</v>
      </c>
      <c r="CE112" s="88">
        <f t="shared" si="1730"/>
        <v>0</v>
      </c>
      <c r="CF112" s="85">
        <f t="shared" si="1731"/>
        <v>0</v>
      </c>
      <c r="CG112" s="86">
        <f t="shared" si="1732"/>
        <v>-2.2291666666666665</v>
      </c>
      <c r="CH112" s="87">
        <f t="shared" si="1733"/>
        <v>-6.6875</v>
      </c>
      <c r="CI112" s="87">
        <f t="shared" si="1734"/>
        <v>-6.6875</v>
      </c>
      <c r="CJ112" s="88">
        <f t="shared" si="1735"/>
        <v>-6.6875</v>
      </c>
      <c r="CK112" s="85">
        <f t="shared" si="1736"/>
        <v>-22.291666666666668</v>
      </c>
      <c r="CL112" s="86">
        <f t="shared" si="1737"/>
        <v>-4.458333333333333</v>
      </c>
      <c r="CM112" s="87">
        <f t="shared" si="1738"/>
        <v>0</v>
      </c>
      <c r="CN112" s="87">
        <f t="shared" si="1739"/>
        <v>0</v>
      </c>
      <c r="CO112" s="88">
        <f t="shared" si="1740"/>
        <v>0</v>
      </c>
      <c r="CP112" s="85">
        <f t="shared" si="1741"/>
        <v>-4.4583333333333321</v>
      </c>
      <c r="CQ112" s="86">
        <f t="shared" si="1742"/>
        <v>0</v>
      </c>
      <c r="CR112" s="87">
        <f t="shared" si="1743"/>
        <v>0</v>
      </c>
      <c r="CS112" s="87">
        <f t="shared" si="1744"/>
        <v>0</v>
      </c>
      <c r="CT112" s="88">
        <f t="shared" si="1745"/>
        <v>0</v>
      </c>
      <c r="CU112" s="85">
        <f t="shared" si="1746"/>
        <v>0</v>
      </c>
      <c r="CV112" s="86">
        <f t="shared" si="1747"/>
        <v>0</v>
      </c>
      <c r="CW112" s="87">
        <f t="shared" si="1748"/>
        <v>0</v>
      </c>
      <c r="CX112" s="87">
        <f t="shared" si="1749"/>
        <v>0</v>
      </c>
      <c r="CY112" s="88">
        <f t="shared" si="1750"/>
        <v>0</v>
      </c>
      <c r="CZ112" s="85">
        <f t="shared" si="1751"/>
        <v>0</v>
      </c>
    </row>
    <row r="113" spans="1:104" ht="12.75" customHeight="1">
      <c r="A113" s="4"/>
      <c r="B113" s="4"/>
      <c r="C113" s="4" t="s">
        <v>663</v>
      </c>
      <c r="D113" s="157"/>
      <c r="E113" s="2115">
        <f>IF(F113=0,G113,F113)</f>
        <v>175</v>
      </c>
      <c r="F113" s="2313">
        <v>175</v>
      </c>
      <c r="G113" s="1511">
        <v>175</v>
      </c>
      <c r="H113" s="1334">
        <v>2037</v>
      </c>
      <c r="I113" s="325">
        <v>5.7000000000000002E-2</v>
      </c>
      <c r="J113" s="1334">
        <v>3</v>
      </c>
      <c r="K113" s="80"/>
      <c r="L113" s="81">
        <f t="shared" si="1660"/>
        <v>0</v>
      </c>
      <c r="M113" s="82">
        <f t="shared" si="1661"/>
        <v>0</v>
      </c>
      <c r="N113" s="83">
        <f t="shared" si="1662"/>
        <v>0</v>
      </c>
      <c r="O113" s="83">
        <f t="shared" si="1663"/>
        <v>0</v>
      </c>
      <c r="P113" s="84">
        <f t="shared" si="1664"/>
        <v>0</v>
      </c>
      <c r="Q113" s="81">
        <f t="shared" si="1665"/>
        <v>0</v>
      </c>
      <c r="R113" s="82">
        <f t="shared" si="1666"/>
        <v>0</v>
      </c>
      <c r="S113" s="83">
        <f t="shared" si="1667"/>
        <v>0</v>
      </c>
      <c r="T113" s="83">
        <f t="shared" si="1668"/>
        <v>0</v>
      </c>
      <c r="U113" s="84">
        <f t="shared" si="1669"/>
        <v>0</v>
      </c>
      <c r="V113" s="81">
        <f t="shared" si="1670"/>
        <v>0</v>
      </c>
      <c r="W113" s="82">
        <f t="shared" si="1671"/>
        <v>0</v>
      </c>
      <c r="X113" s="83">
        <f t="shared" si="1672"/>
        <v>0</v>
      </c>
      <c r="Y113" s="83">
        <f t="shared" si="1673"/>
        <v>0</v>
      </c>
      <c r="Z113" s="84">
        <f t="shared" si="1674"/>
        <v>0</v>
      </c>
      <c r="AA113" s="81">
        <f t="shared" si="1675"/>
        <v>0</v>
      </c>
      <c r="AB113" s="82">
        <f t="shared" si="1676"/>
        <v>0</v>
      </c>
      <c r="AC113" s="83">
        <f t="shared" si="1677"/>
        <v>0</v>
      </c>
      <c r="AD113" s="83">
        <f t="shared" si="1678"/>
        <v>0</v>
      </c>
      <c r="AE113" s="84">
        <f t="shared" si="1679"/>
        <v>0</v>
      </c>
      <c r="AF113" s="81">
        <f t="shared" si="1680"/>
        <v>0</v>
      </c>
      <c r="AG113" s="82">
        <f t="shared" si="1681"/>
        <v>0</v>
      </c>
      <c r="AH113" s="83">
        <f t="shared" si="1682"/>
        <v>0</v>
      </c>
      <c r="AI113" s="83">
        <f t="shared" si="1683"/>
        <v>0</v>
      </c>
      <c r="AJ113" s="84">
        <f t="shared" si="1684"/>
        <v>0</v>
      </c>
      <c r="AK113" s="81">
        <f t="shared" si="1685"/>
        <v>0</v>
      </c>
      <c r="AL113" s="82">
        <f t="shared" si="1686"/>
        <v>0</v>
      </c>
      <c r="AM113" s="83">
        <f t="shared" si="1687"/>
        <v>0</v>
      </c>
      <c r="AN113" s="83">
        <f t="shared" si="1688"/>
        <v>0</v>
      </c>
      <c r="AO113" s="84">
        <f t="shared" si="1689"/>
        <v>0</v>
      </c>
      <c r="AP113" s="81">
        <f t="shared" si="1690"/>
        <v>0</v>
      </c>
      <c r="AQ113" s="82">
        <f t="shared" si="1691"/>
        <v>0</v>
      </c>
      <c r="AR113" s="83">
        <f t="shared" si="1692"/>
        <v>0</v>
      </c>
      <c r="AS113" s="83">
        <f t="shared" si="1693"/>
        <v>0</v>
      </c>
      <c r="AT113" s="84">
        <f t="shared" si="1694"/>
        <v>0</v>
      </c>
      <c r="AU113" s="81">
        <f t="shared" si="1695"/>
        <v>0</v>
      </c>
      <c r="AV113" s="82">
        <f t="shared" si="1696"/>
        <v>0</v>
      </c>
      <c r="AW113" s="83">
        <f t="shared" si="1697"/>
        <v>0</v>
      </c>
      <c r="AX113" s="83">
        <f t="shared" si="1698"/>
        <v>0</v>
      </c>
      <c r="AY113" s="84">
        <f t="shared" si="1699"/>
        <v>0</v>
      </c>
      <c r="AZ113" s="81">
        <f t="shared" si="1700"/>
        <v>0</v>
      </c>
      <c r="BA113" s="82">
        <f t="shared" si="1701"/>
        <v>0</v>
      </c>
      <c r="BB113" s="83">
        <f t="shared" si="1702"/>
        <v>0</v>
      </c>
      <c r="BC113" s="83">
        <f t="shared" si="1703"/>
        <v>0</v>
      </c>
      <c r="BD113" s="84">
        <f t="shared" si="1704"/>
        <v>0</v>
      </c>
      <c r="BE113" s="81">
        <f t="shared" si="1705"/>
        <v>0</v>
      </c>
      <c r="BF113" s="1877"/>
      <c r="BG113" s="2005">
        <f t="shared" si="1706"/>
        <v>0</v>
      </c>
      <c r="BH113" s="86">
        <f t="shared" si="1707"/>
        <v>0</v>
      </c>
      <c r="BI113" s="87">
        <f t="shared" si="1708"/>
        <v>0</v>
      </c>
      <c r="BJ113" s="87">
        <f t="shared" si="1709"/>
        <v>0</v>
      </c>
      <c r="BK113" s="88">
        <f t="shared" si="1710"/>
        <v>0</v>
      </c>
      <c r="BL113" s="85">
        <f t="shared" si="1711"/>
        <v>0</v>
      </c>
      <c r="BM113" s="86">
        <f t="shared" si="1712"/>
        <v>0</v>
      </c>
      <c r="BN113" s="87">
        <f t="shared" si="1713"/>
        <v>0</v>
      </c>
      <c r="BO113" s="87">
        <f t="shared" si="1714"/>
        <v>0</v>
      </c>
      <c r="BP113" s="88">
        <f t="shared" si="1715"/>
        <v>0</v>
      </c>
      <c r="BQ113" s="85">
        <f t="shared" si="1716"/>
        <v>0</v>
      </c>
      <c r="BR113" s="86">
        <f t="shared" si="1717"/>
        <v>0</v>
      </c>
      <c r="BS113" s="87">
        <f t="shared" si="1718"/>
        <v>0</v>
      </c>
      <c r="BT113" s="87">
        <f t="shared" si="1719"/>
        <v>0</v>
      </c>
      <c r="BU113" s="88">
        <f t="shared" si="1720"/>
        <v>0</v>
      </c>
      <c r="BV113" s="85">
        <f t="shared" si="1721"/>
        <v>0</v>
      </c>
      <c r="BW113" s="86">
        <f t="shared" si="1722"/>
        <v>0</v>
      </c>
      <c r="BX113" s="87">
        <f t="shared" si="1723"/>
        <v>0</v>
      </c>
      <c r="BY113" s="87">
        <f t="shared" si="1724"/>
        <v>0</v>
      </c>
      <c r="BZ113" s="88">
        <f t="shared" si="1725"/>
        <v>0</v>
      </c>
      <c r="CA113" s="85">
        <f t="shared" si="1726"/>
        <v>0</v>
      </c>
      <c r="CB113" s="86">
        <f t="shared" si="1727"/>
        <v>0</v>
      </c>
      <c r="CC113" s="87">
        <f t="shared" si="1728"/>
        <v>0</v>
      </c>
      <c r="CD113" s="87">
        <f t="shared" si="1729"/>
        <v>0</v>
      </c>
      <c r="CE113" s="88">
        <f t="shared" si="1730"/>
        <v>0</v>
      </c>
      <c r="CF113" s="85">
        <f t="shared" si="1731"/>
        <v>0</v>
      </c>
      <c r="CG113" s="86">
        <f t="shared" si="1732"/>
        <v>0</v>
      </c>
      <c r="CH113" s="87">
        <f t="shared" si="1733"/>
        <v>0</v>
      </c>
      <c r="CI113" s="87">
        <f t="shared" si="1734"/>
        <v>0</v>
      </c>
      <c r="CJ113" s="88">
        <f t="shared" si="1735"/>
        <v>0</v>
      </c>
      <c r="CK113" s="85">
        <f t="shared" si="1736"/>
        <v>0</v>
      </c>
      <c r="CL113" s="86">
        <f t="shared" si="1737"/>
        <v>0</v>
      </c>
      <c r="CM113" s="87">
        <f t="shared" si="1738"/>
        <v>0</v>
      </c>
      <c r="CN113" s="87">
        <f t="shared" si="1739"/>
        <v>0</v>
      </c>
      <c r="CO113" s="88">
        <f t="shared" si="1740"/>
        <v>0</v>
      </c>
      <c r="CP113" s="85">
        <f t="shared" si="1741"/>
        <v>0</v>
      </c>
      <c r="CQ113" s="86">
        <f t="shared" si="1742"/>
        <v>0</v>
      </c>
      <c r="CR113" s="87">
        <f t="shared" si="1743"/>
        <v>0</v>
      </c>
      <c r="CS113" s="87">
        <f t="shared" si="1744"/>
        <v>0</v>
      </c>
      <c r="CT113" s="88">
        <f t="shared" si="1745"/>
        <v>0</v>
      </c>
      <c r="CU113" s="85">
        <f t="shared" si="1746"/>
        <v>0</v>
      </c>
      <c r="CV113" s="86">
        <f t="shared" si="1747"/>
        <v>0</v>
      </c>
      <c r="CW113" s="87">
        <f t="shared" si="1748"/>
        <v>0</v>
      </c>
      <c r="CX113" s="87">
        <f t="shared" si="1749"/>
        <v>0</v>
      </c>
      <c r="CY113" s="88">
        <f t="shared" si="1750"/>
        <v>0</v>
      </c>
      <c r="CZ113" s="85">
        <f t="shared" si="1751"/>
        <v>0</v>
      </c>
    </row>
    <row r="114" spans="1:104" ht="12.75" customHeight="1">
      <c r="A114" s="4"/>
      <c r="B114" s="4"/>
      <c r="C114" s="4" t="s">
        <v>662</v>
      </c>
      <c r="D114" s="157"/>
      <c r="E114" s="2115">
        <f>IF(F114=0,G114,F114)</f>
        <v>300</v>
      </c>
      <c r="F114" s="2313">
        <v>300</v>
      </c>
      <c r="G114" s="1511">
        <v>300</v>
      </c>
      <c r="H114" s="1334">
        <v>2036</v>
      </c>
      <c r="I114" s="325">
        <v>5.9499999999999997E-2</v>
      </c>
      <c r="J114" s="1334">
        <v>10</v>
      </c>
      <c r="K114" s="80"/>
      <c r="L114" s="81">
        <f t="shared" si="1660"/>
        <v>0</v>
      </c>
      <c r="M114" s="82">
        <f t="shared" si="1661"/>
        <v>0</v>
      </c>
      <c r="N114" s="83">
        <f t="shared" si="1662"/>
        <v>0</v>
      </c>
      <c r="O114" s="83">
        <f t="shared" si="1663"/>
        <v>0</v>
      </c>
      <c r="P114" s="84">
        <f t="shared" si="1664"/>
        <v>0</v>
      </c>
      <c r="Q114" s="81">
        <f t="shared" si="1665"/>
        <v>0</v>
      </c>
      <c r="R114" s="82">
        <f t="shared" si="1666"/>
        <v>0</v>
      </c>
      <c r="S114" s="83">
        <f t="shared" si="1667"/>
        <v>0</v>
      </c>
      <c r="T114" s="83">
        <f t="shared" si="1668"/>
        <v>0</v>
      </c>
      <c r="U114" s="84">
        <f t="shared" si="1669"/>
        <v>0</v>
      </c>
      <c r="V114" s="81">
        <f t="shared" si="1670"/>
        <v>0</v>
      </c>
      <c r="W114" s="82">
        <f t="shared" si="1671"/>
        <v>0</v>
      </c>
      <c r="X114" s="83">
        <f t="shared" si="1672"/>
        <v>0</v>
      </c>
      <c r="Y114" s="83">
        <f t="shared" si="1673"/>
        <v>0</v>
      </c>
      <c r="Z114" s="84">
        <f t="shared" si="1674"/>
        <v>0</v>
      </c>
      <c r="AA114" s="81">
        <f t="shared" si="1675"/>
        <v>0</v>
      </c>
      <c r="AB114" s="82">
        <f t="shared" si="1676"/>
        <v>0</v>
      </c>
      <c r="AC114" s="83">
        <f t="shared" si="1677"/>
        <v>0</v>
      </c>
      <c r="AD114" s="83">
        <f t="shared" si="1678"/>
        <v>0</v>
      </c>
      <c r="AE114" s="84">
        <f t="shared" si="1679"/>
        <v>0</v>
      </c>
      <c r="AF114" s="81">
        <f t="shared" si="1680"/>
        <v>0</v>
      </c>
      <c r="AG114" s="82">
        <f t="shared" si="1681"/>
        <v>0</v>
      </c>
      <c r="AH114" s="83">
        <f t="shared" si="1682"/>
        <v>0</v>
      </c>
      <c r="AI114" s="83">
        <f t="shared" si="1683"/>
        <v>0</v>
      </c>
      <c r="AJ114" s="84">
        <f t="shared" si="1684"/>
        <v>0</v>
      </c>
      <c r="AK114" s="81">
        <f t="shared" si="1685"/>
        <v>0</v>
      </c>
      <c r="AL114" s="82">
        <f t="shared" si="1686"/>
        <v>0</v>
      </c>
      <c r="AM114" s="83">
        <f t="shared" si="1687"/>
        <v>0</v>
      </c>
      <c r="AN114" s="83">
        <f t="shared" si="1688"/>
        <v>0</v>
      </c>
      <c r="AO114" s="84">
        <f t="shared" si="1689"/>
        <v>0</v>
      </c>
      <c r="AP114" s="81">
        <f t="shared" si="1690"/>
        <v>0</v>
      </c>
      <c r="AQ114" s="82">
        <f t="shared" si="1691"/>
        <v>0</v>
      </c>
      <c r="AR114" s="83">
        <f t="shared" si="1692"/>
        <v>0</v>
      </c>
      <c r="AS114" s="83">
        <f t="shared" si="1693"/>
        <v>0</v>
      </c>
      <c r="AT114" s="84">
        <f t="shared" si="1694"/>
        <v>0</v>
      </c>
      <c r="AU114" s="81">
        <f t="shared" si="1695"/>
        <v>0</v>
      </c>
      <c r="AV114" s="82">
        <f t="shared" si="1696"/>
        <v>0</v>
      </c>
      <c r="AW114" s="83">
        <f t="shared" si="1697"/>
        <v>0</v>
      </c>
      <c r="AX114" s="83">
        <f t="shared" si="1698"/>
        <v>0</v>
      </c>
      <c r="AY114" s="84">
        <f t="shared" si="1699"/>
        <v>0</v>
      </c>
      <c r="AZ114" s="81">
        <f t="shared" si="1700"/>
        <v>0</v>
      </c>
      <c r="BA114" s="82">
        <f t="shared" si="1701"/>
        <v>0</v>
      </c>
      <c r="BB114" s="83">
        <f t="shared" si="1702"/>
        <v>0</v>
      </c>
      <c r="BC114" s="83">
        <f t="shared" si="1703"/>
        <v>0</v>
      </c>
      <c r="BD114" s="84">
        <f t="shared" si="1704"/>
        <v>0</v>
      </c>
      <c r="BE114" s="81">
        <f t="shared" si="1705"/>
        <v>0</v>
      </c>
      <c r="BF114" s="1877"/>
      <c r="BG114" s="2005">
        <f t="shared" si="1706"/>
        <v>0</v>
      </c>
      <c r="BH114" s="86">
        <f t="shared" si="1707"/>
        <v>0</v>
      </c>
      <c r="BI114" s="87">
        <f t="shared" si="1708"/>
        <v>0</v>
      </c>
      <c r="BJ114" s="87">
        <f t="shared" si="1709"/>
        <v>0</v>
      </c>
      <c r="BK114" s="88">
        <f t="shared" si="1710"/>
        <v>0</v>
      </c>
      <c r="BL114" s="85">
        <f t="shared" si="1711"/>
        <v>0</v>
      </c>
      <c r="BM114" s="86">
        <f t="shared" si="1712"/>
        <v>0</v>
      </c>
      <c r="BN114" s="87">
        <f t="shared" si="1713"/>
        <v>0</v>
      </c>
      <c r="BO114" s="87">
        <f t="shared" si="1714"/>
        <v>0</v>
      </c>
      <c r="BP114" s="88">
        <f t="shared" si="1715"/>
        <v>0</v>
      </c>
      <c r="BQ114" s="85">
        <f t="shared" si="1716"/>
        <v>0</v>
      </c>
      <c r="BR114" s="86">
        <f t="shared" si="1717"/>
        <v>0</v>
      </c>
      <c r="BS114" s="87">
        <f t="shared" si="1718"/>
        <v>0</v>
      </c>
      <c r="BT114" s="87">
        <f t="shared" si="1719"/>
        <v>0</v>
      </c>
      <c r="BU114" s="88">
        <f t="shared" si="1720"/>
        <v>0</v>
      </c>
      <c r="BV114" s="85">
        <f t="shared" si="1721"/>
        <v>0</v>
      </c>
      <c r="BW114" s="86">
        <f t="shared" si="1722"/>
        <v>0</v>
      </c>
      <c r="BX114" s="87">
        <f t="shared" si="1723"/>
        <v>0</v>
      </c>
      <c r="BY114" s="87">
        <f t="shared" si="1724"/>
        <v>0</v>
      </c>
      <c r="BZ114" s="88">
        <f t="shared" si="1725"/>
        <v>0</v>
      </c>
      <c r="CA114" s="85">
        <f t="shared" si="1726"/>
        <v>0</v>
      </c>
      <c r="CB114" s="86">
        <f t="shared" si="1727"/>
        <v>0</v>
      </c>
      <c r="CC114" s="87">
        <f t="shared" si="1728"/>
        <v>0</v>
      </c>
      <c r="CD114" s="87">
        <f t="shared" si="1729"/>
        <v>0</v>
      </c>
      <c r="CE114" s="88">
        <f t="shared" si="1730"/>
        <v>0</v>
      </c>
      <c r="CF114" s="85">
        <f t="shared" si="1731"/>
        <v>0</v>
      </c>
      <c r="CG114" s="86">
        <f t="shared" si="1732"/>
        <v>0</v>
      </c>
      <c r="CH114" s="87">
        <f t="shared" si="1733"/>
        <v>0</v>
      </c>
      <c r="CI114" s="87">
        <f t="shared" si="1734"/>
        <v>0</v>
      </c>
      <c r="CJ114" s="88">
        <f t="shared" si="1735"/>
        <v>0</v>
      </c>
      <c r="CK114" s="85">
        <f t="shared" si="1736"/>
        <v>0</v>
      </c>
      <c r="CL114" s="86">
        <f t="shared" si="1737"/>
        <v>0</v>
      </c>
      <c r="CM114" s="87">
        <f t="shared" si="1738"/>
        <v>0</v>
      </c>
      <c r="CN114" s="87">
        <f t="shared" si="1739"/>
        <v>0</v>
      </c>
      <c r="CO114" s="88">
        <f t="shared" si="1740"/>
        <v>0</v>
      </c>
      <c r="CP114" s="85">
        <f t="shared" si="1741"/>
        <v>0</v>
      </c>
      <c r="CQ114" s="86">
        <f t="shared" si="1742"/>
        <v>0</v>
      </c>
      <c r="CR114" s="87">
        <f t="shared" si="1743"/>
        <v>0</v>
      </c>
      <c r="CS114" s="87">
        <f t="shared" si="1744"/>
        <v>0</v>
      </c>
      <c r="CT114" s="88">
        <f t="shared" si="1745"/>
        <v>0</v>
      </c>
      <c r="CU114" s="85">
        <f t="shared" si="1746"/>
        <v>0</v>
      </c>
      <c r="CV114" s="86">
        <f t="shared" si="1747"/>
        <v>0</v>
      </c>
      <c r="CW114" s="87">
        <f t="shared" si="1748"/>
        <v>0</v>
      </c>
      <c r="CX114" s="87">
        <f t="shared" si="1749"/>
        <v>0</v>
      </c>
      <c r="CY114" s="88">
        <f t="shared" si="1750"/>
        <v>0</v>
      </c>
      <c r="CZ114" s="85">
        <f t="shared" si="1751"/>
        <v>0</v>
      </c>
    </row>
    <row r="115" spans="1:104" ht="12.75" customHeight="1">
      <c r="A115" s="4"/>
      <c r="B115" s="4"/>
      <c r="C115" s="4" t="s">
        <v>661</v>
      </c>
      <c r="D115" s="157"/>
      <c r="E115" s="2115">
        <f t="shared" si="1753"/>
        <v>75</v>
      </c>
      <c r="F115" s="2313">
        <v>75</v>
      </c>
      <c r="G115" s="1511">
        <v>75</v>
      </c>
      <c r="H115" s="1334">
        <v>2034</v>
      </c>
      <c r="I115" s="325">
        <v>5.8999999999999997E-2</v>
      </c>
      <c r="J115" s="1334">
        <v>5</v>
      </c>
      <c r="K115" s="80"/>
      <c r="L115" s="81">
        <f t="shared" si="1660"/>
        <v>0</v>
      </c>
      <c r="M115" s="82">
        <f t="shared" si="1661"/>
        <v>0</v>
      </c>
      <c r="N115" s="83">
        <f t="shared" si="1662"/>
        <v>0</v>
      </c>
      <c r="O115" s="83">
        <f t="shared" si="1663"/>
        <v>0</v>
      </c>
      <c r="P115" s="84">
        <f t="shared" si="1664"/>
        <v>0</v>
      </c>
      <c r="Q115" s="81">
        <f t="shared" si="1665"/>
        <v>0</v>
      </c>
      <c r="R115" s="82">
        <f t="shared" si="1666"/>
        <v>0</v>
      </c>
      <c r="S115" s="83">
        <f t="shared" si="1667"/>
        <v>0</v>
      </c>
      <c r="T115" s="83">
        <f t="shared" si="1668"/>
        <v>0</v>
      </c>
      <c r="U115" s="84">
        <f t="shared" si="1669"/>
        <v>0</v>
      </c>
      <c r="V115" s="81">
        <f t="shared" si="1670"/>
        <v>0</v>
      </c>
      <c r="W115" s="82">
        <f t="shared" si="1671"/>
        <v>0</v>
      </c>
      <c r="X115" s="83">
        <f t="shared" si="1672"/>
        <v>0</v>
      </c>
      <c r="Y115" s="83">
        <f t="shared" si="1673"/>
        <v>0</v>
      </c>
      <c r="Z115" s="84">
        <f t="shared" si="1674"/>
        <v>0</v>
      </c>
      <c r="AA115" s="81">
        <f t="shared" si="1675"/>
        <v>0</v>
      </c>
      <c r="AB115" s="82">
        <f t="shared" si="1676"/>
        <v>0</v>
      </c>
      <c r="AC115" s="83">
        <f t="shared" si="1677"/>
        <v>0</v>
      </c>
      <c r="AD115" s="83">
        <f t="shared" si="1678"/>
        <v>0</v>
      </c>
      <c r="AE115" s="84">
        <f t="shared" si="1679"/>
        <v>0</v>
      </c>
      <c r="AF115" s="81">
        <f t="shared" si="1680"/>
        <v>0</v>
      </c>
      <c r="AG115" s="82">
        <f t="shared" si="1681"/>
        <v>0</v>
      </c>
      <c r="AH115" s="83">
        <f t="shared" si="1682"/>
        <v>0</v>
      </c>
      <c r="AI115" s="83">
        <f t="shared" si="1683"/>
        <v>0</v>
      </c>
      <c r="AJ115" s="84">
        <f t="shared" si="1684"/>
        <v>0</v>
      </c>
      <c r="AK115" s="81">
        <f t="shared" si="1685"/>
        <v>0</v>
      </c>
      <c r="AL115" s="82">
        <f t="shared" si="1686"/>
        <v>0</v>
      </c>
      <c r="AM115" s="83">
        <f t="shared" si="1687"/>
        <v>0</v>
      </c>
      <c r="AN115" s="83">
        <f t="shared" si="1688"/>
        <v>0</v>
      </c>
      <c r="AO115" s="84">
        <f t="shared" si="1689"/>
        <v>0</v>
      </c>
      <c r="AP115" s="81">
        <f t="shared" si="1690"/>
        <v>0</v>
      </c>
      <c r="AQ115" s="82">
        <f t="shared" si="1691"/>
        <v>0</v>
      </c>
      <c r="AR115" s="83">
        <f t="shared" si="1692"/>
        <v>0</v>
      </c>
      <c r="AS115" s="83">
        <f t="shared" si="1693"/>
        <v>0</v>
      </c>
      <c r="AT115" s="84">
        <f t="shared" si="1694"/>
        <v>0</v>
      </c>
      <c r="AU115" s="81">
        <f t="shared" si="1695"/>
        <v>0</v>
      </c>
      <c r="AV115" s="82">
        <f t="shared" si="1696"/>
        <v>0</v>
      </c>
      <c r="AW115" s="83">
        <f t="shared" si="1697"/>
        <v>0</v>
      </c>
      <c r="AX115" s="83">
        <f t="shared" si="1698"/>
        <v>0</v>
      </c>
      <c r="AY115" s="84">
        <f t="shared" si="1699"/>
        <v>0</v>
      </c>
      <c r="AZ115" s="81">
        <f t="shared" si="1700"/>
        <v>0</v>
      </c>
      <c r="BA115" s="82">
        <f t="shared" si="1701"/>
        <v>0</v>
      </c>
      <c r="BB115" s="83">
        <f t="shared" si="1702"/>
        <v>0</v>
      </c>
      <c r="BC115" s="83">
        <f t="shared" si="1703"/>
        <v>0</v>
      </c>
      <c r="BD115" s="84">
        <f t="shared" si="1704"/>
        <v>0</v>
      </c>
      <c r="BE115" s="81">
        <f t="shared" si="1705"/>
        <v>0</v>
      </c>
      <c r="BF115" s="1877"/>
      <c r="BG115" s="2005">
        <f t="shared" si="1706"/>
        <v>0</v>
      </c>
      <c r="BH115" s="86">
        <f t="shared" si="1707"/>
        <v>0</v>
      </c>
      <c r="BI115" s="87">
        <f t="shared" si="1708"/>
        <v>0</v>
      </c>
      <c r="BJ115" s="87">
        <f t="shared" si="1709"/>
        <v>0</v>
      </c>
      <c r="BK115" s="88">
        <f t="shared" si="1710"/>
        <v>0</v>
      </c>
      <c r="BL115" s="85">
        <f t="shared" si="1711"/>
        <v>0</v>
      </c>
      <c r="BM115" s="86">
        <f t="shared" si="1712"/>
        <v>0</v>
      </c>
      <c r="BN115" s="87">
        <f t="shared" si="1713"/>
        <v>0</v>
      </c>
      <c r="BO115" s="87">
        <f t="shared" si="1714"/>
        <v>0</v>
      </c>
      <c r="BP115" s="88">
        <f t="shared" si="1715"/>
        <v>0</v>
      </c>
      <c r="BQ115" s="85">
        <f t="shared" si="1716"/>
        <v>0</v>
      </c>
      <c r="BR115" s="86">
        <f t="shared" si="1717"/>
        <v>0</v>
      </c>
      <c r="BS115" s="87">
        <f t="shared" si="1718"/>
        <v>0</v>
      </c>
      <c r="BT115" s="87">
        <f t="shared" si="1719"/>
        <v>0</v>
      </c>
      <c r="BU115" s="88">
        <f t="shared" si="1720"/>
        <v>0</v>
      </c>
      <c r="BV115" s="85">
        <f t="shared" si="1721"/>
        <v>0</v>
      </c>
      <c r="BW115" s="86">
        <f t="shared" si="1722"/>
        <v>0</v>
      </c>
      <c r="BX115" s="87">
        <f t="shared" si="1723"/>
        <v>0</v>
      </c>
      <c r="BY115" s="87">
        <f t="shared" si="1724"/>
        <v>0</v>
      </c>
      <c r="BZ115" s="88">
        <f t="shared" si="1725"/>
        <v>0</v>
      </c>
      <c r="CA115" s="85">
        <f t="shared" si="1726"/>
        <v>0</v>
      </c>
      <c r="CB115" s="86">
        <f t="shared" si="1727"/>
        <v>0</v>
      </c>
      <c r="CC115" s="87">
        <f t="shared" si="1728"/>
        <v>0</v>
      </c>
      <c r="CD115" s="87">
        <f t="shared" si="1729"/>
        <v>0</v>
      </c>
      <c r="CE115" s="88">
        <f t="shared" si="1730"/>
        <v>0</v>
      </c>
      <c r="CF115" s="85">
        <f t="shared" si="1731"/>
        <v>0</v>
      </c>
      <c r="CG115" s="86">
        <f t="shared" si="1732"/>
        <v>0</v>
      </c>
      <c r="CH115" s="87">
        <f t="shared" si="1733"/>
        <v>0</v>
      </c>
      <c r="CI115" s="87">
        <f t="shared" si="1734"/>
        <v>0</v>
      </c>
      <c r="CJ115" s="88">
        <f t="shared" si="1735"/>
        <v>0</v>
      </c>
      <c r="CK115" s="85">
        <f t="shared" si="1736"/>
        <v>0</v>
      </c>
      <c r="CL115" s="86">
        <f t="shared" si="1737"/>
        <v>0</v>
      </c>
      <c r="CM115" s="87">
        <f t="shared" si="1738"/>
        <v>0</v>
      </c>
      <c r="CN115" s="87">
        <f t="shared" si="1739"/>
        <v>0</v>
      </c>
      <c r="CO115" s="88">
        <f t="shared" si="1740"/>
        <v>0</v>
      </c>
      <c r="CP115" s="85">
        <f t="shared" si="1741"/>
        <v>0</v>
      </c>
      <c r="CQ115" s="86">
        <f t="shared" si="1742"/>
        <v>0</v>
      </c>
      <c r="CR115" s="87">
        <f t="shared" si="1743"/>
        <v>0</v>
      </c>
      <c r="CS115" s="87">
        <f t="shared" si="1744"/>
        <v>0</v>
      </c>
      <c r="CT115" s="88">
        <f t="shared" si="1745"/>
        <v>0</v>
      </c>
      <c r="CU115" s="85">
        <f t="shared" si="1746"/>
        <v>0</v>
      </c>
      <c r="CV115" s="86">
        <f t="shared" si="1747"/>
        <v>0</v>
      </c>
      <c r="CW115" s="87">
        <f t="shared" si="1748"/>
        <v>0</v>
      </c>
      <c r="CX115" s="87">
        <f t="shared" si="1749"/>
        <v>0</v>
      </c>
      <c r="CY115" s="88">
        <f t="shared" si="1750"/>
        <v>0</v>
      </c>
      <c r="CZ115" s="85">
        <f t="shared" si="1751"/>
        <v>0</v>
      </c>
    </row>
    <row r="116" spans="1:104" ht="12.75" customHeight="1">
      <c r="A116" s="4"/>
      <c r="B116" s="4"/>
      <c r="C116" s="4" t="s">
        <v>664</v>
      </c>
      <c r="D116" s="157"/>
      <c r="E116" s="2115">
        <f t="shared" si="1753"/>
        <v>78.105000000000004</v>
      </c>
      <c r="F116" s="2313">
        <v>78.105000000000004</v>
      </c>
      <c r="G116" s="1511">
        <v>78.105000000000004</v>
      </c>
      <c r="H116" s="1334">
        <v>2028</v>
      </c>
      <c r="I116" s="325">
        <v>7.3800000000000004E-2</v>
      </c>
      <c r="J116" s="1334">
        <v>4</v>
      </c>
      <c r="K116" s="80"/>
      <c r="L116" s="81">
        <f t="shared" si="1660"/>
        <v>0</v>
      </c>
      <c r="M116" s="82">
        <f t="shared" ref="M116" si="1754">IF(Q116=0,0,IF(Q116&lt;0,IF($J116=3,Q116,IF($J116=2,Q116,IF($J116=1,Q116,0)))))</f>
        <v>0</v>
      </c>
      <c r="N116" s="83">
        <f t="shared" ref="N116" si="1755">IF(Q116=0,0,IF(Q116&lt;0,IF($J116=6,Q116,IF($J116=5,Q116,IF($J116=4,Q116,0)))))</f>
        <v>0</v>
      </c>
      <c r="O116" s="83">
        <f t="shared" ref="O116" si="1756">IF(Q116=0,0,IF(Q116&lt;0,IF($J116=9,Q116,IF($J116=8,Q116,IF($J116=7,Q116,0)))))</f>
        <v>0</v>
      </c>
      <c r="P116" s="84">
        <f t="shared" ref="P116" si="1757">IF(Q116=0,0,IF(Q116&lt;0,IF($J116=12,Q116,IF($J116=11,Q116,IF($J116=10,Q116,0)))))</f>
        <v>0</v>
      </c>
      <c r="Q116" s="81">
        <f t="shared" si="1665"/>
        <v>0</v>
      </c>
      <c r="R116" s="82">
        <f t="shared" ref="R116" si="1758">IF(V116=0,0,IF(V116&lt;0,IF($J116=3,V116,IF($J116=2,V116,IF($J116=1,V116,0)))))</f>
        <v>0</v>
      </c>
      <c r="S116" s="83">
        <f t="shared" ref="S116" si="1759">IF(V116=0,0,IF(V116&lt;0,IF($J116=6,V116,IF($J116=5,V116,IF($J116=4,V116,0)))))</f>
        <v>0</v>
      </c>
      <c r="T116" s="83">
        <f t="shared" ref="T116" si="1760">IF(V116=0,0,IF(V116&lt;0,IF($J116=9,V116,IF($J116=8,V116,IF($J116=7,V116,0)))))</f>
        <v>0</v>
      </c>
      <c r="U116" s="84">
        <f t="shared" ref="U116" si="1761">IF(V116=0,0,IF(V116&lt;0,IF($J116=12,V116,IF($J116=11,V116,IF($J116=10,V116,0)))))</f>
        <v>0</v>
      </c>
      <c r="V116" s="81">
        <f t="shared" si="1670"/>
        <v>0</v>
      </c>
      <c r="W116" s="82">
        <f t="shared" ref="W116" si="1762">IF(AA116=0,0,IF(AA116&lt;0,IF($J116=3,AA116,IF($J116=2,AA116,IF($J116=1,AA116,0)))))</f>
        <v>0</v>
      </c>
      <c r="X116" s="83">
        <f t="shared" ref="X116" si="1763">IF(AA116=0,0,IF(AA116&lt;0,IF($J116=6,AA116,IF($J116=5,AA116,IF($J116=4,AA116,0)))))</f>
        <v>0</v>
      </c>
      <c r="Y116" s="83">
        <f t="shared" ref="Y116" si="1764">IF(AA116=0,0,IF(AA116&lt;0,IF($J116=9,AA116,IF($J116=8,AA116,IF($J116=7,AA116,0)))))</f>
        <v>0</v>
      </c>
      <c r="Z116" s="84">
        <f t="shared" ref="Z116" si="1765">IF(AA116=0,0,IF(AA116&lt;0,IF($J116=12,AA116,IF($J116=11,AA116,IF($J116=10,AA116,0)))))</f>
        <v>0</v>
      </c>
      <c r="AA116" s="81">
        <f t="shared" si="1675"/>
        <v>0</v>
      </c>
      <c r="AB116" s="82">
        <f t="shared" ref="AB116" si="1766">IF(AF116=0,0,IF(AF116&lt;0,IF($J116=3,AF116,IF($J116=2,AF116,IF($J116=1,AF116,0)))))</f>
        <v>0</v>
      </c>
      <c r="AC116" s="83">
        <f t="shared" ref="AC116" si="1767">IF(AF116=0,0,IF(AF116&lt;0,IF($J116=6,AF116,IF($J116=5,AF116,IF($J116=4,AF116,0)))))</f>
        <v>0</v>
      </c>
      <c r="AD116" s="83">
        <f t="shared" ref="AD116" si="1768">IF(AF116=0,0,IF(AF116&lt;0,IF($J116=9,AF116,IF($J116=8,AF116,IF($J116=7,AF116,0)))))</f>
        <v>0</v>
      </c>
      <c r="AE116" s="84">
        <f t="shared" ref="AE116" si="1769">IF(AF116=0,0,IF(AF116&lt;0,IF($J116=12,AF116,IF($J116=11,AF116,IF($J116=10,AF116,0)))))</f>
        <v>0</v>
      </c>
      <c r="AF116" s="81">
        <f t="shared" si="1680"/>
        <v>0</v>
      </c>
      <c r="AG116" s="82">
        <f t="shared" ref="AG116" si="1770">IF(AK116=0,0,IF(AK116&lt;0,IF($J116=3,AK116,IF($J116=2,AK116,IF($J116=1,AK116,0)))))</f>
        <v>0</v>
      </c>
      <c r="AH116" s="83">
        <f t="shared" ref="AH116" si="1771">IF(AK116=0,0,IF(AK116&lt;0,IF($J116=6,AK116,IF($J116=5,AK116,IF($J116=4,AK116,0)))))</f>
        <v>0</v>
      </c>
      <c r="AI116" s="83">
        <f t="shared" ref="AI116" si="1772">IF(AK116=0,0,IF(AK116&lt;0,IF($J116=9,AK116,IF($J116=8,AK116,IF($J116=7,AK116,0)))))</f>
        <v>0</v>
      </c>
      <c r="AJ116" s="84">
        <f t="shared" ref="AJ116" si="1773">IF(AK116=0,0,IF(AK116&lt;0,IF($J116=12,AK116,IF($J116=11,AK116,IF($J116=10,AK116,0)))))</f>
        <v>0</v>
      </c>
      <c r="AK116" s="81">
        <f t="shared" si="1685"/>
        <v>0</v>
      </c>
      <c r="AL116" s="82">
        <f t="shared" ref="AL116" si="1774">IF(AP116=0,0,IF(AP116&lt;0,IF($J116=3,AP116,IF($J116=2,AP116,IF($J116=1,AP116,0)))))</f>
        <v>0</v>
      </c>
      <c r="AM116" s="83">
        <f t="shared" ref="AM116" si="1775">IF(AP116=0,0,IF(AP116&lt;0,IF($J116=6,AP116,IF($J116=5,AP116,IF($J116=4,AP116,0)))))</f>
        <v>0</v>
      </c>
      <c r="AN116" s="83">
        <f t="shared" ref="AN116" si="1776">IF(AP116=0,0,IF(AP116&lt;0,IF($J116=9,AP116,IF($J116=8,AP116,IF($J116=7,AP116,0)))))</f>
        <v>0</v>
      </c>
      <c r="AO116" s="84">
        <f t="shared" ref="AO116" si="1777">IF(AP116=0,0,IF(AP116&lt;0,IF($J116=12,AP116,IF($J116=11,AP116,IF($J116=10,AP116,0)))))</f>
        <v>0</v>
      </c>
      <c r="AP116" s="81">
        <f t="shared" si="1690"/>
        <v>0</v>
      </c>
      <c r="AQ116" s="82">
        <f t="shared" ref="AQ116" si="1778">IF(AU116=0,0,IF(AU116&lt;0,IF($J116=3,AU116,IF($J116=2,AU116,IF($J116=1,AU116,0)))))</f>
        <v>0</v>
      </c>
      <c r="AR116" s="83">
        <f t="shared" ref="AR116" si="1779">IF(AU116=0,0,IF(AU116&lt;0,IF($J116=6,AU116,IF($J116=5,AU116,IF($J116=4,AU116,0)))))</f>
        <v>0</v>
      </c>
      <c r="AS116" s="83">
        <f t="shared" ref="AS116" si="1780">IF(AU116=0,0,IF(AU116&lt;0,IF($J116=9,AU116,IF($J116=8,AU116,IF($J116=7,AU116,0)))))</f>
        <v>0</v>
      </c>
      <c r="AT116" s="84">
        <f t="shared" ref="AT116" si="1781">IF(AU116=0,0,IF(AU116&lt;0,IF($J116=12,AU116,IF($J116=11,AU116,IF($J116=10,AU116,0)))))</f>
        <v>0</v>
      </c>
      <c r="AU116" s="81">
        <f t="shared" si="1695"/>
        <v>0</v>
      </c>
      <c r="AV116" s="82">
        <f t="shared" ref="AV116" si="1782">IF(AZ116=0,0,IF(AZ116&lt;0,IF($J116=3,AZ116,IF($J116=2,AZ116,IF($J116=1,AZ116,0)))))</f>
        <v>0</v>
      </c>
      <c r="AW116" s="83">
        <f t="shared" ref="AW116" si="1783">IF(AZ116=0,0,IF(AZ116&lt;0,IF($J116=6,AZ116,IF($J116=5,AZ116,IF($J116=4,AZ116,0)))))</f>
        <v>0</v>
      </c>
      <c r="AX116" s="83">
        <f t="shared" ref="AX116" si="1784">IF(AZ116=0,0,IF(AZ116&lt;0,IF($J116=9,AZ116,IF($J116=8,AZ116,IF($J116=7,AZ116,0)))))</f>
        <v>0</v>
      </c>
      <c r="AY116" s="84">
        <f t="shared" ref="AY116" si="1785">IF(AZ116=0,0,IF(AZ116&lt;0,IF($J116=12,AZ116,IF($J116=11,AZ116,IF($J116=10,AZ116,0)))))</f>
        <v>0</v>
      </c>
      <c r="AZ116" s="81">
        <f t="shared" si="1700"/>
        <v>0</v>
      </c>
      <c r="BA116" s="82">
        <f t="shared" si="1701"/>
        <v>0</v>
      </c>
      <c r="BB116" s="83">
        <f t="shared" si="1702"/>
        <v>0</v>
      </c>
      <c r="BC116" s="83">
        <f t="shared" si="1703"/>
        <v>0</v>
      </c>
      <c r="BD116" s="84">
        <f t="shared" si="1704"/>
        <v>0</v>
      </c>
      <c r="BE116" s="81">
        <f t="shared" si="1705"/>
        <v>0</v>
      </c>
      <c r="BF116" s="1877"/>
      <c r="BG116" s="2005">
        <f t="shared" ref="BG116" si="1786">IF(AND(BF116&lt;&gt;0,BF$5=$H116),-$I116*$E116-BF116,IF(BG$5=$H116,-$I116*$E116*(12-$J116+1)/12,0))</f>
        <v>0</v>
      </c>
      <c r="BH116" s="86">
        <f t="shared" ref="BH116" si="1787">IF($H116&lt;&gt;BL$5,0,IF(BL116&lt;0,IF($J116=1,-$E116*$I116/12*3,IF($J116=2,-$E116*$I116/12*2,IF($J116=3,-$E116*$I116/12*1,0)))))+IF(BG$5&lt;&gt;$H116,0,IF(BG116&lt;0,IF($J116=1,-$E116*$I116/12*0,IF($J116=2,-$E116*$I116/12*1,IF($J116=3,-$E116*$I116/12*2,IF($J116&gt;=4,-$E116*$I116/12*3,0))))))</f>
        <v>0</v>
      </c>
      <c r="BI116" s="87">
        <f t="shared" ref="BI116" si="1788">IF($H116&lt;&gt;BL$5,0,IF(BL116&lt;0,IF(OR($J116=1,$J116=2,$J116=3,$J116=4),-$E116*$I116/12*3,IF($J116=5,-$E116*$I116/12*2,IF($J116=6,-$E116*$I116/12*1,0)))))+IF(BG$5&lt;&gt;$H116,0,IF(BG116&lt;0,IF($J116=4,-$E116*$I116/12*0,IF($J116=5,-$E116*$I116/12*1,IF($J116=6,-$E116*$I116/12*2,IF($J116&gt;=7,-$E116*$I116/12*3,0))))))</f>
        <v>0</v>
      </c>
      <c r="BJ116" s="87">
        <f t="shared" ref="BJ116" si="1789">IF($H116&lt;&gt;BL$5,0,IF(BL116&lt;0,IF(OR($J116=1,$J116=2,$J116=3,$J116=4,$J116=5,$J116=6,$J116=7),-$E116*$I116/12*3,IF($J116=8,-$E116*$I116/12*2,IF($J116=9,-$E116*$I116/12*1,0)))))+IF(BG$5&lt;&gt;$H116,0,IF(BG116&lt;0,IF($J116=7,-$E116*$I116/12*0,IF($J116=8,-$E116*$I116/12*1,IF($J116=9,-$E116*$I116/12*2,IF($J116&gt;=10,-$E116*$I116/12*3,0))))))</f>
        <v>0</v>
      </c>
      <c r="BK116" s="88">
        <f t="shared" ref="BK116" si="1790">IF($H116&lt;&gt;BL$5,0,IF(BL116&lt;0,IF(OR($J116=1,$J116=2,$J116=3,$J116=4,$J116=5,$J116=6,$J116=7,$J116=8,$J116=9,$J116=10),-$E116*$I116/12*3,IF($J116=11,-$E116*$I116/12*2,IF($J116=12,-$E116*$I116/12*1,0)))))+IF(BG$5&lt;&gt;$H116,0,IF(BG116&lt;0,IF($J116=10,-$E116*$I116/12*0,IF($J116=11,-$E116*$I116/12*1,IF($J116=12,-$E116*$I116/12*2,0)))))</f>
        <v>0</v>
      </c>
      <c r="BL116" s="85">
        <f t="shared" ref="BL116" si="1791">IF(AND(BG116&lt;&gt;0,BG$5=$H116),-$I116*$E116-BG116,IF(BL$5=$H116,-$I116*$E116*(12-$J116+1)/12,0))</f>
        <v>0</v>
      </c>
      <c r="BM116" s="86">
        <f t="shared" ref="BM116" si="1792">IF($H116&lt;&gt;BQ$5,0,IF(BQ116&lt;0,IF($J116=1,-$E116*$I116/12*3,IF($J116=2,-$E116*$I116/12*2,IF($J116=3,-$E116*$I116/12*1,0)))))+IF(BL$5&lt;&gt;$H116,0,IF(BL116&lt;0,IF($J116=1,-$E116*$I116/12*0,IF($J116=2,-$E116*$I116/12*1,IF($J116=3,-$E116*$I116/12*2,IF($J116&gt;=4,-$E116*$I116/12*3,0))))))</f>
        <v>0</v>
      </c>
      <c r="BN116" s="87">
        <f t="shared" ref="BN116" si="1793">IF($H116&lt;&gt;BQ$5,0,IF(BQ116&lt;0,IF(OR($J116=1,$J116=2,$J116=3,$J116=4),-$E116*$I116/12*3,IF($J116=5,-$E116*$I116/12*2,IF($J116=6,-$E116*$I116/12*1,0)))))+IF(BL$5&lt;&gt;$H116,0,IF(BL116&lt;0,IF($J116=4,-$E116*$I116/12*0,IF($J116=5,-$E116*$I116/12*1,IF($J116=6,-$E116*$I116/12*2,IF($J116&gt;=7,-$E116*$I116/12*3,0))))))</f>
        <v>0</v>
      </c>
      <c r="BO116" s="87">
        <f t="shared" ref="BO116" si="1794">IF($H116&lt;&gt;BQ$5,0,IF(BQ116&lt;0,IF(OR($J116=1,$J116=2,$J116=3,$J116=4,$J116=5,$J116=6,$J116=7),-$E116*$I116/12*3,IF($J116=8,-$E116*$I116/12*2,IF($J116=9,-$E116*$I116/12*1,0)))))+IF(BL$5&lt;&gt;$H116,0,IF(BL116&lt;0,IF($J116=7,-$E116*$I116/12*0,IF($J116=8,-$E116*$I116/12*1,IF($J116=9,-$E116*$I116/12*2,IF($J116&gt;=10,-$E116*$I116/12*3,0))))))</f>
        <v>0</v>
      </c>
      <c r="BP116" s="88">
        <f t="shared" ref="BP116" si="1795">IF($H116&lt;&gt;BQ$5,0,IF(BQ116&lt;0,IF(OR($J116=1,$J116=2,$J116=3,$J116=4,$J116=5,$J116=6,$J116=7,$J116=8,$J116=9,$J116=10),-$E116*$I116/12*3,IF($J116=11,-$E116*$I116/12*2,IF($J116=12,-$E116*$I116/12*1,0)))))+IF(BL$5&lt;&gt;$H116,0,IF(BL116&lt;0,IF($J116=10,-$E116*$I116/12*0,IF($J116=11,-$E116*$I116/12*1,IF($J116=12,-$E116*$I116/12*2,0)))))</f>
        <v>0</v>
      </c>
      <c r="BQ116" s="85">
        <f t="shared" ref="BQ116" si="1796">IF(AND(BL116&lt;&gt;0,BL$5=$H116),-$I116*$E116-BL116,IF(BQ$5=$H116,-$I116*$E116*(12-$J116+1)/12,0))</f>
        <v>0</v>
      </c>
      <c r="BR116" s="86">
        <f t="shared" ref="BR116" si="1797">IF($H116&lt;&gt;BV$5,0,IF(BV116&lt;0,IF($J116=1,-$E116*$I116/12*3,IF($J116=2,-$E116*$I116/12*2,IF($J116=3,-$E116*$I116/12*1,0)))))+IF(BQ$5&lt;&gt;$H116,0,IF(BQ116&lt;0,IF($J116=1,-$E116*$I116/12*0,IF($J116=2,-$E116*$I116/12*1,IF($J116=3,-$E116*$I116/12*2,IF($J116&gt;=4,-$E116*$I116/12*3,0))))))</f>
        <v>0</v>
      </c>
      <c r="BS116" s="87">
        <f t="shared" ref="BS116" si="1798">IF($H116&lt;&gt;BV$5,0,IF(BV116&lt;0,IF(OR($J116=1,$J116=2,$J116=3,$J116=4),-$E116*$I116/12*3,IF($J116=5,-$E116*$I116/12*2,IF($J116=6,-$E116*$I116/12*1,0)))))+IF(BQ$5&lt;&gt;$H116,0,IF(BQ116&lt;0,IF($J116=4,-$E116*$I116/12*0,IF($J116=5,-$E116*$I116/12*1,IF($J116=6,-$E116*$I116/12*2,IF($J116&gt;=7,-$E116*$I116/12*3,0))))))</f>
        <v>0</v>
      </c>
      <c r="BT116" s="87">
        <f t="shared" ref="BT116" si="1799">IF($H116&lt;&gt;BV$5,0,IF(BV116&lt;0,IF(OR($J116=1,$J116=2,$J116=3,$J116=4,$J116=5,$J116=6,$J116=7),-$E116*$I116/12*3,IF($J116=8,-$E116*$I116/12*2,IF($J116=9,-$E116*$I116/12*1,0)))))+IF(BQ$5&lt;&gt;$H116,0,IF(BQ116&lt;0,IF($J116=7,-$E116*$I116/12*0,IF($J116=8,-$E116*$I116/12*1,IF($J116=9,-$E116*$I116/12*2,IF($J116&gt;=10,-$E116*$I116/12*3,0))))))</f>
        <v>0</v>
      </c>
      <c r="BU116" s="88">
        <f t="shared" ref="BU116" si="1800">IF($H116&lt;&gt;BV$5,0,IF(BV116&lt;0,IF(OR($J116=1,$J116=2,$J116=3,$J116=4,$J116=5,$J116=6,$J116=7,$J116=8,$J116=9,$J116=10),-$E116*$I116/12*3,IF($J116=11,-$E116*$I116/12*2,IF($J116=12,-$E116*$I116/12*1,0)))))+IF(BQ$5&lt;&gt;$H116,0,IF(BQ116&lt;0,IF($J116=10,-$E116*$I116/12*0,IF($J116=11,-$E116*$I116/12*1,IF($J116=12,-$E116*$I116/12*2,0)))))</f>
        <v>0</v>
      </c>
      <c r="BV116" s="85">
        <f t="shared" ref="BV116" si="1801">IF(AND(BQ116&lt;&gt;0,BQ$5=$H116),-$I116*$E116-BQ116,IF(BV$5=$H116,-$I116*$E116*(12-$J116+1)/12,0))</f>
        <v>0</v>
      </c>
      <c r="BW116" s="86">
        <f t="shared" ref="BW116" si="1802">IF($H116&lt;&gt;CA$5,0,IF(CA116&lt;0,IF($J116=1,-$E116*$I116/12*3,IF($J116=2,-$E116*$I116/12*2,IF($J116=3,-$E116*$I116/12*1,0)))))+IF(BV$5&lt;&gt;$H116,0,IF(BV116&lt;0,IF($J116=1,-$E116*$I116/12*0,IF($J116=2,-$E116*$I116/12*1,IF($J116=3,-$E116*$I116/12*2,IF($J116&gt;=4,-$E116*$I116/12*3,0))))))</f>
        <v>0</v>
      </c>
      <c r="BX116" s="87">
        <f t="shared" ref="BX116" si="1803">IF($H116&lt;&gt;CA$5,0,IF(CA116&lt;0,IF(OR($J116=1,$J116=2,$J116=3,$J116=4),-$E116*$I116/12*3,IF($J116=5,-$E116*$I116/12*2,IF($J116=6,-$E116*$I116/12*1,0)))))+IF(BV$5&lt;&gt;$H116,0,IF(BV116&lt;0,IF($J116=4,-$E116*$I116/12*0,IF($J116=5,-$E116*$I116/12*1,IF($J116=6,-$E116*$I116/12*2,IF($J116&gt;=7,-$E116*$I116/12*3,0))))))</f>
        <v>0</v>
      </c>
      <c r="BY116" s="87">
        <f t="shared" ref="BY116" si="1804">IF($H116&lt;&gt;CA$5,0,IF(CA116&lt;0,IF(OR($J116=1,$J116=2,$J116=3,$J116=4,$J116=5,$J116=6,$J116=7),-$E116*$I116/12*3,IF($J116=8,-$E116*$I116/12*2,IF($J116=9,-$E116*$I116/12*1,0)))))+IF(BV$5&lt;&gt;$H116,0,IF(BV116&lt;0,IF($J116=7,-$E116*$I116/12*0,IF($J116=8,-$E116*$I116/12*1,IF($J116=9,-$E116*$I116/12*2,IF($J116&gt;=10,-$E116*$I116/12*3,0))))))</f>
        <v>0</v>
      </c>
      <c r="BZ116" s="88">
        <f t="shared" ref="BZ116" si="1805">IF($H116&lt;&gt;CA$5,0,IF(CA116&lt;0,IF(OR($J116=1,$J116=2,$J116=3,$J116=4,$J116=5,$J116=6,$J116=7,$J116=8,$J116=9,$J116=10),-$E116*$I116/12*3,IF($J116=11,-$E116*$I116/12*2,IF($J116=12,-$E116*$I116/12*1,0)))))+IF(BV$5&lt;&gt;$H116,0,IF(BV116&lt;0,IF($J116=10,-$E116*$I116/12*0,IF($J116=11,-$E116*$I116/12*1,IF($J116=12,-$E116*$I116/12*2,0)))))</f>
        <v>0</v>
      </c>
      <c r="CA116" s="85">
        <f t="shared" ref="CA116" si="1806">IF(AND(BV116&lt;&gt;0,BV$5=$H116),-$I116*$E116-BV116,IF(CA$5=$H116,-$I116*$E116*(12-$J116+1)/12,0))</f>
        <v>0</v>
      </c>
      <c r="CB116" s="86">
        <f t="shared" ref="CB116" si="1807">IF($H116&lt;&gt;CF$5,0,IF(CF116&lt;0,IF($J116=1,-$E116*$I116/12*3,IF($J116=2,-$E116*$I116/12*2,IF($J116=3,-$E116*$I116/12*1,0)))))+IF(CA$5&lt;&gt;$H116,0,IF(CA116&lt;0,IF($J116=1,-$E116*$I116/12*0,IF($J116=2,-$E116*$I116/12*1,IF($J116=3,-$E116*$I116/12*2,IF($J116&gt;=4,-$E116*$I116/12*3,0))))))</f>
        <v>0</v>
      </c>
      <c r="CC116" s="87">
        <f t="shared" ref="CC116" si="1808">IF($H116&lt;&gt;CF$5,0,IF(CF116&lt;0,IF(OR($J116=1,$J116=2,$J116=3,$J116=4),-$E116*$I116/12*3,IF($J116=5,-$E116*$I116/12*2,IF($J116=6,-$E116*$I116/12*1,0)))))+IF(CA$5&lt;&gt;$H116,0,IF(CA116&lt;0,IF($J116=4,-$E116*$I116/12*0,IF($J116=5,-$E116*$I116/12*1,IF($J116=6,-$E116*$I116/12*2,IF($J116&gt;=7,-$E116*$I116/12*3,0))))))</f>
        <v>0</v>
      </c>
      <c r="CD116" s="87">
        <f t="shared" ref="CD116" si="1809">IF($H116&lt;&gt;CF$5,0,IF(CF116&lt;0,IF(OR($J116=1,$J116=2,$J116=3,$J116=4,$J116=5,$J116=6,$J116=7),-$E116*$I116/12*3,IF($J116=8,-$E116*$I116/12*2,IF($J116=9,-$E116*$I116/12*1,0)))))+IF(CA$5&lt;&gt;$H116,0,IF(CA116&lt;0,IF($J116=7,-$E116*$I116/12*0,IF($J116=8,-$E116*$I116/12*1,IF($J116=9,-$E116*$I116/12*2,IF($J116&gt;=10,-$E116*$I116/12*3,0))))))</f>
        <v>0</v>
      </c>
      <c r="CE116" s="88">
        <f t="shared" ref="CE116" si="1810">IF($H116&lt;&gt;CF$5,0,IF(CF116&lt;0,IF(OR($J116=1,$J116=2,$J116=3,$J116=4,$J116=5,$J116=6,$J116=7,$J116=8,$J116=9,$J116=10),-$E116*$I116/12*3,IF($J116=11,-$E116*$I116/12*2,IF($J116=12,-$E116*$I116/12*1,0)))))+IF(CA$5&lt;&gt;$H116,0,IF(CA116&lt;0,IF($J116=10,-$E116*$I116/12*0,IF($J116=11,-$E116*$I116/12*1,IF($J116=12,-$E116*$I116/12*2,0)))))</f>
        <v>0</v>
      </c>
      <c r="CF116" s="85">
        <f t="shared" ref="CF116" si="1811">IF(AND(CA116&lt;&gt;0,CA$5=$H116),-$I116*$E116-CA116,IF(CF$5=$H116,-$I116*$E116*(12-$J116+1)/12,0))</f>
        <v>0</v>
      </c>
      <c r="CG116" s="86">
        <f t="shared" ref="CG116" si="1812">IF($H116&lt;&gt;CK$5,0,IF(CK116&lt;0,IF($J116=1,-$E116*$I116/12*3,IF($J116=2,-$E116*$I116/12*2,IF($J116=3,-$E116*$I116/12*1,0)))))+IF(CF$5&lt;&gt;$H116,0,IF(CF116&lt;0,IF($J116=1,-$E116*$I116/12*0,IF($J116=2,-$E116*$I116/12*1,IF($J116=3,-$E116*$I116/12*2,IF($J116&gt;=4,-$E116*$I116/12*3,0))))))</f>
        <v>0</v>
      </c>
      <c r="CH116" s="87">
        <f t="shared" ref="CH116" si="1813">IF($H116&lt;&gt;CK$5,0,IF(CK116&lt;0,IF(OR($J116=1,$J116=2,$J116=3,$J116=4),-$E116*$I116/12*3,IF($J116=5,-$E116*$I116/12*2,IF($J116=6,-$E116*$I116/12*1,0)))))+IF(CF$5&lt;&gt;$H116,0,IF(CF116&lt;0,IF($J116=4,-$E116*$I116/12*0,IF($J116=5,-$E116*$I116/12*1,IF($J116=6,-$E116*$I116/12*2,IF($J116&gt;=7,-$E116*$I116/12*3,0))))))</f>
        <v>0</v>
      </c>
      <c r="CI116" s="87">
        <f t="shared" ref="CI116" si="1814">IF($H116&lt;&gt;CK$5,0,IF(CK116&lt;0,IF(OR($J116=1,$J116=2,$J116=3,$J116=4,$J116=5,$J116=6,$J116=7),-$E116*$I116/12*3,IF($J116=8,-$E116*$I116/12*2,IF($J116=9,-$E116*$I116/12*1,0)))))+IF(CF$5&lt;&gt;$H116,0,IF(CF116&lt;0,IF($J116=7,-$E116*$I116/12*0,IF($J116=8,-$E116*$I116/12*1,IF($J116=9,-$E116*$I116/12*2,IF($J116&gt;=10,-$E116*$I116/12*3,0))))))</f>
        <v>0</v>
      </c>
      <c r="CJ116" s="88">
        <f t="shared" ref="CJ116" si="1815">IF($H116&lt;&gt;CK$5,0,IF(CK116&lt;0,IF(OR($J116=1,$J116=2,$J116=3,$J116=4,$J116=5,$J116=6,$J116=7,$J116=8,$J116=9,$J116=10),-$E116*$I116/12*3,IF($J116=11,-$E116*$I116/12*2,IF($J116=12,-$E116*$I116/12*1,0)))))+IF(CF$5&lt;&gt;$H116,0,IF(CF116&lt;0,IF($J116=10,-$E116*$I116/12*0,IF($J116=11,-$E116*$I116/12*1,IF($J116=12,-$E116*$I116/12*2,0)))))</f>
        <v>0</v>
      </c>
      <c r="CK116" s="85">
        <f t="shared" ref="CK116" si="1816">IF(AND(CF116&lt;&gt;0,CF$5=$H116),-$I116*$E116-CF116,IF(CK$5=$H116,-$I116*$E116*(12-$J116+1)/12,0))</f>
        <v>0</v>
      </c>
      <c r="CL116" s="86">
        <f t="shared" ref="CL116" si="1817">IF($H116&lt;&gt;CP$5,0,IF(CP116&lt;0,IF($J116=1,-$E116*$I116/12*3,IF($J116=2,-$E116*$I116/12*2,IF($J116=3,-$E116*$I116/12*1,0)))))+IF(CK$5&lt;&gt;$H116,0,IF(CK116&lt;0,IF($J116=1,-$E116*$I116/12*0,IF($J116=2,-$E116*$I116/12*1,IF($J116=3,-$E116*$I116/12*2,IF($J116&gt;=4,-$E116*$I116/12*3,0))))))</f>
        <v>0</v>
      </c>
      <c r="CM116" s="87">
        <f t="shared" ref="CM116" si="1818">IF($H116&lt;&gt;CP$5,0,IF(CP116&lt;0,IF(OR($J116=1,$J116=2,$J116=3,$J116=4),-$E116*$I116/12*3,IF($J116=5,-$E116*$I116/12*2,IF($J116=6,-$E116*$I116/12*1,0)))))+IF(CK$5&lt;&gt;$H116,0,IF(CK116&lt;0,IF($J116=4,-$E116*$I116/12*0,IF($J116=5,-$E116*$I116/12*1,IF($J116=6,-$E116*$I116/12*2,IF($J116&gt;=7,-$E116*$I116/12*3,0))))))</f>
        <v>0</v>
      </c>
      <c r="CN116" s="87">
        <f t="shared" ref="CN116" si="1819">IF($H116&lt;&gt;CP$5,0,IF(CP116&lt;0,IF(OR($J116=1,$J116=2,$J116=3,$J116=4,$J116=5,$J116=6,$J116=7),-$E116*$I116/12*3,IF($J116=8,-$E116*$I116/12*2,IF($J116=9,-$E116*$I116/12*1,0)))))+IF(CK$5&lt;&gt;$H116,0,IF(CK116&lt;0,IF($J116=7,-$E116*$I116/12*0,IF($J116=8,-$E116*$I116/12*1,IF($J116=9,-$E116*$I116/12*2,IF($J116&gt;=10,-$E116*$I116/12*3,0))))))</f>
        <v>0</v>
      </c>
      <c r="CO116" s="88">
        <f t="shared" ref="CO116" si="1820">IF($H116&lt;&gt;CP$5,0,IF(CP116&lt;0,IF(OR($J116=1,$J116=2,$J116=3,$J116=4,$J116=5,$J116=6,$J116=7,$J116=8,$J116=9,$J116=10),-$E116*$I116/12*3,IF($J116=11,-$E116*$I116/12*2,IF($J116=12,-$E116*$I116/12*1,0)))))+IF(CK$5&lt;&gt;$H116,0,IF(CK116&lt;0,IF($J116=10,-$E116*$I116/12*0,IF($J116=11,-$E116*$I116/12*1,IF($J116=12,-$E116*$I116/12*2,0)))))</f>
        <v>0</v>
      </c>
      <c r="CP116" s="85">
        <f t="shared" ref="CP116" si="1821">IF(AND(CK116&lt;&gt;0,CK$5=$H116),-$I116*$E116-CK116,IF(CP$5=$H116,-$I116*$E116*(12-$J116+1)/12,0))</f>
        <v>0</v>
      </c>
      <c r="CQ116" s="86">
        <f t="shared" ref="CQ116" si="1822">IF($H116&lt;&gt;CU$5,0,IF(CU116&lt;0,IF($J116=1,-$E116*$I116/12*3,IF($J116=2,-$E116*$I116/12*2,IF($J116=3,-$E116*$I116/12*1,0)))))+IF(CP$5&lt;&gt;$H116,0,IF(CP116&lt;0,IF($J116=1,-$E116*$I116/12*0,IF($J116=2,-$E116*$I116/12*1,IF($J116=3,-$E116*$I116/12*2,IF($J116&gt;=4,-$E116*$I116/12*3,0))))))</f>
        <v>0</v>
      </c>
      <c r="CR116" s="87">
        <f t="shared" ref="CR116" si="1823">IF($H116&lt;&gt;CU$5,0,IF(CU116&lt;0,IF(OR($J116=1,$J116=2,$J116=3,$J116=4),-$E116*$I116/12*3,IF($J116=5,-$E116*$I116/12*2,IF($J116=6,-$E116*$I116/12*1,0)))))+IF(CP$5&lt;&gt;$H116,0,IF(CP116&lt;0,IF($J116=4,-$E116*$I116/12*0,IF($J116=5,-$E116*$I116/12*1,IF($J116=6,-$E116*$I116/12*2,IF($J116&gt;=7,-$E116*$I116/12*3,0))))))</f>
        <v>0</v>
      </c>
      <c r="CS116" s="87">
        <f t="shared" ref="CS116" si="1824">IF($H116&lt;&gt;CU$5,0,IF(CU116&lt;0,IF(OR($J116=1,$J116=2,$J116=3,$J116=4,$J116=5,$J116=6,$J116=7),-$E116*$I116/12*3,IF($J116=8,-$E116*$I116/12*2,IF($J116=9,-$E116*$I116/12*1,0)))))+IF(CP$5&lt;&gt;$H116,0,IF(CP116&lt;0,IF($J116=7,-$E116*$I116/12*0,IF($J116=8,-$E116*$I116/12*1,IF($J116=9,-$E116*$I116/12*2,IF($J116&gt;=10,-$E116*$I116/12*3,0))))))</f>
        <v>0</v>
      </c>
      <c r="CT116" s="88">
        <f t="shared" ref="CT116" si="1825">IF($H116&lt;&gt;CU$5,0,IF(CU116&lt;0,IF(OR($J116=1,$J116=2,$J116=3,$J116=4,$J116=5,$J116=6,$J116=7,$J116=8,$J116=9,$J116=10),-$E116*$I116/12*3,IF($J116=11,-$E116*$I116/12*2,IF($J116=12,-$E116*$I116/12*1,0)))))+IF(CP$5&lt;&gt;$H116,0,IF(CP116&lt;0,IF($J116=10,-$E116*$I116/12*0,IF($J116=11,-$E116*$I116/12*1,IF($J116=12,-$E116*$I116/12*2,0)))))</f>
        <v>0</v>
      </c>
      <c r="CU116" s="85">
        <f t="shared" ref="CU116" si="1826">IF(AND(CP116&lt;&gt;0,CP$5=$H116),-$I116*$E116-CP116,IF(CU$5=$H116,-$I116*$E116*(12-$J116+1)/12,0))</f>
        <v>0</v>
      </c>
      <c r="CV116" s="86">
        <f t="shared" si="1747"/>
        <v>0</v>
      </c>
      <c r="CW116" s="87">
        <f t="shared" si="1748"/>
        <v>0</v>
      </c>
      <c r="CX116" s="87">
        <f t="shared" si="1749"/>
        <v>0</v>
      </c>
      <c r="CY116" s="88">
        <f t="shared" si="1750"/>
        <v>0</v>
      </c>
      <c r="CZ116" s="85">
        <f t="shared" si="1751"/>
        <v>0</v>
      </c>
    </row>
    <row r="117" spans="1:104" ht="12.75" customHeight="1">
      <c r="A117" s="4"/>
      <c r="B117" s="4"/>
      <c r="C117" s="4" t="s">
        <v>665</v>
      </c>
      <c r="D117" s="157"/>
      <c r="E117" s="2115">
        <f t="shared" si="1753"/>
        <v>100</v>
      </c>
      <c r="F117" s="2313">
        <v>100</v>
      </c>
      <c r="G117" s="1511">
        <v>100</v>
      </c>
      <c r="H117" s="1334">
        <v>2033</v>
      </c>
      <c r="I117" s="325">
        <v>5.7500000000000002E-2</v>
      </c>
      <c r="J117" s="1334">
        <v>6</v>
      </c>
      <c r="K117" s="80"/>
      <c r="L117" s="81">
        <f t="shared" si="1660"/>
        <v>0</v>
      </c>
      <c r="M117" s="82">
        <f t="shared" si="1661"/>
        <v>0</v>
      </c>
      <c r="N117" s="83">
        <f t="shared" si="1662"/>
        <v>0</v>
      </c>
      <c r="O117" s="83">
        <f t="shared" si="1663"/>
        <v>0</v>
      </c>
      <c r="P117" s="84">
        <f t="shared" si="1664"/>
        <v>0</v>
      </c>
      <c r="Q117" s="81">
        <f t="shared" si="1665"/>
        <v>0</v>
      </c>
      <c r="R117" s="82">
        <f t="shared" si="1666"/>
        <v>0</v>
      </c>
      <c r="S117" s="83">
        <f t="shared" si="1667"/>
        <v>0</v>
      </c>
      <c r="T117" s="83">
        <f t="shared" si="1668"/>
        <v>0</v>
      </c>
      <c r="U117" s="84">
        <f t="shared" si="1669"/>
        <v>0</v>
      </c>
      <c r="V117" s="81">
        <f t="shared" si="1670"/>
        <v>0</v>
      </c>
      <c r="W117" s="82">
        <f t="shared" si="1671"/>
        <v>0</v>
      </c>
      <c r="X117" s="83">
        <f t="shared" si="1672"/>
        <v>0</v>
      </c>
      <c r="Y117" s="83">
        <f t="shared" si="1673"/>
        <v>0</v>
      </c>
      <c r="Z117" s="84">
        <f t="shared" si="1674"/>
        <v>0</v>
      </c>
      <c r="AA117" s="81">
        <f t="shared" si="1675"/>
        <v>0</v>
      </c>
      <c r="AB117" s="82">
        <f t="shared" si="1676"/>
        <v>0</v>
      </c>
      <c r="AC117" s="83">
        <f t="shared" si="1677"/>
        <v>0</v>
      </c>
      <c r="AD117" s="83">
        <f t="shared" si="1678"/>
        <v>0</v>
      </c>
      <c r="AE117" s="84">
        <f t="shared" si="1679"/>
        <v>0</v>
      </c>
      <c r="AF117" s="81">
        <f t="shared" si="1680"/>
        <v>0</v>
      </c>
      <c r="AG117" s="82">
        <f t="shared" si="1681"/>
        <v>0</v>
      </c>
      <c r="AH117" s="83">
        <f t="shared" si="1682"/>
        <v>0</v>
      </c>
      <c r="AI117" s="83">
        <f t="shared" si="1683"/>
        <v>0</v>
      </c>
      <c r="AJ117" s="84">
        <f t="shared" si="1684"/>
        <v>0</v>
      </c>
      <c r="AK117" s="81">
        <f t="shared" si="1685"/>
        <v>0</v>
      </c>
      <c r="AL117" s="82">
        <f t="shared" si="1686"/>
        <v>0</v>
      </c>
      <c r="AM117" s="83">
        <f t="shared" si="1687"/>
        <v>0</v>
      </c>
      <c r="AN117" s="83">
        <f t="shared" si="1688"/>
        <v>0</v>
      </c>
      <c r="AO117" s="84">
        <f t="shared" si="1689"/>
        <v>0</v>
      </c>
      <c r="AP117" s="81">
        <f t="shared" si="1690"/>
        <v>0</v>
      </c>
      <c r="AQ117" s="82">
        <f t="shared" si="1691"/>
        <v>0</v>
      </c>
      <c r="AR117" s="83">
        <f t="shared" si="1692"/>
        <v>0</v>
      </c>
      <c r="AS117" s="83">
        <f t="shared" si="1693"/>
        <v>0</v>
      </c>
      <c r="AT117" s="84">
        <f t="shared" si="1694"/>
        <v>0</v>
      </c>
      <c r="AU117" s="81">
        <f t="shared" si="1695"/>
        <v>0</v>
      </c>
      <c r="AV117" s="82">
        <f t="shared" si="1696"/>
        <v>0</v>
      </c>
      <c r="AW117" s="83">
        <f t="shared" si="1697"/>
        <v>0</v>
      </c>
      <c r="AX117" s="83">
        <f t="shared" si="1698"/>
        <v>0</v>
      </c>
      <c r="AY117" s="84">
        <f t="shared" si="1699"/>
        <v>0</v>
      </c>
      <c r="AZ117" s="81">
        <f t="shared" si="1700"/>
        <v>0</v>
      </c>
      <c r="BA117" s="82">
        <f t="shared" si="1701"/>
        <v>0</v>
      </c>
      <c r="BB117" s="83">
        <f t="shared" si="1702"/>
        <v>0</v>
      </c>
      <c r="BC117" s="83">
        <f t="shared" si="1703"/>
        <v>0</v>
      </c>
      <c r="BD117" s="84">
        <f t="shared" si="1704"/>
        <v>0</v>
      </c>
      <c r="BE117" s="81">
        <f t="shared" si="1705"/>
        <v>0</v>
      </c>
      <c r="BF117" s="1877"/>
      <c r="BG117" s="2005">
        <f t="shared" si="1706"/>
        <v>0</v>
      </c>
      <c r="BH117" s="86">
        <f t="shared" si="1707"/>
        <v>0</v>
      </c>
      <c r="BI117" s="87">
        <f t="shared" si="1708"/>
        <v>0</v>
      </c>
      <c r="BJ117" s="87">
        <f t="shared" si="1709"/>
        <v>0</v>
      </c>
      <c r="BK117" s="88">
        <f t="shared" si="1710"/>
        <v>0</v>
      </c>
      <c r="BL117" s="85">
        <f t="shared" si="1711"/>
        <v>0</v>
      </c>
      <c r="BM117" s="86">
        <f t="shared" si="1712"/>
        <v>0</v>
      </c>
      <c r="BN117" s="87">
        <f t="shared" si="1713"/>
        <v>0</v>
      </c>
      <c r="BO117" s="87">
        <f t="shared" si="1714"/>
        <v>0</v>
      </c>
      <c r="BP117" s="88">
        <f t="shared" si="1715"/>
        <v>0</v>
      </c>
      <c r="BQ117" s="85">
        <f t="shared" si="1716"/>
        <v>0</v>
      </c>
      <c r="BR117" s="86">
        <f t="shared" si="1717"/>
        <v>0</v>
      </c>
      <c r="BS117" s="87">
        <f t="shared" si="1718"/>
        <v>0</v>
      </c>
      <c r="BT117" s="87">
        <f t="shared" si="1719"/>
        <v>0</v>
      </c>
      <c r="BU117" s="88">
        <f t="shared" si="1720"/>
        <v>0</v>
      </c>
      <c r="BV117" s="85">
        <f t="shared" si="1721"/>
        <v>0</v>
      </c>
      <c r="BW117" s="86">
        <f t="shared" si="1722"/>
        <v>0</v>
      </c>
      <c r="BX117" s="87">
        <f t="shared" si="1723"/>
        <v>0</v>
      </c>
      <c r="BY117" s="87">
        <f t="shared" si="1724"/>
        <v>0</v>
      </c>
      <c r="BZ117" s="88">
        <f t="shared" si="1725"/>
        <v>0</v>
      </c>
      <c r="CA117" s="85">
        <f t="shared" si="1726"/>
        <v>0</v>
      </c>
      <c r="CB117" s="86">
        <f t="shared" si="1727"/>
        <v>0</v>
      </c>
      <c r="CC117" s="87">
        <f t="shared" si="1728"/>
        <v>0</v>
      </c>
      <c r="CD117" s="87">
        <f t="shared" si="1729"/>
        <v>0</v>
      </c>
      <c r="CE117" s="88">
        <f t="shared" si="1730"/>
        <v>0</v>
      </c>
      <c r="CF117" s="85">
        <f t="shared" si="1731"/>
        <v>0</v>
      </c>
      <c r="CG117" s="86">
        <f t="shared" si="1732"/>
        <v>0</v>
      </c>
      <c r="CH117" s="87">
        <f t="shared" si="1733"/>
        <v>0</v>
      </c>
      <c r="CI117" s="87">
        <f t="shared" si="1734"/>
        <v>0</v>
      </c>
      <c r="CJ117" s="88">
        <f t="shared" si="1735"/>
        <v>0</v>
      </c>
      <c r="CK117" s="85">
        <f t="shared" si="1736"/>
        <v>0</v>
      </c>
      <c r="CL117" s="86">
        <f t="shared" si="1737"/>
        <v>0</v>
      </c>
      <c r="CM117" s="87">
        <f t="shared" si="1738"/>
        <v>0</v>
      </c>
      <c r="CN117" s="87">
        <f t="shared" si="1739"/>
        <v>0</v>
      </c>
      <c r="CO117" s="88">
        <f t="shared" si="1740"/>
        <v>0</v>
      </c>
      <c r="CP117" s="85">
        <f t="shared" si="1741"/>
        <v>0</v>
      </c>
      <c r="CQ117" s="86">
        <f t="shared" si="1742"/>
        <v>0</v>
      </c>
      <c r="CR117" s="87">
        <f t="shared" si="1743"/>
        <v>0</v>
      </c>
      <c r="CS117" s="87">
        <f t="shared" si="1744"/>
        <v>0</v>
      </c>
      <c r="CT117" s="88">
        <f t="shared" si="1745"/>
        <v>0</v>
      </c>
      <c r="CU117" s="85">
        <f t="shared" si="1746"/>
        <v>0</v>
      </c>
      <c r="CV117" s="86">
        <f t="shared" si="1747"/>
        <v>0</v>
      </c>
      <c r="CW117" s="87">
        <f t="shared" si="1748"/>
        <v>0</v>
      </c>
      <c r="CX117" s="87">
        <f t="shared" si="1749"/>
        <v>0</v>
      </c>
      <c r="CY117" s="88">
        <f t="shared" si="1750"/>
        <v>0</v>
      </c>
      <c r="CZ117" s="85">
        <f t="shared" si="1751"/>
        <v>0</v>
      </c>
    </row>
    <row r="118" spans="1:104" ht="12.75" customHeight="1">
      <c r="A118" s="4"/>
      <c r="B118" s="4"/>
      <c r="C118" s="806" t="s">
        <v>1545</v>
      </c>
      <c r="D118" s="157"/>
      <c r="E118" s="2115">
        <f t="shared" ref="E118" si="1827">IF(F118=0,G118,F118)</f>
        <v>325</v>
      </c>
      <c r="F118" s="2313">
        <v>325</v>
      </c>
      <c r="G118" s="1511">
        <v>0</v>
      </c>
      <c r="H118" s="1334">
        <v>2047</v>
      </c>
      <c r="I118" s="325">
        <v>3.6999999999999998E-2</v>
      </c>
      <c r="J118" s="1334">
        <v>9</v>
      </c>
      <c r="K118" s="80"/>
      <c r="L118" s="81">
        <f t="shared" si="1660"/>
        <v>0</v>
      </c>
      <c r="M118" s="82">
        <f t="shared" ref="M118" si="1828">IF(Q118=0,0,IF(Q118&lt;0,IF($J118=3,Q118,IF($J118=2,Q118,IF($J118=1,Q118,0)))))</f>
        <v>0</v>
      </c>
      <c r="N118" s="83">
        <f t="shared" ref="N118" si="1829">IF(Q118=0,0,IF(Q118&lt;0,IF($J118=6,Q118,IF($J118=5,Q118,IF($J118=4,Q118,0)))))</f>
        <v>0</v>
      </c>
      <c r="O118" s="83">
        <f t="shared" ref="O118" si="1830">IF(Q118=0,0,IF(Q118&lt;0,IF($J118=9,Q118,IF($J118=8,Q118,IF($J118=7,Q118,0)))))</f>
        <v>0</v>
      </c>
      <c r="P118" s="84">
        <f t="shared" ref="P118" si="1831">IF(Q118=0,0,IF(Q118&lt;0,IF($J118=12,Q118,IF($J118=11,Q118,IF($J118=10,Q118,0)))))</f>
        <v>0</v>
      </c>
      <c r="Q118" s="81">
        <f t="shared" si="1665"/>
        <v>0</v>
      </c>
      <c r="R118" s="82">
        <f t="shared" ref="R118" si="1832">IF(V118=0,0,IF(V118&lt;0,IF($J118=3,V118,IF($J118=2,V118,IF($J118=1,V118,0)))))</f>
        <v>0</v>
      </c>
      <c r="S118" s="83">
        <f t="shared" ref="S118" si="1833">IF(V118=0,0,IF(V118&lt;0,IF($J118=6,V118,IF($J118=5,V118,IF($J118=4,V118,0)))))</f>
        <v>0</v>
      </c>
      <c r="T118" s="83">
        <f t="shared" ref="T118" si="1834">IF(V118=0,0,IF(V118&lt;0,IF($J118=9,V118,IF($J118=8,V118,IF($J118=7,V118,0)))))</f>
        <v>0</v>
      </c>
      <c r="U118" s="84">
        <f t="shared" ref="U118" si="1835">IF(V118=0,0,IF(V118&lt;0,IF($J118=12,V118,IF($J118=11,V118,IF($J118=10,V118,0)))))</f>
        <v>0</v>
      </c>
      <c r="V118" s="81">
        <f t="shared" si="1670"/>
        <v>0</v>
      </c>
      <c r="W118" s="82">
        <f t="shared" ref="W118" si="1836">IF(AA118=0,0,IF(AA118&lt;0,IF($J118=3,AA118,IF($J118=2,AA118,IF($J118=1,AA118,0)))))</f>
        <v>0</v>
      </c>
      <c r="X118" s="83">
        <f t="shared" ref="X118" si="1837">IF(AA118=0,0,IF(AA118&lt;0,IF($J118=6,AA118,IF($J118=5,AA118,IF($J118=4,AA118,0)))))</f>
        <v>0</v>
      </c>
      <c r="Y118" s="83">
        <f t="shared" ref="Y118" si="1838">IF(AA118=0,0,IF(AA118&lt;0,IF($J118=9,AA118,IF($J118=8,AA118,IF($J118=7,AA118,0)))))</f>
        <v>0</v>
      </c>
      <c r="Z118" s="84">
        <f t="shared" ref="Z118" si="1839">IF(AA118=0,0,IF(AA118&lt;0,IF($J118=12,AA118,IF($J118=11,AA118,IF($J118=10,AA118,0)))))</f>
        <v>0</v>
      </c>
      <c r="AA118" s="81">
        <f t="shared" si="1675"/>
        <v>0</v>
      </c>
      <c r="AB118" s="82">
        <f t="shared" ref="AB118" si="1840">IF(AF118=0,0,IF(AF118&lt;0,IF($J118=3,AF118,IF($J118=2,AF118,IF($J118=1,AF118,0)))))</f>
        <v>0</v>
      </c>
      <c r="AC118" s="83">
        <f t="shared" ref="AC118" si="1841">IF(AF118=0,0,IF(AF118&lt;0,IF($J118=6,AF118,IF($J118=5,AF118,IF($J118=4,AF118,0)))))</f>
        <v>0</v>
      </c>
      <c r="AD118" s="83">
        <f t="shared" ref="AD118" si="1842">IF(AF118=0,0,IF(AF118&lt;0,IF($J118=9,AF118,IF($J118=8,AF118,IF($J118=7,AF118,0)))))</f>
        <v>0</v>
      </c>
      <c r="AE118" s="84">
        <f t="shared" ref="AE118" si="1843">IF(AF118=0,0,IF(AF118&lt;0,IF($J118=12,AF118,IF($J118=11,AF118,IF($J118=10,AF118,0)))))</f>
        <v>0</v>
      </c>
      <c r="AF118" s="81">
        <f t="shared" si="1680"/>
        <v>0</v>
      </c>
      <c r="AG118" s="82">
        <f t="shared" ref="AG118" si="1844">IF(AK118=0,0,IF(AK118&lt;0,IF($J118=3,AK118,IF($J118=2,AK118,IF($J118=1,AK118,0)))))</f>
        <v>0</v>
      </c>
      <c r="AH118" s="83">
        <f t="shared" ref="AH118" si="1845">IF(AK118=0,0,IF(AK118&lt;0,IF($J118=6,AK118,IF($J118=5,AK118,IF($J118=4,AK118,0)))))</f>
        <v>0</v>
      </c>
      <c r="AI118" s="83">
        <f t="shared" ref="AI118" si="1846">IF(AK118=0,0,IF(AK118&lt;0,IF($J118=9,AK118,IF($J118=8,AK118,IF($J118=7,AK118,0)))))</f>
        <v>0</v>
      </c>
      <c r="AJ118" s="84">
        <f t="shared" ref="AJ118" si="1847">IF(AK118=0,0,IF(AK118&lt;0,IF($J118=12,AK118,IF($J118=11,AK118,IF($J118=10,AK118,0)))))</f>
        <v>0</v>
      </c>
      <c r="AK118" s="81">
        <f t="shared" si="1685"/>
        <v>0</v>
      </c>
      <c r="AL118" s="82">
        <f t="shared" ref="AL118" si="1848">IF(AP118=0,0,IF(AP118&lt;0,IF($J118=3,AP118,IF($J118=2,AP118,IF($J118=1,AP118,0)))))</f>
        <v>0</v>
      </c>
      <c r="AM118" s="83">
        <f t="shared" ref="AM118" si="1849">IF(AP118=0,0,IF(AP118&lt;0,IF($J118=6,AP118,IF($J118=5,AP118,IF($J118=4,AP118,0)))))</f>
        <v>0</v>
      </c>
      <c r="AN118" s="83">
        <f t="shared" ref="AN118" si="1850">IF(AP118=0,0,IF(AP118&lt;0,IF($J118=9,AP118,IF($J118=8,AP118,IF($J118=7,AP118,0)))))</f>
        <v>0</v>
      </c>
      <c r="AO118" s="84">
        <f t="shared" ref="AO118" si="1851">IF(AP118=0,0,IF(AP118&lt;0,IF($J118=12,AP118,IF($J118=11,AP118,IF($J118=10,AP118,0)))))</f>
        <v>0</v>
      </c>
      <c r="AP118" s="81">
        <f t="shared" si="1690"/>
        <v>0</v>
      </c>
      <c r="AQ118" s="82">
        <f t="shared" ref="AQ118" si="1852">IF(AU118=0,0,IF(AU118&lt;0,IF($J118=3,AU118,IF($J118=2,AU118,IF($J118=1,AU118,0)))))</f>
        <v>0</v>
      </c>
      <c r="AR118" s="83">
        <f t="shared" ref="AR118" si="1853">IF(AU118=0,0,IF(AU118&lt;0,IF($J118=6,AU118,IF($J118=5,AU118,IF($J118=4,AU118,0)))))</f>
        <v>0</v>
      </c>
      <c r="AS118" s="83">
        <f t="shared" ref="AS118" si="1854">IF(AU118=0,0,IF(AU118&lt;0,IF($J118=9,AU118,IF($J118=8,AU118,IF($J118=7,AU118,0)))))</f>
        <v>0</v>
      </c>
      <c r="AT118" s="84">
        <f t="shared" ref="AT118" si="1855">IF(AU118=0,0,IF(AU118&lt;0,IF($J118=12,AU118,IF($J118=11,AU118,IF($J118=10,AU118,0)))))</f>
        <v>0</v>
      </c>
      <c r="AU118" s="81">
        <f t="shared" si="1695"/>
        <v>0</v>
      </c>
      <c r="AV118" s="82">
        <f t="shared" ref="AV118" si="1856">IF(AZ118=0,0,IF(AZ118&lt;0,IF($J118=3,AZ118,IF($J118=2,AZ118,IF($J118=1,AZ118,0)))))</f>
        <v>0</v>
      </c>
      <c r="AW118" s="83">
        <f t="shared" ref="AW118" si="1857">IF(AZ118=0,0,IF(AZ118&lt;0,IF($J118=6,AZ118,IF($J118=5,AZ118,IF($J118=4,AZ118,0)))))</f>
        <v>0</v>
      </c>
      <c r="AX118" s="83">
        <f t="shared" ref="AX118" si="1858">IF(AZ118=0,0,IF(AZ118&lt;0,IF($J118=9,AZ118,IF($J118=8,AZ118,IF($J118=7,AZ118,0)))))</f>
        <v>0</v>
      </c>
      <c r="AY118" s="84">
        <f t="shared" ref="AY118" si="1859">IF(AZ118=0,0,IF(AZ118&lt;0,IF($J118=12,AZ118,IF($J118=11,AZ118,IF($J118=10,AZ118,0)))))</f>
        <v>0</v>
      </c>
      <c r="AZ118" s="81">
        <f t="shared" si="1700"/>
        <v>0</v>
      </c>
      <c r="BA118" s="82">
        <f t="shared" ref="BA118" si="1860">IF(BE118=0,0,IF(BE118&lt;0,IF($J118=3,BE118,IF($J118=2,BE118,IF($J118=1,BE118,0)))))</f>
        <v>0</v>
      </c>
      <c r="BB118" s="83">
        <f t="shared" ref="BB118" si="1861">IF(BE118=0,0,IF(BE118&lt;0,IF($J118=6,BE118,IF($J118=5,BE118,IF($J118=4,BE118,0)))))</f>
        <v>0</v>
      </c>
      <c r="BC118" s="83">
        <f t="shared" ref="BC118" si="1862">IF(BE118=0,0,IF(BE118&lt;0,IF($J118=9,BE118,IF($J118=8,BE118,IF($J118=7,BE118,0)))))</f>
        <v>0</v>
      </c>
      <c r="BD118" s="84">
        <f t="shared" ref="BD118" si="1863">IF(BE118=0,0,IF(BE118&lt;0,IF($J118=12,BE118,IF($J118=11,BE118,IF($J118=10,BE118,0)))))</f>
        <v>0</v>
      </c>
      <c r="BE118" s="81">
        <f t="shared" si="1705"/>
        <v>0</v>
      </c>
      <c r="BF118" s="1877"/>
      <c r="BG118" s="2005">
        <f t="shared" ref="BG118" si="1864">IF(AND(BF118&lt;&gt;0,BF$5=$H118),-$I118*$E118-BF118,IF(BG$5=$H118,-$I118*$E118*(12-$J118+1)/12,0))</f>
        <v>0</v>
      </c>
      <c r="BH118" s="86">
        <f t="shared" ref="BH118" si="1865">IF($H118&lt;&gt;BL$5,0,IF(BL118&lt;0,IF($J118=1,-$E118*$I118/12*3,IF($J118=2,-$E118*$I118/12*2,IF($J118=3,-$E118*$I118/12*1,0)))))+IF(BG$5&lt;&gt;$H118,0,IF(BG118&lt;0,IF($J118=1,-$E118*$I118/12*0,IF($J118=2,-$E118*$I118/12*1,IF($J118=3,-$E118*$I118/12*2,IF($J118&gt;=4,-$E118*$I118/12*3,0))))))</f>
        <v>0</v>
      </c>
      <c r="BI118" s="87">
        <f t="shared" ref="BI118" si="1866">IF($H118&lt;&gt;BL$5,0,IF(BL118&lt;0,IF(OR($J118=1,$J118=2,$J118=3,$J118=4),-$E118*$I118/12*3,IF($J118=5,-$E118*$I118/12*2,IF($J118=6,-$E118*$I118/12*1,0)))))+IF(BG$5&lt;&gt;$H118,0,IF(BG118&lt;0,IF($J118=4,-$E118*$I118/12*0,IF($J118=5,-$E118*$I118/12*1,IF($J118=6,-$E118*$I118/12*2,IF($J118&gt;=7,-$E118*$I118/12*3,0))))))</f>
        <v>0</v>
      </c>
      <c r="BJ118" s="87">
        <f t="shared" ref="BJ118" si="1867">IF($H118&lt;&gt;BL$5,0,IF(BL118&lt;0,IF(OR($J118=1,$J118=2,$J118=3,$J118=4,$J118=5,$J118=6,$J118=7),-$E118*$I118/12*3,IF($J118=8,-$E118*$I118/12*2,IF($J118=9,-$E118*$I118/12*1,0)))))+IF(BG$5&lt;&gt;$H118,0,IF(BG118&lt;0,IF($J118=7,-$E118*$I118/12*0,IF($J118=8,-$E118*$I118/12*1,IF($J118=9,-$E118*$I118/12*2,IF($J118&gt;=10,-$E118*$I118/12*3,0))))))</f>
        <v>0</v>
      </c>
      <c r="BK118" s="88">
        <f t="shared" ref="BK118" si="1868">IF($H118&lt;&gt;BL$5,0,IF(BL118&lt;0,IF(OR($J118=1,$J118=2,$J118=3,$J118=4,$J118=5,$J118=6,$J118=7,$J118=8,$J118=9,$J118=10),-$E118*$I118/12*3,IF($J118=11,-$E118*$I118/12*2,IF($J118=12,-$E118*$I118/12*1,0)))))+IF(BG$5&lt;&gt;$H118,0,IF(BG118&lt;0,IF($J118=10,-$E118*$I118/12*0,IF($J118=11,-$E118*$I118/12*1,IF($J118=12,-$E118*$I118/12*2,0)))))</f>
        <v>0</v>
      </c>
      <c r="BL118" s="85">
        <f t="shared" ref="BL118" si="1869">IF(AND(BG118&lt;&gt;0,BG$5=$H118),-$I118*$E118-BG118,IF(BL$5=$H118,-$I118*$E118*(12-$J118+1)/12,0))</f>
        <v>0</v>
      </c>
      <c r="BM118" s="86">
        <f t="shared" ref="BM118" si="1870">IF($H118&lt;&gt;BQ$5,0,IF(BQ118&lt;0,IF($J118=1,-$E118*$I118/12*3,IF($J118=2,-$E118*$I118/12*2,IF($J118=3,-$E118*$I118/12*1,0)))))+IF(BL$5&lt;&gt;$H118,0,IF(BL118&lt;0,IF($J118=1,-$E118*$I118/12*0,IF($J118=2,-$E118*$I118/12*1,IF($J118=3,-$E118*$I118/12*2,IF($J118&gt;=4,-$E118*$I118/12*3,0))))))</f>
        <v>0</v>
      </c>
      <c r="BN118" s="87">
        <f t="shared" ref="BN118" si="1871">IF($H118&lt;&gt;BQ$5,0,IF(BQ118&lt;0,IF(OR($J118=1,$J118=2,$J118=3,$J118=4),-$E118*$I118/12*3,IF($J118=5,-$E118*$I118/12*2,IF($J118=6,-$E118*$I118/12*1,0)))))+IF(BL$5&lt;&gt;$H118,0,IF(BL118&lt;0,IF($J118=4,-$E118*$I118/12*0,IF($J118=5,-$E118*$I118/12*1,IF($J118=6,-$E118*$I118/12*2,IF($J118&gt;=7,-$E118*$I118/12*3,0))))))</f>
        <v>0</v>
      </c>
      <c r="BO118" s="87">
        <f t="shared" ref="BO118" si="1872">IF($H118&lt;&gt;BQ$5,0,IF(BQ118&lt;0,IF(OR($J118=1,$J118=2,$J118=3,$J118=4,$J118=5,$J118=6,$J118=7),-$E118*$I118/12*3,IF($J118=8,-$E118*$I118/12*2,IF($J118=9,-$E118*$I118/12*1,0)))))+IF(BL$5&lt;&gt;$H118,0,IF(BL118&lt;0,IF($J118=7,-$E118*$I118/12*0,IF($J118=8,-$E118*$I118/12*1,IF($J118=9,-$E118*$I118/12*2,IF($J118&gt;=10,-$E118*$I118/12*3,0))))))</f>
        <v>0</v>
      </c>
      <c r="BP118" s="88">
        <f t="shared" ref="BP118" si="1873">IF($H118&lt;&gt;BQ$5,0,IF(BQ118&lt;0,IF(OR($J118=1,$J118=2,$J118=3,$J118=4,$J118=5,$J118=6,$J118=7,$J118=8,$J118=9,$J118=10),-$E118*$I118/12*3,IF($J118=11,-$E118*$I118/12*2,IF($J118=12,-$E118*$I118/12*1,0)))))+IF(BL$5&lt;&gt;$H118,0,IF(BL118&lt;0,IF($J118=10,-$E118*$I118/12*0,IF($J118=11,-$E118*$I118/12*1,IF($J118=12,-$E118*$I118/12*2,0)))))</f>
        <v>0</v>
      </c>
      <c r="BQ118" s="85">
        <f t="shared" ref="BQ118" si="1874">IF(AND(BL118&lt;&gt;0,BL$5=$H118),-$I118*$E118-BL118,IF(BQ$5=$H118,-$I118*$E118*(12-$J118+1)/12,0))</f>
        <v>0</v>
      </c>
      <c r="BR118" s="86">
        <f t="shared" ref="BR118" si="1875">IF($H118&lt;&gt;BV$5,0,IF(BV118&lt;0,IF($J118=1,-$E118*$I118/12*3,IF($J118=2,-$E118*$I118/12*2,IF($J118=3,-$E118*$I118/12*1,0)))))+IF(BQ$5&lt;&gt;$H118,0,IF(BQ118&lt;0,IF($J118=1,-$E118*$I118/12*0,IF($J118=2,-$E118*$I118/12*1,IF($J118=3,-$E118*$I118/12*2,IF($J118&gt;=4,-$E118*$I118/12*3,0))))))</f>
        <v>0</v>
      </c>
      <c r="BS118" s="87">
        <f t="shared" ref="BS118" si="1876">IF($H118&lt;&gt;BV$5,0,IF(BV118&lt;0,IF(OR($J118=1,$J118=2,$J118=3,$J118=4),-$E118*$I118/12*3,IF($J118=5,-$E118*$I118/12*2,IF($J118=6,-$E118*$I118/12*1,0)))))+IF(BQ$5&lt;&gt;$H118,0,IF(BQ118&lt;0,IF($J118=4,-$E118*$I118/12*0,IF($J118=5,-$E118*$I118/12*1,IF($J118=6,-$E118*$I118/12*2,IF($J118&gt;=7,-$E118*$I118/12*3,0))))))</f>
        <v>0</v>
      </c>
      <c r="BT118" s="87">
        <f t="shared" ref="BT118" si="1877">IF($H118&lt;&gt;BV$5,0,IF(BV118&lt;0,IF(OR($J118=1,$J118=2,$J118=3,$J118=4,$J118=5,$J118=6,$J118=7),-$E118*$I118/12*3,IF($J118=8,-$E118*$I118/12*2,IF($J118=9,-$E118*$I118/12*1,0)))))+IF(BQ$5&lt;&gt;$H118,0,IF(BQ118&lt;0,IF($J118=7,-$E118*$I118/12*0,IF($J118=8,-$E118*$I118/12*1,IF($J118=9,-$E118*$I118/12*2,IF($J118&gt;=10,-$E118*$I118/12*3,0))))))</f>
        <v>0</v>
      </c>
      <c r="BU118" s="88">
        <f t="shared" ref="BU118" si="1878">IF($H118&lt;&gt;BV$5,0,IF(BV118&lt;0,IF(OR($J118=1,$J118=2,$J118=3,$J118=4,$J118=5,$J118=6,$J118=7,$J118=8,$J118=9,$J118=10),-$E118*$I118/12*3,IF($J118=11,-$E118*$I118/12*2,IF($J118=12,-$E118*$I118/12*1,0)))))+IF(BQ$5&lt;&gt;$H118,0,IF(BQ118&lt;0,IF($J118=10,-$E118*$I118/12*0,IF($J118=11,-$E118*$I118/12*1,IF($J118=12,-$E118*$I118/12*2,0)))))</f>
        <v>0</v>
      </c>
      <c r="BV118" s="85">
        <f t="shared" ref="BV118" si="1879">IF(AND(BQ118&lt;&gt;0,BQ$5=$H118),-$I118*$E118-BQ118,IF(BV$5=$H118,-$I118*$E118*(12-$J118+1)/12,0))</f>
        <v>0</v>
      </c>
      <c r="BW118" s="86">
        <f t="shared" ref="BW118" si="1880">IF($H118&lt;&gt;CA$5,0,IF(CA118&lt;0,IF($J118=1,-$E118*$I118/12*3,IF($J118=2,-$E118*$I118/12*2,IF($J118=3,-$E118*$I118/12*1,0)))))+IF(BV$5&lt;&gt;$H118,0,IF(BV118&lt;0,IF($J118=1,-$E118*$I118/12*0,IF($J118=2,-$E118*$I118/12*1,IF($J118=3,-$E118*$I118/12*2,IF($J118&gt;=4,-$E118*$I118/12*3,0))))))</f>
        <v>0</v>
      </c>
      <c r="BX118" s="87">
        <f t="shared" ref="BX118" si="1881">IF($H118&lt;&gt;CA$5,0,IF(CA118&lt;0,IF(OR($J118=1,$J118=2,$J118=3,$J118=4),-$E118*$I118/12*3,IF($J118=5,-$E118*$I118/12*2,IF($J118=6,-$E118*$I118/12*1,0)))))+IF(BV$5&lt;&gt;$H118,0,IF(BV118&lt;0,IF($J118=4,-$E118*$I118/12*0,IF($J118=5,-$E118*$I118/12*1,IF($J118=6,-$E118*$I118/12*2,IF($J118&gt;=7,-$E118*$I118/12*3,0))))))</f>
        <v>0</v>
      </c>
      <c r="BY118" s="87">
        <f t="shared" ref="BY118" si="1882">IF($H118&lt;&gt;CA$5,0,IF(CA118&lt;0,IF(OR($J118=1,$J118=2,$J118=3,$J118=4,$J118=5,$J118=6,$J118=7),-$E118*$I118/12*3,IF($J118=8,-$E118*$I118/12*2,IF($J118=9,-$E118*$I118/12*1,0)))))+IF(BV$5&lt;&gt;$H118,0,IF(BV118&lt;0,IF($J118=7,-$E118*$I118/12*0,IF($J118=8,-$E118*$I118/12*1,IF($J118=9,-$E118*$I118/12*2,IF($J118&gt;=10,-$E118*$I118/12*3,0))))))</f>
        <v>0</v>
      </c>
      <c r="BZ118" s="88">
        <f t="shared" ref="BZ118" si="1883">IF($H118&lt;&gt;CA$5,0,IF(CA118&lt;0,IF(OR($J118=1,$J118=2,$J118=3,$J118=4,$J118=5,$J118=6,$J118=7,$J118=8,$J118=9,$J118=10),-$E118*$I118/12*3,IF($J118=11,-$E118*$I118/12*2,IF($J118=12,-$E118*$I118/12*1,0)))))+IF(BV$5&lt;&gt;$H118,0,IF(BV118&lt;0,IF($J118=10,-$E118*$I118/12*0,IF($J118=11,-$E118*$I118/12*1,IF($J118=12,-$E118*$I118/12*2,0)))))</f>
        <v>0</v>
      </c>
      <c r="CA118" s="85">
        <f t="shared" ref="CA118" si="1884">IF(AND(BV118&lt;&gt;0,BV$5=$H118),-$I118*$E118-BV118,IF(CA$5=$H118,-$I118*$E118*(12-$J118+1)/12,0))</f>
        <v>0</v>
      </c>
      <c r="CB118" s="86">
        <f t="shared" ref="CB118" si="1885">IF($H118&lt;&gt;CF$5,0,IF(CF118&lt;0,IF($J118=1,-$E118*$I118/12*3,IF($J118=2,-$E118*$I118/12*2,IF($J118=3,-$E118*$I118/12*1,0)))))+IF(CA$5&lt;&gt;$H118,0,IF(CA118&lt;0,IF($J118=1,-$E118*$I118/12*0,IF($J118=2,-$E118*$I118/12*1,IF($J118=3,-$E118*$I118/12*2,IF($J118&gt;=4,-$E118*$I118/12*3,0))))))</f>
        <v>0</v>
      </c>
      <c r="CC118" s="87">
        <f t="shared" ref="CC118" si="1886">IF($H118&lt;&gt;CF$5,0,IF(CF118&lt;0,IF(OR($J118=1,$J118=2,$J118=3,$J118=4),-$E118*$I118/12*3,IF($J118=5,-$E118*$I118/12*2,IF($J118=6,-$E118*$I118/12*1,0)))))+IF(CA$5&lt;&gt;$H118,0,IF(CA118&lt;0,IF($J118=4,-$E118*$I118/12*0,IF($J118=5,-$E118*$I118/12*1,IF($J118=6,-$E118*$I118/12*2,IF($J118&gt;=7,-$E118*$I118/12*3,0))))))</f>
        <v>0</v>
      </c>
      <c r="CD118" s="87">
        <f t="shared" ref="CD118" si="1887">IF($H118&lt;&gt;CF$5,0,IF(CF118&lt;0,IF(OR($J118=1,$J118=2,$J118=3,$J118=4,$J118=5,$J118=6,$J118=7),-$E118*$I118/12*3,IF($J118=8,-$E118*$I118/12*2,IF($J118=9,-$E118*$I118/12*1,0)))))+IF(CA$5&lt;&gt;$H118,0,IF(CA118&lt;0,IF($J118=7,-$E118*$I118/12*0,IF($J118=8,-$E118*$I118/12*1,IF($J118=9,-$E118*$I118/12*2,IF($J118&gt;=10,-$E118*$I118/12*3,0))))))</f>
        <v>0</v>
      </c>
      <c r="CE118" s="88">
        <f t="shared" ref="CE118" si="1888">IF($H118&lt;&gt;CF$5,0,IF(CF118&lt;0,IF(OR($J118=1,$J118=2,$J118=3,$J118=4,$J118=5,$J118=6,$J118=7,$J118=8,$J118=9,$J118=10),-$E118*$I118/12*3,IF($J118=11,-$E118*$I118/12*2,IF($J118=12,-$E118*$I118/12*1,0)))))+IF(CA$5&lt;&gt;$H118,0,IF(CA118&lt;0,IF($J118=10,-$E118*$I118/12*0,IF($J118=11,-$E118*$I118/12*1,IF($J118=12,-$E118*$I118/12*2,0)))))</f>
        <v>0</v>
      </c>
      <c r="CF118" s="85">
        <f t="shared" ref="CF118" si="1889">IF(AND(CA118&lt;&gt;0,CA$5=$H118),-$I118*$E118-CA118,IF(CF$5=$H118,-$I118*$E118*(12-$J118+1)/12,0))</f>
        <v>0</v>
      </c>
      <c r="CG118" s="86">
        <f t="shared" ref="CG118" si="1890">IF($H118&lt;&gt;CK$5,0,IF(CK118&lt;0,IF($J118=1,-$E118*$I118/12*3,IF($J118=2,-$E118*$I118/12*2,IF($J118=3,-$E118*$I118/12*1,0)))))+IF(CF$5&lt;&gt;$H118,0,IF(CF118&lt;0,IF($J118=1,-$E118*$I118/12*0,IF($J118=2,-$E118*$I118/12*1,IF($J118=3,-$E118*$I118/12*2,IF($J118&gt;=4,-$E118*$I118/12*3,0))))))</f>
        <v>0</v>
      </c>
      <c r="CH118" s="87">
        <f t="shared" ref="CH118" si="1891">IF($H118&lt;&gt;CK$5,0,IF(CK118&lt;0,IF(OR($J118=1,$J118=2,$J118=3,$J118=4),-$E118*$I118/12*3,IF($J118=5,-$E118*$I118/12*2,IF($J118=6,-$E118*$I118/12*1,0)))))+IF(CF$5&lt;&gt;$H118,0,IF(CF118&lt;0,IF($J118=4,-$E118*$I118/12*0,IF($J118=5,-$E118*$I118/12*1,IF($J118=6,-$E118*$I118/12*2,IF($J118&gt;=7,-$E118*$I118/12*3,0))))))</f>
        <v>0</v>
      </c>
      <c r="CI118" s="87">
        <f t="shared" ref="CI118" si="1892">IF($H118&lt;&gt;CK$5,0,IF(CK118&lt;0,IF(OR($J118=1,$J118=2,$J118=3,$J118=4,$J118=5,$J118=6,$J118=7),-$E118*$I118/12*3,IF($J118=8,-$E118*$I118/12*2,IF($J118=9,-$E118*$I118/12*1,0)))))+IF(CF$5&lt;&gt;$H118,0,IF(CF118&lt;0,IF($J118=7,-$E118*$I118/12*0,IF($J118=8,-$E118*$I118/12*1,IF($J118=9,-$E118*$I118/12*2,IF($J118&gt;=10,-$E118*$I118/12*3,0))))))</f>
        <v>0</v>
      </c>
      <c r="CJ118" s="88">
        <f t="shared" ref="CJ118" si="1893">IF($H118&lt;&gt;CK$5,0,IF(CK118&lt;0,IF(OR($J118=1,$J118=2,$J118=3,$J118=4,$J118=5,$J118=6,$J118=7,$J118=8,$J118=9,$J118=10),-$E118*$I118/12*3,IF($J118=11,-$E118*$I118/12*2,IF($J118=12,-$E118*$I118/12*1,0)))))+IF(CF$5&lt;&gt;$H118,0,IF(CF118&lt;0,IF($J118=10,-$E118*$I118/12*0,IF($J118=11,-$E118*$I118/12*1,IF($J118=12,-$E118*$I118/12*2,0)))))</f>
        <v>0</v>
      </c>
      <c r="CK118" s="85">
        <f t="shared" ref="CK118" si="1894">IF(AND(CF118&lt;&gt;0,CF$5=$H118),-$I118*$E118-CF118,IF(CK$5=$H118,-$I118*$E118*(12-$J118+1)/12,0))</f>
        <v>0</v>
      </c>
      <c r="CL118" s="86">
        <f t="shared" ref="CL118" si="1895">IF($H118&lt;&gt;CP$5,0,IF(CP118&lt;0,IF($J118=1,-$E118*$I118/12*3,IF($J118=2,-$E118*$I118/12*2,IF($J118=3,-$E118*$I118/12*1,0)))))+IF(CK$5&lt;&gt;$H118,0,IF(CK118&lt;0,IF($J118=1,-$E118*$I118/12*0,IF($J118=2,-$E118*$I118/12*1,IF($J118=3,-$E118*$I118/12*2,IF($J118&gt;=4,-$E118*$I118/12*3,0))))))</f>
        <v>0</v>
      </c>
      <c r="CM118" s="87">
        <f t="shared" ref="CM118" si="1896">IF($H118&lt;&gt;CP$5,0,IF(CP118&lt;0,IF(OR($J118=1,$J118=2,$J118=3,$J118=4),-$E118*$I118/12*3,IF($J118=5,-$E118*$I118/12*2,IF($J118=6,-$E118*$I118/12*1,0)))))+IF(CK$5&lt;&gt;$H118,0,IF(CK118&lt;0,IF($J118=4,-$E118*$I118/12*0,IF($J118=5,-$E118*$I118/12*1,IF($J118=6,-$E118*$I118/12*2,IF($J118&gt;=7,-$E118*$I118/12*3,0))))))</f>
        <v>0</v>
      </c>
      <c r="CN118" s="87">
        <f t="shared" ref="CN118" si="1897">IF($H118&lt;&gt;CP$5,0,IF(CP118&lt;0,IF(OR($J118=1,$J118=2,$J118=3,$J118=4,$J118=5,$J118=6,$J118=7),-$E118*$I118/12*3,IF($J118=8,-$E118*$I118/12*2,IF($J118=9,-$E118*$I118/12*1,0)))))+IF(CK$5&lt;&gt;$H118,0,IF(CK118&lt;0,IF($J118=7,-$E118*$I118/12*0,IF($J118=8,-$E118*$I118/12*1,IF($J118=9,-$E118*$I118/12*2,IF($J118&gt;=10,-$E118*$I118/12*3,0))))))</f>
        <v>0</v>
      </c>
      <c r="CO118" s="88">
        <f t="shared" ref="CO118" si="1898">IF($H118&lt;&gt;CP$5,0,IF(CP118&lt;0,IF(OR($J118=1,$J118=2,$J118=3,$J118=4,$J118=5,$J118=6,$J118=7,$J118=8,$J118=9,$J118=10),-$E118*$I118/12*3,IF($J118=11,-$E118*$I118/12*2,IF($J118=12,-$E118*$I118/12*1,0)))))+IF(CK$5&lt;&gt;$H118,0,IF(CK118&lt;0,IF($J118=10,-$E118*$I118/12*0,IF($J118=11,-$E118*$I118/12*1,IF($J118=12,-$E118*$I118/12*2,0)))))</f>
        <v>0</v>
      </c>
      <c r="CP118" s="85">
        <f t="shared" ref="CP118" si="1899">IF(AND(CK118&lt;&gt;0,CK$5=$H118),-$I118*$E118-CK118,IF(CP$5=$H118,-$I118*$E118*(12-$J118+1)/12,0))</f>
        <v>0</v>
      </c>
      <c r="CQ118" s="86">
        <f t="shared" ref="CQ118" si="1900">IF($H118&lt;&gt;CU$5,0,IF(CU118&lt;0,IF($J118=1,-$E118*$I118/12*3,IF($J118=2,-$E118*$I118/12*2,IF($J118=3,-$E118*$I118/12*1,0)))))+IF(CP$5&lt;&gt;$H118,0,IF(CP118&lt;0,IF($J118=1,-$E118*$I118/12*0,IF($J118=2,-$E118*$I118/12*1,IF($J118=3,-$E118*$I118/12*2,IF($J118&gt;=4,-$E118*$I118/12*3,0))))))</f>
        <v>0</v>
      </c>
      <c r="CR118" s="87">
        <f t="shared" ref="CR118" si="1901">IF($H118&lt;&gt;CU$5,0,IF(CU118&lt;0,IF(OR($J118=1,$J118=2,$J118=3,$J118=4),-$E118*$I118/12*3,IF($J118=5,-$E118*$I118/12*2,IF($J118=6,-$E118*$I118/12*1,0)))))+IF(CP$5&lt;&gt;$H118,0,IF(CP118&lt;0,IF($J118=4,-$E118*$I118/12*0,IF($J118=5,-$E118*$I118/12*1,IF($J118=6,-$E118*$I118/12*2,IF($J118&gt;=7,-$E118*$I118/12*3,0))))))</f>
        <v>0</v>
      </c>
      <c r="CS118" s="87">
        <f t="shared" ref="CS118" si="1902">IF($H118&lt;&gt;CU$5,0,IF(CU118&lt;0,IF(OR($J118=1,$J118=2,$J118=3,$J118=4,$J118=5,$J118=6,$J118=7),-$E118*$I118/12*3,IF($J118=8,-$E118*$I118/12*2,IF($J118=9,-$E118*$I118/12*1,0)))))+IF(CP$5&lt;&gt;$H118,0,IF(CP118&lt;0,IF($J118=7,-$E118*$I118/12*0,IF($J118=8,-$E118*$I118/12*1,IF($J118=9,-$E118*$I118/12*2,IF($J118&gt;=10,-$E118*$I118/12*3,0))))))</f>
        <v>0</v>
      </c>
      <c r="CT118" s="88">
        <f t="shared" ref="CT118" si="1903">IF($H118&lt;&gt;CU$5,0,IF(CU118&lt;0,IF(OR($J118=1,$J118=2,$J118=3,$J118=4,$J118=5,$J118=6,$J118=7,$J118=8,$J118=9,$J118=10),-$E118*$I118/12*3,IF($J118=11,-$E118*$I118/12*2,IF($J118=12,-$E118*$I118/12*1,0)))))+IF(CP$5&lt;&gt;$H118,0,IF(CP118&lt;0,IF($J118=10,-$E118*$I118/12*0,IF($J118=11,-$E118*$I118/12*1,IF($J118=12,-$E118*$I118/12*2,0)))))</f>
        <v>0</v>
      </c>
      <c r="CU118" s="85">
        <f t="shared" ref="CU118" si="1904">IF(AND(CP118&lt;&gt;0,CP$5=$H118),-$I118*$E118-CP118,IF(CU$5=$H118,-$I118*$E118*(12-$J118+1)/12,0))</f>
        <v>0</v>
      </c>
      <c r="CV118" s="86">
        <f t="shared" ref="CV118" si="1905">IF($H118&lt;&gt;CZ$5,0,IF(CZ118&lt;0,IF($J118=1,-$E118*$I118/12*3,IF($J118=2,-$E118*$I118/12*2,IF($J118=3,-$E118*$I118/12*1,0)))))+IF(CU$5&lt;&gt;$H118,0,IF(CU118&lt;0,IF($J118=1,-$E118*$I118/12*0,IF($J118=2,-$E118*$I118/12*1,IF($J118=3,-$E118*$I118/12*2,IF($J118&gt;=4,-$E118*$I118/12*3,0))))))</f>
        <v>0</v>
      </c>
      <c r="CW118" s="87">
        <f t="shared" ref="CW118" si="1906">IF($H118&lt;&gt;CZ$5,0,IF(CZ118&lt;0,IF(OR($J118=1,$J118=2,$J118=3,$J118=4),-$E118*$I118/12*3,IF($J118=5,-$E118*$I118/12*2,IF($J118=6,-$E118*$I118/12*1,0)))))+IF(CU$5&lt;&gt;$H118,0,IF(CU118&lt;0,IF($J118=4,-$E118*$I118/12*0,IF($J118=5,-$E118*$I118/12*1,IF($J118=6,-$E118*$I118/12*2,IF($J118&gt;=7,-$E118*$I118/12*3,0))))))</f>
        <v>0</v>
      </c>
      <c r="CX118" s="87">
        <f t="shared" ref="CX118" si="1907">IF($H118&lt;&gt;CZ$5,0,IF(CZ118&lt;0,IF(OR($J118=1,$J118=2,$J118=3,$J118=4,$J118=5,$J118=6,$J118=7),-$E118*$I118/12*3,IF($J118=8,-$E118*$I118/12*2,IF($J118=9,-$E118*$I118/12*1,0)))))+IF(CU$5&lt;&gt;$H118,0,IF(CU118&lt;0,IF($J118=7,-$E118*$I118/12*0,IF($J118=8,-$E118*$I118/12*1,IF($J118=9,-$E118*$I118/12*2,IF($J118&gt;=10,-$E118*$I118/12*3,0))))))</f>
        <v>0</v>
      </c>
      <c r="CY118" s="88">
        <f t="shared" ref="CY118" si="1908">IF($H118&lt;&gt;CZ$5,0,IF(CZ118&lt;0,IF(OR($J118=1,$J118=2,$J118=3,$J118=4,$J118=5,$J118=6,$J118=7,$J118=8,$J118=9,$J118=10),-$E118*$I118/12*3,IF($J118=11,-$E118*$I118/12*2,IF($J118=12,-$E118*$I118/12*1,0)))))+IF(CU$5&lt;&gt;$H118,0,IF(CU118&lt;0,IF($J118=10,-$E118*$I118/12*0,IF($J118=11,-$E118*$I118/12*1,IF($J118=12,-$E118*$I118/12*2,0)))))</f>
        <v>0</v>
      </c>
      <c r="CZ118" s="85">
        <f t="shared" ref="CZ118" si="1909">IF(AND(CU118&lt;&gt;0,CU$5=$H118),-$I118*$E118-CU118,IF(CZ$5=$H118,-$I118*$E118*(12-$J118+1)/12,0))</f>
        <v>0</v>
      </c>
    </row>
    <row r="119" spans="1:104" ht="12.75" customHeight="1">
      <c r="A119" s="4"/>
      <c r="B119" s="4"/>
      <c r="C119" s="4"/>
      <c r="D119" s="157"/>
      <c r="E119" s="147"/>
      <c r="F119" s="1511"/>
      <c r="G119" s="1511"/>
      <c r="H119" s="1334"/>
      <c r="I119" s="325"/>
      <c r="J119" s="1334"/>
      <c r="K119" s="80"/>
      <c r="L119" s="81"/>
      <c r="M119" s="82"/>
      <c r="N119" s="83"/>
      <c r="O119" s="83"/>
      <c r="P119" s="84"/>
      <c r="Q119" s="81"/>
      <c r="R119" s="82"/>
      <c r="S119" s="83"/>
      <c r="T119" s="83"/>
      <c r="U119" s="84"/>
      <c r="V119" s="81"/>
      <c r="W119" s="82"/>
      <c r="X119" s="83"/>
      <c r="Y119" s="83"/>
      <c r="Z119" s="84"/>
      <c r="AA119" s="81"/>
      <c r="AB119" s="82"/>
      <c r="AC119" s="83"/>
      <c r="AD119" s="83"/>
      <c r="AE119" s="84"/>
      <c r="AF119" s="81"/>
      <c r="AG119" s="82"/>
      <c r="AH119" s="83"/>
      <c r="AI119" s="83"/>
      <c r="AJ119" s="84"/>
      <c r="AK119" s="81"/>
      <c r="AL119" s="82"/>
      <c r="AM119" s="83"/>
      <c r="AN119" s="83"/>
      <c r="AO119" s="84"/>
      <c r="AP119" s="81"/>
      <c r="AQ119" s="82"/>
      <c r="AR119" s="83"/>
      <c r="AS119" s="83"/>
      <c r="AT119" s="84"/>
      <c r="AU119" s="81"/>
      <c r="AV119" s="82"/>
      <c r="AW119" s="83"/>
      <c r="AX119" s="83"/>
      <c r="AY119" s="84"/>
      <c r="AZ119" s="81"/>
      <c r="BA119" s="82"/>
      <c r="BB119" s="83"/>
      <c r="BC119" s="83"/>
      <c r="BD119" s="84"/>
      <c r="BE119" s="81"/>
      <c r="BF119" s="1877"/>
      <c r="BG119" s="2005"/>
      <c r="BH119" s="86"/>
      <c r="BI119" s="87"/>
      <c r="BJ119" s="87"/>
      <c r="BK119" s="88"/>
      <c r="BL119" s="85"/>
      <c r="BM119" s="86"/>
      <c r="BN119" s="87"/>
      <c r="BO119" s="87"/>
      <c r="BP119" s="88"/>
      <c r="BQ119" s="85"/>
      <c r="BR119" s="86"/>
      <c r="BS119" s="87"/>
      <c r="BT119" s="87"/>
      <c r="BU119" s="88"/>
      <c r="BV119" s="85"/>
      <c r="BW119" s="86"/>
      <c r="BX119" s="87"/>
      <c r="BY119" s="87"/>
      <c r="BZ119" s="88"/>
      <c r="CA119" s="85"/>
      <c r="CB119" s="86"/>
      <c r="CC119" s="87"/>
      <c r="CD119" s="87"/>
      <c r="CE119" s="88"/>
      <c r="CF119" s="85"/>
      <c r="CG119" s="86"/>
      <c r="CH119" s="87"/>
      <c r="CI119" s="87"/>
      <c r="CJ119" s="88"/>
      <c r="CK119" s="85"/>
      <c r="CL119" s="86"/>
      <c r="CM119" s="87"/>
      <c r="CN119" s="87"/>
      <c r="CO119" s="88"/>
      <c r="CP119" s="85"/>
      <c r="CQ119" s="86"/>
      <c r="CR119" s="87"/>
      <c r="CS119" s="87"/>
      <c r="CT119" s="88"/>
      <c r="CU119" s="85"/>
      <c r="CV119" s="86"/>
      <c r="CW119" s="87"/>
      <c r="CX119" s="87"/>
      <c r="CY119" s="88"/>
      <c r="CZ119" s="85"/>
    </row>
    <row r="120" spans="1:104" ht="12.75" customHeight="1">
      <c r="A120" s="4"/>
      <c r="B120" s="4"/>
      <c r="C120" s="1327"/>
      <c r="D120" s="157"/>
      <c r="E120" s="147"/>
      <c r="F120" s="1511"/>
      <c r="G120" s="1511"/>
      <c r="H120" s="1334"/>
      <c r="I120" s="325"/>
      <c r="J120" s="1334"/>
      <c r="K120" s="80"/>
      <c r="L120" s="98"/>
      <c r="M120" s="99"/>
      <c r="N120" s="100"/>
      <c r="O120" s="100"/>
      <c r="P120" s="101"/>
      <c r="Q120" s="98"/>
      <c r="R120" s="99"/>
      <c r="S120" s="100"/>
      <c r="T120" s="100"/>
      <c r="U120" s="101"/>
      <c r="V120" s="98"/>
      <c r="W120" s="99"/>
      <c r="X120" s="100"/>
      <c r="Y120" s="100"/>
      <c r="Z120" s="101"/>
      <c r="AA120" s="98"/>
      <c r="AB120" s="99"/>
      <c r="AC120" s="100"/>
      <c r="AD120" s="100"/>
      <c r="AE120" s="101"/>
      <c r="AF120" s="98"/>
      <c r="AG120" s="99"/>
      <c r="AH120" s="100"/>
      <c r="AI120" s="100"/>
      <c r="AJ120" s="101"/>
      <c r="AK120" s="98"/>
      <c r="AL120" s="99"/>
      <c r="AM120" s="100"/>
      <c r="AN120" s="100"/>
      <c r="AO120" s="101"/>
      <c r="AP120" s="98"/>
      <c r="AQ120" s="99"/>
      <c r="AR120" s="100"/>
      <c r="AS120" s="100"/>
      <c r="AT120" s="101"/>
      <c r="AU120" s="98"/>
      <c r="AV120" s="99"/>
      <c r="AW120" s="100"/>
      <c r="AX120" s="100"/>
      <c r="AY120" s="101"/>
      <c r="AZ120" s="98"/>
      <c r="BA120" s="99"/>
      <c r="BB120" s="100"/>
      <c r="BC120" s="100"/>
      <c r="BD120" s="101"/>
      <c r="BE120" s="98"/>
      <c r="BF120" s="1878"/>
      <c r="BG120" s="2006"/>
      <c r="BH120" s="103"/>
      <c r="BI120" s="104"/>
      <c r="BJ120" s="104"/>
      <c r="BK120" s="105"/>
      <c r="BL120" s="102"/>
      <c r="BM120" s="103"/>
      <c r="BN120" s="104"/>
      <c r="BO120" s="104"/>
      <c r="BP120" s="105"/>
      <c r="BQ120" s="102"/>
      <c r="BR120" s="103"/>
      <c r="BS120" s="104"/>
      <c r="BT120" s="104"/>
      <c r="BU120" s="105"/>
      <c r="BV120" s="102"/>
      <c r="BW120" s="103"/>
      <c r="BX120" s="104"/>
      <c r="BY120" s="104"/>
      <c r="BZ120" s="105"/>
      <c r="CA120" s="102"/>
      <c r="CB120" s="103"/>
      <c r="CC120" s="104"/>
      <c r="CD120" s="104"/>
      <c r="CE120" s="105"/>
      <c r="CF120" s="102"/>
      <c r="CG120" s="103"/>
      <c r="CH120" s="104"/>
      <c r="CI120" s="104"/>
      <c r="CJ120" s="105"/>
      <c r="CK120" s="102"/>
      <c r="CL120" s="103"/>
      <c r="CM120" s="104"/>
      <c r="CN120" s="104"/>
      <c r="CO120" s="105"/>
      <c r="CP120" s="102"/>
      <c r="CQ120" s="103"/>
      <c r="CR120" s="104"/>
      <c r="CS120" s="104"/>
      <c r="CT120" s="105"/>
      <c r="CU120" s="102"/>
      <c r="CV120" s="103"/>
      <c r="CW120" s="104"/>
      <c r="CX120" s="104"/>
      <c r="CY120" s="105"/>
      <c r="CZ120" s="102"/>
    </row>
    <row r="121" spans="1:104" ht="12.75" customHeight="1">
      <c r="A121" s="156"/>
      <c r="B121" s="156"/>
      <c r="C121" s="417" t="s">
        <v>399</v>
      </c>
      <c r="D121" s="417"/>
      <c r="E121" s="424">
        <f>SUM(E107:E120)</f>
        <v>3103.105</v>
      </c>
      <c r="F121" s="425">
        <f>SUM(F107:F120)</f>
        <v>3103.105</v>
      </c>
      <c r="G121" s="425">
        <f>SUM(G107:G120)</f>
        <v>2778.105</v>
      </c>
      <c r="H121" s="420"/>
      <c r="I121" s="421"/>
      <c r="J121" s="395"/>
      <c r="K121" s="423"/>
      <c r="L121" s="111">
        <f t="shared" ref="L121:BE121" si="1910">SUM(L107:L120)</f>
        <v>0</v>
      </c>
      <c r="M121" s="112">
        <f t="shared" si="1910"/>
        <v>0</v>
      </c>
      <c r="N121" s="113">
        <f t="shared" si="1910"/>
        <v>0</v>
      </c>
      <c r="O121" s="113">
        <f t="shared" si="1910"/>
        <v>0</v>
      </c>
      <c r="P121" s="114">
        <f t="shared" si="1910"/>
        <v>0</v>
      </c>
      <c r="Q121" s="111">
        <f t="shared" si="1910"/>
        <v>0</v>
      </c>
      <c r="R121" s="112">
        <f t="shared" si="1910"/>
        <v>0</v>
      </c>
      <c r="S121" s="113">
        <f t="shared" si="1910"/>
        <v>0</v>
      </c>
      <c r="T121" s="113">
        <f t="shared" si="1910"/>
        <v>0</v>
      </c>
      <c r="U121" s="114">
        <f t="shared" si="1910"/>
        <v>0</v>
      </c>
      <c r="V121" s="111">
        <f t="shared" si="1910"/>
        <v>0</v>
      </c>
      <c r="W121" s="112">
        <f t="shared" si="1910"/>
        <v>0</v>
      </c>
      <c r="X121" s="113">
        <f t="shared" si="1910"/>
        <v>0</v>
      </c>
      <c r="Y121" s="113">
        <f t="shared" si="1910"/>
        <v>0</v>
      </c>
      <c r="Z121" s="114">
        <f t="shared" si="1910"/>
        <v>0</v>
      </c>
      <c r="AA121" s="111">
        <f t="shared" si="1910"/>
        <v>0</v>
      </c>
      <c r="AB121" s="112">
        <f t="shared" si="1910"/>
        <v>0</v>
      </c>
      <c r="AC121" s="113">
        <f t="shared" si="1910"/>
        <v>0</v>
      </c>
      <c r="AD121" s="113">
        <f t="shared" si="1910"/>
        <v>0</v>
      </c>
      <c r="AE121" s="114">
        <f t="shared" si="1910"/>
        <v>0</v>
      </c>
      <c r="AF121" s="111">
        <f t="shared" si="1910"/>
        <v>0</v>
      </c>
      <c r="AG121" s="112">
        <f t="shared" si="1910"/>
        <v>0</v>
      </c>
      <c r="AH121" s="113">
        <f t="shared" si="1910"/>
        <v>0</v>
      </c>
      <c r="AI121" s="113">
        <f t="shared" si="1910"/>
        <v>0</v>
      </c>
      <c r="AJ121" s="114">
        <f t="shared" si="1910"/>
        <v>0</v>
      </c>
      <c r="AK121" s="111">
        <f t="shared" si="1910"/>
        <v>0</v>
      </c>
      <c r="AL121" s="112">
        <f t="shared" si="1910"/>
        <v>-500</v>
      </c>
      <c r="AM121" s="113">
        <f t="shared" si="1910"/>
        <v>0</v>
      </c>
      <c r="AN121" s="113">
        <f t="shared" si="1910"/>
        <v>0</v>
      </c>
      <c r="AO121" s="114">
        <f t="shared" si="1910"/>
        <v>0</v>
      </c>
      <c r="AP121" s="111">
        <f t="shared" si="1910"/>
        <v>-500</v>
      </c>
      <c r="AQ121" s="112">
        <f t="shared" si="1910"/>
        <v>0</v>
      </c>
      <c r="AR121" s="113">
        <f t="shared" si="1910"/>
        <v>0</v>
      </c>
      <c r="AS121" s="113">
        <f t="shared" si="1910"/>
        <v>0</v>
      </c>
      <c r="AT121" s="114">
        <f t="shared" si="1910"/>
        <v>0</v>
      </c>
      <c r="AU121" s="111">
        <f t="shared" si="1910"/>
        <v>0</v>
      </c>
      <c r="AV121" s="112">
        <f t="shared" si="1910"/>
        <v>0</v>
      </c>
      <c r="AW121" s="113">
        <f t="shared" si="1910"/>
        <v>0</v>
      </c>
      <c r="AX121" s="113">
        <f t="shared" si="1910"/>
        <v>0</v>
      </c>
      <c r="AY121" s="114">
        <f t="shared" si="1910"/>
        <v>0</v>
      </c>
      <c r="AZ121" s="111">
        <f t="shared" si="1910"/>
        <v>0</v>
      </c>
      <c r="BA121" s="112">
        <f t="shared" si="1910"/>
        <v>0</v>
      </c>
      <c r="BB121" s="113">
        <f t="shared" si="1910"/>
        <v>0</v>
      </c>
      <c r="BC121" s="113">
        <f t="shared" si="1910"/>
        <v>-300</v>
      </c>
      <c r="BD121" s="114">
        <f t="shared" si="1910"/>
        <v>0</v>
      </c>
      <c r="BE121" s="111">
        <f t="shared" si="1910"/>
        <v>-300</v>
      </c>
      <c r="BF121" s="1880"/>
      <c r="BG121" s="2007">
        <f t="shared" ref="BG121:CZ121" si="1911">SUM(BG107:BG120)</f>
        <v>0</v>
      </c>
      <c r="BH121" s="116">
        <f t="shared" si="1911"/>
        <v>0</v>
      </c>
      <c r="BI121" s="117">
        <f t="shared" si="1911"/>
        <v>0</v>
      </c>
      <c r="BJ121" s="117">
        <f t="shared" si="1911"/>
        <v>0</v>
      </c>
      <c r="BK121" s="118">
        <f t="shared" si="1911"/>
        <v>0</v>
      </c>
      <c r="BL121" s="115">
        <f t="shared" si="1911"/>
        <v>0</v>
      </c>
      <c r="BM121" s="116">
        <f t="shared" si="1911"/>
        <v>0</v>
      </c>
      <c r="BN121" s="117">
        <f t="shared" si="1911"/>
        <v>0</v>
      </c>
      <c r="BO121" s="117">
        <f t="shared" si="1911"/>
        <v>0</v>
      </c>
      <c r="BP121" s="118">
        <f t="shared" si="1911"/>
        <v>0</v>
      </c>
      <c r="BQ121" s="115">
        <f t="shared" si="1911"/>
        <v>0</v>
      </c>
      <c r="BR121" s="116">
        <f t="shared" si="1911"/>
        <v>0</v>
      </c>
      <c r="BS121" s="117">
        <f t="shared" si="1911"/>
        <v>0</v>
      </c>
      <c r="BT121" s="117">
        <f t="shared" si="1911"/>
        <v>0</v>
      </c>
      <c r="BU121" s="118">
        <f t="shared" si="1911"/>
        <v>0</v>
      </c>
      <c r="BV121" s="115">
        <f t="shared" si="1911"/>
        <v>0</v>
      </c>
      <c r="BW121" s="116">
        <f t="shared" si="1911"/>
        <v>0</v>
      </c>
      <c r="BX121" s="117">
        <f t="shared" si="1911"/>
        <v>0</v>
      </c>
      <c r="BY121" s="117">
        <f t="shared" si="1911"/>
        <v>0</v>
      </c>
      <c r="BZ121" s="118">
        <f t="shared" si="1911"/>
        <v>0</v>
      </c>
      <c r="CA121" s="115">
        <f t="shared" si="1911"/>
        <v>0</v>
      </c>
      <c r="CB121" s="116">
        <f t="shared" si="1911"/>
        <v>0</v>
      </c>
      <c r="CC121" s="117">
        <f t="shared" si="1911"/>
        <v>0</v>
      </c>
      <c r="CD121" s="117">
        <f t="shared" si="1911"/>
        <v>0</v>
      </c>
      <c r="CE121" s="118">
        <f t="shared" si="1911"/>
        <v>0</v>
      </c>
      <c r="CF121" s="115">
        <f t="shared" si="1911"/>
        <v>0</v>
      </c>
      <c r="CG121" s="116">
        <f t="shared" si="1911"/>
        <v>-2.2291666666666665</v>
      </c>
      <c r="CH121" s="117">
        <f t="shared" si="1911"/>
        <v>-6.6875</v>
      </c>
      <c r="CI121" s="117">
        <f t="shared" si="1911"/>
        <v>-6.6875</v>
      </c>
      <c r="CJ121" s="118">
        <f t="shared" si="1911"/>
        <v>-6.6875</v>
      </c>
      <c r="CK121" s="115">
        <f t="shared" si="1911"/>
        <v>-22.291666666666668</v>
      </c>
      <c r="CL121" s="116">
        <f t="shared" si="1911"/>
        <v>-4.458333333333333</v>
      </c>
      <c r="CM121" s="117">
        <f t="shared" si="1911"/>
        <v>0</v>
      </c>
      <c r="CN121" s="117">
        <f t="shared" si="1911"/>
        <v>0</v>
      </c>
      <c r="CO121" s="118">
        <f t="shared" si="1911"/>
        <v>0</v>
      </c>
      <c r="CP121" s="115">
        <f t="shared" si="1911"/>
        <v>-4.4583333333333321</v>
      </c>
      <c r="CQ121" s="116">
        <f t="shared" si="1911"/>
        <v>0</v>
      </c>
      <c r="CR121" s="117">
        <f t="shared" si="1911"/>
        <v>0</v>
      </c>
      <c r="CS121" s="117">
        <f t="shared" si="1911"/>
        <v>0</v>
      </c>
      <c r="CT121" s="118">
        <f t="shared" si="1911"/>
        <v>0</v>
      </c>
      <c r="CU121" s="115">
        <f t="shared" si="1911"/>
        <v>0</v>
      </c>
      <c r="CV121" s="116">
        <f t="shared" si="1911"/>
        <v>0</v>
      </c>
      <c r="CW121" s="117">
        <f t="shared" si="1911"/>
        <v>0</v>
      </c>
      <c r="CX121" s="117">
        <f t="shared" si="1911"/>
        <v>-0.42500000000000004</v>
      </c>
      <c r="CY121" s="118">
        <f t="shared" si="1911"/>
        <v>-1.2750000000000001</v>
      </c>
      <c r="CZ121" s="115">
        <f t="shared" si="1911"/>
        <v>-1.7000000000000002</v>
      </c>
    </row>
    <row r="122" spans="1:104" ht="12.75" customHeight="1">
      <c r="A122" s="4"/>
      <c r="B122" s="4"/>
      <c r="C122" s="157"/>
      <c r="D122" s="157"/>
      <c r="E122" s="147"/>
      <c r="F122" s="76"/>
      <c r="G122" s="76"/>
      <c r="H122" s="166"/>
      <c r="I122" s="192"/>
      <c r="J122" s="167" t="s">
        <v>68</v>
      </c>
      <c r="K122" s="80"/>
      <c r="L122" s="81"/>
      <c r="M122" s="82"/>
      <c r="N122" s="83"/>
      <c r="O122" s="83"/>
      <c r="P122" s="84"/>
      <c r="Q122" s="81"/>
      <c r="R122" s="82"/>
      <c r="S122" s="83"/>
      <c r="T122" s="83"/>
      <c r="U122" s="84"/>
      <c r="V122" s="81"/>
      <c r="W122" s="82"/>
      <c r="X122" s="83"/>
      <c r="Y122" s="83"/>
      <c r="Z122" s="84"/>
      <c r="AA122" s="81"/>
      <c r="AB122" s="82"/>
      <c r="AC122" s="83"/>
      <c r="AD122" s="83"/>
      <c r="AE122" s="84"/>
      <c r="AF122" s="81"/>
      <c r="AG122" s="82"/>
      <c r="AH122" s="83"/>
      <c r="AI122" s="83"/>
      <c r="AJ122" s="84"/>
      <c r="AK122" s="81"/>
      <c r="AL122" s="82"/>
      <c r="AM122" s="83"/>
      <c r="AN122" s="83"/>
      <c r="AO122" s="84"/>
      <c r="AP122" s="81"/>
      <c r="AQ122" s="82"/>
      <c r="AR122" s="83"/>
      <c r="AS122" s="83"/>
      <c r="AT122" s="84"/>
      <c r="AU122" s="81"/>
      <c r="AV122" s="82"/>
      <c r="AW122" s="83"/>
      <c r="AX122" s="83"/>
      <c r="AY122" s="84"/>
      <c r="AZ122" s="81"/>
      <c r="BA122" s="82"/>
      <c r="BB122" s="83"/>
      <c r="BC122" s="83"/>
      <c r="BD122" s="84"/>
      <c r="BE122" s="81"/>
      <c r="BF122" s="1877"/>
      <c r="BG122" s="2005"/>
      <c r="BH122" s="86"/>
      <c r="BI122" s="87"/>
      <c r="BJ122" s="87"/>
      <c r="BK122" s="88"/>
      <c r="BL122" s="85"/>
      <c r="BM122" s="86"/>
      <c r="BN122" s="87"/>
      <c r="BO122" s="87"/>
      <c r="BP122" s="88"/>
      <c r="BQ122" s="85"/>
      <c r="BR122" s="86"/>
      <c r="BS122" s="87"/>
      <c r="BT122" s="87"/>
      <c r="BU122" s="88"/>
      <c r="BV122" s="85"/>
      <c r="BW122" s="86"/>
      <c r="BX122" s="87"/>
      <c r="BY122" s="87"/>
      <c r="BZ122" s="88"/>
      <c r="CA122" s="85"/>
      <c r="CB122" s="86"/>
      <c r="CC122" s="87"/>
      <c r="CD122" s="87"/>
      <c r="CE122" s="88"/>
      <c r="CF122" s="85"/>
      <c r="CG122" s="86"/>
      <c r="CH122" s="87"/>
      <c r="CI122" s="87"/>
      <c r="CJ122" s="88"/>
      <c r="CK122" s="85"/>
      <c r="CL122" s="86"/>
      <c r="CM122" s="87"/>
      <c r="CN122" s="87"/>
      <c r="CO122" s="88"/>
      <c r="CP122" s="85"/>
      <c r="CQ122" s="86"/>
      <c r="CR122" s="87"/>
      <c r="CS122" s="87"/>
      <c r="CT122" s="88"/>
      <c r="CU122" s="85"/>
      <c r="CV122" s="86"/>
      <c r="CW122" s="87"/>
      <c r="CX122" s="87"/>
      <c r="CY122" s="88"/>
      <c r="CZ122" s="85"/>
    </row>
    <row r="123" spans="1:104" ht="12.75" customHeight="1">
      <c r="A123" s="4"/>
      <c r="B123" s="4"/>
      <c r="C123" s="193" t="s">
        <v>530</v>
      </c>
      <c r="D123" s="168"/>
      <c r="E123" s="75"/>
      <c r="F123" s="76"/>
      <c r="G123" s="76"/>
      <c r="H123" s="77"/>
      <c r="I123" s="78"/>
      <c r="J123" s="79"/>
      <c r="K123" s="80"/>
      <c r="L123" s="81"/>
      <c r="M123" s="82"/>
      <c r="N123" s="83"/>
      <c r="O123" s="83"/>
      <c r="P123" s="84"/>
      <c r="Q123" s="81"/>
      <c r="R123" s="82"/>
      <c r="S123" s="83"/>
      <c r="T123" s="83"/>
      <c r="U123" s="84"/>
      <c r="V123" s="81"/>
      <c r="W123" s="82"/>
      <c r="X123" s="83"/>
      <c r="Y123" s="83"/>
      <c r="Z123" s="84"/>
      <c r="AA123" s="81"/>
      <c r="AB123" s="82"/>
      <c r="AC123" s="83"/>
      <c r="AD123" s="83"/>
      <c r="AE123" s="84"/>
      <c r="AF123" s="81"/>
      <c r="AG123" s="82"/>
      <c r="AH123" s="83"/>
      <c r="AI123" s="83"/>
      <c r="AJ123" s="84"/>
      <c r="AK123" s="81"/>
      <c r="AL123" s="82"/>
      <c r="AM123" s="83"/>
      <c r="AN123" s="83"/>
      <c r="AO123" s="84"/>
      <c r="AP123" s="81"/>
      <c r="AQ123" s="82"/>
      <c r="AR123" s="83"/>
      <c r="AS123" s="83"/>
      <c r="AT123" s="84"/>
      <c r="AU123" s="81"/>
      <c r="AV123" s="82"/>
      <c r="AW123" s="83"/>
      <c r="AX123" s="83"/>
      <c r="AY123" s="84"/>
      <c r="AZ123" s="81"/>
      <c r="BA123" s="82"/>
      <c r="BB123" s="83"/>
      <c r="BC123" s="83"/>
      <c r="BD123" s="84"/>
      <c r="BE123" s="81"/>
      <c r="BF123" s="1884"/>
      <c r="BG123" s="2005"/>
      <c r="BH123" s="86"/>
      <c r="BI123" s="87"/>
      <c r="BJ123" s="87"/>
      <c r="BK123" s="88"/>
      <c r="BL123" s="85"/>
      <c r="BM123" s="86"/>
      <c r="BN123" s="87"/>
      <c r="BO123" s="87"/>
      <c r="BP123" s="88"/>
      <c r="BQ123" s="85"/>
      <c r="BR123" s="86"/>
      <c r="BS123" s="87"/>
      <c r="BT123" s="87"/>
      <c r="BU123" s="88"/>
      <c r="BV123" s="85"/>
      <c r="BW123" s="86"/>
      <c r="BX123" s="87"/>
      <c r="BY123" s="87"/>
      <c r="BZ123" s="88"/>
      <c r="CA123" s="85"/>
      <c r="CB123" s="86"/>
      <c r="CC123" s="87"/>
      <c r="CD123" s="87"/>
      <c r="CE123" s="88"/>
      <c r="CF123" s="85"/>
      <c r="CG123" s="86"/>
      <c r="CH123" s="87"/>
      <c r="CI123" s="87"/>
      <c r="CJ123" s="88"/>
      <c r="CK123" s="85"/>
      <c r="CL123" s="86"/>
      <c r="CM123" s="87"/>
      <c r="CN123" s="87"/>
      <c r="CO123" s="88"/>
      <c r="CP123" s="85"/>
      <c r="CQ123" s="86"/>
      <c r="CR123" s="87"/>
      <c r="CS123" s="87"/>
      <c r="CT123" s="88"/>
      <c r="CU123" s="85"/>
      <c r="CV123" s="86"/>
      <c r="CW123" s="87"/>
      <c r="CX123" s="87"/>
      <c r="CY123" s="88"/>
      <c r="CZ123" s="85"/>
    </row>
    <row r="124" spans="1:104" ht="12.75" customHeight="1">
      <c r="A124" s="4"/>
      <c r="B124" s="4"/>
      <c r="C124" s="4"/>
      <c r="D124" s="157"/>
      <c r="E124" s="148"/>
      <c r="F124" s="148"/>
      <c r="G124" s="148"/>
      <c r="H124" s="2123"/>
      <c r="I124" s="327"/>
      <c r="J124" s="2123"/>
      <c r="K124" s="80"/>
      <c r="L124" s="81"/>
      <c r="M124" s="82"/>
      <c r="N124" s="83"/>
      <c r="O124" s="83"/>
      <c r="P124" s="84"/>
      <c r="Q124" s="81"/>
      <c r="R124" s="82"/>
      <c r="S124" s="83"/>
      <c r="T124" s="83"/>
      <c r="U124" s="84"/>
      <c r="V124" s="81"/>
      <c r="W124" s="82"/>
      <c r="X124" s="83"/>
      <c r="Y124" s="83"/>
      <c r="Z124" s="84"/>
      <c r="AA124" s="81"/>
      <c r="AB124" s="82"/>
      <c r="AC124" s="83"/>
      <c r="AD124" s="83"/>
      <c r="AE124" s="84"/>
      <c r="AF124" s="81"/>
      <c r="AG124" s="82"/>
      <c r="AH124" s="83"/>
      <c r="AI124" s="83"/>
      <c r="AJ124" s="84"/>
      <c r="AK124" s="81"/>
      <c r="AL124" s="82"/>
      <c r="AM124" s="83"/>
      <c r="AN124" s="83"/>
      <c r="AO124" s="84"/>
      <c r="AP124" s="81"/>
      <c r="AQ124" s="82"/>
      <c r="AR124" s="83"/>
      <c r="AS124" s="83"/>
      <c r="AT124" s="84"/>
      <c r="AU124" s="81"/>
      <c r="AV124" s="82"/>
      <c r="AW124" s="83"/>
      <c r="AX124" s="83"/>
      <c r="AY124" s="84"/>
      <c r="AZ124" s="81"/>
      <c r="BA124" s="82"/>
      <c r="BB124" s="83"/>
      <c r="BC124" s="83"/>
      <c r="BD124" s="84"/>
      <c r="BE124" s="81"/>
      <c r="BF124" s="1884"/>
      <c r="BG124" s="2005"/>
      <c r="BH124" s="86"/>
      <c r="BI124" s="87"/>
      <c r="BJ124" s="87"/>
      <c r="BK124" s="88"/>
      <c r="BL124" s="85"/>
      <c r="BM124" s="86"/>
      <c r="BN124" s="87"/>
      <c r="BO124" s="87"/>
      <c r="BP124" s="88"/>
      <c r="BQ124" s="85"/>
      <c r="BR124" s="86"/>
      <c r="BS124" s="87"/>
      <c r="BT124" s="87"/>
      <c r="BU124" s="88"/>
      <c r="BV124" s="85"/>
      <c r="BW124" s="86"/>
      <c r="BX124" s="87"/>
      <c r="BY124" s="87"/>
      <c r="BZ124" s="88"/>
      <c r="CA124" s="85"/>
      <c r="CB124" s="86"/>
      <c r="CC124" s="87"/>
      <c r="CD124" s="87"/>
      <c r="CE124" s="88"/>
      <c r="CF124" s="85"/>
      <c r="CG124" s="86"/>
      <c r="CH124" s="87"/>
      <c r="CI124" s="87"/>
      <c r="CJ124" s="88"/>
      <c r="CK124" s="85"/>
      <c r="CL124" s="86"/>
      <c r="CM124" s="87"/>
      <c r="CN124" s="87"/>
      <c r="CO124" s="88"/>
      <c r="CP124" s="85"/>
      <c r="CQ124" s="86"/>
      <c r="CR124" s="87"/>
      <c r="CS124" s="87"/>
      <c r="CT124" s="88"/>
      <c r="CU124" s="85"/>
      <c r="CV124" s="86"/>
      <c r="CW124" s="87"/>
      <c r="CX124" s="87"/>
      <c r="CY124" s="88"/>
      <c r="CZ124" s="85"/>
    </row>
    <row r="125" spans="1:104" ht="12.75" customHeight="1">
      <c r="A125" s="4"/>
      <c r="B125" s="4"/>
      <c r="C125" s="806" t="s">
        <v>1545</v>
      </c>
      <c r="D125" s="157"/>
      <c r="E125" s="1511">
        <v>325</v>
      </c>
      <c r="F125" s="1511"/>
      <c r="G125" s="1511"/>
      <c r="H125" s="1334">
        <v>2017</v>
      </c>
      <c r="I125" s="325">
        <v>3.6999999999999998E-2</v>
      </c>
      <c r="J125" s="1334">
        <v>9</v>
      </c>
      <c r="K125" s="80"/>
      <c r="L125" s="81">
        <f t="shared" ref="L125:L129" si="1912">IF(L$5=$H125,$E125,0)</f>
        <v>0</v>
      </c>
      <c r="M125" s="82">
        <f t="shared" ref="M125" si="1913">IF(Q125=0,0,IF(Q125&gt;0,IF($J125=3,Q125,IF($J125=2,Q125,IF($J125=1,Q125,0)))))</f>
        <v>0</v>
      </c>
      <c r="N125" s="83">
        <f t="shared" ref="N125" si="1914">IF(Q125=0,0,IF(Q125&gt;0,IF($J125=6,Q125,IF($J125=5,Q125,IF($J125=4,Q125,0)))))</f>
        <v>0</v>
      </c>
      <c r="O125" s="83">
        <f t="shared" ref="O125" si="1915">IF(Q125=0,0,IF(Q125&gt;0,IF($J125=9,Q125,IF($J125=8,Q125,IF($J125=7,Q125,0)))))</f>
        <v>0</v>
      </c>
      <c r="P125" s="84">
        <f t="shared" ref="P125" si="1916">IF(Q125=0,0,IF(Q125&gt;0,IF($J125=12,Q125,IF($J125=11,Q125,IF($J125=10,Q125,0)))))</f>
        <v>0</v>
      </c>
      <c r="Q125" s="81">
        <f t="shared" ref="Q125:Q129" si="1917">IF(Q$5=$H125,$E125,0)</f>
        <v>0</v>
      </c>
      <c r="R125" s="82">
        <f t="shared" ref="R125" si="1918">IF(V125=0,0,IF(V125&gt;0,IF($J125=3,V125,IF($J125=2,V125,IF($J125=1,V125,0)))))</f>
        <v>0</v>
      </c>
      <c r="S125" s="83">
        <f t="shared" ref="S125" si="1919">IF(V125=0,0,IF(V125&gt;0,IF($J125=6,V125,IF($J125=5,V125,IF($J125=4,V125,0)))))</f>
        <v>0</v>
      </c>
      <c r="T125" s="83">
        <f t="shared" ref="T125" si="1920">IF(V125=0,0,IF(V125&gt;0,IF($J125=9,V125,IF($J125=8,V125,IF($J125=7,V125,0)))))</f>
        <v>0</v>
      </c>
      <c r="U125" s="84">
        <f t="shared" ref="U125" si="1921">IF(V125=0,0,IF(V125&gt;0,IF($J125=12,V125,IF($J125=11,V125,IF($J125=10,V125,0)))))</f>
        <v>0</v>
      </c>
      <c r="V125" s="81">
        <f t="shared" ref="V125:V129" si="1922">IF(V$5=$H125,$E125,0)</f>
        <v>0</v>
      </c>
      <c r="W125" s="82">
        <f t="shared" ref="W125" si="1923">IF(AA125=0,0,IF(AA125&gt;0,IF($J125=3,AA125,IF($J125=2,AA125,IF($J125=1,AA125,0)))))</f>
        <v>0</v>
      </c>
      <c r="X125" s="83">
        <f t="shared" ref="X125" si="1924">IF(AA125=0,0,IF(AA125&gt;0,IF($J125=6,AA125,IF($J125=5,AA125,IF($J125=4,AA125,0)))))</f>
        <v>0</v>
      </c>
      <c r="Y125" s="83">
        <f t="shared" ref="Y125" si="1925">IF(AA125=0,0,IF(AA125&gt;0,IF($J125=9,AA125,IF($J125=8,AA125,IF($J125=7,AA125,0)))))</f>
        <v>0</v>
      </c>
      <c r="Z125" s="84">
        <f t="shared" ref="Z125" si="1926">IF(AA125=0,0,IF(AA125&gt;0,IF($J125=12,AA125,IF($J125=11,AA125,IF($J125=10,AA125,0)))))</f>
        <v>0</v>
      </c>
      <c r="AA125" s="81">
        <f t="shared" ref="AA125:AA129" si="1927">IF(AA$5=$H125,$E125,0)</f>
        <v>0</v>
      </c>
      <c r="AB125" s="82">
        <f t="shared" ref="AB125" si="1928">IF(AF125=0,0,IF(AF125&gt;0,IF($J125=3,AF125,IF($J125=2,AF125,IF($J125=1,AF125,0)))))</f>
        <v>0</v>
      </c>
      <c r="AC125" s="83">
        <f t="shared" ref="AC125" si="1929">IF(AF125=0,0,IF(AF125&gt;0,IF($J125=6,AF125,IF($J125=5,AF125,IF($J125=4,AF125,0)))))</f>
        <v>0</v>
      </c>
      <c r="AD125" s="83">
        <f t="shared" ref="AD125" si="1930">IF(AF125=0,0,IF(AF125&gt;0,IF($J125=9,AF125,IF($J125=8,AF125,IF($J125=7,AF125,0)))))</f>
        <v>0</v>
      </c>
      <c r="AE125" s="84">
        <f t="shared" ref="AE125" si="1931">IF(AF125=0,0,IF(AF125&gt;0,IF($J125=12,AF125,IF($J125=11,AF125,IF($J125=10,AF125,0)))))</f>
        <v>0</v>
      </c>
      <c r="AF125" s="81">
        <f t="shared" ref="AF125:AF129" si="1932">IF(AF$5=$H125,$E125,0)</f>
        <v>0</v>
      </c>
      <c r="AG125" s="82">
        <f t="shared" ref="AG125" si="1933">IF(AK125=0,0,IF(AK125&gt;0,IF($J125=3,AK125,IF($J125=2,AK125,IF($J125=1,AK125,0)))))</f>
        <v>0</v>
      </c>
      <c r="AH125" s="83">
        <f t="shared" ref="AH125" si="1934">IF(AK125=0,0,IF(AK125&gt;0,IF($J125=6,AK125,IF($J125=5,AK125,IF($J125=4,AK125,0)))))</f>
        <v>0</v>
      </c>
      <c r="AI125" s="83">
        <f t="shared" ref="AI125" si="1935">IF(AK125=0,0,IF(AK125&gt;0,IF($J125=9,AK125,IF($J125=8,AK125,IF($J125=7,AK125,0)))))</f>
        <v>325</v>
      </c>
      <c r="AJ125" s="84">
        <f t="shared" ref="AJ125" si="1936">IF(AK125=0,0,IF(AK125&gt;0,IF($J125=12,AK125,IF($J125=11,AK125,IF($J125=10,AK125,0)))))</f>
        <v>0</v>
      </c>
      <c r="AK125" s="81">
        <f t="shared" ref="AK125:AK129" si="1937">IF(AK$5=$H125,$E125,0)</f>
        <v>325</v>
      </c>
      <c r="AL125" s="82">
        <f t="shared" ref="AL125" si="1938">IF(AP125=0,0,IF(AP125&gt;0,IF($J125=3,AP125,IF($J125=2,AP125,IF($J125=1,AP125,0)))))</f>
        <v>0</v>
      </c>
      <c r="AM125" s="83">
        <f t="shared" ref="AM125" si="1939">IF(AP125=0,0,IF(AP125&gt;0,IF($J125=6,AP125,IF($J125=5,AP125,IF($J125=4,AP125,0)))))</f>
        <v>0</v>
      </c>
      <c r="AN125" s="83">
        <f t="shared" ref="AN125" si="1940">IF(AP125=0,0,IF(AP125&gt;0,IF($J125=9,AP125,IF($J125=8,AP125,IF($J125=7,AP125,0)))))</f>
        <v>0</v>
      </c>
      <c r="AO125" s="84">
        <f t="shared" ref="AO125" si="1941">IF(AP125=0,0,IF(AP125&gt;0,IF($J125=12,AP125,IF($J125=11,AP125,IF($J125=10,AP125,0)))))</f>
        <v>0</v>
      </c>
      <c r="AP125" s="81">
        <f t="shared" ref="AP125:AP129" si="1942">IF(AP$5=$H125,$E125,0)</f>
        <v>0</v>
      </c>
      <c r="AQ125" s="82">
        <f t="shared" ref="AQ125" si="1943">IF(AU125=0,0,IF(AU125&gt;0,IF($J125=3,AU125,IF($J125=2,AU125,IF($J125=1,AU125,0)))))</f>
        <v>0</v>
      </c>
      <c r="AR125" s="83">
        <f t="shared" ref="AR125" si="1944">IF(AU125=0,0,IF(AU125&gt;0,IF($J125=6,AU125,IF($J125=5,AU125,IF($J125=4,AU125,0)))))</f>
        <v>0</v>
      </c>
      <c r="AS125" s="83">
        <f t="shared" ref="AS125" si="1945">IF(AU125=0,0,IF(AU125&gt;0,IF($J125=9,AU125,IF($J125=8,AU125,IF($J125=7,AU125,0)))))</f>
        <v>0</v>
      </c>
      <c r="AT125" s="84">
        <f t="shared" ref="AT125" si="1946">IF(AU125=0,0,IF(AU125&gt;0,IF($J125=12,AU125,IF($J125=11,AU125,IF($J125=10,AU125,0)))))</f>
        <v>0</v>
      </c>
      <c r="AU125" s="81">
        <f t="shared" ref="AU125:AU129" si="1947">IF(AU$5=$H125,$E125,0)</f>
        <v>0</v>
      </c>
      <c r="AV125" s="82">
        <f t="shared" ref="AV125" si="1948">IF(AZ125=0,0,IF(AZ125&gt;0,IF($J125=3,AZ125,IF($J125=2,AZ125,IF($J125=1,AZ125,0)))))</f>
        <v>0</v>
      </c>
      <c r="AW125" s="83">
        <f t="shared" ref="AW125" si="1949">IF(AZ125=0,0,IF(AZ125&gt;0,IF($J125=6,AZ125,IF($J125=5,AZ125,IF($J125=4,AZ125,0)))))</f>
        <v>0</v>
      </c>
      <c r="AX125" s="83">
        <f t="shared" ref="AX125" si="1950">IF(AZ125=0,0,IF(AZ125&gt;0,IF($J125=9,AZ125,IF($J125=8,AZ125,IF($J125=7,AZ125,0)))))</f>
        <v>0</v>
      </c>
      <c r="AY125" s="84">
        <f t="shared" ref="AY125" si="1951">IF(AZ125=0,0,IF(AZ125&gt;0,IF($J125=12,AZ125,IF($J125=11,AZ125,IF($J125=10,AZ125,0)))))</f>
        <v>0</v>
      </c>
      <c r="AZ125" s="81">
        <f t="shared" ref="AZ125:AZ129" si="1952">IF(AZ$5=$H125,$E125,0)</f>
        <v>0</v>
      </c>
      <c r="BA125" s="82">
        <f t="shared" ref="BA125:BA129" si="1953">IF(BE125=0,0,IF(BE125&gt;0,IF($J125=3,BE125,IF($J125=2,BE125,IF($J125=1,BE125,0)))))</f>
        <v>0</v>
      </c>
      <c r="BB125" s="83">
        <f t="shared" ref="BB125:BB129" si="1954">IF(BE125=0,0,IF(BE125&gt;0,IF($J125=6,BE125,IF($J125=5,BE125,IF($J125=4,BE125,0)))))</f>
        <v>0</v>
      </c>
      <c r="BC125" s="83">
        <f t="shared" ref="BC125:BC129" si="1955">IF(BE125=0,0,IF(BE125&gt;0,IF($J125=9,BE125,IF($J125=8,BE125,IF($J125=7,BE125,0)))))</f>
        <v>0</v>
      </c>
      <c r="BD125" s="84">
        <f t="shared" ref="BD125:BD129" si="1956">IF(BE125=0,0,IF(BE125&gt;0,IF($J125=12,BE125,IF($J125=11,BE125,IF($J125=10,BE125,0)))))</f>
        <v>0</v>
      </c>
      <c r="BE125" s="81">
        <f t="shared" ref="BE125:BE129" si="1957">IF(BE$5=$H125,$E125,0)</f>
        <v>0</v>
      </c>
      <c r="BF125" s="1884"/>
      <c r="BG125" s="2005">
        <f t="shared" ref="BG125" si="1958">IF(AND(BF125&lt;&gt;0,BF$5=$H125),$I125*$E125-BF125,IF(BG$5=$H125,$I125*$E125*(12-$J125+1)/12,0))</f>
        <v>0</v>
      </c>
      <c r="BH125" s="86">
        <f t="shared" ref="BH125" si="1959">IF($H125&lt;&gt;BL$5,0,IF(BL125&gt;0,IF($J125=1,$E125*$I125/12*3,IF($J125=2,$E125*$I125/12*2,IF($J125=3,$E125*$I125/12*1,0)))))+IF(BG$5&lt;&gt;$H125,0,IF(BG125&gt;0,IF($J125=1,$E125*$I125/12*0,IF($J125=2,$E125*$I125/12*1,IF($J125=3,$E125*$I125/12*2,IF($J125&gt;=4,$E125*$I125/12*3,0))))))</f>
        <v>0</v>
      </c>
      <c r="BI125" s="87">
        <f t="shared" ref="BI125" si="1960">IF($H125&lt;&gt;BL$5,0,IF(BL125&gt;0,IF(OR($J125=1,$J125=2,$J125=3,$J125=4),$E125*$I125/12*3,IF($J125=5,$E125*$I125/12*2,IF($J125=6,$E125*$I125/12*1,0)))))+IF(BG$5&lt;&gt;$H125,0,IF(BG125&gt;0,IF($J125=4,$E125*$I125/12*0,IF($J125=5,$E125*$I125/12*1,IF($J125=6,$E125*$I125/12*2,IF($J125&gt;=7,$E125*$I125/12*3,0))))))</f>
        <v>0</v>
      </c>
      <c r="BJ125" s="87">
        <f t="shared" ref="BJ125" si="1961">IF($H125&lt;&gt;BL$5,0,IF(BL125&gt;0,IF(OR($J125=1,$J125=2,$J125=3,$J125=4,$J125=5,$J125=6,$J125=7),$E125*$I125/12*3,IF($J125=8,$E125*$I125/12*2,IF($J125=9,$E125*$I125/12*1,0)))))+IF(BG$5&lt;&gt;$H125,0,IF(BG125&gt;0,IF($J125=7,$E125*$I125/12*0,IF($J125=8,$E125*$I125/12*1,IF($J125=9,$E125*$I125/12*2,IF($J125&gt;=10,$E125*$I125/12*3,0))))))</f>
        <v>0</v>
      </c>
      <c r="BK125" s="88">
        <f t="shared" ref="BK125" si="1962">IF($H125&lt;&gt;BL$5,0,IF(BL125&gt;0,IF(OR($J125=1,$J125=2,$J125=3,$J125=4,$J125=5,$J125=6,$J125=7,$J125=8,$J125=9,$J125=10),$E125*$I125/12*3,IF($J125=11,$E125*$I125/12*2,IF($J125=12,$E125*$I125/12*1,0)))))+IF(BG$5&lt;&gt;$H125,0,IF(BG125&gt;0,IF($J125=10,$E125*$I125/12*0,IF($J125=11,$E125*$I125/12*1,IF($J125=12,$E125*$I125/12*2,0)))))</f>
        <v>0</v>
      </c>
      <c r="BL125" s="85">
        <f t="shared" ref="BL125" si="1963">IF(AND(BG125&lt;&gt;0,BG$5=$H125),$I125*$E125-BG125,IF(BL$5=$H125,$I125*$E125*(12-$J125+1)/12,0))</f>
        <v>0</v>
      </c>
      <c r="BM125" s="86">
        <f t="shared" ref="BM125" si="1964">IF($H125&lt;&gt;BQ$5,0,IF(BQ125&gt;0,IF($J125=1,$E125*$I125/12*3,IF($J125=2,$E125*$I125/12*2,IF($J125=3,$E125*$I125/12*1,0)))))+IF(BL$5&lt;&gt;$H125,0,IF(BL125&gt;0,IF($J125=1,$E125*$I125/12*0,IF($J125=2,$E125*$I125/12*1,IF($J125=3,$E125*$I125/12*2,IF($J125&gt;=4,$E125*$I125/12*3,0))))))</f>
        <v>0</v>
      </c>
      <c r="BN125" s="87">
        <f t="shared" ref="BN125" si="1965">IF($H125&lt;&gt;BQ$5,0,IF(BQ125&gt;0,IF(OR($J125=1,$J125=2,$J125=3,$J125=4),$E125*$I125/12*3,IF($J125=5,$E125*$I125/12*2,IF($J125=6,$E125*$I125/12*1,0)))))+IF(BL$5&lt;&gt;$H125,0,IF(BL125&gt;0,IF($J125=4,$E125*$I125/12*0,IF($J125=5,$E125*$I125/12*1,IF($J125=6,$E125*$I125/12*2,IF($J125&gt;=7,$E125*$I125/12*3,0))))))</f>
        <v>0</v>
      </c>
      <c r="BO125" s="87">
        <f t="shared" ref="BO125" si="1966">IF($H125&lt;&gt;BQ$5,0,IF(BQ125&gt;0,IF(OR($J125=1,$J125=2,$J125=3,$J125=4,$J125=5,$J125=6,$J125=7),$E125*$I125/12*3,IF($J125=8,$E125*$I125/12*2,IF($J125=9,$E125*$I125/12*1,0)))))+IF(BL$5&lt;&gt;$H125,0,IF(BL125&gt;0,IF($J125=7,$E125*$I125/12*0,IF($J125=8,$E125*$I125/12*1,IF($J125=9,$E125*$I125/12*2,IF($J125&gt;=10,$E125*$I125/12*3,0))))))</f>
        <v>0</v>
      </c>
      <c r="BP125" s="88">
        <f t="shared" ref="BP125" si="1967">IF($H125&lt;&gt;BQ$5,0,IF(BQ125&gt;0,IF(OR($J125=1,$J125=2,$J125=3,$J125=4,$J125=5,$J125=6,$J125=7,$J125=8,$J125=9,$J125=10),$E125*$I125/12*3,IF($J125=11,$E125*$I125/12*2,IF($J125=12,$E125*$I125/12*1,0)))))+IF(BL$5&lt;&gt;$H125,0,IF(BL125&gt;0,IF($J125=10,$E125*$I125/12*0,IF($J125=11,$E125*$I125/12*1,IF($J125=12,$E125*$I125/12*2,0)))))</f>
        <v>0</v>
      </c>
      <c r="BQ125" s="85">
        <f t="shared" ref="BQ125" si="1968">IF(AND(BL125&lt;&gt;0,BL$5=$H125),$I125*$E125-BL125,IF(BQ$5=$H125,$I125*$E125*(12-$J125+1)/12,0))</f>
        <v>0</v>
      </c>
      <c r="BR125" s="86">
        <f t="shared" ref="BR125" si="1969">IF($H125&lt;&gt;BV$5,0,IF(BV125&gt;0,IF($J125=1,$E125*$I125/12*3,IF($J125=2,$E125*$I125/12*2,IF($J125=3,$E125*$I125/12*1,0)))))+IF(BQ$5&lt;&gt;$H125,0,IF(BQ125&gt;0,IF($J125=1,$E125*$I125/12*0,IF($J125=2,$E125*$I125/12*1,IF($J125=3,$E125*$I125/12*2,IF($J125&gt;=4,$E125*$I125/12*3,0))))))</f>
        <v>0</v>
      </c>
      <c r="BS125" s="87">
        <f t="shared" ref="BS125" si="1970">IF($H125&lt;&gt;BV$5,0,IF(BV125&gt;0,IF(OR($J125=1,$J125=2,$J125=3,$J125=4),$E125*$I125/12*3,IF($J125=5,$E125*$I125/12*2,IF($J125=6,$E125*$I125/12*1,0)))))+IF(BQ$5&lt;&gt;$H125,0,IF(BQ125&gt;0,IF($J125=4,$E125*$I125/12*0,IF($J125=5,$E125*$I125/12*1,IF($J125=6,$E125*$I125/12*2,IF($J125&gt;=7,$E125*$I125/12*3,0))))))</f>
        <v>0</v>
      </c>
      <c r="BT125" s="87">
        <f t="shared" ref="BT125" si="1971">IF($H125&lt;&gt;BV$5,0,IF(BV125&gt;0,IF(OR($J125=1,$J125=2,$J125=3,$J125=4,$J125=5,$J125=6,$J125=7),$E125*$I125/12*3,IF($J125=8,$E125*$I125/12*2,IF($J125=9,$E125*$I125/12*1,0)))))+IF(BQ$5&lt;&gt;$H125,0,IF(BQ125&gt;0,IF($J125=7,$E125*$I125/12*0,IF($J125=8,$E125*$I125/12*1,IF($J125=9,$E125*$I125/12*2,IF($J125&gt;=10,$E125*$I125/12*3,0))))))</f>
        <v>0</v>
      </c>
      <c r="BU125" s="88">
        <f t="shared" ref="BU125" si="1972">IF($H125&lt;&gt;BV$5,0,IF(BV125&gt;0,IF(OR($J125=1,$J125=2,$J125=3,$J125=4,$J125=5,$J125=6,$J125=7,$J125=8,$J125=9,$J125=10),$E125*$I125/12*3,IF($J125=11,$E125*$I125/12*2,IF($J125=12,$E125*$I125/12*1,0)))))+IF(BQ$5&lt;&gt;$H125,0,IF(BQ125&gt;0,IF($J125=10,$E125*$I125/12*0,IF($J125=11,$E125*$I125/12*1,IF($J125=12,$E125*$I125/12*2,0)))))</f>
        <v>0</v>
      </c>
      <c r="BV125" s="85">
        <f t="shared" ref="BV125" si="1973">IF(AND(BQ125&lt;&gt;0,BQ$5=$H125),$I125*$E125-BQ125,IF(BV$5=$H125,$I125*$E125*(12-$J125+1)/12,0))</f>
        <v>0</v>
      </c>
      <c r="BW125" s="86">
        <f t="shared" ref="BW125" si="1974">IF($H125&lt;&gt;CA$5,0,IF(CA125&gt;0,IF($J125=1,$E125*$I125/12*3,IF($J125=2,$E125*$I125/12*2,IF($J125=3,$E125*$I125/12*1,0)))))+IF(BV$5&lt;&gt;$H125,0,IF(BV125&gt;0,IF($J125=1,$E125*$I125/12*0,IF($J125=2,$E125*$I125/12*1,IF($J125=3,$E125*$I125/12*2,IF($J125&gt;=4,$E125*$I125/12*3,0))))))</f>
        <v>0</v>
      </c>
      <c r="BX125" s="87">
        <f t="shared" ref="BX125" si="1975">IF($H125&lt;&gt;CA$5,0,IF(CA125&gt;0,IF(OR($J125=1,$J125=2,$J125=3,$J125=4),$E125*$I125/12*3,IF($J125=5,$E125*$I125/12*2,IF($J125=6,$E125*$I125/12*1,0)))))+IF(BV$5&lt;&gt;$H125,0,IF(BV125&gt;0,IF($J125=4,$E125*$I125/12*0,IF($J125=5,$E125*$I125/12*1,IF($J125=6,$E125*$I125/12*2,IF($J125&gt;=7,$E125*$I125/12*3,0))))))</f>
        <v>0</v>
      </c>
      <c r="BY125" s="87">
        <f t="shared" ref="BY125" si="1976">IF($H125&lt;&gt;CA$5,0,IF(CA125&gt;0,IF(OR($J125=1,$J125=2,$J125=3,$J125=4,$J125=5,$J125=6,$J125=7),$E125*$I125/12*3,IF($J125=8,$E125*$I125/12*2,IF($J125=9,$E125*$I125/12*1,0)))))+IF(BV$5&lt;&gt;$H125,0,IF(BV125&gt;0,IF($J125=7,$E125*$I125/12*0,IF($J125=8,$E125*$I125/12*1,IF($J125=9,$E125*$I125/12*2,IF($J125&gt;=10,$E125*$I125/12*3,0))))))</f>
        <v>0</v>
      </c>
      <c r="BZ125" s="88">
        <f t="shared" ref="BZ125" si="1977">IF($H125&lt;&gt;CA$5,0,IF(CA125&gt;0,IF(OR($J125=1,$J125=2,$J125=3,$J125=4,$J125=5,$J125=6,$J125=7,$J125=8,$J125=9,$J125=10),$E125*$I125/12*3,IF($J125=11,$E125*$I125/12*2,IF($J125=12,$E125*$I125/12*1,0)))))+IF(BV$5&lt;&gt;$H125,0,IF(BV125&gt;0,IF($J125=10,$E125*$I125/12*0,IF($J125=11,$E125*$I125/12*1,IF($J125=12,$E125*$I125/12*2,0)))))</f>
        <v>0</v>
      </c>
      <c r="CA125" s="85">
        <f t="shared" ref="CA125" si="1978">IF(AND(BV125&lt;&gt;0,BV$5=$H125),$I125*$E125-BV125,IF(CA$5=$H125,$I125*$E125*(12-$J125+1)/12,0))</f>
        <v>0</v>
      </c>
      <c r="CB125" s="86">
        <f t="shared" ref="CB125" si="1979">IF($H125&lt;&gt;CF$5,0,IF(CF125&gt;0,IF($J125=1,$E125*$I125/12*3,IF($J125=2,$E125*$I125/12*2,IF($J125=3,$E125*$I125/12*1,0)))))+IF(CA$5&lt;&gt;$H125,0,IF(CA125&gt;0,IF($J125=1,$E125*$I125/12*0,IF($J125=2,$E125*$I125/12*1,IF($J125=3,$E125*$I125/12*2,IF($J125&gt;=4,$E125*$I125/12*3,0))))))</f>
        <v>0</v>
      </c>
      <c r="CC125" s="87">
        <f t="shared" ref="CC125" si="1980">IF($H125&lt;&gt;CF$5,0,IF(CF125&gt;0,IF(OR($J125=1,$J125=2,$J125=3,$J125=4),$E125*$I125/12*3,IF($J125=5,$E125*$I125/12*2,IF($J125=6,$E125*$I125/12*1,0)))))+IF(CA$5&lt;&gt;$H125,0,IF(CA125&gt;0,IF($J125=4,$E125*$I125/12*0,IF($J125=5,$E125*$I125/12*1,IF($J125=6,$E125*$I125/12*2,IF($J125&gt;=7,$E125*$I125/12*3,0))))))</f>
        <v>0</v>
      </c>
      <c r="CD125" s="87">
        <f t="shared" ref="CD125" si="1981">IF($H125&lt;&gt;CF$5,0,IF(CF125&gt;0,IF(OR($J125=1,$J125=2,$J125=3,$J125=4,$J125=5,$J125=6,$J125=7),$E125*$I125/12*3,IF($J125=8,$E125*$I125/12*2,IF($J125=9,$E125*$I125/12*1,0)))))+IF(CA$5&lt;&gt;$H125,0,IF(CA125&gt;0,IF($J125=7,$E125*$I125/12*0,IF($J125=8,$E125*$I125/12*1,IF($J125=9,$E125*$I125/12*2,IF($J125&gt;=10,$E125*$I125/12*3,0))))))</f>
        <v>1.0020833333333332</v>
      </c>
      <c r="CE125" s="88">
        <f t="shared" ref="CE125" si="1982">IF($H125&lt;&gt;CF$5,0,IF(CF125&gt;0,IF(OR($J125=1,$J125=2,$J125=3,$J125=4,$J125=5,$J125=6,$J125=7,$J125=8,$J125=9,$J125=10),$E125*$I125/12*3,IF($J125=11,$E125*$I125/12*2,IF($J125=12,$E125*$I125/12*1,0)))))+IF(CA$5&lt;&gt;$H125,0,IF(CA125&gt;0,IF($J125=10,$E125*$I125/12*0,IF($J125=11,$E125*$I125/12*1,IF($J125=12,$E125*$I125/12*2,0)))))</f>
        <v>3.0062499999999996</v>
      </c>
      <c r="CF125" s="85">
        <f t="shared" ref="CF125" si="1983">IF(AND(CA125&lt;&gt;0,CA$5=$H125),$I125*$E125-CA125,IF(CF$5=$H125,$I125*$E125*(12-$J125+1)/12,0))</f>
        <v>4.0083333333333329</v>
      </c>
      <c r="CG125" s="86">
        <f t="shared" ref="CG125" si="1984">IF($H125&lt;&gt;CK$5,0,IF(CK125&gt;0,IF($J125=1,$E125*$I125/12*3,IF($J125=2,$E125*$I125/12*2,IF($J125=3,$E125*$I125/12*1,0)))))+IF(CF$5&lt;&gt;$H125,0,IF(CF125&gt;0,IF($J125=1,$E125*$I125/12*0,IF($J125=2,$E125*$I125/12*1,IF($J125=3,$E125*$I125/12*2,IF($J125&gt;=4,$E125*$I125/12*3,0))))))</f>
        <v>3.0062499999999996</v>
      </c>
      <c r="CH125" s="87">
        <f t="shared" ref="CH125" si="1985">IF($H125&lt;&gt;CK$5,0,IF(CK125&gt;0,IF(OR($J125=1,$J125=2,$J125=3,$J125=4),$E125*$I125/12*3,IF($J125=5,$E125*$I125/12*2,IF($J125=6,$E125*$I125/12*1,0)))))+IF(CF$5&lt;&gt;$H125,0,IF(CF125&gt;0,IF($J125=4,$E125*$I125/12*0,IF($J125=5,$E125*$I125/12*1,IF($J125=6,$E125*$I125/12*2,IF($J125&gt;=7,$E125*$I125/12*3,0))))))</f>
        <v>3.0062499999999996</v>
      </c>
      <c r="CI125" s="87">
        <f t="shared" ref="CI125" si="1986">IF($H125&lt;&gt;CK$5,0,IF(CK125&gt;0,IF(OR($J125=1,$J125=2,$J125=3,$J125=4,$J125=5,$J125=6,$J125=7),$E125*$I125/12*3,IF($J125=8,$E125*$I125/12*2,IF($J125=9,$E125*$I125/12*1,0)))))+IF(CF$5&lt;&gt;$H125,0,IF(CF125&gt;0,IF($J125=7,$E125*$I125/12*0,IF($J125=8,$E125*$I125/12*1,IF($J125=9,$E125*$I125/12*2,IF($J125&gt;=10,$E125*$I125/12*3,0))))))</f>
        <v>2.0041666666666664</v>
      </c>
      <c r="CJ125" s="88">
        <f t="shared" ref="CJ125" si="1987">IF($H125&lt;&gt;CK$5,0,IF(CK125&gt;0,IF(OR($J125=1,$J125=2,$J125=3,$J125=4,$J125=5,$J125=6,$J125=7,$J125=8,$J125=9,$J125=10),$E125*$I125/12*3,IF($J125=11,$E125*$I125/12*2,IF($J125=12,$E125*$I125/12*1,0)))))+IF(CF$5&lt;&gt;$H125,0,IF(CF125&gt;0,IF($J125=10,$E125*$I125/12*0,IF($J125=11,$E125*$I125/12*1,IF($J125=12,$E125*$I125/12*2,0)))))</f>
        <v>0</v>
      </c>
      <c r="CK125" s="85">
        <f t="shared" ref="CK125" si="1988">IF(AND(CF125&lt;&gt;0,CF$5=$H125),$I125*$E125-CF125,IF(CK$5=$H125,$I125*$E125*(12-$J125+1)/12,0))</f>
        <v>8.0166666666666657</v>
      </c>
      <c r="CL125" s="86">
        <f t="shared" ref="CL125" si="1989">IF($H125&lt;&gt;CP$5,0,IF(CP125&gt;0,IF($J125=1,$E125*$I125/12*3,IF($J125=2,$E125*$I125/12*2,IF($J125=3,$E125*$I125/12*1,0)))))+IF(CK$5&lt;&gt;$H125,0,IF(CK125&gt;0,IF($J125=1,$E125*$I125/12*0,IF($J125=2,$E125*$I125/12*1,IF($J125=3,$E125*$I125/12*2,IF($J125&gt;=4,$E125*$I125/12*3,0))))))</f>
        <v>0</v>
      </c>
      <c r="CM125" s="87">
        <f t="shared" ref="CM125" si="1990">IF($H125&lt;&gt;CP$5,0,IF(CP125&gt;0,IF(OR($J125=1,$J125=2,$J125=3,$J125=4),$E125*$I125/12*3,IF($J125=5,$E125*$I125/12*2,IF($J125=6,$E125*$I125/12*1,0)))))+IF(CK$5&lt;&gt;$H125,0,IF(CK125&gt;0,IF($J125=4,$E125*$I125/12*0,IF($J125=5,$E125*$I125/12*1,IF($J125=6,$E125*$I125/12*2,IF($J125&gt;=7,$E125*$I125/12*3,0))))))</f>
        <v>0</v>
      </c>
      <c r="CN125" s="87">
        <f t="shared" ref="CN125" si="1991">IF($H125&lt;&gt;CP$5,0,IF(CP125&gt;0,IF(OR($J125=1,$J125=2,$J125=3,$J125=4,$J125=5,$J125=6,$J125=7),$E125*$I125/12*3,IF($J125=8,$E125*$I125/12*2,IF($J125=9,$E125*$I125/12*1,0)))))+IF(CK$5&lt;&gt;$H125,0,IF(CK125&gt;0,IF($J125=7,$E125*$I125/12*0,IF($J125=8,$E125*$I125/12*1,IF($J125=9,$E125*$I125/12*2,IF($J125&gt;=10,$E125*$I125/12*3,0))))))</f>
        <v>0</v>
      </c>
      <c r="CO125" s="88">
        <f t="shared" ref="CO125" si="1992">IF($H125&lt;&gt;CP$5,0,IF(CP125&gt;0,IF(OR($J125=1,$J125=2,$J125=3,$J125=4,$J125=5,$J125=6,$J125=7,$J125=8,$J125=9,$J125=10),$E125*$I125/12*3,IF($J125=11,$E125*$I125/12*2,IF($J125=12,$E125*$I125/12*1,0)))))+IF(CK$5&lt;&gt;$H125,0,IF(CK125&gt;0,IF($J125=10,$E125*$I125/12*0,IF($J125=11,$E125*$I125/12*1,IF($J125=12,$E125*$I125/12*2,0)))))</f>
        <v>0</v>
      </c>
      <c r="CP125" s="85">
        <f t="shared" ref="CP125" si="1993">IF(AND(CK125&lt;&gt;0,CK$5=$H125),$I125*$E125-CK125,IF(CP$5=$H125,$I125*$E125*(12-$J125+1)/12,0))</f>
        <v>0</v>
      </c>
      <c r="CQ125" s="86">
        <f t="shared" ref="CQ125" si="1994">IF($H125&lt;&gt;CU$5,0,IF(CU125&gt;0,IF($J125=1,$E125*$I125/12*3,IF($J125=2,$E125*$I125/12*2,IF($J125=3,$E125*$I125/12*1,0)))))+IF(CP$5&lt;&gt;$H125,0,IF(CP125&gt;0,IF($J125=1,$E125*$I125/12*0,IF($J125=2,$E125*$I125/12*1,IF($J125=3,$E125*$I125/12*2,IF($J125&gt;=4,$E125*$I125/12*3,0))))))</f>
        <v>0</v>
      </c>
      <c r="CR125" s="87">
        <f t="shared" ref="CR125" si="1995">IF($H125&lt;&gt;CU$5,0,IF(CU125&gt;0,IF(OR($J125=1,$J125=2,$J125=3,$J125=4),$E125*$I125/12*3,IF($J125=5,$E125*$I125/12*2,IF($J125=6,$E125*$I125/12*1,0)))))+IF(CP$5&lt;&gt;$H125,0,IF(CP125&gt;0,IF($J125=4,$E125*$I125/12*0,IF($J125=5,$E125*$I125/12*1,IF($J125=6,$E125*$I125/12*2,IF($J125&gt;=7,$E125*$I125/12*3,0))))))</f>
        <v>0</v>
      </c>
      <c r="CS125" s="87">
        <f t="shared" ref="CS125" si="1996">IF($H125&lt;&gt;CU$5,0,IF(CU125&gt;0,IF(OR($J125=1,$J125=2,$J125=3,$J125=4,$J125=5,$J125=6,$J125=7),$E125*$I125/12*3,IF($J125=8,$E125*$I125/12*2,IF($J125=9,$E125*$I125/12*1,0)))))+IF(CP$5&lt;&gt;$H125,0,IF(CP125&gt;0,IF($J125=7,$E125*$I125/12*0,IF($J125=8,$E125*$I125/12*1,IF($J125=9,$E125*$I125/12*2,IF($J125&gt;=10,$E125*$I125/12*3,0))))))</f>
        <v>0</v>
      </c>
      <c r="CT125" s="88">
        <f t="shared" ref="CT125" si="1997">IF($H125&lt;&gt;CU$5,0,IF(CU125&gt;0,IF(OR($J125=1,$J125=2,$J125=3,$J125=4,$J125=5,$J125=6,$J125=7,$J125=8,$J125=9,$J125=10),$E125*$I125/12*3,IF($J125=11,$E125*$I125/12*2,IF($J125=12,$E125*$I125/12*1,0)))))+IF(CP$5&lt;&gt;$H125,0,IF(CP125&gt;0,IF($J125=10,$E125*$I125/12*0,IF($J125=11,$E125*$I125/12*1,IF($J125=12,$E125*$I125/12*2,0)))))</f>
        <v>0</v>
      </c>
      <c r="CU125" s="85">
        <f t="shared" ref="CU125" si="1998">IF(AND(CP125&lt;&gt;0,CP$5=$H125),$I125*$E125-CP125,IF(CU$5=$H125,$I125*$E125*(12-$J125+1)/12,0))</f>
        <v>0</v>
      </c>
      <c r="CV125" s="86">
        <f t="shared" ref="CV125:CV129" si="1999">IF($H125&lt;&gt;CZ$5,0,IF(CZ125&gt;0,IF($J125=1,$E125*$I125/12*3,IF($J125=2,$E125*$I125/12*2,IF($J125=3,$E125*$I125/12*1,0)))))+IF(CU$5&lt;&gt;$H125,0,IF(CU125&gt;0,IF($J125=1,$E125*$I125/12*0,IF($J125=2,$E125*$I125/12*1,IF($J125=3,$E125*$I125/12*2,IF($J125&gt;=4,$E125*$I125/12*3,0))))))</f>
        <v>0</v>
      </c>
      <c r="CW125" s="87">
        <f t="shared" ref="CW125:CW129" si="2000">IF($H125&lt;&gt;CZ$5,0,IF(CZ125&gt;0,IF(OR($J125=1,$J125=2,$J125=3,$J125=4),$E125*$I125/12*3,IF($J125=5,$E125*$I125/12*2,IF($J125=6,$E125*$I125/12*1,0)))))+IF(CU$5&lt;&gt;$H125,0,IF(CU125&gt;0,IF($J125=4,$E125*$I125/12*0,IF($J125=5,$E125*$I125/12*1,IF($J125=6,$E125*$I125/12*2,IF($J125&gt;=7,$E125*$I125/12*3,0))))))</f>
        <v>0</v>
      </c>
      <c r="CX125" s="87">
        <f t="shared" ref="CX125:CX129" si="2001">IF($H125&lt;&gt;CZ$5,0,IF(CZ125&gt;0,IF(OR($J125=1,$J125=2,$J125=3,$J125=4,$J125=5,$J125=6,$J125=7),$E125*$I125/12*3,IF($J125=8,$E125*$I125/12*2,IF($J125=9,$E125*$I125/12*1,0)))))+IF(CU$5&lt;&gt;$H125,0,IF(CU125&gt;0,IF($J125=7,$E125*$I125/12*0,IF($J125=8,$E125*$I125/12*1,IF($J125=9,$E125*$I125/12*2,IF($J125&gt;=10,$E125*$I125/12*3,0))))))</f>
        <v>0</v>
      </c>
      <c r="CY125" s="88">
        <f t="shared" ref="CY125:CY129" si="2002">IF($H125&lt;&gt;CZ$5,0,IF(CZ125&gt;0,IF(OR($J125=1,$J125=2,$J125=3,$J125=4,$J125=5,$J125=6,$J125=7,$J125=8,$J125=9,$J125=10),$E125*$I125/12*3,IF($J125=11,$E125*$I125/12*2,IF($J125=12,$E125*$I125/12*1,0)))))+IF(CU$5&lt;&gt;$H125,0,IF(CU125&gt;0,IF($J125=10,$E125*$I125/12*0,IF($J125=11,$E125*$I125/12*1,IF($J125=12,$E125*$I125/12*2,0)))))</f>
        <v>0</v>
      </c>
      <c r="CZ125" s="85">
        <f t="shared" ref="CZ125:CZ129" si="2003">IF(AND(CU125&lt;&gt;0,CU$5=$H125),$I125*$E125-CU125,IF(CZ$5=$H125,$I125*$E125*(12-$J125+1)/12,0))</f>
        <v>0</v>
      </c>
    </row>
    <row r="126" spans="1:104" ht="12.75" customHeight="1">
      <c r="A126" s="4"/>
      <c r="B126" s="4"/>
      <c r="C126" s="1514" t="s">
        <v>934</v>
      </c>
      <c r="D126" s="146"/>
      <c r="E126" s="147">
        <f>+PECO!BB180</f>
        <v>575</v>
      </c>
      <c r="F126" s="326"/>
      <c r="G126" s="326"/>
      <c r="H126" s="171">
        <v>2018</v>
      </c>
      <c r="I126" s="172">
        <v>0.05</v>
      </c>
      <c r="J126" s="171">
        <v>7</v>
      </c>
      <c r="K126" s="80"/>
      <c r="L126" s="81">
        <f t="shared" si="1912"/>
        <v>0</v>
      </c>
      <c r="M126" s="82">
        <f t="shared" ref="M126:M129" si="2004">IF(Q126=0,0,IF(Q126&gt;0,IF($J126=3,Q126,IF($J126=2,Q126,IF($J126=1,Q126,0)))))</f>
        <v>0</v>
      </c>
      <c r="N126" s="83">
        <f t="shared" ref="N126:N129" si="2005">IF(Q126=0,0,IF(Q126&gt;0,IF($J126=6,Q126,IF($J126=5,Q126,IF($J126=4,Q126,0)))))</f>
        <v>0</v>
      </c>
      <c r="O126" s="83">
        <f t="shared" ref="O126:O129" si="2006">IF(Q126=0,0,IF(Q126&gt;0,IF($J126=9,Q126,IF($J126=8,Q126,IF($J126=7,Q126,0)))))</f>
        <v>0</v>
      </c>
      <c r="P126" s="84">
        <f t="shared" ref="P126:P129" si="2007">IF(Q126=0,0,IF(Q126&gt;0,IF($J126=12,Q126,IF($J126=11,Q126,IF($J126=10,Q126,0)))))</f>
        <v>0</v>
      </c>
      <c r="Q126" s="81">
        <f t="shared" si="1917"/>
        <v>0</v>
      </c>
      <c r="R126" s="82">
        <f t="shared" ref="R126:R129" si="2008">IF(V126=0,0,IF(V126&gt;0,IF($J126=3,V126,IF($J126=2,V126,IF($J126=1,V126,0)))))</f>
        <v>0</v>
      </c>
      <c r="S126" s="83">
        <f t="shared" ref="S126:S129" si="2009">IF(V126=0,0,IF(V126&gt;0,IF($J126=6,V126,IF($J126=5,V126,IF($J126=4,V126,0)))))</f>
        <v>0</v>
      </c>
      <c r="T126" s="83">
        <f t="shared" ref="T126:T129" si="2010">IF(V126=0,0,IF(V126&gt;0,IF($J126=9,V126,IF($J126=8,V126,IF($J126=7,V126,0)))))</f>
        <v>0</v>
      </c>
      <c r="U126" s="84">
        <f t="shared" ref="U126:U129" si="2011">IF(V126=0,0,IF(V126&gt;0,IF($J126=12,V126,IF($J126=11,V126,IF($J126=10,V126,0)))))</f>
        <v>0</v>
      </c>
      <c r="V126" s="81">
        <f t="shared" si="1922"/>
        <v>0</v>
      </c>
      <c r="W126" s="82">
        <f t="shared" ref="W126:W129" si="2012">IF(AA126=0,0,IF(AA126&gt;0,IF($J126=3,AA126,IF($J126=2,AA126,IF($J126=1,AA126,0)))))</f>
        <v>0</v>
      </c>
      <c r="X126" s="83">
        <f t="shared" ref="X126:X129" si="2013">IF(AA126=0,0,IF(AA126&gt;0,IF($J126=6,AA126,IF($J126=5,AA126,IF($J126=4,AA126,0)))))</f>
        <v>0</v>
      </c>
      <c r="Y126" s="83">
        <f t="shared" ref="Y126:Y129" si="2014">IF(AA126=0,0,IF(AA126&gt;0,IF($J126=9,AA126,IF($J126=8,AA126,IF($J126=7,AA126,0)))))</f>
        <v>0</v>
      </c>
      <c r="Z126" s="84">
        <f t="shared" ref="Z126:Z129" si="2015">IF(AA126=0,0,IF(AA126&gt;0,IF($J126=12,AA126,IF($J126=11,AA126,IF($J126=10,AA126,0)))))</f>
        <v>0</v>
      </c>
      <c r="AA126" s="81">
        <f t="shared" si="1927"/>
        <v>0</v>
      </c>
      <c r="AB126" s="82">
        <f t="shared" ref="AB126:AB129" si="2016">IF(AF126=0,0,IF(AF126&gt;0,IF($J126=3,AF126,IF($J126=2,AF126,IF($J126=1,AF126,0)))))</f>
        <v>0</v>
      </c>
      <c r="AC126" s="83">
        <f t="shared" ref="AC126:AC129" si="2017">IF(AF126=0,0,IF(AF126&gt;0,IF($J126=6,AF126,IF($J126=5,AF126,IF($J126=4,AF126,0)))))</f>
        <v>0</v>
      </c>
      <c r="AD126" s="83">
        <f t="shared" ref="AD126:AD129" si="2018">IF(AF126=0,0,IF(AF126&gt;0,IF($J126=9,AF126,IF($J126=8,AF126,IF($J126=7,AF126,0)))))</f>
        <v>0</v>
      </c>
      <c r="AE126" s="84">
        <f t="shared" ref="AE126:AE129" si="2019">IF(AF126=0,0,IF(AF126&gt;0,IF($J126=12,AF126,IF($J126=11,AF126,IF($J126=10,AF126,0)))))</f>
        <v>0</v>
      </c>
      <c r="AF126" s="81">
        <f t="shared" si="1932"/>
        <v>0</v>
      </c>
      <c r="AG126" s="82">
        <f t="shared" ref="AG126:AG129" si="2020">IF(AK126=0,0,IF(AK126&gt;0,IF($J126=3,AK126,IF($J126=2,AK126,IF($J126=1,AK126,0)))))</f>
        <v>0</v>
      </c>
      <c r="AH126" s="83">
        <f t="shared" ref="AH126:AH129" si="2021">IF(AK126=0,0,IF(AK126&gt;0,IF($J126=6,AK126,IF($J126=5,AK126,IF($J126=4,AK126,0)))))</f>
        <v>0</v>
      </c>
      <c r="AI126" s="83">
        <f t="shared" ref="AI126:AI129" si="2022">IF(AK126=0,0,IF(AK126&gt;0,IF($J126=9,AK126,IF($J126=8,AK126,IF($J126=7,AK126,0)))))</f>
        <v>0</v>
      </c>
      <c r="AJ126" s="84">
        <f t="shared" ref="AJ126:AJ129" si="2023">IF(AK126=0,0,IF(AK126&gt;0,IF($J126=12,AK126,IF($J126=11,AK126,IF($J126=10,AK126,0)))))</f>
        <v>0</v>
      </c>
      <c r="AK126" s="81">
        <f t="shared" si="1937"/>
        <v>0</v>
      </c>
      <c r="AL126" s="82">
        <f t="shared" ref="AL126:AL129" si="2024">IF(AP126=0,0,IF(AP126&gt;0,IF($J126=3,AP126,IF($J126=2,AP126,IF($J126=1,AP126,0)))))</f>
        <v>0</v>
      </c>
      <c r="AM126" s="83">
        <f t="shared" ref="AM126:AM129" si="2025">IF(AP126=0,0,IF(AP126&gt;0,IF($J126=6,AP126,IF($J126=5,AP126,IF($J126=4,AP126,0)))))</f>
        <v>0</v>
      </c>
      <c r="AN126" s="83">
        <f t="shared" ref="AN126:AN129" si="2026">IF(AP126=0,0,IF(AP126&gt;0,IF($J126=9,AP126,IF($J126=8,AP126,IF($J126=7,AP126,0)))))</f>
        <v>575</v>
      </c>
      <c r="AO126" s="84">
        <f t="shared" ref="AO126:AO129" si="2027">IF(AP126=0,0,IF(AP126&gt;0,IF($J126=12,AP126,IF($J126=11,AP126,IF($J126=10,AP126,0)))))</f>
        <v>0</v>
      </c>
      <c r="AP126" s="81">
        <f t="shared" si="1942"/>
        <v>575</v>
      </c>
      <c r="AQ126" s="82">
        <f t="shared" ref="AQ126:AQ129" si="2028">IF(AU126=0,0,IF(AU126&gt;0,IF($J126=3,AU126,IF($J126=2,AU126,IF($J126=1,AU126,0)))))</f>
        <v>0</v>
      </c>
      <c r="AR126" s="83">
        <f t="shared" ref="AR126:AR129" si="2029">IF(AU126=0,0,IF(AU126&gt;0,IF($J126=6,AU126,IF($J126=5,AU126,IF($J126=4,AU126,0)))))</f>
        <v>0</v>
      </c>
      <c r="AS126" s="83">
        <f t="shared" ref="AS126:AS129" si="2030">IF(AU126=0,0,IF(AU126&gt;0,IF($J126=9,AU126,IF($J126=8,AU126,IF($J126=7,AU126,0)))))</f>
        <v>0</v>
      </c>
      <c r="AT126" s="84">
        <f t="shared" ref="AT126:AT129" si="2031">IF(AU126=0,0,IF(AU126&gt;0,IF($J126=12,AU126,IF($J126=11,AU126,IF($J126=10,AU126,0)))))</f>
        <v>0</v>
      </c>
      <c r="AU126" s="81">
        <f t="shared" si="1947"/>
        <v>0</v>
      </c>
      <c r="AV126" s="82">
        <f t="shared" ref="AV126:AV129" si="2032">IF(AZ126=0,0,IF(AZ126&gt;0,IF($J126=3,AZ126,IF($J126=2,AZ126,IF($J126=1,AZ126,0)))))</f>
        <v>0</v>
      </c>
      <c r="AW126" s="83">
        <f t="shared" ref="AW126:AW129" si="2033">IF(AZ126=0,0,IF(AZ126&gt;0,IF($J126=6,AZ126,IF($J126=5,AZ126,IF($J126=4,AZ126,0)))))</f>
        <v>0</v>
      </c>
      <c r="AX126" s="83">
        <f t="shared" ref="AX126:AX129" si="2034">IF(AZ126=0,0,IF(AZ126&gt;0,IF($J126=9,AZ126,IF($J126=8,AZ126,IF($J126=7,AZ126,0)))))</f>
        <v>0</v>
      </c>
      <c r="AY126" s="84">
        <f t="shared" ref="AY126:AY129" si="2035">IF(AZ126=0,0,IF(AZ126&gt;0,IF($J126=12,AZ126,IF($J126=11,AZ126,IF($J126=10,AZ126,0)))))</f>
        <v>0</v>
      </c>
      <c r="AZ126" s="81">
        <f t="shared" si="1952"/>
        <v>0</v>
      </c>
      <c r="BA126" s="82">
        <f t="shared" si="1953"/>
        <v>0</v>
      </c>
      <c r="BB126" s="83">
        <f t="shared" si="1954"/>
        <v>0</v>
      </c>
      <c r="BC126" s="83">
        <f t="shared" si="1955"/>
        <v>0</v>
      </c>
      <c r="BD126" s="84">
        <f t="shared" si="1956"/>
        <v>0</v>
      </c>
      <c r="BE126" s="81">
        <f t="shared" si="1957"/>
        <v>0</v>
      </c>
      <c r="BF126" s="1884"/>
      <c r="BG126" s="2005">
        <f t="shared" ref="BG126:BG129" si="2036">IF(AND(BF126&lt;&gt;0,BF$5=$H126),$I126*$E126-BF126,IF(BG$5=$H126,$I126*$E126*(12-$J126+1)/12,0))</f>
        <v>0</v>
      </c>
      <c r="BH126" s="86">
        <f t="shared" ref="BH126:BH129" si="2037">IF($H126&lt;&gt;BL$5,0,IF(BL126&gt;0,IF($J126=1,$E126*$I126/12*3,IF($J126=2,$E126*$I126/12*2,IF($J126=3,$E126*$I126/12*1,0)))))+IF(BG$5&lt;&gt;$H126,0,IF(BG126&gt;0,IF($J126=1,$E126*$I126/12*0,IF($J126=2,$E126*$I126/12*1,IF($J126=3,$E126*$I126/12*2,IF($J126&gt;=4,$E126*$I126/12*3,0))))))</f>
        <v>0</v>
      </c>
      <c r="BI126" s="87">
        <f t="shared" ref="BI126:BI129" si="2038">IF($H126&lt;&gt;BL$5,0,IF(BL126&gt;0,IF(OR($J126=1,$J126=2,$J126=3,$J126=4),$E126*$I126/12*3,IF($J126=5,$E126*$I126/12*2,IF($J126=6,$E126*$I126/12*1,0)))))+IF(BG$5&lt;&gt;$H126,0,IF(BG126&gt;0,IF($J126=4,$E126*$I126/12*0,IF($J126=5,$E126*$I126/12*1,IF($J126=6,$E126*$I126/12*2,IF($J126&gt;=7,$E126*$I126/12*3,0))))))</f>
        <v>0</v>
      </c>
      <c r="BJ126" s="87">
        <f t="shared" ref="BJ126:BJ129" si="2039">IF($H126&lt;&gt;BL$5,0,IF(BL126&gt;0,IF(OR($J126=1,$J126=2,$J126=3,$J126=4,$J126=5,$J126=6,$J126=7),$E126*$I126/12*3,IF($J126=8,$E126*$I126/12*2,IF($J126=9,$E126*$I126/12*1,0)))))+IF(BG$5&lt;&gt;$H126,0,IF(BG126&gt;0,IF($J126=7,$E126*$I126/12*0,IF($J126=8,$E126*$I126/12*1,IF($J126=9,$E126*$I126/12*2,IF($J126&gt;=10,$E126*$I126/12*3,0))))))</f>
        <v>0</v>
      </c>
      <c r="BK126" s="88">
        <f t="shared" ref="BK126:BK129" si="2040">IF($H126&lt;&gt;BL$5,0,IF(BL126&gt;0,IF(OR($J126=1,$J126=2,$J126=3,$J126=4,$J126=5,$J126=6,$J126=7,$J126=8,$J126=9,$J126=10),$E126*$I126/12*3,IF($J126=11,$E126*$I126/12*2,IF($J126=12,$E126*$I126/12*1,0)))))+IF(BG$5&lt;&gt;$H126,0,IF(BG126&gt;0,IF($J126=10,$E126*$I126/12*0,IF($J126=11,$E126*$I126/12*1,IF($J126=12,$E126*$I126/12*2,0)))))</f>
        <v>0</v>
      </c>
      <c r="BL126" s="85">
        <f t="shared" ref="BL126:BL129" si="2041">IF(AND(BG126&lt;&gt;0,BG$5=$H126),$I126*$E126-BG126,IF(BL$5=$H126,$I126*$E126*(12-$J126+1)/12,0))</f>
        <v>0</v>
      </c>
      <c r="BM126" s="86">
        <f t="shared" ref="BM126:BM129" si="2042">IF($H126&lt;&gt;BQ$5,0,IF(BQ126&gt;0,IF($J126=1,$E126*$I126/12*3,IF($J126=2,$E126*$I126/12*2,IF($J126=3,$E126*$I126/12*1,0)))))+IF(BL$5&lt;&gt;$H126,0,IF(BL126&gt;0,IF($J126=1,$E126*$I126/12*0,IF($J126=2,$E126*$I126/12*1,IF($J126=3,$E126*$I126/12*2,IF($J126&gt;=4,$E126*$I126/12*3,0))))))</f>
        <v>0</v>
      </c>
      <c r="BN126" s="87">
        <f t="shared" ref="BN126:BN129" si="2043">IF($H126&lt;&gt;BQ$5,0,IF(BQ126&gt;0,IF(OR($J126=1,$J126=2,$J126=3,$J126=4),$E126*$I126/12*3,IF($J126=5,$E126*$I126/12*2,IF($J126=6,$E126*$I126/12*1,0)))))+IF(BL$5&lt;&gt;$H126,0,IF(BL126&gt;0,IF($J126=4,$E126*$I126/12*0,IF($J126=5,$E126*$I126/12*1,IF($J126=6,$E126*$I126/12*2,IF($J126&gt;=7,$E126*$I126/12*3,0))))))</f>
        <v>0</v>
      </c>
      <c r="BO126" s="87">
        <f t="shared" ref="BO126:BO129" si="2044">IF($H126&lt;&gt;BQ$5,0,IF(BQ126&gt;0,IF(OR($J126=1,$J126=2,$J126=3,$J126=4,$J126=5,$J126=6,$J126=7),$E126*$I126/12*3,IF($J126=8,$E126*$I126/12*2,IF($J126=9,$E126*$I126/12*1,0)))))+IF(BL$5&lt;&gt;$H126,0,IF(BL126&gt;0,IF($J126=7,$E126*$I126/12*0,IF($J126=8,$E126*$I126/12*1,IF($J126=9,$E126*$I126/12*2,IF($J126&gt;=10,$E126*$I126/12*3,0))))))</f>
        <v>0</v>
      </c>
      <c r="BP126" s="88">
        <f t="shared" ref="BP126:BP129" si="2045">IF($H126&lt;&gt;BQ$5,0,IF(BQ126&gt;0,IF(OR($J126=1,$J126=2,$J126=3,$J126=4,$J126=5,$J126=6,$J126=7,$J126=8,$J126=9,$J126=10),$E126*$I126/12*3,IF($J126=11,$E126*$I126/12*2,IF($J126=12,$E126*$I126/12*1,0)))))+IF(BL$5&lt;&gt;$H126,0,IF(BL126&gt;0,IF($J126=10,$E126*$I126/12*0,IF($J126=11,$E126*$I126/12*1,IF($J126=12,$E126*$I126/12*2,0)))))</f>
        <v>0</v>
      </c>
      <c r="BQ126" s="85">
        <f t="shared" ref="BQ126:BQ129" si="2046">IF(AND(BL126&lt;&gt;0,BL$5=$H126),$I126*$E126-BL126,IF(BQ$5=$H126,$I126*$E126*(12-$J126+1)/12,0))</f>
        <v>0</v>
      </c>
      <c r="BR126" s="86">
        <f t="shared" ref="BR126:BR129" si="2047">IF($H126&lt;&gt;BV$5,0,IF(BV126&gt;0,IF($J126=1,$E126*$I126/12*3,IF($J126=2,$E126*$I126/12*2,IF($J126=3,$E126*$I126/12*1,0)))))+IF(BQ$5&lt;&gt;$H126,0,IF(BQ126&gt;0,IF($J126=1,$E126*$I126/12*0,IF($J126=2,$E126*$I126/12*1,IF($J126=3,$E126*$I126/12*2,IF($J126&gt;=4,$E126*$I126/12*3,0))))))</f>
        <v>0</v>
      </c>
      <c r="BS126" s="87">
        <f t="shared" ref="BS126:BS129" si="2048">IF($H126&lt;&gt;BV$5,0,IF(BV126&gt;0,IF(OR($J126=1,$J126=2,$J126=3,$J126=4),$E126*$I126/12*3,IF($J126=5,$E126*$I126/12*2,IF($J126=6,$E126*$I126/12*1,0)))))+IF(BQ$5&lt;&gt;$H126,0,IF(BQ126&gt;0,IF($J126=4,$E126*$I126/12*0,IF($J126=5,$E126*$I126/12*1,IF($J126=6,$E126*$I126/12*2,IF($J126&gt;=7,$E126*$I126/12*3,0))))))</f>
        <v>0</v>
      </c>
      <c r="BT126" s="87">
        <f t="shared" ref="BT126:BT129" si="2049">IF($H126&lt;&gt;BV$5,0,IF(BV126&gt;0,IF(OR($J126=1,$J126=2,$J126=3,$J126=4,$J126=5,$J126=6,$J126=7),$E126*$I126/12*3,IF($J126=8,$E126*$I126/12*2,IF($J126=9,$E126*$I126/12*1,0)))))+IF(BQ$5&lt;&gt;$H126,0,IF(BQ126&gt;0,IF($J126=7,$E126*$I126/12*0,IF($J126=8,$E126*$I126/12*1,IF($J126=9,$E126*$I126/12*2,IF($J126&gt;=10,$E126*$I126/12*3,0))))))</f>
        <v>0</v>
      </c>
      <c r="BU126" s="88">
        <f t="shared" ref="BU126:BU129" si="2050">IF($H126&lt;&gt;BV$5,0,IF(BV126&gt;0,IF(OR($J126=1,$J126=2,$J126=3,$J126=4,$J126=5,$J126=6,$J126=7,$J126=8,$J126=9,$J126=10),$E126*$I126/12*3,IF($J126=11,$E126*$I126/12*2,IF($J126=12,$E126*$I126/12*1,0)))))+IF(BQ$5&lt;&gt;$H126,0,IF(BQ126&gt;0,IF($J126=10,$E126*$I126/12*0,IF($J126=11,$E126*$I126/12*1,IF($J126=12,$E126*$I126/12*2,0)))))</f>
        <v>0</v>
      </c>
      <c r="BV126" s="85">
        <f t="shared" ref="BV126:BV129" si="2051">IF(AND(BQ126&lt;&gt;0,BQ$5=$H126),$I126*$E126-BQ126,IF(BV$5=$H126,$I126*$E126*(12-$J126+1)/12,0))</f>
        <v>0</v>
      </c>
      <c r="BW126" s="86">
        <f t="shared" ref="BW126:BW129" si="2052">IF($H126&lt;&gt;CA$5,0,IF(CA126&gt;0,IF($J126=1,$E126*$I126/12*3,IF($J126=2,$E126*$I126/12*2,IF($J126=3,$E126*$I126/12*1,0)))))+IF(BV$5&lt;&gt;$H126,0,IF(BV126&gt;0,IF($J126=1,$E126*$I126/12*0,IF($J126=2,$E126*$I126/12*1,IF($J126=3,$E126*$I126/12*2,IF($J126&gt;=4,$E126*$I126/12*3,0))))))</f>
        <v>0</v>
      </c>
      <c r="BX126" s="87">
        <f t="shared" ref="BX126:BX129" si="2053">IF($H126&lt;&gt;CA$5,0,IF(CA126&gt;0,IF(OR($J126=1,$J126=2,$J126=3,$J126=4),$E126*$I126/12*3,IF($J126=5,$E126*$I126/12*2,IF($J126=6,$E126*$I126/12*1,0)))))+IF(BV$5&lt;&gt;$H126,0,IF(BV126&gt;0,IF($J126=4,$E126*$I126/12*0,IF($J126=5,$E126*$I126/12*1,IF($J126=6,$E126*$I126/12*2,IF($J126&gt;=7,$E126*$I126/12*3,0))))))</f>
        <v>0</v>
      </c>
      <c r="BY126" s="87">
        <f t="shared" ref="BY126:BY129" si="2054">IF($H126&lt;&gt;CA$5,0,IF(CA126&gt;0,IF(OR($J126=1,$J126=2,$J126=3,$J126=4,$J126=5,$J126=6,$J126=7),$E126*$I126/12*3,IF($J126=8,$E126*$I126/12*2,IF($J126=9,$E126*$I126/12*1,0)))))+IF(BV$5&lt;&gt;$H126,0,IF(BV126&gt;0,IF($J126=7,$E126*$I126/12*0,IF($J126=8,$E126*$I126/12*1,IF($J126=9,$E126*$I126/12*2,IF($J126&gt;=10,$E126*$I126/12*3,0))))))</f>
        <v>0</v>
      </c>
      <c r="BZ126" s="88">
        <f t="shared" ref="BZ126:BZ129" si="2055">IF($H126&lt;&gt;CA$5,0,IF(CA126&gt;0,IF(OR($J126=1,$J126=2,$J126=3,$J126=4,$J126=5,$J126=6,$J126=7,$J126=8,$J126=9,$J126=10),$E126*$I126/12*3,IF($J126=11,$E126*$I126/12*2,IF($J126=12,$E126*$I126/12*1,0)))))+IF(BV$5&lt;&gt;$H126,0,IF(BV126&gt;0,IF($J126=10,$E126*$I126/12*0,IF($J126=11,$E126*$I126/12*1,IF($J126=12,$E126*$I126/12*2,0)))))</f>
        <v>0</v>
      </c>
      <c r="CA126" s="85">
        <f t="shared" ref="CA126:CA129" si="2056">IF(AND(BV126&lt;&gt;0,BV$5=$H126),$I126*$E126-BV126,IF(CA$5=$H126,$I126*$E126*(12-$J126+1)/12,0))</f>
        <v>0</v>
      </c>
      <c r="CB126" s="86">
        <f t="shared" ref="CB126:CB129" si="2057">IF($H126&lt;&gt;CF$5,0,IF(CF126&gt;0,IF($J126=1,$E126*$I126/12*3,IF($J126=2,$E126*$I126/12*2,IF($J126=3,$E126*$I126/12*1,0)))))+IF(CA$5&lt;&gt;$H126,0,IF(CA126&gt;0,IF($J126=1,$E126*$I126/12*0,IF($J126=2,$E126*$I126/12*1,IF($J126=3,$E126*$I126/12*2,IF($J126&gt;=4,$E126*$I126/12*3,0))))))</f>
        <v>0</v>
      </c>
      <c r="CC126" s="87">
        <f t="shared" ref="CC126:CC129" si="2058">IF($H126&lt;&gt;CF$5,0,IF(CF126&gt;0,IF(OR($J126=1,$J126=2,$J126=3,$J126=4),$E126*$I126/12*3,IF($J126=5,$E126*$I126/12*2,IF($J126=6,$E126*$I126/12*1,0)))))+IF(CA$5&lt;&gt;$H126,0,IF(CA126&gt;0,IF($J126=4,$E126*$I126/12*0,IF($J126=5,$E126*$I126/12*1,IF($J126=6,$E126*$I126/12*2,IF($J126&gt;=7,$E126*$I126/12*3,0))))))</f>
        <v>0</v>
      </c>
      <c r="CD126" s="87">
        <f t="shared" ref="CD126:CD129" si="2059">IF($H126&lt;&gt;CF$5,0,IF(CF126&gt;0,IF(OR($J126=1,$J126=2,$J126=3,$J126=4,$J126=5,$J126=6,$J126=7),$E126*$I126/12*3,IF($J126=8,$E126*$I126/12*2,IF($J126=9,$E126*$I126/12*1,0)))))+IF(CA$5&lt;&gt;$H126,0,IF(CA126&gt;0,IF($J126=7,$E126*$I126/12*0,IF($J126=8,$E126*$I126/12*1,IF($J126=9,$E126*$I126/12*2,IF($J126&gt;=10,$E126*$I126/12*3,0))))))</f>
        <v>0</v>
      </c>
      <c r="CE126" s="88">
        <f t="shared" ref="CE126:CE129" si="2060">IF($H126&lt;&gt;CF$5,0,IF(CF126&gt;0,IF(OR($J126=1,$J126=2,$J126=3,$J126=4,$J126=5,$J126=6,$J126=7,$J126=8,$J126=9,$J126=10),$E126*$I126/12*3,IF($J126=11,$E126*$I126/12*2,IF($J126=12,$E126*$I126/12*1,0)))))+IF(CA$5&lt;&gt;$H126,0,IF(CA126&gt;0,IF($J126=10,$E126*$I126/12*0,IF($J126=11,$E126*$I126/12*1,IF($J126=12,$E126*$I126/12*2,0)))))</f>
        <v>0</v>
      </c>
      <c r="CF126" s="85">
        <f t="shared" ref="CF126:CF129" si="2061">IF(AND(CA126&lt;&gt;0,CA$5=$H126),$I126*$E126-CA126,IF(CF$5=$H126,$I126*$E126*(12-$J126+1)/12,0))</f>
        <v>0</v>
      </c>
      <c r="CG126" s="86">
        <f t="shared" ref="CG126:CG129" si="2062">IF($H126&lt;&gt;CK$5,0,IF(CK126&gt;0,IF($J126=1,$E126*$I126/12*3,IF($J126=2,$E126*$I126/12*2,IF($J126=3,$E126*$I126/12*1,0)))))+IF(CF$5&lt;&gt;$H126,0,IF(CF126&gt;0,IF($J126=1,$E126*$I126/12*0,IF($J126=2,$E126*$I126/12*1,IF($J126=3,$E126*$I126/12*2,IF($J126&gt;=4,$E126*$I126/12*3,0))))))</f>
        <v>0</v>
      </c>
      <c r="CH126" s="87">
        <f t="shared" ref="CH126:CH129" si="2063">IF($H126&lt;&gt;CK$5,0,IF(CK126&gt;0,IF(OR($J126=1,$J126=2,$J126=3,$J126=4),$E126*$I126/12*3,IF($J126=5,$E126*$I126/12*2,IF($J126=6,$E126*$I126/12*1,0)))))+IF(CF$5&lt;&gt;$H126,0,IF(CF126&gt;0,IF($J126=4,$E126*$I126/12*0,IF($J126=5,$E126*$I126/12*1,IF($J126=6,$E126*$I126/12*2,IF($J126&gt;=7,$E126*$I126/12*3,0))))))</f>
        <v>0</v>
      </c>
      <c r="CI126" s="87">
        <f t="shared" ref="CI126:CI129" si="2064">IF($H126&lt;&gt;CK$5,0,IF(CK126&gt;0,IF(OR($J126=1,$J126=2,$J126=3,$J126=4,$J126=5,$J126=6,$J126=7),$E126*$I126/12*3,IF($J126=8,$E126*$I126/12*2,IF($J126=9,$E126*$I126/12*1,0)))))+IF(CF$5&lt;&gt;$H126,0,IF(CF126&gt;0,IF($J126=7,$E126*$I126/12*0,IF($J126=8,$E126*$I126/12*1,IF($J126=9,$E126*$I126/12*2,IF($J126&gt;=10,$E126*$I126/12*3,0))))))</f>
        <v>7.1875</v>
      </c>
      <c r="CJ126" s="88">
        <f t="shared" ref="CJ126:CJ129" si="2065">IF($H126&lt;&gt;CK$5,0,IF(CK126&gt;0,IF(OR($J126=1,$J126=2,$J126=3,$J126=4,$J126=5,$J126=6,$J126=7,$J126=8,$J126=9,$J126=10),$E126*$I126/12*3,IF($J126=11,$E126*$I126/12*2,IF($J126=12,$E126*$I126/12*1,0)))))+IF(CF$5&lt;&gt;$H126,0,IF(CF126&gt;0,IF($J126=10,$E126*$I126/12*0,IF($J126=11,$E126*$I126/12*1,IF($J126=12,$E126*$I126/12*2,0)))))</f>
        <v>7.1875</v>
      </c>
      <c r="CK126" s="85">
        <f t="shared" ref="CK126:CK129" si="2066">IF(AND(CF126&lt;&gt;0,CF$5=$H126),$I126*$E126-CF126,IF(CK$5=$H126,$I126*$E126*(12-$J126+1)/12,0))</f>
        <v>14.375</v>
      </c>
      <c r="CL126" s="86">
        <f t="shared" ref="CL126:CL129" si="2067">IF($H126&lt;&gt;CP$5,0,IF(CP126&gt;0,IF($J126=1,$E126*$I126/12*3,IF($J126=2,$E126*$I126/12*2,IF($J126=3,$E126*$I126/12*1,0)))))+IF(CK$5&lt;&gt;$H126,0,IF(CK126&gt;0,IF($J126=1,$E126*$I126/12*0,IF($J126=2,$E126*$I126/12*1,IF($J126=3,$E126*$I126/12*2,IF($J126&gt;=4,$E126*$I126/12*3,0))))))</f>
        <v>7.1875</v>
      </c>
      <c r="CM126" s="87">
        <f t="shared" ref="CM126:CM129" si="2068">IF($H126&lt;&gt;CP$5,0,IF(CP126&gt;0,IF(OR($J126=1,$J126=2,$J126=3,$J126=4),$E126*$I126/12*3,IF($J126=5,$E126*$I126/12*2,IF($J126=6,$E126*$I126/12*1,0)))))+IF(CK$5&lt;&gt;$H126,0,IF(CK126&gt;0,IF($J126=4,$E126*$I126/12*0,IF($J126=5,$E126*$I126/12*1,IF($J126=6,$E126*$I126/12*2,IF($J126&gt;=7,$E126*$I126/12*3,0))))))</f>
        <v>7.1875</v>
      </c>
      <c r="CN126" s="87">
        <f t="shared" ref="CN126:CN129" si="2069">IF($H126&lt;&gt;CP$5,0,IF(CP126&gt;0,IF(OR($J126=1,$J126=2,$J126=3,$J126=4,$J126=5,$J126=6,$J126=7),$E126*$I126/12*3,IF($J126=8,$E126*$I126/12*2,IF($J126=9,$E126*$I126/12*1,0)))))+IF(CK$5&lt;&gt;$H126,0,IF(CK126&gt;0,IF($J126=7,$E126*$I126/12*0,IF($J126=8,$E126*$I126/12*1,IF($J126=9,$E126*$I126/12*2,IF($J126&gt;=10,$E126*$I126/12*3,0))))))</f>
        <v>0</v>
      </c>
      <c r="CO126" s="88">
        <f t="shared" ref="CO126:CO129" si="2070">IF($H126&lt;&gt;CP$5,0,IF(CP126&gt;0,IF(OR($J126=1,$J126=2,$J126=3,$J126=4,$J126=5,$J126=6,$J126=7,$J126=8,$J126=9,$J126=10),$E126*$I126/12*3,IF($J126=11,$E126*$I126/12*2,IF($J126=12,$E126*$I126/12*1,0)))))+IF(CK$5&lt;&gt;$H126,0,IF(CK126&gt;0,IF($J126=10,$E126*$I126/12*0,IF($J126=11,$E126*$I126/12*1,IF($J126=12,$E126*$I126/12*2,0)))))</f>
        <v>0</v>
      </c>
      <c r="CP126" s="85">
        <f t="shared" ref="CP126:CP129" si="2071">IF(AND(CK126&lt;&gt;0,CK$5=$H126),$I126*$E126-CK126,IF(CP$5=$H126,$I126*$E126*(12-$J126+1)/12,0))</f>
        <v>14.375</v>
      </c>
      <c r="CQ126" s="86">
        <f t="shared" ref="CQ126:CQ129" si="2072">IF($H126&lt;&gt;CU$5,0,IF(CU126&gt;0,IF($J126=1,$E126*$I126/12*3,IF($J126=2,$E126*$I126/12*2,IF($J126=3,$E126*$I126/12*1,0)))))+IF(CP$5&lt;&gt;$H126,0,IF(CP126&gt;0,IF($J126=1,$E126*$I126/12*0,IF($J126=2,$E126*$I126/12*1,IF($J126=3,$E126*$I126/12*2,IF($J126&gt;=4,$E126*$I126/12*3,0))))))</f>
        <v>0</v>
      </c>
      <c r="CR126" s="87">
        <f t="shared" ref="CR126:CR129" si="2073">IF($H126&lt;&gt;CU$5,0,IF(CU126&gt;0,IF(OR($J126=1,$J126=2,$J126=3,$J126=4),$E126*$I126/12*3,IF($J126=5,$E126*$I126/12*2,IF($J126=6,$E126*$I126/12*1,0)))))+IF(CP$5&lt;&gt;$H126,0,IF(CP126&gt;0,IF($J126=4,$E126*$I126/12*0,IF($J126=5,$E126*$I126/12*1,IF($J126=6,$E126*$I126/12*2,IF($J126&gt;=7,$E126*$I126/12*3,0))))))</f>
        <v>0</v>
      </c>
      <c r="CS126" s="87">
        <f t="shared" ref="CS126:CS129" si="2074">IF($H126&lt;&gt;CU$5,0,IF(CU126&gt;0,IF(OR($J126=1,$J126=2,$J126=3,$J126=4,$J126=5,$J126=6,$J126=7),$E126*$I126/12*3,IF($J126=8,$E126*$I126/12*2,IF($J126=9,$E126*$I126/12*1,0)))))+IF(CP$5&lt;&gt;$H126,0,IF(CP126&gt;0,IF($J126=7,$E126*$I126/12*0,IF($J126=8,$E126*$I126/12*1,IF($J126=9,$E126*$I126/12*2,IF($J126&gt;=10,$E126*$I126/12*3,0))))))</f>
        <v>0</v>
      </c>
      <c r="CT126" s="88">
        <f t="shared" ref="CT126:CT129" si="2075">IF($H126&lt;&gt;CU$5,0,IF(CU126&gt;0,IF(OR($J126=1,$J126=2,$J126=3,$J126=4,$J126=5,$J126=6,$J126=7,$J126=8,$J126=9,$J126=10),$E126*$I126/12*3,IF($J126=11,$E126*$I126/12*2,IF($J126=12,$E126*$I126/12*1,0)))))+IF(CP$5&lt;&gt;$H126,0,IF(CP126&gt;0,IF($J126=10,$E126*$I126/12*0,IF($J126=11,$E126*$I126/12*1,IF($J126=12,$E126*$I126/12*2,0)))))</f>
        <v>0</v>
      </c>
      <c r="CU126" s="85">
        <f t="shared" ref="CU126:CU129" si="2076">IF(AND(CP126&lt;&gt;0,CP$5=$H126),$I126*$E126-CP126,IF(CU$5=$H126,$I126*$E126*(12-$J126+1)/12,0))</f>
        <v>0</v>
      </c>
      <c r="CV126" s="86">
        <f t="shared" si="1999"/>
        <v>0</v>
      </c>
      <c r="CW126" s="87">
        <f t="shared" si="2000"/>
        <v>0</v>
      </c>
      <c r="CX126" s="87">
        <f t="shared" si="2001"/>
        <v>0</v>
      </c>
      <c r="CY126" s="88">
        <f t="shared" si="2002"/>
        <v>0</v>
      </c>
      <c r="CZ126" s="85">
        <f t="shared" si="2003"/>
        <v>0</v>
      </c>
    </row>
    <row r="127" spans="1:104" ht="12.75" customHeight="1">
      <c r="A127" s="4"/>
      <c r="B127" s="4"/>
      <c r="C127" s="1999" t="s">
        <v>1371</v>
      </c>
      <c r="D127" s="146"/>
      <c r="E127" s="147">
        <f>+PECO!BG180</f>
        <v>235</v>
      </c>
      <c r="F127" s="326"/>
      <c r="G127" s="326"/>
      <c r="H127" s="171">
        <v>2019</v>
      </c>
      <c r="I127" s="172">
        <v>0.05</v>
      </c>
      <c r="J127" s="171">
        <v>7</v>
      </c>
      <c r="K127" s="80"/>
      <c r="L127" s="81">
        <f t="shared" si="1912"/>
        <v>0</v>
      </c>
      <c r="M127" s="82">
        <f t="shared" si="2004"/>
        <v>0</v>
      </c>
      <c r="N127" s="83">
        <f t="shared" si="2005"/>
        <v>0</v>
      </c>
      <c r="O127" s="83">
        <f t="shared" si="2006"/>
        <v>0</v>
      </c>
      <c r="P127" s="84">
        <f t="shared" si="2007"/>
        <v>0</v>
      </c>
      <c r="Q127" s="81">
        <f t="shared" si="1917"/>
        <v>0</v>
      </c>
      <c r="R127" s="82">
        <f t="shared" si="2008"/>
        <v>0</v>
      </c>
      <c r="S127" s="83">
        <f t="shared" si="2009"/>
        <v>0</v>
      </c>
      <c r="T127" s="83">
        <f t="shared" si="2010"/>
        <v>0</v>
      </c>
      <c r="U127" s="84">
        <f t="shared" si="2011"/>
        <v>0</v>
      </c>
      <c r="V127" s="81">
        <f t="shared" si="1922"/>
        <v>0</v>
      </c>
      <c r="W127" s="82">
        <f t="shared" si="2012"/>
        <v>0</v>
      </c>
      <c r="X127" s="83">
        <f t="shared" si="2013"/>
        <v>0</v>
      </c>
      <c r="Y127" s="83">
        <f t="shared" si="2014"/>
        <v>0</v>
      </c>
      <c r="Z127" s="84">
        <f t="shared" si="2015"/>
        <v>0</v>
      </c>
      <c r="AA127" s="81">
        <f t="shared" si="1927"/>
        <v>0</v>
      </c>
      <c r="AB127" s="82">
        <f t="shared" si="2016"/>
        <v>0</v>
      </c>
      <c r="AC127" s="83">
        <f t="shared" si="2017"/>
        <v>0</v>
      </c>
      <c r="AD127" s="83">
        <f t="shared" si="2018"/>
        <v>0</v>
      </c>
      <c r="AE127" s="84">
        <f t="shared" si="2019"/>
        <v>0</v>
      </c>
      <c r="AF127" s="81">
        <f t="shared" si="1932"/>
        <v>0</v>
      </c>
      <c r="AG127" s="82">
        <f t="shared" si="2020"/>
        <v>0</v>
      </c>
      <c r="AH127" s="83">
        <f t="shared" si="2021"/>
        <v>0</v>
      </c>
      <c r="AI127" s="83">
        <f t="shared" si="2022"/>
        <v>0</v>
      </c>
      <c r="AJ127" s="84">
        <f t="shared" si="2023"/>
        <v>0</v>
      </c>
      <c r="AK127" s="81">
        <f t="shared" si="1937"/>
        <v>0</v>
      </c>
      <c r="AL127" s="82">
        <f t="shared" si="2024"/>
        <v>0</v>
      </c>
      <c r="AM127" s="83">
        <f t="shared" si="2025"/>
        <v>0</v>
      </c>
      <c r="AN127" s="83">
        <f t="shared" si="2026"/>
        <v>0</v>
      </c>
      <c r="AO127" s="84">
        <f t="shared" si="2027"/>
        <v>0</v>
      </c>
      <c r="AP127" s="81">
        <f t="shared" si="1942"/>
        <v>0</v>
      </c>
      <c r="AQ127" s="82">
        <f t="shared" si="2028"/>
        <v>0</v>
      </c>
      <c r="AR127" s="83">
        <f t="shared" si="2029"/>
        <v>0</v>
      </c>
      <c r="AS127" s="83">
        <f t="shared" si="2030"/>
        <v>235</v>
      </c>
      <c r="AT127" s="84">
        <f t="shared" si="2031"/>
        <v>0</v>
      </c>
      <c r="AU127" s="81">
        <f t="shared" si="1947"/>
        <v>235</v>
      </c>
      <c r="AV127" s="82">
        <f t="shared" si="2032"/>
        <v>0</v>
      </c>
      <c r="AW127" s="83">
        <f t="shared" si="2033"/>
        <v>0</v>
      </c>
      <c r="AX127" s="83">
        <f t="shared" si="2034"/>
        <v>0</v>
      </c>
      <c r="AY127" s="84">
        <f t="shared" si="2035"/>
        <v>0</v>
      </c>
      <c r="AZ127" s="81">
        <f t="shared" si="1952"/>
        <v>0</v>
      </c>
      <c r="BA127" s="82">
        <f t="shared" si="1953"/>
        <v>0</v>
      </c>
      <c r="BB127" s="83">
        <f t="shared" si="1954"/>
        <v>0</v>
      </c>
      <c r="BC127" s="83">
        <f t="shared" si="1955"/>
        <v>0</v>
      </c>
      <c r="BD127" s="84">
        <f t="shared" si="1956"/>
        <v>0</v>
      </c>
      <c r="BE127" s="81">
        <f t="shared" si="1957"/>
        <v>0</v>
      </c>
      <c r="BF127" s="1884"/>
      <c r="BG127" s="2005">
        <f t="shared" si="2036"/>
        <v>0</v>
      </c>
      <c r="BH127" s="86">
        <f t="shared" si="2037"/>
        <v>0</v>
      </c>
      <c r="BI127" s="87">
        <f t="shared" si="2038"/>
        <v>0</v>
      </c>
      <c r="BJ127" s="87">
        <f t="shared" si="2039"/>
        <v>0</v>
      </c>
      <c r="BK127" s="88">
        <f t="shared" si="2040"/>
        <v>0</v>
      </c>
      <c r="BL127" s="85">
        <f t="shared" si="2041"/>
        <v>0</v>
      </c>
      <c r="BM127" s="86">
        <f t="shared" si="2042"/>
        <v>0</v>
      </c>
      <c r="BN127" s="87">
        <f t="shared" si="2043"/>
        <v>0</v>
      </c>
      <c r="BO127" s="87">
        <f t="shared" si="2044"/>
        <v>0</v>
      </c>
      <c r="BP127" s="88">
        <f t="shared" si="2045"/>
        <v>0</v>
      </c>
      <c r="BQ127" s="85">
        <f t="shared" si="2046"/>
        <v>0</v>
      </c>
      <c r="BR127" s="86">
        <f t="shared" si="2047"/>
        <v>0</v>
      </c>
      <c r="BS127" s="87">
        <f t="shared" si="2048"/>
        <v>0</v>
      </c>
      <c r="BT127" s="87">
        <f t="shared" si="2049"/>
        <v>0</v>
      </c>
      <c r="BU127" s="88">
        <f t="shared" si="2050"/>
        <v>0</v>
      </c>
      <c r="BV127" s="85">
        <f t="shared" si="2051"/>
        <v>0</v>
      </c>
      <c r="BW127" s="86">
        <f t="shared" si="2052"/>
        <v>0</v>
      </c>
      <c r="BX127" s="87">
        <f t="shared" si="2053"/>
        <v>0</v>
      </c>
      <c r="BY127" s="87">
        <f t="shared" si="2054"/>
        <v>0</v>
      </c>
      <c r="BZ127" s="88">
        <f t="shared" si="2055"/>
        <v>0</v>
      </c>
      <c r="CA127" s="85">
        <f t="shared" si="2056"/>
        <v>0</v>
      </c>
      <c r="CB127" s="86">
        <f t="shared" si="2057"/>
        <v>0</v>
      </c>
      <c r="CC127" s="87">
        <f t="shared" si="2058"/>
        <v>0</v>
      </c>
      <c r="CD127" s="87">
        <f t="shared" si="2059"/>
        <v>0</v>
      </c>
      <c r="CE127" s="88">
        <f t="shared" si="2060"/>
        <v>0</v>
      </c>
      <c r="CF127" s="85">
        <f t="shared" si="2061"/>
        <v>0</v>
      </c>
      <c r="CG127" s="86">
        <f t="shared" si="2062"/>
        <v>0</v>
      </c>
      <c r="CH127" s="87">
        <f t="shared" si="2063"/>
        <v>0</v>
      </c>
      <c r="CI127" s="87">
        <f t="shared" si="2064"/>
        <v>0</v>
      </c>
      <c r="CJ127" s="88">
        <f t="shared" si="2065"/>
        <v>0</v>
      </c>
      <c r="CK127" s="85">
        <f t="shared" si="2066"/>
        <v>0</v>
      </c>
      <c r="CL127" s="86">
        <f t="shared" si="2067"/>
        <v>0</v>
      </c>
      <c r="CM127" s="87">
        <f t="shared" si="2068"/>
        <v>0</v>
      </c>
      <c r="CN127" s="87">
        <f t="shared" si="2069"/>
        <v>2.9375</v>
      </c>
      <c r="CO127" s="88">
        <f t="shared" si="2070"/>
        <v>2.9375</v>
      </c>
      <c r="CP127" s="85">
        <f t="shared" si="2071"/>
        <v>5.875</v>
      </c>
      <c r="CQ127" s="86">
        <f t="shared" si="2072"/>
        <v>2.9375</v>
      </c>
      <c r="CR127" s="87">
        <f t="shared" si="2073"/>
        <v>2.9375</v>
      </c>
      <c r="CS127" s="87">
        <f t="shared" si="2074"/>
        <v>0</v>
      </c>
      <c r="CT127" s="88">
        <f t="shared" si="2075"/>
        <v>0</v>
      </c>
      <c r="CU127" s="85">
        <f t="shared" si="2076"/>
        <v>5.875</v>
      </c>
      <c r="CV127" s="86">
        <f t="shared" si="1999"/>
        <v>0</v>
      </c>
      <c r="CW127" s="87">
        <f t="shared" si="2000"/>
        <v>0</v>
      </c>
      <c r="CX127" s="87">
        <f t="shared" si="2001"/>
        <v>0</v>
      </c>
      <c r="CY127" s="88">
        <f t="shared" si="2002"/>
        <v>0</v>
      </c>
      <c r="CZ127" s="85">
        <f t="shared" si="2003"/>
        <v>0</v>
      </c>
    </row>
    <row r="128" spans="1:104" ht="12.75" customHeight="1">
      <c r="A128" s="4"/>
      <c r="B128" s="4"/>
      <c r="C128" s="1999" t="s">
        <v>1372</v>
      </c>
      <c r="D128" s="146"/>
      <c r="E128" s="147">
        <f>+PECO!BL180</f>
        <v>150</v>
      </c>
      <c r="F128" s="326"/>
      <c r="G128" s="326"/>
      <c r="H128" s="171">
        <v>2020</v>
      </c>
      <c r="I128" s="172">
        <v>0.05</v>
      </c>
      <c r="J128" s="171">
        <v>7</v>
      </c>
      <c r="K128" s="80"/>
      <c r="L128" s="81">
        <f t="shared" si="1912"/>
        <v>0</v>
      </c>
      <c r="M128" s="82">
        <f t="shared" ref="M128" si="2077">IF(Q128=0,0,IF(Q128&gt;0,IF($J128=3,Q128,IF($J128=2,Q128,IF($J128=1,Q128,0)))))</f>
        <v>0</v>
      </c>
      <c r="N128" s="83">
        <f t="shared" ref="N128" si="2078">IF(Q128=0,0,IF(Q128&gt;0,IF($J128=6,Q128,IF($J128=5,Q128,IF($J128=4,Q128,0)))))</f>
        <v>0</v>
      </c>
      <c r="O128" s="83">
        <f t="shared" ref="O128" si="2079">IF(Q128=0,0,IF(Q128&gt;0,IF($J128=9,Q128,IF($J128=8,Q128,IF($J128=7,Q128,0)))))</f>
        <v>0</v>
      </c>
      <c r="P128" s="84">
        <f t="shared" ref="P128" si="2080">IF(Q128=0,0,IF(Q128&gt;0,IF($J128=12,Q128,IF($J128=11,Q128,IF($J128=10,Q128,0)))))</f>
        <v>0</v>
      </c>
      <c r="Q128" s="81">
        <f t="shared" si="1917"/>
        <v>0</v>
      </c>
      <c r="R128" s="82">
        <f t="shared" ref="R128" si="2081">IF(V128=0,0,IF(V128&gt;0,IF($J128=3,V128,IF($J128=2,V128,IF($J128=1,V128,0)))))</f>
        <v>0</v>
      </c>
      <c r="S128" s="83">
        <f t="shared" ref="S128" si="2082">IF(V128=0,0,IF(V128&gt;0,IF($J128=6,V128,IF($J128=5,V128,IF($J128=4,V128,0)))))</f>
        <v>0</v>
      </c>
      <c r="T128" s="83">
        <f t="shared" ref="T128" si="2083">IF(V128=0,0,IF(V128&gt;0,IF($J128=9,V128,IF($J128=8,V128,IF($J128=7,V128,0)))))</f>
        <v>0</v>
      </c>
      <c r="U128" s="84">
        <f t="shared" ref="U128" si="2084">IF(V128=0,0,IF(V128&gt;0,IF($J128=12,V128,IF($J128=11,V128,IF($J128=10,V128,0)))))</f>
        <v>0</v>
      </c>
      <c r="V128" s="81">
        <f t="shared" si="1922"/>
        <v>0</v>
      </c>
      <c r="W128" s="82">
        <f t="shared" ref="W128" si="2085">IF(AA128=0,0,IF(AA128&gt;0,IF($J128=3,AA128,IF($J128=2,AA128,IF($J128=1,AA128,0)))))</f>
        <v>0</v>
      </c>
      <c r="X128" s="83">
        <f t="shared" ref="X128" si="2086">IF(AA128=0,0,IF(AA128&gt;0,IF($J128=6,AA128,IF($J128=5,AA128,IF($J128=4,AA128,0)))))</f>
        <v>0</v>
      </c>
      <c r="Y128" s="83">
        <f t="shared" ref="Y128" si="2087">IF(AA128=0,0,IF(AA128&gt;0,IF($J128=9,AA128,IF($J128=8,AA128,IF($J128=7,AA128,0)))))</f>
        <v>0</v>
      </c>
      <c r="Z128" s="84">
        <f t="shared" ref="Z128" si="2088">IF(AA128=0,0,IF(AA128&gt;0,IF($J128=12,AA128,IF($J128=11,AA128,IF($J128=10,AA128,0)))))</f>
        <v>0</v>
      </c>
      <c r="AA128" s="81">
        <f t="shared" si="1927"/>
        <v>0</v>
      </c>
      <c r="AB128" s="82">
        <f t="shared" ref="AB128" si="2089">IF(AF128=0,0,IF(AF128&gt;0,IF($J128=3,AF128,IF($J128=2,AF128,IF($J128=1,AF128,0)))))</f>
        <v>0</v>
      </c>
      <c r="AC128" s="83">
        <f t="shared" ref="AC128" si="2090">IF(AF128=0,0,IF(AF128&gt;0,IF($J128=6,AF128,IF($J128=5,AF128,IF($J128=4,AF128,0)))))</f>
        <v>0</v>
      </c>
      <c r="AD128" s="83">
        <f t="shared" ref="AD128" si="2091">IF(AF128=0,0,IF(AF128&gt;0,IF($J128=9,AF128,IF($J128=8,AF128,IF($J128=7,AF128,0)))))</f>
        <v>0</v>
      </c>
      <c r="AE128" s="84">
        <f t="shared" ref="AE128" si="2092">IF(AF128=0,0,IF(AF128&gt;0,IF($J128=12,AF128,IF($J128=11,AF128,IF($J128=10,AF128,0)))))</f>
        <v>0</v>
      </c>
      <c r="AF128" s="81">
        <f t="shared" si="1932"/>
        <v>0</v>
      </c>
      <c r="AG128" s="82">
        <f t="shared" ref="AG128" si="2093">IF(AK128=0,0,IF(AK128&gt;0,IF($J128=3,AK128,IF($J128=2,AK128,IF($J128=1,AK128,0)))))</f>
        <v>0</v>
      </c>
      <c r="AH128" s="83">
        <f t="shared" ref="AH128" si="2094">IF(AK128=0,0,IF(AK128&gt;0,IF($J128=6,AK128,IF($J128=5,AK128,IF($J128=4,AK128,0)))))</f>
        <v>0</v>
      </c>
      <c r="AI128" s="83">
        <f t="shared" ref="AI128" si="2095">IF(AK128=0,0,IF(AK128&gt;0,IF($J128=9,AK128,IF($J128=8,AK128,IF($J128=7,AK128,0)))))</f>
        <v>0</v>
      </c>
      <c r="AJ128" s="84">
        <f t="shared" ref="AJ128" si="2096">IF(AK128=0,0,IF(AK128&gt;0,IF($J128=12,AK128,IF($J128=11,AK128,IF($J128=10,AK128,0)))))</f>
        <v>0</v>
      </c>
      <c r="AK128" s="81">
        <f t="shared" si="1937"/>
        <v>0</v>
      </c>
      <c r="AL128" s="82">
        <f t="shared" ref="AL128" si="2097">IF(AP128=0,0,IF(AP128&gt;0,IF($J128=3,AP128,IF($J128=2,AP128,IF($J128=1,AP128,0)))))</f>
        <v>0</v>
      </c>
      <c r="AM128" s="83">
        <f t="shared" ref="AM128" si="2098">IF(AP128=0,0,IF(AP128&gt;0,IF($J128=6,AP128,IF($J128=5,AP128,IF($J128=4,AP128,0)))))</f>
        <v>0</v>
      </c>
      <c r="AN128" s="83">
        <f t="shared" ref="AN128" si="2099">IF(AP128=0,0,IF(AP128&gt;0,IF($J128=9,AP128,IF($J128=8,AP128,IF($J128=7,AP128,0)))))</f>
        <v>0</v>
      </c>
      <c r="AO128" s="84">
        <f t="shared" ref="AO128" si="2100">IF(AP128=0,0,IF(AP128&gt;0,IF($J128=12,AP128,IF($J128=11,AP128,IF($J128=10,AP128,0)))))</f>
        <v>0</v>
      </c>
      <c r="AP128" s="81">
        <f t="shared" si="1942"/>
        <v>0</v>
      </c>
      <c r="AQ128" s="82">
        <f t="shared" ref="AQ128" si="2101">IF(AU128=0,0,IF(AU128&gt;0,IF($J128=3,AU128,IF($J128=2,AU128,IF($J128=1,AU128,0)))))</f>
        <v>0</v>
      </c>
      <c r="AR128" s="83">
        <f t="shared" ref="AR128" si="2102">IF(AU128=0,0,IF(AU128&gt;0,IF($J128=6,AU128,IF($J128=5,AU128,IF($J128=4,AU128,0)))))</f>
        <v>0</v>
      </c>
      <c r="AS128" s="83">
        <f t="shared" ref="AS128" si="2103">IF(AU128=0,0,IF(AU128&gt;0,IF($J128=9,AU128,IF($J128=8,AU128,IF($J128=7,AU128,0)))))</f>
        <v>0</v>
      </c>
      <c r="AT128" s="84">
        <f t="shared" ref="AT128" si="2104">IF(AU128=0,0,IF(AU128&gt;0,IF($J128=12,AU128,IF($J128=11,AU128,IF($J128=10,AU128,0)))))</f>
        <v>0</v>
      </c>
      <c r="AU128" s="81">
        <f t="shared" si="1947"/>
        <v>0</v>
      </c>
      <c r="AV128" s="82">
        <f t="shared" ref="AV128" si="2105">IF(AZ128=0,0,IF(AZ128&gt;0,IF($J128=3,AZ128,IF($J128=2,AZ128,IF($J128=1,AZ128,0)))))</f>
        <v>0</v>
      </c>
      <c r="AW128" s="83">
        <f t="shared" ref="AW128" si="2106">IF(AZ128=0,0,IF(AZ128&gt;0,IF($J128=6,AZ128,IF($J128=5,AZ128,IF($J128=4,AZ128,0)))))</f>
        <v>0</v>
      </c>
      <c r="AX128" s="83">
        <f t="shared" ref="AX128" si="2107">IF(AZ128=0,0,IF(AZ128&gt;0,IF($J128=9,AZ128,IF($J128=8,AZ128,IF($J128=7,AZ128,0)))))</f>
        <v>150</v>
      </c>
      <c r="AY128" s="84">
        <f t="shared" ref="AY128" si="2108">IF(AZ128=0,0,IF(AZ128&gt;0,IF($J128=12,AZ128,IF($J128=11,AZ128,IF($J128=10,AZ128,0)))))</f>
        <v>0</v>
      </c>
      <c r="AZ128" s="81">
        <f t="shared" si="1952"/>
        <v>150</v>
      </c>
      <c r="BA128" s="82">
        <f t="shared" si="1953"/>
        <v>0</v>
      </c>
      <c r="BB128" s="83">
        <f t="shared" si="1954"/>
        <v>0</v>
      </c>
      <c r="BC128" s="83">
        <f t="shared" si="1955"/>
        <v>0</v>
      </c>
      <c r="BD128" s="84">
        <f t="shared" si="1956"/>
        <v>0</v>
      </c>
      <c r="BE128" s="81">
        <f t="shared" si="1957"/>
        <v>0</v>
      </c>
      <c r="BF128" s="1884"/>
      <c r="BG128" s="2005">
        <f t="shared" ref="BG128" si="2109">IF(AND(BF128&lt;&gt;0,BF$5=$H128),$I128*$E128-BF128,IF(BG$5=$H128,$I128*$E128*(12-$J128+1)/12,0))</f>
        <v>0</v>
      </c>
      <c r="BH128" s="86">
        <f t="shared" ref="BH128" si="2110">IF($H128&lt;&gt;BL$5,0,IF(BL128&gt;0,IF($J128=1,$E128*$I128/12*3,IF($J128=2,$E128*$I128/12*2,IF($J128=3,$E128*$I128/12*1,0)))))+IF(BG$5&lt;&gt;$H128,0,IF(BG128&gt;0,IF($J128=1,$E128*$I128/12*0,IF($J128=2,$E128*$I128/12*1,IF($J128=3,$E128*$I128/12*2,IF($J128&gt;=4,$E128*$I128/12*3,0))))))</f>
        <v>0</v>
      </c>
      <c r="BI128" s="87">
        <f t="shared" ref="BI128" si="2111">IF($H128&lt;&gt;BL$5,0,IF(BL128&gt;0,IF(OR($J128=1,$J128=2,$J128=3,$J128=4),$E128*$I128/12*3,IF($J128=5,$E128*$I128/12*2,IF($J128=6,$E128*$I128/12*1,0)))))+IF(BG$5&lt;&gt;$H128,0,IF(BG128&gt;0,IF($J128=4,$E128*$I128/12*0,IF($J128=5,$E128*$I128/12*1,IF($J128=6,$E128*$I128/12*2,IF($J128&gt;=7,$E128*$I128/12*3,0))))))</f>
        <v>0</v>
      </c>
      <c r="BJ128" s="87">
        <f t="shared" ref="BJ128" si="2112">IF($H128&lt;&gt;BL$5,0,IF(BL128&gt;0,IF(OR($J128=1,$J128=2,$J128=3,$J128=4,$J128=5,$J128=6,$J128=7),$E128*$I128/12*3,IF($J128=8,$E128*$I128/12*2,IF($J128=9,$E128*$I128/12*1,0)))))+IF(BG$5&lt;&gt;$H128,0,IF(BG128&gt;0,IF($J128=7,$E128*$I128/12*0,IF($J128=8,$E128*$I128/12*1,IF($J128=9,$E128*$I128/12*2,IF($J128&gt;=10,$E128*$I128/12*3,0))))))</f>
        <v>0</v>
      </c>
      <c r="BK128" s="88">
        <f t="shared" ref="BK128" si="2113">IF($H128&lt;&gt;BL$5,0,IF(BL128&gt;0,IF(OR($J128=1,$J128=2,$J128=3,$J128=4,$J128=5,$J128=6,$J128=7,$J128=8,$J128=9,$J128=10),$E128*$I128/12*3,IF($J128=11,$E128*$I128/12*2,IF($J128=12,$E128*$I128/12*1,0)))))+IF(BG$5&lt;&gt;$H128,0,IF(BG128&gt;0,IF($J128=10,$E128*$I128/12*0,IF($J128=11,$E128*$I128/12*1,IF($J128=12,$E128*$I128/12*2,0)))))</f>
        <v>0</v>
      </c>
      <c r="BL128" s="85">
        <f t="shared" ref="BL128" si="2114">IF(AND(BG128&lt;&gt;0,BG$5=$H128),$I128*$E128-BG128,IF(BL$5=$H128,$I128*$E128*(12-$J128+1)/12,0))</f>
        <v>0</v>
      </c>
      <c r="BM128" s="86">
        <f t="shared" ref="BM128" si="2115">IF($H128&lt;&gt;BQ$5,0,IF(BQ128&gt;0,IF($J128=1,$E128*$I128/12*3,IF($J128=2,$E128*$I128/12*2,IF($J128=3,$E128*$I128/12*1,0)))))+IF(BL$5&lt;&gt;$H128,0,IF(BL128&gt;0,IF($J128=1,$E128*$I128/12*0,IF($J128=2,$E128*$I128/12*1,IF($J128=3,$E128*$I128/12*2,IF($J128&gt;=4,$E128*$I128/12*3,0))))))</f>
        <v>0</v>
      </c>
      <c r="BN128" s="87">
        <f t="shared" ref="BN128" si="2116">IF($H128&lt;&gt;BQ$5,0,IF(BQ128&gt;0,IF(OR($J128=1,$J128=2,$J128=3,$J128=4),$E128*$I128/12*3,IF($J128=5,$E128*$I128/12*2,IF($J128=6,$E128*$I128/12*1,0)))))+IF(BL$5&lt;&gt;$H128,0,IF(BL128&gt;0,IF($J128=4,$E128*$I128/12*0,IF($J128=5,$E128*$I128/12*1,IF($J128=6,$E128*$I128/12*2,IF($J128&gt;=7,$E128*$I128/12*3,0))))))</f>
        <v>0</v>
      </c>
      <c r="BO128" s="87">
        <f t="shared" ref="BO128" si="2117">IF($H128&lt;&gt;BQ$5,0,IF(BQ128&gt;0,IF(OR($J128=1,$J128=2,$J128=3,$J128=4,$J128=5,$J128=6,$J128=7),$E128*$I128/12*3,IF($J128=8,$E128*$I128/12*2,IF($J128=9,$E128*$I128/12*1,0)))))+IF(BL$5&lt;&gt;$H128,0,IF(BL128&gt;0,IF($J128=7,$E128*$I128/12*0,IF($J128=8,$E128*$I128/12*1,IF($J128=9,$E128*$I128/12*2,IF($J128&gt;=10,$E128*$I128/12*3,0))))))</f>
        <v>0</v>
      </c>
      <c r="BP128" s="88">
        <f t="shared" ref="BP128" si="2118">IF($H128&lt;&gt;BQ$5,0,IF(BQ128&gt;0,IF(OR($J128=1,$J128=2,$J128=3,$J128=4,$J128=5,$J128=6,$J128=7,$J128=8,$J128=9,$J128=10),$E128*$I128/12*3,IF($J128=11,$E128*$I128/12*2,IF($J128=12,$E128*$I128/12*1,0)))))+IF(BL$5&lt;&gt;$H128,0,IF(BL128&gt;0,IF($J128=10,$E128*$I128/12*0,IF($J128=11,$E128*$I128/12*1,IF($J128=12,$E128*$I128/12*2,0)))))</f>
        <v>0</v>
      </c>
      <c r="BQ128" s="85">
        <f t="shared" ref="BQ128" si="2119">IF(AND(BL128&lt;&gt;0,BL$5=$H128),$I128*$E128-BL128,IF(BQ$5=$H128,$I128*$E128*(12-$J128+1)/12,0))</f>
        <v>0</v>
      </c>
      <c r="BR128" s="86">
        <f t="shared" ref="BR128" si="2120">IF($H128&lt;&gt;BV$5,0,IF(BV128&gt;0,IF($J128=1,$E128*$I128/12*3,IF($J128=2,$E128*$I128/12*2,IF($J128=3,$E128*$I128/12*1,0)))))+IF(BQ$5&lt;&gt;$H128,0,IF(BQ128&gt;0,IF($J128=1,$E128*$I128/12*0,IF($J128=2,$E128*$I128/12*1,IF($J128=3,$E128*$I128/12*2,IF($J128&gt;=4,$E128*$I128/12*3,0))))))</f>
        <v>0</v>
      </c>
      <c r="BS128" s="87">
        <f t="shared" ref="BS128" si="2121">IF($H128&lt;&gt;BV$5,0,IF(BV128&gt;0,IF(OR($J128=1,$J128=2,$J128=3,$J128=4),$E128*$I128/12*3,IF($J128=5,$E128*$I128/12*2,IF($J128=6,$E128*$I128/12*1,0)))))+IF(BQ$5&lt;&gt;$H128,0,IF(BQ128&gt;0,IF($J128=4,$E128*$I128/12*0,IF($J128=5,$E128*$I128/12*1,IF($J128=6,$E128*$I128/12*2,IF($J128&gt;=7,$E128*$I128/12*3,0))))))</f>
        <v>0</v>
      </c>
      <c r="BT128" s="87">
        <f t="shared" ref="BT128" si="2122">IF($H128&lt;&gt;BV$5,0,IF(BV128&gt;0,IF(OR($J128=1,$J128=2,$J128=3,$J128=4,$J128=5,$J128=6,$J128=7),$E128*$I128/12*3,IF($J128=8,$E128*$I128/12*2,IF($J128=9,$E128*$I128/12*1,0)))))+IF(BQ$5&lt;&gt;$H128,0,IF(BQ128&gt;0,IF($J128=7,$E128*$I128/12*0,IF($J128=8,$E128*$I128/12*1,IF($J128=9,$E128*$I128/12*2,IF($J128&gt;=10,$E128*$I128/12*3,0))))))</f>
        <v>0</v>
      </c>
      <c r="BU128" s="88">
        <f t="shared" ref="BU128" si="2123">IF($H128&lt;&gt;BV$5,0,IF(BV128&gt;0,IF(OR($J128=1,$J128=2,$J128=3,$J128=4,$J128=5,$J128=6,$J128=7,$J128=8,$J128=9,$J128=10),$E128*$I128/12*3,IF($J128=11,$E128*$I128/12*2,IF($J128=12,$E128*$I128/12*1,0)))))+IF(BQ$5&lt;&gt;$H128,0,IF(BQ128&gt;0,IF($J128=10,$E128*$I128/12*0,IF($J128=11,$E128*$I128/12*1,IF($J128=12,$E128*$I128/12*2,0)))))</f>
        <v>0</v>
      </c>
      <c r="BV128" s="85">
        <f t="shared" ref="BV128" si="2124">IF(AND(BQ128&lt;&gt;0,BQ$5=$H128),$I128*$E128-BQ128,IF(BV$5=$H128,$I128*$E128*(12-$J128+1)/12,0))</f>
        <v>0</v>
      </c>
      <c r="BW128" s="86">
        <f t="shared" ref="BW128" si="2125">IF($H128&lt;&gt;CA$5,0,IF(CA128&gt;0,IF($J128=1,$E128*$I128/12*3,IF($J128=2,$E128*$I128/12*2,IF($J128=3,$E128*$I128/12*1,0)))))+IF(BV$5&lt;&gt;$H128,0,IF(BV128&gt;0,IF($J128=1,$E128*$I128/12*0,IF($J128=2,$E128*$I128/12*1,IF($J128=3,$E128*$I128/12*2,IF($J128&gt;=4,$E128*$I128/12*3,0))))))</f>
        <v>0</v>
      </c>
      <c r="BX128" s="87">
        <f t="shared" ref="BX128" si="2126">IF($H128&lt;&gt;CA$5,0,IF(CA128&gt;0,IF(OR($J128=1,$J128=2,$J128=3,$J128=4),$E128*$I128/12*3,IF($J128=5,$E128*$I128/12*2,IF($J128=6,$E128*$I128/12*1,0)))))+IF(BV$5&lt;&gt;$H128,0,IF(BV128&gt;0,IF($J128=4,$E128*$I128/12*0,IF($J128=5,$E128*$I128/12*1,IF($J128=6,$E128*$I128/12*2,IF($J128&gt;=7,$E128*$I128/12*3,0))))))</f>
        <v>0</v>
      </c>
      <c r="BY128" s="87">
        <f t="shared" ref="BY128" si="2127">IF($H128&lt;&gt;CA$5,0,IF(CA128&gt;0,IF(OR($J128=1,$J128=2,$J128=3,$J128=4,$J128=5,$J128=6,$J128=7),$E128*$I128/12*3,IF($J128=8,$E128*$I128/12*2,IF($J128=9,$E128*$I128/12*1,0)))))+IF(BV$5&lt;&gt;$H128,0,IF(BV128&gt;0,IF($J128=7,$E128*$I128/12*0,IF($J128=8,$E128*$I128/12*1,IF($J128=9,$E128*$I128/12*2,IF($J128&gt;=10,$E128*$I128/12*3,0))))))</f>
        <v>0</v>
      </c>
      <c r="BZ128" s="88">
        <f t="shared" ref="BZ128" si="2128">IF($H128&lt;&gt;CA$5,0,IF(CA128&gt;0,IF(OR($J128=1,$J128=2,$J128=3,$J128=4,$J128=5,$J128=6,$J128=7,$J128=8,$J128=9,$J128=10),$E128*$I128/12*3,IF($J128=11,$E128*$I128/12*2,IF($J128=12,$E128*$I128/12*1,0)))))+IF(BV$5&lt;&gt;$H128,0,IF(BV128&gt;0,IF($J128=10,$E128*$I128/12*0,IF($J128=11,$E128*$I128/12*1,IF($J128=12,$E128*$I128/12*2,0)))))</f>
        <v>0</v>
      </c>
      <c r="CA128" s="85">
        <f t="shared" ref="CA128" si="2129">IF(AND(BV128&lt;&gt;0,BV$5=$H128),$I128*$E128-BV128,IF(CA$5=$H128,$I128*$E128*(12-$J128+1)/12,0))</f>
        <v>0</v>
      </c>
      <c r="CB128" s="86">
        <f t="shared" ref="CB128" si="2130">IF($H128&lt;&gt;CF$5,0,IF(CF128&gt;0,IF($J128=1,$E128*$I128/12*3,IF($J128=2,$E128*$I128/12*2,IF($J128=3,$E128*$I128/12*1,0)))))+IF(CA$5&lt;&gt;$H128,0,IF(CA128&gt;0,IF($J128=1,$E128*$I128/12*0,IF($J128=2,$E128*$I128/12*1,IF($J128=3,$E128*$I128/12*2,IF($J128&gt;=4,$E128*$I128/12*3,0))))))</f>
        <v>0</v>
      </c>
      <c r="CC128" s="87">
        <f t="shared" ref="CC128" si="2131">IF($H128&lt;&gt;CF$5,0,IF(CF128&gt;0,IF(OR($J128=1,$J128=2,$J128=3,$J128=4),$E128*$I128/12*3,IF($J128=5,$E128*$I128/12*2,IF($J128=6,$E128*$I128/12*1,0)))))+IF(CA$5&lt;&gt;$H128,0,IF(CA128&gt;0,IF($J128=4,$E128*$I128/12*0,IF($J128=5,$E128*$I128/12*1,IF($J128=6,$E128*$I128/12*2,IF($J128&gt;=7,$E128*$I128/12*3,0))))))</f>
        <v>0</v>
      </c>
      <c r="CD128" s="87">
        <f t="shared" ref="CD128" si="2132">IF($H128&lt;&gt;CF$5,0,IF(CF128&gt;0,IF(OR($J128=1,$J128=2,$J128=3,$J128=4,$J128=5,$J128=6,$J128=7),$E128*$I128/12*3,IF($J128=8,$E128*$I128/12*2,IF($J128=9,$E128*$I128/12*1,0)))))+IF(CA$5&lt;&gt;$H128,0,IF(CA128&gt;0,IF($J128=7,$E128*$I128/12*0,IF($J128=8,$E128*$I128/12*1,IF($J128=9,$E128*$I128/12*2,IF($J128&gt;=10,$E128*$I128/12*3,0))))))</f>
        <v>0</v>
      </c>
      <c r="CE128" s="88">
        <f t="shared" ref="CE128" si="2133">IF($H128&lt;&gt;CF$5,0,IF(CF128&gt;0,IF(OR($J128=1,$J128=2,$J128=3,$J128=4,$J128=5,$J128=6,$J128=7,$J128=8,$J128=9,$J128=10),$E128*$I128/12*3,IF($J128=11,$E128*$I128/12*2,IF($J128=12,$E128*$I128/12*1,0)))))+IF(CA$5&lt;&gt;$H128,0,IF(CA128&gt;0,IF($J128=10,$E128*$I128/12*0,IF($J128=11,$E128*$I128/12*1,IF($J128=12,$E128*$I128/12*2,0)))))</f>
        <v>0</v>
      </c>
      <c r="CF128" s="85">
        <f t="shared" ref="CF128" si="2134">IF(AND(CA128&lt;&gt;0,CA$5=$H128),$I128*$E128-CA128,IF(CF$5=$H128,$I128*$E128*(12-$J128+1)/12,0))</f>
        <v>0</v>
      </c>
      <c r="CG128" s="86">
        <f t="shared" ref="CG128" si="2135">IF($H128&lt;&gt;CK$5,0,IF(CK128&gt;0,IF($J128=1,$E128*$I128/12*3,IF($J128=2,$E128*$I128/12*2,IF($J128=3,$E128*$I128/12*1,0)))))+IF(CF$5&lt;&gt;$H128,0,IF(CF128&gt;0,IF($J128=1,$E128*$I128/12*0,IF($J128=2,$E128*$I128/12*1,IF($J128=3,$E128*$I128/12*2,IF($J128&gt;=4,$E128*$I128/12*3,0))))))</f>
        <v>0</v>
      </c>
      <c r="CH128" s="87">
        <f t="shared" ref="CH128" si="2136">IF($H128&lt;&gt;CK$5,0,IF(CK128&gt;0,IF(OR($J128=1,$J128=2,$J128=3,$J128=4),$E128*$I128/12*3,IF($J128=5,$E128*$I128/12*2,IF($J128=6,$E128*$I128/12*1,0)))))+IF(CF$5&lt;&gt;$H128,0,IF(CF128&gt;0,IF($J128=4,$E128*$I128/12*0,IF($J128=5,$E128*$I128/12*1,IF($J128=6,$E128*$I128/12*2,IF($J128&gt;=7,$E128*$I128/12*3,0))))))</f>
        <v>0</v>
      </c>
      <c r="CI128" s="87">
        <f t="shared" ref="CI128" si="2137">IF($H128&lt;&gt;CK$5,0,IF(CK128&gt;0,IF(OR($J128=1,$J128=2,$J128=3,$J128=4,$J128=5,$J128=6,$J128=7),$E128*$I128/12*3,IF($J128=8,$E128*$I128/12*2,IF($J128=9,$E128*$I128/12*1,0)))))+IF(CF$5&lt;&gt;$H128,0,IF(CF128&gt;0,IF($J128=7,$E128*$I128/12*0,IF($J128=8,$E128*$I128/12*1,IF($J128=9,$E128*$I128/12*2,IF($J128&gt;=10,$E128*$I128/12*3,0))))))</f>
        <v>0</v>
      </c>
      <c r="CJ128" s="88">
        <f t="shared" ref="CJ128" si="2138">IF($H128&lt;&gt;CK$5,0,IF(CK128&gt;0,IF(OR($J128=1,$J128=2,$J128=3,$J128=4,$J128=5,$J128=6,$J128=7,$J128=8,$J128=9,$J128=10),$E128*$I128/12*3,IF($J128=11,$E128*$I128/12*2,IF($J128=12,$E128*$I128/12*1,0)))))+IF(CF$5&lt;&gt;$H128,0,IF(CF128&gt;0,IF($J128=10,$E128*$I128/12*0,IF($J128=11,$E128*$I128/12*1,IF($J128=12,$E128*$I128/12*2,0)))))</f>
        <v>0</v>
      </c>
      <c r="CK128" s="85">
        <f t="shared" ref="CK128" si="2139">IF(AND(CF128&lt;&gt;0,CF$5=$H128),$I128*$E128-CF128,IF(CK$5=$H128,$I128*$E128*(12-$J128+1)/12,0))</f>
        <v>0</v>
      </c>
      <c r="CL128" s="86">
        <f t="shared" ref="CL128" si="2140">IF($H128&lt;&gt;CP$5,0,IF(CP128&gt;0,IF($J128=1,$E128*$I128/12*3,IF($J128=2,$E128*$I128/12*2,IF($J128=3,$E128*$I128/12*1,0)))))+IF(CK$5&lt;&gt;$H128,0,IF(CK128&gt;0,IF($J128=1,$E128*$I128/12*0,IF($J128=2,$E128*$I128/12*1,IF($J128=3,$E128*$I128/12*2,IF($J128&gt;=4,$E128*$I128/12*3,0))))))</f>
        <v>0</v>
      </c>
      <c r="CM128" s="87">
        <f t="shared" ref="CM128" si="2141">IF($H128&lt;&gt;CP$5,0,IF(CP128&gt;0,IF(OR($J128=1,$J128=2,$J128=3,$J128=4),$E128*$I128/12*3,IF($J128=5,$E128*$I128/12*2,IF($J128=6,$E128*$I128/12*1,0)))))+IF(CK$5&lt;&gt;$H128,0,IF(CK128&gt;0,IF($J128=4,$E128*$I128/12*0,IF($J128=5,$E128*$I128/12*1,IF($J128=6,$E128*$I128/12*2,IF($J128&gt;=7,$E128*$I128/12*3,0))))))</f>
        <v>0</v>
      </c>
      <c r="CN128" s="87">
        <f t="shared" ref="CN128" si="2142">IF($H128&lt;&gt;CP$5,0,IF(CP128&gt;0,IF(OR($J128=1,$J128=2,$J128=3,$J128=4,$J128=5,$J128=6,$J128=7),$E128*$I128/12*3,IF($J128=8,$E128*$I128/12*2,IF($J128=9,$E128*$I128/12*1,0)))))+IF(CK$5&lt;&gt;$H128,0,IF(CK128&gt;0,IF($J128=7,$E128*$I128/12*0,IF($J128=8,$E128*$I128/12*1,IF($J128=9,$E128*$I128/12*2,IF($J128&gt;=10,$E128*$I128/12*3,0))))))</f>
        <v>0</v>
      </c>
      <c r="CO128" s="88">
        <f t="shared" ref="CO128" si="2143">IF($H128&lt;&gt;CP$5,0,IF(CP128&gt;0,IF(OR($J128=1,$J128=2,$J128=3,$J128=4,$J128=5,$J128=6,$J128=7,$J128=8,$J128=9,$J128=10),$E128*$I128/12*3,IF($J128=11,$E128*$I128/12*2,IF($J128=12,$E128*$I128/12*1,0)))))+IF(CK$5&lt;&gt;$H128,0,IF(CK128&gt;0,IF($J128=10,$E128*$I128/12*0,IF($J128=11,$E128*$I128/12*1,IF($J128=12,$E128*$I128/12*2,0)))))</f>
        <v>0</v>
      </c>
      <c r="CP128" s="85">
        <f t="shared" ref="CP128" si="2144">IF(AND(CK128&lt;&gt;0,CK$5=$H128),$I128*$E128-CK128,IF(CP$5=$H128,$I128*$E128*(12-$J128+1)/12,0))</f>
        <v>0</v>
      </c>
      <c r="CQ128" s="86">
        <f t="shared" ref="CQ128" si="2145">IF($H128&lt;&gt;CU$5,0,IF(CU128&gt;0,IF($J128=1,$E128*$I128/12*3,IF($J128=2,$E128*$I128/12*2,IF($J128=3,$E128*$I128/12*1,0)))))+IF(CP$5&lt;&gt;$H128,0,IF(CP128&gt;0,IF($J128=1,$E128*$I128/12*0,IF($J128=2,$E128*$I128/12*1,IF($J128=3,$E128*$I128/12*2,IF($J128&gt;=4,$E128*$I128/12*3,0))))))</f>
        <v>0</v>
      </c>
      <c r="CR128" s="87">
        <f t="shared" ref="CR128" si="2146">IF($H128&lt;&gt;CU$5,0,IF(CU128&gt;0,IF(OR($J128=1,$J128=2,$J128=3,$J128=4),$E128*$I128/12*3,IF($J128=5,$E128*$I128/12*2,IF($J128=6,$E128*$I128/12*1,0)))))+IF(CP$5&lt;&gt;$H128,0,IF(CP128&gt;0,IF($J128=4,$E128*$I128/12*0,IF($J128=5,$E128*$I128/12*1,IF($J128=6,$E128*$I128/12*2,IF($J128&gt;=7,$E128*$I128/12*3,0))))))</f>
        <v>0</v>
      </c>
      <c r="CS128" s="87">
        <f t="shared" ref="CS128" si="2147">IF($H128&lt;&gt;CU$5,0,IF(CU128&gt;0,IF(OR($J128=1,$J128=2,$J128=3,$J128=4,$J128=5,$J128=6,$J128=7),$E128*$I128/12*3,IF($J128=8,$E128*$I128/12*2,IF($J128=9,$E128*$I128/12*1,0)))))+IF(CP$5&lt;&gt;$H128,0,IF(CP128&gt;0,IF($J128=7,$E128*$I128/12*0,IF($J128=8,$E128*$I128/12*1,IF($J128=9,$E128*$I128/12*2,IF($J128&gt;=10,$E128*$I128/12*3,0))))))</f>
        <v>1.875</v>
      </c>
      <c r="CT128" s="88">
        <f t="shared" ref="CT128" si="2148">IF($H128&lt;&gt;CU$5,0,IF(CU128&gt;0,IF(OR($J128=1,$J128=2,$J128=3,$J128=4,$J128=5,$J128=6,$J128=7,$J128=8,$J128=9,$J128=10),$E128*$I128/12*3,IF($J128=11,$E128*$I128/12*2,IF($J128=12,$E128*$I128/12*1,0)))))+IF(CP$5&lt;&gt;$H128,0,IF(CP128&gt;0,IF($J128=10,$E128*$I128/12*0,IF($J128=11,$E128*$I128/12*1,IF($J128=12,$E128*$I128/12*2,0)))))</f>
        <v>1.875</v>
      </c>
      <c r="CU128" s="85">
        <f t="shared" ref="CU128" si="2149">IF(AND(CP128&lt;&gt;0,CP$5=$H128),$I128*$E128-CP128,IF(CU$5=$H128,$I128*$E128*(12-$J128+1)/12,0))</f>
        <v>3.75</v>
      </c>
      <c r="CV128" s="86">
        <f t="shared" si="1999"/>
        <v>1.875</v>
      </c>
      <c r="CW128" s="87">
        <f t="shared" si="2000"/>
        <v>1.875</v>
      </c>
      <c r="CX128" s="87">
        <f t="shared" si="2001"/>
        <v>0</v>
      </c>
      <c r="CY128" s="88">
        <f t="shared" si="2002"/>
        <v>0</v>
      </c>
      <c r="CZ128" s="85">
        <f t="shared" si="2003"/>
        <v>3.75</v>
      </c>
    </row>
    <row r="129" spans="1:104" ht="12.75" customHeight="1">
      <c r="A129" s="4"/>
      <c r="B129" s="4"/>
      <c r="C129" s="1999" t="s">
        <v>1521</v>
      </c>
      <c r="D129" s="146"/>
      <c r="E129" s="147">
        <f>+PECO!BQ180</f>
        <v>440</v>
      </c>
      <c r="F129" s="326"/>
      <c r="G129" s="326"/>
      <c r="H129" s="171">
        <v>2021</v>
      </c>
      <c r="I129" s="172">
        <v>0.05</v>
      </c>
      <c r="J129" s="171">
        <v>7</v>
      </c>
      <c r="K129" s="80"/>
      <c r="L129" s="81">
        <f t="shared" si="1912"/>
        <v>0</v>
      </c>
      <c r="M129" s="82">
        <f t="shared" si="2004"/>
        <v>0</v>
      </c>
      <c r="N129" s="83">
        <f t="shared" si="2005"/>
        <v>0</v>
      </c>
      <c r="O129" s="83">
        <f t="shared" si="2006"/>
        <v>0</v>
      </c>
      <c r="P129" s="84">
        <f t="shared" si="2007"/>
        <v>0</v>
      </c>
      <c r="Q129" s="81">
        <f t="shared" si="1917"/>
        <v>0</v>
      </c>
      <c r="R129" s="82">
        <f t="shared" si="2008"/>
        <v>0</v>
      </c>
      <c r="S129" s="83">
        <f t="shared" si="2009"/>
        <v>0</v>
      </c>
      <c r="T129" s="83">
        <f t="shared" si="2010"/>
        <v>0</v>
      </c>
      <c r="U129" s="84">
        <f t="shared" si="2011"/>
        <v>0</v>
      </c>
      <c r="V129" s="81">
        <f t="shared" si="1922"/>
        <v>0</v>
      </c>
      <c r="W129" s="82">
        <f t="shared" si="2012"/>
        <v>0</v>
      </c>
      <c r="X129" s="83">
        <f t="shared" si="2013"/>
        <v>0</v>
      </c>
      <c r="Y129" s="83">
        <f t="shared" si="2014"/>
        <v>0</v>
      </c>
      <c r="Z129" s="84">
        <f t="shared" si="2015"/>
        <v>0</v>
      </c>
      <c r="AA129" s="81">
        <f t="shared" si="1927"/>
        <v>0</v>
      </c>
      <c r="AB129" s="82">
        <f t="shared" si="2016"/>
        <v>0</v>
      </c>
      <c r="AC129" s="83">
        <f t="shared" si="2017"/>
        <v>0</v>
      </c>
      <c r="AD129" s="83">
        <f t="shared" si="2018"/>
        <v>0</v>
      </c>
      <c r="AE129" s="84">
        <f t="shared" si="2019"/>
        <v>0</v>
      </c>
      <c r="AF129" s="81">
        <f t="shared" si="1932"/>
        <v>0</v>
      </c>
      <c r="AG129" s="82">
        <f t="shared" si="2020"/>
        <v>0</v>
      </c>
      <c r="AH129" s="83">
        <f t="shared" si="2021"/>
        <v>0</v>
      </c>
      <c r="AI129" s="83">
        <f t="shared" si="2022"/>
        <v>0</v>
      </c>
      <c r="AJ129" s="84">
        <f t="shared" si="2023"/>
        <v>0</v>
      </c>
      <c r="AK129" s="81">
        <f t="shared" si="1937"/>
        <v>0</v>
      </c>
      <c r="AL129" s="82">
        <f t="shared" si="2024"/>
        <v>0</v>
      </c>
      <c r="AM129" s="83">
        <f t="shared" si="2025"/>
        <v>0</v>
      </c>
      <c r="AN129" s="83">
        <f t="shared" si="2026"/>
        <v>0</v>
      </c>
      <c r="AO129" s="84">
        <f t="shared" si="2027"/>
        <v>0</v>
      </c>
      <c r="AP129" s="81">
        <f t="shared" si="1942"/>
        <v>0</v>
      </c>
      <c r="AQ129" s="82">
        <f t="shared" si="2028"/>
        <v>0</v>
      </c>
      <c r="AR129" s="83">
        <f t="shared" si="2029"/>
        <v>0</v>
      </c>
      <c r="AS129" s="83">
        <f t="shared" si="2030"/>
        <v>0</v>
      </c>
      <c r="AT129" s="84">
        <f t="shared" si="2031"/>
        <v>0</v>
      </c>
      <c r="AU129" s="81">
        <f t="shared" si="1947"/>
        <v>0</v>
      </c>
      <c r="AV129" s="82">
        <f t="shared" si="2032"/>
        <v>0</v>
      </c>
      <c r="AW129" s="83">
        <f t="shared" si="2033"/>
        <v>0</v>
      </c>
      <c r="AX129" s="83">
        <f t="shared" si="2034"/>
        <v>0</v>
      </c>
      <c r="AY129" s="84">
        <f t="shared" si="2035"/>
        <v>0</v>
      </c>
      <c r="AZ129" s="81">
        <f t="shared" si="1952"/>
        <v>0</v>
      </c>
      <c r="BA129" s="82">
        <f t="shared" si="1953"/>
        <v>0</v>
      </c>
      <c r="BB129" s="83">
        <f t="shared" si="1954"/>
        <v>0</v>
      </c>
      <c r="BC129" s="83">
        <f t="shared" si="1955"/>
        <v>440</v>
      </c>
      <c r="BD129" s="84">
        <f t="shared" si="1956"/>
        <v>0</v>
      </c>
      <c r="BE129" s="81">
        <f t="shared" si="1957"/>
        <v>440</v>
      </c>
      <c r="BF129" s="1884"/>
      <c r="BG129" s="2005">
        <f t="shared" si="2036"/>
        <v>0</v>
      </c>
      <c r="BH129" s="86">
        <f t="shared" si="2037"/>
        <v>0</v>
      </c>
      <c r="BI129" s="87">
        <f t="shared" si="2038"/>
        <v>0</v>
      </c>
      <c r="BJ129" s="87">
        <f t="shared" si="2039"/>
        <v>0</v>
      </c>
      <c r="BK129" s="88">
        <f t="shared" si="2040"/>
        <v>0</v>
      </c>
      <c r="BL129" s="85">
        <f t="shared" si="2041"/>
        <v>0</v>
      </c>
      <c r="BM129" s="86">
        <f t="shared" si="2042"/>
        <v>0</v>
      </c>
      <c r="BN129" s="87">
        <f t="shared" si="2043"/>
        <v>0</v>
      </c>
      <c r="BO129" s="87">
        <f t="shared" si="2044"/>
        <v>0</v>
      </c>
      <c r="BP129" s="88">
        <f t="shared" si="2045"/>
        <v>0</v>
      </c>
      <c r="BQ129" s="85">
        <f t="shared" si="2046"/>
        <v>0</v>
      </c>
      <c r="BR129" s="86">
        <f t="shared" si="2047"/>
        <v>0</v>
      </c>
      <c r="BS129" s="87">
        <f t="shared" si="2048"/>
        <v>0</v>
      </c>
      <c r="BT129" s="87">
        <f t="shared" si="2049"/>
        <v>0</v>
      </c>
      <c r="BU129" s="88">
        <f t="shared" si="2050"/>
        <v>0</v>
      </c>
      <c r="BV129" s="85">
        <f t="shared" si="2051"/>
        <v>0</v>
      </c>
      <c r="BW129" s="86">
        <f t="shared" si="2052"/>
        <v>0</v>
      </c>
      <c r="BX129" s="87">
        <f t="shared" si="2053"/>
        <v>0</v>
      </c>
      <c r="BY129" s="87">
        <f t="shared" si="2054"/>
        <v>0</v>
      </c>
      <c r="BZ129" s="88">
        <f t="shared" si="2055"/>
        <v>0</v>
      </c>
      <c r="CA129" s="85">
        <f t="shared" si="2056"/>
        <v>0</v>
      </c>
      <c r="CB129" s="86">
        <f t="shared" si="2057"/>
        <v>0</v>
      </c>
      <c r="CC129" s="87">
        <f t="shared" si="2058"/>
        <v>0</v>
      </c>
      <c r="CD129" s="87">
        <f t="shared" si="2059"/>
        <v>0</v>
      </c>
      <c r="CE129" s="88">
        <f t="shared" si="2060"/>
        <v>0</v>
      </c>
      <c r="CF129" s="85">
        <f t="shared" si="2061"/>
        <v>0</v>
      </c>
      <c r="CG129" s="86">
        <f t="shared" si="2062"/>
        <v>0</v>
      </c>
      <c r="CH129" s="87">
        <f t="shared" si="2063"/>
        <v>0</v>
      </c>
      <c r="CI129" s="87">
        <f t="shared" si="2064"/>
        <v>0</v>
      </c>
      <c r="CJ129" s="88">
        <f t="shared" si="2065"/>
        <v>0</v>
      </c>
      <c r="CK129" s="85">
        <f t="shared" si="2066"/>
        <v>0</v>
      </c>
      <c r="CL129" s="86">
        <f t="shared" si="2067"/>
        <v>0</v>
      </c>
      <c r="CM129" s="87">
        <f t="shared" si="2068"/>
        <v>0</v>
      </c>
      <c r="CN129" s="87">
        <f t="shared" si="2069"/>
        <v>0</v>
      </c>
      <c r="CO129" s="88">
        <f t="shared" si="2070"/>
        <v>0</v>
      </c>
      <c r="CP129" s="85">
        <f t="shared" si="2071"/>
        <v>0</v>
      </c>
      <c r="CQ129" s="86">
        <f t="shared" si="2072"/>
        <v>0</v>
      </c>
      <c r="CR129" s="87">
        <f t="shared" si="2073"/>
        <v>0</v>
      </c>
      <c r="CS129" s="87">
        <f t="shared" si="2074"/>
        <v>0</v>
      </c>
      <c r="CT129" s="88">
        <f t="shared" si="2075"/>
        <v>0</v>
      </c>
      <c r="CU129" s="85">
        <f t="shared" si="2076"/>
        <v>0</v>
      </c>
      <c r="CV129" s="86">
        <f t="shared" si="1999"/>
        <v>0</v>
      </c>
      <c r="CW129" s="87">
        <f t="shared" si="2000"/>
        <v>0</v>
      </c>
      <c r="CX129" s="87">
        <f t="shared" si="2001"/>
        <v>5.5</v>
      </c>
      <c r="CY129" s="88">
        <f t="shared" si="2002"/>
        <v>5.5</v>
      </c>
      <c r="CZ129" s="85">
        <f t="shared" si="2003"/>
        <v>11</v>
      </c>
    </row>
    <row r="130" spans="1:104" ht="12.75" customHeight="1">
      <c r="A130" s="4"/>
      <c r="B130" s="4"/>
      <c r="C130" s="174"/>
      <c r="D130" s="175"/>
      <c r="E130" s="151"/>
      <c r="F130" s="152"/>
      <c r="G130" s="152"/>
      <c r="H130" s="176"/>
      <c r="I130" s="177"/>
      <c r="J130" s="178"/>
      <c r="K130" s="179"/>
      <c r="L130" s="98"/>
      <c r="M130" s="99"/>
      <c r="N130" s="100"/>
      <c r="O130" s="100"/>
      <c r="P130" s="101"/>
      <c r="Q130" s="98"/>
      <c r="R130" s="99"/>
      <c r="S130" s="100"/>
      <c r="T130" s="100"/>
      <c r="U130" s="101"/>
      <c r="V130" s="98"/>
      <c r="W130" s="99"/>
      <c r="X130" s="100"/>
      <c r="Y130" s="100"/>
      <c r="Z130" s="101"/>
      <c r="AA130" s="98"/>
      <c r="AB130" s="99"/>
      <c r="AC130" s="100"/>
      <c r="AD130" s="100"/>
      <c r="AE130" s="101"/>
      <c r="AF130" s="98"/>
      <c r="AG130" s="99"/>
      <c r="AH130" s="100"/>
      <c r="AI130" s="100"/>
      <c r="AJ130" s="101"/>
      <c r="AK130" s="98"/>
      <c r="AL130" s="99"/>
      <c r="AM130" s="100"/>
      <c r="AN130" s="100"/>
      <c r="AO130" s="101"/>
      <c r="AP130" s="98"/>
      <c r="AQ130" s="99"/>
      <c r="AR130" s="100"/>
      <c r="AS130" s="100"/>
      <c r="AT130" s="101"/>
      <c r="AU130" s="98"/>
      <c r="AV130" s="99"/>
      <c r="AW130" s="100"/>
      <c r="AX130" s="100"/>
      <c r="AY130" s="101"/>
      <c r="AZ130" s="98"/>
      <c r="BA130" s="99"/>
      <c r="BB130" s="100"/>
      <c r="BC130" s="100"/>
      <c r="BD130" s="101"/>
      <c r="BE130" s="98"/>
      <c r="BF130" s="1657"/>
      <c r="BG130" s="2006"/>
      <c r="BH130" s="103"/>
      <c r="BI130" s="104"/>
      <c r="BJ130" s="104"/>
      <c r="BK130" s="105"/>
      <c r="BL130" s="102"/>
      <c r="BM130" s="103"/>
      <c r="BN130" s="104"/>
      <c r="BO130" s="104"/>
      <c r="BP130" s="105"/>
      <c r="BQ130" s="102"/>
      <c r="BR130" s="103"/>
      <c r="BS130" s="104"/>
      <c r="BT130" s="104"/>
      <c r="BU130" s="105"/>
      <c r="BV130" s="102"/>
      <c r="BW130" s="103"/>
      <c r="BX130" s="104"/>
      <c r="BY130" s="104"/>
      <c r="BZ130" s="105"/>
      <c r="CA130" s="102"/>
      <c r="CB130" s="103"/>
      <c r="CC130" s="104"/>
      <c r="CD130" s="104"/>
      <c r="CE130" s="105"/>
      <c r="CF130" s="102"/>
      <c r="CG130" s="103"/>
      <c r="CH130" s="104"/>
      <c r="CI130" s="104"/>
      <c r="CJ130" s="105"/>
      <c r="CK130" s="102"/>
      <c r="CL130" s="103"/>
      <c r="CM130" s="104"/>
      <c r="CN130" s="104"/>
      <c r="CO130" s="105"/>
      <c r="CP130" s="102"/>
      <c r="CQ130" s="103"/>
      <c r="CR130" s="104"/>
      <c r="CS130" s="104"/>
      <c r="CT130" s="105"/>
      <c r="CU130" s="102"/>
      <c r="CV130" s="103"/>
      <c r="CW130" s="104"/>
      <c r="CX130" s="104"/>
      <c r="CY130" s="105"/>
      <c r="CZ130" s="102"/>
    </row>
    <row r="131" spans="1:104" ht="12.75" customHeight="1">
      <c r="A131" s="156"/>
      <c r="B131" s="156"/>
      <c r="C131" s="157" t="s">
        <v>399</v>
      </c>
      <c r="D131" s="194"/>
      <c r="E131" s="158">
        <f>SUM(E125:E130)</f>
        <v>1725</v>
      </c>
      <c r="F131" s="107"/>
      <c r="G131" s="107"/>
      <c r="H131" s="108"/>
      <c r="I131" s="109"/>
      <c r="J131" s="110"/>
      <c r="K131" s="180"/>
      <c r="L131" s="111">
        <f t="shared" ref="L131:Z131" si="2150">SUM(L126:L130)</f>
        <v>0</v>
      </c>
      <c r="M131" s="112">
        <f t="shared" si="2150"/>
        <v>0</v>
      </c>
      <c r="N131" s="113">
        <f t="shared" si="2150"/>
        <v>0</v>
      </c>
      <c r="O131" s="113">
        <f t="shared" si="2150"/>
        <v>0</v>
      </c>
      <c r="P131" s="114">
        <f t="shared" si="2150"/>
        <v>0</v>
      </c>
      <c r="Q131" s="111">
        <f t="shared" si="2150"/>
        <v>0</v>
      </c>
      <c r="R131" s="112">
        <f t="shared" si="2150"/>
        <v>0</v>
      </c>
      <c r="S131" s="113">
        <f t="shared" si="2150"/>
        <v>0</v>
      </c>
      <c r="T131" s="113">
        <f t="shared" si="2150"/>
        <v>0</v>
      </c>
      <c r="U131" s="114">
        <f t="shared" si="2150"/>
        <v>0</v>
      </c>
      <c r="V131" s="111">
        <f t="shared" si="2150"/>
        <v>0</v>
      </c>
      <c r="W131" s="112">
        <f t="shared" si="2150"/>
        <v>0</v>
      </c>
      <c r="X131" s="113">
        <f t="shared" si="2150"/>
        <v>0</v>
      </c>
      <c r="Y131" s="113">
        <f t="shared" si="2150"/>
        <v>0</v>
      </c>
      <c r="Z131" s="114">
        <f t="shared" si="2150"/>
        <v>0</v>
      </c>
      <c r="AA131" s="111">
        <f t="shared" ref="AA131:BE131" si="2151">SUM(AA125:AA130)</f>
        <v>0</v>
      </c>
      <c r="AB131" s="112">
        <f t="shared" si="2151"/>
        <v>0</v>
      </c>
      <c r="AC131" s="113">
        <f t="shared" si="2151"/>
        <v>0</v>
      </c>
      <c r="AD131" s="113">
        <f t="shared" si="2151"/>
        <v>0</v>
      </c>
      <c r="AE131" s="114">
        <f t="shared" si="2151"/>
        <v>0</v>
      </c>
      <c r="AF131" s="111">
        <f t="shared" si="2151"/>
        <v>0</v>
      </c>
      <c r="AG131" s="112">
        <f t="shared" si="2151"/>
        <v>0</v>
      </c>
      <c r="AH131" s="113">
        <f t="shared" si="2151"/>
        <v>0</v>
      </c>
      <c r="AI131" s="113">
        <f t="shared" si="2151"/>
        <v>325</v>
      </c>
      <c r="AJ131" s="114">
        <f t="shared" si="2151"/>
        <v>0</v>
      </c>
      <c r="AK131" s="111">
        <f t="shared" si="2151"/>
        <v>325</v>
      </c>
      <c r="AL131" s="112">
        <f t="shared" si="2151"/>
        <v>0</v>
      </c>
      <c r="AM131" s="113">
        <f t="shared" si="2151"/>
        <v>0</v>
      </c>
      <c r="AN131" s="113">
        <f t="shared" si="2151"/>
        <v>575</v>
      </c>
      <c r="AO131" s="114">
        <f t="shared" si="2151"/>
        <v>0</v>
      </c>
      <c r="AP131" s="111">
        <f t="shared" si="2151"/>
        <v>575</v>
      </c>
      <c r="AQ131" s="112">
        <f t="shared" si="2151"/>
        <v>0</v>
      </c>
      <c r="AR131" s="113">
        <f t="shared" si="2151"/>
        <v>0</v>
      </c>
      <c r="AS131" s="113">
        <f t="shared" si="2151"/>
        <v>235</v>
      </c>
      <c r="AT131" s="114">
        <f t="shared" si="2151"/>
        <v>0</v>
      </c>
      <c r="AU131" s="111">
        <f t="shared" si="2151"/>
        <v>235</v>
      </c>
      <c r="AV131" s="112">
        <f t="shared" si="2151"/>
        <v>0</v>
      </c>
      <c r="AW131" s="113">
        <f t="shared" si="2151"/>
        <v>0</v>
      </c>
      <c r="AX131" s="113">
        <f t="shared" si="2151"/>
        <v>150</v>
      </c>
      <c r="AY131" s="114">
        <f t="shared" si="2151"/>
        <v>0</v>
      </c>
      <c r="AZ131" s="111">
        <f t="shared" si="2151"/>
        <v>150</v>
      </c>
      <c r="BA131" s="112">
        <f t="shared" si="2151"/>
        <v>0</v>
      </c>
      <c r="BB131" s="113">
        <f t="shared" si="2151"/>
        <v>0</v>
      </c>
      <c r="BC131" s="113">
        <f t="shared" si="2151"/>
        <v>440</v>
      </c>
      <c r="BD131" s="114">
        <f t="shared" si="2151"/>
        <v>0</v>
      </c>
      <c r="BE131" s="111">
        <f t="shared" si="2151"/>
        <v>440</v>
      </c>
      <c r="BF131" s="1883"/>
      <c r="BG131" s="2007">
        <f t="shared" ref="BG131:CZ131" si="2152">SUM(BG125:BG130)</f>
        <v>0</v>
      </c>
      <c r="BH131" s="116">
        <f t="shared" si="2152"/>
        <v>0</v>
      </c>
      <c r="BI131" s="117">
        <f t="shared" si="2152"/>
        <v>0</v>
      </c>
      <c r="BJ131" s="117">
        <f t="shared" si="2152"/>
        <v>0</v>
      </c>
      <c r="BK131" s="118">
        <f t="shared" si="2152"/>
        <v>0</v>
      </c>
      <c r="BL131" s="115">
        <f t="shared" si="2152"/>
        <v>0</v>
      </c>
      <c r="BM131" s="116">
        <f t="shared" si="2152"/>
        <v>0</v>
      </c>
      <c r="BN131" s="117">
        <f t="shared" si="2152"/>
        <v>0</v>
      </c>
      <c r="BO131" s="117">
        <f t="shared" si="2152"/>
        <v>0</v>
      </c>
      <c r="BP131" s="118">
        <f t="shared" si="2152"/>
        <v>0</v>
      </c>
      <c r="BQ131" s="115">
        <f t="shared" si="2152"/>
        <v>0</v>
      </c>
      <c r="BR131" s="116">
        <f t="shared" si="2152"/>
        <v>0</v>
      </c>
      <c r="BS131" s="117">
        <f t="shared" si="2152"/>
        <v>0</v>
      </c>
      <c r="BT131" s="117">
        <f t="shared" si="2152"/>
        <v>0</v>
      </c>
      <c r="BU131" s="118">
        <f t="shared" si="2152"/>
        <v>0</v>
      </c>
      <c r="BV131" s="115">
        <f t="shared" si="2152"/>
        <v>0</v>
      </c>
      <c r="BW131" s="116">
        <f t="shared" si="2152"/>
        <v>0</v>
      </c>
      <c r="BX131" s="117">
        <f t="shared" si="2152"/>
        <v>0</v>
      </c>
      <c r="BY131" s="117">
        <f t="shared" si="2152"/>
        <v>0</v>
      </c>
      <c r="BZ131" s="118">
        <f t="shared" si="2152"/>
        <v>0</v>
      </c>
      <c r="CA131" s="115">
        <f t="shared" si="2152"/>
        <v>0</v>
      </c>
      <c r="CB131" s="116">
        <f t="shared" si="2152"/>
        <v>0</v>
      </c>
      <c r="CC131" s="117">
        <f t="shared" si="2152"/>
        <v>0</v>
      </c>
      <c r="CD131" s="117">
        <f t="shared" si="2152"/>
        <v>1.0020833333333332</v>
      </c>
      <c r="CE131" s="118">
        <f t="shared" si="2152"/>
        <v>3.0062499999999996</v>
      </c>
      <c r="CF131" s="115">
        <f t="shared" si="2152"/>
        <v>4.0083333333333329</v>
      </c>
      <c r="CG131" s="116">
        <f t="shared" si="2152"/>
        <v>3.0062499999999996</v>
      </c>
      <c r="CH131" s="117">
        <f t="shared" si="2152"/>
        <v>3.0062499999999996</v>
      </c>
      <c r="CI131" s="117">
        <f t="shared" si="2152"/>
        <v>9.1916666666666664</v>
      </c>
      <c r="CJ131" s="118">
        <f t="shared" si="2152"/>
        <v>7.1875</v>
      </c>
      <c r="CK131" s="115">
        <f t="shared" si="2152"/>
        <v>22.391666666666666</v>
      </c>
      <c r="CL131" s="116">
        <f t="shared" si="2152"/>
        <v>7.1875</v>
      </c>
      <c r="CM131" s="117">
        <f t="shared" si="2152"/>
        <v>7.1875</v>
      </c>
      <c r="CN131" s="117">
        <f t="shared" si="2152"/>
        <v>2.9375</v>
      </c>
      <c r="CO131" s="118">
        <f t="shared" si="2152"/>
        <v>2.9375</v>
      </c>
      <c r="CP131" s="115">
        <f t="shared" si="2152"/>
        <v>20.25</v>
      </c>
      <c r="CQ131" s="116">
        <f t="shared" si="2152"/>
        <v>2.9375</v>
      </c>
      <c r="CR131" s="117">
        <f t="shared" si="2152"/>
        <v>2.9375</v>
      </c>
      <c r="CS131" s="117">
        <f t="shared" si="2152"/>
        <v>1.875</v>
      </c>
      <c r="CT131" s="118">
        <f t="shared" si="2152"/>
        <v>1.875</v>
      </c>
      <c r="CU131" s="115">
        <f t="shared" si="2152"/>
        <v>9.625</v>
      </c>
      <c r="CV131" s="116">
        <f t="shared" si="2152"/>
        <v>1.875</v>
      </c>
      <c r="CW131" s="117">
        <f t="shared" si="2152"/>
        <v>1.875</v>
      </c>
      <c r="CX131" s="117">
        <f t="shared" si="2152"/>
        <v>5.5</v>
      </c>
      <c r="CY131" s="118">
        <f t="shared" si="2152"/>
        <v>5.5</v>
      </c>
      <c r="CZ131" s="115">
        <f t="shared" si="2152"/>
        <v>14.75</v>
      </c>
    </row>
    <row r="132" spans="1:104" ht="12.75" customHeight="1">
      <c r="A132" s="4"/>
      <c r="B132" s="4"/>
      <c r="C132" s="195"/>
      <c r="D132" s="195"/>
      <c r="E132" s="75"/>
      <c r="F132" s="76"/>
      <c r="G132" s="76"/>
      <c r="H132" s="77"/>
      <c r="I132" s="78"/>
      <c r="J132" s="79"/>
      <c r="K132" s="80"/>
      <c r="L132" s="81"/>
      <c r="M132" s="82"/>
      <c r="N132" s="83"/>
      <c r="O132" s="83"/>
      <c r="P132" s="84"/>
      <c r="Q132" s="81"/>
      <c r="R132" s="82"/>
      <c r="S132" s="83"/>
      <c r="T132" s="83"/>
      <c r="U132" s="84"/>
      <c r="V132" s="81"/>
      <c r="W132" s="82"/>
      <c r="X132" s="83"/>
      <c r="Y132" s="83"/>
      <c r="Z132" s="84"/>
      <c r="AA132" s="81"/>
      <c r="AB132" s="82"/>
      <c r="AC132" s="83"/>
      <c r="AD132" s="83"/>
      <c r="AE132" s="84"/>
      <c r="AF132" s="81"/>
      <c r="AG132" s="82"/>
      <c r="AH132" s="83"/>
      <c r="AI132" s="83"/>
      <c r="AJ132" s="84"/>
      <c r="AK132" s="81"/>
      <c r="AL132" s="82"/>
      <c r="AM132" s="83"/>
      <c r="AN132" s="83"/>
      <c r="AO132" s="84"/>
      <c r="AP132" s="81"/>
      <c r="AQ132" s="82"/>
      <c r="AR132" s="83"/>
      <c r="AS132" s="83"/>
      <c r="AT132" s="84"/>
      <c r="AU132" s="81"/>
      <c r="AV132" s="82"/>
      <c r="AW132" s="83"/>
      <c r="AX132" s="83"/>
      <c r="AY132" s="84"/>
      <c r="AZ132" s="81"/>
      <c r="BA132" s="82"/>
      <c r="BB132" s="83"/>
      <c r="BC132" s="83"/>
      <c r="BD132" s="84"/>
      <c r="BE132" s="81"/>
      <c r="BF132" s="1884"/>
      <c r="BG132" s="2005"/>
      <c r="BH132" s="86"/>
      <c r="BI132" s="87"/>
      <c r="BJ132" s="87"/>
      <c r="BK132" s="88"/>
      <c r="BL132" s="85"/>
      <c r="BM132" s="86"/>
      <c r="BN132" s="87"/>
      <c r="BO132" s="87"/>
      <c r="BP132" s="88"/>
      <c r="BQ132" s="85"/>
      <c r="BR132" s="86"/>
      <c r="BS132" s="87"/>
      <c r="BT132" s="87"/>
      <c r="BU132" s="88"/>
      <c r="BV132" s="85"/>
      <c r="BW132" s="86"/>
      <c r="BX132" s="87"/>
      <c r="BY132" s="87"/>
      <c r="BZ132" s="88"/>
      <c r="CA132" s="85"/>
      <c r="CB132" s="86"/>
      <c r="CC132" s="87"/>
      <c r="CD132" s="87"/>
      <c r="CE132" s="88"/>
      <c r="CF132" s="85"/>
      <c r="CG132" s="86"/>
      <c r="CH132" s="87"/>
      <c r="CI132" s="87"/>
      <c r="CJ132" s="88"/>
      <c r="CK132" s="85"/>
      <c r="CL132" s="86"/>
      <c r="CM132" s="87"/>
      <c r="CN132" s="87"/>
      <c r="CO132" s="88"/>
      <c r="CP132" s="85"/>
      <c r="CQ132" s="86"/>
      <c r="CR132" s="87"/>
      <c r="CS132" s="87"/>
      <c r="CT132" s="88"/>
      <c r="CU132" s="85"/>
      <c r="CV132" s="86"/>
      <c r="CW132" s="87"/>
      <c r="CX132" s="87"/>
      <c r="CY132" s="88"/>
      <c r="CZ132" s="85"/>
    </row>
    <row r="133" spans="1:104" ht="12.75" customHeight="1">
      <c r="A133" s="4"/>
      <c r="B133" s="4"/>
      <c r="C133" s="90" t="s">
        <v>542</v>
      </c>
      <c r="D133" s="90"/>
      <c r="E133" s="106"/>
      <c r="F133" s="119"/>
      <c r="G133" s="119"/>
      <c r="H133" s="108"/>
      <c r="I133" s="109"/>
      <c r="J133" s="110"/>
      <c r="K133" s="180"/>
      <c r="L133" s="111">
        <f t="shared" ref="L133:BE133" si="2153">+L121+L131</f>
        <v>0</v>
      </c>
      <c r="M133" s="112">
        <f t="shared" si="2153"/>
        <v>0</v>
      </c>
      <c r="N133" s="113">
        <f t="shared" si="2153"/>
        <v>0</v>
      </c>
      <c r="O133" s="113">
        <f t="shared" si="2153"/>
        <v>0</v>
      </c>
      <c r="P133" s="114">
        <f t="shared" si="2153"/>
        <v>0</v>
      </c>
      <c r="Q133" s="111">
        <f t="shared" si="2153"/>
        <v>0</v>
      </c>
      <c r="R133" s="112">
        <f t="shared" si="2153"/>
        <v>0</v>
      </c>
      <c r="S133" s="113">
        <f t="shared" si="2153"/>
        <v>0</v>
      </c>
      <c r="T133" s="113">
        <f t="shared" si="2153"/>
        <v>0</v>
      </c>
      <c r="U133" s="114">
        <f t="shared" si="2153"/>
        <v>0</v>
      </c>
      <c r="V133" s="111">
        <f t="shared" si="2153"/>
        <v>0</v>
      </c>
      <c r="W133" s="112">
        <f t="shared" si="2153"/>
        <v>0</v>
      </c>
      <c r="X133" s="113">
        <f t="shared" si="2153"/>
        <v>0</v>
      </c>
      <c r="Y133" s="113">
        <f t="shared" si="2153"/>
        <v>0</v>
      </c>
      <c r="Z133" s="114">
        <f t="shared" si="2153"/>
        <v>0</v>
      </c>
      <c r="AA133" s="111">
        <f t="shared" si="2153"/>
        <v>0</v>
      </c>
      <c r="AB133" s="112">
        <f t="shared" si="2153"/>
        <v>0</v>
      </c>
      <c r="AC133" s="113">
        <f t="shared" si="2153"/>
        <v>0</v>
      </c>
      <c r="AD133" s="113">
        <f t="shared" si="2153"/>
        <v>0</v>
      </c>
      <c r="AE133" s="114">
        <f t="shared" si="2153"/>
        <v>0</v>
      </c>
      <c r="AF133" s="111">
        <f t="shared" si="2153"/>
        <v>0</v>
      </c>
      <c r="AG133" s="112">
        <f t="shared" si="2153"/>
        <v>0</v>
      </c>
      <c r="AH133" s="113">
        <f t="shared" si="2153"/>
        <v>0</v>
      </c>
      <c r="AI133" s="113">
        <f t="shared" si="2153"/>
        <v>325</v>
      </c>
      <c r="AJ133" s="114">
        <f t="shared" si="2153"/>
        <v>0</v>
      </c>
      <c r="AK133" s="111">
        <f t="shared" si="2153"/>
        <v>325</v>
      </c>
      <c r="AL133" s="112">
        <f t="shared" si="2153"/>
        <v>-500</v>
      </c>
      <c r="AM133" s="113">
        <f t="shared" si="2153"/>
        <v>0</v>
      </c>
      <c r="AN133" s="113">
        <f t="shared" si="2153"/>
        <v>575</v>
      </c>
      <c r="AO133" s="114">
        <f t="shared" si="2153"/>
        <v>0</v>
      </c>
      <c r="AP133" s="111">
        <f t="shared" si="2153"/>
        <v>75</v>
      </c>
      <c r="AQ133" s="112">
        <f t="shared" si="2153"/>
        <v>0</v>
      </c>
      <c r="AR133" s="113">
        <f t="shared" si="2153"/>
        <v>0</v>
      </c>
      <c r="AS133" s="113">
        <f t="shared" si="2153"/>
        <v>235</v>
      </c>
      <c r="AT133" s="114">
        <f t="shared" si="2153"/>
        <v>0</v>
      </c>
      <c r="AU133" s="111">
        <f t="shared" si="2153"/>
        <v>235</v>
      </c>
      <c r="AV133" s="112">
        <f t="shared" si="2153"/>
        <v>0</v>
      </c>
      <c r="AW133" s="113">
        <f t="shared" si="2153"/>
        <v>0</v>
      </c>
      <c r="AX133" s="113">
        <f t="shared" si="2153"/>
        <v>150</v>
      </c>
      <c r="AY133" s="114">
        <f t="shared" si="2153"/>
        <v>0</v>
      </c>
      <c r="AZ133" s="111">
        <f t="shared" si="2153"/>
        <v>150</v>
      </c>
      <c r="BA133" s="112">
        <f t="shared" si="2153"/>
        <v>0</v>
      </c>
      <c r="BB133" s="113">
        <f t="shared" si="2153"/>
        <v>0</v>
      </c>
      <c r="BC133" s="113">
        <f t="shared" si="2153"/>
        <v>140</v>
      </c>
      <c r="BD133" s="114">
        <f t="shared" si="2153"/>
        <v>0</v>
      </c>
      <c r="BE133" s="111">
        <f t="shared" si="2153"/>
        <v>140</v>
      </c>
      <c r="BF133" s="1883"/>
      <c r="BG133" s="2007">
        <f t="shared" ref="BG133:CZ133" si="2154">+BG121+BG131</f>
        <v>0</v>
      </c>
      <c r="BH133" s="116">
        <f t="shared" si="2154"/>
        <v>0</v>
      </c>
      <c r="BI133" s="117">
        <f t="shared" si="2154"/>
        <v>0</v>
      </c>
      <c r="BJ133" s="117">
        <f t="shared" si="2154"/>
        <v>0</v>
      </c>
      <c r="BK133" s="118">
        <f t="shared" si="2154"/>
        <v>0</v>
      </c>
      <c r="BL133" s="115">
        <f t="shared" si="2154"/>
        <v>0</v>
      </c>
      <c r="BM133" s="116">
        <f t="shared" si="2154"/>
        <v>0</v>
      </c>
      <c r="BN133" s="117">
        <f t="shared" si="2154"/>
        <v>0</v>
      </c>
      <c r="BO133" s="117">
        <f t="shared" si="2154"/>
        <v>0</v>
      </c>
      <c r="BP133" s="118">
        <f t="shared" si="2154"/>
        <v>0</v>
      </c>
      <c r="BQ133" s="115">
        <f t="shared" si="2154"/>
        <v>0</v>
      </c>
      <c r="BR133" s="116">
        <f t="shared" si="2154"/>
        <v>0</v>
      </c>
      <c r="BS133" s="117">
        <f t="shared" si="2154"/>
        <v>0</v>
      </c>
      <c r="BT133" s="117">
        <f t="shared" si="2154"/>
        <v>0</v>
      </c>
      <c r="BU133" s="118">
        <f t="shared" si="2154"/>
        <v>0</v>
      </c>
      <c r="BV133" s="115">
        <f t="shared" si="2154"/>
        <v>0</v>
      </c>
      <c r="BW133" s="116">
        <f t="shared" si="2154"/>
        <v>0</v>
      </c>
      <c r="BX133" s="117">
        <f t="shared" si="2154"/>
        <v>0</v>
      </c>
      <c r="BY133" s="117">
        <f t="shared" si="2154"/>
        <v>0</v>
      </c>
      <c r="BZ133" s="118">
        <f t="shared" si="2154"/>
        <v>0</v>
      </c>
      <c r="CA133" s="115">
        <f t="shared" si="2154"/>
        <v>0</v>
      </c>
      <c r="CB133" s="116">
        <f t="shared" si="2154"/>
        <v>0</v>
      </c>
      <c r="CC133" s="117">
        <f t="shared" si="2154"/>
        <v>0</v>
      </c>
      <c r="CD133" s="117">
        <f t="shared" si="2154"/>
        <v>1.0020833333333332</v>
      </c>
      <c r="CE133" s="118">
        <f t="shared" si="2154"/>
        <v>3.0062499999999996</v>
      </c>
      <c r="CF133" s="115">
        <f t="shared" si="2154"/>
        <v>4.0083333333333329</v>
      </c>
      <c r="CG133" s="116">
        <f t="shared" si="2154"/>
        <v>0.77708333333333313</v>
      </c>
      <c r="CH133" s="117">
        <f t="shared" si="2154"/>
        <v>-3.6812500000000004</v>
      </c>
      <c r="CI133" s="117">
        <f t="shared" si="2154"/>
        <v>2.5041666666666664</v>
      </c>
      <c r="CJ133" s="118">
        <f t="shared" si="2154"/>
        <v>0.5</v>
      </c>
      <c r="CK133" s="115">
        <f t="shared" si="2154"/>
        <v>9.9999999999997868E-2</v>
      </c>
      <c r="CL133" s="116">
        <f t="shared" si="2154"/>
        <v>2.729166666666667</v>
      </c>
      <c r="CM133" s="117">
        <f t="shared" si="2154"/>
        <v>7.1875</v>
      </c>
      <c r="CN133" s="117">
        <f t="shared" si="2154"/>
        <v>2.9375</v>
      </c>
      <c r="CO133" s="118">
        <f t="shared" si="2154"/>
        <v>2.9375</v>
      </c>
      <c r="CP133" s="115">
        <f t="shared" si="2154"/>
        <v>15.791666666666668</v>
      </c>
      <c r="CQ133" s="116">
        <f t="shared" si="2154"/>
        <v>2.9375</v>
      </c>
      <c r="CR133" s="117">
        <f t="shared" si="2154"/>
        <v>2.9375</v>
      </c>
      <c r="CS133" s="117">
        <f t="shared" si="2154"/>
        <v>1.875</v>
      </c>
      <c r="CT133" s="118">
        <f t="shared" si="2154"/>
        <v>1.875</v>
      </c>
      <c r="CU133" s="115">
        <f t="shared" si="2154"/>
        <v>9.625</v>
      </c>
      <c r="CV133" s="116">
        <f t="shared" si="2154"/>
        <v>1.875</v>
      </c>
      <c r="CW133" s="117">
        <f t="shared" si="2154"/>
        <v>1.875</v>
      </c>
      <c r="CX133" s="117">
        <f t="shared" si="2154"/>
        <v>5.0750000000000002</v>
      </c>
      <c r="CY133" s="118">
        <f t="shared" si="2154"/>
        <v>4.2249999999999996</v>
      </c>
      <c r="CZ133" s="115">
        <f t="shared" si="2154"/>
        <v>13.05</v>
      </c>
    </row>
    <row r="134" spans="1:104" ht="12.75" customHeight="1">
      <c r="A134" s="4"/>
      <c r="B134" s="4"/>
      <c r="C134" s="90"/>
      <c r="D134" s="90"/>
      <c r="E134" s="106"/>
      <c r="F134" s="119"/>
      <c r="G134" s="119"/>
      <c r="H134" s="108"/>
      <c r="I134" s="109"/>
      <c r="J134" s="110"/>
      <c r="K134" s="180"/>
      <c r="L134" s="111"/>
      <c r="M134" s="112"/>
      <c r="N134" s="113"/>
      <c r="O134" s="113"/>
      <c r="P134" s="114"/>
      <c r="Q134" s="111"/>
      <c r="R134" s="112"/>
      <c r="S134" s="113"/>
      <c r="T134" s="113"/>
      <c r="U134" s="114"/>
      <c r="V134" s="111"/>
      <c r="W134" s="112"/>
      <c r="X134" s="113"/>
      <c r="Y134" s="113"/>
      <c r="Z134" s="114"/>
      <c r="AA134" s="111"/>
      <c r="AB134" s="112"/>
      <c r="AC134" s="113"/>
      <c r="AD134" s="113"/>
      <c r="AE134" s="114"/>
      <c r="AF134" s="111"/>
      <c r="AG134" s="112"/>
      <c r="AH134" s="113"/>
      <c r="AI134" s="113"/>
      <c r="AJ134" s="114"/>
      <c r="AK134" s="111"/>
      <c r="AL134" s="112"/>
      <c r="AM134" s="113"/>
      <c r="AN134" s="113"/>
      <c r="AO134" s="114"/>
      <c r="AP134" s="111"/>
      <c r="AQ134" s="112"/>
      <c r="AR134" s="113"/>
      <c r="AS134" s="113"/>
      <c r="AT134" s="114"/>
      <c r="AU134" s="111"/>
      <c r="AV134" s="112"/>
      <c r="AW134" s="113"/>
      <c r="AX134" s="113"/>
      <c r="AY134" s="114"/>
      <c r="AZ134" s="111"/>
      <c r="BA134" s="112"/>
      <c r="BB134" s="113"/>
      <c r="BC134" s="113"/>
      <c r="BD134" s="114"/>
      <c r="BE134" s="111"/>
      <c r="BF134" s="1883"/>
      <c r="BG134" s="2007"/>
      <c r="BH134" s="116"/>
      <c r="BI134" s="117"/>
      <c r="BJ134" s="117"/>
      <c r="BK134" s="118"/>
      <c r="BL134" s="115"/>
      <c r="BM134" s="116"/>
      <c r="BN134" s="117"/>
      <c r="BO134" s="117"/>
      <c r="BP134" s="118"/>
      <c r="BQ134" s="115"/>
      <c r="BR134" s="116"/>
      <c r="BS134" s="117"/>
      <c r="BT134" s="117"/>
      <c r="BU134" s="118"/>
      <c r="BV134" s="115"/>
      <c r="BW134" s="116"/>
      <c r="BX134" s="117"/>
      <c r="BY134" s="117"/>
      <c r="BZ134" s="118"/>
      <c r="CA134" s="115"/>
      <c r="CB134" s="116"/>
      <c r="CC134" s="117"/>
      <c r="CD134" s="117"/>
      <c r="CE134" s="118"/>
      <c r="CF134" s="115"/>
      <c r="CG134" s="116"/>
      <c r="CH134" s="117"/>
      <c r="CI134" s="117"/>
      <c r="CJ134" s="118"/>
      <c r="CK134" s="115"/>
      <c r="CL134" s="116"/>
      <c r="CM134" s="117"/>
      <c r="CN134" s="117"/>
      <c r="CO134" s="118"/>
      <c r="CP134" s="115"/>
      <c r="CQ134" s="116"/>
      <c r="CR134" s="117"/>
      <c r="CS134" s="117"/>
      <c r="CT134" s="118"/>
      <c r="CU134" s="115"/>
      <c r="CV134" s="116"/>
      <c r="CW134" s="117"/>
      <c r="CX134" s="117"/>
      <c r="CY134" s="118"/>
      <c r="CZ134" s="115"/>
    </row>
    <row r="135" spans="1:104" ht="12.75" customHeight="1" thickBot="1">
      <c r="A135" s="4"/>
      <c r="B135" s="61"/>
      <c r="C135" s="199"/>
      <c r="D135" s="199"/>
      <c r="E135" s="181"/>
      <c r="F135" s="182"/>
      <c r="G135" s="182"/>
      <c r="H135" s="121"/>
      <c r="I135" s="122"/>
      <c r="J135" s="123"/>
      <c r="K135" s="196"/>
      <c r="L135" s="197"/>
      <c r="M135" s="184"/>
      <c r="N135" s="185"/>
      <c r="O135" s="185"/>
      <c r="P135" s="186"/>
      <c r="Q135" s="197"/>
      <c r="R135" s="184"/>
      <c r="S135" s="185"/>
      <c r="T135" s="185"/>
      <c r="U135" s="186"/>
      <c r="V135" s="197"/>
      <c r="W135" s="184"/>
      <c r="X135" s="185"/>
      <c r="Y135" s="185"/>
      <c r="Z135" s="186"/>
      <c r="AA135" s="197"/>
      <c r="AB135" s="184"/>
      <c r="AC135" s="185"/>
      <c r="AD135" s="185"/>
      <c r="AE135" s="186"/>
      <c r="AF135" s="197"/>
      <c r="AG135" s="184"/>
      <c r="AH135" s="185"/>
      <c r="AI135" s="185"/>
      <c r="AJ135" s="186"/>
      <c r="AK135" s="197"/>
      <c r="AL135" s="184"/>
      <c r="AM135" s="185"/>
      <c r="AN135" s="185"/>
      <c r="AO135" s="186"/>
      <c r="AP135" s="197"/>
      <c r="AQ135" s="184"/>
      <c r="AR135" s="185"/>
      <c r="AS135" s="185"/>
      <c r="AT135" s="186"/>
      <c r="AU135" s="197"/>
      <c r="AV135" s="184"/>
      <c r="AW135" s="185"/>
      <c r="AX135" s="185"/>
      <c r="AY135" s="186"/>
      <c r="AZ135" s="197"/>
      <c r="BA135" s="184"/>
      <c r="BB135" s="185"/>
      <c r="BC135" s="185"/>
      <c r="BD135" s="186"/>
      <c r="BE135" s="197"/>
      <c r="BF135" s="1886"/>
      <c r="BG135" s="2016"/>
      <c r="BH135" s="187"/>
      <c r="BI135" s="188"/>
      <c r="BJ135" s="188"/>
      <c r="BK135" s="189"/>
      <c r="BL135" s="198"/>
      <c r="BM135" s="187"/>
      <c r="BN135" s="188"/>
      <c r="BO135" s="188"/>
      <c r="BP135" s="189"/>
      <c r="BQ135" s="198"/>
      <c r="BR135" s="187"/>
      <c r="BS135" s="188"/>
      <c r="BT135" s="188"/>
      <c r="BU135" s="189"/>
      <c r="BV135" s="198"/>
      <c r="BW135" s="187"/>
      <c r="BX135" s="188"/>
      <c r="BY135" s="188"/>
      <c r="BZ135" s="189"/>
      <c r="CA135" s="198"/>
      <c r="CB135" s="187"/>
      <c r="CC135" s="188"/>
      <c r="CD135" s="188"/>
      <c r="CE135" s="189"/>
      <c r="CF135" s="198"/>
      <c r="CG135" s="187"/>
      <c r="CH135" s="188"/>
      <c r="CI135" s="188"/>
      <c r="CJ135" s="189"/>
      <c r="CK135" s="198"/>
      <c r="CL135" s="187"/>
      <c r="CM135" s="188"/>
      <c r="CN135" s="188"/>
      <c r="CO135" s="189"/>
      <c r="CP135" s="198"/>
      <c r="CQ135" s="187"/>
      <c r="CR135" s="188"/>
      <c r="CS135" s="188"/>
      <c r="CT135" s="189"/>
      <c r="CU135" s="198"/>
      <c r="CV135" s="187"/>
      <c r="CW135" s="188"/>
      <c r="CX135" s="188"/>
      <c r="CY135" s="189"/>
      <c r="CZ135" s="198"/>
    </row>
    <row r="136" spans="1:104" ht="12.75" customHeight="1">
      <c r="A136" s="4"/>
      <c r="B136" s="73" t="s">
        <v>636</v>
      </c>
      <c r="C136" s="74"/>
      <c r="D136" s="15"/>
      <c r="E136" s="75"/>
      <c r="F136" s="76"/>
      <c r="G136" s="76"/>
      <c r="H136" s="128"/>
      <c r="I136" s="128"/>
      <c r="J136" s="190"/>
      <c r="K136" s="80"/>
      <c r="L136" s="81"/>
      <c r="M136" s="82"/>
      <c r="N136" s="83"/>
      <c r="O136" s="83"/>
      <c r="P136" s="84"/>
      <c r="Q136" s="81"/>
      <c r="R136" s="82"/>
      <c r="S136" s="83"/>
      <c r="T136" s="83"/>
      <c r="U136" s="84"/>
      <c r="V136" s="81"/>
      <c r="W136" s="82"/>
      <c r="X136" s="83"/>
      <c r="Y136" s="83"/>
      <c r="Z136" s="84"/>
      <c r="AA136" s="81"/>
      <c r="AB136" s="82"/>
      <c r="AC136" s="83"/>
      <c r="AD136" s="83"/>
      <c r="AE136" s="84"/>
      <c r="AF136" s="81"/>
      <c r="AG136" s="82"/>
      <c r="AH136" s="83"/>
      <c r="AI136" s="83"/>
      <c r="AJ136" s="84"/>
      <c r="AK136" s="81"/>
      <c r="AL136" s="82"/>
      <c r="AM136" s="83"/>
      <c r="AN136" s="83"/>
      <c r="AO136" s="84"/>
      <c r="AP136" s="81"/>
      <c r="AQ136" s="82"/>
      <c r="AR136" s="83"/>
      <c r="AS136" s="83"/>
      <c r="AT136" s="84"/>
      <c r="AU136" s="81"/>
      <c r="AV136" s="82"/>
      <c r="AW136" s="83"/>
      <c r="AX136" s="83"/>
      <c r="AY136" s="84"/>
      <c r="AZ136" s="81"/>
      <c r="BA136" s="82"/>
      <c r="BB136" s="83"/>
      <c r="BC136" s="83"/>
      <c r="BD136" s="84"/>
      <c r="BE136" s="81"/>
      <c r="BF136" s="1884"/>
      <c r="BG136" s="2005"/>
      <c r="BH136" s="86"/>
      <c r="BI136" s="87"/>
      <c r="BJ136" s="87"/>
      <c r="BK136" s="88"/>
      <c r="BL136" s="85"/>
      <c r="BM136" s="86"/>
      <c r="BN136" s="87"/>
      <c r="BO136" s="87"/>
      <c r="BP136" s="88"/>
      <c r="BQ136" s="85"/>
      <c r="BR136" s="86"/>
      <c r="BS136" s="87"/>
      <c r="BT136" s="87"/>
      <c r="BU136" s="88"/>
      <c r="BV136" s="85"/>
      <c r="BW136" s="86"/>
      <c r="BX136" s="87"/>
      <c r="BY136" s="87"/>
      <c r="BZ136" s="88"/>
      <c r="CA136" s="85"/>
      <c r="CB136" s="86"/>
      <c r="CC136" s="87"/>
      <c r="CD136" s="87"/>
      <c r="CE136" s="88"/>
      <c r="CF136" s="85"/>
      <c r="CG136" s="86"/>
      <c r="CH136" s="87"/>
      <c r="CI136" s="87"/>
      <c r="CJ136" s="88"/>
      <c r="CK136" s="85"/>
      <c r="CL136" s="86"/>
      <c r="CM136" s="87"/>
      <c r="CN136" s="87"/>
      <c r="CO136" s="88"/>
      <c r="CP136" s="85"/>
      <c r="CQ136" s="86"/>
      <c r="CR136" s="87"/>
      <c r="CS136" s="87"/>
      <c r="CT136" s="88"/>
      <c r="CU136" s="85"/>
      <c r="CV136" s="86"/>
      <c r="CW136" s="87"/>
      <c r="CX136" s="87"/>
      <c r="CY136" s="88"/>
      <c r="CZ136" s="85"/>
    </row>
    <row r="137" spans="1:104" ht="12.75" customHeight="1">
      <c r="A137" s="4"/>
      <c r="B137" s="200"/>
      <c r="C137" s="38"/>
      <c r="D137" s="1"/>
      <c r="E137" s="75"/>
      <c r="F137" s="76"/>
      <c r="G137" s="76"/>
      <c r="H137" s="128"/>
      <c r="I137" s="128"/>
      <c r="J137" s="190"/>
      <c r="K137" s="80"/>
      <c r="L137" s="81"/>
      <c r="M137" s="82"/>
      <c r="N137" s="83"/>
      <c r="O137" s="83"/>
      <c r="P137" s="84"/>
      <c r="Q137" s="81"/>
      <c r="R137" s="82"/>
      <c r="S137" s="83"/>
      <c r="T137" s="83"/>
      <c r="U137" s="84"/>
      <c r="V137" s="81"/>
      <c r="W137" s="82"/>
      <c r="X137" s="83"/>
      <c r="Y137" s="83"/>
      <c r="Z137" s="84"/>
      <c r="AA137" s="81"/>
      <c r="AB137" s="82"/>
      <c r="AC137" s="83"/>
      <c r="AD137" s="83"/>
      <c r="AE137" s="84"/>
      <c r="AF137" s="81"/>
      <c r="AG137" s="82"/>
      <c r="AH137" s="83"/>
      <c r="AI137" s="83"/>
      <c r="AJ137" s="84"/>
      <c r="AK137" s="81"/>
      <c r="AL137" s="82"/>
      <c r="AM137" s="83"/>
      <c r="AN137" s="83"/>
      <c r="AO137" s="84"/>
      <c r="AP137" s="81"/>
      <c r="AQ137" s="82"/>
      <c r="AR137" s="83"/>
      <c r="AS137" s="83"/>
      <c r="AT137" s="84"/>
      <c r="AU137" s="81"/>
      <c r="AV137" s="82"/>
      <c r="AW137" s="83"/>
      <c r="AX137" s="83"/>
      <c r="AY137" s="84"/>
      <c r="AZ137" s="81"/>
      <c r="BA137" s="82"/>
      <c r="BB137" s="83"/>
      <c r="BC137" s="83"/>
      <c r="BD137" s="84"/>
      <c r="BE137" s="81"/>
      <c r="BF137" s="1884"/>
      <c r="BG137" s="2005"/>
      <c r="BH137" s="86"/>
      <c r="BI137" s="87"/>
      <c r="BJ137" s="87"/>
      <c r="BK137" s="88"/>
      <c r="BL137" s="85"/>
      <c r="BM137" s="86"/>
      <c r="BN137" s="87"/>
      <c r="BO137" s="87"/>
      <c r="BP137" s="88"/>
      <c r="BQ137" s="85"/>
      <c r="BR137" s="86"/>
      <c r="BS137" s="87"/>
      <c r="BT137" s="87"/>
      <c r="BU137" s="88"/>
      <c r="BV137" s="85"/>
      <c r="BW137" s="86"/>
      <c r="BX137" s="87"/>
      <c r="BY137" s="87"/>
      <c r="BZ137" s="88"/>
      <c r="CA137" s="85"/>
      <c r="CB137" s="86"/>
      <c r="CC137" s="87"/>
      <c r="CD137" s="87"/>
      <c r="CE137" s="88"/>
      <c r="CF137" s="85"/>
      <c r="CG137" s="86"/>
      <c r="CH137" s="87"/>
      <c r="CI137" s="87"/>
      <c r="CJ137" s="88"/>
      <c r="CK137" s="85"/>
      <c r="CL137" s="86"/>
      <c r="CM137" s="87"/>
      <c r="CN137" s="87"/>
      <c r="CO137" s="88"/>
      <c r="CP137" s="85"/>
      <c r="CQ137" s="86"/>
      <c r="CR137" s="87"/>
      <c r="CS137" s="87"/>
      <c r="CT137" s="88"/>
      <c r="CU137" s="85"/>
      <c r="CV137" s="86"/>
      <c r="CW137" s="87"/>
      <c r="CX137" s="87"/>
      <c r="CY137" s="88"/>
      <c r="CZ137" s="85"/>
    </row>
    <row r="138" spans="1:104" ht="12.75" customHeight="1">
      <c r="A138" s="4"/>
      <c r="B138" s="4"/>
      <c r="C138" s="139" t="s">
        <v>532</v>
      </c>
      <c r="D138" s="139"/>
      <c r="E138" s="205"/>
      <c r="F138" s="2311"/>
      <c r="G138" s="1822"/>
      <c r="H138" s="166"/>
      <c r="I138" s="78"/>
      <c r="J138" s="79"/>
      <c r="K138" s="191"/>
      <c r="L138" s="81"/>
      <c r="M138" s="82"/>
      <c r="N138" s="83"/>
      <c r="O138" s="83"/>
      <c r="P138" s="84"/>
      <c r="Q138" s="81"/>
      <c r="R138" s="82"/>
      <c r="S138" s="83"/>
      <c r="T138" s="83"/>
      <c r="U138" s="84"/>
      <c r="V138" s="81"/>
      <c r="W138" s="82"/>
      <c r="X138" s="83"/>
      <c r="Y138" s="83"/>
      <c r="Z138" s="84"/>
      <c r="AA138" s="81"/>
      <c r="AB138" s="82"/>
      <c r="AC138" s="83"/>
      <c r="AD138" s="83"/>
      <c r="AE138" s="84"/>
      <c r="AF138" s="81"/>
      <c r="AG138" s="82"/>
      <c r="AH138" s="83"/>
      <c r="AI138" s="83"/>
      <c r="AJ138" s="84"/>
      <c r="AK138" s="81"/>
      <c r="AL138" s="82"/>
      <c r="AM138" s="83"/>
      <c r="AN138" s="83"/>
      <c r="AO138" s="84"/>
      <c r="AP138" s="81"/>
      <c r="AQ138" s="82"/>
      <c r="AR138" s="83"/>
      <c r="AS138" s="83"/>
      <c r="AT138" s="84"/>
      <c r="AU138" s="81"/>
      <c r="AV138" s="82"/>
      <c r="AW138" s="83"/>
      <c r="AX138" s="83"/>
      <c r="AY138" s="84"/>
      <c r="AZ138" s="81"/>
      <c r="BA138" s="82"/>
      <c r="BB138" s="83"/>
      <c r="BC138" s="83"/>
      <c r="BD138" s="84"/>
      <c r="BE138" s="81"/>
      <c r="BF138" s="1884"/>
      <c r="BG138" s="2005"/>
      <c r="BH138" s="86"/>
      <c r="BI138" s="87"/>
      <c r="BJ138" s="87"/>
      <c r="BK138" s="88"/>
      <c r="BL138" s="85"/>
      <c r="BM138" s="86"/>
      <c r="BN138" s="87"/>
      <c r="BO138" s="87"/>
      <c r="BP138" s="88"/>
      <c r="BQ138" s="85"/>
      <c r="BR138" s="86"/>
      <c r="BS138" s="87"/>
      <c r="BT138" s="87"/>
      <c r="BU138" s="88"/>
      <c r="BV138" s="85"/>
      <c r="BW138" s="86"/>
      <c r="BX138" s="87"/>
      <c r="BY138" s="87"/>
      <c r="BZ138" s="88"/>
      <c r="CA138" s="85"/>
      <c r="CB138" s="86"/>
      <c r="CC138" s="87"/>
      <c r="CD138" s="87"/>
      <c r="CE138" s="88"/>
      <c r="CF138" s="85"/>
      <c r="CG138" s="86"/>
      <c r="CH138" s="87"/>
      <c r="CI138" s="87"/>
      <c r="CJ138" s="88"/>
      <c r="CK138" s="85"/>
      <c r="CL138" s="86"/>
      <c r="CM138" s="87"/>
      <c r="CN138" s="87"/>
      <c r="CO138" s="88"/>
      <c r="CP138" s="85"/>
      <c r="CQ138" s="86"/>
      <c r="CR138" s="87"/>
      <c r="CS138" s="87"/>
      <c r="CT138" s="88"/>
      <c r="CU138" s="85"/>
      <c r="CV138" s="86"/>
      <c r="CW138" s="87"/>
      <c r="CX138" s="87"/>
      <c r="CY138" s="88"/>
      <c r="CZ138" s="85"/>
    </row>
    <row r="139" spans="1:104" ht="12.75" customHeight="1">
      <c r="A139" s="4"/>
      <c r="B139" s="4"/>
      <c r="C139" s="1327" t="s">
        <v>982</v>
      </c>
      <c r="D139" s="157"/>
      <c r="E139" s="2115">
        <f>IF(F139=0,G139,F139)</f>
        <v>350</v>
      </c>
      <c r="F139" s="2313">
        <v>350</v>
      </c>
      <c r="G139" s="1511">
        <v>350</v>
      </c>
      <c r="H139" s="1334">
        <v>2042</v>
      </c>
      <c r="I139" s="325">
        <v>3.7999999999999999E-2</v>
      </c>
      <c r="J139" s="1334">
        <v>10</v>
      </c>
      <c r="K139" s="80"/>
      <c r="L139" s="81">
        <f t="shared" ref="L139:L160" si="2155">IF(L$5=$H139,-$E139,0)</f>
        <v>0</v>
      </c>
      <c r="M139" s="82">
        <f t="shared" ref="M139:M145" si="2156">IF(Q139=0,0,IF(Q139&lt;0,IF($J139=3,Q139,IF($J139=2,Q139,IF($J139=1,Q139,0)))))</f>
        <v>0</v>
      </c>
      <c r="N139" s="83">
        <f t="shared" ref="N139:N145" si="2157">IF(Q139=0,0,IF(Q139&lt;0,IF($J139=6,Q139,IF($J139=5,Q139,IF($J139=4,Q139,0)))))</f>
        <v>0</v>
      </c>
      <c r="O139" s="83">
        <f t="shared" ref="O139:O145" si="2158">IF(Q139=0,0,IF(Q139&lt;0,IF($J139=9,Q139,IF($J139=8,Q139,IF($J139=7,Q139,0)))))</f>
        <v>0</v>
      </c>
      <c r="P139" s="84">
        <f t="shared" ref="P139:P145" si="2159">IF(Q139=0,0,IF(Q139&lt;0,IF($J139=12,Q139,IF($J139=11,Q139,IF($J139=10,Q139,0)))))</f>
        <v>0</v>
      </c>
      <c r="Q139" s="81">
        <f t="shared" ref="Q139:Q160" si="2160">IF(Q$5=$H139,-$E139,0)</f>
        <v>0</v>
      </c>
      <c r="R139" s="82">
        <f t="shared" ref="R139:R145" si="2161">IF(V139=0,0,IF(V139&lt;0,IF($J139=3,V139,IF($J139=2,V139,IF($J139=1,V139,0)))))</f>
        <v>0</v>
      </c>
      <c r="S139" s="83">
        <f t="shared" ref="S139:S145" si="2162">IF(V139=0,0,IF(V139&lt;0,IF($J139=6,V139,IF($J139=5,V139,IF($J139=4,V139,0)))))</f>
        <v>0</v>
      </c>
      <c r="T139" s="83">
        <f t="shared" ref="T139:T145" si="2163">IF(V139=0,0,IF(V139&lt;0,IF($J139=9,V139,IF($J139=8,V139,IF($J139=7,V139,0)))))</f>
        <v>0</v>
      </c>
      <c r="U139" s="84">
        <f t="shared" ref="U139:U145" si="2164">IF(V139=0,0,IF(V139&lt;0,IF($J139=12,V139,IF($J139=11,V139,IF($J139=10,V139,0)))))</f>
        <v>0</v>
      </c>
      <c r="V139" s="81">
        <f t="shared" ref="V139:V160" si="2165">IF(V$5=$H139,-$E139,0)</f>
        <v>0</v>
      </c>
      <c r="W139" s="82">
        <f t="shared" ref="W139:W145" si="2166">IF(AA139=0,0,IF(AA139&lt;0,IF($J139=3,AA139,IF($J139=2,AA139,IF($J139=1,AA139,0)))))</f>
        <v>0</v>
      </c>
      <c r="X139" s="83">
        <f t="shared" ref="X139:X145" si="2167">IF(AA139=0,0,IF(AA139&lt;0,IF($J139=6,AA139,IF($J139=5,AA139,IF($J139=4,AA139,0)))))</f>
        <v>0</v>
      </c>
      <c r="Y139" s="83">
        <f t="shared" ref="Y139:Y145" si="2168">IF(AA139=0,0,IF(AA139&lt;0,IF($J139=9,AA139,IF($J139=8,AA139,IF($J139=7,AA139,0)))))</f>
        <v>0</v>
      </c>
      <c r="Z139" s="84">
        <f t="shared" ref="Z139:Z145" si="2169">IF(AA139=0,0,IF(AA139&lt;0,IF($J139=12,AA139,IF($J139=11,AA139,IF($J139=10,AA139,0)))))</f>
        <v>0</v>
      </c>
      <c r="AA139" s="81">
        <f t="shared" ref="AA139:AA160" si="2170">IF(AA$5=$H139,-$E139,0)</f>
        <v>0</v>
      </c>
      <c r="AB139" s="82">
        <f t="shared" ref="AB139:AB145" si="2171">IF(AF139=0,0,IF(AF139&lt;0,IF($J139=3,AF139,IF($J139=2,AF139,IF($J139=1,AF139,0)))))</f>
        <v>0</v>
      </c>
      <c r="AC139" s="83">
        <f t="shared" ref="AC139:AC145" si="2172">IF(AF139=0,0,IF(AF139&lt;0,IF($J139=6,AF139,IF($J139=5,AF139,IF($J139=4,AF139,0)))))</f>
        <v>0</v>
      </c>
      <c r="AD139" s="83">
        <f t="shared" ref="AD139:AD145" si="2173">IF(AF139=0,0,IF(AF139&lt;0,IF($J139=9,AF139,IF($J139=8,AF139,IF($J139=7,AF139,0)))))</f>
        <v>0</v>
      </c>
      <c r="AE139" s="84">
        <f t="shared" ref="AE139:AE145" si="2174">IF(AF139=0,0,IF(AF139&lt;0,IF($J139=12,AF139,IF($J139=11,AF139,IF($J139=10,AF139,0)))))</f>
        <v>0</v>
      </c>
      <c r="AF139" s="81">
        <f t="shared" ref="AF139:AF160" si="2175">IF(AF$5=$H139,-$E139,0)</f>
        <v>0</v>
      </c>
      <c r="AG139" s="82">
        <f t="shared" ref="AG139:AG142" si="2176">IF(AK139=0,0,IF(AK139&lt;0,IF($J139=3,AK139,IF($J139=2,AK139,IF($J139=1,AK139,0)))))</f>
        <v>0</v>
      </c>
      <c r="AH139" s="83">
        <f t="shared" ref="AH139:AH142" si="2177">IF(AK139=0,0,IF(AK139&lt;0,IF($J139=6,AK139,IF($J139=5,AK139,IF($J139=4,AK139,0)))))</f>
        <v>0</v>
      </c>
      <c r="AI139" s="83">
        <f t="shared" ref="AI139:AI142" si="2178">IF(AK139=0,0,IF(AK139&lt;0,IF($J139=9,AK139,IF($J139=8,AK139,IF($J139=7,AK139,0)))))</f>
        <v>0</v>
      </c>
      <c r="AJ139" s="84">
        <f t="shared" ref="AJ139:AJ142" si="2179">IF(AK139=0,0,IF(AK139&lt;0,IF($J139=12,AK139,IF($J139=11,AK139,IF($J139=10,AK139,0)))))</f>
        <v>0</v>
      </c>
      <c r="AK139" s="81">
        <f t="shared" ref="AK139:AK160" si="2180">IF(AK$5=$H139,-$E139,0)</f>
        <v>0</v>
      </c>
      <c r="AL139" s="82">
        <f t="shared" ref="AL139:AL142" si="2181">IF(AP139=0,0,IF(AP139&lt;0,IF($J139=3,AP139,IF($J139=2,AP139,IF($J139=1,AP139,0)))))</f>
        <v>0</v>
      </c>
      <c r="AM139" s="83">
        <f t="shared" ref="AM139:AM142" si="2182">IF(AP139=0,0,IF(AP139&lt;0,IF($J139=6,AP139,IF($J139=5,AP139,IF($J139=4,AP139,0)))))</f>
        <v>0</v>
      </c>
      <c r="AN139" s="83">
        <f t="shared" ref="AN139:AN142" si="2183">IF(AP139=0,0,IF(AP139&lt;0,IF($J139=9,AP139,IF($J139=8,AP139,IF($J139=7,AP139,0)))))</f>
        <v>0</v>
      </c>
      <c r="AO139" s="84">
        <f t="shared" ref="AO139:AO142" si="2184">IF(AP139=0,0,IF(AP139&lt;0,IF($J139=12,AP139,IF($J139=11,AP139,IF($J139=10,AP139,0)))))</f>
        <v>0</v>
      </c>
      <c r="AP139" s="81">
        <f t="shared" ref="AP139:AP160" si="2185">IF(AP$5=$H139,-$E139,0)</f>
        <v>0</v>
      </c>
      <c r="AQ139" s="82">
        <f t="shared" ref="AQ139:AQ142" si="2186">IF(AU139=0,0,IF(AU139&lt;0,IF($J139=3,AU139,IF($J139=2,AU139,IF($J139=1,AU139,0)))))</f>
        <v>0</v>
      </c>
      <c r="AR139" s="83">
        <f t="shared" ref="AR139:AR142" si="2187">IF(AU139=0,0,IF(AU139&lt;0,IF($J139=6,AU139,IF($J139=5,AU139,IF($J139=4,AU139,0)))))</f>
        <v>0</v>
      </c>
      <c r="AS139" s="83">
        <f t="shared" ref="AS139:AS142" si="2188">IF(AU139=0,0,IF(AU139&lt;0,IF($J139=9,AU139,IF($J139=8,AU139,IF($J139=7,AU139,0)))))</f>
        <v>0</v>
      </c>
      <c r="AT139" s="84">
        <f t="shared" ref="AT139:AT142" si="2189">IF(AU139=0,0,IF(AU139&lt;0,IF($J139=12,AU139,IF($J139=11,AU139,IF($J139=10,AU139,0)))))</f>
        <v>0</v>
      </c>
      <c r="AU139" s="81">
        <f t="shared" ref="AU139:AU160" si="2190">IF(AU$5=$H139,-$E139,0)</f>
        <v>0</v>
      </c>
      <c r="AV139" s="82">
        <f t="shared" ref="AV139:AV142" si="2191">IF(AZ139=0,0,IF(AZ139&lt;0,IF($J139=3,AZ139,IF($J139=2,AZ139,IF($J139=1,AZ139,0)))))</f>
        <v>0</v>
      </c>
      <c r="AW139" s="83">
        <f t="shared" ref="AW139:AW142" si="2192">IF(AZ139=0,0,IF(AZ139&lt;0,IF($J139=6,AZ139,IF($J139=5,AZ139,IF($J139=4,AZ139,0)))))</f>
        <v>0</v>
      </c>
      <c r="AX139" s="83">
        <f t="shared" ref="AX139:AX142" si="2193">IF(AZ139=0,0,IF(AZ139&lt;0,IF($J139=9,AZ139,IF($J139=8,AZ139,IF($J139=7,AZ139,0)))))</f>
        <v>0</v>
      </c>
      <c r="AY139" s="84">
        <f t="shared" ref="AY139:AY142" si="2194">IF(AZ139=0,0,IF(AZ139&lt;0,IF($J139=12,AZ139,IF($J139=11,AZ139,IF($J139=10,AZ139,0)))))</f>
        <v>0</v>
      </c>
      <c r="AZ139" s="81">
        <f t="shared" ref="AZ139:AZ160" si="2195">IF(AZ$5=$H139,-$E139,0)</f>
        <v>0</v>
      </c>
      <c r="BA139" s="82">
        <f t="shared" ref="BA139:BA142" si="2196">IF(BE139=0,0,IF(BE139&lt;0,IF($J139=3,BE139,IF($J139=2,BE139,IF($J139=1,BE139,0)))))</f>
        <v>0</v>
      </c>
      <c r="BB139" s="83">
        <f t="shared" ref="BB139:BB142" si="2197">IF(BE139=0,0,IF(BE139&lt;0,IF($J139=6,BE139,IF($J139=5,BE139,IF($J139=4,BE139,0)))))</f>
        <v>0</v>
      </c>
      <c r="BC139" s="83">
        <f t="shared" ref="BC139:BC142" si="2198">IF(BE139=0,0,IF(BE139&lt;0,IF($J139=9,BE139,IF($J139=8,BE139,IF($J139=7,BE139,0)))))</f>
        <v>0</v>
      </c>
      <c r="BD139" s="84">
        <f t="shared" ref="BD139:BD142" si="2199">IF(BE139=0,0,IF(BE139&lt;0,IF($J139=12,BE139,IF($J139=11,BE139,IF($J139=10,BE139,0)))))</f>
        <v>0</v>
      </c>
      <c r="BE139" s="81">
        <f t="shared" ref="BE139:BE160" si="2200">IF(BE$5=$H139,-$E139,0)</f>
        <v>0</v>
      </c>
      <c r="BF139" s="1877"/>
      <c r="BG139" s="2005">
        <f t="shared" ref="BG139:BG150" si="2201">IF(AND(BF139&lt;&gt;0,BF$5=$H139),-$I139*$E139-BF139,IF(BG$5=$H139,-$I139*$E139*(12-$J139+1)/12,0))</f>
        <v>0</v>
      </c>
      <c r="BH139" s="86">
        <f t="shared" ref="BH139:BH145" si="2202">IF($H139&lt;&gt;BL$5,0,IF(BL139&lt;0,IF($J139=1,-$E139*$I139/12*3,IF($J139=2,-$E139*$I139/12*2,IF($J139=3,-$E139*$I139/12*1,0)))))+IF(BG$5&lt;&gt;$H139,0,IF(BG139&lt;0,IF($J139=1,-$E139*$I139/12*0,IF($J139=2,-$E139*$I139/12*1,IF($J139=3,-$E139*$I139/12*2,IF($J139&gt;=4,-$E139*$I139/12*3,0))))))</f>
        <v>0</v>
      </c>
      <c r="BI139" s="87">
        <f t="shared" ref="BI139:BI145" si="2203">IF($H139&lt;&gt;BL$5,0,IF(BL139&lt;0,IF(OR($J139=1,$J139=2,$J139=3,$J139=4),-$E139*$I139/12*3,IF($J139=5,-$E139*$I139/12*2,IF($J139=6,-$E139*$I139/12*1,0)))))+IF(BG$5&lt;&gt;$H139,0,IF(BG139&lt;0,IF($J139=4,-$E139*$I139/12*0,IF($J139=5,-$E139*$I139/12*1,IF($J139=6,-$E139*$I139/12*2,IF($J139&gt;=7,-$E139*$I139/12*3,0))))))</f>
        <v>0</v>
      </c>
      <c r="BJ139" s="87">
        <f t="shared" ref="BJ139:BJ145" si="2204">IF($H139&lt;&gt;BL$5,0,IF(BL139&lt;0,IF(OR($J139=1,$J139=2,$J139=3,$J139=4,$J139=5,$J139=6,$J139=7),-$E139*$I139/12*3,IF($J139=8,-$E139*$I139/12*2,IF($J139=9,-$E139*$I139/12*1,0)))))+IF(BG$5&lt;&gt;$H139,0,IF(BG139&lt;0,IF($J139=7,-$E139*$I139/12*0,IF($J139=8,-$E139*$I139/12*1,IF($J139=9,-$E139*$I139/12*2,IF($J139&gt;=10,-$E139*$I139/12*3,0))))))</f>
        <v>0</v>
      </c>
      <c r="BK139" s="88">
        <f t="shared" ref="BK139:BK145" si="2205">IF($H139&lt;&gt;BL$5,0,IF(BL139&lt;0,IF(OR($J139=1,$J139=2,$J139=3,$J139=4,$J139=5,$J139=6,$J139=7,$J139=8,$J139=9,$J139=10),-$E139*$I139/12*3,IF($J139=11,-$E139*$I139/12*2,IF($J139=12,-$E139*$I139/12*1,0)))))+IF(BG$5&lt;&gt;$H139,0,IF(BG139&lt;0,IF($J139=10,-$E139*$I139/12*0,IF($J139=11,-$E139*$I139/12*1,IF($J139=12,-$E139*$I139/12*2,0)))))</f>
        <v>0</v>
      </c>
      <c r="BL139" s="85">
        <f t="shared" ref="BL139:BL145" si="2206">IF(AND(BG139&lt;&gt;0,BG$5=$H139),-$I139*$E139-BG139,IF(BL$5=$H139,-$I139*$E139*(12-$J139+1)/12,0))</f>
        <v>0</v>
      </c>
      <c r="BM139" s="86">
        <f t="shared" ref="BM139:BM145" si="2207">IF($H139&lt;&gt;BQ$5,0,IF(BQ139&lt;0,IF($J139=1,-$E139*$I139/12*3,IF($J139=2,-$E139*$I139/12*2,IF($J139=3,-$E139*$I139/12*1,0)))))+IF(BL$5&lt;&gt;$H139,0,IF(BL139&lt;0,IF($J139=1,-$E139*$I139/12*0,IF($J139=2,-$E139*$I139/12*1,IF($J139=3,-$E139*$I139/12*2,IF($J139&gt;=4,-$E139*$I139/12*3,0))))))</f>
        <v>0</v>
      </c>
      <c r="BN139" s="87">
        <f t="shared" ref="BN139:BN145" si="2208">IF($H139&lt;&gt;BQ$5,0,IF(BQ139&lt;0,IF(OR($J139=1,$J139=2,$J139=3,$J139=4),-$E139*$I139/12*3,IF($J139=5,-$E139*$I139/12*2,IF($J139=6,-$E139*$I139/12*1,0)))))+IF(BL$5&lt;&gt;$H139,0,IF(BL139&lt;0,IF($J139=4,-$E139*$I139/12*0,IF($J139=5,-$E139*$I139/12*1,IF($J139=6,-$E139*$I139/12*2,IF($J139&gt;=7,-$E139*$I139/12*3,0))))))</f>
        <v>0</v>
      </c>
      <c r="BO139" s="87">
        <f t="shared" ref="BO139:BO145" si="2209">IF($H139&lt;&gt;BQ$5,0,IF(BQ139&lt;0,IF(OR($J139=1,$J139=2,$J139=3,$J139=4,$J139=5,$J139=6,$J139=7),-$E139*$I139/12*3,IF($J139=8,-$E139*$I139/12*2,IF($J139=9,-$E139*$I139/12*1,0)))))+IF(BL$5&lt;&gt;$H139,0,IF(BL139&lt;0,IF($J139=7,-$E139*$I139/12*0,IF($J139=8,-$E139*$I139/12*1,IF($J139=9,-$E139*$I139/12*2,IF($J139&gt;=10,-$E139*$I139/12*3,0))))))</f>
        <v>0</v>
      </c>
      <c r="BP139" s="88">
        <f t="shared" ref="BP139:BP145" si="2210">IF($H139&lt;&gt;BQ$5,0,IF(BQ139&lt;0,IF(OR($J139=1,$J139=2,$J139=3,$J139=4,$J139=5,$J139=6,$J139=7,$J139=8,$J139=9,$J139=10),-$E139*$I139/12*3,IF($J139=11,-$E139*$I139/12*2,IF($J139=12,-$E139*$I139/12*1,0)))))+IF(BL$5&lt;&gt;$H139,0,IF(BL139&lt;0,IF($J139=10,-$E139*$I139/12*0,IF($J139=11,-$E139*$I139/12*1,IF($J139=12,-$E139*$I139/12*2,0)))))</f>
        <v>0</v>
      </c>
      <c r="BQ139" s="85">
        <f t="shared" ref="BQ139:BQ145" si="2211">IF(AND(BL139&lt;&gt;0,BL$5=$H139),-$I139*$E139-BL139,IF(BQ$5=$H139,-$I139*$E139*(12-$J139+1)/12,0))</f>
        <v>0</v>
      </c>
      <c r="BR139" s="86">
        <f t="shared" ref="BR139:BR145" si="2212">IF($H139&lt;&gt;BV$5,0,IF(BV139&lt;0,IF($J139=1,-$E139*$I139/12*3,IF($J139=2,-$E139*$I139/12*2,IF($J139=3,-$E139*$I139/12*1,0)))))+IF(BQ$5&lt;&gt;$H139,0,IF(BQ139&lt;0,IF($J139=1,-$E139*$I139/12*0,IF($J139=2,-$E139*$I139/12*1,IF($J139=3,-$E139*$I139/12*2,IF($J139&gt;=4,-$E139*$I139/12*3,0))))))</f>
        <v>0</v>
      </c>
      <c r="BS139" s="87">
        <f t="shared" ref="BS139:BS145" si="2213">IF($H139&lt;&gt;BV$5,0,IF(BV139&lt;0,IF(OR($J139=1,$J139=2,$J139=3,$J139=4),-$E139*$I139/12*3,IF($J139=5,-$E139*$I139/12*2,IF($J139=6,-$E139*$I139/12*1,0)))))+IF(BQ$5&lt;&gt;$H139,0,IF(BQ139&lt;0,IF($J139=4,-$E139*$I139/12*0,IF($J139=5,-$E139*$I139/12*1,IF($J139=6,-$E139*$I139/12*2,IF($J139&gt;=7,-$E139*$I139/12*3,0))))))</f>
        <v>0</v>
      </c>
      <c r="BT139" s="87">
        <f t="shared" ref="BT139:BT145" si="2214">IF($H139&lt;&gt;BV$5,0,IF(BV139&lt;0,IF(OR($J139=1,$J139=2,$J139=3,$J139=4,$J139=5,$J139=6,$J139=7),-$E139*$I139/12*3,IF($J139=8,-$E139*$I139/12*2,IF($J139=9,-$E139*$I139/12*1,0)))))+IF(BQ$5&lt;&gt;$H139,0,IF(BQ139&lt;0,IF($J139=7,-$E139*$I139/12*0,IF($J139=8,-$E139*$I139/12*1,IF($J139=9,-$E139*$I139/12*2,IF($J139&gt;=10,-$E139*$I139/12*3,0))))))</f>
        <v>0</v>
      </c>
      <c r="BU139" s="88">
        <f t="shared" ref="BU139:BU145" si="2215">IF($H139&lt;&gt;BV$5,0,IF(BV139&lt;0,IF(OR($J139=1,$J139=2,$J139=3,$J139=4,$J139=5,$J139=6,$J139=7,$J139=8,$J139=9,$J139=10),-$E139*$I139/12*3,IF($J139=11,-$E139*$I139/12*2,IF($J139=12,-$E139*$I139/12*1,0)))))+IF(BQ$5&lt;&gt;$H139,0,IF(BQ139&lt;0,IF($J139=10,-$E139*$I139/12*0,IF($J139=11,-$E139*$I139/12*1,IF($J139=12,-$E139*$I139/12*2,0)))))</f>
        <v>0</v>
      </c>
      <c r="BV139" s="85">
        <f t="shared" ref="BV139:BV145" si="2216">IF(AND(BQ139&lt;&gt;0,BQ$5=$H139),-$I139*$E139-BQ139,IF(BV$5=$H139,-$I139*$E139*(12-$J139+1)/12,0))</f>
        <v>0</v>
      </c>
      <c r="BW139" s="86">
        <f t="shared" ref="BW139:BW145" si="2217">IF($H139&lt;&gt;CA$5,0,IF(CA139&lt;0,IF($J139=1,-$E139*$I139/12*3,IF($J139=2,-$E139*$I139/12*2,IF($J139=3,-$E139*$I139/12*1,0)))))+IF(BV$5&lt;&gt;$H139,0,IF(BV139&lt;0,IF($J139=1,-$E139*$I139/12*0,IF($J139=2,-$E139*$I139/12*1,IF($J139=3,-$E139*$I139/12*2,IF($J139&gt;=4,-$E139*$I139/12*3,0))))))</f>
        <v>0</v>
      </c>
      <c r="BX139" s="87">
        <f t="shared" ref="BX139:BX145" si="2218">IF($H139&lt;&gt;CA$5,0,IF(CA139&lt;0,IF(OR($J139=1,$J139=2,$J139=3,$J139=4),-$E139*$I139/12*3,IF($J139=5,-$E139*$I139/12*2,IF($J139=6,-$E139*$I139/12*1,0)))))+IF(BV$5&lt;&gt;$H139,0,IF(BV139&lt;0,IF($J139=4,-$E139*$I139/12*0,IF($J139=5,-$E139*$I139/12*1,IF($J139=6,-$E139*$I139/12*2,IF($J139&gt;=7,-$E139*$I139/12*3,0))))))</f>
        <v>0</v>
      </c>
      <c r="BY139" s="87">
        <f t="shared" ref="BY139:BY145" si="2219">IF($H139&lt;&gt;CA$5,0,IF(CA139&lt;0,IF(OR($J139=1,$J139=2,$J139=3,$J139=4,$J139=5,$J139=6,$J139=7),-$E139*$I139/12*3,IF($J139=8,-$E139*$I139/12*2,IF($J139=9,-$E139*$I139/12*1,0)))))+IF(BV$5&lt;&gt;$H139,0,IF(BV139&lt;0,IF($J139=7,-$E139*$I139/12*0,IF($J139=8,-$E139*$I139/12*1,IF($J139=9,-$E139*$I139/12*2,IF($J139&gt;=10,-$E139*$I139/12*3,0))))))</f>
        <v>0</v>
      </c>
      <c r="BZ139" s="88">
        <f t="shared" ref="BZ139:BZ145" si="2220">IF($H139&lt;&gt;CA$5,0,IF(CA139&lt;0,IF(OR($J139=1,$J139=2,$J139=3,$J139=4,$J139=5,$J139=6,$J139=7,$J139=8,$J139=9,$J139=10),-$E139*$I139/12*3,IF($J139=11,-$E139*$I139/12*2,IF($J139=12,-$E139*$I139/12*1,0)))))+IF(BV$5&lt;&gt;$H139,0,IF(BV139&lt;0,IF($J139=10,-$E139*$I139/12*0,IF($J139=11,-$E139*$I139/12*1,IF($J139=12,-$E139*$I139/12*2,0)))))</f>
        <v>0</v>
      </c>
      <c r="CA139" s="85">
        <f t="shared" ref="CA139:CA145" si="2221">IF(AND(BV139&lt;&gt;0,BV$5=$H139),-$I139*$E139-BV139,IF(CA$5=$H139,-$I139*$E139*(12-$J139+1)/12,0))</f>
        <v>0</v>
      </c>
      <c r="CB139" s="86">
        <f t="shared" ref="CB139:CB142" si="2222">IF($H139&lt;&gt;CF$5,0,IF(CF139&lt;0,IF($J139=1,-$E139*$I139/12*3,IF($J139=2,-$E139*$I139/12*2,IF($J139=3,-$E139*$I139/12*1,0)))))+IF(CA$5&lt;&gt;$H139,0,IF(CA139&lt;0,IF($J139=1,-$E139*$I139/12*0,IF($J139=2,-$E139*$I139/12*1,IF($J139=3,-$E139*$I139/12*2,IF($J139&gt;=4,-$E139*$I139/12*3,0))))))</f>
        <v>0</v>
      </c>
      <c r="CC139" s="87">
        <f t="shared" ref="CC139:CC142" si="2223">IF($H139&lt;&gt;CF$5,0,IF(CF139&lt;0,IF(OR($J139=1,$J139=2,$J139=3,$J139=4),-$E139*$I139/12*3,IF($J139=5,-$E139*$I139/12*2,IF($J139=6,-$E139*$I139/12*1,0)))))+IF(CA$5&lt;&gt;$H139,0,IF(CA139&lt;0,IF($J139=4,-$E139*$I139/12*0,IF($J139=5,-$E139*$I139/12*1,IF($J139=6,-$E139*$I139/12*2,IF($J139&gt;=7,-$E139*$I139/12*3,0))))))</f>
        <v>0</v>
      </c>
      <c r="CD139" s="87">
        <f t="shared" ref="CD139:CD142" si="2224">IF($H139&lt;&gt;CF$5,0,IF(CF139&lt;0,IF(OR($J139=1,$J139=2,$J139=3,$J139=4,$J139=5,$J139=6,$J139=7),-$E139*$I139/12*3,IF($J139=8,-$E139*$I139/12*2,IF($J139=9,-$E139*$I139/12*1,0)))))+IF(CA$5&lt;&gt;$H139,0,IF(CA139&lt;0,IF($J139=7,-$E139*$I139/12*0,IF($J139=8,-$E139*$I139/12*1,IF($J139=9,-$E139*$I139/12*2,IF($J139&gt;=10,-$E139*$I139/12*3,0))))))</f>
        <v>0</v>
      </c>
      <c r="CE139" s="88">
        <f t="shared" ref="CE139:CE142" si="2225">IF($H139&lt;&gt;CF$5,0,IF(CF139&lt;0,IF(OR($J139=1,$J139=2,$J139=3,$J139=4,$J139=5,$J139=6,$J139=7,$J139=8,$J139=9,$J139=10),-$E139*$I139/12*3,IF($J139=11,-$E139*$I139/12*2,IF($J139=12,-$E139*$I139/12*1,0)))))+IF(CA$5&lt;&gt;$H139,0,IF(CA139&lt;0,IF($J139=10,-$E139*$I139/12*0,IF($J139=11,-$E139*$I139/12*1,IF($J139=12,-$E139*$I139/12*2,0)))))</f>
        <v>0</v>
      </c>
      <c r="CF139" s="85">
        <f t="shared" ref="CF139:CF142" si="2226">IF(AND(CA139&lt;&gt;0,CA$5=$H139),-$I139*$E139-CA139,IF(CF$5=$H139,-$I139*$E139*(12-$J139+1)/12,0))</f>
        <v>0</v>
      </c>
      <c r="CG139" s="86">
        <f t="shared" ref="CG139:CG142" si="2227">IF($H139&lt;&gt;CK$5,0,IF(CK139&lt;0,IF($J139=1,-$E139*$I139/12*3,IF($J139=2,-$E139*$I139/12*2,IF($J139=3,-$E139*$I139/12*1,0)))))+IF(CF$5&lt;&gt;$H139,0,IF(CF139&lt;0,IF($J139=1,-$E139*$I139/12*0,IF($J139=2,-$E139*$I139/12*1,IF($J139=3,-$E139*$I139/12*2,IF($J139&gt;=4,-$E139*$I139/12*3,0))))))</f>
        <v>0</v>
      </c>
      <c r="CH139" s="87">
        <f t="shared" ref="CH139:CH142" si="2228">IF($H139&lt;&gt;CK$5,0,IF(CK139&lt;0,IF(OR($J139=1,$J139=2,$J139=3,$J139=4),-$E139*$I139/12*3,IF($J139=5,-$E139*$I139/12*2,IF($J139=6,-$E139*$I139/12*1,0)))))+IF(CF$5&lt;&gt;$H139,0,IF(CF139&lt;0,IF($J139=4,-$E139*$I139/12*0,IF($J139=5,-$E139*$I139/12*1,IF($J139=6,-$E139*$I139/12*2,IF($J139&gt;=7,-$E139*$I139/12*3,0))))))</f>
        <v>0</v>
      </c>
      <c r="CI139" s="87">
        <f t="shared" ref="CI139:CI142" si="2229">IF($H139&lt;&gt;CK$5,0,IF(CK139&lt;0,IF(OR($J139=1,$J139=2,$J139=3,$J139=4,$J139=5,$J139=6,$J139=7),-$E139*$I139/12*3,IF($J139=8,-$E139*$I139/12*2,IF($J139=9,-$E139*$I139/12*1,0)))))+IF(CF$5&lt;&gt;$H139,0,IF(CF139&lt;0,IF($J139=7,-$E139*$I139/12*0,IF($J139=8,-$E139*$I139/12*1,IF($J139=9,-$E139*$I139/12*2,IF($J139&gt;=10,-$E139*$I139/12*3,0))))))</f>
        <v>0</v>
      </c>
      <c r="CJ139" s="88">
        <f t="shared" ref="CJ139:CJ142" si="2230">IF($H139&lt;&gt;CK$5,0,IF(CK139&lt;0,IF(OR($J139=1,$J139=2,$J139=3,$J139=4,$J139=5,$J139=6,$J139=7,$J139=8,$J139=9,$J139=10),-$E139*$I139/12*3,IF($J139=11,-$E139*$I139/12*2,IF($J139=12,-$E139*$I139/12*1,0)))))+IF(CF$5&lt;&gt;$H139,0,IF(CF139&lt;0,IF($J139=10,-$E139*$I139/12*0,IF($J139=11,-$E139*$I139/12*1,IF($J139=12,-$E139*$I139/12*2,0)))))</f>
        <v>0</v>
      </c>
      <c r="CK139" s="85">
        <f t="shared" ref="CK139:CK142" si="2231">IF(AND(CF139&lt;&gt;0,CF$5=$H139),-$I139*$E139-CF139,IF(CK$5=$H139,-$I139*$E139*(12-$J139+1)/12,0))</f>
        <v>0</v>
      </c>
      <c r="CL139" s="86">
        <f t="shared" ref="CL139:CL142" si="2232">IF($H139&lt;&gt;CP$5,0,IF(CP139&lt;0,IF($J139=1,-$E139*$I139/12*3,IF($J139=2,-$E139*$I139/12*2,IF($J139=3,-$E139*$I139/12*1,0)))))+IF(CK$5&lt;&gt;$H139,0,IF(CK139&lt;0,IF($J139=1,-$E139*$I139/12*0,IF($J139=2,-$E139*$I139/12*1,IF($J139=3,-$E139*$I139/12*2,IF($J139&gt;=4,-$E139*$I139/12*3,0))))))</f>
        <v>0</v>
      </c>
      <c r="CM139" s="87">
        <f t="shared" ref="CM139:CM142" si="2233">IF($H139&lt;&gt;CP$5,0,IF(CP139&lt;0,IF(OR($J139=1,$J139=2,$J139=3,$J139=4),-$E139*$I139/12*3,IF($J139=5,-$E139*$I139/12*2,IF($J139=6,-$E139*$I139/12*1,0)))))+IF(CK$5&lt;&gt;$H139,0,IF(CK139&lt;0,IF($J139=4,-$E139*$I139/12*0,IF($J139=5,-$E139*$I139/12*1,IF($J139=6,-$E139*$I139/12*2,IF($J139&gt;=7,-$E139*$I139/12*3,0))))))</f>
        <v>0</v>
      </c>
      <c r="CN139" s="87">
        <f t="shared" ref="CN139:CN142" si="2234">IF($H139&lt;&gt;CP$5,0,IF(CP139&lt;0,IF(OR($J139=1,$J139=2,$J139=3,$J139=4,$J139=5,$J139=6,$J139=7),-$E139*$I139/12*3,IF($J139=8,-$E139*$I139/12*2,IF($J139=9,-$E139*$I139/12*1,0)))))+IF(CK$5&lt;&gt;$H139,0,IF(CK139&lt;0,IF($J139=7,-$E139*$I139/12*0,IF($J139=8,-$E139*$I139/12*1,IF($J139=9,-$E139*$I139/12*2,IF($J139&gt;=10,-$E139*$I139/12*3,0))))))</f>
        <v>0</v>
      </c>
      <c r="CO139" s="88">
        <f t="shared" ref="CO139:CO142" si="2235">IF($H139&lt;&gt;CP$5,0,IF(CP139&lt;0,IF(OR($J139=1,$J139=2,$J139=3,$J139=4,$J139=5,$J139=6,$J139=7,$J139=8,$J139=9,$J139=10),-$E139*$I139/12*3,IF($J139=11,-$E139*$I139/12*2,IF($J139=12,-$E139*$I139/12*1,0)))))+IF(CK$5&lt;&gt;$H139,0,IF(CK139&lt;0,IF($J139=10,-$E139*$I139/12*0,IF($J139=11,-$E139*$I139/12*1,IF($J139=12,-$E139*$I139/12*2,0)))))</f>
        <v>0</v>
      </c>
      <c r="CP139" s="85">
        <f t="shared" ref="CP139:CP142" si="2236">IF(AND(CK139&lt;&gt;0,CK$5=$H139),-$I139*$E139-CK139,IF(CP$5=$H139,-$I139*$E139*(12-$J139+1)/12,0))</f>
        <v>0</v>
      </c>
      <c r="CQ139" s="86">
        <f t="shared" ref="CQ139:CQ142" si="2237">IF($H139&lt;&gt;CU$5,0,IF(CU139&lt;0,IF($J139=1,-$E139*$I139/12*3,IF($J139=2,-$E139*$I139/12*2,IF($J139=3,-$E139*$I139/12*1,0)))))+IF(CP$5&lt;&gt;$H139,0,IF(CP139&lt;0,IF($J139=1,-$E139*$I139/12*0,IF($J139=2,-$E139*$I139/12*1,IF($J139=3,-$E139*$I139/12*2,IF($J139&gt;=4,-$E139*$I139/12*3,0))))))</f>
        <v>0</v>
      </c>
      <c r="CR139" s="87">
        <f t="shared" ref="CR139:CR142" si="2238">IF($H139&lt;&gt;CU$5,0,IF(CU139&lt;0,IF(OR($J139=1,$J139=2,$J139=3,$J139=4),-$E139*$I139/12*3,IF($J139=5,-$E139*$I139/12*2,IF($J139=6,-$E139*$I139/12*1,0)))))+IF(CP$5&lt;&gt;$H139,0,IF(CP139&lt;0,IF($J139=4,-$E139*$I139/12*0,IF($J139=5,-$E139*$I139/12*1,IF($J139=6,-$E139*$I139/12*2,IF($J139&gt;=7,-$E139*$I139/12*3,0))))))</f>
        <v>0</v>
      </c>
      <c r="CS139" s="87">
        <f t="shared" ref="CS139:CS142" si="2239">IF($H139&lt;&gt;CU$5,0,IF(CU139&lt;0,IF(OR($J139=1,$J139=2,$J139=3,$J139=4,$J139=5,$J139=6,$J139=7),-$E139*$I139/12*3,IF($J139=8,-$E139*$I139/12*2,IF($J139=9,-$E139*$I139/12*1,0)))))+IF(CP$5&lt;&gt;$H139,0,IF(CP139&lt;0,IF($J139=7,-$E139*$I139/12*0,IF($J139=8,-$E139*$I139/12*1,IF($J139=9,-$E139*$I139/12*2,IF($J139&gt;=10,-$E139*$I139/12*3,0))))))</f>
        <v>0</v>
      </c>
      <c r="CT139" s="88">
        <f t="shared" ref="CT139:CT142" si="2240">IF($H139&lt;&gt;CU$5,0,IF(CU139&lt;0,IF(OR($J139=1,$J139=2,$J139=3,$J139=4,$J139=5,$J139=6,$J139=7,$J139=8,$J139=9,$J139=10),-$E139*$I139/12*3,IF($J139=11,-$E139*$I139/12*2,IF($J139=12,-$E139*$I139/12*1,0)))))+IF(CP$5&lt;&gt;$H139,0,IF(CP139&lt;0,IF($J139=10,-$E139*$I139/12*0,IF($J139=11,-$E139*$I139/12*1,IF($J139=12,-$E139*$I139/12*2,0)))))</f>
        <v>0</v>
      </c>
      <c r="CU139" s="85">
        <f t="shared" ref="CU139:CU142" si="2241">IF(AND(CP139&lt;&gt;0,CP$5=$H139),-$I139*$E139-CP139,IF(CU$5=$H139,-$I139*$E139*(12-$J139+1)/12,0))</f>
        <v>0</v>
      </c>
      <c r="CV139" s="86">
        <f t="shared" ref="CV139:CV142" si="2242">IF($H139&lt;&gt;CZ$5,0,IF(CZ139&lt;0,IF($J139=1,-$E139*$I139/12*3,IF($J139=2,-$E139*$I139/12*2,IF($J139=3,-$E139*$I139/12*1,0)))))+IF(CU$5&lt;&gt;$H139,0,IF(CU139&lt;0,IF($J139=1,-$E139*$I139/12*0,IF($J139=2,-$E139*$I139/12*1,IF($J139=3,-$E139*$I139/12*2,IF($J139&gt;=4,-$E139*$I139/12*3,0))))))</f>
        <v>0</v>
      </c>
      <c r="CW139" s="87">
        <f t="shared" ref="CW139:CW142" si="2243">IF($H139&lt;&gt;CZ$5,0,IF(CZ139&lt;0,IF(OR($J139=1,$J139=2,$J139=3,$J139=4),-$E139*$I139/12*3,IF($J139=5,-$E139*$I139/12*2,IF($J139=6,-$E139*$I139/12*1,0)))))+IF(CU$5&lt;&gt;$H139,0,IF(CU139&lt;0,IF($J139=4,-$E139*$I139/12*0,IF($J139=5,-$E139*$I139/12*1,IF($J139=6,-$E139*$I139/12*2,IF($J139&gt;=7,-$E139*$I139/12*3,0))))))</f>
        <v>0</v>
      </c>
      <c r="CX139" s="87">
        <f t="shared" ref="CX139:CX142" si="2244">IF($H139&lt;&gt;CZ$5,0,IF(CZ139&lt;0,IF(OR($J139=1,$J139=2,$J139=3,$J139=4,$J139=5,$J139=6,$J139=7),-$E139*$I139/12*3,IF($J139=8,-$E139*$I139/12*2,IF($J139=9,-$E139*$I139/12*1,0)))))+IF(CU$5&lt;&gt;$H139,0,IF(CU139&lt;0,IF($J139=7,-$E139*$I139/12*0,IF($J139=8,-$E139*$I139/12*1,IF($J139=9,-$E139*$I139/12*2,IF($J139&gt;=10,-$E139*$I139/12*3,0))))))</f>
        <v>0</v>
      </c>
      <c r="CY139" s="88">
        <f t="shared" ref="CY139:CY142" si="2245">IF($H139&lt;&gt;CZ$5,0,IF(CZ139&lt;0,IF(OR($J139=1,$J139=2,$J139=3,$J139=4,$J139=5,$J139=6,$J139=7,$J139=8,$J139=9,$J139=10),-$E139*$I139/12*3,IF($J139=11,-$E139*$I139/12*2,IF($J139=12,-$E139*$I139/12*1,0)))))+IF(CU$5&lt;&gt;$H139,0,IF(CU139&lt;0,IF($J139=10,-$E139*$I139/12*0,IF($J139=11,-$E139*$I139/12*1,IF($J139=12,-$E139*$I139/12*2,0)))))</f>
        <v>0</v>
      </c>
      <c r="CZ139" s="85">
        <f t="shared" ref="CZ139:CZ142" si="2246">IF(AND(CU139&lt;&gt;0,CU$5=$H139),-$I139*$E139-CU139,IF(CZ$5=$H139,-$I139*$E139*(12-$J139+1)/12,0))</f>
        <v>0</v>
      </c>
    </row>
    <row r="140" spans="1:104" ht="12.75" customHeight="1">
      <c r="A140" s="4"/>
      <c r="B140" s="4"/>
      <c r="C140" s="4" t="s">
        <v>983</v>
      </c>
      <c r="D140" s="157"/>
      <c r="E140" s="2115">
        <f t="shared" ref="E140" si="2247">IF(F140=0,G140,F140)</f>
        <v>425</v>
      </c>
      <c r="F140" s="2313">
        <v>0</v>
      </c>
      <c r="G140" s="1511">
        <f>425</f>
        <v>425</v>
      </c>
      <c r="H140" s="1334">
        <v>2017</v>
      </c>
      <c r="I140" s="325">
        <v>6.1499999999999999E-2</v>
      </c>
      <c r="J140" s="1334">
        <v>8</v>
      </c>
      <c r="K140" s="80"/>
      <c r="L140" s="81">
        <f t="shared" si="2155"/>
        <v>0</v>
      </c>
      <c r="M140" s="82">
        <f t="shared" si="2156"/>
        <v>0</v>
      </c>
      <c r="N140" s="83">
        <f t="shared" si="2157"/>
        <v>0</v>
      </c>
      <c r="O140" s="83">
        <f t="shared" si="2158"/>
        <v>0</v>
      </c>
      <c r="P140" s="84">
        <f t="shared" si="2159"/>
        <v>0</v>
      </c>
      <c r="Q140" s="81">
        <f t="shared" si="2160"/>
        <v>0</v>
      </c>
      <c r="R140" s="82">
        <f t="shared" si="2161"/>
        <v>0</v>
      </c>
      <c r="S140" s="83">
        <f t="shared" si="2162"/>
        <v>0</v>
      </c>
      <c r="T140" s="83">
        <f t="shared" si="2163"/>
        <v>0</v>
      </c>
      <c r="U140" s="84">
        <f t="shared" si="2164"/>
        <v>0</v>
      </c>
      <c r="V140" s="81">
        <f t="shared" si="2165"/>
        <v>0</v>
      </c>
      <c r="W140" s="82">
        <f t="shared" si="2166"/>
        <v>0</v>
      </c>
      <c r="X140" s="83">
        <f t="shared" si="2167"/>
        <v>0</v>
      </c>
      <c r="Y140" s="83">
        <f t="shared" si="2168"/>
        <v>0</v>
      </c>
      <c r="Z140" s="84">
        <f t="shared" si="2169"/>
        <v>0</v>
      </c>
      <c r="AA140" s="81">
        <f t="shared" si="2170"/>
        <v>0</v>
      </c>
      <c r="AB140" s="82">
        <f t="shared" si="2171"/>
        <v>0</v>
      </c>
      <c r="AC140" s="83">
        <f t="shared" si="2172"/>
        <v>0</v>
      </c>
      <c r="AD140" s="83">
        <f t="shared" si="2173"/>
        <v>0</v>
      </c>
      <c r="AE140" s="84">
        <f t="shared" si="2174"/>
        <v>0</v>
      </c>
      <c r="AF140" s="81">
        <f t="shared" si="2175"/>
        <v>0</v>
      </c>
      <c r="AG140" s="82">
        <f t="shared" si="2176"/>
        <v>0</v>
      </c>
      <c r="AH140" s="83">
        <f t="shared" si="2177"/>
        <v>0</v>
      </c>
      <c r="AI140" s="83">
        <f t="shared" si="2178"/>
        <v>-425</v>
      </c>
      <c r="AJ140" s="84">
        <f t="shared" si="2179"/>
        <v>0</v>
      </c>
      <c r="AK140" s="81">
        <f t="shared" si="2180"/>
        <v>-425</v>
      </c>
      <c r="AL140" s="82">
        <f t="shared" si="2181"/>
        <v>0</v>
      </c>
      <c r="AM140" s="83">
        <f t="shared" si="2182"/>
        <v>0</v>
      </c>
      <c r="AN140" s="83">
        <f t="shared" si="2183"/>
        <v>0</v>
      </c>
      <c r="AO140" s="84">
        <f t="shared" si="2184"/>
        <v>0</v>
      </c>
      <c r="AP140" s="81">
        <f t="shared" si="2185"/>
        <v>0</v>
      </c>
      <c r="AQ140" s="82">
        <f t="shared" si="2186"/>
        <v>0</v>
      </c>
      <c r="AR140" s="83">
        <f t="shared" si="2187"/>
        <v>0</v>
      </c>
      <c r="AS140" s="83">
        <f t="shared" si="2188"/>
        <v>0</v>
      </c>
      <c r="AT140" s="84">
        <f t="shared" si="2189"/>
        <v>0</v>
      </c>
      <c r="AU140" s="81">
        <f t="shared" si="2190"/>
        <v>0</v>
      </c>
      <c r="AV140" s="82">
        <f t="shared" si="2191"/>
        <v>0</v>
      </c>
      <c r="AW140" s="83">
        <f t="shared" si="2192"/>
        <v>0</v>
      </c>
      <c r="AX140" s="83">
        <f t="shared" si="2193"/>
        <v>0</v>
      </c>
      <c r="AY140" s="84">
        <f t="shared" si="2194"/>
        <v>0</v>
      </c>
      <c r="AZ140" s="81">
        <f t="shared" si="2195"/>
        <v>0</v>
      </c>
      <c r="BA140" s="82">
        <f t="shared" si="2196"/>
        <v>0</v>
      </c>
      <c r="BB140" s="83">
        <f t="shared" si="2197"/>
        <v>0</v>
      </c>
      <c r="BC140" s="83">
        <f t="shared" si="2198"/>
        <v>0</v>
      </c>
      <c r="BD140" s="84">
        <f t="shared" si="2199"/>
        <v>0</v>
      </c>
      <c r="BE140" s="81">
        <f t="shared" si="2200"/>
        <v>0</v>
      </c>
      <c r="BF140" s="1877"/>
      <c r="BG140" s="2005">
        <f t="shared" si="2201"/>
        <v>0</v>
      </c>
      <c r="BH140" s="86">
        <f t="shared" si="2202"/>
        <v>0</v>
      </c>
      <c r="BI140" s="87">
        <f t="shared" si="2203"/>
        <v>0</v>
      </c>
      <c r="BJ140" s="87">
        <f t="shared" si="2204"/>
        <v>0</v>
      </c>
      <c r="BK140" s="88">
        <f t="shared" si="2205"/>
        <v>0</v>
      </c>
      <c r="BL140" s="85">
        <f t="shared" si="2206"/>
        <v>0</v>
      </c>
      <c r="BM140" s="86">
        <f t="shared" si="2207"/>
        <v>0</v>
      </c>
      <c r="BN140" s="87">
        <f t="shared" si="2208"/>
        <v>0</v>
      </c>
      <c r="BO140" s="87">
        <f t="shared" si="2209"/>
        <v>0</v>
      </c>
      <c r="BP140" s="88">
        <f t="shared" si="2210"/>
        <v>0</v>
      </c>
      <c r="BQ140" s="85">
        <f t="shared" si="2211"/>
        <v>0</v>
      </c>
      <c r="BR140" s="86">
        <f t="shared" si="2212"/>
        <v>0</v>
      </c>
      <c r="BS140" s="87">
        <f t="shared" si="2213"/>
        <v>0</v>
      </c>
      <c r="BT140" s="87">
        <f t="shared" si="2214"/>
        <v>0</v>
      </c>
      <c r="BU140" s="88">
        <f t="shared" si="2215"/>
        <v>0</v>
      </c>
      <c r="BV140" s="85">
        <f t="shared" si="2216"/>
        <v>0</v>
      </c>
      <c r="BW140" s="86">
        <f t="shared" si="2217"/>
        <v>0</v>
      </c>
      <c r="BX140" s="87">
        <f t="shared" si="2218"/>
        <v>0</v>
      </c>
      <c r="BY140" s="87">
        <f t="shared" si="2219"/>
        <v>0</v>
      </c>
      <c r="BZ140" s="88">
        <f t="shared" si="2220"/>
        <v>0</v>
      </c>
      <c r="CA140" s="85">
        <f t="shared" si="2221"/>
        <v>0</v>
      </c>
      <c r="CB140" s="86">
        <f t="shared" si="2222"/>
        <v>0</v>
      </c>
      <c r="CC140" s="87">
        <f t="shared" si="2223"/>
        <v>0</v>
      </c>
      <c r="CD140" s="87">
        <f t="shared" si="2224"/>
        <v>-4.3562500000000002</v>
      </c>
      <c r="CE140" s="88">
        <f t="shared" si="2225"/>
        <v>-6.5343750000000007</v>
      </c>
      <c r="CF140" s="85">
        <f t="shared" si="2226"/>
        <v>-10.890625</v>
      </c>
      <c r="CG140" s="86">
        <f t="shared" si="2227"/>
        <v>-6.5343750000000007</v>
      </c>
      <c r="CH140" s="87">
        <f t="shared" si="2228"/>
        <v>-6.5343750000000007</v>
      </c>
      <c r="CI140" s="87">
        <f t="shared" si="2229"/>
        <v>-2.1781250000000001</v>
      </c>
      <c r="CJ140" s="88">
        <f t="shared" si="2230"/>
        <v>0</v>
      </c>
      <c r="CK140" s="85">
        <f t="shared" si="2231"/>
        <v>-15.246874999999999</v>
      </c>
      <c r="CL140" s="86">
        <f t="shared" si="2232"/>
        <v>0</v>
      </c>
      <c r="CM140" s="87">
        <f t="shared" si="2233"/>
        <v>0</v>
      </c>
      <c r="CN140" s="87">
        <f t="shared" si="2234"/>
        <v>0</v>
      </c>
      <c r="CO140" s="88">
        <f t="shared" si="2235"/>
        <v>0</v>
      </c>
      <c r="CP140" s="85">
        <f t="shared" si="2236"/>
        <v>0</v>
      </c>
      <c r="CQ140" s="86">
        <f t="shared" si="2237"/>
        <v>0</v>
      </c>
      <c r="CR140" s="87">
        <f t="shared" si="2238"/>
        <v>0</v>
      </c>
      <c r="CS140" s="87">
        <f t="shared" si="2239"/>
        <v>0</v>
      </c>
      <c r="CT140" s="88">
        <f t="shared" si="2240"/>
        <v>0</v>
      </c>
      <c r="CU140" s="85">
        <f t="shared" si="2241"/>
        <v>0</v>
      </c>
      <c r="CV140" s="86">
        <f t="shared" si="2242"/>
        <v>0</v>
      </c>
      <c r="CW140" s="87">
        <f t="shared" si="2243"/>
        <v>0</v>
      </c>
      <c r="CX140" s="87">
        <f t="shared" si="2244"/>
        <v>0</v>
      </c>
      <c r="CY140" s="88">
        <f t="shared" si="2245"/>
        <v>0</v>
      </c>
      <c r="CZ140" s="85">
        <f t="shared" si="2246"/>
        <v>0</v>
      </c>
    </row>
    <row r="141" spans="1:104" ht="12.75" customHeight="1">
      <c r="A141" s="4"/>
      <c r="B141" s="4"/>
      <c r="C141" s="4" t="s">
        <v>984</v>
      </c>
      <c r="D141" s="157"/>
      <c r="E141" s="2115">
        <f t="shared" ref="E141:E149" si="2248">IF(F141=0,G141,F141)</f>
        <v>700</v>
      </c>
      <c r="F141" s="2313">
        <v>700</v>
      </c>
      <c r="G141" s="1511">
        <v>700</v>
      </c>
      <c r="H141" s="1334">
        <v>2018</v>
      </c>
      <c r="I141" s="325">
        <v>5.8000000000000003E-2</v>
      </c>
      <c r="J141" s="1334">
        <v>3</v>
      </c>
      <c r="K141" s="80"/>
      <c r="L141" s="81">
        <f t="shared" si="2155"/>
        <v>0</v>
      </c>
      <c r="M141" s="82">
        <f t="shared" si="2156"/>
        <v>0</v>
      </c>
      <c r="N141" s="83">
        <f t="shared" si="2157"/>
        <v>0</v>
      </c>
      <c r="O141" s="83">
        <f t="shared" si="2158"/>
        <v>0</v>
      </c>
      <c r="P141" s="84">
        <f t="shared" si="2159"/>
        <v>0</v>
      </c>
      <c r="Q141" s="81">
        <f t="shared" si="2160"/>
        <v>0</v>
      </c>
      <c r="R141" s="82">
        <f t="shared" si="2161"/>
        <v>0</v>
      </c>
      <c r="S141" s="83">
        <f t="shared" si="2162"/>
        <v>0</v>
      </c>
      <c r="T141" s="83">
        <f t="shared" si="2163"/>
        <v>0</v>
      </c>
      <c r="U141" s="84">
        <f t="shared" si="2164"/>
        <v>0</v>
      </c>
      <c r="V141" s="81">
        <f t="shared" si="2165"/>
        <v>0</v>
      </c>
      <c r="W141" s="82">
        <f t="shared" si="2166"/>
        <v>0</v>
      </c>
      <c r="X141" s="83">
        <f t="shared" si="2167"/>
        <v>0</v>
      </c>
      <c r="Y141" s="83">
        <f t="shared" si="2168"/>
        <v>0</v>
      </c>
      <c r="Z141" s="84">
        <f t="shared" si="2169"/>
        <v>0</v>
      </c>
      <c r="AA141" s="81">
        <f t="shared" si="2170"/>
        <v>0</v>
      </c>
      <c r="AB141" s="82">
        <f t="shared" si="2171"/>
        <v>0</v>
      </c>
      <c r="AC141" s="83">
        <f t="shared" si="2172"/>
        <v>0</v>
      </c>
      <c r="AD141" s="83">
        <f t="shared" si="2173"/>
        <v>0</v>
      </c>
      <c r="AE141" s="84">
        <f t="shared" si="2174"/>
        <v>0</v>
      </c>
      <c r="AF141" s="81">
        <f t="shared" si="2175"/>
        <v>0</v>
      </c>
      <c r="AG141" s="82">
        <f t="shared" si="2176"/>
        <v>0</v>
      </c>
      <c r="AH141" s="83">
        <f t="shared" si="2177"/>
        <v>0</v>
      </c>
      <c r="AI141" s="83">
        <f t="shared" si="2178"/>
        <v>0</v>
      </c>
      <c r="AJ141" s="84">
        <f t="shared" si="2179"/>
        <v>0</v>
      </c>
      <c r="AK141" s="81">
        <f t="shared" si="2180"/>
        <v>0</v>
      </c>
      <c r="AL141" s="82">
        <f t="shared" si="2181"/>
        <v>-700</v>
      </c>
      <c r="AM141" s="83">
        <f t="shared" si="2182"/>
        <v>0</v>
      </c>
      <c r="AN141" s="83">
        <f t="shared" si="2183"/>
        <v>0</v>
      </c>
      <c r="AO141" s="84">
        <f t="shared" si="2184"/>
        <v>0</v>
      </c>
      <c r="AP141" s="81">
        <f t="shared" si="2185"/>
        <v>-700</v>
      </c>
      <c r="AQ141" s="82">
        <f t="shared" si="2186"/>
        <v>0</v>
      </c>
      <c r="AR141" s="83">
        <f t="shared" si="2187"/>
        <v>0</v>
      </c>
      <c r="AS141" s="83">
        <f t="shared" si="2188"/>
        <v>0</v>
      </c>
      <c r="AT141" s="84">
        <f t="shared" si="2189"/>
        <v>0</v>
      </c>
      <c r="AU141" s="81">
        <f t="shared" si="2190"/>
        <v>0</v>
      </c>
      <c r="AV141" s="82">
        <f t="shared" si="2191"/>
        <v>0</v>
      </c>
      <c r="AW141" s="83">
        <f t="shared" si="2192"/>
        <v>0</v>
      </c>
      <c r="AX141" s="83">
        <f t="shared" si="2193"/>
        <v>0</v>
      </c>
      <c r="AY141" s="84">
        <f t="shared" si="2194"/>
        <v>0</v>
      </c>
      <c r="AZ141" s="81">
        <f t="shared" si="2195"/>
        <v>0</v>
      </c>
      <c r="BA141" s="82">
        <f t="shared" si="2196"/>
        <v>0</v>
      </c>
      <c r="BB141" s="83">
        <f t="shared" si="2197"/>
        <v>0</v>
      </c>
      <c r="BC141" s="83">
        <f t="shared" si="2198"/>
        <v>0</v>
      </c>
      <c r="BD141" s="84">
        <f t="shared" si="2199"/>
        <v>0</v>
      </c>
      <c r="BE141" s="81">
        <f t="shared" si="2200"/>
        <v>0</v>
      </c>
      <c r="BF141" s="1877"/>
      <c r="BG141" s="2005">
        <f t="shared" si="2201"/>
        <v>0</v>
      </c>
      <c r="BH141" s="86">
        <f t="shared" si="2202"/>
        <v>0</v>
      </c>
      <c r="BI141" s="87">
        <f t="shared" si="2203"/>
        <v>0</v>
      </c>
      <c r="BJ141" s="87">
        <f t="shared" si="2204"/>
        <v>0</v>
      </c>
      <c r="BK141" s="88">
        <f t="shared" si="2205"/>
        <v>0</v>
      </c>
      <c r="BL141" s="85">
        <f t="shared" si="2206"/>
        <v>0</v>
      </c>
      <c r="BM141" s="86">
        <f t="shared" si="2207"/>
        <v>0</v>
      </c>
      <c r="BN141" s="87">
        <f t="shared" si="2208"/>
        <v>0</v>
      </c>
      <c r="BO141" s="87">
        <f t="shared" si="2209"/>
        <v>0</v>
      </c>
      <c r="BP141" s="88">
        <f t="shared" si="2210"/>
        <v>0</v>
      </c>
      <c r="BQ141" s="85">
        <f t="shared" si="2211"/>
        <v>0</v>
      </c>
      <c r="BR141" s="86">
        <f t="shared" si="2212"/>
        <v>0</v>
      </c>
      <c r="BS141" s="87">
        <f t="shared" si="2213"/>
        <v>0</v>
      </c>
      <c r="BT141" s="87">
        <f t="shared" si="2214"/>
        <v>0</v>
      </c>
      <c r="BU141" s="88">
        <f t="shared" si="2215"/>
        <v>0</v>
      </c>
      <c r="BV141" s="85">
        <f t="shared" si="2216"/>
        <v>0</v>
      </c>
      <c r="BW141" s="86">
        <f t="shared" si="2217"/>
        <v>0</v>
      </c>
      <c r="BX141" s="87">
        <f t="shared" si="2218"/>
        <v>0</v>
      </c>
      <c r="BY141" s="87">
        <f t="shared" si="2219"/>
        <v>0</v>
      </c>
      <c r="BZ141" s="88">
        <f t="shared" si="2220"/>
        <v>0</v>
      </c>
      <c r="CA141" s="85">
        <f t="shared" si="2221"/>
        <v>0</v>
      </c>
      <c r="CB141" s="86">
        <f t="shared" si="2222"/>
        <v>0</v>
      </c>
      <c r="CC141" s="87">
        <f t="shared" si="2223"/>
        <v>0</v>
      </c>
      <c r="CD141" s="87">
        <f t="shared" si="2224"/>
        <v>0</v>
      </c>
      <c r="CE141" s="88">
        <f t="shared" si="2225"/>
        <v>0</v>
      </c>
      <c r="CF141" s="85">
        <f t="shared" si="2226"/>
        <v>0</v>
      </c>
      <c r="CG141" s="86">
        <f t="shared" si="2227"/>
        <v>-3.3833333333333333</v>
      </c>
      <c r="CH141" s="87">
        <f t="shared" si="2228"/>
        <v>-10.15</v>
      </c>
      <c r="CI141" s="87">
        <f t="shared" si="2229"/>
        <v>-10.15</v>
      </c>
      <c r="CJ141" s="88">
        <f t="shared" si="2230"/>
        <v>-10.15</v>
      </c>
      <c r="CK141" s="85">
        <f t="shared" si="2231"/>
        <v>-33.833333333333336</v>
      </c>
      <c r="CL141" s="86">
        <f t="shared" si="2232"/>
        <v>-6.7666666666666666</v>
      </c>
      <c r="CM141" s="87">
        <f t="shared" si="2233"/>
        <v>0</v>
      </c>
      <c r="CN141" s="87">
        <f t="shared" si="2234"/>
        <v>0</v>
      </c>
      <c r="CO141" s="88">
        <f t="shared" si="2235"/>
        <v>0</v>
      </c>
      <c r="CP141" s="85">
        <f t="shared" si="2236"/>
        <v>-6.7666666666666657</v>
      </c>
      <c r="CQ141" s="86">
        <f t="shared" si="2237"/>
        <v>0</v>
      </c>
      <c r="CR141" s="87">
        <f t="shared" si="2238"/>
        <v>0</v>
      </c>
      <c r="CS141" s="87">
        <f t="shared" si="2239"/>
        <v>0</v>
      </c>
      <c r="CT141" s="88">
        <f t="shared" si="2240"/>
        <v>0</v>
      </c>
      <c r="CU141" s="85">
        <f t="shared" si="2241"/>
        <v>0</v>
      </c>
      <c r="CV141" s="86">
        <f t="shared" si="2242"/>
        <v>0</v>
      </c>
      <c r="CW141" s="87">
        <f t="shared" si="2243"/>
        <v>0</v>
      </c>
      <c r="CX141" s="87">
        <f t="shared" si="2244"/>
        <v>0</v>
      </c>
      <c r="CY141" s="88">
        <f t="shared" si="2245"/>
        <v>0</v>
      </c>
      <c r="CZ141" s="85">
        <f t="shared" si="2246"/>
        <v>0</v>
      </c>
    </row>
    <row r="142" spans="1:104" ht="12.75" customHeight="1">
      <c r="A142" s="4"/>
      <c r="B142" s="4"/>
      <c r="C142" s="4" t="s">
        <v>985</v>
      </c>
      <c r="D142" s="157"/>
      <c r="E142" s="2115">
        <f t="shared" si="2248"/>
        <v>500</v>
      </c>
      <c r="F142" s="2313">
        <v>500</v>
      </c>
      <c r="G142" s="1511">
        <v>500</v>
      </c>
      <c r="H142" s="1334">
        <v>2020</v>
      </c>
      <c r="I142" s="325">
        <v>0.04</v>
      </c>
      <c r="J142" s="1334">
        <v>8</v>
      </c>
      <c r="K142" s="80"/>
      <c r="L142" s="81">
        <f t="shared" si="2155"/>
        <v>0</v>
      </c>
      <c r="M142" s="82">
        <f t="shared" si="2156"/>
        <v>0</v>
      </c>
      <c r="N142" s="83">
        <f t="shared" si="2157"/>
        <v>0</v>
      </c>
      <c r="O142" s="83">
        <f t="shared" si="2158"/>
        <v>0</v>
      </c>
      <c r="P142" s="84">
        <f t="shared" si="2159"/>
        <v>0</v>
      </c>
      <c r="Q142" s="81">
        <f t="shared" si="2160"/>
        <v>0</v>
      </c>
      <c r="R142" s="82">
        <f t="shared" si="2161"/>
        <v>0</v>
      </c>
      <c r="S142" s="83">
        <f t="shared" si="2162"/>
        <v>0</v>
      </c>
      <c r="T142" s="83">
        <f t="shared" si="2163"/>
        <v>0</v>
      </c>
      <c r="U142" s="84">
        <f t="shared" si="2164"/>
        <v>0</v>
      </c>
      <c r="V142" s="81">
        <f t="shared" si="2165"/>
        <v>0</v>
      </c>
      <c r="W142" s="82">
        <f t="shared" si="2166"/>
        <v>0</v>
      </c>
      <c r="X142" s="83">
        <f t="shared" si="2167"/>
        <v>0</v>
      </c>
      <c r="Y142" s="83">
        <f t="shared" si="2168"/>
        <v>0</v>
      </c>
      <c r="Z142" s="84">
        <f t="shared" si="2169"/>
        <v>0</v>
      </c>
      <c r="AA142" s="81">
        <f t="shared" si="2170"/>
        <v>0</v>
      </c>
      <c r="AB142" s="82">
        <f t="shared" si="2171"/>
        <v>0</v>
      </c>
      <c r="AC142" s="83">
        <f t="shared" si="2172"/>
        <v>0</v>
      </c>
      <c r="AD142" s="83">
        <f t="shared" si="2173"/>
        <v>0</v>
      </c>
      <c r="AE142" s="84">
        <f t="shared" si="2174"/>
        <v>0</v>
      </c>
      <c r="AF142" s="81">
        <f t="shared" si="2175"/>
        <v>0</v>
      </c>
      <c r="AG142" s="82">
        <f t="shared" si="2176"/>
        <v>0</v>
      </c>
      <c r="AH142" s="83">
        <f t="shared" si="2177"/>
        <v>0</v>
      </c>
      <c r="AI142" s="83">
        <f t="shared" si="2178"/>
        <v>0</v>
      </c>
      <c r="AJ142" s="84">
        <f t="shared" si="2179"/>
        <v>0</v>
      </c>
      <c r="AK142" s="81">
        <f t="shared" si="2180"/>
        <v>0</v>
      </c>
      <c r="AL142" s="82">
        <f t="shared" si="2181"/>
        <v>0</v>
      </c>
      <c r="AM142" s="83">
        <f t="shared" si="2182"/>
        <v>0</v>
      </c>
      <c r="AN142" s="83">
        <f t="shared" si="2183"/>
        <v>0</v>
      </c>
      <c r="AO142" s="84">
        <f t="shared" si="2184"/>
        <v>0</v>
      </c>
      <c r="AP142" s="81">
        <f t="shared" si="2185"/>
        <v>0</v>
      </c>
      <c r="AQ142" s="82">
        <f t="shared" si="2186"/>
        <v>0</v>
      </c>
      <c r="AR142" s="83">
        <f t="shared" si="2187"/>
        <v>0</v>
      </c>
      <c r="AS142" s="83">
        <f t="shared" si="2188"/>
        <v>0</v>
      </c>
      <c r="AT142" s="84">
        <f t="shared" si="2189"/>
        <v>0</v>
      </c>
      <c r="AU142" s="81">
        <f t="shared" si="2190"/>
        <v>0</v>
      </c>
      <c r="AV142" s="82">
        <f t="shared" si="2191"/>
        <v>0</v>
      </c>
      <c r="AW142" s="83">
        <f t="shared" si="2192"/>
        <v>0</v>
      </c>
      <c r="AX142" s="83">
        <f t="shared" si="2193"/>
        <v>-500</v>
      </c>
      <c r="AY142" s="84">
        <f t="shared" si="2194"/>
        <v>0</v>
      </c>
      <c r="AZ142" s="81">
        <f t="shared" si="2195"/>
        <v>-500</v>
      </c>
      <c r="BA142" s="82">
        <f t="shared" si="2196"/>
        <v>0</v>
      </c>
      <c r="BB142" s="83">
        <f t="shared" si="2197"/>
        <v>0</v>
      </c>
      <c r="BC142" s="83">
        <f t="shared" si="2198"/>
        <v>0</v>
      </c>
      <c r="BD142" s="84">
        <f t="shared" si="2199"/>
        <v>0</v>
      </c>
      <c r="BE142" s="81">
        <f t="shared" si="2200"/>
        <v>0</v>
      </c>
      <c r="BF142" s="1877"/>
      <c r="BG142" s="2005">
        <f t="shared" si="2201"/>
        <v>0</v>
      </c>
      <c r="BH142" s="86">
        <f t="shared" si="2202"/>
        <v>0</v>
      </c>
      <c r="BI142" s="87">
        <f t="shared" si="2203"/>
        <v>0</v>
      </c>
      <c r="BJ142" s="87">
        <f t="shared" si="2204"/>
        <v>0</v>
      </c>
      <c r="BK142" s="88">
        <f t="shared" si="2205"/>
        <v>0</v>
      </c>
      <c r="BL142" s="85">
        <f t="shared" si="2206"/>
        <v>0</v>
      </c>
      <c r="BM142" s="86">
        <f t="shared" si="2207"/>
        <v>0</v>
      </c>
      <c r="BN142" s="87">
        <f t="shared" si="2208"/>
        <v>0</v>
      </c>
      <c r="BO142" s="87">
        <f t="shared" si="2209"/>
        <v>0</v>
      </c>
      <c r="BP142" s="88">
        <f t="shared" si="2210"/>
        <v>0</v>
      </c>
      <c r="BQ142" s="85">
        <f t="shared" si="2211"/>
        <v>0</v>
      </c>
      <c r="BR142" s="86">
        <f t="shared" si="2212"/>
        <v>0</v>
      </c>
      <c r="BS142" s="87">
        <f t="shared" si="2213"/>
        <v>0</v>
      </c>
      <c r="BT142" s="87">
        <f t="shared" si="2214"/>
        <v>0</v>
      </c>
      <c r="BU142" s="88">
        <f t="shared" si="2215"/>
        <v>0</v>
      </c>
      <c r="BV142" s="85">
        <f t="shared" si="2216"/>
        <v>0</v>
      </c>
      <c r="BW142" s="86">
        <f t="shared" si="2217"/>
        <v>0</v>
      </c>
      <c r="BX142" s="87">
        <f t="shared" si="2218"/>
        <v>0</v>
      </c>
      <c r="BY142" s="87">
        <f t="shared" si="2219"/>
        <v>0</v>
      </c>
      <c r="BZ142" s="88">
        <f t="shared" si="2220"/>
        <v>0</v>
      </c>
      <c r="CA142" s="85">
        <f t="shared" si="2221"/>
        <v>0</v>
      </c>
      <c r="CB142" s="86">
        <f t="shared" si="2222"/>
        <v>0</v>
      </c>
      <c r="CC142" s="87">
        <f t="shared" si="2223"/>
        <v>0</v>
      </c>
      <c r="CD142" s="87">
        <f t="shared" si="2224"/>
        <v>0</v>
      </c>
      <c r="CE142" s="88">
        <f t="shared" si="2225"/>
        <v>0</v>
      </c>
      <c r="CF142" s="85">
        <f t="shared" si="2226"/>
        <v>0</v>
      </c>
      <c r="CG142" s="86">
        <f t="shared" si="2227"/>
        <v>0</v>
      </c>
      <c r="CH142" s="87">
        <f t="shared" si="2228"/>
        <v>0</v>
      </c>
      <c r="CI142" s="87">
        <f t="shared" si="2229"/>
        <v>0</v>
      </c>
      <c r="CJ142" s="88">
        <f t="shared" si="2230"/>
        <v>0</v>
      </c>
      <c r="CK142" s="85">
        <f t="shared" si="2231"/>
        <v>0</v>
      </c>
      <c r="CL142" s="86">
        <f t="shared" si="2232"/>
        <v>0</v>
      </c>
      <c r="CM142" s="87">
        <f t="shared" si="2233"/>
        <v>0</v>
      </c>
      <c r="CN142" s="87">
        <f t="shared" si="2234"/>
        <v>0</v>
      </c>
      <c r="CO142" s="88">
        <f t="shared" si="2235"/>
        <v>0</v>
      </c>
      <c r="CP142" s="85">
        <f t="shared" si="2236"/>
        <v>0</v>
      </c>
      <c r="CQ142" s="86">
        <f t="shared" si="2237"/>
        <v>0</v>
      </c>
      <c r="CR142" s="87">
        <f t="shared" si="2238"/>
        <v>0</v>
      </c>
      <c r="CS142" s="87">
        <f t="shared" si="2239"/>
        <v>-3.3333333333333335</v>
      </c>
      <c r="CT142" s="88">
        <f t="shared" si="2240"/>
        <v>-5</v>
      </c>
      <c r="CU142" s="85">
        <f t="shared" si="2241"/>
        <v>-8.3333333333333339</v>
      </c>
      <c r="CV142" s="86">
        <f t="shared" si="2242"/>
        <v>-5</v>
      </c>
      <c r="CW142" s="87">
        <f t="shared" si="2243"/>
        <v>-5</v>
      </c>
      <c r="CX142" s="87">
        <f t="shared" si="2244"/>
        <v>-1.6666666666666667</v>
      </c>
      <c r="CY142" s="88">
        <f t="shared" si="2245"/>
        <v>0</v>
      </c>
      <c r="CZ142" s="85">
        <f t="shared" si="2246"/>
        <v>-11.666666666666666</v>
      </c>
    </row>
    <row r="143" spans="1:104" ht="12.75" customHeight="1">
      <c r="A143" s="4"/>
      <c r="B143" s="4"/>
      <c r="C143" s="4" t="s">
        <v>986</v>
      </c>
      <c r="D143" s="157"/>
      <c r="E143" s="2115">
        <f t="shared" si="2248"/>
        <v>350</v>
      </c>
      <c r="F143" s="2313">
        <v>350</v>
      </c>
      <c r="G143" s="1511">
        <v>350</v>
      </c>
      <c r="H143" s="1334">
        <v>2021</v>
      </c>
      <c r="I143" s="325">
        <v>3.4000000000000002E-2</v>
      </c>
      <c r="J143" s="1334">
        <v>9</v>
      </c>
      <c r="K143" s="80"/>
      <c r="L143" s="81">
        <f t="shared" si="2155"/>
        <v>0</v>
      </c>
      <c r="M143" s="82">
        <f>IF(Q143=0,0,IF(Q143&lt;0,IF($J143=3,Q143,IF($J143=2,Q143,IF($J143=1,Q143,0)))))</f>
        <v>0</v>
      </c>
      <c r="N143" s="83">
        <f>IF(Q143=0,0,IF(Q143&lt;0,IF($J143=6,Q143,IF($J143=5,Q143,IF($J143=4,Q143,0)))))</f>
        <v>0</v>
      </c>
      <c r="O143" s="83">
        <f>IF(Q143=0,0,IF(Q143&lt;0,IF($J143=9,Q143,IF($J143=8,Q143,IF($J143=7,Q143,0)))))</f>
        <v>0</v>
      </c>
      <c r="P143" s="84">
        <f>IF(Q143=0,0,IF(Q143&lt;0,IF($J143=12,Q143,IF($J143=11,Q143,IF($J143=10,Q143,0)))))</f>
        <v>0</v>
      </c>
      <c r="Q143" s="81">
        <f t="shared" si="2160"/>
        <v>0</v>
      </c>
      <c r="R143" s="82">
        <f>IF(V143=0,0,IF(V143&lt;0,IF($J143=3,V143,IF($J143=2,V143,IF($J143=1,V143,0)))))</f>
        <v>0</v>
      </c>
      <c r="S143" s="83">
        <f>IF(V143=0,0,IF(V143&lt;0,IF($J143=6,V143,IF($J143=5,V143,IF($J143=4,V143,0)))))</f>
        <v>0</v>
      </c>
      <c r="T143" s="83">
        <f>IF(V143=0,0,IF(V143&lt;0,IF($J143=9,V143,IF($J143=8,V143,IF($J143=7,V143,0)))))</f>
        <v>0</v>
      </c>
      <c r="U143" s="84">
        <f>IF(V143=0,0,IF(V143&lt;0,IF($J143=12,V143,IF($J143=11,V143,IF($J143=10,V143,0)))))</f>
        <v>0</v>
      </c>
      <c r="V143" s="81">
        <f t="shared" si="2165"/>
        <v>0</v>
      </c>
      <c r="W143" s="82">
        <f>IF(AA143=0,0,IF(AA143&lt;0,IF($J143=3,AA143,IF($J143=2,AA143,IF($J143=1,AA143,0)))))</f>
        <v>0</v>
      </c>
      <c r="X143" s="83">
        <f>IF(AA143=0,0,IF(AA143&lt;0,IF($J143=6,AA143,IF($J143=5,AA143,IF($J143=4,AA143,0)))))</f>
        <v>0</v>
      </c>
      <c r="Y143" s="83">
        <f>IF(AA143=0,0,IF(AA143&lt;0,IF($J143=9,AA143,IF($J143=8,AA143,IF($J143=7,AA143,0)))))</f>
        <v>0</v>
      </c>
      <c r="Z143" s="84">
        <f>IF(AA143=0,0,IF(AA143&lt;0,IF($J143=12,AA143,IF($J143=11,AA143,IF($J143=10,AA143,0)))))</f>
        <v>0</v>
      </c>
      <c r="AA143" s="81">
        <f t="shared" si="2170"/>
        <v>0</v>
      </c>
      <c r="AB143" s="82">
        <f>IF(AF143=0,0,IF(AF143&lt;0,IF($J143=3,AF143,IF($J143=2,AF143,IF($J143=1,AF143,0)))))</f>
        <v>0</v>
      </c>
      <c r="AC143" s="83">
        <f>IF(AF143=0,0,IF(AF143&lt;0,IF($J143=6,AF143,IF($J143=5,AF143,IF($J143=4,AF143,0)))))</f>
        <v>0</v>
      </c>
      <c r="AD143" s="83">
        <f>IF(AF143=0,0,IF(AF143&lt;0,IF($J143=9,AF143,IF($J143=8,AF143,IF($J143=7,AF143,0)))))</f>
        <v>0</v>
      </c>
      <c r="AE143" s="84">
        <f>IF(AF143=0,0,IF(AF143&lt;0,IF($J143=12,AF143,IF($J143=11,AF143,IF($J143=10,AF143,0)))))</f>
        <v>0</v>
      </c>
      <c r="AF143" s="81">
        <f t="shared" si="2175"/>
        <v>0</v>
      </c>
      <c r="AG143" s="82">
        <f>IF(AK143=0,0,IF(AK143&lt;0,IF($J143=3,AK143,IF($J143=2,AK143,IF($J143=1,AK143,0)))))</f>
        <v>0</v>
      </c>
      <c r="AH143" s="83">
        <f>IF(AK143=0,0,IF(AK143&lt;0,IF($J143=6,AK143,IF($J143=5,AK143,IF($J143=4,AK143,0)))))</f>
        <v>0</v>
      </c>
      <c r="AI143" s="83">
        <f>IF(AK143=0,0,IF(AK143&lt;0,IF($J143=9,AK143,IF($J143=8,AK143,IF($J143=7,AK143,0)))))</f>
        <v>0</v>
      </c>
      <c r="AJ143" s="84">
        <f>IF(AK143=0,0,IF(AK143&lt;0,IF($J143=12,AK143,IF($J143=11,AK143,IF($J143=10,AK143,0)))))</f>
        <v>0</v>
      </c>
      <c r="AK143" s="81">
        <f t="shared" si="2180"/>
        <v>0</v>
      </c>
      <c r="AL143" s="82">
        <f>IF(AP143=0,0,IF(AP143&lt;0,IF($J143=3,AP143,IF($J143=2,AP143,IF($J143=1,AP143,0)))))</f>
        <v>0</v>
      </c>
      <c r="AM143" s="83">
        <f>IF(AP143=0,0,IF(AP143&lt;0,IF($J143=6,AP143,IF($J143=5,AP143,IF($J143=4,AP143,0)))))</f>
        <v>0</v>
      </c>
      <c r="AN143" s="83">
        <f>IF(AP143=0,0,IF(AP143&lt;0,IF($J143=9,AP143,IF($J143=8,AP143,IF($J143=7,AP143,0)))))</f>
        <v>0</v>
      </c>
      <c r="AO143" s="84">
        <f>IF(AP143=0,0,IF(AP143&lt;0,IF($J143=12,AP143,IF($J143=11,AP143,IF($J143=10,AP143,0)))))</f>
        <v>0</v>
      </c>
      <c r="AP143" s="81">
        <f t="shared" si="2185"/>
        <v>0</v>
      </c>
      <c r="AQ143" s="82">
        <f>IF(AU143=0,0,IF(AU143&lt;0,IF($J143=3,AU143,IF($J143=2,AU143,IF($J143=1,AU143,0)))))</f>
        <v>0</v>
      </c>
      <c r="AR143" s="83">
        <f>IF(AU143=0,0,IF(AU143&lt;0,IF($J143=6,AU143,IF($J143=5,AU143,IF($J143=4,AU143,0)))))</f>
        <v>0</v>
      </c>
      <c r="AS143" s="83">
        <f>IF(AU143=0,0,IF(AU143&lt;0,IF($J143=9,AU143,IF($J143=8,AU143,IF($J143=7,AU143,0)))))</f>
        <v>0</v>
      </c>
      <c r="AT143" s="84">
        <f>IF(AU143=0,0,IF(AU143&lt;0,IF($J143=12,AU143,IF($J143=11,AU143,IF($J143=10,AU143,0)))))</f>
        <v>0</v>
      </c>
      <c r="AU143" s="81">
        <f t="shared" si="2190"/>
        <v>0</v>
      </c>
      <c r="AV143" s="82">
        <f>IF(AZ143=0,0,IF(AZ143&lt;0,IF($J143=3,AZ143,IF($J143=2,AZ143,IF($J143=1,AZ143,0)))))</f>
        <v>0</v>
      </c>
      <c r="AW143" s="83">
        <f>IF(AZ143=0,0,IF(AZ143&lt;0,IF($J143=6,AZ143,IF($J143=5,AZ143,IF($J143=4,AZ143,0)))))</f>
        <v>0</v>
      </c>
      <c r="AX143" s="83">
        <f>IF(AZ143=0,0,IF(AZ143&lt;0,IF($J143=9,AZ143,IF($J143=8,AZ143,IF($J143=7,AZ143,0)))))</f>
        <v>0</v>
      </c>
      <c r="AY143" s="84">
        <f>IF(AZ143=0,0,IF(AZ143&lt;0,IF($J143=12,AZ143,IF($J143=11,AZ143,IF($J143=10,AZ143,0)))))</f>
        <v>0</v>
      </c>
      <c r="AZ143" s="81">
        <f t="shared" si="2195"/>
        <v>0</v>
      </c>
      <c r="BA143" s="82">
        <f>IF(BE143=0,0,IF(BE143&lt;0,IF($J143=3,BE143,IF($J143=2,BE143,IF($J143=1,BE143,0)))))</f>
        <v>0</v>
      </c>
      <c r="BB143" s="83">
        <f>IF(BE143=0,0,IF(BE143&lt;0,IF($J143=6,BE143,IF($J143=5,BE143,IF($J143=4,BE143,0)))))</f>
        <v>0</v>
      </c>
      <c r="BC143" s="83">
        <f>IF(BE143=0,0,IF(BE143&lt;0,IF($J143=9,BE143,IF($J143=8,BE143,IF($J143=7,BE143,0)))))</f>
        <v>-350</v>
      </c>
      <c r="BD143" s="84">
        <f>IF(BE143=0,0,IF(BE143&lt;0,IF($J143=12,BE143,IF($J143=11,BE143,IF($J143=10,BE143,0)))))</f>
        <v>0</v>
      </c>
      <c r="BE143" s="81">
        <f t="shared" si="2200"/>
        <v>-350</v>
      </c>
      <c r="BF143" s="1877"/>
      <c r="BG143" s="2005">
        <f t="shared" si="2201"/>
        <v>0</v>
      </c>
      <c r="BH143" s="86">
        <f>IF($H143&lt;&gt;BL$5,0,IF(BL143&lt;0,IF($J143=1,-$E143*$I143/12*3,IF($J143=2,-$E143*$I143/12*2,IF($J143=3,-$E143*$I143/12*1,0)))))+IF(BG$5&lt;&gt;$H143,0,IF(BG143&lt;0,IF($J143=1,-$E143*$I143/12*0,IF($J143=2,-$E143*$I143/12*1,IF($J143=3,-$E143*$I143/12*2,IF($J143&gt;=4,-$E143*$I143/12*3,0))))))</f>
        <v>0</v>
      </c>
      <c r="BI143" s="87">
        <f>IF($H143&lt;&gt;BL$5,0,IF(BL143&lt;0,IF(OR($J143=1,$J143=2,$J143=3,$J143=4),-$E143*$I143/12*3,IF($J143=5,-$E143*$I143/12*2,IF($J143=6,-$E143*$I143/12*1,0)))))+IF(BG$5&lt;&gt;$H143,0,IF(BG143&lt;0,IF($J143=4,-$E143*$I143/12*0,IF($J143=5,-$E143*$I143/12*1,IF($J143=6,-$E143*$I143/12*2,IF($J143&gt;=7,-$E143*$I143/12*3,0))))))</f>
        <v>0</v>
      </c>
      <c r="BJ143" s="87">
        <f>IF($H143&lt;&gt;BL$5,0,IF(BL143&lt;0,IF(OR($J143=1,$J143=2,$J143=3,$J143=4,$J143=5,$J143=6,$J143=7),-$E143*$I143/12*3,IF($J143=8,-$E143*$I143/12*2,IF($J143=9,-$E143*$I143/12*1,0)))))+IF(BG$5&lt;&gt;$H143,0,IF(BG143&lt;0,IF($J143=7,-$E143*$I143/12*0,IF($J143=8,-$E143*$I143/12*1,IF($J143=9,-$E143*$I143/12*2,IF($J143&gt;=10,-$E143*$I143/12*3,0))))))</f>
        <v>0</v>
      </c>
      <c r="BK143" s="88">
        <f>IF($H143&lt;&gt;BL$5,0,IF(BL143&lt;0,IF(OR($J143=1,$J143=2,$J143=3,$J143=4,$J143=5,$J143=6,$J143=7,$J143=8,$J143=9,$J143=10),-$E143*$I143/12*3,IF($J143=11,-$E143*$I143/12*2,IF($J143=12,-$E143*$I143/12*1,0)))))+IF(BG$5&lt;&gt;$H143,0,IF(BG143&lt;0,IF($J143=10,-$E143*$I143/12*0,IF($J143=11,-$E143*$I143/12*1,IF($J143=12,-$E143*$I143/12*2,0)))))</f>
        <v>0</v>
      </c>
      <c r="BL143" s="85">
        <f>IF(AND(BG143&lt;&gt;0,BG$5=$H143),-$I143*$E143-BG143,IF(BL$5=$H143,-$I143*$E143*(12-$J143+1)/12,0))</f>
        <v>0</v>
      </c>
      <c r="BM143" s="86">
        <f>IF($H143&lt;&gt;BQ$5,0,IF(BQ143&lt;0,IF($J143=1,-$E143*$I143/12*3,IF($J143=2,-$E143*$I143/12*2,IF($J143=3,-$E143*$I143/12*1,0)))))+IF(BL$5&lt;&gt;$H143,0,IF(BL143&lt;0,IF($J143=1,-$E143*$I143/12*0,IF($J143=2,-$E143*$I143/12*1,IF($J143=3,-$E143*$I143/12*2,IF($J143&gt;=4,-$E143*$I143/12*3,0))))))</f>
        <v>0</v>
      </c>
      <c r="BN143" s="87">
        <f>IF($H143&lt;&gt;BQ$5,0,IF(BQ143&lt;0,IF(OR($J143=1,$J143=2,$J143=3,$J143=4),-$E143*$I143/12*3,IF($J143=5,-$E143*$I143/12*2,IF($J143=6,-$E143*$I143/12*1,0)))))+IF(BL$5&lt;&gt;$H143,0,IF(BL143&lt;0,IF($J143=4,-$E143*$I143/12*0,IF($J143=5,-$E143*$I143/12*1,IF($J143=6,-$E143*$I143/12*2,IF($J143&gt;=7,-$E143*$I143/12*3,0))))))</f>
        <v>0</v>
      </c>
      <c r="BO143" s="87">
        <f>IF($H143&lt;&gt;BQ$5,0,IF(BQ143&lt;0,IF(OR($J143=1,$J143=2,$J143=3,$J143=4,$J143=5,$J143=6,$J143=7),-$E143*$I143/12*3,IF($J143=8,-$E143*$I143/12*2,IF($J143=9,-$E143*$I143/12*1,0)))))+IF(BL$5&lt;&gt;$H143,0,IF(BL143&lt;0,IF($J143=7,-$E143*$I143/12*0,IF($J143=8,-$E143*$I143/12*1,IF($J143=9,-$E143*$I143/12*2,IF($J143&gt;=10,-$E143*$I143/12*3,0))))))</f>
        <v>0</v>
      </c>
      <c r="BP143" s="88">
        <f>IF($H143&lt;&gt;BQ$5,0,IF(BQ143&lt;0,IF(OR($J143=1,$J143=2,$J143=3,$J143=4,$J143=5,$J143=6,$J143=7,$J143=8,$J143=9,$J143=10),-$E143*$I143/12*3,IF($J143=11,-$E143*$I143/12*2,IF($J143=12,-$E143*$I143/12*1,0)))))+IF(BL$5&lt;&gt;$H143,0,IF(BL143&lt;0,IF($J143=10,-$E143*$I143/12*0,IF($J143=11,-$E143*$I143/12*1,IF($J143=12,-$E143*$I143/12*2,0)))))</f>
        <v>0</v>
      </c>
      <c r="BQ143" s="85">
        <f>IF(AND(BL143&lt;&gt;0,BL$5=$H143),-$I143*$E143-BL143,IF(BQ$5=$H143,-$I143*$E143*(12-$J143+1)/12,0))</f>
        <v>0</v>
      </c>
      <c r="BR143" s="86">
        <f>IF($H143&lt;&gt;BV$5,0,IF(BV143&lt;0,IF($J143=1,-$E143*$I143/12*3,IF($J143=2,-$E143*$I143/12*2,IF($J143=3,-$E143*$I143/12*1,0)))))+IF(BQ$5&lt;&gt;$H143,0,IF(BQ143&lt;0,IF($J143=1,-$E143*$I143/12*0,IF($J143=2,-$E143*$I143/12*1,IF($J143=3,-$E143*$I143/12*2,IF($J143&gt;=4,-$E143*$I143/12*3,0))))))</f>
        <v>0</v>
      </c>
      <c r="BS143" s="87">
        <f>IF($H143&lt;&gt;BV$5,0,IF(BV143&lt;0,IF(OR($J143=1,$J143=2,$J143=3,$J143=4),-$E143*$I143/12*3,IF($J143=5,-$E143*$I143/12*2,IF($J143=6,-$E143*$I143/12*1,0)))))+IF(BQ$5&lt;&gt;$H143,0,IF(BQ143&lt;0,IF($J143=4,-$E143*$I143/12*0,IF($J143=5,-$E143*$I143/12*1,IF($J143=6,-$E143*$I143/12*2,IF($J143&gt;=7,-$E143*$I143/12*3,0))))))</f>
        <v>0</v>
      </c>
      <c r="BT143" s="87">
        <f>IF($H143&lt;&gt;BV$5,0,IF(BV143&lt;0,IF(OR($J143=1,$J143=2,$J143=3,$J143=4,$J143=5,$J143=6,$J143=7),-$E143*$I143/12*3,IF($J143=8,-$E143*$I143/12*2,IF($J143=9,-$E143*$I143/12*1,0)))))+IF(BQ$5&lt;&gt;$H143,0,IF(BQ143&lt;0,IF($J143=7,-$E143*$I143/12*0,IF($J143=8,-$E143*$I143/12*1,IF($J143=9,-$E143*$I143/12*2,IF($J143&gt;=10,-$E143*$I143/12*3,0))))))</f>
        <v>0</v>
      </c>
      <c r="BU143" s="88">
        <f>IF($H143&lt;&gt;BV$5,0,IF(BV143&lt;0,IF(OR($J143=1,$J143=2,$J143=3,$J143=4,$J143=5,$J143=6,$J143=7,$J143=8,$J143=9,$J143=10),-$E143*$I143/12*3,IF($J143=11,-$E143*$I143/12*2,IF($J143=12,-$E143*$I143/12*1,0)))))+IF(BQ$5&lt;&gt;$H143,0,IF(BQ143&lt;0,IF($J143=10,-$E143*$I143/12*0,IF($J143=11,-$E143*$I143/12*1,IF($J143=12,-$E143*$I143/12*2,0)))))</f>
        <v>0</v>
      </c>
      <c r="BV143" s="85">
        <f>IF(AND(BQ143&lt;&gt;0,BQ$5=$H143),-$I143*$E143-BQ143,IF(BV$5=$H143,-$I143*$E143*(12-$J143+1)/12,0))</f>
        <v>0</v>
      </c>
      <c r="BW143" s="86">
        <f>IF($H143&lt;&gt;CA$5,0,IF(CA143&lt;0,IF($J143=1,-$E143*$I143/12*3,IF($J143=2,-$E143*$I143/12*2,IF($J143=3,-$E143*$I143/12*1,0)))))+IF(BV$5&lt;&gt;$H143,0,IF(BV143&lt;0,IF($J143=1,-$E143*$I143/12*0,IF($J143=2,-$E143*$I143/12*1,IF($J143=3,-$E143*$I143/12*2,IF($J143&gt;=4,-$E143*$I143/12*3,0))))))</f>
        <v>0</v>
      </c>
      <c r="BX143" s="87">
        <f>IF($H143&lt;&gt;CA$5,0,IF(CA143&lt;0,IF(OR($J143=1,$J143=2,$J143=3,$J143=4),-$E143*$I143/12*3,IF($J143=5,-$E143*$I143/12*2,IF($J143=6,-$E143*$I143/12*1,0)))))+IF(BV$5&lt;&gt;$H143,0,IF(BV143&lt;0,IF($J143=4,-$E143*$I143/12*0,IF($J143=5,-$E143*$I143/12*1,IF($J143=6,-$E143*$I143/12*2,IF($J143&gt;=7,-$E143*$I143/12*3,0))))))</f>
        <v>0</v>
      </c>
      <c r="BY143" s="87">
        <f>IF($H143&lt;&gt;CA$5,0,IF(CA143&lt;0,IF(OR($J143=1,$J143=2,$J143=3,$J143=4,$J143=5,$J143=6,$J143=7),-$E143*$I143/12*3,IF($J143=8,-$E143*$I143/12*2,IF($J143=9,-$E143*$I143/12*1,0)))))+IF(BV$5&lt;&gt;$H143,0,IF(BV143&lt;0,IF($J143=7,-$E143*$I143/12*0,IF($J143=8,-$E143*$I143/12*1,IF($J143=9,-$E143*$I143/12*2,IF($J143&gt;=10,-$E143*$I143/12*3,0))))))</f>
        <v>0</v>
      </c>
      <c r="BZ143" s="88">
        <f>IF($H143&lt;&gt;CA$5,0,IF(CA143&lt;0,IF(OR($J143=1,$J143=2,$J143=3,$J143=4,$J143=5,$J143=6,$J143=7,$J143=8,$J143=9,$J143=10),-$E143*$I143/12*3,IF($J143=11,-$E143*$I143/12*2,IF($J143=12,-$E143*$I143/12*1,0)))))+IF(BV$5&lt;&gt;$H143,0,IF(BV143&lt;0,IF($J143=10,-$E143*$I143/12*0,IF($J143=11,-$E143*$I143/12*1,IF($J143=12,-$E143*$I143/12*2,0)))))</f>
        <v>0</v>
      </c>
      <c r="CA143" s="85">
        <f>IF(AND(BV143&lt;&gt;0,BV$5=$H143),-$I143*$E143-BV143,IF(CA$5=$H143,-$I143*$E143*(12-$J143+1)/12,0))</f>
        <v>0</v>
      </c>
      <c r="CB143" s="86">
        <f>IF($H143&lt;&gt;CF$5,0,IF(CF143&lt;0,IF($J143=1,-$E143*$I143/12*3,IF($J143=2,-$E143*$I143/12*2,IF($J143=3,-$E143*$I143/12*1,0)))))+IF(CA$5&lt;&gt;$H143,0,IF(CA143&lt;0,IF($J143=1,-$E143*$I143/12*0,IF($J143=2,-$E143*$I143/12*1,IF($J143=3,-$E143*$I143/12*2,IF($J143&gt;=4,-$E143*$I143/12*3,0))))))</f>
        <v>0</v>
      </c>
      <c r="CC143" s="87">
        <f>IF($H143&lt;&gt;CF$5,0,IF(CF143&lt;0,IF(OR($J143=1,$J143=2,$J143=3,$J143=4),-$E143*$I143/12*3,IF($J143=5,-$E143*$I143/12*2,IF($J143=6,-$E143*$I143/12*1,0)))))+IF(CA$5&lt;&gt;$H143,0,IF(CA143&lt;0,IF($J143=4,-$E143*$I143/12*0,IF($J143=5,-$E143*$I143/12*1,IF($J143=6,-$E143*$I143/12*2,IF($J143&gt;=7,-$E143*$I143/12*3,0))))))</f>
        <v>0</v>
      </c>
      <c r="CD143" s="87">
        <f>IF($H143&lt;&gt;CF$5,0,IF(CF143&lt;0,IF(OR($J143=1,$J143=2,$J143=3,$J143=4,$J143=5,$J143=6,$J143=7),-$E143*$I143/12*3,IF($J143=8,-$E143*$I143/12*2,IF($J143=9,-$E143*$I143/12*1,0)))))+IF(CA$5&lt;&gt;$H143,0,IF(CA143&lt;0,IF($J143=7,-$E143*$I143/12*0,IF($J143=8,-$E143*$I143/12*1,IF($J143=9,-$E143*$I143/12*2,IF($J143&gt;=10,-$E143*$I143/12*3,0))))))</f>
        <v>0</v>
      </c>
      <c r="CE143" s="88">
        <f>IF($H143&lt;&gt;CF$5,0,IF(CF143&lt;0,IF(OR($J143=1,$J143=2,$J143=3,$J143=4,$J143=5,$J143=6,$J143=7,$J143=8,$J143=9,$J143=10),-$E143*$I143/12*3,IF($J143=11,-$E143*$I143/12*2,IF($J143=12,-$E143*$I143/12*1,0)))))+IF(CA$5&lt;&gt;$H143,0,IF(CA143&lt;0,IF($J143=10,-$E143*$I143/12*0,IF($J143=11,-$E143*$I143/12*1,IF($J143=12,-$E143*$I143/12*2,0)))))</f>
        <v>0</v>
      </c>
      <c r="CF143" s="85">
        <f>IF(AND(CA143&lt;&gt;0,CA$5=$H143),-$I143*$E143-CA143,IF(CF$5=$H143,-$I143*$E143*(12-$J143+1)/12,0))</f>
        <v>0</v>
      </c>
      <c r="CG143" s="86">
        <f>IF($H143&lt;&gt;CK$5,0,IF(CK143&lt;0,IF($J143=1,-$E143*$I143/12*3,IF($J143=2,-$E143*$I143/12*2,IF($J143=3,-$E143*$I143/12*1,0)))))+IF(CF$5&lt;&gt;$H143,0,IF(CF143&lt;0,IF($J143=1,-$E143*$I143/12*0,IF($J143=2,-$E143*$I143/12*1,IF($J143=3,-$E143*$I143/12*2,IF($J143&gt;=4,-$E143*$I143/12*3,0))))))</f>
        <v>0</v>
      </c>
      <c r="CH143" s="87">
        <f>IF($H143&lt;&gt;CK$5,0,IF(CK143&lt;0,IF(OR($J143=1,$J143=2,$J143=3,$J143=4),-$E143*$I143/12*3,IF($J143=5,-$E143*$I143/12*2,IF($J143=6,-$E143*$I143/12*1,0)))))+IF(CF$5&lt;&gt;$H143,0,IF(CF143&lt;0,IF($J143=4,-$E143*$I143/12*0,IF($J143=5,-$E143*$I143/12*1,IF($J143=6,-$E143*$I143/12*2,IF($J143&gt;=7,-$E143*$I143/12*3,0))))))</f>
        <v>0</v>
      </c>
      <c r="CI143" s="87">
        <f>IF($H143&lt;&gt;CK$5,0,IF(CK143&lt;0,IF(OR($J143=1,$J143=2,$J143=3,$J143=4,$J143=5,$J143=6,$J143=7),-$E143*$I143/12*3,IF($J143=8,-$E143*$I143/12*2,IF($J143=9,-$E143*$I143/12*1,0)))))+IF(CF$5&lt;&gt;$H143,0,IF(CF143&lt;0,IF($J143=7,-$E143*$I143/12*0,IF($J143=8,-$E143*$I143/12*1,IF($J143=9,-$E143*$I143/12*2,IF($J143&gt;=10,-$E143*$I143/12*3,0))))))</f>
        <v>0</v>
      </c>
      <c r="CJ143" s="88">
        <f>IF($H143&lt;&gt;CK$5,0,IF(CK143&lt;0,IF(OR($J143=1,$J143=2,$J143=3,$J143=4,$J143=5,$J143=6,$J143=7,$J143=8,$J143=9,$J143=10),-$E143*$I143/12*3,IF($J143=11,-$E143*$I143/12*2,IF($J143=12,-$E143*$I143/12*1,0)))))+IF(CF$5&lt;&gt;$H143,0,IF(CF143&lt;0,IF($J143=10,-$E143*$I143/12*0,IF($J143=11,-$E143*$I143/12*1,IF($J143=12,-$E143*$I143/12*2,0)))))</f>
        <v>0</v>
      </c>
      <c r="CK143" s="85">
        <f>IF(AND(CF143&lt;&gt;0,CF$5=$H143),-$I143*$E143-CF143,IF(CK$5=$H143,-$I143*$E143*(12-$J143+1)/12,0))</f>
        <v>0</v>
      </c>
      <c r="CL143" s="86">
        <f>IF($H143&lt;&gt;CP$5,0,IF(CP143&lt;0,IF($J143=1,-$E143*$I143/12*3,IF($J143=2,-$E143*$I143/12*2,IF($J143=3,-$E143*$I143/12*1,0)))))+IF(CK$5&lt;&gt;$H143,0,IF(CK143&lt;0,IF($J143=1,-$E143*$I143/12*0,IF($J143=2,-$E143*$I143/12*1,IF($J143=3,-$E143*$I143/12*2,IF($J143&gt;=4,-$E143*$I143/12*3,0))))))</f>
        <v>0</v>
      </c>
      <c r="CM143" s="87">
        <f>IF($H143&lt;&gt;CP$5,0,IF(CP143&lt;0,IF(OR($J143=1,$J143=2,$J143=3,$J143=4),-$E143*$I143/12*3,IF($J143=5,-$E143*$I143/12*2,IF($J143=6,-$E143*$I143/12*1,0)))))+IF(CK$5&lt;&gt;$H143,0,IF(CK143&lt;0,IF($J143=4,-$E143*$I143/12*0,IF($J143=5,-$E143*$I143/12*1,IF($J143=6,-$E143*$I143/12*2,IF($J143&gt;=7,-$E143*$I143/12*3,0))))))</f>
        <v>0</v>
      </c>
      <c r="CN143" s="87">
        <f>IF($H143&lt;&gt;CP$5,0,IF(CP143&lt;0,IF(OR($J143=1,$J143=2,$J143=3,$J143=4,$J143=5,$J143=6,$J143=7),-$E143*$I143/12*3,IF($J143=8,-$E143*$I143/12*2,IF($J143=9,-$E143*$I143/12*1,0)))))+IF(CK$5&lt;&gt;$H143,0,IF(CK143&lt;0,IF($J143=7,-$E143*$I143/12*0,IF($J143=8,-$E143*$I143/12*1,IF($J143=9,-$E143*$I143/12*2,IF($J143&gt;=10,-$E143*$I143/12*3,0))))))</f>
        <v>0</v>
      </c>
      <c r="CO143" s="88">
        <f>IF($H143&lt;&gt;CP$5,0,IF(CP143&lt;0,IF(OR($J143=1,$J143=2,$J143=3,$J143=4,$J143=5,$J143=6,$J143=7,$J143=8,$J143=9,$J143=10),-$E143*$I143/12*3,IF($J143=11,-$E143*$I143/12*2,IF($J143=12,-$E143*$I143/12*1,0)))))+IF(CK$5&lt;&gt;$H143,0,IF(CK143&lt;0,IF($J143=10,-$E143*$I143/12*0,IF($J143=11,-$E143*$I143/12*1,IF($J143=12,-$E143*$I143/12*2,0)))))</f>
        <v>0</v>
      </c>
      <c r="CP143" s="85">
        <f>IF(AND(CK143&lt;&gt;0,CK$5=$H143),-$I143*$E143-CK143,IF(CP$5=$H143,-$I143*$E143*(12-$J143+1)/12,0))</f>
        <v>0</v>
      </c>
      <c r="CQ143" s="86">
        <f>IF($H143&lt;&gt;CU$5,0,IF(CU143&lt;0,IF($J143=1,-$E143*$I143/12*3,IF($J143=2,-$E143*$I143/12*2,IF($J143=3,-$E143*$I143/12*1,0)))))+IF(CP$5&lt;&gt;$H143,0,IF(CP143&lt;0,IF($J143=1,-$E143*$I143/12*0,IF($J143=2,-$E143*$I143/12*1,IF($J143=3,-$E143*$I143/12*2,IF($J143&gt;=4,-$E143*$I143/12*3,0))))))</f>
        <v>0</v>
      </c>
      <c r="CR143" s="87">
        <f>IF($H143&lt;&gt;CU$5,0,IF(CU143&lt;0,IF(OR($J143=1,$J143=2,$J143=3,$J143=4),-$E143*$I143/12*3,IF($J143=5,-$E143*$I143/12*2,IF($J143=6,-$E143*$I143/12*1,0)))))+IF(CP$5&lt;&gt;$H143,0,IF(CP143&lt;0,IF($J143=4,-$E143*$I143/12*0,IF($J143=5,-$E143*$I143/12*1,IF($J143=6,-$E143*$I143/12*2,IF($J143&gt;=7,-$E143*$I143/12*3,0))))))</f>
        <v>0</v>
      </c>
      <c r="CS143" s="87">
        <f>IF($H143&lt;&gt;CU$5,0,IF(CU143&lt;0,IF(OR($J143=1,$J143=2,$J143=3,$J143=4,$J143=5,$J143=6,$J143=7),-$E143*$I143/12*3,IF($J143=8,-$E143*$I143/12*2,IF($J143=9,-$E143*$I143/12*1,0)))))+IF(CP$5&lt;&gt;$H143,0,IF(CP143&lt;0,IF($J143=7,-$E143*$I143/12*0,IF($J143=8,-$E143*$I143/12*1,IF($J143=9,-$E143*$I143/12*2,IF($J143&gt;=10,-$E143*$I143/12*3,0))))))</f>
        <v>0</v>
      </c>
      <c r="CT143" s="88">
        <f>IF($H143&lt;&gt;CU$5,0,IF(CU143&lt;0,IF(OR($J143=1,$J143=2,$J143=3,$J143=4,$J143=5,$J143=6,$J143=7,$J143=8,$J143=9,$J143=10),-$E143*$I143/12*3,IF($J143=11,-$E143*$I143/12*2,IF($J143=12,-$E143*$I143/12*1,0)))))+IF(CP$5&lt;&gt;$H143,0,IF(CP143&lt;0,IF($J143=10,-$E143*$I143/12*0,IF($J143=11,-$E143*$I143/12*1,IF($J143=12,-$E143*$I143/12*2,0)))))</f>
        <v>0</v>
      </c>
      <c r="CU143" s="85">
        <f>IF(AND(CP143&lt;&gt;0,CP$5=$H143),-$I143*$E143-CP143,IF(CU$5=$H143,-$I143*$E143*(12-$J143+1)/12,0))</f>
        <v>0</v>
      </c>
      <c r="CV143" s="86">
        <f>IF($H143&lt;&gt;CZ$5,0,IF(CZ143&lt;0,IF($J143=1,-$E143*$I143/12*3,IF($J143=2,-$E143*$I143/12*2,IF($J143=3,-$E143*$I143/12*1,0)))))+IF(CU$5&lt;&gt;$H143,0,IF(CU143&lt;0,IF($J143=1,-$E143*$I143/12*0,IF($J143=2,-$E143*$I143/12*1,IF($J143=3,-$E143*$I143/12*2,IF($J143&gt;=4,-$E143*$I143/12*3,0))))))</f>
        <v>0</v>
      </c>
      <c r="CW143" s="87">
        <f>IF($H143&lt;&gt;CZ$5,0,IF(CZ143&lt;0,IF(OR($J143=1,$J143=2,$J143=3,$J143=4),-$E143*$I143/12*3,IF($J143=5,-$E143*$I143/12*2,IF($J143=6,-$E143*$I143/12*1,0)))))+IF(CU$5&lt;&gt;$H143,0,IF(CU143&lt;0,IF($J143=4,-$E143*$I143/12*0,IF($J143=5,-$E143*$I143/12*1,IF($J143=6,-$E143*$I143/12*2,IF($J143&gt;=7,-$E143*$I143/12*3,0))))))</f>
        <v>0</v>
      </c>
      <c r="CX143" s="87">
        <f>IF($H143&lt;&gt;CZ$5,0,IF(CZ143&lt;0,IF(OR($J143=1,$J143=2,$J143=3,$J143=4,$J143=5,$J143=6,$J143=7),-$E143*$I143/12*3,IF($J143=8,-$E143*$I143/12*2,IF($J143=9,-$E143*$I143/12*1,0)))))+IF(CU$5&lt;&gt;$H143,0,IF(CU143&lt;0,IF($J143=7,-$E143*$I143/12*0,IF($J143=8,-$E143*$I143/12*1,IF($J143=9,-$E143*$I143/12*2,IF($J143&gt;=10,-$E143*$I143/12*3,0))))))</f>
        <v>-0.9916666666666667</v>
      </c>
      <c r="CY143" s="88">
        <f>IF($H143&lt;&gt;CZ$5,0,IF(CZ143&lt;0,IF(OR($J143=1,$J143=2,$J143=3,$J143=4,$J143=5,$J143=6,$J143=7,$J143=8,$J143=9,$J143=10),-$E143*$I143/12*3,IF($J143=11,-$E143*$I143/12*2,IF($J143=12,-$E143*$I143/12*1,0)))))+IF(CU$5&lt;&gt;$H143,0,IF(CU143&lt;0,IF($J143=10,-$E143*$I143/12*0,IF($J143=11,-$E143*$I143/12*1,IF($J143=12,-$E143*$I143/12*2,0)))))</f>
        <v>-2.9750000000000001</v>
      </c>
      <c r="CZ143" s="85">
        <f>IF(AND(CU143&lt;&gt;0,CU$5=$H143),-$I143*$E143-CU143,IF(CZ$5=$H143,-$I143*$E143*(12-$J143+1)/12,0))</f>
        <v>-3.9666666666666668</v>
      </c>
    </row>
    <row r="144" spans="1:104" ht="12.75" customHeight="1">
      <c r="A144" s="4"/>
      <c r="B144" s="4"/>
      <c r="C144" s="4" t="s">
        <v>987</v>
      </c>
      <c r="D144" s="157"/>
      <c r="E144" s="2115">
        <f t="shared" si="2248"/>
        <v>253.6</v>
      </c>
      <c r="F144" s="2313">
        <v>253.6</v>
      </c>
      <c r="G144" s="1511">
        <v>253.6</v>
      </c>
      <c r="H144" s="1334">
        <v>2033</v>
      </c>
      <c r="I144" s="325">
        <v>5.8749999999999997E-2</v>
      </c>
      <c r="J144" s="1334">
        <v>2</v>
      </c>
      <c r="K144" s="80"/>
      <c r="L144" s="81">
        <f t="shared" si="2155"/>
        <v>0</v>
      </c>
      <c r="M144" s="82">
        <f t="shared" si="2156"/>
        <v>0</v>
      </c>
      <c r="N144" s="83">
        <f t="shared" si="2157"/>
        <v>0</v>
      </c>
      <c r="O144" s="83">
        <f t="shared" si="2158"/>
        <v>0</v>
      </c>
      <c r="P144" s="84">
        <f t="shared" si="2159"/>
        <v>0</v>
      </c>
      <c r="Q144" s="81">
        <f t="shared" si="2160"/>
        <v>0</v>
      </c>
      <c r="R144" s="82">
        <f t="shared" si="2161"/>
        <v>0</v>
      </c>
      <c r="S144" s="83">
        <f t="shared" si="2162"/>
        <v>0</v>
      </c>
      <c r="T144" s="83">
        <f t="shared" si="2163"/>
        <v>0</v>
      </c>
      <c r="U144" s="84">
        <f t="shared" si="2164"/>
        <v>0</v>
      </c>
      <c r="V144" s="81">
        <f t="shared" si="2165"/>
        <v>0</v>
      </c>
      <c r="W144" s="82">
        <f t="shared" si="2166"/>
        <v>0</v>
      </c>
      <c r="X144" s="83">
        <f t="shared" si="2167"/>
        <v>0</v>
      </c>
      <c r="Y144" s="83">
        <f t="shared" si="2168"/>
        <v>0</v>
      </c>
      <c r="Z144" s="84">
        <f t="shared" si="2169"/>
        <v>0</v>
      </c>
      <c r="AA144" s="81">
        <f t="shared" si="2170"/>
        <v>0</v>
      </c>
      <c r="AB144" s="82">
        <f t="shared" si="2171"/>
        <v>0</v>
      </c>
      <c r="AC144" s="83">
        <f t="shared" si="2172"/>
        <v>0</v>
      </c>
      <c r="AD144" s="83">
        <f t="shared" si="2173"/>
        <v>0</v>
      </c>
      <c r="AE144" s="84">
        <f t="shared" si="2174"/>
        <v>0</v>
      </c>
      <c r="AF144" s="81">
        <f t="shared" si="2175"/>
        <v>0</v>
      </c>
      <c r="AG144" s="82">
        <f t="shared" ref="AG144:AG150" si="2249">IF(AK144=0,0,IF(AK144&lt;0,IF($J144=3,AK144,IF($J144=2,AK144,IF($J144=1,AK144,0)))))</f>
        <v>0</v>
      </c>
      <c r="AH144" s="83">
        <f t="shared" ref="AH144:AH150" si="2250">IF(AK144=0,0,IF(AK144&lt;0,IF($J144=6,AK144,IF($J144=5,AK144,IF($J144=4,AK144,0)))))</f>
        <v>0</v>
      </c>
      <c r="AI144" s="83">
        <f t="shared" ref="AI144:AI150" si="2251">IF(AK144=0,0,IF(AK144&lt;0,IF($J144=9,AK144,IF($J144=8,AK144,IF($J144=7,AK144,0)))))</f>
        <v>0</v>
      </c>
      <c r="AJ144" s="84">
        <f t="shared" ref="AJ144:AJ150" si="2252">IF(AK144=0,0,IF(AK144&lt;0,IF($J144=12,AK144,IF($J144=11,AK144,IF($J144=10,AK144,0)))))</f>
        <v>0</v>
      </c>
      <c r="AK144" s="81">
        <f t="shared" si="2180"/>
        <v>0</v>
      </c>
      <c r="AL144" s="82">
        <f t="shared" ref="AL144:AL150" si="2253">IF(AP144=0,0,IF(AP144&lt;0,IF($J144=3,AP144,IF($J144=2,AP144,IF($J144=1,AP144,0)))))</f>
        <v>0</v>
      </c>
      <c r="AM144" s="83">
        <f t="shared" ref="AM144:AM150" si="2254">IF(AP144=0,0,IF(AP144&lt;0,IF($J144=6,AP144,IF($J144=5,AP144,IF($J144=4,AP144,0)))))</f>
        <v>0</v>
      </c>
      <c r="AN144" s="83">
        <f t="shared" ref="AN144:AN150" si="2255">IF(AP144=0,0,IF(AP144&lt;0,IF($J144=9,AP144,IF($J144=8,AP144,IF($J144=7,AP144,0)))))</f>
        <v>0</v>
      </c>
      <c r="AO144" s="84">
        <f t="shared" ref="AO144:AO150" si="2256">IF(AP144=0,0,IF(AP144&lt;0,IF($J144=12,AP144,IF($J144=11,AP144,IF($J144=10,AP144,0)))))</f>
        <v>0</v>
      </c>
      <c r="AP144" s="81">
        <f t="shared" si="2185"/>
        <v>0</v>
      </c>
      <c r="AQ144" s="82">
        <f t="shared" ref="AQ144:AQ150" si="2257">IF(AU144=0,0,IF(AU144&lt;0,IF($J144=3,AU144,IF($J144=2,AU144,IF($J144=1,AU144,0)))))</f>
        <v>0</v>
      </c>
      <c r="AR144" s="83">
        <f t="shared" ref="AR144:AR150" si="2258">IF(AU144=0,0,IF(AU144&lt;0,IF($J144=6,AU144,IF($J144=5,AU144,IF($J144=4,AU144,0)))))</f>
        <v>0</v>
      </c>
      <c r="AS144" s="83">
        <f t="shared" ref="AS144:AS150" si="2259">IF(AU144=0,0,IF(AU144&lt;0,IF($J144=9,AU144,IF($J144=8,AU144,IF($J144=7,AU144,0)))))</f>
        <v>0</v>
      </c>
      <c r="AT144" s="84">
        <f t="shared" ref="AT144:AT150" si="2260">IF(AU144=0,0,IF(AU144&lt;0,IF($J144=12,AU144,IF($J144=11,AU144,IF($J144=10,AU144,0)))))</f>
        <v>0</v>
      </c>
      <c r="AU144" s="81">
        <f t="shared" si="2190"/>
        <v>0</v>
      </c>
      <c r="AV144" s="82">
        <f t="shared" ref="AV144:AV150" si="2261">IF(AZ144=0,0,IF(AZ144&lt;0,IF($J144=3,AZ144,IF($J144=2,AZ144,IF($J144=1,AZ144,0)))))</f>
        <v>0</v>
      </c>
      <c r="AW144" s="83">
        <f t="shared" ref="AW144:AW150" si="2262">IF(AZ144=0,0,IF(AZ144&lt;0,IF($J144=6,AZ144,IF($J144=5,AZ144,IF($J144=4,AZ144,0)))))</f>
        <v>0</v>
      </c>
      <c r="AX144" s="83">
        <f t="shared" ref="AX144:AX150" si="2263">IF(AZ144=0,0,IF(AZ144&lt;0,IF($J144=9,AZ144,IF($J144=8,AZ144,IF($J144=7,AZ144,0)))))</f>
        <v>0</v>
      </c>
      <c r="AY144" s="84">
        <f t="shared" ref="AY144:AY150" si="2264">IF(AZ144=0,0,IF(AZ144&lt;0,IF($J144=12,AZ144,IF($J144=11,AZ144,IF($J144=10,AZ144,0)))))</f>
        <v>0</v>
      </c>
      <c r="AZ144" s="81">
        <f t="shared" si="2195"/>
        <v>0</v>
      </c>
      <c r="BA144" s="82">
        <f t="shared" ref="BA144:BA150" si="2265">IF(BE144=0,0,IF(BE144&lt;0,IF($J144=3,BE144,IF($J144=2,BE144,IF($J144=1,BE144,0)))))</f>
        <v>0</v>
      </c>
      <c r="BB144" s="83">
        <f t="shared" ref="BB144:BB150" si="2266">IF(BE144=0,0,IF(BE144&lt;0,IF($J144=6,BE144,IF($J144=5,BE144,IF($J144=4,BE144,0)))))</f>
        <v>0</v>
      </c>
      <c r="BC144" s="83">
        <f t="shared" ref="BC144:BC150" si="2267">IF(BE144=0,0,IF(BE144&lt;0,IF($J144=9,BE144,IF($J144=8,BE144,IF($J144=7,BE144,0)))))</f>
        <v>0</v>
      </c>
      <c r="BD144" s="84">
        <f t="shared" ref="BD144:BD150" si="2268">IF(BE144=0,0,IF(BE144&lt;0,IF($J144=12,BE144,IF($J144=11,BE144,IF($J144=10,BE144,0)))))</f>
        <v>0</v>
      </c>
      <c r="BE144" s="81">
        <f t="shared" si="2200"/>
        <v>0</v>
      </c>
      <c r="BF144" s="1877"/>
      <c r="BG144" s="2005">
        <f t="shared" si="2201"/>
        <v>0</v>
      </c>
      <c r="BH144" s="86">
        <f t="shared" si="2202"/>
        <v>0</v>
      </c>
      <c r="BI144" s="87">
        <f t="shared" si="2203"/>
        <v>0</v>
      </c>
      <c r="BJ144" s="87">
        <f t="shared" si="2204"/>
        <v>0</v>
      </c>
      <c r="BK144" s="88">
        <f t="shared" si="2205"/>
        <v>0</v>
      </c>
      <c r="BL144" s="85">
        <f t="shared" si="2206"/>
        <v>0</v>
      </c>
      <c r="BM144" s="86">
        <f t="shared" si="2207"/>
        <v>0</v>
      </c>
      <c r="BN144" s="87">
        <f t="shared" si="2208"/>
        <v>0</v>
      </c>
      <c r="BO144" s="87">
        <f t="shared" si="2209"/>
        <v>0</v>
      </c>
      <c r="BP144" s="88">
        <f t="shared" si="2210"/>
        <v>0</v>
      </c>
      <c r="BQ144" s="85">
        <f t="shared" si="2211"/>
        <v>0</v>
      </c>
      <c r="BR144" s="86">
        <f t="shared" si="2212"/>
        <v>0</v>
      </c>
      <c r="BS144" s="87">
        <f t="shared" si="2213"/>
        <v>0</v>
      </c>
      <c r="BT144" s="87">
        <f t="shared" si="2214"/>
        <v>0</v>
      </c>
      <c r="BU144" s="88">
        <f t="shared" si="2215"/>
        <v>0</v>
      </c>
      <c r="BV144" s="85">
        <f t="shared" si="2216"/>
        <v>0</v>
      </c>
      <c r="BW144" s="86">
        <f t="shared" si="2217"/>
        <v>0</v>
      </c>
      <c r="BX144" s="87">
        <f t="shared" si="2218"/>
        <v>0</v>
      </c>
      <c r="BY144" s="87">
        <f t="shared" si="2219"/>
        <v>0</v>
      </c>
      <c r="BZ144" s="88">
        <f t="shared" si="2220"/>
        <v>0</v>
      </c>
      <c r="CA144" s="85">
        <f t="shared" si="2221"/>
        <v>0</v>
      </c>
      <c r="CB144" s="86">
        <f t="shared" ref="CB144:CB150" si="2269">IF($H144&lt;&gt;CF$5,0,IF(CF144&lt;0,IF($J144=1,-$E144*$I144/12*3,IF($J144=2,-$E144*$I144/12*2,IF($J144=3,-$E144*$I144/12*1,0)))))+IF(CA$5&lt;&gt;$H144,0,IF(CA144&lt;0,IF($J144=1,-$E144*$I144/12*0,IF($J144=2,-$E144*$I144/12*1,IF($J144=3,-$E144*$I144/12*2,IF($J144&gt;=4,-$E144*$I144/12*3,0))))))</f>
        <v>0</v>
      </c>
      <c r="CC144" s="87">
        <f t="shared" ref="CC144:CC150" si="2270">IF($H144&lt;&gt;CF$5,0,IF(CF144&lt;0,IF(OR($J144=1,$J144=2,$J144=3,$J144=4),-$E144*$I144/12*3,IF($J144=5,-$E144*$I144/12*2,IF($J144=6,-$E144*$I144/12*1,0)))))+IF(CA$5&lt;&gt;$H144,0,IF(CA144&lt;0,IF($J144=4,-$E144*$I144/12*0,IF($J144=5,-$E144*$I144/12*1,IF($J144=6,-$E144*$I144/12*2,IF($J144&gt;=7,-$E144*$I144/12*3,0))))))</f>
        <v>0</v>
      </c>
      <c r="CD144" s="87">
        <f t="shared" ref="CD144:CD150" si="2271">IF($H144&lt;&gt;CF$5,0,IF(CF144&lt;0,IF(OR($J144=1,$J144=2,$J144=3,$J144=4,$J144=5,$J144=6,$J144=7),-$E144*$I144/12*3,IF($J144=8,-$E144*$I144/12*2,IF($J144=9,-$E144*$I144/12*1,0)))))+IF(CA$5&lt;&gt;$H144,0,IF(CA144&lt;0,IF($J144=7,-$E144*$I144/12*0,IF($J144=8,-$E144*$I144/12*1,IF($J144=9,-$E144*$I144/12*2,IF($J144&gt;=10,-$E144*$I144/12*3,0))))))</f>
        <v>0</v>
      </c>
      <c r="CE144" s="88">
        <f t="shared" ref="CE144:CE150" si="2272">IF($H144&lt;&gt;CF$5,0,IF(CF144&lt;0,IF(OR($J144=1,$J144=2,$J144=3,$J144=4,$J144=5,$J144=6,$J144=7,$J144=8,$J144=9,$J144=10),-$E144*$I144/12*3,IF($J144=11,-$E144*$I144/12*2,IF($J144=12,-$E144*$I144/12*1,0)))))+IF(CA$5&lt;&gt;$H144,0,IF(CA144&lt;0,IF($J144=10,-$E144*$I144/12*0,IF($J144=11,-$E144*$I144/12*1,IF($J144=12,-$E144*$I144/12*2,0)))))</f>
        <v>0</v>
      </c>
      <c r="CF144" s="85">
        <f t="shared" ref="CF144:CF150" si="2273">IF(AND(CA144&lt;&gt;0,CA$5=$H144),-$I144*$E144-CA144,IF(CF$5=$H144,-$I144*$E144*(12-$J144+1)/12,0))</f>
        <v>0</v>
      </c>
      <c r="CG144" s="86">
        <f t="shared" ref="CG144:CG150" si="2274">IF($H144&lt;&gt;CK$5,0,IF(CK144&lt;0,IF($J144=1,-$E144*$I144/12*3,IF($J144=2,-$E144*$I144/12*2,IF($J144=3,-$E144*$I144/12*1,0)))))+IF(CF$5&lt;&gt;$H144,0,IF(CF144&lt;0,IF($J144=1,-$E144*$I144/12*0,IF($J144=2,-$E144*$I144/12*1,IF($J144=3,-$E144*$I144/12*2,IF($J144&gt;=4,-$E144*$I144/12*3,0))))))</f>
        <v>0</v>
      </c>
      <c r="CH144" s="87">
        <f t="shared" ref="CH144:CH150" si="2275">IF($H144&lt;&gt;CK$5,0,IF(CK144&lt;0,IF(OR($J144=1,$J144=2,$J144=3,$J144=4),-$E144*$I144/12*3,IF($J144=5,-$E144*$I144/12*2,IF($J144=6,-$E144*$I144/12*1,0)))))+IF(CF$5&lt;&gt;$H144,0,IF(CF144&lt;0,IF($J144=4,-$E144*$I144/12*0,IF($J144=5,-$E144*$I144/12*1,IF($J144=6,-$E144*$I144/12*2,IF($J144&gt;=7,-$E144*$I144/12*3,0))))))</f>
        <v>0</v>
      </c>
      <c r="CI144" s="87">
        <f t="shared" ref="CI144:CI150" si="2276">IF($H144&lt;&gt;CK$5,0,IF(CK144&lt;0,IF(OR($J144=1,$J144=2,$J144=3,$J144=4,$J144=5,$J144=6,$J144=7),-$E144*$I144/12*3,IF($J144=8,-$E144*$I144/12*2,IF($J144=9,-$E144*$I144/12*1,0)))))+IF(CF$5&lt;&gt;$H144,0,IF(CF144&lt;0,IF($J144=7,-$E144*$I144/12*0,IF($J144=8,-$E144*$I144/12*1,IF($J144=9,-$E144*$I144/12*2,IF($J144&gt;=10,-$E144*$I144/12*3,0))))))</f>
        <v>0</v>
      </c>
      <c r="CJ144" s="88">
        <f t="shared" ref="CJ144:CJ150" si="2277">IF($H144&lt;&gt;CK$5,0,IF(CK144&lt;0,IF(OR($J144=1,$J144=2,$J144=3,$J144=4,$J144=5,$J144=6,$J144=7,$J144=8,$J144=9,$J144=10),-$E144*$I144/12*3,IF($J144=11,-$E144*$I144/12*2,IF($J144=12,-$E144*$I144/12*1,0)))))+IF(CF$5&lt;&gt;$H144,0,IF(CF144&lt;0,IF($J144=10,-$E144*$I144/12*0,IF($J144=11,-$E144*$I144/12*1,IF($J144=12,-$E144*$I144/12*2,0)))))</f>
        <v>0</v>
      </c>
      <c r="CK144" s="85">
        <f t="shared" ref="CK144:CK150" si="2278">IF(AND(CF144&lt;&gt;0,CF$5=$H144),-$I144*$E144-CF144,IF(CK$5=$H144,-$I144*$E144*(12-$J144+1)/12,0))</f>
        <v>0</v>
      </c>
      <c r="CL144" s="86">
        <f t="shared" ref="CL144:CL150" si="2279">IF($H144&lt;&gt;CP$5,0,IF(CP144&lt;0,IF($J144=1,-$E144*$I144/12*3,IF($J144=2,-$E144*$I144/12*2,IF($J144=3,-$E144*$I144/12*1,0)))))+IF(CK$5&lt;&gt;$H144,0,IF(CK144&lt;0,IF($J144=1,-$E144*$I144/12*0,IF($J144=2,-$E144*$I144/12*1,IF($J144=3,-$E144*$I144/12*2,IF($J144&gt;=4,-$E144*$I144/12*3,0))))))</f>
        <v>0</v>
      </c>
      <c r="CM144" s="87">
        <f t="shared" ref="CM144:CM150" si="2280">IF($H144&lt;&gt;CP$5,0,IF(CP144&lt;0,IF(OR($J144=1,$J144=2,$J144=3,$J144=4),-$E144*$I144/12*3,IF($J144=5,-$E144*$I144/12*2,IF($J144=6,-$E144*$I144/12*1,0)))))+IF(CK$5&lt;&gt;$H144,0,IF(CK144&lt;0,IF($J144=4,-$E144*$I144/12*0,IF($J144=5,-$E144*$I144/12*1,IF($J144=6,-$E144*$I144/12*2,IF($J144&gt;=7,-$E144*$I144/12*3,0))))))</f>
        <v>0</v>
      </c>
      <c r="CN144" s="87">
        <f t="shared" ref="CN144:CN150" si="2281">IF($H144&lt;&gt;CP$5,0,IF(CP144&lt;0,IF(OR($J144=1,$J144=2,$J144=3,$J144=4,$J144=5,$J144=6,$J144=7),-$E144*$I144/12*3,IF($J144=8,-$E144*$I144/12*2,IF($J144=9,-$E144*$I144/12*1,0)))))+IF(CK$5&lt;&gt;$H144,0,IF(CK144&lt;0,IF($J144=7,-$E144*$I144/12*0,IF($J144=8,-$E144*$I144/12*1,IF($J144=9,-$E144*$I144/12*2,IF($J144&gt;=10,-$E144*$I144/12*3,0))))))</f>
        <v>0</v>
      </c>
      <c r="CO144" s="88">
        <f t="shared" ref="CO144:CO150" si="2282">IF($H144&lt;&gt;CP$5,0,IF(CP144&lt;0,IF(OR($J144=1,$J144=2,$J144=3,$J144=4,$J144=5,$J144=6,$J144=7,$J144=8,$J144=9,$J144=10),-$E144*$I144/12*3,IF($J144=11,-$E144*$I144/12*2,IF($J144=12,-$E144*$I144/12*1,0)))))+IF(CK$5&lt;&gt;$H144,0,IF(CK144&lt;0,IF($J144=10,-$E144*$I144/12*0,IF($J144=11,-$E144*$I144/12*1,IF($J144=12,-$E144*$I144/12*2,0)))))</f>
        <v>0</v>
      </c>
      <c r="CP144" s="85">
        <f t="shared" ref="CP144:CP150" si="2283">IF(AND(CK144&lt;&gt;0,CK$5=$H144),-$I144*$E144-CK144,IF(CP$5=$H144,-$I144*$E144*(12-$J144+1)/12,0))</f>
        <v>0</v>
      </c>
      <c r="CQ144" s="86">
        <f t="shared" ref="CQ144:CQ150" si="2284">IF($H144&lt;&gt;CU$5,0,IF(CU144&lt;0,IF($J144=1,-$E144*$I144/12*3,IF($J144=2,-$E144*$I144/12*2,IF($J144=3,-$E144*$I144/12*1,0)))))+IF(CP$5&lt;&gt;$H144,0,IF(CP144&lt;0,IF($J144=1,-$E144*$I144/12*0,IF($J144=2,-$E144*$I144/12*1,IF($J144=3,-$E144*$I144/12*2,IF($J144&gt;=4,-$E144*$I144/12*3,0))))))</f>
        <v>0</v>
      </c>
      <c r="CR144" s="87">
        <f t="shared" ref="CR144:CR150" si="2285">IF($H144&lt;&gt;CU$5,0,IF(CU144&lt;0,IF(OR($J144=1,$J144=2,$J144=3,$J144=4),-$E144*$I144/12*3,IF($J144=5,-$E144*$I144/12*2,IF($J144=6,-$E144*$I144/12*1,0)))))+IF(CP$5&lt;&gt;$H144,0,IF(CP144&lt;0,IF($J144=4,-$E144*$I144/12*0,IF($J144=5,-$E144*$I144/12*1,IF($J144=6,-$E144*$I144/12*2,IF($J144&gt;=7,-$E144*$I144/12*3,0))))))</f>
        <v>0</v>
      </c>
      <c r="CS144" s="87">
        <f t="shared" ref="CS144:CS150" si="2286">IF($H144&lt;&gt;CU$5,0,IF(CU144&lt;0,IF(OR($J144=1,$J144=2,$J144=3,$J144=4,$J144=5,$J144=6,$J144=7),-$E144*$I144/12*3,IF($J144=8,-$E144*$I144/12*2,IF($J144=9,-$E144*$I144/12*1,0)))))+IF(CP$5&lt;&gt;$H144,0,IF(CP144&lt;0,IF($J144=7,-$E144*$I144/12*0,IF($J144=8,-$E144*$I144/12*1,IF($J144=9,-$E144*$I144/12*2,IF($J144&gt;=10,-$E144*$I144/12*3,0))))))</f>
        <v>0</v>
      </c>
      <c r="CT144" s="88">
        <f t="shared" ref="CT144:CT150" si="2287">IF($H144&lt;&gt;CU$5,0,IF(CU144&lt;0,IF(OR($J144=1,$J144=2,$J144=3,$J144=4,$J144=5,$J144=6,$J144=7,$J144=8,$J144=9,$J144=10),-$E144*$I144/12*3,IF($J144=11,-$E144*$I144/12*2,IF($J144=12,-$E144*$I144/12*1,0)))))+IF(CP$5&lt;&gt;$H144,0,IF(CP144&lt;0,IF($J144=10,-$E144*$I144/12*0,IF($J144=11,-$E144*$I144/12*1,IF($J144=12,-$E144*$I144/12*2,0)))))</f>
        <v>0</v>
      </c>
      <c r="CU144" s="85">
        <f t="shared" ref="CU144:CU150" si="2288">IF(AND(CP144&lt;&gt;0,CP$5=$H144),-$I144*$E144-CP144,IF(CU$5=$H144,-$I144*$E144*(12-$J144+1)/12,0))</f>
        <v>0</v>
      </c>
      <c r="CV144" s="86">
        <f t="shared" ref="CV144:CV150" si="2289">IF($H144&lt;&gt;CZ$5,0,IF(CZ144&lt;0,IF($J144=1,-$E144*$I144/12*3,IF($J144=2,-$E144*$I144/12*2,IF($J144=3,-$E144*$I144/12*1,0)))))+IF(CU$5&lt;&gt;$H144,0,IF(CU144&lt;0,IF($J144=1,-$E144*$I144/12*0,IF($J144=2,-$E144*$I144/12*1,IF($J144=3,-$E144*$I144/12*2,IF($J144&gt;=4,-$E144*$I144/12*3,0))))))</f>
        <v>0</v>
      </c>
      <c r="CW144" s="87">
        <f t="shared" ref="CW144:CW150" si="2290">IF($H144&lt;&gt;CZ$5,0,IF(CZ144&lt;0,IF(OR($J144=1,$J144=2,$J144=3,$J144=4),-$E144*$I144/12*3,IF($J144=5,-$E144*$I144/12*2,IF($J144=6,-$E144*$I144/12*1,0)))))+IF(CU$5&lt;&gt;$H144,0,IF(CU144&lt;0,IF($J144=4,-$E144*$I144/12*0,IF($J144=5,-$E144*$I144/12*1,IF($J144=6,-$E144*$I144/12*2,IF($J144&gt;=7,-$E144*$I144/12*3,0))))))</f>
        <v>0</v>
      </c>
      <c r="CX144" s="87">
        <f t="shared" ref="CX144:CX150" si="2291">IF($H144&lt;&gt;CZ$5,0,IF(CZ144&lt;0,IF(OR($J144=1,$J144=2,$J144=3,$J144=4,$J144=5,$J144=6,$J144=7),-$E144*$I144/12*3,IF($J144=8,-$E144*$I144/12*2,IF($J144=9,-$E144*$I144/12*1,0)))))+IF(CU$5&lt;&gt;$H144,0,IF(CU144&lt;0,IF($J144=7,-$E144*$I144/12*0,IF($J144=8,-$E144*$I144/12*1,IF($J144=9,-$E144*$I144/12*2,IF($J144&gt;=10,-$E144*$I144/12*3,0))))))</f>
        <v>0</v>
      </c>
      <c r="CY144" s="88">
        <f t="shared" ref="CY144:CY150" si="2292">IF($H144&lt;&gt;CZ$5,0,IF(CZ144&lt;0,IF(OR($J144=1,$J144=2,$J144=3,$J144=4,$J144=5,$J144=6,$J144=7,$J144=8,$J144=9,$J144=10),-$E144*$I144/12*3,IF($J144=11,-$E144*$I144/12*2,IF($J144=12,-$E144*$I144/12*1,0)))))+IF(CU$5&lt;&gt;$H144,0,IF(CU144&lt;0,IF($J144=10,-$E144*$I144/12*0,IF($J144=11,-$E144*$I144/12*1,IF($J144=12,-$E144*$I144/12*2,0)))))</f>
        <v>0</v>
      </c>
      <c r="CZ144" s="85">
        <f t="shared" ref="CZ144:CZ150" si="2293">IF(AND(CU144&lt;&gt;0,CU$5=$H144),-$I144*$E144-CU144,IF(CZ$5=$H144,-$I144*$E144*(12-$J144+1)/12,0))</f>
        <v>0</v>
      </c>
    </row>
    <row r="145" spans="1:104" ht="12.75" customHeight="1">
      <c r="A145" s="4"/>
      <c r="B145" s="4"/>
      <c r="C145" s="4" t="s">
        <v>988</v>
      </c>
      <c r="D145" s="157"/>
      <c r="E145" s="2115">
        <f t="shared" si="2248"/>
        <v>625</v>
      </c>
      <c r="F145" s="2313">
        <v>625</v>
      </c>
      <c r="G145" s="1511">
        <v>625</v>
      </c>
      <c r="H145" s="1334">
        <v>2036</v>
      </c>
      <c r="I145" s="325">
        <v>5.8999999999999997E-2</v>
      </c>
      <c r="J145" s="1334">
        <v>3</v>
      </c>
      <c r="K145" s="80"/>
      <c r="L145" s="81">
        <f t="shared" si="2155"/>
        <v>0</v>
      </c>
      <c r="M145" s="82">
        <f t="shared" si="2156"/>
        <v>0</v>
      </c>
      <c r="N145" s="83">
        <f t="shared" si="2157"/>
        <v>0</v>
      </c>
      <c r="O145" s="83">
        <f t="shared" si="2158"/>
        <v>0</v>
      </c>
      <c r="P145" s="84">
        <f t="shared" si="2159"/>
        <v>0</v>
      </c>
      <c r="Q145" s="81">
        <f t="shared" si="2160"/>
        <v>0</v>
      </c>
      <c r="R145" s="82">
        <f t="shared" si="2161"/>
        <v>0</v>
      </c>
      <c r="S145" s="83">
        <f t="shared" si="2162"/>
        <v>0</v>
      </c>
      <c r="T145" s="83">
        <f t="shared" si="2163"/>
        <v>0</v>
      </c>
      <c r="U145" s="84">
        <f t="shared" si="2164"/>
        <v>0</v>
      </c>
      <c r="V145" s="81">
        <f t="shared" si="2165"/>
        <v>0</v>
      </c>
      <c r="W145" s="82">
        <f t="shared" si="2166"/>
        <v>0</v>
      </c>
      <c r="X145" s="83">
        <f t="shared" si="2167"/>
        <v>0</v>
      </c>
      <c r="Y145" s="83">
        <f t="shared" si="2168"/>
        <v>0</v>
      </c>
      <c r="Z145" s="84">
        <f t="shared" si="2169"/>
        <v>0</v>
      </c>
      <c r="AA145" s="81">
        <f t="shared" si="2170"/>
        <v>0</v>
      </c>
      <c r="AB145" s="82">
        <f t="shared" si="2171"/>
        <v>0</v>
      </c>
      <c r="AC145" s="83">
        <f t="shared" si="2172"/>
        <v>0</v>
      </c>
      <c r="AD145" s="83">
        <f t="shared" si="2173"/>
        <v>0</v>
      </c>
      <c r="AE145" s="84">
        <f t="shared" si="2174"/>
        <v>0</v>
      </c>
      <c r="AF145" s="81">
        <f t="shared" si="2175"/>
        <v>0</v>
      </c>
      <c r="AG145" s="82">
        <f t="shared" si="2249"/>
        <v>0</v>
      </c>
      <c r="AH145" s="83">
        <f t="shared" si="2250"/>
        <v>0</v>
      </c>
      <c r="AI145" s="83">
        <f t="shared" si="2251"/>
        <v>0</v>
      </c>
      <c r="AJ145" s="84">
        <f t="shared" si="2252"/>
        <v>0</v>
      </c>
      <c r="AK145" s="81">
        <f t="shared" si="2180"/>
        <v>0</v>
      </c>
      <c r="AL145" s="82">
        <f t="shared" si="2253"/>
        <v>0</v>
      </c>
      <c r="AM145" s="83">
        <f t="shared" si="2254"/>
        <v>0</v>
      </c>
      <c r="AN145" s="83">
        <f t="shared" si="2255"/>
        <v>0</v>
      </c>
      <c r="AO145" s="84">
        <f t="shared" si="2256"/>
        <v>0</v>
      </c>
      <c r="AP145" s="81">
        <f t="shared" si="2185"/>
        <v>0</v>
      </c>
      <c r="AQ145" s="82">
        <f t="shared" si="2257"/>
        <v>0</v>
      </c>
      <c r="AR145" s="83">
        <f t="shared" si="2258"/>
        <v>0</v>
      </c>
      <c r="AS145" s="83">
        <f t="shared" si="2259"/>
        <v>0</v>
      </c>
      <c r="AT145" s="84">
        <f t="shared" si="2260"/>
        <v>0</v>
      </c>
      <c r="AU145" s="81">
        <f t="shared" si="2190"/>
        <v>0</v>
      </c>
      <c r="AV145" s="82">
        <f t="shared" si="2261"/>
        <v>0</v>
      </c>
      <c r="AW145" s="83">
        <f t="shared" si="2262"/>
        <v>0</v>
      </c>
      <c r="AX145" s="83">
        <f t="shared" si="2263"/>
        <v>0</v>
      </c>
      <c r="AY145" s="84">
        <f t="shared" si="2264"/>
        <v>0</v>
      </c>
      <c r="AZ145" s="81">
        <f t="shared" si="2195"/>
        <v>0</v>
      </c>
      <c r="BA145" s="82">
        <f t="shared" si="2265"/>
        <v>0</v>
      </c>
      <c r="BB145" s="83">
        <f t="shared" si="2266"/>
        <v>0</v>
      </c>
      <c r="BC145" s="83">
        <f t="shared" si="2267"/>
        <v>0</v>
      </c>
      <c r="BD145" s="84">
        <f t="shared" si="2268"/>
        <v>0</v>
      </c>
      <c r="BE145" s="81">
        <f t="shared" si="2200"/>
        <v>0</v>
      </c>
      <c r="BF145" s="1877"/>
      <c r="BG145" s="2005">
        <f t="shared" si="2201"/>
        <v>0</v>
      </c>
      <c r="BH145" s="86">
        <f t="shared" si="2202"/>
        <v>0</v>
      </c>
      <c r="BI145" s="87">
        <f t="shared" si="2203"/>
        <v>0</v>
      </c>
      <c r="BJ145" s="87">
        <f t="shared" si="2204"/>
        <v>0</v>
      </c>
      <c r="BK145" s="88">
        <f t="shared" si="2205"/>
        <v>0</v>
      </c>
      <c r="BL145" s="85">
        <f t="shared" si="2206"/>
        <v>0</v>
      </c>
      <c r="BM145" s="86">
        <f t="shared" si="2207"/>
        <v>0</v>
      </c>
      <c r="BN145" s="87">
        <f t="shared" si="2208"/>
        <v>0</v>
      </c>
      <c r="BO145" s="87">
        <f t="shared" si="2209"/>
        <v>0</v>
      </c>
      <c r="BP145" s="88">
        <f t="shared" si="2210"/>
        <v>0</v>
      </c>
      <c r="BQ145" s="85">
        <f t="shared" si="2211"/>
        <v>0</v>
      </c>
      <c r="BR145" s="86">
        <f t="shared" si="2212"/>
        <v>0</v>
      </c>
      <c r="BS145" s="87">
        <f t="shared" si="2213"/>
        <v>0</v>
      </c>
      <c r="BT145" s="87">
        <f t="shared" si="2214"/>
        <v>0</v>
      </c>
      <c r="BU145" s="88">
        <f t="shared" si="2215"/>
        <v>0</v>
      </c>
      <c r="BV145" s="85">
        <f t="shared" si="2216"/>
        <v>0</v>
      </c>
      <c r="BW145" s="86">
        <f t="shared" si="2217"/>
        <v>0</v>
      </c>
      <c r="BX145" s="87">
        <f t="shared" si="2218"/>
        <v>0</v>
      </c>
      <c r="BY145" s="87">
        <f t="shared" si="2219"/>
        <v>0</v>
      </c>
      <c r="BZ145" s="88">
        <f t="shared" si="2220"/>
        <v>0</v>
      </c>
      <c r="CA145" s="85">
        <f t="shared" si="2221"/>
        <v>0</v>
      </c>
      <c r="CB145" s="86">
        <f t="shared" si="2269"/>
        <v>0</v>
      </c>
      <c r="CC145" s="87">
        <f t="shared" si="2270"/>
        <v>0</v>
      </c>
      <c r="CD145" s="87">
        <f t="shared" si="2271"/>
        <v>0</v>
      </c>
      <c r="CE145" s="88">
        <f t="shared" si="2272"/>
        <v>0</v>
      </c>
      <c r="CF145" s="85">
        <f t="shared" si="2273"/>
        <v>0</v>
      </c>
      <c r="CG145" s="86">
        <f t="shared" si="2274"/>
        <v>0</v>
      </c>
      <c r="CH145" s="87">
        <f t="shared" si="2275"/>
        <v>0</v>
      </c>
      <c r="CI145" s="87">
        <f t="shared" si="2276"/>
        <v>0</v>
      </c>
      <c r="CJ145" s="88">
        <f t="shared" si="2277"/>
        <v>0</v>
      </c>
      <c r="CK145" s="85">
        <f t="shared" si="2278"/>
        <v>0</v>
      </c>
      <c r="CL145" s="86">
        <f t="shared" si="2279"/>
        <v>0</v>
      </c>
      <c r="CM145" s="87">
        <f t="shared" si="2280"/>
        <v>0</v>
      </c>
      <c r="CN145" s="87">
        <f t="shared" si="2281"/>
        <v>0</v>
      </c>
      <c r="CO145" s="88">
        <f t="shared" si="2282"/>
        <v>0</v>
      </c>
      <c r="CP145" s="85">
        <f t="shared" si="2283"/>
        <v>0</v>
      </c>
      <c r="CQ145" s="86">
        <f t="shared" si="2284"/>
        <v>0</v>
      </c>
      <c r="CR145" s="87">
        <f t="shared" si="2285"/>
        <v>0</v>
      </c>
      <c r="CS145" s="87">
        <f t="shared" si="2286"/>
        <v>0</v>
      </c>
      <c r="CT145" s="88">
        <f t="shared" si="2287"/>
        <v>0</v>
      </c>
      <c r="CU145" s="85">
        <f t="shared" si="2288"/>
        <v>0</v>
      </c>
      <c r="CV145" s="86">
        <f t="shared" si="2289"/>
        <v>0</v>
      </c>
      <c r="CW145" s="87">
        <f t="shared" si="2290"/>
        <v>0</v>
      </c>
      <c r="CX145" s="87">
        <f t="shared" si="2291"/>
        <v>0</v>
      </c>
      <c r="CY145" s="88">
        <f t="shared" si="2292"/>
        <v>0</v>
      </c>
      <c r="CZ145" s="85">
        <f t="shared" si="2293"/>
        <v>0</v>
      </c>
    </row>
    <row r="146" spans="1:104" ht="12.75" customHeight="1">
      <c r="A146" s="4"/>
      <c r="B146" s="4"/>
      <c r="C146" s="4" t="s">
        <v>989</v>
      </c>
      <c r="D146" s="157"/>
      <c r="E146" s="2115">
        <f t="shared" si="2248"/>
        <v>450</v>
      </c>
      <c r="F146" s="2313">
        <v>450</v>
      </c>
      <c r="G146" s="1511">
        <v>450</v>
      </c>
      <c r="H146" s="1334">
        <v>2038</v>
      </c>
      <c r="I146" s="325">
        <v>6.4500000000000002E-2</v>
      </c>
      <c r="J146" s="1334">
        <v>1</v>
      </c>
      <c r="K146" s="80"/>
      <c r="L146" s="81">
        <f t="shared" si="2155"/>
        <v>0</v>
      </c>
      <c r="M146" s="82">
        <f t="shared" ref="M146:M150" si="2294">IF(Q146=0,0,IF(Q146&lt;0,IF($J146=3,Q146,IF($J146=2,Q146,IF($J146=1,Q146,0)))))</f>
        <v>0</v>
      </c>
      <c r="N146" s="83">
        <f t="shared" ref="N146:N150" si="2295">IF(Q146=0,0,IF(Q146&lt;0,IF($J146=6,Q146,IF($J146=5,Q146,IF($J146=4,Q146,0)))))</f>
        <v>0</v>
      </c>
      <c r="O146" s="83">
        <f t="shared" ref="O146:O150" si="2296">IF(Q146=0,0,IF(Q146&lt;0,IF($J146=9,Q146,IF($J146=8,Q146,IF($J146=7,Q146,0)))))</f>
        <v>0</v>
      </c>
      <c r="P146" s="84">
        <f t="shared" ref="P146:P150" si="2297">IF(Q146=0,0,IF(Q146&lt;0,IF($J146=12,Q146,IF($J146=11,Q146,IF($J146=10,Q146,0)))))</f>
        <v>0</v>
      </c>
      <c r="Q146" s="81">
        <f t="shared" si="2160"/>
        <v>0</v>
      </c>
      <c r="R146" s="82">
        <f t="shared" ref="R146:R150" si="2298">IF(V146=0,0,IF(V146&lt;0,IF($J146=3,V146,IF($J146=2,V146,IF($J146=1,V146,0)))))</f>
        <v>0</v>
      </c>
      <c r="S146" s="83">
        <f t="shared" ref="S146:S150" si="2299">IF(V146=0,0,IF(V146&lt;0,IF($J146=6,V146,IF($J146=5,V146,IF($J146=4,V146,0)))))</f>
        <v>0</v>
      </c>
      <c r="T146" s="83">
        <f t="shared" ref="T146:T150" si="2300">IF(V146=0,0,IF(V146&lt;0,IF($J146=9,V146,IF($J146=8,V146,IF($J146=7,V146,0)))))</f>
        <v>0</v>
      </c>
      <c r="U146" s="84">
        <f t="shared" ref="U146:U150" si="2301">IF(V146=0,0,IF(V146&lt;0,IF($J146=12,V146,IF($J146=11,V146,IF($J146=10,V146,0)))))</f>
        <v>0</v>
      </c>
      <c r="V146" s="81">
        <f t="shared" si="2165"/>
        <v>0</v>
      </c>
      <c r="W146" s="82">
        <f t="shared" ref="W146:W150" si="2302">IF(AA146=0,0,IF(AA146&lt;0,IF($J146=3,AA146,IF($J146=2,AA146,IF($J146=1,AA146,0)))))</f>
        <v>0</v>
      </c>
      <c r="X146" s="83">
        <f t="shared" ref="X146:X150" si="2303">IF(AA146=0,0,IF(AA146&lt;0,IF($J146=6,AA146,IF($J146=5,AA146,IF($J146=4,AA146,0)))))</f>
        <v>0</v>
      </c>
      <c r="Y146" s="83">
        <f t="shared" ref="Y146:Y150" si="2304">IF(AA146=0,0,IF(AA146&lt;0,IF($J146=9,AA146,IF($J146=8,AA146,IF($J146=7,AA146,0)))))</f>
        <v>0</v>
      </c>
      <c r="Z146" s="84">
        <f t="shared" ref="Z146:Z150" si="2305">IF(AA146=0,0,IF(AA146&lt;0,IF($J146=12,AA146,IF($J146=11,AA146,IF($J146=10,AA146,0)))))</f>
        <v>0</v>
      </c>
      <c r="AA146" s="81">
        <f t="shared" si="2170"/>
        <v>0</v>
      </c>
      <c r="AB146" s="82">
        <f t="shared" ref="AB146:AB150" si="2306">IF(AF146=0,0,IF(AF146&lt;0,IF($J146=3,AF146,IF($J146=2,AF146,IF($J146=1,AF146,0)))))</f>
        <v>0</v>
      </c>
      <c r="AC146" s="83">
        <f t="shared" ref="AC146:AC150" si="2307">IF(AF146=0,0,IF(AF146&lt;0,IF($J146=6,AF146,IF($J146=5,AF146,IF($J146=4,AF146,0)))))</f>
        <v>0</v>
      </c>
      <c r="AD146" s="83">
        <f t="shared" ref="AD146:AD150" si="2308">IF(AF146=0,0,IF(AF146&lt;0,IF($J146=9,AF146,IF($J146=8,AF146,IF($J146=7,AF146,0)))))</f>
        <v>0</v>
      </c>
      <c r="AE146" s="84">
        <f t="shared" ref="AE146:AE150" si="2309">IF(AF146=0,0,IF(AF146&lt;0,IF($J146=12,AF146,IF($J146=11,AF146,IF($J146=10,AF146,0)))))</f>
        <v>0</v>
      </c>
      <c r="AF146" s="81">
        <f t="shared" si="2175"/>
        <v>0</v>
      </c>
      <c r="AG146" s="82">
        <f t="shared" si="2249"/>
        <v>0</v>
      </c>
      <c r="AH146" s="83">
        <f t="shared" si="2250"/>
        <v>0</v>
      </c>
      <c r="AI146" s="83">
        <f t="shared" si="2251"/>
        <v>0</v>
      </c>
      <c r="AJ146" s="84">
        <f t="shared" si="2252"/>
        <v>0</v>
      </c>
      <c r="AK146" s="81">
        <f t="shared" si="2180"/>
        <v>0</v>
      </c>
      <c r="AL146" s="82">
        <f t="shared" si="2253"/>
        <v>0</v>
      </c>
      <c r="AM146" s="83">
        <f t="shared" si="2254"/>
        <v>0</v>
      </c>
      <c r="AN146" s="83">
        <f t="shared" si="2255"/>
        <v>0</v>
      </c>
      <c r="AO146" s="84">
        <f t="shared" si="2256"/>
        <v>0</v>
      </c>
      <c r="AP146" s="81">
        <f t="shared" si="2185"/>
        <v>0</v>
      </c>
      <c r="AQ146" s="82">
        <f t="shared" si="2257"/>
        <v>0</v>
      </c>
      <c r="AR146" s="83">
        <f t="shared" si="2258"/>
        <v>0</v>
      </c>
      <c r="AS146" s="83">
        <f t="shared" si="2259"/>
        <v>0</v>
      </c>
      <c r="AT146" s="84">
        <f t="shared" si="2260"/>
        <v>0</v>
      </c>
      <c r="AU146" s="81">
        <f t="shared" si="2190"/>
        <v>0</v>
      </c>
      <c r="AV146" s="82">
        <f t="shared" si="2261"/>
        <v>0</v>
      </c>
      <c r="AW146" s="83">
        <f t="shared" si="2262"/>
        <v>0</v>
      </c>
      <c r="AX146" s="83">
        <f t="shared" si="2263"/>
        <v>0</v>
      </c>
      <c r="AY146" s="84">
        <f t="shared" si="2264"/>
        <v>0</v>
      </c>
      <c r="AZ146" s="81">
        <f t="shared" si="2195"/>
        <v>0</v>
      </c>
      <c r="BA146" s="82">
        <f t="shared" si="2265"/>
        <v>0</v>
      </c>
      <c r="BB146" s="83">
        <f t="shared" si="2266"/>
        <v>0</v>
      </c>
      <c r="BC146" s="83">
        <f t="shared" si="2267"/>
        <v>0</v>
      </c>
      <c r="BD146" s="84">
        <f t="shared" si="2268"/>
        <v>0</v>
      </c>
      <c r="BE146" s="81">
        <f t="shared" si="2200"/>
        <v>0</v>
      </c>
      <c r="BF146" s="1877"/>
      <c r="BG146" s="2005">
        <f t="shared" si="2201"/>
        <v>0</v>
      </c>
      <c r="BH146" s="86">
        <f t="shared" ref="BH146:BH150" si="2310">IF($H146&lt;&gt;BL$5,0,IF(BL146&lt;0,IF($J146=1,-$E146*$I146/12*3,IF($J146=2,-$E146*$I146/12*2,IF($J146=3,-$E146*$I146/12*1,0)))))+IF(BG$5&lt;&gt;$H146,0,IF(BG146&lt;0,IF($J146=1,-$E146*$I146/12*0,IF($J146=2,-$E146*$I146/12*1,IF($J146=3,-$E146*$I146/12*2,IF($J146&gt;=4,-$E146*$I146/12*3,0))))))</f>
        <v>0</v>
      </c>
      <c r="BI146" s="87">
        <f t="shared" ref="BI146:BI150" si="2311">IF($H146&lt;&gt;BL$5,0,IF(BL146&lt;0,IF(OR($J146=1,$J146=2,$J146=3,$J146=4),-$E146*$I146/12*3,IF($J146=5,-$E146*$I146/12*2,IF($J146=6,-$E146*$I146/12*1,0)))))+IF(BG$5&lt;&gt;$H146,0,IF(BG146&lt;0,IF($J146=4,-$E146*$I146/12*0,IF($J146=5,-$E146*$I146/12*1,IF($J146=6,-$E146*$I146/12*2,IF($J146&gt;=7,-$E146*$I146/12*3,0))))))</f>
        <v>0</v>
      </c>
      <c r="BJ146" s="87">
        <f t="shared" ref="BJ146:BJ150" si="2312">IF($H146&lt;&gt;BL$5,0,IF(BL146&lt;0,IF(OR($J146=1,$J146=2,$J146=3,$J146=4,$J146=5,$J146=6,$J146=7),-$E146*$I146/12*3,IF($J146=8,-$E146*$I146/12*2,IF($J146=9,-$E146*$I146/12*1,0)))))+IF(BG$5&lt;&gt;$H146,0,IF(BG146&lt;0,IF($J146=7,-$E146*$I146/12*0,IF($J146=8,-$E146*$I146/12*1,IF($J146=9,-$E146*$I146/12*2,IF($J146&gt;=10,-$E146*$I146/12*3,0))))))</f>
        <v>0</v>
      </c>
      <c r="BK146" s="88">
        <f t="shared" ref="BK146:BK150" si="2313">IF($H146&lt;&gt;BL$5,0,IF(BL146&lt;0,IF(OR($J146=1,$J146=2,$J146=3,$J146=4,$J146=5,$J146=6,$J146=7,$J146=8,$J146=9,$J146=10),-$E146*$I146/12*3,IF($J146=11,-$E146*$I146/12*2,IF($J146=12,-$E146*$I146/12*1,0)))))+IF(BG$5&lt;&gt;$H146,0,IF(BG146&lt;0,IF($J146=10,-$E146*$I146/12*0,IF($J146=11,-$E146*$I146/12*1,IF($J146=12,-$E146*$I146/12*2,0)))))</f>
        <v>0</v>
      </c>
      <c r="BL146" s="85">
        <f t="shared" ref="BL146:BL150" si="2314">IF(AND(BG146&lt;&gt;0,BG$5=$H146),-$I146*$E146-BG146,IF(BL$5=$H146,-$I146*$E146*(12-$J146+1)/12,0))</f>
        <v>0</v>
      </c>
      <c r="BM146" s="86">
        <f t="shared" ref="BM146:BM150" si="2315">IF($H146&lt;&gt;BQ$5,0,IF(BQ146&lt;0,IF($J146=1,-$E146*$I146/12*3,IF($J146=2,-$E146*$I146/12*2,IF($J146=3,-$E146*$I146/12*1,0)))))+IF(BL$5&lt;&gt;$H146,0,IF(BL146&lt;0,IF($J146=1,-$E146*$I146/12*0,IF($J146=2,-$E146*$I146/12*1,IF($J146=3,-$E146*$I146/12*2,IF($J146&gt;=4,-$E146*$I146/12*3,0))))))</f>
        <v>0</v>
      </c>
      <c r="BN146" s="87">
        <f t="shared" ref="BN146:BN150" si="2316">IF($H146&lt;&gt;BQ$5,0,IF(BQ146&lt;0,IF(OR($J146=1,$J146=2,$J146=3,$J146=4),-$E146*$I146/12*3,IF($J146=5,-$E146*$I146/12*2,IF($J146=6,-$E146*$I146/12*1,0)))))+IF(BL$5&lt;&gt;$H146,0,IF(BL146&lt;0,IF($J146=4,-$E146*$I146/12*0,IF($J146=5,-$E146*$I146/12*1,IF($J146=6,-$E146*$I146/12*2,IF($J146&gt;=7,-$E146*$I146/12*3,0))))))</f>
        <v>0</v>
      </c>
      <c r="BO146" s="87">
        <f t="shared" ref="BO146:BO150" si="2317">IF($H146&lt;&gt;BQ$5,0,IF(BQ146&lt;0,IF(OR($J146=1,$J146=2,$J146=3,$J146=4,$J146=5,$J146=6,$J146=7),-$E146*$I146/12*3,IF($J146=8,-$E146*$I146/12*2,IF($J146=9,-$E146*$I146/12*1,0)))))+IF(BL$5&lt;&gt;$H146,0,IF(BL146&lt;0,IF($J146=7,-$E146*$I146/12*0,IF($J146=8,-$E146*$I146/12*1,IF($J146=9,-$E146*$I146/12*2,IF($J146&gt;=10,-$E146*$I146/12*3,0))))))</f>
        <v>0</v>
      </c>
      <c r="BP146" s="88">
        <f t="shared" ref="BP146:BP150" si="2318">IF($H146&lt;&gt;BQ$5,0,IF(BQ146&lt;0,IF(OR($J146=1,$J146=2,$J146=3,$J146=4,$J146=5,$J146=6,$J146=7,$J146=8,$J146=9,$J146=10),-$E146*$I146/12*3,IF($J146=11,-$E146*$I146/12*2,IF($J146=12,-$E146*$I146/12*1,0)))))+IF(BL$5&lt;&gt;$H146,0,IF(BL146&lt;0,IF($J146=10,-$E146*$I146/12*0,IF($J146=11,-$E146*$I146/12*1,IF($J146=12,-$E146*$I146/12*2,0)))))</f>
        <v>0</v>
      </c>
      <c r="BQ146" s="85">
        <f t="shared" ref="BQ146:BQ150" si="2319">IF(AND(BL146&lt;&gt;0,BL$5=$H146),-$I146*$E146-BL146,IF(BQ$5=$H146,-$I146*$E146*(12-$J146+1)/12,0))</f>
        <v>0</v>
      </c>
      <c r="BR146" s="86">
        <f t="shared" ref="BR146:BR150" si="2320">IF($H146&lt;&gt;BV$5,0,IF(BV146&lt;0,IF($J146=1,-$E146*$I146/12*3,IF($J146=2,-$E146*$I146/12*2,IF($J146=3,-$E146*$I146/12*1,0)))))+IF(BQ$5&lt;&gt;$H146,0,IF(BQ146&lt;0,IF($J146=1,-$E146*$I146/12*0,IF($J146=2,-$E146*$I146/12*1,IF($J146=3,-$E146*$I146/12*2,IF($J146&gt;=4,-$E146*$I146/12*3,0))))))</f>
        <v>0</v>
      </c>
      <c r="BS146" s="87">
        <f t="shared" ref="BS146:BS150" si="2321">IF($H146&lt;&gt;BV$5,0,IF(BV146&lt;0,IF(OR($J146=1,$J146=2,$J146=3,$J146=4),-$E146*$I146/12*3,IF($J146=5,-$E146*$I146/12*2,IF($J146=6,-$E146*$I146/12*1,0)))))+IF(BQ$5&lt;&gt;$H146,0,IF(BQ146&lt;0,IF($J146=4,-$E146*$I146/12*0,IF($J146=5,-$E146*$I146/12*1,IF($J146=6,-$E146*$I146/12*2,IF($J146&gt;=7,-$E146*$I146/12*3,0))))))</f>
        <v>0</v>
      </c>
      <c r="BT146" s="87">
        <f t="shared" ref="BT146:BT150" si="2322">IF($H146&lt;&gt;BV$5,0,IF(BV146&lt;0,IF(OR($J146=1,$J146=2,$J146=3,$J146=4,$J146=5,$J146=6,$J146=7),-$E146*$I146/12*3,IF($J146=8,-$E146*$I146/12*2,IF($J146=9,-$E146*$I146/12*1,0)))))+IF(BQ$5&lt;&gt;$H146,0,IF(BQ146&lt;0,IF($J146=7,-$E146*$I146/12*0,IF($J146=8,-$E146*$I146/12*1,IF($J146=9,-$E146*$I146/12*2,IF($J146&gt;=10,-$E146*$I146/12*3,0))))))</f>
        <v>0</v>
      </c>
      <c r="BU146" s="88">
        <f t="shared" ref="BU146:BU150" si="2323">IF($H146&lt;&gt;BV$5,0,IF(BV146&lt;0,IF(OR($J146=1,$J146=2,$J146=3,$J146=4,$J146=5,$J146=6,$J146=7,$J146=8,$J146=9,$J146=10),-$E146*$I146/12*3,IF($J146=11,-$E146*$I146/12*2,IF($J146=12,-$E146*$I146/12*1,0)))))+IF(BQ$5&lt;&gt;$H146,0,IF(BQ146&lt;0,IF($J146=10,-$E146*$I146/12*0,IF($J146=11,-$E146*$I146/12*1,IF($J146=12,-$E146*$I146/12*2,0)))))</f>
        <v>0</v>
      </c>
      <c r="BV146" s="85">
        <f t="shared" ref="BV146:BV150" si="2324">IF(AND(BQ146&lt;&gt;0,BQ$5=$H146),-$I146*$E146-BQ146,IF(BV$5=$H146,-$I146*$E146*(12-$J146+1)/12,0))</f>
        <v>0</v>
      </c>
      <c r="BW146" s="86">
        <f t="shared" ref="BW146:BW150" si="2325">IF($H146&lt;&gt;CA$5,0,IF(CA146&lt;0,IF($J146=1,-$E146*$I146/12*3,IF($J146=2,-$E146*$I146/12*2,IF($J146=3,-$E146*$I146/12*1,0)))))+IF(BV$5&lt;&gt;$H146,0,IF(BV146&lt;0,IF($J146=1,-$E146*$I146/12*0,IF($J146=2,-$E146*$I146/12*1,IF($J146=3,-$E146*$I146/12*2,IF($J146&gt;=4,-$E146*$I146/12*3,0))))))</f>
        <v>0</v>
      </c>
      <c r="BX146" s="87">
        <f t="shared" ref="BX146:BX150" si="2326">IF($H146&lt;&gt;CA$5,0,IF(CA146&lt;0,IF(OR($J146=1,$J146=2,$J146=3,$J146=4),-$E146*$I146/12*3,IF($J146=5,-$E146*$I146/12*2,IF($J146=6,-$E146*$I146/12*1,0)))))+IF(BV$5&lt;&gt;$H146,0,IF(BV146&lt;0,IF($J146=4,-$E146*$I146/12*0,IF($J146=5,-$E146*$I146/12*1,IF($J146=6,-$E146*$I146/12*2,IF($J146&gt;=7,-$E146*$I146/12*3,0))))))</f>
        <v>0</v>
      </c>
      <c r="BY146" s="87">
        <f t="shared" ref="BY146:BY150" si="2327">IF($H146&lt;&gt;CA$5,0,IF(CA146&lt;0,IF(OR($J146=1,$J146=2,$J146=3,$J146=4,$J146=5,$J146=6,$J146=7),-$E146*$I146/12*3,IF($J146=8,-$E146*$I146/12*2,IF($J146=9,-$E146*$I146/12*1,0)))))+IF(BV$5&lt;&gt;$H146,0,IF(BV146&lt;0,IF($J146=7,-$E146*$I146/12*0,IF($J146=8,-$E146*$I146/12*1,IF($J146=9,-$E146*$I146/12*2,IF($J146&gt;=10,-$E146*$I146/12*3,0))))))</f>
        <v>0</v>
      </c>
      <c r="BZ146" s="88">
        <f t="shared" ref="BZ146:BZ150" si="2328">IF($H146&lt;&gt;CA$5,0,IF(CA146&lt;0,IF(OR($J146=1,$J146=2,$J146=3,$J146=4,$J146=5,$J146=6,$J146=7,$J146=8,$J146=9,$J146=10),-$E146*$I146/12*3,IF($J146=11,-$E146*$I146/12*2,IF($J146=12,-$E146*$I146/12*1,0)))))+IF(BV$5&lt;&gt;$H146,0,IF(BV146&lt;0,IF($J146=10,-$E146*$I146/12*0,IF($J146=11,-$E146*$I146/12*1,IF($J146=12,-$E146*$I146/12*2,0)))))</f>
        <v>0</v>
      </c>
      <c r="CA146" s="85">
        <f t="shared" ref="CA146:CA150" si="2329">IF(AND(BV146&lt;&gt;0,BV$5=$H146),-$I146*$E146-BV146,IF(CA$5=$H146,-$I146*$E146*(12-$J146+1)/12,0))</f>
        <v>0</v>
      </c>
      <c r="CB146" s="86">
        <f t="shared" si="2269"/>
        <v>0</v>
      </c>
      <c r="CC146" s="87">
        <f t="shared" si="2270"/>
        <v>0</v>
      </c>
      <c r="CD146" s="87">
        <f t="shared" si="2271"/>
        <v>0</v>
      </c>
      <c r="CE146" s="88">
        <f t="shared" si="2272"/>
        <v>0</v>
      </c>
      <c r="CF146" s="85">
        <f t="shared" si="2273"/>
        <v>0</v>
      </c>
      <c r="CG146" s="86">
        <f t="shared" si="2274"/>
        <v>0</v>
      </c>
      <c r="CH146" s="87">
        <f t="shared" si="2275"/>
        <v>0</v>
      </c>
      <c r="CI146" s="87">
        <f t="shared" si="2276"/>
        <v>0</v>
      </c>
      <c r="CJ146" s="88">
        <f t="shared" si="2277"/>
        <v>0</v>
      </c>
      <c r="CK146" s="85">
        <f t="shared" si="2278"/>
        <v>0</v>
      </c>
      <c r="CL146" s="86">
        <f t="shared" si="2279"/>
        <v>0</v>
      </c>
      <c r="CM146" s="87">
        <f t="shared" si="2280"/>
        <v>0</v>
      </c>
      <c r="CN146" s="87">
        <f t="shared" si="2281"/>
        <v>0</v>
      </c>
      <c r="CO146" s="88">
        <f t="shared" si="2282"/>
        <v>0</v>
      </c>
      <c r="CP146" s="85">
        <f t="shared" si="2283"/>
        <v>0</v>
      </c>
      <c r="CQ146" s="86">
        <f t="shared" si="2284"/>
        <v>0</v>
      </c>
      <c r="CR146" s="87">
        <f t="shared" si="2285"/>
        <v>0</v>
      </c>
      <c r="CS146" s="87">
        <f t="shared" si="2286"/>
        <v>0</v>
      </c>
      <c r="CT146" s="88">
        <f t="shared" si="2287"/>
        <v>0</v>
      </c>
      <c r="CU146" s="85">
        <f t="shared" si="2288"/>
        <v>0</v>
      </c>
      <c r="CV146" s="86">
        <f t="shared" si="2289"/>
        <v>0</v>
      </c>
      <c r="CW146" s="87">
        <f t="shared" si="2290"/>
        <v>0</v>
      </c>
      <c r="CX146" s="87">
        <f t="shared" si="2291"/>
        <v>0</v>
      </c>
      <c r="CY146" s="88">
        <f t="shared" si="2292"/>
        <v>0</v>
      </c>
      <c r="CZ146" s="85">
        <f t="shared" si="2293"/>
        <v>0</v>
      </c>
    </row>
    <row r="147" spans="1:104" ht="12.75" customHeight="1">
      <c r="A147" s="4"/>
      <c r="B147" s="4"/>
      <c r="C147" s="4" t="s">
        <v>924</v>
      </c>
      <c r="D147" s="157"/>
      <c r="E147" s="2115">
        <f t="shared" si="2248"/>
        <v>140</v>
      </c>
      <c r="F147" s="2313">
        <v>140</v>
      </c>
      <c r="G147" s="1511">
        <v>140</v>
      </c>
      <c r="H147" s="1334">
        <v>2018</v>
      </c>
      <c r="I147" s="325">
        <v>6.9500000000000006E-2</v>
      </c>
      <c r="J147" s="1334">
        <v>7</v>
      </c>
      <c r="K147" s="80"/>
      <c r="L147" s="81">
        <f t="shared" si="2155"/>
        <v>0</v>
      </c>
      <c r="M147" s="82">
        <f t="shared" si="2294"/>
        <v>0</v>
      </c>
      <c r="N147" s="83">
        <f t="shared" si="2295"/>
        <v>0</v>
      </c>
      <c r="O147" s="83">
        <f t="shared" si="2296"/>
        <v>0</v>
      </c>
      <c r="P147" s="84">
        <f t="shared" si="2297"/>
        <v>0</v>
      </c>
      <c r="Q147" s="81">
        <f t="shared" si="2160"/>
        <v>0</v>
      </c>
      <c r="R147" s="82">
        <f t="shared" si="2298"/>
        <v>0</v>
      </c>
      <c r="S147" s="83">
        <f t="shared" si="2299"/>
        <v>0</v>
      </c>
      <c r="T147" s="83">
        <f t="shared" si="2300"/>
        <v>0</v>
      </c>
      <c r="U147" s="84">
        <f t="shared" si="2301"/>
        <v>0</v>
      </c>
      <c r="V147" s="81">
        <f t="shared" si="2165"/>
        <v>0</v>
      </c>
      <c r="W147" s="82">
        <f t="shared" si="2302"/>
        <v>0</v>
      </c>
      <c r="X147" s="83">
        <f t="shared" si="2303"/>
        <v>0</v>
      </c>
      <c r="Y147" s="83">
        <f t="shared" si="2304"/>
        <v>0</v>
      </c>
      <c r="Z147" s="84">
        <f t="shared" si="2305"/>
        <v>0</v>
      </c>
      <c r="AA147" s="81">
        <f t="shared" si="2170"/>
        <v>0</v>
      </c>
      <c r="AB147" s="82">
        <f t="shared" si="2306"/>
        <v>0</v>
      </c>
      <c r="AC147" s="83">
        <f t="shared" si="2307"/>
        <v>0</v>
      </c>
      <c r="AD147" s="83">
        <f t="shared" si="2308"/>
        <v>0</v>
      </c>
      <c r="AE147" s="84">
        <f t="shared" si="2309"/>
        <v>0</v>
      </c>
      <c r="AF147" s="81">
        <f t="shared" si="2175"/>
        <v>0</v>
      </c>
      <c r="AG147" s="82">
        <f t="shared" si="2249"/>
        <v>0</v>
      </c>
      <c r="AH147" s="83">
        <f t="shared" si="2250"/>
        <v>0</v>
      </c>
      <c r="AI147" s="83">
        <f t="shared" si="2251"/>
        <v>0</v>
      </c>
      <c r="AJ147" s="84">
        <f t="shared" si="2252"/>
        <v>0</v>
      </c>
      <c r="AK147" s="81">
        <f t="shared" si="2180"/>
        <v>0</v>
      </c>
      <c r="AL147" s="82">
        <f t="shared" si="2253"/>
        <v>0</v>
      </c>
      <c r="AM147" s="83">
        <f t="shared" si="2254"/>
        <v>0</v>
      </c>
      <c r="AN147" s="83">
        <f t="shared" si="2255"/>
        <v>-140</v>
      </c>
      <c r="AO147" s="84">
        <f t="shared" si="2256"/>
        <v>0</v>
      </c>
      <c r="AP147" s="81">
        <f t="shared" si="2185"/>
        <v>-140</v>
      </c>
      <c r="AQ147" s="82">
        <f t="shared" si="2257"/>
        <v>0</v>
      </c>
      <c r="AR147" s="83">
        <f t="shared" si="2258"/>
        <v>0</v>
      </c>
      <c r="AS147" s="83">
        <f t="shared" si="2259"/>
        <v>0</v>
      </c>
      <c r="AT147" s="84">
        <f t="shared" si="2260"/>
        <v>0</v>
      </c>
      <c r="AU147" s="81">
        <f t="shared" si="2190"/>
        <v>0</v>
      </c>
      <c r="AV147" s="82">
        <f t="shared" si="2261"/>
        <v>0</v>
      </c>
      <c r="AW147" s="83">
        <f t="shared" si="2262"/>
        <v>0</v>
      </c>
      <c r="AX147" s="83">
        <f t="shared" si="2263"/>
        <v>0</v>
      </c>
      <c r="AY147" s="84">
        <f t="shared" si="2264"/>
        <v>0</v>
      </c>
      <c r="AZ147" s="81">
        <f t="shared" si="2195"/>
        <v>0</v>
      </c>
      <c r="BA147" s="82">
        <f t="shared" si="2265"/>
        <v>0</v>
      </c>
      <c r="BB147" s="83">
        <f t="shared" si="2266"/>
        <v>0</v>
      </c>
      <c r="BC147" s="83">
        <f t="shared" si="2267"/>
        <v>0</v>
      </c>
      <c r="BD147" s="84">
        <f t="shared" si="2268"/>
        <v>0</v>
      </c>
      <c r="BE147" s="81">
        <f t="shared" si="2200"/>
        <v>0</v>
      </c>
      <c r="BF147" s="1877"/>
      <c r="BG147" s="2005">
        <f t="shared" si="2201"/>
        <v>0</v>
      </c>
      <c r="BH147" s="86">
        <f t="shared" si="2310"/>
        <v>0</v>
      </c>
      <c r="BI147" s="87">
        <f t="shared" si="2311"/>
        <v>0</v>
      </c>
      <c r="BJ147" s="87">
        <f t="shared" si="2312"/>
        <v>0</v>
      </c>
      <c r="BK147" s="88">
        <f t="shared" si="2313"/>
        <v>0</v>
      </c>
      <c r="BL147" s="85">
        <f t="shared" si="2314"/>
        <v>0</v>
      </c>
      <c r="BM147" s="86">
        <f t="shared" si="2315"/>
        <v>0</v>
      </c>
      <c r="BN147" s="87">
        <f t="shared" si="2316"/>
        <v>0</v>
      </c>
      <c r="BO147" s="87">
        <f t="shared" si="2317"/>
        <v>0</v>
      </c>
      <c r="BP147" s="88">
        <f t="shared" si="2318"/>
        <v>0</v>
      </c>
      <c r="BQ147" s="85">
        <f t="shared" si="2319"/>
        <v>0</v>
      </c>
      <c r="BR147" s="86">
        <f t="shared" si="2320"/>
        <v>0</v>
      </c>
      <c r="BS147" s="87">
        <f t="shared" si="2321"/>
        <v>0</v>
      </c>
      <c r="BT147" s="87">
        <f t="shared" si="2322"/>
        <v>0</v>
      </c>
      <c r="BU147" s="88">
        <f t="shared" si="2323"/>
        <v>0</v>
      </c>
      <c r="BV147" s="85">
        <f t="shared" si="2324"/>
        <v>0</v>
      </c>
      <c r="BW147" s="86">
        <f t="shared" si="2325"/>
        <v>0</v>
      </c>
      <c r="BX147" s="87">
        <f t="shared" si="2326"/>
        <v>0</v>
      </c>
      <c r="BY147" s="87">
        <f t="shared" si="2327"/>
        <v>0</v>
      </c>
      <c r="BZ147" s="88">
        <f t="shared" si="2328"/>
        <v>0</v>
      </c>
      <c r="CA147" s="85">
        <f t="shared" si="2329"/>
        <v>0</v>
      </c>
      <c r="CB147" s="86">
        <f t="shared" si="2269"/>
        <v>0</v>
      </c>
      <c r="CC147" s="87">
        <f t="shared" si="2270"/>
        <v>0</v>
      </c>
      <c r="CD147" s="87">
        <f t="shared" si="2271"/>
        <v>0</v>
      </c>
      <c r="CE147" s="88">
        <f t="shared" si="2272"/>
        <v>0</v>
      </c>
      <c r="CF147" s="85">
        <f t="shared" si="2273"/>
        <v>0</v>
      </c>
      <c r="CG147" s="86">
        <f t="shared" si="2274"/>
        <v>0</v>
      </c>
      <c r="CH147" s="87">
        <f t="shared" si="2275"/>
        <v>0</v>
      </c>
      <c r="CI147" s="87">
        <f t="shared" si="2276"/>
        <v>-2.4325000000000001</v>
      </c>
      <c r="CJ147" s="88">
        <f t="shared" si="2277"/>
        <v>-2.4325000000000001</v>
      </c>
      <c r="CK147" s="85">
        <f t="shared" si="2278"/>
        <v>-4.8650000000000002</v>
      </c>
      <c r="CL147" s="86">
        <f t="shared" si="2279"/>
        <v>-2.4325000000000001</v>
      </c>
      <c r="CM147" s="87">
        <f t="shared" si="2280"/>
        <v>-2.4325000000000001</v>
      </c>
      <c r="CN147" s="87">
        <f t="shared" si="2281"/>
        <v>0</v>
      </c>
      <c r="CO147" s="88">
        <f t="shared" si="2282"/>
        <v>0</v>
      </c>
      <c r="CP147" s="85">
        <f t="shared" si="2283"/>
        <v>-4.8650000000000002</v>
      </c>
      <c r="CQ147" s="86">
        <f t="shared" si="2284"/>
        <v>0</v>
      </c>
      <c r="CR147" s="87">
        <f t="shared" si="2285"/>
        <v>0</v>
      </c>
      <c r="CS147" s="87">
        <f t="shared" si="2286"/>
        <v>0</v>
      </c>
      <c r="CT147" s="88">
        <f t="shared" si="2287"/>
        <v>0</v>
      </c>
      <c r="CU147" s="85">
        <f t="shared" si="2288"/>
        <v>0</v>
      </c>
      <c r="CV147" s="86">
        <f t="shared" si="2289"/>
        <v>0</v>
      </c>
      <c r="CW147" s="87">
        <f t="shared" si="2290"/>
        <v>0</v>
      </c>
      <c r="CX147" s="87">
        <f t="shared" si="2291"/>
        <v>0</v>
      </c>
      <c r="CY147" s="88">
        <f t="shared" si="2292"/>
        <v>0</v>
      </c>
      <c r="CZ147" s="85">
        <f t="shared" si="2293"/>
        <v>0</v>
      </c>
    </row>
    <row r="148" spans="1:104" ht="12.75" customHeight="1">
      <c r="A148" s="4"/>
      <c r="B148" s="4"/>
      <c r="C148" s="806" t="s">
        <v>1348</v>
      </c>
      <c r="D148" s="157"/>
      <c r="E148" s="2115">
        <f t="shared" si="2248"/>
        <v>350</v>
      </c>
      <c r="F148" s="2313">
        <v>350</v>
      </c>
      <c r="G148" s="1511">
        <v>350</v>
      </c>
      <c r="H148" s="1334">
        <v>2043</v>
      </c>
      <c r="I148" s="325">
        <v>4.5999999999999999E-2</v>
      </c>
      <c r="J148" s="1334">
        <v>8</v>
      </c>
      <c r="K148" s="80"/>
      <c r="L148" s="81">
        <f t="shared" si="2155"/>
        <v>0</v>
      </c>
      <c r="M148" s="82">
        <f t="shared" si="2294"/>
        <v>0</v>
      </c>
      <c r="N148" s="83">
        <f t="shared" si="2295"/>
        <v>0</v>
      </c>
      <c r="O148" s="83">
        <f t="shared" si="2296"/>
        <v>0</v>
      </c>
      <c r="P148" s="84">
        <f t="shared" si="2297"/>
        <v>0</v>
      </c>
      <c r="Q148" s="81">
        <f t="shared" si="2160"/>
        <v>0</v>
      </c>
      <c r="R148" s="82">
        <f t="shared" si="2298"/>
        <v>0</v>
      </c>
      <c r="S148" s="83">
        <f t="shared" si="2299"/>
        <v>0</v>
      </c>
      <c r="T148" s="83">
        <f t="shared" si="2300"/>
        <v>0</v>
      </c>
      <c r="U148" s="84">
        <f t="shared" si="2301"/>
        <v>0</v>
      </c>
      <c r="V148" s="81">
        <f t="shared" si="2165"/>
        <v>0</v>
      </c>
      <c r="W148" s="82">
        <f t="shared" si="2302"/>
        <v>0</v>
      </c>
      <c r="X148" s="83">
        <f t="shared" si="2303"/>
        <v>0</v>
      </c>
      <c r="Y148" s="83">
        <f t="shared" si="2304"/>
        <v>0</v>
      </c>
      <c r="Z148" s="84">
        <f t="shared" si="2305"/>
        <v>0</v>
      </c>
      <c r="AA148" s="81">
        <f t="shared" si="2170"/>
        <v>0</v>
      </c>
      <c r="AB148" s="82">
        <f t="shared" si="2306"/>
        <v>0</v>
      </c>
      <c r="AC148" s="83">
        <f t="shared" si="2307"/>
        <v>0</v>
      </c>
      <c r="AD148" s="83">
        <f t="shared" si="2308"/>
        <v>0</v>
      </c>
      <c r="AE148" s="84">
        <f t="shared" si="2309"/>
        <v>0</v>
      </c>
      <c r="AF148" s="81">
        <f t="shared" si="2175"/>
        <v>0</v>
      </c>
      <c r="AG148" s="82">
        <f t="shared" si="2249"/>
        <v>0</v>
      </c>
      <c r="AH148" s="83">
        <f t="shared" si="2250"/>
        <v>0</v>
      </c>
      <c r="AI148" s="83">
        <f t="shared" si="2251"/>
        <v>0</v>
      </c>
      <c r="AJ148" s="84">
        <f t="shared" si="2252"/>
        <v>0</v>
      </c>
      <c r="AK148" s="81">
        <f t="shared" si="2180"/>
        <v>0</v>
      </c>
      <c r="AL148" s="82">
        <f t="shared" si="2253"/>
        <v>0</v>
      </c>
      <c r="AM148" s="83">
        <f t="shared" si="2254"/>
        <v>0</v>
      </c>
      <c r="AN148" s="83">
        <f t="shared" si="2255"/>
        <v>0</v>
      </c>
      <c r="AO148" s="84">
        <f t="shared" si="2256"/>
        <v>0</v>
      </c>
      <c r="AP148" s="81">
        <f t="shared" si="2185"/>
        <v>0</v>
      </c>
      <c r="AQ148" s="82">
        <f t="shared" si="2257"/>
        <v>0</v>
      </c>
      <c r="AR148" s="83">
        <f t="shared" si="2258"/>
        <v>0</v>
      </c>
      <c r="AS148" s="83">
        <f t="shared" si="2259"/>
        <v>0</v>
      </c>
      <c r="AT148" s="84">
        <f t="shared" si="2260"/>
        <v>0</v>
      </c>
      <c r="AU148" s="81">
        <f t="shared" si="2190"/>
        <v>0</v>
      </c>
      <c r="AV148" s="82">
        <f t="shared" si="2261"/>
        <v>0</v>
      </c>
      <c r="AW148" s="83">
        <f t="shared" si="2262"/>
        <v>0</v>
      </c>
      <c r="AX148" s="83">
        <f t="shared" si="2263"/>
        <v>0</v>
      </c>
      <c r="AY148" s="84">
        <f t="shared" si="2264"/>
        <v>0</v>
      </c>
      <c r="AZ148" s="81">
        <f t="shared" si="2195"/>
        <v>0</v>
      </c>
      <c r="BA148" s="82">
        <f t="shared" si="2265"/>
        <v>0</v>
      </c>
      <c r="BB148" s="83">
        <f t="shared" si="2266"/>
        <v>0</v>
      </c>
      <c r="BC148" s="83">
        <f t="shared" si="2267"/>
        <v>0</v>
      </c>
      <c r="BD148" s="84">
        <f t="shared" si="2268"/>
        <v>0</v>
      </c>
      <c r="BE148" s="81">
        <f t="shared" si="2200"/>
        <v>0</v>
      </c>
      <c r="BF148" s="1877"/>
      <c r="BG148" s="2005">
        <f t="shared" si="2201"/>
        <v>0</v>
      </c>
      <c r="BH148" s="86">
        <f t="shared" si="2310"/>
        <v>0</v>
      </c>
      <c r="BI148" s="87">
        <f t="shared" si="2311"/>
        <v>0</v>
      </c>
      <c r="BJ148" s="87">
        <f t="shared" si="2312"/>
        <v>0</v>
      </c>
      <c r="BK148" s="88">
        <f t="shared" si="2313"/>
        <v>0</v>
      </c>
      <c r="BL148" s="85">
        <f t="shared" si="2314"/>
        <v>0</v>
      </c>
      <c r="BM148" s="86">
        <f t="shared" si="2315"/>
        <v>0</v>
      </c>
      <c r="BN148" s="87">
        <f t="shared" si="2316"/>
        <v>0</v>
      </c>
      <c r="BO148" s="87">
        <f t="shared" si="2317"/>
        <v>0</v>
      </c>
      <c r="BP148" s="88">
        <f t="shared" si="2318"/>
        <v>0</v>
      </c>
      <c r="BQ148" s="85">
        <f t="shared" si="2319"/>
        <v>0</v>
      </c>
      <c r="BR148" s="86">
        <f t="shared" si="2320"/>
        <v>0</v>
      </c>
      <c r="BS148" s="87">
        <f t="shared" si="2321"/>
        <v>0</v>
      </c>
      <c r="BT148" s="87">
        <f t="shared" si="2322"/>
        <v>0</v>
      </c>
      <c r="BU148" s="88">
        <f t="shared" si="2323"/>
        <v>0</v>
      </c>
      <c r="BV148" s="85">
        <f t="shared" si="2324"/>
        <v>0</v>
      </c>
      <c r="BW148" s="86">
        <f t="shared" si="2325"/>
        <v>0</v>
      </c>
      <c r="BX148" s="87">
        <f t="shared" si="2326"/>
        <v>0</v>
      </c>
      <c r="BY148" s="87">
        <f t="shared" si="2327"/>
        <v>0</v>
      </c>
      <c r="BZ148" s="88">
        <f t="shared" si="2328"/>
        <v>0</v>
      </c>
      <c r="CA148" s="85">
        <f t="shared" si="2329"/>
        <v>0</v>
      </c>
      <c r="CB148" s="86">
        <f t="shared" si="2269"/>
        <v>0</v>
      </c>
      <c r="CC148" s="87">
        <f t="shared" si="2270"/>
        <v>0</v>
      </c>
      <c r="CD148" s="87">
        <f t="shared" si="2271"/>
        <v>0</v>
      </c>
      <c r="CE148" s="88">
        <f t="shared" si="2272"/>
        <v>0</v>
      </c>
      <c r="CF148" s="85">
        <f t="shared" si="2273"/>
        <v>0</v>
      </c>
      <c r="CG148" s="86">
        <f t="shared" si="2274"/>
        <v>0</v>
      </c>
      <c r="CH148" s="87">
        <f t="shared" si="2275"/>
        <v>0</v>
      </c>
      <c r="CI148" s="87">
        <f t="shared" si="2276"/>
        <v>0</v>
      </c>
      <c r="CJ148" s="88">
        <f t="shared" si="2277"/>
        <v>0</v>
      </c>
      <c r="CK148" s="85">
        <f t="shared" si="2278"/>
        <v>0</v>
      </c>
      <c r="CL148" s="86">
        <f t="shared" si="2279"/>
        <v>0</v>
      </c>
      <c r="CM148" s="87">
        <f t="shared" si="2280"/>
        <v>0</v>
      </c>
      <c r="CN148" s="87">
        <f t="shared" si="2281"/>
        <v>0</v>
      </c>
      <c r="CO148" s="88">
        <f t="shared" si="2282"/>
        <v>0</v>
      </c>
      <c r="CP148" s="85">
        <f t="shared" si="2283"/>
        <v>0</v>
      </c>
      <c r="CQ148" s="86">
        <f t="shared" si="2284"/>
        <v>0</v>
      </c>
      <c r="CR148" s="87">
        <f t="shared" si="2285"/>
        <v>0</v>
      </c>
      <c r="CS148" s="87">
        <f t="shared" si="2286"/>
        <v>0</v>
      </c>
      <c r="CT148" s="88">
        <f t="shared" si="2287"/>
        <v>0</v>
      </c>
      <c r="CU148" s="85">
        <f t="shared" si="2288"/>
        <v>0</v>
      </c>
      <c r="CV148" s="86">
        <f t="shared" si="2289"/>
        <v>0</v>
      </c>
      <c r="CW148" s="87">
        <f t="shared" si="2290"/>
        <v>0</v>
      </c>
      <c r="CX148" s="87">
        <f t="shared" si="2291"/>
        <v>0</v>
      </c>
      <c r="CY148" s="88">
        <f t="shared" si="2292"/>
        <v>0</v>
      </c>
      <c r="CZ148" s="85">
        <f t="shared" si="2293"/>
        <v>0</v>
      </c>
    </row>
    <row r="149" spans="1:104" ht="12.75" customHeight="1">
      <c r="A149" s="4"/>
      <c r="B149" s="4"/>
      <c r="C149" s="4" t="s">
        <v>682</v>
      </c>
      <c r="D149" s="157"/>
      <c r="E149" s="2115">
        <f t="shared" si="2248"/>
        <v>200</v>
      </c>
      <c r="F149" s="2313">
        <v>200</v>
      </c>
      <c r="G149" s="1511">
        <v>200</v>
      </c>
      <c r="H149" s="1334">
        <v>2033</v>
      </c>
      <c r="I149" s="325">
        <v>6.3500000000000001E-2</v>
      </c>
      <c r="J149" s="1334">
        <v>3</v>
      </c>
      <c r="K149" s="80"/>
      <c r="L149" s="81">
        <f t="shared" si="2155"/>
        <v>0</v>
      </c>
      <c r="M149" s="82">
        <f t="shared" si="2294"/>
        <v>0</v>
      </c>
      <c r="N149" s="83">
        <f t="shared" si="2295"/>
        <v>0</v>
      </c>
      <c r="O149" s="83">
        <f t="shared" si="2296"/>
        <v>0</v>
      </c>
      <c r="P149" s="84">
        <f t="shared" si="2297"/>
        <v>0</v>
      </c>
      <c r="Q149" s="81">
        <f t="shared" si="2160"/>
        <v>0</v>
      </c>
      <c r="R149" s="82">
        <f t="shared" si="2298"/>
        <v>0</v>
      </c>
      <c r="S149" s="83">
        <f t="shared" si="2299"/>
        <v>0</v>
      </c>
      <c r="T149" s="83">
        <f t="shared" si="2300"/>
        <v>0</v>
      </c>
      <c r="U149" s="84">
        <f t="shared" si="2301"/>
        <v>0</v>
      </c>
      <c r="V149" s="81">
        <f t="shared" si="2165"/>
        <v>0</v>
      </c>
      <c r="W149" s="82">
        <f t="shared" si="2302"/>
        <v>0</v>
      </c>
      <c r="X149" s="83">
        <f t="shared" si="2303"/>
        <v>0</v>
      </c>
      <c r="Y149" s="83">
        <f t="shared" si="2304"/>
        <v>0</v>
      </c>
      <c r="Z149" s="84">
        <f t="shared" si="2305"/>
        <v>0</v>
      </c>
      <c r="AA149" s="81">
        <f t="shared" si="2170"/>
        <v>0</v>
      </c>
      <c r="AB149" s="82">
        <f t="shared" si="2306"/>
        <v>0</v>
      </c>
      <c r="AC149" s="83">
        <f t="shared" si="2307"/>
        <v>0</v>
      </c>
      <c r="AD149" s="83">
        <f t="shared" si="2308"/>
        <v>0</v>
      </c>
      <c r="AE149" s="84">
        <f t="shared" si="2309"/>
        <v>0</v>
      </c>
      <c r="AF149" s="81">
        <f t="shared" si="2175"/>
        <v>0</v>
      </c>
      <c r="AG149" s="82">
        <f t="shared" si="2249"/>
        <v>0</v>
      </c>
      <c r="AH149" s="83">
        <f t="shared" si="2250"/>
        <v>0</v>
      </c>
      <c r="AI149" s="83">
        <f t="shared" si="2251"/>
        <v>0</v>
      </c>
      <c r="AJ149" s="84">
        <f t="shared" si="2252"/>
        <v>0</v>
      </c>
      <c r="AK149" s="81">
        <f t="shared" si="2180"/>
        <v>0</v>
      </c>
      <c r="AL149" s="82">
        <f t="shared" si="2253"/>
        <v>0</v>
      </c>
      <c r="AM149" s="83">
        <f t="shared" si="2254"/>
        <v>0</v>
      </c>
      <c r="AN149" s="83">
        <f t="shared" si="2255"/>
        <v>0</v>
      </c>
      <c r="AO149" s="84">
        <f t="shared" si="2256"/>
        <v>0</v>
      </c>
      <c r="AP149" s="81">
        <f t="shared" si="2185"/>
        <v>0</v>
      </c>
      <c r="AQ149" s="82">
        <f t="shared" si="2257"/>
        <v>0</v>
      </c>
      <c r="AR149" s="83">
        <f t="shared" si="2258"/>
        <v>0</v>
      </c>
      <c r="AS149" s="83">
        <f t="shared" si="2259"/>
        <v>0</v>
      </c>
      <c r="AT149" s="84">
        <f t="shared" si="2260"/>
        <v>0</v>
      </c>
      <c r="AU149" s="81">
        <f t="shared" si="2190"/>
        <v>0</v>
      </c>
      <c r="AV149" s="82">
        <f t="shared" si="2261"/>
        <v>0</v>
      </c>
      <c r="AW149" s="83">
        <f t="shared" si="2262"/>
        <v>0</v>
      </c>
      <c r="AX149" s="83">
        <f t="shared" si="2263"/>
        <v>0</v>
      </c>
      <c r="AY149" s="84">
        <f t="shared" si="2264"/>
        <v>0</v>
      </c>
      <c r="AZ149" s="81">
        <f t="shared" si="2195"/>
        <v>0</v>
      </c>
      <c r="BA149" s="82">
        <f t="shared" si="2265"/>
        <v>0</v>
      </c>
      <c r="BB149" s="83">
        <f t="shared" si="2266"/>
        <v>0</v>
      </c>
      <c r="BC149" s="83">
        <f t="shared" si="2267"/>
        <v>0</v>
      </c>
      <c r="BD149" s="84">
        <f t="shared" si="2268"/>
        <v>0</v>
      </c>
      <c r="BE149" s="81">
        <f t="shared" si="2200"/>
        <v>0</v>
      </c>
      <c r="BF149" s="1877"/>
      <c r="BG149" s="2005">
        <f t="shared" si="2201"/>
        <v>0</v>
      </c>
      <c r="BH149" s="86">
        <f t="shared" si="2310"/>
        <v>0</v>
      </c>
      <c r="BI149" s="87">
        <f t="shared" si="2311"/>
        <v>0</v>
      </c>
      <c r="BJ149" s="87">
        <f t="shared" si="2312"/>
        <v>0</v>
      </c>
      <c r="BK149" s="88">
        <f t="shared" si="2313"/>
        <v>0</v>
      </c>
      <c r="BL149" s="85">
        <f t="shared" si="2314"/>
        <v>0</v>
      </c>
      <c r="BM149" s="86">
        <f t="shared" si="2315"/>
        <v>0</v>
      </c>
      <c r="BN149" s="87">
        <f t="shared" si="2316"/>
        <v>0</v>
      </c>
      <c r="BO149" s="87">
        <f t="shared" si="2317"/>
        <v>0</v>
      </c>
      <c r="BP149" s="88">
        <f t="shared" si="2318"/>
        <v>0</v>
      </c>
      <c r="BQ149" s="85">
        <f t="shared" si="2319"/>
        <v>0</v>
      </c>
      <c r="BR149" s="86">
        <f t="shared" si="2320"/>
        <v>0</v>
      </c>
      <c r="BS149" s="87">
        <f t="shared" si="2321"/>
        <v>0</v>
      </c>
      <c r="BT149" s="87">
        <f t="shared" si="2322"/>
        <v>0</v>
      </c>
      <c r="BU149" s="88">
        <f t="shared" si="2323"/>
        <v>0</v>
      </c>
      <c r="BV149" s="85">
        <f t="shared" si="2324"/>
        <v>0</v>
      </c>
      <c r="BW149" s="86">
        <f t="shared" si="2325"/>
        <v>0</v>
      </c>
      <c r="BX149" s="87">
        <f t="shared" si="2326"/>
        <v>0</v>
      </c>
      <c r="BY149" s="87">
        <f t="shared" si="2327"/>
        <v>0</v>
      </c>
      <c r="BZ149" s="88">
        <f t="shared" si="2328"/>
        <v>0</v>
      </c>
      <c r="CA149" s="85">
        <f t="shared" si="2329"/>
        <v>0</v>
      </c>
      <c r="CB149" s="86">
        <f t="shared" si="2269"/>
        <v>0</v>
      </c>
      <c r="CC149" s="87">
        <f t="shared" si="2270"/>
        <v>0</v>
      </c>
      <c r="CD149" s="87">
        <f t="shared" si="2271"/>
        <v>0</v>
      </c>
      <c r="CE149" s="88">
        <f t="shared" si="2272"/>
        <v>0</v>
      </c>
      <c r="CF149" s="85">
        <f t="shared" si="2273"/>
        <v>0</v>
      </c>
      <c r="CG149" s="86">
        <f t="shared" si="2274"/>
        <v>0</v>
      </c>
      <c r="CH149" s="87">
        <f t="shared" si="2275"/>
        <v>0</v>
      </c>
      <c r="CI149" s="87">
        <f t="shared" si="2276"/>
        <v>0</v>
      </c>
      <c r="CJ149" s="88">
        <f t="shared" si="2277"/>
        <v>0</v>
      </c>
      <c r="CK149" s="85">
        <f t="shared" si="2278"/>
        <v>0</v>
      </c>
      <c r="CL149" s="86">
        <f t="shared" si="2279"/>
        <v>0</v>
      </c>
      <c r="CM149" s="87">
        <f t="shared" si="2280"/>
        <v>0</v>
      </c>
      <c r="CN149" s="87">
        <f t="shared" si="2281"/>
        <v>0</v>
      </c>
      <c r="CO149" s="88">
        <f t="shared" si="2282"/>
        <v>0</v>
      </c>
      <c r="CP149" s="85">
        <f t="shared" si="2283"/>
        <v>0</v>
      </c>
      <c r="CQ149" s="86">
        <f t="shared" si="2284"/>
        <v>0</v>
      </c>
      <c r="CR149" s="87">
        <f t="shared" si="2285"/>
        <v>0</v>
      </c>
      <c r="CS149" s="87">
        <f t="shared" si="2286"/>
        <v>0</v>
      </c>
      <c r="CT149" s="88">
        <f t="shared" si="2287"/>
        <v>0</v>
      </c>
      <c r="CU149" s="85">
        <f t="shared" si="2288"/>
        <v>0</v>
      </c>
      <c r="CV149" s="86">
        <f t="shared" si="2289"/>
        <v>0</v>
      </c>
      <c r="CW149" s="87">
        <f t="shared" si="2290"/>
        <v>0</v>
      </c>
      <c r="CX149" s="87">
        <f t="shared" si="2291"/>
        <v>0</v>
      </c>
      <c r="CY149" s="88">
        <f t="shared" si="2292"/>
        <v>0</v>
      </c>
      <c r="CZ149" s="85">
        <f t="shared" si="2293"/>
        <v>0</v>
      </c>
    </row>
    <row r="150" spans="1:104" ht="12.75" customHeight="1">
      <c r="A150" s="4"/>
      <c r="B150" s="4"/>
      <c r="C150" s="4"/>
      <c r="D150" s="157"/>
      <c r="E150" s="2115"/>
      <c r="F150" s="2313"/>
      <c r="G150" s="1511"/>
      <c r="H150" s="1334"/>
      <c r="I150" s="325"/>
      <c r="J150" s="1334"/>
      <c r="K150" s="80"/>
      <c r="L150" s="81">
        <f t="shared" si="2155"/>
        <v>0</v>
      </c>
      <c r="M150" s="82">
        <f t="shared" si="2294"/>
        <v>0</v>
      </c>
      <c r="N150" s="83">
        <f t="shared" si="2295"/>
        <v>0</v>
      </c>
      <c r="O150" s="83">
        <f t="shared" si="2296"/>
        <v>0</v>
      </c>
      <c r="P150" s="84">
        <f t="shared" si="2297"/>
        <v>0</v>
      </c>
      <c r="Q150" s="81">
        <f t="shared" si="2160"/>
        <v>0</v>
      </c>
      <c r="R150" s="82">
        <f t="shared" si="2298"/>
        <v>0</v>
      </c>
      <c r="S150" s="83">
        <f t="shared" si="2299"/>
        <v>0</v>
      </c>
      <c r="T150" s="83">
        <f t="shared" si="2300"/>
        <v>0</v>
      </c>
      <c r="U150" s="84">
        <f t="shared" si="2301"/>
        <v>0</v>
      </c>
      <c r="V150" s="81">
        <f t="shared" si="2165"/>
        <v>0</v>
      </c>
      <c r="W150" s="82">
        <f t="shared" si="2302"/>
        <v>0</v>
      </c>
      <c r="X150" s="83">
        <f t="shared" si="2303"/>
        <v>0</v>
      </c>
      <c r="Y150" s="83">
        <f t="shared" si="2304"/>
        <v>0</v>
      </c>
      <c r="Z150" s="84">
        <f t="shared" si="2305"/>
        <v>0</v>
      </c>
      <c r="AA150" s="81">
        <f t="shared" si="2170"/>
        <v>0</v>
      </c>
      <c r="AB150" s="82">
        <f t="shared" si="2306"/>
        <v>0</v>
      </c>
      <c r="AC150" s="83">
        <f t="shared" si="2307"/>
        <v>0</v>
      </c>
      <c r="AD150" s="83">
        <f t="shared" si="2308"/>
        <v>0</v>
      </c>
      <c r="AE150" s="84">
        <f t="shared" si="2309"/>
        <v>0</v>
      </c>
      <c r="AF150" s="81">
        <f t="shared" si="2175"/>
        <v>0</v>
      </c>
      <c r="AG150" s="82">
        <f t="shared" si="2249"/>
        <v>0</v>
      </c>
      <c r="AH150" s="83">
        <f t="shared" si="2250"/>
        <v>0</v>
      </c>
      <c r="AI150" s="83">
        <f t="shared" si="2251"/>
        <v>0</v>
      </c>
      <c r="AJ150" s="84">
        <f t="shared" si="2252"/>
        <v>0</v>
      </c>
      <c r="AK150" s="81">
        <f t="shared" si="2180"/>
        <v>0</v>
      </c>
      <c r="AL150" s="82">
        <f t="shared" si="2253"/>
        <v>0</v>
      </c>
      <c r="AM150" s="83">
        <f t="shared" si="2254"/>
        <v>0</v>
      </c>
      <c r="AN150" s="83">
        <f t="shared" si="2255"/>
        <v>0</v>
      </c>
      <c r="AO150" s="84">
        <f t="shared" si="2256"/>
        <v>0</v>
      </c>
      <c r="AP150" s="81">
        <f t="shared" si="2185"/>
        <v>0</v>
      </c>
      <c r="AQ150" s="82">
        <f t="shared" si="2257"/>
        <v>0</v>
      </c>
      <c r="AR150" s="83">
        <f t="shared" si="2258"/>
        <v>0</v>
      </c>
      <c r="AS150" s="83">
        <f t="shared" si="2259"/>
        <v>0</v>
      </c>
      <c r="AT150" s="84">
        <f t="shared" si="2260"/>
        <v>0</v>
      </c>
      <c r="AU150" s="81">
        <f t="shared" si="2190"/>
        <v>0</v>
      </c>
      <c r="AV150" s="82">
        <f t="shared" si="2261"/>
        <v>0</v>
      </c>
      <c r="AW150" s="83">
        <f t="shared" si="2262"/>
        <v>0</v>
      </c>
      <c r="AX150" s="83">
        <f t="shared" si="2263"/>
        <v>0</v>
      </c>
      <c r="AY150" s="84">
        <f t="shared" si="2264"/>
        <v>0</v>
      </c>
      <c r="AZ150" s="81">
        <f t="shared" si="2195"/>
        <v>0</v>
      </c>
      <c r="BA150" s="82">
        <f t="shared" si="2265"/>
        <v>0</v>
      </c>
      <c r="BB150" s="83">
        <f t="shared" si="2266"/>
        <v>0</v>
      </c>
      <c r="BC150" s="83">
        <f t="shared" si="2267"/>
        <v>0</v>
      </c>
      <c r="BD150" s="84">
        <f t="shared" si="2268"/>
        <v>0</v>
      </c>
      <c r="BE150" s="81">
        <f t="shared" si="2200"/>
        <v>0</v>
      </c>
      <c r="BF150" s="1877"/>
      <c r="BG150" s="2005">
        <f t="shared" si="2201"/>
        <v>0</v>
      </c>
      <c r="BH150" s="86">
        <f t="shared" si="2310"/>
        <v>0</v>
      </c>
      <c r="BI150" s="87">
        <f t="shared" si="2311"/>
        <v>0</v>
      </c>
      <c r="BJ150" s="87">
        <f t="shared" si="2312"/>
        <v>0</v>
      </c>
      <c r="BK150" s="88">
        <f t="shared" si="2313"/>
        <v>0</v>
      </c>
      <c r="BL150" s="85">
        <f t="shared" si="2314"/>
        <v>0</v>
      </c>
      <c r="BM150" s="86">
        <f t="shared" si="2315"/>
        <v>0</v>
      </c>
      <c r="BN150" s="87">
        <f t="shared" si="2316"/>
        <v>0</v>
      </c>
      <c r="BO150" s="87">
        <f t="shared" si="2317"/>
        <v>0</v>
      </c>
      <c r="BP150" s="88">
        <f t="shared" si="2318"/>
        <v>0</v>
      </c>
      <c r="BQ150" s="85">
        <f t="shared" si="2319"/>
        <v>0</v>
      </c>
      <c r="BR150" s="86">
        <f t="shared" si="2320"/>
        <v>0</v>
      </c>
      <c r="BS150" s="87">
        <f t="shared" si="2321"/>
        <v>0</v>
      </c>
      <c r="BT150" s="87">
        <f t="shared" si="2322"/>
        <v>0</v>
      </c>
      <c r="BU150" s="88">
        <f t="shared" si="2323"/>
        <v>0</v>
      </c>
      <c r="BV150" s="85">
        <f t="shared" si="2324"/>
        <v>0</v>
      </c>
      <c r="BW150" s="86">
        <f t="shared" si="2325"/>
        <v>0</v>
      </c>
      <c r="BX150" s="87">
        <f t="shared" si="2326"/>
        <v>0</v>
      </c>
      <c r="BY150" s="87">
        <f t="shared" si="2327"/>
        <v>0</v>
      </c>
      <c r="BZ150" s="88">
        <f t="shared" si="2328"/>
        <v>0</v>
      </c>
      <c r="CA150" s="85">
        <f t="shared" si="2329"/>
        <v>0</v>
      </c>
      <c r="CB150" s="86">
        <f t="shared" si="2269"/>
        <v>0</v>
      </c>
      <c r="CC150" s="87">
        <f t="shared" si="2270"/>
        <v>0</v>
      </c>
      <c r="CD150" s="87">
        <f t="shared" si="2271"/>
        <v>0</v>
      </c>
      <c r="CE150" s="88">
        <f t="shared" si="2272"/>
        <v>0</v>
      </c>
      <c r="CF150" s="85">
        <f t="shared" si="2273"/>
        <v>0</v>
      </c>
      <c r="CG150" s="86">
        <f t="shared" si="2274"/>
        <v>0</v>
      </c>
      <c r="CH150" s="87">
        <f t="shared" si="2275"/>
        <v>0</v>
      </c>
      <c r="CI150" s="87">
        <f t="shared" si="2276"/>
        <v>0</v>
      </c>
      <c r="CJ150" s="88">
        <f t="shared" si="2277"/>
        <v>0</v>
      </c>
      <c r="CK150" s="85">
        <f t="shared" si="2278"/>
        <v>0</v>
      </c>
      <c r="CL150" s="86">
        <f t="shared" si="2279"/>
        <v>0</v>
      </c>
      <c r="CM150" s="87">
        <f t="shared" si="2280"/>
        <v>0</v>
      </c>
      <c r="CN150" s="87">
        <f t="shared" si="2281"/>
        <v>0</v>
      </c>
      <c r="CO150" s="88">
        <f t="shared" si="2282"/>
        <v>0</v>
      </c>
      <c r="CP150" s="85">
        <f t="shared" si="2283"/>
        <v>0</v>
      </c>
      <c r="CQ150" s="86">
        <f t="shared" si="2284"/>
        <v>0</v>
      </c>
      <c r="CR150" s="87">
        <f t="shared" si="2285"/>
        <v>0</v>
      </c>
      <c r="CS150" s="87">
        <f t="shared" si="2286"/>
        <v>0</v>
      </c>
      <c r="CT150" s="88">
        <f t="shared" si="2287"/>
        <v>0</v>
      </c>
      <c r="CU150" s="85">
        <f t="shared" si="2288"/>
        <v>0</v>
      </c>
      <c r="CV150" s="86">
        <f t="shared" si="2289"/>
        <v>0</v>
      </c>
      <c r="CW150" s="87">
        <f t="shared" si="2290"/>
        <v>0</v>
      </c>
      <c r="CX150" s="87">
        <f t="shared" si="2291"/>
        <v>0</v>
      </c>
      <c r="CY150" s="88">
        <f t="shared" si="2292"/>
        <v>0</v>
      </c>
      <c r="CZ150" s="85">
        <f t="shared" si="2293"/>
        <v>0</v>
      </c>
    </row>
    <row r="151" spans="1:104" ht="12.75" customHeight="1">
      <c r="A151" s="4"/>
      <c r="B151" s="4"/>
      <c r="C151" s="145" t="s">
        <v>979</v>
      </c>
      <c r="D151" s="2114"/>
      <c r="E151" s="2115">
        <f t="shared" ref="E151:E159" si="2330">IF(F151=0,G151,F151)</f>
        <v>300</v>
      </c>
      <c r="F151" s="2313">
        <v>300</v>
      </c>
      <c r="G151" s="1511">
        <v>300</v>
      </c>
      <c r="H151" s="1334">
        <v>2019</v>
      </c>
      <c r="I151" s="325">
        <v>2.1499999999999998E-2</v>
      </c>
      <c r="J151" s="1334">
        <v>1</v>
      </c>
      <c r="K151" s="80"/>
      <c r="L151" s="81"/>
      <c r="M151" s="82"/>
      <c r="N151" s="83"/>
      <c r="O151" s="83"/>
      <c r="P151" s="84"/>
      <c r="Q151" s="81"/>
      <c r="R151" s="82"/>
      <c r="S151" s="83"/>
      <c r="T151" s="83"/>
      <c r="U151" s="84"/>
      <c r="V151" s="81"/>
      <c r="W151" s="82"/>
      <c r="X151" s="83"/>
      <c r="Y151" s="83"/>
      <c r="Z151" s="84"/>
      <c r="AA151" s="81"/>
      <c r="AB151" s="82"/>
      <c r="AC151" s="83"/>
      <c r="AD151" s="83"/>
      <c r="AE151" s="84"/>
      <c r="AF151" s="81"/>
      <c r="AG151" s="82"/>
      <c r="AH151" s="83"/>
      <c r="AI151" s="83"/>
      <c r="AJ151" s="84"/>
      <c r="AK151" s="81"/>
      <c r="AL151" s="82"/>
      <c r="AM151" s="83"/>
      <c r="AN151" s="83"/>
      <c r="AO151" s="84"/>
      <c r="AP151" s="81"/>
      <c r="AQ151" s="82"/>
      <c r="AR151" s="83"/>
      <c r="AS151" s="83"/>
      <c r="AT151" s="84"/>
      <c r="AU151" s="81"/>
      <c r="AV151" s="82"/>
      <c r="AW151" s="83"/>
      <c r="AX151" s="83"/>
      <c r="AY151" s="84"/>
      <c r="AZ151" s="81"/>
      <c r="BA151" s="82"/>
      <c r="BB151" s="83"/>
      <c r="BC151" s="83"/>
      <c r="BD151" s="84"/>
      <c r="BE151" s="81"/>
      <c r="BF151" s="1877"/>
      <c r="BG151" s="2005"/>
      <c r="BH151" s="86"/>
      <c r="BI151" s="87"/>
      <c r="BJ151" s="87"/>
      <c r="BK151" s="88"/>
      <c r="BL151" s="85"/>
      <c r="BM151" s="86"/>
      <c r="BN151" s="87"/>
      <c r="BO151" s="87"/>
      <c r="BP151" s="88"/>
      <c r="BQ151" s="85"/>
      <c r="BR151" s="86"/>
      <c r="BS151" s="87"/>
      <c r="BT151" s="87"/>
      <c r="BU151" s="88"/>
      <c r="BV151" s="85"/>
      <c r="BW151" s="86"/>
      <c r="BX151" s="87"/>
      <c r="BY151" s="87"/>
      <c r="BZ151" s="88"/>
      <c r="CA151" s="85"/>
      <c r="CB151" s="86"/>
      <c r="CC151" s="87"/>
      <c r="CD151" s="87"/>
      <c r="CE151" s="88"/>
      <c r="CF151" s="85"/>
      <c r="CG151" s="86"/>
      <c r="CH151" s="87"/>
      <c r="CI151" s="87"/>
      <c r="CJ151" s="88"/>
      <c r="CK151" s="85"/>
      <c r="CL151" s="86"/>
      <c r="CM151" s="87"/>
      <c r="CN151" s="87"/>
      <c r="CO151" s="88"/>
      <c r="CP151" s="85"/>
      <c r="CQ151" s="86"/>
      <c r="CR151" s="87"/>
      <c r="CS151" s="87"/>
      <c r="CT151" s="88"/>
      <c r="CU151" s="85"/>
      <c r="CV151" s="86"/>
      <c r="CW151" s="87"/>
      <c r="CX151" s="87"/>
      <c r="CY151" s="88"/>
      <c r="CZ151" s="85"/>
    </row>
    <row r="152" spans="1:104" ht="12.75" customHeight="1">
      <c r="A152" s="4"/>
      <c r="B152" s="4"/>
      <c r="C152" s="1999" t="s">
        <v>1347</v>
      </c>
      <c r="D152" s="2114"/>
      <c r="E152" s="2115">
        <f t="shared" si="2330"/>
        <v>350</v>
      </c>
      <c r="F152" s="2313">
        <v>350</v>
      </c>
      <c r="G152" s="1511">
        <v>350</v>
      </c>
      <c r="H152" s="1334">
        <v>2044</v>
      </c>
      <c r="I152" s="325">
        <v>4.7E-2</v>
      </c>
      <c r="J152" s="1334">
        <v>1</v>
      </c>
      <c r="K152" s="80"/>
      <c r="L152" s="81">
        <f t="shared" si="2155"/>
        <v>0</v>
      </c>
      <c r="M152" s="82">
        <f t="shared" ref="M152:M160" si="2331">IF(Q152=0,0,IF(Q152&lt;0,IF($J152=3,Q152,IF($J152=2,Q152,IF($J152=1,Q152,0)))))</f>
        <v>0</v>
      </c>
      <c r="N152" s="83">
        <f t="shared" ref="N152:N160" si="2332">IF(Q152=0,0,IF(Q152&lt;0,IF($J152=6,Q152,IF($J152=5,Q152,IF($J152=4,Q152,0)))))</f>
        <v>0</v>
      </c>
      <c r="O152" s="83">
        <f t="shared" ref="O152:O160" si="2333">IF(Q152=0,0,IF(Q152&lt;0,IF($J152=9,Q152,IF($J152=8,Q152,IF($J152=7,Q152,0)))))</f>
        <v>0</v>
      </c>
      <c r="P152" s="84">
        <f t="shared" ref="P152:P160" si="2334">IF(Q152=0,0,IF(Q152&lt;0,IF($J152=12,Q152,IF($J152=11,Q152,IF($J152=10,Q152,0)))))</f>
        <v>0</v>
      </c>
      <c r="Q152" s="81">
        <f t="shared" si="2160"/>
        <v>0</v>
      </c>
      <c r="R152" s="82">
        <f t="shared" ref="R152:R160" si="2335">IF(V152=0,0,IF(V152&lt;0,IF($J152=3,V152,IF($J152=2,V152,IF($J152=1,V152,0)))))</f>
        <v>0</v>
      </c>
      <c r="S152" s="83">
        <f t="shared" ref="S152:S160" si="2336">IF(V152=0,0,IF(V152&lt;0,IF($J152=6,V152,IF($J152=5,V152,IF($J152=4,V152,0)))))</f>
        <v>0</v>
      </c>
      <c r="T152" s="83">
        <f t="shared" ref="T152:T160" si="2337">IF(V152=0,0,IF(V152&lt;0,IF($J152=9,V152,IF($J152=8,V152,IF($J152=7,V152,0)))))</f>
        <v>0</v>
      </c>
      <c r="U152" s="84">
        <f t="shared" ref="U152:U160" si="2338">IF(V152=0,0,IF(V152&lt;0,IF($J152=12,V152,IF($J152=11,V152,IF($J152=10,V152,0)))))</f>
        <v>0</v>
      </c>
      <c r="V152" s="81">
        <f t="shared" si="2165"/>
        <v>0</v>
      </c>
      <c r="W152" s="82">
        <f t="shared" ref="W152:W160" si="2339">IF(AA152=0,0,IF(AA152&lt;0,IF($J152=3,AA152,IF($J152=2,AA152,IF($J152=1,AA152,0)))))</f>
        <v>0</v>
      </c>
      <c r="X152" s="83">
        <f t="shared" ref="X152:X160" si="2340">IF(AA152=0,0,IF(AA152&lt;0,IF($J152=6,AA152,IF($J152=5,AA152,IF($J152=4,AA152,0)))))</f>
        <v>0</v>
      </c>
      <c r="Y152" s="83">
        <f t="shared" ref="Y152:Y160" si="2341">IF(AA152=0,0,IF(AA152&lt;0,IF($J152=9,AA152,IF($J152=8,AA152,IF($J152=7,AA152,0)))))</f>
        <v>0</v>
      </c>
      <c r="Z152" s="84">
        <f t="shared" ref="Z152:Z160" si="2342">IF(AA152=0,0,IF(AA152&lt;0,IF($J152=12,AA152,IF($J152=11,AA152,IF($J152=10,AA152,0)))))</f>
        <v>0</v>
      </c>
      <c r="AA152" s="81">
        <f t="shared" si="2170"/>
        <v>0</v>
      </c>
      <c r="AB152" s="82">
        <f t="shared" ref="AB152:AB160" si="2343">IF(AF152=0,0,IF(AF152&lt;0,IF($J152=3,AF152,IF($J152=2,AF152,IF($J152=1,AF152,0)))))</f>
        <v>0</v>
      </c>
      <c r="AC152" s="83">
        <f t="shared" ref="AC152:AC160" si="2344">IF(AF152=0,0,IF(AF152&lt;0,IF($J152=6,AF152,IF($J152=5,AF152,IF($J152=4,AF152,0)))))</f>
        <v>0</v>
      </c>
      <c r="AD152" s="83">
        <f t="shared" ref="AD152:AD160" si="2345">IF(AF152=0,0,IF(AF152&lt;0,IF($J152=9,AF152,IF($J152=8,AF152,IF($J152=7,AF152,0)))))</f>
        <v>0</v>
      </c>
      <c r="AE152" s="84">
        <f t="shared" ref="AE152:AE160" si="2346">IF(AF152=0,0,IF(AF152&lt;0,IF($J152=12,AF152,IF($J152=11,AF152,IF($J152=10,AF152,0)))))</f>
        <v>0</v>
      </c>
      <c r="AF152" s="81">
        <f t="shared" si="2175"/>
        <v>0</v>
      </c>
      <c r="AG152" s="82">
        <f t="shared" ref="AG152:AG160" si="2347">IF(AK152=0,0,IF(AK152&lt;0,IF($J152=3,AK152,IF($J152=2,AK152,IF($J152=1,AK152,0)))))</f>
        <v>0</v>
      </c>
      <c r="AH152" s="83">
        <f t="shared" ref="AH152:AH160" si="2348">IF(AK152=0,0,IF(AK152&lt;0,IF($J152=6,AK152,IF($J152=5,AK152,IF($J152=4,AK152,0)))))</f>
        <v>0</v>
      </c>
      <c r="AI152" s="83">
        <f t="shared" ref="AI152:AI160" si="2349">IF(AK152=0,0,IF(AK152&lt;0,IF($J152=9,AK152,IF($J152=8,AK152,IF($J152=7,AK152,0)))))</f>
        <v>0</v>
      </c>
      <c r="AJ152" s="84">
        <f t="shared" ref="AJ152:AJ160" si="2350">IF(AK152=0,0,IF(AK152&lt;0,IF($J152=12,AK152,IF($J152=11,AK152,IF($J152=10,AK152,0)))))</f>
        <v>0</v>
      </c>
      <c r="AK152" s="81">
        <f t="shared" si="2180"/>
        <v>0</v>
      </c>
      <c r="AL152" s="82">
        <f t="shared" ref="AL152:AL160" si="2351">IF(AP152=0,0,IF(AP152&lt;0,IF($J152=3,AP152,IF($J152=2,AP152,IF($J152=1,AP152,0)))))</f>
        <v>0</v>
      </c>
      <c r="AM152" s="83">
        <f t="shared" ref="AM152:AM160" si="2352">IF(AP152=0,0,IF(AP152&lt;0,IF($J152=6,AP152,IF($J152=5,AP152,IF($J152=4,AP152,0)))))</f>
        <v>0</v>
      </c>
      <c r="AN152" s="83">
        <f t="shared" ref="AN152:AN160" si="2353">IF(AP152=0,0,IF(AP152&lt;0,IF($J152=9,AP152,IF($J152=8,AP152,IF($J152=7,AP152,0)))))</f>
        <v>0</v>
      </c>
      <c r="AO152" s="84">
        <f t="shared" ref="AO152:AO160" si="2354">IF(AP152=0,0,IF(AP152&lt;0,IF($J152=12,AP152,IF($J152=11,AP152,IF($J152=10,AP152,0)))))</f>
        <v>0</v>
      </c>
      <c r="AP152" s="81">
        <f t="shared" si="2185"/>
        <v>0</v>
      </c>
      <c r="AQ152" s="82">
        <f t="shared" ref="AQ152:AQ160" si="2355">IF(AU152=0,0,IF(AU152&lt;0,IF($J152=3,AU152,IF($J152=2,AU152,IF($J152=1,AU152,0)))))</f>
        <v>0</v>
      </c>
      <c r="AR152" s="83">
        <f t="shared" ref="AR152:AR160" si="2356">IF(AU152=0,0,IF(AU152&lt;0,IF($J152=6,AU152,IF($J152=5,AU152,IF($J152=4,AU152,0)))))</f>
        <v>0</v>
      </c>
      <c r="AS152" s="83">
        <f t="shared" ref="AS152:AS160" si="2357">IF(AU152=0,0,IF(AU152&lt;0,IF($J152=9,AU152,IF($J152=8,AU152,IF($J152=7,AU152,0)))))</f>
        <v>0</v>
      </c>
      <c r="AT152" s="84">
        <f t="shared" ref="AT152:AT160" si="2358">IF(AU152=0,0,IF(AU152&lt;0,IF($J152=12,AU152,IF($J152=11,AU152,IF($J152=10,AU152,0)))))</f>
        <v>0</v>
      </c>
      <c r="AU152" s="81">
        <f t="shared" si="2190"/>
        <v>0</v>
      </c>
      <c r="AV152" s="82">
        <f t="shared" ref="AV152:AV160" si="2359">IF(AZ152=0,0,IF(AZ152&lt;0,IF($J152=3,AZ152,IF($J152=2,AZ152,IF($J152=1,AZ152,0)))))</f>
        <v>0</v>
      </c>
      <c r="AW152" s="83">
        <f t="shared" ref="AW152:AW160" si="2360">IF(AZ152=0,0,IF(AZ152&lt;0,IF($J152=6,AZ152,IF($J152=5,AZ152,IF($J152=4,AZ152,0)))))</f>
        <v>0</v>
      </c>
      <c r="AX152" s="83">
        <f t="shared" ref="AX152:AX160" si="2361">IF(AZ152=0,0,IF(AZ152&lt;0,IF($J152=9,AZ152,IF($J152=8,AZ152,IF($J152=7,AZ152,0)))))</f>
        <v>0</v>
      </c>
      <c r="AY152" s="84">
        <f t="shared" ref="AY152:AY160" si="2362">IF(AZ152=0,0,IF(AZ152&lt;0,IF($J152=12,AZ152,IF($J152=11,AZ152,IF($J152=10,AZ152,0)))))</f>
        <v>0</v>
      </c>
      <c r="AZ152" s="81">
        <f t="shared" si="2195"/>
        <v>0</v>
      </c>
      <c r="BA152" s="82">
        <f t="shared" ref="BA152:BA160" si="2363">IF(BE152=0,0,IF(BE152&lt;0,IF($J152=3,BE152,IF($J152=2,BE152,IF($J152=1,BE152,0)))))</f>
        <v>0</v>
      </c>
      <c r="BB152" s="83">
        <f t="shared" ref="BB152:BB160" si="2364">IF(BE152=0,0,IF(BE152&lt;0,IF($J152=6,BE152,IF($J152=5,BE152,IF($J152=4,BE152,0)))))</f>
        <v>0</v>
      </c>
      <c r="BC152" s="83">
        <f t="shared" ref="BC152:BC160" si="2365">IF(BE152=0,0,IF(BE152&lt;0,IF($J152=9,BE152,IF($J152=8,BE152,IF($J152=7,BE152,0)))))</f>
        <v>0</v>
      </c>
      <c r="BD152" s="84">
        <f t="shared" ref="BD152:BD160" si="2366">IF(BE152=0,0,IF(BE152&lt;0,IF($J152=12,BE152,IF($J152=11,BE152,IF($J152=10,BE152,0)))))</f>
        <v>0</v>
      </c>
      <c r="BE152" s="81">
        <f t="shared" si="2200"/>
        <v>0</v>
      </c>
      <c r="BF152" s="1877"/>
      <c r="BG152" s="2005">
        <f t="shared" ref="BG152:BG160" si="2367">IF(AND(BF152&lt;&gt;0,BF$5=$H152),-$I152*$E152-BF152,IF(BG$5=$H152,-$I152*$E152*(12-$J152+1)/12,0))</f>
        <v>0</v>
      </c>
      <c r="BH152" s="86">
        <f t="shared" ref="BH152:BH160" si="2368">IF($H152&lt;&gt;BL$5,0,IF(BL152&lt;0,IF($J152=1,-$E152*$I152/12*3,IF($J152=2,-$E152*$I152/12*2,IF($J152=3,-$E152*$I152/12*1,0)))))+IF(BG$5&lt;&gt;$H152,0,IF(BG152&lt;0,IF($J152=1,-$E152*$I152/12*0,IF($J152=2,-$E152*$I152/12*1,IF($J152=3,-$E152*$I152/12*2,IF($J152&gt;=4,-$E152*$I152/12*3,0))))))</f>
        <v>0</v>
      </c>
      <c r="BI152" s="87">
        <f t="shared" ref="BI152:BI160" si="2369">IF($H152&lt;&gt;BL$5,0,IF(BL152&lt;0,IF(OR($J152=1,$J152=2,$J152=3,$J152=4),-$E152*$I152/12*3,IF($J152=5,-$E152*$I152/12*2,IF($J152=6,-$E152*$I152/12*1,0)))))+IF(BG$5&lt;&gt;$H152,0,IF(BG152&lt;0,IF($J152=4,-$E152*$I152/12*0,IF($J152=5,-$E152*$I152/12*1,IF($J152=6,-$E152*$I152/12*2,IF($J152&gt;=7,-$E152*$I152/12*3,0))))))</f>
        <v>0</v>
      </c>
      <c r="BJ152" s="87">
        <f t="shared" ref="BJ152:BJ160" si="2370">IF($H152&lt;&gt;BL$5,0,IF(BL152&lt;0,IF(OR($J152=1,$J152=2,$J152=3,$J152=4,$J152=5,$J152=6,$J152=7),-$E152*$I152/12*3,IF($J152=8,-$E152*$I152/12*2,IF($J152=9,-$E152*$I152/12*1,0)))))+IF(BG$5&lt;&gt;$H152,0,IF(BG152&lt;0,IF($J152=7,-$E152*$I152/12*0,IF($J152=8,-$E152*$I152/12*1,IF($J152=9,-$E152*$I152/12*2,IF($J152&gt;=10,-$E152*$I152/12*3,0))))))</f>
        <v>0</v>
      </c>
      <c r="BK152" s="88">
        <f t="shared" ref="BK152:BK160" si="2371">IF($H152&lt;&gt;BL$5,0,IF(BL152&lt;0,IF(OR($J152=1,$J152=2,$J152=3,$J152=4,$J152=5,$J152=6,$J152=7,$J152=8,$J152=9,$J152=10),-$E152*$I152/12*3,IF($J152=11,-$E152*$I152/12*2,IF($J152=12,-$E152*$I152/12*1,0)))))+IF(BG$5&lt;&gt;$H152,0,IF(BG152&lt;0,IF($J152=10,-$E152*$I152/12*0,IF($J152=11,-$E152*$I152/12*1,IF($J152=12,-$E152*$I152/12*2,0)))))</f>
        <v>0</v>
      </c>
      <c r="BL152" s="85">
        <f t="shared" ref="BL152:BL160" si="2372">IF(AND(BG152&lt;&gt;0,BG$5=$H152),-$I152*$E152-BG152,IF(BL$5=$H152,-$I152*$E152*(12-$J152+1)/12,0))</f>
        <v>0</v>
      </c>
      <c r="BM152" s="86">
        <f t="shared" ref="BM152:BM160" si="2373">IF($H152&lt;&gt;BQ$5,0,IF(BQ152&lt;0,IF($J152=1,-$E152*$I152/12*3,IF($J152=2,-$E152*$I152/12*2,IF($J152=3,-$E152*$I152/12*1,0)))))+IF(BL$5&lt;&gt;$H152,0,IF(BL152&lt;0,IF($J152=1,-$E152*$I152/12*0,IF($J152=2,-$E152*$I152/12*1,IF($J152=3,-$E152*$I152/12*2,IF($J152&gt;=4,-$E152*$I152/12*3,0))))))</f>
        <v>0</v>
      </c>
      <c r="BN152" s="87">
        <f t="shared" ref="BN152:BN160" si="2374">IF($H152&lt;&gt;BQ$5,0,IF(BQ152&lt;0,IF(OR($J152=1,$J152=2,$J152=3,$J152=4),-$E152*$I152/12*3,IF($J152=5,-$E152*$I152/12*2,IF($J152=6,-$E152*$I152/12*1,0)))))+IF(BL$5&lt;&gt;$H152,0,IF(BL152&lt;0,IF($J152=4,-$E152*$I152/12*0,IF($J152=5,-$E152*$I152/12*1,IF($J152=6,-$E152*$I152/12*2,IF($J152&gt;=7,-$E152*$I152/12*3,0))))))</f>
        <v>0</v>
      </c>
      <c r="BO152" s="87">
        <f t="shared" ref="BO152:BO160" si="2375">IF($H152&lt;&gt;BQ$5,0,IF(BQ152&lt;0,IF(OR($J152=1,$J152=2,$J152=3,$J152=4,$J152=5,$J152=6,$J152=7),-$E152*$I152/12*3,IF($J152=8,-$E152*$I152/12*2,IF($J152=9,-$E152*$I152/12*1,0)))))+IF(BL$5&lt;&gt;$H152,0,IF(BL152&lt;0,IF($J152=7,-$E152*$I152/12*0,IF($J152=8,-$E152*$I152/12*1,IF($J152=9,-$E152*$I152/12*2,IF($J152&gt;=10,-$E152*$I152/12*3,0))))))</f>
        <v>0</v>
      </c>
      <c r="BP152" s="88">
        <f t="shared" ref="BP152:BP160" si="2376">IF($H152&lt;&gt;BQ$5,0,IF(BQ152&lt;0,IF(OR($J152=1,$J152=2,$J152=3,$J152=4,$J152=5,$J152=6,$J152=7,$J152=8,$J152=9,$J152=10),-$E152*$I152/12*3,IF($J152=11,-$E152*$I152/12*2,IF($J152=12,-$E152*$I152/12*1,0)))))+IF(BL$5&lt;&gt;$H152,0,IF(BL152&lt;0,IF($J152=10,-$E152*$I152/12*0,IF($J152=11,-$E152*$I152/12*1,IF($J152=12,-$E152*$I152/12*2,0)))))</f>
        <v>0</v>
      </c>
      <c r="BQ152" s="85">
        <f t="shared" ref="BQ152:BQ160" si="2377">IF(AND(BL152&lt;&gt;0,BL$5=$H152),-$I152*$E152-BL152,IF(BQ$5=$H152,-$I152*$E152*(12-$J152+1)/12,0))</f>
        <v>0</v>
      </c>
      <c r="BR152" s="86">
        <f t="shared" ref="BR152:BR160" si="2378">IF($H152&lt;&gt;BV$5,0,IF(BV152&lt;0,IF($J152=1,-$E152*$I152/12*3,IF($J152=2,-$E152*$I152/12*2,IF($J152=3,-$E152*$I152/12*1,0)))))+IF(BQ$5&lt;&gt;$H152,0,IF(BQ152&lt;0,IF($J152=1,-$E152*$I152/12*0,IF($J152=2,-$E152*$I152/12*1,IF($J152=3,-$E152*$I152/12*2,IF($J152&gt;=4,-$E152*$I152/12*3,0))))))</f>
        <v>0</v>
      </c>
      <c r="BS152" s="87">
        <f t="shared" ref="BS152:BS160" si="2379">IF($H152&lt;&gt;BV$5,0,IF(BV152&lt;0,IF(OR($J152=1,$J152=2,$J152=3,$J152=4),-$E152*$I152/12*3,IF($J152=5,-$E152*$I152/12*2,IF($J152=6,-$E152*$I152/12*1,0)))))+IF(BQ$5&lt;&gt;$H152,0,IF(BQ152&lt;0,IF($J152=4,-$E152*$I152/12*0,IF($J152=5,-$E152*$I152/12*1,IF($J152=6,-$E152*$I152/12*2,IF($J152&gt;=7,-$E152*$I152/12*3,0))))))</f>
        <v>0</v>
      </c>
      <c r="BT152" s="87">
        <f t="shared" ref="BT152:BT160" si="2380">IF($H152&lt;&gt;BV$5,0,IF(BV152&lt;0,IF(OR($J152=1,$J152=2,$J152=3,$J152=4,$J152=5,$J152=6,$J152=7),-$E152*$I152/12*3,IF($J152=8,-$E152*$I152/12*2,IF($J152=9,-$E152*$I152/12*1,0)))))+IF(BQ$5&lt;&gt;$H152,0,IF(BQ152&lt;0,IF($J152=7,-$E152*$I152/12*0,IF($J152=8,-$E152*$I152/12*1,IF($J152=9,-$E152*$I152/12*2,IF($J152&gt;=10,-$E152*$I152/12*3,0))))))</f>
        <v>0</v>
      </c>
      <c r="BU152" s="88">
        <f t="shared" ref="BU152:BU160" si="2381">IF($H152&lt;&gt;BV$5,0,IF(BV152&lt;0,IF(OR($J152=1,$J152=2,$J152=3,$J152=4,$J152=5,$J152=6,$J152=7,$J152=8,$J152=9,$J152=10),-$E152*$I152/12*3,IF($J152=11,-$E152*$I152/12*2,IF($J152=12,-$E152*$I152/12*1,0)))))+IF(BQ$5&lt;&gt;$H152,0,IF(BQ152&lt;0,IF($J152=10,-$E152*$I152/12*0,IF($J152=11,-$E152*$I152/12*1,IF($J152=12,-$E152*$I152/12*2,0)))))</f>
        <v>0</v>
      </c>
      <c r="BV152" s="85">
        <f t="shared" ref="BV152:BV160" si="2382">IF(AND(BQ152&lt;&gt;0,BQ$5=$H152),-$I152*$E152-BQ152,IF(BV$5=$H152,-$I152*$E152*(12-$J152+1)/12,0))</f>
        <v>0</v>
      </c>
      <c r="BW152" s="86">
        <f t="shared" ref="BW152:BW160" si="2383">IF($H152&lt;&gt;CA$5,0,IF(CA152&lt;0,IF($J152=1,-$E152*$I152/12*3,IF($J152=2,-$E152*$I152/12*2,IF($J152=3,-$E152*$I152/12*1,0)))))+IF(BV$5&lt;&gt;$H152,0,IF(BV152&lt;0,IF($J152=1,-$E152*$I152/12*0,IF($J152=2,-$E152*$I152/12*1,IF($J152=3,-$E152*$I152/12*2,IF($J152&gt;=4,-$E152*$I152/12*3,0))))))</f>
        <v>0</v>
      </c>
      <c r="BX152" s="87">
        <f t="shared" ref="BX152:BX160" si="2384">IF($H152&lt;&gt;CA$5,0,IF(CA152&lt;0,IF(OR($J152=1,$J152=2,$J152=3,$J152=4),-$E152*$I152/12*3,IF($J152=5,-$E152*$I152/12*2,IF($J152=6,-$E152*$I152/12*1,0)))))+IF(BV$5&lt;&gt;$H152,0,IF(BV152&lt;0,IF($J152=4,-$E152*$I152/12*0,IF($J152=5,-$E152*$I152/12*1,IF($J152=6,-$E152*$I152/12*2,IF($J152&gt;=7,-$E152*$I152/12*3,0))))))</f>
        <v>0</v>
      </c>
      <c r="BY152" s="87">
        <f t="shared" ref="BY152:BY160" si="2385">IF($H152&lt;&gt;CA$5,0,IF(CA152&lt;0,IF(OR($J152=1,$J152=2,$J152=3,$J152=4,$J152=5,$J152=6,$J152=7),-$E152*$I152/12*3,IF($J152=8,-$E152*$I152/12*2,IF($J152=9,-$E152*$I152/12*1,0)))))+IF(BV$5&lt;&gt;$H152,0,IF(BV152&lt;0,IF($J152=7,-$E152*$I152/12*0,IF($J152=8,-$E152*$I152/12*1,IF($J152=9,-$E152*$I152/12*2,IF($J152&gt;=10,-$E152*$I152/12*3,0))))))</f>
        <v>0</v>
      </c>
      <c r="BZ152" s="88">
        <f t="shared" ref="BZ152:BZ160" si="2386">IF($H152&lt;&gt;CA$5,0,IF(CA152&lt;0,IF(OR($J152=1,$J152=2,$J152=3,$J152=4,$J152=5,$J152=6,$J152=7,$J152=8,$J152=9,$J152=10),-$E152*$I152/12*3,IF($J152=11,-$E152*$I152/12*2,IF($J152=12,-$E152*$I152/12*1,0)))))+IF(BV$5&lt;&gt;$H152,0,IF(BV152&lt;0,IF($J152=10,-$E152*$I152/12*0,IF($J152=11,-$E152*$I152/12*1,IF($J152=12,-$E152*$I152/12*2,0)))))</f>
        <v>0</v>
      </c>
      <c r="CA152" s="85">
        <f t="shared" ref="CA152:CA160" si="2387">IF(AND(BV152&lt;&gt;0,BV$5=$H152),-$I152*$E152-BV152,IF(CA$5=$H152,-$I152*$E152*(12-$J152+1)/12,0))</f>
        <v>0</v>
      </c>
      <c r="CB152" s="86">
        <f t="shared" ref="CB152:CB160" si="2388">IF($H152&lt;&gt;CF$5,0,IF(CF152&lt;0,IF($J152=1,-$E152*$I152/12*3,IF($J152=2,-$E152*$I152/12*2,IF($J152=3,-$E152*$I152/12*1,0)))))+IF(CA$5&lt;&gt;$H152,0,IF(CA152&lt;0,IF($J152=1,-$E152*$I152/12*0,IF($J152=2,-$E152*$I152/12*1,IF($J152=3,-$E152*$I152/12*2,IF($J152&gt;=4,-$E152*$I152/12*3,0))))))</f>
        <v>0</v>
      </c>
      <c r="CC152" s="87">
        <f t="shared" ref="CC152:CC160" si="2389">IF($H152&lt;&gt;CF$5,0,IF(CF152&lt;0,IF(OR($J152=1,$J152=2,$J152=3,$J152=4),-$E152*$I152/12*3,IF($J152=5,-$E152*$I152/12*2,IF($J152=6,-$E152*$I152/12*1,0)))))+IF(CA$5&lt;&gt;$H152,0,IF(CA152&lt;0,IF($J152=4,-$E152*$I152/12*0,IF($J152=5,-$E152*$I152/12*1,IF($J152=6,-$E152*$I152/12*2,IF($J152&gt;=7,-$E152*$I152/12*3,0))))))</f>
        <v>0</v>
      </c>
      <c r="CD152" s="87">
        <f t="shared" ref="CD152:CD160" si="2390">IF($H152&lt;&gt;CF$5,0,IF(CF152&lt;0,IF(OR($J152=1,$J152=2,$J152=3,$J152=4,$J152=5,$J152=6,$J152=7),-$E152*$I152/12*3,IF($J152=8,-$E152*$I152/12*2,IF($J152=9,-$E152*$I152/12*1,0)))))+IF(CA$5&lt;&gt;$H152,0,IF(CA152&lt;0,IF($J152=7,-$E152*$I152/12*0,IF($J152=8,-$E152*$I152/12*1,IF($J152=9,-$E152*$I152/12*2,IF($J152&gt;=10,-$E152*$I152/12*3,0))))))</f>
        <v>0</v>
      </c>
      <c r="CE152" s="88">
        <f t="shared" ref="CE152:CE160" si="2391">IF($H152&lt;&gt;CF$5,0,IF(CF152&lt;0,IF(OR($J152=1,$J152=2,$J152=3,$J152=4,$J152=5,$J152=6,$J152=7,$J152=8,$J152=9,$J152=10),-$E152*$I152/12*3,IF($J152=11,-$E152*$I152/12*2,IF($J152=12,-$E152*$I152/12*1,0)))))+IF(CA$5&lt;&gt;$H152,0,IF(CA152&lt;0,IF($J152=10,-$E152*$I152/12*0,IF($J152=11,-$E152*$I152/12*1,IF($J152=12,-$E152*$I152/12*2,0)))))</f>
        <v>0</v>
      </c>
      <c r="CF152" s="85">
        <f t="shared" ref="CF152:CF160" si="2392">IF(AND(CA152&lt;&gt;0,CA$5=$H152),-$I152*$E152-CA152,IF(CF$5=$H152,-$I152*$E152*(12-$J152+1)/12,0))</f>
        <v>0</v>
      </c>
      <c r="CG152" s="86">
        <f t="shared" ref="CG152:CG160" si="2393">IF($H152&lt;&gt;CK$5,0,IF(CK152&lt;0,IF($J152=1,-$E152*$I152/12*3,IF($J152=2,-$E152*$I152/12*2,IF($J152=3,-$E152*$I152/12*1,0)))))+IF(CF$5&lt;&gt;$H152,0,IF(CF152&lt;0,IF($J152=1,-$E152*$I152/12*0,IF($J152=2,-$E152*$I152/12*1,IF($J152=3,-$E152*$I152/12*2,IF($J152&gt;=4,-$E152*$I152/12*3,0))))))</f>
        <v>0</v>
      </c>
      <c r="CH152" s="87">
        <f t="shared" ref="CH152:CH160" si="2394">IF($H152&lt;&gt;CK$5,0,IF(CK152&lt;0,IF(OR($J152=1,$J152=2,$J152=3,$J152=4),-$E152*$I152/12*3,IF($J152=5,-$E152*$I152/12*2,IF($J152=6,-$E152*$I152/12*1,0)))))+IF(CF$5&lt;&gt;$H152,0,IF(CF152&lt;0,IF($J152=4,-$E152*$I152/12*0,IF($J152=5,-$E152*$I152/12*1,IF($J152=6,-$E152*$I152/12*2,IF($J152&gt;=7,-$E152*$I152/12*3,0))))))</f>
        <v>0</v>
      </c>
      <c r="CI152" s="87">
        <f t="shared" ref="CI152:CI160" si="2395">IF($H152&lt;&gt;CK$5,0,IF(CK152&lt;0,IF(OR($J152=1,$J152=2,$J152=3,$J152=4,$J152=5,$J152=6,$J152=7),-$E152*$I152/12*3,IF($J152=8,-$E152*$I152/12*2,IF($J152=9,-$E152*$I152/12*1,0)))))+IF(CF$5&lt;&gt;$H152,0,IF(CF152&lt;0,IF($J152=7,-$E152*$I152/12*0,IF($J152=8,-$E152*$I152/12*1,IF($J152=9,-$E152*$I152/12*2,IF($J152&gt;=10,-$E152*$I152/12*3,0))))))</f>
        <v>0</v>
      </c>
      <c r="CJ152" s="88">
        <f t="shared" ref="CJ152:CJ160" si="2396">IF($H152&lt;&gt;CK$5,0,IF(CK152&lt;0,IF(OR($J152=1,$J152=2,$J152=3,$J152=4,$J152=5,$J152=6,$J152=7,$J152=8,$J152=9,$J152=10),-$E152*$I152/12*3,IF($J152=11,-$E152*$I152/12*2,IF($J152=12,-$E152*$I152/12*1,0)))))+IF(CF$5&lt;&gt;$H152,0,IF(CF152&lt;0,IF($J152=10,-$E152*$I152/12*0,IF($J152=11,-$E152*$I152/12*1,IF($J152=12,-$E152*$I152/12*2,0)))))</f>
        <v>0</v>
      </c>
      <c r="CK152" s="85">
        <f t="shared" ref="CK152:CK160" si="2397">IF(AND(CF152&lt;&gt;0,CF$5=$H152),-$I152*$E152-CF152,IF(CK$5=$H152,-$I152*$E152*(12-$J152+1)/12,0))</f>
        <v>0</v>
      </c>
      <c r="CL152" s="86">
        <f t="shared" ref="CL152:CL160" si="2398">IF($H152&lt;&gt;CP$5,0,IF(CP152&lt;0,IF($J152=1,-$E152*$I152/12*3,IF($J152=2,-$E152*$I152/12*2,IF($J152=3,-$E152*$I152/12*1,0)))))+IF(CK$5&lt;&gt;$H152,0,IF(CK152&lt;0,IF($J152=1,-$E152*$I152/12*0,IF($J152=2,-$E152*$I152/12*1,IF($J152=3,-$E152*$I152/12*2,IF($J152&gt;=4,-$E152*$I152/12*3,0))))))</f>
        <v>0</v>
      </c>
      <c r="CM152" s="87">
        <f t="shared" ref="CM152:CM160" si="2399">IF($H152&lt;&gt;CP$5,0,IF(CP152&lt;0,IF(OR($J152=1,$J152=2,$J152=3,$J152=4),-$E152*$I152/12*3,IF($J152=5,-$E152*$I152/12*2,IF($J152=6,-$E152*$I152/12*1,0)))))+IF(CK$5&lt;&gt;$H152,0,IF(CK152&lt;0,IF($J152=4,-$E152*$I152/12*0,IF($J152=5,-$E152*$I152/12*1,IF($J152=6,-$E152*$I152/12*2,IF($J152&gt;=7,-$E152*$I152/12*3,0))))))</f>
        <v>0</v>
      </c>
      <c r="CN152" s="87">
        <f t="shared" ref="CN152:CN160" si="2400">IF($H152&lt;&gt;CP$5,0,IF(CP152&lt;0,IF(OR($J152=1,$J152=2,$J152=3,$J152=4,$J152=5,$J152=6,$J152=7),-$E152*$I152/12*3,IF($J152=8,-$E152*$I152/12*2,IF($J152=9,-$E152*$I152/12*1,0)))))+IF(CK$5&lt;&gt;$H152,0,IF(CK152&lt;0,IF($J152=7,-$E152*$I152/12*0,IF($J152=8,-$E152*$I152/12*1,IF($J152=9,-$E152*$I152/12*2,IF($J152&gt;=10,-$E152*$I152/12*3,0))))))</f>
        <v>0</v>
      </c>
      <c r="CO152" s="88">
        <f t="shared" ref="CO152:CO160" si="2401">IF($H152&lt;&gt;CP$5,0,IF(CP152&lt;0,IF(OR($J152=1,$J152=2,$J152=3,$J152=4,$J152=5,$J152=6,$J152=7,$J152=8,$J152=9,$J152=10),-$E152*$I152/12*3,IF($J152=11,-$E152*$I152/12*2,IF($J152=12,-$E152*$I152/12*1,0)))))+IF(CK$5&lt;&gt;$H152,0,IF(CK152&lt;0,IF($J152=10,-$E152*$I152/12*0,IF($J152=11,-$E152*$I152/12*1,IF($J152=12,-$E152*$I152/12*2,0)))))</f>
        <v>0</v>
      </c>
      <c r="CP152" s="85">
        <f t="shared" ref="CP152:CP160" si="2402">IF(AND(CK152&lt;&gt;0,CK$5=$H152),-$I152*$E152-CK152,IF(CP$5=$H152,-$I152*$E152*(12-$J152+1)/12,0))</f>
        <v>0</v>
      </c>
      <c r="CQ152" s="86">
        <f t="shared" ref="CQ152:CQ160" si="2403">IF($H152&lt;&gt;CU$5,0,IF(CU152&lt;0,IF($J152=1,-$E152*$I152/12*3,IF($J152=2,-$E152*$I152/12*2,IF($J152=3,-$E152*$I152/12*1,0)))))+IF(CP$5&lt;&gt;$H152,0,IF(CP152&lt;0,IF($J152=1,-$E152*$I152/12*0,IF($J152=2,-$E152*$I152/12*1,IF($J152=3,-$E152*$I152/12*2,IF($J152&gt;=4,-$E152*$I152/12*3,0))))))</f>
        <v>0</v>
      </c>
      <c r="CR152" s="87">
        <f t="shared" ref="CR152:CR160" si="2404">IF($H152&lt;&gt;CU$5,0,IF(CU152&lt;0,IF(OR($J152=1,$J152=2,$J152=3,$J152=4),-$E152*$I152/12*3,IF($J152=5,-$E152*$I152/12*2,IF($J152=6,-$E152*$I152/12*1,0)))))+IF(CP$5&lt;&gt;$H152,0,IF(CP152&lt;0,IF($J152=4,-$E152*$I152/12*0,IF($J152=5,-$E152*$I152/12*1,IF($J152=6,-$E152*$I152/12*2,IF($J152&gt;=7,-$E152*$I152/12*3,0))))))</f>
        <v>0</v>
      </c>
      <c r="CS152" s="87">
        <f t="shared" ref="CS152:CS160" si="2405">IF($H152&lt;&gt;CU$5,0,IF(CU152&lt;0,IF(OR($J152=1,$J152=2,$J152=3,$J152=4,$J152=5,$J152=6,$J152=7),-$E152*$I152/12*3,IF($J152=8,-$E152*$I152/12*2,IF($J152=9,-$E152*$I152/12*1,0)))))+IF(CP$5&lt;&gt;$H152,0,IF(CP152&lt;0,IF($J152=7,-$E152*$I152/12*0,IF($J152=8,-$E152*$I152/12*1,IF($J152=9,-$E152*$I152/12*2,IF($J152&gt;=10,-$E152*$I152/12*3,0))))))</f>
        <v>0</v>
      </c>
      <c r="CT152" s="88">
        <f t="shared" ref="CT152:CT160" si="2406">IF($H152&lt;&gt;CU$5,0,IF(CU152&lt;0,IF(OR($J152=1,$J152=2,$J152=3,$J152=4,$J152=5,$J152=6,$J152=7,$J152=8,$J152=9,$J152=10),-$E152*$I152/12*3,IF($J152=11,-$E152*$I152/12*2,IF($J152=12,-$E152*$I152/12*1,0)))))+IF(CP$5&lt;&gt;$H152,0,IF(CP152&lt;0,IF($J152=10,-$E152*$I152/12*0,IF($J152=11,-$E152*$I152/12*1,IF($J152=12,-$E152*$I152/12*2,0)))))</f>
        <v>0</v>
      </c>
      <c r="CU152" s="85">
        <f t="shared" ref="CU152:CU160" si="2407">IF(AND(CP152&lt;&gt;0,CP$5=$H152),-$I152*$E152-CP152,IF(CU$5=$H152,-$I152*$E152*(12-$J152+1)/12,0))</f>
        <v>0</v>
      </c>
      <c r="CV152" s="86">
        <f t="shared" ref="CV152:CV160" si="2408">IF($H152&lt;&gt;CZ$5,0,IF(CZ152&lt;0,IF($J152=1,-$E152*$I152/12*3,IF($J152=2,-$E152*$I152/12*2,IF($J152=3,-$E152*$I152/12*1,0)))))+IF(CU$5&lt;&gt;$H152,0,IF(CU152&lt;0,IF($J152=1,-$E152*$I152/12*0,IF($J152=2,-$E152*$I152/12*1,IF($J152=3,-$E152*$I152/12*2,IF($J152&gt;=4,-$E152*$I152/12*3,0))))))</f>
        <v>0</v>
      </c>
      <c r="CW152" s="87">
        <f t="shared" ref="CW152:CW160" si="2409">IF($H152&lt;&gt;CZ$5,0,IF(CZ152&lt;0,IF(OR($J152=1,$J152=2,$J152=3,$J152=4),-$E152*$I152/12*3,IF($J152=5,-$E152*$I152/12*2,IF($J152=6,-$E152*$I152/12*1,0)))))+IF(CU$5&lt;&gt;$H152,0,IF(CU152&lt;0,IF($J152=4,-$E152*$I152/12*0,IF($J152=5,-$E152*$I152/12*1,IF($J152=6,-$E152*$I152/12*2,IF($J152&gt;=7,-$E152*$I152/12*3,0))))))</f>
        <v>0</v>
      </c>
      <c r="CX152" s="87">
        <f t="shared" ref="CX152:CX160" si="2410">IF($H152&lt;&gt;CZ$5,0,IF(CZ152&lt;0,IF(OR($J152=1,$J152=2,$J152=3,$J152=4,$J152=5,$J152=6,$J152=7),-$E152*$I152/12*3,IF($J152=8,-$E152*$I152/12*2,IF($J152=9,-$E152*$I152/12*1,0)))))+IF(CU$5&lt;&gt;$H152,0,IF(CU152&lt;0,IF($J152=7,-$E152*$I152/12*0,IF($J152=8,-$E152*$I152/12*1,IF($J152=9,-$E152*$I152/12*2,IF($J152&gt;=10,-$E152*$I152/12*3,0))))))</f>
        <v>0</v>
      </c>
      <c r="CY152" s="88">
        <f t="shared" ref="CY152:CY160" si="2411">IF($H152&lt;&gt;CZ$5,0,IF(CZ152&lt;0,IF(OR($J152=1,$J152=2,$J152=3,$J152=4,$J152=5,$J152=6,$J152=7,$J152=8,$J152=9,$J152=10),-$E152*$I152/12*3,IF($J152=11,-$E152*$I152/12*2,IF($J152=12,-$E152*$I152/12*1,0)))))+IF(CU$5&lt;&gt;$H152,0,IF(CU152&lt;0,IF($J152=10,-$E152*$I152/12*0,IF($J152=11,-$E152*$I152/12*1,IF($J152=12,-$E152*$I152/12*2,0)))))</f>
        <v>0</v>
      </c>
      <c r="CZ152" s="85">
        <f t="shared" ref="CZ152:CZ160" si="2412">IF(AND(CU152&lt;&gt;0,CU$5=$H152),-$I152*$E152-CU152,IF(CZ$5=$H152,-$I152*$E152*(12-$J152+1)/12,0))</f>
        <v>0</v>
      </c>
    </row>
    <row r="153" spans="1:104" ht="12.75" customHeight="1">
      <c r="A153" s="4"/>
      <c r="B153" s="4"/>
      <c r="C153" s="1999" t="s">
        <v>1349</v>
      </c>
      <c r="D153" s="2114"/>
      <c r="E153" s="2115">
        <f t="shared" si="2330"/>
        <v>250</v>
      </c>
      <c r="F153" s="2313">
        <v>250</v>
      </c>
      <c r="G153" s="1511">
        <v>250</v>
      </c>
      <c r="H153" s="1334">
        <v>2024</v>
      </c>
      <c r="I153" s="325">
        <v>3.1E-2</v>
      </c>
      <c r="J153" s="1334">
        <v>11</v>
      </c>
      <c r="K153" s="80"/>
      <c r="L153" s="81">
        <f t="shared" si="2155"/>
        <v>0</v>
      </c>
      <c r="M153" s="82">
        <f t="shared" si="2331"/>
        <v>0</v>
      </c>
      <c r="N153" s="83">
        <f t="shared" si="2332"/>
        <v>0</v>
      </c>
      <c r="O153" s="83">
        <f t="shared" si="2333"/>
        <v>0</v>
      </c>
      <c r="P153" s="84">
        <f t="shared" si="2334"/>
        <v>0</v>
      </c>
      <c r="Q153" s="81">
        <f t="shared" si="2160"/>
        <v>0</v>
      </c>
      <c r="R153" s="82">
        <f t="shared" si="2335"/>
        <v>0</v>
      </c>
      <c r="S153" s="83">
        <f t="shared" si="2336"/>
        <v>0</v>
      </c>
      <c r="T153" s="83">
        <f t="shared" si="2337"/>
        <v>0</v>
      </c>
      <c r="U153" s="84">
        <f t="shared" si="2338"/>
        <v>0</v>
      </c>
      <c r="V153" s="81">
        <f t="shared" si="2165"/>
        <v>0</v>
      </c>
      <c r="W153" s="82">
        <f t="shared" si="2339"/>
        <v>0</v>
      </c>
      <c r="X153" s="83">
        <f t="shared" si="2340"/>
        <v>0</v>
      </c>
      <c r="Y153" s="83">
        <f t="shared" si="2341"/>
        <v>0</v>
      </c>
      <c r="Z153" s="84">
        <f t="shared" si="2342"/>
        <v>0</v>
      </c>
      <c r="AA153" s="81">
        <f t="shared" si="2170"/>
        <v>0</v>
      </c>
      <c r="AB153" s="82">
        <f t="shared" si="2343"/>
        <v>0</v>
      </c>
      <c r="AC153" s="83">
        <f t="shared" si="2344"/>
        <v>0</v>
      </c>
      <c r="AD153" s="83">
        <f t="shared" si="2345"/>
        <v>0</v>
      </c>
      <c r="AE153" s="84">
        <f t="shared" si="2346"/>
        <v>0</v>
      </c>
      <c r="AF153" s="81">
        <f t="shared" si="2175"/>
        <v>0</v>
      </c>
      <c r="AG153" s="82">
        <f t="shared" si="2347"/>
        <v>0</v>
      </c>
      <c r="AH153" s="83">
        <f t="shared" si="2348"/>
        <v>0</v>
      </c>
      <c r="AI153" s="83">
        <f t="shared" si="2349"/>
        <v>0</v>
      </c>
      <c r="AJ153" s="84">
        <f t="shared" si="2350"/>
        <v>0</v>
      </c>
      <c r="AK153" s="81">
        <f t="shared" si="2180"/>
        <v>0</v>
      </c>
      <c r="AL153" s="82">
        <f t="shared" si="2351"/>
        <v>0</v>
      </c>
      <c r="AM153" s="83">
        <f t="shared" si="2352"/>
        <v>0</v>
      </c>
      <c r="AN153" s="83">
        <f t="shared" si="2353"/>
        <v>0</v>
      </c>
      <c r="AO153" s="84">
        <f t="shared" si="2354"/>
        <v>0</v>
      </c>
      <c r="AP153" s="81">
        <f t="shared" si="2185"/>
        <v>0</v>
      </c>
      <c r="AQ153" s="82">
        <f t="shared" si="2355"/>
        <v>0</v>
      </c>
      <c r="AR153" s="83">
        <f t="shared" si="2356"/>
        <v>0</v>
      </c>
      <c r="AS153" s="83">
        <f t="shared" si="2357"/>
        <v>0</v>
      </c>
      <c r="AT153" s="84">
        <f t="shared" si="2358"/>
        <v>0</v>
      </c>
      <c r="AU153" s="81">
        <f t="shared" si="2190"/>
        <v>0</v>
      </c>
      <c r="AV153" s="82">
        <f t="shared" si="2359"/>
        <v>0</v>
      </c>
      <c r="AW153" s="83">
        <f t="shared" si="2360"/>
        <v>0</v>
      </c>
      <c r="AX153" s="83">
        <f t="shared" si="2361"/>
        <v>0</v>
      </c>
      <c r="AY153" s="84">
        <f t="shared" si="2362"/>
        <v>0</v>
      </c>
      <c r="AZ153" s="81">
        <f t="shared" si="2195"/>
        <v>0</v>
      </c>
      <c r="BA153" s="82">
        <f t="shared" si="2363"/>
        <v>0</v>
      </c>
      <c r="BB153" s="83">
        <f t="shared" si="2364"/>
        <v>0</v>
      </c>
      <c r="BC153" s="83">
        <f t="shared" si="2365"/>
        <v>0</v>
      </c>
      <c r="BD153" s="84">
        <f t="shared" si="2366"/>
        <v>0</v>
      </c>
      <c r="BE153" s="81">
        <f t="shared" si="2200"/>
        <v>0</v>
      </c>
      <c r="BF153" s="1877"/>
      <c r="BG153" s="2005">
        <f t="shared" si="2367"/>
        <v>0</v>
      </c>
      <c r="BH153" s="86">
        <f t="shared" si="2368"/>
        <v>0</v>
      </c>
      <c r="BI153" s="87">
        <f t="shared" si="2369"/>
        <v>0</v>
      </c>
      <c r="BJ153" s="87">
        <f t="shared" si="2370"/>
        <v>0</v>
      </c>
      <c r="BK153" s="88">
        <f t="shared" si="2371"/>
        <v>0</v>
      </c>
      <c r="BL153" s="85">
        <f t="shared" si="2372"/>
        <v>0</v>
      </c>
      <c r="BM153" s="86">
        <f t="shared" si="2373"/>
        <v>0</v>
      </c>
      <c r="BN153" s="87">
        <f t="shared" si="2374"/>
        <v>0</v>
      </c>
      <c r="BO153" s="87">
        <f t="shared" si="2375"/>
        <v>0</v>
      </c>
      <c r="BP153" s="88">
        <f t="shared" si="2376"/>
        <v>0</v>
      </c>
      <c r="BQ153" s="85">
        <f t="shared" si="2377"/>
        <v>0</v>
      </c>
      <c r="BR153" s="86">
        <f t="shared" si="2378"/>
        <v>0</v>
      </c>
      <c r="BS153" s="87">
        <f t="shared" si="2379"/>
        <v>0</v>
      </c>
      <c r="BT153" s="87">
        <f t="shared" si="2380"/>
        <v>0</v>
      </c>
      <c r="BU153" s="88">
        <f t="shared" si="2381"/>
        <v>0</v>
      </c>
      <c r="BV153" s="85">
        <f t="shared" si="2382"/>
        <v>0</v>
      </c>
      <c r="BW153" s="86">
        <f t="shared" si="2383"/>
        <v>0</v>
      </c>
      <c r="BX153" s="87">
        <f t="shared" si="2384"/>
        <v>0</v>
      </c>
      <c r="BY153" s="87">
        <f t="shared" si="2385"/>
        <v>0</v>
      </c>
      <c r="BZ153" s="88">
        <f t="shared" si="2386"/>
        <v>0</v>
      </c>
      <c r="CA153" s="85">
        <f t="shared" si="2387"/>
        <v>0</v>
      </c>
      <c r="CB153" s="86">
        <f t="shared" si="2388"/>
        <v>0</v>
      </c>
      <c r="CC153" s="87">
        <f t="shared" si="2389"/>
        <v>0</v>
      </c>
      <c r="CD153" s="87">
        <f t="shared" si="2390"/>
        <v>0</v>
      </c>
      <c r="CE153" s="88">
        <f t="shared" si="2391"/>
        <v>0</v>
      </c>
      <c r="CF153" s="85">
        <f t="shared" si="2392"/>
        <v>0</v>
      </c>
      <c r="CG153" s="86">
        <f t="shared" si="2393"/>
        <v>0</v>
      </c>
      <c r="CH153" s="87">
        <f t="shared" si="2394"/>
        <v>0</v>
      </c>
      <c r="CI153" s="87">
        <f t="shared" si="2395"/>
        <v>0</v>
      </c>
      <c r="CJ153" s="88">
        <f t="shared" si="2396"/>
        <v>0</v>
      </c>
      <c r="CK153" s="85">
        <f t="shared" si="2397"/>
        <v>0</v>
      </c>
      <c r="CL153" s="86">
        <f t="shared" si="2398"/>
        <v>0</v>
      </c>
      <c r="CM153" s="87">
        <f t="shared" si="2399"/>
        <v>0</v>
      </c>
      <c r="CN153" s="87">
        <f t="shared" si="2400"/>
        <v>0</v>
      </c>
      <c r="CO153" s="88">
        <f t="shared" si="2401"/>
        <v>0</v>
      </c>
      <c r="CP153" s="85">
        <f t="shared" si="2402"/>
        <v>0</v>
      </c>
      <c r="CQ153" s="86">
        <f t="shared" si="2403"/>
        <v>0</v>
      </c>
      <c r="CR153" s="87">
        <f t="shared" si="2404"/>
        <v>0</v>
      </c>
      <c r="CS153" s="87">
        <f t="shared" si="2405"/>
        <v>0</v>
      </c>
      <c r="CT153" s="88">
        <f t="shared" si="2406"/>
        <v>0</v>
      </c>
      <c r="CU153" s="85">
        <f t="shared" si="2407"/>
        <v>0</v>
      </c>
      <c r="CV153" s="86">
        <f t="shared" si="2408"/>
        <v>0</v>
      </c>
      <c r="CW153" s="87">
        <f t="shared" si="2409"/>
        <v>0</v>
      </c>
      <c r="CX153" s="87">
        <f t="shared" si="2410"/>
        <v>0</v>
      </c>
      <c r="CY153" s="88">
        <f t="shared" si="2411"/>
        <v>0</v>
      </c>
      <c r="CZ153" s="85">
        <f t="shared" si="2412"/>
        <v>0</v>
      </c>
    </row>
    <row r="154" spans="1:104" ht="12.75" customHeight="1">
      <c r="A154" s="4"/>
      <c r="B154" s="4"/>
      <c r="C154" s="1999" t="s">
        <v>1419</v>
      </c>
      <c r="D154" s="2114"/>
      <c r="E154" s="2115">
        <f t="shared" si="2330"/>
        <v>450</v>
      </c>
      <c r="F154" s="2313">
        <v>450</v>
      </c>
      <c r="G154" s="1511">
        <v>450</v>
      </c>
      <c r="H154" s="1334">
        <v>2045</v>
      </c>
      <c r="I154" s="325">
        <v>4.3499999999999997E-2</v>
      </c>
      <c r="J154" s="1334">
        <v>11</v>
      </c>
      <c r="K154" s="80"/>
      <c r="L154" s="81">
        <f t="shared" si="2155"/>
        <v>0</v>
      </c>
      <c r="M154" s="82">
        <f t="shared" si="2331"/>
        <v>0</v>
      </c>
      <c r="N154" s="83">
        <f t="shared" si="2332"/>
        <v>0</v>
      </c>
      <c r="O154" s="83">
        <f t="shared" si="2333"/>
        <v>0</v>
      </c>
      <c r="P154" s="84">
        <f t="shared" si="2334"/>
        <v>0</v>
      </c>
      <c r="Q154" s="81">
        <f t="shared" si="2160"/>
        <v>0</v>
      </c>
      <c r="R154" s="82">
        <f t="shared" si="2335"/>
        <v>0</v>
      </c>
      <c r="S154" s="83">
        <f t="shared" si="2336"/>
        <v>0</v>
      </c>
      <c r="T154" s="83">
        <f t="shared" si="2337"/>
        <v>0</v>
      </c>
      <c r="U154" s="84">
        <f t="shared" si="2338"/>
        <v>0</v>
      </c>
      <c r="V154" s="81">
        <f t="shared" si="2165"/>
        <v>0</v>
      </c>
      <c r="W154" s="82">
        <f t="shared" si="2339"/>
        <v>0</v>
      </c>
      <c r="X154" s="83">
        <f t="shared" si="2340"/>
        <v>0</v>
      </c>
      <c r="Y154" s="83">
        <f t="shared" si="2341"/>
        <v>0</v>
      </c>
      <c r="Z154" s="84">
        <f t="shared" si="2342"/>
        <v>0</v>
      </c>
      <c r="AA154" s="81">
        <f t="shared" si="2170"/>
        <v>0</v>
      </c>
      <c r="AB154" s="82">
        <f t="shared" si="2343"/>
        <v>0</v>
      </c>
      <c r="AC154" s="83">
        <f t="shared" si="2344"/>
        <v>0</v>
      </c>
      <c r="AD154" s="83">
        <f t="shared" si="2345"/>
        <v>0</v>
      </c>
      <c r="AE154" s="84">
        <f t="shared" si="2346"/>
        <v>0</v>
      </c>
      <c r="AF154" s="81">
        <f t="shared" si="2175"/>
        <v>0</v>
      </c>
      <c r="AG154" s="82">
        <f t="shared" si="2347"/>
        <v>0</v>
      </c>
      <c r="AH154" s="83">
        <f t="shared" si="2348"/>
        <v>0</v>
      </c>
      <c r="AI154" s="83">
        <f t="shared" si="2349"/>
        <v>0</v>
      </c>
      <c r="AJ154" s="84">
        <f t="shared" si="2350"/>
        <v>0</v>
      </c>
      <c r="AK154" s="81">
        <f t="shared" si="2180"/>
        <v>0</v>
      </c>
      <c r="AL154" s="82">
        <f t="shared" si="2351"/>
        <v>0</v>
      </c>
      <c r="AM154" s="83">
        <f t="shared" si="2352"/>
        <v>0</v>
      </c>
      <c r="AN154" s="83">
        <f t="shared" si="2353"/>
        <v>0</v>
      </c>
      <c r="AO154" s="84">
        <f t="shared" si="2354"/>
        <v>0</v>
      </c>
      <c r="AP154" s="81">
        <f t="shared" si="2185"/>
        <v>0</v>
      </c>
      <c r="AQ154" s="82">
        <f t="shared" si="2355"/>
        <v>0</v>
      </c>
      <c r="AR154" s="83">
        <f t="shared" si="2356"/>
        <v>0</v>
      </c>
      <c r="AS154" s="83">
        <f t="shared" si="2357"/>
        <v>0</v>
      </c>
      <c r="AT154" s="84">
        <f t="shared" si="2358"/>
        <v>0</v>
      </c>
      <c r="AU154" s="81">
        <f t="shared" si="2190"/>
        <v>0</v>
      </c>
      <c r="AV154" s="82">
        <f t="shared" si="2359"/>
        <v>0</v>
      </c>
      <c r="AW154" s="83">
        <f t="shared" si="2360"/>
        <v>0</v>
      </c>
      <c r="AX154" s="83">
        <f t="shared" si="2361"/>
        <v>0</v>
      </c>
      <c r="AY154" s="84">
        <f t="shared" si="2362"/>
        <v>0</v>
      </c>
      <c r="AZ154" s="81">
        <f t="shared" si="2195"/>
        <v>0</v>
      </c>
      <c r="BA154" s="82">
        <f t="shared" si="2363"/>
        <v>0</v>
      </c>
      <c r="BB154" s="83">
        <f t="shared" si="2364"/>
        <v>0</v>
      </c>
      <c r="BC154" s="83">
        <f t="shared" si="2365"/>
        <v>0</v>
      </c>
      <c r="BD154" s="84">
        <f t="shared" si="2366"/>
        <v>0</v>
      </c>
      <c r="BE154" s="81">
        <f t="shared" si="2200"/>
        <v>0</v>
      </c>
      <c r="BF154" s="1877"/>
      <c r="BG154" s="2005">
        <f t="shared" si="2367"/>
        <v>0</v>
      </c>
      <c r="BH154" s="86">
        <f t="shared" si="2368"/>
        <v>0</v>
      </c>
      <c r="BI154" s="87">
        <f t="shared" si="2369"/>
        <v>0</v>
      </c>
      <c r="BJ154" s="87">
        <f t="shared" si="2370"/>
        <v>0</v>
      </c>
      <c r="BK154" s="88">
        <f t="shared" si="2371"/>
        <v>0</v>
      </c>
      <c r="BL154" s="85">
        <f t="shared" si="2372"/>
        <v>0</v>
      </c>
      <c r="BM154" s="86">
        <f t="shared" si="2373"/>
        <v>0</v>
      </c>
      <c r="BN154" s="87">
        <f t="shared" si="2374"/>
        <v>0</v>
      </c>
      <c r="BO154" s="87">
        <f t="shared" si="2375"/>
        <v>0</v>
      </c>
      <c r="BP154" s="88">
        <f t="shared" si="2376"/>
        <v>0</v>
      </c>
      <c r="BQ154" s="85">
        <f t="shared" si="2377"/>
        <v>0</v>
      </c>
      <c r="BR154" s="86">
        <f t="shared" si="2378"/>
        <v>0</v>
      </c>
      <c r="BS154" s="87">
        <f t="shared" si="2379"/>
        <v>0</v>
      </c>
      <c r="BT154" s="87">
        <f t="shared" si="2380"/>
        <v>0</v>
      </c>
      <c r="BU154" s="88">
        <f t="shared" si="2381"/>
        <v>0</v>
      </c>
      <c r="BV154" s="85">
        <f t="shared" si="2382"/>
        <v>0</v>
      </c>
      <c r="BW154" s="86">
        <f t="shared" si="2383"/>
        <v>0</v>
      </c>
      <c r="BX154" s="87">
        <f t="shared" si="2384"/>
        <v>0</v>
      </c>
      <c r="BY154" s="87">
        <f t="shared" si="2385"/>
        <v>0</v>
      </c>
      <c r="BZ154" s="88">
        <f t="shared" si="2386"/>
        <v>0</v>
      </c>
      <c r="CA154" s="85">
        <f t="shared" si="2387"/>
        <v>0</v>
      </c>
      <c r="CB154" s="86">
        <f t="shared" si="2388"/>
        <v>0</v>
      </c>
      <c r="CC154" s="87">
        <f t="shared" si="2389"/>
        <v>0</v>
      </c>
      <c r="CD154" s="87">
        <f t="shared" si="2390"/>
        <v>0</v>
      </c>
      <c r="CE154" s="88">
        <f t="shared" si="2391"/>
        <v>0</v>
      </c>
      <c r="CF154" s="85">
        <f t="shared" si="2392"/>
        <v>0</v>
      </c>
      <c r="CG154" s="86">
        <f t="shared" si="2393"/>
        <v>0</v>
      </c>
      <c r="CH154" s="87">
        <f t="shared" si="2394"/>
        <v>0</v>
      </c>
      <c r="CI154" s="87">
        <f t="shared" si="2395"/>
        <v>0</v>
      </c>
      <c r="CJ154" s="88">
        <f t="shared" si="2396"/>
        <v>0</v>
      </c>
      <c r="CK154" s="85">
        <f t="shared" si="2397"/>
        <v>0</v>
      </c>
      <c r="CL154" s="86">
        <f t="shared" si="2398"/>
        <v>0</v>
      </c>
      <c r="CM154" s="87">
        <f t="shared" si="2399"/>
        <v>0</v>
      </c>
      <c r="CN154" s="87">
        <f t="shared" si="2400"/>
        <v>0</v>
      </c>
      <c r="CO154" s="88">
        <f t="shared" si="2401"/>
        <v>0</v>
      </c>
      <c r="CP154" s="85">
        <f t="shared" si="2402"/>
        <v>0</v>
      </c>
      <c r="CQ154" s="86">
        <f t="shared" si="2403"/>
        <v>0</v>
      </c>
      <c r="CR154" s="87">
        <f t="shared" si="2404"/>
        <v>0</v>
      </c>
      <c r="CS154" s="87">
        <f t="shared" si="2405"/>
        <v>0</v>
      </c>
      <c r="CT154" s="88">
        <f t="shared" si="2406"/>
        <v>0</v>
      </c>
      <c r="CU154" s="85">
        <f t="shared" si="2407"/>
        <v>0</v>
      </c>
      <c r="CV154" s="86">
        <f t="shared" si="2408"/>
        <v>0</v>
      </c>
      <c r="CW154" s="87">
        <f t="shared" si="2409"/>
        <v>0</v>
      </c>
      <c r="CX154" s="87">
        <f t="shared" si="2410"/>
        <v>0</v>
      </c>
      <c r="CY154" s="88">
        <f t="shared" si="2411"/>
        <v>0</v>
      </c>
      <c r="CZ154" s="85">
        <f t="shared" si="2412"/>
        <v>0</v>
      </c>
    </row>
    <row r="155" spans="1:104" ht="12.75" customHeight="1">
      <c r="A155" s="4"/>
      <c r="B155" s="4"/>
      <c r="C155" s="1999" t="s">
        <v>1420</v>
      </c>
      <c r="D155" s="2114"/>
      <c r="E155" s="2115">
        <f t="shared" si="2330"/>
        <v>400</v>
      </c>
      <c r="F155" s="2313">
        <v>400</v>
      </c>
      <c r="G155" s="1511">
        <v>400</v>
      </c>
      <c r="H155" s="1334">
        <v>2045</v>
      </c>
      <c r="I155" s="325">
        <v>3.6999999999999998E-2</v>
      </c>
      <c r="J155" s="1334">
        <v>3</v>
      </c>
      <c r="K155" s="80"/>
      <c r="L155" s="81">
        <f t="shared" si="2155"/>
        <v>0</v>
      </c>
      <c r="M155" s="82">
        <f t="shared" si="2331"/>
        <v>0</v>
      </c>
      <c r="N155" s="83">
        <f t="shared" si="2332"/>
        <v>0</v>
      </c>
      <c r="O155" s="83">
        <f t="shared" si="2333"/>
        <v>0</v>
      </c>
      <c r="P155" s="84">
        <f t="shared" si="2334"/>
        <v>0</v>
      </c>
      <c r="Q155" s="81">
        <f t="shared" si="2160"/>
        <v>0</v>
      </c>
      <c r="R155" s="82">
        <f t="shared" si="2335"/>
        <v>0</v>
      </c>
      <c r="S155" s="83">
        <f t="shared" si="2336"/>
        <v>0</v>
      </c>
      <c r="T155" s="83">
        <f t="shared" si="2337"/>
        <v>0</v>
      </c>
      <c r="U155" s="84">
        <f t="shared" si="2338"/>
        <v>0</v>
      </c>
      <c r="V155" s="81">
        <f t="shared" si="2165"/>
        <v>0</v>
      </c>
      <c r="W155" s="82">
        <f t="shared" si="2339"/>
        <v>0</v>
      </c>
      <c r="X155" s="83">
        <f t="shared" si="2340"/>
        <v>0</v>
      </c>
      <c r="Y155" s="83">
        <f t="shared" si="2341"/>
        <v>0</v>
      </c>
      <c r="Z155" s="84">
        <f t="shared" si="2342"/>
        <v>0</v>
      </c>
      <c r="AA155" s="81">
        <f t="shared" si="2170"/>
        <v>0</v>
      </c>
      <c r="AB155" s="82">
        <f t="shared" si="2343"/>
        <v>0</v>
      </c>
      <c r="AC155" s="83">
        <f t="shared" si="2344"/>
        <v>0</v>
      </c>
      <c r="AD155" s="83">
        <f t="shared" si="2345"/>
        <v>0</v>
      </c>
      <c r="AE155" s="84">
        <f t="shared" si="2346"/>
        <v>0</v>
      </c>
      <c r="AF155" s="81">
        <f t="shared" si="2175"/>
        <v>0</v>
      </c>
      <c r="AG155" s="82">
        <f t="shared" si="2347"/>
        <v>0</v>
      </c>
      <c r="AH155" s="83">
        <f t="shared" si="2348"/>
        <v>0</v>
      </c>
      <c r="AI155" s="83">
        <f t="shared" si="2349"/>
        <v>0</v>
      </c>
      <c r="AJ155" s="84">
        <f t="shared" si="2350"/>
        <v>0</v>
      </c>
      <c r="AK155" s="81">
        <f t="shared" si="2180"/>
        <v>0</v>
      </c>
      <c r="AL155" s="82">
        <f t="shared" si="2351"/>
        <v>0</v>
      </c>
      <c r="AM155" s="83">
        <f t="shared" si="2352"/>
        <v>0</v>
      </c>
      <c r="AN155" s="83">
        <f t="shared" si="2353"/>
        <v>0</v>
      </c>
      <c r="AO155" s="84">
        <f t="shared" si="2354"/>
        <v>0</v>
      </c>
      <c r="AP155" s="81">
        <f t="shared" si="2185"/>
        <v>0</v>
      </c>
      <c r="AQ155" s="82">
        <f t="shared" si="2355"/>
        <v>0</v>
      </c>
      <c r="AR155" s="83">
        <f t="shared" si="2356"/>
        <v>0</v>
      </c>
      <c r="AS155" s="83">
        <f t="shared" si="2357"/>
        <v>0</v>
      </c>
      <c r="AT155" s="84">
        <f t="shared" si="2358"/>
        <v>0</v>
      </c>
      <c r="AU155" s="81">
        <f t="shared" si="2190"/>
        <v>0</v>
      </c>
      <c r="AV155" s="82">
        <f t="shared" si="2359"/>
        <v>0</v>
      </c>
      <c r="AW155" s="83">
        <f t="shared" si="2360"/>
        <v>0</v>
      </c>
      <c r="AX155" s="83">
        <f t="shared" si="2361"/>
        <v>0</v>
      </c>
      <c r="AY155" s="84">
        <f t="shared" si="2362"/>
        <v>0</v>
      </c>
      <c r="AZ155" s="81">
        <f t="shared" si="2195"/>
        <v>0</v>
      </c>
      <c r="BA155" s="82">
        <f t="shared" si="2363"/>
        <v>0</v>
      </c>
      <c r="BB155" s="83">
        <f t="shared" si="2364"/>
        <v>0</v>
      </c>
      <c r="BC155" s="83">
        <f t="shared" si="2365"/>
        <v>0</v>
      </c>
      <c r="BD155" s="84">
        <f t="shared" si="2366"/>
        <v>0</v>
      </c>
      <c r="BE155" s="81">
        <f t="shared" si="2200"/>
        <v>0</v>
      </c>
      <c r="BF155" s="1877"/>
      <c r="BG155" s="2005">
        <f t="shared" si="2367"/>
        <v>0</v>
      </c>
      <c r="BH155" s="86">
        <f t="shared" si="2368"/>
        <v>0</v>
      </c>
      <c r="BI155" s="87">
        <f t="shared" si="2369"/>
        <v>0</v>
      </c>
      <c r="BJ155" s="87">
        <f t="shared" si="2370"/>
        <v>0</v>
      </c>
      <c r="BK155" s="88">
        <f t="shared" si="2371"/>
        <v>0</v>
      </c>
      <c r="BL155" s="85">
        <f t="shared" si="2372"/>
        <v>0</v>
      </c>
      <c r="BM155" s="86">
        <f t="shared" si="2373"/>
        <v>0</v>
      </c>
      <c r="BN155" s="87">
        <f t="shared" si="2374"/>
        <v>0</v>
      </c>
      <c r="BO155" s="87">
        <f t="shared" si="2375"/>
        <v>0</v>
      </c>
      <c r="BP155" s="88">
        <f t="shared" si="2376"/>
        <v>0</v>
      </c>
      <c r="BQ155" s="85">
        <f t="shared" si="2377"/>
        <v>0</v>
      </c>
      <c r="BR155" s="86">
        <f t="shared" si="2378"/>
        <v>0</v>
      </c>
      <c r="BS155" s="87">
        <f t="shared" si="2379"/>
        <v>0</v>
      </c>
      <c r="BT155" s="87">
        <f t="shared" si="2380"/>
        <v>0</v>
      </c>
      <c r="BU155" s="88">
        <f t="shared" si="2381"/>
        <v>0</v>
      </c>
      <c r="BV155" s="85">
        <f t="shared" si="2382"/>
        <v>0</v>
      </c>
      <c r="BW155" s="86">
        <f t="shared" si="2383"/>
        <v>0</v>
      </c>
      <c r="BX155" s="87">
        <f t="shared" si="2384"/>
        <v>0</v>
      </c>
      <c r="BY155" s="87">
        <f t="shared" si="2385"/>
        <v>0</v>
      </c>
      <c r="BZ155" s="88">
        <f t="shared" si="2386"/>
        <v>0</v>
      </c>
      <c r="CA155" s="85">
        <f t="shared" si="2387"/>
        <v>0</v>
      </c>
      <c r="CB155" s="86">
        <f t="shared" si="2388"/>
        <v>0</v>
      </c>
      <c r="CC155" s="87">
        <f t="shared" si="2389"/>
        <v>0</v>
      </c>
      <c r="CD155" s="87">
        <f t="shared" si="2390"/>
        <v>0</v>
      </c>
      <c r="CE155" s="88">
        <f t="shared" si="2391"/>
        <v>0</v>
      </c>
      <c r="CF155" s="85">
        <f t="shared" si="2392"/>
        <v>0</v>
      </c>
      <c r="CG155" s="86">
        <f t="shared" si="2393"/>
        <v>0</v>
      </c>
      <c r="CH155" s="87">
        <f t="shared" si="2394"/>
        <v>0</v>
      </c>
      <c r="CI155" s="87">
        <f t="shared" si="2395"/>
        <v>0</v>
      </c>
      <c r="CJ155" s="88">
        <f t="shared" si="2396"/>
        <v>0</v>
      </c>
      <c r="CK155" s="85">
        <f t="shared" si="2397"/>
        <v>0</v>
      </c>
      <c r="CL155" s="86">
        <f t="shared" si="2398"/>
        <v>0</v>
      </c>
      <c r="CM155" s="87">
        <f t="shared" si="2399"/>
        <v>0</v>
      </c>
      <c r="CN155" s="87">
        <f t="shared" si="2400"/>
        <v>0</v>
      </c>
      <c r="CO155" s="88">
        <f t="shared" si="2401"/>
        <v>0</v>
      </c>
      <c r="CP155" s="85">
        <f t="shared" si="2402"/>
        <v>0</v>
      </c>
      <c r="CQ155" s="86">
        <f t="shared" si="2403"/>
        <v>0</v>
      </c>
      <c r="CR155" s="87">
        <f t="shared" si="2404"/>
        <v>0</v>
      </c>
      <c r="CS155" s="87">
        <f t="shared" si="2405"/>
        <v>0</v>
      </c>
      <c r="CT155" s="88">
        <f t="shared" si="2406"/>
        <v>0</v>
      </c>
      <c r="CU155" s="85">
        <f t="shared" si="2407"/>
        <v>0</v>
      </c>
      <c r="CV155" s="86">
        <f t="shared" si="2408"/>
        <v>0</v>
      </c>
      <c r="CW155" s="87">
        <f t="shared" si="2409"/>
        <v>0</v>
      </c>
      <c r="CX155" s="87">
        <f t="shared" si="2410"/>
        <v>0</v>
      </c>
      <c r="CY155" s="88">
        <f t="shared" si="2411"/>
        <v>0</v>
      </c>
      <c r="CZ155" s="85">
        <f t="shared" si="2412"/>
        <v>0</v>
      </c>
    </row>
    <row r="156" spans="1:104" ht="12.75" customHeight="1">
      <c r="A156" s="4"/>
      <c r="B156" s="4"/>
      <c r="C156" s="1999" t="s">
        <v>1444</v>
      </c>
      <c r="D156" s="2114"/>
      <c r="E156" s="2115">
        <f t="shared" si="2330"/>
        <v>500</v>
      </c>
      <c r="F156" s="2313">
        <v>500</v>
      </c>
      <c r="G156" s="1511">
        <v>500</v>
      </c>
      <c r="H156" s="1334">
        <v>2026</v>
      </c>
      <c r="I156" s="325">
        <v>2.5499999999999998E-2</v>
      </c>
      <c r="J156" s="1334">
        <v>6</v>
      </c>
      <c r="K156" s="80"/>
      <c r="L156" s="81">
        <f t="shared" si="2155"/>
        <v>0</v>
      </c>
      <c r="M156" s="82">
        <f t="shared" si="2331"/>
        <v>0</v>
      </c>
      <c r="N156" s="83">
        <f t="shared" si="2332"/>
        <v>0</v>
      </c>
      <c r="O156" s="83">
        <f t="shared" si="2333"/>
        <v>0</v>
      </c>
      <c r="P156" s="84">
        <f t="shared" si="2334"/>
        <v>0</v>
      </c>
      <c r="Q156" s="81">
        <f t="shared" si="2160"/>
        <v>0</v>
      </c>
      <c r="R156" s="82">
        <f t="shared" si="2335"/>
        <v>0</v>
      </c>
      <c r="S156" s="83">
        <f t="shared" si="2336"/>
        <v>0</v>
      </c>
      <c r="T156" s="83">
        <f t="shared" si="2337"/>
        <v>0</v>
      </c>
      <c r="U156" s="84">
        <f t="shared" si="2338"/>
        <v>0</v>
      </c>
      <c r="V156" s="81">
        <f t="shared" si="2165"/>
        <v>0</v>
      </c>
      <c r="W156" s="82">
        <f t="shared" si="2339"/>
        <v>0</v>
      </c>
      <c r="X156" s="83">
        <f t="shared" si="2340"/>
        <v>0</v>
      </c>
      <c r="Y156" s="83">
        <f t="shared" si="2341"/>
        <v>0</v>
      </c>
      <c r="Z156" s="84">
        <f t="shared" si="2342"/>
        <v>0</v>
      </c>
      <c r="AA156" s="81">
        <f t="shared" si="2170"/>
        <v>0</v>
      </c>
      <c r="AB156" s="82">
        <f t="shared" si="2343"/>
        <v>0</v>
      </c>
      <c r="AC156" s="83">
        <f t="shared" si="2344"/>
        <v>0</v>
      </c>
      <c r="AD156" s="83">
        <f t="shared" si="2345"/>
        <v>0</v>
      </c>
      <c r="AE156" s="84">
        <f t="shared" si="2346"/>
        <v>0</v>
      </c>
      <c r="AF156" s="81">
        <f t="shared" si="2175"/>
        <v>0</v>
      </c>
      <c r="AG156" s="82">
        <f t="shared" si="2347"/>
        <v>0</v>
      </c>
      <c r="AH156" s="83">
        <f t="shared" si="2348"/>
        <v>0</v>
      </c>
      <c r="AI156" s="83">
        <f t="shared" si="2349"/>
        <v>0</v>
      </c>
      <c r="AJ156" s="84">
        <f t="shared" si="2350"/>
        <v>0</v>
      </c>
      <c r="AK156" s="81">
        <f t="shared" si="2180"/>
        <v>0</v>
      </c>
      <c r="AL156" s="82">
        <f t="shared" si="2351"/>
        <v>0</v>
      </c>
      <c r="AM156" s="83">
        <f t="shared" si="2352"/>
        <v>0</v>
      </c>
      <c r="AN156" s="83">
        <f t="shared" si="2353"/>
        <v>0</v>
      </c>
      <c r="AO156" s="84">
        <f t="shared" si="2354"/>
        <v>0</v>
      </c>
      <c r="AP156" s="81">
        <f t="shared" si="2185"/>
        <v>0</v>
      </c>
      <c r="AQ156" s="82">
        <f t="shared" si="2355"/>
        <v>0</v>
      </c>
      <c r="AR156" s="83">
        <f t="shared" si="2356"/>
        <v>0</v>
      </c>
      <c r="AS156" s="83">
        <f t="shared" si="2357"/>
        <v>0</v>
      </c>
      <c r="AT156" s="84">
        <f t="shared" si="2358"/>
        <v>0</v>
      </c>
      <c r="AU156" s="81">
        <f t="shared" si="2190"/>
        <v>0</v>
      </c>
      <c r="AV156" s="82">
        <f t="shared" si="2359"/>
        <v>0</v>
      </c>
      <c r="AW156" s="83">
        <f t="shared" si="2360"/>
        <v>0</v>
      </c>
      <c r="AX156" s="83">
        <f t="shared" si="2361"/>
        <v>0</v>
      </c>
      <c r="AY156" s="84">
        <f t="shared" si="2362"/>
        <v>0</v>
      </c>
      <c r="AZ156" s="81">
        <f t="shared" si="2195"/>
        <v>0</v>
      </c>
      <c r="BA156" s="82">
        <f t="shared" si="2363"/>
        <v>0</v>
      </c>
      <c r="BB156" s="83">
        <f t="shared" si="2364"/>
        <v>0</v>
      </c>
      <c r="BC156" s="83">
        <f t="shared" si="2365"/>
        <v>0</v>
      </c>
      <c r="BD156" s="84">
        <f t="shared" si="2366"/>
        <v>0</v>
      </c>
      <c r="BE156" s="81">
        <f t="shared" si="2200"/>
        <v>0</v>
      </c>
      <c r="BF156" s="1877"/>
      <c r="BG156" s="2005">
        <f t="shared" si="2367"/>
        <v>0</v>
      </c>
      <c r="BH156" s="86">
        <f t="shared" si="2368"/>
        <v>0</v>
      </c>
      <c r="BI156" s="87">
        <f t="shared" si="2369"/>
        <v>0</v>
      </c>
      <c r="BJ156" s="87">
        <f t="shared" si="2370"/>
        <v>0</v>
      </c>
      <c r="BK156" s="88">
        <f t="shared" si="2371"/>
        <v>0</v>
      </c>
      <c r="BL156" s="85">
        <f t="shared" si="2372"/>
        <v>0</v>
      </c>
      <c r="BM156" s="86">
        <f t="shared" si="2373"/>
        <v>0</v>
      </c>
      <c r="BN156" s="87">
        <f t="shared" si="2374"/>
        <v>0</v>
      </c>
      <c r="BO156" s="87">
        <f t="shared" si="2375"/>
        <v>0</v>
      </c>
      <c r="BP156" s="88">
        <f t="shared" si="2376"/>
        <v>0</v>
      </c>
      <c r="BQ156" s="85">
        <f t="shared" si="2377"/>
        <v>0</v>
      </c>
      <c r="BR156" s="86">
        <f t="shared" si="2378"/>
        <v>0</v>
      </c>
      <c r="BS156" s="87">
        <f t="shared" si="2379"/>
        <v>0</v>
      </c>
      <c r="BT156" s="87">
        <f t="shared" si="2380"/>
        <v>0</v>
      </c>
      <c r="BU156" s="88">
        <f t="shared" si="2381"/>
        <v>0</v>
      </c>
      <c r="BV156" s="85">
        <f t="shared" si="2382"/>
        <v>0</v>
      </c>
      <c r="BW156" s="86">
        <f t="shared" si="2383"/>
        <v>0</v>
      </c>
      <c r="BX156" s="87">
        <f t="shared" si="2384"/>
        <v>0</v>
      </c>
      <c r="BY156" s="87">
        <f t="shared" si="2385"/>
        <v>0</v>
      </c>
      <c r="BZ156" s="88">
        <f t="shared" si="2386"/>
        <v>0</v>
      </c>
      <c r="CA156" s="85">
        <f t="shared" si="2387"/>
        <v>0</v>
      </c>
      <c r="CB156" s="86">
        <f t="shared" si="2388"/>
        <v>0</v>
      </c>
      <c r="CC156" s="87">
        <f t="shared" si="2389"/>
        <v>0</v>
      </c>
      <c r="CD156" s="87">
        <f t="shared" si="2390"/>
        <v>0</v>
      </c>
      <c r="CE156" s="88">
        <f t="shared" si="2391"/>
        <v>0</v>
      </c>
      <c r="CF156" s="85">
        <f t="shared" si="2392"/>
        <v>0</v>
      </c>
      <c r="CG156" s="86">
        <f t="shared" si="2393"/>
        <v>0</v>
      </c>
      <c r="CH156" s="87">
        <f t="shared" si="2394"/>
        <v>0</v>
      </c>
      <c r="CI156" s="87">
        <f t="shared" si="2395"/>
        <v>0</v>
      </c>
      <c r="CJ156" s="88">
        <f t="shared" si="2396"/>
        <v>0</v>
      </c>
      <c r="CK156" s="85">
        <f t="shared" si="2397"/>
        <v>0</v>
      </c>
      <c r="CL156" s="86">
        <f t="shared" si="2398"/>
        <v>0</v>
      </c>
      <c r="CM156" s="87">
        <f t="shared" si="2399"/>
        <v>0</v>
      </c>
      <c r="CN156" s="87">
        <f t="shared" si="2400"/>
        <v>0</v>
      </c>
      <c r="CO156" s="88">
        <f t="shared" si="2401"/>
        <v>0</v>
      </c>
      <c r="CP156" s="85">
        <f t="shared" si="2402"/>
        <v>0</v>
      </c>
      <c r="CQ156" s="86">
        <f t="shared" si="2403"/>
        <v>0</v>
      </c>
      <c r="CR156" s="87">
        <f t="shared" si="2404"/>
        <v>0</v>
      </c>
      <c r="CS156" s="87">
        <f t="shared" si="2405"/>
        <v>0</v>
      </c>
      <c r="CT156" s="88">
        <f t="shared" si="2406"/>
        <v>0</v>
      </c>
      <c r="CU156" s="85">
        <f t="shared" si="2407"/>
        <v>0</v>
      </c>
      <c r="CV156" s="86">
        <f t="shared" si="2408"/>
        <v>0</v>
      </c>
      <c r="CW156" s="87">
        <f t="shared" si="2409"/>
        <v>0</v>
      </c>
      <c r="CX156" s="87">
        <f t="shared" si="2410"/>
        <v>0</v>
      </c>
      <c r="CY156" s="88">
        <f t="shared" si="2411"/>
        <v>0</v>
      </c>
      <c r="CZ156" s="85">
        <f t="shared" si="2412"/>
        <v>0</v>
      </c>
    </row>
    <row r="157" spans="1:104" ht="12.75" customHeight="1">
      <c r="A157" s="4"/>
      <c r="B157" s="4"/>
      <c r="C157" s="1999" t="s">
        <v>1445</v>
      </c>
      <c r="D157" s="2114"/>
      <c r="E157" s="2115">
        <f t="shared" si="2330"/>
        <v>700</v>
      </c>
      <c r="F157" s="2313">
        <v>700</v>
      </c>
      <c r="G157" s="1511">
        <v>700</v>
      </c>
      <c r="H157" s="1334">
        <v>2046</v>
      </c>
      <c r="I157" s="325">
        <v>3.6499999999999998E-2</v>
      </c>
      <c r="J157" s="1334">
        <v>6</v>
      </c>
      <c r="K157" s="80"/>
      <c r="L157" s="81">
        <f t="shared" si="2155"/>
        <v>0</v>
      </c>
      <c r="M157" s="82">
        <f t="shared" si="2331"/>
        <v>0</v>
      </c>
      <c r="N157" s="83">
        <f t="shared" si="2332"/>
        <v>0</v>
      </c>
      <c r="O157" s="83">
        <f t="shared" si="2333"/>
        <v>0</v>
      </c>
      <c r="P157" s="84">
        <f t="shared" si="2334"/>
        <v>0</v>
      </c>
      <c r="Q157" s="81">
        <f t="shared" si="2160"/>
        <v>0</v>
      </c>
      <c r="R157" s="82">
        <f t="shared" si="2335"/>
        <v>0</v>
      </c>
      <c r="S157" s="83">
        <f t="shared" si="2336"/>
        <v>0</v>
      </c>
      <c r="T157" s="83">
        <f t="shared" si="2337"/>
        <v>0</v>
      </c>
      <c r="U157" s="84">
        <f t="shared" si="2338"/>
        <v>0</v>
      </c>
      <c r="V157" s="81">
        <f t="shared" si="2165"/>
        <v>0</v>
      </c>
      <c r="W157" s="82">
        <f t="shared" si="2339"/>
        <v>0</v>
      </c>
      <c r="X157" s="83">
        <f t="shared" si="2340"/>
        <v>0</v>
      </c>
      <c r="Y157" s="83">
        <f t="shared" si="2341"/>
        <v>0</v>
      </c>
      <c r="Z157" s="84">
        <f t="shared" si="2342"/>
        <v>0</v>
      </c>
      <c r="AA157" s="81">
        <f t="shared" si="2170"/>
        <v>0</v>
      </c>
      <c r="AB157" s="82">
        <f t="shared" si="2343"/>
        <v>0</v>
      </c>
      <c r="AC157" s="83">
        <f t="shared" si="2344"/>
        <v>0</v>
      </c>
      <c r="AD157" s="83">
        <f t="shared" si="2345"/>
        <v>0</v>
      </c>
      <c r="AE157" s="84">
        <f t="shared" si="2346"/>
        <v>0</v>
      </c>
      <c r="AF157" s="81">
        <f t="shared" si="2175"/>
        <v>0</v>
      </c>
      <c r="AG157" s="82">
        <f t="shared" si="2347"/>
        <v>0</v>
      </c>
      <c r="AH157" s="83">
        <f t="shared" si="2348"/>
        <v>0</v>
      </c>
      <c r="AI157" s="83">
        <f t="shared" si="2349"/>
        <v>0</v>
      </c>
      <c r="AJ157" s="84">
        <f t="shared" si="2350"/>
        <v>0</v>
      </c>
      <c r="AK157" s="81">
        <f t="shared" si="2180"/>
        <v>0</v>
      </c>
      <c r="AL157" s="82">
        <f t="shared" si="2351"/>
        <v>0</v>
      </c>
      <c r="AM157" s="83">
        <f t="shared" si="2352"/>
        <v>0</v>
      </c>
      <c r="AN157" s="83">
        <f t="shared" si="2353"/>
        <v>0</v>
      </c>
      <c r="AO157" s="84">
        <f t="shared" si="2354"/>
        <v>0</v>
      </c>
      <c r="AP157" s="81">
        <f t="shared" si="2185"/>
        <v>0</v>
      </c>
      <c r="AQ157" s="82">
        <f t="shared" si="2355"/>
        <v>0</v>
      </c>
      <c r="AR157" s="83">
        <f t="shared" si="2356"/>
        <v>0</v>
      </c>
      <c r="AS157" s="83">
        <f t="shared" si="2357"/>
        <v>0</v>
      </c>
      <c r="AT157" s="84">
        <f t="shared" si="2358"/>
        <v>0</v>
      </c>
      <c r="AU157" s="81">
        <f t="shared" si="2190"/>
        <v>0</v>
      </c>
      <c r="AV157" s="82">
        <f t="shared" si="2359"/>
        <v>0</v>
      </c>
      <c r="AW157" s="83">
        <f t="shared" si="2360"/>
        <v>0</v>
      </c>
      <c r="AX157" s="83">
        <f t="shared" si="2361"/>
        <v>0</v>
      </c>
      <c r="AY157" s="84">
        <f t="shared" si="2362"/>
        <v>0</v>
      </c>
      <c r="AZ157" s="81">
        <f t="shared" si="2195"/>
        <v>0</v>
      </c>
      <c r="BA157" s="82">
        <f t="shared" si="2363"/>
        <v>0</v>
      </c>
      <c r="BB157" s="83">
        <f t="shared" si="2364"/>
        <v>0</v>
      </c>
      <c r="BC157" s="83">
        <f t="shared" si="2365"/>
        <v>0</v>
      </c>
      <c r="BD157" s="84">
        <f t="shared" si="2366"/>
        <v>0</v>
      </c>
      <c r="BE157" s="81">
        <f t="shared" si="2200"/>
        <v>0</v>
      </c>
      <c r="BF157" s="1877"/>
      <c r="BG157" s="2005">
        <f t="shared" si="2367"/>
        <v>0</v>
      </c>
      <c r="BH157" s="86">
        <f t="shared" si="2368"/>
        <v>0</v>
      </c>
      <c r="BI157" s="87">
        <f t="shared" si="2369"/>
        <v>0</v>
      </c>
      <c r="BJ157" s="87">
        <f t="shared" si="2370"/>
        <v>0</v>
      </c>
      <c r="BK157" s="88">
        <f t="shared" si="2371"/>
        <v>0</v>
      </c>
      <c r="BL157" s="85">
        <f t="shared" si="2372"/>
        <v>0</v>
      </c>
      <c r="BM157" s="86">
        <f t="shared" si="2373"/>
        <v>0</v>
      </c>
      <c r="BN157" s="87">
        <f t="shared" si="2374"/>
        <v>0</v>
      </c>
      <c r="BO157" s="87">
        <f t="shared" si="2375"/>
        <v>0</v>
      </c>
      <c r="BP157" s="88">
        <f t="shared" si="2376"/>
        <v>0</v>
      </c>
      <c r="BQ157" s="85">
        <f t="shared" si="2377"/>
        <v>0</v>
      </c>
      <c r="BR157" s="86">
        <f t="shared" si="2378"/>
        <v>0</v>
      </c>
      <c r="BS157" s="87">
        <f t="shared" si="2379"/>
        <v>0</v>
      </c>
      <c r="BT157" s="87">
        <f t="shared" si="2380"/>
        <v>0</v>
      </c>
      <c r="BU157" s="88">
        <f t="shared" si="2381"/>
        <v>0</v>
      </c>
      <c r="BV157" s="85">
        <f t="shared" si="2382"/>
        <v>0</v>
      </c>
      <c r="BW157" s="86">
        <f t="shared" si="2383"/>
        <v>0</v>
      </c>
      <c r="BX157" s="87">
        <f t="shared" si="2384"/>
        <v>0</v>
      </c>
      <c r="BY157" s="87">
        <f t="shared" si="2385"/>
        <v>0</v>
      </c>
      <c r="BZ157" s="88">
        <f t="shared" si="2386"/>
        <v>0</v>
      </c>
      <c r="CA157" s="85">
        <f t="shared" si="2387"/>
        <v>0</v>
      </c>
      <c r="CB157" s="86">
        <f t="shared" si="2388"/>
        <v>0</v>
      </c>
      <c r="CC157" s="87">
        <f t="shared" si="2389"/>
        <v>0</v>
      </c>
      <c r="CD157" s="87">
        <f t="shared" si="2390"/>
        <v>0</v>
      </c>
      <c r="CE157" s="88">
        <f t="shared" si="2391"/>
        <v>0</v>
      </c>
      <c r="CF157" s="85">
        <f t="shared" si="2392"/>
        <v>0</v>
      </c>
      <c r="CG157" s="86">
        <f t="shared" si="2393"/>
        <v>0</v>
      </c>
      <c r="CH157" s="87">
        <f t="shared" si="2394"/>
        <v>0</v>
      </c>
      <c r="CI157" s="87">
        <f t="shared" si="2395"/>
        <v>0</v>
      </c>
      <c r="CJ157" s="88">
        <f t="shared" si="2396"/>
        <v>0</v>
      </c>
      <c r="CK157" s="85">
        <f t="shared" si="2397"/>
        <v>0</v>
      </c>
      <c r="CL157" s="86">
        <f t="shared" si="2398"/>
        <v>0</v>
      </c>
      <c r="CM157" s="87">
        <f t="shared" si="2399"/>
        <v>0</v>
      </c>
      <c r="CN157" s="87">
        <f t="shared" si="2400"/>
        <v>0</v>
      </c>
      <c r="CO157" s="88">
        <f t="shared" si="2401"/>
        <v>0</v>
      </c>
      <c r="CP157" s="85">
        <f t="shared" si="2402"/>
        <v>0</v>
      </c>
      <c r="CQ157" s="86">
        <f t="shared" si="2403"/>
        <v>0</v>
      </c>
      <c r="CR157" s="87">
        <f t="shared" si="2404"/>
        <v>0</v>
      </c>
      <c r="CS157" s="87">
        <f t="shared" si="2405"/>
        <v>0</v>
      </c>
      <c r="CT157" s="88">
        <f t="shared" si="2406"/>
        <v>0</v>
      </c>
      <c r="CU157" s="85">
        <f t="shared" si="2407"/>
        <v>0</v>
      </c>
      <c r="CV157" s="86">
        <f t="shared" si="2408"/>
        <v>0</v>
      </c>
      <c r="CW157" s="87">
        <f t="shared" si="2409"/>
        <v>0</v>
      </c>
      <c r="CX157" s="87">
        <f t="shared" si="2410"/>
        <v>0</v>
      </c>
      <c r="CY157" s="88">
        <f t="shared" si="2411"/>
        <v>0</v>
      </c>
      <c r="CZ157" s="85">
        <f t="shared" si="2412"/>
        <v>0</v>
      </c>
    </row>
    <row r="158" spans="1:104" ht="12.75" customHeight="1">
      <c r="A158" s="4"/>
      <c r="B158" s="4"/>
      <c r="C158" s="1999" t="s">
        <v>1542</v>
      </c>
      <c r="D158" s="2114"/>
      <c r="E158" s="2115">
        <f t="shared" si="2330"/>
        <v>350</v>
      </c>
      <c r="F158" s="2313">
        <v>350</v>
      </c>
      <c r="G158" s="1511">
        <v>0</v>
      </c>
      <c r="H158" s="1334">
        <v>2027</v>
      </c>
      <c r="I158" s="325">
        <v>2.9499999999999998E-2</v>
      </c>
      <c r="J158" s="1334">
        <v>8</v>
      </c>
      <c r="K158" s="80"/>
      <c r="L158" s="81">
        <f t="shared" si="2155"/>
        <v>0</v>
      </c>
      <c r="M158" s="82">
        <f t="shared" si="2331"/>
        <v>0</v>
      </c>
      <c r="N158" s="83">
        <f t="shared" si="2332"/>
        <v>0</v>
      </c>
      <c r="O158" s="83">
        <f t="shared" si="2333"/>
        <v>0</v>
      </c>
      <c r="P158" s="84">
        <f t="shared" si="2334"/>
        <v>0</v>
      </c>
      <c r="Q158" s="81">
        <f t="shared" si="2160"/>
        <v>0</v>
      </c>
      <c r="R158" s="82">
        <f t="shared" si="2335"/>
        <v>0</v>
      </c>
      <c r="S158" s="83">
        <f t="shared" si="2336"/>
        <v>0</v>
      </c>
      <c r="T158" s="83">
        <f t="shared" si="2337"/>
        <v>0</v>
      </c>
      <c r="U158" s="84">
        <f t="shared" si="2338"/>
        <v>0</v>
      </c>
      <c r="V158" s="81">
        <f t="shared" si="2165"/>
        <v>0</v>
      </c>
      <c r="W158" s="82">
        <f t="shared" si="2339"/>
        <v>0</v>
      </c>
      <c r="X158" s="83">
        <f t="shared" si="2340"/>
        <v>0</v>
      </c>
      <c r="Y158" s="83">
        <f t="shared" si="2341"/>
        <v>0</v>
      </c>
      <c r="Z158" s="84">
        <f t="shared" si="2342"/>
        <v>0</v>
      </c>
      <c r="AA158" s="81">
        <f t="shared" si="2170"/>
        <v>0</v>
      </c>
      <c r="AB158" s="82">
        <f t="shared" si="2343"/>
        <v>0</v>
      </c>
      <c r="AC158" s="83">
        <f t="shared" si="2344"/>
        <v>0</v>
      </c>
      <c r="AD158" s="83">
        <f t="shared" si="2345"/>
        <v>0</v>
      </c>
      <c r="AE158" s="84">
        <f t="shared" si="2346"/>
        <v>0</v>
      </c>
      <c r="AF158" s="81">
        <f t="shared" si="2175"/>
        <v>0</v>
      </c>
      <c r="AG158" s="82">
        <f t="shared" si="2347"/>
        <v>0</v>
      </c>
      <c r="AH158" s="83">
        <f t="shared" si="2348"/>
        <v>0</v>
      </c>
      <c r="AI158" s="83">
        <f t="shared" si="2349"/>
        <v>0</v>
      </c>
      <c r="AJ158" s="84">
        <f t="shared" si="2350"/>
        <v>0</v>
      </c>
      <c r="AK158" s="81">
        <f t="shared" si="2180"/>
        <v>0</v>
      </c>
      <c r="AL158" s="82">
        <f t="shared" si="2351"/>
        <v>0</v>
      </c>
      <c r="AM158" s="83">
        <f t="shared" si="2352"/>
        <v>0</v>
      </c>
      <c r="AN158" s="83">
        <f t="shared" si="2353"/>
        <v>0</v>
      </c>
      <c r="AO158" s="84">
        <f t="shared" si="2354"/>
        <v>0</v>
      </c>
      <c r="AP158" s="81">
        <f t="shared" si="2185"/>
        <v>0</v>
      </c>
      <c r="AQ158" s="82">
        <f t="shared" si="2355"/>
        <v>0</v>
      </c>
      <c r="AR158" s="83">
        <f t="shared" si="2356"/>
        <v>0</v>
      </c>
      <c r="AS158" s="83">
        <f t="shared" si="2357"/>
        <v>0</v>
      </c>
      <c r="AT158" s="84">
        <f t="shared" si="2358"/>
        <v>0</v>
      </c>
      <c r="AU158" s="81">
        <f t="shared" si="2190"/>
        <v>0</v>
      </c>
      <c r="AV158" s="82">
        <f t="shared" si="2359"/>
        <v>0</v>
      </c>
      <c r="AW158" s="83">
        <f t="shared" si="2360"/>
        <v>0</v>
      </c>
      <c r="AX158" s="83">
        <f t="shared" si="2361"/>
        <v>0</v>
      </c>
      <c r="AY158" s="84">
        <f t="shared" si="2362"/>
        <v>0</v>
      </c>
      <c r="AZ158" s="81">
        <f t="shared" si="2195"/>
        <v>0</v>
      </c>
      <c r="BA158" s="82">
        <f t="shared" si="2363"/>
        <v>0</v>
      </c>
      <c r="BB158" s="83">
        <f t="shared" si="2364"/>
        <v>0</v>
      </c>
      <c r="BC158" s="83">
        <f t="shared" si="2365"/>
        <v>0</v>
      </c>
      <c r="BD158" s="84">
        <f t="shared" si="2366"/>
        <v>0</v>
      </c>
      <c r="BE158" s="81">
        <f t="shared" si="2200"/>
        <v>0</v>
      </c>
      <c r="BF158" s="1877"/>
      <c r="BG158" s="2005">
        <f t="shared" si="2367"/>
        <v>0</v>
      </c>
      <c r="BH158" s="86">
        <f t="shared" si="2368"/>
        <v>0</v>
      </c>
      <c r="BI158" s="87">
        <f t="shared" si="2369"/>
        <v>0</v>
      </c>
      <c r="BJ158" s="87">
        <f t="shared" si="2370"/>
        <v>0</v>
      </c>
      <c r="BK158" s="88">
        <f t="shared" si="2371"/>
        <v>0</v>
      </c>
      <c r="BL158" s="85">
        <f t="shared" si="2372"/>
        <v>0</v>
      </c>
      <c r="BM158" s="86">
        <f t="shared" si="2373"/>
        <v>0</v>
      </c>
      <c r="BN158" s="87">
        <f t="shared" si="2374"/>
        <v>0</v>
      </c>
      <c r="BO158" s="87">
        <f t="shared" si="2375"/>
        <v>0</v>
      </c>
      <c r="BP158" s="88">
        <f t="shared" si="2376"/>
        <v>0</v>
      </c>
      <c r="BQ158" s="85">
        <f t="shared" si="2377"/>
        <v>0</v>
      </c>
      <c r="BR158" s="86">
        <f t="shared" si="2378"/>
        <v>0</v>
      </c>
      <c r="BS158" s="87">
        <f t="shared" si="2379"/>
        <v>0</v>
      </c>
      <c r="BT158" s="87">
        <f t="shared" si="2380"/>
        <v>0</v>
      </c>
      <c r="BU158" s="88">
        <f t="shared" si="2381"/>
        <v>0</v>
      </c>
      <c r="BV158" s="85">
        <f t="shared" si="2382"/>
        <v>0</v>
      </c>
      <c r="BW158" s="86">
        <f t="shared" si="2383"/>
        <v>0</v>
      </c>
      <c r="BX158" s="87">
        <f t="shared" si="2384"/>
        <v>0</v>
      </c>
      <c r="BY158" s="87">
        <f t="shared" si="2385"/>
        <v>0</v>
      </c>
      <c r="BZ158" s="88">
        <f t="shared" si="2386"/>
        <v>0</v>
      </c>
      <c r="CA158" s="85">
        <f t="shared" si="2387"/>
        <v>0</v>
      </c>
      <c r="CB158" s="86">
        <f t="shared" si="2388"/>
        <v>0</v>
      </c>
      <c r="CC158" s="87">
        <f t="shared" si="2389"/>
        <v>0</v>
      </c>
      <c r="CD158" s="87">
        <f t="shared" si="2390"/>
        <v>0</v>
      </c>
      <c r="CE158" s="88">
        <f t="shared" si="2391"/>
        <v>0</v>
      </c>
      <c r="CF158" s="85">
        <f t="shared" si="2392"/>
        <v>0</v>
      </c>
      <c r="CG158" s="86">
        <f t="shared" si="2393"/>
        <v>0</v>
      </c>
      <c r="CH158" s="87">
        <f t="shared" si="2394"/>
        <v>0</v>
      </c>
      <c r="CI158" s="87">
        <f t="shared" si="2395"/>
        <v>0</v>
      </c>
      <c r="CJ158" s="88">
        <f t="shared" si="2396"/>
        <v>0</v>
      </c>
      <c r="CK158" s="85">
        <f t="shared" si="2397"/>
        <v>0</v>
      </c>
      <c r="CL158" s="86">
        <f t="shared" si="2398"/>
        <v>0</v>
      </c>
      <c r="CM158" s="87">
        <f t="shared" si="2399"/>
        <v>0</v>
      </c>
      <c r="CN158" s="87">
        <f t="shared" si="2400"/>
        <v>0</v>
      </c>
      <c r="CO158" s="88">
        <f t="shared" si="2401"/>
        <v>0</v>
      </c>
      <c r="CP158" s="85">
        <f t="shared" si="2402"/>
        <v>0</v>
      </c>
      <c r="CQ158" s="86">
        <f t="shared" si="2403"/>
        <v>0</v>
      </c>
      <c r="CR158" s="87">
        <f t="shared" si="2404"/>
        <v>0</v>
      </c>
      <c r="CS158" s="87">
        <f t="shared" si="2405"/>
        <v>0</v>
      </c>
      <c r="CT158" s="88">
        <f t="shared" si="2406"/>
        <v>0</v>
      </c>
      <c r="CU158" s="85">
        <f t="shared" si="2407"/>
        <v>0</v>
      </c>
      <c r="CV158" s="86">
        <f t="shared" si="2408"/>
        <v>0</v>
      </c>
      <c r="CW158" s="87">
        <f t="shared" si="2409"/>
        <v>0</v>
      </c>
      <c r="CX158" s="87">
        <f t="shared" si="2410"/>
        <v>0</v>
      </c>
      <c r="CY158" s="88">
        <f t="shared" si="2411"/>
        <v>0</v>
      </c>
      <c r="CZ158" s="85">
        <f t="shared" si="2412"/>
        <v>0</v>
      </c>
    </row>
    <row r="159" spans="1:104" ht="12.75" customHeight="1">
      <c r="A159" s="4"/>
      <c r="B159" s="4"/>
      <c r="C159" s="1999" t="s">
        <v>1543</v>
      </c>
      <c r="D159" s="2114"/>
      <c r="E159" s="2115">
        <f t="shared" si="2330"/>
        <v>650</v>
      </c>
      <c r="F159" s="2313">
        <v>650</v>
      </c>
      <c r="G159" s="1511">
        <v>0</v>
      </c>
      <c r="H159" s="1334">
        <v>2047</v>
      </c>
      <c r="I159" s="325">
        <v>3.7499999999999999E-2</v>
      </c>
      <c r="J159" s="1334">
        <v>8</v>
      </c>
      <c r="K159" s="80"/>
      <c r="L159" s="81">
        <f t="shared" si="2155"/>
        <v>0</v>
      </c>
      <c r="M159" s="82">
        <f t="shared" ref="M159" si="2413">IF(Q159=0,0,IF(Q159&lt;0,IF($J159=3,Q159,IF($J159=2,Q159,IF($J159=1,Q159,0)))))</f>
        <v>0</v>
      </c>
      <c r="N159" s="83">
        <f t="shared" ref="N159" si="2414">IF(Q159=0,0,IF(Q159&lt;0,IF($J159=6,Q159,IF($J159=5,Q159,IF($J159=4,Q159,0)))))</f>
        <v>0</v>
      </c>
      <c r="O159" s="83">
        <f t="shared" ref="O159" si="2415">IF(Q159=0,0,IF(Q159&lt;0,IF($J159=9,Q159,IF($J159=8,Q159,IF($J159=7,Q159,0)))))</f>
        <v>0</v>
      </c>
      <c r="P159" s="84">
        <f t="shared" ref="P159" si="2416">IF(Q159=0,0,IF(Q159&lt;0,IF($J159=12,Q159,IF($J159=11,Q159,IF($J159=10,Q159,0)))))</f>
        <v>0</v>
      </c>
      <c r="Q159" s="81">
        <f t="shared" si="2160"/>
        <v>0</v>
      </c>
      <c r="R159" s="82">
        <f t="shared" ref="R159" si="2417">IF(V159=0,0,IF(V159&lt;0,IF($J159=3,V159,IF($J159=2,V159,IF($J159=1,V159,0)))))</f>
        <v>0</v>
      </c>
      <c r="S159" s="83">
        <f t="shared" ref="S159" si="2418">IF(V159=0,0,IF(V159&lt;0,IF($J159=6,V159,IF($J159=5,V159,IF($J159=4,V159,0)))))</f>
        <v>0</v>
      </c>
      <c r="T159" s="83">
        <f t="shared" ref="T159" si="2419">IF(V159=0,0,IF(V159&lt;0,IF($J159=9,V159,IF($J159=8,V159,IF($J159=7,V159,0)))))</f>
        <v>0</v>
      </c>
      <c r="U159" s="84">
        <f t="shared" ref="U159" si="2420">IF(V159=0,0,IF(V159&lt;0,IF($J159=12,V159,IF($J159=11,V159,IF($J159=10,V159,0)))))</f>
        <v>0</v>
      </c>
      <c r="V159" s="81">
        <f t="shared" si="2165"/>
        <v>0</v>
      </c>
      <c r="W159" s="82">
        <f t="shared" ref="W159" si="2421">IF(AA159=0,0,IF(AA159&lt;0,IF($J159=3,AA159,IF($J159=2,AA159,IF($J159=1,AA159,0)))))</f>
        <v>0</v>
      </c>
      <c r="X159" s="83">
        <f t="shared" ref="X159" si="2422">IF(AA159=0,0,IF(AA159&lt;0,IF($J159=6,AA159,IF($J159=5,AA159,IF($J159=4,AA159,0)))))</f>
        <v>0</v>
      </c>
      <c r="Y159" s="83">
        <f t="shared" ref="Y159" si="2423">IF(AA159=0,0,IF(AA159&lt;0,IF($J159=9,AA159,IF($J159=8,AA159,IF($J159=7,AA159,0)))))</f>
        <v>0</v>
      </c>
      <c r="Z159" s="84">
        <f t="shared" ref="Z159" si="2424">IF(AA159=0,0,IF(AA159&lt;0,IF($J159=12,AA159,IF($J159=11,AA159,IF($J159=10,AA159,0)))))</f>
        <v>0</v>
      </c>
      <c r="AA159" s="81">
        <f t="shared" si="2170"/>
        <v>0</v>
      </c>
      <c r="AB159" s="82">
        <f t="shared" ref="AB159" si="2425">IF(AF159=0,0,IF(AF159&lt;0,IF($J159=3,AF159,IF($J159=2,AF159,IF($J159=1,AF159,0)))))</f>
        <v>0</v>
      </c>
      <c r="AC159" s="83">
        <f t="shared" ref="AC159" si="2426">IF(AF159=0,0,IF(AF159&lt;0,IF($J159=6,AF159,IF($J159=5,AF159,IF($J159=4,AF159,0)))))</f>
        <v>0</v>
      </c>
      <c r="AD159" s="83">
        <f t="shared" ref="AD159" si="2427">IF(AF159=0,0,IF(AF159&lt;0,IF($J159=9,AF159,IF($J159=8,AF159,IF($J159=7,AF159,0)))))</f>
        <v>0</v>
      </c>
      <c r="AE159" s="84">
        <f t="shared" ref="AE159" si="2428">IF(AF159=0,0,IF(AF159&lt;0,IF($J159=12,AF159,IF($J159=11,AF159,IF($J159=10,AF159,0)))))</f>
        <v>0</v>
      </c>
      <c r="AF159" s="81">
        <f t="shared" si="2175"/>
        <v>0</v>
      </c>
      <c r="AG159" s="82">
        <f t="shared" ref="AG159" si="2429">IF(AK159=0,0,IF(AK159&lt;0,IF($J159=3,AK159,IF($J159=2,AK159,IF($J159=1,AK159,0)))))</f>
        <v>0</v>
      </c>
      <c r="AH159" s="83">
        <f t="shared" ref="AH159" si="2430">IF(AK159=0,0,IF(AK159&lt;0,IF($J159=6,AK159,IF($J159=5,AK159,IF($J159=4,AK159,0)))))</f>
        <v>0</v>
      </c>
      <c r="AI159" s="83">
        <f t="shared" ref="AI159" si="2431">IF(AK159=0,0,IF(AK159&lt;0,IF($J159=9,AK159,IF($J159=8,AK159,IF($J159=7,AK159,0)))))</f>
        <v>0</v>
      </c>
      <c r="AJ159" s="84">
        <f t="shared" ref="AJ159" si="2432">IF(AK159=0,0,IF(AK159&lt;0,IF($J159=12,AK159,IF($J159=11,AK159,IF($J159=10,AK159,0)))))</f>
        <v>0</v>
      </c>
      <c r="AK159" s="81">
        <f t="shared" si="2180"/>
        <v>0</v>
      </c>
      <c r="AL159" s="82">
        <f t="shared" ref="AL159" si="2433">IF(AP159=0,0,IF(AP159&lt;0,IF($J159=3,AP159,IF($J159=2,AP159,IF($J159=1,AP159,0)))))</f>
        <v>0</v>
      </c>
      <c r="AM159" s="83">
        <f t="shared" ref="AM159" si="2434">IF(AP159=0,0,IF(AP159&lt;0,IF($J159=6,AP159,IF($J159=5,AP159,IF($J159=4,AP159,0)))))</f>
        <v>0</v>
      </c>
      <c r="AN159" s="83">
        <f t="shared" ref="AN159" si="2435">IF(AP159=0,0,IF(AP159&lt;0,IF($J159=9,AP159,IF($J159=8,AP159,IF($J159=7,AP159,0)))))</f>
        <v>0</v>
      </c>
      <c r="AO159" s="84">
        <f t="shared" ref="AO159" si="2436">IF(AP159=0,0,IF(AP159&lt;0,IF($J159=12,AP159,IF($J159=11,AP159,IF($J159=10,AP159,0)))))</f>
        <v>0</v>
      </c>
      <c r="AP159" s="81">
        <f t="shared" si="2185"/>
        <v>0</v>
      </c>
      <c r="AQ159" s="82">
        <f t="shared" ref="AQ159" si="2437">IF(AU159=0,0,IF(AU159&lt;0,IF($J159=3,AU159,IF($J159=2,AU159,IF($J159=1,AU159,0)))))</f>
        <v>0</v>
      </c>
      <c r="AR159" s="83">
        <f t="shared" ref="AR159" si="2438">IF(AU159=0,0,IF(AU159&lt;0,IF($J159=6,AU159,IF($J159=5,AU159,IF($J159=4,AU159,0)))))</f>
        <v>0</v>
      </c>
      <c r="AS159" s="83">
        <f t="shared" ref="AS159" si="2439">IF(AU159=0,0,IF(AU159&lt;0,IF($J159=9,AU159,IF($J159=8,AU159,IF($J159=7,AU159,0)))))</f>
        <v>0</v>
      </c>
      <c r="AT159" s="84">
        <f t="shared" ref="AT159" si="2440">IF(AU159=0,0,IF(AU159&lt;0,IF($J159=12,AU159,IF($J159=11,AU159,IF($J159=10,AU159,0)))))</f>
        <v>0</v>
      </c>
      <c r="AU159" s="81">
        <f t="shared" si="2190"/>
        <v>0</v>
      </c>
      <c r="AV159" s="82">
        <f t="shared" ref="AV159" si="2441">IF(AZ159=0,0,IF(AZ159&lt;0,IF($J159=3,AZ159,IF($J159=2,AZ159,IF($J159=1,AZ159,0)))))</f>
        <v>0</v>
      </c>
      <c r="AW159" s="83">
        <f t="shared" ref="AW159" si="2442">IF(AZ159=0,0,IF(AZ159&lt;0,IF($J159=6,AZ159,IF($J159=5,AZ159,IF($J159=4,AZ159,0)))))</f>
        <v>0</v>
      </c>
      <c r="AX159" s="83">
        <f t="shared" ref="AX159" si="2443">IF(AZ159=0,0,IF(AZ159&lt;0,IF($J159=9,AZ159,IF($J159=8,AZ159,IF($J159=7,AZ159,0)))))</f>
        <v>0</v>
      </c>
      <c r="AY159" s="84">
        <f t="shared" ref="AY159" si="2444">IF(AZ159=0,0,IF(AZ159&lt;0,IF($J159=12,AZ159,IF($J159=11,AZ159,IF($J159=10,AZ159,0)))))</f>
        <v>0</v>
      </c>
      <c r="AZ159" s="81">
        <f t="shared" si="2195"/>
        <v>0</v>
      </c>
      <c r="BA159" s="82">
        <f t="shared" ref="BA159" si="2445">IF(BE159=0,0,IF(BE159&lt;0,IF($J159=3,BE159,IF($J159=2,BE159,IF($J159=1,BE159,0)))))</f>
        <v>0</v>
      </c>
      <c r="BB159" s="83">
        <f t="shared" ref="BB159" si="2446">IF(BE159=0,0,IF(BE159&lt;0,IF($J159=6,BE159,IF($J159=5,BE159,IF($J159=4,BE159,0)))))</f>
        <v>0</v>
      </c>
      <c r="BC159" s="83">
        <f t="shared" ref="BC159" si="2447">IF(BE159=0,0,IF(BE159&lt;0,IF($J159=9,BE159,IF($J159=8,BE159,IF($J159=7,BE159,0)))))</f>
        <v>0</v>
      </c>
      <c r="BD159" s="84">
        <f t="shared" ref="BD159" si="2448">IF(BE159=0,0,IF(BE159&lt;0,IF($J159=12,BE159,IF($J159=11,BE159,IF($J159=10,BE159,0)))))</f>
        <v>0</v>
      </c>
      <c r="BE159" s="81">
        <f t="shared" si="2200"/>
        <v>0</v>
      </c>
      <c r="BF159" s="1877"/>
      <c r="BG159" s="2005">
        <f t="shared" ref="BG159" si="2449">IF(AND(BF159&lt;&gt;0,BF$5=$H159),-$I159*$E159-BF159,IF(BG$5=$H159,-$I159*$E159*(12-$J159+1)/12,0))</f>
        <v>0</v>
      </c>
      <c r="BH159" s="86">
        <f t="shared" ref="BH159" si="2450">IF($H159&lt;&gt;BL$5,0,IF(BL159&lt;0,IF($J159=1,-$E159*$I159/12*3,IF($J159=2,-$E159*$I159/12*2,IF($J159=3,-$E159*$I159/12*1,0)))))+IF(BG$5&lt;&gt;$H159,0,IF(BG159&lt;0,IF($J159=1,-$E159*$I159/12*0,IF($J159=2,-$E159*$I159/12*1,IF($J159=3,-$E159*$I159/12*2,IF($J159&gt;=4,-$E159*$I159/12*3,0))))))</f>
        <v>0</v>
      </c>
      <c r="BI159" s="87">
        <f t="shared" ref="BI159" si="2451">IF($H159&lt;&gt;BL$5,0,IF(BL159&lt;0,IF(OR($J159=1,$J159=2,$J159=3,$J159=4),-$E159*$I159/12*3,IF($J159=5,-$E159*$I159/12*2,IF($J159=6,-$E159*$I159/12*1,0)))))+IF(BG$5&lt;&gt;$H159,0,IF(BG159&lt;0,IF($J159=4,-$E159*$I159/12*0,IF($J159=5,-$E159*$I159/12*1,IF($J159=6,-$E159*$I159/12*2,IF($J159&gt;=7,-$E159*$I159/12*3,0))))))</f>
        <v>0</v>
      </c>
      <c r="BJ159" s="87">
        <f t="shared" ref="BJ159" si="2452">IF($H159&lt;&gt;BL$5,0,IF(BL159&lt;0,IF(OR($J159=1,$J159=2,$J159=3,$J159=4,$J159=5,$J159=6,$J159=7),-$E159*$I159/12*3,IF($J159=8,-$E159*$I159/12*2,IF($J159=9,-$E159*$I159/12*1,0)))))+IF(BG$5&lt;&gt;$H159,0,IF(BG159&lt;0,IF($J159=7,-$E159*$I159/12*0,IF($J159=8,-$E159*$I159/12*1,IF($J159=9,-$E159*$I159/12*2,IF($J159&gt;=10,-$E159*$I159/12*3,0))))))</f>
        <v>0</v>
      </c>
      <c r="BK159" s="88">
        <f t="shared" ref="BK159" si="2453">IF($H159&lt;&gt;BL$5,0,IF(BL159&lt;0,IF(OR($J159=1,$J159=2,$J159=3,$J159=4,$J159=5,$J159=6,$J159=7,$J159=8,$J159=9,$J159=10),-$E159*$I159/12*3,IF($J159=11,-$E159*$I159/12*2,IF($J159=12,-$E159*$I159/12*1,0)))))+IF(BG$5&lt;&gt;$H159,0,IF(BG159&lt;0,IF($J159=10,-$E159*$I159/12*0,IF($J159=11,-$E159*$I159/12*1,IF($J159=12,-$E159*$I159/12*2,0)))))</f>
        <v>0</v>
      </c>
      <c r="BL159" s="85">
        <f t="shared" ref="BL159" si="2454">IF(AND(BG159&lt;&gt;0,BG$5=$H159),-$I159*$E159-BG159,IF(BL$5=$H159,-$I159*$E159*(12-$J159+1)/12,0))</f>
        <v>0</v>
      </c>
      <c r="BM159" s="86">
        <f t="shared" ref="BM159" si="2455">IF($H159&lt;&gt;BQ$5,0,IF(BQ159&lt;0,IF($J159=1,-$E159*$I159/12*3,IF($J159=2,-$E159*$I159/12*2,IF($J159=3,-$E159*$I159/12*1,0)))))+IF(BL$5&lt;&gt;$H159,0,IF(BL159&lt;0,IF($J159=1,-$E159*$I159/12*0,IF($J159=2,-$E159*$I159/12*1,IF($J159=3,-$E159*$I159/12*2,IF($J159&gt;=4,-$E159*$I159/12*3,0))))))</f>
        <v>0</v>
      </c>
      <c r="BN159" s="87">
        <f t="shared" ref="BN159" si="2456">IF($H159&lt;&gt;BQ$5,0,IF(BQ159&lt;0,IF(OR($J159=1,$J159=2,$J159=3,$J159=4),-$E159*$I159/12*3,IF($J159=5,-$E159*$I159/12*2,IF($J159=6,-$E159*$I159/12*1,0)))))+IF(BL$5&lt;&gt;$H159,0,IF(BL159&lt;0,IF($J159=4,-$E159*$I159/12*0,IF($J159=5,-$E159*$I159/12*1,IF($J159=6,-$E159*$I159/12*2,IF($J159&gt;=7,-$E159*$I159/12*3,0))))))</f>
        <v>0</v>
      </c>
      <c r="BO159" s="87">
        <f t="shared" ref="BO159" si="2457">IF($H159&lt;&gt;BQ$5,0,IF(BQ159&lt;0,IF(OR($J159=1,$J159=2,$J159=3,$J159=4,$J159=5,$J159=6,$J159=7),-$E159*$I159/12*3,IF($J159=8,-$E159*$I159/12*2,IF($J159=9,-$E159*$I159/12*1,0)))))+IF(BL$5&lt;&gt;$H159,0,IF(BL159&lt;0,IF($J159=7,-$E159*$I159/12*0,IF($J159=8,-$E159*$I159/12*1,IF($J159=9,-$E159*$I159/12*2,IF($J159&gt;=10,-$E159*$I159/12*3,0))))))</f>
        <v>0</v>
      </c>
      <c r="BP159" s="88">
        <f t="shared" ref="BP159" si="2458">IF($H159&lt;&gt;BQ$5,0,IF(BQ159&lt;0,IF(OR($J159=1,$J159=2,$J159=3,$J159=4,$J159=5,$J159=6,$J159=7,$J159=8,$J159=9,$J159=10),-$E159*$I159/12*3,IF($J159=11,-$E159*$I159/12*2,IF($J159=12,-$E159*$I159/12*1,0)))))+IF(BL$5&lt;&gt;$H159,0,IF(BL159&lt;0,IF($J159=10,-$E159*$I159/12*0,IF($J159=11,-$E159*$I159/12*1,IF($J159=12,-$E159*$I159/12*2,0)))))</f>
        <v>0</v>
      </c>
      <c r="BQ159" s="85">
        <f t="shared" ref="BQ159" si="2459">IF(AND(BL159&lt;&gt;0,BL$5=$H159),-$I159*$E159-BL159,IF(BQ$5=$H159,-$I159*$E159*(12-$J159+1)/12,0))</f>
        <v>0</v>
      </c>
      <c r="BR159" s="86">
        <f t="shared" ref="BR159" si="2460">IF($H159&lt;&gt;BV$5,0,IF(BV159&lt;0,IF($J159=1,-$E159*$I159/12*3,IF($J159=2,-$E159*$I159/12*2,IF($J159=3,-$E159*$I159/12*1,0)))))+IF(BQ$5&lt;&gt;$H159,0,IF(BQ159&lt;0,IF($J159=1,-$E159*$I159/12*0,IF($J159=2,-$E159*$I159/12*1,IF($J159=3,-$E159*$I159/12*2,IF($J159&gt;=4,-$E159*$I159/12*3,0))))))</f>
        <v>0</v>
      </c>
      <c r="BS159" s="87">
        <f t="shared" ref="BS159" si="2461">IF($H159&lt;&gt;BV$5,0,IF(BV159&lt;0,IF(OR($J159=1,$J159=2,$J159=3,$J159=4),-$E159*$I159/12*3,IF($J159=5,-$E159*$I159/12*2,IF($J159=6,-$E159*$I159/12*1,0)))))+IF(BQ$5&lt;&gt;$H159,0,IF(BQ159&lt;0,IF($J159=4,-$E159*$I159/12*0,IF($J159=5,-$E159*$I159/12*1,IF($J159=6,-$E159*$I159/12*2,IF($J159&gt;=7,-$E159*$I159/12*3,0))))))</f>
        <v>0</v>
      </c>
      <c r="BT159" s="87">
        <f t="shared" ref="BT159" si="2462">IF($H159&lt;&gt;BV$5,0,IF(BV159&lt;0,IF(OR($J159=1,$J159=2,$J159=3,$J159=4,$J159=5,$J159=6,$J159=7),-$E159*$I159/12*3,IF($J159=8,-$E159*$I159/12*2,IF($J159=9,-$E159*$I159/12*1,0)))))+IF(BQ$5&lt;&gt;$H159,0,IF(BQ159&lt;0,IF($J159=7,-$E159*$I159/12*0,IF($J159=8,-$E159*$I159/12*1,IF($J159=9,-$E159*$I159/12*2,IF($J159&gt;=10,-$E159*$I159/12*3,0))))))</f>
        <v>0</v>
      </c>
      <c r="BU159" s="88">
        <f t="shared" ref="BU159" si="2463">IF($H159&lt;&gt;BV$5,0,IF(BV159&lt;0,IF(OR($J159=1,$J159=2,$J159=3,$J159=4,$J159=5,$J159=6,$J159=7,$J159=8,$J159=9,$J159=10),-$E159*$I159/12*3,IF($J159=11,-$E159*$I159/12*2,IF($J159=12,-$E159*$I159/12*1,0)))))+IF(BQ$5&lt;&gt;$H159,0,IF(BQ159&lt;0,IF($J159=10,-$E159*$I159/12*0,IF($J159=11,-$E159*$I159/12*1,IF($J159=12,-$E159*$I159/12*2,0)))))</f>
        <v>0</v>
      </c>
      <c r="BV159" s="85">
        <f t="shared" ref="BV159" si="2464">IF(AND(BQ159&lt;&gt;0,BQ$5=$H159),-$I159*$E159-BQ159,IF(BV$5=$H159,-$I159*$E159*(12-$J159+1)/12,0))</f>
        <v>0</v>
      </c>
      <c r="BW159" s="86">
        <f t="shared" ref="BW159" si="2465">IF($H159&lt;&gt;CA$5,0,IF(CA159&lt;0,IF($J159=1,-$E159*$I159/12*3,IF($J159=2,-$E159*$I159/12*2,IF($J159=3,-$E159*$I159/12*1,0)))))+IF(BV$5&lt;&gt;$H159,0,IF(BV159&lt;0,IF($J159=1,-$E159*$I159/12*0,IF($J159=2,-$E159*$I159/12*1,IF($J159=3,-$E159*$I159/12*2,IF($J159&gt;=4,-$E159*$I159/12*3,0))))))</f>
        <v>0</v>
      </c>
      <c r="BX159" s="87">
        <f t="shared" ref="BX159" si="2466">IF($H159&lt;&gt;CA$5,0,IF(CA159&lt;0,IF(OR($J159=1,$J159=2,$J159=3,$J159=4),-$E159*$I159/12*3,IF($J159=5,-$E159*$I159/12*2,IF($J159=6,-$E159*$I159/12*1,0)))))+IF(BV$5&lt;&gt;$H159,0,IF(BV159&lt;0,IF($J159=4,-$E159*$I159/12*0,IF($J159=5,-$E159*$I159/12*1,IF($J159=6,-$E159*$I159/12*2,IF($J159&gt;=7,-$E159*$I159/12*3,0))))))</f>
        <v>0</v>
      </c>
      <c r="BY159" s="87">
        <f t="shared" ref="BY159" si="2467">IF($H159&lt;&gt;CA$5,0,IF(CA159&lt;0,IF(OR($J159=1,$J159=2,$J159=3,$J159=4,$J159=5,$J159=6,$J159=7),-$E159*$I159/12*3,IF($J159=8,-$E159*$I159/12*2,IF($J159=9,-$E159*$I159/12*1,0)))))+IF(BV$5&lt;&gt;$H159,0,IF(BV159&lt;0,IF($J159=7,-$E159*$I159/12*0,IF($J159=8,-$E159*$I159/12*1,IF($J159=9,-$E159*$I159/12*2,IF($J159&gt;=10,-$E159*$I159/12*3,0))))))</f>
        <v>0</v>
      </c>
      <c r="BZ159" s="88">
        <f t="shared" ref="BZ159" si="2468">IF($H159&lt;&gt;CA$5,0,IF(CA159&lt;0,IF(OR($J159=1,$J159=2,$J159=3,$J159=4,$J159=5,$J159=6,$J159=7,$J159=8,$J159=9,$J159=10),-$E159*$I159/12*3,IF($J159=11,-$E159*$I159/12*2,IF($J159=12,-$E159*$I159/12*1,0)))))+IF(BV$5&lt;&gt;$H159,0,IF(BV159&lt;0,IF($J159=10,-$E159*$I159/12*0,IF($J159=11,-$E159*$I159/12*1,IF($J159=12,-$E159*$I159/12*2,0)))))</f>
        <v>0</v>
      </c>
      <c r="CA159" s="85">
        <f t="shared" ref="CA159" si="2469">IF(AND(BV159&lt;&gt;0,BV$5=$H159),-$I159*$E159-BV159,IF(CA$5=$H159,-$I159*$E159*(12-$J159+1)/12,0))</f>
        <v>0</v>
      </c>
      <c r="CB159" s="86">
        <f t="shared" ref="CB159" si="2470">IF($H159&lt;&gt;CF$5,0,IF(CF159&lt;0,IF($J159=1,-$E159*$I159/12*3,IF($J159=2,-$E159*$I159/12*2,IF($J159=3,-$E159*$I159/12*1,0)))))+IF(CA$5&lt;&gt;$H159,0,IF(CA159&lt;0,IF($J159=1,-$E159*$I159/12*0,IF($J159=2,-$E159*$I159/12*1,IF($J159=3,-$E159*$I159/12*2,IF($J159&gt;=4,-$E159*$I159/12*3,0))))))</f>
        <v>0</v>
      </c>
      <c r="CC159" s="87">
        <f t="shared" ref="CC159" si="2471">IF($H159&lt;&gt;CF$5,0,IF(CF159&lt;0,IF(OR($J159=1,$J159=2,$J159=3,$J159=4),-$E159*$I159/12*3,IF($J159=5,-$E159*$I159/12*2,IF($J159=6,-$E159*$I159/12*1,0)))))+IF(CA$5&lt;&gt;$H159,0,IF(CA159&lt;0,IF($J159=4,-$E159*$I159/12*0,IF($J159=5,-$E159*$I159/12*1,IF($J159=6,-$E159*$I159/12*2,IF($J159&gt;=7,-$E159*$I159/12*3,0))))))</f>
        <v>0</v>
      </c>
      <c r="CD159" s="87">
        <f t="shared" ref="CD159" si="2472">IF($H159&lt;&gt;CF$5,0,IF(CF159&lt;0,IF(OR($J159=1,$J159=2,$J159=3,$J159=4,$J159=5,$J159=6,$J159=7),-$E159*$I159/12*3,IF($J159=8,-$E159*$I159/12*2,IF($J159=9,-$E159*$I159/12*1,0)))))+IF(CA$5&lt;&gt;$H159,0,IF(CA159&lt;0,IF($J159=7,-$E159*$I159/12*0,IF($J159=8,-$E159*$I159/12*1,IF($J159=9,-$E159*$I159/12*2,IF($J159&gt;=10,-$E159*$I159/12*3,0))))))</f>
        <v>0</v>
      </c>
      <c r="CE159" s="88">
        <f t="shared" ref="CE159" si="2473">IF($H159&lt;&gt;CF$5,0,IF(CF159&lt;0,IF(OR($J159=1,$J159=2,$J159=3,$J159=4,$J159=5,$J159=6,$J159=7,$J159=8,$J159=9,$J159=10),-$E159*$I159/12*3,IF($J159=11,-$E159*$I159/12*2,IF($J159=12,-$E159*$I159/12*1,0)))))+IF(CA$5&lt;&gt;$H159,0,IF(CA159&lt;0,IF($J159=10,-$E159*$I159/12*0,IF($J159=11,-$E159*$I159/12*1,IF($J159=12,-$E159*$I159/12*2,0)))))</f>
        <v>0</v>
      </c>
      <c r="CF159" s="85">
        <f t="shared" ref="CF159" si="2474">IF(AND(CA159&lt;&gt;0,CA$5=$H159),-$I159*$E159-CA159,IF(CF$5=$H159,-$I159*$E159*(12-$J159+1)/12,0))</f>
        <v>0</v>
      </c>
      <c r="CG159" s="86">
        <f t="shared" ref="CG159" si="2475">IF($H159&lt;&gt;CK$5,0,IF(CK159&lt;0,IF($J159=1,-$E159*$I159/12*3,IF($J159=2,-$E159*$I159/12*2,IF($J159=3,-$E159*$I159/12*1,0)))))+IF(CF$5&lt;&gt;$H159,0,IF(CF159&lt;0,IF($J159=1,-$E159*$I159/12*0,IF($J159=2,-$E159*$I159/12*1,IF($J159=3,-$E159*$I159/12*2,IF($J159&gt;=4,-$E159*$I159/12*3,0))))))</f>
        <v>0</v>
      </c>
      <c r="CH159" s="87">
        <f t="shared" ref="CH159" si="2476">IF($H159&lt;&gt;CK$5,0,IF(CK159&lt;0,IF(OR($J159=1,$J159=2,$J159=3,$J159=4),-$E159*$I159/12*3,IF($J159=5,-$E159*$I159/12*2,IF($J159=6,-$E159*$I159/12*1,0)))))+IF(CF$5&lt;&gt;$H159,0,IF(CF159&lt;0,IF($J159=4,-$E159*$I159/12*0,IF($J159=5,-$E159*$I159/12*1,IF($J159=6,-$E159*$I159/12*2,IF($J159&gt;=7,-$E159*$I159/12*3,0))))))</f>
        <v>0</v>
      </c>
      <c r="CI159" s="87">
        <f t="shared" ref="CI159" si="2477">IF($H159&lt;&gt;CK$5,0,IF(CK159&lt;0,IF(OR($J159=1,$J159=2,$J159=3,$J159=4,$J159=5,$J159=6,$J159=7),-$E159*$I159/12*3,IF($J159=8,-$E159*$I159/12*2,IF($J159=9,-$E159*$I159/12*1,0)))))+IF(CF$5&lt;&gt;$H159,0,IF(CF159&lt;0,IF($J159=7,-$E159*$I159/12*0,IF($J159=8,-$E159*$I159/12*1,IF($J159=9,-$E159*$I159/12*2,IF($J159&gt;=10,-$E159*$I159/12*3,0))))))</f>
        <v>0</v>
      </c>
      <c r="CJ159" s="88">
        <f t="shared" ref="CJ159" si="2478">IF($H159&lt;&gt;CK$5,0,IF(CK159&lt;0,IF(OR($J159=1,$J159=2,$J159=3,$J159=4,$J159=5,$J159=6,$J159=7,$J159=8,$J159=9,$J159=10),-$E159*$I159/12*3,IF($J159=11,-$E159*$I159/12*2,IF($J159=12,-$E159*$I159/12*1,0)))))+IF(CF$5&lt;&gt;$H159,0,IF(CF159&lt;0,IF($J159=10,-$E159*$I159/12*0,IF($J159=11,-$E159*$I159/12*1,IF($J159=12,-$E159*$I159/12*2,0)))))</f>
        <v>0</v>
      </c>
      <c r="CK159" s="85">
        <f t="shared" ref="CK159" si="2479">IF(AND(CF159&lt;&gt;0,CF$5=$H159),-$I159*$E159-CF159,IF(CK$5=$H159,-$I159*$E159*(12-$J159+1)/12,0))</f>
        <v>0</v>
      </c>
      <c r="CL159" s="86">
        <f t="shared" ref="CL159" si="2480">IF($H159&lt;&gt;CP$5,0,IF(CP159&lt;0,IF($J159=1,-$E159*$I159/12*3,IF($J159=2,-$E159*$I159/12*2,IF($J159=3,-$E159*$I159/12*1,0)))))+IF(CK$5&lt;&gt;$H159,0,IF(CK159&lt;0,IF($J159=1,-$E159*$I159/12*0,IF($J159=2,-$E159*$I159/12*1,IF($J159=3,-$E159*$I159/12*2,IF($J159&gt;=4,-$E159*$I159/12*3,0))))))</f>
        <v>0</v>
      </c>
      <c r="CM159" s="87">
        <f t="shared" ref="CM159" si="2481">IF($H159&lt;&gt;CP$5,0,IF(CP159&lt;0,IF(OR($J159=1,$J159=2,$J159=3,$J159=4),-$E159*$I159/12*3,IF($J159=5,-$E159*$I159/12*2,IF($J159=6,-$E159*$I159/12*1,0)))))+IF(CK$5&lt;&gt;$H159,0,IF(CK159&lt;0,IF($J159=4,-$E159*$I159/12*0,IF($J159=5,-$E159*$I159/12*1,IF($J159=6,-$E159*$I159/12*2,IF($J159&gt;=7,-$E159*$I159/12*3,0))))))</f>
        <v>0</v>
      </c>
      <c r="CN159" s="87">
        <f t="shared" ref="CN159" si="2482">IF($H159&lt;&gt;CP$5,0,IF(CP159&lt;0,IF(OR($J159=1,$J159=2,$J159=3,$J159=4,$J159=5,$J159=6,$J159=7),-$E159*$I159/12*3,IF($J159=8,-$E159*$I159/12*2,IF($J159=9,-$E159*$I159/12*1,0)))))+IF(CK$5&lt;&gt;$H159,0,IF(CK159&lt;0,IF($J159=7,-$E159*$I159/12*0,IF($J159=8,-$E159*$I159/12*1,IF($J159=9,-$E159*$I159/12*2,IF($J159&gt;=10,-$E159*$I159/12*3,0))))))</f>
        <v>0</v>
      </c>
      <c r="CO159" s="88">
        <f t="shared" ref="CO159" si="2483">IF($H159&lt;&gt;CP$5,0,IF(CP159&lt;0,IF(OR($J159=1,$J159=2,$J159=3,$J159=4,$J159=5,$J159=6,$J159=7,$J159=8,$J159=9,$J159=10),-$E159*$I159/12*3,IF($J159=11,-$E159*$I159/12*2,IF($J159=12,-$E159*$I159/12*1,0)))))+IF(CK$5&lt;&gt;$H159,0,IF(CK159&lt;0,IF($J159=10,-$E159*$I159/12*0,IF($J159=11,-$E159*$I159/12*1,IF($J159=12,-$E159*$I159/12*2,0)))))</f>
        <v>0</v>
      </c>
      <c r="CP159" s="85">
        <f t="shared" ref="CP159" si="2484">IF(AND(CK159&lt;&gt;0,CK$5=$H159),-$I159*$E159-CK159,IF(CP$5=$H159,-$I159*$E159*(12-$J159+1)/12,0))</f>
        <v>0</v>
      </c>
      <c r="CQ159" s="86">
        <f t="shared" ref="CQ159" si="2485">IF($H159&lt;&gt;CU$5,0,IF(CU159&lt;0,IF($J159=1,-$E159*$I159/12*3,IF($J159=2,-$E159*$I159/12*2,IF($J159=3,-$E159*$I159/12*1,0)))))+IF(CP$5&lt;&gt;$H159,0,IF(CP159&lt;0,IF($J159=1,-$E159*$I159/12*0,IF($J159=2,-$E159*$I159/12*1,IF($J159=3,-$E159*$I159/12*2,IF($J159&gt;=4,-$E159*$I159/12*3,0))))))</f>
        <v>0</v>
      </c>
      <c r="CR159" s="87">
        <f t="shared" ref="CR159" si="2486">IF($H159&lt;&gt;CU$5,0,IF(CU159&lt;0,IF(OR($J159=1,$J159=2,$J159=3,$J159=4),-$E159*$I159/12*3,IF($J159=5,-$E159*$I159/12*2,IF($J159=6,-$E159*$I159/12*1,0)))))+IF(CP$5&lt;&gt;$H159,0,IF(CP159&lt;0,IF($J159=4,-$E159*$I159/12*0,IF($J159=5,-$E159*$I159/12*1,IF($J159=6,-$E159*$I159/12*2,IF($J159&gt;=7,-$E159*$I159/12*3,0))))))</f>
        <v>0</v>
      </c>
      <c r="CS159" s="87">
        <f t="shared" ref="CS159" si="2487">IF($H159&lt;&gt;CU$5,0,IF(CU159&lt;0,IF(OR($J159=1,$J159=2,$J159=3,$J159=4,$J159=5,$J159=6,$J159=7),-$E159*$I159/12*3,IF($J159=8,-$E159*$I159/12*2,IF($J159=9,-$E159*$I159/12*1,0)))))+IF(CP$5&lt;&gt;$H159,0,IF(CP159&lt;0,IF($J159=7,-$E159*$I159/12*0,IF($J159=8,-$E159*$I159/12*1,IF($J159=9,-$E159*$I159/12*2,IF($J159&gt;=10,-$E159*$I159/12*3,0))))))</f>
        <v>0</v>
      </c>
      <c r="CT159" s="88">
        <f t="shared" ref="CT159" si="2488">IF($H159&lt;&gt;CU$5,0,IF(CU159&lt;0,IF(OR($J159=1,$J159=2,$J159=3,$J159=4,$J159=5,$J159=6,$J159=7,$J159=8,$J159=9,$J159=10),-$E159*$I159/12*3,IF($J159=11,-$E159*$I159/12*2,IF($J159=12,-$E159*$I159/12*1,0)))))+IF(CP$5&lt;&gt;$H159,0,IF(CP159&lt;0,IF($J159=10,-$E159*$I159/12*0,IF($J159=11,-$E159*$I159/12*1,IF($J159=12,-$E159*$I159/12*2,0)))))</f>
        <v>0</v>
      </c>
      <c r="CU159" s="85">
        <f t="shared" ref="CU159" si="2489">IF(AND(CP159&lt;&gt;0,CP$5=$H159),-$I159*$E159-CP159,IF(CU$5=$H159,-$I159*$E159*(12-$J159+1)/12,0))</f>
        <v>0</v>
      </c>
      <c r="CV159" s="86">
        <f t="shared" ref="CV159" si="2490">IF($H159&lt;&gt;CZ$5,0,IF(CZ159&lt;0,IF($J159=1,-$E159*$I159/12*3,IF($J159=2,-$E159*$I159/12*2,IF($J159=3,-$E159*$I159/12*1,0)))))+IF(CU$5&lt;&gt;$H159,0,IF(CU159&lt;0,IF($J159=1,-$E159*$I159/12*0,IF($J159=2,-$E159*$I159/12*1,IF($J159=3,-$E159*$I159/12*2,IF($J159&gt;=4,-$E159*$I159/12*3,0))))))</f>
        <v>0</v>
      </c>
      <c r="CW159" s="87">
        <f t="shared" ref="CW159" si="2491">IF($H159&lt;&gt;CZ$5,0,IF(CZ159&lt;0,IF(OR($J159=1,$J159=2,$J159=3,$J159=4),-$E159*$I159/12*3,IF($J159=5,-$E159*$I159/12*2,IF($J159=6,-$E159*$I159/12*1,0)))))+IF(CU$5&lt;&gt;$H159,0,IF(CU159&lt;0,IF($J159=4,-$E159*$I159/12*0,IF($J159=5,-$E159*$I159/12*1,IF($J159=6,-$E159*$I159/12*2,IF($J159&gt;=7,-$E159*$I159/12*3,0))))))</f>
        <v>0</v>
      </c>
      <c r="CX159" s="87">
        <f t="shared" ref="CX159" si="2492">IF($H159&lt;&gt;CZ$5,0,IF(CZ159&lt;0,IF(OR($J159=1,$J159=2,$J159=3,$J159=4,$J159=5,$J159=6,$J159=7),-$E159*$I159/12*3,IF($J159=8,-$E159*$I159/12*2,IF($J159=9,-$E159*$I159/12*1,0)))))+IF(CU$5&lt;&gt;$H159,0,IF(CU159&lt;0,IF($J159=7,-$E159*$I159/12*0,IF($J159=8,-$E159*$I159/12*1,IF($J159=9,-$E159*$I159/12*2,IF($J159&gt;=10,-$E159*$I159/12*3,0))))))</f>
        <v>0</v>
      </c>
      <c r="CY159" s="88">
        <f t="shared" ref="CY159" si="2493">IF($H159&lt;&gt;CZ$5,0,IF(CZ159&lt;0,IF(OR($J159=1,$J159=2,$J159=3,$J159=4,$J159=5,$J159=6,$J159=7,$J159=8,$J159=9,$J159=10),-$E159*$I159/12*3,IF($J159=11,-$E159*$I159/12*2,IF($J159=12,-$E159*$I159/12*1,0)))))+IF(CU$5&lt;&gt;$H159,0,IF(CU159&lt;0,IF($J159=10,-$E159*$I159/12*0,IF($J159=11,-$E159*$I159/12*1,IF($J159=12,-$E159*$I159/12*2,0)))))</f>
        <v>0</v>
      </c>
      <c r="CZ159" s="85">
        <f t="shared" ref="CZ159" si="2494">IF(AND(CU159&lt;&gt;0,CU$5=$H159),-$I159*$E159-CU159,IF(CZ$5=$H159,-$I159*$E159*(12-$J159+1)/12,0))</f>
        <v>0</v>
      </c>
    </row>
    <row r="160" spans="1:104" ht="12.75" customHeight="1">
      <c r="A160" s="4"/>
      <c r="B160" s="4"/>
      <c r="C160" s="1999"/>
      <c r="D160" s="2114"/>
      <c r="E160" s="2115"/>
      <c r="F160" s="2313"/>
      <c r="G160" s="1511"/>
      <c r="H160" s="1334"/>
      <c r="I160" s="325"/>
      <c r="J160" s="1334"/>
      <c r="K160" s="80"/>
      <c r="L160" s="81">
        <f t="shared" si="2155"/>
        <v>0</v>
      </c>
      <c r="M160" s="82">
        <f t="shared" si="2331"/>
        <v>0</v>
      </c>
      <c r="N160" s="83">
        <f t="shared" si="2332"/>
        <v>0</v>
      </c>
      <c r="O160" s="83">
        <f t="shared" si="2333"/>
        <v>0</v>
      </c>
      <c r="P160" s="84">
        <f t="shared" si="2334"/>
        <v>0</v>
      </c>
      <c r="Q160" s="81">
        <f t="shared" si="2160"/>
        <v>0</v>
      </c>
      <c r="R160" s="82">
        <f t="shared" si="2335"/>
        <v>0</v>
      </c>
      <c r="S160" s="83">
        <f t="shared" si="2336"/>
        <v>0</v>
      </c>
      <c r="T160" s="83">
        <f t="shared" si="2337"/>
        <v>0</v>
      </c>
      <c r="U160" s="84">
        <f t="shared" si="2338"/>
        <v>0</v>
      </c>
      <c r="V160" s="81">
        <f t="shared" si="2165"/>
        <v>0</v>
      </c>
      <c r="W160" s="82">
        <f t="shared" si="2339"/>
        <v>0</v>
      </c>
      <c r="X160" s="83">
        <f t="shared" si="2340"/>
        <v>0</v>
      </c>
      <c r="Y160" s="83">
        <f t="shared" si="2341"/>
        <v>0</v>
      </c>
      <c r="Z160" s="84">
        <f t="shared" si="2342"/>
        <v>0</v>
      </c>
      <c r="AA160" s="81">
        <f t="shared" si="2170"/>
        <v>0</v>
      </c>
      <c r="AB160" s="82">
        <f t="shared" si="2343"/>
        <v>0</v>
      </c>
      <c r="AC160" s="83">
        <f t="shared" si="2344"/>
        <v>0</v>
      </c>
      <c r="AD160" s="83">
        <f t="shared" si="2345"/>
        <v>0</v>
      </c>
      <c r="AE160" s="84">
        <f t="shared" si="2346"/>
        <v>0</v>
      </c>
      <c r="AF160" s="81">
        <f t="shared" si="2175"/>
        <v>0</v>
      </c>
      <c r="AG160" s="82">
        <f t="shared" si="2347"/>
        <v>0</v>
      </c>
      <c r="AH160" s="83">
        <f t="shared" si="2348"/>
        <v>0</v>
      </c>
      <c r="AI160" s="83">
        <f t="shared" si="2349"/>
        <v>0</v>
      </c>
      <c r="AJ160" s="84">
        <f t="shared" si="2350"/>
        <v>0</v>
      </c>
      <c r="AK160" s="81">
        <f t="shared" si="2180"/>
        <v>0</v>
      </c>
      <c r="AL160" s="82">
        <f t="shared" si="2351"/>
        <v>0</v>
      </c>
      <c r="AM160" s="83">
        <f t="shared" si="2352"/>
        <v>0</v>
      </c>
      <c r="AN160" s="83">
        <f t="shared" si="2353"/>
        <v>0</v>
      </c>
      <c r="AO160" s="84">
        <f t="shared" si="2354"/>
        <v>0</v>
      </c>
      <c r="AP160" s="81">
        <f t="shared" si="2185"/>
        <v>0</v>
      </c>
      <c r="AQ160" s="82">
        <f t="shared" si="2355"/>
        <v>0</v>
      </c>
      <c r="AR160" s="83">
        <f t="shared" si="2356"/>
        <v>0</v>
      </c>
      <c r="AS160" s="83">
        <f t="shared" si="2357"/>
        <v>0</v>
      </c>
      <c r="AT160" s="84">
        <f t="shared" si="2358"/>
        <v>0</v>
      </c>
      <c r="AU160" s="81">
        <f t="shared" si="2190"/>
        <v>0</v>
      </c>
      <c r="AV160" s="82">
        <f t="shared" si="2359"/>
        <v>0</v>
      </c>
      <c r="AW160" s="83">
        <f t="shared" si="2360"/>
        <v>0</v>
      </c>
      <c r="AX160" s="83">
        <f t="shared" si="2361"/>
        <v>0</v>
      </c>
      <c r="AY160" s="84">
        <f t="shared" si="2362"/>
        <v>0</v>
      </c>
      <c r="AZ160" s="81">
        <f t="shared" si="2195"/>
        <v>0</v>
      </c>
      <c r="BA160" s="82">
        <f t="shared" si="2363"/>
        <v>0</v>
      </c>
      <c r="BB160" s="83">
        <f t="shared" si="2364"/>
        <v>0</v>
      </c>
      <c r="BC160" s="83">
        <f t="shared" si="2365"/>
        <v>0</v>
      </c>
      <c r="BD160" s="84">
        <f t="shared" si="2366"/>
        <v>0</v>
      </c>
      <c r="BE160" s="81">
        <f t="shared" si="2200"/>
        <v>0</v>
      </c>
      <c r="BF160" s="1877"/>
      <c r="BG160" s="2005">
        <f t="shared" si="2367"/>
        <v>0</v>
      </c>
      <c r="BH160" s="86">
        <f t="shared" si="2368"/>
        <v>0</v>
      </c>
      <c r="BI160" s="87">
        <f t="shared" si="2369"/>
        <v>0</v>
      </c>
      <c r="BJ160" s="87">
        <f t="shared" si="2370"/>
        <v>0</v>
      </c>
      <c r="BK160" s="88">
        <f t="shared" si="2371"/>
        <v>0</v>
      </c>
      <c r="BL160" s="85">
        <f t="shared" si="2372"/>
        <v>0</v>
      </c>
      <c r="BM160" s="86">
        <f t="shared" si="2373"/>
        <v>0</v>
      </c>
      <c r="BN160" s="87">
        <f t="shared" si="2374"/>
        <v>0</v>
      </c>
      <c r="BO160" s="87">
        <f t="shared" si="2375"/>
        <v>0</v>
      </c>
      <c r="BP160" s="88">
        <f t="shared" si="2376"/>
        <v>0</v>
      </c>
      <c r="BQ160" s="85">
        <f t="shared" si="2377"/>
        <v>0</v>
      </c>
      <c r="BR160" s="86">
        <f t="shared" si="2378"/>
        <v>0</v>
      </c>
      <c r="BS160" s="87">
        <f t="shared" si="2379"/>
        <v>0</v>
      </c>
      <c r="BT160" s="87">
        <f t="shared" si="2380"/>
        <v>0</v>
      </c>
      <c r="BU160" s="88">
        <f t="shared" si="2381"/>
        <v>0</v>
      </c>
      <c r="BV160" s="85">
        <f t="shared" si="2382"/>
        <v>0</v>
      </c>
      <c r="BW160" s="86">
        <f t="shared" si="2383"/>
        <v>0</v>
      </c>
      <c r="BX160" s="87">
        <f t="shared" si="2384"/>
        <v>0</v>
      </c>
      <c r="BY160" s="87">
        <f t="shared" si="2385"/>
        <v>0</v>
      </c>
      <c r="BZ160" s="88">
        <f t="shared" si="2386"/>
        <v>0</v>
      </c>
      <c r="CA160" s="85">
        <f t="shared" si="2387"/>
        <v>0</v>
      </c>
      <c r="CB160" s="86">
        <f t="shared" si="2388"/>
        <v>0</v>
      </c>
      <c r="CC160" s="87">
        <f t="shared" si="2389"/>
        <v>0</v>
      </c>
      <c r="CD160" s="87">
        <f t="shared" si="2390"/>
        <v>0</v>
      </c>
      <c r="CE160" s="88">
        <f t="shared" si="2391"/>
        <v>0</v>
      </c>
      <c r="CF160" s="85">
        <f t="shared" si="2392"/>
        <v>0</v>
      </c>
      <c r="CG160" s="86">
        <f t="shared" si="2393"/>
        <v>0</v>
      </c>
      <c r="CH160" s="87">
        <f t="shared" si="2394"/>
        <v>0</v>
      </c>
      <c r="CI160" s="87">
        <f t="shared" si="2395"/>
        <v>0</v>
      </c>
      <c r="CJ160" s="88">
        <f t="shared" si="2396"/>
        <v>0</v>
      </c>
      <c r="CK160" s="85">
        <f t="shared" si="2397"/>
        <v>0</v>
      </c>
      <c r="CL160" s="86">
        <f t="shared" si="2398"/>
        <v>0</v>
      </c>
      <c r="CM160" s="87">
        <f t="shared" si="2399"/>
        <v>0</v>
      </c>
      <c r="CN160" s="87">
        <f t="shared" si="2400"/>
        <v>0</v>
      </c>
      <c r="CO160" s="88">
        <f t="shared" si="2401"/>
        <v>0</v>
      </c>
      <c r="CP160" s="85">
        <f t="shared" si="2402"/>
        <v>0</v>
      </c>
      <c r="CQ160" s="86">
        <f t="shared" si="2403"/>
        <v>0</v>
      </c>
      <c r="CR160" s="87">
        <f t="shared" si="2404"/>
        <v>0</v>
      </c>
      <c r="CS160" s="87">
        <f t="shared" si="2405"/>
        <v>0</v>
      </c>
      <c r="CT160" s="88">
        <f t="shared" si="2406"/>
        <v>0</v>
      </c>
      <c r="CU160" s="85">
        <f t="shared" si="2407"/>
        <v>0</v>
      </c>
      <c r="CV160" s="86">
        <f t="shared" si="2408"/>
        <v>0</v>
      </c>
      <c r="CW160" s="87">
        <f t="shared" si="2409"/>
        <v>0</v>
      </c>
      <c r="CX160" s="87">
        <f t="shared" si="2410"/>
        <v>0</v>
      </c>
      <c r="CY160" s="88">
        <f t="shared" si="2411"/>
        <v>0</v>
      </c>
      <c r="CZ160" s="85">
        <f t="shared" si="2412"/>
        <v>0</v>
      </c>
    </row>
    <row r="161" spans="1:104" ht="12.75" customHeight="1">
      <c r="A161" s="4"/>
      <c r="B161" s="4"/>
      <c r="C161" s="4" t="s">
        <v>925</v>
      </c>
      <c r="D161" s="157"/>
      <c r="E161" s="2115">
        <f>IF(F161=0,G161,F161)</f>
        <v>8</v>
      </c>
      <c r="F161" s="2313">
        <v>8</v>
      </c>
      <c r="G161" s="1511">
        <v>8</v>
      </c>
      <c r="H161" s="1334">
        <v>2053</v>
      </c>
      <c r="I161" s="1515">
        <v>0.05</v>
      </c>
      <c r="J161" s="1516">
        <v>12</v>
      </c>
      <c r="K161" s="80"/>
      <c r="L161" s="81">
        <f>IF(L$5=$H161,-$E161,0)</f>
        <v>0</v>
      </c>
      <c r="M161" s="82">
        <f>IF(Q161=0,0,IF(Q161&lt;0,IF($J161=3,Q161,IF($J161=2,Q161,IF($J161=1,Q161,0)))))</f>
        <v>0</v>
      </c>
      <c r="N161" s="83">
        <f>IF(Q161=0,0,IF(Q161&lt;0,IF($J161=6,Q161,IF($J161=5,Q161,IF($J161=4,Q161,0)))))</f>
        <v>0</v>
      </c>
      <c r="O161" s="83">
        <f>IF(Q161=0,0,IF(Q161&lt;0,IF($J161=9,Q161,IF($J161=8,Q161,IF($J161=7,Q161,0)))))</f>
        <v>0</v>
      </c>
      <c r="P161" s="84">
        <f>IF(Q161=0,0,IF(Q161&lt;0,IF($J161=12,Q161,IF($J161=11,Q161,IF($J161=10,Q161,0)))))</f>
        <v>0</v>
      </c>
      <c r="Q161" s="81">
        <f>IF(Q$5=$H161,-$E161,0)</f>
        <v>0</v>
      </c>
      <c r="R161" s="82">
        <f>IF(V161=0,0,IF(V161&lt;0,IF($J161=3,V161,IF($J161=2,V161,IF($J161=1,V161,0)))))</f>
        <v>0</v>
      </c>
      <c r="S161" s="83">
        <f>IF(V161=0,0,IF(V161&lt;0,IF($J161=6,V161,IF($J161=5,V161,IF($J161=4,V161,0)))))</f>
        <v>0</v>
      </c>
      <c r="T161" s="83">
        <f>IF(V161=0,0,IF(V161&lt;0,IF($J161=9,V161,IF($J161=8,V161,IF($J161=7,V161,0)))))</f>
        <v>0</v>
      </c>
      <c r="U161" s="84">
        <f>IF(V161=0,0,IF(V161&lt;0,IF($J161=12,V161,IF($J161=11,V161,IF($J161=10,V161,0)))))</f>
        <v>0</v>
      </c>
      <c r="V161" s="81">
        <f>IF(V$5=$H161,-$E161,0)</f>
        <v>0</v>
      </c>
      <c r="W161" s="82">
        <f>IF(AA161=0,0,IF(AA161&lt;0,IF($J161=3,AA161,IF($J161=2,AA161,IF($J161=1,AA161,0)))))</f>
        <v>0</v>
      </c>
      <c r="X161" s="83">
        <f>IF(AA161=0,0,IF(AA161&lt;0,IF($J161=6,AA161,IF($J161=5,AA161,IF($J161=4,AA161,0)))))</f>
        <v>0</v>
      </c>
      <c r="Y161" s="83">
        <f>IF(AA161=0,0,IF(AA161&lt;0,IF($J161=9,AA161,IF($J161=8,AA161,IF($J161=7,AA161,0)))))</f>
        <v>0</v>
      </c>
      <c r="Z161" s="84">
        <f>IF(AA161=0,0,IF(AA161&lt;0,IF($J161=12,AA161,IF($J161=11,AA161,IF($J161=10,AA161,0)))))</f>
        <v>0</v>
      </c>
      <c r="AA161" s="81">
        <f>IF(AA$5=$H161,-$E161,0)</f>
        <v>0</v>
      </c>
      <c r="AB161" s="82">
        <f>IF(AF161=0,0,IF(AF161&lt;0,IF($J161=3,AF161,IF($J161=2,AF161,IF($J161=1,AF161,0)))))</f>
        <v>0</v>
      </c>
      <c r="AC161" s="83">
        <f>IF(AF161=0,0,IF(AF161&lt;0,IF($J161=6,AF161,IF($J161=5,AF161,IF($J161=4,AF161,0)))))</f>
        <v>0</v>
      </c>
      <c r="AD161" s="83">
        <f>IF(AF161=0,0,IF(AF161&lt;0,IF($J161=9,AF161,IF($J161=8,AF161,IF($J161=7,AF161,0)))))</f>
        <v>0</v>
      </c>
      <c r="AE161" s="84">
        <f>IF(AF161=0,0,IF(AF161&lt;0,IF($J161=12,AF161,IF($J161=11,AF161,IF($J161=10,AF161,0)))))</f>
        <v>0</v>
      </c>
      <c r="AF161" s="81">
        <f>IF(AF$5=$H161,-$E161,0)</f>
        <v>0</v>
      </c>
      <c r="AG161" s="82">
        <f>IF(AK161=0,0,IF(AK161&lt;0,IF($J161=3,AK161,IF($J161=2,AK161,IF($J161=1,AK161,0)))))</f>
        <v>0</v>
      </c>
      <c r="AH161" s="83">
        <f>IF(AK161=0,0,IF(AK161&lt;0,IF($J161=6,AK161,IF($J161=5,AK161,IF($J161=4,AK161,0)))))</f>
        <v>0</v>
      </c>
      <c r="AI161" s="83">
        <f>IF(AK161=0,0,IF(AK161&lt;0,IF($J161=9,AK161,IF($J161=8,AK161,IF($J161=7,AK161,0)))))</f>
        <v>0</v>
      </c>
      <c r="AJ161" s="84">
        <f>IF(AK161=0,0,IF(AK161&lt;0,IF($J161=12,AK161,IF($J161=11,AK161,IF($J161=10,AK161,0)))))</f>
        <v>0</v>
      </c>
      <c r="AK161" s="81">
        <f>IF(AK$5=$H161,-$E161,0)</f>
        <v>0</v>
      </c>
      <c r="AL161" s="82">
        <f>IF(AP161=0,0,IF(AP161&lt;0,IF($J161=3,AP161,IF($J161=2,AP161,IF($J161=1,AP161,0)))))</f>
        <v>0</v>
      </c>
      <c r="AM161" s="83">
        <f>IF(AP161=0,0,IF(AP161&lt;0,IF($J161=6,AP161,IF($J161=5,AP161,IF($J161=4,AP161,0)))))</f>
        <v>0</v>
      </c>
      <c r="AN161" s="83">
        <f>IF(AP161=0,0,IF(AP161&lt;0,IF($J161=9,AP161,IF($J161=8,AP161,IF($J161=7,AP161,0)))))</f>
        <v>0</v>
      </c>
      <c r="AO161" s="84">
        <f>IF(AP161=0,0,IF(AP161&lt;0,IF($J161=12,AP161,IF($J161=11,AP161,IF($J161=10,AP161,0)))))</f>
        <v>0</v>
      </c>
      <c r="AP161" s="81">
        <f>IF(AP$5=$H161,-$E161,0)</f>
        <v>0</v>
      </c>
      <c r="AQ161" s="82">
        <f>IF(AU161=0,0,IF(AU161&lt;0,IF($J161=3,AU161,IF($J161=2,AU161,IF($J161=1,AU161,0)))))</f>
        <v>0</v>
      </c>
      <c r="AR161" s="83">
        <f>IF(AU161=0,0,IF(AU161&lt;0,IF($J161=6,AU161,IF($J161=5,AU161,IF($J161=4,AU161,0)))))</f>
        <v>0</v>
      </c>
      <c r="AS161" s="83">
        <f>IF(AU161=0,0,IF(AU161&lt;0,IF($J161=9,AU161,IF($J161=8,AU161,IF($J161=7,AU161,0)))))</f>
        <v>0</v>
      </c>
      <c r="AT161" s="84">
        <f>IF(AU161=0,0,IF(AU161&lt;0,IF($J161=12,AU161,IF($J161=11,AU161,IF($J161=10,AU161,0)))))</f>
        <v>0</v>
      </c>
      <c r="AU161" s="81">
        <f>IF(AU$5=$H161,-$E161,0)</f>
        <v>0</v>
      </c>
      <c r="AV161" s="82">
        <f>IF(AZ161=0,0,IF(AZ161&lt;0,IF($J161=3,AZ161,IF($J161=2,AZ161,IF($J161=1,AZ161,0)))))</f>
        <v>0</v>
      </c>
      <c r="AW161" s="83">
        <f>IF(AZ161=0,0,IF(AZ161&lt;0,IF($J161=6,AZ161,IF($J161=5,AZ161,IF($J161=4,AZ161,0)))))</f>
        <v>0</v>
      </c>
      <c r="AX161" s="83">
        <f>IF(AZ161=0,0,IF(AZ161&lt;0,IF($J161=9,AZ161,IF($J161=8,AZ161,IF($J161=7,AZ161,0)))))</f>
        <v>0</v>
      </c>
      <c r="AY161" s="84">
        <f>IF(AZ161=0,0,IF(AZ161&lt;0,IF($J161=12,AZ161,IF($J161=11,AZ161,IF($J161=10,AZ161,0)))))</f>
        <v>0</v>
      </c>
      <c r="AZ161" s="81">
        <f>IF(AZ$5=$H161,-$E161,0)</f>
        <v>0</v>
      </c>
      <c r="BA161" s="82">
        <f>IF(BE161=0,0,IF(BE161&lt;0,IF($J161=3,BE161,IF($J161=2,BE161,IF($J161=1,BE161,0)))))</f>
        <v>0</v>
      </c>
      <c r="BB161" s="83">
        <f>IF(BE161=0,0,IF(BE161&lt;0,IF($J161=6,BE161,IF($J161=5,BE161,IF($J161=4,BE161,0)))))</f>
        <v>0</v>
      </c>
      <c r="BC161" s="83">
        <f>IF(BE161=0,0,IF(BE161&lt;0,IF($J161=9,BE161,IF($J161=8,BE161,IF($J161=7,BE161,0)))))</f>
        <v>0</v>
      </c>
      <c r="BD161" s="84">
        <f>IF(BE161=0,0,IF(BE161&lt;0,IF($J161=12,BE161,IF($J161=11,BE161,IF($J161=10,BE161,0)))))</f>
        <v>0</v>
      </c>
      <c r="BE161" s="81">
        <f>IF(BE$5=$H161,-$E161,0)</f>
        <v>0</v>
      </c>
      <c r="BF161" s="1877"/>
      <c r="BG161" s="2005">
        <f>IF(AND(BF161&lt;&gt;0,BF$5=$H161),-$I161*$E161-BF161,IF(BG$5=$H161,-$I161*$E161*(12-$J161+1)/12,0))</f>
        <v>0</v>
      </c>
      <c r="BH161" s="86">
        <f>IF($H161&lt;&gt;BL$5,0,IF(BL161&lt;0,IF($J161=1,-$E161*$I161/12*3,IF($J161=2,-$E161*$I161/12*2,IF($J161=3,-$E161*$I161/12*1,0)))))+IF(BG$5&lt;&gt;$H161,0,IF(BG161&lt;0,IF($J161=1,-$E161*$I161/12*0,IF($J161=2,-$E161*$I161/12*1,IF($J161=3,-$E161*$I161/12*2,IF($J161&gt;=4,-$E161*$I161/12*3,0))))))</f>
        <v>0</v>
      </c>
      <c r="BI161" s="87">
        <f>IF($H161&lt;&gt;BL$5,0,IF(BL161&lt;0,IF(OR($J161=1,$J161=2,$J161=3,$J161=4),-$E161*$I161/12*3,IF($J161=5,-$E161*$I161/12*2,IF($J161=6,-$E161*$I161/12*1,0)))))+IF(BG$5&lt;&gt;$H161,0,IF(BG161&lt;0,IF($J161=4,-$E161*$I161/12*0,IF($J161=5,-$E161*$I161/12*1,IF($J161=6,-$E161*$I161/12*2,IF($J161&gt;=7,-$E161*$I161/12*3,0))))))</f>
        <v>0</v>
      </c>
      <c r="BJ161" s="87">
        <f>IF($H161&lt;&gt;BL$5,0,IF(BL161&lt;0,IF(OR($J161=1,$J161=2,$J161=3,$J161=4,$J161=5,$J161=6,$J161=7),-$E161*$I161/12*3,IF($J161=8,-$E161*$I161/12*2,IF($J161=9,-$E161*$I161/12*1,0)))))+IF(BG$5&lt;&gt;$H161,0,IF(BG161&lt;0,IF($J161=7,-$E161*$I161/12*0,IF($J161=8,-$E161*$I161/12*1,IF($J161=9,-$E161*$I161/12*2,IF($J161&gt;=10,-$E161*$I161/12*3,0))))))</f>
        <v>0</v>
      </c>
      <c r="BK161" s="88">
        <f>IF($H161&lt;&gt;BL$5,0,IF(BL161&lt;0,IF(OR($J161=1,$J161=2,$J161=3,$J161=4,$J161=5,$J161=6,$J161=7,$J161=8,$J161=9,$J161=10),-$E161*$I161/12*3,IF($J161=11,-$E161*$I161/12*2,IF($J161=12,-$E161*$I161/12*1,0)))))+IF(BG$5&lt;&gt;$H161,0,IF(BG161&lt;0,IF($J161=10,-$E161*$I161/12*0,IF($J161=11,-$E161*$I161/12*1,IF($J161=12,-$E161*$I161/12*2,0)))))</f>
        <v>0</v>
      </c>
      <c r="BL161" s="85">
        <f>IF(AND(BG161&lt;&gt;0,BG$5=$H161),-$I161*$E161-BG161,IF(BL$5=$H161,-$I161*$E161*(12-$J161+1)/12,0))</f>
        <v>0</v>
      </c>
      <c r="BM161" s="86">
        <f>IF($H161&lt;&gt;BQ$5,0,IF(BQ161&lt;0,IF($J161=1,-$E161*$I161/12*3,IF($J161=2,-$E161*$I161/12*2,IF($J161=3,-$E161*$I161/12*1,0)))))+IF(BL$5&lt;&gt;$H161,0,IF(BL161&lt;0,IF($J161=1,-$E161*$I161/12*0,IF($J161=2,-$E161*$I161/12*1,IF($J161=3,-$E161*$I161/12*2,IF($J161&gt;=4,-$E161*$I161/12*3,0))))))</f>
        <v>0</v>
      </c>
      <c r="BN161" s="87">
        <f>IF($H161&lt;&gt;BQ$5,0,IF(BQ161&lt;0,IF(OR($J161=1,$J161=2,$J161=3,$J161=4),-$E161*$I161/12*3,IF($J161=5,-$E161*$I161/12*2,IF($J161=6,-$E161*$I161/12*1,0)))))+IF(BL$5&lt;&gt;$H161,0,IF(BL161&lt;0,IF($J161=4,-$E161*$I161/12*0,IF($J161=5,-$E161*$I161/12*1,IF($J161=6,-$E161*$I161/12*2,IF($J161&gt;=7,-$E161*$I161/12*3,0))))))</f>
        <v>0</v>
      </c>
      <c r="BO161" s="87">
        <f>IF($H161&lt;&gt;BQ$5,0,IF(BQ161&lt;0,IF(OR($J161=1,$J161=2,$J161=3,$J161=4,$J161=5,$J161=6,$J161=7),-$E161*$I161/12*3,IF($J161=8,-$E161*$I161/12*2,IF($J161=9,-$E161*$I161/12*1,0)))))+IF(BL$5&lt;&gt;$H161,0,IF(BL161&lt;0,IF($J161=7,-$E161*$I161/12*0,IF($J161=8,-$E161*$I161/12*1,IF($J161=9,-$E161*$I161/12*2,IF($J161&gt;=10,-$E161*$I161/12*3,0))))))</f>
        <v>0</v>
      </c>
      <c r="BP161" s="88">
        <f>IF($H161&lt;&gt;BQ$5,0,IF(BQ161&lt;0,IF(OR($J161=1,$J161=2,$J161=3,$J161=4,$J161=5,$J161=6,$J161=7,$J161=8,$J161=9,$J161=10),-$E161*$I161/12*3,IF($J161=11,-$E161*$I161/12*2,IF($J161=12,-$E161*$I161/12*1,0)))))+IF(BL$5&lt;&gt;$H161,0,IF(BL161&lt;0,IF($J161=10,-$E161*$I161/12*0,IF($J161=11,-$E161*$I161/12*1,IF($J161=12,-$E161*$I161/12*2,0)))))</f>
        <v>0</v>
      </c>
      <c r="BQ161" s="85">
        <f>IF(AND(BL161&lt;&gt;0,BL$5=$H161),-$I161*$E161-BL161,IF(BQ$5=$H161,-$I161*$E161*(12-$J161+1)/12,0))</f>
        <v>0</v>
      </c>
      <c r="BR161" s="86">
        <f>IF($H161&lt;&gt;BV$5,0,IF(BV161&lt;0,IF($J161=1,-$E161*$I161/12*3,IF($J161=2,-$E161*$I161/12*2,IF($J161=3,-$E161*$I161/12*1,0)))))+IF(BQ$5&lt;&gt;$H161,0,IF(BQ161&lt;0,IF($J161=1,-$E161*$I161/12*0,IF($J161=2,-$E161*$I161/12*1,IF($J161=3,-$E161*$I161/12*2,IF($J161&gt;=4,-$E161*$I161/12*3,0))))))</f>
        <v>0</v>
      </c>
      <c r="BS161" s="87">
        <f>IF($H161&lt;&gt;BV$5,0,IF(BV161&lt;0,IF(OR($J161=1,$J161=2,$J161=3,$J161=4),-$E161*$I161/12*3,IF($J161=5,-$E161*$I161/12*2,IF($J161=6,-$E161*$I161/12*1,0)))))+IF(BQ$5&lt;&gt;$H161,0,IF(BQ161&lt;0,IF($J161=4,-$E161*$I161/12*0,IF($J161=5,-$E161*$I161/12*1,IF($J161=6,-$E161*$I161/12*2,IF($J161&gt;=7,-$E161*$I161/12*3,0))))))</f>
        <v>0</v>
      </c>
      <c r="BT161" s="87">
        <f>IF($H161&lt;&gt;BV$5,0,IF(BV161&lt;0,IF(OR($J161=1,$J161=2,$J161=3,$J161=4,$J161=5,$J161=6,$J161=7),-$E161*$I161/12*3,IF($J161=8,-$E161*$I161/12*2,IF($J161=9,-$E161*$I161/12*1,0)))))+IF(BQ$5&lt;&gt;$H161,0,IF(BQ161&lt;0,IF($J161=7,-$E161*$I161/12*0,IF($J161=8,-$E161*$I161/12*1,IF($J161=9,-$E161*$I161/12*2,IF($J161&gt;=10,-$E161*$I161/12*3,0))))))</f>
        <v>0</v>
      </c>
      <c r="BU161" s="88">
        <f>IF($H161&lt;&gt;BV$5,0,IF(BV161&lt;0,IF(OR($J161=1,$J161=2,$J161=3,$J161=4,$J161=5,$J161=6,$J161=7,$J161=8,$J161=9,$J161=10),-$E161*$I161/12*3,IF($J161=11,-$E161*$I161/12*2,IF($J161=12,-$E161*$I161/12*1,0)))))+IF(BQ$5&lt;&gt;$H161,0,IF(BQ161&lt;0,IF($J161=10,-$E161*$I161/12*0,IF($J161=11,-$E161*$I161/12*1,IF($J161=12,-$E161*$I161/12*2,0)))))</f>
        <v>0</v>
      </c>
      <c r="BV161" s="85">
        <f>IF(AND(BQ161&lt;&gt;0,BQ$5=$H161),-$I161*$E161-BQ161,IF(BV$5=$H161,-$I161*$E161*(12-$J161+1)/12,0))</f>
        <v>0</v>
      </c>
      <c r="BW161" s="86">
        <f>IF($H161&lt;&gt;CA$5,0,IF(CA161&lt;0,IF($J161=1,-$E161*$I161/12*3,IF($J161=2,-$E161*$I161/12*2,IF($J161=3,-$E161*$I161/12*1,0)))))+IF(BV$5&lt;&gt;$H161,0,IF(BV161&lt;0,IF($J161=1,-$E161*$I161/12*0,IF($J161=2,-$E161*$I161/12*1,IF($J161=3,-$E161*$I161/12*2,IF($J161&gt;=4,-$E161*$I161/12*3,0))))))</f>
        <v>0</v>
      </c>
      <c r="BX161" s="87">
        <f>IF($H161&lt;&gt;CA$5,0,IF(CA161&lt;0,IF(OR($J161=1,$J161=2,$J161=3,$J161=4),-$E161*$I161/12*3,IF($J161=5,-$E161*$I161/12*2,IF($J161=6,-$E161*$I161/12*1,0)))))+IF(BV$5&lt;&gt;$H161,0,IF(BV161&lt;0,IF($J161=4,-$E161*$I161/12*0,IF($J161=5,-$E161*$I161/12*1,IF($J161=6,-$E161*$I161/12*2,IF($J161&gt;=7,-$E161*$I161/12*3,0))))))</f>
        <v>0</v>
      </c>
      <c r="BY161" s="87">
        <f>IF($H161&lt;&gt;CA$5,0,IF(CA161&lt;0,IF(OR($J161=1,$J161=2,$J161=3,$J161=4,$J161=5,$J161=6,$J161=7),-$E161*$I161/12*3,IF($J161=8,-$E161*$I161/12*2,IF($J161=9,-$E161*$I161/12*1,0)))))+IF(BV$5&lt;&gt;$H161,0,IF(BV161&lt;0,IF($J161=7,-$E161*$I161/12*0,IF($J161=8,-$E161*$I161/12*1,IF($J161=9,-$E161*$I161/12*2,IF($J161&gt;=10,-$E161*$I161/12*3,0))))))</f>
        <v>0</v>
      </c>
      <c r="BZ161" s="88">
        <f>IF($H161&lt;&gt;CA$5,0,IF(CA161&lt;0,IF(OR($J161=1,$J161=2,$J161=3,$J161=4,$J161=5,$J161=6,$J161=7,$J161=8,$J161=9,$J161=10),-$E161*$I161/12*3,IF($J161=11,-$E161*$I161/12*2,IF($J161=12,-$E161*$I161/12*1,0)))))+IF(BV$5&lt;&gt;$H161,0,IF(BV161&lt;0,IF($J161=10,-$E161*$I161/12*0,IF($J161=11,-$E161*$I161/12*1,IF($J161=12,-$E161*$I161/12*2,0)))))</f>
        <v>0</v>
      </c>
      <c r="CA161" s="85">
        <f>IF(AND(BV161&lt;&gt;0,BV$5=$H161),-$I161*$E161-BV161,IF(CA$5=$H161,-$I161*$E161*(12-$J161+1)/12,0))</f>
        <v>0</v>
      </c>
      <c r="CB161" s="86">
        <f>IF($H161&lt;&gt;CF$5,0,IF(CF161&lt;0,IF($J161=1,-$E161*$I161/12*3,IF($J161=2,-$E161*$I161/12*2,IF($J161=3,-$E161*$I161/12*1,0)))))+IF(CA$5&lt;&gt;$H161,0,IF(CA161&lt;0,IF($J161=1,-$E161*$I161/12*0,IF($J161=2,-$E161*$I161/12*1,IF($J161=3,-$E161*$I161/12*2,IF($J161&gt;=4,-$E161*$I161/12*3,0))))))</f>
        <v>0</v>
      </c>
      <c r="CC161" s="87">
        <f>IF($H161&lt;&gt;CF$5,0,IF(CF161&lt;0,IF(OR($J161=1,$J161=2,$J161=3,$J161=4),-$E161*$I161/12*3,IF($J161=5,-$E161*$I161/12*2,IF($J161=6,-$E161*$I161/12*1,0)))))+IF(CA$5&lt;&gt;$H161,0,IF(CA161&lt;0,IF($J161=4,-$E161*$I161/12*0,IF($J161=5,-$E161*$I161/12*1,IF($J161=6,-$E161*$I161/12*2,IF($J161&gt;=7,-$E161*$I161/12*3,0))))))</f>
        <v>0</v>
      </c>
      <c r="CD161" s="87">
        <f>IF($H161&lt;&gt;CF$5,0,IF(CF161&lt;0,IF(OR($J161=1,$J161=2,$J161=3,$J161=4,$J161=5,$J161=6,$J161=7),-$E161*$I161/12*3,IF($J161=8,-$E161*$I161/12*2,IF($J161=9,-$E161*$I161/12*1,0)))))+IF(CA$5&lt;&gt;$H161,0,IF(CA161&lt;0,IF($J161=7,-$E161*$I161/12*0,IF($J161=8,-$E161*$I161/12*1,IF($J161=9,-$E161*$I161/12*2,IF($J161&gt;=10,-$E161*$I161/12*3,0))))))</f>
        <v>0</v>
      </c>
      <c r="CE161" s="88">
        <f>IF($H161&lt;&gt;CF$5,0,IF(CF161&lt;0,IF(OR($J161=1,$J161=2,$J161=3,$J161=4,$J161=5,$J161=6,$J161=7,$J161=8,$J161=9,$J161=10),-$E161*$I161/12*3,IF($J161=11,-$E161*$I161/12*2,IF($J161=12,-$E161*$I161/12*1,0)))))+IF(CA$5&lt;&gt;$H161,0,IF(CA161&lt;0,IF($J161=10,-$E161*$I161/12*0,IF($J161=11,-$E161*$I161/12*1,IF($J161=12,-$E161*$I161/12*2,0)))))</f>
        <v>0</v>
      </c>
      <c r="CF161" s="85">
        <f>IF(AND(CA161&lt;&gt;0,CA$5=$H161),-$I161*$E161-CA161,IF(CF$5=$H161,-$I161*$E161*(12-$J161+1)/12,0))</f>
        <v>0</v>
      </c>
      <c r="CG161" s="86">
        <f>IF($H161&lt;&gt;CK$5,0,IF(CK161&lt;0,IF($J161=1,-$E161*$I161/12*3,IF($J161=2,-$E161*$I161/12*2,IF($J161=3,-$E161*$I161/12*1,0)))))+IF(CF$5&lt;&gt;$H161,0,IF(CF161&lt;0,IF($J161=1,-$E161*$I161/12*0,IF($J161=2,-$E161*$I161/12*1,IF($J161=3,-$E161*$I161/12*2,IF($J161&gt;=4,-$E161*$I161/12*3,0))))))</f>
        <v>0</v>
      </c>
      <c r="CH161" s="87">
        <f>IF($H161&lt;&gt;CK$5,0,IF(CK161&lt;0,IF(OR($J161=1,$J161=2,$J161=3,$J161=4),-$E161*$I161/12*3,IF($J161=5,-$E161*$I161/12*2,IF($J161=6,-$E161*$I161/12*1,0)))))+IF(CF$5&lt;&gt;$H161,0,IF(CF161&lt;0,IF($J161=4,-$E161*$I161/12*0,IF($J161=5,-$E161*$I161/12*1,IF($J161=6,-$E161*$I161/12*2,IF($J161&gt;=7,-$E161*$I161/12*3,0))))))</f>
        <v>0</v>
      </c>
      <c r="CI161" s="87">
        <f>IF($H161&lt;&gt;CK$5,0,IF(CK161&lt;0,IF(OR($J161=1,$J161=2,$J161=3,$J161=4,$J161=5,$J161=6,$J161=7),-$E161*$I161/12*3,IF($J161=8,-$E161*$I161/12*2,IF($J161=9,-$E161*$I161/12*1,0)))))+IF(CF$5&lt;&gt;$H161,0,IF(CF161&lt;0,IF($J161=7,-$E161*$I161/12*0,IF($J161=8,-$E161*$I161/12*1,IF($J161=9,-$E161*$I161/12*2,IF($J161&gt;=10,-$E161*$I161/12*3,0))))))</f>
        <v>0</v>
      </c>
      <c r="CJ161" s="88">
        <f>IF($H161&lt;&gt;CK$5,0,IF(CK161&lt;0,IF(OR($J161=1,$J161=2,$J161=3,$J161=4,$J161=5,$J161=6,$J161=7,$J161=8,$J161=9,$J161=10),-$E161*$I161/12*3,IF($J161=11,-$E161*$I161/12*2,IF($J161=12,-$E161*$I161/12*1,0)))))+IF(CF$5&lt;&gt;$H161,0,IF(CF161&lt;0,IF($J161=10,-$E161*$I161/12*0,IF($J161=11,-$E161*$I161/12*1,IF($J161=12,-$E161*$I161/12*2,0)))))</f>
        <v>0</v>
      </c>
      <c r="CK161" s="85">
        <f>IF(AND(CF161&lt;&gt;0,CF$5=$H161),-$I161*$E161-CF161,IF(CK$5=$H161,-$I161*$E161*(12-$J161+1)/12,0))</f>
        <v>0</v>
      </c>
      <c r="CL161" s="86">
        <f>IF($H161&lt;&gt;CP$5,0,IF(CP161&lt;0,IF($J161=1,-$E161*$I161/12*3,IF($J161=2,-$E161*$I161/12*2,IF($J161=3,-$E161*$I161/12*1,0)))))+IF(CK$5&lt;&gt;$H161,0,IF(CK161&lt;0,IF($J161=1,-$E161*$I161/12*0,IF($J161=2,-$E161*$I161/12*1,IF($J161=3,-$E161*$I161/12*2,IF($J161&gt;=4,-$E161*$I161/12*3,0))))))</f>
        <v>0</v>
      </c>
      <c r="CM161" s="87">
        <f>IF($H161&lt;&gt;CP$5,0,IF(CP161&lt;0,IF(OR($J161=1,$J161=2,$J161=3,$J161=4),-$E161*$I161/12*3,IF($J161=5,-$E161*$I161/12*2,IF($J161=6,-$E161*$I161/12*1,0)))))+IF(CK$5&lt;&gt;$H161,0,IF(CK161&lt;0,IF($J161=4,-$E161*$I161/12*0,IF($J161=5,-$E161*$I161/12*1,IF($J161=6,-$E161*$I161/12*2,IF($J161&gt;=7,-$E161*$I161/12*3,0))))))</f>
        <v>0</v>
      </c>
      <c r="CN161" s="87">
        <f>IF($H161&lt;&gt;CP$5,0,IF(CP161&lt;0,IF(OR($J161=1,$J161=2,$J161=3,$J161=4,$J161=5,$J161=6,$J161=7),-$E161*$I161/12*3,IF($J161=8,-$E161*$I161/12*2,IF($J161=9,-$E161*$I161/12*1,0)))))+IF(CK$5&lt;&gt;$H161,0,IF(CK161&lt;0,IF($J161=7,-$E161*$I161/12*0,IF($J161=8,-$E161*$I161/12*1,IF($J161=9,-$E161*$I161/12*2,IF($J161&gt;=10,-$E161*$I161/12*3,0))))))</f>
        <v>0</v>
      </c>
      <c r="CO161" s="88">
        <f>IF($H161&lt;&gt;CP$5,0,IF(CP161&lt;0,IF(OR($J161=1,$J161=2,$J161=3,$J161=4,$J161=5,$J161=6,$J161=7,$J161=8,$J161=9,$J161=10),-$E161*$I161/12*3,IF($J161=11,-$E161*$I161/12*2,IF($J161=12,-$E161*$I161/12*1,0)))))+IF(CK$5&lt;&gt;$H161,0,IF(CK161&lt;0,IF($J161=10,-$E161*$I161/12*0,IF($J161=11,-$E161*$I161/12*1,IF($J161=12,-$E161*$I161/12*2,0)))))</f>
        <v>0</v>
      </c>
      <c r="CP161" s="85">
        <f>IF(AND(CK161&lt;&gt;0,CK$5=$H161),-$I161*$E161-CK161,IF(CP$5=$H161,-$I161*$E161*(12-$J161+1)/12,0))</f>
        <v>0</v>
      </c>
      <c r="CQ161" s="86">
        <f>IF($H161&lt;&gt;CU$5,0,IF(CU161&lt;0,IF($J161=1,-$E161*$I161/12*3,IF($J161=2,-$E161*$I161/12*2,IF($J161=3,-$E161*$I161/12*1,0)))))+IF(CP$5&lt;&gt;$H161,0,IF(CP161&lt;0,IF($J161=1,-$E161*$I161/12*0,IF($J161=2,-$E161*$I161/12*1,IF($J161=3,-$E161*$I161/12*2,IF($J161&gt;=4,-$E161*$I161/12*3,0))))))</f>
        <v>0</v>
      </c>
      <c r="CR161" s="87">
        <f>IF($H161&lt;&gt;CU$5,0,IF(CU161&lt;0,IF(OR($J161=1,$J161=2,$J161=3,$J161=4),-$E161*$I161/12*3,IF($J161=5,-$E161*$I161/12*2,IF($J161=6,-$E161*$I161/12*1,0)))))+IF(CP$5&lt;&gt;$H161,0,IF(CP161&lt;0,IF($J161=4,-$E161*$I161/12*0,IF($J161=5,-$E161*$I161/12*1,IF($J161=6,-$E161*$I161/12*2,IF($J161&gt;=7,-$E161*$I161/12*3,0))))))</f>
        <v>0</v>
      </c>
      <c r="CS161" s="87">
        <f>IF($H161&lt;&gt;CU$5,0,IF(CU161&lt;0,IF(OR($J161=1,$J161=2,$J161=3,$J161=4,$J161=5,$J161=6,$J161=7),-$E161*$I161/12*3,IF($J161=8,-$E161*$I161/12*2,IF($J161=9,-$E161*$I161/12*1,0)))))+IF(CP$5&lt;&gt;$H161,0,IF(CP161&lt;0,IF($J161=7,-$E161*$I161/12*0,IF($J161=8,-$E161*$I161/12*1,IF($J161=9,-$E161*$I161/12*2,IF($J161&gt;=10,-$E161*$I161/12*3,0))))))</f>
        <v>0</v>
      </c>
      <c r="CT161" s="88">
        <f>IF($H161&lt;&gt;CU$5,0,IF(CU161&lt;0,IF(OR($J161=1,$J161=2,$J161=3,$J161=4,$J161=5,$J161=6,$J161=7,$J161=8,$J161=9,$J161=10),-$E161*$I161/12*3,IF($J161=11,-$E161*$I161/12*2,IF($J161=12,-$E161*$I161/12*1,0)))))+IF(CP$5&lt;&gt;$H161,0,IF(CP161&lt;0,IF($J161=10,-$E161*$I161/12*0,IF($J161=11,-$E161*$I161/12*1,IF($J161=12,-$E161*$I161/12*2,0)))))</f>
        <v>0</v>
      </c>
      <c r="CU161" s="85">
        <f>IF(AND(CP161&lt;&gt;0,CP$5=$H161),-$I161*$E161-CP161,IF(CU$5=$H161,-$I161*$E161*(12-$J161+1)/12,0))</f>
        <v>0</v>
      </c>
      <c r="CV161" s="86">
        <f>IF($H161&lt;&gt;CZ$5,0,IF(CZ161&lt;0,IF($J161=1,-$E161*$I161/12*3,IF($J161=2,-$E161*$I161/12*2,IF($J161=3,-$E161*$I161/12*1,0)))))+IF(CU$5&lt;&gt;$H161,0,IF(CU161&lt;0,IF($J161=1,-$E161*$I161/12*0,IF($J161=2,-$E161*$I161/12*1,IF($J161=3,-$E161*$I161/12*2,IF($J161&gt;=4,-$E161*$I161/12*3,0))))))</f>
        <v>0</v>
      </c>
      <c r="CW161" s="87">
        <f>IF($H161&lt;&gt;CZ$5,0,IF(CZ161&lt;0,IF(OR($J161=1,$J161=2,$J161=3,$J161=4),-$E161*$I161/12*3,IF($J161=5,-$E161*$I161/12*2,IF($J161=6,-$E161*$I161/12*1,0)))))+IF(CU$5&lt;&gt;$H161,0,IF(CU161&lt;0,IF($J161=4,-$E161*$I161/12*0,IF($J161=5,-$E161*$I161/12*1,IF($J161=6,-$E161*$I161/12*2,IF($J161&gt;=7,-$E161*$I161/12*3,0))))))</f>
        <v>0</v>
      </c>
      <c r="CX161" s="87">
        <f>IF($H161&lt;&gt;CZ$5,0,IF(CZ161&lt;0,IF(OR($J161=1,$J161=2,$J161=3,$J161=4,$J161=5,$J161=6,$J161=7),-$E161*$I161/12*3,IF($J161=8,-$E161*$I161/12*2,IF($J161=9,-$E161*$I161/12*1,0)))))+IF(CU$5&lt;&gt;$H161,0,IF(CU161&lt;0,IF($J161=7,-$E161*$I161/12*0,IF($J161=8,-$E161*$I161/12*1,IF($J161=9,-$E161*$I161/12*2,IF($J161&gt;=10,-$E161*$I161/12*3,0))))))</f>
        <v>0</v>
      </c>
      <c r="CY161" s="88">
        <f>IF($H161&lt;&gt;CZ$5,0,IF(CZ161&lt;0,IF(OR($J161=1,$J161=2,$J161=3,$J161=4,$J161=5,$J161=6,$J161=7,$J161=8,$J161=9,$J161=10),-$E161*$I161/12*3,IF($J161=11,-$E161*$I161/12*2,IF($J161=12,-$E161*$I161/12*1,0)))))+IF(CU$5&lt;&gt;$H161,0,IF(CU161&lt;0,IF($J161=10,-$E161*$I161/12*0,IF($J161=11,-$E161*$I161/12*1,IF($J161=12,-$E161*$I161/12*2,0)))))</f>
        <v>0</v>
      </c>
      <c r="CZ161" s="85">
        <f>IF(AND(CU161&lt;&gt;0,CU$5=$H161),-$I161*$E161-CU161,IF(CZ$5=$H161,-$I161*$E161*(12-$J161+1)/12,0))</f>
        <v>0</v>
      </c>
    </row>
    <row r="162" spans="1:104" ht="12.75" customHeight="1">
      <c r="A162" s="4"/>
      <c r="B162" s="4"/>
      <c r="D162" s="157"/>
      <c r="E162" s="147"/>
      <c r="F162" s="148"/>
      <c r="G162" s="148"/>
      <c r="H162" s="1334"/>
      <c r="I162" s="2125"/>
      <c r="J162" s="1334"/>
      <c r="K162" s="80"/>
      <c r="L162" s="98"/>
      <c r="M162" s="99"/>
      <c r="N162" s="100"/>
      <c r="O162" s="100"/>
      <c r="P162" s="101"/>
      <c r="Q162" s="98"/>
      <c r="R162" s="99"/>
      <c r="S162" s="100"/>
      <c r="T162" s="100"/>
      <c r="U162" s="101"/>
      <c r="V162" s="98"/>
      <c r="W162" s="99"/>
      <c r="X162" s="100"/>
      <c r="Y162" s="100"/>
      <c r="Z162" s="101"/>
      <c r="AA162" s="98"/>
      <c r="AB162" s="99"/>
      <c r="AC162" s="100"/>
      <c r="AD162" s="100"/>
      <c r="AE162" s="101"/>
      <c r="AF162" s="98"/>
      <c r="AG162" s="99"/>
      <c r="AH162" s="100"/>
      <c r="AI162" s="100"/>
      <c r="AJ162" s="101"/>
      <c r="AK162" s="98"/>
      <c r="AL162" s="99"/>
      <c r="AM162" s="100"/>
      <c r="AN162" s="100"/>
      <c r="AO162" s="101"/>
      <c r="AP162" s="98"/>
      <c r="AQ162" s="99"/>
      <c r="AR162" s="100"/>
      <c r="AS162" s="100"/>
      <c r="AT162" s="101"/>
      <c r="AU162" s="98"/>
      <c r="AV162" s="99"/>
      <c r="AW162" s="100"/>
      <c r="AX162" s="100"/>
      <c r="AY162" s="101"/>
      <c r="AZ162" s="98"/>
      <c r="BA162" s="99"/>
      <c r="BB162" s="100"/>
      <c r="BC162" s="100"/>
      <c r="BD162" s="101"/>
      <c r="BE162" s="98"/>
      <c r="BF162" s="1878"/>
      <c r="BG162" s="2006"/>
      <c r="BH162" s="103"/>
      <c r="BI162" s="104"/>
      <c r="BJ162" s="104"/>
      <c r="BK162" s="105"/>
      <c r="BL162" s="102"/>
      <c r="BM162" s="103"/>
      <c r="BN162" s="104"/>
      <c r="BO162" s="104"/>
      <c r="BP162" s="105"/>
      <c r="BQ162" s="102"/>
      <c r="BR162" s="103"/>
      <c r="BS162" s="104"/>
      <c r="BT162" s="104"/>
      <c r="BU162" s="105"/>
      <c r="BV162" s="102"/>
      <c r="BW162" s="103"/>
      <c r="BX162" s="104"/>
      <c r="BY162" s="104"/>
      <c r="BZ162" s="105"/>
      <c r="CA162" s="102"/>
      <c r="CB162" s="103"/>
      <c r="CC162" s="104"/>
      <c r="CD162" s="104"/>
      <c r="CE162" s="105"/>
      <c r="CF162" s="102"/>
      <c r="CG162" s="103"/>
      <c r="CH162" s="104"/>
      <c r="CI162" s="104"/>
      <c r="CJ162" s="105"/>
      <c r="CK162" s="102"/>
      <c r="CL162" s="103"/>
      <c r="CM162" s="104"/>
      <c r="CN162" s="104"/>
      <c r="CO162" s="105"/>
      <c r="CP162" s="102"/>
      <c r="CQ162" s="103"/>
      <c r="CR162" s="104"/>
      <c r="CS162" s="104"/>
      <c r="CT162" s="105"/>
      <c r="CU162" s="102"/>
      <c r="CV162" s="103"/>
      <c r="CW162" s="104"/>
      <c r="CX162" s="104"/>
      <c r="CY162" s="105"/>
      <c r="CZ162" s="102"/>
    </row>
    <row r="163" spans="1:104" ht="12.75" customHeight="1">
      <c r="A163" s="156"/>
      <c r="B163" s="156"/>
      <c r="C163" s="417" t="s">
        <v>399</v>
      </c>
      <c r="D163" s="417"/>
      <c r="E163" s="424">
        <f>SUM(E139:E162)</f>
        <v>8301.6</v>
      </c>
      <c r="F163" s="425">
        <f>SUM(F139:F162)</f>
        <v>7876.6</v>
      </c>
      <c r="G163" s="425">
        <f>SUM(G139:G162)</f>
        <v>7301.6</v>
      </c>
      <c r="H163" s="420"/>
      <c r="I163" s="421"/>
      <c r="J163" s="395"/>
      <c r="K163" s="423"/>
      <c r="L163" s="111">
        <f t="shared" ref="L163:BE163" si="2495">SUM(L139:L162)</f>
        <v>0</v>
      </c>
      <c r="M163" s="112">
        <f t="shared" si="2495"/>
        <v>0</v>
      </c>
      <c r="N163" s="113">
        <f t="shared" si="2495"/>
        <v>0</v>
      </c>
      <c r="O163" s="113">
        <f t="shared" si="2495"/>
        <v>0</v>
      </c>
      <c r="P163" s="114">
        <f t="shared" si="2495"/>
        <v>0</v>
      </c>
      <c r="Q163" s="111">
        <f t="shared" si="2495"/>
        <v>0</v>
      </c>
      <c r="R163" s="112">
        <f t="shared" si="2495"/>
        <v>0</v>
      </c>
      <c r="S163" s="113">
        <f t="shared" si="2495"/>
        <v>0</v>
      </c>
      <c r="T163" s="113">
        <f t="shared" si="2495"/>
        <v>0</v>
      </c>
      <c r="U163" s="114">
        <f t="shared" si="2495"/>
        <v>0</v>
      </c>
      <c r="V163" s="111">
        <f t="shared" si="2495"/>
        <v>0</v>
      </c>
      <c r="W163" s="112">
        <f t="shared" si="2495"/>
        <v>0</v>
      </c>
      <c r="X163" s="113">
        <f t="shared" si="2495"/>
        <v>0</v>
      </c>
      <c r="Y163" s="113">
        <f t="shared" si="2495"/>
        <v>0</v>
      </c>
      <c r="Z163" s="114">
        <f t="shared" si="2495"/>
        <v>0</v>
      </c>
      <c r="AA163" s="111">
        <f t="shared" si="2495"/>
        <v>0</v>
      </c>
      <c r="AB163" s="112">
        <f t="shared" si="2495"/>
        <v>0</v>
      </c>
      <c r="AC163" s="113">
        <f t="shared" si="2495"/>
        <v>0</v>
      </c>
      <c r="AD163" s="113">
        <f t="shared" si="2495"/>
        <v>0</v>
      </c>
      <c r="AE163" s="114">
        <f t="shared" si="2495"/>
        <v>0</v>
      </c>
      <c r="AF163" s="111">
        <f t="shared" si="2495"/>
        <v>0</v>
      </c>
      <c r="AG163" s="112">
        <f t="shared" si="2495"/>
        <v>0</v>
      </c>
      <c r="AH163" s="113">
        <f t="shared" si="2495"/>
        <v>0</v>
      </c>
      <c r="AI163" s="113">
        <f t="shared" si="2495"/>
        <v>-425</v>
      </c>
      <c r="AJ163" s="114">
        <f t="shared" si="2495"/>
        <v>0</v>
      </c>
      <c r="AK163" s="111">
        <f t="shared" si="2495"/>
        <v>-425</v>
      </c>
      <c r="AL163" s="112">
        <f t="shared" si="2495"/>
        <v>-700</v>
      </c>
      <c r="AM163" s="113">
        <f t="shared" si="2495"/>
        <v>0</v>
      </c>
      <c r="AN163" s="113">
        <f t="shared" si="2495"/>
        <v>-140</v>
      </c>
      <c r="AO163" s="114">
        <f t="shared" si="2495"/>
        <v>0</v>
      </c>
      <c r="AP163" s="111">
        <f t="shared" si="2495"/>
        <v>-840</v>
      </c>
      <c r="AQ163" s="112">
        <f t="shared" si="2495"/>
        <v>0</v>
      </c>
      <c r="AR163" s="113">
        <f t="shared" si="2495"/>
        <v>0</v>
      </c>
      <c r="AS163" s="113">
        <f t="shared" si="2495"/>
        <v>0</v>
      </c>
      <c r="AT163" s="114">
        <f t="shared" si="2495"/>
        <v>0</v>
      </c>
      <c r="AU163" s="111">
        <f t="shared" si="2495"/>
        <v>0</v>
      </c>
      <c r="AV163" s="112">
        <f t="shared" si="2495"/>
        <v>0</v>
      </c>
      <c r="AW163" s="113">
        <f t="shared" si="2495"/>
        <v>0</v>
      </c>
      <c r="AX163" s="113">
        <f t="shared" si="2495"/>
        <v>-500</v>
      </c>
      <c r="AY163" s="114">
        <f t="shared" si="2495"/>
        <v>0</v>
      </c>
      <c r="AZ163" s="111">
        <f t="shared" si="2495"/>
        <v>-500</v>
      </c>
      <c r="BA163" s="112">
        <f t="shared" si="2495"/>
        <v>0</v>
      </c>
      <c r="BB163" s="113">
        <f t="shared" si="2495"/>
        <v>0</v>
      </c>
      <c r="BC163" s="113">
        <f t="shared" si="2495"/>
        <v>-350</v>
      </c>
      <c r="BD163" s="114">
        <f t="shared" si="2495"/>
        <v>0</v>
      </c>
      <c r="BE163" s="111">
        <f t="shared" si="2495"/>
        <v>-350</v>
      </c>
      <c r="BF163" s="1880"/>
      <c r="BG163" s="2007">
        <f t="shared" ref="BG163:CZ163" si="2496">SUM(BG139:BG162)</f>
        <v>0</v>
      </c>
      <c r="BH163" s="116">
        <f t="shared" si="2496"/>
        <v>0</v>
      </c>
      <c r="BI163" s="117">
        <f t="shared" si="2496"/>
        <v>0</v>
      </c>
      <c r="BJ163" s="117">
        <f t="shared" si="2496"/>
        <v>0</v>
      </c>
      <c r="BK163" s="118">
        <f t="shared" si="2496"/>
        <v>0</v>
      </c>
      <c r="BL163" s="115">
        <f t="shared" si="2496"/>
        <v>0</v>
      </c>
      <c r="BM163" s="116">
        <f t="shared" si="2496"/>
        <v>0</v>
      </c>
      <c r="BN163" s="117">
        <f t="shared" si="2496"/>
        <v>0</v>
      </c>
      <c r="BO163" s="117">
        <f t="shared" si="2496"/>
        <v>0</v>
      </c>
      <c r="BP163" s="118">
        <f t="shared" si="2496"/>
        <v>0</v>
      </c>
      <c r="BQ163" s="115">
        <f t="shared" si="2496"/>
        <v>0</v>
      </c>
      <c r="BR163" s="116">
        <f t="shared" si="2496"/>
        <v>0</v>
      </c>
      <c r="BS163" s="117">
        <f t="shared" si="2496"/>
        <v>0</v>
      </c>
      <c r="BT163" s="117">
        <f t="shared" si="2496"/>
        <v>0</v>
      </c>
      <c r="BU163" s="118">
        <f t="shared" si="2496"/>
        <v>0</v>
      </c>
      <c r="BV163" s="115">
        <f t="shared" si="2496"/>
        <v>0</v>
      </c>
      <c r="BW163" s="116">
        <f t="shared" si="2496"/>
        <v>0</v>
      </c>
      <c r="BX163" s="117">
        <f t="shared" si="2496"/>
        <v>0</v>
      </c>
      <c r="BY163" s="117">
        <f t="shared" si="2496"/>
        <v>0</v>
      </c>
      <c r="BZ163" s="118">
        <f t="shared" si="2496"/>
        <v>0</v>
      </c>
      <c r="CA163" s="115">
        <f t="shared" si="2496"/>
        <v>0</v>
      </c>
      <c r="CB163" s="116">
        <f t="shared" si="2496"/>
        <v>0</v>
      </c>
      <c r="CC163" s="117">
        <f t="shared" si="2496"/>
        <v>0</v>
      </c>
      <c r="CD163" s="117">
        <f t="shared" si="2496"/>
        <v>-4.3562500000000002</v>
      </c>
      <c r="CE163" s="118">
        <f t="shared" si="2496"/>
        <v>-6.5343750000000007</v>
      </c>
      <c r="CF163" s="115">
        <f t="shared" si="2496"/>
        <v>-10.890625</v>
      </c>
      <c r="CG163" s="116">
        <f t="shared" si="2496"/>
        <v>-9.9177083333333336</v>
      </c>
      <c r="CH163" s="117">
        <f t="shared" si="2496"/>
        <v>-16.684375000000003</v>
      </c>
      <c r="CI163" s="117">
        <f t="shared" si="2496"/>
        <v>-14.760625000000001</v>
      </c>
      <c r="CJ163" s="118">
        <f t="shared" si="2496"/>
        <v>-12.5825</v>
      </c>
      <c r="CK163" s="115">
        <f t="shared" si="2496"/>
        <v>-53.945208333333333</v>
      </c>
      <c r="CL163" s="116">
        <f t="shared" si="2496"/>
        <v>-9.1991666666666667</v>
      </c>
      <c r="CM163" s="117">
        <f t="shared" si="2496"/>
        <v>-2.4325000000000001</v>
      </c>
      <c r="CN163" s="117">
        <f t="shared" si="2496"/>
        <v>0</v>
      </c>
      <c r="CO163" s="118">
        <f t="shared" si="2496"/>
        <v>0</v>
      </c>
      <c r="CP163" s="115">
        <f t="shared" si="2496"/>
        <v>-11.631666666666666</v>
      </c>
      <c r="CQ163" s="116">
        <f t="shared" si="2496"/>
        <v>0</v>
      </c>
      <c r="CR163" s="117">
        <f t="shared" si="2496"/>
        <v>0</v>
      </c>
      <c r="CS163" s="117">
        <f t="shared" si="2496"/>
        <v>-3.3333333333333335</v>
      </c>
      <c r="CT163" s="118">
        <f t="shared" si="2496"/>
        <v>-5</v>
      </c>
      <c r="CU163" s="115">
        <f t="shared" si="2496"/>
        <v>-8.3333333333333339</v>
      </c>
      <c r="CV163" s="116">
        <f t="shared" si="2496"/>
        <v>-5</v>
      </c>
      <c r="CW163" s="117">
        <f t="shared" si="2496"/>
        <v>-5</v>
      </c>
      <c r="CX163" s="117">
        <f t="shared" si="2496"/>
        <v>-2.6583333333333332</v>
      </c>
      <c r="CY163" s="118">
        <f t="shared" si="2496"/>
        <v>-2.9750000000000001</v>
      </c>
      <c r="CZ163" s="115">
        <f t="shared" si="2496"/>
        <v>-15.633333333333333</v>
      </c>
    </row>
    <row r="164" spans="1:104" ht="12.75" customHeight="1">
      <c r="A164" s="4"/>
      <c r="B164" s="4"/>
      <c r="C164" s="157"/>
      <c r="D164" s="157"/>
      <c r="E164" s="147"/>
      <c r="F164" s="2316"/>
      <c r="G164" s="165"/>
      <c r="H164" s="166"/>
      <c r="I164" s="192"/>
      <c r="J164" s="167" t="s">
        <v>68</v>
      </c>
      <c r="K164" s="80"/>
      <c r="L164" s="81"/>
      <c r="M164" s="82"/>
      <c r="N164" s="83"/>
      <c r="O164" s="83"/>
      <c r="P164" s="84"/>
      <c r="Q164" s="81"/>
      <c r="R164" s="82"/>
      <c r="S164" s="83"/>
      <c r="T164" s="83"/>
      <c r="U164" s="84"/>
      <c r="V164" s="81"/>
      <c r="W164" s="82"/>
      <c r="X164" s="83"/>
      <c r="Y164" s="83"/>
      <c r="Z164" s="84"/>
      <c r="AA164" s="81"/>
      <c r="AB164" s="82"/>
      <c r="AC164" s="83"/>
      <c r="AD164" s="83"/>
      <c r="AE164" s="84"/>
      <c r="AF164" s="81"/>
      <c r="AG164" s="82"/>
      <c r="AH164" s="83"/>
      <c r="AI164" s="83"/>
      <c r="AJ164" s="84"/>
      <c r="AK164" s="81"/>
      <c r="AL164" s="82"/>
      <c r="AM164" s="83"/>
      <c r="AN164" s="83"/>
      <c r="AO164" s="84"/>
      <c r="AP164" s="81"/>
      <c r="AQ164" s="82"/>
      <c r="AR164" s="83"/>
      <c r="AS164" s="83"/>
      <c r="AT164" s="84"/>
      <c r="AU164" s="81"/>
      <c r="AV164" s="82"/>
      <c r="AW164" s="83"/>
      <c r="AX164" s="83"/>
      <c r="AY164" s="84"/>
      <c r="AZ164" s="81"/>
      <c r="BA164" s="82"/>
      <c r="BB164" s="83"/>
      <c r="BC164" s="83"/>
      <c r="BD164" s="84"/>
      <c r="BE164" s="81"/>
      <c r="BF164" s="1877"/>
      <c r="BG164" s="2005"/>
      <c r="BH164" s="86"/>
      <c r="BI164" s="87"/>
      <c r="BJ164" s="87"/>
      <c r="BK164" s="88"/>
      <c r="BL164" s="85"/>
      <c r="BM164" s="86"/>
      <c r="BN164" s="87"/>
      <c r="BO164" s="87"/>
      <c r="BP164" s="88"/>
      <c r="BQ164" s="85"/>
      <c r="BR164" s="86"/>
      <c r="BS164" s="87"/>
      <c r="BT164" s="87"/>
      <c r="BU164" s="88"/>
      <c r="BV164" s="85"/>
      <c r="BW164" s="86"/>
      <c r="BX164" s="87"/>
      <c r="BY164" s="87"/>
      <c r="BZ164" s="88"/>
      <c r="CA164" s="85"/>
      <c r="CB164" s="86"/>
      <c r="CC164" s="87"/>
      <c r="CD164" s="87"/>
      <c r="CE164" s="88"/>
      <c r="CF164" s="85"/>
      <c r="CG164" s="86"/>
      <c r="CH164" s="87"/>
      <c r="CI164" s="87"/>
      <c r="CJ164" s="88"/>
      <c r="CK164" s="85"/>
      <c r="CL164" s="86"/>
      <c r="CM164" s="87"/>
      <c r="CN164" s="87"/>
      <c r="CO164" s="88"/>
      <c r="CP164" s="85"/>
      <c r="CQ164" s="86"/>
      <c r="CR164" s="87"/>
      <c r="CS164" s="87"/>
      <c r="CT164" s="88"/>
      <c r="CU164" s="85"/>
      <c r="CV164" s="86"/>
      <c r="CW164" s="87"/>
      <c r="CX164" s="87"/>
      <c r="CY164" s="88"/>
      <c r="CZ164" s="85"/>
    </row>
    <row r="165" spans="1:104" ht="12.75" customHeight="1">
      <c r="A165" s="4"/>
      <c r="B165" s="4"/>
      <c r="C165" s="193" t="s">
        <v>530</v>
      </c>
      <c r="D165" s="168"/>
      <c r="E165" s="75"/>
      <c r="F165" s="76"/>
      <c r="G165" s="76"/>
      <c r="H165" s="77"/>
      <c r="I165" s="78"/>
      <c r="J165" s="79"/>
      <c r="K165" s="80"/>
      <c r="L165" s="81"/>
      <c r="M165" s="82"/>
      <c r="N165" s="83"/>
      <c r="O165" s="83"/>
      <c r="P165" s="84"/>
      <c r="Q165" s="81"/>
      <c r="R165" s="82"/>
      <c r="S165" s="83"/>
      <c r="T165" s="83"/>
      <c r="U165" s="84"/>
      <c r="V165" s="81"/>
      <c r="W165" s="82"/>
      <c r="X165" s="83"/>
      <c r="Y165" s="83"/>
      <c r="Z165" s="84"/>
      <c r="AA165" s="81"/>
      <c r="AB165" s="82"/>
      <c r="AC165" s="83"/>
      <c r="AD165" s="83"/>
      <c r="AE165" s="84"/>
      <c r="AF165" s="81"/>
      <c r="AG165" s="82"/>
      <c r="AH165" s="83"/>
      <c r="AI165" s="83"/>
      <c r="AJ165" s="84"/>
      <c r="AK165" s="81"/>
      <c r="AL165" s="82"/>
      <c r="AM165" s="83"/>
      <c r="AN165" s="83"/>
      <c r="AO165" s="84"/>
      <c r="AP165" s="81"/>
      <c r="AQ165" s="82"/>
      <c r="AR165" s="83"/>
      <c r="AS165" s="83"/>
      <c r="AT165" s="84"/>
      <c r="AU165" s="81"/>
      <c r="AV165" s="82"/>
      <c r="AW165" s="83"/>
      <c r="AX165" s="83"/>
      <c r="AY165" s="84"/>
      <c r="AZ165" s="81"/>
      <c r="BA165" s="82"/>
      <c r="BB165" s="83"/>
      <c r="BC165" s="83"/>
      <c r="BD165" s="84"/>
      <c r="BE165" s="81"/>
      <c r="BF165" s="1884"/>
      <c r="BG165" s="2005"/>
      <c r="BH165" s="86"/>
      <c r="BI165" s="87"/>
      <c r="BJ165" s="87"/>
      <c r="BK165" s="88"/>
      <c r="BL165" s="85"/>
      <c r="BM165" s="86"/>
      <c r="BN165" s="87"/>
      <c r="BO165" s="87"/>
      <c r="BP165" s="88"/>
      <c r="BQ165" s="85"/>
      <c r="BR165" s="86"/>
      <c r="BS165" s="87"/>
      <c r="BT165" s="87"/>
      <c r="BU165" s="88"/>
      <c r="BV165" s="85"/>
      <c r="BW165" s="86"/>
      <c r="BX165" s="87"/>
      <c r="BY165" s="87"/>
      <c r="BZ165" s="88"/>
      <c r="CA165" s="85"/>
      <c r="CB165" s="86"/>
      <c r="CC165" s="87"/>
      <c r="CD165" s="87"/>
      <c r="CE165" s="88"/>
      <c r="CF165" s="85"/>
      <c r="CG165" s="86"/>
      <c r="CH165" s="87"/>
      <c r="CI165" s="87"/>
      <c r="CJ165" s="88"/>
      <c r="CK165" s="85"/>
      <c r="CL165" s="86"/>
      <c r="CM165" s="87"/>
      <c r="CN165" s="87"/>
      <c r="CO165" s="88"/>
      <c r="CP165" s="85"/>
      <c r="CQ165" s="86"/>
      <c r="CR165" s="87"/>
      <c r="CS165" s="87"/>
      <c r="CT165" s="88"/>
      <c r="CU165" s="85"/>
      <c r="CV165" s="86"/>
      <c r="CW165" s="87"/>
      <c r="CX165" s="87"/>
      <c r="CY165" s="88"/>
      <c r="CZ165" s="85"/>
    </row>
    <row r="166" spans="1:104" ht="12.75" customHeight="1">
      <c r="A166" s="4"/>
      <c r="B166" s="4"/>
      <c r="C166" s="193"/>
      <c r="D166" s="168"/>
      <c r="E166" s="76"/>
      <c r="F166" s="76"/>
      <c r="G166" s="76"/>
      <c r="H166" s="77"/>
      <c r="I166" s="78"/>
      <c r="J166" s="79"/>
      <c r="K166" s="80"/>
      <c r="L166" s="81"/>
      <c r="M166" s="82"/>
      <c r="N166" s="83"/>
      <c r="O166" s="83"/>
      <c r="P166" s="84"/>
      <c r="Q166" s="81"/>
      <c r="R166" s="82"/>
      <c r="S166" s="83"/>
      <c r="T166" s="83"/>
      <c r="U166" s="84"/>
      <c r="V166" s="81"/>
      <c r="W166" s="82"/>
      <c r="X166" s="83"/>
      <c r="Y166" s="83"/>
      <c r="Z166" s="84"/>
      <c r="AA166" s="81"/>
      <c r="AB166" s="82"/>
      <c r="AC166" s="83"/>
      <c r="AD166" s="83"/>
      <c r="AE166" s="84"/>
      <c r="AF166" s="81"/>
      <c r="AG166" s="82"/>
      <c r="AH166" s="83"/>
      <c r="AI166" s="83"/>
      <c r="AJ166" s="84"/>
      <c r="AK166" s="81"/>
      <c r="AL166" s="82"/>
      <c r="AM166" s="83"/>
      <c r="AN166" s="83"/>
      <c r="AO166" s="84"/>
      <c r="AP166" s="81"/>
      <c r="AQ166" s="82"/>
      <c r="AR166" s="83"/>
      <c r="AS166" s="83"/>
      <c r="AT166" s="84"/>
      <c r="AU166" s="81"/>
      <c r="AV166" s="82"/>
      <c r="AW166" s="83"/>
      <c r="AX166" s="83"/>
      <c r="AY166" s="84"/>
      <c r="AZ166" s="81"/>
      <c r="BA166" s="82"/>
      <c r="BB166" s="83"/>
      <c r="BC166" s="83"/>
      <c r="BD166" s="84"/>
      <c r="BE166" s="81"/>
      <c r="BF166" s="1884"/>
      <c r="BG166" s="2005"/>
      <c r="BH166" s="86"/>
      <c r="BI166" s="87"/>
      <c r="BJ166" s="87"/>
      <c r="BK166" s="88"/>
      <c r="BL166" s="85"/>
      <c r="BM166" s="86"/>
      <c r="BN166" s="87"/>
      <c r="BO166" s="87"/>
      <c r="BP166" s="88"/>
      <c r="BQ166" s="85"/>
      <c r="BR166" s="86"/>
      <c r="BS166" s="87"/>
      <c r="BT166" s="87"/>
      <c r="BU166" s="88"/>
      <c r="BV166" s="85"/>
      <c r="BW166" s="86"/>
      <c r="BX166" s="87"/>
      <c r="BY166" s="87"/>
      <c r="BZ166" s="88"/>
      <c r="CA166" s="85"/>
      <c r="CB166" s="86"/>
      <c r="CC166" s="87"/>
      <c r="CD166" s="87"/>
      <c r="CE166" s="88"/>
      <c r="CF166" s="85"/>
      <c r="CG166" s="86"/>
      <c r="CH166" s="87"/>
      <c r="CI166" s="87"/>
      <c r="CJ166" s="88"/>
      <c r="CK166" s="85"/>
      <c r="CL166" s="86"/>
      <c r="CM166" s="87"/>
      <c r="CN166" s="87"/>
      <c r="CO166" s="88"/>
      <c r="CP166" s="85"/>
      <c r="CQ166" s="86"/>
      <c r="CR166" s="87"/>
      <c r="CS166" s="87"/>
      <c r="CT166" s="88"/>
      <c r="CU166" s="85"/>
      <c r="CV166" s="86"/>
      <c r="CW166" s="87"/>
      <c r="CX166" s="87"/>
      <c r="CY166" s="88"/>
      <c r="CZ166" s="85"/>
    </row>
    <row r="167" spans="1:104" ht="12.75" customHeight="1">
      <c r="A167" s="4"/>
      <c r="B167" s="4"/>
      <c r="C167" s="1999" t="s">
        <v>1542</v>
      </c>
      <c r="D167" s="2114"/>
      <c r="E167" s="1511">
        <v>350</v>
      </c>
      <c r="F167" s="1511"/>
      <c r="G167" s="1511"/>
      <c r="H167" s="1334">
        <v>2017</v>
      </c>
      <c r="I167" s="325">
        <v>2.9499999999999998E-2</v>
      </c>
      <c r="J167" s="1334">
        <v>8</v>
      </c>
      <c r="K167" s="80"/>
      <c r="L167" s="81">
        <f t="shared" ref="L167:L172" si="2497">IF(L$5=$H167,$E167,0)</f>
        <v>0</v>
      </c>
      <c r="M167" s="82">
        <f>IF(Q167=0,0,IF(Q167&gt;0,IF($J167=3,Q167,IF($J167=2,Q167,IF($J167=1,Q167,0)))))</f>
        <v>0</v>
      </c>
      <c r="N167" s="83">
        <f>IF(Q167=0,0,IF(Q167&gt;0,IF($J167=6,Q167,IF($J167=5,Q167,IF($J167=4,Q167,0)))))</f>
        <v>0</v>
      </c>
      <c r="O167" s="83">
        <f>IF(Q167=0,0,IF(Q167&gt;0,IF($J167=9,Q167,IF($J167=8,Q167,IF($J167=7,Q167,0)))))</f>
        <v>0</v>
      </c>
      <c r="P167" s="84">
        <f>IF(Q167=0,0,IF(Q167&gt;0,IF($J167=12,Q167,IF($J167=11,Q167,IF($J167=10,Q167,0)))))</f>
        <v>0</v>
      </c>
      <c r="Q167" s="81">
        <f t="shared" ref="Q167:Q172" si="2498">IF(Q$5=$H167,$E167,0)</f>
        <v>0</v>
      </c>
      <c r="R167" s="82">
        <f>IF(V167=0,0,IF(V167&gt;0,IF($J167=3,V167,IF($J167=2,V167,IF($J167=1,V167,0)))))</f>
        <v>0</v>
      </c>
      <c r="S167" s="83">
        <f>IF(V167=0,0,IF(V167&gt;0,IF($J167=6,V167,IF($J167=5,V167,IF($J167=4,V167,0)))))</f>
        <v>0</v>
      </c>
      <c r="T167" s="83">
        <f>IF(V167=0,0,IF(V167&gt;0,IF($J167=9,V167,IF($J167=8,V167,IF($J167=7,V167,0)))))</f>
        <v>0</v>
      </c>
      <c r="U167" s="84">
        <f>IF(V167=0,0,IF(V167&gt;0,IF($J167=12,V167,IF($J167=11,V167,IF($J167=10,V167,0)))))</f>
        <v>0</v>
      </c>
      <c r="V167" s="81">
        <f t="shared" ref="V167:V172" si="2499">IF(V$5=$H167,$E167,0)</f>
        <v>0</v>
      </c>
      <c r="W167" s="82">
        <f>IF(AA167=0,0,IF(AA167&gt;0,IF($J167=3,AA167,IF($J167=2,AA167,IF($J167=1,AA167,0)))))</f>
        <v>0</v>
      </c>
      <c r="X167" s="83">
        <f>IF(AA167=0,0,IF(AA167&gt;0,IF($J167=6,AA167,IF($J167=5,AA167,IF($J167=4,AA167,0)))))</f>
        <v>0</v>
      </c>
      <c r="Y167" s="83">
        <f>IF(AA167=0,0,IF(AA167&gt;0,IF($J167=9,AA167,IF($J167=8,AA167,IF($J167=7,AA167,0)))))</f>
        <v>0</v>
      </c>
      <c r="Z167" s="84">
        <f>IF(AA167=0,0,IF(AA167&gt;0,IF($J167=12,AA167,IF($J167=11,AA167,IF($J167=10,AA167,0)))))</f>
        <v>0</v>
      </c>
      <c r="AA167" s="81">
        <f t="shared" ref="AA167:AA172" si="2500">IF(AA$5=$H167,$E167,0)</f>
        <v>0</v>
      </c>
      <c r="AB167" s="82">
        <f>IF(AF167=0,0,IF(AF167&gt;0,IF($J167=3,AF167,IF($J167=2,AF167,IF($J167=1,AF167,0)))))</f>
        <v>0</v>
      </c>
      <c r="AC167" s="83">
        <f>IF(AF167=0,0,IF(AF167&gt;0,IF($J167=6,AF167,IF($J167=5,AF167,IF($J167=4,AF167,0)))))</f>
        <v>0</v>
      </c>
      <c r="AD167" s="83">
        <f>IF(AF167=0,0,IF(AF167&gt;0,IF($J167=9,AF167,IF($J167=8,AF167,IF($J167=7,AF167,0)))))</f>
        <v>0</v>
      </c>
      <c r="AE167" s="84">
        <f>IF(AF167=0,0,IF(AF167&gt;0,IF($J167=12,AF167,IF($J167=11,AF167,IF($J167=10,AF167,0)))))</f>
        <v>0</v>
      </c>
      <c r="AF167" s="81">
        <f t="shared" ref="AF167:AF172" si="2501">IF(AF$5=$H167,$E167,0)</f>
        <v>0</v>
      </c>
      <c r="AG167" s="82">
        <f>IF(AK167=0,0,IF(AK167&gt;0,IF($J167=3,AK167,IF($J167=2,AK167,IF($J167=1,AK167,0)))))</f>
        <v>0</v>
      </c>
      <c r="AH167" s="83">
        <f>IF(AK167=0,0,IF(AK167&gt;0,IF($J167=6,AK167,IF($J167=5,AK167,IF($J167=4,AK167,0)))))</f>
        <v>0</v>
      </c>
      <c r="AI167" s="83">
        <f>IF(AK167=0,0,IF(AK167&gt;0,IF($J167=9,AK167,IF($J167=8,AK167,IF($J167=7,AK167,0)))))</f>
        <v>350</v>
      </c>
      <c r="AJ167" s="84">
        <f>IF(AK167=0,0,IF(AK167&gt;0,IF($J167=12,AK167,IF($J167=11,AK167,IF($J167=10,AK167,0)))))</f>
        <v>0</v>
      </c>
      <c r="AK167" s="81">
        <f t="shared" ref="AK167:AK172" si="2502">IF(AK$5=$H167,$E167,0)</f>
        <v>350</v>
      </c>
      <c r="AL167" s="82">
        <f>IF(AP167=0,0,IF(AP167&gt;0,IF($J167=3,AP167,IF($J167=2,AP167,IF($J167=1,AP167,0)))))</f>
        <v>0</v>
      </c>
      <c r="AM167" s="83">
        <f>IF(AP167=0,0,IF(AP167&gt;0,IF($J167=6,AP167,IF($J167=5,AP167,IF($J167=4,AP167,0)))))</f>
        <v>0</v>
      </c>
      <c r="AN167" s="83">
        <f>IF(AP167=0,0,IF(AP167&gt;0,IF($J167=9,AP167,IF($J167=8,AP167,IF($J167=7,AP167,0)))))</f>
        <v>0</v>
      </c>
      <c r="AO167" s="84">
        <f>IF(AP167=0,0,IF(AP167&gt;0,IF($J167=12,AP167,IF($J167=11,AP167,IF($J167=10,AP167,0)))))</f>
        <v>0</v>
      </c>
      <c r="AP167" s="81">
        <f t="shared" ref="AP167:AP172" si="2503">IF(AP$5=$H167,$E167,0)</f>
        <v>0</v>
      </c>
      <c r="AQ167" s="82">
        <f>IF(AU167=0,0,IF(AU167&gt;0,IF($J167=3,AU167,IF($J167=2,AU167,IF($J167=1,AU167,0)))))</f>
        <v>0</v>
      </c>
      <c r="AR167" s="83">
        <f>IF(AU167=0,0,IF(AU167&gt;0,IF($J167=6,AU167,IF($J167=5,AU167,IF($J167=4,AU167,0)))))</f>
        <v>0</v>
      </c>
      <c r="AS167" s="83">
        <f>IF(AU167=0,0,IF(AU167&gt;0,IF($J167=9,AU167,IF($J167=8,AU167,IF($J167=7,AU167,0)))))</f>
        <v>0</v>
      </c>
      <c r="AT167" s="84">
        <f>IF(AU167=0,0,IF(AU167&gt;0,IF($J167=12,AU167,IF($J167=11,AU167,IF($J167=10,AU167,0)))))</f>
        <v>0</v>
      </c>
      <c r="AU167" s="81">
        <f t="shared" ref="AU167:AU172" si="2504">IF(AU$5=$H167,$E167,0)</f>
        <v>0</v>
      </c>
      <c r="AV167" s="82">
        <f>IF(AZ167=0,0,IF(AZ167&gt;0,IF($J167=3,AZ167,IF($J167=2,AZ167,IF($J167=1,AZ167,0)))))</f>
        <v>0</v>
      </c>
      <c r="AW167" s="83">
        <f>IF(AZ167=0,0,IF(AZ167&gt;0,IF($J167=6,AZ167,IF($J167=5,AZ167,IF($J167=4,AZ167,0)))))</f>
        <v>0</v>
      </c>
      <c r="AX167" s="83">
        <f>IF(AZ167=0,0,IF(AZ167&gt;0,IF($J167=9,AZ167,IF($J167=8,AZ167,IF($J167=7,AZ167,0)))))</f>
        <v>0</v>
      </c>
      <c r="AY167" s="84">
        <f>IF(AZ167=0,0,IF(AZ167&gt;0,IF($J167=12,AZ167,IF($J167=11,AZ167,IF($J167=10,AZ167,0)))))</f>
        <v>0</v>
      </c>
      <c r="AZ167" s="81">
        <f t="shared" ref="AZ167:AZ172" si="2505">IF(AZ$5=$H167,$E167,0)</f>
        <v>0</v>
      </c>
      <c r="BA167" s="82">
        <f>IF(BE167=0,0,IF(BE167&gt;0,IF($J167=3,BE167,IF($J167=2,BE167,IF($J167=1,BE167,0)))))</f>
        <v>0</v>
      </c>
      <c r="BB167" s="83">
        <f>IF(BE167=0,0,IF(BE167&gt;0,IF($J167=6,BE167,IF($J167=5,BE167,IF($J167=4,BE167,0)))))</f>
        <v>0</v>
      </c>
      <c r="BC167" s="83">
        <f>IF(BE167=0,0,IF(BE167&gt;0,IF($J167=9,BE167,IF($J167=8,BE167,IF($J167=7,BE167,0)))))</f>
        <v>0</v>
      </c>
      <c r="BD167" s="84">
        <f>IF(BE167=0,0,IF(BE167&gt;0,IF($J167=12,BE167,IF($J167=11,BE167,IF($J167=10,BE167,0)))))</f>
        <v>0</v>
      </c>
      <c r="BE167" s="81">
        <f t="shared" ref="BE167:BE172" si="2506">IF(BE$5=$H167,$E167,0)</f>
        <v>0</v>
      </c>
      <c r="BF167" s="1884"/>
      <c r="BG167" s="2005">
        <f t="shared" ref="BG167" si="2507">IF(AND(BF167&lt;&gt;0,BF$5=$H167),$I167*$E167-BF167,IF(BG$5=$H167,$I167*$E167*(12-$J167+1)/12,0))</f>
        <v>0</v>
      </c>
      <c r="BH167" s="86">
        <f>IF($H167&lt;&gt;BL$5,0,IF(BL167&gt;0,IF($J167=1,$E167*$I167/12*3,IF($J167=2,$E167*$I167/12*2,IF($J167=3,$E167*$I167/12*1,0)))))+IF(BG$5&lt;&gt;$H167,0,IF(BG167&gt;0,IF($J167=1,$E167*$I167/12*0,IF($J167=2,$E167*$I167/12*1,IF($J167=3,$E167*$I167/12*2,IF($J167&gt;=4,$E167*$I167/12*3,0))))))</f>
        <v>0</v>
      </c>
      <c r="BI167" s="87">
        <f>IF($H167&lt;&gt;BL$5,0,IF(BL167&gt;0,IF(OR($J167=1,$J167=2,$J167=3,$J167=4),$E167*$I167/12*3,IF($J167=5,$E167*$I167/12*2,IF($J167=6,$E167*$I167/12*1,0)))))+IF(BG$5&lt;&gt;$H167,0,IF(BG167&gt;0,IF($J167=4,$E167*$I167/12*0,IF($J167=5,$E167*$I167/12*1,IF($J167=6,$E167*$I167/12*2,IF($J167&gt;=7,$E167*$I167/12*3,0))))))</f>
        <v>0</v>
      </c>
      <c r="BJ167" s="87">
        <f>IF($H167&lt;&gt;BL$5,0,IF(BL167&gt;0,IF(OR($J167=1,$J167=2,$J167=3,$J167=4,$J167=5,$J167=6,$J167=7),$E167*$I167/12*3,IF($J167=8,$E167*$I167/12*2,IF($J167=9,$E167*$I167/12*1,0)))))+IF(BG$5&lt;&gt;$H167,0,IF(BG167&gt;0,IF($J167=7,$E167*$I167/12*0,IF($J167=8,$E167*$I167/12*1,IF($J167=9,$E167*$I167/12*2,IF($J167&gt;=10,$E167*$I167/12*3,0))))))</f>
        <v>0</v>
      </c>
      <c r="BK167" s="88">
        <f>IF($H167&lt;&gt;BL$5,0,IF(BL167&gt;0,IF(OR($J167=1,$J167=2,$J167=3,$J167=4,$J167=5,$J167=6,$J167=7,$J167=8,$J167=9,$J167=10),$E167*$I167/12*3,IF($J167=11,$E167*$I167/12*2,IF($J167=12,$E167*$I167/12*1,0)))))+IF(BG$5&lt;&gt;$H167,0,IF(BG167&gt;0,IF($J167=10,$E167*$I167/12*0,IF($J167=11,$E167*$I167/12*1,IF($J167=12,$E167*$I167/12*2,0)))))</f>
        <v>0</v>
      </c>
      <c r="BL167" s="85">
        <f>IF(AND(BG167&lt;&gt;0,BG$5=$H167),$I167*$E167-BG167,IF(BL$5=$H167,$I167*$E167*(12-$J167+1)/12,0))</f>
        <v>0</v>
      </c>
      <c r="BM167" s="86">
        <f>IF($H167&lt;&gt;BQ$5,0,IF(BQ167&gt;0,IF($J167=1,$E167*$I167/12*3,IF($J167=2,$E167*$I167/12*2,IF($J167=3,$E167*$I167/12*1,0)))))+IF(BL$5&lt;&gt;$H167,0,IF(BL167&gt;0,IF($J167=1,$E167*$I167/12*0,IF($J167=2,$E167*$I167/12*1,IF($J167=3,$E167*$I167/12*2,IF($J167&gt;=4,$E167*$I167/12*3,0))))))</f>
        <v>0</v>
      </c>
      <c r="BN167" s="87">
        <f>IF($H167&lt;&gt;BQ$5,0,IF(BQ167&gt;0,IF(OR($J167=1,$J167=2,$J167=3,$J167=4),$E167*$I167/12*3,IF($J167=5,$E167*$I167/12*2,IF($J167=6,$E167*$I167/12*1,0)))))+IF(BL$5&lt;&gt;$H167,0,IF(BL167&gt;0,IF($J167=4,$E167*$I167/12*0,IF($J167=5,$E167*$I167/12*1,IF($J167=6,$E167*$I167/12*2,IF($J167&gt;=7,$E167*$I167/12*3,0))))))</f>
        <v>0</v>
      </c>
      <c r="BO167" s="87">
        <f>IF($H167&lt;&gt;BQ$5,0,IF(BQ167&gt;0,IF(OR($J167=1,$J167=2,$J167=3,$J167=4,$J167=5,$J167=6,$J167=7),$E167*$I167/12*3,IF($J167=8,$E167*$I167/12*2,IF($J167=9,$E167*$I167/12*1,0)))))+IF(BL$5&lt;&gt;$H167,0,IF(BL167&gt;0,IF($J167=7,$E167*$I167/12*0,IF($J167=8,$E167*$I167/12*1,IF($J167=9,$E167*$I167/12*2,IF($J167&gt;=10,$E167*$I167/12*3,0))))))</f>
        <v>0</v>
      </c>
      <c r="BP167" s="88">
        <f>IF($H167&lt;&gt;BQ$5,0,IF(BQ167&gt;0,IF(OR($J167=1,$J167=2,$J167=3,$J167=4,$J167=5,$J167=6,$J167=7,$J167=8,$J167=9,$J167=10),$E167*$I167/12*3,IF($J167=11,$E167*$I167/12*2,IF($J167=12,$E167*$I167/12*1,0)))))+IF(BL$5&lt;&gt;$H167,0,IF(BL167&gt;0,IF($J167=10,$E167*$I167/12*0,IF($J167=11,$E167*$I167/12*1,IF($J167=12,$E167*$I167/12*2,0)))))</f>
        <v>0</v>
      </c>
      <c r="BQ167" s="85">
        <f>IF(AND(BL167&lt;&gt;0,BL$5=$H167),$I167*$E167-BL167,IF(BQ$5=$H167,$I167*$E167*(12-$J167+1)/12,0))</f>
        <v>0</v>
      </c>
      <c r="BR167" s="86">
        <f>IF($H167&lt;&gt;BV$5,0,IF(BV167&gt;0,IF($J167=1,$E167*$I167/12*3,IF($J167=2,$E167*$I167/12*2,IF($J167=3,$E167*$I167/12*1,0)))))+IF(BQ$5&lt;&gt;$H167,0,IF(BQ167&gt;0,IF($J167=1,$E167*$I167/12*0,IF($J167=2,$E167*$I167/12*1,IF($J167=3,$E167*$I167/12*2,IF($J167&gt;=4,$E167*$I167/12*3,0))))))</f>
        <v>0</v>
      </c>
      <c r="BS167" s="87">
        <f>IF($H167&lt;&gt;BV$5,0,IF(BV167&gt;0,IF(OR($J167=1,$J167=2,$J167=3,$J167=4),$E167*$I167/12*3,IF($J167=5,$E167*$I167/12*2,IF($J167=6,$E167*$I167/12*1,0)))))+IF(BQ$5&lt;&gt;$H167,0,IF(BQ167&gt;0,IF($J167=4,$E167*$I167/12*0,IF($J167=5,$E167*$I167/12*1,IF($J167=6,$E167*$I167/12*2,IF($J167&gt;=7,$E167*$I167/12*3,0))))))</f>
        <v>0</v>
      </c>
      <c r="BT167" s="87">
        <f>IF($H167&lt;&gt;BV$5,0,IF(BV167&gt;0,IF(OR($J167=1,$J167=2,$J167=3,$J167=4,$J167=5,$J167=6,$J167=7),$E167*$I167/12*3,IF($J167=8,$E167*$I167/12*2,IF($J167=9,$E167*$I167/12*1,0)))))+IF(BQ$5&lt;&gt;$H167,0,IF(BQ167&gt;0,IF($J167=7,$E167*$I167/12*0,IF($J167=8,$E167*$I167/12*1,IF($J167=9,$E167*$I167/12*2,IF($J167&gt;=10,$E167*$I167/12*3,0))))))</f>
        <v>0</v>
      </c>
      <c r="BU167" s="88">
        <f>IF($H167&lt;&gt;BV$5,0,IF(BV167&gt;0,IF(OR($J167=1,$J167=2,$J167=3,$J167=4,$J167=5,$J167=6,$J167=7,$J167=8,$J167=9,$J167=10),$E167*$I167/12*3,IF($J167=11,$E167*$I167/12*2,IF($J167=12,$E167*$I167/12*1,0)))))+IF(BQ$5&lt;&gt;$H167,0,IF(BQ167&gt;0,IF($J167=10,$E167*$I167/12*0,IF($J167=11,$E167*$I167/12*1,IF($J167=12,$E167*$I167/12*2,0)))))</f>
        <v>0</v>
      </c>
      <c r="BV167" s="85">
        <f>IF(AND(BQ167&lt;&gt;0,BQ$5=$H167),$I167*$E167-BQ167,IF(BV$5=$H167,$I167*$E167*(12-$J167+1)/12,0))</f>
        <v>0</v>
      </c>
      <c r="BW167" s="86">
        <f>IF($H167&lt;&gt;CA$5,0,IF(CA167&gt;0,IF($J167=1,$E167*$I167/12*3,IF($J167=2,$E167*$I167/12*2,IF($J167=3,$E167*$I167/12*1,0)))))+IF(BV$5&lt;&gt;$H167,0,IF(BV167&gt;0,IF($J167=1,$E167*$I167/12*0,IF($J167=2,$E167*$I167/12*1,IF($J167=3,$E167*$I167/12*2,IF($J167&gt;=4,$E167*$I167/12*3,0))))))</f>
        <v>0</v>
      </c>
      <c r="BX167" s="87">
        <f>IF($H167&lt;&gt;CA$5,0,IF(CA167&gt;0,IF(OR($J167=1,$J167=2,$J167=3,$J167=4),$E167*$I167/12*3,IF($J167=5,$E167*$I167/12*2,IF($J167=6,$E167*$I167/12*1,0)))))+IF(BV$5&lt;&gt;$H167,0,IF(BV167&gt;0,IF($J167=4,$E167*$I167/12*0,IF($J167=5,$E167*$I167/12*1,IF($J167=6,$E167*$I167/12*2,IF($J167&gt;=7,$E167*$I167/12*3,0))))))</f>
        <v>0</v>
      </c>
      <c r="BY167" s="87">
        <f>IF($H167&lt;&gt;CA$5,0,IF(CA167&gt;0,IF(OR($J167=1,$J167=2,$J167=3,$J167=4,$J167=5,$J167=6,$J167=7),$E167*$I167/12*3,IF($J167=8,$E167*$I167/12*2,IF($J167=9,$E167*$I167/12*1,0)))))+IF(BV$5&lt;&gt;$H167,0,IF(BV167&gt;0,IF($J167=7,$E167*$I167/12*0,IF($J167=8,$E167*$I167/12*1,IF($J167=9,$E167*$I167/12*2,IF($J167&gt;=10,$E167*$I167/12*3,0))))))</f>
        <v>0</v>
      </c>
      <c r="BZ167" s="88">
        <f>IF($H167&lt;&gt;CA$5,0,IF(CA167&gt;0,IF(OR($J167=1,$J167=2,$J167=3,$J167=4,$J167=5,$J167=6,$J167=7,$J167=8,$J167=9,$J167=10),$E167*$I167/12*3,IF($J167=11,$E167*$I167/12*2,IF($J167=12,$E167*$I167/12*1,0)))))+IF(BV$5&lt;&gt;$H167,0,IF(BV167&gt;0,IF($J167=10,$E167*$I167/12*0,IF($J167=11,$E167*$I167/12*1,IF($J167=12,$E167*$I167/12*2,0)))))</f>
        <v>0</v>
      </c>
      <c r="CA167" s="85">
        <f>IF(AND(BV167&lt;&gt;0,BV$5=$H167),$I167*$E167-BV167,IF(CA$5=$H167,$I167*$E167*(12-$J167+1)/12,0))</f>
        <v>0</v>
      </c>
      <c r="CB167" s="86">
        <f>IF($H167&lt;&gt;CF$5,0,IF(CF167&gt;0,IF($J167=1,$E167*$I167/12*3,IF($J167=2,$E167*$I167/12*2,IF($J167=3,$E167*$I167/12*1,0)))))+IF(CA$5&lt;&gt;$H167,0,IF(CA167&gt;0,IF($J167=1,$E167*$I167/12*0,IF($J167=2,$E167*$I167/12*1,IF($J167=3,$E167*$I167/12*2,IF($J167&gt;=4,$E167*$I167/12*3,0))))))</f>
        <v>0</v>
      </c>
      <c r="CC167" s="87">
        <f>IF($H167&lt;&gt;CF$5,0,IF(CF167&gt;0,IF(OR($J167=1,$J167=2,$J167=3,$J167=4),$E167*$I167/12*3,IF($J167=5,$E167*$I167/12*2,IF($J167=6,$E167*$I167/12*1,0)))))+IF(CA$5&lt;&gt;$H167,0,IF(CA167&gt;0,IF($J167=4,$E167*$I167/12*0,IF($J167=5,$E167*$I167/12*1,IF($J167=6,$E167*$I167/12*2,IF($J167&gt;=7,$E167*$I167/12*3,0))))))</f>
        <v>0</v>
      </c>
      <c r="CD167" s="87">
        <f>IF($H167&lt;&gt;CF$5,0,IF(CF167&gt;0,IF(OR($J167=1,$J167=2,$J167=3,$J167=4,$J167=5,$J167=6,$J167=7),$E167*$I167/12*3,IF($J167=8,$E167*$I167/12*2,IF($J167=9,$E167*$I167/12*1,0)))))+IF(CA$5&lt;&gt;$H167,0,IF(CA167&gt;0,IF($J167=7,$E167*$I167/12*0,IF($J167=8,$E167*$I167/12*1,IF($J167=9,$E167*$I167/12*2,IF($J167&gt;=10,$E167*$I167/12*3,0))))))</f>
        <v>1.7208333333333332</v>
      </c>
      <c r="CE167" s="88">
        <f>IF($H167&lt;&gt;CF$5,0,IF(CF167&gt;0,IF(OR($J167=1,$J167=2,$J167=3,$J167=4,$J167=5,$J167=6,$J167=7,$J167=8,$J167=9,$J167=10),$E167*$I167/12*3,IF($J167=11,$E167*$I167/12*2,IF($J167=12,$E167*$I167/12*1,0)))))+IF(CA$5&lt;&gt;$H167,0,IF(CA167&gt;0,IF($J167=10,$E167*$I167/12*0,IF($J167=11,$E167*$I167/12*1,IF($J167=12,$E167*$I167/12*2,0)))))</f>
        <v>2.5812499999999998</v>
      </c>
      <c r="CF167" s="85">
        <f>IF(AND(CA167&lt;&gt;0,CA$5=$H167),$I167*$E167-CA167,IF(CF$5=$H167,$I167*$E167*(12-$J167+1)/12,0))</f>
        <v>4.302083333333333</v>
      </c>
      <c r="CG167" s="86">
        <f>IF($H167&lt;&gt;CK$5,0,IF(CK167&gt;0,IF($J167=1,$E167*$I167/12*3,IF($J167=2,$E167*$I167/12*2,IF($J167=3,$E167*$I167/12*1,0)))))+IF(CF$5&lt;&gt;$H167,0,IF(CF167&gt;0,IF($J167=1,$E167*$I167/12*0,IF($J167=2,$E167*$I167/12*1,IF($J167=3,$E167*$I167/12*2,IF($J167&gt;=4,$E167*$I167/12*3,0))))))</f>
        <v>2.5812499999999998</v>
      </c>
      <c r="CH167" s="87">
        <f>IF($H167&lt;&gt;CK$5,0,IF(CK167&gt;0,IF(OR($J167=1,$J167=2,$J167=3,$J167=4),$E167*$I167/12*3,IF($J167=5,$E167*$I167/12*2,IF($J167=6,$E167*$I167/12*1,0)))))+IF(CF$5&lt;&gt;$H167,0,IF(CF167&gt;0,IF($J167=4,$E167*$I167/12*0,IF($J167=5,$E167*$I167/12*1,IF($J167=6,$E167*$I167/12*2,IF($J167&gt;=7,$E167*$I167/12*3,0))))))</f>
        <v>2.5812499999999998</v>
      </c>
      <c r="CI167" s="87">
        <f>IF($H167&lt;&gt;CK$5,0,IF(CK167&gt;0,IF(OR($J167=1,$J167=2,$J167=3,$J167=4,$J167=5,$J167=6,$J167=7),$E167*$I167/12*3,IF($J167=8,$E167*$I167/12*2,IF($J167=9,$E167*$I167/12*1,0)))))+IF(CF$5&lt;&gt;$H167,0,IF(CF167&gt;0,IF($J167=7,$E167*$I167/12*0,IF($J167=8,$E167*$I167/12*1,IF($J167=9,$E167*$I167/12*2,IF($J167&gt;=10,$E167*$I167/12*3,0))))))</f>
        <v>0.86041666666666661</v>
      </c>
      <c r="CJ167" s="88">
        <f>IF($H167&lt;&gt;CK$5,0,IF(CK167&gt;0,IF(OR($J167=1,$J167=2,$J167=3,$J167=4,$J167=5,$J167=6,$J167=7,$J167=8,$J167=9,$J167=10),$E167*$I167/12*3,IF($J167=11,$E167*$I167/12*2,IF($J167=12,$E167*$I167/12*1,0)))))+IF(CF$5&lt;&gt;$H167,0,IF(CF167&gt;0,IF($J167=10,$E167*$I167/12*0,IF($J167=11,$E167*$I167/12*1,IF($J167=12,$E167*$I167/12*2,0)))))</f>
        <v>0</v>
      </c>
      <c r="CK167" s="85">
        <f>IF(AND(CF167&lt;&gt;0,CF$5=$H167),$I167*$E167-CF167,IF(CK$5=$H167,$I167*$E167*(12-$J167+1)/12,0))</f>
        <v>6.0229166666666663</v>
      </c>
      <c r="CL167" s="86">
        <f>IF($H167&lt;&gt;CP$5,0,IF(CP167&gt;0,IF($J167=1,$E167*$I167/12*3,IF($J167=2,$E167*$I167/12*2,IF($J167=3,$E167*$I167/12*1,0)))))+IF(CK$5&lt;&gt;$H167,0,IF(CK167&gt;0,IF($J167=1,$E167*$I167/12*0,IF($J167=2,$E167*$I167/12*1,IF($J167=3,$E167*$I167/12*2,IF($J167&gt;=4,$E167*$I167/12*3,0))))))</f>
        <v>0</v>
      </c>
      <c r="CM167" s="87">
        <f>IF($H167&lt;&gt;CP$5,0,IF(CP167&gt;0,IF(OR($J167=1,$J167=2,$J167=3,$J167=4),$E167*$I167/12*3,IF($J167=5,$E167*$I167/12*2,IF($J167=6,$E167*$I167/12*1,0)))))+IF(CK$5&lt;&gt;$H167,0,IF(CK167&gt;0,IF($J167=4,$E167*$I167/12*0,IF($J167=5,$E167*$I167/12*1,IF($J167=6,$E167*$I167/12*2,IF($J167&gt;=7,$E167*$I167/12*3,0))))))</f>
        <v>0</v>
      </c>
      <c r="CN167" s="87">
        <f>IF($H167&lt;&gt;CP$5,0,IF(CP167&gt;0,IF(OR($J167=1,$J167=2,$J167=3,$J167=4,$J167=5,$J167=6,$J167=7),$E167*$I167/12*3,IF($J167=8,$E167*$I167/12*2,IF($J167=9,$E167*$I167/12*1,0)))))+IF(CK$5&lt;&gt;$H167,0,IF(CK167&gt;0,IF($J167=7,$E167*$I167/12*0,IF($J167=8,$E167*$I167/12*1,IF($J167=9,$E167*$I167/12*2,IF($J167&gt;=10,$E167*$I167/12*3,0))))))</f>
        <v>0</v>
      </c>
      <c r="CO167" s="88">
        <f>IF($H167&lt;&gt;CP$5,0,IF(CP167&gt;0,IF(OR($J167=1,$J167=2,$J167=3,$J167=4,$J167=5,$J167=6,$J167=7,$J167=8,$J167=9,$J167=10),$E167*$I167/12*3,IF($J167=11,$E167*$I167/12*2,IF($J167=12,$E167*$I167/12*1,0)))))+IF(CK$5&lt;&gt;$H167,0,IF(CK167&gt;0,IF($J167=10,$E167*$I167/12*0,IF($J167=11,$E167*$I167/12*1,IF($J167=12,$E167*$I167/12*2,0)))))</f>
        <v>0</v>
      </c>
      <c r="CP167" s="85">
        <f>IF(AND(CK167&lt;&gt;0,CK$5=$H167),$I167*$E167-CK167,IF(CP$5=$H167,$I167*$E167*(12-$J167+1)/12,0))</f>
        <v>0</v>
      </c>
      <c r="CQ167" s="86">
        <f>IF($H167&lt;&gt;CU$5,0,IF(CU167&gt;0,IF($J167=1,$E167*$I167/12*3,IF($J167=2,$E167*$I167/12*2,IF($J167=3,$E167*$I167/12*1,0)))))+IF(CP$5&lt;&gt;$H167,0,IF(CP167&gt;0,IF($J167=1,$E167*$I167/12*0,IF($J167=2,$E167*$I167/12*1,IF($J167=3,$E167*$I167/12*2,IF($J167&gt;=4,$E167*$I167/12*3,0))))))</f>
        <v>0</v>
      </c>
      <c r="CR167" s="87">
        <f>IF($H167&lt;&gt;CU$5,0,IF(CU167&gt;0,IF(OR($J167=1,$J167=2,$J167=3,$J167=4),$E167*$I167/12*3,IF($J167=5,$E167*$I167/12*2,IF($J167=6,$E167*$I167/12*1,0)))))+IF(CP$5&lt;&gt;$H167,0,IF(CP167&gt;0,IF($J167=4,$E167*$I167/12*0,IF($J167=5,$E167*$I167/12*1,IF($J167=6,$E167*$I167/12*2,IF($J167&gt;=7,$E167*$I167/12*3,0))))))</f>
        <v>0</v>
      </c>
      <c r="CS167" s="87">
        <f>IF($H167&lt;&gt;CU$5,0,IF(CU167&gt;0,IF(OR($J167=1,$J167=2,$J167=3,$J167=4,$J167=5,$J167=6,$J167=7),$E167*$I167/12*3,IF($J167=8,$E167*$I167/12*2,IF($J167=9,$E167*$I167/12*1,0)))))+IF(CP$5&lt;&gt;$H167,0,IF(CP167&gt;0,IF($J167=7,$E167*$I167/12*0,IF($J167=8,$E167*$I167/12*1,IF($J167=9,$E167*$I167/12*2,IF($J167&gt;=10,$E167*$I167/12*3,0))))))</f>
        <v>0</v>
      </c>
      <c r="CT167" s="88">
        <f>IF($H167&lt;&gt;CU$5,0,IF(CU167&gt;0,IF(OR($J167=1,$J167=2,$J167=3,$J167=4,$J167=5,$J167=6,$J167=7,$J167=8,$J167=9,$J167=10),$E167*$I167/12*3,IF($J167=11,$E167*$I167/12*2,IF($J167=12,$E167*$I167/12*1,0)))))+IF(CP$5&lt;&gt;$H167,0,IF(CP167&gt;0,IF($J167=10,$E167*$I167/12*0,IF($J167=11,$E167*$I167/12*1,IF($J167=12,$E167*$I167/12*2,0)))))</f>
        <v>0</v>
      </c>
      <c r="CU167" s="85">
        <f>IF(AND(CP167&lt;&gt;0,CP$5=$H167),$I167*$E167-CP167,IF(CU$5=$H167,$I167*$E167*(12-$J167+1)/12,0))</f>
        <v>0</v>
      </c>
      <c r="CV167" s="86">
        <f>IF($H167&lt;&gt;CZ$5,0,IF(CZ167&gt;0,IF($J167=1,$E167*$I167/12*3,IF($J167=2,$E167*$I167/12*2,IF($J167=3,$E167*$I167/12*1,0)))))+IF(CU$5&lt;&gt;$H167,0,IF(CU167&gt;0,IF($J167=1,$E167*$I167/12*0,IF($J167=2,$E167*$I167/12*1,IF($J167=3,$E167*$I167/12*2,IF($J167&gt;=4,$E167*$I167/12*3,0))))))</f>
        <v>0</v>
      </c>
      <c r="CW167" s="87">
        <f>IF($H167&lt;&gt;CZ$5,0,IF(CZ167&gt;0,IF(OR($J167=1,$J167=2,$J167=3,$J167=4),$E167*$I167/12*3,IF($J167=5,$E167*$I167/12*2,IF($J167=6,$E167*$I167/12*1,0)))))+IF(CU$5&lt;&gt;$H167,0,IF(CU167&gt;0,IF($J167=4,$E167*$I167/12*0,IF($J167=5,$E167*$I167/12*1,IF($J167=6,$E167*$I167/12*2,IF($J167&gt;=7,$E167*$I167/12*3,0))))))</f>
        <v>0</v>
      </c>
      <c r="CX167" s="87">
        <f>IF($H167&lt;&gt;CZ$5,0,IF(CZ167&gt;0,IF(OR($J167=1,$J167=2,$J167=3,$J167=4,$J167=5,$J167=6,$J167=7),$E167*$I167/12*3,IF($J167=8,$E167*$I167/12*2,IF($J167=9,$E167*$I167/12*1,0)))))+IF(CU$5&lt;&gt;$H167,0,IF(CU167&gt;0,IF($J167=7,$E167*$I167/12*0,IF($J167=8,$E167*$I167/12*1,IF($J167=9,$E167*$I167/12*2,IF($J167&gt;=10,$E167*$I167/12*3,0))))))</f>
        <v>0</v>
      </c>
      <c r="CY167" s="88">
        <f>IF($H167&lt;&gt;CZ$5,0,IF(CZ167&gt;0,IF(OR($J167=1,$J167=2,$J167=3,$J167=4,$J167=5,$J167=6,$J167=7,$J167=8,$J167=9,$J167=10),$E167*$I167/12*3,IF($J167=11,$E167*$I167/12*2,IF($J167=12,$E167*$I167/12*1,0)))))+IF(CU$5&lt;&gt;$H167,0,IF(CU167&gt;0,IF($J167=10,$E167*$I167/12*0,IF($J167=11,$E167*$I167/12*1,IF($J167=12,$E167*$I167/12*2,0)))))</f>
        <v>0</v>
      </c>
      <c r="CZ167" s="85">
        <f>IF(AND(CU167&lt;&gt;0,CU$5=$H167),$I167*$E167-CU167,IF(CZ$5=$H167,$I167*$E167*(12-$J167+1)/12,0))</f>
        <v>0</v>
      </c>
    </row>
    <row r="168" spans="1:104" ht="12.75" customHeight="1">
      <c r="A168" s="4"/>
      <c r="B168" s="4"/>
      <c r="C168" s="1999" t="s">
        <v>1543</v>
      </c>
      <c r="D168" s="2114"/>
      <c r="E168" s="1511">
        <v>650</v>
      </c>
      <c r="F168" s="1511"/>
      <c r="G168" s="1511"/>
      <c r="H168" s="1334">
        <v>2017</v>
      </c>
      <c r="I168" s="325">
        <v>3.7499999999999999E-2</v>
      </c>
      <c r="J168" s="1334">
        <v>8</v>
      </c>
      <c r="K168" s="80"/>
      <c r="L168" s="81">
        <f t="shared" si="2497"/>
        <v>0</v>
      </c>
      <c r="M168" s="82">
        <f>IF(Q168=0,0,IF(Q168&gt;0,IF($J168=3,Q168,IF($J168=2,Q168,IF($J168=1,Q168,0)))))</f>
        <v>0</v>
      </c>
      <c r="N168" s="83">
        <f>IF(Q168=0,0,IF(Q168&gt;0,IF($J168=6,Q168,IF($J168=5,Q168,IF($J168=4,Q168,0)))))</f>
        <v>0</v>
      </c>
      <c r="O168" s="83">
        <f>IF(Q168=0,0,IF(Q168&gt;0,IF($J168=9,Q168,IF($J168=8,Q168,IF($J168=7,Q168,0)))))</f>
        <v>0</v>
      </c>
      <c r="P168" s="84">
        <f>IF(Q168=0,0,IF(Q168&gt;0,IF($J168=12,Q168,IF($J168=11,Q168,IF($J168=10,Q168,0)))))</f>
        <v>0</v>
      </c>
      <c r="Q168" s="81">
        <f t="shared" si="2498"/>
        <v>0</v>
      </c>
      <c r="R168" s="82">
        <f>IF(V168=0,0,IF(V168&gt;0,IF($J168=3,V168,IF($J168=2,V168,IF($J168=1,V168,0)))))</f>
        <v>0</v>
      </c>
      <c r="S168" s="83">
        <f>IF(V168=0,0,IF(V168&gt;0,IF($J168=6,V168,IF($J168=5,V168,IF($J168=4,V168,0)))))</f>
        <v>0</v>
      </c>
      <c r="T168" s="83">
        <f>IF(V168=0,0,IF(V168&gt;0,IF($J168=9,V168,IF($J168=8,V168,IF($J168=7,V168,0)))))</f>
        <v>0</v>
      </c>
      <c r="U168" s="84">
        <f>IF(V168=0,0,IF(V168&gt;0,IF($J168=12,V168,IF($J168=11,V168,IF($J168=10,V168,0)))))</f>
        <v>0</v>
      </c>
      <c r="V168" s="81">
        <f t="shared" si="2499"/>
        <v>0</v>
      </c>
      <c r="W168" s="82">
        <f>IF(AA168=0,0,IF(AA168&gt;0,IF($J168=3,AA168,IF($J168=2,AA168,IF($J168=1,AA168,0)))))</f>
        <v>0</v>
      </c>
      <c r="X168" s="83">
        <f>IF(AA168=0,0,IF(AA168&gt;0,IF($J168=6,AA168,IF($J168=5,AA168,IF($J168=4,AA168,0)))))</f>
        <v>0</v>
      </c>
      <c r="Y168" s="83">
        <f>IF(AA168=0,0,IF(AA168&gt;0,IF($J168=9,AA168,IF($J168=8,AA168,IF($J168=7,AA168,0)))))</f>
        <v>0</v>
      </c>
      <c r="Z168" s="84">
        <f>IF(AA168=0,0,IF(AA168&gt;0,IF($J168=12,AA168,IF($J168=11,AA168,IF($J168=10,AA168,0)))))</f>
        <v>0</v>
      </c>
      <c r="AA168" s="81">
        <f t="shared" si="2500"/>
        <v>0</v>
      </c>
      <c r="AB168" s="82">
        <f>IF(AF168=0,0,IF(AF168&gt;0,IF($J168=3,AF168,IF($J168=2,AF168,IF($J168=1,AF168,0)))))</f>
        <v>0</v>
      </c>
      <c r="AC168" s="83">
        <f>IF(AF168=0,0,IF(AF168&gt;0,IF($J168=6,AF168,IF($J168=5,AF168,IF($J168=4,AF168,0)))))</f>
        <v>0</v>
      </c>
      <c r="AD168" s="83">
        <f>IF(AF168=0,0,IF(AF168&gt;0,IF($J168=9,AF168,IF($J168=8,AF168,IF($J168=7,AF168,0)))))</f>
        <v>0</v>
      </c>
      <c r="AE168" s="84">
        <f>IF(AF168=0,0,IF(AF168&gt;0,IF($J168=12,AF168,IF($J168=11,AF168,IF($J168=10,AF168,0)))))</f>
        <v>0</v>
      </c>
      <c r="AF168" s="81">
        <f t="shared" si="2501"/>
        <v>0</v>
      </c>
      <c r="AG168" s="82">
        <f>IF(AK168=0,0,IF(AK168&gt;0,IF($J168=3,AK168,IF($J168=2,AK168,IF($J168=1,AK168,0)))))</f>
        <v>0</v>
      </c>
      <c r="AH168" s="83">
        <f>IF(AK168=0,0,IF(AK168&gt;0,IF($J168=6,AK168,IF($J168=5,AK168,IF($J168=4,AK168,0)))))</f>
        <v>0</v>
      </c>
      <c r="AI168" s="83">
        <f>IF(AK168=0,0,IF(AK168&gt;0,IF($J168=9,AK168,IF($J168=8,AK168,IF($J168=7,AK168,0)))))</f>
        <v>650</v>
      </c>
      <c r="AJ168" s="84">
        <f>IF(AK168=0,0,IF(AK168&gt;0,IF($J168=12,AK168,IF($J168=11,AK168,IF($J168=10,AK168,0)))))</f>
        <v>0</v>
      </c>
      <c r="AK168" s="81">
        <f t="shared" si="2502"/>
        <v>650</v>
      </c>
      <c r="AL168" s="82">
        <f>IF(AP168=0,0,IF(AP168&gt;0,IF($J168=3,AP168,IF($J168=2,AP168,IF($J168=1,AP168,0)))))</f>
        <v>0</v>
      </c>
      <c r="AM168" s="83">
        <f>IF(AP168=0,0,IF(AP168&gt;0,IF($J168=6,AP168,IF($J168=5,AP168,IF($J168=4,AP168,0)))))</f>
        <v>0</v>
      </c>
      <c r="AN168" s="83">
        <f>IF(AP168=0,0,IF(AP168&gt;0,IF($J168=9,AP168,IF($J168=8,AP168,IF($J168=7,AP168,0)))))</f>
        <v>0</v>
      </c>
      <c r="AO168" s="84">
        <f>IF(AP168=0,0,IF(AP168&gt;0,IF($J168=12,AP168,IF($J168=11,AP168,IF($J168=10,AP168,0)))))</f>
        <v>0</v>
      </c>
      <c r="AP168" s="81">
        <f t="shared" si="2503"/>
        <v>0</v>
      </c>
      <c r="AQ168" s="82">
        <f>IF(AU168=0,0,IF(AU168&gt;0,IF($J168=3,AU168,IF($J168=2,AU168,IF($J168=1,AU168,0)))))</f>
        <v>0</v>
      </c>
      <c r="AR168" s="83">
        <f>IF(AU168=0,0,IF(AU168&gt;0,IF($J168=6,AU168,IF($J168=5,AU168,IF($J168=4,AU168,0)))))</f>
        <v>0</v>
      </c>
      <c r="AS168" s="83">
        <f>IF(AU168=0,0,IF(AU168&gt;0,IF($J168=9,AU168,IF($J168=8,AU168,IF($J168=7,AU168,0)))))</f>
        <v>0</v>
      </c>
      <c r="AT168" s="84">
        <f>IF(AU168=0,0,IF(AU168&gt;0,IF($J168=12,AU168,IF($J168=11,AU168,IF($J168=10,AU168,0)))))</f>
        <v>0</v>
      </c>
      <c r="AU168" s="81">
        <f t="shared" si="2504"/>
        <v>0</v>
      </c>
      <c r="AV168" s="82">
        <f>IF(AZ168=0,0,IF(AZ168&gt;0,IF($J168=3,AZ168,IF($J168=2,AZ168,IF($J168=1,AZ168,0)))))</f>
        <v>0</v>
      </c>
      <c r="AW168" s="83">
        <f>IF(AZ168=0,0,IF(AZ168&gt;0,IF($J168=6,AZ168,IF($J168=5,AZ168,IF($J168=4,AZ168,0)))))</f>
        <v>0</v>
      </c>
      <c r="AX168" s="83">
        <f>IF(AZ168=0,0,IF(AZ168&gt;0,IF($J168=9,AZ168,IF($J168=8,AZ168,IF($J168=7,AZ168,0)))))</f>
        <v>0</v>
      </c>
      <c r="AY168" s="84">
        <f>IF(AZ168=0,0,IF(AZ168&gt;0,IF($J168=12,AZ168,IF($J168=11,AZ168,IF($J168=10,AZ168,0)))))</f>
        <v>0</v>
      </c>
      <c r="AZ168" s="81">
        <f t="shared" si="2505"/>
        <v>0</v>
      </c>
      <c r="BA168" s="82">
        <f>IF(BE168=0,0,IF(BE168&gt;0,IF($J168=3,BE168,IF($J168=2,BE168,IF($J168=1,BE168,0)))))</f>
        <v>0</v>
      </c>
      <c r="BB168" s="83">
        <f>IF(BE168=0,0,IF(BE168&gt;0,IF($J168=6,BE168,IF($J168=5,BE168,IF($J168=4,BE168,0)))))</f>
        <v>0</v>
      </c>
      <c r="BC168" s="83">
        <f>IF(BE168=0,0,IF(BE168&gt;0,IF($J168=9,BE168,IF($J168=8,BE168,IF($J168=7,BE168,0)))))</f>
        <v>0</v>
      </c>
      <c r="BD168" s="84">
        <f>IF(BE168=0,0,IF(BE168&gt;0,IF($J168=12,BE168,IF($J168=11,BE168,IF($J168=10,BE168,0)))))</f>
        <v>0</v>
      </c>
      <c r="BE168" s="81">
        <f t="shared" si="2506"/>
        <v>0</v>
      </c>
      <c r="BF168" s="1884"/>
      <c r="BG168" s="2005">
        <f t="shared" ref="BG168" si="2508">IF(AND(BF168&lt;&gt;0,BF$5=$H168),$I168*$E168-BF168,IF(BG$5=$H168,$I168*$E168*(12-$J168+1)/12,0))</f>
        <v>0</v>
      </c>
      <c r="BH168" s="86">
        <f>IF($H168&lt;&gt;BL$5,0,IF(BL168&gt;0,IF($J168=1,$E168*$I168/12*3,IF($J168=2,$E168*$I168/12*2,IF($J168=3,$E168*$I168/12*1,0)))))+IF(BG$5&lt;&gt;$H168,0,IF(BG168&gt;0,IF($J168=1,$E168*$I168/12*0,IF($J168=2,$E168*$I168/12*1,IF($J168=3,$E168*$I168/12*2,IF($J168&gt;=4,$E168*$I168/12*3,0))))))</f>
        <v>0</v>
      </c>
      <c r="BI168" s="87">
        <f>IF($H168&lt;&gt;BL$5,0,IF(BL168&gt;0,IF(OR($J168=1,$J168=2,$J168=3,$J168=4),$E168*$I168/12*3,IF($J168=5,$E168*$I168/12*2,IF($J168=6,$E168*$I168/12*1,0)))))+IF(BG$5&lt;&gt;$H168,0,IF(BG168&gt;0,IF($J168=4,$E168*$I168/12*0,IF($J168=5,$E168*$I168/12*1,IF($J168=6,$E168*$I168/12*2,IF($J168&gt;=7,$E168*$I168/12*3,0))))))</f>
        <v>0</v>
      </c>
      <c r="BJ168" s="87">
        <f>IF($H168&lt;&gt;BL$5,0,IF(BL168&gt;0,IF(OR($J168=1,$J168=2,$J168=3,$J168=4,$J168=5,$J168=6,$J168=7),$E168*$I168/12*3,IF($J168=8,$E168*$I168/12*2,IF($J168=9,$E168*$I168/12*1,0)))))+IF(BG$5&lt;&gt;$H168,0,IF(BG168&gt;0,IF($J168=7,$E168*$I168/12*0,IF($J168=8,$E168*$I168/12*1,IF($J168=9,$E168*$I168/12*2,IF($J168&gt;=10,$E168*$I168/12*3,0))))))</f>
        <v>0</v>
      </c>
      <c r="BK168" s="88">
        <f>IF($H168&lt;&gt;BL$5,0,IF(BL168&gt;0,IF(OR($J168=1,$J168=2,$J168=3,$J168=4,$J168=5,$J168=6,$J168=7,$J168=8,$J168=9,$J168=10),$E168*$I168/12*3,IF($J168=11,$E168*$I168/12*2,IF($J168=12,$E168*$I168/12*1,0)))))+IF(BG$5&lt;&gt;$H168,0,IF(BG168&gt;0,IF($J168=10,$E168*$I168/12*0,IF($J168=11,$E168*$I168/12*1,IF($J168=12,$E168*$I168/12*2,0)))))</f>
        <v>0</v>
      </c>
      <c r="BL168" s="85">
        <f>IF(AND(BG168&lt;&gt;0,BG$5=$H168),$I168*$E168-BG168,IF(BL$5=$H168,$I168*$E168*(12-$J168+1)/12,0))</f>
        <v>0</v>
      </c>
      <c r="BM168" s="86">
        <f>IF($H168&lt;&gt;BQ$5,0,IF(BQ168&gt;0,IF($J168=1,$E168*$I168/12*3,IF($J168=2,$E168*$I168/12*2,IF($J168=3,$E168*$I168/12*1,0)))))+IF(BL$5&lt;&gt;$H168,0,IF(BL168&gt;0,IF($J168=1,$E168*$I168/12*0,IF($J168=2,$E168*$I168/12*1,IF($J168=3,$E168*$I168/12*2,IF($J168&gt;=4,$E168*$I168/12*3,0))))))</f>
        <v>0</v>
      </c>
      <c r="BN168" s="87">
        <f>IF($H168&lt;&gt;BQ$5,0,IF(BQ168&gt;0,IF(OR($J168=1,$J168=2,$J168=3,$J168=4),$E168*$I168/12*3,IF($J168=5,$E168*$I168/12*2,IF($J168=6,$E168*$I168/12*1,0)))))+IF(BL$5&lt;&gt;$H168,0,IF(BL168&gt;0,IF($J168=4,$E168*$I168/12*0,IF($J168=5,$E168*$I168/12*1,IF($J168=6,$E168*$I168/12*2,IF($J168&gt;=7,$E168*$I168/12*3,0))))))</f>
        <v>0</v>
      </c>
      <c r="BO168" s="87">
        <f>IF($H168&lt;&gt;BQ$5,0,IF(BQ168&gt;0,IF(OR($J168=1,$J168=2,$J168=3,$J168=4,$J168=5,$J168=6,$J168=7),$E168*$I168/12*3,IF($J168=8,$E168*$I168/12*2,IF($J168=9,$E168*$I168/12*1,0)))))+IF(BL$5&lt;&gt;$H168,0,IF(BL168&gt;0,IF($J168=7,$E168*$I168/12*0,IF($J168=8,$E168*$I168/12*1,IF($J168=9,$E168*$I168/12*2,IF($J168&gt;=10,$E168*$I168/12*3,0))))))</f>
        <v>0</v>
      </c>
      <c r="BP168" s="88">
        <f>IF($H168&lt;&gt;BQ$5,0,IF(BQ168&gt;0,IF(OR($J168=1,$J168=2,$J168=3,$J168=4,$J168=5,$J168=6,$J168=7,$J168=8,$J168=9,$J168=10),$E168*$I168/12*3,IF($J168=11,$E168*$I168/12*2,IF($J168=12,$E168*$I168/12*1,0)))))+IF(BL$5&lt;&gt;$H168,0,IF(BL168&gt;0,IF($J168=10,$E168*$I168/12*0,IF($J168=11,$E168*$I168/12*1,IF($J168=12,$E168*$I168/12*2,0)))))</f>
        <v>0</v>
      </c>
      <c r="BQ168" s="85">
        <f>IF(AND(BL168&lt;&gt;0,BL$5=$H168),$I168*$E168-BL168,IF(BQ$5=$H168,$I168*$E168*(12-$J168+1)/12,0))</f>
        <v>0</v>
      </c>
      <c r="BR168" s="86">
        <f>IF($H168&lt;&gt;BV$5,0,IF(BV168&gt;0,IF($J168=1,$E168*$I168/12*3,IF($J168=2,$E168*$I168/12*2,IF($J168=3,$E168*$I168/12*1,0)))))+IF(BQ$5&lt;&gt;$H168,0,IF(BQ168&gt;0,IF($J168=1,$E168*$I168/12*0,IF($J168=2,$E168*$I168/12*1,IF($J168=3,$E168*$I168/12*2,IF($J168&gt;=4,$E168*$I168/12*3,0))))))</f>
        <v>0</v>
      </c>
      <c r="BS168" s="87">
        <f>IF($H168&lt;&gt;BV$5,0,IF(BV168&gt;0,IF(OR($J168=1,$J168=2,$J168=3,$J168=4),$E168*$I168/12*3,IF($J168=5,$E168*$I168/12*2,IF($J168=6,$E168*$I168/12*1,0)))))+IF(BQ$5&lt;&gt;$H168,0,IF(BQ168&gt;0,IF($J168=4,$E168*$I168/12*0,IF($J168=5,$E168*$I168/12*1,IF($J168=6,$E168*$I168/12*2,IF($J168&gt;=7,$E168*$I168/12*3,0))))))</f>
        <v>0</v>
      </c>
      <c r="BT168" s="87">
        <f>IF($H168&lt;&gt;BV$5,0,IF(BV168&gt;0,IF(OR($J168=1,$J168=2,$J168=3,$J168=4,$J168=5,$J168=6,$J168=7),$E168*$I168/12*3,IF($J168=8,$E168*$I168/12*2,IF($J168=9,$E168*$I168/12*1,0)))))+IF(BQ$5&lt;&gt;$H168,0,IF(BQ168&gt;0,IF($J168=7,$E168*$I168/12*0,IF($J168=8,$E168*$I168/12*1,IF($J168=9,$E168*$I168/12*2,IF($J168&gt;=10,$E168*$I168/12*3,0))))))</f>
        <v>0</v>
      </c>
      <c r="BU168" s="88">
        <f>IF($H168&lt;&gt;BV$5,0,IF(BV168&gt;0,IF(OR($J168=1,$J168=2,$J168=3,$J168=4,$J168=5,$J168=6,$J168=7,$J168=8,$J168=9,$J168=10),$E168*$I168/12*3,IF($J168=11,$E168*$I168/12*2,IF($J168=12,$E168*$I168/12*1,0)))))+IF(BQ$5&lt;&gt;$H168,0,IF(BQ168&gt;0,IF($J168=10,$E168*$I168/12*0,IF($J168=11,$E168*$I168/12*1,IF($J168=12,$E168*$I168/12*2,0)))))</f>
        <v>0</v>
      </c>
      <c r="BV168" s="85">
        <f>IF(AND(BQ168&lt;&gt;0,BQ$5=$H168),$I168*$E168-BQ168,IF(BV$5=$H168,$I168*$E168*(12-$J168+1)/12,0))</f>
        <v>0</v>
      </c>
      <c r="BW168" s="86">
        <f>IF($H168&lt;&gt;CA$5,0,IF(CA168&gt;0,IF($J168=1,$E168*$I168/12*3,IF($J168=2,$E168*$I168/12*2,IF($J168=3,$E168*$I168/12*1,0)))))+IF(BV$5&lt;&gt;$H168,0,IF(BV168&gt;0,IF($J168=1,$E168*$I168/12*0,IF($J168=2,$E168*$I168/12*1,IF($J168=3,$E168*$I168/12*2,IF($J168&gt;=4,$E168*$I168/12*3,0))))))</f>
        <v>0</v>
      </c>
      <c r="BX168" s="87">
        <f>IF($H168&lt;&gt;CA$5,0,IF(CA168&gt;0,IF(OR($J168=1,$J168=2,$J168=3,$J168=4),$E168*$I168/12*3,IF($J168=5,$E168*$I168/12*2,IF($J168=6,$E168*$I168/12*1,0)))))+IF(BV$5&lt;&gt;$H168,0,IF(BV168&gt;0,IF($J168=4,$E168*$I168/12*0,IF($J168=5,$E168*$I168/12*1,IF($J168=6,$E168*$I168/12*2,IF($J168&gt;=7,$E168*$I168/12*3,0))))))</f>
        <v>0</v>
      </c>
      <c r="BY168" s="87">
        <f>IF($H168&lt;&gt;CA$5,0,IF(CA168&gt;0,IF(OR($J168=1,$J168=2,$J168=3,$J168=4,$J168=5,$J168=6,$J168=7),$E168*$I168/12*3,IF($J168=8,$E168*$I168/12*2,IF($J168=9,$E168*$I168/12*1,0)))))+IF(BV$5&lt;&gt;$H168,0,IF(BV168&gt;0,IF($J168=7,$E168*$I168/12*0,IF($J168=8,$E168*$I168/12*1,IF($J168=9,$E168*$I168/12*2,IF($J168&gt;=10,$E168*$I168/12*3,0))))))</f>
        <v>0</v>
      </c>
      <c r="BZ168" s="88">
        <f>IF($H168&lt;&gt;CA$5,0,IF(CA168&gt;0,IF(OR($J168=1,$J168=2,$J168=3,$J168=4,$J168=5,$J168=6,$J168=7,$J168=8,$J168=9,$J168=10),$E168*$I168/12*3,IF($J168=11,$E168*$I168/12*2,IF($J168=12,$E168*$I168/12*1,0)))))+IF(BV$5&lt;&gt;$H168,0,IF(BV168&gt;0,IF($J168=10,$E168*$I168/12*0,IF($J168=11,$E168*$I168/12*1,IF($J168=12,$E168*$I168/12*2,0)))))</f>
        <v>0</v>
      </c>
      <c r="CA168" s="85">
        <f>IF(AND(BV168&lt;&gt;0,BV$5=$H168),$I168*$E168-BV168,IF(CA$5=$H168,$I168*$E168*(12-$J168+1)/12,0))</f>
        <v>0</v>
      </c>
      <c r="CB168" s="86">
        <f>IF($H168&lt;&gt;CF$5,0,IF(CF168&gt;0,IF($J168=1,$E168*$I168/12*3,IF($J168=2,$E168*$I168/12*2,IF($J168=3,$E168*$I168/12*1,0)))))+IF(CA$5&lt;&gt;$H168,0,IF(CA168&gt;0,IF($J168=1,$E168*$I168/12*0,IF($J168=2,$E168*$I168/12*1,IF($J168=3,$E168*$I168/12*2,IF($J168&gt;=4,$E168*$I168/12*3,0))))))</f>
        <v>0</v>
      </c>
      <c r="CC168" s="87">
        <f>IF($H168&lt;&gt;CF$5,0,IF(CF168&gt;0,IF(OR($J168=1,$J168=2,$J168=3,$J168=4),$E168*$I168/12*3,IF($J168=5,$E168*$I168/12*2,IF($J168=6,$E168*$I168/12*1,0)))))+IF(CA$5&lt;&gt;$H168,0,IF(CA168&gt;0,IF($J168=4,$E168*$I168/12*0,IF($J168=5,$E168*$I168/12*1,IF($J168=6,$E168*$I168/12*2,IF($J168&gt;=7,$E168*$I168/12*3,0))))))</f>
        <v>0</v>
      </c>
      <c r="CD168" s="87">
        <f>IF($H168&lt;&gt;CF$5,0,IF(CF168&gt;0,IF(OR($J168=1,$J168=2,$J168=3,$J168=4,$J168=5,$J168=6,$J168=7),$E168*$I168/12*3,IF($J168=8,$E168*$I168/12*2,IF($J168=9,$E168*$I168/12*1,0)))))+IF(CA$5&lt;&gt;$H168,0,IF(CA168&gt;0,IF($J168=7,$E168*$I168/12*0,IF($J168=8,$E168*$I168/12*1,IF($J168=9,$E168*$I168/12*2,IF($J168&gt;=10,$E168*$I168/12*3,0))))))</f>
        <v>4.0625</v>
      </c>
      <c r="CE168" s="88">
        <f>IF($H168&lt;&gt;CF$5,0,IF(CF168&gt;0,IF(OR($J168=1,$J168=2,$J168=3,$J168=4,$J168=5,$J168=6,$J168=7,$J168=8,$J168=9,$J168=10),$E168*$I168/12*3,IF($J168=11,$E168*$I168/12*2,IF($J168=12,$E168*$I168/12*1,0)))))+IF(CA$5&lt;&gt;$H168,0,IF(CA168&gt;0,IF($J168=10,$E168*$I168/12*0,IF($J168=11,$E168*$I168/12*1,IF($J168=12,$E168*$I168/12*2,0)))))</f>
        <v>6.09375</v>
      </c>
      <c r="CF168" s="85">
        <f>IF(AND(CA168&lt;&gt;0,CA$5=$H168),$I168*$E168-CA168,IF(CF$5=$H168,$I168*$E168*(12-$J168+1)/12,0))</f>
        <v>10.15625</v>
      </c>
      <c r="CG168" s="86">
        <f>IF($H168&lt;&gt;CK$5,0,IF(CK168&gt;0,IF($J168=1,$E168*$I168/12*3,IF($J168=2,$E168*$I168/12*2,IF($J168=3,$E168*$I168/12*1,0)))))+IF(CF$5&lt;&gt;$H168,0,IF(CF168&gt;0,IF($J168=1,$E168*$I168/12*0,IF($J168=2,$E168*$I168/12*1,IF($J168=3,$E168*$I168/12*2,IF($J168&gt;=4,$E168*$I168/12*3,0))))))</f>
        <v>6.09375</v>
      </c>
      <c r="CH168" s="87">
        <f>IF($H168&lt;&gt;CK$5,0,IF(CK168&gt;0,IF(OR($J168=1,$J168=2,$J168=3,$J168=4),$E168*$I168/12*3,IF($J168=5,$E168*$I168/12*2,IF($J168=6,$E168*$I168/12*1,0)))))+IF(CF$5&lt;&gt;$H168,0,IF(CF168&gt;0,IF($J168=4,$E168*$I168/12*0,IF($J168=5,$E168*$I168/12*1,IF($J168=6,$E168*$I168/12*2,IF($J168&gt;=7,$E168*$I168/12*3,0))))))</f>
        <v>6.09375</v>
      </c>
      <c r="CI168" s="87">
        <f>IF($H168&lt;&gt;CK$5,0,IF(CK168&gt;0,IF(OR($J168=1,$J168=2,$J168=3,$J168=4,$J168=5,$J168=6,$J168=7),$E168*$I168/12*3,IF($J168=8,$E168*$I168/12*2,IF($J168=9,$E168*$I168/12*1,0)))))+IF(CF$5&lt;&gt;$H168,0,IF(CF168&gt;0,IF($J168=7,$E168*$I168/12*0,IF($J168=8,$E168*$I168/12*1,IF($J168=9,$E168*$I168/12*2,IF($J168&gt;=10,$E168*$I168/12*3,0))))))</f>
        <v>2.03125</v>
      </c>
      <c r="CJ168" s="88">
        <f>IF($H168&lt;&gt;CK$5,0,IF(CK168&gt;0,IF(OR($J168=1,$J168=2,$J168=3,$J168=4,$J168=5,$J168=6,$J168=7,$J168=8,$J168=9,$J168=10),$E168*$I168/12*3,IF($J168=11,$E168*$I168/12*2,IF($J168=12,$E168*$I168/12*1,0)))))+IF(CF$5&lt;&gt;$H168,0,IF(CF168&gt;0,IF($J168=10,$E168*$I168/12*0,IF($J168=11,$E168*$I168/12*1,IF($J168=12,$E168*$I168/12*2,0)))))</f>
        <v>0</v>
      </c>
      <c r="CK168" s="85">
        <f>IF(AND(CF168&lt;&gt;0,CF$5=$H168),$I168*$E168-CF168,IF(CK$5=$H168,$I168*$E168*(12-$J168+1)/12,0))</f>
        <v>14.21875</v>
      </c>
      <c r="CL168" s="86">
        <f>IF($H168&lt;&gt;CP$5,0,IF(CP168&gt;0,IF($J168=1,$E168*$I168/12*3,IF($J168=2,$E168*$I168/12*2,IF($J168=3,$E168*$I168/12*1,0)))))+IF(CK$5&lt;&gt;$H168,0,IF(CK168&gt;0,IF($J168=1,$E168*$I168/12*0,IF($J168=2,$E168*$I168/12*1,IF($J168=3,$E168*$I168/12*2,IF($J168&gt;=4,$E168*$I168/12*3,0))))))</f>
        <v>0</v>
      </c>
      <c r="CM168" s="87">
        <f>IF($H168&lt;&gt;CP$5,0,IF(CP168&gt;0,IF(OR($J168=1,$J168=2,$J168=3,$J168=4),$E168*$I168/12*3,IF($J168=5,$E168*$I168/12*2,IF($J168=6,$E168*$I168/12*1,0)))))+IF(CK$5&lt;&gt;$H168,0,IF(CK168&gt;0,IF($J168=4,$E168*$I168/12*0,IF($J168=5,$E168*$I168/12*1,IF($J168=6,$E168*$I168/12*2,IF($J168&gt;=7,$E168*$I168/12*3,0))))))</f>
        <v>0</v>
      </c>
      <c r="CN168" s="87">
        <f>IF($H168&lt;&gt;CP$5,0,IF(CP168&gt;0,IF(OR($J168=1,$J168=2,$J168=3,$J168=4,$J168=5,$J168=6,$J168=7),$E168*$I168/12*3,IF($J168=8,$E168*$I168/12*2,IF($J168=9,$E168*$I168/12*1,0)))))+IF(CK$5&lt;&gt;$H168,0,IF(CK168&gt;0,IF($J168=7,$E168*$I168/12*0,IF($J168=8,$E168*$I168/12*1,IF($J168=9,$E168*$I168/12*2,IF($J168&gt;=10,$E168*$I168/12*3,0))))))</f>
        <v>0</v>
      </c>
      <c r="CO168" s="88">
        <f>IF($H168&lt;&gt;CP$5,0,IF(CP168&gt;0,IF(OR($J168=1,$J168=2,$J168=3,$J168=4,$J168=5,$J168=6,$J168=7,$J168=8,$J168=9,$J168=10),$E168*$I168/12*3,IF($J168=11,$E168*$I168/12*2,IF($J168=12,$E168*$I168/12*1,0)))))+IF(CK$5&lt;&gt;$H168,0,IF(CK168&gt;0,IF($J168=10,$E168*$I168/12*0,IF($J168=11,$E168*$I168/12*1,IF($J168=12,$E168*$I168/12*2,0)))))</f>
        <v>0</v>
      </c>
      <c r="CP168" s="85">
        <f>IF(AND(CK168&lt;&gt;0,CK$5=$H168),$I168*$E168-CK168,IF(CP$5=$H168,$I168*$E168*(12-$J168+1)/12,0))</f>
        <v>0</v>
      </c>
      <c r="CQ168" s="86">
        <f>IF($H168&lt;&gt;CU$5,0,IF(CU168&gt;0,IF($J168=1,$E168*$I168/12*3,IF($J168=2,$E168*$I168/12*2,IF($J168=3,$E168*$I168/12*1,0)))))+IF(CP$5&lt;&gt;$H168,0,IF(CP168&gt;0,IF($J168=1,$E168*$I168/12*0,IF($J168=2,$E168*$I168/12*1,IF($J168=3,$E168*$I168/12*2,IF($J168&gt;=4,$E168*$I168/12*3,0))))))</f>
        <v>0</v>
      </c>
      <c r="CR168" s="87">
        <f>IF($H168&lt;&gt;CU$5,0,IF(CU168&gt;0,IF(OR($J168=1,$J168=2,$J168=3,$J168=4),$E168*$I168/12*3,IF($J168=5,$E168*$I168/12*2,IF($J168=6,$E168*$I168/12*1,0)))))+IF(CP$5&lt;&gt;$H168,0,IF(CP168&gt;0,IF($J168=4,$E168*$I168/12*0,IF($J168=5,$E168*$I168/12*1,IF($J168=6,$E168*$I168/12*2,IF($J168&gt;=7,$E168*$I168/12*3,0))))))</f>
        <v>0</v>
      </c>
      <c r="CS168" s="87">
        <f>IF($H168&lt;&gt;CU$5,0,IF(CU168&gt;0,IF(OR($J168=1,$J168=2,$J168=3,$J168=4,$J168=5,$J168=6,$J168=7),$E168*$I168/12*3,IF($J168=8,$E168*$I168/12*2,IF($J168=9,$E168*$I168/12*1,0)))))+IF(CP$5&lt;&gt;$H168,0,IF(CP168&gt;0,IF($J168=7,$E168*$I168/12*0,IF($J168=8,$E168*$I168/12*1,IF($J168=9,$E168*$I168/12*2,IF($J168&gt;=10,$E168*$I168/12*3,0))))))</f>
        <v>0</v>
      </c>
      <c r="CT168" s="88">
        <f>IF($H168&lt;&gt;CU$5,0,IF(CU168&gt;0,IF(OR($J168=1,$J168=2,$J168=3,$J168=4,$J168=5,$J168=6,$J168=7,$J168=8,$J168=9,$J168=10),$E168*$I168/12*3,IF($J168=11,$E168*$I168/12*2,IF($J168=12,$E168*$I168/12*1,0)))))+IF(CP$5&lt;&gt;$H168,0,IF(CP168&gt;0,IF($J168=10,$E168*$I168/12*0,IF($J168=11,$E168*$I168/12*1,IF($J168=12,$E168*$I168/12*2,0)))))</f>
        <v>0</v>
      </c>
      <c r="CU168" s="85">
        <f>IF(AND(CP168&lt;&gt;0,CP$5=$H168),$I168*$E168-CP168,IF(CU$5=$H168,$I168*$E168*(12-$J168+1)/12,0))</f>
        <v>0</v>
      </c>
      <c r="CV168" s="86">
        <f>IF($H168&lt;&gt;CZ$5,0,IF(CZ168&gt;0,IF($J168=1,$E168*$I168/12*3,IF($J168=2,$E168*$I168/12*2,IF($J168=3,$E168*$I168/12*1,0)))))+IF(CU$5&lt;&gt;$H168,0,IF(CU168&gt;0,IF($J168=1,$E168*$I168/12*0,IF($J168=2,$E168*$I168/12*1,IF($J168=3,$E168*$I168/12*2,IF($J168&gt;=4,$E168*$I168/12*3,0))))))</f>
        <v>0</v>
      </c>
      <c r="CW168" s="87">
        <f>IF($H168&lt;&gt;CZ$5,0,IF(CZ168&gt;0,IF(OR($J168=1,$J168=2,$J168=3,$J168=4),$E168*$I168/12*3,IF($J168=5,$E168*$I168/12*2,IF($J168=6,$E168*$I168/12*1,0)))))+IF(CU$5&lt;&gt;$H168,0,IF(CU168&gt;0,IF($J168=4,$E168*$I168/12*0,IF($J168=5,$E168*$I168/12*1,IF($J168=6,$E168*$I168/12*2,IF($J168&gt;=7,$E168*$I168/12*3,0))))))</f>
        <v>0</v>
      </c>
      <c r="CX168" s="87">
        <f>IF($H168&lt;&gt;CZ$5,0,IF(CZ168&gt;0,IF(OR($J168=1,$J168=2,$J168=3,$J168=4,$J168=5,$J168=6,$J168=7),$E168*$I168/12*3,IF($J168=8,$E168*$I168/12*2,IF($J168=9,$E168*$I168/12*1,0)))))+IF(CU$5&lt;&gt;$H168,0,IF(CU168&gt;0,IF($J168=7,$E168*$I168/12*0,IF($J168=8,$E168*$I168/12*1,IF($J168=9,$E168*$I168/12*2,IF($J168&gt;=10,$E168*$I168/12*3,0))))))</f>
        <v>0</v>
      </c>
      <c r="CY168" s="88">
        <f>IF($H168&lt;&gt;CZ$5,0,IF(CZ168&gt;0,IF(OR($J168=1,$J168=2,$J168=3,$J168=4,$J168=5,$J168=6,$J168=7,$J168=8,$J168=9,$J168=10),$E168*$I168/12*3,IF($J168=11,$E168*$I168/12*2,IF($J168=12,$E168*$I168/12*1,0)))))+IF(CU$5&lt;&gt;$H168,0,IF(CU168&gt;0,IF($J168=10,$E168*$I168/12*0,IF($J168=11,$E168*$I168/12*1,IF($J168=12,$E168*$I168/12*2,0)))))</f>
        <v>0</v>
      </c>
      <c r="CZ168" s="85">
        <f>IF(AND(CU168&lt;&gt;0,CU$5=$H168),$I168*$E168-CU168,IF(CZ$5=$H168,$I168*$E168*(12-$J168+1)/12,0))</f>
        <v>0</v>
      </c>
    </row>
    <row r="169" spans="1:104" ht="12.75" customHeight="1">
      <c r="A169" s="4"/>
      <c r="B169" s="4"/>
      <c r="C169" s="1514" t="s">
        <v>934</v>
      </c>
      <c r="D169" s="146"/>
      <c r="E169" s="147">
        <f>+ComEd!BB151</f>
        <v>1550</v>
      </c>
      <c r="F169" s="326"/>
      <c r="G169" s="326"/>
      <c r="H169" s="171">
        <v>2018</v>
      </c>
      <c r="I169" s="172">
        <v>0.05</v>
      </c>
      <c r="J169" s="171">
        <v>7</v>
      </c>
      <c r="K169" s="80"/>
      <c r="L169" s="81">
        <f t="shared" si="2497"/>
        <v>0</v>
      </c>
      <c r="M169" s="82">
        <f t="shared" ref="M169" si="2509">IF(Q169=0,0,IF(Q169&gt;0,IF($J169=3,Q169,IF($J169=2,Q169,IF($J169=1,Q169,0)))))</f>
        <v>0</v>
      </c>
      <c r="N169" s="83">
        <f t="shared" ref="N169" si="2510">IF(Q169=0,0,IF(Q169&gt;0,IF($J169=6,Q169,IF($J169=5,Q169,IF($J169=4,Q169,0)))))</f>
        <v>0</v>
      </c>
      <c r="O169" s="83">
        <f t="shared" ref="O169" si="2511">IF(Q169=0,0,IF(Q169&gt;0,IF($J169=9,Q169,IF($J169=8,Q169,IF($J169=7,Q169,0)))))</f>
        <v>0</v>
      </c>
      <c r="P169" s="84">
        <f t="shared" ref="P169" si="2512">IF(Q169=0,0,IF(Q169&gt;0,IF($J169=12,Q169,IF($J169=11,Q169,IF($J169=10,Q169,0)))))</f>
        <v>0</v>
      </c>
      <c r="Q169" s="81">
        <f t="shared" si="2498"/>
        <v>0</v>
      </c>
      <c r="R169" s="82">
        <f t="shared" ref="R169" si="2513">IF(V169=0,0,IF(V169&gt;0,IF($J169=3,V169,IF($J169=2,V169,IF($J169=1,V169,0)))))</f>
        <v>0</v>
      </c>
      <c r="S169" s="83">
        <f t="shared" ref="S169" si="2514">IF(V169=0,0,IF(V169&gt;0,IF($J169=6,V169,IF($J169=5,V169,IF($J169=4,V169,0)))))</f>
        <v>0</v>
      </c>
      <c r="T169" s="83">
        <f t="shared" ref="T169" si="2515">IF(V169=0,0,IF(V169&gt;0,IF($J169=9,V169,IF($J169=8,V169,IF($J169=7,V169,0)))))</f>
        <v>0</v>
      </c>
      <c r="U169" s="84">
        <f t="shared" ref="U169" si="2516">IF(V169=0,0,IF(V169&gt;0,IF($J169=12,V169,IF($J169=11,V169,IF($J169=10,V169,0)))))</f>
        <v>0</v>
      </c>
      <c r="V169" s="81">
        <f t="shared" si="2499"/>
        <v>0</v>
      </c>
      <c r="W169" s="82">
        <f t="shared" ref="W169" si="2517">IF(AA169=0,0,IF(AA169&gt;0,IF($J169=3,AA169,IF($J169=2,AA169,IF($J169=1,AA169,0)))))</f>
        <v>0</v>
      </c>
      <c r="X169" s="83">
        <f t="shared" ref="X169" si="2518">IF(AA169=0,0,IF(AA169&gt;0,IF($J169=6,AA169,IF($J169=5,AA169,IF($J169=4,AA169,0)))))</f>
        <v>0</v>
      </c>
      <c r="Y169" s="83">
        <f t="shared" ref="Y169" si="2519">IF(AA169=0,0,IF(AA169&gt;0,IF($J169=9,AA169,IF($J169=8,AA169,IF($J169=7,AA169,0)))))</f>
        <v>0</v>
      </c>
      <c r="Z169" s="84">
        <f t="shared" ref="Z169" si="2520">IF(AA169=0,0,IF(AA169&gt;0,IF($J169=12,AA169,IF($J169=11,AA169,IF($J169=10,AA169,0)))))</f>
        <v>0</v>
      </c>
      <c r="AA169" s="81">
        <f t="shared" si="2500"/>
        <v>0</v>
      </c>
      <c r="AB169" s="82">
        <f t="shared" ref="AB169" si="2521">IF(AF169=0,0,IF(AF169&gt;0,IF($J169=3,AF169,IF($J169=2,AF169,IF($J169=1,AF169,0)))))</f>
        <v>0</v>
      </c>
      <c r="AC169" s="83">
        <f t="shared" ref="AC169" si="2522">IF(AF169=0,0,IF(AF169&gt;0,IF($J169=6,AF169,IF($J169=5,AF169,IF($J169=4,AF169,0)))))</f>
        <v>0</v>
      </c>
      <c r="AD169" s="83">
        <f t="shared" ref="AD169" si="2523">IF(AF169=0,0,IF(AF169&gt;0,IF($J169=9,AF169,IF($J169=8,AF169,IF($J169=7,AF169,0)))))</f>
        <v>0</v>
      </c>
      <c r="AE169" s="84">
        <f t="shared" ref="AE169" si="2524">IF(AF169=0,0,IF(AF169&gt;0,IF($J169=12,AF169,IF($J169=11,AF169,IF($J169=10,AF169,0)))))</f>
        <v>0</v>
      </c>
      <c r="AF169" s="81">
        <f t="shared" si="2501"/>
        <v>0</v>
      </c>
      <c r="AG169" s="82">
        <f t="shared" ref="AG169" si="2525">IF(AK169=0,0,IF(AK169&gt;0,IF($J169=3,AK169,IF($J169=2,AK169,IF($J169=1,AK169,0)))))</f>
        <v>0</v>
      </c>
      <c r="AH169" s="83">
        <f t="shared" ref="AH169" si="2526">IF(AK169=0,0,IF(AK169&gt;0,IF($J169=6,AK169,IF($J169=5,AK169,IF($J169=4,AK169,0)))))</f>
        <v>0</v>
      </c>
      <c r="AI169" s="83">
        <f t="shared" ref="AI169" si="2527">IF(AK169=0,0,IF(AK169&gt;0,IF($J169=9,AK169,IF($J169=8,AK169,IF($J169=7,AK169,0)))))</f>
        <v>0</v>
      </c>
      <c r="AJ169" s="84">
        <f t="shared" ref="AJ169" si="2528">IF(AK169=0,0,IF(AK169&gt;0,IF($J169=12,AK169,IF($J169=11,AK169,IF($J169=10,AK169,0)))))</f>
        <v>0</v>
      </c>
      <c r="AK169" s="81">
        <f t="shared" si="2502"/>
        <v>0</v>
      </c>
      <c r="AL169" s="82">
        <f t="shared" ref="AL169" si="2529">IF(AP169=0,0,IF(AP169&gt;0,IF($J169=3,AP169,IF($J169=2,AP169,IF($J169=1,AP169,0)))))</f>
        <v>0</v>
      </c>
      <c r="AM169" s="83">
        <f t="shared" ref="AM169" si="2530">IF(AP169=0,0,IF(AP169&gt;0,IF($J169=6,AP169,IF($J169=5,AP169,IF($J169=4,AP169,0)))))</f>
        <v>0</v>
      </c>
      <c r="AN169" s="83">
        <f t="shared" ref="AN169" si="2531">IF(AP169=0,0,IF(AP169&gt;0,IF($J169=9,AP169,IF($J169=8,AP169,IF($J169=7,AP169,0)))))</f>
        <v>1550</v>
      </c>
      <c r="AO169" s="84">
        <f t="shared" ref="AO169" si="2532">IF(AP169=0,0,IF(AP169&gt;0,IF($J169=12,AP169,IF($J169=11,AP169,IF($J169=10,AP169,0)))))</f>
        <v>0</v>
      </c>
      <c r="AP169" s="81">
        <f t="shared" si="2503"/>
        <v>1550</v>
      </c>
      <c r="AQ169" s="82">
        <f t="shared" ref="AQ169" si="2533">IF(AU169=0,0,IF(AU169&gt;0,IF($J169=3,AU169,IF($J169=2,AU169,IF($J169=1,AU169,0)))))</f>
        <v>0</v>
      </c>
      <c r="AR169" s="83">
        <f t="shared" ref="AR169" si="2534">IF(AU169=0,0,IF(AU169&gt;0,IF($J169=6,AU169,IF($J169=5,AU169,IF($J169=4,AU169,0)))))</f>
        <v>0</v>
      </c>
      <c r="AS169" s="83">
        <f t="shared" ref="AS169" si="2535">IF(AU169=0,0,IF(AU169&gt;0,IF($J169=9,AU169,IF($J169=8,AU169,IF($J169=7,AU169,0)))))</f>
        <v>0</v>
      </c>
      <c r="AT169" s="84">
        <f t="shared" ref="AT169" si="2536">IF(AU169=0,0,IF(AU169&gt;0,IF($J169=12,AU169,IF($J169=11,AU169,IF($J169=10,AU169,0)))))</f>
        <v>0</v>
      </c>
      <c r="AU169" s="81">
        <f t="shared" si="2504"/>
        <v>0</v>
      </c>
      <c r="AV169" s="82">
        <f t="shared" ref="AV169" si="2537">IF(AZ169=0,0,IF(AZ169&gt;0,IF($J169=3,AZ169,IF($J169=2,AZ169,IF($J169=1,AZ169,0)))))</f>
        <v>0</v>
      </c>
      <c r="AW169" s="83">
        <f t="shared" ref="AW169" si="2538">IF(AZ169=0,0,IF(AZ169&gt;0,IF($J169=6,AZ169,IF($J169=5,AZ169,IF($J169=4,AZ169,0)))))</f>
        <v>0</v>
      </c>
      <c r="AX169" s="83">
        <f t="shared" ref="AX169" si="2539">IF(AZ169=0,0,IF(AZ169&gt;0,IF($J169=9,AZ169,IF($J169=8,AZ169,IF($J169=7,AZ169,0)))))</f>
        <v>0</v>
      </c>
      <c r="AY169" s="84">
        <f t="shared" ref="AY169" si="2540">IF(AZ169=0,0,IF(AZ169&gt;0,IF($J169=12,AZ169,IF($J169=11,AZ169,IF($J169=10,AZ169,0)))))</f>
        <v>0</v>
      </c>
      <c r="AZ169" s="81">
        <f t="shared" si="2505"/>
        <v>0</v>
      </c>
      <c r="BA169" s="82">
        <f t="shared" ref="BA169:BA172" si="2541">IF(BE169=0,0,IF(BE169&gt;0,IF($J169=3,BE169,IF($J169=2,BE169,IF($J169=1,BE169,0)))))</f>
        <v>0</v>
      </c>
      <c r="BB169" s="83">
        <f t="shared" ref="BB169:BB172" si="2542">IF(BE169=0,0,IF(BE169&gt;0,IF($J169=6,BE169,IF($J169=5,BE169,IF($J169=4,BE169,0)))))</f>
        <v>0</v>
      </c>
      <c r="BC169" s="83">
        <f t="shared" ref="BC169:BC172" si="2543">IF(BE169=0,0,IF(BE169&gt;0,IF($J169=9,BE169,IF($J169=8,BE169,IF($J169=7,BE169,0)))))</f>
        <v>0</v>
      </c>
      <c r="BD169" s="84">
        <f t="shared" ref="BD169:BD172" si="2544">IF(BE169=0,0,IF(BE169&gt;0,IF($J169=12,BE169,IF($J169=11,BE169,IF($J169=10,BE169,0)))))</f>
        <v>0</v>
      </c>
      <c r="BE169" s="81">
        <f t="shared" si="2506"/>
        <v>0</v>
      </c>
      <c r="BF169" s="1884"/>
      <c r="BG169" s="2005">
        <f t="shared" ref="BG169" si="2545">IF(AND(BF169&lt;&gt;0,BF$5=$H169),$I169*$E169-BF169,IF(BG$5=$H169,$I169*$E169*(12-$J169+1)/12,0))</f>
        <v>0</v>
      </c>
      <c r="BH169" s="86">
        <f t="shared" ref="BH169" si="2546">IF($H169&lt;&gt;BL$5,0,IF(BL169&gt;0,IF($J169=1,$E169*$I169/12*3,IF($J169=2,$E169*$I169/12*2,IF($J169=3,$E169*$I169/12*1,0)))))+IF(BG$5&lt;&gt;$H169,0,IF(BG169&gt;0,IF($J169=1,$E169*$I169/12*0,IF($J169=2,$E169*$I169/12*1,IF($J169=3,$E169*$I169/12*2,IF($J169&gt;=4,$E169*$I169/12*3,0))))))</f>
        <v>0</v>
      </c>
      <c r="BI169" s="87">
        <f t="shared" ref="BI169" si="2547">IF($H169&lt;&gt;BL$5,0,IF(BL169&gt;0,IF(OR($J169=1,$J169=2,$J169=3,$J169=4),$E169*$I169/12*3,IF($J169=5,$E169*$I169/12*2,IF($J169=6,$E169*$I169/12*1,0)))))+IF(BG$5&lt;&gt;$H169,0,IF(BG169&gt;0,IF($J169=4,$E169*$I169/12*0,IF($J169=5,$E169*$I169/12*1,IF($J169=6,$E169*$I169/12*2,IF($J169&gt;=7,$E169*$I169/12*3,0))))))</f>
        <v>0</v>
      </c>
      <c r="BJ169" s="87">
        <f t="shared" ref="BJ169" si="2548">IF($H169&lt;&gt;BL$5,0,IF(BL169&gt;0,IF(OR($J169=1,$J169=2,$J169=3,$J169=4,$J169=5,$J169=6,$J169=7),$E169*$I169/12*3,IF($J169=8,$E169*$I169/12*2,IF($J169=9,$E169*$I169/12*1,0)))))+IF(BG$5&lt;&gt;$H169,0,IF(BG169&gt;0,IF($J169=7,$E169*$I169/12*0,IF($J169=8,$E169*$I169/12*1,IF($J169=9,$E169*$I169/12*2,IF($J169&gt;=10,$E169*$I169/12*3,0))))))</f>
        <v>0</v>
      </c>
      <c r="BK169" s="88">
        <f t="shared" ref="BK169" si="2549">IF($H169&lt;&gt;BL$5,0,IF(BL169&gt;0,IF(OR($J169=1,$J169=2,$J169=3,$J169=4,$J169=5,$J169=6,$J169=7,$J169=8,$J169=9,$J169=10),$E169*$I169/12*3,IF($J169=11,$E169*$I169/12*2,IF($J169=12,$E169*$I169/12*1,0)))))+IF(BG$5&lt;&gt;$H169,0,IF(BG169&gt;0,IF($J169=10,$E169*$I169/12*0,IF($J169=11,$E169*$I169/12*1,IF($J169=12,$E169*$I169/12*2,0)))))</f>
        <v>0</v>
      </c>
      <c r="BL169" s="85">
        <f t="shared" ref="BL169" si="2550">IF(AND(BG169&lt;&gt;0,BG$5=$H169),$I169*$E169-BG169,IF(BL$5=$H169,$I169*$E169*(12-$J169+1)/12,0))</f>
        <v>0</v>
      </c>
      <c r="BM169" s="86">
        <f t="shared" ref="BM169" si="2551">IF($H169&lt;&gt;BQ$5,0,IF(BQ169&gt;0,IF($J169=1,$E169*$I169/12*3,IF($J169=2,$E169*$I169/12*2,IF($J169=3,$E169*$I169/12*1,0)))))+IF(BL$5&lt;&gt;$H169,0,IF(BL169&gt;0,IF($J169=1,$E169*$I169/12*0,IF($J169=2,$E169*$I169/12*1,IF($J169=3,$E169*$I169/12*2,IF($J169&gt;=4,$E169*$I169/12*3,0))))))</f>
        <v>0</v>
      </c>
      <c r="BN169" s="87">
        <f t="shared" ref="BN169" si="2552">IF($H169&lt;&gt;BQ$5,0,IF(BQ169&gt;0,IF(OR($J169=1,$J169=2,$J169=3,$J169=4),$E169*$I169/12*3,IF($J169=5,$E169*$I169/12*2,IF($J169=6,$E169*$I169/12*1,0)))))+IF(BL$5&lt;&gt;$H169,0,IF(BL169&gt;0,IF($J169=4,$E169*$I169/12*0,IF($J169=5,$E169*$I169/12*1,IF($J169=6,$E169*$I169/12*2,IF($J169&gt;=7,$E169*$I169/12*3,0))))))</f>
        <v>0</v>
      </c>
      <c r="BO169" s="87">
        <f t="shared" ref="BO169" si="2553">IF($H169&lt;&gt;BQ$5,0,IF(BQ169&gt;0,IF(OR($J169=1,$J169=2,$J169=3,$J169=4,$J169=5,$J169=6,$J169=7),$E169*$I169/12*3,IF($J169=8,$E169*$I169/12*2,IF($J169=9,$E169*$I169/12*1,0)))))+IF(BL$5&lt;&gt;$H169,0,IF(BL169&gt;0,IF($J169=7,$E169*$I169/12*0,IF($J169=8,$E169*$I169/12*1,IF($J169=9,$E169*$I169/12*2,IF($J169&gt;=10,$E169*$I169/12*3,0))))))</f>
        <v>0</v>
      </c>
      <c r="BP169" s="88">
        <f t="shared" ref="BP169" si="2554">IF($H169&lt;&gt;BQ$5,0,IF(BQ169&gt;0,IF(OR($J169=1,$J169=2,$J169=3,$J169=4,$J169=5,$J169=6,$J169=7,$J169=8,$J169=9,$J169=10),$E169*$I169/12*3,IF($J169=11,$E169*$I169/12*2,IF($J169=12,$E169*$I169/12*1,0)))))+IF(BL$5&lt;&gt;$H169,0,IF(BL169&gt;0,IF($J169=10,$E169*$I169/12*0,IF($J169=11,$E169*$I169/12*1,IF($J169=12,$E169*$I169/12*2,0)))))</f>
        <v>0</v>
      </c>
      <c r="BQ169" s="85">
        <f t="shared" ref="BQ169" si="2555">IF(AND(BL169&lt;&gt;0,BL$5=$H169),$I169*$E169-BL169,IF(BQ$5=$H169,$I169*$E169*(12-$J169+1)/12,0))</f>
        <v>0</v>
      </c>
      <c r="BR169" s="86">
        <f t="shared" ref="BR169" si="2556">IF($H169&lt;&gt;BV$5,0,IF(BV169&gt;0,IF($J169=1,$E169*$I169/12*3,IF($J169=2,$E169*$I169/12*2,IF($J169=3,$E169*$I169/12*1,0)))))+IF(BQ$5&lt;&gt;$H169,0,IF(BQ169&gt;0,IF($J169=1,$E169*$I169/12*0,IF($J169=2,$E169*$I169/12*1,IF($J169=3,$E169*$I169/12*2,IF($J169&gt;=4,$E169*$I169/12*3,0))))))</f>
        <v>0</v>
      </c>
      <c r="BS169" s="87">
        <f t="shared" ref="BS169" si="2557">IF($H169&lt;&gt;BV$5,0,IF(BV169&gt;0,IF(OR($J169=1,$J169=2,$J169=3,$J169=4),$E169*$I169/12*3,IF($J169=5,$E169*$I169/12*2,IF($J169=6,$E169*$I169/12*1,0)))))+IF(BQ$5&lt;&gt;$H169,0,IF(BQ169&gt;0,IF($J169=4,$E169*$I169/12*0,IF($J169=5,$E169*$I169/12*1,IF($J169=6,$E169*$I169/12*2,IF($J169&gt;=7,$E169*$I169/12*3,0))))))</f>
        <v>0</v>
      </c>
      <c r="BT169" s="87">
        <f t="shared" ref="BT169" si="2558">IF($H169&lt;&gt;BV$5,0,IF(BV169&gt;0,IF(OR($J169=1,$J169=2,$J169=3,$J169=4,$J169=5,$J169=6,$J169=7),$E169*$I169/12*3,IF($J169=8,$E169*$I169/12*2,IF($J169=9,$E169*$I169/12*1,0)))))+IF(BQ$5&lt;&gt;$H169,0,IF(BQ169&gt;0,IF($J169=7,$E169*$I169/12*0,IF($J169=8,$E169*$I169/12*1,IF($J169=9,$E169*$I169/12*2,IF($J169&gt;=10,$E169*$I169/12*3,0))))))</f>
        <v>0</v>
      </c>
      <c r="BU169" s="88">
        <f t="shared" ref="BU169" si="2559">IF($H169&lt;&gt;BV$5,0,IF(BV169&gt;0,IF(OR($J169=1,$J169=2,$J169=3,$J169=4,$J169=5,$J169=6,$J169=7,$J169=8,$J169=9,$J169=10),$E169*$I169/12*3,IF($J169=11,$E169*$I169/12*2,IF($J169=12,$E169*$I169/12*1,0)))))+IF(BQ$5&lt;&gt;$H169,0,IF(BQ169&gt;0,IF($J169=10,$E169*$I169/12*0,IF($J169=11,$E169*$I169/12*1,IF($J169=12,$E169*$I169/12*2,0)))))</f>
        <v>0</v>
      </c>
      <c r="BV169" s="85">
        <f t="shared" ref="BV169" si="2560">IF(AND(BQ169&lt;&gt;0,BQ$5=$H169),$I169*$E169-BQ169,IF(BV$5=$H169,$I169*$E169*(12-$J169+1)/12,0))</f>
        <v>0</v>
      </c>
      <c r="BW169" s="86">
        <f t="shared" ref="BW169" si="2561">IF($H169&lt;&gt;CA$5,0,IF(CA169&gt;0,IF($J169=1,$E169*$I169/12*3,IF($J169=2,$E169*$I169/12*2,IF($J169=3,$E169*$I169/12*1,0)))))+IF(BV$5&lt;&gt;$H169,0,IF(BV169&gt;0,IF($J169=1,$E169*$I169/12*0,IF($J169=2,$E169*$I169/12*1,IF($J169=3,$E169*$I169/12*2,IF($J169&gt;=4,$E169*$I169/12*3,0))))))</f>
        <v>0</v>
      </c>
      <c r="BX169" s="87">
        <f t="shared" ref="BX169" si="2562">IF($H169&lt;&gt;CA$5,0,IF(CA169&gt;0,IF(OR($J169=1,$J169=2,$J169=3,$J169=4),$E169*$I169/12*3,IF($J169=5,$E169*$I169/12*2,IF($J169=6,$E169*$I169/12*1,0)))))+IF(BV$5&lt;&gt;$H169,0,IF(BV169&gt;0,IF($J169=4,$E169*$I169/12*0,IF($J169=5,$E169*$I169/12*1,IF($J169=6,$E169*$I169/12*2,IF($J169&gt;=7,$E169*$I169/12*3,0))))))</f>
        <v>0</v>
      </c>
      <c r="BY169" s="87">
        <f t="shared" ref="BY169" si="2563">IF($H169&lt;&gt;CA$5,0,IF(CA169&gt;0,IF(OR($J169=1,$J169=2,$J169=3,$J169=4,$J169=5,$J169=6,$J169=7),$E169*$I169/12*3,IF($J169=8,$E169*$I169/12*2,IF($J169=9,$E169*$I169/12*1,0)))))+IF(BV$5&lt;&gt;$H169,0,IF(BV169&gt;0,IF($J169=7,$E169*$I169/12*0,IF($J169=8,$E169*$I169/12*1,IF($J169=9,$E169*$I169/12*2,IF($J169&gt;=10,$E169*$I169/12*3,0))))))</f>
        <v>0</v>
      </c>
      <c r="BZ169" s="88">
        <f t="shared" ref="BZ169" si="2564">IF($H169&lt;&gt;CA$5,0,IF(CA169&gt;0,IF(OR($J169=1,$J169=2,$J169=3,$J169=4,$J169=5,$J169=6,$J169=7,$J169=8,$J169=9,$J169=10),$E169*$I169/12*3,IF($J169=11,$E169*$I169/12*2,IF($J169=12,$E169*$I169/12*1,0)))))+IF(BV$5&lt;&gt;$H169,0,IF(BV169&gt;0,IF($J169=10,$E169*$I169/12*0,IF($J169=11,$E169*$I169/12*1,IF($J169=12,$E169*$I169/12*2,0)))))</f>
        <v>0</v>
      </c>
      <c r="CA169" s="85">
        <f t="shared" ref="CA169" si="2565">IF(AND(BV169&lt;&gt;0,BV$5=$H169),$I169*$E169-BV169,IF(CA$5=$H169,$I169*$E169*(12-$J169+1)/12,0))</f>
        <v>0</v>
      </c>
      <c r="CB169" s="86">
        <f t="shared" ref="CB169" si="2566">IF($H169&lt;&gt;CF$5,0,IF(CF169&gt;0,IF($J169=1,$E169*$I169/12*3,IF($J169=2,$E169*$I169/12*2,IF($J169=3,$E169*$I169/12*1,0)))))+IF(CA$5&lt;&gt;$H169,0,IF(CA169&gt;0,IF($J169=1,$E169*$I169/12*0,IF($J169=2,$E169*$I169/12*1,IF($J169=3,$E169*$I169/12*2,IF($J169&gt;=4,$E169*$I169/12*3,0))))))</f>
        <v>0</v>
      </c>
      <c r="CC169" s="87">
        <f t="shared" ref="CC169" si="2567">IF($H169&lt;&gt;CF$5,0,IF(CF169&gt;0,IF(OR($J169=1,$J169=2,$J169=3,$J169=4),$E169*$I169/12*3,IF($J169=5,$E169*$I169/12*2,IF($J169=6,$E169*$I169/12*1,0)))))+IF(CA$5&lt;&gt;$H169,0,IF(CA169&gt;0,IF($J169=4,$E169*$I169/12*0,IF($J169=5,$E169*$I169/12*1,IF($J169=6,$E169*$I169/12*2,IF($J169&gt;=7,$E169*$I169/12*3,0))))))</f>
        <v>0</v>
      </c>
      <c r="CD169" s="87">
        <f t="shared" ref="CD169" si="2568">IF($H169&lt;&gt;CF$5,0,IF(CF169&gt;0,IF(OR($J169=1,$J169=2,$J169=3,$J169=4,$J169=5,$J169=6,$J169=7),$E169*$I169/12*3,IF($J169=8,$E169*$I169/12*2,IF($J169=9,$E169*$I169/12*1,0)))))+IF(CA$5&lt;&gt;$H169,0,IF(CA169&gt;0,IF($J169=7,$E169*$I169/12*0,IF($J169=8,$E169*$I169/12*1,IF($J169=9,$E169*$I169/12*2,IF($J169&gt;=10,$E169*$I169/12*3,0))))))</f>
        <v>0</v>
      </c>
      <c r="CE169" s="88">
        <f t="shared" ref="CE169" si="2569">IF($H169&lt;&gt;CF$5,0,IF(CF169&gt;0,IF(OR($J169=1,$J169=2,$J169=3,$J169=4,$J169=5,$J169=6,$J169=7,$J169=8,$J169=9,$J169=10),$E169*$I169/12*3,IF($J169=11,$E169*$I169/12*2,IF($J169=12,$E169*$I169/12*1,0)))))+IF(CA$5&lt;&gt;$H169,0,IF(CA169&gt;0,IF($J169=10,$E169*$I169/12*0,IF($J169=11,$E169*$I169/12*1,IF($J169=12,$E169*$I169/12*2,0)))))</f>
        <v>0</v>
      </c>
      <c r="CF169" s="85">
        <f t="shared" ref="CF169" si="2570">IF(AND(CA169&lt;&gt;0,CA$5=$H169),$I169*$E169-CA169,IF(CF$5=$H169,$I169*$E169*(12-$J169+1)/12,0))</f>
        <v>0</v>
      </c>
      <c r="CG169" s="86">
        <f t="shared" ref="CG169" si="2571">IF($H169&lt;&gt;CK$5,0,IF(CK169&gt;0,IF($J169=1,$E169*$I169/12*3,IF($J169=2,$E169*$I169/12*2,IF($J169=3,$E169*$I169/12*1,0)))))+IF(CF$5&lt;&gt;$H169,0,IF(CF169&gt;0,IF($J169=1,$E169*$I169/12*0,IF($J169=2,$E169*$I169/12*1,IF($J169=3,$E169*$I169/12*2,IF($J169&gt;=4,$E169*$I169/12*3,0))))))</f>
        <v>0</v>
      </c>
      <c r="CH169" s="87">
        <f t="shared" ref="CH169" si="2572">IF($H169&lt;&gt;CK$5,0,IF(CK169&gt;0,IF(OR($J169=1,$J169=2,$J169=3,$J169=4),$E169*$I169/12*3,IF($J169=5,$E169*$I169/12*2,IF($J169=6,$E169*$I169/12*1,0)))))+IF(CF$5&lt;&gt;$H169,0,IF(CF169&gt;0,IF($J169=4,$E169*$I169/12*0,IF($J169=5,$E169*$I169/12*1,IF($J169=6,$E169*$I169/12*2,IF($J169&gt;=7,$E169*$I169/12*3,0))))))</f>
        <v>0</v>
      </c>
      <c r="CI169" s="87">
        <f t="shared" ref="CI169" si="2573">IF($H169&lt;&gt;CK$5,0,IF(CK169&gt;0,IF(OR($J169=1,$J169=2,$J169=3,$J169=4,$J169=5,$J169=6,$J169=7),$E169*$I169/12*3,IF($J169=8,$E169*$I169/12*2,IF($J169=9,$E169*$I169/12*1,0)))))+IF(CF$5&lt;&gt;$H169,0,IF(CF169&gt;0,IF($J169=7,$E169*$I169/12*0,IF($J169=8,$E169*$I169/12*1,IF($J169=9,$E169*$I169/12*2,IF($J169&gt;=10,$E169*$I169/12*3,0))))))</f>
        <v>19.375</v>
      </c>
      <c r="CJ169" s="88">
        <f t="shared" ref="CJ169" si="2574">IF($H169&lt;&gt;CK$5,0,IF(CK169&gt;0,IF(OR($J169=1,$J169=2,$J169=3,$J169=4,$J169=5,$J169=6,$J169=7,$J169=8,$J169=9,$J169=10),$E169*$I169/12*3,IF($J169=11,$E169*$I169/12*2,IF($J169=12,$E169*$I169/12*1,0)))))+IF(CF$5&lt;&gt;$H169,0,IF(CF169&gt;0,IF($J169=10,$E169*$I169/12*0,IF($J169=11,$E169*$I169/12*1,IF($J169=12,$E169*$I169/12*2,0)))))</f>
        <v>19.375</v>
      </c>
      <c r="CK169" s="85">
        <f t="shared" ref="CK169" si="2575">IF(AND(CF169&lt;&gt;0,CF$5=$H169),$I169*$E169-CF169,IF(CK$5=$H169,$I169*$E169*(12-$J169+1)/12,0))</f>
        <v>38.75</v>
      </c>
      <c r="CL169" s="86">
        <f t="shared" ref="CL169" si="2576">IF($H169&lt;&gt;CP$5,0,IF(CP169&gt;0,IF($J169=1,$E169*$I169/12*3,IF($J169=2,$E169*$I169/12*2,IF($J169=3,$E169*$I169/12*1,0)))))+IF(CK$5&lt;&gt;$H169,0,IF(CK169&gt;0,IF($J169=1,$E169*$I169/12*0,IF($J169=2,$E169*$I169/12*1,IF($J169=3,$E169*$I169/12*2,IF($J169&gt;=4,$E169*$I169/12*3,0))))))</f>
        <v>19.375</v>
      </c>
      <c r="CM169" s="87">
        <f t="shared" ref="CM169" si="2577">IF($H169&lt;&gt;CP$5,0,IF(CP169&gt;0,IF(OR($J169=1,$J169=2,$J169=3,$J169=4),$E169*$I169/12*3,IF($J169=5,$E169*$I169/12*2,IF($J169=6,$E169*$I169/12*1,0)))))+IF(CK$5&lt;&gt;$H169,0,IF(CK169&gt;0,IF($J169=4,$E169*$I169/12*0,IF($J169=5,$E169*$I169/12*1,IF($J169=6,$E169*$I169/12*2,IF($J169&gt;=7,$E169*$I169/12*3,0))))))</f>
        <v>19.375</v>
      </c>
      <c r="CN169" s="87">
        <f t="shared" ref="CN169" si="2578">IF($H169&lt;&gt;CP$5,0,IF(CP169&gt;0,IF(OR($J169=1,$J169=2,$J169=3,$J169=4,$J169=5,$J169=6,$J169=7),$E169*$I169/12*3,IF($J169=8,$E169*$I169/12*2,IF($J169=9,$E169*$I169/12*1,0)))))+IF(CK$5&lt;&gt;$H169,0,IF(CK169&gt;0,IF($J169=7,$E169*$I169/12*0,IF($J169=8,$E169*$I169/12*1,IF($J169=9,$E169*$I169/12*2,IF($J169&gt;=10,$E169*$I169/12*3,0))))))</f>
        <v>0</v>
      </c>
      <c r="CO169" s="88">
        <f t="shared" ref="CO169" si="2579">IF($H169&lt;&gt;CP$5,0,IF(CP169&gt;0,IF(OR($J169=1,$J169=2,$J169=3,$J169=4,$J169=5,$J169=6,$J169=7,$J169=8,$J169=9,$J169=10),$E169*$I169/12*3,IF($J169=11,$E169*$I169/12*2,IF($J169=12,$E169*$I169/12*1,0)))))+IF(CK$5&lt;&gt;$H169,0,IF(CK169&gt;0,IF($J169=10,$E169*$I169/12*0,IF($J169=11,$E169*$I169/12*1,IF($J169=12,$E169*$I169/12*2,0)))))</f>
        <v>0</v>
      </c>
      <c r="CP169" s="85">
        <f t="shared" ref="CP169" si="2580">IF(AND(CK169&lt;&gt;0,CK$5=$H169),$I169*$E169-CK169,IF(CP$5=$H169,$I169*$E169*(12-$J169+1)/12,0))</f>
        <v>38.75</v>
      </c>
      <c r="CQ169" s="86">
        <f t="shared" ref="CQ169" si="2581">IF($H169&lt;&gt;CU$5,0,IF(CU169&gt;0,IF($J169=1,$E169*$I169/12*3,IF($J169=2,$E169*$I169/12*2,IF($J169=3,$E169*$I169/12*1,0)))))+IF(CP$5&lt;&gt;$H169,0,IF(CP169&gt;0,IF($J169=1,$E169*$I169/12*0,IF($J169=2,$E169*$I169/12*1,IF($J169=3,$E169*$I169/12*2,IF($J169&gt;=4,$E169*$I169/12*3,0))))))</f>
        <v>0</v>
      </c>
      <c r="CR169" s="87">
        <f t="shared" ref="CR169" si="2582">IF($H169&lt;&gt;CU$5,0,IF(CU169&gt;0,IF(OR($J169=1,$J169=2,$J169=3,$J169=4),$E169*$I169/12*3,IF($J169=5,$E169*$I169/12*2,IF($J169=6,$E169*$I169/12*1,0)))))+IF(CP$5&lt;&gt;$H169,0,IF(CP169&gt;0,IF($J169=4,$E169*$I169/12*0,IF($J169=5,$E169*$I169/12*1,IF($J169=6,$E169*$I169/12*2,IF($J169&gt;=7,$E169*$I169/12*3,0))))))</f>
        <v>0</v>
      </c>
      <c r="CS169" s="87">
        <f t="shared" ref="CS169" si="2583">IF($H169&lt;&gt;CU$5,0,IF(CU169&gt;0,IF(OR($J169=1,$J169=2,$J169=3,$J169=4,$J169=5,$J169=6,$J169=7),$E169*$I169/12*3,IF($J169=8,$E169*$I169/12*2,IF($J169=9,$E169*$I169/12*1,0)))))+IF(CP$5&lt;&gt;$H169,0,IF(CP169&gt;0,IF($J169=7,$E169*$I169/12*0,IF($J169=8,$E169*$I169/12*1,IF($J169=9,$E169*$I169/12*2,IF($J169&gt;=10,$E169*$I169/12*3,0))))))</f>
        <v>0</v>
      </c>
      <c r="CT169" s="88">
        <f t="shared" ref="CT169" si="2584">IF($H169&lt;&gt;CU$5,0,IF(CU169&gt;0,IF(OR($J169=1,$J169=2,$J169=3,$J169=4,$J169=5,$J169=6,$J169=7,$J169=8,$J169=9,$J169=10),$E169*$I169/12*3,IF($J169=11,$E169*$I169/12*2,IF($J169=12,$E169*$I169/12*1,0)))))+IF(CP$5&lt;&gt;$H169,0,IF(CP169&gt;0,IF($J169=10,$E169*$I169/12*0,IF($J169=11,$E169*$I169/12*1,IF($J169=12,$E169*$I169/12*2,0)))))</f>
        <v>0</v>
      </c>
      <c r="CU169" s="85">
        <f t="shared" ref="CU169" si="2585">IF(AND(CP169&lt;&gt;0,CP$5=$H169),$I169*$E169-CP169,IF(CU$5=$H169,$I169*$E169*(12-$J169+1)/12,0))</f>
        <v>0</v>
      </c>
      <c r="CV169" s="86">
        <f t="shared" ref="CV169:CV172" si="2586">IF($H169&lt;&gt;CZ$5,0,IF(CZ169&gt;0,IF($J169=1,$E169*$I169/12*3,IF($J169=2,$E169*$I169/12*2,IF($J169=3,$E169*$I169/12*1,0)))))+IF(CU$5&lt;&gt;$H169,0,IF(CU169&gt;0,IF($J169=1,$E169*$I169/12*0,IF($J169=2,$E169*$I169/12*1,IF($J169=3,$E169*$I169/12*2,IF($J169&gt;=4,$E169*$I169/12*3,0))))))</f>
        <v>0</v>
      </c>
      <c r="CW169" s="87">
        <f t="shared" ref="CW169:CW172" si="2587">IF($H169&lt;&gt;CZ$5,0,IF(CZ169&gt;0,IF(OR($J169=1,$J169=2,$J169=3,$J169=4),$E169*$I169/12*3,IF($J169=5,$E169*$I169/12*2,IF($J169=6,$E169*$I169/12*1,0)))))+IF(CU$5&lt;&gt;$H169,0,IF(CU169&gt;0,IF($J169=4,$E169*$I169/12*0,IF($J169=5,$E169*$I169/12*1,IF($J169=6,$E169*$I169/12*2,IF($J169&gt;=7,$E169*$I169/12*3,0))))))</f>
        <v>0</v>
      </c>
      <c r="CX169" s="87">
        <f t="shared" ref="CX169:CX172" si="2588">IF($H169&lt;&gt;CZ$5,0,IF(CZ169&gt;0,IF(OR($J169=1,$J169=2,$J169=3,$J169=4,$J169=5,$J169=6,$J169=7),$E169*$I169/12*3,IF($J169=8,$E169*$I169/12*2,IF($J169=9,$E169*$I169/12*1,0)))))+IF(CU$5&lt;&gt;$H169,0,IF(CU169&gt;0,IF($J169=7,$E169*$I169/12*0,IF($J169=8,$E169*$I169/12*1,IF($J169=9,$E169*$I169/12*2,IF($J169&gt;=10,$E169*$I169/12*3,0))))))</f>
        <v>0</v>
      </c>
      <c r="CY169" s="88">
        <f t="shared" ref="CY169:CY172" si="2589">IF($H169&lt;&gt;CZ$5,0,IF(CZ169&gt;0,IF(OR($J169=1,$J169=2,$J169=3,$J169=4,$J169=5,$J169=6,$J169=7,$J169=8,$J169=9,$J169=10),$E169*$I169/12*3,IF($J169=11,$E169*$I169/12*2,IF($J169=12,$E169*$I169/12*1,0)))))+IF(CU$5&lt;&gt;$H169,0,IF(CU169&gt;0,IF($J169=10,$E169*$I169/12*0,IF($J169=11,$E169*$I169/12*1,IF($J169=12,$E169*$I169/12*2,0)))))</f>
        <v>0</v>
      </c>
      <c r="CZ169" s="85">
        <f t="shared" ref="CZ169:CZ172" si="2590">IF(AND(CU169&lt;&gt;0,CU$5=$H169),$I169*$E169-CU169,IF(CZ$5=$H169,$I169*$E169*(12-$J169+1)/12,0))</f>
        <v>0</v>
      </c>
    </row>
    <row r="170" spans="1:104" ht="12.75" customHeight="1">
      <c r="A170" s="4"/>
      <c r="B170" s="4"/>
      <c r="C170" s="1999" t="s">
        <v>1371</v>
      </c>
      <c r="D170" s="146"/>
      <c r="E170" s="147">
        <f>+ComEd!BG151</f>
        <v>425</v>
      </c>
      <c r="F170" s="326"/>
      <c r="G170" s="326"/>
      <c r="H170" s="171">
        <v>2019</v>
      </c>
      <c r="I170" s="172">
        <v>0.05</v>
      </c>
      <c r="J170" s="171">
        <v>7</v>
      </c>
      <c r="K170" s="80"/>
      <c r="L170" s="81">
        <f t="shared" si="2497"/>
        <v>0</v>
      </c>
      <c r="M170" s="82">
        <f t="shared" ref="M170:M171" si="2591">IF(Q170=0,0,IF(Q170&gt;0,IF($J170=3,Q170,IF($J170=2,Q170,IF($J170=1,Q170,0)))))</f>
        <v>0</v>
      </c>
      <c r="N170" s="83">
        <f t="shared" ref="N170:N171" si="2592">IF(Q170=0,0,IF(Q170&gt;0,IF($J170=6,Q170,IF($J170=5,Q170,IF($J170=4,Q170,0)))))</f>
        <v>0</v>
      </c>
      <c r="O170" s="83">
        <f t="shared" ref="O170:O171" si="2593">IF(Q170=0,0,IF(Q170&gt;0,IF($J170=9,Q170,IF($J170=8,Q170,IF($J170=7,Q170,0)))))</f>
        <v>0</v>
      </c>
      <c r="P170" s="84">
        <f t="shared" ref="P170:P171" si="2594">IF(Q170=0,0,IF(Q170&gt;0,IF($J170=12,Q170,IF($J170=11,Q170,IF($J170=10,Q170,0)))))</f>
        <v>0</v>
      </c>
      <c r="Q170" s="81">
        <f t="shared" si="2498"/>
        <v>0</v>
      </c>
      <c r="R170" s="82">
        <f t="shared" ref="R170:R171" si="2595">IF(V170=0,0,IF(V170&gt;0,IF($J170=3,V170,IF($J170=2,V170,IF($J170=1,V170,0)))))</f>
        <v>0</v>
      </c>
      <c r="S170" s="83">
        <f t="shared" ref="S170:S171" si="2596">IF(V170=0,0,IF(V170&gt;0,IF($J170=6,V170,IF($J170=5,V170,IF($J170=4,V170,0)))))</f>
        <v>0</v>
      </c>
      <c r="T170" s="83">
        <f t="shared" ref="T170:T171" si="2597">IF(V170=0,0,IF(V170&gt;0,IF($J170=9,V170,IF($J170=8,V170,IF($J170=7,V170,0)))))</f>
        <v>0</v>
      </c>
      <c r="U170" s="84">
        <f t="shared" ref="U170:U171" si="2598">IF(V170=0,0,IF(V170&gt;0,IF($J170=12,V170,IF($J170=11,V170,IF($J170=10,V170,0)))))</f>
        <v>0</v>
      </c>
      <c r="V170" s="81">
        <f t="shared" si="2499"/>
        <v>0</v>
      </c>
      <c r="W170" s="82">
        <f t="shared" ref="W170:W171" si="2599">IF(AA170=0,0,IF(AA170&gt;0,IF($J170=3,AA170,IF($J170=2,AA170,IF($J170=1,AA170,0)))))</f>
        <v>0</v>
      </c>
      <c r="X170" s="83">
        <f t="shared" ref="X170:X171" si="2600">IF(AA170=0,0,IF(AA170&gt;0,IF($J170=6,AA170,IF($J170=5,AA170,IF($J170=4,AA170,0)))))</f>
        <v>0</v>
      </c>
      <c r="Y170" s="83">
        <f t="shared" ref="Y170:Y171" si="2601">IF(AA170=0,0,IF(AA170&gt;0,IF($J170=9,AA170,IF($J170=8,AA170,IF($J170=7,AA170,0)))))</f>
        <v>0</v>
      </c>
      <c r="Z170" s="84">
        <f t="shared" ref="Z170:Z171" si="2602">IF(AA170=0,0,IF(AA170&gt;0,IF($J170=12,AA170,IF($J170=11,AA170,IF($J170=10,AA170,0)))))</f>
        <v>0</v>
      </c>
      <c r="AA170" s="81">
        <f t="shared" si="2500"/>
        <v>0</v>
      </c>
      <c r="AB170" s="82">
        <f t="shared" ref="AB170:AB171" si="2603">IF(AF170=0,0,IF(AF170&gt;0,IF($J170=3,AF170,IF($J170=2,AF170,IF($J170=1,AF170,0)))))</f>
        <v>0</v>
      </c>
      <c r="AC170" s="83">
        <f t="shared" ref="AC170:AC171" si="2604">IF(AF170=0,0,IF(AF170&gt;0,IF($J170=6,AF170,IF($J170=5,AF170,IF($J170=4,AF170,0)))))</f>
        <v>0</v>
      </c>
      <c r="AD170" s="83">
        <f t="shared" ref="AD170:AD171" si="2605">IF(AF170=0,0,IF(AF170&gt;0,IF($J170=9,AF170,IF($J170=8,AF170,IF($J170=7,AF170,0)))))</f>
        <v>0</v>
      </c>
      <c r="AE170" s="84">
        <f t="shared" ref="AE170:AE171" si="2606">IF(AF170=0,0,IF(AF170&gt;0,IF($J170=12,AF170,IF($J170=11,AF170,IF($J170=10,AF170,0)))))</f>
        <v>0</v>
      </c>
      <c r="AF170" s="81">
        <f t="shared" si="2501"/>
        <v>0</v>
      </c>
      <c r="AG170" s="82">
        <f t="shared" ref="AG170:AG171" si="2607">IF(AK170=0,0,IF(AK170&gt;0,IF($J170=3,AK170,IF($J170=2,AK170,IF($J170=1,AK170,0)))))</f>
        <v>0</v>
      </c>
      <c r="AH170" s="83">
        <f t="shared" ref="AH170:AH171" si="2608">IF(AK170=0,0,IF(AK170&gt;0,IF($J170=6,AK170,IF($J170=5,AK170,IF($J170=4,AK170,0)))))</f>
        <v>0</v>
      </c>
      <c r="AI170" s="83">
        <f t="shared" ref="AI170:AI171" si="2609">IF(AK170=0,0,IF(AK170&gt;0,IF($J170=9,AK170,IF($J170=8,AK170,IF($J170=7,AK170,0)))))</f>
        <v>0</v>
      </c>
      <c r="AJ170" s="84">
        <f t="shared" ref="AJ170:AJ171" si="2610">IF(AK170=0,0,IF(AK170&gt;0,IF($J170=12,AK170,IF($J170=11,AK170,IF($J170=10,AK170,0)))))</f>
        <v>0</v>
      </c>
      <c r="AK170" s="81">
        <f t="shared" si="2502"/>
        <v>0</v>
      </c>
      <c r="AL170" s="82">
        <f t="shared" ref="AL170:AL171" si="2611">IF(AP170=0,0,IF(AP170&gt;0,IF($J170=3,AP170,IF($J170=2,AP170,IF($J170=1,AP170,0)))))</f>
        <v>0</v>
      </c>
      <c r="AM170" s="83">
        <f t="shared" ref="AM170:AM171" si="2612">IF(AP170=0,0,IF(AP170&gt;0,IF($J170=6,AP170,IF($J170=5,AP170,IF($J170=4,AP170,0)))))</f>
        <v>0</v>
      </c>
      <c r="AN170" s="83">
        <f t="shared" ref="AN170:AN171" si="2613">IF(AP170=0,0,IF(AP170&gt;0,IF($J170=9,AP170,IF($J170=8,AP170,IF($J170=7,AP170,0)))))</f>
        <v>0</v>
      </c>
      <c r="AO170" s="84">
        <f t="shared" ref="AO170:AO171" si="2614">IF(AP170=0,0,IF(AP170&gt;0,IF($J170=12,AP170,IF($J170=11,AP170,IF($J170=10,AP170,0)))))</f>
        <v>0</v>
      </c>
      <c r="AP170" s="81">
        <f t="shared" si="2503"/>
        <v>0</v>
      </c>
      <c r="AQ170" s="82">
        <f t="shared" ref="AQ170:AQ171" si="2615">IF(AU170=0,0,IF(AU170&gt;0,IF($J170=3,AU170,IF($J170=2,AU170,IF($J170=1,AU170,0)))))</f>
        <v>0</v>
      </c>
      <c r="AR170" s="83">
        <f t="shared" ref="AR170:AR171" si="2616">IF(AU170=0,0,IF(AU170&gt;0,IF($J170=6,AU170,IF($J170=5,AU170,IF($J170=4,AU170,0)))))</f>
        <v>0</v>
      </c>
      <c r="AS170" s="83">
        <f t="shared" ref="AS170:AS171" si="2617">IF(AU170=0,0,IF(AU170&gt;0,IF($J170=9,AU170,IF($J170=8,AU170,IF($J170=7,AU170,0)))))</f>
        <v>425</v>
      </c>
      <c r="AT170" s="84">
        <f t="shared" ref="AT170:AT171" si="2618">IF(AU170=0,0,IF(AU170&gt;0,IF($J170=12,AU170,IF($J170=11,AU170,IF($J170=10,AU170,0)))))</f>
        <v>0</v>
      </c>
      <c r="AU170" s="81">
        <f t="shared" si="2504"/>
        <v>425</v>
      </c>
      <c r="AV170" s="82">
        <f t="shared" ref="AV170:AV171" si="2619">IF(AZ170=0,0,IF(AZ170&gt;0,IF($J170=3,AZ170,IF($J170=2,AZ170,IF($J170=1,AZ170,0)))))</f>
        <v>0</v>
      </c>
      <c r="AW170" s="83">
        <f t="shared" ref="AW170:AW171" si="2620">IF(AZ170=0,0,IF(AZ170&gt;0,IF($J170=6,AZ170,IF($J170=5,AZ170,IF($J170=4,AZ170,0)))))</f>
        <v>0</v>
      </c>
      <c r="AX170" s="83">
        <f t="shared" ref="AX170:AX171" si="2621">IF(AZ170=0,0,IF(AZ170&gt;0,IF($J170=9,AZ170,IF($J170=8,AZ170,IF($J170=7,AZ170,0)))))</f>
        <v>0</v>
      </c>
      <c r="AY170" s="84">
        <f t="shared" ref="AY170:AY171" si="2622">IF(AZ170=0,0,IF(AZ170&gt;0,IF($J170=12,AZ170,IF($J170=11,AZ170,IF($J170=10,AZ170,0)))))</f>
        <v>0</v>
      </c>
      <c r="AZ170" s="81">
        <f t="shared" si="2505"/>
        <v>0</v>
      </c>
      <c r="BA170" s="82">
        <f t="shared" si="2541"/>
        <v>0</v>
      </c>
      <c r="BB170" s="83">
        <f t="shared" si="2542"/>
        <v>0</v>
      </c>
      <c r="BC170" s="83">
        <f t="shared" si="2543"/>
        <v>0</v>
      </c>
      <c r="BD170" s="84">
        <f t="shared" si="2544"/>
        <v>0</v>
      </c>
      <c r="BE170" s="81">
        <f t="shared" si="2506"/>
        <v>0</v>
      </c>
      <c r="BF170" s="1884"/>
      <c r="BG170" s="2005">
        <f t="shared" ref="BG170:BG171" si="2623">IF(AND(BF170&lt;&gt;0,BF$5=$H170),$I170*$E170-BF170,IF(BG$5=$H170,$I170*$E170*(12-$J170+1)/12,0))</f>
        <v>0</v>
      </c>
      <c r="BH170" s="86">
        <f t="shared" ref="BH170:BH171" si="2624">IF($H170&lt;&gt;BL$5,0,IF(BL170&gt;0,IF($J170=1,$E170*$I170/12*3,IF($J170=2,$E170*$I170/12*2,IF($J170=3,$E170*$I170/12*1,0)))))+IF(BG$5&lt;&gt;$H170,0,IF(BG170&gt;0,IF($J170=1,$E170*$I170/12*0,IF($J170=2,$E170*$I170/12*1,IF($J170=3,$E170*$I170/12*2,IF($J170&gt;=4,$E170*$I170/12*3,0))))))</f>
        <v>0</v>
      </c>
      <c r="BI170" s="87">
        <f t="shared" ref="BI170:BI171" si="2625">IF($H170&lt;&gt;BL$5,0,IF(BL170&gt;0,IF(OR($J170=1,$J170=2,$J170=3,$J170=4),$E170*$I170/12*3,IF($J170=5,$E170*$I170/12*2,IF($J170=6,$E170*$I170/12*1,0)))))+IF(BG$5&lt;&gt;$H170,0,IF(BG170&gt;0,IF($J170=4,$E170*$I170/12*0,IF($J170=5,$E170*$I170/12*1,IF($J170=6,$E170*$I170/12*2,IF($J170&gt;=7,$E170*$I170/12*3,0))))))</f>
        <v>0</v>
      </c>
      <c r="BJ170" s="87">
        <f t="shared" ref="BJ170:BJ171" si="2626">IF($H170&lt;&gt;BL$5,0,IF(BL170&gt;0,IF(OR($J170=1,$J170=2,$J170=3,$J170=4,$J170=5,$J170=6,$J170=7),$E170*$I170/12*3,IF($J170=8,$E170*$I170/12*2,IF($J170=9,$E170*$I170/12*1,0)))))+IF(BG$5&lt;&gt;$H170,0,IF(BG170&gt;0,IF($J170=7,$E170*$I170/12*0,IF($J170=8,$E170*$I170/12*1,IF($J170=9,$E170*$I170/12*2,IF($J170&gt;=10,$E170*$I170/12*3,0))))))</f>
        <v>0</v>
      </c>
      <c r="BK170" s="88">
        <f t="shared" ref="BK170:BK171" si="2627">IF($H170&lt;&gt;BL$5,0,IF(BL170&gt;0,IF(OR($J170=1,$J170=2,$J170=3,$J170=4,$J170=5,$J170=6,$J170=7,$J170=8,$J170=9,$J170=10),$E170*$I170/12*3,IF($J170=11,$E170*$I170/12*2,IF($J170=12,$E170*$I170/12*1,0)))))+IF(BG$5&lt;&gt;$H170,0,IF(BG170&gt;0,IF($J170=10,$E170*$I170/12*0,IF($J170=11,$E170*$I170/12*1,IF($J170=12,$E170*$I170/12*2,0)))))</f>
        <v>0</v>
      </c>
      <c r="BL170" s="85">
        <f t="shared" ref="BL170:BL171" si="2628">IF(AND(BG170&lt;&gt;0,BG$5=$H170),$I170*$E170-BG170,IF(BL$5=$H170,$I170*$E170*(12-$J170+1)/12,0))</f>
        <v>0</v>
      </c>
      <c r="BM170" s="86">
        <f t="shared" ref="BM170:BM171" si="2629">IF($H170&lt;&gt;BQ$5,0,IF(BQ170&gt;0,IF($J170=1,$E170*$I170/12*3,IF($J170=2,$E170*$I170/12*2,IF($J170=3,$E170*$I170/12*1,0)))))+IF(BL$5&lt;&gt;$H170,0,IF(BL170&gt;0,IF($J170=1,$E170*$I170/12*0,IF($J170=2,$E170*$I170/12*1,IF($J170=3,$E170*$I170/12*2,IF($J170&gt;=4,$E170*$I170/12*3,0))))))</f>
        <v>0</v>
      </c>
      <c r="BN170" s="87">
        <f t="shared" ref="BN170:BN171" si="2630">IF($H170&lt;&gt;BQ$5,0,IF(BQ170&gt;0,IF(OR($J170=1,$J170=2,$J170=3,$J170=4),$E170*$I170/12*3,IF($J170=5,$E170*$I170/12*2,IF($J170=6,$E170*$I170/12*1,0)))))+IF(BL$5&lt;&gt;$H170,0,IF(BL170&gt;0,IF($J170=4,$E170*$I170/12*0,IF($J170=5,$E170*$I170/12*1,IF($J170=6,$E170*$I170/12*2,IF($J170&gt;=7,$E170*$I170/12*3,0))))))</f>
        <v>0</v>
      </c>
      <c r="BO170" s="87">
        <f t="shared" ref="BO170:BO171" si="2631">IF($H170&lt;&gt;BQ$5,0,IF(BQ170&gt;0,IF(OR($J170=1,$J170=2,$J170=3,$J170=4,$J170=5,$J170=6,$J170=7),$E170*$I170/12*3,IF($J170=8,$E170*$I170/12*2,IF($J170=9,$E170*$I170/12*1,0)))))+IF(BL$5&lt;&gt;$H170,0,IF(BL170&gt;0,IF($J170=7,$E170*$I170/12*0,IF($J170=8,$E170*$I170/12*1,IF($J170=9,$E170*$I170/12*2,IF($J170&gt;=10,$E170*$I170/12*3,0))))))</f>
        <v>0</v>
      </c>
      <c r="BP170" s="88">
        <f t="shared" ref="BP170:BP171" si="2632">IF($H170&lt;&gt;BQ$5,0,IF(BQ170&gt;0,IF(OR($J170=1,$J170=2,$J170=3,$J170=4,$J170=5,$J170=6,$J170=7,$J170=8,$J170=9,$J170=10),$E170*$I170/12*3,IF($J170=11,$E170*$I170/12*2,IF($J170=12,$E170*$I170/12*1,0)))))+IF(BL$5&lt;&gt;$H170,0,IF(BL170&gt;0,IF($J170=10,$E170*$I170/12*0,IF($J170=11,$E170*$I170/12*1,IF($J170=12,$E170*$I170/12*2,0)))))</f>
        <v>0</v>
      </c>
      <c r="BQ170" s="85">
        <f t="shared" ref="BQ170:BQ171" si="2633">IF(AND(BL170&lt;&gt;0,BL$5=$H170),$I170*$E170-BL170,IF(BQ$5=$H170,$I170*$E170*(12-$J170+1)/12,0))</f>
        <v>0</v>
      </c>
      <c r="BR170" s="86">
        <f t="shared" ref="BR170:BR171" si="2634">IF($H170&lt;&gt;BV$5,0,IF(BV170&gt;0,IF($J170=1,$E170*$I170/12*3,IF($J170=2,$E170*$I170/12*2,IF($J170=3,$E170*$I170/12*1,0)))))+IF(BQ$5&lt;&gt;$H170,0,IF(BQ170&gt;0,IF($J170=1,$E170*$I170/12*0,IF($J170=2,$E170*$I170/12*1,IF($J170=3,$E170*$I170/12*2,IF($J170&gt;=4,$E170*$I170/12*3,0))))))</f>
        <v>0</v>
      </c>
      <c r="BS170" s="87">
        <f t="shared" ref="BS170:BS171" si="2635">IF($H170&lt;&gt;BV$5,0,IF(BV170&gt;0,IF(OR($J170=1,$J170=2,$J170=3,$J170=4),$E170*$I170/12*3,IF($J170=5,$E170*$I170/12*2,IF($J170=6,$E170*$I170/12*1,0)))))+IF(BQ$5&lt;&gt;$H170,0,IF(BQ170&gt;0,IF($J170=4,$E170*$I170/12*0,IF($J170=5,$E170*$I170/12*1,IF($J170=6,$E170*$I170/12*2,IF($J170&gt;=7,$E170*$I170/12*3,0))))))</f>
        <v>0</v>
      </c>
      <c r="BT170" s="87">
        <f t="shared" ref="BT170:BT171" si="2636">IF($H170&lt;&gt;BV$5,0,IF(BV170&gt;0,IF(OR($J170=1,$J170=2,$J170=3,$J170=4,$J170=5,$J170=6,$J170=7),$E170*$I170/12*3,IF($J170=8,$E170*$I170/12*2,IF($J170=9,$E170*$I170/12*1,0)))))+IF(BQ$5&lt;&gt;$H170,0,IF(BQ170&gt;0,IF($J170=7,$E170*$I170/12*0,IF($J170=8,$E170*$I170/12*1,IF($J170=9,$E170*$I170/12*2,IF($J170&gt;=10,$E170*$I170/12*3,0))))))</f>
        <v>0</v>
      </c>
      <c r="BU170" s="88">
        <f t="shared" ref="BU170:BU171" si="2637">IF($H170&lt;&gt;BV$5,0,IF(BV170&gt;0,IF(OR($J170=1,$J170=2,$J170=3,$J170=4,$J170=5,$J170=6,$J170=7,$J170=8,$J170=9,$J170=10),$E170*$I170/12*3,IF($J170=11,$E170*$I170/12*2,IF($J170=12,$E170*$I170/12*1,0)))))+IF(BQ$5&lt;&gt;$H170,0,IF(BQ170&gt;0,IF($J170=10,$E170*$I170/12*0,IF($J170=11,$E170*$I170/12*1,IF($J170=12,$E170*$I170/12*2,0)))))</f>
        <v>0</v>
      </c>
      <c r="BV170" s="85">
        <f t="shared" ref="BV170:BV171" si="2638">IF(AND(BQ170&lt;&gt;0,BQ$5=$H170),$I170*$E170-BQ170,IF(BV$5=$H170,$I170*$E170*(12-$J170+1)/12,0))</f>
        <v>0</v>
      </c>
      <c r="BW170" s="86">
        <f t="shared" ref="BW170:BW171" si="2639">IF($H170&lt;&gt;CA$5,0,IF(CA170&gt;0,IF($J170=1,$E170*$I170/12*3,IF($J170=2,$E170*$I170/12*2,IF($J170=3,$E170*$I170/12*1,0)))))+IF(BV$5&lt;&gt;$H170,0,IF(BV170&gt;0,IF($J170=1,$E170*$I170/12*0,IF($J170=2,$E170*$I170/12*1,IF($J170=3,$E170*$I170/12*2,IF($J170&gt;=4,$E170*$I170/12*3,0))))))</f>
        <v>0</v>
      </c>
      <c r="BX170" s="87">
        <f t="shared" ref="BX170:BX171" si="2640">IF($H170&lt;&gt;CA$5,0,IF(CA170&gt;0,IF(OR($J170=1,$J170=2,$J170=3,$J170=4),$E170*$I170/12*3,IF($J170=5,$E170*$I170/12*2,IF($J170=6,$E170*$I170/12*1,0)))))+IF(BV$5&lt;&gt;$H170,0,IF(BV170&gt;0,IF($J170=4,$E170*$I170/12*0,IF($J170=5,$E170*$I170/12*1,IF($J170=6,$E170*$I170/12*2,IF($J170&gt;=7,$E170*$I170/12*3,0))))))</f>
        <v>0</v>
      </c>
      <c r="BY170" s="87">
        <f t="shared" ref="BY170:BY171" si="2641">IF($H170&lt;&gt;CA$5,0,IF(CA170&gt;0,IF(OR($J170=1,$J170=2,$J170=3,$J170=4,$J170=5,$J170=6,$J170=7),$E170*$I170/12*3,IF($J170=8,$E170*$I170/12*2,IF($J170=9,$E170*$I170/12*1,0)))))+IF(BV$5&lt;&gt;$H170,0,IF(BV170&gt;0,IF($J170=7,$E170*$I170/12*0,IF($J170=8,$E170*$I170/12*1,IF($J170=9,$E170*$I170/12*2,IF($J170&gt;=10,$E170*$I170/12*3,0))))))</f>
        <v>0</v>
      </c>
      <c r="BZ170" s="88">
        <f t="shared" ref="BZ170:BZ171" si="2642">IF($H170&lt;&gt;CA$5,0,IF(CA170&gt;0,IF(OR($J170=1,$J170=2,$J170=3,$J170=4,$J170=5,$J170=6,$J170=7,$J170=8,$J170=9,$J170=10),$E170*$I170/12*3,IF($J170=11,$E170*$I170/12*2,IF($J170=12,$E170*$I170/12*1,0)))))+IF(BV$5&lt;&gt;$H170,0,IF(BV170&gt;0,IF($J170=10,$E170*$I170/12*0,IF($J170=11,$E170*$I170/12*1,IF($J170=12,$E170*$I170/12*2,0)))))</f>
        <v>0</v>
      </c>
      <c r="CA170" s="85">
        <f t="shared" ref="CA170:CA171" si="2643">IF(AND(BV170&lt;&gt;0,BV$5=$H170),$I170*$E170-BV170,IF(CA$5=$H170,$I170*$E170*(12-$J170+1)/12,0))</f>
        <v>0</v>
      </c>
      <c r="CB170" s="86">
        <f t="shared" ref="CB170:CB171" si="2644">IF($H170&lt;&gt;CF$5,0,IF(CF170&gt;0,IF($J170=1,$E170*$I170/12*3,IF($J170=2,$E170*$I170/12*2,IF($J170=3,$E170*$I170/12*1,0)))))+IF(CA$5&lt;&gt;$H170,0,IF(CA170&gt;0,IF($J170=1,$E170*$I170/12*0,IF($J170=2,$E170*$I170/12*1,IF($J170=3,$E170*$I170/12*2,IF($J170&gt;=4,$E170*$I170/12*3,0))))))</f>
        <v>0</v>
      </c>
      <c r="CC170" s="87">
        <f t="shared" ref="CC170:CC171" si="2645">IF($H170&lt;&gt;CF$5,0,IF(CF170&gt;0,IF(OR($J170=1,$J170=2,$J170=3,$J170=4),$E170*$I170/12*3,IF($J170=5,$E170*$I170/12*2,IF($J170=6,$E170*$I170/12*1,0)))))+IF(CA$5&lt;&gt;$H170,0,IF(CA170&gt;0,IF($J170=4,$E170*$I170/12*0,IF($J170=5,$E170*$I170/12*1,IF($J170=6,$E170*$I170/12*2,IF($J170&gt;=7,$E170*$I170/12*3,0))))))</f>
        <v>0</v>
      </c>
      <c r="CD170" s="87">
        <f t="shared" ref="CD170:CD171" si="2646">IF($H170&lt;&gt;CF$5,0,IF(CF170&gt;0,IF(OR($J170=1,$J170=2,$J170=3,$J170=4,$J170=5,$J170=6,$J170=7),$E170*$I170/12*3,IF($J170=8,$E170*$I170/12*2,IF($J170=9,$E170*$I170/12*1,0)))))+IF(CA$5&lt;&gt;$H170,0,IF(CA170&gt;0,IF($J170=7,$E170*$I170/12*0,IF($J170=8,$E170*$I170/12*1,IF($J170=9,$E170*$I170/12*2,IF($J170&gt;=10,$E170*$I170/12*3,0))))))</f>
        <v>0</v>
      </c>
      <c r="CE170" s="88">
        <f t="shared" ref="CE170:CE171" si="2647">IF($H170&lt;&gt;CF$5,0,IF(CF170&gt;0,IF(OR($J170=1,$J170=2,$J170=3,$J170=4,$J170=5,$J170=6,$J170=7,$J170=8,$J170=9,$J170=10),$E170*$I170/12*3,IF($J170=11,$E170*$I170/12*2,IF($J170=12,$E170*$I170/12*1,0)))))+IF(CA$5&lt;&gt;$H170,0,IF(CA170&gt;0,IF($J170=10,$E170*$I170/12*0,IF($J170=11,$E170*$I170/12*1,IF($J170=12,$E170*$I170/12*2,0)))))</f>
        <v>0</v>
      </c>
      <c r="CF170" s="85">
        <f t="shared" ref="CF170:CF171" si="2648">IF(AND(CA170&lt;&gt;0,CA$5=$H170),$I170*$E170-CA170,IF(CF$5=$H170,$I170*$E170*(12-$J170+1)/12,0))</f>
        <v>0</v>
      </c>
      <c r="CG170" s="86">
        <f t="shared" ref="CG170:CG171" si="2649">IF($H170&lt;&gt;CK$5,0,IF(CK170&gt;0,IF($J170=1,$E170*$I170/12*3,IF($J170=2,$E170*$I170/12*2,IF($J170=3,$E170*$I170/12*1,0)))))+IF(CF$5&lt;&gt;$H170,0,IF(CF170&gt;0,IF($J170=1,$E170*$I170/12*0,IF($J170=2,$E170*$I170/12*1,IF($J170=3,$E170*$I170/12*2,IF($J170&gt;=4,$E170*$I170/12*3,0))))))</f>
        <v>0</v>
      </c>
      <c r="CH170" s="87">
        <f t="shared" ref="CH170:CH171" si="2650">IF($H170&lt;&gt;CK$5,0,IF(CK170&gt;0,IF(OR($J170=1,$J170=2,$J170=3,$J170=4),$E170*$I170/12*3,IF($J170=5,$E170*$I170/12*2,IF($J170=6,$E170*$I170/12*1,0)))))+IF(CF$5&lt;&gt;$H170,0,IF(CF170&gt;0,IF($J170=4,$E170*$I170/12*0,IF($J170=5,$E170*$I170/12*1,IF($J170=6,$E170*$I170/12*2,IF($J170&gt;=7,$E170*$I170/12*3,0))))))</f>
        <v>0</v>
      </c>
      <c r="CI170" s="87">
        <f t="shared" ref="CI170:CI171" si="2651">IF($H170&lt;&gt;CK$5,0,IF(CK170&gt;0,IF(OR($J170=1,$J170=2,$J170=3,$J170=4,$J170=5,$J170=6,$J170=7),$E170*$I170/12*3,IF($J170=8,$E170*$I170/12*2,IF($J170=9,$E170*$I170/12*1,0)))))+IF(CF$5&lt;&gt;$H170,0,IF(CF170&gt;0,IF($J170=7,$E170*$I170/12*0,IF($J170=8,$E170*$I170/12*1,IF($J170=9,$E170*$I170/12*2,IF($J170&gt;=10,$E170*$I170/12*3,0))))))</f>
        <v>0</v>
      </c>
      <c r="CJ170" s="88">
        <f t="shared" ref="CJ170:CJ171" si="2652">IF($H170&lt;&gt;CK$5,0,IF(CK170&gt;0,IF(OR($J170=1,$J170=2,$J170=3,$J170=4,$J170=5,$J170=6,$J170=7,$J170=8,$J170=9,$J170=10),$E170*$I170/12*3,IF($J170=11,$E170*$I170/12*2,IF($J170=12,$E170*$I170/12*1,0)))))+IF(CF$5&lt;&gt;$H170,0,IF(CF170&gt;0,IF($J170=10,$E170*$I170/12*0,IF($J170=11,$E170*$I170/12*1,IF($J170=12,$E170*$I170/12*2,0)))))</f>
        <v>0</v>
      </c>
      <c r="CK170" s="85">
        <f t="shared" ref="CK170:CK171" si="2653">IF(AND(CF170&lt;&gt;0,CF$5=$H170),$I170*$E170-CF170,IF(CK$5=$H170,$I170*$E170*(12-$J170+1)/12,0))</f>
        <v>0</v>
      </c>
      <c r="CL170" s="86">
        <f t="shared" ref="CL170:CL171" si="2654">IF($H170&lt;&gt;CP$5,0,IF(CP170&gt;0,IF($J170=1,$E170*$I170/12*3,IF($J170=2,$E170*$I170/12*2,IF($J170=3,$E170*$I170/12*1,0)))))+IF(CK$5&lt;&gt;$H170,0,IF(CK170&gt;0,IF($J170=1,$E170*$I170/12*0,IF($J170=2,$E170*$I170/12*1,IF($J170=3,$E170*$I170/12*2,IF($J170&gt;=4,$E170*$I170/12*3,0))))))</f>
        <v>0</v>
      </c>
      <c r="CM170" s="87">
        <f t="shared" ref="CM170:CM171" si="2655">IF($H170&lt;&gt;CP$5,0,IF(CP170&gt;0,IF(OR($J170=1,$J170=2,$J170=3,$J170=4),$E170*$I170/12*3,IF($J170=5,$E170*$I170/12*2,IF($J170=6,$E170*$I170/12*1,0)))))+IF(CK$5&lt;&gt;$H170,0,IF(CK170&gt;0,IF($J170=4,$E170*$I170/12*0,IF($J170=5,$E170*$I170/12*1,IF($J170=6,$E170*$I170/12*2,IF($J170&gt;=7,$E170*$I170/12*3,0))))))</f>
        <v>0</v>
      </c>
      <c r="CN170" s="87">
        <f t="shared" ref="CN170:CN171" si="2656">IF($H170&lt;&gt;CP$5,0,IF(CP170&gt;0,IF(OR($J170=1,$J170=2,$J170=3,$J170=4,$J170=5,$J170=6,$J170=7),$E170*$I170/12*3,IF($J170=8,$E170*$I170/12*2,IF($J170=9,$E170*$I170/12*1,0)))))+IF(CK$5&lt;&gt;$H170,0,IF(CK170&gt;0,IF($J170=7,$E170*$I170/12*0,IF($J170=8,$E170*$I170/12*1,IF($J170=9,$E170*$I170/12*2,IF($J170&gt;=10,$E170*$I170/12*3,0))))))</f>
        <v>5.3125</v>
      </c>
      <c r="CO170" s="88">
        <f t="shared" ref="CO170:CO171" si="2657">IF($H170&lt;&gt;CP$5,0,IF(CP170&gt;0,IF(OR($J170=1,$J170=2,$J170=3,$J170=4,$J170=5,$J170=6,$J170=7,$J170=8,$J170=9,$J170=10),$E170*$I170/12*3,IF($J170=11,$E170*$I170/12*2,IF($J170=12,$E170*$I170/12*1,0)))))+IF(CK$5&lt;&gt;$H170,0,IF(CK170&gt;0,IF($J170=10,$E170*$I170/12*0,IF($J170=11,$E170*$I170/12*1,IF($J170=12,$E170*$I170/12*2,0)))))</f>
        <v>5.3125</v>
      </c>
      <c r="CP170" s="85">
        <f t="shared" ref="CP170:CP171" si="2658">IF(AND(CK170&lt;&gt;0,CK$5=$H170),$I170*$E170-CK170,IF(CP$5=$H170,$I170*$E170*(12-$J170+1)/12,0))</f>
        <v>10.625</v>
      </c>
      <c r="CQ170" s="86">
        <f t="shared" ref="CQ170:CQ171" si="2659">IF($H170&lt;&gt;CU$5,0,IF(CU170&gt;0,IF($J170=1,$E170*$I170/12*3,IF($J170=2,$E170*$I170/12*2,IF($J170=3,$E170*$I170/12*1,0)))))+IF(CP$5&lt;&gt;$H170,0,IF(CP170&gt;0,IF($J170=1,$E170*$I170/12*0,IF($J170=2,$E170*$I170/12*1,IF($J170=3,$E170*$I170/12*2,IF($J170&gt;=4,$E170*$I170/12*3,0))))))</f>
        <v>5.3125</v>
      </c>
      <c r="CR170" s="87">
        <f t="shared" ref="CR170:CR171" si="2660">IF($H170&lt;&gt;CU$5,0,IF(CU170&gt;0,IF(OR($J170=1,$J170=2,$J170=3,$J170=4),$E170*$I170/12*3,IF($J170=5,$E170*$I170/12*2,IF($J170=6,$E170*$I170/12*1,0)))))+IF(CP$5&lt;&gt;$H170,0,IF(CP170&gt;0,IF($J170=4,$E170*$I170/12*0,IF($J170=5,$E170*$I170/12*1,IF($J170=6,$E170*$I170/12*2,IF($J170&gt;=7,$E170*$I170/12*3,0))))))</f>
        <v>5.3125</v>
      </c>
      <c r="CS170" s="87">
        <f t="shared" ref="CS170:CS171" si="2661">IF($H170&lt;&gt;CU$5,0,IF(CU170&gt;0,IF(OR($J170=1,$J170=2,$J170=3,$J170=4,$J170=5,$J170=6,$J170=7),$E170*$I170/12*3,IF($J170=8,$E170*$I170/12*2,IF($J170=9,$E170*$I170/12*1,0)))))+IF(CP$5&lt;&gt;$H170,0,IF(CP170&gt;0,IF($J170=7,$E170*$I170/12*0,IF($J170=8,$E170*$I170/12*1,IF($J170=9,$E170*$I170/12*2,IF($J170&gt;=10,$E170*$I170/12*3,0))))))</f>
        <v>0</v>
      </c>
      <c r="CT170" s="88">
        <f t="shared" ref="CT170:CT171" si="2662">IF($H170&lt;&gt;CU$5,0,IF(CU170&gt;0,IF(OR($J170=1,$J170=2,$J170=3,$J170=4,$J170=5,$J170=6,$J170=7,$J170=8,$J170=9,$J170=10),$E170*$I170/12*3,IF($J170=11,$E170*$I170/12*2,IF($J170=12,$E170*$I170/12*1,0)))))+IF(CP$5&lt;&gt;$H170,0,IF(CP170&gt;0,IF($J170=10,$E170*$I170/12*0,IF($J170=11,$E170*$I170/12*1,IF($J170=12,$E170*$I170/12*2,0)))))</f>
        <v>0</v>
      </c>
      <c r="CU170" s="85">
        <f t="shared" ref="CU170:CU171" si="2663">IF(AND(CP170&lt;&gt;0,CP$5=$H170),$I170*$E170-CP170,IF(CU$5=$H170,$I170*$E170*(12-$J170+1)/12,0))</f>
        <v>10.625</v>
      </c>
      <c r="CV170" s="86">
        <f t="shared" si="2586"/>
        <v>0</v>
      </c>
      <c r="CW170" s="87">
        <f t="shared" si="2587"/>
        <v>0</v>
      </c>
      <c r="CX170" s="87">
        <f t="shared" si="2588"/>
        <v>0</v>
      </c>
      <c r="CY170" s="88">
        <f t="shared" si="2589"/>
        <v>0</v>
      </c>
      <c r="CZ170" s="85">
        <f t="shared" si="2590"/>
        <v>0</v>
      </c>
    </row>
    <row r="171" spans="1:104" ht="12.75" customHeight="1">
      <c r="A171" s="4"/>
      <c r="B171" s="4"/>
      <c r="C171" s="1999" t="s">
        <v>1372</v>
      </c>
      <c r="D171" s="146"/>
      <c r="E171" s="147">
        <f>+ComEd!BL151</f>
        <v>1000</v>
      </c>
      <c r="F171" s="326"/>
      <c r="G171" s="326"/>
      <c r="H171" s="171">
        <v>2020</v>
      </c>
      <c r="I171" s="172">
        <v>0.05</v>
      </c>
      <c r="J171" s="171">
        <v>7</v>
      </c>
      <c r="K171" s="80"/>
      <c r="L171" s="81">
        <f t="shared" si="2497"/>
        <v>0</v>
      </c>
      <c r="M171" s="82">
        <f t="shared" si="2591"/>
        <v>0</v>
      </c>
      <c r="N171" s="83">
        <f t="shared" si="2592"/>
        <v>0</v>
      </c>
      <c r="O171" s="83">
        <f t="shared" si="2593"/>
        <v>0</v>
      </c>
      <c r="P171" s="84">
        <f t="shared" si="2594"/>
        <v>0</v>
      </c>
      <c r="Q171" s="81">
        <f t="shared" si="2498"/>
        <v>0</v>
      </c>
      <c r="R171" s="82">
        <f t="shared" si="2595"/>
        <v>0</v>
      </c>
      <c r="S171" s="83">
        <f t="shared" si="2596"/>
        <v>0</v>
      </c>
      <c r="T171" s="83">
        <f t="shared" si="2597"/>
        <v>0</v>
      </c>
      <c r="U171" s="84">
        <f t="shared" si="2598"/>
        <v>0</v>
      </c>
      <c r="V171" s="81">
        <f t="shared" si="2499"/>
        <v>0</v>
      </c>
      <c r="W171" s="82">
        <f t="shared" si="2599"/>
        <v>0</v>
      </c>
      <c r="X171" s="83">
        <f t="shared" si="2600"/>
        <v>0</v>
      </c>
      <c r="Y171" s="83">
        <f t="shared" si="2601"/>
        <v>0</v>
      </c>
      <c r="Z171" s="84">
        <f t="shared" si="2602"/>
        <v>0</v>
      </c>
      <c r="AA171" s="81">
        <f t="shared" si="2500"/>
        <v>0</v>
      </c>
      <c r="AB171" s="82">
        <f t="shared" si="2603"/>
        <v>0</v>
      </c>
      <c r="AC171" s="83">
        <f t="shared" si="2604"/>
        <v>0</v>
      </c>
      <c r="AD171" s="83">
        <f t="shared" si="2605"/>
        <v>0</v>
      </c>
      <c r="AE171" s="84">
        <f t="shared" si="2606"/>
        <v>0</v>
      </c>
      <c r="AF171" s="81">
        <f t="shared" si="2501"/>
        <v>0</v>
      </c>
      <c r="AG171" s="82">
        <f t="shared" si="2607"/>
        <v>0</v>
      </c>
      <c r="AH171" s="83">
        <f t="shared" si="2608"/>
        <v>0</v>
      </c>
      <c r="AI171" s="83">
        <f t="shared" si="2609"/>
        <v>0</v>
      </c>
      <c r="AJ171" s="84">
        <f t="shared" si="2610"/>
        <v>0</v>
      </c>
      <c r="AK171" s="81">
        <f t="shared" si="2502"/>
        <v>0</v>
      </c>
      <c r="AL171" s="82">
        <f t="shared" si="2611"/>
        <v>0</v>
      </c>
      <c r="AM171" s="83">
        <f t="shared" si="2612"/>
        <v>0</v>
      </c>
      <c r="AN171" s="83">
        <f t="shared" si="2613"/>
        <v>0</v>
      </c>
      <c r="AO171" s="84">
        <f t="shared" si="2614"/>
        <v>0</v>
      </c>
      <c r="AP171" s="81">
        <f t="shared" si="2503"/>
        <v>0</v>
      </c>
      <c r="AQ171" s="82">
        <f t="shared" si="2615"/>
        <v>0</v>
      </c>
      <c r="AR171" s="83">
        <f t="shared" si="2616"/>
        <v>0</v>
      </c>
      <c r="AS171" s="83">
        <f t="shared" si="2617"/>
        <v>0</v>
      </c>
      <c r="AT171" s="84">
        <f t="shared" si="2618"/>
        <v>0</v>
      </c>
      <c r="AU171" s="81">
        <f t="shared" si="2504"/>
        <v>0</v>
      </c>
      <c r="AV171" s="82">
        <f t="shared" si="2619"/>
        <v>0</v>
      </c>
      <c r="AW171" s="83">
        <f t="shared" si="2620"/>
        <v>0</v>
      </c>
      <c r="AX171" s="83">
        <f t="shared" si="2621"/>
        <v>1000</v>
      </c>
      <c r="AY171" s="84">
        <f t="shared" si="2622"/>
        <v>0</v>
      </c>
      <c r="AZ171" s="81">
        <f t="shared" si="2505"/>
        <v>1000</v>
      </c>
      <c r="BA171" s="82">
        <f t="shared" si="2541"/>
        <v>0</v>
      </c>
      <c r="BB171" s="83">
        <f t="shared" si="2542"/>
        <v>0</v>
      </c>
      <c r="BC171" s="83">
        <f t="shared" si="2543"/>
        <v>0</v>
      </c>
      <c r="BD171" s="84">
        <f t="shared" si="2544"/>
        <v>0</v>
      </c>
      <c r="BE171" s="81">
        <f t="shared" si="2506"/>
        <v>0</v>
      </c>
      <c r="BF171" s="1884"/>
      <c r="BG171" s="2005">
        <f t="shared" si="2623"/>
        <v>0</v>
      </c>
      <c r="BH171" s="86">
        <f t="shared" si="2624"/>
        <v>0</v>
      </c>
      <c r="BI171" s="87">
        <f t="shared" si="2625"/>
        <v>0</v>
      </c>
      <c r="BJ171" s="87">
        <f t="shared" si="2626"/>
        <v>0</v>
      </c>
      <c r="BK171" s="88">
        <f t="shared" si="2627"/>
        <v>0</v>
      </c>
      <c r="BL171" s="85">
        <f t="shared" si="2628"/>
        <v>0</v>
      </c>
      <c r="BM171" s="86">
        <f t="shared" si="2629"/>
        <v>0</v>
      </c>
      <c r="BN171" s="87">
        <f t="shared" si="2630"/>
        <v>0</v>
      </c>
      <c r="BO171" s="87">
        <f t="shared" si="2631"/>
        <v>0</v>
      </c>
      <c r="BP171" s="88">
        <f t="shared" si="2632"/>
        <v>0</v>
      </c>
      <c r="BQ171" s="85">
        <f t="shared" si="2633"/>
        <v>0</v>
      </c>
      <c r="BR171" s="86">
        <f t="shared" si="2634"/>
        <v>0</v>
      </c>
      <c r="BS171" s="87">
        <f t="shared" si="2635"/>
        <v>0</v>
      </c>
      <c r="BT171" s="87">
        <f t="shared" si="2636"/>
        <v>0</v>
      </c>
      <c r="BU171" s="88">
        <f t="shared" si="2637"/>
        <v>0</v>
      </c>
      <c r="BV171" s="85">
        <f t="shared" si="2638"/>
        <v>0</v>
      </c>
      <c r="BW171" s="86">
        <f t="shared" si="2639"/>
        <v>0</v>
      </c>
      <c r="BX171" s="87">
        <f t="shared" si="2640"/>
        <v>0</v>
      </c>
      <c r="BY171" s="87">
        <f t="shared" si="2641"/>
        <v>0</v>
      </c>
      <c r="BZ171" s="88">
        <f t="shared" si="2642"/>
        <v>0</v>
      </c>
      <c r="CA171" s="85">
        <f t="shared" si="2643"/>
        <v>0</v>
      </c>
      <c r="CB171" s="86">
        <f t="shared" si="2644"/>
        <v>0</v>
      </c>
      <c r="CC171" s="87">
        <f t="shared" si="2645"/>
        <v>0</v>
      </c>
      <c r="CD171" s="87">
        <f t="shared" si="2646"/>
        <v>0</v>
      </c>
      <c r="CE171" s="88">
        <f t="shared" si="2647"/>
        <v>0</v>
      </c>
      <c r="CF171" s="85">
        <f t="shared" si="2648"/>
        <v>0</v>
      </c>
      <c r="CG171" s="86">
        <f t="shared" si="2649"/>
        <v>0</v>
      </c>
      <c r="CH171" s="87">
        <f t="shared" si="2650"/>
        <v>0</v>
      </c>
      <c r="CI171" s="87">
        <f t="shared" si="2651"/>
        <v>0</v>
      </c>
      <c r="CJ171" s="88">
        <f t="shared" si="2652"/>
        <v>0</v>
      </c>
      <c r="CK171" s="85">
        <f t="shared" si="2653"/>
        <v>0</v>
      </c>
      <c r="CL171" s="86">
        <f t="shared" si="2654"/>
        <v>0</v>
      </c>
      <c r="CM171" s="87">
        <f t="shared" si="2655"/>
        <v>0</v>
      </c>
      <c r="CN171" s="87">
        <f t="shared" si="2656"/>
        <v>0</v>
      </c>
      <c r="CO171" s="88">
        <f t="shared" si="2657"/>
        <v>0</v>
      </c>
      <c r="CP171" s="85">
        <f t="shared" si="2658"/>
        <v>0</v>
      </c>
      <c r="CQ171" s="86">
        <f t="shared" si="2659"/>
        <v>0</v>
      </c>
      <c r="CR171" s="87">
        <f t="shared" si="2660"/>
        <v>0</v>
      </c>
      <c r="CS171" s="87">
        <f t="shared" si="2661"/>
        <v>12.5</v>
      </c>
      <c r="CT171" s="88">
        <f t="shared" si="2662"/>
        <v>12.5</v>
      </c>
      <c r="CU171" s="85">
        <f t="shared" si="2663"/>
        <v>25</v>
      </c>
      <c r="CV171" s="86">
        <f t="shared" si="2586"/>
        <v>12.5</v>
      </c>
      <c r="CW171" s="87">
        <f t="shared" si="2587"/>
        <v>12.5</v>
      </c>
      <c r="CX171" s="87">
        <f t="shared" si="2588"/>
        <v>0</v>
      </c>
      <c r="CY171" s="88">
        <f t="shared" si="2589"/>
        <v>0</v>
      </c>
      <c r="CZ171" s="85">
        <f t="shared" si="2590"/>
        <v>25</v>
      </c>
    </row>
    <row r="172" spans="1:104" ht="12.75" customHeight="1">
      <c r="A172" s="4"/>
      <c r="B172" s="4"/>
      <c r="C172" s="1999" t="s">
        <v>1521</v>
      </c>
      <c r="D172" s="146"/>
      <c r="E172" s="147">
        <f>+ComEd!BQ151</f>
        <v>750</v>
      </c>
      <c r="F172" s="326"/>
      <c r="G172" s="326"/>
      <c r="H172" s="171">
        <v>2021</v>
      </c>
      <c r="I172" s="172">
        <v>0.05</v>
      </c>
      <c r="J172" s="171">
        <v>7</v>
      </c>
      <c r="K172" s="80"/>
      <c r="L172" s="81">
        <f t="shared" si="2497"/>
        <v>0</v>
      </c>
      <c r="M172" s="82">
        <f t="shared" ref="M172" si="2664">IF(Q172=0,0,IF(Q172&gt;0,IF($J172=3,Q172,IF($J172=2,Q172,IF($J172=1,Q172,0)))))</f>
        <v>0</v>
      </c>
      <c r="N172" s="83">
        <f t="shared" ref="N172" si="2665">IF(Q172=0,0,IF(Q172&gt;0,IF($J172=6,Q172,IF($J172=5,Q172,IF($J172=4,Q172,0)))))</f>
        <v>0</v>
      </c>
      <c r="O172" s="83">
        <f t="shared" ref="O172" si="2666">IF(Q172=0,0,IF(Q172&gt;0,IF($J172=9,Q172,IF($J172=8,Q172,IF($J172=7,Q172,0)))))</f>
        <v>0</v>
      </c>
      <c r="P172" s="84">
        <f t="shared" ref="P172" si="2667">IF(Q172=0,0,IF(Q172&gt;0,IF($J172=12,Q172,IF($J172=11,Q172,IF($J172=10,Q172,0)))))</f>
        <v>0</v>
      </c>
      <c r="Q172" s="81">
        <f t="shared" si="2498"/>
        <v>0</v>
      </c>
      <c r="R172" s="82">
        <f t="shared" ref="R172" si="2668">IF(V172=0,0,IF(V172&gt;0,IF($J172=3,V172,IF($J172=2,V172,IF($J172=1,V172,0)))))</f>
        <v>0</v>
      </c>
      <c r="S172" s="83">
        <f t="shared" ref="S172" si="2669">IF(V172=0,0,IF(V172&gt;0,IF($J172=6,V172,IF($J172=5,V172,IF($J172=4,V172,0)))))</f>
        <v>0</v>
      </c>
      <c r="T172" s="83">
        <f t="shared" ref="T172" si="2670">IF(V172=0,0,IF(V172&gt;0,IF($J172=9,V172,IF($J172=8,V172,IF($J172=7,V172,0)))))</f>
        <v>0</v>
      </c>
      <c r="U172" s="84">
        <f t="shared" ref="U172" si="2671">IF(V172=0,0,IF(V172&gt;0,IF($J172=12,V172,IF($J172=11,V172,IF($J172=10,V172,0)))))</f>
        <v>0</v>
      </c>
      <c r="V172" s="81">
        <f t="shared" si="2499"/>
        <v>0</v>
      </c>
      <c r="W172" s="82">
        <f t="shared" ref="W172" si="2672">IF(AA172=0,0,IF(AA172&gt;0,IF($J172=3,AA172,IF($J172=2,AA172,IF($J172=1,AA172,0)))))</f>
        <v>0</v>
      </c>
      <c r="X172" s="83">
        <f t="shared" ref="X172" si="2673">IF(AA172=0,0,IF(AA172&gt;0,IF($J172=6,AA172,IF($J172=5,AA172,IF($J172=4,AA172,0)))))</f>
        <v>0</v>
      </c>
      <c r="Y172" s="83">
        <f t="shared" ref="Y172" si="2674">IF(AA172=0,0,IF(AA172&gt;0,IF($J172=9,AA172,IF($J172=8,AA172,IF($J172=7,AA172,0)))))</f>
        <v>0</v>
      </c>
      <c r="Z172" s="84">
        <f t="shared" ref="Z172" si="2675">IF(AA172=0,0,IF(AA172&gt;0,IF($J172=12,AA172,IF($J172=11,AA172,IF($J172=10,AA172,0)))))</f>
        <v>0</v>
      </c>
      <c r="AA172" s="81">
        <f t="shared" si="2500"/>
        <v>0</v>
      </c>
      <c r="AB172" s="82">
        <f t="shared" ref="AB172" si="2676">IF(AF172=0,0,IF(AF172&gt;0,IF($J172=3,AF172,IF($J172=2,AF172,IF($J172=1,AF172,0)))))</f>
        <v>0</v>
      </c>
      <c r="AC172" s="83">
        <f t="shared" ref="AC172" si="2677">IF(AF172=0,0,IF(AF172&gt;0,IF($J172=6,AF172,IF($J172=5,AF172,IF($J172=4,AF172,0)))))</f>
        <v>0</v>
      </c>
      <c r="AD172" s="83">
        <f t="shared" ref="AD172" si="2678">IF(AF172=0,0,IF(AF172&gt;0,IF($J172=9,AF172,IF($J172=8,AF172,IF($J172=7,AF172,0)))))</f>
        <v>0</v>
      </c>
      <c r="AE172" s="84">
        <f t="shared" ref="AE172" si="2679">IF(AF172=0,0,IF(AF172&gt;0,IF($J172=12,AF172,IF($J172=11,AF172,IF($J172=10,AF172,0)))))</f>
        <v>0</v>
      </c>
      <c r="AF172" s="81">
        <f t="shared" si="2501"/>
        <v>0</v>
      </c>
      <c r="AG172" s="82">
        <f t="shared" ref="AG172" si="2680">IF(AK172=0,0,IF(AK172&gt;0,IF($J172=3,AK172,IF($J172=2,AK172,IF($J172=1,AK172,0)))))</f>
        <v>0</v>
      </c>
      <c r="AH172" s="83">
        <f t="shared" ref="AH172" si="2681">IF(AK172=0,0,IF(AK172&gt;0,IF($J172=6,AK172,IF($J172=5,AK172,IF($J172=4,AK172,0)))))</f>
        <v>0</v>
      </c>
      <c r="AI172" s="83">
        <f t="shared" ref="AI172" si="2682">IF(AK172=0,0,IF(AK172&gt;0,IF($J172=9,AK172,IF($J172=8,AK172,IF($J172=7,AK172,0)))))</f>
        <v>0</v>
      </c>
      <c r="AJ172" s="84">
        <f t="shared" ref="AJ172" si="2683">IF(AK172=0,0,IF(AK172&gt;0,IF($J172=12,AK172,IF($J172=11,AK172,IF($J172=10,AK172,0)))))</f>
        <v>0</v>
      </c>
      <c r="AK172" s="81">
        <f t="shared" si="2502"/>
        <v>0</v>
      </c>
      <c r="AL172" s="82">
        <f t="shared" ref="AL172" si="2684">IF(AP172=0,0,IF(AP172&gt;0,IF($J172=3,AP172,IF($J172=2,AP172,IF($J172=1,AP172,0)))))</f>
        <v>0</v>
      </c>
      <c r="AM172" s="83">
        <f t="shared" ref="AM172" si="2685">IF(AP172=0,0,IF(AP172&gt;0,IF($J172=6,AP172,IF($J172=5,AP172,IF($J172=4,AP172,0)))))</f>
        <v>0</v>
      </c>
      <c r="AN172" s="83">
        <f t="shared" ref="AN172" si="2686">IF(AP172=0,0,IF(AP172&gt;0,IF($J172=9,AP172,IF($J172=8,AP172,IF($J172=7,AP172,0)))))</f>
        <v>0</v>
      </c>
      <c r="AO172" s="84">
        <f t="shared" ref="AO172" si="2687">IF(AP172=0,0,IF(AP172&gt;0,IF($J172=12,AP172,IF($J172=11,AP172,IF($J172=10,AP172,0)))))</f>
        <v>0</v>
      </c>
      <c r="AP172" s="81">
        <f t="shared" si="2503"/>
        <v>0</v>
      </c>
      <c r="AQ172" s="82">
        <f t="shared" ref="AQ172" si="2688">IF(AU172=0,0,IF(AU172&gt;0,IF($J172=3,AU172,IF($J172=2,AU172,IF($J172=1,AU172,0)))))</f>
        <v>0</v>
      </c>
      <c r="AR172" s="83">
        <f t="shared" ref="AR172" si="2689">IF(AU172=0,0,IF(AU172&gt;0,IF($J172=6,AU172,IF($J172=5,AU172,IF($J172=4,AU172,0)))))</f>
        <v>0</v>
      </c>
      <c r="AS172" s="83">
        <f t="shared" ref="AS172" si="2690">IF(AU172=0,0,IF(AU172&gt;0,IF($J172=9,AU172,IF($J172=8,AU172,IF($J172=7,AU172,0)))))</f>
        <v>0</v>
      </c>
      <c r="AT172" s="84">
        <f t="shared" ref="AT172" si="2691">IF(AU172=0,0,IF(AU172&gt;0,IF($J172=12,AU172,IF($J172=11,AU172,IF($J172=10,AU172,0)))))</f>
        <v>0</v>
      </c>
      <c r="AU172" s="81">
        <f t="shared" si="2504"/>
        <v>0</v>
      </c>
      <c r="AV172" s="82">
        <f t="shared" ref="AV172" si="2692">IF(AZ172=0,0,IF(AZ172&gt;0,IF($J172=3,AZ172,IF($J172=2,AZ172,IF($J172=1,AZ172,0)))))</f>
        <v>0</v>
      </c>
      <c r="AW172" s="83">
        <f t="shared" ref="AW172" si="2693">IF(AZ172=0,0,IF(AZ172&gt;0,IF($J172=6,AZ172,IF($J172=5,AZ172,IF($J172=4,AZ172,0)))))</f>
        <v>0</v>
      </c>
      <c r="AX172" s="83">
        <f t="shared" ref="AX172" si="2694">IF(AZ172=0,0,IF(AZ172&gt;0,IF($J172=9,AZ172,IF($J172=8,AZ172,IF($J172=7,AZ172,0)))))</f>
        <v>0</v>
      </c>
      <c r="AY172" s="84">
        <f t="shared" ref="AY172" si="2695">IF(AZ172=0,0,IF(AZ172&gt;0,IF($J172=12,AZ172,IF($J172=11,AZ172,IF($J172=10,AZ172,0)))))</f>
        <v>0</v>
      </c>
      <c r="AZ172" s="81">
        <f t="shared" si="2505"/>
        <v>0</v>
      </c>
      <c r="BA172" s="82">
        <f t="shared" si="2541"/>
        <v>0</v>
      </c>
      <c r="BB172" s="83">
        <f t="shared" si="2542"/>
        <v>0</v>
      </c>
      <c r="BC172" s="83">
        <f t="shared" si="2543"/>
        <v>750</v>
      </c>
      <c r="BD172" s="84">
        <f t="shared" si="2544"/>
        <v>0</v>
      </c>
      <c r="BE172" s="81">
        <f t="shared" si="2506"/>
        <v>750</v>
      </c>
      <c r="BF172" s="1884"/>
      <c r="BG172" s="2005">
        <f t="shared" ref="BG172" si="2696">IF(AND(BF172&lt;&gt;0,BF$5=$H172),$I172*$E172-BF172,IF(BG$5=$H172,$I172*$E172*(12-$J172+1)/12,0))</f>
        <v>0</v>
      </c>
      <c r="BH172" s="86">
        <f t="shared" ref="BH172" si="2697">IF($H172&lt;&gt;BL$5,0,IF(BL172&gt;0,IF($J172=1,$E172*$I172/12*3,IF($J172=2,$E172*$I172/12*2,IF($J172=3,$E172*$I172/12*1,0)))))+IF(BG$5&lt;&gt;$H172,0,IF(BG172&gt;0,IF($J172=1,$E172*$I172/12*0,IF($J172=2,$E172*$I172/12*1,IF($J172=3,$E172*$I172/12*2,IF($J172&gt;=4,$E172*$I172/12*3,0))))))</f>
        <v>0</v>
      </c>
      <c r="BI172" s="87">
        <f t="shared" ref="BI172" si="2698">IF($H172&lt;&gt;BL$5,0,IF(BL172&gt;0,IF(OR($J172=1,$J172=2,$J172=3,$J172=4),$E172*$I172/12*3,IF($J172=5,$E172*$I172/12*2,IF($J172=6,$E172*$I172/12*1,0)))))+IF(BG$5&lt;&gt;$H172,0,IF(BG172&gt;0,IF($J172=4,$E172*$I172/12*0,IF($J172=5,$E172*$I172/12*1,IF($J172=6,$E172*$I172/12*2,IF($J172&gt;=7,$E172*$I172/12*3,0))))))</f>
        <v>0</v>
      </c>
      <c r="BJ172" s="87">
        <f t="shared" ref="BJ172" si="2699">IF($H172&lt;&gt;BL$5,0,IF(BL172&gt;0,IF(OR($J172=1,$J172=2,$J172=3,$J172=4,$J172=5,$J172=6,$J172=7),$E172*$I172/12*3,IF($J172=8,$E172*$I172/12*2,IF($J172=9,$E172*$I172/12*1,0)))))+IF(BG$5&lt;&gt;$H172,0,IF(BG172&gt;0,IF($J172=7,$E172*$I172/12*0,IF($J172=8,$E172*$I172/12*1,IF($J172=9,$E172*$I172/12*2,IF($J172&gt;=10,$E172*$I172/12*3,0))))))</f>
        <v>0</v>
      </c>
      <c r="BK172" s="88">
        <f t="shared" ref="BK172" si="2700">IF($H172&lt;&gt;BL$5,0,IF(BL172&gt;0,IF(OR($J172=1,$J172=2,$J172=3,$J172=4,$J172=5,$J172=6,$J172=7,$J172=8,$J172=9,$J172=10),$E172*$I172/12*3,IF($J172=11,$E172*$I172/12*2,IF($J172=12,$E172*$I172/12*1,0)))))+IF(BG$5&lt;&gt;$H172,0,IF(BG172&gt;0,IF($J172=10,$E172*$I172/12*0,IF($J172=11,$E172*$I172/12*1,IF($J172=12,$E172*$I172/12*2,0)))))</f>
        <v>0</v>
      </c>
      <c r="BL172" s="85">
        <f t="shared" ref="BL172" si="2701">IF(AND(BG172&lt;&gt;0,BG$5=$H172),$I172*$E172-BG172,IF(BL$5=$H172,$I172*$E172*(12-$J172+1)/12,0))</f>
        <v>0</v>
      </c>
      <c r="BM172" s="86">
        <f t="shared" ref="BM172" si="2702">IF($H172&lt;&gt;BQ$5,0,IF(BQ172&gt;0,IF($J172=1,$E172*$I172/12*3,IF($J172=2,$E172*$I172/12*2,IF($J172=3,$E172*$I172/12*1,0)))))+IF(BL$5&lt;&gt;$H172,0,IF(BL172&gt;0,IF($J172=1,$E172*$I172/12*0,IF($J172=2,$E172*$I172/12*1,IF($J172=3,$E172*$I172/12*2,IF($J172&gt;=4,$E172*$I172/12*3,0))))))</f>
        <v>0</v>
      </c>
      <c r="BN172" s="87">
        <f t="shared" ref="BN172" si="2703">IF($H172&lt;&gt;BQ$5,0,IF(BQ172&gt;0,IF(OR($J172=1,$J172=2,$J172=3,$J172=4),$E172*$I172/12*3,IF($J172=5,$E172*$I172/12*2,IF($J172=6,$E172*$I172/12*1,0)))))+IF(BL$5&lt;&gt;$H172,0,IF(BL172&gt;0,IF($J172=4,$E172*$I172/12*0,IF($J172=5,$E172*$I172/12*1,IF($J172=6,$E172*$I172/12*2,IF($J172&gt;=7,$E172*$I172/12*3,0))))))</f>
        <v>0</v>
      </c>
      <c r="BO172" s="87">
        <f t="shared" ref="BO172" si="2704">IF($H172&lt;&gt;BQ$5,0,IF(BQ172&gt;0,IF(OR($J172=1,$J172=2,$J172=3,$J172=4,$J172=5,$J172=6,$J172=7),$E172*$I172/12*3,IF($J172=8,$E172*$I172/12*2,IF($J172=9,$E172*$I172/12*1,0)))))+IF(BL$5&lt;&gt;$H172,0,IF(BL172&gt;0,IF($J172=7,$E172*$I172/12*0,IF($J172=8,$E172*$I172/12*1,IF($J172=9,$E172*$I172/12*2,IF($J172&gt;=10,$E172*$I172/12*3,0))))))</f>
        <v>0</v>
      </c>
      <c r="BP172" s="88">
        <f t="shared" ref="BP172" si="2705">IF($H172&lt;&gt;BQ$5,0,IF(BQ172&gt;0,IF(OR($J172=1,$J172=2,$J172=3,$J172=4,$J172=5,$J172=6,$J172=7,$J172=8,$J172=9,$J172=10),$E172*$I172/12*3,IF($J172=11,$E172*$I172/12*2,IF($J172=12,$E172*$I172/12*1,0)))))+IF(BL$5&lt;&gt;$H172,0,IF(BL172&gt;0,IF($J172=10,$E172*$I172/12*0,IF($J172=11,$E172*$I172/12*1,IF($J172=12,$E172*$I172/12*2,0)))))</f>
        <v>0</v>
      </c>
      <c r="BQ172" s="85">
        <f t="shared" ref="BQ172" si="2706">IF(AND(BL172&lt;&gt;0,BL$5=$H172),$I172*$E172-BL172,IF(BQ$5=$H172,$I172*$E172*(12-$J172+1)/12,0))</f>
        <v>0</v>
      </c>
      <c r="BR172" s="86">
        <f t="shared" ref="BR172" si="2707">IF($H172&lt;&gt;BV$5,0,IF(BV172&gt;0,IF($J172=1,$E172*$I172/12*3,IF($J172=2,$E172*$I172/12*2,IF($J172=3,$E172*$I172/12*1,0)))))+IF(BQ$5&lt;&gt;$H172,0,IF(BQ172&gt;0,IF($J172=1,$E172*$I172/12*0,IF($J172=2,$E172*$I172/12*1,IF($J172=3,$E172*$I172/12*2,IF($J172&gt;=4,$E172*$I172/12*3,0))))))</f>
        <v>0</v>
      </c>
      <c r="BS172" s="87">
        <f t="shared" ref="BS172" si="2708">IF($H172&lt;&gt;BV$5,0,IF(BV172&gt;0,IF(OR($J172=1,$J172=2,$J172=3,$J172=4),$E172*$I172/12*3,IF($J172=5,$E172*$I172/12*2,IF($J172=6,$E172*$I172/12*1,0)))))+IF(BQ$5&lt;&gt;$H172,0,IF(BQ172&gt;0,IF($J172=4,$E172*$I172/12*0,IF($J172=5,$E172*$I172/12*1,IF($J172=6,$E172*$I172/12*2,IF($J172&gt;=7,$E172*$I172/12*3,0))))))</f>
        <v>0</v>
      </c>
      <c r="BT172" s="87">
        <f t="shared" ref="BT172" si="2709">IF($H172&lt;&gt;BV$5,0,IF(BV172&gt;0,IF(OR($J172=1,$J172=2,$J172=3,$J172=4,$J172=5,$J172=6,$J172=7),$E172*$I172/12*3,IF($J172=8,$E172*$I172/12*2,IF($J172=9,$E172*$I172/12*1,0)))))+IF(BQ$5&lt;&gt;$H172,0,IF(BQ172&gt;0,IF($J172=7,$E172*$I172/12*0,IF($J172=8,$E172*$I172/12*1,IF($J172=9,$E172*$I172/12*2,IF($J172&gt;=10,$E172*$I172/12*3,0))))))</f>
        <v>0</v>
      </c>
      <c r="BU172" s="88">
        <f t="shared" ref="BU172" si="2710">IF($H172&lt;&gt;BV$5,0,IF(BV172&gt;0,IF(OR($J172=1,$J172=2,$J172=3,$J172=4,$J172=5,$J172=6,$J172=7,$J172=8,$J172=9,$J172=10),$E172*$I172/12*3,IF($J172=11,$E172*$I172/12*2,IF($J172=12,$E172*$I172/12*1,0)))))+IF(BQ$5&lt;&gt;$H172,0,IF(BQ172&gt;0,IF($J172=10,$E172*$I172/12*0,IF($J172=11,$E172*$I172/12*1,IF($J172=12,$E172*$I172/12*2,0)))))</f>
        <v>0</v>
      </c>
      <c r="BV172" s="85">
        <f t="shared" ref="BV172" si="2711">IF(AND(BQ172&lt;&gt;0,BQ$5=$H172),$I172*$E172-BQ172,IF(BV$5=$H172,$I172*$E172*(12-$J172+1)/12,0))</f>
        <v>0</v>
      </c>
      <c r="BW172" s="86">
        <f t="shared" ref="BW172" si="2712">IF($H172&lt;&gt;CA$5,0,IF(CA172&gt;0,IF($J172=1,$E172*$I172/12*3,IF($J172=2,$E172*$I172/12*2,IF($J172=3,$E172*$I172/12*1,0)))))+IF(BV$5&lt;&gt;$H172,0,IF(BV172&gt;0,IF($J172=1,$E172*$I172/12*0,IF($J172=2,$E172*$I172/12*1,IF($J172=3,$E172*$I172/12*2,IF($J172&gt;=4,$E172*$I172/12*3,0))))))</f>
        <v>0</v>
      </c>
      <c r="BX172" s="87">
        <f t="shared" ref="BX172" si="2713">IF($H172&lt;&gt;CA$5,0,IF(CA172&gt;0,IF(OR($J172=1,$J172=2,$J172=3,$J172=4),$E172*$I172/12*3,IF($J172=5,$E172*$I172/12*2,IF($J172=6,$E172*$I172/12*1,0)))))+IF(BV$5&lt;&gt;$H172,0,IF(BV172&gt;0,IF($J172=4,$E172*$I172/12*0,IF($J172=5,$E172*$I172/12*1,IF($J172=6,$E172*$I172/12*2,IF($J172&gt;=7,$E172*$I172/12*3,0))))))</f>
        <v>0</v>
      </c>
      <c r="BY172" s="87">
        <f t="shared" ref="BY172" si="2714">IF($H172&lt;&gt;CA$5,0,IF(CA172&gt;0,IF(OR($J172=1,$J172=2,$J172=3,$J172=4,$J172=5,$J172=6,$J172=7),$E172*$I172/12*3,IF($J172=8,$E172*$I172/12*2,IF($J172=9,$E172*$I172/12*1,0)))))+IF(BV$5&lt;&gt;$H172,0,IF(BV172&gt;0,IF($J172=7,$E172*$I172/12*0,IF($J172=8,$E172*$I172/12*1,IF($J172=9,$E172*$I172/12*2,IF($J172&gt;=10,$E172*$I172/12*3,0))))))</f>
        <v>0</v>
      </c>
      <c r="BZ172" s="88">
        <f t="shared" ref="BZ172" si="2715">IF($H172&lt;&gt;CA$5,0,IF(CA172&gt;0,IF(OR($J172=1,$J172=2,$J172=3,$J172=4,$J172=5,$J172=6,$J172=7,$J172=8,$J172=9,$J172=10),$E172*$I172/12*3,IF($J172=11,$E172*$I172/12*2,IF($J172=12,$E172*$I172/12*1,0)))))+IF(BV$5&lt;&gt;$H172,0,IF(BV172&gt;0,IF($J172=10,$E172*$I172/12*0,IF($J172=11,$E172*$I172/12*1,IF($J172=12,$E172*$I172/12*2,0)))))</f>
        <v>0</v>
      </c>
      <c r="CA172" s="85">
        <f t="shared" ref="CA172" si="2716">IF(AND(BV172&lt;&gt;0,BV$5=$H172),$I172*$E172-BV172,IF(CA$5=$H172,$I172*$E172*(12-$J172+1)/12,0))</f>
        <v>0</v>
      </c>
      <c r="CB172" s="86">
        <f t="shared" ref="CB172" si="2717">IF($H172&lt;&gt;CF$5,0,IF(CF172&gt;0,IF($J172=1,$E172*$I172/12*3,IF($J172=2,$E172*$I172/12*2,IF($J172=3,$E172*$I172/12*1,0)))))+IF(CA$5&lt;&gt;$H172,0,IF(CA172&gt;0,IF($J172=1,$E172*$I172/12*0,IF($J172=2,$E172*$I172/12*1,IF($J172=3,$E172*$I172/12*2,IF($J172&gt;=4,$E172*$I172/12*3,0))))))</f>
        <v>0</v>
      </c>
      <c r="CC172" s="87">
        <f t="shared" ref="CC172" si="2718">IF($H172&lt;&gt;CF$5,0,IF(CF172&gt;0,IF(OR($J172=1,$J172=2,$J172=3,$J172=4),$E172*$I172/12*3,IF($J172=5,$E172*$I172/12*2,IF($J172=6,$E172*$I172/12*1,0)))))+IF(CA$5&lt;&gt;$H172,0,IF(CA172&gt;0,IF($J172=4,$E172*$I172/12*0,IF($J172=5,$E172*$I172/12*1,IF($J172=6,$E172*$I172/12*2,IF($J172&gt;=7,$E172*$I172/12*3,0))))))</f>
        <v>0</v>
      </c>
      <c r="CD172" s="87">
        <f t="shared" ref="CD172" si="2719">IF($H172&lt;&gt;CF$5,0,IF(CF172&gt;0,IF(OR($J172=1,$J172=2,$J172=3,$J172=4,$J172=5,$J172=6,$J172=7),$E172*$I172/12*3,IF($J172=8,$E172*$I172/12*2,IF($J172=9,$E172*$I172/12*1,0)))))+IF(CA$5&lt;&gt;$H172,0,IF(CA172&gt;0,IF($J172=7,$E172*$I172/12*0,IF($J172=8,$E172*$I172/12*1,IF($J172=9,$E172*$I172/12*2,IF($J172&gt;=10,$E172*$I172/12*3,0))))))</f>
        <v>0</v>
      </c>
      <c r="CE172" s="88">
        <f t="shared" ref="CE172" si="2720">IF($H172&lt;&gt;CF$5,0,IF(CF172&gt;0,IF(OR($J172=1,$J172=2,$J172=3,$J172=4,$J172=5,$J172=6,$J172=7,$J172=8,$J172=9,$J172=10),$E172*$I172/12*3,IF($J172=11,$E172*$I172/12*2,IF($J172=12,$E172*$I172/12*1,0)))))+IF(CA$5&lt;&gt;$H172,0,IF(CA172&gt;0,IF($J172=10,$E172*$I172/12*0,IF($J172=11,$E172*$I172/12*1,IF($J172=12,$E172*$I172/12*2,0)))))</f>
        <v>0</v>
      </c>
      <c r="CF172" s="85">
        <f t="shared" ref="CF172" si="2721">IF(AND(CA172&lt;&gt;0,CA$5=$H172),$I172*$E172-CA172,IF(CF$5=$H172,$I172*$E172*(12-$J172+1)/12,0))</f>
        <v>0</v>
      </c>
      <c r="CG172" s="86">
        <f t="shared" ref="CG172" si="2722">IF($H172&lt;&gt;CK$5,0,IF(CK172&gt;0,IF($J172=1,$E172*$I172/12*3,IF($J172=2,$E172*$I172/12*2,IF($J172=3,$E172*$I172/12*1,0)))))+IF(CF$5&lt;&gt;$H172,0,IF(CF172&gt;0,IF($J172=1,$E172*$I172/12*0,IF($J172=2,$E172*$I172/12*1,IF($J172=3,$E172*$I172/12*2,IF($J172&gt;=4,$E172*$I172/12*3,0))))))</f>
        <v>0</v>
      </c>
      <c r="CH172" s="87">
        <f t="shared" ref="CH172" si="2723">IF($H172&lt;&gt;CK$5,0,IF(CK172&gt;0,IF(OR($J172=1,$J172=2,$J172=3,$J172=4),$E172*$I172/12*3,IF($J172=5,$E172*$I172/12*2,IF($J172=6,$E172*$I172/12*1,0)))))+IF(CF$5&lt;&gt;$H172,0,IF(CF172&gt;0,IF($J172=4,$E172*$I172/12*0,IF($J172=5,$E172*$I172/12*1,IF($J172=6,$E172*$I172/12*2,IF($J172&gt;=7,$E172*$I172/12*3,0))))))</f>
        <v>0</v>
      </c>
      <c r="CI172" s="87">
        <f t="shared" ref="CI172" si="2724">IF($H172&lt;&gt;CK$5,0,IF(CK172&gt;0,IF(OR($J172=1,$J172=2,$J172=3,$J172=4,$J172=5,$J172=6,$J172=7),$E172*$I172/12*3,IF($J172=8,$E172*$I172/12*2,IF($J172=9,$E172*$I172/12*1,0)))))+IF(CF$5&lt;&gt;$H172,0,IF(CF172&gt;0,IF($J172=7,$E172*$I172/12*0,IF($J172=8,$E172*$I172/12*1,IF($J172=9,$E172*$I172/12*2,IF($J172&gt;=10,$E172*$I172/12*3,0))))))</f>
        <v>0</v>
      </c>
      <c r="CJ172" s="88">
        <f t="shared" ref="CJ172" si="2725">IF($H172&lt;&gt;CK$5,0,IF(CK172&gt;0,IF(OR($J172=1,$J172=2,$J172=3,$J172=4,$J172=5,$J172=6,$J172=7,$J172=8,$J172=9,$J172=10),$E172*$I172/12*3,IF($J172=11,$E172*$I172/12*2,IF($J172=12,$E172*$I172/12*1,0)))))+IF(CF$5&lt;&gt;$H172,0,IF(CF172&gt;0,IF($J172=10,$E172*$I172/12*0,IF($J172=11,$E172*$I172/12*1,IF($J172=12,$E172*$I172/12*2,0)))))</f>
        <v>0</v>
      </c>
      <c r="CK172" s="85">
        <f t="shared" ref="CK172" si="2726">IF(AND(CF172&lt;&gt;0,CF$5=$H172),$I172*$E172-CF172,IF(CK$5=$H172,$I172*$E172*(12-$J172+1)/12,0))</f>
        <v>0</v>
      </c>
      <c r="CL172" s="86">
        <f t="shared" ref="CL172" si="2727">IF($H172&lt;&gt;CP$5,0,IF(CP172&gt;0,IF($J172=1,$E172*$I172/12*3,IF($J172=2,$E172*$I172/12*2,IF($J172=3,$E172*$I172/12*1,0)))))+IF(CK$5&lt;&gt;$H172,0,IF(CK172&gt;0,IF($J172=1,$E172*$I172/12*0,IF($J172=2,$E172*$I172/12*1,IF($J172=3,$E172*$I172/12*2,IF($J172&gt;=4,$E172*$I172/12*3,0))))))</f>
        <v>0</v>
      </c>
      <c r="CM172" s="87">
        <f t="shared" ref="CM172" si="2728">IF($H172&lt;&gt;CP$5,0,IF(CP172&gt;0,IF(OR($J172=1,$J172=2,$J172=3,$J172=4),$E172*$I172/12*3,IF($J172=5,$E172*$I172/12*2,IF($J172=6,$E172*$I172/12*1,0)))))+IF(CK$5&lt;&gt;$H172,0,IF(CK172&gt;0,IF($J172=4,$E172*$I172/12*0,IF($J172=5,$E172*$I172/12*1,IF($J172=6,$E172*$I172/12*2,IF($J172&gt;=7,$E172*$I172/12*3,0))))))</f>
        <v>0</v>
      </c>
      <c r="CN172" s="87">
        <f t="shared" ref="CN172" si="2729">IF($H172&lt;&gt;CP$5,0,IF(CP172&gt;0,IF(OR($J172=1,$J172=2,$J172=3,$J172=4,$J172=5,$J172=6,$J172=7),$E172*$I172/12*3,IF($J172=8,$E172*$I172/12*2,IF($J172=9,$E172*$I172/12*1,0)))))+IF(CK$5&lt;&gt;$H172,0,IF(CK172&gt;0,IF($J172=7,$E172*$I172/12*0,IF($J172=8,$E172*$I172/12*1,IF($J172=9,$E172*$I172/12*2,IF($J172&gt;=10,$E172*$I172/12*3,0))))))</f>
        <v>0</v>
      </c>
      <c r="CO172" s="88">
        <f t="shared" ref="CO172" si="2730">IF($H172&lt;&gt;CP$5,0,IF(CP172&gt;0,IF(OR($J172=1,$J172=2,$J172=3,$J172=4,$J172=5,$J172=6,$J172=7,$J172=8,$J172=9,$J172=10),$E172*$I172/12*3,IF($J172=11,$E172*$I172/12*2,IF($J172=12,$E172*$I172/12*1,0)))))+IF(CK$5&lt;&gt;$H172,0,IF(CK172&gt;0,IF($J172=10,$E172*$I172/12*0,IF($J172=11,$E172*$I172/12*1,IF($J172=12,$E172*$I172/12*2,0)))))</f>
        <v>0</v>
      </c>
      <c r="CP172" s="85">
        <f t="shared" ref="CP172" si="2731">IF(AND(CK172&lt;&gt;0,CK$5=$H172),$I172*$E172-CK172,IF(CP$5=$H172,$I172*$E172*(12-$J172+1)/12,0))</f>
        <v>0</v>
      </c>
      <c r="CQ172" s="86">
        <f t="shared" ref="CQ172" si="2732">IF($H172&lt;&gt;CU$5,0,IF(CU172&gt;0,IF($J172=1,$E172*$I172/12*3,IF($J172=2,$E172*$I172/12*2,IF($J172=3,$E172*$I172/12*1,0)))))+IF(CP$5&lt;&gt;$H172,0,IF(CP172&gt;0,IF($J172=1,$E172*$I172/12*0,IF($J172=2,$E172*$I172/12*1,IF($J172=3,$E172*$I172/12*2,IF($J172&gt;=4,$E172*$I172/12*3,0))))))</f>
        <v>0</v>
      </c>
      <c r="CR172" s="87">
        <f t="shared" ref="CR172" si="2733">IF($H172&lt;&gt;CU$5,0,IF(CU172&gt;0,IF(OR($J172=1,$J172=2,$J172=3,$J172=4),$E172*$I172/12*3,IF($J172=5,$E172*$I172/12*2,IF($J172=6,$E172*$I172/12*1,0)))))+IF(CP$5&lt;&gt;$H172,0,IF(CP172&gt;0,IF($J172=4,$E172*$I172/12*0,IF($J172=5,$E172*$I172/12*1,IF($J172=6,$E172*$I172/12*2,IF($J172&gt;=7,$E172*$I172/12*3,0))))))</f>
        <v>0</v>
      </c>
      <c r="CS172" s="87">
        <f t="shared" ref="CS172" si="2734">IF($H172&lt;&gt;CU$5,0,IF(CU172&gt;0,IF(OR($J172=1,$J172=2,$J172=3,$J172=4,$J172=5,$J172=6,$J172=7),$E172*$I172/12*3,IF($J172=8,$E172*$I172/12*2,IF($J172=9,$E172*$I172/12*1,0)))))+IF(CP$5&lt;&gt;$H172,0,IF(CP172&gt;0,IF($J172=7,$E172*$I172/12*0,IF($J172=8,$E172*$I172/12*1,IF($J172=9,$E172*$I172/12*2,IF($J172&gt;=10,$E172*$I172/12*3,0))))))</f>
        <v>0</v>
      </c>
      <c r="CT172" s="88">
        <f t="shared" ref="CT172" si="2735">IF($H172&lt;&gt;CU$5,0,IF(CU172&gt;0,IF(OR($J172=1,$J172=2,$J172=3,$J172=4,$J172=5,$J172=6,$J172=7,$J172=8,$J172=9,$J172=10),$E172*$I172/12*3,IF($J172=11,$E172*$I172/12*2,IF($J172=12,$E172*$I172/12*1,0)))))+IF(CP$5&lt;&gt;$H172,0,IF(CP172&gt;0,IF($J172=10,$E172*$I172/12*0,IF($J172=11,$E172*$I172/12*1,IF($J172=12,$E172*$I172/12*2,0)))))</f>
        <v>0</v>
      </c>
      <c r="CU172" s="85">
        <f t="shared" ref="CU172" si="2736">IF(AND(CP172&lt;&gt;0,CP$5=$H172),$I172*$E172-CP172,IF(CU$5=$H172,$I172*$E172*(12-$J172+1)/12,0))</f>
        <v>0</v>
      </c>
      <c r="CV172" s="86">
        <f t="shared" si="2586"/>
        <v>0</v>
      </c>
      <c r="CW172" s="87">
        <f t="shared" si="2587"/>
        <v>0</v>
      </c>
      <c r="CX172" s="87">
        <f t="shared" si="2588"/>
        <v>9.375</v>
      </c>
      <c r="CY172" s="88">
        <f t="shared" si="2589"/>
        <v>9.375</v>
      </c>
      <c r="CZ172" s="85">
        <f t="shared" si="2590"/>
        <v>18.75</v>
      </c>
    </row>
    <row r="173" spans="1:104" ht="12.75" customHeight="1">
      <c r="A173" s="4"/>
      <c r="B173" s="4"/>
      <c r="C173" s="174"/>
      <c r="D173" s="175"/>
      <c r="E173" s="151"/>
      <c r="F173" s="152"/>
      <c r="G173" s="152"/>
      <c r="H173" s="176"/>
      <c r="I173" s="177"/>
      <c r="J173" s="178"/>
      <c r="K173" s="179"/>
      <c r="L173" s="98"/>
      <c r="M173" s="99"/>
      <c r="N173" s="100"/>
      <c r="O173" s="100"/>
      <c r="P173" s="101"/>
      <c r="Q173" s="98"/>
      <c r="R173" s="99"/>
      <c r="S173" s="100"/>
      <c r="T173" s="100"/>
      <c r="U173" s="101"/>
      <c r="V173" s="98"/>
      <c r="W173" s="99"/>
      <c r="X173" s="100"/>
      <c r="Y173" s="100"/>
      <c r="Z173" s="101"/>
      <c r="AA173" s="98"/>
      <c r="AB173" s="99"/>
      <c r="AC173" s="100"/>
      <c r="AD173" s="100"/>
      <c r="AE173" s="101"/>
      <c r="AF173" s="98"/>
      <c r="AG173" s="99"/>
      <c r="AH173" s="100"/>
      <c r="AI173" s="100"/>
      <c r="AJ173" s="101"/>
      <c r="AK173" s="98"/>
      <c r="AL173" s="99"/>
      <c r="AM173" s="100"/>
      <c r="AN173" s="100"/>
      <c r="AO173" s="101"/>
      <c r="AP173" s="98"/>
      <c r="AQ173" s="99"/>
      <c r="AR173" s="100"/>
      <c r="AS173" s="100"/>
      <c r="AT173" s="101"/>
      <c r="AU173" s="98"/>
      <c r="AV173" s="99"/>
      <c r="AW173" s="100"/>
      <c r="AX173" s="100"/>
      <c r="AY173" s="101"/>
      <c r="AZ173" s="98"/>
      <c r="BA173" s="99"/>
      <c r="BB173" s="100"/>
      <c r="BC173" s="100"/>
      <c r="BD173" s="101"/>
      <c r="BE173" s="98"/>
      <c r="BF173" s="1657"/>
      <c r="BG173" s="2006"/>
      <c r="BH173" s="103"/>
      <c r="BI173" s="104"/>
      <c r="BJ173" s="104"/>
      <c r="BK173" s="105"/>
      <c r="BL173" s="102"/>
      <c r="BM173" s="103"/>
      <c r="BN173" s="104"/>
      <c r="BO173" s="104"/>
      <c r="BP173" s="105"/>
      <c r="BQ173" s="102"/>
      <c r="BR173" s="103"/>
      <c r="BS173" s="104"/>
      <c r="BT173" s="104"/>
      <c r="BU173" s="105"/>
      <c r="BV173" s="102"/>
      <c r="BW173" s="103"/>
      <c r="BX173" s="104"/>
      <c r="BY173" s="104"/>
      <c r="BZ173" s="105"/>
      <c r="CA173" s="102"/>
      <c r="CB173" s="103"/>
      <c r="CC173" s="104"/>
      <c r="CD173" s="104"/>
      <c r="CE173" s="105"/>
      <c r="CF173" s="102"/>
      <c r="CG173" s="103"/>
      <c r="CH173" s="104"/>
      <c r="CI173" s="104"/>
      <c r="CJ173" s="105"/>
      <c r="CK173" s="102"/>
      <c r="CL173" s="103"/>
      <c r="CM173" s="104"/>
      <c r="CN173" s="104"/>
      <c r="CO173" s="105"/>
      <c r="CP173" s="102"/>
      <c r="CQ173" s="103"/>
      <c r="CR173" s="104"/>
      <c r="CS173" s="104"/>
      <c r="CT173" s="105"/>
      <c r="CU173" s="102"/>
      <c r="CV173" s="103"/>
      <c r="CW173" s="104"/>
      <c r="CX173" s="104"/>
      <c r="CY173" s="105"/>
      <c r="CZ173" s="102"/>
    </row>
    <row r="174" spans="1:104" ht="12.75" customHeight="1">
      <c r="A174" s="156"/>
      <c r="B174" s="156"/>
      <c r="C174" s="157" t="s">
        <v>399</v>
      </c>
      <c r="D174" s="194"/>
      <c r="E174" s="158">
        <f>SUM(E167:E173)</f>
        <v>4725</v>
      </c>
      <c r="F174" s="107"/>
      <c r="G174" s="107"/>
      <c r="H174" s="108"/>
      <c r="I174" s="109"/>
      <c r="J174" s="110"/>
      <c r="K174" s="180"/>
      <c r="L174" s="111">
        <f t="shared" ref="L174:BE174" si="2737">SUM(L167:L173)</f>
        <v>0</v>
      </c>
      <c r="M174" s="112">
        <f t="shared" si="2737"/>
        <v>0</v>
      </c>
      <c r="N174" s="113">
        <f t="shared" si="2737"/>
        <v>0</v>
      </c>
      <c r="O174" s="113">
        <f t="shared" si="2737"/>
        <v>0</v>
      </c>
      <c r="P174" s="114">
        <f t="shared" si="2737"/>
        <v>0</v>
      </c>
      <c r="Q174" s="111">
        <f t="shared" si="2737"/>
        <v>0</v>
      </c>
      <c r="R174" s="112">
        <f t="shared" si="2737"/>
        <v>0</v>
      </c>
      <c r="S174" s="113">
        <f t="shared" si="2737"/>
        <v>0</v>
      </c>
      <c r="T174" s="113">
        <f t="shared" si="2737"/>
        <v>0</v>
      </c>
      <c r="U174" s="114">
        <f t="shared" si="2737"/>
        <v>0</v>
      </c>
      <c r="V174" s="111">
        <f t="shared" si="2737"/>
        <v>0</v>
      </c>
      <c r="W174" s="112">
        <f t="shared" si="2737"/>
        <v>0</v>
      </c>
      <c r="X174" s="113">
        <f t="shared" si="2737"/>
        <v>0</v>
      </c>
      <c r="Y174" s="113">
        <f t="shared" si="2737"/>
        <v>0</v>
      </c>
      <c r="Z174" s="114">
        <f t="shared" si="2737"/>
        <v>0</v>
      </c>
      <c r="AA174" s="111">
        <f t="shared" si="2737"/>
        <v>0</v>
      </c>
      <c r="AB174" s="112">
        <f t="shared" si="2737"/>
        <v>0</v>
      </c>
      <c r="AC174" s="113">
        <f t="shared" si="2737"/>
        <v>0</v>
      </c>
      <c r="AD174" s="113">
        <f t="shared" si="2737"/>
        <v>0</v>
      </c>
      <c r="AE174" s="114">
        <f t="shared" si="2737"/>
        <v>0</v>
      </c>
      <c r="AF174" s="111">
        <f t="shared" si="2737"/>
        <v>0</v>
      </c>
      <c r="AG174" s="112">
        <f t="shared" si="2737"/>
        <v>0</v>
      </c>
      <c r="AH174" s="113">
        <f t="shared" si="2737"/>
        <v>0</v>
      </c>
      <c r="AI174" s="113">
        <f t="shared" si="2737"/>
        <v>1000</v>
      </c>
      <c r="AJ174" s="114">
        <f t="shared" si="2737"/>
        <v>0</v>
      </c>
      <c r="AK174" s="111">
        <f t="shared" si="2737"/>
        <v>1000</v>
      </c>
      <c r="AL174" s="112">
        <f t="shared" si="2737"/>
        <v>0</v>
      </c>
      <c r="AM174" s="113">
        <f t="shared" si="2737"/>
        <v>0</v>
      </c>
      <c r="AN174" s="113">
        <f t="shared" si="2737"/>
        <v>1550</v>
      </c>
      <c r="AO174" s="114">
        <f t="shared" si="2737"/>
        <v>0</v>
      </c>
      <c r="AP174" s="111">
        <f t="shared" si="2737"/>
        <v>1550</v>
      </c>
      <c r="AQ174" s="112">
        <f t="shared" si="2737"/>
        <v>0</v>
      </c>
      <c r="AR174" s="113">
        <f t="shared" si="2737"/>
        <v>0</v>
      </c>
      <c r="AS174" s="113">
        <f t="shared" si="2737"/>
        <v>425</v>
      </c>
      <c r="AT174" s="114">
        <f t="shared" si="2737"/>
        <v>0</v>
      </c>
      <c r="AU174" s="111">
        <f t="shared" si="2737"/>
        <v>425</v>
      </c>
      <c r="AV174" s="112">
        <f t="shared" si="2737"/>
        <v>0</v>
      </c>
      <c r="AW174" s="113">
        <f t="shared" si="2737"/>
        <v>0</v>
      </c>
      <c r="AX174" s="113">
        <f t="shared" si="2737"/>
        <v>1000</v>
      </c>
      <c r="AY174" s="114">
        <f t="shared" si="2737"/>
        <v>0</v>
      </c>
      <c r="AZ174" s="111">
        <f t="shared" si="2737"/>
        <v>1000</v>
      </c>
      <c r="BA174" s="112">
        <f t="shared" si="2737"/>
        <v>0</v>
      </c>
      <c r="BB174" s="113">
        <f t="shared" si="2737"/>
        <v>0</v>
      </c>
      <c r="BC174" s="113">
        <f t="shared" si="2737"/>
        <v>750</v>
      </c>
      <c r="BD174" s="114">
        <f t="shared" si="2737"/>
        <v>0</v>
      </c>
      <c r="BE174" s="111">
        <f t="shared" si="2737"/>
        <v>750</v>
      </c>
      <c r="BF174" s="1883"/>
      <c r="BG174" s="2007">
        <f t="shared" ref="BG174:CZ174" si="2738">SUM(BG167:BG173)</f>
        <v>0</v>
      </c>
      <c r="BH174" s="116">
        <f t="shared" si="2738"/>
        <v>0</v>
      </c>
      <c r="BI174" s="117">
        <f t="shared" si="2738"/>
        <v>0</v>
      </c>
      <c r="BJ174" s="117">
        <f t="shared" si="2738"/>
        <v>0</v>
      </c>
      <c r="BK174" s="118">
        <f t="shared" si="2738"/>
        <v>0</v>
      </c>
      <c r="BL174" s="115">
        <f t="shared" si="2738"/>
        <v>0</v>
      </c>
      <c r="BM174" s="116">
        <f t="shared" si="2738"/>
        <v>0</v>
      </c>
      <c r="BN174" s="117">
        <f t="shared" si="2738"/>
        <v>0</v>
      </c>
      <c r="BO174" s="117">
        <f t="shared" si="2738"/>
        <v>0</v>
      </c>
      <c r="BP174" s="118">
        <f t="shared" si="2738"/>
        <v>0</v>
      </c>
      <c r="BQ174" s="115">
        <f t="shared" si="2738"/>
        <v>0</v>
      </c>
      <c r="BR174" s="116">
        <f t="shared" si="2738"/>
        <v>0</v>
      </c>
      <c r="BS174" s="117">
        <f t="shared" si="2738"/>
        <v>0</v>
      </c>
      <c r="BT174" s="117">
        <f t="shared" si="2738"/>
        <v>0</v>
      </c>
      <c r="BU174" s="118">
        <f t="shared" si="2738"/>
        <v>0</v>
      </c>
      <c r="BV174" s="115">
        <f t="shared" si="2738"/>
        <v>0</v>
      </c>
      <c r="BW174" s="116">
        <f t="shared" si="2738"/>
        <v>0</v>
      </c>
      <c r="BX174" s="117">
        <f t="shared" si="2738"/>
        <v>0</v>
      </c>
      <c r="BY174" s="117">
        <f t="shared" si="2738"/>
        <v>0</v>
      </c>
      <c r="BZ174" s="118">
        <f t="shared" si="2738"/>
        <v>0</v>
      </c>
      <c r="CA174" s="115">
        <f t="shared" si="2738"/>
        <v>0</v>
      </c>
      <c r="CB174" s="116">
        <f t="shared" si="2738"/>
        <v>0</v>
      </c>
      <c r="CC174" s="117">
        <f t="shared" si="2738"/>
        <v>0</v>
      </c>
      <c r="CD174" s="117">
        <f t="shared" si="2738"/>
        <v>5.7833333333333332</v>
      </c>
      <c r="CE174" s="118">
        <f t="shared" si="2738"/>
        <v>8.6750000000000007</v>
      </c>
      <c r="CF174" s="115">
        <f t="shared" si="2738"/>
        <v>14.458333333333332</v>
      </c>
      <c r="CG174" s="116">
        <f t="shared" si="2738"/>
        <v>8.6750000000000007</v>
      </c>
      <c r="CH174" s="117">
        <f t="shared" si="2738"/>
        <v>8.6750000000000007</v>
      </c>
      <c r="CI174" s="117">
        <f t="shared" si="2738"/>
        <v>22.266666666666666</v>
      </c>
      <c r="CJ174" s="118">
        <f t="shared" si="2738"/>
        <v>19.375</v>
      </c>
      <c r="CK174" s="115">
        <f t="shared" si="2738"/>
        <v>58.991666666666667</v>
      </c>
      <c r="CL174" s="116">
        <f t="shared" si="2738"/>
        <v>19.375</v>
      </c>
      <c r="CM174" s="117">
        <f t="shared" si="2738"/>
        <v>19.375</v>
      </c>
      <c r="CN174" s="117">
        <f t="shared" si="2738"/>
        <v>5.3125</v>
      </c>
      <c r="CO174" s="118">
        <f t="shared" si="2738"/>
        <v>5.3125</v>
      </c>
      <c r="CP174" s="115">
        <f t="shared" si="2738"/>
        <v>49.375</v>
      </c>
      <c r="CQ174" s="116">
        <f t="shared" si="2738"/>
        <v>5.3125</v>
      </c>
      <c r="CR174" s="117">
        <f t="shared" si="2738"/>
        <v>5.3125</v>
      </c>
      <c r="CS174" s="117">
        <f t="shared" si="2738"/>
        <v>12.5</v>
      </c>
      <c r="CT174" s="118">
        <f t="shared" si="2738"/>
        <v>12.5</v>
      </c>
      <c r="CU174" s="115">
        <f t="shared" si="2738"/>
        <v>35.625</v>
      </c>
      <c r="CV174" s="116">
        <f t="shared" si="2738"/>
        <v>12.5</v>
      </c>
      <c r="CW174" s="117">
        <f t="shared" si="2738"/>
        <v>12.5</v>
      </c>
      <c r="CX174" s="117">
        <f t="shared" si="2738"/>
        <v>9.375</v>
      </c>
      <c r="CY174" s="118">
        <f t="shared" si="2738"/>
        <v>9.375</v>
      </c>
      <c r="CZ174" s="115">
        <f t="shared" si="2738"/>
        <v>43.75</v>
      </c>
    </row>
    <row r="175" spans="1:104" ht="12.75" customHeight="1">
      <c r="A175" s="4"/>
      <c r="B175" s="4"/>
      <c r="C175" s="195"/>
      <c r="D175" s="195"/>
      <c r="E175" s="75"/>
      <c r="F175" s="76"/>
      <c r="G175" s="76"/>
      <c r="H175" s="77"/>
      <c r="I175" s="78"/>
      <c r="J175" s="79"/>
      <c r="K175" s="80"/>
      <c r="L175" s="81"/>
      <c r="M175" s="82"/>
      <c r="N175" s="83"/>
      <c r="O175" s="83"/>
      <c r="P175" s="84"/>
      <c r="Q175" s="81"/>
      <c r="R175" s="82"/>
      <c r="S175" s="83"/>
      <c r="T175" s="83"/>
      <c r="U175" s="84"/>
      <c r="V175" s="81"/>
      <c r="W175" s="82"/>
      <c r="X175" s="83"/>
      <c r="Y175" s="83"/>
      <c r="Z175" s="84"/>
      <c r="AA175" s="81"/>
      <c r="AB175" s="82"/>
      <c r="AC175" s="83"/>
      <c r="AD175" s="83"/>
      <c r="AE175" s="84"/>
      <c r="AF175" s="81"/>
      <c r="AG175" s="82"/>
      <c r="AH175" s="83"/>
      <c r="AI175" s="83"/>
      <c r="AJ175" s="84"/>
      <c r="AK175" s="81"/>
      <c r="AL175" s="82"/>
      <c r="AM175" s="83"/>
      <c r="AN175" s="83"/>
      <c r="AO175" s="84"/>
      <c r="AP175" s="81"/>
      <c r="AQ175" s="82"/>
      <c r="AR175" s="83"/>
      <c r="AS175" s="83"/>
      <c r="AT175" s="84"/>
      <c r="AU175" s="81"/>
      <c r="AV175" s="82"/>
      <c r="AW175" s="83"/>
      <c r="AX175" s="83"/>
      <c r="AY175" s="84"/>
      <c r="AZ175" s="81"/>
      <c r="BA175" s="82"/>
      <c r="BB175" s="83"/>
      <c r="BC175" s="83"/>
      <c r="BD175" s="84"/>
      <c r="BE175" s="81"/>
      <c r="BF175" s="1884"/>
      <c r="BG175" s="2005"/>
      <c r="BH175" s="86"/>
      <c r="BI175" s="87"/>
      <c r="BJ175" s="87"/>
      <c r="BK175" s="88"/>
      <c r="BL175" s="85"/>
      <c r="BM175" s="86"/>
      <c r="BN175" s="87"/>
      <c r="BO175" s="87"/>
      <c r="BP175" s="88"/>
      <c r="BQ175" s="85"/>
      <c r="BR175" s="86"/>
      <c r="BS175" s="87"/>
      <c r="BT175" s="87"/>
      <c r="BU175" s="88"/>
      <c r="BV175" s="85"/>
      <c r="BW175" s="86"/>
      <c r="BX175" s="87"/>
      <c r="BY175" s="87"/>
      <c r="BZ175" s="88"/>
      <c r="CA175" s="85"/>
      <c r="CB175" s="86"/>
      <c r="CC175" s="87"/>
      <c r="CD175" s="87"/>
      <c r="CE175" s="88"/>
      <c r="CF175" s="85"/>
      <c r="CG175" s="86"/>
      <c r="CH175" s="87"/>
      <c r="CI175" s="87"/>
      <c r="CJ175" s="88"/>
      <c r="CK175" s="85"/>
      <c r="CL175" s="86"/>
      <c r="CM175" s="87"/>
      <c r="CN175" s="87"/>
      <c r="CO175" s="88"/>
      <c r="CP175" s="85"/>
      <c r="CQ175" s="86"/>
      <c r="CR175" s="87"/>
      <c r="CS175" s="87"/>
      <c r="CT175" s="88"/>
      <c r="CU175" s="85"/>
      <c r="CV175" s="86"/>
      <c r="CW175" s="87"/>
      <c r="CX175" s="87"/>
      <c r="CY175" s="88"/>
      <c r="CZ175" s="85"/>
    </row>
    <row r="176" spans="1:104" ht="12.75" customHeight="1">
      <c r="A176" s="4"/>
      <c r="B176" s="4"/>
      <c r="C176" s="90" t="s">
        <v>542</v>
      </c>
      <c r="D176" s="90"/>
      <c r="E176" s="106"/>
      <c r="F176" s="119"/>
      <c r="G176" s="119"/>
      <c r="H176" s="108"/>
      <c r="I176" s="109"/>
      <c r="J176" s="110"/>
      <c r="K176" s="180"/>
      <c r="L176" s="111">
        <f t="shared" ref="L176:BE176" si="2739">+L163+L174</f>
        <v>0</v>
      </c>
      <c r="M176" s="112">
        <f t="shared" si="2739"/>
        <v>0</v>
      </c>
      <c r="N176" s="113">
        <f t="shared" si="2739"/>
        <v>0</v>
      </c>
      <c r="O176" s="113">
        <f t="shared" si="2739"/>
        <v>0</v>
      </c>
      <c r="P176" s="114">
        <f t="shared" si="2739"/>
        <v>0</v>
      </c>
      <c r="Q176" s="111">
        <f t="shared" si="2739"/>
        <v>0</v>
      </c>
      <c r="R176" s="112">
        <f t="shared" si="2739"/>
        <v>0</v>
      </c>
      <c r="S176" s="113">
        <f t="shared" si="2739"/>
        <v>0</v>
      </c>
      <c r="T176" s="113">
        <f t="shared" si="2739"/>
        <v>0</v>
      </c>
      <c r="U176" s="114">
        <f t="shared" si="2739"/>
        <v>0</v>
      </c>
      <c r="V176" s="111">
        <f t="shared" si="2739"/>
        <v>0</v>
      </c>
      <c r="W176" s="112">
        <f t="shared" si="2739"/>
        <v>0</v>
      </c>
      <c r="X176" s="113">
        <f t="shared" si="2739"/>
        <v>0</v>
      </c>
      <c r="Y176" s="113">
        <f t="shared" si="2739"/>
        <v>0</v>
      </c>
      <c r="Z176" s="114">
        <f t="shared" si="2739"/>
        <v>0</v>
      </c>
      <c r="AA176" s="111">
        <f t="shared" si="2739"/>
        <v>0</v>
      </c>
      <c r="AB176" s="112">
        <f t="shared" si="2739"/>
        <v>0</v>
      </c>
      <c r="AC176" s="113">
        <f t="shared" si="2739"/>
        <v>0</v>
      </c>
      <c r="AD176" s="113">
        <f t="shared" si="2739"/>
        <v>0</v>
      </c>
      <c r="AE176" s="114">
        <f t="shared" si="2739"/>
        <v>0</v>
      </c>
      <c r="AF176" s="111">
        <f t="shared" si="2739"/>
        <v>0</v>
      </c>
      <c r="AG176" s="112">
        <f t="shared" si="2739"/>
        <v>0</v>
      </c>
      <c r="AH176" s="113">
        <f t="shared" si="2739"/>
        <v>0</v>
      </c>
      <c r="AI176" s="113">
        <f t="shared" si="2739"/>
        <v>575</v>
      </c>
      <c r="AJ176" s="114">
        <f t="shared" si="2739"/>
        <v>0</v>
      </c>
      <c r="AK176" s="111">
        <f t="shared" si="2739"/>
        <v>575</v>
      </c>
      <c r="AL176" s="112">
        <f t="shared" si="2739"/>
        <v>-700</v>
      </c>
      <c r="AM176" s="113">
        <f t="shared" si="2739"/>
        <v>0</v>
      </c>
      <c r="AN176" s="113">
        <f t="shared" si="2739"/>
        <v>1410</v>
      </c>
      <c r="AO176" s="114">
        <f t="shared" si="2739"/>
        <v>0</v>
      </c>
      <c r="AP176" s="111">
        <f t="shared" si="2739"/>
        <v>710</v>
      </c>
      <c r="AQ176" s="112">
        <f t="shared" si="2739"/>
        <v>0</v>
      </c>
      <c r="AR176" s="113">
        <f t="shared" si="2739"/>
        <v>0</v>
      </c>
      <c r="AS176" s="113">
        <f t="shared" si="2739"/>
        <v>425</v>
      </c>
      <c r="AT176" s="114">
        <f t="shared" si="2739"/>
        <v>0</v>
      </c>
      <c r="AU176" s="111">
        <f t="shared" si="2739"/>
        <v>425</v>
      </c>
      <c r="AV176" s="112">
        <f t="shared" si="2739"/>
        <v>0</v>
      </c>
      <c r="AW176" s="113">
        <f t="shared" si="2739"/>
        <v>0</v>
      </c>
      <c r="AX176" s="113">
        <f t="shared" si="2739"/>
        <v>500</v>
      </c>
      <c r="AY176" s="114">
        <f t="shared" si="2739"/>
        <v>0</v>
      </c>
      <c r="AZ176" s="111">
        <f t="shared" si="2739"/>
        <v>500</v>
      </c>
      <c r="BA176" s="112">
        <f t="shared" si="2739"/>
        <v>0</v>
      </c>
      <c r="BB176" s="113">
        <f t="shared" si="2739"/>
        <v>0</v>
      </c>
      <c r="BC176" s="113">
        <f t="shared" si="2739"/>
        <v>400</v>
      </c>
      <c r="BD176" s="114">
        <f t="shared" si="2739"/>
        <v>0</v>
      </c>
      <c r="BE176" s="111">
        <f t="shared" si="2739"/>
        <v>400</v>
      </c>
      <c r="BF176" s="1883"/>
      <c r="BG176" s="2007">
        <f t="shared" ref="BG176:CZ176" si="2740">+BG163+BG174</f>
        <v>0</v>
      </c>
      <c r="BH176" s="116">
        <f t="shared" si="2740"/>
        <v>0</v>
      </c>
      <c r="BI176" s="117">
        <f t="shared" si="2740"/>
        <v>0</v>
      </c>
      <c r="BJ176" s="117">
        <f t="shared" si="2740"/>
        <v>0</v>
      </c>
      <c r="BK176" s="118">
        <f t="shared" si="2740"/>
        <v>0</v>
      </c>
      <c r="BL176" s="115">
        <f t="shared" si="2740"/>
        <v>0</v>
      </c>
      <c r="BM176" s="116">
        <f t="shared" si="2740"/>
        <v>0</v>
      </c>
      <c r="BN176" s="117">
        <f t="shared" si="2740"/>
        <v>0</v>
      </c>
      <c r="BO176" s="117">
        <f t="shared" si="2740"/>
        <v>0</v>
      </c>
      <c r="BP176" s="118">
        <f t="shared" si="2740"/>
        <v>0</v>
      </c>
      <c r="BQ176" s="115">
        <f t="shared" si="2740"/>
        <v>0</v>
      </c>
      <c r="BR176" s="116">
        <f t="shared" si="2740"/>
        <v>0</v>
      </c>
      <c r="BS176" s="117">
        <f t="shared" si="2740"/>
        <v>0</v>
      </c>
      <c r="BT176" s="117">
        <f t="shared" si="2740"/>
        <v>0</v>
      </c>
      <c r="BU176" s="118">
        <f t="shared" si="2740"/>
        <v>0</v>
      </c>
      <c r="BV176" s="115">
        <f t="shared" si="2740"/>
        <v>0</v>
      </c>
      <c r="BW176" s="116">
        <f t="shared" si="2740"/>
        <v>0</v>
      </c>
      <c r="BX176" s="117">
        <f t="shared" si="2740"/>
        <v>0</v>
      </c>
      <c r="BY176" s="117">
        <f t="shared" si="2740"/>
        <v>0</v>
      </c>
      <c r="BZ176" s="118">
        <f t="shared" si="2740"/>
        <v>0</v>
      </c>
      <c r="CA176" s="115">
        <f t="shared" si="2740"/>
        <v>0</v>
      </c>
      <c r="CB176" s="116">
        <f t="shared" si="2740"/>
        <v>0</v>
      </c>
      <c r="CC176" s="117">
        <f t="shared" si="2740"/>
        <v>0</v>
      </c>
      <c r="CD176" s="117">
        <f t="shared" si="2740"/>
        <v>1.427083333333333</v>
      </c>
      <c r="CE176" s="118">
        <f t="shared" si="2740"/>
        <v>2.140625</v>
      </c>
      <c r="CF176" s="115">
        <f t="shared" si="2740"/>
        <v>3.5677083333333321</v>
      </c>
      <c r="CG176" s="116">
        <f t="shared" si="2740"/>
        <v>-1.2427083333333329</v>
      </c>
      <c r="CH176" s="117">
        <f t="shared" si="2740"/>
        <v>-8.0093750000000021</v>
      </c>
      <c r="CI176" s="117">
        <f t="shared" si="2740"/>
        <v>7.5060416666666647</v>
      </c>
      <c r="CJ176" s="118">
        <f t="shared" si="2740"/>
        <v>6.7925000000000004</v>
      </c>
      <c r="CK176" s="115">
        <f t="shared" si="2740"/>
        <v>5.0464583333333337</v>
      </c>
      <c r="CL176" s="116">
        <f t="shared" si="2740"/>
        <v>10.175833333333333</v>
      </c>
      <c r="CM176" s="117">
        <f t="shared" si="2740"/>
        <v>16.942499999999999</v>
      </c>
      <c r="CN176" s="117">
        <f t="shared" si="2740"/>
        <v>5.3125</v>
      </c>
      <c r="CO176" s="118">
        <f t="shared" si="2740"/>
        <v>5.3125</v>
      </c>
      <c r="CP176" s="115">
        <f t="shared" si="2740"/>
        <v>37.743333333333332</v>
      </c>
      <c r="CQ176" s="116">
        <f t="shared" si="2740"/>
        <v>5.3125</v>
      </c>
      <c r="CR176" s="117">
        <f t="shared" si="2740"/>
        <v>5.3125</v>
      </c>
      <c r="CS176" s="117">
        <f t="shared" si="2740"/>
        <v>9.1666666666666661</v>
      </c>
      <c r="CT176" s="118">
        <f t="shared" si="2740"/>
        <v>7.5</v>
      </c>
      <c r="CU176" s="115">
        <f t="shared" si="2740"/>
        <v>27.291666666666664</v>
      </c>
      <c r="CV176" s="116">
        <f t="shared" si="2740"/>
        <v>7.5</v>
      </c>
      <c r="CW176" s="117">
        <f t="shared" si="2740"/>
        <v>7.5</v>
      </c>
      <c r="CX176" s="117">
        <f t="shared" si="2740"/>
        <v>6.7166666666666668</v>
      </c>
      <c r="CY176" s="118">
        <f t="shared" si="2740"/>
        <v>6.4</v>
      </c>
      <c r="CZ176" s="115">
        <f t="shared" si="2740"/>
        <v>28.116666666666667</v>
      </c>
    </row>
    <row r="177" spans="1:104" ht="12.75" customHeight="1">
      <c r="A177" s="4"/>
      <c r="B177" s="4"/>
      <c r="C177" s="90"/>
      <c r="D177" s="90"/>
      <c r="E177" s="106"/>
      <c r="F177" s="119"/>
      <c r="G177" s="119"/>
      <c r="H177" s="108"/>
      <c r="I177" s="109"/>
      <c r="J177" s="110"/>
      <c r="K177" s="180"/>
      <c r="L177" s="111"/>
      <c r="M177" s="112"/>
      <c r="N177" s="113"/>
      <c r="O177" s="113"/>
      <c r="P177" s="114"/>
      <c r="Q177" s="111"/>
      <c r="R177" s="112"/>
      <c r="S177" s="113"/>
      <c r="T177" s="113"/>
      <c r="U177" s="114"/>
      <c r="V177" s="111"/>
      <c r="W177" s="112"/>
      <c r="X177" s="113"/>
      <c r="Y177" s="113"/>
      <c r="Z177" s="114"/>
      <c r="AA177" s="111"/>
      <c r="AB177" s="112"/>
      <c r="AC177" s="113"/>
      <c r="AD177" s="113"/>
      <c r="AE177" s="114"/>
      <c r="AF177" s="111"/>
      <c r="AG177" s="112"/>
      <c r="AH177" s="113"/>
      <c r="AI177" s="113"/>
      <c r="AJ177" s="114"/>
      <c r="AK177" s="111"/>
      <c r="AL177" s="112"/>
      <c r="AM177" s="113"/>
      <c r="AN177" s="113"/>
      <c r="AO177" s="114"/>
      <c r="AP177" s="111"/>
      <c r="AQ177" s="112"/>
      <c r="AR177" s="113"/>
      <c r="AS177" s="113"/>
      <c r="AT177" s="114"/>
      <c r="AU177" s="111"/>
      <c r="AV177" s="112"/>
      <c r="AW177" s="113"/>
      <c r="AX177" s="113"/>
      <c r="AY177" s="114"/>
      <c r="AZ177" s="111"/>
      <c r="BA177" s="112"/>
      <c r="BB177" s="113"/>
      <c r="BC177" s="113"/>
      <c r="BD177" s="114"/>
      <c r="BE177" s="111"/>
      <c r="BF177" s="1883"/>
      <c r="BG177" s="2007"/>
      <c r="BH177" s="116"/>
      <c r="BI177" s="117"/>
      <c r="BJ177" s="117"/>
      <c r="BK177" s="118"/>
      <c r="BL177" s="115"/>
      <c r="BM177" s="116"/>
      <c r="BN177" s="117"/>
      <c r="BO177" s="117"/>
      <c r="BP177" s="118"/>
      <c r="BQ177" s="115"/>
      <c r="BR177" s="116"/>
      <c r="BS177" s="117"/>
      <c r="BT177" s="117"/>
      <c r="BU177" s="118"/>
      <c r="BV177" s="115"/>
      <c r="BW177" s="116"/>
      <c r="BX177" s="117"/>
      <c r="BY177" s="117"/>
      <c r="BZ177" s="118"/>
      <c r="CA177" s="115"/>
      <c r="CB177" s="116"/>
      <c r="CC177" s="117"/>
      <c r="CD177" s="117"/>
      <c r="CE177" s="118"/>
      <c r="CF177" s="115"/>
      <c r="CG177" s="116"/>
      <c r="CH177" s="117"/>
      <c r="CI177" s="117"/>
      <c r="CJ177" s="118"/>
      <c r="CK177" s="115"/>
      <c r="CL177" s="116"/>
      <c r="CM177" s="117"/>
      <c r="CN177" s="117"/>
      <c r="CO177" s="118"/>
      <c r="CP177" s="115"/>
      <c r="CQ177" s="116"/>
      <c r="CR177" s="117"/>
      <c r="CS177" s="117"/>
      <c r="CT177" s="118"/>
      <c r="CU177" s="115"/>
      <c r="CV177" s="116"/>
      <c r="CW177" s="117"/>
      <c r="CX177" s="117"/>
      <c r="CY177" s="118"/>
      <c r="CZ177" s="115"/>
    </row>
    <row r="178" spans="1:104" ht="12.75" customHeight="1">
      <c r="A178" s="4"/>
      <c r="B178" s="4"/>
      <c r="C178" s="90"/>
      <c r="D178" s="90"/>
      <c r="E178" s="106"/>
      <c r="F178" s="119"/>
      <c r="G178" s="119"/>
      <c r="H178" s="108"/>
      <c r="I178" s="109"/>
      <c r="J178" s="110"/>
      <c r="K178" s="180"/>
      <c r="L178" s="111"/>
      <c r="M178" s="112"/>
      <c r="N178" s="113"/>
      <c r="O178" s="113"/>
      <c r="P178" s="114"/>
      <c r="Q178" s="111"/>
      <c r="R178" s="112"/>
      <c r="S178" s="113"/>
      <c r="T178" s="113"/>
      <c r="U178" s="114"/>
      <c r="V178" s="111"/>
      <c r="W178" s="112"/>
      <c r="X178" s="113"/>
      <c r="Y178" s="113"/>
      <c r="Z178" s="114"/>
      <c r="AA178" s="111"/>
      <c r="AB178" s="112"/>
      <c r="AC178" s="113"/>
      <c r="AD178" s="113"/>
      <c r="AE178" s="114"/>
      <c r="AF178" s="111"/>
      <c r="AG178" s="112"/>
      <c r="AH178" s="113"/>
      <c r="AI178" s="113"/>
      <c r="AJ178" s="114"/>
      <c r="AK178" s="111"/>
      <c r="AL178" s="112"/>
      <c r="AM178" s="113"/>
      <c r="AN178" s="113"/>
      <c r="AO178" s="114"/>
      <c r="AP178" s="111"/>
      <c r="AQ178" s="112"/>
      <c r="AR178" s="113"/>
      <c r="AS178" s="113"/>
      <c r="AT178" s="114"/>
      <c r="AU178" s="111"/>
      <c r="AV178" s="112"/>
      <c r="AW178" s="113"/>
      <c r="AX178" s="113"/>
      <c r="AY178" s="114"/>
      <c r="AZ178" s="111"/>
      <c r="BA178" s="112"/>
      <c r="BB178" s="113"/>
      <c r="BC178" s="113"/>
      <c r="BD178" s="114"/>
      <c r="BE178" s="111"/>
      <c r="BF178" s="1883"/>
      <c r="BG178" s="2007"/>
      <c r="BH178" s="116"/>
      <c r="BI178" s="117"/>
      <c r="BJ178" s="117"/>
      <c r="BK178" s="118"/>
      <c r="BL178" s="115"/>
      <c r="BM178" s="116"/>
      <c r="BN178" s="117"/>
      <c r="BO178" s="117"/>
      <c r="BP178" s="118"/>
      <c r="BQ178" s="115"/>
      <c r="BR178" s="116"/>
      <c r="BS178" s="117"/>
      <c r="BT178" s="117"/>
      <c r="BU178" s="118"/>
      <c r="BV178" s="115"/>
      <c r="BW178" s="116"/>
      <c r="BX178" s="117"/>
      <c r="BY178" s="117"/>
      <c r="BZ178" s="118"/>
      <c r="CA178" s="115"/>
      <c r="CB178" s="116"/>
      <c r="CC178" s="117"/>
      <c r="CD178" s="117"/>
      <c r="CE178" s="118"/>
      <c r="CF178" s="115"/>
      <c r="CG178" s="116"/>
      <c r="CH178" s="117"/>
      <c r="CI178" s="117"/>
      <c r="CJ178" s="118"/>
      <c r="CK178" s="115"/>
      <c r="CL178" s="116"/>
      <c r="CM178" s="117"/>
      <c r="CN178" s="117"/>
      <c r="CO178" s="118"/>
      <c r="CP178" s="115"/>
      <c r="CQ178" s="116"/>
      <c r="CR178" s="117"/>
      <c r="CS178" s="117"/>
      <c r="CT178" s="118"/>
      <c r="CU178" s="115"/>
      <c r="CV178" s="116"/>
      <c r="CW178" s="117"/>
      <c r="CX178" s="117"/>
      <c r="CY178" s="118"/>
      <c r="CZ178" s="115"/>
    </row>
    <row r="179" spans="1:104" ht="12.75" customHeight="1">
      <c r="A179" s="4"/>
      <c r="B179" s="73" t="s">
        <v>634</v>
      </c>
      <c r="C179" s="74"/>
      <c r="D179" s="15"/>
      <c r="E179" s="75"/>
      <c r="F179" s="76"/>
      <c r="G179" s="76"/>
      <c r="H179" s="128"/>
      <c r="I179" s="128"/>
      <c r="J179" s="190"/>
      <c r="K179" s="80"/>
      <c r="L179" s="81"/>
      <c r="M179" s="82"/>
      <c r="N179" s="83"/>
      <c r="O179" s="83"/>
      <c r="P179" s="84"/>
      <c r="Q179" s="81"/>
      <c r="R179" s="82"/>
      <c r="S179" s="83"/>
      <c r="T179" s="83"/>
      <c r="U179" s="84"/>
      <c r="V179" s="81"/>
      <c r="W179" s="82"/>
      <c r="X179" s="83"/>
      <c r="Y179" s="83"/>
      <c r="Z179" s="84"/>
      <c r="AA179" s="81"/>
      <c r="AB179" s="82"/>
      <c r="AC179" s="83"/>
      <c r="AD179" s="83"/>
      <c r="AE179" s="84"/>
      <c r="AF179" s="81"/>
      <c r="AG179" s="82"/>
      <c r="AH179" s="83"/>
      <c r="AI179" s="83"/>
      <c r="AJ179" s="84"/>
      <c r="AK179" s="81"/>
      <c r="AL179" s="82"/>
      <c r="AM179" s="83"/>
      <c r="AN179" s="83"/>
      <c r="AO179" s="84"/>
      <c r="AP179" s="81"/>
      <c r="AQ179" s="82"/>
      <c r="AR179" s="83"/>
      <c r="AS179" s="83"/>
      <c r="AT179" s="84"/>
      <c r="AU179" s="81"/>
      <c r="AV179" s="82"/>
      <c r="AW179" s="83"/>
      <c r="AX179" s="83"/>
      <c r="AY179" s="84"/>
      <c r="AZ179" s="81"/>
      <c r="BA179" s="82"/>
      <c r="BB179" s="83"/>
      <c r="BC179" s="83"/>
      <c r="BD179" s="84"/>
      <c r="BE179" s="81"/>
      <c r="BF179" s="1884"/>
      <c r="BG179" s="2005"/>
      <c r="BH179" s="86"/>
      <c r="BI179" s="87"/>
      <c r="BJ179" s="87"/>
      <c r="BK179" s="88"/>
      <c r="BL179" s="85"/>
      <c r="BM179" s="86"/>
      <c r="BN179" s="87"/>
      <c r="BO179" s="87"/>
      <c r="BP179" s="88"/>
      <c r="BQ179" s="85"/>
      <c r="BR179" s="86"/>
      <c r="BS179" s="87"/>
      <c r="BT179" s="87"/>
      <c r="BU179" s="88"/>
      <c r="BV179" s="85"/>
      <c r="BW179" s="86"/>
      <c r="BX179" s="87"/>
      <c r="BY179" s="87"/>
      <c r="BZ179" s="88"/>
      <c r="CA179" s="85"/>
      <c r="CB179" s="86"/>
      <c r="CC179" s="87"/>
      <c r="CD179" s="87"/>
      <c r="CE179" s="88"/>
      <c r="CF179" s="85"/>
      <c r="CG179" s="86"/>
      <c r="CH179" s="87"/>
      <c r="CI179" s="87"/>
      <c r="CJ179" s="88"/>
      <c r="CK179" s="85"/>
      <c r="CL179" s="86"/>
      <c r="CM179" s="87"/>
      <c r="CN179" s="87"/>
      <c r="CO179" s="88"/>
      <c r="CP179" s="85"/>
      <c r="CQ179" s="86"/>
      <c r="CR179" s="87"/>
      <c r="CS179" s="87"/>
      <c r="CT179" s="88"/>
      <c r="CU179" s="85"/>
      <c r="CV179" s="86"/>
      <c r="CW179" s="87"/>
      <c r="CX179" s="87"/>
      <c r="CY179" s="88"/>
      <c r="CZ179" s="85"/>
    </row>
    <row r="180" spans="1:104" ht="12.75" customHeight="1">
      <c r="A180" s="4"/>
      <c r="B180" s="200"/>
      <c r="C180" s="38"/>
      <c r="D180" s="1"/>
      <c r="E180" s="75"/>
      <c r="F180" s="76"/>
      <c r="G180" s="76"/>
      <c r="H180" s="128"/>
      <c r="I180" s="128"/>
      <c r="J180" s="190"/>
      <c r="K180" s="80"/>
      <c r="L180" s="81"/>
      <c r="M180" s="82"/>
      <c r="N180" s="83"/>
      <c r="O180" s="83"/>
      <c r="P180" s="84"/>
      <c r="Q180" s="81"/>
      <c r="R180" s="82"/>
      <c r="S180" s="83"/>
      <c r="T180" s="83"/>
      <c r="U180" s="84"/>
      <c r="V180" s="81"/>
      <c r="W180" s="82"/>
      <c r="X180" s="83"/>
      <c r="Y180" s="83"/>
      <c r="Z180" s="84"/>
      <c r="AA180" s="81"/>
      <c r="AB180" s="82"/>
      <c r="AC180" s="83"/>
      <c r="AD180" s="83"/>
      <c r="AE180" s="84"/>
      <c r="AF180" s="81"/>
      <c r="AG180" s="82"/>
      <c r="AH180" s="83"/>
      <c r="AI180" s="83"/>
      <c r="AJ180" s="84"/>
      <c r="AK180" s="81"/>
      <c r="AL180" s="82"/>
      <c r="AM180" s="83"/>
      <c r="AN180" s="83"/>
      <c r="AO180" s="84"/>
      <c r="AP180" s="81"/>
      <c r="AQ180" s="82"/>
      <c r="AR180" s="83"/>
      <c r="AS180" s="83"/>
      <c r="AT180" s="84"/>
      <c r="AU180" s="81"/>
      <c r="AV180" s="82"/>
      <c r="AW180" s="83"/>
      <c r="AX180" s="83"/>
      <c r="AY180" s="84"/>
      <c r="AZ180" s="81"/>
      <c r="BA180" s="82"/>
      <c r="BB180" s="83"/>
      <c r="BC180" s="83"/>
      <c r="BD180" s="84"/>
      <c r="BE180" s="81"/>
      <c r="BF180" s="1884"/>
      <c r="BG180" s="2005"/>
      <c r="BH180" s="86"/>
      <c r="BI180" s="87"/>
      <c r="BJ180" s="87"/>
      <c r="BK180" s="88"/>
      <c r="BL180" s="85"/>
      <c r="BM180" s="86"/>
      <c r="BN180" s="87"/>
      <c r="BO180" s="87"/>
      <c r="BP180" s="88"/>
      <c r="BQ180" s="85"/>
      <c r="BR180" s="86"/>
      <c r="BS180" s="87"/>
      <c r="BT180" s="87"/>
      <c r="BU180" s="88"/>
      <c r="BV180" s="85"/>
      <c r="BW180" s="86"/>
      <c r="BX180" s="87"/>
      <c r="BY180" s="87"/>
      <c r="BZ180" s="88"/>
      <c r="CA180" s="85"/>
      <c r="CB180" s="86"/>
      <c r="CC180" s="87"/>
      <c r="CD180" s="87"/>
      <c r="CE180" s="88"/>
      <c r="CF180" s="85"/>
      <c r="CG180" s="86"/>
      <c r="CH180" s="87"/>
      <c r="CI180" s="87"/>
      <c r="CJ180" s="88"/>
      <c r="CK180" s="85"/>
      <c r="CL180" s="86"/>
      <c r="CM180" s="87"/>
      <c r="CN180" s="87"/>
      <c r="CO180" s="88"/>
      <c r="CP180" s="85"/>
      <c r="CQ180" s="86"/>
      <c r="CR180" s="87"/>
      <c r="CS180" s="87"/>
      <c r="CT180" s="88"/>
      <c r="CU180" s="85"/>
      <c r="CV180" s="86"/>
      <c r="CW180" s="87"/>
      <c r="CX180" s="87"/>
      <c r="CY180" s="88"/>
      <c r="CZ180" s="85"/>
    </row>
    <row r="181" spans="1:104" ht="12.75" customHeight="1">
      <c r="A181" s="4"/>
      <c r="B181" s="4"/>
      <c r="C181" s="139" t="s">
        <v>532</v>
      </c>
      <c r="D181" s="139"/>
      <c r="E181" s="205"/>
      <c r="F181" s="1822"/>
      <c r="G181" s="1822"/>
      <c r="H181" s="166"/>
      <c r="I181" s="78"/>
      <c r="J181" s="79"/>
      <c r="K181" s="191"/>
      <c r="L181" s="81"/>
      <c r="M181" s="82"/>
      <c r="N181" s="83"/>
      <c r="O181" s="83"/>
      <c r="P181" s="84"/>
      <c r="Q181" s="81"/>
      <c r="R181" s="82"/>
      <c r="S181" s="83"/>
      <c r="T181" s="83"/>
      <c r="U181" s="84"/>
      <c r="V181" s="81"/>
      <c r="W181" s="82"/>
      <c r="X181" s="83"/>
      <c r="Y181" s="83"/>
      <c r="Z181" s="84"/>
      <c r="AA181" s="81"/>
      <c r="AB181" s="82"/>
      <c r="AC181" s="83"/>
      <c r="AD181" s="83"/>
      <c r="AE181" s="84"/>
      <c r="AF181" s="81"/>
      <c r="AG181" s="82"/>
      <c r="AH181" s="83"/>
      <c r="AI181" s="83"/>
      <c r="AJ181" s="84"/>
      <c r="AK181" s="81"/>
      <c r="AL181" s="82"/>
      <c r="AM181" s="83"/>
      <c r="AN181" s="83"/>
      <c r="AO181" s="84"/>
      <c r="AP181" s="81"/>
      <c r="AQ181" s="82"/>
      <c r="AR181" s="83"/>
      <c r="AS181" s="83"/>
      <c r="AT181" s="84"/>
      <c r="AU181" s="81"/>
      <c r="AV181" s="82"/>
      <c r="AW181" s="83"/>
      <c r="AX181" s="83"/>
      <c r="AY181" s="84"/>
      <c r="AZ181" s="81"/>
      <c r="BA181" s="82"/>
      <c r="BB181" s="83"/>
      <c r="BC181" s="83"/>
      <c r="BD181" s="84"/>
      <c r="BE181" s="81"/>
      <c r="BF181" s="1884"/>
      <c r="BG181" s="2005"/>
      <c r="BH181" s="86"/>
      <c r="BI181" s="87"/>
      <c r="BJ181" s="87"/>
      <c r="BK181" s="88"/>
      <c r="BL181" s="85"/>
      <c r="BM181" s="86"/>
      <c r="BN181" s="87"/>
      <c r="BO181" s="87"/>
      <c r="BP181" s="88"/>
      <c r="BQ181" s="85"/>
      <c r="BR181" s="86"/>
      <c r="BS181" s="87"/>
      <c r="BT181" s="87"/>
      <c r="BU181" s="88"/>
      <c r="BV181" s="85"/>
      <c r="BW181" s="86"/>
      <c r="BX181" s="87"/>
      <c r="BY181" s="87"/>
      <c r="BZ181" s="88"/>
      <c r="CA181" s="85"/>
      <c r="CB181" s="86"/>
      <c r="CC181" s="87"/>
      <c r="CD181" s="87"/>
      <c r="CE181" s="88"/>
      <c r="CF181" s="85"/>
      <c r="CG181" s="86"/>
      <c r="CH181" s="87"/>
      <c r="CI181" s="87"/>
      <c r="CJ181" s="88"/>
      <c r="CK181" s="85"/>
      <c r="CL181" s="86"/>
      <c r="CM181" s="87"/>
      <c r="CN181" s="87"/>
      <c r="CO181" s="88"/>
      <c r="CP181" s="85"/>
      <c r="CQ181" s="86"/>
      <c r="CR181" s="87"/>
      <c r="CS181" s="87"/>
      <c r="CT181" s="88"/>
      <c r="CU181" s="85"/>
      <c r="CV181" s="86"/>
      <c r="CW181" s="87"/>
      <c r="CX181" s="87"/>
      <c r="CY181" s="88"/>
      <c r="CZ181" s="85"/>
    </row>
    <row r="182" spans="1:104" ht="12.75" customHeight="1">
      <c r="A182" s="4"/>
      <c r="B182" s="4"/>
      <c r="C182" s="1327" t="s">
        <v>998</v>
      </c>
      <c r="D182" s="157"/>
      <c r="E182" s="2115">
        <f t="shared" ref="E182:E190" si="2741">IF(F182=0,G182,F182)</f>
        <v>250</v>
      </c>
      <c r="F182" s="2313">
        <v>250</v>
      </c>
      <c r="G182" s="1511">
        <v>250</v>
      </c>
      <c r="H182" s="1334">
        <v>2022</v>
      </c>
      <c r="I182" s="325">
        <v>2.8000000000000001E-2</v>
      </c>
      <c r="J182" s="1334">
        <v>8</v>
      </c>
      <c r="K182" s="80"/>
      <c r="L182" s="81">
        <f>IF(L$5=$H182,-$E182,0)</f>
        <v>0</v>
      </c>
      <c r="M182" s="82">
        <f>IF(Q182=0,0,IF(Q182&lt;0,IF($J182=3,Q182,IF($J182=2,Q182,IF($J182=1,Q182,0)))))</f>
        <v>0</v>
      </c>
      <c r="N182" s="83">
        <f>IF(Q182=0,0,IF(Q182&lt;0,IF($J182=6,Q182,IF($J182=5,Q182,IF($J182=4,Q182,0)))))</f>
        <v>0</v>
      </c>
      <c r="O182" s="83">
        <f>IF(Q182=0,0,IF(Q182&lt;0,IF($J182=9,Q182,IF($J182=8,Q182,IF($J182=7,Q182,0)))))</f>
        <v>0</v>
      </c>
      <c r="P182" s="84">
        <f>IF(Q182=0,0,IF(Q182&lt;0,IF($J182=12,Q182,IF($J182=11,Q182,IF($J182=10,Q182,0)))))</f>
        <v>0</v>
      </c>
      <c r="Q182" s="81">
        <f>IF(Q$5=$H182,-$E182,0)</f>
        <v>0</v>
      </c>
      <c r="R182" s="82">
        <f>IF(V182=0,0,IF(V182&lt;0,IF($J182=3,V182,IF($J182=2,V182,IF($J182=1,V182,0)))))</f>
        <v>0</v>
      </c>
      <c r="S182" s="83">
        <f>IF(V182=0,0,IF(V182&lt;0,IF($J182=6,V182,IF($J182=5,V182,IF($J182=4,V182,0)))))</f>
        <v>0</v>
      </c>
      <c r="T182" s="83">
        <f>IF(V182=0,0,IF(V182&lt;0,IF($J182=9,V182,IF($J182=8,V182,IF($J182=7,V182,0)))))</f>
        <v>0</v>
      </c>
      <c r="U182" s="84">
        <f>IF(V182=0,0,IF(V182&lt;0,IF($J182=12,V182,IF($J182=11,V182,IF($J182=10,V182,0)))))</f>
        <v>0</v>
      </c>
      <c r="V182" s="81">
        <f>IF(V$5=$H182,-$E182,0)</f>
        <v>0</v>
      </c>
      <c r="W182" s="82">
        <f>IF(AA182=0,0,IF(AA182&lt;0,IF($J182=3,AA182,IF($J182=2,AA182,IF($J182=1,AA182,0)))))</f>
        <v>0</v>
      </c>
      <c r="X182" s="83">
        <f>IF(AA182=0,0,IF(AA182&lt;0,IF($J182=6,AA182,IF($J182=5,AA182,IF($J182=4,AA182,0)))))</f>
        <v>0</v>
      </c>
      <c r="Y182" s="83">
        <f>IF(AA182=0,0,IF(AA182&lt;0,IF($J182=9,AA182,IF($J182=8,AA182,IF($J182=7,AA182,0)))))</f>
        <v>0</v>
      </c>
      <c r="Z182" s="84">
        <f>IF(AA182=0,0,IF(AA182&lt;0,IF($J182=12,AA182,IF($J182=11,AA182,IF($J182=10,AA182,0)))))</f>
        <v>0</v>
      </c>
      <c r="AA182" s="81">
        <f>IF(AA$5=$H182,-$E182,0)</f>
        <v>0</v>
      </c>
      <c r="AB182" s="82">
        <f>IF(AF182=0,0,IF(AF182&lt;0,IF($J182=3,AF182,IF($J182=2,AF182,IF($J182=1,AF182,0)))))</f>
        <v>0</v>
      </c>
      <c r="AC182" s="83">
        <f>IF(AF182=0,0,IF(AF182&lt;0,IF($J182=6,AF182,IF($J182=5,AF182,IF($J182=4,AF182,0)))))</f>
        <v>0</v>
      </c>
      <c r="AD182" s="83">
        <f>IF(AF182=0,0,IF(AF182&lt;0,IF($J182=9,AF182,IF($J182=8,AF182,IF($J182=7,AF182,0)))))</f>
        <v>0</v>
      </c>
      <c r="AE182" s="84">
        <f>IF(AF182=0,0,IF(AF182&lt;0,IF($J182=12,AF182,IF($J182=11,AF182,IF($J182=10,AF182,0)))))</f>
        <v>0</v>
      </c>
      <c r="AF182" s="81">
        <f>IF(AF$5=$H182,-$E182,0)</f>
        <v>0</v>
      </c>
      <c r="AG182" s="82">
        <f t="shared" ref="AG182:AG185" si="2742">IF(AK182=0,0,IF(AK182&lt;0,IF($J182=3,AK182,IF($J182=2,AK182,IF($J182=1,AK182,0)))))</f>
        <v>0</v>
      </c>
      <c r="AH182" s="83">
        <f t="shared" ref="AH182:AH185" si="2743">IF(AK182=0,0,IF(AK182&lt;0,IF($J182=6,AK182,IF($J182=5,AK182,IF($J182=4,AK182,0)))))</f>
        <v>0</v>
      </c>
      <c r="AI182" s="83">
        <f t="shared" ref="AI182:AI185" si="2744">IF(AK182=0,0,IF(AK182&lt;0,IF($J182=9,AK182,IF($J182=8,AK182,IF($J182=7,AK182,0)))))</f>
        <v>0</v>
      </c>
      <c r="AJ182" s="84">
        <f t="shared" ref="AJ182:AJ185" si="2745">IF(AK182=0,0,IF(AK182&lt;0,IF($J182=12,AK182,IF($J182=11,AK182,IF($J182=10,AK182,0)))))</f>
        <v>0</v>
      </c>
      <c r="AK182" s="81">
        <f>IF(AK$5=$H182,-$E182,0)</f>
        <v>0</v>
      </c>
      <c r="AL182" s="82">
        <f t="shared" ref="AL182:AL185" si="2746">IF(AP182=0,0,IF(AP182&lt;0,IF($J182=3,AP182,IF($J182=2,AP182,IF($J182=1,AP182,0)))))</f>
        <v>0</v>
      </c>
      <c r="AM182" s="83">
        <f t="shared" ref="AM182:AM185" si="2747">IF(AP182=0,0,IF(AP182&lt;0,IF($J182=6,AP182,IF($J182=5,AP182,IF($J182=4,AP182,0)))))</f>
        <v>0</v>
      </c>
      <c r="AN182" s="83">
        <f t="shared" ref="AN182:AN185" si="2748">IF(AP182=0,0,IF(AP182&lt;0,IF($J182=9,AP182,IF($J182=8,AP182,IF($J182=7,AP182,0)))))</f>
        <v>0</v>
      </c>
      <c r="AO182" s="84">
        <f t="shared" ref="AO182:AO185" si="2749">IF(AP182=0,0,IF(AP182&lt;0,IF($J182=12,AP182,IF($J182=11,AP182,IF($J182=10,AP182,0)))))</f>
        <v>0</v>
      </c>
      <c r="AP182" s="81">
        <f>IF(AP$5=$H182,-$E182,0)</f>
        <v>0</v>
      </c>
      <c r="AQ182" s="82">
        <f t="shared" ref="AQ182:AQ185" si="2750">IF(AU182=0,0,IF(AU182&lt;0,IF($J182=3,AU182,IF($J182=2,AU182,IF($J182=1,AU182,0)))))</f>
        <v>0</v>
      </c>
      <c r="AR182" s="83">
        <f t="shared" ref="AR182:AR185" si="2751">IF(AU182=0,0,IF(AU182&lt;0,IF($J182=6,AU182,IF($J182=5,AU182,IF($J182=4,AU182,0)))))</f>
        <v>0</v>
      </c>
      <c r="AS182" s="83">
        <f t="shared" ref="AS182:AS185" si="2752">IF(AU182=0,0,IF(AU182&lt;0,IF($J182=9,AU182,IF($J182=8,AU182,IF($J182=7,AU182,0)))))</f>
        <v>0</v>
      </c>
      <c r="AT182" s="84">
        <f t="shared" ref="AT182:AT185" si="2753">IF(AU182=0,0,IF(AU182&lt;0,IF($J182=12,AU182,IF($J182=11,AU182,IF($J182=10,AU182,0)))))</f>
        <v>0</v>
      </c>
      <c r="AU182" s="81">
        <f>IF(AU$5=$H182,-$E182,0)</f>
        <v>0</v>
      </c>
      <c r="AV182" s="82">
        <f t="shared" ref="AV182:AV185" si="2754">IF(AZ182=0,0,IF(AZ182&lt;0,IF($J182=3,AZ182,IF($J182=2,AZ182,IF($J182=1,AZ182,0)))))</f>
        <v>0</v>
      </c>
      <c r="AW182" s="83">
        <f t="shared" ref="AW182:AW185" si="2755">IF(AZ182=0,0,IF(AZ182&lt;0,IF($J182=6,AZ182,IF($J182=5,AZ182,IF($J182=4,AZ182,0)))))</f>
        <v>0</v>
      </c>
      <c r="AX182" s="83">
        <f t="shared" ref="AX182:AX185" si="2756">IF(AZ182=0,0,IF(AZ182&lt;0,IF($J182=9,AZ182,IF($J182=8,AZ182,IF($J182=7,AZ182,0)))))</f>
        <v>0</v>
      </c>
      <c r="AY182" s="84">
        <f t="shared" ref="AY182:AY185" si="2757">IF(AZ182=0,0,IF(AZ182&lt;0,IF($J182=12,AZ182,IF($J182=11,AZ182,IF($J182=10,AZ182,0)))))</f>
        <v>0</v>
      </c>
      <c r="AZ182" s="81">
        <f>IF(AZ$5=$H182,-$E182,0)</f>
        <v>0</v>
      </c>
      <c r="BA182" s="82">
        <f t="shared" ref="BA182:BA185" si="2758">IF(BE182=0,0,IF(BE182&lt;0,IF($J182=3,BE182,IF($J182=2,BE182,IF($J182=1,BE182,0)))))</f>
        <v>0</v>
      </c>
      <c r="BB182" s="83">
        <f t="shared" ref="BB182:BB185" si="2759">IF(BE182=0,0,IF(BE182&lt;0,IF($J182=6,BE182,IF($J182=5,BE182,IF($J182=4,BE182,0)))))</f>
        <v>0</v>
      </c>
      <c r="BC182" s="83">
        <f t="shared" ref="BC182:BC185" si="2760">IF(BE182=0,0,IF(BE182&lt;0,IF($J182=9,BE182,IF($J182=8,BE182,IF($J182=7,BE182,0)))))</f>
        <v>0</v>
      </c>
      <c r="BD182" s="84">
        <f t="shared" ref="BD182:BD185" si="2761">IF(BE182=0,0,IF(BE182&lt;0,IF($J182=12,BE182,IF($J182=11,BE182,IF($J182=10,BE182,0)))))</f>
        <v>0</v>
      </c>
      <c r="BE182" s="81">
        <f>IF(BE$5=$H182,-$E182,0)</f>
        <v>0</v>
      </c>
      <c r="BF182" s="1877"/>
      <c r="BG182" s="2005">
        <f t="shared" ref="BG182:BG189" si="2762">IF(AND(BF182&lt;&gt;0,BF$5=$H182),-$I182*$E182-BF182,IF(BG$5=$H182,-$I182*$E182*(12-$J182+1)/12,0))</f>
        <v>0</v>
      </c>
      <c r="BH182" s="86">
        <f>IF($H182&lt;&gt;BL$5,0,IF(BL182&lt;0,IF($J182=1,-$E182*$I182/12*3,IF($J182=2,-$E182*$I182/12*2,IF($J182=3,-$E182*$I182/12*1,0)))))+IF(BG$5&lt;&gt;$H182,0,IF(BG182&lt;0,IF($J182=1,-$E182*$I182/12*0,IF($J182=2,-$E182*$I182/12*1,IF($J182=3,-$E182*$I182/12*2,IF($J182&gt;=4,-$E182*$I182/12*3,0))))))</f>
        <v>0</v>
      </c>
      <c r="BI182" s="87">
        <f>IF($H182&lt;&gt;BL$5,0,IF(BL182&lt;0,IF(OR($J182=1,$J182=2,$J182=3,$J182=4),-$E182*$I182/12*3,IF($J182=5,-$E182*$I182/12*2,IF($J182=6,-$E182*$I182/12*1,0)))))+IF(BG$5&lt;&gt;$H182,0,IF(BG182&lt;0,IF($J182=4,-$E182*$I182/12*0,IF($J182=5,-$E182*$I182/12*1,IF($J182=6,-$E182*$I182/12*2,IF($J182&gt;=7,-$E182*$I182/12*3,0))))))</f>
        <v>0</v>
      </c>
      <c r="BJ182" s="87">
        <f>IF($H182&lt;&gt;BL$5,0,IF(BL182&lt;0,IF(OR($J182=1,$J182=2,$J182=3,$J182=4,$J182=5,$J182=6,$J182=7),-$E182*$I182/12*3,IF($J182=8,-$E182*$I182/12*2,IF($J182=9,-$E182*$I182/12*1,0)))))+IF(BG$5&lt;&gt;$H182,0,IF(BG182&lt;0,IF($J182=7,-$E182*$I182/12*0,IF($J182=8,-$E182*$I182/12*1,IF($J182=9,-$E182*$I182/12*2,IF($J182&gt;=10,-$E182*$I182/12*3,0))))))</f>
        <v>0</v>
      </c>
      <c r="BK182" s="88">
        <f>IF($H182&lt;&gt;BL$5,0,IF(BL182&lt;0,IF(OR($J182=1,$J182=2,$J182=3,$J182=4,$J182=5,$J182=6,$J182=7,$J182=8,$J182=9,$J182=10),-$E182*$I182/12*3,IF($J182=11,-$E182*$I182/12*2,IF($J182=12,-$E182*$I182/12*1,0)))))+IF(BG$5&lt;&gt;$H182,0,IF(BG182&lt;0,IF($J182=10,-$E182*$I182/12*0,IF($J182=11,-$E182*$I182/12*1,IF($J182=12,-$E182*$I182/12*2,0)))))</f>
        <v>0</v>
      </c>
      <c r="BL182" s="85">
        <f>IF(AND(BG182&lt;&gt;0,BG$5=$H182),-$I182*$E182-BG182,IF(BL$5=$H182,-$I182*$E182*(12-$J182+1)/12,0))</f>
        <v>0</v>
      </c>
      <c r="BM182" s="86">
        <f>IF($H182&lt;&gt;BQ$5,0,IF(BQ182&lt;0,IF($J182=1,-$E182*$I182/12*3,IF($J182=2,-$E182*$I182/12*2,IF($J182=3,-$E182*$I182/12*1,0)))))+IF(BL$5&lt;&gt;$H182,0,IF(BL182&lt;0,IF($J182=1,-$E182*$I182/12*0,IF($J182=2,-$E182*$I182/12*1,IF($J182=3,-$E182*$I182/12*2,IF($J182&gt;=4,-$E182*$I182/12*3,0))))))</f>
        <v>0</v>
      </c>
      <c r="BN182" s="87">
        <f>IF($H182&lt;&gt;BQ$5,0,IF(BQ182&lt;0,IF(OR($J182=1,$J182=2,$J182=3,$J182=4),-$E182*$I182/12*3,IF($J182=5,-$E182*$I182/12*2,IF($J182=6,-$E182*$I182/12*1,0)))))+IF(BL$5&lt;&gt;$H182,0,IF(BL182&lt;0,IF($J182=4,-$E182*$I182/12*0,IF($J182=5,-$E182*$I182/12*1,IF($J182=6,-$E182*$I182/12*2,IF($J182&gt;=7,-$E182*$I182/12*3,0))))))</f>
        <v>0</v>
      </c>
      <c r="BO182" s="87">
        <f>IF($H182&lt;&gt;BQ$5,0,IF(BQ182&lt;0,IF(OR($J182=1,$J182=2,$J182=3,$J182=4,$J182=5,$J182=6,$J182=7),-$E182*$I182/12*3,IF($J182=8,-$E182*$I182/12*2,IF($J182=9,-$E182*$I182/12*1,0)))))+IF(BL$5&lt;&gt;$H182,0,IF(BL182&lt;0,IF($J182=7,-$E182*$I182/12*0,IF($J182=8,-$E182*$I182/12*1,IF($J182=9,-$E182*$I182/12*2,IF($J182&gt;=10,-$E182*$I182/12*3,0))))))</f>
        <v>0</v>
      </c>
      <c r="BP182" s="88">
        <f>IF($H182&lt;&gt;BQ$5,0,IF(BQ182&lt;0,IF(OR($J182=1,$J182=2,$J182=3,$J182=4,$J182=5,$J182=6,$J182=7,$J182=8,$J182=9,$J182=10),-$E182*$I182/12*3,IF($J182=11,-$E182*$I182/12*2,IF($J182=12,-$E182*$I182/12*1,0)))))+IF(BL$5&lt;&gt;$H182,0,IF(BL182&lt;0,IF($J182=10,-$E182*$I182/12*0,IF($J182=11,-$E182*$I182/12*1,IF($J182=12,-$E182*$I182/12*2,0)))))</f>
        <v>0</v>
      </c>
      <c r="BQ182" s="85">
        <f>IF(AND(BL182&lt;&gt;0,BL$5=$H182),-$I182*$E182-BL182,IF(BQ$5=$H182,-$I182*$E182*(12-$J182+1)/12,0))</f>
        <v>0</v>
      </c>
      <c r="BR182" s="86">
        <f>IF($H182&lt;&gt;BV$5,0,IF(BV182&lt;0,IF($J182=1,-$E182*$I182/12*3,IF($J182=2,-$E182*$I182/12*2,IF($J182=3,-$E182*$I182/12*1,0)))))+IF(BQ$5&lt;&gt;$H182,0,IF(BQ182&lt;0,IF($J182=1,-$E182*$I182/12*0,IF($J182=2,-$E182*$I182/12*1,IF($J182=3,-$E182*$I182/12*2,IF($J182&gt;=4,-$E182*$I182/12*3,0))))))</f>
        <v>0</v>
      </c>
      <c r="BS182" s="87">
        <f>IF($H182&lt;&gt;BV$5,0,IF(BV182&lt;0,IF(OR($J182=1,$J182=2,$J182=3,$J182=4),-$E182*$I182/12*3,IF($J182=5,-$E182*$I182/12*2,IF($J182=6,-$E182*$I182/12*1,0)))))+IF(BQ$5&lt;&gt;$H182,0,IF(BQ182&lt;0,IF($J182=4,-$E182*$I182/12*0,IF($J182=5,-$E182*$I182/12*1,IF($J182=6,-$E182*$I182/12*2,IF($J182&gt;=7,-$E182*$I182/12*3,0))))))</f>
        <v>0</v>
      </c>
      <c r="BT182" s="87">
        <f>IF($H182&lt;&gt;BV$5,0,IF(BV182&lt;0,IF(OR($J182=1,$J182=2,$J182=3,$J182=4,$J182=5,$J182=6,$J182=7),-$E182*$I182/12*3,IF($J182=8,-$E182*$I182/12*2,IF($J182=9,-$E182*$I182/12*1,0)))))+IF(BQ$5&lt;&gt;$H182,0,IF(BQ182&lt;0,IF($J182=7,-$E182*$I182/12*0,IF($J182=8,-$E182*$I182/12*1,IF($J182=9,-$E182*$I182/12*2,IF($J182&gt;=10,-$E182*$I182/12*3,0))))))</f>
        <v>0</v>
      </c>
      <c r="BU182" s="88">
        <f>IF($H182&lt;&gt;BV$5,0,IF(BV182&lt;0,IF(OR($J182=1,$J182=2,$J182=3,$J182=4,$J182=5,$J182=6,$J182=7,$J182=8,$J182=9,$J182=10),-$E182*$I182/12*3,IF($J182=11,-$E182*$I182/12*2,IF($J182=12,-$E182*$I182/12*1,0)))))+IF(BQ$5&lt;&gt;$H182,0,IF(BQ182&lt;0,IF($J182=10,-$E182*$I182/12*0,IF($J182=11,-$E182*$I182/12*1,IF($J182=12,-$E182*$I182/12*2,0)))))</f>
        <v>0</v>
      </c>
      <c r="BV182" s="85">
        <f>IF(AND(BQ182&lt;&gt;0,BQ$5=$H182),-$I182*$E182-BQ182,IF(BV$5=$H182,-$I182*$E182*(12-$J182+1)/12,0))</f>
        <v>0</v>
      </c>
      <c r="BW182" s="86">
        <f>IF($H182&lt;&gt;CA$5,0,IF(CA182&lt;0,IF($J182=1,-$E182*$I182/12*3,IF($J182=2,-$E182*$I182/12*2,IF($J182=3,-$E182*$I182/12*1,0)))))+IF(BV$5&lt;&gt;$H182,0,IF(BV182&lt;0,IF($J182=1,-$E182*$I182/12*0,IF($J182=2,-$E182*$I182/12*1,IF($J182=3,-$E182*$I182/12*2,IF($J182&gt;=4,-$E182*$I182/12*3,0))))))</f>
        <v>0</v>
      </c>
      <c r="BX182" s="87">
        <f>IF($H182&lt;&gt;CA$5,0,IF(CA182&lt;0,IF(OR($J182=1,$J182=2,$J182=3,$J182=4),-$E182*$I182/12*3,IF($J182=5,-$E182*$I182/12*2,IF($J182=6,-$E182*$I182/12*1,0)))))+IF(BV$5&lt;&gt;$H182,0,IF(BV182&lt;0,IF($J182=4,-$E182*$I182/12*0,IF($J182=5,-$E182*$I182/12*1,IF($J182=6,-$E182*$I182/12*2,IF($J182&gt;=7,-$E182*$I182/12*3,0))))))</f>
        <v>0</v>
      </c>
      <c r="BY182" s="87">
        <f>IF($H182&lt;&gt;CA$5,0,IF(CA182&lt;0,IF(OR($J182=1,$J182=2,$J182=3,$J182=4,$J182=5,$J182=6,$J182=7),-$E182*$I182/12*3,IF($J182=8,-$E182*$I182/12*2,IF($J182=9,-$E182*$I182/12*1,0)))))+IF(BV$5&lt;&gt;$H182,0,IF(BV182&lt;0,IF($J182=7,-$E182*$I182/12*0,IF($J182=8,-$E182*$I182/12*1,IF($J182=9,-$E182*$I182/12*2,IF($J182&gt;=10,-$E182*$I182/12*3,0))))))</f>
        <v>0</v>
      </c>
      <c r="BZ182" s="88">
        <f>IF($H182&lt;&gt;CA$5,0,IF(CA182&lt;0,IF(OR($J182=1,$J182=2,$J182=3,$J182=4,$J182=5,$J182=6,$J182=7,$J182=8,$J182=9,$J182=10),-$E182*$I182/12*3,IF($J182=11,-$E182*$I182/12*2,IF($J182=12,-$E182*$I182/12*1,0)))))+IF(BV$5&lt;&gt;$H182,0,IF(BV182&lt;0,IF($J182=10,-$E182*$I182/12*0,IF($J182=11,-$E182*$I182/12*1,IF($J182=12,-$E182*$I182/12*2,0)))))</f>
        <v>0</v>
      </c>
      <c r="CA182" s="85">
        <f>IF(AND(BV182&lt;&gt;0,BV$5=$H182),-$I182*$E182-BV182,IF(CA$5=$H182,-$I182*$E182*(12-$J182+1)/12,0))</f>
        <v>0</v>
      </c>
      <c r="CB182" s="86">
        <f t="shared" ref="CB182:CB189" si="2763">IF($H182&lt;&gt;CF$5,0,IF(CF182&lt;0,IF($J182=1,-$E182*$I182/12*3,IF($J182=2,-$E182*$I182/12*2,IF($J182=3,-$E182*$I182/12*1,0)))))+IF(CA$5&lt;&gt;$H182,0,IF(CA182&lt;0,IF($J182=1,-$E182*$I182/12*0,IF($J182=2,-$E182*$I182/12*1,IF($J182=3,-$E182*$I182/12*2,IF($J182&gt;=4,-$E182*$I182/12*3,0))))))</f>
        <v>0</v>
      </c>
      <c r="CC182" s="87">
        <f t="shared" ref="CC182:CC185" si="2764">IF($H182&lt;&gt;CF$5,0,IF(CF182&lt;0,IF(OR($J182=1,$J182=2,$J182=3,$J182=4),-$E182*$I182/12*3,IF($J182=5,-$E182*$I182/12*2,IF($J182=6,-$E182*$I182/12*1,0)))))+IF(CA$5&lt;&gt;$H182,0,IF(CA182&lt;0,IF($J182=4,-$E182*$I182/12*0,IF($J182=5,-$E182*$I182/12*1,IF($J182=6,-$E182*$I182/12*2,IF($J182&gt;=7,-$E182*$I182/12*3,0))))))</f>
        <v>0</v>
      </c>
      <c r="CD182" s="87">
        <f t="shared" ref="CD182:CD185" si="2765">IF($H182&lt;&gt;CF$5,0,IF(CF182&lt;0,IF(OR($J182=1,$J182=2,$J182=3,$J182=4,$J182=5,$J182=6,$J182=7),-$E182*$I182/12*3,IF($J182=8,-$E182*$I182/12*2,IF($J182=9,-$E182*$I182/12*1,0)))))+IF(CA$5&lt;&gt;$H182,0,IF(CA182&lt;0,IF($J182=7,-$E182*$I182/12*0,IF($J182=8,-$E182*$I182/12*1,IF($J182=9,-$E182*$I182/12*2,IF($J182&gt;=10,-$E182*$I182/12*3,0))))))</f>
        <v>0</v>
      </c>
      <c r="CE182" s="88">
        <f t="shared" ref="CE182:CE185" si="2766">IF($H182&lt;&gt;CF$5,0,IF(CF182&lt;0,IF(OR($J182=1,$J182=2,$J182=3,$J182=4,$J182=5,$J182=6,$J182=7,$J182=8,$J182=9,$J182=10),-$E182*$I182/12*3,IF($J182=11,-$E182*$I182/12*2,IF($J182=12,-$E182*$I182/12*1,0)))))+IF(CA$5&lt;&gt;$H182,0,IF(CA182&lt;0,IF($J182=10,-$E182*$I182/12*0,IF($J182=11,-$E182*$I182/12*1,IF($J182=12,-$E182*$I182/12*2,0)))))</f>
        <v>0</v>
      </c>
      <c r="CF182" s="85">
        <f t="shared" ref="CF182:CF185" si="2767">IF(AND(CA182&lt;&gt;0,CA$5=$H182),-$I182*$E182-CA182,IF(CF$5=$H182,-$I182*$E182*(12-$J182+1)/12,0))</f>
        <v>0</v>
      </c>
      <c r="CG182" s="86">
        <f t="shared" ref="CG182:CG189" si="2768">IF($H182&lt;&gt;CK$5,0,IF(CK182&lt;0,IF($J182=1,-$E182*$I182/12*3,IF($J182=2,-$E182*$I182/12*2,IF($J182=3,-$E182*$I182/12*1,0)))))+IF(CF$5&lt;&gt;$H182,0,IF(CF182&lt;0,IF($J182=1,-$E182*$I182/12*0,IF($J182=2,-$E182*$I182/12*1,IF($J182=3,-$E182*$I182/12*2,IF($J182&gt;=4,-$E182*$I182/12*3,0))))))</f>
        <v>0</v>
      </c>
      <c r="CH182" s="87">
        <f t="shared" ref="CH182:CH185" si="2769">IF($H182&lt;&gt;CK$5,0,IF(CK182&lt;0,IF(OR($J182=1,$J182=2,$J182=3,$J182=4),-$E182*$I182/12*3,IF($J182=5,-$E182*$I182/12*2,IF($J182=6,-$E182*$I182/12*1,0)))))+IF(CF$5&lt;&gt;$H182,0,IF(CF182&lt;0,IF($J182=4,-$E182*$I182/12*0,IF($J182=5,-$E182*$I182/12*1,IF($J182=6,-$E182*$I182/12*2,IF($J182&gt;=7,-$E182*$I182/12*3,0))))))</f>
        <v>0</v>
      </c>
      <c r="CI182" s="87">
        <f t="shared" ref="CI182:CI185" si="2770">IF($H182&lt;&gt;CK$5,0,IF(CK182&lt;0,IF(OR($J182=1,$J182=2,$J182=3,$J182=4,$J182=5,$J182=6,$J182=7),-$E182*$I182/12*3,IF($J182=8,-$E182*$I182/12*2,IF($J182=9,-$E182*$I182/12*1,0)))))+IF(CF$5&lt;&gt;$H182,0,IF(CF182&lt;0,IF($J182=7,-$E182*$I182/12*0,IF($J182=8,-$E182*$I182/12*1,IF($J182=9,-$E182*$I182/12*2,IF($J182&gt;=10,-$E182*$I182/12*3,0))))))</f>
        <v>0</v>
      </c>
      <c r="CJ182" s="88">
        <f t="shared" ref="CJ182:CJ185" si="2771">IF($H182&lt;&gt;CK$5,0,IF(CK182&lt;0,IF(OR($J182=1,$J182=2,$J182=3,$J182=4,$J182=5,$J182=6,$J182=7,$J182=8,$J182=9,$J182=10),-$E182*$I182/12*3,IF($J182=11,-$E182*$I182/12*2,IF($J182=12,-$E182*$I182/12*1,0)))))+IF(CF$5&lt;&gt;$H182,0,IF(CF182&lt;0,IF($J182=10,-$E182*$I182/12*0,IF($J182=11,-$E182*$I182/12*1,IF($J182=12,-$E182*$I182/12*2,0)))))</f>
        <v>0</v>
      </c>
      <c r="CK182" s="85">
        <f t="shared" ref="CK182:CK185" si="2772">IF(AND(CF182&lt;&gt;0,CF$5=$H182),-$I182*$E182-CF182,IF(CK$5=$H182,-$I182*$E182*(12-$J182+1)/12,0))</f>
        <v>0</v>
      </c>
      <c r="CL182" s="86">
        <f t="shared" ref="CL182:CL189" si="2773">IF($H182&lt;&gt;CP$5,0,IF(CP182&lt;0,IF($J182=1,-$E182*$I182/12*3,IF($J182=2,-$E182*$I182/12*2,IF($J182=3,-$E182*$I182/12*1,0)))))+IF(CK$5&lt;&gt;$H182,0,IF(CK182&lt;0,IF($J182=1,-$E182*$I182/12*0,IF($J182=2,-$E182*$I182/12*1,IF($J182=3,-$E182*$I182/12*2,IF($J182&gt;=4,-$E182*$I182/12*3,0))))))</f>
        <v>0</v>
      </c>
      <c r="CM182" s="87">
        <f t="shared" ref="CM182:CM185" si="2774">IF($H182&lt;&gt;CP$5,0,IF(CP182&lt;0,IF(OR($J182=1,$J182=2,$J182=3,$J182=4),-$E182*$I182/12*3,IF($J182=5,-$E182*$I182/12*2,IF($J182=6,-$E182*$I182/12*1,0)))))+IF(CK$5&lt;&gt;$H182,0,IF(CK182&lt;0,IF($J182=4,-$E182*$I182/12*0,IF($J182=5,-$E182*$I182/12*1,IF($J182=6,-$E182*$I182/12*2,IF($J182&gt;=7,-$E182*$I182/12*3,0))))))</f>
        <v>0</v>
      </c>
      <c r="CN182" s="87">
        <f t="shared" ref="CN182:CN185" si="2775">IF($H182&lt;&gt;CP$5,0,IF(CP182&lt;0,IF(OR($J182=1,$J182=2,$J182=3,$J182=4,$J182=5,$J182=6,$J182=7),-$E182*$I182/12*3,IF($J182=8,-$E182*$I182/12*2,IF($J182=9,-$E182*$I182/12*1,0)))))+IF(CK$5&lt;&gt;$H182,0,IF(CK182&lt;0,IF($J182=7,-$E182*$I182/12*0,IF($J182=8,-$E182*$I182/12*1,IF($J182=9,-$E182*$I182/12*2,IF($J182&gt;=10,-$E182*$I182/12*3,0))))))</f>
        <v>0</v>
      </c>
      <c r="CO182" s="88">
        <f t="shared" ref="CO182:CO185" si="2776">IF($H182&lt;&gt;CP$5,0,IF(CP182&lt;0,IF(OR($J182=1,$J182=2,$J182=3,$J182=4,$J182=5,$J182=6,$J182=7,$J182=8,$J182=9,$J182=10),-$E182*$I182/12*3,IF($J182=11,-$E182*$I182/12*2,IF($J182=12,-$E182*$I182/12*1,0)))))+IF(CK$5&lt;&gt;$H182,0,IF(CK182&lt;0,IF($J182=10,-$E182*$I182/12*0,IF($J182=11,-$E182*$I182/12*1,IF($J182=12,-$E182*$I182/12*2,0)))))</f>
        <v>0</v>
      </c>
      <c r="CP182" s="85">
        <f t="shared" ref="CP182:CP185" si="2777">IF(AND(CK182&lt;&gt;0,CK$5=$H182),-$I182*$E182-CK182,IF(CP$5=$H182,-$I182*$E182*(12-$J182+1)/12,0))</f>
        <v>0</v>
      </c>
      <c r="CQ182" s="86">
        <f t="shared" ref="CQ182:CQ189" si="2778">IF($H182&lt;&gt;CU$5,0,IF(CU182&lt;0,IF($J182=1,-$E182*$I182/12*3,IF($J182=2,-$E182*$I182/12*2,IF($J182=3,-$E182*$I182/12*1,0)))))+IF(CP$5&lt;&gt;$H182,0,IF(CP182&lt;0,IF($J182=1,-$E182*$I182/12*0,IF($J182=2,-$E182*$I182/12*1,IF($J182=3,-$E182*$I182/12*2,IF($J182&gt;=4,-$E182*$I182/12*3,0))))))</f>
        <v>0</v>
      </c>
      <c r="CR182" s="87">
        <f t="shared" ref="CR182:CR185" si="2779">IF($H182&lt;&gt;CU$5,0,IF(CU182&lt;0,IF(OR($J182=1,$J182=2,$J182=3,$J182=4),-$E182*$I182/12*3,IF($J182=5,-$E182*$I182/12*2,IF($J182=6,-$E182*$I182/12*1,0)))))+IF(CP$5&lt;&gt;$H182,0,IF(CP182&lt;0,IF($J182=4,-$E182*$I182/12*0,IF($J182=5,-$E182*$I182/12*1,IF($J182=6,-$E182*$I182/12*2,IF($J182&gt;=7,-$E182*$I182/12*3,0))))))</f>
        <v>0</v>
      </c>
      <c r="CS182" s="87">
        <f t="shared" ref="CS182:CS185" si="2780">IF($H182&lt;&gt;CU$5,0,IF(CU182&lt;0,IF(OR($J182=1,$J182=2,$J182=3,$J182=4,$J182=5,$J182=6,$J182=7),-$E182*$I182/12*3,IF($J182=8,-$E182*$I182/12*2,IF($J182=9,-$E182*$I182/12*1,0)))))+IF(CP$5&lt;&gt;$H182,0,IF(CP182&lt;0,IF($J182=7,-$E182*$I182/12*0,IF($J182=8,-$E182*$I182/12*1,IF($J182=9,-$E182*$I182/12*2,IF($J182&gt;=10,-$E182*$I182/12*3,0))))))</f>
        <v>0</v>
      </c>
      <c r="CT182" s="88">
        <f t="shared" ref="CT182:CT185" si="2781">IF($H182&lt;&gt;CU$5,0,IF(CU182&lt;0,IF(OR($J182=1,$J182=2,$J182=3,$J182=4,$J182=5,$J182=6,$J182=7,$J182=8,$J182=9,$J182=10),-$E182*$I182/12*3,IF($J182=11,-$E182*$I182/12*2,IF($J182=12,-$E182*$I182/12*1,0)))))+IF(CP$5&lt;&gt;$H182,0,IF(CP182&lt;0,IF($J182=10,-$E182*$I182/12*0,IF($J182=11,-$E182*$I182/12*1,IF($J182=12,-$E182*$I182/12*2,0)))))</f>
        <v>0</v>
      </c>
      <c r="CU182" s="85">
        <f t="shared" ref="CU182:CU185" si="2782">IF(AND(CP182&lt;&gt;0,CP$5=$H182),-$I182*$E182-CP182,IF(CU$5=$H182,-$I182*$E182*(12-$J182+1)/12,0))</f>
        <v>0</v>
      </c>
      <c r="CV182" s="86">
        <f t="shared" ref="CV182:CV189" si="2783">IF($H182&lt;&gt;CZ$5,0,IF(CZ182&lt;0,IF($J182=1,-$E182*$I182/12*3,IF($J182=2,-$E182*$I182/12*2,IF($J182=3,-$E182*$I182/12*1,0)))))+IF(CU$5&lt;&gt;$H182,0,IF(CU182&lt;0,IF($J182=1,-$E182*$I182/12*0,IF($J182=2,-$E182*$I182/12*1,IF($J182=3,-$E182*$I182/12*2,IF($J182&gt;=4,-$E182*$I182/12*3,0))))))</f>
        <v>0</v>
      </c>
      <c r="CW182" s="87">
        <f t="shared" ref="CW182:CW185" si="2784">IF($H182&lt;&gt;CZ$5,0,IF(CZ182&lt;0,IF(OR($J182=1,$J182=2,$J182=3,$J182=4),-$E182*$I182/12*3,IF($J182=5,-$E182*$I182/12*2,IF($J182=6,-$E182*$I182/12*1,0)))))+IF(CU$5&lt;&gt;$H182,0,IF(CU182&lt;0,IF($J182=4,-$E182*$I182/12*0,IF($J182=5,-$E182*$I182/12*1,IF($J182=6,-$E182*$I182/12*2,IF($J182&gt;=7,-$E182*$I182/12*3,0))))))</f>
        <v>0</v>
      </c>
      <c r="CX182" s="87">
        <f t="shared" ref="CX182:CX185" si="2785">IF($H182&lt;&gt;CZ$5,0,IF(CZ182&lt;0,IF(OR($J182=1,$J182=2,$J182=3,$J182=4,$J182=5,$J182=6,$J182=7),-$E182*$I182/12*3,IF($J182=8,-$E182*$I182/12*2,IF($J182=9,-$E182*$I182/12*1,0)))))+IF(CU$5&lt;&gt;$H182,0,IF(CU182&lt;0,IF($J182=7,-$E182*$I182/12*0,IF($J182=8,-$E182*$I182/12*1,IF($J182=9,-$E182*$I182/12*2,IF($J182&gt;=10,-$E182*$I182/12*3,0))))))</f>
        <v>0</v>
      </c>
      <c r="CY182" s="88">
        <f t="shared" ref="CY182:CY185" si="2786">IF($H182&lt;&gt;CZ$5,0,IF(CZ182&lt;0,IF(OR($J182=1,$J182=2,$J182=3,$J182=4,$J182=5,$J182=6,$J182=7,$J182=8,$J182=9,$J182=10),-$E182*$I182/12*3,IF($J182=11,-$E182*$I182/12*2,IF($J182=12,-$E182*$I182/12*1,0)))))+IF(CU$5&lt;&gt;$H182,0,IF(CU182&lt;0,IF($J182=10,-$E182*$I182/12*0,IF($J182=11,-$E182*$I182/12*1,IF($J182=12,-$E182*$I182/12*2,0)))))</f>
        <v>0</v>
      </c>
      <c r="CZ182" s="85">
        <f t="shared" ref="CZ182:CZ185" si="2787">IF(AND(CU182&lt;&gt;0,CU$5=$H182),-$I182*$E182-CU182,IF(CZ$5=$H182,-$I182*$E182*(12-$J182+1)/12,0))</f>
        <v>0</v>
      </c>
    </row>
    <row r="183" spans="1:104" ht="12.75" customHeight="1">
      <c r="A183" s="4"/>
      <c r="B183" s="4"/>
      <c r="C183" s="4" t="s">
        <v>683</v>
      </c>
      <c r="D183" s="157"/>
      <c r="E183" s="2115">
        <f t="shared" si="2741"/>
        <v>300</v>
      </c>
      <c r="F183" s="2313">
        <v>300</v>
      </c>
      <c r="G183" s="1511">
        <v>300</v>
      </c>
      <c r="H183" s="1334">
        <v>2021</v>
      </c>
      <c r="I183" s="325">
        <v>3.5000000000000003E-2</v>
      </c>
      <c r="J183" s="1334">
        <v>11</v>
      </c>
      <c r="K183" s="80"/>
      <c r="L183" s="81">
        <f t="shared" ref="L183:L190" si="2788">IF(L$5=$H183,-$E183,0)</f>
        <v>0</v>
      </c>
      <c r="M183" s="82">
        <f t="shared" ref="M183:M189" si="2789">IF(Q183=0,0,IF(Q183&lt;0,IF($J183=3,Q183,IF($J183=2,Q183,IF($J183=1,Q183,0)))))</f>
        <v>0</v>
      </c>
      <c r="N183" s="83">
        <f t="shared" ref="N183:N189" si="2790">IF(Q183=0,0,IF(Q183&lt;0,IF($J183=6,Q183,IF($J183=5,Q183,IF($J183=4,Q183,0)))))</f>
        <v>0</v>
      </c>
      <c r="O183" s="83">
        <f t="shared" ref="O183:O189" si="2791">IF(Q183=0,0,IF(Q183&lt;0,IF($J183=9,Q183,IF($J183=8,Q183,IF($J183=7,Q183,0)))))</f>
        <v>0</v>
      </c>
      <c r="P183" s="84">
        <f t="shared" ref="P183:P189" si="2792">IF(Q183=0,0,IF(Q183&lt;0,IF($J183=12,Q183,IF($J183=11,Q183,IF($J183=10,Q183,0)))))</f>
        <v>0</v>
      </c>
      <c r="Q183" s="81">
        <f t="shared" ref="Q183:Q190" si="2793">IF(Q$5=$H183,-$E183,0)</f>
        <v>0</v>
      </c>
      <c r="R183" s="82">
        <f t="shared" ref="R183:R189" si="2794">IF(V183=0,0,IF(V183&lt;0,IF($J183=3,V183,IF($J183=2,V183,IF($J183=1,V183,0)))))</f>
        <v>0</v>
      </c>
      <c r="S183" s="83">
        <f t="shared" ref="S183:S189" si="2795">IF(V183=0,0,IF(V183&lt;0,IF($J183=6,V183,IF($J183=5,V183,IF($J183=4,V183,0)))))</f>
        <v>0</v>
      </c>
      <c r="T183" s="83">
        <f t="shared" ref="T183:T189" si="2796">IF(V183=0,0,IF(V183&lt;0,IF($J183=9,V183,IF($J183=8,V183,IF($J183=7,V183,0)))))</f>
        <v>0</v>
      </c>
      <c r="U183" s="84">
        <f t="shared" ref="U183:U189" si="2797">IF(V183=0,0,IF(V183&lt;0,IF($J183=12,V183,IF($J183=11,V183,IF($J183=10,V183,0)))))</f>
        <v>0</v>
      </c>
      <c r="V183" s="81">
        <f t="shared" ref="V183:V190" si="2798">IF(V$5=$H183,-$E183,0)</f>
        <v>0</v>
      </c>
      <c r="W183" s="82">
        <f t="shared" ref="W183:W189" si="2799">IF(AA183=0,0,IF(AA183&lt;0,IF($J183=3,AA183,IF($J183=2,AA183,IF($J183=1,AA183,0)))))</f>
        <v>0</v>
      </c>
      <c r="X183" s="83">
        <f t="shared" ref="X183:X189" si="2800">IF(AA183=0,0,IF(AA183&lt;0,IF($J183=6,AA183,IF($J183=5,AA183,IF($J183=4,AA183,0)))))</f>
        <v>0</v>
      </c>
      <c r="Y183" s="83">
        <f t="shared" ref="Y183:Y189" si="2801">IF(AA183=0,0,IF(AA183&lt;0,IF($J183=9,AA183,IF($J183=8,AA183,IF($J183=7,AA183,0)))))</f>
        <v>0</v>
      </c>
      <c r="Z183" s="84">
        <f t="shared" ref="Z183:Z189" si="2802">IF(AA183=0,0,IF(AA183&lt;0,IF($J183=12,AA183,IF($J183=11,AA183,IF($J183=10,AA183,0)))))</f>
        <v>0</v>
      </c>
      <c r="AA183" s="81">
        <f t="shared" ref="AA183:AA190" si="2803">IF(AA$5=$H183,-$E183,0)</f>
        <v>0</v>
      </c>
      <c r="AB183" s="82">
        <f t="shared" ref="AB183:AB189" si="2804">IF(AF183=0,0,IF(AF183&lt;0,IF($J183=3,AF183,IF($J183=2,AF183,IF($J183=1,AF183,0)))))</f>
        <v>0</v>
      </c>
      <c r="AC183" s="83">
        <f t="shared" ref="AC183:AC189" si="2805">IF(AF183=0,0,IF(AF183&lt;0,IF($J183=6,AF183,IF($J183=5,AF183,IF($J183=4,AF183,0)))))</f>
        <v>0</v>
      </c>
      <c r="AD183" s="83">
        <f t="shared" ref="AD183:AD189" si="2806">IF(AF183=0,0,IF(AF183&lt;0,IF($J183=9,AF183,IF($J183=8,AF183,IF($J183=7,AF183,0)))))</f>
        <v>0</v>
      </c>
      <c r="AE183" s="84">
        <f t="shared" ref="AE183:AE189" si="2807">IF(AF183=0,0,IF(AF183&lt;0,IF($J183=12,AF183,IF($J183=11,AF183,IF($J183=10,AF183,0)))))</f>
        <v>0</v>
      </c>
      <c r="AF183" s="81">
        <f t="shared" ref="AF183:AF190" si="2808">IF(AF$5=$H183,-$E183,0)</f>
        <v>0</v>
      </c>
      <c r="AG183" s="82">
        <f t="shared" si="2742"/>
        <v>0</v>
      </c>
      <c r="AH183" s="83">
        <f t="shared" si="2743"/>
        <v>0</v>
      </c>
      <c r="AI183" s="83">
        <f t="shared" si="2744"/>
        <v>0</v>
      </c>
      <c r="AJ183" s="84">
        <f t="shared" si="2745"/>
        <v>0</v>
      </c>
      <c r="AK183" s="81">
        <f t="shared" ref="AK183:AK190" si="2809">IF(AK$5=$H183,-$E183,0)</f>
        <v>0</v>
      </c>
      <c r="AL183" s="82">
        <f t="shared" si="2746"/>
        <v>0</v>
      </c>
      <c r="AM183" s="83">
        <f t="shared" si="2747"/>
        <v>0</v>
      </c>
      <c r="AN183" s="83">
        <f t="shared" si="2748"/>
        <v>0</v>
      </c>
      <c r="AO183" s="84">
        <f t="shared" si="2749"/>
        <v>0</v>
      </c>
      <c r="AP183" s="81">
        <f t="shared" ref="AP183:AP190" si="2810">IF(AP$5=$H183,-$E183,0)</f>
        <v>0</v>
      </c>
      <c r="AQ183" s="82">
        <f t="shared" si="2750"/>
        <v>0</v>
      </c>
      <c r="AR183" s="83">
        <f t="shared" si="2751"/>
        <v>0</v>
      </c>
      <c r="AS183" s="83">
        <f t="shared" si="2752"/>
        <v>0</v>
      </c>
      <c r="AT183" s="84">
        <f t="shared" si="2753"/>
        <v>0</v>
      </c>
      <c r="AU183" s="81">
        <f t="shared" ref="AU183:AU190" si="2811">IF(AU$5=$H183,-$E183,0)</f>
        <v>0</v>
      </c>
      <c r="AV183" s="82">
        <f t="shared" si="2754"/>
        <v>0</v>
      </c>
      <c r="AW183" s="83">
        <f t="shared" si="2755"/>
        <v>0</v>
      </c>
      <c r="AX183" s="83">
        <f t="shared" si="2756"/>
        <v>0</v>
      </c>
      <c r="AY183" s="84">
        <f t="shared" si="2757"/>
        <v>0</v>
      </c>
      <c r="AZ183" s="81">
        <f t="shared" ref="AZ183:AZ190" si="2812">IF(AZ$5=$H183,-$E183,0)</f>
        <v>0</v>
      </c>
      <c r="BA183" s="82">
        <f t="shared" si="2758"/>
        <v>0</v>
      </c>
      <c r="BB183" s="83">
        <f t="shared" si="2759"/>
        <v>0</v>
      </c>
      <c r="BC183" s="83">
        <f t="shared" si="2760"/>
        <v>0</v>
      </c>
      <c r="BD183" s="84">
        <f t="shared" si="2761"/>
        <v>-300</v>
      </c>
      <c r="BE183" s="81">
        <f t="shared" ref="BE183:BE190" si="2813">IF(BE$5=$H183,-$E183,0)</f>
        <v>-300</v>
      </c>
      <c r="BF183" s="1877"/>
      <c r="BG183" s="2005">
        <f t="shared" si="2762"/>
        <v>0</v>
      </c>
      <c r="BH183" s="86">
        <f t="shared" ref="BH183:BH189" si="2814">IF($H183&lt;&gt;BL$5,0,IF(BL183&lt;0,IF($J183=1,-$E183*$I183/12*3,IF($J183=2,-$E183*$I183/12*2,IF($J183=3,-$E183*$I183/12*1,0)))))+IF(BG$5&lt;&gt;$H183,0,IF(BG183&lt;0,IF($J183=1,-$E183*$I183/12*0,IF($J183=2,-$E183*$I183/12*1,IF($J183=3,-$E183*$I183/12*2,IF($J183&gt;=4,-$E183*$I183/12*3,0))))))</f>
        <v>0</v>
      </c>
      <c r="BI183" s="87">
        <f t="shared" ref="BI183:BI189" si="2815">IF($H183&lt;&gt;BL$5,0,IF(BL183&lt;0,IF(OR($J183=1,$J183=2,$J183=3,$J183=4),-$E183*$I183/12*3,IF($J183=5,-$E183*$I183/12*2,IF($J183=6,-$E183*$I183/12*1,0)))))+IF(BG$5&lt;&gt;$H183,0,IF(BG183&lt;0,IF($J183=4,-$E183*$I183/12*0,IF($J183=5,-$E183*$I183/12*1,IF($J183=6,-$E183*$I183/12*2,IF($J183&gt;=7,-$E183*$I183/12*3,0))))))</f>
        <v>0</v>
      </c>
      <c r="BJ183" s="87">
        <f t="shared" ref="BJ183:BJ189" si="2816">IF($H183&lt;&gt;BL$5,0,IF(BL183&lt;0,IF(OR($J183=1,$J183=2,$J183=3,$J183=4,$J183=5,$J183=6,$J183=7),-$E183*$I183/12*3,IF($J183=8,-$E183*$I183/12*2,IF($J183=9,-$E183*$I183/12*1,0)))))+IF(BG$5&lt;&gt;$H183,0,IF(BG183&lt;0,IF($J183=7,-$E183*$I183/12*0,IF($J183=8,-$E183*$I183/12*1,IF($J183=9,-$E183*$I183/12*2,IF($J183&gt;=10,-$E183*$I183/12*3,0))))))</f>
        <v>0</v>
      </c>
      <c r="BK183" s="88">
        <f t="shared" ref="BK183:BK189" si="2817">IF($H183&lt;&gt;BL$5,0,IF(BL183&lt;0,IF(OR($J183=1,$J183=2,$J183=3,$J183=4,$J183=5,$J183=6,$J183=7,$J183=8,$J183=9,$J183=10),-$E183*$I183/12*3,IF($J183=11,-$E183*$I183/12*2,IF($J183=12,-$E183*$I183/12*1,0)))))+IF(BG$5&lt;&gt;$H183,0,IF(BG183&lt;0,IF($J183=10,-$E183*$I183/12*0,IF($J183=11,-$E183*$I183/12*1,IF($J183=12,-$E183*$I183/12*2,0)))))</f>
        <v>0</v>
      </c>
      <c r="BL183" s="85">
        <f t="shared" ref="BL183:BL189" si="2818">IF(AND(BG183&lt;&gt;0,BG$5=$H183),-$I183*$E183-BG183,IF(BL$5=$H183,-$I183*$E183*(12-$J183+1)/12,0))</f>
        <v>0</v>
      </c>
      <c r="BM183" s="86">
        <f t="shared" ref="BM183:BM189" si="2819">IF($H183&lt;&gt;BQ$5,0,IF(BQ183&lt;0,IF($J183=1,-$E183*$I183/12*3,IF($J183=2,-$E183*$I183/12*2,IF($J183=3,-$E183*$I183/12*1,0)))))+IF(BL$5&lt;&gt;$H183,0,IF(BL183&lt;0,IF($J183=1,-$E183*$I183/12*0,IF($J183=2,-$E183*$I183/12*1,IF($J183=3,-$E183*$I183/12*2,IF($J183&gt;=4,-$E183*$I183/12*3,0))))))</f>
        <v>0</v>
      </c>
      <c r="BN183" s="87">
        <f t="shared" ref="BN183:BN189" si="2820">IF($H183&lt;&gt;BQ$5,0,IF(BQ183&lt;0,IF(OR($J183=1,$J183=2,$J183=3,$J183=4),-$E183*$I183/12*3,IF($J183=5,-$E183*$I183/12*2,IF($J183=6,-$E183*$I183/12*1,0)))))+IF(BL$5&lt;&gt;$H183,0,IF(BL183&lt;0,IF($J183=4,-$E183*$I183/12*0,IF($J183=5,-$E183*$I183/12*1,IF($J183=6,-$E183*$I183/12*2,IF($J183&gt;=7,-$E183*$I183/12*3,0))))))</f>
        <v>0</v>
      </c>
      <c r="BO183" s="87">
        <f t="shared" ref="BO183:BO189" si="2821">IF($H183&lt;&gt;BQ$5,0,IF(BQ183&lt;0,IF(OR($J183=1,$J183=2,$J183=3,$J183=4,$J183=5,$J183=6,$J183=7),-$E183*$I183/12*3,IF($J183=8,-$E183*$I183/12*2,IF($J183=9,-$E183*$I183/12*1,0)))))+IF(BL$5&lt;&gt;$H183,0,IF(BL183&lt;0,IF($J183=7,-$E183*$I183/12*0,IF($J183=8,-$E183*$I183/12*1,IF($J183=9,-$E183*$I183/12*2,IF($J183&gt;=10,-$E183*$I183/12*3,0))))))</f>
        <v>0</v>
      </c>
      <c r="BP183" s="88">
        <f t="shared" ref="BP183:BP189" si="2822">IF($H183&lt;&gt;BQ$5,0,IF(BQ183&lt;0,IF(OR($J183=1,$J183=2,$J183=3,$J183=4,$J183=5,$J183=6,$J183=7,$J183=8,$J183=9,$J183=10),-$E183*$I183/12*3,IF($J183=11,-$E183*$I183/12*2,IF($J183=12,-$E183*$I183/12*1,0)))))+IF(BL$5&lt;&gt;$H183,0,IF(BL183&lt;0,IF($J183=10,-$E183*$I183/12*0,IF($J183=11,-$E183*$I183/12*1,IF($J183=12,-$E183*$I183/12*2,0)))))</f>
        <v>0</v>
      </c>
      <c r="BQ183" s="85">
        <f t="shared" ref="BQ183:BQ189" si="2823">IF(AND(BL183&lt;&gt;0,BL$5=$H183),-$I183*$E183-BL183,IF(BQ$5=$H183,-$I183*$E183*(12-$J183+1)/12,0))</f>
        <v>0</v>
      </c>
      <c r="BR183" s="86">
        <f t="shared" ref="BR183:BR189" si="2824">IF($H183&lt;&gt;BV$5,0,IF(BV183&lt;0,IF($J183=1,-$E183*$I183/12*3,IF($J183=2,-$E183*$I183/12*2,IF($J183=3,-$E183*$I183/12*1,0)))))+IF(BQ$5&lt;&gt;$H183,0,IF(BQ183&lt;0,IF($J183=1,-$E183*$I183/12*0,IF($J183=2,-$E183*$I183/12*1,IF($J183=3,-$E183*$I183/12*2,IF($J183&gt;=4,-$E183*$I183/12*3,0))))))</f>
        <v>0</v>
      </c>
      <c r="BS183" s="87">
        <f t="shared" ref="BS183:BS189" si="2825">IF($H183&lt;&gt;BV$5,0,IF(BV183&lt;0,IF(OR($J183=1,$J183=2,$J183=3,$J183=4),-$E183*$I183/12*3,IF($J183=5,-$E183*$I183/12*2,IF($J183=6,-$E183*$I183/12*1,0)))))+IF(BQ$5&lt;&gt;$H183,0,IF(BQ183&lt;0,IF($J183=4,-$E183*$I183/12*0,IF($J183=5,-$E183*$I183/12*1,IF($J183=6,-$E183*$I183/12*2,IF($J183&gt;=7,-$E183*$I183/12*3,0))))))</f>
        <v>0</v>
      </c>
      <c r="BT183" s="87">
        <f t="shared" ref="BT183:BT189" si="2826">IF($H183&lt;&gt;BV$5,0,IF(BV183&lt;0,IF(OR($J183=1,$J183=2,$J183=3,$J183=4,$J183=5,$J183=6,$J183=7),-$E183*$I183/12*3,IF($J183=8,-$E183*$I183/12*2,IF($J183=9,-$E183*$I183/12*1,0)))))+IF(BQ$5&lt;&gt;$H183,0,IF(BQ183&lt;0,IF($J183=7,-$E183*$I183/12*0,IF($J183=8,-$E183*$I183/12*1,IF($J183=9,-$E183*$I183/12*2,IF($J183&gt;=10,-$E183*$I183/12*3,0))))))</f>
        <v>0</v>
      </c>
      <c r="BU183" s="88">
        <f t="shared" ref="BU183:BU189" si="2827">IF($H183&lt;&gt;BV$5,0,IF(BV183&lt;0,IF(OR($J183=1,$J183=2,$J183=3,$J183=4,$J183=5,$J183=6,$J183=7,$J183=8,$J183=9,$J183=10),-$E183*$I183/12*3,IF($J183=11,-$E183*$I183/12*2,IF($J183=12,-$E183*$I183/12*1,0)))))+IF(BQ$5&lt;&gt;$H183,0,IF(BQ183&lt;0,IF($J183=10,-$E183*$I183/12*0,IF($J183=11,-$E183*$I183/12*1,IF($J183=12,-$E183*$I183/12*2,0)))))</f>
        <v>0</v>
      </c>
      <c r="BV183" s="85">
        <f t="shared" ref="BV183:BV189" si="2828">IF(AND(BQ183&lt;&gt;0,BQ$5=$H183),-$I183*$E183-BQ183,IF(BV$5=$H183,-$I183*$E183*(12-$J183+1)/12,0))</f>
        <v>0</v>
      </c>
      <c r="BW183" s="86">
        <f t="shared" ref="BW183:BW189" si="2829">IF($H183&lt;&gt;CA$5,0,IF(CA183&lt;0,IF($J183=1,-$E183*$I183/12*3,IF($J183=2,-$E183*$I183/12*2,IF($J183=3,-$E183*$I183/12*1,0)))))+IF(BV$5&lt;&gt;$H183,0,IF(BV183&lt;0,IF($J183=1,-$E183*$I183/12*0,IF($J183=2,-$E183*$I183/12*1,IF($J183=3,-$E183*$I183/12*2,IF($J183&gt;=4,-$E183*$I183/12*3,0))))))</f>
        <v>0</v>
      </c>
      <c r="BX183" s="87">
        <f t="shared" ref="BX183:BX189" si="2830">IF($H183&lt;&gt;CA$5,0,IF(CA183&lt;0,IF(OR($J183=1,$J183=2,$J183=3,$J183=4),-$E183*$I183/12*3,IF($J183=5,-$E183*$I183/12*2,IF($J183=6,-$E183*$I183/12*1,0)))))+IF(BV$5&lt;&gt;$H183,0,IF(BV183&lt;0,IF($J183=4,-$E183*$I183/12*0,IF($J183=5,-$E183*$I183/12*1,IF($J183=6,-$E183*$I183/12*2,IF($J183&gt;=7,-$E183*$I183/12*3,0))))))</f>
        <v>0</v>
      </c>
      <c r="BY183" s="87">
        <f t="shared" ref="BY183:BY189" si="2831">IF($H183&lt;&gt;CA$5,0,IF(CA183&lt;0,IF(OR($J183=1,$J183=2,$J183=3,$J183=4,$J183=5,$J183=6,$J183=7),-$E183*$I183/12*3,IF($J183=8,-$E183*$I183/12*2,IF($J183=9,-$E183*$I183/12*1,0)))))+IF(BV$5&lt;&gt;$H183,0,IF(BV183&lt;0,IF($J183=7,-$E183*$I183/12*0,IF($J183=8,-$E183*$I183/12*1,IF($J183=9,-$E183*$I183/12*2,IF($J183&gt;=10,-$E183*$I183/12*3,0))))))</f>
        <v>0</v>
      </c>
      <c r="BZ183" s="88">
        <f t="shared" ref="BZ183:BZ189" si="2832">IF($H183&lt;&gt;CA$5,0,IF(CA183&lt;0,IF(OR($J183=1,$J183=2,$J183=3,$J183=4,$J183=5,$J183=6,$J183=7,$J183=8,$J183=9,$J183=10),-$E183*$I183/12*3,IF($J183=11,-$E183*$I183/12*2,IF($J183=12,-$E183*$I183/12*1,0)))))+IF(BV$5&lt;&gt;$H183,0,IF(BV183&lt;0,IF($J183=10,-$E183*$I183/12*0,IF($J183=11,-$E183*$I183/12*1,IF($J183=12,-$E183*$I183/12*2,0)))))</f>
        <v>0</v>
      </c>
      <c r="CA183" s="85">
        <f t="shared" ref="CA183:CA189" si="2833">IF(AND(BV183&lt;&gt;0,BV$5=$H183),-$I183*$E183-BV183,IF(CA$5=$H183,-$I183*$E183*(12-$J183+1)/12,0))</f>
        <v>0</v>
      </c>
      <c r="CB183" s="86">
        <f t="shared" si="2763"/>
        <v>0</v>
      </c>
      <c r="CC183" s="87">
        <f t="shared" si="2764"/>
        <v>0</v>
      </c>
      <c r="CD183" s="87">
        <f t="shared" si="2765"/>
        <v>0</v>
      </c>
      <c r="CE183" s="88">
        <f t="shared" si="2766"/>
        <v>0</v>
      </c>
      <c r="CF183" s="85">
        <f t="shared" si="2767"/>
        <v>0</v>
      </c>
      <c r="CG183" s="86">
        <f t="shared" si="2768"/>
        <v>0</v>
      </c>
      <c r="CH183" s="87">
        <f t="shared" si="2769"/>
        <v>0</v>
      </c>
      <c r="CI183" s="87">
        <f t="shared" si="2770"/>
        <v>0</v>
      </c>
      <c r="CJ183" s="88">
        <f t="shared" si="2771"/>
        <v>0</v>
      </c>
      <c r="CK183" s="85">
        <f t="shared" si="2772"/>
        <v>0</v>
      </c>
      <c r="CL183" s="86">
        <f t="shared" si="2773"/>
        <v>0</v>
      </c>
      <c r="CM183" s="87">
        <f t="shared" si="2774"/>
        <v>0</v>
      </c>
      <c r="CN183" s="87">
        <f t="shared" si="2775"/>
        <v>0</v>
      </c>
      <c r="CO183" s="88">
        <f t="shared" si="2776"/>
        <v>0</v>
      </c>
      <c r="CP183" s="85">
        <f t="shared" si="2777"/>
        <v>0</v>
      </c>
      <c r="CQ183" s="86">
        <f t="shared" si="2778"/>
        <v>0</v>
      </c>
      <c r="CR183" s="87">
        <f t="shared" si="2779"/>
        <v>0</v>
      </c>
      <c r="CS183" s="87">
        <f t="shared" si="2780"/>
        <v>0</v>
      </c>
      <c r="CT183" s="88">
        <f t="shared" si="2781"/>
        <v>0</v>
      </c>
      <c r="CU183" s="85">
        <f t="shared" si="2782"/>
        <v>0</v>
      </c>
      <c r="CV183" s="86">
        <f t="shared" si="2783"/>
        <v>0</v>
      </c>
      <c r="CW183" s="87">
        <f t="shared" si="2784"/>
        <v>0</v>
      </c>
      <c r="CX183" s="87">
        <f t="shared" si="2785"/>
        <v>0</v>
      </c>
      <c r="CY183" s="88">
        <f t="shared" si="2786"/>
        <v>-1.7500000000000002</v>
      </c>
      <c r="CZ183" s="85">
        <f t="shared" si="2787"/>
        <v>-1.7500000000000002</v>
      </c>
    </row>
    <row r="184" spans="1:104" ht="12.75" customHeight="1">
      <c r="A184" s="4"/>
      <c r="B184" s="4"/>
      <c r="C184" s="4" t="s">
        <v>695</v>
      </c>
      <c r="D184" s="157"/>
      <c r="E184" s="2115">
        <f t="shared" si="2741"/>
        <v>200</v>
      </c>
      <c r="F184" s="2313">
        <v>200</v>
      </c>
      <c r="G184" s="1511">
        <v>200</v>
      </c>
      <c r="H184" s="1334">
        <v>2033</v>
      </c>
      <c r="I184" s="325">
        <v>5.1999999999999998E-2</v>
      </c>
      <c r="J184" s="1334">
        <v>6</v>
      </c>
      <c r="K184" s="80"/>
      <c r="L184" s="81">
        <f t="shared" si="2788"/>
        <v>0</v>
      </c>
      <c r="M184" s="82">
        <f>IF(Q184=0,0,IF(Q184&lt;0,IF($J184=3,Q184,IF($J184=2,Q184,IF($J184=1,Q184,0)))))</f>
        <v>0</v>
      </c>
      <c r="N184" s="83">
        <f>IF(Q184=0,0,IF(Q184&lt;0,IF($J184=6,Q184,IF($J184=5,Q184,IF($J184=4,Q184,0)))))</f>
        <v>0</v>
      </c>
      <c r="O184" s="83">
        <f>IF(Q184=0,0,IF(Q184&lt;0,IF($J184=9,Q184,IF($J184=8,Q184,IF($J184=7,Q184,0)))))</f>
        <v>0</v>
      </c>
      <c r="P184" s="84">
        <f>IF(Q184=0,0,IF(Q184&lt;0,IF($J184=12,Q184,IF($J184=11,Q184,IF($J184=10,Q184,0)))))</f>
        <v>0</v>
      </c>
      <c r="Q184" s="81">
        <f t="shared" si="2793"/>
        <v>0</v>
      </c>
      <c r="R184" s="82">
        <f>IF(V184=0,0,IF(V184&lt;0,IF($J184=3,V184,IF($J184=2,V184,IF($J184=1,V184,0)))))</f>
        <v>0</v>
      </c>
      <c r="S184" s="83">
        <f>IF(V184=0,0,IF(V184&lt;0,IF($J184=6,V184,IF($J184=5,V184,IF($J184=4,V184,0)))))</f>
        <v>0</v>
      </c>
      <c r="T184" s="83">
        <f>IF(V184=0,0,IF(V184&lt;0,IF($J184=9,V184,IF($J184=8,V184,IF($J184=7,V184,0)))))</f>
        <v>0</v>
      </c>
      <c r="U184" s="84">
        <f>IF(V184=0,0,IF(V184&lt;0,IF($J184=12,V184,IF($J184=11,V184,IF($J184=10,V184,0)))))</f>
        <v>0</v>
      </c>
      <c r="V184" s="81">
        <f t="shared" si="2798"/>
        <v>0</v>
      </c>
      <c r="W184" s="82">
        <f>IF(AA184=0,0,IF(AA184&lt;0,IF($J184=3,AA184,IF($J184=2,AA184,IF($J184=1,AA184,0)))))</f>
        <v>0</v>
      </c>
      <c r="X184" s="83">
        <f>IF(AA184=0,0,IF(AA184&lt;0,IF($J184=6,AA184,IF($J184=5,AA184,IF($J184=4,AA184,0)))))</f>
        <v>0</v>
      </c>
      <c r="Y184" s="83">
        <f>IF(AA184=0,0,IF(AA184&lt;0,IF($J184=9,AA184,IF($J184=8,AA184,IF($J184=7,AA184,0)))))</f>
        <v>0</v>
      </c>
      <c r="Z184" s="84">
        <f>IF(AA184=0,0,IF(AA184&lt;0,IF($J184=12,AA184,IF($J184=11,AA184,IF($J184=10,AA184,0)))))</f>
        <v>0</v>
      </c>
      <c r="AA184" s="81">
        <f t="shared" si="2803"/>
        <v>0</v>
      </c>
      <c r="AB184" s="82">
        <f>IF(AF184=0,0,IF(AF184&lt;0,IF($J184=3,AF184,IF($J184=2,AF184,IF($J184=1,AF184,0)))))</f>
        <v>0</v>
      </c>
      <c r="AC184" s="83">
        <f>IF(AF184=0,0,IF(AF184&lt;0,IF($J184=6,AF184,IF($J184=5,AF184,IF($J184=4,AF184,0)))))</f>
        <v>0</v>
      </c>
      <c r="AD184" s="83">
        <f>IF(AF184=0,0,IF(AF184&lt;0,IF($J184=9,AF184,IF($J184=8,AF184,IF($J184=7,AF184,0)))))</f>
        <v>0</v>
      </c>
      <c r="AE184" s="84">
        <f>IF(AF184=0,0,IF(AF184&lt;0,IF($J184=12,AF184,IF($J184=11,AF184,IF($J184=10,AF184,0)))))</f>
        <v>0</v>
      </c>
      <c r="AF184" s="81">
        <f t="shared" si="2808"/>
        <v>0</v>
      </c>
      <c r="AG184" s="82">
        <f t="shared" si="2742"/>
        <v>0</v>
      </c>
      <c r="AH184" s="83">
        <f t="shared" si="2743"/>
        <v>0</v>
      </c>
      <c r="AI184" s="83">
        <f t="shared" si="2744"/>
        <v>0</v>
      </c>
      <c r="AJ184" s="84">
        <f t="shared" si="2745"/>
        <v>0</v>
      </c>
      <c r="AK184" s="81">
        <f t="shared" si="2809"/>
        <v>0</v>
      </c>
      <c r="AL184" s="82">
        <f t="shared" si="2746"/>
        <v>0</v>
      </c>
      <c r="AM184" s="83">
        <f t="shared" si="2747"/>
        <v>0</v>
      </c>
      <c r="AN184" s="83">
        <f t="shared" si="2748"/>
        <v>0</v>
      </c>
      <c r="AO184" s="84">
        <f t="shared" si="2749"/>
        <v>0</v>
      </c>
      <c r="AP184" s="81">
        <f t="shared" si="2810"/>
        <v>0</v>
      </c>
      <c r="AQ184" s="82">
        <f t="shared" si="2750"/>
        <v>0</v>
      </c>
      <c r="AR184" s="83">
        <f t="shared" si="2751"/>
        <v>0</v>
      </c>
      <c r="AS184" s="83">
        <f t="shared" si="2752"/>
        <v>0</v>
      </c>
      <c r="AT184" s="84">
        <f t="shared" si="2753"/>
        <v>0</v>
      </c>
      <c r="AU184" s="81">
        <f t="shared" si="2811"/>
        <v>0</v>
      </c>
      <c r="AV184" s="82">
        <f t="shared" si="2754"/>
        <v>0</v>
      </c>
      <c r="AW184" s="83">
        <f t="shared" si="2755"/>
        <v>0</v>
      </c>
      <c r="AX184" s="83">
        <f t="shared" si="2756"/>
        <v>0</v>
      </c>
      <c r="AY184" s="84">
        <f t="shared" si="2757"/>
        <v>0</v>
      </c>
      <c r="AZ184" s="81">
        <f t="shared" si="2812"/>
        <v>0</v>
      </c>
      <c r="BA184" s="82">
        <f t="shared" si="2758"/>
        <v>0</v>
      </c>
      <c r="BB184" s="83">
        <f t="shared" si="2759"/>
        <v>0</v>
      </c>
      <c r="BC184" s="83">
        <f t="shared" si="2760"/>
        <v>0</v>
      </c>
      <c r="BD184" s="84">
        <f t="shared" si="2761"/>
        <v>0</v>
      </c>
      <c r="BE184" s="81">
        <f t="shared" si="2813"/>
        <v>0</v>
      </c>
      <c r="BF184" s="1877"/>
      <c r="BG184" s="2005">
        <f t="shared" si="2762"/>
        <v>0</v>
      </c>
      <c r="BH184" s="86">
        <f>IF($H184&lt;&gt;BL$5,0,IF(BL184&lt;0,IF($J184=1,-$E184*$I184/12*3,IF($J184=2,-$E184*$I184/12*2,IF($J184=3,-$E184*$I184/12*1,0)))))+IF(BG$5&lt;&gt;$H184,0,IF(BG184&lt;0,IF($J184=1,-$E184*$I184/12*0,IF($J184=2,-$E184*$I184/12*1,IF($J184=3,-$E184*$I184/12*2,IF($J184&gt;=4,-$E184*$I184/12*3,0))))))</f>
        <v>0</v>
      </c>
      <c r="BI184" s="87">
        <f>IF($H184&lt;&gt;BL$5,0,IF(BL184&lt;0,IF(OR($J184=1,$J184=2,$J184=3,$J184=4),-$E184*$I184/12*3,IF($J184=5,-$E184*$I184/12*2,IF($J184=6,-$E184*$I184/12*1,0)))))+IF(BG$5&lt;&gt;$H184,0,IF(BG184&lt;0,IF($J184=4,-$E184*$I184/12*0,IF($J184=5,-$E184*$I184/12*1,IF($J184=6,-$E184*$I184/12*2,IF($J184&gt;=7,-$E184*$I184/12*3,0))))))</f>
        <v>0</v>
      </c>
      <c r="BJ184" s="87">
        <f>IF($H184&lt;&gt;BL$5,0,IF(BL184&lt;0,IF(OR($J184=1,$J184=2,$J184=3,$J184=4,$J184=5,$J184=6,$J184=7),-$E184*$I184/12*3,IF($J184=8,-$E184*$I184/12*2,IF($J184=9,-$E184*$I184/12*1,0)))))+IF(BG$5&lt;&gt;$H184,0,IF(BG184&lt;0,IF($J184=7,-$E184*$I184/12*0,IF($J184=8,-$E184*$I184/12*1,IF($J184=9,-$E184*$I184/12*2,IF($J184&gt;=10,-$E184*$I184/12*3,0))))))</f>
        <v>0</v>
      </c>
      <c r="BK184" s="88">
        <f>IF($H184&lt;&gt;BL$5,0,IF(BL184&lt;0,IF(OR($J184=1,$J184=2,$J184=3,$J184=4,$J184=5,$J184=6,$J184=7,$J184=8,$J184=9,$J184=10),-$E184*$I184/12*3,IF($J184=11,-$E184*$I184/12*2,IF($J184=12,-$E184*$I184/12*1,0)))))+IF(BG$5&lt;&gt;$H184,0,IF(BG184&lt;0,IF($J184=10,-$E184*$I184/12*0,IF($J184=11,-$E184*$I184/12*1,IF($J184=12,-$E184*$I184/12*2,0)))))</f>
        <v>0</v>
      </c>
      <c r="BL184" s="85">
        <f>IF(AND(BG184&lt;&gt;0,BG$5=$H184),-$I184*$E184-BG184,IF(BL$5=$H184,-$I184*$E184*(12-$J184+1)/12,0))</f>
        <v>0</v>
      </c>
      <c r="BM184" s="86">
        <f>IF($H184&lt;&gt;BQ$5,0,IF(BQ184&lt;0,IF($J184=1,-$E184*$I184/12*3,IF($J184=2,-$E184*$I184/12*2,IF($J184=3,-$E184*$I184/12*1,0)))))+IF(BL$5&lt;&gt;$H184,0,IF(BL184&lt;0,IF($J184=1,-$E184*$I184/12*0,IF($J184=2,-$E184*$I184/12*1,IF($J184=3,-$E184*$I184/12*2,IF($J184&gt;=4,-$E184*$I184/12*3,0))))))</f>
        <v>0</v>
      </c>
      <c r="BN184" s="87">
        <f>IF($H184&lt;&gt;BQ$5,0,IF(BQ184&lt;0,IF(OR($J184=1,$J184=2,$J184=3,$J184=4),-$E184*$I184/12*3,IF($J184=5,-$E184*$I184/12*2,IF($J184=6,-$E184*$I184/12*1,0)))))+IF(BL$5&lt;&gt;$H184,0,IF(BL184&lt;0,IF($J184=4,-$E184*$I184/12*0,IF($J184=5,-$E184*$I184/12*1,IF($J184=6,-$E184*$I184/12*2,IF($J184&gt;=7,-$E184*$I184/12*3,0))))))</f>
        <v>0</v>
      </c>
      <c r="BO184" s="87">
        <f>IF($H184&lt;&gt;BQ$5,0,IF(BQ184&lt;0,IF(OR($J184=1,$J184=2,$J184=3,$J184=4,$J184=5,$J184=6,$J184=7),-$E184*$I184/12*3,IF($J184=8,-$E184*$I184/12*2,IF($J184=9,-$E184*$I184/12*1,0)))))+IF(BL$5&lt;&gt;$H184,0,IF(BL184&lt;0,IF($J184=7,-$E184*$I184/12*0,IF($J184=8,-$E184*$I184/12*1,IF($J184=9,-$E184*$I184/12*2,IF($J184&gt;=10,-$E184*$I184/12*3,0))))))</f>
        <v>0</v>
      </c>
      <c r="BP184" s="88">
        <f>IF($H184&lt;&gt;BQ$5,0,IF(BQ184&lt;0,IF(OR($J184=1,$J184=2,$J184=3,$J184=4,$J184=5,$J184=6,$J184=7,$J184=8,$J184=9,$J184=10),-$E184*$I184/12*3,IF($J184=11,-$E184*$I184/12*2,IF($J184=12,-$E184*$I184/12*1,0)))))+IF(BL$5&lt;&gt;$H184,0,IF(BL184&lt;0,IF($J184=10,-$E184*$I184/12*0,IF($J184=11,-$E184*$I184/12*1,IF($J184=12,-$E184*$I184/12*2,0)))))</f>
        <v>0</v>
      </c>
      <c r="BQ184" s="85">
        <f>IF(AND(BL184&lt;&gt;0,BL$5=$H184),-$I184*$E184-BL184,IF(BQ$5=$H184,-$I184*$E184*(12-$J184+1)/12,0))</f>
        <v>0</v>
      </c>
      <c r="BR184" s="86">
        <f>IF($H184&lt;&gt;BV$5,0,IF(BV184&lt;0,IF($J184=1,-$E184*$I184/12*3,IF($J184=2,-$E184*$I184/12*2,IF($J184=3,-$E184*$I184/12*1,0)))))+IF(BQ$5&lt;&gt;$H184,0,IF(BQ184&lt;0,IF($J184=1,-$E184*$I184/12*0,IF($J184=2,-$E184*$I184/12*1,IF($J184=3,-$E184*$I184/12*2,IF($J184&gt;=4,-$E184*$I184/12*3,0))))))</f>
        <v>0</v>
      </c>
      <c r="BS184" s="87">
        <f>IF($H184&lt;&gt;BV$5,0,IF(BV184&lt;0,IF(OR($J184=1,$J184=2,$J184=3,$J184=4),-$E184*$I184/12*3,IF($J184=5,-$E184*$I184/12*2,IF($J184=6,-$E184*$I184/12*1,0)))))+IF(BQ$5&lt;&gt;$H184,0,IF(BQ184&lt;0,IF($J184=4,-$E184*$I184/12*0,IF($J184=5,-$E184*$I184/12*1,IF($J184=6,-$E184*$I184/12*2,IF($J184&gt;=7,-$E184*$I184/12*3,0))))))</f>
        <v>0</v>
      </c>
      <c r="BT184" s="87">
        <f>IF($H184&lt;&gt;BV$5,0,IF(BV184&lt;0,IF(OR($J184=1,$J184=2,$J184=3,$J184=4,$J184=5,$J184=6,$J184=7),-$E184*$I184/12*3,IF($J184=8,-$E184*$I184/12*2,IF($J184=9,-$E184*$I184/12*1,0)))))+IF(BQ$5&lt;&gt;$H184,0,IF(BQ184&lt;0,IF($J184=7,-$E184*$I184/12*0,IF($J184=8,-$E184*$I184/12*1,IF($J184=9,-$E184*$I184/12*2,IF($J184&gt;=10,-$E184*$I184/12*3,0))))))</f>
        <v>0</v>
      </c>
      <c r="BU184" s="88">
        <f>IF($H184&lt;&gt;BV$5,0,IF(BV184&lt;0,IF(OR($J184=1,$J184=2,$J184=3,$J184=4,$J184=5,$J184=6,$J184=7,$J184=8,$J184=9,$J184=10),-$E184*$I184/12*3,IF($J184=11,-$E184*$I184/12*2,IF($J184=12,-$E184*$I184/12*1,0)))))+IF(BQ$5&lt;&gt;$H184,0,IF(BQ184&lt;0,IF($J184=10,-$E184*$I184/12*0,IF($J184=11,-$E184*$I184/12*1,IF($J184=12,-$E184*$I184/12*2,0)))))</f>
        <v>0</v>
      </c>
      <c r="BV184" s="85">
        <f>IF(AND(BQ184&lt;&gt;0,BQ$5=$H184),-$I184*$E184-BQ184,IF(BV$5=$H184,-$I184*$E184*(12-$J184+1)/12,0))</f>
        <v>0</v>
      </c>
      <c r="BW184" s="86">
        <f>IF($H184&lt;&gt;CA$5,0,IF(CA184&lt;0,IF($J184=1,-$E184*$I184/12*3,IF($J184=2,-$E184*$I184/12*2,IF($J184=3,-$E184*$I184/12*1,0)))))+IF(BV$5&lt;&gt;$H184,0,IF(BV184&lt;0,IF($J184=1,-$E184*$I184/12*0,IF($J184=2,-$E184*$I184/12*1,IF($J184=3,-$E184*$I184/12*2,IF($J184&gt;=4,-$E184*$I184/12*3,0))))))</f>
        <v>0</v>
      </c>
      <c r="BX184" s="87">
        <f>IF($H184&lt;&gt;CA$5,0,IF(CA184&lt;0,IF(OR($J184=1,$J184=2,$J184=3,$J184=4),-$E184*$I184/12*3,IF($J184=5,-$E184*$I184/12*2,IF($J184=6,-$E184*$I184/12*1,0)))))+IF(BV$5&lt;&gt;$H184,0,IF(BV184&lt;0,IF($J184=4,-$E184*$I184/12*0,IF($J184=5,-$E184*$I184/12*1,IF($J184=6,-$E184*$I184/12*2,IF($J184&gt;=7,-$E184*$I184/12*3,0))))))</f>
        <v>0</v>
      </c>
      <c r="BY184" s="87">
        <f>IF($H184&lt;&gt;CA$5,0,IF(CA184&lt;0,IF(OR($J184=1,$J184=2,$J184=3,$J184=4,$J184=5,$J184=6,$J184=7),-$E184*$I184/12*3,IF($J184=8,-$E184*$I184/12*2,IF($J184=9,-$E184*$I184/12*1,0)))))+IF(BV$5&lt;&gt;$H184,0,IF(BV184&lt;0,IF($J184=7,-$E184*$I184/12*0,IF($J184=8,-$E184*$I184/12*1,IF($J184=9,-$E184*$I184/12*2,IF($J184&gt;=10,-$E184*$I184/12*3,0))))))</f>
        <v>0</v>
      </c>
      <c r="BZ184" s="88">
        <f>IF($H184&lt;&gt;CA$5,0,IF(CA184&lt;0,IF(OR($J184=1,$J184=2,$J184=3,$J184=4,$J184=5,$J184=6,$J184=7,$J184=8,$J184=9,$J184=10),-$E184*$I184/12*3,IF($J184=11,-$E184*$I184/12*2,IF($J184=12,-$E184*$I184/12*1,0)))))+IF(BV$5&lt;&gt;$H184,0,IF(BV184&lt;0,IF($J184=10,-$E184*$I184/12*0,IF($J184=11,-$E184*$I184/12*1,IF($J184=12,-$E184*$I184/12*2,0)))))</f>
        <v>0</v>
      </c>
      <c r="CA184" s="85">
        <f>IF(AND(BV184&lt;&gt;0,BV$5=$H184),-$I184*$E184-BV184,IF(CA$5=$H184,-$I184*$E184*(12-$J184+1)/12,0))</f>
        <v>0</v>
      </c>
      <c r="CB184" s="86">
        <f t="shared" si="2763"/>
        <v>0</v>
      </c>
      <c r="CC184" s="87">
        <f t="shared" si="2764"/>
        <v>0</v>
      </c>
      <c r="CD184" s="87">
        <f t="shared" si="2765"/>
        <v>0</v>
      </c>
      <c r="CE184" s="88">
        <f t="shared" si="2766"/>
        <v>0</v>
      </c>
      <c r="CF184" s="85">
        <f t="shared" si="2767"/>
        <v>0</v>
      </c>
      <c r="CG184" s="86">
        <f t="shared" si="2768"/>
        <v>0</v>
      </c>
      <c r="CH184" s="87">
        <f t="shared" si="2769"/>
        <v>0</v>
      </c>
      <c r="CI184" s="87">
        <f t="shared" si="2770"/>
        <v>0</v>
      </c>
      <c r="CJ184" s="88">
        <f t="shared" si="2771"/>
        <v>0</v>
      </c>
      <c r="CK184" s="85">
        <f t="shared" si="2772"/>
        <v>0</v>
      </c>
      <c r="CL184" s="86">
        <f t="shared" si="2773"/>
        <v>0</v>
      </c>
      <c r="CM184" s="87">
        <f t="shared" si="2774"/>
        <v>0</v>
      </c>
      <c r="CN184" s="87">
        <f t="shared" si="2775"/>
        <v>0</v>
      </c>
      <c r="CO184" s="88">
        <f t="shared" si="2776"/>
        <v>0</v>
      </c>
      <c r="CP184" s="85">
        <f t="shared" si="2777"/>
        <v>0</v>
      </c>
      <c r="CQ184" s="86">
        <f t="shared" si="2778"/>
        <v>0</v>
      </c>
      <c r="CR184" s="87">
        <f t="shared" si="2779"/>
        <v>0</v>
      </c>
      <c r="CS184" s="87">
        <f t="shared" si="2780"/>
        <v>0</v>
      </c>
      <c r="CT184" s="88">
        <f t="shared" si="2781"/>
        <v>0</v>
      </c>
      <c r="CU184" s="85">
        <f t="shared" si="2782"/>
        <v>0</v>
      </c>
      <c r="CV184" s="86">
        <f t="shared" si="2783"/>
        <v>0</v>
      </c>
      <c r="CW184" s="87">
        <f t="shared" si="2784"/>
        <v>0</v>
      </c>
      <c r="CX184" s="87">
        <f t="shared" si="2785"/>
        <v>0</v>
      </c>
      <c r="CY184" s="88">
        <f t="shared" si="2786"/>
        <v>0</v>
      </c>
      <c r="CZ184" s="85">
        <f t="shared" si="2787"/>
        <v>0</v>
      </c>
    </row>
    <row r="185" spans="1:104" ht="12.75" customHeight="1">
      <c r="A185" s="4"/>
      <c r="B185" s="4"/>
      <c r="C185" s="4" t="s">
        <v>696</v>
      </c>
      <c r="D185" s="157"/>
      <c r="E185" s="2115">
        <f t="shared" si="2741"/>
        <v>400</v>
      </c>
      <c r="F185" s="2313">
        <v>400</v>
      </c>
      <c r="G185" s="1511">
        <v>400</v>
      </c>
      <c r="H185" s="1334">
        <v>2036</v>
      </c>
      <c r="I185" s="325">
        <v>6.3500000000000001E-2</v>
      </c>
      <c r="J185" s="1334">
        <v>10</v>
      </c>
      <c r="K185" s="80"/>
      <c r="L185" s="81">
        <f t="shared" si="2788"/>
        <v>0</v>
      </c>
      <c r="M185" s="82">
        <f t="shared" si="2789"/>
        <v>0</v>
      </c>
      <c r="N185" s="83">
        <f t="shared" si="2790"/>
        <v>0</v>
      </c>
      <c r="O185" s="83">
        <f t="shared" si="2791"/>
        <v>0</v>
      </c>
      <c r="P185" s="84">
        <f t="shared" si="2792"/>
        <v>0</v>
      </c>
      <c r="Q185" s="81">
        <f t="shared" si="2793"/>
        <v>0</v>
      </c>
      <c r="R185" s="82">
        <f t="shared" si="2794"/>
        <v>0</v>
      </c>
      <c r="S185" s="83">
        <f t="shared" si="2795"/>
        <v>0</v>
      </c>
      <c r="T185" s="83">
        <f t="shared" si="2796"/>
        <v>0</v>
      </c>
      <c r="U185" s="84">
        <f t="shared" si="2797"/>
        <v>0</v>
      </c>
      <c r="V185" s="81">
        <f t="shared" si="2798"/>
        <v>0</v>
      </c>
      <c r="W185" s="82">
        <f t="shared" si="2799"/>
        <v>0</v>
      </c>
      <c r="X185" s="83">
        <f t="shared" si="2800"/>
        <v>0</v>
      </c>
      <c r="Y185" s="83">
        <f t="shared" si="2801"/>
        <v>0</v>
      </c>
      <c r="Z185" s="84">
        <f t="shared" si="2802"/>
        <v>0</v>
      </c>
      <c r="AA185" s="81">
        <f t="shared" si="2803"/>
        <v>0</v>
      </c>
      <c r="AB185" s="82">
        <f t="shared" si="2804"/>
        <v>0</v>
      </c>
      <c r="AC185" s="83">
        <f t="shared" si="2805"/>
        <v>0</v>
      </c>
      <c r="AD185" s="83">
        <f t="shared" si="2806"/>
        <v>0</v>
      </c>
      <c r="AE185" s="84">
        <f t="shared" si="2807"/>
        <v>0</v>
      </c>
      <c r="AF185" s="81">
        <f t="shared" si="2808"/>
        <v>0</v>
      </c>
      <c r="AG185" s="82">
        <f t="shared" si="2742"/>
        <v>0</v>
      </c>
      <c r="AH185" s="83">
        <f t="shared" si="2743"/>
        <v>0</v>
      </c>
      <c r="AI185" s="83">
        <f t="shared" si="2744"/>
        <v>0</v>
      </c>
      <c r="AJ185" s="84">
        <f t="shared" si="2745"/>
        <v>0</v>
      </c>
      <c r="AK185" s="81">
        <f t="shared" si="2809"/>
        <v>0</v>
      </c>
      <c r="AL185" s="82">
        <f t="shared" si="2746"/>
        <v>0</v>
      </c>
      <c r="AM185" s="83">
        <f t="shared" si="2747"/>
        <v>0</v>
      </c>
      <c r="AN185" s="83">
        <f t="shared" si="2748"/>
        <v>0</v>
      </c>
      <c r="AO185" s="84">
        <f t="shared" si="2749"/>
        <v>0</v>
      </c>
      <c r="AP185" s="81">
        <f t="shared" si="2810"/>
        <v>0</v>
      </c>
      <c r="AQ185" s="82">
        <f t="shared" si="2750"/>
        <v>0</v>
      </c>
      <c r="AR185" s="83">
        <f t="shared" si="2751"/>
        <v>0</v>
      </c>
      <c r="AS185" s="83">
        <f t="shared" si="2752"/>
        <v>0</v>
      </c>
      <c r="AT185" s="84">
        <f t="shared" si="2753"/>
        <v>0</v>
      </c>
      <c r="AU185" s="81">
        <f t="shared" si="2811"/>
        <v>0</v>
      </c>
      <c r="AV185" s="82">
        <f t="shared" si="2754"/>
        <v>0</v>
      </c>
      <c r="AW185" s="83">
        <f t="shared" si="2755"/>
        <v>0</v>
      </c>
      <c r="AX185" s="83">
        <f t="shared" si="2756"/>
        <v>0</v>
      </c>
      <c r="AY185" s="84">
        <f t="shared" si="2757"/>
        <v>0</v>
      </c>
      <c r="AZ185" s="81">
        <f t="shared" si="2812"/>
        <v>0</v>
      </c>
      <c r="BA185" s="82">
        <f t="shared" si="2758"/>
        <v>0</v>
      </c>
      <c r="BB185" s="83">
        <f t="shared" si="2759"/>
        <v>0</v>
      </c>
      <c r="BC185" s="83">
        <f t="shared" si="2760"/>
        <v>0</v>
      </c>
      <c r="BD185" s="84">
        <f t="shared" si="2761"/>
        <v>0</v>
      </c>
      <c r="BE185" s="81">
        <f t="shared" si="2813"/>
        <v>0</v>
      </c>
      <c r="BF185" s="1877"/>
      <c r="BG185" s="2005">
        <f t="shared" si="2762"/>
        <v>0</v>
      </c>
      <c r="BH185" s="86">
        <f t="shared" si="2814"/>
        <v>0</v>
      </c>
      <c r="BI185" s="87">
        <f t="shared" si="2815"/>
        <v>0</v>
      </c>
      <c r="BJ185" s="87">
        <f t="shared" si="2816"/>
        <v>0</v>
      </c>
      <c r="BK185" s="88">
        <f t="shared" si="2817"/>
        <v>0</v>
      </c>
      <c r="BL185" s="85">
        <f t="shared" si="2818"/>
        <v>0</v>
      </c>
      <c r="BM185" s="86">
        <f t="shared" si="2819"/>
        <v>0</v>
      </c>
      <c r="BN185" s="87">
        <f t="shared" si="2820"/>
        <v>0</v>
      </c>
      <c r="BO185" s="87">
        <f t="shared" si="2821"/>
        <v>0</v>
      </c>
      <c r="BP185" s="88">
        <f t="shared" si="2822"/>
        <v>0</v>
      </c>
      <c r="BQ185" s="85">
        <f t="shared" si="2823"/>
        <v>0</v>
      </c>
      <c r="BR185" s="86">
        <f t="shared" si="2824"/>
        <v>0</v>
      </c>
      <c r="BS185" s="87">
        <f t="shared" si="2825"/>
        <v>0</v>
      </c>
      <c r="BT185" s="87">
        <f t="shared" si="2826"/>
        <v>0</v>
      </c>
      <c r="BU185" s="88">
        <f t="shared" si="2827"/>
        <v>0</v>
      </c>
      <c r="BV185" s="85">
        <f t="shared" si="2828"/>
        <v>0</v>
      </c>
      <c r="BW185" s="86">
        <f t="shared" si="2829"/>
        <v>0</v>
      </c>
      <c r="BX185" s="87">
        <f t="shared" si="2830"/>
        <v>0</v>
      </c>
      <c r="BY185" s="87">
        <f t="shared" si="2831"/>
        <v>0</v>
      </c>
      <c r="BZ185" s="88">
        <f t="shared" si="2832"/>
        <v>0</v>
      </c>
      <c r="CA185" s="85">
        <f t="shared" si="2833"/>
        <v>0</v>
      </c>
      <c r="CB185" s="86">
        <f t="shared" si="2763"/>
        <v>0</v>
      </c>
      <c r="CC185" s="87">
        <f t="shared" si="2764"/>
        <v>0</v>
      </c>
      <c r="CD185" s="87">
        <f t="shared" si="2765"/>
        <v>0</v>
      </c>
      <c r="CE185" s="88">
        <f t="shared" si="2766"/>
        <v>0</v>
      </c>
      <c r="CF185" s="85">
        <f t="shared" si="2767"/>
        <v>0</v>
      </c>
      <c r="CG185" s="86">
        <f t="shared" si="2768"/>
        <v>0</v>
      </c>
      <c r="CH185" s="87">
        <f t="shared" si="2769"/>
        <v>0</v>
      </c>
      <c r="CI185" s="87">
        <f t="shared" si="2770"/>
        <v>0</v>
      </c>
      <c r="CJ185" s="88">
        <f t="shared" si="2771"/>
        <v>0</v>
      </c>
      <c r="CK185" s="85">
        <f t="shared" si="2772"/>
        <v>0</v>
      </c>
      <c r="CL185" s="86">
        <f t="shared" si="2773"/>
        <v>0</v>
      </c>
      <c r="CM185" s="87">
        <f t="shared" si="2774"/>
        <v>0</v>
      </c>
      <c r="CN185" s="87">
        <f t="shared" si="2775"/>
        <v>0</v>
      </c>
      <c r="CO185" s="88">
        <f t="shared" si="2776"/>
        <v>0</v>
      </c>
      <c r="CP185" s="85">
        <f t="shared" si="2777"/>
        <v>0</v>
      </c>
      <c r="CQ185" s="86">
        <f t="shared" si="2778"/>
        <v>0</v>
      </c>
      <c r="CR185" s="87">
        <f t="shared" si="2779"/>
        <v>0</v>
      </c>
      <c r="CS185" s="87">
        <f t="shared" si="2780"/>
        <v>0</v>
      </c>
      <c r="CT185" s="88">
        <f t="shared" si="2781"/>
        <v>0</v>
      </c>
      <c r="CU185" s="85">
        <f t="shared" si="2782"/>
        <v>0</v>
      </c>
      <c r="CV185" s="86">
        <f t="shared" si="2783"/>
        <v>0</v>
      </c>
      <c r="CW185" s="87">
        <f t="shared" si="2784"/>
        <v>0</v>
      </c>
      <c r="CX185" s="87">
        <f t="shared" si="2785"/>
        <v>0</v>
      </c>
      <c r="CY185" s="88">
        <f t="shared" si="2786"/>
        <v>0</v>
      </c>
      <c r="CZ185" s="85">
        <f t="shared" si="2787"/>
        <v>0</v>
      </c>
    </row>
    <row r="186" spans="1:104" ht="12.75" customHeight="1">
      <c r="A186" s="4"/>
      <c r="B186" s="4"/>
      <c r="C186" s="4" t="s">
        <v>697</v>
      </c>
      <c r="D186" s="157"/>
      <c r="E186" s="2115">
        <f t="shared" si="2741"/>
        <v>250</v>
      </c>
      <c r="F186" s="2313">
        <v>0</v>
      </c>
      <c r="G186" s="1511">
        <v>250</v>
      </c>
      <c r="H186" s="1334">
        <v>2017</v>
      </c>
      <c r="I186" s="325">
        <v>6.2E-2</v>
      </c>
      <c r="J186" s="1334">
        <v>8</v>
      </c>
      <c r="K186" s="80"/>
      <c r="L186" s="81">
        <f t="shared" si="2788"/>
        <v>0</v>
      </c>
      <c r="M186" s="2001">
        <f>IF(Q186=0,0,IF(Q186&lt;0,IF($J186=3,Q186,IF($J186=2,Q186,IF($J186=1,Q186,0)))))</f>
        <v>0</v>
      </c>
      <c r="N186" s="81">
        <f>IF(Q186=0,0,IF(Q186&lt;0,IF($J186=6,Q186,IF($J186=5,Q186,IF($J186=4,Q186,0)))))</f>
        <v>0</v>
      </c>
      <c r="O186" s="81">
        <f>IF(Q186=0,0,IF(Q186&lt;0,IF($J186=9,Q186,IF($J186=8,Q186,IF($J186=7,Q186,0)))))</f>
        <v>0</v>
      </c>
      <c r="P186" s="2295">
        <f>IF(Q186=0,0,IF(Q186&lt;0,IF($J186=12,Q186,IF($J186=11,Q186,IF($J186=10,Q186,0)))))</f>
        <v>0</v>
      </c>
      <c r="Q186" s="81">
        <f t="shared" si="2793"/>
        <v>0</v>
      </c>
      <c r="R186" s="2001">
        <f>IF(V186=0,0,IF(V186&lt;0,IF($J186=3,V186,IF($J186=2,V186,IF($J186=1,V186,0)))))</f>
        <v>0</v>
      </c>
      <c r="S186" s="81">
        <f>IF(V186=0,0,IF(V186&lt;0,IF($J186=6,V186,IF($J186=5,V186,IF($J186=4,V186,0)))))</f>
        <v>0</v>
      </c>
      <c r="T186" s="81">
        <f>IF(V186=0,0,IF(V186&lt;0,IF($J186=9,V186,IF($J186=8,V186,IF($J186=7,V186,0)))))</f>
        <v>0</v>
      </c>
      <c r="U186" s="2295">
        <f>IF(V186=0,0,IF(V186&lt;0,IF($J186=12,V186,IF($J186=11,V186,IF($J186=10,V186,0)))))</f>
        <v>0</v>
      </c>
      <c r="V186" s="81">
        <f t="shared" si="2798"/>
        <v>0</v>
      </c>
      <c r="W186" s="2001">
        <f>IF(AA186=0,0,IF(AA186&lt;0,IF($J186=3,AA186,IF($J186=2,AA186,IF($J186=1,AA186,0)))))</f>
        <v>0</v>
      </c>
      <c r="X186" s="81">
        <f>IF(AA186=0,0,IF(AA186&lt;0,IF($J186=6,AA186,IF($J186=5,AA186,IF($J186=4,AA186,0)))))</f>
        <v>0</v>
      </c>
      <c r="Y186" s="81">
        <f>IF(AA186=0,0,IF(AA186&lt;0,IF($J186=9,AA186,IF($J186=8,AA186,IF($J186=7,AA186,0)))))</f>
        <v>0</v>
      </c>
      <c r="Z186" s="2295">
        <f>IF(AA186=0,0,IF(AA186&lt;0,IF($J186=12,AA186,IF($J186=11,AA186,IF($J186=10,AA186,0)))))</f>
        <v>0</v>
      </c>
      <c r="AA186" s="81">
        <f t="shared" si="2803"/>
        <v>0</v>
      </c>
      <c r="AB186" s="82">
        <f>IF(AF186=0,0,IF(AF186&lt;0,IF($J186=3,AF186,IF($J186=2,AF186,IF($J186=1,AF186,0)))))</f>
        <v>0</v>
      </c>
      <c r="AC186" s="83">
        <f>IF(AF186=0,0,IF(AF186&lt;0,IF($J186=6,AF186,IF($J186=5,AF186,IF($J186=4,AF186,0)))))</f>
        <v>0</v>
      </c>
      <c r="AD186" s="83">
        <f>IF(AF186=0,0,IF(AF186&lt;0,IF($J186=9,AF186,IF($J186=8,AF186,IF($J186=7,AF186,0)))))</f>
        <v>0</v>
      </c>
      <c r="AE186" s="84">
        <f>IF(AF186=0,0,IF(AF186&lt;0,IF($J186=12,AF186,IF($J186=11,AF186,IF($J186=10,AF186,0)))))</f>
        <v>0</v>
      </c>
      <c r="AF186" s="81">
        <f t="shared" si="2808"/>
        <v>0</v>
      </c>
      <c r="AG186" s="82">
        <f>IF(AK186=0,0,IF(AK186&lt;0,IF($J186=3,AK186,IF($J186=2,AK186,IF($J186=1,AK186,0)))))</f>
        <v>0</v>
      </c>
      <c r="AH186" s="83">
        <f>IF(AK186=0,0,IF(AK186&lt;0,IF($J186=6,AK186,IF($J186=5,AK186,IF($J186=4,AK186,0)))))</f>
        <v>0</v>
      </c>
      <c r="AI186" s="83">
        <f>IF(AK186=0,0,IF(AK186&lt;0,IF($J186=9,AK186,IF($J186=8,AK186,IF($J186=7,AK186,0)))))</f>
        <v>-250</v>
      </c>
      <c r="AJ186" s="84">
        <f>IF(AK186=0,0,IF(AK186&lt;0,IF($J186=12,AK186,IF($J186=11,AK186,IF($J186=10,AK186,0)))))</f>
        <v>0</v>
      </c>
      <c r="AK186" s="81">
        <f t="shared" si="2809"/>
        <v>-250</v>
      </c>
      <c r="AL186" s="82">
        <f>IF(AP186=0,0,IF(AP186&lt;0,IF($J186=3,AP186,IF($J186=2,AP186,IF($J186=1,AP186,0)))))</f>
        <v>0</v>
      </c>
      <c r="AM186" s="83">
        <f>IF(AP186=0,0,IF(AP186&lt;0,IF($J186=6,AP186,IF($J186=5,AP186,IF($J186=4,AP186,0)))))</f>
        <v>0</v>
      </c>
      <c r="AN186" s="83">
        <f>IF(AP186=0,0,IF(AP186&lt;0,IF($J186=9,AP186,IF($J186=8,AP186,IF($J186=7,AP186,0)))))</f>
        <v>0</v>
      </c>
      <c r="AO186" s="84">
        <f>IF(AP186=0,0,IF(AP186&lt;0,IF($J186=12,AP186,IF($J186=11,AP186,IF($J186=10,AP186,0)))))</f>
        <v>0</v>
      </c>
      <c r="AP186" s="81">
        <f t="shared" si="2810"/>
        <v>0</v>
      </c>
      <c r="AQ186" s="82">
        <f>IF(AU186=0,0,IF(AU186&lt;0,IF($J186=3,AU186,IF($J186=2,AU186,IF($J186=1,AU186,0)))))</f>
        <v>0</v>
      </c>
      <c r="AR186" s="83">
        <f>IF(AU186=0,0,IF(AU186&lt;0,IF($J186=6,AU186,IF($J186=5,AU186,IF($J186=4,AU186,0)))))</f>
        <v>0</v>
      </c>
      <c r="AS186" s="83">
        <f>IF(AU186=0,0,IF(AU186&lt;0,IF($J186=9,AU186,IF($J186=8,AU186,IF($J186=7,AU186,0)))))</f>
        <v>0</v>
      </c>
      <c r="AT186" s="84">
        <f>IF(AU186=0,0,IF(AU186&lt;0,IF($J186=12,AU186,IF($J186=11,AU186,IF($J186=10,AU186,0)))))</f>
        <v>0</v>
      </c>
      <c r="AU186" s="81">
        <f t="shared" si="2811"/>
        <v>0</v>
      </c>
      <c r="AV186" s="82">
        <f>IF(AZ186=0,0,IF(AZ186&lt;0,IF($J186=3,AZ186,IF($J186=2,AZ186,IF($J186=1,AZ186,0)))))</f>
        <v>0</v>
      </c>
      <c r="AW186" s="83">
        <f>IF(AZ186=0,0,IF(AZ186&lt;0,IF($J186=6,AZ186,IF($J186=5,AZ186,IF($J186=4,AZ186,0)))))</f>
        <v>0</v>
      </c>
      <c r="AX186" s="83">
        <f>IF(AZ186=0,0,IF(AZ186&lt;0,IF($J186=9,AZ186,IF($J186=8,AZ186,IF($J186=7,AZ186,0)))))</f>
        <v>0</v>
      </c>
      <c r="AY186" s="84">
        <f>IF(AZ186=0,0,IF(AZ186&lt;0,IF($J186=12,AZ186,IF($J186=11,AZ186,IF($J186=10,AZ186,0)))))</f>
        <v>0</v>
      </c>
      <c r="AZ186" s="81">
        <f t="shared" si="2812"/>
        <v>0</v>
      </c>
      <c r="BA186" s="82">
        <f>IF(BE186=0,0,IF(BE186&lt;0,IF($J186=3,BE186,IF($J186=2,BE186,IF($J186=1,BE186,0)))))</f>
        <v>0</v>
      </c>
      <c r="BB186" s="83">
        <f>IF(BE186=0,0,IF(BE186&lt;0,IF($J186=6,BE186,IF($J186=5,BE186,IF($J186=4,BE186,0)))))</f>
        <v>0</v>
      </c>
      <c r="BC186" s="83">
        <f>IF(BE186=0,0,IF(BE186&lt;0,IF($J186=9,BE186,IF($J186=8,BE186,IF($J186=7,BE186,0)))))</f>
        <v>0</v>
      </c>
      <c r="BD186" s="84">
        <f>IF(BE186=0,0,IF(BE186&lt;0,IF($J186=12,BE186,IF($J186=11,BE186,IF($J186=10,BE186,0)))))</f>
        <v>0</v>
      </c>
      <c r="BE186" s="81">
        <f t="shared" si="2813"/>
        <v>0</v>
      </c>
      <c r="BF186" s="1877"/>
      <c r="BG186" s="2005">
        <f t="shared" si="2762"/>
        <v>0</v>
      </c>
      <c r="BH186" s="86">
        <f>IF($H186&lt;&gt;BL$5,0,IF(BL186&lt;0,IF($J186=1,-$E186*$I186/12*3,IF($J186=2,-$E186*$I186/12*2,IF($J186=3,-$E186*$I186/12*1,0)))))+IF(BG$5&lt;&gt;$H186,0,IF(BG186&lt;0,IF($J186=1,-$E186*$I186/12*0,IF($J186=2,-$E186*$I186/12*1,IF($J186=3,-$E186*$I186/12*2,IF($J186&gt;=4,-$E186*$I186/12*3,0))))))</f>
        <v>0</v>
      </c>
      <c r="BI186" s="87">
        <f>IF($H186&lt;&gt;BL$5,0,IF(BL186&lt;0,IF(OR($J186=1,$J186=2,$J186=3,$J186=4),-$E186*$I186/12*3,IF($J186=5,-$E186*$I186/12*2,IF($J186=6,-$E186*$I186/12*1,0)))))+IF(BG$5&lt;&gt;$H186,0,IF(BG186&lt;0,IF($J186=4,-$E186*$I186/12*0,IF($J186=5,-$E186*$I186/12*1,IF($J186=6,-$E186*$I186/12*2,IF($J186&gt;=7,-$E186*$I186/12*3,0))))))</f>
        <v>0</v>
      </c>
      <c r="BJ186" s="87">
        <f>IF($H186&lt;&gt;BL$5,0,IF(BL186&lt;0,IF(OR($J186=1,$J186=2,$J186=3,$J186=4,$J186=5,$J186=6,$J186=7),-$E186*$I186/12*3,IF($J186=8,-$E186*$I186/12*2,IF($J186=9,-$E186*$I186/12*1,0)))))+IF(BG$5&lt;&gt;$H186,0,IF(BG186&lt;0,IF($J186=7,-$E186*$I186/12*0,IF($J186=8,-$E186*$I186/12*1,IF($J186=9,-$E186*$I186/12*2,IF($J186&gt;=10,-$E186*$I186/12*3,0))))))</f>
        <v>0</v>
      </c>
      <c r="BK186" s="88">
        <f>IF($H186&lt;&gt;BL$5,0,IF(BL186&lt;0,IF(OR($J186=1,$J186=2,$J186=3,$J186=4,$J186=5,$J186=6,$J186=7,$J186=8,$J186=9,$J186=10),-$E186*$I186/12*3,IF($J186=11,-$E186*$I186/12*2,IF($J186=12,-$E186*$I186/12*1,0)))))+IF(BG$5&lt;&gt;$H186,0,IF(BG186&lt;0,IF($J186=10,-$E186*$I186/12*0,IF($J186=11,-$E186*$I186/12*1,IF($J186=12,-$E186*$I186/12*2,0)))))</f>
        <v>0</v>
      </c>
      <c r="BL186" s="85">
        <f>IF(AND(BG186&lt;&gt;0,BG$5=$H186),-$I186*$E186-BG186,IF(BL$5=$H186,-$I186*$E186*(12-$J186+1)/12,0))</f>
        <v>0</v>
      </c>
      <c r="BM186" s="86">
        <f>IF($H186&lt;&gt;BQ$5,0,IF(BQ186&lt;0,IF($J186=1,-$E186*$I186/12*3,IF($J186=2,-$E186*$I186/12*2,IF($J186=3,-$E186*$I186/12*1,0)))))+IF(BL$5&lt;&gt;$H186,0,IF(BL186&lt;0,IF($J186=1,-$E186*$I186/12*0,IF($J186=2,-$E186*$I186/12*1,IF($J186=3,-$E186*$I186/12*2,IF($J186&gt;=4,-$E186*$I186/12*3,0))))))</f>
        <v>0</v>
      </c>
      <c r="BN186" s="87">
        <f>IF($H186&lt;&gt;BQ$5,0,IF(BQ186&lt;0,IF(OR($J186=1,$J186=2,$J186=3,$J186=4),-$E186*$I186/12*3,IF($J186=5,-$E186*$I186/12*2,IF($J186=6,-$E186*$I186/12*1,0)))))+IF(BL$5&lt;&gt;$H186,0,IF(BL186&lt;0,IF($J186=4,-$E186*$I186/12*0,IF($J186=5,-$E186*$I186/12*1,IF($J186=6,-$E186*$I186/12*2,IF($J186&gt;=7,-$E186*$I186/12*3,0))))))</f>
        <v>0</v>
      </c>
      <c r="BO186" s="87">
        <f>IF($H186&lt;&gt;BQ$5,0,IF(BQ186&lt;0,IF(OR($J186=1,$J186=2,$J186=3,$J186=4,$J186=5,$J186=6,$J186=7),-$E186*$I186/12*3,IF($J186=8,-$E186*$I186/12*2,IF($J186=9,-$E186*$I186/12*1,0)))))+IF(BL$5&lt;&gt;$H186,0,IF(BL186&lt;0,IF($J186=7,-$E186*$I186/12*0,IF($J186=8,-$E186*$I186/12*1,IF($J186=9,-$E186*$I186/12*2,IF($J186&gt;=10,-$E186*$I186/12*3,0))))))</f>
        <v>0</v>
      </c>
      <c r="BP186" s="88">
        <f>IF($H186&lt;&gt;BQ$5,0,IF(BQ186&lt;0,IF(OR($J186=1,$J186=2,$J186=3,$J186=4,$J186=5,$J186=6,$J186=7,$J186=8,$J186=9,$J186=10),-$E186*$I186/12*3,IF($J186=11,-$E186*$I186/12*2,IF($J186=12,-$E186*$I186/12*1,0)))))+IF(BL$5&lt;&gt;$H186,0,IF(BL186&lt;0,IF($J186=10,-$E186*$I186/12*0,IF($J186=11,-$E186*$I186/12*1,IF($J186=12,-$E186*$I186/12*2,0)))))</f>
        <v>0</v>
      </c>
      <c r="BQ186" s="85">
        <f>IF(AND(BL186&lt;&gt;0,BL$5=$H186),-$I186*$E186-BL186,IF(BQ$5=$H186,-$I186*$E186*(12-$J186+1)/12,0))</f>
        <v>0</v>
      </c>
      <c r="BR186" s="86">
        <f>IF($H186&lt;&gt;BV$5,0,IF(BV186&lt;0,IF($J186=1,-$E186*$I186/12*3,IF($J186=2,-$E186*$I186/12*2,IF($J186=3,-$E186*$I186/12*1,0)))))+IF(BQ$5&lt;&gt;$H186,0,IF(BQ186&lt;0,IF($J186=1,-$E186*$I186/12*0,IF($J186=2,-$E186*$I186/12*1,IF($J186=3,-$E186*$I186/12*2,IF($J186&gt;=4,-$E186*$I186/12*3,0))))))</f>
        <v>0</v>
      </c>
      <c r="BS186" s="87">
        <f>IF($H186&lt;&gt;BV$5,0,IF(BV186&lt;0,IF(OR($J186=1,$J186=2,$J186=3,$J186=4),-$E186*$I186/12*3,IF($J186=5,-$E186*$I186/12*2,IF($J186=6,-$E186*$I186/12*1,0)))))+IF(BQ$5&lt;&gt;$H186,0,IF(BQ186&lt;0,IF($J186=4,-$E186*$I186/12*0,IF($J186=5,-$E186*$I186/12*1,IF($J186=6,-$E186*$I186/12*2,IF($J186&gt;=7,-$E186*$I186/12*3,0))))))</f>
        <v>0</v>
      </c>
      <c r="BT186" s="87">
        <f>IF($H186&lt;&gt;BV$5,0,IF(BV186&lt;0,IF(OR($J186=1,$J186=2,$J186=3,$J186=4,$J186=5,$J186=6,$J186=7),-$E186*$I186/12*3,IF($J186=8,-$E186*$I186/12*2,IF($J186=9,-$E186*$I186/12*1,0)))))+IF(BQ$5&lt;&gt;$H186,0,IF(BQ186&lt;0,IF($J186=7,-$E186*$I186/12*0,IF($J186=8,-$E186*$I186/12*1,IF($J186=9,-$E186*$I186/12*2,IF($J186&gt;=10,-$E186*$I186/12*3,0))))))</f>
        <v>0</v>
      </c>
      <c r="BU186" s="88">
        <f>IF($H186&lt;&gt;BV$5,0,IF(BV186&lt;0,IF(OR($J186=1,$J186=2,$J186=3,$J186=4,$J186=5,$J186=6,$J186=7,$J186=8,$J186=9,$J186=10),-$E186*$I186/12*3,IF($J186=11,-$E186*$I186/12*2,IF($J186=12,-$E186*$I186/12*1,0)))))+IF(BQ$5&lt;&gt;$H186,0,IF(BQ186&lt;0,IF($J186=10,-$E186*$I186/12*0,IF($J186=11,-$E186*$I186/12*1,IF($J186=12,-$E186*$I186/12*2,0)))))</f>
        <v>0</v>
      </c>
      <c r="BV186" s="85">
        <f>IF(AND(BQ186&lt;&gt;0,BQ$5=$H186),-$I186*$E186-BQ186,IF(BV$5=$H186,-$I186*$E186*(12-$J186+1)/12,0))</f>
        <v>0</v>
      </c>
      <c r="BW186" s="86">
        <f>IF($H186&lt;&gt;CA$5,0,IF(CA186&lt;0,IF($J186=1,-$E186*$I186/12*3,IF($J186=2,-$E186*$I186/12*2,IF($J186=3,-$E186*$I186/12*1,0)))))+IF(BV$5&lt;&gt;$H186,0,IF(BV186&lt;0,IF($J186=1,-$E186*$I186/12*0,IF($J186=2,-$E186*$I186/12*1,IF($J186=3,-$E186*$I186/12*2,IF($J186&gt;=4,-$E186*$I186/12*3,0))))))</f>
        <v>0</v>
      </c>
      <c r="BX186" s="87">
        <f>IF($H186&lt;&gt;CA$5,0,IF(CA186&lt;0,IF(OR($J186=1,$J186=2,$J186=3,$J186=4),-$E186*$I186/12*3,IF($J186=5,-$E186*$I186/12*2,IF($J186=6,-$E186*$I186/12*1,0)))))+IF(BV$5&lt;&gt;$H186,0,IF(BV186&lt;0,IF($J186=4,-$E186*$I186/12*0,IF($J186=5,-$E186*$I186/12*1,IF($J186=6,-$E186*$I186/12*2,IF($J186&gt;=7,-$E186*$I186/12*3,0))))))</f>
        <v>0</v>
      </c>
      <c r="BY186" s="87">
        <f>IF($H186&lt;&gt;CA$5,0,IF(CA186&lt;0,IF(OR($J186=1,$J186=2,$J186=3,$J186=4,$J186=5,$J186=6,$J186=7),-$E186*$I186/12*3,IF($J186=8,-$E186*$I186/12*2,IF($J186=9,-$E186*$I186/12*1,0)))))+IF(BV$5&lt;&gt;$H186,0,IF(BV186&lt;0,IF($J186=7,-$E186*$I186/12*0,IF($J186=8,-$E186*$I186/12*1,IF($J186=9,-$E186*$I186/12*2,IF($J186&gt;=10,-$E186*$I186/12*3,0))))))</f>
        <v>0</v>
      </c>
      <c r="BZ186" s="88">
        <f>IF($H186&lt;&gt;CA$5,0,IF(CA186&lt;0,IF(OR($J186=1,$J186=2,$J186=3,$J186=4,$J186=5,$J186=6,$J186=7,$J186=8,$J186=9,$J186=10),-$E186*$I186/12*3,IF($J186=11,-$E186*$I186/12*2,IF($J186=12,-$E186*$I186/12*1,0)))))+IF(BV$5&lt;&gt;$H186,0,IF(BV186&lt;0,IF($J186=10,-$E186*$I186/12*0,IF($J186=11,-$E186*$I186/12*1,IF($J186=12,-$E186*$I186/12*2,0)))))</f>
        <v>0</v>
      </c>
      <c r="CA186" s="85">
        <f>IF(AND(BV186&lt;&gt;0,BV$5=$H186),-$I186*$E186-BV186,IF(CA$5=$H186,-$I186*$E186*(12-$J186+1)/12,0))</f>
        <v>0</v>
      </c>
      <c r="CB186" s="86">
        <f t="shared" si="2763"/>
        <v>0</v>
      </c>
      <c r="CC186" s="87">
        <f>IF($H186&lt;&gt;CF$5,0,IF(CF186&lt;0,IF(OR($J186=1,$J186=2,$J186=3,$J186=4),-$E186*$I186/12*3,IF($J186=5,-$E186*$I186/12*2,IF($J186=6,-$E186*$I186/12*1,0)))))+IF(CA$5&lt;&gt;$H186,0,IF(CA186&lt;0,IF($J186=4,-$E186*$I186/12*0,IF($J186=5,-$E186*$I186/12*1,IF($J186=6,-$E186*$I186/12*2,IF($J186&gt;=7,-$E186*$I186/12*3,0))))))</f>
        <v>0</v>
      </c>
      <c r="CD186" s="87">
        <f>IF($H186&lt;&gt;CF$5,0,IF(CF186&lt;0,IF(OR($J186=1,$J186=2,$J186=3,$J186=4,$J186=5,$J186=6,$J186=7),-$E186*$I186/12*3,IF($J186=8,-$E186*$I186/12*2,IF($J186=9,-$E186*$I186/12*1,0)))))+IF(CA$5&lt;&gt;$H186,0,IF(CA186&lt;0,IF($J186=7,-$E186*$I186/12*0,IF($J186=8,-$E186*$I186/12*1,IF($J186=9,-$E186*$I186/12*2,IF($J186&gt;=10,-$E186*$I186/12*3,0))))))</f>
        <v>-2.5833333333333335</v>
      </c>
      <c r="CE186" s="88">
        <f>IF($H186&lt;&gt;CF$5,0,IF(CF186&lt;0,IF(OR($J186=1,$J186=2,$J186=3,$J186=4,$J186=5,$J186=6,$J186=7,$J186=8,$J186=9,$J186=10),-$E186*$I186/12*3,IF($J186=11,-$E186*$I186/12*2,IF($J186=12,-$E186*$I186/12*1,0)))))+IF(CA$5&lt;&gt;$H186,0,IF(CA186&lt;0,IF($J186=10,-$E186*$I186/12*0,IF($J186=11,-$E186*$I186/12*1,IF($J186=12,-$E186*$I186/12*2,0)))))</f>
        <v>-3.875</v>
      </c>
      <c r="CF186" s="85">
        <f>IF(AND(CA186&lt;&gt;0,CA$5=$H186),-$I186*$E186-CA186,IF(CF$5=$H186,-$I186*$E186*(12-$J186+1)/12,0))</f>
        <v>-6.458333333333333</v>
      </c>
      <c r="CG186" s="86">
        <f t="shared" si="2768"/>
        <v>-3.875</v>
      </c>
      <c r="CH186" s="87">
        <f>IF($H186&lt;&gt;CK$5,0,IF(CK186&lt;0,IF(OR($J186=1,$J186=2,$J186=3,$J186=4),-$E186*$I186/12*3,IF($J186=5,-$E186*$I186/12*2,IF($J186=6,-$E186*$I186/12*1,0)))))+IF(CF$5&lt;&gt;$H186,0,IF(CF186&lt;0,IF($J186=4,-$E186*$I186/12*0,IF($J186=5,-$E186*$I186/12*1,IF($J186=6,-$E186*$I186/12*2,IF($J186&gt;=7,-$E186*$I186/12*3,0))))))</f>
        <v>-3.875</v>
      </c>
      <c r="CI186" s="87">
        <f>IF($H186&lt;&gt;CK$5,0,IF(CK186&lt;0,IF(OR($J186=1,$J186=2,$J186=3,$J186=4,$J186=5,$J186=6,$J186=7),-$E186*$I186/12*3,IF($J186=8,-$E186*$I186/12*2,IF($J186=9,-$E186*$I186/12*1,0)))))+IF(CF$5&lt;&gt;$H186,0,IF(CF186&lt;0,IF($J186=7,-$E186*$I186/12*0,IF($J186=8,-$E186*$I186/12*1,IF($J186=9,-$E186*$I186/12*2,IF($J186&gt;=10,-$E186*$I186/12*3,0))))))</f>
        <v>-1.2916666666666667</v>
      </c>
      <c r="CJ186" s="88">
        <f>IF($H186&lt;&gt;CK$5,0,IF(CK186&lt;0,IF(OR($J186=1,$J186=2,$J186=3,$J186=4,$J186=5,$J186=6,$J186=7,$J186=8,$J186=9,$J186=10),-$E186*$I186/12*3,IF($J186=11,-$E186*$I186/12*2,IF($J186=12,-$E186*$I186/12*1,0)))))+IF(CF$5&lt;&gt;$H186,0,IF(CF186&lt;0,IF($J186=10,-$E186*$I186/12*0,IF($J186=11,-$E186*$I186/12*1,IF($J186=12,-$E186*$I186/12*2,0)))))</f>
        <v>0</v>
      </c>
      <c r="CK186" s="85">
        <f>IF(AND(CF186&lt;&gt;0,CF$5=$H186),-$I186*$E186-CF186,IF(CK$5=$H186,-$I186*$E186*(12-$J186+1)/12,0))</f>
        <v>-9.0416666666666679</v>
      </c>
      <c r="CL186" s="86">
        <f t="shared" si="2773"/>
        <v>0</v>
      </c>
      <c r="CM186" s="87">
        <f>IF($H186&lt;&gt;CP$5,0,IF(CP186&lt;0,IF(OR($J186=1,$J186=2,$J186=3,$J186=4),-$E186*$I186/12*3,IF($J186=5,-$E186*$I186/12*2,IF($J186=6,-$E186*$I186/12*1,0)))))+IF(CK$5&lt;&gt;$H186,0,IF(CK186&lt;0,IF($J186=4,-$E186*$I186/12*0,IF($J186=5,-$E186*$I186/12*1,IF($J186=6,-$E186*$I186/12*2,IF($J186&gt;=7,-$E186*$I186/12*3,0))))))</f>
        <v>0</v>
      </c>
      <c r="CN186" s="87">
        <f>IF($H186&lt;&gt;CP$5,0,IF(CP186&lt;0,IF(OR($J186=1,$J186=2,$J186=3,$J186=4,$J186=5,$J186=6,$J186=7),-$E186*$I186/12*3,IF($J186=8,-$E186*$I186/12*2,IF($J186=9,-$E186*$I186/12*1,0)))))+IF(CK$5&lt;&gt;$H186,0,IF(CK186&lt;0,IF($J186=7,-$E186*$I186/12*0,IF($J186=8,-$E186*$I186/12*1,IF($J186=9,-$E186*$I186/12*2,IF($J186&gt;=10,-$E186*$I186/12*3,0))))))</f>
        <v>0</v>
      </c>
      <c r="CO186" s="88">
        <f>IF($H186&lt;&gt;CP$5,0,IF(CP186&lt;0,IF(OR($J186=1,$J186=2,$J186=3,$J186=4,$J186=5,$J186=6,$J186=7,$J186=8,$J186=9,$J186=10),-$E186*$I186/12*3,IF($J186=11,-$E186*$I186/12*2,IF($J186=12,-$E186*$I186/12*1,0)))))+IF(CK$5&lt;&gt;$H186,0,IF(CK186&lt;0,IF($J186=10,-$E186*$I186/12*0,IF($J186=11,-$E186*$I186/12*1,IF($J186=12,-$E186*$I186/12*2,0)))))</f>
        <v>0</v>
      </c>
      <c r="CP186" s="85">
        <f>IF(AND(CK186&lt;&gt;0,CK$5=$H186),-$I186*$E186-CK186,IF(CP$5=$H186,-$I186*$E186*(12-$J186+1)/12,0))</f>
        <v>0</v>
      </c>
      <c r="CQ186" s="86">
        <f t="shared" si="2778"/>
        <v>0</v>
      </c>
      <c r="CR186" s="87">
        <f>IF($H186&lt;&gt;CU$5,0,IF(CU186&lt;0,IF(OR($J186=1,$J186=2,$J186=3,$J186=4),-$E186*$I186/12*3,IF($J186=5,-$E186*$I186/12*2,IF($J186=6,-$E186*$I186/12*1,0)))))+IF(CP$5&lt;&gt;$H186,0,IF(CP186&lt;0,IF($J186=4,-$E186*$I186/12*0,IF($J186=5,-$E186*$I186/12*1,IF($J186=6,-$E186*$I186/12*2,IF($J186&gt;=7,-$E186*$I186/12*3,0))))))</f>
        <v>0</v>
      </c>
      <c r="CS186" s="87">
        <f>IF($H186&lt;&gt;CU$5,0,IF(CU186&lt;0,IF(OR($J186=1,$J186=2,$J186=3,$J186=4,$J186=5,$J186=6,$J186=7),-$E186*$I186/12*3,IF($J186=8,-$E186*$I186/12*2,IF($J186=9,-$E186*$I186/12*1,0)))))+IF(CP$5&lt;&gt;$H186,0,IF(CP186&lt;0,IF($J186=7,-$E186*$I186/12*0,IF($J186=8,-$E186*$I186/12*1,IF($J186=9,-$E186*$I186/12*2,IF($J186&gt;=10,-$E186*$I186/12*3,0))))))</f>
        <v>0</v>
      </c>
      <c r="CT186" s="88">
        <f>IF($H186&lt;&gt;CU$5,0,IF(CU186&lt;0,IF(OR($J186=1,$J186=2,$J186=3,$J186=4,$J186=5,$J186=6,$J186=7,$J186=8,$J186=9,$J186=10),-$E186*$I186/12*3,IF($J186=11,-$E186*$I186/12*2,IF($J186=12,-$E186*$I186/12*1,0)))))+IF(CP$5&lt;&gt;$H186,0,IF(CP186&lt;0,IF($J186=10,-$E186*$I186/12*0,IF($J186=11,-$E186*$I186/12*1,IF($J186=12,-$E186*$I186/12*2,0)))))</f>
        <v>0</v>
      </c>
      <c r="CU186" s="85">
        <f>IF(AND(CP186&lt;&gt;0,CP$5=$H186),-$I186*$E186-CP186,IF(CU$5=$H186,-$I186*$E186*(12-$J186+1)/12,0))</f>
        <v>0</v>
      </c>
      <c r="CV186" s="86">
        <f t="shared" si="2783"/>
        <v>0</v>
      </c>
      <c r="CW186" s="87">
        <f>IF($H186&lt;&gt;CZ$5,0,IF(CZ186&lt;0,IF(OR($J186=1,$J186=2,$J186=3,$J186=4),-$E186*$I186/12*3,IF($J186=5,-$E186*$I186/12*2,IF($J186=6,-$E186*$I186/12*1,0)))))+IF(CU$5&lt;&gt;$H186,0,IF(CU186&lt;0,IF($J186=4,-$E186*$I186/12*0,IF($J186=5,-$E186*$I186/12*1,IF($J186=6,-$E186*$I186/12*2,IF($J186&gt;=7,-$E186*$I186/12*3,0))))))</f>
        <v>0</v>
      </c>
      <c r="CX186" s="87">
        <f>IF($H186&lt;&gt;CZ$5,0,IF(CZ186&lt;0,IF(OR($J186=1,$J186=2,$J186=3,$J186=4,$J186=5,$J186=6,$J186=7),-$E186*$I186/12*3,IF($J186=8,-$E186*$I186/12*2,IF($J186=9,-$E186*$I186/12*1,0)))))+IF(CU$5&lt;&gt;$H186,0,IF(CU186&lt;0,IF($J186=7,-$E186*$I186/12*0,IF($J186=8,-$E186*$I186/12*1,IF($J186=9,-$E186*$I186/12*2,IF($J186&gt;=10,-$E186*$I186/12*3,0))))))</f>
        <v>0</v>
      </c>
      <c r="CY186" s="88">
        <f>IF($H186&lt;&gt;CZ$5,0,IF(CZ186&lt;0,IF(OR($J186=1,$J186=2,$J186=3,$J186=4,$J186=5,$J186=6,$J186=7,$J186=8,$J186=9,$J186=10),-$E186*$I186/12*3,IF($J186=11,-$E186*$I186/12*2,IF($J186=12,-$E186*$I186/12*1,0)))))+IF(CU$5&lt;&gt;$H186,0,IF(CU186&lt;0,IF($J186=10,-$E186*$I186/12*0,IF($J186=11,-$E186*$I186/12*1,IF($J186=12,-$E186*$I186/12*2,0)))))</f>
        <v>0</v>
      </c>
      <c r="CZ186" s="85">
        <f>IF(AND(CU186&lt;&gt;0,CU$5=$H186),-$I186*$E186-CU186,IF(CZ$5=$H186,-$I186*$E186*(12-$J186+1)/12,0))</f>
        <v>0</v>
      </c>
    </row>
    <row r="187" spans="1:104" ht="12.75" customHeight="1">
      <c r="A187" s="4"/>
      <c r="B187" s="4"/>
      <c r="C187" s="1327" t="s">
        <v>680</v>
      </c>
      <c r="D187" s="2114"/>
      <c r="E187" s="2115">
        <f t="shared" si="2741"/>
        <v>300</v>
      </c>
      <c r="F187" s="2313">
        <v>300</v>
      </c>
      <c r="G187" s="1511">
        <v>300</v>
      </c>
      <c r="H187" s="1334">
        <v>2023</v>
      </c>
      <c r="I187" s="325">
        <v>3.3500000000000002E-2</v>
      </c>
      <c r="J187" s="1334">
        <v>7</v>
      </c>
      <c r="K187" s="80"/>
      <c r="L187" s="81">
        <f t="shared" si="2788"/>
        <v>0</v>
      </c>
      <c r="M187" s="2001">
        <f t="shared" ref="M187" si="2834">IF(Q187=0,0,IF(Q187&lt;0,IF($J187=3,Q187,IF($J187=2,Q187,IF($J187=1,Q187,0)))))</f>
        <v>0</v>
      </c>
      <c r="N187" s="81">
        <f t="shared" ref="N187" si="2835">IF(Q187=0,0,IF(Q187&lt;0,IF($J187=6,Q187,IF($J187=5,Q187,IF($J187=4,Q187,0)))))</f>
        <v>0</v>
      </c>
      <c r="O187" s="81">
        <f t="shared" ref="O187" si="2836">IF(Q187=0,0,IF(Q187&lt;0,IF($J187=9,Q187,IF($J187=8,Q187,IF($J187=7,Q187,0)))))</f>
        <v>0</v>
      </c>
      <c r="P187" s="2295">
        <f t="shared" ref="P187" si="2837">IF(Q187=0,0,IF(Q187&lt;0,IF($J187=12,Q187,IF($J187=11,Q187,IF($J187=10,Q187,0)))))</f>
        <v>0</v>
      </c>
      <c r="Q187" s="81">
        <f t="shared" si="2793"/>
        <v>0</v>
      </c>
      <c r="R187" s="2001">
        <f t="shared" ref="R187" si="2838">IF(V187=0,0,IF(V187&lt;0,IF($J187=3,V187,IF($J187=2,V187,IF($J187=1,V187,0)))))</f>
        <v>0</v>
      </c>
      <c r="S187" s="81">
        <f t="shared" ref="S187" si="2839">IF(V187=0,0,IF(V187&lt;0,IF($J187=6,V187,IF($J187=5,V187,IF($J187=4,V187,0)))))</f>
        <v>0</v>
      </c>
      <c r="T187" s="81">
        <f t="shared" ref="T187" si="2840">IF(V187=0,0,IF(V187&lt;0,IF($J187=9,V187,IF($J187=8,V187,IF($J187=7,V187,0)))))</f>
        <v>0</v>
      </c>
      <c r="U187" s="2295">
        <f t="shared" ref="U187" si="2841">IF(V187=0,0,IF(V187&lt;0,IF($J187=12,V187,IF($J187=11,V187,IF($J187=10,V187,0)))))</f>
        <v>0</v>
      </c>
      <c r="V187" s="81">
        <f t="shared" si="2798"/>
        <v>0</v>
      </c>
      <c r="W187" s="2001">
        <f t="shared" ref="W187" si="2842">IF(AA187=0,0,IF(AA187&lt;0,IF($J187=3,AA187,IF($J187=2,AA187,IF($J187=1,AA187,0)))))</f>
        <v>0</v>
      </c>
      <c r="X187" s="81">
        <f t="shared" ref="X187" si="2843">IF(AA187=0,0,IF(AA187&lt;0,IF($J187=6,AA187,IF($J187=5,AA187,IF($J187=4,AA187,0)))))</f>
        <v>0</v>
      </c>
      <c r="Y187" s="81">
        <f t="shared" ref="Y187" si="2844">IF(AA187=0,0,IF(AA187&lt;0,IF($J187=9,AA187,IF($J187=8,AA187,IF($J187=7,AA187,0)))))</f>
        <v>0</v>
      </c>
      <c r="Z187" s="2295">
        <f t="shared" ref="Z187" si="2845">IF(AA187=0,0,IF(AA187&lt;0,IF($J187=12,AA187,IF($J187=11,AA187,IF($J187=10,AA187,0)))))</f>
        <v>0</v>
      </c>
      <c r="AA187" s="81">
        <f t="shared" si="2803"/>
        <v>0</v>
      </c>
      <c r="AB187" s="82">
        <f t="shared" ref="AB187" si="2846">IF(AF187=0,0,IF(AF187&lt;0,IF($J187=3,AF187,IF($J187=2,AF187,IF($J187=1,AF187,0)))))</f>
        <v>0</v>
      </c>
      <c r="AC187" s="83">
        <f t="shared" ref="AC187" si="2847">IF(AF187=0,0,IF(AF187&lt;0,IF($J187=6,AF187,IF($J187=5,AF187,IF($J187=4,AF187,0)))))</f>
        <v>0</v>
      </c>
      <c r="AD187" s="83">
        <f t="shared" ref="AD187" si="2848">IF(AF187=0,0,IF(AF187&lt;0,IF($J187=9,AF187,IF($J187=8,AF187,IF($J187=7,AF187,0)))))</f>
        <v>0</v>
      </c>
      <c r="AE187" s="84">
        <f t="shared" ref="AE187" si="2849">IF(AF187=0,0,IF(AF187&lt;0,IF($J187=12,AF187,IF($J187=11,AF187,IF($J187=10,AF187,0)))))</f>
        <v>0</v>
      </c>
      <c r="AF187" s="81">
        <f t="shared" si="2808"/>
        <v>0</v>
      </c>
      <c r="AG187" s="82">
        <f>IF(AK187=0,0,IF(AK187&lt;0,IF($J187=3,AK187,IF($J187=2,AK187,IF($J187=1,AK187,0)))))</f>
        <v>0</v>
      </c>
      <c r="AH187" s="83">
        <f>IF(AK187=0,0,IF(AK187&lt;0,IF($J187=6,AK187,IF($J187=5,AK187,IF($J187=4,AK187,0)))))</f>
        <v>0</v>
      </c>
      <c r="AI187" s="83">
        <f>IF(AK187=0,0,IF(AK187&lt;0,IF($J187=9,AK187,IF($J187=8,AK187,IF($J187=7,AK187,0)))))</f>
        <v>0</v>
      </c>
      <c r="AJ187" s="84">
        <f>IF(AK187=0,0,IF(AK187&lt;0,IF($J187=12,AK187,IF($J187=11,AK187,IF($J187=10,AK187,0)))))</f>
        <v>0</v>
      </c>
      <c r="AK187" s="81">
        <f t="shared" si="2809"/>
        <v>0</v>
      </c>
      <c r="AL187" s="82">
        <f>IF(AP187=0,0,IF(AP187&lt;0,IF($J187=3,AP187,IF($J187=2,AP187,IF($J187=1,AP187,0)))))</f>
        <v>0</v>
      </c>
      <c r="AM187" s="83">
        <f>IF(AP187=0,0,IF(AP187&lt;0,IF($J187=6,AP187,IF($J187=5,AP187,IF($J187=4,AP187,0)))))</f>
        <v>0</v>
      </c>
      <c r="AN187" s="83">
        <f>IF(AP187=0,0,IF(AP187&lt;0,IF($J187=9,AP187,IF($J187=8,AP187,IF($J187=7,AP187,0)))))</f>
        <v>0</v>
      </c>
      <c r="AO187" s="84">
        <f>IF(AP187=0,0,IF(AP187&lt;0,IF($J187=12,AP187,IF($J187=11,AP187,IF($J187=10,AP187,0)))))</f>
        <v>0</v>
      </c>
      <c r="AP187" s="81">
        <f t="shared" si="2810"/>
        <v>0</v>
      </c>
      <c r="AQ187" s="82">
        <f>IF(AU187=0,0,IF(AU187&lt;0,IF($J187=3,AU187,IF($J187=2,AU187,IF($J187=1,AU187,0)))))</f>
        <v>0</v>
      </c>
      <c r="AR187" s="83">
        <f>IF(AU187=0,0,IF(AU187&lt;0,IF($J187=6,AU187,IF($J187=5,AU187,IF($J187=4,AU187,0)))))</f>
        <v>0</v>
      </c>
      <c r="AS187" s="83">
        <f>IF(AU187=0,0,IF(AU187&lt;0,IF($J187=9,AU187,IF($J187=8,AU187,IF($J187=7,AU187,0)))))</f>
        <v>0</v>
      </c>
      <c r="AT187" s="84">
        <f>IF(AU187=0,0,IF(AU187&lt;0,IF($J187=12,AU187,IF($J187=11,AU187,IF($J187=10,AU187,0)))))</f>
        <v>0</v>
      </c>
      <c r="AU187" s="81">
        <f t="shared" si="2811"/>
        <v>0</v>
      </c>
      <c r="AV187" s="82">
        <f>IF(AZ187=0,0,IF(AZ187&lt;0,IF($J187=3,AZ187,IF($J187=2,AZ187,IF($J187=1,AZ187,0)))))</f>
        <v>0</v>
      </c>
      <c r="AW187" s="83">
        <f>IF(AZ187=0,0,IF(AZ187&lt;0,IF($J187=6,AZ187,IF($J187=5,AZ187,IF($J187=4,AZ187,0)))))</f>
        <v>0</v>
      </c>
      <c r="AX187" s="83">
        <f>IF(AZ187=0,0,IF(AZ187&lt;0,IF($J187=9,AZ187,IF($J187=8,AZ187,IF($J187=7,AZ187,0)))))</f>
        <v>0</v>
      </c>
      <c r="AY187" s="84">
        <f>IF(AZ187=0,0,IF(AZ187&lt;0,IF($J187=12,AZ187,IF($J187=11,AZ187,IF($J187=10,AZ187,0)))))</f>
        <v>0</v>
      </c>
      <c r="AZ187" s="81">
        <f t="shared" si="2812"/>
        <v>0</v>
      </c>
      <c r="BA187" s="82">
        <f>IF(BE187=0,0,IF(BE187&lt;0,IF($J187=3,BE187,IF($J187=2,BE187,IF($J187=1,BE187,0)))))</f>
        <v>0</v>
      </c>
      <c r="BB187" s="83">
        <f>IF(BE187=0,0,IF(BE187&lt;0,IF($J187=6,BE187,IF($J187=5,BE187,IF($J187=4,BE187,0)))))</f>
        <v>0</v>
      </c>
      <c r="BC187" s="83">
        <f>IF(BE187=0,0,IF(BE187&lt;0,IF($J187=9,BE187,IF($J187=8,BE187,IF($J187=7,BE187,0)))))</f>
        <v>0</v>
      </c>
      <c r="BD187" s="84">
        <f>IF(BE187=0,0,IF(BE187&lt;0,IF($J187=12,BE187,IF($J187=11,BE187,IF($J187=10,BE187,0)))))</f>
        <v>0</v>
      </c>
      <c r="BE187" s="81">
        <f t="shared" si="2813"/>
        <v>0</v>
      </c>
      <c r="BF187" s="1877"/>
      <c r="BG187" s="2005">
        <f t="shared" si="2762"/>
        <v>0</v>
      </c>
      <c r="BH187" s="86">
        <f t="shared" ref="BH187" si="2850">IF($H187&lt;&gt;BL$5,0,IF(BL187&lt;0,IF($J187=1,-$E187*$I187/12*3,IF($J187=2,-$E187*$I187/12*2,IF($J187=3,-$E187*$I187/12*1,0)))))+IF(BG$5&lt;&gt;$H187,0,IF(BG187&lt;0,IF($J187=1,-$E187*$I187/12*0,IF($J187=2,-$E187*$I187/12*1,IF($J187=3,-$E187*$I187/12*2,IF($J187&gt;=4,-$E187*$I187/12*3,0))))))</f>
        <v>0</v>
      </c>
      <c r="BI187" s="87">
        <f t="shared" ref="BI187" si="2851">IF($H187&lt;&gt;BL$5,0,IF(BL187&lt;0,IF(OR($J187=1,$J187=2,$J187=3,$J187=4),-$E187*$I187/12*3,IF($J187=5,-$E187*$I187/12*2,IF($J187=6,-$E187*$I187/12*1,0)))))+IF(BG$5&lt;&gt;$H187,0,IF(BG187&lt;0,IF($J187=4,-$E187*$I187/12*0,IF($J187=5,-$E187*$I187/12*1,IF($J187=6,-$E187*$I187/12*2,IF($J187&gt;=7,-$E187*$I187/12*3,0))))))</f>
        <v>0</v>
      </c>
      <c r="BJ187" s="87">
        <f t="shared" ref="BJ187" si="2852">IF($H187&lt;&gt;BL$5,0,IF(BL187&lt;0,IF(OR($J187=1,$J187=2,$J187=3,$J187=4,$J187=5,$J187=6,$J187=7),-$E187*$I187/12*3,IF($J187=8,-$E187*$I187/12*2,IF($J187=9,-$E187*$I187/12*1,0)))))+IF(BG$5&lt;&gt;$H187,0,IF(BG187&lt;0,IF($J187=7,-$E187*$I187/12*0,IF($J187=8,-$E187*$I187/12*1,IF($J187=9,-$E187*$I187/12*2,IF($J187&gt;=10,-$E187*$I187/12*3,0))))))</f>
        <v>0</v>
      </c>
      <c r="BK187" s="88">
        <f t="shared" ref="BK187" si="2853">IF($H187&lt;&gt;BL$5,0,IF(BL187&lt;0,IF(OR($J187=1,$J187=2,$J187=3,$J187=4,$J187=5,$J187=6,$J187=7,$J187=8,$J187=9,$J187=10),-$E187*$I187/12*3,IF($J187=11,-$E187*$I187/12*2,IF($J187=12,-$E187*$I187/12*1,0)))))+IF(BG$5&lt;&gt;$H187,0,IF(BG187&lt;0,IF($J187=10,-$E187*$I187/12*0,IF($J187=11,-$E187*$I187/12*1,IF($J187=12,-$E187*$I187/12*2,0)))))</f>
        <v>0</v>
      </c>
      <c r="BL187" s="85">
        <f t="shared" ref="BL187" si="2854">IF(AND(BG187&lt;&gt;0,BG$5=$H187),-$I187*$E187-BG187,IF(BL$5=$H187,-$I187*$E187*(12-$J187+1)/12,0))</f>
        <v>0</v>
      </c>
      <c r="BM187" s="86">
        <f t="shared" ref="BM187" si="2855">IF($H187&lt;&gt;BQ$5,0,IF(BQ187&lt;0,IF($J187=1,-$E187*$I187/12*3,IF($J187=2,-$E187*$I187/12*2,IF($J187=3,-$E187*$I187/12*1,0)))))+IF(BL$5&lt;&gt;$H187,0,IF(BL187&lt;0,IF($J187=1,-$E187*$I187/12*0,IF($J187=2,-$E187*$I187/12*1,IF($J187=3,-$E187*$I187/12*2,IF($J187&gt;=4,-$E187*$I187/12*3,0))))))</f>
        <v>0</v>
      </c>
      <c r="BN187" s="87">
        <f t="shared" ref="BN187" si="2856">IF($H187&lt;&gt;BQ$5,0,IF(BQ187&lt;0,IF(OR($J187=1,$J187=2,$J187=3,$J187=4),-$E187*$I187/12*3,IF($J187=5,-$E187*$I187/12*2,IF($J187=6,-$E187*$I187/12*1,0)))))+IF(BL$5&lt;&gt;$H187,0,IF(BL187&lt;0,IF($J187=4,-$E187*$I187/12*0,IF($J187=5,-$E187*$I187/12*1,IF($J187=6,-$E187*$I187/12*2,IF($J187&gt;=7,-$E187*$I187/12*3,0))))))</f>
        <v>0</v>
      </c>
      <c r="BO187" s="87">
        <f t="shared" ref="BO187" si="2857">IF($H187&lt;&gt;BQ$5,0,IF(BQ187&lt;0,IF(OR($J187=1,$J187=2,$J187=3,$J187=4,$J187=5,$J187=6,$J187=7),-$E187*$I187/12*3,IF($J187=8,-$E187*$I187/12*2,IF($J187=9,-$E187*$I187/12*1,0)))))+IF(BL$5&lt;&gt;$H187,0,IF(BL187&lt;0,IF($J187=7,-$E187*$I187/12*0,IF($J187=8,-$E187*$I187/12*1,IF($J187=9,-$E187*$I187/12*2,IF($J187&gt;=10,-$E187*$I187/12*3,0))))))</f>
        <v>0</v>
      </c>
      <c r="BP187" s="88">
        <f t="shared" ref="BP187" si="2858">IF($H187&lt;&gt;BQ$5,0,IF(BQ187&lt;0,IF(OR($J187=1,$J187=2,$J187=3,$J187=4,$J187=5,$J187=6,$J187=7,$J187=8,$J187=9,$J187=10),-$E187*$I187/12*3,IF($J187=11,-$E187*$I187/12*2,IF($J187=12,-$E187*$I187/12*1,0)))))+IF(BL$5&lt;&gt;$H187,0,IF(BL187&lt;0,IF($J187=10,-$E187*$I187/12*0,IF($J187=11,-$E187*$I187/12*1,IF($J187=12,-$E187*$I187/12*2,0)))))</f>
        <v>0</v>
      </c>
      <c r="BQ187" s="85">
        <f t="shared" ref="BQ187" si="2859">IF(AND(BL187&lt;&gt;0,BL$5=$H187),-$I187*$E187-BL187,IF(BQ$5=$H187,-$I187*$E187*(12-$J187+1)/12,0))</f>
        <v>0</v>
      </c>
      <c r="BR187" s="86">
        <f t="shared" ref="BR187" si="2860">IF($H187&lt;&gt;BV$5,0,IF(BV187&lt;0,IF($J187=1,-$E187*$I187/12*3,IF($J187=2,-$E187*$I187/12*2,IF($J187=3,-$E187*$I187/12*1,0)))))+IF(BQ$5&lt;&gt;$H187,0,IF(BQ187&lt;0,IF($J187=1,-$E187*$I187/12*0,IF($J187=2,-$E187*$I187/12*1,IF($J187=3,-$E187*$I187/12*2,IF($J187&gt;=4,-$E187*$I187/12*3,0))))))</f>
        <v>0</v>
      </c>
      <c r="BS187" s="87">
        <f t="shared" ref="BS187" si="2861">IF($H187&lt;&gt;BV$5,0,IF(BV187&lt;0,IF(OR($J187=1,$J187=2,$J187=3,$J187=4),-$E187*$I187/12*3,IF($J187=5,-$E187*$I187/12*2,IF($J187=6,-$E187*$I187/12*1,0)))))+IF(BQ$5&lt;&gt;$H187,0,IF(BQ187&lt;0,IF($J187=4,-$E187*$I187/12*0,IF($J187=5,-$E187*$I187/12*1,IF($J187=6,-$E187*$I187/12*2,IF($J187&gt;=7,-$E187*$I187/12*3,0))))))</f>
        <v>0</v>
      </c>
      <c r="BT187" s="87">
        <f t="shared" ref="BT187" si="2862">IF($H187&lt;&gt;BV$5,0,IF(BV187&lt;0,IF(OR($J187=1,$J187=2,$J187=3,$J187=4,$J187=5,$J187=6,$J187=7),-$E187*$I187/12*3,IF($J187=8,-$E187*$I187/12*2,IF($J187=9,-$E187*$I187/12*1,0)))))+IF(BQ$5&lt;&gt;$H187,0,IF(BQ187&lt;0,IF($J187=7,-$E187*$I187/12*0,IF($J187=8,-$E187*$I187/12*1,IF($J187=9,-$E187*$I187/12*2,IF($J187&gt;=10,-$E187*$I187/12*3,0))))))</f>
        <v>0</v>
      </c>
      <c r="BU187" s="88">
        <f t="shared" ref="BU187" si="2863">IF($H187&lt;&gt;BV$5,0,IF(BV187&lt;0,IF(OR($J187=1,$J187=2,$J187=3,$J187=4,$J187=5,$J187=6,$J187=7,$J187=8,$J187=9,$J187=10),-$E187*$I187/12*3,IF($J187=11,-$E187*$I187/12*2,IF($J187=12,-$E187*$I187/12*1,0)))))+IF(BQ$5&lt;&gt;$H187,0,IF(BQ187&lt;0,IF($J187=10,-$E187*$I187/12*0,IF($J187=11,-$E187*$I187/12*1,IF($J187=12,-$E187*$I187/12*2,0)))))</f>
        <v>0</v>
      </c>
      <c r="BV187" s="85">
        <f t="shared" ref="BV187" si="2864">IF(AND(BQ187&lt;&gt;0,BQ$5=$H187),-$I187*$E187-BQ187,IF(BV$5=$H187,-$I187*$E187*(12-$J187+1)/12,0))</f>
        <v>0</v>
      </c>
      <c r="BW187" s="86">
        <f t="shared" ref="BW187" si="2865">IF($H187&lt;&gt;CA$5,0,IF(CA187&lt;0,IF($J187=1,-$E187*$I187/12*3,IF($J187=2,-$E187*$I187/12*2,IF($J187=3,-$E187*$I187/12*1,0)))))+IF(BV$5&lt;&gt;$H187,0,IF(BV187&lt;0,IF($J187=1,-$E187*$I187/12*0,IF($J187=2,-$E187*$I187/12*1,IF($J187=3,-$E187*$I187/12*2,IF($J187&gt;=4,-$E187*$I187/12*3,0))))))</f>
        <v>0</v>
      </c>
      <c r="BX187" s="87">
        <f t="shared" ref="BX187" si="2866">IF($H187&lt;&gt;CA$5,0,IF(CA187&lt;0,IF(OR($J187=1,$J187=2,$J187=3,$J187=4),-$E187*$I187/12*3,IF($J187=5,-$E187*$I187/12*2,IF($J187=6,-$E187*$I187/12*1,0)))))+IF(BV$5&lt;&gt;$H187,0,IF(BV187&lt;0,IF($J187=4,-$E187*$I187/12*0,IF($J187=5,-$E187*$I187/12*1,IF($J187=6,-$E187*$I187/12*2,IF($J187&gt;=7,-$E187*$I187/12*3,0))))))</f>
        <v>0</v>
      </c>
      <c r="BY187" s="87">
        <f t="shared" ref="BY187" si="2867">IF($H187&lt;&gt;CA$5,0,IF(CA187&lt;0,IF(OR($J187=1,$J187=2,$J187=3,$J187=4,$J187=5,$J187=6,$J187=7),-$E187*$I187/12*3,IF($J187=8,-$E187*$I187/12*2,IF($J187=9,-$E187*$I187/12*1,0)))))+IF(BV$5&lt;&gt;$H187,0,IF(BV187&lt;0,IF($J187=7,-$E187*$I187/12*0,IF($J187=8,-$E187*$I187/12*1,IF($J187=9,-$E187*$I187/12*2,IF($J187&gt;=10,-$E187*$I187/12*3,0))))))</f>
        <v>0</v>
      </c>
      <c r="BZ187" s="88">
        <f t="shared" ref="BZ187" si="2868">IF($H187&lt;&gt;CA$5,0,IF(CA187&lt;0,IF(OR($J187=1,$J187=2,$J187=3,$J187=4,$J187=5,$J187=6,$J187=7,$J187=8,$J187=9,$J187=10),-$E187*$I187/12*3,IF($J187=11,-$E187*$I187/12*2,IF($J187=12,-$E187*$I187/12*1,0)))))+IF(BV$5&lt;&gt;$H187,0,IF(BV187&lt;0,IF($J187=10,-$E187*$I187/12*0,IF($J187=11,-$E187*$I187/12*1,IF($J187=12,-$E187*$I187/12*2,0)))))</f>
        <v>0</v>
      </c>
      <c r="CA187" s="85">
        <f t="shared" ref="CA187" si="2869">IF(AND(BV187&lt;&gt;0,BV$5=$H187),-$I187*$E187-BV187,IF(CA$5=$H187,-$I187*$E187*(12-$J187+1)/12,0))</f>
        <v>0</v>
      </c>
      <c r="CB187" s="86">
        <f t="shared" si="2763"/>
        <v>0</v>
      </c>
      <c r="CC187" s="87">
        <f>IF($H187&lt;&gt;CF$5,0,IF(CF187&lt;0,IF(OR($J187=1,$J187=2,$J187=3,$J187=4),-$E187*$I187/12*3,IF($J187=5,-$E187*$I187/12*2,IF($J187=6,-$E187*$I187/12*1,0)))))+IF(CA$5&lt;&gt;$H187,0,IF(CA187&lt;0,IF($J187=4,-$E187*$I187/12*0,IF($J187=5,-$E187*$I187/12*1,IF($J187=6,-$E187*$I187/12*2,IF($J187&gt;=7,-$E187*$I187/12*3,0))))))</f>
        <v>0</v>
      </c>
      <c r="CD187" s="87">
        <f>IF($H187&lt;&gt;CF$5,0,IF(CF187&lt;0,IF(OR($J187=1,$J187=2,$J187=3,$J187=4,$J187=5,$J187=6,$J187=7),-$E187*$I187/12*3,IF($J187=8,-$E187*$I187/12*2,IF($J187=9,-$E187*$I187/12*1,0)))))+IF(CA$5&lt;&gt;$H187,0,IF(CA187&lt;0,IF($J187=7,-$E187*$I187/12*0,IF($J187=8,-$E187*$I187/12*1,IF($J187=9,-$E187*$I187/12*2,IF($J187&gt;=10,-$E187*$I187/12*3,0))))))</f>
        <v>0</v>
      </c>
      <c r="CE187" s="88">
        <f>IF($H187&lt;&gt;CF$5,0,IF(CF187&lt;0,IF(OR($J187=1,$J187=2,$J187=3,$J187=4,$J187=5,$J187=6,$J187=7,$J187=8,$J187=9,$J187=10),-$E187*$I187/12*3,IF($J187=11,-$E187*$I187/12*2,IF($J187=12,-$E187*$I187/12*1,0)))))+IF(CA$5&lt;&gt;$H187,0,IF(CA187&lt;0,IF($J187=10,-$E187*$I187/12*0,IF($J187=11,-$E187*$I187/12*1,IF($J187=12,-$E187*$I187/12*2,0)))))</f>
        <v>0</v>
      </c>
      <c r="CF187" s="85">
        <f>IF(AND(CA187&lt;&gt;0,CA$5=$H187),-$I187*$E187-CA187,IF(CF$5=$H187,-$I187*$E187*(12-$J187+1)/12,0))</f>
        <v>0</v>
      </c>
      <c r="CG187" s="86">
        <f t="shared" si="2768"/>
        <v>0</v>
      </c>
      <c r="CH187" s="87">
        <f>IF($H187&lt;&gt;CK$5,0,IF(CK187&lt;0,IF(OR($J187=1,$J187=2,$J187=3,$J187=4),-$E187*$I187/12*3,IF($J187=5,-$E187*$I187/12*2,IF($J187=6,-$E187*$I187/12*1,0)))))+IF(CF$5&lt;&gt;$H187,0,IF(CF187&lt;0,IF($J187=4,-$E187*$I187/12*0,IF($J187=5,-$E187*$I187/12*1,IF($J187=6,-$E187*$I187/12*2,IF($J187&gt;=7,-$E187*$I187/12*3,0))))))</f>
        <v>0</v>
      </c>
      <c r="CI187" s="87">
        <f>IF($H187&lt;&gt;CK$5,0,IF(CK187&lt;0,IF(OR($J187=1,$J187=2,$J187=3,$J187=4,$J187=5,$J187=6,$J187=7),-$E187*$I187/12*3,IF($J187=8,-$E187*$I187/12*2,IF($J187=9,-$E187*$I187/12*1,0)))))+IF(CF$5&lt;&gt;$H187,0,IF(CF187&lt;0,IF($J187=7,-$E187*$I187/12*0,IF($J187=8,-$E187*$I187/12*1,IF($J187=9,-$E187*$I187/12*2,IF($J187&gt;=10,-$E187*$I187/12*3,0))))))</f>
        <v>0</v>
      </c>
      <c r="CJ187" s="88">
        <f>IF($H187&lt;&gt;CK$5,0,IF(CK187&lt;0,IF(OR($J187=1,$J187=2,$J187=3,$J187=4,$J187=5,$J187=6,$J187=7,$J187=8,$J187=9,$J187=10),-$E187*$I187/12*3,IF($J187=11,-$E187*$I187/12*2,IF($J187=12,-$E187*$I187/12*1,0)))))+IF(CF$5&lt;&gt;$H187,0,IF(CF187&lt;0,IF($J187=10,-$E187*$I187/12*0,IF($J187=11,-$E187*$I187/12*1,IF($J187=12,-$E187*$I187/12*2,0)))))</f>
        <v>0</v>
      </c>
      <c r="CK187" s="85">
        <f>IF(AND(CF187&lt;&gt;0,CF$5=$H187),-$I187*$E187-CF187,IF(CK$5=$H187,-$I187*$E187*(12-$J187+1)/12,0))</f>
        <v>0</v>
      </c>
      <c r="CL187" s="86">
        <f t="shared" si="2773"/>
        <v>0</v>
      </c>
      <c r="CM187" s="87">
        <f>IF($H187&lt;&gt;CP$5,0,IF(CP187&lt;0,IF(OR($J187=1,$J187=2,$J187=3,$J187=4),-$E187*$I187/12*3,IF($J187=5,-$E187*$I187/12*2,IF($J187=6,-$E187*$I187/12*1,0)))))+IF(CK$5&lt;&gt;$H187,0,IF(CK187&lt;0,IF($J187=4,-$E187*$I187/12*0,IF($J187=5,-$E187*$I187/12*1,IF($J187=6,-$E187*$I187/12*2,IF($J187&gt;=7,-$E187*$I187/12*3,0))))))</f>
        <v>0</v>
      </c>
      <c r="CN187" s="87">
        <f>IF($H187&lt;&gt;CP$5,0,IF(CP187&lt;0,IF(OR($J187=1,$J187=2,$J187=3,$J187=4,$J187=5,$J187=6,$J187=7),-$E187*$I187/12*3,IF($J187=8,-$E187*$I187/12*2,IF($J187=9,-$E187*$I187/12*1,0)))))+IF(CK$5&lt;&gt;$H187,0,IF(CK187&lt;0,IF($J187=7,-$E187*$I187/12*0,IF($J187=8,-$E187*$I187/12*1,IF($J187=9,-$E187*$I187/12*2,IF($J187&gt;=10,-$E187*$I187/12*3,0))))))</f>
        <v>0</v>
      </c>
      <c r="CO187" s="88">
        <f>IF($H187&lt;&gt;CP$5,0,IF(CP187&lt;0,IF(OR($J187=1,$J187=2,$J187=3,$J187=4,$J187=5,$J187=6,$J187=7,$J187=8,$J187=9,$J187=10),-$E187*$I187/12*3,IF($J187=11,-$E187*$I187/12*2,IF($J187=12,-$E187*$I187/12*1,0)))))+IF(CK$5&lt;&gt;$H187,0,IF(CK187&lt;0,IF($J187=10,-$E187*$I187/12*0,IF($J187=11,-$E187*$I187/12*1,IF($J187=12,-$E187*$I187/12*2,0)))))</f>
        <v>0</v>
      </c>
      <c r="CP187" s="85">
        <f>IF(AND(CK187&lt;&gt;0,CK$5=$H187),-$I187*$E187-CK187,IF(CP$5=$H187,-$I187*$E187*(12-$J187+1)/12,0))</f>
        <v>0</v>
      </c>
      <c r="CQ187" s="86">
        <f t="shared" si="2778"/>
        <v>0</v>
      </c>
      <c r="CR187" s="87">
        <f>IF($H187&lt;&gt;CU$5,0,IF(CU187&lt;0,IF(OR($J187=1,$J187=2,$J187=3,$J187=4),-$E187*$I187/12*3,IF($J187=5,-$E187*$I187/12*2,IF($J187=6,-$E187*$I187/12*1,0)))))+IF(CP$5&lt;&gt;$H187,0,IF(CP187&lt;0,IF($J187=4,-$E187*$I187/12*0,IF($J187=5,-$E187*$I187/12*1,IF($J187=6,-$E187*$I187/12*2,IF($J187&gt;=7,-$E187*$I187/12*3,0))))))</f>
        <v>0</v>
      </c>
      <c r="CS187" s="87">
        <f>IF($H187&lt;&gt;CU$5,0,IF(CU187&lt;0,IF(OR($J187=1,$J187=2,$J187=3,$J187=4,$J187=5,$J187=6,$J187=7),-$E187*$I187/12*3,IF($J187=8,-$E187*$I187/12*2,IF($J187=9,-$E187*$I187/12*1,0)))))+IF(CP$5&lt;&gt;$H187,0,IF(CP187&lt;0,IF($J187=7,-$E187*$I187/12*0,IF($J187=8,-$E187*$I187/12*1,IF($J187=9,-$E187*$I187/12*2,IF($J187&gt;=10,-$E187*$I187/12*3,0))))))</f>
        <v>0</v>
      </c>
      <c r="CT187" s="88">
        <f>IF($H187&lt;&gt;CU$5,0,IF(CU187&lt;0,IF(OR($J187=1,$J187=2,$J187=3,$J187=4,$J187=5,$J187=6,$J187=7,$J187=8,$J187=9,$J187=10),-$E187*$I187/12*3,IF($J187=11,-$E187*$I187/12*2,IF($J187=12,-$E187*$I187/12*1,0)))))+IF(CP$5&lt;&gt;$H187,0,IF(CP187&lt;0,IF($J187=10,-$E187*$I187/12*0,IF($J187=11,-$E187*$I187/12*1,IF($J187=12,-$E187*$I187/12*2,0)))))</f>
        <v>0</v>
      </c>
      <c r="CU187" s="85">
        <f>IF(AND(CP187&lt;&gt;0,CP$5=$H187),-$I187*$E187-CP187,IF(CU$5=$H187,-$I187*$E187*(12-$J187+1)/12,0))</f>
        <v>0</v>
      </c>
      <c r="CV187" s="86">
        <f t="shared" si="2783"/>
        <v>0</v>
      </c>
      <c r="CW187" s="87">
        <f>IF($H187&lt;&gt;CZ$5,0,IF(CZ187&lt;0,IF(OR($J187=1,$J187=2,$J187=3,$J187=4),-$E187*$I187/12*3,IF($J187=5,-$E187*$I187/12*2,IF($J187=6,-$E187*$I187/12*1,0)))))+IF(CU$5&lt;&gt;$H187,0,IF(CU187&lt;0,IF($J187=4,-$E187*$I187/12*0,IF($J187=5,-$E187*$I187/12*1,IF($J187=6,-$E187*$I187/12*2,IF($J187&gt;=7,-$E187*$I187/12*3,0))))))</f>
        <v>0</v>
      </c>
      <c r="CX187" s="87">
        <f>IF($H187&lt;&gt;CZ$5,0,IF(CZ187&lt;0,IF(OR($J187=1,$J187=2,$J187=3,$J187=4,$J187=5,$J187=6,$J187=7),-$E187*$I187/12*3,IF($J187=8,-$E187*$I187/12*2,IF($J187=9,-$E187*$I187/12*1,0)))))+IF(CU$5&lt;&gt;$H187,0,IF(CU187&lt;0,IF($J187=7,-$E187*$I187/12*0,IF($J187=8,-$E187*$I187/12*1,IF($J187=9,-$E187*$I187/12*2,IF($J187&gt;=10,-$E187*$I187/12*3,0))))))</f>
        <v>0</v>
      </c>
      <c r="CY187" s="88">
        <f>IF($H187&lt;&gt;CZ$5,0,IF(CZ187&lt;0,IF(OR($J187=1,$J187=2,$J187=3,$J187=4,$J187=5,$J187=6,$J187=7,$J187=8,$J187=9,$J187=10),-$E187*$I187/12*3,IF($J187=11,-$E187*$I187/12*2,IF($J187=12,-$E187*$I187/12*1,0)))))+IF(CU$5&lt;&gt;$H187,0,IF(CU187&lt;0,IF($J187=10,-$E187*$I187/12*0,IF($J187=11,-$E187*$I187/12*1,IF($J187=12,-$E187*$I187/12*2,0)))))</f>
        <v>0</v>
      </c>
      <c r="CZ187" s="85">
        <f>IF(AND(CU187&lt;&gt;0,CU$5=$H187),-$I187*$E187-CU187,IF(CZ$5=$H187,-$I187*$E187*(12-$J187+1)/12,0))</f>
        <v>0</v>
      </c>
    </row>
    <row r="188" spans="1:104" ht="12.75" customHeight="1">
      <c r="A188" s="4"/>
      <c r="B188" s="4"/>
      <c r="C188" s="1999" t="s">
        <v>1484</v>
      </c>
      <c r="D188" s="2114"/>
      <c r="E188" s="2115">
        <f t="shared" si="2741"/>
        <v>350</v>
      </c>
      <c r="F188" s="2313">
        <v>350</v>
      </c>
      <c r="G188" s="1511">
        <v>350</v>
      </c>
      <c r="H188" s="1334">
        <v>2026</v>
      </c>
      <c r="I188" s="325">
        <v>2.4E-2</v>
      </c>
      <c r="J188" s="1334">
        <v>8</v>
      </c>
      <c r="K188" s="80"/>
      <c r="L188" s="81">
        <f t="shared" si="2788"/>
        <v>0</v>
      </c>
      <c r="M188" s="2001">
        <f t="shared" ref="M188" si="2870">IF(Q188=0,0,IF(Q188&lt;0,IF($J188=3,Q188,IF($J188=2,Q188,IF($J188=1,Q188,0)))))</f>
        <v>0</v>
      </c>
      <c r="N188" s="81">
        <f t="shared" ref="N188" si="2871">IF(Q188=0,0,IF(Q188&lt;0,IF($J188=6,Q188,IF($J188=5,Q188,IF($J188=4,Q188,0)))))</f>
        <v>0</v>
      </c>
      <c r="O188" s="81">
        <f t="shared" ref="O188" si="2872">IF(Q188=0,0,IF(Q188&lt;0,IF($J188=9,Q188,IF($J188=8,Q188,IF($J188=7,Q188,0)))))</f>
        <v>0</v>
      </c>
      <c r="P188" s="2295">
        <f t="shared" ref="P188" si="2873">IF(Q188=0,0,IF(Q188&lt;0,IF($J188=12,Q188,IF($J188=11,Q188,IF($J188=10,Q188,0)))))</f>
        <v>0</v>
      </c>
      <c r="Q188" s="81">
        <f t="shared" si="2793"/>
        <v>0</v>
      </c>
      <c r="R188" s="2001">
        <f t="shared" ref="R188" si="2874">IF(V188=0,0,IF(V188&lt;0,IF($J188=3,V188,IF($J188=2,V188,IF($J188=1,V188,0)))))</f>
        <v>0</v>
      </c>
      <c r="S188" s="81">
        <f t="shared" ref="S188" si="2875">IF(V188=0,0,IF(V188&lt;0,IF($J188=6,V188,IF($J188=5,V188,IF($J188=4,V188,0)))))</f>
        <v>0</v>
      </c>
      <c r="T188" s="81">
        <f t="shared" ref="T188" si="2876">IF(V188=0,0,IF(V188&lt;0,IF($J188=9,V188,IF($J188=8,V188,IF($J188=7,V188,0)))))</f>
        <v>0</v>
      </c>
      <c r="U188" s="2295">
        <f t="shared" ref="U188" si="2877">IF(V188=0,0,IF(V188&lt;0,IF($J188=12,V188,IF($J188=11,V188,IF($J188=10,V188,0)))))</f>
        <v>0</v>
      </c>
      <c r="V188" s="81">
        <f t="shared" si="2798"/>
        <v>0</v>
      </c>
      <c r="W188" s="2001">
        <f t="shared" ref="W188" si="2878">IF(AA188=0,0,IF(AA188&lt;0,IF($J188=3,AA188,IF($J188=2,AA188,IF($J188=1,AA188,0)))))</f>
        <v>0</v>
      </c>
      <c r="X188" s="81">
        <f t="shared" ref="X188" si="2879">IF(AA188=0,0,IF(AA188&lt;0,IF($J188=6,AA188,IF($J188=5,AA188,IF($J188=4,AA188,0)))))</f>
        <v>0</v>
      </c>
      <c r="Y188" s="81">
        <f t="shared" ref="Y188" si="2880">IF(AA188=0,0,IF(AA188&lt;0,IF($J188=9,AA188,IF($J188=8,AA188,IF($J188=7,AA188,0)))))</f>
        <v>0</v>
      </c>
      <c r="Z188" s="2295">
        <f t="shared" ref="Z188" si="2881">IF(AA188=0,0,IF(AA188&lt;0,IF($J188=12,AA188,IF($J188=11,AA188,IF($J188=10,AA188,0)))))</f>
        <v>0</v>
      </c>
      <c r="AA188" s="81">
        <f t="shared" si="2803"/>
        <v>0</v>
      </c>
      <c r="AB188" s="82">
        <f t="shared" ref="AB188" si="2882">IF(AF188=0,0,IF(AF188&lt;0,IF($J188=3,AF188,IF($J188=2,AF188,IF($J188=1,AF188,0)))))</f>
        <v>0</v>
      </c>
      <c r="AC188" s="83">
        <f t="shared" ref="AC188" si="2883">IF(AF188=0,0,IF(AF188&lt;0,IF($J188=6,AF188,IF($J188=5,AF188,IF($J188=4,AF188,0)))))</f>
        <v>0</v>
      </c>
      <c r="AD188" s="83">
        <f t="shared" ref="AD188" si="2884">IF(AF188=0,0,IF(AF188&lt;0,IF($J188=9,AF188,IF($J188=8,AF188,IF($J188=7,AF188,0)))))</f>
        <v>0</v>
      </c>
      <c r="AE188" s="84">
        <f t="shared" ref="AE188" si="2885">IF(AF188=0,0,IF(AF188&lt;0,IF($J188=12,AF188,IF($J188=11,AF188,IF($J188=10,AF188,0)))))</f>
        <v>0</v>
      </c>
      <c r="AF188" s="81">
        <f t="shared" si="2808"/>
        <v>0</v>
      </c>
      <c r="AG188" s="82">
        <f>IF(AK188=0,0,IF(AK188&lt;0,IF($J188=3,AK188,IF($J188=2,AK188,IF($J188=1,AK188,0)))))</f>
        <v>0</v>
      </c>
      <c r="AH188" s="83">
        <f>IF(AK188=0,0,IF(AK188&lt;0,IF($J188=6,AK188,IF($J188=5,AK188,IF($J188=4,AK188,0)))))</f>
        <v>0</v>
      </c>
      <c r="AI188" s="83">
        <f>IF(AK188=0,0,IF(AK188&lt;0,IF($J188=9,AK188,IF($J188=8,AK188,IF($J188=7,AK188,0)))))</f>
        <v>0</v>
      </c>
      <c r="AJ188" s="84">
        <f>IF(AK188=0,0,IF(AK188&lt;0,IF($J188=12,AK188,IF($J188=11,AK188,IF($J188=10,AK188,0)))))</f>
        <v>0</v>
      </c>
      <c r="AK188" s="81">
        <f t="shared" si="2809"/>
        <v>0</v>
      </c>
      <c r="AL188" s="82">
        <f>IF(AP188=0,0,IF(AP188&lt;0,IF($J188=3,AP188,IF($J188=2,AP188,IF($J188=1,AP188,0)))))</f>
        <v>0</v>
      </c>
      <c r="AM188" s="83">
        <f>IF(AP188=0,0,IF(AP188&lt;0,IF($J188=6,AP188,IF($J188=5,AP188,IF($J188=4,AP188,0)))))</f>
        <v>0</v>
      </c>
      <c r="AN188" s="83">
        <f>IF(AP188=0,0,IF(AP188&lt;0,IF($J188=9,AP188,IF($J188=8,AP188,IF($J188=7,AP188,0)))))</f>
        <v>0</v>
      </c>
      <c r="AO188" s="84">
        <f>IF(AP188=0,0,IF(AP188&lt;0,IF($J188=12,AP188,IF($J188=11,AP188,IF($J188=10,AP188,0)))))</f>
        <v>0</v>
      </c>
      <c r="AP188" s="81">
        <f t="shared" si="2810"/>
        <v>0</v>
      </c>
      <c r="AQ188" s="82">
        <f>IF(AU188=0,0,IF(AU188&lt;0,IF($J188=3,AU188,IF($J188=2,AU188,IF($J188=1,AU188,0)))))</f>
        <v>0</v>
      </c>
      <c r="AR188" s="83">
        <f>IF(AU188=0,0,IF(AU188&lt;0,IF($J188=6,AU188,IF($J188=5,AU188,IF($J188=4,AU188,0)))))</f>
        <v>0</v>
      </c>
      <c r="AS188" s="83">
        <f>IF(AU188=0,0,IF(AU188&lt;0,IF($J188=9,AU188,IF($J188=8,AU188,IF($J188=7,AU188,0)))))</f>
        <v>0</v>
      </c>
      <c r="AT188" s="84">
        <f>IF(AU188=0,0,IF(AU188&lt;0,IF($J188=12,AU188,IF($J188=11,AU188,IF($J188=10,AU188,0)))))</f>
        <v>0</v>
      </c>
      <c r="AU188" s="81">
        <f t="shared" si="2811"/>
        <v>0</v>
      </c>
      <c r="AV188" s="82">
        <f>IF(AZ188=0,0,IF(AZ188&lt;0,IF($J188=3,AZ188,IF($J188=2,AZ188,IF($J188=1,AZ188,0)))))</f>
        <v>0</v>
      </c>
      <c r="AW188" s="83">
        <f>IF(AZ188=0,0,IF(AZ188&lt;0,IF($J188=6,AZ188,IF($J188=5,AZ188,IF($J188=4,AZ188,0)))))</f>
        <v>0</v>
      </c>
      <c r="AX188" s="83">
        <f>IF(AZ188=0,0,IF(AZ188&lt;0,IF($J188=9,AZ188,IF($J188=8,AZ188,IF($J188=7,AZ188,0)))))</f>
        <v>0</v>
      </c>
      <c r="AY188" s="84">
        <f>IF(AZ188=0,0,IF(AZ188&lt;0,IF($J188=12,AZ188,IF($J188=11,AZ188,IF($J188=10,AZ188,0)))))</f>
        <v>0</v>
      </c>
      <c r="AZ188" s="81">
        <f t="shared" si="2812"/>
        <v>0</v>
      </c>
      <c r="BA188" s="82">
        <f>IF(BE188=0,0,IF(BE188&lt;0,IF($J188=3,BE188,IF($J188=2,BE188,IF($J188=1,BE188,0)))))</f>
        <v>0</v>
      </c>
      <c r="BB188" s="83">
        <f>IF(BE188=0,0,IF(BE188&lt;0,IF($J188=6,BE188,IF($J188=5,BE188,IF($J188=4,BE188,0)))))</f>
        <v>0</v>
      </c>
      <c r="BC188" s="83">
        <f>IF(BE188=0,0,IF(BE188&lt;0,IF($J188=9,BE188,IF($J188=8,BE188,IF($J188=7,BE188,0)))))</f>
        <v>0</v>
      </c>
      <c r="BD188" s="84">
        <f>IF(BE188=0,0,IF(BE188&lt;0,IF($J188=12,BE188,IF($J188=11,BE188,IF($J188=10,BE188,0)))))</f>
        <v>0</v>
      </c>
      <c r="BE188" s="81">
        <f t="shared" si="2813"/>
        <v>0</v>
      </c>
      <c r="BF188" s="1877"/>
      <c r="BG188" s="2005">
        <f t="shared" ref="BG188" si="2886">IF(AND(BF188&lt;&gt;0,BF$5=$H188),-$I188*$E188-BF188,IF(BG$5=$H188,-$I188*$E188*(12-$J188+1)/12,0))</f>
        <v>0</v>
      </c>
      <c r="BH188" s="86">
        <f t="shared" ref="BH188" si="2887">IF($H188&lt;&gt;BL$5,0,IF(BL188&lt;0,IF($J188=1,-$E188*$I188/12*3,IF($J188=2,-$E188*$I188/12*2,IF($J188=3,-$E188*$I188/12*1,0)))))+IF(BG$5&lt;&gt;$H188,0,IF(BG188&lt;0,IF($J188=1,-$E188*$I188/12*0,IF($J188=2,-$E188*$I188/12*1,IF($J188=3,-$E188*$I188/12*2,IF($J188&gt;=4,-$E188*$I188/12*3,0))))))</f>
        <v>0</v>
      </c>
      <c r="BI188" s="87">
        <f t="shared" ref="BI188" si="2888">IF($H188&lt;&gt;BL$5,0,IF(BL188&lt;0,IF(OR($J188=1,$J188=2,$J188=3,$J188=4),-$E188*$I188/12*3,IF($J188=5,-$E188*$I188/12*2,IF($J188=6,-$E188*$I188/12*1,0)))))+IF(BG$5&lt;&gt;$H188,0,IF(BG188&lt;0,IF($J188=4,-$E188*$I188/12*0,IF($J188=5,-$E188*$I188/12*1,IF($J188=6,-$E188*$I188/12*2,IF($J188&gt;=7,-$E188*$I188/12*3,0))))))</f>
        <v>0</v>
      </c>
      <c r="BJ188" s="87">
        <f t="shared" ref="BJ188" si="2889">IF($H188&lt;&gt;BL$5,0,IF(BL188&lt;0,IF(OR($J188=1,$J188=2,$J188=3,$J188=4,$J188=5,$J188=6,$J188=7),-$E188*$I188/12*3,IF($J188=8,-$E188*$I188/12*2,IF($J188=9,-$E188*$I188/12*1,0)))))+IF(BG$5&lt;&gt;$H188,0,IF(BG188&lt;0,IF($J188=7,-$E188*$I188/12*0,IF($J188=8,-$E188*$I188/12*1,IF($J188=9,-$E188*$I188/12*2,IF($J188&gt;=10,-$E188*$I188/12*3,0))))))</f>
        <v>0</v>
      </c>
      <c r="BK188" s="88">
        <f t="shared" ref="BK188" si="2890">IF($H188&lt;&gt;BL$5,0,IF(BL188&lt;0,IF(OR($J188=1,$J188=2,$J188=3,$J188=4,$J188=5,$J188=6,$J188=7,$J188=8,$J188=9,$J188=10),-$E188*$I188/12*3,IF($J188=11,-$E188*$I188/12*2,IF($J188=12,-$E188*$I188/12*1,0)))))+IF(BG$5&lt;&gt;$H188,0,IF(BG188&lt;0,IF($J188=10,-$E188*$I188/12*0,IF($J188=11,-$E188*$I188/12*1,IF($J188=12,-$E188*$I188/12*2,0)))))</f>
        <v>0</v>
      </c>
      <c r="BL188" s="85">
        <f t="shared" ref="BL188" si="2891">IF(AND(BG188&lt;&gt;0,BG$5=$H188),-$I188*$E188-BG188,IF(BL$5=$H188,-$I188*$E188*(12-$J188+1)/12,0))</f>
        <v>0</v>
      </c>
      <c r="BM188" s="86">
        <f t="shared" ref="BM188" si="2892">IF($H188&lt;&gt;BQ$5,0,IF(BQ188&lt;0,IF($J188=1,-$E188*$I188/12*3,IF($J188=2,-$E188*$I188/12*2,IF($J188=3,-$E188*$I188/12*1,0)))))+IF(BL$5&lt;&gt;$H188,0,IF(BL188&lt;0,IF($J188=1,-$E188*$I188/12*0,IF($J188=2,-$E188*$I188/12*1,IF($J188=3,-$E188*$I188/12*2,IF($J188&gt;=4,-$E188*$I188/12*3,0))))))</f>
        <v>0</v>
      </c>
      <c r="BN188" s="87">
        <f t="shared" ref="BN188" si="2893">IF($H188&lt;&gt;BQ$5,0,IF(BQ188&lt;0,IF(OR($J188=1,$J188=2,$J188=3,$J188=4),-$E188*$I188/12*3,IF($J188=5,-$E188*$I188/12*2,IF($J188=6,-$E188*$I188/12*1,0)))))+IF(BL$5&lt;&gt;$H188,0,IF(BL188&lt;0,IF($J188=4,-$E188*$I188/12*0,IF($J188=5,-$E188*$I188/12*1,IF($J188=6,-$E188*$I188/12*2,IF($J188&gt;=7,-$E188*$I188/12*3,0))))))</f>
        <v>0</v>
      </c>
      <c r="BO188" s="87">
        <f t="shared" ref="BO188" si="2894">IF($H188&lt;&gt;BQ$5,0,IF(BQ188&lt;0,IF(OR($J188=1,$J188=2,$J188=3,$J188=4,$J188=5,$J188=6,$J188=7),-$E188*$I188/12*3,IF($J188=8,-$E188*$I188/12*2,IF($J188=9,-$E188*$I188/12*1,0)))))+IF(BL$5&lt;&gt;$H188,0,IF(BL188&lt;0,IF($J188=7,-$E188*$I188/12*0,IF($J188=8,-$E188*$I188/12*1,IF($J188=9,-$E188*$I188/12*2,IF($J188&gt;=10,-$E188*$I188/12*3,0))))))</f>
        <v>0</v>
      </c>
      <c r="BP188" s="88">
        <f t="shared" ref="BP188" si="2895">IF($H188&lt;&gt;BQ$5,0,IF(BQ188&lt;0,IF(OR($J188=1,$J188=2,$J188=3,$J188=4,$J188=5,$J188=6,$J188=7,$J188=8,$J188=9,$J188=10),-$E188*$I188/12*3,IF($J188=11,-$E188*$I188/12*2,IF($J188=12,-$E188*$I188/12*1,0)))))+IF(BL$5&lt;&gt;$H188,0,IF(BL188&lt;0,IF($J188=10,-$E188*$I188/12*0,IF($J188=11,-$E188*$I188/12*1,IF($J188=12,-$E188*$I188/12*2,0)))))</f>
        <v>0</v>
      </c>
      <c r="BQ188" s="85">
        <f t="shared" ref="BQ188" si="2896">IF(AND(BL188&lt;&gt;0,BL$5=$H188),-$I188*$E188-BL188,IF(BQ$5=$H188,-$I188*$E188*(12-$J188+1)/12,0))</f>
        <v>0</v>
      </c>
      <c r="BR188" s="86">
        <f t="shared" ref="BR188" si="2897">IF($H188&lt;&gt;BV$5,0,IF(BV188&lt;0,IF($J188=1,-$E188*$I188/12*3,IF($J188=2,-$E188*$I188/12*2,IF($J188=3,-$E188*$I188/12*1,0)))))+IF(BQ$5&lt;&gt;$H188,0,IF(BQ188&lt;0,IF($J188=1,-$E188*$I188/12*0,IF($J188=2,-$E188*$I188/12*1,IF($J188=3,-$E188*$I188/12*2,IF($J188&gt;=4,-$E188*$I188/12*3,0))))))</f>
        <v>0</v>
      </c>
      <c r="BS188" s="87">
        <f t="shared" ref="BS188" si="2898">IF($H188&lt;&gt;BV$5,0,IF(BV188&lt;0,IF(OR($J188=1,$J188=2,$J188=3,$J188=4),-$E188*$I188/12*3,IF($J188=5,-$E188*$I188/12*2,IF($J188=6,-$E188*$I188/12*1,0)))))+IF(BQ$5&lt;&gt;$H188,0,IF(BQ188&lt;0,IF($J188=4,-$E188*$I188/12*0,IF($J188=5,-$E188*$I188/12*1,IF($J188=6,-$E188*$I188/12*2,IF($J188&gt;=7,-$E188*$I188/12*3,0))))))</f>
        <v>0</v>
      </c>
      <c r="BT188" s="87">
        <f t="shared" ref="BT188" si="2899">IF($H188&lt;&gt;BV$5,0,IF(BV188&lt;0,IF(OR($J188=1,$J188=2,$J188=3,$J188=4,$J188=5,$J188=6,$J188=7),-$E188*$I188/12*3,IF($J188=8,-$E188*$I188/12*2,IF($J188=9,-$E188*$I188/12*1,0)))))+IF(BQ$5&lt;&gt;$H188,0,IF(BQ188&lt;0,IF($J188=7,-$E188*$I188/12*0,IF($J188=8,-$E188*$I188/12*1,IF($J188=9,-$E188*$I188/12*2,IF($J188&gt;=10,-$E188*$I188/12*3,0))))))</f>
        <v>0</v>
      </c>
      <c r="BU188" s="88">
        <f t="shared" ref="BU188" si="2900">IF($H188&lt;&gt;BV$5,0,IF(BV188&lt;0,IF(OR($J188=1,$J188=2,$J188=3,$J188=4,$J188=5,$J188=6,$J188=7,$J188=8,$J188=9,$J188=10),-$E188*$I188/12*3,IF($J188=11,-$E188*$I188/12*2,IF($J188=12,-$E188*$I188/12*1,0)))))+IF(BQ$5&lt;&gt;$H188,0,IF(BQ188&lt;0,IF($J188=10,-$E188*$I188/12*0,IF($J188=11,-$E188*$I188/12*1,IF($J188=12,-$E188*$I188/12*2,0)))))</f>
        <v>0</v>
      </c>
      <c r="BV188" s="85">
        <f t="shared" ref="BV188" si="2901">IF(AND(BQ188&lt;&gt;0,BQ$5=$H188),-$I188*$E188-BQ188,IF(BV$5=$H188,-$I188*$E188*(12-$J188+1)/12,0))</f>
        <v>0</v>
      </c>
      <c r="BW188" s="86">
        <f t="shared" ref="BW188" si="2902">IF($H188&lt;&gt;CA$5,0,IF(CA188&lt;0,IF($J188=1,-$E188*$I188/12*3,IF($J188=2,-$E188*$I188/12*2,IF($J188=3,-$E188*$I188/12*1,0)))))+IF(BV$5&lt;&gt;$H188,0,IF(BV188&lt;0,IF($J188=1,-$E188*$I188/12*0,IF($J188=2,-$E188*$I188/12*1,IF($J188=3,-$E188*$I188/12*2,IF($J188&gt;=4,-$E188*$I188/12*3,0))))))</f>
        <v>0</v>
      </c>
      <c r="BX188" s="87">
        <f t="shared" ref="BX188" si="2903">IF($H188&lt;&gt;CA$5,0,IF(CA188&lt;0,IF(OR($J188=1,$J188=2,$J188=3,$J188=4),-$E188*$I188/12*3,IF($J188=5,-$E188*$I188/12*2,IF($J188=6,-$E188*$I188/12*1,0)))))+IF(BV$5&lt;&gt;$H188,0,IF(BV188&lt;0,IF($J188=4,-$E188*$I188/12*0,IF($J188=5,-$E188*$I188/12*1,IF($J188=6,-$E188*$I188/12*2,IF($J188&gt;=7,-$E188*$I188/12*3,0))))))</f>
        <v>0</v>
      </c>
      <c r="BY188" s="87">
        <f t="shared" ref="BY188" si="2904">IF($H188&lt;&gt;CA$5,0,IF(CA188&lt;0,IF(OR($J188=1,$J188=2,$J188=3,$J188=4,$J188=5,$J188=6,$J188=7),-$E188*$I188/12*3,IF($J188=8,-$E188*$I188/12*2,IF($J188=9,-$E188*$I188/12*1,0)))))+IF(BV$5&lt;&gt;$H188,0,IF(BV188&lt;0,IF($J188=7,-$E188*$I188/12*0,IF($J188=8,-$E188*$I188/12*1,IF($J188=9,-$E188*$I188/12*2,IF($J188&gt;=10,-$E188*$I188/12*3,0))))))</f>
        <v>0</v>
      </c>
      <c r="BZ188" s="88">
        <f t="shared" ref="BZ188" si="2905">IF($H188&lt;&gt;CA$5,0,IF(CA188&lt;0,IF(OR($J188=1,$J188=2,$J188=3,$J188=4,$J188=5,$J188=6,$J188=7,$J188=8,$J188=9,$J188=10),-$E188*$I188/12*3,IF($J188=11,-$E188*$I188/12*2,IF($J188=12,-$E188*$I188/12*1,0)))))+IF(BV$5&lt;&gt;$H188,0,IF(BV188&lt;0,IF($J188=10,-$E188*$I188/12*0,IF($J188=11,-$E188*$I188/12*1,IF($J188=12,-$E188*$I188/12*2,0)))))</f>
        <v>0</v>
      </c>
      <c r="CA188" s="85">
        <f t="shared" ref="CA188" si="2906">IF(AND(BV188&lt;&gt;0,BV$5=$H188),-$I188*$E188-BV188,IF(CA$5=$H188,-$I188*$E188*(12-$J188+1)/12,0))</f>
        <v>0</v>
      </c>
      <c r="CB188" s="86">
        <f t="shared" ref="CB188" si="2907">IF($H188&lt;&gt;CF$5,0,IF(CF188&lt;0,IF($J188=1,-$E188*$I188/12*3,IF($J188=2,-$E188*$I188/12*2,IF($J188=3,-$E188*$I188/12*1,0)))))+IF(CA$5&lt;&gt;$H188,0,IF(CA188&lt;0,IF($J188=1,-$E188*$I188/12*0,IF($J188=2,-$E188*$I188/12*1,IF($J188=3,-$E188*$I188/12*2,IF($J188&gt;=4,-$E188*$I188/12*3,0))))))</f>
        <v>0</v>
      </c>
      <c r="CC188" s="87">
        <f>IF($H188&lt;&gt;CF$5,0,IF(CF188&lt;0,IF(OR($J188=1,$J188=2,$J188=3,$J188=4),-$E188*$I188/12*3,IF($J188=5,-$E188*$I188/12*2,IF($J188=6,-$E188*$I188/12*1,0)))))+IF(CA$5&lt;&gt;$H188,0,IF(CA188&lt;0,IF($J188=4,-$E188*$I188/12*0,IF($J188=5,-$E188*$I188/12*1,IF($J188=6,-$E188*$I188/12*2,IF($J188&gt;=7,-$E188*$I188/12*3,0))))))</f>
        <v>0</v>
      </c>
      <c r="CD188" s="87">
        <f>IF($H188&lt;&gt;CF$5,0,IF(CF188&lt;0,IF(OR($J188=1,$J188=2,$J188=3,$J188=4,$J188=5,$J188=6,$J188=7),-$E188*$I188/12*3,IF($J188=8,-$E188*$I188/12*2,IF($J188=9,-$E188*$I188/12*1,0)))))+IF(CA$5&lt;&gt;$H188,0,IF(CA188&lt;0,IF($J188=7,-$E188*$I188/12*0,IF($J188=8,-$E188*$I188/12*1,IF($J188=9,-$E188*$I188/12*2,IF($J188&gt;=10,-$E188*$I188/12*3,0))))))</f>
        <v>0</v>
      </c>
      <c r="CE188" s="88">
        <f>IF($H188&lt;&gt;CF$5,0,IF(CF188&lt;0,IF(OR($J188=1,$J188=2,$J188=3,$J188=4,$J188=5,$J188=6,$J188=7,$J188=8,$J188=9,$J188=10),-$E188*$I188/12*3,IF($J188=11,-$E188*$I188/12*2,IF($J188=12,-$E188*$I188/12*1,0)))))+IF(CA$5&lt;&gt;$H188,0,IF(CA188&lt;0,IF($J188=10,-$E188*$I188/12*0,IF($J188=11,-$E188*$I188/12*1,IF($J188=12,-$E188*$I188/12*2,0)))))</f>
        <v>0</v>
      </c>
      <c r="CF188" s="85">
        <f>IF(AND(CA188&lt;&gt;0,CA$5=$H188),-$I188*$E188-CA188,IF(CF$5=$H188,-$I188*$E188*(12-$J188+1)/12,0))</f>
        <v>0</v>
      </c>
      <c r="CG188" s="86">
        <f t="shared" ref="CG188" si="2908">IF($H188&lt;&gt;CK$5,0,IF(CK188&lt;0,IF($J188=1,-$E188*$I188/12*3,IF($J188=2,-$E188*$I188/12*2,IF($J188=3,-$E188*$I188/12*1,0)))))+IF(CF$5&lt;&gt;$H188,0,IF(CF188&lt;0,IF($J188=1,-$E188*$I188/12*0,IF($J188=2,-$E188*$I188/12*1,IF($J188=3,-$E188*$I188/12*2,IF($J188&gt;=4,-$E188*$I188/12*3,0))))))</f>
        <v>0</v>
      </c>
      <c r="CH188" s="87">
        <f>IF($H188&lt;&gt;CK$5,0,IF(CK188&lt;0,IF(OR($J188=1,$J188=2,$J188=3,$J188=4),-$E188*$I188/12*3,IF($J188=5,-$E188*$I188/12*2,IF($J188=6,-$E188*$I188/12*1,0)))))+IF(CF$5&lt;&gt;$H188,0,IF(CF188&lt;0,IF($J188=4,-$E188*$I188/12*0,IF($J188=5,-$E188*$I188/12*1,IF($J188=6,-$E188*$I188/12*2,IF($J188&gt;=7,-$E188*$I188/12*3,0))))))</f>
        <v>0</v>
      </c>
      <c r="CI188" s="87">
        <f>IF($H188&lt;&gt;CK$5,0,IF(CK188&lt;0,IF(OR($J188=1,$J188=2,$J188=3,$J188=4,$J188=5,$J188=6,$J188=7),-$E188*$I188/12*3,IF($J188=8,-$E188*$I188/12*2,IF($J188=9,-$E188*$I188/12*1,0)))))+IF(CF$5&lt;&gt;$H188,0,IF(CF188&lt;0,IF($J188=7,-$E188*$I188/12*0,IF($J188=8,-$E188*$I188/12*1,IF($J188=9,-$E188*$I188/12*2,IF($J188&gt;=10,-$E188*$I188/12*3,0))))))</f>
        <v>0</v>
      </c>
      <c r="CJ188" s="88">
        <f>IF($H188&lt;&gt;CK$5,0,IF(CK188&lt;0,IF(OR($J188=1,$J188=2,$J188=3,$J188=4,$J188=5,$J188=6,$J188=7,$J188=8,$J188=9,$J188=10),-$E188*$I188/12*3,IF($J188=11,-$E188*$I188/12*2,IF($J188=12,-$E188*$I188/12*1,0)))))+IF(CF$5&lt;&gt;$H188,0,IF(CF188&lt;0,IF($J188=10,-$E188*$I188/12*0,IF($J188=11,-$E188*$I188/12*1,IF($J188=12,-$E188*$I188/12*2,0)))))</f>
        <v>0</v>
      </c>
      <c r="CK188" s="85">
        <f>IF(AND(CF188&lt;&gt;0,CF$5=$H188),-$I188*$E188-CF188,IF(CK$5=$H188,-$I188*$E188*(12-$J188+1)/12,0))</f>
        <v>0</v>
      </c>
      <c r="CL188" s="86">
        <f t="shared" ref="CL188" si="2909">IF($H188&lt;&gt;CP$5,0,IF(CP188&lt;0,IF($J188=1,-$E188*$I188/12*3,IF($J188=2,-$E188*$I188/12*2,IF($J188=3,-$E188*$I188/12*1,0)))))+IF(CK$5&lt;&gt;$H188,0,IF(CK188&lt;0,IF($J188=1,-$E188*$I188/12*0,IF($J188=2,-$E188*$I188/12*1,IF($J188=3,-$E188*$I188/12*2,IF($J188&gt;=4,-$E188*$I188/12*3,0))))))</f>
        <v>0</v>
      </c>
      <c r="CM188" s="87">
        <f>IF($H188&lt;&gt;CP$5,0,IF(CP188&lt;0,IF(OR($J188=1,$J188=2,$J188=3,$J188=4),-$E188*$I188/12*3,IF($J188=5,-$E188*$I188/12*2,IF($J188=6,-$E188*$I188/12*1,0)))))+IF(CK$5&lt;&gt;$H188,0,IF(CK188&lt;0,IF($J188=4,-$E188*$I188/12*0,IF($J188=5,-$E188*$I188/12*1,IF($J188=6,-$E188*$I188/12*2,IF($J188&gt;=7,-$E188*$I188/12*3,0))))))</f>
        <v>0</v>
      </c>
      <c r="CN188" s="87">
        <f>IF($H188&lt;&gt;CP$5,0,IF(CP188&lt;0,IF(OR($J188=1,$J188=2,$J188=3,$J188=4,$J188=5,$J188=6,$J188=7),-$E188*$I188/12*3,IF($J188=8,-$E188*$I188/12*2,IF($J188=9,-$E188*$I188/12*1,0)))))+IF(CK$5&lt;&gt;$H188,0,IF(CK188&lt;0,IF($J188=7,-$E188*$I188/12*0,IF($J188=8,-$E188*$I188/12*1,IF($J188=9,-$E188*$I188/12*2,IF($J188&gt;=10,-$E188*$I188/12*3,0))))))</f>
        <v>0</v>
      </c>
      <c r="CO188" s="88">
        <f>IF($H188&lt;&gt;CP$5,0,IF(CP188&lt;0,IF(OR($J188=1,$J188=2,$J188=3,$J188=4,$J188=5,$J188=6,$J188=7,$J188=8,$J188=9,$J188=10),-$E188*$I188/12*3,IF($J188=11,-$E188*$I188/12*2,IF($J188=12,-$E188*$I188/12*1,0)))))+IF(CK$5&lt;&gt;$H188,0,IF(CK188&lt;0,IF($J188=10,-$E188*$I188/12*0,IF($J188=11,-$E188*$I188/12*1,IF($J188=12,-$E188*$I188/12*2,0)))))</f>
        <v>0</v>
      </c>
      <c r="CP188" s="85">
        <f>IF(AND(CK188&lt;&gt;0,CK$5=$H188),-$I188*$E188-CK188,IF(CP$5=$H188,-$I188*$E188*(12-$J188+1)/12,0))</f>
        <v>0</v>
      </c>
      <c r="CQ188" s="86">
        <f t="shared" ref="CQ188" si="2910">IF($H188&lt;&gt;CU$5,0,IF(CU188&lt;0,IF($J188=1,-$E188*$I188/12*3,IF($J188=2,-$E188*$I188/12*2,IF($J188=3,-$E188*$I188/12*1,0)))))+IF(CP$5&lt;&gt;$H188,0,IF(CP188&lt;0,IF($J188=1,-$E188*$I188/12*0,IF($J188=2,-$E188*$I188/12*1,IF($J188=3,-$E188*$I188/12*2,IF($J188&gt;=4,-$E188*$I188/12*3,0))))))</f>
        <v>0</v>
      </c>
      <c r="CR188" s="87">
        <f>IF($H188&lt;&gt;CU$5,0,IF(CU188&lt;0,IF(OR($J188=1,$J188=2,$J188=3,$J188=4),-$E188*$I188/12*3,IF($J188=5,-$E188*$I188/12*2,IF($J188=6,-$E188*$I188/12*1,0)))))+IF(CP$5&lt;&gt;$H188,0,IF(CP188&lt;0,IF($J188=4,-$E188*$I188/12*0,IF($J188=5,-$E188*$I188/12*1,IF($J188=6,-$E188*$I188/12*2,IF($J188&gt;=7,-$E188*$I188/12*3,0))))))</f>
        <v>0</v>
      </c>
      <c r="CS188" s="87">
        <f>IF($H188&lt;&gt;CU$5,0,IF(CU188&lt;0,IF(OR($J188=1,$J188=2,$J188=3,$J188=4,$J188=5,$J188=6,$J188=7),-$E188*$I188/12*3,IF($J188=8,-$E188*$I188/12*2,IF($J188=9,-$E188*$I188/12*1,0)))))+IF(CP$5&lt;&gt;$H188,0,IF(CP188&lt;0,IF($J188=7,-$E188*$I188/12*0,IF($J188=8,-$E188*$I188/12*1,IF($J188=9,-$E188*$I188/12*2,IF($J188&gt;=10,-$E188*$I188/12*3,0))))))</f>
        <v>0</v>
      </c>
      <c r="CT188" s="88">
        <f>IF($H188&lt;&gt;CU$5,0,IF(CU188&lt;0,IF(OR($J188=1,$J188=2,$J188=3,$J188=4,$J188=5,$J188=6,$J188=7,$J188=8,$J188=9,$J188=10),-$E188*$I188/12*3,IF($J188=11,-$E188*$I188/12*2,IF($J188=12,-$E188*$I188/12*1,0)))))+IF(CP$5&lt;&gt;$H188,0,IF(CP188&lt;0,IF($J188=10,-$E188*$I188/12*0,IF($J188=11,-$E188*$I188/12*1,IF($J188=12,-$E188*$I188/12*2,0)))))</f>
        <v>0</v>
      </c>
      <c r="CU188" s="85">
        <f>IF(AND(CP188&lt;&gt;0,CP$5=$H188),-$I188*$E188-CP188,IF(CU$5=$H188,-$I188*$E188*(12-$J188+1)/12,0))</f>
        <v>0</v>
      </c>
      <c r="CV188" s="86">
        <f t="shared" si="2783"/>
        <v>0</v>
      </c>
      <c r="CW188" s="87">
        <f>IF($H188&lt;&gt;CZ$5,0,IF(CZ188&lt;0,IF(OR($J188=1,$J188=2,$J188=3,$J188=4),-$E188*$I188/12*3,IF($J188=5,-$E188*$I188/12*2,IF($J188=6,-$E188*$I188/12*1,0)))))+IF(CU$5&lt;&gt;$H188,0,IF(CU188&lt;0,IF($J188=4,-$E188*$I188/12*0,IF($J188=5,-$E188*$I188/12*1,IF($J188=6,-$E188*$I188/12*2,IF($J188&gt;=7,-$E188*$I188/12*3,0))))))</f>
        <v>0</v>
      </c>
      <c r="CX188" s="87">
        <f>IF($H188&lt;&gt;CZ$5,0,IF(CZ188&lt;0,IF(OR($J188=1,$J188=2,$J188=3,$J188=4,$J188=5,$J188=6,$J188=7),-$E188*$I188/12*3,IF($J188=8,-$E188*$I188/12*2,IF($J188=9,-$E188*$I188/12*1,0)))))+IF(CU$5&lt;&gt;$H188,0,IF(CU188&lt;0,IF($J188=7,-$E188*$I188/12*0,IF($J188=8,-$E188*$I188/12*1,IF($J188=9,-$E188*$I188/12*2,IF($J188&gt;=10,-$E188*$I188/12*3,0))))))</f>
        <v>0</v>
      </c>
      <c r="CY188" s="88">
        <f>IF($H188&lt;&gt;CZ$5,0,IF(CZ188&lt;0,IF(OR($J188=1,$J188=2,$J188=3,$J188=4,$J188=5,$J188=6,$J188=7,$J188=8,$J188=9,$J188=10),-$E188*$I188/12*3,IF($J188=11,-$E188*$I188/12*2,IF($J188=12,-$E188*$I188/12*1,0)))))+IF(CU$5&lt;&gt;$H188,0,IF(CU188&lt;0,IF($J188=10,-$E188*$I188/12*0,IF($J188=11,-$E188*$I188/12*1,IF($J188=12,-$E188*$I188/12*2,0)))))</f>
        <v>0</v>
      </c>
      <c r="CZ188" s="85">
        <f>IF(AND(CU188&lt;&gt;0,CU$5=$H188),-$I188*$E188-CU188,IF(CZ$5=$H188,-$I188*$E188*(12-$J188+1)/12,0))</f>
        <v>0</v>
      </c>
    </row>
    <row r="189" spans="1:104" ht="12.75" customHeight="1">
      <c r="A189" s="4"/>
      <c r="B189" s="4"/>
      <c r="C189" s="1999" t="s">
        <v>1485</v>
      </c>
      <c r="D189" s="2114"/>
      <c r="E189" s="2115">
        <f t="shared" si="2741"/>
        <v>500</v>
      </c>
      <c r="F189" s="2313">
        <v>500</v>
      </c>
      <c r="G189" s="1511">
        <v>500</v>
      </c>
      <c r="H189" s="1334">
        <v>2046</v>
      </c>
      <c r="I189" s="325">
        <v>3.5000000000000003E-2</v>
      </c>
      <c r="J189" s="1334">
        <v>8</v>
      </c>
      <c r="K189" s="80"/>
      <c r="L189" s="81">
        <f t="shared" si="2788"/>
        <v>0</v>
      </c>
      <c r="M189" s="2001">
        <f t="shared" si="2789"/>
        <v>0</v>
      </c>
      <c r="N189" s="81">
        <f t="shared" si="2790"/>
        <v>0</v>
      </c>
      <c r="O189" s="81">
        <f t="shared" si="2791"/>
        <v>0</v>
      </c>
      <c r="P189" s="2295">
        <f t="shared" si="2792"/>
        <v>0</v>
      </c>
      <c r="Q189" s="81">
        <f t="shared" si="2793"/>
        <v>0</v>
      </c>
      <c r="R189" s="2001">
        <f t="shared" si="2794"/>
        <v>0</v>
      </c>
      <c r="S189" s="81">
        <f t="shared" si="2795"/>
        <v>0</v>
      </c>
      <c r="T189" s="81">
        <f t="shared" si="2796"/>
        <v>0</v>
      </c>
      <c r="U189" s="2295">
        <f t="shared" si="2797"/>
        <v>0</v>
      </c>
      <c r="V189" s="81">
        <f t="shared" si="2798"/>
        <v>0</v>
      </c>
      <c r="W189" s="2001">
        <f t="shared" si="2799"/>
        <v>0</v>
      </c>
      <c r="X189" s="81">
        <f t="shared" si="2800"/>
        <v>0</v>
      </c>
      <c r="Y189" s="81">
        <f t="shared" si="2801"/>
        <v>0</v>
      </c>
      <c r="Z189" s="2295">
        <f t="shared" si="2802"/>
        <v>0</v>
      </c>
      <c r="AA189" s="81">
        <f t="shared" si="2803"/>
        <v>0</v>
      </c>
      <c r="AB189" s="82">
        <f t="shared" si="2804"/>
        <v>0</v>
      </c>
      <c r="AC189" s="83">
        <f t="shared" si="2805"/>
        <v>0</v>
      </c>
      <c r="AD189" s="83">
        <f t="shared" si="2806"/>
        <v>0</v>
      </c>
      <c r="AE189" s="84">
        <f t="shared" si="2807"/>
        <v>0</v>
      </c>
      <c r="AF189" s="81">
        <f t="shared" si="2808"/>
        <v>0</v>
      </c>
      <c r="AG189" s="82">
        <f>IF(AK189=0,0,IF(AK189&lt;0,IF($J189=3,AK189,IF($J189=2,AK189,IF($J189=1,AK189,0)))))</f>
        <v>0</v>
      </c>
      <c r="AH189" s="83">
        <f>IF(AK189=0,0,IF(AK189&lt;0,IF($J189=6,AK189,IF($J189=5,AK189,IF($J189=4,AK189,0)))))</f>
        <v>0</v>
      </c>
      <c r="AI189" s="83">
        <f>IF(AK189=0,0,IF(AK189&lt;0,IF($J189=9,AK189,IF($J189=8,AK189,IF($J189=7,AK189,0)))))</f>
        <v>0</v>
      </c>
      <c r="AJ189" s="84">
        <f>IF(AK189=0,0,IF(AK189&lt;0,IF($J189=12,AK189,IF($J189=11,AK189,IF($J189=10,AK189,0)))))</f>
        <v>0</v>
      </c>
      <c r="AK189" s="81">
        <f t="shared" si="2809"/>
        <v>0</v>
      </c>
      <c r="AL189" s="82">
        <f>IF(AP189=0,0,IF(AP189&lt;0,IF($J189=3,AP189,IF($J189=2,AP189,IF($J189=1,AP189,0)))))</f>
        <v>0</v>
      </c>
      <c r="AM189" s="83">
        <f>IF(AP189=0,0,IF(AP189&lt;0,IF($J189=6,AP189,IF($J189=5,AP189,IF($J189=4,AP189,0)))))</f>
        <v>0</v>
      </c>
      <c r="AN189" s="83">
        <f>IF(AP189=0,0,IF(AP189&lt;0,IF($J189=9,AP189,IF($J189=8,AP189,IF($J189=7,AP189,0)))))</f>
        <v>0</v>
      </c>
      <c r="AO189" s="84">
        <f>IF(AP189=0,0,IF(AP189&lt;0,IF($J189=12,AP189,IF($J189=11,AP189,IF($J189=10,AP189,0)))))</f>
        <v>0</v>
      </c>
      <c r="AP189" s="81">
        <f t="shared" si="2810"/>
        <v>0</v>
      </c>
      <c r="AQ189" s="82">
        <f>IF(AU189=0,0,IF(AU189&lt;0,IF($J189=3,AU189,IF($J189=2,AU189,IF($J189=1,AU189,0)))))</f>
        <v>0</v>
      </c>
      <c r="AR189" s="83">
        <f>IF(AU189=0,0,IF(AU189&lt;0,IF($J189=6,AU189,IF($J189=5,AU189,IF($J189=4,AU189,0)))))</f>
        <v>0</v>
      </c>
      <c r="AS189" s="83">
        <f>IF(AU189=0,0,IF(AU189&lt;0,IF($J189=9,AU189,IF($J189=8,AU189,IF($J189=7,AU189,0)))))</f>
        <v>0</v>
      </c>
      <c r="AT189" s="84">
        <f>IF(AU189=0,0,IF(AU189&lt;0,IF($J189=12,AU189,IF($J189=11,AU189,IF($J189=10,AU189,0)))))</f>
        <v>0</v>
      </c>
      <c r="AU189" s="81">
        <f t="shared" si="2811"/>
        <v>0</v>
      </c>
      <c r="AV189" s="82">
        <f>IF(AZ189=0,0,IF(AZ189&lt;0,IF($J189=3,AZ189,IF($J189=2,AZ189,IF($J189=1,AZ189,0)))))</f>
        <v>0</v>
      </c>
      <c r="AW189" s="83">
        <f>IF(AZ189=0,0,IF(AZ189&lt;0,IF($J189=6,AZ189,IF($J189=5,AZ189,IF($J189=4,AZ189,0)))))</f>
        <v>0</v>
      </c>
      <c r="AX189" s="83">
        <f>IF(AZ189=0,0,IF(AZ189&lt;0,IF($J189=9,AZ189,IF($J189=8,AZ189,IF($J189=7,AZ189,0)))))</f>
        <v>0</v>
      </c>
      <c r="AY189" s="84">
        <f>IF(AZ189=0,0,IF(AZ189&lt;0,IF($J189=12,AZ189,IF($J189=11,AZ189,IF($J189=10,AZ189,0)))))</f>
        <v>0</v>
      </c>
      <c r="AZ189" s="81">
        <f t="shared" si="2812"/>
        <v>0</v>
      </c>
      <c r="BA189" s="82">
        <f>IF(BE189=0,0,IF(BE189&lt;0,IF($J189=3,BE189,IF($J189=2,BE189,IF($J189=1,BE189,0)))))</f>
        <v>0</v>
      </c>
      <c r="BB189" s="83">
        <f>IF(BE189=0,0,IF(BE189&lt;0,IF($J189=6,BE189,IF($J189=5,BE189,IF($J189=4,BE189,0)))))</f>
        <v>0</v>
      </c>
      <c r="BC189" s="83">
        <f>IF(BE189=0,0,IF(BE189&lt;0,IF($J189=9,BE189,IF($J189=8,BE189,IF($J189=7,BE189,0)))))</f>
        <v>0</v>
      </c>
      <c r="BD189" s="84">
        <f>IF(BE189=0,0,IF(BE189&lt;0,IF($J189=12,BE189,IF($J189=11,BE189,IF($J189=10,BE189,0)))))</f>
        <v>0</v>
      </c>
      <c r="BE189" s="81">
        <f t="shared" si="2813"/>
        <v>0</v>
      </c>
      <c r="BF189" s="1877"/>
      <c r="BG189" s="2005">
        <f t="shared" si="2762"/>
        <v>0</v>
      </c>
      <c r="BH189" s="86">
        <f t="shared" si="2814"/>
        <v>0</v>
      </c>
      <c r="BI189" s="87">
        <f t="shared" si="2815"/>
        <v>0</v>
      </c>
      <c r="BJ189" s="87">
        <f t="shared" si="2816"/>
        <v>0</v>
      </c>
      <c r="BK189" s="88">
        <f t="shared" si="2817"/>
        <v>0</v>
      </c>
      <c r="BL189" s="85">
        <f t="shared" si="2818"/>
        <v>0</v>
      </c>
      <c r="BM189" s="86">
        <f t="shared" si="2819"/>
        <v>0</v>
      </c>
      <c r="BN189" s="87">
        <f t="shared" si="2820"/>
        <v>0</v>
      </c>
      <c r="BO189" s="87">
        <f t="shared" si="2821"/>
        <v>0</v>
      </c>
      <c r="BP189" s="88">
        <f t="shared" si="2822"/>
        <v>0</v>
      </c>
      <c r="BQ189" s="85">
        <f t="shared" si="2823"/>
        <v>0</v>
      </c>
      <c r="BR189" s="86">
        <f t="shared" si="2824"/>
        <v>0</v>
      </c>
      <c r="BS189" s="87">
        <f t="shared" si="2825"/>
        <v>0</v>
      </c>
      <c r="BT189" s="87">
        <f t="shared" si="2826"/>
        <v>0</v>
      </c>
      <c r="BU189" s="88">
        <f t="shared" si="2827"/>
        <v>0</v>
      </c>
      <c r="BV189" s="85">
        <f t="shared" si="2828"/>
        <v>0</v>
      </c>
      <c r="BW189" s="86">
        <f t="shared" si="2829"/>
        <v>0</v>
      </c>
      <c r="BX189" s="87">
        <f t="shared" si="2830"/>
        <v>0</v>
      </c>
      <c r="BY189" s="87">
        <f t="shared" si="2831"/>
        <v>0</v>
      </c>
      <c r="BZ189" s="88">
        <f t="shared" si="2832"/>
        <v>0</v>
      </c>
      <c r="CA189" s="85">
        <f t="shared" si="2833"/>
        <v>0</v>
      </c>
      <c r="CB189" s="86">
        <f t="shared" si="2763"/>
        <v>0</v>
      </c>
      <c r="CC189" s="87">
        <f>IF($H189&lt;&gt;CF$5,0,IF(CF189&lt;0,IF(OR($J189=1,$J189=2,$J189=3,$J189=4),-$E189*$I189/12*3,IF($J189=5,-$E189*$I189/12*2,IF($J189=6,-$E189*$I189/12*1,0)))))+IF(CA$5&lt;&gt;$H189,0,IF(CA189&lt;0,IF($J189=4,-$E189*$I189/12*0,IF($J189=5,-$E189*$I189/12*1,IF($J189=6,-$E189*$I189/12*2,IF($J189&gt;=7,-$E189*$I189/12*3,0))))))</f>
        <v>0</v>
      </c>
      <c r="CD189" s="87">
        <f>IF($H189&lt;&gt;CF$5,0,IF(CF189&lt;0,IF(OR($J189=1,$J189=2,$J189=3,$J189=4,$J189=5,$J189=6,$J189=7),-$E189*$I189/12*3,IF($J189=8,-$E189*$I189/12*2,IF($J189=9,-$E189*$I189/12*1,0)))))+IF(CA$5&lt;&gt;$H189,0,IF(CA189&lt;0,IF($J189=7,-$E189*$I189/12*0,IF($J189=8,-$E189*$I189/12*1,IF($J189=9,-$E189*$I189/12*2,IF($J189&gt;=10,-$E189*$I189/12*3,0))))))</f>
        <v>0</v>
      </c>
      <c r="CE189" s="88">
        <f>IF($H189&lt;&gt;CF$5,0,IF(CF189&lt;0,IF(OR($J189=1,$J189=2,$J189=3,$J189=4,$J189=5,$J189=6,$J189=7,$J189=8,$J189=9,$J189=10),-$E189*$I189/12*3,IF($J189=11,-$E189*$I189/12*2,IF($J189=12,-$E189*$I189/12*1,0)))))+IF(CA$5&lt;&gt;$H189,0,IF(CA189&lt;0,IF($J189=10,-$E189*$I189/12*0,IF($J189=11,-$E189*$I189/12*1,IF($J189=12,-$E189*$I189/12*2,0)))))</f>
        <v>0</v>
      </c>
      <c r="CF189" s="85">
        <f>IF(AND(CA189&lt;&gt;0,CA$5=$H189),-$I189*$E189-CA189,IF(CF$5=$H189,-$I189*$E189*(12-$J189+1)/12,0))</f>
        <v>0</v>
      </c>
      <c r="CG189" s="86">
        <f t="shared" si="2768"/>
        <v>0</v>
      </c>
      <c r="CH189" s="87">
        <f>IF($H189&lt;&gt;CK$5,0,IF(CK189&lt;0,IF(OR($J189=1,$J189=2,$J189=3,$J189=4),-$E189*$I189/12*3,IF($J189=5,-$E189*$I189/12*2,IF($J189=6,-$E189*$I189/12*1,0)))))+IF(CF$5&lt;&gt;$H189,0,IF(CF189&lt;0,IF($J189=4,-$E189*$I189/12*0,IF($J189=5,-$E189*$I189/12*1,IF($J189=6,-$E189*$I189/12*2,IF($J189&gt;=7,-$E189*$I189/12*3,0))))))</f>
        <v>0</v>
      </c>
      <c r="CI189" s="87">
        <f>IF($H189&lt;&gt;CK$5,0,IF(CK189&lt;0,IF(OR($J189=1,$J189=2,$J189=3,$J189=4,$J189=5,$J189=6,$J189=7),-$E189*$I189/12*3,IF($J189=8,-$E189*$I189/12*2,IF($J189=9,-$E189*$I189/12*1,0)))))+IF(CF$5&lt;&gt;$H189,0,IF(CF189&lt;0,IF($J189=7,-$E189*$I189/12*0,IF($J189=8,-$E189*$I189/12*1,IF($J189=9,-$E189*$I189/12*2,IF($J189&gt;=10,-$E189*$I189/12*3,0))))))</f>
        <v>0</v>
      </c>
      <c r="CJ189" s="88">
        <f>IF($H189&lt;&gt;CK$5,0,IF(CK189&lt;0,IF(OR($J189=1,$J189=2,$J189=3,$J189=4,$J189=5,$J189=6,$J189=7,$J189=8,$J189=9,$J189=10),-$E189*$I189/12*3,IF($J189=11,-$E189*$I189/12*2,IF($J189=12,-$E189*$I189/12*1,0)))))+IF(CF$5&lt;&gt;$H189,0,IF(CF189&lt;0,IF($J189=10,-$E189*$I189/12*0,IF($J189=11,-$E189*$I189/12*1,IF($J189=12,-$E189*$I189/12*2,0)))))</f>
        <v>0</v>
      </c>
      <c r="CK189" s="85">
        <f>IF(AND(CF189&lt;&gt;0,CF$5=$H189),-$I189*$E189-CF189,IF(CK$5=$H189,-$I189*$E189*(12-$J189+1)/12,0))</f>
        <v>0</v>
      </c>
      <c r="CL189" s="86">
        <f t="shared" si="2773"/>
        <v>0</v>
      </c>
      <c r="CM189" s="87">
        <f>IF($H189&lt;&gt;CP$5,0,IF(CP189&lt;0,IF(OR($J189=1,$J189=2,$J189=3,$J189=4),-$E189*$I189/12*3,IF($J189=5,-$E189*$I189/12*2,IF($J189=6,-$E189*$I189/12*1,0)))))+IF(CK$5&lt;&gt;$H189,0,IF(CK189&lt;0,IF($J189=4,-$E189*$I189/12*0,IF($J189=5,-$E189*$I189/12*1,IF($J189=6,-$E189*$I189/12*2,IF($J189&gt;=7,-$E189*$I189/12*3,0))))))</f>
        <v>0</v>
      </c>
      <c r="CN189" s="87">
        <f>IF($H189&lt;&gt;CP$5,0,IF(CP189&lt;0,IF(OR($J189=1,$J189=2,$J189=3,$J189=4,$J189=5,$J189=6,$J189=7),-$E189*$I189/12*3,IF($J189=8,-$E189*$I189/12*2,IF($J189=9,-$E189*$I189/12*1,0)))))+IF(CK$5&lt;&gt;$H189,0,IF(CK189&lt;0,IF($J189=7,-$E189*$I189/12*0,IF($J189=8,-$E189*$I189/12*1,IF($J189=9,-$E189*$I189/12*2,IF($J189&gt;=10,-$E189*$I189/12*3,0))))))</f>
        <v>0</v>
      </c>
      <c r="CO189" s="88">
        <f>IF($H189&lt;&gt;CP$5,0,IF(CP189&lt;0,IF(OR($J189=1,$J189=2,$J189=3,$J189=4,$J189=5,$J189=6,$J189=7,$J189=8,$J189=9,$J189=10),-$E189*$I189/12*3,IF($J189=11,-$E189*$I189/12*2,IF($J189=12,-$E189*$I189/12*1,0)))))+IF(CK$5&lt;&gt;$H189,0,IF(CK189&lt;0,IF($J189=10,-$E189*$I189/12*0,IF($J189=11,-$E189*$I189/12*1,IF($J189=12,-$E189*$I189/12*2,0)))))</f>
        <v>0</v>
      </c>
      <c r="CP189" s="85">
        <f>IF(AND(CK189&lt;&gt;0,CK$5=$H189),-$I189*$E189-CK189,IF(CP$5=$H189,-$I189*$E189*(12-$J189+1)/12,0))</f>
        <v>0</v>
      </c>
      <c r="CQ189" s="86">
        <f t="shared" si="2778"/>
        <v>0</v>
      </c>
      <c r="CR189" s="87">
        <f>IF($H189&lt;&gt;CU$5,0,IF(CU189&lt;0,IF(OR($J189=1,$J189=2,$J189=3,$J189=4),-$E189*$I189/12*3,IF($J189=5,-$E189*$I189/12*2,IF($J189=6,-$E189*$I189/12*1,0)))))+IF(CP$5&lt;&gt;$H189,0,IF(CP189&lt;0,IF($J189=4,-$E189*$I189/12*0,IF($J189=5,-$E189*$I189/12*1,IF($J189=6,-$E189*$I189/12*2,IF($J189&gt;=7,-$E189*$I189/12*3,0))))))</f>
        <v>0</v>
      </c>
      <c r="CS189" s="87">
        <f>IF($H189&lt;&gt;CU$5,0,IF(CU189&lt;0,IF(OR($J189=1,$J189=2,$J189=3,$J189=4,$J189=5,$J189=6,$J189=7),-$E189*$I189/12*3,IF($J189=8,-$E189*$I189/12*2,IF($J189=9,-$E189*$I189/12*1,0)))))+IF(CP$5&lt;&gt;$H189,0,IF(CP189&lt;0,IF($J189=7,-$E189*$I189/12*0,IF($J189=8,-$E189*$I189/12*1,IF($J189=9,-$E189*$I189/12*2,IF($J189&gt;=10,-$E189*$I189/12*3,0))))))</f>
        <v>0</v>
      </c>
      <c r="CT189" s="88">
        <f>IF($H189&lt;&gt;CU$5,0,IF(CU189&lt;0,IF(OR($J189=1,$J189=2,$J189=3,$J189=4,$J189=5,$J189=6,$J189=7,$J189=8,$J189=9,$J189=10),-$E189*$I189/12*3,IF($J189=11,-$E189*$I189/12*2,IF($J189=12,-$E189*$I189/12*1,0)))))+IF(CP$5&lt;&gt;$H189,0,IF(CP189&lt;0,IF($J189=10,-$E189*$I189/12*0,IF($J189=11,-$E189*$I189/12*1,IF($J189=12,-$E189*$I189/12*2,0)))))</f>
        <v>0</v>
      </c>
      <c r="CU189" s="85">
        <f>IF(AND(CP189&lt;&gt;0,CP$5=$H189),-$I189*$E189-CP189,IF(CU$5=$H189,-$I189*$E189*(12-$J189+1)/12,0))</f>
        <v>0</v>
      </c>
      <c r="CV189" s="86">
        <f t="shared" si="2783"/>
        <v>0</v>
      </c>
      <c r="CW189" s="87">
        <f>IF($H189&lt;&gt;CZ$5,0,IF(CZ189&lt;0,IF(OR($J189=1,$J189=2,$J189=3,$J189=4),-$E189*$I189/12*3,IF($J189=5,-$E189*$I189/12*2,IF($J189=6,-$E189*$I189/12*1,0)))))+IF(CU$5&lt;&gt;$H189,0,IF(CU189&lt;0,IF($J189=4,-$E189*$I189/12*0,IF($J189=5,-$E189*$I189/12*1,IF($J189=6,-$E189*$I189/12*2,IF($J189&gt;=7,-$E189*$I189/12*3,0))))))</f>
        <v>0</v>
      </c>
      <c r="CX189" s="87">
        <f>IF($H189&lt;&gt;CZ$5,0,IF(CZ189&lt;0,IF(OR($J189=1,$J189=2,$J189=3,$J189=4,$J189=5,$J189=6,$J189=7),-$E189*$I189/12*3,IF($J189=8,-$E189*$I189/12*2,IF($J189=9,-$E189*$I189/12*1,0)))))+IF(CU$5&lt;&gt;$H189,0,IF(CU189&lt;0,IF($J189=7,-$E189*$I189/12*0,IF($J189=8,-$E189*$I189/12*1,IF($J189=9,-$E189*$I189/12*2,IF($J189&gt;=10,-$E189*$I189/12*3,0))))))</f>
        <v>0</v>
      </c>
      <c r="CY189" s="88">
        <f>IF($H189&lt;&gt;CZ$5,0,IF(CZ189&lt;0,IF(OR($J189=1,$J189=2,$J189=3,$J189=4,$J189=5,$J189=6,$J189=7,$J189=8,$J189=9,$J189=10),-$E189*$I189/12*3,IF($J189=11,-$E189*$I189/12*2,IF($J189=12,-$E189*$I189/12*1,0)))))+IF(CU$5&lt;&gt;$H189,0,IF(CU189&lt;0,IF($J189=10,-$E189*$I189/12*0,IF($J189=11,-$E189*$I189/12*1,IF($J189=12,-$E189*$I189/12*2,0)))))</f>
        <v>0</v>
      </c>
      <c r="CZ189" s="85">
        <f>IF(AND(CU189&lt;&gt;0,CU$5=$H189),-$I189*$E189-CU189,IF(CZ$5=$H189,-$I189*$E189*(12-$J189+1)/12,0))</f>
        <v>0</v>
      </c>
    </row>
    <row r="190" spans="1:104" ht="12.75" customHeight="1">
      <c r="A190" s="4"/>
      <c r="B190" s="4"/>
      <c r="C190" s="1999" t="s">
        <v>1541</v>
      </c>
      <c r="D190" s="2114"/>
      <c r="E190" s="2115">
        <f t="shared" si="2741"/>
        <v>300</v>
      </c>
      <c r="F190" s="2313">
        <v>300</v>
      </c>
      <c r="G190" s="1511">
        <v>0</v>
      </c>
      <c r="H190" s="1334">
        <v>2047</v>
      </c>
      <c r="I190" s="325">
        <v>3.7499999999999999E-2</v>
      </c>
      <c r="J190" s="1334">
        <v>8</v>
      </c>
      <c r="K190" s="80"/>
      <c r="L190" s="81">
        <f t="shared" si="2788"/>
        <v>0</v>
      </c>
      <c r="M190" s="2001">
        <f t="shared" ref="M190" si="2911">IF(Q190=0,0,IF(Q190&lt;0,IF($J190=3,Q190,IF($J190=2,Q190,IF($J190=1,Q190,0)))))</f>
        <v>0</v>
      </c>
      <c r="N190" s="81">
        <f t="shared" ref="N190" si="2912">IF(Q190=0,0,IF(Q190&lt;0,IF($J190=6,Q190,IF($J190=5,Q190,IF($J190=4,Q190,0)))))</f>
        <v>0</v>
      </c>
      <c r="O190" s="81">
        <f t="shared" ref="O190" si="2913">IF(Q190=0,0,IF(Q190&lt;0,IF($J190=9,Q190,IF($J190=8,Q190,IF($J190=7,Q190,0)))))</f>
        <v>0</v>
      </c>
      <c r="P190" s="2295">
        <f t="shared" ref="P190" si="2914">IF(Q190=0,0,IF(Q190&lt;0,IF($J190=12,Q190,IF($J190=11,Q190,IF($J190=10,Q190,0)))))</f>
        <v>0</v>
      </c>
      <c r="Q190" s="81">
        <f t="shared" si="2793"/>
        <v>0</v>
      </c>
      <c r="R190" s="2001">
        <f t="shared" ref="R190" si="2915">IF(V190=0,0,IF(V190&lt;0,IF($J190=3,V190,IF($J190=2,V190,IF($J190=1,V190,0)))))</f>
        <v>0</v>
      </c>
      <c r="S190" s="81">
        <f t="shared" ref="S190" si="2916">IF(V190=0,0,IF(V190&lt;0,IF($J190=6,V190,IF($J190=5,V190,IF($J190=4,V190,0)))))</f>
        <v>0</v>
      </c>
      <c r="T190" s="81">
        <f t="shared" ref="T190" si="2917">IF(V190=0,0,IF(V190&lt;0,IF($J190=9,V190,IF($J190=8,V190,IF($J190=7,V190,0)))))</f>
        <v>0</v>
      </c>
      <c r="U190" s="2295">
        <f t="shared" ref="U190" si="2918">IF(V190=0,0,IF(V190&lt;0,IF($J190=12,V190,IF($J190=11,V190,IF($J190=10,V190,0)))))</f>
        <v>0</v>
      </c>
      <c r="V190" s="81">
        <f t="shared" si="2798"/>
        <v>0</v>
      </c>
      <c r="W190" s="2001">
        <f t="shared" ref="W190" si="2919">IF(AA190=0,0,IF(AA190&lt;0,IF($J190=3,AA190,IF($J190=2,AA190,IF($J190=1,AA190,0)))))</f>
        <v>0</v>
      </c>
      <c r="X190" s="81">
        <f t="shared" ref="X190" si="2920">IF(AA190=0,0,IF(AA190&lt;0,IF($J190=6,AA190,IF($J190=5,AA190,IF($J190=4,AA190,0)))))</f>
        <v>0</v>
      </c>
      <c r="Y190" s="81">
        <f t="shared" ref="Y190" si="2921">IF(AA190=0,0,IF(AA190&lt;0,IF($J190=9,AA190,IF($J190=8,AA190,IF($J190=7,AA190,0)))))</f>
        <v>0</v>
      </c>
      <c r="Z190" s="2295">
        <f t="shared" ref="Z190" si="2922">IF(AA190=0,0,IF(AA190&lt;0,IF($J190=12,AA190,IF($J190=11,AA190,IF($J190=10,AA190,0)))))</f>
        <v>0</v>
      </c>
      <c r="AA190" s="81">
        <f t="shared" si="2803"/>
        <v>0</v>
      </c>
      <c r="AB190" s="82">
        <f t="shared" ref="AB190" si="2923">IF(AF190=0,0,IF(AF190&lt;0,IF($J190=3,AF190,IF($J190=2,AF190,IF($J190=1,AF190,0)))))</f>
        <v>0</v>
      </c>
      <c r="AC190" s="83">
        <f t="shared" ref="AC190" si="2924">IF(AF190=0,0,IF(AF190&lt;0,IF($J190=6,AF190,IF($J190=5,AF190,IF($J190=4,AF190,0)))))</f>
        <v>0</v>
      </c>
      <c r="AD190" s="83">
        <f t="shared" ref="AD190" si="2925">IF(AF190=0,0,IF(AF190&lt;0,IF($J190=9,AF190,IF($J190=8,AF190,IF($J190=7,AF190,0)))))</f>
        <v>0</v>
      </c>
      <c r="AE190" s="84">
        <f t="shared" ref="AE190" si="2926">IF(AF190=0,0,IF(AF190&lt;0,IF($J190=12,AF190,IF($J190=11,AF190,IF($J190=10,AF190,0)))))</f>
        <v>0</v>
      </c>
      <c r="AF190" s="81">
        <f t="shared" si="2808"/>
        <v>0</v>
      </c>
      <c r="AG190" s="82">
        <f>IF(AK190=0,0,IF(AK190&lt;0,IF($J190=3,AK190,IF($J190=2,AK190,IF($J190=1,AK190,0)))))</f>
        <v>0</v>
      </c>
      <c r="AH190" s="83">
        <f>IF(AK190=0,0,IF(AK190&lt;0,IF($J190=6,AK190,IF($J190=5,AK190,IF($J190=4,AK190,0)))))</f>
        <v>0</v>
      </c>
      <c r="AI190" s="83">
        <f>IF(AK190=0,0,IF(AK190&lt;0,IF($J190=9,AK190,IF($J190=8,AK190,IF($J190=7,AK190,0)))))</f>
        <v>0</v>
      </c>
      <c r="AJ190" s="84">
        <f>IF(AK190=0,0,IF(AK190&lt;0,IF($J190=12,AK190,IF($J190=11,AK190,IF($J190=10,AK190,0)))))</f>
        <v>0</v>
      </c>
      <c r="AK190" s="81">
        <f t="shared" si="2809"/>
        <v>0</v>
      </c>
      <c r="AL190" s="82">
        <f>IF(AP190=0,0,IF(AP190&lt;0,IF($J190=3,AP190,IF($J190=2,AP190,IF($J190=1,AP190,0)))))</f>
        <v>0</v>
      </c>
      <c r="AM190" s="83">
        <f>IF(AP190=0,0,IF(AP190&lt;0,IF($J190=6,AP190,IF($J190=5,AP190,IF($J190=4,AP190,0)))))</f>
        <v>0</v>
      </c>
      <c r="AN190" s="83">
        <f>IF(AP190=0,0,IF(AP190&lt;0,IF($J190=9,AP190,IF($J190=8,AP190,IF($J190=7,AP190,0)))))</f>
        <v>0</v>
      </c>
      <c r="AO190" s="84">
        <f>IF(AP190=0,0,IF(AP190&lt;0,IF($J190=12,AP190,IF($J190=11,AP190,IF($J190=10,AP190,0)))))</f>
        <v>0</v>
      </c>
      <c r="AP190" s="81">
        <f t="shared" si="2810"/>
        <v>0</v>
      </c>
      <c r="AQ190" s="82">
        <f>IF(AU190=0,0,IF(AU190&lt;0,IF($J190=3,AU190,IF($J190=2,AU190,IF($J190=1,AU190,0)))))</f>
        <v>0</v>
      </c>
      <c r="AR190" s="83">
        <f>IF(AU190=0,0,IF(AU190&lt;0,IF($J190=6,AU190,IF($J190=5,AU190,IF($J190=4,AU190,0)))))</f>
        <v>0</v>
      </c>
      <c r="AS190" s="83">
        <f>IF(AU190=0,0,IF(AU190&lt;0,IF($J190=9,AU190,IF($J190=8,AU190,IF($J190=7,AU190,0)))))</f>
        <v>0</v>
      </c>
      <c r="AT190" s="84">
        <f>IF(AU190=0,0,IF(AU190&lt;0,IF($J190=12,AU190,IF($J190=11,AU190,IF($J190=10,AU190,0)))))</f>
        <v>0</v>
      </c>
      <c r="AU190" s="81">
        <f t="shared" si="2811"/>
        <v>0</v>
      </c>
      <c r="AV190" s="82">
        <f>IF(AZ190=0,0,IF(AZ190&lt;0,IF($J190=3,AZ190,IF($J190=2,AZ190,IF($J190=1,AZ190,0)))))</f>
        <v>0</v>
      </c>
      <c r="AW190" s="83">
        <f>IF(AZ190=0,0,IF(AZ190&lt;0,IF($J190=6,AZ190,IF($J190=5,AZ190,IF($J190=4,AZ190,0)))))</f>
        <v>0</v>
      </c>
      <c r="AX190" s="83">
        <f>IF(AZ190=0,0,IF(AZ190&lt;0,IF($J190=9,AZ190,IF($J190=8,AZ190,IF($J190=7,AZ190,0)))))</f>
        <v>0</v>
      </c>
      <c r="AY190" s="84">
        <f>IF(AZ190=0,0,IF(AZ190&lt;0,IF($J190=12,AZ190,IF($J190=11,AZ190,IF($J190=10,AZ190,0)))))</f>
        <v>0</v>
      </c>
      <c r="AZ190" s="81">
        <f t="shared" si="2812"/>
        <v>0</v>
      </c>
      <c r="BA190" s="82">
        <f>IF(BE190=0,0,IF(BE190&lt;0,IF($J190=3,BE190,IF($J190=2,BE190,IF($J190=1,BE190,0)))))</f>
        <v>0</v>
      </c>
      <c r="BB190" s="83">
        <f>IF(BE190=0,0,IF(BE190&lt;0,IF($J190=6,BE190,IF($J190=5,BE190,IF($J190=4,BE190,0)))))</f>
        <v>0</v>
      </c>
      <c r="BC190" s="83">
        <f>IF(BE190=0,0,IF(BE190&lt;0,IF($J190=9,BE190,IF($J190=8,BE190,IF($J190=7,BE190,0)))))</f>
        <v>0</v>
      </c>
      <c r="BD190" s="84">
        <f>IF(BE190=0,0,IF(BE190&lt;0,IF($J190=12,BE190,IF($J190=11,BE190,IF($J190=10,BE190,0)))))</f>
        <v>0</v>
      </c>
      <c r="BE190" s="81">
        <f t="shared" si="2813"/>
        <v>0</v>
      </c>
      <c r="BF190" s="1877"/>
      <c r="BG190" s="2005">
        <f t="shared" ref="BG190" si="2927">IF(AND(BF190&lt;&gt;0,BF$5=$H190),-$I190*$E190-BF190,IF(BG$5=$H190,-$I190*$E190*(12-$J190+1)/12,0))</f>
        <v>0</v>
      </c>
      <c r="BH190" s="86">
        <f t="shared" ref="BH190" si="2928">IF($H190&lt;&gt;BL$5,0,IF(BL190&lt;0,IF($J190=1,-$E190*$I190/12*3,IF($J190=2,-$E190*$I190/12*2,IF($J190=3,-$E190*$I190/12*1,0)))))+IF(BG$5&lt;&gt;$H190,0,IF(BG190&lt;0,IF($J190=1,-$E190*$I190/12*0,IF($J190=2,-$E190*$I190/12*1,IF($J190=3,-$E190*$I190/12*2,IF($J190&gt;=4,-$E190*$I190/12*3,0))))))</f>
        <v>0</v>
      </c>
      <c r="BI190" s="87">
        <f t="shared" ref="BI190" si="2929">IF($H190&lt;&gt;BL$5,0,IF(BL190&lt;0,IF(OR($J190=1,$J190=2,$J190=3,$J190=4),-$E190*$I190/12*3,IF($J190=5,-$E190*$I190/12*2,IF($J190=6,-$E190*$I190/12*1,0)))))+IF(BG$5&lt;&gt;$H190,0,IF(BG190&lt;0,IF($J190=4,-$E190*$I190/12*0,IF($J190=5,-$E190*$I190/12*1,IF($J190=6,-$E190*$I190/12*2,IF($J190&gt;=7,-$E190*$I190/12*3,0))))))</f>
        <v>0</v>
      </c>
      <c r="BJ190" s="87">
        <f t="shared" ref="BJ190" si="2930">IF($H190&lt;&gt;BL$5,0,IF(BL190&lt;0,IF(OR($J190=1,$J190=2,$J190=3,$J190=4,$J190=5,$J190=6,$J190=7),-$E190*$I190/12*3,IF($J190=8,-$E190*$I190/12*2,IF($J190=9,-$E190*$I190/12*1,0)))))+IF(BG$5&lt;&gt;$H190,0,IF(BG190&lt;0,IF($J190=7,-$E190*$I190/12*0,IF($J190=8,-$E190*$I190/12*1,IF($J190=9,-$E190*$I190/12*2,IF($J190&gt;=10,-$E190*$I190/12*3,0))))))</f>
        <v>0</v>
      </c>
      <c r="BK190" s="88">
        <f t="shared" ref="BK190" si="2931">IF($H190&lt;&gt;BL$5,0,IF(BL190&lt;0,IF(OR($J190=1,$J190=2,$J190=3,$J190=4,$J190=5,$J190=6,$J190=7,$J190=8,$J190=9,$J190=10),-$E190*$I190/12*3,IF($J190=11,-$E190*$I190/12*2,IF($J190=12,-$E190*$I190/12*1,0)))))+IF(BG$5&lt;&gt;$H190,0,IF(BG190&lt;0,IF($J190=10,-$E190*$I190/12*0,IF($J190=11,-$E190*$I190/12*1,IF($J190=12,-$E190*$I190/12*2,0)))))</f>
        <v>0</v>
      </c>
      <c r="BL190" s="85">
        <f t="shared" ref="BL190" si="2932">IF(AND(BG190&lt;&gt;0,BG$5=$H190),-$I190*$E190-BG190,IF(BL$5=$H190,-$I190*$E190*(12-$J190+1)/12,0))</f>
        <v>0</v>
      </c>
      <c r="BM190" s="86">
        <f t="shared" ref="BM190" si="2933">IF($H190&lt;&gt;BQ$5,0,IF(BQ190&lt;0,IF($J190=1,-$E190*$I190/12*3,IF($J190=2,-$E190*$I190/12*2,IF($J190=3,-$E190*$I190/12*1,0)))))+IF(BL$5&lt;&gt;$H190,0,IF(BL190&lt;0,IF($J190=1,-$E190*$I190/12*0,IF($J190=2,-$E190*$I190/12*1,IF($J190=3,-$E190*$I190/12*2,IF($J190&gt;=4,-$E190*$I190/12*3,0))))))</f>
        <v>0</v>
      </c>
      <c r="BN190" s="87">
        <f t="shared" ref="BN190" si="2934">IF($H190&lt;&gt;BQ$5,0,IF(BQ190&lt;0,IF(OR($J190=1,$J190=2,$J190=3,$J190=4),-$E190*$I190/12*3,IF($J190=5,-$E190*$I190/12*2,IF($J190=6,-$E190*$I190/12*1,0)))))+IF(BL$5&lt;&gt;$H190,0,IF(BL190&lt;0,IF($J190=4,-$E190*$I190/12*0,IF($J190=5,-$E190*$I190/12*1,IF($J190=6,-$E190*$I190/12*2,IF($J190&gt;=7,-$E190*$I190/12*3,0))))))</f>
        <v>0</v>
      </c>
      <c r="BO190" s="87">
        <f t="shared" ref="BO190" si="2935">IF($H190&lt;&gt;BQ$5,0,IF(BQ190&lt;0,IF(OR($J190=1,$J190=2,$J190=3,$J190=4,$J190=5,$J190=6,$J190=7),-$E190*$I190/12*3,IF($J190=8,-$E190*$I190/12*2,IF($J190=9,-$E190*$I190/12*1,0)))))+IF(BL$5&lt;&gt;$H190,0,IF(BL190&lt;0,IF($J190=7,-$E190*$I190/12*0,IF($J190=8,-$E190*$I190/12*1,IF($J190=9,-$E190*$I190/12*2,IF($J190&gt;=10,-$E190*$I190/12*3,0))))))</f>
        <v>0</v>
      </c>
      <c r="BP190" s="88">
        <f t="shared" ref="BP190" si="2936">IF($H190&lt;&gt;BQ$5,0,IF(BQ190&lt;0,IF(OR($J190=1,$J190=2,$J190=3,$J190=4,$J190=5,$J190=6,$J190=7,$J190=8,$J190=9,$J190=10),-$E190*$I190/12*3,IF($J190=11,-$E190*$I190/12*2,IF($J190=12,-$E190*$I190/12*1,0)))))+IF(BL$5&lt;&gt;$H190,0,IF(BL190&lt;0,IF($J190=10,-$E190*$I190/12*0,IF($J190=11,-$E190*$I190/12*1,IF($J190=12,-$E190*$I190/12*2,0)))))</f>
        <v>0</v>
      </c>
      <c r="BQ190" s="85">
        <f t="shared" ref="BQ190" si="2937">IF(AND(BL190&lt;&gt;0,BL$5=$H190),-$I190*$E190-BL190,IF(BQ$5=$H190,-$I190*$E190*(12-$J190+1)/12,0))</f>
        <v>0</v>
      </c>
      <c r="BR190" s="86">
        <f t="shared" ref="BR190" si="2938">IF($H190&lt;&gt;BV$5,0,IF(BV190&lt;0,IF($J190=1,-$E190*$I190/12*3,IF($J190=2,-$E190*$I190/12*2,IF($J190=3,-$E190*$I190/12*1,0)))))+IF(BQ$5&lt;&gt;$H190,0,IF(BQ190&lt;0,IF($J190=1,-$E190*$I190/12*0,IF($J190=2,-$E190*$I190/12*1,IF($J190=3,-$E190*$I190/12*2,IF($J190&gt;=4,-$E190*$I190/12*3,0))))))</f>
        <v>0</v>
      </c>
      <c r="BS190" s="87">
        <f t="shared" ref="BS190" si="2939">IF($H190&lt;&gt;BV$5,0,IF(BV190&lt;0,IF(OR($J190=1,$J190=2,$J190=3,$J190=4),-$E190*$I190/12*3,IF($J190=5,-$E190*$I190/12*2,IF($J190=6,-$E190*$I190/12*1,0)))))+IF(BQ$5&lt;&gt;$H190,0,IF(BQ190&lt;0,IF($J190=4,-$E190*$I190/12*0,IF($J190=5,-$E190*$I190/12*1,IF($J190=6,-$E190*$I190/12*2,IF($J190&gt;=7,-$E190*$I190/12*3,0))))))</f>
        <v>0</v>
      </c>
      <c r="BT190" s="87">
        <f t="shared" ref="BT190" si="2940">IF($H190&lt;&gt;BV$5,0,IF(BV190&lt;0,IF(OR($J190=1,$J190=2,$J190=3,$J190=4,$J190=5,$J190=6,$J190=7),-$E190*$I190/12*3,IF($J190=8,-$E190*$I190/12*2,IF($J190=9,-$E190*$I190/12*1,0)))))+IF(BQ$5&lt;&gt;$H190,0,IF(BQ190&lt;0,IF($J190=7,-$E190*$I190/12*0,IF($J190=8,-$E190*$I190/12*1,IF($J190=9,-$E190*$I190/12*2,IF($J190&gt;=10,-$E190*$I190/12*3,0))))))</f>
        <v>0</v>
      </c>
      <c r="BU190" s="88">
        <f t="shared" ref="BU190" si="2941">IF($H190&lt;&gt;BV$5,0,IF(BV190&lt;0,IF(OR($J190=1,$J190=2,$J190=3,$J190=4,$J190=5,$J190=6,$J190=7,$J190=8,$J190=9,$J190=10),-$E190*$I190/12*3,IF($J190=11,-$E190*$I190/12*2,IF($J190=12,-$E190*$I190/12*1,0)))))+IF(BQ$5&lt;&gt;$H190,0,IF(BQ190&lt;0,IF($J190=10,-$E190*$I190/12*0,IF($J190=11,-$E190*$I190/12*1,IF($J190=12,-$E190*$I190/12*2,0)))))</f>
        <v>0</v>
      </c>
      <c r="BV190" s="85">
        <f t="shared" ref="BV190" si="2942">IF(AND(BQ190&lt;&gt;0,BQ$5=$H190),-$I190*$E190-BQ190,IF(BV$5=$H190,-$I190*$E190*(12-$J190+1)/12,0))</f>
        <v>0</v>
      </c>
      <c r="BW190" s="86">
        <f t="shared" ref="BW190" si="2943">IF($H190&lt;&gt;CA$5,0,IF(CA190&lt;0,IF($J190=1,-$E190*$I190/12*3,IF($J190=2,-$E190*$I190/12*2,IF($J190=3,-$E190*$I190/12*1,0)))))+IF(BV$5&lt;&gt;$H190,0,IF(BV190&lt;0,IF($J190=1,-$E190*$I190/12*0,IF($J190=2,-$E190*$I190/12*1,IF($J190=3,-$E190*$I190/12*2,IF($J190&gt;=4,-$E190*$I190/12*3,0))))))</f>
        <v>0</v>
      </c>
      <c r="BX190" s="87">
        <f t="shared" ref="BX190" si="2944">IF($H190&lt;&gt;CA$5,0,IF(CA190&lt;0,IF(OR($J190=1,$J190=2,$J190=3,$J190=4),-$E190*$I190/12*3,IF($J190=5,-$E190*$I190/12*2,IF($J190=6,-$E190*$I190/12*1,0)))))+IF(BV$5&lt;&gt;$H190,0,IF(BV190&lt;0,IF($J190=4,-$E190*$I190/12*0,IF($J190=5,-$E190*$I190/12*1,IF($J190=6,-$E190*$I190/12*2,IF($J190&gt;=7,-$E190*$I190/12*3,0))))))</f>
        <v>0</v>
      </c>
      <c r="BY190" s="87">
        <f t="shared" ref="BY190" si="2945">IF($H190&lt;&gt;CA$5,0,IF(CA190&lt;0,IF(OR($J190=1,$J190=2,$J190=3,$J190=4,$J190=5,$J190=6,$J190=7),-$E190*$I190/12*3,IF($J190=8,-$E190*$I190/12*2,IF($J190=9,-$E190*$I190/12*1,0)))))+IF(BV$5&lt;&gt;$H190,0,IF(BV190&lt;0,IF($J190=7,-$E190*$I190/12*0,IF($J190=8,-$E190*$I190/12*1,IF($J190=9,-$E190*$I190/12*2,IF($J190&gt;=10,-$E190*$I190/12*3,0))))))</f>
        <v>0</v>
      </c>
      <c r="BZ190" s="88">
        <f t="shared" ref="BZ190" si="2946">IF($H190&lt;&gt;CA$5,0,IF(CA190&lt;0,IF(OR($J190=1,$J190=2,$J190=3,$J190=4,$J190=5,$J190=6,$J190=7,$J190=8,$J190=9,$J190=10),-$E190*$I190/12*3,IF($J190=11,-$E190*$I190/12*2,IF($J190=12,-$E190*$I190/12*1,0)))))+IF(BV$5&lt;&gt;$H190,0,IF(BV190&lt;0,IF($J190=10,-$E190*$I190/12*0,IF($J190=11,-$E190*$I190/12*1,IF($J190=12,-$E190*$I190/12*2,0)))))</f>
        <v>0</v>
      </c>
      <c r="CA190" s="85">
        <f t="shared" ref="CA190" si="2947">IF(AND(BV190&lt;&gt;0,BV$5=$H190),-$I190*$E190-BV190,IF(CA$5=$H190,-$I190*$E190*(12-$J190+1)/12,0))</f>
        <v>0</v>
      </c>
      <c r="CB190" s="86">
        <f t="shared" ref="CB190" si="2948">IF($H190&lt;&gt;CF$5,0,IF(CF190&lt;0,IF($J190=1,-$E190*$I190/12*3,IF($J190=2,-$E190*$I190/12*2,IF($J190=3,-$E190*$I190/12*1,0)))))+IF(CA$5&lt;&gt;$H190,0,IF(CA190&lt;0,IF($J190=1,-$E190*$I190/12*0,IF($J190=2,-$E190*$I190/12*1,IF($J190=3,-$E190*$I190/12*2,IF($J190&gt;=4,-$E190*$I190/12*3,0))))))</f>
        <v>0</v>
      </c>
      <c r="CC190" s="87">
        <f>IF($H190&lt;&gt;CF$5,0,IF(CF190&lt;0,IF(OR($J190=1,$J190=2,$J190=3,$J190=4),-$E190*$I190/12*3,IF($J190=5,-$E190*$I190/12*2,IF($J190=6,-$E190*$I190/12*1,0)))))+IF(CA$5&lt;&gt;$H190,0,IF(CA190&lt;0,IF($J190=4,-$E190*$I190/12*0,IF($J190=5,-$E190*$I190/12*1,IF($J190=6,-$E190*$I190/12*2,IF($J190&gt;=7,-$E190*$I190/12*3,0))))))</f>
        <v>0</v>
      </c>
      <c r="CD190" s="87">
        <f>IF($H190&lt;&gt;CF$5,0,IF(CF190&lt;0,IF(OR($J190=1,$J190=2,$J190=3,$J190=4,$J190=5,$J190=6,$J190=7),-$E190*$I190/12*3,IF($J190=8,-$E190*$I190/12*2,IF($J190=9,-$E190*$I190/12*1,0)))))+IF(CA$5&lt;&gt;$H190,0,IF(CA190&lt;0,IF($J190=7,-$E190*$I190/12*0,IF($J190=8,-$E190*$I190/12*1,IF($J190=9,-$E190*$I190/12*2,IF($J190&gt;=10,-$E190*$I190/12*3,0))))))</f>
        <v>0</v>
      </c>
      <c r="CE190" s="88">
        <f>IF($H190&lt;&gt;CF$5,0,IF(CF190&lt;0,IF(OR($J190=1,$J190=2,$J190=3,$J190=4,$J190=5,$J190=6,$J190=7,$J190=8,$J190=9,$J190=10),-$E190*$I190/12*3,IF($J190=11,-$E190*$I190/12*2,IF($J190=12,-$E190*$I190/12*1,0)))))+IF(CA$5&lt;&gt;$H190,0,IF(CA190&lt;0,IF($J190=10,-$E190*$I190/12*0,IF($J190=11,-$E190*$I190/12*1,IF($J190=12,-$E190*$I190/12*2,0)))))</f>
        <v>0</v>
      </c>
      <c r="CF190" s="85">
        <f>IF(AND(CA190&lt;&gt;0,CA$5=$H190),-$I190*$E190-CA190,IF(CF$5=$H190,-$I190*$E190*(12-$J190+1)/12,0))</f>
        <v>0</v>
      </c>
      <c r="CG190" s="86">
        <f t="shared" ref="CG190" si="2949">IF($H190&lt;&gt;CK$5,0,IF(CK190&lt;0,IF($J190=1,-$E190*$I190/12*3,IF($J190=2,-$E190*$I190/12*2,IF($J190=3,-$E190*$I190/12*1,0)))))+IF(CF$5&lt;&gt;$H190,0,IF(CF190&lt;0,IF($J190=1,-$E190*$I190/12*0,IF($J190=2,-$E190*$I190/12*1,IF($J190=3,-$E190*$I190/12*2,IF($J190&gt;=4,-$E190*$I190/12*3,0))))))</f>
        <v>0</v>
      </c>
      <c r="CH190" s="87">
        <f>IF($H190&lt;&gt;CK$5,0,IF(CK190&lt;0,IF(OR($J190=1,$J190=2,$J190=3,$J190=4),-$E190*$I190/12*3,IF($J190=5,-$E190*$I190/12*2,IF($J190=6,-$E190*$I190/12*1,0)))))+IF(CF$5&lt;&gt;$H190,0,IF(CF190&lt;0,IF($J190=4,-$E190*$I190/12*0,IF($J190=5,-$E190*$I190/12*1,IF($J190=6,-$E190*$I190/12*2,IF($J190&gt;=7,-$E190*$I190/12*3,0))))))</f>
        <v>0</v>
      </c>
      <c r="CI190" s="87">
        <f>IF($H190&lt;&gt;CK$5,0,IF(CK190&lt;0,IF(OR($J190=1,$J190=2,$J190=3,$J190=4,$J190=5,$J190=6,$J190=7),-$E190*$I190/12*3,IF($J190=8,-$E190*$I190/12*2,IF($J190=9,-$E190*$I190/12*1,0)))))+IF(CF$5&lt;&gt;$H190,0,IF(CF190&lt;0,IF($J190=7,-$E190*$I190/12*0,IF($J190=8,-$E190*$I190/12*1,IF($J190=9,-$E190*$I190/12*2,IF($J190&gt;=10,-$E190*$I190/12*3,0))))))</f>
        <v>0</v>
      </c>
      <c r="CJ190" s="88">
        <f>IF($H190&lt;&gt;CK$5,0,IF(CK190&lt;0,IF(OR($J190=1,$J190=2,$J190=3,$J190=4,$J190=5,$J190=6,$J190=7,$J190=8,$J190=9,$J190=10),-$E190*$I190/12*3,IF($J190=11,-$E190*$I190/12*2,IF($J190=12,-$E190*$I190/12*1,0)))))+IF(CF$5&lt;&gt;$H190,0,IF(CF190&lt;0,IF($J190=10,-$E190*$I190/12*0,IF($J190=11,-$E190*$I190/12*1,IF($J190=12,-$E190*$I190/12*2,0)))))</f>
        <v>0</v>
      </c>
      <c r="CK190" s="85">
        <f>IF(AND(CF190&lt;&gt;0,CF$5=$H190),-$I190*$E190-CF190,IF(CK$5=$H190,-$I190*$E190*(12-$J190+1)/12,0))</f>
        <v>0</v>
      </c>
      <c r="CL190" s="86">
        <f t="shared" ref="CL190" si="2950">IF($H190&lt;&gt;CP$5,0,IF(CP190&lt;0,IF($J190=1,-$E190*$I190/12*3,IF($J190=2,-$E190*$I190/12*2,IF($J190=3,-$E190*$I190/12*1,0)))))+IF(CK$5&lt;&gt;$H190,0,IF(CK190&lt;0,IF($J190=1,-$E190*$I190/12*0,IF($J190=2,-$E190*$I190/12*1,IF($J190=3,-$E190*$I190/12*2,IF($J190&gt;=4,-$E190*$I190/12*3,0))))))</f>
        <v>0</v>
      </c>
      <c r="CM190" s="87">
        <f>IF($H190&lt;&gt;CP$5,0,IF(CP190&lt;0,IF(OR($J190=1,$J190=2,$J190=3,$J190=4),-$E190*$I190/12*3,IF($J190=5,-$E190*$I190/12*2,IF($J190=6,-$E190*$I190/12*1,0)))))+IF(CK$5&lt;&gt;$H190,0,IF(CK190&lt;0,IF($J190=4,-$E190*$I190/12*0,IF($J190=5,-$E190*$I190/12*1,IF($J190=6,-$E190*$I190/12*2,IF($J190&gt;=7,-$E190*$I190/12*3,0))))))</f>
        <v>0</v>
      </c>
      <c r="CN190" s="87">
        <f>IF($H190&lt;&gt;CP$5,0,IF(CP190&lt;0,IF(OR($J190=1,$J190=2,$J190=3,$J190=4,$J190=5,$J190=6,$J190=7),-$E190*$I190/12*3,IF($J190=8,-$E190*$I190/12*2,IF($J190=9,-$E190*$I190/12*1,0)))))+IF(CK$5&lt;&gt;$H190,0,IF(CK190&lt;0,IF($J190=7,-$E190*$I190/12*0,IF($J190=8,-$E190*$I190/12*1,IF($J190=9,-$E190*$I190/12*2,IF($J190&gt;=10,-$E190*$I190/12*3,0))))))</f>
        <v>0</v>
      </c>
      <c r="CO190" s="88">
        <f>IF($H190&lt;&gt;CP$5,0,IF(CP190&lt;0,IF(OR($J190=1,$J190=2,$J190=3,$J190=4,$J190=5,$J190=6,$J190=7,$J190=8,$J190=9,$J190=10),-$E190*$I190/12*3,IF($J190=11,-$E190*$I190/12*2,IF($J190=12,-$E190*$I190/12*1,0)))))+IF(CK$5&lt;&gt;$H190,0,IF(CK190&lt;0,IF($J190=10,-$E190*$I190/12*0,IF($J190=11,-$E190*$I190/12*1,IF($J190=12,-$E190*$I190/12*2,0)))))</f>
        <v>0</v>
      </c>
      <c r="CP190" s="85">
        <f>IF(AND(CK190&lt;&gt;0,CK$5=$H190),-$I190*$E190-CK190,IF(CP$5=$H190,-$I190*$E190*(12-$J190+1)/12,0))</f>
        <v>0</v>
      </c>
      <c r="CQ190" s="86">
        <f t="shared" ref="CQ190" si="2951">IF($H190&lt;&gt;CU$5,0,IF(CU190&lt;0,IF($J190=1,-$E190*$I190/12*3,IF($J190=2,-$E190*$I190/12*2,IF($J190=3,-$E190*$I190/12*1,0)))))+IF(CP$5&lt;&gt;$H190,0,IF(CP190&lt;0,IF($J190=1,-$E190*$I190/12*0,IF($J190=2,-$E190*$I190/12*1,IF($J190=3,-$E190*$I190/12*2,IF($J190&gt;=4,-$E190*$I190/12*3,0))))))</f>
        <v>0</v>
      </c>
      <c r="CR190" s="87">
        <f>IF($H190&lt;&gt;CU$5,0,IF(CU190&lt;0,IF(OR($J190=1,$J190=2,$J190=3,$J190=4),-$E190*$I190/12*3,IF($J190=5,-$E190*$I190/12*2,IF($J190=6,-$E190*$I190/12*1,0)))))+IF(CP$5&lt;&gt;$H190,0,IF(CP190&lt;0,IF($J190=4,-$E190*$I190/12*0,IF($J190=5,-$E190*$I190/12*1,IF($J190=6,-$E190*$I190/12*2,IF($J190&gt;=7,-$E190*$I190/12*3,0))))))</f>
        <v>0</v>
      </c>
      <c r="CS190" s="87">
        <f>IF($H190&lt;&gt;CU$5,0,IF(CU190&lt;0,IF(OR($J190=1,$J190=2,$J190=3,$J190=4,$J190=5,$J190=6,$J190=7),-$E190*$I190/12*3,IF($J190=8,-$E190*$I190/12*2,IF($J190=9,-$E190*$I190/12*1,0)))))+IF(CP$5&lt;&gt;$H190,0,IF(CP190&lt;0,IF($J190=7,-$E190*$I190/12*0,IF($J190=8,-$E190*$I190/12*1,IF($J190=9,-$E190*$I190/12*2,IF($J190&gt;=10,-$E190*$I190/12*3,0))))))</f>
        <v>0</v>
      </c>
      <c r="CT190" s="88">
        <f>IF($H190&lt;&gt;CU$5,0,IF(CU190&lt;0,IF(OR($J190=1,$J190=2,$J190=3,$J190=4,$J190=5,$J190=6,$J190=7,$J190=8,$J190=9,$J190=10),-$E190*$I190/12*3,IF($J190=11,-$E190*$I190/12*2,IF($J190=12,-$E190*$I190/12*1,0)))))+IF(CP$5&lt;&gt;$H190,0,IF(CP190&lt;0,IF($J190=10,-$E190*$I190/12*0,IF($J190=11,-$E190*$I190/12*1,IF($J190=12,-$E190*$I190/12*2,0)))))</f>
        <v>0</v>
      </c>
      <c r="CU190" s="85">
        <f>IF(AND(CP190&lt;&gt;0,CP$5=$H190),-$I190*$E190-CP190,IF(CU$5=$H190,-$I190*$E190*(12-$J190+1)/12,0))</f>
        <v>0</v>
      </c>
      <c r="CV190" s="86">
        <f t="shared" ref="CV190" si="2952">IF($H190&lt;&gt;CZ$5,0,IF(CZ190&lt;0,IF($J190=1,-$E190*$I190/12*3,IF($J190=2,-$E190*$I190/12*2,IF($J190=3,-$E190*$I190/12*1,0)))))+IF(CU$5&lt;&gt;$H190,0,IF(CU190&lt;0,IF($J190=1,-$E190*$I190/12*0,IF($J190=2,-$E190*$I190/12*1,IF($J190=3,-$E190*$I190/12*2,IF($J190&gt;=4,-$E190*$I190/12*3,0))))))</f>
        <v>0</v>
      </c>
      <c r="CW190" s="87">
        <f>IF($H190&lt;&gt;CZ$5,0,IF(CZ190&lt;0,IF(OR($J190=1,$J190=2,$J190=3,$J190=4),-$E190*$I190/12*3,IF($J190=5,-$E190*$I190/12*2,IF($J190=6,-$E190*$I190/12*1,0)))))+IF(CU$5&lt;&gt;$H190,0,IF(CU190&lt;0,IF($J190=4,-$E190*$I190/12*0,IF($J190=5,-$E190*$I190/12*1,IF($J190=6,-$E190*$I190/12*2,IF($J190&gt;=7,-$E190*$I190/12*3,0))))))</f>
        <v>0</v>
      </c>
      <c r="CX190" s="87">
        <f>IF($H190&lt;&gt;CZ$5,0,IF(CZ190&lt;0,IF(OR($J190=1,$J190=2,$J190=3,$J190=4,$J190=5,$J190=6,$J190=7),-$E190*$I190/12*3,IF($J190=8,-$E190*$I190/12*2,IF($J190=9,-$E190*$I190/12*1,0)))))+IF(CU$5&lt;&gt;$H190,0,IF(CU190&lt;0,IF($J190=7,-$E190*$I190/12*0,IF($J190=8,-$E190*$I190/12*1,IF($J190=9,-$E190*$I190/12*2,IF($J190&gt;=10,-$E190*$I190/12*3,0))))))</f>
        <v>0</v>
      </c>
      <c r="CY190" s="88">
        <f>IF($H190&lt;&gt;CZ$5,0,IF(CZ190&lt;0,IF(OR($J190=1,$J190=2,$J190=3,$J190=4,$J190=5,$J190=6,$J190=7,$J190=8,$J190=9,$J190=10),-$E190*$I190/12*3,IF($J190=11,-$E190*$I190/12*2,IF($J190=12,-$E190*$I190/12*1,0)))))+IF(CU$5&lt;&gt;$H190,0,IF(CU190&lt;0,IF($J190=10,-$E190*$I190/12*0,IF($J190=11,-$E190*$I190/12*1,IF($J190=12,-$E190*$I190/12*2,0)))))</f>
        <v>0</v>
      </c>
      <c r="CZ190" s="85">
        <f>IF(AND(CU190&lt;&gt;0,CU$5=$H190),-$I190*$E190-CU190,IF(CZ$5=$H190,-$I190*$E190*(12-$J190+1)/12,0))</f>
        <v>0</v>
      </c>
    </row>
    <row r="191" spans="1:104" ht="12.75" customHeight="1">
      <c r="A191" s="4"/>
      <c r="B191" s="4"/>
      <c r="D191" s="157"/>
      <c r="E191" s="147"/>
      <c r="F191" s="148"/>
      <c r="G191" s="148"/>
      <c r="H191" s="1334"/>
      <c r="I191" s="2125"/>
      <c r="J191" s="1334"/>
      <c r="K191" s="80"/>
      <c r="L191" s="98"/>
      <c r="M191" s="99"/>
      <c r="N191" s="100"/>
      <c r="O191" s="100"/>
      <c r="P191" s="101"/>
      <c r="Q191" s="98"/>
      <c r="R191" s="99"/>
      <c r="S191" s="100"/>
      <c r="T191" s="100"/>
      <c r="U191" s="101"/>
      <c r="V191" s="98"/>
      <c r="W191" s="99"/>
      <c r="X191" s="100"/>
      <c r="Y191" s="100"/>
      <c r="Z191" s="101"/>
      <c r="AA191" s="98"/>
      <c r="AB191" s="99"/>
      <c r="AC191" s="100"/>
      <c r="AD191" s="100"/>
      <c r="AE191" s="101"/>
      <c r="AF191" s="98"/>
      <c r="AG191" s="99"/>
      <c r="AH191" s="100"/>
      <c r="AI191" s="100"/>
      <c r="AJ191" s="101"/>
      <c r="AK191" s="98"/>
      <c r="AL191" s="99"/>
      <c r="AM191" s="100"/>
      <c r="AN191" s="100"/>
      <c r="AO191" s="101"/>
      <c r="AP191" s="98"/>
      <c r="AQ191" s="99"/>
      <c r="AR191" s="100"/>
      <c r="AS191" s="100"/>
      <c r="AT191" s="101"/>
      <c r="AU191" s="98"/>
      <c r="AV191" s="99"/>
      <c r="AW191" s="100"/>
      <c r="AX191" s="100"/>
      <c r="AY191" s="101"/>
      <c r="AZ191" s="98"/>
      <c r="BA191" s="99"/>
      <c r="BB191" s="100"/>
      <c r="BC191" s="100"/>
      <c r="BD191" s="101"/>
      <c r="BE191" s="98"/>
      <c r="BF191" s="1878"/>
      <c r="BG191" s="2006"/>
      <c r="BH191" s="103"/>
      <c r="BI191" s="104"/>
      <c r="BJ191" s="104"/>
      <c r="BK191" s="105"/>
      <c r="BL191" s="102"/>
      <c r="BM191" s="103"/>
      <c r="BN191" s="104"/>
      <c r="BO191" s="104"/>
      <c r="BP191" s="105"/>
      <c r="BQ191" s="102"/>
      <c r="BR191" s="103"/>
      <c r="BS191" s="104"/>
      <c r="BT191" s="104"/>
      <c r="BU191" s="105"/>
      <c r="BV191" s="102"/>
      <c r="BW191" s="103"/>
      <c r="BX191" s="104"/>
      <c r="BY191" s="104"/>
      <c r="BZ191" s="105"/>
      <c r="CA191" s="102"/>
      <c r="CB191" s="103"/>
      <c r="CC191" s="104"/>
      <c r="CD191" s="104"/>
      <c r="CE191" s="105"/>
      <c r="CF191" s="102"/>
      <c r="CG191" s="103"/>
      <c r="CH191" s="104"/>
      <c r="CI191" s="104"/>
      <c r="CJ191" s="105"/>
      <c r="CK191" s="102"/>
      <c r="CL191" s="103"/>
      <c r="CM191" s="104"/>
      <c r="CN191" s="104"/>
      <c r="CO191" s="105"/>
      <c r="CP191" s="102"/>
      <c r="CQ191" s="103"/>
      <c r="CR191" s="104"/>
      <c r="CS191" s="104"/>
      <c r="CT191" s="105"/>
      <c r="CU191" s="102"/>
      <c r="CV191" s="103"/>
      <c r="CW191" s="104"/>
      <c r="CX191" s="104"/>
      <c r="CY191" s="105"/>
      <c r="CZ191" s="102"/>
    </row>
    <row r="192" spans="1:104" ht="12.75" customHeight="1">
      <c r="A192" s="156"/>
      <c r="B192" s="156"/>
      <c r="C192" s="417" t="s">
        <v>399</v>
      </c>
      <c r="D192" s="417"/>
      <c r="E192" s="424">
        <f>SUM(E182:E191)</f>
        <v>2850</v>
      </c>
      <c r="F192" s="425">
        <f>SUM(F182:F191)</f>
        <v>2600</v>
      </c>
      <c r="G192" s="425">
        <f>SUM(G182:G191)</f>
        <v>2550</v>
      </c>
      <c r="H192" s="420"/>
      <c r="I192" s="1078"/>
      <c r="J192" s="395"/>
      <c r="K192" s="423"/>
      <c r="L192" s="111">
        <f t="shared" ref="L192:BE192" si="2953">SUM(L182:L191)</f>
        <v>0</v>
      </c>
      <c r="M192" s="112">
        <f t="shared" si="2953"/>
        <v>0</v>
      </c>
      <c r="N192" s="113">
        <f t="shared" si="2953"/>
        <v>0</v>
      </c>
      <c r="O192" s="113">
        <f t="shared" si="2953"/>
        <v>0</v>
      </c>
      <c r="P192" s="114">
        <f t="shared" si="2953"/>
        <v>0</v>
      </c>
      <c r="Q192" s="111">
        <f t="shared" si="2953"/>
        <v>0</v>
      </c>
      <c r="R192" s="112">
        <f t="shared" si="2953"/>
        <v>0</v>
      </c>
      <c r="S192" s="113">
        <f t="shared" si="2953"/>
        <v>0</v>
      </c>
      <c r="T192" s="113">
        <f t="shared" si="2953"/>
        <v>0</v>
      </c>
      <c r="U192" s="114">
        <f t="shared" si="2953"/>
        <v>0</v>
      </c>
      <c r="V192" s="111">
        <f t="shared" si="2953"/>
        <v>0</v>
      </c>
      <c r="W192" s="112">
        <f t="shared" si="2953"/>
        <v>0</v>
      </c>
      <c r="X192" s="113">
        <f t="shared" si="2953"/>
        <v>0</v>
      </c>
      <c r="Y192" s="113">
        <f t="shared" si="2953"/>
        <v>0</v>
      </c>
      <c r="Z192" s="114">
        <f t="shared" si="2953"/>
        <v>0</v>
      </c>
      <c r="AA192" s="111">
        <f t="shared" si="2953"/>
        <v>0</v>
      </c>
      <c r="AB192" s="112">
        <f t="shared" si="2953"/>
        <v>0</v>
      </c>
      <c r="AC192" s="113">
        <f t="shared" si="2953"/>
        <v>0</v>
      </c>
      <c r="AD192" s="113">
        <f t="shared" si="2953"/>
        <v>0</v>
      </c>
      <c r="AE192" s="114">
        <f t="shared" si="2953"/>
        <v>0</v>
      </c>
      <c r="AF192" s="111">
        <f t="shared" si="2953"/>
        <v>0</v>
      </c>
      <c r="AG192" s="112">
        <f t="shared" si="2953"/>
        <v>0</v>
      </c>
      <c r="AH192" s="113">
        <f t="shared" si="2953"/>
        <v>0</v>
      </c>
      <c r="AI192" s="113">
        <f t="shared" si="2953"/>
        <v>-250</v>
      </c>
      <c r="AJ192" s="114">
        <f t="shared" si="2953"/>
        <v>0</v>
      </c>
      <c r="AK192" s="111">
        <f t="shared" si="2953"/>
        <v>-250</v>
      </c>
      <c r="AL192" s="112">
        <f t="shared" si="2953"/>
        <v>0</v>
      </c>
      <c r="AM192" s="113">
        <f t="shared" si="2953"/>
        <v>0</v>
      </c>
      <c r="AN192" s="113">
        <f t="shared" si="2953"/>
        <v>0</v>
      </c>
      <c r="AO192" s="114">
        <f t="shared" si="2953"/>
        <v>0</v>
      </c>
      <c r="AP192" s="111">
        <f t="shared" si="2953"/>
        <v>0</v>
      </c>
      <c r="AQ192" s="112">
        <f t="shared" si="2953"/>
        <v>0</v>
      </c>
      <c r="AR192" s="113">
        <f t="shared" si="2953"/>
        <v>0</v>
      </c>
      <c r="AS192" s="113">
        <f t="shared" si="2953"/>
        <v>0</v>
      </c>
      <c r="AT192" s="114">
        <f t="shared" si="2953"/>
        <v>0</v>
      </c>
      <c r="AU192" s="111">
        <f t="shared" si="2953"/>
        <v>0</v>
      </c>
      <c r="AV192" s="112">
        <f t="shared" si="2953"/>
        <v>0</v>
      </c>
      <c r="AW192" s="113">
        <f t="shared" si="2953"/>
        <v>0</v>
      </c>
      <c r="AX192" s="113">
        <f t="shared" si="2953"/>
        <v>0</v>
      </c>
      <c r="AY192" s="114">
        <f t="shared" si="2953"/>
        <v>0</v>
      </c>
      <c r="AZ192" s="111">
        <f t="shared" si="2953"/>
        <v>0</v>
      </c>
      <c r="BA192" s="112">
        <f t="shared" si="2953"/>
        <v>0</v>
      </c>
      <c r="BB192" s="113">
        <f t="shared" si="2953"/>
        <v>0</v>
      </c>
      <c r="BC192" s="113">
        <f t="shared" si="2953"/>
        <v>0</v>
      </c>
      <c r="BD192" s="114">
        <f t="shared" si="2953"/>
        <v>-300</v>
      </c>
      <c r="BE192" s="111">
        <f t="shared" si="2953"/>
        <v>-300</v>
      </c>
      <c r="BF192" s="1880"/>
      <c r="BG192" s="2007">
        <f t="shared" ref="BG192:CZ192" si="2954">SUM(BG182:BG191)</f>
        <v>0</v>
      </c>
      <c r="BH192" s="116">
        <f t="shared" si="2954"/>
        <v>0</v>
      </c>
      <c r="BI192" s="117">
        <f t="shared" si="2954"/>
        <v>0</v>
      </c>
      <c r="BJ192" s="117">
        <f t="shared" si="2954"/>
        <v>0</v>
      </c>
      <c r="BK192" s="118">
        <f t="shared" si="2954"/>
        <v>0</v>
      </c>
      <c r="BL192" s="115">
        <f t="shared" si="2954"/>
        <v>0</v>
      </c>
      <c r="BM192" s="116">
        <f t="shared" si="2954"/>
        <v>0</v>
      </c>
      <c r="BN192" s="117">
        <f t="shared" si="2954"/>
        <v>0</v>
      </c>
      <c r="BO192" s="117">
        <f t="shared" si="2954"/>
        <v>0</v>
      </c>
      <c r="BP192" s="118">
        <f t="shared" si="2954"/>
        <v>0</v>
      </c>
      <c r="BQ192" s="115">
        <f t="shared" si="2954"/>
        <v>0</v>
      </c>
      <c r="BR192" s="116">
        <f t="shared" si="2954"/>
        <v>0</v>
      </c>
      <c r="BS192" s="117">
        <f t="shared" si="2954"/>
        <v>0</v>
      </c>
      <c r="BT192" s="117">
        <f t="shared" si="2954"/>
        <v>0</v>
      </c>
      <c r="BU192" s="118">
        <f t="shared" si="2954"/>
        <v>0</v>
      </c>
      <c r="BV192" s="115">
        <f t="shared" si="2954"/>
        <v>0</v>
      </c>
      <c r="BW192" s="116">
        <f t="shared" si="2954"/>
        <v>0</v>
      </c>
      <c r="BX192" s="117">
        <f t="shared" si="2954"/>
        <v>0</v>
      </c>
      <c r="BY192" s="117">
        <f t="shared" si="2954"/>
        <v>0</v>
      </c>
      <c r="BZ192" s="118">
        <f t="shared" si="2954"/>
        <v>0</v>
      </c>
      <c r="CA192" s="115">
        <f t="shared" si="2954"/>
        <v>0</v>
      </c>
      <c r="CB192" s="116">
        <f t="shared" si="2954"/>
        <v>0</v>
      </c>
      <c r="CC192" s="117">
        <f t="shared" si="2954"/>
        <v>0</v>
      </c>
      <c r="CD192" s="117">
        <f t="shared" si="2954"/>
        <v>-2.5833333333333335</v>
      </c>
      <c r="CE192" s="118">
        <f t="shared" si="2954"/>
        <v>-3.875</v>
      </c>
      <c r="CF192" s="115">
        <f t="shared" si="2954"/>
        <v>-6.458333333333333</v>
      </c>
      <c r="CG192" s="116">
        <f t="shared" si="2954"/>
        <v>-3.875</v>
      </c>
      <c r="CH192" s="117">
        <f t="shared" si="2954"/>
        <v>-3.875</v>
      </c>
      <c r="CI192" s="117">
        <f t="shared" si="2954"/>
        <v>-1.2916666666666667</v>
      </c>
      <c r="CJ192" s="118">
        <f t="shared" si="2954"/>
        <v>0</v>
      </c>
      <c r="CK192" s="115">
        <f t="shared" si="2954"/>
        <v>-9.0416666666666679</v>
      </c>
      <c r="CL192" s="116">
        <f t="shared" si="2954"/>
        <v>0</v>
      </c>
      <c r="CM192" s="117">
        <f t="shared" si="2954"/>
        <v>0</v>
      </c>
      <c r="CN192" s="117">
        <f t="shared" si="2954"/>
        <v>0</v>
      </c>
      <c r="CO192" s="118">
        <f t="shared" si="2954"/>
        <v>0</v>
      </c>
      <c r="CP192" s="115">
        <f t="shared" si="2954"/>
        <v>0</v>
      </c>
      <c r="CQ192" s="116">
        <f t="shared" si="2954"/>
        <v>0</v>
      </c>
      <c r="CR192" s="117">
        <f t="shared" si="2954"/>
        <v>0</v>
      </c>
      <c r="CS192" s="117">
        <f t="shared" si="2954"/>
        <v>0</v>
      </c>
      <c r="CT192" s="118">
        <f t="shared" si="2954"/>
        <v>0</v>
      </c>
      <c r="CU192" s="115">
        <f t="shared" si="2954"/>
        <v>0</v>
      </c>
      <c r="CV192" s="116">
        <f t="shared" si="2954"/>
        <v>0</v>
      </c>
      <c r="CW192" s="117">
        <f t="shared" si="2954"/>
        <v>0</v>
      </c>
      <c r="CX192" s="117">
        <f t="shared" si="2954"/>
        <v>0</v>
      </c>
      <c r="CY192" s="118">
        <f t="shared" si="2954"/>
        <v>-1.7500000000000002</v>
      </c>
      <c r="CZ192" s="115">
        <f t="shared" si="2954"/>
        <v>-1.7500000000000002</v>
      </c>
    </row>
    <row r="193" spans="1:104" ht="12.75" customHeight="1">
      <c r="A193" s="4"/>
      <c r="B193" s="4"/>
      <c r="C193" s="157"/>
      <c r="D193" s="157"/>
      <c r="E193" s="147"/>
      <c r="F193" s="165"/>
      <c r="G193" s="165"/>
      <c r="H193" s="166"/>
      <c r="I193" s="192"/>
      <c r="J193" s="167" t="s">
        <v>68</v>
      </c>
      <c r="K193" s="80"/>
      <c r="L193" s="81"/>
      <c r="M193" s="82"/>
      <c r="N193" s="83"/>
      <c r="O193" s="83"/>
      <c r="P193" s="84"/>
      <c r="Q193" s="81"/>
      <c r="R193" s="82"/>
      <c r="S193" s="83"/>
      <c r="T193" s="83"/>
      <c r="U193" s="84"/>
      <c r="V193" s="81"/>
      <c r="W193" s="82"/>
      <c r="X193" s="83"/>
      <c r="Y193" s="83"/>
      <c r="Z193" s="84"/>
      <c r="AA193" s="81"/>
      <c r="AB193" s="82"/>
      <c r="AC193" s="83"/>
      <c r="AD193" s="83"/>
      <c r="AE193" s="84"/>
      <c r="AF193" s="81"/>
      <c r="AG193" s="82"/>
      <c r="AH193" s="83"/>
      <c r="AI193" s="83"/>
      <c r="AJ193" s="84"/>
      <c r="AK193" s="81"/>
      <c r="AL193" s="82"/>
      <c r="AM193" s="83"/>
      <c r="AN193" s="83"/>
      <c r="AO193" s="84"/>
      <c r="AP193" s="81"/>
      <c r="AQ193" s="82"/>
      <c r="AR193" s="83"/>
      <c r="AS193" s="83"/>
      <c r="AT193" s="84"/>
      <c r="AU193" s="81"/>
      <c r="AV193" s="82"/>
      <c r="AW193" s="83"/>
      <c r="AX193" s="83"/>
      <c r="AY193" s="84"/>
      <c r="AZ193" s="81"/>
      <c r="BA193" s="82"/>
      <c r="BB193" s="83"/>
      <c r="BC193" s="83"/>
      <c r="BD193" s="84"/>
      <c r="BE193" s="81"/>
      <c r="BF193" s="1877"/>
      <c r="BG193" s="2005"/>
      <c r="BH193" s="86"/>
      <c r="BI193" s="87"/>
      <c r="BJ193" s="87"/>
      <c r="BK193" s="88"/>
      <c r="BL193" s="85"/>
      <c r="BM193" s="86"/>
      <c r="BN193" s="87"/>
      <c r="BO193" s="87"/>
      <c r="BP193" s="88"/>
      <c r="BQ193" s="85"/>
      <c r="BR193" s="86"/>
      <c r="BS193" s="87"/>
      <c r="BT193" s="87"/>
      <c r="BU193" s="88"/>
      <c r="BV193" s="85"/>
      <c r="BW193" s="86"/>
      <c r="BX193" s="87"/>
      <c r="BY193" s="87"/>
      <c r="BZ193" s="88"/>
      <c r="CA193" s="85"/>
      <c r="CB193" s="86"/>
      <c r="CC193" s="87"/>
      <c r="CD193" s="87"/>
      <c r="CE193" s="88"/>
      <c r="CF193" s="85"/>
      <c r="CG193" s="86"/>
      <c r="CH193" s="87"/>
      <c r="CI193" s="87"/>
      <c r="CJ193" s="88"/>
      <c r="CK193" s="85"/>
      <c r="CL193" s="86"/>
      <c r="CM193" s="87"/>
      <c r="CN193" s="87"/>
      <c r="CO193" s="88"/>
      <c r="CP193" s="85"/>
      <c r="CQ193" s="86"/>
      <c r="CR193" s="87"/>
      <c r="CS193" s="87"/>
      <c r="CT193" s="88"/>
      <c r="CU193" s="85"/>
      <c r="CV193" s="86"/>
      <c r="CW193" s="87"/>
      <c r="CX193" s="87"/>
      <c r="CY193" s="88"/>
      <c r="CZ193" s="85"/>
    </row>
    <row r="194" spans="1:104" ht="12.75" customHeight="1">
      <c r="A194" s="4"/>
      <c r="B194" s="4"/>
      <c r="C194" s="193" t="s">
        <v>530</v>
      </c>
      <c r="D194" s="168"/>
      <c r="E194" s="75"/>
      <c r="F194" s="1998"/>
      <c r="G194" s="1998"/>
      <c r="H194" s="77"/>
      <c r="I194" s="78"/>
      <c r="J194" s="79"/>
      <c r="K194" s="80"/>
      <c r="L194" s="81"/>
      <c r="M194" s="82"/>
      <c r="N194" s="83"/>
      <c r="O194" s="83"/>
      <c r="P194" s="84"/>
      <c r="Q194" s="81"/>
      <c r="R194" s="82"/>
      <c r="S194" s="83"/>
      <c r="T194" s="83"/>
      <c r="U194" s="84"/>
      <c r="V194" s="81"/>
      <c r="W194" s="82"/>
      <c r="X194" s="83"/>
      <c r="Y194" s="83"/>
      <c r="Z194" s="84"/>
      <c r="AA194" s="81"/>
      <c r="AB194" s="82"/>
      <c r="AC194" s="83"/>
      <c r="AD194" s="83"/>
      <c r="AE194" s="84"/>
      <c r="AF194" s="81"/>
      <c r="AG194" s="82"/>
      <c r="AH194" s="83"/>
      <c r="AI194" s="83"/>
      <c r="AJ194" s="84"/>
      <c r="AK194" s="81"/>
      <c r="AL194" s="82"/>
      <c r="AM194" s="83"/>
      <c r="AN194" s="83"/>
      <c r="AO194" s="84"/>
      <c r="AP194" s="81"/>
      <c r="AQ194" s="82"/>
      <c r="AR194" s="83"/>
      <c r="AS194" s="83"/>
      <c r="AT194" s="84"/>
      <c r="AU194" s="81"/>
      <c r="AV194" s="82"/>
      <c r="AW194" s="83"/>
      <c r="AX194" s="83"/>
      <c r="AY194" s="84"/>
      <c r="AZ194" s="81"/>
      <c r="BA194" s="82"/>
      <c r="BB194" s="83"/>
      <c r="BC194" s="83"/>
      <c r="BD194" s="84"/>
      <c r="BE194" s="81"/>
      <c r="BF194" s="1884"/>
      <c r="BG194" s="2005"/>
      <c r="BH194" s="86"/>
      <c r="BI194" s="87"/>
      <c r="BJ194" s="87"/>
      <c r="BK194" s="88"/>
      <c r="BL194" s="85"/>
      <c r="BM194" s="86"/>
      <c r="BN194" s="87"/>
      <c r="BO194" s="87"/>
      <c r="BP194" s="88"/>
      <c r="BQ194" s="85"/>
      <c r="BR194" s="86"/>
      <c r="BS194" s="87"/>
      <c r="BT194" s="87"/>
      <c r="BU194" s="88"/>
      <c r="BV194" s="85"/>
      <c r="BW194" s="86"/>
      <c r="BX194" s="87"/>
      <c r="BY194" s="87"/>
      <c r="BZ194" s="88"/>
      <c r="CA194" s="85"/>
      <c r="CB194" s="86"/>
      <c r="CC194" s="87"/>
      <c r="CD194" s="87"/>
      <c r="CE194" s="88"/>
      <c r="CF194" s="85"/>
      <c r="CG194" s="86"/>
      <c r="CH194" s="87"/>
      <c r="CI194" s="87"/>
      <c r="CJ194" s="88"/>
      <c r="CK194" s="85"/>
      <c r="CL194" s="86"/>
      <c r="CM194" s="87"/>
      <c r="CN194" s="87"/>
      <c r="CO194" s="88"/>
      <c r="CP194" s="85"/>
      <c r="CQ194" s="86"/>
      <c r="CR194" s="87"/>
      <c r="CS194" s="87"/>
      <c r="CT194" s="88"/>
      <c r="CU194" s="85"/>
      <c r="CV194" s="86"/>
      <c r="CW194" s="87"/>
      <c r="CX194" s="87"/>
      <c r="CY194" s="88"/>
      <c r="CZ194" s="85"/>
    </row>
    <row r="195" spans="1:104" ht="12.75" customHeight="1">
      <c r="A195" s="4"/>
      <c r="B195" s="4"/>
      <c r="C195" s="193"/>
      <c r="D195" s="168"/>
      <c r="E195" s="76"/>
      <c r="F195" s="76"/>
      <c r="G195" s="76"/>
      <c r="H195" s="77"/>
      <c r="I195" s="78"/>
      <c r="J195" s="79"/>
      <c r="K195" s="80"/>
      <c r="L195" s="81"/>
      <c r="M195" s="82"/>
      <c r="N195" s="83"/>
      <c r="O195" s="83"/>
      <c r="P195" s="84"/>
      <c r="Q195" s="81"/>
      <c r="R195" s="82"/>
      <c r="S195" s="83"/>
      <c r="T195" s="83"/>
      <c r="U195" s="84"/>
      <c r="V195" s="81"/>
      <c r="W195" s="82"/>
      <c r="X195" s="83"/>
      <c r="Y195" s="83"/>
      <c r="Z195" s="84"/>
      <c r="AA195" s="81"/>
      <c r="AB195" s="82"/>
      <c r="AC195" s="83"/>
      <c r="AD195" s="83"/>
      <c r="AE195" s="84"/>
      <c r="AF195" s="81"/>
      <c r="AG195" s="82"/>
      <c r="AH195" s="83"/>
      <c r="AI195" s="83"/>
      <c r="AJ195" s="84"/>
      <c r="AK195" s="81"/>
      <c r="AL195" s="82"/>
      <c r="AM195" s="83"/>
      <c r="AN195" s="83"/>
      <c r="AO195" s="84"/>
      <c r="AP195" s="81"/>
      <c r="AQ195" s="82"/>
      <c r="AR195" s="83"/>
      <c r="AS195" s="83"/>
      <c r="AT195" s="84"/>
      <c r="AU195" s="81"/>
      <c r="AV195" s="82"/>
      <c r="AW195" s="83"/>
      <c r="AX195" s="83"/>
      <c r="AY195" s="84"/>
      <c r="AZ195" s="81"/>
      <c r="BA195" s="82"/>
      <c r="BB195" s="83"/>
      <c r="BC195" s="83"/>
      <c r="BD195" s="84"/>
      <c r="BE195" s="81"/>
      <c r="BF195" s="1884"/>
      <c r="BG195" s="2005"/>
      <c r="BH195" s="86"/>
      <c r="BI195" s="87"/>
      <c r="BJ195" s="87"/>
      <c r="BK195" s="88"/>
      <c r="BL195" s="85"/>
      <c r="BM195" s="86"/>
      <c r="BN195" s="87"/>
      <c r="BO195" s="87"/>
      <c r="BP195" s="88"/>
      <c r="BQ195" s="85"/>
      <c r="BR195" s="86"/>
      <c r="BS195" s="87"/>
      <c r="BT195" s="87"/>
      <c r="BU195" s="88"/>
      <c r="BV195" s="85"/>
      <c r="BW195" s="86"/>
      <c r="BX195" s="87"/>
      <c r="BY195" s="87"/>
      <c r="BZ195" s="88"/>
      <c r="CA195" s="85"/>
      <c r="CB195" s="86"/>
      <c r="CC195" s="87"/>
      <c r="CD195" s="87"/>
      <c r="CE195" s="88"/>
      <c r="CF195" s="85"/>
      <c r="CG195" s="86"/>
      <c r="CH195" s="87"/>
      <c r="CI195" s="87"/>
      <c r="CJ195" s="88"/>
      <c r="CK195" s="85"/>
      <c r="CL195" s="86"/>
      <c r="CM195" s="87"/>
      <c r="CN195" s="87"/>
      <c r="CO195" s="88"/>
      <c r="CP195" s="85"/>
      <c r="CQ195" s="86"/>
      <c r="CR195" s="87"/>
      <c r="CS195" s="87"/>
      <c r="CT195" s="88"/>
      <c r="CU195" s="85"/>
      <c r="CV195" s="86"/>
      <c r="CW195" s="87"/>
      <c r="CX195" s="87"/>
      <c r="CY195" s="88"/>
      <c r="CZ195" s="85"/>
    </row>
    <row r="196" spans="1:104" ht="12.75" customHeight="1">
      <c r="A196" s="4"/>
      <c r="B196" s="4"/>
      <c r="C196" s="1999" t="s">
        <v>1541</v>
      </c>
      <c r="D196" s="2114"/>
      <c r="E196" s="1511">
        <v>300</v>
      </c>
      <c r="F196" s="1511"/>
      <c r="G196" s="1511"/>
      <c r="H196" s="1334">
        <v>2017</v>
      </c>
      <c r="I196" s="325">
        <v>3.7499999999999999E-2</v>
      </c>
      <c r="J196" s="1334">
        <v>8</v>
      </c>
      <c r="K196" s="80"/>
      <c r="L196" s="81">
        <f t="shared" ref="L196:L200" si="2955">IF(L$5=$H196,$E196,0)</f>
        <v>0</v>
      </c>
      <c r="M196" s="82">
        <f t="shared" ref="M196" si="2956">IF(Q196=0,0,IF(Q196&gt;0,IF($J196=3,Q196,IF($J196=2,Q196,IF($J196=1,Q196,0)))))</f>
        <v>0</v>
      </c>
      <c r="N196" s="83">
        <f t="shared" ref="N196" si="2957">IF(Q196=0,0,IF(Q196&gt;0,IF($J196=6,Q196,IF($J196=5,Q196,IF($J196=4,Q196,0)))))</f>
        <v>0</v>
      </c>
      <c r="O196" s="83">
        <f t="shared" ref="O196" si="2958">IF(Q196=0,0,IF(Q196&gt;0,IF($J196=9,Q196,IF($J196=8,Q196,IF($J196=7,Q196,0)))))</f>
        <v>0</v>
      </c>
      <c r="P196" s="84">
        <f t="shared" ref="P196" si="2959">IF(Q196=0,0,IF(Q196&gt;0,IF($J196=12,Q196,IF($J196=11,Q196,IF($J196=10,Q196,0)))))</f>
        <v>0</v>
      </c>
      <c r="Q196" s="81">
        <f t="shared" ref="Q196:Q200" si="2960">IF(Q$5=$H196,$E196,0)</f>
        <v>0</v>
      </c>
      <c r="R196" s="82">
        <f t="shared" ref="R196" si="2961">IF(V196=0,0,IF(V196&gt;0,IF($J196=3,V196,IF($J196=2,V196,IF($J196=1,V196,0)))))</f>
        <v>0</v>
      </c>
      <c r="S196" s="83">
        <f t="shared" ref="S196" si="2962">IF(V196=0,0,IF(V196&gt;0,IF($J196=6,V196,IF($J196=5,V196,IF($J196=4,V196,0)))))</f>
        <v>0</v>
      </c>
      <c r="T196" s="83">
        <f t="shared" ref="T196" si="2963">IF(V196=0,0,IF(V196&gt;0,IF($J196=9,V196,IF($J196=8,V196,IF($J196=7,V196,0)))))</f>
        <v>0</v>
      </c>
      <c r="U196" s="84">
        <f t="shared" ref="U196" si="2964">IF(V196=0,0,IF(V196&gt;0,IF($J196=12,V196,IF($J196=11,V196,IF($J196=10,V196,0)))))</f>
        <v>0</v>
      </c>
      <c r="V196" s="81">
        <f t="shared" ref="V196:V200" si="2965">IF(V$5=$H196,$E196,0)</f>
        <v>0</v>
      </c>
      <c r="W196" s="82">
        <f t="shared" ref="W196" si="2966">IF(AA196=0,0,IF(AA196&gt;0,IF($J196=3,AA196,IF($J196=2,AA196,IF($J196=1,AA196,0)))))</f>
        <v>0</v>
      </c>
      <c r="X196" s="83">
        <f t="shared" ref="X196" si="2967">IF(AA196=0,0,IF(AA196&gt;0,IF($J196=6,AA196,IF($J196=5,AA196,IF($J196=4,AA196,0)))))</f>
        <v>0</v>
      </c>
      <c r="Y196" s="83">
        <f t="shared" ref="Y196" si="2968">IF(AA196=0,0,IF(AA196&gt;0,IF($J196=9,AA196,IF($J196=8,AA196,IF($J196=7,AA196,0)))))</f>
        <v>0</v>
      </c>
      <c r="Z196" s="84">
        <f t="shared" ref="Z196" si="2969">IF(AA196=0,0,IF(AA196&gt;0,IF($J196=12,AA196,IF($J196=11,AA196,IF($J196=10,AA196,0)))))</f>
        <v>0</v>
      </c>
      <c r="AA196" s="81">
        <f t="shared" ref="AA196:AA200" si="2970">IF(AA$5=$H196,$E196,0)</f>
        <v>0</v>
      </c>
      <c r="AB196" s="82">
        <f t="shared" ref="AB196" si="2971">IF(AF196=0,0,IF(AF196&gt;0,IF($J196=3,AF196,IF($J196=2,AF196,IF($J196=1,AF196,0)))))</f>
        <v>0</v>
      </c>
      <c r="AC196" s="83">
        <f t="shared" ref="AC196" si="2972">IF(AF196=0,0,IF(AF196&gt;0,IF($J196=6,AF196,IF($J196=5,AF196,IF($J196=4,AF196,0)))))</f>
        <v>0</v>
      </c>
      <c r="AD196" s="83">
        <f t="shared" ref="AD196" si="2973">IF(AF196=0,0,IF(AF196&gt;0,IF($J196=9,AF196,IF($J196=8,AF196,IF($J196=7,AF196,0)))))</f>
        <v>0</v>
      </c>
      <c r="AE196" s="84">
        <f t="shared" ref="AE196" si="2974">IF(AF196=0,0,IF(AF196&gt;0,IF($J196=12,AF196,IF($J196=11,AF196,IF($J196=10,AF196,0)))))</f>
        <v>0</v>
      </c>
      <c r="AF196" s="81">
        <f t="shared" ref="AF196:AF200" si="2975">IF(AF$5=$H196,$E196,0)</f>
        <v>0</v>
      </c>
      <c r="AG196" s="82">
        <f t="shared" ref="AG196" si="2976">IF(AK196=0,0,IF(AK196&gt;0,IF($J196=3,AK196,IF($J196=2,AK196,IF($J196=1,AK196,0)))))</f>
        <v>0</v>
      </c>
      <c r="AH196" s="83">
        <f t="shared" ref="AH196" si="2977">IF(AK196=0,0,IF(AK196&gt;0,IF($J196=6,AK196,IF($J196=5,AK196,IF($J196=4,AK196,0)))))</f>
        <v>0</v>
      </c>
      <c r="AI196" s="83">
        <f t="shared" ref="AI196" si="2978">IF(AK196=0,0,IF(AK196&gt;0,IF($J196=9,AK196,IF($J196=8,AK196,IF($J196=7,AK196,0)))))</f>
        <v>300</v>
      </c>
      <c r="AJ196" s="84">
        <f t="shared" ref="AJ196" si="2979">IF(AK196=0,0,IF(AK196&gt;0,IF($J196=12,AK196,IF($J196=11,AK196,IF($J196=10,AK196,0)))))</f>
        <v>0</v>
      </c>
      <c r="AK196" s="81">
        <f t="shared" ref="AK196:AK200" si="2980">IF(AK$5=$H196,$E196,0)</f>
        <v>300</v>
      </c>
      <c r="AL196" s="82">
        <f t="shared" ref="AL196" si="2981">IF(AP196=0,0,IF(AP196&gt;0,IF($J196=3,AP196,IF($J196=2,AP196,IF($J196=1,AP196,0)))))</f>
        <v>0</v>
      </c>
      <c r="AM196" s="83">
        <f t="shared" ref="AM196" si="2982">IF(AP196=0,0,IF(AP196&gt;0,IF($J196=6,AP196,IF($J196=5,AP196,IF($J196=4,AP196,0)))))</f>
        <v>0</v>
      </c>
      <c r="AN196" s="83">
        <f t="shared" ref="AN196" si="2983">IF(AP196=0,0,IF(AP196&gt;0,IF($J196=9,AP196,IF($J196=8,AP196,IF($J196=7,AP196,0)))))</f>
        <v>0</v>
      </c>
      <c r="AO196" s="84">
        <f t="shared" ref="AO196" si="2984">IF(AP196=0,0,IF(AP196&gt;0,IF($J196=12,AP196,IF($J196=11,AP196,IF($J196=10,AP196,0)))))</f>
        <v>0</v>
      </c>
      <c r="AP196" s="81">
        <f t="shared" ref="AP196:AP200" si="2985">IF(AP$5=$H196,$E196,0)</f>
        <v>0</v>
      </c>
      <c r="AQ196" s="82">
        <f t="shared" ref="AQ196" si="2986">IF(AU196=0,0,IF(AU196&gt;0,IF($J196=3,AU196,IF($J196=2,AU196,IF($J196=1,AU196,0)))))</f>
        <v>0</v>
      </c>
      <c r="AR196" s="83">
        <f t="shared" ref="AR196" si="2987">IF(AU196=0,0,IF(AU196&gt;0,IF($J196=6,AU196,IF($J196=5,AU196,IF($J196=4,AU196,0)))))</f>
        <v>0</v>
      </c>
      <c r="AS196" s="83">
        <f t="shared" ref="AS196" si="2988">IF(AU196=0,0,IF(AU196&gt;0,IF($J196=9,AU196,IF($J196=8,AU196,IF($J196=7,AU196,0)))))</f>
        <v>0</v>
      </c>
      <c r="AT196" s="84">
        <f t="shared" ref="AT196" si="2989">IF(AU196=0,0,IF(AU196&gt;0,IF($J196=12,AU196,IF($J196=11,AU196,IF($J196=10,AU196,0)))))</f>
        <v>0</v>
      </c>
      <c r="AU196" s="81">
        <f t="shared" ref="AU196:AU200" si="2990">IF(AU$5=$H196,$E196,0)</f>
        <v>0</v>
      </c>
      <c r="AV196" s="82">
        <f t="shared" ref="AV196" si="2991">IF(AZ196=0,0,IF(AZ196&gt;0,IF($J196=3,AZ196,IF($J196=2,AZ196,IF($J196=1,AZ196,0)))))</f>
        <v>0</v>
      </c>
      <c r="AW196" s="83">
        <f t="shared" ref="AW196" si="2992">IF(AZ196=0,0,IF(AZ196&gt;0,IF($J196=6,AZ196,IF($J196=5,AZ196,IF($J196=4,AZ196,0)))))</f>
        <v>0</v>
      </c>
      <c r="AX196" s="83">
        <f t="shared" ref="AX196" si="2993">IF(AZ196=0,0,IF(AZ196&gt;0,IF($J196=9,AZ196,IF($J196=8,AZ196,IF($J196=7,AZ196,0)))))</f>
        <v>0</v>
      </c>
      <c r="AY196" s="84">
        <f t="shared" ref="AY196" si="2994">IF(AZ196=0,0,IF(AZ196&gt;0,IF($J196=12,AZ196,IF($J196=11,AZ196,IF($J196=10,AZ196,0)))))</f>
        <v>0</v>
      </c>
      <c r="AZ196" s="81">
        <f t="shared" ref="AZ196:AZ200" si="2995">IF(AZ$5=$H196,$E196,0)</f>
        <v>0</v>
      </c>
      <c r="BA196" s="82">
        <f t="shared" ref="BA196:BA200" si="2996">IF(BE196=0,0,IF(BE196&gt;0,IF($J196=3,BE196,IF($J196=2,BE196,IF($J196=1,BE196,0)))))</f>
        <v>0</v>
      </c>
      <c r="BB196" s="83">
        <f t="shared" ref="BB196:BB200" si="2997">IF(BE196=0,0,IF(BE196&gt;0,IF($J196=6,BE196,IF($J196=5,BE196,IF($J196=4,BE196,0)))))</f>
        <v>0</v>
      </c>
      <c r="BC196" s="83">
        <f t="shared" ref="BC196:BC200" si="2998">IF(BE196=0,0,IF(BE196&gt;0,IF($J196=9,BE196,IF($J196=8,BE196,IF($J196=7,BE196,0)))))</f>
        <v>0</v>
      </c>
      <c r="BD196" s="84">
        <f t="shared" ref="BD196:BD200" si="2999">IF(BE196=0,0,IF(BE196&gt;0,IF($J196=12,BE196,IF($J196=11,BE196,IF($J196=10,BE196,0)))))</f>
        <v>0</v>
      </c>
      <c r="BE196" s="81">
        <f t="shared" ref="BE196:BE200" si="3000">IF(BE$5=$H196,$E196,0)</f>
        <v>0</v>
      </c>
      <c r="BF196" s="1884"/>
      <c r="BG196" s="2005">
        <f t="shared" ref="BG196" si="3001">IF(AND(BF196&lt;&gt;0,BF$5=$H196),$I196*$E196-BF196,IF(BG$5=$H196,$I196*$E196*(12-$J196+1)/12,0))</f>
        <v>0</v>
      </c>
      <c r="BH196" s="86">
        <f t="shared" ref="BH196" si="3002">IF($H196&lt;&gt;BL$5,0,IF(BL196&gt;0,IF($J196=1,$E196*$I196/12*3,IF($J196=2,$E196*$I196/12*2,IF($J196=3,$E196*$I196/12*1,0)))))+IF(BG$5&lt;&gt;$H196,0,IF(BG196&gt;0,IF($J196=1,$E196*$I196/12*0,IF($J196=2,$E196*$I196/12*1,IF($J196=3,$E196*$I196/12*2,IF($J196&gt;=4,$E196*$I196/12*3,0))))))</f>
        <v>0</v>
      </c>
      <c r="BI196" s="87">
        <f t="shared" ref="BI196" si="3003">IF($H196&lt;&gt;BL$5,0,IF(BL196&gt;0,IF(OR($J196=1,$J196=2,$J196=3,$J196=4),$E196*$I196/12*3,IF($J196=5,$E196*$I196/12*2,IF($J196=6,$E196*$I196/12*1,0)))))+IF(BG$5&lt;&gt;$H196,0,IF(BG196&gt;0,IF($J196=4,$E196*$I196/12*0,IF($J196=5,$E196*$I196/12*1,IF($J196=6,$E196*$I196/12*2,IF($J196&gt;=7,$E196*$I196/12*3,0))))))</f>
        <v>0</v>
      </c>
      <c r="BJ196" s="87">
        <f t="shared" ref="BJ196" si="3004">IF($H196&lt;&gt;BL$5,0,IF(BL196&gt;0,IF(OR($J196=1,$J196=2,$J196=3,$J196=4,$J196=5,$J196=6,$J196=7),$E196*$I196/12*3,IF($J196=8,$E196*$I196/12*2,IF($J196=9,$E196*$I196/12*1,0)))))+IF(BG$5&lt;&gt;$H196,0,IF(BG196&gt;0,IF($J196=7,$E196*$I196/12*0,IF($J196=8,$E196*$I196/12*1,IF($J196=9,$E196*$I196/12*2,IF($J196&gt;=10,$E196*$I196/12*3,0))))))</f>
        <v>0</v>
      </c>
      <c r="BK196" s="88">
        <f t="shared" ref="BK196" si="3005">IF($H196&lt;&gt;BL$5,0,IF(BL196&gt;0,IF(OR($J196=1,$J196=2,$J196=3,$J196=4,$J196=5,$J196=6,$J196=7,$J196=8,$J196=9,$J196=10),$E196*$I196/12*3,IF($J196=11,$E196*$I196/12*2,IF($J196=12,$E196*$I196/12*1,0)))))+IF(BG$5&lt;&gt;$H196,0,IF(BG196&gt;0,IF($J196=10,$E196*$I196/12*0,IF($J196=11,$E196*$I196/12*1,IF($J196=12,$E196*$I196/12*2,0)))))</f>
        <v>0</v>
      </c>
      <c r="BL196" s="85">
        <f t="shared" ref="BL196" si="3006">IF(AND(BG196&lt;&gt;0,BG$5=$H196),$I196*$E196-BG196,IF(BL$5=$H196,$I196*$E196*(12-$J196+1)/12,0))</f>
        <v>0</v>
      </c>
      <c r="BM196" s="86">
        <f t="shared" ref="BM196" si="3007">IF($H196&lt;&gt;BQ$5,0,IF(BQ196&gt;0,IF($J196=1,$E196*$I196/12*3,IF($J196=2,$E196*$I196/12*2,IF($J196=3,$E196*$I196/12*1,0)))))+IF(BL$5&lt;&gt;$H196,0,IF(BL196&gt;0,IF($J196=1,$E196*$I196/12*0,IF($J196=2,$E196*$I196/12*1,IF($J196=3,$E196*$I196/12*2,IF($J196&gt;=4,$E196*$I196/12*3,0))))))</f>
        <v>0</v>
      </c>
      <c r="BN196" s="87">
        <f t="shared" ref="BN196" si="3008">IF($H196&lt;&gt;BQ$5,0,IF(BQ196&gt;0,IF(OR($J196=1,$J196=2,$J196=3,$J196=4),$E196*$I196/12*3,IF($J196=5,$E196*$I196/12*2,IF($J196=6,$E196*$I196/12*1,0)))))+IF(BL$5&lt;&gt;$H196,0,IF(BL196&gt;0,IF($J196=4,$E196*$I196/12*0,IF($J196=5,$E196*$I196/12*1,IF($J196=6,$E196*$I196/12*2,IF($J196&gt;=7,$E196*$I196/12*3,0))))))</f>
        <v>0</v>
      </c>
      <c r="BO196" s="87">
        <f t="shared" ref="BO196" si="3009">IF($H196&lt;&gt;BQ$5,0,IF(BQ196&gt;0,IF(OR($J196=1,$J196=2,$J196=3,$J196=4,$J196=5,$J196=6,$J196=7),$E196*$I196/12*3,IF($J196=8,$E196*$I196/12*2,IF($J196=9,$E196*$I196/12*1,0)))))+IF(BL$5&lt;&gt;$H196,0,IF(BL196&gt;0,IF($J196=7,$E196*$I196/12*0,IF($J196=8,$E196*$I196/12*1,IF($J196=9,$E196*$I196/12*2,IF($J196&gt;=10,$E196*$I196/12*3,0))))))</f>
        <v>0</v>
      </c>
      <c r="BP196" s="88">
        <f t="shared" ref="BP196" si="3010">IF($H196&lt;&gt;BQ$5,0,IF(BQ196&gt;0,IF(OR($J196=1,$J196=2,$J196=3,$J196=4,$J196=5,$J196=6,$J196=7,$J196=8,$J196=9,$J196=10),$E196*$I196/12*3,IF($J196=11,$E196*$I196/12*2,IF($J196=12,$E196*$I196/12*1,0)))))+IF(BL$5&lt;&gt;$H196,0,IF(BL196&gt;0,IF($J196=10,$E196*$I196/12*0,IF($J196=11,$E196*$I196/12*1,IF($J196=12,$E196*$I196/12*2,0)))))</f>
        <v>0</v>
      </c>
      <c r="BQ196" s="85">
        <f t="shared" ref="BQ196" si="3011">IF(AND(BL196&lt;&gt;0,BL$5=$H196),$I196*$E196-BL196,IF(BQ$5=$H196,$I196*$E196*(12-$J196+1)/12,0))</f>
        <v>0</v>
      </c>
      <c r="BR196" s="86">
        <f t="shared" ref="BR196" si="3012">IF($H196&lt;&gt;BV$5,0,IF(BV196&gt;0,IF($J196=1,$E196*$I196/12*3,IF($J196=2,$E196*$I196/12*2,IF($J196=3,$E196*$I196/12*1,0)))))+IF(BQ$5&lt;&gt;$H196,0,IF(BQ196&gt;0,IF($J196=1,$E196*$I196/12*0,IF($J196=2,$E196*$I196/12*1,IF($J196=3,$E196*$I196/12*2,IF($J196&gt;=4,$E196*$I196/12*3,0))))))</f>
        <v>0</v>
      </c>
      <c r="BS196" s="87">
        <f t="shared" ref="BS196" si="3013">IF($H196&lt;&gt;BV$5,0,IF(BV196&gt;0,IF(OR($J196=1,$J196=2,$J196=3,$J196=4),$E196*$I196/12*3,IF($J196=5,$E196*$I196/12*2,IF($J196=6,$E196*$I196/12*1,0)))))+IF(BQ$5&lt;&gt;$H196,0,IF(BQ196&gt;0,IF($J196=4,$E196*$I196/12*0,IF($J196=5,$E196*$I196/12*1,IF($J196=6,$E196*$I196/12*2,IF($J196&gt;=7,$E196*$I196/12*3,0))))))</f>
        <v>0</v>
      </c>
      <c r="BT196" s="87">
        <f t="shared" ref="BT196" si="3014">IF($H196&lt;&gt;BV$5,0,IF(BV196&gt;0,IF(OR($J196=1,$J196=2,$J196=3,$J196=4,$J196=5,$J196=6,$J196=7),$E196*$I196/12*3,IF($J196=8,$E196*$I196/12*2,IF($J196=9,$E196*$I196/12*1,0)))))+IF(BQ$5&lt;&gt;$H196,0,IF(BQ196&gt;0,IF($J196=7,$E196*$I196/12*0,IF($J196=8,$E196*$I196/12*1,IF($J196=9,$E196*$I196/12*2,IF($J196&gt;=10,$E196*$I196/12*3,0))))))</f>
        <v>0</v>
      </c>
      <c r="BU196" s="88">
        <f t="shared" ref="BU196" si="3015">IF($H196&lt;&gt;BV$5,0,IF(BV196&gt;0,IF(OR($J196=1,$J196=2,$J196=3,$J196=4,$J196=5,$J196=6,$J196=7,$J196=8,$J196=9,$J196=10),$E196*$I196/12*3,IF($J196=11,$E196*$I196/12*2,IF($J196=12,$E196*$I196/12*1,0)))))+IF(BQ$5&lt;&gt;$H196,0,IF(BQ196&gt;0,IF($J196=10,$E196*$I196/12*0,IF($J196=11,$E196*$I196/12*1,IF($J196=12,$E196*$I196/12*2,0)))))</f>
        <v>0</v>
      </c>
      <c r="BV196" s="85">
        <f t="shared" ref="BV196" si="3016">IF(AND(BQ196&lt;&gt;0,BQ$5=$H196),$I196*$E196-BQ196,IF(BV$5=$H196,$I196*$E196*(12-$J196+1)/12,0))</f>
        <v>0</v>
      </c>
      <c r="BW196" s="86">
        <f t="shared" ref="BW196" si="3017">IF($H196&lt;&gt;CA$5,0,IF(CA196&gt;0,IF($J196=1,$E196*$I196/12*3,IF($J196=2,$E196*$I196/12*2,IF($J196=3,$E196*$I196/12*1,0)))))+IF(BV$5&lt;&gt;$H196,0,IF(BV196&gt;0,IF($J196=1,$E196*$I196/12*0,IF($J196=2,$E196*$I196/12*1,IF($J196=3,$E196*$I196/12*2,IF($J196&gt;=4,$E196*$I196/12*3,0))))))</f>
        <v>0</v>
      </c>
      <c r="BX196" s="87">
        <f t="shared" ref="BX196" si="3018">IF($H196&lt;&gt;CA$5,0,IF(CA196&gt;0,IF(OR($J196=1,$J196=2,$J196=3,$J196=4),$E196*$I196/12*3,IF($J196=5,$E196*$I196/12*2,IF($J196=6,$E196*$I196/12*1,0)))))+IF(BV$5&lt;&gt;$H196,0,IF(BV196&gt;0,IF($J196=4,$E196*$I196/12*0,IF($J196=5,$E196*$I196/12*1,IF($J196=6,$E196*$I196/12*2,IF($J196&gt;=7,$E196*$I196/12*3,0))))))</f>
        <v>0</v>
      </c>
      <c r="BY196" s="87">
        <f t="shared" ref="BY196" si="3019">IF($H196&lt;&gt;CA$5,0,IF(CA196&gt;0,IF(OR($J196=1,$J196=2,$J196=3,$J196=4,$J196=5,$J196=6,$J196=7),$E196*$I196/12*3,IF($J196=8,$E196*$I196/12*2,IF($J196=9,$E196*$I196/12*1,0)))))+IF(BV$5&lt;&gt;$H196,0,IF(BV196&gt;0,IF($J196=7,$E196*$I196/12*0,IF($J196=8,$E196*$I196/12*1,IF($J196=9,$E196*$I196/12*2,IF($J196&gt;=10,$E196*$I196/12*3,0))))))</f>
        <v>0</v>
      </c>
      <c r="BZ196" s="88">
        <f t="shared" ref="BZ196" si="3020">IF($H196&lt;&gt;CA$5,0,IF(CA196&gt;0,IF(OR($J196=1,$J196=2,$J196=3,$J196=4,$J196=5,$J196=6,$J196=7,$J196=8,$J196=9,$J196=10),$E196*$I196/12*3,IF($J196=11,$E196*$I196/12*2,IF($J196=12,$E196*$I196/12*1,0)))))+IF(BV$5&lt;&gt;$H196,0,IF(BV196&gt;0,IF($J196=10,$E196*$I196/12*0,IF($J196=11,$E196*$I196/12*1,IF($J196=12,$E196*$I196/12*2,0)))))</f>
        <v>0</v>
      </c>
      <c r="CA196" s="85">
        <f t="shared" ref="CA196" si="3021">IF(AND(BV196&lt;&gt;0,BV$5=$H196),$I196*$E196-BV196,IF(CA$5=$H196,$I196*$E196*(12-$J196+1)/12,0))</f>
        <v>0</v>
      </c>
      <c r="CB196" s="86">
        <f t="shared" ref="CB196" si="3022">IF($H196&lt;&gt;CF$5,0,IF(CF196&gt;0,IF($J196=1,$E196*$I196/12*3,IF($J196=2,$E196*$I196/12*2,IF($J196=3,$E196*$I196/12*1,0)))))+IF(CA$5&lt;&gt;$H196,0,IF(CA196&gt;0,IF($J196=1,$E196*$I196/12*0,IF($J196=2,$E196*$I196/12*1,IF($J196=3,$E196*$I196/12*2,IF($J196&gt;=4,$E196*$I196/12*3,0))))))</f>
        <v>0</v>
      </c>
      <c r="CC196" s="87">
        <f t="shared" ref="CC196" si="3023">IF($H196&lt;&gt;CF$5,0,IF(CF196&gt;0,IF(OR($J196=1,$J196=2,$J196=3,$J196=4),$E196*$I196/12*3,IF($J196=5,$E196*$I196/12*2,IF($J196=6,$E196*$I196/12*1,0)))))+IF(CA$5&lt;&gt;$H196,0,IF(CA196&gt;0,IF($J196=4,$E196*$I196/12*0,IF($J196=5,$E196*$I196/12*1,IF($J196=6,$E196*$I196/12*2,IF($J196&gt;=7,$E196*$I196/12*3,0))))))</f>
        <v>0</v>
      </c>
      <c r="CD196" s="87">
        <f t="shared" ref="CD196" si="3024">IF($H196&lt;&gt;CF$5,0,IF(CF196&gt;0,IF(OR($J196=1,$J196=2,$J196=3,$J196=4,$J196=5,$J196=6,$J196=7),$E196*$I196/12*3,IF($J196=8,$E196*$I196/12*2,IF($J196=9,$E196*$I196/12*1,0)))))+IF(CA$5&lt;&gt;$H196,0,IF(CA196&gt;0,IF($J196=7,$E196*$I196/12*0,IF($J196=8,$E196*$I196/12*1,IF($J196=9,$E196*$I196/12*2,IF($J196&gt;=10,$E196*$I196/12*3,0))))))</f>
        <v>1.875</v>
      </c>
      <c r="CE196" s="88">
        <f t="shared" ref="CE196" si="3025">IF($H196&lt;&gt;CF$5,0,IF(CF196&gt;0,IF(OR($J196=1,$J196=2,$J196=3,$J196=4,$J196=5,$J196=6,$J196=7,$J196=8,$J196=9,$J196=10),$E196*$I196/12*3,IF($J196=11,$E196*$I196/12*2,IF($J196=12,$E196*$I196/12*1,0)))))+IF(CA$5&lt;&gt;$H196,0,IF(CA196&gt;0,IF($J196=10,$E196*$I196/12*0,IF($J196=11,$E196*$I196/12*1,IF($J196=12,$E196*$I196/12*2,0)))))</f>
        <v>2.8125</v>
      </c>
      <c r="CF196" s="85">
        <f t="shared" ref="CF196" si="3026">IF(AND(CA196&lt;&gt;0,CA$5=$H196),$I196*$E196-CA196,IF(CF$5=$H196,$I196*$E196*(12-$J196+1)/12,0))</f>
        <v>4.6875</v>
      </c>
      <c r="CG196" s="86">
        <f t="shared" ref="CG196" si="3027">IF($H196&lt;&gt;CK$5,0,IF(CK196&gt;0,IF($J196=1,$E196*$I196/12*3,IF($J196=2,$E196*$I196/12*2,IF($J196=3,$E196*$I196/12*1,0)))))+IF(CF$5&lt;&gt;$H196,0,IF(CF196&gt;0,IF($J196=1,$E196*$I196/12*0,IF($J196=2,$E196*$I196/12*1,IF($J196=3,$E196*$I196/12*2,IF($J196&gt;=4,$E196*$I196/12*3,0))))))</f>
        <v>2.8125</v>
      </c>
      <c r="CH196" s="87">
        <f t="shared" ref="CH196" si="3028">IF($H196&lt;&gt;CK$5,0,IF(CK196&gt;0,IF(OR($J196=1,$J196=2,$J196=3,$J196=4),$E196*$I196/12*3,IF($J196=5,$E196*$I196/12*2,IF($J196=6,$E196*$I196/12*1,0)))))+IF(CF$5&lt;&gt;$H196,0,IF(CF196&gt;0,IF($J196=4,$E196*$I196/12*0,IF($J196=5,$E196*$I196/12*1,IF($J196=6,$E196*$I196/12*2,IF($J196&gt;=7,$E196*$I196/12*3,0))))))</f>
        <v>2.8125</v>
      </c>
      <c r="CI196" s="87">
        <f t="shared" ref="CI196" si="3029">IF($H196&lt;&gt;CK$5,0,IF(CK196&gt;0,IF(OR($J196=1,$J196=2,$J196=3,$J196=4,$J196=5,$J196=6,$J196=7),$E196*$I196/12*3,IF($J196=8,$E196*$I196/12*2,IF($J196=9,$E196*$I196/12*1,0)))))+IF(CF$5&lt;&gt;$H196,0,IF(CF196&gt;0,IF($J196=7,$E196*$I196/12*0,IF($J196=8,$E196*$I196/12*1,IF($J196=9,$E196*$I196/12*2,IF($J196&gt;=10,$E196*$I196/12*3,0))))))</f>
        <v>0.9375</v>
      </c>
      <c r="CJ196" s="88">
        <f t="shared" ref="CJ196" si="3030">IF($H196&lt;&gt;CK$5,0,IF(CK196&gt;0,IF(OR($J196=1,$J196=2,$J196=3,$J196=4,$J196=5,$J196=6,$J196=7,$J196=8,$J196=9,$J196=10),$E196*$I196/12*3,IF($J196=11,$E196*$I196/12*2,IF($J196=12,$E196*$I196/12*1,0)))))+IF(CF$5&lt;&gt;$H196,0,IF(CF196&gt;0,IF($J196=10,$E196*$I196/12*0,IF($J196=11,$E196*$I196/12*1,IF($J196=12,$E196*$I196/12*2,0)))))</f>
        <v>0</v>
      </c>
      <c r="CK196" s="85">
        <f t="shared" ref="CK196" si="3031">IF(AND(CF196&lt;&gt;0,CF$5=$H196),$I196*$E196-CF196,IF(CK$5=$H196,$I196*$E196*(12-$J196+1)/12,0))</f>
        <v>6.5625</v>
      </c>
      <c r="CL196" s="86">
        <f t="shared" ref="CL196" si="3032">IF($H196&lt;&gt;CP$5,0,IF(CP196&gt;0,IF($J196=1,$E196*$I196/12*3,IF($J196=2,$E196*$I196/12*2,IF($J196=3,$E196*$I196/12*1,0)))))+IF(CK$5&lt;&gt;$H196,0,IF(CK196&gt;0,IF($J196=1,$E196*$I196/12*0,IF($J196=2,$E196*$I196/12*1,IF($J196=3,$E196*$I196/12*2,IF($J196&gt;=4,$E196*$I196/12*3,0))))))</f>
        <v>0</v>
      </c>
      <c r="CM196" s="87">
        <f t="shared" ref="CM196" si="3033">IF($H196&lt;&gt;CP$5,0,IF(CP196&gt;0,IF(OR($J196=1,$J196=2,$J196=3,$J196=4),$E196*$I196/12*3,IF($J196=5,$E196*$I196/12*2,IF($J196=6,$E196*$I196/12*1,0)))))+IF(CK$5&lt;&gt;$H196,0,IF(CK196&gt;0,IF($J196=4,$E196*$I196/12*0,IF($J196=5,$E196*$I196/12*1,IF($J196=6,$E196*$I196/12*2,IF($J196&gt;=7,$E196*$I196/12*3,0))))))</f>
        <v>0</v>
      </c>
      <c r="CN196" s="87">
        <f t="shared" ref="CN196" si="3034">IF($H196&lt;&gt;CP$5,0,IF(CP196&gt;0,IF(OR($J196=1,$J196=2,$J196=3,$J196=4,$J196=5,$J196=6,$J196=7),$E196*$I196/12*3,IF($J196=8,$E196*$I196/12*2,IF($J196=9,$E196*$I196/12*1,0)))))+IF(CK$5&lt;&gt;$H196,0,IF(CK196&gt;0,IF($J196=7,$E196*$I196/12*0,IF($J196=8,$E196*$I196/12*1,IF($J196=9,$E196*$I196/12*2,IF($J196&gt;=10,$E196*$I196/12*3,0))))))</f>
        <v>0</v>
      </c>
      <c r="CO196" s="88">
        <f t="shared" ref="CO196" si="3035">IF($H196&lt;&gt;CP$5,0,IF(CP196&gt;0,IF(OR($J196=1,$J196=2,$J196=3,$J196=4,$J196=5,$J196=6,$J196=7,$J196=8,$J196=9,$J196=10),$E196*$I196/12*3,IF($J196=11,$E196*$I196/12*2,IF($J196=12,$E196*$I196/12*1,0)))))+IF(CK$5&lt;&gt;$H196,0,IF(CK196&gt;0,IF($J196=10,$E196*$I196/12*0,IF($J196=11,$E196*$I196/12*1,IF($J196=12,$E196*$I196/12*2,0)))))</f>
        <v>0</v>
      </c>
      <c r="CP196" s="85">
        <f t="shared" ref="CP196" si="3036">IF(AND(CK196&lt;&gt;0,CK$5=$H196),$I196*$E196-CK196,IF(CP$5=$H196,$I196*$E196*(12-$J196+1)/12,0))</f>
        <v>0</v>
      </c>
      <c r="CQ196" s="86">
        <f t="shared" ref="CQ196" si="3037">IF($H196&lt;&gt;CU$5,0,IF(CU196&gt;0,IF($J196=1,$E196*$I196/12*3,IF($J196=2,$E196*$I196/12*2,IF($J196=3,$E196*$I196/12*1,0)))))+IF(CP$5&lt;&gt;$H196,0,IF(CP196&gt;0,IF($J196=1,$E196*$I196/12*0,IF($J196=2,$E196*$I196/12*1,IF($J196=3,$E196*$I196/12*2,IF($J196&gt;=4,$E196*$I196/12*3,0))))))</f>
        <v>0</v>
      </c>
      <c r="CR196" s="87">
        <f t="shared" ref="CR196" si="3038">IF($H196&lt;&gt;CU$5,0,IF(CU196&gt;0,IF(OR($J196=1,$J196=2,$J196=3,$J196=4),$E196*$I196/12*3,IF($J196=5,$E196*$I196/12*2,IF($J196=6,$E196*$I196/12*1,0)))))+IF(CP$5&lt;&gt;$H196,0,IF(CP196&gt;0,IF($J196=4,$E196*$I196/12*0,IF($J196=5,$E196*$I196/12*1,IF($J196=6,$E196*$I196/12*2,IF($J196&gt;=7,$E196*$I196/12*3,0))))))</f>
        <v>0</v>
      </c>
      <c r="CS196" s="87">
        <f t="shared" ref="CS196" si="3039">IF($H196&lt;&gt;CU$5,0,IF(CU196&gt;0,IF(OR($J196=1,$J196=2,$J196=3,$J196=4,$J196=5,$J196=6,$J196=7),$E196*$I196/12*3,IF($J196=8,$E196*$I196/12*2,IF($J196=9,$E196*$I196/12*1,0)))))+IF(CP$5&lt;&gt;$H196,0,IF(CP196&gt;0,IF($J196=7,$E196*$I196/12*0,IF($J196=8,$E196*$I196/12*1,IF($J196=9,$E196*$I196/12*2,IF($J196&gt;=10,$E196*$I196/12*3,0))))))</f>
        <v>0</v>
      </c>
      <c r="CT196" s="88">
        <f t="shared" ref="CT196" si="3040">IF($H196&lt;&gt;CU$5,0,IF(CU196&gt;0,IF(OR($J196=1,$J196=2,$J196=3,$J196=4,$J196=5,$J196=6,$J196=7,$J196=8,$J196=9,$J196=10),$E196*$I196/12*3,IF($J196=11,$E196*$I196/12*2,IF($J196=12,$E196*$I196/12*1,0)))))+IF(CP$5&lt;&gt;$H196,0,IF(CP196&gt;0,IF($J196=10,$E196*$I196/12*0,IF($J196=11,$E196*$I196/12*1,IF($J196=12,$E196*$I196/12*2,0)))))</f>
        <v>0</v>
      </c>
      <c r="CU196" s="85">
        <f t="shared" ref="CU196" si="3041">IF(AND(CP196&lt;&gt;0,CP$5=$H196),$I196*$E196-CP196,IF(CU$5=$H196,$I196*$E196*(12-$J196+1)/12,0))</f>
        <v>0</v>
      </c>
      <c r="CV196" s="86">
        <f t="shared" ref="CV196:CV201" si="3042">IF($H196&lt;&gt;CZ$5,0,IF(CZ196&gt;0,IF($J196=1,$E196*$I196/12*3,IF($J196=2,$E196*$I196/12*2,IF($J196=3,$E196*$I196/12*1,0)))))+IF(CU$5&lt;&gt;$H196,0,IF(CU196&gt;0,IF($J196=1,$E196*$I196/12*0,IF($J196=2,$E196*$I196/12*1,IF($J196=3,$E196*$I196/12*2,IF($J196&gt;=4,$E196*$I196/12*3,0))))))</f>
        <v>0</v>
      </c>
      <c r="CW196" s="87">
        <f t="shared" ref="CW196:CW201" si="3043">IF($H196&lt;&gt;CZ$5,0,IF(CZ196&gt;0,IF(OR($J196=1,$J196=2,$J196=3,$J196=4),$E196*$I196/12*3,IF($J196=5,$E196*$I196/12*2,IF($J196=6,$E196*$I196/12*1,0)))))+IF(CU$5&lt;&gt;$H196,0,IF(CU196&gt;0,IF($J196=4,$E196*$I196/12*0,IF($J196=5,$E196*$I196/12*1,IF($J196=6,$E196*$I196/12*2,IF($J196&gt;=7,$E196*$I196/12*3,0))))))</f>
        <v>0</v>
      </c>
      <c r="CX196" s="87">
        <f t="shared" ref="CX196:CX201" si="3044">IF($H196&lt;&gt;CZ$5,0,IF(CZ196&gt;0,IF(OR($J196=1,$J196=2,$J196=3,$J196=4,$J196=5,$J196=6,$J196=7),$E196*$I196/12*3,IF($J196=8,$E196*$I196/12*2,IF($J196=9,$E196*$I196/12*1,0)))))+IF(CU$5&lt;&gt;$H196,0,IF(CU196&gt;0,IF($J196=7,$E196*$I196/12*0,IF($J196=8,$E196*$I196/12*1,IF($J196=9,$E196*$I196/12*2,IF($J196&gt;=10,$E196*$I196/12*3,0))))))</f>
        <v>0</v>
      </c>
      <c r="CY196" s="88">
        <f t="shared" ref="CY196:CY201" si="3045">IF($H196&lt;&gt;CZ$5,0,IF(CZ196&gt;0,IF(OR($J196=1,$J196=2,$J196=3,$J196=4,$J196=5,$J196=6,$J196=7,$J196=8,$J196=9,$J196=10),$E196*$I196/12*3,IF($J196=11,$E196*$I196/12*2,IF($J196=12,$E196*$I196/12*1,0)))))+IF(CU$5&lt;&gt;$H196,0,IF(CU196&gt;0,IF($J196=10,$E196*$I196/12*0,IF($J196=11,$E196*$I196/12*1,IF($J196=12,$E196*$I196/12*2,0)))))</f>
        <v>0</v>
      </c>
      <c r="CZ196" s="85">
        <f t="shared" ref="CZ196:CZ201" si="3046">IF(AND(CU196&lt;&gt;0,CU$5=$H196),$I196*$E196-CU196,IF(CZ$5=$H196,$I196*$E196*(12-$J196+1)/12,0))</f>
        <v>0</v>
      </c>
    </row>
    <row r="197" spans="1:104" ht="12.75" customHeight="1">
      <c r="A197" s="4"/>
      <c r="B197" s="4"/>
      <c r="C197" s="145" t="s">
        <v>934</v>
      </c>
      <c r="D197" s="146"/>
      <c r="E197" s="147">
        <f>+BGE!BB177</f>
        <v>425</v>
      </c>
      <c r="F197" s="326"/>
      <c r="G197" s="326"/>
      <c r="H197" s="171">
        <v>2018</v>
      </c>
      <c r="I197" s="172">
        <v>0.05</v>
      </c>
      <c r="J197" s="171">
        <v>7</v>
      </c>
      <c r="K197" s="80"/>
      <c r="L197" s="81">
        <f t="shared" si="2955"/>
        <v>0</v>
      </c>
      <c r="M197" s="82">
        <f t="shared" ref="M197" si="3047">IF(Q197=0,0,IF(Q197&gt;0,IF($J197=3,Q197,IF($J197=2,Q197,IF($J197=1,Q197,0)))))</f>
        <v>0</v>
      </c>
      <c r="N197" s="83">
        <f t="shared" ref="N197" si="3048">IF(Q197=0,0,IF(Q197&gt;0,IF($J197=6,Q197,IF($J197=5,Q197,IF($J197=4,Q197,0)))))</f>
        <v>0</v>
      </c>
      <c r="O197" s="83">
        <f t="shared" ref="O197" si="3049">IF(Q197=0,0,IF(Q197&gt;0,IF($J197=9,Q197,IF($J197=8,Q197,IF($J197=7,Q197,0)))))</f>
        <v>0</v>
      </c>
      <c r="P197" s="84">
        <f t="shared" ref="P197" si="3050">IF(Q197=0,0,IF(Q197&gt;0,IF($J197=12,Q197,IF($J197=11,Q197,IF($J197=10,Q197,0)))))</f>
        <v>0</v>
      </c>
      <c r="Q197" s="81">
        <f t="shared" si="2960"/>
        <v>0</v>
      </c>
      <c r="R197" s="82">
        <f t="shared" ref="R197" si="3051">IF(V197=0,0,IF(V197&gt;0,IF($J197=3,V197,IF($J197=2,V197,IF($J197=1,V197,0)))))</f>
        <v>0</v>
      </c>
      <c r="S197" s="83">
        <f t="shared" ref="S197" si="3052">IF(V197=0,0,IF(V197&gt;0,IF($J197=6,V197,IF($J197=5,V197,IF($J197=4,V197,0)))))</f>
        <v>0</v>
      </c>
      <c r="T197" s="83">
        <f t="shared" ref="T197" si="3053">IF(V197=0,0,IF(V197&gt;0,IF($J197=9,V197,IF($J197=8,V197,IF($J197=7,V197,0)))))</f>
        <v>0</v>
      </c>
      <c r="U197" s="84">
        <f t="shared" ref="U197" si="3054">IF(V197=0,0,IF(V197&gt;0,IF($J197=12,V197,IF($J197=11,V197,IF($J197=10,V197,0)))))</f>
        <v>0</v>
      </c>
      <c r="V197" s="81">
        <f t="shared" si="2965"/>
        <v>0</v>
      </c>
      <c r="W197" s="82">
        <f t="shared" ref="W197" si="3055">IF(AA197=0,0,IF(AA197&gt;0,IF($J197=3,AA197,IF($J197=2,AA197,IF($J197=1,AA197,0)))))</f>
        <v>0</v>
      </c>
      <c r="X197" s="83">
        <f t="shared" ref="X197" si="3056">IF(AA197=0,0,IF(AA197&gt;0,IF($J197=6,AA197,IF($J197=5,AA197,IF($J197=4,AA197,0)))))</f>
        <v>0</v>
      </c>
      <c r="Y197" s="83">
        <f t="shared" ref="Y197" si="3057">IF(AA197=0,0,IF(AA197&gt;0,IF($J197=9,AA197,IF($J197=8,AA197,IF($J197=7,AA197,0)))))</f>
        <v>0</v>
      </c>
      <c r="Z197" s="84">
        <f t="shared" ref="Z197" si="3058">IF(AA197=0,0,IF(AA197&gt;0,IF($J197=12,AA197,IF($J197=11,AA197,IF($J197=10,AA197,0)))))</f>
        <v>0</v>
      </c>
      <c r="AA197" s="81">
        <f t="shared" si="2970"/>
        <v>0</v>
      </c>
      <c r="AB197" s="82">
        <f t="shared" ref="AB197" si="3059">IF(AF197=0,0,IF(AF197&gt;0,IF($J197=3,AF197,IF($J197=2,AF197,IF($J197=1,AF197,0)))))</f>
        <v>0</v>
      </c>
      <c r="AC197" s="83">
        <f t="shared" ref="AC197" si="3060">IF(AF197=0,0,IF(AF197&gt;0,IF($J197=6,AF197,IF($J197=5,AF197,IF($J197=4,AF197,0)))))</f>
        <v>0</v>
      </c>
      <c r="AD197" s="83">
        <f t="shared" ref="AD197" si="3061">IF(AF197=0,0,IF(AF197&gt;0,IF($J197=9,AF197,IF($J197=8,AF197,IF($J197=7,AF197,0)))))</f>
        <v>0</v>
      </c>
      <c r="AE197" s="84">
        <f t="shared" ref="AE197" si="3062">IF(AF197=0,0,IF(AF197&gt;0,IF($J197=12,AF197,IF($J197=11,AF197,IF($J197=10,AF197,0)))))</f>
        <v>0</v>
      </c>
      <c r="AF197" s="81">
        <f t="shared" si="2975"/>
        <v>0</v>
      </c>
      <c r="AG197" s="82">
        <f t="shared" ref="AG197" si="3063">IF(AK197=0,0,IF(AK197&gt;0,IF($J197=3,AK197,IF($J197=2,AK197,IF($J197=1,AK197,0)))))</f>
        <v>0</v>
      </c>
      <c r="AH197" s="83">
        <f t="shared" ref="AH197" si="3064">IF(AK197=0,0,IF(AK197&gt;0,IF($J197=6,AK197,IF($J197=5,AK197,IF($J197=4,AK197,0)))))</f>
        <v>0</v>
      </c>
      <c r="AI197" s="83">
        <f t="shared" ref="AI197" si="3065">IF(AK197=0,0,IF(AK197&gt;0,IF($J197=9,AK197,IF($J197=8,AK197,IF($J197=7,AK197,0)))))</f>
        <v>0</v>
      </c>
      <c r="AJ197" s="84">
        <f t="shared" ref="AJ197" si="3066">IF(AK197=0,0,IF(AK197&gt;0,IF($J197=12,AK197,IF($J197=11,AK197,IF($J197=10,AK197,0)))))</f>
        <v>0</v>
      </c>
      <c r="AK197" s="81">
        <f t="shared" si="2980"/>
        <v>0</v>
      </c>
      <c r="AL197" s="82">
        <f t="shared" ref="AL197" si="3067">IF(AP197=0,0,IF(AP197&gt;0,IF($J197=3,AP197,IF($J197=2,AP197,IF($J197=1,AP197,0)))))</f>
        <v>0</v>
      </c>
      <c r="AM197" s="83">
        <f t="shared" ref="AM197" si="3068">IF(AP197=0,0,IF(AP197&gt;0,IF($J197=6,AP197,IF($J197=5,AP197,IF($J197=4,AP197,0)))))</f>
        <v>0</v>
      </c>
      <c r="AN197" s="83">
        <f t="shared" ref="AN197" si="3069">IF(AP197=0,0,IF(AP197&gt;0,IF($J197=9,AP197,IF($J197=8,AP197,IF($J197=7,AP197,0)))))</f>
        <v>425</v>
      </c>
      <c r="AO197" s="84">
        <f t="shared" ref="AO197" si="3070">IF(AP197=0,0,IF(AP197&gt;0,IF($J197=12,AP197,IF($J197=11,AP197,IF($J197=10,AP197,0)))))</f>
        <v>0</v>
      </c>
      <c r="AP197" s="81">
        <f t="shared" si="2985"/>
        <v>425</v>
      </c>
      <c r="AQ197" s="82">
        <f t="shared" ref="AQ197" si="3071">IF(AU197=0,0,IF(AU197&gt;0,IF($J197=3,AU197,IF($J197=2,AU197,IF($J197=1,AU197,0)))))</f>
        <v>0</v>
      </c>
      <c r="AR197" s="83">
        <f t="shared" ref="AR197" si="3072">IF(AU197=0,0,IF(AU197&gt;0,IF($J197=6,AU197,IF($J197=5,AU197,IF($J197=4,AU197,0)))))</f>
        <v>0</v>
      </c>
      <c r="AS197" s="83">
        <f t="shared" ref="AS197" si="3073">IF(AU197=0,0,IF(AU197&gt;0,IF($J197=9,AU197,IF($J197=8,AU197,IF($J197=7,AU197,0)))))</f>
        <v>0</v>
      </c>
      <c r="AT197" s="84">
        <f t="shared" ref="AT197" si="3074">IF(AU197=0,0,IF(AU197&gt;0,IF($J197=12,AU197,IF($J197=11,AU197,IF($J197=10,AU197,0)))))</f>
        <v>0</v>
      </c>
      <c r="AU197" s="81">
        <f t="shared" si="2990"/>
        <v>0</v>
      </c>
      <c r="AV197" s="82">
        <f t="shared" ref="AV197" si="3075">IF(AZ197=0,0,IF(AZ197&gt;0,IF($J197=3,AZ197,IF($J197=2,AZ197,IF($J197=1,AZ197,0)))))</f>
        <v>0</v>
      </c>
      <c r="AW197" s="83">
        <f t="shared" ref="AW197" si="3076">IF(AZ197=0,0,IF(AZ197&gt;0,IF($J197=6,AZ197,IF($J197=5,AZ197,IF($J197=4,AZ197,0)))))</f>
        <v>0</v>
      </c>
      <c r="AX197" s="83">
        <f t="shared" ref="AX197" si="3077">IF(AZ197=0,0,IF(AZ197&gt;0,IF($J197=9,AZ197,IF($J197=8,AZ197,IF($J197=7,AZ197,0)))))</f>
        <v>0</v>
      </c>
      <c r="AY197" s="84">
        <f t="shared" ref="AY197" si="3078">IF(AZ197=0,0,IF(AZ197&gt;0,IF($J197=12,AZ197,IF($J197=11,AZ197,IF($J197=10,AZ197,0)))))</f>
        <v>0</v>
      </c>
      <c r="AZ197" s="81">
        <f t="shared" si="2995"/>
        <v>0</v>
      </c>
      <c r="BA197" s="82">
        <f t="shared" si="2996"/>
        <v>0</v>
      </c>
      <c r="BB197" s="83">
        <f t="shared" si="2997"/>
        <v>0</v>
      </c>
      <c r="BC197" s="83">
        <f t="shared" si="2998"/>
        <v>0</v>
      </c>
      <c r="BD197" s="84">
        <f t="shared" si="2999"/>
        <v>0</v>
      </c>
      <c r="BE197" s="81">
        <f t="shared" si="3000"/>
        <v>0</v>
      </c>
      <c r="BF197" s="1884"/>
      <c r="BG197" s="2005">
        <f t="shared" ref="BG197:BG201" si="3079">IF(AND(BF197&lt;&gt;0,BF$5=$H197),$I197*$E197-BF197,IF(BG$5=$H197,$I197*$E197*(12-$J197+1)/12,0))</f>
        <v>0</v>
      </c>
      <c r="BH197" s="86">
        <f t="shared" ref="BH197:BH201" si="3080">IF($H197&lt;&gt;BL$5,0,IF(BL197&gt;0,IF($J197=1,$E197*$I197/12*3,IF($J197=2,$E197*$I197/12*2,IF($J197=3,$E197*$I197/12*1,0)))))+IF(BG$5&lt;&gt;$H197,0,IF(BG197&gt;0,IF($J197=1,$E197*$I197/12*0,IF($J197=2,$E197*$I197/12*1,IF($J197=3,$E197*$I197/12*2,IF($J197&gt;=4,$E197*$I197/12*3,0))))))</f>
        <v>0</v>
      </c>
      <c r="BI197" s="87">
        <f t="shared" ref="BI197:BI201" si="3081">IF($H197&lt;&gt;BL$5,0,IF(BL197&gt;0,IF(OR($J197=1,$J197=2,$J197=3,$J197=4),$E197*$I197/12*3,IF($J197=5,$E197*$I197/12*2,IF($J197=6,$E197*$I197/12*1,0)))))+IF(BG$5&lt;&gt;$H197,0,IF(BG197&gt;0,IF($J197=4,$E197*$I197/12*0,IF($J197=5,$E197*$I197/12*1,IF($J197=6,$E197*$I197/12*2,IF($J197&gt;=7,$E197*$I197/12*3,0))))))</f>
        <v>0</v>
      </c>
      <c r="BJ197" s="87">
        <f t="shared" ref="BJ197:BJ201" si="3082">IF($H197&lt;&gt;BL$5,0,IF(BL197&gt;0,IF(OR($J197=1,$J197=2,$J197=3,$J197=4,$J197=5,$J197=6,$J197=7),$E197*$I197/12*3,IF($J197=8,$E197*$I197/12*2,IF($J197=9,$E197*$I197/12*1,0)))))+IF(BG$5&lt;&gt;$H197,0,IF(BG197&gt;0,IF($J197=7,$E197*$I197/12*0,IF($J197=8,$E197*$I197/12*1,IF($J197=9,$E197*$I197/12*2,IF($J197&gt;=10,$E197*$I197/12*3,0))))))</f>
        <v>0</v>
      </c>
      <c r="BK197" s="88">
        <f t="shared" ref="BK197:BK201" si="3083">IF($H197&lt;&gt;BL$5,0,IF(BL197&gt;0,IF(OR($J197=1,$J197=2,$J197=3,$J197=4,$J197=5,$J197=6,$J197=7,$J197=8,$J197=9,$J197=10),$E197*$I197/12*3,IF($J197=11,$E197*$I197/12*2,IF($J197=12,$E197*$I197/12*1,0)))))+IF(BG$5&lt;&gt;$H197,0,IF(BG197&gt;0,IF($J197=10,$E197*$I197/12*0,IF($J197=11,$E197*$I197/12*1,IF($J197=12,$E197*$I197/12*2,0)))))</f>
        <v>0</v>
      </c>
      <c r="BL197" s="85">
        <f t="shared" ref="BL197:BL201" si="3084">IF(AND(BG197&lt;&gt;0,BG$5=$H197),$I197*$E197-BG197,IF(BL$5=$H197,$I197*$E197*(12-$J197+1)/12,0))</f>
        <v>0</v>
      </c>
      <c r="BM197" s="86">
        <f t="shared" ref="BM197:BM201" si="3085">IF($H197&lt;&gt;BQ$5,0,IF(BQ197&gt;0,IF($J197=1,$E197*$I197/12*3,IF($J197=2,$E197*$I197/12*2,IF($J197=3,$E197*$I197/12*1,0)))))+IF(BL$5&lt;&gt;$H197,0,IF(BL197&gt;0,IF($J197=1,$E197*$I197/12*0,IF($J197=2,$E197*$I197/12*1,IF($J197=3,$E197*$I197/12*2,IF($J197&gt;=4,$E197*$I197/12*3,0))))))</f>
        <v>0</v>
      </c>
      <c r="BN197" s="87">
        <f t="shared" ref="BN197:BN201" si="3086">IF($H197&lt;&gt;BQ$5,0,IF(BQ197&gt;0,IF(OR($J197=1,$J197=2,$J197=3,$J197=4),$E197*$I197/12*3,IF($J197=5,$E197*$I197/12*2,IF($J197=6,$E197*$I197/12*1,0)))))+IF(BL$5&lt;&gt;$H197,0,IF(BL197&gt;0,IF($J197=4,$E197*$I197/12*0,IF($J197=5,$E197*$I197/12*1,IF($J197=6,$E197*$I197/12*2,IF($J197&gt;=7,$E197*$I197/12*3,0))))))</f>
        <v>0</v>
      </c>
      <c r="BO197" s="87">
        <f t="shared" ref="BO197:BO201" si="3087">IF($H197&lt;&gt;BQ$5,0,IF(BQ197&gt;0,IF(OR($J197=1,$J197=2,$J197=3,$J197=4,$J197=5,$J197=6,$J197=7),$E197*$I197/12*3,IF($J197=8,$E197*$I197/12*2,IF($J197=9,$E197*$I197/12*1,0)))))+IF(BL$5&lt;&gt;$H197,0,IF(BL197&gt;0,IF($J197=7,$E197*$I197/12*0,IF($J197=8,$E197*$I197/12*1,IF($J197=9,$E197*$I197/12*2,IF($J197&gt;=10,$E197*$I197/12*3,0))))))</f>
        <v>0</v>
      </c>
      <c r="BP197" s="88">
        <f t="shared" ref="BP197:BP201" si="3088">IF($H197&lt;&gt;BQ$5,0,IF(BQ197&gt;0,IF(OR($J197=1,$J197=2,$J197=3,$J197=4,$J197=5,$J197=6,$J197=7,$J197=8,$J197=9,$J197=10),$E197*$I197/12*3,IF($J197=11,$E197*$I197/12*2,IF($J197=12,$E197*$I197/12*1,0)))))+IF(BL$5&lt;&gt;$H197,0,IF(BL197&gt;0,IF($J197=10,$E197*$I197/12*0,IF($J197=11,$E197*$I197/12*1,IF($J197=12,$E197*$I197/12*2,0)))))</f>
        <v>0</v>
      </c>
      <c r="BQ197" s="85">
        <f t="shared" ref="BQ197:BQ201" si="3089">IF(AND(BL197&lt;&gt;0,BL$5=$H197),$I197*$E197-BL197,IF(BQ$5=$H197,$I197*$E197*(12-$J197+1)/12,0))</f>
        <v>0</v>
      </c>
      <c r="BR197" s="86">
        <f t="shared" ref="BR197:BR201" si="3090">IF($H197&lt;&gt;BV$5,0,IF(BV197&gt;0,IF($J197=1,$E197*$I197/12*3,IF($J197=2,$E197*$I197/12*2,IF($J197=3,$E197*$I197/12*1,0)))))+IF(BQ$5&lt;&gt;$H197,0,IF(BQ197&gt;0,IF($J197=1,$E197*$I197/12*0,IF($J197=2,$E197*$I197/12*1,IF($J197=3,$E197*$I197/12*2,IF($J197&gt;=4,$E197*$I197/12*3,0))))))</f>
        <v>0</v>
      </c>
      <c r="BS197" s="87">
        <f t="shared" ref="BS197:BS201" si="3091">IF($H197&lt;&gt;BV$5,0,IF(BV197&gt;0,IF(OR($J197=1,$J197=2,$J197=3,$J197=4),$E197*$I197/12*3,IF($J197=5,$E197*$I197/12*2,IF($J197=6,$E197*$I197/12*1,0)))))+IF(BQ$5&lt;&gt;$H197,0,IF(BQ197&gt;0,IF($J197=4,$E197*$I197/12*0,IF($J197=5,$E197*$I197/12*1,IF($J197=6,$E197*$I197/12*2,IF($J197&gt;=7,$E197*$I197/12*3,0))))))</f>
        <v>0</v>
      </c>
      <c r="BT197" s="87">
        <f t="shared" ref="BT197:BT201" si="3092">IF($H197&lt;&gt;BV$5,0,IF(BV197&gt;0,IF(OR($J197=1,$J197=2,$J197=3,$J197=4,$J197=5,$J197=6,$J197=7),$E197*$I197/12*3,IF($J197=8,$E197*$I197/12*2,IF($J197=9,$E197*$I197/12*1,0)))))+IF(BQ$5&lt;&gt;$H197,0,IF(BQ197&gt;0,IF($J197=7,$E197*$I197/12*0,IF($J197=8,$E197*$I197/12*1,IF($J197=9,$E197*$I197/12*2,IF($J197&gt;=10,$E197*$I197/12*3,0))))))</f>
        <v>0</v>
      </c>
      <c r="BU197" s="88">
        <f t="shared" ref="BU197:BU201" si="3093">IF($H197&lt;&gt;BV$5,0,IF(BV197&gt;0,IF(OR($J197=1,$J197=2,$J197=3,$J197=4,$J197=5,$J197=6,$J197=7,$J197=8,$J197=9,$J197=10),$E197*$I197/12*3,IF($J197=11,$E197*$I197/12*2,IF($J197=12,$E197*$I197/12*1,0)))))+IF(BQ$5&lt;&gt;$H197,0,IF(BQ197&gt;0,IF($J197=10,$E197*$I197/12*0,IF($J197=11,$E197*$I197/12*1,IF($J197=12,$E197*$I197/12*2,0)))))</f>
        <v>0</v>
      </c>
      <c r="BV197" s="85">
        <f t="shared" ref="BV197:BV201" si="3094">IF(AND(BQ197&lt;&gt;0,BQ$5=$H197),$I197*$E197-BQ197,IF(BV$5=$H197,$I197*$E197*(12-$J197+1)/12,0))</f>
        <v>0</v>
      </c>
      <c r="BW197" s="86">
        <f t="shared" ref="BW197:BW201" si="3095">IF($H197&lt;&gt;CA$5,0,IF(CA197&gt;0,IF($J197=1,$E197*$I197/12*3,IF($J197=2,$E197*$I197/12*2,IF($J197=3,$E197*$I197/12*1,0)))))+IF(BV$5&lt;&gt;$H197,0,IF(BV197&gt;0,IF($J197=1,$E197*$I197/12*0,IF($J197=2,$E197*$I197/12*1,IF($J197=3,$E197*$I197/12*2,IF($J197&gt;=4,$E197*$I197/12*3,0))))))</f>
        <v>0</v>
      </c>
      <c r="BX197" s="87">
        <f t="shared" ref="BX197:BX201" si="3096">IF($H197&lt;&gt;CA$5,0,IF(CA197&gt;0,IF(OR($J197=1,$J197=2,$J197=3,$J197=4),$E197*$I197/12*3,IF($J197=5,$E197*$I197/12*2,IF($J197=6,$E197*$I197/12*1,0)))))+IF(BV$5&lt;&gt;$H197,0,IF(BV197&gt;0,IF($J197=4,$E197*$I197/12*0,IF($J197=5,$E197*$I197/12*1,IF($J197=6,$E197*$I197/12*2,IF($J197&gt;=7,$E197*$I197/12*3,0))))))</f>
        <v>0</v>
      </c>
      <c r="BY197" s="87">
        <f t="shared" ref="BY197:BY201" si="3097">IF($H197&lt;&gt;CA$5,0,IF(CA197&gt;0,IF(OR($J197=1,$J197=2,$J197=3,$J197=4,$J197=5,$J197=6,$J197=7),$E197*$I197/12*3,IF($J197=8,$E197*$I197/12*2,IF($J197=9,$E197*$I197/12*1,0)))))+IF(BV$5&lt;&gt;$H197,0,IF(BV197&gt;0,IF($J197=7,$E197*$I197/12*0,IF($J197=8,$E197*$I197/12*1,IF($J197=9,$E197*$I197/12*2,IF($J197&gt;=10,$E197*$I197/12*3,0))))))</f>
        <v>0</v>
      </c>
      <c r="BZ197" s="88">
        <f t="shared" ref="BZ197:BZ201" si="3098">IF($H197&lt;&gt;CA$5,0,IF(CA197&gt;0,IF(OR($J197=1,$J197=2,$J197=3,$J197=4,$J197=5,$J197=6,$J197=7,$J197=8,$J197=9,$J197=10),$E197*$I197/12*3,IF($J197=11,$E197*$I197/12*2,IF($J197=12,$E197*$I197/12*1,0)))))+IF(BV$5&lt;&gt;$H197,0,IF(BV197&gt;0,IF($J197=10,$E197*$I197/12*0,IF($J197=11,$E197*$I197/12*1,IF($J197=12,$E197*$I197/12*2,0)))))</f>
        <v>0</v>
      </c>
      <c r="CA197" s="85">
        <f t="shared" ref="CA197:CA201" si="3099">IF(AND(BV197&lt;&gt;0,BV$5=$H197),$I197*$E197-BV197,IF(CA$5=$H197,$I197*$E197*(12-$J197+1)/12,0))</f>
        <v>0</v>
      </c>
      <c r="CB197" s="86">
        <f t="shared" ref="CB197:CB201" si="3100">IF($H197&lt;&gt;CF$5,0,IF(CF197&gt;0,IF($J197=1,$E197*$I197/12*3,IF($J197=2,$E197*$I197/12*2,IF($J197=3,$E197*$I197/12*1,0)))))+IF(CA$5&lt;&gt;$H197,0,IF(CA197&gt;0,IF($J197=1,$E197*$I197/12*0,IF($J197=2,$E197*$I197/12*1,IF($J197=3,$E197*$I197/12*2,IF($J197&gt;=4,$E197*$I197/12*3,0))))))</f>
        <v>0</v>
      </c>
      <c r="CC197" s="87">
        <f t="shared" ref="CC197:CC201" si="3101">IF($H197&lt;&gt;CF$5,0,IF(CF197&gt;0,IF(OR($J197=1,$J197=2,$J197=3,$J197=4),$E197*$I197/12*3,IF($J197=5,$E197*$I197/12*2,IF($J197=6,$E197*$I197/12*1,0)))))+IF(CA$5&lt;&gt;$H197,0,IF(CA197&gt;0,IF($J197=4,$E197*$I197/12*0,IF($J197=5,$E197*$I197/12*1,IF($J197=6,$E197*$I197/12*2,IF($J197&gt;=7,$E197*$I197/12*3,0))))))</f>
        <v>0</v>
      </c>
      <c r="CD197" s="87">
        <f t="shared" ref="CD197:CD201" si="3102">IF($H197&lt;&gt;CF$5,0,IF(CF197&gt;0,IF(OR($J197=1,$J197=2,$J197=3,$J197=4,$J197=5,$J197=6,$J197=7),$E197*$I197/12*3,IF($J197=8,$E197*$I197/12*2,IF($J197=9,$E197*$I197/12*1,0)))))+IF(CA$5&lt;&gt;$H197,0,IF(CA197&gt;0,IF($J197=7,$E197*$I197/12*0,IF($J197=8,$E197*$I197/12*1,IF($J197=9,$E197*$I197/12*2,IF($J197&gt;=10,$E197*$I197/12*3,0))))))</f>
        <v>0</v>
      </c>
      <c r="CE197" s="88">
        <f t="shared" ref="CE197:CE201" si="3103">IF($H197&lt;&gt;CF$5,0,IF(CF197&gt;0,IF(OR($J197=1,$J197=2,$J197=3,$J197=4,$J197=5,$J197=6,$J197=7,$J197=8,$J197=9,$J197=10),$E197*$I197/12*3,IF($J197=11,$E197*$I197/12*2,IF($J197=12,$E197*$I197/12*1,0)))))+IF(CA$5&lt;&gt;$H197,0,IF(CA197&gt;0,IF($J197=10,$E197*$I197/12*0,IF($J197=11,$E197*$I197/12*1,IF($J197=12,$E197*$I197/12*2,0)))))</f>
        <v>0</v>
      </c>
      <c r="CF197" s="85">
        <f t="shared" ref="CF197:CF201" si="3104">IF(AND(CA197&lt;&gt;0,CA$5=$H197),$I197*$E197-CA197,IF(CF$5=$H197,$I197*$E197*(12-$J197+1)/12,0))</f>
        <v>0</v>
      </c>
      <c r="CG197" s="86">
        <f t="shared" ref="CG197:CG201" si="3105">IF($H197&lt;&gt;CK$5,0,IF(CK197&gt;0,IF($J197=1,$E197*$I197/12*3,IF($J197=2,$E197*$I197/12*2,IF($J197=3,$E197*$I197/12*1,0)))))+IF(CF$5&lt;&gt;$H197,0,IF(CF197&gt;0,IF($J197=1,$E197*$I197/12*0,IF($J197=2,$E197*$I197/12*1,IF($J197=3,$E197*$I197/12*2,IF($J197&gt;=4,$E197*$I197/12*3,0))))))</f>
        <v>0</v>
      </c>
      <c r="CH197" s="87">
        <f t="shared" ref="CH197:CH201" si="3106">IF($H197&lt;&gt;CK$5,0,IF(CK197&gt;0,IF(OR($J197=1,$J197=2,$J197=3,$J197=4),$E197*$I197/12*3,IF($J197=5,$E197*$I197/12*2,IF($J197=6,$E197*$I197/12*1,0)))))+IF(CF$5&lt;&gt;$H197,0,IF(CF197&gt;0,IF($J197=4,$E197*$I197/12*0,IF($J197=5,$E197*$I197/12*1,IF($J197=6,$E197*$I197/12*2,IF($J197&gt;=7,$E197*$I197/12*3,0))))))</f>
        <v>0</v>
      </c>
      <c r="CI197" s="87">
        <f t="shared" ref="CI197:CI201" si="3107">IF($H197&lt;&gt;CK$5,0,IF(CK197&gt;0,IF(OR($J197=1,$J197=2,$J197=3,$J197=4,$J197=5,$J197=6,$J197=7),$E197*$I197/12*3,IF($J197=8,$E197*$I197/12*2,IF($J197=9,$E197*$I197/12*1,0)))))+IF(CF$5&lt;&gt;$H197,0,IF(CF197&gt;0,IF($J197=7,$E197*$I197/12*0,IF($J197=8,$E197*$I197/12*1,IF($J197=9,$E197*$I197/12*2,IF($J197&gt;=10,$E197*$I197/12*3,0))))))</f>
        <v>5.3125</v>
      </c>
      <c r="CJ197" s="88">
        <f t="shared" ref="CJ197:CJ201" si="3108">IF($H197&lt;&gt;CK$5,0,IF(CK197&gt;0,IF(OR($J197=1,$J197=2,$J197=3,$J197=4,$J197=5,$J197=6,$J197=7,$J197=8,$J197=9,$J197=10),$E197*$I197/12*3,IF($J197=11,$E197*$I197/12*2,IF($J197=12,$E197*$I197/12*1,0)))))+IF(CF$5&lt;&gt;$H197,0,IF(CF197&gt;0,IF($J197=10,$E197*$I197/12*0,IF($J197=11,$E197*$I197/12*1,IF($J197=12,$E197*$I197/12*2,0)))))</f>
        <v>5.3125</v>
      </c>
      <c r="CK197" s="85">
        <f t="shared" ref="CK197:CK201" si="3109">IF(AND(CF197&lt;&gt;0,CF$5=$H197),$I197*$E197-CF197,IF(CK$5=$H197,$I197*$E197*(12-$J197+1)/12,0))</f>
        <v>10.625</v>
      </c>
      <c r="CL197" s="86">
        <f t="shared" ref="CL197:CL201" si="3110">IF($H197&lt;&gt;CP$5,0,IF(CP197&gt;0,IF($J197=1,$E197*$I197/12*3,IF($J197=2,$E197*$I197/12*2,IF($J197=3,$E197*$I197/12*1,0)))))+IF(CK$5&lt;&gt;$H197,0,IF(CK197&gt;0,IF($J197=1,$E197*$I197/12*0,IF($J197=2,$E197*$I197/12*1,IF($J197=3,$E197*$I197/12*2,IF($J197&gt;=4,$E197*$I197/12*3,0))))))</f>
        <v>5.3125</v>
      </c>
      <c r="CM197" s="87">
        <f t="shared" ref="CM197:CM201" si="3111">IF($H197&lt;&gt;CP$5,0,IF(CP197&gt;0,IF(OR($J197=1,$J197=2,$J197=3,$J197=4),$E197*$I197/12*3,IF($J197=5,$E197*$I197/12*2,IF($J197=6,$E197*$I197/12*1,0)))))+IF(CK$5&lt;&gt;$H197,0,IF(CK197&gt;0,IF($J197=4,$E197*$I197/12*0,IF($J197=5,$E197*$I197/12*1,IF($J197=6,$E197*$I197/12*2,IF($J197&gt;=7,$E197*$I197/12*3,0))))))</f>
        <v>5.3125</v>
      </c>
      <c r="CN197" s="87">
        <f t="shared" ref="CN197:CN201" si="3112">IF($H197&lt;&gt;CP$5,0,IF(CP197&gt;0,IF(OR($J197=1,$J197=2,$J197=3,$J197=4,$J197=5,$J197=6,$J197=7),$E197*$I197/12*3,IF($J197=8,$E197*$I197/12*2,IF($J197=9,$E197*$I197/12*1,0)))))+IF(CK$5&lt;&gt;$H197,0,IF(CK197&gt;0,IF($J197=7,$E197*$I197/12*0,IF($J197=8,$E197*$I197/12*1,IF($J197=9,$E197*$I197/12*2,IF($J197&gt;=10,$E197*$I197/12*3,0))))))</f>
        <v>0</v>
      </c>
      <c r="CO197" s="88">
        <f t="shared" ref="CO197:CO201" si="3113">IF($H197&lt;&gt;CP$5,0,IF(CP197&gt;0,IF(OR($J197=1,$J197=2,$J197=3,$J197=4,$J197=5,$J197=6,$J197=7,$J197=8,$J197=9,$J197=10),$E197*$I197/12*3,IF($J197=11,$E197*$I197/12*2,IF($J197=12,$E197*$I197/12*1,0)))))+IF(CK$5&lt;&gt;$H197,0,IF(CK197&gt;0,IF($J197=10,$E197*$I197/12*0,IF($J197=11,$E197*$I197/12*1,IF($J197=12,$E197*$I197/12*2,0)))))</f>
        <v>0</v>
      </c>
      <c r="CP197" s="85">
        <f t="shared" ref="CP197:CP201" si="3114">IF(AND(CK197&lt;&gt;0,CK$5=$H197),$I197*$E197-CK197,IF(CP$5=$H197,$I197*$E197*(12-$J197+1)/12,0))</f>
        <v>10.625</v>
      </c>
      <c r="CQ197" s="86">
        <f t="shared" ref="CQ197:CQ201" si="3115">IF($H197&lt;&gt;CU$5,0,IF(CU197&gt;0,IF($J197=1,$E197*$I197/12*3,IF($J197=2,$E197*$I197/12*2,IF($J197=3,$E197*$I197/12*1,0)))))+IF(CP$5&lt;&gt;$H197,0,IF(CP197&gt;0,IF($J197=1,$E197*$I197/12*0,IF($J197=2,$E197*$I197/12*1,IF($J197=3,$E197*$I197/12*2,IF($J197&gt;=4,$E197*$I197/12*3,0))))))</f>
        <v>0</v>
      </c>
      <c r="CR197" s="87">
        <f t="shared" ref="CR197:CR201" si="3116">IF($H197&lt;&gt;CU$5,0,IF(CU197&gt;0,IF(OR($J197=1,$J197=2,$J197=3,$J197=4),$E197*$I197/12*3,IF($J197=5,$E197*$I197/12*2,IF($J197=6,$E197*$I197/12*1,0)))))+IF(CP$5&lt;&gt;$H197,0,IF(CP197&gt;0,IF($J197=4,$E197*$I197/12*0,IF($J197=5,$E197*$I197/12*1,IF($J197=6,$E197*$I197/12*2,IF($J197&gt;=7,$E197*$I197/12*3,0))))))</f>
        <v>0</v>
      </c>
      <c r="CS197" s="87">
        <f t="shared" ref="CS197:CS201" si="3117">IF($H197&lt;&gt;CU$5,0,IF(CU197&gt;0,IF(OR($J197=1,$J197=2,$J197=3,$J197=4,$J197=5,$J197=6,$J197=7),$E197*$I197/12*3,IF($J197=8,$E197*$I197/12*2,IF($J197=9,$E197*$I197/12*1,0)))))+IF(CP$5&lt;&gt;$H197,0,IF(CP197&gt;0,IF($J197=7,$E197*$I197/12*0,IF($J197=8,$E197*$I197/12*1,IF($J197=9,$E197*$I197/12*2,IF($J197&gt;=10,$E197*$I197/12*3,0))))))</f>
        <v>0</v>
      </c>
      <c r="CT197" s="88">
        <f t="shared" ref="CT197:CT201" si="3118">IF($H197&lt;&gt;CU$5,0,IF(CU197&gt;0,IF(OR($J197=1,$J197=2,$J197=3,$J197=4,$J197=5,$J197=6,$J197=7,$J197=8,$J197=9,$J197=10),$E197*$I197/12*3,IF($J197=11,$E197*$I197/12*2,IF($J197=12,$E197*$I197/12*1,0)))))+IF(CP$5&lt;&gt;$H197,0,IF(CP197&gt;0,IF($J197=10,$E197*$I197/12*0,IF($J197=11,$E197*$I197/12*1,IF($J197=12,$E197*$I197/12*2,0)))))</f>
        <v>0</v>
      </c>
      <c r="CU197" s="85">
        <f t="shared" ref="CU197:CU201" si="3119">IF(AND(CP197&lt;&gt;0,CP$5=$H197),$I197*$E197-CP197,IF(CU$5=$H197,$I197*$E197*(12-$J197+1)/12,0))</f>
        <v>0</v>
      </c>
      <c r="CV197" s="86">
        <f t="shared" si="3042"/>
        <v>0</v>
      </c>
      <c r="CW197" s="87">
        <f t="shared" si="3043"/>
        <v>0</v>
      </c>
      <c r="CX197" s="87">
        <f t="shared" si="3044"/>
        <v>0</v>
      </c>
      <c r="CY197" s="88">
        <f t="shared" si="3045"/>
        <v>0</v>
      </c>
      <c r="CZ197" s="85">
        <f t="shared" si="3046"/>
        <v>0</v>
      </c>
    </row>
    <row r="198" spans="1:104" ht="12.75" customHeight="1">
      <c r="A198" s="4"/>
      <c r="B198" s="4"/>
      <c r="C198" s="1999" t="s">
        <v>1371</v>
      </c>
      <c r="D198" s="146"/>
      <c r="E198" s="147">
        <f>+BGE!BG177</f>
        <v>275</v>
      </c>
      <c r="F198" s="326"/>
      <c r="G198" s="326"/>
      <c r="H198" s="171">
        <v>2019</v>
      </c>
      <c r="I198" s="172">
        <v>0.05</v>
      </c>
      <c r="J198" s="171">
        <v>7</v>
      </c>
      <c r="K198" s="80"/>
      <c r="L198" s="81">
        <f t="shared" si="2955"/>
        <v>0</v>
      </c>
      <c r="M198" s="82">
        <f t="shared" ref="M198:M199" si="3120">IF(Q198=0,0,IF(Q198&gt;0,IF($J198=3,Q198,IF($J198=2,Q198,IF($J198=1,Q198,0)))))</f>
        <v>0</v>
      </c>
      <c r="N198" s="83">
        <f t="shared" ref="N198:N199" si="3121">IF(Q198=0,0,IF(Q198&gt;0,IF($J198=6,Q198,IF($J198=5,Q198,IF($J198=4,Q198,0)))))</f>
        <v>0</v>
      </c>
      <c r="O198" s="83">
        <f t="shared" ref="O198:O199" si="3122">IF(Q198=0,0,IF(Q198&gt;0,IF($J198=9,Q198,IF($J198=8,Q198,IF($J198=7,Q198,0)))))</f>
        <v>0</v>
      </c>
      <c r="P198" s="84">
        <f t="shared" ref="P198:P199" si="3123">IF(Q198=0,0,IF(Q198&gt;0,IF($J198=12,Q198,IF($J198=11,Q198,IF($J198=10,Q198,0)))))</f>
        <v>0</v>
      </c>
      <c r="Q198" s="81">
        <f t="shared" si="2960"/>
        <v>0</v>
      </c>
      <c r="R198" s="82">
        <f t="shared" ref="R198:R199" si="3124">IF(V198=0,0,IF(V198&gt;0,IF($J198=3,V198,IF($J198=2,V198,IF($J198=1,V198,0)))))</f>
        <v>0</v>
      </c>
      <c r="S198" s="83">
        <f t="shared" ref="S198:S199" si="3125">IF(V198=0,0,IF(V198&gt;0,IF($J198=6,V198,IF($J198=5,V198,IF($J198=4,V198,0)))))</f>
        <v>0</v>
      </c>
      <c r="T198" s="83">
        <f t="shared" ref="T198:T199" si="3126">IF(V198=0,0,IF(V198&gt;0,IF($J198=9,V198,IF($J198=8,V198,IF($J198=7,V198,0)))))</f>
        <v>0</v>
      </c>
      <c r="U198" s="84">
        <f t="shared" ref="U198:U199" si="3127">IF(V198=0,0,IF(V198&gt;0,IF($J198=12,V198,IF($J198=11,V198,IF($J198=10,V198,0)))))</f>
        <v>0</v>
      </c>
      <c r="V198" s="81">
        <f t="shared" si="2965"/>
        <v>0</v>
      </c>
      <c r="W198" s="82">
        <f t="shared" ref="W198:W199" si="3128">IF(AA198=0,0,IF(AA198&gt;0,IF($J198=3,AA198,IF($J198=2,AA198,IF($J198=1,AA198,0)))))</f>
        <v>0</v>
      </c>
      <c r="X198" s="83">
        <f t="shared" ref="X198:X199" si="3129">IF(AA198=0,0,IF(AA198&gt;0,IF($J198=6,AA198,IF($J198=5,AA198,IF($J198=4,AA198,0)))))</f>
        <v>0</v>
      </c>
      <c r="Y198" s="83">
        <f t="shared" ref="Y198:Y199" si="3130">IF(AA198=0,0,IF(AA198&gt;0,IF($J198=9,AA198,IF($J198=8,AA198,IF($J198=7,AA198,0)))))</f>
        <v>0</v>
      </c>
      <c r="Z198" s="84">
        <f t="shared" ref="Z198:Z199" si="3131">IF(AA198=0,0,IF(AA198&gt;0,IF($J198=12,AA198,IF($J198=11,AA198,IF($J198=10,AA198,0)))))</f>
        <v>0</v>
      </c>
      <c r="AA198" s="81">
        <f t="shared" si="2970"/>
        <v>0</v>
      </c>
      <c r="AB198" s="82">
        <f t="shared" ref="AB198:AB199" si="3132">IF(AF198=0,0,IF(AF198&gt;0,IF($J198=3,AF198,IF($J198=2,AF198,IF($J198=1,AF198,0)))))</f>
        <v>0</v>
      </c>
      <c r="AC198" s="83">
        <f t="shared" ref="AC198:AC199" si="3133">IF(AF198=0,0,IF(AF198&gt;0,IF($J198=6,AF198,IF($J198=5,AF198,IF($J198=4,AF198,0)))))</f>
        <v>0</v>
      </c>
      <c r="AD198" s="83">
        <f t="shared" ref="AD198:AD199" si="3134">IF(AF198=0,0,IF(AF198&gt;0,IF($J198=9,AF198,IF($J198=8,AF198,IF($J198=7,AF198,0)))))</f>
        <v>0</v>
      </c>
      <c r="AE198" s="84">
        <f t="shared" ref="AE198:AE199" si="3135">IF(AF198=0,0,IF(AF198&gt;0,IF($J198=12,AF198,IF($J198=11,AF198,IF($J198=10,AF198,0)))))</f>
        <v>0</v>
      </c>
      <c r="AF198" s="81">
        <f t="shared" si="2975"/>
        <v>0</v>
      </c>
      <c r="AG198" s="82">
        <f t="shared" ref="AG198:AG199" si="3136">IF(AK198=0,0,IF(AK198&gt;0,IF($J198=3,AK198,IF($J198=2,AK198,IF($J198=1,AK198,0)))))</f>
        <v>0</v>
      </c>
      <c r="AH198" s="83">
        <f t="shared" ref="AH198:AH199" si="3137">IF(AK198=0,0,IF(AK198&gt;0,IF($J198=6,AK198,IF($J198=5,AK198,IF($J198=4,AK198,0)))))</f>
        <v>0</v>
      </c>
      <c r="AI198" s="83">
        <f t="shared" ref="AI198:AI199" si="3138">IF(AK198=0,0,IF(AK198&gt;0,IF($J198=9,AK198,IF($J198=8,AK198,IF($J198=7,AK198,0)))))</f>
        <v>0</v>
      </c>
      <c r="AJ198" s="84">
        <f t="shared" ref="AJ198:AJ199" si="3139">IF(AK198=0,0,IF(AK198&gt;0,IF($J198=12,AK198,IF($J198=11,AK198,IF($J198=10,AK198,0)))))</f>
        <v>0</v>
      </c>
      <c r="AK198" s="81">
        <f t="shared" si="2980"/>
        <v>0</v>
      </c>
      <c r="AL198" s="82">
        <f t="shared" ref="AL198:AL199" si="3140">IF(AP198=0,0,IF(AP198&gt;0,IF($J198=3,AP198,IF($J198=2,AP198,IF($J198=1,AP198,0)))))</f>
        <v>0</v>
      </c>
      <c r="AM198" s="83">
        <f t="shared" ref="AM198:AM199" si="3141">IF(AP198=0,0,IF(AP198&gt;0,IF($J198=6,AP198,IF($J198=5,AP198,IF($J198=4,AP198,0)))))</f>
        <v>0</v>
      </c>
      <c r="AN198" s="83">
        <f t="shared" ref="AN198:AN199" si="3142">IF(AP198=0,0,IF(AP198&gt;0,IF($J198=9,AP198,IF($J198=8,AP198,IF($J198=7,AP198,0)))))</f>
        <v>0</v>
      </c>
      <c r="AO198" s="84">
        <f t="shared" ref="AO198:AO199" si="3143">IF(AP198=0,0,IF(AP198&gt;0,IF($J198=12,AP198,IF($J198=11,AP198,IF($J198=10,AP198,0)))))</f>
        <v>0</v>
      </c>
      <c r="AP198" s="81">
        <f t="shared" si="2985"/>
        <v>0</v>
      </c>
      <c r="AQ198" s="82">
        <f t="shared" ref="AQ198:AQ199" si="3144">IF(AU198=0,0,IF(AU198&gt;0,IF($J198=3,AU198,IF($J198=2,AU198,IF($J198=1,AU198,0)))))</f>
        <v>0</v>
      </c>
      <c r="AR198" s="83">
        <f t="shared" ref="AR198:AR199" si="3145">IF(AU198=0,0,IF(AU198&gt;0,IF($J198=6,AU198,IF($J198=5,AU198,IF($J198=4,AU198,0)))))</f>
        <v>0</v>
      </c>
      <c r="AS198" s="83">
        <f t="shared" ref="AS198:AS199" si="3146">IF(AU198=0,0,IF(AU198&gt;0,IF($J198=9,AU198,IF($J198=8,AU198,IF($J198=7,AU198,0)))))</f>
        <v>275</v>
      </c>
      <c r="AT198" s="84">
        <f t="shared" ref="AT198:AT199" si="3147">IF(AU198=0,0,IF(AU198&gt;0,IF($J198=12,AU198,IF($J198=11,AU198,IF($J198=10,AU198,0)))))</f>
        <v>0</v>
      </c>
      <c r="AU198" s="81">
        <f t="shared" si="2990"/>
        <v>275</v>
      </c>
      <c r="AV198" s="82">
        <f t="shared" ref="AV198:AV199" si="3148">IF(AZ198=0,0,IF(AZ198&gt;0,IF($J198=3,AZ198,IF($J198=2,AZ198,IF($J198=1,AZ198,0)))))</f>
        <v>0</v>
      </c>
      <c r="AW198" s="83">
        <f t="shared" ref="AW198:AW199" si="3149">IF(AZ198=0,0,IF(AZ198&gt;0,IF($J198=6,AZ198,IF($J198=5,AZ198,IF($J198=4,AZ198,0)))))</f>
        <v>0</v>
      </c>
      <c r="AX198" s="83">
        <f t="shared" ref="AX198:AX199" si="3150">IF(AZ198=0,0,IF(AZ198&gt;0,IF($J198=9,AZ198,IF($J198=8,AZ198,IF($J198=7,AZ198,0)))))</f>
        <v>0</v>
      </c>
      <c r="AY198" s="84">
        <f t="shared" ref="AY198:AY199" si="3151">IF(AZ198=0,0,IF(AZ198&gt;0,IF($J198=12,AZ198,IF($J198=11,AZ198,IF($J198=10,AZ198,0)))))</f>
        <v>0</v>
      </c>
      <c r="AZ198" s="81">
        <f t="shared" si="2995"/>
        <v>0</v>
      </c>
      <c r="BA198" s="82">
        <f t="shared" si="2996"/>
        <v>0</v>
      </c>
      <c r="BB198" s="83">
        <f t="shared" si="2997"/>
        <v>0</v>
      </c>
      <c r="BC198" s="83">
        <f t="shared" si="2998"/>
        <v>0</v>
      </c>
      <c r="BD198" s="84">
        <f t="shared" si="2999"/>
        <v>0</v>
      </c>
      <c r="BE198" s="81">
        <f t="shared" si="3000"/>
        <v>0</v>
      </c>
      <c r="BF198" s="1884"/>
      <c r="BG198" s="2005">
        <f t="shared" ref="BG198:BG199" si="3152">IF(AND(BF198&lt;&gt;0,BF$5=$H198),$I198*$E198-BF198,IF(BG$5=$H198,$I198*$E198*(12-$J198+1)/12,0))</f>
        <v>0</v>
      </c>
      <c r="BH198" s="86">
        <f t="shared" ref="BH198:BH199" si="3153">IF($H198&lt;&gt;BL$5,0,IF(BL198&gt;0,IF($J198=1,$E198*$I198/12*3,IF($J198=2,$E198*$I198/12*2,IF($J198=3,$E198*$I198/12*1,0)))))+IF(BG$5&lt;&gt;$H198,0,IF(BG198&gt;0,IF($J198=1,$E198*$I198/12*0,IF($J198=2,$E198*$I198/12*1,IF($J198=3,$E198*$I198/12*2,IF($J198&gt;=4,$E198*$I198/12*3,0))))))</f>
        <v>0</v>
      </c>
      <c r="BI198" s="87">
        <f t="shared" ref="BI198:BI199" si="3154">IF($H198&lt;&gt;BL$5,0,IF(BL198&gt;0,IF(OR($J198=1,$J198=2,$J198=3,$J198=4),$E198*$I198/12*3,IF($J198=5,$E198*$I198/12*2,IF($J198=6,$E198*$I198/12*1,0)))))+IF(BG$5&lt;&gt;$H198,0,IF(BG198&gt;0,IF($J198=4,$E198*$I198/12*0,IF($J198=5,$E198*$I198/12*1,IF($J198=6,$E198*$I198/12*2,IF($J198&gt;=7,$E198*$I198/12*3,0))))))</f>
        <v>0</v>
      </c>
      <c r="BJ198" s="87">
        <f t="shared" ref="BJ198:BJ199" si="3155">IF($H198&lt;&gt;BL$5,0,IF(BL198&gt;0,IF(OR($J198=1,$J198=2,$J198=3,$J198=4,$J198=5,$J198=6,$J198=7),$E198*$I198/12*3,IF($J198=8,$E198*$I198/12*2,IF($J198=9,$E198*$I198/12*1,0)))))+IF(BG$5&lt;&gt;$H198,0,IF(BG198&gt;0,IF($J198=7,$E198*$I198/12*0,IF($J198=8,$E198*$I198/12*1,IF($J198=9,$E198*$I198/12*2,IF($J198&gt;=10,$E198*$I198/12*3,0))))))</f>
        <v>0</v>
      </c>
      <c r="BK198" s="88">
        <f t="shared" ref="BK198:BK199" si="3156">IF($H198&lt;&gt;BL$5,0,IF(BL198&gt;0,IF(OR($J198=1,$J198=2,$J198=3,$J198=4,$J198=5,$J198=6,$J198=7,$J198=8,$J198=9,$J198=10),$E198*$I198/12*3,IF($J198=11,$E198*$I198/12*2,IF($J198=12,$E198*$I198/12*1,0)))))+IF(BG$5&lt;&gt;$H198,0,IF(BG198&gt;0,IF($J198=10,$E198*$I198/12*0,IF($J198=11,$E198*$I198/12*1,IF($J198=12,$E198*$I198/12*2,0)))))</f>
        <v>0</v>
      </c>
      <c r="BL198" s="85">
        <f t="shared" ref="BL198:BL199" si="3157">IF(AND(BG198&lt;&gt;0,BG$5=$H198),$I198*$E198-BG198,IF(BL$5=$H198,$I198*$E198*(12-$J198+1)/12,0))</f>
        <v>0</v>
      </c>
      <c r="BM198" s="86">
        <f t="shared" ref="BM198:BM199" si="3158">IF($H198&lt;&gt;BQ$5,0,IF(BQ198&gt;0,IF($J198=1,$E198*$I198/12*3,IF($J198=2,$E198*$I198/12*2,IF($J198=3,$E198*$I198/12*1,0)))))+IF(BL$5&lt;&gt;$H198,0,IF(BL198&gt;0,IF($J198=1,$E198*$I198/12*0,IF($J198=2,$E198*$I198/12*1,IF($J198=3,$E198*$I198/12*2,IF($J198&gt;=4,$E198*$I198/12*3,0))))))</f>
        <v>0</v>
      </c>
      <c r="BN198" s="87">
        <f t="shared" ref="BN198:BN199" si="3159">IF($H198&lt;&gt;BQ$5,0,IF(BQ198&gt;0,IF(OR($J198=1,$J198=2,$J198=3,$J198=4),$E198*$I198/12*3,IF($J198=5,$E198*$I198/12*2,IF($J198=6,$E198*$I198/12*1,0)))))+IF(BL$5&lt;&gt;$H198,0,IF(BL198&gt;0,IF($J198=4,$E198*$I198/12*0,IF($J198=5,$E198*$I198/12*1,IF($J198=6,$E198*$I198/12*2,IF($J198&gt;=7,$E198*$I198/12*3,0))))))</f>
        <v>0</v>
      </c>
      <c r="BO198" s="87">
        <f t="shared" ref="BO198:BO199" si="3160">IF($H198&lt;&gt;BQ$5,0,IF(BQ198&gt;0,IF(OR($J198=1,$J198=2,$J198=3,$J198=4,$J198=5,$J198=6,$J198=7),$E198*$I198/12*3,IF($J198=8,$E198*$I198/12*2,IF($J198=9,$E198*$I198/12*1,0)))))+IF(BL$5&lt;&gt;$H198,0,IF(BL198&gt;0,IF($J198=7,$E198*$I198/12*0,IF($J198=8,$E198*$I198/12*1,IF($J198=9,$E198*$I198/12*2,IF($J198&gt;=10,$E198*$I198/12*3,0))))))</f>
        <v>0</v>
      </c>
      <c r="BP198" s="88">
        <f t="shared" ref="BP198:BP199" si="3161">IF($H198&lt;&gt;BQ$5,0,IF(BQ198&gt;0,IF(OR($J198=1,$J198=2,$J198=3,$J198=4,$J198=5,$J198=6,$J198=7,$J198=8,$J198=9,$J198=10),$E198*$I198/12*3,IF($J198=11,$E198*$I198/12*2,IF($J198=12,$E198*$I198/12*1,0)))))+IF(BL$5&lt;&gt;$H198,0,IF(BL198&gt;0,IF($J198=10,$E198*$I198/12*0,IF($J198=11,$E198*$I198/12*1,IF($J198=12,$E198*$I198/12*2,0)))))</f>
        <v>0</v>
      </c>
      <c r="BQ198" s="85">
        <f t="shared" ref="BQ198:BQ199" si="3162">IF(AND(BL198&lt;&gt;0,BL$5=$H198),$I198*$E198-BL198,IF(BQ$5=$H198,$I198*$E198*(12-$J198+1)/12,0))</f>
        <v>0</v>
      </c>
      <c r="BR198" s="86">
        <f t="shared" ref="BR198:BR199" si="3163">IF($H198&lt;&gt;BV$5,0,IF(BV198&gt;0,IF($J198=1,$E198*$I198/12*3,IF($J198=2,$E198*$I198/12*2,IF($J198=3,$E198*$I198/12*1,0)))))+IF(BQ$5&lt;&gt;$H198,0,IF(BQ198&gt;0,IF($J198=1,$E198*$I198/12*0,IF($J198=2,$E198*$I198/12*1,IF($J198=3,$E198*$I198/12*2,IF($J198&gt;=4,$E198*$I198/12*3,0))))))</f>
        <v>0</v>
      </c>
      <c r="BS198" s="87">
        <f t="shared" ref="BS198:BS199" si="3164">IF($H198&lt;&gt;BV$5,0,IF(BV198&gt;0,IF(OR($J198=1,$J198=2,$J198=3,$J198=4),$E198*$I198/12*3,IF($J198=5,$E198*$I198/12*2,IF($J198=6,$E198*$I198/12*1,0)))))+IF(BQ$5&lt;&gt;$H198,0,IF(BQ198&gt;0,IF($J198=4,$E198*$I198/12*0,IF($J198=5,$E198*$I198/12*1,IF($J198=6,$E198*$I198/12*2,IF($J198&gt;=7,$E198*$I198/12*3,0))))))</f>
        <v>0</v>
      </c>
      <c r="BT198" s="87">
        <f t="shared" ref="BT198:BT199" si="3165">IF($H198&lt;&gt;BV$5,0,IF(BV198&gt;0,IF(OR($J198=1,$J198=2,$J198=3,$J198=4,$J198=5,$J198=6,$J198=7),$E198*$I198/12*3,IF($J198=8,$E198*$I198/12*2,IF($J198=9,$E198*$I198/12*1,0)))))+IF(BQ$5&lt;&gt;$H198,0,IF(BQ198&gt;0,IF($J198=7,$E198*$I198/12*0,IF($J198=8,$E198*$I198/12*1,IF($J198=9,$E198*$I198/12*2,IF($J198&gt;=10,$E198*$I198/12*3,0))))))</f>
        <v>0</v>
      </c>
      <c r="BU198" s="88">
        <f t="shared" ref="BU198:BU199" si="3166">IF($H198&lt;&gt;BV$5,0,IF(BV198&gt;0,IF(OR($J198=1,$J198=2,$J198=3,$J198=4,$J198=5,$J198=6,$J198=7,$J198=8,$J198=9,$J198=10),$E198*$I198/12*3,IF($J198=11,$E198*$I198/12*2,IF($J198=12,$E198*$I198/12*1,0)))))+IF(BQ$5&lt;&gt;$H198,0,IF(BQ198&gt;0,IF($J198=10,$E198*$I198/12*0,IF($J198=11,$E198*$I198/12*1,IF($J198=12,$E198*$I198/12*2,0)))))</f>
        <v>0</v>
      </c>
      <c r="BV198" s="85">
        <f t="shared" ref="BV198:BV199" si="3167">IF(AND(BQ198&lt;&gt;0,BQ$5=$H198),$I198*$E198-BQ198,IF(BV$5=$H198,$I198*$E198*(12-$J198+1)/12,0))</f>
        <v>0</v>
      </c>
      <c r="BW198" s="86">
        <f t="shared" ref="BW198:BW199" si="3168">IF($H198&lt;&gt;CA$5,0,IF(CA198&gt;0,IF($J198=1,$E198*$I198/12*3,IF($J198=2,$E198*$I198/12*2,IF($J198=3,$E198*$I198/12*1,0)))))+IF(BV$5&lt;&gt;$H198,0,IF(BV198&gt;0,IF($J198=1,$E198*$I198/12*0,IF($J198=2,$E198*$I198/12*1,IF($J198=3,$E198*$I198/12*2,IF($J198&gt;=4,$E198*$I198/12*3,0))))))</f>
        <v>0</v>
      </c>
      <c r="BX198" s="87">
        <f t="shared" ref="BX198:BX199" si="3169">IF($H198&lt;&gt;CA$5,0,IF(CA198&gt;0,IF(OR($J198=1,$J198=2,$J198=3,$J198=4),$E198*$I198/12*3,IF($J198=5,$E198*$I198/12*2,IF($J198=6,$E198*$I198/12*1,0)))))+IF(BV$5&lt;&gt;$H198,0,IF(BV198&gt;0,IF($J198=4,$E198*$I198/12*0,IF($J198=5,$E198*$I198/12*1,IF($J198=6,$E198*$I198/12*2,IF($J198&gt;=7,$E198*$I198/12*3,0))))))</f>
        <v>0</v>
      </c>
      <c r="BY198" s="87">
        <f t="shared" ref="BY198:BY199" si="3170">IF($H198&lt;&gt;CA$5,0,IF(CA198&gt;0,IF(OR($J198=1,$J198=2,$J198=3,$J198=4,$J198=5,$J198=6,$J198=7),$E198*$I198/12*3,IF($J198=8,$E198*$I198/12*2,IF($J198=9,$E198*$I198/12*1,0)))))+IF(BV$5&lt;&gt;$H198,0,IF(BV198&gt;0,IF($J198=7,$E198*$I198/12*0,IF($J198=8,$E198*$I198/12*1,IF($J198=9,$E198*$I198/12*2,IF($J198&gt;=10,$E198*$I198/12*3,0))))))</f>
        <v>0</v>
      </c>
      <c r="BZ198" s="88">
        <f t="shared" ref="BZ198:BZ199" si="3171">IF($H198&lt;&gt;CA$5,0,IF(CA198&gt;0,IF(OR($J198=1,$J198=2,$J198=3,$J198=4,$J198=5,$J198=6,$J198=7,$J198=8,$J198=9,$J198=10),$E198*$I198/12*3,IF($J198=11,$E198*$I198/12*2,IF($J198=12,$E198*$I198/12*1,0)))))+IF(BV$5&lt;&gt;$H198,0,IF(BV198&gt;0,IF($J198=10,$E198*$I198/12*0,IF($J198=11,$E198*$I198/12*1,IF($J198=12,$E198*$I198/12*2,0)))))</f>
        <v>0</v>
      </c>
      <c r="CA198" s="85">
        <f t="shared" ref="CA198:CA199" si="3172">IF(AND(BV198&lt;&gt;0,BV$5=$H198),$I198*$E198-BV198,IF(CA$5=$H198,$I198*$E198*(12-$J198+1)/12,0))</f>
        <v>0</v>
      </c>
      <c r="CB198" s="86">
        <f t="shared" ref="CB198:CB199" si="3173">IF($H198&lt;&gt;CF$5,0,IF(CF198&gt;0,IF($J198=1,$E198*$I198/12*3,IF($J198=2,$E198*$I198/12*2,IF($J198=3,$E198*$I198/12*1,0)))))+IF(CA$5&lt;&gt;$H198,0,IF(CA198&gt;0,IF($J198=1,$E198*$I198/12*0,IF($J198=2,$E198*$I198/12*1,IF($J198=3,$E198*$I198/12*2,IF($J198&gt;=4,$E198*$I198/12*3,0))))))</f>
        <v>0</v>
      </c>
      <c r="CC198" s="87">
        <f t="shared" ref="CC198:CC199" si="3174">IF($H198&lt;&gt;CF$5,0,IF(CF198&gt;0,IF(OR($J198=1,$J198=2,$J198=3,$J198=4),$E198*$I198/12*3,IF($J198=5,$E198*$I198/12*2,IF($J198=6,$E198*$I198/12*1,0)))))+IF(CA$5&lt;&gt;$H198,0,IF(CA198&gt;0,IF($J198=4,$E198*$I198/12*0,IF($J198=5,$E198*$I198/12*1,IF($J198=6,$E198*$I198/12*2,IF($J198&gt;=7,$E198*$I198/12*3,0))))))</f>
        <v>0</v>
      </c>
      <c r="CD198" s="87">
        <f t="shared" ref="CD198:CD199" si="3175">IF($H198&lt;&gt;CF$5,0,IF(CF198&gt;0,IF(OR($J198=1,$J198=2,$J198=3,$J198=4,$J198=5,$J198=6,$J198=7),$E198*$I198/12*3,IF($J198=8,$E198*$I198/12*2,IF($J198=9,$E198*$I198/12*1,0)))))+IF(CA$5&lt;&gt;$H198,0,IF(CA198&gt;0,IF($J198=7,$E198*$I198/12*0,IF($J198=8,$E198*$I198/12*1,IF($J198=9,$E198*$I198/12*2,IF($J198&gt;=10,$E198*$I198/12*3,0))))))</f>
        <v>0</v>
      </c>
      <c r="CE198" s="88">
        <f t="shared" ref="CE198:CE199" si="3176">IF($H198&lt;&gt;CF$5,0,IF(CF198&gt;0,IF(OR($J198=1,$J198=2,$J198=3,$J198=4,$J198=5,$J198=6,$J198=7,$J198=8,$J198=9,$J198=10),$E198*$I198/12*3,IF($J198=11,$E198*$I198/12*2,IF($J198=12,$E198*$I198/12*1,0)))))+IF(CA$5&lt;&gt;$H198,0,IF(CA198&gt;0,IF($J198=10,$E198*$I198/12*0,IF($J198=11,$E198*$I198/12*1,IF($J198=12,$E198*$I198/12*2,0)))))</f>
        <v>0</v>
      </c>
      <c r="CF198" s="85">
        <f t="shared" ref="CF198:CF199" si="3177">IF(AND(CA198&lt;&gt;0,CA$5=$H198),$I198*$E198-CA198,IF(CF$5=$H198,$I198*$E198*(12-$J198+1)/12,0))</f>
        <v>0</v>
      </c>
      <c r="CG198" s="86">
        <f t="shared" ref="CG198:CG199" si="3178">IF($H198&lt;&gt;CK$5,0,IF(CK198&gt;0,IF($J198=1,$E198*$I198/12*3,IF($J198=2,$E198*$I198/12*2,IF($J198=3,$E198*$I198/12*1,0)))))+IF(CF$5&lt;&gt;$H198,0,IF(CF198&gt;0,IF($J198=1,$E198*$I198/12*0,IF($J198=2,$E198*$I198/12*1,IF($J198=3,$E198*$I198/12*2,IF($J198&gt;=4,$E198*$I198/12*3,0))))))</f>
        <v>0</v>
      </c>
      <c r="CH198" s="87">
        <f t="shared" ref="CH198:CH199" si="3179">IF($H198&lt;&gt;CK$5,0,IF(CK198&gt;0,IF(OR($J198=1,$J198=2,$J198=3,$J198=4),$E198*$I198/12*3,IF($J198=5,$E198*$I198/12*2,IF($J198=6,$E198*$I198/12*1,0)))))+IF(CF$5&lt;&gt;$H198,0,IF(CF198&gt;0,IF($J198=4,$E198*$I198/12*0,IF($J198=5,$E198*$I198/12*1,IF($J198=6,$E198*$I198/12*2,IF($J198&gt;=7,$E198*$I198/12*3,0))))))</f>
        <v>0</v>
      </c>
      <c r="CI198" s="87">
        <f t="shared" ref="CI198:CI199" si="3180">IF($H198&lt;&gt;CK$5,0,IF(CK198&gt;0,IF(OR($J198=1,$J198=2,$J198=3,$J198=4,$J198=5,$J198=6,$J198=7),$E198*$I198/12*3,IF($J198=8,$E198*$I198/12*2,IF($J198=9,$E198*$I198/12*1,0)))))+IF(CF$5&lt;&gt;$H198,0,IF(CF198&gt;0,IF($J198=7,$E198*$I198/12*0,IF($J198=8,$E198*$I198/12*1,IF($J198=9,$E198*$I198/12*2,IF($J198&gt;=10,$E198*$I198/12*3,0))))))</f>
        <v>0</v>
      </c>
      <c r="CJ198" s="88">
        <f t="shared" ref="CJ198:CJ199" si="3181">IF($H198&lt;&gt;CK$5,0,IF(CK198&gt;0,IF(OR($J198=1,$J198=2,$J198=3,$J198=4,$J198=5,$J198=6,$J198=7,$J198=8,$J198=9,$J198=10),$E198*$I198/12*3,IF($J198=11,$E198*$I198/12*2,IF($J198=12,$E198*$I198/12*1,0)))))+IF(CF$5&lt;&gt;$H198,0,IF(CF198&gt;0,IF($J198=10,$E198*$I198/12*0,IF($J198=11,$E198*$I198/12*1,IF($J198=12,$E198*$I198/12*2,0)))))</f>
        <v>0</v>
      </c>
      <c r="CK198" s="85">
        <f t="shared" ref="CK198:CK199" si="3182">IF(AND(CF198&lt;&gt;0,CF$5=$H198),$I198*$E198-CF198,IF(CK$5=$H198,$I198*$E198*(12-$J198+1)/12,0))</f>
        <v>0</v>
      </c>
      <c r="CL198" s="86">
        <f t="shared" ref="CL198:CL199" si="3183">IF($H198&lt;&gt;CP$5,0,IF(CP198&gt;0,IF($J198=1,$E198*$I198/12*3,IF($J198=2,$E198*$I198/12*2,IF($J198=3,$E198*$I198/12*1,0)))))+IF(CK$5&lt;&gt;$H198,0,IF(CK198&gt;0,IF($J198=1,$E198*$I198/12*0,IF($J198=2,$E198*$I198/12*1,IF($J198=3,$E198*$I198/12*2,IF($J198&gt;=4,$E198*$I198/12*3,0))))))</f>
        <v>0</v>
      </c>
      <c r="CM198" s="87">
        <f t="shared" ref="CM198:CM199" si="3184">IF($H198&lt;&gt;CP$5,0,IF(CP198&gt;0,IF(OR($J198=1,$J198=2,$J198=3,$J198=4),$E198*$I198/12*3,IF($J198=5,$E198*$I198/12*2,IF($J198=6,$E198*$I198/12*1,0)))))+IF(CK$5&lt;&gt;$H198,0,IF(CK198&gt;0,IF($J198=4,$E198*$I198/12*0,IF($J198=5,$E198*$I198/12*1,IF($J198=6,$E198*$I198/12*2,IF($J198&gt;=7,$E198*$I198/12*3,0))))))</f>
        <v>0</v>
      </c>
      <c r="CN198" s="87">
        <f t="shared" ref="CN198:CN199" si="3185">IF($H198&lt;&gt;CP$5,0,IF(CP198&gt;0,IF(OR($J198=1,$J198=2,$J198=3,$J198=4,$J198=5,$J198=6,$J198=7),$E198*$I198/12*3,IF($J198=8,$E198*$I198/12*2,IF($J198=9,$E198*$I198/12*1,0)))))+IF(CK$5&lt;&gt;$H198,0,IF(CK198&gt;0,IF($J198=7,$E198*$I198/12*0,IF($J198=8,$E198*$I198/12*1,IF($J198=9,$E198*$I198/12*2,IF($J198&gt;=10,$E198*$I198/12*3,0))))))</f>
        <v>3.4375</v>
      </c>
      <c r="CO198" s="88">
        <f t="shared" ref="CO198:CO199" si="3186">IF($H198&lt;&gt;CP$5,0,IF(CP198&gt;0,IF(OR($J198=1,$J198=2,$J198=3,$J198=4,$J198=5,$J198=6,$J198=7,$J198=8,$J198=9,$J198=10),$E198*$I198/12*3,IF($J198=11,$E198*$I198/12*2,IF($J198=12,$E198*$I198/12*1,0)))))+IF(CK$5&lt;&gt;$H198,0,IF(CK198&gt;0,IF($J198=10,$E198*$I198/12*0,IF($J198=11,$E198*$I198/12*1,IF($J198=12,$E198*$I198/12*2,0)))))</f>
        <v>3.4375</v>
      </c>
      <c r="CP198" s="85">
        <f t="shared" ref="CP198:CP199" si="3187">IF(AND(CK198&lt;&gt;0,CK$5=$H198),$I198*$E198-CK198,IF(CP$5=$H198,$I198*$E198*(12-$J198+1)/12,0))</f>
        <v>6.875</v>
      </c>
      <c r="CQ198" s="86">
        <f t="shared" ref="CQ198:CQ199" si="3188">IF($H198&lt;&gt;CU$5,0,IF(CU198&gt;0,IF($J198=1,$E198*$I198/12*3,IF($J198=2,$E198*$I198/12*2,IF($J198=3,$E198*$I198/12*1,0)))))+IF(CP$5&lt;&gt;$H198,0,IF(CP198&gt;0,IF($J198=1,$E198*$I198/12*0,IF($J198=2,$E198*$I198/12*1,IF($J198=3,$E198*$I198/12*2,IF($J198&gt;=4,$E198*$I198/12*3,0))))))</f>
        <v>3.4375</v>
      </c>
      <c r="CR198" s="87">
        <f t="shared" ref="CR198:CR199" si="3189">IF($H198&lt;&gt;CU$5,0,IF(CU198&gt;0,IF(OR($J198=1,$J198=2,$J198=3,$J198=4),$E198*$I198/12*3,IF($J198=5,$E198*$I198/12*2,IF($J198=6,$E198*$I198/12*1,0)))))+IF(CP$5&lt;&gt;$H198,0,IF(CP198&gt;0,IF($J198=4,$E198*$I198/12*0,IF($J198=5,$E198*$I198/12*1,IF($J198=6,$E198*$I198/12*2,IF($J198&gt;=7,$E198*$I198/12*3,0))))))</f>
        <v>3.4375</v>
      </c>
      <c r="CS198" s="87">
        <f t="shared" ref="CS198:CS199" si="3190">IF($H198&lt;&gt;CU$5,0,IF(CU198&gt;0,IF(OR($J198=1,$J198=2,$J198=3,$J198=4,$J198=5,$J198=6,$J198=7),$E198*$I198/12*3,IF($J198=8,$E198*$I198/12*2,IF($J198=9,$E198*$I198/12*1,0)))))+IF(CP$5&lt;&gt;$H198,0,IF(CP198&gt;0,IF($J198=7,$E198*$I198/12*0,IF($J198=8,$E198*$I198/12*1,IF($J198=9,$E198*$I198/12*2,IF($J198&gt;=10,$E198*$I198/12*3,0))))))</f>
        <v>0</v>
      </c>
      <c r="CT198" s="88">
        <f t="shared" ref="CT198:CT199" si="3191">IF($H198&lt;&gt;CU$5,0,IF(CU198&gt;0,IF(OR($J198=1,$J198=2,$J198=3,$J198=4,$J198=5,$J198=6,$J198=7,$J198=8,$J198=9,$J198=10),$E198*$I198/12*3,IF($J198=11,$E198*$I198/12*2,IF($J198=12,$E198*$I198/12*1,0)))))+IF(CP$5&lt;&gt;$H198,0,IF(CP198&gt;0,IF($J198=10,$E198*$I198/12*0,IF($J198=11,$E198*$I198/12*1,IF($J198=12,$E198*$I198/12*2,0)))))</f>
        <v>0</v>
      </c>
      <c r="CU198" s="85">
        <f t="shared" ref="CU198:CU199" si="3192">IF(AND(CP198&lt;&gt;0,CP$5=$H198),$I198*$E198-CP198,IF(CU$5=$H198,$I198*$E198*(12-$J198+1)/12,0))</f>
        <v>6.875</v>
      </c>
      <c r="CV198" s="86">
        <f t="shared" si="3042"/>
        <v>0</v>
      </c>
      <c r="CW198" s="87">
        <f t="shared" si="3043"/>
        <v>0</v>
      </c>
      <c r="CX198" s="87">
        <f t="shared" si="3044"/>
        <v>0</v>
      </c>
      <c r="CY198" s="88">
        <f t="shared" si="3045"/>
        <v>0</v>
      </c>
      <c r="CZ198" s="85">
        <f t="shared" si="3046"/>
        <v>0</v>
      </c>
    </row>
    <row r="199" spans="1:104" ht="12.75" customHeight="1">
      <c r="A199" s="4"/>
      <c r="B199" s="4"/>
      <c r="C199" s="1999" t="s">
        <v>1372</v>
      </c>
      <c r="D199" s="146"/>
      <c r="E199" s="147">
        <f>+BGE!BL177</f>
        <v>225</v>
      </c>
      <c r="F199" s="326"/>
      <c r="G199" s="326"/>
      <c r="H199" s="171">
        <v>2020</v>
      </c>
      <c r="I199" s="172">
        <v>0.05</v>
      </c>
      <c r="J199" s="171">
        <v>7</v>
      </c>
      <c r="K199" s="80"/>
      <c r="L199" s="81">
        <f t="shared" si="2955"/>
        <v>0</v>
      </c>
      <c r="M199" s="82">
        <f t="shared" si="3120"/>
        <v>0</v>
      </c>
      <c r="N199" s="83">
        <f t="shared" si="3121"/>
        <v>0</v>
      </c>
      <c r="O199" s="83">
        <f t="shared" si="3122"/>
        <v>0</v>
      </c>
      <c r="P199" s="84">
        <f t="shared" si="3123"/>
        <v>0</v>
      </c>
      <c r="Q199" s="81">
        <f t="shared" si="2960"/>
        <v>0</v>
      </c>
      <c r="R199" s="82">
        <f t="shared" si="3124"/>
        <v>0</v>
      </c>
      <c r="S199" s="83">
        <f t="shared" si="3125"/>
        <v>0</v>
      </c>
      <c r="T199" s="83">
        <f t="shared" si="3126"/>
        <v>0</v>
      </c>
      <c r="U199" s="84">
        <f t="shared" si="3127"/>
        <v>0</v>
      </c>
      <c r="V199" s="81">
        <f t="shared" si="2965"/>
        <v>0</v>
      </c>
      <c r="W199" s="82">
        <f t="shared" si="3128"/>
        <v>0</v>
      </c>
      <c r="X199" s="83">
        <f t="shared" si="3129"/>
        <v>0</v>
      </c>
      <c r="Y199" s="83">
        <f t="shared" si="3130"/>
        <v>0</v>
      </c>
      <c r="Z199" s="84">
        <f t="shared" si="3131"/>
        <v>0</v>
      </c>
      <c r="AA199" s="81">
        <f t="shared" si="2970"/>
        <v>0</v>
      </c>
      <c r="AB199" s="82">
        <f t="shared" si="3132"/>
        <v>0</v>
      </c>
      <c r="AC199" s="83">
        <f t="shared" si="3133"/>
        <v>0</v>
      </c>
      <c r="AD199" s="83">
        <f t="shared" si="3134"/>
        <v>0</v>
      </c>
      <c r="AE199" s="84">
        <f t="shared" si="3135"/>
        <v>0</v>
      </c>
      <c r="AF199" s="81">
        <f t="shared" si="2975"/>
        <v>0</v>
      </c>
      <c r="AG199" s="82">
        <f t="shared" si="3136"/>
        <v>0</v>
      </c>
      <c r="AH199" s="83">
        <f t="shared" si="3137"/>
        <v>0</v>
      </c>
      <c r="AI199" s="83">
        <f t="shared" si="3138"/>
        <v>0</v>
      </c>
      <c r="AJ199" s="84">
        <f t="shared" si="3139"/>
        <v>0</v>
      </c>
      <c r="AK199" s="81">
        <f t="shared" si="2980"/>
        <v>0</v>
      </c>
      <c r="AL199" s="82">
        <f t="shared" si="3140"/>
        <v>0</v>
      </c>
      <c r="AM199" s="83">
        <f t="shared" si="3141"/>
        <v>0</v>
      </c>
      <c r="AN199" s="83">
        <f t="shared" si="3142"/>
        <v>0</v>
      </c>
      <c r="AO199" s="84">
        <f t="shared" si="3143"/>
        <v>0</v>
      </c>
      <c r="AP199" s="81">
        <f t="shared" si="2985"/>
        <v>0</v>
      </c>
      <c r="AQ199" s="82">
        <f t="shared" si="3144"/>
        <v>0</v>
      </c>
      <c r="AR199" s="83">
        <f t="shared" si="3145"/>
        <v>0</v>
      </c>
      <c r="AS199" s="83">
        <f t="shared" si="3146"/>
        <v>0</v>
      </c>
      <c r="AT199" s="84">
        <f t="shared" si="3147"/>
        <v>0</v>
      </c>
      <c r="AU199" s="81">
        <f t="shared" si="2990"/>
        <v>0</v>
      </c>
      <c r="AV199" s="82">
        <f t="shared" si="3148"/>
        <v>0</v>
      </c>
      <c r="AW199" s="83">
        <f t="shared" si="3149"/>
        <v>0</v>
      </c>
      <c r="AX199" s="83">
        <f t="shared" si="3150"/>
        <v>225</v>
      </c>
      <c r="AY199" s="84">
        <f t="shared" si="3151"/>
        <v>0</v>
      </c>
      <c r="AZ199" s="81">
        <f t="shared" si="2995"/>
        <v>225</v>
      </c>
      <c r="BA199" s="82">
        <f t="shared" si="2996"/>
        <v>0</v>
      </c>
      <c r="BB199" s="83">
        <f t="shared" si="2997"/>
        <v>0</v>
      </c>
      <c r="BC199" s="83">
        <f t="shared" si="2998"/>
        <v>0</v>
      </c>
      <c r="BD199" s="84">
        <f t="shared" si="2999"/>
        <v>0</v>
      </c>
      <c r="BE199" s="81">
        <f t="shared" si="3000"/>
        <v>0</v>
      </c>
      <c r="BF199" s="1884"/>
      <c r="BG199" s="2005">
        <f t="shared" si="3152"/>
        <v>0</v>
      </c>
      <c r="BH199" s="86">
        <f t="shared" si="3153"/>
        <v>0</v>
      </c>
      <c r="BI199" s="87">
        <f t="shared" si="3154"/>
        <v>0</v>
      </c>
      <c r="BJ199" s="87">
        <f t="shared" si="3155"/>
        <v>0</v>
      </c>
      <c r="BK199" s="88">
        <f t="shared" si="3156"/>
        <v>0</v>
      </c>
      <c r="BL199" s="85">
        <f t="shared" si="3157"/>
        <v>0</v>
      </c>
      <c r="BM199" s="86">
        <f t="shared" si="3158"/>
        <v>0</v>
      </c>
      <c r="BN199" s="87">
        <f t="shared" si="3159"/>
        <v>0</v>
      </c>
      <c r="BO199" s="87">
        <f t="shared" si="3160"/>
        <v>0</v>
      </c>
      <c r="BP199" s="88">
        <f t="shared" si="3161"/>
        <v>0</v>
      </c>
      <c r="BQ199" s="85">
        <f t="shared" si="3162"/>
        <v>0</v>
      </c>
      <c r="BR199" s="86">
        <f t="shared" si="3163"/>
        <v>0</v>
      </c>
      <c r="BS199" s="87">
        <f t="shared" si="3164"/>
        <v>0</v>
      </c>
      <c r="BT199" s="87">
        <f t="shared" si="3165"/>
        <v>0</v>
      </c>
      <c r="BU199" s="88">
        <f t="shared" si="3166"/>
        <v>0</v>
      </c>
      <c r="BV199" s="85">
        <f t="shared" si="3167"/>
        <v>0</v>
      </c>
      <c r="BW199" s="86">
        <f t="shared" si="3168"/>
        <v>0</v>
      </c>
      <c r="BX199" s="87">
        <f t="shared" si="3169"/>
        <v>0</v>
      </c>
      <c r="BY199" s="87">
        <f t="shared" si="3170"/>
        <v>0</v>
      </c>
      <c r="BZ199" s="88">
        <f t="shared" si="3171"/>
        <v>0</v>
      </c>
      <c r="CA199" s="85">
        <f t="shared" si="3172"/>
        <v>0</v>
      </c>
      <c r="CB199" s="86">
        <f t="shared" si="3173"/>
        <v>0</v>
      </c>
      <c r="CC199" s="87">
        <f t="shared" si="3174"/>
        <v>0</v>
      </c>
      <c r="CD199" s="87">
        <f t="shared" si="3175"/>
        <v>0</v>
      </c>
      <c r="CE199" s="88">
        <f t="shared" si="3176"/>
        <v>0</v>
      </c>
      <c r="CF199" s="85">
        <f t="shared" si="3177"/>
        <v>0</v>
      </c>
      <c r="CG199" s="86">
        <f t="shared" si="3178"/>
        <v>0</v>
      </c>
      <c r="CH199" s="87">
        <f t="shared" si="3179"/>
        <v>0</v>
      </c>
      <c r="CI199" s="87">
        <f t="shared" si="3180"/>
        <v>0</v>
      </c>
      <c r="CJ199" s="88">
        <f t="shared" si="3181"/>
        <v>0</v>
      </c>
      <c r="CK199" s="85">
        <f t="shared" si="3182"/>
        <v>0</v>
      </c>
      <c r="CL199" s="86">
        <f t="shared" si="3183"/>
        <v>0</v>
      </c>
      <c r="CM199" s="87">
        <f t="shared" si="3184"/>
        <v>0</v>
      </c>
      <c r="CN199" s="87">
        <f t="shared" si="3185"/>
        <v>0</v>
      </c>
      <c r="CO199" s="88">
        <f t="shared" si="3186"/>
        <v>0</v>
      </c>
      <c r="CP199" s="85">
        <f t="shared" si="3187"/>
        <v>0</v>
      </c>
      <c r="CQ199" s="86">
        <f t="shared" si="3188"/>
        <v>0</v>
      </c>
      <c r="CR199" s="87">
        <f t="shared" si="3189"/>
        <v>0</v>
      </c>
      <c r="CS199" s="87">
        <f t="shared" si="3190"/>
        <v>2.8125</v>
      </c>
      <c r="CT199" s="88">
        <f t="shared" si="3191"/>
        <v>2.8125</v>
      </c>
      <c r="CU199" s="85">
        <f t="shared" si="3192"/>
        <v>5.625</v>
      </c>
      <c r="CV199" s="86">
        <f t="shared" si="3042"/>
        <v>2.8125</v>
      </c>
      <c r="CW199" s="87">
        <f t="shared" si="3043"/>
        <v>2.8125</v>
      </c>
      <c r="CX199" s="87">
        <f t="shared" si="3044"/>
        <v>0</v>
      </c>
      <c r="CY199" s="88">
        <f t="shared" si="3045"/>
        <v>0</v>
      </c>
      <c r="CZ199" s="85">
        <f t="shared" si="3046"/>
        <v>5.625</v>
      </c>
    </row>
    <row r="200" spans="1:104" ht="12.75" customHeight="1">
      <c r="A200" s="4"/>
      <c r="B200" s="4"/>
      <c r="C200" s="1999" t="s">
        <v>1521</v>
      </c>
      <c r="D200" s="146"/>
      <c r="E200" s="147">
        <f>+BGE!BQ177</f>
        <v>450</v>
      </c>
      <c r="F200" s="326"/>
      <c r="G200" s="326"/>
      <c r="H200" s="171">
        <v>2021</v>
      </c>
      <c r="I200" s="172">
        <v>0.05</v>
      </c>
      <c r="J200" s="171">
        <v>7</v>
      </c>
      <c r="K200" s="80"/>
      <c r="L200" s="81">
        <f t="shared" si="2955"/>
        <v>0</v>
      </c>
      <c r="M200" s="82">
        <f t="shared" ref="M200" si="3193">IF(Q200=0,0,IF(Q200&gt;0,IF($J200=3,Q200,IF($J200=2,Q200,IF($J200=1,Q200,0)))))</f>
        <v>0</v>
      </c>
      <c r="N200" s="83">
        <f t="shared" ref="N200" si="3194">IF(Q200=0,0,IF(Q200&gt;0,IF($J200=6,Q200,IF($J200=5,Q200,IF($J200=4,Q200,0)))))</f>
        <v>0</v>
      </c>
      <c r="O200" s="83">
        <f t="shared" ref="O200" si="3195">IF(Q200=0,0,IF(Q200&gt;0,IF($J200=9,Q200,IF($J200=8,Q200,IF($J200=7,Q200,0)))))</f>
        <v>0</v>
      </c>
      <c r="P200" s="84">
        <f t="shared" ref="P200" si="3196">IF(Q200=0,0,IF(Q200&gt;0,IF($J200=12,Q200,IF($J200=11,Q200,IF($J200=10,Q200,0)))))</f>
        <v>0</v>
      </c>
      <c r="Q200" s="81">
        <f t="shared" si="2960"/>
        <v>0</v>
      </c>
      <c r="R200" s="82">
        <f t="shared" ref="R200" si="3197">IF(V200=0,0,IF(V200&gt;0,IF($J200=3,V200,IF($J200=2,V200,IF($J200=1,V200,0)))))</f>
        <v>0</v>
      </c>
      <c r="S200" s="83">
        <f t="shared" ref="S200" si="3198">IF(V200=0,0,IF(V200&gt;0,IF($J200=6,V200,IF($J200=5,V200,IF($J200=4,V200,0)))))</f>
        <v>0</v>
      </c>
      <c r="T200" s="83">
        <f t="shared" ref="T200" si="3199">IF(V200=0,0,IF(V200&gt;0,IF($J200=9,V200,IF($J200=8,V200,IF($J200=7,V200,0)))))</f>
        <v>0</v>
      </c>
      <c r="U200" s="84">
        <f t="shared" ref="U200" si="3200">IF(V200=0,0,IF(V200&gt;0,IF($J200=12,V200,IF($J200=11,V200,IF($J200=10,V200,0)))))</f>
        <v>0</v>
      </c>
      <c r="V200" s="81">
        <f t="shared" si="2965"/>
        <v>0</v>
      </c>
      <c r="W200" s="82">
        <f t="shared" ref="W200" si="3201">IF(AA200=0,0,IF(AA200&gt;0,IF($J200=3,AA200,IF($J200=2,AA200,IF($J200=1,AA200,0)))))</f>
        <v>0</v>
      </c>
      <c r="X200" s="83">
        <f t="shared" ref="X200" si="3202">IF(AA200=0,0,IF(AA200&gt;0,IF($J200=6,AA200,IF($J200=5,AA200,IF($J200=4,AA200,0)))))</f>
        <v>0</v>
      </c>
      <c r="Y200" s="83">
        <f t="shared" ref="Y200" si="3203">IF(AA200=0,0,IF(AA200&gt;0,IF($J200=9,AA200,IF($J200=8,AA200,IF($J200=7,AA200,0)))))</f>
        <v>0</v>
      </c>
      <c r="Z200" s="84">
        <f t="shared" ref="Z200" si="3204">IF(AA200=0,0,IF(AA200&gt;0,IF($J200=12,AA200,IF($J200=11,AA200,IF($J200=10,AA200,0)))))</f>
        <v>0</v>
      </c>
      <c r="AA200" s="81">
        <f t="shared" si="2970"/>
        <v>0</v>
      </c>
      <c r="AB200" s="82">
        <f t="shared" ref="AB200" si="3205">IF(AF200=0,0,IF(AF200&gt;0,IF($J200=3,AF200,IF($J200=2,AF200,IF($J200=1,AF200,0)))))</f>
        <v>0</v>
      </c>
      <c r="AC200" s="83">
        <f t="shared" ref="AC200" si="3206">IF(AF200=0,0,IF(AF200&gt;0,IF($J200=6,AF200,IF($J200=5,AF200,IF($J200=4,AF200,0)))))</f>
        <v>0</v>
      </c>
      <c r="AD200" s="83">
        <f t="shared" ref="AD200" si="3207">IF(AF200=0,0,IF(AF200&gt;0,IF($J200=9,AF200,IF($J200=8,AF200,IF($J200=7,AF200,0)))))</f>
        <v>0</v>
      </c>
      <c r="AE200" s="84">
        <f t="shared" ref="AE200" si="3208">IF(AF200=0,0,IF(AF200&gt;0,IF($J200=12,AF200,IF($J200=11,AF200,IF($J200=10,AF200,0)))))</f>
        <v>0</v>
      </c>
      <c r="AF200" s="81">
        <f t="shared" si="2975"/>
        <v>0</v>
      </c>
      <c r="AG200" s="82">
        <f t="shared" ref="AG200" si="3209">IF(AK200=0,0,IF(AK200&gt;0,IF($J200=3,AK200,IF($J200=2,AK200,IF($J200=1,AK200,0)))))</f>
        <v>0</v>
      </c>
      <c r="AH200" s="83">
        <f t="shared" ref="AH200" si="3210">IF(AK200=0,0,IF(AK200&gt;0,IF($J200=6,AK200,IF($J200=5,AK200,IF($J200=4,AK200,0)))))</f>
        <v>0</v>
      </c>
      <c r="AI200" s="83">
        <f t="shared" ref="AI200" si="3211">IF(AK200=0,0,IF(AK200&gt;0,IF($J200=9,AK200,IF($J200=8,AK200,IF($J200=7,AK200,0)))))</f>
        <v>0</v>
      </c>
      <c r="AJ200" s="84">
        <f t="shared" ref="AJ200" si="3212">IF(AK200=0,0,IF(AK200&gt;0,IF($J200=12,AK200,IF($J200=11,AK200,IF($J200=10,AK200,0)))))</f>
        <v>0</v>
      </c>
      <c r="AK200" s="81">
        <f t="shared" si="2980"/>
        <v>0</v>
      </c>
      <c r="AL200" s="82">
        <f t="shared" ref="AL200" si="3213">IF(AP200=0,0,IF(AP200&gt;0,IF($J200=3,AP200,IF($J200=2,AP200,IF($J200=1,AP200,0)))))</f>
        <v>0</v>
      </c>
      <c r="AM200" s="83">
        <f t="shared" ref="AM200" si="3214">IF(AP200=0,0,IF(AP200&gt;0,IF($J200=6,AP200,IF($J200=5,AP200,IF($J200=4,AP200,0)))))</f>
        <v>0</v>
      </c>
      <c r="AN200" s="83">
        <f t="shared" ref="AN200" si="3215">IF(AP200=0,0,IF(AP200&gt;0,IF($J200=9,AP200,IF($J200=8,AP200,IF($J200=7,AP200,0)))))</f>
        <v>0</v>
      </c>
      <c r="AO200" s="84">
        <f t="shared" ref="AO200" si="3216">IF(AP200=0,0,IF(AP200&gt;0,IF($J200=12,AP200,IF($J200=11,AP200,IF($J200=10,AP200,0)))))</f>
        <v>0</v>
      </c>
      <c r="AP200" s="81">
        <f t="shared" si="2985"/>
        <v>0</v>
      </c>
      <c r="AQ200" s="82">
        <f t="shared" ref="AQ200" si="3217">IF(AU200=0,0,IF(AU200&gt;0,IF($J200=3,AU200,IF($J200=2,AU200,IF($J200=1,AU200,0)))))</f>
        <v>0</v>
      </c>
      <c r="AR200" s="83">
        <f t="shared" ref="AR200" si="3218">IF(AU200=0,0,IF(AU200&gt;0,IF($J200=6,AU200,IF($J200=5,AU200,IF($J200=4,AU200,0)))))</f>
        <v>0</v>
      </c>
      <c r="AS200" s="83">
        <f t="shared" ref="AS200" si="3219">IF(AU200=0,0,IF(AU200&gt;0,IF($J200=9,AU200,IF($J200=8,AU200,IF($J200=7,AU200,0)))))</f>
        <v>0</v>
      </c>
      <c r="AT200" s="84">
        <f t="shared" ref="AT200" si="3220">IF(AU200=0,0,IF(AU200&gt;0,IF($J200=12,AU200,IF($J200=11,AU200,IF($J200=10,AU200,0)))))</f>
        <v>0</v>
      </c>
      <c r="AU200" s="81">
        <f t="shared" si="2990"/>
        <v>0</v>
      </c>
      <c r="AV200" s="82">
        <f t="shared" ref="AV200" si="3221">IF(AZ200=0,0,IF(AZ200&gt;0,IF($J200=3,AZ200,IF($J200=2,AZ200,IF($J200=1,AZ200,0)))))</f>
        <v>0</v>
      </c>
      <c r="AW200" s="83">
        <f t="shared" ref="AW200" si="3222">IF(AZ200=0,0,IF(AZ200&gt;0,IF($J200=6,AZ200,IF($J200=5,AZ200,IF($J200=4,AZ200,0)))))</f>
        <v>0</v>
      </c>
      <c r="AX200" s="83">
        <f t="shared" ref="AX200" si="3223">IF(AZ200=0,0,IF(AZ200&gt;0,IF($J200=9,AZ200,IF($J200=8,AZ200,IF($J200=7,AZ200,0)))))</f>
        <v>0</v>
      </c>
      <c r="AY200" s="84">
        <f t="shared" ref="AY200" si="3224">IF(AZ200=0,0,IF(AZ200&gt;0,IF($J200=12,AZ200,IF($J200=11,AZ200,IF($J200=10,AZ200,0)))))</f>
        <v>0</v>
      </c>
      <c r="AZ200" s="81">
        <f t="shared" si="2995"/>
        <v>0</v>
      </c>
      <c r="BA200" s="82">
        <f t="shared" si="2996"/>
        <v>0</v>
      </c>
      <c r="BB200" s="83">
        <f t="shared" si="2997"/>
        <v>0</v>
      </c>
      <c r="BC200" s="83">
        <f t="shared" si="2998"/>
        <v>450</v>
      </c>
      <c r="BD200" s="84">
        <f t="shared" si="2999"/>
        <v>0</v>
      </c>
      <c r="BE200" s="81">
        <f t="shared" si="3000"/>
        <v>450</v>
      </c>
      <c r="BF200" s="1884"/>
      <c r="BG200" s="2005">
        <f t="shared" ref="BG200" si="3225">IF(AND(BF200&lt;&gt;0,BF$5=$H200),$I200*$E200-BF200,IF(BG$5=$H200,$I200*$E200*(12-$J200+1)/12,0))</f>
        <v>0</v>
      </c>
      <c r="BH200" s="86">
        <f t="shared" ref="BH200" si="3226">IF($H200&lt;&gt;BL$5,0,IF(BL200&gt;0,IF($J200=1,$E200*$I200/12*3,IF($J200=2,$E200*$I200/12*2,IF($J200=3,$E200*$I200/12*1,0)))))+IF(BG$5&lt;&gt;$H200,0,IF(BG200&gt;0,IF($J200=1,$E200*$I200/12*0,IF($J200=2,$E200*$I200/12*1,IF($J200=3,$E200*$I200/12*2,IF($J200&gt;=4,$E200*$I200/12*3,0))))))</f>
        <v>0</v>
      </c>
      <c r="BI200" s="87">
        <f t="shared" ref="BI200" si="3227">IF($H200&lt;&gt;BL$5,0,IF(BL200&gt;0,IF(OR($J200=1,$J200=2,$J200=3,$J200=4),$E200*$I200/12*3,IF($J200=5,$E200*$I200/12*2,IF($J200=6,$E200*$I200/12*1,0)))))+IF(BG$5&lt;&gt;$H200,0,IF(BG200&gt;0,IF($J200=4,$E200*$I200/12*0,IF($J200=5,$E200*$I200/12*1,IF($J200=6,$E200*$I200/12*2,IF($J200&gt;=7,$E200*$I200/12*3,0))))))</f>
        <v>0</v>
      </c>
      <c r="BJ200" s="87">
        <f t="shared" ref="BJ200" si="3228">IF($H200&lt;&gt;BL$5,0,IF(BL200&gt;0,IF(OR($J200=1,$J200=2,$J200=3,$J200=4,$J200=5,$J200=6,$J200=7),$E200*$I200/12*3,IF($J200=8,$E200*$I200/12*2,IF($J200=9,$E200*$I200/12*1,0)))))+IF(BG$5&lt;&gt;$H200,0,IF(BG200&gt;0,IF($J200=7,$E200*$I200/12*0,IF($J200=8,$E200*$I200/12*1,IF($J200=9,$E200*$I200/12*2,IF($J200&gt;=10,$E200*$I200/12*3,0))))))</f>
        <v>0</v>
      </c>
      <c r="BK200" s="88">
        <f t="shared" ref="BK200" si="3229">IF($H200&lt;&gt;BL$5,0,IF(BL200&gt;0,IF(OR($J200=1,$J200=2,$J200=3,$J200=4,$J200=5,$J200=6,$J200=7,$J200=8,$J200=9,$J200=10),$E200*$I200/12*3,IF($J200=11,$E200*$I200/12*2,IF($J200=12,$E200*$I200/12*1,0)))))+IF(BG$5&lt;&gt;$H200,0,IF(BG200&gt;0,IF($J200=10,$E200*$I200/12*0,IF($J200=11,$E200*$I200/12*1,IF($J200=12,$E200*$I200/12*2,0)))))</f>
        <v>0</v>
      </c>
      <c r="BL200" s="85">
        <f t="shared" ref="BL200" si="3230">IF(AND(BG200&lt;&gt;0,BG$5=$H200),$I200*$E200-BG200,IF(BL$5=$H200,$I200*$E200*(12-$J200+1)/12,0))</f>
        <v>0</v>
      </c>
      <c r="BM200" s="86">
        <f t="shared" ref="BM200" si="3231">IF($H200&lt;&gt;BQ$5,0,IF(BQ200&gt;0,IF($J200=1,$E200*$I200/12*3,IF($J200=2,$E200*$I200/12*2,IF($J200=3,$E200*$I200/12*1,0)))))+IF(BL$5&lt;&gt;$H200,0,IF(BL200&gt;0,IF($J200=1,$E200*$I200/12*0,IF($J200=2,$E200*$I200/12*1,IF($J200=3,$E200*$I200/12*2,IF($J200&gt;=4,$E200*$I200/12*3,0))))))</f>
        <v>0</v>
      </c>
      <c r="BN200" s="87">
        <f t="shared" ref="BN200" si="3232">IF($H200&lt;&gt;BQ$5,0,IF(BQ200&gt;0,IF(OR($J200=1,$J200=2,$J200=3,$J200=4),$E200*$I200/12*3,IF($J200=5,$E200*$I200/12*2,IF($J200=6,$E200*$I200/12*1,0)))))+IF(BL$5&lt;&gt;$H200,0,IF(BL200&gt;0,IF($J200=4,$E200*$I200/12*0,IF($J200=5,$E200*$I200/12*1,IF($J200=6,$E200*$I200/12*2,IF($J200&gt;=7,$E200*$I200/12*3,0))))))</f>
        <v>0</v>
      </c>
      <c r="BO200" s="87">
        <f t="shared" ref="BO200" si="3233">IF($H200&lt;&gt;BQ$5,0,IF(BQ200&gt;0,IF(OR($J200=1,$J200=2,$J200=3,$J200=4,$J200=5,$J200=6,$J200=7),$E200*$I200/12*3,IF($J200=8,$E200*$I200/12*2,IF($J200=9,$E200*$I200/12*1,0)))))+IF(BL$5&lt;&gt;$H200,0,IF(BL200&gt;0,IF($J200=7,$E200*$I200/12*0,IF($J200=8,$E200*$I200/12*1,IF($J200=9,$E200*$I200/12*2,IF($J200&gt;=10,$E200*$I200/12*3,0))))))</f>
        <v>0</v>
      </c>
      <c r="BP200" s="88">
        <f t="shared" ref="BP200" si="3234">IF($H200&lt;&gt;BQ$5,0,IF(BQ200&gt;0,IF(OR($J200=1,$J200=2,$J200=3,$J200=4,$J200=5,$J200=6,$J200=7,$J200=8,$J200=9,$J200=10),$E200*$I200/12*3,IF($J200=11,$E200*$I200/12*2,IF($J200=12,$E200*$I200/12*1,0)))))+IF(BL$5&lt;&gt;$H200,0,IF(BL200&gt;0,IF($J200=10,$E200*$I200/12*0,IF($J200=11,$E200*$I200/12*1,IF($J200=12,$E200*$I200/12*2,0)))))</f>
        <v>0</v>
      </c>
      <c r="BQ200" s="85">
        <f t="shared" ref="BQ200" si="3235">IF(AND(BL200&lt;&gt;0,BL$5=$H200),$I200*$E200-BL200,IF(BQ$5=$H200,$I200*$E200*(12-$J200+1)/12,0))</f>
        <v>0</v>
      </c>
      <c r="BR200" s="86">
        <f t="shared" ref="BR200" si="3236">IF($H200&lt;&gt;BV$5,0,IF(BV200&gt;0,IF($J200=1,$E200*$I200/12*3,IF($J200=2,$E200*$I200/12*2,IF($J200=3,$E200*$I200/12*1,0)))))+IF(BQ$5&lt;&gt;$H200,0,IF(BQ200&gt;0,IF($J200=1,$E200*$I200/12*0,IF($J200=2,$E200*$I200/12*1,IF($J200=3,$E200*$I200/12*2,IF($J200&gt;=4,$E200*$I200/12*3,0))))))</f>
        <v>0</v>
      </c>
      <c r="BS200" s="87">
        <f t="shared" ref="BS200" si="3237">IF($H200&lt;&gt;BV$5,0,IF(BV200&gt;0,IF(OR($J200=1,$J200=2,$J200=3,$J200=4),$E200*$I200/12*3,IF($J200=5,$E200*$I200/12*2,IF($J200=6,$E200*$I200/12*1,0)))))+IF(BQ$5&lt;&gt;$H200,0,IF(BQ200&gt;0,IF($J200=4,$E200*$I200/12*0,IF($J200=5,$E200*$I200/12*1,IF($J200=6,$E200*$I200/12*2,IF($J200&gt;=7,$E200*$I200/12*3,0))))))</f>
        <v>0</v>
      </c>
      <c r="BT200" s="87">
        <f t="shared" ref="BT200" si="3238">IF($H200&lt;&gt;BV$5,0,IF(BV200&gt;0,IF(OR($J200=1,$J200=2,$J200=3,$J200=4,$J200=5,$J200=6,$J200=7),$E200*$I200/12*3,IF($J200=8,$E200*$I200/12*2,IF($J200=9,$E200*$I200/12*1,0)))))+IF(BQ$5&lt;&gt;$H200,0,IF(BQ200&gt;0,IF($J200=7,$E200*$I200/12*0,IF($J200=8,$E200*$I200/12*1,IF($J200=9,$E200*$I200/12*2,IF($J200&gt;=10,$E200*$I200/12*3,0))))))</f>
        <v>0</v>
      </c>
      <c r="BU200" s="88">
        <f t="shared" ref="BU200" si="3239">IF($H200&lt;&gt;BV$5,0,IF(BV200&gt;0,IF(OR($J200=1,$J200=2,$J200=3,$J200=4,$J200=5,$J200=6,$J200=7,$J200=8,$J200=9,$J200=10),$E200*$I200/12*3,IF($J200=11,$E200*$I200/12*2,IF($J200=12,$E200*$I200/12*1,0)))))+IF(BQ$5&lt;&gt;$H200,0,IF(BQ200&gt;0,IF($J200=10,$E200*$I200/12*0,IF($J200=11,$E200*$I200/12*1,IF($J200=12,$E200*$I200/12*2,0)))))</f>
        <v>0</v>
      </c>
      <c r="BV200" s="85">
        <f t="shared" ref="BV200" si="3240">IF(AND(BQ200&lt;&gt;0,BQ$5=$H200),$I200*$E200-BQ200,IF(BV$5=$H200,$I200*$E200*(12-$J200+1)/12,0))</f>
        <v>0</v>
      </c>
      <c r="BW200" s="86">
        <f t="shared" ref="BW200" si="3241">IF($H200&lt;&gt;CA$5,0,IF(CA200&gt;0,IF($J200=1,$E200*$I200/12*3,IF($J200=2,$E200*$I200/12*2,IF($J200=3,$E200*$I200/12*1,0)))))+IF(BV$5&lt;&gt;$H200,0,IF(BV200&gt;0,IF($J200=1,$E200*$I200/12*0,IF($J200=2,$E200*$I200/12*1,IF($J200=3,$E200*$I200/12*2,IF($J200&gt;=4,$E200*$I200/12*3,0))))))</f>
        <v>0</v>
      </c>
      <c r="BX200" s="87">
        <f t="shared" ref="BX200" si="3242">IF($H200&lt;&gt;CA$5,0,IF(CA200&gt;0,IF(OR($J200=1,$J200=2,$J200=3,$J200=4),$E200*$I200/12*3,IF($J200=5,$E200*$I200/12*2,IF($J200=6,$E200*$I200/12*1,0)))))+IF(BV$5&lt;&gt;$H200,0,IF(BV200&gt;0,IF($J200=4,$E200*$I200/12*0,IF($J200=5,$E200*$I200/12*1,IF($J200=6,$E200*$I200/12*2,IF($J200&gt;=7,$E200*$I200/12*3,0))))))</f>
        <v>0</v>
      </c>
      <c r="BY200" s="87">
        <f t="shared" ref="BY200" si="3243">IF($H200&lt;&gt;CA$5,0,IF(CA200&gt;0,IF(OR($J200=1,$J200=2,$J200=3,$J200=4,$J200=5,$J200=6,$J200=7),$E200*$I200/12*3,IF($J200=8,$E200*$I200/12*2,IF($J200=9,$E200*$I200/12*1,0)))))+IF(BV$5&lt;&gt;$H200,0,IF(BV200&gt;0,IF($J200=7,$E200*$I200/12*0,IF($J200=8,$E200*$I200/12*1,IF($J200=9,$E200*$I200/12*2,IF($J200&gt;=10,$E200*$I200/12*3,0))))))</f>
        <v>0</v>
      </c>
      <c r="BZ200" s="88">
        <f t="shared" ref="BZ200" si="3244">IF($H200&lt;&gt;CA$5,0,IF(CA200&gt;0,IF(OR($J200=1,$J200=2,$J200=3,$J200=4,$J200=5,$J200=6,$J200=7,$J200=8,$J200=9,$J200=10),$E200*$I200/12*3,IF($J200=11,$E200*$I200/12*2,IF($J200=12,$E200*$I200/12*1,0)))))+IF(BV$5&lt;&gt;$H200,0,IF(BV200&gt;0,IF($J200=10,$E200*$I200/12*0,IF($J200=11,$E200*$I200/12*1,IF($J200=12,$E200*$I200/12*2,0)))))</f>
        <v>0</v>
      </c>
      <c r="CA200" s="85">
        <f t="shared" ref="CA200" si="3245">IF(AND(BV200&lt;&gt;0,BV$5=$H200),$I200*$E200-BV200,IF(CA$5=$H200,$I200*$E200*(12-$J200+1)/12,0))</f>
        <v>0</v>
      </c>
      <c r="CB200" s="86">
        <f t="shared" ref="CB200" si="3246">IF($H200&lt;&gt;CF$5,0,IF(CF200&gt;0,IF($J200=1,$E200*$I200/12*3,IF($J200=2,$E200*$I200/12*2,IF($J200=3,$E200*$I200/12*1,0)))))+IF(CA$5&lt;&gt;$H200,0,IF(CA200&gt;0,IF($J200=1,$E200*$I200/12*0,IF($J200=2,$E200*$I200/12*1,IF($J200=3,$E200*$I200/12*2,IF($J200&gt;=4,$E200*$I200/12*3,0))))))</f>
        <v>0</v>
      </c>
      <c r="CC200" s="87">
        <f t="shared" ref="CC200" si="3247">IF($H200&lt;&gt;CF$5,0,IF(CF200&gt;0,IF(OR($J200=1,$J200=2,$J200=3,$J200=4),$E200*$I200/12*3,IF($J200=5,$E200*$I200/12*2,IF($J200=6,$E200*$I200/12*1,0)))))+IF(CA$5&lt;&gt;$H200,0,IF(CA200&gt;0,IF($J200=4,$E200*$I200/12*0,IF($J200=5,$E200*$I200/12*1,IF($J200=6,$E200*$I200/12*2,IF($J200&gt;=7,$E200*$I200/12*3,0))))))</f>
        <v>0</v>
      </c>
      <c r="CD200" s="87">
        <f t="shared" ref="CD200" si="3248">IF($H200&lt;&gt;CF$5,0,IF(CF200&gt;0,IF(OR($J200=1,$J200=2,$J200=3,$J200=4,$J200=5,$J200=6,$J200=7),$E200*$I200/12*3,IF($J200=8,$E200*$I200/12*2,IF($J200=9,$E200*$I200/12*1,0)))))+IF(CA$5&lt;&gt;$H200,0,IF(CA200&gt;0,IF($J200=7,$E200*$I200/12*0,IF($J200=8,$E200*$I200/12*1,IF($J200=9,$E200*$I200/12*2,IF($J200&gt;=10,$E200*$I200/12*3,0))))))</f>
        <v>0</v>
      </c>
      <c r="CE200" s="88">
        <f t="shared" ref="CE200" si="3249">IF($H200&lt;&gt;CF$5,0,IF(CF200&gt;0,IF(OR($J200=1,$J200=2,$J200=3,$J200=4,$J200=5,$J200=6,$J200=7,$J200=8,$J200=9,$J200=10),$E200*$I200/12*3,IF($J200=11,$E200*$I200/12*2,IF($J200=12,$E200*$I200/12*1,0)))))+IF(CA$5&lt;&gt;$H200,0,IF(CA200&gt;0,IF($J200=10,$E200*$I200/12*0,IF($J200=11,$E200*$I200/12*1,IF($J200=12,$E200*$I200/12*2,0)))))</f>
        <v>0</v>
      </c>
      <c r="CF200" s="85">
        <f t="shared" ref="CF200" si="3250">IF(AND(CA200&lt;&gt;0,CA$5=$H200),$I200*$E200-CA200,IF(CF$5=$H200,$I200*$E200*(12-$J200+1)/12,0))</f>
        <v>0</v>
      </c>
      <c r="CG200" s="86">
        <f t="shared" ref="CG200" si="3251">IF($H200&lt;&gt;CK$5,0,IF(CK200&gt;0,IF($J200=1,$E200*$I200/12*3,IF($J200=2,$E200*$I200/12*2,IF($J200=3,$E200*$I200/12*1,0)))))+IF(CF$5&lt;&gt;$H200,0,IF(CF200&gt;0,IF($J200=1,$E200*$I200/12*0,IF($J200=2,$E200*$I200/12*1,IF($J200=3,$E200*$I200/12*2,IF($J200&gt;=4,$E200*$I200/12*3,0))))))</f>
        <v>0</v>
      </c>
      <c r="CH200" s="87">
        <f t="shared" ref="CH200" si="3252">IF($H200&lt;&gt;CK$5,0,IF(CK200&gt;0,IF(OR($J200=1,$J200=2,$J200=3,$J200=4),$E200*$I200/12*3,IF($J200=5,$E200*$I200/12*2,IF($J200=6,$E200*$I200/12*1,0)))))+IF(CF$5&lt;&gt;$H200,0,IF(CF200&gt;0,IF($J200=4,$E200*$I200/12*0,IF($J200=5,$E200*$I200/12*1,IF($J200=6,$E200*$I200/12*2,IF($J200&gt;=7,$E200*$I200/12*3,0))))))</f>
        <v>0</v>
      </c>
      <c r="CI200" s="87">
        <f t="shared" ref="CI200" si="3253">IF($H200&lt;&gt;CK$5,0,IF(CK200&gt;0,IF(OR($J200=1,$J200=2,$J200=3,$J200=4,$J200=5,$J200=6,$J200=7),$E200*$I200/12*3,IF($J200=8,$E200*$I200/12*2,IF($J200=9,$E200*$I200/12*1,0)))))+IF(CF$5&lt;&gt;$H200,0,IF(CF200&gt;0,IF($J200=7,$E200*$I200/12*0,IF($J200=8,$E200*$I200/12*1,IF($J200=9,$E200*$I200/12*2,IF($J200&gt;=10,$E200*$I200/12*3,0))))))</f>
        <v>0</v>
      </c>
      <c r="CJ200" s="88">
        <f t="shared" ref="CJ200" si="3254">IF($H200&lt;&gt;CK$5,0,IF(CK200&gt;0,IF(OR($J200=1,$J200=2,$J200=3,$J200=4,$J200=5,$J200=6,$J200=7,$J200=8,$J200=9,$J200=10),$E200*$I200/12*3,IF($J200=11,$E200*$I200/12*2,IF($J200=12,$E200*$I200/12*1,0)))))+IF(CF$5&lt;&gt;$H200,0,IF(CF200&gt;0,IF($J200=10,$E200*$I200/12*0,IF($J200=11,$E200*$I200/12*1,IF($J200=12,$E200*$I200/12*2,0)))))</f>
        <v>0</v>
      </c>
      <c r="CK200" s="85">
        <f t="shared" ref="CK200" si="3255">IF(AND(CF200&lt;&gt;0,CF$5=$H200),$I200*$E200-CF200,IF(CK$5=$H200,$I200*$E200*(12-$J200+1)/12,0))</f>
        <v>0</v>
      </c>
      <c r="CL200" s="86">
        <f t="shared" ref="CL200" si="3256">IF($H200&lt;&gt;CP$5,0,IF(CP200&gt;0,IF($J200=1,$E200*$I200/12*3,IF($J200=2,$E200*$I200/12*2,IF($J200=3,$E200*$I200/12*1,0)))))+IF(CK$5&lt;&gt;$H200,0,IF(CK200&gt;0,IF($J200=1,$E200*$I200/12*0,IF($J200=2,$E200*$I200/12*1,IF($J200=3,$E200*$I200/12*2,IF($J200&gt;=4,$E200*$I200/12*3,0))))))</f>
        <v>0</v>
      </c>
      <c r="CM200" s="87">
        <f t="shared" ref="CM200" si="3257">IF($H200&lt;&gt;CP$5,0,IF(CP200&gt;0,IF(OR($J200=1,$J200=2,$J200=3,$J200=4),$E200*$I200/12*3,IF($J200=5,$E200*$I200/12*2,IF($J200=6,$E200*$I200/12*1,0)))))+IF(CK$5&lt;&gt;$H200,0,IF(CK200&gt;0,IF($J200=4,$E200*$I200/12*0,IF($J200=5,$E200*$I200/12*1,IF($J200=6,$E200*$I200/12*2,IF($J200&gt;=7,$E200*$I200/12*3,0))))))</f>
        <v>0</v>
      </c>
      <c r="CN200" s="87">
        <f t="shared" ref="CN200" si="3258">IF($H200&lt;&gt;CP$5,0,IF(CP200&gt;0,IF(OR($J200=1,$J200=2,$J200=3,$J200=4,$J200=5,$J200=6,$J200=7),$E200*$I200/12*3,IF($J200=8,$E200*$I200/12*2,IF($J200=9,$E200*$I200/12*1,0)))))+IF(CK$5&lt;&gt;$H200,0,IF(CK200&gt;0,IF($J200=7,$E200*$I200/12*0,IF($J200=8,$E200*$I200/12*1,IF($J200=9,$E200*$I200/12*2,IF($J200&gt;=10,$E200*$I200/12*3,0))))))</f>
        <v>0</v>
      </c>
      <c r="CO200" s="88">
        <f t="shared" ref="CO200" si="3259">IF($H200&lt;&gt;CP$5,0,IF(CP200&gt;0,IF(OR($J200=1,$J200=2,$J200=3,$J200=4,$J200=5,$J200=6,$J200=7,$J200=8,$J200=9,$J200=10),$E200*$I200/12*3,IF($J200=11,$E200*$I200/12*2,IF($J200=12,$E200*$I200/12*1,0)))))+IF(CK$5&lt;&gt;$H200,0,IF(CK200&gt;0,IF($J200=10,$E200*$I200/12*0,IF($J200=11,$E200*$I200/12*1,IF($J200=12,$E200*$I200/12*2,0)))))</f>
        <v>0</v>
      </c>
      <c r="CP200" s="85">
        <f t="shared" ref="CP200" si="3260">IF(AND(CK200&lt;&gt;0,CK$5=$H200),$I200*$E200-CK200,IF(CP$5=$H200,$I200*$E200*(12-$J200+1)/12,0))</f>
        <v>0</v>
      </c>
      <c r="CQ200" s="86">
        <f t="shared" ref="CQ200" si="3261">IF($H200&lt;&gt;CU$5,0,IF(CU200&gt;0,IF($J200=1,$E200*$I200/12*3,IF($J200=2,$E200*$I200/12*2,IF($J200=3,$E200*$I200/12*1,0)))))+IF(CP$5&lt;&gt;$H200,0,IF(CP200&gt;0,IF($J200=1,$E200*$I200/12*0,IF($J200=2,$E200*$I200/12*1,IF($J200=3,$E200*$I200/12*2,IF($J200&gt;=4,$E200*$I200/12*3,0))))))</f>
        <v>0</v>
      </c>
      <c r="CR200" s="87">
        <f t="shared" ref="CR200" si="3262">IF($H200&lt;&gt;CU$5,0,IF(CU200&gt;0,IF(OR($J200=1,$J200=2,$J200=3,$J200=4),$E200*$I200/12*3,IF($J200=5,$E200*$I200/12*2,IF($J200=6,$E200*$I200/12*1,0)))))+IF(CP$5&lt;&gt;$H200,0,IF(CP200&gt;0,IF($J200=4,$E200*$I200/12*0,IF($J200=5,$E200*$I200/12*1,IF($J200=6,$E200*$I200/12*2,IF($J200&gt;=7,$E200*$I200/12*3,0))))))</f>
        <v>0</v>
      </c>
      <c r="CS200" s="87">
        <f t="shared" ref="CS200" si="3263">IF($H200&lt;&gt;CU$5,0,IF(CU200&gt;0,IF(OR($J200=1,$J200=2,$J200=3,$J200=4,$J200=5,$J200=6,$J200=7),$E200*$I200/12*3,IF($J200=8,$E200*$I200/12*2,IF($J200=9,$E200*$I200/12*1,0)))))+IF(CP$5&lt;&gt;$H200,0,IF(CP200&gt;0,IF($J200=7,$E200*$I200/12*0,IF($J200=8,$E200*$I200/12*1,IF($J200=9,$E200*$I200/12*2,IF($J200&gt;=10,$E200*$I200/12*3,0))))))</f>
        <v>0</v>
      </c>
      <c r="CT200" s="88">
        <f t="shared" ref="CT200" si="3264">IF($H200&lt;&gt;CU$5,0,IF(CU200&gt;0,IF(OR($J200=1,$J200=2,$J200=3,$J200=4,$J200=5,$J200=6,$J200=7,$J200=8,$J200=9,$J200=10),$E200*$I200/12*3,IF($J200=11,$E200*$I200/12*2,IF($J200=12,$E200*$I200/12*1,0)))))+IF(CP$5&lt;&gt;$H200,0,IF(CP200&gt;0,IF($J200=10,$E200*$I200/12*0,IF($J200=11,$E200*$I200/12*1,IF($J200=12,$E200*$I200/12*2,0)))))</f>
        <v>0</v>
      </c>
      <c r="CU200" s="85">
        <f t="shared" ref="CU200" si="3265">IF(AND(CP200&lt;&gt;0,CP$5=$H200),$I200*$E200-CP200,IF(CU$5=$H200,$I200*$E200*(12-$J200+1)/12,0))</f>
        <v>0</v>
      </c>
      <c r="CV200" s="86">
        <f t="shared" si="3042"/>
        <v>0</v>
      </c>
      <c r="CW200" s="87">
        <f t="shared" si="3043"/>
        <v>0</v>
      </c>
      <c r="CX200" s="87">
        <f t="shared" si="3044"/>
        <v>5.625</v>
      </c>
      <c r="CY200" s="88">
        <f t="shared" si="3045"/>
        <v>5.625</v>
      </c>
      <c r="CZ200" s="85">
        <f t="shared" si="3046"/>
        <v>11.25</v>
      </c>
    </row>
    <row r="201" spans="1:104" ht="12.75" customHeight="1">
      <c r="A201" s="4"/>
      <c r="B201" s="4"/>
      <c r="C201" s="174"/>
      <c r="D201" s="175"/>
      <c r="E201" s="151"/>
      <c r="F201" s="152"/>
      <c r="G201" s="152"/>
      <c r="H201" s="176"/>
      <c r="I201" s="177"/>
      <c r="J201" s="178"/>
      <c r="K201" s="179"/>
      <c r="L201" s="98"/>
      <c r="M201" s="99"/>
      <c r="N201" s="100"/>
      <c r="O201" s="100"/>
      <c r="P201" s="101"/>
      <c r="Q201" s="98"/>
      <c r="R201" s="99"/>
      <c r="S201" s="100"/>
      <c r="T201" s="100"/>
      <c r="U201" s="101"/>
      <c r="V201" s="98"/>
      <c r="W201" s="99"/>
      <c r="X201" s="100"/>
      <c r="Y201" s="100"/>
      <c r="Z201" s="101"/>
      <c r="AA201" s="98"/>
      <c r="AB201" s="99"/>
      <c r="AC201" s="100"/>
      <c r="AD201" s="100"/>
      <c r="AE201" s="101"/>
      <c r="AF201" s="98"/>
      <c r="AG201" s="99"/>
      <c r="AH201" s="100"/>
      <c r="AI201" s="100"/>
      <c r="AJ201" s="101"/>
      <c r="AK201" s="98"/>
      <c r="AL201" s="99"/>
      <c r="AM201" s="100"/>
      <c r="AN201" s="100"/>
      <c r="AO201" s="101"/>
      <c r="AP201" s="98"/>
      <c r="AQ201" s="99"/>
      <c r="AR201" s="100"/>
      <c r="AS201" s="100"/>
      <c r="AT201" s="101"/>
      <c r="AU201" s="98"/>
      <c r="AV201" s="99"/>
      <c r="AW201" s="100"/>
      <c r="AX201" s="100"/>
      <c r="AY201" s="101"/>
      <c r="AZ201" s="98"/>
      <c r="BA201" s="99"/>
      <c r="BB201" s="100"/>
      <c r="BC201" s="100"/>
      <c r="BD201" s="101"/>
      <c r="BE201" s="98"/>
      <c r="BF201" s="1657"/>
      <c r="BG201" s="2006">
        <f t="shared" si="3079"/>
        <v>0</v>
      </c>
      <c r="BH201" s="103">
        <f t="shared" si="3080"/>
        <v>0</v>
      </c>
      <c r="BI201" s="104">
        <f t="shared" si="3081"/>
        <v>0</v>
      </c>
      <c r="BJ201" s="104">
        <f t="shared" si="3082"/>
        <v>0</v>
      </c>
      <c r="BK201" s="105">
        <f t="shared" si="3083"/>
        <v>0</v>
      </c>
      <c r="BL201" s="102">
        <f t="shared" si="3084"/>
        <v>0</v>
      </c>
      <c r="BM201" s="103">
        <f t="shared" si="3085"/>
        <v>0</v>
      </c>
      <c r="BN201" s="104">
        <f t="shared" si="3086"/>
        <v>0</v>
      </c>
      <c r="BO201" s="104">
        <f t="shared" si="3087"/>
        <v>0</v>
      </c>
      <c r="BP201" s="105">
        <f t="shared" si="3088"/>
        <v>0</v>
      </c>
      <c r="BQ201" s="102">
        <f t="shared" si="3089"/>
        <v>0</v>
      </c>
      <c r="BR201" s="103">
        <f t="shared" si="3090"/>
        <v>0</v>
      </c>
      <c r="BS201" s="104">
        <f t="shared" si="3091"/>
        <v>0</v>
      </c>
      <c r="BT201" s="104">
        <f t="shared" si="3092"/>
        <v>0</v>
      </c>
      <c r="BU201" s="105">
        <f t="shared" si="3093"/>
        <v>0</v>
      </c>
      <c r="BV201" s="102">
        <f t="shared" si="3094"/>
        <v>0</v>
      </c>
      <c r="BW201" s="103">
        <f t="shared" si="3095"/>
        <v>0</v>
      </c>
      <c r="BX201" s="104">
        <f t="shared" si="3096"/>
        <v>0</v>
      </c>
      <c r="BY201" s="104">
        <f t="shared" si="3097"/>
        <v>0</v>
      </c>
      <c r="BZ201" s="105">
        <f t="shared" si="3098"/>
        <v>0</v>
      </c>
      <c r="CA201" s="102">
        <f t="shared" si="3099"/>
        <v>0</v>
      </c>
      <c r="CB201" s="103">
        <f t="shared" si="3100"/>
        <v>0</v>
      </c>
      <c r="CC201" s="104">
        <f t="shared" si="3101"/>
        <v>0</v>
      </c>
      <c r="CD201" s="104">
        <f t="shared" si="3102"/>
        <v>0</v>
      </c>
      <c r="CE201" s="105">
        <f t="shared" si="3103"/>
        <v>0</v>
      </c>
      <c r="CF201" s="102">
        <f t="shared" si="3104"/>
        <v>0</v>
      </c>
      <c r="CG201" s="103">
        <f t="shared" si="3105"/>
        <v>0</v>
      </c>
      <c r="CH201" s="104">
        <f t="shared" si="3106"/>
        <v>0</v>
      </c>
      <c r="CI201" s="104">
        <f t="shared" si="3107"/>
        <v>0</v>
      </c>
      <c r="CJ201" s="105">
        <f t="shared" si="3108"/>
        <v>0</v>
      </c>
      <c r="CK201" s="102">
        <f t="shared" si="3109"/>
        <v>0</v>
      </c>
      <c r="CL201" s="103">
        <f t="shared" si="3110"/>
        <v>0</v>
      </c>
      <c r="CM201" s="104">
        <f t="shared" si="3111"/>
        <v>0</v>
      </c>
      <c r="CN201" s="104">
        <f t="shared" si="3112"/>
        <v>0</v>
      </c>
      <c r="CO201" s="105">
        <f t="shared" si="3113"/>
        <v>0</v>
      </c>
      <c r="CP201" s="102">
        <f t="shared" si="3114"/>
        <v>0</v>
      </c>
      <c r="CQ201" s="103">
        <f t="shared" si="3115"/>
        <v>0</v>
      </c>
      <c r="CR201" s="104">
        <f t="shared" si="3116"/>
        <v>0</v>
      </c>
      <c r="CS201" s="104">
        <f t="shared" si="3117"/>
        <v>0</v>
      </c>
      <c r="CT201" s="105">
        <f t="shared" si="3118"/>
        <v>0</v>
      </c>
      <c r="CU201" s="102">
        <f t="shared" si="3119"/>
        <v>0</v>
      </c>
      <c r="CV201" s="103">
        <f t="shared" si="3042"/>
        <v>0</v>
      </c>
      <c r="CW201" s="104">
        <f t="shared" si="3043"/>
        <v>0</v>
      </c>
      <c r="CX201" s="104">
        <f t="shared" si="3044"/>
        <v>0</v>
      </c>
      <c r="CY201" s="105">
        <f t="shared" si="3045"/>
        <v>0</v>
      </c>
      <c r="CZ201" s="102">
        <f t="shared" si="3046"/>
        <v>0</v>
      </c>
    </row>
    <row r="202" spans="1:104" ht="12.75" customHeight="1">
      <c r="A202" s="156"/>
      <c r="B202" s="156"/>
      <c r="C202" s="157" t="s">
        <v>399</v>
      </c>
      <c r="D202" s="194"/>
      <c r="E202" s="158">
        <f>SUM(E196:E201)</f>
        <v>1675</v>
      </c>
      <c r="F202" s="107"/>
      <c r="G202" s="107"/>
      <c r="H202" s="108"/>
      <c r="I202" s="109"/>
      <c r="J202" s="110"/>
      <c r="K202" s="2197"/>
      <c r="L202" s="81">
        <f t="shared" ref="L202:Z202" si="3266">SUM(L197:L201)</f>
        <v>0</v>
      </c>
      <c r="M202" s="82">
        <f t="shared" si="3266"/>
        <v>0</v>
      </c>
      <c r="N202" s="83">
        <f t="shared" si="3266"/>
        <v>0</v>
      </c>
      <c r="O202" s="83">
        <f t="shared" si="3266"/>
        <v>0</v>
      </c>
      <c r="P202" s="84">
        <f t="shared" si="3266"/>
        <v>0</v>
      </c>
      <c r="Q202" s="81">
        <f t="shared" si="3266"/>
        <v>0</v>
      </c>
      <c r="R202" s="82">
        <f t="shared" si="3266"/>
        <v>0</v>
      </c>
      <c r="S202" s="83">
        <f t="shared" si="3266"/>
        <v>0</v>
      </c>
      <c r="T202" s="83">
        <f t="shared" si="3266"/>
        <v>0</v>
      </c>
      <c r="U202" s="84">
        <f t="shared" si="3266"/>
        <v>0</v>
      </c>
      <c r="V202" s="81">
        <f t="shared" si="3266"/>
        <v>0</v>
      </c>
      <c r="W202" s="82">
        <f t="shared" si="3266"/>
        <v>0</v>
      </c>
      <c r="X202" s="83">
        <f t="shared" si="3266"/>
        <v>0</v>
      </c>
      <c r="Y202" s="83">
        <f t="shared" si="3266"/>
        <v>0</v>
      </c>
      <c r="Z202" s="84">
        <f t="shared" si="3266"/>
        <v>0</v>
      </c>
      <c r="AA202" s="81">
        <f t="shared" ref="AA202:BE202" si="3267">SUM(AA196:AA201)</f>
        <v>0</v>
      </c>
      <c r="AB202" s="82">
        <f t="shared" si="3267"/>
        <v>0</v>
      </c>
      <c r="AC202" s="83">
        <f t="shared" si="3267"/>
        <v>0</v>
      </c>
      <c r="AD202" s="83">
        <f t="shared" si="3267"/>
        <v>0</v>
      </c>
      <c r="AE202" s="84">
        <f t="shared" si="3267"/>
        <v>0</v>
      </c>
      <c r="AF202" s="81">
        <f t="shared" si="3267"/>
        <v>0</v>
      </c>
      <c r="AG202" s="82">
        <f t="shared" si="3267"/>
        <v>0</v>
      </c>
      <c r="AH202" s="83">
        <f t="shared" si="3267"/>
        <v>0</v>
      </c>
      <c r="AI202" s="83">
        <f t="shared" si="3267"/>
        <v>300</v>
      </c>
      <c r="AJ202" s="84">
        <f t="shared" si="3267"/>
        <v>0</v>
      </c>
      <c r="AK202" s="81">
        <f t="shared" si="3267"/>
        <v>300</v>
      </c>
      <c r="AL202" s="82">
        <f t="shared" si="3267"/>
        <v>0</v>
      </c>
      <c r="AM202" s="83">
        <f t="shared" si="3267"/>
        <v>0</v>
      </c>
      <c r="AN202" s="83">
        <f t="shared" si="3267"/>
        <v>425</v>
      </c>
      <c r="AO202" s="84">
        <f t="shared" si="3267"/>
        <v>0</v>
      </c>
      <c r="AP202" s="81">
        <f t="shared" si="3267"/>
        <v>425</v>
      </c>
      <c r="AQ202" s="82">
        <f t="shared" si="3267"/>
        <v>0</v>
      </c>
      <c r="AR202" s="83">
        <f t="shared" si="3267"/>
        <v>0</v>
      </c>
      <c r="AS202" s="83">
        <f t="shared" si="3267"/>
        <v>275</v>
      </c>
      <c r="AT202" s="84">
        <f t="shared" si="3267"/>
        <v>0</v>
      </c>
      <c r="AU202" s="81">
        <f t="shared" si="3267"/>
        <v>275</v>
      </c>
      <c r="AV202" s="82">
        <f t="shared" si="3267"/>
        <v>0</v>
      </c>
      <c r="AW202" s="83">
        <f t="shared" si="3267"/>
        <v>0</v>
      </c>
      <c r="AX202" s="83">
        <f t="shared" si="3267"/>
        <v>225</v>
      </c>
      <c r="AY202" s="84">
        <f t="shared" si="3267"/>
        <v>0</v>
      </c>
      <c r="AZ202" s="81">
        <f t="shared" si="3267"/>
        <v>225</v>
      </c>
      <c r="BA202" s="82">
        <f t="shared" si="3267"/>
        <v>0</v>
      </c>
      <c r="BB202" s="83">
        <f t="shared" si="3267"/>
        <v>0</v>
      </c>
      <c r="BC202" s="83">
        <f t="shared" si="3267"/>
        <v>450</v>
      </c>
      <c r="BD202" s="84">
        <f t="shared" si="3267"/>
        <v>0</v>
      </c>
      <c r="BE202" s="81">
        <f t="shared" si="3267"/>
        <v>450</v>
      </c>
      <c r="BF202" s="1884"/>
      <c r="BG202" s="2005">
        <f t="shared" ref="BG202:CZ202" si="3268">SUM(BG196:BG201)</f>
        <v>0</v>
      </c>
      <c r="BH202" s="86">
        <f t="shared" si="3268"/>
        <v>0</v>
      </c>
      <c r="BI202" s="87">
        <f t="shared" si="3268"/>
        <v>0</v>
      </c>
      <c r="BJ202" s="87">
        <f t="shared" si="3268"/>
        <v>0</v>
      </c>
      <c r="BK202" s="88">
        <f t="shared" si="3268"/>
        <v>0</v>
      </c>
      <c r="BL202" s="85">
        <f t="shared" si="3268"/>
        <v>0</v>
      </c>
      <c r="BM202" s="86">
        <f t="shared" si="3268"/>
        <v>0</v>
      </c>
      <c r="BN202" s="87">
        <f t="shared" si="3268"/>
        <v>0</v>
      </c>
      <c r="BO202" s="87">
        <f t="shared" si="3268"/>
        <v>0</v>
      </c>
      <c r="BP202" s="88">
        <f t="shared" si="3268"/>
        <v>0</v>
      </c>
      <c r="BQ202" s="85">
        <f t="shared" si="3268"/>
        <v>0</v>
      </c>
      <c r="BR202" s="86">
        <f t="shared" si="3268"/>
        <v>0</v>
      </c>
      <c r="BS202" s="87">
        <f t="shared" si="3268"/>
        <v>0</v>
      </c>
      <c r="BT202" s="87">
        <f t="shared" si="3268"/>
        <v>0</v>
      </c>
      <c r="BU202" s="88">
        <f t="shared" si="3268"/>
        <v>0</v>
      </c>
      <c r="BV202" s="85">
        <f t="shared" si="3268"/>
        <v>0</v>
      </c>
      <c r="BW202" s="86">
        <f t="shared" si="3268"/>
        <v>0</v>
      </c>
      <c r="BX202" s="87">
        <f t="shared" si="3268"/>
        <v>0</v>
      </c>
      <c r="BY202" s="87">
        <f t="shared" si="3268"/>
        <v>0</v>
      </c>
      <c r="BZ202" s="88">
        <f t="shared" si="3268"/>
        <v>0</v>
      </c>
      <c r="CA202" s="85">
        <f t="shared" si="3268"/>
        <v>0</v>
      </c>
      <c r="CB202" s="86">
        <f t="shared" si="3268"/>
        <v>0</v>
      </c>
      <c r="CC202" s="87">
        <f t="shared" si="3268"/>
        <v>0</v>
      </c>
      <c r="CD202" s="87">
        <f t="shared" si="3268"/>
        <v>1.875</v>
      </c>
      <c r="CE202" s="88">
        <f t="shared" si="3268"/>
        <v>2.8125</v>
      </c>
      <c r="CF202" s="85">
        <f t="shared" si="3268"/>
        <v>4.6875</v>
      </c>
      <c r="CG202" s="86">
        <f t="shared" si="3268"/>
        <v>2.8125</v>
      </c>
      <c r="CH202" s="87">
        <f t="shared" si="3268"/>
        <v>2.8125</v>
      </c>
      <c r="CI202" s="87">
        <f t="shared" si="3268"/>
        <v>6.25</v>
      </c>
      <c r="CJ202" s="88">
        <f t="shared" si="3268"/>
        <v>5.3125</v>
      </c>
      <c r="CK202" s="85">
        <f t="shared" si="3268"/>
        <v>17.1875</v>
      </c>
      <c r="CL202" s="86">
        <f t="shared" si="3268"/>
        <v>5.3125</v>
      </c>
      <c r="CM202" s="87">
        <f t="shared" si="3268"/>
        <v>5.3125</v>
      </c>
      <c r="CN202" s="87">
        <f t="shared" si="3268"/>
        <v>3.4375</v>
      </c>
      <c r="CO202" s="88">
        <f t="shared" si="3268"/>
        <v>3.4375</v>
      </c>
      <c r="CP202" s="85">
        <f t="shared" si="3268"/>
        <v>17.5</v>
      </c>
      <c r="CQ202" s="86">
        <f t="shared" si="3268"/>
        <v>3.4375</v>
      </c>
      <c r="CR202" s="87">
        <f t="shared" si="3268"/>
        <v>3.4375</v>
      </c>
      <c r="CS202" s="87">
        <f t="shared" si="3268"/>
        <v>2.8125</v>
      </c>
      <c r="CT202" s="88">
        <f t="shared" si="3268"/>
        <v>2.8125</v>
      </c>
      <c r="CU202" s="85">
        <f t="shared" si="3268"/>
        <v>12.5</v>
      </c>
      <c r="CV202" s="86">
        <f t="shared" si="3268"/>
        <v>2.8125</v>
      </c>
      <c r="CW202" s="87">
        <f t="shared" si="3268"/>
        <v>2.8125</v>
      </c>
      <c r="CX202" s="87">
        <f t="shared" si="3268"/>
        <v>5.625</v>
      </c>
      <c r="CY202" s="88">
        <f t="shared" si="3268"/>
        <v>5.625</v>
      </c>
      <c r="CZ202" s="85">
        <f t="shared" si="3268"/>
        <v>16.875</v>
      </c>
    </row>
    <row r="203" spans="1:104" ht="12.75" customHeight="1">
      <c r="A203" s="4"/>
      <c r="B203" s="4"/>
      <c r="C203" s="195"/>
      <c r="D203" s="195"/>
      <c r="E203" s="75"/>
      <c r="F203" s="76"/>
      <c r="G203" s="76"/>
      <c r="H203" s="77"/>
      <c r="I203" s="78"/>
      <c r="J203" s="79"/>
      <c r="K203" s="2193"/>
      <c r="L203" s="81"/>
      <c r="M203" s="82"/>
      <c r="N203" s="83"/>
      <c r="O203" s="83"/>
      <c r="P203" s="84"/>
      <c r="Q203" s="81"/>
      <c r="R203" s="82"/>
      <c r="S203" s="83"/>
      <c r="T203" s="83"/>
      <c r="U203" s="84"/>
      <c r="V203" s="81"/>
      <c r="W203" s="82"/>
      <c r="X203" s="83"/>
      <c r="Y203" s="83"/>
      <c r="Z203" s="84"/>
      <c r="AA203" s="81"/>
      <c r="AB203" s="82"/>
      <c r="AC203" s="83"/>
      <c r="AD203" s="83"/>
      <c r="AE203" s="84"/>
      <c r="AF203" s="81"/>
      <c r="AG203" s="82"/>
      <c r="AH203" s="83"/>
      <c r="AI203" s="83"/>
      <c r="AJ203" s="84"/>
      <c r="AK203" s="81"/>
      <c r="AL203" s="82"/>
      <c r="AM203" s="83"/>
      <c r="AN203" s="83"/>
      <c r="AO203" s="84"/>
      <c r="AP203" s="81"/>
      <c r="AQ203" s="82"/>
      <c r="AR203" s="83"/>
      <c r="AS203" s="83"/>
      <c r="AT203" s="84"/>
      <c r="AU203" s="81"/>
      <c r="AV203" s="82"/>
      <c r="AW203" s="83"/>
      <c r="AX203" s="83"/>
      <c r="AY203" s="84"/>
      <c r="AZ203" s="81"/>
      <c r="BA203" s="82"/>
      <c r="BB203" s="83"/>
      <c r="BC203" s="83"/>
      <c r="BD203" s="84"/>
      <c r="BE203" s="81"/>
      <c r="BF203" s="1884"/>
      <c r="BG203" s="2005"/>
      <c r="BH203" s="86"/>
      <c r="BI203" s="87"/>
      <c r="BJ203" s="87"/>
      <c r="BK203" s="88"/>
      <c r="BL203" s="85"/>
      <c r="BM203" s="86"/>
      <c r="BN203" s="87"/>
      <c r="BO203" s="87"/>
      <c r="BP203" s="88"/>
      <c r="BQ203" s="85"/>
      <c r="BR203" s="86"/>
      <c r="BS203" s="87"/>
      <c r="BT203" s="87"/>
      <c r="BU203" s="88"/>
      <c r="BV203" s="85"/>
      <c r="BW203" s="86"/>
      <c r="BX203" s="87"/>
      <c r="BY203" s="87"/>
      <c r="BZ203" s="88"/>
      <c r="CA203" s="85"/>
      <c r="CB203" s="86"/>
      <c r="CC203" s="87"/>
      <c r="CD203" s="87"/>
      <c r="CE203" s="88"/>
      <c r="CF203" s="85"/>
      <c r="CG203" s="86"/>
      <c r="CH203" s="87"/>
      <c r="CI203" s="87"/>
      <c r="CJ203" s="88"/>
      <c r="CK203" s="85"/>
      <c r="CL203" s="86"/>
      <c r="CM203" s="87"/>
      <c r="CN203" s="87"/>
      <c r="CO203" s="88"/>
      <c r="CP203" s="85"/>
      <c r="CQ203" s="86"/>
      <c r="CR203" s="87"/>
      <c r="CS203" s="87"/>
      <c r="CT203" s="88"/>
      <c r="CU203" s="85"/>
      <c r="CV203" s="86"/>
      <c r="CW203" s="87"/>
      <c r="CX203" s="87"/>
      <c r="CY203" s="88"/>
      <c r="CZ203" s="85"/>
    </row>
    <row r="204" spans="1:104" ht="12.75" customHeight="1">
      <c r="A204" s="4"/>
      <c r="B204" s="4"/>
      <c r="C204" s="90" t="s">
        <v>542</v>
      </c>
      <c r="D204" s="90"/>
      <c r="E204" s="106"/>
      <c r="F204" s="119"/>
      <c r="G204" s="119"/>
      <c r="H204" s="108"/>
      <c r="I204" s="109"/>
      <c r="J204" s="110"/>
      <c r="K204" s="2193"/>
      <c r="L204" s="81">
        <f t="shared" ref="L204:BE204" si="3269">+L192+L202</f>
        <v>0</v>
      </c>
      <c r="M204" s="82">
        <f t="shared" si="3269"/>
        <v>0</v>
      </c>
      <c r="N204" s="83">
        <f t="shared" si="3269"/>
        <v>0</v>
      </c>
      <c r="O204" s="83">
        <f t="shared" si="3269"/>
        <v>0</v>
      </c>
      <c r="P204" s="84">
        <f t="shared" si="3269"/>
        <v>0</v>
      </c>
      <c r="Q204" s="81">
        <f t="shared" si="3269"/>
        <v>0</v>
      </c>
      <c r="R204" s="82">
        <f t="shared" si="3269"/>
        <v>0</v>
      </c>
      <c r="S204" s="83">
        <f t="shared" si="3269"/>
        <v>0</v>
      </c>
      <c r="T204" s="83">
        <f t="shared" si="3269"/>
        <v>0</v>
      </c>
      <c r="U204" s="84">
        <f t="shared" si="3269"/>
        <v>0</v>
      </c>
      <c r="V204" s="81">
        <f t="shared" si="3269"/>
        <v>0</v>
      </c>
      <c r="W204" s="82">
        <f t="shared" si="3269"/>
        <v>0</v>
      </c>
      <c r="X204" s="83">
        <f t="shared" si="3269"/>
        <v>0</v>
      </c>
      <c r="Y204" s="83">
        <f t="shared" si="3269"/>
        <v>0</v>
      </c>
      <c r="Z204" s="84">
        <f t="shared" si="3269"/>
        <v>0</v>
      </c>
      <c r="AA204" s="81">
        <f t="shared" si="3269"/>
        <v>0</v>
      </c>
      <c r="AB204" s="82">
        <f t="shared" si="3269"/>
        <v>0</v>
      </c>
      <c r="AC204" s="83">
        <f t="shared" si="3269"/>
        <v>0</v>
      </c>
      <c r="AD204" s="83">
        <f t="shared" si="3269"/>
        <v>0</v>
      </c>
      <c r="AE204" s="84">
        <f t="shared" si="3269"/>
        <v>0</v>
      </c>
      <c r="AF204" s="81">
        <f t="shared" si="3269"/>
        <v>0</v>
      </c>
      <c r="AG204" s="82">
        <f t="shared" si="3269"/>
        <v>0</v>
      </c>
      <c r="AH204" s="83">
        <f t="shared" si="3269"/>
        <v>0</v>
      </c>
      <c r="AI204" s="83">
        <f t="shared" si="3269"/>
        <v>50</v>
      </c>
      <c r="AJ204" s="84">
        <f t="shared" si="3269"/>
        <v>0</v>
      </c>
      <c r="AK204" s="81">
        <f t="shared" si="3269"/>
        <v>50</v>
      </c>
      <c r="AL204" s="82">
        <f t="shared" si="3269"/>
        <v>0</v>
      </c>
      <c r="AM204" s="83">
        <f t="shared" si="3269"/>
        <v>0</v>
      </c>
      <c r="AN204" s="83">
        <f t="shared" si="3269"/>
        <v>425</v>
      </c>
      <c r="AO204" s="84">
        <f t="shared" si="3269"/>
        <v>0</v>
      </c>
      <c r="AP204" s="81">
        <f t="shared" si="3269"/>
        <v>425</v>
      </c>
      <c r="AQ204" s="82">
        <f t="shared" si="3269"/>
        <v>0</v>
      </c>
      <c r="AR204" s="83">
        <f t="shared" si="3269"/>
        <v>0</v>
      </c>
      <c r="AS204" s="83">
        <f t="shared" si="3269"/>
        <v>275</v>
      </c>
      <c r="AT204" s="84">
        <f t="shared" si="3269"/>
        <v>0</v>
      </c>
      <c r="AU204" s="81">
        <f t="shared" si="3269"/>
        <v>275</v>
      </c>
      <c r="AV204" s="82">
        <f t="shared" si="3269"/>
        <v>0</v>
      </c>
      <c r="AW204" s="83">
        <f t="shared" si="3269"/>
        <v>0</v>
      </c>
      <c r="AX204" s="83">
        <f t="shared" si="3269"/>
        <v>225</v>
      </c>
      <c r="AY204" s="84">
        <f t="shared" si="3269"/>
        <v>0</v>
      </c>
      <c r="AZ204" s="81">
        <f t="shared" si="3269"/>
        <v>225</v>
      </c>
      <c r="BA204" s="82">
        <f t="shared" si="3269"/>
        <v>0</v>
      </c>
      <c r="BB204" s="83">
        <f t="shared" si="3269"/>
        <v>0</v>
      </c>
      <c r="BC204" s="83">
        <f t="shared" si="3269"/>
        <v>450</v>
      </c>
      <c r="BD204" s="84">
        <f t="shared" si="3269"/>
        <v>-300</v>
      </c>
      <c r="BE204" s="81">
        <f t="shared" si="3269"/>
        <v>150</v>
      </c>
      <c r="BF204" s="1884"/>
      <c r="BG204" s="2005">
        <f t="shared" ref="BG204:CZ204" si="3270">+BG192+BG202</f>
        <v>0</v>
      </c>
      <c r="BH204" s="86">
        <f t="shared" si="3270"/>
        <v>0</v>
      </c>
      <c r="BI204" s="87">
        <f t="shared" si="3270"/>
        <v>0</v>
      </c>
      <c r="BJ204" s="87">
        <f t="shared" si="3270"/>
        <v>0</v>
      </c>
      <c r="BK204" s="88">
        <f t="shared" si="3270"/>
        <v>0</v>
      </c>
      <c r="BL204" s="85">
        <f t="shared" si="3270"/>
        <v>0</v>
      </c>
      <c r="BM204" s="86">
        <f t="shared" si="3270"/>
        <v>0</v>
      </c>
      <c r="BN204" s="87">
        <f t="shared" si="3270"/>
        <v>0</v>
      </c>
      <c r="BO204" s="87">
        <f t="shared" si="3270"/>
        <v>0</v>
      </c>
      <c r="BP204" s="88">
        <f t="shared" si="3270"/>
        <v>0</v>
      </c>
      <c r="BQ204" s="85">
        <f t="shared" si="3270"/>
        <v>0</v>
      </c>
      <c r="BR204" s="86">
        <f t="shared" si="3270"/>
        <v>0</v>
      </c>
      <c r="BS204" s="87">
        <f t="shared" si="3270"/>
        <v>0</v>
      </c>
      <c r="BT204" s="87">
        <f t="shared" si="3270"/>
        <v>0</v>
      </c>
      <c r="BU204" s="88">
        <f t="shared" si="3270"/>
        <v>0</v>
      </c>
      <c r="BV204" s="85">
        <f t="shared" si="3270"/>
        <v>0</v>
      </c>
      <c r="BW204" s="86">
        <f t="shared" si="3270"/>
        <v>0</v>
      </c>
      <c r="BX204" s="87">
        <f t="shared" si="3270"/>
        <v>0</v>
      </c>
      <c r="BY204" s="87">
        <f t="shared" si="3270"/>
        <v>0</v>
      </c>
      <c r="BZ204" s="88">
        <f t="shared" si="3270"/>
        <v>0</v>
      </c>
      <c r="CA204" s="85">
        <f t="shared" si="3270"/>
        <v>0</v>
      </c>
      <c r="CB204" s="86">
        <f t="shared" si="3270"/>
        <v>0</v>
      </c>
      <c r="CC204" s="87">
        <f t="shared" si="3270"/>
        <v>0</v>
      </c>
      <c r="CD204" s="87">
        <f t="shared" si="3270"/>
        <v>-0.70833333333333348</v>
      </c>
      <c r="CE204" s="88">
        <f t="shared" si="3270"/>
        <v>-1.0625</v>
      </c>
      <c r="CF204" s="85">
        <f t="shared" si="3270"/>
        <v>-1.770833333333333</v>
      </c>
      <c r="CG204" s="86">
        <f t="shared" si="3270"/>
        <v>-1.0625</v>
      </c>
      <c r="CH204" s="87">
        <f t="shared" si="3270"/>
        <v>-1.0625</v>
      </c>
      <c r="CI204" s="87">
        <f t="shared" si="3270"/>
        <v>4.958333333333333</v>
      </c>
      <c r="CJ204" s="88">
        <f t="shared" si="3270"/>
        <v>5.3125</v>
      </c>
      <c r="CK204" s="85">
        <f t="shared" si="3270"/>
        <v>8.1458333333333321</v>
      </c>
      <c r="CL204" s="86">
        <f t="shared" si="3270"/>
        <v>5.3125</v>
      </c>
      <c r="CM204" s="87">
        <f t="shared" si="3270"/>
        <v>5.3125</v>
      </c>
      <c r="CN204" s="87">
        <f t="shared" si="3270"/>
        <v>3.4375</v>
      </c>
      <c r="CO204" s="88">
        <f t="shared" si="3270"/>
        <v>3.4375</v>
      </c>
      <c r="CP204" s="85">
        <f t="shared" si="3270"/>
        <v>17.5</v>
      </c>
      <c r="CQ204" s="86">
        <f t="shared" si="3270"/>
        <v>3.4375</v>
      </c>
      <c r="CR204" s="87">
        <f t="shared" si="3270"/>
        <v>3.4375</v>
      </c>
      <c r="CS204" s="87">
        <f t="shared" si="3270"/>
        <v>2.8125</v>
      </c>
      <c r="CT204" s="88">
        <f t="shared" si="3270"/>
        <v>2.8125</v>
      </c>
      <c r="CU204" s="85">
        <f t="shared" si="3270"/>
        <v>12.5</v>
      </c>
      <c r="CV204" s="86">
        <f t="shared" si="3270"/>
        <v>2.8125</v>
      </c>
      <c r="CW204" s="87">
        <f t="shared" si="3270"/>
        <v>2.8125</v>
      </c>
      <c r="CX204" s="87">
        <f t="shared" si="3270"/>
        <v>5.625</v>
      </c>
      <c r="CY204" s="88">
        <f t="shared" si="3270"/>
        <v>3.875</v>
      </c>
      <c r="CZ204" s="85">
        <f t="shared" si="3270"/>
        <v>15.125</v>
      </c>
    </row>
    <row r="205" spans="1:104" ht="12.75" customHeight="1">
      <c r="E205" s="4"/>
      <c r="F205" s="4"/>
      <c r="G205" s="4"/>
      <c r="H205" s="4"/>
      <c r="I205" s="4"/>
      <c r="J205" s="4"/>
      <c r="K205" s="2193"/>
      <c r="L205" s="81"/>
      <c r="M205" s="82"/>
      <c r="N205" s="83"/>
      <c r="O205" s="83"/>
      <c r="P205" s="84"/>
      <c r="Q205" s="81"/>
      <c r="R205" s="82"/>
      <c r="S205" s="83"/>
      <c r="T205" s="83"/>
      <c r="U205" s="84"/>
      <c r="V205" s="81"/>
      <c r="W205" s="82"/>
      <c r="X205" s="83"/>
      <c r="Y205" s="83"/>
      <c r="Z205" s="84"/>
      <c r="AA205" s="81"/>
      <c r="AB205" s="82"/>
      <c r="AC205" s="83"/>
      <c r="AD205" s="83"/>
      <c r="AE205" s="84"/>
      <c r="AF205" s="81"/>
      <c r="AG205" s="82"/>
      <c r="AH205" s="83"/>
      <c r="AI205" s="83"/>
      <c r="AJ205" s="84"/>
      <c r="AK205" s="81"/>
      <c r="AL205" s="82"/>
      <c r="AM205" s="83"/>
      <c r="AN205" s="83"/>
      <c r="AO205" s="84"/>
      <c r="AP205" s="81"/>
      <c r="AQ205" s="82"/>
      <c r="AR205" s="83"/>
      <c r="AS205" s="83"/>
      <c r="AT205" s="84"/>
      <c r="AU205" s="81"/>
      <c r="AV205" s="82"/>
      <c r="AW205" s="83"/>
      <c r="AX205" s="83"/>
      <c r="AY205" s="84"/>
      <c r="AZ205" s="81"/>
      <c r="BA205" s="82"/>
      <c r="BB205" s="83"/>
      <c r="BC205" s="83"/>
      <c r="BD205" s="84"/>
      <c r="BE205" s="81"/>
      <c r="BF205" s="1884"/>
      <c r="BG205" s="2005"/>
      <c r="BH205" s="86"/>
      <c r="BI205" s="87"/>
      <c r="BJ205" s="87"/>
      <c r="BK205" s="88"/>
      <c r="BL205" s="85"/>
      <c r="BM205" s="86"/>
      <c r="BN205" s="87"/>
      <c r="BO205" s="87"/>
      <c r="BP205" s="88"/>
      <c r="BQ205" s="85"/>
      <c r="BR205" s="86"/>
      <c r="BS205" s="87"/>
      <c r="BT205" s="87"/>
      <c r="BU205" s="88"/>
      <c r="BV205" s="85"/>
      <c r="BW205" s="86"/>
      <c r="BX205" s="87"/>
      <c r="BY205" s="87"/>
      <c r="BZ205" s="88"/>
      <c r="CA205" s="85"/>
      <c r="CB205" s="86"/>
      <c r="CC205" s="87"/>
      <c r="CD205" s="87"/>
      <c r="CE205" s="88"/>
      <c r="CF205" s="85"/>
      <c r="CG205" s="86"/>
      <c r="CH205" s="87"/>
      <c r="CI205" s="87"/>
      <c r="CJ205" s="88"/>
      <c r="CK205" s="85"/>
      <c r="CL205" s="86"/>
      <c r="CM205" s="87"/>
      <c r="CN205" s="87"/>
      <c r="CO205" s="88"/>
      <c r="CP205" s="85"/>
      <c r="CQ205" s="86"/>
      <c r="CR205" s="87"/>
      <c r="CS205" s="87"/>
      <c r="CT205" s="88"/>
      <c r="CU205" s="85"/>
      <c r="CV205" s="86"/>
      <c r="CW205" s="87"/>
      <c r="CX205" s="87"/>
      <c r="CY205" s="88"/>
      <c r="CZ205" s="85"/>
    </row>
    <row r="206" spans="1:104" ht="12.75" customHeight="1">
      <c r="E206" s="4"/>
      <c r="F206" s="4"/>
      <c r="G206" s="4"/>
      <c r="H206" s="4"/>
      <c r="I206" s="4"/>
      <c r="J206" s="4"/>
      <c r="K206" s="2193"/>
      <c r="L206" s="81"/>
      <c r="M206" s="82"/>
      <c r="N206" s="83"/>
      <c r="O206" s="83"/>
      <c r="P206" s="84"/>
      <c r="Q206" s="81"/>
      <c r="R206" s="82"/>
      <c r="S206" s="83"/>
      <c r="T206" s="83"/>
      <c r="U206" s="84"/>
      <c r="V206" s="81"/>
      <c r="W206" s="82"/>
      <c r="X206" s="83"/>
      <c r="Y206" s="83"/>
      <c r="Z206" s="84"/>
      <c r="AA206" s="81"/>
      <c r="AB206" s="82"/>
      <c r="AC206" s="83"/>
      <c r="AD206" s="83"/>
      <c r="AE206" s="84"/>
      <c r="AF206" s="81"/>
      <c r="AG206" s="82"/>
      <c r="AH206" s="83"/>
      <c r="AI206" s="83"/>
      <c r="AJ206" s="84"/>
      <c r="AK206" s="81"/>
      <c r="AL206" s="82"/>
      <c r="AM206" s="83"/>
      <c r="AN206" s="83"/>
      <c r="AO206" s="84"/>
      <c r="AP206" s="81"/>
      <c r="AQ206" s="82"/>
      <c r="AR206" s="83"/>
      <c r="AS206" s="83"/>
      <c r="AT206" s="84"/>
      <c r="AU206" s="81"/>
      <c r="AV206" s="82"/>
      <c r="AW206" s="83"/>
      <c r="AX206" s="83"/>
      <c r="AY206" s="84"/>
      <c r="AZ206" s="81"/>
      <c r="BA206" s="82"/>
      <c r="BB206" s="83"/>
      <c r="BC206" s="83"/>
      <c r="BD206" s="84"/>
      <c r="BE206" s="81"/>
      <c r="BF206" s="1884"/>
      <c r="BG206" s="2005"/>
      <c r="BH206" s="86"/>
      <c r="BI206" s="87"/>
      <c r="BJ206" s="87"/>
      <c r="BK206" s="88"/>
      <c r="BL206" s="85"/>
      <c r="BM206" s="86"/>
      <c r="BN206" s="87"/>
      <c r="BO206" s="87"/>
      <c r="BP206" s="88"/>
      <c r="BQ206" s="85"/>
      <c r="BR206" s="86"/>
      <c r="BS206" s="87"/>
      <c r="BT206" s="87"/>
      <c r="BU206" s="88"/>
      <c r="BV206" s="85"/>
      <c r="BW206" s="86"/>
      <c r="BX206" s="87"/>
      <c r="BY206" s="87"/>
      <c r="BZ206" s="88"/>
      <c r="CA206" s="85"/>
      <c r="CB206" s="86"/>
      <c r="CC206" s="87"/>
      <c r="CD206" s="87"/>
      <c r="CE206" s="88"/>
      <c r="CF206" s="85"/>
      <c r="CG206" s="86"/>
      <c r="CH206" s="87"/>
      <c r="CI206" s="87"/>
      <c r="CJ206" s="88"/>
      <c r="CK206" s="85"/>
      <c r="CL206" s="86"/>
      <c r="CM206" s="87"/>
      <c r="CN206" s="87"/>
      <c r="CO206" s="88"/>
      <c r="CP206" s="85"/>
      <c r="CQ206" s="86"/>
      <c r="CR206" s="87"/>
      <c r="CS206" s="87"/>
      <c r="CT206" s="88"/>
      <c r="CU206" s="85"/>
      <c r="CV206" s="86"/>
      <c r="CW206" s="87"/>
      <c r="CX206" s="87"/>
      <c r="CY206" s="88"/>
      <c r="CZ206" s="85"/>
    </row>
    <row r="207" spans="1:104" ht="12.75" customHeight="1">
      <c r="A207" s="1817"/>
      <c r="B207" s="1681" t="s">
        <v>771</v>
      </c>
      <c r="C207" s="1818"/>
      <c r="D207" s="1819"/>
      <c r="E207" s="1820"/>
      <c r="F207" s="1821"/>
      <c r="G207" s="1821"/>
      <c r="H207" s="1822"/>
      <c r="I207" s="1822"/>
      <c r="J207" s="1823"/>
      <c r="K207" s="2193"/>
      <c r="L207" s="81"/>
      <c r="M207" s="82"/>
      <c r="N207" s="83"/>
      <c r="O207" s="83"/>
      <c r="P207" s="84"/>
      <c r="Q207" s="81"/>
      <c r="R207" s="82"/>
      <c r="S207" s="83"/>
      <c r="T207" s="83"/>
      <c r="U207" s="84"/>
      <c r="V207" s="81"/>
      <c r="W207" s="82"/>
      <c r="X207" s="83"/>
      <c r="Y207" s="83"/>
      <c r="Z207" s="84"/>
      <c r="AA207" s="81"/>
      <c r="AB207" s="82"/>
      <c r="AC207" s="83"/>
      <c r="AD207" s="83"/>
      <c r="AE207" s="84"/>
      <c r="AF207" s="81"/>
      <c r="AG207" s="82"/>
      <c r="AH207" s="83"/>
      <c r="AI207" s="83"/>
      <c r="AJ207" s="84"/>
      <c r="AK207" s="81"/>
      <c r="AL207" s="82"/>
      <c r="AM207" s="83"/>
      <c r="AN207" s="83"/>
      <c r="AO207" s="84"/>
      <c r="AP207" s="81"/>
      <c r="AQ207" s="82"/>
      <c r="AR207" s="83"/>
      <c r="AS207" s="83"/>
      <c r="AT207" s="84"/>
      <c r="AU207" s="81"/>
      <c r="AV207" s="82"/>
      <c r="AW207" s="83"/>
      <c r="AX207" s="83"/>
      <c r="AY207" s="84"/>
      <c r="AZ207" s="81"/>
      <c r="BA207" s="82"/>
      <c r="BB207" s="83"/>
      <c r="BC207" s="83"/>
      <c r="BD207" s="84"/>
      <c r="BE207" s="81"/>
      <c r="BF207" s="1884"/>
      <c r="BG207" s="2005"/>
      <c r="BH207" s="86"/>
      <c r="BI207" s="87"/>
      <c r="BJ207" s="87"/>
      <c r="BK207" s="88"/>
      <c r="BL207" s="85"/>
      <c r="BM207" s="86"/>
      <c r="BN207" s="87"/>
      <c r="BO207" s="87"/>
      <c r="BP207" s="88"/>
      <c r="BQ207" s="85"/>
      <c r="BR207" s="86"/>
      <c r="BS207" s="87"/>
      <c r="BT207" s="87"/>
      <c r="BU207" s="88"/>
      <c r="BV207" s="85"/>
      <c r="BW207" s="86"/>
      <c r="BX207" s="87"/>
      <c r="BY207" s="87"/>
      <c r="BZ207" s="88"/>
      <c r="CA207" s="85"/>
      <c r="CB207" s="86"/>
      <c r="CC207" s="87"/>
      <c r="CD207" s="87"/>
      <c r="CE207" s="88"/>
      <c r="CF207" s="85"/>
      <c r="CG207" s="86"/>
      <c r="CH207" s="87"/>
      <c r="CI207" s="87"/>
      <c r="CJ207" s="88"/>
      <c r="CK207" s="85"/>
      <c r="CL207" s="86"/>
      <c r="CM207" s="87"/>
      <c r="CN207" s="87"/>
      <c r="CO207" s="88"/>
      <c r="CP207" s="85"/>
      <c r="CQ207" s="86"/>
      <c r="CR207" s="87"/>
      <c r="CS207" s="87"/>
      <c r="CT207" s="88"/>
      <c r="CU207" s="85"/>
      <c r="CV207" s="86"/>
      <c r="CW207" s="87"/>
      <c r="CX207" s="87"/>
      <c r="CY207" s="88"/>
      <c r="CZ207" s="85"/>
    </row>
    <row r="208" spans="1:104" ht="12.75" customHeight="1">
      <c r="A208" s="1817"/>
      <c r="B208" s="1817"/>
      <c r="C208" s="1824"/>
      <c r="D208" s="1824"/>
      <c r="E208" s="1820"/>
      <c r="F208" s="1821"/>
      <c r="G208" s="1821"/>
      <c r="H208" s="1825"/>
      <c r="I208" s="1826"/>
      <c r="J208" s="1827"/>
      <c r="K208" s="2193"/>
      <c r="L208" s="81"/>
      <c r="M208" s="82"/>
      <c r="N208" s="83"/>
      <c r="O208" s="83"/>
      <c r="P208" s="84"/>
      <c r="Q208" s="81"/>
      <c r="R208" s="82"/>
      <c r="S208" s="83"/>
      <c r="T208" s="83"/>
      <c r="U208" s="84"/>
      <c r="V208" s="81"/>
      <c r="W208" s="82"/>
      <c r="X208" s="83"/>
      <c r="Y208" s="83"/>
      <c r="Z208" s="84"/>
      <c r="AA208" s="81"/>
      <c r="AB208" s="82"/>
      <c r="AC208" s="83"/>
      <c r="AD208" s="83"/>
      <c r="AE208" s="84"/>
      <c r="AF208" s="81"/>
      <c r="AG208" s="82"/>
      <c r="AH208" s="83"/>
      <c r="AI208" s="83"/>
      <c r="AJ208" s="84"/>
      <c r="AK208" s="81"/>
      <c r="AL208" s="82"/>
      <c r="AM208" s="83"/>
      <c r="AN208" s="83"/>
      <c r="AO208" s="84"/>
      <c r="AP208" s="81"/>
      <c r="AQ208" s="82"/>
      <c r="AR208" s="83"/>
      <c r="AS208" s="83"/>
      <c r="AT208" s="84"/>
      <c r="AU208" s="81"/>
      <c r="AV208" s="82"/>
      <c r="AW208" s="83"/>
      <c r="AX208" s="83"/>
      <c r="AY208" s="84"/>
      <c r="AZ208" s="81"/>
      <c r="BA208" s="82"/>
      <c r="BB208" s="83"/>
      <c r="BC208" s="83"/>
      <c r="BD208" s="84"/>
      <c r="BE208" s="81"/>
      <c r="BF208" s="1884"/>
      <c r="BG208" s="2005"/>
      <c r="BH208" s="86"/>
      <c r="BI208" s="87"/>
      <c r="BJ208" s="87"/>
      <c r="BK208" s="88"/>
      <c r="BL208" s="85"/>
      <c r="BM208" s="86"/>
      <c r="BN208" s="87"/>
      <c r="BO208" s="87"/>
      <c r="BP208" s="88"/>
      <c r="BQ208" s="85"/>
      <c r="BR208" s="86"/>
      <c r="BS208" s="87"/>
      <c r="BT208" s="87"/>
      <c r="BU208" s="88"/>
      <c r="BV208" s="85"/>
      <c r="BW208" s="86"/>
      <c r="BX208" s="87"/>
      <c r="BY208" s="87"/>
      <c r="BZ208" s="88"/>
      <c r="CA208" s="85"/>
      <c r="CB208" s="86"/>
      <c r="CC208" s="87"/>
      <c r="CD208" s="87"/>
      <c r="CE208" s="88"/>
      <c r="CF208" s="85"/>
      <c r="CG208" s="86"/>
      <c r="CH208" s="87"/>
      <c r="CI208" s="87"/>
      <c r="CJ208" s="88"/>
      <c r="CK208" s="85"/>
      <c r="CL208" s="86"/>
      <c r="CM208" s="87"/>
      <c r="CN208" s="87"/>
      <c r="CO208" s="88"/>
      <c r="CP208" s="85"/>
      <c r="CQ208" s="86"/>
      <c r="CR208" s="87"/>
      <c r="CS208" s="87"/>
      <c r="CT208" s="88"/>
      <c r="CU208" s="85"/>
      <c r="CV208" s="86"/>
      <c r="CW208" s="87"/>
      <c r="CX208" s="87"/>
      <c r="CY208" s="88"/>
      <c r="CZ208" s="85"/>
    </row>
    <row r="209" spans="1:104" ht="12.75" customHeight="1">
      <c r="A209" s="1817"/>
      <c r="B209" s="1817"/>
      <c r="C209" s="139" t="s">
        <v>532</v>
      </c>
      <c r="D209" s="139"/>
      <c r="E209" s="1828"/>
      <c r="F209" s="1822"/>
      <c r="G209" s="1822"/>
      <c r="H209" s="166"/>
      <c r="I209" s="1826"/>
      <c r="J209" s="1827"/>
      <c r="K209" s="2193"/>
      <c r="L209" s="81"/>
      <c r="M209" s="82"/>
      <c r="N209" s="83"/>
      <c r="O209" s="83"/>
      <c r="P209" s="84"/>
      <c r="Q209" s="81"/>
      <c r="R209" s="82"/>
      <c r="S209" s="83"/>
      <c r="T209" s="83"/>
      <c r="U209" s="84"/>
      <c r="V209" s="81"/>
      <c r="W209" s="82"/>
      <c r="X209" s="83"/>
      <c r="Y209" s="83"/>
      <c r="Z209" s="84"/>
      <c r="AA209" s="81"/>
      <c r="AB209" s="82"/>
      <c r="AC209" s="83"/>
      <c r="AD209" s="83"/>
      <c r="AE209" s="84"/>
      <c r="AF209" s="81"/>
      <c r="AG209" s="82"/>
      <c r="AH209" s="83"/>
      <c r="AI209" s="83"/>
      <c r="AJ209" s="84"/>
      <c r="AK209" s="81"/>
      <c r="AL209" s="82"/>
      <c r="AM209" s="83"/>
      <c r="AN209" s="83"/>
      <c r="AO209" s="84"/>
      <c r="AP209" s="81"/>
      <c r="AQ209" s="82"/>
      <c r="AR209" s="83"/>
      <c r="AS209" s="83"/>
      <c r="AT209" s="84"/>
      <c r="AU209" s="81"/>
      <c r="AV209" s="82"/>
      <c r="AW209" s="83"/>
      <c r="AX209" s="83"/>
      <c r="AY209" s="84"/>
      <c r="AZ209" s="81"/>
      <c r="BA209" s="82"/>
      <c r="BB209" s="83"/>
      <c r="BC209" s="83"/>
      <c r="BD209" s="84"/>
      <c r="BE209" s="81"/>
      <c r="BF209" s="1884"/>
      <c r="BG209" s="2005"/>
      <c r="BH209" s="86"/>
      <c r="BI209" s="87"/>
      <c r="BJ209" s="87"/>
      <c r="BK209" s="88"/>
      <c r="BL209" s="85"/>
      <c r="BM209" s="86"/>
      <c r="BN209" s="87"/>
      <c r="BO209" s="87"/>
      <c r="BP209" s="88"/>
      <c r="BQ209" s="85"/>
      <c r="BR209" s="86"/>
      <c r="BS209" s="87"/>
      <c r="BT209" s="87"/>
      <c r="BU209" s="88"/>
      <c r="BV209" s="85"/>
      <c r="BW209" s="86"/>
      <c r="BX209" s="87"/>
      <c r="BY209" s="87"/>
      <c r="BZ209" s="88"/>
      <c r="CA209" s="85"/>
      <c r="CB209" s="86"/>
      <c r="CC209" s="87"/>
      <c r="CD209" s="87"/>
      <c r="CE209" s="88"/>
      <c r="CF209" s="85"/>
      <c r="CG209" s="86"/>
      <c r="CH209" s="87"/>
      <c r="CI209" s="87"/>
      <c r="CJ209" s="88"/>
      <c r="CK209" s="85"/>
      <c r="CL209" s="86"/>
      <c r="CM209" s="87"/>
      <c r="CN209" s="87"/>
      <c r="CO209" s="88"/>
      <c r="CP209" s="85"/>
      <c r="CQ209" s="86"/>
      <c r="CR209" s="87"/>
      <c r="CS209" s="87"/>
      <c r="CT209" s="88"/>
      <c r="CU209" s="85"/>
      <c r="CV209" s="86"/>
      <c r="CW209" s="87"/>
      <c r="CX209" s="87"/>
      <c r="CY209" s="88"/>
      <c r="CZ209" s="85"/>
    </row>
    <row r="210" spans="1:104" ht="12.75" customHeight="1">
      <c r="A210" s="1817"/>
      <c r="B210" s="1817"/>
      <c r="C210" s="1829" t="s">
        <v>772</v>
      </c>
      <c r="D210" s="139"/>
      <c r="E210" s="1828"/>
      <c r="F210" s="1822"/>
      <c r="G210" s="1822"/>
      <c r="H210" s="166"/>
      <c r="I210" s="1826"/>
      <c r="J210" s="1827"/>
      <c r="K210" s="2193"/>
      <c r="L210" s="81"/>
      <c r="M210" s="82"/>
      <c r="N210" s="83"/>
      <c r="O210" s="83"/>
      <c r="P210" s="84"/>
      <c r="Q210" s="81"/>
      <c r="R210" s="82"/>
      <c r="S210" s="83"/>
      <c r="T210" s="83"/>
      <c r="U210" s="84"/>
      <c r="V210" s="81"/>
      <c r="W210" s="82"/>
      <c r="X210" s="83"/>
      <c r="Y210" s="83"/>
      <c r="Z210" s="84"/>
      <c r="AA210" s="81"/>
      <c r="AB210" s="82"/>
      <c r="AC210" s="83"/>
      <c r="AD210" s="83"/>
      <c r="AE210" s="84"/>
      <c r="AF210" s="81"/>
      <c r="AG210" s="82"/>
      <c r="AH210" s="83"/>
      <c r="AI210" s="83"/>
      <c r="AJ210" s="84"/>
      <c r="AK210" s="81"/>
      <c r="AL210" s="82"/>
      <c r="AM210" s="83"/>
      <c r="AN210" s="83"/>
      <c r="AO210" s="84"/>
      <c r="AP210" s="81"/>
      <c r="AQ210" s="82"/>
      <c r="AR210" s="83"/>
      <c r="AS210" s="83"/>
      <c r="AT210" s="84"/>
      <c r="AU210" s="81"/>
      <c r="AV210" s="82"/>
      <c r="AW210" s="83"/>
      <c r="AX210" s="83"/>
      <c r="AY210" s="84"/>
      <c r="AZ210" s="81"/>
      <c r="BA210" s="82"/>
      <c r="BB210" s="83"/>
      <c r="BC210" s="83"/>
      <c r="BD210" s="84"/>
      <c r="BE210" s="81"/>
      <c r="BF210" s="1884"/>
      <c r="BG210" s="2005"/>
      <c r="BH210" s="86"/>
      <c r="BI210" s="87"/>
      <c r="BJ210" s="87"/>
      <c r="BK210" s="88"/>
      <c r="BL210" s="85"/>
      <c r="BM210" s="86"/>
      <c r="BN210" s="87"/>
      <c r="BO210" s="87"/>
      <c r="BP210" s="88"/>
      <c r="BQ210" s="85"/>
      <c r="BR210" s="86"/>
      <c r="BS210" s="87"/>
      <c r="BT210" s="87"/>
      <c r="BU210" s="88"/>
      <c r="BV210" s="85"/>
      <c r="BW210" s="86"/>
      <c r="BX210" s="87"/>
      <c r="BY210" s="87"/>
      <c r="BZ210" s="88"/>
      <c r="CA210" s="85"/>
      <c r="CB210" s="86"/>
      <c r="CC210" s="87"/>
      <c r="CD210" s="87"/>
      <c r="CE210" s="88"/>
      <c r="CF210" s="85"/>
      <c r="CG210" s="86"/>
      <c r="CH210" s="87"/>
      <c r="CI210" s="87"/>
      <c r="CJ210" s="88"/>
      <c r="CK210" s="85"/>
      <c r="CL210" s="86"/>
      <c r="CM210" s="87"/>
      <c r="CN210" s="87"/>
      <c r="CO210" s="88"/>
      <c r="CP210" s="85"/>
      <c r="CQ210" s="86"/>
      <c r="CR210" s="87"/>
      <c r="CS210" s="87"/>
      <c r="CT210" s="88"/>
      <c r="CU210" s="85"/>
      <c r="CV210" s="86"/>
      <c r="CW210" s="87"/>
      <c r="CX210" s="87"/>
      <c r="CY210" s="88"/>
      <c r="CZ210" s="85"/>
    </row>
    <row r="211" spans="1:104" ht="12.75" customHeight="1">
      <c r="A211" s="1817"/>
      <c r="B211" s="1817"/>
      <c r="C211" s="2119">
        <v>5.8999999999999997E-2</v>
      </c>
      <c r="D211" s="2114"/>
      <c r="E211" s="2115">
        <f>IF(F211=0,G211,F211)</f>
        <v>190</v>
      </c>
      <c r="F211" s="1511">
        <v>0</v>
      </c>
      <c r="G211" s="1511">
        <v>190</v>
      </c>
      <c r="H211" s="1510">
        <v>2017</v>
      </c>
      <c r="I211" s="1831">
        <v>5.8999999999999997E-2</v>
      </c>
      <c r="J211" s="1832">
        <v>10</v>
      </c>
      <c r="K211" s="2193"/>
      <c r="L211" s="81">
        <f t="shared" ref="L211:L214" si="3271">IF(L$5=$H211,-$E211,0)</f>
        <v>0</v>
      </c>
      <c r="M211" s="82">
        <f t="shared" ref="M211:M214" si="3272">IF(Q211=0,0,IF(Q211&lt;0,IF($J211=3,Q211,IF($J211=2,Q211,IF($J211=1,Q211,0)))))</f>
        <v>0</v>
      </c>
      <c r="N211" s="83">
        <f t="shared" ref="N211:N214" si="3273">IF(Q211=0,0,IF(Q211&lt;0,IF($J211=6,Q211,IF($J211=5,Q211,IF($J211=4,Q211,0)))))</f>
        <v>0</v>
      </c>
      <c r="O211" s="83">
        <f t="shared" ref="O211:O214" si="3274">IF(Q211=0,0,IF(Q211&lt;0,IF($J211=9,Q211,IF($J211=8,Q211,IF($J211=7,Q211,0)))))</f>
        <v>0</v>
      </c>
      <c r="P211" s="84">
        <f t="shared" ref="P211:P214" si="3275">IF(Q211=0,0,IF(Q211&lt;0,IF($J211=12,Q211,IF($J211=11,Q211,IF($J211=10,Q211,0)))))</f>
        <v>0</v>
      </c>
      <c r="Q211" s="81">
        <f t="shared" ref="Q211:Q214" si="3276">IF(Q$5=$H211,-$E211,0)</f>
        <v>0</v>
      </c>
      <c r="R211" s="82">
        <f t="shared" ref="R211:R214" si="3277">IF(V211=0,0,IF(V211&lt;0,IF($J211=3,V211,IF($J211=2,V211,IF($J211=1,V211,0)))))</f>
        <v>0</v>
      </c>
      <c r="S211" s="83">
        <f t="shared" ref="S211:S214" si="3278">IF(V211=0,0,IF(V211&lt;0,IF($J211=6,V211,IF($J211=5,V211,IF($J211=4,V211,0)))))</f>
        <v>0</v>
      </c>
      <c r="T211" s="83">
        <f t="shared" ref="T211:T214" si="3279">IF(V211=0,0,IF(V211&lt;0,IF($J211=9,V211,IF($J211=8,V211,IF($J211=7,V211,0)))))</f>
        <v>0</v>
      </c>
      <c r="U211" s="84">
        <f t="shared" ref="U211:U214" si="3280">IF(V211=0,0,IF(V211&lt;0,IF($J211=12,V211,IF($J211=11,V211,IF($J211=10,V211,0)))))</f>
        <v>0</v>
      </c>
      <c r="V211" s="81">
        <f t="shared" ref="V211:V214" si="3281">IF(V$5=$H211,-$E211,0)</f>
        <v>0</v>
      </c>
      <c r="W211" s="82">
        <f t="shared" ref="W211:W214" si="3282">IF(AA211=0,0,IF(AA211&lt;0,IF($J211=3,AA211,IF($J211=2,AA211,IF($J211=1,AA211,0)))))</f>
        <v>0</v>
      </c>
      <c r="X211" s="83">
        <f t="shared" ref="X211:X214" si="3283">IF(AA211=0,0,IF(AA211&lt;0,IF($J211=6,AA211,IF($J211=5,AA211,IF($J211=4,AA211,0)))))</f>
        <v>0</v>
      </c>
      <c r="Y211" s="83">
        <f t="shared" ref="Y211:Y214" si="3284">IF(AA211=0,0,IF(AA211&lt;0,IF($J211=9,AA211,IF($J211=8,AA211,IF($J211=7,AA211,0)))))</f>
        <v>0</v>
      </c>
      <c r="Z211" s="84">
        <f t="shared" ref="Z211:Z214" si="3285">IF(AA211=0,0,IF(AA211&lt;0,IF($J211=12,AA211,IF($J211=11,AA211,IF($J211=10,AA211,0)))))</f>
        <v>0</v>
      </c>
      <c r="AA211" s="81">
        <f t="shared" ref="AA211:AA214" si="3286">IF(AA$5=$H211,-$E211,0)</f>
        <v>0</v>
      </c>
      <c r="AB211" s="82">
        <f t="shared" ref="AB211:AB214" si="3287">IF(AF211=0,0,IF(AF211&lt;0,IF($J211=3,AF211,IF($J211=2,AF211,IF($J211=1,AF211,0)))))</f>
        <v>0</v>
      </c>
      <c r="AC211" s="83">
        <f t="shared" ref="AC211:AC214" si="3288">IF(AF211=0,0,IF(AF211&lt;0,IF($J211=6,AF211,IF($J211=5,AF211,IF($J211=4,AF211,0)))))</f>
        <v>0</v>
      </c>
      <c r="AD211" s="83">
        <f t="shared" ref="AD211:AD214" si="3289">IF(AF211=0,0,IF(AF211&lt;0,IF($J211=9,AF211,IF($J211=8,AF211,IF($J211=7,AF211,0)))))</f>
        <v>0</v>
      </c>
      <c r="AE211" s="84">
        <f t="shared" ref="AE211:AE214" si="3290">IF(AF211=0,0,IF(AF211&lt;0,IF($J211=12,AF211,IF($J211=11,AF211,IF($J211=10,AF211,0)))))</f>
        <v>0</v>
      </c>
      <c r="AF211" s="81">
        <f t="shared" ref="AF211:AF214" si="3291">IF(AF$5=$H211,-$E211,0)</f>
        <v>0</v>
      </c>
      <c r="AG211" s="82">
        <f t="shared" ref="AG211:AG214" si="3292">IF(AK211=0,0,IF(AK211&lt;0,IF($J211=3,AK211,IF($J211=2,AK211,IF($J211=1,AK211,0)))))</f>
        <v>0</v>
      </c>
      <c r="AH211" s="83">
        <f t="shared" ref="AH211:AH214" si="3293">IF(AK211=0,0,IF(AK211&lt;0,IF($J211=6,AK211,IF($J211=5,AK211,IF($J211=4,AK211,0)))))</f>
        <v>0</v>
      </c>
      <c r="AI211" s="83">
        <f t="shared" ref="AI211:AI214" si="3294">IF(AK211=0,0,IF(AK211&lt;0,IF($J211=9,AK211,IF($J211=8,AK211,IF($J211=7,AK211,0)))))</f>
        <v>0</v>
      </c>
      <c r="AJ211" s="84">
        <f t="shared" ref="AJ211:AJ214" si="3295">IF(AK211=0,0,IF(AK211&lt;0,IF($J211=12,AK211,IF($J211=11,AK211,IF($J211=10,AK211,0)))))</f>
        <v>-190</v>
      </c>
      <c r="AK211" s="81">
        <f t="shared" ref="AK211:AK214" si="3296">IF(AK$5=$H211,-$E211,0)</f>
        <v>-190</v>
      </c>
      <c r="AL211" s="82">
        <f t="shared" ref="AL211:AL214" si="3297">IF(AP211=0,0,IF(AP211&lt;0,IF($J211=3,AP211,IF($J211=2,AP211,IF($J211=1,AP211,0)))))</f>
        <v>0</v>
      </c>
      <c r="AM211" s="83">
        <f t="shared" ref="AM211:AM214" si="3298">IF(AP211=0,0,IF(AP211&lt;0,IF($J211=6,AP211,IF($J211=5,AP211,IF($J211=4,AP211,0)))))</f>
        <v>0</v>
      </c>
      <c r="AN211" s="83">
        <f t="shared" ref="AN211:AN214" si="3299">IF(AP211=0,0,IF(AP211&lt;0,IF($J211=9,AP211,IF($J211=8,AP211,IF($J211=7,AP211,0)))))</f>
        <v>0</v>
      </c>
      <c r="AO211" s="84">
        <f t="shared" ref="AO211:AO214" si="3300">IF(AP211=0,0,IF(AP211&lt;0,IF($J211=12,AP211,IF($J211=11,AP211,IF($J211=10,AP211,0)))))</f>
        <v>0</v>
      </c>
      <c r="AP211" s="81">
        <f t="shared" ref="AP211:AP214" si="3301">IF(AP$5=$H211,-$E211,0)</f>
        <v>0</v>
      </c>
      <c r="AQ211" s="82">
        <f t="shared" ref="AQ211:AQ214" si="3302">IF(AU211=0,0,IF(AU211&lt;0,IF($J211=3,AU211,IF($J211=2,AU211,IF($J211=1,AU211,0)))))</f>
        <v>0</v>
      </c>
      <c r="AR211" s="83">
        <f t="shared" ref="AR211:AR214" si="3303">IF(AU211=0,0,IF(AU211&lt;0,IF($J211=6,AU211,IF($J211=5,AU211,IF($J211=4,AU211,0)))))</f>
        <v>0</v>
      </c>
      <c r="AS211" s="83">
        <f t="shared" ref="AS211:AS214" si="3304">IF(AU211=0,0,IF(AU211&lt;0,IF($J211=9,AU211,IF($J211=8,AU211,IF($J211=7,AU211,0)))))</f>
        <v>0</v>
      </c>
      <c r="AT211" s="84">
        <f t="shared" ref="AT211:AT214" si="3305">IF(AU211=0,0,IF(AU211&lt;0,IF($J211=12,AU211,IF($J211=11,AU211,IF($J211=10,AU211,0)))))</f>
        <v>0</v>
      </c>
      <c r="AU211" s="81">
        <f t="shared" ref="AU211:AU214" si="3306">IF(AU$5=$H211,-$E211,0)</f>
        <v>0</v>
      </c>
      <c r="AV211" s="82">
        <f t="shared" ref="AV211:AV214" si="3307">IF(AZ211=0,0,IF(AZ211&lt;0,IF($J211=3,AZ211,IF($J211=2,AZ211,IF($J211=1,AZ211,0)))))</f>
        <v>0</v>
      </c>
      <c r="AW211" s="83">
        <f t="shared" ref="AW211:AW214" si="3308">IF(AZ211=0,0,IF(AZ211&lt;0,IF($J211=6,AZ211,IF($J211=5,AZ211,IF($J211=4,AZ211,0)))))</f>
        <v>0</v>
      </c>
      <c r="AX211" s="83">
        <f t="shared" ref="AX211:AX214" si="3309">IF(AZ211=0,0,IF(AZ211&lt;0,IF($J211=9,AZ211,IF($J211=8,AZ211,IF($J211=7,AZ211,0)))))</f>
        <v>0</v>
      </c>
      <c r="AY211" s="84">
        <f t="shared" ref="AY211:AY214" si="3310">IF(AZ211=0,0,IF(AZ211&lt;0,IF($J211=12,AZ211,IF($J211=11,AZ211,IF($J211=10,AZ211,0)))))</f>
        <v>0</v>
      </c>
      <c r="AZ211" s="81">
        <f t="shared" ref="AZ211:AZ214" si="3311">IF(AZ$5=$H211,-$E211,0)</f>
        <v>0</v>
      </c>
      <c r="BA211" s="82">
        <f t="shared" ref="BA211:BA214" si="3312">IF(BE211=0,0,IF(BE211&lt;0,IF($J211=3,BE211,IF($J211=2,BE211,IF($J211=1,BE211,0)))))</f>
        <v>0</v>
      </c>
      <c r="BB211" s="83">
        <f t="shared" ref="BB211:BB214" si="3313">IF(BE211=0,0,IF(BE211&lt;0,IF($J211=6,BE211,IF($J211=5,BE211,IF($J211=4,BE211,0)))))</f>
        <v>0</v>
      </c>
      <c r="BC211" s="83">
        <f t="shared" ref="BC211:BC214" si="3314">IF(BE211=0,0,IF(BE211&lt;0,IF($J211=9,BE211,IF($J211=8,BE211,IF($J211=7,BE211,0)))))</f>
        <v>0</v>
      </c>
      <c r="BD211" s="84">
        <f t="shared" ref="BD211:BD214" si="3315">IF(BE211=0,0,IF(BE211&lt;0,IF($J211=12,BE211,IF($J211=11,BE211,IF($J211=10,BE211,0)))))</f>
        <v>0</v>
      </c>
      <c r="BE211" s="81">
        <f t="shared" ref="BE211:BE214" si="3316">IF(BE$5=$H211,-$E211,0)</f>
        <v>0</v>
      </c>
      <c r="BF211" s="1884"/>
      <c r="BG211" s="2005">
        <f t="shared" ref="BG211:BG214" si="3317">IF(AND(BF211&lt;&gt;0,BF$5=$H211),-$I211*$E211-BF211,IF(BG$5=$H211,-$I211*$E211*(12-$J211+1)/12,0))</f>
        <v>0</v>
      </c>
      <c r="BH211" s="86">
        <f t="shared" ref="BH211:BH214" si="3318">IF($H211&lt;&gt;BL$5,0,IF(BL211&lt;0,IF($J211=1,-$E211*$I211/12*3,IF($J211=2,-$E211*$I211/12*2,IF($J211=3,-$E211*$I211/12*1,0)))))+IF(BG$5&lt;&gt;$H211,0,IF(BG211&lt;0,IF($J211=1,-$E211*$I211/12*0,IF($J211=2,-$E211*$I211/12*1,IF($J211=3,-$E211*$I211/12*2,IF($J211&gt;=4,-$E211*$I211/12*3,0))))))</f>
        <v>0</v>
      </c>
      <c r="BI211" s="87">
        <f t="shared" ref="BI211:BI214" si="3319">IF($H211&lt;&gt;BL$5,0,IF(BL211&lt;0,IF(OR($J211=1,$J211=2,$J211=3,$J211=4),-$E211*$I211/12*3,IF($J211=5,-$E211*$I211/12*2,IF($J211=6,-$E211*$I211/12*1,0)))))+IF(BG$5&lt;&gt;$H211,0,IF(BG211&lt;0,IF($J211=4,-$E211*$I211/12*0,IF($J211=5,-$E211*$I211/12*1,IF($J211=6,-$E211*$I211/12*2,IF($J211&gt;=7,-$E211*$I211/12*3,0))))))</f>
        <v>0</v>
      </c>
      <c r="BJ211" s="87">
        <f t="shared" ref="BJ211:BJ214" si="3320">IF($H211&lt;&gt;BL$5,0,IF(BL211&lt;0,IF(OR($J211=1,$J211=2,$J211=3,$J211=4,$J211=5,$J211=6,$J211=7),-$E211*$I211/12*3,IF($J211=8,-$E211*$I211/12*2,IF($J211=9,-$E211*$I211/12*1,0)))))+IF(BG$5&lt;&gt;$H211,0,IF(BG211&lt;0,IF($J211=7,-$E211*$I211/12*0,IF($J211=8,-$E211*$I211/12*1,IF($J211=9,-$E211*$I211/12*2,IF($J211&gt;=10,-$E211*$I211/12*3,0))))))</f>
        <v>0</v>
      </c>
      <c r="BK211" s="88">
        <f t="shared" ref="BK211:BK214" si="3321">IF($H211&lt;&gt;BL$5,0,IF(BL211&lt;0,IF(OR($J211=1,$J211=2,$J211=3,$J211=4,$J211=5,$J211=6,$J211=7,$J211=8,$J211=9,$J211=10),-$E211*$I211/12*3,IF($J211=11,-$E211*$I211/12*2,IF($J211=12,-$E211*$I211/12*1,0)))))+IF(BG$5&lt;&gt;$H211,0,IF(BG211&lt;0,IF($J211=10,-$E211*$I211/12*0,IF($J211=11,-$E211*$I211/12*1,IF($J211=12,-$E211*$I211/12*2,0)))))</f>
        <v>0</v>
      </c>
      <c r="BL211" s="85">
        <f t="shared" ref="BL211:BL214" si="3322">IF(AND(BG211&lt;&gt;0,BG$5=$H211),-$I211*$E211-BG211,IF(BL$5=$H211,-$I211*$E211*(12-$J211+1)/12,0))</f>
        <v>0</v>
      </c>
      <c r="BM211" s="86">
        <f t="shared" ref="BM211:BM214" si="3323">IF($H211&lt;&gt;BQ$5,0,IF(BQ211&lt;0,IF($J211=1,-$E211*$I211/12*3,IF($J211=2,-$E211*$I211/12*2,IF($J211=3,-$E211*$I211/12*1,0)))))+IF(BL$5&lt;&gt;$H211,0,IF(BL211&lt;0,IF($J211=1,-$E211*$I211/12*0,IF($J211=2,-$E211*$I211/12*1,IF($J211=3,-$E211*$I211/12*2,IF($J211&gt;=4,-$E211*$I211/12*3,0))))))</f>
        <v>0</v>
      </c>
      <c r="BN211" s="87">
        <f t="shared" ref="BN211:BN214" si="3324">IF($H211&lt;&gt;BQ$5,0,IF(BQ211&lt;0,IF(OR($J211=1,$J211=2,$J211=3,$J211=4),-$E211*$I211/12*3,IF($J211=5,-$E211*$I211/12*2,IF($J211=6,-$E211*$I211/12*1,0)))))+IF(BL$5&lt;&gt;$H211,0,IF(BL211&lt;0,IF($J211=4,-$E211*$I211/12*0,IF($J211=5,-$E211*$I211/12*1,IF($J211=6,-$E211*$I211/12*2,IF($J211&gt;=7,-$E211*$I211/12*3,0))))))</f>
        <v>0</v>
      </c>
      <c r="BO211" s="87">
        <f t="shared" ref="BO211:BO214" si="3325">IF($H211&lt;&gt;BQ$5,0,IF(BQ211&lt;0,IF(OR($J211=1,$J211=2,$J211=3,$J211=4,$J211=5,$J211=6,$J211=7),-$E211*$I211/12*3,IF($J211=8,-$E211*$I211/12*2,IF($J211=9,-$E211*$I211/12*1,0)))))+IF(BL$5&lt;&gt;$H211,0,IF(BL211&lt;0,IF($J211=7,-$E211*$I211/12*0,IF($J211=8,-$E211*$I211/12*1,IF($J211=9,-$E211*$I211/12*2,IF($J211&gt;=10,-$E211*$I211/12*3,0))))))</f>
        <v>0</v>
      </c>
      <c r="BP211" s="88">
        <f t="shared" ref="BP211:BP214" si="3326">IF($H211&lt;&gt;BQ$5,0,IF(BQ211&lt;0,IF(OR($J211=1,$J211=2,$J211=3,$J211=4,$J211=5,$J211=6,$J211=7,$J211=8,$J211=9,$J211=10),-$E211*$I211/12*3,IF($J211=11,-$E211*$I211/12*2,IF($J211=12,-$E211*$I211/12*1,0)))))+IF(BL$5&lt;&gt;$H211,0,IF(BL211&lt;0,IF($J211=10,-$E211*$I211/12*0,IF($J211=11,-$E211*$I211/12*1,IF($J211=12,-$E211*$I211/12*2,0)))))</f>
        <v>0</v>
      </c>
      <c r="BQ211" s="85">
        <f t="shared" ref="BQ211:BQ214" si="3327">IF(AND(BL211&lt;&gt;0,BL$5=$H211),-$I211*$E211-BL211,IF(BQ$5=$H211,-$I211*$E211*(12-$J211+1)/12,0))</f>
        <v>0</v>
      </c>
      <c r="BR211" s="86">
        <f t="shared" ref="BR211:BR214" si="3328">IF($H211&lt;&gt;BV$5,0,IF(BV211&lt;0,IF($J211=1,-$E211*$I211/12*3,IF($J211=2,-$E211*$I211/12*2,IF($J211=3,-$E211*$I211/12*1,0)))))+IF(BQ$5&lt;&gt;$H211,0,IF(BQ211&lt;0,IF($J211=1,-$E211*$I211/12*0,IF($J211=2,-$E211*$I211/12*1,IF($J211=3,-$E211*$I211/12*2,IF($J211&gt;=4,-$E211*$I211/12*3,0))))))</f>
        <v>0</v>
      </c>
      <c r="BS211" s="87">
        <f t="shared" ref="BS211:BS214" si="3329">IF($H211&lt;&gt;BV$5,0,IF(BV211&lt;0,IF(OR($J211=1,$J211=2,$J211=3,$J211=4),-$E211*$I211/12*3,IF($J211=5,-$E211*$I211/12*2,IF($J211=6,-$E211*$I211/12*1,0)))))+IF(BQ$5&lt;&gt;$H211,0,IF(BQ211&lt;0,IF($J211=4,-$E211*$I211/12*0,IF($J211=5,-$E211*$I211/12*1,IF($J211=6,-$E211*$I211/12*2,IF($J211&gt;=7,-$E211*$I211/12*3,0))))))</f>
        <v>0</v>
      </c>
      <c r="BT211" s="87">
        <f t="shared" ref="BT211:BT214" si="3330">IF($H211&lt;&gt;BV$5,0,IF(BV211&lt;0,IF(OR($J211=1,$J211=2,$J211=3,$J211=4,$J211=5,$J211=6,$J211=7),-$E211*$I211/12*3,IF($J211=8,-$E211*$I211/12*2,IF($J211=9,-$E211*$I211/12*1,0)))))+IF(BQ$5&lt;&gt;$H211,0,IF(BQ211&lt;0,IF($J211=7,-$E211*$I211/12*0,IF($J211=8,-$E211*$I211/12*1,IF($J211=9,-$E211*$I211/12*2,IF($J211&gt;=10,-$E211*$I211/12*3,0))))))</f>
        <v>0</v>
      </c>
      <c r="BU211" s="88">
        <f t="shared" ref="BU211:BU214" si="3331">IF($H211&lt;&gt;BV$5,0,IF(BV211&lt;0,IF(OR($J211=1,$J211=2,$J211=3,$J211=4,$J211=5,$J211=6,$J211=7,$J211=8,$J211=9,$J211=10),-$E211*$I211/12*3,IF($J211=11,-$E211*$I211/12*2,IF($J211=12,-$E211*$I211/12*1,0)))))+IF(BQ$5&lt;&gt;$H211,0,IF(BQ211&lt;0,IF($J211=10,-$E211*$I211/12*0,IF($J211=11,-$E211*$I211/12*1,IF($J211=12,-$E211*$I211/12*2,0)))))</f>
        <v>0</v>
      </c>
      <c r="BV211" s="85">
        <f t="shared" ref="BV211:BV214" si="3332">IF(AND(BQ211&lt;&gt;0,BQ$5=$H211),-$I211*$E211-BQ211,IF(BV$5=$H211,-$I211*$E211*(12-$J211+1)/12,0))</f>
        <v>0</v>
      </c>
      <c r="BW211" s="86">
        <f t="shared" ref="BW211:BW214" si="3333">IF($H211&lt;&gt;CA$5,0,IF(CA211&lt;0,IF($J211=1,-$E211*$I211/12*3,IF($J211=2,-$E211*$I211/12*2,IF($J211=3,-$E211*$I211/12*1,0)))))+IF(BV$5&lt;&gt;$H211,0,IF(BV211&lt;0,IF($J211=1,-$E211*$I211/12*0,IF($J211=2,-$E211*$I211/12*1,IF($J211=3,-$E211*$I211/12*2,IF($J211&gt;=4,-$E211*$I211/12*3,0))))))</f>
        <v>0</v>
      </c>
      <c r="BX211" s="87">
        <f t="shared" ref="BX211:BX214" si="3334">IF($H211&lt;&gt;CA$5,0,IF(CA211&lt;0,IF(OR($J211=1,$J211=2,$J211=3,$J211=4),-$E211*$I211/12*3,IF($J211=5,-$E211*$I211/12*2,IF($J211=6,-$E211*$I211/12*1,0)))))+IF(BV$5&lt;&gt;$H211,0,IF(BV211&lt;0,IF($J211=4,-$E211*$I211/12*0,IF($J211=5,-$E211*$I211/12*1,IF($J211=6,-$E211*$I211/12*2,IF($J211&gt;=7,-$E211*$I211/12*3,0))))))</f>
        <v>0</v>
      </c>
      <c r="BY211" s="87">
        <f t="shared" ref="BY211:BY214" si="3335">IF($H211&lt;&gt;CA$5,0,IF(CA211&lt;0,IF(OR($J211=1,$J211=2,$J211=3,$J211=4,$J211=5,$J211=6,$J211=7),-$E211*$I211/12*3,IF($J211=8,-$E211*$I211/12*2,IF($J211=9,-$E211*$I211/12*1,0)))))+IF(BV$5&lt;&gt;$H211,0,IF(BV211&lt;0,IF($J211=7,-$E211*$I211/12*0,IF($J211=8,-$E211*$I211/12*1,IF($J211=9,-$E211*$I211/12*2,IF($J211&gt;=10,-$E211*$I211/12*3,0))))))</f>
        <v>0</v>
      </c>
      <c r="BZ211" s="88">
        <f t="shared" ref="BZ211:BZ214" si="3336">IF($H211&lt;&gt;CA$5,0,IF(CA211&lt;0,IF(OR($J211=1,$J211=2,$J211=3,$J211=4,$J211=5,$J211=6,$J211=7,$J211=8,$J211=9,$J211=10),-$E211*$I211/12*3,IF($J211=11,-$E211*$I211/12*2,IF($J211=12,-$E211*$I211/12*1,0)))))+IF(BV$5&lt;&gt;$H211,0,IF(BV211&lt;0,IF($J211=10,-$E211*$I211/12*0,IF($J211=11,-$E211*$I211/12*1,IF($J211=12,-$E211*$I211/12*2,0)))))</f>
        <v>0</v>
      </c>
      <c r="CA211" s="85">
        <f t="shared" ref="CA211:CA214" si="3337">IF(AND(BV211&lt;&gt;0,BV$5=$H211),-$I211*$E211-BV211,IF(CA$5=$H211,-$I211*$E211*(12-$J211+1)/12,0))</f>
        <v>0</v>
      </c>
      <c r="CB211" s="86">
        <f t="shared" ref="CB211:CB214" si="3338">IF($H211&lt;&gt;CF$5,0,IF(CF211&lt;0,IF($J211=1,-$E211*$I211/12*3,IF($J211=2,-$E211*$I211/12*2,IF($J211=3,-$E211*$I211/12*1,0)))))+IF(CA$5&lt;&gt;$H211,0,IF(CA211&lt;0,IF($J211=1,-$E211*$I211/12*0,IF($J211=2,-$E211*$I211/12*1,IF($J211=3,-$E211*$I211/12*2,IF($J211&gt;=4,-$E211*$I211/12*3,0))))))</f>
        <v>0</v>
      </c>
      <c r="CC211" s="87">
        <f t="shared" ref="CC211:CC214" si="3339">IF($H211&lt;&gt;CF$5,0,IF(CF211&lt;0,IF(OR($J211=1,$J211=2,$J211=3,$J211=4),-$E211*$I211/12*3,IF($J211=5,-$E211*$I211/12*2,IF($J211=6,-$E211*$I211/12*1,0)))))+IF(CA$5&lt;&gt;$H211,0,IF(CA211&lt;0,IF($J211=4,-$E211*$I211/12*0,IF($J211=5,-$E211*$I211/12*1,IF($J211=6,-$E211*$I211/12*2,IF($J211&gt;=7,-$E211*$I211/12*3,0))))))</f>
        <v>0</v>
      </c>
      <c r="CD211" s="87">
        <f t="shared" ref="CD211:CD214" si="3340">IF($H211&lt;&gt;CF$5,0,IF(CF211&lt;0,IF(OR($J211=1,$J211=2,$J211=3,$J211=4,$J211=5,$J211=6,$J211=7),-$E211*$I211/12*3,IF($J211=8,-$E211*$I211/12*2,IF($J211=9,-$E211*$I211/12*1,0)))))+IF(CA$5&lt;&gt;$H211,0,IF(CA211&lt;0,IF($J211=7,-$E211*$I211/12*0,IF($J211=8,-$E211*$I211/12*1,IF($J211=9,-$E211*$I211/12*2,IF($J211&gt;=10,-$E211*$I211/12*3,0))))))</f>
        <v>0</v>
      </c>
      <c r="CE211" s="88">
        <f t="shared" ref="CE211:CE214" si="3341">IF($H211&lt;&gt;CF$5,0,IF(CF211&lt;0,IF(OR($J211=1,$J211=2,$J211=3,$J211=4,$J211=5,$J211=6,$J211=7,$J211=8,$J211=9,$J211=10),-$E211*$I211/12*3,IF($J211=11,-$E211*$I211/12*2,IF($J211=12,-$E211*$I211/12*1,0)))))+IF(CA$5&lt;&gt;$H211,0,IF(CA211&lt;0,IF($J211=10,-$E211*$I211/12*0,IF($J211=11,-$E211*$I211/12*1,IF($J211=12,-$E211*$I211/12*2,0)))))</f>
        <v>-2.8024999999999998</v>
      </c>
      <c r="CF211" s="85">
        <f t="shared" ref="CF211:CF214" si="3342">IF(AND(CA211&lt;&gt;0,CA$5=$H211),-$I211*$E211-CA211,IF(CF$5=$H211,-$I211*$E211*(12-$J211+1)/12,0))</f>
        <v>-2.8024999999999998</v>
      </c>
      <c r="CG211" s="86">
        <f t="shared" ref="CG211:CG214" si="3343">IF($H211&lt;&gt;CK$5,0,IF(CK211&lt;0,IF($J211=1,-$E211*$I211/12*3,IF($J211=2,-$E211*$I211/12*2,IF($J211=3,-$E211*$I211/12*1,0)))))+IF(CF$5&lt;&gt;$H211,0,IF(CF211&lt;0,IF($J211=1,-$E211*$I211/12*0,IF($J211=2,-$E211*$I211/12*1,IF($J211=3,-$E211*$I211/12*2,IF($J211&gt;=4,-$E211*$I211/12*3,0))))))</f>
        <v>-2.8024999999999998</v>
      </c>
      <c r="CH211" s="87">
        <f t="shared" ref="CH211:CH214" si="3344">IF($H211&lt;&gt;CK$5,0,IF(CK211&lt;0,IF(OR($J211=1,$J211=2,$J211=3,$J211=4),-$E211*$I211/12*3,IF($J211=5,-$E211*$I211/12*2,IF($J211=6,-$E211*$I211/12*1,0)))))+IF(CF$5&lt;&gt;$H211,0,IF(CF211&lt;0,IF($J211=4,-$E211*$I211/12*0,IF($J211=5,-$E211*$I211/12*1,IF($J211=6,-$E211*$I211/12*2,IF($J211&gt;=7,-$E211*$I211/12*3,0))))))</f>
        <v>-2.8024999999999998</v>
      </c>
      <c r="CI211" s="87">
        <f t="shared" ref="CI211:CI214" si="3345">IF($H211&lt;&gt;CK$5,0,IF(CK211&lt;0,IF(OR($J211=1,$J211=2,$J211=3,$J211=4,$J211=5,$J211=6,$J211=7),-$E211*$I211/12*3,IF($J211=8,-$E211*$I211/12*2,IF($J211=9,-$E211*$I211/12*1,0)))))+IF(CF$5&lt;&gt;$H211,0,IF(CF211&lt;0,IF($J211=7,-$E211*$I211/12*0,IF($J211=8,-$E211*$I211/12*1,IF($J211=9,-$E211*$I211/12*2,IF($J211&gt;=10,-$E211*$I211/12*3,0))))))</f>
        <v>-2.8024999999999998</v>
      </c>
      <c r="CJ211" s="88">
        <f t="shared" ref="CJ211:CJ214" si="3346">IF($H211&lt;&gt;CK$5,0,IF(CK211&lt;0,IF(OR($J211=1,$J211=2,$J211=3,$J211=4,$J211=5,$J211=6,$J211=7,$J211=8,$J211=9,$J211=10),-$E211*$I211/12*3,IF($J211=11,-$E211*$I211/12*2,IF($J211=12,-$E211*$I211/12*1,0)))))+IF(CF$5&lt;&gt;$H211,0,IF(CF211&lt;0,IF($J211=10,-$E211*$I211/12*0,IF($J211=11,-$E211*$I211/12*1,IF($J211=12,-$E211*$I211/12*2,0)))))</f>
        <v>0</v>
      </c>
      <c r="CK211" s="85">
        <f t="shared" ref="CK211:CK214" si="3347">IF(AND(CF211&lt;&gt;0,CF$5=$H211),-$I211*$E211-CF211,IF(CK$5=$H211,-$I211*$E211*(12-$J211+1)/12,0))</f>
        <v>-8.4074999999999989</v>
      </c>
      <c r="CL211" s="86">
        <f t="shared" ref="CL211:CL214" si="3348">IF($H211&lt;&gt;CP$5,0,IF(CP211&lt;0,IF($J211=1,-$E211*$I211/12*3,IF($J211=2,-$E211*$I211/12*2,IF($J211=3,-$E211*$I211/12*1,0)))))+IF(CK$5&lt;&gt;$H211,0,IF(CK211&lt;0,IF($J211=1,-$E211*$I211/12*0,IF($J211=2,-$E211*$I211/12*1,IF($J211=3,-$E211*$I211/12*2,IF($J211&gt;=4,-$E211*$I211/12*3,0))))))</f>
        <v>0</v>
      </c>
      <c r="CM211" s="87">
        <f t="shared" ref="CM211:CM214" si="3349">IF($H211&lt;&gt;CP$5,0,IF(CP211&lt;0,IF(OR($J211=1,$J211=2,$J211=3,$J211=4),-$E211*$I211/12*3,IF($J211=5,-$E211*$I211/12*2,IF($J211=6,-$E211*$I211/12*1,0)))))+IF(CK$5&lt;&gt;$H211,0,IF(CK211&lt;0,IF($J211=4,-$E211*$I211/12*0,IF($J211=5,-$E211*$I211/12*1,IF($J211=6,-$E211*$I211/12*2,IF($J211&gt;=7,-$E211*$I211/12*3,0))))))</f>
        <v>0</v>
      </c>
      <c r="CN211" s="87">
        <f t="shared" ref="CN211:CN214" si="3350">IF($H211&lt;&gt;CP$5,0,IF(CP211&lt;0,IF(OR($J211=1,$J211=2,$J211=3,$J211=4,$J211=5,$J211=6,$J211=7),-$E211*$I211/12*3,IF($J211=8,-$E211*$I211/12*2,IF($J211=9,-$E211*$I211/12*1,0)))))+IF(CK$5&lt;&gt;$H211,0,IF(CK211&lt;0,IF($J211=7,-$E211*$I211/12*0,IF($J211=8,-$E211*$I211/12*1,IF($J211=9,-$E211*$I211/12*2,IF($J211&gt;=10,-$E211*$I211/12*3,0))))))</f>
        <v>0</v>
      </c>
      <c r="CO211" s="88">
        <f t="shared" ref="CO211:CO214" si="3351">IF($H211&lt;&gt;CP$5,0,IF(CP211&lt;0,IF(OR($J211=1,$J211=2,$J211=3,$J211=4,$J211=5,$J211=6,$J211=7,$J211=8,$J211=9,$J211=10),-$E211*$I211/12*3,IF($J211=11,-$E211*$I211/12*2,IF($J211=12,-$E211*$I211/12*1,0)))))+IF(CK$5&lt;&gt;$H211,0,IF(CK211&lt;0,IF($J211=10,-$E211*$I211/12*0,IF($J211=11,-$E211*$I211/12*1,IF($J211=12,-$E211*$I211/12*2,0)))))</f>
        <v>0</v>
      </c>
      <c r="CP211" s="85">
        <f t="shared" ref="CP211:CP214" si="3352">IF(AND(CK211&lt;&gt;0,CK$5=$H211),-$I211*$E211-CK211,IF(CP$5=$H211,-$I211*$E211*(12-$J211+1)/12,0))</f>
        <v>0</v>
      </c>
      <c r="CQ211" s="86">
        <f t="shared" ref="CQ211:CQ214" si="3353">IF($H211&lt;&gt;CU$5,0,IF(CU211&lt;0,IF($J211=1,-$E211*$I211/12*3,IF($J211=2,-$E211*$I211/12*2,IF($J211=3,-$E211*$I211/12*1,0)))))+IF(CP$5&lt;&gt;$H211,0,IF(CP211&lt;0,IF($J211=1,-$E211*$I211/12*0,IF($J211=2,-$E211*$I211/12*1,IF($J211=3,-$E211*$I211/12*2,IF($J211&gt;=4,-$E211*$I211/12*3,0))))))</f>
        <v>0</v>
      </c>
      <c r="CR211" s="87">
        <f t="shared" ref="CR211:CR214" si="3354">IF($H211&lt;&gt;CU$5,0,IF(CU211&lt;0,IF(OR($J211=1,$J211=2,$J211=3,$J211=4),-$E211*$I211/12*3,IF($J211=5,-$E211*$I211/12*2,IF($J211=6,-$E211*$I211/12*1,0)))))+IF(CP$5&lt;&gt;$H211,0,IF(CP211&lt;0,IF($J211=4,-$E211*$I211/12*0,IF($J211=5,-$E211*$I211/12*1,IF($J211=6,-$E211*$I211/12*2,IF($J211&gt;=7,-$E211*$I211/12*3,0))))))</f>
        <v>0</v>
      </c>
      <c r="CS211" s="87">
        <f t="shared" ref="CS211:CS214" si="3355">IF($H211&lt;&gt;CU$5,0,IF(CU211&lt;0,IF(OR($J211=1,$J211=2,$J211=3,$J211=4,$J211=5,$J211=6,$J211=7),-$E211*$I211/12*3,IF($J211=8,-$E211*$I211/12*2,IF($J211=9,-$E211*$I211/12*1,0)))))+IF(CP$5&lt;&gt;$H211,0,IF(CP211&lt;0,IF($J211=7,-$E211*$I211/12*0,IF($J211=8,-$E211*$I211/12*1,IF($J211=9,-$E211*$I211/12*2,IF($J211&gt;=10,-$E211*$I211/12*3,0))))))</f>
        <v>0</v>
      </c>
      <c r="CT211" s="88">
        <f t="shared" ref="CT211:CT214" si="3356">IF($H211&lt;&gt;CU$5,0,IF(CU211&lt;0,IF(OR($J211=1,$J211=2,$J211=3,$J211=4,$J211=5,$J211=6,$J211=7,$J211=8,$J211=9,$J211=10),-$E211*$I211/12*3,IF($J211=11,-$E211*$I211/12*2,IF($J211=12,-$E211*$I211/12*1,0)))))+IF(CP$5&lt;&gt;$H211,0,IF(CP211&lt;0,IF($J211=10,-$E211*$I211/12*0,IF($J211=11,-$E211*$I211/12*1,IF($J211=12,-$E211*$I211/12*2,0)))))</f>
        <v>0</v>
      </c>
      <c r="CU211" s="85">
        <f t="shared" ref="CU211:CU214" si="3357">IF(AND(CP211&lt;&gt;0,CP$5=$H211),-$I211*$E211-CP211,IF(CU$5=$H211,-$I211*$E211*(12-$J211+1)/12,0))</f>
        <v>0</v>
      </c>
      <c r="CV211" s="86">
        <f t="shared" ref="CV211:CV214" si="3358">IF($H211&lt;&gt;CZ$5,0,IF(CZ211&lt;0,IF($J211=1,-$E211*$I211/12*3,IF($J211=2,-$E211*$I211/12*2,IF($J211=3,-$E211*$I211/12*1,0)))))+IF(CU$5&lt;&gt;$H211,0,IF(CU211&lt;0,IF($J211=1,-$E211*$I211/12*0,IF($J211=2,-$E211*$I211/12*1,IF($J211=3,-$E211*$I211/12*2,IF($J211&gt;=4,-$E211*$I211/12*3,0))))))</f>
        <v>0</v>
      </c>
      <c r="CW211" s="87">
        <f t="shared" ref="CW211:CW214" si="3359">IF($H211&lt;&gt;CZ$5,0,IF(CZ211&lt;0,IF(OR($J211=1,$J211=2,$J211=3,$J211=4),-$E211*$I211/12*3,IF($J211=5,-$E211*$I211/12*2,IF($J211=6,-$E211*$I211/12*1,0)))))+IF(CU$5&lt;&gt;$H211,0,IF(CU211&lt;0,IF($J211=4,-$E211*$I211/12*0,IF($J211=5,-$E211*$I211/12*1,IF($J211=6,-$E211*$I211/12*2,IF($J211&gt;=7,-$E211*$I211/12*3,0))))))</f>
        <v>0</v>
      </c>
      <c r="CX211" s="87">
        <f t="shared" ref="CX211:CX214" si="3360">IF($H211&lt;&gt;CZ$5,0,IF(CZ211&lt;0,IF(OR($J211=1,$J211=2,$J211=3,$J211=4,$J211=5,$J211=6,$J211=7),-$E211*$I211/12*3,IF($J211=8,-$E211*$I211/12*2,IF($J211=9,-$E211*$I211/12*1,0)))))+IF(CU$5&lt;&gt;$H211,0,IF(CU211&lt;0,IF($J211=7,-$E211*$I211/12*0,IF($J211=8,-$E211*$I211/12*1,IF($J211=9,-$E211*$I211/12*2,IF($J211&gt;=10,-$E211*$I211/12*3,0))))))</f>
        <v>0</v>
      </c>
      <c r="CY211" s="88">
        <f t="shared" ref="CY211:CY214" si="3361">IF($H211&lt;&gt;CZ$5,0,IF(CZ211&lt;0,IF(OR($J211=1,$J211=2,$J211=3,$J211=4,$J211=5,$J211=6,$J211=7,$J211=8,$J211=9,$J211=10),-$E211*$I211/12*3,IF($J211=11,-$E211*$I211/12*2,IF($J211=12,-$E211*$I211/12*1,0)))))+IF(CU$5&lt;&gt;$H211,0,IF(CU211&lt;0,IF($J211=10,-$E211*$I211/12*0,IF($J211=11,-$E211*$I211/12*1,IF($J211=12,-$E211*$I211/12*2,0)))))</f>
        <v>0</v>
      </c>
      <c r="CZ211" s="85">
        <f t="shared" ref="CZ211:CZ214" si="3362">IF(AND(CU211&lt;&gt;0,CU$5=$H211),-$I211*$E211-CU211,IF(CZ$5=$H211,-$I211*$E211*(12-$J211+1)/12,0))</f>
        <v>0</v>
      </c>
    </row>
    <row r="212" spans="1:104" ht="12.75" customHeight="1">
      <c r="A212" s="1817"/>
      <c r="B212" s="1817"/>
      <c r="C212" s="2119">
        <v>6.1249999999999999E-2</v>
      </c>
      <c r="D212" s="2114"/>
      <c r="E212" s="2115">
        <f>IF(F212=0,G212,F212)</f>
        <v>81.088999999999999</v>
      </c>
      <c r="F212" s="1511">
        <v>0</v>
      </c>
      <c r="G212" s="1511">
        <v>81.088999999999999</v>
      </c>
      <c r="H212" s="1510">
        <v>2017</v>
      </c>
      <c r="I212" s="1831">
        <v>6.1249999999999999E-2</v>
      </c>
      <c r="J212" s="1832">
        <v>7</v>
      </c>
      <c r="K212" s="2193"/>
      <c r="L212" s="81">
        <f t="shared" si="3271"/>
        <v>0</v>
      </c>
      <c r="M212" s="82">
        <f t="shared" si="3272"/>
        <v>0</v>
      </c>
      <c r="N212" s="83">
        <f t="shared" si="3273"/>
        <v>0</v>
      </c>
      <c r="O212" s="83">
        <f t="shared" si="3274"/>
        <v>0</v>
      </c>
      <c r="P212" s="84">
        <f t="shared" si="3275"/>
        <v>0</v>
      </c>
      <c r="Q212" s="81">
        <f t="shared" si="3276"/>
        <v>0</v>
      </c>
      <c r="R212" s="82">
        <f t="shared" si="3277"/>
        <v>0</v>
      </c>
      <c r="S212" s="83">
        <f t="shared" si="3278"/>
        <v>0</v>
      </c>
      <c r="T212" s="83">
        <f t="shared" si="3279"/>
        <v>0</v>
      </c>
      <c r="U212" s="84">
        <f t="shared" si="3280"/>
        <v>0</v>
      </c>
      <c r="V212" s="81">
        <f t="shared" si="3281"/>
        <v>0</v>
      </c>
      <c r="W212" s="82">
        <f t="shared" si="3282"/>
        <v>0</v>
      </c>
      <c r="X212" s="83">
        <f t="shared" si="3283"/>
        <v>0</v>
      </c>
      <c r="Y212" s="83">
        <f t="shared" si="3284"/>
        <v>0</v>
      </c>
      <c r="Z212" s="84">
        <f t="shared" si="3285"/>
        <v>0</v>
      </c>
      <c r="AA212" s="81">
        <f t="shared" si="3286"/>
        <v>0</v>
      </c>
      <c r="AB212" s="82">
        <f t="shared" si="3287"/>
        <v>0</v>
      </c>
      <c r="AC212" s="83">
        <f t="shared" si="3288"/>
        <v>0</v>
      </c>
      <c r="AD212" s="83">
        <f t="shared" si="3289"/>
        <v>0</v>
      </c>
      <c r="AE212" s="84">
        <f t="shared" si="3290"/>
        <v>0</v>
      </c>
      <c r="AF212" s="81">
        <f t="shared" si="3291"/>
        <v>0</v>
      </c>
      <c r="AG212" s="82">
        <f t="shared" si="3292"/>
        <v>0</v>
      </c>
      <c r="AH212" s="83">
        <f t="shared" si="3293"/>
        <v>0</v>
      </c>
      <c r="AI212" s="83">
        <f t="shared" si="3294"/>
        <v>-81.088999999999999</v>
      </c>
      <c r="AJ212" s="84">
        <f t="shared" si="3295"/>
        <v>0</v>
      </c>
      <c r="AK212" s="81">
        <f t="shared" si="3296"/>
        <v>-81.088999999999999</v>
      </c>
      <c r="AL212" s="82">
        <f t="shared" si="3297"/>
        <v>0</v>
      </c>
      <c r="AM212" s="83">
        <f t="shared" si="3298"/>
        <v>0</v>
      </c>
      <c r="AN212" s="83">
        <f t="shared" si="3299"/>
        <v>0</v>
      </c>
      <c r="AO212" s="84">
        <f t="shared" si="3300"/>
        <v>0</v>
      </c>
      <c r="AP212" s="81">
        <f t="shared" si="3301"/>
        <v>0</v>
      </c>
      <c r="AQ212" s="82">
        <f t="shared" si="3302"/>
        <v>0</v>
      </c>
      <c r="AR212" s="83">
        <f t="shared" si="3303"/>
        <v>0</v>
      </c>
      <c r="AS212" s="83">
        <f t="shared" si="3304"/>
        <v>0</v>
      </c>
      <c r="AT212" s="84">
        <f t="shared" si="3305"/>
        <v>0</v>
      </c>
      <c r="AU212" s="81">
        <f t="shared" si="3306"/>
        <v>0</v>
      </c>
      <c r="AV212" s="82">
        <f t="shared" si="3307"/>
        <v>0</v>
      </c>
      <c r="AW212" s="83">
        <f t="shared" si="3308"/>
        <v>0</v>
      </c>
      <c r="AX212" s="83">
        <f t="shared" si="3309"/>
        <v>0</v>
      </c>
      <c r="AY212" s="84">
        <f t="shared" si="3310"/>
        <v>0</v>
      </c>
      <c r="AZ212" s="81">
        <f t="shared" si="3311"/>
        <v>0</v>
      </c>
      <c r="BA212" s="82">
        <f t="shared" si="3312"/>
        <v>0</v>
      </c>
      <c r="BB212" s="83">
        <f t="shared" si="3313"/>
        <v>0</v>
      </c>
      <c r="BC212" s="83">
        <f t="shared" si="3314"/>
        <v>0</v>
      </c>
      <c r="BD212" s="84">
        <f t="shared" si="3315"/>
        <v>0</v>
      </c>
      <c r="BE212" s="81">
        <f t="shared" si="3316"/>
        <v>0</v>
      </c>
      <c r="BF212" s="1884"/>
      <c r="BG212" s="2005">
        <f t="shared" si="3317"/>
        <v>0</v>
      </c>
      <c r="BH212" s="86">
        <f t="shared" si="3318"/>
        <v>0</v>
      </c>
      <c r="BI212" s="87">
        <f t="shared" si="3319"/>
        <v>0</v>
      </c>
      <c r="BJ212" s="87">
        <f t="shared" si="3320"/>
        <v>0</v>
      </c>
      <c r="BK212" s="88">
        <f t="shared" si="3321"/>
        <v>0</v>
      </c>
      <c r="BL212" s="85">
        <f t="shared" si="3322"/>
        <v>0</v>
      </c>
      <c r="BM212" s="86">
        <f t="shared" si="3323"/>
        <v>0</v>
      </c>
      <c r="BN212" s="87">
        <f t="shared" si="3324"/>
        <v>0</v>
      </c>
      <c r="BO212" s="87">
        <f t="shared" si="3325"/>
        <v>0</v>
      </c>
      <c r="BP212" s="88">
        <f t="shared" si="3326"/>
        <v>0</v>
      </c>
      <c r="BQ212" s="85">
        <f t="shared" si="3327"/>
        <v>0</v>
      </c>
      <c r="BR212" s="86">
        <f t="shared" si="3328"/>
        <v>0</v>
      </c>
      <c r="BS212" s="87">
        <f t="shared" si="3329"/>
        <v>0</v>
      </c>
      <c r="BT212" s="87">
        <f t="shared" si="3330"/>
        <v>0</v>
      </c>
      <c r="BU212" s="88">
        <f t="shared" si="3331"/>
        <v>0</v>
      </c>
      <c r="BV212" s="85">
        <f t="shared" si="3332"/>
        <v>0</v>
      </c>
      <c r="BW212" s="86">
        <f t="shared" si="3333"/>
        <v>0</v>
      </c>
      <c r="BX212" s="87">
        <f t="shared" si="3334"/>
        <v>0</v>
      </c>
      <c r="BY212" s="87">
        <f t="shared" si="3335"/>
        <v>0</v>
      </c>
      <c r="BZ212" s="88">
        <f t="shared" si="3336"/>
        <v>0</v>
      </c>
      <c r="CA212" s="85">
        <f t="shared" si="3337"/>
        <v>0</v>
      </c>
      <c r="CB212" s="86">
        <f t="shared" si="3338"/>
        <v>0</v>
      </c>
      <c r="CC212" s="87">
        <f t="shared" si="3339"/>
        <v>0</v>
      </c>
      <c r="CD212" s="87">
        <f t="shared" si="3340"/>
        <v>-1.2416753125</v>
      </c>
      <c r="CE212" s="88">
        <f t="shared" si="3341"/>
        <v>-1.2416753125</v>
      </c>
      <c r="CF212" s="85">
        <f t="shared" si="3342"/>
        <v>-2.4833506249999999</v>
      </c>
      <c r="CG212" s="86">
        <f t="shared" si="3343"/>
        <v>-1.2416753125</v>
      </c>
      <c r="CH212" s="87">
        <f t="shared" si="3344"/>
        <v>-1.2416753125</v>
      </c>
      <c r="CI212" s="87">
        <f t="shared" si="3345"/>
        <v>0</v>
      </c>
      <c r="CJ212" s="88">
        <f t="shared" si="3346"/>
        <v>0</v>
      </c>
      <c r="CK212" s="85">
        <f t="shared" si="3347"/>
        <v>-2.4833506249999999</v>
      </c>
      <c r="CL212" s="86">
        <f t="shared" si="3348"/>
        <v>0</v>
      </c>
      <c r="CM212" s="87">
        <f t="shared" si="3349"/>
        <v>0</v>
      </c>
      <c r="CN212" s="87">
        <f t="shared" si="3350"/>
        <v>0</v>
      </c>
      <c r="CO212" s="88">
        <f t="shared" si="3351"/>
        <v>0</v>
      </c>
      <c r="CP212" s="85">
        <f t="shared" si="3352"/>
        <v>0</v>
      </c>
      <c r="CQ212" s="86">
        <f t="shared" si="3353"/>
        <v>0</v>
      </c>
      <c r="CR212" s="87">
        <f t="shared" si="3354"/>
        <v>0</v>
      </c>
      <c r="CS212" s="87">
        <f t="shared" si="3355"/>
        <v>0</v>
      </c>
      <c r="CT212" s="88">
        <f t="shared" si="3356"/>
        <v>0</v>
      </c>
      <c r="CU212" s="85">
        <f t="shared" si="3357"/>
        <v>0</v>
      </c>
      <c r="CV212" s="86">
        <f t="shared" si="3358"/>
        <v>0</v>
      </c>
      <c r="CW212" s="87">
        <f t="shared" si="3359"/>
        <v>0</v>
      </c>
      <c r="CX212" s="87">
        <f t="shared" si="3360"/>
        <v>0</v>
      </c>
      <c r="CY212" s="88">
        <f t="shared" si="3361"/>
        <v>0</v>
      </c>
      <c r="CZ212" s="85">
        <f t="shared" si="3362"/>
        <v>0</v>
      </c>
    </row>
    <row r="213" spans="1:104" ht="12.75" customHeight="1">
      <c r="A213" s="1817"/>
      <c r="B213" s="1817"/>
      <c r="C213" s="2119">
        <v>7.4499999999999997E-2</v>
      </c>
      <c r="D213" s="2114"/>
      <c r="E213" s="2115">
        <f>IF(F213=0,G213,F213)</f>
        <v>184.86500000000001</v>
      </c>
      <c r="F213" s="1511">
        <v>184.86500000000001</v>
      </c>
      <c r="G213" s="1511">
        <v>184.86500000000001</v>
      </c>
      <c r="H213" s="1510">
        <v>2032</v>
      </c>
      <c r="I213" s="1831">
        <v>7.4499999999999997E-2</v>
      </c>
      <c r="J213" s="1832">
        <v>7</v>
      </c>
      <c r="K213" s="2193"/>
      <c r="L213" s="81">
        <f t="shared" si="3271"/>
        <v>0</v>
      </c>
      <c r="M213" s="82">
        <f t="shared" si="3272"/>
        <v>0</v>
      </c>
      <c r="N213" s="83">
        <f t="shared" si="3273"/>
        <v>0</v>
      </c>
      <c r="O213" s="83">
        <f t="shared" si="3274"/>
        <v>0</v>
      </c>
      <c r="P213" s="84">
        <f t="shared" si="3275"/>
        <v>0</v>
      </c>
      <c r="Q213" s="81">
        <f t="shared" si="3276"/>
        <v>0</v>
      </c>
      <c r="R213" s="82">
        <f t="shared" si="3277"/>
        <v>0</v>
      </c>
      <c r="S213" s="83">
        <f t="shared" si="3278"/>
        <v>0</v>
      </c>
      <c r="T213" s="83">
        <f t="shared" si="3279"/>
        <v>0</v>
      </c>
      <c r="U213" s="84">
        <f t="shared" si="3280"/>
        <v>0</v>
      </c>
      <c r="V213" s="81">
        <f t="shared" si="3281"/>
        <v>0</v>
      </c>
      <c r="W213" s="82">
        <f t="shared" si="3282"/>
        <v>0</v>
      </c>
      <c r="X213" s="83">
        <f t="shared" si="3283"/>
        <v>0</v>
      </c>
      <c r="Y213" s="83">
        <f t="shared" si="3284"/>
        <v>0</v>
      </c>
      <c r="Z213" s="84">
        <f t="shared" si="3285"/>
        <v>0</v>
      </c>
      <c r="AA213" s="81">
        <f t="shared" si="3286"/>
        <v>0</v>
      </c>
      <c r="AB213" s="82">
        <f t="shared" si="3287"/>
        <v>0</v>
      </c>
      <c r="AC213" s="83">
        <f t="shared" si="3288"/>
        <v>0</v>
      </c>
      <c r="AD213" s="83">
        <f t="shared" si="3289"/>
        <v>0</v>
      </c>
      <c r="AE213" s="84">
        <f t="shared" si="3290"/>
        <v>0</v>
      </c>
      <c r="AF213" s="81">
        <f t="shared" si="3291"/>
        <v>0</v>
      </c>
      <c r="AG213" s="82">
        <f t="shared" si="3292"/>
        <v>0</v>
      </c>
      <c r="AH213" s="83">
        <f t="shared" si="3293"/>
        <v>0</v>
      </c>
      <c r="AI213" s="83">
        <f t="shared" si="3294"/>
        <v>0</v>
      </c>
      <c r="AJ213" s="84">
        <f t="shared" si="3295"/>
        <v>0</v>
      </c>
      <c r="AK213" s="81">
        <f t="shared" si="3296"/>
        <v>0</v>
      </c>
      <c r="AL213" s="82">
        <f t="shared" si="3297"/>
        <v>0</v>
      </c>
      <c r="AM213" s="83">
        <f t="shared" si="3298"/>
        <v>0</v>
      </c>
      <c r="AN213" s="83">
        <f t="shared" si="3299"/>
        <v>0</v>
      </c>
      <c r="AO213" s="84">
        <f t="shared" si="3300"/>
        <v>0</v>
      </c>
      <c r="AP213" s="81">
        <f t="shared" si="3301"/>
        <v>0</v>
      </c>
      <c r="AQ213" s="82">
        <f t="shared" si="3302"/>
        <v>0</v>
      </c>
      <c r="AR213" s="83">
        <f t="shared" si="3303"/>
        <v>0</v>
      </c>
      <c r="AS213" s="83">
        <f t="shared" si="3304"/>
        <v>0</v>
      </c>
      <c r="AT213" s="84">
        <f t="shared" si="3305"/>
        <v>0</v>
      </c>
      <c r="AU213" s="81">
        <f t="shared" si="3306"/>
        <v>0</v>
      </c>
      <c r="AV213" s="82">
        <f t="shared" si="3307"/>
        <v>0</v>
      </c>
      <c r="AW213" s="83">
        <f t="shared" si="3308"/>
        <v>0</v>
      </c>
      <c r="AX213" s="83">
        <f t="shared" si="3309"/>
        <v>0</v>
      </c>
      <c r="AY213" s="84">
        <f t="shared" si="3310"/>
        <v>0</v>
      </c>
      <c r="AZ213" s="81">
        <f t="shared" si="3311"/>
        <v>0</v>
      </c>
      <c r="BA213" s="82">
        <f t="shared" si="3312"/>
        <v>0</v>
      </c>
      <c r="BB213" s="83">
        <f t="shared" si="3313"/>
        <v>0</v>
      </c>
      <c r="BC213" s="83">
        <f t="shared" si="3314"/>
        <v>0</v>
      </c>
      <c r="BD213" s="84">
        <f t="shared" si="3315"/>
        <v>0</v>
      </c>
      <c r="BE213" s="81">
        <f t="shared" si="3316"/>
        <v>0</v>
      </c>
      <c r="BF213" s="1884"/>
      <c r="BG213" s="2005">
        <f t="shared" si="3317"/>
        <v>0</v>
      </c>
      <c r="BH213" s="86">
        <f t="shared" si="3318"/>
        <v>0</v>
      </c>
      <c r="BI213" s="87">
        <f t="shared" si="3319"/>
        <v>0</v>
      </c>
      <c r="BJ213" s="87">
        <f t="shared" si="3320"/>
        <v>0</v>
      </c>
      <c r="BK213" s="88">
        <f t="shared" si="3321"/>
        <v>0</v>
      </c>
      <c r="BL213" s="85">
        <f t="shared" si="3322"/>
        <v>0</v>
      </c>
      <c r="BM213" s="86">
        <f t="shared" si="3323"/>
        <v>0</v>
      </c>
      <c r="BN213" s="87">
        <f t="shared" si="3324"/>
        <v>0</v>
      </c>
      <c r="BO213" s="87">
        <f t="shared" si="3325"/>
        <v>0</v>
      </c>
      <c r="BP213" s="88">
        <f t="shared" si="3326"/>
        <v>0</v>
      </c>
      <c r="BQ213" s="85">
        <f t="shared" si="3327"/>
        <v>0</v>
      </c>
      <c r="BR213" s="86">
        <f t="shared" si="3328"/>
        <v>0</v>
      </c>
      <c r="BS213" s="87">
        <f t="shared" si="3329"/>
        <v>0</v>
      </c>
      <c r="BT213" s="87">
        <f t="shared" si="3330"/>
        <v>0</v>
      </c>
      <c r="BU213" s="88">
        <f t="shared" si="3331"/>
        <v>0</v>
      </c>
      <c r="BV213" s="85">
        <f t="shared" si="3332"/>
        <v>0</v>
      </c>
      <c r="BW213" s="86">
        <f t="shared" si="3333"/>
        <v>0</v>
      </c>
      <c r="BX213" s="87">
        <f t="shared" si="3334"/>
        <v>0</v>
      </c>
      <c r="BY213" s="87">
        <f t="shared" si="3335"/>
        <v>0</v>
      </c>
      <c r="BZ213" s="88">
        <f t="shared" si="3336"/>
        <v>0</v>
      </c>
      <c r="CA213" s="85">
        <f t="shared" si="3337"/>
        <v>0</v>
      </c>
      <c r="CB213" s="86">
        <f t="shared" si="3338"/>
        <v>0</v>
      </c>
      <c r="CC213" s="87">
        <f t="shared" si="3339"/>
        <v>0</v>
      </c>
      <c r="CD213" s="87">
        <f t="shared" si="3340"/>
        <v>0</v>
      </c>
      <c r="CE213" s="88">
        <f t="shared" si="3341"/>
        <v>0</v>
      </c>
      <c r="CF213" s="85">
        <f t="shared" si="3342"/>
        <v>0</v>
      </c>
      <c r="CG213" s="86">
        <f t="shared" si="3343"/>
        <v>0</v>
      </c>
      <c r="CH213" s="87">
        <f t="shared" si="3344"/>
        <v>0</v>
      </c>
      <c r="CI213" s="87">
        <f t="shared" si="3345"/>
        <v>0</v>
      </c>
      <c r="CJ213" s="88">
        <f t="shared" si="3346"/>
        <v>0</v>
      </c>
      <c r="CK213" s="85">
        <f t="shared" si="3347"/>
        <v>0</v>
      </c>
      <c r="CL213" s="86">
        <f t="shared" si="3348"/>
        <v>0</v>
      </c>
      <c r="CM213" s="87">
        <f t="shared" si="3349"/>
        <v>0</v>
      </c>
      <c r="CN213" s="87">
        <f t="shared" si="3350"/>
        <v>0</v>
      </c>
      <c r="CO213" s="88">
        <f t="shared" si="3351"/>
        <v>0</v>
      </c>
      <c r="CP213" s="85">
        <f t="shared" si="3352"/>
        <v>0</v>
      </c>
      <c r="CQ213" s="86">
        <f t="shared" si="3353"/>
        <v>0</v>
      </c>
      <c r="CR213" s="87">
        <f t="shared" si="3354"/>
        <v>0</v>
      </c>
      <c r="CS213" s="87">
        <f t="shared" si="3355"/>
        <v>0</v>
      </c>
      <c r="CT213" s="88">
        <f t="shared" si="3356"/>
        <v>0</v>
      </c>
      <c r="CU213" s="85">
        <f t="shared" si="3357"/>
        <v>0</v>
      </c>
      <c r="CV213" s="86">
        <f t="shared" si="3358"/>
        <v>0</v>
      </c>
      <c r="CW213" s="87">
        <f t="shared" si="3359"/>
        <v>0</v>
      </c>
      <c r="CX213" s="87">
        <f t="shared" si="3360"/>
        <v>0</v>
      </c>
      <c r="CY213" s="88">
        <f t="shared" si="3361"/>
        <v>0</v>
      </c>
      <c r="CZ213" s="85">
        <f t="shared" si="3362"/>
        <v>0</v>
      </c>
    </row>
    <row r="214" spans="1:104" ht="12.75" customHeight="1">
      <c r="A214" s="1817"/>
      <c r="B214" s="1817"/>
      <c r="C214" s="1830"/>
      <c r="D214" s="146"/>
      <c r="E214" s="147"/>
      <c r="F214" s="1511"/>
      <c r="G214" s="1511"/>
      <c r="H214" s="1510"/>
      <c r="I214" s="1831"/>
      <c r="J214" s="1832"/>
      <c r="K214" s="2193"/>
      <c r="L214" s="81">
        <f t="shared" si="3271"/>
        <v>0</v>
      </c>
      <c r="M214" s="82">
        <f t="shared" si="3272"/>
        <v>0</v>
      </c>
      <c r="N214" s="83">
        <f t="shared" si="3273"/>
        <v>0</v>
      </c>
      <c r="O214" s="83">
        <f t="shared" si="3274"/>
        <v>0</v>
      </c>
      <c r="P214" s="84">
        <f t="shared" si="3275"/>
        <v>0</v>
      </c>
      <c r="Q214" s="81">
        <f t="shared" si="3276"/>
        <v>0</v>
      </c>
      <c r="R214" s="82">
        <f t="shared" si="3277"/>
        <v>0</v>
      </c>
      <c r="S214" s="83">
        <f t="shared" si="3278"/>
        <v>0</v>
      </c>
      <c r="T214" s="83">
        <f t="shared" si="3279"/>
        <v>0</v>
      </c>
      <c r="U214" s="84">
        <f t="shared" si="3280"/>
        <v>0</v>
      </c>
      <c r="V214" s="81">
        <f t="shared" si="3281"/>
        <v>0</v>
      </c>
      <c r="W214" s="82">
        <f t="shared" si="3282"/>
        <v>0</v>
      </c>
      <c r="X214" s="83">
        <f t="shared" si="3283"/>
        <v>0</v>
      </c>
      <c r="Y214" s="83">
        <f t="shared" si="3284"/>
        <v>0</v>
      </c>
      <c r="Z214" s="84">
        <f t="shared" si="3285"/>
        <v>0</v>
      </c>
      <c r="AA214" s="81">
        <f t="shared" si="3286"/>
        <v>0</v>
      </c>
      <c r="AB214" s="82">
        <f t="shared" si="3287"/>
        <v>0</v>
      </c>
      <c r="AC214" s="83">
        <f t="shared" si="3288"/>
        <v>0</v>
      </c>
      <c r="AD214" s="83">
        <f t="shared" si="3289"/>
        <v>0</v>
      </c>
      <c r="AE214" s="84">
        <f t="shared" si="3290"/>
        <v>0</v>
      </c>
      <c r="AF214" s="81">
        <f t="shared" si="3291"/>
        <v>0</v>
      </c>
      <c r="AG214" s="82">
        <f t="shared" si="3292"/>
        <v>0</v>
      </c>
      <c r="AH214" s="83">
        <f t="shared" si="3293"/>
        <v>0</v>
      </c>
      <c r="AI214" s="83">
        <f t="shared" si="3294"/>
        <v>0</v>
      </c>
      <c r="AJ214" s="84">
        <f t="shared" si="3295"/>
        <v>0</v>
      </c>
      <c r="AK214" s="81">
        <f t="shared" si="3296"/>
        <v>0</v>
      </c>
      <c r="AL214" s="82">
        <f t="shared" si="3297"/>
        <v>0</v>
      </c>
      <c r="AM214" s="83">
        <f t="shared" si="3298"/>
        <v>0</v>
      </c>
      <c r="AN214" s="83">
        <f t="shared" si="3299"/>
        <v>0</v>
      </c>
      <c r="AO214" s="84">
        <f t="shared" si="3300"/>
        <v>0</v>
      </c>
      <c r="AP214" s="81">
        <f t="shared" si="3301"/>
        <v>0</v>
      </c>
      <c r="AQ214" s="82">
        <f t="shared" si="3302"/>
        <v>0</v>
      </c>
      <c r="AR214" s="83">
        <f t="shared" si="3303"/>
        <v>0</v>
      </c>
      <c r="AS214" s="83">
        <f t="shared" si="3304"/>
        <v>0</v>
      </c>
      <c r="AT214" s="84">
        <f t="shared" si="3305"/>
        <v>0</v>
      </c>
      <c r="AU214" s="81">
        <f t="shared" si="3306"/>
        <v>0</v>
      </c>
      <c r="AV214" s="82">
        <f t="shared" si="3307"/>
        <v>0</v>
      </c>
      <c r="AW214" s="83">
        <f t="shared" si="3308"/>
        <v>0</v>
      </c>
      <c r="AX214" s="83">
        <f t="shared" si="3309"/>
        <v>0</v>
      </c>
      <c r="AY214" s="84">
        <f t="shared" si="3310"/>
        <v>0</v>
      </c>
      <c r="AZ214" s="81">
        <f t="shared" si="3311"/>
        <v>0</v>
      </c>
      <c r="BA214" s="82">
        <f t="shared" si="3312"/>
        <v>0</v>
      </c>
      <c r="BB214" s="83">
        <f t="shared" si="3313"/>
        <v>0</v>
      </c>
      <c r="BC214" s="83">
        <f t="shared" si="3314"/>
        <v>0</v>
      </c>
      <c r="BD214" s="84">
        <f t="shared" si="3315"/>
        <v>0</v>
      </c>
      <c r="BE214" s="81">
        <f t="shared" si="3316"/>
        <v>0</v>
      </c>
      <c r="BF214" s="1884"/>
      <c r="BG214" s="2005">
        <f t="shared" si="3317"/>
        <v>0</v>
      </c>
      <c r="BH214" s="86">
        <f t="shared" si="3318"/>
        <v>0</v>
      </c>
      <c r="BI214" s="87">
        <f t="shared" si="3319"/>
        <v>0</v>
      </c>
      <c r="BJ214" s="87">
        <f t="shared" si="3320"/>
        <v>0</v>
      </c>
      <c r="BK214" s="88">
        <f t="shared" si="3321"/>
        <v>0</v>
      </c>
      <c r="BL214" s="85">
        <f t="shared" si="3322"/>
        <v>0</v>
      </c>
      <c r="BM214" s="86">
        <f t="shared" si="3323"/>
        <v>0</v>
      </c>
      <c r="BN214" s="87">
        <f t="shared" si="3324"/>
        <v>0</v>
      </c>
      <c r="BO214" s="87">
        <f t="shared" si="3325"/>
        <v>0</v>
      </c>
      <c r="BP214" s="88">
        <f t="shared" si="3326"/>
        <v>0</v>
      </c>
      <c r="BQ214" s="85">
        <f t="shared" si="3327"/>
        <v>0</v>
      </c>
      <c r="BR214" s="86">
        <f t="shared" si="3328"/>
        <v>0</v>
      </c>
      <c r="BS214" s="87">
        <f t="shared" si="3329"/>
        <v>0</v>
      </c>
      <c r="BT214" s="87">
        <f t="shared" si="3330"/>
        <v>0</v>
      </c>
      <c r="BU214" s="88">
        <f t="shared" si="3331"/>
        <v>0</v>
      </c>
      <c r="BV214" s="85">
        <f t="shared" si="3332"/>
        <v>0</v>
      </c>
      <c r="BW214" s="86">
        <f t="shared" si="3333"/>
        <v>0</v>
      </c>
      <c r="BX214" s="87">
        <f t="shared" si="3334"/>
        <v>0</v>
      </c>
      <c r="BY214" s="87">
        <f t="shared" si="3335"/>
        <v>0</v>
      </c>
      <c r="BZ214" s="88">
        <f t="shared" si="3336"/>
        <v>0</v>
      </c>
      <c r="CA214" s="85">
        <f t="shared" si="3337"/>
        <v>0</v>
      </c>
      <c r="CB214" s="86">
        <f t="shared" si="3338"/>
        <v>0</v>
      </c>
      <c r="CC214" s="87">
        <f t="shared" si="3339"/>
        <v>0</v>
      </c>
      <c r="CD214" s="87">
        <f t="shared" si="3340"/>
        <v>0</v>
      </c>
      <c r="CE214" s="88">
        <f t="shared" si="3341"/>
        <v>0</v>
      </c>
      <c r="CF214" s="85">
        <f t="shared" si="3342"/>
        <v>0</v>
      </c>
      <c r="CG214" s="86">
        <f t="shared" si="3343"/>
        <v>0</v>
      </c>
      <c r="CH214" s="87">
        <f t="shared" si="3344"/>
        <v>0</v>
      </c>
      <c r="CI214" s="87">
        <f t="shared" si="3345"/>
        <v>0</v>
      </c>
      <c r="CJ214" s="88">
        <f t="shared" si="3346"/>
        <v>0</v>
      </c>
      <c r="CK214" s="85">
        <f t="shared" si="3347"/>
        <v>0</v>
      </c>
      <c r="CL214" s="86">
        <f t="shared" si="3348"/>
        <v>0</v>
      </c>
      <c r="CM214" s="87">
        <f t="shared" si="3349"/>
        <v>0</v>
      </c>
      <c r="CN214" s="87">
        <f t="shared" si="3350"/>
        <v>0</v>
      </c>
      <c r="CO214" s="88">
        <f t="shared" si="3351"/>
        <v>0</v>
      </c>
      <c r="CP214" s="85">
        <f t="shared" si="3352"/>
        <v>0</v>
      </c>
      <c r="CQ214" s="86">
        <f t="shared" si="3353"/>
        <v>0</v>
      </c>
      <c r="CR214" s="87">
        <f t="shared" si="3354"/>
        <v>0</v>
      </c>
      <c r="CS214" s="87">
        <f t="shared" si="3355"/>
        <v>0</v>
      </c>
      <c r="CT214" s="88">
        <f t="shared" si="3356"/>
        <v>0</v>
      </c>
      <c r="CU214" s="85">
        <f t="shared" si="3357"/>
        <v>0</v>
      </c>
      <c r="CV214" s="86">
        <f t="shared" si="3358"/>
        <v>0</v>
      </c>
      <c r="CW214" s="87">
        <f t="shared" si="3359"/>
        <v>0</v>
      </c>
      <c r="CX214" s="87">
        <f t="shared" si="3360"/>
        <v>0</v>
      </c>
      <c r="CY214" s="88">
        <f t="shared" si="3361"/>
        <v>0</v>
      </c>
      <c r="CZ214" s="85">
        <f t="shared" si="3362"/>
        <v>0</v>
      </c>
    </row>
    <row r="215" spans="1:104" ht="12.75" customHeight="1">
      <c r="A215" s="1817"/>
      <c r="B215" s="1817"/>
      <c r="C215" s="1833"/>
      <c r="D215" s="1833"/>
      <c r="E215" s="151" t="s">
        <v>68</v>
      </c>
      <c r="F215" s="152"/>
      <c r="G215" s="152"/>
      <c r="H215" s="1834"/>
      <c r="I215" s="154"/>
      <c r="J215" s="155"/>
      <c r="K215" s="2198"/>
      <c r="L215" s="98"/>
      <c r="M215" s="99"/>
      <c r="N215" s="100"/>
      <c r="O215" s="100"/>
      <c r="P215" s="101"/>
      <c r="Q215" s="98"/>
      <c r="R215" s="99"/>
      <c r="S215" s="100"/>
      <c r="T215" s="100"/>
      <c r="U215" s="101"/>
      <c r="V215" s="98"/>
      <c r="W215" s="99"/>
      <c r="X215" s="100"/>
      <c r="Y215" s="100"/>
      <c r="Z215" s="101"/>
      <c r="AA215" s="98"/>
      <c r="AB215" s="99"/>
      <c r="AC215" s="100"/>
      <c r="AD215" s="100"/>
      <c r="AE215" s="101"/>
      <c r="AF215" s="98"/>
      <c r="AG215" s="99"/>
      <c r="AH215" s="100"/>
      <c r="AI215" s="100"/>
      <c r="AJ215" s="101"/>
      <c r="AK215" s="98"/>
      <c r="AL215" s="99"/>
      <c r="AM215" s="100"/>
      <c r="AN215" s="100"/>
      <c r="AO215" s="101"/>
      <c r="AP215" s="98"/>
      <c r="AQ215" s="99"/>
      <c r="AR215" s="100"/>
      <c r="AS215" s="100"/>
      <c r="AT215" s="101"/>
      <c r="AU215" s="98"/>
      <c r="AV215" s="99"/>
      <c r="AW215" s="100"/>
      <c r="AX215" s="100"/>
      <c r="AY215" s="101"/>
      <c r="AZ215" s="98"/>
      <c r="BA215" s="99"/>
      <c r="BB215" s="100"/>
      <c r="BC215" s="100"/>
      <c r="BD215" s="101"/>
      <c r="BE215" s="98"/>
      <c r="BF215" s="1657"/>
      <c r="BG215" s="2006"/>
      <c r="BH215" s="103"/>
      <c r="BI215" s="104"/>
      <c r="BJ215" s="104"/>
      <c r="BK215" s="105"/>
      <c r="BL215" s="102"/>
      <c r="BM215" s="103"/>
      <c r="BN215" s="104"/>
      <c r="BO215" s="104"/>
      <c r="BP215" s="105"/>
      <c r="BQ215" s="102"/>
      <c r="BR215" s="103"/>
      <c r="BS215" s="104"/>
      <c r="BT215" s="104"/>
      <c r="BU215" s="105"/>
      <c r="BV215" s="102"/>
      <c r="BW215" s="103"/>
      <c r="BX215" s="104"/>
      <c r="BY215" s="104"/>
      <c r="BZ215" s="105"/>
      <c r="CA215" s="102"/>
      <c r="CB215" s="103"/>
      <c r="CC215" s="104"/>
      <c r="CD215" s="104"/>
      <c r="CE215" s="105"/>
      <c r="CF215" s="102"/>
      <c r="CG215" s="103"/>
      <c r="CH215" s="104"/>
      <c r="CI215" s="104"/>
      <c r="CJ215" s="105"/>
      <c r="CK215" s="102"/>
      <c r="CL215" s="103"/>
      <c r="CM215" s="104"/>
      <c r="CN215" s="104"/>
      <c r="CO215" s="105"/>
      <c r="CP215" s="102"/>
      <c r="CQ215" s="103"/>
      <c r="CR215" s="104"/>
      <c r="CS215" s="104"/>
      <c r="CT215" s="105"/>
      <c r="CU215" s="102"/>
      <c r="CV215" s="103"/>
      <c r="CW215" s="104"/>
      <c r="CX215" s="104"/>
      <c r="CY215" s="105"/>
      <c r="CZ215" s="102"/>
    </row>
    <row r="216" spans="1:104" ht="12.75" customHeight="1">
      <c r="A216" s="1792"/>
      <c r="B216" s="1792"/>
      <c r="C216" s="157" t="s">
        <v>399</v>
      </c>
      <c r="D216" s="157"/>
      <c r="E216" s="1835">
        <f>SUM(E211:E215)</f>
        <v>455.95400000000001</v>
      </c>
      <c r="F216" s="1836">
        <f>SUM(F211:F215)</f>
        <v>184.86500000000001</v>
      </c>
      <c r="G216" s="1836">
        <f>SUM(G211:G215)</f>
        <v>455.95400000000001</v>
      </c>
      <c r="H216" s="159"/>
      <c r="I216" s="160"/>
      <c r="J216" s="161"/>
      <c r="K216" s="2197"/>
      <c r="L216" s="81">
        <f t="shared" ref="L216:BE216" si="3363">SUM(L211:L215)</f>
        <v>0</v>
      </c>
      <c r="M216" s="82">
        <f t="shared" si="3363"/>
        <v>0</v>
      </c>
      <c r="N216" s="83">
        <f t="shared" si="3363"/>
        <v>0</v>
      </c>
      <c r="O216" s="83">
        <f t="shared" si="3363"/>
        <v>0</v>
      </c>
      <c r="P216" s="84">
        <f t="shared" si="3363"/>
        <v>0</v>
      </c>
      <c r="Q216" s="81">
        <f t="shared" si="3363"/>
        <v>0</v>
      </c>
      <c r="R216" s="82">
        <f t="shared" si="3363"/>
        <v>0</v>
      </c>
      <c r="S216" s="83">
        <f t="shared" si="3363"/>
        <v>0</v>
      </c>
      <c r="T216" s="83">
        <f t="shared" si="3363"/>
        <v>0</v>
      </c>
      <c r="U216" s="84">
        <f t="shared" si="3363"/>
        <v>0</v>
      </c>
      <c r="V216" s="81">
        <f t="shared" si="3363"/>
        <v>0</v>
      </c>
      <c r="W216" s="82">
        <f t="shared" si="3363"/>
        <v>0</v>
      </c>
      <c r="X216" s="83">
        <f t="shared" si="3363"/>
        <v>0</v>
      </c>
      <c r="Y216" s="83">
        <f t="shared" si="3363"/>
        <v>0</v>
      </c>
      <c r="Z216" s="84">
        <f t="shared" si="3363"/>
        <v>0</v>
      </c>
      <c r="AA216" s="81">
        <f t="shared" si="3363"/>
        <v>0</v>
      </c>
      <c r="AB216" s="82">
        <f t="shared" si="3363"/>
        <v>0</v>
      </c>
      <c r="AC216" s="83">
        <f t="shared" si="3363"/>
        <v>0</v>
      </c>
      <c r="AD216" s="83">
        <f t="shared" si="3363"/>
        <v>0</v>
      </c>
      <c r="AE216" s="84">
        <f t="shared" si="3363"/>
        <v>0</v>
      </c>
      <c r="AF216" s="81">
        <f t="shared" si="3363"/>
        <v>0</v>
      </c>
      <c r="AG216" s="82">
        <f t="shared" si="3363"/>
        <v>0</v>
      </c>
      <c r="AH216" s="83">
        <f t="shared" si="3363"/>
        <v>0</v>
      </c>
      <c r="AI216" s="83">
        <f t="shared" si="3363"/>
        <v>-81.088999999999999</v>
      </c>
      <c r="AJ216" s="84">
        <f t="shared" si="3363"/>
        <v>-190</v>
      </c>
      <c r="AK216" s="81">
        <f t="shared" si="3363"/>
        <v>-271.089</v>
      </c>
      <c r="AL216" s="82">
        <f t="shared" si="3363"/>
        <v>0</v>
      </c>
      <c r="AM216" s="83">
        <f t="shared" si="3363"/>
        <v>0</v>
      </c>
      <c r="AN216" s="83">
        <f t="shared" si="3363"/>
        <v>0</v>
      </c>
      <c r="AO216" s="84">
        <f t="shared" si="3363"/>
        <v>0</v>
      </c>
      <c r="AP216" s="81">
        <f t="shared" si="3363"/>
        <v>0</v>
      </c>
      <c r="AQ216" s="82">
        <f t="shared" si="3363"/>
        <v>0</v>
      </c>
      <c r="AR216" s="83">
        <f t="shared" si="3363"/>
        <v>0</v>
      </c>
      <c r="AS216" s="83">
        <f t="shared" si="3363"/>
        <v>0</v>
      </c>
      <c r="AT216" s="84">
        <f t="shared" si="3363"/>
        <v>0</v>
      </c>
      <c r="AU216" s="81">
        <f t="shared" si="3363"/>
        <v>0</v>
      </c>
      <c r="AV216" s="82">
        <f t="shared" si="3363"/>
        <v>0</v>
      </c>
      <c r="AW216" s="83">
        <f t="shared" si="3363"/>
        <v>0</v>
      </c>
      <c r="AX216" s="83">
        <f t="shared" si="3363"/>
        <v>0</v>
      </c>
      <c r="AY216" s="84">
        <f t="shared" si="3363"/>
        <v>0</v>
      </c>
      <c r="AZ216" s="81">
        <f t="shared" si="3363"/>
        <v>0</v>
      </c>
      <c r="BA216" s="82">
        <f t="shared" si="3363"/>
        <v>0</v>
      </c>
      <c r="BB216" s="83">
        <f t="shared" si="3363"/>
        <v>0</v>
      </c>
      <c r="BC216" s="83">
        <f t="shared" si="3363"/>
        <v>0</v>
      </c>
      <c r="BD216" s="84">
        <f t="shared" si="3363"/>
        <v>0</v>
      </c>
      <c r="BE216" s="81">
        <f t="shared" si="3363"/>
        <v>0</v>
      </c>
      <c r="BF216" s="1884"/>
      <c r="BG216" s="2005">
        <f t="shared" ref="BG216:CZ216" si="3364">SUM(BG211:BG215)</f>
        <v>0</v>
      </c>
      <c r="BH216" s="86">
        <f t="shared" si="3364"/>
        <v>0</v>
      </c>
      <c r="BI216" s="87">
        <f t="shared" si="3364"/>
        <v>0</v>
      </c>
      <c r="BJ216" s="87">
        <f t="shared" si="3364"/>
        <v>0</v>
      </c>
      <c r="BK216" s="88">
        <f t="shared" si="3364"/>
        <v>0</v>
      </c>
      <c r="BL216" s="85">
        <f t="shared" si="3364"/>
        <v>0</v>
      </c>
      <c r="BM216" s="86">
        <f t="shared" si="3364"/>
        <v>0</v>
      </c>
      <c r="BN216" s="87">
        <f t="shared" si="3364"/>
        <v>0</v>
      </c>
      <c r="BO216" s="87">
        <f t="shared" si="3364"/>
        <v>0</v>
      </c>
      <c r="BP216" s="88">
        <f t="shared" si="3364"/>
        <v>0</v>
      </c>
      <c r="BQ216" s="85">
        <f t="shared" si="3364"/>
        <v>0</v>
      </c>
      <c r="BR216" s="86">
        <f t="shared" si="3364"/>
        <v>0</v>
      </c>
      <c r="BS216" s="87">
        <f t="shared" si="3364"/>
        <v>0</v>
      </c>
      <c r="BT216" s="87">
        <f t="shared" si="3364"/>
        <v>0</v>
      </c>
      <c r="BU216" s="88">
        <f t="shared" si="3364"/>
        <v>0</v>
      </c>
      <c r="BV216" s="85">
        <f t="shared" si="3364"/>
        <v>0</v>
      </c>
      <c r="BW216" s="86">
        <f t="shared" si="3364"/>
        <v>0</v>
      </c>
      <c r="BX216" s="87">
        <f t="shared" si="3364"/>
        <v>0</v>
      </c>
      <c r="BY216" s="87">
        <f t="shared" si="3364"/>
        <v>0</v>
      </c>
      <c r="BZ216" s="88">
        <f t="shared" si="3364"/>
        <v>0</v>
      </c>
      <c r="CA216" s="85">
        <f t="shared" si="3364"/>
        <v>0</v>
      </c>
      <c r="CB216" s="86">
        <f t="shared" si="3364"/>
        <v>0</v>
      </c>
      <c r="CC216" s="87">
        <f t="shared" si="3364"/>
        <v>0</v>
      </c>
      <c r="CD216" s="87">
        <f t="shared" si="3364"/>
        <v>-1.2416753125</v>
      </c>
      <c r="CE216" s="88">
        <f t="shared" si="3364"/>
        <v>-4.0441753125000002</v>
      </c>
      <c r="CF216" s="85">
        <f t="shared" si="3364"/>
        <v>-5.2858506250000001</v>
      </c>
      <c r="CG216" s="86">
        <f t="shared" si="3364"/>
        <v>-4.0441753125000002</v>
      </c>
      <c r="CH216" s="87">
        <f t="shared" si="3364"/>
        <v>-4.0441753125000002</v>
      </c>
      <c r="CI216" s="87">
        <f t="shared" si="3364"/>
        <v>-2.8024999999999998</v>
      </c>
      <c r="CJ216" s="88">
        <f t="shared" si="3364"/>
        <v>0</v>
      </c>
      <c r="CK216" s="85">
        <f t="shared" si="3364"/>
        <v>-10.890850624999999</v>
      </c>
      <c r="CL216" s="86">
        <f t="shared" si="3364"/>
        <v>0</v>
      </c>
      <c r="CM216" s="87">
        <f t="shared" si="3364"/>
        <v>0</v>
      </c>
      <c r="CN216" s="87">
        <f t="shared" si="3364"/>
        <v>0</v>
      </c>
      <c r="CO216" s="88">
        <f t="shared" si="3364"/>
        <v>0</v>
      </c>
      <c r="CP216" s="85">
        <f t="shared" si="3364"/>
        <v>0</v>
      </c>
      <c r="CQ216" s="86">
        <f t="shared" si="3364"/>
        <v>0</v>
      </c>
      <c r="CR216" s="87">
        <f t="shared" si="3364"/>
        <v>0</v>
      </c>
      <c r="CS216" s="87">
        <f t="shared" si="3364"/>
        <v>0</v>
      </c>
      <c r="CT216" s="88">
        <f t="shared" si="3364"/>
        <v>0</v>
      </c>
      <c r="CU216" s="85">
        <f t="shared" si="3364"/>
        <v>0</v>
      </c>
      <c r="CV216" s="86">
        <f t="shared" si="3364"/>
        <v>0</v>
      </c>
      <c r="CW216" s="87">
        <f t="shared" si="3364"/>
        <v>0</v>
      </c>
      <c r="CX216" s="87">
        <f t="shared" si="3364"/>
        <v>0</v>
      </c>
      <c r="CY216" s="88">
        <f t="shared" si="3364"/>
        <v>0</v>
      </c>
      <c r="CZ216" s="85">
        <f t="shared" si="3364"/>
        <v>0</v>
      </c>
    </row>
    <row r="217" spans="1:104" ht="12.75" customHeight="1">
      <c r="A217" s="1817"/>
      <c r="B217" s="1817"/>
      <c r="C217" s="157"/>
      <c r="D217" s="157"/>
      <c r="E217" s="147"/>
      <c r="F217" s="165"/>
      <c r="G217" s="165"/>
      <c r="H217" s="166"/>
      <c r="I217" s="192"/>
      <c r="J217" s="167" t="s">
        <v>68</v>
      </c>
      <c r="L217" s="2001"/>
      <c r="M217" s="82"/>
      <c r="N217" s="83"/>
      <c r="O217" s="83"/>
      <c r="P217" s="84"/>
      <c r="Q217" s="81"/>
      <c r="R217" s="82"/>
      <c r="S217" s="83"/>
      <c r="T217" s="83"/>
      <c r="U217" s="84"/>
      <c r="V217" s="81"/>
      <c r="W217" s="82"/>
      <c r="X217" s="83"/>
      <c r="Y217" s="83"/>
      <c r="Z217" s="84"/>
      <c r="AA217" s="81"/>
      <c r="AB217" s="82"/>
      <c r="AC217" s="83"/>
      <c r="AD217" s="83"/>
      <c r="AE217" s="84"/>
      <c r="AF217" s="81"/>
      <c r="AG217" s="82"/>
      <c r="AH217" s="83"/>
      <c r="AI217" s="83"/>
      <c r="AJ217" s="84"/>
      <c r="AK217" s="81"/>
      <c r="AL217" s="82"/>
      <c r="AM217" s="83"/>
      <c r="AN217" s="83"/>
      <c r="AO217" s="84"/>
      <c r="AP217" s="81"/>
      <c r="AQ217" s="82"/>
      <c r="AR217" s="83"/>
      <c r="AS217" s="83"/>
      <c r="AT217" s="84"/>
      <c r="AU217" s="81"/>
      <c r="AV217" s="82"/>
      <c r="AW217" s="83"/>
      <c r="AX217" s="83"/>
      <c r="AY217" s="84"/>
      <c r="AZ217" s="81"/>
      <c r="BA217" s="82"/>
      <c r="BB217" s="83"/>
      <c r="BC217" s="83"/>
      <c r="BD217" s="84"/>
      <c r="BE217" s="81"/>
      <c r="BF217" s="1877"/>
      <c r="BG217" s="2005"/>
      <c r="BH217" s="86"/>
      <c r="BI217" s="87"/>
      <c r="BJ217" s="87"/>
      <c r="BK217" s="88"/>
      <c r="BL217" s="85"/>
      <c r="BM217" s="86"/>
      <c r="BN217" s="87"/>
      <c r="BO217" s="87"/>
      <c r="BP217" s="88"/>
      <c r="BQ217" s="85"/>
      <c r="BR217" s="86"/>
      <c r="BS217" s="87"/>
      <c r="BT217" s="87"/>
      <c r="BU217" s="88"/>
      <c r="BV217" s="85"/>
      <c r="BW217" s="86"/>
      <c r="BX217" s="87"/>
      <c r="BY217" s="87"/>
      <c r="BZ217" s="88"/>
      <c r="CA217" s="85"/>
      <c r="CB217" s="86"/>
      <c r="CC217" s="87"/>
      <c r="CD217" s="87"/>
      <c r="CE217" s="88"/>
      <c r="CF217" s="85"/>
      <c r="CG217" s="86"/>
      <c r="CH217" s="87"/>
      <c r="CI217" s="87"/>
      <c r="CJ217" s="88"/>
      <c r="CK217" s="85"/>
      <c r="CL217" s="86"/>
      <c r="CM217" s="87"/>
      <c r="CN217" s="87"/>
      <c r="CO217" s="88"/>
      <c r="CP217" s="85"/>
      <c r="CQ217" s="86"/>
      <c r="CR217" s="87"/>
      <c r="CS217" s="87"/>
      <c r="CT217" s="88"/>
      <c r="CU217" s="85"/>
      <c r="CV217" s="86"/>
      <c r="CW217" s="87"/>
      <c r="CX217" s="87"/>
      <c r="CY217" s="88"/>
      <c r="CZ217" s="85"/>
    </row>
    <row r="218" spans="1:104" ht="12.75" customHeight="1">
      <c r="A218" s="1817"/>
      <c r="B218" s="1817"/>
      <c r="C218" s="1837" t="s">
        <v>530</v>
      </c>
      <c r="D218" s="1837"/>
      <c r="E218" s="1820"/>
      <c r="F218" s="1821"/>
      <c r="G218" s="1821"/>
      <c r="H218" s="1825"/>
      <c r="I218" s="1826"/>
      <c r="J218" s="1827"/>
      <c r="L218" s="2001"/>
      <c r="M218" s="82"/>
      <c r="N218" s="83"/>
      <c r="O218" s="83"/>
      <c r="P218" s="84"/>
      <c r="Q218" s="81"/>
      <c r="R218" s="82"/>
      <c r="S218" s="83"/>
      <c r="T218" s="83"/>
      <c r="U218" s="84"/>
      <c r="V218" s="81"/>
      <c r="W218" s="82"/>
      <c r="X218" s="83"/>
      <c r="Y218" s="83"/>
      <c r="Z218" s="84"/>
      <c r="AA218" s="81"/>
      <c r="AB218" s="82"/>
      <c r="AC218" s="83"/>
      <c r="AD218" s="83"/>
      <c r="AE218" s="84"/>
      <c r="AF218" s="81"/>
      <c r="AG218" s="82"/>
      <c r="AH218" s="83"/>
      <c r="AI218" s="83"/>
      <c r="AJ218" s="84"/>
      <c r="AK218" s="81"/>
      <c r="AL218" s="82"/>
      <c r="AM218" s="83"/>
      <c r="AN218" s="83"/>
      <c r="AO218" s="84"/>
      <c r="AP218" s="81"/>
      <c r="AQ218" s="82"/>
      <c r="AR218" s="83"/>
      <c r="AS218" s="83"/>
      <c r="AT218" s="84"/>
      <c r="AU218" s="81"/>
      <c r="AV218" s="82"/>
      <c r="AW218" s="83"/>
      <c r="AX218" s="83"/>
      <c r="AY218" s="84"/>
      <c r="AZ218" s="81"/>
      <c r="BA218" s="82"/>
      <c r="BB218" s="83"/>
      <c r="BC218" s="83"/>
      <c r="BD218" s="84"/>
      <c r="BE218" s="81"/>
      <c r="BF218" s="1877"/>
      <c r="BG218" s="2005"/>
      <c r="BH218" s="86"/>
      <c r="BI218" s="87"/>
      <c r="BJ218" s="87"/>
      <c r="BK218" s="88"/>
      <c r="BL218" s="85"/>
      <c r="BM218" s="86"/>
      <c r="BN218" s="87"/>
      <c r="BO218" s="87"/>
      <c r="BP218" s="88"/>
      <c r="BQ218" s="85"/>
      <c r="BR218" s="86"/>
      <c r="BS218" s="87"/>
      <c r="BT218" s="87"/>
      <c r="BU218" s="88"/>
      <c r="BV218" s="85"/>
      <c r="BW218" s="86"/>
      <c r="BX218" s="87"/>
      <c r="BY218" s="87"/>
      <c r="BZ218" s="88"/>
      <c r="CA218" s="85"/>
      <c r="CB218" s="86"/>
      <c r="CC218" s="87"/>
      <c r="CD218" s="87"/>
      <c r="CE218" s="88"/>
      <c r="CF218" s="85"/>
      <c r="CG218" s="86"/>
      <c r="CH218" s="87"/>
      <c r="CI218" s="87"/>
      <c r="CJ218" s="88"/>
      <c r="CK218" s="85"/>
      <c r="CL218" s="86"/>
      <c r="CM218" s="87"/>
      <c r="CN218" s="87"/>
      <c r="CO218" s="88"/>
      <c r="CP218" s="85"/>
      <c r="CQ218" s="86"/>
      <c r="CR218" s="87"/>
      <c r="CS218" s="87"/>
      <c r="CT218" s="88"/>
      <c r="CU218" s="85"/>
      <c r="CV218" s="86"/>
      <c r="CW218" s="87"/>
      <c r="CX218" s="87"/>
      <c r="CY218" s="88"/>
      <c r="CZ218" s="85"/>
    </row>
    <row r="219" spans="1:104" ht="12.75" customHeight="1">
      <c r="A219" s="1817"/>
      <c r="B219" s="1817"/>
      <c r="C219" s="1838" t="s">
        <v>773</v>
      </c>
      <c r="D219" s="1838"/>
      <c r="E219" s="1839">
        <v>0</v>
      </c>
      <c r="F219" s="1840"/>
      <c r="G219" s="1840"/>
      <c r="H219" s="1516">
        <v>2018</v>
      </c>
      <c r="I219" s="1841">
        <v>0.05</v>
      </c>
      <c r="J219" s="1832">
        <v>7</v>
      </c>
      <c r="L219" s="2001">
        <f t="shared" ref="L219:L222" si="3365">IF(L$5=$H219,$E219,0)</f>
        <v>0</v>
      </c>
      <c r="M219" s="82">
        <f t="shared" ref="M219:M222" si="3366">IF(Q219=0,0,IF(Q219&gt;0,IF($J219=3,Q219,IF($J219=2,Q219,IF($J219=1,Q219,0)))))</f>
        <v>0</v>
      </c>
      <c r="N219" s="83">
        <f t="shared" ref="N219:N222" si="3367">IF(Q219=0,0,IF(Q219&gt;0,IF($J219=6,Q219,IF($J219=5,Q219,IF($J219=4,Q219,0)))))</f>
        <v>0</v>
      </c>
      <c r="O219" s="83">
        <f t="shared" ref="O219:O222" si="3368">IF(Q219=0,0,IF(Q219&gt;0,IF($J219=9,Q219,IF($J219=8,Q219,IF($J219=7,Q219,0)))))</f>
        <v>0</v>
      </c>
      <c r="P219" s="84">
        <f t="shared" ref="P219:P222" si="3369">IF(Q219=0,0,IF(Q219&gt;0,IF($J219=12,Q219,IF($J219=11,Q219,IF($J219=10,Q219,0)))))</f>
        <v>0</v>
      </c>
      <c r="Q219" s="81">
        <f t="shared" ref="Q219:Q222" si="3370">IF(Q$5=$H219,$E219,0)</f>
        <v>0</v>
      </c>
      <c r="R219" s="82">
        <f t="shared" ref="R219:R222" si="3371">IF(V219=0,0,IF(V219&gt;0,IF($J219=3,V219,IF($J219=2,V219,IF($J219=1,V219,0)))))</f>
        <v>0</v>
      </c>
      <c r="S219" s="83">
        <f t="shared" ref="S219:S222" si="3372">IF(V219=0,0,IF(V219&gt;0,IF($J219=6,V219,IF($J219=5,V219,IF($J219=4,V219,0)))))</f>
        <v>0</v>
      </c>
      <c r="T219" s="83">
        <f t="shared" ref="T219:T222" si="3373">IF(V219=0,0,IF(V219&gt;0,IF($J219=9,V219,IF($J219=8,V219,IF($J219=7,V219,0)))))</f>
        <v>0</v>
      </c>
      <c r="U219" s="84">
        <f t="shared" ref="U219:U222" si="3374">IF(V219=0,0,IF(V219&gt;0,IF($J219=12,V219,IF($J219=11,V219,IF($J219=10,V219,0)))))</f>
        <v>0</v>
      </c>
      <c r="V219" s="81">
        <f t="shared" ref="V219:V222" si="3375">IF(V$5=$H219,$E219,0)</f>
        <v>0</v>
      </c>
      <c r="W219" s="82">
        <f t="shared" ref="W219:W222" si="3376">IF(AA219=0,0,IF(AA219&gt;0,IF($J219=3,AA219,IF($J219=2,AA219,IF($J219=1,AA219,0)))))</f>
        <v>0</v>
      </c>
      <c r="X219" s="83">
        <f t="shared" ref="X219:X222" si="3377">IF(AA219=0,0,IF(AA219&gt;0,IF($J219=6,AA219,IF($J219=5,AA219,IF($J219=4,AA219,0)))))</f>
        <v>0</v>
      </c>
      <c r="Y219" s="83">
        <f t="shared" ref="Y219:Y222" si="3378">IF(AA219=0,0,IF(AA219&gt;0,IF($J219=9,AA219,IF($J219=8,AA219,IF($J219=7,AA219,0)))))</f>
        <v>0</v>
      </c>
      <c r="Z219" s="84">
        <f t="shared" ref="Z219:Z222" si="3379">IF(AA219=0,0,IF(AA219&gt;0,IF($J219=12,AA219,IF($J219=11,AA219,IF($J219=10,AA219,0)))))</f>
        <v>0</v>
      </c>
      <c r="AA219" s="81">
        <f t="shared" ref="AA219:AA222" si="3380">IF(AA$5=$H219,$E219,0)</f>
        <v>0</v>
      </c>
      <c r="AB219" s="82">
        <f t="shared" ref="AB219:AB222" si="3381">IF(AF219=0,0,IF(AF219&gt;0,IF($J219=3,AF219,IF($J219=2,AF219,IF($J219=1,AF219,0)))))</f>
        <v>0</v>
      </c>
      <c r="AC219" s="83">
        <f t="shared" ref="AC219:AC222" si="3382">IF(AF219=0,0,IF(AF219&gt;0,IF($J219=6,AF219,IF($J219=5,AF219,IF($J219=4,AF219,0)))))</f>
        <v>0</v>
      </c>
      <c r="AD219" s="83">
        <f t="shared" ref="AD219:AD222" si="3383">IF(AF219=0,0,IF(AF219&gt;0,IF($J219=9,AF219,IF($J219=8,AF219,IF($J219=7,AF219,0)))))</f>
        <v>0</v>
      </c>
      <c r="AE219" s="84">
        <f t="shared" ref="AE219:AE222" si="3384">IF(AF219=0,0,IF(AF219&gt;0,IF($J219=12,AF219,IF($J219=11,AF219,IF($J219=10,AF219,0)))))</f>
        <v>0</v>
      </c>
      <c r="AF219" s="81">
        <f t="shared" ref="AF219:AF222" si="3385">IF(AF$5=$H219,$E219,0)</f>
        <v>0</v>
      </c>
      <c r="AG219" s="82">
        <f t="shared" ref="AG219:AG222" si="3386">IF(AK219=0,0,IF(AK219&gt;0,IF($J219=3,AK219,IF($J219=2,AK219,IF($J219=1,AK219,0)))))</f>
        <v>0</v>
      </c>
      <c r="AH219" s="83">
        <f t="shared" ref="AH219:AH222" si="3387">IF(AK219=0,0,IF(AK219&gt;0,IF($J219=6,AK219,IF($J219=5,AK219,IF($J219=4,AK219,0)))))</f>
        <v>0</v>
      </c>
      <c r="AI219" s="83">
        <f t="shared" ref="AI219:AI222" si="3388">IF(AK219=0,0,IF(AK219&gt;0,IF($J219=9,AK219,IF($J219=8,AK219,IF($J219=7,AK219,0)))))</f>
        <v>0</v>
      </c>
      <c r="AJ219" s="84">
        <f t="shared" ref="AJ219:AJ222" si="3389">IF(AK219=0,0,IF(AK219&gt;0,IF($J219=12,AK219,IF($J219=11,AK219,IF($J219=10,AK219,0)))))</f>
        <v>0</v>
      </c>
      <c r="AK219" s="81">
        <f t="shared" ref="AK219:AK222" si="3390">IF(AK$5=$H219,$E219,0)</f>
        <v>0</v>
      </c>
      <c r="AL219" s="82">
        <f t="shared" ref="AL219:AL222" si="3391">IF(AP219=0,0,IF(AP219&gt;0,IF($J219=3,AP219,IF($J219=2,AP219,IF($J219=1,AP219,0)))))</f>
        <v>0</v>
      </c>
      <c r="AM219" s="83">
        <f t="shared" ref="AM219:AM222" si="3392">IF(AP219=0,0,IF(AP219&gt;0,IF($J219=6,AP219,IF($J219=5,AP219,IF($J219=4,AP219,0)))))</f>
        <v>0</v>
      </c>
      <c r="AN219" s="83">
        <f t="shared" ref="AN219:AN222" si="3393">IF(AP219=0,0,IF(AP219&gt;0,IF($J219=9,AP219,IF($J219=8,AP219,IF($J219=7,AP219,0)))))</f>
        <v>0</v>
      </c>
      <c r="AO219" s="84">
        <f t="shared" ref="AO219:AO222" si="3394">IF(AP219=0,0,IF(AP219&gt;0,IF($J219=12,AP219,IF($J219=11,AP219,IF($J219=10,AP219,0)))))</f>
        <v>0</v>
      </c>
      <c r="AP219" s="81">
        <f t="shared" ref="AP219:AP222" si="3395">IF(AP$5=$H219,$E219,0)</f>
        <v>0</v>
      </c>
      <c r="AQ219" s="82">
        <f t="shared" ref="AQ219:AQ222" si="3396">IF(AU219=0,0,IF(AU219&gt;0,IF($J219=3,AU219,IF($J219=2,AU219,IF($J219=1,AU219,0)))))</f>
        <v>0</v>
      </c>
      <c r="AR219" s="83">
        <f t="shared" ref="AR219:AR222" si="3397">IF(AU219=0,0,IF(AU219&gt;0,IF($J219=6,AU219,IF($J219=5,AU219,IF($J219=4,AU219,0)))))</f>
        <v>0</v>
      </c>
      <c r="AS219" s="83">
        <f t="shared" ref="AS219:AS222" si="3398">IF(AU219=0,0,IF(AU219&gt;0,IF($J219=9,AU219,IF($J219=8,AU219,IF($J219=7,AU219,0)))))</f>
        <v>0</v>
      </c>
      <c r="AT219" s="84">
        <f t="shared" ref="AT219:AT222" si="3399">IF(AU219=0,0,IF(AU219&gt;0,IF($J219=12,AU219,IF($J219=11,AU219,IF($J219=10,AU219,0)))))</f>
        <v>0</v>
      </c>
      <c r="AU219" s="81">
        <f t="shared" ref="AU219:AU222" si="3400">IF(AU$5=$H219,$E219,0)</f>
        <v>0</v>
      </c>
      <c r="AV219" s="82">
        <f t="shared" ref="AV219:AV222" si="3401">IF(AZ219=0,0,IF(AZ219&gt;0,IF($J219=3,AZ219,IF($J219=2,AZ219,IF($J219=1,AZ219,0)))))</f>
        <v>0</v>
      </c>
      <c r="AW219" s="83">
        <f t="shared" ref="AW219:AW222" si="3402">IF(AZ219=0,0,IF(AZ219&gt;0,IF($J219=6,AZ219,IF($J219=5,AZ219,IF($J219=4,AZ219,0)))))</f>
        <v>0</v>
      </c>
      <c r="AX219" s="83">
        <f t="shared" ref="AX219:AX222" si="3403">IF(AZ219=0,0,IF(AZ219&gt;0,IF($J219=9,AZ219,IF($J219=8,AZ219,IF($J219=7,AZ219,0)))))</f>
        <v>0</v>
      </c>
      <c r="AY219" s="84">
        <f t="shared" ref="AY219:AY222" si="3404">IF(AZ219=0,0,IF(AZ219&gt;0,IF($J219=12,AZ219,IF($J219=11,AZ219,IF($J219=10,AZ219,0)))))</f>
        <v>0</v>
      </c>
      <c r="AZ219" s="81">
        <f t="shared" ref="AZ219:AZ222" si="3405">IF(AZ$5=$H219,$E219,0)</f>
        <v>0</v>
      </c>
      <c r="BA219" s="82">
        <f t="shared" ref="BA219:BA222" si="3406">IF(BE219=0,0,IF(BE219&gt;0,IF($J219=3,BE219,IF($J219=2,BE219,IF($J219=1,BE219,0)))))</f>
        <v>0</v>
      </c>
      <c r="BB219" s="83">
        <f t="shared" ref="BB219:BB222" si="3407">IF(BE219=0,0,IF(BE219&gt;0,IF($J219=6,BE219,IF($J219=5,BE219,IF($J219=4,BE219,0)))))</f>
        <v>0</v>
      </c>
      <c r="BC219" s="83">
        <f t="shared" ref="BC219:BC222" si="3408">IF(BE219=0,0,IF(BE219&gt;0,IF($J219=9,BE219,IF($J219=8,BE219,IF($J219=7,BE219,0)))))</f>
        <v>0</v>
      </c>
      <c r="BD219" s="84">
        <f t="shared" ref="BD219:BD222" si="3409">IF(BE219=0,0,IF(BE219&gt;0,IF($J219=12,BE219,IF($J219=11,BE219,IF($J219=10,BE219,0)))))</f>
        <v>0</v>
      </c>
      <c r="BE219" s="81">
        <f t="shared" ref="BE219:BE222" si="3410">IF(BE$5=$H219,$E219,0)</f>
        <v>0</v>
      </c>
      <c r="BF219" s="1884"/>
      <c r="BG219" s="2005">
        <f t="shared" ref="BG219:BG222" si="3411">IF(AND(BF219&lt;&gt;0,BF$5=$H219),$I219*$E219-BF219,IF(BG$5=$H219,$I219*$E219*(12-$J219+1)/12,0))</f>
        <v>0</v>
      </c>
      <c r="BH219" s="86">
        <f t="shared" ref="BH219:BH222" si="3412">IF($H219&lt;&gt;BL$5,0,IF(BL219&gt;0,IF($J219=1,$E219*$I219/12*3,IF($J219=2,$E219*$I219/12*2,IF($J219=3,$E219*$I219/12*1,0)))))+IF(BG$5&lt;&gt;$H219,0,IF(BG219&gt;0,IF($J219=1,$E219*$I219/12*0,IF($J219=2,$E219*$I219/12*1,IF($J219=3,$E219*$I219/12*2,IF($J219&gt;=4,$E219*$I219/12*3,0))))))</f>
        <v>0</v>
      </c>
      <c r="BI219" s="87">
        <f t="shared" ref="BI219:BI222" si="3413">IF($H219&lt;&gt;BL$5,0,IF(BL219&gt;0,IF(OR($J219=1,$J219=2,$J219=3,$J219=4),$E219*$I219/12*3,IF($J219=5,$E219*$I219/12*2,IF($J219=6,$E219*$I219/12*1,0)))))+IF(BG$5&lt;&gt;$H219,0,IF(BG219&gt;0,IF($J219=4,$E219*$I219/12*0,IF($J219=5,$E219*$I219/12*1,IF($J219=6,$E219*$I219/12*2,IF($J219&gt;=7,$E219*$I219/12*3,0))))))</f>
        <v>0</v>
      </c>
      <c r="BJ219" s="87">
        <f t="shared" ref="BJ219:BJ222" si="3414">IF($H219&lt;&gt;BL$5,0,IF(BL219&gt;0,IF(OR($J219=1,$J219=2,$J219=3,$J219=4,$J219=5,$J219=6,$J219=7),$E219*$I219/12*3,IF($J219=8,$E219*$I219/12*2,IF($J219=9,$E219*$I219/12*1,0)))))+IF(BG$5&lt;&gt;$H219,0,IF(BG219&gt;0,IF($J219=7,$E219*$I219/12*0,IF($J219=8,$E219*$I219/12*1,IF($J219=9,$E219*$I219/12*2,IF($J219&gt;=10,$E219*$I219/12*3,0))))))</f>
        <v>0</v>
      </c>
      <c r="BK219" s="88">
        <f t="shared" ref="BK219:BK222" si="3415">IF($H219&lt;&gt;BL$5,0,IF(BL219&gt;0,IF(OR($J219=1,$J219=2,$J219=3,$J219=4,$J219=5,$J219=6,$J219=7,$J219=8,$J219=9,$J219=10),$E219*$I219/12*3,IF($J219=11,$E219*$I219/12*2,IF($J219=12,$E219*$I219/12*1,0)))))+IF(BG$5&lt;&gt;$H219,0,IF(BG219&gt;0,IF($J219=10,$E219*$I219/12*0,IF($J219=11,$E219*$I219/12*1,IF($J219=12,$E219*$I219/12*2,0)))))</f>
        <v>0</v>
      </c>
      <c r="BL219" s="85">
        <f t="shared" ref="BL219:BL222" si="3416">IF(AND(BG219&lt;&gt;0,BG$5=$H219),$I219*$E219-BG219,IF(BL$5=$H219,$I219*$E219*(12-$J219+1)/12,0))</f>
        <v>0</v>
      </c>
      <c r="BM219" s="86">
        <f t="shared" ref="BM219:BM222" si="3417">IF($H219&lt;&gt;BQ$5,0,IF(BQ219&gt;0,IF($J219=1,$E219*$I219/12*3,IF($J219=2,$E219*$I219/12*2,IF($J219=3,$E219*$I219/12*1,0)))))+IF(BL$5&lt;&gt;$H219,0,IF(BL219&gt;0,IF($J219=1,$E219*$I219/12*0,IF($J219=2,$E219*$I219/12*1,IF($J219=3,$E219*$I219/12*2,IF($J219&gt;=4,$E219*$I219/12*3,0))))))</f>
        <v>0</v>
      </c>
      <c r="BN219" s="87">
        <f t="shared" ref="BN219:BN222" si="3418">IF($H219&lt;&gt;BQ$5,0,IF(BQ219&gt;0,IF(OR($J219=1,$J219=2,$J219=3,$J219=4),$E219*$I219/12*3,IF($J219=5,$E219*$I219/12*2,IF($J219=6,$E219*$I219/12*1,0)))))+IF(BL$5&lt;&gt;$H219,0,IF(BL219&gt;0,IF($J219=4,$E219*$I219/12*0,IF($J219=5,$E219*$I219/12*1,IF($J219=6,$E219*$I219/12*2,IF($J219&gt;=7,$E219*$I219/12*3,0))))))</f>
        <v>0</v>
      </c>
      <c r="BO219" s="87">
        <f t="shared" ref="BO219:BO222" si="3419">IF($H219&lt;&gt;BQ$5,0,IF(BQ219&gt;0,IF(OR($J219=1,$J219=2,$J219=3,$J219=4,$J219=5,$J219=6,$J219=7),$E219*$I219/12*3,IF($J219=8,$E219*$I219/12*2,IF($J219=9,$E219*$I219/12*1,0)))))+IF(BL$5&lt;&gt;$H219,0,IF(BL219&gt;0,IF($J219=7,$E219*$I219/12*0,IF($J219=8,$E219*$I219/12*1,IF($J219=9,$E219*$I219/12*2,IF($J219&gt;=10,$E219*$I219/12*3,0))))))</f>
        <v>0</v>
      </c>
      <c r="BP219" s="88">
        <f t="shared" ref="BP219:BP222" si="3420">IF($H219&lt;&gt;BQ$5,0,IF(BQ219&gt;0,IF(OR($J219=1,$J219=2,$J219=3,$J219=4,$J219=5,$J219=6,$J219=7,$J219=8,$J219=9,$J219=10),$E219*$I219/12*3,IF($J219=11,$E219*$I219/12*2,IF($J219=12,$E219*$I219/12*1,0)))))+IF(BL$5&lt;&gt;$H219,0,IF(BL219&gt;0,IF($J219=10,$E219*$I219/12*0,IF($J219=11,$E219*$I219/12*1,IF($J219=12,$E219*$I219/12*2,0)))))</f>
        <v>0</v>
      </c>
      <c r="BQ219" s="85">
        <f t="shared" ref="BQ219:BQ222" si="3421">IF(AND(BL219&lt;&gt;0,BL$5=$H219),$I219*$E219-BL219,IF(BQ$5=$H219,$I219*$E219*(12-$J219+1)/12,0))</f>
        <v>0</v>
      </c>
      <c r="BR219" s="86">
        <f t="shared" ref="BR219:BR222" si="3422">IF($H219&lt;&gt;BV$5,0,IF(BV219&gt;0,IF($J219=1,$E219*$I219/12*3,IF($J219=2,$E219*$I219/12*2,IF($J219=3,$E219*$I219/12*1,0)))))+IF(BQ$5&lt;&gt;$H219,0,IF(BQ219&gt;0,IF($J219=1,$E219*$I219/12*0,IF($J219=2,$E219*$I219/12*1,IF($J219=3,$E219*$I219/12*2,IF($J219&gt;=4,$E219*$I219/12*3,0))))))</f>
        <v>0</v>
      </c>
      <c r="BS219" s="87">
        <f t="shared" ref="BS219:BS222" si="3423">IF($H219&lt;&gt;BV$5,0,IF(BV219&gt;0,IF(OR($J219=1,$J219=2,$J219=3,$J219=4),$E219*$I219/12*3,IF($J219=5,$E219*$I219/12*2,IF($J219=6,$E219*$I219/12*1,0)))))+IF(BQ$5&lt;&gt;$H219,0,IF(BQ219&gt;0,IF($J219=4,$E219*$I219/12*0,IF($J219=5,$E219*$I219/12*1,IF($J219=6,$E219*$I219/12*2,IF($J219&gt;=7,$E219*$I219/12*3,0))))))</f>
        <v>0</v>
      </c>
      <c r="BT219" s="87">
        <f t="shared" ref="BT219:BT222" si="3424">IF($H219&lt;&gt;BV$5,0,IF(BV219&gt;0,IF(OR($J219=1,$J219=2,$J219=3,$J219=4,$J219=5,$J219=6,$J219=7),$E219*$I219/12*3,IF($J219=8,$E219*$I219/12*2,IF($J219=9,$E219*$I219/12*1,0)))))+IF(BQ$5&lt;&gt;$H219,0,IF(BQ219&gt;0,IF($J219=7,$E219*$I219/12*0,IF($J219=8,$E219*$I219/12*1,IF($J219=9,$E219*$I219/12*2,IF($J219&gt;=10,$E219*$I219/12*3,0))))))</f>
        <v>0</v>
      </c>
      <c r="BU219" s="88">
        <f t="shared" ref="BU219:BU222" si="3425">IF($H219&lt;&gt;BV$5,0,IF(BV219&gt;0,IF(OR($J219=1,$J219=2,$J219=3,$J219=4,$J219=5,$J219=6,$J219=7,$J219=8,$J219=9,$J219=10),$E219*$I219/12*3,IF($J219=11,$E219*$I219/12*2,IF($J219=12,$E219*$I219/12*1,0)))))+IF(BQ$5&lt;&gt;$H219,0,IF(BQ219&gt;0,IF($J219=10,$E219*$I219/12*0,IF($J219=11,$E219*$I219/12*1,IF($J219=12,$E219*$I219/12*2,0)))))</f>
        <v>0</v>
      </c>
      <c r="BV219" s="85">
        <f t="shared" ref="BV219:BV222" si="3426">IF(AND(BQ219&lt;&gt;0,BQ$5=$H219),$I219*$E219-BQ219,IF(BV$5=$H219,$I219*$E219*(12-$J219+1)/12,0))</f>
        <v>0</v>
      </c>
      <c r="BW219" s="86">
        <f t="shared" ref="BW219:BW222" si="3427">IF($H219&lt;&gt;CA$5,0,IF(CA219&gt;0,IF($J219=1,$E219*$I219/12*3,IF($J219=2,$E219*$I219/12*2,IF($J219=3,$E219*$I219/12*1,0)))))+IF(BV$5&lt;&gt;$H219,0,IF(BV219&gt;0,IF($J219=1,$E219*$I219/12*0,IF($J219=2,$E219*$I219/12*1,IF($J219=3,$E219*$I219/12*2,IF($J219&gt;=4,$E219*$I219/12*3,0))))))</f>
        <v>0</v>
      </c>
      <c r="BX219" s="87">
        <f t="shared" ref="BX219:BX222" si="3428">IF($H219&lt;&gt;CA$5,0,IF(CA219&gt;0,IF(OR($J219=1,$J219=2,$J219=3,$J219=4),$E219*$I219/12*3,IF($J219=5,$E219*$I219/12*2,IF($J219=6,$E219*$I219/12*1,0)))))+IF(BV$5&lt;&gt;$H219,0,IF(BV219&gt;0,IF($J219=4,$E219*$I219/12*0,IF($J219=5,$E219*$I219/12*1,IF($J219=6,$E219*$I219/12*2,IF($J219&gt;=7,$E219*$I219/12*3,0))))))</f>
        <v>0</v>
      </c>
      <c r="BY219" s="87">
        <f t="shared" ref="BY219:BY222" si="3429">IF($H219&lt;&gt;CA$5,0,IF(CA219&gt;0,IF(OR($J219=1,$J219=2,$J219=3,$J219=4,$J219=5,$J219=6,$J219=7),$E219*$I219/12*3,IF($J219=8,$E219*$I219/12*2,IF($J219=9,$E219*$I219/12*1,0)))))+IF(BV$5&lt;&gt;$H219,0,IF(BV219&gt;0,IF($J219=7,$E219*$I219/12*0,IF($J219=8,$E219*$I219/12*1,IF($J219=9,$E219*$I219/12*2,IF($J219&gt;=10,$E219*$I219/12*3,0))))))</f>
        <v>0</v>
      </c>
      <c r="BZ219" s="88">
        <f t="shared" ref="BZ219:BZ222" si="3430">IF($H219&lt;&gt;CA$5,0,IF(CA219&gt;0,IF(OR($J219=1,$J219=2,$J219=3,$J219=4,$J219=5,$J219=6,$J219=7,$J219=8,$J219=9,$J219=10),$E219*$I219/12*3,IF($J219=11,$E219*$I219/12*2,IF($J219=12,$E219*$I219/12*1,0)))))+IF(BV$5&lt;&gt;$H219,0,IF(BV219&gt;0,IF($J219=10,$E219*$I219/12*0,IF($J219=11,$E219*$I219/12*1,IF($J219=12,$E219*$I219/12*2,0)))))</f>
        <v>0</v>
      </c>
      <c r="CA219" s="85">
        <f t="shared" ref="CA219:CA222" si="3431">IF(AND(BV219&lt;&gt;0,BV$5=$H219),$I219*$E219-BV219,IF(CA$5=$H219,$I219*$E219*(12-$J219+1)/12,0))</f>
        <v>0</v>
      </c>
      <c r="CB219" s="86">
        <f t="shared" ref="CB219:CB222" si="3432">IF($H219&lt;&gt;CF$5,0,IF(CF219&gt;0,IF($J219=1,$E219*$I219/12*3,IF($J219=2,$E219*$I219/12*2,IF($J219=3,$E219*$I219/12*1,0)))))+IF(CA$5&lt;&gt;$H219,0,IF(CA219&gt;0,IF($J219=1,$E219*$I219/12*0,IF($J219=2,$E219*$I219/12*1,IF($J219=3,$E219*$I219/12*2,IF($J219&gt;=4,$E219*$I219/12*3,0))))))</f>
        <v>0</v>
      </c>
      <c r="CC219" s="87">
        <f t="shared" ref="CC219:CC222" si="3433">IF($H219&lt;&gt;CF$5,0,IF(CF219&gt;0,IF(OR($J219=1,$J219=2,$J219=3,$J219=4),$E219*$I219/12*3,IF($J219=5,$E219*$I219/12*2,IF($J219=6,$E219*$I219/12*1,0)))))+IF(CA$5&lt;&gt;$H219,0,IF(CA219&gt;0,IF($J219=4,$E219*$I219/12*0,IF($J219=5,$E219*$I219/12*1,IF($J219=6,$E219*$I219/12*2,IF($J219&gt;=7,$E219*$I219/12*3,0))))))</f>
        <v>0</v>
      </c>
      <c r="CD219" s="87">
        <f t="shared" ref="CD219:CD222" si="3434">IF($H219&lt;&gt;CF$5,0,IF(CF219&gt;0,IF(OR($J219=1,$J219=2,$J219=3,$J219=4,$J219=5,$J219=6,$J219=7),$E219*$I219/12*3,IF($J219=8,$E219*$I219/12*2,IF($J219=9,$E219*$I219/12*1,0)))))+IF(CA$5&lt;&gt;$H219,0,IF(CA219&gt;0,IF($J219=7,$E219*$I219/12*0,IF($J219=8,$E219*$I219/12*1,IF($J219=9,$E219*$I219/12*2,IF($J219&gt;=10,$E219*$I219/12*3,0))))))</f>
        <v>0</v>
      </c>
      <c r="CE219" s="88">
        <f t="shared" ref="CE219:CE222" si="3435">IF($H219&lt;&gt;CF$5,0,IF(CF219&gt;0,IF(OR($J219=1,$J219=2,$J219=3,$J219=4,$J219=5,$J219=6,$J219=7,$J219=8,$J219=9,$J219=10),$E219*$I219/12*3,IF($J219=11,$E219*$I219/12*2,IF($J219=12,$E219*$I219/12*1,0)))))+IF(CA$5&lt;&gt;$H219,0,IF(CA219&gt;0,IF($J219=10,$E219*$I219/12*0,IF($J219=11,$E219*$I219/12*1,IF($J219=12,$E219*$I219/12*2,0)))))</f>
        <v>0</v>
      </c>
      <c r="CF219" s="85">
        <f t="shared" ref="CF219:CF222" si="3436">IF(AND(CA219&lt;&gt;0,CA$5=$H219),$I219*$E219-CA219,IF(CF$5=$H219,$I219*$E219*(12-$J219+1)/12,0))</f>
        <v>0</v>
      </c>
      <c r="CG219" s="86">
        <f t="shared" ref="CG219:CG222" si="3437">IF($H219&lt;&gt;CK$5,0,IF(CK219&gt;0,IF($J219=1,$E219*$I219/12*3,IF($J219=2,$E219*$I219/12*2,IF($J219=3,$E219*$I219/12*1,0)))))+IF(CF$5&lt;&gt;$H219,0,IF(CF219&gt;0,IF($J219=1,$E219*$I219/12*0,IF($J219=2,$E219*$I219/12*1,IF($J219=3,$E219*$I219/12*2,IF($J219&gt;=4,$E219*$I219/12*3,0))))))</f>
        <v>0</v>
      </c>
      <c r="CH219" s="87">
        <f t="shared" ref="CH219:CH222" si="3438">IF($H219&lt;&gt;CK$5,0,IF(CK219&gt;0,IF(OR($J219=1,$J219=2,$J219=3,$J219=4),$E219*$I219/12*3,IF($J219=5,$E219*$I219/12*2,IF($J219=6,$E219*$I219/12*1,0)))))+IF(CF$5&lt;&gt;$H219,0,IF(CF219&gt;0,IF($J219=4,$E219*$I219/12*0,IF($J219=5,$E219*$I219/12*1,IF($J219=6,$E219*$I219/12*2,IF($J219&gt;=7,$E219*$I219/12*3,0))))))</f>
        <v>0</v>
      </c>
      <c r="CI219" s="87">
        <f t="shared" ref="CI219:CI222" si="3439">IF($H219&lt;&gt;CK$5,0,IF(CK219&gt;0,IF(OR($J219=1,$J219=2,$J219=3,$J219=4,$J219=5,$J219=6,$J219=7),$E219*$I219/12*3,IF($J219=8,$E219*$I219/12*2,IF($J219=9,$E219*$I219/12*1,0)))))+IF(CF$5&lt;&gt;$H219,0,IF(CF219&gt;0,IF($J219=7,$E219*$I219/12*0,IF($J219=8,$E219*$I219/12*1,IF($J219=9,$E219*$I219/12*2,IF($J219&gt;=10,$E219*$I219/12*3,0))))))</f>
        <v>0</v>
      </c>
      <c r="CJ219" s="88">
        <f t="shared" ref="CJ219:CJ222" si="3440">IF($H219&lt;&gt;CK$5,0,IF(CK219&gt;0,IF(OR($J219=1,$J219=2,$J219=3,$J219=4,$J219=5,$J219=6,$J219=7,$J219=8,$J219=9,$J219=10),$E219*$I219/12*3,IF($J219=11,$E219*$I219/12*2,IF($J219=12,$E219*$I219/12*1,0)))))+IF(CF$5&lt;&gt;$H219,0,IF(CF219&gt;0,IF($J219=10,$E219*$I219/12*0,IF($J219=11,$E219*$I219/12*1,IF($J219=12,$E219*$I219/12*2,0)))))</f>
        <v>0</v>
      </c>
      <c r="CK219" s="85">
        <f t="shared" ref="CK219:CK222" si="3441">IF(AND(CF219&lt;&gt;0,CF$5=$H219),$I219*$E219-CF219,IF(CK$5=$H219,$I219*$E219*(12-$J219+1)/12,0))</f>
        <v>0</v>
      </c>
      <c r="CL219" s="86">
        <f t="shared" ref="CL219:CL222" si="3442">IF($H219&lt;&gt;CP$5,0,IF(CP219&gt;0,IF($J219=1,$E219*$I219/12*3,IF($J219=2,$E219*$I219/12*2,IF($J219=3,$E219*$I219/12*1,0)))))+IF(CK$5&lt;&gt;$H219,0,IF(CK219&gt;0,IF($J219=1,$E219*$I219/12*0,IF($J219=2,$E219*$I219/12*1,IF($J219=3,$E219*$I219/12*2,IF($J219&gt;=4,$E219*$I219/12*3,0))))))</f>
        <v>0</v>
      </c>
      <c r="CM219" s="87">
        <f t="shared" ref="CM219:CM222" si="3443">IF($H219&lt;&gt;CP$5,0,IF(CP219&gt;0,IF(OR($J219=1,$J219=2,$J219=3,$J219=4),$E219*$I219/12*3,IF($J219=5,$E219*$I219/12*2,IF($J219=6,$E219*$I219/12*1,0)))))+IF(CK$5&lt;&gt;$H219,0,IF(CK219&gt;0,IF($J219=4,$E219*$I219/12*0,IF($J219=5,$E219*$I219/12*1,IF($J219=6,$E219*$I219/12*2,IF($J219&gt;=7,$E219*$I219/12*3,0))))))</f>
        <v>0</v>
      </c>
      <c r="CN219" s="87">
        <f t="shared" ref="CN219:CN222" si="3444">IF($H219&lt;&gt;CP$5,0,IF(CP219&gt;0,IF(OR($J219=1,$J219=2,$J219=3,$J219=4,$J219=5,$J219=6,$J219=7),$E219*$I219/12*3,IF($J219=8,$E219*$I219/12*2,IF($J219=9,$E219*$I219/12*1,0)))))+IF(CK$5&lt;&gt;$H219,0,IF(CK219&gt;0,IF($J219=7,$E219*$I219/12*0,IF($J219=8,$E219*$I219/12*1,IF($J219=9,$E219*$I219/12*2,IF($J219&gt;=10,$E219*$I219/12*3,0))))))</f>
        <v>0</v>
      </c>
      <c r="CO219" s="88">
        <f t="shared" ref="CO219:CO222" si="3445">IF($H219&lt;&gt;CP$5,0,IF(CP219&gt;0,IF(OR($J219=1,$J219=2,$J219=3,$J219=4,$J219=5,$J219=6,$J219=7,$J219=8,$J219=9,$J219=10),$E219*$I219/12*3,IF($J219=11,$E219*$I219/12*2,IF($J219=12,$E219*$I219/12*1,0)))))+IF(CK$5&lt;&gt;$H219,0,IF(CK219&gt;0,IF($J219=10,$E219*$I219/12*0,IF($J219=11,$E219*$I219/12*1,IF($J219=12,$E219*$I219/12*2,0)))))</f>
        <v>0</v>
      </c>
      <c r="CP219" s="85">
        <f t="shared" ref="CP219:CP222" si="3446">IF(AND(CK219&lt;&gt;0,CK$5=$H219),$I219*$E219-CK219,IF(CP$5=$H219,$I219*$E219*(12-$J219+1)/12,0))</f>
        <v>0</v>
      </c>
      <c r="CQ219" s="86">
        <f t="shared" ref="CQ219:CQ222" si="3447">IF($H219&lt;&gt;CU$5,0,IF(CU219&gt;0,IF($J219=1,$E219*$I219/12*3,IF($J219=2,$E219*$I219/12*2,IF($J219=3,$E219*$I219/12*1,0)))))+IF(CP$5&lt;&gt;$H219,0,IF(CP219&gt;0,IF($J219=1,$E219*$I219/12*0,IF($J219=2,$E219*$I219/12*1,IF($J219=3,$E219*$I219/12*2,IF($J219&gt;=4,$E219*$I219/12*3,0))))))</f>
        <v>0</v>
      </c>
      <c r="CR219" s="87">
        <f t="shared" ref="CR219:CR222" si="3448">IF($H219&lt;&gt;CU$5,0,IF(CU219&gt;0,IF(OR($J219=1,$J219=2,$J219=3,$J219=4),$E219*$I219/12*3,IF($J219=5,$E219*$I219/12*2,IF($J219=6,$E219*$I219/12*1,0)))))+IF(CP$5&lt;&gt;$H219,0,IF(CP219&gt;0,IF($J219=4,$E219*$I219/12*0,IF($J219=5,$E219*$I219/12*1,IF($J219=6,$E219*$I219/12*2,IF($J219&gt;=7,$E219*$I219/12*3,0))))))</f>
        <v>0</v>
      </c>
      <c r="CS219" s="87">
        <f t="shared" ref="CS219:CS222" si="3449">IF($H219&lt;&gt;CU$5,0,IF(CU219&gt;0,IF(OR($J219=1,$J219=2,$J219=3,$J219=4,$J219=5,$J219=6,$J219=7),$E219*$I219/12*3,IF($J219=8,$E219*$I219/12*2,IF($J219=9,$E219*$I219/12*1,0)))))+IF(CP$5&lt;&gt;$H219,0,IF(CP219&gt;0,IF($J219=7,$E219*$I219/12*0,IF($J219=8,$E219*$I219/12*1,IF($J219=9,$E219*$I219/12*2,IF($J219&gt;=10,$E219*$I219/12*3,0))))))</f>
        <v>0</v>
      </c>
      <c r="CT219" s="88">
        <f t="shared" ref="CT219:CT222" si="3450">IF($H219&lt;&gt;CU$5,0,IF(CU219&gt;0,IF(OR($J219=1,$J219=2,$J219=3,$J219=4,$J219=5,$J219=6,$J219=7,$J219=8,$J219=9,$J219=10),$E219*$I219/12*3,IF($J219=11,$E219*$I219/12*2,IF($J219=12,$E219*$I219/12*1,0)))))+IF(CP$5&lt;&gt;$H219,0,IF(CP219&gt;0,IF($J219=10,$E219*$I219/12*0,IF($J219=11,$E219*$I219/12*1,IF($J219=12,$E219*$I219/12*2,0)))))</f>
        <v>0</v>
      </c>
      <c r="CU219" s="85">
        <f t="shared" ref="CU219:CU222" si="3451">IF(AND(CP219&lt;&gt;0,CP$5=$H219),$I219*$E219-CP219,IF(CU$5=$H219,$I219*$E219*(12-$J219+1)/12,0))</f>
        <v>0</v>
      </c>
      <c r="CV219" s="86">
        <f t="shared" ref="CV219:CV222" si="3452">IF($H219&lt;&gt;CZ$5,0,IF(CZ219&gt;0,IF($J219=1,$E219*$I219/12*3,IF($J219=2,$E219*$I219/12*2,IF($J219=3,$E219*$I219/12*1,0)))))+IF(CU$5&lt;&gt;$H219,0,IF(CU219&gt;0,IF($J219=1,$E219*$I219/12*0,IF($J219=2,$E219*$I219/12*1,IF($J219=3,$E219*$I219/12*2,IF($J219&gt;=4,$E219*$I219/12*3,0))))))</f>
        <v>0</v>
      </c>
      <c r="CW219" s="87">
        <f t="shared" ref="CW219:CW222" si="3453">IF($H219&lt;&gt;CZ$5,0,IF(CZ219&gt;0,IF(OR($J219=1,$J219=2,$J219=3,$J219=4),$E219*$I219/12*3,IF($J219=5,$E219*$I219/12*2,IF($J219=6,$E219*$I219/12*1,0)))))+IF(CU$5&lt;&gt;$H219,0,IF(CU219&gt;0,IF($J219=4,$E219*$I219/12*0,IF($J219=5,$E219*$I219/12*1,IF($J219=6,$E219*$I219/12*2,IF($J219&gt;=7,$E219*$I219/12*3,0))))))</f>
        <v>0</v>
      </c>
      <c r="CX219" s="87">
        <f t="shared" ref="CX219:CX222" si="3454">IF($H219&lt;&gt;CZ$5,0,IF(CZ219&gt;0,IF(OR($J219=1,$J219=2,$J219=3,$J219=4,$J219=5,$J219=6,$J219=7),$E219*$I219/12*3,IF($J219=8,$E219*$I219/12*2,IF($J219=9,$E219*$I219/12*1,0)))))+IF(CU$5&lt;&gt;$H219,0,IF(CU219&gt;0,IF($J219=7,$E219*$I219/12*0,IF($J219=8,$E219*$I219/12*1,IF($J219=9,$E219*$I219/12*2,IF($J219&gt;=10,$E219*$I219/12*3,0))))))</f>
        <v>0</v>
      </c>
      <c r="CY219" s="88">
        <f t="shared" ref="CY219:CY222" si="3455">IF($H219&lt;&gt;CZ$5,0,IF(CZ219&gt;0,IF(OR($J219=1,$J219=2,$J219=3,$J219=4,$J219=5,$J219=6,$J219=7,$J219=8,$J219=9,$J219=10),$E219*$I219/12*3,IF($J219=11,$E219*$I219/12*2,IF($J219=12,$E219*$I219/12*1,0)))))+IF(CU$5&lt;&gt;$H219,0,IF(CU219&gt;0,IF($J219=10,$E219*$I219/12*0,IF($J219=11,$E219*$I219/12*1,IF($J219=12,$E219*$I219/12*2,0)))))</f>
        <v>0</v>
      </c>
      <c r="CZ219" s="85">
        <f t="shared" ref="CZ219:CZ222" si="3456">IF(AND(CU219&lt;&gt;0,CU$5=$H219),$I219*$E219-CU219,IF(CZ$5=$H219,$I219*$E219*(12-$J219+1)/12,0))</f>
        <v>0</v>
      </c>
    </row>
    <row r="220" spans="1:104" ht="12.75" customHeight="1">
      <c r="A220" s="1817"/>
      <c r="B220" s="1817"/>
      <c r="C220" s="2026" t="s">
        <v>1373</v>
      </c>
      <c r="D220" s="1838"/>
      <c r="E220" s="1839">
        <v>0</v>
      </c>
      <c r="F220" s="1840"/>
      <c r="G220" s="1840"/>
      <c r="H220" s="1516">
        <v>2019</v>
      </c>
      <c r="I220" s="1841">
        <v>0.05</v>
      </c>
      <c r="J220" s="1832">
        <v>7</v>
      </c>
      <c r="L220" s="2001">
        <f t="shared" si="3365"/>
        <v>0</v>
      </c>
      <c r="M220" s="82">
        <f t="shared" si="3366"/>
        <v>0</v>
      </c>
      <c r="N220" s="83">
        <f t="shared" si="3367"/>
        <v>0</v>
      </c>
      <c r="O220" s="83">
        <f t="shared" si="3368"/>
        <v>0</v>
      </c>
      <c r="P220" s="84">
        <f t="shared" si="3369"/>
        <v>0</v>
      </c>
      <c r="Q220" s="81">
        <f t="shared" si="3370"/>
        <v>0</v>
      </c>
      <c r="R220" s="82">
        <f t="shared" si="3371"/>
        <v>0</v>
      </c>
      <c r="S220" s="83">
        <f t="shared" si="3372"/>
        <v>0</v>
      </c>
      <c r="T220" s="83">
        <f t="shared" si="3373"/>
        <v>0</v>
      </c>
      <c r="U220" s="84">
        <f t="shared" si="3374"/>
        <v>0</v>
      </c>
      <c r="V220" s="81">
        <f t="shared" si="3375"/>
        <v>0</v>
      </c>
      <c r="W220" s="82">
        <f t="shared" si="3376"/>
        <v>0</v>
      </c>
      <c r="X220" s="83">
        <f t="shared" si="3377"/>
        <v>0</v>
      </c>
      <c r="Y220" s="83">
        <f t="shared" si="3378"/>
        <v>0</v>
      </c>
      <c r="Z220" s="84">
        <f t="shared" si="3379"/>
        <v>0</v>
      </c>
      <c r="AA220" s="81">
        <f t="shared" si="3380"/>
        <v>0</v>
      </c>
      <c r="AB220" s="82">
        <f t="shared" si="3381"/>
        <v>0</v>
      </c>
      <c r="AC220" s="83">
        <f t="shared" si="3382"/>
        <v>0</v>
      </c>
      <c r="AD220" s="83">
        <f t="shared" si="3383"/>
        <v>0</v>
      </c>
      <c r="AE220" s="84">
        <f t="shared" si="3384"/>
        <v>0</v>
      </c>
      <c r="AF220" s="81">
        <f t="shared" si="3385"/>
        <v>0</v>
      </c>
      <c r="AG220" s="82">
        <f t="shared" si="3386"/>
        <v>0</v>
      </c>
      <c r="AH220" s="83">
        <f t="shared" si="3387"/>
        <v>0</v>
      </c>
      <c r="AI220" s="83">
        <f t="shared" si="3388"/>
        <v>0</v>
      </c>
      <c r="AJ220" s="84">
        <f t="shared" si="3389"/>
        <v>0</v>
      </c>
      <c r="AK220" s="81">
        <f t="shared" si="3390"/>
        <v>0</v>
      </c>
      <c r="AL220" s="82">
        <f t="shared" si="3391"/>
        <v>0</v>
      </c>
      <c r="AM220" s="83">
        <f t="shared" si="3392"/>
        <v>0</v>
      </c>
      <c r="AN220" s="83">
        <f t="shared" si="3393"/>
        <v>0</v>
      </c>
      <c r="AO220" s="84">
        <f t="shared" si="3394"/>
        <v>0</v>
      </c>
      <c r="AP220" s="81">
        <f t="shared" si="3395"/>
        <v>0</v>
      </c>
      <c r="AQ220" s="82">
        <f t="shared" si="3396"/>
        <v>0</v>
      </c>
      <c r="AR220" s="83">
        <f t="shared" si="3397"/>
        <v>0</v>
      </c>
      <c r="AS220" s="83">
        <f t="shared" si="3398"/>
        <v>0</v>
      </c>
      <c r="AT220" s="84">
        <f t="shared" si="3399"/>
        <v>0</v>
      </c>
      <c r="AU220" s="81">
        <f t="shared" si="3400"/>
        <v>0</v>
      </c>
      <c r="AV220" s="82">
        <f t="shared" si="3401"/>
        <v>0</v>
      </c>
      <c r="AW220" s="83">
        <f t="shared" si="3402"/>
        <v>0</v>
      </c>
      <c r="AX220" s="83">
        <f t="shared" si="3403"/>
        <v>0</v>
      </c>
      <c r="AY220" s="84">
        <f t="shared" si="3404"/>
        <v>0</v>
      </c>
      <c r="AZ220" s="81">
        <f t="shared" si="3405"/>
        <v>0</v>
      </c>
      <c r="BA220" s="82">
        <f t="shared" si="3406"/>
        <v>0</v>
      </c>
      <c r="BB220" s="83">
        <f t="shared" si="3407"/>
        <v>0</v>
      </c>
      <c r="BC220" s="83">
        <f t="shared" si="3408"/>
        <v>0</v>
      </c>
      <c r="BD220" s="84">
        <f t="shared" si="3409"/>
        <v>0</v>
      </c>
      <c r="BE220" s="81">
        <f t="shared" si="3410"/>
        <v>0</v>
      </c>
      <c r="BF220" s="1884"/>
      <c r="BG220" s="2005">
        <f t="shared" si="3411"/>
        <v>0</v>
      </c>
      <c r="BH220" s="86">
        <f t="shared" si="3412"/>
        <v>0</v>
      </c>
      <c r="BI220" s="87">
        <f t="shared" si="3413"/>
        <v>0</v>
      </c>
      <c r="BJ220" s="87">
        <f t="shared" si="3414"/>
        <v>0</v>
      </c>
      <c r="BK220" s="88">
        <f t="shared" si="3415"/>
        <v>0</v>
      </c>
      <c r="BL220" s="85">
        <f t="shared" si="3416"/>
        <v>0</v>
      </c>
      <c r="BM220" s="86">
        <f t="shared" si="3417"/>
        <v>0</v>
      </c>
      <c r="BN220" s="87">
        <f t="shared" si="3418"/>
        <v>0</v>
      </c>
      <c r="BO220" s="87">
        <f t="shared" si="3419"/>
        <v>0</v>
      </c>
      <c r="BP220" s="88">
        <f t="shared" si="3420"/>
        <v>0</v>
      </c>
      <c r="BQ220" s="85">
        <f t="shared" si="3421"/>
        <v>0</v>
      </c>
      <c r="BR220" s="86">
        <f t="shared" si="3422"/>
        <v>0</v>
      </c>
      <c r="BS220" s="87">
        <f t="shared" si="3423"/>
        <v>0</v>
      </c>
      <c r="BT220" s="87">
        <f t="shared" si="3424"/>
        <v>0</v>
      </c>
      <c r="BU220" s="88">
        <f t="shared" si="3425"/>
        <v>0</v>
      </c>
      <c r="BV220" s="85">
        <f t="shared" si="3426"/>
        <v>0</v>
      </c>
      <c r="BW220" s="86">
        <f t="shared" si="3427"/>
        <v>0</v>
      </c>
      <c r="BX220" s="87">
        <f t="shared" si="3428"/>
        <v>0</v>
      </c>
      <c r="BY220" s="87">
        <f t="shared" si="3429"/>
        <v>0</v>
      </c>
      <c r="BZ220" s="88">
        <f t="shared" si="3430"/>
        <v>0</v>
      </c>
      <c r="CA220" s="85">
        <f t="shared" si="3431"/>
        <v>0</v>
      </c>
      <c r="CB220" s="86">
        <f t="shared" si="3432"/>
        <v>0</v>
      </c>
      <c r="CC220" s="87">
        <f t="shared" si="3433"/>
        <v>0</v>
      </c>
      <c r="CD220" s="87">
        <f t="shared" si="3434"/>
        <v>0</v>
      </c>
      <c r="CE220" s="88">
        <f t="shared" si="3435"/>
        <v>0</v>
      </c>
      <c r="CF220" s="85">
        <f t="shared" si="3436"/>
        <v>0</v>
      </c>
      <c r="CG220" s="86">
        <f t="shared" si="3437"/>
        <v>0</v>
      </c>
      <c r="CH220" s="87">
        <f t="shared" si="3438"/>
        <v>0</v>
      </c>
      <c r="CI220" s="87">
        <f t="shared" si="3439"/>
        <v>0</v>
      </c>
      <c r="CJ220" s="88">
        <f t="shared" si="3440"/>
        <v>0</v>
      </c>
      <c r="CK220" s="85">
        <f t="shared" si="3441"/>
        <v>0</v>
      </c>
      <c r="CL220" s="86">
        <f t="shared" si="3442"/>
        <v>0</v>
      </c>
      <c r="CM220" s="87">
        <f t="shared" si="3443"/>
        <v>0</v>
      </c>
      <c r="CN220" s="87">
        <f t="shared" si="3444"/>
        <v>0</v>
      </c>
      <c r="CO220" s="88">
        <f t="shared" si="3445"/>
        <v>0</v>
      </c>
      <c r="CP220" s="85">
        <f t="shared" si="3446"/>
        <v>0</v>
      </c>
      <c r="CQ220" s="86">
        <f t="shared" si="3447"/>
        <v>0</v>
      </c>
      <c r="CR220" s="87">
        <f t="shared" si="3448"/>
        <v>0</v>
      </c>
      <c r="CS220" s="87">
        <f t="shared" si="3449"/>
        <v>0</v>
      </c>
      <c r="CT220" s="88">
        <f t="shared" si="3450"/>
        <v>0</v>
      </c>
      <c r="CU220" s="85">
        <f t="shared" si="3451"/>
        <v>0</v>
      </c>
      <c r="CV220" s="86">
        <f t="shared" si="3452"/>
        <v>0</v>
      </c>
      <c r="CW220" s="87">
        <f t="shared" si="3453"/>
        <v>0</v>
      </c>
      <c r="CX220" s="87">
        <f t="shared" si="3454"/>
        <v>0</v>
      </c>
      <c r="CY220" s="88">
        <f t="shared" si="3455"/>
        <v>0</v>
      </c>
      <c r="CZ220" s="85">
        <f t="shared" si="3456"/>
        <v>0</v>
      </c>
    </row>
    <row r="221" spans="1:104" ht="12.75" customHeight="1">
      <c r="A221" s="1817"/>
      <c r="B221" s="1817"/>
      <c r="C221" s="2026" t="s">
        <v>1374</v>
      </c>
      <c r="D221" s="1838"/>
      <c r="E221" s="1839">
        <v>0</v>
      </c>
      <c r="F221" s="1840"/>
      <c r="G221" s="1840"/>
      <c r="H221" s="1516">
        <v>2020</v>
      </c>
      <c r="I221" s="1841">
        <v>0.05</v>
      </c>
      <c r="J221" s="1832">
        <v>7</v>
      </c>
      <c r="L221" s="2001">
        <f t="shared" si="3365"/>
        <v>0</v>
      </c>
      <c r="M221" s="82">
        <f t="shared" ref="M221" si="3457">IF(Q221=0,0,IF(Q221&gt;0,IF($J221=3,Q221,IF($J221=2,Q221,IF($J221=1,Q221,0)))))</f>
        <v>0</v>
      </c>
      <c r="N221" s="83">
        <f t="shared" ref="N221" si="3458">IF(Q221=0,0,IF(Q221&gt;0,IF($J221=6,Q221,IF($J221=5,Q221,IF($J221=4,Q221,0)))))</f>
        <v>0</v>
      </c>
      <c r="O221" s="83">
        <f t="shared" ref="O221" si="3459">IF(Q221=0,0,IF(Q221&gt;0,IF($J221=9,Q221,IF($J221=8,Q221,IF($J221=7,Q221,0)))))</f>
        <v>0</v>
      </c>
      <c r="P221" s="84">
        <f t="shared" ref="P221" si="3460">IF(Q221=0,0,IF(Q221&gt;0,IF($J221=12,Q221,IF($J221=11,Q221,IF($J221=10,Q221,0)))))</f>
        <v>0</v>
      </c>
      <c r="Q221" s="81">
        <f t="shared" si="3370"/>
        <v>0</v>
      </c>
      <c r="R221" s="82">
        <f t="shared" ref="R221" si="3461">IF(V221=0,0,IF(V221&gt;0,IF($J221=3,V221,IF($J221=2,V221,IF($J221=1,V221,0)))))</f>
        <v>0</v>
      </c>
      <c r="S221" s="83">
        <f t="shared" ref="S221" si="3462">IF(V221=0,0,IF(V221&gt;0,IF($J221=6,V221,IF($J221=5,V221,IF($J221=4,V221,0)))))</f>
        <v>0</v>
      </c>
      <c r="T221" s="83">
        <f t="shared" ref="T221" si="3463">IF(V221=0,0,IF(V221&gt;0,IF($J221=9,V221,IF($J221=8,V221,IF($J221=7,V221,0)))))</f>
        <v>0</v>
      </c>
      <c r="U221" s="84">
        <f t="shared" ref="U221" si="3464">IF(V221=0,0,IF(V221&gt;0,IF($J221=12,V221,IF($J221=11,V221,IF($J221=10,V221,0)))))</f>
        <v>0</v>
      </c>
      <c r="V221" s="81">
        <f t="shared" si="3375"/>
        <v>0</v>
      </c>
      <c r="W221" s="82">
        <f t="shared" ref="W221" si="3465">IF(AA221=0,0,IF(AA221&gt;0,IF($J221=3,AA221,IF($J221=2,AA221,IF($J221=1,AA221,0)))))</f>
        <v>0</v>
      </c>
      <c r="X221" s="83">
        <f t="shared" ref="X221" si="3466">IF(AA221=0,0,IF(AA221&gt;0,IF($J221=6,AA221,IF($J221=5,AA221,IF($J221=4,AA221,0)))))</f>
        <v>0</v>
      </c>
      <c r="Y221" s="83">
        <f t="shared" ref="Y221" si="3467">IF(AA221=0,0,IF(AA221&gt;0,IF($J221=9,AA221,IF($J221=8,AA221,IF($J221=7,AA221,0)))))</f>
        <v>0</v>
      </c>
      <c r="Z221" s="84">
        <f t="shared" ref="Z221" si="3468">IF(AA221=0,0,IF(AA221&gt;0,IF($J221=12,AA221,IF($J221=11,AA221,IF($J221=10,AA221,0)))))</f>
        <v>0</v>
      </c>
      <c r="AA221" s="81">
        <f t="shared" si="3380"/>
        <v>0</v>
      </c>
      <c r="AB221" s="82">
        <f t="shared" ref="AB221" si="3469">IF(AF221=0,0,IF(AF221&gt;0,IF($J221=3,AF221,IF($J221=2,AF221,IF($J221=1,AF221,0)))))</f>
        <v>0</v>
      </c>
      <c r="AC221" s="83">
        <f t="shared" ref="AC221" si="3470">IF(AF221=0,0,IF(AF221&gt;0,IF($J221=6,AF221,IF($J221=5,AF221,IF($J221=4,AF221,0)))))</f>
        <v>0</v>
      </c>
      <c r="AD221" s="83">
        <f t="shared" ref="AD221" si="3471">IF(AF221=0,0,IF(AF221&gt;0,IF($J221=9,AF221,IF($J221=8,AF221,IF($J221=7,AF221,0)))))</f>
        <v>0</v>
      </c>
      <c r="AE221" s="84">
        <f t="shared" ref="AE221" si="3472">IF(AF221=0,0,IF(AF221&gt;0,IF($J221=12,AF221,IF($J221=11,AF221,IF($J221=10,AF221,0)))))</f>
        <v>0</v>
      </c>
      <c r="AF221" s="81">
        <f t="shared" si="3385"/>
        <v>0</v>
      </c>
      <c r="AG221" s="82">
        <f t="shared" ref="AG221" si="3473">IF(AK221=0,0,IF(AK221&gt;0,IF($J221=3,AK221,IF($J221=2,AK221,IF($J221=1,AK221,0)))))</f>
        <v>0</v>
      </c>
      <c r="AH221" s="83">
        <f t="shared" ref="AH221" si="3474">IF(AK221=0,0,IF(AK221&gt;0,IF($J221=6,AK221,IF($J221=5,AK221,IF($J221=4,AK221,0)))))</f>
        <v>0</v>
      </c>
      <c r="AI221" s="83">
        <f t="shared" ref="AI221" si="3475">IF(AK221=0,0,IF(AK221&gt;0,IF($J221=9,AK221,IF($J221=8,AK221,IF($J221=7,AK221,0)))))</f>
        <v>0</v>
      </c>
      <c r="AJ221" s="84">
        <f t="shared" ref="AJ221" si="3476">IF(AK221=0,0,IF(AK221&gt;0,IF($J221=12,AK221,IF($J221=11,AK221,IF($J221=10,AK221,0)))))</f>
        <v>0</v>
      </c>
      <c r="AK221" s="81">
        <f t="shared" si="3390"/>
        <v>0</v>
      </c>
      <c r="AL221" s="82">
        <f t="shared" ref="AL221" si="3477">IF(AP221=0,0,IF(AP221&gt;0,IF($J221=3,AP221,IF($J221=2,AP221,IF($J221=1,AP221,0)))))</f>
        <v>0</v>
      </c>
      <c r="AM221" s="83">
        <f t="shared" ref="AM221" si="3478">IF(AP221=0,0,IF(AP221&gt;0,IF($J221=6,AP221,IF($J221=5,AP221,IF($J221=4,AP221,0)))))</f>
        <v>0</v>
      </c>
      <c r="AN221" s="83">
        <f t="shared" ref="AN221" si="3479">IF(AP221=0,0,IF(AP221&gt;0,IF($J221=9,AP221,IF($J221=8,AP221,IF($J221=7,AP221,0)))))</f>
        <v>0</v>
      </c>
      <c r="AO221" s="84">
        <f t="shared" ref="AO221" si="3480">IF(AP221=0,0,IF(AP221&gt;0,IF($J221=12,AP221,IF($J221=11,AP221,IF($J221=10,AP221,0)))))</f>
        <v>0</v>
      </c>
      <c r="AP221" s="81">
        <f t="shared" si="3395"/>
        <v>0</v>
      </c>
      <c r="AQ221" s="82">
        <f t="shared" ref="AQ221" si="3481">IF(AU221=0,0,IF(AU221&gt;0,IF($J221=3,AU221,IF($J221=2,AU221,IF($J221=1,AU221,0)))))</f>
        <v>0</v>
      </c>
      <c r="AR221" s="83">
        <f t="shared" ref="AR221" si="3482">IF(AU221=0,0,IF(AU221&gt;0,IF($J221=6,AU221,IF($J221=5,AU221,IF($J221=4,AU221,0)))))</f>
        <v>0</v>
      </c>
      <c r="AS221" s="83">
        <f t="shared" ref="AS221" si="3483">IF(AU221=0,0,IF(AU221&gt;0,IF($J221=9,AU221,IF($J221=8,AU221,IF($J221=7,AU221,0)))))</f>
        <v>0</v>
      </c>
      <c r="AT221" s="84">
        <f t="shared" ref="AT221" si="3484">IF(AU221=0,0,IF(AU221&gt;0,IF($J221=12,AU221,IF($J221=11,AU221,IF($J221=10,AU221,0)))))</f>
        <v>0</v>
      </c>
      <c r="AU221" s="81">
        <f t="shared" si="3400"/>
        <v>0</v>
      </c>
      <c r="AV221" s="82">
        <f t="shared" ref="AV221" si="3485">IF(AZ221=0,0,IF(AZ221&gt;0,IF($J221=3,AZ221,IF($J221=2,AZ221,IF($J221=1,AZ221,0)))))</f>
        <v>0</v>
      </c>
      <c r="AW221" s="83">
        <f t="shared" ref="AW221" si="3486">IF(AZ221=0,0,IF(AZ221&gt;0,IF($J221=6,AZ221,IF($J221=5,AZ221,IF($J221=4,AZ221,0)))))</f>
        <v>0</v>
      </c>
      <c r="AX221" s="83">
        <f t="shared" ref="AX221" si="3487">IF(AZ221=0,0,IF(AZ221&gt;0,IF($J221=9,AZ221,IF($J221=8,AZ221,IF($J221=7,AZ221,0)))))</f>
        <v>0</v>
      </c>
      <c r="AY221" s="84">
        <f t="shared" ref="AY221" si="3488">IF(AZ221=0,0,IF(AZ221&gt;0,IF($J221=12,AZ221,IF($J221=11,AZ221,IF($J221=10,AZ221,0)))))</f>
        <v>0</v>
      </c>
      <c r="AZ221" s="81">
        <f t="shared" si="3405"/>
        <v>0</v>
      </c>
      <c r="BA221" s="82">
        <f t="shared" si="3406"/>
        <v>0</v>
      </c>
      <c r="BB221" s="83">
        <f t="shared" si="3407"/>
        <v>0</v>
      </c>
      <c r="BC221" s="83">
        <f t="shared" si="3408"/>
        <v>0</v>
      </c>
      <c r="BD221" s="84">
        <f t="shared" si="3409"/>
        <v>0</v>
      </c>
      <c r="BE221" s="81">
        <f t="shared" si="3410"/>
        <v>0</v>
      </c>
      <c r="BF221" s="1884"/>
      <c r="BG221" s="2005">
        <f t="shared" ref="BG221" si="3489">IF(AND(BF221&lt;&gt;0,BF$5=$H221),$I221*$E221-BF221,IF(BG$5=$H221,$I221*$E221*(12-$J221+1)/12,0))</f>
        <v>0</v>
      </c>
      <c r="BH221" s="86">
        <f t="shared" ref="BH221" si="3490">IF($H221&lt;&gt;BL$5,0,IF(BL221&gt;0,IF($J221=1,$E221*$I221/12*3,IF($J221=2,$E221*$I221/12*2,IF($J221=3,$E221*$I221/12*1,0)))))+IF(BG$5&lt;&gt;$H221,0,IF(BG221&gt;0,IF($J221=1,$E221*$I221/12*0,IF($J221=2,$E221*$I221/12*1,IF($J221=3,$E221*$I221/12*2,IF($J221&gt;=4,$E221*$I221/12*3,0))))))</f>
        <v>0</v>
      </c>
      <c r="BI221" s="87">
        <f t="shared" ref="BI221" si="3491">IF($H221&lt;&gt;BL$5,0,IF(BL221&gt;0,IF(OR($J221=1,$J221=2,$J221=3,$J221=4),$E221*$I221/12*3,IF($J221=5,$E221*$I221/12*2,IF($J221=6,$E221*$I221/12*1,0)))))+IF(BG$5&lt;&gt;$H221,0,IF(BG221&gt;0,IF($J221=4,$E221*$I221/12*0,IF($J221=5,$E221*$I221/12*1,IF($J221=6,$E221*$I221/12*2,IF($J221&gt;=7,$E221*$I221/12*3,0))))))</f>
        <v>0</v>
      </c>
      <c r="BJ221" s="87">
        <f t="shared" ref="BJ221" si="3492">IF($H221&lt;&gt;BL$5,0,IF(BL221&gt;0,IF(OR($J221=1,$J221=2,$J221=3,$J221=4,$J221=5,$J221=6,$J221=7),$E221*$I221/12*3,IF($J221=8,$E221*$I221/12*2,IF($J221=9,$E221*$I221/12*1,0)))))+IF(BG$5&lt;&gt;$H221,0,IF(BG221&gt;0,IF($J221=7,$E221*$I221/12*0,IF($J221=8,$E221*$I221/12*1,IF($J221=9,$E221*$I221/12*2,IF($J221&gt;=10,$E221*$I221/12*3,0))))))</f>
        <v>0</v>
      </c>
      <c r="BK221" s="88">
        <f t="shared" ref="BK221" si="3493">IF($H221&lt;&gt;BL$5,0,IF(BL221&gt;0,IF(OR($J221=1,$J221=2,$J221=3,$J221=4,$J221=5,$J221=6,$J221=7,$J221=8,$J221=9,$J221=10),$E221*$I221/12*3,IF($J221=11,$E221*$I221/12*2,IF($J221=12,$E221*$I221/12*1,0)))))+IF(BG$5&lt;&gt;$H221,0,IF(BG221&gt;0,IF($J221=10,$E221*$I221/12*0,IF($J221=11,$E221*$I221/12*1,IF($J221=12,$E221*$I221/12*2,0)))))</f>
        <v>0</v>
      </c>
      <c r="BL221" s="85">
        <f t="shared" ref="BL221" si="3494">IF(AND(BG221&lt;&gt;0,BG$5=$H221),$I221*$E221-BG221,IF(BL$5=$H221,$I221*$E221*(12-$J221+1)/12,0))</f>
        <v>0</v>
      </c>
      <c r="BM221" s="86">
        <f t="shared" ref="BM221" si="3495">IF($H221&lt;&gt;BQ$5,0,IF(BQ221&gt;0,IF($J221=1,$E221*$I221/12*3,IF($J221=2,$E221*$I221/12*2,IF($J221=3,$E221*$I221/12*1,0)))))+IF(BL$5&lt;&gt;$H221,0,IF(BL221&gt;0,IF($J221=1,$E221*$I221/12*0,IF($J221=2,$E221*$I221/12*1,IF($J221=3,$E221*$I221/12*2,IF($J221&gt;=4,$E221*$I221/12*3,0))))))</f>
        <v>0</v>
      </c>
      <c r="BN221" s="87">
        <f t="shared" ref="BN221" si="3496">IF($H221&lt;&gt;BQ$5,0,IF(BQ221&gt;0,IF(OR($J221=1,$J221=2,$J221=3,$J221=4),$E221*$I221/12*3,IF($J221=5,$E221*$I221/12*2,IF($J221=6,$E221*$I221/12*1,0)))))+IF(BL$5&lt;&gt;$H221,0,IF(BL221&gt;0,IF($J221=4,$E221*$I221/12*0,IF($J221=5,$E221*$I221/12*1,IF($J221=6,$E221*$I221/12*2,IF($J221&gt;=7,$E221*$I221/12*3,0))))))</f>
        <v>0</v>
      </c>
      <c r="BO221" s="87">
        <f t="shared" ref="BO221" si="3497">IF($H221&lt;&gt;BQ$5,0,IF(BQ221&gt;0,IF(OR($J221=1,$J221=2,$J221=3,$J221=4,$J221=5,$J221=6,$J221=7),$E221*$I221/12*3,IF($J221=8,$E221*$I221/12*2,IF($J221=9,$E221*$I221/12*1,0)))))+IF(BL$5&lt;&gt;$H221,0,IF(BL221&gt;0,IF($J221=7,$E221*$I221/12*0,IF($J221=8,$E221*$I221/12*1,IF($J221=9,$E221*$I221/12*2,IF($J221&gt;=10,$E221*$I221/12*3,0))))))</f>
        <v>0</v>
      </c>
      <c r="BP221" s="88">
        <f t="shared" ref="BP221" si="3498">IF($H221&lt;&gt;BQ$5,0,IF(BQ221&gt;0,IF(OR($J221=1,$J221=2,$J221=3,$J221=4,$J221=5,$J221=6,$J221=7,$J221=8,$J221=9,$J221=10),$E221*$I221/12*3,IF($J221=11,$E221*$I221/12*2,IF($J221=12,$E221*$I221/12*1,0)))))+IF(BL$5&lt;&gt;$H221,0,IF(BL221&gt;0,IF($J221=10,$E221*$I221/12*0,IF($J221=11,$E221*$I221/12*1,IF($J221=12,$E221*$I221/12*2,0)))))</f>
        <v>0</v>
      </c>
      <c r="BQ221" s="85">
        <f t="shared" ref="BQ221" si="3499">IF(AND(BL221&lt;&gt;0,BL$5=$H221),$I221*$E221-BL221,IF(BQ$5=$H221,$I221*$E221*(12-$J221+1)/12,0))</f>
        <v>0</v>
      </c>
      <c r="BR221" s="86">
        <f t="shared" ref="BR221" si="3500">IF($H221&lt;&gt;BV$5,0,IF(BV221&gt;0,IF($J221=1,$E221*$I221/12*3,IF($J221=2,$E221*$I221/12*2,IF($J221=3,$E221*$I221/12*1,0)))))+IF(BQ$5&lt;&gt;$H221,0,IF(BQ221&gt;0,IF($J221=1,$E221*$I221/12*0,IF($J221=2,$E221*$I221/12*1,IF($J221=3,$E221*$I221/12*2,IF($J221&gt;=4,$E221*$I221/12*3,0))))))</f>
        <v>0</v>
      </c>
      <c r="BS221" s="87">
        <f t="shared" ref="BS221" si="3501">IF($H221&lt;&gt;BV$5,0,IF(BV221&gt;0,IF(OR($J221=1,$J221=2,$J221=3,$J221=4),$E221*$I221/12*3,IF($J221=5,$E221*$I221/12*2,IF($J221=6,$E221*$I221/12*1,0)))))+IF(BQ$5&lt;&gt;$H221,0,IF(BQ221&gt;0,IF($J221=4,$E221*$I221/12*0,IF($J221=5,$E221*$I221/12*1,IF($J221=6,$E221*$I221/12*2,IF($J221&gt;=7,$E221*$I221/12*3,0))))))</f>
        <v>0</v>
      </c>
      <c r="BT221" s="87">
        <f t="shared" ref="BT221" si="3502">IF($H221&lt;&gt;BV$5,0,IF(BV221&gt;0,IF(OR($J221=1,$J221=2,$J221=3,$J221=4,$J221=5,$J221=6,$J221=7),$E221*$I221/12*3,IF($J221=8,$E221*$I221/12*2,IF($J221=9,$E221*$I221/12*1,0)))))+IF(BQ$5&lt;&gt;$H221,0,IF(BQ221&gt;0,IF($J221=7,$E221*$I221/12*0,IF($J221=8,$E221*$I221/12*1,IF($J221=9,$E221*$I221/12*2,IF($J221&gt;=10,$E221*$I221/12*3,0))))))</f>
        <v>0</v>
      </c>
      <c r="BU221" s="88">
        <f t="shared" ref="BU221" si="3503">IF($H221&lt;&gt;BV$5,0,IF(BV221&gt;0,IF(OR($J221=1,$J221=2,$J221=3,$J221=4,$J221=5,$J221=6,$J221=7,$J221=8,$J221=9,$J221=10),$E221*$I221/12*3,IF($J221=11,$E221*$I221/12*2,IF($J221=12,$E221*$I221/12*1,0)))))+IF(BQ$5&lt;&gt;$H221,0,IF(BQ221&gt;0,IF($J221=10,$E221*$I221/12*0,IF($J221=11,$E221*$I221/12*1,IF($J221=12,$E221*$I221/12*2,0)))))</f>
        <v>0</v>
      </c>
      <c r="BV221" s="85">
        <f t="shared" ref="BV221" si="3504">IF(AND(BQ221&lt;&gt;0,BQ$5=$H221),$I221*$E221-BQ221,IF(BV$5=$H221,$I221*$E221*(12-$J221+1)/12,0))</f>
        <v>0</v>
      </c>
      <c r="BW221" s="86">
        <f t="shared" ref="BW221" si="3505">IF($H221&lt;&gt;CA$5,0,IF(CA221&gt;0,IF($J221=1,$E221*$I221/12*3,IF($J221=2,$E221*$I221/12*2,IF($J221=3,$E221*$I221/12*1,0)))))+IF(BV$5&lt;&gt;$H221,0,IF(BV221&gt;0,IF($J221=1,$E221*$I221/12*0,IF($J221=2,$E221*$I221/12*1,IF($J221=3,$E221*$I221/12*2,IF($J221&gt;=4,$E221*$I221/12*3,0))))))</f>
        <v>0</v>
      </c>
      <c r="BX221" s="87">
        <f t="shared" ref="BX221" si="3506">IF($H221&lt;&gt;CA$5,0,IF(CA221&gt;0,IF(OR($J221=1,$J221=2,$J221=3,$J221=4),$E221*$I221/12*3,IF($J221=5,$E221*$I221/12*2,IF($J221=6,$E221*$I221/12*1,0)))))+IF(BV$5&lt;&gt;$H221,0,IF(BV221&gt;0,IF($J221=4,$E221*$I221/12*0,IF($J221=5,$E221*$I221/12*1,IF($J221=6,$E221*$I221/12*2,IF($J221&gt;=7,$E221*$I221/12*3,0))))))</f>
        <v>0</v>
      </c>
      <c r="BY221" s="87">
        <f t="shared" ref="BY221" si="3507">IF($H221&lt;&gt;CA$5,0,IF(CA221&gt;0,IF(OR($J221=1,$J221=2,$J221=3,$J221=4,$J221=5,$J221=6,$J221=7),$E221*$I221/12*3,IF($J221=8,$E221*$I221/12*2,IF($J221=9,$E221*$I221/12*1,0)))))+IF(BV$5&lt;&gt;$H221,0,IF(BV221&gt;0,IF($J221=7,$E221*$I221/12*0,IF($J221=8,$E221*$I221/12*1,IF($J221=9,$E221*$I221/12*2,IF($J221&gt;=10,$E221*$I221/12*3,0))))))</f>
        <v>0</v>
      </c>
      <c r="BZ221" s="88">
        <f t="shared" ref="BZ221" si="3508">IF($H221&lt;&gt;CA$5,0,IF(CA221&gt;0,IF(OR($J221=1,$J221=2,$J221=3,$J221=4,$J221=5,$J221=6,$J221=7,$J221=8,$J221=9,$J221=10),$E221*$I221/12*3,IF($J221=11,$E221*$I221/12*2,IF($J221=12,$E221*$I221/12*1,0)))))+IF(BV$5&lt;&gt;$H221,0,IF(BV221&gt;0,IF($J221=10,$E221*$I221/12*0,IF($J221=11,$E221*$I221/12*1,IF($J221=12,$E221*$I221/12*2,0)))))</f>
        <v>0</v>
      </c>
      <c r="CA221" s="85">
        <f t="shared" ref="CA221" si="3509">IF(AND(BV221&lt;&gt;0,BV$5=$H221),$I221*$E221-BV221,IF(CA$5=$H221,$I221*$E221*(12-$J221+1)/12,0))</f>
        <v>0</v>
      </c>
      <c r="CB221" s="86">
        <f t="shared" ref="CB221" si="3510">IF($H221&lt;&gt;CF$5,0,IF(CF221&gt;0,IF($J221=1,$E221*$I221/12*3,IF($J221=2,$E221*$I221/12*2,IF($J221=3,$E221*$I221/12*1,0)))))+IF(CA$5&lt;&gt;$H221,0,IF(CA221&gt;0,IF($J221=1,$E221*$I221/12*0,IF($J221=2,$E221*$I221/12*1,IF($J221=3,$E221*$I221/12*2,IF($J221&gt;=4,$E221*$I221/12*3,0))))))</f>
        <v>0</v>
      </c>
      <c r="CC221" s="87">
        <f t="shared" ref="CC221" si="3511">IF($H221&lt;&gt;CF$5,0,IF(CF221&gt;0,IF(OR($J221=1,$J221=2,$J221=3,$J221=4),$E221*$I221/12*3,IF($J221=5,$E221*$I221/12*2,IF($J221=6,$E221*$I221/12*1,0)))))+IF(CA$5&lt;&gt;$H221,0,IF(CA221&gt;0,IF($J221=4,$E221*$I221/12*0,IF($J221=5,$E221*$I221/12*1,IF($J221=6,$E221*$I221/12*2,IF($J221&gt;=7,$E221*$I221/12*3,0))))))</f>
        <v>0</v>
      </c>
      <c r="CD221" s="87">
        <f t="shared" ref="CD221" si="3512">IF($H221&lt;&gt;CF$5,0,IF(CF221&gt;0,IF(OR($J221=1,$J221=2,$J221=3,$J221=4,$J221=5,$J221=6,$J221=7),$E221*$I221/12*3,IF($J221=8,$E221*$I221/12*2,IF($J221=9,$E221*$I221/12*1,0)))))+IF(CA$5&lt;&gt;$H221,0,IF(CA221&gt;0,IF($J221=7,$E221*$I221/12*0,IF($J221=8,$E221*$I221/12*1,IF($J221=9,$E221*$I221/12*2,IF($J221&gt;=10,$E221*$I221/12*3,0))))))</f>
        <v>0</v>
      </c>
      <c r="CE221" s="88">
        <f t="shared" ref="CE221" si="3513">IF($H221&lt;&gt;CF$5,0,IF(CF221&gt;0,IF(OR($J221=1,$J221=2,$J221=3,$J221=4,$J221=5,$J221=6,$J221=7,$J221=8,$J221=9,$J221=10),$E221*$I221/12*3,IF($J221=11,$E221*$I221/12*2,IF($J221=12,$E221*$I221/12*1,0)))))+IF(CA$5&lt;&gt;$H221,0,IF(CA221&gt;0,IF($J221=10,$E221*$I221/12*0,IF($J221=11,$E221*$I221/12*1,IF($J221=12,$E221*$I221/12*2,0)))))</f>
        <v>0</v>
      </c>
      <c r="CF221" s="85">
        <f t="shared" ref="CF221" si="3514">IF(AND(CA221&lt;&gt;0,CA$5=$H221),$I221*$E221-CA221,IF(CF$5=$H221,$I221*$E221*(12-$J221+1)/12,0))</f>
        <v>0</v>
      </c>
      <c r="CG221" s="86">
        <f t="shared" ref="CG221" si="3515">IF($H221&lt;&gt;CK$5,0,IF(CK221&gt;0,IF($J221=1,$E221*$I221/12*3,IF($J221=2,$E221*$I221/12*2,IF($J221=3,$E221*$I221/12*1,0)))))+IF(CF$5&lt;&gt;$H221,0,IF(CF221&gt;0,IF($J221=1,$E221*$I221/12*0,IF($J221=2,$E221*$I221/12*1,IF($J221=3,$E221*$I221/12*2,IF($J221&gt;=4,$E221*$I221/12*3,0))))))</f>
        <v>0</v>
      </c>
      <c r="CH221" s="87">
        <f t="shared" ref="CH221" si="3516">IF($H221&lt;&gt;CK$5,0,IF(CK221&gt;0,IF(OR($J221=1,$J221=2,$J221=3,$J221=4),$E221*$I221/12*3,IF($J221=5,$E221*$I221/12*2,IF($J221=6,$E221*$I221/12*1,0)))))+IF(CF$5&lt;&gt;$H221,0,IF(CF221&gt;0,IF($J221=4,$E221*$I221/12*0,IF($J221=5,$E221*$I221/12*1,IF($J221=6,$E221*$I221/12*2,IF($J221&gt;=7,$E221*$I221/12*3,0))))))</f>
        <v>0</v>
      </c>
      <c r="CI221" s="87">
        <f t="shared" ref="CI221" si="3517">IF($H221&lt;&gt;CK$5,0,IF(CK221&gt;0,IF(OR($J221=1,$J221=2,$J221=3,$J221=4,$J221=5,$J221=6,$J221=7),$E221*$I221/12*3,IF($J221=8,$E221*$I221/12*2,IF($J221=9,$E221*$I221/12*1,0)))))+IF(CF$5&lt;&gt;$H221,0,IF(CF221&gt;0,IF($J221=7,$E221*$I221/12*0,IF($J221=8,$E221*$I221/12*1,IF($J221=9,$E221*$I221/12*2,IF($J221&gt;=10,$E221*$I221/12*3,0))))))</f>
        <v>0</v>
      </c>
      <c r="CJ221" s="88">
        <f t="shared" ref="CJ221" si="3518">IF($H221&lt;&gt;CK$5,0,IF(CK221&gt;0,IF(OR($J221=1,$J221=2,$J221=3,$J221=4,$J221=5,$J221=6,$J221=7,$J221=8,$J221=9,$J221=10),$E221*$I221/12*3,IF($J221=11,$E221*$I221/12*2,IF($J221=12,$E221*$I221/12*1,0)))))+IF(CF$5&lt;&gt;$H221,0,IF(CF221&gt;0,IF($J221=10,$E221*$I221/12*0,IF($J221=11,$E221*$I221/12*1,IF($J221=12,$E221*$I221/12*2,0)))))</f>
        <v>0</v>
      </c>
      <c r="CK221" s="85">
        <f t="shared" ref="CK221" si="3519">IF(AND(CF221&lt;&gt;0,CF$5=$H221),$I221*$E221-CF221,IF(CK$5=$H221,$I221*$E221*(12-$J221+1)/12,0))</f>
        <v>0</v>
      </c>
      <c r="CL221" s="86">
        <f t="shared" ref="CL221" si="3520">IF($H221&lt;&gt;CP$5,0,IF(CP221&gt;0,IF($J221=1,$E221*$I221/12*3,IF($J221=2,$E221*$I221/12*2,IF($J221=3,$E221*$I221/12*1,0)))))+IF(CK$5&lt;&gt;$H221,0,IF(CK221&gt;0,IF($J221=1,$E221*$I221/12*0,IF($J221=2,$E221*$I221/12*1,IF($J221=3,$E221*$I221/12*2,IF($J221&gt;=4,$E221*$I221/12*3,0))))))</f>
        <v>0</v>
      </c>
      <c r="CM221" s="87">
        <f t="shared" ref="CM221" si="3521">IF($H221&lt;&gt;CP$5,0,IF(CP221&gt;0,IF(OR($J221=1,$J221=2,$J221=3,$J221=4),$E221*$I221/12*3,IF($J221=5,$E221*$I221/12*2,IF($J221=6,$E221*$I221/12*1,0)))))+IF(CK$5&lt;&gt;$H221,0,IF(CK221&gt;0,IF($J221=4,$E221*$I221/12*0,IF($J221=5,$E221*$I221/12*1,IF($J221=6,$E221*$I221/12*2,IF($J221&gt;=7,$E221*$I221/12*3,0))))))</f>
        <v>0</v>
      </c>
      <c r="CN221" s="87">
        <f t="shared" ref="CN221" si="3522">IF($H221&lt;&gt;CP$5,0,IF(CP221&gt;0,IF(OR($J221=1,$J221=2,$J221=3,$J221=4,$J221=5,$J221=6,$J221=7),$E221*$I221/12*3,IF($J221=8,$E221*$I221/12*2,IF($J221=9,$E221*$I221/12*1,0)))))+IF(CK$5&lt;&gt;$H221,0,IF(CK221&gt;0,IF($J221=7,$E221*$I221/12*0,IF($J221=8,$E221*$I221/12*1,IF($J221=9,$E221*$I221/12*2,IF($J221&gt;=10,$E221*$I221/12*3,0))))))</f>
        <v>0</v>
      </c>
      <c r="CO221" s="88">
        <f t="shared" ref="CO221" si="3523">IF($H221&lt;&gt;CP$5,0,IF(CP221&gt;0,IF(OR($J221=1,$J221=2,$J221=3,$J221=4,$J221=5,$J221=6,$J221=7,$J221=8,$J221=9,$J221=10),$E221*$I221/12*3,IF($J221=11,$E221*$I221/12*2,IF($J221=12,$E221*$I221/12*1,0)))))+IF(CK$5&lt;&gt;$H221,0,IF(CK221&gt;0,IF($J221=10,$E221*$I221/12*0,IF($J221=11,$E221*$I221/12*1,IF($J221=12,$E221*$I221/12*2,0)))))</f>
        <v>0</v>
      </c>
      <c r="CP221" s="85">
        <f t="shared" ref="CP221" si="3524">IF(AND(CK221&lt;&gt;0,CK$5=$H221),$I221*$E221-CK221,IF(CP$5=$H221,$I221*$E221*(12-$J221+1)/12,0))</f>
        <v>0</v>
      </c>
      <c r="CQ221" s="86">
        <f t="shared" ref="CQ221" si="3525">IF($H221&lt;&gt;CU$5,0,IF(CU221&gt;0,IF($J221=1,$E221*$I221/12*3,IF($J221=2,$E221*$I221/12*2,IF($J221=3,$E221*$I221/12*1,0)))))+IF(CP$5&lt;&gt;$H221,0,IF(CP221&gt;0,IF($J221=1,$E221*$I221/12*0,IF($J221=2,$E221*$I221/12*1,IF($J221=3,$E221*$I221/12*2,IF($J221&gt;=4,$E221*$I221/12*3,0))))))</f>
        <v>0</v>
      </c>
      <c r="CR221" s="87">
        <f t="shared" ref="CR221" si="3526">IF($H221&lt;&gt;CU$5,0,IF(CU221&gt;0,IF(OR($J221=1,$J221=2,$J221=3,$J221=4),$E221*$I221/12*3,IF($J221=5,$E221*$I221/12*2,IF($J221=6,$E221*$I221/12*1,0)))))+IF(CP$5&lt;&gt;$H221,0,IF(CP221&gt;0,IF($J221=4,$E221*$I221/12*0,IF($J221=5,$E221*$I221/12*1,IF($J221=6,$E221*$I221/12*2,IF($J221&gt;=7,$E221*$I221/12*3,0))))))</f>
        <v>0</v>
      </c>
      <c r="CS221" s="87">
        <f t="shared" ref="CS221" si="3527">IF($H221&lt;&gt;CU$5,0,IF(CU221&gt;0,IF(OR($J221=1,$J221=2,$J221=3,$J221=4,$J221=5,$J221=6,$J221=7),$E221*$I221/12*3,IF($J221=8,$E221*$I221/12*2,IF($J221=9,$E221*$I221/12*1,0)))))+IF(CP$5&lt;&gt;$H221,0,IF(CP221&gt;0,IF($J221=7,$E221*$I221/12*0,IF($J221=8,$E221*$I221/12*1,IF($J221=9,$E221*$I221/12*2,IF($J221&gt;=10,$E221*$I221/12*3,0))))))</f>
        <v>0</v>
      </c>
      <c r="CT221" s="88">
        <f t="shared" ref="CT221" si="3528">IF($H221&lt;&gt;CU$5,0,IF(CU221&gt;0,IF(OR($J221=1,$J221=2,$J221=3,$J221=4,$J221=5,$J221=6,$J221=7,$J221=8,$J221=9,$J221=10),$E221*$I221/12*3,IF($J221=11,$E221*$I221/12*2,IF($J221=12,$E221*$I221/12*1,0)))))+IF(CP$5&lt;&gt;$H221,0,IF(CP221&gt;0,IF($J221=10,$E221*$I221/12*0,IF($J221=11,$E221*$I221/12*1,IF($J221=12,$E221*$I221/12*2,0)))))</f>
        <v>0</v>
      </c>
      <c r="CU221" s="85">
        <f t="shared" ref="CU221" si="3529">IF(AND(CP221&lt;&gt;0,CP$5=$H221),$I221*$E221-CP221,IF(CU$5=$H221,$I221*$E221*(12-$J221+1)/12,0))</f>
        <v>0</v>
      </c>
      <c r="CV221" s="86">
        <f t="shared" si="3452"/>
        <v>0</v>
      </c>
      <c r="CW221" s="87">
        <f t="shared" si="3453"/>
        <v>0</v>
      </c>
      <c r="CX221" s="87">
        <f t="shared" si="3454"/>
        <v>0</v>
      </c>
      <c r="CY221" s="88">
        <f t="shared" si="3455"/>
        <v>0</v>
      </c>
      <c r="CZ221" s="85">
        <f t="shared" si="3456"/>
        <v>0</v>
      </c>
    </row>
    <row r="222" spans="1:104" ht="12.75" customHeight="1">
      <c r="A222" s="1817"/>
      <c r="B222" s="1817"/>
      <c r="C222" s="2026" t="s">
        <v>1522</v>
      </c>
      <c r="D222" s="1838"/>
      <c r="E222" s="1839">
        <v>0</v>
      </c>
      <c r="F222" s="1840"/>
      <c r="G222" s="1840"/>
      <c r="H222" s="1516">
        <v>2021</v>
      </c>
      <c r="I222" s="1841">
        <v>0.05</v>
      </c>
      <c r="J222" s="1832">
        <v>7</v>
      </c>
      <c r="L222" s="2001">
        <f t="shared" si="3365"/>
        <v>0</v>
      </c>
      <c r="M222" s="82">
        <f t="shared" si="3366"/>
        <v>0</v>
      </c>
      <c r="N222" s="83">
        <f t="shared" si="3367"/>
        <v>0</v>
      </c>
      <c r="O222" s="83">
        <f t="shared" si="3368"/>
        <v>0</v>
      </c>
      <c r="P222" s="84">
        <f t="shared" si="3369"/>
        <v>0</v>
      </c>
      <c r="Q222" s="81">
        <f t="shared" si="3370"/>
        <v>0</v>
      </c>
      <c r="R222" s="82">
        <f t="shared" si="3371"/>
        <v>0</v>
      </c>
      <c r="S222" s="83">
        <f t="shared" si="3372"/>
        <v>0</v>
      </c>
      <c r="T222" s="83">
        <f t="shared" si="3373"/>
        <v>0</v>
      </c>
      <c r="U222" s="84">
        <f t="shared" si="3374"/>
        <v>0</v>
      </c>
      <c r="V222" s="81">
        <f t="shared" si="3375"/>
        <v>0</v>
      </c>
      <c r="W222" s="82">
        <f t="shared" si="3376"/>
        <v>0</v>
      </c>
      <c r="X222" s="83">
        <f t="shared" si="3377"/>
        <v>0</v>
      </c>
      <c r="Y222" s="83">
        <f t="shared" si="3378"/>
        <v>0</v>
      </c>
      <c r="Z222" s="84">
        <f t="shared" si="3379"/>
        <v>0</v>
      </c>
      <c r="AA222" s="81">
        <f t="shared" si="3380"/>
        <v>0</v>
      </c>
      <c r="AB222" s="82">
        <f t="shared" si="3381"/>
        <v>0</v>
      </c>
      <c r="AC222" s="83">
        <f t="shared" si="3382"/>
        <v>0</v>
      </c>
      <c r="AD222" s="83">
        <f t="shared" si="3383"/>
        <v>0</v>
      </c>
      <c r="AE222" s="84">
        <f t="shared" si="3384"/>
        <v>0</v>
      </c>
      <c r="AF222" s="81">
        <f t="shared" si="3385"/>
        <v>0</v>
      </c>
      <c r="AG222" s="82">
        <f t="shared" si="3386"/>
        <v>0</v>
      </c>
      <c r="AH222" s="83">
        <f t="shared" si="3387"/>
        <v>0</v>
      </c>
      <c r="AI222" s="83">
        <f t="shared" si="3388"/>
        <v>0</v>
      </c>
      <c r="AJ222" s="84">
        <f t="shared" si="3389"/>
        <v>0</v>
      </c>
      <c r="AK222" s="81">
        <f t="shared" si="3390"/>
        <v>0</v>
      </c>
      <c r="AL222" s="82">
        <f t="shared" si="3391"/>
        <v>0</v>
      </c>
      <c r="AM222" s="83">
        <f t="shared" si="3392"/>
        <v>0</v>
      </c>
      <c r="AN222" s="83">
        <f t="shared" si="3393"/>
        <v>0</v>
      </c>
      <c r="AO222" s="84">
        <f t="shared" si="3394"/>
        <v>0</v>
      </c>
      <c r="AP222" s="81">
        <f t="shared" si="3395"/>
        <v>0</v>
      </c>
      <c r="AQ222" s="82">
        <f t="shared" si="3396"/>
        <v>0</v>
      </c>
      <c r="AR222" s="83">
        <f t="shared" si="3397"/>
        <v>0</v>
      </c>
      <c r="AS222" s="83">
        <f t="shared" si="3398"/>
        <v>0</v>
      </c>
      <c r="AT222" s="84">
        <f t="shared" si="3399"/>
        <v>0</v>
      </c>
      <c r="AU222" s="81">
        <f t="shared" si="3400"/>
        <v>0</v>
      </c>
      <c r="AV222" s="82">
        <f t="shared" si="3401"/>
        <v>0</v>
      </c>
      <c r="AW222" s="83">
        <f t="shared" si="3402"/>
        <v>0</v>
      </c>
      <c r="AX222" s="83">
        <f t="shared" si="3403"/>
        <v>0</v>
      </c>
      <c r="AY222" s="84">
        <f t="shared" si="3404"/>
        <v>0</v>
      </c>
      <c r="AZ222" s="81">
        <f t="shared" si="3405"/>
        <v>0</v>
      </c>
      <c r="BA222" s="82">
        <f t="shared" si="3406"/>
        <v>0</v>
      </c>
      <c r="BB222" s="83">
        <f t="shared" si="3407"/>
        <v>0</v>
      </c>
      <c r="BC222" s="83">
        <f t="shared" si="3408"/>
        <v>0</v>
      </c>
      <c r="BD222" s="84">
        <f t="shared" si="3409"/>
        <v>0</v>
      </c>
      <c r="BE222" s="81">
        <f t="shared" si="3410"/>
        <v>0</v>
      </c>
      <c r="BF222" s="1884"/>
      <c r="BG222" s="2005">
        <f t="shared" si="3411"/>
        <v>0</v>
      </c>
      <c r="BH222" s="86">
        <f t="shared" si="3412"/>
        <v>0</v>
      </c>
      <c r="BI222" s="87">
        <f t="shared" si="3413"/>
        <v>0</v>
      </c>
      <c r="BJ222" s="87">
        <f t="shared" si="3414"/>
        <v>0</v>
      </c>
      <c r="BK222" s="88">
        <f t="shared" si="3415"/>
        <v>0</v>
      </c>
      <c r="BL222" s="85">
        <f t="shared" si="3416"/>
        <v>0</v>
      </c>
      <c r="BM222" s="86">
        <f t="shared" si="3417"/>
        <v>0</v>
      </c>
      <c r="BN222" s="87">
        <f t="shared" si="3418"/>
        <v>0</v>
      </c>
      <c r="BO222" s="87">
        <f t="shared" si="3419"/>
        <v>0</v>
      </c>
      <c r="BP222" s="88">
        <f t="shared" si="3420"/>
        <v>0</v>
      </c>
      <c r="BQ222" s="85">
        <f t="shared" si="3421"/>
        <v>0</v>
      </c>
      <c r="BR222" s="86">
        <f t="shared" si="3422"/>
        <v>0</v>
      </c>
      <c r="BS222" s="87">
        <f t="shared" si="3423"/>
        <v>0</v>
      </c>
      <c r="BT222" s="87">
        <f t="shared" si="3424"/>
        <v>0</v>
      </c>
      <c r="BU222" s="88">
        <f t="shared" si="3425"/>
        <v>0</v>
      </c>
      <c r="BV222" s="85">
        <f t="shared" si="3426"/>
        <v>0</v>
      </c>
      <c r="BW222" s="86">
        <f t="shared" si="3427"/>
        <v>0</v>
      </c>
      <c r="BX222" s="87">
        <f t="shared" si="3428"/>
        <v>0</v>
      </c>
      <c r="BY222" s="87">
        <f t="shared" si="3429"/>
        <v>0</v>
      </c>
      <c r="BZ222" s="88">
        <f t="shared" si="3430"/>
        <v>0</v>
      </c>
      <c r="CA222" s="85">
        <f t="shared" si="3431"/>
        <v>0</v>
      </c>
      <c r="CB222" s="86">
        <f t="shared" si="3432"/>
        <v>0</v>
      </c>
      <c r="CC222" s="87">
        <f t="shared" si="3433"/>
        <v>0</v>
      </c>
      <c r="CD222" s="87">
        <f t="shared" si="3434"/>
        <v>0</v>
      </c>
      <c r="CE222" s="88">
        <f t="shared" si="3435"/>
        <v>0</v>
      </c>
      <c r="CF222" s="85">
        <f t="shared" si="3436"/>
        <v>0</v>
      </c>
      <c r="CG222" s="86">
        <f t="shared" si="3437"/>
        <v>0</v>
      </c>
      <c r="CH222" s="87">
        <f t="shared" si="3438"/>
        <v>0</v>
      </c>
      <c r="CI222" s="87">
        <f t="shared" si="3439"/>
        <v>0</v>
      </c>
      <c r="CJ222" s="88">
        <f t="shared" si="3440"/>
        <v>0</v>
      </c>
      <c r="CK222" s="85">
        <f t="shared" si="3441"/>
        <v>0</v>
      </c>
      <c r="CL222" s="86">
        <f t="shared" si="3442"/>
        <v>0</v>
      </c>
      <c r="CM222" s="87">
        <f t="shared" si="3443"/>
        <v>0</v>
      </c>
      <c r="CN222" s="87">
        <f t="shared" si="3444"/>
        <v>0</v>
      </c>
      <c r="CO222" s="88">
        <f t="shared" si="3445"/>
        <v>0</v>
      </c>
      <c r="CP222" s="85">
        <f t="shared" si="3446"/>
        <v>0</v>
      </c>
      <c r="CQ222" s="86">
        <f t="shared" si="3447"/>
        <v>0</v>
      </c>
      <c r="CR222" s="87">
        <f t="shared" si="3448"/>
        <v>0</v>
      </c>
      <c r="CS222" s="87">
        <f t="shared" si="3449"/>
        <v>0</v>
      </c>
      <c r="CT222" s="88">
        <f t="shared" si="3450"/>
        <v>0</v>
      </c>
      <c r="CU222" s="85">
        <f t="shared" si="3451"/>
        <v>0</v>
      </c>
      <c r="CV222" s="86">
        <f t="shared" si="3452"/>
        <v>0</v>
      </c>
      <c r="CW222" s="87">
        <f t="shared" si="3453"/>
        <v>0</v>
      </c>
      <c r="CX222" s="87">
        <f t="shared" si="3454"/>
        <v>0</v>
      </c>
      <c r="CY222" s="88">
        <f t="shared" si="3455"/>
        <v>0</v>
      </c>
      <c r="CZ222" s="85">
        <f t="shared" si="3456"/>
        <v>0</v>
      </c>
    </row>
    <row r="223" spans="1:104" ht="12.75" customHeight="1">
      <c r="A223" s="1817"/>
      <c r="B223" s="1817"/>
      <c r="C223" s="1842"/>
      <c r="D223" s="1843"/>
      <c r="E223" s="1844"/>
      <c r="F223" s="1845"/>
      <c r="G223" s="1845"/>
      <c r="H223" s="1846"/>
      <c r="I223" s="1887"/>
      <c r="J223" s="1888"/>
      <c r="K223" s="1889"/>
      <c r="L223" s="2002"/>
      <c r="M223" s="99"/>
      <c r="N223" s="100"/>
      <c r="O223" s="100"/>
      <c r="P223" s="101"/>
      <c r="Q223" s="98"/>
      <c r="R223" s="99"/>
      <c r="S223" s="100"/>
      <c r="T223" s="100"/>
      <c r="U223" s="101"/>
      <c r="V223" s="98"/>
      <c r="W223" s="99"/>
      <c r="X223" s="100"/>
      <c r="Y223" s="100"/>
      <c r="Z223" s="101"/>
      <c r="AA223" s="98"/>
      <c r="AB223" s="99"/>
      <c r="AC223" s="100"/>
      <c r="AD223" s="100"/>
      <c r="AE223" s="101"/>
      <c r="AF223" s="98"/>
      <c r="AG223" s="99"/>
      <c r="AH223" s="100"/>
      <c r="AI223" s="100"/>
      <c r="AJ223" s="101"/>
      <c r="AK223" s="98"/>
      <c r="AL223" s="99"/>
      <c r="AM223" s="100"/>
      <c r="AN223" s="100"/>
      <c r="AO223" s="101"/>
      <c r="AP223" s="98"/>
      <c r="AQ223" s="99"/>
      <c r="AR223" s="100"/>
      <c r="AS223" s="100"/>
      <c r="AT223" s="101"/>
      <c r="AU223" s="98"/>
      <c r="AV223" s="99"/>
      <c r="AW223" s="100"/>
      <c r="AX223" s="100"/>
      <c r="AY223" s="101"/>
      <c r="AZ223" s="98"/>
      <c r="BA223" s="99"/>
      <c r="BB223" s="100"/>
      <c r="BC223" s="100"/>
      <c r="BD223" s="101"/>
      <c r="BE223" s="98"/>
      <c r="BF223" s="1878"/>
      <c r="BG223" s="2006"/>
      <c r="BH223" s="103"/>
      <c r="BI223" s="104"/>
      <c r="BJ223" s="104"/>
      <c r="BK223" s="105"/>
      <c r="BL223" s="102"/>
      <c r="BM223" s="103"/>
      <c r="BN223" s="104"/>
      <c r="BO223" s="104"/>
      <c r="BP223" s="105"/>
      <c r="BQ223" s="102"/>
      <c r="BR223" s="103"/>
      <c r="BS223" s="104"/>
      <c r="BT223" s="104"/>
      <c r="BU223" s="105"/>
      <c r="BV223" s="102"/>
      <c r="BW223" s="103"/>
      <c r="BX223" s="104"/>
      <c r="BY223" s="104"/>
      <c r="BZ223" s="105"/>
      <c r="CA223" s="102"/>
      <c r="CB223" s="103"/>
      <c r="CC223" s="104"/>
      <c r="CD223" s="104"/>
      <c r="CE223" s="105"/>
      <c r="CF223" s="102"/>
      <c r="CG223" s="103"/>
      <c r="CH223" s="104"/>
      <c r="CI223" s="104"/>
      <c r="CJ223" s="105"/>
      <c r="CK223" s="102"/>
      <c r="CL223" s="103"/>
      <c r="CM223" s="104"/>
      <c r="CN223" s="104"/>
      <c r="CO223" s="105"/>
      <c r="CP223" s="102"/>
      <c r="CQ223" s="103"/>
      <c r="CR223" s="104"/>
      <c r="CS223" s="104"/>
      <c r="CT223" s="105"/>
      <c r="CU223" s="102"/>
      <c r="CV223" s="103"/>
      <c r="CW223" s="104"/>
      <c r="CX223" s="104"/>
      <c r="CY223" s="105"/>
      <c r="CZ223" s="102"/>
    </row>
    <row r="224" spans="1:104" ht="12.75" customHeight="1">
      <c r="A224" s="1792"/>
      <c r="B224" s="1792"/>
      <c r="C224" s="157" t="s">
        <v>399</v>
      </c>
      <c r="D224" s="1847"/>
      <c r="E224" s="158">
        <f>SUM(E219:E223)</f>
        <v>0</v>
      </c>
      <c r="F224" s="107"/>
      <c r="G224" s="107"/>
      <c r="H224" s="1848"/>
      <c r="I224" s="1849"/>
      <c r="J224" s="1850"/>
      <c r="L224" s="2001">
        <f t="shared" ref="L224:BE224" si="3530">SUM(L219:L223)</f>
        <v>0</v>
      </c>
      <c r="M224" s="112">
        <f t="shared" si="3530"/>
        <v>0</v>
      </c>
      <c r="N224" s="113">
        <f t="shared" si="3530"/>
        <v>0</v>
      </c>
      <c r="O224" s="113">
        <f t="shared" si="3530"/>
        <v>0</v>
      </c>
      <c r="P224" s="114">
        <f t="shared" si="3530"/>
        <v>0</v>
      </c>
      <c r="Q224" s="111">
        <f t="shared" si="3530"/>
        <v>0</v>
      </c>
      <c r="R224" s="112">
        <f t="shared" si="3530"/>
        <v>0</v>
      </c>
      <c r="S224" s="113">
        <f t="shared" si="3530"/>
        <v>0</v>
      </c>
      <c r="T224" s="113">
        <f t="shared" si="3530"/>
        <v>0</v>
      </c>
      <c r="U224" s="114">
        <f t="shared" si="3530"/>
        <v>0</v>
      </c>
      <c r="V224" s="111">
        <f t="shared" si="3530"/>
        <v>0</v>
      </c>
      <c r="W224" s="112">
        <f t="shared" si="3530"/>
        <v>0</v>
      </c>
      <c r="X224" s="113">
        <f t="shared" si="3530"/>
        <v>0</v>
      </c>
      <c r="Y224" s="113">
        <f t="shared" si="3530"/>
        <v>0</v>
      </c>
      <c r="Z224" s="114">
        <f t="shared" si="3530"/>
        <v>0</v>
      </c>
      <c r="AA224" s="111">
        <f t="shared" si="3530"/>
        <v>0</v>
      </c>
      <c r="AB224" s="112">
        <f t="shared" si="3530"/>
        <v>0</v>
      </c>
      <c r="AC224" s="113">
        <f t="shared" si="3530"/>
        <v>0</v>
      </c>
      <c r="AD224" s="113">
        <f t="shared" si="3530"/>
        <v>0</v>
      </c>
      <c r="AE224" s="114">
        <f t="shared" si="3530"/>
        <v>0</v>
      </c>
      <c r="AF224" s="111">
        <f t="shared" si="3530"/>
        <v>0</v>
      </c>
      <c r="AG224" s="112">
        <f t="shared" si="3530"/>
        <v>0</v>
      </c>
      <c r="AH224" s="113">
        <f t="shared" si="3530"/>
        <v>0</v>
      </c>
      <c r="AI224" s="113">
        <f t="shared" si="3530"/>
        <v>0</v>
      </c>
      <c r="AJ224" s="114">
        <f t="shared" si="3530"/>
        <v>0</v>
      </c>
      <c r="AK224" s="111">
        <f t="shared" si="3530"/>
        <v>0</v>
      </c>
      <c r="AL224" s="112">
        <f t="shared" si="3530"/>
        <v>0</v>
      </c>
      <c r="AM224" s="113">
        <f t="shared" si="3530"/>
        <v>0</v>
      </c>
      <c r="AN224" s="113">
        <f t="shared" si="3530"/>
        <v>0</v>
      </c>
      <c r="AO224" s="114">
        <f t="shared" si="3530"/>
        <v>0</v>
      </c>
      <c r="AP224" s="111">
        <f t="shared" si="3530"/>
        <v>0</v>
      </c>
      <c r="AQ224" s="112">
        <f t="shared" si="3530"/>
        <v>0</v>
      </c>
      <c r="AR224" s="113">
        <f t="shared" si="3530"/>
        <v>0</v>
      </c>
      <c r="AS224" s="113">
        <f t="shared" si="3530"/>
        <v>0</v>
      </c>
      <c r="AT224" s="114">
        <f t="shared" si="3530"/>
        <v>0</v>
      </c>
      <c r="AU224" s="111">
        <f t="shared" si="3530"/>
        <v>0</v>
      </c>
      <c r="AV224" s="112">
        <f t="shared" si="3530"/>
        <v>0</v>
      </c>
      <c r="AW224" s="113">
        <f t="shared" si="3530"/>
        <v>0</v>
      </c>
      <c r="AX224" s="113">
        <f t="shared" si="3530"/>
        <v>0</v>
      </c>
      <c r="AY224" s="114">
        <f t="shared" si="3530"/>
        <v>0</v>
      </c>
      <c r="AZ224" s="111">
        <f t="shared" si="3530"/>
        <v>0</v>
      </c>
      <c r="BA224" s="112">
        <f t="shared" si="3530"/>
        <v>0</v>
      </c>
      <c r="BB224" s="113">
        <f t="shared" si="3530"/>
        <v>0</v>
      </c>
      <c r="BC224" s="113">
        <f t="shared" si="3530"/>
        <v>0</v>
      </c>
      <c r="BD224" s="114">
        <f t="shared" si="3530"/>
        <v>0</v>
      </c>
      <c r="BE224" s="111">
        <f t="shared" si="3530"/>
        <v>0</v>
      </c>
      <c r="BG224" s="2007">
        <f t="shared" ref="BG224:CZ224" si="3531">SUM(BG219:BG223)</f>
        <v>0</v>
      </c>
      <c r="BH224" s="116">
        <f t="shared" si="3531"/>
        <v>0</v>
      </c>
      <c r="BI224" s="117">
        <f t="shared" si="3531"/>
        <v>0</v>
      </c>
      <c r="BJ224" s="117">
        <f t="shared" si="3531"/>
        <v>0</v>
      </c>
      <c r="BK224" s="118">
        <f t="shared" si="3531"/>
        <v>0</v>
      </c>
      <c r="BL224" s="115">
        <f t="shared" si="3531"/>
        <v>0</v>
      </c>
      <c r="BM224" s="116">
        <f t="shared" si="3531"/>
        <v>0</v>
      </c>
      <c r="BN224" s="117">
        <f t="shared" si="3531"/>
        <v>0</v>
      </c>
      <c r="BO224" s="117">
        <f t="shared" si="3531"/>
        <v>0</v>
      </c>
      <c r="BP224" s="118">
        <f t="shared" si="3531"/>
        <v>0</v>
      </c>
      <c r="BQ224" s="115">
        <f t="shared" si="3531"/>
        <v>0</v>
      </c>
      <c r="BR224" s="116">
        <f t="shared" si="3531"/>
        <v>0</v>
      </c>
      <c r="BS224" s="117">
        <f t="shared" si="3531"/>
        <v>0</v>
      </c>
      <c r="BT224" s="117">
        <f t="shared" si="3531"/>
        <v>0</v>
      </c>
      <c r="BU224" s="118">
        <f t="shared" si="3531"/>
        <v>0</v>
      </c>
      <c r="BV224" s="115">
        <f t="shared" si="3531"/>
        <v>0</v>
      </c>
      <c r="BW224" s="116">
        <f t="shared" si="3531"/>
        <v>0</v>
      </c>
      <c r="BX224" s="117">
        <f t="shared" si="3531"/>
        <v>0</v>
      </c>
      <c r="BY224" s="117">
        <f t="shared" si="3531"/>
        <v>0</v>
      </c>
      <c r="BZ224" s="118">
        <f t="shared" si="3531"/>
        <v>0</v>
      </c>
      <c r="CA224" s="115">
        <f t="shared" si="3531"/>
        <v>0</v>
      </c>
      <c r="CB224" s="116">
        <f t="shared" si="3531"/>
        <v>0</v>
      </c>
      <c r="CC224" s="117">
        <f t="shared" si="3531"/>
        <v>0</v>
      </c>
      <c r="CD224" s="117">
        <f t="shared" si="3531"/>
        <v>0</v>
      </c>
      <c r="CE224" s="118">
        <f t="shared" si="3531"/>
        <v>0</v>
      </c>
      <c r="CF224" s="115">
        <f t="shared" si="3531"/>
        <v>0</v>
      </c>
      <c r="CG224" s="116">
        <f t="shared" si="3531"/>
        <v>0</v>
      </c>
      <c r="CH224" s="117">
        <f t="shared" si="3531"/>
        <v>0</v>
      </c>
      <c r="CI224" s="117">
        <f t="shared" si="3531"/>
        <v>0</v>
      </c>
      <c r="CJ224" s="118">
        <f t="shared" si="3531"/>
        <v>0</v>
      </c>
      <c r="CK224" s="115">
        <f t="shared" si="3531"/>
        <v>0</v>
      </c>
      <c r="CL224" s="116">
        <f t="shared" si="3531"/>
        <v>0</v>
      </c>
      <c r="CM224" s="117">
        <f t="shared" si="3531"/>
        <v>0</v>
      </c>
      <c r="CN224" s="117">
        <f t="shared" si="3531"/>
        <v>0</v>
      </c>
      <c r="CO224" s="118">
        <f t="shared" si="3531"/>
        <v>0</v>
      </c>
      <c r="CP224" s="115">
        <f t="shared" si="3531"/>
        <v>0</v>
      </c>
      <c r="CQ224" s="116">
        <f t="shared" si="3531"/>
        <v>0</v>
      </c>
      <c r="CR224" s="117">
        <f t="shared" si="3531"/>
        <v>0</v>
      </c>
      <c r="CS224" s="117">
        <f t="shared" si="3531"/>
        <v>0</v>
      </c>
      <c r="CT224" s="118">
        <f t="shared" si="3531"/>
        <v>0</v>
      </c>
      <c r="CU224" s="115">
        <f t="shared" si="3531"/>
        <v>0</v>
      </c>
      <c r="CV224" s="116">
        <f t="shared" si="3531"/>
        <v>0</v>
      </c>
      <c r="CW224" s="117">
        <f t="shared" si="3531"/>
        <v>0</v>
      </c>
      <c r="CX224" s="117">
        <f t="shared" si="3531"/>
        <v>0</v>
      </c>
      <c r="CY224" s="118">
        <f t="shared" si="3531"/>
        <v>0</v>
      </c>
      <c r="CZ224" s="115">
        <f t="shared" si="3531"/>
        <v>0</v>
      </c>
    </row>
    <row r="225" spans="1:104" ht="12.75" customHeight="1">
      <c r="A225" s="1817"/>
      <c r="B225" s="1817"/>
      <c r="C225" s="1851"/>
      <c r="D225" s="1851"/>
      <c r="E225" s="1820"/>
      <c r="F225" s="1821"/>
      <c r="G225" s="1821"/>
      <c r="H225" s="1825"/>
      <c r="I225" s="1826"/>
      <c r="J225" s="1827"/>
      <c r="L225" s="2001"/>
      <c r="M225" s="82"/>
      <c r="N225" s="83"/>
      <c r="O225" s="83"/>
      <c r="P225" s="84"/>
      <c r="Q225" s="81"/>
      <c r="R225" s="82"/>
      <c r="S225" s="83"/>
      <c r="T225" s="83"/>
      <c r="U225" s="84"/>
      <c r="V225" s="81"/>
      <c r="W225" s="82"/>
      <c r="X225" s="83"/>
      <c r="Y225" s="83"/>
      <c r="Z225" s="84"/>
      <c r="AA225" s="81"/>
      <c r="AB225" s="82"/>
      <c r="AC225" s="83"/>
      <c r="AD225" s="83"/>
      <c r="AE225" s="84"/>
      <c r="AF225" s="81"/>
      <c r="AG225" s="82"/>
      <c r="AH225" s="83"/>
      <c r="AI225" s="83"/>
      <c r="AJ225" s="84"/>
      <c r="AK225" s="81"/>
      <c r="AL225" s="82"/>
      <c r="AM225" s="83"/>
      <c r="AN225" s="83"/>
      <c r="AO225" s="84"/>
      <c r="AP225" s="81"/>
      <c r="AQ225" s="82"/>
      <c r="AR225" s="83"/>
      <c r="AS225" s="83"/>
      <c r="AT225" s="84"/>
      <c r="AU225" s="81"/>
      <c r="AV225" s="82"/>
      <c r="AW225" s="83"/>
      <c r="AX225" s="83"/>
      <c r="AY225" s="84"/>
      <c r="AZ225" s="81"/>
      <c r="BA225" s="82"/>
      <c r="BB225" s="83"/>
      <c r="BC225" s="83"/>
      <c r="BD225" s="84"/>
      <c r="BE225" s="81"/>
      <c r="BF225" s="1877"/>
      <c r="BG225" s="2005"/>
      <c r="BH225" s="86"/>
      <c r="BI225" s="87"/>
      <c r="BJ225" s="87"/>
      <c r="BK225" s="88"/>
      <c r="BL225" s="85"/>
      <c r="BM225" s="86"/>
      <c r="BN225" s="87"/>
      <c r="BO225" s="87"/>
      <c r="BP225" s="88"/>
      <c r="BQ225" s="85"/>
      <c r="BR225" s="86"/>
      <c r="BS225" s="87"/>
      <c r="BT225" s="87"/>
      <c r="BU225" s="88"/>
      <c r="BV225" s="85"/>
      <c r="BW225" s="86"/>
      <c r="BX225" s="87"/>
      <c r="BY225" s="87"/>
      <c r="BZ225" s="88"/>
      <c r="CA225" s="85"/>
      <c r="CB225" s="86"/>
      <c r="CC225" s="87"/>
      <c r="CD225" s="87"/>
      <c r="CE225" s="88"/>
      <c r="CF225" s="85"/>
      <c r="CG225" s="86"/>
      <c r="CH225" s="87"/>
      <c r="CI225" s="87"/>
      <c r="CJ225" s="88"/>
      <c r="CK225" s="85"/>
      <c r="CL225" s="86"/>
      <c r="CM225" s="87"/>
      <c r="CN225" s="87"/>
      <c r="CO225" s="88"/>
      <c r="CP225" s="85"/>
      <c r="CQ225" s="86"/>
      <c r="CR225" s="87"/>
      <c r="CS225" s="87"/>
      <c r="CT225" s="88"/>
      <c r="CU225" s="85"/>
      <c r="CV225" s="86"/>
      <c r="CW225" s="87"/>
      <c r="CX225" s="87"/>
      <c r="CY225" s="88"/>
      <c r="CZ225" s="85"/>
    </row>
    <row r="226" spans="1:104" ht="12.75" customHeight="1">
      <c r="A226" s="1817"/>
      <c r="B226" s="1817"/>
      <c r="C226" s="1824" t="s">
        <v>542</v>
      </c>
      <c r="D226" s="1824"/>
      <c r="E226" s="1852"/>
      <c r="F226" s="1853"/>
      <c r="G226" s="1853"/>
      <c r="H226" s="1848"/>
      <c r="I226" s="1849"/>
      <c r="J226" s="1850"/>
      <c r="L226" s="2001">
        <f t="shared" ref="L226:BE226" si="3532">+L224+L216</f>
        <v>0</v>
      </c>
      <c r="M226" s="82">
        <f t="shared" si="3532"/>
        <v>0</v>
      </c>
      <c r="N226" s="83">
        <f t="shared" si="3532"/>
        <v>0</v>
      </c>
      <c r="O226" s="83">
        <f t="shared" si="3532"/>
        <v>0</v>
      </c>
      <c r="P226" s="84">
        <f t="shared" si="3532"/>
        <v>0</v>
      </c>
      <c r="Q226" s="81">
        <f t="shared" si="3532"/>
        <v>0</v>
      </c>
      <c r="R226" s="82">
        <f t="shared" si="3532"/>
        <v>0</v>
      </c>
      <c r="S226" s="83">
        <f t="shared" si="3532"/>
        <v>0</v>
      </c>
      <c r="T226" s="83">
        <f t="shared" si="3532"/>
        <v>0</v>
      </c>
      <c r="U226" s="84">
        <f t="shared" si="3532"/>
        <v>0</v>
      </c>
      <c r="V226" s="81">
        <f t="shared" si="3532"/>
        <v>0</v>
      </c>
      <c r="W226" s="82">
        <f t="shared" si="3532"/>
        <v>0</v>
      </c>
      <c r="X226" s="83">
        <f t="shared" si="3532"/>
        <v>0</v>
      </c>
      <c r="Y226" s="83">
        <f t="shared" si="3532"/>
        <v>0</v>
      </c>
      <c r="Z226" s="84">
        <f t="shared" si="3532"/>
        <v>0</v>
      </c>
      <c r="AA226" s="81">
        <f t="shared" si="3532"/>
        <v>0</v>
      </c>
      <c r="AB226" s="82">
        <f t="shared" si="3532"/>
        <v>0</v>
      </c>
      <c r="AC226" s="83">
        <f t="shared" si="3532"/>
        <v>0</v>
      </c>
      <c r="AD226" s="83">
        <f t="shared" si="3532"/>
        <v>0</v>
      </c>
      <c r="AE226" s="84">
        <f t="shared" si="3532"/>
        <v>0</v>
      </c>
      <c r="AF226" s="81">
        <f t="shared" si="3532"/>
        <v>0</v>
      </c>
      <c r="AG226" s="82">
        <f t="shared" si="3532"/>
        <v>0</v>
      </c>
      <c r="AH226" s="83">
        <f t="shared" si="3532"/>
        <v>0</v>
      </c>
      <c r="AI226" s="83">
        <f t="shared" si="3532"/>
        <v>-81.088999999999999</v>
      </c>
      <c r="AJ226" s="84">
        <f t="shared" si="3532"/>
        <v>-190</v>
      </c>
      <c r="AK226" s="81">
        <f t="shared" si="3532"/>
        <v>-271.089</v>
      </c>
      <c r="AL226" s="82">
        <f t="shared" si="3532"/>
        <v>0</v>
      </c>
      <c r="AM226" s="83">
        <f t="shared" si="3532"/>
        <v>0</v>
      </c>
      <c r="AN226" s="83">
        <f t="shared" si="3532"/>
        <v>0</v>
      </c>
      <c r="AO226" s="84">
        <f t="shared" si="3532"/>
        <v>0</v>
      </c>
      <c r="AP226" s="81">
        <f t="shared" si="3532"/>
        <v>0</v>
      </c>
      <c r="AQ226" s="82">
        <f t="shared" si="3532"/>
        <v>0</v>
      </c>
      <c r="AR226" s="83">
        <f t="shared" si="3532"/>
        <v>0</v>
      </c>
      <c r="AS226" s="83">
        <f t="shared" si="3532"/>
        <v>0</v>
      </c>
      <c r="AT226" s="84">
        <f t="shared" si="3532"/>
        <v>0</v>
      </c>
      <c r="AU226" s="81">
        <f t="shared" si="3532"/>
        <v>0</v>
      </c>
      <c r="AV226" s="82">
        <f t="shared" si="3532"/>
        <v>0</v>
      </c>
      <c r="AW226" s="83">
        <f t="shared" si="3532"/>
        <v>0</v>
      </c>
      <c r="AX226" s="83">
        <f t="shared" si="3532"/>
        <v>0</v>
      </c>
      <c r="AY226" s="84">
        <f t="shared" si="3532"/>
        <v>0</v>
      </c>
      <c r="AZ226" s="81">
        <f t="shared" si="3532"/>
        <v>0</v>
      </c>
      <c r="BA226" s="82">
        <f t="shared" si="3532"/>
        <v>0</v>
      </c>
      <c r="BB226" s="83">
        <f t="shared" si="3532"/>
        <v>0</v>
      </c>
      <c r="BC226" s="83">
        <f t="shared" si="3532"/>
        <v>0</v>
      </c>
      <c r="BD226" s="84">
        <f t="shared" si="3532"/>
        <v>0</v>
      </c>
      <c r="BE226" s="81">
        <f t="shared" si="3532"/>
        <v>0</v>
      </c>
      <c r="BF226" s="1877"/>
      <c r="BG226" s="2005">
        <f t="shared" ref="BG226:CZ226" si="3533">+BG224+BG216</f>
        <v>0</v>
      </c>
      <c r="BH226" s="86">
        <f t="shared" si="3533"/>
        <v>0</v>
      </c>
      <c r="BI226" s="87">
        <f t="shared" si="3533"/>
        <v>0</v>
      </c>
      <c r="BJ226" s="87">
        <f t="shared" si="3533"/>
        <v>0</v>
      </c>
      <c r="BK226" s="88">
        <f t="shared" si="3533"/>
        <v>0</v>
      </c>
      <c r="BL226" s="85">
        <f t="shared" si="3533"/>
        <v>0</v>
      </c>
      <c r="BM226" s="86">
        <f t="shared" si="3533"/>
        <v>0</v>
      </c>
      <c r="BN226" s="87">
        <f t="shared" si="3533"/>
        <v>0</v>
      </c>
      <c r="BO226" s="87">
        <f t="shared" si="3533"/>
        <v>0</v>
      </c>
      <c r="BP226" s="88">
        <f t="shared" si="3533"/>
        <v>0</v>
      </c>
      <c r="BQ226" s="85">
        <f t="shared" si="3533"/>
        <v>0</v>
      </c>
      <c r="BR226" s="86">
        <f t="shared" si="3533"/>
        <v>0</v>
      </c>
      <c r="BS226" s="87">
        <f t="shared" si="3533"/>
        <v>0</v>
      </c>
      <c r="BT226" s="87">
        <f t="shared" si="3533"/>
        <v>0</v>
      </c>
      <c r="BU226" s="88">
        <f t="shared" si="3533"/>
        <v>0</v>
      </c>
      <c r="BV226" s="85">
        <f t="shared" si="3533"/>
        <v>0</v>
      </c>
      <c r="BW226" s="86">
        <f t="shared" si="3533"/>
        <v>0</v>
      </c>
      <c r="BX226" s="87">
        <f t="shared" si="3533"/>
        <v>0</v>
      </c>
      <c r="BY226" s="87">
        <f t="shared" si="3533"/>
        <v>0</v>
      </c>
      <c r="BZ226" s="88">
        <f t="shared" si="3533"/>
        <v>0</v>
      </c>
      <c r="CA226" s="85">
        <f t="shared" si="3533"/>
        <v>0</v>
      </c>
      <c r="CB226" s="86">
        <f t="shared" si="3533"/>
        <v>0</v>
      </c>
      <c r="CC226" s="87">
        <f t="shared" si="3533"/>
        <v>0</v>
      </c>
      <c r="CD226" s="87">
        <f t="shared" si="3533"/>
        <v>-1.2416753125</v>
      </c>
      <c r="CE226" s="88">
        <f t="shared" si="3533"/>
        <v>-4.0441753125000002</v>
      </c>
      <c r="CF226" s="85">
        <f t="shared" si="3533"/>
        <v>-5.2858506250000001</v>
      </c>
      <c r="CG226" s="86">
        <f t="shared" si="3533"/>
        <v>-4.0441753125000002</v>
      </c>
      <c r="CH226" s="87">
        <f t="shared" si="3533"/>
        <v>-4.0441753125000002</v>
      </c>
      <c r="CI226" s="87">
        <f t="shared" si="3533"/>
        <v>-2.8024999999999998</v>
      </c>
      <c r="CJ226" s="88">
        <f t="shared" si="3533"/>
        <v>0</v>
      </c>
      <c r="CK226" s="85">
        <f t="shared" si="3533"/>
        <v>-10.890850624999999</v>
      </c>
      <c r="CL226" s="86">
        <f t="shared" si="3533"/>
        <v>0</v>
      </c>
      <c r="CM226" s="87">
        <f t="shared" si="3533"/>
        <v>0</v>
      </c>
      <c r="CN226" s="87">
        <f t="shared" si="3533"/>
        <v>0</v>
      </c>
      <c r="CO226" s="88">
        <f t="shared" si="3533"/>
        <v>0</v>
      </c>
      <c r="CP226" s="85">
        <f t="shared" si="3533"/>
        <v>0</v>
      </c>
      <c r="CQ226" s="86">
        <f t="shared" si="3533"/>
        <v>0</v>
      </c>
      <c r="CR226" s="87">
        <f t="shared" si="3533"/>
        <v>0</v>
      </c>
      <c r="CS226" s="87">
        <f t="shared" si="3533"/>
        <v>0</v>
      </c>
      <c r="CT226" s="88">
        <f t="shared" si="3533"/>
        <v>0</v>
      </c>
      <c r="CU226" s="85">
        <f t="shared" si="3533"/>
        <v>0</v>
      </c>
      <c r="CV226" s="86">
        <f t="shared" si="3533"/>
        <v>0</v>
      </c>
      <c r="CW226" s="87">
        <f t="shared" si="3533"/>
        <v>0</v>
      </c>
      <c r="CX226" s="87">
        <f t="shared" si="3533"/>
        <v>0</v>
      </c>
      <c r="CY226" s="88">
        <f t="shared" si="3533"/>
        <v>0</v>
      </c>
      <c r="CZ226" s="85">
        <f t="shared" si="3533"/>
        <v>0</v>
      </c>
    </row>
    <row r="227" spans="1:104" ht="12.75" customHeight="1">
      <c r="A227" s="1817"/>
      <c r="B227" s="1817"/>
      <c r="C227" s="1824"/>
      <c r="D227" s="1824"/>
      <c r="E227" s="1852"/>
      <c r="F227" s="1853"/>
      <c r="G227" s="1853"/>
      <c r="H227" s="1848"/>
      <c r="I227" s="1849"/>
      <c r="J227" s="1850"/>
      <c r="L227" s="2001"/>
      <c r="M227" s="82"/>
      <c r="N227" s="83"/>
      <c r="O227" s="83"/>
      <c r="P227" s="84"/>
      <c r="Q227" s="81"/>
      <c r="R227" s="82"/>
      <c r="S227" s="83"/>
      <c r="T227" s="83"/>
      <c r="U227" s="84"/>
      <c r="V227" s="81"/>
      <c r="W227" s="82"/>
      <c r="X227" s="83"/>
      <c r="Y227" s="83"/>
      <c r="Z227" s="84"/>
      <c r="AA227" s="81"/>
      <c r="AB227" s="82"/>
      <c r="AC227" s="83"/>
      <c r="AD227" s="83"/>
      <c r="AE227" s="84"/>
      <c r="AF227" s="81"/>
      <c r="AG227" s="82"/>
      <c r="AH227" s="83"/>
      <c r="AI227" s="83"/>
      <c r="AJ227" s="84"/>
      <c r="AK227" s="81"/>
      <c r="AL227" s="82"/>
      <c r="AM227" s="83"/>
      <c r="AN227" s="83"/>
      <c r="AO227" s="84"/>
      <c r="AP227" s="81"/>
      <c r="AQ227" s="82"/>
      <c r="AR227" s="83"/>
      <c r="AS227" s="83"/>
      <c r="AT227" s="84"/>
      <c r="AU227" s="81"/>
      <c r="AV227" s="82"/>
      <c r="AW227" s="83"/>
      <c r="AX227" s="83"/>
      <c r="AY227" s="84"/>
      <c r="AZ227" s="81"/>
      <c r="BA227" s="82"/>
      <c r="BB227" s="83"/>
      <c r="BC227" s="83"/>
      <c r="BD227" s="84"/>
      <c r="BE227" s="81"/>
      <c r="BF227" s="1877"/>
      <c r="BG227" s="2005"/>
      <c r="BH227" s="86"/>
      <c r="BI227" s="87"/>
      <c r="BJ227" s="87"/>
      <c r="BK227" s="88"/>
      <c r="BL227" s="85"/>
      <c r="BM227" s="86"/>
      <c r="BN227" s="87"/>
      <c r="BO227" s="87"/>
      <c r="BP227" s="88"/>
      <c r="BQ227" s="85"/>
      <c r="BR227" s="86"/>
      <c r="BS227" s="87"/>
      <c r="BT227" s="87"/>
      <c r="BU227" s="88"/>
      <c r="BV227" s="85"/>
      <c r="BW227" s="86"/>
      <c r="BX227" s="87"/>
      <c r="BY227" s="87"/>
      <c r="BZ227" s="88"/>
      <c r="CA227" s="85"/>
      <c r="CB227" s="86"/>
      <c r="CC227" s="87"/>
      <c r="CD227" s="87"/>
      <c r="CE227" s="88"/>
      <c r="CF227" s="85"/>
      <c r="CG227" s="86"/>
      <c r="CH227" s="87"/>
      <c r="CI227" s="87"/>
      <c r="CJ227" s="88"/>
      <c r="CK227" s="85"/>
      <c r="CL227" s="86"/>
      <c r="CM227" s="87"/>
      <c r="CN227" s="87"/>
      <c r="CO227" s="88"/>
      <c r="CP227" s="85"/>
      <c r="CQ227" s="86"/>
      <c r="CR227" s="87"/>
      <c r="CS227" s="87"/>
      <c r="CT227" s="88"/>
      <c r="CU227" s="85"/>
      <c r="CV227" s="86"/>
      <c r="CW227" s="87"/>
      <c r="CX227" s="87"/>
      <c r="CY227" s="88"/>
      <c r="CZ227" s="85"/>
    </row>
    <row r="228" spans="1:104" ht="12.75" customHeight="1" thickBot="1">
      <c r="A228" s="1817"/>
      <c r="B228" s="1854"/>
      <c r="C228" s="1854"/>
      <c r="D228" s="1854"/>
      <c r="E228" s="1855"/>
      <c r="F228" s="1856"/>
      <c r="G228" s="1856"/>
      <c r="H228" s="1857"/>
      <c r="I228" s="1890"/>
      <c r="J228" s="1891"/>
      <c r="K228" s="1892"/>
      <c r="L228" s="2003"/>
      <c r="M228" s="184"/>
      <c r="N228" s="185"/>
      <c r="O228" s="185"/>
      <c r="P228" s="186"/>
      <c r="Q228" s="197"/>
      <c r="R228" s="184"/>
      <c r="S228" s="185"/>
      <c r="T228" s="185"/>
      <c r="U228" s="186"/>
      <c r="V228" s="197"/>
      <c r="W228" s="184"/>
      <c r="X228" s="185"/>
      <c r="Y228" s="185"/>
      <c r="Z228" s="186"/>
      <c r="AA228" s="197"/>
      <c r="AB228" s="184"/>
      <c r="AC228" s="185"/>
      <c r="AD228" s="185"/>
      <c r="AE228" s="186"/>
      <c r="AF228" s="197"/>
      <c r="AG228" s="184"/>
      <c r="AH228" s="185"/>
      <c r="AI228" s="185"/>
      <c r="AJ228" s="186"/>
      <c r="AK228" s="197"/>
      <c r="AL228" s="184"/>
      <c r="AM228" s="185"/>
      <c r="AN228" s="185"/>
      <c r="AO228" s="186"/>
      <c r="AP228" s="197"/>
      <c r="AQ228" s="184"/>
      <c r="AR228" s="185"/>
      <c r="AS228" s="185"/>
      <c r="AT228" s="186"/>
      <c r="AU228" s="197"/>
      <c r="AV228" s="184"/>
      <c r="AW228" s="185"/>
      <c r="AX228" s="185"/>
      <c r="AY228" s="186"/>
      <c r="AZ228" s="197"/>
      <c r="BA228" s="184"/>
      <c r="BB228" s="185"/>
      <c r="BC228" s="185"/>
      <c r="BD228" s="186"/>
      <c r="BE228" s="197"/>
      <c r="BF228" s="1893"/>
      <c r="BG228" s="2016"/>
      <c r="BH228" s="187"/>
      <c r="BI228" s="188"/>
      <c r="BJ228" s="188"/>
      <c r="BK228" s="189"/>
      <c r="BL228" s="198"/>
      <c r="BM228" s="187"/>
      <c r="BN228" s="188"/>
      <c r="BO228" s="188"/>
      <c r="BP228" s="189"/>
      <c r="BQ228" s="198"/>
      <c r="BR228" s="187"/>
      <c r="BS228" s="188"/>
      <c r="BT228" s="188"/>
      <c r="BU228" s="189"/>
      <c r="BV228" s="198"/>
      <c r="BW228" s="187"/>
      <c r="BX228" s="188"/>
      <c r="BY228" s="188"/>
      <c r="BZ228" s="189"/>
      <c r="CA228" s="198"/>
      <c r="CB228" s="187"/>
      <c r="CC228" s="188"/>
      <c r="CD228" s="188"/>
      <c r="CE228" s="189"/>
      <c r="CF228" s="198"/>
      <c r="CG228" s="187"/>
      <c r="CH228" s="188"/>
      <c r="CI228" s="188"/>
      <c r="CJ228" s="189"/>
      <c r="CK228" s="198"/>
      <c r="CL228" s="187"/>
      <c r="CM228" s="188"/>
      <c r="CN228" s="188"/>
      <c r="CO228" s="189"/>
      <c r="CP228" s="198"/>
      <c r="CQ228" s="187"/>
      <c r="CR228" s="188"/>
      <c r="CS228" s="188"/>
      <c r="CT228" s="189"/>
      <c r="CU228" s="198"/>
      <c r="CV228" s="187"/>
      <c r="CW228" s="188"/>
      <c r="CX228" s="188"/>
      <c r="CY228" s="189"/>
      <c r="CZ228" s="198"/>
    </row>
    <row r="229" spans="1:104" ht="12.75" customHeight="1">
      <c r="A229" s="1817"/>
      <c r="B229" s="1824"/>
      <c r="C229" s="1824"/>
      <c r="D229" s="1824"/>
      <c r="E229" s="1820"/>
      <c r="F229" s="1821"/>
      <c r="G229" s="1821"/>
      <c r="H229" s="1825"/>
      <c r="I229" s="1826"/>
      <c r="J229" s="1827"/>
      <c r="L229" s="2001"/>
      <c r="M229" s="82"/>
      <c r="N229" s="83"/>
      <c r="O229" s="83"/>
      <c r="P229" s="84"/>
      <c r="Q229" s="81"/>
      <c r="R229" s="82"/>
      <c r="S229" s="83"/>
      <c r="T229" s="83"/>
      <c r="U229" s="84"/>
      <c r="V229" s="81"/>
      <c r="W229" s="82"/>
      <c r="X229" s="83"/>
      <c r="Y229" s="83"/>
      <c r="Z229" s="84"/>
      <c r="AA229" s="81"/>
      <c r="AB229" s="82"/>
      <c r="AC229" s="83"/>
      <c r="AD229" s="83"/>
      <c r="AE229" s="84"/>
      <c r="AF229" s="81"/>
      <c r="AG229" s="82"/>
      <c r="AH229" s="83"/>
      <c r="AI229" s="83"/>
      <c r="AJ229" s="84"/>
      <c r="AK229" s="81"/>
      <c r="AL229" s="82"/>
      <c r="AM229" s="83"/>
      <c r="AN229" s="83"/>
      <c r="AO229" s="84"/>
      <c r="AP229" s="81"/>
      <c r="AQ229" s="82"/>
      <c r="AR229" s="83"/>
      <c r="AS229" s="83"/>
      <c r="AT229" s="84"/>
      <c r="AU229" s="81"/>
      <c r="AV229" s="82"/>
      <c r="AW229" s="83"/>
      <c r="AX229" s="83"/>
      <c r="AY229" s="84"/>
      <c r="AZ229" s="81"/>
      <c r="BA229" s="82"/>
      <c r="BB229" s="83"/>
      <c r="BC229" s="83"/>
      <c r="BD229" s="84"/>
      <c r="BE229" s="81"/>
      <c r="BF229" s="1877"/>
      <c r="BG229" s="2005"/>
      <c r="BH229" s="86"/>
      <c r="BI229" s="87"/>
      <c r="BJ229" s="87"/>
      <c r="BK229" s="88"/>
      <c r="BL229" s="85"/>
      <c r="BM229" s="86"/>
      <c r="BN229" s="87"/>
      <c r="BO229" s="87"/>
      <c r="BP229" s="88"/>
      <c r="BQ229" s="85"/>
      <c r="BR229" s="86"/>
      <c r="BS229" s="87"/>
      <c r="BT229" s="87"/>
      <c r="BU229" s="88"/>
      <c r="BV229" s="85"/>
      <c r="BW229" s="86"/>
      <c r="BX229" s="87"/>
      <c r="BY229" s="87"/>
      <c r="BZ229" s="88"/>
      <c r="CA229" s="85"/>
      <c r="CB229" s="86"/>
      <c r="CC229" s="87"/>
      <c r="CD229" s="87"/>
      <c r="CE229" s="88"/>
      <c r="CF229" s="85"/>
      <c r="CG229" s="86"/>
      <c r="CH229" s="87"/>
      <c r="CI229" s="87"/>
      <c r="CJ229" s="88"/>
      <c r="CK229" s="85"/>
      <c r="CL229" s="86"/>
      <c r="CM229" s="87"/>
      <c r="CN229" s="87"/>
      <c r="CO229" s="88"/>
      <c r="CP229" s="85"/>
      <c r="CQ229" s="86"/>
      <c r="CR229" s="87"/>
      <c r="CS229" s="87"/>
      <c r="CT229" s="88"/>
      <c r="CU229" s="85"/>
      <c r="CV229" s="86"/>
      <c r="CW229" s="87"/>
      <c r="CX229" s="87"/>
      <c r="CY229" s="88"/>
      <c r="CZ229" s="85"/>
    </row>
    <row r="230" spans="1:104" ht="12.75" customHeight="1">
      <c r="A230" s="1817"/>
      <c r="B230" s="1824"/>
      <c r="C230" s="1824"/>
      <c r="D230" s="1824"/>
      <c r="E230" s="1820"/>
      <c r="F230" s="1821"/>
      <c r="G230" s="1821"/>
      <c r="H230" s="1825"/>
      <c r="I230" s="1826"/>
      <c r="J230" s="1827"/>
      <c r="L230" s="2001"/>
      <c r="M230" s="82"/>
      <c r="N230" s="83"/>
      <c r="O230" s="83"/>
      <c r="P230" s="84"/>
      <c r="Q230" s="81"/>
      <c r="R230" s="82"/>
      <c r="S230" s="83"/>
      <c r="T230" s="83"/>
      <c r="U230" s="84"/>
      <c r="V230" s="81"/>
      <c r="W230" s="82"/>
      <c r="X230" s="83"/>
      <c r="Y230" s="83"/>
      <c r="Z230" s="84"/>
      <c r="AA230" s="81"/>
      <c r="AB230" s="82"/>
      <c r="AC230" s="83"/>
      <c r="AD230" s="83"/>
      <c r="AE230" s="84"/>
      <c r="AF230" s="81"/>
      <c r="AG230" s="82"/>
      <c r="AH230" s="83"/>
      <c r="AI230" s="83"/>
      <c r="AJ230" s="84"/>
      <c r="AK230" s="81"/>
      <c r="AL230" s="82"/>
      <c r="AM230" s="83"/>
      <c r="AN230" s="83"/>
      <c r="AO230" s="84"/>
      <c r="AP230" s="81"/>
      <c r="AQ230" s="82"/>
      <c r="AR230" s="83"/>
      <c r="AS230" s="83"/>
      <c r="AT230" s="84"/>
      <c r="AU230" s="81"/>
      <c r="AV230" s="82"/>
      <c r="AW230" s="83"/>
      <c r="AX230" s="83"/>
      <c r="AY230" s="84"/>
      <c r="AZ230" s="81"/>
      <c r="BA230" s="82"/>
      <c r="BB230" s="83"/>
      <c r="BC230" s="83"/>
      <c r="BD230" s="84"/>
      <c r="BE230" s="81"/>
      <c r="BF230" s="1877"/>
      <c r="BG230" s="2005"/>
      <c r="BH230" s="86"/>
      <c r="BI230" s="87"/>
      <c r="BJ230" s="87"/>
      <c r="BK230" s="88"/>
      <c r="BL230" s="85"/>
      <c r="BM230" s="86"/>
      <c r="BN230" s="87"/>
      <c r="BO230" s="87"/>
      <c r="BP230" s="88"/>
      <c r="BQ230" s="85"/>
      <c r="BR230" s="86"/>
      <c r="BS230" s="87"/>
      <c r="BT230" s="87"/>
      <c r="BU230" s="88"/>
      <c r="BV230" s="85"/>
      <c r="BW230" s="86"/>
      <c r="BX230" s="87"/>
      <c r="BY230" s="87"/>
      <c r="BZ230" s="88"/>
      <c r="CA230" s="85"/>
      <c r="CB230" s="86"/>
      <c r="CC230" s="87"/>
      <c r="CD230" s="87"/>
      <c r="CE230" s="88"/>
      <c r="CF230" s="85"/>
      <c r="CG230" s="86"/>
      <c r="CH230" s="87"/>
      <c r="CI230" s="87"/>
      <c r="CJ230" s="88"/>
      <c r="CK230" s="85"/>
      <c r="CL230" s="86"/>
      <c r="CM230" s="87"/>
      <c r="CN230" s="87"/>
      <c r="CO230" s="88"/>
      <c r="CP230" s="85"/>
      <c r="CQ230" s="86"/>
      <c r="CR230" s="87"/>
      <c r="CS230" s="87"/>
      <c r="CT230" s="88"/>
      <c r="CU230" s="85"/>
      <c r="CV230" s="86"/>
      <c r="CW230" s="87"/>
      <c r="CX230" s="87"/>
      <c r="CY230" s="88"/>
      <c r="CZ230" s="85"/>
    </row>
    <row r="231" spans="1:104" ht="12.75" customHeight="1">
      <c r="A231" s="1817"/>
      <c r="B231" s="1681" t="s">
        <v>774</v>
      </c>
      <c r="C231" s="1818"/>
      <c r="D231" s="1819"/>
      <c r="E231" s="1858"/>
      <c r="F231" s="1859"/>
      <c r="G231" s="1859"/>
      <c r="H231" s="1859"/>
      <c r="I231" s="1860"/>
      <c r="J231" s="1822"/>
      <c r="L231" s="2001"/>
      <c r="M231" s="82"/>
      <c r="N231" s="83"/>
      <c r="O231" s="83"/>
      <c r="P231" s="84"/>
      <c r="Q231" s="81"/>
      <c r="R231" s="82"/>
      <c r="S231" s="83"/>
      <c r="T231" s="83"/>
      <c r="U231" s="84"/>
      <c r="V231" s="81"/>
      <c r="W231" s="82"/>
      <c r="X231" s="83"/>
      <c r="Y231" s="83"/>
      <c r="Z231" s="84"/>
      <c r="AA231" s="81"/>
      <c r="AB231" s="82"/>
      <c r="AC231" s="83"/>
      <c r="AD231" s="83"/>
      <c r="AE231" s="84"/>
      <c r="AF231" s="81"/>
      <c r="AG231" s="82"/>
      <c r="AH231" s="83"/>
      <c r="AI231" s="83"/>
      <c r="AJ231" s="84"/>
      <c r="AK231" s="81"/>
      <c r="AL231" s="82"/>
      <c r="AM231" s="83"/>
      <c r="AN231" s="83"/>
      <c r="AO231" s="84"/>
      <c r="AP231" s="81"/>
      <c r="AQ231" s="82"/>
      <c r="AR231" s="83"/>
      <c r="AS231" s="83"/>
      <c r="AT231" s="84"/>
      <c r="AU231" s="81"/>
      <c r="AV231" s="82"/>
      <c r="AW231" s="83"/>
      <c r="AX231" s="83"/>
      <c r="AY231" s="84"/>
      <c r="AZ231" s="81"/>
      <c r="BA231" s="82"/>
      <c r="BB231" s="83"/>
      <c r="BC231" s="83"/>
      <c r="BD231" s="84"/>
      <c r="BE231" s="81"/>
      <c r="BF231" s="1877"/>
      <c r="BG231" s="2005"/>
      <c r="BH231" s="86"/>
      <c r="BI231" s="87"/>
      <c r="BJ231" s="87"/>
      <c r="BK231" s="88"/>
      <c r="BL231" s="85"/>
      <c r="BM231" s="86"/>
      <c r="BN231" s="87"/>
      <c r="BO231" s="87"/>
      <c r="BP231" s="88"/>
      <c r="BQ231" s="85"/>
      <c r="BR231" s="86"/>
      <c r="BS231" s="87"/>
      <c r="BT231" s="87"/>
      <c r="BU231" s="88"/>
      <c r="BV231" s="85"/>
      <c r="BW231" s="86"/>
      <c r="BX231" s="87"/>
      <c r="BY231" s="87"/>
      <c r="BZ231" s="88"/>
      <c r="CA231" s="85"/>
      <c r="CB231" s="86"/>
      <c r="CC231" s="87"/>
      <c r="CD231" s="87"/>
      <c r="CE231" s="88"/>
      <c r="CF231" s="85"/>
      <c r="CG231" s="86"/>
      <c r="CH231" s="87"/>
      <c r="CI231" s="87"/>
      <c r="CJ231" s="88"/>
      <c r="CK231" s="85"/>
      <c r="CL231" s="86"/>
      <c r="CM231" s="87"/>
      <c r="CN231" s="87"/>
      <c r="CO231" s="88"/>
      <c r="CP231" s="85"/>
      <c r="CQ231" s="86"/>
      <c r="CR231" s="87"/>
      <c r="CS231" s="87"/>
      <c r="CT231" s="88"/>
      <c r="CU231" s="85"/>
      <c r="CV231" s="86"/>
      <c r="CW231" s="87"/>
      <c r="CX231" s="87"/>
      <c r="CY231" s="88"/>
      <c r="CZ231" s="85"/>
    </row>
    <row r="232" spans="1:104" ht="12.75" customHeight="1">
      <c r="A232" s="1817"/>
      <c r="B232" s="1817"/>
      <c r="C232" s="1824"/>
      <c r="D232" s="1824"/>
      <c r="E232" s="1858"/>
      <c r="F232" s="1859"/>
      <c r="G232" s="1859"/>
      <c r="H232" s="1859"/>
      <c r="I232" s="1860"/>
      <c r="J232" s="1822"/>
      <c r="L232" s="2001"/>
      <c r="M232" s="82"/>
      <c r="N232" s="83"/>
      <c r="O232" s="83"/>
      <c r="P232" s="84"/>
      <c r="Q232" s="81"/>
      <c r="R232" s="82"/>
      <c r="S232" s="83"/>
      <c r="T232" s="83"/>
      <c r="U232" s="84"/>
      <c r="V232" s="81"/>
      <c r="W232" s="82"/>
      <c r="X232" s="83"/>
      <c r="Y232" s="83"/>
      <c r="Z232" s="84"/>
      <c r="AA232" s="81"/>
      <c r="AB232" s="82"/>
      <c r="AC232" s="83"/>
      <c r="AD232" s="83"/>
      <c r="AE232" s="84"/>
      <c r="AF232" s="81"/>
      <c r="AG232" s="82"/>
      <c r="AH232" s="83"/>
      <c r="AI232" s="83"/>
      <c r="AJ232" s="84"/>
      <c r="AK232" s="81"/>
      <c r="AL232" s="82"/>
      <c r="AM232" s="83"/>
      <c r="AN232" s="83"/>
      <c r="AO232" s="84"/>
      <c r="AP232" s="81"/>
      <c r="AQ232" s="82"/>
      <c r="AR232" s="83"/>
      <c r="AS232" s="83"/>
      <c r="AT232" s="84"/>
      <c r="AU232" s="81"/>
      <c r="AV232" s="82"/>
      <c r="AW232" s="83"/>
      <c r="AX232" s="83"/>
      <c r="AY232" s="84"/>
      <c r="AZ232" s="81"/>
      <c r="BA232" s="82"/>
      <c r="BB232" s="83"/>
      <c r="BC232" s="83"/>
      <c r="BD232" s="84"/>
      <c r="BE232" s="81"/>
      <c r="BF232" s="1877"/>
      <c r="BG232" s="2005"/>
      <c r="BH232" s="86"/>
      <c r="BI232" s="87"/>
      <c r="BJ232" s="87"/>
      <c r="BK232" s="88"/>
      <c r="BL232" s="85"/>
      <c r="BM232" s="86"/>
      <c r="BN232" s="87"/>
      <c r="BO232" s="87"/>
      <c r="BP232" s="88"/>
      <c r="BQ232" s="85"/>
      <c r="BR232" s="86"/>
      <c r="BS232" s="87"/>
      <c r="BT232" s="87"/>
      <c r="BU232" s="88"/>
      <c r="BV232" s="85"/>
      <c r="BW232" s="86"/>
      <c r="BX232" s="87"/>
      <c r="BY232" s="87"/>
      <c r="BZ232" s="88"/>
      <c r="CA232" s="85"/>
      <c r="CB232" s="86"/>
      <c r="CC232" s="87"/>
      <c r="CD232" s="87"/>
      <c r="CE232" s="88"/>
      <c r="CF232" s="85"/>
      <c r="CG232" s="86"/>
      <c r="CH232" s="87"/>
      <c r="CI232" s="87"/>
      <c r="CJ232" s="88"/>
      <c r="CK232" s="85"/>
      <c r="CL232" s="86"/>
      <c r="CM232" s="87"/>
      <c r="CN232" s="87"/>
      <c r="CO232" s="88"/>
      <c r="CP232" s="85"/>
      <c r="CQ232" s="86"/>
      <c r="CR232" s="87"/>
      <c r="CS232" s="87"/>
      <c r="CT232" s="88"/>
      <c r="CU232" s="85"/>
      <c r="CV232" s="86"/>
      <c r="CW232" s="87"/>
      <c r="CX232" s="87"/>
      <c r="CY232" s="88"/>
      <c r="CZ232" s="85"/>
    </row>
    <row r="233" spans="1:104" ht="12.75" customHeight="1">
      <c r="A233" s="1817"/>
      <c r="B233" s="1817"/>
      <c r="C233" s="139" t="s">
        <v>532</v>
      </c>
      <c r="D233" s="139"/>
      <c r="E233" s="2120"/>
      <c r="F233" s="2121"/>
      <c r="G233" s="2121"/>
      <c r="H233" s="2121"/>
      <c r="I233" s="1859"/>
      <c r="J233" s="1859"/>
      <c r="L233" s="2001"/>
      <c r="M233" s="82"/>
      <c r="N233" s="83"/>
      <c r="O233" s="83"/>
      <c r="P233" s="84"/>
      <c r="Q233" s="81"/>
      <c r="R233" s="82"/>
      <c r="S233" s="83"/>
      <c r="T233" s="83"/>
      <c r="U233" s="84"/>
      <c r="V233" s="81"/>
      <c r="W233" s="82"/>
      <c r="X233" s="83"/>
      <c r="Y233" s="83"/>
      <c r="Z233" s="84"/>
      <c r="AA233" s="81"/>
      <c r="AB233" s="82"/>
      <c r="AC233" s="83"/>
      <c r="AD233" s="83"/>
      <c r="AE233" s="84"/>
      <c r="AF233" s="81"/>
      <c r="AG233" s="82"/>
      <c r="AH233" s="83"/>
      <c r="AI233" s="83"/>
      <c r="AJ233" s="84"/>
      <c r="AK233" s="81"/>
      <c r="AL233" s="82"/>
      <c r="AM233" s="83"/>
      <c r="AN233" s="83"/>
      <c r="AO233" s="84"/>
      <c r="AP233" s="81"/>
      <c r="AQ233" s="82"/>
      <c r="AR233" s="83"/>
      <c r="AS233" s="83"/>
      <c r="AT233" s="84"/>
      <c r="AU233" s="81"/>
      <c r="AV233" s="82"/>
      <c r="AW233" s="83"/>
      <c r="AX233" s="83"/>
      <c r="AY233" s="84"/>
      <c r="AZ233" s="81"/>
      <c r="BA233" s="82"/>
      <c r="BB233" s="83"/>
      <c r="BC233" s="83"/>
      <c r="BD233" s="84"/>
      <c r="BE233" s="81"/>
      <c r="BF233" s="1877"/>
      <c r="BG233" s="2005"/>
      <c r="BH233" s="86"/>
      <c r="BI233" s="87"/>
      <c r="BJ233" s="87"/>
      <c r="BK233" s="88"/>
      <c r="BL233" s="85"/>
      <c r="BM233" s="86"/>
      <c r="BN233" s="87"/>
      <c r="BO233" s="87"/>
      <c r="BP233" s="88"/>
      <c r="BQ233" s="85"/>
      <c r="BR233" s="86"/>
      <c r="BS233" s="87"/>
      <c r="BT233" s="87"/>
      <c r="BU233" s="88"/>
      <c r="BV233" s="85"/>
      <c r="BW233" s="86"/>
      <c r="BX233" s="87"/>
      <c r="BY233" s="87"/>
      <c r="BZ233" s="88"/>
      <c r="CA233" s="85"/>
      <c r="CB233" s="86"/>
      <c r="CC233" s="87"/>
      <c r="CD233" s="87"/>
      <c r="CE233" s="88"/>
      <c r="CF233" s="85"/>
      <c r="CG233" s="86"/>
      <c r="CH233" s="87"/>
      <c r="CI233" s="87"/>
      <c r="CJ233" s="88"/>
      <c r="CK233" s="85"/>
      <c r="CL233" s="86"/>
      <c r="CM233" s="87"/>
      <c r="CN233" s="87"/>
      <c r="CO233" s="88"/>
      <c r="CP233" s="85"/>
      <c r="CQ233" s="86"/>
      <c r="CR233" s="87"/>
      <c r="CS233" s="87"/>
      <c r="CT233" s="88"/>
      <c r="CU233" s="85"/>
      <c r="CV233" s="86"/>
      <c r="CW233" s="87"/>
      <c r="CX233" s="87"/>
      <c r="CY233" s="88"/>
      <c r="CZ233" s="85"/>
    </row>
    <row r="234" spans="1:104" ht="12.75" customHeight="1">
      <c r="A234" s="1817"/>
      <c r="B234" s="1817"/>
      <c r="C234" s="1829" t="s">
        <v>775</v>
      </c>
      <c r="D234" s="139"/>
      <c r="E234" s="2303"/>
      <c r="F234" s="2304"/>
      <c r="G234" s="2304"/>
      <c r="H234" s="2304"/>
      <c r="I234" s="2305"/>
      <c r="J234" s="2305"/>
      <c r="L234" s="2001"/>
      <c r="M234" s="82"/>
      <c r="N234" s="83"/>
      <c r="O234" s="83"/>
      <c r="P234" s="84"/>
      <c r="Q234" s="81"/>
      <c r="R234" s="82"/>
      <c r="S234" s="83"/>
      <c r="T234" s="83"/>
      <c r="U234" s="84"/>
      <c r="V234" s="81"/>
      <c r="W234" s="82"/>
      <c r="X234" s="83"/>
      <c r="Y234" s="83"/>
      <c r="Z234" s="84"/>
      <c r="AA234" s="81"/>
      <c r="AB234" s="82"/>
      <c r="AC234" s="83"/>
      <c r="AD234" s="83"/>
      <c r="AE234" s="84"/>
      <c r="AF234" s="81"/>
      <c r="AG234" s="82"/>
      <c r="AH234" s="83"/>
      <c r="AI234" s="83"/>
      <c r="AJ234" s="84"/>
      <c r="AK234" s="81"/>
      <c r="AL234" s="82"/>
      <c r="AM234" s="83"/>
      <c r="AN234" s="83"/>
      <c r="AO234" s="84"/>
      <c r="AP234" s="81"/>
      <c r="AQ234" s="82"/>
      <c r="AR234" s="83"/>
      <c r="AS234" s="83"/>
      <c r="AT234" s="84"/>
      <c r="AU234" s="81"/>
      <c r="AV234" s="82"/>
      <c r="AW234" s="83"/>
      <c r="AX234" s="83"/>
      <c r="AY234" s="84"/>
      <c r="AZ234" s="81"/>
      <c r="BA234" s="82"/>
      <c r="BB234" s="83"/>
      <c r="BC234" s="83"/>
      <c r="BD234" s="84"/>
      <c r="BE234" s="81"/>
      <c r="BF234" s="1877"/>
      <c r="BG234" s="2005"/>
      <c r="BH234" s="86"/>
      <c r="BI234" s="87"/>
      <c r="BJ234" s="87"/>
      <c r="BK234" s="88"/>
      <c r="BL234" s="85"/>
      <c r="BM234" s="86"/>
      <c r="BN234" s="87"/>
      <c r="BO234" s="87"/>
      <c r="BP234" s="88"/>
      <c r="BQ234" s="85"/>
      <c r="BR234" s="86"/>
      <c r="BS234" s="87"/>
      <c r="BT234" s="87"/>
      <c r="BU234" s="88"/>
      <c r="BV234" s="85"/>
      <c r="BW234" s="86"/>
      <c r="BX234" s="87"/>
      <c r="BY234" s="87"/>
      <c r="BZ234" s="88"/>
      <c r="CA234" s="85"/>
      <c r="CB234" s="86"/>
      <c r="CC234" s="87"/>
      <c r="CD234" s="87"/>
      <c r="CE234" s="88"/>
      <c r="CF234" s="85"/>
      <c r="CG234" s="86"/>
      <c r="CH234" s="87"/>
      <c r="CI234" s="87"/>
      <c r="CJ234" s="88"/>
      <c r="CK234" s="85"/>
      <c r="CL234" s="86"/>
      <c r="CM234" s="87"/>
      <c r="CN234" s="87"/>
      <c r="CO234" s="88"/>
      <c r="CP234" s="85"/>
      <c r="CQ234" s="86"/>
      <c r="CR234" s="87"/>
      <c r="CS234" s="87"/>
      <c r="CT234" s="88"/>
      <c r="CU234" s="85"/>
      <c r="CV234" s="86"/>
      <c r="CW234" s="87"/>
      <c r="CX234" s="87"/>
      <c r="CY234" s="88"/>
      <c r="CZ234" s="85"/>
    </row>
    <row r="235" spans="1:104" ht="12.75" customHeight="1">
      <c r="A235" s="1817"/>
      <c r="B235" s="2128"/>
      <c r="C235" s="2119">
        <v>3.0499999999999999E-2</v>
      </c>
      <c r="D235" s="2117"/>
      <c r="E235" s="2115">
        <f t="shared" ref="E235:E240" si="3534">IF(F235=0,G235,F235)</f>
        <v>200</v>
      </c>
      <c r="F235" s="2313">
        <v>200</v>
      </c>
      <c r="G235" s="1511">
        <v>200</v>
      </c>
      <c r="H235" s="1510">
        <v>2022</v>
      </c>
      <c r="I235" s="1831">
        <v>3.0499999999999999E-2</v>
      </c>
      <c r="J235" s="1832">
        <v>4</v>
      </c>
      <c r="L235" s="2001">
        <f t="shared" ref="L235:L244" si="3535">IF(L$5=$H235,-$E235,0)</f>
        <v>0</v>
      </c>
      <c r="M235" s="82">
        <f t="shared" ref="M235:M242" si="3536">IF(Q235=0,0,IF(Q235&lt;0,IF($J235=3,Q235,IF($J235=2,Q235,IF($J235=1,Q235,0)))))</f>
        <v>0</v>
      </c>
      <c r="N235" s="83">
        <f t="shared" ref="N235:N242" si="3537">IF(Q235=0,0,IF(Q235&lt;0,IF($J235=6,Q235,IF($J235=5,Q235,IF($J235=4,Q235,0)))))</f>
        <v>0</v>
      </c>
      <c r="O235" s="83">
        <f t="shared" ref="O235:O242" si="3538">IF(Q235=0,0,IF(Q235&lt;0,IF($J235=9,Q235,IF($J235=8,Q235,IF($J235=7,Q235,0)))))</f>
        <v>0</v>
      </c>
      <c r="P235" s="84">
        <f t="shared" ref="P235:P242" si="3539">IF(Q235=0,0,IF(Q235&lt;0,IF($J235=12,Q235,IF($J235=11,Q235,IF($J235=10,Q235,0)))))</f>
        <v>0</v>
      </c>
      <c r="Q235" s="81">
        <f t="shared" ref="Q235:Q244" si="3540">IF(Q$5=$H235,-$E235,0)</f>
        <v>0</v>
      </c>
      <c r="R235" s="82">
        <f t="shared" ref="R235:R242" si="3541">IF(V235=0,0,IF(V235&lt;0,IF($J235=3,V235,IF($J235=2,V235,IF($J235=1,V235,0)))))</f>
        <v>0</v>
      </c>
      <c r="S235" s="83">
        <f t="shared" ref="S235:S242" si="3542">IF(V235=0,0,IF(V235&lt;0,IF($J235=6,V235,IF($J235=5,V235,IF($J235=4,V235,0)))))</f>
        <v>0</v>
      </c>
      <c r="T235" s="83">
        <f t="shared" ref="T235:T242" si="3543">IF(V235=0,0,IF(V235&lt;0,IF($J235=9,V235,IF($J235=8,V235,IF($J235=7,V235,0)))))</f>
        <v>0</v>
      </c>
      <c r="U235" s="84">
        <f t="shared" ref="U235:U242" si="3544">IF(V235=0,0,IF(V235&lt;0,IF($J235=12,V235,IF($J235=11,V235,IF($J235=10,V235,0)))))</f>
        <v>0</v>
      </c>
      <c r="V235" s="81">
        <f t="shared" ref="V235:V244" si="3545">IF(V$5=$H235,-$E235,0)</f>
        <v>0</v>
      </c>
      <c r="W235" s="82">
        <f t="shared" ref="W235:W242" si="3546">IF(AA235=0,0,IF(AA235&lt;0,IF($J235=3,AA235,IF($J235=2,AA235,IF($J235=1,AA235,0)))))</f>
        <v>0</v>
      </c>
      <c r="X235" s="83">
        <f t="shared" ref="X235:X242" si="3547">IF(AA235=0,0,IF(AA235&lt;0,IF($J235=6,AA235,IF($J235=5,AA235,IF($J235=4,AA235,0)))))</f>
        <v>0</v>
      </c>
      <c r="Y235" s="83">
        <f t="shared" ref="Y235:Y242" si="3548">IF(AA235=0,0,IF(AA235&lt;0,IF($J235=9,AA235,IF($J235=8,AA235,IF($J235=7,AA235,0)))))</f>
        <v>0</v>
      </c>
      <c r="Z235" s="84">
        <f t="shared" ref="Z235:Z242" si="3549">IF(AA235=0,0,IF(AA235&lt;0,IF($J235=12,AA235,IF($J235=11,AA235,IF($J235=10,AA235,0)))))</f>
        <v>0</v>
      </c>
      <c r="AA235" s="81">
        <f t="shared" ref="AA235:AA244" si="3550">IF(AA$5=$H235,-$E235,0)</f>
        <v>0</v>
      </c>
      <c r="AB235" s="82">
        <f t="shared" ref="AB235:AB242" si="3551">IF(AF235=0,0,IF(AF235&lt;0,IF($J235=3,AF235,IF($J235=2,AF235,IF($J235=1,AF235,0)))))</f>
        <v>0</v>
      </c>
      <c r="AC235" s="83">
        <f t="shared" ref="AC235:AC242" si="3552">IF(AF235=0,0,IF(AF235&lt;0,IF($J235=6,AF235,IF($J235=5,AF235,IF($J235=4,AF235,0)))))</f>
        <v>0</v>
      </c>
      <c r="AD235" s="83">
        <f t="shared" ref="AD235:AD242" si="3553">IF(AF235=0,0,IF(AF235&lt;0,IF($J235=9,AF235,IF($J235=8,AF235,IF($J235=7,AF235,0)))))</f>
        <v>0</v>
      </c>
      <c r="AE235" s="84">
        <f t="shared" ref="AE235:AE242" si="3554">IF(AF235=0,0,IF(AF235&lt;0,IF($J235=12,AF235,IF($J235=11,AF235,IF($J235=10,AF235,0)))))</f>
        <v>0</v>
      </c>
      <c r="AF235" s="81">
        <f t="shared" ref="AF235:AF244" si="3555">IF(AF$5=$H235,-$E235,0)</f>
        <v>0</v>
      </c>
      <c r="AG235" s="82">
        <f t="shared" ref="AG235:AG242" si="3556">IF(AK235=0,0,IF(AK235&lt;0,IF($J235=3,AK235,IF($J235=2,AK235,IF($J235=1,AK235,0)))))</f>
        <v>0</v>
      </c>
      <c r="AH235" s="83">
        <f t="shared" ref="AH235:AH242" si="3557">IF(AK235=0,0,IF(AK235&lt;0,IF($J235=6,AK235,IF($J235=5,AK235,IF($J235=4,AK235,0)))))</f>
        <v>0</v>
      </c>
      <c r="AI235" s="83">
        <f t="shared" ref="AI235:AI242" si="3558">IF(AK235=0,0,IF(AK235&lt;0,IF($J235=9,AK235,IF($J235=8,AK235,IF($J235=7,AK235,0)))))</f>
        <v>0</v>
      </c>
      <c r="AJ235" s="84">
        <f t="shared" ref="AJ235:AJ242" si="3559">IF(AK235=0,0,IF(AK235&lt;0,IF($J235=12,AK235,IF($J235=11,AK235,IF($J235=10,AK235,0)))))</f>
        <v>0</v>
      </c>
      <c r="AK235" s="81">
        <f t="shared" ref="AK235:AK244" si="3560">IF(AK$5=$H235,-$E235,0)</f>
        <v>0</v>
      </c>
      <c r="AL235" s="82">
        <f t="shared" ref="AL235:AL242" si="3561">IF(AP235=0,0,IF(AP235&lt;0,IF($J235=3,AP235,IF($J235=2,AP235,IF($J235=1,AP235,0)))))</f>
        <v>0</v>
      </c>
      <c r="AM235" s="83">
        <f t="shared" ref="AM235:AM242" si="3562">IF(AP235=0,0,IF(AP235&lt;0,IF($J235=6,AP235,IF($J235=5,AP235,IF($J235=4,AP235,0)))))</f>
        <v>0</v>
      </c>
      <c r="AN235" s="83">
        <f t="shared" ref="AN235:AN242" si="3563">IF(AP235=0,0,IF(AP235&lt;0,IF($J235=9,AP235,IF($J235=8,AP235,IF($J235=7,AP235,0)))))</f>
        <v>0</v>
      </c>
      <c r="AO235" s="84">
        <f t="shared" ref="AO235:AO242" si="3564">IF(AP235=0,0,IF(AP235&lt;0,IF($J235=12,AP235,IF($J235=11,AP235,IF($J235=10,AP235,0)))))</f>
        <v>0</v>
      </c>
      <c r="AP235" s="81">
        <f t="shared" ref="AP235:AP244" si="3565">IF(AP$5=$H235,-$E235,0)</f>
        <v>0</v>
      </c>
      <c r="AQ235" s="82">
        <f t="shared" ref="AQ235:AQ242" si="3566">IF(AU235=0,0,IF(AU235&lt;0,IF($J235=3,AU235,IF($J235=2,AU235,IF($J235=1,AU235,0)))))</f>
        <v>0</v>
      </c>
      <c r="AR235" s="83">
        <f t="shared" ref="AR235:AR242" si="3567">IF(AU235=0,0,IF(AU235&lt;0,IF($J235=6,AU235,IF($J235=5,AU235,IF($J235=4,AU235,0)))))</f>
        <v>0</v>
      </c>
      <c r="AS235" s="83">
        <f t="shared" ref="AS235:AS242" si="3568">IF(AU235=0,0,IF(AU235&lt;0,IF($J235=9,AU235,IF($J235=8,AU235,IF($J235=7,AU235,0)))))</f>
        <v>0</v>
      </c>
      <c r="AT235" s="84">
        <f t="shared" ref="AT235:AT242" si="3569">IF(AU235=0,0,IF(AU235&lt;0,IF($J235=12,AU235,IF($J235=11,AU235,IF($J235=10,AU235,0)))))</f>
        <v>0</v>
      </c>
      <c r="AU235" s="81">
        <f t="shared" ref="AU235:AU244" si="3570">IF(AU$5=$H235,-$E235,0)</f>
        <v>0</v>
      </c>
      <c r="AV235" s="82">
        <f t="shared" ref="AV235:AV242" si="3571">IF(AZ235=0,0,IF(AZ235&lt;0,IF($J235=3,AZ235,IF($J235=2,AZ235,IF($J235=1,AZ235,0)))))</f>
        <v>0</v>
      </c>
      <c r="AW235" s="83">
        <f t="shared" ref="AW235:AW242" si="3572">IF(AZ235=0,0,IF(AZ235&lt;0,IF($J235=6,AZ235,IF($J235=5,AZ235,IF($J235=4,AZ235,0)))))</f>
        <v>0</v>
      </c>
      <c r="AX235" s="83">
        <f t="shared" ref="AX235:AX242" si="3573">IF(AZ235=0,0,IF(AZ235&lt;0,IF($J235=9,AZ235,IF($J235=8,AZ235,IF($J235=7,AZ235,0)))))</f>
        <v>0</v>
      </c>
      <c r="AY235" s="84">
        <f t="shared" ref="AY235:AY242" si="3574">IF(AZ235=0,0,IF(AZ235&lt;0,IF($J235=12,AZ235,IF($J235=11,AZ235,IF($J235=10,AZ235,0)))))</f>
        <v>0</v>
      </c>
      <c r="AZ235" s="81">
        <f t="shared" ref="AZ235:AZ244" si="3575">IF(AZ$5=$H235,-$E235,0)</f>
        <v>0</v>
      </c>
      <c r="BA235" s="82">
        <f t="shared" ref="BA235:BA242" si="3576">IF(BE235=0,0,IF(BE235&lt;0,IF($J235=3,BE235,IF($J235=2,BE235,IF($J235=1,BE235,0)))))</f>
        <v>0</v>
      </c>
      <c r="BB235" s="83">
        <f t="shared" ref="BB235:BB242" si="3577">IF(BE235=0,0,IF(BE235&lt;0,IF($J235=6,BE235,IF($J235=5,BE235,IF($J235=4,BE235,0)))))</f>
        <v>0</v>
      </c>
      <c r="BC235" s="83">
        <f t="shared" ref="BC235:BC242" si="3578">IF(BE235=0,0,IF(BE235&lt;0,IF($J235=9,BE235,IF($J235=8,BE235,IF($J235=7,BE235,0)))))</f>
        <v>0</v>
      </c>
      <c r="BD235" s="84">
        <f t="shared" ref="BD235:BD242" si="3579">IF(BE235=0,0,IF(BE235&lt;0,IF($J235=12,BE235,IF($J235=11,BE235,IF($J235=10,BE235,0)))))</f>
        <v>0</v>
      </c>
      <c r="BE235" s="81">
        <f t="shared" ref="BE235:BE244" si="3580">IF(BE$5=$H235,-$E235,0)</f>
        <v>0</v>
      </c>
      <c r="BF235" s="1877"/>
      <c r="BG235" s="2005">
        <f t="shared" ref="BG235:BG243" si="3581">IF(AND(BF235&lt;&gt;0,BF$5=$H235),-$I235*$E235-BF235,IF(BG$5=$H235,-$I235*$E235*(12-$J235+1)/12,0))</f>
        <v>0</v>
      </c>
      <c r="BH235" s="86">
        <f t="shared" ref="BH235:BH242" si="3582">IF($H235&lt;&gt;BL$5,0,IF(BL235&lt;0,IF($J235=1,-$E235*$I235/12*3,IF($J235=2,-$E235*$I235/12*2,IF($J235=3,-$E235*$I235/12*1,0)))))+IF(BG$5&lt;&gt;$H235,0,IF(BG235&lt;0,IF($J235=1,-$E235*$I235/12*0,IF($J235=2,-$E235*$I235/12*1,IF($J235=3,-$E235*$I235/12*2,IF($J235&gt;=4,-$E235*$I235/12*3,0))))))</f>
        <v>0</v>
      </c>
      <c r="BI235" s="87">
        <f t="shared" ref="BI235:BI242" si="3583">IF($H235&lt;&gt;BL$5,0,IF(BL235&lt;0,IF(OR($J235=1,$J235=2,$J235=3,$J235=4),-$E235*$I235/12*3,IF($J235=5,-$E235*$I235/12*2,IF($J235=6,-$E235*$I235/12*1,0)))))+IF(BG$5&lt;&gt;$H235,0,IF(BG235&lt;0,IF($J235=4,-$E235*$I235/12*0,IF($J235=5,-$E235*$I235/12*1,IF($J235=6,-$E235*$I235/12*2,IF($J235&gt;=7,-$E235*$I235/12*3,0))))))</f>
        <v>0</v>
      </c>
      <c r="BJ235" s="87">
        <f t="shared" ref="BJ235:BJ242" si="3584">IF($H235&lt;&gt;BL$5,0,IF(BL235&lt;0,IF(OR($J235=1,$J235=2,$J235=3,$J235=4,$J235=5,$J235=6,$J235=7),-$E235*$I235/12*3,IF($J235=8,-$E235*$I235/12*2,IF($J235=9,-$E235*$I235/12*1,0)))))+IF(BG$5&lt;&gt;$H235,0,IF(BG235&lt;0,IF($J235=7,-$E235*$I235/12*0,IF($J235=8,-$E235*$I235/12*1,IF($J235=9,-$E235*$I235/12*2,IF($J235&gt;=10,-$E235*$I235/12*3,0))))))</f>
        <v>0</v>
      </c>
      <c r="BK235" s="88">
        <f t="shared" ref="BK235:BK242" si="3585">IF($H235&lt;&gt;BL$5,0,IF(BL235&lt;0,IF(OR($J235=1,$J235=2,$J235=3,$J235=4,$J235=5,$J235=6,$J235=7,$J235=8,$J235=9,$J235=10),-$E235*$I235/12*3,IF($J235=11,-$E235*$I235/12*2,IF($J235=12,-$E235*$I235/12*1,0)))))+IF(BG$5&lt;&gt;$H235,0,IF(BG235&lt;0,IF($J235=10,-$E235*$I235/12*0,IF($J235=11,-$E235*$I235/12*1,IF($J235=12,-$E235*$I235/12*2,0)))))</f>
        <v>0</v>
      </c>
      <c r="BL235" s="85">
        <f t="shared" ref="BL235:BL242" si="3586">IF(AND(BG235&lt;&gt;0,BG$5=$H235),-$I235*$E235-BG235,IF(BL$5=$H235,-$I235*$E235*(12-$J235+1)/12,0))</f>
        <v>0</v>
      </c>
      <c r="BM235" s="86">
        <f t="shared" ref="BM235:BM242" si="3587">IF($H235&lt;&gt;BQ$5,0,IF(BQ235&lt;0,IF($J235=1,-$E235*$I235/12*3,IF($J235=2,-$E235*$I235/12*2,IF($J235=3,-$E235*$I235/12*1,0)))))+IF(BL$5&lt;&gt;$H235,0,IF(BL235&lt;0,IF($J235=1,-$E235*$I235/12*0,IF($J235=2,-$E235*$I235/12*1,IF($J235=3,-$E235*$I235/12*2,IF($J235&gt;=4,-$E235*$I235/12*3,0))))))</f>
        <v>0</v>
      </c>
      <c r="BN235" s="87">
        <f t="shared" ref="BN235:BN242" si="3588">IF($H235&lt;&gt;BQ$5,0,IF(BQ235&lt;0,IF(OR($J235=1,$J235=2,$J235=3,$J235=4),-$E235*$I235/12*3,IF($J235=5,-$E235*$I235/12*2,IF($J235=6,-$E235*$I235/12*1,0)))))+IF(BL$5&lt;&gt;$H235,0,IF(BL235&lt;0,IF($J235=4,-$E235*$I235/12*0,IF($J235=5,-$E235*$I235/12*1,IF($J235=6,-$E235*$I235/12*2,IF($J235&gt;=7,-$E235*$I235/12*3,0))))))</f>
        <v>0</v>
      </c>
      <c r="BO235" s="87">
        <f t="shared" ref="BO235:BO242" si="3589">IF($H235&lt;&gt;BQ$5,0,IF(BQ235&lt;0,IF(OR($J235=1,$J235=2,$J235=3,$J235=4,$J235=5,$J235=6,$J235=7),-$E235*$I235/12*3,IF($J235=8,-$E235*$I235/12*2,IF($J235=9,-$E235*$I235/12*1,0)))))+IF(BL$5&lt;&gt;$H235,0,IF(BL235&lt;0,IF($J235=7,-$E235*$I235/12*0,IF($J235=8,-$E235*$I235/12*1,IF($J235=9,-$E235*$I235/12*2,IF($J235&gt;=10,-$E235*$I235/12*3,0))))))</f>
        <v>0</v>
      </c>
      <c r="BP235" s="88">
        <f t="shared" ref="BP235:BP242" si="3590">IF($H235&lt;&gt;BQ$5,0,IF(BQ235&lt;0,IF(OR($J235=1,$J235=2,$J235=3,$J235=4,$J235=5,$J235=6,$J235=7,$J235=8,$J235=9,$J235=10),-$E235*$I235/12*3,IF($J235=11,-$E235*$I235/12*2,IF($J235=12,-$E235*$I235/12*1,0)))))+IF(BL$5&lt;&gt;$H235,0,IF(BL235&lt;0,IF($J235=10,-$E235*$I235/12*0,IF($J235=11,-$E235*$I235/12*1,IF($J235=12,-$E235*$I235/12*2,0)))))</f>
        <v>0</v>
      </c>
      <c r="BQ235" s="85">
        <f t="shared" ref="BQ235:BQ242" si="3591">IF(AND(BL235&lt;&gt;0,BL$5=$H235),-$I235*$E235-BL235,IF(BQ$5=$H235,-$I235*$E235*(12-$J235+1)/12,0))</f>
        <v>0</v>
      </c>
      <c r="BR235" s="86">
        <f t="shared" ref="BR235:BR242" si="3592">IF($H235&lt;&gt;BV$5,0,IF(BV235&lt;0,IF($J235=1,-$E235*$I235/12*3,IF($J235=2,-$E235*$I235/12*2,IF($J235=3,-$E235*$I235/12*1,0)))))+IF(BQ$5&lt;&gt;$H235,0,IF(BQ235&lt;0,IF($J235=1,-$E235*$I235/12*0,IF($J235=2,-$E235*$I235/12*1,IF($J235=3,-$E235*$I235/12*2,IF($J235&gt;=4,-$E235*$I235/12*3,0))))))</f>
        <v>0</v>
      </c>
      <c r="BS235" s="87">
        <f t="shared" ref="BS235:BS242" si="3593">IF($H235&lt;&gt;BV$5,0,IF(BV235&lt;0,IF(OR($J235=1,$J235=2,$J235=3,$J235=4),-$E235*$I235/12*3,IF($J235=5,-$E235*$I235/12*2,IF($J235=6,-$E235*$I235/12*1,0)))))+IF(BQ$5&lt;&gt;$H235,0,IF(BQ235&lt;0,IF($J235=4,-$E235*$I235/12*0,IF($J235=5,-$E235*$I235/12*1,IF($J235=6,-$E235*$I235/12*2,IF($J235&gt;=7,-$E235*$I235/12*3,0))))))</f>
        <v>0</v>
      </c>
      <c r="BT235" s="87">
        <f t="shared" ref="BT235:BT242" si="3594">IF($H235&lt;&gt;BV$5,0,IF(BV235&lt;0,IF(OR($J235=1,$J235=2,$J235=3,$J235=4,$J235=5,$J235=6,$J235=7),-$E235*$I235/12*3,IF($J235=8,-$E235*$I235/12*2,IF($J235=9,-$E235*$I235/12*1,0)))))+IF(BQ$5&lt;&gt;$H235,0,IF(BQ235&lt;0,IF($J235=7,-$E235*$I235/12*0,IF($J235=8,-$E235*$I235/12*1,IF($J235=9,-$E235*$I235/12*2,IF($J235&gt;=10,-$E235*$I235/12*3,0))))))</f>
        <v>0</v>
      </c>
      <c r="BU235" s="88">
        <f t="shared" ref="BU235:BU242" si="3595">IF($H235&lt;&gt;BV$5,0,IF(BV235&lt;0,IF(OR($J235=1,$J235=2,$J235=3,$J235=4,$J235=5,$J235=6,$J235=7,$J235=8,$J235=9,$J235=10),-$E235*$I235/12*3,IF($J235=11,-$E235*$I235/12*2,IF($J235=12,-$E235*$I235/12*1,0)))))+IF(BQ$5&lt;&gt;$H235,0,IF(BQ235&lt;0,IF($J235=10,-$E235*$I235/12*0,IF($J235=11,-$E235*$I235/12*1,IF($J235=12,-$E235*$I235/12*2,0)))))</f>
        <v>0</v>
      </c>
      <c r="BV235" s="85">
        <f t="shared" ref="BV235:BV242" si="3596">IF(AND(BQ235&lt;&gt;0,BQ$5=$H235),-$I235*$E235-BQ235,IF(BV$5=$H235,-$I235*$E235*(12-$J235+1)/12,0))</f>
        <v>0</v>
      </c>
      <c r="BW235" s="86">
        <f t="shared" ref="BW235:BW242" si="3597">IF($H235&lt;&gt;CA$5,0,IF(CA235&lt;0,IF($J235=1,-$E235*$I235/12*3,IF($J235=2,-$E235*$I235/12*2,IF($J235=3,-$E235*$I235/12*1,0)))))+IF(BV$5&lt;&gt;$H235,0,IF(BV235&lt;0,IF($J235=1,-$E235*$I235/12*0,IF($J235=2,-$E235*$I235/12*1,IF($J235=3,-$E235*$I235/12*2,IF($J235&gt;=4,-$E235*$I235/12*3,0))))))</f>
        <v>0</v>
      </c>
      <c r="BX235" s="87">
        <f t="shared" ref="BX235:BX242" si="3598">IF($H235&lt;&gt;CA$5,0,IF(CA235&lt;0,IF(OR($J235=1,$J235=2,$J235=3,$J235=4),-$E235*$I235/12*3,IF($J235=5,-$E235*$I235/12*2,IF($J235=6,-$E235*$I235/12*1,0)))))+IF(BV$5&lt;&gt;$H235,0,IF(BV235&lt;0,IF($J235=4,-$E235*$I235/12*0,IF($J235=5,-$E235*$I235/12*1,IF($J235=6,-$E235*$I235/12*2,IF($J235&gt;=7,-$E235*$I235/12*3,0))))))</f>
        <v>0</v>
      </c>
      <c r="BY235" s="87">
        <f t="shared" ref="BY235:BY242" si="3599">IF($H235&lt;&gt;CA$5,0,IF(CA235&lt;0,IF(OR($J235=1,$J235=2,$J235=3,$J235=4,$J235=5,$J235=6,$J235=7),-$E235*$I235/12*3,IF($J235=8,-$E235*$I235/12*2,IF($J235=9,-$E235*$I235/12*1,0)))))+IF(BV$5&lt;&gt;$H235,0,IF(BV235&lt;0,IF($J235=7,-$E235*$I235/12*0,IF($J235=8,-$E235*$I235/12*1,IF($J235=9,-$E235*$I235/12*2,IF($J235&gt;=10,-$E235*$I235/12*3,0))))))</f>
        <v>0</v>
      </c>
      <c r="BZ235" s="88">
        <f t="shared" ref="BZ235:BZ242" si="3600">IF($H235&lt;&gt;CA$5,0,IF(CA235&lt;0,IF(OR($J235=1,$J235=2,$J235=3,$J235=4,$J235=5,$J235=6,$J235=7,$J235=8,$J235=9,$J235=10),-$E235*$I235/12*3,IF($J235=11,-$E235*$I235/12*2,IF($J235=12,-$E235*$I235/12*1,0)))))+IF(BV$5&lt;&gt;$H235,0,IF(BV235&lt;0,IF($J235=10,-$E235*$I235/12*0,IF($J235=11,-$E235*$I235/12*1,IF($J235=12,-$E235*$I235/12*2,0)))))</f>
        <v>0</v>
      </c>
      <c r="CA235" s="85">
        <f t="shared" ref="CA235:CA242" si="3601">IF(AND(BV235&lt;&gt;0,BV$5=$H235),-$I235*$E235-BV235,IF(CA$5=$H235,-$I235*$E235*(12-$J235+1)/12,0))</f>
        <v>0</v>
      </c>
      <c r="CB235" s="86">
        <f t="shared" ref="CB235:CB242" si="3602">IF($H235&lt;&gt;CF$5,0,IF(CF235&lt;0,IF($J235=1,-$E235*$I235/12*3,IF($J235=2,-$E235*$I235/12*2,IF($J235=3,-$E235*$I235/12*1,0)))))+IF(CA$5&lt;&gt;$H235,0,IF(CA235&lt;0,IF($J235=1,-$E235*$I235/12*0,IF($J235=2,-$E235*$I235/12*1,IF($J235=3,-$E235*$I235/12*2,IF($J235&gt;=4,-$E235*$I235/12*3,0))))))</f>
        <v>0</v>
      </c>
      <c r="CC235" s="87">
        <f t="shared" ref="CC235:CC242" si="3603">IF($H235&lt;&gt;CF$5,0,IF(CF235&lt;0,IF(OR($J235=1,$J235=2,$J235=3,$J235=4),-$E235*$I235/12*3,IF($J235=5,-$E235*$I235/12*2,IF($J235=6,-$E235*$I235/12*1,0)))))+IF(CA$5&lt;&gt;$H235,0,IF(CA235&lt;0,IF($J235=4,-$E235*$I235/12*0,IF($J235=5,-$E235*$I235/12*1,IF($J235=6,-$E235*$I235/12*2,IF($J235&gt;=7,-$E235*$I235/12*3,0))))))</f>
        <v>0</v>
      </c>
      <c r="CD235" s="87">
        <f t="shared" ref="CD235:CD242" si="3604">IF($H235&lt;&gt;CF$5,0,IF(CF235&lt;0,IF(OR($J235=1,$J235=2,$J235=3,$J235=4,$J235=5,$J235=6,$J235=7),-$E235*$I235/12*3,IF($J235=8,-$E235*$I235/12*2,IF($J235=9,-$E235*$I235/12*1,0)))))+IF(CA$5&lt;&gt;$H235,0,IF(CA235&lt;0,IF($J235=7,-$E235*$I235/12*0,IF($J235=8,-$E235*$I235/12*1,IF($J235=9,-$E235*$I235/12*2,IF($J235&gt;=10,-$E235*$I235/12*3,0))))))</f>
        <v>0</v>
      </c>
      <c r="CE235" s="88">
        <f t="shared" ref="CE235:CE242" si="3605">IF($H235&lt;&gt;CF$5,0,IF(CF235&lt;0,IF(OR($J235=1,$J235=2,$J235=3,$J235=4,$J235=5,$J235=6,$J235=7,$J235=8,$J235=9,$J235=10),-$E235*$I235/12*3,IF($J235=11,-$E235*$I235/12*2,IF($J235=12,-$E235*$I235/12*1,0)))))+IF(CA$5&lt;&gt;$H235,0,IF(CA235&lt;0,IF($J235=10,-$E235*$I235/12*0,IF($J235=11,-$E235*$I235/12*1,IF($J235=12,-$E235*$I235/12*2,0)))))</f>
        <v>0</v>
      </c>
      <c r="CF235" s="85">
        <f t="shared" ref="CF235:CF242" si="3606">IF(AND(CA235&lt;&gt;0,CA$5=$H235),-$I235*$E235-CA235,IF(CF$5=$H235,-$I235*$E235*(12-$J235+1)/12,0))</f>
        <v>0</v>
      </c>
      <c r="CG235" s="86">
        <f t="shared" ref="CG235:CG242" si="3607">IF($H235&lt;&gt;CK$5,0,IF(CK235&lt;0,IF($J235=1,-$E235*$I235/12*3,IF($J235=2,-$E235*$I235/12*2,IF($J235=3,-$E235*$I235/12*1,0)))))+IF(CF$5&lt;&gt;$H235,0,IF(CF235&lt;0,IF($J235=1,-$E235*$I235/12*0,IF($J235=2,-$E235*$I235/12*1,IF($J235=3,-$E235*$I235/12*2,IF($J235&gt;=4,-$E235*$I235/12*3,0))))))</f>
        <v>0</v>
      </c>
      <c r="CH235" s="87">
        <f t="shared" ref="CH235:CH242" si="3608">IF($H235&lt;&gt;CK$5,0,IF(CK235&lt;0,IF(OR($J235=1,$J235=2,$J235=3,$J235=4),-$E235*$I235/12*3,IF($J235=5,-$E235*$I235/12*2,IF($J235=6,-$E235*$I235/12*1,0)))))+IF(CF$5&lt;&gt;$H235,0,IF(CF235&lt;0,IF($J235=4,-$E235*$I235/12*0,IF($J235=5,-$E235*$I235/12*1,IF($J235=6,-$E235*$I235/12*2,IF($J235&gt;=7,-$E235*$I235/12*3,0))))))</f>
        <v>0</v>
      </c>
      <c r="CI235" s="87">
        <f t="shared" ref="CI235:CI242" si="3609">IF($H235&lt;&gt;CK$5,0,IF(CK235&lt;0,IF(OR($J235=1,$J235=2,$J235=3,$J235=4,$J235=5,$J235=6,$J235=7),-$E235*$I235/12*3,IF($J235=8,-$E235*$I235/12*2,IF($J235=9,-$E235*$I235/12*1,0)))))+IF(CF$5&lt;&gt;$H235,0,IF(CF235&lt;0,IF($J235=7,-$E235*$I235/12*0,IF($J235=8,-$E235*$I235/12*1,IF($J235=9,-$E235*$I235/12*2,IF($J235&gt;=10,-$E235*$I235/12*3,0))))))</f>
        <v>0</v>
      </c>
      <c r="CJ235" s="88">
        <f t="shared" ref="CJ235:CJ242" si="3610">IF($H235&lt;&gt;CK$5,0,IF(CK235&lt;0,IF(OR($J235=1,$J235=2,$J235=3,$J235=4,$J235=5,$J235=6,$J235=7,$J235=8,$J235=9,$J235=10),-$E235*$I235/12*3,IF($J235=11,-$E235*$I235/12*2,IF($J235=12,-$E235*$I235/12*1,0)))))+IF(CF$5&lt;&gt;$H235,0,IF(CF235&lt;0,IF($J235=10,-$E235*$I235/12*0,IF($J235=11,-$E235*$I235/12*1,IF($J235=12,-$E235*$I235/12*2,0)))))</f>
        <v>0</v>
      </c>
      <c r="CK235" s="85">
        <f t="shared" ref="CK235:CK242" si="3611">IF(AND(CF235&lt;&gt;0,CF$5=$H235),-$I235*$E235-CF235,IF(CK$5=$H235,-$I235*$E235*(12-$J235+1)/12,0))</f>
        <v>0</v>
      </c>
      <c r="CL235" s="86">
        <f t="shared" ref="CL235:CL242" si="3612">IF($H235&lt;&gt;CP$5,0,IF(CP235&lt;0,IF($J235=1,-$E235*$I235/12*3,IF($J235=2,-$E235*$I235/12*2,IF($J235=3,-$E235*$I235/12*1,0)))))+IF(CK$5&lt;&gt;$H235,0,IF(CK235&lt;0,IF($J235=1,-$E235*$I235/12*0,IF($J235=2,-$E235*$I235/12*1,IF($J235=3,-$E235*$I235/12*2,IF($J235&gt;=4,-$E235*$I235/12*3,0))))))</f>
        <v>0</v>
      </c>
      <c r="CM235" s="87">
        <f t="shared" ref="CM235:CM242" si="3613">IF($H235&lt;&gt;CP$5,0,IF(CP235&lt;0,IF(OR($J235=1,$J235=2,$J235=3,$J235=4),-$E235*$I235/12*3,IF($J235=5,-$E235*$I235/12*2,IF($J235=6,-$E235*$I235/12*1,0)))))+IF(CK$5&lt;&gt;$H235,0,IF(CK235&lt;0,IF($J235=4,-$E235*$I235/12*0,IF($J235=5,-$E235*$I235/12*1,IF($J235=6,-$E235*$I235/12*2,IF($J235&gt;=7,-$E235*$I235/12*3,0))))))</f>
        <v>0</v>
      </c>
      <c r="CN235" s="87">
        <f t="shared" ref="CN235:CN242" si="3614">IF($H235&lt;&gt;CP$5,0,IF(CP235&lt;0,IF(OR($J235=1,$J235=2,$J235=3,$J235=4,$J235=5,$J235=6,$J235=7),-$E235*$I235/12*3,IF($J235=8,-$E235*$I235/12*2,IF($J235=9,-$E235*$I235/12*1,0)))))+IF(CK$5&lt;&gt;$H235,0,IF(CK235&lt;0,IF($J235=7,-$E235*$I235/12*0,IF($J235=8,-$E235*$I235/12*1,IF($J235=9,-$E235*$I235/12*2,IF($J235&gt;=10,-$E235*$I235/12*3,0))))))</f>
        <v>0</v>
      </c>
      <c r="CO235" s="88">
        <f t="shared" ref="CO235:CO242" si="3615">IF($H235&lt;&gt;CP$5,0,IF(CP235&lt;0,IF(OR($J235=1,$J235=2,$J235=3,$J235=4,$J235=5,$J235=6,$J235=7,$J235=8,$J235=9,$J235=10),-$E235*$I235/12*3,IF($J235=11,-$E235*$I235/12*2,IF($J235=12,-$E235*$I235/12*1,0)))))+IF(CK$5&lt;&gt;$H235,0,IF(CK235&lt;0,IF($J235=10,-$E235*$I235/12*0,IF($J235=11,-$E235*$I235/12*1,IF($J235=12,-$E235*$I235/12*2,0)))))</f>
        <v>0</v>
      </c>
      <c r="CP235" s="85">
        <f t="shared" ref="CP235:CP242" si="3616">IF(AND(CK235&lt;&gt;0,CK$5=$H235),-$I235*$E235-CK235,IF(CP$5=$H235,-$I235*$E235*(12-$J235+1)/12,0))</f>
        <v>0</v>
      </c>
      <c r="CQ235" s="86">
        <f t="shared" ref="CQ235:CQ242" si="3617">IF($H235&lt;&gt;CU$5,0,IF(CU235&lt;0,IF($J235=1,-$E235*$I235/12*3,IF($J235=2,-$E235*$I235/12*2,IF($J235=3,-$E235*$I235/12*1,0)))))+IF(CP$5&lt;&gt;$H235,0,IF(CP235&lt;0,IF($J235=1,-$E235*$I235/12*0,IF($J235=2,-$E235*$I235/12*1,IF($J235=3,-$E235*$I235/12*2,IF($J235&gt;=4,-$E235*$I235/12*3,0))))))</f>
        <v>0</v>
      </c>
      <c r="CR235" s="87">
        <f t="shared" ref="CR235:CR242" si="3618">IF($H235&lt;&gt;CU$5,0,IF(CU235&lt;0,IF(OR($J235=1,$J235=2,$J235=3,$J235=4),-$E235*$I235/12*3,IF($J235=5,-$E235*$I235/12*2,IF($J235=6,-$E235*$I235/12*1,0)))))+IF(CP$5&lt;&gt;$H235,0,IF(CP235&lt;0,IF($J235=4,-$E235*$I235/12*0,IF($J235=5,-$E235*$I235/12*1,IF($J235=6,-$E235*$I235/12*2,IF($J235&gt;=7,-$E235*$I235/12*3,0))))))</f>
        <v>0</v>
      </c>
      <c r="CS235" s="87">
        <f t="shared" ref="CS235:CS242" si="3619">IF($H235&lt;&gt;CU$5,0,IF(CU235&lt;0,IF(OR($J235=1,$J235=2,$J235=3,$J235=4,$J235=5,$J235=6,$J235=7),-$E235*$I235/12*3,IF($J235=8,-$E235*$I235/12*2,IF($J235=9,-$E235*$I235/12*1,0)))))+IF(CP$5&lt;&gt;$H235,0,IF(CP235&lt;0,IF($J235=7,-$E235*$I235/12*0,IF($J235=8,-$E235*$I235/12*1,IF($J235=9,-$E235*$I235/12*2,IF($J235&gt;=10,-$E235*$I235/12*3,0))))))</f>
        <v>0</v>
      </c>
      <c r="CT235" s="88">
        <f t="shared" ref="CT235:CT242" si="3620">IF($H235&lt;&gt;CU$5,0,IF(CU235&lt;0,IF(OR($J235=1,$J235=2,$J235=3,$J235=4,$J235=5,$J235=6,$J235=7,$J235=8,$J235=9,$J235=10),-$E235*$I235/12*3,IF($J235=11,-$E235*$I235/12*2,IF($J235=12,-$E235*$I235/12*1,0)))))+IF(CP$5&lt;&gt;$H235,0,IF(CP235&lt;0,IF($J235=10,-$E235*$I235/12*0,IF($J235=11,-$E235*$I235/12*1,IF($J235=12,-$E235*$I235/12*2,0)))))</f>
        <v>0</v>
      </c>
      <c r="CU235" s="85">
        <f t="shared" ref="CU235:CU242" si="3621">IF(AND(CP235&lt;&gt;0,CP$5=$H235),-$I235*$E235-CP235,IF(CU$5=$H235,-$I235*$E235*(12-$J235+1)/12,0))</f>
        <v>0</v>
      </c>
      <c r="CV235" s="86">
        <f t="shared" ref="CV235:CV242" si="3622">IF($H235&lt;&gt;CZ$5,0,IF(CZ235&lt;0,IF($J235=1,-$E235*$I235/12*3,IF($J235=2,-$E235*$I235/12*2,IF($J235=3,-$E235*$I235/12*1,0)))))+IF(CU$5&lt;&gt;$H235,0,IF(CU235&lt;0,IF($J235=1,-$E235*$I235/12*0,IF($J235=2,-$E235*$I235/12*1,IF($J235=3,-$E235*$I235/12*2,IF($J235&gt;=4,-$E235*$I235/12*3,0))))))</f>
        <v>0</v>
      </c>
      <c r="CW235" s="87">
        <f t="shared" ref="CW235:CW242" si="3623">IF($H235&lt;&gt;CZ$5,0,IF(CZ235&lt;0,IF(OR($J235=1,$J235=2,$J235=3,$J235=4),-$E235*$I235/12*3,IF($J235=5,-$E235*$I235/12*2,IF($J235=6,-$E235*$I235/12*1,0)))))+IF(CU$5&lt;&gt;$H235,0,IF(CU235&lt;0,IF($J235=4,-$E235*$I235/12*0,IF($J235=5,-$E235*$I235/12*1,IF($J235=6,-$E235*$I235/12*2,IF($J235&gt;=7,-$E235*$I235/12*3,0))))))</f>
        <v>0</v>
      </c>
      <c r="CX235" s="87">
        <f t="shared" ref="CX235:CX242" si="3624">IF($H235&lt;&gt;CZ$5,0,IF(CZ235&lt;0,IF(OR($J235=1,$J235=2,$J235=3,$J235=4,$J235=5,$J235=6,$J235=7),-$E235*$I235/12*3,IF($J235=8,-$E235*$I235/12*2,IF($J235=9,-$E235*$I235/12*1,0)))))+IF(CU$5&lt;&gt;$H235,0,IF(CU235&lt;0,IF($J235=7,-$E235*$I235/12*0,IF($J235=8,-$E235*$I235/12*1,IF($J235=9,-$E235*$I235/12*2,IF($J235&gt;=10,-$E235*$I235/12*3,0))))))</f>
        <v>0</v>
      </c>
      <c r="CY235" s="88">
        <f t="shared" ref="CY235:CY242" si="3625">IF($H235&lt;&gt;CZ$5,0,IF(CZ235&lt;0,IF(OR($J235=1,$J235=2,$J235=3,$J235=4,$J235=5,$J235=6,$J235=7,$J235=8,$J235=9,$J235=10),-$E235*$I235/12*3,IF($J235=11,-$E235*$I235/12*2,IF($J235=12,-$E235*$I235/12*1,0)))))+IF(CU$5&lt;&gt;$H235,0,IF(CU235&lt;0,IF($J235=10,-$E235*$I235/12*0,IF($J235=11,-$E235*$I235/12*1,IF($J235=12,-$E235*$I235/12*2,0)))))</f>
        <v>0</v>
      </c>
      <c r="CZ235" s="85">
        <f t="shared" ref="CZ235:CZ242" si="3626">IF(AND(CU235&lt;&gt;0,CU$5=$H235),-$I235*$E235-CU235,IF(CZ$5=$H235,-$I235*$E235*(12-$J235+1)/12,0))</f>
        <v>0</v>
      </c>
    </row>
    <row r="236" spans="1:104" ht="12.75" customHeight="1">
      <c r="A236" s="1817"/>
      <c r="B236" s="2128"/>
      <c r="C236" s="2119">
        <v>6.2E-2</v>
      </c>
      <c r="D236" s="2117"/>
      <c r="E236" s="2115">
        <f t="shared" si="3534"/>
        <v>109.5</v>
      </c>
      <c r="F236" s="2313">
        <v>109.5</v>
      </c>
      <c r="G236" s="1511">
        <v>109.5</v>
      </c>
      <c r="H236" s="1510">
        <v>2022</v>
      </c>
      <c r="I236" s="1831">
        <v>6.2E-2</v>
      </c>
      <c r="J236" s="1832">
        <v>7</v>
      </c>
      <c r="L236" s="2001">
        <f t="shared" si="3535"/>
        <v>0</v>
      </c>
      <c r="M236" s="82">
        <f t="shared" si="3536"/>
        <v>0</v>
      </c>
      <c r="N236" s="83">
        <f t="shared" si="3537"/>
        <v>0</v>
      </c>
      <c r="O236" s="83">
        <f t="shared" si="3538"/>
        <v>0</v>
      </c>
      <c r="P236" s="84">
        <f t="shared" si="3539"/>
        <v>0</v>
      </c>
      <c r="Q236" s="81">
        <f t="shared" si="3540"/>
        <v>0</v>
      </c>
      <c r="R236" s="82">
        <f t="shared" si="3541"/>
        <v>0</v>
      </c>
      <c r="S236" s="83">
        <f t="shared" si="3542"/>
        <v>0</v>
      </c>
      <c r="T236" s="83">
        <f t="shared" si="3543"/>
        <v>0</v>
      </c>
      <c r="U236" s="84">
        <f t="shared" si="3544"/>
        <v>0</v>
      </c>
      <c r="V236" s="81">
        <f t="shared" si="3545"/>
        <v>0</v>
      </c>
      <c r="W236" s="82">
        <f t="shared" si="3546"/>
        <v>0</v>
      </c>
      <c r="X236" s="83">
        <f t="shared" si="3547"/>
        <v>0</v>
      </c>
      <c r="Y236" s="83">
        <f t="shared" si="3548"/>
        <v>0</v>
      </c>
      <c r="Z236" s="84">
        <f t="shared" si="3549"/>
        <v>0</v>
      </c>
      <c r="AA236" s="81">
        <f t="shared" si="3550"/>
        <v>0</v>
      </c>
      <c r="AB236" s="82">
        <f t="shared" si="3551"/>
        <v>0</v>
      </c>
      <c r="AC236" s="83">
        <f t="shared" si="3552"/>
        <v>0</v>
      </c>
      <c r="AD236" s="83">
        <f t="shared" si="3553"/>
        <v>0</v>
      </c>
      <c r="AE236" s="84">
        <f t="shared" si="3554"/>
        <v>0</v>
      </c>
      <c r="AF236" s="81">
        <f t="shared" si="3555"/>
        <v>0</v>
      </c>
      <c r="AG236" s="82">
        <f t="shared" si="3556"/>
        <v>0</v>
      </c>
      <c r="AH236" s="83">
        <f t="shared" si="3557"/>
        <v>0</v>
      </c>
      <c r="AI236" s="83">
        <f t="shared" si="3558"/>
        <v>0</v>
      </c>
      <c r="AJ236" s="84">
        <f t="shared" si="3559"/>
        <v>0</v>
      </c>
      <c r="AK236" s="81">
        <f t="shared" si="3560"/>
        <v>0</v>
      </c>
      <c r="AL236" s="82">
        <f t="shared" si="3561"/>
        <v>0</v>
      </c>
      <c r="AM236" s="83">
        <f t="shared" si="3562"/>
        <v>0</v>
      </c>
      <c r="AN236" s="83">
        <f t="shared" si="3563"/>
        <v>0</v>
      </c>
      <c r="AO236" s="84">
        <f t="shared" si="3564"/>
        <v>0</v>
      </c>
      <c r="AP236" s="81">
        <f t="shared" si="3565"/>
        <v>0</v>
      </c>
      <c r="AQ236" s="82">
        <f t="shared" si="3566"/>
        <v>0</v>
      </c>
      <c r="AR236" s="83">
        <f t="shared" si="3567"/>
        <v>0</v>
      </c>
      <c r="AS236" s="83">
        <f t="shared" si="3568"/>
        <v>0</v>
      </c>
      <c r="AT236" s="84">
        <f t="shared" si="3569"/>
        <v>0</v>
      </c>
      <c r="AU236" s="81">
        <f t="shared" si="3570"/>
        <v>0</v>
      </c>
      <c r="AV236" s="82">
        <f t="shared" si="3571"/>
        <v>0</v>
      </c>
      <c r="AW236" s="83">
        <f t="shared" si="3572"/>
        <v>0</v>
      </c>
      <c r="AX236" s="83">
        <f t="shared" si="3573"/>
        <v>0</v>
      </c>
      <c r="AY236" s="84">
        <f t="shared" si="3574"/>
        <v>0</v>
      </c>
      <c r="AZ236" s="81">
        <f t="shared" si="3575"/>
        <v>0</v>
      </c>
      <c r="BA236" s="82">
        <f t="shared" si="3576"/>
        <v>0</v>
      </c>
      <c r="BB236" s="83">
        <f t="shared" si="3577"/>
        <v>0</v>
      </c>
      <c r="BC236" s="83">
        <f t="shared" si="3578"/>
        <v>0</v>
      </c>
      <c r="BD236" s="84">
        <f t="shared" si="3579"/>
        <v>0</v>
      </c>
      <c r="BE236" s="81">
        <f t="shared" si="3580"/>
        <v>0</v>
      </c>
      <c r="BF236" s="1877"/>
      <c r="BG236" s="2005">
        <f t="shared" si="3581"/>
        <v>0</v>
      </c>
      <c r="BH236" s="86">
        <f t="shared" si="3582"/>
        <v>0</v>
      </c>
      <c r="BI236" s="87">
        <f t="shared" si="3583"/>
        <v>0</v>
      </c>
      <c r="BJ236" s="87">
        <f t="shared" si="3584"/>
        <v>0</v>
      </c>
      <c r="BK236" s="88">
        <f t="shared" si="3585"/>
        <v>0</v>
      </c>
      <c r="BL236" s="85">
        <f t="shared" si="3586"/>
        <v>0</v>
      </c>
      <c r="BM236" s="86">
        <f t="shared" si="3587"/>
        <v>0</v>
      </c>
      <c r="BN236" s="87">
        <f t="shared" si="3588"/>
        <v>0</v>
      </c>
      <c r="BO236" s="87">
        <f t="shared" si="3589"/>
        <v>0</v>
      </c>
      <c r="BP236" s="88">
        <f t="shared" si="3590"/>
        <v>0</v>
      </c>
      <c r="BQ236" s="85">
        <f t="shared" si="3591"/>
        <v>0</v>
      </c>
      <c r="BR236" s="86">
        <f t="shared" si="3592"/>
        <v>0</v>
      </c>
      <c r="BS236" s="87">
        <f t="shared" si="3593"/>
        <v>0</v>
      </c>
      <c r="BT236" s="87">
        <f t="shared" si="3594"/>
        <v>0</v>
      </c>
      <c r="BU236" s="88">
        <f t="shared" si="3595"/>
        <v>0</v>
      </c>
      <c r="BV236" s="85">
        <f t="shared" si="3596"/>
        <v>0</v>
      </c>
      <c r="BW236" s="86">
        <f t="shared" si="3597"/>
        <v>0</v>
      </c>
      <c r="BX236" s="87">
        <f t="shared" si="3598"/>
        <v>0</v>
      </c>
      <c r="BY236" s="87">
        <f t="shared" si="3599"/>
        <v>0</v>
      </c>
      <c r="BZ236" s="88">
        <f t="shared" si="3600"/>
        <v>0</v>
      </c>
      <c r="CA236" s="85">
        <f t="shared" si="3601"/>
        <v>0</v>
      </c>
      <c r="CB236" s="86">
        <f t="shared" si="3602"/>
        <v>0</v>
      </c>
      <c r="CC236" s="87">
        <f t="shared" si="3603"/>
        <v>0</v>
      </c>
      <c r="CD236" s="87">
        <f t="shared" si="3604"/>
        <v>0</v>
      </c>
      <c r="CE236" s="88">
        <f t="shared" si="3605"/>
        <v>0</v>
      </c>
      <c r="CF236" s="85">
        <f t="shared" si="3606"/>
        <v>0</v>
      </c>
      <c r="CG236" s="86">
        <f t="shared" si="3607"/>
        <v>0</v>
      </c>
      <c r="CH236" s="87">
        <f t="shared" si="3608"/>
        <v>0</v>
      </c>
      <c r="CI236" s="87">
        <f t="shared" si="3609"/>
        <v>0</v>
      </c>
      <c r="CJ236" s="88">
        <f t="shared" si="3610"/>
        <v>0</v>
      </c>
      <c r="CK236" s="85">
        <f t="shared" si="3611"/>
        <v>0</v>
      </c>
      <c r="CL236" s="86">
        <f t="shared" si="3612"/>
        <v>0</v>
      </c>
      <c r="CM236" s="87">
        <f t="shared" si="3613"/>
        <v>0</v>
      </c>
      <c r="CN236" s="87">
        <f t="shared" si="3614"/>
        <v>0</v>
      </c>
      <c r="CO236" s="88">
        <f t="shared" si="3615"/>
        <v>0</v>
      </c>
      <c r="CP236" s="85">
        <f t="shared" si="3616"/>
        <v>0</v>
      </c>
      <c r="CQ236" s="86">
        <f t="shared" si="3617"/>
        <v>0</v>
      </c>
      <c r="CR236" s="87">
        <f t="shared" si="3618"/>
        <v>0</v>
      </c>
      <c r="CS236" s="87">
        <f t="shared" si="3619"/>
        <v>0</v>
      </c>
      <c r="CT236" s="88">
        <f t="shared" si="3620"/>
        <v>0</v>
      </c>
      <c r="CU236" s="85">
        <f t="shared" si="3621"/>
        <v>0</v>
      </c>
      <c r="CV236" s="86">
        <f t="shared" si="3622"/>
        <v>0</v>
      </c>
      <c r="CW236" s="87">
        <f t="shared" si="3623"/>
        <v>0</v>
      </c>
      <c r="CX236" s="87">
        <f t="shared" si="3624"/>
        <v>0</v>
      </c>
      <c r="CY236" s="88">
        <f t="shared" si="3625"/>
        <v>0</v>
      </c>
      <c r="CZ236" s="85">
        <f t="shared" si="3626"/>
        <v>0</v>
      </c>
    </row>
    <row r="237" spans="1:104" ht="12.75" customHeight="1">
      <c r="A237" s="1817"/>
      <c r="B237" s="2128"/>
      <c r="C237" s="2119">
        <v>5.7500000000000002E-2</v>
      </c>
      <c r="D237" s="2117"/>
      <c r="E237" s="2115">
        <f t="shared" si="3534"/>
        <v>100</v>
      </c>
      <c r="F237" s="2313">
        <v>100</v>
      </c>
      <c r="G237" s="1511">
        <v>100</v>
      </c>
      <c r="H237" s="1510">
        <v>2034</v>
      </c>
      <c r="I237" s="1831">
        <v>5.7500000000000002E-2</v>
      </c>
      <c r="J237" s="1832">
        <v>7</v>
      </c>
      <c r="L237" s="2001">
        <f t="shared" si="3535"/>
        <v>0</v>
      </c>
      <c r="M237" s="82">
        <f t="shared" si="3536"/>
        <v>0</v>
      </c>
      <c r="N237" s="83">
        <f t="shared" si="3537"/>
        <v>0</v>
      </c>
      <c r="O237" s="83">
        <f t="shared" si="3538"/>
        <v>0</v>
      </c>
      <c r="P237" s="84">
        <f t="shared" si="3539"/>
        <v>0</v>
      </c>
      <c r="Q237" s="81">
        <f t="shared" si="3540"/>
        <v>0</v>
      </c>
      <c r="R237" s="82">
        <f t="shared" si="3541"/>
        <v>0</v>
      </c>
      <c r="S237" s="83">
        <f t="shared" si="3542"/>
        <v>0</v>
      </c>
      <c r="T237" s="83">
        <f t="shared" si="3543"/>
        <v>0</v>
      </c>
      <c r="U237" s="84">
        <f t="shared" si="3544"/>
        <v>0</v>
      </c>
      <c r="V237" s="81">
        <f t="shared" si="3545"/>
        <v>0</v>
      </c>
      <c r="W237" s="82">
        <f t="shared" si="3546"/>
        <v>0</v>
      </c>
      <c r="X237" s="83">
        <f t="shared" si="3547"/>
        <v>0</v>
      </c>
      <c r="Y237" s="83">
        <f t="shared" si="3548"/>
        <v>0</v>
      </c>
      <c r="Z237" s="84">
        <f t="shared" si="3549"/>
        <v>0</v>
      </c>
      <c r="AA237" s="81">
        <f t="shared" si="3550"/>
        <v>0</v>
      </c>
      <c r="AB237" s="82">
        <f t="shared" si="3551"/>
        <v>0</v>
      </c>
      <c r="AC237" s="83">
        <f t="shared" si="3552"/>
        <v>0</v>
      </c>
      <c r="AD237" s="83">
        <f t="shared" si="3553"/>
        <v>0</v>
      </c>
      <c r="AE237" s="84">
        <f t="shared" si="3554"/>
        <v>0</v>
      </c>
      <c r="AF237" s="81">
        <f t="shared" si="3555"/>
        <v>0</v>
      </c>
      <c r="AG237" s="82">
        <f t="shared" si="3556"/>
        <v>0</v>
      </c>
      <c r="AH237" s="83">
        <f t="shared" si="3557"/>
        <v>0</v>
      </c>
      <c r="AI237" s="83">
        <f t="shared" si="3558"/>
        <v>0</v>
      </c>
      <c r="AJ237" s="84">
        <f t="shared" si="3559"/>
        <v>0</v>
      </c>
      <c r="AK237" s="81">
        <f t="shared" si="3560"/>
        <v>0</v>
      </c>
      <c r="AL237" s="82">
        <f t="shared" si="3561"/>
        <v>0</v>
      </c>
      <c r="AM237" s="83">
        <f t="shared" si="3562"/>
        <v>0</v>
      </c>
      <c r="AN237" s="83">
        <f t="shared" si="3563"/>
        <v>0</v>
      </c>
      <c r="AO237" s="84">
        <f t="shared" si="3564"/>
        <v>0</v>
      </c>
      <c r="AP237" s="81">
        <f t="shared" si="3565"/>
        <v>0</v>
      </c>
      <c r="AQ237" s="82">
        <f t="shared" si="3566"/>
        <v>0</v>
      </c>
      <c r="AR237" s="83">
        <f t="shared" si="3567"/>
        <v>0</v>
      </c>
      <c r="AS237" s="83">
        <f t="shared" si="3568"/>
        <v>0</v>
      </c>
      <c r="AT237" s="84">
        <f t="shared" si="3569"/>
        <v>0</v>
      </c>
      <c r="AU237" s="81">
        <f t="shared" si="3570"/>
        <v>0</v>
      </c>
      <c r="AV237" s="82">
        <f t="shared" si="3571"/>
        <v>0</v>
      </c>
      <c r="AW237" s="83">
        <f t="shared" si="3572"/>
        <v>0</v>
      </c>
      <c r="AX237" s="83">
        <f t="shared" si="3573"/>
        <v>0</v>
      </c>
      <c r="AY237" s="84">
        <f t="shared" si="3574"/>
        <v>0</v>
      </c>
      <c r="AZ237" s="81">
        <f t="shared" si="3575"/>
        <v>0</v>
      </c>
      <c r="BA237" s="82">
        <f t="shared" si="3576"/>
        <v>0</v>
      </c>
      <c r="BB237" s="83">
        <f t="shared" si="3577"/>
        <v>0</v>
      </c>
      <c r="BC237" s="83">
        <f t="shared" si="3578"/>
        <v>0</v>
      </c>
      <c r="BD237" s="84">
        <f t="shared" si="3579"/>
        <v>0</v>
      </c>
      <c r="BE237" s="81">
        <f t="shared" si="3580"/>
        <v>0</v>
      </c>
      <c r="BF237" s="1877"/>
      <c r="BG237" s="2005">
        <f t="shared" si="3581"/>
        <v>0</v>
      </c>
      <c r="BH237" s="86">
        <f t="shared" si="3582"/>
        <v>0</v>
      </c>
      <c r="BI237" s="87">
        <f t="shared" si="3583"/>
        <v>0</v>
      </c>
      <c r="BJ237" s="87">
        <f t="shared" si="3584"/>
        <v>0</v>
      </c>
      <c r="BK237" s="88">
        <f t="shared" si="3585"/>
        <v>0</v>
      </c>
      <c r="BL237" s="85">
        <f t="shared" si="3586"/>
        <v>0</v>
      </c>
      <c r="BM237" s="86">
        <f t="shared" si="3587"/>
        <v>0</v>
      </c>
      <c r="BN237" s="87">
        <f t="shared" si="3588"/>
        <v>0</v>
      </c>
      <c r="BO237" s="87">
        <f t="shared" si="3589"/>
        <v>0</v>
      </c>
      <c r="BP237" s="88">
        <f t="shared" si="3590"/>
        <v>0</v>
      </c>
      <c r="BQ237" s="85">
        <f t="shared" si="3591"/>
        <v>0</v>
      </c>
      <c r="BR237" s="86">
        <f t="shared" si="3592"/>
        <v>0</v>
      </c>
      <c r="BS237" s="87">
        <f t="shared" si="3593"/>
        <v>0</v>
      </c>
      <c r="BT237" s="87">
        <f t="shared" si="3594"/>
        <v>0</v>
      </c>
      <c r="BU237" s="88">
        <f t="shared" si="3595"/>
        <v>0</v>
      </c>
      <c r="BV237" s="85">
        <f t="shared" si="3596"/>
        <v>0</v>
      </c>
      <c r="BW237" s="86">
        <f t="shared" si="3597"/>
        <v>0</v>
      </c>
      <c r="BX237" s="87">
        <f t="shared" si="3598"/>
        <v>0</v>
      </c>
      <c r="BY237" s="87">
        <f t="shared" si="3599"/>
        <v>0</v>
      </c>
      <c r="BZ237" s="88">
        <f t="shared" si="3600"/>
        <v>0</v>
      </c>
      <c r="CA237" s="85">
        <f t="shared" si="3601"/>
        <v>0</v>
      </c>
      <c r="CB237" s="86">
        <f t="shared" si="3602"/>
        <v>0</v>
      </c>
      <c r="CC237" s="87">
        <f t="shared" si="3603"/>
        <v>0</v>
      </c>
      <c r="CD237" s="87">
        <f t="shared" si="3604"/>
        <v>0</v>
      </c>
      <c r="CE237" s="88">
        <f t="shared" si="3605"/>
        <v>0</v>
      </c>
      <c r="CF237" s="85">
        <f t="shared" si="3606"/>
        <v>0</v>
      </c>
      <c r="CG237" s="86">
        <f t="shared" si="3607"/>
        <v>0</v>
      </c>
      <c r="CH237" s="87">
        <f t="shared" si="3608"/>
        <v>0</v>
      </c>
      <c r="CI237" s="87">
        <f t="shared" si="3609"/>
        <v>0</v>
      </c>
      <c r="CJ237" s="88">
        <f t="shared" si="3610"/>
        <v>0</v>
      </c>
      <c r="CK237" s="85">
        <f t="shared" si="3611"/>
        <v>0</v>
      </c>
      <c r="CL237" s="86">
        <f t="shared" si="3612"/>
        <v>0</v>
      </c>
      <c r="CM237" s="87">
        <f t="shared" si="3613"/>
        <v>0</v>
      </c>
      <c r="CN237" s="87">
        <f t="shared" si="3614"/>
        <v>0</v>
      </c>
      <c r="CO237" s="88">
        <f t="shared" si="3615"/>
        <v>0</v>
      </c>
      <c r="CP237" s="85">
        <f t="shared" si="3616"/>
        <v>0</v>
      </c>
      <c r="CQ237" s="86">
        <f t="shared" si="3617"/>
        <v>0</v>
      </c>
      <c r="CR237" s="87">
        <f t="shared" si="3618"/>
        <v>0</v>
      </c>
      <c r="CS237" s="87">
        <f t="shared" si="3619"/>
        <v>0</v>
      </c>
      <c r="CT237" s="88">
        <f t="shared" si="3620"/>
        <v>0</v>
      </c>
      <c r="CU237" s="85">
        <f t="shared" si="3621"/>
        <v>0</v>
      </c>
      <c r="CV237" s="86">
        <f t="shared" si="3622"/>
        <v>0</v>
      </c>
      <c r="CW237" s="87">
        <f t="shared" si="3623"/>
        <v>0</v>
      </c>
      <c r="CX237" s="87">
        <f t="shared" si="3624"/>
        <v>0</v>
      </c>
      <c r="CY237" s="88">
        <f t="shared" si="3625"/>
        <v>0</v>
      </c>
      <c r="CZ237" s="85">
        <f t="shared" si="3626"/>
        <v>0</v>
      </c>
    </row>
    <row r="238" spans="1:104" ht="12.75" customHeight="1">
      <c r="A238" s="1817"/>
      <c r="B238" s="2128"/>
      <c r="C238" s="2119">
        <v>5.3999999999999999E-2</v>
      </c>
      <c r="D238" s="2117"/>
      <c r="E238" s="2115">
        <f t="shared" si="3534"/>
        <v>175</v>
      </c>
      <c r="F238" s="2313">
        <v>175</v>
      </c>
      <c r="G238" s="1511">
        <v>175</v>
      </c>
      <c r="H238" s="1510">
        <v>2035</v>
      </c>
      <c r="I238" s="1831">
        <v>5.3999999999999999E-2</v>
      </c>
      <c r="J238" s="1832">
        <v>7</v>
      </c>
      <c r="L238" s="2001">
        <f t="shared" si="3535"/>
        <v>0</v>
      </c>
      <c r="M238" s="82">
        <f t="shared" si="3536"/>
        <v>0</v>
      </c>
      <c r="N238" s="83">
        <f t="shared" si="3537"/>
        <v>0</v>
      </c>
      <c r="O238" s="83">
        <f t="shared" si="3538"/>
        <v>0</v>
      </c>
      <c r="P238" s="84">
        <f t="shared" si="3539"/>
        <v>0</v>
      </c>
      <c r="Q238" s="81">
        <f t="shared" si="3540"/>
        <v>0</v>
      </c>
      <c r="R238" s="82">
        <f t="shared" si="3541"/>
        <v>0</v>
      </c>
      <c r="S238" s="83">
        <f t="shared" si="3542"/>
        <v>0</v>
      </c>
      <c r="T238" s="83">
        <f t="shared" si="3543"/>
        <v>0</v>
      </c>
      <c r="U238" s="84">
        <f t="shared" si="3544"/>
        <v>0</v>
      </c>
      <c r="V238" s="81">
        <f t="shared" si="3545"/>
        <v>0</v>
      </c>
      <c r="W238" s="82">
        <f t="shared" si="3546"/>
        <v>0</v>
      </c>
      <c r="X238" s="83">
        <f t="shared" si="3547"/>
        <v>0</v>
      </c>
      <c r="Y238" s="83">
        <f t="shared" si="3548"/>
        <v>0</v>
      </c>
      <c r="Z238" s="84">
        <f t="shared" si="3549"/>
        <v>0</v>
      </c>
      <c r="AA238" s="81">
        <f t="shared" si="3550"/>
        <v>0</v>
      </c>
      <c r="AB238" s="82">
        <f t="shared" si="3551"/>
        <v>0</v>
      </c>
      <c r="AC238" s="83">
        <f t="shared" si="3552"/>
        <v>0</v>
      </c>
      <c r="AD238" s="83">
        <f t="shared" si="3553"/>
        <v>0</v>
      </c>
      <c r="AE238" s="84">
        <f t="shared" si="3554"/>
        <v>0</v>
      </c>
      <c r="AF238" s="81">
        <f t="shared" si="3555"/>
        <v>0</v>
      </c>
      <c r="AG238" s="82">
        <f t="shared" si="3556"/>
        <v>0</v>
      </c>
      <c r="AH238" s="83">
        <f t="shared" si="3557"/>
        <v>0</v>
      </c>
      <c r="AI238" s="83">
        <f t="shared" si="3558"/>
        <v>0</v>
      </c>
      <c r="AJ238" s="84">
        <f t="shared" si="3559"/>
        <v>0</v>
      </c>
      <c r="AK238" s="81">
        <f t="shared" si="3560"/>
        <v>0</v>
      </c>
      <c r="AL238" s="82">
        <f t="shared" si="3561"/>
        <v>0</v>
      </c>
      <c r="AM238" s="83">
        <f t="shared" si="3562"/>
        <v>0</v>
      </c>
      <c r="AN238" s="83">
        <f t="shared" si="3563"/>
        <v>0</v>
      </c>
      <c r="AO238" s="84">
        <f t="shared" si="3564"/>
        <v>0</v>
      </c>
      <c r="AP238" s="81">
        <f t="shared" si="3565"/>
        <v>0</v>
      </c>
      <c r="AQ238" s="82">
        <f t="shared" si="3566"/>
        <v>0</v>
      </c>
      <c r="AR238" s="83">
        <f t="shared" si="3567"/>
        <v>0</v>
      </c>
      <c r="AS238" s="83">
        <f t="shared" si="3568"/>
        <v>0</v>
      </c>
      <c r="AT238" s="84">
        <f t="shared" si="3569"/>
        <v>0</v>
      </c>
      <c r="AU238" s="81">
        <f t="shared" si="3570"/>
        <v>0</v>
      </c>
      <c r="AV238" s="82">
        <f t="shared" si="3571"/>
        <v>0</v>
      </c>
      <c r="AW238" s="83">
        <f t="shared" si="3572"/>
        <v>0</v>
      </c>
      <c r="AX238" s="83">
        <f t="shared" si="3573"/>
        <v>0</v>
      </c>
      <c r="AY238" s="84">
        <f t="shared" si="3574"/>
        <v>0</v>
      </c>
      <c r="AZ238" s="81">
        <f t="shared" si="3575"/>
        <v>0</v>
      </c>
      <c r="BA238" s="82">
        <f t="shared" si="3576"/>
        <v>0</v>
      </c>
      <c r="BB238" s="83">
        <f t="shared" si="3577"/>
        <v>0</v>
      </c>
      <c r="BC238" s="83">
        <f t="shared" si="3578"/>
        <v>0</v>
      </c>
      <c r="BD238" s="84">
        <f t="shared" si="3579"/>
        <v>0</v>
      </c>
      <c r="BE238" s="81">
        <f t="shared" si="3580"/>
        <v>0</v>
      </c>
      <c r="BF238" s="1877"/>
      <c r="BG238" s="2005">
        <f t="shared" si="3581"/>
        <v>0</v>
      </c>
      <c r="BH238" s="86">
        <f t="shared" si="3582"/>
        <v>0</v>
      </c>
      <c r="BI238" s="87">
        <f t="shared" si="3583"/>
        <v>0</v>
      </c>
      <c r="BJ238" s="87">
        <f t="shared" si="3584"/>
        <v>0</v>
      </c>
      <c r="BK238" s="88">
        <f t="shared" si="3585"/>
        <v>0</v>
      </c>
      <c r="BL238" s="85">
        <f t="shared" si="3586"/>
        <v>0</v>
      </c>
      <c r="BM238" s="86">
        <f t="shared" si="3587"/>
        <v>0</v>
      </c>
      <c r="BN238" s="87">
        <f t="shared" si="3588"/>
        <v>0</v>
      </c>
      <c r="BO238" s="87">
        <f t="shared" si="3589"/>
        <v>0</v>
      </c>
      <c r="BP238" s="88">
        <f t="shared" si="3590"/>
        <v>0</v>
      </c>
      <c r="BQ238" s="85">
        <f t="shared" si="3591"/>
        <v>0</v>
      </c>
      <c r="BR238" s="86">
        <f t="shared" si="3592"/>
        <v>0</v>
      </c>
      <c r="BS238" s="87">
        <f t="shared" si="3593"/>
        <v>0</v>
      </c>
      <c r="BT238" s="87">
        <f t="shared" si="3594"/>
        <v>0</v>
      </c>
      <c r="BU238" s="88">
        <f t="shared" si="3595"/>
        <v>0</v>
      </c>
      <c r="BV238" s="85">
        <f t="shared" si="3596"/>
        <v>0</v>
      </c>
      <c r="BW238" s="86">
        <f t="shared" si="3597"/>
        <v>0</v>
      </c>
      <c r="BX238" s="87">
        <f t="shared" si="3598"/>
        <v>0</v>
      </c>
      <c r="BY238" s="87">
        <f t="shared" si="3599"/>
        <v>0</v>
      </c>
      <c r="BZ238" s="88">
        <f t="shared" si="3600"/>
        <v>0</v>
      </c>
      <c r="CA238" s="85">
        <f t="shared" si="3601"/>
        <v>0</v>
      </c>
      <c r="CB238" s="86">
        <f t="shared" si="3602"/>
        <v>0</v>
      </c>
      <c r="CC238" s="87">
        <f t="shared" si="3603"/>
        <v>0</v>
      </c>
      <c r="CD238" s="87">
        <f t="shared" si="3604"/>
        <v>0</v>
      </c>
      <c r="CE238" s="88">
        <f t="shared" si="3605"/>
        <v>0</v>
      </c>
      <c r="CF238" s="85">
        <f t="shared" si="3606"/>
        <v>0</v>
      </c>
      <c r="CG238" s="86">
        <f t="shared" si="3607"/>
        <v>0</v>
      </c>
      <c r="CH238" s="87">
        <f t="shared" si="3608"/>
        <v>0</v>
      </c>
      <c r="CI238" s="87">
        <f t="shared" si="3609"/>
        <v>0</v>
      </c>
      <c r="CJ238" s="88">
        <f t="shared" si="3610"/>
        <v>0</v>
      </c>
      <c r="CK238" s="85">
        <f t="shared" si="3611"/>
        <v>0</v>
      </c>
      <c r="CL238" s="86">
        <f t="shared" si="3612"/>
        <v>0</v>
      </c>
      <c r="CM238" s="87">
        <f t="shared" si="3613"/>
        <v>0</v>
      </c>
      <c r="CN238" s="87">
        <f t="shared" si="3614"/>
        <v>0</v>
      </c>
      <c r="CO238" s="88">
        <f t="shared" si="3615"/>
        <v>0</v>
      </c>
      <c r="CP238" s="85">
        <f t="shared" si="3616"/>
        <v>0</v>
      </c>
      <c r="CQ238" s="86">
        <f t="shared" si="3617"/>
        <v>0</v>
      </c>
      <c r="CR238" s="87">
        <f t="shared" si="3618"/>
        <v>0</v>
      </c>
      <c r="CS238" s="87">
        <f t="shared" si="3619"/>
        <v>0</v>
      </c>
      <c r="CT238" s="88">
        <f t="shared" si="3620"/>
        <v>0</v>
      </c>
      <c r="CU238" s="85">
        <f t="shared" si="3621"/>
        <v>0</v>
      </c>
      <c r="CV238" s="86">
        <f t="shared" si="3622"/>
        <v>0</v>
      </c>
      <c r="CW238" s="87">
        <f t="shared" si="3623"/>
        <v>0</v>
      </c>
      <c r="CX238" s="87">
        <f t="shared" si="3624"/>
        <v>0</v>
      </c>
      <c r="CY238" s="88">
        <f t="shared" si="3625"/>
        <v>0</v>
      </c>
      <c r="CZ238" s="85">
        <f t="shared" si="3626"/>
        <v>0</v>
      </c>
    </row>
    <row r="239" spans="1:104" ht="12.75" customHeight="1">
      <c r="A239" s="1817"/>
      <c r="B239" s="2128"/>
      <c r="C239" s="2119">
        <v>6.5000000000000002E-2</v>
      </c>
      <c r="D239" s="2117"/>
      <c r="E239" s="2115">
        <f t="shared" si="3534"/>
        <v>500</v>
      </c>
      <c r="F239" s="2313">
        <v>500</v>
      </c>
      <c r="G239" s="1511">
        <v>500</v>
      </c>
      <c r="H239" s="1510">
        <v>2037</v>
      </c>
      <c r="I239" s="1831">
        <v>6.5000000000000002E-2</v>
      </c>
      <c r="J239" s="1832">
        <v>7</v>
      </c>
      <c r="L239" s="2001">
        <f t="shared" si="3535"/>
        <v>0</v>
      </c>
      <c r="M239" s="82">
        <f t="shared" si="3536"/>
        <v>0</v>
      </c>
      <c r="N239" s="83">
        <f t="shared" si="3537"/>
        <v>0</v>
      </c>
      <c r="O239" s="83">
        <f t="shared" si="3538"/>
        <v>0</v>
      </c>
      <c r="P239" s="84">
        <f t="shared" si="3539"/>
        <v>0</v>
      </c>
      <c r="Q239" s="81">
        <f t="shared" si="3540"/>
        <v>0</v>
      </c>
      <c r="R239" s="82">
        <f t="shared" si="3541"/>
        <v>0</v>
      </c>
      <c r="S239" s="83">
        <f t="shared" si="3542"/>
        <v>0</v>
      </c>
      <c r="T239" s="83">
        <f t="shared" si="3543"/>
        <v>0</v>
      </c>
      <c r="U239" s="84">
        <f t="shared" si="3544"/>
        <v>0</v>
      </c>
      <c r="V239" s="81">
        <f t="shared" si="3545"/>
        <v>0</v>
      </c>
      <c r="W239" s="82">
        <f t="shared" si="3546"/>
        <v>0</v>
      </c>
      <c r="X239" s="83">
        <f t="shared" si="3547"/>
        <v>0</v>
      </c>
      <c r="Y239" s="83">
        <f t="shared" si="3548"/>
        <v>0</v>
      </c>
      <c r="Z239" s="84">
        <f t="shared" si="3549"/>
        <v>0</v>
      </c>
      <c r="AA239" s="81">
        <f t="shared" si="3550"/>
        <v>0</v>
      </c>
      <c r="AB239" s="82">
        <f t="shared" si="3551"/>
        <v>0</v>
      </c>
      <c r="AC239" s="83">
        <f t="shared" si="3552"/>
        <v>0</v>
      </c>
      <c r="AD239" s="83">
        <f t="shared" si="3553"/>
        <v>0</v>
      </c>
      <c r="AE239" s="84">
        <f t="shared" si="3554"/>
        <v>0</v>
      </c>
      <c r="AF239" s="81">
        <f t="shared" si="3555"/>
        <v>0</v>
      </c>
      <c r="AG239" s="82">
        <f t="shared" si="3556"/>
        <v>0</v>
      </c>
      <c r="AH239" s="83">
        <f t="shared" si="3557"/>
        <v>0</v>
      </c>
      <c r="AI239" s="83">
        <f t="shared" si="3558"/>
        <v>0</v>
      </c>
      <c r="AJ239" s="84">
        <f t="shared" si="3559"/>
        <v>0</v>
      </c>
      <c r="AK239" s="81">
        <f t="shared" si="3560"/>
        <v>0</v>
      </c>
      <c r="AL239" s="82">
        <f t="shared" si="3561"/>
        <v>0</v>
      </c>
      <c r="AM239" s="83">
        <f t="shared" si="3562"/>
        <v>0</v>
      </c>
      <c r="AN239" s="83">
        <f t="shared" si="3563"/>
        <v>0</v>
      </c>
      <c r="AO239" s="84">
        <f t="shared" si="3564"/>
        <v>0</v>
      </c>
      <c r="AP239" s="81">
        <f t="shared" si="3565"/>
        <v>0</v>
      </c>
      <c r="AQ239" s="82">
        <f t="shared" si="3566"/>
        <v>0</v>
      </c>
      <c r="AR239" s="83">
        <f t="shared" si="3567"/>
        <v>0</v>
      </c>
      <c r="AS239" s="83">
        <f t="shared" si="3568"/>
        <v>0</v>
      </c>
      <c r="AT239" s="84">
        <f t="shared" si="3569"/>
        <v>0</v>
      </c>
      <c r="AU239" s="81">
        <f t="shared" si="3570"/>
        <v>0</v>
      </c>
      <c r="AV239" s="82">
        <f t="shared" si="3571"/>
        <v>0</v>
      </c>
      <c r="AW239" s="83">
        <f t="shared" si="3572"/>
        <v>0</v>
      </c>
      <c r="AX239" s="83">
        <f t="shared" si="3573"/>
        <v>0</v>
      </c>
      <c r="AY239" s="84">
        <f t="shared" si="3574"/>
        <v>0</v>
      </c>
      <c r="AZ239" s="81">
        <f t="shared" si="3575"/>
        <v>0</v>
      </c>
      <c r="BA239" s="82">
        <f t="shared" si="3576"/>
        <v>0</v>
      </c>
      <c r="BB239" s="83">
        <f t="shared" si="3577"/>
        <v>0</v>
      </c>
      <c r="BC239" s="83">
        <f t="shared" si="3578"/>
        <v>0</v>
      </c>
      <c r="BD239" s="84">
        <f t="shared" si="3579"/>
        <v>0</v>
      </c>
      <c r="BE239" s="81">
        <f t="shared" si="3580"/>
        <v>0</v>
      </c>
      <c r="BF239" s="1877"/>
      <c r="BG239" s="2005">
        <f t="shared" si="3581"/>
        <v>0</v>
      </c>
      <c r="BH239" s="86">
        <f t="shared" si="3582"/>
        <v>0</v>
      </c>
      <c r="BI239" s="87">
        <f t="shared" si="3583"/>
        <v>0</v>
      </c>
      <c r="BJ239" s="87">
        <f t="shared" si="3584"/>
        <v>0</v>
      </c>
      <c r="BK239" s="88">
        <f t="shared" si="3585"/>
        <v>0</v>
      </c>
      <c r="BL239" s="85">
        <f t="shared" si="3586"/>
        <v>0</v>
      </c>
      <c r="BM239" s="86">
        <f t="shared" si="3587"/>
        <v>0</v>
      </c>
      <c r="BN239" s="87">
        <f t="shared" si="3588"/>
        <v>0</v>
      </c>
      <c r="BO239" s="87">
        <f t="shared" si="3589"/>
        <v>0</v>
      </c>
      <c r="BP239" s="88">
        <f t="shared" si="3590"/>
        <v>0</v>
      </c>
      <c r="BQ239" s="85">
        <f t="shared" si="3591"/>
        <v>0</v>
      </c>
      <c r="BR239" s="86">
        <f t="shared" si="3592"/>
        <v>0</v>
      </c>
      <c r="BS239" s="87">
        <f t="shared" si="3593"/>
        <v>0</v>
      </c>
      <c r="BT239" s="87">
        <f t="shared" si="3594"/>
        <v>0</v>
      </c>
      <c r="BU239" s="88">
        <f t="shared" si="3595"/>
        <v>0</v>
      </c>
      <c r="BV239" s="85">
        <f t="shared" si="3596"/>
        <v>0</v>
      </c>
      <c r="BW239" s="86">
        <f t="shared" si="3597"/>
        <v>0</v>
      </c>
      <c r="BX239" s="87">
        <f t="shared" si="3598"/>
        <v>0</v>
      </c>
      <c r="BY239" s="87">
        <f t="shared" si="3599"/>
        <v>0</v>
      </c>
      <c r="BZ239" s="88">
        <f t="shared" si="3600"/>
        <v>0</v>
      </c>
      <c r="CA239" s="85">
        <f t="shared" si="3601"/>
        <v>0</v>
      </c>
      <c r="CB239" s="86">
        <f t="shared" si="3602"/>
        <v>0</v>
      </c>
      <c r="CC239" s="87">
        <f t="shared" si="3603"/>
        <v>0</v>
      </c>
      <c r="CD239" s="87">
        <f t="shared" si="3604"/>
        <v>0</v>
      </c>
      <c r="CE239" s="88">
        <f t="shared" si="3605"/>
        <v>0</v>
      </c>
      <c r="CF239" s="85">
        <f t="shared" si="3606"/>
        <v>0</v>
      </c>
      <c r="CG239" s="86">
        <f t="shared" si="3607"/>
        <v>0</v>
      </c>
      <c r="CH239" s="87">
        <f t="shared" si="3608"/>
        <v>0</v>
      </c>
      <c r="CI239" s="87">
        <f t="shared" si="3609"/>
        <v>0</v>
      </c>
      <c r="CJ239" s="88">
        <f t="shared" si="3610"/>
        <v>0</v>
      </c>
      <c r="CK239" s="85">
        <f t="shared" si="3611"/>
        <v>0</v>
      </c>
      <c r="CL239" s="86">
        <f t="shared" si="3612"/>
        <v>0</v>
      </c>
      <c r="CM239" s="87">
        <f t="shared" si="3613"/>
        <v>0</v>
      </c>
      <c r="CN239" s="87">
        <f t="shared" si="3614"/>
        <v>0</v>
      </c>
      <c r="CO239" s="88">
        <f t="shared" si="3615"/>
        <v>0</v>
      </c>
      <c r="CP239" s="85">
        <f t="shared" si="3616"/>
        <v>0</v>
      </c>
      <c r="CQ239" s="86">
        <f t="shared" si="3617"/>
        <v>0</v>
      </c>
      <c r="CR239" s="87">
        <f t="shared" si="3618"/>
        <v>0</v>
      </c>
      <c r="CS239" s="87">
        <f t="shared" si="3619"/>
        <v>0</v>
      </c>
      <c r="CT239" s="88">
        <f t="shared" si="3620"/>
        <v>0</v>
      </c>
      <c r="CU239" s="85">
        <f t="shared" si="3621"/>
        <v>0</v>
      </c>
      <c r="CV239" s="86">
        <f t="shared" si="3622"/>
        <v>0</v>
      </c>
      <c r="CW239" s="87">
        <f t="shared" si="3623"/>
        <v>0</v>
      </c>
      <c r="CX239" s="87">
        <f t="shared" si="3624"/>
        <v>0</v>
      </c>
      <c r="CY239" s="88">
        <f t="shared" si="3625"/>
        <v>0</v>
      </c>
      <c r="CZ239" s="85">
        <f t="shared" si="3626"/>
        <v>0</v>
      </c>
    </row>
    <row r="240" spans="1:104" ht="12.75" customHeight="1">
      <c r="A240" s="1817"/>
      <c r="B240" s="2128"/>
      <c r="C240" s="2119">
        <v>7.9000000000000001E-2</v>
      </c>
      <c r="D240" s="2117"/>
      <c r="E240" s="2115">
        <f t="shared" si="3534"/>
        <v>250</v>
      </c>
      <c r="F240" s="2313">
        <v>250</v>
      </c>
      <c r="G240" s="1511">
        <v>250</v>
      </c>
      <c r="H240" s="1510">
        <v>2038</v>
      </c>
      <c r="I240" s="1831">
        <v>7.9000000000000001E-2</v>
      </c>
      <c r="J240" s="1832">
        <v>7</v>
      </c>
      <c r="L240" s="2001">
        <f t="shared" si="3535"/>
        <v>0</v>
      </c>
      <c r="M240" s="82">
        <f t="shared" si="3536"/>
        <v>0</v>
      </c>
      <c r="N240" s="83">
        <f t="shared" si="3537"/>
        <v>0</v>
      </c>
      <c r="O240" s="83">
        <f t="shared" si="3538"/>
        <v>0</v>
      </c>
      <c r="P240" s="84">
        <f t="shared" si="3539"/>
        <v>0</v>
      </c>
      <c r="Q240" s="81">
        <f t="shared" si="3540"/>
        <v>0</v>
      </c>
      <c r="R240" s="82">
        <f t="shared" si="3541"/>
        <v>0</v>
      </c>
      <c r="S240" s="83">
        <f t="shared" si="3542"/>
        <v>0</v>
      </c>
      <c r="T240" s="83">
        <f t="shared" si="3543"/>
        <v>0</v>
      </c>
      <c r="U240" s="84">
        <f t="shared" si="3544"/>
        <v>0</v>
      </c>
      <c r="V240" s="81">
        <f t="shared" si="3545"/>
        <v>0</v>
      </c>
      <c r="W240" s="82">
        <f t="shared" si="3546"/>
        <v>0</v>
      </c>
      <c r="X240" s="83">
        <f t="shared" si="3547"/>
        <v>0</v>
      </c>
      <c r="Y240" s="83">
        <f t="shared" si="3548"/>
        <v>0</v>
      </c>
      <c r="Z240" s="84">
        <f t="shared" si="3549"/>
        <v>0</v>
      </c>
      <c r="AA240" s="81">
        <f t="shared" si="3550"/>
        <v>0</v>
      </c>
      <c r="AB240" s="82">
        <f t="shared" si="3551"/>
        <v>0</v>
      </c>
      <c r="AC240" s="83">
        <f t="shared" si="3552"/>
        <v>0</v>
      </c>
      <c r="AD240" s="83">
        <f t="shared" si="3553"/>
        <v>0</v>
      </c>
      <c r="AE240" s="84">
        <f t="shared" si="3554"/>
        <v>0</v>
      </c>
      <c r="AF240" s="81">
        <f t="shared" si="3555"/>
        <v>0</v>
      </c>
      <c r="AG240" s="82">
        <f t="shared" si="3556"/>
        <v>0</v>
      </c>
      <c r="AH240" s="83">
        <f t="shared" si="3557"/>
        <v>0</v>
      </c>
      <c r="AI240" s="83">
        <f t="shared" si="3558"/>
        <v>0</v>
      </c>
      <c r="AJ240" s="84">
        <f t="shared" si="3559"/>
        <v>0</v>
      </c>
      <c r="AK240" s="81">
        <f t="shared" si="3560"/>
        <v>0</v>
      </c>
      <c r="AL240" s="82">
        <f t="shared" si="3561"/>
        <v>0</v>
      </c>
      <c r="AM240" s="83">
        <f t="shared" si="3562"/>
        <v>0</v>
      </c>
      <c r="AN240" s="83">
        <f t="shared" si="3563"/>
        <v>0</v>
      </c>
      <c r="AO240" s="84">
        <f t="shared" si="3564"/>
        <v>0</v>
      </c>
      <c r="AP240" s="81">
        <f t="shared" si="3565"/>
        <v>0</v>
      </c>
      <c r="AQ240" s="82">
        <f t="shared" si="3566"/>
        <v>0</v>
      </c>
      <c r="AR240" s="83">
        <f t="shared" si="3567"/>
        <v>0</v>
      </c>
      <c r="AS240" s="83">
        <f t="shared" si="3568"/>
        <v>0</v>
      </c>
      <c r="AT240" s="84">
        <f t="shared" si="3569"/>
        <v>0</v>
      </c>
      <c r="AU240" s="81">
        <f t="shared" si="3570"/>
        <v>0</v>
      </c>
      <c r="AV240" s="82">
        <f t="shared" si="3571"/>
        <v>0</v>
      </c>
      <c r="AW240" s="83">
        <f t="shared" si="3572"/>
        <v>0</v>
      </c>
      <c r="AX240" s="83">
        <f t="shared" si="3573"/>
        <v>0</v>
      </c>
      <c r="AY240" s="84">
        <f t="shared" si="3574"/>
        <v>0</v>
      </c>
      <c r="AZ240" s="81">
        <f t="shared" si="3575"/>
        <v>0</v>
      </c>
      <c r="BA240" s="82">
        <f t="shared" si="3576"/>
        <v>0</v>
      </c>
      <c r="BB240" s="83">
        <f t="shared" si="3577"/>
        <v>0</v>
      </c>
      <c r="BC240" s="83">
        <f t="shared" si="3578"/>
        <v>0</v>
      </c>
      <c r="BD240" s="84">
        <f t="shared" si="3579"/>
        <v>0</v>
      </c>
      <c r="BE240" s="81">
        <f t="shared" si="3580"/>
        <v>0</v>
      </c>
      <c r="BF240" s="1877"/>
      <c r="BG240" s="2005">
        <f t="shared" si="3581"/>
        <v>0</v>
      </c>
      <c r="BH240" s="86">
        <f t="shared" si="3582"/>
        <v>0</v>
      </c>
      <c r="BI240" s="87">
        <f t="shared" si="3583"/>
        <v>0</v>
      </c>
      <c r="BJ240" s="87">
        <f t="shared" si="3584"/>
        <v>0</v>
      </c>
      <c r="BK240" s="88">
        <f t="shared" si="3585"/>
        <v>0</v>
      </c>
      <c r="BL240" s="85">
        <f t="shared" si="3586"/>
        <v>0</v>
      </c>
      <c r="BM240" s="86">
        <f t="shared" si="3587"/>
        <v>0</v>
      </c>
      <c r="BN240" s="87">
        <f t="shared" si="3588"/>
        <v>0</v>
      </c>
      <c r="BO240" s="87">
        <f t="shared" si="3589"/>
        <v>0</v>
      </c>
      <c r="BP240" s="88">
        <f t="shared" si="3590"/>
        <v>0</v>
      </c>
      <c r="BQ240" s="85">
        <f t="shared" si="3591"/>
        <v>0</v>
      </c>
      <c r="BR240" s="86">
        <f t="shared" si="3592"/>
        <v>0</v>
      </c>
      <c r="BS240" s="87">
        <f t="shared" si="3593"/>
        <v>0</v>
      </c>
      <c r="BT240" s="87">
        <f t="shared" si="3594"/>
        <v>0</v>
      </c>
      <c r="BU240" s="88">
        <f t="shared" si="3595"/>
        <v>0</v>
      </c>
      <c r="BV240" s="85">
        <f t="shared" si="3596"/>
        <v>0</v>
      </c>
      <c r="BW240" s="86">
        <f t="shared" si="3597"/>
        <v>0</v>
      </c>
      <c r="BX240" s="87">
        <f t="shared" si="3598"/>
        <v>0</v>
      </c>
      <c r="BY240" s="87">
        <f t="shared" si="3599"/>
        <v>0</v>
      </c>
      <c r="BZ240" s="88">
        <f t="shared" si="3600"/>
        <v>0</v>
      </c>
      <c r="CA240" s="85">
        <f t="shared" si="3601"/>
        <v>0</v>
      </c>
      <c r="CB240" s="86">
        <f t="shared" si="3602"/>
        <v>0</v>
      </c>
      <c r="CC240" s="87">
        <f t="shared" si="3603"/>
        <v>0</v>
      </c>
      <c r="CD240" s="87">
        <f t="shared" si="3604"/>
        <v>0</v>
      </c>
      <c r="CE240" s="88">
        <f t="shared" si="3605"/>
        <v>0</v>
      </c>
      <c r="CF240" s="85">
        <f t="shared" si="3606"/>
        <v>0</v>
      </c>
      <c r="CG240" s="86">
        <f t="shared" si="3607"/>
        <v>0</v>
      </c>
      <c r="CH240" s="87">
        <f t="shared" si="3608"/>
        <v>0</v>
      </c>
      <c r="CI240" s="87">
        <f t="shared" si="3609"/>
        <v>0</v>
      </c>
      <c r="CJ240" s="88">
        <f t="shared" si="3610"/>
        <v>0</v>
      </c>
      <c r="CK240" s="85">
        <f t="shared" si="3611"/>
        <v>0</v>
      </c>
      <c r="CL240" s="86">
        <f t="shared" si="3612"/>
        <v>0</v>
      </c>
      <c r="CM240" s="87">
        <f t="shared" si="3613"/>
        <v>0</v>
      </c>
      <c r="CN240" s="87">
        <f t="shared" si="3614"/>
        <v>0</v>
      </c>
      <c r="CO240" s="88">
        <f t="shared" si="3615"/>
        <v>0</v>
      </c>
      <c r="CP240" s="85">
        <f t="shared" si="3616"/>
        <v>0</v>
      </c>
      <c r="CQ240" s="86">
        <f t="shared" si="3617"/>
        <v>0</v>
      </c>
      <c r="CR240" s="87">
        <f t="shared" si="3618"/>
        <v>0</v>
      </c>
      <c r="CS240" s="87">
        <f t="shared" si="3619"/>
        <v>0</v>
      </c>
      <c r="CT240" s="88">
        <f t="shared" si="3620"/>
        <v>0</v>
      </c>
      <c r="CU240" s="85">
        <f t="shared" si="3621"/>
        <v>0</v>
      </c>
      <c r="CV240" s="86">
        <f t="shared" si="3622"/>
        <v>0</v>
      </c>
      <c r="CW240" s="87">
        <f t="shared" si="3623"/>
        <v>0</v>
      </c>
      <c r="CX240" s="87">
        <f t="shared" si="3624"/>
        <v>0</v>
      </c>
      <c r="CY240" s="88">
        <f t="shared" si="3625"/>
        <v>0</v>
      </c>
      <c r="CZ240" s="85">
        <f t="shared" si="3626"/>
        <v>0</v>
      </c>
    </row>
    <row r="241" spans="1:104" ht="12.75" customHeight="1">
      <c r="A241" s="1817"/>
      <c r="B241" s="1817"/>
      <c r="C241" s="2119"/>
      <c r="D241" s="2117"/>
      <c r="E241" s="2118"/>
      <c r="F241" s="2313"/>
      <c r="G241" s="1511"/>
      <c r="H241" s="1510"/>
      <c r="I241" s="1831"/>
      <c r="J241" s="1832"/>
      <c r="L241" s="2001">
        <f t="shared" si="3535"/>
        <v>0</v>
      </c>
      <c r="M241" s="82">
        <f t="shared" si="3536"/>
        <v>0</v>
      </c>
      <c r="N241" s="83">
        <f t="shared" si="3537"/>
        <v>0</v>
      </c>
      <c r="O241" s="83">
        <f t="shared" si="3538"/>
        <v>0</v>
      </c>
      <c r="P241" s="84">
        <f t="shared" si="3539"/>
        <v>0</v>
      </c>
      <c r="Q241" s="81">
        <f t="shared" si="3540"/>
        <v>0</v>
      </c>
      <c r="R241" s="82">
        <f t="shared" si="3541"/>
        <v>0</v>
      </c>
      <c r="S241" s="83">
        <f t="shared" si="3542"/>
        <v>0</v>
      </c>
      <c r="T241" s="83">
        <f t="shared" si="3543"/>
        <v>0</v>
      </c>
      <c r="U241" s="84">
        <f t="shared" si="3544"/>
        <v>0</v>
      </c>
      <c r="V241" s="81">
        <f t="shared" si="3545"/>
        <v>0</v>
      </c>
      <c r="W241" s="82">
        <f t="shared" si="3546"/>
        <v>0</v>
      </c>
      <c r="X241" s="83">
        <f t="shared" si="3547"/>
        <v>0</v>
      </c>
      <c r="Y241" s="83">
        <f t="shared" si="3548"/>
        <v>0</v>
      </c>
      <c r="Z241" s="84">
        <f t="shared" si="3549"/>
        <v>0</v>
      </c>
      <c r="AA241" s="81">
        <f t="shared" si="3550"/>
        <v>0</v>
      </c>
      <c r="AB241" s="82">
        <f t="shared" si="3551"/>
        <v>0</v>
      </c>
      <c r="AC241" s="83">
        <f t="shared" si="3552"/>
        <v>0</v>
      </c>
      <c r="AD241" s="83">
        <f t="shared" si="3553"/>
        <v>0</v>
      </c>
      <c r="AE241" s="84">
        <f t="shared" si="3554"/>
        <v>0</v>
      </c>
      <c r="AF241" s="81">
        <f t="shared" si="3555"/>
        <v>0</v>
      </c>
      <c r="AG241" s="82">
        <f t="shared" si="3556"/>
        <v>0</v>
      </c>
      <c r="AH241" s="83">
        <f t="shared" si="3557"/>
        <v>0</v>
      </c>
      <c r="AI241" s="83">
        <f t="shared" si="3558"/>
        <v>0</v>
      </c>
      <c r="AJ241" s="84">
        <f t="shared" si="3559"/>
        <v>0</v>
      </c>
      <c r="AK241" s="81">
        <f t="shared" si="3560"/>
        <v>0</v>
      </c>
      <c r="AL241" s="82">
        <f t="shared" si="3561"/>
        <v>0</v>
      </c>
      <c r="AM241" s="83">
        <f t="shared" si="3562"/>
        <v>0</v>
      </c>
      <c r="AN241" s="83">
        <f t="shared" si="3563"/>
        <v>0</v>
      </c>
      <c r="AO241" s="84">
        <f t="shared" si="3564"/>
        <v>0</v>
      </c>
      <c r="AP241" s="81">
        <f t="shared" si="3565"/>
        <v>0</v>
      </c>
      <c r="AQ241" s="82">
        <f t="shared" si="3566"/>
        <v>0</v>
      </c>
      <c r="AR241" s="83">
        <f t="shared" si="3567"/>
        <v>0</v>
      </c>
      <c r="AS241" s="83">
        <f t="shared" si="3568"/>
        <v>0</v>
      </c>
      <c r="AT241" s="84">
        <f t="shared" si="3569"/>
        <v>0</v>
      </c>
      <c r="AU241" s="81">
        <f t="shared" si="3570"/>
        <v>0</v>
      </c>
      <c r="AV241" s="82">
        <f t="shared" si="3571"/>
        <v>0</v>
      </c>
      <c r="AW241" s="83">
        <f t="shared" si="3572"/>
        <v>0</v>
      </c>
      <c r="AX241" s="83">
        <f t="shared" si="3573"/>
        <v>0</v>
      </c>
      <c r="AY241" s="84">
        <f t="shared" si="3574"/>
        <v>0</v>
      </c>
      <c r="AZ241" s="81">
        <f t="shared" si="3575"/>
        <v>0</v>
      </c>
      <c r="BA241" s="82">
        <f t="shared" si="3576"/>
        <v>0</v>
      </c>
      <c r="BB241" s="83">
        <f t="shared" si="3577"/>
        <v>0</v>
      </c>
      <c r="BC241" s="83">
        <f t="shared" si="3578"/>
        <v>0</v>
      </c>
      <c r="BD241" s="84">
        <f t="shared" si="3579"/>
        <v>0</v>
      </c>
      <c r="BE241" s="81">
        <f t="shared" si="3580"/>
        <v>0</v>
      </c>
      <c r="BF241" s="1877"/>
      <c r="BG241" s="2005">
        <f t="shared" si="3581"/>
        <v>0</v>
      </c>
      <c r="BH241" s="86">
        <f t="shared" si="3582"/>
        <v>0</v>
      </c>
      <c r="BI241" s="87">
        <f t="shared" si="3583"/>
        <v>0</v>
      </c>
      <c r="BJ241" s="87">
        <f t="shared" si="3584"/>
        <v>0</v>
      </c>
      <c r="BK241" s="88">
        <f t="shared" si="3585"/>
        <v>0</v>
      </c>
      <c r="BL241" s="85">
        <f t="shared" si="3586"/>
        <v>0</v>
      </c>
      <c r="BM241" s="86">
        <f t="shared" si="3587"/>
        <v>0</v>
      </c>
      <c r="BN241" s="87">
        <f t="shared" si="3588"/>
        <v>0</v>
      </c>
      <c r="BO241" s="87">
        <f t="shared" si="3589"/>
        <v>0</v>
      </c>
      <c r="BP241" s="88">
        <f t="shared" si="3590"/>
        <v>0</v>
      </c>
      <c r="BQ241" s="85">
        <f t="shared" si="3591"/>
        <v>0</v>
      </c>
      <c r="BR241" s="86">
        <f t="shared" si="3592"/>
        <v>0</v>
      </c>
      <c r="BS241" s="87">
        <f t="shared" si="3593"/>
        <v>0</v>
      </c>
      <c r="BT241" s="87">
        <f t="shared" si="3594"/>
        <v>0</v>
      </c>
      <c r="BU241" s="88">
        <f t="shared" si="3595"/>
        <v>0</v>
      </c>
      <c r="BV241" s="85">
        <f t="shared" si="3596"/>
        <v>0</v>
      </c>
      <c r="BW241" s="86">
        <f t="shared" si="3597"/>
        <v>0</v>
      </c>
      <c r="BX241" s="87">
        <f t="shared" si="3598"/>
        <v>0</v>
      </c>
      <c r="BY241" s="87">
        <f t="shared" si="3599"/>
        <v>0</v>
      </c>
      <c r="BZ241" s="88">
        <f t="shared" si="3600"/>
        <v>0</v>
      </c>
      <c r="CA241" s="85">
        <f t="shared" si="3601"/>
        <v>0</v>
      </c>
      <c r="CB241" s="86">
        <f t="shared" si="3602"/>
        <v>0</v>
      </c>
      <c r="CC241" s="87">
        <f t="shared" si="3603"/>
        <v>0</v>
      </c>
      <c r="CD241" s="87">
        <f t="shared" si="3604"/>
        <v>0</v>
      </c>
      <c r="CE241" s="88">
        <f t="shared" si="3605"/>
        <v>0</v>
      </c>
      <c r="CF241" s="85">
        <f t="shared" si="3606"/>
        <v>0</v>
      </c>
      <c r="CG241" s="86">
        <f t="shared" si="3607"/>
        <v>0</v>
      </c>
      <c r="CH241" s="87">
        <f t="shared" si="3608"/>
        <v>0</v>
      </c>
      <c r="CI241" s="87">
        <f t="shared" si="3609"/>
        <v>0</v>
      </c>
      <c r="CJ241" s="88">
        <f t="shared" si="3610"/>
        <v>0</v>
      </c>
      <c r="CK241" s="85">
        <f t="shared" si="3611"/>
        <v>0</v>
      </c>
      <c r="CL241" s="86">
        <f t="shared" si="3612"/>
        <v>0</v>
      </c>
      <c r="CM241" s="87">
        <f t="shared" si="3613"/>
        <v>0</v>
      </c>
      <c r="CN241" s="87">
        <f t="shared" si="3614"/>
        <v>0</v>
      </c>
      <c r="CO241" s="88">
        <f t="shared" si="3615"/>
        <v>0</v>
      </c>
      <c r="CP241" s="85">
        <f t="shared" si="3616"/>
        <v>0</v>
      </c>
      <c r="CQ241" s="86">
        <f t="shared" si="3617"/>
        <v>0</v>
      </c>
      <c r="CR241" s="87">
        <f t="shared" si="3618"/>
        <v>0</v>
      </c>
      <c r="CS241" s="87">
        <f t="shared" si="3619"/>
        <v>0</v>
      </c>
      <c r="CT241" s="88">
        <f t="shared" si="3620"/>
        <v>0</v>
      </c>
      <c r="CU241" s="85">
        <f t="shared" si="3621"/>
        <v>0</v>
      </c>
      <c r="CV241" s="86">
        <f t="shared" si="3622"/>
        <v>0</v>
      </c>
      <c r="CW241" s="87">
        <f t="shared" si="3623"/>
        <v>0</v>
      </c>
      <c r="CX241" s="87">
        <f t="shared" si="3624"/>
        <v>0</v>
      </c>
      <c r="CY241" s="88">
        <f t="shared" si="3625"/>
        <v>0</v>
      </c>
      <c r="CZ241" s="85">
        <f t="shared" si="3626"/>
        <v>0</v>
      </c>
    </row>
    <row r="242" spans="1:104" ht="12.75" customHeight="1">
      <c r="A242" s="1817"/>
      <c r="B242" s="2128"/>
      <c r="C242" s="2026" t="s">
        <v>778</v>
      </c>
      <c r="D242" s="2026"/>
      <c r="E242" s="2115">
        <f>IF(F242=0,G242,F242)</f>
        <v>400</v>
      </c>
      <c r="F242" s="2313">
        <v>400</v>
      </c>
      <c r="G242" s="1511">
        <v>400</v>
      </c>
      <c r="H242" s="1510">
        <v>2024</v>
      </c>
      <c r="I242" s="1831">
        <v>3.5999999999999997E-2</v>
      </c>
      <c r="J242" s="1861">
        <v>3</v>
      </c>
      <c r="L242" s="2001">
        <f t="shared" si="3535"/>
        <v>0</v>
      </c>
      <c r="M242" s="82">
        <f t="shared" si="3536"/>
        <v>0</v>
      </c>
      <c r="N242" s="83">
        <f t="shared" si="3537"/>
        <v>0</v>
      </c>
      <c r="O242" s="83">
        <f t="shared" si="3538"/>
        <v>0</v>
      </c>
      <c r="P242" s="84">
        <f t="shared" si="3539"/>
        <v>0</v>
      </c>
      <c r="Q242" s="81">
        <f t="shared" si="3540"/>
        <v>0</v>
      </c>
      <c r="R242" s="82">
        <f t="shared" si="3541"/>
        <v>0</v>
      </c>
      <c r="S242" s="83">
        <f t="shared" si="3542"/>
        <v>0</v>
      </c>
      <c r="T242" s="83">
        <f t="shared" si="3543"/>
        <v>0</v>
      </c>
      <c r="U242" s="84">
        <f t="shared" si="3544"/>
        <v>0</v>
      </c>
      <c r="V242" s="81">
        <f t="shared" si="3545"/>
        <v>0</v>
      </c>
      <c r="W242" s="82">
        <f t="shared" si="3546"/>
        <v>0</v>
      </c>
      <c r="X242" s="83">
        <f t="shared" si="3547"/>
        <v>0</v>
      </c>
      <c r="Y242" s="83">
        <f t="shared" si="3548"/>
        <v>0</v>
      </c>
      <c r="Z242" s="84">
        <f t="shared" si="3549"/>
        <v>0</v>
      </c>
      <c r="AA242" s="81">
        <f t="shared" si="3550"/>
        <v>0</v>
      </c>
      <c r="AB242" s="82">
        <f t="shared" si="3551"/>
        <v>0</v>
      </c>
      <c r="AC242" s="83">
        <f t="shared" si="3552"/>
        <v>0</v>
      </c>
      <c r="AD242" s="83">
        <f t="shared" si="3553"/>
        <v>0</v>
      </c>
      <c r="AE242" s="84">
        <f t="shared" si="3554"/>
        <v>0</v>
      </c>
      <c r="AF242" s="81">
        <f t="shared" si="3555"/>
        <v>0</v>
      </c>
      <c r="AG242" s="82">
        <f t="shared" si="3556"/>
        <v>0</v>
      </c>
      <c r="AH242" s="83">
        <f t="shared" si="3557"/>
        <v>0</v>
      </c>
      <c r="AI242" s="83">
        <f t="shared" si="3558"/>
        <v>0</v>
      </c>
      <c r="AJ242" s="84">
        <f t="shared" si="3559"/>
        <v>0</v>
      </c>
      <c r="AK242" s="81">
        <f t="shared" si="3560"/>
        <v>0</v>
      </c>
      <c r="AL242" s="82">
        <f t="shared" si="3561"/>
        <v>0</v>
      </c>
      <c r="AM242" s="83">
        <f t="shared" si="3562"/>
        <v>0</v>
      </c>
      <c r="AN242" s="83">
        <f t="shared" si="3563"/>
        <v>0</v>
      </c>
      <c r="AO242" s="84">
        <f t="shared" si="3564"/>
        <v>0</v>
      </c>
      <c r="AP242" s="81">
        <f t="shared" si="3565"/>
        <v>0</v>
      </c>
      <c r="AQ242" s="82">
        <f t="shared" si="3566"/>
        <v>0</v>
      </c>
      <c r="AR242" s="83">
        <f t="shared" si="3567"/>
        <v>0</v>
      </c>
      <c r="AS242" s="83">
        <f t="shared" si="3568"/>
        <v>0</v>
      </c>
      <c r="AT242" s="84">
        <f t="shared" si="3569"/>
        <v>0</v>
      </c>
      <c r="AU242" s="81">
        <f t="shared" si="3570"/>
        <v>0</v>
      </c>
      <c r="AV242" s="82">
        <f t="shared" si="3571"/>
        <v>0</v>
      </c>
      <c r="AW242" s="83">
        <f t="shared" si="3572"/>
        <v>0</v>
      </c>
      <c r="AX242" s="83">
        <f t="shared" si="3573"/>
        <v>0</v>
      </c>
      <c r="AY242" s="84">
        <f t="shared" si="3574"/>
        <v>0</v>
      </c>
      <c r="AZ242" s="81">
        <f t="shared" si="3575"/>
        <v>0</v>
      </c>
      <c r="BA242" s="82">
        <f t="shared" si="3576"/>
        <v>0</v>
      </c>
      <c r="BB242" s="83">
        <f t="shared" si="3577"/>
        <v>0</v>
      </c>
      <c r="BC242" s="83">
        <f t="shared" si="3578"/>
        <v>0</v>
      </c>
      <c r="BD242" s="84">
        <f t="shared" si="3579"/>
        <v>0</v>
      </c>
      <c r="BE242" s="81">
        <f t="shared" si="3580"/>
        <v>0</v>
      </c>
      <c r="BF242" s="1877"/>
      <c r="BG242" s="2005">
        <f t="shared" si="3581"/>
        <v>0</v>
      </c>
      <c r="BH242" s="86">
        <f t="shared" si="3582"/>
        <v>0</v>
      </c>
      <c r="BI242" s="87">
        <f t="shared" si="3583"/>
        <v>0</v>
      </c>
      <c r="BJ242" s="87">
        <f t="shared" si="3584"/>
        <v>0</v>
      </c>
      <c r="BK242" s="88">
        <f t="shared" si="3585"/>
        <v>0</v>
      </c>
      <c r="BL242" s="85">
        <f t="shared" si="3586"/>
        <v>0</v>
      </c>
      <c r="BM242" s="86">
        <f t="shared" si="3587"/>
        <v>0</v>
      </c>
      <c r="BN242" s="87">
        <f t="shared" si="3588"/>
        <v>0</v>
      </c>
      <c r="BO242" s="87">
        <f t="shared" si="3589"/>
        <v>0</v>
      </c>
      <c r="BP242" s="88">
        <f t="shared" si="3590"/>
        <v>0</v>
      </c>
      <c r="BQ242" s="85">
        <f t="shared" si="3591"/>
        <v>0</v>
      </c>
      <c r="BR242" s="86">
        <f t="shared" si="3592"/>
        <v>0</v>
      </c>
      <c r="BS242" s="87">
        <f t="shared" si="3593"/>
        <v>0</v>
      </c>
      <c r="BT242" s="87">
        <f t="shared" si="3594"/>
        <v>0</v>
      </c>
      <c r="BU242" s="88">
        <f t="shared" si="3595"/>
        <v>0</v>
      </c>
      <c r="BV242" s="85">
        <f t="shared" si="3596"/>
        <v>0</v>
      </c>
      <c r="BW242" s="86">
        <f t="shared" si="3597"/>
        <v>0</v>
      </c>
      <c r="BX242" s="87">
        <f t="shared" si="3598"/>
        <v>0</v>
      </c>
      <c r="BY242" s="87">
        <f t="shared" si="3599"/>
        <v>0</v>
      </c>
      <c r="BZ242" s="88">
        <f t="shared" si="3600"/>
        <v>0</v>
      </c>
      <c r="CA242" s="85">
        <f t="shared" si="3601"/>
        <v>0</v>
      </c>
      <c r="CB242" s="86">
        <f t="shared" si="3602"/>
        <v>0</v>
      </c>
      <c r="CC242" s="87">
        <f t="shared" si="3603"/>
        <v>0</v>
      </c>
      <c r="CD242" s="87">
        <f t="shared" si="3604"/>
        <v>0</v>
      </c>
      <c r="CE242" s="88">
        <f t="shared" si="3605"/>
        <v>0</v>
      </c>
      <c r="CF242" s="85">
        <f t="shared" si="3606"/>
        <v>0</v>
      </c>
      <c r="CG242" s="86">
        <f t="shared" si="3607"/>
        <v>0</v>
      </c>
      <c r="CH242" s="87">
        <f t="shared" si="3608"/>
        <v>0</v>
      </c>
      <c r="CI242" s="87">
        <f t="shared" si="3609"/>
        <v>0</v>
      </c>
      <c r="CJ242" s="88">
        <f t="shared" si="3610"/>
        <v>0</v>
      </c>
      <c r="CK242" s="85">
        <f t="shared" si="3611"/>
        <v>0</v>
      </c>
      <c r="CL242" s="86">
        <f t="shared" si="3612"/>
        <v>0</v>
      </c>
      <c r="CM242" s="87">
        <f t="shared" si="3613"/>
        <v>0</v>
      </c>
      <c r="CN242" s="87">
        <f t="shared" si="3614"/>
        <v>0</v>
      </c>
      <c r="CO242" s="88">
        <f t="shared" si="3615"/>
        <v>0</v>
      </c>
      <c r="CP242" s="85">
        <f t="shared" si="3616"/>
        <v>0</v>
      </c>
      <c r="CQ242" s="86">
        <f t="shared" si="3617"/>
        <v>0</v>
      </c>
      <c r="CR242" s="87">
        <f t="shared" si="3618"/>
        <v>0</v>
      </c>
      <c r="CS242" s="87">
        <f t="shared" si="3619"/>
        <v>0</v>
      </c>
      <c r="CT242" s="88">
        <f t="shared" si="3620"/>
        <v>0</v>
      </c>
      <c r="CU242" s="85">
        <f t="shared" si="3621"/>
        <v>0</v>
      </c>
      <c r="CV242" s="86">
        <f t="shared" si="3622"/>
        <v>0</v>
      </c>
      <c r="CW242" s="87">
        <f t="shared" si="3623"/>
        <v>0</v>
      </c>
      <c r="CX242" s="87">
        <f t="shared" si="3624"/>
        <v>0</v>
      </c>
      <c r="CY242" s="88">
        <f t="shared" si="3625"/>
        <v>0</v>
      </c>
      <c r="CZ242" s="85">
        <f t="shared" si="3626"/>
        <v>0</v>
      </c>
    </row>
    <row r="243" spans="1:104" ht="12.75" customHeight="1">
      <c r="A243" s="1817"/>
      <c r="B243" s="1817"/>
      <c r="C243" s="2026" t="s">
        <v>777</v>
      </c>
      <c r="D243" s="2117"/>
      <c r="E243" s="2115">
        <f>IF(F243=0,G243,F243)</f>
        <v>150</v>
      </c>
      <c r="F243" s="2313">
        <v>150</v>
      </c>
      <c r="G243" s="1511">
        <v>150</v>
      </c>
      <c r="H243" s="1510">
        <v>2043</v>
      </c>
      <c r="I243" s="1831">
        <v>4.9500000000000002E-2</v>
      </c>
      <c r="J243" s="1861">
        <v>11</v>
      </c>
      <c r="L243" s="2001">
        <f t="shared" si="3535"/>
        <v>0</v>
      </c>
      <c r="M243" s="82">
        <f>IF(Q243=0,0,IF(Q243&lt;0,IF($J243=3,Q243,IF($J243=2,Q243,IF($J243=1,Q243,0)))))</f>
        <v>0</v>
      </c>
      <c r="N243" s="83">
        <f>IF(Q243=0,0,IF(Q243&lt;0,IF($J243=6,Q243,IF($J243=5,Q243,IF($J243=4,Q243,0)))))</f>
        <v>0</v>
      </c>
      <c r="O243" s="83">
        <f>IF(Q243=0,0,IF(Q243&lt;0,IF($J243=9,Q243,IF($J243=8,Q243,IF($J243=7,Q243,0)))))</f>
        <v>0</v>
      </c>
      <c r="P243" s="84">
        <f>IF(Q243=0,0,IF(Q243&lt;0,IF($J243=12,Q243,IF($J243=11,Q243,IF($J243=10,Q243,0)))))</f>
        <v>0</v>
      </c>
      <c r="Q243" s="81">
        <f t="shared" si="3540"/>
        <v>0</v>
      </c>
      <c r="R243" s="82">
        <f>IF(V243=0,0,IF(V243&lt;0,IF($J243=3,V243,IF($J243=2,V243,IF($J243=1,V243,0)))))</f>
        <v>0</v>
      </c>
      <c r="S243" s="83">
        <f>IF(V243=0,0,IF(V243&lt;0,IF($J243=6,V243,IF($J243=5,V243,IF($J243=4,V243,0)))))</f>
        <v>0</v>
      </c>
      <c r="T243" s="83">
        <f>IF(V243=0,0,IF(V243&lt;0,IF($J243=9,V243,IF($J243=8,V243,IF($J243=7,V243,0)))))</f>
        <v>0</v>
      </c>
      <c r="U243" s="84">
        <f>IF(V243=0,0,IF(V243&lt;0,IF($J243=12,V243,IF($J243=11,V243,IF($J243=10,V243,0)))))</f>
        <v>0</v>
      </c>
      <c r="V243" s="81">
        <f t="shared" si="3545"/>
        <v>0</v>
      </c>
      <c r="W243" s="82">
        <f>IF(AA243=0,0,IF(AA243&lt;0,IF($J243=3,AA243,IF($J243=2,AA243,IF($J243=1,AA243,0)))))</f>
        <v>0</v>
      </c>
      <c r="X243" s="83">
        <f>IF(AA243=0,0,IF(AA243&lt;0,IF($J243=6,AA243,IF($J243=5,AA243,IF($J243=4,AA243,0)))))</f>
        <v>0</v>
      </c>
      <c r="Y243" s="83">
        <f>IF(AA243=0,0,IF(AA243&lt;0,IF($J243=9,AA243,IF($J243=8,AA243,IF($J243=7,AA243,0)))))</f>
        <v>0</v>
      </c>
      <c r="Z243" s="84">
        <f>IF(AA243=0,0,IF(AA243&lt;0,IF($J243=12,AA243,IF($J243=11,AA243,IF($J243=10,AA243,0)))))</f>
        <v>0</v>
      </c>
      <c r="AA243" s="81">
        <f t="shared" si="3550"/>
        <v>0</v>
      </c>
      <c r="AB243" s="82">
        <f>IF(AF243=0,0,IF(AF243&lt;0,IF($J243=3,AF243,IF($J243=2,AF243,IF($J243=1,AF243,0)))))</f>
        <v>0</v>
      </c>
      <c r="AC243" s="83">
        <f>IF(AF243=0,0,IF(AF243&lt;0,IF($J243=6,AF243,IF($J243=5,AF243,IF($J243=4,AF243,0)))))</f>
        <v>0</v>
      </c>
      <c r="AD243" s="83">
        <f>IF(AF243=0,0,IF(AF243&lt;0,IF($J243=9,AF243,IF($J243=8,AF243,IF($J243=7,AF243,0)))))</f>
        <v>0</v>
      </c>
      <c r="AE243" s="84">
        <f>IF(AF243=0,0,IF(AF243&lt;0,IF($J243=12,AF243,IF($J243=11,AF243,IF($J243=10,AF243,0)))))</f>
        <v>0</v>
      </c>
      <c r="AF243" s="81">
        <f t="shared" si="3555"/>
        <v>0</v>
      </c>
      <c r="AG243" s="82">
        <f>IF(AK243=0,0,IF(AK243&lt;0,IF($J243=3,AK243,IF($J243=2,AK243,IF($J243=1,AK243,0)))))</f>
        <v>0</v>
      </c>
      <c r="AH243" s="83">
        <f>IF(AK243=0,0,IF(AK243&lt;0,IF($J243=6,AK243,IF($J243=5,AK243,IF($J243=4,AK243,0)))))</f>
        <v>0</v>
      </c>
      <c r="AI243" s="83">
        <f>IF(AK243=0,0,IF(AK243&lt;0,IF($J243=9,AK243,IF($J243=8,AK243,IF($J243=7,AK243,0)))))</f>
        <v>0</v>
      </c>
      <c r="AJ243" s="84">
        <f>IF(AK243=0,0,IF(AK243&lt;0,IF($J243=12,AK243,IF($J243=11,AK243,IF($J243=10,AK243,0)))))</f>
        <v>0</v>
      </c>
      <c r="AK243" s="81">
        <f t="shared" si="3560"/>
        <v>0</v>
      </c>
      <c r="AL243" s="82">
        <f>IF(AP243=0,0,IF(AP243&lt;0,IF($J243=3,AP243,IF($J243=2,AP243,IF($J243=1,AP243,0)))))</f>
        <v>0</v>
      </c>
      <c r="AM243" s="83">
        <f>IF(AP243=0,0,IF(AP243&lt;0,IF($J243=6,AP243,IF($J243=5,AP243,IF($J243=4,AP243,0)))))</f>
        <v>0</v>
      </c>
      <c r="AN243" s="83">
        <f>IF(AP243=0,0,IF(AP243&lt;0,IF($J243=9,AP243,IF($J243=8,AP243,IF($J243=7,AP243,0)))))</f>
        <v>0</v>
      </c>
      <c r="AO243" s="84">
        <f>IF(AP243=0,0,IF(AP243&lt;0,IF($J243=12,AP243,IF($J243=11,AP243,IF($J243=10,AP243,0)))))</f>
        <v>0</v>
      </c>
      <c r="AP243" s="81">
        <f t="shared" si="3565"/>
        <v>0</v>
      </c>
      <c r="AQ243" s="82">
        <f>IF(AU243=0,0,IF(AU243&lt;0,IF($J243=3,AU243,IF($J243=2,AU243,IF($J243=1,AU243,0)))))</f>
        <v>0</v>
      </c>
      <c r="AR243" s="83">
        <f>IF(AU243=0,0,IF(AU243&lt;0,IF($J243=6,AU243,IF($J243=5,AU243,IF($J243=4,AU243,0)))))</f>
        <v>0</v>
      </c>
      <c r="AS243" s="83">
        <f>IF(AU243=0,0,IF(AU243&lt;0,IF($J243=9,AU243,IF($J243=8,AU243,IF($J243=7,AU243,0)))))</f>
        <v>0</v>
      </c>
      <c r="AT243" s="84">
        <f>IF(AU243=0,0,IF(AU243&lt;0,IF($J243=12,AU243,IF($J243=11,AU243,IF($J243=10,AU243,0)))))</f>
        <v>0</v>
      </c>
      <c r="AU243" s="81">
        <f t="shared" si="3570"/>
        <v>0</v>
      </c>
      <c r="AV243" s="82">
        <f>IF(AZ243=0,0,IF(AZ243&lt;0,IF($J243=3,AZ243,IF($J243=2,AZ243,IF($J243=1,AZ243,0)))))</f>
        <v>0</v>
      </c>
      <c r="AW243" s="83">
        <f>IF(AZ243=0,0,IF(AZ243&lt;0,IF($J243=6,AZ243,IF($J243=5,AZ243,IF($J243=4,AZ243,0)))))</f>
        <v>0</v>
      </c>
      <c r="AX243" s="83">
        <f>IF(AZ243=0,0,IF(AZ243&lt;0,IF($J243=9,AZ243,IF($J243=8,AZ243,IF($J243=7,AZ243,0)))))</f>
        <v>0</v>
      </c>
      <c r="AY243" s="84">
        <f>IF(AZ243=0,0,IF(AZ243&lt;0,IF($J243=12,AZ243,IF($J243=11,AZ243,IF($J243=10,AZ243,0)))))</f>
        <v>0</v>
      </c>
      <c r="AZ243" s="81">
        <f t="shared" si="3575"/>
        <v>0</v>
      </c>
      <c r="BA243" s="82">
        <f>IF(BE243=0,0,IF(BE243&lt;0,IF($J243=3,BE243,IF($J243=2,BE243,IF($J243=1,BE243,0)))))</f>
        <v>0</v>
      </c>
      <c r="BB243" s="83">
        <f>IF(BE243=0,0,IF(BE243&lt;0,IF($J243=6,BE243,IF($J243=5,BE243,IF($J243=4,BE243,0)))))</f>
        <v>0</v>
      </c>
      <c r="BC243" s="83">
        <f>IF(BE243=0,0,IF(BE243&lt;0,IF($J243=9,BE243,IF($J243=8,BE243,IF($J243=7,BE243,0)))))</f>
        <v>0</v>
      </c>
      <c r="BD243" s="84">
        <f>IF(BE243=0,0,IF(BE243&lt;0,IF($J243=12,BE243,IF($J243=11,BE243,IF($J243=10,BE243,0)))))</f>
        <v>0</v>
      </c>
      <c r="BE243" s="81">
        <f t="shared" si="3580"/>
        <v>0</v>
      </c>
      <c r="BF243" s="1877"/>
      <c r="BG243" s="2005">
        <f t="shared" si="3581"/>
        <v>0</v>
      </c>
      <c r="BH243" s="86">
        <f>IF($H243&lt;&gt;BL$5,0,IF(BL243&lt;0,IF($J243=1,-$E243*$I243/12*3,IF($J243=2,-$E243*$I243/12*2,IF($J243=3,-$E243*$I243/12*1,0)))))+IF(BG$5&lt;&gt;$H243,0,IF(BG243&lt;0,IF($J243=1,-$E243*$I243/12*0,IF($J243=2,-$E243*$I243/12*1,IF($J243=3,-$E243*$I243/12*2,IF($J243&gt;=4,-$E243*$I243/12*3,0))))))</f>
        <v>0</v>
      </c>
      <c r="BI243" s="87">
        <f>IF($H243&lt;&gt;BL$5,0,IF(BL243&lt;0,IF(OR($J243=1,$J243=2,$J243=3,$J243=4),-$E243*$I243/12*3,IF($J243=5,-$E243*$I243/12*2,IF($J243=6,-$E243*$I243/12*1,0)))))+IF(BG$5&lt;&gt;$H243,0,IF(BG243&lt;0,IF($J243=4,-$E243*$I243/12*0,IF($J243=5,-$E243*$I243/12*1,IF($J243=6,-$E243*$I243/12*2,IF($J243&gt;=7,-$E243*$I243/12*3,0))))))</f>
        <v>0</v>
      </c>
      <c r="BJ243" s="87">
        <f>IF($H243&lt;&gt;BL$5,0,IF(BL243&lt;0,IF(OR($J243=1,$J243=2,$J243=3,$J243=4,$J243=5,$J243=6,$J243=7),-$E243*$I243/12*3,IF($J243=8,-$E243*$I243/12*2,IF($J243=9,-$E243*$I243/12*1,0)))))+IF(BG$5&lt;&gt;$H243,0,IF(BG243&lt;0,IF($J243=7,-$E243*$I243/12*0,IF($J243=8,-$E243*$I243/12*1,IF($J243=9,-$E243*$I243/12*2,IF($J243&gt;=10,-$E243*$I243/12*3,0))))))</f>
        <v>0</v>
      </c>
      <c r="BK243" s="88">
        <f>IF($H243&lt;&gt;BL$5,0,IF(BL243&lt;0,IF(OR($J243=1,$J243=2,$J243=3,$J243=4,$J243=5,$J243=6,$J243=7,$J243=8,$J243=9,$J243=10),-$E243*$I243/12*3,IF($J243=11,-$E243*$I243/12*2,IF($J243=12,-$E243*$I243/12*1,0)))))+IF(BG$5&lt;&gt;$H243,0,IF(BG243&lt;0,IF($J243=10,-$E243*$I243/12*0,IF($J243=11,-$E243*$I243/12*1,IF($J243=12,-$E243*$I243/12*2,0)))))</f>
        <v>0</v>
      </c>
      <c r="BL243" s="85">
        <f>IF(AND(BG243&lt;&gt;0,BG$5=$H243),-$I243*$E243-BG243,IF(BL$5=$H243,-$I243*$E243*(12-$J243+1)/12,0))</f>
        <v>0</v>
      </c>
      <c r="BM243" s="86">
        <f>IF($H243&lt;&gt;BQ$5,0,IF(BQ243&lt;0,IF($J243=1,-$E243*$I243/12*3,IF($J243=2,-$E243*$I243/12*2,IF($J243=3,-$E243*$I243/12*1,0)))))+IF(BL$5&lt;&gt;$H243,0,IF(BL243&lt;0,IF($J243=1,-$E243*$I243/12*0,IF($J243=2,-$E243*$I243/12*1,IF($J243=3,-$E243*$I243/12*2,IF($J243&gt;=4,-$E243*$I243/12*3,0))))))</f>
        <v>0</v>
      </c>
      <c r="BN243" s="87">
        <f>IF($H243&lt;&gt;BQ$5,0,IF(BQ243&lt;0,IF(OR($J243=1,$J243=2,$J243=3,$J243=4),-$E243*$I243/12*3,IF($J243=5,-$E243*$I243/12*2,IF($J243=6,-$E243*$I243/12*1,0)))))+IF(BL$5&lt;&gt;$H243,0,IF(BL243&lt;0,IF($J243=4,-$E243*$I243/12*0,IF($J243=5,-$E243*$I243/12*1,IF($J243=6,-$E243*$I243/12*2,IF($J243&gt;=7,-$E243*$I243/12*3,0))))))</f>
        <v>0</v>
      </c>
      <c r="BO243" s="87">
        <f>IF($H243&lt;&gt;BQ$5,0,IF(BQ243&lt;0,IF(OR($J243=1,$J243=2,$J243=3,$J243=4,$J243=5,$J243=6,$J243=7),-$E243*$I243/12*3,IF($J243=8,-$E243*$I243/12*2,IF($J243=9,-$E243*$I243/12*1,0)))))+IF(BL$5&lt;&gt;$H243,0,IF(BL243&lt;0,IF($J243=7,-$E243*$I243/12*0,IF($J243=8,-$E243*$I243/12*1,IF($J243=9,-$E243*$I243/12*2,IF($J243&gt;=10,-$E243*$I243/12*3,0))))))</f>
        <v>0</v>
      </c>
      <c r="BP243" s="88">
        <f>IF($H243&lt;&gt;BQ$5,0,IF(BQ243&lt;0,IF(OR($J243=1,$J243=2,$J243=3,$J243=4,$J243=5,$J243=6,$J243=7,$J243=8,$J243=9,$J243=10),-$E243*$I243/12*3,IF($J243=11,-$E243*$I243/12*2,IF($J243=12,-$E243*$I243/12*1,0)))))+IF(BL$5&lt;&gt;$H243,0,IF(BL243&lt;0,IF($J243=10,-$E243*$I243/12*0,IF($J243=11,-$E243*$I243/12*1,IF($J243=12,-$E243*$I243/12*2,0)))))</f>
        <v>0</v>
      </c>
      <c r="BQ243" s="85">
        <f>IF(AND(BL243&lt;&gt;0,BL$5=$H243),-$I243*$E243-BL243,IF(BQ$5=$H243,-$I243*$E243*(12-$J243+1)/12,0))</f>
        <v>0</v>
      </c>
      <c r="BR243" s="86">
        <f>IF($H243&lt;&gt;BV$5,0,IF(BV243&lt;0,IF($J243=1,-$E243*$I243/12*3,IF($J243=2,-$E243*$I243/12*2,IF($J243=3,-$E243*$I243/12*1,0)))))+IF(BQ$5&lt;&gt;$H243,0,IF(BQ243&lt;0,IF($J243=1,-$E243*$I243/12*0,IF($J243=2,-$E243*$I243/12*1,IF($J243=3,-$E243*$I243/12*2,IF($J243&gt;=4,-$E243*$I243/12*3,0))))))</f>
        <v>0</v>
      </c>
      <c r="BS243" s="87">
        <f>IF($H243&lt;&gt;BV$5,0,IF(BV243&lt;0,IF(OR($J243=1,$J243=2,$J243=3,$J243=4),-$E243*$I243/12*3,IF($J243=5,-$E243*$I243/12*2,IF($J243=6,-$E243*$I243/12*1,0)))))+IF(BQ$5&lt;&gt;$H243,0,IF(BQ243&lt;0,IF($J243=4,-$E243*$I243/12*0,IF($J243=5,-$E243*$I243/12*1,IF($J243=6,-$E243*$I243/12*2,IF($J243&gt;=7,-$E243*$I243/12*3,0))))))</f>
        <v>0</v>
      </c>
      <c r="BT243" s="87">
        <f>IF($H243&lt;&gt;BV$5,0,IF(BV243&lt;0,IF(OR($J243=1,$J243=2,$J243=3,$J243=4,$J243=5,$J243=6,$J243=7),-$E243*$I243/12*3,IF($J243=8,-$E243*$I243/12*2,IF($J243=9,-$E243*$I243/12*1,0)))))+IF(BQ$5&lt;&gt;$H243,0,IF(BQ243&lt;0,IF($J243=7,-$E243*$I243/12*0,IF($J243=8,-$E243*$I243/12*1,IF($J243=9,-$E243*$I243/12*2,IF($J243&gt;=10,-$E243*$I243/12*3,0))))))</f>
        <v>0</v>
      </c>
      <c r="BU243" s="88">
        <f>IF($H243&lt;&gt;BV$5,0,IF(BV243&lt;0,IF(OR($J243=1,$J243=2,$J243=3,$J243=4,$J243=5,$J243=6,$J243=7,$J243=8,$J243=9,$J243=10),-$E243*$I243/12*3,IF($J243=11,-$E243*$I243/12*2,IF($J243=12,-$E243*$I243/12*1,0)))))+IF(BQ$5&lt;&gt;$H243,0,IF(BQ243&lt;0,IF($J243=10,-$E243*$I243/12*0,IF($J243=11,-$E243*$I243/12*1,IF($J243=12,-$E243*$I243/12*2,0)))))</f>
        <v>0</v>
      </c>
      <c r="BV243" s="85">
        <f>IF(AND(BQ243&lt;&gt;0,BQ$5=$H243),-$I243*$E243-BQ243,IF(BV$5=$H243,-$I243*$E243*(12-$J243+1)/12,0))</f>
        <v>0</v>
      </c>
      <c r="BW243" s="86">
        <f>IF($H243&lt;&gt;CA$5,0,IF(CA243&lt;0,IF($J243=1,-$E243*$I243/12*3,IF($J243=2,-$E243*$I243/12*2,IF($J243=3,-$E243*$I243/12*1,0)))))+IF(BV$5&lt;&gt;$H243,0,IF(BV243&lt;0,IF($J243=1,-$E243*$I243/12*0,IF($J243=2,-$E243*$I243/12*1,IF($J243=3,-$E243*$I243/12*2,IF($J243&gt;=4,-$E243*$I243/12*3,0))))))</f>
        <v>0</v>
      </c>
      <c r="BX243" s="87">
        <f>IF($H243&lt;&gt;CA$5,0,IF(CA243&lt;0,IF(OR($J243=1,$J243=2,$J243=3,$J243=4),-$E243*$I243/12*3,IF($J243=5,-$E243*$I243/12*2,IF($J243=6,-$E243*$I243/12*1,0)))))+IF(BV$5&lt;&gt;$H243,0,IF(BV243&lt;0,IF($J243=4,-$E243*$I243/12*0,IF($J243=5,-$E243*$I243/12*1,IF($J243=6,-$E243*$I243/12*2,IF($J243&gt;=7,-$E243*$I243/12*3,0))))))</f>
        <v>0</v>
      </c>
      <c r="BY243" s="87">
        <f>IF($H243&lt;&gt;CA$5,0,IF(CA243&lt;0,IF(OR($J243=1,$J243=2,$J243=3,$J243=4,$J243=5,$J243=6,$J243=7),-$E243*$I243/12*3,IF($J243=8,-$E243*$I243/12*2,IF($J243=9,-$E243*$I243/12*1,0)))))+IF(BV$5&lt;&gt;$H243,0,IF(BV243&lt;0,IF($J243=7,-$E243*$I243/12*0,IF($J243=8,-$E243*$I243/12*1,IF($J243=9,-$E243*$I243/12*2,IF($J243&gt;=10,-$E243*$I243/12*3,0))))))</f>
        <v>0</v>
      </c>
      <c r="BZ243" s="88">
        <f>IF($H243&lt;&gt;CA$5,0,IF(CA243&lt;0,IF(OR($J243=1,$J243=2,$J243=3,$J243=4,$J243=5,$J243=6,$J243=7,$J243=8,$J243=9,$J243=10),-$E243*$I243/12*3,IF($J243=11,-$E243*$I243/12*2,IF($J243=12,-$E243*$I243/12*1,0)))))+IF(BV$5&lt;&gt;$H243,0,IF(BV243&lt;0,IF($J243=10,-$E243*$I243/12*0,IF($J243=11,-$E243*$I243/12*1,IF($J243=12,-$E243*$I243/12*2,0)))))</f>
        <v>0</v>
      </c>
      <c r="CA243" s="85">
        <f>IF(AND(BV243&lt;&gt;0,BV$5=$H243),-$I243*$E243-BV243,IF(CA$5=$H243,-$I243*$E243*(12-$J243+1)/12,0))</f>
        <v>0</v>
      </c>
      <c r="CB243" s="86">
        <f>IF($H243&lt;&gt;CF$5,0,IF(CF243&lt;0,IF($J243=1,-$E243*$I243/12*3,IF($J243=2,-$E243*$I243/12*2,IF($J243=3,-$E243*$I243/12*1,0)))))+IF(CA$5&lt;&gt;$H243,0,IF(CA243&lt;0,IF($J243=1,-$E243*$I243/12*0,IF($J243=2,-$E243*$I243/12*1,IF($J243=3,-$E243*$I243/12*2,IF($J243&gt;=4,-$E243*$I243/12*3,0))))))</f>
        <v>0</v>
      </c>
      <c r="CC243" s="87">
        <f>IF($H243&lt;&gt;CF$5,0,IF(CF243&lt;0,IF(OR($J243=1,$J243=2,$J243=3,$J243=4),-$E243*$I243/12*3,IF($J243=5,-$E243*$I243/12*2,IF($J243=6,-$E243*$I243/12*1,0)))))+IF(CA$5&lt;&gt;$H243,0,IF(CA243&lt;0,IF($J243=4,-$E243*$I243/12*0,IF($J243=5,-$E243*$I243/12*1,IF($J243=6,-$E243*$I243/12*2,IF($J243&gt;=7,-$E243*$I243/12*3,0))))))</f>
        <v>0</v>
      </c>
      <c r="CD243" s="87">
        <f>IF($H243&lt;&gt;CF$5,0,IF(CF243&lt;0,IF(OR($J243=1,$J243=2,$J243=3,$J243=4,$J243=5,$J243=6,$J243=7),-$E243*$I243/12*3,IF($J243=8,-$E243*$I243/12*2,IF($J243=9,-$E243*$I243/12*1,0)))))+IF(CA$5&lt;&gt;$H243,0,IF(CA243&lt;0,IF($J243=7,-$E243*$I243/12*0,IF($J243=8,-$E243*$I243/12*1,IF($J243=9,-$E243*$I243/12*2,IF($J243&gt;=10,-$E243*$I243/12*3,0))))))</f>
        <v>0</v>
      </c>
      <c r="CE243" s="88">
        <f>IF($H243&lt;&gt;CF$5,0,IF(CF243&lt;0,IF(OR($J243=1,$J243=2,$J243=3,$J243=4,$J243=5,$J243=6,$J243=7,$J243=8,$J243=9,$J243=10),-$E243*$I243/12*3,IF($J243=11,-$E243*$I243/12*2,IF($J243=12,-$E243*$I243/12*1,0)))))+IF(CA$5&lt;&gt;$H243,0,IF(CA243&lt;0,IF($J243=10,-$E243*$I243/12*0,IF($J243=11,-$E243*$I243/12*1,IF($J243=12,-$E243*$I243/12*2,0)))))</f>
        <v>0</v>
      </c>
      <c r="CF243" s="85">
        <f>IF(AND(CA243&lt;&gt;0,CA$5=$H243),-$I243*$E243-CA243,IF(CF$5=$H243,-$I243*$E243*(12-$J243+1)/12,0))</f>
        <v>0</v>
      </c>
      <c r="CG243" s="86">
        <f>IF($H243&lt;&gt;CK$5,0,IF(CK243&lt;0,IF($J243=1,-$E243*$I243/12*3,IF($J243=2,-$E243*$I243/12*2,IF($J243=3,-$E243*$I243/12*1,0)))))+IF(CF$5&lt;&gt;$H243,0,IF(CF243&lt;0,IF($J243=1,-$E243*$I243/12*0,IF($J243=2,-$E243*$I243/12*1,IF($J243=3,-$E243*$I243/12*2,IF($J243&gt;=4,-$E243*$I243/12*3,0))))))</f>
        <v>0</v>
      </c>
      <c r="CH243" s="87">
        <f>IF($H243&lt;&gt;CK$5,0,IF(CK243&lt;0,IF(OR($J243=1,$J243=2,$J243=3,$J243=4),-$E243*$I243/12*3,IF($J243=5,-$E243*$I243/12*2,IF($J243=6,-$E243*$I243/12*1,0)))))+IF(CF$5&lt;&gt;$H243,0,IF(CF243&lt;0,IF($J243=4,-$E243*$I243/12*0,IF($J243=5,-$E243*$I243/12*1,IF($J243=6,-$E243*$I243/12*2,IF($J243&gt;=7,-$E243*$I243/12*3,0))))))</f>
        <v>0</v>
      </c>
      <c r="CI243" s="87">
        <f>IF($H243&lt;&gt;CK$5,0,IF(CK243&lt;0,IF(OR($J243=1,$J243=2,$J243=3,$J243=4,$J243=5,$J243=6,$J243=7),-$E243*$I243/12*3,IF($J243=8,-$E243*$I243/12*2,IF($J243=9,-$E243*$I243/12*1,0)))))+IF(CF$5&lt;&gt;$H243,0,IF(CF243&lt;0,IF($J243=7,-$E243*$I243/12*0,IF($J243=8,-$E243*$I243/12*1,IF($J243=9,-$E243*$I243/12*2,IF($J243&gt;=10,-$E243*$I243/12*3,0))))))</f>
        <v>0</v>
      </c>
      <c r="CJ243" s="88">
        <f>IF($H243&lt;&gt;CK$5,0,IF(CK243&lt;0,IF(OR($J243=1,$J243=2,$J243=3,$J243=4,$J243=5,$J243=6,$J243=7,$J243=8,$J243=9,$J243=10),-$E243*$I243/12*3,IF($J243=11,-$E243*$I243/12*2,IF($J243=12,-$E243*$I243/12*1,0)))))+IF(CF$5&lt;&gt;$H243,0,IF(CF243&lt;0,IF($J243=10,-$E243*$I243/12*0,IF($J243=11,-$E243*$I243/12*1,IF($J243=12,-$E243*$I243/12*2,0)))))</f>
        <v>0</v>
      </c>
      <c r="CK243" s="85">
        <f>IF(AND(CF243&lt;&gt;0,CF$5=$H243),-$I243*$E243-CF243,IF(CK$5=$H243,-$I243*$E243*(12-$J243+1)/12,0))</f>
        <v>0</v>
      </c>
      <c r="CL243" s="86">
        <f>IF($H243&lt;&gt;CP$5,0,IF(CP243&lt;0,IF($J243=1,-$E243*$I243/12*3,IF($J243=2,-$E243*$I243/12*2,IF($J243=3,-$E243*$I243/12*1,0)))))+IF(CK$5&lt;&gt;$H243,0,IF(CK243&lt;0,IF($J243=1,-$E243*$I243/12*0,IF($J243=2,-$E243*$I243/12*1,IF($J243=3,-$E243*$I243/12*2,IF($J243&gt;=4,-$E243*$I243/12*3,0))))))</f>
        <v>0</v>
      </c>
      <c r="CM243" s="87">
        <f>IF($H243&lt;&gt;CP$5,0,IF(CP243&lt;0,IF(OR($J243=1,$J243=2,$J243=3,$J243=4),-$E243*$I243/12*3,IF($J243=5,-$E243*$I243/12*2,IF($J243=6,-$E243*$I243/12*1,0)))))+IF(CK$5&lt;&gt;$H243,0,IF(CK243&lt;0,IF($J243=4,-$E243*$I243/12*0,IF($J243=5,-$E243*$I243/12*1,IF($J243=6,-$E243*$I243/12*2,IF($J243&gt;=7,-$E243*$I243/12*3,0))))))</f>
        <v>0</v>
      </c>
      <c r="CN243" s="87">
        <f>IF($H243&lt;&gt;CP$5,0,IF(CP243&lt;0,IF(OR($J243=1,$J243=2,$J243=3,$J243=4,$J243=5,$J243=6,$J243=7),-$E243*$I243/12*3,IF($J243=8,-$E243*$I243/12*2,IF($J243=9,-$E243*$I243/12*1,0)))))+IF(CK$5&lt;&gt;$H243,0,IF(CK243&lt;0,IF($J243=7,-$E243*$I243/12*0,IF($J243=8,-$E243*$I243/12*1,IF($J243=9,-$E243*$I243/12*2,IF($J243&gt;=10,-$E243*$I243/12*3,0))))))</f>
        <v>0</v>
      </c>
      <c r="CO243" s="88">
        <f>IF($H243&lt;&gt;CP$5,0,IF(CP243&lt;0,IF(OR($J243=1,$J243=2,$J243=3,$J243=4,$J243=5,$J243=6,$J243=7,$J243=8,$J243=9,$J243=10),-$E243*$I243/12*3,IF($J243=11,-$E243*$I243/12*2,IF($J243=12,-$E243*$I243/12*1,0)))))+IF(CK$5&lt;&gt;$H243,0,IF(CK243&lt;0,IF($J243=10,-$E243*$I243/12*0,IF($J243=11,-$E243*$I243/12*1,IF($J243=12,-$E243*$I243/12*2,0)))))</f>
        <v>0</v>
      </c>
      <c r="CP243" s="85">
        <f>IF(AND(CK243&lt;&gt;0,CK$5=$H243),-$I243*$E243-CK243,IF(CP$5=$H243,-$I243*$E243*(12-$J243+1)/12,0))</f>
        <v>0</v>
      </c>
      <c r="CQ243" s="86">
        <f>IF($H243&lt;&gt;CU$5,0,IF(CU243&lt;0,IF($J243=1,-$E243*$I243/12*3,IF($J243=2,-$E243*$I243/12*2,IF($J243=3,-$E243*$I243/12*1,0)))))+IF(CP$5&lt;&gt;$H243,0,IF(CP243&lt;0,IF($J243=1,-$E243*$I243/12*0,IF($J243=2,-$E243*$I243/12*1,IF($J243=3,-$E243*$I243/12*2,IF($J243&gt;=4,-$E243*$I243/12*3,0))))))</f>
        <v>0</v>
      </c>
      <c r="CR243" s="87">
        <f>IF($H243&lt;&gt;CU$5,0,IF(CU243&lt;0,IF(OR($J243=1,$J243=2,$J243=3,$J243=4),-$E243*$I243/12*3,IF($J243=5,-$E243*$I243/12*2,IF($J243=6,-$E243*$I243/12*1,0)))))+IF(CP$5&lt;&gt;$H243,0,IF(CP243&lt;0,IF($J243=4,-$E243*$I243/12*0,IF($J243=5,-$E243*$I243/12*1,IF($J243=6,-$E243*$I243/12*2,IF($J243&gt;=7,-$E243*$I243/12*3,0))))))</f>
        <v>0</v>
      </c>
      <c r="CS243" s="87">
        <f>IF($H243&lt;&gt;CU$5,0,IF(CU243&lt;0,IF(OR($J243=1,$J243=2,$J243=3,$J243=4,$J243=5,$J243=6,$J243=7),-$E243*$I243/12*3,IF($J243=8,-$E243*$I243/12*2,IF($J243=9,-$E243*$I243/12*1,0)))))+IF(CP$5&lt;&gt;$H243,0,IF(CP243&lt;0,IF($J243=7,-$E243*$I243/12*0,IF($J243=8,-$E243*$I243/12*1,IF($J243=9,-$E243*$I243/12*2,IF($J243&gt;=10,-$E243*$I243/12*3,0))))))</f>
        <v>0</v>
      </c>
      <c r="CT243" s="88">
        <f>IF($H243&lt;&gt;CU$5,0,IF(CU243&lt;0,IF(OR($J243=1,$J243=2,$J243=3,$J243=4,$J243=5,$J243=6,$J243=7,$J243=8,$J243=9,$J243=10),-$E243*$I243/12*3,IF($J243=11,-$E243*$I243/12*2,IF($J243=12,-$E243*$I243/12*1,0)))))+IF(CP$5&lt;&gt;$H243,0,IF(CP243&lt;0,IF($J243=10,-$E243*$I243/12*0,IF($J243=11,-$E243*$I243/12*1,IF($J243=12,-$E243*$I243/12*2,0)))))</f>
        <v>0</v>
      </c>
      <c r="CU243" s="85">
        <f>IF(AND(CP243&lt;&gt;0,CP$5=$H243),-$I243*$E243-CP243,IF(CU$5=$H243,-$I243*$E243*(12-$J243+1)/12,0))</f>
        <v>0</v>
      </c>
      <c r="CV243" s="86">
        <f>IF($H243&lt;&gt;CZ$5,0,IF(CZ243&lt;0,IF($J243=1,-$E243*$I243/12*3,IF($J243=2,-$E243*$I243/12*2,IF($J243=3,-$E243*$I243/12*1,0)))))+IF(CU$5&lt;&gt;$H243,0,IF(CU243&lt;0,IF($J243=1,-$E243*$I243/12*0,IF($J243=2,-$E243*$I243/12*1,IF($J243=3,-$E243*$I243/12*2,IF($J243&gt;=4,-$E243*$I243/12*3,0))))))</f>
        <v>0</v>
      </c>
      <c r="CW243" s="87">
        <f>IF($H243&lt;&gt;CZ$5,0,IF(CZ243&lt;0,IF(OR($J243=1,$J243=2,$J243=3,$J243=4),-$E243*$I243/12*3,IF($J243=5,-$E243*$I243/12*2,IF($J243=6,-$E243*$I243/12*1,0)))))+IF(CU$5&lt;&gt;$H243,0,IF(CU243&lt;0,IF($J243=4,-$E243*$I243/12*0,IF($J243=5,-$E243*$I243/12*1,IF($J243=6,-$E243*$I243/12*2,IF($J243&gt;=7,-$E243*$I243/12*3,0))))))</f>
        <v>0</v>
      </c>
      <c r="CX243" s="87">
        <f>IF($H243&lt;&gt;CZ$5,0,IF(CZ243&lt;0,IF(OR($J243=1,$J243=2,$J243=3,$J243=4,$J243=5,$J243=6,$J243=7),-$E243*$I243/12*3,IF($J243=8,-$E243*$I243/12*2,IF($J243=9,-$E243*$I243/12*1,0)))))+IF(CU$5&lt;&gt;$H243,0,IF(CU243&lt;0,IF($J243=7,-$E243*$I243/12*0,IF($J243=8,-$E243*$I243/12*1,IF($J243=9,-$E243*$I243/12*2,IF($J243&gt;=10,-$E243*$I243/12*3,0))))))</f>
        <v>0</v>
      </c>
      <c r="CY243" s="88">
        <f>IF($H243&lt;&gt;CZ$5,0,IF(CZ243&lt;0,IF(OR($J243=1,$J243=2,$J243=3,$J243=4,$J243=5,$J243=6,$J243=7,$J243=8,$J243=9,$J243=10),-$E243*$I243/12*3,IF($J243=11,-$E243*$I243/12*2,IF($J243=12,-$E243*$I243/12*1,0)))))+IF(CU$5&lt;&gt;$H243,0,IF(CU243&lt;0,IF($J243=10,-$E243*$I243/12*0,IF($J243=11,-$E243*$I243/12*1,IF($J243=12,-$E243*$I243/12*2,0)))))</f>
        <v>0</v>
      </c>
      <c r="CZ243" s="85">
        <f>IF(AND(CU243&lt;&gt;0,CU$5=$H243),-$I243*$E243-CU243,IF(CZ$5=$H243,-$I243*$E243*(12-$J243+1)/12,0))</f>
        <v>0</v>
      </c>
    </row>
    <row r="244" spans="1:104" ht="12.75" customHeight="1">
      <c r="A244" s="1817"/>
      <c r="B244" s="2128"/>
      <c r="C244" s="2026" t="s">
        <v>776</v>
      </c>
      <c r="D244" s="2117"/>
      <c r="E244" s="2115">
        <f>IF(F244=0,G244,F244)</f>
        <v>650</v>
      </c>
      <c r="F244" s="2313">
        <v>650</v>
      </c>
      <c r="G244" s="1511">
        <v>450</v>
      </c>
      <c r="H244" s="1510">
        <v>2043</v>
      </c>
      <c r="I244" s="1831">
        <v>4.1500000000000002E-2</v>
      </c>
      <c r="J244" s="1861">
        <v>3</v>
      </c>
      <c r="L244" s="2001">
        <f t="shared" si="3535"/>
        <v>0</v>
      </c>
      <c r="M244" s="82">
        <f t="shared" ref="M244" si="3627">IF(Q244=0,0,IF(Q244&lt;0,IF($J244=3,Q244,IF($J244=2,Q244,IF($J244=1,Q244,0)))))</f>
        <v>0</v>
      </c>
      <c r="N244" s="83">
        <f t="shared" ref="N244" si="3628">IF(Q244=0,0,IF(Q244&lt;0,IF($J244=6,Q244,IF($J244=5,Q244,IF($J244=4,Q244,0)))))</f>
        <v>0</v>
      </c>
      <c r="O244" s="83">
        <f t="shared" ref="O244" si="3629">IF(Q244=0,0,IF(Q244&lt;0,IF($J244=9,Q244,IF($J244=8,Q244,IF($J244=7,Q244,0)))))</f>
        <v>0</v>
      </c>
      <c r="P244" s="84">
        <f t="shared" ref="P244" si="3630">IF(Q244=0,0,IF(Q244&lt;0,IF($J244=12,Q244,IF($J244=11,Q244,IF($J244=10,Q244,0)))))</f>
        <v>0</v>
      </c>
      <c r="Q244" s="81">
        <f t="shared" si="3540"/>
        <v>0</v>
      </c>
      <c r="R244" s="82">
        <f t="shared" ref="R244" si="3631">IF(V244=0,0,IF(V244&lt;0,IF($J244=3,V244,IF($J244=2,V244,IF($J244=1,V244,0)))))</f>
        <v>0</v>
      </c>
      <c r="S244" s="83">
        <f t="shared" ref="S244" si="3632">IF(V244=0,0,IF(V244&lt;0,IF($J244=6,V244,IF($J244=5,V244,IF($J244=4,V244,0)))))</f>
        <v>0</v>
      </c>
      <c r="T244" s="83">
        <f t="shared" ref="T244" si="3633">IF(V244=0,0,IF(V244&lt;0,IF($J244=9,V244,IF($J244=8,V244,IF($J244=7,V244,0)))))</f>
        <v>0</v>
      </c>
      <c r="U244" s="84">
        <f t="shared" ref="U244" si="3634">IF(V244=0,0,IF(V244&lt;0,IF($J244=12,V244,IF($J244=11,V244,IF($J244=10,V244,0)))))</f>
        <v>0</v>
      </c>
      <c r="V244" s="81">
        <f t="shared" si="3545"/>
        <v>0</v>
      </c>
      <c r="W244" s="82">
        <f t="shared" ref="W244" si="3635">IF(AA244=0,0,IF(AA244&lt;0,IF($J244=3,AA244,IF($J244=2,AA244,IF($J244=1,AA244,0)))))</f>
        <v>0</v>
      </c>
      <c r="X244" s="83">
        <f t="shared" ref="X244" si="3636">IF(AA244=0,0,IF(AA244&lt;0,IF($J244=6,AA244,IF($J244=5,AA244,IF($J244=4,AA244,0)))))</f>
        <v>0</v>
      </c>
      <c r="Y244" s="83">
        <f t="shared" ref="Y244" si="3637">IF(AA244=0,0,IF(AA244&lt;0,IF($J244=9,AA244,IF($J244=8,AA244,IF($J244=7,AA244,0)))))</f>
        <v>0</v>
      </c>
      <c r="Z244" s="84">
        <f t="shared" ref="Z244" si="3638">IF(AA244=0,0,IF(AA244&lt;0,IF($J244=12,AA244,IF($J244=11,AA244,IF($J244=10,AA244,0)))))</f>
        <v>0</v>
      </c>
      <c r="AA244" s="81">
        <f t="shared" si="3550"/>
        <v>0</v>
      </c>
      <c r="AB244" s="82">
        <f t="shared" ref="AB244" si="3639">IF(AF244=0,0,IF(AF244&lt;0,IF($J244=3,AF244,IF($J244=2,AF244,IF($J244=1,AF244,0)))))</f>
        <v>0</v>
      </c>
      <c r="AC244" s="83">
        <f t="shared" ref="AC244" si="3640">IF(AF244=0,0,IF(AF244&lt;0,IF($J244=6,AF244,IF($J244=5,AF244,IF($J244=4,AF244,0)))))</f>
        <v>0</v>
      </c>
      <c r="AD244" s="83">
        <f t="shared" ref="AD244" si="3641">IF(AF244=0,0,IF(AF244&lt;0,IF($J244=9,AF244,IF($J244=8,AF244,IF($J244=7,AF244,0)))))</f>
        <v>0</v>
      </c>
      <c r="AE244" s="84">
        <f t="shared" ref="AE244" si="3642">IF(AF244=0,0,IF(AF244&lt;0,IF($J244=12,AF244,IF($J244=11,AF244,IF($J244=10,AF244,0)))))</f>
        <v>0</v>
      </c>
      <c r="AF244" s="81">
        <f t="shared" si="3555"/>
        <v>0</v>
      </c>
      <c r="AG244" s="82">
        <f t="shared" ref="AG244" si="3643">IF(AK244=0,0,IF(AK244&lt;0,IF($J244=3,AK244,IF($J244=2,AK244,IF($J244=1,AK244,0)))))</f>
        <v>0</v>
      </c>
      <c r="AH244" s="83">
        <f t="shared" ref="AH244" si="3644">IF(AK244=0,0,IF(AK244&lt;0,IF($J244=6,AK244,IF($J244=5,AK244,IF($J244=4,AK244,0)))))</f>
        <v>0</v>
      </c>
      <c r="AI244" s="83">
        <f t="shared" ref="AI244" si="3645">IF(AK244=0,0,IF(AK244&lt;0,IF($J244=9,AK244,IF($J244=8,AK244,IF($J244=7,AK244,0)))))</f>
        <v>0</v>
      </c>
      <c r="AJ244" s="84">
        <f t="shared" ref="AJ244" si="3646">IF(AK244=0,0,IF(AK244&lt;0,IF($J244=12,AK244,IF($J244=11,AK244,IF($J244=10,AK244,0)))))</f>
        <v>0</v>
      </c>
      <c r="AK244" s="81">
        <f t="shared" si="3560"/>
        <v>0</v>
      </c>
      <c r="AL244" s="82">
        <f t="shared" ref="AL244" si="3647">IF(AP244=0,0,IF(AP244&lt;0,IF($J244=3,AP244,IF($J244=2,AP244,IF($J244=1,AP244,0)))))</f>
        <v>0</v>
      </c>
      <c r="AM244" s="83">
        <f t="shared" ref="AM244" si="3648">IF(AP244=0,0,IF(AP244&lt;0,IF($J244=6,AP244,IF($J244=5,AP244,IF($J244=4,AP244,0)))))</f>
        <v>0</v>
      </c>
      <c r="AN244" s="83">
        <f t="shared" ref="AN244" si="3649">IF(AP244=0,0,IF(AP244&lt;0,IF($J244=9,AP244,IF($J244=8,AP244,IF($J244=7,AP244,0)))))</f>
        <v>0</v>
      </c>
      <c r="AO244" s="84">
        <f t="shared" ref="AO244" si="3650">IF(AP244=0,0,IF(AP244&lt;0,IF($J244=12,AP244,IF($J244=11,AP244,IF($J244=10,AP244,0)))))</f>
        <v>0</v>
      </c>
      <c r="AP244" s="81">
        <f t="shared" si="3565"/>
        <v>0</v>
      </c>
      <c r="AQ244" s="82">
        <f t="shared" ref="AQ244" si="3651">IF(AU244=0,0,IF(AU244&lt;0,IF($J244=3,AU244,IF($J244=2,AU244,IF($J244=1,AU244,0)))))</f>
        <v>0</v>
      </c>
      <c r="AR244" s="83">
        <f t="shared" ref="AR244" si="3652">IF(AU244=0,0,IF(AU244&lt;0,IF($J244=6,AU244,IF($J244=5,AU244,IF($J244=4,AU244,0)))))</f>
        <v>0</v>
      </c>
      <c r="AS244" s="83">
        <f t="shared" ref="AS244" si="3653">IF(AU244=0,0,IF(AU244&lt;0,IF($J244=9,AU244,IF($J244=8,AU244,IF($J244=7,AU244,0)))))</f>
        <v>0</v>
      </c>
      <c r="AT244" s="84">
        <f t="shared" ref="AT244" si="3654">IF(AU244=0,0,IF(AU244&lt;0,IF($J244=12,AU244,IF($J244=11,AU244,IF($J244=10,AU244,0)))))</f>
        <v>0</v>
      </c>
      <c r="AU244" s="81">
        <f t="shared" si="3570"/>
        <v>0</v>
      </c>
      <c r="AV244" s="82">
        <f t="shared" ref="AV244" si="3655">IF(AZ244=0,0,IF(AZ244&lt;0,IF($J244=3,AZ244,IF($J244=2,AZ244,IF($J244=1,AZ244,0)))))</f>
        <v>0</v>
      </c>
      <c r="AW244" s="83">
        <f t="shared" ref="AW244" si="3656">IF(AZ244=0,0,IF(AZ244&lt;0,IF($J244=6,AZ244,IF($J244=5,AZ244,IF($J244=4,AZ244,0)))))</f>
        <v>0</v>
      </c>
      <c r="AX244" s="83">
        <f t="shared" ref="AX244" si="3657">IF(AZ244=0,0,IF(AZ244&lt;0,IF($J244=9,AZ244,IF($J244=8,AZ244,IF($J244=7,AZ244,0)))))</f>
        <v>0</v>
      </c>
      <c r="AY244" s="84">
        <f t="shared" ref="AY244" si="3658">IF(AZ244=0,0,IF(AZ244&lt;0,IF($J244=12,AZ244,IF($J244=11,AZ244,IF($J244=10,AZ244,0)))))</f>
        <v>0</v>
      </c>
      <c r="AZ244" s="81">
        <f t="shared" si="3575"/>
        <v>0</v>
      </c>
      <c r="BA244" s="82">
        <f t="shared" ref="BA244" si="3659">IF(BE244=0,0,IF(BE244&lt;0,IF($J244=3,BE244,IF($J244=2,BE244,IF($J244=1,BE244,0)))))</f>
        <v>0</v>
      </c>
      <c r="BB244" s="83">
        <f t="shared" ref="BB244" si="3660">IF(BE244=0,0,IF(BE244&lt;0,IF($J244=6,BE244,IF($J244=5,BE244,IF($J244=4,BE244,0)))))</f>
        <v>0</v>
      </c>
      <c r="BC244" s="83">
        <f t="shared" ref="BC244" si="3661">IF(BE244=0,0,IF(BE244&lt;0,IF($J244=9,BE244,IF($J244=8,BE244,IF($J244=7,BE244,0)))))</f>
        <v>0</v>
      </c>
      <c r="BD244" s="84">
        <f t="shared" ref="BD244" si="3662">IF(BE244=0,0,IF(BE244&lt;0,IF($J244=12,BE244,IF($J244=11,BE244,IF($J244=10,BE244,0)))))</f>
        <v>0</v>
      </c>
      <c r="BE244" s="81">
        <f t="shared" si="3580"/>
        <v>0</v>
      </c>
      <c r="BF244" s="1877"/>
      <c r="BG244" s="2005">
        <f t="shared" ref="BG244" si="3663">IF(AND(BF244&lt;&gt;0,BF$5=$H244),-$I244*$E244-BF244,IF(BG$5=$H244,-$I244*$E244*(12-$J244+1)/12,0))</f>
        <v>0</v>
      </c>
      <c r="BH244" s="86">
        <f t="shared" ref="BH244" si="3664">IF($H244&lt;&gt;BL$5,0,IF(BL244&lt;0,IF($J244=1,-$E244*$I244/12*3,IF($J244=2,-$E244*$I244/12*2,IF($J244=3,-$E244*$I244/12*1,0)))))+IF(BG$5&lt;&gt;$H244,0,IF(BG244&lt;0,IF($J244=1,-$E244*$I244/12*0,IF($J244=2,-$E244*$I244/12*1,IF($J244=3,-$E244*$I244/12*2,IF($J244&gt;=4,-$E244*$I244/12*3,0))))))</f>
        <v>0</v>
      </c>
      <c r="BI244" s="87">
        <f t="shared" ref="BI244" si="3665">IF($H244&lt;&gt;BL$5,0,IF(BL244&lt;0,IF(OR($J244=1,$J244=2,$J244=3,$J244=4),-$E244*$I244/12*3,IF($J244=5,-$E244*$I244/12*2,IF($J244=6,-$E244*$I244/12*1,0)))))+IF(BG$5&lt;&gt;$H244,0,IF(BG244&lt;0,IF($J244=4,-$E244*$I244/12*0,IF($J244=5,-$E244*$I244/12*1,IF($J244=6,-$E244*$I244/12*2,IF($J244&gt;=7,-$E244*$I244/12*3,0))))))</f>
        <v>0</v>
      </c>
      <c r="BJ244" s="87">
        <f t="shared" ref="BJ244" si="3666">IF($H244&lt;&gt;BL$5,0,IF(BL244&lt;0,IF(OR($J244=1,$J244=2,$J244=3,$J244=4,$J244=5,$J244=6,$J244=7),-$E244*$I244/12*3,IF($J244=8,-$E244*$I244/12*2,IF($J244=9,-$E244*$I244/12*1,0)))))+IF(BG$5&lt;&gt;$H244,0,IF(BG244&lt;0,IF($J244=7,-$E244*$I244/12*0,IF($J244=8,-$E244*$I244/12*1,IF($J244=9,-$E244*$I244/12*2,IF($J244&gt;=10,-$E244*$I244/12*3,0))))))</f>
        <v>0</v>
      </c>
      <c r="BK244" s="88">
        <f t="shared" ref="BK244" si="3667">IF($H244&lt;&gt;BL$5,0,IF(BL244&lt;0,IF(OR($J244=1,$J244=2,$J244=3,$J244=4,$J244=5,$J244=6,$J244=7,$J244=8,$J244=9,$J244=10),-$E244*$I244/12*3,IF($J244=11,-$E244*$I244/12*2,IF($J244=12,-$E244*$I244/12*1,0)))))+IF(BG$5&lt;&gt;$H244,0,IF(BG244&lt;0,IF($J244=10,-$E244*$I244/12*0,IF($J244=11,-$E244*$I244/12*1,IF($J244=12,-$E244*$I244/12*2,0)))))</f>
        <v>0</v>
      </c>
      <c r="BL244" s="85">
        <f t="shared" ref="BL244" si="3668">IF(AND(BG244&lt;&gt;0,BG$5=$H244),-$I244*$E244-BG244,IF(BL$5=$H244,-$I244*$E244*(12-$J244+1)/12,0))</f>
        <v>0</v>
      </c>
      <c r="BM244" s="86">
        <f t="shared" ref="BM244" si="3669">IF($H244&lt;&gt;BQ$5,0,IF(BQ244&lt;0,IF($J244=1,-$E244*$I244/12*3,IF($J244=2,-$E244*$I244/12*2,IF($J244=3,-$E244*$I244/12*1,0)))))+IF(BL$5&lt;&gt;$H244,0,IF(BL244&lt;0,IF($J244=1,-$E244*$I244/12*0,IF($J244=2,-$E244*$I244/12*1,IF($J244=3,-$E244*$I244/12*2,IF($J244&gt;=4,-$E244*$I244/12*3,0))))))</f>
        <v>0</v>
      </c>
      <c r="BN244" s="87">
        <f t="shared" ref="BN244" si="3670">IF($H244&lt;&gt;BQ$5,0,IF(BQ244&lt;0,IF(OR($J244=1,$J244=2,$J244=3,$J244=4),-$E244*$I244/12*3,IF($J244=5,-$E244*$I244/12*2,IF($J244=6,-$E244*$I244/12*1,0)))))+IF(BL$5&lt;&gt;$H244,0,IF(BL244&lt;0,IF($J244=4,-$E244*$I244/12*0,IF($J244=5,-$E244*$I244/12*1,IF($J244=6,-$E244*$I244/12*2,IF($J244&gt;=7,-$E244*$I244/12*3,0))))))</f>
        <v>0</v>
      </c>
      <c r="BO244" s="87">
        <f t="shared" ref="BO244" si="3671">IF($H244&lt;&gt;BQ$5,0,IF(BQ244&lt;0,IF(OR($J244=1,$J244=2,$J244=3,$J244=4,$J244=5,$J244=6,$J244=7),-$E244*$I244/12*3,IF($J244=8,-$E244*$I244/12*2,IF($J244=9,-$E244*$I244/12*1,0)))))+IF(BL$5&lt;&gt;$H244,0,IF(BL244&lt;0,IF($J244=7,-$E244*$I244/12*0,IF($J244=8,-$E244*$I244/12*1,IF($J244=9,-$E244*$I244/12*2,IF($J244&gt;=10,-$E244*$I244/12*3,0))))))</f>
        <v>0</v>
      </c>
      <c r="BP244" s="88">
        <f t="shared" ref="BP244" si="3672">IF($H244&lt;&gt;BQ$5,0,IF(BQ244&lt;0,IF(OR($J244=1,$J244=2,$J244=3,$J244=4,$J244=5,$J244=6,$J244=7,$J244=8,$J244=9,$J244=10),-$E244*$I244/12*3,IF($J244=11,-$E244*$I244/12*2,IF($J244=12,-$E244*$I244/12*1,0)))))+IF(BL$5&lt;&gt;$H244,0,IF(BL244&lt;0,IF($J244=10,-$E244*$I244/12*0,IF($J244=11,-$E244*$I244/12*1,IF($J244=12,-$E244*$I244/12*2,0)))))</f>
        <v>0</v>
      </c>
      <c r="BQ244" s="85">
        <f t="shared" ref="BQ244" si="3673">IF(AND(BL244&lt;&gt;0,BL$5=$H244),-$I244*$E244-BL244,IF(BQ$5=$H244,-$I244*$E244*(12-$J244+1)/12,0))</f>
        <v>0</v>
      </c>
      <c r="BR244" s="86">
        <f t="shared" ref="BR244" si="3674">IF($H244&lt;&gt;BV$5,0,IF(BV244&lt;0,IF($J244=1,-$E244*$I244/12*3,IF($J244=2,-$E244*$I244/12*2,IF($J244=3,-$E244*$I244/12*1,0)))))+IF(BQ$5&lt;&gt;$H244,0,IF(BQ244&lt;0,IF($J244=1,-$E244*$I244/12*0,IF($J244=2,-$E244*$I244/12*1,IF($J244=3,-$E244*$I244/12*2,IF($J244&gt;=4,-$E244*$I244/12*3,0))))))</f>
        <v>0</v>
      </c>
      <c r="BS244" s="87">
        <f t="shared" ref="BS244" si="3675">IF($H244&lt;&gt;BV$5,0,IF(BV244&lt;0,IF(OR($J244=1,$J244=2,$J244=3,$J244=4),-$E244*$I244/12*3,IF($J244=5,-$E244*$I244/12*2,IF($J244=6,-$E244*$I244/12*1,0)))))+IF(BQ$5&lt;&gt;$H244,0,IF(BQ244&lt;0,IF($J244=4,-$E244*$I244/12*0,IF($J244=5,-$E244*$I244/12*1,IF($J244=6,-$E244*$I244/12*2,IF($J244&gt;=7,-$E244*$I244/12*3,0))))))</f>
        <v>0</v>
      </c>
      <c r="BT244" s="87">
        <f t="shared" ref="BT244" si="3676">IF($H244&lt;&gt;BV$5,0,IF(BV244&lt;0,IF(OR($J244=1,$J244=2,$J244=3,$J244=4,$J244=5,$J244=6,$J244=7),-$E244*$I244/12*3,IF($J244=8,-$E244*$I244/12*2,IF($J244=9,-$E244*$I244/12*1,0)))))+IF(BQ$5&lt;&gt;$H244,0,IF(BQ244&lt;0,IF($J244=7,-$E244*$I244/12*0,IF($J244=8,-$E244*$I244/12*1,IF($J244=9,-$E244*$I244/12*2,IF($J244&gt;=10,-$E244*$I244/12*3,0))))))</f>
        <v>0</v>
      </c>
      <c r="BU244" s="88">
        <f t="shared" ref="BU244" si="3677">IF($H244&lt;&gt;BV$5,0,IF(BV244&lt;0,IF(OR($J244=1,$J244=2,$J244=3,$J244=4,$J244=5,$J244=6,$J244=7,$J244=8,$J244=9,$J244=10),-$E244*$I244/12*3,IF($J244=11,-$E244*$I244/12*2,IF($J244=12,-$E244*$I244/12*1,0)))))+IF(BQ$5&lt;&gt;$H244,0,IF(BQ244&lt;0,IF($J244=10,-$E244*$I244/12*0,IF($J244=11,-$E244*$I244/12*1,IF($J244=12,-$E244*$I244/12*2,0)))))</f>
        <v>0</v>
      </c>
      <c r="BV244" s="85">
        <f t="shared" ref="BV244" si="3678">IF(AND(BQ244&lt;&gt;0,BQ$5=$H244),-$I244*$E244-BQ244,IF(BV$5=$H244,-$I244*$E244*(12-$J244+1)/12,0))</f>
        <v>0</v>
      </c>
      <c r="BW244" s="86">
        <f t="shared" ref="BW244" si="3679">IF($H244&lt;&gt;CA$5,0,IF(CA244&lt;0,IF($J244=1,-$E244*$I244/12*3,IF($J244=2,-$E244*$I244/12*2,IF($J244=3,-$E244*$I244/12*1,0)))))+IF(BV$5&lt;&gt;$H244,0,IF(BV244&lt;0,IF($J244=1,-$E244*$I244/12*0,IF($J244=2,-$E244*$I244/12*1,IF($J244=3,-$E244*$I244/12*2,IF($J244&gt;=4,-$E244*$I244/12*3,0))))))</f>
        <v>0</v>
      </c>
      <c r="BX244" s="87">
        <f t="shared" ref="BX244" si="3680">IF($H244&lt;&gt;CA$5,0,IF(CA244&lt;0,IF(OR($J244=1,$J244=2,$J244=3,$J244=4),-$E244*$I244/12*3,IF($J244=5,-$E244*$I244/12*2,IF($J244=6,-$E244*$I244/12*1,0)))))+IF(BV$5&lt;&gt;$H244,0,IF(BV244&lt;0,IF($J244=4,-$E244*$I244/12*0,IF($J244=5,-$E244*$I244/12*1,IF($J244=6,-$E244*$I244/12*2,IF($J244&gt;=7,-$E244*$I244/12*3,0))))))</f>
        <v>0</v>
      </c>
      <c r="BY244" s="87">
        <f t="shared" ref="BY244" si="3681">IF($H244&lt;&gt;CA$5,0,IF(CA244&lt;0,IF(OR($J244=1,$J244=2,$J244=3,$J244=4,$J244=5,$J244=6,$J244=7),-$E244*$I244/12*3,IF($J244=8,-$E244*$I244/12*2,IF($J244=9,-$E244*$I244/12*1,0)))))+IF(BV$5&lt;&gt;$H244,0,IF(BV244&lt;0,IF($J244=7,-$E244*$I244/12*0,IF($J244=8,-$E244*$I244/12*1,IF($J244=9,-$E244*$I244/12*2,IF($J244&gt;=10,-$E244*$I244/12*3,0))))))</f>
        <v>0</v>
      </c>
      <c r="BZ244" s="88">
        <f t="shared" ref="BZ244" si="3682">IF($H244&lt;&gt;CA$5,0,IF(CA244&lt;0,IF(OR($J244=1,$J244=2,$J244=3,$J244=4,$J244=5,$J244=6,$J244=7,$J244=8,$J244=9,$J244=10),-$E244*$I244/12*3,IF($J244=11,-$E244*$I244/12*2,IF($J244=12,-$E244*$I244/12*1,0)))))+IF(BV$5&lt;&gt;$H244,0,IF(BV244&lt;0,IF($J244=10,-$E244*$I244/12*0,IF($J244=11,-$E244*$I244/12*1,IF($J244=12,-$E244*$I244/12*2,0)))))</f>
        <v>0</v>
      </c>
      <c r="CA244" s="85">
        <f t="shared" ref="CA244" si="3683">IF(AND(BV244&lt;&gt;0,BV$5=$H244),-$I244*$E244-BV244,IF(CA$5=$H244,-$I244*$E244*(12-$J244+1)/12,0))</f>
        <v>0</v>
      </c>
      <c r="CB244" s="86">
        <f t="shared" ref="CB244" si="3684">IF($H244&lt;&gt;CF$5,0,IF(CF244&lt;0,IF($J244=1,-$E244*$I244/12*3,IF($J244=2,-$E244*$I244/12*2,IF($J244=3,-$E244*$I244/12*1,0)))))+IF(CA$5&lt;&gt;$H244,0,IF(CA244&lt;0,IF($J244=1,-$E244*$I244/12*0,IF($J244=2,-$E244*$I244/12*1,IF($J244=3,-$E244*$I244/12*2,IF($J244&gt;=4,-$E244*$I244/12*3,0))))))</f>
        <v>0</v>
      </c>
      <c r="CC244" s="87">
        <f t="shared" ref="CC244" si="3685">IF($H244&lt;&gt;CF$5,0,IF(CF244&lt;0,IF(OR($J244=1,$J244=2,$J244=3,$J244=4),-$E244*$I244/12*3,IF($J244=5,-$E244*$I244/12*2,IF($J244=6,-$E244*$I244/12*1,0)))))+IF(CA$5&lt;&gt;$H244,0,IF(CA244&lt;0,IF($J244=4,-$E244*$I244/12*0,IF($J244=5,-$E244*$I244/12*1,IF($J244=6,-$E244*$I244/12*2,IF($J244&gt;=7,-$E244*$I244/12*3,0))))))</f>
        <v>0</v>
      </c>
      <c r="CD244" s="87">
        <f t="shared" ref="CD244" si="3686">IF($H244&lt;&gt;CF$5,0,IF(CF244&lt;0,IF(OR($J244=1,$J244=2,$J244=3,$J244=4,$J244=5,$J244=6,$J244=7),-$E244*$I244/12*3,IF($J244=8,-$E244*$I244/12*2,IF($J244=9,-$E244*$I244/12*1,0)))))+IF(CA$5&lt;&gt;$H244,0,IF(CA244&lt;0,IF($J244=7,-$E244*$I244/12*0,IF($J244=8,-$E244*$I244/12*1,IF($J244=9,-$E244*$I244/12*2,IF($J244&gt;=10,-$E244*$I244/12*3,0))))))</f>
        <v>0</v>
      </c>
      <c r="CE244" s="88">
        <f t="shared" ref="CE244" si="3687">IF($H244&lt;&gt;CF$5,0,IF(CF244&lt;0,IF(OR($J244=1,$J244=2,$J244=3,$J244=4,$J244=5,$J244=6,$J244=7,$J244=8,$J244=9,$J244=10),-$E244*$I244/12*3,IF($J244=11,-$E244*$I244/12*2,IF($J244=12,-$E244*$I244/12*1,0)))))+IF(CA$5&lt;&gt;$H244,0,IF(CA244&lt;0,IF($J244=10,-$E244*$I244/12*0,IF($J244=11,-$E244*$I244/12*1,IF($J244=12,-$E244*$I244/12*2,0)))))</f>
        <v>0</v>
      </c>
      <c r="CF244" s="85">
        <f t="shared" ref="CF244" si="3688">IF(AND(CA244&lt;&gt;0,CA$5=$H244),-$I244*$E244-CA244,IF(CF$5=$H244,-$I244*$E244*(12-$J244+1)/12,0))</f>
        <v>0</v>
      </c>
      <c r="CG244" s="86">
        <f t="shared" ref="CG244" si="3689">IF($H244&lt;&gt;CK$5,0,IF(CK244&lt;0,IF($J244=1,-$E244*$I244/12*3,IF($J244=2,-$E244*$I244/12*2,IF($J244=3,-$E244*$I244/12*1,0)))))+IF(CF$5&lt;&gt;$H244,0,IF(CF244&lt;0,IF($J244=1,-$E244*$I244/12*0,IF($J244=2,-$E244*$I244/12*1,IF($J244=3,-$E244*$I244/12*2,IF($J244&gt;=4,-$E244*$I244/12*3,0))))))</f>
        <v>0</v>
      </c>
      <c r="CH244" s="87">
        <f t="shared" ref="CH244" si="3690">IF($H244&lt;&gt;CK$5,0,IF(CK244&lt;0,IF(OR($J244=1,$J244=2,$J244=3,$J244=4),-$E244*$I244/12*3,IF($J244=5,-$E244*$I244/12*2,IF($J244=6,-$E244*$I244/12*1,0)))))+IF(CF$5&lt;&gt;$H244,0,IF(CF244&lt;0,IF($J244=4,-$E244*$I244/12*0,IF($J244=5,-$E244*$I244/12*1,IF($J244=6,-$E244*$I244/12*2,IF($J244&gt;=7,-$E244*$I244/12*3,0))))))</f>
        <v>0</v>
      </c>
      <c r="CI244" s="87">
        <f t="shared" ref="CI244" si="3691">IF($H244&lt;&gt;CK$5,0,IF(CK244&lt;0,IF(OR($J244=1,$J244=2,$J244=3,$J244=4,$J244=5,$J244=6,$J244=7),-$E244*$I244/12*3,IF($J244=8,-$E244*$I244/12*2,IF($J244=9,-$E244*$I244/12*1,0)))))+IF(CF$5&lt;&gt;$H244,0,IF(CF244&lt;0,IF($J244=7,-$E244*$I244/12*0,IF($J244=8,-$E244*$I244/12*1,IF($J244=9,-$E244*$I244/12*2,IF($J244&gt;=10,-$E244*$I244/12*3,0))))))</f>
        <v>0</v>
      </c>
      <c r="CJ244" s="88">
        <f t="shared" ref="CJ244" si="3692">IF($H244&lt;&gt;CK$5,0,IF(CK244&lt;0,IF(OR($J244=1,$J244=2,$J244=3,$J244=4,$J244=5,$J244=6,$J244=7,$J244=8,$J244=9,$J244=10),-$E244*$I244/12*3,IF($J244=11,-$E244*$I244/12*2,IF($J244=12,-$E244*$I244/12*1,0)))))+IF(CF$5&lt;&gt;$H244,0,IF(CF244&lt;0,IF($J244=10,-$E244*$I244/12*0,IF($J244=11,-$E244*$I244/12*1,IF($J244=12,-$E244*$I244/12*2,0)))))</f>
        <v>0</v>
      </c>
      <c r="CK244" s="85">
        <f t="shared" ref="CK244" si="3693">IF(AND(CF244&lt;&gt;0,CF$5=$H244),-$I244*$E244-CF244,IF(CK$5=$H244,-$I244*$E244*(12-$J244+1)/12,0))</f>
        <v>0</v>
      </c>
      <c r="CL244" s="86">
        <f t="shared" ref="CL244" si="3694">IF($H244&lt;&gt;CP$5,0,IF(CP244&lt;0,IF($J244=1,-$E244*$I244/12*3,IF($J244=2,-$E244*$I244/12*2,IF($J244=3,-$E244*$I244/12*1,0)))))+IF(CK$5&lt;&gt;$H244,0,IF(CK244&lt;0,IF($J244=1,-$E244*$I244/12*0,IF($J244=2,-$E244*$I244/12*1,IF($J244=3,-$E244*$I244/12*2,IF($J244&gt;=4,-$E244*$I244/12*3,0))))))</f>
        <v>0</v>
      </c>
      <c r="CM244" s="87">
        <f t="shared" ref="CM244" si="3695">IF($H244&lt;&gt;CP$5,0,IF(CP244&lt;0,IF(OR($J244=1,$J244=2,$J244=3,$J244=4),-$E244*$I244/12*3,IF($J244=5,-$E244*$I244/12*2,IF($J244=6,-$E244*$I244/12*1,0)))))+IF(CK$5&lt;&gt;$H244,0,IF(CK244&lt;0,IF($J244=4,-$E244*$I244/12*0,IF($J244=5,-$E244*$I244/12*1,IF($J244=6,-$E244*$I244/12*2,IF($J244&gt;=7,-$E244*$I244/12*3,0))))))</f>
        <v>0</v>
      </c>
      <c r="CN244" s="87">
        <f t="shared" ref="CN244" si="3696">IF($H244&lt;&gt;CP$5,0,IF(CP244&lt;0,IF(OR($J244=1,$J244=2,$J244=3,$J244=4,$J244=5,$J244=6,$J244=7),-$E244*$I244/12*3,IF($J244=8,-$E244*$I244/12*2,IF($J244=9,-$E244*$I244/12*1,0)))))+IF(CK$5&lt;&gt;$H244,0,IF(CK244&lt;0,IF($J244=7,-$E244*$I244/12*0,IF($J244=8,-$E244*$I244/12*1,IF($J244=9,-$E244*$I244/12*2,IF($J244&gt;=10,-$E244*$I244/12*3,0))))))</f>
        <v>0</v>
      </c>
      <c r="CO244" s="88">
        <f t="shared" ref="CO244" si="3697">IF($H244&lt;&gt;CP$5,0,IF(CP244&lt;0,IF(OR($J244=1,$J244=2,$J244=3,$J244=4,$J244=5,$J244=6,$J244=7,$J244=8,$J244=9,$J244=10),-$E244*$I244/12*3,IF($J244=11,-$E244*$I244/12*2,IF($J244=12,-$E244*$I244/12*1,0)))))+IF(CK$5&lt;&gt;$H244,0,IF(CK244&lt;0,IF($J244=10,-$E244*$I244/12*0,IF($J244=11,-$E244*$I244/12*1,IF($J244=12,-$E244*$I244/12*2,0)))))</f>
        <v>0</v>
      </c>
      <c r="CP244" s="85">
        <f t="shared" ref="CP244" si="3698">IF(AND(CK244&lt;&gt;0,CK$5=$H244),-$I244*$E244-CK244,IF(CP$5=$H244,-$I244*$E244*(12-$J244+1)/12,0))</f>
        <v>0</v>
      </c>
      <c r="CQ244" s="86">
        <f t="shared" ref="CQ244" si="3699">IF($H244&lt;&gt;CU$5,0,IF(CU244&lt;0,IF($J244=1,-$E244*$I244/12*3,IF($J244=2,-$E244*$I244/12*2,IF($J244=3,-$E244*$I244/12*1,0)))))+IF(CP$5&lt;&gt;$H244,0,IF(CP244&lt;0,IF($J244=1,-$E244*$I244/12*0,IF($J244=2,-$E244*$I244/12*1,IF($J244=3,-$E244*$I244/12*2,IF($J244&gt;=4,-$E244*$I244/12*3,0))))))</f>
        <v>0</v>
      </c>
      <c r="CR244" s="87">
        <f t="shared" ref="CR244" si="3700">IF($H244&lt;&gt;CU$5,0,IF(CU244&lt;0,IF(OR($J244=1,$J244=2,$J244=3,$J244=4),-$E244*$I244/12*3,IF($J244=5,-$E244*$I244/12*2,IF($J244=6,-$E244*$I244/12*1,0)))))+IF(CP$5&lt;&gt;$H244,0,IF(CP244&lt;0,IF($J244=4,-$E244*$I244/12*0,IF($J244=5,-$E244*$I244/12*1,IF($J244=6,-$E244*$I244/12*2,IF($J244&gt;=7,-$E244*$I244/12*3,0))))))</f>
        <v>0</v>
      </c>
      <c r="CS244" s="87">
        <f t="shared" ref="CS244" si="3701">IF($H244&lt;&gt;CU$5,0,IF(CU244&lt;0,IF(OR($J244=1,$J244=2,$J244=3,$J244=4,$J244=5,$J244=6,$J244=7),-$E244*$I244/12*3,IF($J244=8,-$E244*$I244/12*2,IF($J244=9,-$E244*$I244/12*1,0)))))+IF(CP$5&lt;&gt;$H244,0,IF(CP244&lt;0,IF($J244=7,-$E244*$I244/12*0,IF($J244=8,-$E244*$I244/12*1,IF($J244=9,-$E244*$I244/12*2,IF($J244&gt;=10,-$E244*$I244/12*3,0))))))</f>
        <v>0</v>
      </c>
      <c r="CT244" s="88">
        <f t="shared" ref="CT244" si="3702">IF($H244&lt;&gt;CU$5,0,IF(CU244&lt;0,IF(OR($J244=1,$J244=2,$J244=3,$J244=4,$J244=5,$J244=6,$J244=7,$J244=8,$J244=9,$J244=10),-$E244*$I244/12*3,IF($J244=11,-$E244*$I244/12*2,IF($J244=12,-$E244*$I244/12*1,0)))))+IF(CP$5&lt;&gt;$H244,0,IF(CP244&lt;0,IF($J244=10,-$E244*$I244/12*0,IF($J244=11,-$E244*$I244/12*1,IF($J244=12,-$E244*$I244/12*2,0)))))</f>
        <v>0</v>
      </c>
      <c r="CU244" s="85">
        <f t="shared" ref="CU244" si="3703">IF(AND(CP244&lt;&gt;0,CP$5=$H244),-$I244*$E244-CP244,IF(CU$5=$H244,-$I244*$E244*(12-$J244+1)/12,0))</f>
        <v>0</v>
      </c>
      <c r="CV244" s="86">
        <f t="shared" ref="CV244" si="3704">IF($H244&lt;&gt;CZ$5,0,IF(CZ244&lt;0,IF($J244=1,-$E244*$I244/12*3,IF($J244=2,-$E244*$I244/12*2,IF($J244=3,-$E244*$I244/12*1,0)))))+IF(CU$5&lt;&gt;$H244,0,IF(CU244&lt;0,IF($J244=1,-$E244*$I244/12*0,IF($J244=2,-$E244*$I244/12*1,IF($J244=3,-$E244*$I244/12*2,IF($J244&gt;=4,-$E244*$I244/12*3,0))))))</f>
        <v>0</v>
      </c>
      <c r="CW244" s="87">
        <f t="shared" ref="CW244" si="3705">IF($H244&lt;&gt;CZ$5,0,IF(CZ244&lt;0,IF(OR($J244=1,$J244=2,$J244=3,$J244=4),-$E244*$I244/12*3,IF($J244=5,-$E244*$I244/12*2,IF($J244=6,-$E244*$I244/12*1,0)))))+IF(CU$5&lt;&gt;$H244,0,IF(CU244&lt;0,IF($J244=4,-$E244*$I244/12*0,IF($J244=5,-$E244*$I244/12*1,IF($J244=6,-$E244*$I244/12*2,IF($J244&gt;=7,-$E244*$I244/12*3,0))))))</f>
        <v>0</v>
      </c>
      <c r="CX244" s="87">
        <f t="shared" ref="CX244" si="3706">IF($H244&lt;&gt;CZ$5,0,IF(CZ244&lt;0,IF(OR($J244=1,$J244=2,$J244=3,$J244=4,$J244=5,$J244=6,$J244=7),-$E244*$I244/12*3,IF($J244=8,-$E244*$I244/12*2,IF($J244=9,-$E244*$I244/12*1,0)))))+IF(CU$5&lt;&gt;$H244,0,IF(CU244&lt;0,IF($J244=7,-$E244*$I244/12*0,IF($J244=8,-$E244*$I244/12*1,IF($J244=9,-$E244*$I244/12*2,IF($J244&gt;=10,-$E244*$I244/12*3,0))))))</f>
        <v>0</v>
      </c>
      <c r="CY244" s="88">
        <f t="shared" ref="CY244" si="3707">IF($H244&lt;&gt;CZ$5,0,IF(CZ244&lt;0,IF(OR($J244=1,$J244=2,$J244=3,$J244=4,$J244=5,$J244=6,$J244=7,$J244=8,$J244=9,$J244=10),-$E244*$I244/12*3,IF($J244=11,-$E244*$I244/12*2,IF($J244=12,-$E244*$I244/12*1,0)))))+IF(CU$5&lt;&gt;$H244,0,IF(CU244&lt;0,IF($J244=10,-$E244*$I244/12*0,IF($J244=11,-$E244*$I244/12*1,IF($J244=12,-$E244*$I244/12*2,0)))))</f>
        <v>0</v>
      </c>
      <c r="CZ244" s="85">
        <f t="shared" ref="CZ244" si="3708">IF(AND(CU244&lt;&gt;0,CU$5=$H244),-$I244*$E244-CU244,IF(CZ$5=$H244,-$I244*$E244*(12-$J244+1)/12,0))</f>
        <v>0</v>
      </c>
    </row>
    <row r="245" spans="1:104" ht="12.75" customHeight="1">
      <c r="A245" s="1817"/>
      <c r="B245" s="1817"/>
      <c r="C245" s="1862"/>
      <c r="D245" s="149"/>
      <c r="E245" s="147"/>
      <c r="F245" s="2313"/>
      <c r="G245" s="1511"/>
      <c r="H245" s="1510"/>
      <c r="I245" s="1831"/>
      <c r="J245" s="1861"/>
      <c r="L245" s="2001"/>
      <c r="M245" s="82"/>
      <c r="N245" s="83"/>
      <c r="O245" s="83"/>
      <c r="P245" s="84"/>
      <c r="Q245" s="81"/>
      <c r="R245" s="82"/>
      <c r="S245" s="83"/>
      <c r="T245" s="83"/>
      <c r="U245" s="84"/>
      <c r="V245" s="81"/>
      <c r="W245" s="82"/>
      <c r="X245" s="83"/>
      <c r="Y245" s="83"/>
      <c r="Z245" s="84"/>
      <c r="AA245" s="81"/>
      <c r="AB245" s="82"/>
      <c r="AC245" s="83"/>
      <c r="AD245" s="83"/>
      <c r="AE245" s="84"/>
      <c r="AF245" s="81"/>
      <c r="AG245" s="82"/>
      <c r="AH245" s="83"/>
      <c r="AI245" s="83"/>
      <c r="AJ245" s="84"/>
      <c r="AK245" s="81"/>
      <c r="AL245" s="82"/>
      <c r="AM245" s="83"/>
      <c r="AN245" s="83"/>
      <c r="AO245" s="84"/>
      <c r="AP245" s="81"/>
      <c r="AQ245" s="82"/>
      <c r="AR245" s="83"/>
      <c r="AS245" s="83"/>
      <c r="AT245" s="84"/>
      <c r="AU245" s="81"/>
      <c r="AV245" s="82"/>
      <c r="AW245" s="83"/>
      <c r="AX245" s="83"/>
      <c r="AY245" s="84"/>
      <c r="AZ245" s="81"/>
      <c r="BA245" s="82"/>
      <c r="BB245" s="83"/>
      <c r="BC245" s="83"/>
      <c r="BD245" s="84"/>
      <c r="BE245" s="81"/>
      <c r="BF245" s="1877"/>
      <c r="BG245" s="2005"/>
      <c r="BH245" s="86"/>
      <c r="BI245" s="87"/>
      <c r="BJ245" s="87"/>
      <c r="BK245" s="88"/>
      <c r="BL245" s="85"/>
      <c r="BM245" s="86"/>
      <c r="BN245" s="87"/>
      <c r="BO245" s="87"/>
      <c r="BP245" s="88"/>
      <c r="BQ245" s="85"/>
      <c r="BR245" s="86"/>
      <c r="BS245" s="87"/>
      <c r="BT245" s="87"/>
      <c r="BU245" s="88"/>
      <c r="BV245" s="85"/>
      <c r="BW245" s="86"/>
      <c r="BX245" s="87"/>
      <c r="BY245" s="87"/>
      <c r="BZ245" s="88"/>
      <c r="CA245" s="85"/>
      <c r="CB245" s="86"/>
      <c r="CC245" s="87"/>
      <c r="CD245" s="87"/>
      <c r="CE245" s="88"/>
      <c r="CF245" s="85"/>
      <c r="CG245" s="86"/>
      <c r="CH245" s="87"/>
      <c r="CI245" s="87"/>
      <c r="CJ245" s="88"/>
      <c r="CK245" s="85"/>
      <c r="CL245" s="86"/>
      <c r="CM245" s="87"/>
      <c r="CN245" s="87"/>
      <c r="CO245" s="88"/>
      <c r="CP245" s="85"/>
      <c r="CQ245" s="86"/>
      <c r="CR245" s="87"/>
      <c r="CS245" s="87"/>
      <c r="CT245" s="88"/>
      <c r="CU245" s="85"/>
      <c r="CV245" s="86"/>
      <c r="CW245" s="87"/>
      <c r="CX245" s="87"/>
      <c r="CY245" s="88"/>
      <c r="CZ245" s="85"/>
    </row>
    <row r="246" spans="1:104" ht="12.75" customHeight="1">
      <c r="A246" s="1817"/>
      <c r="B246" s="1817"/>
      <c r="C246" s="1863"/>
      <c r="D246" s="1863"/>
      <c r="E246" s="151"/>
      <c r="F246" s="152"/>
      <c r="G246" s="152"/>
      <c r="H246" s="153"/>
      <c r="I246" s="154"/>
      <c r="J246" s="1894"/>
      <c r="K246" s="1889"/>
      <c r="L246" s="2002"/>
      <c r="M246" s="99"/>
      <c r="N246" s="100"/>
      <c r="O246" s="100"/>
      <c r="P246" s="101"/>
      <c r="Q246" s="98"/>
      <c r="R246" s="99"/>
      <c r="S246" s="100"/>
      <c r="T246" s="100"/>
      <c r="U246" s="101"/>
      <c r="V246" s="98"/>
      <c r="W246" s="99"/>
      <c r="X246" s="100"/>
      <c r="Y246" s="100"/>
      <c r="Z246" s="101"/>
      <c r="AA246" s="98"/>
      <c r="AB246" s="99"/>
      <c r="AC246" s="100"/>
      <c r="AD246" s="100"/>
      <c r="AE246" s="101"/>
      <c r="AF246" s="98"/>
      <c r="AG246" s="99"/>
      <c r="AH246" s="100"/>
      <c r="AI246" s="100"/>
      <c r="AJ246" s="101"/>
      <c r="AK246" s="98"/>
      <c r="AL246" s="99"/>
      <c r="AM246" s="100"/>
      <c r="AN246" s="100"/>
      <c r="AO246" s="101"/>
      <c r="AP246" s="98"/>
      <c r="AQ246" s="99"/>
      <c r="AR246" s="100"/>
      <c r="AS246" s="100"/>
      <c r="AT246" s="101"/>
      <c r="AU246" s="98"/>
      <c r="AV246" s="99"/>
      <c r="AW246" s="100"/>
      <c r="AX246" s="100"/>
      <c r="AY246" s="101"/>
      <c r="AZ246" s="98"/>
      <c r="BA246" s="99"/>
      <c r="BB246" s="100"/>
      <c r="BC246" s="100"/>
      <c r="BD246" s="101"/>
      <c r="BE246" s="98"/>
      <c r="BF246" s="1878"/>
      <c r="BG246" s="2006"/>
      <c r="BH246" s="103"/>
      <c r="BI246" s="104"/>
      <c r="BJ246" s="104"/>
      <c r="BK246" s="105"/>
      <c r="BL246" s="102"/>
      <c r="BM246" s="103"/>
      <c r="BN246" s="104"/>
      <c r="BO246" s="104"/>
      <c r="BP246" s="105"/>
      <c r="BQ246" s="102"/>
      <c r="BR246" s="103"/>
      <c r="BS246" s="104"/>
      <c r="BT246" s="104"/>
      <c r="BU246" s="105"/>
      <c r="BV246" s="102"/>
      <c r="BW246" s="103"/>
      <c r="BX246" s="104"/>
      <c r="BY246" s="104"/>
      <c r="BZ246" s="105"/>
      <c r="CA246" s="102"/>
      <c r="CB246" s="103"/>
      <c r="CC246" s="104"/>
      <c r="CD246" s="104"/>
      <c r="CE246" s="105"/>
      <c r="CF246" s="102"/>
      <c r="CG246" s="103"/>
      <c r="CH246" s="104"/>
      <c r="CI246" s="104"/>
      <c r="CJ246" s="105"/>
      <c r="CK246" s="102"/>
      <c r="CL246" s="103"/>
      <c r="CM246" s="104"/>
      <c r="CN246" s="104"/>
      <c r="CO246" s="105"/>
      <c r="CP246" s="102"/>
      <c r="CQ246" s="103"/>
      <c r="CR246" s="104"/>
      <c r="CS246" s="104"/>
      <c r="CT246" s="105"/>
      <c r="CU246" s="102"/>
      <c r="CV246" s="103"/>
      <c r="CW246" s="104"/>
      <c r="CX246" s="104"/>
      <c r="CY246" s="105"/>
      <c r="CZ246" s="102"/>
    </row>
    <row r="247" spans="1:104" ht="12.75" customHeight="1">
      <c r="A247" s="1817"/>
      <c r="B247" s="1792"/>
      <c r="C247" s="157" t="s">
        <v>399</v>
      </c>
      <c r="D247" s="157"/>
      <c r="E247" s="158">
        <f>SUM(E235:E246)</f>
        <v>2534.5</v>
      </c>
      <c r="F247" s="2310">
        <f>SUM(F235:F246)</f>
        <v>2534.5</v>
      </c>
      <c r="G247" s="107">
        <f>SUM(G235:G246)</f>
        <v>2334.5</v>
      </c>
      <c r="H247" s="159"/>
      <c r="I247" s="160"/>
      <c r="J247" s="1864"/>
      <c r="L247" s="2001">
        <f t="shared" ref="L247:BE247" si="3709">SUM(L235:L246)</f>
        <v>0</v>
      </c>
      <c r="M247" s="112">
        <f t="shared" si="3709"/>
        <v>0</v>
      </c>
      <c r="N247" s="113">
        <f t="shared" si="3709"/>
        <v>0</v>
      </c>
      <c r="O247" s="113">
        <f t="shared" si="3709"/>
        <v>0</v>
      </c>
      <c r="P247" s="114">
        <f t="shared" si="3709"/>
        <v>0</v>
      </c>
      <c r="Q247" s="111">
        <f t="shared" si="3709"/>
        <v>0</v>
      </c>
      <c r="R247" s="112">
        <f t="shared" si="3709"/>
        <v>0</v>
      </c>
      <c r="S247" s="113">
        <f t="shared" si="3709"/>
        <v>0</v>
      </c>
      <c r="T247" s="113">
        <f t="shared" si="3709"/>
        <v>0</v>
      </c>
      <c r="U247" s="114">
        <f t="shared" si="3709"/>
        <v>0</v>
      </c>
      <c r="V247" s="111">
        <f t="shared" si="3709"/>
        <v>0</v>
      </c>
      <c r="W247" s="112">
        <f t="shared" si="3709"/>
        <v>0</v>
      </c>
      <c r="X247" s="113">
        <f t="shared" si="3709"/>
        <v>0</v>
      </c>
      <c r="Y247" s="113">
        <f t="shared" si="3709"/>
        <v>0</v>
      </c>
      <c r="Z247" s="114">
        <f t="shared" si="3709"/>
        <v>0</v>
      </c>
      <c r="AA247" s="111">
        <f t="shared" si="3709"/>
        <v>0</v>
      </c>
      <c r="AB247" s="112">
        <f t="shared" si="3709"/>
        <v>0</v>
      </c>
      <c r="AC247" s="113">
        <f t="shared" si="3709"/>
        <v>0</v>
      </c>
      <c r="AD247" s="113">
        <f t="shared" si="3709"/>
        <v>0</v>
      </c>
      <c r="AE247" s="114">
        <f t="shared" si="3709"/>
        <v>0</v>
      </c>
      <c r="AF247" s="111">
        <f t="shared" si="3709"/>
        <v>0</v>
      </c>
      <c r="AG247" s="112">
        <f t="shared" si="3709"/>
        <v>0</v>
      </c>
      <c r="AH247" s="113">
        <f t="shared" si="3709"/>
        <v>0</v>
      </c>
      <c r="AI247" s="113">
        <f t="shared" si="3709"/>
        <v>0</v>
      </c>
      <c r="AJ247" s="114">
        <f t="shared" si="3709"/>
        <v>0</v>
      </c>
      <c r="AK247" s="111">
        <f t="shared" si="3709"/>
        <v>0</v>
      </c>
      <c r="AL247" s="112">
        <f t="shared" si="3709"/>
        <v>0</v>
      </c>
      <c r="AM247" s="113">
        <f t="shared" si="3709"/>
        <v>0</v>
      </c>
      <c r="AN247" s="113">
        <f t="shared" si="3709"/>
        <v>0</v>
      </c>
      <c r="AO247" s="114">
        <f t="shared" si="3709"/>
        <v>0</v>
      </c>
      <c r="AP247" s="111">
        <f t="shared" si="3709"/>
        <v>0</v>
      </c>
      <c r="AQ247" s="112">
        <f t="shared" si="3709"/>
        <v>0</v>
      </c>
      <c r="AR247" s="113">
        <f t="shared" si="3709"/>
        <v>0</v>
      </c>
      <c r="AS247" s="113">
        <f t="shared" si="3709"/>
        <v>0</v>
      </c>
      <c r="AT247" s="114">
        <f t="shared" si="3709"/>
        <v>0</v>
      </c>
      <c r="AU247" s="111">
        <f t="shared" si="3709"/>
        <v>0</v>
      </c>
      <c r="AV247" s="112">
        <f t="shared" si="3709"/>
        <v>0</v>
      </c>
      <c r="AW247" s="113">
        <f t="shared" si="3709"/>
        <v>0</v>
      </c>
      <c r="AX247" s="113">
        <f t="shared" si="3709"/>
        <v>0</v>
      </c>
      <c r="AY247" s="114">
        <f t="shared" si="3709"/>
        <v>0</v>
      </c>
      <c r="AZ247" s="111">
        <f t="shared" si="3709"/>
        <v>0</v>
      </c>
      <c r="BA247" s="112">
        <f t="shared" si="3709"/>
        <v>0</v>
      </c>
      <c r="BB247" s="113">
        <f t="shared" si="3709"/>
        <v>0</v>
      </c>
      <c r="BC247" s="113">
        <f t="shared" si="3709"/>
        <v>0</v>
      </c>
      <c r="BD247" s="114">
        <f t="shared" si="3709"/>
        <v>0</v>
      </c>
      <c r="BE247" s="111">
        <f t="shared" si="3709"/>
        <v>0</v>
      </c>
      <c r="BG247" s="2007">
        <f t="shared" ref="BG247:CZ247" si="3710">SUM(BG235:BG246)</f>
        <v>0</v>
      </c>
      <c r="BH247" s="116">
        <f t="shared" si="3710"/>
        <v>0</v>
      </c>
      <c r="BI247" s="117">
        <f t="shared" si="3710"/>
        <v>0</v>
      </c>
      <c r="BJ247" s="117">
        <f t="shared" si="3710"/>
        <v>0</v>
      </c>
      <c r="BK247" s="118">
        <f t="shared" si="3710"/>
        <v>0</v>
      </c>
      <c r="BL247" s="115">
        <f t="shared" si="3710"/>
        <v>0</v>
      </c>
      <c r="BM247" s="116">
        <f t="shared" si="3710"/>
        <v>0</v>
      </c>
      <c r="BN247" s="117">
        <f t="shared" si="3710"/>
        <v>0</v>
      </c>
      <c r="BO247" s="117">
        <f t="shared" si="3710"/>
        <v>0</v>
      </c>
      <c r="BP247" s="118">
        <f t="shared" si="3710"/>
        <v>0</v>
      </c>
      <c r="BQ247" s="115">
        <f t="shared" si="3710"/>
        <v>0</v>
      </c>
      <c r="BR247" s="116">
        <f t="shared" si="3710"/>
        <v>0</v>
      </c>
      <c r="BS247" s="117">
        <f t="shared" si="3710"/>
        <v>0</v>
      </c>
      <c r="BT247" s="117">
        <f t="shared" si="3710"/>
        <v>0</v>
      </c>
      <c r="BU247" s="118">
        <f t="shared" si="3710"/>
        <v>0</v>
      </c>
      <c r="BV247" s="115">
        <f t="shared" si="3710"/>
        <v>0</v>
      </c>
      <c r="BW247" s="116">
        <f t="shared" si="3710"/>
        <v>0</v>
      </c>
      <c r="BX247" s="117">
        <f t="shared" si="3710"/>
        <v>0</v>
      </c>
      <c r="BY247" s="117">
        <f t="shared" si="3710"/>
        <v>0</v>
      </c>
      <c r="BZ247" s="118">
        <f t="shared" si="3710"/>
        <v>0</v>
      </c>
      <c r="CA247" s="115">
        <f t="shared" si="3710"/>
        <v>0</v>
      </c>
      <c r="CB247" s="116">
        <f t="shared" si="3710"/>
        <v>0</v>
      </c>
      <c r="CC247" s="117">
        <f t="shared" si="3710"/>
        <v>0</v>
      </c>
      <c r="CD247" s="117">
        <f t="shared" si="3710"/>
        <v>0</v>
      </c>
      <c r="CE247" s="118">
        <f t="shared" si="3710"/>
        <v>0</v>
      </c>
      <c r="CF247" s="115">
        <f t="shared" si="3710"/>
        <v>0</v>
      </c>
      <c r="CG247" s="116">
        <f t="shared" si="3710"/>
        <v>0</v>
      </c>
      <c r="CH247" s="117">
        <f t="shared" si="3710"/>
        <v>0</v>
      </c>
      <c r="CI247" s="117">
        <f t="shared" si="3710"/>
        <v>0</v>
      </c>
      <c r="CJ247" s="118">
        <f t="shared" si="3710"/>
        <v>0</v>
      </c>
      <c r="CK247" s="115">
        <f t="shared" si="3710"/>
        <v>0</v>
      </c>
      <c r="CL247" s="116">
        <f t="shared" si="3710"/>
        <v>0</v>
      </c>
      <c r="CM247" s="117">
        <f t="shared" si="3710"/>
        <v>0</v>
      </c>
      <c r="CN247" s="117">
        <f t="shared" si="3710"/>
        <v>0</v>
      </c>
      <c r="CO247" s="118">
        <f t="shared" si="3710"/>
        <v>0</v>
      </c>
      <c r="CP247" s="115">
        <f t="shared" si="3710"/>
        <v>0</v>
      </c>
      <c r="CQ247" s="116">
        <f t="shared" si="3710"/>
        <v>0</v>
      </c>
      <c r="CR247" s="117">
        <f t="shared" si="3710"/>
        <v>0</v>
      </c>
      <c r="CS247" s="117">
        <f t="shared" si="3710"/>
        <v>0</v>
      </c>
      <c r="CT247" s="118">
        <f t="shared" si="3710"/>
        <v>0</v>
      </c>
      <c r="CU247" s="115">
        <f t="shared" si="3710"/>
        <v>0</v>
      </c>
      <c r="CV247" s="116">
        <f t="shared" si="3710"/>
        <v>0</v>
      </c>
      <c r="CW247" s="117">
        <f t="shared" si="3710"/>
        <v>0</v>
      </c>
      <c r="CX247" s="117">
        <f t="shared" si="3710"/>
        <v>0</v>
      </c>
      <c r="CY247" s="118">
        <f t="shared" si="3710"/>
        <v>0</v>
      </c>
      <c r="CZ247" s="115">
        <f t="shared" si="3710"/>
        <v>0</v>
      </c>
    </row>
    <row r="248" spans="1:104" ht="12.75" customHeight="1">
      <c r="A248" s="1817"/>
      <c r="B248" s="1817"/>
      <c r="C248" s="146"/>
      <c r="D248" s="146"/>
      <c r="E248" s="147"/>
      <c r="F248" s="165"/>
      <c r="G248" s="165"/>
      <c r="H248" s="166"/>
      <c r="I248" s="1005"/>
      <c r="J248" s="1832"/>
      <c r="L248" s="2001"/>
      <c r="M248" s="82"/>
      <c r="N248" s="83"/>
      <c r="O248" s="83"/>
      <c r="P248" s="84"/>
      <c r="Q248" s="81"/>
      <c r="R248" s="82"/>
      <c r="S248" s="83"/>
      <c r="T248" s="83"/>
      <c r="U248" s="84"/>
      <c r="V248" s="81"/>
      <c r="W248" s="82"/>
      <c r="X248" s="83"/>
      <c r="Y248" s="83"/>
      <c r="Z248" s="84"/>
      <c r="AA248" s="81"/>
      <c r="AB248" s="82"/>
      <c r="AC248" s="83"/>
      <c r="AD248" s="83"/>
      <c r="AE248" s="84"/>
      <c r="AF248" s="81"/>
      <c r="AG248" s="82"/>
      <c r="AH248" s="83"/>
      <c r="AI248" s="83"/>
      <c r="AJ248" s="84"/>
      <c r="AK248" s="81"/>
      <c r="AL248" s="82"/>
      <c r="AM248" s="83"/>
      <c r="AN248" s="83"/>
      <c r="AO248" s="84"/>
      <c r="AP248" s="81"/>
      <c r="AQ248" s="82"/>
      <c r="AR248" s="83"/>
      <c r="AS248" s="83"/>
      <c r="AT248" s="84"/>
      <c r="AU248" s="81"/>
      <c r="AV248" s="82"/>
      <c r="AW248" s="83"/>
      <c r="AX248" s="83"/>
      <c r="AY248" s="84"/>
      <c r="AZ248" s="81"/>
      <c r="BA248" s="82"/>
      <c r="BB248" s="83"/>
      <c r="BC248" s="83"/>
      <c r="BD248" s="84"/>
      <c r="BE248" s="81"/>
      <c r="BF248" s="1877"/>
      <c r="BG248" s="2005"/>
      <c r="BH248" s="86"/>
      <c r="BI248" s="87"/>
      <c r="BJ248" s="87"/>
      <c r="BK248" s="88"/>
      <c r="BL248" s="85"/>
      <c r="BM248" s="86"/>
      <c r="BN248" s="87"/>
      <c r="BO248" s="87"/>
      <c r="BP248" s="88"/>
      <c r="BQ248" s="85"/>
      <c r="BR248" s="86"/>
      <c r="BS248" s="87"/>
      <c r="BT248" s="87"/>
      <c r="BU248" s="88"/>
      <c r="BV248" s="85"/>
      <c r="BW248" s="86"/>
      <c r="BX248" s="87"/>
      <c r="BY248" s="87"/>
      <c r="BZ248" s="88"/>
      <c r="CA248" s="85"/>
      <c r="CB248" s="86"/>
      <c r="CC248" s="87"/>
      <c r="CD248" s="87"/>
      <c r="CE248" s="88"/>
      <c r="CF248" s="85"/>
      <c r="CG248" s="86"/>
      <c r="CH248" s="87"/>
      <c r="CI248" s="87"/>
      <c r="CJ248" s="88"/>
      <c r="CK248" s="85"/>
      <c r="CL248" s="86"/>
      <c r="CM248" s="87"/>
      <c r="CN248" s="87"/>
      <c r="CO248" s="88"/>
      <c r="CP248" s="85"/>
      <c r="CQ248" s="86"/>
      <c r="CR248" s="87"/>
      <c r="CS248" s="87"/>
      <c r="CT248" s="88"/>
      <c r="CU248" s="85"/>
      <c r="CV248" s="86"/>
      <c r="CW248" s="87"/>
      <c r="CX248" s="87"/>
      <c r="CY248" s="88"/>
      <c r="CZ248" s="85"/>
    </row>
    <row r="249" spans="1:104" ht="12.75" customHeight="1">
      <c r="A249" s="1817"/>
      <c r="B249" s="1817"/>
      <c r="C249" s="1837" t="s">
        <v>530</v>
      </c>
      <c r="D249" s="1837"/>
      <c r="E249" s="1820"/>
      <c r="F249" s="1821"/>
      <c r="G249" s="1821"/>
      <c r="H249" s="1825"/>
      <c r="I249" s="1826"/>
      <c r="J249" s="1865"/>
      <c r="L249" s="2001"/>
      <c r="M249" s="82"/>
      <c r="N249" s="83"/>
      <c r="O249" s="83"/>
      <c r="P249" s="84"/>
      <c r="Q249" s="81"/>
      <c r="R249" s="82"/>
      <c r="S249" s="83"/>
      <c r="T249" s="83"/>
      <c r="U249" s="84"/>
      <c r="V249" s="81"/>
      <c r="W249" s="82"/>
      <c r="X249" s="83"/>
      <c r="Y249" s="83"/>
      <c r="Z249" s="84"/>
      <c r="AA249" s="81"/>
      <c r="AB249" s="82"/>
      <c r="AC249" s="83"/>
      <c r="AD249" s="83"/>
      <c r="AE249" s="84"/>
      <c r="AF249" s="81"/>
      <c r="AG249" s="82"/>
      <c r="AH249" s="83"/>
      <c r="AI249" s="83"/>
      <c r="AJ249" s="84"/>
      <c r="AK249" s="81"/>
      <c r="AL249" s="82"/>
      <c r="AM249" s="83"/>
      <c r="AN249" s="83"/>
      <c r="AO249" s="84"/>
      <c r="AP249" s="81"/>
      <c r="AQ249" s="82"/>
      <c r="AR249" s="83"/>
      <c r="AS249" s="83"/>
      <c r="AT249" s="84"/>
      <c r="AU249" s="81"/>
      <c r="AV249" s="82"/>
      <c r="AW249" s="83"/>
      <c r="AX249" s="83"/>
      <c r="AY249" s="84"/>
      <c r="AZ249" s="81"/>
      <c r="BA249" s="82"/>
      <c r="BB249" s="83"/>
      <c r="BC249" s="83"/>
      <c r="BD249" s="84"/>
      <c r="BE249" s="81"/>
      <c r="BF249" s="1877"/>
      <c r="BG249" s="2005"/>
      <c r="BH249" s="86"/>
      <c r="BI249" s="87"/>
      <c r="BJ249" s="87"/>
      <c r="BK249" s="88"/>
      <c r="BL249" s="85"/>
      <c r="BM249" s="86"/>
      <c r="BN249" s="87"/>
      <c r="BO249" s="87"/>
      <c r="BP249" s="88"/>
      <c r="BQ249" s="85"/>
      <c r="BR249" s="86"/>
      <c r="BS249" s="87"/>
      <c r="BT249" s="87"/>
      <c r="BU249" s="88"/>
      <c r="BV249" s="85"/>
      <c r="BW249" s="86"/>
      <c r="BX249" s="87"/>
      <c r="BY249" s="87"/>
      <c r="BZ249" s="88"/>
      <c r="CA249" s="85"/>
      <c r="CB249" s="86"/>
      <c r="CC249" s="87"/>
      <c r="CD249" s="87"/>
      <c r="CE249" s="88"/>
      <c r="CF249" s="85"/>
      <c r="CG249" s="86"/>
      <c r="CH249" s="87"/>
      <c r="CI249" s="87"/>
      <c r="CJ249" s="88"/>
      <c r="CK249" s="85"/>
      <c r="CL249" s="86"/>
      <c r="CM249" s="87"/>
      <c r="CN249" s="87"/>
      <c r="CO249" s="88"/>
      <c r="CP249" s="85"/>
      <c r="CQ249" s="86"/>
      <c r="CR249" s="87"/>
      <c r="CS249" s="87"/>
      <c r="CT249" s="88"/>
      <c r="CU249" s="85"/>
      <c r="CV249" s="86"/>
      <c r="CW249" s="87"/>
      <c r="CX249" s="87"/>
      <c r="CY249" s="88"/>
      <c r="CZ249" s="85"/>
    </row>
    <row r="250" spans="1:104" ht="12.75" customHeight="1">
      <c r="A250" s="1817"/>
      <c r="B250" s="1817"/>
      <c r="C250" s="2321" t="s">
        <v>776</v>
      </c>
      <c r="D250" s="2315"/>
      <c r="E250" s="2313">
        <v>200</v>
      </c>
      <c r="F250" s="2313"/>
      <c r="G250" s="2313"/>
      <c r="H250" s="2314">
        <v>2017</v>
      </c>
      <c r="I250" s="2320">
        <v>4.1500000000000002E-2</v>
      </c>
      <c r="J250" s="2322">
        <v>5</v>
      </c>
      <c r="L250" s="2001">
        <f t="shared" ref="L250:L254" si="3711">IF(L$5=$H250,$E250,0)</f>
        <v>0</v>
      </c>
      <c r="M250" s="82">
        <f t="shared" ref="M250" si="3712">IF(Q250=0,0,IF(Q250&gt;0,IF($J250=3,Q250,IF($J250=2,Q250,IF($J250=1,Q250,0)))))</f>
        <v>0</v>
      </c>
      <c r="N250" s="83">
        <f t="shared" ref="N250" si="3713">IF(Q250=0,0,IF(Q250&gt;0,IF($J250=6,Q250,IF($J250=5,Q250,IF($J250=4,Q250,0)))))</f>
        <v>0</v>
      </c>
      <c r="O250" s="83">
        <f t="shared" ref="O250" si="3714">IF(Q250=0,0,IF(Q250&gt;0,IF($J250=9,Q250,IF($J250=8,Q250,IF($J250=7,Q250,0)))))</f>
        <v>0</v>
      </c>
      <c r="P250" s="84">
        <f t="shared" ref="P250" si="3715">IF(Q250=0,0,IF(Q250&gt;0,IF($J250=12,Q250,IF($J250=11,Q250,IF($J250=10,Q250,0)))))</f>
        <v>0</v>
      </c>
      <c r="Q250" s="81">
        <f t="shared" ref="Q250:Q254" si="3716">IF(Q$5=$H250,$E250,0)</f>
        <v>0</v>
      </c>
      <c r="R250" s="82">
        <f t="shared" ref="R250" si="3717">IF(V250=0,0,IF(V250&gt;0,IF($J250=3,V250,IF($J250=2,V250,IF($J250=1,V250,0)))))</f>
        <v>0</v>
      </c>
      <c r="S250" s="83">
        <f t="shared" ref="S250" si="3718">IF(V250=0,0,IF(V250&gt;0,IF($J250=6,V250,IF($J250=5,V250,IF($J250=4,V250,0)))))</f>
        <v>0</v>
      </c>
      <c r="T250" s="83">
        <f t="shared" ref="T250" si="3719">IF(V250=0,0,IF(V250&gt;0,IF($J250=9,V250,IF($J250=8,V250,IF($J250=7,V250,0)))))</f>
        <v>0</v>
      </c>
      <c r="U250" s="84">
        <f t="shared" ref="U250" si="3720">IF(V250=0,0,IF(V250&gt;0,IF($J250=12,V250,IF($J250=11,V250,IF($J250=10,V250,0)))))</f>
        <v>0</v>
      </c>
      <c r="V250" s="81">
        <f t="shared" ref="V250:V254" si="3721">IF(V$5=$H250,$E250,0)</f>
        <v>0</v>
      </c>
      <c r="W250" s="82">
        <f t="shared" ref="W250" si="3722">IF(AA250=0,0,IF(AA250&gt;0,IF($J250=3,AA250,IF($J250=2,AA250,IF($J250=1,AA250,0)))))</f>
        <v>0</v>
      </c>
      <c r="X250" s="83">
        <f t="shared" ref="X250" si="3723">IF(AA250=0,0,IF(AA250&gt;0,IF($J250=6,AA250,IF($J250=5,AA250,IF($J250=4,AA250,0)))))</f>
        <v>0</v>
      </c>
      <c r="Y250" s="83">
        <f t="shared" ref="Y250" si="3724">IF(AA250=0,0,IF(AA250&gt;0,IF($J250=9,AA250,IF($J250=8,AA250,IF($J250=7,AA250,0)))))</f>
        <v>0</v>
      </c>
      <c r="Z250" s="84">
        <f t="shared" ref="Z250" si="3725">IF(AA250=0,0,IF(AA250&gt;0,IF($J250=12,AA250,IF($J250=11,AA250,IF($J250=10,AA250,0)))))</f>
        <v>0</v>
      </c>
      <c r="AA250" s="81">
        <f t="shared" ref="AA250:AA254" si="3726">IF(AA$5=$H250,$E250,0)</f>
        <v>0</v>
      </c>
      <c r="AB250" s="82">
        <f t="shared" ref="AB250" si="3727">IF(AF250=0,0,IF(AF250&gt;0,IF($J250=3,AF250,IF($J250=2,AF250,IF($J250=1,AF250,0)))))</f>
        <v>0</v>
      </c>
      <c r="AC250" s="83">
        <f t="shared" ref="AC250" si="3728">IF(AF250=0,0,IF(AF250&gt;0,IF($J250=6,AF250,IF($J250=5,AF250,IF($J250=4,AF250,0)))))</f>
        <v>0</v>
      </c>
      <c r="AD250" s="83">
        <f t="shared" ref="AD250" si="3729">IF(AF250=0,0,IF(AF250&gt;0,IF($J250=9,AF250,IF($J250=8,AF250,IF($J250=7,AF250,0)))))</f>
        <v>0</v>
      </c>
      <c r="AE250" s="84">
        <f t="shared" ref="AE250" si="3730">IF(AF250=0,0,IF(AF250&gt;0,IF($J250=12,AF250,IF($J250=11,AF250,IF($J250=10,AF250,0)))))</f>
        <v>0</v>
      </c>
      <c r="AF250" s="81">
        <f t="shared" ref="AF250:AF254" si="3731">IF(AF$5=$H250,$E250,0)</f>
        <v>0</v>
      </c>
      <c r="AG250" s="82">
        <f t="shared" ref="AG250" si="3732">IF(AK250=0,0,IF(AK250&gt;0,IF($J250=3,AK250,IF($J250=2,AK250,IF($J250=1,AK250,0)))))</f>
        <v>0</v>
      </c>
      <c r="AH250" s="83">
        <f t="shared" ref="AH250" si="3733">IF(AK250=0,0,IF(AK250&gt;0,IF($J250=6,AK250,IF($J250=5,AK250,IF($J250=4,AK250,0)))))</f>
        <v>200</v>
      </c>
      <c r="AI250" s="83">
        <f t="shared" ref="AI250" si="3734">IF(AK250=0,0,IF(AK250&gt;0,IF($J250=9,AK250,IF($J250=8,AK250,IF($J250=7,AK250,0)))))</f>
        <v>0</v>
      </c>
      <c r="AJ250" s="84">
        <f t="shared" ref="AJ250" si="3735">IF(AK250=0,0,IF(AK250&gt;0,IF($J250=12,AK250,IF($J250=11,AK250,IF($J250=10,AK250,0)))))</f>
        <v>0</v>
      </c>
      <c r="AK250" s="81">
        <f t="shared" ref="AK250:AK254" si="3736">IF(AK$5=$H250,$E250,0)</f>
        <v>200</v>
      </c>
      <c r="AL250" s="82">
        <f t="shared" ref="AL250" si="3737">IF(AP250=0,0,IF(AP250&gt;0,IF($J250=3,AP250,IF($J250=2,AP250,IF($J250=1,AP250,0)))))</f>
        <v>0</v>
      </c>
      <c r="AM250" s="83">
        <f t="shared" ref="AM250" si="3738">IF(AP250=0,0,IF(AP250&gt;0,IF($J250=6,AP250,IF($J250=5,AP250,IF($J250=4,AP250,0)))))</f>
        <v>0</v>
      </c>
      <c r="AN250" s="83">
        <f t="shared" ref="AN250" si="3739">IF(AP250=0,0,IF(AP250&gt;0,IF($J250=9,AP250,IF($J250=8,AP250,IF($J250=7,AP250,0)))))</f>
        <v>0</v>
      </c>
      <c r="AO250" s="84">
        <f t="shared" ref="AO250" si="3740">IF(AP250=0,0,IF(AP250&gt;0,IF($J250=12,AP250,IF($J250=11,AP250,IF($J250=10,AP250,0)))))</f>
        <v>0</v>
      </c>
      <c r="AP250" s="81">
        <f t="shared" ref="AP250:AP254" si="3741">IF(AP$5=$H250,$E250,0)</f>
        <v>0</v>
      </c>
      <c r="AQ250" s="82">
        <f t="shared" ref="AQ250" si="3742">IF(AU250=0,0,IF(AU250&gt;0,IF($J250=3,AU250,IF($J250=2,AU250,IF($J250=1,AU250,0)))))</f>
        <v>0</v>
      </c>
      <c r="AR250" s="83">
        <f t="shared" ref="AR250" si="3743">IF(AU250=0,0,IF(AU250&gt;0,IF($J250=6,AU250,IF($J250=5,AU250,IF($J250=4,AU250,0)))))</f>
        <v>0</v>
      </c>
      <c r="AS250" s="83">
        <f t="shared" ref="AS250" si="3744">IF(AU250=0,0,IF(AU250&gt;0,IF($J250=9,AU250,IF($J250=8,AU250,IF($J250=7,AU250,0)))))</f>
        <v>0</v>
      </c>
      <c r="AT250" s="84">
        <f t="shared" ref="AT250" si="3745">IF(AU250=0,0,IF(AU250&gt;0,IF($J250=12,AU250,IF($J250=11,AU250,IF($J250=10,AU250,0)))))</f>
        <v>0</v>
      </c>
      <c r="AU250" s="81">
        <f t="shared" ref="AU250:AU254" si="3746">IF(AU$5=$H250,$E250,0)</f>
        <v>0</v>
      </c>
      <c r="AV250" s="82">
        <f t="shared" ref="AV250" si="3747">IF(AZ250=0,0,IF(AZ250&gt;0,IF($J250=3,AZ250,IF($J250=2,AZ250,IF($J250=1,AZ250,0)))))</f>
        <v>0</v>
      </c>
      <c r="AW250" s="83">
        <f t="shared" ref="AW250" si="3748">IF(AZ250=0,0,IF(AZ250&gt;0,IF($J250=6,AZ250,IF($J250=5,AZ250,IF($J250=4,AZ250,0)))))</f>
        <v>0</v>
      </c>
      <c r="AX250" s="83">
        <f t="shared" ref="AX250" si="3749">IF(AZ250=0,0,IF(AZ250&gt;0,IF($J250=9,AZ250,IF($J250=8,AZ250,IF($J250=7,AZ250,0)))))</f>
        <v>0</v>
      </c>
      <c r="AY250" s="84">
        <f t="shared" ref="AY250" si="3750">IF(AZ250=0,0,IF(AZ250&gt;0,IF($J250=12,AZ250,IF($J250=11,AZ250,IF($J250=10,AZ250,0)))))</f>
        <v>0</v>
      </c>
      <c r="AZ250" s="81">
        <f t="shared" ref="AZ250:AZ254" si="3751">IF(AZ$5=$H250,$E250,0)</f>
        <v>0</v>
      </c>
      <c r="BA250" s="82">
        <f t="shared" ref="BA250" si="3752">IF(BE250=0,0,IF(BE250&gt;0,IF($J250=3,BE250,IF($J250=2,BE250,IF($J250=1,BE250,0)))))</f>
        <v>0</v>
      </c>
      <c r="BB250" s="83">
        <f t="shared" ref="BB250" si="3753">IF(BE250=0,0,IF(BE250&gt;0,IF($J250=6,BE250,IF($J250=5,BE250,IF($J250=4,BE250,0)))))</f>
        <v>0</v>
      </c>
      <c r="BC250" s="83">
        <f t="shared" ref="BC250" si="3754">IF(BE250=0,0,IF(BE250&gt;0,IF($J250=9,BE250,IF($J250=8,BE250,IF($J250=7,BE250,0)))))</f>
        <v>0</v>
      </c>
      <c r="BD250" s="84">
        <f t="shared" ref="BD250" si="3755">IF(BE250=0,0,IF(BE250&gt;0,IF($J250=12,BE250,IF($J250=11,BE250,IF($J250=10,BE250,0)))))</f>
        <v>0</v>
      </c>
      <c r="BE250" s="81">
        <f t="shared" ref="BE250:BE254" si="3756">IF(BE$5=$H250,$E250,0)</f>
        <v>0</v>
      </c>
      <c r="BF250" s="1884"/>
      <c r="BG250" s="2005">
        <f t="shared" ref="BG250" si="3757">IF(AND(BF250&lt;&gt;0,BF$5=$H250),$I250*$E250-BF250,IF(BG$5=$H250,$I250*$E250*(12-$J250+1)/12,0))</f>
        <v>0</v>
      </c>
      <c r="BH250" s="86">
        <f t="shared" ref="BH250" si="3758">IF($H250&lt;&gt;BL$5,0,IF(BL250&gt;0,IF($J250=1,$E250*$I250/12*3,IF($J250=2,$E250*$I250/12*2,IF($J250=3,$E250*$I250/12*1,0)))))+IF(BG$5&lt;&gt;$H250,0,IF(BG250&gt;0,IF($J250=1,$E250*$I250/12*0,IF($J250=2,$E250*$I250/12*1,IF($J250=3,$E250*$I250/12*2,IF($J250&gt;=4,$E250*$I250/12*3,0))))))</f>
        <v>0</v>
      </c>
      <c r="BI250" s="87">
        <f t="shared" ref="BI250" si="3759">IF($H250&lt;&gt;BL$5,0,IF(BL250&gt;0,IF(OR($J250=1,$J250=2,$J250=3,$J250=4),$E250*$I250/12*3,IF($J250=5,$E250*$I250/12*2,IF($J250=6,$E250*$I250/12*1,0)))))+IF(BG$5&lt;&gt;$H250,0,IF(BG250&gt;0,IF($J250=4,$E250*$I250/12*0,IF($J250=5,$E250*$I250/12*1,IF($J250=6,$E250*$I250/12*2,IF($J250&gt;=7,$E250*$I250/12*3,0))))))</f>
        <v>0</v>
      </c>
      <c r="BJ250" s="87">
        <f t="shared" ref="BJ250" si="3760">IF($H250&lt;&gt;BL$5,0,IF(BL250&gt;0,IF(OR($J250=1,$J250=2,$J250=3,$J250=4,$J250=5,$J250=6,$J250=7),$E250*$I250/12*3,IF($J250=8,$E250*$I250/12*2,IF($J250=9,$E250*$I250/12*1,0)))))+IF(BG$5&lt;&gt;$H250,0,IF(BG250&gt;0,IF($J250=7,$E250*$I250/12*0,IF($J250=8,$E250*$I250/12*1,IF($J250=9,$E250*$I250/12*2,IF($J250&gt;=10,$E250*$I250/12*3,0))))))</f>
        <v>0</v>
      </c>
      <c r="BK250" s="88">
        <f t="shared" ref="BK250" si="3761">IF($H250&lt;&gt;BL$5,0,IF(BL250&gt;0,IF(OR($J250=1,$J250=2,$J250=3,$J250=4,$J250=5,$J250=6,$J250=7,$J250=8,$J250=9,$J250=10),$E250*$I250/12*3,IF($J250=11,$E250*$I250/12*2,IF($J250=12,$E250*$I250/12*1,0)))))+IF(BG$5&lt;&gt;$H250,0,IF(BG250&gt;0,IF($J250=10,$E250*$I250/12*0,IF($J250=11,$E250*$I250/12*1,IF($J250=12,$E250*$I250/12*2,0)))))</f>
        <v>0</v>
      </c>
      <c r="BL250" s="85">
        <f t="shared" ref="BL250" si="3762">IF(AND(BG250&lt;&gt;0,BG$5=$H250),$I250*$E250-BG250,IF(BL$5=$H250,$I250*$E250*(12-$J250+1)/12,0))</f>
        <v>0</v>
      </c>
      <c r="BM250" s="86">
        <f t="shared" ref="BM250" si="3763">IF($H250&lt;&gt;BQ$5,0,IF(BQ250&gt;0,IF($J250=1,$E250*$I250/12*3,IF($J250=2,$E250*$I250/12*2,IF($J250=3,$E250*$I250/12*1,0)))))+IF(BL$5&lt;&gt;$H250,0,IF(BL250&gt;0,IF($J250=1,$E250*$I250/12*0,IF($J250=2,$E250*$I250/12*1,IF($J250=3,$E250*$I250/12*2,IF($J250&gt;=4,$E250*$I250/12*3,0))))))</f>
        <v>0</v>
      </c>
      <c r="BN250" s="87">
        <f t="shared" ref="BN250" si="3764">IF($H250&lt;&gt;BQ$5,0,IF(BQ250&gt;0,IF(OR($J250=1,$J250=2,$J250=3,$J250=4),$E250*$I250/12*3,IF($J250=5,$E250*$I250/12*2,IF($J250=6,$E250*$I250/12*1,0)))))+IF(BL$5&lt;&gt;$H250,0,IF(BL250&gt;0,IF($J250=4,$E250*$I250/12*0,IF($J250=5,$E250*$I250/12*1,IF($J250=6,$E250*$I250/12*2,IF($J250&gt;=7,$E250*$I250/12*3,0))))))</f>
        <v>0</v>
      </c>
      <c r="BO250" s="87">
        <f t="shared" ref="BO250" si="3765">IF($H250&lt;&gt;BQ$5,0,IF(BQ250&gt;0,IF(OR($J250=1,$J250=2,$J250=3,$J250=4,$J250=5,$J250=6,$J250=7),$E250*$I250/12*3,IF($J250=8,$E250*$I250/12*2,IF($J250=9,$E250*$I250/12*1,0)))))+IF(BL$5&lt;&gt;$H250,0,IF(BL250&gt;0,IF($J250=7,$E250*$I250/12*0,IF($J250=8,$E250*$I250/12*1,IF($J250=9,$E250*$I250/12*2,IF($J250&gt;=10,$E250*$I250/12*3,0))))))</f>
        <v>0</v>
      </c>
      <c r="BP250" s="88">
        <f t="shared" ref="BP250" si="3766">IF($H250&lt;&gt;BQ$5,0,IF(BQ250&gt;0,IF(OR($J250=1,$J250=2,$J250=3,$J250=4,$J250=5,$J250=6,$J250=7,$J250=8,$J250=9,$J250=10),$E250*$I250/12*3,IF($J250=11,$E250*$I250/12*2,IF($J250=12,$E250*$I250/12*1,0)))))+IF(BL$5&lt;&gt;$H250,0,IF(BL250&gt;0,IF($J250=10,$E250*$I250/12*0,IF($J250=11,$E250*$I250/12*1,IF($J250=12,$E250*$I250/12*2,0)))))</f>
        <v>0</v>
      </c>
      <c r="BQ250" s="85">
        <f t="shared" ref="BQ250" si="3767">IF(AND(BL250&lt;&gt;0,BL$5=$H250),$I250*$E250-BL250,IF(BQ$5=$H250,$I250*$E250*(12-$J250+1)/12,0))</f>
        <v>0</v>
      </c>
      <c r="BR250" s="86">
        <f t="shared" ref="BR250" si="3768">IF($H250&lt;&gt;BV$5,0,IF(BV250&gt;0,IF($J250=1,$E250*$I250/12*3,IF($J250=2,$E250*$I250/12*2,IF($J250=3,$E250*$I250/12*1,0)))))+IF(BQ$5&lt;&gt;$H250,0,IF(BQ250&gt;0,IF($J250=1,$E250*$I250/12*0,IF($J250=2,$E250*$I250/12*1,IF($J250=3,$E250*$I250/12*2,IF($J250&gt;=4,$E250*$I250/12*3,0))))))</f>
        <v>0</v>
      </c>
      <c r="BS250" s="87">
        <f t="shared" ref="BS250" si="3769">IF($H250&lt;&gt;BV$5,0,IF(BV250&gt;0,IF(OR($J250=1,$J250=2,$J250=3,$J250=4),$E250*$I250/12*3,IF($J250=5,$E250*$I250/12*2,IF($J250=6,$E250*$I250/12*1,0)))))+IF(BQ$5&lt;&gt;$H250,0,IF(BQ250&gt;0,IF($J250=4,$E250*$I250/12*0,IF($J250=5,$E250*$I250/12*1,IF($J250=6,$E250*$I250/12*2,IF($J250&gt;=7,$E250*$I250/12*3,0))))))</f>
        <v>0</v>
      </c>
      <c r="BT250" s="87">
        <f t="shared" ref="BT250" si="3770">IF($H250&lt;&gt;BV$5,0,IF(BV250&gt;0,IF(OR($J250=1,$J250=2,$J250=3,$J250=4,$J250=5,$J250=6,$J250=7),$E250*$I250/12*3,IF($J250=8,$E250*$I250/12*2,IF($J250=9,$E250*$I250/12*1,0)))))+IF(BQ$5&lt;&gt;$H250,0,IF(BQ250&gt;0,IF($J250=7,$E250*$I250/12*0,IF($J250=8,$E250*$I250/12*1,IF($J250=9,$E250*$I250/12*2,IF($J250&gt;=10,$E250*$I250/12*3,0))))))</f>
        <v>0</v>
      </c>
      <c r="BU250" s="88">
        <f t="shared" ref="BU250" si="3771">IF($H250&lt;&gt;BV$5,0,IF(BV250&gt;0,IF(OR($J250=1,$J250=2,$J250=3,$J250=4,$J250=5,$J250=6,$J250=7,$J250=8,$J250=9,$J250=10),$E250*$I250/12*3,IF($J250=11,$E250*$I250/12*2,IF($J250=12,$E250*$I250/12*1,0)))))+IF(BQ$5&lt;&gt;$H250,0,IF(BQ250&gt;0,IF($J250=10,$E250*$I250/12*0,IF($J250=11,$E250*$I250/12*1,IF($J250=12,$E250*$I250/12*2,0)))))</f>
        <v>0</v>
      </c>
      <c r="BV250" s="85">
        <f t="shared" ref="BV250" si="3772">IF(AND(BQ250&lt;&gt;0,BQ$5=$H250),$I250*$E250-BQ250,IF(BV$5=$H250,$I250*$E250*(12-$J250+1)/12,0))</f>
        <v>0</v>
      </c>
      <c r="BW250" s="86">
        <f t="shared" ref="BW250" si="3773">IF($H250&lt;&gt;CA$5,0,IF(CA250&gt;0,IF($J250=1,$E250*$I250/12*3,IF($J250=2,$E250*$I250/12*2,IF($J250=3,$E250*$I250/12*1,0)))))+IF(BV$5&lt;&gt;$H250,0,IF(BV250&gt;0,IF($J250=1,$E250*$I250/12*0,IF($J250=2,$E250*$I250/12*1,IF($J250=3,$E250*$I250/12*2,IF($J250&gt;=4,$E250*$I250/12*3,0))))))</f>
        <v>0</v>
      </c>
      <c r="BX250" s="87">
        <f t="shared" ref="BX250" si="3774">IF($H250&lt;&gt;CA$5,0,IF(CA250&gt;0,IF(OR($J250=1,$J250=2,$J250=3,$J250=4),$E250*$I250/12*3,IF($J250=5,$E250*$I250/12*2,IF($J250=6,$E250*$I250/12*1,0)))))+IF(BV$5&lt;&gt;$H250,0,IF(BV250&gt;0,IF($J250=4,$E250*$I250/12*0,IF($J250=5,$E250*$I250/12*1,IF($J250=6,$E250*$I250/12*2,IF($J250&gt;=7,$E250*$I250/12*3,0))))))</f>
        <v>0</v>
      </c>
      <c r="BY250" s="87">
        <f t="shared" ref="BY250" si="3775">IF($H250&lt;&gt;CA$5,0,IF(CA250&gt;0,IF(OR($J250=1,$J250=2,$J250=3,$J250=4,$J250=5,$J250=6,$J250=7),$E250*$I250/12*3,IF($J250=8,$E250*$I250/12*2,IF($J250=9,$E250*$I250/12*1,0)))))+IF(BV$5&lt;&gt;$H250,0,IF(BV250&gt;0,IF($J250=7,$E250*$I250/12*0,IF($J250=8,$E250*$I250/12*1,IF($J250=9,$E250*$I250/12*2,IF($J250&gt;=10,$E250*$I250/12*3,0))))))</f>
        <v>0</v>
      </c>
      <c r="BZ250" s="88">
        <f t="shared" ref="BZ250" si="3776">IF($H250&lt;&gt;CA$5,0,IF(CA250&gt;0,IF(OR($J250=1,$J250=2,$J250=3,$J250=4,$J250=5,$J250=6,$J250=7,$J250=8,$J250=9,$J250=10),$E250*$I250/12*3,IF($J250=11,$E250*$I250/12*2,IF($J250=12,$E250*$I250/12*1,0)))))+IF(BV$5&lt;&gt;$H250,0,IF(BV250&gt;0,IF($J250=10,$E250*$I250/12*0,IF($J250=11,$E250*$I250/12*1,IF($J250=12,$E250*$I250/12*2,0)))))</f>
        <v>0</v>
      </c>
      <c r="CA250" s="85">
        <f t="shared" ref="CA250" si="3777">IF(AND(BV250&lt;&gt;0,BV$5=$H250),$I250*$E250-BV250,IF(CA$5=$H250,$I250*$E250*(12-$J250+1)/12,0))</f>
        <v>0</v>
      </c>
      <c r="CB250" s="86">
        <f t="shared" ref="CB250" si="3778">IF($H250&lt;&gt;CF$5,0,IF(CF250&gt;0,IF($J250=1,$E250*$I250/12*3,IF($J250=2,$E250*$I250/12*2,IF($J250=3,$E250*$I250/12*1,0)))))+IF(CA$5&lt;&gt;$H250,0,IF(CA250&gt;0,IF($J250=1,$E250*$I250/12*0,IF($J250=2,$E250*$I250/12*1,IF($J250=3,$E250*$I250/12*2,IF($J250&gt;=4,$E250*$I250/12*3,0))))))</f>
        <v>0</v>
      </c>
      <c r="CC250" s="87">
        <f t="shared" ref="CC250" si="3779">IF($H250&lt;&gt;CF$5,0,IF(CF250&gt;0,IF(OR($J250=1,$J250=2,$J250=3,$J250=4),$E250*$I250/12*3,IF($J250=5,$E250*$I250/12*2,IF($J250=6,$E250*$I250/12*1,0)))))+IF(CA$5&lt;&gt;$H250,0,IF(CA250&gt;0,IF($J250=4,$E250*$I250/12*0,IF($J250=5,$E250*$I250/12*1,IF($J250=6,$E250*$I250/12*2,IF($J250&gt;=7,$E250*$I250/12*3,0))))))</f>
        <v>1.3833333333333335</v>
      </c>
      <c r="CD250" s="87">
        <f t="shared" ref="CD250" si="3780">IF($H250&lt;&gt;CF$5,0,IF(CF250&gt;0,IF(OR($J250=1,$J250=2,$J250=3,$J250=4,$J250=5,$J250=6,$J250=7),$E250*$I250/12*3,IF($J250=8,$E250*$I250/12*2,IF($J250=9,$E250*$I250/12*1,0)))))+IF(CA$5&lt;&gt;$H250,0,IF(CA250&gt;0,IF($J250=7,$E250*$I250/12*0,IF($J250=8,$E250*$I250/12*1,IF($J250=9,$E250*$I250/12*2,IF($J250&gt;=10,$E250*$I250/12*3,0))))))</f>
        <v>2.0750000000000002</v>
      </c>
      <c r="CE250" s="88">
        <f t="shared" ref="CE250" si="3781">IF($H250&lt;&gt;CF$5,0,IF(CF250&gt;0,IF(OR($J250=1,$J250=2,$J250=3,$J250=4,$J250=5,$J250=6,$J250=7,$J250=8,$J250=9,$J250=10),$E250*$I250/12*3,IF($J250=11,$E250*$I250/12*2,IF($J250=12,$E250*$I250/12*1,0)))))+IF(CA$5&lt;&gt;$H250,0,IF(CA250&gt;0,IF($J250=10,$E250*$I250/12*0,IF($J250=11,$E250*$I250/12*1,IF($J250=12,$E250*$I250/12*2,0)))))</f>
        <v>2.0750000000000002</v>
      </c>
      <c r="CF250" s="85">
        <f t="shared" ref="CF250" si="3782">IF(AND(CA250&lt;&gt;0,CA$5=$H250),$I250*$E250-CA250,IF(CF$5=$H250,$I250*$E250*(12-$J250+1)/12,0))</f>
        <v>5.5333333333333341</v>
      </c>
      <c r="CG250" s="86">
        <f t="shared" ref="CG250" si="3783">IF($H250&lt;&gt;CK$5,0,IF(CK250&gt;0,IF($J250=1,$E250*$I250/12*3,IF($J250=2,$E250*$I250/12*2,IF($J250=3,$E250*$I250/12*1,0)))))+IF(CF$5&lt;&gt;$H250,0,IF(CF250&gt;0,IF($J250=1,$E250*$I250/12*0,IF($J250=2,$E250*$I250/12*1,IF($J250=3,$E250*$I250/12*2,IF($J250&gt;=4,$E250*$I250/12*3,0))))))</f>
        <v>2.0750000000000002</v>
      </c>
      <c r="CH250" s="87">
        <f t="shared" ref="CH250" si="3784">IF($H250&lt;&gt;CK$5,0,IF(CK250&gt;0,IF(OR($J250=1,$J250=2,$J250=3,$J250=4),$E250*$I250/12*3,IF($J250=5,$E250*$I250/12*2,IF($J250=6,$E250*$I250/12*1,0)))))+IF(CF$5&lt;&gt;$H250,0,IF(CF250&gt;0,IF($J250=4,$E250*$I250/12*0,IF($J250=5,$E250*$I250/12*1,IF($J250=6,$E250*$I250/12*2,IF($J250&gt;=7,$E250*$I250/12*3,0))))))</f>
        <v>0.69166666666666676</v>
      </c>
      <c r="CI250" s="87">
        <f t="shared" ref="CI250" si="3785">IF($H250&lt;&gt;CK$5,0,IF(CK250&gt;0,IF(OR($J250=1,$J250=2,$J250=3,$J250=4,$J250=5,$J250=6,$J250=7),$E250*$I250/12*3,IF($J250=8,$E250*$I250/12*2,IF($J250=9,$E250*$I250/12*1,0)))))+IF(CF$5&lt;&gt;$H250,0,IF(CF250&gt;0,IF($J250=7,$E250*$I250/12*0,IF($J250=8,$E250*$I250/12*1,IF($J250=9,$E250*$I250/12*2,IF($J250&gt;=10,$E250*$I250/12*3,0))))))</f>
        <v>0</v>
      </c>
      <c r="CJ250" s="88">
        <f t="shared" ref="CJ250" si="3786">IF($H250&lt;&gt;CK$5,0,IF(CK250&gt;0,IF(OR($J250=1,$J250=2,$J250=3,$J250=4,$J250=5,$J250=6,$J250=7,$J250=8,$J250=9,$J250=10),$E250*$I250/12*3,IF($J250=11,$E250*$I250/12*2,IF($J250=12,$E250*$I250/12*1,0)))))+IF(CF$5&lt;&gt;$H250,0,IF(CF250&gt;0,IF($J250=10,$E250*$I250/12*0,IF($J250=11,$E250*$I250/12*1,IF($J250=12,$E250*$I250/12*2,0)))))</f>
        <v>0</v>
      </c>
      <c r="CK250" s="85">
        <f t="shared" ref="CK250" si="3787">IF(AND(CF250&lt;&gt;0,CF$5=$H250),$I250*$E250-CF250,IF(CK$5=$H250,$I250*$E250*(12-$J250+1)/12,0))</f>
        <v>2.7666666666666666</v>
      </c>
      <c r="CL250" s="86">
        <f t="shared" ref="CL250" si="3788">IF($H250&lt;&gt;CP$5,0,IF(CP250&gt;0,IF($J250=1,$E250*$I250/12*3,IF($J250=2,$E250*$I250/12*2,IF($J250=3,$E250*$I250/12*1,0)))))+IF(CK$5&lt;&gt;$H250,0,IF(CK250&gt;0,IF($J250=1,$E250*$I250/12*0,IF($J250=2,$E250*$I250/12*1,IF($J250=3,$E250*$I250/12*2,IF($J250&gt;=4,$E250*$I250/12*3,0))))))</f>
        <v>0</v>
      </c>
      <c r="CM250" s="87">
        <f t="shared" ref="CM250" si="3789">IF($H250&lt;&gt;CP$5,0,IF(CP250&gt;0,IF(OR($J250=1,$J250=2,$J250=3,$J250=4),$E250*$I250/12*3,IF($J250=5,$E250*$I250/12*2,IF($J250=6,$E250*$I250/12*1,0)))))+IF(CK$5&lt;&gt;$H250,0,IF(CK250&gt;0,IF($J250=4,$E250*$I250/12*0,IF($J250=5,$E250*$I250/12*1,IF($J250=6,$E250*$I250/12*2,IF($J250&gt;=7,$E250*$I250/12*3,0))))))</f>
        <v>0</v>
      </c>
      <c r="CN250" s="87">
        <f t="shared" ref="CN250" si="3790">IF($H250&lt;&gt;CP$5,0,IF(CP250&gt;0,IF(OR($J250=1,$J250=2,$J250=3,$J250=4,$J250=5,$J250=6,$J250=7),$E250*$I250/12*3,IF($J250=8,$E250*$I250/12*2,IF($J250=9,$E250*$I250/12*1,0)))))+IF(CK$5&lt;&gt;$H250,0,IF(CK250&gt;0,IF($J250=7,$E250*$I250/12*0,IF($J250=8,$E250*$I250/12*1,IF($J250=9,$E250*$I250/12*2,IF($J250&gt;=10,$E250*$I250/12*3,0))))))</f>
        <v>0</v>
      </c>
      <c r="CO250" s="88">
        <f t="shared" ref="CO250" si="3791">IF($H250&lt;&gt;CP$5,0,IF(CP250&gt;0,IF(OR($J250=1,$J250=2,$J250=3,$J250=4,$J250=5,$J250=6,$J250=7,$J250=8,$J250=9,$J250=10),$E250*$I250/12*3,IF($J250=11,$E250*$I250/12*2,IF($J250=12,$E250*$I250/12*1,0)))))+IF(CK$5&lt;&gt;$H250,0,IF(CK250&gt;0,IF($J250=10,$E250*$I250/12*0,IF($J250=11,$E250*$I250/12*1,IF($J250=12,$E250*$I250/12*2,0)))))</f>
        <v>0</v>
      </c>
      <c r="CP250" s="85">
        <f t="shared" ref="CP250" si="3792">IF(AND(CK250&lt;&gt;0,CK$5=$H250),$I250*$E250-CK250,IF(CP$5=$H250,$I250*$E250*(12-$J250+1)/12,0))</f>
        <v>0</v>
      </c>
      <c r="CQ250" s="86">
        <f t="shared" ref="CQ250" si="3793">IF($H250&lt;&gt;CU$5,0,IF(CU250&gt;0,IF($J250=1,$E250*$I250/12*3,IF($J250=2,$E250*$I250/12*2,IF($J250=3,$E250*$I250/12*1,0)))))+IF(CP$5&lt;&gt;$H250,0,IF(CP250&gt;0,IF($J250=1,$E250*$I250/12*0,IF($J250=2,$E250*$I250/12*1,IF($J250=3,$E250*$I250/12*2,IF($J250&gt;=4,$E250*$I250/12*3,0))))))</f>
        <v>0</v>
      </c>
      <c r="CR250" s="87">
        <f t="shared" ref="CR250" si="3794">IF($H250&lt;&gt;CU$5,0,IF(CU250&gt;0,IF(OR($J250=1,$J250=2,$J250=3,$J250=4),$E250*$I250/12*3,IF($J250=5,$E250*$I250/12*2,IF($J250=6,$E250*$I250/12*1,0)))))+IF(CP$5&lt;&gt;$H250,0,IF(CP250&gt;0,IF($J250=4,$E250*$I250/12*0,IF($J250=5,$E250*$I250/12*1,IF($J250=6,$E250*$I250/12*2,IF($J250&gt;=7,$E250*$I250/12*3,0))))))</f>
        <v>0</v>
      </c>
      <c r="CS250" s="87">
        <f t="shared" ref="CS250" si="3795">IF($H250&lt;&gt;CU$5,0,IF(CU250&gt;0,IF(OR($J250=1,$J250=2,$J250=3,$J250=4,$J250=5,$J250=6,$J250=7),$E250*$I250/12*3,IF($J250=8,$E250*$I250/12*2,IF($J250=9,$E250*$I250/12*1,0)))))+IF(CP$5&lt;&gt;$H250,0,IF(CP250&gt;0,IF($J250=7,$E250*$I250/12*0,IF($J250=8,$E250*$I250/12*1,IF($J250=9,$E250*$I250/12*2,IF($J250&gt;=10,$E250*$I250/12*3,0))))))</f>
        <v>0</v>
      </c>
      <c r="CT250" s="88">
        <f t="shared" ref="CT250" si="3796">IF($H250&lt;&gt;CU$5,0,IF(CU250&gt;0,IF(OR($J250=1,$J250=2,$J250=3,$J250=4,$J250=5,$J250=6,$J250=7,$J250=8,$J250=9,$J250=10),$E250*$I250/12*3,IF($J250=11,$E250*$I250/12*2,IF($J250=12,$E250*$I250/12*1,0)))))+IF(CP$5&lt;&gt;$H250,0,IF(CP250&gt;0,IF($J250=10,$E250*$I250/12*0,IF($J250=11,$E250*$I250/12*1,IF($J250=12,$E250*$I250/12*2,0)))))</f>
        <v>0</v>
      </c>
      <c r="CU250" s="85">
        <f t="shared" ref="CU250" si="3797">IF(AND(CP250&lt;&gt;0,CP$5=$H250),$I250*$E250-CP250,IF(CU$5=$H250,$I250*$E250*(12-$J250+1)/12,0))</f>
        <v>0</v>
      </c>
      <c r="CV250" s="86">
        <f t="shared" ref="CV250" si="3798">IF($H250&lt;&gt;CZ$5,0,IF(CZ250&gt;0,IF($J250=1,$E250*$I250/12*3,IF($J250=2,$E250*$I250/12*2,IF($J250=3,$E250*$I250/12*1,0)))))+IF(CU$5&lt;&gt;$H250,0,IF(CU250&gt;0,IF($J250=1,$E250*$I250/12*0,IF($J250=2,$E250*$I250/12*1,IF($J250=3,$E250*$I250/12*2,IF($J250&gt;=4,$E250*$I250/12*3,0))))))</f>
        <v>0</v>
      </c>
      <c r="CW250" s="87">
        <f t="shared" ref="CW250" si="3799">IF($H250&lt;&gt;CZ$5,0,IF(CZ250&gt;0,IF(OR($J250=1,$J250=2,$J250=3,$J250=4),$E250*$I250/12*3,IF($J250=5,$E250*$I250/12*2,IF($J250=6,$E250*$I250/12*1,0)))))+IF(CU$5&lt;&gt;$H250,0,IF(CU250&gt;0,IF($J250=4,$E250*$I250/12*0,IF($J250=5,$E250*$I250/12*1,IF($J250=6,$E250*$I250/12*2,IF($J250&gt;=7,$E250*$I250/12*3,0))))))</f>
        <v>0</v>
      </c>
      <c r="CX250" s="87">
        <f t="shared" ref="CX250" si="3800">IF($H250&lt;&gt;CZ$5,0,IF(CZ250&gt;0,IF(OR($J250=1,$J250=2,$J250=3,$J250=4,$J250=5,$J250=6,$J250=7),$E250*$I250/12*3,IF($J250=8,$E250*$I250/12*2,IF($J250=9,$E250*$I250/12*1,0)))))+IF(CU$5&lt;&gt;$H250,0,IF(CU250&gt;0,IF($J250=7,$E250*$I250/12*0,IF($J250=8,$E250*$I250/12*1,IF($J250=9,$E250*$I250/12*2,IF($J250&gt;=10,$E250*$I250/12*3,0))))))</f>
        <v>0</v>
      </c>
      <c r="CY250" s="88">
        <f t="shared" ref="CY250" si="3801">IF($H250&lt;&gt;CZ$5,0,IF(CZ250&gt;0,IF(OR($J250=1,$J250=2,$J250=3,$J250=4,$J250=5,$J250=6,$J250=7,$J250=8,$J250=9,$J250=10),$E250*$I250/12*3,IF($J250=11,$E250*$I250/12*2,IF($J250=12,$E250*$I250/12*1,0)))))+IF(CU$5&lt;&gt;$H250,0,IF(CU250&gt;0,IF($J250=10,$E250*$I250/12*0,IF($J250=11,$E250*$I250/12*1,IF($J250=12,$E250*$I250/12*2,0)))))</f>
        <v>0</v>
      </c>
      <c r="CZ250" s="85">
        <f t="shared" ref="CZ250" si="3802">IF(AND(CU250&lt;&gt;0,CU$5=$H250),$I250*$E250-CU250,IF(CZ$5=$H250,$I250*$E250*(12-$J250+1)/12,0))</f>
        <v>0</v>
      </c>
    </row>
    <row r="251" spans="1:104" ht="12.75" customHeight="1">
      <c r="A251" s="1817"/>
      <c r="B251" s="1817"/>
      <c r="C251" s="1838" t="s">
        <v>773</v>
      </c>
      <c r="D251" s="1838"/>
      <c r="E251" s="147">
        <f>Pepco!$AW$127</f>
        <v>245</v>
      </c>
      <c r="F251" s="165"/>
      <c r="G251" s="165"/>
      <c r="H251" s="1516">
        <v>2018</v>
      </c>
      <c r="I251" s="1841">
        <v>0.05</v>
      </c>
      <c r="J251" s="1832">
        <v>7</v>
      </c>
      <c r="L251" s="2001">
        <f t="shared" si="3711"/>
        <v>0</v>
      </c>
      <c r="M251" s="82">
        <f t="shared" ref="M251" si="3803">IF(Q251=0,0,IF(Q251&gt;0,IF($J251=3,Q251,IF($J251=2,Q251,IF($J251=1,Q251,0)))))</f>
        <v>0</v>
      </c>
      <c r="N251" s="83">
        <f t="shared" ref="N251" si="3804">IF(Q251=0,0,IF(Q251&gt;0,IF($J251=6,Q251,IF($J251=5,Q251,IF($J251=4,Q251,0)))))</f>
        <v>0</v>
      </c>
      <c r="O251" s="83">
        <f t="shared" ref="O251" si="3805">IF(Q251=0,0,IF(Q251&gt;0,IF($J251=9,Q251,IF($J251=8,Q251,IF($J251=7,Q251,0)))))</f>
        <v>0</v>
      </c>
      <c r="P251" s="84">
        <f t="shared" ref="P251" si="3806">IF(Q251=0,0,IF(Q251&gt;0,IF($J251=12,Q251,IF($J251=11,Q251,IF($J251=10,Q251,0)))))</f>
        <v>0</v>
      </c>
      <c r="Q251" s="81">
        <f t="shared" si="3716"/>
        <v>0</v>
      </c>
      <c r="R251" s="82">
        <f t="shared" ref="R251" si="3807">IF(V251=0,0,IF(V251&gt;0,IF($J251=3,V251,IF($J251=2,V251,IF($J251=1,V251,0)))))</f>
        <v>0</v>
      </c>
      <c r="S251" s="83">
        <f t="shared" ref="S251" si="3808">IF(V251=0,0,IF(V251&gt;0,IF($J251=6,V251,IF($J251=5,V251,IF($J251=4,V251,0)))))</f>
        <v>0</v>
      </c>
      <c r="T251" s="83">
        <f t="shared" ref="T251" si="3809">IF(V251=0,0,IF(V251&gt;0,IF($J251=9,V251,IF($J251=8,V251,IF($J251=7,V251,0)))))</f>
        <v>0</v>
      </c>
      <c r="U251" s="84">
        <f t="shared" ref="U251" si="3810">IF(V251=0,0,IF(V251&gt;0,IF($J251=12,V251,IF($J251=11,V251,IF($J251=10,V251,0)))))</f>
        <v>0</v>
      </c>
      <c r="V251" s="81">
        <f t="shared" si="3721"/>
        <v>0</v>
      </c>
      <c r="W251" s="82">
        <f t="shared" ref="W251" si="3811">IF(AA251=0,0,IF(AA251&gt;0,IF($J251=3,AA251,IF($J251=2,AA251,IF($J251=1,AA251,0)))))</f>
        <v>0</v>
      </c>
      <c r="X251" s="83">
        <f t="shared" ref="X251" si="3812">IF(AA251=0,0,IF(AA251&gt;0,IF($J251=6,AA251,IF($J251=5,AA251,IF($J251=4,AA251,0)))))</f>
        <v>0</v>
      </c>
      <c r="Y251" s="83">
        <f t="shared" ref="Y251" si="3813">IF(AA251=0,0,IF(AA251&gt;0,IF($J251=9,AA251,IF($J251=8,AA251,IF($J251=7,AA251,0)))))</f>
        <v>0</v>
      </c>
      <c r="Z251" s="84">
        <f t="shared" ref="Z251" si="3814">IF(AA251=0,0,IF(AA251&gt;0,IF($J251=12,AA251,IF($J251=11,AA251,IF($J251=10,AA251,0)))))</f>
        <v>0</v>
      </c>
      <c r="AA251" s="81">
        <f t="shared" si="3726"/>
        <v>0</v>
      </c>
      <c r="AB251" s="82">
        <f t="shared" ref="AB251" si="3815">IF(AF251=0,0,IF(AF251&gt;0,IF($J251=3,AF251,IF($J251=2,AF251,IF($J251=1,AF251,0)))))</f>
        <v>0</v>
      </c>
      <c r="AC251" s="83">
        <f t="shared" ref="AC251" si="3816">IF(AF251=0,0,IF(AF251&gt;0,IF($J251=6,AF251,IF($J251=5,AF251,IF($J251=4,AF251,0)))))</f>
        <v>0</v>
      </c>
      <c r="AD251" s="83">
        <f t="shared" ref="AD251" si="3817">IF(AF251=0,0,IF(AF251&gt;0,IF($J251=9,AF251,IF($J251=8,AF251,IF($J251=7,AF251,0)))))</f>
        <v>0</v>
      </c>
      <c r="AE251" s="84">
        <f t="shared" ref="AE251" si="3818">IF(AF251=0,0,IF(AF251&gt;0,IF($J251=12,AF251,IF($J251=11,AF251,IF($J251=10,AF251,0)))))</f>
        <v>0</v>
      </c>
      <c r="AF251" s="81">
        <f t="shared" si="3731"/>
        <v>0</v>
      </c>
      <c r="AG251" s="82">
        <f t="shared" ref="AG251" si="3819">IF(AK251=0,0,IF(AK251&gt;0,IF($J251=3,AK251,IF($J251=2,AK251,IF($J251=1,AK251,0)))))</f>
        <v>0</v>
      </c>
      <c r="AH251" s="83">
        <f t="shared" ref="AH251" si="3820">IF(AK251=0,0,IF(AK251&gt;0,IF($J251=6,AK251,IF($J251=5,AK251,IF($J251=4,AK251,0)))))</f>
        <v>0</v>
      </c>
      <c r="AI251" s="83">
        <f t="shared" ref="AI251" si="3821">IF(AK251=0,0,IF(AK251&gt;0,IF($J251=9,AK251,IF($J251=8,AK251,IF($J251=7,AK251,0)))))</f>
        <v>0</v>
      </c>
      <c r="AJ251" s="84">
        <f t="shared" ref="AJ251" si="3822">IF(AK251=0,0,IF(AK251&gt;0,IF($J251=12,AK251,IF($J251=11,AK251,IF($J251=10,AK251,0)))))</f>
        <v>0</v>
      </c>
      <c r="AK251" s="81">
        <f t="shared" si="3736"/>
        <v>0</v>
      </c>
      <c r="AL251" s="82">
        <f t="shared" ref="AL251" si="3823">IF(AP251=0,0,IF(AP251&gt;0,IF($J251=3,AP251,IF($J251=2,AP251,IF($J251=1,AP251,0)))))</f>
        <v>0</v>
      </c>
      <c r="AM251" s="83">
        <f t="shared" ref="AM251" si="3824">IF(AP251=0,0,IF(AP251&gt;0,IF($J251=6,AP251,IF($J251=5,AP251,IF($J251=4,AP251,0)))))</f>
        <v>0</v>
      </c>
      <c r="AN251" s="83">
        <f t="shared" ref="AN251" si="3825">IF(AP251=0,0,IF(AP251&gt;0,IF($J251=9,AP251,IF($J251=8,AP251,IF($J251=7,AP251,0)))))</f>
        <v>245</v>
      </c>
      <c r="AO251" s="84">
        <f t="shared" ref="AO251" si="3826">IF(AP251=0,0,IF(AP251&gt;0,IF($J251=12,AP251,IF($J251=11,AP251,IF($J251=10,AP251,0)))))</f>
        <v>0</v>
      </c>
      <c r="AP251" s="81">
        <f t="shared" si="3741"/>
        <v>245</v>
      </c>
      <c r="AQ251" s="82">
        <f t="shared" ref="AQ251" si="3827">IF(AU251=0,0,IF(AU251&gt;0,IF($J251=3,AU251,IF($J251=2,AU251,IF($J251=1,AU251,0)))))</f>
        <v>0</v>
      </c>
      <c r="AR251" s="83">
        <f t="shared" ref="AR251" si="3828">IF(AU251=0,0,IF(AU251&gt;0,IF($J251=6,AU251,IF($J251=5,AU251,IF($J251=4,AU251,0)))))</f>
        <v>0</v>
      </c>
      <c r="AS251" s="83">
        <f t="shared" ref="AS251" si="3829">IF(AU251=0,0,IF(AU251&gt;0,IF($J251=9,AU251,IF($J251=8,AU251,IF($J251=7,AU251,0)))))</f>
        <v>0</v>
      </c>
      <c r="AT251" s="84">
        <f t="shared" ref="AT251" si="3830">IF(AU251=0,0,IF(AU251&gt;0,IF($J251=12,AU251,IF($J251=11,AU251,IF($J251=10,AU251,0)))))</f>
        <v>0</v>
      </c>
      <c r="AU251" s="81">
        <f t="shared" si="3746"/>
        <v>0</v>
      </c>
      <c r="AV251" s="82">
        <f t="shared" ref="AV251" si="3831">IF(AZ251=0,0,IF(AZ251&gt;0,IF($J251=3,AZ251,IF($J251=2,AZ251,IF($J251=1,AZ251,0)))))</f>
        <v>0</v>
      </c>
      <c r="AW251" s="83">
        <f t="shared" ref="AW251" si="3832">IF(AZ251=0,0,IF(AZ251&gt;0,IF($J251=6,AZ251,IF($J251=5,AZ251,IF($J251=4,AZ251,0)))))</f>
        <v>0</v>
      </c>
      <c r="AX251" s="83">
        <f t="shared" ref="AX251" si="3833">IF(AZ251=0,0,IF(AZ251&gt;0,IF($J251=9,AZ251,IF($J251=8,AZ251,IF($J251=7,AZ251,0)))))</f>
        <v>0</v>
      </c>
      <c r="AY251" s="84">
        <f t="shared" ref="AY251" si="3834">IF(AZ251=0,0,IF(AZ251&gt;0,IF($J251=12,AZ251,IF($J251=11,AZ251,IF($J251=10,AZ251,0)))))</f>
        <v>0</v>
      </c>
      <c r="AZ251" s="81">
        <f t="shared" si="3751"/>
        <v>0</v>
      </c>
      <c r="BA251" s="82">
        <f t="shared" ref="BA251:BA254" si="3835">IF(BE251=0,0,IF(BE251&gt;0,IF($J251=3,BE251,IF($J251=2,BE251,IF($J251=1,BE251,0)))))</f>
        <v>0</v>
      </c>
      <c r="BB251" s="83">
        <f t="shared" ref="BB251:BB254" si="3836">IF(BE251=0,0,IF(BE251&gt;0,IF($J251=6,BE251,IF($J251=5,BE251,IF($J251=4,BE251,0)))))</f>
        <v>0</v>
      </c>
      <c r="BC251" s="83">
        <f t="shared" ref="BC251:BC254" si="3837">IF(BE251=0,0,IF(BE251&gt;0,IF($J251=9,BE251,IF($J251=8,BE251,IF($J251=7,BE251,0)))))</f>
        <v>0</v>
      </c>
      <c r="BD251" s="84">
        <f t="shared" ref="BD251:BD254" si="3838">IF(BE251=0,0,IF(BE251&gt;0,IF($J251=12,BE251,IF($J251=11,BE251,IF($J251=10,BE251,0)))))</f>
        <v>0</v>
      </c>
      <c r="BE251" s="81">
        <f t="shared" si="3756"/>
        <v>0</v>
      </c>
      <c r="BF251" s="1884"/>
      <c r="BG251" s="2005">
        <f t="shared" ref="BG251" si="3839">IF(AND(BF251&lt;&gt;0,BF$5=$H251),$I251*$E251-BF251,IF(BG$5=$H251,$I251*$E251*(12-$J251+1)/12,0))</f>
        <v>0</v>
      </c>
      <c r="BH251" s="86">
        <f t="shared" ref="BH251" si="3840">IF($H251&lt;&gt;BL$5,0,IF(BL251&gt;0,IF($J251=1,$E251*$I251/12*3,IF($J251=2,$E251*$I251/12*2,IF($J251=3,$E251*$I251/12*1,0)))))+IF(BG$5&lt;&gt;$H251,0,IF(BG251&gt;0,IF($J251=1,$E251*$I251/12*0,IF($J251=2,$E251*$I251/12*1,IF($J251=3,$E251*$I251/12*2,IF($J251&gt;=4,$E251*$I251/12*3,0))))))</f>
        <v>0</v>
      </c>
      <c r="BI251" s="87">
        <f t="shared" ref="BI251" si="3841">IF($H251&lt;&gt;BL$5,0,IF(BL251&gt;0,IF(OR($J251=1,$J251=2,$J251=3,$J251=4),$E251*$I251/12*3,IF($J251=5,$E251*$I251/12*2,IF($J251=6,$E251*$I251/12*1,0)))))+IF(BG$5&lt;&gt;$H251,0,IF(BG251&gt;0,IF($J251=4,$E251*$I251/12*0,IF($J251=5,$E251*$I251/12*1,IF($J251=6,$E251*$I251/12*2,IF($J251&gt;=7,$E251*$I251/12*3,0))))))</f>
        <v>0</v>
      </c>
      <c r="BJ251" s="87">
        <f t="shared" ref="BJ251" si="3842">IF($H251&lt;&gt;BL$5,0,IF(BL251&gt;0,IF(OR($J251=1,$J251=2,$J251=3,$J251=4,$J251=5,$J251=6,$J251=7),$E251*$I251/12*3,IF($J251=8,$E251*$I251/12*2,IF($J251=9,$E251*$I251/12*1,0)))))+IF(BG$5&lt;&gt;$H251,0,IF(BG251&gt;0,IF($J251=7,$E251*$I251/12*0,IF($J251=8,$E251*$I251/12*1,IF($J251=9,$E251*$I251/12*2,IF($J251&gt;=10,$E251*$I251/12*3,0))))))</f>
        <v>0</v>
      </c>
      <c r="BK251" s="88">
        <f t="shared" ref="BK251" si="3843">IF($H251&lt;&gt;BL$5,0,IF(BL251&gt;0,IF(OR($J251=1,$J251=2,$J251=3,$J251=4,$J251=5,$J251=6,$J251=7,$J251=8,$J251=9,$J251=10),$E251*$I251/12*3,IF($J251=11,$E251*$I251/12*2,IF($J251=12,$E251*$I251/12*1,0)))))+IF(BG$5&lt;&gt;$H251,0,IF(BG251&gt;0,IF($J251=10,$E251*$I251/12*0,IF($J251=11,$E251*$I251/12*1,IF($J251=12,$E251*$I251/12*2,0)))))</f>
        <v>0</v>
      </c>
      <c r="BL251" s="85">
        <f t="shared" ref="BL251" si="3844">IF(AND(BG251&lt;&gt;0,BG$5=$H251),$I251*$E251-BG251,IF(BL$5=$H251,$I251*$E251*(12-$J251+1)/12,0))</f>
        <v>0</v>
      </c>
      <c r="BM251" s="86">
        <f t="shared" ref="BM251" si="3845">IF($H251&lt;&gt;BQ$5,0,IF(BQ251&gt;0,IF($J251=1,$E251*$I251/12*3,IF($J251=2,$E251*$I251/12*2,IF($J251=3,$E251*$I251/12*1,0)))))+IF(BL$5&lt;&gt;$H251,0,IF(BL251&gt;0,IF($J251=1,$E251*$I251/12*0,IF($J251=2,$E251*$I251/12*1,IF($J251=3,$E251*$I251/12*2,IF($J251&gt;=4,$E251*$I251/12*3,0))))))</f>
        <v>0</v>
      </c>
      <c r="BN251" s="87">
        <f t="shared" ref="BN251" si="3846">IF($H251&lt;&gt;BQ$5,0,IF(BQ251&gt;0,IF(OR($J251=1,$J251=2,$J251=3,$J251=4),$E251*$I251/12*3,IF($J251=5,$E251*$I251/12*2,IF($J251=6,$E251*$I251/12*1,0)))))+IF(BL$5&lt;&gt;$H251,0,IF(BL251&gt;0,IF($J251=4,$E251*$I251/12*0,IF($J251=5,$E251*$I251/12*1,IF($J251=6,$E251*$I251/12*2,IF($J251&gt;=7,$E251*$I251/12*3,0))))))</f>
        <v>0</v>
      </c>
      <c r="BO251" s="87">
        <f t="shared" ref="BO251" si="3847">IF($H251&lt;&gt;BQ$5,0,IF(BQ251&gt;0,IF(OR($J251=1,$J251=2,$J251=3,$J251=4,$J251=5,$J251=6,$J251=7),$E251*$I251/12*3,IF($J251=8,$E251*$I251/12*2,IF($J251=9,$E251*$I251/12*1,0)))))+IF(BL$5&lt;&gt;$H251,0,IF(BL251&gt;0,IF($J251=7,$E251*$I251/12*0,IF($J251=8,$E251*$I251/12*1,IF($J251=9,$E251*$I251/12*2,IF($J251&gt;=10,$E251*$I251/12*3,0))))))</f>
        <v>0</v>
      </c>
      <c r="BP251" s="88">
        <f t="shared" ref="BP251" si="3848">IF($H251&lt;&gt;BQ$5,0,IF(BQ251&gt;0,IF(OR($J251=1,$J251=2,$J251=3,$J251=4,$J251=5,$J251=6,$J251=7,$J251=8,$J251=9,$J251=10),$E251*$I251/12*3,IF($J251=11,$E251*$I251/12*2,IF($J251=12,$E251*$I251/12*1,0)))))+IF(BL$5&lt;&gt;$H251,0,IF(BL251&gt;0,IF($J251=10,$E251*$I251/12*0,IF($J251=11,$E251*$I251/12*1,IF($J251=12,$E251*$I251/12*2,0)))))</f>
        <v>0</v>
      </c>
      <c r="BQ251" s="85">
        <f t="shared" ref="BQ251" si="3849">IF(AND(BL251&lt;&gt;0,BL$5=$H251),$I251*$E251-BL251,IF(BQ$5=$H251,$I251*$E251*(12-$J251+1)/12,0))</f>
        <v>0</v>
      </c>
      <c r="BR251" s="86">
        <f t="shared" ref="BR251" si="3850">IF($H251&lt;&gt;BV$5,0,IF(BV251&gt;0,IF($J251=1,$E251*$I251/12*3,IF($J251=2,$E251*$I251/12*2,IF($J251=3,$E251*$I251/12*1,0)))))+IF(BQ$5&lt;&gt;$H251,0,IF(BQ251&gt;0,IF($J251=1,$E251*$I251/12*0,IF($J251=2,$E251*$I251/12*1,IF($J251=3,$E251*$I251/12*2,IF($J251&gt;=4,$E251*$I251/12*3,0))))))</f>
        <v>0</v>
      </c>
      <c r="BS251" s="87">
        <f t="shared" ref="BS251" si="3851">IF($H251&lt;&gt;BV$5,0,IF(BV251&gt;0,IF(OR($J251=1,$J251=2,$J251=3,$J251=4),$E251*$I251/12*3,IF($J251=5,$E251*$I251/12*2,IF($J251=6,$E251*$I251/12*1,0)))))+IF(BQ$5&lt;&gt;$H251,0,IF(BQ251&gt;0,IF($J251=4,$E251*$I251/12*0,IF($J251=5,$E251*$I251/12*1,IF($J251=6,$E251*$I251/12*2,IF($J251&gt;=7,$E251*$I251/12*3,0))))))</f>
        <v>0</v>
      </c>
      <c r="BT251" s="87">
        <f t="shared" ref="BT251" si="3852">IF($H251&lt;&gt;BV$5,0,IF(BV251&gt;0,IF(OR($J251=1,$J251=2,$J251=3,$J251=4,$J251=5,$J251=6,$J251=7),$E251*$I251/12*3,IF($J251=8,$E251*$I251/12*2,IF($J251=9,$E251*$I251/12*1,0)))))+IF(BQ$5&lt;&gt;$H251,0,IF(BQ251&gt;0,IF($J251=7,$E251*$I251/12*0,IF($J251=8,$E251*$I251/12*1,IF($J251=9,$E251*$I251/12*2,IF($J251&gt;=10,$E251*$I251/12*3,0))))))</f>
        <v>0</v>
      </c>
      <c r="BU251" s="88">
        <f t="shared" ref="BU251" si="3853">IF($H251&lt;&gt;BV$5,0,IF(BV251&gt;0,IF(OR($J251=1,$J251=2,$J251=3,$J251=4,$J251=5,$J251=6,$J251=7,$J251=8,$J251=9,$J251=10),$E251*$I251/12*3,IF($J251=11,$E251*$I251/12*2,IF($J251=12,$E251*$I251/12*1,0)))))+IF(BQ$5&lt;&gt;$H251,0,IF(BQ251&gt;0,IF($J251=10,$E251*$I251/12*0,IF($J251=11,$E251*$I251/12*1,IF($J251=12,$E251*$I251/12*2,0)))))</f>
        <v>0</v>
      </c>
      <c r="BV251" s="85">
        <f t="shared" ref="BV251" si="3854">IF(AND(BQ251&lt;&gt;0,BQ$5=$H251),$I251*$E251-BQ251,IF(BV$5=$H251,$I251*$E251*(12-$J251+1)/12,0))</f>
        <v>0</v>
      </c>
      <c r="BW251" s="86">
        <f t="shared" ref="BW251" si="3855">IF($H251&lt;&gt;CA$5,0,IF(CA251&gt;0,IF($J251=1,$E251*$I251/12*3,IF($J251=2,$E251*$I251/12*2,IF($J251=3,$E251*$I251/12*1,0)))))+IF(BV$5&lt;&gt;$H251,0,IF(BV251&gt;0,IF($J251=1,$E251*$I251/12*0,IF($J251=2,$E251*$I251/12*1,IF($J251=3,$E251*$I251/12*2,IF($J251&gt;=4,$E251*$I251/12*3,0))))))</f>
        <v>0</v>
      </c>
      <c r="BX251" s="87">
        <f t="shared" ref="BX251" si="3856">IF($H251&lt;&gt;CA$5,0,IF(CA251&gt;0,IF(OR($J251=1,$J251=2,$J251=3,$J251=4),$E251*$I251/12*3,IF($J251=5,$E251*$I251/12*2,IF($J251=6,$E251*$I251/12*1,0)))))+IF(BV$5&lt;&gt;$H251,0,IF(BV251&gt;0,IF($J251=4,$E251*$I251/12*0,IF($J251=5,$E251*$I251/12*1,IF($J251=6,$E251*$I251/12*2,IF($J251&gt;=7,$E251*$I251/12*3,0))))))</f>
        <v>0</v>
      </c>
      <c r="BY251" s="87">
        <f t="shared" ref="BY251" si="3857">IF($H251&lt;&gt;CA$5,0,IF(CA251&gt;0,IF(OR($J251=1,$J251=2,$J251=3,$J251=4,$J251=5,$J251=6,$J251=7),$E251*$I251/12*3,IF($J251=8,$E251*$I251/12*2,IF($J251=9,$E251*$I251/12*1,0)))))+IF(BV$5&lt;&gt;$H251,0,IF(BV251&gt;0,IF($J251=7,$E251*$I251/12*0,IF($J251=8,$E251*$I251/12*1,IF($J251=9,$E251*$I251/12*2,IF($J251&gt;=10,$E251*$I251/12*3,0))))))</f>
        <v>0</v>
      </c>
      <c r="BZ251" s="88">
        <f t="shared" ref="BZ251" si="3858">IF($H251&lt;&gt;CA$5,0,IF(CA251&gt;0,IF(OR($J251=1,$J251=2,$J251=3,$J251=4,$J251=5,$J251=6,$J251=7,$J251=8,$J251=9,$J251=10),$E251*$I251/12*3,IF($J251=11,$E251*$I251/12*2,IF($J251=12,$E251*$I251/12*1,0)))))+IF(BV$5&lt;&gt;$H251,0,IF(BV251&gt;0,IF($J251=10,$E251*$I251/12*0,IF($J251=11,$E251*$I251/12*1,IF($J251=12,$E251*$I251/12*2,0)))))</f>
        <v>0</v>
      </c>
      <c r="CA251" s="85">
        <f t="shared" ref="CA251" si="3859">IF(AND(BV251&lt;&gt;0,BV$5=$H251),$I251*$E251-BV251,IF(CA$5=$H251,$I251*$E251*(12-$J251+1)/12,0))</f>
        <v>0</v>
      </c>
      <c r="CB251" s="86">
        <f t="shared" ref="CB251" si="3860">IF($H251&lt;&gt;CF$5,0,IF(CF251&gt;0,IF($J251=1,$E251*$I251/12*3,IF($J251=2,$E251*$I251/12*2,IF($J251=3,$E251*$I251/12*1,0)))))+IF(CA$5&lt;&gt;$H251,0,IF(CA251&gt;0,IF($J251=1,$E251*$I251/12*0,IF($J251=2,$E251*$I251/12*1,IF($J251=3,$E251*$I251/12*2,IF($J251&gt;=4,$E251*$I251/12*3,0))))))</f>
        <v>0</v>
      </c>
      <c r="CC251" s="87">
        <f t="shared" ref="CC251" si="3861">IF($H251&lt;&gt;CF$5,0,IF(CF251&gt;0,IF(OR($J251=1,$J251=2,$J251=3,$J251=4),$E251*$I251/12*3,IF($J251=5,$E251*$I251/12*2,IF($J251=6,$E251*$I251/12*1,0)))))+IF(CA$5&lt;&gt;$H251,0,IF(CA251&gt;0,IF($J251=4,$E251*$I251/12*0,IF($J251=5,$E251*$I251/12*1,IF($J251=6,$E251*$I251/12*2,IF($J251&gt;=7,$E251*$I251/12*3,0))))))</f>
        <v>0</v>
      </c>
      <c r="CD251" s="87">
        <f t="shared" ref="CD251" si="3862">IF($H251&lt;&gt;CF$5,0,IF(CF251&gt;0,IF(OR($J251=1,$J251=2,$J251=3,$J251=4,$J251=5,$J251=6,$J251=7),$E251*$I251/12*3,IF($J251=8,$E251*$I251/12*2,IF($J251=9,$E251*$I251/12*1,0)))))+IF(CA$5&lt;&gt;$H251,0,IF(CA251&gt;0,IF($J251=7,$E251*$I251/12*0,IF($J251=8,$E251*$I251/12*1,IF($J251=9,$E251*$I251/12*2,IF($J251&gt;=10,$E251*$I251/12*3,0))))))</f>
        <v>0</v>
      </c>
      <c r="CE251" s="88">
        <f t="shared" ref="CE251" si="3863">IF($H251&lt;&gt;CF$5,0,IF(CF251&gt;0,IF(OR($J251=1,$J251=2,$J251=3,$J251=4,$J251=5,$J251=6,$J251=7,$J251=8,$J251=9,$J251=10),$E251*$I251/12*3,IF($J251=11,$E251*$I251/12*2,IF($J251=12,$E251*$I251/12*1,0)))))+IF(CA$5&lt;&gt;$H251,0,IF(CA251&gt;0,IF($J251=10,$E251*$I251/12*0,IF($J251=11,$E251*$I251/12*1,IF($J251=12,$E251*$I251/12*2,0)))))</f>
        <v>0</v>
      </c>
      <c r="CF251" s="85">
        <f t="shared" ref="CF251" si="3864">IF(AND(CA251&lt;&gt;0,CA$5=$H251),$I251*$E251-CA251,IF(CF$5=$H251,$I251*$E251*(12-$J251+1)/12,0))</f>
        <v>0</v>
      </c>
      <c r="CG251" s="86">
        <f t="shared" ref="CG251" si="3865">IF($H251&lt;&gt;CK$5,0,IF(CK251&gt;0,IF($J251=1,$E251*$I251/12*3,IF($J251=2,$E251*$I251/12*2,IF($J251=3,$E251*$I251/12*1,0)))))+IF(CF$5&lt;&gt;$H251,0,IF(CF251&gt;0,IF($J251=1,$E251*$I251/12*0,IF($J251=2,$E251*$I251/12*1,IF($J251=3,$E251*$I251/12*2,IF($J251&gt;=4,$E251*$I251/12*3,0))))))</f>
        <v>0</v>
      </c>
      <c r="CH251" s="87">
        <f t="shared" ref="CH251" si="3866">IF($H251&lt;&gt;CK$5,0,IF(CK251&gt;0,IF(OR($J251=1,$J251=2,$J251=3,$J251=4),$E251*$I251/12*3,IF($J251=5,$E251*$I251/12*2,IF($J251=6,$E251*$I251/12*1,0)))))+IF(CF$5&lt;&gt;$H251,0,IF(CF251&gt;0,IF($J251=4,$E251*$I251/12*0,IF($J251=5,$E251*$I251/12*1,IF($J251=6,$E251*$I251/12*2,IF($J251&gt;=7,$E251*$I251/12*3,0))))))</f>
        <v>0</v>
      </c>
      <c r="CI251" s="87">
        <f t="shared" ref="CI251" si="3867">IF($H251&lt;&gt;CK$5,0,IF(CK251&gt;0,IF(OR($J251=1,$J251=2,$J251=3,$J251=4,$J251=5,$J251=6,$J251=7),$E251*$I251/12*3,IF($J251=8,$E251*$I251/12*2,IF($J251=9,$E251*$I251/12*1,0)))))+IF(CF$5&lt;&gt;$H251,0,IF(CF251&gt;0,IF($J251=7,$E251*$I251/12*0,IF($J251=8,$E251*$I251/12*1,IF($J251=9,$E251*$I251/12*2,IF($J251&gt;=10,$E251*$I251/12*3,0))))))</f>
        <v>3.0625</v>
      </c>
      <c r="CJ251" s="88">
        <f t="shared" ref="CJ251" si="3868">IF($H251&lt;&gt;CK$5,0,IF(CK251&gt;0,IF(OR($J251=1,$J251=2,$J251=3,$J251=4,$J251=5,$J251=6,$J251=7,$J251=8,$J251=9,$J251=10),$E251*$I251/12*3,IF($J251=11,$E251*$I251/12*2,IF($J251=12,$E251*$I251/12*1,0)))))+IF(CF$5&lt;&gt;$H251,0,IF(CF251&gt;0,IF($J251=10,$E251*$I251/12*0,IF($J251=11,$E251*$I251/12*1,IF($J251=12,$E251*$I251/12*2,0)))))</f>
        <v>3.0625</v>
      </c>
      <c r="CK251" s="85">
        <f t="shared" ref="CK251" si="3869">IF(AND(CF251&lt;&gt;0,CF$5=$H251),$I251*$E251-CF251,IF(CK$5=$H251,$I251*$E251*(12-$J251+1)/12,0))</f>
        <v>6.125</v>
      </c>
      <c r="CL251" s="86">
        <f t="shared" ref="CL251" si="3870">IF($H251&lt;&gt;CP$5,0,IF(CP251&gt;0,IF($J251=1,$E251*$I251/12*3,IF($J251=2,$E251*$I251/12*2,IF($J251=3,$E251*$I251/12*1,0)))))+IF(CK$5&lt;&gt;$H251,0,IF(CK251&gt;0,IF($J251=1,$E251*$I251/12*0,IF($J251=2,$E251*$I251/12*1,IF($J251=3,$E251*$I251/12*2,IF($J251&gt;=4,$E251*$I251/12*3,0))))))</f>
        <v>3.0625</v>
      </c>
      <c r="CM251" s="87">
        <f t="shared" ref="CM251" si="3871">IF($H251&lt;&gt;CP$5,0,IF(CP251&gt;0,IF(OR($J251=1,$J251=2,$J251=3,$J251=4),$E251*$I251/12*3,IF($J251=5,$E251*$I251/12*2,IF($J251=6,$E251*$I251/12*1,0)))))+IF(CK$5&lt;&gt;$H251,0,IF(CK251&gt;0,IF($J251=4,$E251*$I251/12*0,IF($J251=5,$E251*$I251/12*1,IF($J251=6,$E251*$I251/12*2,IF($J251&gt;=7,$E251*$I251/12*3,0))))))</f>
        <v>3.0625</v>
      </c>
      <c r="CN251" s="87">
        <f t="shared" ref="CN251" si="3872">IF($H251&lt;&gt;CP$5,0,IF(CP251&gt;0,IF(OR($J251=1,$J251=2,$J251=3,$J251=4,$J251=5,$J251=6,$J251=7),$E251*$I251/12*3,IF($J251=8,$E251*$I251/12*2,IF($J251=9,$E251*$I251/12*1,0)))))+IF(CK$5&lt;&gt;$H251,0,IF(CK251&gt;0,IF($J251=7,$E251*$I251/12*0,IF($J251=8,$E251*$I251/12*1,IF($J251=9,$E251*$I251/12*2,IF($J251&gt;=10,$E251*$I251/12*3,0))))))</f>
        <v>0</v>
      </c>
      <c r="CO251" s="88">
        <f t="shared" ref="CO251" si="3873">IF($H251&lt;&gt;CP$5,0,IF(CP251&gt;0,IF(OR($J251=1,$J251=2,$J251=3,$J251=4,$J251=5,$J251=6,$J251=7,$J251=8,$J251=9,$J251=10),$E251*$I251/12*3,IF($J251=11,$E251*$I251/12*2,IF($J251=12,$E251*$I251/12*1,0)))))+IF(CK$5&lt;&gt;$H251,0,IF(CK251&gt;0,IF($J251=10,$E251*$I251/12*0,IF($J251=11,$E251*$I251/12*1,IF($J251=12,$E251*$I251/12*2,0)))))</f>
        <v>0</v>
      </c>
      <c r="CP251" s="85">
        <f t="shared" ref="CP251" si="3874">IF(AND(CK251&lt;&gt;0,CK$5=$H251),$I251*$E251-CK251,IF(CP$5=$H251,$I251*$E251*(12-$J251+1)/12,0))</f>
        <v>6.125</v>
      </c>
      <c r="CQ251" s="86">
        <f t="shared" ref="CQ251" si="3875">IF($H251&lt;&gt;CU$5,0,IF(CU251&gt;0,IF($J251=1,$E251*$I251/12*3,IF($J251=2,$E251*$I251/12*2,IF($J251=3,$E251*$I251/12*1,0)))))+IF(CP$5&lt;&gt;$H251,0,IF(CP251&gt;0,IF($J251=1,$E251*$I251/12*0,IF($J251=2,$E251*$I251/12*1,IF($J251=3,$E251*$I251/12*2,IF($J251&gt;=4,$E251*$I251/12*3,0))))))</f>
        <v>0</v>
      </c>
      <c r="CR251" s="87">
        <f t="shared" ref="CR251" si="3876">IF($H251&lt;&gt;CU$5,0,IF(CU251&gt;0,IF(OR($J251=1,$J251=2,$J251=3,$J251=4),$E251*$I251/12*3,IF($J251=5,$E251*$I251/12*2,IF($J251=6,$E251*$I251/12*1,0)))))+IF(CP$5&lt;&gt;$H251,0,IF(CP251&gt;0,IF($J251=4,$E251*$I251/12*0,IF($J251=5,$E251*$I251/12*1,IF($J251=6,$E251*$I251/12*2,IF($J251&gt;=7,$E251*$I251/12*3,0))))))</f>
        <v>0</v>
      </c>
      <c r="CS251" s="87">
        <f t="shared" ref="CS251" si="3877">IF($H251&lt;&gt;CU$5,0,IF(CU251&gt;0,IF(OR($J251=1,$J251=2,$J251=3,$J251=4,$J251=5,$J251=6,$J251=7),$E251*$I251/12*3,IF($J251=8,$E251*$I251/12*2,IF($J251=9,$E251*$I251/12*1,0)))))+IF(CP$5&lt;&gt;$H251,0,IF(CP251&gt;0,IF($J251=7,$E251*$I251/12*0,IF($J251=8,$E251*$I251/12*1,IF($J251=9,$E251*$I251/12*2,IF($J251&gt;=10,$E251*$I251/12*3,0))))))</f>
        <v>0</v>
      </c>
      <c r="CT251" s="88">
        <f t="shared" ref="CT251" si="3878">IF($H251&lt;&gt;CU$5,0,IF(CU251&gt;0,IF(OR($J251=1,$J251=2,$J251=3,$J251=4,$J251=5,$J251=6,$J251=7,$J251=8,$J251=9,$J251=10),$E251*$I251/12*3,IF($J251=11,$E251*$I251/12*2,IF($J251=12,$E251*$I251/12*1,0)))))+IF(CP$5&lt;&gt;$H251,0,IF(CP251&gt;0,IF($J251=10,$E251*$I251/12*0,IF($J251=11,$E251*$I251/12*1,IF($J251=12,$E251*$I251/12*2,0)))))</f>
        <v>0</v>
      </c>
      <c r="CU251" s="85">
        <f t="shared" ref="CU251" si="3879">IF(AND(CP251&lt;&gt;0,CP$5=$H251),$I251*$E251-CP251,IF(CU$5=$H251,$I251*$E251*(12-$J251+1)/12,0))</f>
        <v>0</v>
      </c>
      <c r="CV251" s="86">
        <f t="shared" ref="CV251:CV254" si="3880">IF($H251&lt;&gt;CZ$5,0,IF(CZ251&gt;0,IF($J251=1,$E251*$I251/12*3,IF($J251=2,$E251*$I251/12*2,IF($J251=3,$E251*$I251/12*1,0)))))+IF(CU$5&lt;&gt;$H251,0,IF(CU251&gt;0,IF($J251=1,$E251*$I251/12*0,IF($J251=2,$E251*$I251/12*1,IF($J251=3,$E251*$I251/12*2,IF($J251&gt;=4,$E251*$I251/12*3,0))))))</f>
        <v>0</v>
      </c>
      <c r="CW251" s="87">
        <f t="shared" ref="CW251:CW254" si="3881">IF($H251&lt;&gt;CZ$5,0,IF(CZ251&gt;0,IF(OR($J251=1,$J251=2,$J251=3,$J251=4),$E251*$I251/12*3,IF($J251=5,$E251*$I251/12*2,IF($J251=6,$E251*$I251/12*1,0)))))+IF(CU$5&lt;&gt;$H251,0,IF(CU251&gt;0,IF($J251=4,$E251*$I251/12*0,IF($J251=5,$E251*$I251/12*1,IF($J251=6,$E251*$I251/12*2,IF($J251&gt;=7,$E251*$I251/12*3,0))))))</f>
        <v>0</v>
      </c>
      <c r="CX251" s="87">
        <f t="shared" ref="CX251:CX254" si="3882">IF($H251&lt;&gt;CZ$5,0,IF(CZ251&gt;0,IF(OR($J251=1,$J251=2,$J251=3,$J251=4,$J251=5,$J251=6,$J251=7),$E251*$I251/12*3,IF($J251=8,$E251*$I251/12*2,IF($J251=9,$E251*$I251/12*1,0)))))+IF(CU$5&lt;&gt;$H251,0,IF(CU251&gt;0,IF($J251=7,$E251*$I251/12*0,IF($J251=8,$E251*$I251/12*1,IF($J251=9,$E251*$I251/12*2,IF($J251&gt;=10,$E251*$I251/12*3,0))))))</f>
        <v>0</v>
      </c>
      <c r="CY251" s="88">
        <f t="shared" ref="CY251:CY254" si="3883">IF($H251&lt;&gt;CZ$5,0,IF(CZ251&gt;0,IF(OR($J251=1,$J251=2,$J251=3,$J251=4,$J251=5,$J251=6,$J251=7,$J251=8,$J251=9,$J251=10),$E251*$I251/12*3,IF($J251=11,$E251*$I251/12*2,IF($J251=12,$E251*$I251/12*1,0)))))+IF(CU$5&lt;&gt;$H251,0,IF(CU251&gt;0,IF($J251=10,$E251*$I251/12*0,IF($J251=11,$E251*$I251/12*1,IF($J251=12,$E251*$I251/12*2,0)))))</f>
        <v>0</v>
      </c>
      <c r="CZ251" s="85">
        <f t="shared" ref="CZ251:CZ254" si="3884">IF(AND(CU251&lt;&gt;0,CU$5=$H251),$I251*$E251-CU251,IF(CZ$5=$H251,$I251*$E251*(12-$J251+1)/12,0))</f>
        <v>0</v>
      </c>
    </row>
    <row r="252" spans="1:104" ht="12.75" customHeight="1">
      <c r="A252" s="1817"/>
      <c r="B252" s="1817"/>
      <c r="C252" s="2026" t="s">
        <v>1373</v>
      </c>
      <c r="D252" s="1838"/>
      <c r="E252" s="147">
        <f>Pepco!$BB$127</f>
        <v>165</v>
      </c>
      <c r="F252" s="165"/>
      <c r="G252" s="165"/>
      <c r="H252" s="1516">
        <v>2019</v>
      </c>
      <c r="I252" s="1841">
        <v>0.05</v>
      </c>
      <c r="J252" s="1832">
        <v>7</v>
      </c>
      <c r="L252" s="2001">
        <f t="shared" si="3711"/>
        <v>0</v>
      </c>
      <c r="M252" s="82">
        <f t="shared" ref="M252:M253" si="3885">IF(Q252=0,0,IF(Q252&gt;0,IF($J252=3,Q252,IF($J252=2,Q252,IF($J252=1,Q252,0)))))</f>
        <v>0</v>
      </c>
      <c r="N252" s="83">
        <f t="shared" ref="N252:N253" si="3886">IF(Q252=0,0,IF(Q252&gt;0,IF($J252=6,Q252,IF($J252=5,Q252,IF($J252=4,Q252,0)))))</f>
        <v>0</v>
      </c>
      <c r="O252" s="83">
        <f t="shared" ref="O252:O253" si="3887">IF(Q252=0,0,IF(Q252&gt;0,IF($J252=9,Q252,IF($J252=8,Q252,IF($J252=7,Q252,0)))))</f>
        <v>0</v>
      </c>
      <c r="P252" s="84">
        <f t="shared" ref="P252:P253" si="3888">IF(Q252=0,0,IF(Q252&gt;0,IF($J252=12,Q252,IF($J252=11,Q252,IF($J252=10,Q252,0)))))</f>
        <v>0</v>
      </c>
      <c r="Q252" s="81">
        <f t="shared" si="3716"/>
        <v>0</v>
      </c>
      <c r="R252" s="82">
        <f t="shared" ref="R252:R253" si="3889">IF(V252=0,0,IF(V252&gt;0,IF($J252=3,V252,IF($J252=2,V252,IF($J252=1,V252,0)))))</f>
        <v>0</v>
      </c>
      <c r="S252" s="83">
        <f t="shared" ref="S252:S253" si="3890">IF(V252=0,0,IF(V252&gt;0,IF($J252=6,V252,IF($J252=5,V252,IF($J252=4,V252,0)))))</f>
        <v>0</v>
      </c>
      <c r="T252" s="83">
        <f t="shared" ref="T252:T253" si="3891">IF(V252=0,0,IF(V252&gt;0,IF($J252=9,V252,IF($J252=8,V252,IF($J252=7,V252,0)))))</f>
        <v>0</v>
      </c>
      <c r="U252" s="84">
        <f t="shared" ref="U252:U253" si="3892">IF(V252=0,0,IF(V252&gt;0,IF($J252=12,V252,IF($J252=11,V252,IF($J252=10,V252,0)))))</f>
        <v>0</v>
      </c>
      <c r="V252" s="81">
        <f t="shared" si="3721"/>
        <v>0</v>
      </c>
      <c r="W252" s="82">
        <f t="shared" ref="W252:W253" si="3893">IF(AA252=0,0,IF(AA252&gt;0,IF($J252=3,AA252,IF($J252=2,AA252,IF($J252=1,AA252,0)))))</f>
        <v>0</v>
      </c>
      <c r="X252" s="83">
        <f t="shared" ref="X252:X253" si="3894">IF(AA252=0,0,IF(AA252&gt;0,IF($J252=6,AA252,IF($J252=5,AA252,IF($J252=4,AA252,0)))))</f>
        <v>0</v>
      </c>
      <c r="Y252" s="83">
        <f t="shared" ref="Y252:Y253" si="3895">IF(AA252=0,0,IF(AA252&gt;0,IF($J252=9,AA252,IF($J252=8,AA252,IF($J252=7,AA252,0)))))</f>
        <v>0</v>
      </c>
      <c r="Z252" s="84">
        <f t="shared" ref="Z252:Z253" si="3896">IF(AA252=0,0,IF(AA252&gt;0,IF($J252=12,AA252,IF($J252=11,AA252,IF($J252=10,AA252,0)))))</f>
        <v>0</v>
      </c>
      <c r="AA252" s="81">
        <f t="shared" si="3726"/>
        <v>0</v>
      </c>
      <c r="AB252" s="82">
        <f t="shared" ref="AB252:AB253" si="3897">IF(AF252=0,0,IF(AF252&gt;0,IF($J252=3,AF252,IF($J252=2,AF252,IF($J252=1,AF252,0)))))</f>
        <v>0</v>
      </c>
      <c r="AC252" s="83">
        <f t="shared" ref="AC252:AC253" si="3898">IF(AF252=0,0,IF(AF252&gt;0,IF($J252=6,AF252,IF($J252=5,AF252,IF($J252=4,AF252,0)))))</f>
        <v>0</v>
      </c>
      <c r="AD252" s="83">
        <f t="shared" ref="AD252:AD253" si="3899">IF(AF252=0,0,IF(AF252&gt;0,IF($J252=9,AF252,IF($J252=8,AF252,IF($J252=7,AF252,0)))))</f>
        <v>0</v>
      </c>
      <c r="AE252" s="84">
        <f t="shared" ref="AE252:AE253" si="3900">IF(AF252=0,0,IF(AF252&gt;0,IF($J252=12,AF252,IF($J252=11,AF252,IF($J252=10,AF252,0)))))</f>
        <v>0</v>
      </c>
      <c r="AF252" s="81">
        <f t="shared" si="3731"/>
        <v>0</v>
      </c>
      <c r="AG252" s="82">
        <f t="shared" ref="AG252:AG253" si="3901">IF(AK252=0,0,IF(AK252&gt;0,IF($J252=3,AK252,IF($J252=2,AK252,IF($J252=1,AK252,0)))))</f>
        <v>0</v>
      </c>
      <c r="AH252" s="83">
        <f t="shared" ref="AH252:AH253" si="3902">IF(AK252=0,0,IF(AK252&gt;0,IF($J252=6,AK252,IF($J252=5,AK252,IF($J252=4,AK252,0)))))</f>
        <v>0</v>
      </c>
      <c r="AI252" s="83">
        <f t="shared" ref="AI252:AI253" si="3903">IF(AK252=0,0,IF(AK252&gt;0,IF($J252=9,AK252,IF($J252=8,AK252,IF($J252=7,AK252,0)))))</f>
        <v>0</v>
      </c>
      <c r="AJ252" s="84">
        <f t="shared" ref="AJ252:AJ253" si="3904">IF(AK252=0,0,IF(AK252&gt;0,IF($J252=12,AK252,IF($J252=11,AK252,IF($J252=10,AK252,0)))))</f>
        <v>0</v>
      </c>
      <c r="AK252" s="81">
        <f t="shared" si="3736"/>
        <v>0</v>
      </c>
      <c r="AL252" s="82">
        <f t="shared" ref="AL252:AL253" si="3905">IF(AP252=0,0,IF(AP252&gt;0,IF($J252=3,AP252,IF($J252=2,AP252,IF($J252=1,AP252,0)))))</f>
        <v>0</v>
      </c>
      <c r="AM252" s="83">
        <f t="shared" ref="AM252:AM253" si="3906">IF(AP252=0,0,IF(AP252&gt;0,IF($J252=6,AP252,IF($J252=5,AP252,IF($J252=4,AP252,0)))))</f>
        <v>0</v>
      </c>
      <c r="AN252" s="83">
        <f t="shared" ref="AN252:AN253" si="3907">IF(AP252=0,0,IF(AP252&gt;0,IF($J252=9,AP252,IF($J252=8,AP252,IF($J252=7,AP252,0)))))</f>
        <v>0</v>
      </c>
      <c r="AO252" s="84">
        <f t="shared" ref="AO252:AO253" si="3908">IF(AP252=0,0,IF(AP252&gt;0,IF($J252=12,AP252,IF($J252=11,AP252,IF($J252=10,AP252,0)))))</f>
        <v>0</v>
      </c>
      <c r="AP252" s="81">
        <f t="shared" si="3741"/>
        <v>0</v>
      </c>
      <c r="AQ252" s="82">
        <f t="shared" ref="AQ252:AQ253" si="3909">IF(AU252=0,0,IF(AU252&gt;0,IF($J252=3,AU252,IF($J252=2,AU252,IF($J252=1,AU252,0)))))</f>
        <v>0</v>
      </c>
      <c r="AR252" s="83">
        <f t="shared" ref="AR252:AR253" si="3910">IF(AU252=0,0,IF(AU252&gt;0,IF($J252=6,AU252,IF($J252=5,AU252,IF($J252=4,AU252,0)))))</f>
        <v>0</v>
      </c>
      <c r="AS252" s="83">
        <f t="shared" ref="AS252:AS253" si="3911">IF(AU252=0,0,IF(AU252&gt;0,IF($J252=9,AU252,IF($J252=8,AU252,IF($J252=7,AU252,0)))))</f>
        <v>165</v>
      </c>
      <c r="AT252" s="84">
        <f t="shared" ref="AT252:AT253" si="3912">IF(AU252=0,0,IF(AU252&gt;0,IF($J252=12,AU252,IF($J252=11,AU252,IF($J252=10,AU252,0)))))</f>
        <v>0</v>
      </c>
      <c r="AU252" s="81">
        <f t="shared" si="3746"/>
        <v>165</v>
      </c>
      <c r="AV252" s="82">
        <f t="shared" ref="AV252:AV253" si="3913">IF(AZ252=0,0,IF(AZ252&gt;0,IF($J252=3,AZ252,IF($J252=2,AZ252,IF($J252=1,AZ252,0)))))</f>
        <v>0</v>
      </c>
      <c r="AW252" s="83">
        <f t="shared" ref="AW252:AW253" si="3914">IF(AZ252=0,0,IF(AZ252&gt;0,IF($J252=6,AZ252,IF($J252=5,AZ252,IF($J252=4,AZ252,0)))))</f>
        <v>0</v>
      </c>
      <c r="AX252" s="83">
        <f t="shared" ref="AX252:AX253" si="3915">IF(AZ252=0,0,IF(AZ252&gt;0,IF($J252=9,AZ252,IF($J252=8,AZ252,IF($J252=7,AZ252,0)))))</f>
        <v>0</v>
      </c>
      <c r="AY252" s="84">
        <f t="shared" ref="AY252:AY253" si="3916">IF(AZ252=0,0,IF(AZ252&gt;0,IF($J252=12,AZ252,IF($J252=11,AZ252,IF($J252=10,AZ252,0)))))</f>
        <v>0</v>
      </c>
      <c r="AZ252" s="81">
        <f t="shared" si="3751"/>
        <v>0</v>
      </c>
      <c r="BA252" s="82">
        <f t="shared" si="3835"/>
        <v>0</v>
      </c>
      <c r="BB252" s="83">
        <f t="shared" si="3836"/>
        <v>0</v>
      </c>
      <c r="BC252" s="83">
        <f t="shared" si="3837"/>
        <v>0</v>
      </c>
      <c r="BD252" s="84">
        <f t="shared" si="3838"/>
        <v>0</v>
      </c>
      <c r="BE252" s="81">
        <f t="shared" si="3756"/>
        <v>0</v>
      </c>
      <c r="BF252" s="1884"/>
      <c r="BG252" s="2005">
        <f t="shared" ref="BG252:BG253" si="3917">IF(AND(BF252&lt;&gt;0,BF$5=$H252),$I252*$E252-BF252,IF(BG$5=$H252,$I252*$E252*(12-$J252+1)/12,0))</f>
        <v>0</v>
      </c>
      <c r="BH252" s="86">
        <f t="shared" ref="BH252:BH253" si="3918">IF($H252&lt;&gt;BL$5,0,IF(BL252&gt;0,IF($J252=1,$E252*$I252/12*3,IF($J252=2,$E252*$I252/12*2,IF($J252=3,$E252*$I252/12*1,0)))))+IF(BG$5&lt;&gt;$H252,0,IF(BG252&gt;0,IF($J252=1,$E252*$I252/12*0,IF($J252=2,$E252*$I252/12*1,IF($J252=3,$E252*$I252/12*2,IF($J252&gt;=4,$E252*$I252/12*3,0))))))</f>
        <v>0</v>
      </c>
      <c r="BI252" s="87">
        <f t="shared" ref="BI252:BI253" si="3919">IF($H252&lt;&gt;BL$5,0,IF(BL252&gt;0,IF(OR($J252=1,$J252=2,$J252=3,$J252=4),$E252*$I252/12*3,IF($J252=5,$E252*$I252/12*2,IF($J252=6,$E252*$I252/12*1,0)))))+IF(BG$5&lt;&gt;$H252,0,IF(BG252&gt;0,IF($J252=4,$E252*$I252/12*0,IF($J252=5,$E252*$I252/12*1,IF($J252=6,$E252*$I252/12*2,IF($J252&gt;=7,$E252*$I252/12*3,0))))))</f>
        <v>0</v>
      </c>
      <c r="BJ252" s="87">
        <f t="shared" ref="BJ252:BJ253" si="3920">IF($H252&lt;&gt;BL$5,0,IF(BL252&gt;0,IF(OR($J252=1,$J252=2,$J252=3,$J252=4,$J252=5,$J252=6,$J252=7),$E252*$I252/12*3,IF($J252=8,$E252*$I252/12*2,IF($J252=9,$E252*$I252/12*1,0)))))+IF(BG$5&lt;&gt;$H252,0,IF(BG252&gt;0,IF($J252=7,$E252*$I252/12*0,IF($J252=8,$E252*$I252/12*1,IF($J252=9,$E252*$I252/12*2,IF($J252&gt;=10,$E252*$I252/12*3,0))))))</f>
        <v>0</v>
      </c>
      <c r="BK252" s="88">
        <f t="shared" ref="BK252:BK253" si="3921">IF($H252&lt;&gt;BL$5,0,IF(BL252&gt;0,IF(OR($J252=1,$J252=2,$J252=3,$J252=4,$J252=5,$J252=6,$J252=7,$J252=8,$J252=9,$J252=10),$E252*$I252/12*3,IF($J252=11,$E252*$I252/12*2,IF($J252=12,$E252*$I252/12*1,0)))))+IF(BG$5&lt;&gt;$H252,0,IF(BG252&gt;0,IF($J252=10,$E252*$I252/12*0,IF($J252=11,$E252*$I252/12*1,IF($J252=12,$E252*$I252/12*2,0)))))</f>
        <v>0</v>
      </c>
      <c r="BL252" s="85">
        <f t="shared" ref="BL252:BL253" si="3922">IF(AND(BG252&lt;&gt;0,BG$5=$H252),$I252*$E252-BG252,IF(BL$5=$H252,$I252*$E252*(12-$J252+1)/12,0))</f>
        <v>0</v>
      </c>
      <c r="BM252" s="86">
        <f t="shared" ref="BM252:BM253" si="3923">IF($H252&lt;&gt;BQ$5,0,IF(BQ252&gt;0,IF($J252=1,$E252*$I252/12*3,IF($J252=2,$E252*$I252/12*2,IF($J252=3,$E252*$I252/12*1,0)))))+IF(BL$5&lt;&gt;$H252,0,IF(BL252&gt;0,IF($J252=1,$E252*$I252/12*0,IF($J252=2,$E252*$I252/12*1,IF($J252=3,$E252*$I252/12*2,IF($J252&gt;=4,$E252*$I252/12*3,0))))))</f>
        <v>0</v>
      </c>
      <c r="BN252" s="87">
        <f t="shared" ref="BN252:BN253" si="3924">IF($H252&lt;&gt;BQ$5,0,IF(BQ252&gt;0,IF(OR($J252=1,$J252=2,$J252=3,$J252=4),$E252*$I252/12*3,IF($J252=5,$E252*$I252/12*2,IF($J252=6,$E252*$I252/12*1,0)))))+IF(BL$5&lt;&gt;$H252,0,IF(BL252&gt;0,IF($J252=4,$E252*$I252/12*0,IF($J252=5,$E252*$I252/12*1,IF($J252=6,$E252*$I252/12*2,IF($J252&gt;=7,$E252*$I252/12*3,0))))))</f>
        <v>0</v>
      </c>
      <c r="BO252" s="87">
        <f t="shared" ref="BO252:BO253" si="3925">IF($H252&lt;&gt;BQ$5,0,IF(BQ252&gt;0,IF(OR($J252=1,$J252=2,$J252=3,$J252=4,$J252=5,$J252=6,$J252=7),$E252*$I252/12*3,IF($J252=8,$E252*$I252/12*2,IF($J252=9,$E252*$I252/12*1,0)))))+IF(BL$5&lt;&gt;$H252,0,IF(BL252&gt;0,IF($J252=7,$E252*$I252/12*0,IF($J252=8,$E252*$I252/12*1,IF($J252=9,$E252*$I252/12*2,IF($J252&gt;=10,$E252*$I252/12*3,0))))))</f>
        <v>0</v>
      </c>
      <c r="BP252" s="88">
        <f t="shared" ref="BP252:BP253" si="3926">IF($H252&lt;&gt;BQ$5,0,IF(BQ252&gt;0,IF(OR($J252=1,$J252=2,$J252=3,$J252=4,$J252=5,$J252=6,$J252=7,$J252=8,$J252=9,$J252=10),$E252*$I252/12*3,IF($J252=11,$E252*$I252/12*2,IF($J252=12,$E252*$I252/12*1,0)))))+IF(BL$5&lt;&gt;$H252,0,IF(BL252&gt;0,IF($J252=10,$E252*$I252/12*0,IF($J252=11,$E252*$I252/12*1,IF($J252=12,$E252*$I252/12*2,0)))))</f>
        <v>0</v>
      </c>
      <c r="BQ252" s="85">
        <f t="shared" ref="BQ252:BQ253" si="3927">IF(AND(BL252&lt;&gt;0,BL$5=$H252),$I252*$E252-BL252,IF(BQ$5=$H252,$I252*$E252*(12-$J252+1)/12,0))</f>
        <v>0</v>
      </c>
      <c r="BR252" s="86">
        <f t="shared" ref="BR252:BR253" si="3928">IF($H252&lt;&gt;BV$5,0,IF(BV252&gt;0,IF($J252=1,$E252*$I252/12*3,IF($J252=2,$E252*$I252/12*2,IF($J252=3,$E252*$I252/12*1,0)))))+IF(BQ$5&lt;&gt;$H252,0,IF(BQ252&gt;0,IF($J252=1,$E252*$I252/12*0,IF($J252=2,$E252*$I252/12*1,IF($J252=3,$E252*$I252/12*2,IF($J252&gt;=4,$E252*$I252/12*3,0))))))</f>
        <v>0</v>
      </c>
      <c r="BS252" s="87">
        <f t="shared" ref="BS252:BS253" si="3929">IF($H252&lt;&gt;BV$5,0,IF(BV252&gt;0,IF(OR($J252=1,$J252=2,$J252=3,$J252=4),$E252*$I252/12*3,IF($J252=5,$E252*$I252/12*2,IF($J252=6,$E252*$I252/12*1,0)))))+IF(BQ$5&lt;&gt;$H252,0,IF(BQ252&gt;0,IF($J252=4,$E252*$I252/12*0,IF($J252=5,$E252*$I252/12*1,IF($J252=6,$E252*$I252/12*2,IF($J252&gt;=7,$E252*$I252/12*3,0))))))</f>
        <v>0</v>
      </c>
      <c r="BT252" s="87">
        <f t="shared" ref="BT252:BT253" si="3930">IF($H252&lt;&gt;BV$5,0,IF(BV252&gt;0,IF(OR($J252=1,$J252=2,$J252=3,$J252=4,$J252=5,$J252=6,$J252=7),$E252*$I252/12*3,IF($J252=8,$E252*$I252/12*2,IF($J252=9,$E252*$I252/12*1,0)))))+IF(BQ$5&lt;&gt;$H252,0,IF(BQ252&gt;0,IF($J252=7,$E252*$I252/12*0,IF($J252=8,$E252*$I252/12*1,IF($J252=9,$E252*$I252/12*2,IF($J252&gt;=10,$E252*$I252/12*3,0))))))</f>
        <v>0</v>
      </c>
      <c r="BU252" s="88">
        <f t="shared" ref="BU252:BU253" si="3931">IF($H252&lt;&gt;BV$5,0,IF(BV252&gt;0,IF(OR($J252=1,$J252=2,$J252=3,$J252=4,$J252=5,$J252=6,$J252=7,$J252=8,$J252=9,$J252=10),$E252*$I252/12*3,IF($J252=11,$E252*$I252/12*2,IF($J252=12,$E252*$I252/12*1,0)))))+IF(BQ$5&lt;&gt;$H252,0,IF(BQ252&gt;0,IF($J252=10,$E252*$I252/12*0,IF($J252=11,$E252*$I252/12*1,IF($J252=12,$E252*$I252/12*2,0)))))</f>
        <v>0</v>
      </c>
      <c r="BV252" s="85">
        <f t="shared" ref="BV252:BV253" si="3932">IF(AND(BQ252&lt;&gt;0,BQ$5=$H252),$I252*$E252-BQ252,IF(BV$5=$H252,$I252*$E252*(12-$J252+1)/12,0))</f>
        <v>0</v>
      </c>
      <c r="BW252" s="86">
        <f t="shared" ref="BW252:BW253" si="3933">IF($H252&lt;&gt;CA$5,0,IF(CA252&gt;0,IF($J252=1,$E252*$I252/12*3,IF($J252=2,$E252*$I252/12*2,IF($J252=3,$E252*$I252/12*1,0)))))+IF(BV$5&lt;&gt;$H252,0,IF(BV252&gt;0,IF($J252=1,$E252*$I252/12*0,IF($J252=2,$E252*$I252/12*1,IF($J252=3,$E252*$I252/12*2,IF($J252&gt;=4,$E252*$I252/12*3,0))))))</f>
        <v>0</v>
      </c>
      <c r="BX252" s="87">
        <f t="shared" ref="BX252:BX253" si="3934">IF($H252&lt;&gt;CA$5,0,IF(CA252&gt;0,IF(OR($J252=1,$J252=2,$J252=3,$J252=4),$E252*$I252/12*3,IF($J252=5,$E252*$I252/12*2,IF($J252=6,$E252*$I252/12*1,0)))))+IF(BV$5&lt;&gt;$H252,0,IF(BV252&gt;0,IF($J252=4,$E252*$I252/12*0,IF($J252=5,$E252*$I252/12*1,IF($J252=6,$E252*$I252/12*2,IF($J252&gt;=7,$E252*$I252/12*3,0))))))</f>
        <v>0</v>
      </c>
      <c r="BY252" s="87">
        <f t="shared" ref="BY252:BY253" si="3935">IF($H252&lt;&gt;CA$5,0,IF(CA252&gt;0,IF(OR($J252=1,$J252=2,$J252=3,$J252=4,$J252=5,$J252=6,$J252=7),$E252*$I252/12*3,IF($J252=8,$E252*$I252/12*2,IF($J252=9,$E252*$I252/12*1,0)))))+IF(BV$5&lt;&gt;$H252,0,IF(BV252&gt;0,IF($J252=7,$E252*$I252/12*0,IF($J252=8,$E252*$I252/12*1,IF($J252=9,$E252*$I252/12*2,IF($J252&gt;=10,$E252*$I252/12*3,0))))))</f>
        <v>0</v>
      </c>
      <c r="BZ252" s="88">
        <f t="shared" ref="BZ252:BZ253" si="3936">IF($H252&lt;&gt;CA$5,0,IF(CA252&gt;0,IF(OR($J252=1,$J252=2,$J252=3,$J252=4,$J252=5,$J252=6,$J252=7,$J252=8,$J252=9,$J252=10),$E252*$I252/12*3,IF($J252=11,$E252*$I252/12*2,IF($J252=12,$E252*$I252/12*1,0)))))+IF(BV$5&lt;&gt;$H252,0,IF(BV252&gt;0,IF($J252=10,$E252*$I252/12*0,IF($J252=11,$E252*$I252/12*1,IF($J252=12,$E252*$I252/12*2,0)))))</f>
        <v>0</v>
      </c>
      <c r="CA252" s="85">
        <f t="shared" ref="CA252:CA253" si="3937">IF(AND(BV252&lt;&gt;0,BV$5=$H252),$I252*$E252-BV252,IF(CA$5=$H252,$I252*$E252*(12-$J252+1)/12,0))</f>
        <v>0</v>
      </c>
      <c r="CB252" s="86">
        <f t="shared" ref="CB252:CB253" si="3938">IF($H252&lt;&gt;CF$5,0,IF(CF252&gt;0,IF($J252=1,$E252*$I252/12*3,IF($J252=2,$E252*$I252/12*2,IF($J252=3,$E252*$I252/12*1,0)))))+IF(CA$5&lt;&gt;$H252,0,IF(CA252&gt;0,IF($J252=1,$E252*$I252/12*0,IF($J252=2,$E252*$I252/12*1,IF($J252=3,$E252*$I252/12*2,IF($J252&gt;=4,$E252*$I252/12*3,0))))))</f>
        <v>0</v>
      </c>
      <c r="CC252" s="87">
        <f t="shared" ref="CC252:CC253" si="3939">IF($H252&lt;&gt;CF$5,0,IF(CF252&gt;0,IF(OR($J252=1,$J252=2,$J252=3,$J252=4),$E252*$I252/12*3,IF($J252=5,$E252*$I252/12*2,IF($J252=6,$E252*$I252/12*1,0)))))+IF(CA$5&lt;&gt;$H252,0,IF(CA252&gt;0,IF($J252=4,$E252*$I252/12*0,IF($J252=5,$E252*$I252/12*1,IF($J252=6,$E252*$I252/12*2,IF($J252&gt;=7,$E252*$I252/12*3,0))))))</f>
        <v>0</v>
      </c>
      <c r="CD252" s="87">
        <f t="shared" ref="CD252:CD253" si="3940">IF($H252&lt;&gt;CF$5,0,IF(CF252&gt;0,IF(OR($J252=1,$J252=2,$J252=3,$J252=4,$J252=5,$J252=6,$J252=7),$E252*$I252/12*3,IF($J252=8,$E252*$I252/12*2,IF($J252=9,$E252*$I252/12*1,0)))))+IF(CA$5&lt;&gt;$H252,0,IF(CA252&gt;0,IF($J252=7,$E252*$I252/12*0,IF($J252=8,$E252*$I252/12*1,IF($J252=9,$E252*$I252/12*2,IF($J252&gt;=10,$E252*$I252/12*3,0))))))</f>
        <v>0</v>
      </c>
      <c r="CE252" s="88">
        <f t="shared" ref="CE252:CE253" si="3941">IF($H252&lt;&gt;CF$5,0,IF(CF252&gt;0,IF(OR($J252=1,$J252=2,$J252=3,$J252=4,$J252=5,$J252=6,$J252=7,$J252=8,$J252=9,$J252=10),$E252*$I252/12*3,IF($J252=11,$E252*$I252/12*2,IF($J252=12,$E252*$I252/12*1,0)))))+IF(CA$5&lt;&gt;$H252,0,IF(CA252&gt;0,IF($J252=10,$E252*$I252/12*0,IF($J252=11,$E252*$I252/12*1,IF($J252=12,$E252*$I252/12*2,0)))))</f>
        <v>0</v>
      </c>
      <c r="CF252" s="85">
        <f t="shared" ref="CF252:CF253" si="3942">IF(AND(CA252&lt;&gt;0,CA$5=$H252),$I252*$E252-CA252,IF(CF$5=$H252,$I252*$E252*(12-$J252+1)/12,0))</f>
        <v>0</v>
      </c>
      <c r="CG252" s="86">
        <f t="shared" ref="CG252:CG253" si="3943">IF($H252&lt;&gt;CK$5,0,IF(CK252&gt;0,IF($J252=1,$E252*$I252/12*3,IF($J252=2,$E252*$I252/12*2,IF($J252=3,$E252*$I252/12*1,0)))))+IF(CF$5&lt;&gt;$H252,0,IF(CF252&gt;0,IF($J252=1,$E252*$I252/12*0,IF($J252=2,$E252*$I252/12*1,IF($J252=3,$E252*$I252/12*2,IF($J252&gt;=4,$E252*$I252/12*3,0))))))</f>
        <v>0</v>
      </c>
      <c r="CH252" s="87">
        <f t="shared" ref="CH252:CH253" si="3944">IF($H252&lt;&gt;CK$5,0,IF(CK252&gt;0,IF(OR($J252=1,$J252=2,$J252=3,$J252=4),$E252*$I252/12*3,IF($J252=5,$E252*$I252/12*2,IF($J252=6,$E252*$I252/12*1,0)))))+IF(CF$5&lt;&gt;$H252,0,IF(CF252&gt;0,IF($J252=4,$E252*$I252/12*0,IF($J252=5,$E252*$I252/12*1,IF($J252=6,$E252*$I252/12*2,IF($J252&gt;=7,$E252*$I252/12*3,0))))))</f>
        <v>0</v>
      </c>
      <c r="CI252" s="87">
        <f t="shared" ref="CI252:CI253" si="3945">IF($H252&lt;&gt;CK$5,0,IF(CK252&gt;0,IF(OR($J252=1,$J252=2,$J252=3,$J252=4,$J252=5,$J252=6,$J252=7),$E252*$I252/12*3,IF($J252=8,$E252*$I252/12*2,IF($J252=9,$E252*$I252/12*1,0)))))+IF(CF$5&lt;&gt;$H252,0,IF(CF252&gt;0,IF($J252=7,$E252*$I252/12*0,IF($J252=8,$E252*$I252/12*1,IF($J252=9,$E252*$I252/12*2,IF($J252&gt;=10,$E252*$I252/12*3,0))))))</f>
        <v>0</v>
      </c>
      <c r="CJ252" s="88">
        <f t="shared" ref="CJ252:CJ253" si="3946">IF($H252&lt;&gt;CK$5,0,IF(CK252&gt;0,IF(OR($J252=1,$J252=2,$J252=3,$J252=4,$J252=5,$J252=6,$J252=7,$J252=8,$J252=9,$J252=10),$E252*$I252/12*3,IF($J252=11,$E252*$I252/12*2,IF($J252=12,$E252*$I252/12*1,0)))))+IF(CF$5&lt;&gt;$H252,0,IF(CF252&gt;0,IF($J252=10,$E252*$I252/12*0,IF($J252=11,$E252*$I252/12*1,IF($J252=12,$E252*$I252/12*2,0)))))</f>
        <v>0</v>
      </c>
      <c r="CK252" s="85">
        <f t="shared" ref="CK252:CK253" si="3947">IF(AND(CF252&lt;&gt;0,CF$5=$H252),$I252*$E252-CF252,IF(CK$5=$H252,$I252*$E252*(12-$J252+1)/12,0))</f>
        <v>0</v>
      </c>
      <c r="CL252" s="86">
        <f t="shared" ref="CL252:CL253" si="3948">IF($H252&lt;&gt;CP$5,0,IF(CP252&gt;0,IF($J252=1,$E252*$I252/12*3,IF($J252=2,$E252*$I252/12*2,IF($J252=3,$E252*$I252/12*1,0)))))+IF(CK$5&lt;&gt;$H252,0,IF(CK252&gt;0,IF($J252=1,$E252*$I252/12*0,IF($J252=2,$E252*$I252/12*1,IF($J252=3,$E252*$I252/12*2,IF($J252&gt;=4,$E252*$I252/12*3,0))))))</f>
        <v>0</v>
      </c>
      <c r="CM252" s="87">
        <f t="shared" ref="CM252:CM253" si="3949">IF($H252&lt;&gt;CP$5,0,IF(CP252&gt;0,IF(OR($J252=1,$J252=2,$J252=3,$J252=4),$E252*$I252/12*3,IF($J252=5,$E252*$I252/12*2,IF($J252=6,$E252*$I252/12*1,0)))))+IF(CK$5&lt;&gt;$H252,0,IF(CK252&gt;0,IF($J252=4,$E252*$I252/12*0,IF($J252=5,$E252*$I252/12*1,IF($J252=6,$E252*$I252/12*2,IF($J252&gt;=7,$E252*$I252/12*3,0))))))</f>
        <v>0</v>
      </c>
      <c r="CN252" s="87">
        <f t="shared" ref="CN252:CN253" si="3950">IF($H252&lt;&gt;CP$5,0,IF(CP252&gt;0,IF(OR($J252=1,$J252=2,$J252=3,$J252=4,$J252=5,$J252=6,$J252=7),$E252*$I252/12*3,IF($J252=8,$E252*$I252/12*2,IF($J252=9,$E252*$I252/12*1,0)))))+IF(CK$5&lt;&gt;$H252,0,IF(CK252&gt;0,IF($J252=7,$E252*$I252/12*0,IF($J252=8,$E252*$I252/12*1,IF($J252=9,$E252*$I252/12*2,IF($J252&gt;=10,$E252*$I252/12*3,0))))))</f>
        <v>2.0625</v>
      </c>
      <c r="CO252" s="88">
        <f t="shared" ref="CO252:CO253" si="3951">IF($H252&lt;&gt;CP$5,0,IF(CP252&gt;0,IF(OR($J252=1,$J252=2,$J252=3,$J252=4,$J252=5,$J252=6,$J252=7,$J252=8,$J252=9,$J252=10),$E252*$I252/12*3,IF($J252=11,$E252*$I252/12*2,IF($J252=12,$E252*$I252/12*1,0)))))+IF(CK$5&lt;&gt;$H252,0,IF(CK252&gt;0,IF($J252=10,$E252*$I252/12*0,IF($J252=11,$E252*$I252/12*1,IF($J252=12,$E252*$I252/12*2,0)))))</f>
        <v>2.0625</v>
      </c>
      <c r="CP252" s="85">
        <f t="shared" ref="CP252:CP253" si="3952">IF(AND(CK252&lt;&gt;0,CK$5=$H252),$I252*$E252-CK252,IF(CP$5=$H252,$I252*$E252*(12-$J252+1)/12,0))</f>
        <v>4.125</v>
      </c>
      <c r="CQ252" s="86">
        <f t="shared" ref="CQ252:CQ253" si="3953">IF($H252&lt;&gt;CU$5,0,IF(CU252&gt;0,IF($J252=1,$E252*$I252/12*3,IF($J252=2,$E252*$I252/12*2,IF($J252=3,$E252*$I252/12*1,0)))))+IF(CP$5&lt;&gt;$H252,0,IF(CP252&gt;0,IF($J252=1,$E252*$I252/12*0,IF($J252=2,$E252*$I252/12*1,IF($J252=3,$E252*$I252/12*2,IF($J252&gt;=4,$E252*$I252/12*3,0))))))</f>
        <v>2.0625</v>
      </c>
      <c r="CR252" s="87">
        <f t="shared" ref="CR252:CR253" si="3954">IF($H252&lt;&gt;CU$5,0,IF(CU252&gt;0,IF(OR($J252=1,$J252=2,$J252=3,$J252=4),$E252*$I252/12*3,IF($J252=5,$E252*$I252/12*2,IF($J252=6,$E252*$I252/12*1,0)))))+IF(CP$5&lt;&gt;$H252,0,IF(CP252&gt;0,IF($J252=4,$E252*$I252/12*0,IF($J252=5,$E252*$I252/12*1,IF($J252=6,$E252*$I252/12*2,IF($J252&gt;=7,$E252*$I252/12*3,0))))))</f>
        <v>2.0625</v>
      </c>
      <c r="CS252" s="87">
        <f t="shared" ref="CS252:CS253" si="3955">IF($H252&lt;&gt;CU$5,0,IF(CU252&gt;0,IF(OR($J252=1,$J252=2,$J252=3,$J252=4,$J252=5,$J252=6,$J252=7),$E252*$I252/12*3,IF($J252=8,$E252*$I252/12*2,IF($J252=9,$E252*$I252/12*1,0)))))+IF(CP$5&lt;&gt;$H252,0,IF(CP252&gt;0,IF($J252=7,$E252*$I252/12*0,IF($J252=8,$E252*$I252/12*1,IF($J252=9,$E252*$I252/12*2,IF($J252&gt;=10,$E252*$I252/12*3,0))))))</f>
        <v>0</v>
      </c>
      <c r="CT252" s="88">
        <f t="shared" ref="CT252:CT253" si="3956">IF($H252&lt;&gt;CU$5,0,IF(CU252&gt;0,IF(OR($J252=1,$J252=2,$J252=3,$J252=4,$J252=5,$J252=6,$J252=7,$J252=8,$J252=9,$J252=10),$E252*$I252/12*3,IF($J252=11,$E252*$I252/12*2,IF($J252=12,$E252*$I252/12*1,0)))))+IF(CP$5&lt;&gt;$H252,0,IF(CP252&gt;0,IF($J252=10,$E252*$I252/12*0,IF($J252=11,$E252*$I252/12*1,IF($J252=12,$E252*$I252/12*2,0)))))</f>
        <v>0</v>
      </c>
      <c r="CU252" s="85">
        <f t="shared" ref="CU252:CU253" si="3957">IF(AND(CP252&lt;&gt;0,CP$5=$H252),$I252*$E252-CP252,IF(CU$5=$H252,$I252*$E252*(12-$J252+1)/12,0))</f>
        <v>4.125</v>
      </c>
      <c r="CV252" s="86">
        <f t="shared" si="3880"/>
        <v>0</v>
      </c>
      <c r="CW252" s="87">
        <f t="shared" si="3881"/>
        <v>0</v>
      </c>
      <c r="CX252" s="87">
        <f t="shared" si="3882"/>
        <v>0</v>
      </c>
      <c r="CY252" s="88">
        <f t="shared" si="3883"/>
        <v>0</v>
      </c>
      <c r="CZ252" s="85">
        <f t="shared" si="3884"/>
        <v>0</v>
      </c>
    </row>
    <row r="253" spans="1:104" ht="12.75" customHeight="1">
      <c r="A253" s="1817"/>
      <c r="B253" s="1817"/>
      <c r="C253" s="2026" t="s">
        <v>1374</v>
      </c>
      <c r="D253" s="1838"/>
      <c r="E253" s="147">
        <f>Pepco!$BG$127</f>
        <v>215</v>
      </c>
      <c r="F253" s="165"/>
      <c r="G253" s="165"/>
      <c r="H253" s="1516">
        <v>2020</v>
      </c>
      <c r="I253" s="1841">
        <v>0.05</v>
      </c>
      <c r="J253" s="1832">
        <v>7</v>
      </c>
      <c r="L253" s="2001">
        <f t="shared" si="3711"/>
        <v>0</v>
      </c>
      <c r="M253" s="82">
        <f t="shared" si="3885"/>
        <v>0</v>
      </c>
      <c r="N253" s="83">
        <f t="shared" si="3886"/>
        <v>0</v>
      </c>
      <c r="O253" s="83">
        <f t="shared" si="3887"/>
        <v>0</v>
      </c>
      <c r="P253" s="84">
        <f t="shared" si="3888"/>
        <v>0</v>
      </c>
      <c r="Q253" s="81">
        <f t="shared" si="3716"/>
        <v>0</v>
      </c>
      <c r="R253" s="82">
        <f t="shared" si="3889"/>
        <v>0</v>
      </c>
      <c r="S253" s="83">
        <f t="shared" si="3890"/>
        <v>0</v>
      </c>
      <c r="T253" s="83">
        <f t="shared" si="3891"/>
        <v>0</v>
      </c>
      <c r="U253" s="84">
        <f t="shared" si="3892"/>
        <v>0</v>
      </c>
      <c r="V253" s="81">
        <f t="shared" si="3721"/>
        <v>0</v>
      </c>
      <c r="W253" s="82">
        <f t="shared" si="3893"/>
        <v>0</v>
      </c>
      <c r="X253" s="83">
        <f t="shared" si="3894"/>
        <v>0</v>
      </c>
      <c r="Y253" s="83">
        <f t="shared" si="3895"/>
        <v>0</v>
      </c>
      <c r="Z253" s="84">
        <f t="shared" si="3896"/>
        <v>0</v>
      </c>
      <c r="AA253" s="81">
        <f t="shared" si="3726"/>
        <v>0</v>
      </c>
      <c r="AB253" s="82">
        <f t="shared" si="3897"/>
        <v>0</v>
      </c>
      <c r="AC253" s="83">
        <f t="shared" si="3898"/>
        <v>0</v>
      </c>
      <c r="AD253" s="83">
        <f t="shared" si="3899"/>
        <v>0</v>
      </c>
      <c r="AE253" s="84">
        <f t="shared" si="3900"/>
        <v>0</v>
      </c>
      <c r="AF253" s="81">
        <f t="shared" si="3731"/>
        <v>0</v>
      </c>
      <c r="AG253" s="82">
        <f t="shared" si="3901"/>
        <v>0</v>
      </c>
      <c r="AH253" s="83">
        <f t="shared" si="3902"/>
        <v>0</v>
      </c>
      <c r="AI253" s="83">
        <f t="shared" si="3903"/>
        <v>0</v>
      </c>
      <c r="AJ253" s="84">
        <f t="shared" si="3904"/>
        <v>0</v>
      </c>
      <c r="AK253" s="81">
        <f t="shared" si="3736"/>
        <v>0</v>
      </c>
      <c r="AL253" s="82">
        <f t="shared" si="3905"/>
        <v>0</v>
      </c>
      <c r="AM253" s="83">
        <f t="shared" si="3906"/>
        <v>0</v>
      </c>
      <c r="AN253" s="83">
        <f t="shared" si="3907"/>
        <v>0</v>
      </c>
      <c r="AO253" s="84">
        <f t="shared" si="3908"/>
        <v>0</v>
      </c>
      <c r="AP253" s="81">
        <f t="shared" si="3741"/>
        <v>0</v>
      </c>
      <c r="AQ253" s="82">
        <f t="shared" si="3909"/>
        <v>0</v>
      </c>
      <c r="AR253" s="83">
        <f t="shared" si="3910"/>
        <v>0</v>
      </c>
      <c r="AS253" s="83">
        <f t="shared" si="3911"/>
        <v>0</v>
      </c>
      <c r="AT253" s="84">
        <f t="shared" si="3912"/>
        <v>0</v>
      </c>
      <c r="AU253" s="81">
        <f t="shared" si="3746"/>
        <v>0</v>
      </c>
      <c r="AV253" s="82">
        <f t="shared" si="3913"/>
        <v>0</v>
      </c>
      <c r="AW253" s="83">
        <f t="shared" si="3914"/>
        <v>0</v>
      </c>
      <c r="AX253" s="83">
        <f t="shared" si="3915"/>
        <v>215</v>
      </c>
      <c r="AY253" s="84">
        <f t="shared" si="3916"/>
        <v>0</v>
      </c>
      <c r="AZ253" s="81">
        <f t="shared" si="3751"/>
        <v>215</v>
      </c>
      <c r="BA253" s="82">
        <f t="shared" si="3835"/>
        <v>0</v>
      </c>
      <c r="BB253" s="83">
        <f t="shared" si="3836"/>
        <v>0</v>
      </c>
      <c r="BC253" s="83">
        <f t="shared" si="3837"/>
        <v>0</v>
      </c>
      <c r="BD253" s="84">
        <f t="shared" si="3838"/>
        <v>0</v>
      </c>
      <c r="BE253" s="81">
        <f t="shared" si="3756"/>
        <v>0</v>
      </c>
      <c r="BF253" s="1884"/>
      <c r="BG253" s="2005">
        <f t="shared" si="3917"/>
        <v>0</v>
      </c>
      <c r="BH253" s="86">
        <f t="shared" si="3918"/>
        <v>0</v>
      </c>
      <c r="BI253" s="87">
        <f t="shared" si="3919"/>
        <v>0</v>
      </c>
      <c r="BJ253" s="87">
        <f t="shared" si="3920"/>
        <v>0</v>
      </c>
      <c r="BK253" s="88">
        <f t="shared" si="3921"/>
        <v>0</v>
      </c>
      <c r="BL253" s="85">
        <f t="shared" si="3922"/>
        <v>0</v>
      </c>
      <c r="BM253" s="86">
        <f t="shared" si="3923"/>
        <v>0</v>
      </c>
      <c r="BN253" s="87">
        <f t="shared" si="3924"/>
        <v>0</v>
      </c>
      <c r="BO253" s="87">
        <f t="shared" si="3925"/>
        <v>0</v>
      </c>
      <c r="BP253" s="88">
        <f t="shared" si="3926"/>
        <v>0</v>
      </c>
      <c r="BQ253" s="85">
        <f t="shared" si="3927"/>
        <v>0</v>
      </c>
      <c r="BR253" s="86">
        <f t="shared" si="3928"/>
        <v>0</v>
      </c>
      <c r="BS253" s="87">
        <f t="shared" si="3929"/>
        <v>0</v>
      </c>
      <c r="BT253" s="87">
        <f t="shared" si="3930"/>
        <v>0</v>
      </c>
      <c r="BU253" s="88">
        <f t="shared" si="3931"/>
        <v>0</v>
      </c>
      <c r="BV253" s="85">
        <f t="shared" si="3932"/>
        <v>0</v>
      </c>
      <c r="BW253" s="86">
        <f t="shared" si="3933"/>
        <v>0</v>
      </c>
      <c r="BX253" s="87">
        <f t="shared" si="3934"/>
        <v>0</v>
      </c>
      <c r="BY253" s="87">
        <f t="shared" si="3935"/>
        <v>0</v>
      </c>
      <c r="BZ253" s="88">
        <f t="shared" si="3936"/>
        <v>0</v>
      </c>
      <c r="CA253" s="85">
        <f t="shared" si="3937"/>
        <v>0</v>
      </c>
      <c r="CB253" s="86">
        <f t="shared" si="3938"/>
        <v>0</v>
      </c>
      <c r="CC253" s="87">
        <f t="shared" si="3939"/>
        <v>0</v>
      </c>
      <c r="CD253" s="87">
        <f t="shared" si="3940"/>
        <v>0</v>
      </c>
      <c r="CE253" s="88">
        <f t="shared" si="3941"/>
        <v>0</v>
      </c>
      <c r="CF253" s="85">
        <f t="shared" si="3942"/>
        <v>0</v>
      </c>
      <c r="CG253" s="86">
        <f t="shared" si="3943"/>
        <v>0</v>
      </c>
      <c r="CH253" s="87">
        <f t="shared" si="3944"/>
        <v>0</v>
      </c>
      <c r="CI253" s="87">
        <f t="shared" si="3945"/>
        <v>0</v>
      </c>
      <c r="CJ253" s="88">
        <f t="shared" si="3946"/>
        <v>0</v>
      </c>
      <c r="CK253" s="85">
        <f t="shared" si="3947"/>
        <v>0</v>
      </c>
      <c r="CL253" s="86">
        <f t="shared" si="3948"/>
        <v>0</v>
      </c>
      <c r="CM253" s="87">
        <f t="shared" si="3949"/>
        <v>0</v>
      </c>
      <c r="CN253" s="87">
        <f t="shared" si="3950"/>
        <v>0</v>
      </c>
      <c r="CO253" s="88">
        <f t="shared" si="3951"/>
        <v>0</v>
      </c>
      <c r="CP253" s="85">
        <f t="shared" si="3952"/>
        <v>0</v>
      </c>
      <c r="CQ253" s="86">
        <f t="shared" si="3953"/>
        <v>0</v>
      </c>
      <c r="CR253" s="87">
        <f t="shared" si="3954"/>
        <v>0</v>
      </c>
      <c r="CS253" s="87">
        <f t="shared" si="3955"/>
        <v>2.6875</v>
      </c>
      <c r="CT253" s="88">
        <f t="shared" si="3956"/>
        <v>2.6875</v>
      </c>
      <c r="CU253" s="85">
        <f t="shared" si="3957"/>
        <v>5.375</v>
      </c>
      <c r="CV253" s="86">
        <f t="shared" si="3880"/>
        <v>2.6875</v>
      </c>
      <c r="CW253" s="87">
        <f t="shared" si="3881"/>
        <v>2.6875</v>
      </c>
      <c r="CX253" s="87">
        <f t="shared" si="3882"/>
        <v>0</v>
      </c>
      <c r="CY253" s="88">
        <f t="shared" si="3883"/>
        <v>0</v>
      </c>
      <c r="CZ253" s="85">
        <f t="shared" si="3884"/>
        <v>5.375</v>
      </c>
    </row>
    <row r="254" spans="1:104" ht="12.75" customHeight="1">
      <c r="A254" s="1817"/>
      <c r="B254" s="1817"/>
      <c r="C254" s="2026" t="s">
        <v>1522</v>
      </c>
      <c r="D254" s="1838"/>
      <c r="E254" s="147">
        <f>Pepco!$BL$127</f>
        <v>240</v>
      </c>
      <c r="F254" s="165"/>
      <c r="G254" s="165"/>
      <c r="H254" s="1516">
        <v>2021</v>
      </c>
      <c r="I254" s="1841">
        <v>0.05</v>
      </c>
      <c r="J254" s="1832">
        <v>7</v>
      </c>
      <c r="L254" s="2001">
        <f t="shared" si="3711"/>
        <v>0</v>
      </c>
      <c r="M254" s="82">
        <f t="shared" ref="M254" si="3958">IF(Q254=0,0,IF(Q254&gt;0,IF($J254=3,Q254,IF($J254=2,Q254,IF($J254=1,Q254,0)))))</f>
        <v>0</v>
      </c>
      <c r="N254" s="83">
        <f t="shared" ref="N254" si="3959">IF(Q254=0,0,IF(Q254&gt;0,IF($J254=6,Q254,IF($J254=5,Q254,IF($J254=4,Q254,0)))))</f>
        <v>0</v>
      </c>
      <c r="O254" s="83">
        <f t="shared" ref="O254" si="3960">IF(Q254=0,0,IF(Q254&gt;0,IF($J254=9,Q254,IF($J254=8,Q254,IF($J254=7,Q254,0)))))</f>
        <v>0</v>
      </c>
      <c r="P254" s="84">
        <f t="shared" ref="P254" si="3961">IF(Q254=0,0,IF(Q254&gt;0,IF($J254=12,Q254,IF($J254=11,Q254,IF($J254=10,Q254,0)))))</f>
        <v>0</v>
      </c>
      <c r="Q254" s="81">
        <f t="shared" si="3716"/>
        <v>0</v>
      </c>
      <c r="R254" s="82">
        <f t="shared" ref="R254" si="3962">IF(V254=0,0,IF(V254&gt;0,IF($J254=3,V254,IF($J254=2,V254,IF($J254=1,V254,0)))))</f>
        <v>0</v>
      </c>
      <c r="S254" s="83">
        <f t="shared" ref="S254" si="3963">IF(V254=0,0,IF(V254&gt;0,IF($J254=6,V254,IF($J254=5,V254,IF($J254=4,V254,0)))))</f>
        <v>0</v>
      </c>
      <c r="T254" s="83">
        <f t="shared" ref="T254" si="3964">IF(V254=0,0,IF(V254&gt;0,IF($J254=9,V254,IF($J254=8,V254,IF($J254=7,V254,0)))))</f>
        <v>0</v>
      </c>
      <c r="U254" s="84">
        <f t="shared" ref="U254" si="3965">IF(V254=0,0,IF(V254&gt;0,IF($J254=12,V254,IF($J254=11,V254,IF($J254=10,V254,0)))))</f>
        <v>0</v>
      </c>
      <c r="V254" s="81">
        <f t="shared" si="3721"/>
        <v>0</v>
      </c>
      <c r="W254" s="82">
        <f t="shared" ref="W254" si="3966">IF(AA254=0,0,IF(AA254&gt;0,IF($J254=3,AA254,IF($J254=2,AA254,IF($J254=1,AA254,0)))))</f>
        <v>0</v>
      </c>
      <c r="X254" s="83">
        <f t="shared" ref="X254" si="3967">IF(AA254=0,0,IF(AA254&gt;0,IF($J254=6,AA254,IF($J254=5,AA254,IF($J254=4,AA254,0)))))</f>
        <v>0</v>
      </c>
      <c r="Y254" s="83">
        <f t="shared" ref="Y254" si="3968">IF(AA254=0,0,IF(AA254&gt;0,IF($J254=9,AA254,IF($J254=8,AA254,IF($J254=7,AA254,0)))))</f>
        <v>0</v>
      </c>
      <c r="Z254" s="84">
        <f t="shared" ref="Z254" si="3969">IF(AA254=0,0,IF(AA254&gt;0,IF($J254=12,AA254,IF($J254=11,AA254,IF($J254=10,AA254,0)))))</f>
        <v>0</v>
      </c>
      <c r="AA254" s="81">
        <f t="shared" si="3726"/>
        <v>0</v>
      </c>
      <c r="AB254" s="82">
        <f t="shared" ref="AB254" si="3970">IF(AF254=0,0,IF(AF254&gt;0,IF($J254=3,AF254,IF($J254=2,AF254,IF($J254=1,AF254,0)))))</f>
        <v>0</v>
      </c>
      <c r="AC254" s="83">
        <f t="shared" ref="AC254" si="3971">IF(AF254=0,0,IF(AF254&gt;0,IF($J254=6,AF254,IF($J254=5,AF254,IF($J254=4,AF254,0)))))</f>
        <v>0</v>
      </c>
      <c r="AD254" s="83">
        <f t="shared" ref="AD254" si="3972">IF(AF254=0,0,IF(AF254&gt;0,IF($J254=9,AF254,IF($J254=8,AF254,IF($J254=7,AF254,0)))))</f>
        <v>0</v>
      </c>
      <c r="AE254" s="84">
        <f t="shared" ref="AE254" si="3973">IF(AF254=0,0,IF(AF254&gt;0,IF($J254=12,AF254,IF($J254=11,AF254,IF($J254=10,AF254,0)))))</f>
        <v>0</v>
      </c>
      <c r="AF254" s="81">
        <f t="shared" si="3731"/>
        <v>0</v>
      </c>
      <c r="AG254" s="82">
        <f t="shared" ref="AG254" si="3974">IF(AK254=0,0,IF(AK254&gt;0,IF($J254=3,AK254,IF($J254=2,AK254,IF($J254=1,AK254,0)))))</f>
        <v>0</v>
      </c>
      <c r="AH254" s="83">
        <f t="shared" ref="AH254" si="3975">IF(AK254=0,0,IF(AK254&gt;0,IF($J254=6,AK254,IF($J254=5,AK254,IF($J254=4,AK254,0)))))</f>
        <v>0</v>
      </c>
      <c r="AI254" s="83">
        <f t="shared" ref="AI254" si="3976">IF(AK254=0,0,IF(AK254&gt;0,IF($J254=9,AK254,IF($J254=8,AK254,IF($J254=7,AK254,0)))))</f>
        <v>0</v>
      </c>
      <c r="AJ254" s="84">
        <f t="shared" ref="AJ254" si="3977">IF(AK254=0,0,IF(AK254&gt;0,IF($J254=12,AK254,IF($J254=11,AK254,IF($J254=10,AK254,0)))))</f>
        <v>0</v>
      </c>
      <c r="AK254" s="81">
        <f t="shared" si="3736"/>
        <v>0</v>
      </c>
      <c r="AL254" s="82">
        <f t="shared" ref="AL254" si="3978">IF(AP254=0,0,IF(AP254&gt;0,IF($J254=3,AP254,IF($J254=2,AP254,IF($J254=1,AP254,0)))))</f>
        <v>0</v>
      </c>
      <c r="AM254" s="83">
        <f t="shared" ref="AM254" si="3979">IF(AP254=0,0,IF(AP254&gt;0,IF($J254=6,AP254,IF($J254=5,AP254,IF($J254=4,AP254,0)))))</f>
        <v>0</v>
      </c>
      <c r="AN254" s="83">
        <f t="shared" ref="AN254" si="3980">IF(AP254=0,0,IF(AP254&gt;0,IF($J254=9,AP254,IF($J254=8,AP254,IF($J254=7,AP254,0)))))</f>
        <v>0</v>
      </c>
      <c r="AO254" s="84">
        <f t="shared" ref="AO254" si="3981">IF(AP254=0,0,IF(AP254&gt;0,IF($J254=12,AP254,IF($J254=11,AP254,IF($J254=10,AP254,0)))))</f>
        <v>0</v>
      </c>
      <c r="AP254" s="81">
        <f t="shared" si="3741"/>
        <v>0</v>
      </c>
      <c r="AQ254" s="82">
        <f t="shared" ref="AQ254" si="3982">IF(AU254=0,0,IF(AU254&gt;0,IF($J254=3,AU254,IF($J254=2,AU254,IF($J254=1,AU254,0)))))</f>
        <v>0</v>
      </c>
      <c r="AR254" s="83">
        <f t="shared" ref="AR254" si="3983">IF(AU254=0,0,IF(AU254&gt;0,IF($J254=6,AU254,IF($J254=5,AU254,IF($J254=4,AU254,0)))))</f>
        <v>0</v>
      </c>
      <c r="AS254" s="83">
        <f t="shared" ref="AS254" si="3984">IF(AU254=0,0,IF(AU254&gt;0,IF($J254=9,AU254,IF($J254=8,AU254,IF($J254=7,AU254,0)))))</f>
        <v>0</v>
      </c>
      <c r="AT254" s="84">
        <f t="shared" ref="AT254" si="3985">IF(AU254=0,0,IF(AU254&gt;0,IF($J254=12,AU254,IF($J254=11,AU254,IF($J254=10,AU254,0)))))</f>
        <v>0</v>
      </c>
      <c r="AU254" s="81">
        <f t="shared" si="3746"/>
        <v>0</v>
      </c>
      <c r="AV254" s="82">
        <f t="shared" ref="AV254" si="3986">IF(AZ254=0,0,IF(AZ254&gt;0,IF($J254=3,AZ254,IF($J254=2,AZ254,IF($J254=1,AZ254,0)))))</f>
        <v>0</v>
      </c>
      <c r="AW254" s="83">
        <f t="shared" ref="AW254" si="3987">IF(AZ254=0,0,IF(AZ254&gt;0,IF($J254=6,AZ254,IF($J254=5,AZ254,IF($J254=4,AZ254,0)))))</f>
        <v>0</v>
      </c>
      <c r="AX254" s="83">
        <f t="shared" ref="AX254" si="3988">IF(AZ254=0,0,IF(AZ254&gt;0,IF($J254=9,AZ254,IF($J254=8,AZ254,IF($J254=7,AZ254,0)))))</f>
        <v>0</v>
      </c>
      <c r="AY254" s="84">
        <f t="shared" ref="AY254" si="3989">IF(AZ254=0,0,IF(AZ254&gt;0,IF($J254=12,AZ254,IF($J254=11,AZ254,IF($J254=10,AZ254,0)))))</f>
        <v>0</v>
      </c>
      <c r="AZ254" s="81">
        <f t="shared" si="3751"/>
        <v>0</v>
      </c>
      <c r="BA254" s="82">
        <f t="shared" si="3835"/>
        <v>0</v>
      </c>
      <c r="BB254" s="83">
        <f t="shared" si="3836"/>
        <v>0</v>
      </c>
      <c r="BC254" s="83">
        <f t="shared" si="3837"/>
        <v>240</v>
      </c>
      <c r="BD254" s="84">
        <f t="shared" si="3838"/>
        <v>0</v>
      </c>
      <c r="BE254" s="81">
        <f t="shared" si="3756"/>
        <v>240</v>
      </c>
      <c r="BF254" s="1884"/>
      <c r="BG254" s="2005">
        <f t="shared" ref="BG254" si="3990">IF(AND(BF254&lt;&gt;0,BF$5=$H254),$I254*$E254-BF254,IF(BG$5=$H254,$I254*$E254*(12-$J254+1)/12,0))</f>
        <v>0</v>
      </c>
      <c r="BH254" s="86">
        <f t="shared" ref="BH254" si="3991">IF($H254&lt;&gt;BL$5,0,IF(BL254&gt;0,IF($J254=1,$E254*$I254/12*3,IF($J254=2,$E254*$I254/12*2,IF($J254=3,$E254*$I254/12*1,0)))))+IF(BG$5&lt;&gt;$H254,0,IF(BG254&gt;0,IF($J254=1,$E254*$I254/12*0,IF($J254=2,$E254*$I254/12*1,IF($J254=3,$E254*$I254/12*2,IF($J254&gt;=4,$E254*$I254/12*3,0))))))</f>
        <v>0</v>
      </c>
      <c r="BI254" s="87">
        <f t="shared" ref="BI254" si="3992">IF($H254&lt;&gt;BL$5,0,IF(BL254&gt;0,IF(OR($J254=1,$J254=2,$J254=3,$J254=4),$E254*$I254/12*3,IF($J254=5,$E254*$I254/12*2,IF($J254=6,$E254*$I254/12*1,0)))))+IF(BG$5&lt;&gt;$H254,0,IF(BG254&gt;0,IF($J254=4,$E254*$I254/12*0,IF($J254=5,$E254*$I254/12*1,IF($J254=6,$E254*$I254/12*2,IF($J254&gt;=7,$E254*$I254/12*3,0))))))</f>
        <v>0</v>
      </c>
      <c r="BJ254" s="87">
        <f t="shared" ref="BJ254" si="3993">IF($H254&lt;&gt;BL$5,0,IF(BL254&gt;0,IF(OR($J254=1,$J254=2,$J254=3,$J254=4,$J254=5,$J254=6,$J254=7),$E254*$I254/12*3,IF($J254=8,$E254*$I254/12*2,IF($J254=9,$E254*$I254/12*1,0)))))+IF(BG$5&lt;&gt;$H254,0,IF(BG254&gt;0,IF($J254=7,$E254*$I254/12*0,IF($J254=8,$E254*$I254/12*1,IF($J254=9,$E254*$I254/12*2,IF($J254&gt;=10,$E254*$I254/12*3,0))))))</f>
        <v>0</v>
      </c>
      <c r="BK254" s="88">
        <f t="shared" ref="BK254" si="3994">IF($H254&lt;&gt;BL$5,0,IF(BL254&gt;0,IF(OR($J254=1,$J254=2,$J254=3,$J254=4,$J254=5,$J254=6,$J254=7,$J254=8,$J254=9,$J254=10),$E254*$I254/12*3,IF($J254=11,$E254*$I254/12*2,IF($J254=12,$E254*$I254/12*1,0)))))+IF(BG$5&lt;&gt;$H254,0,IF(BG254&gt;0,IF($J254=10,$E254*$I254/12*0,IF($J254=11,$E254*$I254/12*1,IF($J254=12,$E254*$I254/12*2,0)))))</f>
        <v>0</v>
      </c>
      <c r="BL254" s="85">
        <f t="shared" ref="BL254" si="3995">IF(AND(BG254&lt;&gt;0,BG$5=$H254),$I254*$E254-BG254,IF(BL$5=$H254,$I254*$E254*(12-$J254+1)/12,0))</f>
        <v>0</v>
      </c>
      <c r="BM254" s="86">
        <f t="shared" ref="BM254" si="3996">IF($H254&lt;&gt;BQ$5,0,IF(BQ254&gt;0,IF($J254=1,$E254*$I254/12*3,IF($J254=2,$E254*$I254/12*2,IF($J254=3,$E254*$I254/12*1,0)))))+IF(BL$5&lt;&gt;$H254,0,IF(BL254&gt;0,IF($J254=1,$E254*$I254/12*0,IF($J254=2,$E254*$I254/12*1,IF($J254=3,$E254*$I254/12*2,IF($J254&gt;=4,$E254*$I254/12*3,0))))))</f>
        <v>0</v>
      </c>
      <c r="BN254" s="87">
        <f t="shared" ref="BN254" si="3997">IF($H254&lt;&gt;BQ$5,0,IF(BQ254&gt;0,IF(OR($J254=1,$J254=2,$J254=3,$J254=4),$E254*$I254/12*3,IF($J254=5,$E254*$I254/12*2,IF($J254=6,$E254*$I254/12*1,0)))))+IF(BL$5&lt;&gt;$H254,0,IF(BL254&gt;0,IF($J254=4,$E254*$I254/12*0,IF($J254=5,$E254*$I254/12*1,IF($J254=6,$E254*$I254/12*2,IF($J254&gt;=7,$E254*$I254/12*3,0))))))</f>
        <v>0</v>
      </c>
      <c r="BO254" s="87">
        <f t="shared" ref="BO254" si="3998">IF($H254&lt;&gt;BQ$5,0,IF(BQ254&gt;0,IF(OR($J254=1,$J254=2,$J254=3,$J254=4,$J254=5,$J254=6,$J254=7),$E254*$I254/12*3,IF($J254=8,$E254*$I254/12*2,IF($J254=9,$E254*$I254/12*1,0)))))+IF(BL$5&lt;&gt;$H254,0,IF(BL254&gt;0,IF($J254=7,$E254*$I254/12*0,IF($J254=8,$E254*$I254/12*1,IF($J254=9,$E254*$I254/12*2,IF($J254&gt;=10,$E254*$I254/12*3,0))))))</f>
        <v>0</v>
      </c>
      <c r="BP254" s="88">
        <f t="shared" ref="BP254" si="3999">IF($H254&lt;&gt;BQ$5,0,IF(BQ254&gt;0,IF(OR($J254=1,$J254=2,$J254=3,$J254=4,$J254=5,$J254=6,$J254=7,$J254=8,$J254=9,$J254=10),$E254*$I254/12*3,IF($J254=11,$E254*$I254/12*2,IF($J254=12,$E254*$I254/12*1,0)))))+IF(BL$5&lt;&gt;$H254,0,IF(BL254&gt;0,IF($J254=10,$E254*$I254/12*0,IF($J254=11,$E254*$I254/12*1,IF($J254=12,$E254*$I254/12*2,0)))))</f>
        <v>0</v>
      </c>
      <c r="BQ254" s="85">
        <f t="shared" ref="BQ254" si="4000">IF(AND(BL254&lt;&gt;0,BL$5=$H254),$I254*$E254-BL254,IF(BQ$5=$H254,$I254*$E254*(12-$J254+1)/12,0))</f>
        <v>0</v>
      </c>
      <c r="BR254" s="86">
        <f t="shared" ref="BR254" si="4001">IF($H254&lt;&gt;BV$5,0,IF(BV254&gt;0,IF($J254=1,$E254*$I254/12*3,IF($J254=2,$E254*$I254/12*2,IF($J254=3,$E254*$I254/12*1,0)))))+IF(BQ$5&lt;&gt;$H254,0,IF(BQ254&gt;0,IF($J254=1,$E254*$I254/12*0,IF($J254=2,$E254*$I254/12*1,IF($J254=3,$E254*$I254/12*2,IF($J254&gt;=4,$E254*$I254/12*3,0))))))</f>
        <v>0</v>
      </c>
      <c r="BS254" s="87">
        <f t="shared" ref="BS254" si="4002">IF($H254&lt;&gt;BV$5,0,IF(BV254&gt;0,IF(OR($J254=1,$J254=2,$J254=3,$J254=4),$E254*$I254/12*3,IF($J254=5,$E254*$I254/12*2,IF($J254=6,$E254*$I254/12*1,0)))))+IF(BQ$5&lt;&gt;$H254,0,IF(BQ254&gt;0,IF($J254=4,$E254*$I254/12*0,IF($J254=5,$E254*$I254/12*1,IF($J254=6,$E254*$I254/12*2,IF($J254&gt;=7,$E254*$I254/12*3,0))))))</f>
        <v>0</v>
      </c>
      <c r="BT254" s="87">
        <f t="shared" ref="BT254" si="4003">IF($H254&lt;&gt;BV$5,0,IF(BV254&gt;0,IF(OR($J254=1,$J254=2,$J254=3,$J254=4,$J254=5,$J254=6,$J254=7),$E254*$I254/12*3,IF($J254=8,$E254*$I254/12*2,IF($J254=9,$E254*$I254/12*1,0)))))+IF(BQ$5&lt;&gt;$H254,0,IF(BQ254&gt;0,IF($J254=7,$E254*$I254/12*0,IF($J254=8,$E254*$I254/12*1,IF($J254=9,$E254*$I254/12*2,IF($J254&gt;=10,$E254*$I254/12*3,0))))))</f>
        <v>0</v>
      </c>
      <c r="BU254" s="88">
        <f t="shared" ref="BU254" si="4004">IF($H254&lt;&gt;BV$5,0,IF(BV254&gt;0,IF(OR($J254=1,$J254=2,$J254=3,$J254=4,$J254=5,$J254=6,$J254=7,$J254=8,$J254=9,$J254=10),$E254*$I254/12*3,IF($J254=11,$E254*$I254/12*2,IF($J254=12,$E254*$I254/12*1,0)))))+IF(BQ$5&lt;&gt;$H254,0,IF(BQ254&gt;0,IF($J254=10,$E254*$I254/12*0,IF($J254=11,$E254*$I254/12*1,IF($J254=12,$E254*$I254/12*2,0)))))</f>
        <v>0</v>
      </c>
      <c r="BV254" s="85">
        <f t="shared" ref="BV254" si="4005">IF(AND(BQ254&lt;&gt;0,BQ$5=$H254),$I254*$E254-BQ254,IF(BV$5=$H254,$I254*$E254*(12-$J254+1)/12,0))</f>
        <v>0</v>
      </c>
      <c r="BW254" s="86">
        <f t="shared" ref="BW254" si="4006">IF($H254&lt;&gt;CA$5,0,IF(CA254&gt;0,IF($J254=1,$E254*$I254/12*3,IF($J254=2,$E254*$I254/12*2,IF($J254=3,$E254*$I254/12*1,0)))))+IF(BV$5&lt;&gt;$H254,0,IF(BV254&gt;0,IF($J254=1,$E254*$I254/12*0,IF($J254=2,$E254*$I254/12*1,IF($J254=3,$E254*$I254/12*2,IF($J254&gt;=4,$E254*$I254/12*3,0))))))</f>
        <v>0</v>
      </c>
      <c r="BX254" s="87">
        <f t="shared" ref="BX254" si="4007">IF($H254&lt;&gt;CA$5,0,IF(CA254&gt;0,IF(OR($J254=1,$J254=2,$J254=3,$J254=4),$E254*$I254/12*3,IF($J254=5,$E254*$I254/12*2,IF($J254=6,$E254*$I254/12*1,0)))))+IF(BV$5&lt;&gt;$H254,0,IF(BV254&gt;0,IF($J254=4,$E254*$I254/12*0,IF($J254=5,$E254*$I254/12*1,IF($J254=6,$E254*$I254/12*2,IF($J254&gt;=7,$E254*$I254/12*3,0))))))</f>
        <v>0</v>
      </c>
      <c r="BY254" s="87">
        <f t="shared" ref="BY254" si="4008">IF($H254&lt;&gt;CA$5,0,IF(CA254&gt;0,IF(OR($J254=1,$J254=2,$J254=3,$J254=4,$J254=5,$J254=6,$J254=7),$E254*$I254/12*3,IF($J254=8,$E254*$I254/12*2,IF($J254=9,$E254*$I254/12*1,0)))))+IF(BV$5&lt;&gt;$H254,0,IF(BV254&gt;0,IF($J254=7,$E254*$I254/12*0,IF($J254=8,$E254*$I254/12*1,IF($J254=9,$E254*$I254/12*2,IF($J254&gt;=10,$E254*$I254/12*3,0))))))</f>
        <v>0</v>
      </c>
      <c r="BZ254" s="88">
        <f t="shared" ref="BZ254" si="4009">IF($H254&lt;&gt;CA$5,0,IF(CA254&gt;0,IF(OR($J254=1,$J254=2,$J254=3,$J254=4,$J254=5,$J254=6,$J254=7,$J254=8,$J254=9,$J254=10),$E254*$I254/12*3,IF($J254=11,$E254*$I254/12*2,IF($J254=12,$E254*$I254/12*1,0)))))+IF(BV$5&lt;&gt;$H254,0,IF(BV254&gt;0,IF($J254=10,$E254*$I254/12*0,IF($J254=11,$E254*$I254/12*1,IF($J254=12,$E254*$I254/12*2,0)))))</f>
        <v>0</v>
      </c>
      <c r="CA254" s="85">
        <f t="shared" ref="CA254" si="4010">IF(AND(BV254&lt;&gt;0,BV$5=$H254),$I254*$E254-BV254,IF(CA$5=$H254,$I254*$E254*(12-$J254+1)/12,0))</f>
        <v>0</v>
      </c>
      <c r="CB254" s="86">
        <f t="shared" ref="CB254" si="4011">IF($H254&lt;&gt;CF$5,0,IF(CF254&gt;0,IF($J254=1,$E254*$I254/12*3,IF($J254=2,$E254*$I254/12*2,IF($J254=3,$E254*$I254/12*1,0)))))+IF(CA$5&lt;&gt;$H254,0,IF(CA254&gt;0,IF($J254=1,$E254*$I254/12*0,IF($J254=2,$E254*$I254/12*1,IF($J254=3,$E254*$I254/12*2,IF($J254&gt;=4,$E254*$I254/12*3,0))))))</f>
        <v>0</v>
      </c>
      <c r="CC254" s="87">
        <f t="shared" ref="CC254" si="4012">IF($H254&lt;&gt;CF$5,0,IF(CF254&gt;0,IF(OR($J254=1,$J254=2,$J254=3,$J254=4),$E254*$I254/12*3,IF($J254=5,$E254*$I254/12*2,IF($J254=6,$E254*$I254/12*1,0)))))+IF(CA$5&lt;&gt;$H254,0,IF(CA254&gt;0,IF($J254=4,$E254*$I254/12*0,IF($J254=5,$E254*$I254/12*1,IF($J254=6,$E254*$I254/12*2,IF($J254&gt;=7,$E254*$I254/12*3,0))))))</f>
        <v>0</v>
      </c>
      <c r="CD254" s="87">
        <f t="shared" ref="CD254" si="4013">IF($H254&lt;&gt;CF$5,0,IF(CF254&gt;0,IF(OR($J254=1,$J254=2,$J254=3,$J254=4,$J254=5,$J254=6,$J254=7),$E254*$I254/12*3,IF($J254=8,$E254*$I254/12*2,IF($J254=9,$E254*$I254/12*1,0)))))+IF(CA$5&lt;&gt;$H254,0,IF(CA254&gt;0,IF($J254=7,$E254*$I254/12*0,IF($J254=8,$E254*$I254/12*1,IF($J254=9,$E254*$I254/12*2,IF($J254&gt;=10,$E254*$I254/12*3,0))))))</f>
        <v>0</v>
      </c>
      <c r="CE254" s="88">
        <f t="shared" ref="CE254" si="4014">IF($H254&lt;&gt;CF$5,0,IF(CF254&gt;0,IF(OR($J254=1,$J254=2,$J254=3,$J254=4,$J254=5,$J254=6,$J254=7,$J254=8,$J254=9,$J254=10),$E254*$I254/12*3,IF($J254=11,$E254*$I254/12*2,IF($J254=12,$E254*$I254/12*1,0)))))+IF(CA$5&lt;&gt;$H254,0,IF(CA254&gt;0,IF($J254=10,$E254*$I254/12*0,IF($J254=11,$E254*$I254/12*1,IF($J254=12,$E254*$I254/12*2,0)))))</f>
        <v>0</v>
      </c>
      <c r="CF254" s="85">
        <f t="shared" ref="CF254" si="4015">IF(AND(CA254&lt;&gt;0,CA$5=$H254),$I254*$E254-CA254,IF(CF$5=$H254,$I254*$E254*(12-$J254+1)/12,0))</f>
        <v>0</v>
      </c>
      <c r="CG254" s="86">
        <f t="shared" ref="CG254" si="4016">IF($H254&lt;&gt;CK$5,0,IF(CK254&gt;0,IF($J254=1,$E254*$I254/12*3,IF($J254=2,$E254*$I254/12*2,IF($J254=3,$E254*$I254/12*1,0)))))+IF(CF$5&lt;&gt;$H254,0,IF(CF254&gt;0,IF($J254=1,$E254*$I254/12*0,IF($J254=2,$E254*$I254/12*1,IF($J254=3,$E254*$I254/12*2,IF($J254&gt;=4,$E254*$I254/12*3,0))))))</f>
        <v>0</v>
      </c>
      <c r="CH254" s="87">
        <f t="shared" ref="CH254" si="4017">IF($H254&lt;&gt;CK$5,0,IF(CK254&gt;0,IF(OR($J254=1,$J254=2,$J254=3,$J254=4),$E254*$I254/12*3,IF($J254=5,$E254*$I254/12*2,IF($J254=6,$E254*$I254/12*1,0)))))+IF(CF$5&lt;&gt;$H254,0,IF(CF254&gt;0,IF($J254=4,$E254*$I254/12*0,IF($J254=5,$E254*$I254/12*1,IF($J254=6,$E254*$I254/12*2,IF($J254&gt;=7,$E254*$I254/12*3,0))))))</f>
        <v>0</v>
      </c>
      <c r="CI254" s="87">
        <f t="shared" ref="CI254" si="4018">IF($H254&lt;&gt;CK$5,0,IF(CK254&gt;0,IF(OR($J254=1,$J254=2,$J254=3,$J254=4,$J254=5,$J254=6,$J254=7),$E254*$I254/12*3,IF($J254=8,$E254*$I254/12*2,IF($J254=9,$E254*$I254/12*1,0)))))+IF(CF$5&lt;&gt;$H254,0,IF(CF254&gt;0,IF($J254=7,$E254*$I254/12*0,IF($J254=8,$E254*$I254/12*1,IF($J254=9,$E254*$I254/12*2,IF($J254&gt;=10,$E254*$I254/12*3,0))))))</f>
        <v>0</v>
      </c>
      <c r="CJ254" s="88">
        <f t="shared" ref="CJ254" si="4019">IF($H254&lt;&gt;CK$5,0,IF(CK254&gt;0,IF(OR($J254=1,$J254=2,$J254=3,$J254=4,$J254=5,$J254=6,$J254=7,$J254=8,$J254=9,$J254=10),$E254*$I254/12*3,IF($J254=11,$E254*$I254/12*2,IF($J254=12,$E254*$I254/12*1,0)))))+IF(CF$5&lt;&gt;$H254,0,IF(CF254&gt;0,IF($J254=10,$E254*$I254/12*0,IF($J254=11,$E254*$I254/12*1,IF($J254=12,$E254*$I254/12*2,0)))))</f>
        <v>0</v>
      </c>
      <c r="CK254" s="85">
        <f t="shared" ref="CK254" si="4020">IF(AND(CF254&lt;&gt;0,CF$5=$H254),$I254*$E254-CF254,IF(CK$5=$H254,$I254*$E254*(12-$J254+1)/12,0))</f>
        <v>0</v>
      </c>
      <c r="CL254" s="86">
        <f t="shared" ref="CL254" si="4021">IF($H254&lt;&gt;CP$5,0,IF(CP254&gt;0,IF($J254=1,$E254*$I254/12*3,IF($J254=2,$E254*$I254/12*2,IF($J254=3,$E254*$I254/12*1,0)))))+IF(CK$5&lt;&gt;$H254,0,IF(CK254&gt;0,IF($J254=1,$E254*$I254/12*0,IF($J254=2,$E254*$I254/12*1,IF($J254=3,$E254*$I254/12*2,IF($J254&gt;=4,$E254*$I254/12*3,0))))))</f>
        <v>0</v>
      </c>
      <c r="CM254" s="87">
        <f t="shared" ref="CM254" si="4022">IF($H254&lt;&gt;CP$5,0,IF(CP254&gt;0,IF(OR($J254=1,$J254=2,$J254=3,$J254=4),$E254*$I254/12*3,IF($J254=5,$E254*$I254/12*2,IF($J254=6,$E254*$I254/12*1,0)))))+IF(CK$5&lt;&gt;$H254,0,IF(CK254&gt;0,IF($J254=4,$E254*$I254/12*0,IF($J254=5,$E254*$I254/12*1,IF($J254=6,$E254*$I254/12*2,IF($J254&gt;=7,$E254*$I254/12*3,0))))))</f>
        <v>0</v>
      </c>
      <c r="CN254" s="87">
        <f t="shared" ref="CN254" si="4023">IF($H254&lt;&gt;CP$5,0,IF(CP254&gt;0,IF(OR($J254=1,$J254=2,$J254=3,$J254=4,$J254=5,$J254=6,$J254=7),$E254*$I254/12*3,IF($J254=8,$E254*$I254/12*2,IF($J254=9,$E254*$I254/12*1,0)))))+IF(CK$5&lt;&gt;$H254,0,IF(CK254&gt;0,IF($J254=7,$E254*$I254/12*0,IF($J254=8,$E254*$I254/12*1,IF($J254=9,$E254*$I254/12*2,IF($J254&gt;=10,$E254*$I254/12*3,0))))))</f>
        <v>0</v>
      </c>
      <c r="CO254" s="88">
        <f t="shared" ref="CO254" si="4024">IF($H254&lt;&gt;CP$5,0,IF(CP254&gt;0,IF(OR($J254=1,$J254=2,$J254=3,$J254=4,$J254=5,$J254=6,$J254=7,$J254=8,$J254=9,$J254=10),$E254*$I254/12*3,IF($J254=11,$E254*$I254/12*2,IF($J254=12,$E254*$I254/12*1,0)))))+IF(CK$5&lt;&gt;$H254,0,IF(CK254&gt;0,IF($J254=10,$E254*$I254/12*0,IF($J254=11,$E254*$I254/12*1,IF($J254=12,$E254*$I254/12*2,0)))))</f>
        <v>0</v>
      </c>
      <c r="CP254" s="85">
        <f t="shared" ref="CP254" si="4025">IF(AND(CK254&lt;&gt;0,CK$5=$H254),$I254*$E254-CK254,IF(CP$5=$H254,$I254*$E254*(12-$J254+1)/12,0))</f>
        <v>0</v>
      </c>
      <c r="CQ254" s="86">
        <f t="shared" ref="CQ254" si="4026">IF($H254&lt;&gt;CU$5,0,IF(CU254&gt;0,IF($J254=1,$E254*$I254/12*3,IF($J254=2,$E254*$I254/12*2,IF($J254=3,$E254*$I254/12*1,0)))))+IF(CP$5&lt;&gt;$H254,0,IF(CP254&gt;0,IF($J254=1,$E254*$I254/12*0,IF($J254=2,$E254*$I254/12*1,IF($J254=3,$E254*$I254/12*2,IF($J254&gt;=4,$E254*$I254/12*3,0))))))</f>
        <v>0</v>
      </c>
      <c r="CR254" s="87">
        <f t="shared" ref="CR254" si="4027">IF($H254&lt;&gt;CU$5,0,IF(CU254&gt;0,IF(OR($J254=1,$J254=2,$J254=3,$J254=4),$E254*$I254/12*3,IF($J254=5,$E254*$I254/12*2,IF($J254=6,$E254*$I254/12*1,0)))))+IF(CP$5&lt;&gt;$H254,0,IF(CP254&gt;0,IF($J254=4,$E254*$I254/12*0,IF($J254=5,$E254*$I254/12*1,IF($J254=6,$E254*$I254/12*2,IF($J254&gt;=7,$E254*$I254/12*3,0))))))</f>
        <v>0</v>
      </c>
      <c r="CS254" s="87">
        <f t="shared" ref="CS254" si="4028">IF($H254&lt;&gt;CU$5,0,IF(CU254&gt;0,IF(OR($J254=1,$J254=2,$J254=3,$J254=4,$J254=5,$J254=6,$J254=7),$E254*$I254/12*3,IF($J254=8,$E254*$I254/12*2,IF($J254=9,$E254*$I254/12*1,0)))))+IF(CP$5&lt;&gt;$H254,0,IF(CP254&gt;0,IF($J254=7,$E254*$I254/12*0,IF($J254=8,$E254*$I254/12*1,IF($J254=9,$E254*$I254/12*2,IF($J254&gt;=10,$E254*$I254/12*3,0))))))</f>
        <v>0</v>
      </c>
      <c r="CT254" s="88">
        <f t="shared" ref="CT254" si="4029">IF($H254&lt;&gt;CU$5,0,IF(CU254&gt;0,IF(OR($J254=1,$J254=2,$J254=3,$J254=4,$J254=5,$J254=6,$J254=7,$J254=8,$J254=9,$J254=10),$E254*$I254/12*3,IF($J254=11,$E254*$I254/12*2,IF($J254=12,$E254*$I254/12*1,0)))))+IF(CP$5&lt;&gt;$H254,0,IF(CP254&gt;0,IF($J254=10,$E254*$I254/12*0,IF($J254=11,$E254*$I254/12*1,IF($J254=12,$E254*$I254/12*2,0)))))</f>
        <v>0</v>
      </c>
      <c r="CU254" s="85">
        <f t="shared" ref="CU254" si="4030">IF(AND(CP254&lt;&gt;0,CP$5=$H254),$I254*$E254-CP254,IF(CU$5=$H254,$I254*$E254*(12-$J254+1)/12,0))</f>
        <v>0</v>
      </c>
      <c r="CV254" s="86">
        <f t="shared" si="3880"/>
        <v>0</v>
      </c>
      <c r="CW254" s="87">
        <f t="shared" si="3881"/>
        <v>0</v>
      </c>
      <c r="CX254" s="87">
        <f t="shared" si="3882"/>
        <v>3</v>
      </c>
      <c r="CY254" s="88">
        <f t="shared" si="3883"/>
        <v>3</v>
      </c>
      <c r="CZ254" s="85">
        <f t="shared" si="3884"/>
        <v>6</v>
      </c>
    </row>
    <row r="255" spans="1:104" ht="12.75" customHeight="1">
      <c r="A255" s="1817"/>
      <c r="B255" s="1817"/>
      <c r="C255" s="1842"/>
      <c r="D255" s="1843"/>
      <c r="E255" s="1844"/>
      <c r="F255" s="1845"/>
      <c r="G255" s="1845"/>
      <c r="H255" s="1846"/>
      <c r="I255" s="1887"/>
      <c r="J255" s="1895"/>
      <c r="K255" s="1889"/>
      <c r="L255" s="2002"/>
      <c r="M255" s="99"/>
      <c r="N255" s="100"/>
      <c r="O255" s="100"/>
      <c r="P255" s="101"/>
      <c r="Q255" s="98"/>
      <c r="R255" s="99"/>
      <c r="S255" s="100"/>
      <c r="T255" s="100"/>
      <c r="U255" s="101"/>
      <c r="V255" s="98"/>
      <c r="W255" s="99"/>
      <c r="X255" s="100"/>
      <c r="Y255" s="100"/>
      <c r="Z255" s="101"/>
      <c r="AA255" s="98"/>
      <c r="AB255" s="99"/>
      <c r="AC255" s="100"/>
      <c r="AD255" s="100"/>
      <c r="AE255" s="101"/>
      <c r="AF255" s="98"/>
      <c r="AG255" s="99"/>
      <c r="AH255" s="100"/>
      <c r="AI255" s="100"/>
      <c r="AJ255" s="101"/>
      <c r="AK255" s="98"/>
      <c r="AL255" s="99"/>
      <c r="AM255" s="100"/>
      <c r="AN255" s="100"/>
      <c r="AO255" s="101"/>
      <c r="AP255" s="98"/>
      <c r="AQ255" s="99"/>
      <c r="AR255" s="100"/>
      <c r="AS255" s="100"/>
      <c r="AT255" s="101"/>
      <c r="AU255" s="98"/>
      <c r="AV255" s="99"/>
      <c r="AW255" s="100"/>
      <c r="AX255" s="100"/>
      <c r="AY255" s="101"/>
      <c r="AZ255" s="98"/>
      <c r="BA255" s="99"/>
      <c r="BB255" s="100"/>
      <c r="BC255" s="100"/>
      <c r="BD255" s="101"/>
      <c r="BE255" s="98"/>
      <c r="BF255" s="1878"/>
      <c r="BG255" s="2006"/>
      <c r="BH255" s="103"/>
      <c r="BI255" s="104"/>
      <c r="BJ255" s="104"/>
      <c r="BK255" s="105"/>
      <c r="BL255" s="102"/>
      <c r="BM255" s="103"/>
      <c r="BN255" s="104"/>
      <c r="BO255" s="104"/>
      <c r="BP255" s="105"/>
      <c r="BQ255" s="102"/>
      <c r="BR255" s="103"/>
      <c r="BS255" s="104"/>
      <c r="BT255" s="104"/>
      <c r="BU255" s="105"/>
      <c r="BV255" s="102"/>
      <c r="BW255" s="103"/>
      <c r="BX255" s="104"/>
      <c r="BY255" s="104"/>
      <c r="BZ255" s="105"/>
      <c r="CA255" s="102"/>
      <c r="CB255" s="103"/>
      <c r="CC255" s="104"/>
      <c r="CD255" s="104"/>
      <c r="CE255" s="105"/>
      <c r="CF255" s="102"/>
      <c r="CG255" s="103"/>
      <c r="CH255" s="104"/>
      <c r="CI255" s="104"/>
      <c r="CJ255" s="105"/>
      <c r="CK255" s="102"/>
      <c r="CL255" s="103"/>
      <c r="CM255" s="104"/>
      <c r="CN255" s="104"/>
      <c r="CO255" s="105"/>
      <c r="CP255" s="102"/>
      <c r="CQ255" s="103"/>
      <c r="CR255" s="104"/>
      <c r="CS255" s="104"/>
      <c r="CT255" s="105"/>
      <c r="CU255" s="102"/>
      <c r="CV255" s="103"/>
      <c r="CW255" s="104"/>
      <c r="CX255" s="104"/>
      <c r="CY255" s="105"/>
      <c r="CZ255" s="102"/>
    </row>
    <row r="256" spans="1:104" ht="12.75" customHeight="1">
      <c r="A256" s="1817"/>
      <c r="B256" s="1792"/>
      <c r="C256" s="157" t="s">
        <v>399</v>
      </c>
      <c r="D256" s="1824"/>
      <c r="E256" s="1852">
        <f>SUM(E250:E255)</f>
        <v>1065</v>
      </c>
      <c r="F256" s="1853"/>
      <c r="G256" s="1853"/>
      <c r="H256" s="1848"/>
      <c r="I256" s="1849"/>
      <c r="J256" s="1866"/>
      <c r="L256" s="2001">
        <f t="shared" ref="L256:BE256" si="4031">SUM(L250:L255)</f>
        <v>0</v>
      </c>
      <c r="M256" s="112">
        <f t="shared" si="4031"/>
        <v>0</v>
      </c>
      <c r="N256" s="113">
        <f t="shared" si="4031"/>
        <v>0</v>
      </c>
      <c r="O256" s="113">
        <f t="shared" si="4031"/>
        <v>0</v>
      </c>
      <c r="P256" s="114">
        <f t="shared" si="4031"/>
        <v>0</v>
      </c>
      <c r="Q256" s="111">
        <f t="shared" si="4031"/>
        <v>0</v>
      </c>
      <c r="R256" s="112">
        <f t="shared" si="4031"/>
        <v>0</v>
      </c>
      <c r="S256" s="113">
        <f t="shared" si="4031"/>
        <v>0</v>
      </c>
      <c r="T256" s="113">
        <f t="shared" si="4031"/>
        <v>0</v>
      </c>
      <c r="U256" s="114">
        <f t="shared" si="4031"/>
        <v>0</v>
      </c>
      <c r="V256" s="111">
        <f t="shared" si="4031"/>
        <v>0</v>
      </c>
      <c r="W256" s="112">
        <f t="shared" si="4031"/>
        <v>0</v>
      </c>
      <c r="X256" s="113">
        <f t="shared" si="4031"/>
        <v>0</v>
      </c>
      <c r="Y256" s="113">
        <f t="shared" si="4031"/>
        <v>0</v>
      </c>
      <c r="Z256" s="114">
        <f t="shared" si="4031"/>
        <v>0</v>
      </c>
      <c r="AA256" s="111">
        <f t="shared" si="4031"/>
        <v>0</v>
      </c>
      <c r="AB256" s="112">
        <f t="shared" si="4031"/>
        <v>0</v>
      </c>
      <c r="AC256" s="113">
        <f t="shared" si="4031"/>
        <v>0</v>
      </c>
      <c r="AD256" s="113">
        <f t="shared" si="4031"/>
        <v>0</v>
      </c>
      <c r="AE256" s="114">
        <f t="shared" si="4031"/>
        <v>0</v>
      </c>
      <c r="AF256" s="111">
        <f t="shared" si="4031"/>
        <v>0</v>
      </c>
      <c r="AG256" s="112">
        <f t="shared" si="4031"/>
        <v>0</v>
      </c>
      <c r="AH256" s="113">
        <f t="shared" si="4031"/>
        <v>200</v>
      </c>
      <c r="AI256" s="113">
        <f t="shared" si="4031"/>
        <v>0</v>
      </c>
      <c r="AJ256" s="114">
        <f t="shared" si="4031"/>
        <v>0</v>
      </c>
      <c r="AK256" s="111">
        <f t="shared" si="4031"/>
        <v>200</v>
      </c>
      <c r="AL256" s="112">
        <f t="shared" si="4031"/>
        <v>0</v>
      </c>
      <c r="AM256" s="113">
        <f t="shared" si="4031"/>
        <v>0</v>
      </c>
      <c r="AN256" s="113">
        <f t="shared" si="4031"/>
        <v>245</v>
      </c>
      <c r="AO256" s="114">
        <f t="shared" si="4031"/>
        <v>0</v>
      </c>
      <c r="AP256" s="111">
        <f t="shared" si="4031"/>
        <v>245</v>
      </c>
      <c r="AQ256" s="112">
        <f t="shared" si="4031"/>
        <v>0</v>
      </c>
      <c r="AR256" s="113">
        <f t="shared" si="4031"/>
        <v>0</v>
      </c>
      <c r="AS256" s="113">
        <f t="shared" si="4031"/>
        <v>165</v>
      </c>
      <c r="AT256" s="114">
        <f t="shared" si="4031"/>
        <v>0</v>
      </c>
      <c r="AU256" s="111">
        <f t="shared" si="4031"/>
        <v>165</v>
      </c>
      <c r="AV256" s="112">
        <f t="shared" si="4031"/>
        <v>0</v>
      </c>
      <c r="AW256" s="113">
        <f t="shared" si="4031"/>
        <v>0</v>
      </c>
      <c r="AX256" s="113">
        <f t="shared" si="4031"/>
        <v>215</v>
      </c>
      <c r="AY256" s="114">
        <f t="shared" si="4031"/>
        <v>0</v>
      </c>
      <c r="AZ256" s="111">
        <f t="shared" si="4031"/>
        <v>215</v>
      </c>
      <c r="BA256" s="112">
        <f t="shared" si="4031"/>
        <v>0</v>
      </c>
      <c r="BB256" s="113">
        <f t="shared" si="4031"/>
        <v>0</v>
      </c>
      <c r="BC256" s="113">
        <f t="shared" si="4031"/>
        <v>240</v>
      </c>
      <c r="BD256" s="114">
        <f t="shared" si="4031"/>
        <v>0</v>
      </c>
      <c r="BE256" s="111">
        <f t="shared" si="4031"/>
        <v>240</v>
      </c>
      <c r="BG256" s="2007">
        <f t="shared" ref="BG256:CZ256" si="4032">SUM(BG250:BG255)</f>
        <v>0</v>
      </c>
      <c r="BH256" s="116">
        <f t="shared" si="4032"/>
        <v>0</v>
      </c>
      <c r="BI256" s="117">
        <f t="shared" si="4032"/>
        <v>0</v>
      </c>
      <c r="BJ256" s="117">
        <f t="shared" si="4032"/>
        <v>0</v>
      </c>
      <c r="BK256" s="118">
        <f t="shared" si="4032"/>
        <v>0</v>
      </c>
      <c r="BL256" s="115">
        <f t="shared" si="4032"/>
        <v>0</v>
      </c>
      <c r="BM256" s="116">
        <f t="shared" si="4032"/>
        <v>0</v>
      </c>
      <c r="BN256" s="117">
        <f t="shared" si="4032"/>
        <v>0</v>
      </c>
      <c r="BO256" s="117">
        <f t="shared" si="4032"/>
        <v>0</v>
      </c>
      <c r="BP256" s="118">
        <f t="shared" si="4032"/>
        <v>0</v>
      </c>
      <c r="BQ256" s="115">
        <f t="shared" si="4032"/>
        <v>0</v>
      </c>
      <c r="BR256" s="116">
        <f t="shared" si="4032"/>
        <v>0</v>
      </c>
      <c r="BS256" s="117">
        <f t="shared" si="4032"/>
        <v>0</v>
      </c>
      <c r="BT256" s="117">
        <f t="shared" si="4032"/>
        <v>0</v>
      </c>
      <c r="BU256" s="118">
        <f t="shared" si="4032"/>
        <v>0</v>
      </c>
      <c r="BV256" s="115">
        <f t="shared" si="4032"/>
        <v>0</v>
      </c>
      <c r="BW256" s="116">
        <f t="shared" si="4032"/>
        <v>0</v>
      </c>
      <c r="BX256" s="117">
        <f t="shared" si="4032"/>
        <v>0</v>
      </c>
      <c r="BY256" s="117">
        <f t="shared" si="4032"/>
        <v>0</v>
      </c>
      <c r="BZ256" s="118">
        <f t="shared" si="4032"/>
        <v>0</v>
      </c>
      <c r="CA256" s="115">
        <f t="shared" si="4032"/>
        <v>0</v>
      </c>
      <c r="CB256" s="116">
        <f t="shared" si="4032"/>
        <v>0</v>
      </c>
      <c r="CC256" s="117">
        <f t="shared" si="4032"/>
        <v>1.3833333333333335</v>
      </c>
      <c r="CD256" s="117">
        <f t="shared" si="4032"/>
        <v>2.0750000000000002</v>
      </c>
      <c r="CE256" s="118">
        <f t="shared" si="4032"/>
        <v>2.0750000000000002</v>
      </c>
      <c r="CF256" s="115">
        <f t="shared" si="4032"/>
        <v>5.5333333333333341</v>
      </c>
      <c r="CG256" s="116">
        <f t="shared" si="4032"/>
        <v>2.0750000000000002</v>
      </c>
      <c r="CH256" s="117">
        <f t="shared" si="4032"/>
        <v>0.69166666666666676</v>
      </c>
      <c r="CI256" s="117">
        <f t="shared" si="4032"/>
        <v>3.0625</v>
      </c>
      <c r="CJ256" s="118">
        <f t="shared" si="4032"/>
        <v>3.0625</v>
      </c>
      <c r="CK256" s="115">
        <f t="shared" si="4032"/>
        <v>8.8916666666666657</v>
      </c>
      <c r="CL256" s="116">
        <f t="shared" si="4032"/>
        <v>3.0625</v>
      </c>
      <c r="CM256" s="117">
        <f t="shared" si="4032"/>
        <v>3.0625</v>
      </c>
      <c r="CN256" s="117">
        <f t="shared" si="4032"/>
        <v>2.0625</v>
      </c>
      <c r="CO256" s="118">
        <f t="shared" si="4032"/>
        <v>2.0625</v>
      </c>
      <c r="CP256" s="115">
        <f t="shared" si="4032"/>
        <v>10.25</v>
      </c>
      <c r="CQ256" s="116">
        <f t="shared" si="4032"/>
        <v>2.0625</v>
      </c>
      <c r="CR256" s="117">
        <f t="shared" si="4032"/>
        <v>2.0625</v>
      </c>
      <c r="CS256" s="117">
        <f t="shared" si="4032"/>
        <v>2.6875</v>
      </c>
      <c r="CT256" s="118">
        <f t="shared" si="4032"/>
        <v>2.6875</v>
      </c>
      <c r="CU256" s="115">
        <f t="shared" si="4032"/>
        <v>9.5</v>
      </c>
      <c r="CV256" s="116">
        <f t="shared" si="4032"/>
        <v>2.6875</v>
      </c>
      <c r="CW256" s="117">
        <f t="shared" si="4032"/>
        <v>2.6875</v>
      </c>
      <c r="CX256" s="117">
        <f t="shared" si="4032"/>
        <v>3</v>
      </c>
      <c r="CY256" s="118">
        <f t="shared" si="4032"/>
        <v>3</v>
      </c>
      <c r="CZ256" s="115">
        <f t="shared" si="4032"/>
        <v>11.375</v>
      </c>
    </row>
    <row r="257" spans="1:104" ht="12.75" customHeight="1">
      <c r="A257" s="1817"/>
      <c r="B257" s="1817"/>
      <c r="C257" s="1824"/>
      <c r="D257" s="1824"/>
      <c r="E257" s="1820"/>
      <c r="F257" s="1821"/>
      <c r="G257" s="1821"/>
      <c r="H257" s="1825"/>
      <c r="I257" s="1826"/>
      <c r="J257" s="1865"/>
      <c r="L257" s="2001"/>
      <c r="M257" s="82"/>
      <c r="N257" s="83"/>
      <c r="O257" s="83"/>
      <c r="P257" s="84"/>
      <c r="Q257" s="81"/>
      <c r="R257" s="82"/>
      <c r="S257" s="83"/>
      <c r="T257" s="83"/>
      <c r="U257" s="84"/>
      <c r="V257" s="81"/>
      <c r="W257" s="82"/>
      <c r="X257" s="83"/>
      <c r="Y257" s="83"/>
      <c r="Z257" s="84"/>
      <c r="AA257" s="81"/>
      <c r="AB257" s="82"/>
      <c r="AC257" s="83"/>
      <c r="AD257" s="83"/>
      <c r="AE257" s="84"/>
      <c r="AF257" s="81"/>
      <c r="AG257" s="82"/>
      <c r="AH257" s="83"/>
      <c r="AI257" s="83"/>
      <c r="AJ257" s="84"/>
      <c r="AK257" s="81"/>
      <c r="AL257" s="82"/>
      <c r="AM257" s="83"/>
      <c r="AN257" s="83"/>
      <c r="AO257" s="84"/>
      <c r="AP257" s="81"/>
      <c r="AQ257" s="82"/>
      <c r="AR257" s="83"/>
      <c r="AS257" s="83"/>
      <c r="AT257" s="84"/>
      <c r="AU257" s="81"/>
      <c r="AV257" s="82"/>
      <c r="AW257" s="83"/>
      <c r="AX257" s="83"/>
      <c r="AY257" s="84"/>
      <c r="AZ257" s="81"/>
      <c r="BA257" s="82"/>
      <c r="BB257" s="83"/>
      <c r="BC257" s="83"/>
      <c r="BD257" s="84"/>
      <c r="BE257" s="81"/>
      <c r="BF257" s="1877"/>
      <c r="BG257" s="2005"/>
      <c r="BH257" s="86"/>
      <c r="BI257" s="87"/>
      <c r="BJ257" s="87"/>
      <c r="BK257" s="88"/>
      <c r="BL257" s="85"/>
      <c r="BM257" s="86"/>
      <c r="BN257" s="87"/>
      <c r="BO257" s="87"/>
      <c r="BP257" s="88"/>
      <c r="BQ257" s="85"/>
      <c r="BR257" s="86"/>
      <c r="BS257" s="87"/>
      <c r="BT257" s="87"/>
      <c r="BU257" s="88"/>
      <c r="BV257" s="85"/>
      <c r="BW257" s="86"/>
      <c r="BX257" s="87"/>
      <c r="BY257" s="87"/>
      <c r="BZ257" s="88"/>
      <c r="CA257" s="85"/>
      <c r="CB257" s="86"/>
      <c r="CC257" s="87"/>
      <c r="CD257" s="87"/>
      <c r="CE257" s="88"/>
      <c r="CF257" s="85"/>
      <c r="CG257" s="86"/>
      <c r="CH257" s="87"/>
      <c r="CI257" s="87"/>
      <c r="CJ257" s="88"/>
      <c r="CK257" s="85"/>
      <c r="CL257" s="86"/>
      <c r="CM257" s="87"/>
      <c r="CN257" s="87"/>
      <c r="CO257" s="88"/>
      <c r="CP257" s="85"/>
      <c r="CQ257" s="86"/>
      <c r="CR257" s="87"/>
      <c r="CS257" s="87"/>
      <c r="CT257" s="88"/>
      <c r="CU257" s="85"/>
      <c r="CV257" s="86"/>
      <c r="CW257" s="87"/>
      <c r="CX257" s="87"/>
      <c r="CY257" s="88"/>
      <c r="CZ257" s="85"/>
    </row>
    <row r="258" spans="1:104" ht="12.75" customHeight="1">
      <c r="A258" s="1817"/>
      <c r="B258" s="1817"/>
      <c r="C258" s="1824" t="s">
        <v>542</v>
      </c>
      <c r="D258" s="1824"/>
      <c r="E258" s="1852"/>
      <c r="F258" s="1853"/>
      <c r="G258" s="1853"/>
      <c r="H258" s="1848"/>
      <c r="I258" s="1849"/>
      <c r="J258" s="1866"/>
      <c r="L258" s="2001">
        <f t="shared" ref="L258:BE258" si="4033">+L256+L247</f>
        <v>0</v>
      </c>
      <c r="M258" s="82">
        <f t="shared" si="4033"/>
        <v>0</v>
      </c>
      <c r="N258" s="83">
        <f t="shared" si="4033"/>
        <v>0</v>
      </c>
      <c r="O258" s="83">
        <f t="shared" si="4033"/>
        <v>0</v>
      </c>
      <c r="P258" s="84">
        <f t="shared" si="4033"/>
        <v>0</v>
      </c>
      <c r="Q258" s="81">
        <f t="shared" si="4033"/>
        <v>0</v>
      </c>
      <c r="R258" s="82">
        <f t="shared" si="4033"/>
        <v>0</v>
      </c>
      <c r="S258" s="83">
        <f t="shared" si="4033"/>
        <v>0</v>
      </c>
      <c r="T258" s="83">
        <f t="shared" si="4033"/>
        <v>0</v>
      </c>
      <c r="U258" s="84">
        <f t="shared" si="4033"/>
        <v>0</v>
      </c>
      <c r="V258" s="81">
        <f t="shared" si="4033"/>
        <v>0</v>
      </c>
      <c r="W258" s="82">
        <f t="shared" si="4033"/>
        <v>0</v>
      </c>
      <c r="X258" s="83">
        <f t="shared" si="4033"/>
        <v>0</v>
      </c>
      <c r="Y258" s="83">
        <f t="shared" si="4033"/>
        <v>0</v>
      </c>
      <c r="Z258" s="84">
        <f t="shared" si="4033"/>
        <v>0</v>
      </c>
      <c r="AA258" s="81">
        <f t="shared" si="4033"/>
        <v>0</v>
      </c>
      <c r="AB258" s="82">
        <f t="shared" si="4033"/>
        <v>0</v>
      </c>
      <c r="AC258" s="83">
        <f t="shared" si="4033"/>
        <v>0</v>
      </c>
      <c r="AD258" s="83">
        <f t="shared" si="4033"/>
        <v>0</v>
      </c>
      <c r="AE258" s="84">
        <f t="shared" si="4033"/>
        <v>0</v>
      </c>
      <c r="AF258" s="81">
        <f t="shared" si="4033"/>
        <v>0</v>
      </c>
      <c r="AG258" s="82">
        <f t="shared" si="4033"/>
        <v>0</v>
      </c>
      <c r="AH258" s="83">
        <f t="shared" si="4033"/>
        <v>200</v>
      </c>
      <c r="AI258" s="83">
        <f t="shared" si="4033"/>
        <v>0</v>
      </c>
      <c r="AJ258" s="84">
        <f t="shared" si="4033"/>
        <v>0</v>
      </c>
      <c r="AK258" s="81">
        <f t="shared" si="4033"/>
        <v>200</v>
      </c>
      <c r="AL258" s="82">
        <f t="shared" si="4033"/>
        <v>0</v>
      </c>
      <c r="AM258" s="83">
        <f t="shared" si="4033"/>
        <v>0</v>
      </c>
      <c r="AN258" s="83">
        <f t="shared" si="4033"/>
        <v>245</v>
      </c>
      <c r="AO258" s="84">
        <f t="shared" si="4033"/>
        <v>0</v>
      </c>
      <c r="AP258" s="81">
        <f t="shared" si="4033"/>
        <v>245</v>
      </c>
      <c r="AQ258" s="82">
        <f t="shared" si="4033"/>
        <v>0</v>
      </c>
      <c r="AR258" s="83">
        <f t="shared" si="4033"/>
        <v>0</v>
      </c>
      <c r="AS258" s="83">
        <f t="shared" si="4033"/>
        <v>165</v>
      </c>
      <c r="AT258" s="84">
        <f t="shared" si="4033"/>
        <v>0</v>
      </c>
      <c r="AU258" s="81">
        <f t="shared" si="4033"/>
        <v>165</v>
      </c>
      <c r="AV258" s="82">
        <f t="shared" si="4033"/>
        <v>0</v>
      </c>
      <c r="AW258" s="83">
        <f t="shared" si="4033"/>
        <v>0</v>
      </c>
      <c r="AX258" s="83">
        <f t="shared" si="4033"/>
        <v>215</v>
      </c>
      <c r="AY258" s="84">
        <f t="shared" si="4033"/>
        <v>0</v>
      </c>
      <c r="AZ258" s="81">
        <f t="shared" si="4033"/>
        <v>215</v>
      </c>
      <c r="BA258" s="82">
        <f t="shared" si="4033"/>
        <v>0</v>
      </c>
      <c r="BB258" s="83">
        <f t="shared" si="4033"/>
        <v>0</v>
      </c>
      <c r="BC258" s="83">
        <f t="shared" si="4033"/>
        <v>240</v>
      </c>
      <c r="BD258" s="84">
        <f t="shared" si="4033"/>
        <v>0</v>
      </c>
      <c r="BE258" s="81">
        <f t="shared" si="4033"/>
        <v>240</v>
      </c>
      <c r="BF258" s="1877"/>
      <c r="BG258" s="2005">
        <f t="shared" ref="BG258:CZ258" si="4034">+BG256+BG247</f>
        <v>0</v>
      </c>
      <c r="BH258" s="86">
        <f t="shared" si="4034"/>
        <v>0</v>
      </c>
      <c r="BI258" s="87">
        <f t="shared" si="4034"/>
        <v>0</v>
      </c>
      <c r="BJ258" s="87">
        <f t="shared" si="4034"/>
        <v>0</v>
      </c>
      <c r="BK258" s="88">
        <f t="shared" si="4034"/>
        <v>0</v>
      </c>
      <c r="BL258" s="85">
        <f t="shared" si="4034"/>
        <v>0</v>
      </c>
      <c r="BM258" s="86">
        <f t="shared" si="4034"/>
        <v>0</v>
      </c>
      <c r="BN258" s="87">
        <f t="shared" si="4034"/>
        <v>0</v>
      </c>
      <c r="BO258" s="87">
        <f t="shared" si="4034"/>
        <v>0</v>
      </c>
      <c r="BP258" s="88">
        <f t="shared" si="4034"/>
        <v>0</v>
      </c>
      <c r="BQ258" s="85">
        <f t="shared" si="4034"/>
        <v>0</v>
      </c>
      <c r="BR258" s="86">
        <f t="shared" si="4034"/>
        <v>0</v>
      </c>
      <c r="BS258" s="87">
        <f t="shared" si="4034"/>
        <v>0</v>
      </c>
      <c r="BT258" s="87">
        <f t="shared" si="4034"/>
        <v>0</v>
      </c>
      <c r="BU258" s="88">
        <f t="shared" si="4034"/>
        <v>0</v>
      </c>
      <c r="BV258" s="85">
        <f t="shared" si="4034"/>
        <v>0</v>
      </c>
      <c r="BW258" s="86">
        <f t="shared" si="4034"/>
        <v>0</v>
      </c>
      <c r="BX258" s="87">
        <f t="shared" si="4034"/>
        <v>0</v>
      </c>
      <c r="BY258" s="87">
        <f t="shared" si="4034"/>
        <v>0</v>
      </c>
      <c r="BZ258" s="88">
        <f t="shared" si="4034"/>
        <v>0</v>
      </c>
      <c r="CA258" s="85">
        <f t="shared" si="4034"/>
        <v>0</v>
      </c>
      <c r="CB258" s="86">
        <f t="shared" si="4034"/>
        <v>0</v>
      </c>
      <c r="CC258" s="87">
        <f t="shared" si="4034"/>
        <v>1.3833333333333335</v>
      </c>
      <c r="CD258" s="87">
        <f t="shared" si="4034"/>
        <v>2.0750000000000002</v>
      </c>
      <c r="CE258" s="88">
        <f t="shared" si="4034"/>
        <v>2.0750000000000002</v>
      </c>
      <c r="CF258" s="85">
        <f t="shared" si="4034"/>
        <v>5.5333333333333341</v>
      </c>
      <c r="CG258" s="86">
        <f t="shared" si="4034"/>
        <v>2.0750000000000002</v>
      </c>
      <c r="CH258" s="87">
        <f t="shared" si="4034"/>
        <v>0.69166666666666676</v>
      </c>
      <c r="CI258" s="87">
        <f t="shared" si="4034"/>
        <v>3.0625</v>
      </c>
      <c r="CJ258" s="88">
        <f t="shared" si="4034"/>
        <v>3.0625</v>
      </c>
      <c r="CK258" s="85">
        <f t="shared" si="4034"/>
        <v>8.8916666666666657</v>
      </c>
      <c r="CL258" s="86">
        <f t="shared" si="4034"/>
        <v>3.0625</v>
      </c>
      <c r="CM258" s="87">
        <f t="shared" si="4034"/>
        <v>3.0625</v>
      </c>
      <c r="CN258" s="87">
        <f t="shared" si="4034"/>
        <v>2.0625</v>
      </c>
      <c r="CO258" s="88">
        <f t="shared" si="4034"/>
        <v>2.0625</v>
      </c>
      <c r="CP258" s="85">
        <f t="shared" si="4034"/>
        <v>10.25</v>
      </c>
      <c r="CQ258" s="86">
        <f t="shared" si="4034"/>
        <v>2.0625</v>
      </c>
      <c r="CR258" s="87">
        <f t="shared" si="4034"/>
        <v>2.0625</v>
      </c>
      <c r="CS258" s="87">
        <f t="shared" si="4034"/>
        <v>2.6875</v>
      </c>
      <c r="CT258" s="88">
        <f t="shared" si="4034"/>
        <v>2.6875</v>
      </c>
      <c r="CU258" s="85">
        <f t="shared" si="4034"/>
        <v>9.5</v>
      </c>
      <c r="CV258" s="86">
        <f t="shared" si="4034"/>
        <v>2.6875</v>
      </c>
      <c r="CW258" s="87">
        <f t="shared" si="4034"/>
        <v>2.6875</v>
      </c>
      <c r="CX258" s="87">
        <f t="shared" si="4034"/>
        <v>3</v>
      </c>
      <c r="CY258" s="88">
        <f t="shared" si="4034"/>
        <v>3</v>
      </c>
      <c r="CZ258" s="85">
        <f t="shared" si="4034"/>
        <v>11.375</v>
      </c>
    </row>
    <row r="259" spans="1:104" ht="12.75" customHeight="1">
      <c r="A259" s="1817"/>
      <c r="B259" s="1824"/>
      <c r="C259" s="1824"/>
      <c r="D259" s="1824"/>
      <c r="E259" s="1820"/>
      <c r="F259" s="1821"/>
      <c r="G259" s="1821"/>
      <c r="H259" s="1825"/>
      <c r="I259" s="1826"/>
      <c r="J259" s="1827"/>
      <c r="L259" s="2001"/>
      <c r="M259" s="82"/>
      <c r="N259" s="83"/>
      <c r="O259" s="83"/>
      <c r="P259" s="84"/>
      <c r="Q259" s="81"/>
      <c r="R259" s="82"/>
      <c r="S259" s="83"/>
      <c r="T259" s="83"/>
      <c r="U259" s="84"/>
      <c r="V259" s="81"/>
      <c r="W259" s="82"/>
      <c r="X259" s="83"/>
      <c r="Y259" s="83"/>
      <c r="Z259" s="84"/>
      <c r="AA259" s="81"/>
      <c r="AB259" s="82"/>
      <c r="AC259" s="83"/>
      <c r="AD259" s="83"/>
      <c r="AE259" s="84"/>
      <c r="AF259" s="81"/>
      <c r="AG259" s="82"/>
      <c r="AH259" s="83"/>
      <c r="AI259" s="83"/>
      <c r="AJ259" s="84"/>
      <c r="AK259" s="81"/>
      <c r="AL259" s="82"/>
      <c r="AM259" s="83"/>
      <c r="AN259" s="83"/>
      <c r="AO259" s="84"/>
      <c r="AP259" s="81"/>
      <c r="AQ259" s="82"/>
      <c r="AR259" s="83"/>
      <c r="AS259" s="83"/>
      <c r="AT259" s="84"/>
      <c r="AU259" s="81"/>
      <c r="AV259" s="82"/>
      <c r="AW259" s="83"/>
      <c r="AX259" s="83"/>
      <c r="AY259" s="84"/>
      <c r="AZ259" s="81"/>
      <c r="BA259" s="82"/>
      <c r="BB259" s="83"/>
      <c r="BC259" s="83"/>
      <c r="BD259" s="84"/>
      <c r="BE259" s="81"/>
      <c r="BF259" s="1877"/>
      <c r="BG259" s="2005"/>
      <c r="BH259" s="86"/>
      <c r="BI259" s="87"/>
      <c r="BJ259" s="87"/>
      <c r="BK259" s="88"/>
      <c r="BL259" s="85"/>
      <c r="BM259" s="86"/>
      <c r="BN259" s="87"/>
      <c r="BO259" s="87"/>
      <c r="BP259" s="88"/>
      <c r="BQ259" s="85"/>
      <c r="BR259" s="86"/>
      <c r="BS259" s="87"/>
      <c r="BT259" s="87"/>
      <c r="BU259" s="88"/>
      <c r="BV259" s="85"/>
      <c r="BW259" s="86"/>
      <c r="BX259" s="87"/>
      <c r="BY259" s="87"/>
      <c r="BZ259" s="88"/>
      <c r="CA259" s="85"/>
      <c r="CB259" s="86"/>
      <c r="CC259" s="87"/>
      <c r="CD259" s="87"/>
      <c r="CE259" s="88"/>
      <c r="CF259" s="85"/>
      <c r="CG259" s="86"/>
      <c r="CH259" s="87"/>
      <c r="CI259" s="87"/>
      <c r="CJ259" s="88"/>
      <c r="CK259" s="85"/>
      <c r="CL259" s="86"/>
      <c r="CM259" s="87"/>
      <c r="CN259" s="87"/>
      <c r="CO259" s="88"/>
      <c r="CP259" s="85"/>
      <c r="CQ259" s="86"/>
      <c r="CR259" s="87"/>
      <c r="CS259" s="87"/>
      <c r="CT259" s="88"/>
      <c r="CU259" s="85"/>
      <c r="CV259" s="86"/>
      <c r="CW259" s="87"/>
      <c r="CX259" s="87"/>
      <c r="CY259" s="88"/>
      <c r="CZ259" s="85"/>
    </row>
    <row r="260" spans="1:104" ht="12.75" customHeight="1">
      <c r="A260" s="1817"/>
      <c r="B260" s="1824"/>
      <c r="C260" s="1824"/>
      <c r="D260" s="1824"/>
      <c r="E260" s="1820"/>
      <c r="F260" s="1821"/>
      <c r="G260" s="1821"/>
      <c r="H260" s="2160"/>
      <c r="I260" s="1826"/>
      <c r="J260" s="1827"/>
      <c r="L260" s="2001"/>
      <c r="M260" s="82"/>
      <c r="N260" s="83"/>
      <c r="O260" s="83"/>
      <c r="P260" s="84"/>
      <c r="Q260" s="81"/>
      <c r="R260" s="82"/>
      <c r="S260" s="83"/>
      <c r="T260" s="83"/>
      <c r="U260" s="84"/>
      <c r="V260" s="81"/>
      <c r="W260" s="82"/>
      <c r="X260" s="83"/>
      <c r="Y260" s="83"/>
      <c r="Z260" s="84"/>
      <c r="AA260" s="81"/>
      <c r="AB260" s="82"/>
      <c r="AC260" s="83"/>
      <c r="AD260" s="83"/>
      <c r="AE260" s="84"/>
      <c r="AF260" s="81"/>
      <c r="AG260" s="82"/>
      <c r="AH260" s="83"/>
      <c r="AI260" s="83"/>
      <c r="AJ260" s="84"/>
      <c r="AK260" s="81"/>
      <c r="AL260" s="82"/>
      <c r="AM260" s="83"/>
      <c r="AN260" s="83"/>
      <c r="AO260" s="84"/>
      <c r="AP260" s="81"/>
      <c r="AQ260" s="82"/>
      <c r="AR260" s="83"/>
      <c r="AS260" s="83"/>
      <c r="AT260" s="84"/>
      <c r="AU260" s="81"/>
      <c r="AV260" s="82"/>
      <c r="AW260" s="83"/>
      <c r="AX260" s="83"/>
      <c r="AY260" s="84"/>
      <c r="AZ260" s="81"/>
      <c r="BA260" s="82"/>
      <c r="BB260" s="83"/>
      <c r="BC260" s="83"/>
      <c r="BD260" s="84"/>
      <c r="BE260" s="81"/>
      <c r="BF260" s="1877"/>
      <c r="BG260" s="2005"/>
      <c r="BH260" s="86"/>
      <c r="BI260" s="87"/>
      <c r="BJ260" s="87"/>
      <c r="BK260" s="88"/>
      <c r="BL260" s="85"/>
      <c r="BM260" s="86"/>
      <c r="BN260" s="87"/>
      <c r="BO260" s="87"/>
      <c r="BP260" s="88"/>
      <c r="BQ260" s="85"/>
      <c r="BR260" s="86"/>
      <c r="BS260" s="87"/>
      <c r="BT260" s="87"/>
      <c r="BU260" s="88"/>
      <c r="BV260" s="85"/>
      <c r="BW260" s="86"/>
      <c r="BX260" s="87"/>
      <c r="BY260" s="87"/>
      <c r="BZ260" s="88"/>
      <c r="CA260" s="85"/>
      <c r="CB260" s="86"/>
      <c r="CC260" s="87"/>
      <c r="CD260" s="87"/>
      <c r="CE260" s="88"/>
      <c r="CF260" s="85"/>
      <c r="CG260" s="86"/>
      <c r="CH260" s="87"/>
      <c r="CI260" s="87"/>
      <c r="CJ260" s="88"/>
      <c r="CK260" s="85"/>
      <c r="CL260" s="86"/>
      <c r="CM260" s="87"/>
      <c r="CN260" s="87"/>
      <c r="CO260" s="88"/>
      <c r="CP260" s="85"/>
      <c r="CQ260" s="86"/>
      <c r="CR260" s="87"/>
      <c r="CS260" s="87"/>
      <c r="CT260" s="88"/>
      <c r="CU260" s="85"/>
      <c r="CV260" s="86"/>
      <c r="CW260" s="87"/>
      <c r="CX260" s="87"/>
      <c r="CY260" s="88"/>
      <c r="CZ260" s="85"/>
    </row>
    <row r="261" spans="1:104" ht="12.75" customHeight="1">
      <c r="A261" s="1817"/>
      <c r="B261" s="1681" t="s">
        <v>779</v>
      </c>
      <c r="C261" s="1818"/>
      <c r="D261" s="1819"/>
      <c r="E261" s="1858"/>
      <c r="F261" s="1859"/>
      <c r="G261" s="1859"/>
      <c r="H261" s="1859"/>
      <c r="I261" s="1860"/>
      <c r="J261" s="1822"/>
      <c r="L261" s="2001"/>
      <c r="M261" s="82"/>
      <c r="N261" s="83"/>
      <c r="O261" s="83"/>
      <c r="P261" s="84"/>
      <c r="Q261" s="81"/>
      <c r="R261" s="82"/>
      <c r="S261" s="83"/>
      <c r="T261" s="83"/>
      <c r="U261" s="84"/>
      <c r="V261" s="81"/>
      <c r="W261" s="82"/>
      <c r="X261" s="83"/>
      <c r="Y261" s="83"/>
      <c r="Z261" s="84"/>
      <c r="AA261" s="81"/>
      <c r="AB261" s="82"/>
      <c r="AC261" s="83"/>
      <c r="AD261" s="83"/>
      <c r="AE261" s="84"/>
      <c r="AF261" s="81"/>
      <c r="AG261" s="82"/>
      <c r="AH261" s="83"/>
      <c r="AI261" s="83"/>
      <c r="AJ261" s="84"/>
      <c r="AK261" s="81"/>
      <c r="AL261" s="82"/>
      <c r="AM261" s="83"/>
      <c r="AN261" s="83"/>
      <c r="AO261" s="84"/>
      <c r="AP261" s="81"/>
      <c r="AQ261" s="82"/>
      <c r="AR261" s="83"/>
      <c r="AS261" s="83"/>
      <c r="AT261" s="84"/>
      <c r="AU261" s="81"/>
      <c r="AV261" s="82"/>
      <c r="AW261" s="83"/>
      <c r="AX261" s="83"/>
      <c r="AY261" s="84"/>
      <c r="AZ261" s="81"/>
      <c r="BA261" s="82"/>
      <c r="BB261" s="83"/>
      <c r="BC261" s="83"/>
      <c r="BD261" s="84"/>
      <c r="BE261" s="81"/>
      <c r="BF261" s="1877"/>
      <c r="BG261" s="2005"/>
      <c r="BH261" s="86"/>
      <c r="BI261" s="87"/>
      <c r="BJ261" s="87"/>
      <c r="BK261" s="88"/>
      <c r="BL261" s="85"/>
      <c r="BM261" s="86"/>
      <c r="BN261" s="87"/>
      <c r="BO261" s="87"/>
      <c r="BP261" s="88"/>
      <c r="BQ261" s="85"/>
      <c r="BR261" s="86"/>
      <c r="BS261" s="87"/>
      <c r="BT261" s="87"/>
      <c r="BU261" s="88"/>
      <c r="BV261" s="85"/>
      <c r="BW261" s="86"/>
      <c r="BX261" s="87"/>
      <c r="BY261" s="87"/>
      <c r="BZ261" s="88"/>
      <c r="CA261" s="85"/>
      <c r="CB261" s="86"/>
      <c r="CC261" s="87"/>
      <c r="CD261" s="87"/>
      <c r="CE261" s="88"/>
      <c r="CF261" s="85"/>
      <c r="CG261" s="86"/>
      <c r="CH261" s="87"/>
      <c r="CI261" s="87"/>
      <c r="CJ261" s="88"/>
      <c r="CK261" s="85"/>
      <c r="CL261" s="86"/>
      <c r="CM261" s="87"/>
      <c r="CN261" s="87"/>
      <c r="CO261" s="88"/>
      <c r="CP261" s="85"/>
      <c r="CQ261" s="86"/>
      <c r="CR261" s="87"/>
      <c r="CS261" s="87"/>
      <c r="CT261" s="88"/>
      <c r="CU261" s="85"/>
      <c r="CV261" s="86"/>
      <c r="CW261" s="87"/>
      <c r="CX261" s="87"/>
      <c r="CY261" s="88"/>
      <c r="CZ261" s="85"/>
    </row>
    <row r="262" spans="1:104" ht="12.75" customHeight="1">
      <c r="A262" s="1817"/>
      <c r="B262" s="1817"/>
      <c r="C262" s="1824"/>
      <c r="D262" s="1824"/>
      <c r="E262" s="1858"/>
      <c r="F262" s="1859"/>
      <c r="G262" s="1859"/>
      <c r="H262" s="1859"/>
      <c r="I262" s="1860"/>
      <c r="J262" s="1822"/>
      <c r="L262" s="2001"/>
      <c r="M262" s="82"/>
      <c r="N262" s="83"/>
      <c r="O262" s="83"/>
      <c r="P262" s="84"/>
      <c r="Q262" s="81"/>
      <c r="R262" s="82"/>
      <c r="S262" s="83"/>
      <c r="T262" s="83"/>
      <c r="U262" s="84"/>
      <c r="V262" s="81"/>
      <c r="W262" s="82"/>
      <c r="X262" s="83"/>
      <c r="Y262" s="83"/>
      <c r="Z262" s="84"/>
      <c r="AA262" s="81"/>
      <c r="AB262" s="82"/>
      <c r="AC262" s="83"/>
      <c r="AD262" s="83"/>
      <c r="AE262" s="84"/>
      <c r="AF262" s="81"/>
      <c r="AG262" s="82"/>
      <c r="AH262" s="83"/>
      <c r="AI262" s="83"/>
      <c r="AJ262" s="84"/>
      <c r="AK262" s="81"/>
      <c r="AL262" s="82"/>
      <c r="AM262" s="83"/>
      <c r="AN262" s="83"/>
      <c r="AO262" s="84"/>
      <c r="AP262" s="81"/>
      <c r="AQ262" s="82"/>
      <c r="AR262" s="83"/>
      <c r="AS262" s="83"/>
      <c r="AT262" s="84"/>
      <c r="AU262" s="81"/>
      <c r="AV262" s="82"/>
      <c r="AW262" s="83"/>
      <c r="AX262" s="83"/>
      <c r="AY262" s="84"/>
      <c r="AZ262" s="81"/>
      <c r="BA262" s="82"/>
      <c r="BB262" s="83"/>
      <c r="BC262" s="83"/>
      <c r="BD262" s="84"/>
      <c r="BE262" s="81"/>
      <c r="BF262" s="1877"/>
      <c r="BG262" s="2005"/>
      <c r="BH262" s="86"/>
      <c r="BI262" s="87"/>
      <c r="BJ262" s="87"/>
      <c r="BK262" s="88"/>
      <c r="BL262" s="85"/>
      <c r="BM262" s="86"/>
      <c r="BN262" s="87"/>
      <c r="BO262" s="87"/>
      <c r="BP262" s="88"/>
      <c r="BQ262" s="85"/>
      <c r="BR262" s="86"/>
      <c r="BS262" s="87"/>
      <c r="BT262" s="87"/>
      <c r="BU262" s="88"/>
      <c r="BV262" s="85"/>
      <c r="BW262" s="86"/>
      <c r="BX262" s="87"/>
      <c r="BY262" s="87"/>
      <c r="BZ262" s="88"/>
      <c r="CA262" s="85"/>
      <c r="CB262" s="86"/>
      <c r="CC262" s="87"/>
      <c r="CD262" s="87"/>
      <c r="CE262" s="88"/>
      <c r="CF262" s="85"/>
      <c r="CG262" s="86"/>
      <c r="CH262" s="87"/>
      <c r="CI262" s="87"/>
      <c r="CJ262" s="88"/>
      <c r="CK262" s="85"/>
      <c r="CL262" s="86"/>
      <c r="CM262" s="87"/>
      <c r="CN262" s="87"/>
      <c r="CO262" s="88"/>
      <c r="CP262" s="85"/>
      <c r="CQ262" s="86"/>
      <c r="CR262" s="87"/>
      <c r="CS262" s="87"/>
      <c r="CT262" s="88"/>
      <c r="CU262" s="85"/>
      <c r="CV262" s="86"/>
      <c r="CW262" s="87"/>
      <c r="CX262" s="87"/>
      <c r="CY262" s="88"/>
      <c r="CZ262" s="85"/>
    </row>
    <row r="263" spans="1:104" ht="12.75" customHeight="1">
      <c r="A263" s="1817"/>
      <c r="B263" s="1817"/>
      <c r="C263" s="139" t="s">
        <v>532</v>
      </c>
      <c r="D263" s="139"/>
      <c r="E263" s="2120"/>
      <c r="F263" s="2121"/>
      <c r="G263" s="2121"/>
      <c r="H263" s="2121"/>
      <c r="I263" s="1859"/>
      <c r="J263" s="1859"/>
      <c r="L263" s="2001"/>
      <c r="M263" s="82"/>
      <c r="N263" s="83"/>
      <c r="O263" s="83"/>
      <c r="P263" s="84"/>
      <c r="Q263" s="81"/>
      <c r="R263" s="82"/>
      <c r="S263" s="83"/>
      <c r="T263" s="83"/>
      <c r="U263" s="84"/>
      <c r="V263" s="81"/>
      <c r="W263" s="82"/>
      <c r="X263" s="83"/>
      <c r="Y263" s="83"/>
      <c r="Z263" s="84"/>
      <c r="AA263" s="81"/>
      <c r="AB263" s="82"/>
      <c r="AC263" s="83"/>
      <c r="AD263" s="83"/>
      <c r="AE263" s="84"/>
      <c r="AF263" s="81"/>
      <c r="AG263" s="82"/>
      <c r="AH263" s="83"/>
      <c r="AI263" s="83"/>
      <c r="AJ263" s="84"/>
      <c r="AK263" s="81"/>
      <c r="AL263" s="82"/>
      <c r="AM263" s="83"/>
      <c r="AN263" s="83"/>
      <c r="AO263" s="84"/>
      <c r="AP263" s="81"/>
      <c r="AQ263" s="82"/>
      <c r="AR263" s="83"/>
      <c r="AS263" s="83"/>
      <c r="AT263" s="84"/>
      <c r="AU263" s="81"/>
      <c r="AV263" s="82"/>
      <c r="AW263" s="83"/>
      <c r="AX263" s="83"/>
      <c r="AY263" s="84"/>
      <c r="AZ263" s="81"/>
      <c r="BA263" s="82"/>
      <c r="BB263" s="83"/>
      <c r="BC263" s="83"/>
      <c r="BD263" s="84"/>
      <c r="BE263" s="81"/>
      <c r="BF263" s="1877"/>
      <c r="BG263" s="2005"/>
      <c r="BH263" s="86"/>
      <c r="BI263" s="87"/>
      <c r="BJ263" s="87"/>
      <c r="BK263" s="88"/>
      <c r="BL263" s="85"/>
      <c r="BM263" s="86"/>
      <c r="BN263" s="87"/>
      <c r="BO263" s="87"/>
      <c r="BP263" s="88"/>
      <c r="BQ263" s="85"/>
      <c r="BR263" s="86"/>
      <c r="BS263" s="87"/>
      <c r="BT263" s="87"/>
      <c r="BU263" s="88"/>
      <c r="BV263" s="85"/>
      <c r="BW263" s="86"/>
      <c r="BX263" s="87"/>
      <c r="BY263" s="87"/>
      <c r="BZ263" s="88"/>
      <c r="CA263" s="85"/>
      <c r="CB263" s="86"/>
      <c r="CC263" s="87"/>
      <c r="CD263" s="87"/>
      <c r="CE263" s="88"/>
      <c r="CF263" s="85"/>
      <c r="CG263" s="86"/>
      <c r="CH263" s="87"/>
      <c r="CI263" s="87"/>
      <c r="CJ263" s="88"/>
      <c r="CK263" s="85"/>
      <c r="CL263" s="86"/>
      <c r="CM263" s="87"/>
      <c r="CN263" s="87"/>
      <c r="CO263" s="88"/>
      <c r="CP263" s="85"/>
      <c r="CQ263" s="86"/>
      <c r="CR263" s="87"/>
      <c r="CS263" s="87"/>
      <c r="CT263" s="88"/>
      <c r="CU263" s="85"/>
      <c r="CV263" s="86"/>
      <c r="CW263" s="87"/>
      <c r="CX263" s="87"/>
      <c r="CY263" s="88"/>
      <c r="CZ263" s="85"/>
    </row>
    <row r="264" spans="1:104" ht="12.75" customHeight="1">
      <c r="A264" s="1817"/>
      <c r="B264" s="1817"/>
      <c r="C264" s="1829" t="s">
        <v>775</v>
      </c>
      <c r="D264" s="139"/>
      <c r="E264" s="2303"/>
      <c r="F264" s="2304"/>
      <c r="G264" s="2304"/>
      <c r="H264" s="2304"/>
      <c r="I264" s="2305"/>
      <c r="J264" s="2305"/>
      <c r="L264" s="2001"/>
      <c r="M264" s="82"/>
      <c r="N264" s="83"/>
      <c r="O264" s="83"/>
      <c r="P264" s="84"/>
      <c r="Q264" s="81"/>
      <c r="R264" s="82"/>
      <c r="S264" s="83"/>
      <c r="T264" s="83"/>
      <c r="U264" s="84"/>
      <c r="V264" s="81"/>
      <c r="W264" s="82"/>
      <c r="X264" s="83"/>
      <c r="Y264" s="83"/>
      <c r="Z264" s="84"/>
      <c r="AA264" s="81"/>
      <c r="AB264" s="82"/>
      <c r="AC264" s="83"/>
      <c r="AD264" s="83"/>
      <c r="AE264" s="84"/>
      <c r="AF264" s="81"/>
      <c r="AG264" s="82"/>
      <c r="AH264" s="83"/>
      <c r="AI264" s="83"/>
      <c r="AJ264" s="84"/>
      <c r="AK264" s="81"/>
      <c r="AL264" s="82"/>
      <c r="AM264" s="83"/>
      <c r="AN264" s="83"/>
      <c r="AO264" s="84"/>
      <c r="AP264" s="81"/>
      <c r="AQ264" s="82"/>
      <c r="AR264" s="83"/>
      <c r="AS264" s="83"/>
      <c r="AT264" s="84"/>
      <c r="AU264" s="81"/>
      <c r="AV264" s="82"/>
      <c r="AW264" s="83"/>
      <c r="AX264" s="83"/>
      <c r="AY264" s="84"/>
      <c r="AZ264" s="81"/>
      <c r="BA264" s="82"/>
      <c r="BB264" s="83"/>
      <c r="BC264" s="83"/>
      <c r="BD264" s="84"/>
      <c r="BE264" s="81"/>
      <c r="BF264" s="1877"/>
      <c r="BG264" s="2005"/>
      <c r="BH264" s="86"/>
      <c r="BI264" s="87"/>
      <c r="BJ264" s="87"/>
      <c r="BK264" s="88"/>
      <c r="BL264" s="85"/>
      <c r="BM264" s="86"/>
      <c r="BN264" s="87"/>
      <c r="BO264" s="87"/>
      <c r="BP264" s="88"/>
      <c r="BQ264" s="85"/>
      <c r="BR264" s="86"/>
      <c r="BS264" s="87"/>
      <c r="BT264" s="87"/>
      <c r="BU264" s="88"/>
      <c r="BV264" s="85"/>
      <c r="BW264" s="86"/>
      <c r="BX264" s="87"/>
      <c r="BY264" s="87"/>
      <c r="BZ264" s="88"/>
      <c r="CA264" s="85"/>
      <c r="CB264" s="86"/>
      <c r="CC264" s="87"/>
      <c r="CD264" s="87"/>
      <c r="CE264" s="88"/>
      <c r="CF264" s="85"/>
      <c r="CG264" s="86"/>
      <c r="CH264" s="87"/>
      <c r="CI264" s="87"/>
      <c r="CJ264" s="88"/>
      <c r="CK264" s="85"/>
      <c r="CL264" s="86"/>
      <c r="CM264" s="87"/>
      <c r="CN264" s="87"/>
      <c r="CO264" s="88"/>
      <c r="CP264" s="85"/>
      <c r="CQ264" s="86"/>
      <c r="CR264" s="87"/>
      <c r="CS264" s="87"/>
      <c r="CT264" s="88"/>
      <c r="CU264" s="85"/>
      <c r="CV264" s="86"/>
      <c r="CW264" s="87"/>
      <c r="CX264" s="87"/>
      <c r="CY264" s="88"/>
      <c r="CZ264" s="85"/>
    </row>
    <row r="265" spans="1:104" ht="12.75" customHeight="1">
      <c r="A265" s="1817"/>
      <c r="B265" s="2128"/>
      <c r="C265" s="2119">
        <v>7.7499999999999999E-2</v>
      </c>
      <c r="D265" s="2117"/>
      <c r="E265" s="2115">
        <f t="shared" ref="E265:E272" si="4035">IF(F265=0,G265,F265)</f>
        <v>250</v>
      </c>
      <c r="F265" s="2313">
        <v>250</v>
      </c>
      <c r="G265" s="1511">
        <v>250</v>
      </c>
      <c r="H265" s="1510">
        <v>2018</v>
      </c>
      <c r="I265" s="1831">
        <v>7.7499999999999999E-2</v>
      </c>
      <c r="J265" s="1832">
        <v>7</v>
      </c>
      <c r="L265" s="2001">
        <f t="shared" ref="L265:L279" si="4036">IF(L$5=$H265,-$E265,0)</f>
        <v>0</v>
      </c>
      <c r="M265" s="82">
        <f t="shared" ref="M265:M279" si="4037">IF(Q265=0,0,IF(Q265&lt;0,IF($J265=3,Q265,IF($J265=2,Q265,IF($J265=1,Q265,0)))))</f>
        <v>0</v>
      </c>
      <c r="N265" s="83">
        <f t="shared" ref="N265:N279" si="4038">IF(Q265=0,0,IF(Q265&lt;0,IF($J265=6,Q265,IF($J265=5,Q265,IF($J265=4,Q265,0)))))</f>
        <v>0</v>
      </c>
      <c r="O265" s="83">
        <f t="shared" ref="O265:O279" si="4039">IF(Q265=0,0,IF(Q265&lt;0,IF($J265=9,Q265,IF($J265=8,Q265,IF($J265=7,Q265,0)))))</f>
        <v>0</v>
      </c>
      <c r="P265" s="84">
        <f t="shared" ref="P265:P279" si="4040">IF(Q265=0,0,IF(Q265&lt;0,IF($J265=12,Q265,IF($J265=11,Q265,IF($J265=10,Q265,0)))))</f>
        <v>0</v>
      </c>
      <c r="Q265" s="81">
        <f t="shared" ref="Q265:Q279" si="4041">IF(Q$5=$H265,-$E265,0)</f>
        <v>0</v>
      </c>
      <c r="R265" s="82">
        <f t="shared" ref="R265:R279" si="4042">IF(V265=0,0,IF(V265&lt;0,IF($J265=3,V265,IF($J265=2,V265,IF($J265=1,V265,0)))))</f>
        <v>0</v>
      </c>
      <c r="S265" s="83">
        <f t="shared" ref="S265:S279" si="4043">IF(V265=0,0,IF(V265&lt;0,IF($J265=6,V265,IF($J265=5,V265,IF($J265=4,V265,0)))))</f>
        <v>0</v>
      </c>
      <c r="T265" s="83">
        <f t="shared" ref="T265:T279" si="4044">IF(V265=0,0,IF(V265&lt;0,IF($J265=9,V265,IF($J265=8,V265,IF($J265=7,V265,0)))))</f>
        <v>0</v>
      </c>
      <c r="U265" s="84">
        <f t="shared" ref="U265:U279" si="4045">IF(V265=0,0,IF(V265&lt;0,IF($J265=12,V265,IF($J265=11,V265,IF($J265=10,V265,0)))))</f>
        <v>0</v>
      </c>
      <c r="V265" s="81">
        <f t="shared" ref="V265:V279" si="4046">IF(V$5=$H265,-$E265,0)</f>
        <v>0</v>
      </c>
      <c r="W265" s="82">
        <f t="shared" ref="W265:W279" si="4047">IF(AA265=0,0,IF(AA265&lt;0,IF($J265=3,AA265,IF($J265=2,AA265,IF($J265=1,AA265,0)))))</f>
        <v>0</v>
      </c>
      <c r="X265" s="83">
        <f t="shared" ref="X265:X279" si="4048">IF(AA265=0,0,IF(AA265&lt;0,IF($J265=6,AA265,IF($J265=5,AA265,IF($J265=4,AA265,0)))))</f>
        <v>0</v>
      </c>
      <c r="Y265" s="83">
        <f t="shared" ref="Y265:Y279" si="4049">IF(AA265=0,0,IF(AA265&lt;0,IF($J265=9,AA265,IF($J265=8,AA265,IF($J265=7,AA265,0)))))</f>
        <v>0</v>
      </c>
      <c r="Z265" s="84">
        <f t="shared" ref="Z265:Z279" si="4050">IF(AA265=0,0,IF(AA265&lt;0,IF($J265=12,AA265,IF($J265=11,AA265,IF($J265=10,AA265,0)))))</f>
        <v>0</v>
      </c>
      <c r="AA265" s="81">
        <f t="shared" ref="AA265:AA279" si="4051">IF(AA$5=$H265,-$E265,0)</f>
        <v>0</v>
      </c>
      <c r="AB265" s="82">
        <f t="shared" ref="AB265:AB279" si="4052">IF(AF265=0,0,IF(AF265&lt;0,IF($J265=3,AF265,IF($J265=2,AF265,IF($J265=1,AF265,0)))))</f>
        <v>0</v>
      </c>
      <c r="AC265" s="83">
        <f t="shared" ref="AC265:AC279" si="4053">IF(AF265=0,0,IF(AF265&lt;0,IF($J265=6,AF265,IF($J265=5,AF265,IF($J265=4,AF265,0)))))</f>
        <v>0</v>
      </c>
      <c r="AD265" s="83">
        <f t="shared" ref="AD265:AD279" si="4054">IF(AF265=0,0,IF(AF265&lt;0,IF($J265=9,AF265,IF($J265=8,AF265,IF($J265=7,AF265,0)))))</f>
        <v>0</v>
      </c>
      <c r="AE265" s="84">
        <f t="shared" ref="AE265:AE279" si="4055">IF(AF265=0,0,IF(AF265&lt;0,IF($J265=12,AF265,IF($J265=11,AF265,IF($J265=10,AF265,0)))))</f>
        <v>0</v>
      </c>
      <c r="AF265" s="81">
        <f t="shared" ref="AF265:AF279" si="4056">IF(AF$5=$H265,-$E265,0)</f>
        <v>0</v>
      </c>
      <c r="AG265" s="82">
        <f t="shared" ref="AG265:AG279" si="4057">IF(AK265=0,0,IF(AK265&lt;0,IF($J265=3,AK265,IF($J265=2,AK265,IF($J265=1,AK265,0)))))</f>
        <v>0</v>
      </c>
      <c r="AH265" s="83">
        <f t="shared" ref="AH265:AH279" si="4058">IF(AK265=0,0,IF(AK265&lt;0,IF($J265=6,AK265,IF($J265=5,AK265,IF($J265=4,AK265,0)))))</f>
        <v>0</v>
      </c>
      <c r="AI265" s="83">
        <f t="shared" ref="AI265:AI279" si="4059">IF(AK265=0,0,IF(AK265&lt;0,IF($J265=9,AK265,IF($J265=8,AK265,IF($J265=7,AK265,0)))))</f>
        <v>0</v>
      </c>
      <c r="AJ265" s="84">
        <f t="shared" ref="AJ265:AJ279" si="4060">IF(AK265=0,0,IF(AK265&lt;0,IF($J265=12,AK265,IF($J265=11,AK265,IF($J265=10,AK265,0)))))</f>
        <v>0</v>
      </c>
      <c r="AK265" s="81">
        <f t="shared" ref="AK265:AK279" si="4061">IF(AK$5=$H265,-$E265,0)</f>
        <v>0</v>
      </c>
      <c r="AL265" s="82">
        <f t="shared" ref="AL265:AL279" si="4062">IF(AP265=0,0,IF(AP265&lt;0,IF($J265=3,AP265,IF($J265=2,AP265,IF($J265=1,AP265,0)))))</f>
        <v>0</v>
      </c>
      <c r="AM265" s="83">
        <f t="shared" ref="AM265:AM279" si="4063">IF(AP265=0,0,IF(AP265&lt;0,IF($J265=6,AP265,IF($J265=5,AP265,IF($J265=4,AP265,0)))))</f>
        <v>0</v>
      </c>
      <c r="AN265" s="83">
        <f t="shared" ref="AN265:AN279" si="4064">IF(AP265=0,0,IF(AP265&lt;0,IF($J265=9,AP265,IF($J265=8,AP265,IF($J265=7,AP265,0)))))</f>
        <v>-250</v>
      </c>
      <c r="AO265" s="84">
        <f t="shared" ref="AO265:AO279" si="4065">IF(AP265=0,0,IF(AP265&lt;0,IF($J265=12,AP265,IF($J265=11,AP265,IF($J265=10,AP265,0)))))</f>
        <v>0</v>
      </c>
      <c r="AP265" s="81">
        <f t="shared" ref="AP265:AP279" si="4066">IF(AP$5=$H265,-$E265,0)</f>
        <v>-250</v>
      </c>
      <c r="AQ265" s="82">
        <f t="shared" ref="AQ265:AQ279" si="4067">IF(AU265=0,0,IF(AU265&lt;0,IF($J265=3,AU265,IF($J265=2,AU265,IF($J265=1,AU265,0)))))</f>
        <v>0</v>
      </c>
      <c r="AR265" s="83">
        <f t="shared" ref="AR265:AR279" si="4068">IF(AU265=0,0,IF(AU265&lt;0,IF($J265=6,AU265,IF($J265=5,AU265,IF($J265=4,AU265,0)))))</f>
        <v>0</v>
      </c>
      <c r="AS265" s="83">
        <f t="shared" ref="AS265:AS279" si="4069">IF(AU265=0,0,IF(AU265&lt;0,IF($J265=9,AU265,IF($J265=8,AU265,IF($J265=7,AU265,0)))))</f>
        <v>0</v>
      </c>
      <c r="AT265" s="84">
        <f t="shared" ref="AT265:AT279" si="4070">IF(AU265=0,0,IF(AU265&lt;0,IF($J265=12,AU265,IF($J265=11,AU265,IF($J265=10,AU265,0)))))</f>
        <v>0</v>
      </c>
      <c r="AU265" s="81">
        <f t="shared" ref="AU265:AU279" si="4071">IF(AU$5=$H265,-$E265,0)</f>
        <v>0</v>
      </c>
      <c r="AV265" s="82">
        <f t="shared" ref="AV265:AV279" si="4072">IF(AZ265=0,0,IF(AZ265&lt;0,IF($J265=3,AZ265,IF($J265=2,AZ265,IF($J265=1,AZ265,0)))))</f>
        <v>0</v>
      </c>
      <c r="AW265" s="83">
        <f t="shared" ref="AW265:AW279" si="4073">IF(AZ265=0,0,IF(AZ265&lt;0,IF($J265=6,AZ265,IF($J265=5,AZ265,IF($J265=4,AZ265,0)))))</f>
        <v>0</v>
      </c>
      <c r="AX265" s="83">
        <f t="shared" ref="AX265:AX279" si="4074">IF(AZ265=0,0,IF(AZ265&lt;0,IF($J265=9,AZ265,IF($J265=8,AZ265,IF($J265=7,AZ265,0)))))</f>
        <v>0</v>
      </c>
      <c r="AY265" s="84">
        <f t="shared" ref="AY265:AY279" si="4075">IF(AZ265=0,0,IF(AZ265&lt;0,IF($J265=12,AZ265,IF($J265=11,AZ265,IF($J265=10,AZ265,0)))))</f>
        <v>0</v>
      </c>
      <c r="AZ265" s="81">
        <f t="shared" ref="AZ265:AZ279" si="4076">IF(AZ$5=$H265,-$E265,0)</f>
        <v>0</v>
      </c>
      <c r="BA265" s="82">
        <f t="shared" ref="BA265:BA279" si="4077">IF(BE265=0,0,IF(BE265&lt;0,IF($J265=3,BE265,IF($J265=2,BE265,IF($J265=1,BE265,0)))))</f>
        <v>0</v>
      </c>
      <c r="BB265" s="83">
        <f t="shared" ref="BB265:BB279" si="4078">IF(BE265=0,0,IF(BE265&lt;0,IF($J265=6,BE265,IF($J265=5,BE265,IF($J265=4,BE265,0)))))</f>
        <v>0</v>
      </c>
      <c r="BC265" s="83">
        <f t="shared" ref="BC265:BC279" si="4079">IF(BE265=0,0,IF(BE265&lt;0,IF($J265=9,BE265,IF($J265=8,BE265,IF($J265=7,BE265,0)))))</f>
        <v>0</v>
      </c>
      <c r="BD265" s="84">
        <f t="shared" ref="BD265:BD279" si="4080">IF(BE265=0,0,IF(BE265&lt;0,IF($J265=12,BE265,IF($J265=11,BE265,IF($J265=10,BE265,0)))))</f>
        <v>0</v>
      </c>
      <c r="BE265" s="81">
        <f t="shared" ref="BE265:BE279" si="4081">IF(BE$5=$H265,-$E265,0)</f>
        <v>0</v>
      </c>
      <c r="BF265" s="1877"/>
      <c r="BG265" s="2005">
        <f t="shared" ref="BG265:BG279" si="4082">IF(AND(BF265&lt;&gt;0,BF$5=$H265),-$I265*$E265-BF265,IF(BG$5=$H265,-$I265*$E265*(12-$J265+1)/12,0))</f>
        <v>0</v>
      </c>
      <c r="BH265" s="86">
        <f t="shared" ref="BH265:BH279" si="4083">IF($H265&lt;&gt;BL$5,0,IF(BL265&lt;0,IF($J265=1,-$E265*$I265/12*3,IF($J265=2,-$E265*$I265/12*2,IF($J265=3,-$E265*$I265/12*1,0)))))+IF(BG$5&lt;&gt;$H265,0,IF(BG265&lt;0,IF($J265=1,-$E265*$I265/12*0,IF($J265=2,-$E265*$I265/12*1,IF($J265=3,-$E265*$I265/12*2,IF($J265&gt;=4,-$E265*$I265/12*3,0))))))</f>
        <v>0</v>
      </c>
      <c r="BI265" s="87">
        <f t="shared" ref="BI265:BI279" si="4084">IF($H265&lt;&gt;BL$5,0,IF(BL265&lt;0,IF(OR($J265=1,$J265=2,$J265=3,$J265=4),-$E265*$I265/12*3,IF($J265=5,-$E265*$I265/12*2,IF($J265=6,-$E265*$I265/12*1,0)))))+IF(BG$5&lt;&gt;$H265,0,IF(BG265&lt;0,IF($J265=4,-$E265*$I265/12*0,IF($J265=5,-$E265*$I265/12*1,IF($J265=6,-$E265*$I265/12*2,IF($J265&gt;=7,-$E265*$I265/12*3,0))))))</f>
        <v>0</v>
      </c>
      <c r="BJ265" s="87">
        <f t="shared" ref="BJ265:BJ279" si="4085">IF($H265&lt;&gt;BL$5,0,IF(BL265&lt;0,IF(OR($J265=1,$J265=2,$J265=3,$J265=4,$J265=5,$J265=6,$J265=7),-$E265*$I265/12*3,IF($J265=8,-$E265*$I265/12*2,IF($J265=9,-$E265*$I265/12*1,0)))))+IF(BG$5&lt;&gt;$H265,0,IF(BG265&lt;0,IF($J265=7,-$E265*$I265/12*0,IF($J265=8,-$E265*$I265/12*1,IF($J265=9,-$E265*$I265/12*2,IF($J265&gt;=10,-$E265*$I265/12*3,0))))))</f>
        <v>0</v>
      </c>
      <c r="BK265" s="88">
        <f t="shared" ref="BK265:BK279" si="4086">IF($H265&lt;&gt;BL$5,0,IF(BL265&lt;0,IF(OR($J265=1,$J265=2,$J265=3,$J265=4,$J265=5,$J265=6,$J265=7,$J265=8,$J265=9,$J265=10),-$E265*$I265/12*3,IF($J265=11,-$E265*$I265/12*2,IF($J265=12,-$E265*$I265/12*1,0)))))+IF(BG$5&lt;&gt;$H265,0,IF(BG265&lt;0,IF($J265=10,-$E265*$I265/12*0,IF($J265=11,-$E265*$I265/12*1,IF($J265=12,-$E265*$I265/12*2,0)))))</f>
        <v>0</v>
      </c>
      <c r="BL265" s="85">
        <f t="shared" ref="BL265:BL279" si="4087">IF(AND(BG265&lt;&gt;0,BG$5=$H265),-$I265*$E265-BG265,IF(BL$5=$H265,-$I265*$E265*(12-$J265+1)/12,0))</f>
        <v>0</v>
      </c>
      <c r="BM265" s="86">
        <f t="shared" ref="BM265:BM279" si="4088">IF($H265&lt;&gt;BQ$5,0,IF(BQ265&lt;0,IF($J265=1,-$E265*$I265/12*3,IF($J265=2,-$E265*$I265/12*2,IF($J265=3,-$E265*$I265/12*1,0)))))+IF(BL$5&lt;&gt;$H265,0,IF(BL265&lt;0,IF($J265=1,-$E265*$I265/12*0,IF($J265=2,-$E265*$I265/12*1,IF($J265=3,-$E265*$I265/12*2,IF($J265&gt;=4,-$E265*$I265/12*3,0))))))</f>
        <v>0</v>
      </c>
      <c r="BN265" s="87">
        <f t="shared" ref="BN265:BN279" si="4089">IF($H265&lt;&gt;BQ$5,0,IF(BQ265&lt;0,IF(OR($J265=1,$J265=2,$J265=3,$J265=4),-$E265*$I265/12*3,IF($J265=5,-$E265*$I265/12*2,IF($J265=6,-$E265*$I265/12*1,0)))))+IF(BL$5&lt;&gt;$H265,0,IF(BL265&lt;0,IF($J265=4,-$E265*$I265/12*0,IF($J265=5,-$E265*$I265/12*1,IF($J265=6,-$E265*$I265/12*2,IF($J265&gt;=7,-$E265*$I265/12*3,0))))))</f>
        <v>0</v>
      </c>
      <c r="BO265" s="87">
        <f t="shared" ref="BO265:BO279" si="4090">IF($H265&lt;&gt;BQ$5,0,IF(BQ265&lt;0,IF(OR($J265=1,$J265=2,$J265=3,$J265=4,$J265=5,$J265=6,$J265=7),-$E265*$I265/12*3,IF($J265=8,-$E265*$I265/12*2,IF($J265=9,-$E265*$I265/12*1,0)))))+IF(BL$5&lt;&gt;$H265,0,IF(BL265&lt;0,IF($J265=7,-$E265*$I265/12*0,IF($J265=8,-$E265*$I265/12*1,IF($J265=9,-$E265*$I265/12*2,IF($J265&gt;=10,-$E265*$I265/12*3,0))))))</f>
        <v>0</v>
      </c>
      <c r="BP265" s="88">
        <f t="shared" ref="BP265:BP279" si="4091">IF($H265&lt;&gt;BQ$5,0,IF(BQ265&lt;0,IF(OR($J265=1,$J265=2,$J265=3,$J265=4,$J265=5,$J265=6,$J265=7,$J265=8,$J265=9,$J265=10),-$E265*$I265/12*3,IF($J265=11,-$E265*$I265/12*2,IF($J265=12,-$E265*$I265/12*1,0)))))+IF(BL$5&lt;&gt;$H265,0,IF(BL265&lt;0,IF($J265=10,-$E265*$I265/12*0,IF($J265=11,-$E265*$I265/12*1,IF($J265=12,-$E265*$I265/12*2,0)))))</f>
        <v>0</v>
      </c>
      <c r="BQ265" s="85">
        <f t="shared" ref="BQ265:BQ279" si="4092">IF(AND(BL265&lt;&gt;0,BL$5=$H265),-$I265*$E265-BL265,IF(BQ$5=$H265,-$I265*$E265*(12-$J265+1)/12,0))</f>
        <v>0</v>
      </c>
      <c r="BR265" s="86">
        <f t="shared" ref="BR265:BR279" si="4093">IF($H265&lt;&gt;BV$5,0,IF(BV265&lt;0,IF($J265=1,-$E265*$I265/12*3,IF($J265=2,-$E265*$I265/12*2,IF($J265=3,-$E265*$I265/12*1,0)))))+IF(BQ$5&lt;&gt;$H265,0,IF(BQ265&lt;0,IF($J265=1,-$E265*$I265/12*0,IF($J265=2,-$E265*$I265/12*1,IF($J265=3,-$E265*$I265/12*2,IF($J265&gt;=4,-$E265*$I265/12*3,0))))))</f>
        <v>0</v>
      </c>
      <c r="BS265" s="87">
        <f t="shared" ref="BS265:BS279" si="4094">IF($H265&lt;&gt;BV$5,0,IF(BV265&lt;0,IF(OR($J265=1,$J265=2,$J265=3,$J265=4),-$E265*$I265/12*3,IF($J265=5,-$E265*$I265/12*2,IF($J265=6,-$E265*$I265/12*1,0)))))+IF(BQ$5&lt;&gt;$H265,0,IF(BQ265&lt;0,IF($J265=4,-$E265*$I265/12*0,IF($J265=5,-$E265*$I265/12*1,IF($J265=6,-$E265*$I265/12*2,IF($J265&gt;=7,-$E265*$I265/12*3,0))))))</f>
        <v>0</v>
      </c>
      <c r="BT265" s="87">
        <f t="shared" ref="BT265:BT279" si="4095">IF($H265&lt;&gt;BV$5,0,IF(BV265&lt;0,IF(OR($J265=1,$J265=2,$J265=3,$J265=4,$J265=5,$J265=6,$J265=7),-$E265*$I265/12*3,IF($J265=8,-$E265*$I265/12*2,IF($J265=9,-$E265*$I265/12*1,0)))))+IF(BQ$5&lt;&gt;$H265,0,IF(BQ265&lt;0,IF($J265=7,-$E265*$I265/12*0,IF($J265=8,-$E265*$I265/12*1,IF($J265=9,-$E265*$I265/12*2,IF($J265&gt;=10,-$E265*$I265/12*3,0))))))</f>
        <v>0</v>
      </c>
      <c r="BU265" s="88">
        <f t="shared" ref="BU265:BU279" si="4096">IF($H265&lt;&gt;BV$5,0,IF(BV265&lt;0,IF(OR($J265=1,$J265=2,$J265=3,$J265=4,$J265=5,$J265=6,$J265=7,$J265=8,$J265=9,$J265=10),-$E265*$I265/12*3,IF($J265=11,-$E265*$I265/12*2,IF($J265=12,-$E265*$I265/12*1,0)))))+IF(BQ$5&lt;&gt;$H265,0,IF(BQ265&lt;0,IF($J265=10,-$E265*$I265/12*0,IF($J265=11,-$E265*$I265/12*1,IF($J265=12,-$E265*$I265/12*2,0)))))</f>
        <v>0</v>
      </c>
      <c r="BV265" s="85">
        <f t="shared" ref="BV265:BV279" si="4097">IF(AND(BQ265&lt;&gt;0,BQ$5=$H265),-$I265*$E265-BQ265,IF(BV$5=$H265,-$I265*$E265*(12-$J265+1)/12,0))</f>
        <v>0</v>
      </c>
      <c r="BW265" s="86">
        <f t="shared" ref="BW265:BW279" si="4098">IF($H265&lt;&gt;CA$5,0,IF(CA265&lt;0,IF($J265=1,-$E265*$I265/12*3,IF($J265=2,-$E265*$I265/12*2,IF($J265=3,-$E265*$I265/12*1,0)))))+IF(BV$5&lt;&gt;$H265,0,IF(BV265&lt;0,IF($J265=1,-$E265*$I265/12*0,IF($J265=2,-$E265*$I265/12*1,IF($J265=3,-$E265*$I265/12*2,IF($J265&gt;=4,-$E265*$I265/12*3,0))))))</f>
        <v>0</v>
      </c>
      <c r="BX265" s="87">
        <f t="shared" ref="BX265:BX279" si="4099">IF($H265&lt;&gt;CA$5,0,IF(CA265&lt;0,IF(OR($J265=1,$J265=2,$J265=3,$J265=4),-$E265*$I265/12*3,IF($J265=5,-$E265*$I265/12*2,IF($J265=6,-$E265*$I265/12*1,0)))))+IF(BV$5&lt;&gt;$H265,0,IF(BV265&lt;0,IF($J265=4,-$E265*$I265/12*0,IF($J265=5,-$E265*$I265/12*1,IF($J265=6,-$E265*$I265/12*2,IF($J265&gt;=7,-$E265*$I265/12*3,0))))))</f>
        <v>0</v>
      </c>
      <c r="BY265" s="87">
        <f t="shared" ref="BY265:BY279" si="4100">IF($H265&lt;&gt;CA$5,0,IF(CA265&lt;0,IF(OR($J265=1,$J265=2,$J265=3,$J265=4,$J265=5,$J265=6,$J265=7),-$E265*$I265/12*3,IF($J265=8,-$E265*$I265/12*2,IF($J265=9,-$E265*$I265/12*1,0)))))+IF(BV$5&lt;&gt;$H265,0,IF(BV265&lt;0,IF($J265=7,-$E265*$I265/12*0,IF($J265=8,-$E265*$I265/12*1,IF($J265=9,-$E265*$I265/12*2,IF($J265&gt;=10,-$E265*$I265/12*3,0))))))</f>
        <v>0</v>
      </c>
      <c r="BZ265" s="88">
        <f t="shared" ref="BZ265:BZ279" si="4101">IF($H265&lt;&gt;CA$5,0,IF(CA265&lt;0,IF(OR($J265=1,$J265=2,$J265=3,$J265=4,$J265=5,$J265=6,$J265=7,$J265=8,$J265=9,$J265=10),-$E265*$I265/12*3,IF($J265=11,-$E265*$I265/12*2,IF($J265=12,-$E265*$I265/12*1,0)))))+IF(BV$5&lt;&gt;$H265,0,IF(BV265&lt;0,IF($J265=10,-$E265*$I265/12*0,IF($J265=11,-$E265*$I265/12*1,IF($J265=12,-$E265*$I265/12*2,0)))))</f>
        <v>0</v>
      </c>
      <c r="CA265" s="85">
        <f t="shared" ref="CA265:CA279" si="4102">IF(AND(BV265&lt;&gt;0,BV$5=$H265),-$I265*$E265-BV265,IF(CA$5=$H265,-$I265*$E265*(12-$J265+1)/12,0))</f>
        <v>0</v>
      </c>
      <c r="CB265" s="86">
        <f t="shared" ref="CB265:CB279" si="4103">IF($H265&lt;&gt;CF$5,0,IF(CF265&lt;0,IF($J265=1,-$E265*$I265/12*3,IF($J265=2,-$E265*$I265/12*2,IF($J265=3,-$E265*$I265/12*1,0)))))+IF(CA$5&lt;&gt;$H265,0,IF(CA265&lt;0,IF($J265=1,-$E265*$I265/12*0,IF($J265=2,-$E265*$I265/12*1,IF($J265=3,-$E265*$I265/12*2,IF($J265&gt;=4,-$E265*$I265/12*3,0))))))</f>
        <v>0</v>
      </c>
      <c r="CC265" s="87">
        <f t="shared" ref="CC265:CC279" si="4104">IF($H265&lt;&gt;CF$5,0,IF(CF265&lt;0,IF(OR($J265=1,$J265=2,$J265=3,$J265=4),-$E265*$I265/12*3,IF($J265=5,-$E265*$I265/12*2,IF($J265=6,-$E265*$I265/12*1,0)))))+IF(CA$5&lt;&gt;$H265,0,IF(CA265&lt;0,IF($J265=4,-$E265*$I265/12*0,IF($J265=5,-$E265*$I265/12*1,IF($J265=6,-$E265*$I265/12*2,IF($J265&gt;=7,-$E265*$I265/12*3,0))))))</f>
        <v>0</v>
      </c>
      <c r="CD265" s="87">
        <f t="shared" ref="CD265:CD279" si="4105">IF($H265&lt;&gt;CF$5,0,IF(CF265&lt;0,IF(OR($J265=1,$J265=2,$J265=3,$J265=4,$J265=5,$J265=6,$J265=7),-$E265*$I265/12*3,IF($J265=8,-$E265*$I265/12*2,IF($J265=9,-$E265*$I265/12*1,0)))))+IF(CA$5&lt;&gt;$H265,0,IF(CA265&lt;0,IF($J265=7,-$E265*$I265/12*0,IF($J265=8,-$E265*$I265/12*1,IF($J265=9,-$E265*$I265/12*2,IF($J265&gt;=10,-$E265*$I265/12*3,0))))))</f>
        <v>0</v>
      </c>
      <c r="CE265" s="88">
        <f t="shared" ref="CE265:CE279" si="4106">IF($H265&lt;&gt;CF$5,0,IF(CF265&lt;0,IF(OR($J265=1,$J265=2,$J265=3,$J265=4,$J265=5,$J265=6,$J265=7,$J265=8,$J265=9,$J265=10),-$E265*$I265/12*3,IF($J265=11,-$E265*$I265/12*2,IF($J265=12,-$E265*$I265/12*1,0)))))+IF(CA$5&lt;&gt;$H265,0,IF(CA265&lt;0,IF($J265=10,-$E265*$I265/12*0,IF($J265=11,-$E265*$I265/12*1,IF($J265=12,-$E265*$I265/12*2,0)))))</f>
        <v>0</v>
      </c>
      <c r="CF265" s="85">
        <f t="shared" ref="CF265:CF279" si="4107">IF(AND(CA265&lt;&gt;0,CA$5=$H265),-$I265*$E265-CA265,IF(CF$5=$H265,-$I265*$E265*(12-$J265+1)/12,0))</f>
        <v>0</v>
      </c>
      <c r="CG265" s="86">
        <f t="shared" ref="CG265:CG279" si="4108">IF($H265&lt;&gt;CK$5,0,IF(CK265&lt;0,IF($J265=1,-$E265*$I265/12*3,IF($J265=2,-$E265*$I265/12*2,IF($J265=3,-$E265*$I265/12*1,0)))))+IF(CF$5&lt;&gt;$H265,0,IF(CF265&lt;0,IF($J265=1,-$E265*$I265/12*0,IF($J265=2,-$E265*$I265/12*1,IF($J265=3,-$E265*$I265/12*2,IF($J265&gt;=4,-$E265*$I265/12*3,0))))))</f>
        <v>0</v>
      </c>
      <c r="CH265" s="87">
        <f t="shared" ref="CH265:CH279" si="4109">IF($H265&lt;&gt;CK$5,0,IF(CK265&lt;0,IF(OR($J265=1,$J265=2,$J265=3,$J265=4),-$E265*$I265/12*3,IF($J265=5,-$E265*$I265/12*2,IF($J265=6,-$E265*$I265/12*1,0)))))+IF(CF$5&lt;&gt;$H265,0,IF(CF265&lt;0,IF($J265=4,-$E265*$I265/12*0,IF($J265=5,-$E265*$I265/12*1,IF($J265=6,-$E265*$I265/12*2,IF($J265&gt;=7,-$E265*$I265/12*3,0))))))</f>
        <v>0</v>
      </c>
      <c r="CI265" s="87">
        <f t="shared" ref="CI265:CI279" si="4110">IF($H265&lt;&gt;CK$5,0,IF(CK265&lt;0,IF(OR($J265=1,$J265=2,$J265=3,$J265=4,$J265=5,$J265=6,$J265=7),-$E265*$I265/12*3,IF($J265=8,-$E265*$I265/12*2,IF($J265=9,-$E265*$I265/12*1,0)))))+IF(CF$5&lt;&gt;$H265,0,IF(CF265&lt;0,IF($J265=7,-$E265*$I265/12*0,IF($J265=8,-$E265*$I265/12*1,IF($J265=9,-$E265*$I265/12*2,IF($J265&gt;=10,-$E265*$I265/12*3,0))))))</f>
        <v>-4.84375</v>
      </c>
      <c r="CJ265" s="88">
        <f t="shared" ref="CJ265:CJ279" si="4111">IF($H265&lt;&gt;CK$5,0,IF(CK265&lt;0,IF(OR($J265=1,$J265=2,$J265=3,$J265=4,$J265=5,$J265=6,$J265=7,$J265=8,$J265=9,$J265=10),-$E265*$I265/12*3,IF($J265=11,-$E265*$I265/12*2,IF($J265=12,-$E265*$I265/12*1,0)))))+IF(CF$5&lt;&gt;$H265,0,IF(CF265&lt;0,IF($J265=10,-$E265*$I265/12*0,IF($J265=11,-$E265*$I265/12*1,IF($J265=12,-$E265*$I265/12*2,0)))))</f>
        <v>-4.84375</v>
      </c>
      <c r="CK265" s="85">
        <f t="shared" ref="CK265:CK279" si="4112">IF(AND(CF265&lt;&gt;0,CF$5=$H265),-$I265*$E265-CF265,IF(CK$5=$H265,-$I265*$E265*(12-$J265+1)/12,0))</f>
        <v>-9.6875</v>
      </c>
      <c r="CL265" s="86">
        <f t="shared" ref="CL265:CL279" si="4113">IF($H265&lt;&gt;CP$5,0,IF(CP265&lt;0,IF($J265=1,-$E265*$I265/12*3,IF($J265=2,-$E265*$I265/12*2,IF($J265=3,-$E265*$I265/12*1,0)))))+IF(CK$5&lt;&gt;$H265,0,IF(CK265&lt;0,IF($J265=1,-$E265*$I265/12*0,IF($J265=2,-$E265*$I265/12*1,IF($J265=3,-$E265*$I265/12*2,IF($J265&gt;=4,-$E265*$I265/12*3,0))))))</f>
        <v>-4.84375</v>
      </c>
      <c r="CM265" s="87">
        <f t="shared" ref="CM265:CM279" si="4114">IF($H265&lt;&gt;CP$5,0,IF(CP265&lt;0,IF(OR($J265=1,$J265=2,$J265=3,$J265=4),-$E265*$I265/12*3,IF($J265=5,-$E265*$I265/12*2,IF($J265=6,-$E265*$I265/12*1,0)))))+IF(CK$5&lt;&gt;$H265,0,IF(CK265&lt;0,IF($J265=4,-$E265*$I265/12*0,IF($J265=5,-$E265*$I265/12*1,IF($J265=6,-$E265*$I265/12*2,IF($J265&gt;=7,-$E265*$I265/12*3,0))))))</f>
        <v>-4.84375</v>
      </c>
      <c r="CN265" s="87">
        <f t="shared" ref="CN265:CN279" si="4115">IF($H265&lt;&gt;CP$5,0,IF(CP265&lt;0,IF(OR($J265=1,$J265=2,$J265=3,$J265=4,$J265=5,$J265=6,$J265=7),-$E265*$I265/12*3,IF($J265=8,-$E265*$I265/12*2,IF($J265=9,-$E265*$I265/12*1,0)))))+IF(CK$5&lt;&gt;$H265,0,IF(CK265&lt;0,IF($J265=7,-$E265*$I265/12*0,IF($J265=8,-$E265*$I265/12*1,IF($J265=9,-$E265*$I265/12*2,IF($J265&gt;=10,-$E265*$I265/12*3,0))))))</f>
        <v>0</v>
      </c>
      <c r="CO265" s="88">
        <f t="shared" ref="CO265:CO279" si="4116">IF($H265&lt;&gt;CP$5,0,IF(CP265&lt;0,IF(OR($J265=1,$J265=2,$J265=3,$J265=4,$J265=5,$J265=6,$J265=7,$J265=8,$J265=9,$J265=10),-$E265*$I265/12*3,IF($J265=11,-$E265*$I265/12*2,IF($J265=12,-$E265*$I265/12*1,0)))))+IF(CK$5&lt;&gt;$H265,0,IF(CK265&lt;0,IF($J265=10,-$E265*$I265/12*0,IF($J265=11,-$E265*$I265/12*1,IF($J265=12,-$E265*$I265/12*2,0)))))</f>
        <v>0</v>
      </c>
      <c r="CP265" s="85">
        <f t="shared" ref="CP265:CP279" si="4117">IF(AND(CK265&lt;&gt;0,CK$5=$H265),-$I265*$E265-CK265,IF(CP$5=$H265,-$I265*$E265*(12-$J265+1)/12,0))</f>
        <v>-9.6875</v>
      </c>
      <c r="CQ265" s="86">
        <f t="shared" ref="CQ265:CQ279" si="4118">IF($H265&lt;&gt;CU$5,0,IF(CU265&lt;0,IF($J265=1,-$E265*$I265/12*3,IF($J265=2,-$E265*$I265/12*2,IF($J265=3,-$E265*$I265/12*1,0)))))+IF(CP$5&lt;&gt;$H265,0,IF(CP265&lt;0,IF($J265=1,-$E265*$I265/12*0,IF($J265=2,-$E265*$I265/12*1,IF($J265=3,-$E265*$I265/12*2,IF($J265&gt;=4,-$E265*$I265/12*3,0))))))</f>
        <v>0</v>
      </c>
      <c r="CR265" s="87">
        <f t="shared" ref="CR265:CR279" si="4119">IF($H265&lt;&gt;CU$5,0,IF(CU265&lt;0,IF(OR($J265=1,$J265=2,$J265=3,$J265=4),-$E265*$I265/12*3,IF($J265=5,-$E265*$I265/12*2,IF($J265=6,-$E265*$I265/12*1,0)))))+IF(CP$5&lt;&gt;$H265,0,IF(CP265&lt;0,IF($J265=4,-$E265*$I265/12*0,IF($J265=5,-$E265*$I265/12*1,IF($J265=6,-$E265*$I265/12*2,IF($J265&gt;=7,-$E265*$I265/12*3,0))))))</f>
        <v>0</v>
      </c>
      <c r="CS265" s="87">
        <f t="shared" ref="CS265:CS279" si="4120">IF($H265&lt;&gt;CU$5,0,IF(CU265&lt;0,IF(OR($J265=1,$J265=2,$J265=3,$J265=4,$J265=5,$J265=6,$J265=7),-$E265*$I265/12*3,IF($J265=8,-$E265*$I265/12*2,IF($J265=9,-$E265*$I265/12*1,0)))))+IF(CP$5&lt;&gt;$H265,0,IF(CP265&lt;0,IF($J265=7,-$E265*$I265/12*0,IF($J265=8,-$E265*$I265/12*1,IF($J265=9,-$E265*$I265/12*2,IF($J265&gt;=10,-$E265*$I265/12*3,0))))))</f>
        <v>0</v>
      </c>
      <c r="CT265" s="88">
        <f t="shared" ref="CT265:CT279" si="4121">IF($H265&lt;&gt;CU$5,0,IF(CU265&lt;0,IF(OR($J265=1,$J265=2,$J265=3,$J265=4,$J265=5,$J265=6,$J265=7,$J265=8,$J265=9,$J265=10),-$E265*$I265/12*3,IF($J265=11,-$E265*$I265/12*2,IF($J265=12,-$E265*$I265/12*1,0)))))+IF(CP$5&lt;&gt;$H265,0,IF(CP265&lt;0,IF($J265=10,-$E265*$I265/12*0,IF($J265=11,-$E265*$I265/12*1,IF($J265=12,-$E265*$I265/12*2,0)))))</f>
        <v>0</v>
      </c>
      <c r="CU265" s="85">
        <f t="shared" ref="CU265:CU279" si="4122">IF(AND(CP265&lt;&gt;0,CP$5=$H265),-$I265*$E265-CP265,IF(CU$5=$H265,-$I265*$E265*(12-$J265+1)/12,0))</f>
        <v>0</v>
      </c>
      <c r="CV265" s="86">
        <f t="shared" ref="CV265:CV279" si="4123">IF($H265&lt;&gt;CZ$5,0,IF(CZ265&lt;0,IF($J265=1,-$E265*$I265/12*3,IF($J265=2,-$E265*$I265/12*2,IF($J265=3,-$E265*$I265/12*1,0)))))+IF(CU$5&lt;&gt;$H265,0,IF(CU265&lt;0,IF($J265=1,-$E265*$I265/12*0,IF($J265=2,-$E265*$I265/12*1,IF($J265=3,-$E265*$I265/12*2,IF($J265&gt;=4,-$E265*$I265/12*3,0))))))</f>
        <v>0</v>
      </c>
      <c r="CW265" s="87">
        <f t="shared" ref="CW265:CW279" si="4124">IF($H265&lt;&gt;CZ$5,0,IF(CZ265&lt;0,IF(OR($J265=1,$J265=2,$J265=3,$J265=4),-$E265*$I265/12*3,IF($J265=5,-$E265*$I265/12*2,IF($J265=6,-$E265*$I265/12*1,0)))))+IF(CU$5&lt;&gt;$H265,0,IF(CU265&lt;0,IF($J265=4,-$E265*$I265/12*0,IF($J265=5,-$E265*$I265/12*1,IF($J265=6,-$E265*$I265/12*2,IF($J265&gt;=7,-$E265*$I265/12*3,0))))))</f>
        <v>0</v>
      </c>
      <c r="CX265" s="87">
        <f t="shared" ref="CX265:CX279" si="4125">IF($H265&lt;&gt;CZ$5,0,IF(CZ265&lt;0,IF(OR($J265=1,$J265=2,$J265=3,$J265=4,$J265=5,$J265=6,$J265=7),-$E265*$I265/12*3,IF($J265=8,-$E265*$I265/12*2,IF($J265=9,-$E265*$I265/12*1,0)))))+IF(CU$5&lt;&gt;$H265,0,IF(CU265&lt;0,IF($J265=7,-$E265*$I265/12*0,IF($J265=8,-$E265*$I265/12*1,IF($J265=9,-$E265*$I265/12*2,IF($J265&gt;=10,-$E265*$I265/12*3,0))))))</f>
        <v>0</v>
      </c>
      <c r="CY265" s="88">
        <f t="shared" ref="CY265:CY279" si="4126">IF($H265&lt;&gt;CZ$5,0,IF(CZ265&lt;0,IF(OR($J265=1,$J265=2,$J265=3,$J265=4,$J265=5,$J265=6,$J265=7,$J265=8,$J265=9,$J265=10),-$E265*$I265/12*3,IF($J265=11,-$E265*$I265/12*2,IF($J265=12,-$E265*$I265/12*1,0)))))+IF(CU$5&lt;&gt;$H265,0,IF(CU265&lt;0,IF($J265=10,-$E265*$I265/12*0,IF($J265=11,-$E265*$I265/12*1,IF($J265=12,-$E265*$I265/12*2,0)))))</f>
        <v>0</v>
      </c>
      <c r="CZ265" s="85">
        <f t="shared" ref="CZ265:CZ279" si="4127">IF(AND(CU265&lt;&gt;0,CU$5=$H265),-$I265*$E265-CU265,IF(CZ$5=$H265,-$I265*$E265*(12-$J265+1)/12,0))</f>
        <v>0</v>
      </c>
    </row>
    <row r="266" spans="1:104" ht="12.75" customHeight="1">
      <c r="A266" s="1817"/>
      <c r="B266" s="2128"/>
      <c r="C266" s="2119">
        <v>6.8000000000000005E-2</v>
      </c>
      <c r="D266" s="2117"/>
      <c r="E266" s="2115">
        <f t="shared" si="4035"/>
        <v>38.865000000000002</v>
      </c>
      <c r="F266" s="2313">
        <v>38.865000000000002</v>
      </c>
      <c r="G266" s="1511">
        <v>38.865000000000002</v>
      </c>
      <c r="H266" s="1510">
        <v>2021</v>
      </c>
      <c r="I266" s="1831">
        <v>6.8000000000000005E-2</v>
      </c>
      <c r="J266" s="1832">
        <v>7</v>
      </c>
      <c r="L266" s="2001">
        <f t="shared" si="4036"/>
        <v>0</v>
      </c>
      <c r="M266" s="82">
        <f t="shared" si="4037"/>
        <v>0</v>
      </c>
      <c r="N266" s="83">
        <f t="shared" si="4038"/>
        <v>0</v>
      </c>
      <c r="O266" s="83">
        <f t="shared" si="4039"/>
        <v>0</v>
      </c>
      <c r="P266" s="84">
        <f t="shared" si="4040"/>
        <v>0</v>
      </c>
      <c r="Q266" s="81">
        <f t="shared" si="4041"/>
        <v>0</v>
      </c>
      <c r="R266" s="82">
        <f t="shared" si="4042"/>
        <v>0</v>
      </c>
      <c r="S266" s="83">
        <f t="shared" si="4043"/>
        <v>0</v>
      </c>
      <c r="T266" s="83">
        <f t="shared" si="4044"/>
        <v>0</v>
      </c>
      <c r="U266" s="84">
        <f t="shared" si="4045"/>
        <v>0</v>
      </c>
      <c r="V266" s="81">
        <f t="shared" si="4046"/>
        <v>0</v>
      </c>
      <c r="W266" s="82">
        <f t="shared" si="4047"/>
        <v>0</v>
      </c>
      <c r="X266" s="83">
        <f t="shared" si="4048"/>
        <v>0</v>
      </c>
      <c r="Y266" s="83">
        <f t="shared" si="4049"/>
        <v>0</v>
      </c>
      <c r="Z266" s="84">
        <f t="shared" si="4050"/>
        <v>0</v>
      </c>
      <c r="AA266" s="81">
        <f t="shared" si="4051"/>
        <v>0</v>
      </c>
      <c r="AB266" s="82">
        <f t="shared" si="4052"/>
        <v>0</v>
      </c>
      <c r="AC266" s="83">
        <f t="shared" si="4053"/>
        <v>0</v>
      </c>
      <c r="AD266" s="83">
        <f t="shared" si="4054"/>
        <v>0</v>
      </c>
      <c r="AE266" s="84">
        <f t="shared" si="4055"/>
        <v>0</v>
      </c>
      <c r="AF266" s="81">
        <f t="shared" si="4056"/>
        <v>0</v>
      </c>
      <c r="AG266" s="82">
        <f t="shared" si="4057"/>
        <v>0</v>
      </c>
      <c r="AH266" s="83">
        <f t="shared" si="4058"/>
        <v>0</v>
      </c>
      <c r="AI266" s="83">
        <f t="shared" si="4059"/>
        <v>0</v>
      </c>
      <c r="AJ266" s="84">
        <f t="shared" si="4060"/>
        <v>0</v>
      </c>
      <c r="AK266" s="81">
        <f t="shared" si="4061"/>
        <v>0</v>
      </c>
      <c r="AL266" s="82">
        <f t="shared" si="4062"/>
        <v>0</v>
      </c>
      <c r="AM266" s="83">
        <f t="shared" si="4063"/>
        <v>0</v>
      </c>
      <c r="AN266" s="83">
        <f t="shared" si="4064"/>
        <v>0</v>
      </c>
      <c r="AO266" s="84">
        <f t="shared" si="4065"/>
        <v>0</v>
      </c>
      <c r="AP266" s="81">
        <f t="shared" si="4066"/>
        <v>0</v>
      </c>
      <c r="AQ266" s="82">
        <f t="shared" si="4067"/>
        <v>0</v>
      </c>
      <c r="AR266" s="83">
        <f t="shared" si="4068"/>
        <v>0</v>
      </c>
      <c r="AS266" s="83">
        <f t="shared" si="4069"/>
        <v>0</v>
      </c>
      <c r="AT266" s="84">
        <f t="shared" si="4070"/>
        <v>0</v>
      </c>
      <c r="AU266" s="81">
        <f t="shared" si="4071"/>
        <v>0</v>
      </c>
      <c r="AV266" s="82">
        <f t="shared" si="4072"/>
        <v>0</v>
      </c>
      <c r="AW266" s="83">
        <f t="shared" si="4073"/>
        <v>0</v>
      </c>
      <c r="AX266" s="83">
        <f t="shared" si="4074"/>
        <v>0</v>
      </c>
      <c r="AY266" s="84">
        <f t="shared" si="4075"/>
        <v>0</v>
      </c>
      <c r="AZ266" s="81">
        <f t="shared" si="4076"/>
        <v>0</v>
      </c>
      <c r="BA266" s="82">
        <f t="shared" si="4077"/>
        <v>0</v>
      </c>
      <c r="BB266" s="83">
        <f t="shared" si="4078"/>
        <v>0</v>
      </c>
      <c r="BC266" s="83">
        <f t="shared" si="4079"/>
        <v>-38.865000000000002</v>
      </c>
      <c r="BD266" s="84">
        <f t="shared" si="4080"/>
        <v>0</v>
      </c>
      <c r="BE266" s="81">
        <f t="shared" si="4081"/>
        <v>-38.865000000000002</v>
      </c>
      <c r="BF266" s="1877"/>
      <c r="BG266" s="2005">
        <f t="shared" si="4082"/>
        <v>0</v>
      </c>
      <c r="BH266" s="86">
        <f t="shared" si="4083"/>
        <v>0</v>
      </c>
      <c r="BI266" s="87">
        <f t="shared" si="4084"/>
        <v>0</v>
      </c>
      <c r="BJ266" s="87">
        <f t="shared" si="4085"/>
        <v>0</v>
      </c>
      <c r="BK266" s="88">
        <f t="shared" si="4086"/>
        <v>0</v>
      </c>
      <c r="BL266" s="85">
        <f t="shared" si="4087"/>
        <v>0</v>
      </c>
      <c r="BM266" s="86">
        <f t="shared" si="4088"/>
        <v>0</v>
      </c>
      <c r="BN266" s="87">
        <f t="shared" si="4089"/>
        <v>0</v>
      </c>
      <c r="BO266" s="87">
        <f t="shared" si="4090"/>
        <v>0</v>
      </c>
      <c r="BP266" s="88">
        <f t="shared" si="4091"/>
        <v>0</v>
      </c>
      <c r="BQ266" s="85">
        <f t="shared" si="4092"/>
        <v>0</v>
      </c>
      <c r="BR266" s="86">
        <f t="shared" si="4093"/>
        <v>0</v>
      </c>
      <c r="BS266" s="87">
        <f t="shared" si="4094"/>
        <v>0</v>
      </c>
      <c r="BT266" s="87">
        <f t="shared" si="4095"/>
        <v>0</v>
      </c>
      <c r="BU266" s="88">
        <f t="shared" si="4096"/>
        <v>0</v>
      </c>
      <c r="BV266" s="85">
        <f t="shared" si="4097"/>
        <v>0</v>
      </c>
      <c r="BW266" s="86">
        <f t="shared" si="4098"/>
        <v>0</v>
      </c>
      <c r="BX266" s="87">
        <f t="shared" si="4099"/>
        <v>0</v>
      </c>
      <c r="BY266" s="87">
        <f t="shared" si="4100"/>
        <v>0</v>
      </c>
      <c r="BZ266" s="88">
        <f t="shared" si="4101"/>
        <v>0</v>
      </c>
      <c r="CA266" s="85">
        <f t="shared" si="4102"/>
        <v>0</v>
      </c>
      <c r="CB266" s="86">
        <f t="shared" si="4103"/>
        <v>0</v>
      </c>
      <c r="CC266" s="87">
        <f t="shared" si="4104"/>
        <v>0</v>
      </c>
      <c r="CD266" s="87">
        <f t="shared" si="4105"/>
        <v>0</v>
      </c>
      <c r="CE266" s="88">
        <f t="shared" si="4106"/>
        <v>0</v>
      </c>
      <c r="CF266" s="85">
        <f t="shared" si="4107"/>
        <v>0</v>
      </c>
      <c r="CG266" s="86">
        <f t="shared" si="4108"/>
        <v>0</v>
      </c>
      <c r="CH266" s="87">
        <f t="shared" si="4109"/>
        <v>0</v>
      </c>
      <c r="CI266" s="87">
        <f t="shared" si="4110"/>
        <v>0</v>
      </c>
      <c r="CJ266" s="88">
        <f t="shared" si="4111"/>
        <v>0</v>
      </c>
      <c r="CK266" s="85">
        <f t="shared" si="4112"/>
        <v>0</v>
      </c>
      <c r="CL266" s="86">
        <f t="shared" si="4113"/>
        <v>0</v>
      </c>
      <c r="CM266" s="87">
        <f t="shared" si="4114"/>
        <v>0</v>
      </c>
      <c r="CN266" s="87">
        <f t="shared" si="4115"/>
        <v>0</v>
      </c>
      <c r="CO266" s="88">
        <f t="shared" si="4116"/>
        <v>0</v>
      </c>
      <c r="CP266" s="85">
        <f t="shared" si="4117"/>
        <v>0</v>
      </c>
      <c r="CQ266" s="86">
        <f t="shared" si="4118"/>
        <v>0</v>
      </c>
      <c r="CR266" s="87">
        <f t="shared" si="4119"/>
        <v>0</v>
      </c>
      <c r="CS266" s="87">
        <f t="shared" si="4120"/>
        <v>0</v>
      </c>
      <c r="CT266" s="88">
        <f t="shared" si="4121"/>
        <v>0</v>
      </c>
      <c r="CU266" s="85">
        <f t="shared" si="4122"/>
        <v>0</v>
      </c>
      <c r="CV266" s="86">
        <f t="shared" si="4123"/>
        <v>0</v>
      </c>
      <c r="CW266" s="87">
        <f t="shared" si="4124"/>
        <v>0</v>
      </c>
      <c r="CX266" s="87">
        <f t="shared" si="4125"/>
        <v>-0.6607050000000001</v>
      </c>
      <c r="CY266" s="88">
        <f t="shared" si="4126"/>
        <v>-0.6607050000000001</v>
      </c>
      <c r="CZ266" s="85">
        <f t="shared" si="4127"/>
        <v>-1.3214100000000002</v>
      </c>
    </row>
    <row r="267" spans="1:104" ht="12.75" customHeight="1">
      <c r="A267" s="1817"/>
      <c r="B267" s="2128"/>
      <c r="C267" s="2119">
        <v>4.3499999999999997E-2</v>
      </c>
      <c r="D267" s="2117"/>
      <c r="E267" s="2115">
        <f t="shared" si="4035"/>
        <v>200</v>
      </c>
      <c r="F267" s="2313">
        <v>200</v>
      </c>
      <c r="G267" s="1511">
        <v>200</v>
      </c>
      <c r="H267" s="1510">
        <v>2021</v>
      </c>
      <c r="I267" s="1831">
        <v>4.3499999999999997E-2</v>
      </c>
      <c r="J267" s="1832">
        <v>7</v>
      </c>
      <c r="L267" s="2001">
        <f t="shared" si="4036"/>
        <v>0</v>
      </c>
      <c r="M267" s="82">
        <f t="shared" si="4037"/>
        <v>0</v>
      </c>
      <c r="N267" s="83">
        <f t="shared" si="4038"/>
        <v>0</v>
      </c>
      <c r="O267" s="83">
        <f t="shared" si="4039"/>
        <v>0</v>
      </c>
      <c r="P267" s="84">
        <f t="shared" si="4040"/>
        <v>0</v>
      </c>
      <c r="Q267" s="81">
        <f t="shared" si="4041"/>
        <v>0</v>
      </c>
      <c r="R267" s="82">
        <f t="shared" si="4042"/>
        <v>0</v>
      </c>
      <c r="S267" s="83">
        <f t="shared" si="4043"/>
        <v>0</v>
      </c>
      <c r="T267" s="83">
        <f t="shared" si="4044"/>
        <v>0</v>
      </c>
      <c r="U267" s="84">
        <f t="shared" si="4045"/>
        <v>0</v>
      </c>
      <c r="V267" s="81">
        <f t="shared" si="4046"/>
        <v>0</v>
      </c>
      <c r="W267" s="82">
        <f t="shared" si="4047"/>
        <v>0</v>
      </c>
      <c r="X267" s="83">
        <f t="shared" si="4048"/>
        <v>0</v>
      </c>
      <c r="Y267" s="83">
        <f t="shared" si="4049"/>
        <v>0</v>
      </c>
      <c r="Z267" s="84">
        <f t="shared" si="4050"/>
        <v>0</v>
      </c>
      <c r="AA267" s="81">
        <f t="shared" si="4051"/>
        <v>0</v>
      </c>
      <c r="AB267" s="82">
        <f t="shared" si="4052"/>
        <v>0</v>
      </c>
      <c r="AC267" s="83">
        <f t="shared" si="4053"/>
        <v>0</v>
      </c>
      <c r="AD267" s="83">
        <f t="shared" si="4054"/>
        <v>0</v>
      </c>
      <c r="AE267" s="84">
        <f t="shared" si="4055"/>
        <v>0</v>
      </c>
      <c r="AF267" s="81">
        <f t="shared" si="4056"/>
        <v>0</v>
      </c>
      <c r="AG267" s="82">
        <f t="shared" si="4057"/>
        <v>0</v>
      </c>
      <c r="AH267" s="83">
        <f t="shared" si="4058"/>
        <v>0</v>
      </c>
      <c r="AI267" s="83">
        <f t="shared" si="4059"/>
        <v>0</v>
      </c>
      <c r="AJ267" s="84">
        <f t="shared" si="4060"/>
        <v>0</v>
      </c>
      <c r="AK267" s="81">
        <f t="shared" si="4061"/>
        <v>0</v>
      </c>
      <c r="AL267" s="82">
        <f t="shared" si="4062"/>
        <v>0</v>
      </c>
      <c r="AM267" s="83">
        <f t="shared" si="4063"/>
        <v>0</v>
      </c>
      <c r="AN267" s="83">
        <f t="shared" si="4064"/>
        <v>0</v>
      </c>
      <c r="AO267" s="84">
        <f t="shared" si="4065"/>
        <v>0</v>
      </c>
      <c r="AP267" s="81">
        <f t="shared" si="4066"/>
        <v>0</v>
      </c>
      <c r="AQ267" s="82">
        <f t="shared" si="4067"/>
        <v>0</v>
      </c>
      <c r="AR267" s="83">
        <f t="shared" si="4068"/>
        <v>0</v>
      </c>
      <c r="AS267" s="83">
        <f t="shared" si="4069"/>
        <v>0</v>
      </c>
      <c r="AT267" s="84">
        <f t="shared" si="4070"/>
        <v>0</v>
      </c>
      <c r="AU267" s="81">
        <f t="shared" si="4071"/>
        <v>0</v>
      </c>
      <c r="AV267" s="82">
        <f t="shared" si="4072"/>
        <v>0</v>
      </c>
      <c r="AW267" s="83">
        <f t="shared" si="4073"/>
        <v>0</v>
      </c>
      <c r="AX267" s="83">
        <f t="shared" si="4074"/>
        <v>0</v>
      </c>
      <c r="AY267" s="84">
        <f t="shared" si="4075"/>
        <v>0</v>
      </c>
      <c r="AZ267" s="81">
        <f t="shared" si="4076"/>
        <v>0</v>
      </c>
      <c r="BA267" s="82">
        <f t="shared" si="4077"/>
        <v>0</v>
      </c>
      <c r="BB267" s="83">
        <f t="shared" si="4078"/>
        <v>0</v>
      </c>
      <c r="BC267" s="83">
        <f t="shared" si="4079"/>
        <v>-200</v>
      </c>
      <c r="BD267" s="84">
        <f t="shared" si="4080"/>
        <v>0</v>
      </c>
      <c r="BE267" s="81">
        <f t="shared" si="4081"/>
        <v>-200</v>
      </c>
      <c r="BF267" s="1877"/>
      <c r="BG267" s="2005">
        <f t="shared" si="4082"/>
        <v>0</v>
      </c>
      <c r="BH267" s="86">
        <f t="shared" si="4083"/>
        <v>0</v>
      </c>
      <c r="BI267" s="87">
        <f t="shared" si="4084"/>
        <v>0</v>
      </c>
      <c r="BJ267" s="87">
        <f t="shared" si="4085"/>
        <v>0</v>
      </c>
      <c r="BK267" s="88">
        <f t="shared" si="4086"/>
        <v>0</v>
      </c>
      <c r="BL267" s="85">
        <f t="shared" si="4087"/>
        <v>0</v>
      </c>
      <c r="BM267" s="86">
        <f t="shared" si="4088"/>
        <v>0</v>
      </c>
      <c r="BN267" s="87">
        <f t="shared" si="4089"/>
        <v>0</v>
      </c>
      <c r="BO267" s="87">
        <f t="shared" si="4090"/>
        <v>0</v>
      </c>
      <c r="BP267" s="88">
        <f t="shared" si="4091"/>
        <v>0</v>
      </c>
      <c r="BQ267" s="85">
        <f t="shared" si="4092"/>
        <v>0</v>
      </c>
      <c r="BR267" s="86">
        <f t="shared" si="4093"/>
        <v>0</v>
      </c>
      <c r="BS267" s="87">
        <f t="shared" si="4094"/>
        <v>0</v>
      </c>
      <c r="BT267" s="87">
        <f t="shared" si="4095"/>
        <v>0</v>
      </c>
      <c r="BU267" s="88">
        <f t="shared" si="4096"/>
        <v>0</v>
      </c>
      <c r="BV267" s="85">
        <f t="shared" si="4097"/>
        <v>0</v>
      </c>
      <c r="BW267" s="86">
        <f t="shared" si="4098"/>
        <v>0</v>
      </c>
      <c r="BX267" s="87">
        <f t="shared" si="4099"/>
        <v>0</v>
      </c>
      <c r="BY267" s="87">
        <f t="shared" si="4100"/>
        <v>0</v>
      </c>
      <c r="BZ267" s="88">
        <f t="shared" si="4101"/>
        <v>0</v>
      </c>
      <c r="CA267" s="85">
        <f t="shared" si="4102"/>
        <v>0</v>
      </c>
      <c r="CB267" s="86">
        <f t="shared" si="4103"/>
        <v>0</v>
      </c>
      <c r="CC267" s="87">
        <f t="shared" si="4104"/>
        <v>0</v>
      </c>
      <c r="CD267" s="87">
        <f t="shared" si="4105"/>
        <v>0</v>
      </c>
      <c r="CE267" s="88">
        <f t="shared" si="4106"/>
        <v>0</v>
      </c>
      <c r="CF267" s="85">
        <f t="shared" si="4107"/>
        <v>0</v>
      </c>
      <c r="CG267" s="86">
        <f t="shared" si="4108"/>
        <v>0</v>
      </c>
      <c r="CH267" s="87">
        <f t="shared" si="4109"/>
        <v>0</v>
      </c>
      <c r="CI267" s="87">
        <f t="shared" si="4110"/>
        <v>0</v>
      </c>
      <c r="CJ267" s="88">
        <f t="shared" si="4111"/>
        <v>0</v>
      </c>
      <c r="CK267" s="85">
        <f t="shared" si="4112"/>
        <v>0</v>
      </c>
      <c r="CL267" s="86">
        <f t="shared" si="4113"/>
        <v>0</v>
      </c>
      <c r="CM267" s="87">
        <f t="shared" si="4114"/>
        <v>0</v>
      </c>
      <c r="CN267" s="87">
        <f t="shared" si="4115"/>
        <v>0</v>
      </c>
      <c r="CO267" s="88">
        <f t="shared" si="4116"/>
        <v>0</v>
      </c>
      <c r="CP267" s="85">
        <f t="shared" si="4117"/>
        <v>0</v>
      </c>
      <c r="CQ267" s="86">
        <f t="shared" si="4118"/>
        <v>0</v>
      </c>
      <c r="CR267" s="87">
        <f t="shared" si="4119"/>
        <v>0</v>
      </c>
      <c r="CS267" s="87">
        <f t="shared" si="4120"/>
        <v>0</v>
      </c>
      <c r="CT267" s="88">
        <f t="shared" si="4121"/>
        <v>0</v>
      </c>
      <c r="CU267" s="85">
        <f t="shared" si="4122"/>
        <v>0</v>
      </c>
      <c r="CV267" s="86">
        <f t="shared" si="4123"/>
        <v>0</v>
      </c>
      <c r="CW267" s="87">
        <f t="shared" si="4124"/>
        <v>0</v>
      </c>
      <c r="CX267" s="87">
        <f t="shared" si="4125"/>
        <v>-2.1749999999999998</v>
      </c>
      <c r="CY267" s="88">
        <f t="shared" si="4126"/>
        <v>-2.1749999999999998</v>
      </c>
      <c r="CZ267" s="85">
        <f t="shared" si="4127"/>
        <v>-4.3499999999999996</v>
      </c>
    </row>
    <row r="268" spans="1:104" ht="12.75" customHeight="1">
      <c r="A268" s="1817"/>
      <c r="B268" s="2128"/>
      <c r="C268" s="2119">
        <v>3.3750000000000002E-2</v>
      </c>
      <c r="D268" s="2117"/>
      <c r="E268" s="2115">
        <f t="shared" si="4035"/>
        <v>150</v>
      </c>
      <c r="F268" s="2313">
        <v>150</v>
      </c>
      <c r="G268" s="1511">
        <v>150</v>
      </c>
      <c r="H268" s="1510">
        <v>2024</v>
      </c>
      <c r="I268" s="1831">
        <v>3.3750000000000002E-2</v>
      </c>
      <c r="J268" s="1832">
        <v>7</v>
      </c>
      <c r="L268" s="2001">
        <f t="shared" si="4036"/>
        <v>0</v>
      </c>
      <c r="M268" s="82">
        <f t="shared" si="4037"/>
        <v>0</v>
      </c>
      <c r="N268" s="83">
        <f t="shared" si="4038"/>
        <v>0</v>
      </c>
      <c r="O268" s="83">
        <f t="shared" si="4039"/>
        <v>0</v>
      </c>
      <c r="P268" s="84">
        <f t="shared" si="4040"/>
        <v>0</v>
      </c>
      <c r="Q268" s="81">
        <f t="shared" si="4041"/>
        <v>0</v>
      </c>
      <c r="R268" s="82">
        <f t="shared" si="4042"/>
        <v>0</v>
      </c>
      <c r="S268" s="83">
        <f t="shared" si="4043"/>
        <v>0</v>
      </c>
      <c r="T268" s="83">
        <f t="shared" si="4044"/>
        <v>0</v>
      </c>
      <c r="U268" s="84">
        <f t="shared" si="4045"/>
        <v>0</v>
      </c>
      <c r="V268" s="81">
        <f t="shared" si="4046"/>
        <v>0</v>
      </c>
      <c r="W268" s="82">
        <f t="shared" si="4047"/>
        <v>0</v>
      </c>
      <c r="X268" s="83">
        <f t="shared" si="4048"/>
        <v>0</v>
      </c>
      <c r="Y268" s="83">
        <f t="shared" si="4049"/>
        <v>0</v>
      </c>
      <c r="Z268" s="84">
        <f t="shared" si="4050"/>
        <v>0</v>
      </c>
      <c r="AA268" s="81">
        <f t="shared" si="4051"/>
        <v>0</v>
      </c>
      <c r="AB268" s="82">
        <f t="shared" si="4052"/>
        <v>0</v>
      </c>
      <c r="AC268" s="83">
        <f t="shared" si="4053"/>
        <v>0</v>
      </c>
      <c r="AD268" s="83">
        <f t="shared" si="4054"/>
        <v>0</v>
      </c>
      <c r="AE268" s="84">
        <f t="shared" si="4055"/>
        <v>0</v>
      </c>
      <c r="AF268" s="81">
        <f t="shared" si="4056"/>
        <v>0</v>
      </c>
      <c r="AG268" s="82">
        <f t="shared" si="4057"/>
        <v>0</v>
      </c>
      <c r="AH268" s="83">
        <f t="shared" si="4058"/>
        <v>0</v>
      </c>
      <c r="AI268" s="83">
        <f t="shared" si="4059"/>
        <v>0</v>
      </c>
      <c r="AJ268" s="84">
        <f t="shared" si="4060"/>
        <v>0</v>
      </c>
      <c r="AK268" s="81">
        <f t="shared" si="4061"/>
        <v>0</v>
      </c>
      <c r="AL268" s="82">
        <f t="shared" si="4062"/>
        <v>0</v>
      </c>
      <c r="AM268" s="83">
        <f t="shared" si="4063"/>
        <v>0</v>
      </c>
      <c r="AN268" s="83">
        <f t="shared" si="4064"/>
        <v>0</v>
      </c>
      <c r="AO268" s="84">
        <f t="shared" si="4065"/>
        <v>0</v>
      </c>
      <c r="AP268" s="81">
        <f t="shared" si="4066"/>
        <v>0</v>
      </c>
      <c r="AQ268" s="82">
        <f t="shared" si="4067"/>
        <v>0</v>
      </c>
      <c r="AR268" s="83">
        <f t="shared" si="4068"/>
        <v>0</v>
      </c>
      <c r="AS268" s="83">
        <f t="shared" si="4069"/>
        <v>0</v>
      </c>
      <c r="AT268" s="84">
        <f t="shared" si="4070"/>
        <v>0</v>
      </c>
      <c r="AU268" s="81">
        <f t="shared" si="4071"/>
        <v>0</v>
      </c>
      <c r="AV268" s="82">
        <f t="shared" si="4072"/>
        <v>0</v>
      </c>
      <c r="AW268" s="83">
        <f t="shared" si="4073"/>
        <v>0</v>
      </c>
      <c r="AX268" s="83">
        <f t="shared" si="4074"/>
        <v>0</v>
      </c>
      <c r="AY268" s="84">
        <f t="shared" si="4075"/>
        <v>0</v>
      </c>
      <c r="AZ268" s="81">
        <f t="shared" si="4076"/>
        <v>0</v>
      </c>
      <c r="BA268" s="82">
        <f t="shared" si="4077"/>
        <v>0</v>
      </c>
      <c r="BB268" s="83">
        <f t="shared" si="4078"/>
        <v>0</v>
      </c>
      <c r="BC268" s="83">
        <f t="shared" si="4079"/>
        <v>0</v>
      </c>
      <c r="BD268" s="84">
        <f t="shared" si="4080"/>
        <v>0</v>
      </c>
      <c r="BE268" s="81">
        <f t="shared" si="4081"/>
        <v>0</v>
      </c>
      <c r="BF268" s="1877"/>
      <c r="BG268" s="2005">
        <f t="shared" si="4082"/>
        <v>0</v>
      </c>
      <c r="BH268" s="86">
        <f t="shared" si="4083"/>
        <v>0</v>
      </c>
      <c r="BI268" s="87">
        <f t="shared" si="4084"/>
        <v>0</v>
      </c>
      <c r="BJ268" s="87">
        <f t="shared" si="4085"/>
        <v>0</v>
      </c>
      <c r="BK268" s="88">
        <f t="shared" si="4086"/>
        <v>0</v>
      </c>
      <c r="BL268" s="85">
        <f t="shared" si="4087"/>
        <v>0</v>
      </c>
      <c r="BM268" s="86">
        <f t="shared" si="4088"/>
        <v>0</v>
      </c>
      <c r="BN268" s="87">
        <f t="shared" si="4089"/>
        <v>0</v>
      </c>
      <c r="BO268" s="87">
        <f t="shared" si="4090"/>
        <v>0</v>
      </c>
      <c r="BP268" s="88">
        <f t="shared" si="4091"/>
        <v>0</v>
      </c>
      <c r="BQ268" s="85">
        <f t="shared" si="4092"/>
        <v>0</v>
      </c>
      <c r="BR268" s="86">
        <f t="shared" si="4093"/>
        <v>0</v>
      </c>
      <c r="BS268" s="87">
        <f t="shared" si="4094"/>
        <v>0</v>
      </c>
      <c r="BT268" s="87">
        <f t="shared" si="4095"/>
        <v>0</v>
      </c>
      <c r="BU268" s="88">
        <f t="shared" si="4096"/>
        <v>0</v>
      </c>
      <c r="BV268" s="85">
        <f t="shared" si="4097"/>
        <v>0</v>
      </c>
      <c r="BW268" s="86">
        <f t="shared" si="4098"/>
        <v>0</v>
      </c>
      <c r="BX268" s="87">
        <f t="shared" si="4099"/>
        <v>0</v>
      </c>
      <c r="BY268" s="87">
        <f t="shared" si="4100"/>
        <v>0</v>
      </c>
      <c r="BZ268" s="88">
        <f t="shared" si="4101"/>
        <v>0</v>
      </c>
      <c r="CA268" s="85">
        <f t="shared" si="4102"/>
        <v>0</v>
      </c>
      <c r="CB268" s="86">
        <f t="shared" si="4103"/>
        <v>0</v>
      </c>
      <c r="CC268" s="87">
        <f t="shared" si="4104"/>
        <v>0</v>
      </c>
      <c r="CD268" s="87">
        <f t="shared" si="4105"/>
        <v>0</v>
      </c>
      <c r="CE268" s="88">
        <f t="shared" si="4106"/>
        <v>0</v>
      </c>
      <c r="CF268" s="85">
        <f t="shared" si="4107"/>
        <v>0</v>
      </c>
      <c r="CG268" s="86">
        <f t="shared" si="4108"/>
        <v>0</v>
      </c>
      <c r="CH268" s="87">
        <f t="shared" si="4109"/>
        <v>0</v>
      </c>
      <c r="CI268" s="87">
        <f t="shared" si="4110"/>
        <v>0</v>
      </c>
      <c r="CJ268" s="88">
        <f t="shared" si="4111"/>
        <v>0</v>
      </c>
      <c r="CK268" s="85">
        <f t="shared" si="4112"/>
        <v>0</v>
      </c>
      <c r="CL268" s="86">
        <f t="shared" si="4113"/>
        <v>0</v>
      </c>
      <c r="CM268" s="87">
        <f t="shared" si="4114"/>
        <v>0</v>
      </c>
      <c r="CN268" s="87">
        <f t="shared" si="4115"/>
        <v>0</v>
      </c>
      <c r="CO268" s="88">
        <f t="shared" si="4116"/>
        <v>0</v>
      </c>
      <c r="CP268" s="85">
        <f t="shared" si="4117"/>
        <v>0</v>
      </c>
      <c r="CQ268" s="86">
        <f t="shared" si="4118"/>
        <v>0</v>
      </c>
      <c r="CR268" s="87">
        <f t="shared" si="4119"/>
        <v>0</v>
      </c>
      <c r="CS268" s="87">
        <f t="shared" si="4120"/>
        <v>0</v>
      </c>
      <c r="CT268" s="88">
        <f t="shared" si="4121"/>
        <v>0</v>
      </c>
      <c r="CU268" s="85">
        <f t="shared" si="4122"/>
        <v>0</v>
      </c>
      <c r="CV268" s="86">
        <f t="shared" si="4123"/>
        <v>0</v>
      </c>
      <c r="CW268" s="87">
        <f t="shared" si="4124"/>
        <v>0</v>
      </c>
      <c r="CX268" s="87">
        <f t="shared" si="4125"/>
        <v>0</v>
      </c>
      <c r="CY268" s="88">
        <f t="shared" si="4126"/>
        <v>0</v>
      </c>
      <c r="CZ268" s="85">
        <f t="shared" si="4127"/>
        <v>0</v>
      </c>
    </row>
    <row r="269" spans="1:104" ht="12.75" customHeight="1">
      <c r="A269" s="1817"/>
      <c r="B269" s="2128"/>
      <c r="C269" s="2119">
        <v>3.5000000000000003E-2</v>
      </c>
      <c r="D269" s="2117"/>
      <c r="E269" s="2115">
        <f t="shared" si="4035"/>
        <v>150</v>
      </c>
      <c r="F269" s="2313">
        <v>150</v>
      </c>
      <c r="G269" s="1511">
        <v>150</v>
      </c>
      <c r="H269" s="1510">
        <v>2025</v>
      </c>
      <c r="I269" s="1831">
        <v>3.5000000000000003E-2</v>
      </c>
      <c r="J269" s="1832">
        <v>7</v>
      </c>
      <c r="L269" s="2001">
        <f t="shared" si="4036"/>
        <v>0</v>
      </c>
      <c r="M269" s="82">
        <f t="shared" ref="M269" si="4128">IF(Q269=0,0,IF(Q269&lt;0,IF($J269=3,Q269,IF($J269=2,Q269,IF($J269=1,Q269,0)))))</f>
        <v>0</v>
      </c>
      <c r="N269" s="83">
        <f t="shared" ref="N269" si="4129">IF(Q269=0,0,IF(Q269&lt;0,IF($J269=6,Q269,IF($J269=5,Q269,IF($J269=4,Q269,0)))))</f>
        <v>0</v>
      </c>
      <c r="O269" s="83">
        <f t="shared" ref="O269" si="4130">IF(Q269=0,0,IF(Q269&lt;0,IF($J269=9,Q269,IF($J269=8,Q269,IF($J269=7,Q269,0)))))</f>
        <v>0</v>
      </c>
      <c r="P269" s="84">
        <f t="shared" ref="P269" si="4131">IF(Q269=0,0,IF(Q269&lt;0,IF($J269=12,Q269,IF($J269=11,Q269,IF($J269=10,Q269,0)))))</f>
        <v>0</v>
      </c>
      <c r="Q269" s="81">
        <f t="shared" si="4041"/>
        <v>0</v>
      </c>
      <c r="R269" s="82">
        <f t="shared" ref="R269" si="4132">IF(V269=0,0,IF(V269&lt;0,IF($J269=3,V269,IF($J269=2,V269,IF($J269=1,V269,0)))))</f>
        <v>0</v>
      </c>
      <c r="S269" s="83">
        <f t="shared" ref="S269" si="4133">IF(V269=0,0,IF(V269&lt;0,IF($J269=6,V269,IF($J269=5,V269,IF($J269=4,V269,0)))))</f>
        <v>0</v>
      </c>
      <c r="T269" s="83">
        <f t="shared" ref="T269" si="4134">IF(V269=0,0,IF(V269&lt;0,IF($J269=9,V269,IF($J269=8,V269,IF($J269=7,V269,0)))))</f>
        <v>0</v>
      </c>
      <c r="U269" s="84">
        <f t="shared" ref="U269" si="4135">IF(V269=0,0,IF(V269&lt;0,IF($J269=12,V269,IF($J269=11,V269,IF($J269=10,V269,0)))))</f>
        <v>0</v>
      </c>
      <c r="V269" s="81">
        <f t="shared" si="4046"/>
        <v>0</v>
      </c>
      <c r="W269" s="82">
        <f t="shared" ref="W269" si="4136">IF(AA269=0,0,IF(AA269&lt;0,IF($J269=3,AA269,IF($J269=2,AA269,IF($J269=1,AA269,0)))))</f>
        <v>0</v>
      </c>
      <c r="X269" s="83">
        <f t="shared" ref="X269" si="4137">IF(AA269=0,0,IF(AA269&lt;0,IF($J269=6,AA269,IF($J269=5,AA269,IF($J269=4,AA269,0)))))</f>
        <v>0</v>
      </c>
      <c r="Y269" s="83">
        <f t="shared" ref="Y269" si="4138">IF(AA269=0,0,IF(AA269&lt;0,IF($J269=9,AA269,IF($J269=8,AA269,IF($J269=7,AA269,0)))))</f>
        <v>0</v>
      </c>
      <c r="Z269" s="84">
        <f t="shared" ref="Z269" si="4139">IF(AA269=0,0,IF(AA269&lt;0,IF($J269=12,AA269,IF($J269=11,AA269,IF($J269=10,AA269,0)))))</f>
        <v>0</v>
      </c>
      <c r="AA269" s="81">
        <f t="shared" si="4051"/>
        <v>0</v>
      </c>
      <c r="AB269" s="82">
        <f t="shared" ref="AB269" si="4140">IF(AF269=0,0,IF(AF269&lt;0,IF($J269=3,AF269,IF($J269=2,AF269,IF($J269=1,AF269,0)))))</f>
        <v>0</v>
      </c>
      <c r="AC269" s="83">
        <f t="shared" ref="AC269" si="4141">IF(AF269=0,0,IF(AF269&lt;0,IF($J269=6,AF269,IF($J269=5,AF269,IF($J269=4,AF269,0)))))</f>
        <v>0</v>
      </c>
      <c r="AD269" s="83">
        <f t="shared" ref="AD269" si="4142">IF(AF269=0,0,IF(AF269&lt;0,IF($J269=9,AF269,IF($J269=8,AF269,IF($J269=7,AF269,0)))))</f>
        <v>0</v>
      </c>
      <c r="AE269" s="84">
        <f t="shared" ref="AE269" si="4143">IF(AF269=0,0,IF(AF269&lt;0,IF($J269=12,AF269,IF($J269=11,AF269,IF($J269=10,AF269,0)))))</f>
        <v>0</v>
      </c>
      <c r="AF269" s="81">
        <f t="shared" si="4056"/>
        <v>0</v>
      </c>
      <c r="AG269" s="82">
        <f t="shared" ref="AG269" si="4144">IF(AK269=0,0,IF(AK269&lt;0,IF($J269=3,AK269,IF($J269=2,AK269,IF($J269=1,AK269,0)))))</f>
        <v>0</v>
      </c>
      <c r="AH269" s="83">
        <f t="shared" ref="AH269" si="4145">IF(AK269=0,0,IF(AK269&lt;0,IF($J269=6,AK269,IF($J269=5,AK269,IF($J269=4,AK269,0)))))</f>
        <v>0</v>
      </c>
      <c r="AI269" s="83">
        <f t="shared" ref="AI269" si="4146">IF(AK269=0,0,IF(AK269&lt;0,IF($J269=9,AK269,IF($J269=8,AK269,IF($J269=7,AK269,0)))))</f>
        <v>0</v>
      </c>
      <c r="AJ269" s="84">
        <f t="shared" ref="AJ269" si="4147">IF(AK269=0,0,IF(AK269&lt;0,IF($J269=12,AK269,IF($J269=11,AK269,IF($J269=10,AK269,0)))))</f>
        <v>0</v>
      </c>
      <c r="AK269" s="81">
        <f t="shared" si="4061"/>
        <v>0</v>
      </c>
      <c r="AL269" s="82">
        <f t="shared" ref="AL269" si="4148">IF(AP269=0,0,IF(AP269&lt;0,IF($J269=3,AP269,IF($J269=2,AP269,IF($J269=1,AP269,0)))))</f>
        <v>0</v>
      </c>
      <c r="AM269" s="83">
        <f t="shared" ref="AM269" si="4149">IF(AP269=0,0,IF(AP269&lt;0,IF($J269=6,AP269,IF($J269=5,AP269,IF($J269=4,AP269,0)))))</f>
        <v>0</v>
      </c>
      <c r="AN269" s="83">
        <f t="shared" ref="AN269" si="4150">IF(AP269=0,0,IF(AP269&lt;0,IF($J269=9,AP269,IF($J269=8,AP269,IF($J269=7,AP269,0)))))</f>
        <v>0</v>
      </c>
      <c r="AO269" s="84">
        <f t="shared" ref="AO269" si="4151">IF(AP269=0,0,IF(AP269&lt;0,IF($J269=12,AP269,IF($J269=11,AP269,IF($J269=10,AP269,0)))))</f>
        <v>0</v>
      </c>
      <c r="AP269" s="81">
        <f t="shared" si="4066"/>
        <v>0</v>
      </c>
      <c r="AQ269" s="82">
        <f t="shared" si="4067"/>
        <v>0</v>
      </c>
      <c r="AR269" s="83">
        <f t="shared" si="4068"/>
        <v>0</v>
      </c>
      <c r="AS269" s="83">
        <f t="shared" si="4069"/>
        <v>0</v>
      </c>
      <c r="AT269" s="84">
        <f t="shared" si="4070"/>
        <v>0</v>
      </c>
      <c r="AU269" s="81">
        <f t="shared" si="4071"/>
        <v>0</v>
      </c>
      <c r="AV269" s="82">
        <f t="shared" si="4072"/>
        <v>0</v>
      </c>
      <c r="AW269" s="83">
        <f t="shared" si="4073"/>
        <v>0</v>
      </c>
      <c r="AX269" s="83">
        <f t="shared" si="4074"/>
        <v>0</v>
      </c>
      <c r="AY269" s="84">
        <f t="shared" si="4075"/>
        <v>0</v>
      </c>
      <c r="AZ269" s="81">
        <f t="shared" si="4076"/>
        <v>0</v>
      </c>
      <c r="BA269" s="82">
        <f t="shared" si="4077"/>
        <v>0</v>
      </c>
      <c r="BB269" s="83">
        <f t="shared" si="4078"/>
        <v>0</v>
      </c>
      <c r="BC269" s="83">
        <f t="shared" si="4079"/>
        <v>0</v>
      </c>
      <c r="BD269" s="84">
        <f t="shared" si="4080"/>
        <v>0</v>
      </c>
      <c r="BE269" s="81">
        <f t="shared" si="4081"/>
        <v>0</v>
      </c>
      <c r="BF269" s="1877"/>
      <c r="BG269" s="2005">
        <f t="shared" ref="BG269" si="4152">IF(AND(BF269&lt;&gt;0,BF$5=$H269),-$I269*$E269-BF269,IF(BG$5=$H269,-$I269*$E269*(12-$J269+1)/12,0))</f>
        <v>0</v>
      </c>
      <c r="BH269" s="86">
        <f t="shared" ref="BH269" si="4153">IF($H269&lt;&gt;BL$5,0,IF(BL269&lt;0,IF($J269=1,-$E269*$I269/12*3,IF($J269=2,-$E269*$I269/12*2,IF($J269=3,-$E269*$I269/12*1,0)))))+IF(BG$5&lt;&gt;$H269,0,IF(BG269&lt;0,IF($J269=1,-$E269*$I269/12*0,IF($J269=2,-$E269*$I269/12*1,IF($J269=3,-$E269*$I269/12*2,IF($J269&gt;=4,-$E269*$I269/12*3,0))))))</f>
        <v>0</v>
      </c>
      <c r="BI269" s="87">
        <f t="shared" ref="BI269" si="4154">IF($H269&lt;&gt;BL$5,0,IF(BL269&lt;0,IF(OR($J269=1,$J269=2,$J269=3,$J269=4),-$E269*$I269/12*3,IF($J269=5,-$E269*$I269/12*2,IF($J269=6,-$E269*$I269/12*1,0)))))+IF(BG$5&lt;&gt;$H269,0,IF(BG269&lt;0,IF($J269=4,-$E269*$I269/12*0,IF($J269=5,-$E269*$I269/12*1,IF($J269=6,-$E269*$I269/12*2,IF($J269&gt;=7,-$E269*$I269/12*3,0))))))</f>
        <v>0</v>
      </c>
      <c r="BJ269" s="87">
        <f t="shared" ref="BJ269" si="4155">IF($H269&lt;&gt;BL$5,0,IF(BL269&lt;0,IF(OR($J269=1,$J269=2,$J269=3,$J269=4,$J269=5,$J269=6,$J269=7),-$E269*$I269/12*3,IF($J269=8,-$E269*$I269/12*2,IF($J269=9,-$E269*$I269/12*1,0)))))+IF(BG$5&lt;&gt;$H269,0,IF(BG269&lt;0,IF($J269=7,-$E269*$I269/12*0,IF($J269=8,-$E269*$I269/12*1,IF($J269=9,-$E269*$I269/12*2,IF($J269&gt;=10,-$E269*$I269/12*3,0))))))</f>
        <v>0</v>
      </c>
      <c r="BK269" s="88">
        <f t="shared" ref="BK269" si="4156">IF($H269&lt;&gt;BL$5,0,IF(BL269&lt;0,IF(OR($J269=1,$J269=2,$J269=3,$J269=4,$J269=5,$J269=6,$J269=7,$J269=8,$J269=9,$J269=10),-$E269*$I269/12*3,IF($J269=11,-$E269*$I269/12*2,IF($J269=12,-$E269*$I269/12*1,0)))))+IF(BG$5&lt;&gt;$H269,0,IF(BG269&lt;0,IF($J269=10,-$E269*$I269/12*0,IF($J269=11,-$E269*$I269/12*1,IF($J269=12,-$E269*$I269/12*2,0)))))</f>
        <v>0</v>
      </c>
      <c r="BL269" s="85">
        <f t="shared" ref="BL269" si="4157">IF(AND(BG269&lt;&gt;0,BG$5=$H269),-$I269*$E269-BG269,IF(BL$5=$H269,-$I269*$E269*(12-$J269+1)/12,0))</f>
        <v>0</v>
      </c>
      <c r="BM269" s="86">
        <f t="shared" ref="BM269" si="4158">IF($H269&lt;&gt;BQ$5,0,IF(BQ269&lt;0,IF($J269=1,-$E269*$I269/12*3,IF($J269=2,-$E269*$I269/12*2,IF($J269=3,-$E269*$I269/12*1,0)))))+IF(BL$5&lt;&gt;$H269,0,IF(BL269&lt;0,IF($J269=1,-$E269*$I269/12*0,IF($J269=2,-$E269*$I269/12*1,IF($J269=3,-$E269*$I269/12*2,IF($J269&gt;=4,-$E269*$I269/12*3,0))))))</f>
        <v>0</v>
      </c>
      <c r="BN269" s="87">
        <f t="shared" ref="BN269" si="4159">IF($H269&lt;&gt;BQ$5,0,IF(BQ269&lt;0,IF(OR($J269=1,$J269=2,$J269=3,$J269=4),-$E269*$I269/12*3,IF($J269=5,-$E269*$I269/12*2,IF($J269=6,-$E269*$I269/12*1,0)))))+IF(BL$5&lt;&gt;$H269,0,IF(BL269&lt;0,IF($J269=4,-$E269*$I269/12*0,IF($J269=5,-$E269*$I269/12*1,IF($J269=6,-$E269*$I269/12*2,IF($J269&gt;=7,-$E269*$I269/12*3,0))))))</f>
        <v>0</v>
      </c>
      <c r="BO269" s="87">
        <f t="shared" ref="BO269" si="4160">IF($H269&lt;&gt;BQ$5,0,IF(BQ269&lt;0,IF(OR($J269=1,$J269=2,$J269=3,$J269=4,$J269=5,$J269=6,$J269=7),-$E269*$I269/12*3,IF($J269=8,-$E269*$I269/12*2,IF($J269=9,-$E269*$I269/12*1,0)))))+IF(BL$5&lt;&gt;$H269,0,IF(BL269&lt;0,IF($J269=7,-$E269*$I269/12*0,IF($J269=8,-$E269*$I269/12*1,IF($J269=9,-$E269*$I269/12*2,IF($J269&gt;=10,-$E269*$I269/12*3,0))))))</f>
        <v>0</v>
      </c>
      <c r="BP269" s="88">
        <f t="shared" ref="BP269" si="4161">IF($H269&lt;&gt;BQ$5,0,IF(BQ269&lt;0,IF(OR($J269=1,$J269=2,$J269=3,$J269=4,$J269=5,$J269=6,$J269=7,$J269=8,$J269=9,$J269=10),-$E269*$I269/12*3,IF($J269=11,-$E269*$I269/12*2,IF($J269=12,-$E269*$I269/12*1,0)))))+IF(BL$5&lt;&gt;$H269,0,IF(BL269&lt;0,IF($J269=10,-$E269*$I269/12*0,IF($J269=11,-$E269*$I269/12*1,IF($J269=12,-$E269*$I269/12*2,0)))))</f>
        <v>0</v>
      </c>
      <c r="BQ269" s="85">
        <f t="shared" ref="BQ269" si="4162">IF(AND(BL269&lt;&gt;0,BL$5=$H269),-$I269*$E269-BL269,IF(BQ$5=$H269,-$I269*$E269*(12-$J269+1)/12,0))</f>
        <v>0</v>
      </c>
      <c r="BR269" s="86">
        <f t="shared" ref="BR269" si="4163">IF($H269&lt;&gt;BV$5,0,IF(BV269&lt;0,IF($J269=1,-$E269*$I269/12*3,IF($J269=2,-$E269*$I269/12*2,IF($J269=3,-$E269*$I269/12*1,0)))))+IF(BQ$5&lt;&gt;$H269,0,IF(BQ269&lt;0,IF($J269=1,-$E269*$I269/12*0,IF($J269=2,-$E269*$I269/12*1,IF($J269=3,-$E269*$I269/12*2,IF($J269&gt;=4,-$E269*$I269/12*3,0))))))</f>
        <v>0</v>
      </c>
      <c r="BS269" s="87">
        <f t="shared" ref="BS269" si="4164">IF($H269&lt;&gt;BV$5,0,IF(BV269&lt;0,IF(OR($J269=1,$J269=2,$J269=3,$J269=4),-$E269*$I269/12*3,IF($J269=5,-$E269*$I269/12*2,IF($J269=6,-$E269*$I269/12*1,0)))))+IF(BQ$5&lt;&gt;$H269,0,IF(BQ269&lt;0,IF($J269=4,-$E269*$I269/12*0,IF($J269=5,-$E269*$I269/12*1,IF($J269=6,-$E269*$I269/12*2,IF($J269&gt;=7,-$E269*$I269/12*3,0))))))</f>
        <v>0</v>
      </c>
      <c r="BT269" s="87">
        <f t="shared" ref="BT269" si="4165">IF($H269&lt;&gt;BV$5,0,IF(BV269&lt;0,IF(OR($J269=1,$J269=2,$J269=3,$J269=4,$J269=5,$J269=6,$J269=7),-$E269*$I269/12*3,IF($J269=8,-$E269*$I269/12*2,IF($J269=9,-$E269*$I269/12*1,0)))))+IF(BQ$5&lt;&gt;$H269,0,IF(BQ269&lt;0,IF($J269=7,-$E269*$I269/12*0,IF($J269=8,-$E269*$I269/12*1,IF($J269=9,-$E269*$I269/12*2,IF($J269&gt;=10,-$E269*$I269/12*3,0))))))</f>
        <v>0</v>
      </c>
      <c r="BU269" s="88">
        <f t="shared" ref="BU269" si="4166">IF($H269&lt;&gt;BV$5,0,IF(BV269&lt;0,IF(OR($J269=1,$J269=2,$J269=3,$J269=4,$J269=5,$J269=6,$J269=7,$J269=8,$J269=9,$J269=10),-$E269*$I269/12*3,IF($J269=11,-$E269*$I269/12*2,IF($J269=12,-$E269*$I269/12*1,0)))))+IF(BQ$5&lt;&gt;$H269,0,IF(BQ269&lt;0,IF($J269=10,-$E269*$I269/12*0,IF($J269=11,-$E269*$I269/12*1,IF($J269=12,-$E269*$I269/12*2,0)))))</f>
        <v>0</v>
      </c>
      <c r="BV269" s="85">
        <f t="shared" ref="BV269" si="4167">IF(AND(BQ269&lt;&gt;0,BQ$5=$H269),-$I269*$E269-BQ269,IF(BV$5=$H269,-$I269*$E269*(12-$J269+1)/12,0))</f>
        <v>0</v>
      </c>
      <c r="BW269" s="86">
        <f t="shared" ref="BW269" si="4168">IF($H269&lt;&gt;CA$5,0,IF(CA269&lt;0,IF($J269=1,-$E269*$I269/12*3,IF($J269=2,-$E269*$I269/12*2,IF($J269=3,-$E269*$I269/12*1,0)))))+IF(BV$5&lt;&gt;$H269,0,IF(BV269&lt;0,IF($J269=1,-$E269*$I269/12*0,IF($J269=2,-$E269*$I269/12*1,IF($J269=3,-$E269*$I269/12*2,IF($J269&gt;=4,-$E269*$I269/12*3,0))))))</f>
        <v>0</v>
      </c>
      <c r="BX269" s="87">
        <f t="shared" ref="BX269" si="4169">IF($H269&lt;&gt;CA$5,0,IF(CA269&lt;0,IF(OR($J269=1,$J269=2,$J269=3,$J269=4),-$E269*$I269/12*3,IF($J269=5,-$E269*$I269/12*2,IF($J269=6,-$E269*$I269/12*1,0)))))+IF(BV$5&lt;&gt;$H269,0,IF(BV269&lt;0,IF($J269=4,-$E269*$I269/12*0,IF($J269=5,-$E269*$I269/12*1,IF($J269=6,-$E269*$I269/12*2,IF($J269&gt;=7,-$E269*$I269/12*3,0))))))</f>
        <v>0</v>
      </c>
      <c r="BY269" s="87">
        <f t="shared" ref="BY269" si="4170">IF($H269&lt;&gt;CA$5,0,IF(CA269&lt;0,IF(OR($J269=1,$J269=2,$J269=3,$J269=4,$J269=5,$J269=6,$J269=7),-$E269*$I269/12*3,IF($J269=8,-$E269*$I269/12*2,IF($J269=9,-$E269*$I269/12*1,0)))))+IF(BV$5&lt;&gt;$H269,0,IF(BV269&lt;0,IF($J269=7,-$E269*$I269/12*0,IF($J269=8,-$E269*$I269/12*1,IF($J269=9,-$E269*$I269/12*2,IF($J269&gt;=10,-$E269*$I269/12*3,0))))))</f>
        <v>0</v>
      </c>
      <c r="BZ269" s="88">
        <f t="shared" ref="BZ269" si="4171">IF($H269&lt;&gt;CA$5,0,IF(CA269&lt;0,IF(OR($J269=1,$J269=2,$J269=3,$J269=4,$J269=5,$J269=6,$J269=7,$J269=8,$J269=9,$J269=10),-$E269*$I269/12*3,IF($J269=11,-$E269*$I269/12*2,IF($J269=12,-$E269*$I269/12*1,0)))))+IF(BV$5&lt;&gt;$H269,0,IF(BV269&lt;0,IF($J269=10,-$E269*$I269/12*0,IF($J269=11,-$E269*$I269/12*1,IF($J269=12,-$E269*$I269/12*2,0)))))</f>
        <v>0</v>
      </c>
      <c r="CA269" s="85">
        <f t="shared" ref="CA269" si="4172">IF(AND(BV269&lt;&gt;0,BV$5=$H269),-$I269*$E269-BV269,IF(CA$5=$H269,-$I269*$E269*(12-$J269+1)/12,0))</f>
        <v>0</v>
      </c>
      <c r="CB269" s="86">
        <f t="shared" ref="CB269" si="4173">IF($H269&lt;&gt;CF$5,0,IF(CF269&lt;0,IF($J269=1,-$E269*$I269/12*3,IF($J269=2,-$E269*$I269/12*2,IF($J269=3,-$E269*$I269/12*1,0)))))+IF(CA$5&lt;&gt;$H269,0,IF(CA269&lt;0,IF($J269=1,-$E269*$I269/12*0,IF($J269=2,-$E269*$I269/12*1,IF($J269=3,-$E269*$I269/12*2,IF($J269&gt;=4,-$E269*$I269/12*3,0))))))</f>
        <v>0</v>
      </c>
      <c r="CC269" s="87">
        <f t="shared" ref="CC269" si="4174">IF($H269&lt;&gt;CF$5,0,IF(CF269&lt;0,IF(OR($J269=1,$J269=2,$J269=3,$J269=4),-$E269*$I269/12*3,IF($J269=5,-$E269*$I269/12*2,IF($J269=6,-$E269*$I269/12*1,0)))))+IF(CA$5&lt;&gt;$H269,0,IF(CA269&lt;0,IF($J269=4,-$E269*$I269/12*0,IF($J269=5,-$E269*$I269/12*1,IF($J269=6,-$E269*$I269/12*2,IF($J269&gt;=7,-$E269*$I269/12*3,0))))))</f>
        <v>0</v>
      </c>
      <c r="CD269" s="87">
        <f t="shared" ref="CD269" si="4175">IF($H269&lt;&gt;CF$5,0,IF(CF269&lt;0,IF(OR($J269=1,$J269=2,$J269=3,$J269=4,$J269=5,$J269=6,$J269=7),-$E269*$I269/12*3,IF($J269=8,-$E269*$I269/12*2,IF($J269=9,-$E269*$I269/12*1,0)))))+IF(CA$5&lt;&gt;$H269,0,IF(CA269&lt;0,IF($J269=7,-$E269*$I269/12*0,IF($J269=8,-$E269*$I269/12*1,IF($J269=9,-$E269*$I269/12*2,IF($J269&gt;=10,-$E269*$I269/12*3,0))))))</f>
        <v>0</v>
      </c>
      <c r="CE269" s="88">
        <f t="shared" ref="CE269" si="4176">IF($H269&lt;&gt;CF$5,0,IF(CF269&lt;0,IF(OR($J269=1,$J269=2,$J269=3,$J269=4,$J269=5,$J269=6,$J269=7,$J269=8,$J269=9,$J269=10),-$E269*$I269/12*3,IF($J269=11,-$E269*$I269/12*2,IF($J269=12,-$E269*$I269/12*1,0)))))+IF(CA$5&lt;&gt;$H269,0,IF(CA269&lt;0,IF($J269=10,-$E269*$I269/12*0,IF($J269=11,-$E269*$I269/12*1,IF($J269=12,-$E269*$I269/12*2,0)))))</f>
        <v>0</v>
      </c>
      <c r="CF269" s="85">
        <f t="shared" ref="CF269" si="4177">IF(AND(CA269&lt;&gt;0,CA$5=$H269),-$I269*$E269-CA269,IF(CF$5=$H269,-$I269*$E269*(12-$J269+1)/12,0))</f>
        <v>0</v>
      </c>
      <c r="CG269" s="86">
        <f t="shared" ref="CG269" si="4178">IF($H269&lt;&gt;CK$5,0,IF(CK269&lt;0,IF($J269=1,-$E269*$I269/12*3,IF($J269=2,-$E269*$I269/12*2,IF($J269=3,-$E269*$I269/12*1,0)))))+IF(CF$5&lt;&gt;$H269,0,IF(CF269&lt;0,IF($J269=1,-$E269*$I269/12*0,IF($J269=2,-$E269*$I269/12*1,IF($J269=3,-$E269*$I269/12*2,IF($J269&gt;=4,-$E269*$I269/12*3,0))))))</f>
        <v>0</v>
      </c>
      <c r="CH269" s="87">
        <f t="shared" ref="CH269" si="4179">IF($H269&lt;&gt;CK$5,0,IF(CK269&lt;0,IF(OR($J269=1,$J269=2,$J269=3,$J269=4),-$E269*$I269/12*3,IF($J269=5,-$E269*$I269/12*2,IF($J269=6,-$E269*$I269/12*1,0)))))+IF(CF$5&lt;&gt;$H269,0,IF(CF269&lt;0,IF($J269=4,-$E269*$I269/12*0,IF($J269=5,-$E269*$I269/12*1,IF($J269=6,-$E269*$I269/12*2,IF($J269&gt;=7,-$E269*$I269/12*3,0))))))</f>
        <v>0</v>
      </c>
      <c r="CI269" s="87">
        <f t="shared" ref="CI269" si="4180">IF($H269&lt;&gt;CK$5,0,IF(CK269&lt;0,IF(OR($J269=1,$J269=2,$J269=3,$J269=4,$J269=5,$J269=6,$J269=7),-$E269*$I269/12*3,IF($J269=8,-$E269*$I269/12*2,IF($J269=9,-$E269*$I269/12*1,0)))))+IF(CF$5&lt;&gt;$H269,0,IF(CF269&lt;0,IF($J269=7,-$E269*$I269/12*0,IF($J269=8,-$E269*$I269/12*1,IF($J269=9,-$E269*$I269/12*2,IF($J269&gt;=10,-$E269*$I269/12*3,0))))))</f>
        <v>0</v>
      </c>
      <c r="CJ269" s="88">
        <f t="shared" ref="CJ269" si="4181">IF($H269&lt;&gt;CK$5,0,IF(CK269&lt;0,IF(OR($J269=1,$J269=2,$J269=3,$J269=4,$J269=5,$J269=6,$J269=7,$J269=8,$J269=9,$J269=10),-$E269*$I269/12*3,IF($J269=11,-$E269*$I269/12*2,IF($J269=12,-$E269*$I269/12*1,0)))))+IF(CF$5&lt;&gt;$H269,0,IF(CF269&lt;0,IF($J269=10,-$E269*$I269/12*0,IF($J269=11,-$E269*$I269/12*1,IF($J269=12,-$E269*$I269/12*2,0)))))</f>
        <v>0</v>
      </c>
      <c r="CK269" s="85">
        <f t="shared" ref="CK269" si="4182">IF(AND(CF269&lt;&gt;0,CF$5=$H269),-$I269*$E269-CF269,IF(CK$5=$H269,-$I269*$E269*(12-$J269+1)/12,0))</f>
        <v>0</v>
      </c>
      <c r="CL269" s="86">
        <f t="shared" si="4113"/>
        <v>0</v>
      </c>
      <c r="CM269" s="87">
        <f t="shared" si="4114"/>
        <v>0</v>
      </c>
      <c r="CN269" s="87">
        <f t="shared" si="4115"/>
        <v>0</v>
      </c>
      <c r="CO269" s="88">
        <f t="shared" si="4116"/>
        <v>0</v>
      </c>
      <c r="CP269" s="85">
        <f t="shared" si="4117"/>
        <v>0</v>
      </c>
      <c r="CQ269" s="86">
        <f t="shared" si="4118"/>
        <v>0</v>
      </c>
      <c r="CR269" s="87">
        <f t="shared" si="4119"/>
        <v>0</v>
      </c>
      <c r="CS269" s="87">
        <f t="shared" si="4120"/>
        <v>0</v>
      </c>
      <c r="CT269" s="88">
        <f t="shared" si="4121"/>
        <v>0</v>
      </c>
      <c r="CU269" s="85">
        <f t="shared" si="4122"/>
        <v>0</v>
      </c>
      <c r="CV269" s="86">
        <f t="shared" si="4123"/>
        <v>0</v>
      </c>
      <c r="CW269" s="87">
        <f t="shared" si="4124"/>
        <v>0</v>
      </c>
      <c r="CX269" s="87">
        <f t="shared" si="4125"/>
        <v>0</v>
      </c>
      <c r="CY269" s="88">
        <f t="shared" si="4126"/>
        <v>0</v>
      </c>
      <c r="CZ269" s="85">
        <f t="shared" si="4127"/>
        <v>0</v>
      </c>
    </row>
    <row r="270" spans="1:104" ht="12.75" customHeight="1">
      <c r="A270" s="1817"/>
      <c r="B270" s="2128"/>
      <c r="C270" s="2119">
        <v>4.8750000000000002E-2</v>
      </c>
      <c r="D270" s="2117"/>
      <c r="E270" s="2115">
        <f t="shared" si="4035"/>
        <v>23.15</v>
      </c>
      <c r="F270" s="2313">
        <v>23.15</v>
      </c>
      <c r="G270" s="1511">
        <v>23.15</v>
      </c>
      <c r="H270" s="1510">
        <v>2029</v>
      </c>
      <c r="I270" s="1831">
        <v>4.8750000000000002E-2</v>
      </c>
      <c r="J270" s="1832">
        <v>7</v>
      </c>
      <c r="L270" s="2001">
        <f t="shared" si="4036"/>
        <v>0</v>
      </c>
      <c r="M270" s="82">
        <f t="shared" si="4037"/>
        <v>0</v>
      </c>
      <c r="N270" s="83">
        <f t="shared" si="4038"/>
        <v>0</v>
      </c>
      <c r="O270" s="83">
        <f t="shared" si="4039"/>
        <v>0</v>
      </c>
      <c r="P270" s="84">
        <f t="shared" si="4040"/>
        <v>0</v>
      </c>
      <c r="Q270" s="81">
        <f t="shared" si="4041"/>
        <v>0</v>
      </c>
      <c r="R270" s="82">
        <f t="shared" si="4042"/>
        <v>0</v>
      </c>
      <c r="S270" s="83">
        <f t="shared" si="4043"/>
        <v>0</v>
      </c>
      <c r="T270" s="83">
        <f t="shared" si="4044"/>
        <v>0</v>
      </c>
      <c r="U270" s="84">
        <f t="shared" si="4045"/>
        <v>0</v>
      </c>
      <c r="V270" s="81">
        <f t="shared" si="4046"/>
        <v>0</v>
      </c>
      <c r="W270" s="82">
        <f t="shared" si="4047"/>
        <v>0</v>
      </c>
      <c r="X270" s="83">
        <f t="shared" si="4048"/>
        <v>0</v>
      </c>
      <c r="Y270" s="83">
        <f t="shared" si="4049"/>
        <v>0</v>
      </c>
      <c r="Z270" s="84">
        <f t="shared" si="4050"/>
        <v>0</v>
      </c>
      <c r="AA270" s="81">
        <f t="shared" si="4051"/>
        <v>0</v>
      </c>
      <c r="AB270" s="82">
        <f t="shared" si="4052"/>
        <v>0</v>
      </c>
      <c r="AC270" s="83">
        <f t="shared" si="4053"/>
        <v>0</v>
      </c>
      <c r="AD270" s="83">
        <f t="shared" si="4054"/>
        <v>0</v>
      </c>
      <c r="AE270" s="84">
        <f t="shared" si="4055"/>
        <v>0</v>
      </c>
      <c r="AF270" s="81">
        <f t="shared" si="4056"/>
        <v>0</v>
      </c>
      <c r="AG270" s="82">
        <f t="shared" si="4057"/>
        <v>0</v>
      </c>
      <c r="AH270" s="83">
        <f t="shared" si="4058"/>
        <v>0</v>
      </c>
      <c r="AI270" s="83">
        <f t="shared" si="4059"/>
        <v>0</v>
      </c>
      <c r="AJ270" s="84">
        <f t="shared" si="4060"/>
        <v>0</v>
      </c>
      <c r="AK270" s="81">
        <f t="shared" si="4061"/>
        <v>0</v>
      </c>
      <c r="AL270" s="82">
        <f t="shared" si="4062"/>
        <v>0</v>
      </c>
      <c r="AM270" s="83">
        <f t="shared" si="4063"/>
        <v>0</v>
      </c>
      <c r="AN270" s="83">
        <f t="shared" si="4064"/>
        <v>0</v>
      </c>
      <c r="AO270" s="84">
        <f t="shared" si="4065"/>
        <v>0</v>
      </c>
      <c r="AP270" s="81">
        <f t="shared" si="4066"/>
        <v>0</v>
      </c>
      <c r="AQ270" s="82">
        <f t="shared" si="4067"/>
        <v>0</v>
      </c>
      <c r="AR270" s="83">
        <f t="shared" si="4068"/>
        <v>0</v>
      </c>
      <c r="AS270" s="83">
        <f t="shared" si="4069"/>
        <v>0</v>
      </c>
      <c r="AT270" s="84">
        <f t="shared" si="4070"/>
        <v>0</v>
      </c>
      <c r="AU270" s="81">
        <f t="shared" si="4071"/>
        <v>0</v>
      </c>
      <c r="AV270" s="82">
        <f t="shared" si="4072"/>
        <v>0</v>
      </c>
      <c r="AW270" s="83">
        <f t="shared" si="4073"/>
        <v>0</v>
      </c>
      <c r="AX270" s="83">
        <f t="shared" si="4074"/>
        <v>0</v>
      </c>
      <c r="AY270" s="84">
        <f t="shared" si="4075"/>
        <v>0</v>
      </c>
      <c r="AZ270" s="81">
        <f t="shared" si="4076"/>
        <v>0</v>
      </c>
      <c r="BA270" s="82">
        <f t="shared" si="4077"/>
        <v>0</v>
      </c>
      <c r="BB270" s="83">
        <f t="shared" si="4078"/>
        <v>0</v>
      </c>
      <c r="BC270" s="83">
        <f t="shared" si="4079"/>
        <v>0</v>
      </c>
      <c r="BD270" s="84">
        <f t="shared" si="4080"/>
        <v>0</v>
      </c>
      <c r="BE270" s="81">
        <f t="shared" si="4081"/>
        <v>0</v>
      </c>
      <c r="BF270" s="1877"/>
      <c r="BG270" s="2005">
        <f t="shared" si="4082"/>
        <v>0</v>
      </c>
      <c r="BH270" s="86">
        <f t="shared" si="4083"/>
        <v>0</v>
      </c>
      <c r="BI270" s="87">
        <f t="shared" si="4084"/>
        <v>0</v>
      </c>
      <c r="BJ270" s="87">
        <f t="shared" si="4085"/>
        <v>0</v>
      </c>
      <c r="BK270" s="88">
        <f t="shared" si="4086"/>
        <v>0</v>
      </c>
      <c r="BL270" s="85">
        <f t="shared" si="4087"/>
        <v>0</v>
      </c>
      <c r="BM270" s="86">
        <f t="shared" si="4088"/>
        <v>0</v>
      </c>
      <c r="BN270" s="87">
        <f t="shared" si="4089"/>
        <v>0</v>
      </c>
      <c r="BO270" s="87">
        <f t="shared" si="4090"/>
        <v>0</v>
      </c>
      <c r="BP270" s="88">
        <f t="shared" si="4091"/>
        <v>0</v>
      </c>
      <c r="BQ270" s="85">
        <f t="shared" si="4092"/>
        <v>0</v>
      </c>
      <c r="BR270" s="86">
        <f t="shared" si="4093"/>
        <v>0</v>
      </c>
      <c r="BS270" s="87">
        <f t="shared" si="4094"/>
        <v>0</v>
      </c>
      <c r="BT270" s="87">
        <f t="shared" si="4095"/>
        <v>0</v>
      </c>
      <c r="BU270" s="88">
        <f t="shared" si="4096"/>
        <v>0</v>
      </c>
      <c r="BV270" s="85">
        <f t="shared" si="4097"/>
        <v>0</v>
      </c>
      <c r="BW270" s="86">
        <f t="shared" si="4098"/>
        <v>0</v>
      </c>
      <c r="BX270" s="87">
        <f t="shared" si="4099"/>
        <v>0</v>
      </c>
      <c r="BY270" s="87">
        <f t="shared" si="4100"/>
        <v>0</v>
      </c>
      <c r="BZ270" s="88">
        <f t="shared" si="4101"/>
        <v>0</v>
      </c>
      <c r="CA270" s="85">
        <f t="shared" si="4102"/>
        <v>0</v>
      </c>
      <c r="CB270" s="86">
        <f t="shared" si="4103"/>
        <v>0</v>
      </c>
      <c r="CC270" s="87">
        <f t="shared" si="4104"/>
        <v>0</v>
      </c>
      <c r="CD270" s="87">
        <f t="shared" si="4105"/>
        <v>0</v>
      </c>
      <c r="CE270" s="88">
        <f t="shared" si="4106"/>
        <v>0</v>
      </c>
      <c r="CF270" s="85">
        <f t="shared" si="4107"/>
        <v>0</v>
      </c>
      <c r="CG270" s="86">
        <f t="shared" si="4108"/>
        <v>0</v>
      </c>
      <c r="CH270" s="87">
        <f t="shared" si="4109"/>
        <v>0</v>
      </c>
      <c r="CI270" s="87">
        <f t="shared" si="4110"/>
        <v>0</v>
      </c>
      <c r="CJ270" s="88">
        <f t="shared" si="4111"/>
        <v>0</v>
      </c>
      <c r="CK270" s="85">
        <f t="shared" si="4112"/>
        <v>0</v>
      </c>
      <c r="CL270" s="86">
        <f t="shared" si="4113"/>
        <v>0</v>
      </c>
      <c r="CM270" s="87">
        <f t="shared" si="4114"/>
        <v>0</v>
      </c>
      <c r="CN270" s="87">
        <f t="shared" si="4115"/>
        <v>0</v>
      </c>
      <c r="CO270" s="88">
        <f t="shared" si="4116"/>
        <v>0</v>
      </c>
      <c r="CP270" s="85">
        <f t="shared" si="4117"/>
        <v>0</v>
      </c>
      <c r="CQ270" s="86">
        <f t="shared" si="4118"/>
        <v>0</v>
      </c>
      <c r="CR270" s="87">
        <f t="shared" si="4119"/>
        <v>0</v>
      </c>
      <c r="CS270" s="87">
        <f t="shared" si="4120"/>
        <v>0</v>
      </c>
      <c r="CT270" s="88">
        <f t="shared" si="4121"/>
        <v>0</v>
      </c>
      <c r="CU270" s="85">
        <f t="shared" si="4122"/>
        <v>0</v>
      </c>
      <c r="CV270" s="86">
        <f t="shared" si="4123"/>
        <v>0</v>
      </c>
      <c r="CW270" s="87">
        <f t="shared" si="4124"/>
        <v>0</v>
      </c>
      <c r="CX270" s="87">
        <f t="shared" si="4125"/>
        <v>0</v>
      </c>
      <c r="CY270" s="88">
        <f t="shared" si="4126"/>
        <v>0</v>
      </c>
      <c r="CZ270" s="85">
        <f t="shared" si="4127"/>
        <v>0</v>
      </c>
    </row>
    <row r="271" spans="1:104" ht="12.75" customHeight="1">
      <c r="A271" s="1817"/>
      <c r="B271" s="2128"/>
      <c r="C271" s="2119">
        <v>5.8000000000000003E-2</v>
      </c>
      <c r="D271" s="2117"/>
      <c r="E271" s="2115">
        <f t="shared" si="4035"/>
        <v>120</v>
      </c>
      <c r="F271" s="2313">
        <v>120</v>
      </c>
      <c r="G271" s="1511">
        <v>120</v>
      </c>
      <c r="H271" s="1510">
        <v>2034</v>
      </c>
      <c r="I271" s="1831">
        <v>5.8000000000000003E-2</v>
      </c>
      <c r="J271" s="1832">
        <v>7</v>
      </c>
      <c r="L271" s="2001">
        <f t="shared" si="4036"/>
        <v>0</v>
      </c>
      <c r="M271" s="82">
        <f t="shared" si="4037"/>
        <v>0</v>
      </c>
      <c r="N271" s="83">
        <f t="shared" si="4038"/>
        <v>0</v>
      </c>
      <c r="O271" s="83">
        <f t="shared" si="4039"/>
        <v>0</v>
      </c>
      <c r="P271" s="84">
        <f t="shared" si="4040"/>
        <v>0</v>
      </c>
      <c r="Q271" s="81">
        <f t="shared" si="4041"/>
        <v>0</v>
      </c>
      <c r="R271" s="82">
        <f t="shared" si="4042"/>
        <v>0</v>
      </c>
      <c r="S271" s="83">
        <f t="shared" si="4043"/>
        <v>0</v>
      </c>
      <c r="T271" s="83">
        <f t="shared" si="4044"/>
        <v>0</v>
      </c>
      <c r="U271" s="84">
        <f t="shared" si="4045"/>
        <v>0</v>
      </c>
      <c r="V271" s="81">
        <f t="shared" si="4046"/>
        <v>0</v>
      </c>
      <c r="W271" s="82">
        <f t="shared" si="4047"/>
        <v>0</v>
      </c>
      <c r="X271" s="83">
        <f t="shared" si="4048"/>
        <v>0</v>
      </c>
      <c r="Y271" s="83">
        <f t="shared" si="4049"/>
        <v>0</v>
      </c>
      <c r="Z271" s="84">
        <f t="shared" si="4050"/>
        <v>0</v>
      </c>
      <c r="AA271" s="81">
        <f t="shared" si="4051"/>
        <v>0</v>
      </c>
      <c r="AB271" s="82">
        <f t="shared" si="4052"/>
        <v>0</v>
      </c>
      <c r="AC271" s="83">
        <f t="shared" si="4053"/>
        <v>0</v>
      </c>
      <c r="AD271" s="83">
        <f t="shared" si="4054"/>
        <v>0</v>
      </c>
      <c r="AE271" s="84">
        <f t="shared" si="4055"/>
        <v>0</v>
      </c>
      <c r="AF271" s="81">
        <f t="shared" si="4056"/>
        <v>0</v>
      </c>
      <c r="AG271" s="82">
        <f t="shared" si="4057"/>
        <v>0</v>
      </c>
      <c r="AH271" s="83">
        <f t="shared" si="4058"/>
        <v>0</v>
      </c>
      <c r="AI271" s="83">
        <f t="shared" si="4059"/>
        <v>0</v>
      </c>
      <c r="AJ271" s="84">
        <f t="shared" si="4060"/>
        <v>0</v>
      </c>
      <c r="AK271" s="81">
        <f t="shared" si="4061"/>
        <v>0</v>
      </c>
      <c r="AL271" s="82">
        <f t="shared" si="4062"/>
        <v>0</v>
      </c>
      <c r="AM271" s="83">
        <f t="shared" si="4063"/>
        <v>0</v>
      </c>
      <c r="AN271" s="83">
        <f t="shared" si="4064"/>
        <v>0</v>
      </c>
      <c r="AO271" s="84">
        <f t="shared" si="4065"/>
        <v>0</v>
      </c>
      <c r="AP271" s="81">
        <f t="shared" si="4066"/>
        <v>0</v>
      </c>
      <c r="AQ271" s="82">
        <f t="shared" si="4067"/>
        <v>0</v>
      </c>
      <c r="AR271" s="83">
        <f t="shared" si="4068"/>
        <v>0</v>
      </c>
      <c r="AS271" s="83">
        <f t="shared" si="4069"/>
        <v>0</v>
      </c>
      <c r="AT271" s="84">
        <f t="shared" si="4070"/>
        <v>0</v>
      </c>
      <c r="AU271" s="81">
        <f t="shared" si="4071"/>
        <v>0</v>
      </c>
      <c r="AV271" s="82">
        <f t="shared" si="4072"/>
        <v>0</v>
      </c>
      <c r="AW271" s="83">
        <f t="shared" si="4073"/>
        <v>0</v>
      </c>
      <c r="AX271" s="83">
        <f t="shared" si="4074"/>
        <v>0</v>
      </c>
      <c r="AY271" s="84">
        <f t="shared" si="4075"/>
        <v>0</v>
      </c>
      <c r="AZ271" s="81">
        <f t="shared" si="4076"/>
        <v>0</v>
      </c>
      <c r="BA271" s="82">
        <f t="shared" si="4077"/>
        <v>0</v>
      </c>
      <c r="BB271" s="83">
        <f t="shared" si="4078"/>
        <v>0</v>
      </c>
      <c r="BC271" s="83">
        <f t="shared" si="4079"/>
        <v>0</v>
      </c>
      <c r="BD271" s="84">
        <f t="shared" si="4080"/>
        <v>0</v>
      </c>
      <c r="BE271" s="81">
        <f t="shared" si="4081"/>
        <v>0</v>
      </c>
      <c r="BF271" s="1877"/>
      <c r="BG271" s="2005">
        <f t="shared" si="4082"/>
        <v>0</v>
      </c>
      <c r="BH271" s="86">
        <f t="shared" si="4083"/>
        <v>0</v>
      </c>
      <c r="BI271" s="87">
        <f t="shared" si="4084"/>
        <v>0</v>
      </c>
      <c r="BJ271" s="87">
        <f t="shared" si="4085"/>
        <v>0</v>
      </c>
      <c r="BK271" s="88">
        <f t="shared" si="4086"/>
        <v>0</v>
      </c>
      <c r="BL271" s="85">
        <f t="shared" si="4087"/>
        <v>0</v>
      </c>
      <c r="BM271" s="86">
        <f t="shared" si="4088"/>
        <v>0</v>
      </c>
      <c r="BN271" s="87">
        <f t="shared" si="4089"/>
        <v>0</v>
      </c>
      <c r="BO271" s="87">
        <f t="shared" si="4090"/>
        <v>0</v>
      </c>
      <c r="BP271" s="88">
        <f t="shared" si="4091"/>
        <v>0</v>
      </c>
      <c r="BQ271" s="85">
        <f t="shared" si="4092"/>
        <v>0</v>
      </c>
      <c r="BR271" s="86">
        <f t="shared" si="4093"/>
        <v>0</v>
      </c>
      <c r="BS271" s="87">
        <f t="shared" si="4094"/>
        <v>0</v>
      </c>
      <c r="BT271" s="87">
        <f t="shared" si="4095"/>
        <v>0</v>
      </c>
      <c r="BU271" s="88">
        <f t="shared" si="4096"/>
        <v>0</v>
      </c>
      <c r="BV271" s="85">
        <f t="shared" si="4097"/>
        <v>0</v>
      </c>
      <c r="BW271" s="86">
        <f t="shared" si="4098"/>
        <v>0</v>
      </c>
      <c r="BX271" s="87">
        <f t="shared" si="4099"/>
        <v>0</v>
      </c>
      <c r="BY271" s="87">
        <f t="shared" si="4100"/>
        <v>0</v>
      </c>
      <c r="BZ271" s="88">
        <f t="shared" si="4101"/>
        <v>0</v>
      </c>
      <c r="CA271" s="85">
        <f t="shared" si="4102"/>
        <v>0</v>
      </c>
      <c r="CB271" s="86">
        <f t="shared" si="4103"/>
        <v>0</v>
      </c>
      <c r="CC271" s="87">
        <f t="shared" si="4104"/>
        <v>0</v>
      </c>
      <c r="CD271" s="87">
        <f t="shared" si="4105"/>
        <v>0</v>
      </c>
      <c r="CE271" s="88">
        <f t="shared" si="4106"/>
        <v>0</v>
      </c>
      <c r="CF271" s="85">
        <f t="shared" si="4107"/>
        <v>0</v>
      </c>
      <c r="CG271" s="86">
        <f t="shared" si="4108"/>
        <v>0</v>
      </c>
      <c r="CH271" s="87">
        <f t="shared" si="4109"/>
        <v>0</v>
      </c>
      <c r="CI271" s="87">
        <f t="shared" si="4110"/>
        <v>0</v>
      </c>
      <c r="CJ271" s="88">
        <f t="shared" si="4111"/>
        <v>0</v>
      </c>
      <c r="CK271" s="85">
        <f t="shared" si="4112"/>
        <v>0</v>
      </c>
      <c r="CL271" s="86">
        <f t="shared" si="4113"/>
        <v>0</v>
      </c>
      <c r="CM271" s="87">
        <f t="shared" si="4114"/>
        <v>0</v>
      </c>
      <c r="CN271" s="87">
        <f t="shared" si="4115"/>
        <v>0</v>
      </c>
      <c r="CO271" s="88">
        <f t="shared" si="4116"/>
        <v>0</v>
      </c>
      <c r="CP271" s="85">
        <f t="shared" si="4117"/>
        <v>0</v>
      </c>
      <c r="CQ271" s="86">
        <f t="shared" si="4118"/>
        <v>0</v>
      </c>
      <c r="CR271" s="87">
        <f t="shared" si="4119"/>
        <v>0</v>
      </c>
      <c r="CS271" s="87">
        <f t="shared" si="4120"/>
        <v>0</v>
      </c>
      <c r="CT271" s="88">
        <f t="shared" si="4121"/>
        <v>0</v>
      </c>
      <c r="CU271" s="85">
        <f t="shared" si="4122"/>
        <v>0</v>
      </c>
      <c r="CV271" s="86">
        <f t="shared" si="4123"/>
        <v>0</v>
      </c>
      <c r="CW271" s="87">
        <f t="shared" si="4124"/>
        <v>0</v>
      </c>
      <c r="CX271" s="87">
        <f t="shared" si="4125"/>
        <v>0</v>
      </c>
      <c r="CY271" s="88">
        <f t="shared" si="4126"/>
        <v>0</v>
      </c>
      <c r="CZ271" s="85">
        <f t="shared" si="4127"/>
        <v>0</v>
      </c>
    </row>
    <row r="272" spans="1:104" ht="12.75" customHeight="1">
      <c r="A272" s="1817"/>
      <c r="B272" s="2128"/>
      <c r="C272" s="2119">
        <v>5.8000000000000003E-2</v>
      </c>
      <c r="D272" s="2117"/>
      <c r="E272" s="2115">
        <f t="shared" si="4035"/>
        <v>105</v>
      </c>
      <c r="F272" s="2313">
        <v>105</v>
      </c>
      <c r="G272" s="1511">
        <v>105</v>
      </c>
      <c r="H272" s="1510">
        <v>2036</v>
      </c>
      <c r="I272" s="1831">
        <v>5.8000000000000003E-2</v>
      </c>
      <c r="J272" s="1832">
        <v>7</v>
      </c>
      <c r="L272" s="2001">
        <f t="shared" si="4036"/>
        <v>0</v>
      </c>
      <c r="M272" s="82">
        <f t="shared" si="4037"/>
        <v>0</v>
      </c>
      <c r="N272" s="83">
        <f t="shared" si="4038"/>
        <v>0</v>
      </c>
      <c r="O272" s="83">
        <f t="shared" si="4039"/>
        <v>0</v>
      </c>
      <c r="P272" s="84">
        <f t="shared" si="4040"/>
        <v>0</v>
      </c>
      <c r="Q272" s="81">
        <f t="shared" si="4041"/>
        <v>0</v>
      </c>
      <c r="R272" s="82">
        <f t="shared" si="4042"/>
        <v>0</v>
      </c>
      <c r="S272" s="83">
        <f t="shared" si="4043"/>
        <v>0</v>
      </c>
      <c r="T272" s="83">
        <f t="shared" si="4044"/>
        <v>0</v>
      </c>
      <c r="U272" s="84">
        <f t="shared" si="4045"/>
        <v>0</v>
      </c>
      <c r="V272" s="81">
        <f t="shared" si="4046"/>
        <v>0</v>
      </c>
      <c r="W272" s="82">
        <f t="shared" si="4047"/>
        <v>0</v>
      </c>
      <c r="X272" s="83">
        <f t="shared" si="4048"/>
        <v>0</v>
      </c>
      <c r="Y272" s="83">
        <f t="shared" si="4049"/>
        <v>0</v>
      </c>
      <c r="Z272" s="84">
        <f t="shared" si="4050"/>
        <v>0</v>
      </c>
      <c r="AA272" s="81">
        <f t="shared" si="4051"/>
        <v>0</v>
      </c>
      <c r="AB272" s="82">
        <f t="shared" si="4052"/>
        <v>0</v>
      </c>
      <c r="AC272" s="83">
        <f t="shared" si="4053"/>
        <v>0</v>
      </c>
      <c r="AD272" s="83">
        <f t="shared" si="4054"/>
        <v>0</v>
      </c>
      <c r="AE272" s="84">
        <f t="shared" si="4055"/>
        <v>0</v>
      </c>
      <c r="AF272" s="81">
        <f t="shared" si="4056"/>
        <v>0</v>
      </c>
      <c r="AG272" s="82">
        <f t="shared" si="4057"/>
        <v>0</v>
      </c>
      <c r="AH272" s="83">
        <f t="shared" si="4058"/>
        <v>0</v>
      </c>
      <c r="AI272" s="83">
        <f t="shared" si="4059"/>
        <v>0</v>
      </c>
      <c r="AJ272" s="84">
        <f t="shared" si="4060"/>
        <v>0</v>
      </c>
      <c r="AK272" s="81">
        <f t="shared" si="4061"/>
        <v>0</v>
      </c>
      <c r="AL272" s="82">
        <f t="shared" si="4062"/>
        <v>0</v>
      </c>
      <c r="AM272" s="83">
        <f t="shared" si="4063"/>
        <v>0</v>
      </c>
      <c r="AN272" s="83">
        <f t="shared" si="4064"/>
        <v>0</v>
      </c>
      <c r="AO272" s="84">
        <f t="shared" si="4065"/>
        <v>0</v>
      </c>
      <c r="AP272" s="81">
        <f t="shared" si="4066"/>
        <v>0</v>
      </c>
      <c r="AQ272" s="82">
        <f t="shared" si="4067"/>
        <v>0</v>
      </c>
      <c r="AR272" s="83">
        <f t="shared" si="4068"/>
        <v>0</v>
      </c>
      <c r="AS272" s="83">
        <f t="shared" si="4069"/>
        <v>0</v>
      </c>
      <c r="AT272" s="84">
        <f t="shared" si="4070"/>
        <v>0</v>
      </c>
      <c r="AU272" s="81">
        <f t="shared" si="4071"/>
        <v>0</v>
      </c>
      <c r="AV272" s="82">
        <f t="shared" si="4072"/>
        <v>0</v>
      </c>
      <c r="AW272" s="83">
        <f t="shared" si="4073"/>
        <v>0</v>
      </c>
      <c r="AX272" s="83">
        <f t="shared" si="4074"/>
        <v>0</v>
      </c>
      <c r="AY272" s="84">
        <f t="shared" si="4075"/>
        <v>0</v>
      </c>
      <c r="AZ272" s="81">
        <f t="shared" si="4076"/>
        <v>0</v>
      </c>
      <c r="BA272" s="82">
        <f t="shared" si="4077"/>
        <v>0</v>
      </c>
      <c r="BB272" s="83">
        <f t="shared" si="4078"/>
        <v>0</v>
      </c>
      <c r="BC272" s="83">
        <f t="shared" si="4079"/>
        <v>0</v>
      </c>
      <c r="BD272" s="84">
        <f t="shared" si="4080"/>
        <v>0</v>
      </c>
      <c r="BE272" s="81">
        <f t="shared" si="4081"/>
        <v>0</v>
      </c>
      <c r="BF272" s="1877"/>
      <c r="BG272" s="2005">
        <f t="shared" si="4082"/>
        <v>0</v>
      </c>
      <c r="BH272" s="86">
        <f t="shared" si="4083"/>
        <v>0</v>
      </c>
      <c r="BI272" s="87">
        <f t="shared" si="4084"/>
        <v>0</v>
      </c>
      <c r="BJ272" s="87">
        <f t="shared" si="4085"/>
        <v>0</v>
      </c>
      <c r="BK272" s="88">
        <f t="shared" si="4086"/>
        <v>0</v>
      </c>
      <c r="BL272" s="85">
        <f t="shared" si="4087"/>
        <v>0</v>
      </c>
      <c r="BM272" s="86">
        <f t="shared" si="4088"/>
        <v>0</v>
      </c>
      <c r="BN272" s="87">
        <f t="shared" si="4089"/>
        <v>0</v>
      </c>
      <c r="BO272" s="87">
        <f t="shared" si="4090"/>
        <v>0</v>
      </c>
      <c r="BP272" s="88">
        <f t="shared" si="4091"/>
        <v>0</v>
      </c>
      <c r="BQ272" s="85">
        <f t="shared" si="4092"/>
        <v>0</v>
      </c>
      <c r="BR272" s="86">
        <f t="shared" si="4093"/>
        <v>0</v>
      </c>
      <c r="BS272" s="87">
        <f t="shared" si="4094"/>
        <v>0</v>
      </c>
      <c r="BT272" s="87">
        <f t="shared" si="4095"/>
        <v>0</v>
      </c>
      <c r="BU272" s="88">
        <f t="shared" si="4096"/>
        <v>0</v>
      </c>
      <c r="BV272" s="85">
        <f t="shared" si="4097"/>
        <v>0</v>
      </c>
      <c r="BW272" s="86">
        <f t="shared" si="4098"/>
        <v>0</v>
      </c>
      <c r="BX272" s="87">
        <f t="shared" si="4099"/>
        <v>0</v>
      </c>
      <c r="BY272" s="87">
        <f t="shared" si="4100"/>
        <v>0</v>
      </c>
      <c r="BZ272" s="88">
        <f t="shared" si="4101"/>
        <v>0</v>
      </c>
      <c r="CA272" s="85">
        <f t="shared" si="4102"/>
        <v>0</v>
      </c>
      <c r="CB272" s="86">
        <f t="shared" si="4103"/>
        <v>0</v>
      </c>
      <c r="CC272" s="87">
        <f t="shared" si="4104"/>
        <v>0</v>
      </c>
      <c r="CD272" s="87">
        <f t="shared" si="4105"/>
        <v>0</v>
      </c>
      <c r="CE272" s="88">
        <f t="shared" si="4106"/>
        <v>0</v>
      </c>
      <c r="CF272" s="85">
        <f t="shared" si="4107"/>
        <v>0</v>
      </c>
      <c r="CG272" s="86">
        <f t="shared" si="4108"/>
        <v>0</v>
      </c>
      <c r="CH272" s="87">
        <f t="shared" si="4109"/>
        <v>0</v>
      </c>
      <c r="CI272" s="87">
        <f t="shared" si="4110"/>
        <v>0</v>
      </c>
      <c r="CJ272" s="88">
        <f t="shared" si="4111"/>
        <v>0</v>
      </c>
      <c r="CK272" s="85">
        <f t="shared" si="4112"/>
        <v>0</v>
      </c>
      <c r="CL272" s="86">
        <f t="shared" si="4113"/>
        <v>0</v>
      </c>
      <c r="CM272" s="87">
        <f t="shared" si="4114"/>
        <v>0</v>
      </c>
      <c r="CN272" s="87">
        <f t="shared" si="4115"/>
        <v>0</v>
      </c>
      <c r="CO272" s="88">
        <f t="shared" si="4116"/>
        <v>0</v>
      </c>
      <c r="CP272" s="85">
        <f t="shared" si="4117"/>
        <v>0</v>
      </c>
      <c r="CQ272" s="86">
        <f t="shared" si="4118"/>
        <v>0</v>
      </c>
      <c r="CR272" s="87">
        <f t="shared" si="4119"/>
        <v>0</v>
      </c>
      <c r="CS272" s="87">
        <f t="shared" si="4120"/>
        <v>0</v>
      </c>
      <c r="CT272" s="88">
        <f t="shared" si="4121"/>
        <v>0</v>
      </c>
      <c r="CU272" s="85">
        <f t="shared" si="4122"/>
        <v>0</v>
      </c>
      <c r="CV272" s="86">
        <f t="shared" si="4123"/>
        <v>0</v>
      </c>
      <c r="CW272" s="87">
        <f t="shared" si="4124"/>
        <v>0</v>
      </c>
      <c r="CX272" s="87">
        <f t="shared" si="4125"/>
        <v>0</v>
      </c>
      <c r="CY272" s="88">
        <f t="shared" si="4126"/>
        <v>0</v>
      </c>
      <c r="CZ272" s="85">
        <f t="shared" si="4127"/>
        <v>0</v>
      </c>
    </row>
    <row r="273" spans="1:104" ht="12.75" customHeight="1">
      <c r="A273" s="1817"/>
      <c r="B273" s="1817"/>
      <c r="C273" s="2119"/>
      <c r="D273" s="2117"/>
      <c r="E273" s="2115"/>
      <c r="F273" s="2313"/>
      <c r="G273" s="1511"/>
      <c r="H273" s="1510"/>
      <c r="I273" s="1831"/>
      <c r="J273" s="1832"/>
      <c r="L273" s="2001">
        <f t="shared" si="4036"/>
        <v>0</v>
      </c>
      <c r="M273" s="82">
        <f t="shared" si="4037"/>
        <v>0</v>
      </c>
      <c r="N273" s="83">
        <f t="shared" si="4038"/>
        <v>0</v>
      </c>
      <c r="O273" s="83">
        <f t="shared" si="4039"/>
        <v>0</v>
      </c>
      <c r="P273" s="84">
        <f t="shared" si="4040"/>
        <v>0</v>
      </c>
      <c r="Q273" s="81">
        <f t="shared" si="4041"/>
        <v>0</v>
      </c>
      <c r="R273" s="82">
        <f t="shared" si="4042"/>
        <v>0</v>
      </c>
      <c r="S273" s="83">
        <f t="shared" si="4043"/>
        <v>0</v>
      </c>
      <c r="T273" s="83">
        <f t="shared" si="4044"/>
        <v>0</v>
      </c>
      <c r="U273" s="84">
        <f t="shared" si="4045"/>
        <v>0</v>
      </c>
      <c r="V273" s="81">
        <f t="shared" si="4046"/>
        <v>0</v>
      </c>
      <c r="W273" s="82">
        <f t="shared" si="4047"/>
        <v>0</v>
      </c>
      <c r="X273" s="83">
        <f t="shared" si="4048"/>
        <v>0</v>
      </c>
      <c r="Y273" s="83">
        <f t="shared" si="4049"/>
        <v>0</v>
      </c>
      <c r="Z273" s="84">
        <f t="shared" si="4050"/>
        <v>0</v>
      </c>
      <c r="AA273" s="81">
        <f t="shared" si="4051"/>
        <v>0</v>
      </c>
      <c r="AB273" s="82">
        <f t="shared" si="4052"/>
        <v>0</v>
      </c>
      <c r="AC273" s="83">
        <f t="shared" si="4053"/>
        <v>0</v>
      </c>
      <c r="AD273" s="83">
        <f t="shared" si="4054"/>
        <v>0</v>
      </c>
      <c r="AE273" s="84">
        <f t="shared" si="4055"/>
        <v>0</v>
      </c>
      <c r="AF273" s="81">
        <f t="shared" si="4056"/>
        <v>0</v>
      </c>
      <c r="AG273" s="82">
        <f t="shared" si="4057"/>
        <v>0</v>
      </c>
      <c r="AH273" s="83">
        <f t="shared" si="4058"/>
        <v>0</v>
      </c>
      <c r="AI273" s="83">
        <f t="shared" si="4059"/>
        <v>0</v>
      </c>
      <c r="AJ273" s="84">
        <f t="shared" si="4060"/>
        <v>0</v>
      </c>
      <c r="AK273" s="81">
        <f t="shared" si="4061"/>
        <v>0</v>
      </c>
      <c r="AL273" s="82">
        <f t="shared" si="4062"/>
        <v>0</v>
      </c>
      <c r="AM273" s="83">
        <f t="shared" si="4063"/>
        <v>0</v>
      </c>
      <c r="AN273" s="83">
        <f t="shared" si="4064"/>
        <v>0</v>
      </c>
      <c r="AO273" s="84">
        <f t="shared" si="4065"/>
        <v>0</v>
      </c>
      <c r="AP273" s="81">
        <f t="shared" si="4066"/>
        <v>0</v>
      </c>
      <c r="AQ273" s="82">
        <f t="shared" si="4067"/>
        <v>0</v>
      </c>
      <c r="AR273" s="83">
        <f t="shared" si="4068"/>
        <v>0</v>
      </c>
      <c r="AS273" s="83">
        <f t="shared" si="4069"/>
        <v>0</v>
      </c>
      <c r="AT273" s="84">
        <f t="shared" si="4070"/>
        <v>0</v>
      </c>
      <c r="AU273" s="81">
        <f t="shared" si="4071"/>
        <v>0</v>
      </c>
      <c r="AV273" s="82">
        <f t="shared" si="4072"/>
        <v>0</v>
      </c>
      <c r="AW273" s="83">
        <f t="shared" si="4073"/>
        <v>0</v>
      </c>
      <c r="AX273" s="83">
        <f t="shared" si="4074"/>
        <v>0</v>
      </c>
      <c r="AY273" s="84">
        <f t="shared" si="4075"/>
        <v>0</v>
      </c>
      <c r="AZ273" s="81">
        <f t="shared" si="4076"/>
        <v>0</v>
      </c>
      <c r="BA273" s="82">
        <f t="shared" si="4077"/>
        <v>0</v>
      </c>
      <c r="BB273" s="83">
        <f t="shared" si="4078"/>
        <v>0</v>
      </c>
      <c r="BC273" s="83">
        <f t="shared" si="4079"/>
        <v>0</v>
      </c>
      <c r="BD273" s="84">
        <f t="shared" si="4080"/>
        <v>0</v>
      </c>
      <c r="BE273" s="81">
        <f t="shared" si="4081"/>
        <v>0</v>
      </c>
      <c r="BF273" s="1877"/>
      <c r="BG273" s="2005">
        <f t="shared" si="4082"/>
        <v>0</v>
      </c>
      <c r="BH273" s="86">
        <f t="shared" si="4083"/>
        <v>0</v>
      </c>
      <c r="BI273" s="87">
        <f t="shared" si="4084"/>
        <v>0</v>
      </c>
      <c r="BJ273" s="87">
        <f t="shared" si="4085"/>
        <v>0</v>
      </c>
      <c r="BK273" s="88">
        <f t="shared" si="4086"/>
        <v>0</v>
      </c>
      <c r="BL273" s="85">
        <f t="shared" si="4087"/>
        <v>0</v>
      </c>
      <c r="BM273" s="86">
        <f t="shared" si="4088"/>
        <v>0</v>
      </c>
      <c r="BN273" s="87">
        <f t="shared" si="4089"/>
        <v>0</v>
      </c>
      <c r="BO273" s="87">
        <f t="shared" si="4090"/>
        <v>0</v>
      </c>
      <c r="BP273" s="88">
        <f t="shared" si="4091"/>
        <v>0</v>
      </c>
      <c r="BQ273" s="85">
        <f t="shared" si="4092"/>
        <v>0</v>
      </c>
      <c r="BR273" s="86">
        <f t="shared" si="4093"/>
        <v>0</v>
      </c>
      <c r="BS273" s="87">
        <f t="shared" si="4094"/>
        <v>0</v>
      </c>
      <c r="BT273" s="87">
        <f t="shared" si="4095"/>
        <v>0</v>
      </c>
      <c r="BU273" s="88">
        <f t="shared" si="4096"/>
        <v>0</v>
      </c>
      <c r="BV273" s="85">
        <f t="shared" si="4097"/>
        <v>0</v>
      </c>
      <c r="BW273" s="86">
        <f t="shared" si="4098"/>
        <v>0</v>
      </c>
      <c r="BX273" s="87">
        <f t="shared" si="4099"/>
        <v>0</v>
      </c>
      <c r="BY273" s="87">
        <f t="shared" si="4100"/>
        <v>0</v>
      </c>
      <c r="BZ273" s="88">
        <f t="shared" si="4101"/>
        <v>0</v>
      </c>
      <c r="CA273" s="85">
        <f t="shared" si="4102"/>
        <v>0</v>
      </c>
      <c r="CB273" s="86">
        <f t="shared" si="4103"/>
        <v>0</v>
      </c>
      <c r="CC273" s="87">
        <f t="shared" si="4104"/>
        <v>0</v>
      </c>
      <c r="CD273" s="87">
        <f t="shared" si="4105"/>
        <v>0</v>
      </c>
      <c r="CE273" s="88">
        <f t="shared" si="4106"/>
        <v>0</v>
      </c>
      <c r="CF273" s="85">
        <f t="shared" si="4107"/>
        <v>0</v>
      </c>
      <c r="CG273" s="86">
        <f t="shared" si="4108"/>
        <v>0</v>
      </c>
      <c r="CH273" s="87">
        <f t="shared" si="4109"/>
        <v>0</v>
      </c>
      <c r="CI273" s="87">
        <f t="shared" si="4110"/>
        <v>0</v>
      </c>
      <c r="CJ273" s="88">
        <f t="shared" si="4111"/>
        <v>0</v>
      </c>
      <c r="CK273" s="85">
        <f t="shared" si="4112"/>
        <v>0</v>
      </c>
      <c r="CL273" s="86">
        <f t="shared" si="4113"/>
        <v>0</v>
      </c>
      <c r="CM273" s="87">
        <f t="shared" si="4114"/>
        <v>0</v>
      </c>
      <c r="CN273" s="87">
        <f t="shared" si="4115"/>
        <v>0</v>
      </c>
      <c r="CO273" s="88">
        <f t="shared" si="4116"/>
        <v>0</v>
      </c>
      <c r="CP273" s="85">
        <f t="shared" si="4117"/>
        <v>0</v>
      </c>
      <c r="CQ273" s="86">
        <f t="shared" si="4118"/>
        <v>0</v>
      </c>
      <c r="CR273" s="87">
        <f t="shared" si="4119"/>
        <v>0</v>
      </c>
      <c r="CS273" s="87">
        <f t="shared" si="4120"/>
        <v>0</v>
      </c>
      <c r="CT273" s="88">
        <f t="shared" si="4121"/>
        <v>0</v>
      </c>
      <c r="CU273" s="85">
        <f t="shared" si="4122"/>
        <v>0</v>
      </c>
      <c r="CV273" s="86">
        <f t="shared" si="4123"/>
        <v>0</v>
      </c>
      <c r="CW273" s="87">
        <f t="shared" si="4124"/>
        <v>0</v>
      </c>
      <c r="CX273" s="87">
        <f t="shared" si="4125"/>
        <v>0</v>
      </c>
      <c r="CY273" s="88">
        <f t="shared" si="4126"/>
        <v>0</v>
      </c>
      <c r="CZ273" s="85">
        <f t="shared" si="4127"/>
        <v>0</v>
      </c>
    </row>
    <row r="274" spans="1:104" ht="12.75" customHeight="1">
      <c r="A274" s="1817"/>
      <c r="B274" s="1817"/>
      <c r="C274" s="1829" t="s">
        <v>780</v>
      </c>
      <c r="D274" s="139"/>
      <c r="E274" s="2303"/>
      <c r="F274" s="2323"/>
      <c r="G274" s="2304"/>
      <c r="H274" s="2304"/>
      <c r="I274" s="2305"/>
      <c r="J274" s="2305"/>
      <c r="L274" s="2001">
        <f t="shared" si="4036"/>
        <v>0</v>
      </c>
      <c r="M274" s="82">
        <f t="shared" si="4037"/>
        <v>0</v>
      </c>
      <c r="N274" s="83">
        <f t="shared" si="4038"/>
        <v>0</v>
      </c>
      <c r="O274" s="83">
        <f t="shared" si="4039"/>
        <v>0</v>
      </c>
      <c r="P274" s="84">
        <f t="shared" si="4040"/>
        <v>0</v>
      </c>
      <c r="Q274" s="81">
        <f t="shared" si="4041"/>
        <v>0</v>
      </c>
      <c r="R274" s="82">
        <f t="shared" si="4042"/>
        <v>0</v>
      </c>
      <c r="S274" s="83">
        <f t="shared" si="4043"/>
        <v>0</v>
      </c>
      <c r="T274" s="83">
        <f t="shared" si="4044"/>
        <v>0</v>
      </c>
      <c r="U274" s="84">
        <f t="shared" si="4045"/>
        <v>0</v>
      </c>
      <c r="V274" s="81">
        <f t="shared" si="4046"/>
        <v>0</v>
      </c>
      <c r="W274" s="82">
        <f t="shared" si="4047"/>
        <v>0</v>
      </c>
      <c r="X274" s="83">
        <f t="shared" si="4048"/>
        <v>0</v>
      </c>
      <c r="Y274" s="83">
        <f t="shared" si="4049"/>
        <v>0</v>
      </c>
      <c r="Z274" s="84">
        <f t="shared" si="4050"/>
        <v>0</v>
      </c>
      <c r="AA274" s="81">
        <f t="shared" si="4051"/>
        <v>0</v>
      </c>
      <c r="AB274" s="82">
        <f t="shared" si="4052"/>
        <v>0</v>
      </c>
      <c r="AC274" s="83">
        <f t="shared" si="4053"/>
        <v>0</v>
      </c>
      <c r="AD274" s="83">
        <f t="shared" si="4054"/>
        <v>0</v>
      </c>
      <c r="AE274" s="84">
        <f t="shared" si="4055"/>
        <v>0</v>
      </c>
      <c r="AF274" s="81">
        <f t="shared" si="4056"/>
        <v>0</v>
      </c>
      <c r="AG274" s="82">
        <f t="shared" si="4057"/>
        <v>0</v>
      </c>
      <c r="AH274" s="83">
        <f t="shared" si="4058"/>
        <v>0</v>
      </c>
      <c r="AI274" s="83">
        <f t="shared" si="4059"/>
        <v>0</v>
      </c>
      <c r="AJ274" s="84">
        <f t="shared" si="4060"/>
        <v>0</v>
      </c>
      <c r="AK274" s="81">
        <f t="shared" si="4061"/>
        <v>0</v>
      </c>
      <c r="AL274" s="82">
        <f t="shared" si="4062"/>
        <v>0</v>
      </c>
      <c r="AM274" s="83">
        <f t="shared" si="4063"/>
        <v>0</v>
      </c>
      <c r="AN274" s="83">
        <f t="shared" si="4064"/>
        <v>0</v>
      </c>
      <c r="AO274" s="84">
        <f t="shared" si="4065"/>
        <v>0</v>
      </c>
      <c r="AP274" s="81">
        <f t="shared" si="4066"/>
        <v>0</v>
      </c>
      <c r="AQ274" s="82">
        <f t="shared" si="4067"/>
        <v>0</v>
      </c>
      <c r="AR274" s="83">
        <f t="shared" si="4068"/>
        <v>0</v>
      </c>
      <c r="AS274" s="83">
        <f t="shared" si="4069"/>
        <v>0</v>
      </c>
      <c r="AT274" s="84">
        <f t="shared" si="4070"/>
        <v>0</v>
      </c>
      <c r="AU274" s="81">
        <f t="shared" si="4071"/>
        <v>0</v>
      </c>
      <c r="AV274" s="82">
        <f t="shared" si="4072"/>
        <v>0</v>
      </c>
      <c r="AW274" s="83">
        <f t="shared" si="4073"/>
        <v>0</v>
      </c>
      <c r="AX274" s="83">
        <f t="shared" si="4074"/>
        <v>0</v>
      </c>
      <c r="AY274" s="84">
        <f t="shared" si="4075"/>
        <v>0</v>
      </c>
      <c r="AZ274" s="81">
        <f t="shared" si="4076"/>
        <v>0</v>
      </c>
      <c r="BA274" s="82">
        <f t="shared" si="4077"/>
        <v>0</v>
      </c>
      <c r="BB274" s="83">
        <f t="shared" si="4078"/>
        <v>0</v>
      </c>
      <c r="BC274" s="83">
        <f t="shared" si="4079"/>
        <v>0</v>
      </c>
      <c r="BD274" s="84">
        <f t="shared" si="4080"/>
        <v>0</v>
      </c>
      <c r="BE274" s="81">
        <f t="shared" si="4081"/>
        <v>0</v>
      </c>
      <c r="BF274" s="1877"/>
      <c r="BG274" s="2005">
        <f t="shared" si="4082"/>
        <v>0</v>
      </c>
      <c r="BH274" s="86">
        <f t="shared" si="4083"/>
        <v>0</v>
      </c>
      <c r="BI274" s="87">
        <f t="shared" si="4084"/>
        <v>0</v>
      </c>
      <c r="BJ274" s="87">
        <f t="shared" si="4085"/>
        <v>0</v>
      </c>
      <c r="BK274" s="88">
        <f t="shared" si="4086"/>
        <v>0</v>
      </c>
      <c r="BL274" s="85">
        <f t="shared" si="4087"/>
        <v>0</v>
      </c>
      <c r="BM274" s="86">
        <f t="shared" si="4088"/>
        <v>0</v>
      </c>
      <c r="BN274" s="87">
        <f t="shared" si="4089"/>
        <v>0</v>
      </c>
      <c r="BO274" s="87">
        <f t="shared" si="4090"/>
        <v>0</v>
      </c>
      <c r="BP274" s="88">
        <f t="shared" si="4091"/>
        <v>0</v>
      </c>
      <c r="BQ274" s="85">
        <f t="shared" si="4092"/>
        <v>0</v>
      </c>
      <c r="BR274" s="86">
        <f t="shared" si="4093"/>
        <v>0</v>
      </c>
      <c r="BS274" s="87">
        <f t="shared" si="4094"/>
        <v>0</v>
      </c>
      <c r="BT274" s="87">
        <f t="shared" si="4095"/>
        <v>0</v>
      </c>
      <c r="BU274" s="88">
        <f t="shared" si="4096"/>
        <v>0</v>
      </c>
      <c r="BV274" s="85">
        <f t="shared" si="4097"/>
        <v>0</v>
      </c>
      <c r="BW274" s="86">
        <f t="shared" si="4098"/>
        <v>0</v>
      </c>
      <c r="BX274" s="87">
        <f t="shared" si="4099"/>
        <v>0</v>
      </c>
      <c r="BY274" s="87">
        <f t="shared" si="4100"/>
        <v>0</v>
      </c>
      <c r="BZ274" s="88">
        <f t="shared" si="4101"/>
        <v>0</v>
      </c>
      <c r="CA274" s="85">
        <f t="shared" si="4102"/>
        <v>0</v>
      </c>
      <c r="CB274" s="86">
        <f t="shared" si="4103"/>
        <v>0</v>
      </c>
      <c r="CC274" s="87">
        <f t="shared" si="4104"/>
        <v>0</v>
      </c>
      <c r="CD274" s="87">
        <f t="shared" si="4105"/>
        <v>0</v>
      </c>
      <c r="CE274" s="88">
        <f t="shared" si="4106"/>
        <v>0</v>
      </c>
      <c r="CF274" s="85">
        <f t="shared" si="4107"/>
        <v>0</v>
      </c>
      <c r="CG274" s="86">
        <f t="shared" si="4108"/>
        <v>0</v>
      </c>
      <c r="CH274" s="87">
        <f t="shared" si="4109"/>
        <v>0</v>
      </c>
      <c r="CI274" s="87">
        <f t="shared" si="4110"/>
        <v>0</v>
      </c>
      <c r="CJ274" s="88">
        <f t="shared" si="4111"/>
        <v>0</v>
      </c>
      <c r="CK274" s="85">
        <f t="shared" si="4112"/>
        <v>0</v>
      </c>
      <c r="CL274" s="86">
        <f t="shared" si="4113"/>
        <v>0</v>
      </c>
      <c r="CM274" s="87">
        <f t="shared" si="4114"/>
        <v>0</v>
      </c>
      <c r="CN274" s="87">
        <f t="shared" si="4115"/>
        <v>0</v>
      </c>
      <c r="CO274" s="88">
        <f t="shared" si="4116"/>
        <v>0</v>
      </c>
      <c r="CP274" s="85">
        <f t="shared" si="4117"/>
        <v>0</v>
      </c>
      <c r="CQ274" s="86">
        <f t="shared" si="4118"/>
        <v>0</v>
      </c>
      <c r="CR274" s="87">
        <f t="shared" si="4119"/>
        <v>0</v>
      </c>
      <c r="CS274" s="87">
        <f t="shared" si="4120"/>
        <v>0</v>
      </c>
      <c r="CT274" s="88">
        <f t="shared" si="4121"/>
        <v>0</v>
      </c>
      <c r="CU274" s="85">
        <f t="shared" si="4122"/>
        <v>0</v>
      </c>
      <c r="CV274" s="86">
        <f t="shared" si="4123"/>
        <v>0</v>
      </c>
      <c r="CW274" s="87">
        <f t="shared" si="4124"/>
        <v>0</v>
      </c>
      <c r="CX274" s="87">
        <f t="shared" si="4125"/>
        <v>0</v>
      </c>
      <c r="CY274" s="88">
        <f t="shared" si="4126"/>
        <v>0</v>
      </c>
      <c r="CZ274" s="85">
        <f t="shared" si="4127"/>
        <v>0</v>
      </c>
    </row>
    <row r="275" spans="1:104" ht="12.75" customHeight="1">
      <c r="A275" s="1817"/>
      <c r="B275" s="1817"/>
      <c r="C275" s="2119">
        <v>5.0500000000000003E-2</v>
      </c>
      <c r="D275" s="2117"/>
      <c r="E275" s="2115">
        <f>IF(F275=0,G275,F275)</f>
        <v>35</v>
      </c>
      <c r="F275" s="2317">
        <v>0</v>
      </c>
      <c r="G275" s="1840">
        <v>35</v>
      </c>
      <c r="H275" s="1516">
        <v>2017</v>
      </c>
      <c r="I275" s="1841">
        <f>(132/171*5.55%)+(39/171*5.05%)</f>
        <v>5.4359649122807011E-2</v>
      </c>
      <c r="J275" s="1832">
        <v>7</v>
      </c>
      <c r="L275" s="2001">
        <f t="shared" si="4036"/>
        <v>0</v>
      </c>
      <c r="M275" s="82">
        <f t="shared" si="4037"/>
        <v>0</v>
      </c>
      <c r="N275" s="83">
        <f t="shared" si="4038"/>
        <v>0</v>
      </c>
      <c r="O275" s="83">
        <f t="shared" si="4039"/>
        <v>0</v>
      </c>
      <c r="P275" s="84">
        <f t="shared" si="4040"/>
        <v>0</v>
      </c>
      <c r="Q275" s="81">
        <f t="shared" si="4041"/>
        <v>0</v>
      </c>
      <c r="R275" s="82">
        <f t="shared" si="4042"/>
        <v>0</v>
      </c>
      <c r="S275" s="83">
        <f t="shared" si="4043"/>
        <v>0</v>
      </c>
      <c r="T275" s="83">
        <f t="shared" si="4044"/>
        <v>0</v>
      </c>
      <c r="U275" s="84">
        <f t="shared" si="4045"/>
        <v>0</v>
      </c>
      <c r="V275" s="81">
        <f t="shared" si="4046"/>
        <v>0</v>
      </c>
      <c r="W275" s="82">
        <f t="shared" si="4047"/>
        <v>0</v>
      </c>
      <c r="X275" s="83">
        <f t="shared" si="4048"/>
        <v>0</v>
      </c>
      <c r="Y275" s="83">
        <f t="shared" si="4049"/>
        <v>0</v>
      </c>
      <c r="Z275" s="84">
        <f t="shared" si="4050"/>
        <v>0</v>
      </c>
      <c r="AA275" s="81">
        <f t="shared" si="4051"/>
        <v>0</v>
      </c>
      <c r="AB275" s="82">
        <f t="shared" si="4052"/>
        <v>0</v>
      </c>
      <c r="AC275" s="83">
        <f t="shared" si="4053"/>
        <v>0</v>
      </c>
      <c r="AD275" s="83">
        <f t="shared" si="4054"/>
        <v>0</v>
      </c>
      <c r="AE275" s="84">
        <f t="shared" si="4055"/>
        <v>0</v>
      </c>
      <c r="AF275" s="81">
        <f t="shared" si="4056"/>
        <v>0</v>
      </c>
      <c r="AG275" s="82">
        <f t="shared" si="4057"/>
        <v>0</v>
      </c>
      <c r="AH275" s="83">
        <f t="shared" si="4058"/>
        <v>0</v>
      </c>
      <c r="AI275" s="83">
        <f t="shared" si="4059"/>
        <v>-35</v>
      </c>
      <c r="AJ275" s="84">
        <f t="shared" si="4060"/>
        <v>0</v>
      </c>
      <c r="AK275" s="81">
        <f t="shared" si="4061"/>
        <v>-35</v>
      </c>
      <c r="AL275" s="82">
        <f t="shared" si="4062"/>
        <v>0</v>
      </c>
      <c r="AM275" s="83">
        <f t="shared" si="4063"/>
        <v>0</v>
      </c>
      <c r="AN275" s="83">
        <f t="shared" si="4064"/>
        <v>0</v>
      </c>
      <c r="AO275" s="84">
        <f t="shared" si="4065"/>
        <v>0</v>
      </c>
      <c r="AP275" s="81">
        <f t="shared" si="4066"/>
        <v>0</v>
      </c>
      <c r="AQ275" s="82">
        <f t="shared" si="4067"/>
        <v>0</v>
      </c>
      <c r="AR275" s="83">
        <f t="shared" si="4068"/>
        <v>0</v>
      </c>
      <c r="AS275" s="83">
        <f t="shared" si="4069"/>
        <v>0</v>
      </c>
      <c r="AT275" s="84">
        <f t="shared" si="4070"/>
        <v>0</v>
      </c>
      <c r="AU275" s="81">
        <f t="shared" si="4071"/>
        <v>0</v>
      </c>
      <c r="AV275" s="82">
        <f t="shared" si="4072"/>
        <v>0</v>
      </c>
      <c r="AW275" s="83">
        <f t="shared" si="4073"/>
        <v>0</v>
      </c>
      <c r="AX275" s="83">
        <f t="shared" si="4074"/>
        <v>0</v>
      </c>
      <c r="AY275" s="84">
        <f t="shared" si="4075"/>
        <v>0</v>
      </c>
      <c r="AZ275" s="81">
        <f t="shared" si="4076"/>
        <v>0</v>
      </c>
      <c r="BA275" s="82">
        <f t="shared" si="4077"/>
        <v>0</v>
      </c>
      <c r="BB275" s="83">
        <f t="shared" si="4078"/>
        <v>0</v>
      </c>
      <c r="BC275" s="83">
        <f t="shared" si="4079"/>
        <v>0</v>
      </c>
      <c r="BD275" s="84">
        <f t="shared" si="4080"/>
        <v>0</v>
      </c>
      <c r="BE275" s="81">
        <f t="shared" si="4081"/>
        <v>0</v>
      </c>
      <c r="BF275" s="1877"/>
      <c r="BG275" s="2005">
        <f t="shared" si="4082"/>
        <v>0</v>
      </c>
      <c r="BH275" s="86">
        <f t="shared" si="4083"/>
        <v>0</v>
      </c>
      <c r="BI275" s="87">
        <f t="shared" si="4084"/>
        <v>0</v>
      </c>
      <c r="BJ275" s="87">
        <f t="shared" si="4085"/>
        <v>0</v>
      </c>
      <c r="BK275" s="88">
        <f t="shared" si="4086"/>
        <v>0</v>
      </c>
      <c r="BL275" s="85">
        <f t="shared" si="4087"/>
        <v>0</v>
      </c>
      <c r="BM275" s="86">
        <f t="shared" si="4088"/>
        <v>0</v>
      </c>
      <c r="BN275" s="87">
        <f t="shared" si="4089"/>
        <v>0</v>
      </c>
      <c r="BO275" s="87">
        <f t="shared" si="4090"/>
        <v>0</v>
      </c>
      <c r="BP275" s="88">
        <f t="shared" si="4091"/>
        <v>0</v>
      </c>
      <c r="BQ275" s="85">
        <f t="shared" si="4092"/>
        <v>0</v>
      </c>
      <c r="BR275" s="86">
        <f t="shared" si="4093"/>
        <v>0</v>
      </c>
      <c r="BS275" s="87">
        <f t="shared" si="4094"/>
        <v>0</v>
      </c>
      <c r="BT275" s="87">
        <f t="shared" si="4095"/>
        <v>0</v>
      </c>
      <c r="BU275" s="88">
        <f t="shared" si="4096"/>
        <v>0</v>
      </c>
      <c r="BV275" s="85">
        <f t="shared" si="4097"/>
        <v>0</v>
      </c>
      <c r="BW275" s="86">
        <f t="shared" si="4098"/>
        <v>0</v>
      </c>
      <c r="BX275" s="87">
        <f t="shared" si="4099"/>
        <v>0</v>
      </c>
      <c r="BY275" s="87">
        <f t="shared" si="4100"/>
        <v>0</v>
      </c>
      <c r="BZ275" s="88">
        <f t="shared" si="4101"/>
        <v>0</v>
      </c>
      <c r="CA275" s="85">
        <f t="shared" si="4102"/>
        <v>0</v>
      </c>
      <c r="CB275" s="86">
        <f t="shared" si="4103"/>
        <v>0</v>
      </c>
      <c r="CC275" s="87">
        <f t="shared" si="4104"/>
        <v>0</v>
      </c>
      <c r="CD275" s="87">
        <f t="shared" si="4105"/>
        <v>-0.47564692982456136</v>
      </c>
      <c r="CE275" s="88">
        <f t="shared" si="4106"/>
        <v>-0.47564692982456136</v>
      </c>
      <c r="CF275" s="85">
        <f t="shared" si="4107"/>
        <v>-0.95129385964912272</v>
      </c>
      <c r="CG275" s="86">
        <f t="shared" si="4108"/>
        <v>-0.47564692982456136</v>
      </c>
      <c r="CH275" s="87">
        <f t="shared" si="4109"/>
        <v>-0.47564692982456136</v>
      </c>
      <c r="CI275" s="87">
        <f t="shared" si="4110"/>
        <v>0</v>
      </c>
      <c r="CJ275" s="88">
        <f t="shared" si="4111"/>
        <v>0</v>
      </c>
      <c r="CK275" s="85">
        <f t="shared" si="4112"/>
        <v>-0.95129385964912272</v>
      </c>
      <c r="CL275" s="86">
        <f t="shared" si="4113"/>
        <v>0</v>
      </c>
      <c r="CM275" s="87">
        <f t="shared" si="4114"/>
        <v>0</v>
      </c>
      <c r="CN275" s="87">
        <f t="shared" si="4115"/>
        <v>0</v>
      </c>
      <c r="CO275" s="88">
        <f t="shared" si="4116"/>
        <v>0</v>
      </c>
      <c r="CP275" s="85">
        <f t="shared" si="4117"/>
        <v>0</v>
      </c>
      <c r="CQ275" s="86">
        <f t="shared" si="4118"/>
        <v>0</v>
      </c>
      <c r="CR275" s="87">
        <f t="shared" si="4119"/>
        <v>0</v>
      </c>
      <c r="CS275" s="87">
        <f t="shared" si="4120"/>
        <v>0</v>
      </c>
      <c r="CT275" s="88">
        <f t="shared" si="4121"/>
        <v>0</v>
      </c>
      <c r="CU275" s="85">
        <f t="shared" si="4122"/>
        <v>0</v>
      </c>
      <c r="CV275" s="86">
        <f t="shared" si="4123"/>
        <v>0</v>
      </c>
      <c r="CW275" s="87">
        <f t="shared" si="4124"/>
        <v>0</v>
      </c>
      <c r="CX275" s="87">
        <f t="shared" si="4125"/>
        <v>0</v>
      </c>
      <c r="CY275" s="88">
        <f t="shared" si="4126"/>
        <v>0</v>
      </c>
      <c r="CZ275" s="85">
        <f t="shared" si="4127"/>
        <v>0</v>
      </c>
    </row>
    <row r="276" spans="1:104" ht="12.75" customHeight="1">
      <c r="A276" s="1817"/>
      <c r="B276" s="1817"/>
      <c r="C276" s="2119">
        <v>5.5500000000000001E-2</v>
      </c>
      <c r="D276" s="2117"/>
      <c r="E276" s="2115">
        <f>IF(F276=0,G276,F276)</f>
        <v>31</v>
      </c>
      <c r="F276" s="2317">
        <v>31</v>
      </c>
      <c r="G276" s="1840">
        <v>31</v>
      </c>
      <c r="H276" s="1516">
        <v>2018</v>
      </c>
      <c r="I276" s="1841">
        <f>(132/171*5.55%)+(39/171*5.05%)</f>
        <v>5.4359649122807011E-2</v>
      </c>
      <c r="J276" s="1832">
        <v>7</v>
      </c>
      <c r="L276" s="2001">
        <f t="shared" si="4036"/>
        <v>0</v>
      </c>
      <c r="M276" s="82">
        <f t="shared" si="4037"/>
        <v>0</v>
      </c>
      <c r="N276" s="83">
        <f t="shared" si="4038"/>
        <v>0</v>
      </c>
      <c r="O276" s="83">
        <f t="shared" si="4039"/>
        <v>0</v>
      </c>
      <c r="P276" s="84">
        <f t="shared" si="4040"/>
        <v>0</v>
      </c>
      <c r="Q276" s="81">
        <f t="shared" si="4041"/>
        <v>0</v>
      </c>
      <c r="R276" s="82">
        <f t="shared" si="4042"/>
        <v>0</v>
      </c>
      <c r="S276" s="83">
        <f t="shared" si="4043"/>
        <v>0</v>
      </c>
      <c r="T276" s="83">
        <f t="shared" si="4044"/>
        <v>0</v>
      </c>
      <c r="U276" s="84">
        <f t="shared" si="4045"/>
        <v>0</v>
      </c>
      <c r="V276" s="81">
        <f t="shared" si="4046"/>
        <v>0</v>
      </c>
      <c r="W276" s="82">
        <f t="shared" si="4047"/>
        <v>0</v>
      </c>
      <c r="X276" s="83">
        <f t="shared" si="4048"/>
        <v>0</v>
      </c>
      <c r="Y276" s="83">
        <f t="shared" si="4049"/>
        <v>0</v>
      </c>
      <c r="Z276" s="84">
        <f t="shared" si="4050"/>
        <v>0</v>
      </c>
      <c r="AA276" s="81">
        <f t="shared" si="4051"/>
        <v>0</v>
      </c>
      <c r="AB276" s="82">
        <f t="shared" si="4052"/>
        <v>0</v>
      </c>
      <c r="AC276" s="83">
        <f t="shared" si="4053"/>
        <v>0</v>
      </c>
      <c r="AD276" s="83">
        <f t="shared" si="4054"/>
        <v>0</v>
      </c>
      <c r="AE276" s="84">
        <f t="shared" si="4055"/>
        <v>0</v>
      </c>
      <c r="AF276" s="81">
        <f t="shared" si="4056"/>
        <v>0</v>
      </c>
      <c r="AG276" s="82">
        <f t="shared" si="4057"/>
        <v>0</v>
      </c>
      <c r="AH276" s="83">
        <f t="shared" si="4058"/>
        <v>0</v>
      </c>
      <c r="AI276" s="83">
        <f t="shared" si="4059"/>
        <v>0</v>
      </c>
      <c r="AJ276" s="84">
        <f t="shared" si="4060"/>
        <v>0</v>
      </c>
      <c r="AK276" s="81">
        <f t="shared" si="4061"/>
        <v>0</v>
      </c>
      <c r="AL276" s="82">
        <f t="shared" si="4062"/>
        <v>0</v>
      </c>
      <c r="AM276" s="83">
        <f t="shared" si="4063"/>
        <v>0</v>
      </c>
      <c r="AN276" s="83">
        <f t="shared" si="4064"/>
        <v>-31</v>
      </c>
      <c r="AO276" s="84">
        <f t="shared" si="4065"/>
        <v>0</v>
      </c>
      <c r="AP276" s="81">
        <f t="shared" si="4066"/>
        <v>-31</v>
      </c>
      <c r="AQ276" s="82">
        <f t="shared" si="4067"/>
        <v>0</v>
      </c>
      <c r="AR276" s="83">
        <f t="shared" si="4068"/>
        <v>0</v>
      </c>
      <c r="AS276" s="83">
        <f t="shared" si="4069"/>
        <v>0</v>
      </c>
      <c r="AT276" s="84">
        <f t="shared" si="4070"/>
        <v>0</v>
      </c>
      <c r="AU276" s="81">
        <f t="shared" si="4071"/>
        <v>0</v>
      </c>
      <c r="AV276" s="82">
        <f t="shared" si="4072"/>
        <v>0</v>
      </c>
      <c r="AW276" s="83">
        <f t="shared" si="4073"/>
        <v>0</v>
      </c>
      <c r="AX276" s="83">
        <f t="shared" si="4074"/>
        <v>0</v>
      </c>
      <c r="AY276" s="84">
        <f t="shared" si="4075"/>
        <v>0</v>
      </c>
      <c r="AZ276" s="81">
        <f t="shared" si="4076"/>
        <v>0</v>
      </c>
      <c r="BA276" s="82">
        <f t="shared" si="4077"/>
        <v>0</v>
      </c>
      <c r="BB276" s="83">
        <f t="shared" si="4078"/>
        <v>0</v>
      </c>
      <c r="BC276" s="83">
        <f t="shared" si="4079"/>
        <v>0</v>
      </c>
      <c r="BD276" s="84">
        <f t="shared" si="4080"/>
        <v>0</v>
      </c>
      <c r="BE276" s="81">
        <f t="shared" si="4081"/>
        <v>0</v>
      </c>
      <c r="BF276" s="1877"/>
      <c r="BG276" s="2005">
        <f t="shared" si="4082"/>
        <v>0</v>
      </c>
      <c r="BH276" s="86">
        <f t="shared" si="4083"/>
        <v>0</v>
      </c>
      <c r="BI276" s="87">
        <f t="shared" si="4084"/>
        <v>0</v>
      </c>
      <c r="BJ276" s="87">
        <f t="shared" si="4085"/>
        <v>0</v>
      </c>
      <c r="BK276" s="88">
        <f t="shared" si="4086"/>
        <v>0</v>
      </c>
      <c r="BL276" s="85">
        <f t="shared" si="4087"/>
        <v>0</v>
      </c>
      <c r="BM276" s="86">
        <f t="shared" si="4088"/>
        <v>0</v>
      </c>
      <c r="BN276" s="87">
        <f t="shared" si="4089"/>
        <v>0</v>
      </c>
      <c r="BO276" s="87">
        <f t="shared" si="4090"/>
        <v>0</v>
      </c>
      <c r="BP276" s="88">
        <f t="shared" si="4091"/>
        <v>0</v>
      </c>
      <c r="BQ276" s="85">
        <f t="shared" si="4092"/>
        <v>0</v>
      </c>
      <c r="BR276" s="86">
        <f t="shared" si="4093"/>
        <v>0</v>
      </c>
      <c r="BS276" s="87">
        <f t="shared" si="4094"/>
        <v>0</v>
      </c>
      <c r="BT276" s="87">
        <f t="shared" si="4095"/>
        <v>0</v>
      </c>
      <c r="BU276" s="88">
        <f t="shared" si="4096"/>
        <v>0</v>
      </c>
      <c r="BV276" s="85">
        <f t="shared" si="4097"/>
        <v>0</v>
      </c>
      <c r="BW276" s="86">
        <f t="shared" si="4098"/>
        <v>0</v>
      </c>
      <c r="BX276" s="87">
        <f t="shared" si="4099"/>
        <v>0</v>
      </c>
      <c r="BY276" s="87">
        <f t="shared" si="4100"/>
        <v>0</v>
      </c>
      <c r="BZ276" s="88">
        <f t="shared" si="4101"/>
        <v>0</v>
      </c>
      <c r="CA276" s="85">
        <f t="shared" si="4102"/>
        <v>0</v>
      </c>
      <c r="CB276" s="86">
        <f t="shared" si="4103"/>
        <v>0</v>
      </c>
      <c r="CC276" s="87">
        <f t="shared" si="4104"/>
        <v>0</v>
      </c>
      <c r="CD276" s="87">
        <f t="shared" si="4105"/>
        <v>0</v>
      </c>
      <c r="CE276" s="88">
        <f t="shared" si="4106"/>
        <v>0</v>
      </c>
      <c r="CF276" s="85">
        <f t="shared" si="4107"/>
        <v>0</v>
      </c>
      <c r="CG276" s="86">
        <f t="shared" si="4108"/>
        <v>0</v>
      </c>
      <c r="CH276" s="87">
        <f t="shared" si="4109"/>
        <v>0</v>
      </c>
      <c r="CI276" s="87">
        <f t="shared" si="4110"/>
        <v>-0.42128728070175436</v>
      </c>
      <c r="CJ276" s="88">
        <f t="shared" si="4111"/>
        <v>-0.42128728070175436</v>
      </c>
      <c r="CK276" s="85">
        <f t="shared" si="4112"/>
        <v>-0.84257456140350862</v>
      </c>
      <c r="CL276" s="86">
        <f t="shared" si="4113"/>
        <v>-0.42128728070175436</v>
      </c>
      <c r="CM276" s="87">
        <f t="shared" si="4114"/>
        <v>-0.42128728070175436</v>
      </c>
      <c r="CN276" s="87">
        <f t="shared" si="4115"/>
        <v>0</v>
      </c>
      <c r="CO276" s="88">
        <f t="shared" si="4116"/>
        <v>0</v>
      </c>
      <c r="CP276" s="85">
        <f t="shared" si="4117"/>
        <v>-0.84257456140350862</v>
      </c>
      <c r="CQ276" s="86">
        <f t="shared" si="4118"/>
        <v>0</v>
      </c>
      <c r="CR276" s="87">
        <f t="shared" si="4119"/>
        <v>0</v>
      </c>
      <c r="CS276" s="87">
        <f t="shared" si="4120"/>
        <v>0</v>
      </c>
      <c r="CT276" s="88">
        <f t="shared" si="4121"/>
        <v>0</v>
      </c>
      <c r="CU276" s="85">
        <f t="shared" si="4122"/>
        <v>0</v>
      </c>
      <c r="CV276" s="86">
        <f t="shared" si="4123"/>
        <v>0</v>
      </c>
      <c r="CW276" s="87">
        <f t="shared" si="4124"/>
        <v>0</v>
      </c>
      <c r="CX276" s="87">
        <f t="shared" si="4125"/>
        <v>0</v>
      </c>
      <c r="CY276" s="88">
        <f t="shared" si="4126"/>
        <v>0</v>
      </c>
      <c r="CZ276" s="85">
        <f t="shared" si="4127"/>
        <v>0</v>
      </c>
    </row>
    <row r="277" spans="1:104" ht="12.75" customHeight="1">
      <c r="A277" s="1817"/>
      <c r="B277" s="1817"/>
      <c r="C277" s="2119">
        <v>5.5500000000000001E-2</v>
      </c>
      <c r="D277" s="2117"/>
      <c r="E277" s="2115">
        <f>IF(F277=0,G277,F277)</f>
        <v>18</v>
      </c>
      <c r="F277" s="2317">
        <v>18</v>
      </c>
      <c r="G277" s="1840">
        <v>18</v>
      </c>
      <c r="H277" s="1516">
        <v>2019</v>
      </c>
      <c r="I277" s="1841">
        <f>(132/171*5.55%)+(39/171*5.05%)</f>
        <v>5.4359649122807011E-2</v>
      </c>
      <c r="J277" s="1832">
        <f t="shared" ref="J277:J278" si="4183">J276</f>
        <v>7</v>
      </c>
      <c r="L277" s="2001">
        <f t="shared" si="4036"/>
        <v>0</v>
      </c>
      <c r="M277" s="82">
        <f t="shared" si="4037"/>
        <v>0</v>
      </c>
      <c r="N277" s="83">
        <f t="shared" si="4038"/>
        <v>0</v>
      </c>
      <c r="O277" s="83">
        <f t="shared" si="4039"/>
        <v>0</v>
      </c>
      <c r="P277" s="84">
        <f t="shared" si="4040"/>
        <v>0</v>
      </c>
      <c r="Q277" s="81">
        <f t="shared" si="4041"/>
        <v>0</v>
      </c>
      <c r="R277" s="82">
        <f t="shared" si="4042"/>
        <v>0</v>
      </c>
      <c r="S277" s="83">
        <f t="shared" si="4043"/>
        <v>0</v>
      </c>
      <c r="T277" s="83">
        <f t="shared" si="4044"/>
        <v>0</v>
      </c>
      <c r="U277" s="84">
        <f t="shared" si="4045"/>
        <v>0</v>
      </c>
      <c r="V277" s="81">
        <f t="shared" si="4046"/>
        <v>0</v>
      </c>
      <c r="W277" s="82">
        <f t="shared" si="4047"/>
        <v>0</v>
      </c>
      <c r="X277" s="83">
        <f t="shared" si="4048"/>
        <v>0</v>
      </c>
      <c r="Y277" s="83">
        <f t="shared" si="4049"/>
        <v>0</v>
      </c>
      <c r="Z277" s="84">
        <f t="shared" si="4050"/>
        <v>0</v>
      </c>
      <c r="AA277" s="81">
        <f t="shared" si="4051"/>
        <v>0</v>
      </c>
      <c r="AB277" s="82">
        <f t="shared" si="4052"/>
        <v>0</v>
      </c>
      <c r="AC277" s="83">
        <f t="shared" si="4053"/>
        <v>0</v>
      </c>
      <c r="AD277" s="83">
        <f t="shared" si="4054"/>
        <v>0</v>
      </c>
      <c r="AE277" s="84">
        <f t="shared" si="4055"/>
        <v>0</v>
      </c>
      <c r="AF277" s="81">
        <f t="shared" si="4056"/>
        <v>0</v>
      </c>
      <c r="AG277" s="82">
        <f t="shared" si="4057"/>
        <v>0</v>
      </c>
      <c r="AH277" s="83">
        <f t="shared" si="4058"/>
        <v>0</v>
      </c>
      <c r="AI277" s="83">
        <f t="shared" si="4059"/>
        <v>0</v>
      </c>
      <c r="AJ277" s="84">
        <f t="shared" si="4060"/>
        <v>0</v>
      </c>
      <c r="AK277" s="81">
        <f t="shared" si="4061"/>
        <v>0</v>
      </c>
      <c r="AL277" s="82">
        <f t="shared" si="4062"/>
        <v>0</v>
      </c>
      <c r="AM277" s="83">
        <f t="shared" si="4063"/>
        <v>0</v>
      </c>
      <c r="AN277" s="83">
        <f t="shared" si="4064"/>
        <v>0</v>
      </c>
      <c r="AO277" s="84">
        <f t="shared" si="4065"/>
        <v>0</v>
      </c>
      <c r="AP277" s="81">
        <f t="shared" si="4066"/>
        <v>0</v>
      </c>
      <c r="AQ277" s="82">
        <f t="shared" si="4067"/>
        <v>0</v>
      </c>
      <c r="AR277" s="83">
        <f t="shared" si="4068"/>
        <v>0</v>
      </c>
      <c r="AS277" s="83">
        <f t="shared" si="4069"/>
        <v>-18</v>
      </c>
      <c r="AT277" s="84">
        <f t="shared" si="4070"/>
        <v>0</v>
      </c>
      <c r="AU277" s="81">
        <f t="shared" si="4071"/>
        <v>-18</v>
      </c>
      <c r="AV277" s="82">
        <f t="shared" si="4072"/>
        <v>0</v>
      </c>
      <c r="AW277" s="83">
        <f t="shared" si="4073"/>
        <v>0</v>
      </c>
      <c r="AX277" s="83">
        <f t="shared" si="4074"/>
        <v>0</v>
      </c>
      <c r="AY277" s="84">
        <f t="shared" si="4075"/>
        <v>0</v>
      </c>
      <c r="AZ277" s="81">
        <f t="shared" si="4076"/>
        <v>0</v>
      </c>
      <c r="BA277" s="82">
        <f t="shared" si="4077"/>
        <v>0</v>
      </c>
      <c r="BB277" s="83">
        <f t="shared" si="4078"/>
        <v>0</v>
      </c>
      <c r="BC277" s="83">
        <f t="shared" si="4079"/>
        <v>0</v>
      </c>
      <c r="BD277" s="84">
        <f t="shared" si="4080"/>
        <v>0</v>
      </c>
      <c r="BE277" s="81">
        <f t="shared" si="4081"/>
        <v>0</v>
      </c>
      <c r="BF277" s="1877"/>
      <c r="BG277" s="2005">
        <f t="shared" si="4082"/>
        <v>0</v>
      </c>
      <c r="BH277" s="86">
        <f t="shared" si="4083"/>
        <v>0</v>
      </c>
      <c r="BI277" s="87">
        <f t="shared" si="4084"/>
        <v>0</v>
      </c>
      <c r="BJ277" s="87">
        <f t="shared" si="4085"/>
        <v>0</v>
      </c>
      <c r="BK277" s="88">
        <f t="shared" si="4086"/>
        <v>0</v>
      </c>
      <c r="BL277" s="85">
        <f t="shared" si="4087"/>
        <v>0</v>
      </c>
      <c r="BM277" s="86">
        <f t="shared" si="4088"/>
        <v>0</v>
      </c>
      <c r="BN277" s="87">
        <f t="shared" si="4089"/>
        <v>0</v>
      </c>
      <c r="BO277" s="87">
        <f t="shared" si="4090"/>
        <v>0</v>
      </c>
      <c r="BP277" s="88">
        <f t="shared" si="4091"/>
        <v>0</v>
      </c>
      <c r="BQ277" s="85">
        <f t="shared" si="4092"/>
        <v>0</v>
      </c>
      <c r="BR277" s="86">
        <f t="shared" si="4093"/>
        <v>0</v>
      </c>
      <c r="BS277" s="87">
        <f t="shared" si="4094"/>
        <v>0</v>
      </c>
      <c r="BT277" s="87">
        <f t="shared" si="4095"/>
        <v>0</v>
      </c>
      <c r="BU277" s="88">
        <f t="shared" si="4096"/>
        <v>0</v>
      </c>
      <c r="BV277" s="85">
        <f t="shared" si="4097"/>
        <v>0</v>
      </c>
      <c r="BW277" s="86">
        <f t="shared" si="4098"/>
        <v>0</v>
      </c>
      <c r="BX277" s="87">
        <f t="shared" si="4099"/>
        <v>0</v>
      </c>
      <c r="BY277" s="87">
        <f t="shared" si="4100"/>
        <v>0</v>
      </c>
      <c r="BZ277" s="88">
        <f t="shared" si="4101"/>
        <v>0</v>
      </c>
      <c r="CA277" s="85">
        <f t="shared" si="4102"/>
        <v>0</v>
      </c>
      <c r="CB277" s="86">
        <f t="shared" si="4103"/>
        <v>0</v>
      </c>
      <c r="CC277" s="87">
        <f t="shared" si="4104"/>
        <v>0</v>
      </c>
      <c r="CD277" s="87">
        <f t="shared" si="4105"/>
        <v>0</v>
      </c>
      <c r="CE277" s="88">
        <f t="shared" si="4106"/>
        <v>0</v>
      </c>
      <c r="CF277" s="85">
        <f t="shared" si="4107"/>
        <v>0</v>
      </c>
      <c r="CG277" s="86">
        <f t="shared" si="4108"/>
        <v>0</v>
      </c>
      <c r="CH277" s="87">
        <f t="shared" si="4109"/>
        <v>0</v>
      </c>
      <c r="CI277" s="87">
        <f t="shared" si="4110"/>
        <v>0</v>
      </c>
      <c r="CJ277" s="88">
        <f t="shared" si="4111"/>
        <v>0</v>
      </c>
      <c r="CK277" s="85">
        <f t="shared" si="4112"/>
        <v>0</v>
      </c>
      <c r="CL277" s="86">
        <f t="shared" si="4113"/>
        <v>0</v>
      </c>
      <c r="CM277" s="87">
        <f t="shared" si="4114"/>
        <v>0</v>
      </c>
      <c r="CN277" s="87">
        <f t="shared" si="4115"/>
        <v>-0.24461842105263154</v>
      </c>
      <c r="CO277" s="88">
        <f t="shared" si="4116"/>
        <v>-0.24461842105263154</v>
      </c>
      <c r="CP277" s="85">
        <f t="shared" si="4117"/>
        <v>-0.48923684210526308</v>
      </c>
      <c r="CQ277" s="86">
        <f t="shared" si="4118"/>
        <v>-0.24461842105263154</v>
      </c>
      <c r="CR277" s="87">
        <f t="shared" si="4119"/>
        <v>-0.24461842105263154</v>
      </c>
      <c r="CS277" s="87">
        <f t="shared" si="4120"/>
        <v>0</v>
      </c>
      <c r="CT277" s="88">
        <f t="shared" si="4121"/>
        <v>0</v>
      </c>
      <c r="CU277" s="85">
        <f t="shared" si="4122"/>
        <v>-0.48923684210526308</v>
      </c>
      <c r="CV277" s="86">
        <f t="shared" si="4123"/>
        <v>0</v>
      </c>
      <c r="CW277" s="87">
        <f t="shared" si="4124"/>
        <v>0</v>
      </c>
      <c r="CX277" s="87">
        <f t="shared" si="4125"/>
        <v>0</v>
      </c>
      <c r="CY277" s="88">
        <f t="shared" si="4126"/>
        <v>0</v>
      </c>
      <c r="CZ277" s="85">
        <f t="shared" si="4127"/>
        <v>0</v>
      </c>
    </row>
    <row r="278" spans="1:104" ht="12.75" customHeight="1">
      <c r="A278" s="1817"/>
      <c r="B278" s="1817"/>
      <c r="C278" s="2119">
        <v>5.5500000000000001E-2</v>
      </c>
      <c r="D278" s="2117"/>
      <c r="E278" s="2115">
        <f>IF(F278=0,G278,F278)</f>
        <v>20</v>
      </c>
      <c r="F278" s="2317">
        <v>20</v>
      </c>
      <c r="G278" s="1840">
        <v>20</v>
      </c>
      <c r="H278" s="1516">
        <v>2020</v>
      </c>
      <c r="I278" s="1841">
        <f>(132/171*5.55%)+(39/171*5.05%)</f>
        <v>5.4359649122807011E-2</v>
      </c>
      <c r="J278" s="1832">
        <f t="shared" si="4183"/>
        <v>7</v>
      </c>
      <c r="L278" s="2001">
        <f t="shared" si="4036"/>
        <v>0</v>
      </c>
      <c r="M278" s="82">
        <f t="shared" si="4037"/>
        <v>0</v>
      </c>
      <c r="N278" s="83">
        <f t="shared" si="4038"/>
        <v>0</v>
      </c>
      <c r="O278" s="83">
        <f t="shared" si="4039"/>
        <v>0</v>
      </c>
      <c r="P278" s="84">
        <f t="shared" si="4040"/>
        <v>0</v>
      </c>
      <c r="Q278" s="81">
        <f t="shared" si="4041"/>
        <v>0</v>
      </c>
      <c r="R278" s="82">
        <f t="shared" si="4042"/>
        <v>0</v>
      </c>
      <c r="S278" s="83">
        <f t="shared" si="4043"/>
        <v>0</v>
      </c>
      <c r="T278" s="83">
        <f t="shared" si="4044"/>
        <v>0</v>
      </c>
      <c r="U278" s="84">
        <f t="shared" si="4045"/>
        <v>0</v>
      </c>
      <c r="V278" s="81">
        <f t="shared" si="4046"/>
        <v>0</v>
      </c>
      <c r="W278" s="82">
        <f t="shared" si="4047"/>
        <v>0</v>
      </c>
      <c r="X278" s="83">
        <f t="shared" si="4048"/>
        <v>0</v>
      </c>
      <c r="Y278" s="83">
        <f t="shared" si="4049"/>
        <v>0</v>
      </c>
      <c r="Z278" s="84">
        <f t="shared" si="4050"/>
        <v>0</v>
      </c>
      <c r="AA278" s="81">
        <f t="shared" si="4051"/>
        <v>0</v>
      </c>
      <c r="AB278" s="82">
        <f t="shared" si="4052"/>
        <v>0</v>
      </c>
      <c r="AC278" s="83">
        <f t="shared" si="4053"/>
        <v>0</v>
      </c>
      <c r="AD278" s="83">
        <f t="shared" si="4054"/>
        <v>0</v>
      </c>
      <c r="AE278" s="84">
        <f t="shared" si="4055"/>
        <v>0</v>
      </c>
      <c r="AF278" s="81">
        <f t="shared" si="4056"/>
        <v>0</v>
      </c>
      <c r="AG278" s="82">
        <f t="shared" si="4057"/>
        <v>0</v>
      </c>
      <c r="AH278" s="83">
        <f t="shared" si="4058"/>
        <v>0</v>
      </c>
      <c r="AI278" s="83">
        <f t="shared" si="4059"/>
        <v>0</v>
      </c>
      <c r="AJ278" s="84">
        <f t="shared" si="4060"/>
        <v>0</v>
      </c>
      <c r="AK278" s="81">
        <f t="shared" si="4061"/>
        <v>0</v>
      </c>
      <c r="AL278" s="82">
        <f t="shared" si="4062"/>
        <v>0</v>
      </c>
      <c r="AM278" s="83">
        <f t="shared" si="4063"/>
        <v>0</v>
      </c>
      <c r="AN278" s="83">
        <f t="shared" si="4064"/>
        <v>0</v>
      </c>
      <c r="AO278" s="84">
        <f t="shared" si="4065"/>
        <v>0</v>
      </c>
      <c r="AP278" s="81">
        <f t="shared" si="4066"/>
        <v>0</v>
      </c>
      <c r="AQ278" s="82">
        <f t="shared" si="4067"/>
        <v>0</v>
      </c>
      <c r="AR278" s="83">
        <f t="shared" si="4068"/>
        <v>0</v>
      </c>
      <c r="AS278" s="83">
        <f t="shared" si="4069"/>
        <v>0</v>
      </c>
      <c r="AT278" s="84">
        <f t="shared" si="4070"/>
        <v>0</v>
      </c>
      <c r="AU278" s="81">
        <f t="shared" si="4071"/>
        <v>0</v>
      </c>
      <c r="AV278" s="82">
        <f t="shared" si="4072"/>
        <v>0</v>
      </c>
      <c r="AW278" s="83">
        <f t="shared" si="4073"/>
        <v>0</v>
      </c>
      <c r="AX278" s="83">
        <f t="shared" si="4074"/>
        <v>-20</v>
      </c>
      <c r="AY278" s="84">
        <f t="shared" si="4075"/>
        <v>0</v>
      </c>
      <c r="AZ278" s="81">
        <f t="shared" si="4076"/>
        <v>-20</v>
      </c>
      <c r="BA278" s="82">
        <f t="shared" si="4077"/>
        <v>0</v>
      </c>
      <c r="BB278" s="83">
        <f t="shared" si="4078"/>
        <v>0</v>
      </c>
      <c r="BC278" s="83">
        <f t="shared" si="4079"/>
        <v>0</v>
      </c>
      <c r="BD278" s="84">
        <f t="shared" si="4080"/>
        <v>0</v>
      </c>
      <c r="BE278" s="81">
        <f t="shared" si="4081"/>
        <v>0</v>
      </c>
      <c r="BF278" s="1877"/>
      <c r="BG278" s="2005">
        <f t="shared" si="4082"/>
        <v>0</v>
      </c>
      <c r="BH278" s="86">
        <f t="shared" si="4083"/>
        <v>0</v>
      </c>
      <c r="BI278" s="87">
        <f t="shared" si="4084"/>
        <v>0</v>
      </c>
      <c r="BJ278" s="87">
        <f t="shared" si="4085"/>
        <v>0</v>
      </c>
      <c r="BK278" s="88">
        <f t="shared" si="4086"/>
        <v>0</v>
      </c>
      <c r="BL278" s="85">
        <f t="shared" si="4087"/>
        <v>0</v>
      </c>
      <c r="BM278" s="86">
        <f t="shared" si="4088"/>
        <v>0</v>
      </c>
      <c r="BN278" s="87">
        <f t="shared" si="4089"/>
        <v>0</v>
      </c>
      <c r="BO278" s="87">
        <f t="shared" si="4090"/>
        <v>0</v>
      </c>
      <c r="BP278" s="88">
        <f t="shared" si="4091"/>
        <v>0</v>
      </c>
      <c r="BQ278" s="85">
        <f t="shared" si="4092"/>
        <v>0</v>
      </c>
      <c r="BR278" s="86">
        <f t="shared" si="4093"/>
        <v>0</v>
      </c>
      <c r="BS278" s="87">
        <f t="shared" si="4094"/>
        <v>0</v>
      </c>
      <c r="BT278" s="87">
        <f t="shared" si="4095"/>
        <v>0</v>
      </c>
      <c r="BU278" s="88">
        <f t="shared" si="4096"/>
        <v>0</v>
      </c>
      <c r="BV278" s="85">
        <f t="shared" si="4097"/>
        <v>0</v>
      </c>
      <c r="BW278" s="86">
        <f t="shared" si="4098"/>
        <v>0</v>
      </c>
      <c r="BX278" s="87">
        <f t="shared" si="4099"/>
        <v>0</v>
      </c>
      <c r="BY278" s="87">
        <f t="shared" si="4100"/>
        <v>0</v>
      </c>
      <c r="BZ278" s="88">
        <f t="shared" si="4101"/>
        <v>0</v>
      </c>
      <c r="CA278" s="85">
        <f t="shared" si="4102"/>
        <v>0</v>
      </c>
      <c r="CB278" s="86">
        <f t="shared" si="4103"/>
        <v>0</v>
      </c>
      <c r="CC278" s="87">
        <f t="shared" si="4104"/>
        <v>0</v>
      </c>
      <c r="CD278" s="87">
        <f t="shared" si="4105"/>
        <v>0</v>
      </c>
      <c r="CE278" s="88">
        <f t="shared" si="4106"/>
        <v>0</v>
      </c>
      <c r="CF278" s="85">
        <f t="shared" si="4107"/>
        <v>0</v>
      </c>
      <c r="CG278" s="86">
        <f t="shared" si="4108"/>
        <v>0</v>
      </c>
      <c r="CH278" s="87">
        <f t="shared" si="4109"/>
        <v>0</v>
      </c>
      <c r="CI278" s="87">
        <f t="shared" si="4110"/>
        <v>0</v>
      </c>
      <c r="CJ278" s="88">
        <f t="shared" si="4111"/>
        <v>0</v>
      </c>
      <c r="CK278" s="85">
        <f t="shared" si="4112"/>
        <v>0</v>
      </c>
      <c r="CL278" s="86">
        <f t="shared" si="4113"/>
        <v>0</v>
      </c>
      <c r="CM278" s="87">
        <f t="shared" si="4114"/>
        <v>0</v>
      </c>
      <c r="CN278" s="87">
        <f t="shared" si="4115"/>
        <v>0</v>
      </c>
      <c r="CO278" s="88">
        <f t="shared" si="4116"/>
        <v>0</v>
      </c>
      <c r="CP278" s="85">
        <f t="shared" si="4117"/>
        <v>0</v>
      </c>
      <c r="CQ278" s="86">
        <f t="shared" si="4118"/>
        <v>0</v>
      </c>
      <c r="CR278" s="87">
        <f t="shared" si="4119"/>
        <v>0</v>
      </c>
      <c r="CS278" s="87">
        <f t="shared" si="4120"/>
        <v>-0.27179824561403504</v>
      </c>
      <c r="CT278" s="88">
        <f t="shared" si="4121"/>
        <v>-0.27179824561403504</v>
      </c>
      <c r="CU278" s="85">
        <f t="shared" si="4122"/>
        <v>-0.54359649122807008</v>
      </c>
      <c r="CV278" s="86">
        <f t="shared" si="4123"/>
        <v>-0.27179824561403504</v>
      </c>
      <c r="CW278" s="87">
        <f t="shared" si="4124"/>
        <v>-0.27179824561403504</v>
      </c>
      <c r="CX278" s="87">
        <f t="shared" si="4125"/>
        <v>0</v>
      </c>
      <c r="CY278" s="88">
        <f t="shared" si="4126"/>
        <v>0</v>
      </c>
      <c r="CZ278" s="85">
        <f t="shared" si="4127"/>
        <v>-0.54359649122807008</v>
      </c>
    </row>
    <row r="279" spans="1:104" ht="12.75" customHeight="1">
      <c r="A279" s="1817"/>
      <c r="B279" s="1817"/>
      <c r="C279" s="2119">
        <v>5.5500000000000001E-2</v>
      </c>
      <c r="D279" s="2117"/>
      <c r="E279" s="2115">
        <f>IF(F279=0,G279,F279)</f>
        <v>21</v>
      </c>
      <c r="F279" s="2313">
        <f>90-F278-F277-F276-F275</f>
        <v>21</v>
      </c>
      <c r="G279" s="1511">
        <f>124-G278-G277-G276-G275</f>
        <v>20</v>
      </c>
      <c r="H279" s="1510">
        <v>2023</v>
      </c>
      <c r="I279" s="1831">
        <v>5.5500000000000001E-2</v>
      </c>
      <c r="J279" s="1832">
        <v>7</v>
      </c>
      <c r="L279" s="2001">
        <f t="shared" si="4036"/>
        <v>0</v>
      </c>
      <c r="M279" s="82">
        <f t="shared" si="4037"/>
        <v>0</v>
      </c>
      <c r="N279" s="83">
        <f t="shared" si="4038"/>
        <v>0</v>
      </c>
      <c r="O279" s="83">
        <f t="shared" si="4039"/>
        <v>0</v>
      </c>
      <c r="P279" s="84">
        <f t="shared" si="4040"/>
        <v>0</v>
      </c>
      <c r="Q279" s="81">
        <f t="shared" si="4041"/>
        <v>0</v>
      </c>
      <c r="R279" s="82">
        <f t="shared" si="4042"/>
        <v>0</v>
      </c>
      <c r="S279" s="83">
        <f t="shared" si="4043"/>
        <v>0</v>
      </c>
      <c r="T279" s="83">
        <f t="shared" si="4044"/>
        <v>0</v>
      </c>
      <c r="U279" s="84">
        <f t="shared" si="4045"/>
        <v>0</v>
      </c>
      <c r="V279" s="81">
        <f t="shared" si="4046"/>
        <v>0</v>
      </c>
      <c r="W279" s="82">
        <f t="shared" si="4047"/>
        <v>0</v>
      </c>
      <c r="X279" s="83">
        <f t="shared" si="4048"/>
        <v>0</v>
      </c>
      <c r="Y279" s="83">
        <f t="shared" si="4049"/>
        <v>0</v>
      </c>
      <c r="Z279" s="84">
        <f t="shared" si="4050"/>
        <v>0</v>
      </c>
      <c r="AA279" s="81">
        <f t="shared" si="4051"/>
        <v>0</v>
      </c>
      <c r="AB279" s="82">
        <f t="shared" si="4052"/>
        <v>0</v>
      </c>
      <c r="AC279" s="83">
        <f t="shared" si="4053"/>
        <v>0</v>
      </c>
      <c r="AD279" s="83">
        <f t="shared" si="4054"/>
        <v>0</v>
      </c>
      <c r="AE279" s="84">
        <f t="shared" si="4055"/>
        <v>0</v>
      </c>
      <c r="AF279" s="81">
        <f t="shared" si="4056"/>
        <v>0</v>
      </c>
      <c r="AG279" s="82">
        <f t="shared" si="4057"/>
        <v>0</v>
      </c>
      <c r="AH279" s="83">
        <f t="shared" si="4058"/>
        <v>0</v>
      </c>
      <c r="AI279" s="83">
        <f t="shared" si="4059"/>
        <v>0</v>
      </c>
      <c r="AJ279" s="84">
        <f t="shared" si="4060"/>
        <v>0</v>
      </c>
      <c r="AK279" s="81">
        <f t="shared" si="4061"/>
        <v>0</v>
      </c>
      <c r="AL279" s="82">
        <f t="shared" si="4062"/>
        <v>0</v>
      </c>
      <c r="AM279" s="83">
        <f t="shared" si="4063"/>
        <v>0</v>
      </c>
      <c r="AN279" s="83">
        <f t="shared" si="4064"/>
        <v>0</v>
      </c>
      <c r="AO279" s="84">
        <f t="shared" si="4065"/>
        <v>0</v>
      </c>
      <c r="AP279" s="81">
        <f t="shared" si="4066"/>
        <v>0</v>
      </c>
      <c r="AQ279" s="82">
        <f t="shared" si="4067"/>
        <v>0</v>
      </c>
      <c r="AR279" s="83">
        <f t="shared" si="4068"/>
        <v>0</v>
      </c>
      <c r="AS279" s="83">
        <f t="shared" si="4069"/>
        <v>0</v>
      </c>
      <c r="AT279" s="84">
        <f t="shared" si="4070"/>
        <v>0</v>
      </c>
      <c r="AU279" s="81">
        <f t="shared" si="4071"/>
        <v>0</v>
      </c>
      <c r="AV279" s="82">
        <f t="shared" si="4072"/>
        <v>0</v>
      </c>
      <c r="AW279" s="83">
        <f t="shared" si="4073"/>
        <v>0</v>
      </c>
      <c r="AX279" s="83">
        <f t="shared" si="4074"/>
        <v>0</v>
      </c>
      <c r="AY279" s="84">
        <f t="shared" si="4075"/>
        <v>0</v>
      </c>
      <c r="AZ279" s="81">
        <f t="shared" si="4076"/>
        <v>0</v>
      </c>
      <c r="BA279" s="82">
        <f t="shared" si="4077"/>
        <v>0</v>
      </c>
      <c r="BB279" s="83">
        <f t="shared" si="4078"/>
        <v>0</v>
      </c>
      <c r="BC279" s="83">
        <f t="shared" si="4079"/>
        <v>0</v>
      </c>
      <c r="BD279" s="84">
        <f t="shared" si="4080"/>
        <v>0</v>
      </c>
      <c r="BE279" s="81">
        <f t="shared" si="4081"/>
        <v>0</v>
      </c>
      <c r="BF279" s="1877"/>
      <c r="BG279" s="2005">
        <f t="shared" si="4082"/>
        <v>0</v>
      </c>
      <c r="BH279" s="86">
        <f t="shared" si="4083"/>
        <v>0</v>
      </c>
      <c r="BI279" s="87">
        <f t="shared" si="4084"/>
        <v>0</v>
      </c>
      <c r="BJ279" s="87">
        <f t="shared" si="4085"/>
        <v>0</v>
      </c>
      <c r="BK279" s="88">
        <f t="shared" si="4086"/>
        <v>0</v>
      </c>
      <c r="BL279" s="85">
        <f t="shared" si="4087"/>
        <v>0</v>
      </c>
      <c r="BM279" s="86">
        <f t="shared" si="4088"/>
        <v>0</v>
      </c>
      <c r="BN279" s="87">
        <f t="shared" si="4089"/>
        <v>0</v>
      </c>
      <c r="BO279" s="87">
        <f t="shared" si="4090"/>
        <v>0</v>
      </c>
      <c r="BP279" s="88">
        <f t="shared" si="4091"/>
        <v>0</v>
      </c>
      <c r="BQ279" s="85">
        <f t="shared" si="4092"/>
        <v>0</v>
      </c>
      <c r="BR279" s="86">
        <f t="shared" si="4093"/>
        <v>0</v>
      </c>
      <c r="BS279" s="87">
        <f t="shared" si="4094"/>
        <v>0</v>
      </c>
      <c r="BT279" s="87">
        <f t="shared" si="4095"/>
        <v>0</v>
      </c>
      <c r="BU279" s="88">
        <f t="shared" si="4096"/>
        <v>0</v>
      </c>
      <c r="BV279" s="85">
        <f t="shared" si="4097"/>
        <v>0</v>
      </c>
      <c r="BW279" s="86">
        <f t="shared" si="4098"/>
        <v>0</v>
      </c>
      <c r="BX279" s="87">
        <f t="shared" si="4099"/>
        <v>0</v>
      </c>
      <c r="BY279" s="87">
        <f t="shared" si="4100"/>
        <v>0</v>
      </c>
      <c r="BZ279" s="88">
        <f t="shared" si="4101"/>
        <v>0</v>
      </c>
      <c r="CA279" s="85">
        <f t="shared" si="4102"/>
        <v>0</v>
      </c>
      <c r="CB279" s="86">
        <f t="shared" si="4103"/>
        <v>0</v>
      </c>
      <c r="CC279" s="87">
        <f t="shared" si="4104"/>
        <v>0</v>
      </c>
      <c r="CD279" s="87">
        <f t="shared" si="4105"/>
        <v>0</v>
      </c>
      <c r="CE279" s="88">
        <f t="shared" si="4106"/>
        <v>0</v>
      </c>
      <c r="CF279" s="85">
        <f t="shared" si="4107"/>
        <v>0</v>
      </c>
      <c r="CG279" s="86">
        <f t="shared" si="4108"/>
        <v>0</v>
      </c>
      <c r="CH279" s="87">
        <f t="shared" si="4109"/>
        <v>0</v>
      </c>
      <c r="CI279" s="87">
        <f t="shared" si="4110"/>
        <v>0</v>
      </c>
      <c r="CJ279" s="88">
        <f t="shared" si="4111"/>
        <v>0</v>
      </c>
      <c r="CK279" s="85">
        <f t="shared" si="4112"/>
        <v>0</v>
      </c>
      <c r="CL279" s="86">
        <f t="shared" si="4113"/>
        <v>0</v>
      </c>
      <c r="CM279" s="87">
        <f t="shared" si="4114"/>
        <v>0</v>
      </c>
      <c r="CN279" s="87">
        <f t="shared" si="4115"/>
        <v>0</v>
      </c>
      <c r="CO279" s="88">
        <f t="shared" si="4116"/>
        <v>0</v>
      </c>
      <c r="CP279" s="85">
        <f t="shared" si="4117"/>
        <v>0</v>
      </c>
      <c r="CQ279" s="86">
        <f t="shared" si="4118"/>
        <v>0</v>
      </c>
      <c r="CR279" s="87">
        <f t="shared" si="4119"/>
        <v>0</v>
      </c>
      <c r="CS279" s="87">
        <f t="shared" si="4120"/>
        <v>0</v>
      </c>
      <c r="CT279" s="88">
        <f t="shared" si="4121"/>
        <v>0</v>
      </c>
      <c r="CU279" s="85">
        <f t="shared" si="4122"/>
        <v>0</v>
      </c>
      <c r="CV279" s="86">
        <f t="shared" si="4123"/>
        <v>0</v>
      </c>
      <c r="CW279" s="87">
        <f t="shared" si="4124"/>
        <v>0</v>
      </c>
      <c r="CX279" s="87">
        <f t="shared" si="4125"/>
        <v>0</v>
      </c>
      <c r="CY279" s="88">
        <f t="shared" si="4126"/>
        <v>0</v>
      </c>
      <c r="CZ279" s="85">
        <f t="shared" si="4127"/>
        <v>0</v>
      </c>
    </row>
    <row r="280" spans="1:104" ht="12.75" customHeight="1">
      <c r="A280" s="1817"/>
      <c r="B280" s="1817"/>
      <c r="C280" s="1863"/>
      <c r="D280" s="1863"/>
      <c r="E280" s="151"/>
      <c r="F280" s="152"/>
      <c r="G280" s="152"/>
      <c r="H280" s="153"/>
      <c r="I280" s="154"/>
      <c r="J280" s="1894"/>
      <c r="K280" s="1889"/>
      <c r="L280" s="2002"/>
      <c r="M280" s="99"/>
      <c r="N280" s="100"/>
      <c r="O280" s="100"/>
      <c r="P280" s="101"/>
      <c r="Q280" s="98"/>
      <c r="R280" s="99"/>
      <c r="S280" s="100"/>
      <c r="T280" s="100"/>
      <c r="U280" s="101"/>
      <c r="V280" s="98"/>
      <c r="W280" s="99"/>
      <c r="X280" s="100"/>
      <c r="Y280" s="100"/>
      <c r="Z280" s="101"/>
      <c r="AA280" s="98"/>
      <c r="AB280" s="99"/>
      <c r="AC280" s="100"/>
      <c r="AD280" s="100"/>
      <c r="AE280" s="101"/>
      <c r="AF280" s="98"/>
      <c r="AG280" s="99"/>
      <c r="AH280" s="100"/>
      <c r="AI280" s="100"/>
      <c r="AJ280" s="101"/>
      <c r="AK280" s="98"/>
      <c r="AL280" s="99"/>
      <c r="AM280" s="100"/>
      <c r="AN280" s="100"/>
      <c r="AO280" s="101"/>
      <c r="AP280" s="98"/>
      <c r="AQ280" s="99"/>
      <c r="AR280" s="100"/>
      <c r="AS280" s="100"/>
      <c r="AT280" s="101"/>
      <c r="AU280" s="98"/>
      <c r="AV280" s="99"/>
      <c r="AW280" s="100"/>
      <c r="AX280" s="100"/>
      <c r="AY280" s="101"/>
      <c r="AZ280" s="98"/>
      <c r="BA280" s="99"/>
      <c r="BB280" s="100"/>
      <c r="BC280" s="100"/>
      <c r="BD280" s="101"/>
      <c r="BE280" s="98"/>
      <c r="BF280" s="1878"/>
      <c r="BG280" s="2006"/>
      <c r="BH280" s="103"/>
      <c r="BI280" s="104"/>
      <c r="BJ280" s="104"/>
      <c r="BK280" s="105"/>
      <c r="BL280" s="102"/>
      <c r="BM280" s="103"/>
      <c r="BN280" s="104"/>
      <c r="BO280" s="104"/>
      <c r="BP280" s="105"/>
      <c r="BQ280" s="102"/>
      <c r="BR280" s="103"/>
      <c r="BS280" s="104"/>
      <c r="BT280" s="104"/>
      <c r="BU280" s="105"/>
      <c r="BV280" s="102"/>
      <c r="BW280" s="103"/>
      <c r="BX280" s="104"/>
      <c r="BY280" s="104"/>
      <c r="BZ280" s="105"/>
      <c r="CA280" s="102"/>
      <c r="CB280" s="103"/>
      <c r="CC280" s="104"/>
      <c r="CD280" s="104"/>
      <c r="CE280" s="105"/>
      <c r="CF280" s="102"/>
      <c r="CG280" s="103"/>
      <c r="CH280" s="104"/>
      <c r="CI280" s="104"/>
      <c r="CJ280" s="105"/>
      <c r="CK280" s="102"/>
      <c r="CL280" s="103"/>
      <c r="CM280" s="104"/>
      <c r="CN280" s="104"/>
      <c r="CO280" s="105"/>
      <c r="CP280" s="102"/>
      <c r="CQ280" s="103"/>
      <c r="CR280" s="104"/>
      <c r="CS280" s="104"/>
      <c r="CT280" s="105"/>
      <c r="CU280" s="102"/>
      <c r="CV280" s="103"/>
      <c r="CW280" s="104"/>
      <c r="CX280" s="104"/>
      <c r="CY280" s="105"/>
      <c r="CZ280" s="102"/>
    </row>
    <row r="281" spans="1:104" ht="12.75" customHeight="1">
      <c r="A281" s="1792"/>
      <c r="B281" s="1792"/>
      <c r="C281" s="157" t="s">
        <v>399</v>
      </c>
      <c r="D281" s="157"/>
      <c r="E281" s="158">
        <f>SUM(E265:E280)</f>
        <v>1162.0149999999999</v>
      </c>
      <c r="F281" s="2310">
        <f>SUM(F265:F280)</f>
        <v>1127.0149999999999</v>
      </c>
      <c r="G281" s="107">
        <f>SUM(G265:G280)</f>
        <v>1161.0149999999999</v>
      </c>
      <c r="H281" s="160"/>
      <c r="I281" s="160"/>
      <c r="J281" s="160"/>
      <c r="L281" s="2001">
        <f t="shared" ref="L281:BE281" si="4184">SUM(L265:L280)</f>
        <v>0</v>
      </c>
      <c r="M281" s="112">
        <f t="shared" si="4184"/>
        <v>0</v>
      </c>
      <c r="N281" s="113">
        <f t="shared" si="4184"/>
        <v>0</v>
      </c>
      <c r="O281" s="113">
        <f t="shared" si="4184"/>
        <v>0</v>
      </c>
      <c r="P281" s="114">
        <f t="shared" si="4184"/>
        <v>0</v>
      </c>
      <c r="Q281" s="111">
        <f t="shared" si="4184"/>
        <v>0</v>
      </c>
      <c r="R281" s="112">
        <f t="shared" si="4184"/>
        <v>0</v>
      </c>
      <c r="S281" s="113">
        <f t="shared" si="4184"/>
        <v>0</v>
      </c>
      <c r="T281" s="113">
        <f t="shared" si="4184"/>
        <v>0</v>
      </c>
      <c r="U281" s="114">
        <f t="shared" si="4184"/>
        <v>0</v>
      </c>
      <c r="V281" s="111">
        <f t="shared" si="4184"/>
        <v>0</v>
      </c>
      <c r="W281" s="112">
        <f t="shared" si="4184"/>
        <v>0</v>
      </c>
      <c r="X281" s="113">
        <f t="shared" si="4184"/>
        <v>0</v>
      </c>
      <c r="Y281" s="113">
        <f t="shared" si="4184"/>
        <v>0</v>
      </c>
      <c r="Z281" s="114">
        <f t="shared" si="4184"/>
        <v>0</v>
      </c>
      <c r="AA281" s="111">
        <f t="shared" si="4184"/>
        <v>0</v>
      </c>
      <c r="AB281" s="112">
        <f t="shared" si="4184"/>
        <v>0</v>
      </c>
      <c r="AC281" s="113">
        <f t="shared" si="4184"/>
        <v>0</v>
      </c>
      <c r="AD281" s="113">
        <f t="shared" si="4184"/>
        <v>0</v>
      </c>
      <c r="AE281" s="114">
        <f t="shared" si="4184"/>
        <v>0</v>
      </c>
      <c r="AF281" s="111">
        <f t="shared" si="4184"/>
        <v>0</v>
      </c>
      <c r="AG281" s="112">
        <f t="shared" si="4184"/>
        <v>0</v>
      </c>
      <c r="AH281" s="113">
        <f t="shared" si="4184"/>
        <v>0</v>
      </c>
      <c r="AI281" s="113">
        <f t="shared" si="4184"/>
        <v>-35</v>
      </c>
      <c r="AJ281" s="114">
        <f t="shared" si="4184"/>
        <v>0</v>
      </c>
      <c r="AK281" s="111">
        <f t="shared" si="4184"/>
        <v>-35</v>
      </c>
      <c r="AL281" s="112">
        <f t="shared" si="4184"/>
        <v>0</v>
      </c>
      <c r="AM281" s="113">
        <f t="shared" si="4184"/>
        <v>0</v>
      </c>
      <c r="AN281" s="113">
        <f t="shared" si="4184"/>
        <v>-281</v>
      </c>
      <c r="AO281" s="114">
        <f t="shared" si="4184"/>
        <v>0</v>
      </c>
      <c r="AP281" s="111">
        <f t="shared" si="4184"/>
        <v>-281</v>
      </c>
      <c r="AQ281" s="112">
        <f t="shared" si="4184"/>
        <v>0</v>
      </c>
      <c r="AR281" s="113">
        <f t="shared" si="4184"/>
        <v>0</v>
      </c>
      <c r="AS281" s="113">
        <f t="shared" si="4184"/>
        <v>-18</v>
      </c>
      <c r="AT281" s="114">
        <f t="shared" si="4184"/>
        <v>0</v>
      </c>
      <c r="AU281" s="111">
        <f t="shared" si="4184"/>
        <v>-18</v>
      </c>
      <c r="AV281" s="112">
        <f t="shared" si="4184"/>
        <v>0</v>
      </c>
      <c r="AW281" s="113">
        <f t="shared" si="4184"/>
        <v>0</v>
      </c>
      <c r="AX281" s="113">
        <f t="shared" si="4184"/>
        <v>-20</v>
      </c>
      <c r="AY281" s="114">
        <f t="shared" si="4184"/>
        <v>0</v>
      </c>
      <c r="AZ281" s="111">
        <f t="shared" si="4184"/>
        <v>-20</v>
      </c>
      <c r="BA281" s="112">
        <f t="shared" si="4184"/>
        <v>0</v>
      </c>
      <c r="BB281" s="113">
        <f t="shared" si="4184"/>
        <v>0</v>
      </c>
      <c r="BC281" s="113">
        <f t="shared" si="4184"/>
        <v>-238.86500000000001</v>
      </c>
      <c r="BD281" s="114">
        <f t="shared" si="4184"/>
        <v>0</v>
      </c>
      <c r="BE281" s="111">
        <f t="shared" si="4184"/>
        <v>-238.86500000000001</v>
      </c>
      <c r="BG281" s="2007">
        <f t="shared" ref="BG281:CZ281" si="4185">SUM(BG265:BG280)</f>
        <v>0</v>
      </c>
      <c r="BH281" s="116">
        <f t="shared" si="4185"/>
        <v>0</v>
      </c>
      <c r="BI281" s="117">
        <f t="shared" si="4185"/>
        <v>0</v>
      </c>
      <c r="BJ281" s="117">
        <f t="shared" si="4185"/>
        <v>0</v>
      </c>
      <c r="BK281" s="118">
        <f t="shared" si="4185"/>
        <v>0</v>
      </c>
      <c r="BL281" s="115">
        <f t="shared" si="4185"/>
        <v>0</v>
      </c>
      <c r="BM281" s="116">
        <f t="shared" si="4185"/>
        <v>0</v>
      </c>
      <c r="BN281" s="117">
        <f t="shared" si="4185"/>
        <v>0</v>
      </c>
      <c r="BO281" s="117">
        <f t="shared" si="4185"/>
        <v>0</v>
      </c>
      <c r="BP281" s="118">
        <f t="shared" si="4185"/>
        <v>0</v>
      </c>
      <c r="BQ281" s="115">
        <f t="shared" si="4185"/>
        <v>0</v>
      </c>
      <c r="BR281" s="116">
        <f t="shared" si="4185"/>
        <v>0</v>
      </c>
      <c r="BS281" s="117">
        <f t="shared" si="4185"/>
        <v>0</v>
      </c>
      <c r="BT281" s="117">
        <f t="shared" si="4185"/>
        <v>0</v>
      </c>
      <c r="BU281" s="118">
        <f t="shared" si="4185"/>
        <v>0</v>
      </c>
      <c r="BV281" s="115">
        <f t="shared" si="4185"/>
        <v>0</v>
      </c>
      <c r="BW281" s="116">
        <f t="shared" si="4185"/>
        <v>0</v>
      </c>
      <c r="BX281" s="117">
        <f t="shared" si="4185"/>
        <v>0</v>
      </c>
      <c r="BY281" s="117">
        <f t="shared" si="4185"/>
        <v>0</v>
      </c>
      <c r="BZ281" s="118">
        <f t="shared" si="4185"/>
        <v>0</v>
      </c>
      <c r="CA281" s="115">
        <f t="shared" si="4185"/>
        <v>0</v>
      </c>
      <c r="CB281" s="116">
        <f t="shared" si="4185"/>
        <v>0</v>
      </c>
      <c r="CC281" s="117">
        <f t="shared" si="4185"/>
        <v>0</v>
      </c>
      <c r="CD281" s="117">
        <f t="shared" si="4185"/>
        <v>-0.47564692982456136</v>
      </c>
      <c r="CE281" s="118">
        <f t="shared" si="4185"/>
        <v>-0.47564692982456136</v>
      </c>
      <c r="CF281" s="115">
        <f t="shared" si="4185"/>
        <v>-0.95129385964912272</v>
      </c>
      <c r="CG281" s="116">
        <f t="shared" si="4185"/>
        <v>-0.47564692982456136</v>
      </c>
      <c r="CH281" s="117">
        <f t="shared" si="4185"/>
        <v>-0.47564692982456136</v>
      </c>
      <c r="CI281" s="117">
        <f t="shared" si="4185"/>
        <v>-5.2650372807017547</v>
      </c>
      <c r="CJ281" s="118">
        <f t="shared" si="4185"/>
        <v>-5.2650372807017547</v>
      </c>
      <c r="CK281" s="115">
        <f t="shared" si="4185"/>
        <v>-11.481368421052633</v>
      </c>
      <c r="CL281" s="116">
        <f t="shared" si="4185"/>
        <v>-5.2650372807017547</v>
      </c>
      <c r="CM281" s="117">
        <f t="shared" si="4185"/>
        <v>-5.2650372807017547</v>
      </c>
      <c r="CN281" s="117">
        <f t="shared" si="4185"/>
        <v>-0.24461842105263154</v>
      </c>
      <c r="CO281" s="118">
        <f t="shared" si="4185"/>
        <v>-0.24461842105263154</v>
      </c>
      <c r="CP281" s="115">
        <f t="shared" si="4185"/>
        <v>-11.019311403508773</v>
      </c>
      <c r="CQ281" s="116">
        <f t="shared" si="4185"/>
        <v>-0.24461842105263154</v>
      </c>
      <c r="CR281" s="117">
        <f t="shared" si="4185"/>
        <v>-0.24461842105263154</v>
      </c>
      <c r="CS281" s="117">
        <f t="shared" si="4185"/>
        <v>-0.27179824561403504</v>
      </c>
      <c r="CT281" s="118">
        <f t="shared" si="4185"/>
        <v>-0.27179824561403504</v>
      </c>
      <c r="CU281" s="115">
        <f t="shared" si="4185"/>
        <v>-1.032833333333333</v>
      </c>
      <c r="CV281" s="116">
        <f t="shared" si="4185"/>
        <v>-0.27179824561403504</v>
      </c>
      <c r="CW281" s="117">
        <f t="shared" si="4185"/>
        <v>-0.27179824561403504</v>
      </c>
      <c r="CX281" s="117">
        <f t="shared" si="4185"/>
        <v>-2.8357049999999999</v>
      </c>
      <c r="CY281" s="118">
        <f t="shared" si="4185"/>
        <v>-2.8357049999999999</v>
      </c>
      <c r="CZ281" s="115">
        <f t="shared" si="4185"/>
        <v>-6.2150064912280696</v>
      </c>
    </row>
    <row r="282" spans="1:104" ht="12.75" customHeight="1">
      <c r="A282" s="1817"/>
      <c r="B282" s="1817"/>
      <c r="C282" s="146"/>
      <c r="D282" s="146"/>
      <c r="E282" s="147"/>
      <c r="F282" s="165"/>
      <c r="G282" s="165"/>
      <c r="H282" s="166"/>
      <c r="I282" s="166"/>
      <c r="J282" s="1832"/>
      <c r="L282" s="2001"/>
      <c r="M282" s="82"/>
      <c r="N282" s="83"/>
      <c r="O282" s="83"/>
      <c r="P282" s="84"/>
      <c r="Q282" s="81"/>
      <c r="R282" s="82"/>
      <c r="S282" s="83"/>
      <c r="T282" s="83"/>
      <c r="U282" s="84"/>
      <c r="V282" s="81"/>
      <c r="W282" s="82"/>
      <c r="X282" s="83"/>
      <c r="Y282" s="83"/>
      <c r="Z282" s="84"/>
      <c r="AA282" s="81"/>
      <c r="AB282" s="82"/>
      <c r="AC282" s="83"/>
      <c r="AD282" s="83"/>
      <c r="AE282" s="84"/>
      <c r="AF282" s="81"/>
      <c r="AG282" s="82"/>
      <c r="AH282" s="83"/>
      <c r="AI282" s="83"/>
      <c r="AJ282" s="84"/>
      <c r="AK282" s="81"/>
      <c r="AL282" s="82"/>
      <c r="AM282" s="83"/>
      <c r="AN282" s="83"/>
      <c r="AO282" s="84"/>
      <c r="AP282" s="81"/>
      <c r="AQ282" s="82"/>
      <c r="AR282" s="83"/>
      <c r="AS282" s="83"/>
      <c r="AT282" s="84"/>
      <c r="AU282" s="81"/>
      <c r="AV282" s="82"/>
      <c r="AW282" s="83"/>
      <c r="AX282" s="83"/>
      <c r="AY282" s="84"/>
      <c r="AZ282" s="81"/>
      <c r="BA282" s="82"/>
      <c r="BB282" s="83"/>
      <c r="BC282" s="83"/>
      <c r="BD282" s="84"/>
      <c r="BE282" s="81"/>
      <c r="BF282" s="1877"/>
      <c r="BG282" s="2005"/>
      <c r="BH282" s="86"/>
      <c r="BI282" s="87"/>
      <c r="BJ282" s="87"/>
      <c r="BK282" s="88"/>
      <c r="BL282" s="85"/>
      <c r="BM282" s="86"/>
      <c r="BN282" s="87"/>
      <c r="BO282" s="87"/>
      <c r="BP282" s="88"/>
      <c r="BQ282" s="85"/>
      <c r="BR282" s="86"/>
      <c r="BS282" s="87"/>
      <c r="BT282" s="87"/>
      <c r="BU282" s="88"/>
      <c r="BV282" s="85"/>
      <c r="BW282" s="86"/>
      <c r="BX282" s="87"/>
      <c r="BY282" s="87"/>
      <c r="BZ282" s="88"/>
      <c r="CA282" s="85"/>
      <c r="CB282" s="86"/>
      <c r="CC282" s="87"/>
      <c r="CD282" s="87"/>
      <c r="CE282" s="88"/>
      <c r="CF282" s="85"/>
      <c r="CG282" s="86"/>
      <c r="CH282" s="87"/>
      <c r="CI282" s="87"/>
      <c r="CJ282" s="88"/>
      <c r="CK282" s="85"/>
      <c r="CL282" s="86"/>
      <c r="CM282" s="87"/>
      <c r="CN282" s="87"/>
      <c r="CO282" s="88"/>
      <c r="CP282" s="85"/>
      <c r="CQ282" s="86"/>
      <c r="CR282" s="87"/>
      <c r="CS282" s="87"/>
      <c r="CT282" s="88"/>
      <c r="CU282" s="85"/>
      <c r="CV282" s="86"/>
      <c r="CW282" s="87"/>
      <c r="CX282" s="87"/>
      <c r="CY282" s="88"/>
      <c r="CZ282" s="85"/>
    </row>
    <row r="283" spans="1:104" ht="12.75" customHeight="1">
      <c r="A283" s="1817"/>
      <c r="B283" s="1817"/>
      <c r="C283" s="1837" t="s">
        <v>530</v>
      </c>
      <c r="D283" s="1837"/>
      <c r="E283" s="1820"/>
      <c r="F283" s="1821"/>
      <c r="G283" s="1821"/>
      <c r="H283" s="1825"/>
      <c r="I283" s="1826"/>
      <c r="J283" s="1865"/>
      <c r="L283" s="2001"/>
      <c r="M283" s="82"/>
      <c r="N283" s="83"/>
      <c r="O283" s="83"/>
      <c r="P283" s="84"/>
      <c r="Q283" s="81"/>
      <c r="R283" s="82"/>
      <c r="S283" s="83"/>
      <c r="T283" s="83"/>
      <c r="U283" s="84"/>
      <c r="V283" s="81"/>
      <c r="W283" s="82"/>
      <c r="X283" s="83"/>
      <c r="Y283" s="83"/>
      <c r="Z283" s="84"/>
      <c r="AA283" s="81"/>
      <c r="AB283" s="82"/>
      <c r="AC283" s="83"/>
      <c r="AD283" s="83"/>
      <c r="AE283" s="84"/>
      <c r="AF283" s="81"/>
      <c r="AG283" s="82"/>
      <c r="AH283" s="83"/>
      <c r="AI283" s="83"/>
      <c r="AJ283" s="84"/>
      <c r="AK283" s="81"/>
      <c r="AL283" s="82"/>
      <c r="AM283" s="83"/>
      <c r="AN283" s="83"/>
      <c r="AO283" s="84"/>
      <c r="AP283" s="81"/>
      <c r="AQ283" s="82"/>
      <c r="AR283" s="83"/>
      <c r="AS283" s="83"/>
      <c r="AT283" s="84"/>
      <c r="AU283" s="81"/>
      <c r="AV283" s="82"/>
      <c r="AW283" s="83"/>
      <c r="AX283" s="83"/>
      <c r="AY283" s="84"/>
      <c r="AZ283" s="81"/>
      <c r="BA283" s="82"/>
      <c r="BB283" s="83"/>
      <c r="BC283" s="83"/>
      <c r="BD283" s="84"/>
      <c r="BE283" s="81"/>
      <c r="BF283" s="1877"/>
      <c r="BG283" s="2005"/>
      <c r="BH283" s="86"/>
      <c r="BI283" s="87"/>
      <c r="BJ283" s="87"/>
      <c r="BK283" s="88"/>
      <c r="BL283" s="85"/>
      <c r="BM283" s="86"/>
      <c r="BN283" s="87"/>
      <c r="BO283" s="87"/>
      <c r="BP283" s="88"/>
      <c r="BQ283" s="85"/>
      <c r="BR283" s="86"/>
      <c r="BS283" s="87"/>
      <c r="BT283" s="87"/>
      <c r="BU283" s="88"/>
      <c r="BV283" s="85"/>
      <c r="BW283" s="86"/>
      <c r="BX283" s="87"/>
      <c r="BY283" s="87"/>
      <c r="BZ283" s="88"/>
      <c r="CA283" s="85"/>
      <c r="CB283" s="86"/>
      <c r="CC283" s="87"/>
      <c r="CD283" s="87"/>
      <c r="CE283" s="88"/>
      <c r="CF283" s="85"/>
      <c r="CG283" s="86"/>
      <c r="CH283" s="87"/>
      <c r="CI283" s="87"/>
      <c r="CJ283" s="88"/>
      <c r="CK283" s="85"/>
      <c r="CL283" s="86"/>
      <c r="CM283" s="87"/>
      <c r="CN283" s="87"/>
      <c r="CO283" s="88"/>
      <c r="CP283" s="85"/>
      <c r="CQ283" s="86"/>
      <c r="CR283" s="87"/>
      <c r="CS283" s="87"/>
      <c r="CT283" s="88"/>
      <c r="CU283" s="85"/>
      <c r="CV283" s="86"/>
      <c r="CW283" s="87"/>
      <c r="CX283" s="87"/>
      <c r="CY283" s="88"/>
      <c r="CZ283" s="85"/>
    </row>
    <row r="284" spans="1:104" ht="12.75" customHeight="1">
      <c r="A284" s="1817"/>
      <c r="B284" s="1817"/>
      <c r="C284" s="1838" t="s">
        <v>773</v>
      </c>
      <c r="D284" s="1838"/>
      <c r="E284" s="147">
        <f>ACE!$AW$126</f>
        <v>455</v>
      </c>
      <c r="F284" s="165"/>
      <c r="G284" s="165"/>
      <c r="H284" s="1516">
        <v>2018</v>
      </c>
      <c r="I284" s="1841">
        <v>0.05</v>
      </c>
      <c r="J284" s="1832">
        <v>7</v>
      </c>
      <c r="L284" s="2001">
        <f t="shared" ref="L284:L287" si="4186">IF(L$5=$H284,$E284,0)</f>
        <v>0</v>
      </c>
      <c r="M284" s="82">
        <f t="shared" ref="M284:M287" si="4187">IF(Q284=0,0,IF(Q284&gt;0,IF($J284=3,Q284,IF($J284=2,Q284,IF($J284=1,Q284,0)))))</f>
        <v>0</v>
      </c>
      <c r="N284" s="83">
        <f t="shared" ref="N284:N287" si="4188">IF(Q284=0,0,IF(Q284&gt;0,IF($J284=6,Q284,IF($J284=5,Q284,IF($J284=4,Q284,0)))))</f>
        <v>0</v>
      </c>
      <c r="O284" s="83">
        <f t="shared" ref="O284:O287" si="4189">IF(Q284=0,0,IF(Q284&gt;0,IF($J284=9,Q284,IF($J284=8,Q284,IF($J284=7,Q284,0)))))</f>
        <v>0</v>
      </c>
      <c r="P284" s="84">
        <f t="shared" ref="P284:P287" si="4190">IF(Q284=0,0,IF(Q284&gt;0,IF($J284=12,Q284,IF($J284=11,Q284,IF($J284=10,Q284,0)))))</f>
        <v>0</v>
      </c>
      <c r="Q284" s="81">
        <f t="shared" ref="Q284:Q287" si="4191">IF(Q$5=$H284,$E284,0)</f>
        <v>0</v>
      </c>
      <c r="R284" s="82">
        <f t="shared" ref="R284:R287" si="4192">IF(V284=0,0,IF(V284&gt;0,IF($J284=3,V284,IF($J284=2,V284,IF($J284=1,V284,0)))))</f>
        <v>0</v>
      </c>
      <c r="S284" s="83">
        <f t="shared" ref="S284:S287" si="4193">IF(V284=0,0,IF(V284&gt;0,IF($J284=6,V284,IF($J284=5,V284,IF($J284=4,V284,0)))))</f>
        <v>0</v>
      </c>
      <c r="T284" s="83">
        <f t="shared" ref="T284:T287" si="4194">IF(V284=0,0,IF(V284&gt;0,IF($J284=9,V284,IF($J284=8,V284,IF($J284=7,V284,0)))))</f>
        <v>0</v>
      </c>
      <c r="U284" s="84">
        <f t="shared" ref="U284:U287" si="4195">IF(V284=0,0,IF(V284&gt;0,IF($J284=12,V284,IF($J284=11,V284,IF($J284=10,V284,0)))))</f>
        <v>0</v>
      </c>
      <c r="V284" s="81">
        <f t="shared" ref="V284:V287" si="4196">IF(V$5=$H284,$E284,0)</f>
        <v>0</v>
      </c>
      <c r="W284" s="82">
        <f t="shared" ref="W284:W287" si="4197">IF(AA284=0,0,IF(AA284&gt;0,IF($J284=3,AA284,IF($J284=2,AA284,IF($J284=1,AA284,0)))))</f>
        <v>0</v>
      </c>
      <c r="X284" s="83">
        <f t="shared" ref="X284:X287" si="4198">IF(AA284=0,0,IF(AA284&gt;0,IF($J284=6,AA284,IF($J284=5,AA284,IF($J284=4,AA284,0)))))</f>
        <v>0</v>
      </c>
      <c r="Y284" s="83">
        <f t="shared" ref="Y284:Y287" si="4199">IF(AA284=0,0,IF(AA284&gt;0,IF($J284=9,AA284,IF($J284=8,AA284,IF($J284=7,AA284,0)))))</f>
        <v>0</v>
      </c>
      <c r="Z284" s="84">
        <f t="shared" ref="Z284:Z287" si="4200">IF(AA284=0,0,IF(AA284&gt;0,IF($J284=12,AA284,IF($J284=11,AA284,IF($J284=10,AA284,0)))))</f>
        <v>0</v>
      </c>
      <c r="AA284" s="81">
        <f t="shared" ref="AA284:AA287" si="4201">IF(AA$5=$H284,$E284,0)</f>
        <v>0</v>
      </c>
      <c r="AB284" s="82">
        <f t="shared" ref="AB284:AB287" si="4202">IF(AF284=0,0,IF(AF284&gt;0,IF($J284=3,AF284,IF($J284=2,AF284,IF($J284=1,AF284,0)))))</f>
        <v>0</v>
      </c>
      <c r="AC284" s="83">
        <f t="shared" ref="AC284:AC287" si="4203">IF(AF284=0,0,IF(AF284&gt;0,IF($J284=6,AF284,IF($J284=5,AF284,IF($J284=4,AF284,0)))))</f>
        <v>0</v>
      </c>
      <c r="AD284" s="83">
        <f t="shared" ref="AD284:AD287" si="4204">IF(AF284=0,0,IF(AF284&gt;0,IF($J284=9,AF284,IF($J284=8,AF284,IF($J284=7,AF284,0)))))</f>
        <v>0</v>
      </c>
      <c r="AE284" s="84">
        <f t="shared" ref="AE284:AE287" si="4205">IF(AF284=0,0,IF(AF284&gt;0,IF($J284=12,AF284,IF($J284=11,AF284,IF($J284=10,AF284,0)))))</f>
        <v>0</v>
      </c>
      <c r="AF284" s="81">
        <f t="shared" ref="AF284:AF287" si="4206">IF(AF$5=$H284,$E284,0)</f>
        <v>0</v>
      </c>
      <c r="AG284" s="82">
        <f t="shared" ref="AG284:AG287" si="4207">IF(AK284=0,0,IF(AK284&gt;0,IF($J284=3,AK284,IF($J284=2,AK284,IF($J284=1,AK284,0)))))</f>
        <v>0</v>
      </c>
      <c r="AH284" s="83">
        <f t="shared" ref="AH284:AH287" si="4208">IF(AK284=0,0,IF(AK284&gt;0,IF($J284=6,AK284,IF($J284=5,AK284,IF($J284=4,AK284,0)))))</f>
        <v>0</v>
      </c>
      <c r="AI284" s="83">
        <f t="shared" ref="AI284:AI287" si="4209">IF(AK284=0,0,IF(AK284&gt;0,IF($J284=9,AK284,IF($J284=8,AK284,IF($J284=7,AK284,0)))))</f>
        <v>0</v>
      </c>
      <c r="AJ284" s="84">
        <f t="shared" ref="AJ284:AJ287" si="4210">IF(AK284=0,0,IF(AK284&gt;0,IF($J284=12,AK284,IF($J284=11,AK284,IF($J284=10,AK284,0)))))</f>
        <v>0</v>
      </c>
      <c r="AK284" s="81">
        <f t="shared" ref="AK284:AK287" si="4211">IF(AK$5=$H284,$E284,0)</f>
        <v>0</v>
      </c>
      <c r="AL284" s="82">
        <f t="shared" ref="AL284:AL287" si="4212">IF(AP284=0,0,IF(AP284&gt;0,IF($J284=3,AP284,IF($J284=2,AP284,IF($J284=1,AP284,0)))))</f>
        <v>0</v>
      </c>
      <c r="AM284" s="83">
        <f t="shared" ref="AM284:AM287" si="4213">IF(AP284=0,0,IF(AP284&gt;0,IF($J284=6,AP284,IF($J284=5,AP284,IF($J284=4,AP284,0)))))</f>
        <v>0</v>
      </c>
      <c r="AN284" s="83">
        <f t="shared" ref="AN284:AN287" si="4214">IF(AP284=0,0,IF(AP284&gt;0,IF($J284=9,AP284,IF($J284=8,AP284,IF($J284=7,AP284,0)))))</f>
        <v>455</v>
      </c>
      <c r="AO284" s="84">
        <f t="shared" ref="AO284:AO287" si="4215">IF(AP284=0,0,IF(AP284&gt;0,IF($J284=12,AP284,IF($J284=11,AP284,IF($J284=10,AP284,0)))))</f>
        <v>0</v>
      </c>
      <c r="AP284" s="81">
        <f t="shared" ref="AP284:AP287" si="4216">IF(AP$5=$H284,$E284,0)</f>
        <v>455</v>
      </c>
      <c r="AQ284" s="82">
        <f t="shared" ref="AQ284:AQ287" si="4217">IF(AU284=0,0,IF(AU284&gt;0,IF($J284=3,AU284,IF($J284=2,AU284,IF($J284=1,AU284,0)))))</f>
        <v>0</v>
      </c>
      <c r="AR284" s="83">
        <f t="shared" ref="AR284:AR287" si="4218">IF(AU284=0,0,IF(AU284&gt;0,IF($J284=6,AU284,IF($J284=5,AU284,IF($J284=4,AU284,0)))))</f>
        <v>0</v>
      </c>
      <c r="AS284" s="83">
        <f t="shared" ref="AS284:AS287" si="4219">IF(AU284=0,0,IF(AU284&gt;0,IF($J284=9,AU284,IF($J284=8,AU284,IF($J284=7,AU284,0)))))</f>
        <v>0</v>
      </c>
      <c r="AT284" s="84">
        <f t="shared" ref="AT284:AT287" si="4220">IF(AU284=0,0,IF(AU284&gt;0,IF($J284=12,AU284,IF($J284=11,AU284,IF($J284=10,AU284,0)))))</f>
        <v>0</v>
      </c>
      <c r="AU284" s="81">
        <f t="shared" ref="AU284:AU287" si="4221">IF(AU$5=$H284,$E284,0)</f>
        <v>0</v>
      </c>
      <c r="AV284" s="82">
        <f t="shared" ref="AV284:AV287" si="4222">IF(AZ284=0,0,IF(AZ284&gt;0,IF($J284=3,AZ284,IF($J284=2,AZ284,IF($J284=1,AZ284,0)))))</f>
        <v>0</v>
      </c>
      <c r="AW284" s="83">
        <f t="shared" ref="AW284:AW287" si="4223">IF(AZ284=0,0,IF(AZ284&gt;0,IF($J284=6,AZ284,IF($J284=5,AZ284,IF($J284=4,AZ284,0)))))</f>
        <v>0</v>
      </c>
      <c r="AX284" s="83">
        <f t="shared" ref="AX284:AX287" si="4224">IF(AZ284=0,0,IF(AZ284&gt;0,IF($J284=9,AZ284,IF($J284=8,AZ284,IF($J284=7,AZ284,0)))))</f>
        <v>0</v>
      </c>
      <c r="AY284" s="84">
        <f t="shared" ref="AY284:AY287" si="4225">IF(AZ284=0,0,IF(AZ284&gt;0,IF($J284=12,AZ284,IF($J284=11,AZ284,IF($J284=10,AZ284,0)))))</f>
        <v>0</v>
      </c>
      <c r="AZ284" s="81">
        <f t="shared" ref="AZ284:AZ287" si="4226">IF(AZ$5=$H284,$E284,0)</f>
        <v>0</v>
      </c>
      <c r="BA284" s="82">
        <f t="shared" ref="BA284:BA287" si="4227">IF(BE284=0,0,IF(BE284&gt;0,IF($J284=3,BE284,IF($J284=2,BE284,IF($J284=1,BE284,0)))))</f>
        <v>0</v>
      </c>
      <c r="BB284" s="83">
        <f t="shared" ref="BB284:BB287" si="4228">IF(BE284=0,0,IF(BE284&gt;0,IF($J284=6,BE284,IF($J284=5,BE284,IF($J284=4,BE284,0)))))</f>
        <v>0</v>
      </c>
      <c r="BC284" s="83">
        <f t="shared" ref="BC284:BC287" si="4229">IF(BE284=0,0,IF(BE284&gt;0,IF($J284=9,BE284,IF($J284=8,BE284,IF($J284=7,BE284,0)))))</f>
        <v>0</v>
      </c>
      <c r="BD284" s="84">
        <f t="shared" ref="BD284:BD287" si="4230">IF(BE284=0,0,IF(BE284&gt;0,IF($J284=12,BE284,IF($J284=11,BE284,IF($J284=10,BE284,0)))))</f>
        <v>0</v>
      </c>
      <c r="BE284" s="81">
        <f t="shared" ref="BE284:BE287" si="4231">IF(BE$5=$H284,$E284,0)</f>
        <v>0</v>
      </c>
      <c r="BF284" s="1884"/>
      <c r="BG284" s="2005">
        <f t="shared" ref="BG284:BG287" si="4232">IF(AND(BF284&lt;&gt;0,BF$5=$H284),$I284*$E284-BF284,IF(BG$5=$H284,$I284*$E284*(12-$J284+1)/12,0))</f>
        <v>0</v>
      </c>
      <c r="BH284" s="86">
        <f t="shared" ref="BH284:BH287" si="4233">IF($H284&lt;&gt;BL$5,0,IF(BL284&gt;0,IF($J284=1,$E284*$I284/12*3,IF($J284=2,$E284*$I284/12*2,IF($J284=3,$E284*$I284/12*1,0)))))+IF(BG$5&lt;&gt;$H284,0,IF(BG284&gt;0,IF($J284=1,$E284*$I284/12*0,IF($J284=2,$E284*$I284/12*1,IF($J284=3,$E284*$I284/12*2,IF($J284&gt;=4,$E284*$I284/12*3,0))))))</f>
        <v>0</v>
      </c>
      <c r="BI284" s="87">
        <f t="shared" ref="BI284:BI287" si="4234">IF($H284&lt;&gt;BL$5,0,IF(BL284&gt;0,IF(OR($J284=1,$J284=2,$J284=3,$J284=4),$E284*$I284/12*3,IF($J284=5,$E284*$I284/12*2,IF($J284=6,$E284*$I284/12*1,0)))))+IF(BG$5&lt;&gt;$H284,0,IF(BG284&gt;0,IF($J284=4,$E284*$I284/12*0,IF($J284=5,$E284*$I284/12*1,IF($J284=6,$E284*$I284/12*2,IF($J284&gt;=7,$E284*$I284/12*3,0))))))</f>
        <v>0</v>
      </c>
      <c r="BJ284" s="87">
        <f t="shared" ref="BJ284:BJ287" si="4235">IF($H284&lt;&gt;BL$5,0,IF(BL284&gt;0,IF(OR($J284=1,$J284=2,$J284=3,$J284=4,$J284=5,$J284=6,$J284=7),$E284*$I284/12*3,IF($J284=8,$E284*$I284/12*2,IF($J284=9,$E284*$I284/12*1,0)))))+IF(BG$5&lt;&gt;$H284,0,IF(BG284&gt;0,IF($J284=7,$E284*$I284/12*0,IF($J284=8,$E284*$I284/12*1,IF($J284=9,$E284*$I284/12*2,IF($J284&gt;=10,$E284*$I284/12*3,0))))))</f>
        <v>0</v>
      </c>
      <c r="BK284" s="88">
        <f t="shared" ref="BK284:BK287" si="4236">IF($H284&lt;&gt;BL$5,0,IF(BL284&gt;0,IF(OR($J284=1,$J284=2,$J284=3,$J284=4,$J284=5,$J284=6,$J284=7,$J284=8,$J284=9,$J284=10),$E284*$I284/12*3,IF($J284=11,$E284*$I284/12*2,IF($J284=12,$E284*$I284/12*1,0)))))+IF(BG$5&lt;&gt;$H284,0,IF(BG284&gt;0,IF($J284=10,$E284*$I284/12*0,IF($J284=11,$E284*$I284/12*1,IF($J284=12,$E284*$I284/12*2,0)))))</f>
        <v>0</v>
      </c>
      <c r="BL284" s="85">
        <f t="shared" ref="BL284:BL287" si="4237">IF(AND(BG284&lt;&gt;0,BG$5=$H284),$I284*$E284-BG284,IF(BL$5=$H284,$I284*$E284*(12-$J284+1)/12,0))</f>
        <v>0</v>
      </c>
      <c r="BM284" s="86">
        <f t="shared" ref="BM284:BM287" si="4238">IF($H284&lt;&gt;BQ$5,0,IF(BQ284&gt;0,IF($J284=1,$E284*$I284/12*3,IF($J284=2,$E284*$I284/12*2,IF($J284=3,$E284*$I284/12*1,0)))))+IF(BL$5&lt;&gt;$H284,0,IF(BL284&gt;0,IF($J284=1,$E284*$I284/12*0,IF($J284=2,$E284*$I284/12*1,IF($J284=3,$E284*$I284/12*2,IF($J284&gt;=4,$E284*$I284/12*3,0))))))</f>
        <v>0</v>
      </c>
      <c r="BN284" s="87">
        <f t="shared" ref="BN284:BN287" si="4239">IF($H284&lt;&gt;BQ$5,0,IF(BQ284&gt;0,IF(OR($J284=1,$J284=2,$J284=3,$J284=4),$E284*$I284/12*3,IF($J284=5,$E284*$I284/12*2,IF($J284=6,$E284*$I284/12*1,0)))))+IF(BL$5&lt;&gt;$H284,0,IF(BL284&gt;0,IF($J284=4,$E284*$I284/12*0,IF($J284=5,$E284*$I284/12*1,IF($J284=6,$E284*$I284/12*2,IF($J284&gt;=7,$E284*$I284/12*3,0))))))</f>
        <v>0</v>
      </c>
      <c r="BO284" s="87">
        <f t="shared" ref="BO284:BO287" si="4240">IF($H284&lt;&gt;BQ$5,0,IF(BQ284&gt;0,IF(OR($J284=1,$J284=2,$J284=3,$J284=4,$J284=5,$J284=6,$J284=7),$E284*$I284/12*3,IF($J284=8,$E284*$I284/12*2,IF($J284=9,$E284*$I284/12*1,0)))))+IF(BL$5&lt;&gt;$H284,0,IF(BL284&gt;0,IF($J284=7,$E284*$I284/12*0,IF($J284=8,$E284*$I284/12*1,IF($J284=9,$E284*$I284/12*2,IF($J284&gt;=10,$E284*$I284/12*3,0))))))</f>
        <v>0</v>
      </c>
      <c r="BP284" s="88">
        <f t="shared" ref="BP284:BP287" si="4241">IF($H284&lt;&gt;BQ$5,0,IF(BQ284&gt;0,IF(OR($J284=1,$J284=2,$J284=3,$J284=4,$J284=5,$J284=6,$J284=7,$J284=8,$J284=9,$J284=10),$E284*$I284/12*3,IF($J284=11,$E284*$I284/12*2,IF($J284=12,$E284*$I284/12*1,0)))))+IF(BL$5&lt;&gt;$H284,0,IF(BL284&gt;0,IF($J284=10,$E284*$I284/12*0,IF($J284=11,$E284*$I284/12*1,IF($J284=12,$E284*$I284/12*2,0)))))</f>
        <v>0</v>
      </c>
      <c r="BQ284" s="85">
        <f t="shared" ref="BQ284:BQ287" si="4242">IF(AND(BL284&lt;&gt;0,BL$5=$H284),$I284*$E284-BL284,IF(BQ$5=$H284,$I284*$E284*(12-$J284+1)/12,0))</f>
        <v>0</v>
      </c>
      <c r="BR284" s="86">
        <f t="shared" ref="BR284:BR287" si="4243">IF($H284&lt;&gt;BV$5,0,IF(BV284&gt;0,IF($J284=1,$E284*$I284/12*3,IF($J284=2,$E284*$I284/12*2,IF($J284=3,$E284*$I284/12*1,0)))))+IF(BQ$5&lt;&gt;$H284,0,IF(BQ284&gt;0,IF($J284=1,$E284*$I284/12*0,IF($J284=2,$E284*$I284/12*1,IF($J284=3,$E284*$I284/12*2,IF($J284&gt;=4,$E284*$I284/12*3,0))))))</f>
        <v>0</v>
      </c>
      <c r="BS284" s="87">
        <f t="shared" ref="BS284:BS287" si="4244">IF($H284&lt;&gt;BV$5,0,IF(BV284&gt;0,IF(OR($J284=1,$J284=2,$J284=3,$J284=4),$E284*$I284/12*3,IF($J284=5,$E284*$I284/12*2,IF($J284=6,$E284*$I284/12*1,0)))))+IF(BQ$5&lt;&gt;$H284,0,IF(BQ284&gt;0,IF($J284=4,$E284*$I284/12*0,IF($J284=5,$E284*$I284/12*1,IF($J284=6,$E284*$I284/12*2,IF($J284&gt;=7,$E284*$I284/12*3,0))))))</f>
        <v>0</v>
      </c>
      <c r="BT284" s="87">
        <f t="shared" ref="BT284:BT287" si="4245">IF($H284&lt;&gt;BV$5,0,IF(BV284&gt;0,IF(OR($J284=1,$J284=2,$J284=3,$J284=4,$J284=5,$J284=6,$J284=7),$E284*$I284/12*3,IF($J284=8,$E284*$I284/12*2,IF($J284=9,$E284*$I284/12*1,0)))))+IF(BQ$5&lt;&gt;$H284,0,IF(BQ284&gt;0,IF($J284=7,$E284*$I284/12*0,IF($J284=8,$E284*$I284/12*1,IF($J284=9,$E284*$I284/12*2,IF($J284&gt;=10,$E284*$I284/12*3,0))))))</f>
        <v>0</v>
      </c>
      <c r="BU284" s="88">
        <f t="shared" ref="BU284:BU287" si="4246">IF($H284&lt;&gt;BV$5,0,IF(BV284&gt;0,IF(OR($J284=1,$J284=2,$J284=3,$J284=4,$J284=5,$J284=6,$J284=7,$J284=8,$J284=9,$J284=10),$E284*$I284/12*3,IF($J284=11,$E284*$I284/12*2,IF($J284=12,$E284*$I284/12*1,0)))))+IF(BQ$5&lt;&gt;$H284,0,IF(BQ284&gt;0,IF($J284=10,$E284*$I284/12*0,IF($J284=11,$E284*$I284/12*1,IF($J284=12,$E284*$I284/12*2,0)))))</f>
        <v>0</v>
      </c>
      <c r="BV284" s="85">
        <f t="shared" ref="BV284:BV287" si="4247">IF(AND(BQ284&lt;&gt;0,BQ$5=$H284),$I284*$E284-BQ284,IF(BV$5=$H284,$I284*$E284*(12-$J284+1)/12,0))</f>
        <v>0</v>
      </c>
      <c r="BW284" s="86">
        <f t="shared" ref="BW284:BW287" si="4248">IF($H284&lt;&gt;CA$5,0,IF(CA284&gt;0,IF($J284=1,$E284*$I284/12*3,IF($J284=2,$E284*$I284/12*2,IF($J284=3,$E284*$I284/12*1,0)))))+IF(BV$5&lt;&gt;$H284,0,IF(BV284&gt;0,IF($J284=1,$E284*$I284/12*0,IF($J284=2,$E284*$I284/12*1,IF($J284=3,$E284*$I284/12*2,IF($J284&gt;=4,$E284*$I284/12*3,0))))))</f>
        <v>0</v>
      </c>
      <c r="BX284" s="87">
        <f t="shared" ref="BX284:BX287" si="4249">IF($H284&lt;&gt;CA$5,0,IF(CA284&gt;0,IF(OR($J284=1,$J284=2,$J284=3,$J284=4),$E284*$I284/12*3,IF($J284=5,$E284*$I284/12*2,IF($J284=6,$E284*$I284/12*1,0)))))+IF(BV$5&lt;&gt;$H284,0,IF(BV284&gt;0,IF($J284=4,$E284*$I284/12*0,IF($J284=5,$E284*$I284/12*1,IF($J284=6,$E284*$I284/12*2,IF($J284&gt;=7,$E284*$I284/12*3,0))))))</f>
        <v>0</v>
      </c>
      <c r="BY284" s="87">
        <f t="shared" ref="BY284:BY287" si="4250">IF($H284&lt;&gt;CA$5,0,IF(CA284&gt;0,IF(OR($J284=1,$J284=2,$J284=3,$J284=4,$J284=5,$J284=6,$J284=7),$E284*$I284/12*3,IF($J284=8,$E284*$I284/12*2,IF($J284=9,$E284*$I284/12*1,0)))))+IF(BV$5&lt;&gt;$H284,0,IF(BV284&gt;0,IF($J284=7,$E284*$I284/12*0,IF($J284=8,$E284*$I284/12*1,IF($J284=9,$E284*$I284/12*2,IF($J284&gt;=10,$E284*$I284/12*3,0))))))</f>
        <v>0</v>
      </c>
      <c r="BZ284" s="88">
        <f t="shared" ref="BZ284:BZ287" si="4251">IF($H284&lt;&gt;CA$5,0,IF(CA284&gt;0,IF(OR($J284=1,$J284=2,$J284=3,$J284=4,$J284=5,$J284=6,$J284=7,$J284=8,$J284=9,$J284=10),$E284*$I284/12*3,IF($J284=11,$E284*$I284/12*2,IF($J284=12,$E284*$I284/12*1,0)))))+IF(BV$5&lt;&gt;$H284,0,IF(BV284&gt;0,IF($J284=10,$E284*$I284/12*0,IF($J284=11,$E284*$I284/12*1,IF($J284=12,$E284*$I284/12*2,0)))))</f>
        <v>0</v>
      </c>
      <c r="CA284" s="85">
        <f t="shared" ref="CA284:CA287" si="4252">IF(AND(BV284&lt;&gt;0,BV$5=$H284),$I284*$E284-BV284,IF(CA$5=$H284,$I284*$E284*(12-$J284+1)/12,0))</f>
        <v>0</v>
      </c>
      <c r="CB284" s="86">
        <f t="shared" ref="CB284:CB287" si="4253">IF($H284&lt;&gt;CF$5,0,IF(CF284&gt;0,IF($J284=1,$E284*$I284/12*3,IF($J284=2,$E284*$I284/12*2,IF($J284=3,$E284*$I284/12*1,0)))))+IF(CA$5&lt;&gt;$H284,0,IF(CA284&gt;0,IF($J284=1,$E284*$I284/12*0,IF($J284=2,$E284*$I284/12*1,IF($J284=3,$E284*$I284/12*2,IF($J284&gt;=4,$E284*$I284/12*3,0))))))</f>
        <v>0</v>
      </c>
      <c r="CC284" s="87">
        <f t="shared" ref="CC284:CC287" si="4254">IF($H284&lt;&gt;CF$5,0,IF(CF284&gt;0,IF(OR($J284=1,$J284=2,$J284=3,$J284=4),$E284*$I284/12*3,IF($J284=5,$E284*$I284/12*2,IF($J284=6,$E284*$I284/12*1,0)))))+IF(CA$5&lt;&gt;$H284,0,IF(CA284&gt;0,IF($J284=4,$E284*$I284/12*0,IF($J284=5,$E284*$I284/12*1,IF($J284=6,$E284*$I284/12*2,IF($J284&gt;=7,$E284*$I284/12*3,0))))))</f>
        <v>0</v>
      </c>
      <c r="CD284" s="87">
        <f t="shared" ref="CD284:CD287" si="4255">IF($H284&lt;&gt;CF$5,0,IF(CF284&gt;0,IF(OR($J284=1,$J284=2,$J284=3,$J284=4,$J284=5,$J284=6,$J284=7),$E284*$I284/12*3,IF($J284=8,$E284*$I284/12*2,IF($J284=9,$E284*$I284/12*1,0)))))+IF(CA$5&lt;&gt;$H284,0,IF(CA284&gt;0,IF($J284=7,$E284*$I284/12*0,IF($J284=8,$E284*$I284/12*1,IF($J284=9,$E284*$I284/12*2,IF($J284&gt;=10,$E284*$I284/12*3,0))))))</f>
        <v>0</v>
      </c>
      <c r="CE284" s="88">
        <f t="shared" ref="CE284:CE287" si="4256">IF($H284&lt;&gt;CF$5,0,IF(CF284&gt;0,IF(OR($J284=1,$J284=2,$J284=3,$J284=4,$J284=5,$J284=6,$J284=7,$J284=8,$J284=9,$J284=10),$E284*$I284/12*3,IF($J284=11,$E284*$I284/12*2,IF($J284=12,$E284*$I284/12*1,0)))))+IF(CA$5&lt;&gt;$H284,0,IF(CA284&gt;0,IF($J284=10,$E284*$I284/12*0,IF($J284=11,$E284*$I284/12*1,IF($J284=12,$E284*$I284/12*2,0)))))</f>
        <v>0</v>
      </c>
      <c r="CF284" s="85">
        <f t="shared" ref="CF284:CF287" si="4257">IF(AND(CA284&lt;&gt;0,CA$5=$H284),$I284*$E284-CA284,IF(CF$5=$H284,$I284*$E284*(12-$J284+1)/12,0))</f>
        <v>0</v>
      </c>
      <c r="CG284" s="86">
        <f t="shared" ref="CG284:CG287" si="4258">IF($H284&lt;&gt;CK$5,0,IF(CK284&gt;0,IF($J284=1,$E284*$I284/12*3,IF($J284=2,$E284*$I284/12*2,IF($J284=3,$E284*$I284/12*1,0)))))+IF(CF$5&lt;&gt;$H284,0,IF(CF284&gt;0,IF($J284=1,$E284*$I284/12*0,IF($J284=2,$E284*$I284/12*1,IF($J284=3,$E284*$I284/12*2,IF($J284&gt;=4,$E284*$I284/12*3,0))))))</f>
        <v>0</v>
      </c>
      <c r="CH284" s="87">
        <f t="shared" ref="CH284:CH287" si="4259">IF($H284&lt;&gt;CK$5,0,IF(CK284&gt;0,IF(OR($J284=1,$J284=2,$J284=3,$J284=4),$E284*$I284/12*3,IF($J284=5,$E284*$I284/12*2,IF($J284=6,$E284*$I284/12*1,0)))))+IF(CF$5&lt;&gt;$H284,0,IF(CF284&gt;0,IF($J284=4,$E284*$I284/12*0,IF($J284=5,$E284*$I284/12*1,IF($J284=6,$E284*$I284/12*2,IF($J284&gt;=7,$E284*$I284/12*3,0))))))</f>
        <v>0</v>
      </c>
      <c r="CI284" s="87">
        <f t="shared" ref="CI284:CI287" si="4260">IF($H284&lt;&gt;CK$5,0,IF(CK284&gt;0,IF(OR($J284=1,$J284=2,$J284=3,$J284=4,$J284=5,$J284=6,$J284=7),$E284*$I284/12*3,IF($J284=8,$E284*$I284/12*2,IF($J284=9,$E284*$I284/12*1,0)))))+IF(CF$5&lt;&gt;$H284,0,IF(CF284&gt;0,IF($J284=7,$E284*$I284/12*0,IF($J284=8,$E284*$I284/12*1,IF($J284=9,$E284*$I284/12*2,IF($J284&gt;=10,$E284*$I284/12*3,0))))))</f>
        <v>5.6875</v>
      </c>
      <c r="CJ284" s="88">
        <f t="shared" ref="CJ284:CJ287" si="4261">IF($H284&lt;&gt;CK$5,0,IF(CK284&gt;0,IF(OR($J284=1,$J284=2,$J284=3,$J284=4,$J284=5,$J284=6,$J284=7,$J284=8,$J284=9,$J284=10),$E284*$I284/12*3,IF($J284=11,$E284*$I284/12*2,IF($J284=12,$E284*$I284/12*1,0)))))+IF(CF$5&lt;&gt;$H284,0,IF(CF284&gt;0,IF($J284=10,$E284*$I284/12*0,IF($J284=11,$E284*$I284/12*1,IF($J284=12,$E284*$I284/12*2,0)))))</f>
        <v>5.6875</v>
      </c>
      <c r="CK284" s="85">
        <f t="shared" ref="CK284:CK287" si="4262">IF(AND(CF284&lt;&gt;0,CF$5=$H284),$I284*$E284-CF284,IF(CK$5=$H284,$I284*$E284*(12-$J284+1)/12,0))</f>
        <v>11.375</v>
      </c>
      <c r="CL284" s="86">
        <f t="shared" ref="CL284:CL287" si="4263">IF($H284&lt;&gt;CP$5,0,IF(CP284&gt;0,IF($J284=1,$E284*$I284/12*3,IF($J284=2,$E284*$I284/12*2,IF($J284=3,$E284*$I284/12*1,0)))))+IF(CK$5&lt;&gt;$H284,0,IF(CK284&gt;0,IF($J284=1,$E284*$I284/12*0,IF($J284=2,$E284*$I284/12*1,IF($J284=3,$E284*$I284/12*2,IF($J284&gt;=4,$E284*$I284/12*3,0))))))</f>
        <v>5.6875</v>
      </c>
      <c r="CM284" s="87">
        <f t="shared" ref="CM284:CM287" si="4264">IF($H284&lt;&gt;CP$5,0,IF(CP284&gt;0,IF(OR($J284=1,$J284=2,$J284=3,$J284=4),$E284*$I284/12*3,IF($J284=5,$E284*$I284/12*2,IF($J284=6,$E284*$I284/12*1,0)))))+IF(CK$5&lt;&gt;$H284,0,IF(CK284&gt;0,IF($J284=4,$E284*$I284/12*0,IF($J284=5,$E284*$I284/12*1,IF($J284=6,$E284*$I284/12*2,IF($J284&gt;=7,$E284*$I284/12*3,0))))))</f>
        <v>5.6875</v>
      </c>
      <c r="CN284" s="87">
        <f t="shared" ref="CN284:CN287" si="4265">IF($H284&lt;&gt;CP$5,0,IF(CP284&gt;0,IF(OR($J284=1,$J284=2,$J284=3,$J284=4,$J284=5,$J284=6,$J284=7),$E284*$I284/12*3,IF($J284=8,$E284*$I284/12*2,IF($J284=9,$E284*$I284/12*1,0)))))+IF(CK$5&lt;&gt;$H284,0,IF(CK284&gt;0,IF($J284=7,$E284*$I284/12*0,IF($J284=8,$E284*$I284/12*1,IF($J284=9,$E284*$I284/12*2,IF($J284&gt;=10,$E284*$I284/12*3,0))))))</f>
        <v>0</v>
      </c>
      <c r="CO284" s="88">
        <f t="shared" ref="CO284:CO287" si="4266">IF($H284&lt;&gt;CP$5,0,IF(CP284&gt;0,IF(OR($J284=1,$J284=2,$J284=3,$J284=4,$J284=5,$J284=6,$J284=7,$J284=8,$J284=9,$J284=10),$E284*$I284/12*3,IF($J284=11,$E284*$I284/12*2,IF($J284=12,$E284*$I284/12*1,0)))))+IF(CK$5&lt;&gt;$H284,0,IF(CK284&gt;0,IF($J284=10,$E284*$I284/12*0,IF($J284=11,$E284*$I284/12*1,IF($J284=12,$E284*$I284/12*2,0)))))</f>
        <v>0</v>
      </c>
      <c r="CP284" s="85">
        <f t="shared" ref="CP284:CP287" si="4267">IF(AND(CK284&lt;&gt;0,CK$5=$H284),$I284*$E284-CK284,IF(CP$5=$H284,$I284*$E284*(12-$J284+1)/12,0))</f>
        <v>11.375</v>
      </c>
      <c r="CQ284" s="86">
        <f t="shared" ref="CQ284:CQ287" si="4268">IF($H284&lt;&gt;CU$5,0,IF(CU284&gt;0,IF($J284=1,$E284*$I284/12*3,IF($J284=2,$E284*$I284/12*2,IF($J284=3,$E284*$I284/12*1,0)))))+IF(CP$5&lt;&gt;$H284,0,IF(CP284&gt;0,IF($J284=1,$E284*$I284/12*0,IF($J284=2,$E284*$I284/12*1,IF($J284=3,$E284*$I284/12*2,IF($J284&gt;=4,$E284*$I284/12*3,0))))))</f>
        <v>0</v>
      </c>
      <c r="CR284" s="87">
        <f t="shared" ref="CR284:CR287" si="4269">IF($H284&lt;&gt;CU$5,0,IF(CU284&gt;0,IF(OR($J284=1,$J284=2,$J284=3,$J284=4),$E284*$I284/12*3,IF($J284=5,$E284*$I284/12*2,IF($J284=6,$E284*$I284/12*1,0)))))+IF(CP$5&lt;&gt;$H284,0,IF(CP284&gt;0,IF($J284=4,$E284*$I284/12*0,IF($J284=5,$E284*$I284/12*1,IF($J284=6,$E284*$I284/12*2,IF($J284&gt;=7,$E284*$I284/12*3,0))))))</f>
        <v>0</v>
      </c>
      <c r="CS284" s="87">
        <f t="shared" ref="CS284:CS287" si="4270">IF($H284&lt;&gt;CU$5,0,IF(CU284&gt;0,IF(OR($J284=1,$J284=2,$J284=3,$J284=4,$J284=5,$J284=6,$J284=7),$E284*$I284/12*3,IF($J284=8,$E284*$I284/12*2,IF($J284=9,$E284*$I284/12*1,0)))))+IF(CP$5&lt;&gt;$H284,0,IF(CP284&gt;0,IF($J284=7,$E284*$I284/12*0,IF($J284=8,$E284*$I284/12*1,IF($J284=9,$E284*$I284/12*2,IF($J284&gt;=10,$E284*$I284/12*3,0))))))</f>
        <v>0</v>
      </c>
      <c r="CT284" s="88">
        <f t="shared" ref="CT284:CT287" si="4271">IF($H284&lt;&gt;CU$5,0,IF(CU284&gt;0,IF(OR($J284=1,$J284=2,$J284=3,$J284=4,$J284=5,$J284=6,$J284=7,$J284=8,$J284=9,$J284=10),$E284*$I284/12*3,IF($J284=11,$E284*$I284/12*2,IF($J284=12,$E284*$I284/12*1,0)))))+IF(CP$5&lt;&gt;$H284,0,IF(CP284&gt;0,IF($J284=10,$E284*$I284/12*0,IF($J284=11,$E284*$I284/12*1,IF($J284=12,$E284*$I284/12*2,0)))))</f>
        <v>0</v>
      </c>
      <c r="CU284" s="85">
        <f t="shared" ref="CU284:CU287" si="4272">IF(AND(CP284&lt;&gt;0,CP$5=$H284),$I284*$E284-CP284,IF(CU$5=$H284,$I284*$E284*(12-$J284+1)/12,0))</f>
        <v>0</v>
      </c>
      <c r="CV284" s="86">
        <f t="shared" ref="CV284:CV287" si="4273">IF($H284&lt;&gt;CZ$5,0,IF(CZ284&gt;0,IF($J284=1,$E284*$I284/12*3,IF($J284=2,$E284*$I284/12*2,IF($J284=3,$E284*$I284/12*1,0)))))+IF(CU$5&lt;&gt;$H284,0,IF(CU284&gt;0,IF($J284=1,$E284*$I284/12*0,IF($J284=2,$E284*$I284/12*1,IF($J284=3,$E284*$I284/12*2,IF($J284&gt;=4,$E284*$I284/12*3,0))))))</f>
        <v>0</v>
      </c>
      <c r="CW284" s="87">
        <f t="shared" ref="CW284:CW287" si="4274">IF($H284&lt;&gt;CZ$5,0,IF(CZ284&gt;0,IF(OR($J284=1,$J284=2,$J284=3,$J284=4),$E284*$I284/12*3,IF($J284=5,$E284*$I284/12*2,IF($J284=6,$E284*$I284/12*1,0)))))+IF(CU$5&lt;&gt;$H284,0,IF(CU284&gt;0,IF($J284=4,$E284*$I284/12*0,IF($J284=5,$E284*$I284/12*1,IF($J284=6,$E284*$I284/12*2,IF($J284&gt;=7,$E284*$I284/12*3,0))))))</f>
        <v>0</v>
      </c>
      <c r="CX284" s="87">
        <f t="shared" ref="CX284:CX287" si="4275">IF($H284&lt;&gt;CZ$5,0,IF(CZ284&gt;0,IF(OR($J284=1,$J284=2,$J284=3,$J284=4,$J284=5,$J284=6,$J284=7),$E284*$I284/12*3,IF($J284=8,$E284*$I284/12*2,IF($J284=9,$E284*$I284/12*1,0)))))+IF(CU$5&lt;&gt;$H284,0,IF(CU284&gt;0,IF($J284=7,$E284*$I284/12*0,IF($J284=8,$E284*$I284/12*1,IF($J284=9,$E284*$I284/12*2,IF($J284&gt;=10,$E284*$I284/12*3,0))))))</f>
        <v>0</v>
      </c>
      <c r="CY284" s="88">
        <f t="shared" ref="CY284:CY287" si="4276">IF($H284&lt;&gt;CZ$5,0,IF(CZ284&gt;0,IF(OR($J284=1,$J284=2,$J284=3,$J284=4,$J284=5,$J284=6,$J284=7,$J284=8,$J284=9,$J284=10),$E284*$I284/12*3,IF($J284=11,$E284*$I284/12*2,IF($J284=12,$E284*$I284/12*1,0)))))+IF(CU$5&lt;&gt;$H284,0,IF(CU284&gt;0,IF($J284=10,$E284*$I284/12*0,IF($J284=11,$E284*$I284/12*1,IF($J284=12,$E284*$I284/12*2,0)))))</f>
        <v>0</v>
      </c>
      <c r="CZ284" s="85">
        <f t="shared" ref="CZ284:CZ287" si="4277">IF(AND(CU284&lt;&gt;0,CU$5=$H284),$I284*$E284-CU284,IF(CZ$5=$H284,$I284*$E284*(12-$J284+1)/12,0))</f>
        <v>0</v>
      </c>
    </row>
    <row r="285" spans="1:104" ht="12.75" customHeight="1">
      <c r="A285" s="1817"/>
      <c r="B285" s="1817"/>
      <c r="C285" s="2026" t="s">
        <v>1373</v>
      </c>
      <c r="D285" s="1838"/>
      <c r="E285" s="147">
        <f>ACE!$BB$126</f>
        <v>95</v>
      </c>
      <c r="F285" s="165"/>
      <c r="G285" s="165"/>
      <c r="H285" s="1516">
        <v>2019</v>
      </c>
      <c r="I285" s="1841">
        <v>0.05</v>
      </c>
      <c r="J285" s="1832">
        <v>7</v>
      </c>
      <c r="L285" s="2001">
        <f t="shared" si="4186"/>
        <v>0</v>
      </c>
      <c r="M285" s="82">
        <f t="shared" si="4187"/>
        <v>0</v>
      </c>
      <c r="N285" s="83">
        <f t="shared" si="4188"/>
        <v>0</v>
      </c>
      <c r="O285" s="83">
        <f t="shared" si="4189"/>
        <v>0</v>
      </c>
      <c r="P285" s="84">
        <f t="shared" si="4190"/>
        <v>0</v>
      </c>
      <c r="Q285" s="81">
        <f t="shared" si="4191"/>
        <v>0</v>
      </c>
      <c r="R285" s="82">
        <f t="shared" si="4192"/>
        <v>0</v>
      </c>
      <c r="S285" s="83">
        <f t="shared" si="4193"/>
        <v>0</v>
      </c>
      <c r="T285" s="83">
        <f t="shared" si="4194"/>
        <v>0</v>
      </c>
      <c r="U285" s="84">
        <f t="shared" si="4195"/>
        <v>0</v>
      </c>
      <c r="V285" s="81">
        <f t="shared" si="4196"/>
        <v>0</v>
      </c>
      <c r="W285" s="82">
        <f t="shared" si="4197"/>
        <v>0</v>
      </c>
      <c r="X285" s="83">
        <f t="shared" si="4198"/>
        <v>0</v>
      </c>
      <c r="Y285" s="83">
        <f t="shared" si="4199"/>
        <v>0</v>
      </c>
      <c r="Z285" s="84">
        <f t="shared" si="4200"/>
        <v>0</v>
      </c>
      <c r="AA285" s="81">
        <f t="shared" si="4201"/>
        <v>0</v>
      </c>
      <c r="AB285" s="82">
        <f t="shared" si="4202"/>
        <v>0</v>
      </c>
      <c r="AC285" s="83">
        <f t="shared" si="4203"/>
        <v>0</v>
      </c>
      <c r="AD285" s="83">
        <f t="shared" si="4204"/>
        <v>0</v>
      </c>
      <c r="AE285" s="84">
        <f t="shared" si="4205"/>
        <v>0</v>
      </c>
      <c r="AF285" s="81">
        <f t="shared" si="4206"/>
        <v>0</v>
      </c>
      <c r="AG285" s="82">
        <f t="shared" si="4207"/>
        <v>0</v>
      </c>
      <c r="AH285" s="83">
        <f t="shared" si="4208"/>
        <v>0</v>
      </c>
      <c r="AI285" s="83">
        <f t="shared" si="4209"/>
        <v>0</v>
      </c>
      <c r="AJ285" s="84">
        <f t="shared" si="4210"/>
        <v>0</v>
      </c>
      <c r="AK285" s="81">
        <f t="shared" si="4211"/>
        <v>0</v>
      </c>
      <c r="AL285" s="82">
        <f t="shared" si="4212"/>
        <v>0</v>
      </c>
      <c r="AM285" s="83">
        <f t="shared" si="4213"/>
        <v>0</v>
      </c>
      <c r="AN285" s="83">
        <f t="shared" si="4214"/>
        <v>0</v>
      </c>
      <c r="AO285" s="84">
        <f t="shared" si="4215"/>
        <v>0</v>
      </c>
      <c r="AP285" s="81">
        <f t="shared" si="4216"/>
        <v>0</v>
      </c>
      <c r="AQ285" s="82">
        <f t="shared" si="4217"/>
        <v>0</v>
      </c>
      <c r="AR285" s="83">
        <f t="shared" si="4218"/>
        <v>0</v>
      </c>
      <c r="AS285" s="83">
        <f t="shared" si="4219"/>
        <v>95</v>
      </c>
      <c r="AT285" s="84">
        <f t="shared" si="4220"/>
        <v>0</v>
      </c>
      <c r="AU285" s="81">
        <f t="shared" si="4221"/>
        <v>95</v>
      </c>
      <c r="AV285" s="82">
        <f t="shared" si="4222"/>
        <v>0</v>
      </c>
      <c r="AW285" s="83">
        <f t="shared" si="4223"/>
        <v>0</v>
      </c>
      <c r="AX285" s="83">
        <f t="shared" si="4224"/>
        <v>0</v>
      </c>
      <c r="AY285" s="84">
        <f t="shared" si="4225"/>
        <v>0</v>
      </c>
      <c r="AZ285" s="81">
        <f t="shared" si="4226"/>
        <v>0</v>
      </c>
      <c r="BA285" s="82">
        <f t="shared" si="4227"/>
        <v>0</v>
      </c>
      <c r="BB285" s="83">
        <f t="shared" si="4228"/>
        <v>0</v>
      </c>
      <c r="BC285" s="83">
        <f t="shared" si="4229"/>
        <v>0</v>
      </c>
      <c r="BD285" s="84">
        <f t="shared" si="4230"/>
        <v>0</v>
      </c>
      <c r="BE285" s="81">
        <f t="shared" si="4231"/>
        <v>0</v>
      </c>
      <c r="BF285" s="1884"/>
      <c r="BG285" s="2005">
        <f t="shared" si="4232"/>
        <v>0</v>
      </c>
      <c r="BH285" s="86">
        <f t="shared" si="4233"/>
        <v>0</v>
      </c>
      <c r="BI285" s="87">
        <f t="shared" si="4234"/>
        <v>0</v>
      </c>
      <c r="BJ285" s="87">
        <f t="shared" si="4235"/>
        <v>0</v>
      </c>
      <c r="BK285" s="88">
        <f t="shared" si="4236"/>
        <v>0</v>
      </c>
      <c r="BL285" s="85">
        <f t="shared" si="4237"/>
        <v>0</v>
      </c>
      <c r="BM285" s="86">
        <f t="shared" si="4238"/>
        <v>0</v>
      </c>
      <c r="BN285" s="87">
        <f t="shared" si="4239"/>
        <v>0</v>
      </c>
      <c r="BO285" s="87">
        <f t="shared" si="4240"/>
        <v>0</v>
      </c>
      <c r="BP285" s="88">
        <f t="shared" si="4241"/>
        <v>0</v>
      </c>
      <c r="BQ285" s="85">
        <f t="shared" si="4242"/>
        <v>0</v>
      </c>
      <c r="BR285" s="86">
        <f t="shared" si="4243"/>
        <v>0</v>
      </c>
      <c r="BS285" s="87">
        <f t="shared" si="4244"/>
        <v>0</v>
      </c>
      <c r="BT285" s="87">
        <f t="shared" si="4245"/>
        <v>0</v>
      </c>
      <c r="BU285" s="88">
        <f t="shared" si="4246"/>
        <v>0</v>
      </c>
      <c r="BV285" s="85">
        <f t="shared" si="4247"/>
        <v>0</v>
      </c>
      <c r="BW285" s="86">
        <f t="shared" si="4248"/>
        <v>0</v>
      </c>
      <c r="BX285" s="87">
        <f t="shared" si="4249"/>
        <v>0</v>
      </c>
      <c r="BY285" s="87">
        <f t="shared" si="4250"/>
        <v>0</v>
      </c>
      <c r="BZ285" s="88">
        <f t="shared" si="4251"/>
        <v>0</v>
      </c>
      <c r="CA285" s="85">
        <f t="shared" si="4252"/>
        <v>0</v>
      </c>
      <c r="CB285" s="86">
        <f t="shared" si="4253"/>
        <v>0</v>
      </c>
      <c r="CC285" s="87">
        <f t="shared" si="4254"/>
        <v>0</v>
      </c>
      <c r="CD285" s="87">
        <f t="shared" si="4255"/>
        <v>0</v>
      </c>
      <c r="CE285" s="88">
        <f t="shared" si="4256"/>
        <v>0</v>
      </c>
      <c r="CF285" s="85">
        <f t="shared" si="4257"/>
        <v>0</v>
      </c>
      <c r="CG285" s="86">
        <f t="shared" si="4258"/>
        <v>0</v>
      </c>
      <c r="CH285" s="87">
        <f t="shared" si="4259"/>
        <v>0</v>
      </c>
      <c r="CI285" s="87">
        <f t="shared" si="4260"/>
        <v>0</v>
      </c>
      <c r="CJ285" s="88">
        <f t="shared" si="4261"/>
        <v>0</v>
      </c>
      <c r="CK285" s="85">
        <f t="shared" si="4262"/>
        <v>0</v>
      </c>
      <c r="CL285" s="86">
        <f t="shared" si="4263"/>
        <v>0</v>
      </c>
      <c r="CM285" s="87">
        <f t="shared" si="4264"/>
        <v>0</v>
      </c>
      <c r="CN285" s="87">
        <f t="shared" si="4265"/>
        <v>1.1875</v>
      </c>
      <c r="CO285" s="88">
        <f t="shared" si="4266"/>
        <v>1.1875</v>
      </c>
      <c r="CP285" s="85">
        <f t="shared" si="4267"/>
        <v>2.375</v>
      </c>
      <c r="CQ285" s="86">
        <f t="shared" si="4268"/>
        <v>1.1875</v>
      </c>
      <c r="CR285" s="87">
        <f t="shared" si="4269"/>
        <v>1.1875</v>
      </c>
      <c r="CS285" s="87">
        <f t="shared" si="4270"/>
        <v>0</v>
      </c>
      <c r="CT285" s="88">
        <f t="shared" si="4271"/>
        <v>0</v>
      </c>
      <c r="CU285" s="85">
        <f t="shared" si="4272"/>
        <v>2.375</v>
      </c>
      <c r="CV285" s="86">
        <f t="shared" si="4273"/>
        <v>0</v>
      </c>
      <c r="CW285" s="87">
        <f t="shared" si="4274"/>
        <v>0</v>
      </c>
      <c r="CX285" s="87">
        <f t="shared" si="4275"/>
        <v>0</v>
      </c>
      <c r="CY285" s="88">
        <f t="shared" si="4276"/>
        <v>0</v>
      </c>
      <c r="CZ285" s="85">
        <f t="shared" si="4277"/>
        <v>0</v>
      </c>
    </row>
    <row r="286" spans="1:104" ht="12.75" customHeight="1">
      <c r="A286" s="1817"/>
      <c r="B286" s="1817"/>
      <c r="C286" s="2026" t="s">
        <v>1374</v>
      </c>
      <c r="D286" s="1838"/>
      <c r="E286" s="147">
        <f>ACE!$BG$126</f>
        <v>95</v>
      </c>
      <c r="F286" s="165"/>
      <c r="G286" s="165"/>
      <c r="H286" s="1516">
        <v>2020</v>
      </c>
      <c r="I286" s="1841">
        <v>0.05</v>
      </c>
      <c r="J286" s="1832">
        <v>7</v>
      </c>
      <c r="L286" s="2001">
        <f t="shared" si="4186"/>
        <v>0</v>
      </c>
      <c r="M286" s="82">
        <f t="shared" ref="M286" si="4278">IF(Q286=0,0,IF(Q286&gt;0,IF($J286=3,Q286,IF($J286=2,Q286,IF($J286=1,Q286,0)))))</f>
        <v>0</v>
      </c>
      <c r="N286" s="83">
        <f t="shared" ref="N286" si="4279">IF(Q286=0,0,IF(Q286&gt;0,IF($J286=6,Q286,IF($J286=5,Q286,IF($J286=4,Q286,0)))))</f>
        <v>0</v>
      </c>
      <c r="O286" s="83">
        <f t="shared" ref="O286" si="4280">IF(Q286=0,0,IF(Q286&gt;0,IF($J286=9,Q286,IF($J286=8,Q286,IF($J286=7,Q286,0)))))</f>
        <v>0</v>
      </c>
      <c r="P286" s="84">
        <f t="shared" ref="P286" si="4281">IF(Q286=0,0,IF(Q286&gt;0,IF($J286=12,Q286,IF($J286=11,Q286,IF($J286=10,Q286,0)))))</f>
        <v>0</v>
      </c>
      <c r="Q286" s="81">
        <f t="shared" si="4191"/>
        <v>0</v>
      </c>
      <c r="R286" s="82">
        <f t="shared" ref="R286" si="4282">IF(V286=0,0,IF(V286&gt;0,IF($J286=3,V286,IF($J286=2,V286,IF($J286=1,V286,0)))))</f>
        <v>0</v>
      </c>
      <c r="S286" s="83">
        <f t="shared" ref="S286" si="4283">IF(V286=0,0,IF(V286&gt;0,IF($J286=6,V286,IF($J286=5,V286,IF($J286=4,V286,0)))))</f>
        <v>0</v>
      </c>
      <c r="T286" s="83">
        <f t="shared" ref="T286" si="4284">IF(V286=0,0,IF(V286&gt;0,IF($J286=9,V286,IF($J286=8,V286,IF($J286=7,V286,0)))))</f>
        <v>0</v>
      </c>
      <c r="U286" s="84">
        <f t="shared" ref="U286" si="4285">IF(V286=0,0,IF(V286&gt;0,IF($J286=12,V286,IF($J286=11,V286,IF($J286=10,V286,0)))))</f>
        <v>0</v>
      </c>
      <c r="V286" s="81">
        <f t="shared" si="4196"/>
        <v>0</v>
      </c>
      <c r="W286" s="82">
        <f t="shared" ref="W286" si="4286">IF(AA286=0,0,IF(AA286&gt;0,IF($J286=3,AA286,IF($J286=2,AA286,IF($J286=1,AA286,0)))))</f>
        <v>0</v>
      </c>
      <c r="X286" s="83">
        <f t="shared" ref="X286" si="4287">IF(AA286=0,0,IF(AA286&gt;0,IF($J286=6,AA286,IF($J286=5,AA286,IF($J286=4,AA286,0)))))</f>
        <v>0</v>
      </c>
      <c r="Y286" s="83">
        <f t="shared" ref="Y286" si="4288">IF(AA286=0,0,IF(AA286&gt;0,IF($J286=9,AA286,IF($J286=8,AA286,IF($J286=7,AA286,0)))))</f>
        <v>0</v>
      </c>
      <c r="Z286" s="84">
        <f t="shared" ref="Z286" si="4289">IF(AA286=0,0,IF(AA286&gt;0,IF($J286=12,AA286,IF($J286=11,AA286,IF($J286=10,AA286,0)))))</f>
        <v>0</v>
      </c>
      <c r="AA286" s="81">
        <f t="shared" si="4201"/>
        <v>0</v>
      </c>
      <c r="AB286" s="82">
        <f t="shared" ref="AB286" si="4290">IF(AF286=0,0,IF(AF286&gt;0,IF($J286=3,AF286,IF($J286=2,AF286,IF($J286=1,AF286,0)))))</f>
        <v>0</v>
      </c>
      <c r="AC286" s="83">
        <f t="shared" ref="AC286" si="4291">IF(AF286=0,0,IF(AF286&gt;0,IF($J286=6,AF286,IF($J286=5,AF286,IF($J286=4,AF286,0)))))</f>
        <v>0</v>
      </c>
      <c r="AD286" s="83">
        <f t="shared" ref="AD286" si="4292">IF(AF286=0,0,IF(AF286&gt;0,IF($J286=9,AF286,IF($J286=8,AF286,IF($J286=7,AF286,0)))))</f>
        <v>0</v>
      </c>
      <c r="AE286" s="84">
        <f t="shared" ref="AE286" si="4293">IF(AF286=0,0,IF(AF286&gt;0,IF($J286=12,AF286,IF($J286=11,AF286,IF($J286=10,AF286,0)))))</f>
        <v>0</v>
      </c>
      <c r="AF286" s="81">
        <f t="shared" si="4206"/>
        <v>0</v>
      </c>
      <c r="AG286" s="82">
        <f t="shared" ref="AG286" si="4294">IF(AK286=0,0,IF(AK286&gt;0,IF($J286=3,AK286,IF($J286=2,AK286,IF($J286=1,AK286,0)))))</f>
        <v>0</v>
      </c>
      <c r="AH286" s="83">
        <f t="shared" ref="AH286" si="4295">IF(AK286=0,0,IF(AK286&gt;0,IF($J286=6,AK286,IF($J286=5,AK286,IF($J286=4,AK286,0)))))</f>
        <v>0</v>
      </c>
      <c r="AI286" s="83">
        <f t="shared" ref="AI286" si="4296">IF(AK286=0,0,IF(AK286&gt;0,IF($J286=9,AK286,IF($J286=8,AK286,IF($J286=7,AK286,0)))))</f>
        <v>0</v>
      </c>
      <c r="AJ286" s="84">
        <f t="shared" ref="AJ286" si="4297">IF(AK286=0,0,IF(AK286&gt;0,IF($J286=12,AK286,IF($J286=11,AK286,IF($J286=10,AK286,0)))))</f>
        <v>0</v>
      </c>
      <c r="AK286" s="81">
        <f t="shared" si="4211"/>
        <v>0</v>
      </c>
      <c r="AL286" s="82">
        <f t="shared" ref="AL286" si="4298">IF(AP286=0,0,IF(AP286&gt;0,IF($J286=3,AP286,IF($J286=2,AP286,IF($J286=1,AP286,0)))))</f>
        <v>0</v>
      </c>
      <c r="AM286" s="83">
        <f t="shared" ref="AM286" si="4299">IF(AP286=0,0,IF(AP286&gt;0,IF($J286=6,AP286,IF($J286=5,AP286,IF($J286=4,AP286,0)))))</f>
        <v>0</v>
      </c>
      <c r="AN286" s="83">
        <f t="shared" ref="AN286" si="4300">IF(AP286=0,0,IF(AP286&gt;0,IF($J286=9,AP286,IF($J286=8,AP286,IF($J286=7,AP286,0)))))</f>
        <v>0</v>
      </c>
      <c r="AO286" s="84">
        <f t="shared" ref="AO286" si="4301">IF(AP286=0,0,IF(AP286&gt;0,IF($J286=12,AP286,IF($J286=11,AP286,IF($J286=10,AP286,0)))))</f>
        <v>0</v>
      </c>
      <c r="AP286" s="81">
        <f t="shared" si="4216"/>
        <v>0</v>
      </c>
      <c r="AQ286" s="82">
        <f t="shared" ref="AQ286" si="4302">IF(AU286=0,0,IF(AU286&gt;0,IF($J286=3,AU286,IF($J286=2,AU286,IF($J286=1,AU286,0)))))</f>
        <v>0</v>
      </c>
      <c r="AR286" s="83">
        <f t="shared" ref="AR286" si="4303">IF(AU286=0,0,IF(AU286&gt;0,IF($J286=6,AU286,IF($J286=5,AU286,IF($J286=4,AU286,0)))))</f>
        <v>0</v>
      </c>
      <c r="AS286" s="83">
        <f t="shared" ref="AS286" si="4304">IF(AU286=0,0,IF(AU286&gt;0,IF($J286=9,AU286,IF($J286=8,AU286,IF($J286=7,AU286,0)))))</f>
        <v>0</v>
      </c>
      <c r="AT286" s="84">
        <f t="shared" ref="AT286" si="4305">IF(AU286=0,0,IF(AU286&gt;0,IF($J286=12,AU286,IF($J286=11,AU286,IF($J286=10,AU286,0)))))</f>
        <v>0</v>
      </c>
      <c r="AU286" s="81">
        <f t="shared" si="4221"/>
        <v>0</v>
      </c>
      <c r="AV286" s="82">
        <f t="shared" ref="AV286" si="4306">IF(AZ286=0,0,IF(AZ286&gt;0,IF($J286=3,AZ286,IF($J286=2,AZ286,IF($J286=1,AZ286,0)))))</f>
        <v>0</v>
      </c>
      <c r="AW286" s="83">
        <f t="shared" ref="AW286" si="4307">IF(AZ286=0,0,IF(AZ286&gt;0,IF($J286=6,AZ286,IF($J286=5,AZ286,IF($J286=4,AZ286,0)))))</f>
        <v>0</v>
      </c>
      <c r="AX286" s="83">
        <f t="shared" ref="AX286" si="4308">IF(AZ286=0,0,IF(AZ286&gt;0,IF($J286=9,AZ286,IF($J286=8,AZ286,IF($J286=7,AZ286,0)))))</f>
        <v>95</v>
      </c>
      <c r="AY286" s="84">
        <f t="shared" ref="AY286" si="4309">IF(AZ286=0,0,IF(AZ286&gt;0,IF($J286=12,AZ286,IF($J286=11,AZ286,IF($J286=10,AZ286,0)))))</f>
        <v>0</v>
      </c>
      <c r="AZ286" s="81">
        <f t="shared" si="4226"/>
        <v>95</v>
      </c>
      <c r="BA286" s="82">
        <f t="shared" si="4227"/>
        <v>0</v>
      </c>
      <c r="BB286" s="83">
        <f t="shared" si="4228"/>
        <v>0</v>
      </c>
      <c r="BC286" s="83">
        <f t="shared" si="4229"/>
        <v>0</v>
      </c>
      <c r="BD286" s="84">
        <f t="shared" si="4230"/>
        <v>0</v>
      </c>
      <c r="BE286" s="81">
        <f t="shared" si="4231"/>
        <v>0</v>
      </c>
      <c r="BF286" s="1884"/>
      <c r="BG286" s="2005">
        <f t="shared" ref="BG286" si="4310">IF(AND(BF286&lt;&gt;0,BF$5=$H286),$I286*$E286-BF286,IF(BG$5=$H286,$I286*$E286*(12-$J286+1)/12,0))</f>
        <v>0</v>
      </c>
      <c r="BH286" s="86">
        <f t="shared" ref="BH286" si="4311">IF($H286&lt;&gt;BL$5,0,IF(BL286&gt;0,IF($J286=1,$E286*$I286/12*3,IF($J286=2,$E286*$I286/12*2,IF($J286=3,$E286*$I286/12*1,0)))))+IF(BG$5&lt;&gt;$H286,0,IF(BG286&gt;0,IF($J286=1,$E286*$I286/12*0,IF($J286=2,$E286*$I286/12*1,IF($J286=3,$E286*$I286/12*2,IF($J286&gt;=4,$E286*$I286/12*3,0))))))</f>
        <v>0</v>
      </c>
      <c r="BI286" s="87">
        <f t="shared" ref="BI286" si="4312">IF($H286&lt;&gt;BL$5,0,IF(BL286&gt;0,IF(OR($J286=1,$J286=2,$J286=3,$J286=4),$E286*$I286/12*3,IF($J286=5,$E286*$I286/12*2,IF($J286=6,$E286*$I286/12*1,0)))))+IF(BG$5&lt;&gt;$H286,0,IF(BG286&gt;0,IF($J286=4,$E286*$I286/12*0,IF($J286=5,$E286*$I286/12*1,IF($J286=6,$E286*$I286/12*2,IF($J286&gt;=7,$E286*$I286/12*3,0))))))</f>
        <v>0</v>
      </c>
      <c r="BJ286" s="87">
        <f t="shared" ref="BJ286" si="4313">IF($H286&lt;&gt;BL$5,0,IF(BL286&gt;0,IF(OR($J286=1,$J286=2,$J286=3,$J286=4,$J286=5,$J286=6,$J286=7),$E286*$I286/12*3,IF($J286=8,$E286*$I286/12*2,IF($J286=9,$E286*$I286/12*1,0)))))+IF(BG$5&lt;&gt;$H286,0,IF(BG286&gt;0,IF($J286=7,$E286*$I286/12*0,IF($J286=8,$E286*$I286/12*1,IF($J286=9,$E286*$I286/12*2,IF($J286&gt;=10,$E286*$I286/12*3,0))))))</f>
        <v>0</v>
      </c>
      <c r="BK286" s="88">
        <f t="shared" ref="BK286" si="4314">IF($H286&lt;&gt;BL$5,0,IF(BL286&gt;0,IF(OR($J286=1,$J286=2,$J286=3,$J286=4,$J286=5,$J286=6,$J286=7,$J286=8,$J286=9,$J286=10),$E286*$I286/12*3,IF($J286=11,$E286*$I286/12*2,IF($J286=12,$E286*$I286/12*1,0)))))+IF(BG$5&lt;&gt;$H286,0,IF(BG286&gt;0,IF($J286=10,$E286*$I286/12*0,IF($J286=11,$E286*$I286/12*1,IF($J286=12,$E286*$I286/12*2,0)))))</f>
        <v>0</v>
      </c>
      <c r="BL286" s="85">
        <f t="shared" ref="BL286" si="4315">IF(AND(BG286&lt;&gt;0,BG$5=$H286),$I286*$E286-BG286,IF(BL$5=$H286,$I286*$E286*(12-$J286+1)/12,0))</f>
        <v>0</v>
      </c>
      <c r="BM286" s="86">
        <f t="shared" ref="BM286" si="4316">IF($H286&lt;&gt;BQ$5,0,IF(BQ286&gt;0,IF($J286=1,$E286*$I286/12*3,IF($J286=2,$E286*$I286/12*2,IF($J286=3,$E286*$I286/12*1,0)))))+IF(BL$5&lt;&gt;$H286,0,IF(BL286&gt;0,IF($J286=1,$E286*$I286/12*0,IF($J286=2,$E286*$I286/12*1,IF($J286=3,$E286*$I286/12*2,IF($J286&gt;=4,$E286*$I286/12*3,0))))))</f>
        <v>0</v>
      </c>
      <c r="BN286" s="87">
        <f t="shared" ref="BN286" si="4317">IF($H286&lt;&gt;BQ$5,0,IF(BQ286&gt;0,IF(OR($J286=1,$J286=2,$J286=3,$J286=4),$E286*$I286/12*3,IF($J286=5,$E286*$I286/12*2,IF($J286=6,$E286*$I286/12*1,0)))))+IF(BL$5&lt;&gt;$H286,0,IF(BL286&gt;0,IF($J286=4,$E286*$I286/12*0,IF($J286=5,$E286*$I286/12*1,IF($J286=6,$E286*$I286/12*2,IF($J286&gt;=7,$E286*$I286/12*3,0))))))</f>
        <v>0</v>
      </c>
      <c r="BO286" s="87">
        <f t="shared" ref="BO286" si="4318">IF($H286&lt;&gt;BQ$5,0,IF(BQ286&gt;0,IF(OR($J286=1,$J286=2,$J286=3,$J286=4,$J286=5,$J286=6,$J286=7),$E286*$I286/12*3,IF($J286=8,$E286*$I286/12*2,IF($J286=9,$E286*$I286/12*1,0)))))+IF(BL$5&lt;&gt;$H286,0,IF(BL286&gt;0,IF($J286=7,$E286*$I286/12*0,IF($J286=8,$E286*$I286/12*1,IF($J286=9,$E286*$I286/12*2,IF($J286&gt;=10,$E286*$I286/12*3,0))))))</f>
        <v>0</v>
      </c>
      <c r="BP286" s="88">
        <f t="shared" ref="BP286" si="4319">IF($H286&lt;&gt;BQ$5,0,IF(BQ286&gt;0,IF(OR($J286=1,$J286=2,$J286=3,$J286=4,$J286=5,$J286=6,$J286=7,$J286=8,$J286=9,$J286=10),$E286*$I286/12*3,IF($J286=11,$E286*$I286/12*2,IF($J286=12,$E286*$I286/12*1,0)))))+IF(BL$5&lt;&gt;$H286,0,IF(BL286&gt;0,IF($J286=10,$E286*$I286/12*0,IF($J286=11,$E286*$I286/12*1,IF($J286=12,$E286*$I286/12*2,0)))))</f>
        <v>0</v>
      </c>
      <c r="BQ286" s="85">
        <f t="shared" ref="BQ286" si="4320">IF(AND(BL286&lt;&gt;0,BL$5=$H286),$I286*$E286-BL286,IF(BQ$5=$H286,$I286*$E286*(12-$J286+1)/12,0))</f>
        <v>0</v>
      </c>
      <c r="BR286" s="86">
        <f t="shared" ref="BR286" si="4321">IF($H286&lt;&gt;BV$5,0,IF(BV286&gt;0,IF($J286=1,$E286*$I286/12*3,IF($J286=2,$E286*$I286/12*2,IF($J286=3,$E286*$I286/12*1,0)))))+IF(BQ$5&lt;&gt;$H286,0,IF(BQ286&gt;0,IF($J286=1,$E286*$I286/12*0,IF($J286=2,$E286*$I286/12*1,IF($J286=3,$E286*$I286/12*2,IF($J286&gt;=4,$E286*$I286/12*3,0))))))</f>
        <v>0</v>
      </c>
      <c r="BS286" s="87">
        <f t="shared" ref="BS286" si="4322">IF($H286&lt;&gt;BV$5,0,IF(BV286&gt;0,IF(OR($J286=1,$J286=2,$J286=3,$J286=4),$E286*$I286/12*3,IF($J286=5,$E286*$I286/12*2,IF($J286=6,$E286*$I286/12*1,0)))))+IF(BQ$5&lt;&gt;$H286,0,IF(BQ286&gt;0,IF($J286=4,$E286*$I286/12*0,IF($J286=5,$E286*$I286/12*1,IF($J286=6,$E286*$I286/12*2,IF($J286&gt;=7,$E286*$I286/12*3,0))))))</f>
        <v>0</v>
      </c>
      <c r="BT286" s="87">
        <f t="shared" ref="BT286" si="4323">IF($H286&lt;&gt;BV$5,0,IF(BV286&gt;0,IF(OR($J286=1,$J286=2,$J286=3,$J286=4,$J286=5,$J286=6,$J286=7),$E286*$I286/12*3,IF($J286=8,$E286*$I286/12*2,IF($J286=9,$E286*$I286/12*1,0)))))+IF(BQ$5&lt;&gt;$H286,0,IF(BQ286&gt;0,IF($J286=7,$E286*$I286/12*0,IF($J286=8,$E286*$I286/12*1,IF($J286=9,$E286*$I286/12*2,IF($J286&gt;=10,$E286*$I286/12*3,0))))))</f>
        <v>0</v>
      </c>
      <c r="BU286" s="88">
        <f t="shared" ref="BU286" si="4324">IF($H286&lt;&gt;BV$5,0,IF(BV286&gt;0,IF(OR($J286=1,$J286=2,$J286=3,$J286=4,$J286=5,$J286=6,$J286=7,$J286=8,$J286=9,$J286=10),$E286*$I286/12*3,IF($J286=11,$E286*$I286/12*2,IF($J286=12,$E286*$I286/12*1,0)))))+IF(BQ$5&lt;&gt;$H286,0,IF(BQ286&gt;0,IF($J286=10,$E286*$I286/12*0,IF($J286=11,$E286*$I286/12*1,IF($J286=12,$E286*$I286/12*2,0)))))</f>
        <v>0</v>
      </c>
      <c r="BV286" s="85">
        <f t="shared" ref="BV286" si="4325">IF(AND(BQ286&lt;&gt;0,BQ$5=$H286),$I286*$E286-BQ286,IF(BV$5=$H286,$I286*$E286*(12-$J286+1)/12,0))</f>
        <v>0</v>
      </c>
      <c r="BW286" s="86">
        <f t="shared" ref="BW286" si="4326">IF($H286&lt;&gt;CA$5,0,IF(CA286&gt;0,IF($J286=1,$E286*$I286/12*3,IF($J286=2,$E286*$I286/12*2,IF($J286=3,$E286*$I286/12*1,0)))))+IF(BV$5&lt;&gt;$H286,0,IF(BV286&gt;0,IF($J286=1,$E286*$I286/12*0,IF($J286=2,$E286*$I286/12*1,IF($J286=3,$E286*$I286/12*2,IF($J286&gt;=4,$E286*$I286/12*3,0))))))</f>
        <v>0</v>
      </c>
      <c r="BX286" s="87">
        <f t="shared" ref="BX286" si="4327">IF($H286&lt;&gt;CA$5,0,IF(CA286&gt;0,IF(OR($J286=1,$J286=2,$J286=3,$J286=4),$E286*$I286/12*3,IF($J286=5,$E286*$I286/12*2,IF($J286=6,$E286*$I286/12*1,0)))))+IF(BV$5&lt;&gt;$H286,0,IF(BV286&gt;0,IF($J286=4,$E286*$I286/12*0,IF($J286=5,$E286*$I286/12*1,IF($J286=6,$E286*$I286/12*2,IF($J286&gt;=7,$E286*$I286/12*3,0))))))</f>
        <v>0</v>
      </c>
      <c r="BY286" s="87">
        <f t="shared" ref="BY286" si="4328">IF($H286&lt;&gt;CA$5,0,IF(CA286&gt;0,IF(OR($J286=1,$J286=2,$J286=3,$J286=4,$J286=5,$J286=6,$J286=7),$E286*$I286/12*3,IF($J286=8,$E286*$I286/12*2,IF($J286=9,$E286*$I286/12*1,0)))))+IF(BV$5&lt;&gt;$H286,0,IF(BV286&gt;0,IF($J286=7,$E286*$I286/12*0,IF($J286=8,$E286*$I286/12*1,IF($J286=9,$E286*$I286/12*2,IF($J286&gt;=10,$E286*$I286/12*3,0))))))</f>
        <v>0</v>
      </c>
      <c r="BZ286" s="88">
        <f t="shared" ref="BZ286" si="4329">IF($H286&lt;&gt;CA$5,0,IF(CA286&gt;0,IF(OR($J286=1,$J286=2,$J286=3,$J286=4,$J286=5,$J286=6,$J286=7,$J286=8,$J286=9,$J286=10),$E286*$I286/12*3,IF($J286=11,$E286*$I286/12*2,IF($J286=12,$E286*$I286/12*1,0)))))+IF(BV$5&lt;&gt;$H286,0,IF(BV286&gt;0,IF($J286=10,$E286*$I286/12*0,IF($J286=11,$E286*$I286/12*1,IF($J286=12,$E286*$I286/12*2,0)))))</f>
        <v>0</v>
      </c>
      <c r="CA286" s="85">
        <f t="shared" ref="CA286" si="4330">IF(AND(BV286&lt;&gt;0,BV$5=$H286),$I286*$E286-BV286,IF(CA$5=$H286,$I286*$E286*(12-$J286+1)/12,0))</f>
        <v>0</v>
      </c>
      <c r="CB286" s="86">
        <f t="shared" ref="CB286" si="4331">IF($H286&lt;&gt;CF$5,0,IF(CF286&gt;0,IF($J286=1,$E286*$I286/12*3,IF($J286=2,$E286*$I286/12*2,IF($J286=3,$E286*$I286/12*1,0)))))+IF(CA$5&lt;&gt;$H286,0,IF(CA286&gt;0,IF($J286=1,$E286*$I286/12*0,IF($J286=2,$E286*$I286/12*1,IF($J286=3,$E286*$I286/12*2,IF($J286&gt;=4,$E286*$I286/12*3,0))))))</f>
        <v>0</v>
      </c>
      <c r="CC286" s="87">
        <f t="shared" ref="CC286" si="4332">IF($H286&lt;&gt;CF$5,0,IF(CF286&gt;0,IF(OR($J286=1,$J286=2,$J286=3,$J286=4),$E286*$I286/12*3,IF($J286=5,$E286*$I286/12*2,IF($J286=6,$E286*$I286/12*1,0)))))+IF(CA$5&lt;&gt;$H286,0,IF(CA286&gt;0,IF($J286=4,$E286*$I286/12*0,IF($J286=5,$E286*$I286/12*1,IF($J286=6,$E286*$I286/12*2,IF($J286&gt;=7,$E286*$I286/12*3,0))))))</f>
        <v>0</v>
      </c>
      <c r="CD286" s="87">
        <f t="shared" ref="CD286" si="4333">IF($H286&lt;&gt;CF$5,0,IF(CF286&gt;0,IF(OR($J286=1,$J286=2,$J286=3,$J286=4,$J286=5,$J286=6,$J286=7),$E286*$I286/12*3,IF($J286=8,$E286*$I286/12*2,IF($J286=9,$E286*$I286/12*1,0)))))+IF(CA$5&lt;&gt;$H286,0,IF(CA286&gt;0,IF($J286=7,$E286*$I286/12*0,IF($J286=8,$E286*$I286/12*1,IF($J286=9,$E286*$I286/12*2,IF($J286&gt;=10,$E286*$I286/12*3,0))))))</f>
        <v>0</v>
      </c>
      <c r="CE286" s="88">
        <f t="shared" ref="CE286" si="4334">IF($H286&lt;&gt;CF$5,0,IF(CF286&gt;0,IF(OR($J286=1,$J286=2,$J286=3,$J286=4,$J286=5,$J286=6,$J286=7,$J286=8,$J286=9,$J286=10),$E286*$I286/12*3,IF($J286=11,$E286*$I286/12*2,IF($J286=12,$E286*$I286/12*1,0)))))+IF(CA$5&lt;&gt;$H286,0,IF(CA286&gt;0,IF($J286=10,$E286*$I286/12*0,IF($J286=11,$E286*$I286/12*1,IF($J286=12,$E286*$I286/12*2,0)))))</f>
        <v>0</v>
      </c>
      <c r="CF286" s="85">
        <f t="shared" ref="CF286" si="4335">IF(AND(CA286&lt;&gt;0,CA$5=$H286),$I286*$E286-CA286,IF(CF$5=$H286,$I286*$E286*(12-$J286+1)/12,0))</f>
        <v>0</v>
      </c>
      <c r="CG286" s="86">
        <f t="shared" ref="CG286" si="4336">IF($H286&lt;&gt;CK$5,0,IF(CK286&gt;0,IF($J286=1,$E286*$I286/12*3,IF($J286=2,$E286*$I286/12*2,IF($J286=3,$E286*$I286/12*1,0)))))+IF(CF$5&lt;&gt;$H286,0,IF(CF286&gt;0,IF($J286=1,$E286*$I286/12*0,IF($J286=2,$E286*$I286/12*1,IF($J286=3,$E286*$I286/12*2,IF($J286&gt;=4,$E286*$I286/12*3,0))))))</f>
        <v>0</v>
      </c>
      <c r="CH286" s="87">
        <f t="shared" ref="CH286" si="4337">IF($H286&lt;&gt;CK$5,0,IF(CK286&gt;0,IF(OR($J286=1,$J286=2,$J286=3,$J286=4),$E286*$I286/12*3,IF($J286=5,$E286*$I286/12*2,IF($J286=6,$E286*$I286/12*1,0)))))+IF(CF$5&lt;&gt;$H286,0,IF(CF286&gt;0,IF($J286=4,$E286*$I286/12*0,IF($J286=5,$E286*$I286/12*1,IF($J286=6,$E286*$I286/12*2,IF($J286&gt;=7,$E286*$I286/12*3,0))))))</f>
        <v>0</v>
      </c>
      <c r="CI286" s="87">
        <f t="shared" ref="CI286" si="4338">IF($H286&lt;&gt;CK$5,0,IF(CK286&gt;0,IF(OR($J286=1,$J286=2,$J286=3,$J286=4,$J286=5,$J286=6,$J286=7),$E286*$I286/12*3,IF($J286=8,$E286*$I286/12*2,IF($J286=9,$E286*$I286/12*1,0)))))+IF(CF$5&lt;&gt;$H286,0,IF(CF286&gt;0,IF($J286=7,$E286*$I286/12*0,IF($J286=8,$E286*$I286/12*1,IF($J286=9,$E286*$I286/12*2,IF($J286&gt;=10,$E286*$I286/12*3,0))))))</f>
        <v>0</v>
      </c>
      <c r="CJ286" s="88">
        <f t="shared" ref="CJ286" si="4339">IF($H286&lt;&gt;CK$5,0,IF(CK286&gt;0,IF(OR($J286=1,$J286=2,$J286=3,$J286=4,$J286=5,$J286=6,$J286=7,$J286=8,$J286=9,$J286=10),$E286*$I286/12*3,IF($J286=11,$E286*$I286/12*2,IF($J286=12,$E286*$I286/12*1,0)))))+IF(CF$5&lt;&gt;$H286,0,IF(CF286&gt;0,IF($J286=10,$E286*$I286/12*0,IF($J286=11,$E286*$I286/12*1,IF($J286=12,$E286*$I286/12*2,0)))))</f>
        <v>0</v>
      </c>
      <c r="CK286" s="85">
        <f t="shared" ref="CK286" si="4340">IF(AND(CF286&lt;&gt;0,CF$5=$H286),$I286*$E286-CF286,IF(CK$5=$H286,$I286*$E286*(12-$J286+1)/12,0))</f>
        <v>0</v>
      </c>
      <c r="CL286" s="86">
        <f t="shared" ref="CL286" si="4341">IF($H286&lt;&gt;CP$5,0,IF(CP286&gt;0,IF($J286=1,$E286*$I286/12*3,IF($J286=2,$E286*$I286/12*2,IF($J286=3,$E286*$I286/12*1,0)))))+IF(CK$5&lt;&gt;$H286,0,IF(CK286&gt;0,IF($J286=1,$E286*$I286/12*0,IF($J286=2,$E286*$I286/12*1,IF($J286=3,$E286*$I286/12*2,IF($J286&gt;=4,$E286*$I286/12*3,0))))))</f>
        <v>0</v>
      </c>
      <c r="CM286" s="87">
        <f t="shared" ref="CM286" si="4342">IF($H286&lt;&gt;CP$5,0,IF(CP286&gt;0,IF(OR($J286=1,$J286=2,$J286=3,$J286=4),$E286*$I286/12*3,IF($J286=5,$E286*$I286/12*2,IF($J286=6,$E286*$I286/12*1,0)))))+IF(CK$5&lt;&gt;$H286,0,IF(CK286&gt;0,IF($J286=4,$E286*$I286/12*0,IF($J286=5,$E286*$I286/12*1,IF($J286=6,$E286*$I286/12*2,IF($J286&gt;=7,$E286*$I286/12*3,0))))))</f>
        <v>0</v>
      </c>
      <c r="CN286" s="87">
        <f t="shared" ref="CN286" si="4343">IF($H286&lt;&gt;CP$5,0,IF(CP286&gt;0,IF(OR($J286=1,$J286=2,$J286=3,$J286=4,$J286=5,$J286=6,$J286=7),$E286*$I286/12*3,IF($J286=8,$E286*$I286/12*2,IF($J286=9,$E286*$I286/12*1,0)))))+IF(CK$5&lt;&gt;$H286,0,IF(CK286&gt;0,IF($J286=7,$E286*$I286/12*0,IF($J286=8,$E286*$I286/12*1,IF($J286=9,$E286*$I286/12*2,IF($J286&gt;=10,$E286*$I286/12*3,0))))))</f>
        <v>0</v>
      </c>
      <c r="CO286" s="88">
        <f t="shared" ref="CO286" si="4344">IF($H286&lt;&gt;CP$5,0,IF(CP286&gt;0,IF(OR($J286=1,$J286=2,$J286=3,$J286=4,$J286=5,$J286=6,$J286=7,$J286=8,$J286=9,$J286=10),$E286*$I286/12*3,IF($J286=11,$E286*$I286/12*2,IF($J286=12,$E286*$I286/12*1,0)))))+IF(CK$5&lt;&gt;$H286,0,IF(CK286&gt;0,IF($J286=10,$E286*$I286/12*0,IF($J286=11,$E286*$I286/12*1,IF($J286=12,$E286*$I286/12*2,0)))))</f>
        <v>0</v>
      </c>
      <c r="CP286" s="85">
        <f t="shared" ref="CP286" si="4345">IF(AND(CK286&lt;&gt;0,CK$5=$H286),$I286*$E286-CK286,IF(CP$5=$H286,$I286*$E286*(12-$J286+1)/12,0))</f>
        <v>0</v>
      </c>
      <c r="CQ286" s="86">
        <f t="shared" ref="CQ286" si="4346">IF($H286&lt;&gt;CU$5,0,IF(CU286&gt;0,IF($J286=1,$E286*$I286/12*3,IF($J286=2,$E286*$I286/12*2,IF($J286=3,$E286*$I286/12*1,0)))))+IF(CP$5&lt;&gt;$H286,0,IF(CP286&gt;0,IF($J286=1,$E286*$I286/12*0,IF($J286=2,$E286*$I286/12*1,IF($J286=3,$E286*$I286/12*2,IF($J286&gt;=4,$E286*$I286/12*3,0))))))</f>
        <v>0</v>
      </c>
      <c r="CR286" s="87">
        <f t="shared" ref="CR286" si="4347">IF($H286&lt;&gt;CU$5,0,IF(CU286&gt;0,IF(OR($J286=1,$J286=2,$J286=3,$J286=4),$E286*$I286/12*3,IF($J286=5,$E286*$I286/12*2,IF($J286=6,$E286*$I286/12*1,0)))))+IF(CP$5&lt;&gt;$H286,0,IF(CP286&gt;0,IF($J286=4,$E286*$I286/12*0,IF($J286=5,$E286*$I286/12*1,IF($J286=6,$E286*$I286/12*2,IF($J286&gt;=7,$E286*$I286/12*3,0))))))</f>
        <v>0</v>
      </c>
      <c r="CS286" s="87">
        <f t="shared" ref="CS286" si="4348">IF($H286&lt;&gt;CU$5,0,IF(CU286&gt;0,IF(OR($J286=1,$J286=2,$J286=3,$J286=4,$J286=5,$J286=6,$J286=7),$E286*$I286/12*3,IF($J286=8,$E286*$I286/12*2,IF($J286=9,$E286*$I286/12*1,0)))))+IF(CP$5&lt;&gt;$H286,0,IF(CP286&gt;0,IF($J286=7,$E286*$I286/12*0,IF($J286=8,$E286*$I286/12*1,IF($J286=9,$E286*$I286/12*2,IF($J286&gt;=10,$E286*$I286/12*3,0))))))</f>
        <v>1.1875</v>
      </c>
      <c r="CT286" s="88">
        <f t="shared" ref="CT286" si="4349">IF($H286&lt;&gt;CU$5,0,IF(CU286&gt;0,IF(OR($J286=1,$J286=2,$J286=3,$J286=4,$J286=5,$J286=6,$J286=7,$J286=8,$J286=9,$J286=10),$E286*$I286/12*3,IF($J286=11,$E286*$I286/12*2,IF($J286=12,$E286*$I286/12*1,0)))))+IF(CP$5&lt;&gt;$H286,0,IF(CP286&gt;0,IF($J286=10,$E286*$I286/12*0,IF($J286=11,$E286*$I286/12*1,IF($J286=12,$E286*$I286/12*2,0)))))</f>
        <v>1.1875</v>
      </c>
      <c r="CU286" s="85">
        <f t="shared" ref="CU286" si="4350">IF(AND(CP286&lt;&gt;0,CP$5=$H286),$I286*$E286-CP286,IF(CU$5=$H286,$I286*$E286*(12-$J286+1)/12,0))</f>
        <v>2.375</v>
      </c>
      <c r="CV286" s="86">
        <f t="shared" si="4273"/>
        <v>1.1875</v>
      </c>
      <c r="CW286" s="87">
        <f t="shared" si="4274"/>
        <v>1.1875</v>
      </c>
      <c r="CX286" s="87">
        <f t="shared" si="4275"/>
        <v>0</v>
      </c>
      <c r="CY286" s="88">
        <f t="shared" si="4276"/>
        <v>0</v>
      </c>
      <c r="CZ286" s="85">
        <f t="shared" si="4277"/>
        <v>2.375</v>
      </c>
    </row>
    <row r="287" spans="1:104" ht="12.75" customHeight="1">
      <c r="A287" s="1817"/>
      <c r="B287" s="1817"/>
      <c r="C287" s="2026" t="s">
        <v>1522</v>
      </c>
      <c r="D287" s="1838"/>
      <c r="E287" s="147">
        <f>ACE!$BL$126</f>
        <v>275</v>
      </c>
      <c r="F287" s="165"/>
      <c r="G287" s="165"/>
      <c r="H287" s="1516">
        <v>2021</v>
      </c>
      <c r="I287" s="1841">
        <v>0.05</v>
      </c>
      <c r="J287" s="1832">
        <v>7</v>
      </c>
      <c r="L287" s="2001">
        <f t="shared" si="4186"/>
        <v>0</v>
      </c>
      <c r="M287" s="82">
        <f t="shared" si="4187"/>
        <v>0</v>
      </c>
      <c r="N287" s="83">
        <f t="shared" si="4188"/>
        <v>0</v>
      </c>
      <c r="O287" s="83">
        <f t="shared" si="4189"/>
        <v>0</v>
      </c>
      <c r="P287" s="84">
        <f t="shared" si="4190"/>
        <v>0</v>
      </c>
      <c r="Q287" s="81">
        <f t="shared" si="4191"/>
        <v>0</v>
      </c>
      <c r="R287" s="82">
        <f t="shared" si="4192"/>
        <v>0</v>
      </c>
      <c r="S287" s="83">
        <f t="shared" si="4193"/>
        <v>0</v>
      </c>
      <c r="T287" s="83">
        <f t="shared" si="4194"/>
        <v>0</v>
      </c>
      <c r="U287" s="84">
        <f t="shared" si="4195"/>
        <v>0</v>
      </c>
      <c r="V287" s="81">
        <f t="shared" si="4196"/>
        <v>0</v>
      </c>
      <c r="W287" s="82">
        <f t="shared" si="4197"/>
        <v>0</v>
      </c>
      <c r="X287" s="83">
        <f t="shared" si="4198"/>
        <v>0</v>
      </c>
      <c r="Y287" s="83">
        <f t="shared" si="4199"/>
        <v>0</v>
      </c>
      <c r="Z287" s="84">
        <f t="shared" si="4200"/>
        <v>0</v>
      </c>
      <c r="AA287" s="81">
        <f t="shared" si="4201"/>
        <v>0</v>
      </c>
      <c r="AB287" s="82">
        <f t="shared" si="4202"/>
        <v>0</v>
      </c>
      <c r="AC287" s="83">
        <f t="shared" si="4203"/>
        <v>0</v>
      </c>
      <c r="AD287" s="83">
        <f t="shared" si="4204"/>
        <v>0</v>
      </c>
      <c r="AE287" s="84">
        <f t="shared" si="4205"/>
        <v>0</v>
      </c>
      <c r="AF287" s="81">
        <f t="shared" si="4206"/>
        <v>0</v>
      </c>
      <c r="AG287" s="82">
        <f t="shared" si="4207"/>
        <v>0</v>
      </c>
      <c r="AH287" s="83">
        <f t="shared" si="4208"/>
        <v>0</v>
      </c>
      <c r="AI287" s="83">
        <f t="shared" si="4209"/>
        <v>0</v>
      </c>
      <c r="AJ287" s="84">
        <f t="shared" si="4210"/>
        <v>0</v>
      </c>
      <c r="AK287" s="81">
        <f t="shared" si="4211"/>
        <v>0</v>
      </c>
      <c r="AL287" s="82">
        <f t="shared" si="4212"/>
        <v>0</v>
      </c>
      <c r="AM287" s="83">
        <f t="shared" si="4213"/>
        <v>0</v>
      </c>
      <c r="AN287" s="83">
        <f t="shared" si="4214"/>
        <v>0</v>
      </c>
      <c r="AO287" s="84">
        <f t="shared" si="4215"/>
        <v>0</v>
      </c>
      <c r="AP287" s="81">
        <f t="shared" si="4216"/>
        <v>0</v>
      </c>
      <c r="AQ287" s="82">
        <f t="shared" si="4217"/>
        <v>0</v>
      </c>
      <c r="AR287" s="83">
        <f t="shared" si="4218"/>
        <v>0</v>
      </c>
      <c r="AS287" s="83">
        <f t="shared" si="4219"/>
        <v>0</v>
      </c>
      <c r="AT287" s="84">
        <f t="shared" si="4220"/>
        <v>0</v>
      </c>
      <c r="AU287" s="81">
        <f t="shared" si="4221"/>
        <v>0</v>
      </c>
      <c r="AV287" s="82">
        <f t="shared" si="4222"/>
        <v>0</v>
      </c>
      <c r="AW287" s="83">
        <f t="shared" si="4223"/>
        <v>0</v>
      </c>
      <c r="AX287" s="83">
        <f t="shared" si="4224"/>
        <v>0</v>
      </c>
      <c r="AY287" s="84">
        <f t="shared" si="4225"/>
        <v>0</v>
      </c>
      <c r="AZ287" s="81">
        <f t="shared" si="4226"/>
        <v>0</v>
      </c>
      <c r="BA287" s="82">
        <f t="shared" si="4227"/>
        <v>0</v>
      </c>
      <c r="BB287" s="83">
        <f t="shared" si="4228"/>
        <v>0</v>
      </c>
      <c r="BC287" s="83">
        <f t="shared" si="4229"/>
        <v>275</v>
      </c>
      <c r="BD287" s="84">
        <f t="shared" si="4230"/>
        <v>0</v>
      </c>
      <c r="BE287" s="81">
        <f t="shared" si="4231"/>
        <v>275</v>
      </c>
      <c r="BF287" s="1884"/>
      <c r="BG287" s="2005">
        <f t="shared" si="4232"/>
        <v>0</v>
      </c>
      <c r="BH287" s="86">
        <f t="shared" si="4233"/>
        <v>0</v>
      </c>
      <c r="BI287" s="87">
        <f t="shared" si="4234"/>
        <v>0</v>
      </c>
      <c r="BJ287" s="87">
        <f t="shared" si="4235"/>
        <v>0</v>
      </c>
      <c r="BK287" s="88">
        <f t="shared" si="4236"/>
        <v>0</v>
      </c>
      <c r="BL287" s="85">
        <f t="shared" si="4237"/>
        <v>0</v>
      </c>
      <c r="BM287" s="86">
        <f t="shared" si="4238"/>
        <v>0</v>
      </c>
      <c r="BN287" s="87">
        <f t="shared" si="4239"/>
        <v>0</v>
      </c>
      <c r="BO287" s="87">
        <f t="shared" si="4240"/>
        <v>0</v>
      </c>
      <c r="BP287" s="88">
        <f t="shared" si="4241"/>
        <v>0</v>
      </c>
      <c r="BQ287" s="85">
        <f t="shared" si="4242"/>
        <v>0</v>
      </c>
      <c r="BR287" s="86">
        <f t="shared" si="4243"/>
        <v>0</v>
      </c>
      <c r="BS287" s="87">
        <f t="shared" si="4244"/>
        <v>0</v>
      </c>
      <c r="BT287" s="87">
        <f t="shared" si="4245"/>
        <v>0</v>
      </c>
      <c r="BU287" s="88">
        <f t="shared" si="4246"/>
        <v>0</v>
      </c>
      <c r="BV287" s="85">
        <f t="shared" si="4247"/>
        <v>0</v>
      </c>
      <c r="BW287" s="86">
        <f t="shared" si="4248"/>
        <v>0</v>
      </c>
      <c r="BX287" s="87">
        <f t="shared" si="4249"/>
        <v>0</v>
      </c>
      <c r="BY287" s="87">
        <f t="shared" si="4250"/>
        <v>0</v>
      </c>
      <c r="BZ287" s="88">
        <f t="shared" si="4251"/>
        <v>0</v>
      </c>
      <c r="CA287" s="85">
        <f t="shared" si="4252"/>
        <v>0</v>
      </c>
      <c r="CB287" s="86">
        <f t="shared" si="4253"/>
        <v>0</v>
      </c>
      <c r="CC287" s="87">
        <f t="shared" si="4254"/>
        <v>0</v>
      </c>
      <c r="CD287" s="87">
        <f t="shared" si="4255"/>
        <v>0</v>
      </c>
      <c r="CE287" s="88">
        <f t="shared" si="4256"/>
        <v>0</v>
      </c>
      <c r="CF287" s="85">
        <f t="shared" si="4257"/>
        <v>0</v>
      </c>
      <c r="CG287" s="86">
        <f t="shared" si="4258"/>
        <v>0</v>
      </c>
      <c r="CH287" s="87">
        <f t="shared" si="4259"/>
        <v>0</v>
      </c>
      <c r="CI287" s="87">
        <f t="shared" si="4260"/>
        <v>0</v>
      </c>
      <c r="CJ287" s="88">
        <f t="shared" si="4261"/>
        <v>0</v>
      </c>
      <c r="CK287" s="85">
        <f t="shared" si="4262"/>
        <v>0</v>
      </c>
      <c r="CL287" s="86">
        <f t="shared" si="4263"/>
        <v>0</v>
      </c>
      <c r="CM287" s="87">
        <f t="shared" si="4264"/>
        <v>0</v>
      </c>
      <c r="CN287" s="87">
        <f t="shared" si="4265"/>
        <v>0</v>
      </c>
      <c r="CO287" s="88">
        <f t="shared" si="4266"/>
        <v>0</v>
      </c>
      <c r="CP287" s="85">
        <f t="shared" si="4267"/>
        <v>0</v>
      </c>
      <c r="CQ287" s="86">
        <f t="shared" si="4268"/>
        <v>0</v>
      </c>
      <c r="CR287" s="87">
        <f t="shared" si="4269"/>
        <v>0</v>
      </c>
      <c r="CS287" s="87">
        <f t="shared" si="4270"/>
        <v>0</v>
      </c>
      <c r="CT287" s="88">
        <f t="shared" si="4271"/>
        <v>0</v>
      </c>
      <c r="CU287" s="85">
        <f t="shared" si="4272"/>
        <v>0</v>
      </c>
      <c r="CV287" s="86">
        <f t="shared" si="4273"/>
        <v>0</v>
      </c>
      <c r="CW287" s="87">
        <f t="shared" si="4274"/>
        <v>0</v>
      </c>
      <c r="CX287" s="87">
        <f t="shared" si="4275"/>
        <v>3.4375</v>
      </c>
      <c r="CY287" s="88">
        <f t="shared" si="4276"/>
        <v>3.4375</v>
      </c>
      <c r="CZ287" s="85">
        <f t="shared" si="4277"/>
        <v>6.875</v>
      </c>
    </row>
    <row r="288" spans="1:104" ht="12.75" customHeight="1">
      <c r="A288" s="1817"/>
      <c r="B288" s="1817"/>
      <c r="C288" s="1842"/>
      <c r="D288" s="1843"/>
      <c r="E288" s="1844"/>
      <c r="F288" s="1845"/>
      <c r="G288" s="1845"/>
      <c r="H288" s="1846"/>
      <c r="I288" s="1887"/>
      <c r="J288" s="1895"/>
      <c r="K288" s="1889"/>
      <c r="L288" s="2002"/>
      <c r="M288" s="99"/>
      <c r="N288" s="100"/>
      <c r="O288" s="100"/>
      <c r="P288" s="101"/>
      <c r="Q288" s="98"/>
      <c r="R288" s="99"/>
      <c r="S288" s="100"/>
      <c r="T288" s="100"/>
      <c r="U288" s="101"/>
      <c r="V288" s="98"/>
      <c r="W288" s="99"/>
      <c r="X288" s="100"/>
      <c r="Y288" s="100"/>
      <c r="Z288" s="101"/>
      <c r="AA288" s="98"/>
      <c r="AB288" s="99"/>
      <c r="AC288" s="100"/>
      <c r="AD288" s="100"/>
      <c r="AE288" s="101"/>
      <c r="AF288" s="98"/>
      <c r="AG288" s="99"/>
      <c r="AH288" s="100"/>
      <c r="AI288" s="100"/>
      <c r="AJ288" s="101"/>
      <c r="AK288" s="98"/>
      <c r="AL288" s="99"/>
      <c r="AM288" s="100"/>
      <c r="AN288" s="100"/>
      <c r="AO288" s="101"/>
      <c r="AP288" s="98"/>
      <c r="AQ288" s="99"/>
      <c r="AR288" s="100"/>
      <c r="AS288" s="100"/>
      <c r="AT288" s="101"/>
      <c r="AU288" s="98"/>
      <c r="AV288" s="99"/>
      <c r="AW288" s="100"/>
      <c r="AX288" s="100"/>
      <c r="AY288" s="101"/>
      <c r="AZ288" s="98"/>
      <c r="BA288" s="99"/>
      <c r="BB288" s="100"/>
      <c r="BC288" s="100"/>
      <c r="BD288" s="101"/>
      <c r="BE288" s="98"/>
      <c r="BF288" s="1878"/>
      <c r="BG288" s="2006"/>
      <c r="BH288" s="103"/>
      <c r="BI288" s="104"/>
      <c r="BJ288" s="104"/>
      <c r="BK288" s="105"/>
      <c r="BL288" s="102"/>
      <c r="BM288" s="103"/>
      <c r="BN288" s="104"/>
      <c r="BO288" s="104"/>
      <c r="BP288" s="105"/>
      <c r="BQ288" s="102"/>
      <c r="BR288" s="103"/>
      <c r="BS288" s="104"/>
      <c r="BT288" s="104"/>
      <c r="BU288" s="105"/>
      <c r="BV288" s="102"/>
      <c r="BW288" s="103"/>
      <c r="BX288" s="104"/>
      <c r="BY288" s="104"/>
      <c r="BZ288" s="105"/>
      <c r="CA288" s="102"/>
      <c r="CB288" s="103"/>
      <c r="CC288" s="104"/>
      <c r="CD288" s="104"/>
      <c r="CE288" s="105"/>
      <c r="CF288" s="102"/>
      <c r="CG288" s="103"/>
      <c r="CH288" s="104"/>
      <c r="CI288" s="104"/>
      <c r="CJ288" s="105"/>
      <c r="CK288" s="102"/>
      <c r="CL288" s="103"/>
      <c r="CM288" s="104"/>
      <c r="CN288" s="104"/>
      <c r="CO288" s="105"/>
      <c r="CP288" s="102"/>
      <c r="CQ288" s="103"/>
      <c r="CR288" s="104"/>
      <c r="CS288" s="104"/>
      <c r="CT288" s="105"/>
      <c r="CU288" s="102"/>
      <c r="CV288" s="103"/>
      <c r="CW288" s="104"/>
      <c r="CX288" s="104"/>
      <c r="CY288" s="105"/>
      <c r="CZ288" s="102"/>
    </row>
    <row r="289" spans="1:104" ht="12.75" customHeight="1">
      <c r="A289" s="1792"/>
      <c r="B289" s="1792"/>
      <c r="C289" s="157" t="s">
        <v>399</v>
      </c>
      <c r="D289" s="1824"/>
      <c r="E289" s="1852">
        <f>SUM(E284:E288)</f>
        <v>920</v>
      </c>
      <c r="F289" s="1853"/>
      <c r="G289" s="1853"/>
      <c r="H289" s="1848"/>
      <c r="I289" s="1849"/>
      <c r="J289" s="1866"/>
      <c r="L289" s="2001">
        <f t="shared" ref="L289:BE289" si="4351">SUM(L284:L288)</f>
        <v>0</v>
      </c>
      <c r="M289" s="112">
        <f t="shared" si="4351"/>
        <v>0</v>
      </c>
      <c r="N289" s="113">
        <f t="shared" si="4351"/>
        <v>0</v>
      </c>
      <c r="O289" s="113">
        <f t="shared" si="4351"/>
        <v>0</v>
      </c>
      <c r="P289" s="114">
        <f t="shared" si="4351"/>
        <v>0</v>
      </c>
      <c r="Q289" s="111">
        <f t="shared" si="4351"/>
        <v>0</v>
      </c>
      <c r="R289" s="112">
        <f t="shared" si="4351"/>
        <v>0</v>
      </c>
      <c r="S289" s="113">
        <f t="shared" si="4351"/>
        <v>0</v>
      </c>
      <c r="T289" s="113">
        <f t="shared" si="4351"/>
        <v>0</v>
      </c>
      <c r="U289" s="114">
        <f t="shared" si="4351"/>
        <v>0</v>
      </c>
      <c r="V289" s="111">
        <f t="shared" si="4351"/>
        <v>0</v>
      </c>
      <c r="W289" s="112">
        <f t="shared" si="4351"/>
        <v>0</v>
      </c>
      <c r="X289" s="113">
        <f t="shared" si="4351"/>
        <v>0</v>
      </c>
      <c r="Y289" s="113">
        <f t="shared" si="4351"/>
        <v>0</v>
      </c>
      <c r="Z289" s="114">
        <f t="shared" si="4351"/>
        <v>0</v>
      </c>
      <c r="AA289" s="111">
        <f t="shared" si="4351"/>
        <v>0</v>
      </c>
      <c r="AB289" s="112">
        <f t="shared" si="4351"/>
        <v>0</v>
      </c>
      <c r="AC289" s="113">
        <f t="shared" si="4351"/>
        <v>0</v>
      </c>
      <c r="AD289" s="113">
        <f t="shared" si="4351"/>
        <v>0</v>
      </c>
      <c r="AE289" s="114">
        <f t="shared" si="4351"/>
        <v>0</v>
      </c>
      <c r="AF289" s="111">
        <f t="shared" si="4351"/>
        <v>0</v>
      </c>
      <c r="AG289" s="112">
        <f t="shared" si="4351"/>
        <v>0</v>
      </c>
      <c r="AH289" s="113">
        <f t="shared" si="4351"/>
        <v>0</v>
      </c>
      <c r="AI289" s="113">
        <f t="shared" si="4351"/>
        <v>0</v>
      </c>
      <c r="AJ289" s="114">
        <f t="shared" si="4351"/>
        <v>0</v>
      </c>
      <c r="AK289" s="111">
        <f t="shared" si="4351"/>
        <v>0</v>
      </c>
      <c r="AL289" s="112">
        <f t="shared" si="4351"/>
        <v>0</v>
      </c>
      <c r="AM289" s="113">
        <f t="shared" si="4351"/>
        <v>0</v>
      </c>
      <c r="AN289" s="113">
        <f t="shared" si="4351"/>
        <v>455</v>
      </c>
      <c r="AO289" s="114">
        <f t="shared" si="4351"/>
        <v>0</v>
      </c>
      <c r="AP289" s="111">
        <f t="shared" si="4351"/>
        <v>455</v>
      </c>
      <c r="AQ289" s="112">
        <f t="shared" si="4351"/>
        <v>0</v>
      </c>
      <c r="AR289" s="113">
        <f t="shared" si="4351"/>
        <v>0</v>
      </c>
      <c r="AS289" s="113">
        <f t="shared" si="4351"/>
        <v>95</v>
      </c>
      <c r="AT289" s="114">
        <f t="shared" si="4351"/>
        <v>0</v>
      </c>
      <c r="AU289" s="111">
        <f t="shared" si="4351"/>
        <v>95</v>
      </c>
      <c r="AV289" s="112">
        <f t="shared" si="4351"/>
        <v>0</v>
      </c>
      <c r="AW289" s="113">
        <f t="shared" si="4351"/>
        <v>0</v>
      </c>
      <c r="AX289" s="113">
        <f t="shared" si="4351"/>
        <v>95</v>
      </c>
      <c r="AY289" s="114">
        <f t="shared" si="4351"/>
        <v>0</v>
      </c>
      <c r="AZ289" s="111">
        <f t="shared" si="4351"/>
        <v>95</v>
      </c>
      <c r="BA289" s="112">
        <f t="shared" si="4351"/>
        <v>0</v>
      </c>
      <c r="BB289" s="113">
        <f t="shared" si="4351"/>
        <v>0</v>
      </c>
      <c r="BC289" s="113">
        <f t="shared" si="4351"/>
        <v>275</v>
      </c>
      <c r="BD289" s="114">
        <f t="shared" si="4351"/>
        <v>0</v>
      </c>
      <c r="BE289" s="111">
        <f t="shared" si="4351"/>
        <v>275</v>
      </c>
      <c r="BG289" s="2007">
        <f t="shared" ref="BG289:CZ289" si="4352">SUM(BG284:BG288)</f>
        <v>0</v>
      </c>
      <c r="BH289" s="116">
        <f t="shared" si="4352"/>
        <v>0</v>
      </c>
      <c r="BI289" s="117">
        <f t="shared" si="4352"/>
        <v>0</v>
      </c>
      <c r="BJ289" s="117">
        <f t="shared" si="4352"/>
        <v>0</v>
      </c>
      <c r="BK289" s="118">
        <f t="shared" si="4352"/>
        <v>0</v>
      </c>
      <c r="BL289" s="115">
        <f t="shared" si="4352"/>
        <v>0</v>
      </c>
      <c r="BM289" s="116">
        <f t="shared" si="4352"/>
        <v>0</v>
      </c>
      <c r="BN289" s="117">
        <f t="shared" si="4352"/>
        <v>0</v>
      </c>
      <c r="BO289" s="117">
        <f t="shared" si="4352"/>
        <v>0</v>
      </c>
      <c r="BP289" s="118">
        <f t="shared" si="4352"/>
        <v>0</v>
      </c>
      <c r="BQ289" s="115">
        <f t="shared" si="4352"/>
        <v>0</v>
      </c>
      <c r="BR289" s="116">
        <f t="shared" si="4352"/>
        <v>0</v>
      </c>
      <c r="BS289" s="117">
        <f t="shared" si="4352"/>
        <v>0</v>
      </c>
      <c r="BT289" s="117">
        <f t="shared" si="4352"/>
        <v>0</v>
      </c>
      <c r="BU289" s="118">
        <f t="shared" si="4352"/>
        <v>0</v>
      </c>
      <c r="BV289" s="115">
        <f t="shared" si="4352"/>
        <v>0</v>
      </c>
      <c r="BW289" s="116">
        <f t="shared" si="4352"/>
        <v>0</v>
      </c>
      <c r="BX289" s="117">
        <f t="shared" si="4352"/>
        <v>0</v>
      </c>
      <c r="BY289" s="117">
        <f t="shared" si="4352"/>
        <v>0</v>
      </c>
      <c r="BZ289" s="118">
        <f t="shared" si="4352"/>
        <v>0</v>
      </c>
      <c r="CA289" s="115">
        <f t="shared" si="4352"/>
        <v>0</v>
      </c>
      <c r="CB289" s="116">
        <f t="shared" si="4352"/>
        <v>0</v>
      </c>
      <c r="CC289" s="117">
        <f t="shared" si="4352"/>
        <v>0</v>
      </c>
      <c r="CD289" s="117">
        <f t="shared" si="4352"/>
        <v>0</v>
      </c>
      <c r="CE289" s="118">
        <f t="shared" si="4352"/>
        <v>0</v>
      </c>
      <c r="CF289" s="115">
        <f t="shared" si="4352"/>
        <v>0</v>
      </c>
      <c r="CG289" s="116">
        <f t="shared" si="4352"/>
        <v>0</v>
      </c>
      <c r="CH289" s="117">
        <f t="shared" si="4352"/>
        <v>0</v>
      </c>
      <c r="CI289" s="117">
        <f t="shared" si="4352"/>
        <v>5.6875</v>
      </c>
      <c r="CJ289" s="118">
        <f t="shared" si="4352"/>
        <v>5.6875</v>
      </c>
      <c r="CK289" s="115">
        <f t="shared" si="4352"/>
        <v>11.375</v>
      </c>
      <c r="CL289" s="116">
        <f t="shared" si="4352"/>
        <v>5.6875</v>
      </c>
      <c r="CM289" s="117">
        <f t="shared" si="4352"/>
        <v>5.6875</v>
      </c>
      <c r="CN289" s="117">
        <f t="shared" si="4352"/>
        <v>1.1875</v>
      </c>
      <c r="CO289" s="118">
        <f t="shared" si="4352"/>
        <v>1.1875</v>
      </c>
      <c r="CP289" s="115">
        <f t="shared" si="4352"/>
        <v>13.75</v>
      </c>
      <c r="CQ289" s="116">
        <f t="shared" si="4352"/>
        <v>1.1875</v>
      </c>
      <c r="CR289" s="117">
        <f t="shared" si="4352"/>
        <v>1.1875</v>
      </c>
      <c r="CS289" s="117">
        <f t="shared" si="4352"/>
        <v>1.1875</v>
      </c>
      <c r="CT289" s="118">
        <f t="shared" si="4352"/>
        <v>1.1875</v>
      </c>
      <c r="CU289" s="115">
        <f t="shared" si="4352"/>
        <v>4.75</v>
      </c>
      <c r="CV289" s="116">
        <f t="shared" si="4352"/>
        <v>1.1875</v>
      </c>
      <c r="CW289" s="117">
        <f t="shared" si="4352"/>
        <v>1.1875</v>
      </c>
      <c r="CX289" s="117">
        <f t="shared" si="4352"/>
        <v>3.4375</v>
      </c>
      <c r="CY289" s="118">
        <f t="shared" si="4352"/>
        <v>3.4375</v>
      </c>
      <c r="CZ289" s="115">
        <f t="shared" si="4352"/>
        <v>9.25</v>
      </c>
    </row>
    <row r="290" spans="1:104" ht="12.75" customHeight="1">
      <c r="A290" s="1817"/>
      <c r="B290" s="1817"/>
      <c r="C290" s="1824"/>
      <c r="D290" s="1824"/>
      <c r="E290" s="1820"/>
      <c r="F290" s="1821"/>
      <c r="G290" s="1821"/>
      <c r="H290" s="1825"/>
      <c r="I290" s="1826"/>
      <c r="J290" s="1865"/>
      <c r="L290" s="2001"/>
      <c r="M290" s="82"/>
      <c r="N290" s="83"/>
      <c r="O290" s="83"/>
      <c r="P290" s="84"/>
      <c r="Q290" s="81"/>
      <c r="R290" s="82"/>
      <c r="S290" s="83"/>
      <c r="T290" s="83"/>
      <c r="U290" s="84"/>
      <c r="V290" s="81"/>
      <c r="W290" s="82"/>
      <c r="X290" s="83"/>
      <c r="Y290" s="83"/>
      <c r="Z290" s="84"/>
      <c r="AA290" s="81"/>
      <c r="AB290" s="82"/>
      <c r="AC290" s="83"/>
      <c r="AD290" s="83"/>
      <c r="AE290" s="84"/>
      <c r="AF290" s="81"/>
      <c r="AG290" s="82"/>
      <c r="AH290" s="83"/>
      <c r="AI290" s="83"/>
      <c r="AJ290" s="84"/>
      <c r="AK290" s="81"/>
      <c r="AL290" s="82"/>
      <c r="AM290" s="83"/>
      <c r="AN290" s="83"/>
      <c r="AO290" s="84"/>
      <c r="AP290" s="81"/>
      <c r="AQ290" s="82"/>
      <c r="AR290" s="83"/>
      <c r="AS290" s="83"/>
      <c r="AT290" s="84"/>
      <c r="AU290" s="81"/>
      <c r="AV290" s="82"/>
      <c r="AW290" s="83"/>
      <c r="AX290" s="83"/>
      <c r="AY290" s="84"/>
      <c r="AZ290" s="81"/>
      <c r="BA290" s="82"/>
      <c r="BB290" s="83"/>
      <c r="BC290" s="83"/>
      <c r="BD290" s="84"/>
      <c r="BE290" s="81"/>
      <c r="BF290" s="1877"/>
      <c r="BG290" s="2005"/>
      <c r="BH290" s="86"/>
      <c r="BI290" s="87"/>
      <c r="BJ290" s="87"/>
      <c r="BK290" s="88"/>
      <c r="BL290" s="85"/>
      <c r="BM290" s="86"/>
      <c r="BN290" s="87"/>
      <c r="BO290" s="87"/>
      <c r="BP290" s="88"/>
      <c r="BQ290" s="85"/>
      <c r="BR290" s="86"/>
      <c r="BS290" s="87"/>
      <c r="BT290" s="87"/>
      <c r="BU290" s="88"/>
      <c r="BV290" s="85"/>
      <c r="BW290" s="86"/>
      <c r="BX290" s="87"/>
      <c r="BY290" s="87"/>
      <c r="BZ290" s="88"/>
      <c r="CA290" s="85"/>
      <c r="CB290" s="86"/>
      <c r="CC290" s="87"/>
      <c r="CD290" s="87"/>
      <c r="CE290" s="88"/>
      <c r="CF290" s="85"/>
      <c r="CG290" s="86"/>
      <c r="CH290" s="87"/>
      <c r="CI290" s="87"/>
      <c r="CJ290" s="88"/>
      <c r="CK290" s="85"/>
      <c r="CL290" s="86"/>
      <c r="CM290" s="87"/>
      <c r="CN290" s="87"/>
      <c r="CO290" s="88"/>
      <c r="CP290" s="85"/>
      <c r="CQ290" s="86"/>
      <c r="CR290" s="87"/>
      <c r="CS290" s="87"/>
      <c r="CT290" s="88"/>
      <c r="CU290" s="85"/>
      <c r="CV290" s="86"/>
      <c r="CW290" s="87"/>
      <c r="CX290" s="87"/>
      <c r="CY290" s="88"/>
      <c r="CZ290" s="85"/>
    </row>
    <row r="291" spans="1:104" ht="12.75" customHeight="1">
      <c r="A291" s="1817"/>
      <c r="B291" s="1817"/>
      <c r="C291" s="1824" t="s">
        <v>542</v>
      </c>
      <c r="D291" s="1824"/>
      <c r="E291" s="1852"/>
      <c r="F291" s="1853"/>
      <c r="G291" s="1853"/>
      <c r="H291" s="1848"/>
      <c r="I291" s="1849"/>
      <c r="J291" s="1866"/>
      <c r="L291" s="2001">
        <f t="shared" ref="L291:BE291" si="4353">+L289+L281</f>
        <v>0</v>
      </c>
      <c r="M291" s="82">
        <f t="shared" si="4353"/>
        <v>0</v>
      </c>
      <c r="N291" s="83">
        <f t="shared" si="4353"/>
        <v>0</v>
      </c>
      <c r="O291" s="83">
        <f t="shared" si="4353"/>
        <v>0</v>
      </c>
      <c r="P291" s="84">
        <f t="shared" si="4353"/>
        <v>0</v>
      </c>
      <c r="Q291" s="81">
        <f t="shared" si="4353"/>
        <v>0</v>
      </c>
      <c r="R291" s="82">
        <f t="shared" si="4353"/>
        <v>0</v>
      </c>
      <c r="S291" s="83">
        <f t="shared" si="4353"/>
        <v>0</v>
      </c>
      <c r="T291" s="83">
        <f t="shared" si="4353"/>
        <v>0</v>
      </c>
      <c r="U291" s="84">
        <f t="shared" si="4353"/>
        <v>0</v>
      </c>
      <c r="V291" s="81">
        <f t="shared" si="4353"/>
        <v>0</v>
      </c>
      <c r="W291" s="82">
        <f t="shared" si="4353"/>
        <v>0</v>
      </c>
      <c r="X291" s="83">
        <f t="shared" si="4353"/>
        <v>0</v>
      </c>
      <c r="Y291" s="83">
        <f t="shared" si="4353"/>
        <v>0</v>
      </c>
      <c r="Z291" s="84">
        <f t="shared" si="4353"/>
        <v>0</v>
      </c>
      <c r="AA291" s="81">
        <f t="shared" si="4353"/>
        <v>0</v>
      </c>
      <c r="AB291" s="82">
        <f t="shared" si="4353"/>
        <v>0</v>
      </c>
      <c r="AC291" s="83">
        <f t="shared" si="4353"/>
        <v>0</v>
      </c>
      <c r="AD291" s="83">
        <f t="shared" si="4353"/>
        <v>0</v>
      </c>
      <c r="AE291" s="84">
        <f t="shared" si="4353"/>
        <v>0</v>
      </c>
      <c r="AF291" s="81">
        <f t="shared" si="4353"/>
        <v>0</v>
      </c>
      <c r="AG291" s="82">
        <f t="shared" si="4353"/>
        <v>0</v>
      </c>
      <c r="AH291" s="83">
        <f t="shared" si="4353"/>
        <v>0</v>
      </c>
      <c r="AI291" s="83">
        <f t="shared" si="4353"/>
        <v>-35</v>
      </c>
      <c r="AJ291" s="84">
        <f t="shared" si="4353"/>
        <v>0</v>
      </c>
      <c r="AK291" s="81">
        <f t="shared" si="4353"/>
        <v>-35</v>
      </c>
      <c r="AL291" s="82">
        <f t="shared" si="4353"/>
        <v>0</v>
      </c>
      <c r="AM291" s="83">
        <f t="shared" si="4353"/>
        <v>0</v>
      </c>
      <c r="AN291" s="83">
        <f t="shared" si="4353"/>
        <v>174</v>
      </c>
      <c r="AO291" s="84">
        <f t="shared" si="4353"/>
        <v>0</v>
      </c>
      <c r="AP291" s="81">
        <f t="shared" si="4353"/>
        <v>174</v>
      </c>
      <c r="AQ291" s="82">
        <f t="shared" si="4353"/>
        <v>0</v>
      </c>
      <c r="AR291" s="83">
        <f t="shared" si="4353"/>
        <v>0</v>
      </c>
      <c r="AS291" s="83">
        <f t="shared" si="4353"/>
        <v>77</v>
      </c>
      <c r="AT291" s="84">
        <f t="shared" si="4353"/>
        <v>0</v>
      </c>
      <c r="AU291" s="81">
        <f t="shared" si="4353"/>
        <v>77</v>
      </c>
      <c r="AV291" s="82">
        <f t="shared" si="4353"/>
        <v>0</v>
      </c>
      <c r="AW291" s="83">
        <f t="shared" si="4353"/>
        <v>0</v>
      </c>
      <c r="AX291" s="83">
        <f t="shared" si="4353"/>
        <v>75</v>
      </c>
      <c r="AY291" s="84">
        <f t="shared" si="4353"/>
        <v>0</v>
      </c>
      <c r="AZ291" s="81">
        <f t="shared" si="4353"/>
        <v>75</v>
      </c>
      <c r="BA291" s="82">
        <f t="shared" si="4353"/>
        <v>0</v>
      </c>
      <c r="BB291" s="83">
        <f t="shared" si="4353"/>
        <v>0</v>
      </c>
      <c r="BC291" s="83">
        <f t="shared" si="4353"/>
        <v>36.134999999999991</v>
      </c>
      <c r="BD291" s="84">
        <f t="shared" si="4353"/>
        <v>0</v>
      </c>
      <c r="BE291" s="81">
        <f t="shared" si="4353"/>
        <v>36.134999999999991</v>
      </c>
      <c r="BF291" s="1877"/>
      <c r="BG291" s="2005">
        <f t="shared" ref="BG291:CZ291" si="4354">+BG289+BG281</f>
        <v>0</v>
      </c>
      <c r="BH291" s="86">
        <f t="shared" si="4354"/>
        <v>0</v>
      </c>
      <c r="BI291" s="87">
        <f t="shared" si="4354"/>
        <v>0</v>
      </c>
      <c r="BJ291" s="87">
        <f t="shared" si="4354"/>
        <v>0</v>
      </c>
      <c r="BK291" s="88">
        <f t="shared" si="4354"/>
        <v>0</v>
      </c>
      <c r="BL291" s="85">
        <f t="shared" si="4354"/>
        <v>0</v>
      </c>
      <c r="BM291" s="86">
        <f t="shared" si="4354"/>
        <v>0</v>
      </c>
      <c r="BN291" s="87">
        <f t="shared" si="4354"/>
        <v>0</v>
      </c>
      <c r="BO291" s="87">
        <f t="shared" si="4354"/>
        <v>0</v>
      </c>
      <c r="BP291" s="88">
        <f t="shared" si="4354"/>
        <v>0</v>
      </c>
      <c r="BQ291" s="85">
        <f t="shared" si="4354"/>
        <v>0</v>
      </c>
      <c r="BR291" s="86">
        <f t="shared" si="4354"/>
        <v>0</v>
      </c>
      <c r="BS291" s="87">
        <f t="shared" si="4354"/>
        <v>0</v>
      </c>
      <c r="BT291" s="87">
        <f t="shared" si="4354"/>
        <v>0</v>
      </c>
      <c r="BU291" s="88">
        <f t="shared" si="4354"/>
        <v>0</v>
      </c>
      <c r="BV291" s="85">
        <f t="shared" si="4354"/>
        <v>0</v>
      </c>
      <c r="BW291" s="86">
        <f t="shared" si="4354"/>
        <v>0</v>
      </c>
      <c r="BX291" s="87">
        <f t="shared" si="4354"/>
        <v>0</v>
      </c>
      <c r="BY291" s="87">
        <f t="shared" si="4354"/>
        <v>0</v>
      </c>
      <c r="BZ291" s="88">
        <f t="shared" si="4354"/>
        <v>0</v>
      </c>
      <c r="CA291" s="85">
        <f t="shared" si="4354"/>
        <v>0</v>
      </c>
      <c r="CB291" s="86">
        <f t="shared" si="4354"/>
        <v>0</v>
      </c>
      <c r="CC291" s="87">
        <f t="shared" si="4354"/>
        <v>0</v>
      </c>
      <c r="CD291" s="87">
        <f t="shared" si="4354"/>
        <v>-0.47564692982456136</v>
      </c>
      <c r="CE291" s="88">
        <f t="shared" si="4354"/>
        <v>-0.47564692982456136</v>
      </c>
      <c r="CF291" s="85">
        <f t="shared" si="4354"/>
        <v>-0.95129385964912272</v>
      </c>
      <c r="CG291" s="86">
        <f t="shared" si="4354"/>
        <v>-0.47564692982456136</v>
      </c>
      <c r="CH291" s="87">
        <f t="shared" si="4354"/>
        <v>-0.47564692982456136</v>
      </c>
      <c r="CI291" s="87">
        <f t="shared" si="4354"/>
        <v>0.4224627192982453</v>
      </c>
      <c r="CJ291" s="88">
        <f t="shared" si="4354"/>
        <v>0.4224627192982453</v>
      </c>
      <c r="CK291" s="85">
        <f t="shared" si="4354"/>
        <v>-0.10636842105263256</v>
      </c>
      <c r="CL291" s="86">
        <f t="shared" si="4354"/>
        <v>0.4224627192982453</v>
      </c>
      <c r="CM291" s="87">
        <f t="shared" si="4354"/>
        <v>0.4224627192982453</v>
      </c>
      <c r="CN291" s="87">
        <f t="shared" si="4354"/>
        <v>0.94288157894736846</v>
      </c>
      <c r="CO291" s="88">
        <f t="shared" si="4354"/>
        <v>0.94288157894736846</v>
      </c>
      <c r="CP291" s="85">
        <f t="shared" si="4354"/>
        <v>2.7306885964912269</v>
      </c>
      <c r="CQ291" s="86">
        <f t="shared" si="4354"/>
        <v>0.94288157894736846</v>
      </c>
      <c r="CR291" s="87">
        <f t="shared" si="4354"/>
        <v>0.94288157894736846</v>
      </c>
      <c r="CS291" s="87">
        <f t="shared" si="4354"/>
        <v>0.91570175438596491</v>
      </c>
      <c r="CT291" s="88">
        <f t="shared" si="4354"/>
        <v>0.91570175438596491</v>
      </c>
      <c r="CU291" s="85">
        <f t="shared" si="4354"/>
        <v>3.717166666666667</v>
      </c>
      <c r="CV291" s="86">
        <f t="shared" si="4354"/>
        <v>0.91570175438596491</v>
      </c>
      <c r="CW291" s="87">
        <f t="shared" si="4354"/>
        <v>0.91570175438596491</v>
      </c>
      <c r="CX291" s="87">
        <f t="shared" si="4354"/>
        <v>0.60179500000000008</v>
      </c>
      <c r="CY291" s="88">
        <f t="shared" si="4354"/>
        <v>0.60179500000000008</v>
      </c>
      <c r="CZ291" s="85">
        <f t="shared" si="4354"/>
        <v>3.0349935087719304</v>
      </c>
    </row>
    <row r="292" spans="1:104" ht="12.75" customHeight="1">
      <c r="A292" s="1817"/>
      <c r="B292" s="1817"/>
      <c r="C292" s="1824"/>
      <c r="D292" s="1824"/>
      <c r="E292" s="1852"/>
      <c r="F292" s="1853"/>
      <c r="G292" s="1853"/>
      <c r="H292" s="1848"/>
      <c r="I292" s="1849"/>
      <c r="J292" s="1866"/>
      <c r="L292" s="2001"/>
      <c r="M292" s="82"/>
      <c r="N292" s="83"/>
      <c r="O292" s="83"/>
      <c r="P292" s="84"/>
      <c r="Q292" s="81"/>
      <c r="R292" s="82"/>
      <c r="S292" s="83"/>
      <c r="T292" s="83"/>
      <c r="U292" s="84"/>
      <c r="V292" s="81"/>
      <c r="W292" s="82"/>
      <c r="X292" s="83"/>
      <c r="Y292" s="83"/>
      <c r="Z292" s="84"/>
      <c r="AA292" s="81"/>
      <c r="AB292" s="82"/>
      <c r="AC292" s="83"/>
      <c r="AD292" s="83"/>
      <c r="AE292" s="84"/>
      <c r="AF292" s="81"/>
      <c r="AG292" s="82"/>
      <c r="AH292" s="83"/>
      <c r="AI292" s="83"/>
      <c r="AJ292" s="84"/>
      <c r="AK292" s="81"/>
      <c r="AL292" s="82"/>
      <c r="AM292" s="83"/>
      <c r="AN292" s="83"/>
      <c r="AO292" s="84"/>
      <c r="AP292" s="81"/>
      <c r="AQ292" s="82"/>
      <c r="AR292" s="83"/>
      <c r="AS292" s="83"/>
      <c r="AT292" s="84"/>
      <c r="AU292" s="81"/>
      <c r="AV292" s="82"/>
      <c r="AW292" s="83"/>
      <c r="AX292" s="83"/>
      <c r="AY292" s="84"/>
      <c r="AZ292" s="81"/>
      <c r="BA292" s="82"/>
      <c r="BB292" s="83"/>
      <c r="BC292" s="83"/>
      <c r="BD292" s="84"/>
      <c r="BE292" s="81"/>
      <c r="BF292" s="1877"/>
      <c r="BG292" s="2005"/>
      <c r="BH292" s="86"/>
      <c r="BI292" s="87"/>
      <c r="BJ292" s="87"/>
      <c r="BK292" s="88"/>
      <c r="BL292" s="85"/>
      <c r="BM292" s="86"/>
      <c r="BN292" s="87"/>
      <c r="BO292" s="87"/>
      <c r="BP292" s="88"/>
      <c r="BQ292" s="85"/>
      <c r="BR292" s="86"/>
      <c r="BS292" s="87"/>
      <c r="BT292" s="87"/>
      <c r="BU292" s="88"/>
      <c r="BV292" s="85"/>
      <c r="BW292" s="86"/>
      <c r="BX292" s="87"/>
      <c r="BY292" s="87"/>
      <c r="BZ292" s="88"/>
      <c r="CA292" s="85"/>
      <c r="CB292" s="86"/>
      <c r="CC292" s="87"/>
      <c r="CD292" s="87"/>
      <c r="CE292" s="88"/>
      <c r="CF292" s="85"/>
      <c r="CG292" s="86"/>
      <c r="CH292" s="87"/>
      <c r="CI292" s="87"/>
      <c r="CJ292" s="88"/>
      <c r="CK292" s="85"/>
      <c r="CL292" s="86"/>
      <c r="CM292" s="87"/>
      <c r="CN292" s="87"/>
      <c r="CO292" s="88"/>
      <c r="CP292" s="85"/>
      <c r="CQ292" s="86"/>
      <c r="CR292" s="87"/>
      <c r="CS292" s="87"/>
      <c r="CT292" s="88"/>
      <c r="CU292" s="85"/>
      <c r="CV292" s="86"/>
      <c r="CW292" s="87"/>
      <c r="CX292" s="87"/>
      <c r="CY292" s="88"/>
      <c r="CZ292" s="85"/>
    </row>
    <row r="293" spans="1:104" ht="12.75" customHeight="1" thickBot="1">
      <c r="A293" s="1817"/>
      <c r="B293" s="1854"/>
      <c r="C293" s="1867"/>
      <c r="D293" s="1867"/>
      <c r="E293" s="1855"/>
      <c r="F293" s="1856"/>
      <c r="G293" s="1856"/>
      <c r="H293" s="1857"/>
      <c r="I293" s="1890"/>
      <c r="J293" s="1896"/>
      <c r="K293" s="1892"/>
      <c r="L293" s="2003"/>
      <c r="M293" s="184"/>
      <c r="N293" s="185"/>
      <c r="O293" s="185"/>
      <c r="P293" s="186"/>
      <c r="Q293" s="197"/>
      <c r="R293" s="184"/>
      <c r="S293" s="185"/>
      <c r="T293" s="185"/>
      <c r="U293" s="186"/>
      <c r="V293" s="197"/>
      <c r="W293" s="184"/>
      <c r="X293" s="185"/>
      <c r="Y293" s="185"/>
      <c r="Z293" s="186"/>
      <c r="AA293" s="197"/>
      <c r="AB293" s="184"/>
      <c r="AC293" s="185"/>
      <c r="AD293" s="185"/>
      <c r="AE293" s="186"/>
      <c r="AF293" s="197"/>
      <c r="AG293" s="184"/>
      <c r="AH293" s="185"/>
      <c r="AI293" s="185"/>
      <c r="AJ293" s="186"/>
      <c r="AK293" s="197"/>
      <c r="AL293" s="184"/>
      <c r="AM293" s="185"/>
      <c r="AN293" s="185"/>
      <c r="AO293" s="186"/>
      <c r="AP293" s="197"/>
      <c r="AQ293" s="184"/>
      <c r="AR293" s="185"/>
      <c r="AS293" s="185"/>
      <c r="AT293" s="186"/>
      <c r="AU293" s="197"/>
      <c r="AV293" s="184"/>
      <c r="AW293" s="185"/>
      <c r="AX293" s="185"/>
      <c r="AY293" s="186"/>
      <c r="AZ293" s="197"/>
      <c r="BA293" s="184"/>
      <c r="BB293" s="185"/>
      <c r="BC293" s="185"/>
      <c r="BD293" s="186"/>
      <c r="BE293" s="197"/>
      <c r="BF293" s="1893"/>
      <c r="BG293" s="2016"/>
      <c r="BH293" s="187"/>
      <c r="BI293" s="188"/>
      <c r="BJ293" s="188"/>
      <c r="BK293" s="189"/>
      <c r="BL293" s="198"/>
      <c r="BM293" s="187"/>
      <c r="BN293" s="188"/>
      <c r="BO293" s="188"/>
      <c r="BP293" s="189"/>
      <c r="BQ293" s="198"/>
      <c r="BR293" s="187"/>
      <c r="BS293" s="188"/>
      <c r="BT293" s="188"/>
      <c r="BU293" s="189"/>
      <c r="BV293" s="198"/>
      <c r="BW293" s="187"/>
      <c r="BX293" s="188"/>
      <c r="BY293" s="188"/>
      <c r="BZ293" s="189"/>
      <c r="CA293" s="198"/>
      <c r="CB293" s="187"/>
      <c r="CC293" s="188"/>
      <c r="CD293" s="188"/>
      <c r="CE293" s="189"/>
      <c r="CF293" s="198"/>
      <c r="CG293" s="187"/>
      <c r="CH293" s="188"/>
      <c r="CI293" s="188"/>
      <c r="CJ293" s="189"/>
      <c r="CK293" s="198"/>
      <c r="CL293" s="187"/>
      <c r="CM293" s="188"/>
      <c r="CN293" s="188"/>
      <c r="CO293" s="189"/>
      <c r="CP293" s="198"/>
      <c r="CQ293" s="187"/>
      <c r="CR293" s="188"/>
      <c r="CS293" s="188"/>
      <c r="CT293" s="189"/>
      <c r="CU293" s="198"/>
      <c r="CV293" s="187"/>
      <c r="CW293" s="188"/>
      <c r="CX293" s="188"/>
      <c r="CY293" s="189"/>
      <c r="CZ293" s="198"/>
    </row>
    <row r="294" spans="1:104" ht="12.75" customHeight="1">
      <c r="A294" s="1817"/>
      <c r="B294" s="1681" t="s">
        <v>781</v>
      </c>
      <c r="C294" s="1818"/>
      <c r="D294" s="1819"/>
      <c r="E294" s="1820"/>
      <c r="F294" s="1821"/>
      <c r="G294" s="1821"/>
      <c r="H294" s="1825"/>
      <c r="I294" s="1826"/>
      <c r="J294" s="1865"/>
      <c r="L294" s="2001"/>
      <c r="M294" s="82"/>
      <c r="N294" s="83"/>
      <c r="O294" s="83"/>
      <c r="P294" s="84"/>
      <c r="Q294" s="81"/>
      <c r="R294" s="82"/>
      <c r="S294" s="83"/>
      <c r="T294" s="83"/>
      <c r="U294" s="84"/>
      <c r="V294" s="81"/>
      <c r="W294" s="82"/>
      <c r="X294" s="83"/>
      <c r="Y294" s="83"/>
      <c r="Z294" s="84"/>
      <c r="AA294" s="81"/>
      <c r="AB294" s="82"/>
      <c r="AC294" s="83"/>
      <c r="AD294" s="83"/>
      <c r="AE294" s="84"/>
      <c r="AF294" s="81"/>
      <c r="AG294" s="82"/>
      <c r="AH294" s="83"/>
      <c r="AI294" s="83"/>
      <c r="AJ294" s="84"/>
      <c r="AK294" s="81"/>
      <c r="AL294" s="82"/>
      <c r="AM294" s="83"/>
      <c r="AN294" s="83"/>
      <c r="AO294" s="84"/>
      <c r="AP294" s="81"/>
      <c r="AQ294" s="82"/>
      <c r="AR294" s="83"/>
      <c r="AS294" s="83"/>
      <c r="AT294" s="84"/>
      <c r="AU294" s="81"/>
      <c r="AV294" s="82"/>
      <c r="AW294" s="83"/>
      <c r="AX294" s="83"/>
      <c r="AY294" s="84"/>
      <c r="AZ294" s="81"/>
      <c r="BA294" s="82"/>
      <c r="BB294" s="83"/>
      <c r="BC294" s="83"/>
      <c r="BD294" s="84"/>
      <c r="BE294" s="81"/>
      <c r="BF294" s="1877"/>
      <c r="BG294" s="2005"/>
      <c r="BH294" s="86"/>
      <c r="BI294" s="87"/>
      <c r="BJ294" s="87"/>
      <c r="BK294" s="88"/>
      <c r="BL294" s="85"/>
      <c r="BM294" s="86"/>
      <c r="BN294" s="87"/>
      <c r="BO294" s="87"/>
      <c r="BP294" s="88"/>
      <c r="BQ294" s="85"/>
      <c r="BR294" s="86"/>
      <c r="BS294" s="87"/>
      <c r="BT294" s="87"/>
      <c r="BU294" s="88"/>
      <c r="BV294" s="85"/>
      <c r="BW294" s="86"/>
      <c r="BX294" s="87"/>
      <c r="BY294" s="87"/>
      <c r="BZ294" s="88"/>
      <c r="CA294" s="85"/>
      <c r="CB294" s="86"/>
      <c r="CC294" s="87"/>
      <c r="CD294" s="87"/>
      <c r="CE294" s="88"/>
      <c r="CF294" s="85"/>
      <c r="CG294" s="86"/>
      <c r="CH294" s="87"/>
      <c r="CI294" s="87"/>
      <c r="CJ294" s="88"/>
      <c r="CK294" s="85"/>
      <c r="CL294" s="86"/>
      <c r="CM294" s="87"/>
      <c r="CN294" s="87"/>
      <c r="CO294" s="88"/>
      <c r="CP294" s="85"/>
      <c r="CQ294" s="86"/>
      <c r="CR294" s="87"/>
      <c r="CS294" s="87"/>
      <c r="CT294" s="88"/>
      <c r="CU294" s="85"/>
      <c r="CV294" s="86"/>
      <c r="CW294" s="87"/>
      <c r="CX294" s="87"/>
      <c r="CY294" s="88"/>
      <c r="CZ294" s="85"/>
    </row>
    <row r="295" spans="1:104" ht="12.75" customHeight="1">
      <c r="A295" s="1817"/>
      <c r="B295" s="1817"/>
      <c r="C295" s="1824"/>
      <c r="D295" s="1824"/>
      <c r="E295" s="1820"/>
      <c r="F295" s="1821"/>
      <c r="G295" s="1821"/>
      <c r="H295" s="1822"/>
      <c r="I295" s="1822"/>
      <c r="J295" s="1868"/>
      <c r="L295" s="2001"/>
      <c r="M295" s="82"/>
      <c r="N295" s="83"/>
      <c r="O295" s="83"/>
      <c r="P295" s="84"/>
      <c r="Q295" s="81"/>
      <c r="R295" s="82"/>
      <c r="S295" s="83"/>
      <c r="T295" s="83"/>
      <c r="U295" s="84"/>
      <c r="V295" s="81"/>
      <c r="W295" s="82"/>
      <c r="X295" s="83"/>
      <c r="Y295" s="83"/>
      <c r="Z295" s="84"/>
      <c r="AA295" s="81"/>
      <c r="AB295" s="82"/>
      <c r="AC295" s="83"/>
      <c r="AD295" s="83"/>
      <c r="AE295" s="84"/>
      <c r="AF295" s="81"/>
      <c r="AG295" s="82"/>
      <c r="AH295" s="83"/>
      <c r="AI295" s="83"/>
      <c r="AJ295" s="84"/>
      <c r="AK295" s="81"/>
      <c r="AL295" s="82"/>
      <c r="AM295" s="83"/>
      <c r="AN295" s="83"/>
      <c r="AO295" s="84"/>
      <c r="AP295" s="81"/>
      <c r="AQ295" s="82"/>
      <c r="AR295" s="83"/>
      <c r="AS295" s="83"/>
      <c r="AT295" s="84"/>
      <c r="AU295" s="81"/>
      <c r="AV295" s="82"/>
      <c r="AW295" s="83"/>
      <c r="AX295" s="83"/>
      <c r="AY295" s="84"/>
      <c r="AZ295" s="81"/>
      <c r="BA295" s="82"/>
      <c r="BB295" s="83"/>
      <c r="BC295" s="83"/>
      <c r="BD295" s="84"/>
      <c r="BE295" s="81"/>
      <c r="BF295" s="1877"/>
      <c r="BG295" s="2005"/>
      <c r="BH295" s="86"/>
      <c r="BI295" s="87"/>
      <c r="BJ295" s="87"/>
      <c r="BK295" s="88"/>
      <c r="BL295" s="85"/>
      <c r="BM295" s="86"/>
      <c r="BN295" s="87"/>
      <c r="BO295" s="87"/>
      <c r="BP295" s="88"/>
      <c r="BQ295" s="85"/>
      <c r="BR295" s="86"/>
      <c r="BS295" s="87"/>
      <c r="BT295" s="87"/>
      <c r="BU295" s="88"/>
      <c r="BV295" s="85"/>
      <c r="BW295" s="86"/>
      <c r="BX295" s="87"/>
      <c r="BY295" s="87"/>
      <c r="BZ295" s="88"/>
      <c r="CA295" s="85"/>
      <c r="CB295" s="86"/>
      <c r="CC295" s="87"/>
      <c r="CD295" s="87"/>
      <c r="CE295" s="88"/>
      <c r="CF295" s="85"/>
      <c r="CG295" s="86"/>
      <c r="CH295" s="87"/>
      <c r="CI295" s="87"/>
      <c r="CJ295" s="88"/>
      <c r="CK295" s="85"/>
      <c r="CL295" s="86"/>
      <c r="CM295" s="87"/>
      <c r="CN295" s="87"/>
      <c r="CO295" s="88"/>
      <c r="CP295" s="85"/>
      <c r="CQ295" s="86"/>
      <c r="CR295" s="87"/>
      <c r="CS295" s="87"/>
      <c r="CT295" s="88"/>
      <c r="CU295" s="85"/>
      <c r="CV295" s="86"/>
      <c r="CW295" s="87"/>
      <c r="CX295" s="87"/>
      <c r="CY295" s="88"/>
      <c r="CZ295" s="85"/>
    </row>
    <row r="296" spans="1:104" ht="12.75" customHeight="1">
      <c r="A296" s="1817"/>
      <c r="B296" s="1817"/>
      <c r="C296" s="139" t="s">
        <v>532</v>
      </c>
      <c r="D296" s="139"/>
      <c r="E296" s="1828"/>
      <c r="F296" s="1822"/>
      <c r="G296" s="1822"/>
      <c r="H296" s="1822"/>
      <c r="I296" s="1822"/>
      <c r="J296" s="1865"/>
      <c r="L296" s="2001"/>
      <c r="M296" s="82"/>
      <c r="N296" s="83"/>
      <c r="O296" s="83"/>
      <c r="P296" s="84"/>
      <c r="Q296" s="81"/>
      <c r="R296" s="82"/>
      <c r="S296" s="83"/>
      <c r="T296" s="83"/>
      <c r="U296" s="84"/>
      <c r="V296" s="81"/>
      <c r="W296" s="82"/>
      <c r="X296" s="83"/>
      <c r="Y296" s="83"/>
      <c r="Z296" s="84"/>
      <c r="AA296" s="81"/>
      <c r="AB296" s="82"/>
      <c r="AC296" s="83"/>
      <c r="AD296" s="83"/>
      <c r="AE296" s="84"/>
      <c r="AF296" s="81"/>
      <c r="AG296" s="82"/>
      <c r="AH296" s="83"/>
      <c r="AI296" s="83"/>
      <c r="AJ296" s="84"/>
      <c r="AK296" s="81"/>
      <c r="AL296" s="82"/>
      <c r="AM296" s="83"/>
      <c r="AN296" s="83"/>
      <c r="AO296" s="84"/>
      <c r="AP296" s="81"/>
      <c r="AQ296" s="82"/>
      <c r="AR296" s="83"/>
      <c r="AS296" s="83"/>
      <c r="AT296" s="84"/>
      <c r="AU296" s="81"/>
      <c r="AV296" s="82"/>
      <c r="AW296" s="83"/>
      <c r="AX296" s="83"/>
      <c r="AY296" s="84"/>
      <c r="AZ296" s="81"/>
      <c r="BA296" s="82"/>
      <c r="BB296" s="83"/>
      <c r="BC296" s="83"/>
      <c r="BD296" s="84"/>
      <c r="BE296" s="81"/>
      <c r="BF296" s="1877"/>
      <c r="BG296" s="2005"/>
      <c r="BH296" s="86"/>
      <c r="BI296" s="87"/>
      <c r="BJ296" s="87"/>
      <c r="BK296" s="88"/>
      <c r="BL296" s="85"/>
      <c r="BM296" s="86"/>
      <c r="BN296" s="87"/>
      <c r="BO296" s="87"/>
      <c r="BP296" s="88"/>
      <c r="BQ296" s="85"/>
      <c r="BR296" s="86"/>
      <c r="BS296" s="87"/>
      <c r="BT296" s="87"/>
      <c r="BU296" s="88"/>
      <c r="BV296" s="85"/>
      <c r="BW296" s="86"/>
      <c r="BX296" s="87"/>
      <c r="BY296" s="87"/>
      <c r="BZ296" s="88"/>
      <c r="CA296" s="85"/>
      <c r="CB296" s="86"/>
      <c r="CC296" s="87"/>
      <c r="CD296" s="87"/>
      <c r="CE296" s="88"/>
      <c r="CF296" s="85"/>
      <c r="CG296" s="86"/>
      <c r="CH296" s="87"/>
      <c r="CI296" s="87"/>
      <c r="CJ296" s="88"/>
      <c r="CK296" s="85"/>
      <c r="CL296" s="86"/>
      <c r="CM296" s="87"/>
      <c r="CN296" s="87"/>
      <c r="CO296" s="88"/>
      <c r="CP296" s="85"/>
      <c r="CQ296" s="86"/>
      <c r="CR296" s="87"/>
      <c r="CS296" s="87"/>
      <c r="CT296" s="88"/>
      <c r="CU296" s="85"/>
      <c r="CV296" s="86"/>
      <c r="CW296" s="87"/>
      <c r="CX296" s="87"/>
      <c r="CY296" s="88"/>
      <c r="CZ296" s="85"/>
    </row>
    <row r="297" spans="1:104" ht="12.75" customHeight="1">
      <c r="A297" s="1817"/>
      <c r="B297" s="1817"/>
      <c r="C297" s="1829" t="s">
        <v>775</v>
      </c>
      <c r="D297" s="139"/>
      <c r="E297" s="1828"/>
      <c r="F297" s="1822"/>
      <c r="G297" s="1822"/>
      <c r="H297" s="2306"/>
      <c r="I297" s="2307"/>
      <c r="J297" s="1865"/>
      <c r="L297" s="2001"/>
      <c r="M297" s="82"/>
      <c r="N297" s="83"/>
      <c r="O297" s="83"/>
      <c r="P297" s="84"/>
      <c r="Q297" s="81"/>
      <c r="R297" s="82"/>
      <c r="S297" s="83"/>
      <c r="T297" s="83"/>
      <c r="U297" s="84"/>
      <c r="V297" s="81"/>
      <c r="W297" s="82"/>
      <c r="X297" s="83"/>
      <c r="Y297" s="83"/>
      <c r="Z297" s="84"/>
      <c r="AA297" s="81"/>
      <c r="AB297" s="82"/>
      <c r="AC297" s="83"/>
      <c r="AD297" s="83"/>
      <c r="AE297" s="84"/>
      <c r="AF297" s="81"/>
      <c r="AG297" s="82"/>
      <c r="AH297" s="83"/>
      <c r="AI297" s="83"/>
      <c r="AJ297" s="84"/>
      <c r="AK297" s="81"/>
      <c r="AL297" s="82"/>
      <c r="AM297" s="83"/>
      <c r="AN297" s="83"/>
      <c r="AO297" s="84"/>
      <c r="AP297" s="81"/>
      <c r="AQ297" s="82"/>
      <c r="AR297" s="83"/>
      <c r="AS297" s="83"/>
      <c r="AT297" s="84"/>
      <c r="AU297" s="81"/>
      <c r="AV297" s="82"/>
      <c r="AW297" s="83"/>
      <c r="AX297" s="83"/>
      <c r="AY297" s="84"/>
      <c r="AZ297" s="81"/>
      <c r="BA297" s="82"/>
      <c r="BB297" s="83"/>
      <c r="BC297" s="83"/>
      <c r="BD297" s="84"/>
      <c r="BE297" s="81"/>
      <c r="BF297" s="1877"/>
      <c r="BG297" s="2005"/>
      <c r="BH297" s="86"/>
      <c r="BI297" s="87"/>
      <c r="BJ297" s="87"/>
      <c r="BK297" s="88"/>
      <c r="BL297" s="85"/>
      <c r="BM297" s="86"/>
      <c r="BN297" s="87"/>
      <c r="BO297" s="87"/>
      <c r="BP297" s="88"/>
      <c r="BQ297" s="85"/>
      <c r="BR297" s="86"/>
      <c r="BS297" s="87"/>
      <c r="BT297" s="87"/>
      <c r="BU297" s="88"/>
      <c r="BV297" s="85"/>
      <c r="BW297" s="86"/>
      <c r="BX297" s="87"/>
      <c r="BY297" s="87"/>
      <c r="BZ297" s="88"/>
      <c r="CA297" s="85"/>
      <c r="CB297" s="86"/>
      <c r="CC297" s="87"/>
      <c r="CD297" s="87"/>
      <c r="CE297" s="88"/>
      <c r="CF297" s="85"/>
      <c r="CG297" s="86"/>
      <c r="CH297" s="87"/>
      <c r="CI297" s="87"/>
      <c r="CJ297" s="88"/>
      <c r="CK297" s="85"/>
      <c r="CL297" s="86"/>
      <c r="CM297" s="87"/>
      <c r="CN297" s="87"/>
      <c r="CO297" s="88"/>
      <c r="CP297" s="85"/>
      <c r="CQ297" s="86"/>
      <c r="CR297" s="87"/>
      <c r="CS297" s="87"/>
      <c r="CT297" s="88"/>
      <c r="CU297" s="85"/>
      <c r="CV297" s="86"/>
      <c r="CW297" s="87"/>
      <c r="CX297" s="87"/>
      <c r="CY297" s="88"/>
      <c r="CZ297" s="85"/>
    </row>
    <row r="298" spans="1:104" ht="12.75" customHeight="1">
      <c r="A298" s="1817"/>
      <c r="B298" s="2128"/>
      <c r="C298" s="2119">
        <v>3.5000000000000003E-2</v>
      </c>
      <c r="D298" s="139"/>
      <c r="E298" s="2115">
        <f>IF(F298=0,G298,F298)</f>
        <v>500</v>
      </c>
      <c r="F298" s="2313">
        <v>500</v>
      </c>
      <c r="G298" s="1511">
        <v>500</v>
      </c>
      <c r="H298" s="1510">
        <v>2023</v>
      </c>
      <c r="I298" s="1831">
        <v>3.5000000000000003E-2</v>
      </c>
      <c r="J298" s="1832">
        <v>7</v>
      </c>
      <c r="L298" s="2001">
        <f t="shared" ref="L298:L309" si="4355">IF(L$5=$H298,-$E298,0)</f>
        <v>0</v>
      </c>
      <c r="M298" s="82">
        <f t="shared" ref="M298:M309" si="4356">IF(Q298=0,0,IF(Q298&lt;0,IF($J298=3,Q298,IF($J298=2,Q298,IF($J298=1,Q298,0)))))</f>
        <v>0</v>
      </c>
      <c r="N298" s="83">
        <f t="shared" ref="N298:N309" si="4357">IF(Q298=0,0,IF(Q298&lt;0,IF($J298=6,Q298,IF($J298=5,Q298,IF($J298=4,Q298,0)))))</f>
        <v>0</v>
      </c>
      <c r="O298" s="83">
        <f t="shared" ref="O298:O309" si="4358">IF(Q298=0,0,IF(Q298&lt;0,IF($J298=9,Q298,IF($J298=8,Q298,IF($J298=7,Q298,0)))))</f>
        <v>0</v>
      </c>
      <c r="P298" s="84">
        <f t="shared" ref="P298:P309" si="4359">IF(Q298=0,0,IF(Q298&lt;0,IF($J298=12,Q298,IF($J298=11,Q298,IF($J298=10,Q298,0)))))</f>
        <v>0</v>
      </c>
      <c r="Q298" s="81">
        <f t="shared" ref="Q298:Q309" si="4360">IF(Q$5=$H298,-$E298,0)</f>
        <v>0</v>
      </c>
      <c r="R298" s="82">
        <f t="shared" ref="R298:R309" si="4361">IF(V298=0,0,IF(V298&lt;0,IF($J298=3,V298,IF($J298=2,V298,IF($J298=1,V298,0)))))</f>
        <v>0</v>
      </c>
      <c r="S298" s="83">
        <f t="shared" ref="S298:S309" si="4362">IF(V298=0,0,IF(V298&lt;0,IF($J298=6,V298,IF($J298=5,V298,IF($J298=4,V298,0)))))</f>
        <v>0</v>
      </c>
      <c r="T298" s="83">
        <f t="shared" ref="T298:T309" si="4363">IF(V298=0,0,IF(V298&lt;0,IF($J298=9,V298,IF($J298=8,V298,IF($J298=7,V298,0)))))</f>
        <v>0</v>
      </c>
      <c r="U298" s="84">
        <f t="shared" ref="U298:U309" si="4364">IF(V298=0,0,IF(V298&lt;0,IF($J298=12,V298,IF($J298=11,V298,IF($J298=10,V298,0)))))</f>
        <v>0</v>
      </c>
      <c r="V298" s="81">
        <f t="shared" ref="V298:V309" si="4365">IF(V$5=$H298,-$E298,0)</f>
        <v>0</v>
      </c>
      <c r="W298" s="82">
        <f t="shared" ref="W298:W309" si="4366">IF(AA298=0,0,IF(AA298&lt;0,IF($J298=3,AA298,IF($J298=2,AA298,IF($J298=1,AA298,0)))))</f>
        <v>0</v>
      </c>
      <c r="X298" s="83">
        <f t="shared" ref="X298:X309" si="4367">IF(AA298=0,0,IF(AA298&lt;0,IF($J298=6,AA298,IF($J298=5,AA298,IF($J298=4,AA298,0)))))</f>
        <v>0</v>
      </c>
      <c r="Y298" s="83">
        <f t="shared" ref="Y298:Y309" si="4368">IF(AA298=0,0,IF(AA298&lt;0,IF($J298=9,AA298,IF($J298=8,AA298,IF($J298=7,AA298,0)))))</f>
        <v>0</v>
      </c>
      <c r="Z298" s="84">
        <f t="shared" ref="Z298:Z309" si="4369">IF(AA298=0,0,IF(AA298&lt;0,IF($J298=12,AA298,IF($J298=11,AA298,IF($J298=10,AA298,0)))))</f>
        <v>0</v>
      </c>
      <c r="AA298" s="81">
        <f t="shared" ref="AA298:AA309" si="4370">IF(AA$5=$H298,-$E298,0)</f>
        <v>0</v>
      </c>
      <c r="AB298" s="82">
        <f t="shared" ref="AB298:AB309" si="4371">IF(AF298=0,0,IF(AF298&lt;0,IF($J298=3,AF298,IF($J298=2,AF298,IF($J298=1,AF298,0)))))</f>
        <v>0</v>
      </c>
      <c r="AC298" s="83">
        <f t="shared" ref="AC298:AC309" si="4372">IF(AF298=0,0,IF(AF298&lt;0,IF($J298=6,AF298,IF($J298=5,AF298,IF($J298=4,AF298,0)))))</f>
        <v>0</v>
      </c>
      <c r="AD298" s="83">
        <f t="shared" ref="AD298:AD309" si="4373">IF(AF298=0,0,IF(AF298&lt;0,IF($J298=9,AF298,IF($J298=8,AF298,IF($J298=7,AF298,0)))))</f>
        <v>0</v>
      </c>
      <c r="AE298" s="84">
        <f t="shared" ref="AE298:AE309" si="4374">IF(AF298=0,0,IF(AF298&lt;0,IF($J298=12,AF298,IF($J298=11,AF298,IF($J298=10,AF298,0)))))</f>
        <v>0</v>
      </c>
      <c r="AF298" s="81">
        <f t="shared" ref="AF298:AF309" si="4375">IF(AF$5=$H298,-$E298,0)</f>
        <v>0</v>
      </c>
      <c r="AG298" s="82">
        <f t="shared" ref="AG298:AG309" si="4376">IF(AK298=0,0,IF(AK298&lt;0,IF($J298=3,AK298,IF($J298=2,AK298,IF($J298=1,AK298,0)))))</f>
        <v>0</v>
      </c>
      <c r="AH298" s="83">
        <f t="shared" ref="AH298:AH309" si="4377">IF(AK298=0,0,IF(AK298&lt;0,IF($J298=6,AK298,IF($J298=5,AK298,IF($J298=4,AK298,0)))))</f>
        <v>0</v>
      </c>
      <c r="AI298" s="83">
        <f t="shared" ref="AI298:AI309" si="4378">IF(AK298=0,0,IF(AK298&lt;0,IF($J298=9,AK298,IF($J298=8,AK298,IF($J298=7,AK298,0)))))</f>
        <v>0</v>
      </c>
      <c r="AJ298" s="84">
        <f t="shared" ref="AJ298:AJ309" si="4379">IF(AK298=0,0,IF(AK298&lt;0,IF($J298=12,AK298,IF($J298=11,AK298,IF($J298=10,AK298,0)))))</f>
        <v>0</v>
      </c>
      <c r="AK298" s="81">
        <f t="shared" ref="AK298:AK309" si="4380">IF(AK$5=$H298,-$E298,0)</f>
        <v>0</v>
      </c>
      <c r="AL298" s="82">
        <f t="shared" ref="AL298:AL309" si="4381">IF(AP298=0,0,IF(AP298&lt;0,IF($J298=3,AP298,IF($J298=2,AP298,IF($J298=1,AP298,0)))))</f>
        <v>0</v>
      </c>
      <c r="AM298" s="83">
        <f t="shared" ref="AM298:AM309" si="4382">IF(AP298=0,0,IF(AP298&lt;0,IF($J298=6,AP298,IF($J298=5,AP298,IF($J298=4,AP298,0)))))</f>
        <v>0</v>
      </c>
      <c r="AN298" s="83">
        <f t="shared" ref="AN298:AN309" si="4383">IF(AP298=0,0,IF(AP298&lt;0,IF($J298=9,AP298,IF($J298=8,AP298,IF($J298=7,AP298,0)))))</f>
        <v>0</v>
      </c>
      <c r="AO298" s="84">
        <f t="shared" ref="AO298:AO309" si="4384">IF(AP298=0,0,IF(AP298&lt;0,IF($J298=12,AP298,IF($J298=11,AP298,IF($J298=10,AP298,0)))))</f>
        <v>0</v>
      </c>
      <c r="AP298" s="81">
        <f t="shared" ref="AP298:AP309" si="4385">IF(AP$5=$H298,-$E298,0)</f>
        <v>0</v>
      </c>
      <c r="AQ298" s="82">
        <f t="shared" ref="AQ298:AQ300" si="4386">IF(AU298=0,0,IF(AU298&lt;0,IF($J298=3,AU298,IF($J298=2,AU298,IF($J298=1,AU298,0)))))</f>
        <v>0</v>
      </c>
      <c r="AR298" s="83">
        <f t="shared" ref="AR298:AR300" si="4387">IF(AU298=0,0,IF(AU298&lt;0,IF($J298=6,AU298,IF($J298=5,AU298,IF($J298=4,AU298,0)))))</f>
        <v>0</v>
      </c>
      <c r="AS298" s="83">
        <f t="shared" ref="AS298:AS300" si="4388">IF(AU298=0,0,IF(AU298&lt;0,IF($J298=9,AU298,IF($J298=8,AU298,IF($J298=7,AU298,0)))))</f>
        <v>0</v>
      </c>
      <c r="AT298" s="84">
        <f t="shared" ref="AT298:AT300" si="4389">IF(AU298=0,0,IF(AU298&lt;0,IF($J298=12,AU298,IF($J298=11,AU298,IF($J298=10,AU298,0)))))</f>
        <v>0</v>
      </c>
      <c r="AU298" s="81">
        <f t="shared" ref="AU298:AU309" si="4390">IF(AU$5=$H298,-$E298,0)</f>
        <v>0</v>
      </c>
      <c r="AV298" s="82">
        <f t="shared" ref="AV298:AV300" si="4391">IF(AZ298=0,0,IF(AZ298&lt;0,IF($J298=3,AZ298,IF($J298=2,AZ298,IF($J298=1,AZ298,0)))))</f>
        <v>0</v>
      </c>
      <c r="AW298" s="83">
        <f t="shared" ref="AW298:AW300" si="4392">IF(AZ298=0,0,IF(AZ298&lt;0,IF($J298=6,AZ298,IF($J298=5,AZ298,IF($J298=4,AZ298,0)))))</f>
        <v>0</v>
      </c>
      <c r="AX298" s="83">
        <f t="shared" ref="AX298:AX300" si="4393">IF(AZ298=0,0,IF(AZ298&lt;0,IF($J298=9,AZ298,IF($J298=8,AZ298,IF($J298=7,AZ298,0)))))</f>
        <v>0</v>
      </c>
      <c r="AY298" s="84">
        <f t="shared" ref="AY298:AY300" si="4394">IF(AZ298=0,0,IF(AZ298&lt;0,IF($J298=12,AZ298,IF($J298=11,AZ298,IF($J298=10,AZ298,0)))))</f>
        <v>0</v>
      </c>
      <c r="AZ298" s="81">
        <f t="shared" ref="AZ298:AZ309" si="4395">IF(AZ$5=$H298,-$E298,0)</f>
        <v>0</v>
      </c>
      <c r="BA298" s="82">
        <f t="shared" ref="BA298:BA300" si="4396">IF(BE298=0,0,IF(BE298&lt;0,IF($J298=3,BE298,IF($J298=2,BE298,IF($J298=1,BE298,0)))))</f>
        <v>0</v>
      </c>
      <c r="BB298" s="83">
        <f t="shared" ref="BB298:BB300" si="4397">IF(BE298=0,0,IF(BE298&lt;0,IF($J298=6,BE298,IF($J298=5,BE298,IF($J298=4,BE298,0)))))</f>
        <v>0</v>
      </c>
      <c r="BC298" s="83">
        <f t="shared" ref="BC298:BC300" si="4398">IF(BE298=0,0,IF(BE298&lt;0,IF($J298=9,BE298,IF($J298=8,BE298,IF($J298=7,BE298,0)))))</f>
        <v>0</v>
      </c>
      <c r="BD298" s="84">
        <f t="shared" ref="BD298:BD300" si="4399">IF(BE298=0,0,IF(BE298&lt;0,IF($J298=12,BE298,IF($J298=11,BE298,IF($J298=10,BE298,0)))))</f>
        <v>0</v>
      </c>
      <c r="BE298" s="81">
        <f t="shared" ref="BE298:BE309" si="4400">IF(BE$5=$H298,-$E298,0)</f>
        <v>0</v>
      </c>
      <c r="BF298" s="1877"/>
      <c r="BG298" s="2005">
        <f t="shared" ref="BG298:BG309" si="4401">IF(AND(BF298&lt;&gt;0,BF$5=$H298),-$I298*$E298-BF298,IF(BG$5=$H298,-$I298*$E298*(12-$J298+1)/12,0))</f>
        <v>0</v>
      </c>
      <c r="BH298" s="86">
        <f t="shared" ref="BH298:BH309" si="4402">IF($H298&lt;&gt;BL$5,0,IF(BL298&lt;0,IF($J298=1,-$E298*$I298/12*3,IF($J298=2,-$E298*$I298/12*2,IF($J298=3,-$E298*$I298/12*1,0)))))+IF(BG$5&lt;&gt;$H298,0,IF(BG298&lt;0,IF($J298=1,-$E298*$I298/12*0,IF($J298=2,-$E298*$I298/12*1,IF($J298=3,-$E298*$I298/12*2,IF($J298&gt;=4,-$E298*$I298/12*3,0))))))</f>
        <v>0</v>
      </c>
      <c r="BI298" s="87">
        <f t="shared" ref="BI298:BI309" si="4403">IF($H298&lt;&gt;BL$5,0,IF(BL298&lt;0,IF(OR($J298=1,$J298=2,$J298=3,$J298=4),-$E298*$I298/12*3,IF($J298=5,-$E298*$I298/12*2,IF($J298=6,-$E298*$I298/12*1,0)))))+IF(BG$5&lt;&gt;$H298,0,IF(BG298&lt;0,IF($J298=4,-$E298*$I298/12*0,IF($J298=5,-$E298*$I298/12*1,IF($J298=6,-$E298*$I298/12*2,IF($J298&gt;=7,-$E298*$I298/12*3,0))))))</f>
        <v>0</v>
      </c>
      <c r="BJ298" s="87">
        <f t="shared" ref="BJ298:BJ309" si="4404">IF($H298&lt;&gt;BL$5,0,IF(BL298&lt;0,IF(OR($J298=1,$J298=2,$J298=3,$J298=4,$J298=5,$J298=6,$J298=7),-$E298*$I298/12*3,IF($J298=8,-$E298*$I298/12*2,IF($J298=9,-$E298*$I298/12*1,0)))))+IF(BG$5&lt;&gt;$H298,0,IF(BG298&lt;0,IF($J298=7,-$E298*$I298/12*0,IF($J298=8,-$E298*$I298/12*1,IF($J298=9,-$E298*$I298/12*2,IF($J298&gt;=10,-$E298*$I298/12*3,0))))))</f>
        <v>0</v>
      </c>
      <c r="BK298" s="88">
        <f t="shared" ref="BK298:BK309" si="4405">IF($H298&lt;&gt;BL$5,0,IF(BL298&lt;0,IF(OR($J298=1,$J298=2,$J298=3,$J298=4,$J298=5,$J298=6,$J298=7,$J298=8,$J298=9,$J298=10),-$E298*$I298/12*3,IF($J298=11,-$E298*$I298/12*2,IF($J298=12,-$E298*$I298/12*1,0)))))+IF(BG$5&lt;&gt;$H298,0,IF(BG298&lt;0,IF($J298=10,-$E298*$I298/12*0,IF($J298=11,-$E298*$I298/12*1,IF($J298=12,-$E298*$I298/12*2,0)))))</f>
        <v>0</v>
      </c>
      <c r="BL298" s="85">
        <f t="shared" ref="BL298:BL309" si="4406">IF(AND(BG298&lt;&gt;0,BG$5=$H298),-$I298*$E298-BG298,IF(BL$5=$H298,-$I298*$E298*(12-$J298+1)/12,0))</f>
        <v>0</v>
      </c>
      <c r="BM298" s="86">
        <f t="shared" ref="BM298:BM309" si="4407">IF($H298&lt;&gt;BQ$5,0,IF(BQ298&lt;0,IF($J298=1,-$E298*$I298/12*3,IF($J298=2,-$E298*$I298/12*2,IF($J298=3,-$E298*$I298/12*1,0)))))+IF(BL$5&lt;&gt;$H298,0,IF(BL298&lt;0,IF($J298=1,-$E298*$I298/12*0,IF($J298=2,-$E298*$I298/12*1,IF($J298=3,-$E298*$I298/12*2,IF($J298&gt;=4,-$E298*$I298/12*3,0))))))</f>
        <v>0</v>
      </c>
      <c r="BN298" s="87">
        <f t="shared" ref="BN298:BN309" si="4408">IF($H298&lt;&gt;BQ$5,0,IF(BQ298&lt;0,IF(OR($J298=1,$J298=2,$J298=3,$J298=4),-$E298*$I298/12*3,IF($J298=5,-$E298*$I298/12*2,IF($J298=6,-$E298*$I298/12*1,0)))))+IF(BL$5&lt;&gt;$H298,0,IF(BL298&lt;0,IF($J298=4,-$E298*$I298/12*0,IF($J298=5,-$E298*$I298/12*1,IF($J298=6,-$E298*$I298/12*2,IF($J298&gt;=7,-$E298*$I298/12*3,0))))))</f>
        <v>0</v>
      </c>
      <c r="BO298" s="87">
        <f t="shared" ref="BO298:BO309" si="4409">IF($H298&lt;&gt;BQ$5,0,IF(BQ298&lt;0,IF(OR($J298=1,$J298=2,$J298=3,$J298=4,$J298=5,$J298=6,$J298=7),-$E298*$I298/12*3,IF($J298=8,-$E298*$I298/12*2,IF($J298=9,-$E298*$I298/12*1,0)))))+IF(BL$5&lt;&gt;$H298,0,IF(BL298&lt;0,IF($J298=7,-$E298*$I298/12*0,IF($J298=8,-$E298*$I298/12*1,IF($J298=9,-$E298*$I298/12*2,IF($J298&gt;=10,-$E298*$I298/12*3,0))))))</f>
        <v>0</v>
      </c>
      <c r="BP298" s="88">
        <f t="shared" ref="BP298:BP309" si="4410">IF($H298&lt;&gt;BQ$5,0,IF(BQ298&lt;0,IF(OR($J298=1,$J298=2,$J298=3,$J298=4,$J298=5,$J298=6,$J298=7,$J298=8,$J298=9,$J298=10),-$E298*$I298/12*3,IF($J298=11,-$E298*$I298/12*2,IF($J298=12,-$E298*$I298/12*1,0)))))+IF(BL$5&lt;&gt;$H298,0,IF(BL298&lt;0,IF($J298=10,-$E298*$I298/12*0,IF($J298=11,-$E298*$I298/12*1,IF($J298=12,-$E298*$I298/12*2,0)))))</f>
        <v>0</v>
      </c>
      <c r="BQ298" s="85">
        <f t="shared" ref="BQ298:BQ309" si="4411">IF(AND(BL298&lt;&gt;0,BL$5=$H298),-$I298*$E298-BL298,IF(BQ$5=$H298,-$I298*$E298*(12-$J298+1)/12,0))</f>
        <v>0</v>
      </c>
      <c r="BR298" s="86">
        <f t="shared" ref="BR298:BR309" si="4412">IF($H298&lt;&gt;BV$5,0,IF(BV298&lt;0,IF($J298=1,-$E298*$I298/12*3,IF($J298=2,-$E298*$I298/12*2,IF($J298=3,-$E298*$I298/12*1,0)))))+IF(BQ$5&lt;&gt;$H298,0,IF(BQ298&lt;0,IF($J298=1,-$E298*$I298/12*0,IF($J298=2,-$E298*$I298/12*1,IF($J298=3,-$E298*$I298/12*2,IF($J298&gt;=4,-$E298*$I298/12*3,0))))))</f>
        <v>0</v>
      </c>
      <c r="BS298" s="87">
        <f t="shared" ref="BS298:BS309" si="4413">IF($H298&lt;&gt;BV$5,0,IF(BV298&lt;0,IF(OR($J298=1,$J298=2,$J298=3,$J298=4),-$E298*$I298/12*3,IF($J298=5,-$E298*$I298/12*2,IF($J298=6,-$E298*$I298/12*1,0)))))+IF(BQ$5&lt;&gt;$H298,0,IF(BQ298&lt;0,IF($J298=4,-$E298*$I298/12*0,IF($J298=5,-$E298*$I298/12*1,IF($J298=6,-$E298*$I298/12*2,IF($J298&gt;=7,-$E298*$I298/12*3,0))))))</f>
        <v>0</v>
      </c>
      <c r="BT298" s="87">
        <f t="shared" ref="BT298:BT309" si="4414">IF($H298&lt;&gt;BV$5,0,IF(BV298&lt;0,IF(OR($J298=1,$J298=2,$J298=3,$J298=4,$J298=5,$J298=6,$J298=7),-$E298*$I298/12*3,IF($J298=8,-$E298*$I298/12*2,IF($J298=9,-$E298*$I298/12*1,0)))))+IF(BQ$5&lt;&gt;$H298,0,IF(BQ298&lt;0,IF($J298=7,-$E298*$I298/12*0,IF($J298=8,-$E298*$I298/12*1,IF($J298=9,-$E298*$I298/12*2,IF($J298&gt;=10,-$E298*$I298/12*3,0))))))</f>
        <v>0</v>
      </c>
      <c r="BU298" s="88">
        <f t="shared" ref="BU298:BU309" si="4415">IF($H298&lt;&gt;BV$5,0,IF(BV298&lt;0,IF(OR($J298=1,$J298=2,$J298=3,$J298=4,$J298=5,$J298=6,$J298=7,$J298=8,$J298=9,$J298=10),-$E298*$I298/12*3,IF($J298=11,-$E298*$I298/12*2,IF($J298=12,-$E298*$I298/12*1,0)))))+IF(BQ$5&lt;&gt;$H298,0,IF(BQ298&lt;0,IF($J298=10,-$E298*$I298/12*0,IF($J298=11,-$E298*$I298/12*1,IF($J298=12,-$E298*$I298/12*2,0)))))</f>
        <v>0</v>
      </c>
      <c r="BV298" s="85">
        <f t="shared" ref="BV298:BV309" si="4416">IF(AND(BQ298&lt;&gt;0,BQ$5=$H298),-$I298*$E298-BQ298,IF(BV$5=$H298,-$I298*$E298*(12-$J298+1)/12,0))</f>
        <v>0</v>
      </c>
      <c r="BW298" s="86">
        <f t="shared" ref="BW298:BW309" si="4417">IF($H298&lt;&gt;CA$5,0,IF(CA298&lt;0,IF($J298=1,-$E298*$I298/12*3,IF($J298=2,-$E298*$I298/12*2,IF($J298=3,-$E298*$I298/12*1,0)))))+IF(BV$5&lt;&gt;$H298,0,IF(BV298&lt;0,IF($J298=1,-$E298*$I298/12*0,IF($J298=2,-$E298*$I298/12*1,IF($J298=3,-$E298*$I298/12*2,IF($J298&gt;=4,-$E298*$I298/12*3,0))))))</f>
        <v>0</v>
      </c>
      <c r="BX298" s="87">
        <f t="shared" ref="BX298:BX309" si="4418">IF($H298&lt;&gt;CA$5,0,IF(CA298&lt;0,IF(OR($J298=1,$J298=2,$J298=3,$J298=4),-$E298*$I298/12*3,IF($J298=5,-$E298*$I298/12*2,IF($J298=6,-$E298*$I298/12*1,0)))))+IF(BV$5&lt;&gt;$H298,0,IF(BV298&lt;0,IF($J298=4,-$E298*$I298/12*0,IF($J298=5,-$E298*$I298/12*1,IF($J298=6,-$E298*$I298/12*2,IF($J298&gt;=7,-$E298*$I298/12*3,0))))))</f>
        <v>0</v>
      </c>
      <c r="BY298" s="87">
        <f t="shared" ref="BY298:BY309" si="4419">IF($H298&lt;&gt;CA$5,0,IF(CA298&lt;0,IF(OR($J298=1,$J298=2,$J298=3,$J298=4,$J298=5,$J298=6,$J298=7),-$E298*$I298/12*3,IF($J298=8,-$E298*$I298/12*2,IF($J298=9,-$E298*$I298/12*1,0)))))+IF(BV$5&lt;&gt;$H298,0,IF(BV298&lt;0,IF($J298=7,-$E298*$I298/12*0,IF($J298=8,-$E298*$I298/12*1,IF($J298=9,-$E298*$I298/12*2,IF($J298&gt;=10,-$E298*$I298/12*3,0))))))</f>
        <v>0</v>
      </c>
      <c r="BZ298" s="88">
        <f t="shared" ref="BZ298:BZ309" si="4420">IF($H298&lt;&gt;CA$5,0,IF(CA298&lt;0,IF(OR($J298=1,$J298=2,$J298=3,$J298=4,$J298=5,$J298=6,$J298=7,$J298=8,$J298=9,$J298=10),-$E298*$I298/12*3,IF($J298=11,-$E298*$I298/12*2,IF($J298=12,-$E298*$I298/12*1,0)))))+IF(BV$5&lt;&gt;$H298,0,IF(BV298&lt;0,IF($J298=10,-$E298*$I298/12*0,IF($J298=11,-$E298*$I298/12*1,IF($J298=12,-$E298*$I298/12*2,0)))))</f>
        <v>0</v>
      </c>
      <c r="CA298" s="85">
        <f t="shared" ref="CA298:CA309" si="4421">IF(AND(BV298&lt;&gt;0,BV$5=$H298),-$I298*$E298-BV298,IF(CA$5=$H298,-$I298*$E298*(12-$J298+1)/12,0))</f>
        <v>0</v>
      </c>
      <c r="CB298" s="86">
        <f t="shared" ref="CB298:CB309" si="4422">IF($H298&lt;&gt;CF$5,0,IF(CF298&lt;0,IF($J298=1,-$E298*$I298/12*3,IF($J298=2,-$E298*$I298/12*2,IF($J298=3,-$E298*$I298/12*1,0)))))+IF(CA$5&lt;&gt;$H298,0,IF(CA298&lt;0,IF($J298=1,-$E298*$I298/12*0,IF($J298=2,-$E298*$I298/12*1,IF($J298=3,-$E298*$I298/12*2,IF($J298&gt;=4,-$E298*$I298/12*3,0))))))</f>
        <v>0</v>
      </c>
      <c r="CC298" s="87">
        <f t="shared" ref="CC298:CC309" si="4423">IF($H298&lt;&gt;CF$5,0,IF(CF298&lt;0,IF(OR($J298=1,$J298=2,$J298=3,$J298=4),-$E298*$I298/12*3,IF($J298=5,-$E298*$I298/12*2,IF($J298=6,-$E298*$I298/12*1,0)))))+IF(CA$5&lt;&gt;$H298,0,IF(CA298&lt;0,IF($J298=4,-$E298*$I298/12*0,IF($J298=5,-$E298*$I298/12*1,IF($J298=6,-$E298*$I298/12*2,IF($J298&gt;=7,-$E298*$I298/12*3,0))))))</f>
        <v>0</v>
      </c>
      <c r="CD298" s="87">
        <f t="shared" ref="CD298:CD309" si="4424">IF($H298&lt;&gt;CF$5,0,IF(CF298&lt;0,IF(OR($J298=1,$J298=2,$J298=3,$J298=4,$J298=5,$J298=6,$J298=7),-$E298*$I298/12*3,IF($J298=8,-$E298*$I298/12*2,IF($J298=9,-$E298*$I298/12*1,0)))))+IF(CA$5&lt;&gt;$H298,0,IF(CA298&lt;0,IF($J298=7,-$E298*$I298/12*0,IF($J298=8,-$E298*$I298/12*1,IF($J298=9,-$E298*$I298/12*2,IF($J298&gt;=10,-$E298*$I298/12*3,0))))))</f>
        <v>0</v>
      </c>
      <c r="CE298" s="88">
        <f t="shared" ref="CE298:CE309" si="4425">IF($H298&lt;&gt;CF$5,0,IF(CF298&lt;0,IF(OR($J298=1,$J298=2,$J298=3,$J298=4,$J298=5,$J298=6,$J298=7,$J298=8,$J298=9,$J298=10),-$E298*$I298/12*3,IF($J298=11,-$E298*$I298/12*2,IF($J298=12,-$E298*$I298/12*1,0)))))+IF(CA$5&lt;&gt;$H298,0,IF(CA298&lt;0,IF($J298=10,-$E298*$I298/12*0,IF($J298=11,-$E298*$I298/12*1,IF($J298=12,-$E298*$I298/12*2,0)))))</f>
        <v>0</v>
      </c>
      <c r="CF298" s="85">
        <f t="shared" ref="CF298:CF309" si="4426">IF(AND(CA298&lt;&gt;0,CA$5=$H298),-$I298*$E298-CA298,IF(CF$5=$H298,-$I298*$E298*(12-$J298+1)/12,0))</f>
        <v>0</v>
      </c>
      <c r="CG298" s="86">
        <f t="shared" ref="CG298:CG309" si="4427">IF($H298&lt;&gt;CK$5,0,IF(CK298&lt;0,IF($J298=1,-$E298*$I298/12*3,IF($J298=2,-$E298*$I298/12*2,IF($J298=3,-$E298*$I298/12*1,0)))))+IF(CF$5&lt;&gt;$H298,0,IF(CF298&lt;0,IF($J298=1,-$E298*$I298/12*0,IF($J298=2,-$E298*$I298/12*1,IF($J298=3,-$E298*$I298/12*2,IF($J298&gt;=4,-$E298*$I298/12*3,0))))))</f>
        <v>0</v>
      </c>
      <c r="CH298" s="87">
        <f t="shared" ref="CH298:CH309" si="4428">IF($H298&lt;&gt;CK$5,0,IF(CK298&lt;0,IF(OR($J298=1,$J298=2,$J298=3,$J298=4),-$E298*$I298/12*3,IF($J298=5,-$E298*$I298/12*2,IF($J298=6,-$E298*$I298/12*1,0)))))+IF(CF$5&lt;&gt;$H298,0,IF(CF298&lt;0,IF($J298=4,-$E298*$I298/12*0,IF($J298=5,-$E298*$I298/12*1,IF($J298=6,-$E298*$I298/12*2,IF($J298&gt;=7,-$E298*$I298/12*3,0))))))</f>
        <v>0</v>
      </c>
      <c r="CI298" s="87">
        <f t="shared" ref="CI298:CI309" si="4429">IF($H298&lt;&gt;CK$5,0,IF(CK298&lt;0,IF(OR($J298=1,$J298=2,$J298=3,$J298=4,$J298=5,$J298=6,$J298=7),-$E298*$I298/12*3,IF($J298=8,-$E298*$I298/12*2,IF($J298=9,-$E298*$I298/12*1,0)))))+IF(CF$5&lt;&gt;$H298,0,IF(CF298&lt;0,IF($J298=7,-$E298*$I298/12*0,IF($J298=8,-$E298*$I298/12*1,IF($J298=9,-$E298*$I298/12*2,IF($J298&gt;=10,-$E298*$I298/12*3,0))))))</f>
        <v>0</v>
      </c>
      <c r="CJ298" s="88">
        <f t="shared" ref="CJ298:CJ309" si="4430">IF($H298&lt;&gt;CK$5,0,IF(CK298&lt;0,IF(OR($J298=1,$J298=2,$J298=3,$J298=4,$J298=5,$J298=6,$J298=7,$J298=8,$J298=9,$J298=10),-$E298*$I298/12*3,IF($J298=11,-$E298*$I298/12*2,IF($J298=12,-$E298*$I298/12*1,0)))))+IF(CF$5&lt;&gt;$H298,0,IF(CF298&lt;0,IF($J298=10,-$E298*$I298/12*0,IF($J298=11,-$E298*$I298/12*1,IF($J298=12,-$E298*$I298/12*2,0)))))</f>
        <v>0</v>
      </c>
      <c r="CK298" s="85">
        <f t="shared" ref="CK298:CK309" si="4431">IF(AND(CF298&lt;&gt;0,CF$5=$H298),-$I298*$E298-CF298,IF(CK$5=$H298,-$I298*$E298*(12-$J298+1)/12,0))</f>
        <v>0</v>
      </c>
      <c r="CL298" s="86">
        <f t="shared" ref="CL298:CL300" si="4432">IF($H298&lt;&gt;CP$5,0,IF(CP298&lt;0,IF($J298=1,-$E298*$I298/12*3,IF($J298=2,-$E298*$I298/12*2,IF($J298=3,-$E298*$I298/12*1,0)))))+IF(CK$5&lt;&gt;$H298,0,IF(CK298&lt;0,IF($J298=1,-$E298*$I298/12*0,IF($J298=2,-$E298*$I298/12*1,IF($J298=3,-$E298*$I298/12*2,IF($J298&gt;=4,-$E298*$I298/12*3,0))))))</f>
        <v>0</v>
      </c>
      <c r="CM298" s="87">
        <f t="shared" ref="CM298:CM300" si="4433">IF($H298&lt;&gt;CP$5,0,IF(CP298&lt;0,IF(OR($J298=1,$J298=2,$J298=3,$J298=4),-$E298*$I298/12*3,IF($J298=5,-$E298*$I298/12*2,IF($J298=6,-$E298*$I298/12*1,0)))))+IF(CK$5&lt;&gt;$H298,0,IF(CK298&lt;0,IF($J298=4,-$E298*$I298/12*0,IF($J298=5,-$E298*$I298/12*1,IF($J298=6,-$E298*$I298/12*2,IF($J298&gt;=7,-$E298*$I298/12*3,0))))))</f>
        <v>0</v>
      </c>
      <c r="CN298" s="87">
        <f t="shared" ref="CN298:CN300" si="4434">IF($H298&lt;&gt;CP$5,0,IF(CP298&lt;0,IF(OR($J298=1,$J298=2,$J298=3,$J298=4,$J298=5,$J298=6,$J298=7),-$E298*$I298/12*3,IF($J298=8,-$E298*$I298/12*2,IF($J298=9,-$E298*$I298/12*1,0)))))+IF(CK$5&lt;&gt;$H298,0,IF(CK298&lt;0,IF($J298=7,-$E298*$I298/12*0,IF($J298=8,-$E298*$I298/12*1,IF($J298=9,-$E298*$I298/12*2,IF($J298&gt;=10,-$E298*$I298/12*3,0))))))</f>
        <v>0</v>
      </c>
      <c r="CO298" s="88">
        <f t="shared" ref="CO298:CO300" si="4435">IF($H298&lt;&gt;CP$5,0,IF(CP298&lt;0,IF(OR($J298=1,$J298=2,$J298=3,$J298=4,$J298=5,$J298=6,$J298=7,$J298=8,$J298=9,$J298=10),-$E298*$I298/12*3,IF($J298=11,-$E298*$I298/12*2,IF($J298=12,-$E298*$I298/12*1,0)))))+IF(CK$5&lt;&gt;$H298,0,IF(CK298&lt;0,IF($J298=10,-$E298*$I298/12*0,IF($J298=11,-$E298*$I298/12*1,IF($J298=12,-$E298*$I298/12*2,0)))))</f>
        <v>0</v>
      </c>
      <c r="CP298" s="85">
        <f t="shared" ref="CP298:CP300" si="4436">IF(AND(CK298&lt;&gt;0,CK$5=$H298),-$I298*$E298-CK298,IF(CP$5=$H298,-$I298*$E298*(12-$J298+1)/12,0))</f>
        <v>0</v>
      </c>
      <c r="CQ298" s="86">
        <f t="shared" ref="CQ298:CQ300" si="4437">IF($H298&lt;&gt;CU$5,0,IF(CU298&lt;0,IF($J298=1,-$E298*$I298/12*3,IF($J298=2,-$E298*$I298/12*2,IF($J298=3,-$E298*$I298/12*1,0)))))+IF(CP$5&lt;&gt;$H298,0,IF(CP298&lt;0,IF($J298=1,-$E298*$I298/12*0,IF($J298=2,-$E298*$I298/12*1,IF($J298=3,-$E298*$I298/12*2,IF($J298&gt;=4,-$E298*$I298/12*3,0))))))</f>
        <v>0</v>
      </c>
      <c r="CR298" s="87">
        <f t="shared" ref="CR298:CR300" si="4438">IF($H298&lt;&gt;CU$5,0,IF(CU298&lt;0,IF(OR($J298=1,$J298=2,$J298=3,$J298=4),-$E298*$I298/12*3,IF($J298=5,-$E298*$I298/12*2,IF($J298=6,-$E298*$I298/12*1,0)))))+IF(CP$5&lt;&gt;$H298,0,IF(CP298&lt;0,IF($J298=4,-$E298*$I298/12*0,IF($J298=5,-$E298*$I298/12*1,IF($J298=6,-$E298*$I298/12*2,IF($J298&gt;=7,-$E298*$I298/12*3,0))))))</f>
        <v>0</v>
      </c>
      <c r="CS298" s="87">
        <f t="shared" ref="CS298:CS300" si="4439">IF($H298&lt;&gt;CU$5,0,IF(CU298&lt;0,IF(OR($J298=1,$J298=2,$J298=3,$J298=4,$J298=5,$J298=6,$J298=7),-$E298*$I298/12*3,IF($J298=8,-$E298*$I298/12*2,IF($J298=9,-$E298*$I298/12*1,0)))))+IF(CP$5&lt;&gt;$H298,0,IF(CP298&lt;0,IF($J298=7,-$E298*$I298/12*0,IF($J298=8,-$E298*$I298/12*1,IF($J298=9,-$E298*$I298/12*2,IF($J298&gt;=10,-$E298*$I298/12*3,0))))))</f>
        <v>0</v>
      </c>
      <c r="CT298" s="88">
        <f t="shared" ref="CT298:CT300" si="4440">IF($H298&lt;&gt;CU$5,0,IF(CU298&lt;0,IF(OR($J298=1,$J298=2,$J298=3,$J298=4,$J298=5,$J298=6,$J298=7,$J298=8,$J298=9,$J298=10),-$E298*$I298/12*3,IF($J298=11,-$E298*$I298/12*2,IF($J298=12,-$E298*$I298/12*1,0)))))+IF(CP$5&lt;&gt;$H298,0,IF(CP298&lt;0,IF($J298=10,-$E298*$I298/12*0,IF($J298=11,-$E298*$I298/12*1,IF($J298=12,-$E298*$I298/12*2,0)))))</f>
        <v>0</v>
      </c>
      <c r="CU298" s="85">
        <f t="shared" ref="CU298:CU300" si="4441">IF(AND(CP298&lt;&gt;0,CP$5=$H298),-$I298*$E298-CP298,IF(CU$5=$H298,-$I298*$E298*(12-$J298+1)/12,0))</f>
        <v>0</v>
      </c>
      <c r="CV298" s="86">
        <f t="shared" ref="CV298:CV300" si="4442">IF($H298&lt;&gt;CZ$5,0,IF(CZ298&lt;0,IF($J298=1,-$E298*$I298/12*3,IF($J298=2,-$E298*$I298/12*2,IF($J298=3,-$E298*$I298/12*1,0)))))+IF(CU$5&lt;&gt;$H298,0,IF(CU298&lt;0,IF($J298=1,-$E298*$I298/12*0,IF($J298=2,-$E298*$I298/12*1,IF($J298=3,-$E298*$I298/12*2,IF($J298&gt;=4,-$E298*$I298/12*3,0))))))</f>
        <v>0</v>
      </c>
      <c r="CW298" s="87">
        <f t="shared" ref="CW298:CW300" si="4443">IF($H298&lt;&gt;CZ$5,0,IF(CZ298&lt;0,IF(OR($J298=1,$J298=2,$J298=3,$J298=4),-$E298*$I298/12*3,IF($J298=5,-$E298*$I298/12*2,IF($J298=6,-$E298*$I298/12*1,0)))))+IF(CU$5&lt;&gt;$H298,0,IF(CU298&lt;0,IF($J298=4,-$E298*$I298/12*0,IF($J298=5,-$E298*$I298/12*1,IF($J298=6,-$E298*$I298/12*2,IF($J298&gt;=7,-$E298*$I298/12*3,0))))))</f>
        <v>0</v>
      </c>
      <c r="CX298" s="87">
        <f t="shared" ref="CX298:CX300" si="4444">IF($H298&lt;&gt;CZ$5,0,IF(CZ298&lt;0,IF(OR($J298=1,$J298=2,$J298=3,$J298=4,$J298=5,$J298=6,$J298=7),-$E298*$I298/12*3,IF($J298=8,-$E298*$I298/12*2,IF($J298=9,-$E298*$I298/12*1,0)))))+IF(CU$5&lt;&gt;$H298,0,IF(CU298&lt;0,IF($J298=7,-$E298*$I298/12*0,IF($J298=8,-$E298*$I298/12*1,IF($J298=9,-$E298*$I298/12*2,IF($J298&gt;=10,-$E298*$I298/12*3,0))))))</f>
        <v>0</v>
      </c>
      <c r="CY298" s="88">
        <f t="shared" ref="CY298:CY300" si="4445">IF($H298&lt;&gt;CZ$5,0,IF(CZ298&lt;0,IF(OR($J298=1,$J298=2,$J298=3,$J298=4,$J298=5,$J298=6,$J298=7,$J298=8,$J298=9,$J298=10),-$E298*$I298/12*3,IF($J298=11,-$E298*$I298/12*2,IF($J298=12,-$E298*$I298/12*1,0)))))+IF(CU$5&lt;&gt;$H298,0,IF(CU298&lt;0,IF($J298=10,-$E298*$I298/12*0,IF($J298=11,-$E298*$I298/12*1,IF($J298=12,-$E298*$I298/12*2,0)))))</f>
        <v>0</v>
      </c>
      <c r="CZ298" s="85">
        <f t="shared" ref="CZ298:CZ300" si="4446">IF(AND(CU298&lt;&gt;0,CU$5=$H298),-$I298*$E298-CU298,IF(CZ$5=$H298,-$I298*$E298*(12-$J298+1)/12,0))</f>
        <v>0</v>
      </c>
    </row>
    <row r="299" spans="1:104" ht="12.75" customHeight="1">
      <c r="A299" s="1817"/>
      <c r="B299" s="2128"/>
      <c r="C299" s="2119">
        <v>0.04</v>
      </c>
      <c r="D299" s="139"/>
      <c r="E299" s="2115">
        <f>IF(F299=0,G299,F299)</f>
        <v>250</v>
      </c>
      <c r="F299" s="2313">
        <v>250</v>
      </c>
      <c r="G299" s="1511">
        <v>250</v>
      </c>
      <c r="H299" s="1510">
        <v>2042</v>
      </c>
      <c r="I299" s="1831">
        <v>0.04</v>
      </c>
      <c r="J299" s="1832">
        <v>6</v>
      </c>
      <c r="L299" s="2001">
        <f t="shared" si="4355"/>
        <v>0</v>
      </c>
      <c r="M299" s="82">
        <f t="shared" ref="M299" si="4447">IF(Q299=0,0,IF(Q299&lt;0,IF($J299=3,Q299,IF($J299=2,Q299,IF($J299=1,Q299,0)))))</f>
        <v>0</v>
      </c>
      <c r="N299" s="83">
        <f t="shared" ref="N299" si="4448">IF(Q299=0,0,IF(Q299&lt;0,IF($J299=6,Q299,IF($J299=5,Q299,IF($J299=4,Q299,0)))))</f>
        <v>0</v>
      </c>
      <c r="O299" s="83">
        <f t="shared" ref="O299" si="4449">IF(Q299=0,0,IF(Q299&lt;0,IF($J299=9,Q299,IF($J299=8,Q299,IF($J299=7,Q299,0)))))</f>
        <v>0</v>
      </c>
      <c r="P299" s="84">
        <f t="shared" ref="P299" si="4450">IF(Q299=0,0,IF(Q299&lt;0,IF($J299=12,Q299,IF($J299=11,Q299,IF($J299=10,Q299,0)))))</f>
        <v>0</v>
      </c>
      <c r="Q299" s="81">
        <f t="shared" si="4360"/>
        <v>0</v>
      </c>
      <c r="R299" s="82">
        <f t="shared" ref="R299" si="4451">IF(V299=0,0,IF(V299&lt;0,IF($J299=3,V299,IF($J299=2,V299,IF($J299=1,V299,0)))))</f>
        <v>0</v>
      </c>
      <c r="S299" s="83">
        <f t="shared" ref="S299" si="4452">IF(V299=0,0,IF(V299&lt;0,IF($J299=6,V299,IF($J299=5,V299,IF($J299=4,V299,0)))))</f>
        <v>0</v>
      </c>
      <c r="T299" s="83">
        <f t="shared" ref="T299" si="4453">IF(V299=0,0,IF(V299&lt;0,IF($J299=9,V299,IF($J299=8,V299,IF($J299=7,V299,0)))))</f>
        <v>0</v>
      </c>
      <c r="U299" s="84">
        <f t="shared" ref="U299" si="4454">IF(V299=0,0,IF(V299&lt;0,IF($J299=12,V299,IF($J299=11,V299,IF($J299=10,V299,0)))))</f>
        <v>0</v>
      </c>
      <c r="V299" s="81">
        <f t="shared" si="4365"/>
        <v>0</v>
      </c>
      <c r="W299" s="82">
        <f t="shared" ref="W299" si="4455">IF(AA299=0,0,IF(AA299&lt;0,IF($J299=3,AA299,IF($J299=2,AA299,IF($J299=1,AA299,0)))))</f>
        <v>0</v>
      </c>
      <c r="X299" s="83">
        <f t="shared" ref="X299" si="4456">IF(AA299=0,0,IF(AA299&lt;0,IF($J299=6,AA299,IF($J299=5,AA299,IF($J299=4,AA299,0)))))</f>
        <v>0</v>
      </c>
      <c r="Y299" s="83">
        <f t="shared" ref="Y299" si="4457">IF(AA299=0,0,IF(AA299&lt;0,IF($J299=9,AA299,IF($J299=8,AA299,IF($J299=7,AA299,0)))))</f>
        <v>0</v>
      </c>
      <c r="Z299" s="84">
        <f t="shared" ref="Z299" si="4458">IF(AA299=0,0,IF(AA299&lt;0,IF($J299=12,AA299,IF($J299=11,AA299,IF($J299=10,AA299,0)))))</f>
        <v>0</v>
      </c>
      <c r="AA299" s="81">
        <f t="shared" si="4370"/>
        <v>0</v>
      </c>
      <c r="AB299" s="82">
        <f t="shared" ref="AB299" si="4459">IF(AF299=0,0,IF(AF299&lt;0,IF($J299=3,AF299,IF($J299=2,AF299,IF($J299=1,AF299,0)))))</f>
        <v>0</v>
      </c>
      <c r="AC299" s="83">
        <f t="shared" ref="AC299" si="4460">IF(AF299=0,0,IF(AF299&lt;0,IF($J299=6,AF299,IF($J299=5,AF299,IF($J299=4,AF299,0)))))</f>
        <v>0</v>
      </c>
      <c r="AD299" s="83">
        <f t="shared" ref="AD299" si="4461">IF(AF299=0,0,IF(AF299&lt;0,IF($J299=9,AF299,IF($J299=8,AF299,IF($J299=7,AF299,0)))))</f>
        <v>0</v>
      </c>
      <c r="AE299" s="84">
        <f t="shared" ref="AE299" si="4462">IF(AF299=0,0,IF(AF299&lt;0,IF($J299=12,AF299,IF($J299=11,AF299,IF($J299=10,AF299,0)))))</f>
        <v>0</v>
      </c>
      <c r="AF299" s="81">
        <f t="shared" si="4375"/>
        <v>0</v>
      </c>
      <c r="AG299" s="82">
        <f t="shared" ref="AG299" si="4463">IF(AK299=0,0,IF(AK299&lt;0,IF($J299=3,AK299,IF($J299=2,AK299,IF($J299=1,AK299,0)))))</f>
        <v>0</v>
      </c>
      <c r="AH299" s="83">
        <f t="shared" ref="AH299" si="4464">IF(AK299=0,0,IF(AK299&lt;0,IF($J299=6,AK299,IF($J299=5,AK299,IF($J299=4,AK299,0)))))</f>
        <v>0</v>
      </c>
      <c r="AI299" s="83">
        <f t="shared" ref="AI299" si="4465">IF(AK299=0,0,IF(AK299&lt;0,IF($J299=9,AK299,IF($J299=8,AK299,IF($J299=7,AK299,0)))))</f>
        <v>0</v>
      </c>
      <c r="AJ299" s="84">
        <f t="shared" ref="AJ299" si="4466">IF(AK299=0,0,IF(AK299&lt;0,IF($J299=12,AK299,IF($J299=11,AK299,IF($J299=10,AK299,0)))))</f>
        <v>0</v>
      </c>
      <c r="AK299" s="81">
        <f t="shared" si="4380"/>
        <v>0</v>
      </c>
      <c r="AL299" s="82">
        <f t="shared" ref="AL299" si="4467">IF(AP299=0,0,IF(AP299&lt;0,IF($J299=3,AP299,IF($J299=2,AP299,IF($J299=1,AP299,0)))))</f>
        <v>0</v>
      </c>
      <c r="AM299" s="83">
        <f t="shared" ref="AM299" si="4468">IF(AP299=0,0,IF(AP299&lt;0,IF($J299=6,AP299,IF($J299=5,AP299,IF($J299=4,AP299,0)))))</f>
        <v>0</v>
      </c>
      <c r="AN299" s="83">
        <f t="shared" ref="AN299" si="4469">IF(AP299=0,0,IF(AP299&lt;0,IF($J299=9,AP299,IF($J299=8,AP299,IF($J299=7,AP299,0)))))</f>
        <v>0</v>
      </c>
      <c r="AO299" s="84">
        <f t="shared" ref="AO299" si="4470">IF(AP299=0,0,IF(AP299&lt;0,IF($J299=12,AP299,IF($J299=11,AP299,IF($J299=10,AP299,0)))))</f>
        <v>0</v>
      </c>
      <c r="AP299" s="81">
        <f t="shared" si="4385"/>
        <v>0</v>
      </c>
      <c r="AQ299" s="82">
        <f t="shared" ref="AQ299" si="4471">IF(AU299=0,0,IF(AU299&lt;0,IF($J299=3,AU299,IF($J299=2,AU299,IF($J299=1,AU299,0)))))</f>
        <v>0</v>
      </c>
      <c r="AR299" s="83">
        <f t="shared" ref="AR299" si="4472">IF(AU299=0,0,IF(AU299&lt;0,IF($J299=6,AU299,IF($J299=5,AU299,IF($J299=4,AU299,0)))))</f>
        <v>0</v>
      </c>
      <c r="AS299" s="83">
        <f t="shared" ref="AS299" si="4473">IF(AU299=0,0,IF(AU299&lt;0,IF($J299=9,AU299,IF($J299=8,AU299,IF($J299=7,AU299,0)))))</f>
        <v>0</v>
      </c>
      <c r="AT299" s="84">
        <f t="shared" ref="AT299" si="4474">IF(AU299=0,0,IF(AU299&lt;0,IF($J299=12,AU299,IF($J299=11,AU299,IF($J299=10,AU299,0)))))</f>
        <v>0</v>
      </c>
      <c r="AU299" s="81">
        <f t="shared" si="4390"/>
        <v>0</v>
      </c>
      <c r="AV299" s="82">
        <f t="shared" ref="AV299" si="4475">IF(AZ299=0,0,IF(AZ299&lt;0,IF($J299=3,AZ299,IF($J299=2,AZ299,IF($J299=1,AZ299,0)))))</f>
        <v>0</v>
      </c>
      <c r="AW299" s="83">
        <f t="shared" ref="AW299" si="4476">IF(AZ299=0,0,IF(AZ299&lt;0,IF($J299=6,AZ299,IF($J299=5,AZ299,IF($J299=4,AZ299,0)))))</f>
        <v>0</v>
      </c>
      <c r="AX299" s="83">
        <f t="shared" ref="AX299" si="4477">IF(AZ299=0,0,IF(AZ299&lt;0,IF($J299=9,AZ299,IF($J299=8,AZ299,IF($J299=7,AZ299,0)))))</f>
        <v>0</v>
      </c>
      <c r="AY299" s="84">
        <f t="shared" ref="AY299" si="4478">IF(AZ299=0,0,IF(AZ299&lt;0,IF($J299=12,AZ299,IF($J299=11,AZ299,IF($J299=10,AZ299,0)))))</f>
        <v>0</v>
      </c>
      <c r="AZ299" s="81">
        <f t="shared" si="4395"/>
        <v>0</v>
      </c>
      <c r="BA299" s="82">
        <f t="shared" si="4396"/>
        <v>0</v>
      </c>
      <c r="BB299" s="83">
        <f t="shared" si="4397"/>
        <v>0</v>
      </c>
      <c r="BC299" s="83">
        <f t="shared" si="4398"/>
        <v>0</v>
      </c>
      <c r="BD299" s="84">
        <f t="shared" si="4399"/>
        <v>0</v>
      </c>
      <c r="BE299" s="81">
        <f t="shared" si="4400"/>
        <v>0</v>
      </c>
      <c r="BF299" s="1877"/>
      <c r="BG299" s="2005">
        <f t="shared" ref="BG299" si="4479">IF(AND(BF299&lt;&gt;0,BF$5=$H299),-$I299*$E299-BF299,IF(BG$5=$H299,-$I299*$E299*(12-$J299+1)/12,0))</f>
        <v>0</v>
      </c>
      <c r="BH299" s="86">
        <f t="shared" ref="BH299" si="4480">IF($H299&lt;&gt;BL$5,0,IF(BL299&lt;0,IF($J299=1,-$E299*$I299/12*3,IF($J299=2,-$E299*$I299/12*2,IF($J299=3,-$E299*$I299/12*1,0)))))+IF(BG$5&lt;&gt;$H299,0,IF(BG299&lt;0,IF($J299=1,-$E299*$I299/12*0,IF($J299=2,-$E299*$I299/12*1,IF($J299=3,-$E299*$I299/12*2,IF($J299&gt;=4,-$E299*$I299/12*3,0))))))</f>
        <v>0</v>
      </c>
      <c r="BI299" s="87">
        <f t="shared" ref="BI299" si="4481">IF($H299&lt;&gt;BL$5,0,IF(BL299&lt;0,IF(OR($J299=1,$J299=2,$J299=3,$J299=4),-$E299*$I299/12*3,IF($J299=5,-$E299*$I299/12*2,IF($J299=6,-$E299*$I299/12*1,0)))))+IF(BG$5&lt;&gt;$H299,0,IF(BG299&lt;0,IF($J299=4,-$E299*$I299/12*0,IF($J299=5,-$E299*$I299/12*1,IF($J299=6,-$E299*$I299/12*2,IF($J299&gt;=7,-$E299*$I299/12*3,0))))))</f>
        <v>0</v>
      </c>
      <c r="BJ299" s="87">
        <f t="shared" ref="BJ299" si="4482">IF($H299&lt;&gt;BL$5,0,IF(BL299&lt;0,IF(OR($J299=1,$J299=2,$J299=3,$J299=4,$J299=5,$J299=6,$J299=7),-$E299*$I299/12*3,IF($J299=8,-$E299*$I299/12*2,IF($J299=9,-$E299*$I299/12*1,0)))))+IF(BG$5&lt;&gt;$H299,0,IF(BG299&lt;0,IF($J299=7,-$E299*$I299/12*0,IF($J299=8,-$E299*$I299/12*1,IF($J299=9,-$E299*$I299/12*2,IF($J299&gt;=10,-$E299*$I299/12*3,0))))))</f>
        <v>0</v>
      </c>
      <c r="BK299" s="88">
        <f t="shared" ref="BK299" si="4483">IF($H299&lt;&gt;BL$5,0,IF(BL299&lt;0,IF(OR($J299=1,$J299=2,$J299=3,$J299=4,$J299=5,$J299=6,$J299=7,$J299=8,$J299=9,$J299=10),-$E299*$I299/12*3,IF($J299=11,-$E299*$I299/12*2,IF($J299=12,-$E299*$I299/12*1,0)))))+IF(BG$5&lt;&gt;$H299,0,IF(BG299&lt;0,IF($J299=10,-$E299*$I299/12*0,IF($J299=11,-$E299*$I299/12*1,IF($J299=12,-$E299*$I299/12*2,0)))))</f>
        <v>0</v>
      </c>
      <c r="BL299" s="85">
        <f t="shared" ref="BL299" si="4484">IF(AND(BG299&lt;&gt;0,BG$5=$H299),-$I299*$E299-BG299,IF(BL$5=$H299,-$I299*$E299*(12-$J299+1)/12,0))</f>
        <v>0</v>
      </c>
      <c r="BM299" s="86">
        <f t="shared" ref="BM299" si="4485">IF($H299&lt;&gt;BQ$5,0,IF(BQ299&lt;0,IF($J299=1,-$E299*$I299/12*3,IF($J299=2,-$E299*$I299/12*2,IF($J299=3,-$E299*$I299/12*1,0)))))+IF(BL$5&lt;&gt;$H299,0,IF(BL299&lt;0,IF($J299=1,-$E299*$I299/12*0,IF($J299=2,-$E299*$I299/12*1,IF($J299=3,-$E299*$I299/12*2,IF($J299&gt;=4,-$E299*$I299/12*3,0))))))</f>
        <v>0</v>
      </c>
      <c r="BN299" s="87">
        <f t="shared" ref="BN299" si="4486">IF($H299&lt;&gt;BQ$5,0,IF(BQ299&lt;0,IF(OR($J299=1,$J299=2,$J299=3,$J299=4),-$E299*$I299/12*3,IF($J299=5,-$E299*$I299/12*2,IF($J299=6,-$E299*$I299/12*1,0)))))+IF(BL$5&lt;&gt;$H299,0,IF(BL299&lt;0,IF($J299=4,-$E299*$I299/12*0,IF($J299=5,-$E299*$I299/12*1,IF($J299=6,-$E299*$I299/12*2,IF($J299&gt;=7,-$E299*$I299/12*3,0))))))</f>
        <v>0</v>
      </c>
      <c r="BO299" s="87">
        <f t="shared" ref="BO299" si="4487">IF($H299&lt;&gt;BQ$5,0,IF(BQ299&lt;0,IF(OR($J299=1,$J299=2,$J299=3,$J299=4,$J299=5,$J299=6,$J299=7),-$E299*$I299/12*3,IF($J299=8,-$E299*$I299/12*2,IF($J299=9,-$E299*$I299/12*1,0)))))+IF(BL$5&lt;&gt;$H299,0,IF(BL299&lt;0,IF($J299=7,-$E299*$I299/12*0,IF($J299=8,-$E299*$I299/12*1,IF($J299=9,-$E299*$I299/12*2,IF($J299&gt;=10,-$E299*$I299/12*3,0))))))</f>
        <v>0</v>
      </c>
      <c r="BP299" s="88">
        <f t="shared" ref="BP299" si="4488">IF($H299&lt;&gt;BQ$5,0,IF(BQ299&lt;0,IF(OR($J299=1,$J299=2,$J299=3,$J299=4,$J299=5,$J299=6,$J299=7,$J299=8,$J299=9,$J299=10),-$E299*$I299/12*3,IF($J299=11,-$E299*$I299/12*2,IF($J299=12,-$E299*$I299/12*1,0)))))+IF(BL$5&lt;&gt;$H299,0,IF(BL299&lt;0,IF($J299=10,-$E299*$I299/12*0,IF($J299=11,-$E299*$I299/12*1,IF($J299=12,-$E299*$I299/12*2,0)))))</f>
        <v>0</v>
      </c>
      <c r="BQ299" s="85">
        <f t="shared" ref="BQ299" si="4489">IF(AND(BL299&lt;&gt;0,BL$5=$H299),-$I299*$E299-BL299,IF(BQ$5=$H299,-$I299*$E299*(12-$J299+1)/12,0))</f>
        <v>0</v>
      </c>
      <c r="BR299" s="86">
        <f t="shared" ref="BR299" si="4490">IF($H299&lt;&gt;BV$5,0,IF(BV299&lt;0,IF($J299=1,-$E299*$I299/12*3,IF($J299=2,-$E299*$I299/12*2,IF($J299=3,-$E299*$I299/12*1,0)))))+IF(BQ$5&lt;&gt;$H299,0,IF(BQ299&lt;0,IF($J299=1,-$E299*$I299/12*0,IF($J299=2,-$E299*$I299/12*1,IF($J299=3,-$E299*$I299/12*2,IF($J299&gt;=4,-$E299*$I299/12*3,0))))))</f>
        <v>0</v>
      </c>
      <c r="BS299" s="87">
        <f t="shared" ref="BS299" si="4491">IF($H299&lt;&gt;BV$5,0,IF(BV299&lt;0,IF(OR($J299=1,$J299=2,$J299=3,$J299=4),-$E299*$I299/12*3,IF($J299=5,-$E299*$I299/12*2,IF($J299=6,-$E299*$I299/12*1,0)))))+IF(BQ$5&lt;&gt;$H299,0,IF(BQ299&lt;0,IF($J299=4,-$E299*$I299/12*0,IF($J299=5,-$E299*$I299/12*1,IF($J299=6,-$E299*$I299/12*2,IF($J299&gt;=7,-$E299*$I299/12*3,0))))))</f>
        <v>0</v>
      </c>
      <c r="BT299" s="87">
        <f t="shared" ref="BT299" si="4492">IF($H299&lt;&gt;BV$5,0,IF(BV299&lt;0,IF(OR($J299=1,$J299=2,$J299=3,$J299=4,$J299=5,$J299=6,$J299=7),-$E299*$I299/12*3,IF($J299=8,-$E299*$I299/12*2,IF($J299=9,-$E299*$I299/12*1,0)))))+IF(BQ$5&lt;&gt;$H299,0,IF(BQ299&lt;0,IF($J299=7,-$E299*$I299/12*0,IF($J299=8,-$E299*$I299/12*1,IF($J299=9,-$E299*$I299/12*2,IF($J299&gt;=10,-$E299*$I299/12*3,0))))))</f>
        <v>0</v>
      </c>
      <c r="BU299" s="88">
        <f t="shared" ref="BU299" si="4493">IF($H299&lt;&gt;BV$5,0,IF(BV299&lt;0,IF(OR($J299=1,$J299=2,$J299=3,$J299=4,$J299=5,$J299=6,$J299=7,$J299=8,$J299=9,$J299=10),-$E299*$I299/12*3,IF($J299=11,-$E299*$I299/12*2,IF($J299=12,-$E299*$I299/12*1,0)))))+IF(BQ$5&lt;&gt;$H299,0,IF(BQ299&lt;0,IF($J299=10,-$E299*$I299/12*0,IF($J299=11,-$E299*$I299/12*1,IF($J299=12,-$E299*$I299/12*2,0)))))</f>
        <v>0</v>
      </c>
      <c r="BV299" s="85">
        <f t="shared" ref="BV299" si="4494">IF(AND(BQ299&lt;&gt;0,BQ$5=$H299),-$I299*$E299-BQ299,IF(BV$5=$H299,-$I299*$E299*(12-$J299+1)/12,0))</f>
        <v>0</v>
      </c>
      <c r="BW299" s="86">
        <f t="shared" ref="BW299" si="4495">IF($H299&lt;&gt;CA$5,0,IF(CA299&lt;0,IF($J299=1,-$E299*$I299/12*3,IF($J299=2,-$E299*$I299/12*2,IF($J299=3,-$E299*$I299/12*1,0)))))+IF(BV$5&lt;&gt;$H299,0,IF(BV299&lt;0,IF($J299=1,-$E299*$I299/12*0,IF($J299=2,-$E299*$I299/12*1,IF($J299=3,-$E299*$I299/12*2,IF($J299&gt;=4,-$E299*$I299/12*3,0))))))</f>
        <v>0</v>
      </c>
      <c r="BX299" s="87">
        <f t="shared" ref="BX299" si="4496">IF($H299&lt;&gt;CA$5,0,IF(CA299&lt;0,IF(OR($J299=1,$J299=2,$J299=3,$J299=4),-$E299*$I299/12*3,IF($J299=5,-$E299*$I299/12*2,IF($J299=6,-$E299*$I299/12*1,0)))))+IF(BV$5&lt;&gt;$H299,0,IF(BV299&lt;0,IF($J299=4,-$E299*$I299/12*0,IF($J299=5,-$E299*$I299/12*1,IF($J299=6,-$E299*$I299/12*2,IF($J299&gt;=7,-$E299*$I299/12*3,0))))))</f>
        <v>0</v>
      </c>
      <c r="BY299" s="87">
        <f t="shared" ref="BY299" si="4497">IF($H299&lt;&gt;CA$5,0,IF(CA299&lt;0,IF(OR($J299=1,$J299=2,$J299=3,$J299=4,$J299=5,$J299=6,$J299=7),-$E299*$I299/12*3,IF($J299=8,-$E299*$I299/12*2,IF($J299=9,-$E299*$I299/12*1,0)))))+IF(BV$5&lt;&gt;$H299,0,IF(BV299&lt;0,IF($J299=7,-$E299*$I299/12*0,IF($J299=8,-$E299*$I299/12*1,IF($J299=9,-$E299*$I299/12*2,IF($J299&gt;=10,-$E299*$I299/12*3,0))))))</f>
        <v>0</v>
      </c>
      <c r="BZ299" s="88">
        <f t="shared" ref="BZ299" si="4498">IF($H299&lt;&gt;CA$5,0,IF(CA299&lt;0,IF(OR($J299=1,$J299=2,$J299=3,$J299=4,$J299=5,$J299=6,$J299=7,$J299=8,$J299=9,$J299=10),-$E299*$I299/12*3,IF($J299=11,-$E299*$I299/12*2,IF($J299=12,-$E299*$I299/12*1,0)))))+IF(BV$5&lt;&gt;$H299,0,IF(BV299&lt;0,IF($J299=10,-$E299*$I299/12*0,IF($J299=11,-$E299*$I299/12*1,IF($J299=12,-$E299*$I299/12*2,0)))))</f>
        <v>0</v>
      </c>
      <c r="CA299" s="85">
        <f t="shared" ref="CA299" si="4499">IF(AND(BV299&lt;&gt;0,BV$5=$H299),-$I299*$E299-BV299,IF(CA$5=$H299,-$I299*$E299*(12-$J299+1)/12,0))</f>
        <v>0</v>
      </c>
      <c r="CB299" s="86">
        <f t="shared" ref="CB299" si="4500">IF($H299&lt;&gt;CF$5,0,IF(CF299&lt;0,IF($J299=1,-$E299*$I299/12*3,IF($J299=2,-$E299*$I299/12*2,IF($J299=3,-$E299*$I299/12*1,0)))))+IF(CA$5&lt;&gt;$H299,0,IF(CA299&lt;0,IF($J299=1,-$E299*$I299/12*0,IF($J299=2,-$E299*$I299/12*1,IF($J299=3,-$E299*$I299/12*2,IF($J299&gt;=4,-$E299*$I299/12*3,0))))))</f>
        <v>0</v>
      </c>
      <c r="CC299" s="87">
        <f t="shared" ref="CC299" si="4501">IF($H299&lt;&gt;CF$5,0,IF(CF299&lt;0,IF(OR($J299=1,$J299=2,$J299=3,$J299=4),-$E299*$I299/12*3,IF($J299=5,-$E299*$I299/12*2,IF($J299=6,-$E299*$I299/12*1,0)))))+IF(CA$5&lt;&gt;$H299,0,IF(CA299&lt;0,IF($J299=4,-$E299*$I299/12*0,IF($J299=5,-$E299*$I299/12*1,IF($J299=6,-$E299*$I299/12*2,IF($J299&gt;=7,-$E299*$I299/12*3,0))))))</f>
        <v>0</v>
      </c>
      <c r="CD299" s="87">
        <f t="shared" ref="CD299" si="4502">IF($H299&lt;&gt;CF$5,0,IF(CF299&lt;0,IF(OR($J299=1,$J299=2,$J299=3,$J299=4,$J299=5,$J299=6,$J299=7),-$E299*$I299/12*3,IF($J299=8,-$E299*$I299/12*2,IF($J299=9,-$E299*$I299/12*1,0)))))+IF(CA$5&lt;&gt;$H299,0,IF(CA299&lt;0,IF($J299=7,-$E299*$I299/12*0,IF($J299=8,-$E299*$I299/12*1,IF($J299=9,-$E299*$I299/12*2,IF($J299&gt;=10,-$E299*$I299/12*3,0))))))</f>
        <v>0</v>
      </c>
      <c r="CE299" s="88">
        <f t="shared" ref="CE299" si="4503">IF($H299&lt;&gt;CF$5,0,IF(CF299&lt;0,IF(OR($J299=1,$J299=2,$J299=3,$J299=4,$J299=5,$J299=6,$J299=7,$J299=8,$J299=9,$J299=10),-$E299*$I299/12*3,IF($J299=11,-$E299*$I299/12*2,IF($J299=12,-$E299*$I299/12*1,0)))))+IF(CA$5&lt;&gt;$H299,0,IF(CA299&lt;0,IF($J299=10,-$E299*$I299/12*0,IF($J299=11,-$E299*$I299/12*1,IF($J299=12,-$E299*$I299/12*2,0)))))</f>
        <v>0</v>
      </c>
      <c r="CF299" s="85">
        <f t="shared" ref="CF299" si="4504">IF(AND(CA299&lt;&gt;0,CA$5=$H299),-$I299*$E299-CA299,IF(CF$5=$H299,-$I299*$E299*(12-$J299+1)/12,0))</f>
        <v>0</v>
      </c>
      <c r="CG299" s="86">
        <f t="shared" ref="CG299" si="4505">IF($H299&lt;&gt;CK$5,0,IF(CK299&lt;0,IF($J299=1,-$E299*$I299/12*3,IF($J299=2,-$E299*$I299/12*2,IF($J299=3,-$E299*$I299/12*1,0)))))+IF(CF$5&lt;&gt;$H299,0,IF(CF299&lt;0,IF($J299=1,-$E299*$I299/12*0,IF($J299=2,-$E299*$I299/12*1,IF($J299=3,-$E299*$I299/12*2,IF($J299&gt;=4,-$E299*$I299/12*3,0))))))</f>
        <v>0</v>
      </c>
      <c r="CH299" s="87">
        <f t="shared" ref="CH299" si="4506">IF($H299&lt;&gt;CK$5,0,IF(CK299&lt;0,IF(OR($J299=1,$J299=2,$J299=3,$J299=4),-$E299*$I299/12*3,IF($J299=5,-$E299*$I299/12*2,IF($J299=6,-$E299*$I299/12*1,0)))))+IF(CF$5&lt;&gt;$H299,0,IF(CF299&lt;0,IF($J299=4,-$E299*$I299/12*0,IF($J299=5,-$E299*$I299/12*1,IF($J299=6,-$E299*$I299/12*2,IF($J299&gt;=7,-$E299*$I299/12*3,0))))))</f>
        <v>0</v>
      </c>
      <c r="CI299" s="87">
        <f t="shared" ref="CI299" si="4507">IF($H299&lt;&gt;CK$5,0,IF(CK299&lt;0,IF(OR($J299=1,$J299=2,$J299=3,$J299=4,$J299=5,$J299=6,$J299=7),-$E299*$I299/12*3,IF($J299=8,-$E299*$I299/12*2,IF($J299=9,-$E299*$I299/12*1,0)))))+IF(CF$5&lt;&gt;$H299,0,IF(CF299&lt;0,IF($J299=7,-$E299*$I299/12*0,IF($J299=8,-$E299*$I299/12*1,IF($J299=9,-$E299*$I299/12*2,IF($J299&gt;=10,-$E299*$I299/12*3,0))))))</f>
        <v>0</v>
      </c>
      <c r="CJ299" s="88">
        <f t="shared" ref="CJ299" si="4508">IF($H299&lt;&gt;CK$5,0,IF(CK299&lt;0,IF(OR($J299=1,$J299=2,$J299=3,$J299=4,$J299=5,$J299=6,$J299=7,$J299=8,$J299=9,$J299=10),-$E299*$I299/12*3,IF($J299=11,-$E299*$I299/12*2,IF($J299=12,-$E299*$I299/12*1,0)))))+IF(CF$5&lt;&gt;$H299,0,IF(CF299&lt;0,IF($J299=10,-$E299*$I299/12*0,IF($J299=11,-$E299*$I299/12*1,IF($J299=12,-$E299*$I299/12*2,0)))))</f>
        <v>0</v>
      </c>
      <c r="CK299" s="85">
        <f t="shared" ref="CK299" si="4509">IF(AND(CF299&lt;&gt;0,CF$5=$H299),-$I299*$E299-CF299,IF(CK$5=$H299,-$I299*$E299*(12-$J299+1)/12,0))</f>
        <v>0</v>
      </c>
      <c r="CL299" s="86">
        <f t="shared" ref="CL299" si="4510">IF($H299&lt;&gt;CP$5,0,IF(CP299&lt;0,IF($J299=1,-$E299*$I299/12*3,IF($J299=2,-$E299*$I299/12*2,IF($J299=3,-$E299*$I299/12*1,0)))))+IF(CK$5&lt;&gt;$H299,0,IF(CK299&lt;0,IF($J299=1,-$E299*$I299/12*0,IF($J299=2,-$E299*$I299/12*1,IF($J299=3,-$E299*$I299/12*2,IF($J299&gt;=4,-$E299*$I299/12*3,0))))))</f>
        <v>0</v>
      </c>
      <c r="CM299" s="87">
        <f t="shared" ref="CM299" si="4511">IF($H299&lt;&gt;CP$5,0,IF(CP299&lt;0,IF(OR($J299=1,$J299=2,$J299=3,$J299=4),-$E299*$I299/12*3,IF($J299=5,-$E299*$I299/12*2,IF($J299=6,-$E299*$I299/12*1,0)))))+IF(CK$5&lt;&gt;$H299,0,IF(CK299&lt;0,IF($J299=4,-$E299*$I299/12*0,IF($J299=5,-$E299*$I299/12*1,IF($J299=6,-$E299*$I299/12*2,IF($J299&gt;=7,-$E299*$I299/12*3,0))))))</f>
        <v>0</v>
      </c>
      <c r="CN299" s="87">
        <f t="shared" ref="CN299" si="4512">IF($H299&lt;&gt;CP$5,0,IF(CP299&lt;0,IF(OR($J299=1,$J299=2,$J299=3,$J299=4,$J299=5,$J299=6,$J299=7),-$E299*$I299/12*3,IF($J299=8,-$E299*$I299/12*2,IF($J299=9,-$E299*$I299/12*1,0)))))+IF(CK$5&lt;&gt;$H299,0,IF(CK299&lt;0,IF($J299=7,-$E299*$I299/12*0,IF($J299=8,-$E299*$I299/12*1,IF($J299=9,-$E299*$I299/12*2,IF($J299&gt;=10,-$E299*$I299/12*3,0))))))</f>
        <v>0</v>
      </c>
      <c r="CO299" s="88">
        <f t="shared" ref="CO299" si="4513">IF($H299&lt;&gt;CP$5,0,IF(CP299&lt;0,IF(OR($J299=1,$J299=2,$J299=3,$J299=4,$J299=5,$J299=6,$J299=7,$J299=8,$J299=9,$J299=10),-$E299*$I299/12*3,IF($J299=11,-$E299*$I299/12*2,IF($J299=12,-$E299*$I299/12*1,0)))))+IF(CK$5&lt;&gt;$H299,0,IF(CK299&lt;0,IF($J299=10,-$E299*$I299/12*0,IF($J299=11,-$E299*$I299/12*1,IF($J299=12,-$E299*$I299/12*2,0)))))</f>
        <v>0</v>
      </c>
      <c r="CP299" s="85">
        <f t="shared" ref="CP299" si="4514">IF(AND(CK299&lt;&gt;0,CK$5=$H299),-$I299*$E299-CK299,IF(CP$5=$H299,-$I299*$E299*(12-$J299+1)/12,0))</f>
        <v>0</v>
      </c>
      <c r="CQ299" s="86">
        <f t="shared" ref="CQ299" si="4515">IF($H299&lt;&gt;CU$5,0,IF(CU299&lt;0,IF($J299=1,-$E299*$I299/12*3,IF($J299=2,-$E299*$I299/12*2,IF($J299=3,-$E299*$I299/12*1,0)))))+IF(CP$5&lt;&gt;$H299,0,IF(CP299&lt;0,IF($J299=1,-$E299*$I299/12*0,IF($J299=2,-$E299*$I299/12*1,IF($J299=3,-$E299*$I299/12*2,IF($J299&gt;=4,-$E299*$I299/12*3,0))))))</f>
        <v>0</v>
      </c>
      <c r="CR299" s="87">
        <f t="shared" ref="CR299" si="4516">IF($H299&lt;&gt;CU$5,0,IF(CU299&lt;0,IF(OR($J299=1,$J299=2,$J299=3,$J299=4),-$E299*$I299/12*3,IF($J299=5,-$E299*$I299/12*2,IF($J299=6,-$E299*$I299/12*1,0)))))+IF(CP$5&lt;&gt;$H299,0,IF(CP299&lt;0,IF($J299=4,-$E299*$I299/12*0,IF($J299=5,-$E299*$I299/12*1,IF($J299=6,-$E299*$I299/12*2,IF($J299&gt;=7,-$E299*$I299/12*3,0))))))</f>
        <v>0</v>
      </c>
      <c r="CS299" s="87">
        <f t="shared" ref="CS299" si="4517">IF($H299&lt;&gt;CU$5,0,IF(CU299&lt;0,IF(OR($J299=1,$J299=2,$J299=3,$J299=4,$J299=5,$J299=6,$J299=7),-$E299*$I299/12*3,IF($J299=8,-$E299*$I299/12*2,IF($J299=9,-$E299*$I299/12*1,0)))))+IF(CP$5&lt;&gt;$H299,0,IF(CP299&lt;0,IF($J299=7,-$E299*$I299/12*0,IF($J299=8,-$E299*$I299/12*1,IF($J299=9,-$E299*$I299/12*2,IF($J299&gt;=10,-$E299*$I299/12*3,0))))))</f>
        <v>0</v>
      </c>
      <c r="CT299" s="88">
        <f t="shared" ref="CT299" si="4518">IF($H299&lt;&gt;CU$5,0,IF(CU299&lt;0,IF(OR($J299=1,$J299=2,$J299=3,$J299=4,$J299=5,$J299=6,$J299=7,$J299=8,$J299=9,$J299=10),-$E299*$I299/12*3,IF($J299=11,-$E299*$I299/12*2,IF($J299=12,-$E299*$I299/12*1,0)))))+IF(CP$5&lt;&gt;$H299,0,IF(CP299&lt;0,IF($J299=10,-$E299*$I299/12*0,IF($J299=11,-$E299*$I299/12*1,IF($J299=12,-$E299*$I299/12*2,0)))))</f>
        <v>0</v>
      </c>
      <c r="CU299" s="85">
        <f t="shared" ref="CU299" si="4519">IF(AND(CP299&lt;&gt;0,CP$5=$H299),-$I299*$E299-CP299,IF(CU$5=$H299,-$I299*$E299*(12-$J299+1)/12,0))</f>
        <v>0</v>
      </c>
      <c r="CV299" s="86">
        <f t="shared" si="4442"/>
        <v>0</v>
      </c>
      <c r="CW299" s="87">
        <f t="shared" si="4443"/>
        <v>0</v>
      </c>
      <c r="CX299" s="87">
        <f t="shared" si="4444"/>
        <v>0</v>
      </c>
      <c r="CY299" s="88">
        <f t="shared" si="4445"/>
        <v>0</v>
      </c>
      <c r="CZ299" s="85">
        <f t="shared" si="4446"/>
        <v>0</v>
      </c>
    </row>
    <row r="300" spans="1:104" ht="12.75" customHeight="1">
      <c r="A300" s="1817"/>
      <c r="B300" s="2128"/>
      <c r="C300" s="2119">
        <v>4.1500000000000002E-2</v>
      </c>
      <c r="D300" s="139"/>
      <c r="E300" s="2115">
        <f>IF(F300=0,G300,F300)</f>
        <v>421</v>
      </c>
      <c r="F300" s="2313">
        <f>375+30+16</f>
        <v>421</v>
      </c>
      <c r="G300" s="1511">
        <v>375</v>
      </c>
      <c r="H300" s="1510">
        <v>2045</v>
      </c>
      <c r="I300" s="1831">
        <v>4.1500000000000002E-2</v>
      </c>
      <c r="J300" s="1832">
        <v>7</v>
      </c>
      <c r="L300" s="2001">
        <f t="shared" si="4355"/>
        <v>0</v>
      </c>
      <c r="M300" s="82">
        <f t="shared" si="4356"/>
        <v>0</v>
      </c>
      <c r="N300" s="83">
        <f t="shared" si="4357"/>
        <v>0</v>
      </c>
      <c r="O300" s="83">
        <f t="shared" si="4358"/>
        <v>0</v>
      </c>
      <c r="P300" s="84">
        <f t="shared" si="4359"/>
        <v>0</v>
      </c>
      <c r="Q300" s="81">
        <f t="shared" si="4360"/>
        <v>0</v>
      </c>
      <c r="R300" s="82">
        <f t="shared" si="4361"/>
        <v>0</v>
      </c>
      <c r="S300" s="83">
        <f t="shared" si="4362"/>
        <v>0</v>
      </c>
      <c r="T300" s="83">
        <f t="shared" si="4363"/>
        <v>0</v>
      </c>
      <c r="U300" s="84">
        <f t="shared" si="4364"/>
        <v>0</v>
      </c>
      <c r="V300" s="81">
        <f t="shared" si="4365"/>
        <v>0</v>
      </c>
      <c r="W300" s="82">
        <f t="shared" si="4366"/>
        <v>0</v>
      </c>
      <c r="X300" s="83">
        <f t="shared" si="4367"/>
        <v>0</v>
      </c>
      <c r="Y300" s="83">
        <f t="shared" si="4368"/>
        <v>0</v>
      </c>
      <c r="Z300" s="84">
        <f t="shared" si="4369"/>
        <v>0</v>
      </c>
      <c r="AA300" s="81">
        <f t="shared" si="4370"/>
        <v>0</v>
      </c>
      <c r="AB300" s="82">
        <f t="shared" si="4371"/>
        <v>0</v>
      </c>
      <c r="AC300" s="83">
        <f t="shared" si="4372"/>
        <v>0</v>
      </c>
      <c r="AD300" s="83">
        <f t="shared" si="4373"/>
        <v>0</v>
      </c>
      <c r="AE300" s="84">
        <f t="shared" si="4374"/>
        <v>0</v>
      </c>
      <c r="AF300" s="81">
        <f t="shared" si="4375"/>
        <v>0</v>
      </c>
      <c r="AG300" s="82">
        <f t="shared" si="4376"/>
        <v>0</v>
      </c>
      <c r="AH300" s="83">
        <f t="shared" si="4377"/>
        <v>0</v>
      </c>
      <c r="AI300" s="83">
        <f t="shared" si="4378"/>
        <v>0</v>
      </c>
      <c r="AJ300" s="84">
        <f t="shared" si="4379"/>
        <v>0</v>
      </c>
      <c r="AK300" s="81">
        <f t="shared" si="4380"/>
        <v>0</v>
      </c>
      <c r="AL300" s="82">
        <f t="shared" si="4381"/>
        <v>0</v>
      </c>
      <c r="AM300" s="83">
        <f t="shared" si="4382"/>
        <v>0</v>
      </c>
      <c r="AN300" s="83">
        <f t="shared" si="4383"/>
        <v>0</v>
      </c>
      <c r="AO300" s="84">
        <f t="shared" si="4384"/>
        <v>0</v>
      </c>
      <c r="AP300" s="81">
        <f t="shared" si="4385"/>
        <v>0</v>
      </c>
      <c r="AQ300" s="82">
        <f t="shared" si="4386"/>
        <v>0</v>
      </c>
      <c r="AR300" s="83">
        <f t="shared" si="4387"/>
        <v>0</v>
      </c>
      <c r="AS300" s="83">
        <f t="shared" si="4388"/>
        <v>0</v>
      </c>
      <c r="AT300" s="84">
        <f t="shared" si="4389"/>
        <v>0</v>
      </c>
      <c r="AU300" s="81">
        <f t="shared" si="4390"/>
        <v>0</v>
      </c>
      <c r="AV300" s="82">
        <f t="shared" si="4391"/>
        <v>0</v>
      </c>
      <c r="AW300" s="83">
        <f t="shared" si="4392"/>
        <v>0</v>
      </c>
      <c r="AX300" s="83">
        <f t="shared" si="4393"/>
        <v>0</v>
      </c>
      <c r="AY300" s="84">
        <f t="shared" si="4394"/>
        <v>0</v>
      </c>
      <c r="AZ300" s="81">
        <f t="shared" si="4395"/>
        <v>0</v>
      </c>
      <c r="BA300" s="82">
        <f t="shared" si="4396"/>
        <v>0</v>
      </c>
      <c r="BB300" s="83">
        <f t="shared" si="4397"/>
        <v>0</v>
      </c>
      <c r="BC300" s="83">
        <f t="shared" si="4398"/>
        <v>0</v>
      </c>
      <c r="BD300" s="84">
        <f t="shared" si="4399"/>
        <v>0</v>
      </c>
      <c r="BE300" s="81">
        <f t="shared" si="4400"/>
        <v>0</v>
      </c>
      <c r="BF300" s="1877"/>
      <c r="BG300" s="2005">
        <f t="shared" si="4401"/>
        <v>0</v>
      </c>
      <c r="BH300" s="86">
        <f t="shared" si="4402"/>
        <v>0</v>
      </c>
      <c r="BI300" s="87">
        <f t="shared" si="4403"/>
        <v>0</v>
      </c>
      <c r="BJ300" s="87">
        <f t="shared" si="4404"/>
        <v>0</v>
      </c>
      <c r="BK300" s="88">
        <f t="shared" si="4405"/>
        <v>0</v>
      </c>
      <c r="BL300" s="85">
        <f t="shared" si="4406"/>
        <v>0</v>
      </c>
      <c r="BM300" s="86">
        <f t="shared" si="4407"/>
        <v>0</v>
      </c>
      <c r="BN300" s="87">
        <f t="shared" si="4408"/>
        <v>0</v>
      </c>
      <c r="BO300" s="87">
        <f t="shared" si="4409"/>
        <v>0</v>
      </c>
      <c r="BP300" s="88">
        <f t="shared" si="4410"/>
        <v>0</v>
      </c>
      <c r="BQ300" s="85">
        <f t="shared" si="4411"/>
        <v>0</v>
      </c>
      <c r="BR300" s="86">
        <f t="shared" si="4412"/>
        <v>0</v>
      </c>
      <c r="BS300" s="87">
        <f t="shared" si="4413"/>
        <v>0</v>
      </c>
      <c r="BT300" s="87">
        <f t="shared" si="4414"/>
        <v>0</v>
      </c>
      <c r="BU300" s="88">
        <f t="shared" si="4415"/>
        <v>0</v>
      </c>
      <c r="BV300" s="85">
        <f t="shared" si="4416"/>
        <v>0</v>
      </c>
      <c r="BW300" s="86">
        <f t="shared" si="4417"/>
        <v>0</v>
      </c>
      <c r="BX300" s="87">
        <f t="shared" si="4418"/>
        <v>0</v>
      </c>
      <c r="BY300" s="87">
        <f t="shared" si="4419"/>
        <v>0</v>
      </c>
      <c r="BZ300" s="88">
        <f t="shared" si="4420"/>
        <v>0</v>
      </c>
      <c r="CA300" s="85">
        <f t="shared" si="4421"/>
        <v>0</v>
      </c>
      <c r="CB300" s="86">
        <f t="shared" si="4422"/>
        <v>0</v>
      </c>
      <c r="CC300" s="87">
        <f t="shared" si="4423"/>
        <v>0</v>
      </c>
      <c r="CD300" s="87">
        <f t="shared" si="4424"/>
        <v>0</v>
      </c>
      <c r="CE300" s="88">
        <f t="shared" si="4425"/>
        <v>0</v>
      </c>
      <c r="CF300" s="85">
        <f t="shared" si="4426"/>
        <v>0</v>
      </c>
      <c r="CG300" s="86">
        <f t="shared" si="4427"/>
        <v>0</v>
      </c>
      <c r="CH300" s="87">
        <f t="shared" si="4428"/>
        <v>0</v>
      </c>
      <c r="CI300" s="87">
        <f t="shared" si="4429"/>
        <v>0</v>
      </c>
      <c r="CJ300" s="88">
        <f t="shared" si="4430"/>
        <v>0</v>
      </c>
      <c r="CK300" s="85">
        <f t="shared" si="4431"/>
        <v>0</v>
      </c>
      <c r="CL300" s="86">
        <f t="shared" si="4432"/>
        <v>0</v>
      </c>
      <c r="CM300" s="87">
        <f t="shared" si="4433"/>
        <v>0</v>
      </c>
      <c r="CN300" s="87">
        <f t="shared" si="4434"/>
        <v>0</v>
      </c>
      <c r="CO300" s="88">
        <f t="shared" si="4435"/>
        <v>0</v>
      </c>
      <c r="CP300" s="85">
        <f t="shared" si="4436"/>
        <v>0</v>
      </c>
      <c r="CQ300" s="86">
        <f t="shared" si="4437"/>
        <v>0</v>
      </c>
      <c r="CR300" s="87">
        <f t="shared" si="4438"/>
        <v>0</v>
      </c>
      <c r="CS300" s="87">
        <f t="shared" si="4439"/>
        <v>0</v>
      </c>
      <c r="CT300" s="88">
        <f t="shared" si="4440"/>
        <v>0</v>
      </c>
      <c r="CU300" s="85">
        <f t="shared" si="4441"/>
        <v>0</v>
      </c>
      <c r="CV300" s="86">
        <f t="shared" si="4442"/>
        <v>0</v>
      </c>
      <c r="CW300" s="87">
        <f t="shared" si="4443"/>
        <v>0</v>
      </c>
      <c r="CX300" s="87">
        <f t="shared" si="4444"/>
        <v>0</v>
      </c>
      <c r="CY300" s="88">
        <f t="shared" si="4445"/>
        <v>0</v>
      </c>
      <c r="CZ300" s="85">
        <f t="shared" si="4446"/>
        <v>0</v>
      </c>
    </row>
    <row r="301" spans="1:104" ht="12.75" customHeight="1">
      <c r="A301" s="1817"/>
      <c r="B301" s="1817"/>
      <c r="C301" s="2119"/>
      <c r="D301" s="139"/>
      <c r="E301" s="2115"/>
      <c r="F301" s="2313"/>
      <c r="G301" s="1511"/>
      <c r="H301" s="1510"/>
      <c r="I301" s="1831"/>
      <c r="J301" s="1832"/>
      <c r="L301" s="2001"/>
      <c r="M301" s="82"/>
      <c r="N301" s="83"/>
      <c r="O301" s="83"/>
      <c r="P301" s="84"/>
      <c r="Q301" s="81"/>
      <c r="R301" s="82"/>
      <c r="S301" s="83"/>
      <c r="T301" s="83"/>
      <c r="U301" s="84"/>
      <c r="V301" s="81"/>
      <c r="W301" s="82"/>
      <c r="X301" s="83"/>
      <c r="Y301" s="83"/>
      <c r="Z301" s="84"/>
      <c r="AA301" s="81"/>
      <c r="AB301" s="82"/>
      <c r="AC301" s="83"/>
      <c r="AD301" s="83"/>
      <c r="AE301" s="84"/>
      <c r="AF301" s="81"/>
      <c r="AG301" s="82"/>
      <c r="AH301" s="83"/>
      <c r="AI301" s="83"/>
      <c r="AJ301" s="84"/>
      <c r="AK301" s="81"/>
      <c r="AL301" s="82"/>
      <c r="AM301" s="83"/>
      <c r="AN301" s="83"/>
      <c r="AO301" s="84"/>
      <c r="AP301" s="81"/>
      <c r="AQ301" s="82"/>
      <c r="AR301" s="83"/>
      <c r="AS301" s="83"/>
      <c r="AT301" s="84"/>
      <c r="AU301" s="81"/>
      <c r="AV301" s="82"/>
      <c r="AW301" s="83"/>
      <c r="AX301" s="83"/>
      <c r="AY301" s="84"/>
      <c r="AZ301" s="81"/>
      <c r="BA301" s="82"/>
      <c r="BB301" s="83"/>
      <c r="BC301" s="83"/>
      <c r="BD301" s="84"/>
      <c r="BE301" s="81"/>
      <c r="BF301" s="1877"/>
      <c r="BG301" s="2005"/>
      <c r="BH301" s="86"/>
      <c r="BI301" s="87"/>
      <c r="BJ301" s="87"/>
      <c r="BK301" s="88"/>
      <c r="BL301" s="85"/>
      <c r="BM301" s="86"/>
      <c r="BN301" s="87"/>
      <c r="BO301" s="87"/>
      <c r="BP301" s="88"/>
      <c r="BQ301" s="85"/>
      <c r="BR301" s="86"/>
      <c r="BS301" s="87"/>
      <c r="BT301" s="87"/>
      <c r="BU301" s="88"/>
      <c r="BV301" s="85"/>
      <c r="BW301" s="86"/>
      <c r="BX301" s="87"/>
      <c r="BY301" s="87"/>
      <c r="BZ301" s="88"/>
      <c r="CA301" s="85"/>
      <c r="CB301" s="86"/>
      <c r="CC301" s="87"/>
      <c r="CD301" s="87"/>
      <c r="CE301" s="88"/>
      <c r="CF301" s="85"/>
      <c r="CG301" s="86"/>
      <c r="CH301" s="87"/>
      <c r="CI301" s="87"/>
      <c r="CJ301" s="88"/>
      <c r="CK301" s="85"/>
      <c r="CL301" s="86"/>
      <c r="CM301" s="87"/>
      <c r="CN301" s="87"/>
      <c r="CO301" s="88"/>
      <c r="CP301" s="85"/>
      <c r="CQ301" s="86"/>
      <c r="CR301" s="87"/>
      <c r="CS301" s="87"/>
      <c r="CT301" s="88"/>
      <c r="CU301" s="85"/>
      <c r="CV301" s="86"/>
      <c r="CW301" s="87"/>
      <c r="CX301" s="87"/>
      <c r="CY301" s="88"/>
      <c r="CZ301" s="85"/>
    </row>
    <row r="302" spans="1:104" ht="12.75" customHeight="1">
      <c r="A302" s="1817"/>
      <c r="B302" s="1817"/>
      <c r="C302" s="1869" t="s">
        <v>782</v>
      </c>
      <c r="D302" s="139"/>
      <c r="E302" s="1828"/>
      <c r="F302" s="2311"/>
      <c r="G302" s="1822"/>
      <c r="H302" s="2306"/>
      <c r="I302" s="2307"/>
      <c r="J302" s="1865"/>
      <c r="L302" s="2001"/>
      <c r="M302" s="82"/>
      <c r="N302" s="83"/>
      <c r="O302" s="83"/>
      <c r="P302" s="84"/>
      <c r="Q302" s="81"/>
      <c r="R302" s="82"/>
      <c r="S302" s="83"/>
      <c r="T302" s="83"/>
      <c r="U302" s="84"/>
      <c r="V302" s="81"/>
      <c r="W302" s="82"/>
      <c r="X302" s="83"/>
      <c r="Y302" s="83"/>
      <c r="Z302" s="84"/>
      <c r="AA302" s="81"/>
      <c r="AB302" s="82"/>
      <c r="AC302" s="83"/>
      <c r="AD302" s="83"/>
      <c r="AE302" s="84"/>
      <c r="AF302" s="81"/>
      <c r="AG302" s="82"/>
      <c r="AH302" s="83"/>
      <c r="AI302" s="83"/>
      <c r="AJ302" s="84"/>
      <c r="AK302" s="81"/>
      <c r="AL302" s="82"/>
      <c r="AM302" s="83"/>
      <c r="AN302" s="83"/>
      <c r="AO302" s="84"/>
      <c r="AP302" s="81"/>
      <c r="AQ302" s="82"/>
      <c r="AR302" s="83"/>
      <c r="AS302" s="83"/>
      <c r="AT302" s="84"/>
      <c r="AU302" s="81"/>
      <c r="AV302" s="82"/>
      <c r="AW302" s="83"/>
      <c r="AX302" s="83"/>
      <c r="AY302" s="84"/>
      <c r="AZ302" s="81"/>
      <c r="BA302" s="82"/>
      <c r="BB302" s="83"/>
      <c r="BC302" s="83"/>
      <c r="BD302" s="84"/>
      <c r="BE302" s="81"/>
      <c r="BF302" s="1877"/>
      <c r="BG302" s="2005"/>
      <c r="BH302" s="86"/>
      <c r="BI302" s="87"/>
      <c r="BJ302" s="87"/>
      <c r="BK302" s="88"/>
      <c r="BL302" s="85"/>
      <c r="BM302" s="86"/>
      <c r="BN302" s="87"/>
      <c r="BO302" s="87"/>
      <c r="BP302" s="88"/>
      <c r="BQ302" s="85"/>
      <c r="BR302" s="86"/>
      <c r="BS302" s="87"/>
      <c r="BT302" s="87"/>
      <c r="BU302" s="88"/>
      <c r="BV302" s="85"/>
      <c r="BW302" s="86"/>
      <c r="BX302" s="87"/>
      <c r="BY302" s="87"/>
      <c r="BZ302" s="88"/>
      <c r="CA302" s="85"/>
      <c r="CB302" s="86"/>
      <c r="CC302" s="87"/>
      <c r="CD302" s="87"/>
      <c r="CE302" s="88"/>
      <c r="CF302" s="85"/>
      <c r="CG302" s="86"/>
      <c r="CH302" s="87"/>
      <c r="CI302" s="87"/>
      <c r="CJ302" s="88"/>
      <c r="CK302" s="85"/>
      <c r="CL302" s="86"/>
      <c r="CM302" s="87"/>
      <c r="CN302" s="87"/>
      <c r="CO302" s="88"/>
      <c r="CP302" s="85"/>
      <c r="CQ302" s="86"/>
      <c r="CR302" s="87"/>
      <c r="CS302" s="87"/>
      <c r="CT302" s="88"/>
      <c r="CU302" s="85"/>
      <c r="CV302" s="86"/>
      <c r="CW302" s="87"/>
      <c r="CX302" s="87"/>
      <c r="CY302" s="88"/>
      <c r="CZ302" s="85"/>
    </row>
    <row r="303" spans="1:104" ht="12.75" customHeight="1">
      <c r="A303" s="1817"/>
      <c r="B303" s="2128"/>
      <c r="C303" s="2119" t="s">
        <v>783</v>
      </c>
      <c r="D303" s="139"/>
      <c r="E303" s="2115">
        <f>IF(F303=0,G303,F303)</f>
        <v>14</v>
      </c>
      <c r="F303" s="2313">
        <v>0</v>
      </c>
      <c r="G303" s="1511">
        <v>14</v>
      </c>
      <c r="H303" s="1510">
        <v>2017</v>
      </c>
      <c r="I303" s="1831">
        <f>+AVERAGE(7.56%,7.58%)</f>
        <v>7.5700000000000003E-2</v>
      </c>
      <c r="J303" s="1832">
        <v>7</v>
      </c>
      <c r="L303" s="2001">
        <f t="shared" si="4355"/>
        <v>0</v>
      </c>
      <c r="M303" s="82">
        <f t="shared" si="4356"/>
        <v>0</v>
      </c>
      <c r="N303" s="83">
        <f t="shared" si="4357"/>
        <v>0</v>
      </c>
      <c r="O303" s="83">
        <f t="shared" si="4358"/>
        <v>0</v>
      </c>
      <c r="P303" s="84">
        <f t="shared" si="4359"/>
        <v>0</v>
      </c>
      <c r="Q303" s="81">
        <f t="shared" si="4360"/>
        <v>0</v>
      </c>
      <c r="R303" s="82">
        <f t="shared" si="4361"/>
        <v>0</v>
      </c>
      <c r="S303" s="83">
        <f t="shared" si="4362"/>
        <v>0</v>
      </c>
      <c r="T303" s="83">
        <f t="shared" si="4363"/>
        <v>0</v>
      </c>
      <c r="U303" s="84">
        <f t="shared" si="4364"/>
        <v>0</v>
      </c>
      <c r="V303" s="81">
        <f t="shared" si="4365"/>
        <v>0</v>
      </c>
      <c r="W303" s="82">
        <f t="shared" si="4366"/>
        <v>0</v>
      </c>
      <c r="X303" s="83">
        <f t="shared" si="4367"/>
        <v>0</v>
      </c>
      <c r="Y303" s="83">
        <f t="shared" si="4368"/>
        <v>0</v>
      </c>
      <c r="Z303" s="84">
        <f t="shared" si="4369"/>
        <v>0</v>
      </c>
      <c r="AA303" s="81">
        <f t="shared" si="4370"/>
        <v>0</v>
      </c>
      <c r="AB303" s="82">
        <f t="shared" si="4371"/>
        <v>0</v>
      </c>
      <c r="AC303" s="83">
        <f t="shared" si="4372"/>
        <v>0</v>
      </c>
      <c r="AD303" s="83">
        <f t="shared" si="4373"/>
        <v>0</v>
      </c>
      <c r="AE303" s="84">
        <f t="shared" si="4374"/>
        <v>0</v>
      </c>
      <c r="AF303" s="81">
        <f t="shared" si="4375"/>
        <v>0</v>
      </c>
      <c r="AG303" s="82">
        <f t="shared" si="4376"/>
        <v>0</v>
      </c>
      <c r="AH303" s="83">
        <f t="shared" si="4377"/>
        <v>0</v>
      </c>
      <c r="AI303" s="83">
        <f t="shared" si="4378"/>
        <v>-14</v>
      </c>
      <c r="AJ303" s="84">
        <f t="shared" si="4379"/>
        <v>0</v>
      </c>
      <c r="AK303" s="81">
        <f t="shared" si="4380"/>
        <v>-14</v>
      </c>
      <c r="AL303" s="82">
        <f t="shared" si="4381"/>
        <v>0</v>
      </c>
      <c r="AM303" s="83">
        <f t="shared" si="4382"/>
        <v>0</v>
      </c>
      <c r="AN303" s="83">
        <f t="shared" si="4383"/>
        <v>0</v>
      </c>
      <c r="AO303" s="84">
        <f t="shared" si="4384"/>
        <v>0</v>
      </c>
      <c r="AP303" s="81">
        <f t="shared" si="4385"/>
        <v>0</v>
      </c>
      <c r="AQ303" s="82">
        <f t="shared" ref="AQ303:AQ309" si="4520">IF(AU303=0,0,IF(AU303&lt;0,IF($J303=3,AU303,IF($J303=2,AU303,IF($J303=1,AU303,0)))))</f>
        <v>0</v>
      </c>
      <c r="AR303" s="83">
        <f t="shared" ref="AR303:AR309" si="4521">IF(AU303=0,0,IF(AU303&lt;0,IF($J303=6,AU303,IF($J303=5,AU303,IF($J303=4,AU303,0)))))</f>
        <v>0</v>
      </c>
      <c r="AS303" s="83">
        <f t="shared" ref="AS303:AS309" si="4522">IF(AU303=0,0,IF(AU303&lt;0,IF($J303=9,AU303,IF($J303=8,AU303,IF($J303=7,AU303,0)))))</f>
        <v>0</v>
      </c>
      <c r="AT303" s="84">
        <f t="shared" ref="AT303:AT309" si="4523">IF(AU303=0,0,IF(AU303&lt;0,IF($J303=12,AU303,IF($J303=11,AU303,IF($J303=10,AU303,0)))))</f>
        <v>0</v>
      </c>
      <c r="AU303" s="81">
        <f t="shared" si="4390"/>
        <v>0</v>
      </c>
      <c r="AV303" s="82">
        <f t="shared" ref="AV303:AV309" si="4524">IF(AZ303=0,0,IF(AZ303&lt;0,IF($J303=3,AZ303,IF($J303=2,AZ303,IF($J303=1,AZ303,0)))))</f>
        <v>0</v>
      </c>
      <c r="AW303" s="83">
        <f t="shared" ref="AW303:AW309" si="4525">IF(AZ303=0,0,IF(AZ303&lt;0,IF($J303=6,AZ303,IF($J303=5,AZ303,IF($J303=4,AZ303,0)))))</f>
        <v>0</v>
      </c>
      <c r="AX303" s="83">
        <f t="shared" ref="AX303:AX309" si="4526">IF(AZ303=0,0,IF(AZ303&lt;0,IF($J303=9,AZ303,IF($J303=8,AZ303,IF($J303=7,AZ303,0)))))</f>
        <v>0</v>
      </c>
      <c r="AY303" s="84">
        <f t="shared" ref="AY303:AY309" si="4527">IF(AZ303=0,0,IF(AZ303&lt;0,IF($J303=12,AZ303,IF($J303=11,AZ303,IF($J303=10,AZ303,0)))))</f>
        <v>0</v>
      </c>
      <c r="AZ303" s="81">
        <f t="shared" si="4395"/>
        <v>0</v>
      </c>
      <c r="BA303" s="82">
        <f t="shared" ref="BA303:BA309" si="4528">IF(BE303=0,0,IF(BE303&lt;0,IF($J303=3,BE303,IF($J303=2,BE303,IF($J303=1,BE303,0)))))</f>
        <v>0</v>
      </c>
      <c r="BB303" s="83">
        <f t="shared" ref="BB303:BB309" si="4529">IF(BE303=0,0,IF(BE303&lt;0,IF($J303=6,BE303,IF($J303=5,BE303,IF($J303=4,BE303,0)))))</f>
        <v>0</v>
      </c>
      <c r="BC303" s="83">
        <f t="shared" ref="BC303:BC309" si="4530">IF(BE303=0,0,IF(BE303&lt;0,IF($J303=9,BE303,IF($J303=8,BE303,IF($J303=7,BE303,0)))))</f>
        <v>0</v>
      </c>
      <c r="BD303" s="84">
        <f t="shared" ref="BD303:BD309" si="4531">IF(BE303=0,0,IF(BE303&lt;0,IF($J303=12,BE303,IF($J303=11,BE303,IF($J303=10,BE303,0)))))</f>
        <v>0</v>
      </c>
      <c r="BE303" s="81">
        <f t="shared" si="4400"/>
        <v>0</v>
      </c>
      <c r="BF303" s="1877"/>
      <c r="BG303" s="2005">
        <f t="shared" si="4401"/>
        <v>0</v>
      </c>
      <c r="BH303" s="86">
        <f t="shared" si="4402"/>
        <v>0</v>
      </c>
      <c r="BI303" s="87">
        <f t="shared" si="4403"/>
        <v>0</v>
      </c>
      <c r="BJ303" s="87">
        <f t="shared" si="4404"/>
        <v>0</v>
      </c>
      <c r="BK303" s="88">
        <f t="shared" si="4405"/>
        <v>0</v>
      </c>
      <c r="BL303" s="85">
        <f t="shared" si="4406"/>
        <v>0</v>
      </c>
      <c r="BM303" s="86">
        <f t="shared" si="4407"/>
        <v>0</v>
      </c>
      <c r="BN303" s="87">
        <f t="shared" si="4408"/>
        <v>0</v>
      </c>
      <c r="BO303" s="87">
        <f t="shared" si="4409"/>
        <v>0</v>
      </c>
      <c r="BP303" s="88">
        <f t="shared" si="4410"/>
        <v>0</v>
      </c>
      <c r="BQ303" s="85">
        <f t="shared" si="4411"/>
        <v>0</v>
      </c>
      <c r="BR303" s="86">
        <f t="shared" si="4412"/>
        <v>0</v>
      </c>
      <c r="BS303" s="87">
        <f t="shared" si="4413"/>
        <v>0</v>
      </c>
      <c r="BT303" s="87">
        <f t="shared" si="4414"/>
        <v>0</v>
      </c>
      <c r="BU303" s="88">
        <f t="shared" si="4415"/>
        <v>0</v>
      </c>
      <c r="BV303" s="85">
        <f t="shared" si="4416"/>
        <v>0</v>
      </c>
      <c r="BW303" s="86">
        <f t="shared" si="4417"/>
        <v>0</v>
      </c>
      <c r="BX303" s="87">
        <f t="shared" si="4418"/>
        <v>0</v>
      </c>
      <c r="BY303" s="87">
        <f t="shared" si="4419"/>
        <v>0</v>
      </c>
      <c r="BZ303" s="88">
        <f t="shared" si="4420"/>
        <v>0</v>
      </c>
      <c r="CA303" s="85">
        <f t="shared" si="4421"/>
        <v>0</v>
      </c>
      <c r="CB303" s="86">
        <f t="shared" si="4422"/>
        <v>0</v>
      </c>
      <c r="CC303" s="87">
        <f t="shared" si="4423"/>
        <v>0</v>
      </c>
      <c r="CD303" s="87">
        <f t="shared" si="4424"/>
        <v>-0.26495000000000002</v>
      </c>
      <c r="CE303" s="88">
        <f t="shared" si="4425"/>
        <v>-0.26495000000000002</v>
      </c>
      <c r="CF303" s="85">
        <f t="shared" si="4426"/>
        <v>-0.52990000000000004</v>
      </c>
      <c r="CG303" s="86">
        <f t="shared" si="4427"/>
        <v>-0.26495000000000002</v>
      </c>
      <c r="CH303" s="87">
        <f t="shared" si="4428"/>
        <v>-0.26495000000000002</v>
      </c>
      <c r="CI303" s="87">
        <f t="shared" si="4429"/>
        <v>0</v>
      </c>
      <c r="CJ303" s="88">
        <f t="shared" si="4430"/>
        <v>0</v>
      </c>
      <c r="CK303" s="85">
        <f t="shared" si="4431"/>
        <v>-0.52990000000000004</v>
      </c>
      <c r="CL303" s="86">
        <f t="shared" ref="CL303:CL309" si="4532">IF($H303&lt;&gt;CP$5,0,IF(CP303&lt;0,IF($J303=1,-$E303*$I303/12*3,IF($J303=2,-$E303*$I303/12*2,IF($J303=3,-$E303*$I303/12*1,0)))))+IF(CK$5&lt;&gt;$H303,0,IF(CK303&lt;0,IF($J303=1,-$E303*$I303/12*0,IF($J303=2,-$E303*$I303/12*1,IF($J303=3,-$E303*$I303/12*2,IF($J303&gt;=4,-$E303*$I303/12*3,0))))))</f>
        <v>0</v>
      </c>
      <c r="CM303" s="87">
        <f t="shared" ref="CM303:CM309" si="4533">IF($H303&lt;&gt;CP$5,0,IF(CP303&lt;0,IF(OR($J303=1,$J303=2,$J303=3,$J303=4),-$E303*$I303/12*3,IF($J303=5,-$E303*$I303/12*2,IF($J303=6,-$E303*$I303/12*1,0)))))+IF(CK$5&lt;&gt;$H303,0,IF(CK303&lt;0,IF($J303=4,-$E303*$I303/12*0,IF($J303=5,-$E303*$I303/12*1,IF($J303=6,-$E303*$I303/12*2,IF($J303&gt;=7,-$E303*$I303/12*3,0))))))</f>
        <v>0</v>
      </c>
      <c r="CN303" s="87">
        <f t="shared" ref="CN303:CN309" si="4534">IF($H303&lt;&gt;CP$5,0,IF(CP303&lt;0,IF(OR($J303=1,$J303=2,$J303=3,$J303=4,$J303=5,$J303=6,$J303=7),-$E303*$I303/12*3,IF($J303=8,-$E303*$I303/12*2,IF($J303=9,-$E303*$I303/12*1,0)))))+IF(CK$5&lt;&gt;$H303,0,IF(CK303&lt;0,IF($J303=7,-$E303*$I303/12*0,IF($J303=8,-$E303*$I303/12*1,IF($J303=9,-$E303*$I303/12*2,IF($J303&gt;=10,-$E303*$I303/12*3,0))))))</f>
        <v>0</v>
      </c>
      <c r="CO303" s="88">
        <f t="shared" ref="CO303:CO309" si="4535">IF($H303&lt;&gt;CP$5,0,IF(CP303&lt;0,IF(OR($J303=1,$J303=2,$J303=3,$J303=4,$J303=5,$J303=6,$J303=7,$J303=8,$J303=9,$J303=10),-$E303*$I303/12*3,IF($J303=11,-$E303*$I303/12*2,IF($J303=12,-$E303*$I303/12*1,0)))))+IF(CK$5&lt;&gt;$H303,0,IF(CK303&lt;0,IF($J303=10,-$E303*$I303/12*0,IF($J303=11,-$E303*$I303/12*1,IF($J303=12,-$E303*$I303/12*2,0)))))</f>
        <v>0</v>
      </c>
      <c r="CP303" s="85">
        <f t="shared" ref="CP303:CP309" si="4536">IF(AND(CK303&lt;&gt;0,CK$5=$H303),-$I303*$E303-CK303,IF(CP$5=$H303,-$I303*$E303*(12-$J303+1)/12,0))</f>
        <v>0</v>
      </c>
      <c r="CQ303" s="86">
        <f t="shared" ref="CQ303:CQ309" si="4537">IF($H303&lt;&gt;CU$5,0,IF(CU303&lt;0,IF($J303=1,-$E303*$I303/12*3,IF($J303=2,-$E303*$I303/12*2,IF($J303=3,-$E303*$I303/12*1,0)))))+IF(CP$5&lt;&gt;$H303,0,IF(CP303&lt;0,IF($J303=1,-$E303*$I303/12*0,IF($J303=2,-$E303*$I303/12*1,IF($J303=3,-$E303*$I303/12*2,IF($J303&gt;=4,-$E303*$I303/12*3,0))))))</f>
        <v>0</v>
      </c>
      <c r="CR303" s="87">
        <f t="shared" ref="CR303:CR309" si="4538">IF($H303&lt;&gt;CU$5,0,IF(CU303&lt;0,IF(OR($J303=1,$J303=2,$J303=3,$J303=4),-$E303*$I303/12*3,IF($J303=5,-$E303*$I303/12*2,IF($J303=6,-$E303*$I303/12*1,0)))))+IF(CP$5&lt;&gt;$H303,0,IF(CP303&lt;0,IF($J303=4,-$E303*$I303/12*0,IF($J303=5,-$E303*$I303/12*1,IF($J303=6,-$E303*$I303/12*2,IF($J303&gt;=7,-$E303*$I303/12*3,0))))))</f>
        <v>0</v>
      </c>
      <c r="CS303" s="87">
        <f t="shared" ref="CS303:CS309" si="4539">IF($H303&lt;&gt;CU$5,0,IF(CU303&lt;0,IF(OR($J303=1,$J303=2,$J303=3,$J303=4,$J303=5,$J303=6,$J303=7),-$E303*$I303/12*3,IF($J303=8,-$E303*$I303/12*2,IF($J303=9,-$E303*$I303/12*1,0)))))+IF(CP$5&lt;&gt;$H303,0,IF(CP303&lt;0,IF($J303=7,-$E303*$I303/12*0,IF($J303=8,-$E303*$I303/12*1,IF($J303=9,-$E303*$I303/12*2,IF($J303&gt;=10,-$E303*$I303/12*3,0))))))</f>
        <v>0</v>
      </c>
      <c r="CT303" s="88">
        <f t="shared" ref="CT303:CT309" si="4540">IF($H303&lt;&gt;CU$5,0,IF(CU303&lt;0,IF(OR($J303=1,$J303=2,$J303=3,$J303=4,$J303=5,$J303=6,$J303=7,$J303=8,$J303=9,$J303=10),-$E303*$I303/12*3,IF($J303=11,-$E303*$I303/12*2,IF($J303=12,-$E303*$I303/12*1,0)))))+IF(CP$5&lt;&gt;$H303,0,IF(CP303&lt;0,IF($J303=10,-$E303*$I303/12*0,IF($J303=11,-$E303*$I303/12*1,IF($J303=12,-$E303*$I303/12*2,0)))))</f>
        <v>0</v>
      </c>
      <c r="CU303" s="85">
        <f t="shared" ref="CU303:CU309" si="4541">IF(AND(CP303&lt;&gt;0,CP$5=$H303),-$I303*$E303-CP303,IF(CU$5=$H303,-$I303*$E303*(12-$J303+1)/12,0))</f>
        <v>0</v>
      </c>
      <c r="CV303" s="86">
        <f t="shared" ref="CV303:CV309" si="4542">IF($H303&lt;&gt;CZ$5,0,IF(CZ303&lt;0,IF($J303=1,-$E303*$I303/12*3,IF($J303=2,-$E303*$I303/12*2,IF($J303=3,-$E303*$I303/12*1,0)))))+IF(CU$5&lt;&gt;$H303,0,IF(CU303&lt;0,IF($J303=1,-$E303*$I303/12*0,IF($J303=2,-$E303*$I303/12*1,IF($J303=3,-$E303*$I303/12*2,IF($J303&gt;=4,-$E303*$I303/12*3,0))))))</f>
        <v>0</v>
      </c>
      <c r="CW303" s="87">
        <f t="shared" ref="CW303:CW309" si="4543">IF($H303&lt;&gt;CZ$5,0,IF(CZ303&lt;0,IF(OR($J303=1,$J303=2,$J303=3,$J303=4),-$E303*$I303/12*3,IF($J303=5,-$E303*$I303/12*2,IF($J303=6,-$E303*$I303/12*1,0)))))+IF(CU$5&lt;&gt;$H303,0,IF(CU303&lt;0,IF($J303=4,-$E303*$I303/12*0,IF($J303=5,-$E303*$I303/12*1,IF($J303=6,-$E303*$I303/12*2,IF($J303&gt;=7,-$E303*$I303/12*3,0))))))</f>
        <v>0</v>
      </c>
      <c r="CX303" s="87">
        <f t="shared" ref="CX303:CX309" si="4544">IF($H303&lt;&gt;CZ$5,0,IF(CZ303&lt;0,IF(OR($J303=1,$J303=2,$J303=3,$J303=4,$J303=5,$J303=6,$J303=7),-$E303*$I303/12*3,IF($J303=8,-$E303*$I303/12*2,IF($J303=9,-$E303*$I303/12*1,0)))))+IF(CU$5&lt;&gt;$H303,0,IF(CU303&lt;0,IF($J303=7,-$E303*$I303/12*0,IF($J303=8,-$E303*$I303/12*1,IF($J303=9,-$E303*$I303/12*2,IF($J303&gt;=10,-$E303*$I303/12*3,0))))))</f>
        <v>0</v>
      </c>
      <c r="CY303" s="88">
        <f t="shared" ref="CY303:CY309" si="4545">IF($H303&lt;&gt;CZ$5,0,IF(CZ303&lt;0,IF(OR($J303=1,$J303=2,$J303=3,$J303=4,$J303=5,$J303=6,$J303=7,$J303=8,$J303=9,$J303=10),-$E303*$I303/12*3,IF($J303=11,-$E303*$I303/12*2,IF($J303=12,-$E303*$I303/12*1,0)))))+IF(CU$5&lt;&gt;$H303,0,IF(CU303&lt;0,IF($J303=10,-$E303*$I303/12*0,IF($J303=11,-$E303*$I303/12*1,IF($J303=12,-$E303*$I303/12*2,0)))))</f>
        <v>0</v>
      </c>
      <c r="CZ303" s="85">
        <f t="shared" ref="CZ303:CZ309" si="4546">IF(AND(CU303&lt;&gt;0,CU$5=$H303),-$I303*$E303-CU303,IF(CZ$5=$H303,-$I303*$E303*(12-$J303+1)/12,0))</f>
        <v>0</v>
      </c>
    </row>
    <row r="304" spans="1:104" ht="12.75" customHeight="1">
      <c r="A304" s="1817"/>
      <c r="B304" s="2128"/>
      <c r="C304" s="2119">
        <v>6.8099999999999994E-2</v>
      </c>
      <c r="D304" s="139"/>
      <c r="E304" s="2115">
        <f>IF(F304=0,G304,F304)</f>
        <v>4</v>
      </c>
      <c r="F304" s="2313">
        <v>4</v>
      </c>
      <c r="G304" s="1511">
        <v>4</v>
      </c>
      <c r="H304" s="1510">
        <v>2018</v>
      </c>
      <c r="I304" s="1831">
        <v>6.8099999999999994E-2</v>
      </c>
      <c r="J304" s="1832">
        <v>7</v>
      </c>
      <c r="L304" s="2001">
        <f t="shared" si="4355"/>
        <v>0</v>
      </c>
      <c r="M304" s="82">
        <f t="shared" si="4356"/>
        <v>0</v>
      </c>
      <c r="N304" s="83">
        <f t="shared" si="4357"/>
        <v>0</v>
      </c>
      <c r="O304" s="83">
        <f t="shared" si="4358"/>
        <v>0</v>
      </c>
      <c r="P304" s="84">
        <f t="shared" si="4359"/>
        <v>0</v>
      </c>
      <c r="Q304" s="81">
        <f t="shared" si="4360"/>
        <v>0</v>
      </c>
      <c r="R304" s="82">
        <f t="shared" si="4361"/>
        <v>0</v>
      </c>
      <c r="S304" s="83">
        <f t="shared" si="4362"/>
        <v>0</v>
      </c>
      <c r="T304" s="83">
        <f t="shared" si="4363"/>
        <v>0</v>
      </c>
      <c r="U304" s="84">
        <f t="shared" si="4364"/>
        <v>0</v>
      </c>
      <c r="V304" s="81">
        <f t="shared" si="4365"/>
        <v>0</v>
      </c>
      <c r="W304" s="82">
        <f t="shared" si="4366"/>
        <v>0</v>
      </c>
      <c r="X304" s="83">
        <f t="shared" si="4367"/>
        <v>0</v>
      </c>
      <c r="Y304" s="83">
        <f t="shared" si="4368"/>
        <v>0</v>
      </c>
      <c r="Z304" s="84">
        <f t="shared" si="4369"/>
        <v>0</v>
      </c>
      <c r="AA304" s="81">
        <f t="shared" si="4370"/>
        <v>0</v>
      </c>
      <c r="AB304" s="82">
        <f t="shared" si="4371"/>
        <v>0</v>
      </c>
      <c r="AC304" s="83">
        <f t="shared" si="4372"/>
        <v>0</v>
      </c>
      <c r="AD304" s="83">
        <f t="shared" si="4373"/>
        <v>0</v>
      </c>
      <c r="AE304" s="84">
        <f t="shared" si="4374"/>
        <v>0</v>
      </c>
      <c r="AF304" s="81">
        <f t="shared" si="4375"/>
        <v>0</v>
      </c>
      <c r="AG304" s="82">
        <f t="shared" si="4376"/>
        <v>0</v>
      </c>
      <c r="AH304" s="83">
        <f t="shared" si="4377"/>
        <v>0</v>
      </c>
      <c r="AI304" s="83">
        <f t="shared" si="4378"/>
        <v>0</v>
      </c>
      <c r="AJ304" s="84">
        <f t="shared" si="4379"/>
        <v>0</v>
      </c>
      <c r="AK304" s="81">
        <f t="shared" si="4380"/>
        <v>0</v>
      </c>
      <c r="AL304" s="82">
        <f t="shared" si="4381"/>
        <v>0</v>
      </c>
      <c r="AM304" s="83">
        <f t="shared" si="4382"/>
        <v>0</v>
      </c>
      <c r="AN304" s="83">
        <f t="shared" si="4383"/>
        <v>-4</v>
      </c>
      <c r="AO304" s="84">
        <f t="shared" si="4384"/>
        <v>0</v>
      </c>
      <c r="AP304" s="81">
        <f t="shared" si="4385"/>
        <v>-4</v>
      </c>
      <c r="AQ304" s="82">
        <f t="shared" si="4520"/>
        <v>0</v>
      </c>
      <c r="AR304" s="83">
        <f t="shared" si="4521"/>
        <v>0</v>
      </c>
      <c r="AS304" s="83">
        <f t="shared" si="4522"/>
        <v>0</v>
      </c>
      <c r="AT304" s="84">
        <f t="shared" si="4523"/>
        <v>0</v>
      </c>
      <c r="AU304" s="81">
        <f t="shared" si="4390"/>
        <v>0</v>
      </c>
      <c r="AV304" s="82">
        <f t="shared" si="4524"/>
        <v>0</v>
      </c>
      <c r="AW304" s="83">
        <f t="shared" si="4525"/>
        <v>0</v>
      </c>
      <c r="AX304" s="83">
        <f t="shared" si="4526"/>
        <v>0</v>
      </c>
      <c r="AY304" s="84">
        <f t="shared" si="4527"/>
        <v>0</v>
      </c>
      <c r="AZ304" s="81">
        <f t="shared" si="4395"/>
        <v>0</v>
      </c>
      <c r="BA304" s="82">
        <f t="shared" si="4528"/>
        <v>0</v>
      </c>
      <c r="BB304" s="83">
        <f t="shared" si="4529"/>
        <v>0</v>
      </c>
      <c r="BC304" s="83">
        <f t="shared" si="4530"/>
        <v>0</v>
      </c>
      <c r="BD304" s="84">
        <f t="shared" si="4531"/>
        <v>0</v>
      </c>
      <c r="BE304" s="81">
        <f t="shared" si="4400"/>
        <v>0</v>
      </c>
      <c r="BF304" s="1877"/>
      <c r="BG304" s="2005">
        <f t="shared" si="4401"/>
        <v>0</v>
      </c>
      <c r="BH304" s="86">
        <f t="shared" si="4402"/>
        <v>0</v>
      </c>
      <c r="BI304" s="87">
        <f t="shared" si="4403"/>
        <v>0</v>
      </c>
      <c r="BJ304" s="87">
        <f t="shared" si="4404"/>
        <v>0</v>
      </c>
      <c r="BK304" s="88">
        <f t="shared" si="4405"/>
        <v>0</v>
      </c>
      <c r="BL304" s="85">
        <f t="shared" si="4406"/>
        <v>0</v>
      </c>
      <c r="BM304" s="86">
        <f t="shared" si="4407"/>
        <v>0</v>
      </c>
      <c r="BN304" s="87">
        <f t="shared" si="4408"/>
        <v>0</v>
      </c>
      <c r="BO304" s="87">
        <f t="shared" si="4409"/>
        <v>0</v>
      </c>
      <c r="BP304" s="88">
        <f t="shared" si="4410"/>
        <v>0</v>
      </c>
      <c r="BQ304" s="85">
        <f t="shared" si="4411"/>
        <v>0</v>
      </c>
      <c r="BR304" s="86">
        <f t="shared" si="4412"/>
        <v>0</v>
      </c>
      <c r="BS304" s="87">
        <f t="shared" si="4413"/>
        <v>0</v>
      </c>
      <c r="BT304" s="87">
        <f t="shared" si="4414"/>
        <v>0</v>
      </c>
      <c r="BU304" s="88">
        <f t="shared" si="4415"/>
        <v>0</v>
      </c>
      <c r="BV304" s="85">
        <f t="shared" si="4416"/>
        <v>0</v>
      </c>
      <c r="BW304" s="86">
        <f t="shared" si="4417"/>
        <v>0</v>
      </c>
      <c r="BX304" s="87">
        <f t="shared" si="4418"/>
        <v>0</v>
      </c>
      <c r="BY304" s="87">
        <f t="shared" si="4419"/>
        <v>0</v>
      </c>
      <c r="BZ304" s="88">
        <f t="shared" si="4420"/>
        <v>0</v>
      </c>
      <c r="CA304" s="85">
        <f t="shared" si="4421"/>
        <v>0</v>
      </c>
      <c r="CB304" s="86">
        <f t="shared" si="4422"/>
        <v>0</v>
      </c>
      <c r="CC304" s="87">
        <f t="shared" si="4423"/>
        <v>0</v>
      </c>
      <c r="CD304" s="87">
        <f t="shared" si="4424"/>
        <v>0</v>
      </c>
      <c r="CE304" s="88">
        <f t="shared" si="4425"/>
        <v>0</v>
      </c>
      <c r="CF304" s="85">
        <f t="shared" si="4426"/>
        <v>0</v>
      </c>
      <c r="CG304" s="86">
        <f t="shared" si="4427"/>
        <v>0</v>
      </c>
      <c r="CH304" s="87">
        <f t="shared" si="4428"/>
        <v>0</v>
      </c>
      <c r="CI304" s="87">
        <f t="shared" si="4429"/>
        <v>-6.8099999999999994E-2</v>
      </c>
      <c r="CJ304" s="88">
        <f t="shared" si="4430"/>
        <v>-6.8099999999999994E-2</v>
      </c>
      <c r="CK304" s="85">
        <f t="shared" si="4431"/>
        <v>-0.13619999999999999</v>
      </c>
      <c r="CL304" s="86">
        <f t="shared" si="4532"/>
        <v>-6.8099999999999994E-2</v>
      </c>
      <c r="CM304" s="87">
        <f t="shared" si="4533"/>
        <v>-6.8099999999999994E-2</v>
      </c>
      <c r="CN304" s="87">
        <f t="shared" si="4534"/>
        <v>0</v>
      </c>
      <c r="CO304" s="88">
        <f t="shared" si="4535"/>
        <v>0</v>
      </c>
      <c r="CP304" s="85">
        <f t="shared" si="4536"/>
        <v>-0.13619999999999999</v>
      </c>
      <c r="CQ304" s="86">
        <f t="shared" si="4537"/>
        <v>0</v>
      </c>
      <c r="CR304" s="87">
        <f t="shared" si="4538"/>
        <v>0</v>
      </c>
      <c r="CS304" s="87">
        <f t="shared" si="4539"/>
        <v>0</v>
      </c>
      <c r="CT304" s="88">
        <f t="shared" si="4540"/>
        <v>0</v>
      </c>
      <c r="CU304" s="85">
        <f t="shared" si="4541"/>
        <v>0</v>
      </c>
      <c r="CV304" s="86">
        <f t="shared" si="4542"/>
        <v>0</v>
      </c>
      <c r="CW304" s="87">
        <f t="shared" si="4543"/>
        <v>0</v>
      </c>
      <c r="CX304" s="87">
        <f t="shared" si="4544"/>
        <v>0</v>
      </c>
      <c r="CY304" s="88">
        <f t="shared" si="4545"/>
        <v>0</v>
      </c>
      <c r="CZ304" s="85">
        <f t="shared" si="4546"/>
        <v>0</v>
      </c>
    </row>
    <row r="305" spans="1:104" ht="12.75" customHeight="1">
      <c r="A305" s="1817"/>
      <c r="B305" s="2128"/>
      <c r="C305" s="2119">
        <v>7.6100000000000001E-2</v>
      </c>
      <c r="D305" s="139"/>
      <c r="E305" s="2115">
        <f>IF(F305=0,G305,F305)</f>
        <v>12</v>
      </c>
      <c r="F305" s="2313">
        <v>12</v>
      </c>
      <c r="G305" s="1511">
        <v>12</v>
      </c>
      <c r="H305" s="1510">
        <v>2019</v>
      </c>
      <c r="I305" s="1831">
        <v>7.6100000000000001E-2</v>
      </c>
      <c r="J305" s="1832">
        <v>7</v>
      </c>
      <c r="L305" s="2001">
        <f t="shared" si="4355"/>
        <v>0</v>
      </c>
      <c r="M305" s="82">
        <f t="shared" si="4356"/>
        <v>0</v>
      </c>
      <c r="N305" s="83">
        <f t="shared" si="4357"/>
        <v>0</v>
      </c>
      <c r="O305" s="83">
        <f t="shared" si="4358"/>
        <v>0</v>
      </c>
      <c r="P305" s="84">
        <f t="shared" si="4359"/>
        <v>0</v>
      </c>
      <c r="Q305" s="81">
        <f t="shared" si="4360"/>
        <v>0</v>
      </c>
      <c r="R305" s="82">
        <f t="shared" si="4361"/>
        <v>0</v>
      </c>
      <c r="S305" s="83">
        <f t="shared" si="4362"/>
        <v>0</v>
      </c>
      <c r="T305" s="83">
        <f t="shared" si="4363"/>
        <v>0</v>
      </c>
      <c r="U305" s="84">
        <f t="shared" si="4364"/>
        <v>0</v>
      </c>
      <c r="V305" s="81">
        <f t="shared" si="4365"/>
        <v>0</v>
      </c>
      <c r="W305" s="82">
        <f t="shared" si="4366"/>
        <v>0</v>
      </c>
      <c r="X305" s="83">
        <f t="shared" si="4367"/>
        <v>0</v>
      </c>
      <c r="Y305" s="83">
        <f t="shared" si="4368"/>
        <v>0</v>
      </c>
      <c r="Z305" s="84">
        <f t="shared" si="4369"/>
        <v>0</v>
      </c>
      <c r="AA305" s="81">
        <f t="shared" si="4370"/>
        <v>0</v>
      </c>
      <c r="AB305" s="82">
        <f t="shared" si="4371"/>
        <v>0</v>
      </c>
      <c r="AC305" s="83">
        <f t="shared" si="4372"/>
        <v>0</v>
      </c>
      <c r="AD305" s="83">
        <f t="shared" si="4373"/>
        <v>0</v>
      </c>
      <c r="AE305" s="84">
        <f t="shared" si="4374"/>
        <v>0</v>
      </c>
      <c r="AF305" s="81">
        <f t="shared" si="4375"/>
        <v>0</v>
      </c>
      <c r="AG305" s="82">
        <f t="shared" si="4376"/>
        <v>0</v>
      </c>
      <c r="AH305" s="83">
        <f t="shared" si="4377"/>
        <v>0</v>
      </c>
      <c r="AI305" s="83">
        <f t="shared" si="4378"/>
        <v>0</v>
      </c>
      <c r="AJ305" s="84">
        <f t="shared" si="4379"/>
        <v>0</v>
      </c>
      <c r="AK305" s="81">
        <f t="shared" si="4380"/>
        <v>0</v>
      </c>
      <c r="AL305" s="82">
        <f t="shared" si="4381"/>
        <v>0</v>
      </c>
      <c r="AM305" s="83">
        <f t="shared" si="4382"/>
        <v>0</v>
      </c>
      <c r="AN305" s="83">
        <f t="shared" si="4383"/>
        <v>0</v>
      </c>
      <c r="AO305" s="84">
        <f t="shared" si="4384"/>
        <v>0</v>
      </c>
      <c r="AP305" s="81">
        <f t="shared" si="4385"/>
        <v>0</v>
      </c>
      <c r="AQ305" s="82">
        <f t="shared" si="4520"/>
        <v>0</v>
      </c>
      <c r="AR305" s="83">
        <f t="shared" si="4521"/>
        <v>0</v>
      </c>
      <c r="AS305" s="83">
        <f t="shared" si="4522"/>
        <v>-12</v>
      </c>
      <c r="AT305" s="84">
        <f t="shared" si="4523"/>
        <v>0</v>
      </c>
      <c r="AU305" s="81">
        <f t="shared" si="4390"/>
        <v>-12</v>
      </c>
      <c r="AV305" s="82">
        <f t="shared" si="4524"/>
        <v>0</v>
      </c>
      <c r="AW305" s="83">
        <f t="shared" si="4525"/>
        <v>0</v>
      </c>
      <c r="AX305" s="83">
        <f t="shared" si="4526"/>
        <v>0</v>
      </c>
      <c r="AY305" s="84">
        <f t="shared" si="4527"/>
        <v>0</v>
      </c>
      <c r="AZ305" s="81">
        <f t="shared" si="4395"/>
        <v>0</v>
      </c>
      <c r="BA305" s="82">
        <f t="shared" si="4528"/>
        <v>0</v>
      </c>
      <c r="BB305" s="83">
        <f t="shared" si="4529"/>
        <v>0</v>
      </c>
      <c r="BC305" s="83">
        <f t="shared" si="4530"/>
        <v>0</v>
      </c>
      <c r="BD305" s="84">
        <f t="shared" si="4531"/>
        <v>0</v>
      </c>
      <c r="BE305" s="81">
        <f t="shared" si="4400"/>
        <v>0</v>
      </c>
      <c r="BF305" s="1877"/>
      <c r="BG305" s="2005">
        <f t="shared" si="4401"/>
        <v>0</v>
      </c>
      <c r="BH305" s="86">
        <f t="shared" si="4402"/>
        <v>0</v>
      </c>
      <c r="BI305" s="87">
        <f t="shared" si="4403"/>
        <v>0</v>
      </c>
      <c r="BJ305" s="87">
        <f t="shared" si="4404"/>
        <v>0</v>
      </c>
      <c r="BK305" s="88">
        <f t="shared" si="4405"/>
        <v>0</v>
      </c>
      <c r="BL305" s="85">
        <f t="shared" si="4406"/>
        <v>0</v>
      </c>
      <c r="BM305" s="86">
        <f t="shared" si="4407"/>
        <v>0</v>
      </c>
      <c r="BN305" s="87">
        <f t="shared" si="4408"/>
        <v>0</v>
      </c>
      <c r="BO305" s="87">
        <f t="shared" si="4409"/>
        <v>0</v>
      </c>
      <c r="BP305" s="88">
        <f t="shared" si="4410"/>
        <v>0</v>
      </c>
      <c r="BQ305" s="85">
        <f t="shared" si="4411"/>
        <v>0</v>
      </c>
      <c r="BR305" s="86">
        <f t="shared" si="4412"/>
        <v>0</v>
      </c>
      <c r="BS305" s="87">
        <f t="shared" si="4413"/>
        <v>0</v>
      </c>
      <c r="BT305" s="87">
        <f t="shared" si="4414"/>
        <v>0</v>
      </c>
      <c r="BU305" s="88">
        <f t="shared" si="4415"/>
        <v>0</v>
      </c>
      <c r="BV305" s="85">
        <f t="shared" si="4416"/>
        <v>0</v>
      </c>
      <c r="BW305" s="86">
        <f t="shared" si="4417"/>
        <v>0</v>
      </c>
      <c r="BX305" s="87">
        <f t="shared" si="4418"/>
        <v>0</v>
      </c>
      <c r="BY305" s="87">
        <f t="shared" si="4419"/>
        <v>0</v>
      </c>
      <c r="BZ305" s="88">
        <f t="shared" si="4420"/>
        <v>0</v>
      </c>
      <c r="CA305" s="85">
        <f t="shared" si="4421"/>
        <v>0</v>
      </c>
      <c r="CB305" s="86">
        <f t="shared" si="4422"/>
        <v>0</v>
      </c>
      <c r="CC305" s="87">
        <f t="shared" si="4423"/>
        <v>0</v>
      </c>
      <c r="CD305" s="87">
        <f t="shared" si="4424"/>
        <v>0</v>
      </c>
      <c r="CE305" s="88">
        <f t="shared" si="4425"/>
        <v>0</v>
      </c>
      <c r="CF305" s="85">
        <f t="shared" si="4426"/>
        <v>0</v>
      </c>
      <c r="CG305" s="86">
        <f t="shared" si="4427"/>
        <v>0</v>
      </c>
      <c r="CH305" s="87">
        <f t="shared" si="4428"/>
        <v>0</v>
      </c>
      <c r="CI305" s="87">
        <f t="shared" si="4429"/>
        <v>0</v>
      </c>
      <c r="CJ305" s="88">
        <f t="shared" si="4430"/>
        <v>0</v>
      </c>
      <c r="CK305" s="85">
        <f t="shared" si="4431"/>
        <v>0</v>
      </c>
      <c r="CL305" s="86">
        <f t="shared" si="4532"/>
        <v>0</v>
      </c>
      <c r="CM305" s="87">
        <f t="shared" si="4533"/>
        <v>0</v>
      </c>
      <c r="CN305" s="87">
        <f t="shared" si="4534"/>
        <v>-0.2283</v>
      </c>
      <c r="CO305" s="88">
        <f t="shared" si="4535"/>
        <v>-0.2283</v>
      </c>
      <c r="CP305" s="85">
        <f t="shared" si="4536"/>
        <v>-0.45660000000000006</v>
      </c>
      <c r="CQ305" s="86">
        <f t="shared" si="4537"/>
        <v>-0.2283</v>
      </c>
      <c r="CR305" s="87">
        <f t="shared" si="4538"/>
        <v>-0.2283</v>
      </c>
      <c r="CS305" s="87">
        <f t="shared" si="4539"/>
        <v>0</v>
      </c>
      <c r="CT305" s="88">
        <f t="shared" si="4540"/>
        <v>0</v>
      </c>
      <c r="CU305" s="85">
        <f t="shared" si="4541"/>
        <v>-0.45659999999999995</v>
      </c>
      <c r="CV305" s="86">
        <f t="shared" si="4542"/>
        <v>0</v>
      </c>
      <c r="CW305" s="87">
        <f t="shared" si="4543"/>
        <v>0</v>
      </c>
      <c r="CX305" s="87">
        <f t="shared" si="4544"/>
        <v>0</v>
      </c>
      <c r="CY305" s="88">
        <f t="shared" si="4545"/>
        <v>0</v>
      </c>
      <c r="CZ305" s="85">
        <f t="shared" si="4546"/>
        <v>0</v>
      </c>
    </row>
    <row r="306" spans="1:104" ht="12.75" customHeight="1">
      <c r="A306" s="1817"/>
      <c r="B306" s="2128"/>
      <c r="C306" s="2119">
        <v>7.7200000000000005E-2</v>
      </c>
      <c r="D306" s="139"/>
      <c r="E306" s="2115">
        <f>IF(F306=0,G306,F306)</f>
        <v>10</v>
      </c>
      <c r="F306" s="2313">
        <v>10</v>
      </c>
      <c r="G306" s="1511">
        <v>10</v>
      </c>
      <c r="H306" s="1510">
        <v>2027</v>
      </c>
      <c r="I306" s="1831">
        <v>7.7200000000000005E-2</v>
      </c>
      <c r="J306" s="1832">
        <v>7</v>
      </c>
      <c r="L306" s="2001">
        <f t="shared" si="4355"/>
        <v>0</v>
      </c>
      <c r="M306" s="82">
        <f t="shared" si="4356"/>
        <v>0</v>
      </c>
      <c r="N306" s="83">
        <f t="shared" si="4357"/>
        <v>0</v>
      </c>
      <c r="O306" s="83">
        <f t="shared" si="4358"/>
        <v>0</v>
      </c>
      <c r="P306" s="84">
        <f t="shared" si="4359"/>
        <v>0</v>
      </c>
      <c r="Q306" s="81">
        <f t="shared" si="4360"/>
        <v>0</v>
      </c>
      <c r="R306" s="82">
        <f t="shared" si="4361"/>
        <v>0</v>
      </c>
      <c r="S306" s="83">
        <f t="shared" si="4362"/>
        <v>0</v>
      </c>
      <c r="T306" s="83">
        <f t="shared" si="4363"/>
        <v>0</v>
      </c>
      <c r="U306" s="84">
        <f t="shared" si="4364"/>
        <v>0</v>
      </c>
      <c r="V306" s="81">
        <f t="shared" si="4365"/>
        <v>0</v>
      </c>
      <c r="W306" s="82">
        <f t="shared" si="4366"/>
        <v>0</v>
      </c>
      <c r="X306" s="83">
        <f t="shared" si="4367"/>
        <v>0</v>
      </c>
      <c r="Y306" s="83">
        <f t="shared" si="4368"/>
        <v>0</v>
      </c>
      <c r="Z306" s="84">
        <f t="shared" si="4369"/>
        <v>0</v>
      </c>
      <c r="AA306" s="81">
        <f t="shared" si="4370"/>
        <v>0</v>
      </c>
      <c r="AB306" s="82">
        <f t="shared" si="4371"/>
        <v>0</v>
      </c>
      <c r="AC306" s="83">
        <f t="shared" si="4372"/>
        <v>0</v>
      </c>
      <c r="AD306" s="83">
        <f t="shared" si="4373"/>
        <v>0</v>
      </c>
      <c r="AE306" s="84">
        <f t="shared" si="4374"/>
        <v>0</v>
      </c>
      <c r="AF306" s="81">
        <f t="shared" si="4375"/>
        <v>0</v>
      </c>
      <c r="AG306" s="82">
        <f t="shared" si="4376"/>
        <v>0</v>
      </c>
      <c r="AH306" s="83">
        <f t="shared" si="4377"/>
        <v>0</v>
      </c>
      <c r="AI306" s="83">
        <f t="shared" si="4378"/>
        <v>0</v>
      </c>
      <c r="AJ306" s="84">
        <f t="shared" si="4379"/>
        <v>0</v>
      </c>
      <c r="AK306" s="81">
        <f t="shared" si="4380"/>
        <v>0</v>
      </c>
      <c r="AL306" s="82">
        <f t="shared" si="4381"/>
        <v>0</v>
      </c>
      <c r="AM306" s="83">
        <f t="shared" si="4382"/>
        <v>0</v>
      </c>
      <c r="AN306" s="83">
        <f t="shared" si="4383"/>
        <v>0</v>
      </c>
      <c r="AO306" s="84">
        <f t="shared" si="4384"/>
        <v>0</v>
      </c>
      <c r="AP306" s="81">
        <f t="shared" si="4385"/>
        <v>0</v>
      </c>
      <c r="AQ306" s="82">
        <f t="shared" si="4520"/>
        <v>0</v>
      </c>
      <c r="AR306" s="83">
        <f t="shared" si="4521"/>
        <v>0</v>
      </c>
      <c r="AS306" s="83">
        <f t="shared" si="4522"/>
        <v>0</v>
      </c>
      <c r="AT306" s="84">
        <f t="shared" si="4523"/>
        <v>0</v>
      </c>
      <c r="AU306" s="81">
        <f t="shared" si="4390"/>
        <v>0</v>
      </c>
      <c r="AV306" s="82">
        <f t="shared" si="4524"/>
        <v>0</v>
      </c>
      <c r="AW306" s="83">
        <f t="shared" si="4525"/>
        <v>0</v>
      </c>
      <c r="AX306" s="83">
        <f t="shared" si="4526"/>
        <v>0</v>
      </c>
      <c r="AY306" s="84">
        <f t="shared" si="4527"/>
        <v>0</v>
      </c>
      <c r="AZ306" s="81">
        <f t="shared" si="4395"/>
        <v>0</v>
      </c>
      <c r="BA306" s="82">
        <f t="shared" si="4528"/>
        <v>0</v>
      </c>
      <c r="BB306" s="83">
        <f t="shared" si="4529"/>
        <v>0</v>
      </c>
      <c r="BC306" s="83">
        <f t="shared" si="4530"/>
        <v>0</v>
      </c>
      <c r="BD306" s="84">
        <f t="shared" si="4531"/>
        <v>0</v>
      </c>
      <c r="BE306" s="81">
        <f t="shared" si="4400"/>
        <v>0</v>
      </c>
      <c r="BF306" s="1877"/>
      <c r="BG306" s="2005">
        <f t="shared" si="4401"/>
        <v>0</v>
      </c>
      <c r="BH306" s="86">
        <f t="shared" si="4402"/>
        <v>0</v>
      </c>
      <c r="BI306" s="87">
        <f t="shared" si="4403"/>
        <v>0</v>
      </c>
      <c r="BJ306" s="87">
        <f t="shared" si="4404"/>
        <v>0</v>
      </c>
      <c r="BK306" s="88">
        <f t="shared" si="4405"/>
        <v>0</v>
      </c>
      <c r="BL306" s="85">
        <f t="shared" si="4406"/>
        <v>0</v>
      </c>
      <c r="BM306" s="86">
        <f t="shared" si="4407"/>
        <v>0</v>
      </c>
      <c r="BN306" s="87">
        <f t="shared" si="4408"/>
        <v>0</v>
      </c>
      <c r="BO306" s="87">
        <f t="shared" si="4409"/>
        <v>0</v>
      </c>
      <c r="BP306" s="88">
        <f t="shared" si="4410"/>
        <v>0</v>
      </c>
      <c r="BQ306" s="85">
        <f t="shared" si="4411"/>
        <v>0</v>
      </c>
      <c r="BR306" s="86">
        <f t="shared" si="4412"/>
        <v>0</v>
      </c>
      <c r="BS306" s="87">
        <f t="shared" si="4413"/>
        <v>0</v>
      </c>
      <c r="BT306" s="87">
        <f t="shared" si="4414"/>
        <v>0</v>
      </c>
      <c r="BU306" s="88">
        <f t="shared" si="4415"/>
        <v>0</v>
      </c>
      <c r="BV306" s="85">
        <f t="shared" si="4416"/>
        <v>0</v>
      </c>
      <c r="BW306" s="86">
        <f t="shared" si="4417"/>
        <v>0</v>
      </c>
      <c r="BX306" s="87">
        <f t="shared" si="4418"/>
        <v>0</v>
      </c>
      <c r="BY306" s="87">
        <f t="shared" si="4419"/>
        <v>0</v>
      </c>
      <c r="BZ306" s="88">
        <f t="shared" si="4420"/>
        <v>0</v>
      </c>
      <c r="CA306" s="85">
        <f t="shared" si="4421"/>
        <v>0</v>
      </c>
      <c r="CB306" s="86">
        <f t="shared" si="4422"/>
        <v>0</v>
      </c>
      <c r="CC306" s="87">
        <f t="shared" si="4423"/>
        <v>0</v>
      </c>
      <c r="CD306" s="87">
        <f t="shared" si="4424"/>
        <v>0</v>
      </c>
      <c r="CE306" s="88">
        <f t="shared" si="4425"/>
        <v>0</v>
      </c>
      <c r="CF306" s="85">
        <f t="shared" si="4426"/>
        <v>0</v>
      </c>
      <c r="CG306" s="86">
        <f t="shared" si="4427"/>
        <v>0</v>
      </c>
      <c r="CH306" s="87">
        <f t="shared" si="4428"/>
        <v>0</v>
      </c>
      <c r="CI306" s="87">
        <f t="shared" si="4429"/>
        <v>0</v>
      </c>
      <c r="CJ306" s="88">
        <f t="shared" si="4430"/>
        <v>0</v>
      </c>
      <c r="CK306" s="85">
        <f t="shared" si="4431"/>
        <v>0</v>
      </c>
      <c r="CL306" s="86">
        <f t="shared" si="4532"/>
        <v>0</v>
      </c>
      <c r="CM306" s="87">
        <f t="shared" si="4533"/>
        <v>0</v>
      </c>
      <c r="CN306" s="87">
        <f t="shared" si="4534"/>
        <v>0</v>
      </c>
      <c r="CO306" s="88">
        <f t="shared" si="4535"/>
        <v>0</v>
      </c>
      <c r="CP306" s="85">
        <f t="shared" si="4536"/>
        <v>0</v>
      </c>
      <c r="CQ306" s="86">
        <f t="shared" si="4537"/>
        <v>0</v>
      </c>
      <c r="CR306" s="87">
        <f t="shared" si="4538"/>
        <v>0</v>
      </c>
      <c r="CS306" s="87">
        <f t="shared" si="4539"/>
        <v>0</v>
      </c>
      <c r="CT306" s="88">
        <f t="shared" si="4540"/>
        <v>0</v>
      </c>
      <c r="CU306" s="85">
        <f t="shared" si="4541"/>
        <v>0</v>
      </c>
      <c r="CV306" s="86">
        <f t="shared" si="4542"/>
        <v>0</v>
      </c>
      <c r="CW306" s="87">
        <f t="shared" si="4543"/>
        <v>0</v>
      </c>
      <c r="CX306" s="87">
        <f t="shared" si="4544"/>
        <v>0</v>
      </c>
      <c r="CY306" s="88">
        <f t="shared" si="4545"/>
        <v>0</v>
      </c>
      <c r="CZ306" s="85">
        <f t="shared" si="4546"/>
        <v>0</v>
      </c>
    </row>
    <row r="307" spans="1:104" ht="12.75" customHeight="1">
      <c r="A307" s="1817"/>
      <c r="B307" s="1817"/>
      <c r="C307" s="2119"/>
      <c r="D307" s="139"/>
      <c r="E307" s="2115"/>
      <c r="F307" s="2313"/>
      <c r="G307" s="1511"/>
      <c r="H307" s="1510"/>
      <c r="I307" s="1831"/>
      <c r="J307" s="1832"/>
      <c r="L307" s="2001">
        <f t="shared" si="4355"/>
        <v>0</v>
      </c>
      <c r="M307" s="82">
        <f t="shared" si="4356"/>
        <v>0</v>
      </c>
      <c r="N307" s="83">
        <f t="shared" si="4357"/>
        <v>0</v>
      </c>
      <c r="O307" s="83">
        <f t="shared" si="4358"/>
        <v>0</v>
      </c>
      <c r="P307" s="84">
        <f t="shared" si="4359"/>
        <v>0</v>
      </c>
      <c r="Q307" s="81">
        <f t="shared" si="4360"/>
        <v>0</v>
      </c>
      <c r="R307" s="82">
        <f t="shared" si="4361"/>
        <v>0</v>
      </c>
      <c r="S307" s="83">
        <f t="shared" si="4362"/>
        <v>0</v>
      </c>
      <c r="T307" s="83">
        <f t="shared" si="4363"/>
        <v>0</v>
      </c>
      <c r="U307" s="84">
        <f t="shared" si="4364"/>
        <v>0</v>
      </c>
      <c r="V307" s="81">
        <f t="shared" si="4365"/>
        <v>0</v>
      </c>
      <c r="W307" s="82">
        <f t="shared" si="4366"/>
        <v>0</v>
      </c>
      <c r="X307" s="83">
        <f t="shared" si="4367"/>
        <v>0</v>
      </c>
      <c r="Y307" s="83">
        <f t="shared" si="4368"/>
        <v>0</v>
      </c>
      <c r="Z307" s="84">
        <f t="shared" si="4369"/>
        <v>0</v>
      </c>
      <c r="AA307" s="81">
        <f t="shared" si="4370"/>
        <v>0</v>
      </c>
      <c r="AB307" s="82">
        <f t="shared" si="4371"/>
        <v>0</v>
      </c>
      <c r="AC307" s="83">
        <f t="shared" si="4372"/>
        <v>0</v>
      </c>
      <c r="AD307" s="83">
        <f t="shared" si="4373"/>
        <v>0</v>
      </c>
      <c r="AE307" s="84">
        <f t="shared" si="4374"/>
        <v>0</v>
      </c>
      <c r="AF307" s="81">
        <f t="shared" si="4375"/>
        <v>0</v>
      </c>
      <c r="AG307" s="82">
        <f t="shared" si="4376"/>
        <v>0</v>
      </c>
      <c r="AH307" s="83">
        <f t="shared" si="4377"/>
        <v>0</v>
      </c>
      <c r="AI307" s="83">
        <f t="shared" si="4378"/>
        <v>0</v>
      </c>
      <c r="AJ307" s="84">
        <f t="shared" si="4379"/>
        <v>0</v>
      </c>
      <c r="AK307" s="81">
        <f t="shared" si="4380"/>
        <v>0</v>
      </c>
      <c r="AL307" s="82">
        <f t="shared" si="4381"/>
        <v>0</v>
      </c>
      <c r="AM307" s="83">
        <f t="shared" si="4382"/>
        <v>0</v>
      </c>
      <c r="AN307" s="83">
        <f t="shared" si="4383"/>
        <v>0</v>
      </c>
      <c r="AO307" s="84">
        <f t="shared" si="4384"/>
        <v>0</v>
      </c>
      <c r="AP307" s="81">
        <f t="shared" si="4385"/>
        <v>0</v>
      </c>
      <c r="AQ307" s="82">
        <f t="shared" si="4520"/>
        <v>0</v>
      </c>
      <c r="AR307" s="83">
        <f t="shared" si="4521"/>
        <v>0</v>
      </c>
      <c r="AS307" s="83">
        <f t="shared" si="4522"/>
        <v>0</v>
      </c>
      <c r="AT307" s="84">
        <f t="shared" si="4523"/>
        <v>0</v>
      </c>
      <c r="AU307" s="81">
        <f t="shared" si="4390"/>
        <v>0</v>
      </c>
      <c r="AV307" s="82">
        <f t="shared" si="4524"/>
        <v>0</v>
      </c>
      <c r="AW307" s="83">
        <f t="shared" si="4525"/>
        <v>0</v>
      </c>
      <c r="AX307" s="83">
        <f t="shared" si="4526"/>
        <v>0</v>
      </c>
      <c r="AY307" s="84">
        <f t="shared" si="4527"/>
        <v>0</v>
      </c>
      <c r="AZ307" s="81">
        <f t="shared" si="4395"/>
        <v>0</v>
      </c>
      <c r="BA307" s="82">
        <f t="shared" si="4528"/>
        <v>0</v>
      </c>
      <c r="BB307" s="83">
        <f t="shared" si="4529"/>
        <v>0</v>
      </c>
      <c r="BC307" s="83">
        <f t="shared" si="4530"/>
        <v>0</v>
      </c>
      <c r="BD307" s="84">
        <f t="shared" si="4531"/>
        <v>0</v>
      </c>
      <c r="BE307" s="81">
        <f t="shared" si="4400"/>
        <v>0</v>
      </c>
      <c r="BF307" s="1877"/>
      <c r="BG307" s="2005">
        <f t="shared" si="4401"/>
        <v>0</v>
      </c>
      <c r="BH307" s="86">
        <f t="shared" si="4402"/>
        <v>0</v>
      </c>
      <c r="BI307" s="87">
        <f t="shared" si="4403"/>
        <v>0</v>
      </c>
      <c r="BJ307" s="87">
        <f t="shared" si="4404"/>
        <v>0</v>
      </c>
      <c r="BK307" s="88">
        <f t="shared" si="4405"/>
        <v>0</v>
      </c>
      <c r="BL307" s="85">
        <f t="shared" si="4406"/>
        <v>0</v>
      </c>
      <c r="BM307" s="86">
        <f t="shared" si="4407"/>
        <v>0</v>
      </c>
      <c r="BN307" s="87">
        <f t="shared" si="4408"/>
        <v>0</v>
      </c>
      <c r="BO307" s="87">
        <f t="shared" si="4409"/>
        <v>0</v>
      </c>
      <c r="BP307" s="88">
        <f t="shared" si="4410"/>
        <v>0</v>
      </c>
      <c r="BQ307" s="85">
        <f t="shared" si="4411"/>
        <v>0</v>
      </c>
      <c r="BR307" s="86">
        <f t="shared" si="4412"/>
        <v>0</v>
      </c>
      <c r="BS307" s="87">
        <f t="shared" si="4413"/>
        <v>0</v>
      </c>
      <c r="BT307" s="87">
        <f t="shared" si="4414"/>
        <v>0</v>
      </c>
      <c r="BU307" s="88">
        <f t="shared" si="4415"/>
        <v>0</v>
      </c>
      <c r="BV307" s="85">
        <f t="shared" si="4416"/>
        <v>0</v>
      </c>
      <c r="BW307" s="86">
        <f t="shared" si="4417"/>
        <v>0</v>
      </c>
      <c r="BX307" s="87">
        <f t="shared" si="4418"/>
        <v>0</v>
      </c>
      <c r="BY307" s="87">
        <f t="shared" si="4419"/>
        <v>0</v>
      </c>
      <c r="BZ307" s="88">
        <f t="shared" si="4420"/>
        <v>0</v>
      </c>
      <c r="CA307" s="85">
        <f t="shared" si="4421"/>
        <v>0</v>
      </c>
      <c r="CB307" s="86">
        <f t="shared" si="4422"/>
        <v>0</v>
      </c>
      <c r="CC307" s="87">
        <f t="shared" si="4423"/>
        <v>0</v>
      </c>
      <c r="CD307" s="87">
        <f t="shared" si="4424"/>
        <v>0</v>
      </c>
      <c r="CE307" s="88">
        <f t="shared" si="4425"/>
        <v>0</v>
      </c>
      <c r="CF307" s="85">
        <f t="shared" si="4426"/>
        <v>0</v>
      </c>
      <c r="CG307" s="86">
        <f t="shared" si="4427"/>
        <v>0</v>
      </c>
      <c r="CH307" s="87">
        <f t="shared" si="4428"/>
        <v>0</v>
      </c>
      <c r="CI307" s="87">
        <f t="shared" si="4429"/>
        <v>0</v>
      </c>
      <c r="CJ307" s="88">
        <f t="shared" si="4430"/>
        <v>0</v>
      </c>
      <c r="CK307" s="85">
        <f t="shared" si="4431"/>
        <v>0</v>
      </c>
      <c r="CL307" s="86">
        <f t="shared" si="4532"/>
        <v>0</v>
      </c>
      <c r="CM307" s="87">
        <f t="shared" si="4533"/>
        <v>0</v>
      </c>
      <c r="CN307" s="87">
        <f t="shared" si="4534"/>
        <v>0</v>
      </c>
      <c r="CO307" s="88">
        <f t="shared" si="4535"/>
        <v>0</v>
      </c>
      <c r="CP307" s="85">
        <f t="shared" si="4536"/>
        <v>0</v>
      </c>
      <c r="CQ307" s="86">
        <f t="shared" si="4537"/>
        <v>0</v>
      </c>
      <c r="CR307" s="87">
        <f t="shared" si="4538"/>
        <v>0</v>
      </c>
      <c r="CS307" s="87">
        <f t="shared" si="4539"/>
        <v>0</v>
      </c>
      <c r="CT307" s="88">
        <f t="shared" si="4540"/>
        <v>0</v>
      </c>
      <c r="CU307" s="85">
        <f t="shared" si="4541"/>
        <v>0</v>
      </c>
      <c r="CV307" s="86">
        <f t="shared" si="4542"/>
        <v>0</v>
      </c>
      <c r="CW307" s="87">
        <f t="shared" si="4543"/>
        <v>0</v>
      </c>
      <c r="CX307" s="87">
        <f t="shared" si="4544"/>
        <v>0</v>
      </c>
      <c r="CY307" s="88">
        <f t="shared" si="4545"/>
        <v>0</v>
      </c>
      <c r="CZ307" s="85">
        <f t="shared" si="4546"/>
        <v>0</v>
      </c>
    </row>
    <row r="308" spans="1:104" ht="12.75" customHeight="1">
      <c r="A308" s="1817"/>
      <c r="B308" s="1817"/>
      <c r="C308" s="1829" t="s">
        <v>784</v>
      </c>
      <c r="D308" s="2114"/>
      <c r="E308" s="2115"/>
      <c r="F308" s="2316"/>
      <c r="G308" s="2118"/>
      <c r="H308" s="1510"/>
      <c r="I308" s="1831"/>
      <c r="J308" s="1861"/>
      <c r="L308" s="2001">
        <f t="shared" si="4355"/>
        <v>0</v>
      </c>
      <c r="M308" s="82">
        <f t="shared" si="4356"/>
        <v>0</v>
      </c>
      <c r="N308" s="83">
        <f t="shared" si="4357"/>
        <v>0</v>
      </c>
      <c r="O308" s="83">
        <f t="shared" si="4358"/>
        <v>0</v>
      </c>
      <c r="P308" s="84">
        <f t="shared" si="4359"/>
        <v>0</v>
      </c>
      <c r="Q308" s="81">
        <f t="shared" si="4360"/>
        <v>0</v>
      </c>
      <c r="R308" s="82">
        <f t="shared" si="4361"/>
        <v>0</v>
      </c>
      <c r="S308" s="83">
        <f t="shared" si="4362"/>
        <v>0</v>
      </c>
      <c r="T308" s="83">
        <f t="shared" si="4363"/>
        <v>0</v>
      </c>
      <c r="U308" s="84">
        <f t="shared" si="4364"/>
        <v>0</v>
      </c>
      <c r="V308" s="81">
        <f t="shared" si="4365"/>
        <v>0</v>
      </c>
      <c r="W308" s="82">
        <f t="shared" si="4366"/>
        <v>0</v>
      </c>
      <c r="X308" s="83">
        <f t="shared" si="4367"/>
        <v>0</v>
      </c>
      <c r="Y308" s="83">
        <f t="shared" si="4368"/>
        <v>0</v>
      </c>
      <c r="Z308" s="84">
        <f t="shared" si="4369"/>
        <v>0</v>
      </c>
      <c r="AA308" s="81">
        <f t="shared" si="4370"/>
        <v>0</v>
      </c>
      <c r="AB308" s="82">
        <f t="shared" si="4371"/>
        <v>0</v>
      </c>
      <c r="AC308" s="83">
        <f t="shared" si="4372"/>
        <v>0</v>
      </c>
      <c r="AD308" s="83">
        <f t="shared" si="4373"/>
        <v>0</v>
      </c>
      <c r="AE308" s="84">
        <f t="shared" si="4374"/>
        <v>0</v>
      </c>
      <c r="AF308" s="81">
        <f t="shared" si="4375"/>
        <v>0</v>
      </c>
      <c r="AG308" s="82">
        <f t="shared" si="4376"/>
        <v>0</v>
      </c>
      <c r="AH308" s="83">
        <f t="shared" si="4377"/>
        <v>0</v>
      </c>
      <c r="AI308" s="83">
        <f t="shared" si="4378"/>
        <v>0</v>
      </c>
      <c r="AJ308" s="84">
        <f t="shared" si="4379"/>
        <v>0</v>
      </c>
      <c r="AK308" s="81">
        <f t="shared" si="4380"/>
        <v>0</v>
      </c>
      <c r="AL308" s="82">
        <f t="shared" si="4381"/>
        <v>0</v>
      </c>
      <c r="AM308" s="83">
        <f t="shared" si="4382"/>
        <v>0</v>
      </c>
      <c r="AN308" s="83">
        <f t="shared" si="4383"/>
        <v>0</v>
      </c>
      <c r="AO308" s="84">
        <f t="shared" si="4384"/>
        <v>0</v>
      </c>
      <c r="AP308" s="81">
        <f t="shared" si="4385"/>
        <v>0</v>
      </c>
      <c r="AQ308" s="82">
        <f t="shared" si="4520"/>
        <v>0</v>
      </c>
      <c r="AR308" s="83">
        <f t="shared" si="4521"/>
        <v>0</v>
      </c>
      <c r="AS308" s="83">
        <f t="shared" si="4522"/>
        <v>0</v>
      </c>
      <c r="AT308" s="84">
        <f t="shared" si="4523"/>
        <v>0</v>
      </c>
      <c r="AU308" s="81">
        <f t="shared" si="4390"/>
        <v>0</v>
      </c>
      <c r="AV308" s="82">
        <f t="shared" si="4524"/>
        <v>0</v>
      </c>
      <c r="AW308" s="83">
        <f t="shared" si="4525"/>
        <v>0</v>
      </c>
      <c r="AX308" s="83">
        <f t="shared" si="4526"/>
        <v>0</v>
      </c>
      <c r="AY308" s="84">
        <f t="shared" si="4527"/>
        <v>0</v>
      </c>
      <c r="AZ308" s="81">
        <f t="shared" si="4395"/>
        <v>0</v>
      </c>
      <c r="BA308" s="82">
        <f t="shared" si="4528"/>
        <v>0</v>
      </c>
      <c r="BB308" s="83">
        <f t="shared" si="4529"/>
        <v>0</v>
      </c>
      <c r="BC308" s="83">
        <f t="shared" si="4530"/>
        <v>0</v>
      </c>
      <c r="BD308" s="84">
        <f t="shared" si="4531"/>
        <v>0</v>
      </c>
      <c r="BE308" s="81">
        <f t="shared" si="4400"/>
        <v>0</v>
      </c>
      <c r="BF308" s="1877"/>
      <c r="BG308" s="2005">
        <f t="shared" si="4401"/>
        <v>0</v>
      </c>
      <c r="BH308" s="86">
        <f t="shared" si="4402"/>
        <v>0</v>
      </c>
      <c r="BI308" s="87">
        <f t="shared" si="4403"/>
        <v>0</v>
      </c>
      <c r="BJ308" s="87">
        <f t="shared" si="4404"/>
        <v>0</v>
      </c>
      <c r="BK308" s="88">
        <f t="shared" si="4405"/>
        <v>0</v>
      </c>
      <c r="BL308" s="85">
        <f t="shared" si="4406"/>
        <v>0</v>
      </c>
      <c r="BM308" s="86">
        <f t="shared" si="4407"/>
        <v>0</v>
      </c>
      <c r="BN308" s="87">
        <f t="shared" si="4408"/>
        <v>0</v>
      </c>
      <c r="BO308" s="87">
        <f t="shared" si="4409"/>
        <v>0</v>
      </c>
      <c r="BP308" s="88">
        <f t="shared" si="4410"/>
        <v>0</v>
      </c>
      <c r="BQ308" s="85">
        <f t="shared" si="4411"/>
        <v>0</v>
      </c>
      <c r="BR308" s="86">
        <f t="shared" si="4412"/>
        <v>0</v>
      </c>
      <c r="BS308" s="87">
        <f t="shared" si="4413"/>
        <v>0</v>
      </c>
      <c r="BT308" s="87">
        <f t="shared" si="4414"/>
        <v>0</v>
      </c>
      <c r="BU308" s="88">
        <f t="shared" si="4415"/>
        <v>0</v>
      </c>
      <c r="BV308" s="85">
        <f t="shared" si="4416"/>
        <v>0</v>
      </c>
      <c r="BW308" s="86">
        <f t="shared" si="4417"/>
        <v>0</v>
      </c>
      <c r="BX308" s="87">
        <f t="shared" si="4418"/>
        <v>0</v>
      </c>
      <c r="BY308" s="87">
        <f t="shared" si="4419"/>
        <v>0</v>
      </c>
      <c r="BZ308" s="88">
        <f t="shared" si="4420"/>
        <v>0</v>
      </c>
      <c r="CA308" s="85">
        <f t="shared" si="4421"/>
        <v>0</v>
      </c>
      <c r="CB308" s="86">
        <f t="shared" si="4422"/>
        <v>0</v>
      </c>
      <c r="CC308" s="87">
        <f t="shared" si="4423"/>
        <v>0</v>
      </c>
      <c r="CD308" s="87">
        <f t="shared" si="4424"/>
        <v>0</v>
      </c>
      <c r="CE308" s="88">
        <f t="shared" si="4425"/>
        <v>0</v>
      </c>
      <c r="CF308" s="85">
        <f t="shared" si="4426"/>
        <v>0</v>
      </c>
      <c r="CG308" s="86">
        <f t="shared" si="4427"/>
        <v>0</v>
      </c>
      <c r="CH308" s="87">
        <f t="shared" si="4428"/>
        <v>0</v>
      </c>
      <c r="CI308" s="87">
        <f t="shared" si="4429"/>
        <v>0</v>
      </c>
      <c r="CJ308" s="88">
        <f t="shared" si="4430"/>
        <v>0</v>
      </c>
      <c r="CK308" s="85">
        <f t="shared" si="4431"/>
        <v>0</v>
      </c>
      <c r="CL308" s="86">
        <f t="shared" si="4532"/>
        <v>0</v>
      </c>
      <c r="CM308" s="87">
        <f t="shared" si="4533"/>
        <v>0</v>
      </c>
      <c r="CN308" s="87">
        <f t="shared" si="4534"/>
        <v>0</v>
      </c>
      <c r="CO308" s="88">
        <f t="shared" si="4535"/>
        <v>0</v>
      </c>
      <c r="CP308" s="85">
        <f t="shared" si="4536"/>
        <v>0</v>
      </c>
      <c r="CQ308" s="86">
        <f t="shared" si="4537"/>
        <v>0</v>
      </c>
      <c r="CR308" s="87">
        <f t="shared" si="4538"/>
        <v>0</v>
      </c>
      <c r="CS308" s="87">
        <f t="shared" si="4539"/>
        <v>0</v>
      </c>
      <c r="CT308" s="88">
        <f t="shared" si="4540"/>
        <v>0</v>
      </c>
      <c r="CU308" s="85">
        <f t="shared" si="4541"/>
        <v>0</v>
      </c>
      <c r="CV308" s="86">
        <f t="shared" si="4542"/>
        <v>0</v>
      </c>
      <c r="CW308" s="87">
        <f t="shared" si="4543"/>
        <v>0</v>
      </c>
      <c r="CX308" s="87">
        <f t="shared" si="4544"/>
        <v>0</v>
      </c>
      <c r="CY308" s="88">
        <f t="shared" si="4545"/>
        <v>0</v>
      </c>
      <c r="CZ308" s="85">
        <f t="shared" si="4546"/>
        <v>0</v>
      </c>
    </row>
    <row r="309" spans="1:104" ht="12.75" customHeight="1">
      <c r="A309" s="1817"/>
      <c r="B309" s="2128"/>
      <c r="C309" s="2119">
        <v>5.3999999999999999E-2</v>
      </c>
      <c r="D309" s="2114"/>
      <c r="E309" s="2115">
        <f>IF(F309=0,G309,F309)</f>
        <v>112</v>
      </c>
      <c r="F309" s="2313">
        <v>112</v>
      </c>
      <c r="G309" s="1511">
        <v>112</v>
      </c>
      <c r="H309" s="1510">
        <v>2031</v>
      </c>
      <c r="I309" s="1831">
        <v>5.3999999999999999E-2</v>
      </c>
      <c r="J309" s="1832">
        <v>7</v>
      </c>
      <c r="L309" s="2001">
        <f t="shared" si="4355"/>
        <v>0</v>
      </c>
      <c r="M309" s="82">
        <f t="shared" si="4356"/>
        <v>0</v>
      </c>
      <c r="N309" s="83">
        <f t="shared" si="4357"/>
        <v>0</v>
      </c>
      <c r="O309" s="83">
        <f t="shared" si="4358"/>
        <v>0</v>
      </c>
      <c r="P309" s="84">
        <f t="shared" si="4359"/>
        <v>0</v>
      </c>
      <c r="Q309" s="81">
        <f t="shared" si="4360"/>
        <v>0</v>
      </c>
      <c r="R309" s="82">
        <f t="shared" si="4361"/>
        <v>0</v>
      </c>
      <c r="S309" s="83">
        <f t="shared" si="4362"/>
        <v>0</v>
      </c>
      <c r="T309" s="83">
        <f t="shared" si="4363"/>
        <v>0</v>
      </c>
      <c r="U309" s="84">
        <f t="shared" si="4364"/>
        <v>0</v>
      </c>
      <c r="V309" s="81">
        <f t="shared" si="4365"/>
        <v>0</v>
      </c>
      <c r="W309" s="82">
        <f t="shared" si="4366"/>
        <v>0</v>
      </c>
      <c r="X309" s="83">
        <f t="shared" si="4367"/>
        <v>0</v>
      </c>
      <c r="Y309" s="83">
        <f t="shared" si="4368"/>
        <v>0</v>
      </c>
      <c r="Z309" s="84">
        <f t="shared" si="4369"/>
        <v>0</v>
      </c>
      <c r="AA309" s="81">
        <f t="shared" si="4370"/>
        <v>0</v>
      </c>
      <c r="AB309" s="82">
        <f t="shared" si="4371"/>
        <v>0</v>
      </c>
      <c r="AC309" s="83">
        <f t="shared" si="4372"/>
        <v>0</v>
      </c>
      <c r="AD309" s="83">
        <f t="shared" si="4373"/>
        <v>0</v>
      </c>
      <c r="AE309" s="84">
        <f t="shared" si="4374"/>
        <v>0</v>
      </c>
      <c r="AF309" s="81">
        <f t="shared" si="4375"/>
        <v>0</v>
      </c>
      <c r="AG309" s="82">
        <f t="shared" si="4376"/>
        <v>0</v>
      </c>
      <c r="AH309" s="83">
        <f t="shared" si="4377"/>
        <v>0</v>
      </c>
      <c r="AI309" s="83">
        <f t="shared" si="4378"/>
        <v>0</v>
      </c>
      <c r="AJ309" s="84">
        <f t="shared" si="4379"/>
        <v>0</v>
      </c>
      <c r="AK309" s="81">
        <f t="shared" si="4380"/>
        <v>0</v>
      </c>
      <c r="AL309" s="82">
        <f t="shared" si="4381"/>
        <v>0</v>
      </c>
      <c r="AM309" s="83">
        <f t="shared" si="4382"/>
        <v>0</v>
      </c>
      <c r="AN309" s="83">
        <f t="shared" si="4383"/>
        <v>0</v>
      </c>
      <c r="AO309" s="84">
        <f t="shared" si="4384"/>
        <v>0</v>
      </c>
      <c r="AP309" s="81">
        <f t="shared" si="4385"/>
        <v>0</v>
      </c>
      <c r="AQ309" s="82">
        <f t="shared" si="4520"/>
        <v>0</v>
      </c>
      <c r="AR309" s="83">
        <f t="shared" si="4521"/>
        <v>0</v>
      </c>
      <c r="AS309" s="83">
        <f t="shared" si="4522"/>
        <v>0</v>
      </c>
      <c r="AT309" s="84">
        <f t="shared" si="4523"/>
        <v>0</v>
      </c>
      <c r="AU309" s="81">
        <f t="shared" si="4390"/>
        <v>0</v>
      </c>
      <c r="AV309" s="82">
        <f t="shared" si="4524"/>
        <v>0</v>
      </c>
      <c r="AW309" s="83">
        <f t="shared" si="4525"/>
        <v>0</v>
      </c>
      <c r="AX309" s="83">
        <f t="shared" si="4526"/>
        <v>0</v>
      </c>
      <c r="AY309" s="84">
        <f t="shared" si="4527"/>
        <v>0</v>
      </c>
      <c r="AZ309" s="81">
        <f t="shared" si="4395"/>
        <v>0</v>
      </c>
      <c r="BA309" s="82">
        <f t="shared" si="4528"/>
        <v>0</v>
      </c>
      <c r="BB309" s="83">
        <f t="shared" si="4529"/>
        <v>0</v>
      </c>
      <c r="BC309" s="83">
        <f t="shared" si="4530"/>
        <v>0</v>
      </c>
      <c r="BD309" s="84">
        <f t="shared" si="4531"/>
        <v>0</v>
      </c>
      <c r="BE309" s="81">
        <f t="shared" si="4400"/>
        <v>0</v>
      </c>
      <c r="BF309" s="1877"/>
      <c r="BG309" s="2005">
        <f t="shared" si="4401"/>
        <v>0</v>
      </c>
      <c r="BH309" s="86">
        <f t="shared" si="4402"/>
        <v>0</v>
      </c>
      <c r="BI309" s="87">
        <f t="shared" si="4403"/>
        <v>0</v>
      </c>
      <c r="BJ309" s="87">
        <f t="shared" si="4404"/>
        <v>0</v>
      </c>
      <c r="BK309" s="88">
        <f t="shared" si="4405"/>
        <v>0</v>
      </c>
      <c r="BL309" s="85">
        <f t="shared" si="4406"/>
        <v>0</v>
      </c>
      <c r="BM309" s="86">
        <f t="shared" si="4407"/>
        <v>0</v>
      </c>
      <c r="BN309" s="87">
        <f t="shared" si="4408"/>
        <v>0</v>
      </c>
      <c r="BO309" s="87">
        <f t="shared" si="4409"/>
        <v>0</v>
      </c>
      <c r="BP309" s="88">
        <f t="shared" si="4410"/>
        <v>0</v>
      </c>
      <c r="BQ309" s="85">
        <f t="shared" si="4411"/>
        <v>0</v>
      </c>
      <c r="BR309" s="86">
        <f t="shared" si="4412"/>
        <v>0</v>
      </c>
      <c r="BS309" s="87">
        <f t="shared" si="4413"/>
        <v>0</v>
      </c>
      <c r="BT309" s="87">
        <f t="shared" si="4414"/>
        <v>0</v>
      </c>
      <c r="BU309" s="88">
        <f t="shared" si="4415"/>
        <v>0</v>
      </c>
      <c r="BV309" s="85">
        <f t="shared" si="4416"/>
        <v>0</v>
      </c>
      <c r="BW309" s="86">
        <f t="shared" si="4417"/>
        <v>0</v>
      </c>
      <c r="BX309" s="87">
        <f t="shared" si="4418"/>
        <v>0</v>
      </c>
      <c r="BY309" s="87">
        <f t="shared" si="4419"/>
        <v>0</v>
      </c>
      <c r="BZ309" s="88">
        <f t="shared" si="4420"/>
        <v>0</v>
      </c>
      <c r="CA309" s="85">
        <f t="shared" si="4421"/>
        <v>0</v>
      </c>
      <c r="CB309" s="86">
        <f t="shared" si="4422"/>
        <v>0</v>
      </c>
      <c r="CC309" s="87">
        <f t="shared" si="4423"/>
        <v>0</v>
      </c>
      <c r="CD309" s="87">
        <f t="shared" si="4424"/>
        <v>0</v>
      </c>
      <c r="CE309" s="88">
        <f t="shared" si="4425"/>
        <v>0</v>
      </c>
      <c r="CF309" s="85">
        <f t="shared" si="4426"/>
        <v>0</v>
      </c>
      <c r="CG309" s="86">
        <f t="shared" si="4427"/>
        <v>0</v>
      </c>
      <c r="CH309" s="87">
        <f t="shared" si="4428"/>
        <v>0</v>
      </c>
      <c r="CI309" s="87">
        <f t="shared" si="4429"/>
        <v>0</v>
      </c>
      <c r="CJ309" s="88">
        <f t="shared" si="4430"/>
        <v>0</v>
      </c>
      <c r="CK309" s="85">
        <f t="shared" si="4431"/>
        <v>0</v>
      </c>
      <c r="CL309" s="86">
        <f t="shared" si="4532"/>
        <v>0</v>
      </c>
      <c r="CM309" s="87">
        <f t="shared" si="4533"/>
        <v>0</v>
      </c>
      <c r="CN309" s="87">
        <f t="shared" si="4534"/>
        <v>0</v>
      </c>
      <c r="CO309" s="88">
        <f t="shared" si="4535"/>
        <v>0</v>
      </c>
      <c r="CP309" s="85">
        <f t="shared" si="4536"/>
        <v>0</v>
      </c>
      <c r="CQ309" s="86">
        <f t="shared" si="4537"/>
        <v>0</v>
      </c>
      <c r="CR309" s="87">
        <f t="shared" si="4538"/>
        <v>0</v>
      </c>
      <c r="CS309" s="87">
        <f t="shared" si="4539"/>
        <v>0</v>
      </c>
      <c r="CT309" s="88">
        <f t="shared" si="4540"/>
        <v>0</v>
      </c>
      <c r="CU309" s="85">
        <f t="shared" si="4541"/>
        <v>0</v>
      </c>
      <c r="CV309" s="86">
        <f t="shared" si="4542"/>
        <v>0</v>
      </c>
      <c r="CW309" s="87">
        <f t="shared" si="4543"/>
        <v>0</v>
      </c>
      <c r="CX309" s="87">
        <f t="shared" si="4544"/>
        <v>0</v>
      </c>
      <c r="CY309" s="88">
        <f t="shared" si="4545"/>
        <v>0</v>
      </c>
      <c r="CZ309" s="85">
        <f t="shared" si="4546"/>
        <v>0</v>
      </c>
    </row>
    <row r="310" spans="1:104" ht="12.75" customHeight="1">
      <c r="A310" s="1817"/>
      <c r="B310" s="1817"/>
      <c r="C310" s="1833"/>
      <c r="D310" s="1833"/>
      <c r="E310" s="151"/>
      <c r="F310" s="152"/>
      <c r="G310" s="152"/>
      <c r="H310" s="1870"/>
      <c r="I310" s="1897"/>
      <c r="J310" s="1894"/>
      <c r="K310" s="1889"/>
      <c r="L310" s="2002"/>
      <c r="M310" s="99"/>
      <c r="N310" s="100"/>
      <c r="O310" s="100"/>
      <c r="P310" s="101"/>
      <c r="Q310" s="98"/>
      <c r="R310" s="99"/>
      <c r="S310" s="100"/>
      <c r="T310" s="100"/>
      <c r="U310" s="101"/>
      <c r="V310" s="98"/>
      <c r="W310" s="99"/>
      <c r="X310" s="100"/>
      <c r="Y310" s="100"/>
      <c r="Z310" s="101"/>
      <c r="AA310" s="98"/>
      <c r="AB310" s="99"/>
      <c r="AC310" s="100"/>
      <c r="AD310" s="100"/>
      <c r="AE310" s="101"/>
      <c r="AF310" s="98"/>
      <c r="AG310" s="99"/>
      <c r="AH310" s="100"/>
      <c r="AI310" s="100"/>
      <c r="AJ310" s="101"/>
      <c r="AK310" s="98"/>
      <c r="AL310" s="99"/>
      <c r="AM310" s="100"/>
      <c r="AN310" s="100"/>
      <c r="AO310" s="101"/>
      <c r="AP310" s="98"/>
      <c r="AQ310" s="99"/>
      <c r="AR310" s="100"/>
      <c r="AS310" s="100"/>
      <c r="AT310" s="101"/>
      <c r="AU310" s="98"/>
      <c r="AV310" s="99"/>
      <c r="AW310" s="100"/>
      <c r="AX310" s="100"/>
      <c r="AY310" s="101"/>
      <c r="AZ310" s="98"/>
      <c r="BA310" s="99"/>
      <c r="BB310" s="100"/>
      <c r="BC310" s="100"/>
      <c r="BD310" s="101"/>
      <c r="BE310" s="98"/>
      <c r="BF310" s="1878"/>
      <c r="BG310" s="2006"/>
      <c r="BH310" s="103"/>
      <c r="BI310" s="104"/>
      <c r="BJ310" s="104"/>
      <c r="BK310" s="105"/>
      <c r="BL310" s="102"/>
      <c r="BM310" s="103"/>
      <c r="BN310" s="104"/>
      <c r="BO310" s="104"/>
      <c r="BP310" s="105"/>
      <c r="BQ310" s="102"/>
      <c r="BR310" s="103"/>
      <c r="BS310" s="104"/>
      <c r="BT310" s="104"/>
      <c r="BU310" s="105"/>
      <c r="BV310" s="102"/>
      <c r="BW310" s="103"/>
      <c r="BX310" s="104"/>
      <c r="BY310" s="104"/>
      <c r="BZ310" s="105"/>
      <c r="CA310" s="102"/>
      <c r="CB310" s="103"/>
      <c r="CC310" s="104"/>
      <c r="CD310" s="104"/>
      <c r="CE310" s="105"/>
      <c r="CF310" s="102"/>
      <c r="CG310" s="103"/>
      <c r="CH310" s="104"/>
      <c r="CI310" s="104"/>
      <c r="CJ310" s="105"/>
      <c r="CK310" s="102"/>
      <c r="CL310" s="103"/>
      <c r="CM310" s="104"/>
      <c r="CN310" s="104"/>
      <c r="CO310" s="105"/>
      <c r="CP310" s="102"/>
      <c r="CQ310" s="103"/>
      <c r="CR310" s="104"/>
      <c r="CS310" s="104"/>
      <c r="CT310" s="105"/>
      <c r="CU310" s="102"/>
      <c r="CV310" s="103"/>
      <c r="CW310" s="104"/>
      <c r="CX310" s="104"/>
      <c r="CY310" s="105"/>
      <c r="CZ310" s="102"/>
    </row>
    <row r="311" spans="1:104" ht="12.75" customHeight="1">
      <c r="A311" s="1792"/>
      <c r="B311" s="1792"/>
      <c r="C311" s="157" t="s">
        <v>399</v>
      </c>
      <c r="D311" s="1333"/>
      <c r="E311" s="158">
        <f>SUM(E298:E310)</f>
        <v>1323</v>
      </c>
      <c r="F311" s="2310">
        <f>SUM(F298:F310)</f>
        <v>1309</v>
      </c>
      <c r="G311" s="107">
        <f>SUM(G298:G310)</f>
        <v>1277</v>
      </c>
      <c r="H311" s="159"/>
      <c r="I311" s="160"/>
      <c r="J311" s="161"/>
      <c r="L311" s="2001">
        <f t="shared" ref="L311:BE311" si="4547">SUM(L298:L310)</f>
        <v>0</v>
      </c>
      <c r="M311" s="112">
        <f t="shared" si="4547"/>
        <v>0</v>
      </c>
      <c r="N311" s="113">
        <f t="shared" si="4547"/>
        <v>0</v>
      </c>
      <c r="O311" s="113">
        <f t="shared" si="4547"/>
        <v>0</v>
      </c>
      <c r="P311" s="114">
        <f t="shared" si="4547"/>
        <v>0</v>
      </c>
      <c r="Q311" s="111">
        <f t="shared" si="4547"/>
        <v>0</v>
      </c>
      <c r="R311" s="112">
        <f t="shared" si="4547"/>
        <v>0</v>
      </c>
      <c r="S311" s="113">
        <f t="shared" si="4547"/>
        <v>0</v>
      </c>
      <c r="T311" s="113">
        <f t="shared" si="4547"/>
        <v>0</v>
      </c>
      <c r="U311" s="114">
        <f t="shared" si="4547"/>
        <v>0</v>
      </c>
      <c r="V311" s="111">
        <f t="shared" si="4547"/>
        <v>0</v>
      </c>
      <c r="W311" s="112">
        <f t="shared" si="4547"/>
        <v>0</v>
      </c>
      <c r="X311" s="113">
        <f t="shared" si="4547"/>
        <v>0</v>
      </c>
      <c r="Y311" s="113">
        <f t="shared" si="4547"/>
        <v>0</v>
      </c>
      <c r="Z311" s="114">
        <f t="shared" si="4547"/>
        <v>0</v>
      </c>
      <c r="AA311" s="111">
        <f t="shared" si="4547"/>
        <v>0</v>
      </c>
      <c r="AB311" s="112">
        <f t="shared" si="4547"/>
        <v>0</v>
      </c>
      <c r="AC311" s="113">
        <f t="shared" si="4547"/>
        <v>0</v>
      </c>
      <c r="AD311" s="113">
        <f t="shared" si="4547"/>
        <v>0</v>
      </c>
      <c r="AE311" s="114">
        <f t="shared" si="4547"/>
        <v>0</v>
      </c>
      <c r="AF311" s="111">
        <f t="shared" si="4547"/>
        <v>0</v>
      </c>
      <c r="AG311" s="112">
        <f t="shared" si="4547"/>
        <v>0</v>
      </c>
      <c r="AH311" s="113">
        <f t="shared" si="4547"/>
        <v>0</v>
      </c>
      <c r="AI311" s="113">
        <f t="shared" si="4547"/>
        <v>-14</v>
      </c>
      <c r="AJ311" s="114">
        <f t="shared" si="4547"/>
        <v>0</v>
      </c>
      <c r="AK311" s="111">
        <f t="shared" si="4547"/>
        <v>-14</v>
      </c>
      <c r="AL311" s="112">
        <f t="shared" si="4547"/>
        <v>0</v>
      </c>
      <c r="AM311" s="113">
        <f t="shared" si="4547"/>
        <v>0</v>
      </c>
      <c r="AN311" s="113">
        <f t="shared" si="4547"/>
        <v>-4</v>
      </c>
      <c r="AO311" s="114">
        <f t="shared" si="4547"/>
        <v>0</v>
      </c>
      <c r="AP311" s="111">
        <f t="shared" si="4547"/>
        <v>-4</v>
      </c>
      <c r="AQ311" s="112">
        <f t="shared" si="4547"/>
        <v>0</v>
      </c>
      <c r="AR311" s="113">
        <f t="shared" si="4547"/>
        <v>0</v>
      </c>
      <c r="AS311" s="113">
        <f t="shared" si="4547"/>
        <v>-12</v>
      </c>
      <c r="AT311" s="114">
        <f t="shared" si="4547"/>
        <v>0</v>
      </c>
      <c r="AU311" s="111">
        <f t="shared" si="4547"/>
        <v>-12</v>
      </c>
      <c r="AV311" s="112">
        <f t="shared" si="4547"/>
        <v>0</v>
      </c>
      <c r="AW311" s="113">
        <f t="shared" si="4547"/>
        <v>0</v>
      </c>
      <c r="AX311" s="113">
        <f t="shared" si="4547"/>
        <v>0</v>
      </c>
      <c r="AY311" s="114">
        <f t="shared" si="4547"/>
        <v>0</v>
      </c>
      <c r="AZ311" s="111">
        <f t="shared" si="4547"/>
        <v>0</v>
      </c>
      <c r="BA311" s="112">
        <f t="shared" si="4547"/>
        <v>0</v>
      </c>
      <c r="BB311" s="113">
        <f t="shared" si="4547"/>
        <v>0</v>
      </c>
      <c r="BC311" s="113">
        <f t="shared" si="4547"/>
        <v>0</v>
      </c>
      <c r="BD311" s="114">
        <f t="shared" si="4547"/>
        <v>0</v>
      </c>
      <c r="BE311" s="111">
        <f t="shared" si="4547"/>
        <v>0</v>
      </c>
      <c r="BG311" s="2007">
        <f t="shared" ref="BG311:CZ311" si="4548">SUM(BG298:BG310)</f>
        <v>0</v>
      </c>
      <c r="BH311" s="116">
        <f t="shared" si="4548"/>
        <v>0</v>
      </c>
      <c r="BI311" s="117">
        <f t="shared" si="4548"/>
        <v>0</v>
      </c>
      <c r="BJ311" s="117">
        <f t="shared" si="4548"/>
        <v>0</v>
      </c>
      <c r="BK311" s="118">
        <f t="shared" si="4548"/>
        <v>0</v>
      </c>
      <c r="BL311" s="115">
        <f t="shared" si="4548"/>
        <v>0</v>
      </c>
      <c r="BM311" s="116">
        <f t="shared" si="4548"/>
        <v>0</v>
      </c>
      <c r="BN311" s="117">
        <f t="shared" si="4548"/>
        <v>0</v>
      </c>
      <c r="BO311" s="117">
        <f t="shared" si="4548"/>
        <v>0</v>
      </c>
      <c r="BP311" s="118">
        <f t="shared" si="4548"/>
        <v>0</v>
      </c>
      <c r="BQ311" s="115">
        <f t="shared" si="4548"/>
        <v>0</v>
      </c>
      <c r="BR311" s="116">
        <f t="shared" si="4548"/>
        <v>0</v>
      </c>
      <c r="BS311" s="117">
        <f t="shared" si="4548"/>
        <v>0</v>
      </c>
      <c r="BT311" s="117">
        <f t="shared" si="4548"/>
        <v>0</v>
      </c>
      <c r="BU311" s="118">
        <f t="shared" si="4548"/>
        <v>0</v>
      </c>
      <c r="BV311" s="115">
        <f t="shared" si="4548"/>
        <v>0</v>
      </c>
      <c r="BW311" s="116">
        <f t="shared" si="4548"/>
        <v>0</v>
      </c>
      <c r="BX311" s="117">
        <f t="shared" si="4548"/>
        <v>0</v>
      </c>
      <c r="BY311" s="117">
        <f t="shared" si="4548"/>
        <v>0</v>
      </c>
      <c r="BZ311" s="118">
        <f t="shared" si="4548"/>
        <v>0</v>
      </c>
      <c r="CA311" s="115">
        <f t="shared" si="4548"/>
        <v>0</v>
      </c>
      <c r="CB311" s="116">
        <f t="shared" si="4548"/>
        <v>0</v>
      </c>
      <c r="CC311" s="117">
        <f t="shared" si="4548"/>
        <v>0</v>
      </c>
      <c r="CD311" s="117">
        <f t="shared" si="4548"/>
        <v>-0.26495000000000002</v>
      </c>
      <c r="CE311" s="118">
        <f t="shared" si="4548"/>
        <v>-0.26495000000000002</v>
      </c>
      <c r="CF311" s="115">
        <f t="shared" si="4548"/>
        <v>-0.52990000000000004</v>
      </c>
      <c r="CG311" s="116">
        <f t="shared" si="4548"/>
        <v>-0.26495000000000002</v>
      </c>
      <c r="CH311" s="117">
        <f t="shared" si="4548"/>
        <v>-0.26495000000000002</v>
      </c>
      <c r="CI311" s="117">
        <f t="shared" si="4548"/>
        <v>-6.8099999999999994E-2</v>
      </c>
      <c r="CJ311" s="118">
        <f t="shared" si="4548"/>
        <v>-6.8099999999999994E-2</v>
      </c>
      <c r="CK311" s="115">
        <f t="shared" si="4548"/>
        <v>-0.66610000000000003</v>
      </c>
      <c r="CL311" s="116">
        <f t="shared" si="4548"/>
        <v>-6.8099999999999994E-2</v>
      </c>
      <c r="CM311" s="117">
        <f t="shared" si="4548"/>
        <v>-6.8099999999999994E-2</v>
      </c>
      <c r="CN311" s="117">
        <f t="shared" si="4548"/>
        <v>-0.2283</v>
      </c>
      <c r="CO311" s="118">
        <f t="shared" si="4548"/>
        <v>-0.2283</v>
      </c>
      <c r="CP311" s="115">
        <f t="shared" si="4548"/>
        <v>-0.59279999999999999</v>
      </c>
      <c r="CQ311" s="116">
        <f t="shared" si="4548"/>
        <v>-0.2283</v>
      </c>
      <c r="CR311" s="117">
        <f t="shared" si="4548"/>
        <v>-0.2283</v>
      </c>
      <c r="CS311" s="117">
        <f t="shared" si="4548"/>
        <v>0</v>
      </c>
      <c r="CT311" s="118">
        <f t="shared" si="4548"/>
        <v>0</v>
      </c>
      <c r="CU311" s="115">
        <f t="shared" si="4548"/>
        <v>-0.45659999999999995</v>
      </c>
      <c r="CV311" s="116">
        <f t="shared" si="4548"/>
        <v>0</v>
      </c>
      <c r="CW311" s="117">
        <f t="shared" si="4548"/>
        <v>0</v>
      </c>
      <c r="CX311" s="117">
        <f t="shared" si="4548"/>
        <v>0</v>
      </c>
      <c r="CY311" s="118">
        <f t="shared" si="4548"/>
        <v>0</v>
      </c>
      <c r="CZ311" s="115">
        <f t="shared" si="4548"/>
        <v>0</v>
      </c>
    </row>
    <row r="312" spans="1:104" ht="12.75" customHeight="1">
      <c r="A312" s="1817"/>
      <c r="B312" s="1817"/>
      <c r="C312" s="149"/>
      <c r="D312" s="149"/>
      <c r="E312" s="147"/>
      <c r="F312" s="165"/>
      <c r="G312" s="165"/>
      <c r="H312" s="166"/>
      <c r="I312" s="192" t="s">
        <v>68</v>
      </c>
      <c r="J312" s="167" t="s">
        <v>68</v>
      </c>
      <c r="L312" s="2001"/>
      <c r="M312" s="82"/>
      <c r="N312" s="83"/>
      <c r="O312" s="83"/>
      <c r="P312" s="84"/>
      <c r="Q312" s="81"/>
      <c r="R312" s="82"/>
      <c r="S312" s="83"/>
      <c r="T312" s="83"/>
      <c r="U312" s="84"/>
      <c r="V312" s="81"/>
      <c r="W312" s="82"/>
      <c r="X312" s="83"/>
      <c r="Y312" s="83"/>
      <c r="Z312" s="84"/>
      <c r="AA312" s="81"/>
      <c r="AB312" s="82"/>
      <c r="AC312" s="83"/>
      <c r="AD312" s="83"/>
      <c r="AE312" s="84"/>
      <c r="AF312" s="81"/>
      <c r="AG312" s="82"/>
      <c r="AH312" s="83"/>
      <c r="AI312" s="83"/>
      <c r="AJ312" s="84"/>
      <c r="AK312" s="81"/>
      <c r="AL312" s="82"/>
      <c r="AM312" s="83"/>
      <c r="AN312" s="83"/>
      <c r="AO312" s="84"/>
      <c r="AP312" s="81"/>
      <c r="AQ312" s="82"/>
      <c r="AR312" s="83"/>
      <c r="AS312" s="83"/>
      <c r="AT312" s="84"/>
      <c r="AU312" s="81"/>
      <c r="AV312" s="82"/>
      <c r="AW312" s="83"/>
      <c r="AX312" s="83"/>
      <c r="AY312" s="84"/>
      <c r="AZ312" s="81"/>
      <c r="BA312" s="82"/>
      <c r="BB312" s="83"/>
      <c r="BC312" s="83"/>
      <c r="BD312" s="84"/>
      <c r="BE312" s="81"/>
      <c r="BF312" s="1877"/>
      <c r="BG312" s="2005"/>
      <c r="BH312" s="86"/>
      <c r="BI312" s="87"/>
      <c r="BJ312" s="87"/>
      <c r="BK312" s="88"/>
      <c r="BL312" s="85"/>
      <c r="BM312" s="86"/>
      <c r="BN312" s="87"/>
      <c r="BO312" s="87"/>
      <c r="BP312" s="88"/>
      <c r="BQ312" s="85"/>
      <c r="BR312" s="86"/>
      <c r="BS312" s="87"/>
      <c r="BT312" s="87"/>
      <c r="BU312" s="88"/>
      <c r="BV312" s="85"/>
      <c r="BW312" s="86"/>
      <c r="BX312" s="87"/>
      <c r="BY312" s="87"/>
      <c r="BZ312" s="88"/>
      <c r="CA312" s="85"/>
      <c r="CB312" s="86"/>
      <c r="CC312" s="87"/>
      <c r="CD312" s="87"/>
      <c r="CE312" s="88"/>
      <c r="CF312" s="85"/>
      <c r="CG312" s="86"/>
      <c r="CH312" s="87"/>
      <c r="CI312" s="87"/>
      <c r="CJ312" s="88"/>
      <c r="CK312" s="85"/>
      <c r="CL312" s="86"/>
      <c r="CM312" s="87"/>
      <c r="CN312" s="87"/>
      <c r="CO312" s="88"/>
      <c r="CP312" s="85"/>
      <c r="CQ312" s="86"/>
      <c r="CR312" s="87"/>
      <c r="CS312" s="87"/>
      <c r="CT312" s="88"/>
      <c r="CU312" s="85"/>
      <c r="CV312" s="86"/>
      <c r="CW312" s="87"/>
      <c r="CX312" s="87"/>
      <c r="CY312" s="88"/>
      <c r="CZ312" s="85"/>
    </row>
    <row r="313" spans="1:104" ht="12.75" customHeight="1">
      <c r="A313" s="1817"/>
      <c r="B313" s="1817"/>
      <c r="C313" s="1871" t="s">
        <v>530</v>
      </c>
      <c r="D313" s="1871"/>
      <c r="E313" s="1820"/>
      <c r="F313" s="1821"/>
      <c r="G313" s="1821"/>
      <c r="H313" s="1825"/>
      <c r="I313" s="1826"/>
      <c r="J313" s="1827"/>
      <c r="L313" s="2001"/>
      <c r="M313" s="82"/>
      <c r="N313" s="83"/>
      <c r="O313" s="83"/>
      <c r="P313" s="84"/>
      <c r="Q313" s="81"/>
      <c r="R313" s="82"/>
      <c r="S313" s="83"/>
      <c r="T313" s="83"/>
      <c r="U313" s="84"/>
      <c r="V313" s="81"/>
      <c r="W313" s="82"/>
      <c r="X313" s="83"/>
      <c r="Y313" s="83"/>
      <c r="Z313" s="84"/>
      <c r="AA313" s="81"/>
      <c r="AB313" s="82"/>
      <c r="AC313" s="83"/>
      <c r="AD313" s="83"/>
      <c r="AE313" s="84"/>
      <c r="AF313" s="81"/>
      <c r="AG313" s="82"/>
      <c r="AH313" s="83"/>
      <c r="AI313" s="83"/>
      <c r="AJ313" s="84"/>
      <c r="AK313" s="81"/>
      <c r="AL313" s="82"/>
      <c r="AM313" s="83"/>
      <c r="AN313" s="83"/>
      <c r="AO313" s="84"/>
      <c r="AP313" s="81"/>
      <c r="AQ313" s="82"/>
      <c r="AR313" s="83"/>
      <c r="AS313" s="83"/>
      <c r="AT313" s="84"/>
      <c r="AU313" s="81"/>
      <c r="AV313" s="82"/>
      <c r="AW313" s="83"/>
      <c r="AX313" s="83"/>
      <c r="AY313" s="84"/>
      <c r="AZ313" s="81"/>
      <c r="BA313" s="82"/>
      <c r="BB313" s="83"/>
      <c r="BC313" s="83"/>
      <c r="BD313" s="84"/>
      <c r="BE313" s="81"/>
      <c r="BF313" s="1877"/>
      <c r="BG313" s="2005"/>
      <c r="BH313" s="86"/>
      <c r="BI313" s="87"/>
      <c r="BJ313" s="87"/>
      <c r="BK313" s="88"/>
      <c r="BL313" s="85"/>
      <c r="BM313" s="86"/>
      <c r="BN313" s="87"/>
      <c r="BO313" s="87"/>
      <c r="BP313" s="88"/>
      <c r="BQ313" s="85"/>
      <c r="BR313" s="86"/>
      <c r="BS313" s="87"/>
      <c r="BT313" s="87"/>
      <c r="BU313" s="88"/>
      <c r="BV313" s="85"/>
      <c r="BW313" s="86"/>
      <c r="BX313" s="87"/>
      <c r="BY313" s="87"/>
      <c r="BZ313" s="88"/>
      <c r="CA313" s="85"/>
      <c r="CB313" s="86"/>
      <c r="CC313" s="87"/>
      <c r="CD313" s="87"/>
      <c r="CE313" s="88"/>
      <c r="CF313" s="85"/>
      <c r="CG313" s="86"/>
      <c r="CH313" s="87"/>
      <c r="CI313" s="87"/>
      <c r="CJ313" s="88"/>
      <c r="CK313" s="85"/>
      <c r="CL313" s="86"/>
      <c r="CM313" s="87"/>
      <c r="CN313" s="87"/>
      <c r="CO313" s="88"/>
      <c r="CP313" s="85"/>
      <c r="CQ313" s="86"/>
      <c r="CR313" s="87"/>
      <c r="CS313" s="87"/>
      <c r="CT313" s="88"/>
      <c r="CU313" s="85"/>
      <c r="CV313" s="86"/>
      <c r="CW313" s="87"/>
      <c r="CX313" s="87"/>
      <c r="CY313" s="88"/>
      <c r="CZ313" s="85"/>
    </row>
    <row r="314" spans="1:104" ht="12.75" customHeight="1">
      <c r="A314" s="1817"/>
      <c r="B314" s="1817"/>
      <c r="C314" s="1838" t="s">
        <v>773</v>
      </c>
      <c r="D314" s="1872"/>
      <c r="E314" s="147">
        <f>DPL!$AW$160</f>
        <v>255</v>
      </c>
      <c r="F314" s="165"/>
      <c r="G314" s="165"/>
      <c r="H314" s="1516">
        <v>2018</v>
      </c>
      <c r="I314" s="1841">
        <v>0.05</v>
      </c>
      <c r="J314" s="1832">
        <v>7</v>
      </c>
      <c r="L314" s="2001">
        <f t="shared" ref="L314:L317" si="4549">IF(L$5=$H314,$E314,0)</f>
        <v>0</v>
      </c>
      <c r="M314" s="82">
        <f t="shared" ref="M314" si="4550">IF(Q314=0,0,IF(Q314&gt;0,IF($J314=3,Q314,IF($J314=2,Q314,IF($J314=1,Q314,0)))))</f>
        <v>0</v>
      </c>
      <c r="N314" s="83">
        <f t="shared" ref="N314" si="4551">IF(Q314=0,0,IF(Q314&gt;0,IF($J314=6,Q314,IF($J314=5,Q314,IF($J314=4,Q314,0)))))</f>
        <v>0</v>
      </c>
      <c r="O314" s="83">
        <f t="shared" ref="O314" si="4552">IF(Q314=0,0,IF(Q314&gt;0,IF($J314=9,Q314,IF($J314=8,Q314,IF($J314=7,Q314,0)))))</f>
        <v>0</v>
      </c>
      <c r="P314" s="84">
        <f t="shared" ref="P314" si="4553">IF(Q314=0,0,IF(Q314&gt;0,IF($J314=12,Q314,IF($J314=11,Q314,IF($J314=10,Q314,0)))))</f>
        <v>0</v>
      </c>
      <c r="Q314" s="81">
        <f t="shared" ref="Q314:Q317" si="4554">IF(Q$5=$H314,$E314,0)</f>
        <v>0</v>
      </c>
      <c r="R314" s="82">
        <f t="shared" ref="R314" si="4555">IF(V314=0,0,IF(V314&gt;0,IF($J314=3,V314,IF($J314=2,V314,IF($J314=1,V314,0)))))</f>
        <v>0</v>
      </c>
      <c r="S314" s="83">
        <f t="shared" ref="S314" si="4556">IF(V314=0,0,IF(V314&gt;0,IF($J314=6,V314,IF($J314=5,V314,IF($J314=4,V314,0)))))</f>
        <v>0</v>
      </c>
      <c r="T314" s="83">
        <f t="shared" ref="T314" si="4557">IF(V314=0,0,IF(V314&gt;0,IF($J314=9,V314,IF($J314=8,V314,IF($J314=7,V314,0)))))</f>
        <v>0</v>
      </c>
      <c r="U314" s="84">
        <f t="shared" ref="U314" si="4558">IF(V314=0,0,IF(V314&gt;0,IF($J314=12,V314,IF($J314=11,V314,IF($J314=10,V314,0)))))</f>
        <v>0</v>
      </c>
      <c r="V314" s="81">
        <f t="shared" ref="V314:V317" si="4559">IF(V$5=$H314,$E314,0)</f>
        <v>0</v>
      </c>
      <c r="W314" s="82">
        <f t="shared" ref="W314" si="4560">IF(AA314=0,0,IF(AA314&gt;0,IF($J314=3,AA314,IF($J314=2,AA314,IF($J314=1,AA314,0)))))</f>
        <v>0</v>
      </c>
      <c r="X314" s="83">
        <f t="shared" ref="X314" si="4561">IF(AA314=0,0,IF(AA314&gt;0,IF($J314=6,AA314,IF($J314=5,AA314,IF($J314=4,AA314,0)))))</f>
        <v>0</v>
      </c>
      <c r="Y314" s="83">
        <f t="shared" ref="Y314" si="4562">IF(AA314=0,0,IF(AA314&gt;0,IF($J314=9,AA314,IF($J314=8,AA314,IF($J314=7,AA314,0)))))</f>
        <v>0</v>
      </c>
      <c r="Z314" s="84">
        <f t="shared" ref="Z314" si="4563">IF(AA314=0,0,IF(AA314&gt;0,IF($J314=12,AA314,IF($J314=11,AA314,IF($J314=10,AA314,0)))))</f>
        <v>0</v>
      </c>
      <c r="AA314" s="81">
        <f t="shared" ref="AA314:AA317" si="4564">IF(AA$5=$H314,$E314,0)</f>
        <v>0</v>
      </c>
      <c r="AB314" s="82">
        <f t="shared" ref="AB314" si="4565">IF(AF314=0,0,IF(AF314&gt;0,IF($J314=3,AF314,IF($J314=2,AF314,IF($J314=1,AF314,0)))))</f>
        <v>0</v>
      </c>
      <c r="AC314" s="83">
        <f t="shared" ref="AC314" si="4566">IF(AF314=0,0,IF(AF314&gt;0,IF($J314=6,AF314,IF($J314=5,AF314,IF($J314=4,AF314,0)))))</f>
        <v>0</v>
      </c>
      <c r="AD314" s="83">
        <f t="shared" ref="AD314" si="4567">IF(AF314=0,0,IF(AF314&gt;0,IF($J314=9,AF314,IF($J314=8,AF314,IF($J314=7,AF314,0)))))</f>
        <v>0</v>
      </c>
      <c r="AE314" s="84">
        <f t="shared" ref="AE314" si="4568">IF(AF314=0,0,IF(AF314&gt;0,IF($J314=12,AF314,IF($J314=11,AF314,IF($J314=10,AF314,0)))))</f>
        <v>0</v>
      </c>
      <c r="AF314" s="81">
        <f t="shared" ref="AF314:AF317" si="4569">IF(AF$5=$H314,$E314,0)</f>
        <v>0</v>
      </c>
      <c r="AG314" s="82">
        <f t="shared" ref="AG314" si="4570">IF(AK314=0,0,IF(AK314&gt;0,IF($J314=3,AK314,IF($J314=2,AK314,IF($J314=1,AK314,0)))))</f>
        <v>0</v>
      </c>
      <c r="AH314" s="83">
        <f t="shared" ref="AH314" si="4571">IF(AK314=0,0,IF(AK314&gt;0,IF($J314=6,AK314,IF($J314=5,AK314,IF($J314=4,AK314,0)))))</f>
        <v>0</v>
      </c>
      <c r="AI314" s="83">
        <f t="shared" ref="AI314" si="4572">IF(AK314=0,0,IF(AK314&gt;0,IF($J314=9,AK314,IF($J314=8,AK314,IF($J314=7,AK314,0)))))</f>
        <v>0</v>
      </c>
      <c r="AJ314" s="84">
        <f t="shared" ref="AJ314" si="4573">IF(AK314=0,0,IF(AK314&gt;0,IF($J314=12,AK314,IF($J314=11,AK314,IF($J314=10,AK314,0)))))</f>
        <v>0</v>
      </c>
      <c r="AK314" s="81">
        <f t="shared" ref="AK314:AK317" si="4574">IF(AK$5=$H314,$E314,0)</f>
        <v>0</v>
      </c>
      <c r="AL314" s="82">
        <f t="shared" ref="AL314" si="4575">IF(AP314=0,0,IF(AP314&gt;0,IF($J314=3,AP314,IF($J314=2,AP314,IF($J314=1,AP314,0)))))</f>
        <v>0</v>
      </c>
      <c r="AM314" s="83">
        <f t="shared" ref="AM314" si="4576">IF(AP314=0,0,IF(AP314&gt;0,IF($J314=6,AP314,IF($J314=5,AP314,IF($J314=4,AP314,0)))))</f>
        <v>0</v>
      </c>
      <c r="AN314" s="83">
        <f t="shared" ref="AN314" si="4577">IF(AP314=0,0,IF(AP314&gt;0,IF($J314=9,AP314,IF($J314=8,AP314,IF($J314=7,AP314,0)))))</f>
        <v>255</v>
      </c>
      <c r="AO314" s="84">
        <f t="shared" ref="AO314" si="4578">IF(AP314=0,0,IF(AP314&gt;0,IF($J314=12,AP314,IF($J314=11,AP314,IF($J314=10,AP314,0)))))</f>
        <v>0</v>
      </c>
      <c r="AP314" s="81">
        <f t="shared" ref="AP314:AP317" si="4579">IF(AP$5=$H314,$E314,0)</f>
        <v>255</v>
      </c>
      <c r="AQ314" s="82">
        <f t="shared" ref="AQ314" si="4580">IF(AU314=0,0,IF(AU314&gt;0,IF($J314=3,AU314,IF($J314=2,AU314,IF($J314=1,AU314,0)))))</f>
        <v>0</v>
      </c>
      <c r="AR314" s="83">
        <f t="shared" ref="AR314" si="4581">IF(AU314=0,0,IF(AU314&gt;0,IF($J314=6,AU314,IF($J314=5,AU314,IF($J314=4,AU314,0)))))</f>
        <v>0</v>
      </c>
      <c r="AS314" s="83">
        <f t="shared" ref="AS314" si="4582">IF(AU314=0,0,IF(AU314&gt;0,IF($J314=9,AU314,IF($J314=8,AU314,IF($J314=7,AU314,0)))))</f>
        <v>0</v>
      </c>
      <c r="AT314" s="84">
        <f t="shared" ref="AT314" si="4583">IF(AU314=0,0,IF(AU314&gt;0,IF($J314=12,AU314,IF($J314=11,AU314,IF($J314=10,AU314,0)))))</f>
        <v>0</v>
      </c>
      <c r="AU314" s="81">
        <f t="shared" ref="AU314:AU317" si="4584">IF(AU$5=$H314,$E314,0)</f>
        <v>0</v>
      </c>
      <c r="AV314" s="82">
        <f t="shared" ref="AV314" si="4585">IF(AZ314=0,0,IF(AZ314&gt;0,IF($J314=3,AZ314,IF($J314=2,AZ314,IF($J314=1,AZ314,0)))))</f>
        <v>0</v>
      </c>
      <c r="AW314" s="83">
        <f t="shared" ref="AW314" si="4586">IF(AZ314=0,0,IF(AZ314&gt;0,IF($J314=6,AZ314,IF($J314=5,AZ314,IF($J314=4,AZ314,0)))))</f>
        <v>0</v>
      </c>
      <c r="AX314" s="83">
        <f t="shared" ref="AX314" si="4587">IF(AZ314=0,0,IF(AZ314&gt;0,IF($J314=9,AZ314,IF($J314=8,AZ314,IF($J314=7,AZ314,0)))))</f>
        <v>0</v>
      </c>
      <c r="AY314" s="84">
        <f t="shared" ref="AY314" si="4588">IF(AZ314=0,0,IF(AZ314&gt;0,IF($J314=12,AZ314,IF($J314=11,AZ314,IF($J314=10,AZ314,0)))))</f>
        <v>0</v>
      </c>
      <c r="AZ314" s="81">
        <f t="shared" ref="AZ314:AZ317" si="4589">IF(AZ$5=$H314,$E314,0)</f>
        <v>0</v>
      </c>
      <c r="BA314" s="82">
        <f t="shared" ref="BA314:BA317" si="4590">IF(BE314=0,0,IF(BE314&gt;0,IF($J314=3,BE314,IF($J314=2,BE314,IF($J314=1,BE314,0)))))</f>
        <v>0</v>
      </c>
      <c r="BB314" s="83">
        <f t="shared" ref="BB314:BB317" si="4591">IF(BE314=0,0,IF(BE314&gt;0,IF($J314=6,BE314,IF($J314=5,BE314,IF($J314=4,BE314,0)))))</f>
        <v>0</v>
      </c>
      <c r="BC314" s="83">
        <f t="shared" ref="BC314:BC317" si="4592">IF(BE314=0,0,IF(BE314&gt;0,IF($J314=9,BE314,IF($J314=8,BE314,IF($J314=7,BE314,0)))))</f>
        <v>0</v>
      </c>
      <c r="BD314" s="84">
        <f t="shared" ref="BD314:BD317" si="4593">IF(BE314=0,0,IF(BE314&gt;0,IF($J314=12,BE314,IF($J314=11,BE314,IF($J314=10,BE314,0)))))</f>
        <v>0</v>
      </c>
      <c r="BE314" s="81">
        <f t="shared" ref="BE314:BE317" si="4594">IF(BE$5=$H314,$E314,0)</f>
        <v>0</v>
      </c>
      <c r="BF314" s="1884"/>
      <c r="BG314" s="2005">
        <f t="shared" ref="BG314" si="4595">IF(AND(BF314&lt;&gt;0,BF$5=$H314),$I314*$E314-BF314,IF(BG$5=$H314,$I314*$E314*(12-$J314+1)/12,0))</f>
        <v>0</v>
      </c>
      <c r="BH314" s="86">
        <f t="shared" ref="BH314" si="4596">IF($H314&lt;&gt;BL$5,0,IF(BL314&gt;0,IF($J314=1,$E314*$I314/12*3,IF($J314=2,$E314*$I314/12*2,IF($J314=3,$E314*$I314/12*1,0)))))+IF(BG$5&lt;&gt;$H314,0,IF(BG314&gt;0,IF($J314=1,$E314*$I314/12*0,IF($J314=2,$E314*$I314/12*1,IF($J314=3,$E314*$I314/12*2,IF($J314&gt;=4,$E314*$I314/12*3,0))))))</f>
        <v>0</v>
      </c>
      <c r="BI314" s="87">
        <f t="shared" ref="BI314" si="4597">IF($H314&lt;&gt;BL$5,0,IF(BL314&gt;0,IF(OR($J314=1,$J314=2,$J314=3,$J314=4),$E314*$I314/12*3,IF($J314=5,$E314*$I314/12*2,IF($J314=6,$E314*$I314/12*1,0)))))+IF(BG$5&lt;&gt;$H314,0,IF(BG314&gt;0,IF($J314=4,$E314*$I314/12*0,IF($J314=5,$E314*$I314/12*1,IF($J314=6,$E314*$I314/12*2,IF($J314&gt;=7,$E314*$I314/12*3,0))))))</f>
        <v>0</v>
      </c>
      <c r="BJ314" s="87">
        <f t="shared" ref="BJ314" si="4598">IF($H314&lt;&gt;BL$5,0,IF(BL314&gt;0,IF(OR($J314=1,$J314=2,$J314=3,$J314=4,$J314=5,$J314=6,$J314=7),$E314*$I314/12*3,IF($J314=8,$E314*$I314/12*2,IF($J314=9,$E314*$I314/12*1,0)))))+IF(BG$5&lt;&gt;$H314,0,IF(BG314&gt;0,IF($J314=7,$E314*$I314/12*0,IF($J314=8,$E314*$I314/12*1,IF($J314=9,$E314*$I314/12*2,IF($J314&gt;=10,$E314*$I314/12*3,0))))))</f>
        <v>0</v>
      </c>
      <c r="BK314" s="88">
        <f t="shared" ref="BK314" si="4599">IF($H314&lt;&gt;BL$5,0,IF(BL314&gt;0,IF(OR($J314=1,$J314=2,$J314=3,$J314=4,$J314=5,$J314=6,$J314=7,$J314=8,$J314=9,$J314=10),$E314*$I314/12*3,IF($J314=11,$E314*$I314/12*2,IF($J314=12,$E314*$I314/12*1,0)))))+IF(BG$5&lt;&gt;$H314,0,IF(BG314&gt;0,IF($J314=10,$E314*$I314/12*0,IF($J314=11,$E314*$I314/12*1,IF($J314=12,$E314*$I314/12*2,0)))))</f>
        <v>0</v>
      </c>
      <c r="BL314" s="85">
        <f t="shared" ref="BL314" si="4600">IF(AND(BG314&lt;&gt;0,BG$5=$H314),$I314*$E314-BG314,IF(BL$5=$H314,$I314*$E314*(12-$J314+1)/12,0))</f>
        <v>0</v>
      </c>
      <c r="BM314" s="86">
        <f t="shared" ref="BM314" si="4601">IF($H314&lt;&gt;BQ$5,0,IF(BQ314&gt;0,IF($J314=1,$E314*$I314/12*3,IF($J314=2,$E314*$I314/12*2,IF($J314=3,$E314*$I314/12*1,0)))))+IF(BL$5&lt;&gt;$H314,0,IF(BL314&gt;0,IF($J314=1,$E314*$I314/12*0,IF($J314=2,$E314*$I314/12*1,IF($J314=3,$E314*$I314/12*2,IF($J314&gt;=4,$E314*$I314/12*3,0))))))</f>
        <v>0</v>
      </c>
      <c r="BN314" s="87">
        <f t="shared" ref="BN314" si="4602">IF($H314&lt;&gt;BQ$5,0,IF(BQ314&gt;0,IF(OR($J314=1,$J314=2,$J314=3,$J314=4),$E314*$I314/12*3,IF($J314=5,$E314*$I314/12*2,IF($J314=6,$E314*$I314/12*1,0)))))+IF(BL$5&lt;&gt;$H314,0,IF(BL314&gt;0,IF($J314=4,$E314*$I314/12*0,IF($J314=5,$E314*$I314/12*1,IF($J314=6,$E314*$I314/12*2,IF($J314&gt;=7,$E314*$I314/12*3,0))))))</f>
        <v>0</v>
      </c>
      <c r="BO314" s="87">
        <f t="shared" ref="BO314" si="4603">IF($H314&lt;&gt;BQ$5,0,IF(BQ314&gt;0,IF(OR($J314=1,$J314=2,$J314=3,$J314=4,$J314=5,$J314=6,$J314=7),$E314*$I314/12*3,IF($J314=8,$E314*$I314/12*2,IF($J314=9,$E314*$I314/12*1,0)))))+IF(BL$5&lt;&gt;$H314,0,IF(BL314&gt;0,IF($J314=7,$E314*$I314/12*0,IF($J314=8,$E314*$I314/12*1,IF($J314=9,$E314*$I314/12*2,IF($J314&gt;=10,$E314*$I314/12*3,0))))))</f>
        <v>0</v>
      </c>
      <c r="BP314" s="88">
        <f t="shared" ref="BP314" si="4604">IF($H314&lt;&gt;BQ$5,0,IF(BQ314&gt;0,IF(OR($J314=1,$J314=2,$J314=3,$J314=4,$J314=5,$J314=6,$J314=7,$J314=8,$J314=9,$J314=10),$E314*$I314/12*3,IF($J314=11,$E314*$I314/12*2,IF($J314=12,$E314*$I314/12*1,0)))))+IF(BL$5&lt;&gt;$H314,0,IF(BL314&gt;0,IF($J314=10,$E314*$I314/12*0,IF($J314=11,$E314*$I314/12*1,IF($J314=12,$E314*$I314/12*2,0)))))</f>
        <v>0</v>
      </c>
      <c r="BQ314" s="85">
        <f t="shared" ref="BQ314" si="4605">IF(AND(BL314&lt;&gt;0,BL$5=$H314),$I314*$E314-BL314,IF(BQ$5=$H314,$I314*$E314*(12-$J314+1)/12,0))</f>
        <v>0</v>
      </c>
      <c r="BR314" s="86">
        <f t="shared" ref="BR314" si="4606">IF($H314&lt;&gt;BV$5,0,IF(BV314&gt;0,IF($J314=1,$E314*$I314/12*3,IF($J314=2,$E314*$I314/12*2,IF($J314=3,$E314*$I314/12*1,0)))))+IF(BQ$5&lt;&gt;$H314,0,IF(BQ314&gt;0,IF($J314=1,$E314*$I314/12*0,IF($J314=2,$E314*$I314/12*1,IF($J314=3,$E314*$I314/12*2,IF($J314&gt;=4,$E314*$I314/12*3,0))))))</f>
        <v>0</v>
      </c>
      <c r="BS314" s="87">
        <f t="shared" ref="BS314" si="4607">IF($H314&lt;&gt;BV$5,0,IF(BV314&gt;0,IF(OR($J314=1,$J314=2,$J314=3,$J314=4),$E314*$I314/12*3,IF($J314=5,$E314*$I314/12*2,IF($J314=6,$E314*$I314/12*1,0)))))+IF(BQ$5&lt;&gt;$H314,0,IF(BQ314&gt;0,IF($J314=4,$E314*$I314/12*0,IF($J314=5,$E314*$I314/12*1,IF($J314=6,$E314*$I314/12*2,IF($J314&gt;=7,$E314*$I314/12*3,0))))))</f>
        <v>0</v>
      </c>
      <c r="BT314" s="87">
        <f t="shared" ref="BT314" si="4608">IF($H314&lt;&gt;BV$5,0,IF(BV314&gt;0,IF(OR($J314=1,$J314=2,$J314=3,$J314=4,$J314=5,$J314=6,$J314=7),$E314*$I314/12*3,IF($J314=8,$E314*$I314/12*2,IF($J314=9,$E314*$I314/12*1,0)))))+IF(BQ$5&lt;&gt;$H314,0,IF(BQ314&gt;0,IF($J314=7,$E314*$I314/12*0,IF($J314=8,$E314*$I314/12*1,IF($J314=9,$E314*$I314/12*2,IF($J314&gt;=10,$E314*$I314/12*3,0))))))</f>
        <v>0</v>
      </c>
      <c r="BU314" s="88">
        <f t="shared" ref="BU314" si="4609">IF($H314&lt;&gt;BV$5,0,IF(BV314&gt;0,IF(OR($J314=1,$J314=2,$J314=3,$J314=4,$J314=5,$J314=6,$J314=7,$J314=8,$J314=9,$J314=10),$E314*$I314/12*3,IF($J314=11,$E314*$I314/12*2,IF($J314=12,$E314*$I314/12*1,0)))))+IF(BQ$5&lt;&gt;$H314,0,IF(BQ314&gt;0,IF($J314=10,$E314*$I314/12*0,IF($J314=11,$E314*$I314/12*1,IF($J314=12,$E314*$I314/12*2,0)))))</f>
        <v>0</v>
      </c>
      <c r="BV314" s="85">
        <f t="shared" ref="BV314" si="4610">IF(AND(BQ314&lt;&gt;0,BQ$5=$H314),$I314*$E314-BQ314,IF(BV$5=$H314,$I314*$E314*(12-$J314+1)/12,0))</f>
        <v>0</v>
      </c>
      <c r="BW314" s="86">
        <f t="shared" ref="BW314" si="4611">IF($H314&lt;&gt;CA$5,0,IF(CA314&gt;0,IF($J314=1,$E314*$I314/12*3,IF($J314=2,$E314*$I314/12*2,IF($J314=3,$E314*$I314/12*1,0)))))+IF(BV$5&lt;&gt;$H314,0,IF(BV314&gt;0,IF($J314=1,$E314*$I314/12*0,IF($J314=2,$E314*$I314/12*1,IF($J314=3,$E314*$I314/12*2,IF($J314&gt;=4,$E314*$I314/12*3,0))))))</f>
        <v>0</v>
      </c>
      <c r="BX314" s="87">
        <f t="shared" ref="BX314" si="4612">IF($H314&lt;&gt;CA$5,0,IF(CA314&gt;0,IF(OR($J314=1,$J314=2,$J314=3,$J314=4),$E314*$I314/12*3,IF($J314=5,$E314*$I314/12*2,IF($J314=6,$E314*$I314/12*1,0)))))+IF(BV$5&lt;&gt;$H314,0,IF(BV314&gt;0,IF($J314=4,$E314*$I314/12*0,IF($J314=5,$E314*$I314/12*1,IF($J314=6,$E314*$I314/12*2,IF($J314&gt;=7,$E314*$I314/12*3,0))))))</f>
        <v>0</v>
      </c>
      <c r="BY314" s="87">
        <f t="shared" ref="BY314" si="4613">IF($H314&lt;&gt;CA$5,0,IF(CA314&gt;0,IF(OR($J314=1,$J314=2,$J314=3,$J314=4,$J314=5,$J314=6,$J314=7),$E314*$I314/12*3,IF($J314=8,$E314*$I314/12*2,IF($J314=9,$E314*$I314/12*1,0)))))+IF(BV$5&lt;&gt;$H314,0,IF(BV314&gt;0,IF($J314=7,$E314*$I314/12*0,IF($J314=8,$E314*$I314/12*1,IF($J314=9,$E314*$I314/12*2,IF($J314&gt;=10,$E314*$I314/12*3,0))))))</f>
        <v>0</v>
      </c>
      <c r="BZ314" s="88">
        <f t="shared" ref="BZ314" si="4614">IF($H314&lt;&gt;CA$5,0,IF(CA314&gt;0,IF(OR($J314=1,$J314=2,$J314=3,$J314=4,$J314=5,$J314=6,$J314=7,$J314=8,$J314=9,$J314=10),$E314*$I314/12*3,IF($J314=11,$E314*$I314/12*2,IF($J314=12,$E314*$I314/12*1,0)))))+IF(BV$5&lt;&gt;$H314,0,IF(BV314&gt;0,IF($J314=10,$E314*$I314/12*0,IF($J314=11,$E314*$I314/12*1,IF($J314=12,$E314*$I314/12*2,0)))))</f>
        <v>0</v>
      </c>
      <c r="CA314" s="85">
        <f t="shared" ref="CA314" si="4615">IF(AND(BV314&lt;&gt;0,BV$5=$H314),$I314*$E314-BV314,IF(CA$5=$H314,$I314*$E314*(12-$J314+1)/12,0))</f>
        <v>0</v>
      </c>
      <c r="CB314" s="86">
        <f t="shared" ref="CB314" si="4616">IF($H314&lt;&gt;CF$5,0,IF(CF314&gt;0,IF($J314=1,$E314*$I314/12*3,IF($J314=2,$E314*$I314/12*2,IF($J314=3,$E314*$I314/12*1,0)))))+IF(CA$5&lt;&gt;$H314,0,IF(CA314&gt;0,IF($J314=1,$E314*$I314/12*0,IF($J314=2,$E314*$I314/12*1,IF($J314=3,$E314*$I314/12*2,IF($J314&gt;=4,$E314*$I314/12*3,0))))))</f>
        <v>0</v>
      </c>
      <c r="CC314" s="87">
        <f t="shared" ref="CC314" si="4617">IF($H314&lt;&gt;CF$5,0,IF(CF314&gt;0,IF(OR($J314=1,$J314=2,$J314=3,$J314=4),$E314*$I314/12*3,IF($J314=5,$E314*$I314/12*2,IF($J314=6,$E314*$I314/12*1,0)))))+IF(CA$5&lt;&gt;$H314,0,IF(CA314&gt;0,IF($J314=4,$E314*$I314/12*0,IF($J314=5,$E314*$I314/12*1,IF($J314=6,$E314*$I314/12*2,IF($J314&gt;=7,$E314*$I314/12*3,0))))))</f>
        <v>0</v>
      </c>
      <c r="CD314" s="87">
        <f t="shared" ref="CD314" si="4618">IF($H314&lt;&gt;CF$5,0,IF(CF314&gt;0,IF(OR($J314=1,$J314=2,$J314=3,$J314=4,$J314=5,$J314=6,$J314=7),$E314*$I314/12*3,IF($J314=8,$E314*$I314/12*2,IF($J314=9,$E314*$I314/12*1,0)))))+IF(CA$5&lt;&gt;$H314,0,IF(CA314&gt;0,IF($J314=7,$E314*$I314/12*0,IF($J314=8,$E314*$I314/12*1,IF($J314=9,$E314*$I314/12*2,IF($J314&gt;=10,$E314*$I314/12*3,0))))))</f>
        <v>0</v>
      </c>
      <c r="CE314" s="88">
        <f t="shared" ref="CE314" si="4619">IF($H314&lt;&gt;CF$5,0,IF(CF314&gt;0,IF(OR($J314=1,$J314=2,$J314=3,$J314=4,$J314=5,$J314=6,$J314=7,$J314=8,$J314=9,$J314=10),$E314*$I314/12*3,IF($J314=11,$E314*$I314/12*2,IF($J314=12,$E314*$I314/12*1,0)))))+IF(CA$5&lt;&gt;$H314,0,IF(CA314&gt;0,IF($J314=10,$E314*$I314/12*0,IF($J314=11,$E314*$I314/12*1,IF($J314=12,$E314*$I314/12*2,0)))))</f>
        <v>0</v>
      </c>
      <c r="CF314" s="85">
        <f t="shared" ref="CF314" si="4620">IF(AND(CA314&lt;&gt;0,CA$5=$H314),$I314*$E314-CA314,IF(CF$5=$H314,$I314*$E314*(12-$J314+1)/12,0))</f>
        <v>0</v>
      </c>
      <c r="CG314" s="86">
        <f t="shared" ref="CG314" si="4621">IF($H314&lt;&gt;CK$5,0,IF(CK314&gt;0,IF($J314=1,$E314*$I314/12*3,IF($J314=2,$E314*$I314/12*2,IF($J314=3,$E314*$I314/12*1,0)))))+IF(CF$5&lt;&gt;$H314,0,IF(CF314&gt;0,IF($J314=1,$E314*$I314/12*0,IF($J314=2,$E314*$I314/12*1,IF($J314=3,$E314*$I314/12*2,IF($J314&gt;=4,$E314*$I314/12*3,0))))))</f>
        <v>0</v>
      </c>
      <c r="CH314" s="87">
        <f t="shared" ref="CH314" si="4622">IF($H314&lt;&gt;CK$5,0,IF(CK314&gt;0,IF(OR($J314=1,$J314=2,$J314=3,$J314=4),$E314*$I314/12*3,IF($J314=5,$E314*$I314/12*2,IF($J314=6,$E314*$I314/12*1,0)))))+IF(CF$5&lt;&gt;$H314,0,IF(CF314&gt;0,IF($J314=4,$E314*$I314/12*0,IF($J314=5,$E314*$I314/12*1,IF($J314=6,$E314*$I314/12*2,IF($J314&gt;=7,$E314*$I314/12*3,0))))))</f>
        <v>0</v>
      </c>
      <c r="CI314" s="87">
        <f t="shared" ref="CI314" si="4623">IF($H314&lt;&gt;CK$5,0,IF(CK314&gt;0,IF(OR($J314=1,$J314=2,$J314=3,$J314=4,$J314=5,$J314=6,$J314=7),$E314*$I314/12*3,IF($J314=8,$E314*$I314/12*2,IF($J314=9,$E314*$I314/12*1,0)))))+IF(CF$5&lt;&gt;$H314,0,IF(CF314&gt;0,IF($J314=7,$E314*$I314/12*0,IF($J314=8,$E314*$I314/12*1,IF($J314=9,$E314*$I314/12*2,IF($J314&gt;=10,$E314*$I314/12*3,0))))))</f>
        <v>3.1875</v>
      </c>
      <c r="CJ314" s="88">
        <f t="shared" ref="CJ314" si="4624">IF($H314&lt;&gt;CK$5,0,IF(CK314&gt;0,IF(OR($J314=1,$J314=2,$J314=3,$J314=4,$J314=5,$J314=6,$J314=7,$J314=8,$J314=9,$J314=10),$E314*$I314/12*3,IF($J314=11,$E314*$I314/12*2,IF($J314=12,$E314*$I314/12*1,0)))))+IF(CF$5&lt;&gt;$H314,0,IF(CF314&gt;0,IF($J314=10,$E314*$I314/12*0,IF($J314=11,$E314*$I314/12*1,IF($J314=12,$E314*$I314/12*2,0)))))</f>
        <v>3.1875</v>
      </c>
      <c r="CK314" s="85">
        <f t="shared" ref="CK314" si="4625">IF(AND(CF314&lt;&gt;0,CF$5=$H314),$I314*$E314-CF314,IF(CK$5=$H314,$I314*$E314*(12-$J314+1)/12,0))</f>
        <v>6.375</v>
      </c>
      <c r="CL314" s="86">
        <f t="shared" ref="CL314" si="4626">IF($H314&lt;&gt;CP$5,0,IF(CP314&gt;0,IF($J314=1,$E314*$I314/12*3,IF($J314=2,$E314*$I314/12*2,IF($J314=3,$E314*$I314/12*1,0)))))+IF(CK$5&lt;&gt;$H314,0,IF(CK314&gt;0,IF($J314=1,$E314*$I314/12*0,IF($J314=2,$E314*$I314/12*1,IF($J314=3,$E314*$I314/12*2,IF($J314&gt;=4,$E314*$I314/12*3,0))))))</f>
        <v>3.1875</v>
      </c>
      <c r="CM314" s="87">
        <f t="shared" ref="CM314" si="4627">IF($H314&lt;&gt;CP$5,0,IF(CP314&gt;0,IF(OR($J314=1,$J314=2,$J314=3,$J314=4),$E314*$I314/12*3,IF($J314=5,$E314*$I314/12*2,IF($J314=6,$E314*$I314/12*1,0)))))+IF(CK$5&lt;&gt;$H314,0,IF(CK314&gt;0,IF($J314=4,$E314*$I314/12*0,IF($J314=5,$E314*$I314/12*1,IF($J314=6,$E314*$I314/12*2,IF($J314&gt;=7,$E314*$I314/12*3,0))))))</f>
        <v>3.1875</v>
      </c>
      <c r="CN314" s="87">
        <f t="shared" ref="CN314" si="4628">IF($H314&lt;&gt;CP$5,0,IF(CP314&gt;0,IF(OR($J314=1,$J314=2,$J314=3,$J314=4,$J314=5,$J314=6,$J314=7),$E314*$I314/12*3,IF($J314=8,$E314*$I314/12*2,IF($J314=9,$E314*$I314/12*1,0)))))+IF(CK$5&lt;&gt;$H314,0,IF(CK314&gt;0,IF($J314=7,$E314*$I314/12*0,IF($J314=8,$E314*$I314/12*1,IF($J314=9,$E314*$I314/12*2,IF($J314&gt;=10,$E314*$I314/12*3,0))))))</f>
        <v>0</v>
      </c>
      <c r="CO314" s="88">
        <f t="shared" ref="CO314" si="4629">IF($H314&lt;&gt;CP$5,0,IF(CP314&gt;0,IF(OR($J314=1,$J314=2,$J314=3,$J314=4,$J314=5,$J314=6,$J314=7,$J314=8,$J314=9,$J314=10),$E314*$I314/12*3,IF($J314=11,$E314*$I314/12*2,IF($J314=12,$E314*$I314/12*1,0)))))+IF(CK$5&lt;&gt;$H314,0,IF(CK314&gt;0,IF($J314=10,$E314*$I314/12*0,IF($J314=11,$E314*$I314/12*1,IF($J314=12,$E314*$I314/12*2,0)))))</f>
        <v>0</v>
      </c>
      <c r="CP314" s="85">
        <f t="shared" ref="CP314" si="4630">IF(AND(CK314&lt;&gt;0,CK$5=$H314),$I314*$E314-CK314,IF(CP$5=$H314,$I314*$E314*(12-$J314+1)/12,0))</f>
        <v>6.375</v>
      </c>
      <c r="CQ314" s="86">
        <f t="shared" ref="CQ314" si="4631">IF($H314&lt;&gt;CU$5,0,IF(CU314&gt;0,IF($J314=1,$E314*$I314/12*3,IF($J314=2,$E314*$I314/12*2,IF($J314=3,$E314*$I314/12*1,0)))))+IF(CP$5&lt;&gt;$H314,0,IF(CP314&gt;0,IF($J314=1,$E314*$I314/12*0,IF($J314=2,$E314*$I314/12*1,IF($J314=3,$E314*$I314/12*2,IF($J314&gt;=4,$E314*$I314/12*3,0))))))</f>
        <v>0</v>
      </c>
      <c r="CR314" s="87">
        <f t="shared" ref="CR314" si="4632">IF($H314&lt;&gt;CU$5,0,IF(CU314&gt;0,IF(OR($J314=1,$J314=2,$J314=3,$J314=4),$E314*$I314/12*3,IF($J314=5,$E314*$I314/12*2,IF($J314=6,$E314*$I314/12*1,0)))))+IF(CP$5&lt;&gt;$H314,0,IF(CP314&gt;0,IF($J314=4,$E314*$I314/12*0,IF($J314=5,$E314*$I314/12*1,IF($J314=6,$E314*$I314/12*2,IF($J314&gt;=7,$E314*$I314/12*3,0))))))</f>
        <v>0</v>
      </c>
      <c r="CS314" s="87">
        <f t="shared" ref="CS314" si="4633">IF($H314&lt;&gt;CU$5,0,IF(CU314&gt;0,IF(OR($J314=1,$J314=2,$J314=3,$J314=4,$J314=5,$J314=6,$J314=7),$E314*$I314/12*3,IF($J314=8,$E314*$I314/12*2,IF($J314=9,$E314*$I314/12*1,0)))))+IF(CP$5&lt;&gt;$H314,0,IF(CP314&gt;0,IF($J314=7,$E314*$I314/12*0,IF($J314=8,$E314*$I314/12*1,IF($J314=9,$E314*$I314/12*2,IF($J314&gt;=10,$E314*$I314/12*3,0))))))</f>
        <v>0</v>
      </c>
      <c r="CT314" s="88">
        <f t="shared" ref="CT314" si="4634">IF($H314&lt;&gt;CU$5,0,IF(CU314&gt;0,IF(OR($J314=1,$J314=2,$J314=3,$J314=4,$J314=5,$J314=6,$J314=7,$J314=8,$J314=9,$J314=10),$E314*$I314/12*3,IF($J314=11,$E314*$I314/12*2,IF($J314=12,$E314*$I314/12*1,0)))))+IF(CP$5&lt;&gt;$H314,0,IF(CP314&gt;0,IF($J314=10,$E314*$I314/12*0,IF($J314=11,$E314*$I314/12*1,IF($J314=12,$E314*$I314/12*2,0)))))</f>
        <v>0</v>
      </c>
      <c r="CU314" s="85">
        <f t="shared" ref="CU314" si="4635">IF(AND(CP314&lt;&gt;0,CP$5=$H314),$I314*$E314-CP314,IF(CU$5=$H314,$I314*$E314*(12-$J314+1)/12,0))</f>
        <v>0</v>
      </c>
      <c r="CV314" s="86">
        <f t="shared" ref="CV314:CV317" si="4636">IF($H314&lt;&gt;CZ$5,0,IF(CZ314&gt;0,IF($J314=1,$E314*$I314/12*3,IF($J314=2,$E314*$I314/12*2,IF($J314=3,$E314*$I314/12*1,0)))))+IF(CU$5&lt;&gt;$H314,0,IF(CU314&gt;0,IF($J314=1,$E314*$I314/12*0,IF($J314=2,$E314*$I314/12*1,IF($J314=3,$E314*$I314/12*2,IF($J314&gt;=4,$E314*$I314/12*3,0))))))</f>
        <v>0</v>
      </c>
      <c r="CW314" s="87">
        <f t="shared" ref="CW314:CW317" si="4637">IF($H314&lt;&gt;CZ$5,0,IF(CZ314&gt;0,IF(OR($J314=1,$J314=2,$J314=3,$J314=4),$E314*$I314/12*3,IF($J314=5,$E314*$I314/12*2,IF($J314=6,$E314*$I314/12*1,0)))))+IF(CU$5&lt;&gt;$H314,0,IF(CU314&gt;0,IF($J314=4,$E314*$I314/12*0,IF($J314=5,$E314*$I314/12*1,IF($J314=6,$E314*$I314/12*2,IF($J314&gt;=7,$E314*$I314/12*3,0))))))</f>
        <v>0</v>
      </c>
      <c r="CX314" s="87">
        <f t="shared" ref="CX314:CX317" si="4638">IF($H314&lt;&gt;CZ$5,0,IF(CZ314&gt;0,IF(OR($J314=1,$J314=2,$J314=3,$J314=4,$J314=5,$J314=6,$J314=7),$E314*$I314/12*3,IF($J314=8,$E314*$I314/12*2,IF($J314=9,$E314*$I314/12*1,0)))))+IF(CU$5&lt;&gt;$H314,0,IF(CU314&gt;0,IF($J314=7,$E314*$I314/12*0,IF($J314=8,$E314*$I314/12*1,IF($J314=9,$E314*$I314/12*2,IF($J314&gt;=10,$E314*$I314/12*3,0))))))</f>
        <v>0</v>
      </c>
      <c r="CY314" s="88">
        <f t="shared" ref="CY314:CY317" si="4639">IF($H314&lt;&gt;CZ$5,0,IF(CZ314&gt;0,IF(OR($J314=1,$J314=2,$J314=3,$J314=4,$J314=5,$J314=6,$J314=7,$J314=8,$J314=9,$J314=10),$E314*$I314/12*3,IF($J314=11,$E314*$I314/12*2,IF($J314=12,$E314*$I314/12*1,0)))))+IF(CU$5&lt;&gt;$H314,0,IF(CU314&gt;0,IF($J314=10,$E314*$I314/12*0,IF($J314=11,$E314*$I314/12*1,IF($J314=12,$E314*$I314/12*2,0)))))</f>
        <v>0</v>
      </c>
      <c r="CZ314" s="85">
        <f t="shared" ref="CZ314:CZ317" si="4640">IF(AND(CU314&lt;&gt;0,CU$5=$H314),$I314*$E314-CU314,IF(CZ$5=$H314,$I314*$E314*(12-$J314+1)/12,0))</f>
        <v>0</v>
      </c>
    </row>
    <row r="315" spans="1:104" ht="12.75" customHeight="1">
      <c r="A315" s="1817"/>
      <c r="B315" s="1817"/>
      <c r="C315" s="2026" t="s">
        <v>1373</v>
      </c>
      <c r="D315" s="1872"/>
      <c r="E315" s="147">
        <f>DPL!$BB$160</f>
        <v>65</v>
      </c>
      <c r="F315" s="165"/>
      <c r="G315" s="165"/>
      <c r="H315" s="1516">
        <v>2019</v>
      </c>
      <c r="I315" s="1841">
        <v>0.05</v>
      </c>
      <c r="J315" s="1832">
        <v>7</v>
      </c>
      <c r="L315" s="2001">
        <f t="shared" si="4549"/>
        <v>0</v>
      </c>
      <c r="M315" s="82">
        <f t="shared" ref="M315:M316" si="4641">IF(Q315=0,0,IF(Q315&gt;0,IF($J315=3,Q315,IF($J315=2,Q315,IF($J315=1,Q315,0)))))</f>
        <v>0</v>
      </c>
      <c r="N315" s="83">
        <f t="shared" ref="N315:N316" si="4642">IF(Q315=0,0,IF(Q315&gt;0,IF($J315=6,Q315,IF($J315=5,Q315,IF($J315=4,Q315,0)))))</f>
        <v>0</v>
      </c>
      <c r="O315" s="83">
        <f t="shared" ref="O315:O316" si="4643">IF(Q315=0,0,IF(Q315&gt;0,IF($J315=9,Q315,IF($J315=8,Q315,IF($J315=7,Q315,0)))))</f>
        <v>0</v>
      </c>
      <c r="P315" s="84">
        <f t="shared" ref="P315:P316" si="4644">IF(Q315=0,0,IF(Q315&gt;0,IF($J315=12,Q315,IF($J315=11,Q315,IF($J315=10,Q315,0)))))</f>
        <v>0</v>
      </c>
      <c r="Q315" s="81">
        <f t="shared" si="4554"/>
        <v>0</v>
      </c>
      <c r="R315" s="82">
        <f t="shared" ref="R315:R316" si="4645">IF(V315=0,0,IF(V315&gt;0,IF($J315=3,V315,IF($J315=2,V315,IF($J315=1,V315,0)))))</f>
        <v>0</v>
      </c>
      <c r="S315" s="83">
        <f t="shared" ref="S315:S316" si="4646">IF(V315=0,0,IF(V315&gt;0,IF($J315=6,V315,IF($J315=5,V315,IF($J315=4,V315,0)))))</f>
        <v>0</v>
      </c>
      <c r="T315" s="83">
        <f t="shared" ref="T315:T316" si="4647">IF(V315=0,0,IF(V315&gt;0,IF($J315=9,V315,IF($J315=8,V315,IF($J315=7,V315,0)))))</f>
        <v>0</v>
      </c>
      <c r="U315" s="84">
        <f t="shared" ref="U315:U316" si="4648">IF(V315=0,0,IF(V315&gt;0,IF($J315=12,V315,IF($J315=11,V315,IF($J315=10,V315,0)))))</f>
        <v>0</v>
      </c>
      <c r="V315" s="81">
        <f t="shared" si="4559"/>
        <v>0</v>
      </c>
      <c r="W315" s="82">
        <f t="shared" ref="W315:W316" si="4649">IF(AA315=0,0,IF(AA315&gt;0,IF($J315=3,AA315,IF($J315=2,AA315,IF($J315=1,AA315,0)))))</f>
        <v>0</v>
      </c>
      <c r="X315" s="83">
        <f t="shared" ref="X315:X316" si="4650">IF(AA315=0,0,IF(AA315&gt;0,IF($J315=6,AA315,IF($J315=5,AA315,IF($J315=4,AA315,0)))))</f>
        <v>0</v>
      </c>
      <c r="Y315" s="83">
        <f t="shared" ref="Y315:Y316" si="4651">IF(AA315=0,0,IF(AA315&gt;0,IF($J315=9,AA315,IF($J315=8,AA315,IF($J315=7,AA315,0)))))</f>
        <v>0</v>
      </c>
      <c r="Z315" s="84">
        <f t="shared" ref="Z315:Z316" si="4652">IF(AA315=0,0,IF(AA315&gt;0,IF($J315=12,AA315,IF($J315=11,AA315,IF($J315=10,AA315,0)))))</f>
        <v>0</v>
      </c>
      <c r="AA315" s="81">
        <f t="shared" si="4564"/>
        <v>0</v>
      </c>
      <c r="AB315" s="82">
        <f t="shared" ref="AB315:AB316" si="4653">IF(AF315=0,0,IF(AF315&gt;0,IF($J315=3,AF315,IF($J315=2,AF315,IF($J315=1,AF315,0)))))</f>
        <v>0</v>
      </c>
      <c r="AC315" s="83">
        <f t="shared" ref="AC315:AC316" si="4654">IF(AF315=0,0,IF(AF315&gt;0,IF($J315=6,AF315,IF($J315=5,AF315,IF($J315=4,AF315,0)))))</f>
        <v>0</v>
      </c>
      <c r="AD315" s="83">
        <f t="shared" ref="AD315:AD316" si="4655">IF(AF315=0,0,IF(AF315&gt;0,IF($J315=9,AF315,IF($J315=8,AF315,IF($J315=7,AF315,0)))))</f>
        <v>0</v>
      </c>
      <c r="AE315" s="84">
        <f t="shared" ref="AE315:AE316" si="4656">IF(AF315=0,0,IF(AF315&gt;0,IF($J315=12,AF315,IF($J315=11,AF315,IF($J315=10,AF315,0)))))</f>
        <v>0</v>
      </c>
      <c r="AF315" s="81">
        <f t="shared" si="4569"/>
        <v>0</v>
      </c>
      <c r="AG315" s="82">
        <f t="shared" ref="AG315:AG316" si="4657">IF(AK315=0,0,IF(AK315&gt;0,IF($J315=3,AK315,IF($J315=2,AK315,IF($J315=1,AK315,0)))))</f>
        <v>0</v>
      </c>
      <c r="AH315" s="83">
        <f t="shared" ref="AH315:AH316" si="4658">IF(AK315=0,0,IF(AK315&gt;0,IF($J315=6,AK315,IF($J315=5,AK315,IF($J315=4,AK315,0)))))</f>
        <v>0</v>
      </c>
      <c r="AI315" s="83">
        <f t="shared" ref="AI315:AI316" si="4659">IF(AK315=0,0,IF(AK315&gt;0,IF($J315=9,AK315,IF($J315=8,AK315,IF($J315=7,AK315,0)))))</f>
        <v>0</v>
      </c>
      <c r="AJ315" s="84">
        <f t="shared" ref="AJ315:AJ316" si="4660">IF(AK315=0,0,IF(AK315&gt;0,IF($J315=12,AK315,IF($J315=11,AK315,IF($J315=10,AK315,0)))))</f>
        <v>0</v>
      </c>
      <c r="AK315" s="81">
        <f t="shared" si="4574"/>
        <v>0</v>
      </c>
      <c r="AL315" s="82">
        <f t="shared" ref="AL315:AL316" si="4661">IF(AP315=0,0,IF(AP315&gt;0,IF($J315=3,AP315,IF($J315=2,AP315,IF($J315=1,AP315,0)))))</f>
        <v>0</v>
      </c>
      <c r="AM315" s="83">
        <f t="shared" ref="AM315:AM316" si="4662">IF(AP315=0,0,IF(AP315&gt;0,IF($J315=6,AP315,IF($J315=5,AP315,IF($J315=4,AP315,0)))))</f>
        <v>0</v>
      </c>
      <c r="AN315" s="83">
        <f t="shared" ref="AN315:AN316" si="4663">IF(AP315=0,0,IF(AP315&gt;0,IF($J315=9,AP315,IF($J315=8,AP315,IF($J315=7,AP315,0)))))</f>
        <v>0</v>
      </c>
      <c r="AO315" s="84">
        <f t="shared" ref="AO315:AO316" si="4664">IF(AP315=0,0,IF(AP315&gt;0,IF($J315=12,AP315,IF($J315=11,AP315,IF($J315=10,AP315,0)))))</f>
        <v>0</v>
      </c>
      <c r="AP315" s="81">
        <f t="shared" si="4579"/>
        <v>0</v>
      </c>
      <c r="AQ315" s="82">
        <f t="shared" ref="AQ315:AQ316" si="4665">IF(AU315=0,0,IF(AU315&gt;0,IF($J315=3,AU315,IF($J315=2,AU315,IF($J315=1,AU315,0)))))</f>
        <v>0</v>
      </c>
      <c r="AR315" s="83">
        <f t="shared" ref="AR315:AR316" si="4666">IF(AU315=0,0,IF(AU315&gt;0,IF($J315=6,AU315,IF($J315=5,AU315,IF($J315=4,AU315,0)))))</f>
        <v>0</v>
      </c>
      <c r="AS315" s="83">
        <f t="shared" ref="AS315:AS316" si="4667">IF(AU315=0,0,IF(AU315&gt;0,IF($J315=9,AU315,IF($J315=8,AU315,IF($J315=7,AU315,0)))))</f>
        <v>65</v>
      </c>
      <c r="AT315" s="84">
        <f t="shared" ref="AT315:AT316" si="4668">IF(AU315=0,0,IF(AU315&gt;0,IF($J315=12,AU315,IF($J315=11,AU315,IF($J315=10,AU315,0)))))</f>
        <v>0</v>
      </c>
      <c r="AU315" s="81">
        <f t="shared" si="4584"/>
        <v>65</v>
      </c>
      <c r="AV315" s="82">
        <f t="shared" ref="AV315:AV316" si="4669">IF(AZ315=0,0,IF(AZ315&gt;0,IF($J315=3,AZ315,IF($J315=2,AZ315,IF($J315=1,AZ315,0)))))</f>
        <v>0</v>
      </c>
      <c r="AW315" s="83">
        <f t="shared" ref="AW315:AW316" si="4670">IF(AZ315=0,0,IF(AZ315&gt;0,IF($J315=6,AZ315,IF($J315=5,AZ315,IF($J315=4,AZ315,0)))))</f>
        <v>0</v>
      </c>
      <c r="AX315" s="83">
        <f t="shared" ref="AX315:AX316" si="4671">IF(AZ315=0,0,IF(AZ315&gt;0,IF($J315=9,AZ315,IF($J315=8,AZ315,IF($J315=7,AZ315,0)))))</f>
        <v>0</v>
      </c>
      <c r="AY315" s="84">
        <f t="shared" ref="AY315:AY316" si="4672">IF(AZ315=0,0,IF(AZ315&gt;0,IF($J315=12,AZ315,IF($J315=11,AZ315,IF($J315=10,AZ315,0)))))</f>
        <v>0</v>
      </c>
      <c r="AZ315" s="81">
        <f t="shared" si="4589"/>
        <v>0</v>
      </c>
      <c r="BA315" s="82">
        <f t="shared" si="4590"/>
        <v>0</v>
      </c>
      <c r="BB315" s="83">
        <f t="shared" si="4591"/>
        <v>0</v>
      </c>
      <c r="BC315" s="83">
        <f t="shared" si="4592"/>
        <v>0</v>
      </c>
      <c r="BD315" s="84">
        <f t="shared" si="4593"/>
        <v>0</v>
      </c>
      <c r="BE315" s="81">
        <f t="shared" si="4594"/>
        <v>0</v>
      </c>
      <c r="BF315" s="1884"/>
      <c r="BG315" s="2005">
        <f t="shared" ref="BG315:BG316" si="4673">IF(AND(BF315&lt;&gt;0,BF$5=$H315),$I315*$E315-BF315,IF(BG$5=$H315,$I315*$E315*(12-$J315+1)/12,0))</f>
        <v>0</v>
      </c>
      <c r="BH315" s="86">
        <f t="shared" ref="BH315:BH316" si="4674">IF($H315&lt;&gt;BL$5,0,IF(BL315&gt;0,IF($J315=1,$E315*$I315/12*3,IF($J315=2,$E315*$I315/12*2,IF($J315=3,$E315*$I315/12*1,0)))))+IF(BG$5&lt;&gt;$H315,0,IF(BG315&gt;0,IF($J315=1,$E315*$I315/12*0,IF($J315=2,$E315*$I315/12*1,IF($J315=3,$E315*$I315/12*2,IF($J315&gt;=4,$E315*$I315/12*3,0))))))</f>
        <v>0</v>
      </c>
      <c r="BI315" s="87">
        <f t="shared" ref="BI315:BI316" si="4675">IF($H315&lt;&gt;BL$5,0,IF(BL315&gt;0,IF(OR($J315=1,$J315=2,$J315=3,$J315=4),$E315*$I315/12*3,IF($J315=5,$E315*$I315/12*2,IF($J315=6,$E315*$I315/12*1,0)))))+IF(BG$5&lt;&gt;$H315,0,IF(BG315&gt;0,IF($J315=4,$E315*$I315/12*0,IF($J315=5,$E315*$I315/12*1,IF($J315=6,$E315*$I315/12*2,IF($J315&gt;=7,$E315*$I315/12*3,0))))))</f>
        <v>0</v>
      </c>
      <c r="BJ315" s="87">
        <f t="shared" ref="BJ315:BJ316" si="4676">IF($H315&lt;&gt;BL$5,0,IF(BL315&gt;0,IF(OR($J315=1,$J315=2,$J315=3,$J315=4,$J315=5,$J315=6,$J315=7),$E315*$I315/12*3,IF($J315=8,$E315*$I315/12*2,IF($J315=9,$E315*$I315/12*1,0)))))+IF(BG$5&lt;&gt;$H315,0,IF(BG315&gt;0,IF($J315=7,$E315*$I315/12*0,IF($J315=8,$E315*$I315/12*1,IF($J315=9,$E315*$I315/12*2,IF($J315&gt;=10,$E315*$I315/12*3,0))))))</f>
        <v>0</v>
      </c>
      <c r="BK315" s="88">
        <f t="shared" ref="BK315:BK316" si="4677">IF($H315&lt;&gt;BL$5,0,IF(BL315&gt;0,IF(OR($J315=1,$J315=2,$J315=3,$J315=4,$J315=5,$J315=6,$J315=7,$J315=8,$J315=9,$J315=10),$E315*$I315/12*3,IF($J315=11,$E315*$I315/12*2,IF($J315=12,$E315*$I315/12*1,0)))))+IF(BG$5&lt;&gt;$H315,0,IF(BG315&gt;0,IF($J315=10,$E315*$I315/12*0,IF($J315=11,$E315*$I315/12*1,IF($J315=12,$E315*$I315/12*2,0)))))</f>
        <v>0</v>
      </c>
      <c r="BL315" s="85">
        <f t="shared" ref="BL315:BL316" si="4678">IF(AND(BG315&lt;&gt;0,BG$5=$H315),$I315*$E315-BG315,IF(BL$5=$H315,$I315*$E315*(12-$J315+1)/12,0))</f>
        <v>0</v>
      </c>
      <c r="BM315" s="86">
        <f t="shared" ref="BM315:BM316" si="4679">IF($H315&lt;&gt;BQ$5,0,IF(BQ315&gt;0,IF($J315=1,$E315*$I315/12*3,IF($J315=2,$E315*$I315/12*2,IF($J315=3,$E315*$I315/12*1,0)))))+IF(BL$5&lt;&gt;$H315,0,IF(BL315&gt;0,IF($J315=1,$E315*$I315/12*0,IF($J315=2,$E315*$I315/12*1,IF($J315=3,$E315*$I315/12*2,IF($J315&gt;=4,$E315*$I315/12*3,0))))))</f>
        <v>0</v>
      </c>
      <c r="BN315" s="87">
        <f t="shared" ref="BN315:BN316" si="4680">IF($H315&lt;&gt;BQ$5,0,IF(BQ315&gt;0,IF(OR($J315=1,$J315=2,$J315=3,$J315=4),$E315*$I315/12*3,IF($J315=5,$E315*$I315/12*2,IF($J315=6,$E315*$I315/12*1,0)))))+IF(BL$5&lt;&gt;$H315,0,IF(BL315&gt;0,IF($J315=4,$E315*$I315/12*0,IF($J315=5,$E315*$I315/12*1,IF($J315=6,$E315*$I315/12*2,IF($J315&gt;=7,$E315*$I315/12*3,0))))))</f>
        <v>0</v>
      </c>
      <c r="BO315" s="87">
        <f t="shared" ref="BO315:BO316" si="4681">IF($H315&lt;&gt;BQ$5,0,IF(BQ315&gt;0,IF(OR($J315=1,$J315=2,$J315=3,$J315=4,$J315=5,$J315=6,$J315=7),$E315*$I315/12*3,IF($J315=8,$E315*$I315/12*2,IF($J315=9,$E315*$I315/12*1,0)))))+IF(BL$5&lt;&gt;$H315,0,IF(BL315&gt;0,IF($J315=7,$E315*$I315/12*0,IF($J315=8,$E315*$I315/12*1,IF($J315=9,$E315*$I315/12*2,IF($J315&gt;=10,$E315*$I315/12*3,0))))))</f>
        <v>0</v>
      </c>
      <c r="BP315" s="88">
        <f t="shared" ref="BP315:BP316" si="4682">IF($H315&lt;&gt;BQ$5,0,IF(BQ315&gt;0,IF(OR($J315=1,$J315=2,$J315=3,$J315=4,$J315=5,$J315=6,$J315=7,$J315=8,$J315=9,$J315=10),$E315*$I315/12*3,IF($J315=11,$E315*$I315/12*2,IF($J315=12,$E315*$I315/12*1,0)))))+IF(BL$5&lt;&gt;$H315,0,IF(BL315&gt;0,IF($J315=10,$E315*$I315/12*0,IF($J315=11,$E315*$I315/12*1,IF($J315=12,$E315*$I315/12*2,0)))))</f>
        <v>0</v>
      </c>
      <c r="BQ315" s="85">
        <f t="shared" ref="BQ315:BQ316" si="4683">IF(AND(BL315&lt;&gt;0,BL$5=$H315),$I315*$E315-BL315,IF(BQ$5=$H315,$I315*$E315*(12-$J315+1)/12,0))</f>
        <v>0</v>
      </c>
      <c r="BR315" s="86">
        <f t="shared" ref="BR315:BR316" si="4684">IF($H315&lt;&gt;BV$5,0,IF(BV315&gt;0,IF($J315=1,$E315*$I315/12*3,IF($J315=2,$E315*$I315/12*2,IF($J315=3,$E315*$I315/12*1,0)))))+IF(BQ$5&lt;&gt;$H315,0,IF(BQ315&gt;0,IF($J315=1,$E315*$I315/12*0,IF($J315=2,$E315*$I315/12*1,IF($J315=3,$E315*$I315/12*2,IF($J315&gt;=4,$E315*$I315/12*3,0))))))</f>
        <v>0</v>
      </c>
      <c r="BS315" s="87">
        <f t="shared" ref="BS315:BS316" si="4685">IF($H315&lt;&gt;BV$5,0,IF(BV315&gt;0,IF(OR($J315=1,$J315=2,$J315=3,$J315=4),$E315*$I315/12*3,IF($J315=5,$E315*$I315/12*2,IF($J315=6,$E315*$I315/12*1,0)))))+IF(BQ$5&lt;&gt;$H315,0,IF(BQ315&gt;0,IF($J315=4,$E315*$I315/12*0,IF($J315=5,$E315*$I315/12*1,IF($J315=6,$E315*$I315/12*2,IF($J315&gt;=7,$E315*$I315/12*3,0))))))</f>
        <v>0</v>
      </c>
      <c r="BT315" s="87">
        <f t="shared" ref="BT315:BT316" si="4686">IF($H315&lt;&gt;BV$5,0,IF(BV315&gt;0,IF(OR($J315=1,$J315=2,$J315=3,$J315=4,$J315=5,$J315=6,$J315=7),$E315*$I315/12*3,IF($J315=8,$E315*$I315/12*2,IF($J315=9,$E315*$I315/12*1,0)))))+IF(BQ$5&lt;&gt;$H315,0,IF(BQ315&gt;0,IF($J315=7,$E315*$I315/12*0,IF($J315=8,$E315*$I315/12*1,IF($J315=9,$E315*$I315/12*2,IF($J315&gt;=10,$E315*$I315/12*3,0))))))</f>
        <v>0</v>
      </c>
      <c r="BU315" s="88">
        <f t="shared" ref="BU315:BU316" si="4687">IF($H315&lt;&gt;BV$5,0,IF(BV315&gt;0,IF(OR($J315=1,$J315=2,$J315=3,$J315=4,$J315=5,$J315=6,$J315=7,$J315=8,$J315=9,$J315=10),$E315*$I315/12*3,IF($J315=11,$E315*$I315/12*2,IF($J315=12,$E315*$I315/12*1,0)))))+IF(BQ$5&lt;&gt;$H315,0,IF(BQ315&gt;0,IF($J315=10,$E315*$I315/12*0,IF($J315=11,$E315*$I315/12*1,IF($J315=12,$E315*$I315/12*2,0)))))</f>
        <v>0</v>
      </c>
      <c r="BV315" s="85">
        <f t="shared" ref="BV315:BV316" si="4688">IF(AND(BQ315&lt;&gt;0,BQ$5=$H315),$I315*$E315-BQ315,IF(BV$5=$H315,$I315*$E315*(12-$J315+1)/12,0))</f>
        <v>0</v>
      </c>
      <c r="BW315" s="86">
        <f t="shared" ref="BW315:BW316" si="4689">IF($H315&lt;&gt;CA$5,0,IF(CA315&gt;0,IF($J315=1,$E315*$I315/12*3,IF($J315=2,$E315*$I315/12*2,IF($J315=3,$E315*$I315/12*1,0)))))+IF(BV$5&lt;&gt;$H315,0,IF(BV315&gt;0,IF($J315=1,$E315*$I315/12*0,IF($J315=2,$E315*$I315/12*1,IF($J315=3,$E315*$I315/12*2,IF($J315&gt;=4,$E315*$I315/12*3,0))))))</f>
        <v>0</v>
      </c>
      <c r="BX315" s="87">
        <f t="shared" ref="BX315:BX316" si="4690">IF($H315&lt;&gt;CA$5,0,IF(CA315&gt;0,IF(OR($J315=1,$J315=2,$J315=3,$J315=4),$E315*$I315/12*3,IF($J315=5,$E315*$I315/12*2,IF($J315=6,$E315*$I315/12*1,0)))))+IF(BV$5&lt;&gt;$H315,0,IF(BV315&gt;0,IF($J315=4,$E315*$I315/12*0,IF($J315=5,$E315*$I315/12*1,IF($J315=6,$E315*$I315/12*2,IF($J315&gt;=7,$E315*$I315/12*3,0))))))</f>
        <v>0</v>
      </c>
      <c r="BY315" s="87">
        <f t="shared" ref="BY315:BY316" si="4691">IF($H315&lt;&gt;CA$5,0,IF(CA315&gt;0,IF(OR($J315=1,$J315=2,$J315=3,$J315=4,$J315=5,$J315=6,$J315=7),$E315*$I315/12*3,IF($J315=8,$E315*$I315/12*2,IF($J315=9,$E315*$I315/12*1,0)))))+IF(BV$5&lt;&gt;$H315,0,IF(BV315&gt;0,IF($J315=7,$E315*$I315/12*0,IF($J315=8,$E315*$I315/12*1,IF($J315=9,$E315*$I315/12*2,IF($J315&gt;=10,$E315*$I315/12*3,0))))))</f>
        <v>0</v>
      </c>
      <c r="BZ315" s="88">
        <f t="shared" ref="BZ315:BZ316" si="4692">IF($H315&lt;&gt;CA$5,0,IF(CA315&gt;0,IF(OR($J315=1,$J315=2,$J315=3,$J315=4,$J315=5,$J315=6,$J315=7,$J315=8,$J315=9,$J315=10),$E315*$I315/12*3,IF($J315=11,$E315*$I315/12*2,IF($J315=12,$E315*$I315/12*1,0)))))+IF(BV$5&lt;&gt;$H315,0,IF(BV315&gt;0,IF($J315=10,$E315*$I315/12*0,IF($J315=11,$E315*$I315/12*1,IF($J315=12,$E315*$I315/12*2,0)))))</f>
        <v>0</v>
      </c>
      <c r="CA315" s="85">
        <f t="shared" ref="CA315:CA316" si="4693">IF(AND(BV315&lt;&gt;0,BV$5=$H315),$I315*$E315-BV315,IF(CA$5=$H315,$I315*$E315*(12-$J315+1)/12,0))</f>
        <v>0</v>
      </c>
      <c r="CB315" s="86">
        <f t="shared" ref="CB315:CB316" si="4694">IF($H315&lt;&gt;CF$5,0,IF(CF315&gt;0,IF($J315=1,$E315*$I315/12*3,IF($J315=2,$E315*$I315/12*2,IF($J315=3,$E315*$I315/12*1,0)))))+IF(CA$5&lt;&gt;$H315,0,IF(CA315&gt;0,IF($J315=1,$E315*$I315/12*0,IF($J315=2,$E315*$I315/12*1,IF($J315=3,$E315*$I315/12*2,IF($J315&gt;=4,$E315*$I315/12*3,0))))))</f>
        <v>0</v>
      </c>
      <c r="CC315" s="87">
        <f t="shared" ref="CC315:CC316" si="4695">IF($H315&lt;&gt;CF$5,0,IF(CF315&gt;0,IF(OR($J315=1,$J315=2,$J315=3,$J315=4),$E315*$I315/12*3,IF($J315=5,$E315*$I315/12*2,IF($J315=6,$E315*$I315/12*1,0)))))+IF(CA$5&lt;&gt;$H315,0,IF(CA315&gt;0,IF($J315=4,$E315*$I315/12*0,IF($J315=5,$E315*$I315/12*1,IF($J315=6,$E315*$I315/12*2,IF($J315&gt;=7,$E315*$I315/12*3,0))))))</f>
        <v>0</v>
      </c>
      <c r="CD315" s="87">
        <f t="shared" ref="CD315:CD316" si="4696">IF($H315&lt;&gt;CF$5,0,IF(CF315&gt;0,IF(OR($J315=1,$J315=2,$J315=3,$J315=4,$J315=5,$J315=6,$J315=7),$E315*$I315/12*3,IF($J315=8,$E315*$I315/12*2,IF($J315=9,$E315*$I315/12*1,0)))))+IF(CA$5&lt;&gt;$H315,0,IF(CA315&gt;0,IF($J315=7,$E315*$I315/12*0,IF($J315=8,$E315*$I315/12*1,IF($J315=9,$E315*$I315/12*2,IF($J315&gt;=10,$E315*$I315/12*3,0))))))</f>
        <v>0</v>
      </c>
      <c r="CE315" s="88">
        <f t="shared" ref="CE315:CE316" si="4697">IF($H315&lt;&gt;CF$5,0,IF(CF315&gt;0,IF(OR($J315=1,$J315=2,$J315=3,$J315=4,$J315=5,$J315=6,$J315=7,$J315=8,$J315=9,$J315=10),$E315*$I315/12*3,IF($J315=11,$E315*$I315/12*2,IF($J315=12,$E315*$I315/12*1,0)))))+IF(CA$5&lt;&gt;$H315,0,IF(CA315&gt;0,IF($J315=10,$E315*$I315/12*0,IF($J315=11,$E315*$I315/12*1,IF($J315=12,$E315*$I315/12*2,0)))))</f>
        <v>0</v>
      </c>
      <c r="CF315" s="85">
        <f t="shared" ref="CF315:CF316" si="4698">IF(AND(CA315&lt;&gt;0,CA$5=$H315),$I315*$E315-CA315,IF(CF$5=$H315,$I315*$E315*(12-$J315+1)/12,0))</f>
        <v>0</v>
      </c>
      <c r="CG315" s="86">
        <f t="shared" ref="CG315:CG316" si="4699">IF($H315&lt;&gt;CK$5,0,IF(CK315&gt;0,IF($J315=1,$E315*$I315/12*3,IF($J315=2,$E315*$I315/12*2,IF($J315=3,$E315*$I315/12*1,0)))))+IF(CF$5&lt;&gt;$H315,0,IF(CF315&gt;0,IF($J315=1,$E315*$I315/12*0,IF($J315=2,$E315*$I315/12*1,IF($J315=3,$E315*$I315/12*2,IF($J315&gt;=4,$E315*$I315/12*3,0))))))</f>
        <v>0</v>
      </c>
      <c r="CH315" s="87">
        <f t="shared" ref="CH315:CH316" si="4700">IF($H315&lt;&gt;CK$5,0,IF(CK315&gt;0,IF(OR($J315=1,$J315=2,$J315=3,$J315=4),$E315*$I315/12*3,IF($J315=5,$E315*$I315/12*2,IF($J315=6,$E315*$I315/12*1,0)))))+IF(CF$5&lt;&gt;$H315,0,IF(CF315&gt;0,IF($J315=4,$E315*$I315/12*0,IF($J315=5,$E315*$I315/12*1,IF($J315=6,$E315*$I315/12*2,IF($J315&gt;=7,$E315*$I315/12*3,0))))))</f>
        <v>0</v>
      </c>
      <c r="CI315" s="87">
        <f t="shared" ref="CI315:CI316" si="4701">IF($H315&lt;&gt;CK$5,0,IF(CK315&gt;0,IF(OR($J315=1,$J315=2,$J315=3,$J315=4,$J315=5,$J315=6,$J315=7),$E315*$I315/12*3,IF($J315=8,$E315*$I315/12*2,IF($J315=9,$E315*$I315/12*1,0)))))+IF(CF$5&lt;&gt;$H315,0,IF(CF315&gt;0,IF($J315=7,$E315*$I315/12*0,IF($J315=8,$E315*$I315/12*1,IF($J315=9,$E315*$I315/12*2,IF($J315&gt;=10,$E315*$I315/12*3,0))))))</f>
        <v>0</v>
      </c>
      <c r="CJ315" s="88">
        <f t="shared" ref="CJ315:CJ316" si="4702">IF($H315&lt;&gt;CK$5,0,IF(CK315&gt;0,IF(OR($J315=1,$J315=2,$J315=3,$J315=4,$J315=5,$J315=6,$J315=7,$J315=8,$J315=9,$J315=10),$E315*$I315/12*3,IF($J315=11,$E315*$I315/12*2,IF($J315=12,$E315*$I315/12*1,0)))))+IF(CF$5&lt;&gt;$H315,0,IF(CF315&gt;0,IF($J315=10,$E315*$I315/12*0,IF($J315=11,$E315*$I315/12*1,IF($J315=12,$E315*$I315/12*2,0)))))</f>
        <v>0</v>
      </c>
      <c r="CK315" s="85">
        <f t="shared" ref="CK315:CK316" si="4703">IF(AND(CF315&lt;&gt;0,CF$5=$H315),$I315*$E315-CF315,IF(CK$5=$H315,$I315*$E315*(12-$J315+1)/12,0))</f>
        <v>0</v>
      </c>
      <c r="CL315" s="86">
        <f t="shared" ref="CL315:CL316" si="4704">IF($H315&lt;&gt;CP$5,0,IF(CP315&gt;0,IF($J315=1,$E315*$I315/12*3,IF($J315=2,$E315*$I315/12*2,IF($J315=3,$E315*$I315/12*1,0)))))+IF(CK$5&lt;&gt;$H315,0,IF(CK315&gt;0,IF($J315=1,$E315*$I315/12*0,IF($J315=2,$E315*$I315/12*1,IF($J315=3,$E315*$I315/12*2,IF($J315&gt;=4,$E315*$I315/12*3,0))))))</f>
        <v>0</v>
      </c>
      <c r="CM315" s="87">
        <f t="shared" ref="CM315:CM316" si="4705">IF($H315&lt;&gt;CP$5,0,IF(CP315&gt;0,IF(OR($J315=1,$J315=2,$J315=3,$J315=4),$E315*$I315/12*3,IF($J315=5,$E315*$I315/12*2,IF($J315=6,$E315*$I315/12*1,0)))))+IF(CK$5&lt;&gt;$H315,0,IF(CK315&gt;0,IF($J315=4,$E315*$I315/12*0,IF($J315=5,$E315*$I315/12*1,IF($J315=6,$E315*$I315/12*2,IF($J315&gt;=7,$E315*$I315/12*3,0))))))</f>
        <v>0</v>
      </c>
      <c r="CN315" s="87">
        <f t="shared" ref="CN315:CN316" si="4706">IF($H315&lt;&gt;CP$5,0,IF(CP315&gt;0,IF(OR($J315=1,$J315=2,$J315=3,$J315=4,$J315=5,$J315=6,$J315=7),$E315*$I315/12*3,IF($J315=8,$E315*$I315/12*2,IF($J315=9,$E315*$I315/12*1,0)))))+IF(CK$5&lt;&gt;$H315,0,IF(CK315&gt;0,IF($J315=7,$E315*$I315/12*0,IF($J315=8,$E315*$I315/12*1,IF($J315=9,$E315*$I315/12*2,IF($J315&gt;=10,$E315*$I315/12*3,0))))))</f>
        <v>0.8125</v>
      </c>
      <c r="CO315" s="88">
        <f t="shared" ref="CO315:CO316" si="4707">IF($H315&lt;&gt;CP$5,0,IF(CP315&gt;0,IF(OR($J315=1,$J315=2,$J315=3,$J315=4,$J315=5,$J315=6,$J315=7,$J315=8,$J315=9,$J315=10),$E315*$I315/12*3,IF($J315=11,$E315*$I315/12*2,IF($J315=12,$E315*$I315/12*1,0)))))+IF(CK$5&lt;&gt;$H315,0,IF(CK315&gt;0,IF($J315=10,$E315*$I315/12*0,IF($J315=11,$E315*$I315/12*1,IF($J315=12,$E315*$I315/12*2,0)))))</f>
        <v>0.8125</v>
      </c>
      <c r="CP315" s="85">
        <f t="shared" ref="CP315:CP316" si="4708">IF(AND(CK315&lt;&gt;0,CK$5=$H315),$I315*$E315-CK315,IF(CP$5=$H315,$I315*$E315*(12-$J315+1)/12,0))</f>
        <v>1.625</v>
      </c>
      <c r="CQ315" s="86">
        <f t="shared" ref="CQ315:CQ316" si="4709">IF($H315&lt;&gt;CU$5,0,IF(CU315&gt;0,IF($J315=1,$E315*$I315/12*3,IF($J315=2,$E315*$I315/12*2,IF($J315=3,$E315*$I315/12*1,0)))))+IF(CP$5&lt;&gt;$H315,0,IF(CP315&gt;0,IF($J315=1,$E315*$I315/12*0,IF($J315=2,$E315*$I315/12*1,IF($J315=3,$E315*$I315/12*2,IF($J315&gt;=4,$E315*$I315/12*3,0))))))</f>
        <v>0.8125</v>
      </c>
      <c r="CR315" s="87">
        <f t="shared" ref="CR315:CR316" si="4710">IF($H315&lt;&gt;CU$5,0,IF(CU315&gt;0,IF(OR($J315=1,$J315=2,$J315=3,$J315=4),$E315*$I315/12*3,IF($J315=5,$E315*$I315/12*2,IF($J315=6,$E315*$I315/12*1,0)))))+IF(CP$5&lt;&gt;$H315,0,IF(CP315&gt;0,IF($J315=4,$E315*$I315/12*0,IF($J315=5,$E315*$I315/12*1,IF($J315=6,$E315*$I315/12*2,IF($J315&gt;=7,$E315*$I315/12*3,0))))))</f>
        <v>0.8125</v>
      </c>
      <c r="CS315" s="87">
        <f t="shared" ref="CS315:CS316" si="4711">IF($H315&lt;&gt;CU$5,0,IF(CU315&gt;0,IF(OR($J315=1,$J315=2,$J315=3,$J315=4,$J315=5,$J315=6,$J315=7),$E315*$I315/12*3,IF($J315=8,$E315*$I315/12*2,IF($J315=9,$E315*$I315/12*1,0)))))+IF(CP$5&lt;&gt;$H315,0,IF(CP315&gt;0,IF($J315=7,$E315*$I315/12*0,IF($J315=8,$E315*$I315/12*1,IF($J315=9,$E315*$I315/12*2,IF($J315&gt;=10,$E315*$I315/12*3,0))))))</f>
        <v>0</v>
      </c>
      <c r="CT315" s="88">
        <f t="shared" ref="CT315:CT316" si="4712">IF($H315&lt;&gt;CU$5,0,IF(CU315&gt;0,IF(OR($J315=1,$J315=2,$J315=3,$J315=4,$J315=5,$J315=6,$J315=7,$J315=8,$J315=9,$J315=10),$E315*$I315/12*3,IF($J315=11,$E315*$I315/12*2,IF($J315=12,$E315*$I315/12*1,0)))))+IF(CP$5&lt;&gt;$H315,0,IF(CP315&gt;0,IF($J315=10,$E315*$I315/12*0,IF($J315=11,$E315*$I315/12*1,IF($J315=12,$E315*$I315/12*2,0)))))</f>
        <v>0</v>
      </c>
      <c r="CU315" s="85">
        <f t="shared" ref="CU315:CU316" si="4713">IF(AND(CP315&lt;&gt;0,CP$5=$H315),$I315*$E315-CP315,IF(CU$5=$H315,$I315*$E315*(12-$J315+1)/12,0))</f>
        <v>1.625</v>
      </c>
      <c r="CV315" s="86">
        <f t="shared" si="4636"/>
        <v>0</v>
      </c>
      <c r="CW315" s="87">
        <f t="shared" si="4637"/>
        <v>0</v>
      </c>
      <c r="CX315" s="87">
        <f t="shared" si="4638"/>
        <v>0</v>
      </c>
      <c r="CY315" s="88">
        <f t="shared" si="4639"/>
        <v>0</v>
      </c>
      <c r="CZ315" s="85">
        <f t="shared" si="4640"/>
        <v>0</v>
      </c>
    </row>
    <row r="316" spans="1:104" ht="12.75" customHeight="1">
      <c r="A316" s="1817"/>
      <c r="B316" s="1817"/>
      <c r="C316" s="2026" t="s">
        <v>1374</v>
      </c>
      <c r="D316" s="1872"/>
      <c r="E316" s="147">
        <f>DPL!$BG$160</f>
        <v>50</v>
      </c>
      <c r="F316" s="165"/>
      <c r="G316" s="165"/>
      <c r="H316" s="1516">
        <v>2020</v>
      </c>
      <c r="I316" s="1841">
        <v>0.05</v>
      </c>
      <c r="J316" s="1832">
        <v>7</v>
      </c>
      <c r="L316" s="2001">
        <f t="shared" si="4549"/>
        <v>0</v>
      </c>
      <c r="M316" s="82">
        <f t="shared" si="4641"/>
        <v>0</v>
      </c>
      <c r="N316" s="83">
        <f t="shared" si="4642"/>
        <v>0</v>
      </c>
      <c r="O316" s="83">
        <f t="shared" si="4643"/>
        <v>0</v>
      </c>
      <c r="P316" s="84">
        <f t="shared" si="4644"/>
        <v>0</v>
      </c>
      <c r="Q316" s="81">
        <f t="shared" si="4554"/>
        <v>0</v>
      </c>
      <c r="R316" s="82">
        <f t="shared" si="4645"/>
        <v>0</v>
      </c>
      <c r="S316" s="83">
        <f t="shared" si="4646"/>
        <v>0</v>
      </c>
      <c r="T316" s="83">
        <f t="shared" si="4647"/>
        <v>0</v>
      </c>
      <c r="U316" s="84">
        <f t="shared" si="4648"/>
        <v>0</v>
      </c>
      <c r="V316" s="81">
        <f t="shared" si="4559"/>
        <v>0</v>
      </c>
      <c r="W316" s="82">
        <f t="shared" si="4649"/>
        <v>0</v>
      </c>
      <c r="X316" s="83">
        <f t="shared" si="4650"/>
        <v>0</v>
      </c>
      <c r="Y316" s="83">
        <f t="shared" si="4651"/>
        <v>0</v>
      </c>
      <c r="Z316" s="84">
        <f t="shared" si="4652"/>
        <v>0</v>
      </c>
      <c r="AA316" s="81">
        <f t="shared" si="4564"/>
        <v>0</v>
      </c>
      <c r="AB316" s="82">
        <f t="shared" si="4653"/>
        <v>0</v>
      </c>
      <c r="AC316" s="83">
        <f t="shared" si="4654"/>
        <v>0</v>
      </c>
      <c r="AD316" s="83">
        <f t="shared" si="4655"/>
        <v>0</v>
      </c>
      <c r="AE316" s="84">
        <f t="shared" si="4656"/>
        <v>0</v>
      </c>
      <c r="AF316" s="81">
        <f t="shared" si="4569"/>
        <v>0</v>
      </c>
      <c r="AG316" s="82">
        <f t="shared" si="4657"/>
        <v>0</v>
      </c>
      <c r="AH316" s="83">
        <f t="shared" si="4658"/>
        <v>0</v>
      </c>
      <c r="AI316" s="83">
        <f t="shared" si="4659"/>
        <v>0</v>
      </c>
      <c r="AJ316" s="84">
        <f t="shared" si="4660"/>
        <v>0</v>
      </c>
      <c r="AK316" s="81">
        <f t="shared" si="4574"/>
        <v>0</v>
      </c>
      <c r="AL316" s="82">
        <f t="shared" si="4661"/>
        <v>0</v>
      </c>
      <c r="AM316" s="83">
        <f t="shared" si="4662"/>
        <v>0</v>
      </c>
      <c r="AN316" s="83">
        <f t="shared" si="4663"/>
        <v>0</v>
      </c>
      <c r="AO316" s="84">
        <f t="shared" si="4664"/>
        <v>0</v>
      </c>
      <c r="AP316" s="81">
        <f t="shared" si="4579"/>
        <v>0</v>
      </c>
      <c r="AQ316" s="82">
        <f t="shared" si="4665"/>
        <v>0</v>
      </c>
      <c r="AR316" s="83">
        <f t="shared" si="4666"/>
        <v>0</v>
      </c>
      <c r="AS316" s="83">
        <f t="shared" si="4667"/>
        <v>0</v>
      </c>
      <c r="AT316" s="84">
        <f t="shared" si="4668"/>
        <v>0</v>
      </c>
      <c r="AU316" s="81">
        <f t="shared" si="4584"/>
        <v>0</v>
      </c>
      <c r="AV316" s="82">
        <f t="shared" si="4669"/>
        <v>0</v>
      </c>
      <c r="AW316" s="83">
        <f t="shared" si="4670"/>
        <v>0</v>
      </c>
      <c r="AX316" s="83">
        <f t="shared" si="4671"/>
        <v>50</v>
      </c>
      <c r="AY316" s="84">
        <f t="shared" si="4672"/>
        <v>0</v>
      </c>
      <c r="AZ316" s="81">
        <f t="shared" si="4589"/>
        <v>50</v>
      </c>
      <c r="BA316" s="82">
        <f t="shared" si="4590"/>
        <v>0</v>
      </c>
      <c r="BB316" s="83">
        <f t="shared" si="4591"/>
        <v>0</v>
      </c>
      <c r="BC316" s="83">
        <f t="shared" si="4592"/>
        <v>0</v>
      </c>
      <c r="BD316" s="84">
        <f t="shared" si="4593"/>
        <v>0</v>
      </c>
      <c r="BE316" s="81">
        <f t="shared" si="4594"/>
        <v>0</v>
      </c>
      <c r="BF316" s="1884"/>
      <c r="BG316" s="2005">
        <f t="shared" si="4673"/>
        <v>0</v>
      </c>
      <c r="BH316" s="86">
        <f t="shared" si="4674"/>
        <v>0</v>
      </c>
      <c r="BI316" s="87">
        <f t="shared" si="4675"/>
        <v>0</v>
      </c>
      <c r="BJ316" s="87">
        <f t="shared" si="4676"/>
        <v>0</v>
      </c>
      <c r="BK316" s="88">
        <f t="shared" si="4677"/>
        <v>0</v>
      </c>
      <c r="BL316" s="85">
        <f t="shared" si="4678"/>
        <v>0</v>
      </c>
      <c r="BM316" s="86">
        <f t="shared" si="4679"/>
        <v>0</v>
      </c>
      <c r="BN316" s="87">
        <f t="shared" si="4680"/>
        <v>0</v>
      </c>
      <c r="BO316" s="87">
        <f t="shared" si="4681"/>
        <v>0</v>
      </c>
      <c r="BP316" s="88">
        <f t="shared" si="4682"/>
        <v>0</v>
      </c>
      <c r="BQ316" s="85">
        <f t="shared" si="4683"/>
        <v>0</v>
      </c>
      <c r="BR316" s="86">
        <f t="shared" si="4684"/>
        <v>0</v>
      </c>
      <c r="BS316" s="87">
        <f t="shared" si="4685"/>
        <v>0</v>
      </c>
      <c r="BT316" s="87">
        <f t="shared" si="4686"/>
        <v>0</v>
      </c>
      <c r="BU316" s="88">
        <f t="shared" si="4687"/>
        <v>0</v>
      </c>
      <c r="BV316" s="85">
        <f t="shared" si="4688"/>
        <v>0</v>
      </c>
      <c r="BW316" s="86">
        <f t="shared" si="4689"/>
        <v>0</v>
      </c>
      <c r="BX316" s="87">
        <f t="shared" si="4690"/>
        <v>0</v>
      </c>
      <c r="BY316" s="87">
        <f t="shared" si="4691"/>
        <v>0</v>
      </c>
      <c r="BZ316" s="88">
        <f t="shared" si="4692"/>
        <v>0</v>
      </c>
      <c r="CA316" s="85">
        <f t="shared" si="4693"/>
        <v>0</v>
      </c>
      <c r="CB316" s="86">
        <f t="shared" si="4694"/>
        <v>0</v>
      </c>
      <c r="CC316" s="87">
        <f t="shared" si="4695"/>
        <v>0</v>
      </c>
      <c r="CD316" s="87">
        <f t="shared" si="4696"/>
        <v>0</v>
      </c>
      <c r="CE316" s="88">
        <f t="shared" si="4697"/>
        <v>0</v>
      </c>
      <c r="CF316" s="85">
        <f t="shared" si="4698"/>
        <v>0</v>
      </c>
      <c r="CG316" s="86">
        <f t="shared" si="4699"/>
        <v>0</v>
      </c>
      <c r="CH316" s="87">
        <f t="shared" si="4700"/>
        <v>0</v>
      </c>
      <c r="CI316" s="87">
        <f t="shared" si="4701"/>
        <v>0</v>
      </c>
      <c r="CJ316" s="88">
        <f t="shared" si="4702"/>
        <v>0</v>
      </c>
      <c r="CK316" s="85">
        <f t="shared" si="4703"/>
        <v>0</v>
      </c>
      <c r="CL316" s="86">
        <f t="shared" si="4704"/>
        <v>0</v>
      </c>
      <c r="CM316" s="87">
        <f t="shared" si="4705"/>
        <v>0</v>
      </c>
      <c r="CN316" s="87">
        <f t="shared" si="4706"/>
        <v>0</v>
      </c>
      <c r="CO316" s="88">
        <f t="shared" si="4707"/>
        <v>0</v>
      </c>
      <c r="CP316" s="85">
        <f t="shared" si="4708"/>
        <v>0</v>
      </c>
      <c r="CQ316" s="86">
        <f t="shared" si="4709"/>
        <v>0</v>
      </c>
      <c r="CR316" s="87">
        <f t="shared" si="4710"/>
        <v>0</v>
      </c>
      <c r="CS316" s="87">
        <f t="shared" si="4711"/>
        <v>0.625</v>
      </c>
      <c r="CT316" s="88">
        <f t="shared" si="4712"/>
        <v>0.625</v>
      </c>
      <c r="CU316" s="85">
        <f t="shared" si="4713"/>
        <v>1.25</v>
      </c>
      <c r="CV316" s="86">
        <f t="shared" si="4636"/>
        <v>0.625</v>
      </c>
      <c r="CW316" s="87">
        <f t="shared" si="4637"/>
        <v>0.625</v>
      </c>
      <c r="CX316" s="87">
        <f t="shared" si="4638"/>
        <v>0</v>
      </c>
      <c r="CY316" s="88">
        <f t="shared" si="4639"/>
        <v>0</v>
      </c>
      <c r="CZ316" s="85">
        <f t="shared" si="4640"/>
        <v>1.25</v>
      </c>
    </row>
    <row r="317" spans="1:104" ht="12.75" customHeight="1">
      <c r="A317" s="1817"/>
      <c r="B317" s="1817"/>
      <c r="C317" s="2026" t="s">
        <v>1522</v>
      </c>
      <c r="D317" s="1872"/>
      <c r="E317" s="147">
        <f>DPL!$BL$160</f>
        <v>45</v>
      </c>
      <c r="F317" s="165"/>
      <c r="G317" s="165"/>
      <c r="H317" s="1516">
        <v>2021</v>
      </c>
      <c r="I317" s="1841">
        <v>0.05</v>
      </c>
      <c r="J317" s="1832">
        <v>7</v>
      </c>
      <c r="L317" s="2001">
        <f t="shared" si="4549"/>
        <v>0</v>
      </c>
      <c r="M317" s="82">
        <f t="shared" ref="M317" si="4714">IF(Q317=0,0,IF(Q317&gt;0,IF($J317=3,Q317,IF($J317=2,Q317,IF($J317=1,Q317,0)))))</f>
        <v>0</v>
      </c>
      <c r="N317" s="83">
        <f t="shared" ref="N317" si="4715">IF(Q317=0,0,IF(Q317&gt;0,IF($J317=6,Q317,IF($J317=5,Q317,IF($J317=4,Q317,0)))))</f>
        <v>0</v>
      </c>
      <c r="O317" s="83">
        <f t="shared" ref="O317" si="4716">IF(Q317=0,0,IF(Q317&gt;0,IF($J317=9,Q317,IF($J317=8,Q317,IF($J317=7,Q317,0)))))</f>
        <v>0</v>
      </c>
      <c r="P317" s="84">
        <f t="shared" ref="P317" si="4717">IF(Q317=0,0,IF(Q317&gt;0,IF($J317=12,Q317,IF($J317=11,Q317,IF($J317=10,Q317,0)))))</f>
        <v>0</v>
      </c>
      <c r="Q317" s="81">
        <f t="shared" si="4554"/>
        <v>0</v>
      </c>
      <c r="R317" s="82">
        <f t="shared" ref="R317" si="4718">IF(V317=0,0,IF(V317&gt;0,IF($J317=3,V317,IF($J317=2,V317,IF($J317=1,V317,0)))))</f>
        <v>0</v>
      </c>
      <c r="S317" s="83">
        <f t="shared" ref="S317" si="4719">IF(V317=0,0,IF(V317&gt;0,IF($J317=6,V317,IF($J317=5,V317,IF($J317=4,V317,0)))))</f>
        <v>0</v>
      </c>
      <c r="T317" s="83">
        <f t="shared" ref="T317" si="4720">IF(V317=0,0,IF(V317&gt;0,IF($J317=9,V317,IF($J317=8,V317,IF($J317=7,V317,0)))))</f>
        <v>0</v>
      </c>
      <c r="U317" s="84">
        <f t="shared" ref="U317" si="4721">IF(V317=0,0,IF(V317&gt;0,IF($J317=12,V317,IF($J317=11,V317,IF($J317=10,V317,0)))))</f>
        <v>0</v>
      </c>
      <c r="V317" s="81">
        <f t="shared" si="4559"/>
        <v>0</v>
      </c>
      <c r="W317" s="82">
        <f t="shared" ref="W317" si="4722">IF(AA317=0,0,IF(AA317&gt;0,IF($J317=3,AA317,IF($J317=2,AA317,IF($J317=1,AA317,0)))))</f>
        <v>0</v>
      </c>
      <c r="X317" s="83">
        <f t="shared" ref="X317" si="4723">IF(AA317=0,0,IF(AA317&gt;0,IF($J317=6,AA317,IF($J317=5,AA317,IF($J317=4,AA317,0)))))</f>
        <v>0</v>
      </c>
      <c r="Y317" s="83">
        <f t="shared" ref="Y317" si="4724">IF(AA317=0,0,IF(AA317&gt;0,IF($J317=9,AA317,IF($J317=8,AA317,IF($J317=7,AA317,0)))))</f>
        <v>0</v>
      </c>
      <c r="Z317" s="84">
        <f t="shared" ref="Z317" si="4725">IF(AA317=0,0,IF(AA317&gt;0,IF($J317=12,AA317,IF($J317=11,AA317,IF($J317=10,AA317,0)))))</f>
        <v>0</v>
      </c>
      <c r="AA317" s="81">
        <f t="shared" si="4564"/>
        <v>0</v>
      </c>
      <c r="AB317" s="82">
        <f t="shared" ref="AB317" si="4726">IF(AF317=0,0,IF(AF317&gt;0,IF($J317=3,AF317,IF($J317=2,AF317,IF($J317=1,AF317,0)))))</f>
        <v>0</v>
      </c>
      <c r="AC317" s="83">
        <f t="shared" ref="AC317" si="4727">IF(AF317=0,0,IF(AF317&gt;0,IF($J317=6,AF317,IF($J317=5,AF317,IF($J317=4,AF317,0)))))</f>
        <v>0</v>
      </c>
      <c r="AD317" s="83">
        <f t="shared" ref="AD317" si="4728">IF(AF317=0,0,IF(AF317&gt;0,IF($J317=9,AF317,IF($J317=8,AF317,IF($J317=7,AF317,0)))))</f>
        <v>0</v>
      </c>
      <c r="AE317" s="84">
        <f t="shared" ref="AE317" si="4729">IF(AF317=0,0,IF(AF317&gt;0,IF($J317=12,AF317,IF($J317=11,AF317,IF($J317=10,AF317,0)))))</f>
        <v>0</v>
      </c>
      <c r="AF317" s="81">
        <f t="shared" si="4569"/>
        <v>0</v>
      </c>
      <c r="AG317" s="82">
        <f t="shared" ref="AG317" si="4730">IF(AK317=0,0,IF(AK317&gt;0,IF($J317=3,AK317,IF($J317=2,AK317,IF($J317=1,AK317,0)))))</f>
        <v>0</v>
      </c>
      <c r="AH317" s="83">
        <f t="shared" ref="AH317" si="4731">IF(AK317=0,0,IF(AK317&gt;0,IF($J317=6,AK317,IF($J317=5,AK317,IF($J317=4,AK317,0)))))</f>
        <v>0</v>
      </c>
      <c r="AI317" s="83">
        <f t="shared" ref="AI317" si="4732">IF(AK317=0,0,IF(AK317&gt;0,IF($J317=9,AK317,IF($J317=8,AK317,IF($J317=7,AK317,0)))))</f>
        <v>0</v>
      </c>
      <c r="AJ317" s="84">
        <f t="shared" ref="AJ317" si="4733">IF(AK317=0,0,IF(AK317&gt;0,IF($J317=12,AK317,IF($J317=11,AK317,IF($J317=10,AK317,0)))))</f>
        <v>0</v>
      </c>
      <c r="AK317" s="81">
        <f t="shared" si="4574"/>
        <v>0</v>
      </c>
      <c r="AL317" s="82">
        <f t="shared" ref="AL317" si="4734">IF(AP317=0,0,IF(AP317&gt;0,IF($J317=3,AP317,IF($J317=2,AP317,IF($J317=1,AP317,0)))))</f>
        <v>0</v>
      </c>
      <c r="AM317" s="83">
        <f t="shared" ref="AM317" si="4735">IF(AP317=0,0,IF(AP317&gt;0,IF($J317=6,AP317,IF($J317=5,AP317,IF($J317=4,AP317,0)))))</f>
        <v>0</v>
      </c>
      <c r="AN317" s="83">
        <f t="shared" ref="AN317" si="4736">IF(AP317=0,0,IF(AP317&gt;0,IF($J317=9,AP317,IF($J317=8,AP317,IF($J317=7,AP317,0)))))</f>
        <v>0</v>
      </c>
      <c r="AO317" s="84">
        <f t="shared" ref="AO317" si="4737">IF(AP317=0,0,IF(AP317&gt;0,IF($J317=12,AP317,IF($J317=11,AP317,IF($J317=10,AP317,0)))))</f>
        <v>0</v>
      </c>
      <c r="AP317" s="81">
        <f t="shared" si="4579"/>
        <v>0</v>
      </c>
      <c r="AQ317" s="82">
        <f t="shared" ref="AQ317" si="4738">IF(AU317=0,0,IF(AU317&gt;0,IF($J317=3,AU317,IF($J317=2,AU317,IF($J317=1,AU317,0)))))</f>
        <v>0</v>
      </c>
      <c r="AR317" s="83">
        <f t="shared" ref="AR317" si="4739">IF(AU317=0,0,IF(AU317&gt;0,IF($J317=6,AU317,IF($J317=5,AU317,IF($J317=4,AU317,0)))))</f>
        <v>0</v>
      </c>
      <c r="AS317" s="83">
        <f t="shared" ref="AS317" si="4740">IF(AU317=0,0,IF(AU317&gt;0,IF($J317=9,AU317,IF($J317=8,AU317,IF($J317=7,AU317,0)))))</f>
        <v>0</v>
      </c>
      <c r="AT317" s="84">
        <f t="shared" ref="AT317" si="4741">IF(AU317=0,0,IF(AU317&gt;0,IF($J317=12,AU317,IF($J317=11,AU317,IF($J317=10,AU317,0)))))</f>
        <v>0</v>
      </c>
      <c r="AU317" s="81">
        <f t="shared" si="4584"/>
        <v>0</v>
      </c>
      <c r="AV317" s="82">
        <f t="shared" ref="AV317" si="4742">IF(AZ317=0,0,IF(AZ317&gt;0,IF($J317=3,AZ317,IF($J317=2,AZ317,IF($J317=1,AZ317,0)))))</f>
        <v>0</v>
      </c>
      <c r="AW317" s="83">
        <f t="shared" ref="AW317" si="4743">IF(AZ317=0,0,IF(AZ317&gt;0,IF($J317=6,AZ317,IF($J317=5,AZ317,IF($J317=4,AZ317,0)))))</f>
        <v>0</v>
      </c>
      <c r="AX317" s="83">
        <f t="shared" ref="AX317" si="4744">IF(AZ317=0,0,IF(AZ317&gt;0,IF($J317=9,AZ317,IF($J317=8,AZ317,IF($J317=7,AZ317,0)))))</f>
        <v>0</v>
      </c>
      <c r="AY317" s="84">
        <f t="shared" ref="AY317" si="4745">IF(AZ317=0,0,IF(AZ317&gt;0,IF($J317=12,AZ317,IF($J317=11,AZ317,IF($J317=10,AZ317,0)))))</f>
        <v>0</v>
      </c>
      <c r="AZ317" s="81">
        <f t="shared" si="4589"/>
        <v>0</v>
      </c>
      <c r="BA317" s="82">
        <f t="shared" si="4590"/>
        <v>0</v>
      </c>
      <c r="BB317" s="83">
        <f t="shared" si="4591"/>
        <v>0</v>
      </c>
      <c r="BC317" s="83">
        <f t="shared" si="4592"/>
        <v>45</v>
      </c>
      <c r="BD317" s="84">
        <f t="shared" si="4593"/>
        <v>0</v>
      </c>
      <c r="BE317" s="81">
        <f t="shared" si="4594"/>
        <v>45</v>
      </c>
      <c r="BF317" s="1884"/>
      <c r="BG317" s="2005">
        <f t="shared" ref="BG317" si="4746">IF(AND(BF317&lt;&gt;0,BF$5=$H317),$I317*$E317-BF317,IF(BG$5=$H317,$I317*$E317*(12-$J317+1)/12,0))</f>
        <v>0</v>
      </c>
      <c r="BH317" s="86">
        <f t="shared" ref="BH317" si="4747">IF($H317&lt;&gt;BL$5,0,IF(BL317&gt;0,IF($J317=1,$E317*$I317/12*3,IF($J317=2,$E317*$I317/12*2,IF($J317=3,$E317*$I317/12*1,0)))))+IF(BG$5&lt;&gt;$H317,0,IF(BG317&gt;0,IF($J317=1,$E317*$I317/12*0,IF($J317=2,$E317*$I317/12*1,IF($J317=3,$E317*$I317/12*2,IF($J317&gt;=4,$E317*$I317/12*3,0))))))</f>
        <v>0</v>
      </c>
      <c r="BI317" s="87">
        <f t="shared" ref="BI317" si="4748">IF($H317&lt;&gt;BL$5,0,IF(BL317&gt;0,IF(OR($J317=1,$J317=2,$J317=3,$J317=4),$E317*$I317/12*3,IF($J317=5,$E317*$I317/12*2,IF($J317=6,$E317*$I317/12*1,0)))))+IF(BG$5&lt;&gt;$H317,0,IF(BG317&gt;0,IF($J317=4,$E317*$I317/12*0,IF($J317=5,$E317*$I317/12*1,IF($J317=6,$E317*$I317/12*2,IF($J317&gt;=7,$E317*$I317/12*3,0))))))</f>
        <v>0</v>
      </c>
      <c r="BJ317" s="87">
        <f t="shared" ref="BJ317" si="4749">IF($H317&lt;&gt;BL$5,0,IF(BL317&gt;0,IF(OR($J317=1,$J317=2,$J317=3,$J317=4,$J317=5,$J317=6,$J317=7),$E317*$I317/12*3,IF($J317=8,$E317*$I317/12*2,IF($J317=9,$E317*$I317/12*1,0)))))+IF(BG$5&lt;&gt;$H317,0,IF(BG317&gt;0,IF($J317=7,$E317*$I317/12*0,IF($J317=8,$E317*$I317/12*1,IF($J317=9,$E317*$I317/12*2,IF($J317&gt;=10,$E317*$I317/12*3,0))))))</f>
        <v>0</v>
      </c>
      <c r="BK317" s="88">
        <f t="shared" ref="BK317" si="4750">IF($H317&lt;&gt;BL$5,0,IF(BL317&gt;0,IF(OR($J317=1,$J317=2,$J317=3,$J317=4,$J317=5,$J317=6,$J317=7,$J317=8,$J317=9,$J317=10),$E317*$I317/12*3,IF($J317=11,$E317*$I317/12*2,IF($J317=12,$E317*$I317/12*1,0)))))+IF(BG$5&lt;&gt;$H317,0,IF(BG317&gt;0,IF($J317=10,$E317*$I317/12*0,IF($J317=11,$E317*$I317/12*1,IF($J317=12,$E317*$I317/12*2,0)))))</f>
        <v>0</v>
      </c>
      <c r="BL317" s="85">
        <f t="shared" ref="BL317" si="4751">IF(AND(BG317&lt;&gt;0,BG$5=$H317),$I317*$E317-BG317,IF(BL$5=$H317,$I317*$E317*(12-$J317+1)/12,0))</f>
        <v>0</v>
      </c>
      <c r="BM317" s="86">
        <f t="shared" ref="BM317" si="4752">IF($H317&lt;&gt;BQ$5,0,IF(BQ317&gt;0,IF($J317=1,$E317*$I317/12*3,IF($J317=2,$E317*$I317/12*2,IF($J317=3,$E317*$I317/12*1,0)))))+IF(BL$5&lt;&gt;$H317,0,IF(BL317&gt;0,IF($J317=1,$E317*$I317/12*0,IF($J317=2,$E317*$I317/12*1,IF($J317=3,$E317*$I317/12*2,IF($J317&gt;=4,$E317*$I317/12*3,0))))))</f>
        <v>0</v>
      </c>
      <c r="BN317" s="87">
        <f t="shared" ref="BN317" si="4753">IF($H317&lt;&gt;BQ$5,0,IF(BQ317&gt;0,IF(OR($J317=1,$J317=2,$J317=3,$J317=4),$E317*$I317/12*3,IF($J317=5,$E317*$I317/12*2,IF($J317=6,$E317*$I317/12*1,0)))))+IF(BL$5&lt;&gt;$H317,0,IF(BL317&gt;0,IF($J317=4,$E317*$I317/12*0,IF($J317=5,$E317*$I317/12*1,IF($J317=6,$E317*$I317/12*2,IF($J317&gt;=7,$E317*$I317/12*3,0))))))</f>
        <v>0</v>
      </c>
      <c r="BO317" s="87">
        <f t="shared" ref="BO317" si="4754">IF($H317&lt;&gt;BQ$5,0,IF(BQ317&gt;0,IF(OR($J317=1,$J317=2,$J317=3,$J317=4,$J317=5,$J317=6,$J317=7),$E317*$I317/12*3,IF($J317=8,$E317*$I317/12*2,IF($J317=9,$E317*$I317/12*1,0)))))+IF(BL$5&lt;&gt;$H317,0,IF(BL317&gt;0,IF($J317=7,$E317*$I317/12*0,IF($J317=8,$E317*$I317/12*1,IF($J317=9,$E317*$I317/12*2,IF($J317&gt;=10,$E317*$I317/12*3,0))))))</f>
        <v>0</v>
      </c>
      <c r="BP317" s="88">
        <f t="shared" ref="BP317" si="4755">IF($H317&lt;&gt;BQ$5,0,IF(BQ317&gt;0,IF(OR($J317=1,$J317=2,$J317=3,$J317=4,$J317=5,$J317=6,$J317=7,$J317=8,$J317=9,$J317=10),$E317*$I317/12*3,IF($J317=11,$E317*$I317/12*2,IF($J317=12,$E317*$I317/12*1,0)))))+IF(BL$5&lt;&gt;$H317,0,IF(BL317&gt;0,IF($J317=10,$E317*$I317/12*0,IF($J317=11,$E317*$I317/12*1,IF($J317=12,$E317*$I317/12*2,0)))))</f>
        <v>0</v>
      </c>
      <c r="BQ317" s="85">
        <f t="shared" ref="BQ317" si="4756">IF(AND(BL317&lt;&gt;0,BL$5=$H317),$I317*$E317-BL317,IF(BQ$5=$H317,$I317*$E317*(12-$J317+1)/12,0))</f>
        <v>0</v>
      </c>
      <c r="BR317" s="86">
        <f t="shared" ref="BR317" si="4757">IF($H317&lt;&gt;BV$5,0,IF(BV317&gt;0,IF($J317=1,$E317*$I317/12*3,IF($J317=2,$E317*$I317/12*2,IF($J317=3,$E317*$I317/12*1,0)))))+IF(BQ$5&lt;&gt;$H317,0,IF(BQ317&gt;0,IF($J317=1,$E317*$I317/12*0,IF($J317=2,$E317*$I317/12*1,IF($J317=3,$E317*$I317/12*2,IF($J317&gt;=4,$E317*$I317/12*3,0))))))</f>
        <v>0</v>
      </c>
      <c r="BS317" s="87">
        <f t="shared" ref="BS317" si="4758">IF($H317&lt;&gt;BV$5,0,IF(BV317&gt;0,IF(OR($J317=1,$J317=2,$J317=3,$J317=4),$E317*$I317/12*3,IF($J317=5,$E317*$I317/12*2,IF($J317=6,$E317*$I317/12*1,0)))))+IF(BQ$5&lt;&gt;$H317,0,IF(BQ317&gt;0,IF($J317=4,$E317*$I317/12*0,IF($J317=5,$E317*$I317/12*1,IF($J317=6,$E317*$I317/12*2,IF($J317&gt;=7,$E317*$I317/12*3,0))))))</f>
        <v>0</v>
      </c>
      <c r="BT317" s="87">
        <f t="shared" ref="BT317" si="4759">IF($H317&lt;&gt;BV$5,0,IF(BV317&gt;0,IF(OR($J317=1,$J317=2,$J317=3,$J317=4,$J317=5,$J317=6,$J317=7),$E317*$I317/12*3,IF($J317=8,$E317*$I317/12*2,IF($J317=9,$E317*$I317/12*1,0)))))+IF(BQ$5&lt;&gt;$H317,0,IF(BQ317&gt;0,IF($J317=7,$E317*$I317/12*0,IF($J317=8,$E317*$I317/12*1,IF($J317=9,$E317*$I317/12*2,IF($J317&gt;=10,$E317*$I317/12*3,0))))))</f>
        <v>0</v>
      </c>
      <c r="BU317" s="88">
        <f t="shared" ref="BU317" si="4760">IF($H317&lt;&gt;BV$5,0,IF(BV317&gt;0,IF(OR($J317=1,$J317=2,$J317=3,$J317=4,$J317=5,$J317=6,$J317=7,$J317=8,$J317=9,$J317=10),$E317*$I317/12*3,IF($J317=11,$E317*$I317/12*2,IF($J317=12,$E317*$I317/12*1,0)))))+IF(BQ$5&lt;&gt;$H317,0,IF(BQ317&gt;0,IF($J317=10,$E317*$I317/12*0,IF($J317=11,$E317*$I317/12*1,IF($J317=12,$E317*$I317/12*2,0)))))</f>
        <v>0</v>
      </c>
      <c r="BV317" s="85">
        <f t="shared" ref="BV317" si="4761">IF(AND(BQ317&lt;&gt;0,BQ$5=$H317),$I317*$E317-BQ317,IF(BV$5=$H317,$I317*$E317*(12-$J317+1)/12,0))</f>
        <v>0</v>
      </c>
      <c r="BW317" s="86">
        <f t="shared" ref="BW317" si="4762">IF($H317&lt;&gt;CA$5,0,IF(CA317&gt;0,IF($J317=1,$E317*$I317/12*3,IF($J317=2,$E317*$I317/12*2,IF($J317=3,$E317*$I317/12*1,0)))))+IF(BV$5&lt;&gt;$H317,0,IF(BV317&gt;0,IF($J317=1,$E317*$I317/12*0,IF($J317=2,$E317*$I317/12*1,IF($J317=3,$E317*$I317/12*2,IF($J317&gt;=4,$E317*$I317/12*3,0))))))</f>
        <v>0</v>
      </c>
      <c r="BX317" s="87">
        <f t="shared" ref="BX317" si="4763">IF($H317&lt;&gt;CA$5,0,IF(CA317&gt;0,IF(OR($J317=1,$J317=2,$J317=3,$J317=4),$E317*$I317/12*3,IF($J317=5,$E317*$I317/12*2,IF($J317=6,$E317*$I317/12*1,0)))))+IF(BV$5&lt;&gt;$H317,0,IF(BV317&gt;0,IF($J317=4,$E317*$I317/12*0,IF($J317=5,$E317*$I317/12*1,IF($J317=6,$E317*$I317/12*2,IF($J317&gt;=7,$E317*$I317/12*3,0))))))</f>
        <v>0</v>
      </c>
      <c r="BY317" s="87">
        <f t="shared" ref="BY317" si="4764">IF($H317&lt;&gt;CA$5,0,IF(CA317&gt;0,IF(OR($J317=1,$J317=2,$J317=3,$J317=4,$J317=5,$J317=6,$J317=7),$E317*$I317/12*3,IF($J317=8,$E317*$I317/12*2,IF($J317=9,$E317*$I317/12*1,0)))))+IF(BV$5&lt;&gt;$H317,0,IF(BV317&gt;0,IF($J317=7,$E317*$I317/12*0,IF($J317=8,$E317*$I317/12*1,IF($J317=9,$E317*$I317/12*2,IF($J317&gt;=10,$E317*$I317/12*3,0))))))</f>
        <v>0</v>
      </c>
      <c r="BZ317" s="88">
        <f t="shared" ref="BZ317" si="4765">IF($H317&lt;&gt;CA$5,0,IF(CA317&gt;0,IF(OR($J317=1,$J317=2,$J317=3,$J317=4,$J317=5,$J317=6,$J317=7,$J317=8,$J317=9,$J317=10),$E317*$I317/12*3,IF($J317=11,$E317*$I317/12*2,IF($J317=12,$E317*$I317/12*1,0)))))+IF(BV$5&lt;&gt;$H317,0,IF(BV317&gt;0,IF($J317=10,$E317*$I317/12*0,IF($J317=11,$E317*$I317/12*1,IF($J317=12,$E317*$I317/12*2,0)))))</f>
        <v>0</v>
      </c>
      <c r="CA317" s="85">
        <f t="shared" ref="CA317" si="4766">IF(AND(BV317&lt;&gt;0,BV$5=$H317),$I317*$E317-BV317,IF(CA$5=$H317,$I317*$E317*(12-$J317+1)/12,0))</f>
        <v>0</v>
      </c>
      <c r="CB317" s="86">
        <f t="shared" ref="CB317" si="4767">IF($H317&lt;&gt;CF$5,0,IF(CF317&gt;0,IF($J317=1,$E317*$I317/12*3,IF($J317=2,$E317*$I317/12*2,IF($J317=3,$E317*$I317/12*1,0)))))+IF(CA$5&lt;&gt;$H317,0,IF(CA317&gt;0,IF($J317=1,$E317*$I317/12*0,IF($J317=2,$E317*$I317/12*1,IF($J317=3,$E317*$I317/12*2,IF($J317&gt;=4,$E317*$I317/12*3,0))))))</f>
        <v>0</v>
      </c>
      <c r="CC317" s="87">
        <f t="shared" ref="CC317" si="4768">IF($H317&lt;&gt;CF$5,0,IF(CF317&gt;0,IF(OR($J317=1,$J317=2,$J317=3,$J317=4),$E317*$I317/12*3,IF($J317=5,$E317*$I317/12*2,IF($J317=6,$E317*$I317/12*1,0)))))+IF(CA$5&lt;&gt;$H317,0,IF(CA317&gt;0,IF($J317=4,$E317*$I317/12*0,IF($J317=5,$E317*$I317/12*1,IF($J317=6,$E317*$I317/12*2,IF($J317&gt;=7,$E317*$I317/12*3,0))))))</f>
        <v>0</v>
      </c>
      <c r="CD317" s="87">
        <f t="shared" ref="CD317" si="4769">IF($H317&lt;&gt;CF$5,0,IF(CF317&gt;0,IF(OR($J317=1,$J317=2,$J317=3,$J317=4,$J317=5,$J317=6,$J317=7),$E317*$I317/12*3,IF($J317=8,$E317*$I317/12*2,IF($J317=9,$E317*$I317/12*1,0)))))+IF(CA$5&lt;&gt;$H317,0,IF(CA317&gt;0,IF($J317=7,$E317*$I317/12*0,IF($J317=8,$E317*$I317/12*1,IF($J317=9,$E317*$I317/12*2,IF($J317&gt;=10,$E317*$I317/12*3,0))))))</f>
        <v>0</v>
      </c>
      <c r="CE317" s="88">
        <f t="shared" ref="CE317" si="4770">IF($H317&lt;&gt;CF$5,0,IF(CF317&gt;0,IF(OR($J317=1,$J317=2,$J317=3,$J317=4,$J317=5,$J317=6,$J317=7,$J317=8,$J317=9,$J317=10),$E317*$I317/12*3,IF($J317=11,$E317*$I317/12*2,IF($J317=12,$E317*$I317/12*1,0)))))+IF(CA$5&lt;&gt;$H317,0,IF(CA317&gt;0,IF($J317=10,$E317*$I317/12*0,IF($J317=11,$E317*$I317/12*1,IF($J317=12,$E317*$I317/12*2,0)))))</f>
        <v>0</v>
      </c>
      <c r="CF317" s="85">
        <f t="shared" ref="CF317" si="4771">IF(AND(CA317&lt;&gt;0,CA$5=$H317),$I317*$E317-CA317,IF(CF$5=$H317,$I317*$E317*(12-$J317+1)/12,0))</f>
        <v>0</v>
      </c>
      <c r="CG317" s="86">
        <f t="shared" ref="CG317" si="4772">IF($H317&lt;&gt;CK$5,0,IF(CK317&gt;0,IF($J317=1,$E317*$I317/12*3,IF($J317=2,$E317*$I317/12*2,IF($J317=3,$E317*$I317/12*1,0)))))+IF(CF$5&lt;&gt;$H317,0,IF(CF317&gt;0,IF($J317=1,$E317*$I317/12*0,IF($J317=2,$E317*$I317/12*1,IF($J317=3,$E317*$I317/12*2,IF($J317&gt;=4,$E317*$I317/12*3,0))))))</f>
        <v>0</v>
      </c>
      <c r="CH317" s="87">
        <f t="shared" ref="CH317" si="4773">IF($H317&lt;&gt;CK$5,0,IF(CK317&gt;0,IF(OR($J317=1,$J317=2,$J317=3,$J317=4),$E317*$I317/12*3,IF($J317=5,$E317*$I317/12*2,IF($J317=6,$E317*$I317/12*1,0)))))+IF(CF$5&lt;&gt;$H317,0,IF(CF317&gt;0,IF($J317=4,$E317*$I317/12*0,IF($J317=5,$E317*$I317/12*1,IF($J317=6,$E317*$I317/12*2,IF($J317&gt;=7,$E317*$I317/12*3,0))))))</f>
        <v>0</v>
      </c>
      <c r="CI317" s="87">
        <f t="shared" ref="CI317" si="4774">IF($H317&lt;&gt;CK$5,0,IF(CK317&gt;0,IF(OR($J317=1,$J317=2,$J317=3,$J317=4,$J317=5,$J317=6,$J317=7),$E317*$I317/12*3,IF($J317=8,$E317*$I317/12*2,IF($J317=9,$E317*$I317/12*1,0)))))+IF(CF$5&lt;&gt;$H317,0,IF(CF317&gt;0,IF($J317=7,$E317*$I317/12*0,IF($J317=8,$E317*$I317/12*1,IF($J317=9,$E317*$I317/12*2,IF($J317&gt;=10,$E317*$I317/12*3,0))))))</f>
        <v>0</v>
      </c>
      <c r="CJ317" s="88">
        <f t="shared" ref="CJ317" si="4775">IF($H317&lt;&gt;CK$5,0,IF(CK317&gt;0,IF(OR($J317=1,$J317=2,$J317=3,$J317=4,$J317=5,$J317=6,$J317=7,$J317=8,$J317=9,$J317=10),$E317*$I317/12*3,IF($J317=11,$E317*$I317/12*2,IF($J317=12,$E317*$I317/12*1,0)))))+IF(CF$5&lt;&gt;$H317,0,IF(CF317&gt;0,IF($J317=10,$E317*$I317/12*0,IF($J317=11,$E317*$I317/12*1,IF($J317=12,$E317*$I317/12*2,0)))))</f>
        <v>0</v>
      </c>
      <c r="CK317" s="85">
        <f t="shared" ref="CK317" si="4776">IF(AND(CF317&lt;&gt;0,CF$5=$H317),$I317*$E317-CF317,IF(CK$5=$H317,$I317*$E317*(12-$J317+1)/12,0))</f>
        <v>0</v>
      </c>
      <c r="CL317" s="86">
        <f t="shared" ref="CL317" si="4777">IF($H317&lt;&gt;CP$5,0,IF(CP317&gt;0,IF($J317=1,$E317*$I317/12*3,IF($J317=2,$E317*$I317/12*2,IF($J317=3,$E317*$I317/12*1,0)))))+IF(CK$5&lt;&gt;$H317,0,IF(CK317&gt;0,IF($J317=1,$E317*$I317/12*0,IF($J317=2,$E317*$I317/12*1,IF($J317=3,$E317*$I317/12*2,IF($J317&gt;=4,$E317*$I317/12*3,0))))))</f>
        <v>0</v>
      </c>
      <c r="CM317" s="87">
        <f t="shared" ref="CM317" si="4778">IF($H317&lt;&gt;CP$5,0,IF(CP317&gt;0,IF(OR($J317=1,$J317=2,$J317=3,$J317=4),$E317*$I317/12*3,IF($J317=5,$E317*$I317/12*2,IF($J317=6,$E317*$I317/12*1,0)))))+IF(CK$5&lt;&gt;$H317,0,IF(CK317&gt;0,IF($J317=4,$E317*$I317/12*0,IF($J317=5,$E317*$I317/12*1,IF($J317=6,$E317*$I317/12*2,IF($J317&gt;=7,$E317*$I317/12*3,0))))))</f>
        <v>0</v>
      </c>
      <c r="CN317" s="87">
        <f t="shared" ref="CN317" si="4779">IF($H317&lt;&gt;CP$5,0,IF(CP317&gt;0,IF(OR($J317=1,$J317=2,$J317=3,$J317=4,$J317=5,$J317=6,$J317=7),$E317*$I317/12*3,IF($J317=8,$E317*$I317/12*2,IF($J317=9,$E317*$I317/12*1,0)))))+IF(CK$5&lt;&gt;$H317,0,IF(CK317&gt;0,IF($J317=7,$E317*$I317/12*0,IF($J317=8,$E317*$I317/12*1,IF($J317=9,$E317*$I317/12*2,IF($J317&gt;=10,$E317*$I317/12*3,0))))))</f>
        <v>0</v>
      </c>
      <c r="CO317" s="88">
        <f t="shared" ref="CO317" si="4780">IF($H317&lt;&gt;CP$5,0,IF(CP317&gt;0,IF(OR($J317=1,$J317=2,$J317=3,$J317=4,$J317=5,$J317=6,$J317=7,$J317=8,$J317=9,$J317=10),$E317*$I317/12*3,IF($J317=11,$E317*$I317/12*2,IF($J317=12,$E317*$I317/12*1,0)))))+IF(CK$5&lt;&gt;$H317,0,IF(CK317&gt;0,IF($J317=10,$E317*$I317/12*0,IF($J317=11,$E317*$I317/12*1,IF($J317=12,$E317*$I317/12*2,0)))))</f>
        <v>0</v>
      </c>
      <c r="CP317" s="85">
        <f t="shared" ref="CP317" si="4781">IF(AND(CK317&lt;&gt;0,CK$5=$H317),$I317*$E317-CK317,IF(CP$5=$H317,$I317*$E317*(12-$J317+1)/12,0))</f>
        <v>0</v>
      </c>
      <c r="CQ317" s="86">
        <f t="shared" ref="CQ317" si="4782">IF($H317&lt;&gt;CU$5,0,IF(CU317&gt;0,IF($J317=1,$E317*$I317/12*3,IF($J317=2,$E317*$I317/12*2,IF($J317=3,$E317*$I317/12*1,0)))))+IF(CP$5&lt;&gt;$H317,0,IF(CP317&gt;0,IF($J317=1,$E317*$I317/12*0,IF($J317=2,$E317*$I317/12*1,IF($J317=3,$E317*$I317/12*2,IF($J317&gt;=4,$E317*$I317/12*3,0))))))</f>
        <v>0</v>
      </c>
      <c r="CR317" s="87">
        <f t="shared" ref="CR317" si="4783">IF($H317&lt;&gt;CU$5,0,IF(CU317&gt;0,IF(OR($J317=1,$J317=2,$J317=3,$J317=4),$E317*$I317/12*3,IF($J317=5,$E317*$I317/12*2,IF($J317=6,$E317*$I317/12*1,0)))))+IF(CP$5&lt;&gt;$H317,0,IF(CP317&gt;0,IF($J317=4,$E317*$I317/12*0,IF($J317=5,$E317*$I317/12*1,IF($J317=6,$E317*$I317/12*2,IF($J317&gt;=7,$E317*$I317/12*3,0))))))</f>
        <v>0</v>
      </c>
      <c r="CS317" s="87">
        <f t="shared" ref="CS317" si="4784">IF($H317&lt;&gt;CU$5,0,IF(CU317&gt;0,IF(OR($J317=1,$J317=2,$J317=3,$J317=4,$J317=5,$J317=6,$J317=7),$E317*$I317/12*3,IF($J317=8,$E317*$I317/12*2,IF($J317=9,$E317*$I317/12*1,0)))))+IF(CP$5&lt;&gt;$H317,0,IF(CP317&gt;0,IF($J317=7,$E317*$I317/12*0,IF($J317=8,$E317*$I317/12*1,IF($J317=9,$E317*$I317/12*2,IF($J317&gt;=10,$E317*$I317/12*3,0))))))</f>
        <v>0</v>
      </c>
      <c r="CT317" s="88">
        <f t="shared" ref="CT317" si="4785">IF($H317&lt;&gt;CU$5,0,IF(CU317&gt;0,IF(OR($J317=1,$J317=2,$J317=3,$J317=4,$J317=5,$J317=6,$J317=7,$J317=8,$J317=9,$J317=10),$E317*$I317/12*3,IF($J317=11,$E317*$I317/12*2,IF($J317=12,$E317*$I317/12*1,0)))))+IF(CP$5&lt;&gt;$H317,0,IF(CP317&gt;0,IF($J317=10,$E317*$I317/12*0,IF($J317=11,$E317*$I317/12*1,IF($J317=12,$E317*$I317/12*2,0)))))</f>
        <v>0</v>
      </c>
      <c r="CU317" s="85">
        <f t="shared" ref="CU317" si="4786">IF(AND(CP317&lt;&gt;0,CP$5=$H317),$I317*$E317-CP317,IF(CU$5=$H317,$I317*$E317*(12-$J317+1)/12,0))</f>
        <v>0</v>
      </c>
      <c r="CV317" s="86">
        <f t="shared" si="4636"/>
        <v>0</v>
      </c>
      <c r="CW317" s="87">
        <f t="shared" si="4637"/>
        <v>0</v>
      </c>
      <c r="CX317" s="87">
        <f t="shared" si="4638"/>
        <v>0.5625</v>
      </c>
      <c r="CY317" s="88">
        <f t="shared" si="4639"/>
        <v>0.5625</v>
      </c>
      <c r="CZ317" s="85">
        <f t="shared" si="4640"/>
        <v>1.125</v>
      </c>
    </row>
    <row r="318" spans="1:104" ht="12.75" customHeight="1">
      <c r="A318" s="1817"/>
      <c r="B318" s="1817"/>
      <c r="C318" s="1842"/>
      <c r="D318" s="1843"/>
      <c r="E318" s="1844"/>
      <c r="F318" s="1845"/>
      <c r="G318" s="1845"/>
      <c r="H318" s="1846"/>
      <c r="I318" s="1887"/>
      <c r="J318" s="1895"/>
      <c r="K318" s="1889"/>
      <c r="L318" s="2002"/>
      <c r="M318" s="99"/>
      <c r="N318" s="100"/>
      <c r="O318" s="100"/>
      <c r="P318" s="101"/>
      <c r="Q318" s="98"/>
      <c r="R318" s="99"/>
      <c r="S318" s="100"/>
      <c r="T318" s="100"/>
      <c r="U318" s="101"/>
      <c r="V318" s="98"/>
      <c r="W318" s="99"/>
      <c r="X318" s="100"/>
      <c r="Y318" s="100"/>
      <c r="Z318" s="101"/>
      <c r="AA318" s="98"/>
      <c r="AB318" s="99"/>
      <c r="AC318" s="100"/>
      <c r="AD318" s="100"/>
      <c r="AE318" s="101"/>
      <c r="AF318" s="98"/>
      <c r="AG318" s="99"/>
      <c r="AH318" s="100"/>
      <c r="AI318" s="100"/>
      <c r="AJ318" s="101"/>
      <c r="AK318" s="98"/>
      <c r="AL318" s="99"/>
      <c r="AM318" s="100"/>
      <c r="AN318" s="100"/>
      <c r="AO318" s="101"/>
      <c r="AP318" s="98"/>
      <c r="AQ318" s="99"/>
      <c r="AR318" s="100"/>
      <c r="AS318" s="100"/>
      <c r="AT318" s="101"/>
      <c r="AU318" s="98"/>
      <c r="AV318" s="99"/>
      <c r="AW318" s="100"/>
      <c r="AX318" s="100"/>
      <c r="AY318" s="101"/>
      <c r="AZ318" s="98"/>
      <c r="BA318" s="99"/>
      <c r="BB318" s="100"/>
      <c r="BC318" s="100"/>
      <c r="BD318" s="101"/>
      <c r="BE318" s="98"/>
      <c r="BF318" s="1878"/>
      <c r="BG318" s="2006"/>
      <c r="BH318" s="103"/>
      <c r="BI318" s="104"/>
      <c r="BJ318" s="104"/>
      <c r="BK318" s="105"/>
      <c r="BL318" s="102"/>
      <c r="BM318" s="103"/>
      <c r="BN318" s="104"/>
      <c r="BO318" s="104"/>
      <c r="BP318" s="105"/>
      <c r="BQ318" s="102"/>
      <c r="BR318" s="103"/>
      <c r="BS318" s="104"/>
      <c r="BT318" s="104"/>
      <c r="BU318" s="105"/>
      <c r="BV318" s="102"/>
      <c r="BW318" s="103"/>
      <c r="BX318" s="104"/>
      <c r="BY318" s="104"/>
      <c r="BZ318" s="105"/>
      <c r="CA318" s="102"/>
      <c r="CB318" s="103"/>
      <c r="CC318" s="104"/>
      <c r="CD318" s="104"/>
      <c r="CE318" s="105"/>
      <c r="CF318" s="102"/>
      <c r="CG318" s="103"/>
      <c r="CH318" s="104"/>
      <c r="CI318" s="104"/>
      <c r="CJ318" s="105"/>
      <c r="CK318" s="102"/>
      <c r="CL318" s="103"/>
      <c r="CM318" s="104"/>
      <c r="CN318" s="104"/>
      <c r="CO318" s="105"/>
      <c r="CP318" s="102"/>
      <c r="CQ318" s="103"/>
      <c r="CR318" s="104"/>
      <c r="CS318" s="104"/>
      <c r="CT318" s="105"/>
      <c r="CU318" s="102"/>
      <c r="CV318" s="103"/>
      <c r="CW318" s="104"/>
      <c r="CX318" s="104"/>
      <c r="CY318" s="105"/>
      <c r="CZ318" s="102"/>
    </row>
    <row r="319" spans="1:104" ht="12.75" customHeight="1">
      <c r="A319" s="1792"/>
      <c r="B319" s="1792"/>
      <c r="C319" s="157" t="s">
        <v>399</v>
      </c>
      <c r="D319" s="1847"/>
      <c r="E319" s="158">
        <f>SUM(E314:E318)</f>
        <v>415</v>
      </c>
      <c r="F319" s="107"/>
      <c r="G319" s="107"/>
      <c r="H319" s="1848"/>
      <c r="I319" s="1848"/>
      <c r="J319" s="1850"/>
      <c r="L319" s="2001">
        <f t="shared" ref="L319:BE319" si="4787">SUM(L314:L318)</f>
        <v>0</v>
      </c>
      <c r="M319" s="112">
        <f t="shared" si="4787"/>
        <v>0</v>
      </c>
      <c r="N319" s="113">
        <f t="shared" si="4787"/>
        <v>0</v>
      </c>
      <c r="O319" s="113">
        <f t="shared" si="4787"/>
        <v>0</v>
      </c>
      <c r="P319" s="114">
        <f t="shared" si="4787"/>
        <v>0</v>
      </c>
      <c r="Q319" s="111">
        <f t="shared" si="4787"/>
        <v>0</v>
      </c>
      <c r="R319" s="112">
        <f t="shared" si="4787"/>
        <v>0</v>
      </c>
      <c r="S319" s="113">
        <f t="shared" si="4787"/>
        <v>0</v>
      </c>
      <c r="T319" s="113">
        <f t="shared" si="4787"/>
        <v>0</v>
      </c>
      <c r="U319" s="114">
        <f t="shared" si="4787"/>
        <v>0</v>
      </c>
      <c r="V319" s="111">
        <f t="shared" si="4787"/>
        <v>0</v>
      </c>
      <c r="W319" s="112">
        <f t="shared" si="4787"/>
        <v>0</v>
      </c>
      <c r="X319" s="113">
        <f t="shared" si="4787"/>
        <v>0</v>
      </c>
      <c r="Y319" s="113">
        <f t="shared" si="4787"/>
        <v>0</v>
      </c>
      <c r="Z319" s="114">
        <f t="shared" si="4787"/>
        <v>0</v>
      </c>
      <c r="AA319" s="111">
        <f t="shared" si="4787"/>
        <v>0</v>
      </c>
      <c r="AB319" s="112">
        <f t="shared" si="4787"/>
        <v>0</v>
      </c>
      <c r="AC319" s="113">
        <f t="shared" si="4787"/>
        <v>0</v>
      </c>
      <c r="AD319" s="113">
        <f t="shared" si="4787"/>
        <v>0</v>
      </c>
      <c r="AE319" s="114">
        <f t="shared" si="4787"/>
        <v>0</v>
      </c>
      <c r="AF319" s="111">
        <f t="shared" si="4787"/>
        <v>0</v>
      </c>
      <c r="AG319" s="112">
        <f t="shared" si="4787"/>
        <v>0</v>
      </c>
      <c r="AH319" s="113">
        <f t="shared" si="4787"/>
        <v>0</v>
      </c>
      <c r="AI319" s="113">
        <f t="shared" si="4787"/>
        <v>0</v>
      </c>
      <c r="AJ319" s="114">
        <f t="shared" si="4787"/>
        <v>0</v>
      </c>
      <c r="AK319" s="111">
        <f t="shared" si="4787"/>
        <v>0</v>
      </c>
      <c r="AL319" s="112">
        <f t="shared" si="4787"/>
        <v>0</v>
      </c>
      <c r="AM319" s="113">
        <f t="shared" si="4787"/>
        <v>0</v>
      </c>
      <c r="AN319" s="113">
        <f t="shared" si="4787"/>
        <v>255</v>
      </c>
      <c r="AO319" s="114">
        <f t="shared" si="4787"/>
        <v>0</v>
      </c>
      <c r="AP319" s="111">
        <f t="shared" si="4787"/>
        <v>255</v>
      </c>
      <c r="AQ319" s="112">
        <f t="shared" si="4787"/>
        <v>0</v>
      </c>
      <c r="AR319" s="113">
        <f t="shared" si="4787"/>
        <v>0</v>
      </c>
      <c r="AS319" s="113">
        <f t="shared" si="4787"/>
        <v>65</v>
      </c>
      <c r="AT319" s="114">
        <f t="shared" si="4787"/>
        <v>0</v>
      </c>
      <c r="AU319" s="111">
        <f t="shared" si="4787"/>
        <v>65</v>
      </c>
      <c r="AV319" s="112">
        <f t="shared" si="4787"/>
        <v>0</v>
      </c>
      <c r="AW319" s="113">
        <f t="shared" si="4787"/>
        <v>0</v>
      </c>
      <c r="AX319" s="113">
        <f t="shared" si="4787"/>
        <v>50</v>
      </c>
      <c r="AY319" s="114">
        <f t="shared" si="4787"/>
        <v>0</v>
      </c>
      <c r="AZ319" s="111">
        <f t="shared" si="4787"/>
        <v>50</v>
      </c>
      <c r="BA319" s="112">
        <f t="shared" si="4787"/>
        <v>0</v>
      </c>
      <c r="BB319" s="113">
        <f t="shared" si="4787"/>
        <v>0</v>
      </c>
      <c r="BC319" s="113">
        <f t="shared" si="4787"/>
        <v>45</v>
      </c>
      <c r="BD319" s="114">
        <f t="shared" si="4787"/>
        <v>0</v>
      </c>
      <c r="BE319" s="111">
        <f t="shared" si="4787"/>
        <v>45</v>
      </c>
      <c r="BG319" s="2007">
        <f t="shared" ref="BG319:CZ319" si="4788">SUM(BG314:BG318)</f>
        <v>0</v>
      </c>
      <c r="BH319" s="116">
        <f t="shared" si="4788"/>
        <v>0</v>
      </c>
      <c r="BI319" s="117">
        <f t="shared" si="4788"/>
        <v>0</v>
      </c>
      <c r="BJ319" s="117">
        <f t="shared" si="4788"/>
        <v>0</v>
      </c>
      <c r="BK319" s="118">
        <f t="shared" si="4788"/>
        <v>0</v>
      </c>
      <c r="BL319" s="115">
        <f t="shared" si="4788"/>
        <v>0</v>
      </c>
      <c r="BM319" s="116">
        <f t="shared" si="4788"/>
        <v>0</v>
      </c>
      <c r="BN319" s="117">
        <f t="shared" si="4788"/>
        <v>0</v>
      </c>
      <c r="BO319" s="117">
        <f t="shared" si="4788"/>
        <v>0</v>
      </c>
      <c r="BP319" s="118">
        <f t="shared" si="4788"/>
        <v>0</v>
      </c>
      <c r="BQ319" s="115">
        <f t="shared" si="4788"/>
        <v>0</v>
      </c>
      <c r="BR319" s="116">
        <f t="shared" si="4788"/>
        <v>0</v>
      </c>
      <c r="BS319" s="117">
        <f t="shared" si="4788"/>
        <v>0</v>
      </c>
      <c r="BT319" s="117">
        <f t="shared" si="4788"/>
        <v>0</v>
      </c>
      <c r="BU319" s="118">
        <f t="shared" si="4788"/>
        <v>0</v>
      </c>
      <c r="BV319" s="115">
        <f t="shared" si="4788"/>
        <v>0</v>
      </c>
      <c r="BW319" s="116">
        <f t="shared" si="4788"/>
        <v>0</v>
      </c>
      <c r="BX319" s="117">
        <f t="shared" si="4788"/>
        <v>0</v>
      </c>
      <c r="BY319" s="117">
        <f t="shared" si="4788"/>
        <v>0</v>
      </c>
      <c r="BZ319" s="118">
        <f t="shared" si="4788"/>
        <v>0</v>
      </c>
      <c r="CA319" s="115">
        <f t="shared" si="4788"/>
        <v>0</v>
      </c>
      <c r="CB319" s="116">
        <f t="shared" si="4788"/>
        <v>0</v>
      </c>
      <c r="CC319" s="117">
        <f t="shared" si="4788"/>
        <v>0</v>
      </c>
      <c r="CD319" s="117">
        <f t="shared" si="4788"/>
        <v>0</v>
      </c>
      <c r="CE319" s="118">
        <f t="shared" si="4788"/>
        <v>0</v>
      </c>
      <c r="CF319" s="115">
        <f t="shared" si="4788"/>
        <v>0</v>
      </c>
      <c r="CG319" s="116">
        <f t="shared" si="4788"/>
        <v>0</v>
      </c>
      <c r="CH319" s="117">
        <f t="shared" si="4788"/>
        <v>0</v>
      </c>
      <c r="CI319" s="117">
        <f t="shared" si="4788"/>
        <v>3.1875</v>
      </c>
      <c r="CJ319" s="118">
        <f t="shared" si="4788"/>
        <v>3.1875</v>
      </c>
      <c r="CK319" s="115">
        <f t="shared" si="4788"/>
        <v>6.375</v>
      </c>
      <c r="CL319" s="116">
        <f t="shared" si="4788"/>
        <v>3.1875</v>
      </c>
      <c r="CM319" s="117">
        <f t="shared" si="4788"/>
        <v>3.1875</v>
      </c>
      <c r="CN319" s="117">
        <f t="shared" si="4788"/>
        <v>0.8125</v>
      </c>
      <c r="CO319" s="118">
        <f t="shared" si="4788"/>
        <v>0.8125</v>
      </c>
      <c r="CP319" s="115">
        <f t="shared" si="4788"/>
        <v>8</v>
      </c>
      <c r="CQ319" s="116">
        <f t="shared" si="4788"/>
        <v>0.8125</v>
      </c>
      <c r="CR319" s="117">
        <f t="shared" si="4788"/>
        <v>0.8125</v>
      </c>
      <c r="CS319" s="117">
        <f t="shared" si="4788"/>
        <v>0.625</v>
      </c>
      <c r="CT319" s="118">
        <f t="shared" si="4788"/>
        <v>0.625</v>
      </c>
      <c r="CU319" s="115">
        <f t="shared" si="4788"/>
        <v>2.875</v>
      </c>
      <c r="CV319" s="116">
        <f t="shared" si="4788"/>
        <v>0.625</v>
      </c>
      <c r="CW319" s="117">
        <f t="shared" si="4788"/>
        <v>0.625</v>
      </c>
      <c r="CX319" s="117">
        <f t="shared" si="4788"/>
        <v>0.5625</v>
      </c>
      <c r="CY319" s="118">
        <f t="shared" si="4788"/>
        <v>0.5625</v>
      </c>
      <c r="CZ319" s="115">
        <f t="shared" si="4788"/>
        <v>2.375</v>
      </c>
    </row>
    <row r="320" spans="1:104" ht="12.75" customHeight="1">
      <c r="A320" s="1817"/>
      <c r="B320" s="1817"/>
      <c r="C320" s="1851"/>
      <c r="D320" s="1851"/>
      <c r="E320" s="1820"/>
      <c r="F320" s="1821"/>
      <c r="G320" s="1821"/>
      <c r="H320" s="1825"/>
      <c r="I320" s="1826"/>
      <c r="J320" s="1827"/>
      <c r="L320" s="2001"/>
      <c r="M320" s="82"/>
      <c r="N320" s="83"/>
      <c r="O320" s="83"/>
      <c r="P320" s="84"/>
      <c r="Q320" s="81"/>
      <c r="R320" s="82"/>
      <c r="S320" s="83"/>
      <c r="T320" s="83"/>
      <c r="U320" s="84"/>
      <c r="V320" s="81"/>
      <c r="W320" s="82"/>
      <c r="X320" s="83"/>
      <c r="Y320" s="83"/>
      <c r="Z320" s="84"/>
      <c r="AA320" s="81"/>
      <c r="AB320" s="82"/>
      <c r="AC320" s="83"/>
      <c r="AD320" s="83"/>
      <c r="AE320" s="84"/>
      <c r="AF320" s="81"/>
      <c r="AG320" s="82"/>
      <c r="AH320" s="83"/>
      <c r="AI320" s="83"/>
      <c r="AJ320" s="84"/>
      <c r="AK320" s="81"/>
      <c r="AL320" s="82"/>
      <c r="AM320" s="83"/>
      <c r="AN320" s="83"/>
      <c r="AO320" s="84"/>
      <c r="AP320" s="81"/>
      <c r="AQ320" s="82"/>
      <c r="AR320" s="83"/>
      <c r="AS320" s="83"/>
      <c r="AT320" s="84"/>
      <c r="AU320" s="81"/>
      <c r="AV320" s="82"/>
      <c r="AW320" s="83"/>
      <c r="AX320" s="83"/>
      <c r="AY320" s="84"/>
      <c r="AZ320" s="81"/>
      <c r="BA320" s="82"/>
      <c r="BB320" s="83"/>
      <c r="BC320" s="83"/>
      <c r="BD320" s="84"/>
      <c r="BE320" s="81"/>
      <c r="BF320" s="1877"/>
      <c r="BG320" s="2005"/>
      <c r="BH320" s="86"/>
      <c r="BI320" s="87"/>
      <c r="BJ320" s="87"/>
      <c r="BK320" s="88"/>
      <c r="BL320" s="85"/>
      <c r="BM320" s="86"/>
      <c r="BN320" s="87"/>
      <c r="BO320" s="87"/>
      <c r="BP320" s="88"/>
      <c r="BQ320" s="85"/>
      <c r="BR320" s="86"/>
      <c r="BS320" s="87"/>
      <c r="BT320" s="87"/>
      <c r="BU320" s="88"/>
      <c r="BV320" s="85"/>
      <c r="BW320" s="86"/>
      <c r="BX320" s="87"/>
      <c r="BY320" s="87"/>
      <c r="BZ320" s="88"/>
      <c r="CA320" s="85"/>
      <c r="CB320" s="86"/>
      <c r="CC320" s="87"/>
      <c r="CD320" s="87"/>
      <c r="CE320" s="88"/>
      <c r="CF320" s="85"/>
      <c r="CG320" s="86"/>
      <c r="CH320" s="87"/>
      <c r="CI320" s="87"/>
      <c r="CJ320" s="88"/>
      <c r="CK320" s="85"/>
      <c r="CL320" s="86"/>
      <c r="CM320" s="87"/>
      <c r="CN320" s="87"/>
      <c r="CO320" s="88"/>
      <c r="CP320" s="85"/>
      <c r="CQ320" s="86"/>
      <c r="CR320" s="87"/>
      <c r="CS320" s="87"/>
      <c r="CT320" s="88"/>
      <c r="CU320" s="85"/>
      <c r="CV320" s="86"/>
      <c r="CW320" s="87"/>
      <c r="CX320" s="87"/>
      <c r="CY320" s="88"/>
      <c r="CZ320" s="85"/>
    </row>
    <row r="321" spans="1:104" ht="12.75" customHeight="1">
      <c r="A321" s="1817"/>
      <c r="B321" s="1817"/>
      <c r="C321" s="1824" t="s">
        <v>542</v>
      </c>
      <c r="D321" s="1824"/>
      <c r="E321" s="1852"/>
      <c r="F321" s="1853"/>
      <c r="G321" s="1853"/>
      <c r="H321" s="1848"/>
      <c r="I321" s="1849"/>
      <c r="J321" s="1850"/>
      <c r="L321" s="2001">
        <f t="shared" ref="L321:BE321" si="4789">+L319+L311</f>
        <v>0</v>
      </c>
      <c r="M321" s="82">
        <f t="shared" si="4789"/>
        <v>0</v>
      </c>
      <c r="N321" s="83">
        <f t="shared" si="4789"/>
        <v>0</v>
      </c>
      <c r="O321" s="83">
        <f t="shared" si="4789"/>
        <v>0</v>
      </c>
      <c r="P321" s="84">
        <f t="shared" si="4789"/>
        <v>0</v>
      </c>
      <c r="Q321" s="81">
        <f t="shared" si="4789"/>
        <v>0</v>
      </c>
      <c r="R321" s="82">
        <f t="shared" si="4789"/>
        <v>0</v>
      </c>
      <c r="S321" s="83">
        <f t="shared" si="4789"/>
        <v>0</v>
      </c>
      <c r="T321" s="83">
        <f t="shared" si="4789"/>
        <v>0</v>
      </c>
      <c r="U321" s="84">
        <f t="shared" si="4789"/>
        <v>0</v>
      </c>
      <c r="V321" s="81">
        <f t="shared" si="4789"/>
        <v>0</v>
      </c>
      <c r="W321" s="82">
        <f t="shared" si="4789"/>
        <v>0</v>
      </c>
      <c r="X321" s="83">
        <f t="shared" si="4789"/>
        <v>0</v>
      </c>
      <c r="Y321" s="83">
        <f t="shared" si="4789"/>
        <v>0</v>
      </c>
      <c r="Z321" s="84">
        <f t="shared" si="4789"/>
        <v>0</v>
      </c>
      <c r="AA321" s="81">
        <f t="shared" si="4789"/>
        <v>0</v>
      </c>
      <c r="AB321" s="82">
        <f t="shared" si="4789"/>
        <v>0</v>
      </c>
      <c r="AC321" s="83">
        <f t="shared" si="4789"/>
        <v>0</v>
      </c>
      <c r="AD321" s="83">
        <f t="shared" si="4789"/>
        <v>0</v>
      </c>
      <c r="AE321" s="84">
        <f t="shared" si="4789"/>
        <v>0</v>
      </c>
      <c r="AF321" s="81">
        <f t="shared" si="4789"/>
        <v>0</v>
      </c>
      <c r="AG321" s="82">
        <f t="shared" si="4789"/>
        <v>0</v>
      </c>
      <c r="AH321" s="83">
        <f t="shared" si="4789"/>
        <v>0</v>
      </c>
      <c r="AI321" s="83">
        <f t="shared" si="4789"/>
        <v>-14</v>
      </c>
      <c r="AJ321" s="84">
        <f t="shared" si="4789"/>
        <v>0</v>
      </c>
      <c r="AK321" s="81">
        <f t="shared" si="4789"/>
        <v>-14</v>
      </c>
      <c r="AL321" s="82">
        <f t="shared" si="4789"/>
        <v>0</v>
      </c>
      <c r="AM321" s="83">
        <f t="shared" si="4789"/>
        <v>0</v>
      </c>
      <c r="AN321" s="83">
        <f t="shared" si="4789"/>
        <v>251</v>
      </c>
      <c r="AO321" s="84">
        <f t="shared" si="4789"/>
        <v>0</v>
      </c>
      <c r="AP321" s="81">
        <f t="shared" si="4789"/>
        <v>251</v>
      </c>
      <c r="AQ321" s="82">
        <f t="shared" si="4789"/>
        <v>0</v>
      </c>
      <c r="AR321" s="83">
        <f t="shared" si="4789"/>
        <v>0</v>
      </c>
      <c r="AS321" s="83">
        <f t="shared" si="4789"/>
        <v>53</v>
      </c>
      <c r="AT321" s="84">
        <f t="shared" si="4789"/>
        <v>0</v>
      </c>
      <c r="AU321" s="81">
        <f t="shared" si="4789"/>
        <v>53</v>
      </c>
      <c r="AV321" s="82">
        <f t="shared" si="4789"/>
        <v>0</v>
      </c>
      <c r="AW321" s="83">
        <f t="shared" si="4789"/>
        <v>0</v>
      </c>
      <c r="AX321" s="83">
        <f t="shared" si="4789"/>
        <v>50</v>
      </c>
      <c r="AY321" s="84">
        <f t="shared" si="4789"/>
        <v>0</v>
      </c>
      <c r="AZ321" s="81">
        <f t="shared" si="4789"/>
        <v>50</v>
      </c>
      <c r="BA321" s="82">
        <f t="shared" si="4789"/>
        <v>0</v>
      </c>
      <c r="BB321" s="83">
        <f t="shared" si="4789"/>
        <v>0</v>
      </c>
      <c r="BC321" s="83">
        <f t="shared" si="4789"/>
        <v>45</v>
      </c>
      <c r="BD321" s="84">
        <f t="shared" si="4789"/>
        <v>0</v>
      </c>
      <c r="BE321" s="81">
        <f t="shared" si="4789"/>
        <v>45</v>
      </c>
      <c r="BF321" s="1877"/>
      <c r="BG321" s="2005">
        <f t="shared" ref="BG321:CZ321" si="4790">+BG319+BG311</f>
        <v>0</v>
      </c>
      <c r="BH321" s="86">
        <f t="shared" si="4790"/>
        <v>0</v>
      </c>
      <c r="BI321" s="87">
        <f t="shared" si="4790"/>
        <v>0</v>
      </c>
      <c r="BJ321" s="87">
        <f t="shared" si="4790"/>
        <v>0</v>
      </c>
      <c r="BK321" s="88">
        <f t="shared" si="4790"/>
        <v>0</v>
      </c>
      <c r="BL321" s="85">
        <f t="shared" si="4790"/>
        <v>0</v>
      </c>
      <c r="BM321" s="86">
        <f t="shared" si="4790"/>
        <v>0</v>
      </c>
      <c r="BN321" s="87">
        <f t="shared" si="4790"/>
        <v>0</v>
      </c>
      <c r="BO321" s="87">
        <f t="shared" si="4790"/>
        <v>0</v>
      </c>
      <c r="BP321" s="88">
        <f t="shared" si="4790"/>
        <v>0</v>
      </c>
      <c r="BQ321" s="85">
        <f t="shared" si="4790"/>
        <v>0</v>
      </c>
      <c r="BR321" s="86">
        <f t="shared" si="4790"/>
        <v>0</v>
      </c>
      <c r="BS321" s="87">
        <f t="shared" si="4790"/>
        <v>0</v>
      </c>
      <c r="BT321" s="87">
        <f t="shared" si="4790"/>
        <v>0</v>
      </c>
      <c r="BU321" s="88">
        <f t="shared" si="4790"/>
        <v>0</v>
      </c>
      <c r="BV321" s="85">
        <f t="shared" si="4790"/>
        <v>0</v>
      </c>
      <c r="BW321" s="86">
        <f t="shared" si="4790"/>
        <v>0</v>
      </c>
      <c r="BX321" s="87">
        <f t="shared" si="4790"/>
        <v>0</v>
      </c>
      <c r="BY321" s="87">
        <f t="shared" si="4790"/>
        <v>0</v>
      </c>
      <c r="BZ321" s="88">
        <f t="shared" si="4790"/>
        <v>0</v>
      </c>
      <c r="CA321" s="85">
        <f t="shared" si="4790"/>
        <v>0</v>
      </c>
      <c r="CB321" s="86">
        <f t="shared" si="4790"/>
        <v>0</v>
      </c>
      <c r="CC321" s="87">
        <f t="shared" si="4790"/>
        <v>0</v>
      </c>
      <c r="CD321" s="87">
        <f t="shared" si="4790"/>
        <v>-0.26495000000000002</v>
      </c>
      <c r="CE321" s="88">
        <f t="shared" si="4790"/>
        <v>-0.26495000000000002</v>
      </c>
      <c r="CF321" s="85">
        <f t="shared" si="4790"/>
        <v>-0.52990000000000004</v>
      </c>
      <c r="CG321" s="86">
        <f t="shared" si="4790"/>
        <v>-0.26495000000000002</v>
      </c>
      <c r="CH321" s="87">
        <f t="shared" si="4790"/>
        <v>-0.26495000000000002</v>
      </c>
      <c r="CI321" s="87">
        <f t="shared" si="4790"/>
        <v>3.1194000000000002</v>
      </c>
      <c r="CJ321" s="88">
        <f t="shared" si="4790"/>
        <v>3.1194000000000002</v>
      </c>
      <c r="CK321" s="85">
        <f t="shared" si="4790"/>
        <v>5.7088999999999999</v>
      </c>
      <c r="CL321" s="86">
        <f t="shared" si="4790"/>
        <v>3.1194000000000002</v>
      </c>
      <c r="CM321" s="87">
        <f t="shared" si="4790"/>
        <v>3.1194000000000002</v>
      </c>
      <c r="CN321" s="87">
        <f t="shared" si="4790"/>
        <v>0.58420000000000005</v>
      </c>
      <c r="CO321" s="88">
        <f t="shared" si="4790"/>
        <v>0.58420000000000005</v>
      </c>
      <c r="CP321" s="85">
        <f t="shared" si="4790"/>
        <v>7.4071999999999996</v>
      </c>
      <c r="CQ321" s="86">
        <f t="shared" si="4790"/>
        <v>0.58420000000000005</v>
      </c>
      <c r="CR321" s="87">
        <f t="shared" si="4790"/>
        <v>0.58420000000000005</v>
      </c>
      <c r="CS321" s="87">
        <f t="shared" si="4790"/>
        <v>0.625</v>
      </c>
      <c r="CT321" s="88">
        <f t="shared" si="4790"/>
        <v>0.625</v>
      </c>
      <c r="CU321" s="85">
        <f t="shared" si="4790"/>
        <v>2.4184000000000001</v>
      </c>
      <c r="CV321" s="86">
        <f t="shared" si="4790"/>
        <v>0.625</v>
      </c>
      <c r="CW321" s="87">
        <f t="shared" si="4790"/>
        <v>0.625</v>
      </c>
      <c r="CX321" s="87">
        <f t="shared" si="4790"/>
        <v>0.5625</v>
      </c>
      <c r="CY321" s="88">
        <f t="shared" si="4790"/>
        <v>0.5625</v>
      </c>
      <c r="CZ321" s="85">
        <f t="shared" si="4790"/>
        <v>2.375</v>
      </c>
    </row>
    <row r="322" spans="1:104" ht="12.75" customHeight="1">
      <c r="A322" s="1817"/>
      <c r="B322" s="1817"/>
      <c r="C322" s="1824"/>
      <c r="D322" s="1824"/>
      <c r="E322" s="1852"/>
      <c r="F322" s="1853"/>
      <c r="G322" s="1853"/>
      <c r="H322" s="1848"/>
      <c r="I322" s="1849"/>
      <c r="J322" s="1850"/>
      <c r="L322" s="2001"/>
      <c r="M322" s="82"/>
      <c r="N322" s="83"/>
      <c r="O322" s="83"/>
      <c r="P322" s="84"/>
      <c r="Q322" s="81"/>
      <c r="R322" s="82"/>
      <c r="S322" s="83"/>
      <c r="T322" s="83"/>
      <c r="U322" s="84"/>
      <c r="V322" s="81"/>
      <c r="W322" s="82"/>
      <c r="X322" s="83"/>
      <c r="Y322" s="83"/>
      <c r="Z322" s="84"/>
      <c r="AA322" s="81"/>
      <c r="AB322" s="82"/>
      <c r="AC322" s="83"/>
      <c r="AD322" s="83"/>
      <c r="AE322" s="84"/>
      <c r="AF322" s="81"/>
      <c r="AG322" s="82"/>
      <c r="AH322" s="83"/>
      <c r="AI322" s="83"/>
      <c r="AJ322" s="84"/>
      <c r="AK322" s="81"/>
      <c r="AL322" s="82"/>
      <c r="AM322" s="83"/>
      <c r="AN322" s="83"/>
      <c r="AO322" s="84"/>
      <c r="AP322" s="81"/>
      <c r="AQ322" s="82"/>
      <c r="AR322" s="83"/>
      <c r="AS322" s="83"/>
      <c r="AT322" s="84"/>
      <c r="AU322" s="81"/>
      <c r="AV322" s="82"/>
      <c r="AW322" s="83"/>
      <c r="AX322" s="83"/>
      <c r="AY322" s="84"/>
      <c r="AZ322" s="81"/>
      <c r="BA322" s="82"/>
      <c r="BB322" s="83"/>
      <c r="BC322" s="83"/>
      <c r="BD322" s="84"/>
      <c r="BE322" s="81"/>
      <c r="BF322" s="1877"/>
      <c r="BG322" s="2005"/>
      <c r="BH322" s="86"/>
      <c r="BI322" s="87"/>
      <c r="BJ322" s="87"/>
      <c r="BK322" s="88"/>
      <c r="BL322" s="85"/>
      <c r="BM322" s="86"/>
      <c r="BN322" s="87"/>
      <c r="BO322" s="87"/>
      <c r="BP322" s="88"/>
      <c r="BQ322" s="85"/>
      <c r="BR322" s="86"/>
      <c r="BS322" s="87"/>
      <c r="BT322" s="87"/>
      <c r="BU322" s="88"/>
      <c r="BV322" s="85"/>
      <c r="BW322" s="86"/>
      <c r="BX322" s="87"/>
      <c r="BY322" s="87"/>
      <c r="BZ322" s="88"/>
      <c r="CA322" s="85"/>
      <c r="CB322" s="86"/>
      <c r="CC322" s="87"/>
      <c r="CD322" s="87"/>
      <c r="CE322" s="88"/>
      <c r="CF322" s="85"/>
      <c r="CG322" s="86"/>
      <c r="CH322" s="87"/>
      <c r="CI322" s="87"/>
      <c r="CJ322" s="88"/>
      <c r="CK322" s="85"/>
      <c r="CL322" s="86"/>
      <c r="CM322" s="87"/>
      <c r="CN322" s="87"/>
      <c r="CO322" s="88"/>
      <c r="CP322" s="85"/>
      <c r="CQ322" s="86"/>
      <c r="CR322" s="87"/>
      <c r="CS322" s="87"/>
      <c r="CT322" s="88"/>
      <c r="CU322" s="85"/>
      <c r="CV322" s="86"/>
      <c r="CW322" s="87"/>
      <c r="CX322" s="87"/>
      <c r="CY322" s="88"/>
      <c r="CZ322" s="85"/>
    </row>
    <row r="323" spans="1:104" ht="12.75" customHeight="1">
      <c r="E323" s="4"/>
      <c r="F323" s="4"/>
      <c r="G323" s="4"/>
      <c r="H323" s="4"/>
      <c r="I323" s="4"/>
      <c r="J323" s="4"/>
      <c r="L323" s="19"/>
      <c r="M323" s="19"/>
      <c r="N323" s="19"/>
      <c r="O323" s="19"/>
      <c r="P323" s="19"/>
      <c r="Q323" s="19"/>
    </row>
    <row r="324" spans="1:104" ht="12.75" customHeight="1">
      <c r="E324" s="4"/>
      <c r="F324" s="2126"/>
      <c r="G324" s="2126"/>
      <c r="H324" s="4"/>
      <c r="I324" s="4"/>
      <c r="J324" s="4"/>
    </row>
    <row r="325" spans="1:104" ht="12.75" customHeight="1">
      <c r="E325" s="4"/>
      <c r="F325" s="2126"/>
      <c r="G325" s="2126"/>
      <c r="H325" s="4"/>
      <c r="I325" s="4"/>
      <c r="J325" s="4"/>
    </row>
    <row r="326" spans="1:104" ht="12.75" customHeight="1">
      <c r="E326" s="4"/>
      <c r="F326" s="4"/>
      <c r="G326" s="4"/>
      <c r="H326" s="4"/>
      <c r="I326" s="4"/>
      <c r="J326" s="4"/>
    </row>
    <row r="327" spans="1:104" ht="12.75" customHeight="1">
      <c r="E327" s="4"/>
      <c r="F327" s="4"/>
      <c r="G327" s="4"/>
      <c r="H327" s="4"/>
      <c r="I327" s="4"/>
      <c r="J327" s="4"/>
    </row>
    <row r="328" spans="1:104" ht="12.75" customHeight="1">
      <c r="E328" s="4"/>
      <c r="F328" s="4"/>
      <c r="G328" s="4"/>
      <c r="H328" s="4"/>
      <c r="I328" s="4"/>
      <c r="J328" s="4"/>
    </row>
    <row r="329" spans="1:104" ht="12.75" customHeight="1">
      <c r="E329" s="4"/>
      <c r="F329" s="4"/>
      <c r="G329" s="4"/>
      <c r="H329" s="4"/>
      <c r="I329" s="4"/>
      <c r="J329" s="4"/>
    </row>
    <row r="330" spans="1:104" ht="12.75" customHeight="1">
      <c r="E330" s="4"/>
      <c r="F330" s="4"/>
      <c r="G330" s="4"/>
      <c r="H330" s="4"/>
      <c r="I330" s="4"/>
      <c r="J330" s="4"/>
    </row>
    <row r="331" spans="1:104" ht="12.75" customHeight="1">
      <c r="E331" s="4"/>
      <c r="F331" s="4"/>
      <c r="G331" s="4"/>
      <c r="H331" s="4"/>
      <c r="I331" s="4"/>
      <c r="J331" s="4"/>
    </row>
    <row r="332" spans="1:104" ht="12.75" customHeight="1">
      <c r="E332" s="4"/>
      <c r="F332" s="4"/>
      <c r="G332" s="4"/>
      <c r="H332" s="4"/>
      <c r="I332" s="4"/>
      <c r="J332" s="4"/>
    </row>
    <row r="333" spans="1:104" ht="12.75" customHeight="1">
      <c r="E333" s="4"/>
      <c r="F333" s="4"/>
      <c r="G333" s="4"/>
      <c r="H333" s="4"/>
      <c r="I333" s="4"/>
      <c r="J333" s="4"/>
    </row>
    <row r="334" spans="1:104" ht="12.75" customHeight="1">
      <c r="E334" s="4"/>
      <c r="F334" s="4"/>
      <c r="G334" s="4"/>
      <c r="H334" s="4"/>
      <c r="I334" s="4"/>
      <c r="J334" s="4"/>
    </row>
    <row r="335" spans="1:104" ht="12.75" customHeight="1">
      <c r="E335" s="4"/>
      <c r="F335" s="4"/>
      <c r="G335" s="4"/>
      <c r="H335" s="4"/>
      <c r="I335" s="4"/>
      <c r="J335" s="4"/>
    </row>
    <row r="336" spans="1:104" ht="12.75" customHeight="1">
      <c r="E336" s="4"/>
      <c r="F336" s="4"/>
      <c r="G336" s="4"/>
      <c r="H336" s="4"/>
      <c r="I336" s="4"/>
      <c r="J336" s="4"/>
    </row>
    <row r="337" spans="5:10" ht="12.75" customHeight="1">
      <c r="E337" s="4"/>
      <c r="F337" s="4"/>
      <c r="G337" s="4"/>
      <c r="H337" s="4"/>
      <c r="I337" s="4"/>
      <c r="J337" s="4"/>
    </row>
    <row r="338" spans="5:10" ht="12.75" customHeight="1">
      <c r="E338" s="4"/>
      <c r="F338" s="4"/>
      <c r="G338" s="4"/>
      <c r="H338" s="4"/>
      <c r="I338" s="4"/>
      <c r="J338" s="4"/>
    </row>
    <row r="339" spans="5:10" ht="12.75" customHeight="1">
      <c r="E339" s="4"/>
      <c r="F339" s="4"/>
      <c r="G339" s="4"/>
      <c r="H339" s="4"/>
      <c r="I339" s="4"/>
      <c r="J339" s="4"/>
    </row>
    <row r="340" spans="5:10" ht="12.75" customHeight="1">
      <c r="E340" s="4"/>
      <c r="F340" s="4"/>
      <c r="G340" s="4"/>
      <c r="H340" s="4"/>
      <c r="I340" s="4"/>
      <c r="J340" s="4"/>
    </row>
    <row r="341" spans="5:10" ht="12.75" customHeight="1">
      <c r="E341" s="4"/>
      <c r="F341" s="4"/>
      <c r="G341" s="4"/>
      <c r="H341" s="4"/>
      <c r="I341" s="4"/>
      <c r="J341" s="4"/>
    </row>
    <row r="342" spans="5:10" ht="12.75" customHeight="1">
      <c r="E342" s="4"/>
      <c r="F342" s="4"/>
      <c r="G342" s="4"/>
      <c r="H342" s="4"/>
      <c r="I342" s="4"/>
      <c r="J342" s="4"/>
    </row>
    <row r="343" spans="5:10" ht="12.75" customHeight="1">
      <c r="E343" s="4"/>
      <c r="F343" s="4"/>
      <c r="G343" s="4"/>
      <c r="H343" s="4"/>
      <c r="I343" s="4"/>
      <c r="J343" s="4"/>
    </row>
    <row r="344" spans="5:10" ht="12.75" customHeight="1">
      <c r="E344" s="4"/>
      <c r="F344" s="4"/>
      <c r="G344" s="4"/>
      <c r="H344" s="4"/>
      <c r="I344" s="4"/>
      <c r="J344" s="4"/>
    </row>
    <row r="345" spans="5:10" ht="12.75" customHeight="1">
      <c r="E345" s="4"/>
      <c r="F345" s="4"/>
      <c r="G345" s="4"/>
      <c r="H345" s="4"/>
      <c r="I345" s="4"/>
      <c r="J345" s="4"/>
    </row>
    <row r="346" spans="5:10" ht="12.75" customHeight="1">
      <c r="E346" s="4"/>
      <c r="F346" s="4"/>
      <c r="G346" s="4"/>
      <c r="H346" s="4"/>
      <c r="I346" s="4"/>
      <c r="J346" s="4"/>
    </row>
    <row r="347" spans="5:10" ht="12.75" customHeight="1">
      <c r="E347" s="4"/>
      <c r="F347" s="4"/>
      <c r="G347" s="4"/>
      <c r="H347" s="4"/>
      <c r="I347" s="4"/>
      <c r="J347" s="4"/>
    </row>
    <row r="348" spans="5:10" ht="12.75" customHeight="1">
      <c r="E348" s="4"/>
      <c r="F348" s="4"/>
      <c r="G348" s="4"/>
      <c r="H348" s="4"/>
      <c r="I348" s="4"/>
      <c r="J348" s="4"/>
    </row>
    <row r="349" spans="5:10" ht="12.75" customHeight="1">
      <c r="E349" s="4"/>
      <c r="F349" s="4"/>
      <c r="G349" s="4"/>
      <c r="H349" s="4"/>
      <c r="I349" s="4"/>
      <c r="J349" s="4"/>
    </row>
    <row r="350" spans="5:10" ht="12.75" customHeight="1">
      <c r="E350" s="4"/>
      <c r="F350" s="4"/>
      <c r="G350" s="4"/>
      <c r="H350" s="4"/>
      <c r="I350" s="4"/>
      <c r="J350" s="4"/>
    </row>
    <row r="351" spans="5:10" ht="12.75" customHeight="1">
      <c r="E351" s="4"/>
      <c r="F351" s="4"/>
      <c r="G351" s="4"/>
      <c r="H351" s="4"/>
      <c r="I351" s="4"/>
      <c r="J351" s="4"/>
    </row>
    <row r="352" spans="5:10" ht="12.75" customHeight="1">
      <c r="E352" s="4"/>
      <c r="F352" s="4"/>
      <c r="G352" s="4"/>
      <c r="H352" s="4"/>
      <c r="I352" s="4"/>
      <c r="J352" s="4"/>
    </row>
    <row r="353" spans="5:10" ht="12.75" customHeight="1">
      <c r="E353" s="4"/>
      <c r="F353" s="4"/>
      <c r="G353" s="4"/>
      <c r="H353" s="4"/>
      <c r="I353" s="4"/>
      <c r="J353" s="4"/>
    </row>
    <row r="354" spans="5:10" ht="12.75" customHeight="1">
      <c r="E354" s="4"/>
      <c r="F354" s="4"/>
      <c r="G354" s="4"/>
      <c r="H354" s="4"/>
      <c r="I354" s="4"/>
      <c r="J354" s="4"/>
    </row>
    <row r="355" spans="5:10" ht="12.75" customHeight="1">
      <c r="E355" s="4"/>
      <c r="F355" s="4"/>
      <c r="G355" s="4"/>
      <c r="H355" s="4"/>
      <c r="I355" s="4"/>
      <c r="J355" s="4"/>
    </row>
    <row r="356" spans="5:10" ht="12.75" customHeight="1">
      <c r="E356" s="4"/>
      <c r="F356" s="4"/>
      <c r="G356" s="4"/>
      <c r="H356" s="4"/>
      <c r="I356" s="4"/>
      <c r="J356" s="4"/>
    </row>
    <row r="357" spans="5:10" ht="12.75" customHeight="1">
      <c r="E357" s="4"/>
      <c r="F357" s="4"/>
      <c r="G357" s="4"/>
      <c r="H357" s="4"/>
      <c r="I357" s="4"/>
      <c r="J357" s="4"/>
    </row>
  </sheetData>
  <phoneticPr fontId="0" type="noConversion"/>
  <pageMargins left="0.5" right="0.5" top="0.5" bottom="0.5" header="0" footer="0"/>
  <pageSetup scale="52" fitToWidth="2" fitToHeight="2" orientation="landscape" r:id="rId1"/>
  <headerFooter alignWithMargins="0"/>
  <rowBreaks count="1" manualBreakCount="1">
    <brk id="43" max="16383" man="1"/>
  </row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autoPageBreaks="0"/>
  </sheetPr>
  <dimension ref="A1:CZ512"/>
  <sheetViews>
    <sheetView zoomScale="80" workbookViewId="0">
      <pane xSplit="6" ySplit="4" topLeftCell="G5" activePane="bottomRight" state="frozen"/>
      <selection pane="topRight" activeCell="G1" sqref="G1"/>
      <selection pane="bottomLeft" activeCell="A5" sqref="A5"/>
      <selection pane="bottomRight" activeCell="S5" sqref="S5"/>
    </sheetView>
  </sheetViews>
  <sheetFormatPr defaultRowHeight="12.75" outlineLevelCol="1"/>
  <cols>
    <col min="1" max="2" width="2.7109375" style="1168" customWidth="1"/>
    <col min="3" max="3" width="52.140625" style="1168" bestFit="1" customWidth="1"/>
    <col min="4" max="4" width="5.28515625" style="1168" customWidth="1"/>
    <col min="5" max="5" width="2.7109375" style="1168" customWidth="1"/>
    <col min="6" max="6" width="20" style="1353" bestFit="1" customWidth="1"/>
    <col min="7" max="10" width="9.28515625" style="1262" hidden="1" customWidth="1" outlineLevel="1"/>
    <col min="11" max="18" width="8.7109375" style="1168" hidden="1" customWidth="1" outlineLevel="1"/>
    <col min="19" max="19" width="8.7109375" style="1168" customWidth="1" collapsed="1"/>
    <col min="20" max="56" width="8.7109375" style="1168" customWidth="1"/>
    <col min="57" max="69" width="9.140625" style="1266"/>
    <col min="70" max="73" width="9.140625" style="1168"/>
    <col min="74" max="74" width="23.140625" style="1168" bestFit="1" customWidth="1"/>
    <col min="75" max="75" width="11.28515625" style="1168" bestFit="1" customWidth="1"/>
    <col min="76" max="77" width="9.140625" style="1168"/>
    <col min="78" max="78" width="11.42578125" style="1168" customWidth="1"/>
    <col min="79" max="16384" width="9.140625" style="1168"/>
  </cols>
  <sheetData>
    <row r="1" spans="1:78" ht="18">
      <c r="A1" s="1644"/>
      <c r="B1" s="1649" t="s">
        <v>457</v>
      </c>
      <c r="C1" s="1649"/>
      <c r="D1" s="1649"/>
      <c r="E1" s="1648"/>
      <c r="F1" s="1647"/>
      <c r="G1" s="1646"/>
      <c r="H1" s="1646"/>
      <c r="I1" s="1646"/>
      <c r="J1" s="1646"/>
      <c r="K1" s="1645"/>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1166"/>
      <c r="AN1" s="1166"/>
      <c r="AO1" s="1166"/>
      <c r="AP1" s="1166"/>
      <c r="AQ1" s="1166"/>
      <c r="AR1" s="1166"/>
      <c r="AS1" s="1166"/>
      <c r="AT1" s="1166"/>
      <c r="AU1" s="1166"/>
      <c r="AV1" s="1166"/>
      <c r="AW1" s="1166"/>
      <c r="AX1" s="1166"/>
      <c r="AY1" s="1166"/>
      <c r="AZ1" s="1166"/>
      <c r="BA1" s="1166"/>
      <c r="BB1" s="1166"/>
      <c r="BC1" s="1166"/>
      <c r="BD1" s="1166"/>
      <c r="BE1" s="1166"/>
      <c r="BF1" s="1166"/>
      <c r="BG1" s="1166"/>
      <c r="BH1" s="1166"/>
      <c r="BI1" s="1166"/>
      <c r="BJ1" s="1166"/>
      <c r="BK1" s="1166"/>
      <c r="BL1" s="1166"/>
      <c r="BM1" s="1166"/>
      <c r="BN1" s="1166"/>
      <c r="BO1" s="1166"/>
      <c r="BP1" s="1166"/>
      <c r="BQ1" s="1167"/>
      <c r="BR1" s="1167"/>
      <c r="BS1" s="1167"/>
      <c r="BT1" s="1167"/>
      <c r="BU1" s="1638"/>
      <c r="BV1" s="1638"/>
      <c r="BW1" s="1167"/>
      <c r="BX1" s="1167"/>
      <c r="BY1" s="1167"/>
      <c r="BZ1" s="1167"/>
    </row>
    <row r="2" spans="1:78" ht="15.75">
      <c r="A2" s="1644"/>
      <c r="B2" s="1643" t="s">
        <v>223</v>
      </c>
      <c r="C2" s="1642"/>
      <c r="D2" s="1642"/>
      <c r="E2" s="1642"/>
      <c r="F2" s="1641"/>
      <c r="G2" s="1640"/>
      <c r="H2" s="1640"/>
      <c r="I2" s="1640"/>
      <c r="J2" s="1640"/>
      <c r="K2" s="1639"/>
      <c r="L2" s="1166"/>
      <c r="M2" s="1166"/>
      <c r="N2" s="1166"/>
      <c r="O2" s="1166"/>
      <c r="P2" s="1166"/>
      <c r="Q2" s="1166"/>
      <c r="R2" s="1166"/>
      <c r="S2" s="1166"/>
      <c r="T2" s="1166"/>
      <c r="U2" s="1166"/>
      <c r="V2" s="1166"/>
      <c r="W2" s="1166"/>
      <c r="X2" s="1166"/>
      <c r="Y2" s="1166"/>
      <c r="Z2" s="1166"/>
      <c r="AA2" s="1166"/>
      <c r="AB2" s="1166"/>
      <c r="AC2" s="1166"/>
      <c r="AD2" s="1166"/>
      <c r="AE2" s="1166"/>
      <c r="AF2" s="1166"/>
      <c r="AG2" s="1166"/>
      <c r="AH2" s="1166"/>
      <c r="AI2" s="1166"/>
      <c r="AJ2" s="1166"/>
      <c r="AK2" s="1166"/>
      <c r="AL2" s="1166"/>
      <c r="AM2" s="1166"/>
      <c r="AN2" s="1166"/>
      <c r="AO2" s="1166"/>
      <c r="AP2" s="1166"/>
      <c r="AQ2" s="1166"/>
      <c r="AR2" s="1166"/>
      <c r="AS2" s="1166"/>
      <c r="AT2" s="1166"/>
      <c r="AU2" s="1166"/>
      <c r="AV2" s="1166"/>
      <c r="AW2" s="1166"/>
      <c r="AX2" s="1166"/>
      <c r="AY2" s="1166"/>
      <c r="AZ2" s="1166"/>
      <c r="BA2" s="1166"/>
      <c r="BB2" s="1166"/>
      <c r="BC2" s="1166"/>
      <c r="BD2" s="1166"/>
      <c r="BE2" s="1166"/>
      <c r="BF2" s="1166"/>
      <c r="BG2" s="1166"/>
      <c r="BH2" s="1166"/>
      <c r="BI2" s="1166"/>
      <c r="BJ2" s="1166"/>
      <c r="BK2" s="1166"/>
      <c r="BL2" s="1166"/>
      <c r="BM2" s="1166"/>
      <c r="BN2" s="1166"/>
      <c r="BO2" s="1166"/>
      <c r="BP2" s="1166"/>
      <c r="BQ2" s="1167"/>
      <c r="BR2" s="1167"/>
      <c r="BS2" s="1167"/>
      <c r="BT2" s="1167"/>
      <c r="BU2" s="1167"/>
      <c r="BV2" s="1638" t="s">
        <v>936</v>
      </c>
      <c r="BW2" s="1167"/>
      <c r="BX2" s="1167"/>
      <c r="BY2" s="1167"/>
      <c r="BZ2" s="1167"/>
    </row>
    <row r="3" spans="1:78" ht="13.5" thickBot="1">
      <c r="A3" s="1169"/>
      <c r="B3" s="1264" t="s">
        <v>377</v>
      </c>
      <c r="C3" s="1264"/>
      <c r="D3" s="1637"/>
      <c r="E3" s="1265"/>
      <c r="F3" s="2106">
        <v>43199</v>
      </c>
      <c r="G3" s="1636"/>
      <c r="H3" s="1170"/>
      <c r="I3" s="1170"/>
      <c r="J3" s="1170"/>
      <c r="K3" s="1636"/>
      <c r="L3" s="1171"/>
      <c r="M3" s="1171"/>
      <c r="N3" s="1171"/>
      <c r="O3" s="1171"/>
      <c r="P3" s="1170"/>
      <c r="Q3" s="1170"/>
      <c r="R3" s="1170"/>
      <c r="S3" s="1170"/>
      <c r="T3" s="1170"/>
      <c r="U3" s="1170"/>
      <c r="V3" s="1170"/>
      <c r="W3" s="1170"/>
      <c r="X3" s="1170"/>
      <c r="Y3" s="1170"/>
      <c r="Z3" s="1170"/>
      <c r="AA3" s="1170"/>
      <c r="AB3" s="1170"/>
      <c r="AC3" s="1170"/>
      <c r="AD3" s="1170"/>
      <c r="AE3" s="1170"/>
      <c r="AF3" s="1170"/>
      <c r="AG3" s="1170"/>
      <c r="AH3" s="1170"/>
      <c r="AI3" s="1170"/>
      <c r="AJ3" s="1170"/>
      <c r="AK3" s="1170"/>
      <c r="AL3" s="1170"/>
      <c r="AM3" s="1170"/>
      <c r="AN3" s="1170"/>
      <c r="AO3" s="1170"/>
      <c r="AP3" s="1170"/>
      <c r="AQ3" s="1170"/>
      <c r="AR3" s="1170"/>
      <c r="AS3" s="1170"/>
      <c r="AT3" s="1170"/>
      <c r="AU3" s="1170"/>
      <c r="AV3" s="1170"/>
      <c r="AW3" s="1170"/>
      <c r="AX3" s="1170"/>
      <c r="AY3" s="1170"/>
      <c r="AZ3" s="1170"/>
      <c r="BA3" s="1170"/>
      <c r="BB3" s="1170"/>
      <c r="BC3" s="1170"/>
      <c r="BD3" s="1170"/>
      <c r="BE3" s="1170"/>
      <c r="BF3" s="1170"/>
      <c r="BG3" s="1170"/>
      <c r="BH3" s="1170"/>
      <c r="BI3" s="1170"/>
      <c r="BJ3" s="1170"/>
      <c r="BK3" s="1170"/>
      <c r="BL3" s="1170"/>
      <c r="BM3" s="1170"/>
      <c r="BN3" s="1170"/>
      <c r="BO3" s="1170"/>
      <c r="BP3" s="1170"/>
      <c r="BQ3" s="1172"/>
      <c r="BR3" s="1172"/>
      <c r="BS3" s="1172"/>
      <c r="BT3" s="1172"/>
      <c r="BU3" s="1172"/>
      <c r="BV3" s="1172"/>
      <c r="BW3" s="1172"/>
      <c r="BX3" s="1172"/>
      <c r="BY3" s="1172"/>
      <c r="BZ3" s="1172"/>
    </row>
    <row r="4" spans="1:78" s="1551" customFormat="1" ht="13.5" thickBot="1">
      <c r="A4" s="1173"/>
      <c r="B4" s="1174" t="s">
        <v>287</v>
      </c>
      <c r="C4" s="1305" t="s">
        <v>266</v>
      </c>
      <c r="D4" s="1175" t="s">
        <v>1142</v>
      </c>
      <c r="E4" s="1176"/>
      <c r="F4" s="1344"/>
      <c r="G4" s="1177" t="s">
        <v>256</v>
      </c>
      <c r="H4" s="1178" t="s">
        <v>257</v>
      </c>
      <c r="I4" s="1178" t="s">
        <v>258</v>
      </c>
      <c r="J4" s="1179" t="s">
        <v>259</v>
      </c>
      <c r="K4" s="1177" t="s">
        <v>203</v>
      </c>
      <c r="L4" s="1178" t="s">
        <v>204</v>
      </c>
      <c r="M4" s="1178" t="s">
        <v>205</v>
      </c>
      <c r="N4" s="1179" t="s">
        <v>206</v>
      </c>
      <c r="O4" s="1177" t="s">
        <v>207</v>
      </c>
      <c r="P4" s="1178" t="s">
        <v>208</v>
      </c>
      <c r="Q4" s="1178" t="s">
        <v>209</v>
      </c>
      <c r="R4" s="1179" t="s">
        <v>210</v>
      </c>
      <c r="S4" s="1177" t="s">
        <v>211</v>
      </c>
      <c r="T4" s="1178" t="s">
        <v>212</v>
      </c>
      <c r="U4" s="1178" t="s">
        <v>213</v>
      </c>
      <c r="V4" s="1179" t="s">
        <v>214</v>
      </c>
      <c r="W4" s="1178" t="s">
        <v>215</v>
      </c>
      <c r="X4" s="1178" t="s">
        <v>216</v>
      </c>
      <c r="Y4" s="1178" t="s">
        <v>217</v>
      </c>
      <c r="Z4" s="1180" t="s">
        <v>218</v>
      </c>
      <c r="AA4" s="1178" t="s">
        <v>414</v>
      </c>
      <c r="AB4" s="1178" t="s">
        <v>415</v>
      </c>
      <c r="AC4" s="1178" t="s">
        <v>416</v>
      </c>
      <c r="AD4" s="1180" t="s">
        <v>417</v>
      </c>
      <c r="AE4" s="1178" t="s">
        <v>498</v>
      </c>
      <c r="AF4" s="1178" t="s">
        <v>499</v>
      </c>
      <c r="AG4" s="1178" t="s">
        <v>500</v>
      </c>
      <c r="AH4" s="1180" t="s">
        <v>501</v>
      </c>
      <c r="AI4" s="1178" t="s">
        <v>804</v>
      </c>
      <c r="AJ4" s="1178" t="s">
        <v>805</v>
      </c>
      <c r="AK4" s="1178" t="s">
        <v>806</v>
      </c>
      <c r="AL4" s="1180" t="s">
        <v>807</v>
      </c>
      <c r="AM4" s="1178" t="s">
        <v>930</v>
      </c>
      <c r="AN4" s="1178" t="s">
        <v>931</v>
      </c>
      <c r="AO4" s="1178" t="s">
        <v>932</v>
      </c>
      <c r="AP4" s="1180" t="s">
        <v>933</v>
      </c>
      <c r="AQ4" s="1178" t="s">
        <v>1353</v>
      </c>
      <c r="AR4" s="1178" t="s">
        <v>1354</v>
      </c>
      <c r="AS4" s="1178" t="s">
        <v>1355</v>
      </c>
      <c r="AT4" s="1180" t="s">
        <v>1356</v>
      </c>
      <c r="AU4" s="1178" t="s">
        <v>1357</v>
      </c>
      <c r="AV4" s="1178" t="s">
        <v>1358</v>
      </c>
      <c r="AW4" s="1178" t="s">
        <v>1359</v>
      </c>
      <c r="AX4" s="1180" t="s">
        <v>1360</v>
      </c>
      <c r="AY4" s="1178" t="s">
        <v>1523</v>
      </c>
      <c r="AZ4" s="1178" t="s">
        <v>1524</v>
      </c>
      <c r="BA4" s="1178" t="s">
        <v>1525</v>
      </c>
      <c r="BB4" s="1180" t="s">
        <v>1526</v>
      </c>
      <c r="BC4" s="1181"/>
      <c r="BD4" s="1182"/>
      <c r="BE4" s="1183">
        <v>2010</v>
      </c>
      <c r="BF4" s="1183">
        <v>2011</v>
      </c>
      <c r="BG4" s="1183">
        <f t="shared" ref="BG4:BM4" si="0">+BF4+1</f>
        <v>2012</v>
      </c>
      <c r="BH4" s="1183">
        <f t="shared" si="0"/>
        <v>2013</v>
      </c>
      <c r="BI4" s="1183">
        <f t="shared" si="0"/>
        <v>2014</v>
      </c>
      <c r="BJ4" s="1183">
        <f t="shared" si="0"/>
        <v>2015</v>
      </c>
      <c r="BK4" s="1183">
        <f t="shared" si="0"/>
        <v>2016</v>
      </c>
      <c r="BL4" s="1183">
        <f t="shared" si="0"/>
        <v>2017</v>
      </c>
      <c r="BM4" s="1183">
        <f t="shared" si="0"/>
        <v>2018</v>
      </c>
      <c r="BN4" s="1183">
        <f t="shared" ref="BN4" si="1">+BM4+1</f>
        <v>2019</v>
      </c>
      <c r="BO4" s="1183">
        <f t="shared" ref="BO4:BP4" si="2">+BN4+1</f>
        <v>2020</v>
      </c>
      <c r="BP4" s="1183">
        <f t="shared" si="2"/>
        <v>2021</v>
      </c>
      <c r="BQ4" s="1635"/>
      <c r="BR4" s="1185"/>
      <c r="BS4" s="1634"/>
      <c r="BU4" s="1186"/>
    </row>
    <row r="5" spans="1:78" ht="12.75" customHeight="1">
      <c r="A5" s="1187"/>
      <c r="B5" s="1619"/>
      <c r="C5" s="1188"/>
      <c r="D5" s="1188"/>
      <c r="E5" s="1189"/>
      <c r="F5" s="1345"/>
      <c r="G5" s="1177"/>
      <c r="H5" s="1178"/>
      <c r="I5" s="1178"/>
      <c r="J5" s="1179"/>
      <c r="K5" s="1177"/>
      <c r="L5" s="1178"/>
      <c r="M5" s="1178"/>
      <c r="N5" s="1179"/>
      <c r="O5" s="1177"/>
      <c r="P5" s="1178"/>
      <c r="Q5" s="1178"/>
      <c r="R5" s="1179"/>
      <c r="S5" s="1177"/>
      <c r="T5" s="1178"/>
      <c r="U5" s="1178"/>
      <c r="V5" s="1179"/>
      <c r="W5" s="1178"/>
      <c r="X5" s="1178"/>
      <c r="Y5" s="1178"/>
      <c r="Z5" s="1180"/>
      <c r="AA5" s="1178"/>
      <c r="AB5" s="1178"/>
      <c r="AC5" s="1178"/>
      <c r="AD5" s="1180"/>
      <c r="AE5" s="1178"/>
      <c r="AF5" s="1178"/>
      <c r="AG5" s="1178"/>
      <c r="AH5" s="1180"/>
      <c r="AI5" s="1178"/>
      <c r="AJ5" s="1178"/>
      <c r="AK5" s="1178"/>
      <c r="AL5" s="1180"/>
      <c r="AM5" s="1178"/>
      <c r="AN5" s="1178"/>
      <c r="AO5" s="1178"/>
      <c r="AP5" s="1180"/>
      <c r="AQ5" s="1178"/>
      <c r="AR5" s="1178"/>
      <c r="AS5" s="1178"/>
      <c r="AT5" s="1180"/>
      <c r="AU5" s="1178"/>
      <c r="AV5" s="1178"/>
      <c r="AW5" s="1178"/>
      <c r="AX5" s="1210"/>
      <c r="AY5" s="1178"/>
      <c r="AZ5" s="1178"/>
      <c r="BA5" s="1178"/>
      <c r="BB5" s="1210"/>
      <c r="BC5" s="1211"/>
      <c r="BD5" s="1182"/>
      <c r="BE5" s="1184"/>
      <c r="BF5" s="1184"/>
      <c r="BG5" s="1184"/>
      <c r="BH5" s="1184"/>
      <c r="BI5" s="1184"/>
      <c r="BJ5" s="1184"/>
      <c r="BK5" s="1184"/>
      <c r="BL5" s="1184"/>
      <c r="BM5" s="1184"/>
      <c r="BN5" s="1184"/>
      <c r="BO5" s="1184"/>
      <c r="BP5" s="1184"/>
      <c r="BQ5" s="1635"/>
      <c r="BR5" s="1185"/>
      <c r="BS5" s="1634"/>
      <c r="BT5" s="1551"/>
      <c r="BU5" s="1186"/>
      <c r="BV5" s="1551"/>
      <c r="BW5" s="1551"/>
      <c r="BX5" s="1551"/>
      <c r="BY5" s="1551"/>
      <c r="BZ5" s="1551"/>
    </row>
    <row r="6" spans="1:78" ht="12.75" customHeight="1">
      <c r="A6" s="1187"/>
      <c r="B6" s="1619"/>
      <c r="C6" s="1190" t="str">
        <f t="shared" ref="C6:AP6" si="3">IF(ISBLANK(C149),"",C149)</f>
        <v>Fuel Prices</v>
      </c>
      <c r="D6" s="1191" t="str">
        <f t="shared" si="3"/>
        <v/>
      </c>
      <c r="E6" s="1192" t="str">
        <f t="shared" si="3"/>
        <v/>
      </c>
      <c r="F6" s="1346" t="str">
        <f t="shared" si="3"/>
        <v/>
      </c>
      <c r="G6" s="1193" t="str">
        <f t="shared" si="3"/>
        <v/>
      </c>
      <c r="H6" s="1632" t="str">
        <f t="shared" si="3"/>
        <v/>
      </c>
      <c r="I6" s="1632" t="str">
        <f t="shared" si="3"/>
        <v/>
      </c>
      <c r="J6" s="1633" t="str">
        <f t="shared" si="3"/>
        <v/>
      </c>
      <c r="K6" s="1193" t="str">
        <f t="shared" si="3"/>
        <v/>
      </c>
      <c r="L6" s="1632" t="str">
        <f t="shared" si="3"/>
        <v/>
      </c>
      <c r="M6" s="1632" t="str">
        <f t="shared" si="3"/>
        <v/>
      </c>
      <c r="N6" s="1633" t="str">
        <f t="shared" si="3"/>
        <v/>
      </c>
      <c r="O6" s="1193" t="str">
        <f t="shared" si="3"/>
        <v/>
      </c>
      <c r="P6" s="1632" t="str">
        <f t="shared" si="3"/>
        <v/>
      </c>
      <c r="Q6" s="1632" t="str">
        <f t="shared" si="3"/>
        <v/>
      </c>
      <c r="R6" s="1633" t="str">
        <f t="shared" si="3"/>
        <v/>
      </c>
      <c r="S6" s="1193" t="str">
        <f t="shared" si="3"/>
        <v/>
      </c>
      <c r="T6" s="1632" t="str">
        <f t="shared" si="3"/>
        <v/>
      </c>
      <c r="U6" s="1632" t="str">
        <f t="shared" si="3"/>
        <v/>
      </c>
      <c r="V6" s="1633" t="str">
        <f t="shared" si="3"/>
        <v/>
      </c>
      <c r="W6" s="1632" t="str">
        <f t="shared" si="3"/>
        <v/>
      </c>
      <c r="X6" s="1632" t="str">
        <f t="shared" si="3"/>
        <v/>
      </c>
      <c r="Y6" s="1632" t="str">
        <f t="shared" si="3"/>
        <v/>
      </c>
      <c r="Z6" s="1194" t="str">
        <f t="shared" si="3"/>
        <v/>
      </c>
      <c r="AA6" s="1195" t="str">
        <f t="shared" si="3"/>
        <v/>
      </c>
      <c r="AB6" s="1195" t="str">
        <f t="shared" si="3"/>
        <v/>
      </c>
      <c r="AC6" s="1195" t="str">
        <f t="shared" si="3"/>
        <v/>
      </c>
      <c r="AD6" s="1194" t="str">
        <f t="shared" si="3"/>
        <v/>
      </c>
      <c r="AE6" s="1195" t="str">
        <f t="shared" si="3"/>
        <v/>
      </c>
      <c r="AF6" s="1195" t="str">
        <f t="shared" si="3"/>
        <v/>
      </c>
      <c r="AG6" s="1195" t="str">
        <f t="shared" si="3"/>
        <v/>
      </c>
      <c r="AH6" s="1194" t="str">
        <f t="shared" si="3"/>
        <v/>
      </c>
      <c r="AI6" s="1195" t="str">
        <f t="shared" si="3"/>
        <v/>
      </c>
      <c r="AJ6" s="1195" t="str">
        <f t="shared" si="3"/>
        <v/>
      </c>
      <c r="AK6" s="1195" t="str">
        <f t="shared" si="3"/>
        <v/>
      </c>
      <c r="AL6" s="1194" t="str">
        <f t="shared" si="3"/>
        <v/>
      </c>
      <c r="AM6" s="1195" t="str">
        <f t="shared" si="3"/>
        <v/>
      </c>
      <c r="AN6" s="1195" t="str">
        <f t="shared" si="3"/>
        <v/>
      </c>
      <c r="AO6" s="1195" t="str">
        <f t="shared" si="3"/>
        <v/>
      </c>
      <c r="AP6" s="1194" t="str">
        <f t="shared" si="3"/>
        <v/>
      </c>
      <c r="AQ6" s="1195"/>
      <c r="AR6" s="1195"/>
      <c r="AS6" s="1195"/>
      <c r="AT6" s="1201"/>
      <c r="AU6" s="1203"/>
      <c r="AV6" s="1195"/>
      <c r="AW6" s="1195"/>
      <c r="AX6" s="1210"/>
      <c r="AY6" s="1203"/>
      <c r="AZ6" s="1195"/>
      <c r="BA6" s="1195"/>
      <c r="BB6" s="1210"/>
      <c r="BC6" s="1211"/>
      <c r="BD6" s="1615"/>
      <c r="BE6" s="1615"/>
      <c r="BF6" s="1615"/>
      <c r="BG6" s="1615"/>
      <c r="BH6" s="1615"/>
      <c r="BI6" s="1615"/>
      <c r="BJ6" s="1615"/>
      <c r="BK6" s="1615"/>
      <c r="BL6" s="1615"/>
      <c r="BM6" s="1615"/>
      <c r="BN6" s="1615"/>
      <c r="BO6" s="1615"/>
      <c r="BP6" s="1615"/>
      <c r="BQ6" s="1197"/>
      <c r="BR6" s="1198"/>
      <c r="BS6" s="1199"/>
      <c r="BU6" s="1186"/>
      <c r="BV6" s="1395" t="s">
        <v>937</v>
      </c>
    </row>
    <row r="7" spans="1:78" ht="12.75" customHeight="1">
      <c r="A7" s="1187"/>
      <c r="B7" s="1619"/>
      <c r="C7" s="1200" t="str">
        <f t="shared" ref="C7:E13" si="4">IF(ISBLANK(C150),"",C150)</f>
        <v/>
      </c>
      <c r="D7" s="1621" t="str">
        <f t="shared" si="4"/>
        <v/>
      </c>
      <c r="E7" s="1621" t="str">
        <f t="shared" si="4"/>
        <v/>
      </c>
      <c r="F7" s="1347"/>
      <c r="G7" s="1613" t="str">
        <f t="shared" ref="G7:AP7" si="5">IF(ISBLANK(G150),"",G150)</f>
        <v/>
      </c>
      <c r="H7" s="1612" t="str">
        <f t="shared" si="5"/>
        <v/>
      </c>
      <c r="I7" s="1612" t="str">
        <f t="shared" si="5"/>
        <v/>
      </c>
      <c r="J7" s="1614" t="str">
        <f t="shared" si="5"/>
        <v/>
      </c>
      <c r="K7" s="1613" t="str">
        <f t="shared" si="5"/>
        <v/>
      </c>
      <c r="L7" s="1612" t="str">
        <f t="shared" si="5"/>
        <v/>
      </c>
      <c r="M7" s="1612" t="str">
        <f t="shared" si="5"/>
        <v/>
      </c>
      <c r="N7" s="1614" t="str">
        <f t="shared" si="5"/>
        <v/>
      </c>
      <c r="O7" s="1613" t="str">
        <f t="shared" si="5"/>
        <v/>
      </c>
      <c r="P7" s="1612" t="str">
        <f t="shared" si="5"/>
        <v/>
      </c>
      <c r="Q7" s="1612" t="str">
        <f t="shared" si="5"/>
        <v/>
      </c>
      <c r="R7" s="1201" t="str">
        <f t="shared" si="5"/>
        <v/>
      </c>
      <c r="S7" s="1202" t="str">
        <f t="shared" si="5"/>
        <v/>
      </c>
      <c r="T7" s="1203" t="str">
        <f t="shared" si="5"/>
        <v/>
      </c>
      <c r="U7" s="1203" t="str">
        <f t="shared" si="5"/>
        <v/>
      </c>
      <c r="V7" s="1201" t="str">
        <f t="shared" si="5"/>
        <v/>
      </c>
      <c r="W7" s="1203" t="str">
        <f t="shared" si="5"/>
        <v/>
      </c>
      <c r="X7" s="1203" t="str">
        <f t="shared" si="5"/>
        <v/>
      </c>
      <c r="Y7" s="1203" t="str">
        <f t="shared" si="5"/>
        <v/>
      </c>
      <c r="Z7" s="1201" t="str">
        <f t="shared" si="5"/>
        <v/>
      </c>
      <c r="AA7" s="1203" t="str">
        <f t="shared" si="5"/>
        <v/>
      </c>
      <c r="AB7" s="1203" t="str">
        <f t="shared" si="5"/>
        <v/>
      </c>
      <c r="AC7" s="1203" t="str">
        <f t="shared" si="5"/>
        <v/>
      </c>
      <c r="AD7" s="1201" t="str">
        <f t="shared" si="5"/>
        <v/>
      </c>
      <c r="AE7" s="1203" t="str">
        <f t="shared" si="5"/>
        <v/>
      </c>
      <c r="AF7" s="1203" t="str">
        <f t="shared" si="5"/>
        <v/>
      </c>
      <c r="AG7" s="1203" t="str">
        <f t="shared" si="5"/>
        <v/>
      </c>
      <c r="AH7" s="1201" t="str">
        <f t="shared" si="5"/>
        <v/>
      </c>
      <c r="AI7" s="1203" t="str">
        <f t="shared" si="5"/>
        <v/>
      </c>
      <c r="AJ7" s="1203" t="str">
        <f t="shared" si="5"/>
        <v/>
      </c>
      <c r="AK7" s="1203" t="str">
        <f t="shared" si="5"/>
        <v/>
      </c>
      <c r="AL7" s="1201" t="str">
        <f t="shared" si="5"/>
        <v/>
      </c>
      <c r="AM7" s="1203" t="str">
        <f t="shared" si="5"/>
        <v/>
      </c>
      <c r="AN7" s="1203" t="str">
        <f t="shared" si="5"/>
        <v/>
      </c>
      <c r="AO7" s="1203" t="str">
        <f t="shared" si="5"/>
        <v/>
      </c>
      <c r="AP7" s="1201" t="str">
        <f t="shared" si="5"/>
        <v/>
      </c>
      <c r="AQ7" s="1203"/>
      <c r="AR7" s="1203"/>
      <c r="AS7" s="1203"/>
      <c r="AT7" s="1201"/>
      <c r="AU7" s="1203"/>
      <c r="AV7" s="1203"/>
      <c r="AW7" s="1203"/>
      <c r="AX7" s="1210"/>
      <c r="AY7" s="1203"/>
      <c r="AZ7" s="1203"/>
      <c r="BA7" s="1203"/>
      <c r="BB7" s="1210"/>
      <c r="BC7" s="1211"/>
      <c r="BD7" s="1204"/>
      <c r="BE7" s="1204"/>
      <c r="BF7" s="1204"/>
      <c r="BG7" s="1204"/>
      <c r="BH7" s="1204"/>
      <c r="BI7" s="1204"/>
      <c r="BJ7" s="1304"/>
      <c r="BK7" s="1204"/>
      <c r="BL7" s="1204"/>
      <c r="BM7" s="1204"/>
      <c r="BN7" s="1204"/>
      <c r="BO7" s="1204"/>
      <c r="BP7" s="1204"/>
      <c r="BQ7" s="1205"/>
      <c r="BR7" s="1206"/>
      <c r="BU7" s="1186"/>
      <c r="BV7" s="2060" t="s">
        <v>1527</v>
      </c>
      <c r="BW7" s="1401">
        <f>BP8</f>
        <v>2.8552499999999994</v>
      </c>
    </row>
    <row r="8" spans="1:78" ht="12.75" customHeight="1">
      <c r="A8" s="1187"/>
      <c r="B8" s="1619"/>
      <c r="C8" s="1200" t="str">
        <f t="shared" si="4"/>
        <v>NYMEX Natural Gas - HH</v>
      </c>
      <c r="D8" s="1621" t="str">
        <f t="shared" si="4"/>
        <v/>
      </c>
      <c r="E8" s="1621" t="str">
        <f t="shared" si="4"/>
        <v/>
      </c>
      <c r="F8" s="1207"/>
      <c r="G8" s="1562">
        <f t="shared" ref="G8:AP8" si="6">IF(ISBLANK(G151),"",G151)</f>
        <v>4.8801458333333327</v>
      </c>
      <c r="H8" s="1560">
        <f t="shared" si="6"/>
        <v>4.3247460317460309</v>
      </c>
      <c r="I8" s="1560">
        <f t="shared" si="6"/>
        <v>4.2905156250000003</v>
      </c>
      <c r="J8" s="1561">
        <f t="shared" si="6"/>
        <v>3.8051846153846145</v>
      </c>
      <c r="K8" s="1562">
        <f t="shared" si="6"/>
        <v>4.1753749999999998</v>
      </c>
      <c r="L8" s="1560">
        <f t="shared" si="6"/>
        <v>4.3679218749999995</v>
      </c>
      <c r="M8" s="1560">
        <f t="shared" si="6"/>
        <v>4.1250937499999987</v>
      </c>
      <c r="N8" s="1561">
        <f t="shared" si="6"/>
        <v>3.3347142857142864</v>
      </c>
      <c r="O8" s="1562">
        <f t="shared" si="6"/>
        <v>2.4596984126984123</v>
      </c>
      <c r="P8" s="1560">
        <f t="shared" si="6"/>
        <v>2.2776984126984123</v>
      </c>
      <c r="Q8" s="1560">
        <f t="shared" si="6"/>
        <v>2.8780317460317462</v>
      </c>
      <c r="R8" s="1560">
        <f t="shared" si="6"/>
        <v>3.3929375000000004</v>
      </c>
      <c r="S8" s="1208">
        <f t="shared" si="6"/>
        <v>3.4791000000000003</v>
      </c>
      <c r="T8" s="1209">
        <f t="shared" si="6"/>
        <v>4.0243281250000011</v>
      </c>
      <c r="U8" s="1209">
        <f t="shared" si="6"/>
        <v>3.5578281250000003</v>
      </c>
      <c r="V8" s="1210">
        <f t="shared" si="6"/>
        <v>3.8364218749999996</v>
      </c>
      <c r="W8" s="1209">
        <f t="shared" si="6"/>
        <v>5.1762950819672131</v>
      </c>
      <c r="X8" s="1209">
        <f t="shared" si="6"/>
        <v>4.6069687499999992</v>
      </c>
      <c r="Y8" s="1209">
        <f t="shared" si="6"/>
        <v>3.9690625000000006</v>
      </c>
      <c r="Z8" s="1210">
        <f t="shared" si="6"/>
        <v>3.7758906249999988</v>
      </c>
      <c r="AA8" s="1209">
        <f t="shared" si="6"/>
        <v>2.8932580645161292</v>
      </c>
      <c r="AB8" s="1209">
        <f t="shared" si="6"/>
        <v>2.7407301587301576</v>
      </c>
      <c r="AC8" s="1209">
        <f t="shared" si="6"/>
        <v>2.7644218749999996</v>
      </c>
      <c r="AD8" s="1210">
        <f t="shared" si="6"/>
        <v>2.1331111111111114</v>
      </c>
      <c r="AE8" s="1209">
        <f t="shared" si="6"/>
        <v>1.9876885245901643</v>
      </c>
      <c r="AF8" s="1209">
        <f t="shared" si="6"/>
        <v>2.135984375</v>
      </c>
      <c r="AG8" s="1209">
        <f t="shared" si="6"/>
        <v>2.8751562499999994</v>
      </c>
      <c r="AH8" s="1210">
        <f t="shared" si="6"/>
        <v>3.0312419354838709</v>
      </c>
      <c r="AI8" s="1209">
        <f t="shared" si="6"/>
        <v>3.0098387096774188</v>
      </c>
      <c r="AJ8" s="1209">
        <f t="shared" si="6"/>
        <v>3.076171875</v>
      </c>
      <c r="AK8" s="1209">
        <f t="shared" si="6"/>
        <v>2.9540158730158725</v>
      </c>
      <c r="AL8" s="1210">
        <f t="shared" si="6"/>
        <v>2.8899677419354837</v>
      </c>
      <c r="AM8" s="1209">
        <f t="shared" si="6"/>
        <v>3.1108032786885249</v>
      </c>
      <c r="AN8" s="1209">
        <f t="shared" si="6"/>
        <v>2.6796666666666664</v>
      </c>
      <c r="AO8" s="1209">
        <f t="shared" si="6"/>
        <v>2.8149999999999999</v>
      </c>
      <c r="AP8" s="1210">
        <f t="shared" si="6"/>
        <v>2.9016666666666668</v>
      </c>
      <c r="AQ8" s="1209">
        <f t="shared" ref="AQ8:AT8" si="7">IF(ISBLANK(AQ151),"",AQ151)</f>
        <v>2.9026943643004919</v>
      </c>
      <c r="AR8" s="1209">
        <f t="shared" si="7"/>
        <v>2.5441789597993276</v>
      </c>
      <c r="AS8" s="1209">
        <f t="shared" si="7"/>
        <v>2.5777897789713125</v>
      </c>
      <c r="AT8" s="1210">
        <f t="shared" si="7"/>
        <v>3.0133368969288674</v>
      </c>
      <c r="AU8" s="1209">
        <f t="shared" ref="AU8:AX8" si="8">IF(ISBLANK(AU151),"",AU151)</f>
        <v>2.9460848852381236</v>
      </c>
      <c r="AV8" s="1209">
        <f t="shared" si="8"/>
        <v>2.5822102633295767</v>
      </c>
      <c r="AW8" s="1209">
        <f t="shared" si="8"/>
        <v>2.6163235091335033</v>
      </c>
      <c r="AX8" s="1210">
        <f t="shared" si="8"/>
        <v>3.0583813422987949</v>
      </c>
      <c r="AY8" s="1209">
        <f t="shared" ref="AY8:BB8" si="9">IF(ISBLANK(AY151),"",AY151)</f>
        <v>3.0034129674466312</v>
      </c>
      <c r="AZ8" s="1209">
        <f t="shared" si="9"/>
        <v>2.632457682539239</v>
      </c>
      <c r="BA8" s="1209">
        <f t="shared" si="9"/>
        <v>2.6672347404993073</v>
      </c>
      <c r="BB8" s="1210">
        <f t="shared" si="9"/>
        <v>3.117894609514821</v>
      </c>
      <c r="BC8" s="1211"/>
      <c r="BD8" s="1211"/>
      <c r="BE8" s="1267">
        <f>AVERAGE(G8:J8)</f>
        <v>4.3251480263659952</v>
      </c>
      <c r="BF8" s="1267">
        <f>AVERAGE(K8:N8)</f>
        <v>4.0007762276785712</v>
      </c>
      <c r="BG8" s="1267">
        <f>AVERAGE(O8:R8)</f>
        <v>2.752091517857143</v>
      </c>
      <c r="BH8" s="1267">
        <f>AVERAGE(S8:V8)</f>
        <v>3.7244195312500001</v>
      </c>
      <c r="BI8" s="1267">
        <f>AVERAGE(W8:Z8)</f>
        <v>4.3820542392418025</v>
      </c>
      <c r="BJ8" s="1267">
        <f>AVERAGE(AA8:AD8)</f>
        <v>2.6328803023393492</v>
      </c>
      <c r="BK8" s="1267">
        <f>AVERAGE(AE8:AH8)</f>
        <v>2.5075177712685086</v>
      </c>
      <c r="BL8" s="1267">
        <f>AVERAGE(AI8:AL8)</f>
        <v>2.9824985499071941</v>
      </c>
      <c r="BM8" s="1267">
        <f>AVERAGE(AM8:AP8)</f>
        <v>2.8767841530054645</v>
      </c>
      <c r="BN8" s="1267">
        <f>AVERAGE(AQ8:AT8)</f>
        <v>2.7594999999999996</v>
      </c>
      <c r="BO8" s="1267">
        <f>AVERAGE(AU8:AX8)</f>
        <v>2.8007499999999994</v>
      </c>
      <c r="BP8" s="1267">
        <f>AVERAGE(AY8:BB8)</f>
        <v>2.8552499999999994</v>
      </c>
      <c r="BQ8" s="1205"/>
      <c r="BR8" s="1206"/>
      <c r="BU8" s="1186"/>
      <c r="BV8" s="1403" t="s">
        <v>96</v>
      </c>
      <c r="BW8" s="1404">
        <f>Valuation!$BY$31</f>
        <v>2.75</v>
      </c>
    </row>
    <row r="9" spans="1:78" ht="12.75" customHeight="1">
      <c r="A9" s="1187"/>
      <c r="B9" s="1619"/>
      <c r="C9" s="1621" t="str">
        <f t="shared" si="4"/>
        <v>CAPP Coal</v>
      </c>
      <c r="D9" s="1621" t="str">
        <f t="shared" si="4"/>
        <v/>
      </c>
      <c r="E9" s="1621" t="str">
        <f t="shared" si="4"/>
        <v/>
      </c>
      <c r="F9" s="1207"/>
      <c r="G9" s="1562">
        <f t="shared" ref="G9:AP9" si="10">IF(ISBLANK(G152),"",G152)</f>
        <v>57.876923076923077</v>
      </c>
      <c r="H9" s="1560">
        <f t="shared" si="10"/>
        <v>62.742307692307698</v>
      </c>
      <c r="I9" s="1560">
        <f t="shared" si="10"/>
        <v>67.830769230769235</v>
      </c>
      <c r="J9" s="1561">
        <f t="shared" si="10"/>
        <v>70.910714285714263</v>
      </c>
      <c r="K9" s="1562">
        <f t="shared" si="10"/>
        <v>77.237500000000026</v>
      </c>
      <c r="L9" s="1560">
        <f t="shared" si="10"/>
        <v>78.430769230769243</v>
      </c>
      <c r="M9" s="1560">
        <f t="shared" si="10"/>
        <v>80.007142857142853</v>
      </c>
      <c r="N9" s="1561">
        <f t="shared" si="10"/>
        <v>78.934615384615398</v>
      </c>
      <c r="O9" s="1562">
        <f t="shared" si="10"/>
        <v>70.069230769230771</v>
      </c>
      <c r="P9" s="1560">
        <f t="shared" si="10"/>
        <v>59.92307692307692</v>
      </c>
      <c r="Q9" s="1560">
        <f t="shared" si="10"/>
        <v>61.334615384615397</v>
      </c>
      <c r="R9" s="1560">
        <f t="shared" si="10"/>
        <v>66.634615384615373</v>
      </c>
      <c r="S9" s="1208">
        <f t="shared" si="10"/>
        <v>66.511538461538478</v>
      </c>
      <c r="T9" s="1209">
        <f t="shared" si="10"/>
        <v>66.914615384615374</v>
      </c>
      <c r="U9" s="1209">
        <f t="shared" si="10"/>
        <v>64.0053846153846</v>
      </c>
      <c r="V9" s="1210">
        <f t="shared" si="10"/>
        <v>62.446153846153841</v>
      </c>
      <c r="W9" s="1209">
        <f t="shared" si="10"/>
        <v>63.813846153846164</v>
      </c>
      <c r="X9" s="1209">
        <f t="shared" si="10"/>
        <v>60.582307692307708</v>
      </c>
      <c r="Y9" s="1209">
        <f t="shared" si="10"/>
        <v>57.336923076923085</v>
      </c>
      <c r="Z9" s="1210">
        <f t="shared" si="10"/>
        <v>56.106923076923081</v>
      </c>
      <c r="AA9" s="1209">
        <f t="shared" si="10"/>
        <v>53.513846153846139</v>
      </c>
      <c r="AB9" s="1209">
        <f t="shared" si="10"/>
        <v>52.858461538461547</v>
      </c>
      <c r="AC9" s="1209">
        <f t="shared" si="10"/>
        <v>50.784615384615385</v>
      </c>
      <c r="AD9" s="1210">
        <f t="shared" si="10"/>
        <v>46.303846153846159</v>
      </c>
      <c r="AE9" s="1209">
        <f t="shared" si="10"/>
        <v>42.380769230769232</v>
      </c>
      <c r="AF9" s="1209">
        <f t="shared" si="10"/>
        <v>41.192307692307693</v>
      </c>
      <c r="AG9" s="1209">
        <f t="shared" si="10"/>
        <v>40.928571428571438</v>
      </c>
      <c r="AH9" s="1210">
        <f t="shared" si="10"/>
        <v>44.896153846153844</v>
      </c>
      <c r="AI9" s="1209">
        <f t="shared" si="10"/>
        <v>50.057692307692314</v>
      </c>
      <c r="AJ9" s="1209">
        <f t="shared" si="10"/>
        <v>52.46153846153846</v>
      </c>
      <c r="AK9" s="1209">
        <f t="shared" si="10"/>
        <v>52.98846153846155</v>
      </c>
      <c r="AL9" s="1210">
        <f t="shared" si="10"/>
        <v>58.261538461538478</v>
      </c>
      <c r="AM9" s="1209">
        <f t="shared" si="10"/>
        <v>60.850000000000009</v>
      </c>
      <c r="AN9" s="1209">
        <f t="shared" si="10"/>
        <v>49</v>
      </c>
      <c r="AO9" s="1209">
        <f t="shared" si="10"/>
        <v>49</v>
      </c>
      <c r="AP9" s="1210">
        <f t="shared" si="10"/>
        <v>49</v>
      </c>
      <c r="AQ9" s="1209">
        <f t="shared" ref="AQ9:AT9" si="11">IF(ISBLANK(AQ152),"",AQ152)</f>
        <v>48.154286333412259</v>
      </c>
      <c r="AR9" s="1209">
        <f t="shared" si="11"/>
        <v>48.154286333412259</v>
      </c>
      <c r="AS9" s="1209">
        <f t="shared" si="11"/>
        <v>48.154286333412259</v>
      </c>
      <c r="AT9" s="1210">
        <f t="shared" si="11"/>
        <v>55.537140999763238</v>
      </c>
      <c r="AU9" s="1209">
        <f t="shared" ref="AU9:AX9" si="12">IF(ISBLANK(AU152),"",AU152)</f>
        <v>48.154286333412259</v>
      </c>
      <c r="AV9" s="1209">
        <f t="shared" si="12"/>
        <v>48.154286333412259</v>
      </c>
      <c r="AW9" s="1209">
        <f t="shared" si="12"/>
        <v>48.154286333412259</v>
      </c>
      <c r="AX9" s="1210">
        <f t="shared" si="12"/>
        <v>55.537140999763238</v>
      </c>
      <c r="AY9" s="1209">
        <f t="shared" ref="AY9:BB9" si="13">IF(ISBLANK(AY152),"",AY152)</f>
        <v>48.154286333412259</v>
      </c>
      <c r="AZ9" s="1209">
        <f t="shared" si="13"/>
        <v>48.154286333412259</v>
      </c>
      <c r="BA9" s="1209">
        <f t="shared" si="13"/>
        <v>48.154286333412259</v>
      </c>
      <c r="BB9" s="1210">
        <f t="shared" si="13"/>
        <v>55.537140999763238</v>
      </c>
      <c r="BC9" s="1611"/>
      <c r="BD9" s="1211"/>
      <c r="BE9" s="1267">
        <f>AVERAGE(G9:J9)</f>
        <v>64.840178571428567</v>
      </c>
      <c r="BF9" s="1267">
        <f>AVERAGE(K9:N9)</f>
        <v>78.652506868131894</v>
      </c>
      <c r="BG9" s="1267">
        <f>AVERAGE(O9:R9)</f>
        <v>64.490384615384613</v>
      </c>
      <c r="BH9" s="1267">
        <f>AVERAGE(S9:V9)</f>
        <v>64.969423076923078</v>
      </c>
      <c r="BI9" s="1267">
        <f>AVERAGE(W9:Z9)</f>
        <v>59.460000000000008</v>
      </c>
      <c r="BJ9" s="1267">
        <f>AVERAGE(AA9:AD9)</f>
        <v>50.865192307692311</v>
      </c>
      <c r="BK9" s="1267">
        <f>AVERAGE(AE9:AH9)</f>
        <v>42.349450549450552</v>
      </c>
      <c r="BL9" s="1267">
        <f>AVERAGE(AI9:AL9)</f>
        <v>53.442307692307693</v>
      </c>
      <c r="BM9" s="1267">
        <f>AVERAGE(AM9:AP9)</f>
        <v>51.962500000000006</v>
      </c>
      <c r="BN9" s="1267">
        <f t="shared" ref="BN9:BN12" si="14">AVERAGE(AQ9:AT9)</f>
        <v>50.000000000000007</v>
      </c>
      <c r="BO9" s="1267">
        <f t="shared" ref="BO9:BO12" si="15">AVERAGE(AU9:AX9)</f>
        <v>50.000000000000007</v>
      </c>
      <c r="BP9" s="1267">
        <f>AVERAGE(AY9:BB9)</f>
        <v>50.000000000000007</v>
      </c>
      <c r="BQ9" s="1205"/>
      <c r="BR9" s="1206"/>
      <c r="BU9" s="1186"/>
      <c r="BV9" s="1212" t="s">
        <v>541</v>
      </c>
      <c r="BW9" s="1402">
        <f>(BW8-'Market Prices'!BW7)*75%+'Market Prices'!BW7</f>
        <v>2.7763125</v>
      </c>
      <c r="BX9" s="1631"/>
    </row>
    <row r="10" spans="1:78" ht="12.75" customHeight="1">
      <c r="A10" s="1187"/>
      <c r="B10" s="1619"/>
      <c r="C10" s="1621" t="str">
        <f t="shared" si="4"/>
        <v>PRB Coal</v>
      </c>
      <c r="D10" s="1621" t="str">
        <f t="shared" si="4"/>
        <v/>
      </c>
      <c r="E10" s="1621" t="str">
        <f t="shared" si="4"/>
        <v/>
      </c>
      <c r="F10" s="1207"/>
      <c r="G10" s="1562">
        <f t="shared" ref="G10:AP10" si="16">IF(ISBLANK(G153),"",G153)</f>
        <v>10.753846153846155</v>
      </c>
      <c r="H10" s="1560">
        <f t="shared" si="16"/>
        <v>12.153846153846153</v>
      </c>
      <c r="I10" s="1560">
        <f t="shared" si="16"/>
        <v>14.249999999999998</v>
      </c>
      <c r="J10" s="1561">
        <f t="shared" si="16"/>
        <v>13.750000000000002</v>
      </c>
      <c r="K10" s="1562">
        <f t="shared" si="16"/>
        <v>13.887499999999998</v>
      </c>
      <c r="L10" s="1560">
        <f t="shared" si="16"/>
        <v>12.738461538461538</v>
      </c>
      <c r="M10" s="1560">
        <f t="shared" si="16"/>
        <v>14.228571428571428</v>
      </c>
      <c r="N10" s="1561">
        <f t="shared" si="16"/>
        <v>13.626923076923076</v>
      </c>
      <c r="O10" s="1562">
        <f t="shared" si="16"/>
        <v>9.8423076923076955</v>
      </c>
      <c r="P10" s="1560">
        <f t="shared" si="16"/>
        <v>9.1000000000000014</v>
      </c>
      <c r="Q10" s="1560">
        <f t="shared" si="16"/>
        <v>8.8346153846153861</v>
      </c>
      <c r="R10" s="1560">
        <f t="shared" si="16"/>
        <v>10.123076923076923</v>
      </c>
      <c r="S10" s="1208">
        <f t="shared" si="16"/>
        <v>10.238461538461538</v>
      </c>
      <c r="T10" s="1209">
        <f t="shared" si="16"/>
        <v>10.513846153846153</v>
      </c>
      <c r="U10" s="1209">
        <f t="shared" si="16"/>
        <v>10.403846153846152</v>
      </c>
      <c r="V10" s="1210">
        <f t="shared" si="16"/>
        <v>10.982307692307691</v>
      </c>
      <c r="W10" s="1209">
        <f t="shared" si="16"/>
        <v>12.356153846153846</v>
      </c>
      <c r="X10" s="1209">
        <f t="shared" si="16"/>
        <v>12.986153846153845</v>
      </c>
      <c r="Y10" s="1209">
        <f t="shared" si="16"/>
        <v>11.965384615384615</v>
      </c>
      <c r="Z10" s="1210">
        <f t="shared" si="16"/>
        <v>11.526923076923076</v>
      </c>
      <c r="AA10" s="1209">
        <f t="shared" si="16"/>
        <v>11.592307692307692</v>
      </c>
      <c r="AB10" s="1209">
        <f t="shared" si="16"/>
        <v>11.55</v>
      </c>
      <c r="AC10" s="1209">
        <f t="shared" si="16"/>
        <v>11.592307692307692</v>
      </c>
      <c r="AD10" s="1210">
        <f t="shared" si="16"/>
        <v>11.342307692307694</v>
      </c>
      <c r="AE10" s="1209">
        <f t="shared" si="16"/>
        <v>9.7807692307692307</v>
      </c>
      <c r="AF10" s="1209">
        <f t="shared" si="16"/>
        <v>9.1807692307692292</v>
      </c>
      <c r="AG10" s="1209">
        <f t="shared" si="16"/>
        <v>8.6428571428571441</v>
      </c>
      <c r="AH10" s="1210">
        <f t="shared" si="16"/>
        <v>9.3461538461538467</v>
      </c>
      <c r="AI10" s="1209">
        <f t="shared" si="16"/>
        <v>11.473076923076921</v>
      </c>
      <c r="AJ10" s="1209">
        <f t="shared" si="16"/>
        <v>11.597692307692309</v>
      </c>
      <c r="AK10" s="1209">
        <f t="shared" si="16"/>
        <v>11.516153846153847</v>
      </c>
      <c r="AL10" s="1210">
        <f t="shared" si="16"/>
        <v>11.923076923076922</v>
      </c>
      <c r="AM10" s="1209">
        <f t="shared" si="16"/>
        <v>12.296153846153848</v>
      </c>
      <c r="AN10" s="1209">
        <f t="shared" si="16"/>
        <v>11</v>
      </c>
      <c r="AO10" s="1209">
        <f t="shared" si="16"/>
        <v>11.35</v>
      </c>
      <c r="AP10" s="1210">
        <f t="shared" si="16"/>
        <v>11.65</v>
      </c>
      <c r="AQ10" s="1209">
        <f t="shared" ref="AQ10:AT10" si="17">IF(ISBLANK(AQ153),"",AQ153)</f>
        <v>11.728652443964354</v>
      </c>
      <c r="AR10" s="1209">
        <f t="shared" si="17"/>
        <v>11.728652443964354</v>
      </c>
      <c r="AS10" s="1209">
        <f t="shared" si="17"/>
        <v>11.728652443964354</v>
      </c>
      <c r="AT10" s="1210">
        <f t="shared" si="17"/>
        <v>11.414042668106942</v>
      </c>
      <c r="AU10" s="1209">
        <f t="shared" ref="AU10:AX10" si="18">IF(ISBLANK(AU153),"",AU153)</f>
        <v>11.728652443964354</v>
      </c>
      <c r="AV10" s="1209">
        <f t="shared" si="18"/>
        <v>11.728652443964354</v>
      </c>
      <c r="AW10" s="1209">
        <f t="shared" si="18"/>
        <v>11.728652443964354</v>
      </c>
      <c r="AX10" s="1210">
        <f t="shared" si="18"/>
        <v>11.414042668106942</v>
      </c>
      <c r="AY10" s="1209">
        <f t="shared" ref="AY10:BB10" si="19">IF(ISBLANK(AY153),"",AY153)</f>
        <v>11.728652443964354</v>
      </c>
      <c r="AZ10" s="1209">
        <f t="shared" si="19"/>
        <v>11.728652443964354</v>
      </c>
      <c r="BA10" s="1209">
        <f t="shared" si="19"/>
        <v>11.728652443964354</v>
      </c>
      <c r="BB10" s="1210">
        <f t="shared" si="19"/>
        <v>11.414042668106942</v>
      </c>
      <c r="BC10" s="1611"/>
      <c r="BD10" s="1211"/>
      <c r="BE10" s="1267">
        <f>AVERAGE(G10:J10)</f>
        <v>12.726923076923077</v>
      </c>
      <c r="BF10" s="1267">
        <f>AVERAGE(K10:N10)</f>
        <v>13.620364010989011</v>
      </c>
      <c r="BG10" s="1267">
        <f>AVERAGE(O10:R10)</f>
        <v>9.4750000000000014</v>
      </c>
      <c r="BH10" s="1267">
        <f>AVERAGE(S10:V10)</f>
        <v>10.534615384615384</v>
      </c>
      <c r="BI10" s="1267">
        <f>AVERAGE(W10:Z10)</f>
        <v>12.208653846153846</v>
      </c>
      <c r="BJ10" s="1267">
        <f>AVERAGE(AA10:AD10)</f>
        <v>11.519230769230768</v>
      </c>
      <c r="BK10" s="1267">
        <f>AVERAGE(AE10:AH10)</f>
        <v>9.2376373626373631</v>
      </c>
      <c r="BL10" s="1267">
        <f>AVERAGE(AI10:AL10)</f>
        <v>11.6275</v>
      </c>
      <c r="BM10" s="1267">
        <f>AVERAGE(AM10:AP10)</f>
        <v>11.574038461538462</v>
      </c>
      <c r="BN10" s="1267">
        <f t="shared" si="14"/>
        <v>11.650000000000002</v>
      </c>
      <c r="BO10" s="1267">
        <f t="shared" si="15"/>
        <v>11.650000000000002</v>
      </c>
      <c r="BP10" s="1267">
        <f>AVERAGE(AY10:BB10)</f>
        <v>11.650000000000002</v>
      </c>
      <c r="BQ10" s="1205"/>
      <c r="BR10" s="1206"/>
      <c r="BU10" s="1186"/>
      <c r="BV10" s="1551"/>
      <c r="BW10" s="1551"/>
      <c r="BX10" s="1551"/>
    </row>
    <row r="11" spans="1:78" ht="12.75" customHeight="1">
      <c r="A11" s="1187"/>
      <c r="B11" s="1619"/>
      <c r="C11" s="1621" t="str">
        <f t="shared" si="4"/>
        <v>NAPP</v>
      </c>
      <c r="D11" s="1621" t="str">
        <f t="shared" si="4"/>
        <v/>
      </c>
      <c r="E11" s="1621" t="str">
        <f t="shared" si="4"/>
        <v/>
      </c>
      <c r="F11" s="1207"/>
      <c r="G11" s="1562">
        <f t="shared" ref="G11:AP11" si="20">IF(ISBLANK(G154),"",G154)</f>
        <v>57.360769230769236</v>
      </c>
      <c r="H11" s="1560">
        <f t="shared" si="20"/>
        <v>61.346153846153847</v>
      </c>
      <c r="I11" s="1560">
        <f t="shared" si="20"/>
        <v>65.019230769230774</v>
      </c>
      <c r="J11" s="1561">
        <f t="shared" si="20"/>
        <v>69.714285714285708</v>
      </c>
      <c r="K11" s="1562">
        <f t="shared" si="20"/>
        <v>73.291666666666657</v>
      </c>
      <c r="L11" s="1560">
        <f t="shared" si="20"/>
        <v>77.380769230769218</v>
      </c>
      <c r="M11" s="1560">
        <f t="shared" si="20"/>
        <v>77.203571428571422</v>
      </c>
      <c r="N11" s="1561">
        <f t="shared" si="20"/>
        <v>76.461538461538453</v>
      </c>
      <c r="O11" s="1562">
        <f t="shared" si="20"/>
        <v>70.211538461538439</v>
      </c>
      <c r="P11" s="1560">
        <f t="shared" si="20"/>
        <v>64.988461538461522</v>
      </c>
      <c r="Q11" s="1560">
        <f t="shared" si="20"/>
        <v>64.992307692307705</v>
      </c>
      <c r="R11" s="1560">
        <f t="shared" si="20"/>
        <v>64.276923076923083</v>
      </c>
      <c r="S11" s="1208">
        <f t="shared" si="20"/>
        <v>62.246153846153859</v>
      </c>
      <c r="T11" s="1209">
        <f t="shared" si="20"/>
        <v>64.961538461538467</v>
      </c>
      <c r="U11" s="1209">
        <f t="shared" si="20"/>
        <v>68.230769230769226</v>
      </c>
      <c r="V11" s="1210">
        <f t="shared" si="20"/>
        <v>68.615384615384613</v>
      </c>
      <c r="W11" s="1209">
        <f t="shared" si="20"/>
        <v>68.453846153846143</v>
      </c>
      <c r="X11" s="1209">
        <f t="shared" si="20"/>
        <v>67.120769230769227</v>
      </c>
      <c r="Y11" s="1209">
        <f t="shared" si="20"/>
        <v>63.607692307692297</v>
      </c>
      <c r="Z11" s="1210">
        <f t="shared" si="20"/>
        <v>53.301576923076922</v>
      </c>
      <c r="AA11" s="1209">
        <f t="shared" si="20"/>
        <v>50.83815384615383</v>
      </c>
      <c r="AB11" s="1209">
        <f t="shared" si="20"/>
        <v>50.215538461538465</v>
      </c>
      <c r="AC11" s="1209">
        <f t="shared" si="20"/>
        <v>48.245384615384616</v>
      </c>
      <c r="AD11" s="1210">
        <f t="shared" si="20"/>
        <v>43.988653846153852</v>
      </c>
      <c r="AE11" s="1209">
        <f t="shared" si="20"/>
        <v>40.261730769230766</v>
      </c>
      <c r="AF11" s="1209">
        <f t="shared" si="20"/>
        <v>39.132692307692309</v>
      </c>
      <c r="AG11" s="1209">
        <f t="shared" si="20"/>
        <v>38.882142857142867</v>
      </c>
      <c r="AH11" s="1210">
        <f t="shared" si="20"/>
        <v>42.651346153846148</v>
      </c>
      <c r="AI11" s="1209">
        <f t="shared" si="20"/>
        <v>47.554807692307698</v>
      </c>
      <c r="AJ11" s="1209">
        <f t="shared" si="20"/>
        <v>49.838461538461537</v>
      </c>
      <c r="AK11" s="1209">
        <f t="shared" si="20"/>
        <v>50.339038461538472</v>
      </c>
      <c r="AL11" s="1210">
        <f t="shared" si="20"/>
        <v>55.348461538461549</v>
      </c>
      <c r="AM11" s="1209">
        <f t="shared" si="20"/>
        <v>57.807500000000005</v>
      </c>
      <c r="AN11" s="1209">
        <f t="shared" si="20"/>
        <v>46.55</v>
      </c>
      <c r="AO11" s="1209">
        <f t="shared" si="20"/>
        <v>46.55</v>
      </c>
      <c r="AP11" s="1210">
        <f t="shared" si="20"/>
        <v>46.55</v>
      </c>
      <c r="AQ11" s="1209">
        <f t="shared" ref="AQ11:AT11" si="21">IF(ISBLANK(AQ154),"",AQ154)</f>
        <v>45.746572016741645</v>
      </c>
      <c r="AR11" s="1209">
        <f t="shared" si="21"/>
        <v>45.746572016741645</v>
      </c>
      <c r="AS11" s="1209">
        <f t="shared" si="21"/>
        <v>45.746572016741645</v>
      </c>
      <c r="AT11" s="1210">
        <f t="shared" si="21"/>
        <v>52.760283949775072</v>
      </c>
      <c r="AU11" s="1209">
        <f t="shared" ref="AU11:AX11" si="22">IF(ISBLANK(AU154),"",AU154)</f>
        <v>45.746572016741645</v>
      </c>
      <c r="AV11" s="1209">
        <f t="shared" si="22"/>
        <v>45.746572016741645</v>
      </c>
      <c r="AW11" s="1209">
        <f t="shared" si="22"/>
        <v>45.746572016741645</v>
      </c>
      <c r="AX11" s="1210">
        <f t="shared" si="22"/>
        <v>52.760283949775072</v>
      </c>
      <c r="AY11" s="1209">
        <f t="shared" ref="AY11:BB11" si="23">IF(ISBLANK(AY154),"",AY154)</f>
        <v>45.746572016741645</v>
      </c>
      <c r="AZ11" s="1209">
        <f t="shared" si="23"/>
        <v>45.746572016741645</v>
      </c>
      <c r="BA11" s="1209">
        <f t="shared" si="23"/>
        <v>45.746572016741645</v>
      </c>
      <c r="BB11" s="1210">
        <f t="shared" si="23"/>
        <v>52.760283949775072</v>
      </c>
      <c r="BC11" s="1611"/>
      <c r="BD11" s="1211"/>
      <c r="BE11" s="1267">
        <f>AVERAGE(G11:J11)</f>
        <v>63.360109890109896</v>
      </c>
      <c r="BF11" s="1267">
        <f>AVERAGE(K11:N11)</f>
        <v>76.084386446886441</v>
      </c>
      <c r="BG11" s="1267">
        <f>AVERAGE(O11:R11)</f>
        <v>66.117307692307691</v>
      </c>
      <c r="BH11" s="1267">
        <f>AVERAGE(S11:V11)</f>
        <v>66.013461538461542</v>
      </c>
      <c r="BI11" s="1267">
        <f>AVERAGE(W11:Z11)</f>
        <v>63.120971153846142</v>
      </c>
      <c r="BJ11" s="1267">
        <f>AVERAGE(AA11:AD11)</f>
        <v>48.321932692307691</v>
      </c>
      <c r="BK11" s="1267">
        <f>AVERAGE(AE11:AH11)</f>
        <v>40.231978021978023</v>
      </c>
      <c r="BL11" s="1267">
        <f>AVERAGE(AI11:AL11)</f>
        <v>50.770192307692312</v>
      </c>
      <c r="BM11" s="1267">
        <f>AVERAGE(AM11:AP11)</f>
        <v>49.364374999999995</v>
      </c>
      <c r="BN11" s="1267">
        <f t="shared" si="14"/>
        <v>47.5</v>
      </c>
      <c r="BO11" s="1267">
        <f t="shared" si="15"/>
        <v>47.5</v>
      </c>
      <c r="BP11" s="1267">
        <f>AVERAGE(AY11:BB11)</f>
        <v>47.5</v>
      </c>
      <c r="BQ11" s="1205"/>
      <c r="BR11" s="1206"/>
      <c r="BU11" s="1186"/>
    </row>
    <row r="12" spans="1:78" ht="12.75" customHeight="1">
      <c r="A12" s="1187"/>
      <c r="B12" s="1619"/>
      <c r="C12" s="1621" t="str">
        <f t="shared" si="4"/>
        <v>ILB</v>
      </c>
      <c r="D12" s="1621" t="str">
        <f t="shared" si="4"/>
        <v/>
      </c>
      <c r="E12" s="1621" t="str">
        <f t="shared" si="4"/>
        <v/>
      </c>
      <c r="F12" s="1207"/>
      <c r="G12" s="1562">
        <f t="shared" ref="G12:AP12" si="24">IF(ISBLANK(G155),"",G155)</f>
        <v>41.269230769230766</v>
      </c>
      <c r="H12" s="1560">
        <f t="shared" si="24"/>
        <v>41.919230769230765</v>
      </c>
      <c r="I12" s="1560">
        <f t="shared" si="24"/>
        <v>42.634615384615387</v>
      </c>
      <c r="J12" s="1561">
        <f t="shared" si="24"/>
        <v>47.214285714285715</v>
      </c>
      <c r="K12" s="1562">
        <f t="shared" si="24"/>
        <v>47.5</v>
      </c>
      <c r="L12" s="1560">
        <f t="shared" si="24"/>
        <v>47.730769230769234</v>
      </c>
      <c r="M12" s="1560">
        <f t="shared" si="24"/>
        <v>47.8</v>
      </c>
      <c r="N12" s="1561">
        <f t="shared" si="24"/>
        <v>48.323076923076918</v>
      </c>
      <c r="O12" s="1562">
        <f t="shared" si="24"/>
        <v>52.46153846153846</v>
      </c>
      <c r="P12" s="1560">
        <f t="shared" si="24"/>
        <v>48.615384615384613</v>
      </c>
      <c r="Q12" s="1560">
        <f t="shared" si="24"/>
        <v>47.42307692307692</v>
      </c>
      <c r="R12" s="1560">
        <f t="shared" si="24"/>
        <v>47.888461538461527</v>
      </c>
      <c r="S12" s="1208">
        <f t="shared" si="24"/>
        <v>46.630769230769218</v>
      </c>
      <c r="T12" s="1209">
        <f t="shared" si="24"/>
        <v>45.149999999999984</v>
      </c>
      <c r="U12" s="1209">
        <f t="shared" si="24"/>
        <v>45.534615384615371</v>
      </c>
      <c r="V12" s="1210">
        <f t="shared" si="24"/>
        <v>46.149999999999984</v>
      </c>
      <c r="W12" s="1209">
        <f t="shared" si="24"/>
        <v>46.578461538461518</v>
      </c>
      <c r="X12" s="1209">
        <f t="shared" si="24"/>
        <v>46.272307692307692</v>
      </c>
      <c r="Y12" s="1209">
        <f t="shared" si="24"/>
        <v>44.207692307692305</v>
      </c>
      <c r="Z12" s="1210">
        <f t="shared" si="24"/>
        <v>39.274846153846156</v>
      </c>
      <c r="AA12" s="1209">
        <f t="shared" si="24"/>
        <v>37.459692307692293</v>
      </c>
      <c r="AB12" s="1209">
        <f t="shared" si="24"/>
        <v>37.00092307692308</v>
      </c>
      <c r="AC12" s="1209">
        <f t="shared" si="24"/>
        <v>35.549230769230768</v>
      </c>
      <c r="AD12" s="1210">
        <f t="shared" si="24"/>
        <v>32.412692307692311</v>
      </c>
      <c r="AE12" s="1209">
        <f t="shared" si="24"/>
        <v>29.666538461538462</v>
      </c>
      <c r="AF12" s="1209">
        <f t="shared" si="24"/>
        <v>28.834615384615383</v>
      </c>
      <c r="AG12" s="1209">
        <f t="shared" si="24"/>
        <v>28.650000000000006</v>
      </c>
      <c r="AH12" s="1210">
        <f t="shared" si="24"/>
        <v>31.427307692307689</v>
      </c>
      <c r="AI12" s="1209">
        <f t="shared" si="24"/>
        <v>35.040384615384617</v>
      </c>
      <c r="AJ12" s="1209">
        <f t="shared" si="24"/>
        <v>36.723076923076917</v>
      </c>
      <c r="AK12" s="1209">
        <f t="shared" si="24"/>
        <v>37.091923076923081</v>
      </c>
      <c r="AL12" s="1210">
        <f t="shared" si="24"/>
        <v>40.783076923076933</v>
      </c>
      <c r="AM12" s="1209">
        <f t="shared" si="24"/>
        <v>42.595000000000006</v>
      </c>
      <c r="AN12" s="1209">
        <f t="shared" si="24"/>
        <v>34.299999999999997</v>
      </c>
      <c r="AO12" s="1209">
        <f t="shared" si="24"/>
        <v>34.299999999999997</v>
      </c>
      <c r="AP12" s="1210">
        <f t="shared" si="24"/>
        <v>34.299999999999997</v>
      </c>
      <c r="AQ12" s="1209">
        <f t="shared" ref="AQ12:AT12" si="25">IF(ISBLANK(AQ155),"",AQ155)</f>
        <v>33.708000433388577</v>
      </c>
      <c r="AR12" s="1209">
        <f t="shared" si="25"/>
        <v>33.708000433388577</v>
      </c>
      <c r="AS12" s="1209">
        <f t="shared" si="25"/>
        <v>33.708000433388577</v>
      </c>
      <c r="AT12" s="1210">
        <f t="shared" si="25"/>
        <v>38.875998699834263</v>
      </c>
      <c r="AU12" s="1209">
        <f t="shared" ref="AU12:AX12" si="26">IF(ISBLANK(AU155),"",AU155)</f>
        <v>33.708000433388577</v>
      </c>
      <c r="AV12" s="1209">
        <f t="shared" si="26"/>
        <v>33.708000433388577</v>
      </c>
      <c r="AW12" s="1209">
        <f t="shared" si="26"/>
        <v>33.708000433388577</v>
      </c>
      <c r="AX12" s="1210">
        <f t="shared" si="26"/>
        <v>38.875998699834263</v>
      </c>
      <c r="AY12" s="1209">
        <f t="shared" ref="AY12:BB12" si="27">IF(ISBLANK(AY155),"",AY155)</f>
        <v>33.708000433388577</v>
      </c>
      <c r="AZ12" s="1209">
        <f t="shared" si="27"/>
        <v>33.708000433388577</v>
      </c>
      <c r="BA12" s="1209">
        <f t="shared" si="27"/>
        <v>33.708000433388577</v>
      </c>
      <c r="BB12" s="1210">
        <f t="shared" si="27"/>
        <v>38.875998699834263</v>
      </c>
      <c r="BC12" s="1611"/>
      <c r="BD12" s="1211"/>
      <c r="BE12" s="1267">
        <f>AVERAGE(G12:J12)</f>
        <v>43.259340659340658</v>
      </c>
      <c r="BF12" s="1267">
        <f>AVERAGE(K12:N12)</f>
        <v>47.838461538461537</v>
      </c>
      <c r="BG12" s="1267">
        <f>AVERAGE(O12:R12)</f>
        <v>49.097115384615378</v>
      </c>
      <c r="BH12" s="1267">
        <f>AVERAGE(S12:V12)</f>
        <v>45.866346153846138</v>
      </c>
      <c r="BI12" s="1267">
        <f>AVERAGE(W12:Z12)</f>
        <v>44.08332692307691</v>
      </c>
      <c r="BJ12" s="1267">
        <f>AVERAGE(AA12:AD12)</f>
        <v>35.605634615384616</v>
      </c>
      <c r="BK12" s="1267">
        <f>AVERAGE(AE12:AH12)</f>
        <v>29.644615384615385</v>
      </c>
      <c r="BL12" s="1267">
        <f>AVERAGE(AI12:AL12)</f>
        <v>37.409615384615392</v>
      </c>
      <c r="BM12" s="1267">
        <f>AVERAGE(AM12:AP12)</f>
        <v>36.373750000000001</v>
      </c>
      <c r="BN12" s="1267">
        <f t="shared" si="14"/>
        <v>35</v>
      </c>
      <c r="BO12" s="1267">
        <f t="shared" si="15"/>
        <v>35</v>
      </c>
      <c r="BP12" s="1267">
        <f>AVERAGE(AY12:BB12)</f>
        <v>35</v>
      </c>
      <c r="BQ12" s="1205"/>
      <c r="BR12" s="1206"/>
      <c r="BU12" s="1186"/>
    </row>
    <row r="13" spans="1:78" ht="12.75" customHeight="1">
      <c r="A13" s="1187"/>
      <c r="B13" s="1619"/>
      <c r="C13" s="1621" t="str">
        <f t="shared" si="4"/>
        <v/>
      </c>
      <c r="D13" s="1621" t="str">
        <f t="shared" si="4"/>
        <v/>
      </c>
      <c r="E13" s="1621" t="str">
        <f t="shared" si="4"/>
        <v/>
      </c>
      <c r="F13" s="1572"/>
      <c r="G13" s="1562" t="str">
        <f t="shared" ref="G13:AP13" si="28">IF(ISBLANK(G156),"",G156)</f>
        <v/>
      </c>
      <c r="H13" s="1560" t="str">
        <f t="shared" si="28"/>
        <v/>
      </c>
      <c r="I13" s="1560" t="str">
        <f t="shared" si="28"/>
        <v/>
      </c>
      <c r="J13" s="1561" t="str">
        <f t="shared" si="28"/>
        <v/>
      </c>
      <c r="K13" s="1562" t="str">
        <f t="shared" si="28"/>
        <v/>
      </c>
      <c r="L13" s="1560" t="str">
        <f t="shared" si="28"/>
        <v/>
      </c>
      <c r="M13" s="1560" t="str">
        <f t="shared" si="28"/>
        <v/>
      </c>
      <c r="N13" s="1561" t="str">
        <f t="shared" si="28"/>
        <v/>
      </c>
      <c r="O13" s="1562" t="str">
        <f t="shared" si="28"/>
        <v/>
      </c>
      <c r="P13" s="1560" t="str">
        <f t="shared" si="28"/>
        <v/>
      </c>
      <c r="Q13" s="1560" t="str">
        <f t="shared" si="28"/>
        <v/>
      </c>
      <c r="R13" s="1210" t="str">
        <f t="shared" si="28"/>
        <v/>
      </c>
      <c r="S13" s="1208" t="str">
        <f t="shared" si="28"/>
        <v/>
      </c>
      <c r="T13" s="1209" t="str">
        <f t="shared" si="28"/>
        <v/>
      </c>
      <c r="U13" s="1209" t="str">
        <f t="shared" si="28"/>
        <v/>
      </c>
      <c r="V13" s="1210" t="str">
        <f t="shared" si="28"/>
        <v/>
      </c>
      <c r="W13" s="1209" t="str">
        <f t="shared" si="28"/>
        <v/>
      </c>
      <c r="X13" s="1209" t="str">
        <f t="shared" si="28"/>
        <v/>
      </c>
      <c r="Y13" s="1209" t="str">
        <f t="shared" si="28"/>
        <v/>
      </c>
      <c r="Z13" s="1210" t="str">
        <f t="shared" si="28"/>
        <v/>
      </c>
      <c r="AA13" s="1209" t="str">
        <f t="shared" si="28"/>
        <v/>
      </c>
      <c r="AB13" s="1209" t="str">
        <f t="shared" si="28"/>
        <v/>
      </c>
      <c r="AC13" s="1209" t="str">
        <f t="shared" si="28"/>
        <v/>
      </c>
      <c r="AD13" s="1210" t="str">
        <f t="shared" si="28"/>
        <v/>
      </c>
      <c r="AE13" s="1209" t="str">
        <f t="shared" si="28"/>
        <v/>
      </c>
      <c r="AF13" s="1209" t="str">
        <f t="shared" si="28"/>
        <v/>
      </c>
      <c r="AG13" s="1209" t="str">
        <f t="shared" si="28"/>
        <v/>
      </c>
      <c r="AH13" s="1210" t="str">
        <f t="shared" si="28"/>
        <v/>
      </c>
      <c r="AI13" s="1209" t="str">
        <f t="shared" si="28"/>
        <v/>
      </c>
      <c r="AJ13" s="1209" t="str">
        <f t="shared" si="28"/>
        <v/>
      </c>
      <c r="AK13" s="1209" t="str">
        <f t="shared" si="28"/>
        <v/>
      </c>
      <c r="AL13" s="1210" t="str">
        <f t="shared" si="28"/>
        <v/>
      </c>
      <c r="AM13" s="1209" t="str">
        <f t="shared" si="28"/>
        <v/>
      </c>
      <c r="AN13" s="1209" t="str">
        <f t="shared" si="28"/>
        <v/>
      </c>
      <c r="AO13" s="1209" t="str">
        <f t="shared" si="28"/>
        <v/>
      </c>
      <c r="AP13" s="1210" t="str">
        <f t="shared" si="28"/>
        <v/>
      </c>
      <c r="AQ13" s="1209" t="str">
        <f t="shared" ref="AQ13:AT13" si="29">IF(ISBLANK(AQ156),"",AQ156)</f>
        <v/>
      </c>
      <c r="AR13" s="1209" t="str">
        <f t="shared" si="29"/>
        <v/>
      </c>
      <c r="AS13" s="1209" t="str">
        <f t="shared" si="29"/>
        <v/>
      </c>
      <c r="AT13" s="1210" t="str">
        <f t="shared" si="29"/>
        <v/>
      </c>
      <c r="AU13" s="1209" t="str">
        <f t="shared" ref="AU13:AX13" si="30">IF(ISBLANK(AU156),"",AU156)</f>
        <v/>
      </c>
      <c r="AV13" s="1209" t="str">
        <f t="shared" si="30"/>
        <v/>
      </c>
      <c r="AW13" s="1209" t="str">
        <f t="shared" si="30"/>
        <v/>
      </c>
      <c r="AX13" s="1210" t="str">
        <f t="shared" si="30"/>
        <v/>
      </c>
      <c r="AY13" s="1209" t="str">
        <f t="shared" ref="AY13:BB13" si="31">IF(ISBLANK(AY156),"",AY156)</f>
        <v/>
      </c>
      <c r="AZ13" s="1209" t="str">
        <f t="shared" si="31"/>
        <v/>
      </c>
      <c r="BA13" s="1209" t="str">
        <f t="shared" si="31"/>
        <v/>
      </c>
      <c r="BB13" s="1210" t="str">
        <f t="shared" si="31"/>
        <v/>
      </c>
      <c r="BC13" s="1211"/>
      <c r="BD13" s="1211"/>
      <c r="BE13" s="1269"/>
      <c r="BF13" s="1269"/>
      <c r="BG13" s="1269"/>
      <c r="BH13" s="1269"/>
      <c r="BI13" s="1269"/>
      <c r="BJ13" s="1269"/>
      <c r="BK13" s="1269"/>
      <c r="BL13" s="1269"/>
      <c r="BM13" s="1269"/>
      <c r="BN13" s="1269"/>
      <c r="BO13" s="1269"/>
      <c r="BP13" s="1269"/>
      <c r="BQ13" s="1213"/>
      <c r="BR13" s="1214"/>
      <c r="BU13" s="1186"/>
      <c r="BV13" s="1215" t="s">
        <v>439</v>
      </c>
    </row>
    <row r="14" spans="1:78" ht="12.75" customHeight="1">
      <c r="A14" s="1187"/>
      <c r="B14" s="1619"/>
      <c r="G14" s="1595" t="str">
        <f t="shared" ref="G14:AP14" si="32">IF(ISBLANK(G157),"",G157)</f>
        <v/>
      </c>
      <c r="H14" s="1594" t="str">
        <f t="shared" si="32"/>
        <v/>
      </c>
      <c r="I14" s="1594" t="str">
        <f t="shared" si="32"/>
        <v/>
      </c>
      <c r="J14" s="1596" t="str">
        <f t="shared" si="32"/>
        <v/>
      </c>
      <c r="K14" s="1595" t="str">
        <f t="shared" si="32"/>
        <v/>
      </c>
      <c r="L14" s="1594" t="str">
        <f t="shared" si="32"/>
        <v/>
      </c>
      <c r="M14" s="1594" t="str">
        <f t="shared" si="32"/>
        <v/>
      </c>
      <c r="N14" s="1596" t="str">
        <f t="shared" si="32"/>
        <v/>
      </c>
      <c r="O14" s="1595" t="str">
        <f t="shared" si="32"/>
        <v/>
      </c>
      <c r="P14" s="1594" t="str">
        <f t="shared" si="32"/>
        <v/>
      </c>
      <c r="Q14" s="1594" t="str">
        <f t="shared" si="32"/>
        <v/>
      </c>
      <c r="R14" s="1217" t="str">
        <f t="shared" si="32"/>
        <v/>
      </c>
      <c r="S14" s="1593" t="str">
        <f t="shared" si="32"/>
        <v/>
      </c>
      <c r="T14" s="1218" t="str">
        <f t="shared" si="32"/>
        <v/>
      </c>
      <c r="U14" s="1218" t="str">
        <f t="shared" si="32"/>
        <v/>
      </c>
      <c r="V14" s="1217" t="str">
        <f t="shared" si="32"/>
        <v/>
      </c>
      <c r="W14" s="1218" t="str">
        <f t="shared" si="32"/>
        <v/>
      </c>
      <c r="X14" s="1218" t="str">
        <f t="shared" si="32"/>
        <v/>
      </c>
      <c r="Y14" s="1218" t="str">
        <f t="shared" si="32"/>
        <v/>
      </c>
      <c r="Z14" s="1592" t="str">
        <f t="shared" si="32"/>
        <v/>
      </c>
      <c r="AA14" s="1591" t="str">
        <f t="shared" si="32"/>
        <v/>
      </c>
      <c r="AB14" s="1591" t="str">
        <f t="shared" si="32"/>
        <v/>
      </c>
      <c r="AC14" s="1591" t="str">
        <f t="shared" si="32"/>
        <v/>
      </c>
      <c r="AD14" s="1592" t="str">
        <f t="shared" si="32"/>
        <v/>
      </c>
      <c r="AE14" s="1591" t="str">
        <f t="shared" si="32"/>
        <v/>
      </c>
      <c r="AF14" s="1591" t="str">
        <f t="shared" si="32"/>
        <v/>
      </c>
      <c r="AG14" s="1591" t="str">
        <f t="shared" si="32"/>
        <v/>
      </c>
      <c r="AH14" s="1592" t="str">
        <f t="shared" si="32"/>
        <v/>
      </c>
      <c r="AI14" s="1591" t="str">
        <f t="shared" si="32"/>
        <v/>
      </c>
      <c r="AJ14" s="1591" t="str">
        <f t="shared" si="32"/>
        <v/>
      </c>
      <c r="AK14" s="1591" t="str">
        <f t="shared" si="32"/>
        <v/>
      </c>
      <c r="AL14" s="1592" t="str">
        <f t="shared" si="32"/>
        <v/>
      </c>
      <c r="AM14" s="1591" t="str">
        <f t="shared" si="32"/>
        <v/>
      </c>
      <c r="AN14" s="1591" t="str">
        <f t="shared" si="32"/>
        <v/>
      </c>
      <c r="AO14" s="1591" t="str">
        <f t="shared" si="32"/>
        <v/>
      </c>
      <c r="AP14" s="1592" t="str">
        <f t="shared" si="32"/>
        <v/>
      </c>
      <c r="AQ14" s="1591" t="str">
        <f t="shared" ref="AQ14:AT14" si="33">IF(ISBLANK(AQ157),"",AQ157)</f>
        <v/>
      </c>
      <c r="AR14" s="1591" t="str">
        <f t="shared" si="33"/>
        <v/>
      </c>
      <c r="AS14" s="1591" t="str">
        <f t="shared" si="33"/>
        <v/>
      </c>
      <c r="AT14" s="1592" t="str">
        <f t="shared" si="33"/>
        <v/>
      </c>
      <c r="AU14" s="1591" t="str">
        <f t="shared" ref="AU14:AX14" si="34">IF(ISBLANK(AU157),"",AU157)</f>
        <v/>
      </c>
      <c r="AV14" s="1591" t="str">
        <f t="shared" si="34"/>
        <v/>
      </c>
      <c r="AW14" s="1591" t="str">
        <f t="shared" si="34"/>
        <v/>
      </c>
      <c r="AX14" s="1592" t="str">
        <f t="shared" si="34"/>
        <v/>
      </c>
      <c r="AY14" s="1591" t="str">
        <f t="shared" ref="AY14:BB14" si="35">IF(ISBLANK(AY157),"",AY157)</f>
        <v/>
      </c>
      <c r="AZ14" s="1591" t="str">
        <f t="shared" si="35"/>
        <v/>
      </c>
      <c r="BA14" s="1591" t="str">
        <f t="shared" si="35"/>
        <v/>
      </c>
      <c r="BB14" s="1592" t="str">
        <f t="shared" si="35"/>
        <v/>
      </c>
      <c r="BC14" s="1600"/>
      <c r="BD14" s="1219"/>
      <c r="BE14" s="1270"/>
      <c r="BF14" s="1270"/>
      <c r="BG14" s="1270"/>
      <c r="BH14" s="1270"/>
      <c r="BI14" s="1270"/>
      <c r="BJ14" s="1270"/>
      <c r="BK14" s="1270"/>
      <c r="BL14" s="1270"/>
      <c r="BM14" s="1270"/>
      <c r="BN14" s="1270"/>
      <c r="BO14" s="1270"/>
      <c r="BP14" s="1270"/>
      <c r="BQ14" s="1213"/>
      <c r="BR14" s="1214"/>
      <c r="BU14" s="1186"/>
      <c r="BV14" s="1271" t="s">
        <v>311</v>
      </c>
      <c r="BW14" s="1629"/>
      <c r="BX14" s="1629">
        <v>22</v>
      </c>
      <c r="BY14" s="1272" t="s">
        <v>312</v>
      </c>
    </row>
    <row r="15" spans="1:78" ht="12.75" customHeight="1">
      <c r="A15" s="1187"/>
      <c r="B15" s="1619"/>
      <c r="C15" s="1216" t="str">
        <f t="shared" ref="C15:E34" si="36">IF(ISBLANK(C158),"",C158)</f>
        <v>On-Peak Regional Power Prices ($/MWh)</v>
      </c>
      <c r="D15" s="1624" t="str">
        <f t="shared" si="36"/>
        <v/>
      </c>
      <c r="E15" s="1624" t="str">
        <f t="shared" si="36"/>
        <v/>
      </c>
      <c r="F15" s="1602"/>
      <c r="G15" s="1562" t="str">
        <f t="shared" ref="G15:AP15" si="37">IF(ISBLANK(G158),"",G158)</f>
        <v/>
      </c>
      <c r="H15" s="1560" t="str">
        <f t="shared" si="37"/>
        <v/>
      </c>
      <c r="I15" s="1560" t="str">
        <f t="shared" si="37"/>
        <v/>
      </c>
      <c r="J15" s="1561" t="str">
        <f t="shared" si="37"/>
        <v/>
      </c>
      <c r="K15" s="1562" t="str">
        <f t="shared" si="37"/>
        <v/>
      </c>
      <c r="L15" s="1560" t="str">
        <f t="shared" si="37"/>
        <v/>
      </c>
      <c r="M15" s="1560" t="str">
        <f t="shared" si="37"/>
        <v/>
      </c>
      <c r="N15" s="1561" t="str">
        <f t="shared" si="37"/>
        <v/>
      </c>
      <c r="O15" s="1562" t="str">
        <f t="shared" si="37"/>
        <v/>
      </c>
      <c r="P15" s="1560" t="str">
        <f t="shared" si="37"/>
        <v/>
      </c>
      <c r="Q15" s="1560" t="str">
        <f t="shared" si="37"/>
        <v/>
      </c>
      <c r="R15" s="1210" t="str">
        <f t="shared" si="37"/>
        <v/>
      </c>
      <c r="S15" s="1208" t="str">
        <f t="shared" si="37"/>
        <v/>
      </c>
      <c r="T15" s="1209" t="str">
        <f t="shared" si="37"/>
        <v/>
      </c>
      <c r="U15" s="1209" t="str">
        <f t="shared" si="37"/>
        <v/>
      </c>
      <c r="V15" s="1210" t="str">
        <f t="shared" si="37"/>
        <v/>
      </c>
      <c r="W15" s="1209" t="str">
        <f t="shared" si="37"/>
        <v/>
      </c>
      <c r="X15" s="1209" t="str">
        <f t="shared" si="37"/>
        <v/>
      </c>
      <c r="Y15" s="1209" t="str">
        <f t="shared" si="37"/>
        <v/>
      </c>
      <c r="Z15" s="1210" t="str">
        <f t="shared" si="37"/>
        <v/>
      </c>
      <c r="AA15" s="1209" t="str">
        <f t="shared" si="37"/>
        <v/>
      </c>
      <c r="AB15" s="1209" t="str">
        <f t="shared" si="37"/>
        <v/>
      </c>
      <c r="AC15" s="1209" t="str">
        <f t="shared" si="37"/>
        <v/>
      </c>
      <c r="AD15" s="1210" t="str">
        <f t="shared" si="37"/>
        <v/>
      </c>
      <c r="AE15" s="1209" t="str">
        <f t="shared" si="37"/>
        <v/>
      </c>
      <c r="AF15" s="1209" t="str">
        <f t="shared" si="37"/>
        <v/>
      </c>
      <c r="AG15" s="1209" t="str">
        <f t="shared" si="37"/>
        <v/>
      </c>
      <c r="AH15" s="1210" t="str">
        <f t="shared" si="37"/>
        <v/>
      </c>
      <c r="AI15" s="1209" t="str">
        <f t="shared" si="37"/>
        <v/>
      </c>
      <c r="AJ15" s="1209" t="str">
        <f t="shared" si="37"/>
        <v/>
      </c>
      <c r="AK15" s="1209" t="str">
        <f t="shared" si="37"/>
        <v/>
      </c>
      <c r="AL15" s="1210" t="str">
        <f t="shared" si="37"/>
        <v/>
      </c>
      <c r="AM15" s="1209" t="str">
        <f t="shared" si="37"/>
        <v/>
      </c>
      <c r="AN15" s="1209" t="str">
        <f t="shared" si="37"/>
        <v/>
      </c>
      <c r="AO15" s="1209" t="str">
        <f t="shared" si="37"/>
        <v/>
      </c>
      <c r="AP15" s="1210" t="str">
        <f t="shared" si="37"/>
        <v/>
      </c>
      <c r="AQ15" s="1209" t="str">
        <f t="shared" ref="AQ15:AT15" si="38">IF(ISBLANK(AQ158),"",AQ158)</f>
        <v/>
      </c>
      <c r="AR15" s="1209" t="str">
        <f t="shared" si="38"/>
        <v/>
      </c>
      <c r="AS15" s="1209" t="str">
        <f t="shared" si="38"/>
        <v/>
      </c>
      <c r="AT15" s="1210" t="str">
        <f t="shared" si="38"/>
        <v/>
      </c>
      <c r="AU15" s="1209" t="str">
        <f t="shared" ref="AU15:AX15" si="39">IF(ISBLANK(AU158),"",AU158)</f>
        <v/>
      </c>
      <c r="AV15" s="1209" t="str">
        <f t="shared" si="39"/>
        <v/>
      </c>
      <c r="AW15" s="1209" t="str">
        <f t="shared" si="39"/>
        <v/>
      </c>
      <c r="AX15" s="1210" t="str">
        <f t="shared" si="39"/>
        <v/>
      </c>
      <c r="AY15" s="1209" t="str">
        <f t="shared" ref="AY15:BB15" si="40">IF(ISBLANK(AY158),"",AY158)</f>
        <v/>
      </c>
      <c r="AZ15" s="1209" t="str">
        <f t="shared" si="40"/>
        <v/>
      </c>
      <c r="BA15" s="1209" t="str">
        <f t="shared" si="40"/>
        <v/>
      </c>
      <c r="BB15" s="1210" t="str">
        <f t="shared" si="40"/>
        <v/>
      </c>
      <c r="BC15" s="1211"/>
      <c r="BD15" s="1211"/>
      <c r="BE15" s="1269"/>
      <c r="BF15" s="1269"/>
      <c r="BG15" s="1269"/>
      <c r="BH15" s="1273"/>
      <c r="BI15" s="1303"/>
      <c r="BJ15" s="1273"/>
      <c r="BK15" s="1273"/>
      <c r="BL15" s="1273"/>
      <c r="BM15" s="1273"/>
      <c r="BN15" s="1273"/>
      <c r="BO15" s="1273"/>
      <c r="BP15" s="1273"/>
      <c r="BQ15" s="1213"/>
      <c r="BR15" s="1220"/>
      <c r="BS15" s="1220"/>
      <c r="BU15" s="1186"/>
      <c r="BV15" s="1274" t="s">
        <v>313</v>
      </c>
      <c r="BW15" s="1628"/>
      <c r="BX15" s="1628">
        <f>($BX$14/$BW$9+7)*1000</f>
        <v>14924.180004952612</v>
      </c>
      <c r="BY15" s="1275" t="s">
        <v>314</v>
      </c>
    </row>
    <row r="16" spans="1:78" ht="12.75" customHeight="1">
      <c r="A16" s="1187"/>
      <c r="B16" s="1619"/>
      <c r="C16" s="1621" t="str">
        <f t="shared" si="36"/>
        <v>Mass Hub</v>
      </c>
      <c r="D16" s="1621" t="str">
        <f t="shared" si="36"/>
        <v/>
      </c>
      <c r="E16" s="1221" t="str">
        <f t="shared" si="36"/>
        <v/>
      </c>
      <c r="F16" s="1222"/>
      <c r="G16" s="1562">
        <f t="shared" ref="G16:AP16" si="41">IF(ISBLANK(G159),"",G159)</f>
        <v>51.133632812499997</v>
      </c>
      <c r="H16" s="1560">
        <f t="shared" si="41"/>
        <v>51.354570312500016</v>
      </c>
      <c r="I16" s="1560">
        <f t="shared" si="41"/>
        <v>67.22877929687499</v>
      </c>
      <c r="J16" s="1561">
        <f t="shared" si="41"/>
        <v>51.534971153846179</v>
      </c>
      <c r="K16" s="1562">
        <f t="shared" si="41"/>
        <v>63.793710937500023</v>
      </c>
      <c r="L16" s="1560">
        <f t="shared" si="41"/>
        <v>48.444853515625013</v>
      </c>
      <c r="M16" s="1560">
        <f t="shared" si="41"/>
        <v>55.141689453125004</v>
      </c>
      <c r="N16" s="1561">
        <f t="shared" si="41"/>
        <v>41.796567460317455</v>
      </c>
      <c r="O16" s="1562">
        <f t="shared" si="41"/>
        <v>33.353476562500006</v>
      </c>
      <c r="P16" s="1560">
        <f t="shared" si="41"/>
        <v>34.616933593750005</v>
      </c>
      <c r="Q16" s="1560">
        <f t="shared" si="41"/>
        <v>46.289513888888905</v>
      </c>
      <c r="R16" s="1560">
        <f t="shared" si="41"/>
        <v>50.846972656250003</v>
      </c>
      <c r="S16" s="1208">
        <f t="shared" si="41"/>
        <v>89.765515873015843</v>
      </c>
      <c r="T16" s="1209">
        <f t="shared" si="41"/>
        <v>45.063007812499997</v>
      </c>
      <c r="U16" s="1209">
        <f t="shared" si="41"/>
        <v>54.984013671875012</v>
      </c>
      <c r="V16" s="1210">
        <f t="shared" si="41"/>
        <v>67.341074218749995</v>
      </c>
      <c r="W16" s="1209">
        <f t="shared" si="41"/>
        <v>167.3350595238096</v>
      </c>
      <c r="X16" s="1209">
        <f t="shared" si="41"/>
        <v>44.335244140625001</v>
      </c>
      <c r="Y16" s="1209">
        <f t="shared" si="41"/>
        <v>41.33302734374999</v>
      </c>
      <c r="Z16" s="1210">
        <f t="shared" si="41"/>
        <v>48.027636718749996</v>
      </c>
      <c r="AA16" s="1209">
        <f t="shared" si="41"/>
        <v>87.659980158730164</v>
      </c>
      <c r="AB16" s="1209">
        <f t="shared" si="41"/>
        <v>28.370332031249998</v>
      </c>
      <c r="AC16" s="1209">
        <f t="shared" si="41"/>
        <v>42.395605769230762</v>
      </c>
      <c r="AD16" s="1210">
        <f t="shared" si="41"/>
        <v>33.065136718749997</v>
      </c>
      <c r="AE16" s="1209">
        <f t="shared" si="41"/>
        <v>30.31946289062499</v>
      </c>
      <c r="AF16" s="1209">
        <f t="shared" si="41"/>
        <v>28.207148437500003</v>
      </c>
      <c r="AG16" s="1209">
        <f t="shared" si="41"/>
        <v>42.730703124999998</v>
      </c>
      <c r="AH16" s="1210">
        <f t="shared" si="41"/>
        <v>38.680972222222231</v>
      </c>
      <c r="AI16" s="1209">
        <f t="shared" si="41"/>
        <v>33.978535156249983</v>
      </c>
      <c r="AJ16" s="1209">
        <f t="shared" si="41"/>
        <v>33.298916015625018</v>
      </c>
      <c r="AK16" s="1209">
        <f t="shared" si="41"/>
        <v>31.712827380952376</v>
      </c>
      <c r="AL16" s="1210">
        <f t="shared" si="41"/>
        <v>52.552301587301585</v>
      </c>
      <c r="AM16" s="1209">
        <f t="shared" si="41"/>
        <v>62.437333984375016</v>
      </c>
      <c r="AN16" s="1209">
        <f t="shared" si="41"/>
        <v>32.65</v>
      </c>
      <c r="AO16" s="1209">
        <f t="shared" si="41"/>
        <v>35.383333333333333</v>
      </c>
      <c r="AP16" s="1210">
        <f t="shared" si="41"/>
        <v>42.35</v>
      </c>
      <c r="AQ16" s="1209">
        <f t="shared" ref="AQ16:AT16" si="42">IF(ISBLANK(AQ159),"",AQ159)</f>
        <v>73.199444871908256</v>
      </c>
      <c r="AR16" s="1209">
        <f t="shared" si="42"/>
        <v>31.598138616301913</v>
      </c>
      <c r="AS16" s="1209">
        <f t="shared" si="42"/>
        <v>36.852856695587477</v>
      </c>
      <c r="AT16" s="1210">
        <f t="shared" si="42"/>
        <v>38.566226482602346</v>
      </c>
      <c r="AU16" s="1209">
        <f t="shared" ref="AU16:AX16" si="43">IF(ISBLANK(AU159),"",AU159)</f>
        <v>73.199444871908256</v>
      </c>
      <c r="AV16" s="1209">
        <f t="shared" si="43"/>
        <v>31.598138616301913</v>
      </c>
      <c r="AW16" s="1209">
        <f t="shared" si="43"/>
        <v>36.852856695587477</v>
      </c>
      <c r="AX16" s="1210">
        <f t="shared" si="43"/>
        <v>38.566226482602346</v>
      </c>
      <c r="AY16" s="1209">
        <f t="shared" ref="AY16:BB16" si="44">IF(ISBLANK(AY159),"",AY159)</f>
        <v>73.361914739375962</v>
      </c>
      <c r="AZ16" s="1209">
        <f t="shared" si="44"/>
        <v>31.668272281962913</v>
      </c>
      <c r="BA16" s="1209">
        <f t="shared" si="44"/>
        <v>36.934653473604257</v>
      </c>
      <c r="BB16" s="1210">
        <f t="shared" si="44"/>
        <v>38.651826171456854</v>
      </c>
      <c r="BC16" s="1211"/>
      <c r="BD16" s="1211"/>
      <c r="BE16" s="1269">
        <f t="shared" ref="BE16:BE31" si="45">AVERAGE(G16:J16)</f>
        <v>55.312988393930297</v>
      </c>
      <c r="BF16" s="1269">
        <f t="shared" ref="BF16:BF31" si="46">AVERAGE(K16:N16)</f>
        <v>52.29420534164187</v>
      </c>
      <c r="BG16" s="1269">
        <f t="shared" ref="BG16:BG31" si="47">AVERAGE(O16:R16)</f>
        <v>41.276724175347226</v>
      </c>
      <c r="BH16" s="1273">
        <f t="shared" ref="BH16:BH31" si="48">AVERAGE(S16:V16)</f>
        <v>64.288402894035215</v>
      </c>
      <c r="BI16" s="1273">
        <f t="shared" ref="BI16:BI31" si="49">AVERAGE(W16:Z16)</f>
        <v>75.257741931733648</v>
      </c>
      <c r="BJ16" s="1273">
        <f t="shared" ref="BJ16:BJ31" si="50">AVERAGE(AA16:AD16)</f>
        <v>47.872763669490226</v>
      </c>
      <c r="BK16" s="1273">
        <f t="shared" ref="BK16:BK31" si="51">AVERAGE(AE16:AH16)</f>
        <v>34.984571668836807</v>
      </c>
      <c r="BL16" s="1273">
        <f t="shared" ref="BL16:BL31" si="52">AVERAGE(AI16:AL16)</f>
        <v>37.88564503503224</v>
      </c>
      <c r="BM16" s="1273">
        <f t="shared" ref="BM16:BM31" si="53">AVERAGE(AM16:AP16)</f>
        <v>43.205166829427085</v>
      </c>
      <c r="BN16" s="1273">
        <f t="shared" ref="BN16:BN31" si="54">AVERAGE(AQ16:AT16)</f>
        <v>45.054166666599997</v>
      </c>
      <c r="BO16" s="1273">
        <f t="shared" ref="BO16:BO31" si="55">AVERAGE(AU16:AX16)</f>
        <v>45.054166666599997</v>
      </c>
      <c r="BP16" s="1273">
        <f>AVERAGE(AY16:BB16)</f>
        <v>45.154166666599998</v>
      </c>
      <c r="BQ16" s="1205"/>
      <c r="BR16" s="1276"/>
      <c r="BS16" s="1273"/>
      <c r="BU16" s="1186"/>
      <c r="BV16" s="1274" t="s">
        <v>938</v>
      </c>
      <c r="BW16" s="1628"/>
      <c r="BX16" s="1628">
        <f>BP230</f>
        <v>13059.517736879347</v>
      </c>
      <c r="BY16" s="1275" t="s">
        <v>314</v>
      </c>
    </row>
    <row r="17" spans="1:77" ht="12.75" customHeight="1">
      <c r="A17" s="1187"/>
      <c r="B17" s="1619"/>
      <c r="C17" s="1621" t="str">
        <f t="shared" si="36"/>
        <v>NY Zone A</v>
      </c>
      <c r="D17" s="1621" t="str">
        <f t="shared" si="36"/>
        <v/>
      </c>
      <c r="E17" s="1221" t="str">
        <f t="shared" si="36"/>
        <v/>
      </c>
      <c r="F17" s="1222"/>
      <c r="G17" s="1562">
        <f t="shared" ref="G17:AP17" si="56">IF(ISBLANK(G160),"",G160)</f>
        <v>35.213945312500009</v>
      </c>
      <c r="H17" s="1560">
        <f t="shared" si="56"/>
        <v>43.142958984374999</v>
      </c>
      <c r="I17" s="1560">
        <f t="shared" si="56"/>
        <v>53.878339843750005</v>
      </c>
      <c r="J17" s="1561">
        <f t="shared" si="56"/>
        <v>42.122894230769219</v>
      </c>
      <c r="K17" s="1562">
        <f t="shared" si="56"/>
        <v>40.630429687500012</v>
      </c>
      <c r="L17" s="1560">
        <f t="shared" si="56"/>
        <v>42.511806640624982</v>
      </c>
      <c r="M17" s="1560">
        <f t="shared" si="56"/>
        <v>47.368398437499991</v>
      </c>
      <c r="N17" s="1561">
        <f t="shared" si="56"/>
        <v>36.792847222222221</v>
      </c>
      <c r="O17" s="1562">
        <f t="shared" si="56"/>
        <v>30.628144531250001</v>
      </c>
      <c r="P17" s="1560">
        <f t="shared" si="56"/>
        <v>34.255439453125</v>
      </c>
      <c r="Q17" s="1560">
        <f t="shared" si="56"/>
        <v>41.418353174603176</v>
      </c>
      <c r="R17" s="1560">
        <f t="shared" si="56"/>
        <v>39.001152343749993</v>
      </c>
      <c r="S17" s="1208">
        <f t="shared" si="56"/>
        <v>45.623531746031745</v>
      </c>
      <c r="T17" s="1209">
        <f t="shared" si="56"/>
        <v>40.663671874999991</v>
      </c>
      <c r="U17" s="1209">
        <f t="shared" si="56"/>
        <v>53.937705078124999</v>
      </c>
      <c r="V17" s="1210">
        <f t="shared" si="56"/>
        <v>46.228017578124991</v>
      </c>
      <c r="W17" s="1209">
        <f t="shared" si="56"/>
        <v>105.87010912698416</v>
      </c>
      <c r="X17" s="1209">
        <f t="shared" si="56"/>
        <v>44.886210937499996</v>
      </c>
      <c r="Y17" s="1209">
        <f t="shared" si="56"/>
        <v>43.024843750000009</v>
      </c>
      <c r="Z17" s="1210">
        <f t="shared" si="56"/>
        <v>39.284560546874999</v>
      </c>
      <c r="AA17" s="1209">
        <f t="shared" si="56"/>
        <v>53.16058531746031</v>
      </c>
      <c r="AB17" s="1209">
        <f t="shared" si="56"/>
        <v>38.357529296875022</v>
      </c>
      <c r="AC17" s="1209">
        <f t="shared" si="56"/>
        <v>40.580288461538458</v>
      </c>
      <c r="AD17" s="1210">
        <f t="shared" si="56"/>
        <v>34.609042968749996</v>
      </c>
      <c r="AE17" s="1209">
        <f t="shared" si="56"/>
        <v>30.752001953124992</v>
      </c>
      <c r="AF17" s="1209">
        <f t="shared" si="56"/>
        <v>35.769550781249997</v>
      </c>
      <c r="AG17" s="1209">
        <f t="shared" si="56"/>
        <v>46.082998046874998</v>
      </c>
      <c r="AH17" s="1210">
        <f t="shared" si="56"/>
        <v>27.32274801587301</v>
      </c>
      <c r="AI17" s="1209">
        <f t="shared" si="56"/>
        <v>27.648046875000006</v>
      </c>
      <c r="AJ17" s="1209">
        <f t="shared" si="56"/>
        <v>33.630214843749989</v>
      </c>
      <c r="AK17" s="1209">
        <f t="shared" si="56"/>
        <v>34.760575396825409</v>
      </c>
      <c r="AL17" s="1210">
        <f t="shared" si="56"/>
        <v>35.233521825396821</v>
      </c>
      <c r="AM17" s="1209">
        <f t="shared" si="56"/>
        <v>36.453183593749991</v>
      </c>
      <c r="AN17" s="1209">
        <f t="shared" si="56"/>
        <v>37.466666666666661</v>
      </c>
      <c r="AO17" s="1209">
        <f t="shared" si="56"/>
        <v>33.733333333333327</v>
      </c>
      <c r="AP17" s="1210">
        <f t="shared" si="56"/>
        <v>37.766666666666666</v>
      </c>
      <c r="AQ17" s="1209">
        <f t="shared" ref="AQ17:AT17" si="57">IF(ISBLANK(AQ160),"",AQ160)</f>
        <v>52.984877086683952</v>
      </c>
      <c r="AR17" s="1209">
        <f t="shared" si="57"/>
        <v>34.892480032694301</v>
      </c>
      <c r="AS17" s="1209">
        <f t="shared" si="57"/>
        <v>31.661694844481872</v>
      </c>
      <c r="AT17" s="1210">
        <f t="shared" si="57"/>
        <v>28.460948036139868</v>
      </c>
      <c r="AU17" s="1209">
        <f t="shared" ref="AU17:AX17" si="58">IF(ISBLANK(AU160),"",AU160)</f>
        <v>52.579137036825585</v>
      </c>
      <c r="AV17" s="1209">
        <f t="shared" si="58"/>
        <v>34.625285365714404</v>
      </c>
      <c r="AW17" s="1209">
        <f t="shared" si="58"/>
        <v>31.419240424444556</v>
      </c>
      <c r="AX17" s="1210">
        <f t="shared" si="58"/>
        <v>28.243003839415444</v>
      </c>
      <c r="AY17" s="1209">
        <f t="shared" ref="AY17:BB17" si="59">IF(ISBLANK(AY160),"",AY160)</f>
        <v>52.937142963086963</v>
      </c>
      <c r="AZ17" s="1209">
        <f t="shared" si="59"/>
        <v>34.861045365935311</v>
      </c>
      <c r="BA17" s="1209">
        <f t="shared" si="59"/>
        <v>31.633170795015378</v>
      </c>
      <c r="BB17" s="1210">
        <f t="shared" si="59"/>
        <v>28.435307542362334</v>
      </c>
      <c r="BC17" s="1211"/>
      <c r="BD17" s="1211"/>
      <c r="BE17" s="1269">
        <f t="shared" si="45"/>
        <v>43.589534592848558</v>
      </c>
      <c r="BF17" s="1269">
        <f t="shared" si="46"/>
        <v>41.825870496961798</v>
      </c>
      <c r="BG17" s="1269">
        <f t="shared" si="47"/>
        <v>36.325772375682043</v>
      </c>
      <c r="BH17" s="1273">
        <f t="shared" si="48"/>
        <v>46.613231569320433</v>
      </c>
      <c r="BI17" s="1273">
        <f t="shared" si="49"/>
        <v>58.266431090339793</v>
      </c>
      <c r="BJ17" s="1273">
        <f t="shared" si="50"/>
        <v>41.676861511155948</v>
      </c>
      <c r="BK17" s="1273">
        <f t="shared" si="51"/>
        <v>34.98182469928075</v>
      </c>
      <c r="BL17" s="1273">
        <f t="shared" si="52"/>
        <v>32.818089735243056</v>
      </c>
      <c r="BM17" s="1273">
        <f t="shared" si="53"/>
        <v>36.354962565104159</v>
      </c>
      <c r="BN17" s="1273">
        <f t="shared" si="54"/>
        <v>37</v>
      </c>
      <c r="BO17" s="1273">
        <f t="shared" si="55"/>
        <v>36.716666666599998</v>
      </c>
      <c r="BP17" s="1273">
        <f t="shared" ref="BP17:BP31" si="60">AVERAGE(AY17:BB17)</f>
        <v>36.966666666599998</v>
      </c>
      <c r="BQ17" s="1205"/>
      <c r="BR17" s="1276"/>
      <c r="BS17" s="1273"/>
      <c r="BU17" s="1186"/>
      <c r="BV17" s="2074" t="s">
        <v>1528</v>
      </c>
      <c r="BW17" s="1277"/>
      <c r="BX17" s="2075">
        <f>BX15-BX16+BY111</f>
        <v>1864.6622680732653</v>
      </c>
      <c r="BY17" s="1278" t="s">
        <v>314</v>
      </c>
    </row>
    <row r="18" spans="1:77" ht="12.75" customHeight="1">
      <c r="A18" s="1187"/>
      <c r="B18" s="1619"/>
      <c r="C18" s="1621" t="str">
        <f t="shared" si="36"/>
        <v>NY Zone G</v>
      </c>
      <c r="D18" s="1621" t="str">
        <f t="shared" si="36"/>
        <v/>
      </c>
      <c r="E18" s="1221" t="str">
        <f t="shared" si="36"/>
        <v/>
      </c>
      <c r="F18" s="1222"/>
      <c r="G18" s="1562">
        <f t="shared" ref="G18:AP18" si="61">IF(ISBLANK(G161),"",G161)</f>
        <v>50.319440104166667</v>
      </c>
      <c r="H18" s="1560">
        <f t="shared" si="61"/>
        <v>55.080830078125018</v>
      </c>
      <c r="I18" s="1560">
        <f t="shared" si="61"/>
        <v>72.568281249999998</v>
      </c>
      <c r="J18" s="1561">
        <f t="shared" si="61"/>
        <v>55.060048076923088</v>
      </c>
      <c r="K18" s="1562">
        <f t="shared" si="61"/>
        <v>61.319755859375</v>
      </c>
      <c r="L18" s="1560">
        <f t="shared" si="61"/>
        <v>56.261513671875008</v>
      </c>
      <c r="M18" s="1560">
        <f t="shared" si="61"/>
        <v>64.744736328125001</v>
      </c>
      <c r="N18" s="1561">
        <f t="shared" si="61"/>
        <v>42.035863095238099</v>
      </c>
      <c r="O18" s="1562">
        <f t="shared" si="61"/>
        <v>35.479599609374993</v>
      </c>
      <c r="P18" s="1560">
        <f t="shared" si="61"/>
        <v>42.463750000000005</v>
      </c>
      <c r="Q18" s="1560">
        <f t="shared" si="61"/>
        <v>49.926091269841251</v>
      </c>
      <c r="R18" s="1560">
        <f t="shared" si="61"/>
        <v>46.815820312500001</v>
      </c>
      <c r="S18" s="1208">
        <f t="shared" si="61"/>
        <v>71.969464285714295</v>
      </c>
      <c r="T18" s="1209">
        <f t="shared" si="61"/>
        <v>47.40742187499999</v>
      </c>
      <c r="U18" s="1209">
        <f t="shared" si="61"/>
        <v>63.43471679687498</v>
      </c>
      <c r="V18" s="1210">
        <f t="shared" si="61"/>
        <v>49.675136718749997</v>
      </c>
      <c r="W18" s="1209">
        <f t="shared" si="61"/>
        <v>145.08544642857149</v>
      </c>
      <c r="X18" s="1209">
        <f t="shared" si="61"/>
        <v>45.55554687499999</v>
      </c>
      <c r="Y18" s="1209">
        <f t="shared" si="61"/>
        <v>40.321435546875001</v>
      </c>
      <c r="Z18" s="1210">
        <f t="shared" si="61"/>
        <v>42.091767578124994</v>
      </c>
      <c r="AA18" s="1209">
        <f t="shared" si="61"/>
        <v>77.999513888888885</v>
      </c>
      <c r="AB18" s="1209">
        <f t="shared" si="61"/>
        <v>32.442470703124989</v>
      </c>
      <c r="AC18" s="1209">
        <f t="shared" si="61"/>
        <v>38.379144230769235</v>
      </c>
      <c r="AD18" s="1210">
        <f t="shared" si="61"/>
        <v>27.262890625000001</v>
      </c>
      <c r="AE18" s="1209">
        <f t="shared" si="61"/>
        <v>30.82033203124999</v>
      </c>
      <c r="AF18" s="1209">
        <f t="shared" si="61"/>
        <v>28.172070312500008</v>
      </c>
      <c r="AG18" s="1209">
        <f t="shared" si="61"/>
        <v>39.596083984375014</v>
      </c>
      <c r="AH18" s="1210">
        <f t="shared" si="61"/>
        <v>34.996567460317451</v>
      </c>
      <c r="AI18" s="1209">
        <f t="shared" si="61"/>
        <v>34.973046875000001</v>
      </c>
      <c r="AJ18" s="1209">
        <f t="shared" si="61"/>
        <v>33.375703125000008</v>
      </c>
      <c r="AK18" s="1209">
        <f t="shared" si="61"/>
        <v>32.778422619047618</v>
      </c>
      <c r="AL18" s="1210">
        <f t="shared" si="61"/>
        <v>41.835218253968264</v>
      </c>
      <c r="AM18" s="1209">
        <f t="shared" si="61"/>
        <v>50.315361328125007</v>
      </c>
      <c r="AN18" s="1209">
        <f t="shared" si="61"/>
        <v>37.133333333333333</v>
      </c>
      <c r="AO18" s="1209">
        <f t="shared" si="61"/>
        <v>29.216666666666669</v>
      </c>
      <c r="AP18" s="1210">
        <f t="shared" si="61"/>
        <v>41.81666666666667</v>
      </c>
      <c r="AQ18" s="1209">
        <f t="shared" ref="AQ18:AT18" si="62">IF(ISBLANK(AQ161),"",AQ161)</f>
        <v>72.206176601284838</v>
      </c>
      <c r="AR18" s="1209">
        <f t="shared" si="62"/>
        <v>35.335679660435538</v>
      </c>
      <c r="AS18" s="1209">
        <f t="shared" si="62"/>
        <v>28.167385316684786</v>
      </c>
      <c r="AT18" s="1210">
        <f t="shared" si="62"/>
        <v>29.507425087994822</v>
      </c>
      <c r="AU18" s="1209">
        <f t="shared" ref="AU18:AX18" si="63">IF(ISBLANK(AU161),"",AU161)</f>
        <v>73.276922890037596</v>
      </c>
      <c r="AV18" s="1209">
        <f t="shared" si="63"/>
        <v>35.859672892564298</v>
      </c>
      <c r="AW18" s="1209">
        <f t="shared" si="63"/>
        <v>28.585079823046065</v>
      </c>
      <c r="AX18" s="1210">
        <f t="shared" si="63"/>
        <v>29.944991060752034</v>
      </c>
      <c r="AY18" s="1209">
        <f t="shared" ref="AY18:BB18" si="64">IF(ISBLANK(AY161),"",AY161)</f>
        <v>73.888777912182022</v>
      </c>
      <c r="AZ18" s="1209">
        <f t="shared" si="64"/>
        <v>36.159097596637878</v>
      </c>
      <c r="BA18" s="1209">
        <f t="shared" si="64"/>
        <v>28.823762398109654</v>
      </c>
      <c r="BB18" s="1210">
        <f t="shared" si="64"/>
        <v>30.195028759470443</v>
      </c>
      <c r="BC18" s="1211"/>
      <c r="BD18" s="1211"/>
      <c r="BE18" s="1269">
        <f t="shared" si="45"/>
        <v>58.257149877303696</v>
      </c>
      <c r="BF18" s="1269">
        <f t="shared" si="46"/>
        <v>56.090467238653275</v>
      </c>
      <c r="BG18" s="1269">
        <f t="shared" si="47"/>
        <v>43.671315297929063</v>
      </c>
      <c r="BH18" s="1273">
        <f t="shared" si="48"/>
        <v>58.121684919084821</v>
      </c>
      <c r="BI18" s="1273">
        <f t="shared" si="49"/>
        <v>68.263549107142865</v>
      </c>
      <c r="BJ18" s="1273">
        <f t="shared" si="50"/>
        <v>44.021004861945784</v>
      </c>
      <c r="BK18" s="1273">
        <f t="shared" si="51"/>
        <v>33.396263447110613</v>
      </c>
      <c r="BL18" s="1273">
        <f t="shared" si="52"/>
        <v>35.740597718253973</v>
      </c>
      <c r="BM18" s="1273">
        <f t="shared" si="53"/>
        <v>39.62050699869792</v>
      </c>
      <c r="BN18" s="1273">
        <f t="shared" si="54"/>
        <v>41.304166666599997</v>
      </c>
      <c r="BO18" s="1273">
        <f t="shared" si="55"/>
        <v>41.916666666600001</v>
      </c>
      <c r="BP18" s="1273">
        <f t="shared" si="60"/>
        <v>42.266666666599995</v>
      </c>
      <c r="BQ18" s="1205"/>
      <c r="BR18" s="1276"/>
      <c r="BS18" s="1273"/>
      <c r="BU18" s="1186"/>
      <c r="BV18" s="1410"/>
      <c r="BW18" s="1205"/>
      <c r="BX18" s="1205"/>
      <c r="BY18" s="1411"/>
    </row>
    <row r="19" spans="1:77" ht="12.75" customHeight="1">
      <c r="A19" s="1187"/>
      <c r="B19" s="1619"/>
      <c r="C19" s="1223" t="str">
        <f t="shared" si="36"/>
        <v>NY Zone J</v>
      </c>
      <c r="D19" s="1621" t="str">
        <f t="shared" si="36"/>
        <v/>
      </c>
      <c r="E19" s="1221" t="str">
        <f t="shared" si="36"/>
        <v/>
      </c>
      <c r="F19" s="1222"/>
      <c r="G19" s="1562">
        <f t="shared" ref="G19:AP19" si="65">IF(ISBLANK(G162),"",G162)</f>
        <v>55.422135416666663</v>
      </c>
      <c r="H19" s="1560">
        <f t="shared" si="65"/>
        <v>64.299941406249999</v>
      </c>
      <c r="I19" s="1560">
        <f t="shared" si="65"/>
        <v>80.573457031249987</v>
      </c>
      <c r="J19" s="1561">
        <f t="shared" si="65"/>
        <v>59.753067307692298</v>
      </c>
      <c r="K19" s="1562">
        <f t="shared" si="65"/>
        <v>70.866767578124993</v>
      </c>
      <c r="L19" s="1560">
        <f t="shared" si="65"/>
        <v>61.81411132812498</v>
      </c>
      <c r="M19" s="1560">
        <f t="shared" si="65"/>
        <v>68.602324218750013</v>
      </c>
      <c r="N19" s="1561">
        <f t="shared" si="65"/>
        <v>45.84968253968254</v>
      </c>
      <c r="O19" s="1562">
        <f t="shared" si="65"/>
        <v>40.598867187499984</v>
      </c>
      <c r="P19" s="1560">
        <f t="shared" si="65"/>
        <v>44.787695312499999</v>
      </c>
      <c r="Q19" s="1560">
        <f t="shared" si="65"/>
        <v>52.449682539682534</v>
      </c>
      <c r="R19" s="1560">
        <f t="shared" si="65"/>
        <v>48.760292968750008</v>
      </c>
      <c r="S19" s="1208">
        <f t="shared" si="65"/>
        <v>82.751825396825382</v>
      </c>
      <c r="T19" s="1209">
        <f t="shared" si="65"/>
        <v>51.984208984375009</v>
      </c>
      <c r="U19" s="1209">
        <f t="shared" si="65"/>
        <v>67.099775390625013</v>
      </c>
      <c r="V19" s="1210">
        <f t="shared" si="65"/>
        <v>50.633037109375017</v>
      </c>
      <c r="W19" s="1209">
        <f t="shared" si="65"/>
        <v>156.84135912698406</v>
      </c>
      <c r="X19" s="1209">
        <f t="shared" si="65"/>
        <v>47.093769531249976</v>
      </c>
      <c r="Y19" s="1209">
        <f t="shared" si="65"/>
        <v>41.267587890624995</v>
      </c>
      <c r="Z19" s="1210">
        <f t="shared" si="65"/>
        <v>42.321269531250003</v>
      </c>
      <c r="AA19" s="1209">
        <f t="shared" si="65"/>
        <v>80.378015873015883</v>
      </c>
      <c r="AB19" s="1209">
        <f t="shared" si="65"/>
        <v>34.555751953125004</v>
      </c>
      <c r="AC19" s="1209">
        <f t="shared" si="65"/>
        <v>41.128067307692319</v>
      </c>
      <c r="AD19" s="1210">
        <f t="shared" si="65"/>
        <v>28.156972656249998</v>
      </c>
      <c r="AE19" s="1209">
        <f t="shared" si="65"/>
        <v>32.810527343750003</v>
      </c>
      <c r="AF19" s="1209">
        <f t="shared" si="65"/>
        <v>29.281435546875006</v>
      </c>
      <c r="AG19" s="1209">
        <f t="shared" si="65"/>
        <v>42.594873046874994</v>
      </c>
      <c r="AH19" s="1210">
        <f t="shared" si="65"/>
        <v>35.888214285714291</v>
      </c>
      <c r="AI19" s="1209">
        <f t="shared" si="65"/>
        <v>35.824277343750005</v>
      </c>
      <c r="AJ19" s="1209">
        <f t="shared" si="65"/>
        <v>38.990224609374998</v>
      </c>
      <c r="AK19" s="1209">
        <f t="shared" si="65"/>
        <v>35.719781746031757</v>
      </c>
      <c r="AL19" s="1210">
        <f t="shared" si="65"/>
        <v>42.862331349206364</v>
      </c>
      <c r="AM19" s="1209">
        <f t="shared" si="65"/>
        <v>61.037626953124992</v>
      </c>
      <c r="AN19" s="1209">
        <f t="shared" si="65"/>
        <v>41.31666666666667</v>
      </c>
      <c r="AO19" s="1209">
        <f t="shared" si="65"/>
        <v>34.133333333333333</v>
      </c>
      <c r="AP19" s="1210">
        <f t="shared" si="65"/>
        <v>45.383333333333333</v>
      </c>
      <c r="AQ19" s="1209">
        <f t="shared" ref="AQ19:AT19" si="66">IF(ISBLANK(AQ162),"",AQ162)</f>
        <v>76.012753062656998</v>
      </c>
      <c r="AR19" s="1209">
        <f t="shared" si="66"/>
        <v>38.217946206964925</v>
      </c>
      <c r="AS19" s="1209">
        <f t="shared" si="66"/>
        <v>32.581730048010407</v>
      </c>
      <c r="AT19" s="1210">
        <f t="shared" si="66"/>
        <v>37.154237348767644</v>
      </c>
      <c r="AU19" s="1209">
        <f t="shared" ref="AU19:AX19" si="67">IF(ISBLANK(AU162),"",AU162)</f>
        <v>77.355612896616023</v>
      </c>
      <c r="AV19" s="1209">
        <f t="shared" si="67"/>
        <v>38.893113765432851</v>
      </c>
      <c r="AW19" s="1209">
        <f t="shared" si="67"/>
        <v>33.157326837226861</v>
      </c>
      <c r="AX19" s="1210">
        <f t="shared" si="67"/>
        <v>37.810613167124252</v>
      </c>
      <c r="AY19" s="1209">
        <f t="shared" ref="AY19:BB19" si="68">IF(ISBLANK(AY162),"",AY162)</f>
        <v>78.264625707295977</v>
      </c>
      <c r="AZ19" s="1209">
        <f t="shared" si="68"/>
        <v>39.350150266549605</v>
      </c>
      <c r="BA19" s="1209">
        <f t="shared" si="68"/>
        <v>33.546961586850315</v>
      </c>
      <c r="BB19" s="1210">
        <f t="shared" si="68"/>
        <v>38.254929105704107</v>
      </c>
      <c r="BC19" s="1211"/>
      <c r="BD19" s="1211"/>
      <c r="BE19" s="1269">
        <f t="shared" si="45"/>
        <v>65.012150290464731</v>
      </c>
      <c r="BF19" s="1269">
        <f t="shared" si="46"/>
        <v>61.783221416170633</v>
      </c>
      <c r="BG19" s="1269">
        <f t="shared" si="47"/>
        <v>46.649134502108133</v>
      </c>
      <c r="BH19" s="1273">
        <f t="shared" si="48"/>
        <v>63.117211720300105</v>
      </c>
      <c r="BI19" s="1273">
        <f t="shared" si="49"/>
        <v>71.880996520027253</v>
      </c>
      <c r="BJ19" s="1273">
        <f t="shared" si="50"/>
        <v>46.054701947520797</v>
      </c>
      <c r="BK19" s="1273">
        <f t="shared" si="51"/>
        <v>35.143762555803576</v>
      </c>
      <c r="BL19" s="1273">
        <f t="shared" si="52"/>
        <v>38.349153762090779</v>
      </c>
      <c r="BM19" s="1273">
        <f t="shared" si="53"/>
        <v>45.467740071614578</v>
      </c>
      <c r="BN19" s="1273">
        <f t="shared" si="54"/>
        <v>45.991666666599997</v>
      </c>
      <c r="BO19" s="1273">
        <f t="shared" si="55"/>
        <v>46.804166666599997</v>
      </c>
      <c r="BP19" s="1273">
        <f t="shared" si="60"/>
        <v>47.354166666599994</v>
      </c>
      <c r="BQ19" s="1205"/>
      <c r="BR19" s="1276"/>
      <c r="BS19" s="1273"/>
      <c r="BU19" s="1186"/>
      <c r="BV19" s="1412" t="s">
        <v>449</v>
      </c>
      <c r="BW19" s="1413"/>
      <c r="BX19" s="1630">
        <f>BX17*BW9*8.76*0.48/365</f>
        <v>59.63771707925941</v>
      </c>
      <c r="BY19" s="1414" t="s">
        <v>450</v>
      </c>
    </row>
    <row r="20" spans="1:77" ht="12.75" customHeight="1">
      <c r="A20" s="1187"/>
      <c r="B20" s="1619"/>
      <c r="C20" s="1223" t="str">
        <f t="shared" si="36"/>
        <v>PJM West</v>
      </c>
      <c r="D20" s="1223" t="str">
        <f t="shared" si="36"/>
        <v/>
      </c>
      <c r="E20" s="1221" t="str">
        <f t="shared" si="36"/>
        <v/>
      </c>
      <c r="F20" s="1222"/>
      <c r="G20" s="1562">
        <f t="shared" ref="G20:AP20" si="69">IF(ISBLANK(G163),"",G163)</f>
        <v>45.204388619791672</v>
      </c>
      <c r="H20" s="1560">
        <f t="shared" si="69"/>
        <v>51.584562626953129</v>
      </c>
      <c r="I20" s="1560">
        <f t="shared" si="69"/>
        <v>66.121800654296877</v>
      </c>
      <c r="J20" s="1561">
        <f t="shared" si="69"/>
        <v>49.490597307692312</v>
      </c>
      <c r="K20" s="1562">
        <f t="shared" si="69"/>
        <v>50.059908115234371</v>
      </c>
      <c r="L20" s="1560">
        <f t="shared" si="69"/>
        <v>59.78809870117189</v>
      </c>
      <c r="M20" s="1560">
        <f t="shared" si="69"/>
        <v>57.162939843749975</v>
      </c>
      <c r="N20" s="1561">
        <f t="shared" si="69"/>
        <v>39.320604523809529</v>
      </c>
      <c r="O20" s="1562">
        <f t="shared" si="69"/>
        <v>34.398327744140623</v>
      </c>
      <c r="P20" s="1560">
        <f t="shared" si="69"/>
        <v>38.54343235351562</v>
      </c>
      <c r="Q20" s="1560">
        <f t="shared" si="69"/>
        <v>48.952091091269828</v>
      </c>
      <c r="R20" s="1560">
        <f t="shared" si="69"/>
        <v>41.477144667968737</v>
      </c>
      <c r="S20" s="1208">
        <f t="shared" si="69"/>
        <v>41.997815863095234</v>
      </c>
      <c r="T20" s="1209">
        <f t="shared" si="69"/>
        <v>45.530304316406237</v>
      </c>
      <c r="U20" s="1209">
        <f t="shared" si="69"/>
        <v>48.136464199218764</v>
      </c>
      <c r="V20" s="1210">
        <f t="shared" si="69"/>
        <v>40.193486718750002</v>
      </c>
      <c r="W20" s="1209">
        <f t="shared" si="69"/>
        <v>113.57858770833333</v>
      </c>
      <c r="X20" s="1209">
        <f t="shared" si="69"/>
        <v>50.488559589843774</v>
      </c>
      <c r="Y20" s="1209">
        <f t="shared" si="69"/>
        <v>41.389708935546885</v>
      </c>
      <c r="Z20" s="1210">
        <f t="shared" si="69"/>
        <v>40.371172851562484</v>
      </c>
      <c r="AA20" s="1209">
        <f t="shared" si="69"/>
        <v>56.866776517857168</v>
      </c>
      <c r="AB20" s="1209">
        <f t="shared" si="69"/>
        <v>39.147263818359377</v>
      </c>
      <c r="AC20" s="1209">
        <f t="shared" si="69"/>
        <v>39.464831807692299</v>
      </c>
      <c r="AD20" s="1210">
        <f t="shared" si="69"/>
        <v>31.895178447265625</v>
      </c>
      <c r="AE20" s="1209">
        <f t="shared" si="69"/>
        <v>30.103148642578116</v>
      </c>
      <c r="AF20" s="1209">
        <f t="shared" si="69"/>
        <v>32.701806339843749</v>
      </c>
      <c r="AG20" s="1209">
        <f t="shared" si="69"/>
        <v>38.936782353515625</v>
      </c>
      <c r="AH20" s="1210">
        <f t="shared" si="69"/>
        <v>33.269796091269853</v>
      </c>
      <c r="AI20" s="1209">
        <f t="shared" si="69"/>
        <v>32.144072138671881</v>
      </c>
      <c r="AJ20" s="1209">
        <f t="shared" si="69"/>
        <v>32.803312458984372</v>
      </c>
      <c r="AK20" s="1209">
        <f t="shared" si="69"/>
        <v>35.491018034722238</v>
      </c>
      <c r="AL20" s="1210">
        <f t="shared" si="69"/>
        <v>37.447859950396833</v>
      </c>
      <c r="AM20" s="1209">
        <f t="shared" si="69"/>
        <v>48.149713212890617</v>
      </c>
      <c r="AN20" s="1209">
        <f t="shared" si="69"/>
        <v>34.5</v>
      </c>
      <c r="AO20" s="1209">
        <f t="shared" si="69"/>
        <v>36.9</v>
      </c>
      <c r="AP20" s="1210">
        <f t="shared" si="69"/>
        <v>34.68333333333333</v>
      </c>
      <c r="AQ20" s="1209">
        <f t="shared" ref="AQ20:AT20" si="70">IF(ISBLANK(AQ163),"",AQ163)</f>
        <v>40.501333218824747</v>
      </c>
      <c r="AR20" s="1209">
        <f t="shared" si="70"/>
        <v>29.678493986239484</v>
      </c>
      <c r="AS20" s="1209">
        <f t="shared" si="70"/>
        <v>32.100602483050345</v>
      </c>
      <c r="AT20" s="1210">
        <f t="shared" si="70"/>
        <v>39.002903645085446</v>
      </c>
      <c r="AU20" s="1209">
        <f t="shared" ref="AU20:AX20" si="71">IF(ISBLANK(AU163),"",AU163)</f>
        <v>40.405777401430235</v>
      </c>
      <c r="AV20" s="1209">
        <f t="shared" si="71"/>
        <v>29.608472766528742</v>
      </c>
      <c r="AW20" s="1209">
        <f t="shared" si="71"/>
        <v>32.024866721648337</v>
      </c>
      <c r="AX20" s="1210">
        <f t="shared" si="71"/>
        <v>38.910883110392696</v>
      </c>
      <c r="AY20" s="1340">
        <f>IF(ISBLANK(AY163),"",IF(Uplift="Yes",AY82/1000*(AY57+AY$8),AY163))</f>
        <v>39.428873693835754</v>
      </c>
      <c r="AZ20" s="1340">
        <f>IF(ISBLANK(AZ163),"",IF(Uplift="Yes",AZ82/1000*(AZ57+AZ$8),AZ163))</f>
        <v>34.116794013961901</v>
      </c>
      <c r="BA20" s="1340">
        <f>IF(ISBLANK(BA163),"",IF(Uplift="Yes",BA82/1000*(BA57+BA$8),BA163))</f>
        <v>34.614801483950075</v>
      </c>
      <c r="BB20" s="1341">
        <f>IF(ISBLANK(BB163),"",IF(Uplift="Yes",BB82/1000*(BB57+BB$8),BB163))</f>
        <v>41.06825080825223</v>
      </c>
      <c r="BC20" s="1211"/>
      <c r="BD20" s="1211"/>
      <c r="BE20" s="1269">
        <f t="shared" si="45"/>
        <v>53.100337302183505</v>
      </c>
      <c r="BF20" s="1269">
        <f t="shared" si="46"/>
        <v>51.582887795991439</v>
      </c>
      <c r="BG20" s="1269">
        <f t="shared" si="47"/>
        <v>40.842748964223702</v>
      </c>
      <c r="BH20" s="1273">
        <f t="shared" si="48"/>
        <v>43.964517774367557</v>
      </c>
      <c r="BI20" s="1273">
        <f t="shared" si="49"/>
        <v>61.457007271321615</v>
      </c>
      <c r="BJ20" s="1273">
        <f t="shared" si="50"/>
        <v>41.843512647793617</v>
      </c>
      <c r="BK20" s="1273">
        <f t="shared" si="51"/>
        <v>33.752883356801831</v>
      </c>
      <c r="BL20" s="1273">
        <f t="shared" si="52"/>
        <v>34.471565645693829</v>
      </c>
      <c r="BM20" s="1273">
        <f t="shared" si="53"/>
        <v>38.55826163655599</v>
      </c>
      <c r="BN20" s="1273">
        <f t="shared" si="54"/>
        <v>35.320833333300001</v>
      </c>
      <c r="BO20" s="1273">
        <f t="shared" si="55"/>
        <v>35.237500000000004</v>
      </c>
      <c r="BP20" s="1273">
        <f t="shared" si="60"/>
        <v>37.307179999999988</v>
      </c>
      <c r="BQ20" s="1224"/>
      <c r="BR20" s="1276"/>
      <c r="BS20" s="1273"/>
      <c r="BU20" s="1186"/>
    </row>
    <row r="21" spans="1:77" ht="12.75" customHeight="1">
      <c r="A21" s="1187"/>
      <c r="B21" s="1619"/>
      <c r="C21" s="1223" t="str">
        <f t="shared" si="36"/>
        <v>PJM East</v>
      </c>
      <c r="D21" s="1223" t="str">
        <f t="shared" si="36"/>
        <v/>
      </c>
      <c r="E21" s="1221" t="str">
        <f t="shared" si="36"/>
        <v/>
      </c>
      <c r="F21" s="1222"/>
      <c r="G21" s="1562">
        <f t="shared" ref="G21:AP21" si="72">IF(ISBLANK(G164),"",G164)</f>
        <v>48.483129505208346</v>
      </c>
      <c r="H21" s="1560">
        <f t="shared" si="72"/>
        <v>56.777662714843743</v>
      </c>
      <c r="I21" s="1560">
        <f t="shared" si="72"/>
        <v>79.80542767578126</v>
      </c>
      <c r="J21" s="1561">
        <f t="shared" si="72"/>
        <v>53.380955625000034</v>
      </c>
      <c r="K21" s="1562">
        <f t="shared" si="72"/>
        <v>56.349727597656255</v>
      </c>
      <c r="L21" s="1560">
        <f t="shared" si="72"/>
        <v>65.570403749999997</v>
      </c>
      <c r="M21" s="1560">
        <f t="shared" si="72"/>
        <v>66.498248447265624</v>
      </c>
      <c r="N21" s="1561">
        <f t="shared" si="72"/>
        <v>40.979681686507909</v>
      </c>
      <c r="O21" s="1562">
        <f t="shared" si="72"/>
        <v>38.512803037109371</v>
      </c>
      <c r="P21" s="1560">
        <f t="shared" si="72"/>
        <v>36.974501874023439</v>
      </c>
      <c r="Q21" s="1560">
        <f t="shared" si="72"/>
        <v>55.885414017857158</v>
      </c>
      <c r="R21" s="1560">
        <f t="shared" si="72"/>
        <v>46.126044788085935</v>
      </c>
      <c r="S21" s="1208">
        <f t="shared" si="72"/>
        <v>42.607887670634931</v>
      </c>
      <c r="T21" s="1209">
        <f t="shared" si="72"/>
        <v>47.166300820312507</v>
      </c>
      <c r="U21" s="1209">
        <f t="shared" si="72"/>
        <v>55.200128388671871</v>
      </c>
      <c r="V21" s="1210">
        <f t="shared" si="72"/>
        <v>42.192332373046867</v>
      </c>
      <c r="W21" s="1209">
        <f t="shared" si="72"/>
        <v>132.34547472222224</v>
      </c>
      <c r="X21" s="1209">
        <f t="shared" si="72"/>
        <v>53.88701666992187</v>
      </c>
      <c r="Y21" s="1209">
        <f t="shared" si="72"/>
        <v>45.337472450195328</v>
      </c>
      <c r="Z21" s="1210">
        <f t="shared" si="72"/>
        <v>49.12051941503907</v>
      </c>
      <c r="AA21" s="1209">
        <f t="shared" si="72"/>
        <v>67.284598143849209</v>
      </c>
      <c r="AB21" s="1209">
        <f t="shared" si="72"/>
        <v>36.819058058593754</v>
      </c>
      <c r="AC21" s="1209">
        <f t="shared" si="72"/>
        <v>39.89850856153847</v>
      </c>
      <c r="AD21" s="1210">
        <f t="shared" si="72"/>
        <v>30.041686161132823</v>
      </c>
      <c r="AE21" s="1209">
        <f t="shared" si="72"/>
        <v>31.266320479492187</v>
      </c>
      <c r="AF21" s="1209">
        <f t="shared" si="72"/>
        <v>28.707086242187497</v>
      </c>
      <c r="AG21" s="1209">
        <f t="shared" si="72"/>
        <v>40.605906624023433</v>
      </c>
      <c r="AH21" s="1210">
        <f t="shared" si="72"/>
        <v>28.828253920634918</v>
      </c>
      <c r="AI21" s="1209">
        <f t="shared" si="72"/>
        <v>33.256564817382809</v>
      </c>
      <c r="AJ21" s="1209">
        <f t="shared" si="72"/>
        <v>32.387231337890618</v>
      </c>
      <c r="AK21" s="1209">
        <f t="shared" si="72"/>
        <v>34.354411583333331</v>
      </c>
      <c r="AL21" s="1210">
        <f t="shared" si="72"/>
        <v>39.044797251984129</v>
      </c>
      <c r="AM21" s="1209">
        <f t="shared" si="72"/>
        <v>49.504310380859373</v>
      </c>
      <c r="AN21" s="1209">
        <f t="shared" si="72"/>
        <v>34.371333333333332</v>
      </c>
      <c r="AO21" s="1209">
        <f t="shared" si="72"/>
        <v>38.062833333333337</v>
      </c>
      <c r="AP21" s="1210">
        <f t="shared" si="72"/>
        <v>34.614333333333327</v>
      </c>
      <c r="AQ21" s="1209">
        <f t="shared" ref="AQ21:AT21" si="73">IF(ISBLANK(AQ164),"",AQ164)</f>
        <v>46.510944725679025</v>
      </c>
      <c r="AR21" s="1209">
        <f t="shared" si="73"/>
        <v>30.296280173373429</v>
      </c>
      <c r="AS21" s="1209">
        <f t="shared" si="73"/>
        <v>33.947384063861342</v>
      </c>
      <c r="AT21" s="1210">
        <f t="shared" si="73"/>
        <v>36.41005770348621</v>
      </c>
      <c r="AU21" s="1209">
        <f t="shared" ref="AU21:AX21" si="74">IF(ISBLANK(AU164),"",AU164)</f>
        <v>46.479340030218317</v>
      </c>
      <c r="AV21" s="1209">
        <f t="shared" si="74"/>
        <v>30.275693519756327</v>
      </c>
      <c r="AW21" s="1209">
        <f t="shared" si="74"/>
        <v>33.924316445231923</v>
      </c>
      <c r="AX21" s="1210">
        <f t="shared" si="74"/>
        <v>36.385316671193436</v>
      </c>
      <c r="AY21" s="1340">
        <f t="shared" ref="AY21:BB21" si="75">IF(ISBLANK(AY164),"",IF(Uplift="Yes",AY83/1000*(AY58+AY$8),AY164))</f>
        <v>39.672747413809603</v>
      </c>
      <c r="AZ21" s="1340">
        <f t="shared" si="75"/>
        <v>34.327811694415381</v>
      </c>
      <c r="BA21" s="1340">
        <f t="shared" si="75"/>
        <v>34.828899418108591</v>
      </c>
      <c r="BB21" s="1341">
        <f t="shared" si="75"/>
        <v>41.322264330809269</v>
      </c>
      <c r="BC21" s="1211"/>
      <c r="BD21" s="1211"/>
      <c r="BE21" s="1269">
        <f t="shared" si="45"/>
        <v>59.611793880208346</v>
      </c>
      <c r="BF21" s="1269">
        <f t="shared" si="46"/>
        <v>57.349515370357445</v>
      </c>
      <c r="BG21" s="1269">
        <f t="shared" si="47"/>
        <v>44.374690929268979</v>
      </c>
      <c r="BH21" s="1273">
        <f t="shared" si="48"/>
        <v>46.791662313166547</v>
      </c>
      <c r="BI21" s="1273">
        <f t="shared" si="49"/>
        <v>70.172620814344626</v>
      </c>
      <c r="BJ21" s="1273">
        <f t="shared" si="50"/>
        <v>43.510962731278561</v>
      </c>
      <c r="BK21" s="1273">
        <f t="shared" si="51"/>
        <v>32.351891816584505</v>
      </c>
      <c r="BL21" s="1273">
        <f t="shared" si="52"/>
        <v>34.760751247647725</v>
      </c>
      <c r="BM21" s="1273">
        <f t="shared" si="53"/>
        <v>39.138202595214842</v>
      </c>
      <c r="BN21" s="1273">
        <f>AVERAGE(AQ21:AT21)</f>
        <v>36.791166666600006</v>
      </c>
      <c r="BO21" s="1273">
        <f t="shared" si="55"/>
        <v>36.7661666666</v>
      </c>
      <c r="BP21" s="1273">
        <f t="shared" si="60"/>
        <v>37.537930714285714</v>
      </c>
      <c r="BQ21" s="1224"/>
      <c r="BR21" s="1276"/>
      <c r="BS21" s="1273"/>
      <c r="BU21" s="1186"/>
      <c r="BV21" s="1215" t="s">
        <v>480</v>
      </c>
    </row>
    <row r="22" spans="1:77" ht="12.75" customHeight="1">
      <c r="A22" s="1187"/>
      <c r="B22" s="1225"/>
      <c r="C22" s="1223" t="str">
        <f t="shared" si="36"/>
        <v>AEP Dayton</v>
      </c>
      <c r="D22" s="1621" t="str">
        <f t="shared" si="36"/>
        <v/>
      </c>
      <c r="E22" s="1221" t="str">
        <f t="shared" si="36"/>
        <v/>
      </c>
      <c r="F22" s="1222"/>
      <c r="G22" s="1562">
        <f t="shared" ref="G22:AP22" si="76">IF(ISBLANK(G165),"",G165)</f>
        <v>39.728964218749987</v>
      </c>
      <c r="H22" s="1560">
        <f t="shared" si="76"/>
        <v>43.07423765625002</v>
      </c>
      <c r="I22" s="1560">
        <f t="shared" si="76"/>
        <v>51.328195917968742</v>
      </c>
      <c r="J22" s="1561">
        <f t="shared" si="76"/>
        <v>38.933001861538465</v>
      </c>
      <c r="K22" s="1562">
        <f t="shared" si="76"/>
        <v>41.451086953125014</v>
      </c>
      <c r="L22" s="1560">
        <f t="shared" si="76"/>
        <v>51.097349746093769</v>
      </c>
      <c r="M22" s="1560">
        <f t="shared" si="76"/>
        <v>50.310268931640643</v>
      </c>
      <c r="N22" s="1561">
        <f t="shared" si="76"/>
        <v>37.410923978174601</v>
      </c>
      <c r="O22" s="1562">
        <f t="shared" si="76"/>
        <v>32.153772558593758</v>
      </c>
      <c r="P22" s="1560">
        <f t="shared" si="76"/>
        <v>34.709669501953115</v>
      </c>
      <c r="Q22" s="1560">
        <f t="shared" si="76"/>
        <v>44.635360783730164</v>
      </c>
      <c r="R22" s="1560">
        <f t="shared" si="76"/>
        <v>38.089502343749999</v>
      </c>
      <c r="S22" s="1208">
        <f t="shared" si="76"/>
        <v>38.017161944444446</v>
      </c>
      <c r="T22" s="1209">
        <f t="shared" si="76"/>
        <v>41.806956083984382</v>
      </c>
      <c r="U22" s="1209">
        <f t="shared" si="76"/>
        <v>41.772417763671875</v>
      </c>
      <c r="V22" s="1210">
        <f t="shared" si="76"/>
        <v>36.018476103515631</v>
      </c>
      <c r="W22" s="1209">
        <f t="shared" si="76"/>
        <v>79.351583283730179</v>
      </c>
      <c r="X22" s="1209">
        <f t="shared" si="76"/>
        <v>50.487840683593745</v>
      </c>
      <c r="Y22" s="1209">
        <f t="shared" si="76"/>
        <v>38.234623320312501</v>
      </c>
      <c r="Z22" s="1210">
        <f t="shared" si="76"/>
        <v>40.068190000000001</v>
      </c>
      <c r="AA22" s="1209">
        <f t="shared" si="76"/>
        <v>43.107304533730151</v>
      </c>
      <c r="AB22" s="1209">
        <f t="shared" si="76"/>
        <v>36.571755771484384</v>
      </c>
      <c r="AC22" s="1209">
        <f t="shared" si="76"/>
        <v>35.906114451923074</v>
      </c>
      <c r="AD22" s="1210">
        <f t="shared" si="76"/>
        <v>30.830603544921882</v>
      </c>
      <c r="AE22" s="1209">
        <f t="shared" si="76"/>
        <v>27.466274697265614</v>
      </c>
      <c r="AF22" s="1209">
        <f t="shared" si="76"/>
        <v>31.331062939453119</v>
      </c>
      <c r="AG22" s="1209">
        <f t="shared" si="76"/>
        <v>37.764263886718759</v>
      </c>
      <c r="AH22" s="1210">
        <f t="shared" si="76"/>
        <v>32.442105446428577</v>
      </c>
      <c r="AI22" s="1209">
        <f t="shared" si="76"/>
        <v>30.987138056640639</v>
      </c>
      <c r="AJ22" s="1209">
        <f t="shared" si="76"/>
        <v>33.05749094726562</v>
      </c>
      <c r="AK22" s="1209">
        <f t="shared" si="76"/>
        <v>36.590803630952387</v>
      </c>
      <c r="AL22" s="1210">
        <f t="shared" si="76"/>
        <v>32.10412905753968</v>
      </c>
      <c r="AM22" s="1209">
        <f t="shared" si="76"/>
        <v>39.582188720703122</v>
      </c>
      <c r="AN22" s="1209">
        <f t="shared" si="76"/>
        <v>35.416666666666664</v>
      </c>
      <c r="AO22" s="1209">
        <f t="shared" si="76"/>
        <v>37.699999999999996</v>
      </c>
      <c r="AP22" s="1210">
        <f t="shared" si="76"/>
        <v>34.06666666666667</v>
      </c>
      <c r="AQ22" s="1209">
        <f t="shared" ref="AQ22:AT22" si="77">IF(ISBLANK(AQ165),"",AQ165)</f>
        <v>37.104731797582915</v>
      </c>
      <c r="AR22" s="1209">
        <f t="shared" si="77"/>
        <v>31.21709085897621</v>
      </c>
      <c r="AS22" s="1209">
        <f t="shared" si="77"/>
        <v>33.846064219263162</v>
      </c>
      <c r="AT22" s="1210">
        <f t="shared" si="77"/>
        <v>36.098779790577716</v>
      </c>
      <c r="AU22" s="1209">
        <f t="shared" ref="AU22:AX22" si="78">IF(ISBLANK(AU165),"",AU165)</f>
        <v>36.757952834841539</v>
      </c>
      <c r="AV22" s="1209">
        <f t="shared" si="78"/>
        <v>30.925337493207795</v>
      </c>
      <c r="AW22" s="1209">
        <f t="shared" si="78"/>
        <v>33.52974060030094</v>
      </c>
      <c r="AX22" s="1210">
        <f t="shared" si="78"/>
        <v>35.761402404849747</v>
      </c>
      <c r="AY22" s="1340">
        <f t="shared" ref="AY22:BB22" si="79">IF(ISBLANK(AY165),"",IF(Uplift="Yes",AY84/1000*(AY59+AY$8),AY165))</f>
        <v>40.635458590641832</v>
      </c>
      <c r="AZ22" s="1340">
        <f t="shared" si="79"/>
        <v>35.160821005560344</v>
      </c>
      <c r="BA22" s="1340">
        <f t="shared" si="79"/>
        <v>35.674068279161737</v>
      </c>
      <c r="BB22" s="1341">
        <f t="shared" si="79"/>
        <v>42.325003196064621</v>
      </c>
      <c r="BC22" s="1211"/>
      <c r="BD22" s="1211"/>
      <c r="BE22" s="1269">
        <f t="shared" si="45"/>
        <v>43.266099913626803</v>
      </c>
      <c r="BF22" s="1269">
        <f t="shared" si="46"/>
        <v>45.067407402258503</v>
      </c>
      <c r="BG22" s="1269">
        <f t="shared" si="47"/>
        <v>37.397076297006763</v>
      </c>
      <c r="BH22" s="1273">
        <f t="shared" si="48"/>
        <v>39.403752973904083</v>
      </c>
      <c r="BI22" s="1273">
        <f t="shared" si="49"/>
        <v>52.035559321909105</v>
      </c>
      <c r="BJ22" s="1273">
        <f t="shared" si="50"/>
        <v>36.603944575514873</v>
      </c>
      <c r="BK22" s="1273">
        <f t="shared" si="51"/>
        <v>32.250926742466518</v>
      </c>
      <c r="BL22" s="1273">
        <f t="shared" si="52"/>
        <v>33.184890423099588</v>
      </c>
      <c r="BM22" s="1273">
        <f>AVERAGE(AM22:AP22)</f>
        <v>36.69138051350911</v>
      </c>
      <c r="BN22" s="1273">
        <f t="shared" si="54"/>
        <v>34.5666666666</v>
      </c>
      <c r="BO22" s="1273">
        <f t="shared" si="55"/>
        <v>34.243608333300003</v>
      </c>
      <c r="BP22" s="1273">
        <f t="shared" si="60"/>
        <v>38.448837767857128</v>
      </c>
      <c r="BQ22" s="1205"/>
      <c r="BR22" s="1276"/>
      <c r="BS22" s="1273"/>
      <c r="BU22" s="1186"/>
      <c r="BV22" s="1271" t="s">
        <v>311</v>
      </c>
      <c r="BW22" s="1629"/>
      <c r="BX22" s="1629">
        <v>22</v>
      </c>
      <c r="BY22" s="1272" t="s">
        <v>312</v>
      </c>
    </row>
    <row r="23" spans="1:77" ht="12.75" customHeight="1">
      <c r="A23" s="1187"/>
      <c r="B23" s="1619"/>
      <c r="C23" s="1223" t="str">
        <f t="shared" si="36"/>
        <v>Cinergy</v>
      </c>
      <c r="D23" s="1621" t="str">
        <f t="shared" si="36"/>
        <v/>
      </c>
      <c r="E23" s="1221" t="str">
        <f t="shared" si="36"/>
        <v/>
      </c>
      <c r="F23" s="1222"/>
      <c r="G23" s="1562">
        <f t="shared" ref="G23:AP23" si="80">IF(ISBLANK(G166),"",G166)</f>
        <v>39.774283945312497</v>
      </c>
      <c r="H23" s="1560">
        <f t="shared" si="80"/>
        <v>43.262810498046875</v>
      </c>
      <c r="I23" s="1560">
        <f t="shared" si="80"/>
        <v>51.606527089843752</v>
      </c>
      <c r="J23" s="1561">
        <f t="shared" si="80"/>
        <v>38.918928847115382</v>
      </c>
      <c r="K23" s="1562">
        <f t="shared" si="80"/>
        <v>41.488797080078136</v>
      </c>
      <c r="L23" s="1560">
        <f t="shared" si="80"/>
        <v>50.985843300781255</v>
      </c>
      <c r="M23" s="1560">
        <f t="shared" si="80"/>
        <v>50.268828780273431</v>
      </c>
      <c r="N23" s="1561">
        <f t="shared" si="80"/>
        <v>37.525041934523813</v>
      </c>
      <c r="O23" s="1562">
        <f t="shared" si="80"/>
        <v>32.221690878906244</v>
      </c>
      <c r="P23" s="1560">
        <f t="shared" si="80"/>
        <v>34.827419687500004</v>
      </c>
      <c r="Q23" s="1560">
        <f t="shared" si="80"/>
        <v>44.932445357142846</v>
      </c>
      <c r="R23" s="1560">
        <f t="shared" si="80"/>
        <v>38.199312265625004</v>
      </c>
      <c r="S23" s="1208">
        <f t="shared" si="80"/>
        <v>37.715632986111103</v>
      </c>
      <c r="T23" s="1209">
        <f t="shared" si="80"/>
        <v>41.987925156249993</v>
      </c>
      <c r="U23" s="1209">
        <f t="shared" si="80"/>
        <v>41.924110576171877</v>
      </c>
      <c r="V23" s="1210">
        <f t="shared" si="80"/>
        <v>36.103588144531251</v>
      </c>
      <c r="W23" s="1209">
        <f t="shared" si="80"/>
        <v>79.291454067460307</v>
      </c>
      <c r="X23" s="1209">
        <f t="shared" si="80"/>
        <v>50.610264160156234</v>
      </c>
      <c r="Y23" s="1209">
        <f t="shared" si="80"/>
        <v>38.224814638671887</v>
      </c>
      <c r="Z23" s="1210">
        <f t="shared" si="80"/>
        <v>39.049467128906258</v>
      </c>
      <c r="AA23" s="1209">
        <f t="shared" si="80"/>
        <v>42.983203065476189</v>
      </c>
      <c r="AB23" s="1209">
        <f t="shared" si="80"/>
        <v>35.431994833984376</v>
      </c>
      <c r="AC23" s="1209">
        <f t="shared" si="80"/>
        <v>35.234762865384596</v>
      </c>
      <c r="AD23" s="1210">
        <f t="shared" si="80"/>
        <v>30.793894384765622</v>
      </c>
      <c r="AE23" s="1209">
        <f t="shared" si="80"/>
        <v>27.255926289062497</v>
      </c>
      <c r="AF23" s="1209">
        <f t="shared" si="80"/>
        <v>31.587512695312501</v>
      </c>
      <c r="AG23" s="1209">
        <f t="shared" si="80"/>
        <v>38.382545029296871</v>
      </c>
      <c r="AH23" s="1210">
        <f t="shared" si="80"/>
        <v>32.453721736111113</v>
      </c>
      <c r="AI23" s="1209">
        <f t="shared" si="80"/>
        <v>31.073804345703124</v>
      </c>
      <c r="AJ23" s="1209">
        <f t="shared" si="80"/>
        <v>33.234170273437506</v>
      </c>
      <c r="AK23" s="1209">
        <f t="shared" si="80"/>
        <v>36.864877966269844</v>
      </c>
      <c r="AL23" s="1210">
        <f t="shared" si="80"/>
        <v>32.037018710317462</v>
      </c>
      <c r="AM23" s="1209">
        <f t="shared" si="80"/>
        <v>38.43211967773437</v>
      </c>
      <c r="AN23" s="1209">
        <f t="shared" si="80"/>
        <v>33.833333333333336</v>
      </c>
      <c r="AO23" s="1209">
        <f t="shared" si="80"/>
        <v>36.31666666666667</v>
      </c>
      <c r="AP23" s="1210">
        <f t="shared" si="80"/>
        <v>33.616666666666667</v>
      </c>
      <c r="AQ23" s="1209">
        <f t="shared" ref="AQ23:AT23" si="81">IF(ISBLANK(AQ166),"",AQ166)</f>
        <v>34.505559751881279</v>
      </c>
      <c r="AR23" s="1209">
        <f t="shared" si="81"/>
        <v>30.200278902105268</v>
      </c>
      <c r="AS23" s="1209">
        <f t="shared" si="81"/>
        <v>33.302613632090925</v>
      </c>
      <c r="AT23" s="1210">
        <f t="shared" si="81"/>
        <v>36.708214380322516</v>
      </c>
      <c r="AU23" s="1209">
        <f t="shared" ref="AU23:AX23" si="82">IF(ISBLANK(AU166),"",AU166)</f>
        <v>34.591868474798638</v>
      </c>
      <c r="AV23" s="1209">
        <f t="shared" si="82"/>
        <v>30.275818830236602</v>
      </c>
      <c r="AW23" s="1209">
        <f t="shared" si="82"/>
        <v>33.385913427053367</v>
      </c>
      <c r="AX23" s="1210">
        <f t="shared" si="82"/>
        <v>36.800032601111397</v>
      </c>
      <c r="AY23" s="1340">
        <f t="shared" ref="AY23:BB23" si="83">IF(ISBLANK(AY166),"",IF(Uplift="Yes",AY85/1000*(AY60+AY$8),AY166))</f>
        <v>45.253924887002121</v>
      </c>
      <c r="AZ23" s="1340">
        <f t="shared" si="83"/>
        <v>39.664556131659985</v>
      </c>
      <c r="BA23" s="1340">
        <f t="shared" si="83"/>
        <v>40.188559452473314</v>
      </c>
      <c r="BB23" s="1341">
        <f t="shared" si="83"/>
        <v>46.978877028864567</v>
      </c>
      <c r="BC23" s="1211"/>
      <c r="BD23" s="1211"/>
      <c r="BE23" s="1269">
        <f t="shared" si="45"/>
        <v>43.390637595079625</v>
      </c>
      <c r="BF23" s="1269">
        <f t="shared" si="46"/>
        <v>45.067127773914159</v>
      </c>
      <c r="BG23" s="1269">
        <f t="shared" si="47"/>
        <v>37.545217047293526</v>
      </c>
      <c r="BH23" s="1273">
        <f t="shared" si="48"/>
        <v>39.432814215766051</v>
      </c>
      <c r="BI23" s="1273">
        <f t="shared" si="49"/>
        <v>51.793999998798668</v>
      </c>
      <c r="BJ23" s="1273">
        <f t="shared" si="50"/>
        <v>36.110963787402696</v>
      </c>
      <c r="BK23" s="1273">
        <f t="shared" si="51"/>
        <v>32.419926437445746</v>
      </c>
      <c r="BL23" s="1273">
        <f t="shared" si="52"/>
        <v>33.302467823931984</v>
      </c>
      <c r="BM23" s="1273">
        <f t="shared" si="53"/>
        <v>35.549696586100261</v>
      </c>
      <c r="BN23" s="1273">
        <f t="shared" si="54"/>
        <v>33.679166666599997</v>
      </c>
      <c r="BO23" s="1273">
        <f t="shared" si="55"/>
        <v>33.763408333300006</v>
      </c>
      <c r="BP23" s="1273">
        <f t="shared" si="60"/>
        <v>43.021479374999998</v>
      </c>
      <c r="BQ23" s="1205"/>
      <c r="BR23" s="1276"/>
      <c r="BS23" s="1273"/>
      <c r="BU23" s="1186"/>
      <c r="BV23" s="1274" t="s">
        <v>313</v>
      </c>
      <c r="BW23" s="1628"/>
      <c r="BX23" s="1628">
        <f>($BX$14/$BW$9+7)*1000</f>
        <v>14924.180004952612</v>
      </c>
      <c r="BY23" s="1275" t="s">
        <v>314</v>
      </c>
    </row>
    <row r="24" spans="1:77" ht="12.75" customHeight="1">
      <c r="A24" s="1187"/>
      <c r="B24" s="1619"/>
      <c r="C24" s="1223" t="str">
        <f t="shared" si="36"/>
        <v>NI Hub</v>
      </c>
      <c r="D24" s="1621" t="str">
        <f t="shared" si="36"/>
        <v/>
      </c>
      <c r="E24" s="1221" t="str">
        <f t="shared" si="36"/>
        <v/>
      </c>
      <c r="F24" s="1222"/>
      <c r="G24" s="1562">
        <f t="shared" ref="G24:AP24" si="84">IF(ISBLANK(G167),"",G167)</f>
        <v>37.965997395833334</v>
      </c>
      <c r="H24" s="1560">
        <f t="shared" si="84"/>
        <v>41.051071525390626</v>
      </c>
      <c r="I24" s="1560">
        <f t="shared" si="84"/>
        <v>50.072542607421866</v>
      </c>
      <c r="J24" s="1561">
        <f t="shared" si="84"/>
        <v>34.412752877884607</v>
      </c>
      <c r="K24" s="1562">
        <f t="shared" si="84"/>
        <v>39.612896863281264</v>
      </c>
      <c r="L24" s="1560">
        <f t="shared" si="84"/>
        <v>45.46599732519531</v>
      </c>
      <c r="M24" s="1560">
        <f t="shared" si="84"/>
        <v>47.308313137695315</v>
      </c>
      <c r="N24" s="1561">
        <f t="shared" si="84"/>
        <v>31.727422125992067</v>
      </c>
      <c r="O24" s="1562">
        <f t="shared" si="84"/>
        <v>30.441801791015621</v>
      </c>
      <c r="P24" s="1560">
        <f t="shared" si="84"/>
        <v>32.770161261718748</v>
      </c>
      <c r="Q24" s="1560">
        <f t="shared" si="84"/>
        <v>44.877897271825397</v>
      </c>
      <c r="R24" s="1560">
        <f t="shared" si="84"/>
        <v>35.019350765624992</v>
      </c>
      <c r="S24" s="1208">
        <f t="shared" si="84"/>
        <v>34.838090073412694</v>
      </c>
      <c r="T24" s="1209">
        <f t="shared" si="84"/>
        <v>39.428378864257809</v>
      </c>
      <c r="U24" s="1209">
        <f t="shared" si="84"/>
        <v>41.11704862597658</v>
      </c>
      <c r="V24" s="1210">
        <f t="shared" si="84"/>
        <v>34.355717211914069</v>
      </c>
      <c r="W24" s="1209">
        <f t="shared" si="84"/>
        <v>72.99622284523808</v>
      </c>
      <c r="X24" s="1209">
        <f t="shared" si="84"/>
        <v>48.442515457031263</v>
      </c>
      <c r="Y24" s="1209">
        <f t="shared" si="84"/>
        <v>37.030601145507809</v>
      </c>
      <c r="Z24" s="1210">
        <f t="shared" si="84"/>
        <v>38.673259170898433</v>
      </c>
      <c r="AA24" s="1209">
        <f t="shared" si="84"/>
        <v>39.963556904761916</v>
      </c>
      <c r="AB24" s="1209">
        <f t="shared" si="84"/>
        <v>30.605513267578125</v>
      </c>
      <c r="AC24" s="1209">
        <f t="shared" si="84"/>
        <v>33.950207826923084</v>
      </c>
      <c r="AD24" s="1210">
        <f t="shared" si="84"/>
        <v>29.947609584960937</v>
      </c>
      <c r="AE24" s="1209">
        <f t="shared" si="84"/>
        <v>26.738570957031257</v>
      </c>
      <c r="AF24" s="1209">
        <f t="shared" si="84"/>
        <v>29.587132090820305</v>
      </c>
      <c r="AG24" s="1209">
        <f t="shared" si="84"/>
        <v>37.576820068359396</v>
      </c>
      <c r="AH24" s="1210">
        <f t="shared" si="84"/>
        <v>31.571357599206348</v>
      </c>
      <c r="AI24" s="1209">
        <f t="shared" si="84"/>
        <v>29.354624452148443</v>
      </c>
      <c r="AJ24" s="1209">
        <f t="shared" si="84"/>
        <v>33.630935440429681</v>
      </c>
      <c r="AK24" s="1209">
        <f t="shared" si="84"/>
        <v>34.552619896825405</v>
      </c>
      <c r="AL24" s="1210">
        <f t="shared" si="84"/>
        <v>30.295690178571437</v>
      </c>
      <c r="AM24" s="1209">
        <f t="shared" si="84"/>
        <v>31.943508934570318</v>
      </c>
      <c r="AN24" s="1209">
        <f t="shared" si="84"/>
        <v>30.066666666666666</v>
      </c>
      <c r="AO24" s="1209">
        <f t="shared" si="84"/>
        <v>34.6</v>
      </c>
      <c r="AP24" s="1210">
        <f t="shared" si="84"/>
        <v>30.166666666666668</v>
      </c>
      <c r="AQ24" s="1209">
        <f t="shared" ref="AQ24:AT24" si="85">IF(ISBLANK(AQ167),"",AQ167)</f>
        <v>33.929172095569285</v>
      </c>
      <c r="AR24" s="1209">
        <f t="shared" si="85"/>
        <v>28.660363159574629</v>
      </c>
      <c r="AS24" s="1209">
        <f t="shared" si="85"/>
        <v>32.36321030654301</v>
      </c>
      <c r="AT24" s="1210">
        <f t="shared" si="85"/>
        <v>28.947254438313074</v>
      </c>
      <c r="AU24" s="1209">
        <f t="shared" ref="AU24:AX24" si="86">IF(ISBLANK(AU167),"",AU167)</f>
        <v>33.932622519850185</v>
      </c>
      <c r="AV24" s="1209">
        <f t="shared" si="86"/>
        <v>28.663277772777295</v>
      </c>
      <c r="AW24" s="1209">
        <f t="shared" si="86"/>
        <v>32.366501480472486</v>
      </c>
      <c r="AX24" s="1210">
        <f t="shared" si="86"/>
        <v>28.950198226900017</v>
      </c>
      <c r="AY24" s="1340">
        <f t="shared" ref="AY24:BB24" si="87">IF(ISBLANK(AY167),"",IF(Uplift="Yes",AY86/1000*(AY61+AY$8),AY167))</f>
        <v>40.199829324720817</v>
      </c>
      <c r="AZ24" s="1340">
        <f t="shared" si="87"/>
        <v>34.783882165072889</v>
      </c>
      <c r="BA24" s="1340">
        <f t="shared" si="87"/>
        <v>35.291627211289885</v>
      </c>
      <c r="BB24" s="1341">
        <f t="shared" si="87"/>
        <v>41.871261298916387</v>
      </c>
      <c r="BC24" s="1211"/>
      <c r="BD24" s="1211"/>
      <c r="BE24" s="1269">
        <f t="shared" si="45"/>
        <v>40.875591101632608</v>
      </c>
      <c r="BF24" s="1269">
        <f t="shared" si="46"/>
        <v>41.028657363040985</v>
      </c>
      <c r="BG24" s="1269">
        <f t="shared" si="47"/>
        <v>35.777302772546193</v>
      </c>
      <c r="BH24" s="1273">
        <f t="shared" si="48"/>
        <v>37.43480869389029</v>
      </c>
      <c r="BI24" s="1273">
        <f t="shared" si="49"/>
        <v>49.285649654668894</v>
      </c>
      <c r="BJ24" s="1273">
        <f t="shared" si="50"/>
        <v>33.616721896056013</v>
      </c>
      <c r="BK24" s="1273">
        <f t="shared" si="51"/>
        <v>31.368470178854327</v>
      </c>
      <c r="BL24" s="1273">
        <f t="shared" si="52"/>
        <v>31.958467491993741</v>
      </c>
      <c r="BM24" s="1273">
        <f>AVERAGE(AM24:AP24)</f>
        <v>31.694210566975915</v>
      </c>
      <c r="BN24" s="1273">
        <f t="shared" si="54"/>
        <v>30.975000000000001</v>
      </c>
      <c r="BO24" s="1273">
        <f t="shared" si="55"/>
        <v>30.978149999999996</v>
      </c>
      <c r="BP24" s="1273">
        <f t="shared" si="60"/>
        <v>38.036649999999995</v>
      </c>
      <c r="BQ24" s="1205"/>
      <c r="BR24" s="1276"/>
      <c r="BS24" s="1273"/>
      <c r="BU24" s="1186"/>
      <c r="BV24" s="1274" t="s">
        <v>938</v>
      </c>
      <c r="BW24" s="1628"/>
      <c r="BX24" s="1628">
        <f>+BX23-BX25</f>
        <v>12303.36322926092</v>
      </c>
      <c r="BY24" s="1275" t="s">
        <v>314</v>
      </c>
    </row>
    <row r="25" spans="1:77" ht="12.75" customHeight="1">
      <c r="A25" s="1187"/>
      <c r="B25" s="1619"/>
      <c r="C25" s="1223" t="str">
        <f t="shared" si="36"/>
        <v>ERCOT Houston</v>
      </c>
      <c r="D25" s="1621" t="str">
        <f t="shared" si="36"/>
        <v/>
      </c>
      <c r="E25" s="1221" t="str">
        <f t="shared" si="36"/>
        <v/>
      </c>
      <c r="F25" s="1222"/>
      <c r="G25" s="1562">
        <f t="shared" ref="G25:AP25" si="88">IF(ISBLANK(G168),"",G168)</f>
        <v>40.616611328124996</v>
      </c>
      <c r="H25" s="1560">
        <f t="shared" si="88"/>
        <v>39.390153808593752</v>
      </c>
      <c r="I25" s="1560">
        <f t="shared" si="88"/>
        <v>48.872324218750009</v>
      </c>
      <c r="J25" s="1561">
        <f t="shared" si="88"/>
        <v>32.494792444029855</v>
      </c>
      <c r="K25" s="1562">
        <f t="shared" si="88"/>
        <v>49.694167480468757</v>
      </c>
      <c r="L25" s="1560">
        <f t="shared" si="88"/>
        <v>41.930664062500007</v>
      </c>
      <c r="M25" s="1560">
        <f t="shared" si="88"/>
        <v>111.00009521484377</v>
      </c>
      <c r="N25" s="1561">
        <f t="shared" si="88"/>
        <v>29.544866071428554</v>
      </c>
      <c r="O25" s="1562">
        <f t="shared" si="88"/>
        <v>25.356325683593752</v>
      </c>
      <c r="P25" s="1560">
        <f t="shared" si="88"/>
        <v>30.825715332031248</v>
      </c>
      <c r="Q25" s="1560">
        <f t="shared" si="88"/>
        <v>31.618534226190476</v>
      </c>
      <c r="R25" s="1560">
        <f t="shared" si="88"/>
        <v>27.927487792968755</v>
      </c>
      <c r="S25" s="1208">
        <f t="shared" si="88"/>
        <v>28.835245535714289</v>
      </c>
      <c r="T25" s="1209">
        <f t="shared" si="88"/>
        <v>36.626384277343753</v>
      </c>
      <c r="U25" s="1209">
        <f t="shared" si="88"/>
        <v>43.148923339843755</v>
      </c>
      <c r="V25" s="1210">
        <f t="shared" si="88"/>
        <v>36.768386230468735</v>
      </c>
      <c r="W25" s="1209">
        <f t="shared" si="88"/>
        <v>57.726661706349176</v>
      </c>
      <c r="X25" s="1209">
        <f t="shared" si="88"/>
        <v>44.823835449218755</v>
      </c>
      <c r="Y25" s="1209">
        <f t="shared" si="88"/>
        <v>38.568947753906251</v>
      </c>
      <c r="Z25" s="1210">
        <f t="shared" si="88"/>
        <v>33.674279785156259</v>
      </c>
      <c r="AA25" s="1209">
        <f t="shared" si="88"/>
        <v>26.530957341269843</v>
      </c>
      <c r="AB25" s="1209">
        <f t="shared" si="88"/>
        <v>27.875180664062505</v>
      </c>
      <c r="AC25" s="1209">
        <f t="shared" si="88"/>
        <v>34.771600961538461</v>
      </c>
      <c r="AD25" s="1210">
        <f t="shared" si="88"/>
        <v>23.322177734375007</v>
      </c>
      <c r="AE25" s="1209">
        <f t="shared" si="88"/>
        <v>20.53059082031249</v>
      </c>
      <c r="AF25" s="1209">
        <f t="shared" si="88"/>
        <v>24.409040527343741</v>
      </c>
      <c r="AG25" s="1209">
        <f t="shared" si="88"/>
        <v>33.207656250000007</v>
      </c>
      <c r="AH25" s="1210">
        <f t="shared" si="88"/>
        <v>29.754362599206353</v>
      </c>
      <c r="AI25" s="1209">
        <f t="shared" si="88"/>
        <v>27.700273437500005</v>
      </c>
      <c r="AJ25" s="1209">
        <f t="shared" si="88"/>
        <v>46.152717285156264</v>
      </c>
      <c r="AK25" s="1209">
        <f t="shared" si="88"/>
        <v>33.043561507936509</v>
      </c>
      <c r="AL25" s="1210">
        <f t="shared" si="88"/>
        <v>29.19860119047619</v>
      </c>
      <c r="AM25" s="1209">
        <f t="shared" si="88"/>
        <v>33.29329345703124</v>
      </c>
      <c r="AN25" s="1209">
        <f t="shared" si="88"/>
        <v>37.382000000000005</v>
      </c>
      <c r="AO25" s="1209">
        <f t="shared" si="88"/>
        <v>118.87111666666665</v>
      </c>
      <c r="AP25" s="1210">
        <f t="shared" si="88"/>
        <v>27.205766666666666</v>
      </c>
      <c r="AQ25" s="1209">
        <f t="shared" ref="AQ25:AT25" si="89">IF(ISBLANK(AQ168),"",AQ168)</f>
        <v>24.525092123733586</v>
      </c>
      <c r="AR25" s="1209">
        <f t="shared" si="89"/>
        <v>26.33436343081933</v>
      </c>
      <c r="AS25" s="1209">
        <f t="shared" si="89"/>
        <v>72.001306158597217</v>
      </c>
      <c r="AT25" s="1210">
        <f t="shared" si="89"/>
        <v>45.433288286849844</v>
      </c>
      <c r="AU25" s="1209">
        <f t="shared" ref="AU25:AX25" si="90">IF(ISBLANK(AU168),"",AU168)</f>
        <v>22.536414554517716</v>
      </c>
      <c r="AV25" s="1209">
        <f t="shared" si="90"/>
        <v>24.198976636338397</v>
      </c>
      <c r="AW25" s="1209">
        <f t="shared" si="90"/>
        <v>66.162902706759411</v>
      </c>
      <c r="AX25" s="1210">
        <f t="shared" si="90"/>
        <v>41.749218075984459</v>
      </c>
      <c r="AY25" s="1340">
        <f>IF(ISBLANK(AY168),"",IF(Valuation!$BY$40="Yes",AY87/1000*(AY62+AY$8),AY168))</f>
        <v>27.047114651351915</v>
      </c>
      <c r="AZ25" s="1340">
        <f>IF(ISBLANK(AZ168),"",IF(Valuation!$BY$40="Yes",AZ87/1000*(AZ62+AZ$8),AZ168))</f>
        <v>27.937584419993492</v>
      </c>
      <c r="BA25" s="1340">
        <f>IF(ISBLANK(BA168),"",IF(Valuation!$BY$40="Yes",BA87/1000*(BA62+BA$8),BA168))</f>
        <v>67.937374024492271</v>
      </c>
      <c r="BB25" s="1341">
        <f>IF(ISBLANK(BB168),"",IF(Valuation!$BY$40="Yes",BB87/1000*(BB62+BB$8),BB168))</f>
        <v>45.544435851827082</v>
      </c>
      <c r="BC25" s="1211"/>
      <c r="BD25" s="1211"/>
      <c r="BE25" s="1269">
        <f t="shared" si="45"/>
        <v>40.343470449874651</v>
      </c>
      <c r="BF25" s="1269">
        <f t="shared" si="46"/>
        <v>58.042448207310272</v>
      </c>
      <c r="BG25" s="1269">
        <f t="shared" si="47"/>
        <v>28.93201575869606</v>
      </c>
      <c r="BH25" s="1273">
        <f t="shared" si="48"/>
        <v>36.34473484584263</v>
      </c>
      <c r="BI25" s="1273">
        <f t="shared" si="49"/>
        <v>43.69843117365761</v>
      </c>
      <c r="BJ25" s="1273">
        <f t="shared" si="50"/>
        <v>28.124979175311452</v>
      </c>
      <c r="BK25" s="1273">
        <f t="shared" si="51"/>
        <v>26.975412549215648</v>
      </c>
      <c r="BL25" s="1273">
        <f t="shared" si="52"/>
        <v>34.023788355267243</v>
      </c>
      <c r="BM25" s="1273">
        <f t="shared" si="53"/>
        <v>54.188044197591147</v>
      </c>
      <c r="BN25" s="1273">
        <f t="shared" si="54"/>
        <v>42.073512499999993</v>
      </c>
      <c r="BO25" s="1273">
        <f t="shared" si="55"/>
        <v>38.661877993399997</v>
      </c>
      <c r="BP25" s="1273">
        <f t="shared" si="60"/>
        <v>42.116627236916187</v>
      </c>
      <c r="BQ25" s="1205"/>
      <c r="BR25" s="1276"/>
      <c r="BS25" s="1273"/>
      <c r="BU25" s="1186"/>
      <c r="BV25" s="2074" t="s">
        <v>1528</v>
      </c>
      <c r="BW25" s="1277"/>
      <c r="BX25" s="2075">
        <f>BX23-BP231+BY111</f>
        <v>2620.8167756916919</v>
      </c>
      <c r="BY25" s="1278" t="s">
        <v>314</v>
      </c>
    </row>
    <row r="26" spans="1:77" ht="12.75" customHeight="1">
      <c r="A26" s="1187"/>
      <c r="B26" s="1619"/>
      <c r="C26" s="1621" t="str">
        <f t="shared" si="36"/>
        <v>ERCOT North</v>
      </c>
      <c r="D26" s="1621" t="str">
        <f t="shared" si="36"/>
        <v/>
      </c>
      <c r="E26" s="1221" t="str">
        <f t="shared" si="36"/>
        <v/>
      </c>
      <c r="F26" s="1222"/>
      <c r="G26" s="1562">
        <f t="shared" ref="G26:AP26" si="91">IF(ISBLANK(G169),"",G169)</f>
        <v>40.761767578124989</v>
      </c>
      <c r="H26" s="1560">
        <f t="shared" si="91"/>
        <v>39.232558593749999</v>
      </c>
      <c r="I26" s="1560">
        <f t="shared" si="91"/>
        <v>48.767795410156261</v>
      </c>
      <c r="J26" s="1561">
        <f t="shared" si="91"/>
        <v>32.77672574626866</v>
      </c>
      <c r="K26" s="1562">
        <f t="shared" si="91"/>
        <v>50.755690917968764</v>
      </c>
      <c r="L26" s="1560">
        <f t="shared" si="91"/>
        <v>40.202160644531247</v>
      </c>
      <c r="M26" s="1560">
        <f t="shared" si="91"/>
        <v>106.84378173828125</v>
      </c>
      <c r="N26" s="1561">
        <f t="shared" si="91"/>
        <v>28.962276785714291</v>
      </c>
      <c r="O26" s="1562">
        <f t="shared" si="91"/>
        <v>25.273820800781262</v>
      </c>
      <c r="P26" s="1560">
        <f t="shared" si="91"/>
        <v>31.306391601562503</v>
      </c>
      <c r="Q26" s="1560">
        <f t="shared" si="91"/>
        <v>32.226475694444453</v>
      </c>
      <c r="R26" s="1560">
        <f t="shared" si="91"/>
        <v>28.259047851562507</v>
      </c>
      <c r="S26" s="1208">
        <f t="shared" si="91"/>
        <v>29.044474206349211</v>
      </c>
      <c r="T26" s="1209">
        <f t="shared" si="91"/>
        <v>35.193894042968758</v>
      </c>
      <c r="U26" s="1209">
        <f t="shared" si="91"/>
        <v>38.431984863281251</v>
      </c>
      <c r="V26" s="1210">
        <f t="shared" si="91"/>
        <v>35.855332031250001</v>
      </c>
      <c r="W26" s="1209">
        <f t="shared" si="91"/>
        <v>60.188559027777771</v>
      </c>
      <c r="X26" s="1209">
        <f t="shared" si="91"/>
        <v>40.574257812500001</v>
      </c>
      <c r="Y26" s="1209">
        <f t="shared" si="91"/>
        <v>37.938735351562507</v>
      </c>
      <c r="Z26" s="1210">
        <f t="shared" si="91"/>
        <v>34.462575683593748</v>
      </c>
      <c r="AA26" s="1209">
        <f t="shared" si="91"/>
        <v>26.624528769841273</v>
      </c>
      <c r="AB26" s="1209">
        <f t="shared" si="91"/>
        <v>27.696826171875006</v>
      </c>
      <c r="AC26" s="1209">
        <f t="shared" si="91"/>
        <v>35.113086538461538</v>
      </c>
      <c r="AD26" s="1210">
        <f t="shared" si="91"/>
        <v>20.858798828125007</v>
      </c>
      <c r="AE26" s="1209">
        <f t="shared" si="91"/>
        <v>19.673029785156263</v>
      </c>
      <c r="AF26" s="1209">
        <f t="shared" si="91"/>
        <v>22.350983886718744</v>
      </c>
      <c r="AG26" s="1209">
        <f t="shared" si="91"/>
        <v>30.610273437499995</v>
      </c>
      <c r="AH26" s="1210">
        <f t="shared" si="91"/>
        <v>25.720223214285713</v>
      </c>
      <c r="AI26" s="1209">
        <f t="shared" si="91"/>
        <v>22.746433105468753</v>
      </c>
      <c r="AJ26" s="1209">
        <f t="shared" si="91"/>
        <v>27.890290527343748</v>
      </c>
      <c r="AK26" s="1209">
        <f t="shared" si="91"/>
        <v>29.419799107142854</v>
      </c>
      <c r="AL26" s="1210">
        <f t="shared" si="91"/>
        <v>23.559124503968256</v>
      </c>
      <c r="AM26" s="1209">
        <f t="shared" si="91"/>
        <v>31.786008300781262</v>
      </c>
      <c r="AN26" s="1209">
        <f t="shared" si="91"/>
        <v>35.332000000000001</v>
      </c>
      <c r="AO26" s="1209">
        <f t="shared" si="91"/>
        <v>118.57111666666667</v>
      </c>
      <c r="AP26" s="1210">
        <f t="shared" si="91"/>
        <v>26.272433333333336</v>
      </c>
      <c r="AQ26" s="1209">
        <f t="shared" ref="AQ26:AT26" si="92">IF(ISBLANK(AQ169),"",AQ169)</f>
        <v>23.582895883834407</v>
      </c>
      <c r="AR26" s="1209">
        <f t="shared" si="92"/>
        <v>24.58750024208658</v>
      </c>
      <c r="AS26" s="1209">
        <f t="shared" si="92"/>
        <v>70.499208350188795</v>
      </c>
      <c r="AT26" s="1210">
        <f t="shared" si="92"/>
        <v>43.541112190290235</v>
      </c>
      <c r="AU26" s="1209">
        <f t="shared" ref="AU26:AX26" si="93">IF(ISBLANK(AU169),"",AU169)</f>
        <v>21.356595924499164</v>
      </c>
      <c r="AV26" s="1209">
        <f t="shared" si="93"/>
        <v>22.266362453973152</v>
      </c>
      <c r="AW26" s="1209">
        <f t="shared" si="93"/>
        <v>63.843860107279404</v>
      </c>
      <c r="AX26" s="1210">
        <f t="shared" si="93"/>
        <v>39.430693487848274</v>
      </c>
      <c r="AY26" s="1340">
        <f>IF(ISBLANK(AY169),"",IF(Valuation!$BY$40="Yes",AY88/1000*(AY63+AY$8),AY169))</f>
        <v>28.024599754932964</v>
      </c>
      <c r="AZ26" s="1340">
        <f>IF(ISBLANK(AZ169),"",IF(Valuation!$BY$40="Yes",AZ88/1000*(AZ63+AZ$8),AZ169))</f>
        <v>27.910897361143864</v>
      </c>
      <c r="BA26" s="1340">
        <f>IF(ISBLANK(BA169),"",IF(Valuation!$BY$40="Yes",BA88/1000*(BA63+BA$8),BA169))</f>
        <v>67.236750347092354</v>
      </c>
      <c r="BB26" s="1341">
        <f>IF(ISBLANK(BB169),"",IF(Valuation!$BY$40="Yes",BB88/1000*(BB63+BB$8),BB169))</f>
        <v>45.380302116005637</v>
      </c>
      <c r="BC26" s="1211"/>
      <c r="BD26" s="1211"/>
      <c r="BE26" s="1269">
        <f t="shared" si="45"/>
        <v>40.384711832074977</v>
      </c>
      <c r="BF26" s="1269">
        <f t="shared" si="46"/>
        <v>56.690977521623886</v>
      </c>
      <c r="BG26" s="1269">
        <f t="shared" si="47"/>
        <v>29.26643398708768</v>
      </c>
      <c r="BH26" s="1273">
        <f t="shared" si="48"/>
        <v>34.631421285962304</v>
      </c>
      <c r="BI26" s="1273">
        <f t="shared" si="49"/>
        <v>43.291031968858505</v>
      </c>
      <c r="BJ26" s="1273">
        <f t="shared" si="50"/>
        <v>27.573310077075703</v>
      </c>
      <c r="BK26" s="1273">
        <f t="shared" si="51"/>
        <v>24.58862758091518</v>
      </c>
      <c r="BL26" s="1273">
        <f t="shared" si="52"/>
        <v>25.903911810980901</v>
      </c>
      <c r="BM26" s="1273">
        <f t="shared" si="53"/>
        <v>52.990389575195316</v>
      </c>
      <c r="BN26" s="1273">
        <f t="shared" si="54"/>
        <v>40.552679166600001</v>
      </c>
      <c r="BO26" s="1273">
        <f t="shared" si="55"/>
        <v>36.724377993399997</v>
      </c>
      <c r="BP26" s="1273">
        <f t="shared" si="60"/>
        <v>42.138137394793702</v>
      </c>
      <c r="BQ26" s="1205"/>
      <c r="BR26" s="1276"/>
      <c r="BS26" s="1273"/>
      <c r="BU26" s="1186"/>
    </row>
    <row r="27" spans="1:77" ht="12.75" customHeight="1">
      <c r="A27" s="1187"/>
      <c r="B27" s="1619"/>
      <c r="C27" s="1621" t="str">
        <f t="shared" si="36"/>
        <v>ERCOT South</v>
      </c>
      <c r="D27" s="1621" t="str">
        <f t="shared" si="36"/>
        <v/>
      </c>
      <c r="E27" s="1221" t="str">
        <f t="shared" si="36"/>
        <v/>
      </c>
      <c r="F27" s="1222"/>
      <c r="G27" s="1562">
        <f t="shared" ref="G27:AP27" si="94">IF(ISBLANK(G170),"",G170)</f>
        <v>40.462470703125</v>
      </c>
      <c r="H27" s="1560">
        <f t="shared" si="94"/>
        <v>39.192001953125001</v>
      </c>
      <c r="I27" s="1560">
        <f t="shared" si="94"/>
        <v>48.72686279296876</v>
      </c>
      <c r="J27" s="1561">
        <f t="shared" si="94"/>
        <v>31.765543376865669</v>
      </c>
      <c r="K27" s="1562">
        <f t="shared" si="94"/>
        <v>55.323972167968762</v>
      </c>
      <c r="L27" s="1560">
        <f t="shared" si="94"/>
        <v>39.6252978515625</v>
      </c>
      <c r="M27" s="1560">
        <f t="shared" si="94"/>
        <v>106.81442871093749</v>
      </c>
      <c r="N27" s="1561">
        <f t="shared" si="94"/>
        <v>29.354828869047626</v>
      </c>
      <c r="O27" s="1562">
        <f t="shared" si="94"/>
        <v>25.648288574218743</v>
      </c>
      <c r="P27" s="1560">
        <f t="shared" si="94"/>
        <v>29.951386718749998</v>
      </c>
      <c r="Q27" s="1560">
        <f t="shared" si="94"/>
        <v>31.210275297619049</v>
      </c>
      <c r="R27" s="1560">
        <f t="shared" si="94"/>
        <v>28.586511230468751</v>
      </c>
      <c r="S27" s="1208">
        <f t="shared" si="94"/>
        <v>28.708407738095232</v>
      </c>
      <c r="T27" s="1209">
        <f t="shared" si="94"/>
        <v>36.230866699218758</v>
      </c>
      <c r="U27" s="1209">
        <f t="shared" si="94"/>
        <v>40.352358398437502</v>
      </c>
      <c r="V27" s="1210">
        <f t="shared" si="94"/>
        <v>36.304406738281251</v>
      </c>
      <c r="W27" s="1209">
        <f t="shared" si="94"/>
        <v>59.069300595238097</v>
      </c>
      <c r="X27" s="1209">
        <f t="shared" si="94"/>
        <v>41.673994140624984</v>
      </c>
      <c r="Y27" s="1209">
        <f t="shared" si="94"/>
        <v>38.124675292968753</v>
      </c>
      <c r="Z27" s="1210">
        <f t="shared" si="94"/>
        <v>34.437966308593751</v>
      </c>
      <c r="AA27" s="1209">
        <f t="shared" si="94"/>
        <v>26.435344742063496</v>
      </c>
      <c r="AB27" s="1209">
        <f t="shared" si="94"/>
        <v>27.865429687499994</v>
      </c>
      <c r="AC27" s="1209">
        <f t="shared" si="94"/>
        <v>34.586947115384625</v>
      </c>
      <c r="AD27" s="1210">
        <f t="shared" si="94"/>
        <v>23.201174316406249</v>
      </c>
      <c r="AE27" s="1209">
        <f t="shared" si="94"/>
        <v>20.267778320312491</v>
      </c>
      <c r="AF27" s="1209">
        <f t="shared" si="94"/>
        <v>22.831770019531245</v>
      </c>
      <c r="AG27" s="1209">
        <f t="shared" si="94"/>
        <v>30.974855957031252</v>
      </c>
      <c r="AH27" s="1210">
        <f t="shared" si="94"/>
        <v>28.905121527777784</v>
      </c>
      <c r="AI27" s="1209">
        <f t="shared" si="94"/>
        <v>24.182224121093753</v>
      </c>
      <c r="AJ27" s="1209">
        <f t="shared" si="94"/>
        <v>35.500275878906244</v>
      </c>
      <c r="AK27" s="1209">
        <f t="shared" si="94"/>
        <v>30.679335317460314</v>
      </c>
      <c r="AL27" s="1210">
        <f t="shared" si="94"/>
        <v>26.539970238095233</v>
      </c>
      <c r="AM27" s="1209">
        <f t="shared" si="94"/>
        <v>33.080983886718748</v>
      </c>
      <c r="AN27" s="1209">
        <f t="shared" si="94"/>
        <v>38.148666666666664</v>
      </c>
      <c r="AO27" s="1209">
        <f t="shared" si="94"/>
        <v>119.77111666666667</v>
      </c>
      <c r="AP27" s="1210">
        <f t="shared" si="94"/>
        <v>27.555766666666667</v>
      </c>
      <c r="AQ27" s="1209">
        <f t="shared" ref="AQ27:AT27" si="95">IF(ISBLANK(AQ170),"",AQ170)</f>
        <v>25.311841025847244</v>
      </c>
      <c r="AR27" s="1209">
        <f t="shared" si="95"/>
        <v>26.536363358265632</v>
      </c>
      <c r="AS27" s="1209">
        <f t="shared" si="95"/>
        <v>72.644761515096988</v>
      </c>
      <c r="AT27" s="1210">
        <f t="shared" si="95"/>
        <v>44.901084100790143</v>
      </c>
      <c r="AU27" s="1209">
        <f t="shared" ref="AU27:AX27" si="96">IF(ISBLANK(AU170),"",AU170)</f>
        <v>23.143193839184796</v>
      </c>
      <c r="AV27" s="1209">
        <f t="shared" si="96"/>
        <v>24.262802550010321</v>
      </c>
      <c r="AW27" s="1209">
        <f t="shared" si="96"/>
        <v>66.420763129337274</v>
      </c>
      <c r="AX27" s="1210">
        <f t="shared" si="96"/>
        <v>41.054085788267628</v>
      </c>
      <c r="AY27" s="1340">
        <f>IF(ISBLANK(AY170),"",IF(Valuation!$BY$40="Yes",AY89/1000*(AY64+AY$8),AY170))</f>
        <v>27.598645602573438</v>
      </c>
      <c r="AZ27" s="1340">
        <f>IF(ISBLANK(AZ170),"",IF(Valuation!$BY$40="Yes",AZ89/1000*(AZ64+AZ$8),AZ170))</f>
        <v>27.965630281003534</v>
      </c>
      <c r="BA27" s="1340">
        <f>IF(ISBLANK(BA170),"",IF(Valuation!$BY$40="Yes",BA89/1000*(BA64+BA$8),BA170))</f>
        <v>68.044637680717116</v>
      </c>
      <c r="BB27" s="1341">
        <f>IF(ISBLANK(BB170),"",IF(Valuation!$BY$40="Yes",BB89/1000*(BB64+BB$8),BB170))</f>
        <v>44.813277371679412</v>
      </c>
      <c r="BC27" s="1211"/>
      <c r="BD27" s="1211"/>
      <c r="BE27" s="1269">
        <f t="shared" si="45"/>
        <v>40.036719706521104</v>
      </c>
      <c r="BF27" s="1269">
        <f t="shared" si="46"/>
        <v>57.779631899879099</v>
      </c>
      <c r="BG27" s="1269">
        <f t="shared" si="47"/>
        <v>28.849115455264133</v>
      </c>
      <c r="BH27" s="1273">
        <f t="shared" si="48"/>
        <v>35.399009893508186</v>
      </c>
      <c r="BI27" s="1273">
        <f t="shared" si="49"/>
        <v>43.326484084356402</v>
      </c>
      <c r="BJ27" s="1273">
        <f t="shared" si="50"/>
        <v>28.02222396533859</v>
      </c>
      <c r="BK27" s="1273">
        <f t="shared" si="51"/>
        <v>25.744881456163192</v>
      </c>
      <c r="BL27" s="1273">
        <f t="shared" si="52"/>
        <v>29.225451388888885</v>
      </c>
      <c r="BM27" s="1273">
        <f t="shared" si="53"/>
        <v>54.639133471679685</v>
      </c>
      <c r="BN27" s="1273">
        <f t="shared" si="54"/>
        <v>42.348512499999998</v>
      </c>
      <c r="BO27" s="1273">
        <f t="shared" si="55"/>
        <v>38.720211326700003</v>
      </c>
      <c r="BP27" s="1273">
        <f t="shared" si="60"/>
        <v>42.105547733993376</v>
      </c>
      <c r="BQ27" s="1205"/>
      <c r="BR27" s="1276"/>
      <c r="BS27" s="1273"/>
      <c r="BU27" s="1186"/>
      <c r="BV27" s="1215" t="s">
        <v>440</v>
      </c>
    </row>
    <row r="28" spans="1:77" ht="12.75" customHeight="1">
      <c r="A28" s="1187"/>
      <c r="B28" s="1619"/>
      <c r="C28" s="1621" t="str">
        <f t="shared" si="36"/>
        <v>Palo Verde</v>
      </c>
      <c r="D28" s="1621" t="str">
        <f t="shared" si="36"/>
        <v/>
      </c>
      <c r="E28" s="1221" t="str">
        <f t="shared" si="36"/>
        <v/>
      </c>
      <c r="F28" s="1222"/>
      <c r="G28" s="1562">
        <f t="shared" ref="G28:AL28" si="97">IF(ISBLANK(G171),"",G171)</f>
        <v>43.880888888888897</v>
      </c>
      <c r="H28" s="1560">
        <f t="shared" si="97"/>
        <v>35.874838709677434</v>
      </c>
      <c r="I28" s="1560">
        <f t="shared" si="97"/>
        <v>40.575468749999999</v>
      </c>
      <c r="J28" s="1561">
        <f t="shared" si="97"/>
        <v>34.270317460317472</v>
      </c>
      <c r="K28" s="1562">
        <f t="shared" si="97"/>
        <v>32.430468750000003</v>
      </c>
      <c r="L28" s="1560">
        <f t="shared" si="97"/>
        <v>36.866093749999997</v>
      </c>
      <c r="M28" s="1560">
        <f t="shared" si="97"/>
        <v>42.871093750000007</v>
      </c>
      <c r="N28" s="1561">
        <f t="shared" si="97"/>
        <v>33.560156250000006</v>
      </c>
      <c r="O28" s="1562">
        <f t="shared" si="97"/>
        <v>25.353281250000002</v>
      </c>
      <c r="P28" s="1560">
        <f t="shared" si="97"/>
        <v>25.953076923076935</v>
      </c>
      <c r="Q28" s="1560">
        <f t="shared" si="97"/>
        <v>36.29349206349206</v>
      </c>
      <c r="R28" s="1560">
        <f t="shared" si="97"/>
        <v>31.014769230769229</v>
      </c>
      <c r="S28" s="1208">
        <f t="shared" si="97"/>
        <v>32.511999999999993</v>
      </c>
      <c r="T28" s="1209">
        <f t="shared" si="97"/>
        <v>38.131384615384611</v>
      </c>
      <c r="U28" s="1209">
        <f t="shared" si="97"/>
        <v>42.04296875</v>
      </c>
      <c r="V28" s="1210">
        <f t="shared" si="97"/>
        <v>37.624062500000001</v>
      </c>
      <c r="W28" s="1209">
        <f t="shared" si="97"/>
        <v>47.590967741935479</v>
      </c>
      <c r="X28" s="1209">
        <f t="shared" si="97"/>
        <v>42.762769230769244</v>
      </c>
      <c r="Y28" s="1209">
        <f t="shared" si="97"/>
        <v>43.211212121212121</v>
      </c>
      <c r="Z28" s="1210">
        <f t="shared" si="97"/>
        <v>36.127031249999987</v>
      </c>
      <c r="AA28" s="1209">
        <f t="shared" si="97"/>
        <v>25.419180327868858</v>
      </c>
      <c r="AB28" s="1209">
        <f t="shared" si="97"/>
        <v>26.831111111111106</v>
      </c>
      <c r="AC28" s="1209">
        <f t="shared" si="97"/>
        <v>33.160312500000011</v>
      </c>
      <c r="AD28" s="1210">
        <f t="shared" si="97"/>
        <v>23.980158730158735</v>
      </c>
      <c r="AE28" s="1209">
        <f t="shared" si="97"/>
        <v>19.007377049180324</v>
      </c>
      <c r="AF28" s="1209">
        <f t="shared" si="97"/>
        <v>22.532187499999996</v>
      </c>
      <c r="AG28" s="1209">
        <f t="shared" si="97"/>
        <v>34.896093749999999</v>
      </c>
      <c r="AH28" s="1210">
        <f t="shared" si="97"/>
        <v>25.215322580645164</v>
      </c>
      <c r="AI28" s="1209">
        <f t="shared" si="97"/>
        <v>23.400322580645167</v>
      </c>
      <c r="AJ28" s="1209">
        <f t="shared" si="97"/>
        <v>32.938906250000002</v>
      </c>
      <c r="AK28" s="1209">
        <f t="shared" si="97"/>
        <v>44.240952380952386</v>
      </c>
      <c r="AL28" s="1210">
        <f t="shared" si="97"/>
        <v>30.908548387096779</v>
      </c>
      <c r="AM28" s="1209">
        <f t="shared" ref="AM28:AP50" si="98">IF(ISBLANK(AM171),"",AM171)</f>
        <v>26.38622950819672</v>
      </c>
      <c r="AN28" s="1209">
        <f t="shared" si="98"/>
        <v>27.183333333333334</v>
      </c>
      <c r="AO28" s="1209">
        <f t="shared" si="98"/>
        <v>42.599999999999994</v>
      </c>
      <c r="AP28" s="1210">
        <f t="shared" si="98"/>
        <v>25.099999999999998</v>
      </c>
      <c r="AQ28" s="1209">
        <f t="shared" ref="AQ28:AT28" si="99">IF(ISBLANK(AQ171),"",AQ171)</f>
        <v>25.992977359392921</v>
      </c>
      <c r="AR28" s="1209">
        <f t="shared" si="99"/>
        <v>25.589202953810119</v>
      </c>
      <c r="AS28" s="1209">
        <f t="shared" si="99"/>
        <v>40.377440558280256</v>
      </c>
      <c r="AT28" s="1210">
        <f t="shared" si="99"/>
        <v>30.457045794916699</v>
      </c>
      <c r="AU28" s="1209">
        <f t="shared" ref="AU28:AX28" si="100">IF(ISBLANK(AU171),"",AU171)</f>
        <v>28.466645320489615</v>
      </c>
      <c r="AV28" s="1209">
        <f t="shared" si="100"/>
        <v>28.024445004831527</v>
      </c>
      <c r="AW28" s="1209">
        <f t="shared" si="100"/>
        <v>44.220031565809109</v>
      </c>
      <c r="AX28" s="1210">
        <f t="shared" si="100"/>
        <v>33.355544775269749</v>
      </c>
      <c r="AY28" s="1209">
        <f t="shared" ref="AY28:BB28" si="101">IF(ISBLANK(AY171),"",AY171)</f>
        <v>30.466105117398659</v>
      </c>
      <c r="AZ28" s="1209">
        <f t="shared" si="101"/>
        <v>29.992845232079848</v>
      </c>
      <c r="BA28" s="1209">
        <f t="shared" si="101"/>
        <v>47.325988531881407</v>
      </c>
      <c r="BB28" s="1210">
        <f t="shared" si="101"/>
        <v>35.69839445184008</v>
      </c>
      <c r="BC28" s="1211"/>
      <c r="BD28" s="1211"/>
      <c r="BE28" s="1269">
        <f t="shared" si="45"/>
        <v>38.650378452220949</v>
      </c>
      <c r="BF28" s="1269">
        <f t="shared" si="46"/>
        <v>36.431953125</v>
      </c>
      <c r="BG28" s="1269">
        <f t="shared" si="47"/>
        <v>29.653654866834557</v>
      </c>
      <c r="BH28" s="1273">
        <f t="shared" si="48"/>
        <v>37.577603966346153</v>
      </c>
      <c r="BI28" s="1273">
        <f t="shared" si="49"/>
        <v>42.42299508597921</v>
      </c>
      <c r="BJ28" s="1273">
        <f t="shared" si="50"/>
        <v>27.347690667284677</v>
      </c>
      <c r="BK28" s="1273">
        <f t="shared" si="51"/>
        <v>25.412745219956371</v>
      </c>
      <c r="BL28" s="1273">
        <f t="shared" si="52"/>
        <v>32.872182399673584</v>
      </c>
      <c r="BM28" s="1273">
        <f t="shared" si="53"/>
        <v>30.317390710382512</v>
      </c>
      <c r="BN28" s="1273">
        <f t="shared" si="54"/>
        <v>30.604166666599998</v>
      </c>
      <c r="BO28" s="1273">
        <f t="shared" si="55"/>
        <v>33.516666666600003</v>
      </c>
      <c r="BP28" s="1273">
        <f t="shared" si="60"/>
        <v>35.870833333299998</v>
      </c>
      <c r="BQ28" s="1205"/>
      <c r="BR28" s="1276"/>
      <c r="BS28" s="1273"/>
      <c r="BU28" s="1186"/>
      <c r="BV28" s="1271" t="s">
        <v>311</v>
      </c>
      <c r="BW28" s="1629"/>
      <c r="BX28" s="1629">
        <v>22</v>
      </c>
      <c r="BY28" s="1272" t="s">
        <v>312</v>
      </c>
    </row>
    <row r="29" spans="1:77" ht="12.75" customHeight="1">
      <c r="A29" s="1187"/>
      <c r="B29" s="1619"/>
      <c r="C29" s="1621" t="str">
        <f t="shared" si="36"/>
        <v>SP 15</v>
      </c>
      <c r="D29" s="1621" t="str">
        <f t="shared" si="36"/>
        <v/>
      </c>
      <c r="E29" s="1221" t="str">
        <f t="shared" si="36"/>
        <v/>
      </c>
      <c r="F29" s="1222"/>
      <c r="G29" s="1562">
        <f t="shared" ref="G29:AL29" si="102">IF(ISBLANK(G172),"",G172)</f>
        <v>58.596430330972908</v>
      </c>
      <c r="H29" s="1560">
        <f t="shared" si="102"/>
        <v>31.946377822646106</v>
      </c>
      <c r="I29" s="1560">
        <f t="shared" si="102"/>
        <v>37.433810982142873</v>
      </c>
      <c r="J29" s="1561">
        <f t="shared" si="102"/>
        <v>33.962447284902595</v>
      </c>
      <c r="K29" s="1562">
        <f t="shared" si="102"/>
        <v>30.515116445312522</v>
      </c>
      <c r="L29" s="1560">
        <f t="shared" si="102"/>
        <v>33.011711513798716</v>
      </c>
      <c r="M29" s="1560">
        <f t="shared" si="102"/>
        <v>42.068564527191569</v>
      </c>
      <c r="N29" s="1561">
        <f t="shared" si="102"/>
        <v>32.950429456168834</v>
      </c>
      <c r="O29" s="1562">
        <f t="shared" si="102"/>
        <v>25.307843413149342</v>
      </c>
      <c r="P29" s="1560">
        <f t="shared" si="102"/>
        <v>22.80274092532467</v>
      </c>
      <c r="Q29" s="1560">
        <f t="shared" si="102"/>
        <v>35.896205914884867</v>
      </c>
      <c r="R29" s="1560">
        <f t="shared" si="102"/>
        <v>42.475329612418847</v>
      </c>
      <c r="S29" s="1208">
        <f t="shared" si="102"/>
        <v>42.911978651315792</v>
      </c>
      <c r="T29" s="1209">
        <f t="shared" si="102"/>
        <v>45.579805629058441</v>
      </c>
      <c r="U29" s="1209">
        <f t="shared" si="102"/>
        <v>48.084160511363628</v>
      </c>
      <c r="V29" s="1210">
        <f t="shared" si="102"/>
        <v>45.337906345373376</v>
      </c>
      <c r="W29" s="1209">
        <f t="shared" si="102"/>
        <v>53.600572129934207</v>
      </c>
      <c r="X29" s="1209">
        <f t="shared" si="102"/>
        <v>40.900113140016224</v>
      </c>
      <c r="Y29" s="1209">
        <f t="shared" si="102"/>
        <v>46.183565756087653</v>
      </c>
      <c r="Z29" s="1210">
        <f t="shared" si="102"/>
        <v>41.445947460091979</v>
      </c>
      <c r="AA29" s="1209">
        <f t="shared" si="102"/>
        <v>28.829850453771133</v>
      </c>
      <c r="AB29" s="1209">
        <f t="shared" si="102"/>
        <v>29.03807379386982</v>
      </c>
      <c r="AC29" s="1209">
        <f t="shared" si="102"/>
        <v>35.943119470128089</v>
      </c>
      <c r="AD29" s="1210">
        <f t="shared" si="102"/>
        <v>32.371010031004026</v>
      </c>
      <c r="AE29" s="1209">
        <f t="shared" si="102"/>
        <v>21.909217117018397</v>
      </c>
      <c r="AF29" s="1209">
        <f t="shared" si="102"/>
        <v>21.147224745129879</v>
      </c>
      <c r="AG29" s="1209">
        <f t="shared" si="102"/>
        <v>35.217113687499996</v>
      </c>
      <c r="AH29" s="1210">
        <f t="shared" si="102"/>
        <v>32.804729900021115</v>
      </c>
      <c r="AI29" s="1209">
        <f t="shared" si="102"/>
        <v>27.142658075794955</v>
      </c>
      <c r="AJ29" s="1209">
        <f t="shared" si="102"/>
        <v>32.083006007440474</v>
      </c>
      <c r="AK29" s="1209">
        <f t="shared" si="102"/>
        <v>43.369349766774882</v>
      </c>
      <c r="AL29" s="1210">
        <f t="shared" si="102"/>
        <v>48.204032704495603</v>
      </c>
      <c r="AM29" s="1209">
        <f t="shared" si="98"/>
        <v>34.474168695211048</v>
      </c>
      <c r="AN29" s="1209">
        <f t="shared" si="98"/>
        <v>27.633333333333336</v>
      </c>
      <c r="AO29" s="1209">
        <f t="shared" si="98"/>
        <v>46.35</v>
      </c>
      <c r="AP29" s="1210">
        <f t="shared" si="98"/>
        <v>39.75</v>
      </c>
      <c r="AQ29" s="1209">
        <f t="shared" ref="AQ29:AT29" si="103">IF(ISBLANK(AQ172),"",AQ172)</f>
        <v>35.039319558003335</v>
      </c>
      <c r="AR29" s="1209">
        <f t="shared" si="103"/>
        <v>25.220609132408999</v>
      </c>
      <c r="AS29" s="1209">
        <f t="shared" si="103"/>
        <v>40.23746037155329</v>
      </c>
      <c r="AT29" s="1210">
        <f t="shared" si="103"/>
        <v>42.319277604434383</v>
      </c>
      <c r="AU29" s="1209">
        <f t="shared" ref="AU29:AX29" si="104">IF(ISBLANK(AU172),"",AU172)</f>
        <v>37.701310109094798</v>
      </c>
      <c r="AV29" s="1209">
        <f t="shared" si="104"/>
        <v>27.136657276326481</v>
      </c>
      <c r="AW29" s="1209">
        <f t="shared" si="104"/>
        <v>43.29436160879569</v>
      </c>
      <c r="AX29" s="1210">
        <f t="shared" si="104"/>
        <v>45.534337672183035</v>
      </c>
      <c r="AY29" s="1209">
        <f t="shared" ref="AY29:BB29" si="105">IF(ISBLANK(AY172),"",AY172)</f>
        <v>39.12839874558054</v>
      </c>
      <c r="AZ29" s="1209">
        <f t="shared" si="105"/>
        <v>28.16384744874204</v>
      </c>
      <c r="BA29" s="1209">
        <f t="shared" si="105"/>
        <v>44.93316119684799</v>
      </c>
      <c r="BB29" s="1210">
        <f t="shared" si="105"/>
        <v>47.257925942029424</v>
      </c>
      <c r="BC29" s="1211"/>
      <c r="BD29" s="1211"/>
      <c r="BE29" s="1269">
        <f t="shared" si="45"/>
        <v>40.484766605166115</v>
      </c>
      <c r="BF29" s="1269">
        <f t="shared" si="46"/>
        <v>34.636455485617915</v>
      </c>
      <c r="BG29" s="1269">
        <f t="shared" si="47"/>
        <v>31.62052996644443</v>
      </c>
      <c r="BH29" s="1273">
        <f t="shared" si="48"/>
        <v>45.478462784277809</v>
      </c>
      <c r="BI29" s="1273">
        <f t="shared" si="49"/>
        <v>45.532549621532517</v>
      </c>
      <c r="BJ29" s="1273">
        <f t="shared" si="50"/>
        <v>31.545513437193271</v>
      </c>
      <c r="BK29" s="1273">
        <f t="shared" si="51"/>
        <v>27.769571362417349</v>
      </c>
      <c r="BL29" s="1273">
        <f t="shared" si="52"/>
        <v>37.699761638626477</v>
      </c>
      <c r="BM29" s="1273">
        <f t="shared" si="53"/>
        <v>37.051875507136096</v>
      </c>
      <c r="BN29" s="1273">
        <f t="shared" si="54"/>
        <v>35.704166666600003</v>
      </c>
      <c r="BO29" s="1273">
        <f t="shared" si="55"/>
        <v>38.416666666600001</v>
      </c>
      <c r="BP29" s="1273">
        <f t="shared" si="60"/>
        <v>39.870833333299998</v>
      </c>
      <c r="BQ29" s="1205"/>
      <c r="BR29" s="1276"/>
      <c r="BS29" s="1273"/>
      <c r="BU29" s="1186"/>
      <c r="BV29" s="1274" t="s">
        <v>313</v>
      </c>
      <c r="BW29" s="1628"/>
      <c r="BX29" s="1628">
        <f>($BX$14/$BW$9+7)*1000</f>
        <v>14924.180004952612</v>
      </c>
      <c r="BY29" s="1275" t="s">
        <v>314</v>
      </c>
    </row>
    <row r="30" spans="1:77" ht="12.75" customHeight="1">
      <c r="A30" s="1187"/>
      <c r="B30" s="1619"/>
      <c r="C30" s="1621" t="str">
        <f t="shared" si="36"/>
        <v>NP 15</v>
      </c>
      <c r="D30" s="1621" t="str">
        <f t="shared" si="36"/>
        <v/>
      </c>
      <c r="E30" s="1221" t="str">
        <f t="shared" si="36"/>
        <v/>
      </c>
      <c r="F30" s="1222"/>
      <c r="G30" s="1562">
        <f t="shared" ref="G30:AL30" si="106">IF(ISBLANK(G173),"",G173)</f>
        <v>43.232782068657642</v>
      </c>
      <c r="H30" s="1560">
        <f t="shared" si="106"/>
        <v>31.276324283685071</v>
      </c>
      <c r="I30" s="1560">
        <f t="shared" si="106"/>
        <v>35.895895022321419</v>
      </c>
      <c r="J30" s="1561">
        <f t="shared" si="106"/>
        <v>34.310879216720778</v>
      </c>
      <c r="K30" s="1562">
        <f t="shared" si="106"/>
        <v>30.24114454975328</v>
      </c>
      <c r="L30" s="1560">
        <f t="shared" si="106"/>
        <v>31.702068581574675</v>
      </c>
      <c r="M30" s="1560">
        <f t="shared" si="106"/>
        <v>41.130466008522738</v>
      </c>
      <c r="N30" s="1561">
        <f t="shared" si="106"/>
        <v>32.790118090503235</v>
      </c>
      <c r="O30" s="1562">
        <f t="shared" si="106"/>
        <v>25.843621564529215</v>
      </c>
      <c r="P30" s="1560">
        <f t="shared" si="106"/>
        <v>26.883430413961047</v>
      </c>
      <c r="Q30" s="1560">
        <f t="shared" si="106"/>
        <v>32.092331157483542</v>
      </c>
      <c r="R30" s="1560">
        <f t="shared" si="106"/>
        <v>35.354487767857144</v>
      </c>
      <c r="S30" s="1208">
        <f t="shared" si="106"/>
        <v>38.341412275904609</v>
      </c>
      <c r="T30" s="1209">
        <f t="shared" si="106"/>
        <v>53.221846702516224</v>
      </c>
      <c r="U30" s="1209">
        <f t="shared" si="106"/>
        <v>43.118555716314944</v>
      </c>
      <c r="V30" s="1210">
        <f t="shared" si="106"/>
        <v>47.006490310470774</v>
      </c>
      <c r="W30" s="1209">
        <f t="shared" si="106"/>
        <v>54.453317212171072</v>
      </c>
      <c r="X30" s="1209">
        <f t="shared" si="106"/>
        <v>43.800113599161243</v>
      </c>
      <c r="Y30" s="1209">
        <f t="shared" si="106"/>
        <v>46.219888831825891</v>
      </c>
      <c r="Z30" s="1210">
        <f t="shared" si="106"/>
        <v>42.75064843777055</v>
      </c>
      <c r="AA30" s="1209">
        <f t="shared" si="106"/>
        <v>30.826490857906492</v>
      </c>
      <c r="AB30" s="1209">
        <f t="shared" si="106"/>
        <v>36.661938962643021</v>
      </c>
      <c r="AC30" s="1209">
        <f t="shared" si="106"/>
        <v>36.175045137228835</v>
      </c>
      <c r="AD30" s="1210">
        <f t="shared" si="106"/>
        <v>31.309796634826355</v>
      </c>
      <c r="AE30" s="1209">
        <f t="shared" si="106"/>
        <v>23.238426047889615</v>
      </c>
      <c r="AF30" s="1209">
        <f t="shared" si="106"/>
        <v>25.958117773133125</v>
      </c>
      <c r="AG30" s="1209">
        <f t="shared" si="106"/>
        <v>35.980332387929025</v>
      </c>
      <c r="AH30" s="1210">
        <f t="shared" si="106"/>
        <v>36.942520320092108</v>
      </c>
      <c r="AI30" s="1209">
        <f t="shared" si="106"/>
        <v>29.92399809991776</v>
      </c>
      <c r="AJ30" s="1209">
        <f t="shared" si="106"/>
        <v>36.316399976055195</v>
      </c>
      <c r="AK30" s="1209">
        <f t="shared" si="106"/>
        <v>47.946497504058435</v>
      </c>
      <c r="AL30" s="1210">
        <f t="shared" si="106"/>
        <v>48.663296223684213</v>
      </c>
      <c r="AM30" s="1209">
        <f t="shared" si="98"/>
        <v>34.379404778409103</v>
      </c>
      <c r="AN30" s="1209">
        <f t="shared" si="98"/>
        <v>28.966666666666669</v>
      </c>
      <c r="AO30" s="1209">
        <f t="shared" si="98"/>
        <v>44.1</v>
      </c>
      <c r="AP30" s="1210">
        <f t="shared" si="98"/>
        <v>40.25</v>
      </c>
      <c r="AQ30" s="1209">
        <f t="shared" ref="AQ30:AT30" si="107">IF(ISBLANK(AQ173),"",AQ173)</f>
        <v>38.255538918101109</v>
      </c>
      <c r="AR30" s="1209">
        <f t="shared" si="107"/>
        <v>29.023202192532711</v>
      </c>
      <c r="AS30" s="1209">
        <f t="shared" si="107"/>
        <v>41.520011572445739</v>
      </c>
      <c r="AT30" s="1210">
        <f t="shared" si="107"/>
        <v>42.017913983320447</v>
      </c>
      <c r="AU30" s="1209">
        <f t="shared" ref="AU30:AX30" si="108">IF(ISBLANK(AU173),"",AU173)</f>
        <v>41.312092640925286</v>
      </c>
      <c r="AV30" s="1209">
        <f t="shared" si="108"/>
        <v>31.342107616915317</v>
      </c>
      <c r="AW30" s="1209">
        <f t="shared" si="108"/>
        <v>44.837391212950912</v>
      </c>
      <c r="AX30" s="1210">
        <f t="shared" si="108"/>
        <v>45.375075195608474</v>
      </c>
      <c r="AY30" s="1209">
        <f t="shared" ref="AY30:BB30" si="109">IF(ISBLANK(AY173),"",AY173)</f>
        <v>42.787524520994573</v>
      </c>
      <c r="AZ30" s="1209">
        <f t="shared" si="109"/>
        <v>32.461468603261217</v>
      </c>
      <c r="BA30" s="1209">
        <f t="shared" si="109"/>
        <v>46.438726613452779</v>
      </c>
      <c r="BB30" s="1210">
        <f t="shared" si="109"/>
        <v>46.995613595491442</v>
      </c>
      <c r="BC30" s="1211"/>
      <c r="BD30" s="1211"/>
      <c r="BE30" s="1269">
        <f t="shared" si="45"/>
        <v>36.178970147846229</v>
      </c>
      <c r="BF30" s="1269">
        <f t="shared" si="46"/>
        <v>33.965949307588481</v>
      </c>
      <c r="BG30" s="1269">
        <f t="shared" si="47"/>
        <v>30.04346772595774</v>
      </c>
      <c r="BH30" s="1273">
        <f t="shared" si="48"/>
        <v>45.42207625130164</v>
      </c>
      <c r="BI30" s="1273">
        <f t="shared" si="49"/>
        <v>46.805992020232196</v>
      </c>
      <c r="BJ30" s="1273">
        <f t="shared" si="50"/>
        <v>33.743317898151176</v>
      </c>
      <c r="BK30" s="1273">
        <f t="shared" si="51"/>
        <v>30.529849132260971</v>
      </c>
      <c r="BL30" s="1273">
        <f t="shared" si="52"/>
        <v>40.712547950928908</v>
      </c>
      <c r="BM30" s="1273">
        <f t="shared" si="53"/>
        <v>36.924017861268943</v>
      </c>
      <c r="BN30" s="1273">
        <f t="shared" si="54"/>
        <v>37.704166666600003</v>
      </c>
      <c r="BO30" s="1273">
        <f t="shared" si="55"/>
        <v>40.716666666599998</v>
      </c>
      <c r="BP30" s="1273">
        <f t="shared" si="60"/>
        <v>42.170833333300003</v>
      </c>
      <c r="BQ30" s="1205"/>
      <c r="BR30" s="1276"/>
      <c r="BS30" s="1273"/>
      <c r="BU30" s="1186"/>
      <c r="BV30" s="1274" t="s">
        <v>938</v>
      </c>
      <c r="BW30" s="1628"/>
      <c r="BX30" s="1628">
        <f>+BX29-BX31</f>
        <v>13048.805132456902</v>
      </c>
      <c r="BY30" s="1275" t="s">
        <v>314</v>
      </c>
    </row>
    <row r="31" spans="1:77" ht="12.75" customHeight="1">
      <c r="A31" s="1187"/>
      <c r="B31" s="1619"/>
      <c r="C31" s="1621" t="str">
        <f t="shared" si="36"/>
        <v>Mid C</v>
      </c>
      <c r="D31" s="1621" t="str">
        <f t="shared" si="36"/>
        <v/>
      </c>
      <c r="E31" s="1621" t="str">
        <f t="shared" si="36"/>
        <v/>
      </c>
      <c r="F31" s="1222"/>
      <c r="G31" s="1562">
        <f t="shared" ref="G31:AL31" si="110">IF(ISBLANK(G174),"",G174)</f>
        <v>42.801333333333332</v>
      </c>
      <c r="H31" s="1560">
        <f t="shared" si="110"/>
        <v>28.54564516129032</v>
      </c>
      <c r="I31" s="1560">
        <f t="shared" si="110"/>
        <v>38.119531250000001</v>
      </c>
      <c r="J31" s="1561">
        <f t="shared" si="110"/>
        <v>33.579047619047621</v>
      </c>
      <c r="K31" s="1562">
        <f t="shared" si="110"/>
        <v>26.340468749999999</v>
      </c>
      <c r="L31" s="1560">
        <f t="shared" si="110"/>
        <v>27.286249999999995</v>
      </c>
      <c r="M31" s="1560">
        <f t="shared" si="110"/>
        <v>33.397500000000015</v>
      </c>
      <c r="N31" s="1561">
        <f t="shared" si="110"/>
        <v>30.906093749999997</v>
      </c>
      <c r="O31" s="1562">
        <f t="shared" si="110"/>
        <v>23.229218750000008</v>
      </c>
      <c r="P31" s="1560">
        <f t="shared" si="110"/>
        <v>12.017692307692307</v>
      </c>
      <c r="Q31" s="1560">
        <f t="shared" si="110"/>
        <v>26.9057142857143</v>
      </c>
      <c r="R31" s="1560">
        <f t="shared" si="110"/>
        <v>29.446000000000005</v>
      </c>
      <c r="S31" s="1208">
        <f t="shared" si="110"/>
        <v>30.320000000000007</v>
      </c>
      <c r="T31" s="1209">
        <f t="shared" si="110"/>
        <v>33.439538461538454</v>
      </c>
      <c r="U31" s="1209">
        <f t="shared" si="110"/>
        <v>42.477500000000006</v>
      </c>
      <c r="V31" s="1210">
        <f t="shared" si="110"/>
        <v>43.603750000000005</v>
      </c>
      <c r="W31" s="1209">
        <f t="shared" si="110"/>
        <v>47.446612903225798</v>
      </c>
      <c r="X31" s="1209">
        <f t="shared" si="110"/>
        <v>33.838307692307687</v>
      </c>
      <c r="Y31" s="1209">
        <f t="shared" si="110"/>
        <v>40.372878787878776</v>
      </c>
      <c r="Z31" s="1210">
        <f t="shared" si="110"/>
        <v>32.739843750000006</v>
      </c>
      <c r="AA31" s="1209">
        <f t="shared" si="110"/>
        <v>20.717049180327873</v>
      </c>
      <c r="AB31" s="1209">
        <f t="shared" si="110"/>
        <v>28.650317460317464</v>
      </c>
      <c r="AC31" s="1209">
        <f t="shared" si="110"/>
        <v>33.344531250000003</v>
      </c>
      <c r="AD31" s="1210">
        <f t="shared" si="110"/>
        <v>21.909841269841273</v>
      </c>
      <c r="AE31" s="1209">
        <f t="shared" si="110"/>
        <v>17.523114754098362</v>
      </c>
      <c r="AF31" s="1209">
        <f t="shared" si="110"/>
        <v>16.668125</v>
      </c>
      <c r="AG31" s="1209">
        <f t="shared" si="110"/>
        <v>32.027968749999999</v>
      </c>
      <c r="AH31" s="1210">
        <f t="shared" si="110"/>
        <v>25.693387096774195</v>
      </c>
      <c r="AI31" s="1209">
        <f t="shared" si="110"/>
        <v>23.318548387096779</v>
      </c>
      <c r="AJ31" s="1209">
        <f t="shared" si="110"/>
        <v>16.274843750000002</v>
      </c>
      <c r="AK31" s="1209">
        <f t="shared" si="110"/>
        <v>38.276507936507947</v>
      </c>
      <c r="AL31" s="1210">
        <f t="shared" si="110"/>
        <v>27.148064516129033</v>
      </c>
      <c r="AM31" s="1209">
        <f t="shared" si="98"/>
        <v>21.811311475409838</v>
      </c>
      <c r="AN31" s="1209">
        <f t="shared" si="98"/>
        <v>13.183333333333332</v>
      </c>
      <c r="AO31" s="1209">
        <f t="shared" si="98"/>
        <v>28.649999999999995</v>
      </c>
      <c r="AP31" s="1210">
        <f t="shared" si="98"/>
        <v>23.75</v>
      </c>
      <c r="AQ31" s="1209">
        <f t="shared" ref="AQ31:AT31" si="111">IF(ISBLANK(AQ174),"",AQ174)</f>
        <v>27.40712890369376</v>
      </c>
      <c r="AR31" s="1209">
        <f t="shared" si="111"/>
        <v>18.328876562466629</v>
      </c>
      <c r="AS31" s="1209">
        <f t="shared" si="111"/>
        <v>32.290998834121375</v>
      </c>
      <c r="AT31" s="1210">
        <f t="shared" si="111"/>
        <v>22.389662366118252</v>
      </c>
      <c r="AU31" s="1209">
        <f t="shared" ref="AU31:AX31" si="112">IF(ISBLANK(AU174),"",AU174)</f>
        <v>30.859744810408912</v>
      </c>
      <c r="AV31" s="1209">
        <f t="shared" si="112"/>
        <v>20.637858688765235</v>
      </c>
      <c r="AW31" s="1209">
        <f t="shared" si="112"/>
        <v>36.358860761949288</v>
      </c>
      <c r="AX31" s="1210">
        <f t="shared" si="112"/>
        <v>25.210202405276569</v>
      </c>
      <c r="AY31" s="1209">
        <f t="shared" ref="AY31:BB31" si="113">IF(ISBLANK(AY174),"",AY174)</f>
        <v>33.047766221683759</v>
      </c>
      <c r="AZ31" s="1209">
        <f t="shared" si="113"/>
        <v>22.101126676601996</v>
      </c>
      <c r="BA31" s="1209">
        <f t="shared" si="113"/>
        <v>38.936781166847538</v>
      </c>
      <c r="BB31" s="1210">
        <f t="shared" si="113"/>
        <v>26.997659268066712</v>
      </c>
      <c r="BC31" s="1211"/>
      <c r="BD31" s="1211"/>
      <c r="BE31" s="1269">
        <f t="shared" si="45"/>
        <v>35.761389340917823</v>
      </c>
      <c r="BF31" s="1269">
        <f t="shared" si="46"/>
        <v>29.482578125000003</v>
      </c>
      <c r="BG31" s="1269">
        <f t="shared" si="47"/>
        <v>22.899656335851652</v>
      </c>
      <c r="BH31" s="1273">
        <f t="shared" si="48"/>
        <v>37.460197115384616</v>
      </c>
      <c r="BI31" s="1273">
        <f t="shared" si="49"/>
        <v>38.599410783353065</v>
      </c>
      <c r="BJ31" s="1273">
        <f t="shared" si="50"/>
        <v>26.155434790121653</v>
      </c>
      <c r="BK31" s="1273">
        <f t="shared" si="51"/>
        <v>22.978148900218137</v>
      </c>
      <c r="BL31" s="1273">
        <f t="shared" si="52"/>
        <v>26.254491147433441</v>
      </c>
      <c r="BM31" s="1273">
        <f t="shared" si="53"/>
        <v>21.848661202185792</v>
      </c>
      <c r="BN31" s="1273">
        <f t="shared" si="54"/>
        <v>25.104166666600001</v>
      </c>
      <c r="BO31" s="1273">
        <f t="shared" si="55"/>
        <v>28.266666666600003</v>
      </c>
      <c r="BP31" s="1273">
        <f t="shared" si="60"/>
        <v>30.270833333300001</v>
      </c>
      <c r="BQ31" s="1205"/>
      <c r="BR31" s="1276"/>
      <c r="BS31" s="1273"/>
      <c r="BU31" s="1186"/>
      <c r="BV31" s="2074" t="s">
        <v>1528</v>
      </c>
      <c r="BW31" s="1277"/>
      <c r="BX31" s="2075">
        <f>BX29-BP232+BY111</f>
        <v>1875.3748724957095</v>
      </c>
      <c r="BY31" s="1278" t="s">
        <v>314</v>
      </c>
    </row>
    <row r="32" spans="1:77" ht="12.75" customHeight="1">
      <c r="A32" s="1187"/>
      <c r="B32" s="1619"/>
      <c r="C32" s="2293" t="s">
        <v>1535</v>
      </c>
      <c r="D32" s="1621" t="str">
        <f t="shared" si="36"/>
        <v/>
      </c>
      <c r="E32" s="1621" t="str">
        <f t="shared" si="36"/>
        <v/>
      </c>
      <c r="F32" s="1563"/>
      <c r="G32" s="1562">
        <f t="shared" ref="G32:Z32" si="114">IF(ISBLANK(G175),"",G175)</f>
        <v>0</v>
      </c>
      <c r="H32" s="1560">
        <f t="shared" si="114"/>
        <v>0</v>
      </c>
      <c r="I32" s="1560">
        <f t="shared" si="114"/>
        <v>0</v>
      </c>
      <c r="J32" s="1561">
        <f t="shared" si="114"/>
        <v>26.057656249999997</v>
      </c>
      <c r="K32" s="1562">
        <f t="shared" si="114"/>
        <v>44.045515136718748</v>
      </c>
      <c r="L32" s="1560">
        <f t="shared" si="114"/>
        <v>32.527326660156241</v>
      </c>
      <c r="M32" s="1560">
        <f t="shared" si="114"/>
        <v>107.99931884765626</v>
      </c>
      <c r="N32" s="1561">
        <f t="shared" si="114"/>
        <v>25.141532738095243</v>
      </c>
      <c r="O32" s="1562">
        <f t="shared" si="114"/>
        <v>22.386582031250001</v>
      </c>
      <c r="P32" s="1560">
        <f t="shared" si="114"/>
        <v>30.746459960937493</v>
      </c>
      <c r="Q32" s="1560">
        <f t="shared" si="114"/>
        <v>32.112728174603177</v>
      </c>
      <c r="R32" s="1560">
        <f t="shared" si="114"/>
        <v>28.814428710937499</v>
      </c>
      <c r="S32" s="1208">
        <f t="shared" si="114"/>
        <v>26.779603174603171</v>
      </c>
      <c r="T32" s="1209">
        <f t="shared" si="114"/>
        <v>33.793859863281241</v>
      </c>
      <c r="U32" s="1209">
        <f t="shared" si="114"/>
        <v>38.988039550781245</v>
      </c>
      <c r="V32" s="1210">
        <f t="shared" si="114"/>
        <v>36.511301269531252</v>
      </c>
      <c r="W32" s="1208">
        <f t="shared" si="114"/>
        <v>60.688715277777789</v>
      </c>
      <c r="X32" s="1209">
        <f t="shared" si="114"/>
        <v>40.715671386718761</v>
      </c>
      <c r="Y32" s="1209">
        <f t="shared" si="114"/>
        <v>37.175153808593763</v>
      </c>
      <c r="Z32" s="1210">
        <f t="shared" si="114"/>
        <v>34.137402343750011</v>
      </c>
      <c r="AA32" s="1340"/>
      <c r="AB32" s="1340"/>
      <c r="AC32" s="1340"/>
      <c r="AD32" s="1341"/>
      <c r="AE32" s="1209">
        <f t="shared" ref="AE32:AL41" si="115">IF(ISBLANK(AE175),"",AE175)</f>
        <v>18.654545898437501</v>
      </c>
      <c r="AF32" s="1209">
        <f t="shared" si="115"/>
        <v>20.813508300781255</v>
      </c>
      <c r="AG32" s="1209">
        <f t="shared" si="115"/>
        <v>30.13850830078125</v>
      </c>
      <c r="AH32" s="1210">
        <f t="shared" si="115"/>
        <v>26.087876984126982</v>
      </c>
      <c r="AI32" s="1209">
        <f t="shared" si="115"/>
        <v>21.219472656250005</v>
      </c>
      <c r="AJ32" s="1209">
        <f t="shared" si="115"/>
        <v>26.678684082031253</v>
      </c>
      <c r="AK32" s="1209">
        <f t="shared" si="115"/>
        <v>28.632579365079362</v>
      </c>
      <c r="AL32" s="1210">
        <f t="shared" si="115"/>
        <v>23.46141865079365</v>
      </c>
      <c r="AM32" s="1209">
        <f t="shared" si="98"/>
        <v>30.740278320312502</v>
      </c>
      <c r="AN32" s="1209">
        <f t="shared" si="98"/>
        <v>33.448666666666668</v>
      </c>
      <c r="AO32" s="1209">
        <f t="shared" si="98"/>
        <v>117.70445000000001</v>
      </c>
      <c r="AP32" s="1210">
        <f t="shared" si="98"/>
        <v>24.139100000000003</v>
      </c>
      <c r="AQ32" s="1209">
        <f t="shared" ref="AQ32:AT32" si="116">IF(ISBLANK(AQ175),"",AQ175)</f>
        <v>21.658071060828828</v>
      </c>
      <c r="AR32" s="1209">
        <f t="shared" si="116"/>
        <v>22.479432962685426</v>
      </c>
      <c r="AS32" s="1209">
        <f t="shared" si="116"/>
        <v>68.504257165159913</v>
      </c>
      <c r="AT32" s="1210">
        <f t="shared" si="116"/>
        <v>41.785622144525846</v>
      </c>
      <c r="AU32" s="1209">
        <f t="shared" ref="AU32:AX32" si="117">IF(ISBLANK(AU175),"",AU175)</f>
        <v>19.257985044248056</v>
      </c>
      <c r="AV32" s="1209">
        <f t="shared" si="117"/>
        <v>19.988325949375007</v>
      </c>
      <c r="AW32" s="1209">
        <f t="shared" si="117"/>
        <v>60.912809651825292</v>
      </c>
      <c r="AX32" s="1210">
        <f t="shared" si="117"/>
        <v>37.155057994951648</v>
      </c>
      <c r="AY32" s="1209">
        <f t="shared" ref="AY32:BB32" si="118">IF(ISBLANK(AY175),"",AY175)</f>
        <v>17.900765357978706</v>
      </c>
      <c r="AZ32" s="1209">
        <f t="shared" si="118"/>
        <v>18.579634987588069</v>
      </c>
      <c r="BA32" s="1209">
        <f t="shared" si="118"/>
        <v>56.619937670904982</v>
      </c>
      <c r="BB32" s="1210">
        <f t="shared" si="118"/>
        <v>34.536529834328249</v>
      </c>
      <c r="BC32" s="1211"/>
      <c r="BD32" s="1211"/>
      <c r="BE32" s="1269"/>
      <c r="BF32" s="1269"/>
      <c r="BG32" s="1269"/>
      <c r="BH32" s="1273"/>
      <c r="BI32" s="1273"/>
      <c r="BJ32" s="1273"/>
      <c r="BK32" s="1273"/>
      <c r="BL32" s="1273"/>
      <c r="BM32" s="1273"/>
      <c r="BN32" s="1273"/>
      <c r="BO32" s="1273"/>
      <c r="BP32" s="1273"/>
      <c r="BQ32" s="1205"/>
      <c r="BR32" s="1226"/>
      <c r="BU32" s="1186"/>
      <c r="BV32" s="1551"/>
      <c r="BW32" s="1551"/>
      <c r="BX32" s="1551"/>
    </row>
    <row r="33" spans="1:104" ht="12.75" customHeight="1">
      <c r="A33" s="1187"/>
      <c r="B33" s="1619"/>
      <c r="C33" s="1216" t="str">
        <f t="shared" si="36"/>
        <v>Off-Peak Regional Power Prices ($/MWh)</v>
      </c>
      <c r="D33" s="1227" t="str">
        <f t="shared" si="36"/>
        <v/>
      </c>
      <c r="E33" s="1227" t="str">
        <f t="shared" si="36"/>
        <v/>
      </c>
      <c r="F33" s="1348"/>
      <c r="G33" s="1595" t="str">
        <f t="shared" ref="G33:Z33" si="119">IF(ISBLANK(G176),"",G176)</f>
        <v/>
      </c>
      <c r="H33" s="1594" t="str">
        <f t="shared" si="119"/>
        <v/>
      </c>
      <c r="I33" s="1594" t="str">
        <f t="shared" si="119"/>
        <v/>
      </c>
      <c r="J33" s="1596" t="str">
        <f t="shared" si="119"/>
        <v/>
      </c>
      <c r="K33" s="1595" t="str">
        <f t="shared" si="119"/>
        <v/>
      </c>
      <c r="L33" s="1594" t="str">
        <f t="shared" si="119"/>
        <v/>
      </c>
      <c r="M33" s="1594" t="str">
        <f t="shared" si="119"/>
        <v/>
      </c>
      <c r="N33" s="1596" t="str">
        <f t="shared" si="119"/>
        <v/>
      </c>
      <c r="O33" s="1595" t="str">
        <f t="shared" si="119"/>
        <v/>
      </c>
      <c r="P33" s="1594" t="str">
        <f t="shared" si="119"/>
        <v/>
      </c>
      <c r="Q33" s="1594" t="str">
        <f t="shared" si="119"/>
        <v/>
      </c>
      <c r="R33" s="1594" t="str">
        <f t="shared" si="119"/>
        <v/>
      </c>
      <c r="S33" s="1593" t="str">
        <f t="shared" si="119"/>
        <v/>
      </c>
      <c r="T33" s="1218" t="str">
        <f t="shared" si="119"/>
        <v/>
      </c>
      <c r="U33" s="1218" t="str">
        <f t="shared" si="119"/>
        <v/>
      </c>
      <c r="V33" s="1217" t="str">
        <f t="shared" si="119"/>
        <v/>
      </c>
      <c r="W33" s="1218" t="str">
        <f t="shared" si="119"/>
        <v/>
      </c>
      <c r="X33" s="1218" t="str">
        <f t="shared" si="119"/>
        <v/>
      </c>
      <c r="Y33" s="1218" t="str">
        <f t="shared" si="119"/>
        <v/>
      </c>
      <c r="Z33" s="1592" t="str">
        <f t="shared" si="119"/>
        <v/>
      </c>
      <c r="AA33" s="1591" t="str">
        <f t="shared" ref="AA33:AD50" si="120">IF(ISBLANK(AA176),"",AA176)</f>
        <v/>
      </c>
      <c r="AB33" s="1591" t="str">
        <f t="shared" si="120"/>
        <v/>
      </c>
      <c r="AC33" s="1591" t="str">
        <f t="shared" si="120"/>
        <v/>
      </c>
      <c r="AD33" s="1592" t="str">
        <f t="shared" si="120"/>
        <v/>
      </c>
      <c r="AE33" s="1591" t="str">
        <f t="shared" si="115"/>
        <v/>
      </c>
      <c r="AF33" s="1591" t="str">
        <f t="shared" si="115"/>
        <v/>
      </c>
      <c r="AG33" s="1591" t="str">
        <f t="shared" si="115"/>
        <v/>
      </c>
      <c r="AH33" s="1592" t="str">
        <f t="shared" si="115"/>
        <v/>
      </c>
      <c r="AI33" s="1591" t="str">
        <f t="shared" si="115"/>
        <v/>
      </c>
      <c r="AJ33" s="1591" t="str">
        <f t="shared" si="115"/>
        <v/>
      </c>
      <c r="AK33" s="1591" t="str">
        <f t="shared" si="115"/>
        <v/>
      </c>
      <c r="AL33" s="1592" t="str">
        <f t="shared" si="115"/>
        <v/>
      </c>
      <c r="AM33" s="1591" t="str">
        <f t="shared" si="98"/>
        <v/>
      </c>
      <c r="AN33" s="1591" t="str">
        <f t="shared" si="98"/>
        <v/>
      </c>
      <c r="AO33" s="1591" t="str">
        <f t="shared" si="98"/>
        <v/>
      </c>
      <c r="AP33" s="1592" t="str">
        <f t="shared" si="98"/>
        <v/>
      </c>
      <c r="AQ33" s="1591" t="str">
        <f t="shared" ref="AQ33:AT33" si="121">IF(ISBLANK(AQ176),"",AQ176)</f>
        <v/>
      </c>
      <c r="AR33" s="1591" t="str">
        <f t="shared" si="121"/>
        <v/>
      </c>
      <c r="AS33" s="1591" t="str">
        <f t="shared" si="121"/>
        <v/>
      </c>
      <c r="AT33" s="1592" t="str">
        <f t="shared" si="121"/>
        <v/>
      </c>
      <c r="AU33" s="1591" t="str">
        <f t="shared" ref="AU33:AX33" si="122">IF(ISBLANK(AU176),"",AU176)</f>
        <v/>
      </c>
      <c r="AV33" s="1591" t="str">
        <f t="shared" si="122"/>
        <v/>
      </c>
      <c r="AW33" s="1591" t="str">
        <f t="shared" si="122"/>
        <v/>
      </c>
      <c r="AX33" s="1592" t="str">
        <f t="shared" si="122"/>
        <v/>
      </c>
      <c r="AY33" s="1591" t="str">
        <f t="shared" ref="AY33:BB33" si="123">IF(ISBLANK(AY176),"",AY176)</f>
        <v/>
      </c>
      <c r="AZ33" s="1591" t="str">
        <f t="shared" si="123"/>
        <v/>
      </c>
      <c r="BA33" s="1591" t="str">
        <f t="shared" si="123"/>
        <v/>
      </c>
      <c r="BB33" s="1592" t="str">
        <f t="shared" si="123"/>
        <v/>
      </c>
      <c r="BC33" s="1600"/>
      <c r="BD33" s="1219"/>
      <c r="BE33" s="1270"/>
      <c r="BF33" s="1270"/>
      <c r="BG33" s="1270"/>
      <c r="BH33" s="1270"/>
      <c r="BI33" s="1270"/>
      <c r="BJ33" s="1386"/>
      <c r="BK33" s="1270"/>
      <c r="BL33" s="1270"/>
      <c r="BM33" s="1270"/>
      <c r="BN33" s="1270"/>
      <c r="BO33" s="1270"/>
      <c r="BP33" s="1270"/>
      <c r="BQ33" s="1205"/>
      <c r="BR33" s="1226"/>
      <c r="BU33" s="1186"/>
      <c r="BV33" s="1551"/>
      <c r="BW33" s="1551"/>
      <c r="BX33" s="1551"/>
    </row>
    <row r="34" spans="1:104" ht="12.75" customHeight="1">
      <c r="A34" s="1187"/>
      <c r="B34" s="1619"/>
      <c r="C34" s="1621" t="str">
        <f t="shared" si="36"/>
        <v>Mass Hub</v>
      </c>
      <c r="D34" s="1621" t="str">
        <f t="shared" si="36"/>
        <v/>
      </c>
      <c r="E34" s="1621" t="str">
        <f t="shared" si="36"/>
        <v/>
      </c>
      <c r="F34" s="1222"/>
      <c r="G34" s="1562">
        <f t="shared" ref="G34:Z34" si="124">IF(ISBLANK(G177),"",G177)</f>
        <v>39.802860187553279</v>
      </c>
      <c r="H34" s="1560">
        <f t="shared" si="124"/>
        <v>38.409404761904753</v>
      </c>
      <c r="I34" s="1560">
        <f t="shared" si="124"/>
        <v>41.222355072463778</v>
      </c>
      <c r="J34" s="1561">
        <f t="shared" si="124"/>
        <v>42.090868115942037</v>
      </c>
      <c r="K34" s="1562">
        <f t="shared" si="124"/>
        <v>51.30131863929148</v>
      </c>
      <c r="L34" s="1560">
        <f t="shared" si="124"/>
        <v>37.850595238095231</v>
      </c>
      <c r="M34" s="1560">
        <f t="shared" si="124"/>
        <v>39.460384963768135</v>
      </c>
      <c r="N34" s="1561">
        <f t="shared" si="124"/>
        <v>32.516622101449258</v>
      </c>
      <c r="O34" s="1562">
        <f t="shared" si="124"/>
        <v>27.601070632266282</v>
      </c>
      <c r="P34" s="1560">
        <f t="shared" si="124"/>
        <v>22.926753663003662</v>
      </c>
      <c r="Q34" s="1560">
        <f t="shared" si="124"/>
        <v>30.926911231884059</v>
      </c>
      <c r="R34" s="1560">
        <f t="shared" si="124"/>
        <v>38.427999456521725</v>
      </c>
      <c r="S34" s="1208">
        <f t="shared" si="124"/>
        <v>72.617844806763287</v>
      </c>
      <c r="T34" s="1209">
        <f t="shared" si="124"/>
        <v>34.133154761904763</v>
      </c>
      <c r="U34" s="1209">
        <f t="shared" si="124"/>
        <v>30.454148550724629</v>
      </c>
      <c r="V34" s="1210">
        <f t="shared" si="124"/>
        <v>51.12213387681161</v>
      </c>
      <c r="W34" s="1209">
        <f t="shared" si="124"/>
        <v>125.17613546698865</v>
      </c>
      <c r="X34" s="1209">
        <f t="shared" si="124"/>
        <v>32.324491758241756</v>
      </c>
      <c r="Y34" s="1209">
        <f t="shared" si="124"/>
        <v>26.776259057971</v>
      </c>
      <c r="Z34" s="1210">
        <f t="shared" si="124"/>
        <v>31.050057065217377</v>
      </c>
      <c r="AA34" s="1209">
        <f t="shared" si="120"/>
        <v>74.709404790660244</v>
      </c>
      <c r="AB34" s="1209">
        <f t="shared" si="120"/>
        <v>18.747051282051284</v>
      </c>
      <c r="AC34" s="1209">
        <f t="shared" si="120"/>
        <v>22.344044384057977</v>
      </c>
      <c r="AD34" s="1210">
        <f t="shared" si="120"/>
        <v>20.198206884057964</v>
      </c>
      <c r="AE34" s="1209">
        <f t="shared" si="115"/>
        <v>22.403306059882148</v>
      </c>
      <c r="AF34" s="1209">
        <f t="shared" si="115"/>
        <v>18.611707875457874</v>
      </c>
      <c r="AG34" s="1209">
        <f t="shared" si="115"/>
        <v>21.732721920289862</v>
      </c>
      <c r="AH34" s="1210">
        <f t="shared" si="115"/>
        <v>28.745413949275392</v>
      </c>
      <c r="AI34" s="1209">
        <f t="shared" si="115"/>
        <v>30.265937600644122</v>
      </c>
      <c r="AJ34" s="1209">
        <f t="shared" si="115"/>
        <v>22.968333333333337</v>
      </c>
      <c r="AK34" s="1209">
        <f t="shared" si="115"/>
        <v>19.421938405797103</v>
      </c>
      <c r="AL34" s="1210">
        <f t="shared" si="115"/>
        <v>41.756125543478241</v>
      </c>
      <c r="AM34" s="1209">
        <f t="shared" si="98"/>
        <v>55.496529991948492</v>
      </c>
      <c r="AN34" s="1209">
        <f t="shared" si="98"/>
        <v>24.166666666666668</v>
      </c>
      <c r="AO34" s="1209">
        <f t="shared" si="98"/>
        <v>23.3</v>
      </c>
      <c r="AP34" s="1210">
        <f t="shared" si="98"/>
        <v>33.699999999999996</v>
      </c>
      <c r="AQ34" s="1209">
        <f t="shared" ref="AQ34:AT34" si="125">IF(ISBLANK(AQ177),"",AQ177)</f>
        <v>56.863680246618699</v>
      </c>
      <c r="AR34" s="1209">
        <f t="shared" si="125"/>
        <v>22.402357917897525</v>
      </c>
      <c r="AS34" s="1209">
        <f t="shared" si="125"/>
        <v>23.701528116853666</v>
      </c>
      <c r="AT34" s="1210">
        <f t="shared" si="125"/>
        <v>32.932400385030085</v>
      </c>
      <c r="AU34" s="1209">
        <f t="shared" ref="AU34:AX34" si="126">IF(ISBLANK(AU177),"",AU177)</f>
        <v>56.696324969164479</v>
      </c>
      <c r="AV34" s="1209">
        <f t="shared" si="126"/>
        <v>22.336425624934453</v>
      </c>
      <c r="AW34" s="1209">
        <f t="shared" si="126"/>
        <v>23.631772241101658</v>
      </c>
      <c r="AX34" s="1210">
        <f t="shared" si="126"/>
        <v>32.8354771647994</v>
      </c>
      <c r="AY34" s="1209">
        <f t="shared" ref="AY34:BB34" si="127">IF(ISBLANK(AY177),"",AY177)</f>
        <v>57.030965787007425</v>
      </c>
      <c r="AZ34" s="1209">
        <f t="shared" si="127"/>
        <v>22.468262736826301</v>
      </c>
      <c r="BA34" s="1209">
        <f t="shared" si="127"/>
        <v>23.771254925281653</v>
      </c>
      <c r="BB34" s="1210">
        <f t="shared" si="127"/>
        <v>33.0292832172846</v>
      </c>
      <c r="BC34" s="1211"/>
      <c r="BD34" s="1211"/>
      <c r="BE34" s="1269">
        <f t="shared" ref="BE34:BE49" si="128">AVERAGE(G34:J34)</f>
        <v>40.381372034465961</v>
      </c>
      <c r="BF34" s="1269">
        <f t="shared" ref="BF34:BF49" si="129">AVERAGE(K34:N34)</f>
        <v>40.282230235651021</v>
      </c>
      <c r="BG34" s="1269">
        <f t="shared" ref="BG34:BG49" si="130">AVERAGE(O34:R34)</f>
        <v>29.970683745918933</v>
      </c>
      <c r="BH34" s="1269">
        <f t="shared" ref="BH34:BH49" si="131">AVERAGE(S34:V34)</f>
        <v>47.081820499051069</v>
      </c>
      <c r="BI34" s="1269">
        <f t="shared" ref="BI34:BI49" si="132">AVERAGE(W34:Z34)</f>
        <v>53.831735837104695</v>
      </c>
      <c r="BJ34" s="1269">
        <f t="shared" ref="BJ34:BJ49" si="133">AVERAGE(AA34:AD34)</f>
        <v>33.99967683520687</v>
      </c>
      <c r="BK34" s="1273">
        <f t="shared" ref="BK34:BK49" si="134">AVERAGE(AE34:AH34)</f>
        <v>22.873287451226318</v>
      </c>
      <c r="BL34" s="1273">
        <f t="shared" ref="BL34:BL49" si="135">AVERAGE(AI34:AL34)</f>
        <v>28.603083720813203</v>
      </c>
      <c r="BM34" s="1273">
        <f t="shared" ref="BM34:BM49" si="136">AVERAGE(AM34:AP34)</f>
        <v>34.165799164653791</v>
      </c>
      <c r="BN34" s="1273">
        <f t="shared" ref="BN34:BN49" si="137">AVERAGE(AQ34:AT34)</f>
        <v>33.974991666599998</v>
      </c>
      <c r="BO34" s="1273">
        <f t="shared" ref="BO34:BO49" si="138">AVERAGE(AU34:AX34)</f>
        <v>33.875</v>
      </c>
      <c r="BP34" s="1273">
        <f t="shared" ref="BP34:BP49" si="139">AVERAGE(AY34:BB34)</f>
        <v>34.074941666599997</v>
      </c>
      <c r="BQ34" s="1205"/>
      <c r="BR34" s="1606"/>
      <c r="BS34" s="1605"/>
      <c r="BU34" s="1186"/>
      <c r="BV34" s="1395" t="s">
        <v>939</v>
      </c>
      <c r="BW34" s="1551"/>
      <c r="BX34" s="1551"/>
    </row>
    <row r="35" spans="1:104" ht="12.75" customHeight="1">
      <c r="A35" s="1187"/>
      <c r="B35" s="1619"/>
      <c r="C35" s="1621" t="str">
        <f t="shared" ref="C35:E54" si="140">IF(ISBLANK(C178),"",C178)</f>
        <v>NY Zone A</v>
      </c>
      <c r="D35" s="1621" t="str">
        <f t="shared" si="140"/>
        <v/>
      </c>
      <c r="E35" s="1621" t="str">
        <f t="shared" si="140"/>
        <v/>
      </c>
      <c r="F35" s="1222"/>
      <c r="G35" s="1562">
        <f t="shared" ref="G35:Z35" si="141">IF(ISBLANK(G178),"",G178)</f>
        <v>29.412255701193526</v>
      </c>
      <c r="H35" s="1560">
        <f t="shared" si="141"/>
        <v>32.835989010988996</v>
      </c>
      <c r="I35" s="1560">
        <f t="shared" si="141"/>
        <v>38.537432065217374</v>
      </c>
      <c r="J35" s="1561">
        <f t="shared" si="141"/>
        <v>34.208417028985515</v>
      </c>
      <c r="K35" s="1562">
        <f t="shared" si="141"/>
        <v>35.779313405797105</v>
      </c>
      <c r="L35" s="1560">
        <f t="shared" si="141"/>
        <v>31.184803113553112</v>
      </c>
      <c r="M35" s="1560">
        <f t="shared" si="141"/>
        <v>33.652490942028983</v>
      </c>
      <c r="N35" s="1561">
        <f t="shared" si="141"/>
        <v>27.712640036231885</v>
      </c>
      <c r="O35" s="1562">
        <f t="shared" si="141"/>
        <v>23.968829033285562</v>
      </c>
      <c r="P35" s="1560">
        <f t="shared" si="141"/>
        <v>20.569913003663</v>
      </c>
      <c r="Q35" s="1560">
        <f t="shared" si="141"/>
        <v>27.271308876811592</v>
      </c>
      <c r="R35" s="1560">
        <f t="shared" si="141"/>
        <v>30.6151650362319</v>
      </c>
      <c r="S35" s="1208">
        <f t="shared" si="141"/>
        <v>35.609952294685982</v>
      </c>
      <c r="T35" s="1209">
        <f t="shared" si="141"/>
        <v>28.352330586080591</v>
      </c>
      <c r="U35" s="1209">
        <f t="shared" si="141"/>
        <v>26.087404891304349</v>
      </c>
      <c r="V35" s="1210">
        <f t="shared" si="141"/>
        <v>29.252230615942018</v>
      </c>
      <c r="W35" s="1209">
        <f t="shared" si="141"/>
        <v>74.738565619967801</v>
      </c>
      <c r="X35" s="1209">
        <f t="shared" si="141"/>
        <v>27.261304945054935</v>
      </c>
      <c r="Y35" s="1209">
        <f t="shared" si="141"/>
        <v>23.849180253623189</v>
      </c>
      <c r="Z35" s="1210">
        <f t="shared" si="141"/>
        <v>21.799227355072471</v>
      </c>
      <c r="AA35" s="1209">
        <f t="shared" si="120"/>
        <v>37.643325281803556</v>
      </c>
      <c r="AB35" s="1209">
        <f t="shared" si="120"/>
        <v>18.227133699633701</v>
      </c>
      <c r="AC35" s="1209">
        <f t="shared" si="120"/>
        <v>20.449230072463759</v>
      </c>
      <c r="AD35" s="1210">
        <f t="shared" si="120"/>
        <v>14.298236956521748</v>
      </c>
      <c r="AE35" s="1209">
        <f t="shared" si="115"/>
        <v>13.624288899506292</v>
      </c>
      <c r="AF35" s="1209">
        <f t="shared" si="115"/>
        <v>15.5952152014652</v>
      </c>
      <c r="AG35" s="1209">
        <f t="shared" si="115"/>
        <v>19.290855978260876</v>
      </c>
      <c r="AH35" s="1210">
        <f t="shared" si="115"/>
        <v>17.244110869565226</v>
      </c>
      <c r="AI35" s="1209">
        <f t="shared" si="115"/>
        <v>19.385393719806771</v>
      </c>
      <c r="AJ35" s="1209">
        <f t="shared" si="115"/>
        <v>14.500613553113546</v>
      </c>
      <c r="AK35" s="1209">
        <f t="shared" si="115"/>
        <v>17.318980978260868</v>
      </c>
      <c r="AL35" s="1210">
        <f t="shared" si="115"/>
        <v>19.652653804347828</v>
      </c>
      <c r="AM35" s="1209">
        <f t="shared" si="98"/>
        <v>32.735488727858289</v>
      </c>
      <c r="AN35" s="1209">
        <f t="shared" si="98"/>
        <v>32.93333333333333</v>
      </c>
      <c r="AO35" s="1209">
        <f t="shared" si="98"/>
        <v>29.3</v>
      </c>
      <c r="AP35" s="1210">
        <f t="shared" si="98"/>
        <v>33.083333333333336</v>
      </c>
      <c r="AQ35" s="1209">
        <f t="shared" ref="AQ35:AT35" si="142">IF(ISBLANK(AQ178),"",AQ178)</f>
        <v>50.208915257706202</v>
      </c>
      <c r="AR35" s="1209">
        <f t="shared" si="142"/>
        <v>32.014743875122768</v>
      </c>
      <c r="AS35" s="1209">
        <f t="shared" si="142"/>
        <v>27.396223447236203</v>
      </c>
      <c r="AT35" s="1210">
        <f t="shared" si="142"/>
        <v>24.304750753134826</v>
      </c>
      <c r="AU35" s="1209">
        <f t="shared" ref="AU35:AX35" si="143">IF(ISBLANK(AU178),"",AU178)</f>
        <v>49.683624405377643</v>
      </c>
      <c r="AV35" s="1209">
        <f t="shared" si="143"/>
        <v>31.679802321198988</v>
      </c>
      <c r="AW35" s="1209">
        <f t="shared" si="143"/>
        <v>27.109601330599784</v>
      </c>
      <c r="AX35" s="1210">
        <f t="shared" si="143"/>
        <v>24.050471942823588</v>
      </c>
      <c r="AY35" s="1209">
        <f t="shared" ref="AY35:BB35" si="144">IF(ISBLANK(AY178),"",AY178)</f>
        <v>49.75851777917272</v>
      </c>
      <c r="AZ35" s="1209">
        <f t="shared" si="144"/>
        <v>31.727556632712918</v>
      </c>
      <c r="BA35" s="1209">
        <f t="shared" si="144"/>
        <v>27.150466495534658</v>
      </c>
      <c r="BB35" s="1210">
        <f t="shared" si="144"/>
        <v>24.0867257589797</v>
      </c>
      <c r="BC35" s="1211"/>
      <c r="BD35" s="1211"/>
      <c r="BE35" s="1269">
        <f t="shared" si="128"/>
        <v>33.748523451596355</v>
      </c>
      <c r="BF35" s="1269">
        <f t="shared" si="129"/>
        <v>32.08231187440277</v>
      </c>
      <c r="BG35" s="1269">
        <f t="shared" si="130"/>
        <v>25.606303987498013</v>
      </c>
      <c r="BH35" s="1269">
        <f t="shared" si="131"/>
        <v>29.825479597003238</v>
      </c>
      <c r="BI35" s="1269">
        <f t="shared" si="132"/>
        <v>36.912069543429595</v>
      </c>
      <c r="BJ35" s="1269">
        <f t="shared" si="133"/>
        <v>22.654481502605691</v>
      </c>
      <c r="BK35" s="1273">
        <f t="shared" si="134"/>
        <v>16.438617737199401</v>
      </c>
      <c r="BL35" s="1273">
        <f t="shared" si="135"/>
        <v>17.714410513882253</v>
      </c>
      <c r="BM35" s="1273">
        <f t="shared" si="136"/>
        <v>32.01303884863124</v>
      </c>
      <c r="BN35" s="1273">
        <f t="shared" si="137"/>
        <v>33.481158333300002</v>
      </c>
      <c r="BO35" s="1273">
        <f t="shared" si="138"/>
        <v>33.130875000000003</v>
      </c>
      <c r="BP35" s="1273">
        <f t="shared" si="139"/>
        <v>33.180816666600002</v>
      </c>
      <c r="BQ35" s="1205"/>
      <c r="BR35" s="1606"/>
      <c r="BS35" s="1605"/>
      <c r="BU35" s="1186"/>
      <c r="BV35" s="1215" t="s">
        <v>940</v>
      </c>
      <c r="BW35" s="2081" t="s">
        <v>1394</v>
      </c>
      <c r="BX35" s="1215">
        <v>2021</v>
      </c>
      <c r="BY35" s="1215" t="s">
        <v>1081</v>
      </c>
      <c r="BZ35" s="1215" t="s">
        <v>1082</v>
      </c>
      <c r="CA35" s="1215" t="s">
        <v>1083</v>
      </c>
      <c r="CB35" s="1215" t="s">
        <v>1084</v>
      </c>
      <c r="CC35" s="1215" t="s">
        <v>1085</v>
      </c>
    </row>
    <row r="36" spans="1:104" ht="12.75" customHeight="1">
      <c r="A36" s="1187"/>
      <c r="B36" s="1619"/>
      <c r="C36" s="1621" t="str">
        <f t="shared" si="140"/>
        <v>NY Zone G</v>
      </c>
      <c r="D36" s="1621" t="str">
        <f t="shared" si="140"/>
        <v/>
      </c>
      <c r="E36" s="1621" t="str">
        <f t="shared" si="140"/>
        <v/>
      </c>
      <c r="F36" s="1222"/>
      <c r="G36" s="1562">
        <f t="shared" ref="G36:Z36" si="145">IF(ISBLANK(G179),"",G179)</f>
        <v>39.81077312446719</v>
      </c>
      <c r="H36" s="1560">
        <f t="shared" si="145"/>
        <v>38.993859890109889</v>
      </c>
      <c r="I36" s="1560">
        <f t="shared" si="145"/>
        <v>43.926820652173916</v>
      </c>
      <c r="J36" s="1561">
        <f t="shared" si="145"/>
        <v>40.879857427536237</v>
      </c>
      <c r="K36" s="1562">
        <f t="shared" si="145"/>
        <v>49.229429347826084</v>
      </c>
      <c r="L36" s="1560">
        <f t="shared" si="145"/>
        <v>35.886799450549439</v>
      </c>
      <c r="M36" s="1560">
        <f t="shared" si="145"/>
        <v>39.740421195652168</v>
      </c>
      <c r="N36" s="1561">
        <f t="shared" si="145"/>
        <v>30.484731521739121</v>
      </c>
      <c r="O36" s="1562">
        <f t="shared" si="145"/>
        <v>27.569314580347193</v>
      </c>
      <c r="P36" s="1560">
        <f t="shared" si="145"/>
        <v>22.281291208791199</v>
      </c>
      <c r="Q36" s="1560">
        <f t="shared" si="145"/>
        <v>30.822210144927531</v>
      </c>
      <c r="R36" s="1560">
        <f t="shared" si="145"/>
        <v>36.205649818840577</v>
      </c>
      <c r="S36" s="1208">
        <f t="shared" si="145"/>
        <v>56.707361111111105</v>
      </c>
      <c r="T36" s="1209">
        <f t="shared" si="145"/>
        <v>33.444134615384613</v>
      </c>
      <c r="U36" s="1209">
        <f t="shared" si="145"/>
        <v>31.241820652173907</v>
      </c>
      <c r="V36" s="1210">
        <f t="shared" si="145"/>
        <v>36.510255434782614</v>
      </c>
      <c r="W36" s="1209">
        <f t="shared" si="145"/>
        <v>104.25991747181963</v>
      </c>
      <c r="X36" s="1209">
        <f t="shared" si="145"/>
        <v>30.387303113553116</v>
      </c>
      <c r="Y36" s="1209">
        <f t="shared" si="145"/>
        <v>25.834510869565232</v>
      </c>
      <c r="Z36" s="1210">
        <f t="shared" si="145"/>
        <v>26.259342210144922</v>
      </c>
      <c r="AA36" s="1209">
        <f t="shared" si="120"/>
        <v>58.731627415458931</v>
      </c>
      <c r="AB36" s="1209">
        <f t="shared" si="120"/>
        <v>19.32760989010988</v>
      </c>
      <c r="AC36" s="1209">
        <f t="shared" si="120"/>
        <v>22.11728713768116</v>
      </c>
      <c r="AD36" s="1210">
        <f t="shared" si="120"/>
        <v>17.28061014492754</v>
      </c>
      <c r="AE36" s="1209">
        <f t="shared" si="115"/>
        <v>20.397999084249086</v>
      </c>
      <c r="AF36" s="1209">
        <f t="shared" si="115"/>
        <v>19.320544871794873</v>
      </c>
      <c r="AG36" s="1209">
        <f t="shared" si="115"/>
        <v>22.198464673913044</v>
      </c>
      <c r="AH36" s="1210">
        <f t="shared" si="115"/>
        <v>25.744134963768118</v>
      </c>
      <c r="AI36" s="1209">
        <f t="shared" si="115"/>
        <v>29.326884259259263</v>
      </c>
      <c r="AJ36" s="1209">
        <f t="shared" si="115"/>
        <v>21.279184981684978</v>
      </c>
      <c r="AK36" s="1209">
        <f t="shared" si="115"/>
        <v>19.207495471014489</v>
      </c>
      <c r="AL36" s="1210">
        <f t="shared" si="115"/>
        <v>28.660226630434785</v>
      </c>
      <c r="AM36" s="1209">
        <f t="shared" si="98"/>
        <v>44.676771739130423</v>
      </c>
      <c r="AN36" s="1209">
        <f t="shared" si="98"/>
        <v>38.200000000000003</v>
      </c>
      <c r="AO36" s="1209">
        <f t="shared" si="98"/>
        <v>32.6</v>
      </c>
      <c r="AP36" s="1210">
        <f t="shared" si="98"/>
        <v>41.800000000000004</v>
      </c>
      <c r="AQ36" s="1209">
        <f t="shared" ref="AQ36:AT36" si="146">IF(ISBLANK(AQ179),"",AQ179)</f>
        <v>67.7166668198211</v>
      </c>
      <c r="AR36" s="1209">
        <f t="shared" si="146"/>
        <v>38.042079509049643</v>
      </c>
      <c r="AS36" s="1209">
        <f t="shared" si="146"/>
        <v>31.175086966580828</v>
      </c>
      <c r="AT36" s="1210">
        <f t="shared" si="146"/>
        <v>28.982800037748426</v>
      </c>
      <c r="AU36" s="1209">
        <f t="shared" ref="AU36:AX36" si="147">IF(ISBLANK(AU179),"",AU179)</f>
        <v>68.226851296430993</v>
      </c>
      <c r="AV36" s="1209">
        <f t="shared" si="147"/>
        <v>38.328692529668608</v>
      </c>
      <c r="AW36" s="1209">
        <f t="shared" si="147"/>
        <v>31.409963344498731</v>
      </c>
      <c r="AX36" s="1210">
        <f t="shared" si="147"/>
        <v>29.201159495801665</v>
      </c>
      <c r="AY36" s="1209">
        <f t="shared" ref="AY36:BB36" si="148">IF(ISBLANK(AY179),"",AY179)</f>
        <v>68.716520101812705</v>
      </c>
      <c r="AZ36" s="1209">
        <f t="shared" si="148"/>
        <v>38.603780192754527</v>
      </c>
      <c r="BA36" s="1209">
        <f t="shared" si="148"/>
        <v>31.635394812252667</v>
      </c>
      <c r="BB36" s="1210">
        <f t="shared" si="148"/>
        <v>29.410738226380104</v>
      </c>
      <c r="BC36" s="1211"/>
      <c r="BD36" s="1211"/>
      <c r="BE36" s="1269">
        <f t="shared" si="128"/>
        <v>40.902827773571808</v>
      </c>
      <c r="BF36" s="1269">
        <f t="shared" si="129"/>
        <v>38.835345378941703</v>
      </c>
      <c r="BG36" s="1269">
        <f t="shared" si="130"/>
        <v>29.219616438226623</v>
      </c>
      <c r="BH36" s="1269">
        <f t="shared" si="131"/>
        <v>39.475892953363058</v>
      </c>
      <c r="BI36" s="1269">
        <f t="shared" si="132"/>
        <v>46.685268416270723</v>
      </c>
      <c r="BJ36" s="1269">
        <f t="shared" si="133"/>
        <v>29.364283647044378</v>
      </c>
      <c r="BK36" s="1273">
        <f t="shared" si="134"/>
        <v>21.915285898431279</v>
      </c>
      <c r="BL36" s="1273">
        <f t="shared" si="135"/>
        <v>24.618447835598374</v>
      </c>
      <c r="BM36" s="1273">
        <f t="shared" si="136"/>
        <v>39.319192934782606</v>
      </c>
      <c r="BN36" s="1273">
        <f t="shared" si="137"/>
        <v>41.479158333299999</v>
      </c>
      <c r="BO36" s="1273">
        <f t="shared" si="138"/>
        <v>41.791666666600001</v>
      </c>
      <c r="BP36" s="1273">
        <f t="shared" si="139"/>
        <v>42.091608333300002</v>
      </c>
      <c r="BQ36" s="1205"/>
      <c r="BR36" s="1606"/>
      <c r="BS36" s="1605"/>
      <c r="BU36" s="1186"/>
      <c r="BV36" s="1223" t="s">
        <v>433</v>
      </c>
      <c r="BW36" s="2082">
        <f>BX36+BY112</f>
        <v>14319.999999999998</v>
      </c>
      <c r="BX36" s="1923">
        <f>((BZ36*4/1000)+CB36)/CA36*1000</f>
        <v>14319.999999999998</v>
      </c>
      <c r="BY36" s="2047">
        <f>HLOOKUP(CA36,$CA$53:$CY$58,BZ54,TRUE)</f>
        <v>0.5357142857142857</v>
      </c>
      <c r="BZ36" s="1923">
        <v>11200</v>
      </c>
      <c r="CA36" s="1924">
        <f>$BW$8+$BX$58</f>
        <v>2.5</v>
      </c>
      <c r="CB36" s="1924">
        <f>BY36*(CA36-4)*BZ36/1000</f>
        <v>-9</v>
      </c>
      <c r="CC36" s="1924">
        <f>(BX36*CA36-4*BZ36)/1000</f>
        <v>-9.0000000000000071</v>
      </c>
    </row>
    <row r="37" spans="1:104" ht="12.75" customHeight="1">
      <c r="A37" s="1187"/>
      <c r="B37" s="1619"/>
      <c r="C37" s="1223" t="str">
        <f t="shared" si="140"/>
        <v>NY Zone J</v>
      </c>
      <c r="D37" s="1621" t="str">
        <f t="shared" si="140"/>
        <v/>
      </c>
      <c r="E37" s="1621" t="str">
        <f t="shared" si="140"/>
        <v/>
      </c>
      <c r="F37" s="1222"/>
      <c r="G37" s="1562">
        <f t="shared" ref="G37:Z37" si="149">IF(ISBLANK(G180),"",G180)</f>
        <v>40.692399563086099</v>
      </c>
      <c r="H37" s="1560">
        <f t="shared" si="149"/>
        <v>41.705434981684988</v>
      </c>
      <c r="I37" s="1560">
        <f t="shared" si="149"/>
        <v>47.003220108695643</v>
      </c>
      <c r="J37" s="1561">
        <f t="shared" si="149"/>
        <v>41.219209057971007</v>
      </c>
      <c r="K37" s="1562">
        <f t="shared" si="149"/>
        <v>51.080749798711743</v>
      </c>
      <c r="L37" s="1560">
        <f t="shared" si="149"/>
        <v>37.080599816849826</v>
      </c>
      <c r="M37" s="1560">
        <f t="shared" si="149"/>
        <v>42.037432065217381</v>
      </c>
      <c r="N37" s="1561">
        <f t="shared" si="149"/>
        <v>30.768373369565197</v>
      </c>
      <c r="O37" s="1562">
        <f t="shared" si="149"/>
        <v>28.248588549132045</v>
      </c>
      <c r="P37" s="1560">
        <f t="shared" si="149"/>
        <v>22.741620879120877</v>
      </c>
      <c r="Q37" s="1560">
        <f t="shared" si="149"/>
        <v>32.049044384057972</v>
      </c>
      <c r="R37" s="1560">
        <f t="shared" si="149"/>
        <v>36.959637137681163</v>
      </c>
      <c r="S37" s="1208">
        <f t="shared" si="149"/>
        <v>58.074166062801964</v>
      </c>
      <c r="T37" s="1209">
        <f t="shared" si="149"/>
        <v>34.010100732600726</v>
      </c>
      <c r="U37" s="1209">
        <f t="shared" si="149"/>
        <v>33.497015398550722</v>
      </c>
      <c r="V37" s="1210">
        <f t="shared" si="149"/>
        <v>35.902980434782606</v>
      </c>
      <c r="W37" s="1209">
        <f t="shared" si="149"/>
        <v>104.53095511272141</v>
      </c>
      <c r="X37" s="1209">
        <f t="shared" si="149"/>
        <v>30.633470695970686</v>
      </c>
      <c r="Y37" s="1209">
        <f t="shared" si="149"/>
        <v>26.27728260869565</v>
      </c>
      <c r="Z37" s="1210">
        <f t="shared" si="149"/>
        <v>26.346719927536238</v>
      </c>
      <c r="AA37" s="1209">
        <f t="shared" si="120"/>
        <v>59.086149154589357</v>
      </c>
      <c r="AB37" s="1209">
        <f t="shared" si="120"/>
        <v>19.830306776556778</v>
      </c>
      <c r="AC37" s="1209">
        <f t="shared" si="120"/>
        <v>23.797971014492759</v>
      </c>
      <c r="AD37" s="1210">
        <f t="shared" si="120"/>
        <v>17.491895833333331</v>
      </c>
      <c r="AE37" s="1209">
        <f t="shared" si="115"/>
        <v>21.25929785793916</v>
      </c>
      <c r="AF37" s="1209">
        <f t="shared" si="115"/>
        <v>20.53872252747253</v>
      </c>
      <c r="AG37" s="1209">
        <f t="shared" si="115"/>
        <v>24.140729166666659</v>
      </c>
      <c r="AH37" s="1210">
        <f t="shared" si="115"/>
        <v>25.848853442028986</v>
      </c>
      <c r="AI37" s="1209">
        <f t="shared" si="115"/>
        <v>29.471096215781014</v>
      </c>
      <c r="AJ37" s="1209">
        <f t="shared" si="115"/>
        <v>22.852271062271065</v>
      </c>
      <c r="AK37" s="1209">
        <f t="shared" si="115"/>
        <v>20.054769021739126</v>
      </c>
      <c r="AL37" s="1210">
        <f t="shared" si="115"/>
        <v>29.040597463768133</v>
      </c>
      <c r="AM37" s="1209">
        <f t="shared" si="98"/>
        <v>46.970595410628015</v>
      </c>
      <c r="AN37" s="1209">
        <f t="shared" si="98"/>
        <v>39.85</v>
      </c>
      <c r="AO37" s="1209">
        <f t="shared" si="98"/>
        <v>34.283333333333331</v>
      </c>
      <c r="AP37" s="1210">
        <f t="shared" si="98"/>
        <v>43.066666666666663</v>
      </c>
      <c r="AQ37" s="1209">
        <f t="shared" ref="AQ37:AT37" si="150">IF(ISBLANK(AQ180),"",AQ180)</f>
        <v>70.748332973984347</v>
      </c>
      <c r="AR37" s="1209">
        <f t="shared" si="150"/>
        <v>40.060601265759729</v>
      </c>
      <c r="AS37" s="1209">
        <f t="shared" si="150"/>
        <v>33.256854743843881</v>
      </c>
      <c r="AT37" s="1210">
        <f t="shared" si="150"/>
        <v>29.784177682812054</v>
      </c>
      <c r="AU37" s="1209">
        <f t="shared" ref="AU37:AX37" si="151">IF(ISBLANK(AU180),"",AU180)</f>
        <v>71.419814884174826</v>
      </c>
      <c r="AV37" s="1209">
        <f t="shared" si="151"/>
        <v>40.440821801432321</v>
      </c>
      <c r="AW37" s="1209">
        <f t="shared" si="151"/>
        <v>33.572500009415513</v>
      </c>
      <c r="AX37" s="1210">
        <f t="shared" si="151"/>
        <v>30.066863304977336</v>
      </c>
      <c r="AY37" s="1209">
        <f t="shared" ref="AY37:BB37" si="152">IF(ISBLANK(AY180),"",AY180)</f>
        <v>72.233620953267874</v>
      </c>
      <c r="AZ37" s="1209">
        <f t="shared" si="152"/>
        <v>40.901632100009685</v>
      </c>
      <c r="BA37" s="1209">
        <f t="shared" si="152"/>
        <v>33.955047966261908</v>
      </c>
      <c r="BB37" s="1210">
        <f t="shared" si="152"/>
        <v>30.409465646860522</v>
      </c>
      <c r="BC37" s="1211"/>
      <c r="BD37" s="1211"/>
      <c r="BE37" s="1269">
        <f t="shared" si="128"/>
        <v>42.655065927859432</v>
      </c>
      <c r="BF37" s="1269">
        <f t="shared" si="129"/>
        <v>40.24178876258604</v>
      </c>
      <c r="BG37" s="1269">
        <f t="shared" si="130"/>
        <v>29.999722737498018</v>
      </c>
      <c r="BH37" s="1269">
        <f t="shared" si="131"/>
        <v>40.371065657184005</v>
      </c>
      <c r="BI37" s="1269">
        <f t="shared" si="132"/>
        <v>46.947107086231</v>
      </c>
      <c r="BJ37" s="1269">
        <f t="shared" si="133"/>
        <v>30.051580694743055</v>
      </c>
      <c r="BK37" s="1273">
        <f t="shared" si="134"/>
        <v>22.946900748526833</v>
      </c>
      <c r="BL37" s="1273">
        <f t="shared" si="135"/>
        <v>25.354683440889836</v>
      </c>
      <c r="BM37" s="1273">
        <f t="shared" si="136"/>
        <v>41.042648852657003</v>
      </c>
      <c r="BN37" s="1273">
        <f t="shared" si="137"/>
        <v>43.462491666600002</v>
      </c>
      <c r="BO37" s="1273">
        <f t="shared" si="138"/>
        <v>43.875</v>
      </c>
      <c r="BP37" s="1273">
        <f t="shared" si="139"/>
        <v>44.374941666599995</v>
      </c>
      <c r="BQ37" s="1205"/>
      <c r="BR37" s="1606"/>
      <c r="BS37" s="1605"/>
      <c r="BU37" s="1186"/>
      <c r="BV37" s="1223" t="s">
        <v>1207</v>
      </c>
      <c r="BW37" s="2082">
        <f t="shared" ref="BW37:BW40" si="153">BX37+BY113</f>
        <v>14408.571428571429</v>
      </c>
      <c r="BX37" s="1923">
        <f>((BZ37*4/1000)+CB37)/CA37*1000</f>
        <v>14408.571428571429</v>
      </c>
      <c r="BY37" s="2047">
        <f>HLOOKUP(CA37,$CA$53:$CY$58,BZ55,TRUE)</f>
        <v>0.7142857142857143</v>
      </c>
      <c r="BZ37" s="1923">
        <v>12300</v>
      </c>
      <c r="CA37" s="1924">
        <f>$BW$8+$BX$58</f>
        <v>2.5</v>
      </c>
      <c r="CB37" s="1924">
        <f>BY37*(CA37-4)*BZ37/1000</f>
        <v>-13.178571428571427</v>
      </c>
      <c r="CC37" s="1924">
        <f>(BX37*CA37-4*BZ37)/1000</f>
        <v>-13.178571428571427</v>
      </c>
    </row>
    <row r="38" spans="1:104" ht="12.75" customHeight="1">
      <c r="A38" s="1187"/>
      <c r="B38" s="1619"/>
      <c r="C38" s="1223" t="str">
        <f t="shared" si="140"/>
        <v>PJM West</v>
      </c>
      <c r="D38" s="1621" t="str">
        <f t="shared" si="140"/>
        <v/>
      </c>
      <c r="E38" s="1621" t="str">
        <f t="shared" si="140"/>
        <v/>
      </c>
      <c r="F38" s="1222"/>
      <c r="G38" s="1562">
        <f t="shared" ref="G38:Z38" si="154">IF(ISBLANK(G181),"",G181)</f>
        <v>35.661723566869142</v>
      </c>
      <c r="H38" s="1560">
        <f t="shared" si="154"/>
        <v>32.95930132783883</v>
      </c>
      <c r="I38" s="1560">
        <f t="shared" si="154"/>
        <v>37.786714411684756</v>
      </c>
      <c r="J38" s="1561">
        <f t="shared" si="154"/>
        <v>38.127121226902197</v>
      </c>
      <c r="K38" s="1562">
        <f t="shared" si="154"/>
        <v>40.858928955797097</v>
      </c>
      <c r="L38" s="1560">
        <f t="shared" si="154"/>
        <v>33.916098321428571</v>
      </c>
      <c r="M38" s="1560">
        <f t="shared" si="154"/>
        <v>34.068597563405802</v>
      </c>
      <c r="N38" s="1561">
        <f t="shared" si="154"/>
        <v>31.114616296105076</v>
      </c>
      <c r="O38" s="1562">
        <f t="shared" si="154"/>
        <v>27.303063772177097</v>
      </c>
      <c r="P38" s="1560">
        <f t="shared" si="154"/>
        <v>22.034301452838829</v>
      </c>
      <c r="Q38" s="1560">
        <f t="shared" si="154"/>
        <v>26.919559772644931</v>
      </c>
      <c r="R38" s="1560">
        <f t="shared" si="154"/>
        <v>30.869201327717395</v>
      </c>
      <c r="S38" s="1208">
        <f t="shared" si="154"/>
        <v>33.486062323832535</v>
      </c>
      <c r="T38" s="1209">
        <f t="shared" si="154"/>
        <v>29.612168522893782</v>
      </c>
      <c r="U38" s="1209">
        <f t="shared" si="154"/>
        <v>28.466996774909425</v>
      </c>
      <c r="V38" s="1210">
        <f t="shared" si="154"/>
        <v>31.005893446105066</v>
      </c>
      <c r="W38" s="1209">
        <f t="shared" si="154"/>
        <v>78.280771197463764</v>
      </c>
      <c r="X38" s="1209">
        <f t="shared" si="154"/>
        <v>30.680673397435903</v>
      </c>
      <c r="Y38" s="1209">
        <f t="shared" si="154"/>
        <v>27.413026009963772</v>
      </c>
      <c r="Z38" s="1210">
        <f t="shared" si="154"/>
        <v>29.952876293025369</v>
      </c>
      <c r="AA38" s="1209">
        <f t="shared" si="120"/>
        <v>44.217764477254434</v>
      </c>
      <c r="AB38" s="1209">
        <f t="shared" si="120"/>
        <v>25.028568056318672</v>
      </c>
      <c r="AC38" s="1209">
        <f t="shared" si="120"/>
        <v>23.224815237318836</v>
      </c>
      <c r="AD38" s="1210">
        <f t="shared" si="120"/>
        <v>22.109061745018124</v>
      </c>
      <c r="AE38" s="1209">
        <f t="shared" si="115"/>
        <v>23.988923446826721</v>
      </c>
      <c r="AF38" s="1209">
        <f t="shared" si="115"/>
        <v>21.266628026098903</v>
      </c>
      <c r="AG38" s="1209">
        <f t="shared" si="115"/>
        <v>22.910100094655796</v>
      </c>
      <c r="AH38" s="1210">
        <f t="shared" si="115"/>
        <v>25.259746692934794</v>
      </c>
      <c r="AI38" s="1209">
        <f t="shared" si="115"/>
        <v>27.075569670692435</v>
      </c>
      <c r="AJ38" s="1209">
        <f t="shared" si="115"/>
        <v>22.121270426282045</v>
      </c>
      <c r="AK38" s="1209">
        <f t="shared" si="115"/>
        <v>21.948979516304348</v>
      </c>
      <c r="AL38" s="1210">
        <f t="shared" si="115"/>
        <v>28.679605414130428</v>
      </c>
      <c r="AM38" s="1209">
        <f t="shared" si="98"/>
        <v>43.803590137359109</v>
      </c>
      <c r="AN38" s="1209">
        <f t="shared" si="98"/>
        <v>24.95</v>
      </c>
      <c r="AO38" s="1209">
        <f t="shared" si="98"/>
        <v>24.783333333333331</v>
      </c>
      <c r="AP38" s="1210">
        <f t="shared" si="98"/>
        <v>25.683333333333334</v>
      </c>
      <c r="AQ38" s="1209">
        <f t="shared" ref="AQ38:AT38" si="155">IF(ISBLANK(AQ181),"",AQ181)</f>
        <v>32.710239316820804</v>
      </c>
      <c r="AR38" s="1209">
        <f t="shared" si="155"/>
        <v>20.631697104333988</v>
      </c>
      <c r="AS38" s="1209">
        <f t="shared" si="155"/>
        <v>20.527571740433242</v>
      </c>
      <c r="AT38" s="1210">
        <f t="shared" si="155"/>
        <v>31.93845850481198</v>
      </c>
      <c r="AU38" s="1209">
        <f t="shared" ref="AU38:AX38" si="156">IF(ISBLANK(AU181),"",AU181)</f>
        <v>32.33891227956417</v>
      </c>
      <c r="AV38" s="1209">
        <f t="shared" si="156"/>
        <v>20.397485826173483</v>
      </c>
      <c r="AW38" s="1209">
        <f t="shared" si="156"/>
        <v>20.29454249467874</v>
      </c>
      <c r="AX38" s="1210">
        <f t="shared" si="156"/>
        <v>31.575892732783615</v>
      </c>
      <c r="AY38" s="1340">
        <f t="shared" ref="AY38:BB38" si="157">IF(ISBLANK(AY181),"",IF(Uplift="Yes",AY100/1000*(AY57+AY$8),AY181))</f>
        <v>28.843474017712413</v>
      </c>
      <c r="AZ38" s="1340">
        <f t="shared" si="157"/>
        <v>24.957518932710489</v>
      </c>
      <c r="BA38" s="1340">
        <f t="shared" si="157"/>
        <v>25.321827221929421</v>
      </c>
      <c r="BB38" s="1341">
        <f t="shared" si="157"/>
        <v>30.042730470536135</v>
      </c>
      <c r="BC38" s="1211"/>
      <c r="BD38" s="1211"/>
      <c r="BE38" s="1269">
        <f t="shared" si="128"/>
        <v>36.133715133323733</v>
      </c>
      <c r="BF38" s="1269">
        <f t="shared" si="129"/>
        <v>34.989560284184137</v>
      </c>
      <c r="BG38" s="1269">
        <f t="shared" si="130"/>
        <v>26.781531581344563</v>
      </c>
      <c r="BH38" s="1269">
        <f t="shared" si="131"/>
        <v>30.642780266935201</v>
      </c>
      <c r="BI38" s="1269">
        <f t="shared" si="132"/>
        <v>41.581836724472197</v>
      </c>
      <c r="BJ38" s="1269">
        <f t="shared" si="133"/>
        <v>28.645052378977518</v>
      </c>
      <c r="BK38" s="1273">
        <f t="shared" si="134"/>
        <v>23.356349565129054</v>
      </c>
      <c r="BL38" s="1273">
        <f t="shared" si="135"/>
        <v>24.956356256852317</v>
      </c>
      <c r="BM38" s="1273">
        <f t="shared" si="136"/>
        <v>29.805064201006445</v>
      </c>
      <c r="BN38" s="1273">
        <f>AVERAGE(AQ38:AT38)</f>
        <v>26.451991666600001</v>
      </c>
      <c r="BO38" s="1273">
        <f>AVERAGE(AU38:AX38)</f>
        <v>26.1517083333</v>
      </c>
      <c r="BP38" s="1273">
        <f t="shared" si="139"/>
        <v>27.291387660722116</v>
      </c>
      <c r="BQ38" s="1205"/>
      <c r="BR38" s="1606"/>
      <c r="BS38" s="1605"/>
      <c r="BU38" s="1186"/>
      <c r="BV38" s="1223" t="s">
        <v>459</v>
      </c>
      <c r="BW38" s="2082">
        <f t="shared" si="153"/>
        <v>14758.214285714284</v>
      </c>
      <c r="BX38" s="1923">
        <f>((BZ38*4/1000)+CB38)/CA38*1000</f>
        <v>14758.214285714284</v>
      </c>
      <c r="BY38" s="2047">
        <f>HLOOKUP(CA38,$CA$53:$CY$58,BZ56,TRUE)</f>
        <v>0.37857142857142861</v>
      </c>
      <c r="BZ38" s="1023">
        <v>10750</v>
      </c>
      <c r="CA38" s="1924">
        <f>$BW$8+$BX$58</f>
        <v>2.5</v>
      </c>
      <c r="CB38" s="1924">
        <f>BY38*(CA38-4)*BZ38/1000</f>
        <v>-6.104464285714287</v>
      </c>
      <c r="CC38" s="1924">
        <f>(BX38*CA38-4*BZ38)/1000</f>
        <v>-6.1044642857142897</v>
      </c>
    </row>
    <row r="39" spans="1:104" ht="12.75" customHeight="1">
      <c r="A39" s="1187"/>
      <c r="B39" s="1619"/>
      <c r="C39" s="1223" t="str">
        <f t="shared" si="140"/>
        <v>PJM East</v>
      </c>
      <c r="D39" s="1621" t="str">
        <f t="shared" si="140"/>
        <v/>
      </c>
      <c r="E39" s="1621" t="str">
        <f t="shared" si="140"/>
        <v/>
      </c>
      <c r="F39" s="1222"/>
      <c r="G39" s="1562">
        <f t="shared" ref="G39:Z39" si="158">IF(ISBLANK(G182),"",G182)</f>
        <v>38.454669690110812</v>
      </c>
      <c r="H39" s="1560">
        <f t="shared" si="158"/>
        <v>35.696539456043951</v>
      </c>
      <c r="I39" s="1560">
        <f t="shared" si="158"/>
        <v>41.941960537590575</v>
      </c>
      <c r="J39" s="1561">
        <f t="shared" si="158"/>
        <v>39.099061662771746</v>
      </c>
      <c r="K39" s="1562">
        <f t="shared" si="158"/>
        <v>45.558643104669883</v>
      </c>
      <c r="L39" s="1560">
        <f t="shared" si="158"/>
        <v>35.489017982600728</v>
      </c>
      <c r="M39" s="1560">
        <f t="shared" si="158"/>
        <v>37.110367609148561</v>
      </c>
      <c r="N39" s="1561">
        <f t="shared" si="158"/>
        <v>30.853395797826089</v>
      </c>
      <c r="O39" s="1562">
        <f t="shared" si="158"/>
        <v>28.838922174609813</v>
      </c>
      <c r="P39" s="1560">
        <f t="shared" si="158"/>
        <v>21.591528022435909</v>
      </c>
      <c r="Q39" s="1560">
        <f t="shared" si="158"/>
        <v>30.122786553894926</v>
      </c>
      <c r="R39" s="1560">
        <f t="shared" si="158"/>
        <v>32.447619825815202</v>
      </c>
      <c r="S39" s="1208">
        <f t="shared" si="158"/>
        <v>34.55972632302737</v>
      </c>
      <c r="T39" s="1209">
        <f t="shared" si="158"/>
        <v>31.325106590201472</v>
      </c>
      <c r="U39" s="1209">
        <f t="shared" si="158"/>
        <v>30.007325350543471</v>
      </c>
      <c r="V39" s="1210">
        <f t="shared" si="158"/>
        <v>32.19676385769926</v>
      </c>
      <c r="W39" s="1209">
        <f t="shared" si="158"/>
        <v>90.786707820652168</v>
      </c>
      <c r="X39" s="1209">
        <f t="shared" si="158"/>
        <v>30.634786767857143</v>
      </c>
      <c r="Y39" s="1209">
        <f t="shared" si="158"/>
        <v>26.507552103713767</v>
      </c>
      <c r="Z39" s="1210">
        <f t="shared" si="158"/>
        <v>37.660706784782626</v>
      </c>
      <c r="AA39" s="1209">
        <f t="shared" si="120"/>
        <v>52.91501483514493</v>
      </c>
      <c r="AB39" s="1209">
        <f t="shared" si="120"/>
        <v>25.152664907509156</v>
      </c>
      <c r="AC39" s="1209">
        <f t="shared" si="120"/>
        <v>20.837114357789854</v>
      </c>
      <c r="AD39" s="1210">
        <f t="shared" si="120"/>
        <v>25.347991754166664</v>
      </c>
      <c r="AE39" s="1209">
        <f t="shared" si="115"/>
        <v>25.346020121237455</v>
      </c>
      <c r="AF39" s="1209">
        <f t="shared" si="115"/>
        <v>19.254250642399267</v>
      </c>
      <c r="AG39" s="1209">
        <f t="shared" si="115"/>
        <v>21.072814450181166</v>
      </c>
      <c r="AH39" s="1210">
        <f t="shared" si="115"/>
        <v>21.316599519927536</v>
      </c>
      <c r="AI39" s="1209">
        <f t="shared" si="115"/>
        <v>29.336510980555559</v>
      </c>
      <c r="AJ39" s="1209">
        <f t="shared" si="115"/>
        <v>21.736222810439564</v>
      </c>
      <c r="AK39" s="1209">
        <f t="shared" si="115"/>
        <v>19.181085373188402</v>
      </c>
      <c r="AL39" s="1210">
        <f t="shared" si="115"/>
        <v>33.856300585507235</v>
      </c>
      <c r="AM39" s="1209">
        <f t="shared" si="98"/>
        <v>46.651077805173117</v>
      </c>
      <c r="AN39" s="1209">
        <f t="shared" si="98"/>
        <v>25.158666666666665</v>
      </c>
      <c r="AO39" s="1209">
        <f t="shared" si="98"/>
        <v>25.266666666666666</v>
      </c>
      <c r="AP39" s="1210">
        <f t="shared" si="98"/>
        <v>25.499833333333331</v>
      </c>
      <c r="AQ39" s="1209">
        <f t="shared" ref="AQ39:AT39" si="159">IF(ISBLANK(AQ182),"",AQ182)</f>
        <v>37.348531597794079</v>
      </c>
      <c r="AR39" s="1209">
        <f t="shared" si="159"/>
        <v>20.745010650110846</v>
      </c>
      <c r="AS39" s="1209">
        <f t="shared" si="159"/>
        <v>21.194398638146534</v>
      </c>
      <c r="AT39" s="1210">
        <f t="shared" si="159"/>
        <v>30.991359113948537</v>
      </c>
      <c r="AU39" s="1209">
        <f t="shared" ref="AU39:AX39" si="160">IF(ISBLANK(AU182),"",AU182)</f>
        <v>37.020764656216237</v>
      </c>
      <c r="AV39" s="1209">
        <f t="shared" si="160"/>
        <v>20.562954531626438</v>
      </c>
      <c r="AW39" s="1209">
        <f t="shared" si="160"/>
        <v>21.008398736061569</v>
      </c>
      <c r="AX39" s="1210">
        <f t="shared" si="160"/>
        <v>30.719382076095741</v>
      </c>
      <c r="AY39" s="1340">
        <f t="shared" ref="AY39:BB39" si="161">IF(ISBLANK(AY182),"",IF(Uplift="Yes",AY101/1000*(AY58+AY$8),AY182))</f>
        <v>29.638043721725442</v>
      </c>
      <c r="AZ39" s="1340">
        <f t="shared" si="161"/>
        <v>25.645039736171459</v>
      </c>
      <c r="BA39" s="1340">
        <f t="shared" si="161"/>
        <v>26.01938385981715</v>
      </c>
      <c r="BB39" s="1341">
        <f t="shared" si="161"/>
        <v>30.870336862299421</v>
      </c>
      <c r="BC39" s="1211"/>
      <c r="BD39" s="1211"/>
      <c r="BE39" s="1269">
        <f t="shared" si="128"/>
        <v>38.798057836629269</v>
      </c>
      <c r="BF39" s="1269">
        <f t="shared" si="129"/>
        <v>37.252856123561315</v>
      </c>
      <c r="BG39" s="1269">
        <f t="shared" si="130"/>
        <v>28.250214144188959</v>
      </c>
      <c r="BH39" s="1269">
        <f t="shared" si="131"/>
        <v>32.022230530367892</v>
      </c>
      <c r="BI39" s="1269">
        <f t="shared" si="132"/>
        <v>46.397438369251432</v>
      </c>
      <c r="BJ39" s="1269">
        <f t="shared" si="133"/>
        <v>31.063196463652652</v>
      </c>
      <c r="BK39" s="1273">
        <f t="shared" si="134"/>
        <v>21.747421183436355</v>
      </c>
      <c r="BL39" s="1273">
        <f t="shared" si="135"/>
        <v>26.027529937422692</v>
      </c>
      <c r="BM39" s="1273">
        <f t="shared" si="136"/>
        <v>30.644061117959943</v>
      </c>
      <c r="BN39" s="1273">
        <f t="shared" si="137"/>
        <v>27.569824999999998</v>
      </c>
      <c r="BO39" s="1273">
        <f t="shared" si="138"/>
        <v>27.327874999999995</v>
      </c>
      <c r="BP39" s="1273">
        <f t="shared" si="139"/>
        <v>28.043201045003368</v>
      </c>
      <c r="BQ39" s="1205"/>
      <c r="BR39" s="1606"/>
      <c r="BS39" s="1605"/>
      <c r="BU39" s="1186"/>
      <c r="BV39" s="1223" t="s">
        <v>202</v>
      </c>
      <c r="BW39" s="2082">
        <f t="shared" si="153"/>
        <v>15067.5</v>
      </c>
      <c r="BX39" s="1923">
        <f>((BZ39*4.25/1000)+CB39)/CA39*1000</f>
        <v>15067.5</v>
      </c>
      <c r="BY39" s="2047">
        <f t="shared" ref="BY39:BY40" si="162">HLOOKUP(CA39,$CA$53:$CY$58,BZ57,TRUE)</f>
        <v>0.37857142857142861</v>
      </c>
      <c r="BZ39" s="1023">
        <v>10500</v>
      </c>
      <c r="CA39" s="1924">
        <f>$BW$8+$BX$60</f>
        <v>2.5</v>
      </c>
      <c r="CB39" s="1924">
        <f>BY39*(CA39-4.25)*BZ39/1000</f>
        <v>-6.9562500000000007</v>
      </c>
      <c r="CC39" s="1924">
        <f>(BX39*CA39-4.25*BZ39)/1000</f>
        <v>-6.9562499999999998</v>
      </c>
    </row>
    <row r="40" spans="1:104" ht="12.75" customHeight="1">
      <c r="A40" s="1187"/>
      <c r="B40" s="1619"/>
      <c r="C40" s="1223" t="str">
        <f t="shared" si="140"/>
        <v>AEP Dayton</v>
      </c>
      <c r="D40" s="1621" t="str">
        <f t="shared" si="140"/>
        <v/>
      </c>
      <c r="E40" s="1621" t="str">
        <f t="shared" si="140"/>
        <v/>
      </c>
      <c r="F40" s="1222"/>
      <c r="G40" s="1562">
        <f t="shared" ref="G40:Z40" si="163">IF(ISBLANK(G183),"",G183)</f>
        <v>31.683841477807981</v>
      </c>
      <c r="H40" s="1560">
        <f t="shared" si="163"/>
        <v>27.940983067765572</v>
      </c>
      <c r="I40" s="1560">
        <f t="shared" si="163"/>
        <v>31.064639944746379</v>
      </c>
      <c r="J40" s="1561">
        <f t="shared" si="163"/>
        <v>31.179066678713756</v>
      </c>
      <c r="K40" s="1562">
        <f t="shared" si="163"/>
        <v>33.366856885466987</v>
      </c>
      <c r="L40" s="1560">
        <f t="shared" si="163"/>
        <v>30.988586447802195</v>
      </c>
      <c r="M40" s="1560">
        <f t="shared" si="163"/>
        <v>31.983560708333318</v>
      </c>
      <c r="N40" s="1561">
        <f t="shared" si="163"/>
        <v>30.553551319112341</v>
      </c>
      <c r="O40" s="1562">
        <f t="shared" si="163"/>
        <v>25.678486559862229</v>
      </c>
      <c r="P40" s="1560">
        <f t="shared" si="163"/>
        <v>21.65716656639195</v>
      </c>
      <c r="Q40" s="1560">
        <f t="shared" si="163"/>
        <v>25.59958281884057</v>
      </c>
      <c r="R40" s="1560">
        <f t="shared" si="163"/>
        <v>29.691809545561608</v>
      </c>
      <c r="S40" s="1208">
        <f t="shared" si="163"/>
        <v>30.712843264895323</v>
      </c>
      <c r="T40" s="1209">
        <f t="shared" si="163"/>
        <v>28.683858509157513</v>
      </c>
      <c r="U40" s="1209">
        <f t="shared" si="163"/>
        <v>26.289797765398554</v>
      </c>
      <c r="V40" s="1210">
        <f t="shared" si="163"/>
        <v>28.58454812028986</v>
      </c>
      <c r="W40" s="1209">
        <f t="shared" si="163"/>
        <v>55.582024361513675</v>
      </c>
      <c r="X40" s="1209">
        <f t="shared" si="163"/>
        <v>30.848939755952369</v>
      </c>
      <c r="Y40" s="1209">
        <f t="shared" si="163"/>
        <v>26.474229680253622</v>
      </c>
      <c r="Z40" s="1210">
        <f t="shared" si="163"/>
        <v>30.106497532518123</v>
      </c>
      <c r="AA40" s="1209">
        <f t="shared" si="120"/>
        <v>33.672197658071667</v>
      </c>
      <c r="AB40" s="1209">
        <f t="shared" si="120"/>
        <v>24.408332260531143</v>
      </c>
      <c r="AC40" s="1209">
        <f t="shared" si="120"/>
        <v>22.758183921195638</v>
      </c>
      <c r="AD40" s="1210">
        <f t="shared" si="120"/>
        <v>22.005480128297094</v>
      </c>
      <c r="AE40" s="1209">
        <f t="shared" si="115"/>
        <v>21.940509499422674</v>
      </c>
      <c r="AF40" s="1209">
        <f t="shared" si="115"/>
        <v>21.194626118131868</v>
      </c>
      <c r="AG40" s="1209">
        <f t="shared" si="115"/>
        <v>22.397125852355067</v>
      </c>
      <c r="AH40" s="1210">
        <f t="shared" si="115"/>
        <v>25.119274915036236</v>
      </c>
      <c r="AI40" s="1209">
        <f t="shared" si="115"/>
        <v>25.609943032206107</v>
      </c>
      <c r="AJ40" s="1209">
        <f t="shared" si="115"/>
        <v>22.558270758241754</v>
      </c>
      <c r="AK40" s="1209">
        <f t="shared" si="115"/>
        <v>22.753793536231882</v>
      </c>
      <c r="AL40" s="1210">
        <f t="shared" si="115"/>
        <v>26.193597912862309</v>
      </c>
      <c r="AM40" s="1209">
        <f t="shared" si="98"/>
        <v>34.436698074516897</v>
      </c>
      <c r="AN40" s="1209">
        <f t="shared" si="98"/>
        <v>25.55</v>
      </c>
      <c r="AO40" s="1209">
        <f t="shared" si="98"/>
        <v>25.216666666666669</v>
      </c>
      <c r="AP40" s="1210">
        <f t="shared" si="98"/>
        <v>25.316666666666663</v>
      </c>
      <c r="AQ40" s="1209">
        <f t="shared" ref="AQ40:AT40" si="164">IF(ISBLANK(AQ183),"",AQ183)</f>
        <v>30.065523917280856</v>
      </c>
      <c r="AR40" s="1209">
        <f t="shared" si="164"/>
        <v>21.597016408139439</v>
      </c>
      <c r="AS40" s="1209">
        <f t="shared" si="164"/>
        <v>21.984059712944806</v>
      </c>
      <c r="AT40" s="1210">
        <f t="shared" si="164"/>
        <v>28.678033294834901</v>
      </c>
      <c r="AU40" s="1209">
        <f t="shared" ref="AU40:AX40" si="165">IF(ISBLANK(AU183),"",AU183)</f>
        <v>29.607950419373292</v>
      </c>
      <c r="AV40" s="1209">
        <f t="shared" si="165"/>
        <v>21.268326897541574</v>
      </c>
      <c r="AW40" s="1209">
        <f t="shared" si="165"/>
        <v>21.649479709325476</v>
      </c>
      <c r="AX40" s="1210">
        <f t="shared" si="165"/>
        <v>28.241576306959669</v>
      </c>
      <c r="AY40" s="1340">
        <f t="shared" ref="AY40:BB40" si="166">IF(ISBLANK(AY183),"",IF(Uplift="Yes",AY102/1000*(AY59+AY$8),AY183))</f>
        <v>26.311591961523231</v>
      </c>
      <c r="AZ40" s="1340">
        <f t="shared" si="166"/>
        <v>22.766746270793007</v>
      </c>
      <c r="BA40" s="1340">
        <f t="shared" si="166"/>
        <v>23.09907555429897</v>
      </c>
      <c r="BB40" s="1341">
        <f t="shared" si="166"/>
        <v>27.405577603632235</v>
      </c>
      <c r="BC40" s="1211"/>
      <c r="BD40" s="1211"/>
      <c r="BE40" s="1269">
        <f t="shared" si="128"/>
        <v>30.467132792258422</v>
      </c>
      <c r="BF40" s="1269">
        <f t="shared" si="129"/>
        <v>31.723138840178709</v>
      </c>
      <c r="BG40" s="1269">
        <f t="shared" si="130"/>
        <v>25.656761372664089</v>
      </c>
      <c r="BH40" s="1269">
        <f t="shared" si="131"/>
        <v>28.567761914935311</v>
      </c>
      <c r="BI40" s="1269">
        <f t="shared" si="132"/>
        <v>35.752922832559449</v>
      </c>
      <c r="BJ40" s="1269">
        <f t="shared" si="133"/>
        <v>25.711048492023885</v>
      </c>
      <c r="BK40" s="1273">
        <f t="shared" si="134"/>
        <v>22.662884096236461</v>
      </c>
      <c r="BL40" s="1273">
        <f t="shared" si="135"/>
        <v>24.278901309885512</v>
      </c>
      <c r="BM40" s="1273">
        <f t="shared" si="136"/>
        <v>27.630007851962556</v>
      </c>
      <c r="BN40" s="1273">
        <f t="shared" si="137"/>
        <v>25.581158333300003</v>
      </c>
      <c r="BO40" s="1273">
        <f t="shared" si="138"/>
        <v>25.191833333300004</v>
      </c>
      <c r="BP40" s="1273">
        <f t="shared" si="139"/>
        <v>24.895747847561861</v>
      </c>
      <c r="BQ40" s="1205"/>
      <c r="BR40" s="1606"/>
      <c r="BS40" s="1605"/>
      <c r="BU40" s="1186"/>
      <c r="BV40" s="1223" t="s">
        <v>479</v>
      </c>
      <c r="BW40" s="2082">
        <f t="shared" si="153"/>
        <v>14600</v>
      </c>
      <c r="BX40" s="1923">
        <f>((BZ40*4.25/1000)+CB40)/CA40*1000</f>
        <v>14600</v>
      </c>
      <c r="BY40" s="2047">
        <f t="shared" si="162"/>
        <v>0.34285714285714286</v>
      </c>
      <c r="BZ40" s="1023">
        <v>10000</v>
      </c>
      <c r="CA40" s="1924">
        <f>$BW$8+$BX$59</f>
        <v>2.5</v>
      </c>
      <c r="CB40" s="1924">
        <f>BY40*(CA40-4.25)*BZ40/1000</f>
        <v>-6</v>
      </c>
      <c r="CC40" s="1924">
        <f>(BX40*CA40-4.25*BZ40)/1000</f>
        <v>-6</v>
      </c>
    </row>
    <row r="41" spans="1:104" ht="12.75" customHeight="1">
      <c r="A41" s="1187"/>
      <c r="B41" s="1619"/>
      <c r="C41" s="1223" t="str">
        <f t="shared" si="140"/>
        <v>Cinergy</v>
      </c>
      <c r="D41" s="1621" t="str">
        <f t="shared" si="140"/>
        <v/>
      </c>
      <c r="E41" s="1621" t="str">
        <f t="shared" si="140"/>
        <v/>
      </c>
      <c r="F41" s="1222"/>
      <c r="G41" s="1562">
        <f t="shared" ref="G41:Z41" si="167">IF(ISBLANK(G184),"",G184)</f>
        <v>31.723789428894943</v>
      </c>
      <c r="H41" s="1560">
        <f t="shared" si="167"/>
        <v>28.007368155677657</v>
      </c>
      <c r="I41" s="1560">
        <f t="shared" si="167"/>
        <v>31.199241193840571</v>
      </c>
      <c r="J41" s="1561">
        <f t="shared" si="167"/>
        <v>31.280175134510877</v>
      </c>
      <c r="K41" s="1562">
        <f t="shared" si="167"/>
        <v>33.316046651227865</v>
      </c>
      <c r="L41" s="1560">
        <f t="shared" si="167"/>
        <v>31.034006899725281</v>
      </c>
      <c r="M41" s="1560">
        <f t="shared" si="167"/>
        <v>32.137521466938395</v>
      </c>
      <c r="N41" s="1561">
        <f t="shared" si="167"/>
        <v>30.682761882608698</v>
      </c>
      <c r="O41" s="1562">
        <f t="shared" si="167"/>
        <v>25.679288122073572</v>
      </c>
      <c r="P41" s="1560">
        <f t="shared" si="167"/>
        <v>21.775065671703299</v>
      </c>
      <c r="Q41" s="1560">
        <f t="shared" si="167"/>
        <v>25.7171560271739</v>
      </c>
      <c r="R41" s="1560">
        <f t="shared" si="167"/>
        <v>29.781977215851452</v>
      </c>
      <c r="S41" s="1208">
        <f t="shared" si="167"/>
        <v>30.59628365193236</v>
      </c>
      <c r="T41" s="1209">
        <f t="shared" si="167"/>
        <v>28.85574062912087</v>
      </c>
      <c r="U41" s="1209">
        <f t="shared" si="167"/>
        <v>26.426258410326099</v>
      </c>
      <c r="V41" s="1210">
        <f t="shared" si="167"/>
        <v>28.631262306884061</v>
      </c>
      <c r="W41" s="1209">
        <f t="shared" si="167"/>
        <v>55.245883308574896</v>
      </c>
      <c r="X41" s="1209">
        <f t="shared" si="167"/>
        <v>31.092236393315009</v>
      </c>
      <c r="Y41" s="1209">
        <f t="shared" si="167"/>
        <v>26.565221706068847</v>
      </c>
      <c r="Z41" s="1210">
        <f t="shared" si="167"/>
        <v>29.935611420199269</v>
      </c>
      <c r="AA41" s="1209">
        <f t="shared" si="120"/>
        <v>33.546102769424323</v>
      </c>
      <c r="AB41" s="1209">
        <f t="shared" si="120"/>
        <v>24.350682732600731</v>
      </c>
      <c r="AC41" s="1209">
        <f t="shared" si="120"/>
        <v>22.832639235507255</v>
      </c>
      <c r="AD41" s="1210">
        <f t="shared" si="120"/>
        <v>21.995092569728257</v>
      </c>
      <c r="AE41" s="1209">
        <f t="shared" si="115"/>
        <v>22.062136905279502</v>
      </c>
      <c r="AF41" s="1209">
        <f t="shared" si="115"/>
        <v>21.344116594322344</v>
      </c>
      <c r="AG41" s="1209">
        <f t="shared" si="115"/>
        <v>22.51157196376812</v>
      </c>
      <c r="AH41" s="1210">
        <f t="shared" si="115"/>
        <v>25.05356571974637</v>
      </c>
      <c r="AI41" s="1209">
        <f t="shared" si="115"/>
        <v>25.637689978663452</v>
      </c>
      <c r="AJ41" s="1209">
        <f t="shared" si="115"/>
        <v>22.658216380036624</v>
      </c>
      <c r="AK41" s="1209">
        <f t="shared" si="115"/>
        <v>22.877026026268119</v>
      </c>
      <c r="AL41" s="1210">
        <f t="shared" si="115"/>
        <v>26.103430919021747</v>
      </c>
      <c r="AM41" s="1209">
        <f t="shared" si="98"/>
        <v>33.49635729142512</v>
      </c>
      <c r="AN41" s="1209">
        <f t="shared" si="98"/>
        <v>24.3</v>
      </c>
      <c r="AO41" s="1209">
        <f t="shared" si="98"/>
        <v>24.716666666666669</v>
      </c>
      <c r="AP41" s="1210">
        <f t="shared" si="98"/>
        <v>24.833333333333332</v>
      </c>
      <c r="AQ41" s="1209">
        <f t="shared" ref="AQ41:AT41" si="168">IF(ISBLANK(AQ184),"",AQ184)</f>
        <v>26.535204784504245</v>
      </c>
      <c r="AR41" s="1209">
        <f t="shared" si="168"/>
        <v>20.510009202701678</v>
      </c>
      <c r="AS41" s="1209">
        <f t="shared" si="168"/>
        <v>20.875172571295771</v>
      </c>
      <c r="AT41" s="1210">
        <f t="shared" si="168"/>
        <v>29.770913441498301</v>
      </c>
      <c r="AU41" s="1209">
        <f t="shared" ref="AU41:AX41" si="169">IF(ISBLANK(AU184),"",AU184)</f>
        <v>26.434034268000321</v>
      </c>
      <c r="AV41" s="1209">
        <f t="shared" si="169"/>
        <v>20.43181089063328</v>
      </c>
      <c r="AW41" s="1209">
        <f t="shared" si="169"/>
        <v>20.795582004413099</v>
      </c>
      <c r="AX41" s="1210">
        <f t="shared" si="169"/>
        <v>29.657406170153298</v>
      </c>
      <c r="AY41" s="1340">
        <f t="shared" ref="AY41:BB41" si="170">IF(ISBLANK(AY184),"",IF(Uplift="Yes",AY103/1000*(AY60+AY$8),AY184))</f>
        <v>27.74370870404849</v>
      </c>
      <c r="AZ41" s="1340">
        <f t="shared" si="170"/>
        <v>24.317048608268344</v>
      </c>
      <c r="BA41" s="1340">
        <f t="shared" si="170"/>
        <v>24.638297992247736</v>
      </c>
      <c r="BB41" s="1341">
        <f t="shared" si="170"/>
        <v>28.801220729176762</v>
      </c>
      <c r="BC41" s="1211"/>
      <c r="BD41" s="1211"/>
      <c r="BE41" s="1269">
        <f t="shared" si="128"/>
        <v>30.552643478231012</v>
      </c>
      <c r="BF41" s="1269">
        <f t="shared" si="129"/>
        <v>31.792584225125061</v>
      </c>
      <c r="BG41" s="1269">
        <f t="shared" si="130"/>
        <v>25.738371759200557</v>
      </c>
      <c r="BH41" s="1269">
        <f t="shared" si="131"/>
        <v>28.627386249565845</v>
      </c>
      <c r="BI41" s="1269">
        <f t="shared" si="132"/>
        <v>35.709738207039507</v>
      </c>
      <c r="BJ41" s="1269">
        <f t="shared" si="133"/>
        <v>25.681129326815142</v>
      </c>
      <c r="BK41" s="1273">
        <f t="shared" si="134"/>
        <v>22.742847795779085</v>
      </c>
      <c r="BL41" s="1273">
        <f t="shared" si="135"/>
        <v>24.319090825997485</v>
      </c>
      <c r="BM41" s="1273">
        <f t="shared" si="136"/>
        <v>26.83658932285628</v>
      </c>
      <c r="BN41" s="1273">
        <f t="shared" si="137"/>
        <v>24.422824999999996</v>
      </c>
      <c r="BO41" s="1273">
        <f t="shared" si="138"/>
        <v>24.329708333300001</v>
      </c>
      <c r="BP41" s="1273">
        <f t="shared" si="139"/>
        <v>26.375069008435336</v>
      </c>
      <c r="BQ41" s="1205"/>
      <c r="BR41" s="1606"/>
      <c r="BS41" s="1605"/>
      <c r="BU41" s="1186"/>
      <c r="BV41" s="1551"/>
      <c r="BW41" s="1551"/>
    </row>
    <row r="42" spans="1:104" ht="12.75" customHeight="1">
      <c r="A42" s="1187"/>
      <c r="B42" s="1619"/>
      <c r="C42" s="1223" t="str">
        <f t="shared" si="140"/>
        <v>NI Hub</v>
      </c>
      <c r="D42" s="1621" t="str">
        <f t="shared" si="140"/>
        <v/>
      </c>
      <c r="E42" s="1621" t="str">
        <f t="shared" si="140"/>
        <v/>
      </c>
      <c r="F42" s="1222"/>
      <c r="G42" s="1562">
        <f t="shared" ref="G42:Z42" si="171">IF(ISBLANK(G185),"",G185)</f>
        <v>26.056607898976985</v>
      </c>
      <c r="H42" s="1560">
        <f t="shared" si="171"/>
        <v>22.058756606684991</v>
      </c>
      <c r="I42" s="1560">
        <f t="shared" si="171"/>
        <v>25.77205439356884</v>
      </c>
      <c r="J42" s="1561">
        <f t="shared" si="171"/>
        <v>20.233505312028988</v>
      </c>
      <c r="K42" s="1562">
        <f t="shared" si="171"/>
        <v>28.117182428522533</v>
      </c>
      <c r="L42" s="1560">
        <f t="shared" si="171"/>
        <v>24.030010341117219</v>
      </c>
      <c r="M42" s="1560">
        <f t="shared" si="171"/>
        <v>25.858050654891304</v>
      </c>
      <c r="N42" s="1561">
        <f t="shared" si="171"/>
        <v>19.96068864096015</v>
      </c>
      <c r="O42" s="1562">
        <f t="shared" si="171"/>
        <v>23.311520222746449</v>
      </c>
      <c r="P42" s="1560">
        <f t="shared" si="171"/>
        <v>18.617785842032969</v>
      </c>
      <c r="Q42" s="1560">
        <f t="shared" si="171"/>
        <v>23.770870774456522</v>
      </c>
      <c r="R42" s="1560">
        <f t="shared" si="171"/>
        <v>21.751328907065218</v>
      </c>
      <c r="S42" s="1208">
        <f t="shared" si="171"/>
        <v>27.102873879810776</v>
      </c>
      <c r="T42" s="1209">
        <f t="shared" si="171"/>
        <v>23.983492510531136</v>
      </c>
      <c r="U42" s="1209">
        <f t="shared" si="171"/>
        <v>24.337539511322465</v>
      </c>
      <c r="V42" s="1210">
        <f t="shared" si="171"/>
        <v>25.034081106974629</v>
      </c>
      <c r="W42" s="1209">
        <f t="shared" si="171"/>
        <v>46.659030578200486</v>
      </c>
      <c r="X42" s="1209">
        <f t="shared" si="171"/>
        <v>25.040844436355307</v>
      </c>
      <c r="Y42" s="1209">
        <f t="shared" si="171"/>
        <v>24.573567941576091</v>
      </c>
      <c r="Z42" s="1210">
        <f t="shared" si="171"/>
        <v>25.868583025362319</v>
      </c>
      <c r="AA42" s="1209">
        <f t="shared" si="120"/>
        <v>29.701038306400971</v>
      </c>
      <c r="AB42" s="1209">
        <f t="shared" si="120"/>
        <v>18.405672966575075</v>
      </c>
      <c r="AC42" s="1209">
        <f t="shared" si="120"/>
        <v>21.186602595561595</v>
      </c>
      <c r="AD42" s="1210">
        <f t="shared" si="120"/>
        <v>19.679295579764492</v>
      </c>
      <c r="AE42" s="1209">
        <f t="shared" ref="AE42:AL50" si="172">IF(ISBLANK(AE185),"",AE185)</f>
        <v>19.228153737279026</v>
      </c>
      <c r="AF42" s="1209">
        <f t="shared" si="172"/>
        <v>18.306781789377293</v>
      </c>
      <c r="AG42" s="1209">
        <f t="shared" si="172"/>
        <v>21.426197764039859</v>
      </c>
      <c r="AH42" s="1210">
        <f t="shared" si="172"/>
        <v>22.45641746277175</v>
      </c>
      <c r="AI42" s="1209">
        <f t="shared" si="172"/>
        <v>23.077807067310793</v>
      </c>
      <c r="AJ42" s="1209">
        <f t="shared" si="172"/>
        <v>19.554939797619053</v>
      </c>
      <c r="AK42" s="1209">
        <f t="shared" si="172"/>
        <v>18.802316540760863</v>
      </c>
      <c r="AL42" s="1210">
        <f t="shared" si="172"/>
        <v>22.818591313496391</v>
      </c>
      <c r="AM42" s="1209">
        <f t="shared" si="98"/>
        <v>25.592786000905793</v>
      </c>
      <c r="AN42" s="1209">
        <f t="shared" si="98"/>
        <v>19.816666666666666</v>
      </c>
      <c r="AO42" s="1209">
        <f t="shared" si="98"/>
        <v>21.45</v>
      </c>
      <c r="AP42" s="1210">
        <f t="shared" si="98"/>
        <v>20.516666666666669</v>
      </c>
      <c r="AQ42" s="1209">
        <f t="shared" ref="AQ42:AT42" si="173">IF(ISBLANK(AQ185),"",AQ185)</f>
        <v>27.334808227990884</v>
      </c>
      <c r="AR42" s="1209">
        <f t="shared" si="173"/>
        <v>19.223933699175628</v>
      </c>
      <c r="AS42" s="1209">
        <f t="shared" si="173"/>
        <v>19.937159884736072</v>
      </c>
      <c r="AT42" s="1210">
        <f t="shared" si="173"/>
        <v>20.328731521297417</v>
      </c>
      <c r="AU42" s="1209">
        <f t="shared" ref="AU42:AX42" si="174">IF(ISBLANK(AU185),"",AU185)</f>
        <v>27.753990948397757</v>
      </c>
      <c r="AV42" s="1209">
        <f t="shared" si="174"/>
        <v>19.518735139073424</v>
      </c>
      <c r="AW42" s="1209">
        <f t="shared" si="174"/>
        <v>20.242898737848368</v>
      </c>
      <c r="AX42" s="1210">
        <f t="shared" si="174"/>
        <v>20.640475174680446</v>
      </c>
      <c r="AY42" s="1340">
        <f t="shared" ref="AY42:BB42" si="175">IF(ISBLANK(AY185),"",IF(Uplift="Yes",AY104/1000*(AY61+AY$8),AY185))</f>
        <v>23.237780286216633</v>
      </c>
      <c r="AZ42" s="1340">
        <f t="shared" si="175"/>
        <v>20.107055796790419</v>
      </c>
      <c r="BA42" s="1340">
        <f t="shared" si="175"/>
        <v>20.400561217674127</v>
      </c>
      <c r="BB42" s="1341">
        <f t="shared" si="175"/>
        <v>24.203962721121378</v>
      </c>
      <c r="BC42" s="1211"/>
      <c r="BD42" s="1211"/>
      <c r="BE42" s="1269">
        <f t="shared" si="128"/>
        <v>23.530231052814948</v>
      </c>
      <c r="BF42" s="1269">
        <f t="shared" si="129"/>
        <v>24.491483016372804</v>
      </c>
      <c r="BG42" s="1269">
        <f t="shared" si="130"/>
        <v>21.862876436575288</v>
      </c>
      <c r="BH42" s="1269">
        <f t="shared" si="131"/>
        <v>25.114496752159749</v>
      </c>
      <c r="BI42" s="1269">
        <f t="shared" si="132"/>
        <v>30.535506495373554</v>
      </c>
      <c r="BJ42" s="1269">
        <f t="shared" si="133"/>
        <v>22.243152362075534</v>
      </c>
      <c r="BK42" s="1273">
        <f t="shared" si="134"/>
        <v>20.354387688366984</v>
      </c>
      <c r="BL42" s="1273">
        <f t="shared" si="135"/>
        <v>21.063413679796774</v>
      </c>
      <c r="BM42" s="1273">
        <f t="shared" si="136"/>
        <v>21.84402983355978</v>
      </c>
      <c r="BN42" s="1273">
        <f t="shared" si="137"/>
        <v>21.706158333299999</v>
      </c>
      <c r="BO42" s="1273">
        <f t="shared" si="138"/>
        <v>22.039024999999999</v>
      </c>
      <c r="BP42" s="1273">
        <f t="shared" si="139"/>
        <v>21.98734000545064</v>
      </c>
      <c r="BQ42" s="1205"/>
      <c r="BR42" s="1606"/>
      <c r="BS42" s="1605"/>
      <c r="BU42" s="1186"/>
      <c r="BV42" s="1215" t="s">
        <v>941</v>
      </c>
      <c r="BW42" s="1215"/>
      <c r="BX42" s="1215">
        <v>2021</v>
      </c>
    </row>
    <row r="43" spans="1:104" ht="12.75" customHeight="1">
      <c r="A43" s="1187"/>
      <c r="B43" s="1619"/>
      <c r="C43" s="1223" t="str">
        <f t="shared" si="140"/>
        <v>ERCOT Houston</v>
      </c>
      <c r="D43" s="1621" t="str">
        <f t="shared" si="140"/>
        <v/>
      </c>
      <c r="E43" s="1621" t="str">
        <f t="shared" si="140"/>
        <v/>
      </c>
      <c r="F43" s="1222"/>
      <c r="G43" s="1562">
        <f t="shared" ref="G43:Z43" si="176">IF(ISBLANK(G186),"",G186)</f>
        <v>33.731326126918169</v>
      </c>
      <c r="H43" s="1560">
        <f t="shared" si="176"/>
        <v>28.634282280219779</v>
      </c>
      <c r="I43" s="1560">
        <f t="shared" si="176"/>
        <v>31.990215126811602</v>
      </c>
      <c r="J43" s="1561">
        <f t="shared" si="176"/>
        <v>25.825695788043475</v>
      </c>
      <c r="K43" s="1562">
        <f t="shared" si="176"/>
        <v>29.660326036634473</v>
      </c>
      <c r="L43" s="1560">
        <f t="shared" si="176"/>
        <v>28.345022893772899</v>
      </c>
      <c r="M43" s="1560">
        <f t="shared" si="176"/>
        <v>31.569142889492749</v>
      </c>
      <c r="N43" s="1561">
        <f t="shared" si="176"/>
        <v>23.404596059782612</v>
      </c>
      <c r="O43" s="1562">
        <f t="shared" si="176"/>
        <v>19.561595895046977</v>
      </c>
      <c r="P43" s="1560">
        <f t="shared" si="176"/>
        <v>17.118434065934071</v>
      </c>
      <c r="Q43" s="1560">
        <f t="shared" si="176"/>
        <v>21.168782835144924</v>
      </c>
      <c r="R43" s="1560">
        <f t="shared" si="176"/>
        <v>22.251092119565214</v>
      </c>
      <c r="S43" s="1208">
        <f t="shared" si="176"/>
        <v>23.22272348027375</v>
      </c>
      <c r="T43" s="1209">
        <f t="shared" si="176"/>
        <v>26.715190018315013</v>
      </c>
      <c r="U43" s="1209">
        <f t="shared" si="176"/>
        <v>25.701721014492755</v>
      </c>
      <c r="V43" s="1210">
        <f t="shared" si="176"/>
        <v>27.180492210144916</v>
      </c>
      <c r="W43" s="1209">
        <f t="shared" si="176"/>
        <v>31.78499773550724</v>
      </c>
      <c r="X43" s="1209">
        <f t="shared" si="176"/>
        <v>31.412413003663001</v>
      </c>
      <c r="Y43" s="1209">
        <f t="shared" si="176"/>
        <v>28.854929800724651</v>
      </c>
      <c r="Z43" s="1210">
        <f t="shared" si="176"/>
        <v>25.233000181159419</v>
      </c>
      <c r="AA43" s="1209">
        <f t="shared" si="120"/>
        <v>22.140641555958133</v>
      </c>
      <c r="AB43" s="1209">
        <f t="shared" si="120"/>
        <v>21.621235119047622</v>
      </c>
      <c r="AC43" s="1209">
        <f t="shared" si="120"/>
        <v>20.30612658514492</v>
      </c>
      <c r="AD43" s="1210">
        <f t="shared" si="120"/>
        <v>16.061473550724639</v>
      </c>
      <c r="AE43" s="1209">
        <f t="shared" si="172"/>
        <v>13.842845198279973</v>
      </c>
      <c r="AF43" s="1209">
        <f t="shared" si="172"/>
        <v>14.911001602564097</v>
      </c>
      <c r="AG43" s="1209">
        <f t="shared" si="172"/>
        <v>23.475191349637686</v>
      </c>
      <c r="AH43" s="1210">
        <f t="shared" si="172"/>
        <v>18.614083197463771</v>
      </c>
      <c r="AI43" s="1209">
        <f t="shared" si="172"/>
        <v>19.355630787037047</v>
      </c>
      <c r="AJ43" s="1209">
        <f t="shared" si="172"/>
        <v>24.49456959706961</v>
      </c>
      <c r="AK43" s="1209">
        <f t="shared" si="172"/>
        <v>22.786469655797116</v>
      </c>
      <c r="AL43" s="1210">
        <f t="shared" si="172"/>
        <v>20.007914900362312</v>
      </c>
      <c r="AM43" s="1209">
        <f t="shared" si="98"/>
        <v>20.159236262077297</v>
      </c>
      <c r="AN43" s="1209">
        <f t="shared" si="98"/>
        <v>22.893873333333332</v>
      </c>
      <c r="AO43" s="1209">
        <f t="shared" si="98"/>
        <v>28.907523333333334</v>
      </c>
      <c r="AP43" s="1210">
        <f t="shared" si="98"/>
        <v>20.204750000000001</v>
      </c>
      <c r="AQ43" s="1209">
        <f t="shared" ref="AQ43:AT43" si="177">IF(ISBLANK(AQ186),"",AQ186)</f>
        <v>20.922026845642609</v>
      </c>
      <c r="AR43" s="1209">
        <f t="shared" si="177"/>
        <v>19.193142488186361</v>
      </c>
      <c r="AS43" s="1209">
        <f t="shared" si="177"/>
        <v>23.750424272466308</v>
      </c>
      <c r="AT43" s="1210">
        <f t="shared" si="177"/>
        <v>20.145536393704717</v>
      </c>
      <c r="AU43" s="1209">
        <f t="shared" ref="AU43:AX43" si="178">IF(ISBLANK(AU186),"",AU186)</f>
        <v>21.12106749399333</v>
      </c>
      <c r="AV43" s="1209">
        <f t="shared" si="178"/>
        <v>19.375735482303082</v>
      </c>
      <c r="AW43" s="1209">
        <f t="shared" si="178"/>
        <v>23.97637273724332</v>
      </c>
      <c r="AX43" s="1210">
        <f t="shared" si="178"/>
        <v>20.337189939260277</v>
      </c>
      <c r="AY43" s="1340">
        <f>IF(ISBLANK(AY186),"",IF(Valuation!$BY$40="Yes",AY105/1000*(AY62+AY$8),AY186))</f>
        <v>20.82675586398943</v>
      </c>
      <c r="AZ43" s="1340">
        <f>IF(ISBLANK(AZ186),"",IF(Valuation!$BY$40="Yes",AZ105/1000*(AZ62+AZ$8),AZ186))</f>
        <v>19.105744190719797</v>
      </c>
      <c r="BA43" s="1340">
        <f>IF(ISBLANK(BA186),"",IF(Valuation!$BY$40="Yes",BA105/1000*(BA62+BA$8),BA186))</f>
        <v>23.642273840779588</v>
      </c>
      <c r="BB43" s="1341">
        <f>IF(ISBLANK(BB186),"",IF(Valuation!$BY$40="Yes",BB105/1000*(BB62+BB$8),BB186))</f>
        <v>20.053801255311189</v>
      </c>
      <c r="BC43" s="1211"/>
      <c r="BD43" s="1211"/>
      <c r="BE43" s="1269">
        <f t="shared" si="128"/>
        <v>30.045379830498256</v>
      </c>
      <c r="BF43" s="1269">
        <f t="shared" si="129"/>
        <v>28.244771969920684</v>
      </c>
      <c r="BG43" s="1269">
        <f t="shared" si="130"/>
        <v>20.024976228922796</v>
      </c>
      <c r="BH43" s="1269">
        <f t="shared" si="131"/>
        <v>25.705031680806609</v>
      </c>
      <c r="BI43" s="1269">
        <f t="shared" si="132"/>
        <v>29.321335180263574</v>
      </c>
      <c r="BJ43" s="1269">
        <f t="shared" si="133"/>
        <v>20.032369202718829</v>
      </c>
      <c r="BK43" s="1273">
        <f t="shared" si="134"/>
        <v>17.710780336986382</v>
      </c>
      <c r="BL43" s="1273">
        <f t="shared" si="135"/>
        <v>21.661146235066521</v>
      </c>
      <c r="BM43" s="1273">
        <f t="shared" si="136"/>
        <v>23.041345732185992</v>
      </c>
      <c r="BN43" s="1273">
        <f t="shared" si="137"/>
        <v>21.002782499999999</v>
      </c>
      <c r="BO43" s="1273">
        <f t="shared" si="138"/>
        <v>21.202591413200004</v>
      </c>
      <c r="BP43" s="1273">
        <f t="shared" si="139"/>
        <v>20.907143787700001</v>
      </c>
      <c r="BQ43" s="1205"/>
      <c r="BR43" s="1606"/>
      <c r="BS43" s="1605"/>
      <c r="BU43" s="1186"/>
      <c r="BV43" s="1223" t="s">
        <v>433</v>
      </c>
      <c r="BW43" s="1396"/>
      <c r="BX43" s="1396">
        <f>+BP225</f>
        <v>13963.315871403218</v>
      </c>
    </row>
    <row r="44" spans="1:104" ht="12.75" customHeight="1">
      <c r="A44" s="1187"/>
      <c r="B44" s="1619"/>
      <c r="C44" s="1621" t="str">
        <f t="shared" si="140"/>
        <v>ERCOT North</v>
      </c>
      <c r="D44" s="1621" t="str">
        <f t="shared" si="140"/>
        <v/>
      </c>
      <c r="E44" s="1621" t="str">
        <f t="shared" si="140"/>
        <v/>
      </c>
      <c r="F44" s="1222"/>
      <c r="G44" s="1562">
        <f t="shared" ref="G44:Z44" si="179">IF(ISBLANK(G187),"",G187)</f>
        <v>33.950079656862755</v>
      </c>
      <c r="H44" s="1560">
        <f t="shared" si="179"/>
        <v>28.455611263736266</v>
      </c>
      <c r="I44" s="1560">
        <f t="shared" si="179"/>
        <v>31.678466938405812</v>
      </c>
      <c r="J44" s="1561">
        <f t="shared" si="179"/>
        <v>25.7597316576087</v>
      </c>
      <c r="K44" s="1562">
        <f t="shared" si="179"/>
        <v>30.071405696457326</v>
      </c>
      <c r="L44" s="1560">
        <f t="shared" si="179"/>
        <v>28.042996794871794</v>
      </c>
      <c r="M44" s="1560">
        <f t="shared" si="179"/>
        <v>31.24979846014493</v>
      </c>
      <c r="N44" s="1561">
        <f t="shared" si="179"/>
        <v>23.630269338768127</v>
      </c>
      <c r="O44" s="1562">
        <f t="shared" si="179"/>
        <v>19.53850324494346</v>
      </c>
      <c r="P44" s="1560">
        <f t="shared" si="179"/>
        <v>17.141556776556776</v>
      </c>
      <c r="Q44" s="1560">
        <f t="shared" si="179"/>
        <v>20.815947690217392</v>
      </c>
      <c r="R44" s="1560">
        <f t="shared" si="179"/>
        <v>22.887461865942033</v>
      </c>
      <c r="S44" s="1208">
        <f t="shared" si="179"/>
        <v>23.199066475442827</v>
      </c>
      <c r="T44" s="1209">
        <f t="shared" si="179"/>
        <v>26.300711996337007</v>
      </c>
      <c r="U44" s="1209">
        <f t="shared" si="179"/>
        <v>25.430877490942027</v>
      </c>
      <c r="V44" s="1210">
        <f t="shared" si="179"/>
        <v>26.785470153985496</v>
      </c>
      <c r="W44" s="1209">
        <f t="shared" si="179"/>
        <v>32.004984551127215</v>
      </c>
      <c r="X44" s="1209">
        <f t="shared" si="179"/>
        <v>31.26213713369965</v>
      </c>
      <c r="Y44" s="1209">
        <f t="shared" si="179"/>
        <v>28.32578691123188</v>
      </c>
      <c r="Z44" s="1210">
        <f t="shared" si="179"/>
        <v>25.307324320652167</v>
      </c>
      <c r="AA44" s="1209">
        <f t="shared" si="120"/>
        <v>22.17571215780999</v>
      </c>
      <c r="AB44" s="1209">
        <f t="shared" si="120"/>
        <v>19.319275412087915</v>
      </c>
      <c r="AC44" s="1209">
        <f t="shared" si="120"/>
        <v>19.897398097826084</v>
      </c>
      <c r="AD44" s="1210">
        <f t="shared" si="120"/>
        <v>15.149004076086959</v>
      </c>
      <c r="AE44" s="1209">
        <f t="shared" si="172"/>
        <v>13.804743092052874</v>
      </c>
      <c r="AF44" s="1209">
        <f t="shared" si="172"/>
        <v>14.6552048992674</v>
      </c>
      <c r="AG44" s="1209">
        <f t="shared" si="172"/>
        <v>20.848108016304352</v>
      </c>
      <c r="AH44" s="1210">
        <f t="shared" si="172"/>
        <v>18.255682925724642</v>
      </c>
      <c r="AI44" s="1209">
        <f t="shared" si="172"/>
        <v>17.694403532608696</v>
      </c>
      <c r="AJ44" s="1209">
        <f t="shared" si="172"/>
        <v>19.575868818681322</v>
      </c>
      <c r="AK44" s="1209">
        <f t="shared" si="172"/>
        <v>21.74405457427536</v>
      </c>
      <c r="AL44" s="1210">
        <f t="shared" si="172"/>
        <v>18.065305072463772</v>
      </c>
      <c r="AM44" s="1209">
        <f t="shared" si="98"/>
        <v>19.286005585748793</v>
      </c>
      <c r="AN44" s="1209">
        <f t="shared" si="98"/>
        <v>20.677206666666667</v>
      </c>
      <c r="AO44" s="1209">
        <f t="shared" si="98"/>
        <v>28.640856666666668</v>
      </c>
      <c r="AP44" s="1210">
        <f t="shared" si="98"/>
        <v>19.388083333333331</v>
      </c>
      <c r="AQ44" s="1209">
        <f t="shared" ref="AQ44:AT44" si="180">IF(ISBLANK(AQ187),"",AQ187)</f>
        <v>20.204147210285914</v>
      </c>
      <c r="AR44" s="1209">
        <f t="shared" si="180"/>
        <v>17.911730019517361</v>
      </c>
      <c r="AS44" s="1209">
        <f t="shared" si="180"/>
        <v>23.181362548745142</v>
      </c>
      <c r="AT44" s="1210">
        <f t="shared" si="180"/>
        <v>18.447223554651586</v>
      </c>
      <c r="AU44" s="1209">
        <f t="shared" ref="AU44:AX44" si="181">IF(ISBLANK(AU187),"",AU187)</f>
        <v>20.13301243857838</v>
      </c>
      <c r="AV44" s="1209">
        <f t="shared" si="181"/>
        <v>17.848666391413492</v>
      </c>
      <c r="AW44" s="1209">
        <f t="shared" si="181"/>
        <v>23.099745595769516</v>
      </c>
      <c r="AX44" s="1210">
        <f t="shared" si="181"/>
        <v>18.382274560638621</v>
      </c>
      <c r="AY44" s="1340">
        <f>IF(ISBLANK(AY187),"",IF(Valuation!$BY$40="Yes",AY106/1000*(AY63+AY$8),AY187))</f>
        <v>19.630903760724049</v>
      </c>
      <c r="AZ44" s="1340">
        <f>IF(ISBLANK(AZ187),"",IF(Valuation!$BY$40="Yes",AZ106/1000*(AZ63+AZ$8),AZ187))</f>
        <v>17.403528322254854</v>
      </c>
      <c r="BA44" s="1340">
        <f>IF(ISBLANK(BA187),"",IF(Valuation!$BY$40="Yes",BA106/1000*(BA63+BA$8),BA187))</f>
        <v>22.523647867958136</v>
      </c>
      <c r="BB44" s="1341">
        <f>IF(ISBLANK(BB187),"",IF(Valuation!$BY$40="Yes",BB106/1000*(BB63+BB$8),BB187))</f>
        <v>17.923828533062963</v>
      </c>
      <c r="BC44" s="1211"/>
      <c r="BD44" s="1211"/>
      <c r="BE44" s="1269">
        <f t="shared" si="128"/>
        <v>29.960972379153382</v>
      </c>
      <c r="BF44" s="1269">
        <f t="shared" si="129"/>
        <v>28.248617572560544</v>
      </c>
      <c r="BG44" s="1269">
        <f t="shared" si="130"/>
        <v>20.095867394414917</v>
      </c>
      <c r="BH44" s="1269">
        <f t="shared" si="131"/>
        <v>25.429031529176839</v>
      </c>
      <c r="BI44" s="1269">
        <f t="shared" si="132"/>
        <v>29.22505822917773</v>
      </c>
      <c r="BJ44" s="1269">
        <f t="shared" si="133"/>
        <v>19.135347435952735</v>
      </c>
      <c r="BK44" s="1273">
        <f t="shared" si="134"/>
        <v>16.890934733337318</v>
      </c>
      <c r="BL44" s="1273">
        <f t="shared" si="135"/>
        <v>19.269907999507289</v>
      </c>
      <c r="BM44" s="1273">
        <f t="shared" si="136"/>
        <v>21.998038063103863</v>
      </c>
      <c r="BN44" s="1273">
        <f t="shared" si="137"/>
        <v>19.936115833300001</v>
      </c>
      <c r="BO44" s="1273">
        <f t="shared" si="138"/>
        <v>19.865924746600001</v>
      </c>
      <c r="BP44" s="1273">
        <f t="shared" si="139"/>
        <v>19.370477121</v>
      </c>
      <c r="BQ44" s="1205"/>
      <c r="BR44" s="1606"/>
      <c r="BS44" s="1605"/>
      <c r="BU44" s="1186"/>
      <c r="BV44" s="1223" t="s">
        <v>1207</v>
      </c>
      <c r="BW44" s="1396"/>
      <c r="BX44" s="1396">
        <f>+BP226</f>
        <v>14645.816247987277</v>
      </c>
      <c r="BZ44" s="2042"/>
      <c r="CA44" s="2043" t="s">
        <v>1379</v>
      </c>
      <c r="CB44" s="2042"/>
      <c r="CC44" s="2042"/>
      <c r="CD44" s="2042"/>
      <c r="CE44" s="2044"/>
      <c r="CF44" s="2044"/>
      <c r="CG44" s="2044"/>
      <c r="CH44" s="2044"/>
      <c r="CI44" s="2042"/>
      <c r="CJ44" s="2042"/>
      <c r="CK44" s="2042"/>
      <c r="CL44" s="2042"/>
      <c r="CM44" s="2042"/>
      <c r="CN44" s="2042"/>
      <c r="CO44" s="2042"/>
      <c r="CP44" s="2042"/>
      <c r="CQ44" s="2042"/>
      <c r="CR44" s="2042"/>
      <c r="CS44" s="2042"/>
      <c r="CT44" s="2042"/>
      <c r="CU44"/>
      <c r="CV44"/>
      <c r="CW44"/>
      <c r="CX44"/>
      <c r="CY44"/>
      <c r="CZ44"/>
    </row>
    <row r="45" spans="1:104" ht="12.75" customHeight="1">
      <c r="A45" s="1187"/>
      <c r="B45" s="1619"/>
      <c r="C45" s="1621" t="str">
        <f t="shared" si="140"/>
        <v>ERCOT South</v>
      </c>
      <c r="D45" s="1621" t="str">
        <f t="shared" si="140"/>
        <v/>
      </c>
      <c r="E45" s="1621" t="str">
        <f t="shared" si="140"/>
        <v/>
      </c>
      <c r="F45" s="1222"/>
      <c r="G45" s="1562">
        <f t="shared" ref="G45:Z45" si="182">IF(ISBLANK(G188),"",G188)</f>
        <v>33.499652267156868</v>
      </c>
      <c r="H45" s="1560">
        <f t="shared" si="182"/>
        <v>28.382862866300375</v>
      </c>
      <c r="I45" s="1560">
        <f t="shared" si="182"/>
        <v>31.812933650362325</v>
      </c>
      <c r="J45" s="1561">
        <f t="shared" si="182"/>
        <v>25.415262409420293</v>
      </c>
      <c r="K45" s="1562">
        <f t="shared" si="182"/>
        <v>29.8071865942029</v>
      </c>
      <c r="L45" s="1560">
        <f t="shared" si="182"/>
        <v>27.334835164835152</v>
      </c>
      <c r="M45" s="1560">
        <f t="shared" si="182"/>
        <v>31.034110054347821</v>
      </c>
      <c r="N45" s="1561">
        <f t="shared" si="182"/>
        <v>23.925171286231883</v>
      </c>
      <c r="O45" s="1562">
        <f t="shared" si="182"/>
        <v>19.365880564182188</v>
      </c>
      <c r="P45" s="1560">
        <f t="shared" si="182"/>
        <v>16.926233974358968</v>
      </c>
      <c r="Q45" s="1560">
        <f t="shared" si="182"/>
        <v>21.107855525362321</v>
      </c>
      <c r="R45" s="1560">
        <f t="shared" si="182"/>
        <v>22.343847056159426</v>
      </c>
      <c r="S45" s="1208">
        <f t="shared" si="182"/>
        <v>23.143879981884069</v>
      </c>
      <c r="T45" s="1209">
        <f t="shared" si="182"/>
        <v>26.316911630036625</v>
      </c>
      <c r="U45" s="1209">
        <f t="shared" si="182"/>
        <v>25.562675498188408</v>
      </c>
      <c r="V45" s="1210">
        <f t="shared" si="182"/>
        <v>26.801473958333329</v>
      </c>
      <c r="W45" s="1209">
        <f t="shared" si="182"/>
        <v>31.796791113123987</v>
      </c>
      <c r="X45" s="1209">
        <f t="shared" si="182"/>
        <v>30.898569139194134</v>
      </c>
      <c r="Y45" s="1209">
        <f t="shared" si="182"/>
        <v>28.542640398550727</v>
      </c>
      <c r="Z45" s="1210">
        <f t="shared" si="182"/>
        <v>25.265815081521733</v>
      </c>
      <c r="AA45" s="1209">
        <f t="shared" si="120"/>
        <v>22.23049803743962</v>
      </c>
      <c r="AB45" s="1209">
        <f t="shared" si="120"/>
        <v>20.495057234432235</v>
      </c>
      <c r="AC45" s="1209">
        <f t="shared" si="120"/>
        <v>20.106205842391308</v>
      </c>
      <c r="AD45" s="1210">
        <f t="shared" si="120"/>
        <v>15.567165081521738</v>
      </c>
      <c r="AE45" s="1209">
        <f t="shared" si="172"/>
        <v>13.567103589345434</v>
      </c>
      <c r="AF45" s="1209">
        <f t="shared" si="172"/>
        <v>14.551979166666674</v>
      </c>
      <c r="AG45" s="1209">
        <f t="shared" si="172"/>
        <v>21.434193840579709</v>
      </c>
      <c r="AH45" s="1210">
        <f t="shared" si="172"/>
        <v>18.581885235507244</v>
      </c>
      <c r="AI45" s="1209">
        <f t="shared" si="172"/>
        <v>17.745814764492753</v>
      </c>
      <c r="AJ45" s="1209">
        <f t="shared" si="172"/>
        <v>21.731801739926734</v>
      </c>
      <c r="AK45" s="1209">
        <f t="shared" si="172"/>
        <v>23.207665307971009</v>
      </c>
      <c r="AL45" s="1210">
        <f t="shared" si="172"/>
        <v>19.342823505434787</v>
      </c>
      <c r="AM45" s="1209">
        <f t="shared" si="98"/>
        <v>19.624934933574881</v>
      </c>
      <c r="AN45" s="1209">
        <f t="shared" si="98"/>
        <v>22.243873333333337</v>
      </c>
      <c r="AO45" s="1209">
        <f t="shared" si="98"/>
        <v>29.724189999999997</v>
      </c>
      <c r="AP45" s="1210">
        <f t="shared" si="98"/>
        <v>20.288083333333333</v>
      </c>
      <c r="AQ45" s="1209">
        <f t="shared" ref="AQ45:AT45" si="183">IF(ISBLANK(AQ188),"",AQ188)</f>
        <v>21.213743053469752</v>
      </c>
      <c r="AR45" s="1209">
        <f t="shared" si="183"/>
        <v>19.267514968052225</v>
      </c>
      <c r="AS45" s="1209">
        <f t="shared" si="183"/>
        <v>24.088177775796659</v>
      </c>
      <c r="AT45" s="1210">
        <f t="shared" si="183"/>
        <v>19.651694202681362</v>
      </c>
      <c r="AU45" s="1209">
        <f t="shared" ref="AU45:AX45" si="184">IF(ISBLANK(AU188),"",AU188)</f>
        <v>21.193400009991446</v>
      </c>
      <c r="AV45" s="1209">
        <f t="shared" si="184"/>
        <v>19.249038271425608</v>
      </c>
      <c r="AW45" s="1209">
        <f t="shared" si="184"/>
        <v>24.065078276261332</v>
      </c>
      <c r="AX45" s="1210">
        <f t="shared" si="184"/>
        <v>19.632849095121614</v>
      </c>
      <c r="AY45" s="1340">
        <f>IF(ISBLANK(AY188),"",IF(Valuation!$BY$40="Yes",AY107/1000*(AY64+AY$8),AY188))</f>
        <v>20.81512679245602</v>
      </c>
      <c r="AZ45" s="1340">
        <f>IF(ISBLANK(AZ188),"",IF(Valuation!$BY$40="Yes",AZ107/1000*(AZ64+AZ$8),AZ188))</f>
        <v>18.905469252865018</v>
      </c>
      <c r="BA45" s="1340">
        <f>IF(ISBLANK(BA188),"",IF(Valuation!$BY$40="Yes",BA107/1000*(BA64+BA$8),BA188))</f>
        <v>23.635549527428598</v>
      </c>
      <c r="BB45" s="1341">
        <f>IF(ISBLANK(BB188),"",IF(Valuation!$BY$40="Yes",BB107/1000*(BB64+BB$8),BB188))</f>
        <v>19.282429578050358</v>
      </c>
      <c r="BC45" s="1211"/>
      <c r="BD45" s="1211"/>
      <c r="BE45" s="1269">
        <f t="shared" si="128"/>
        <v>29.777677798309966</v>
      </c>
      <c r="BF45" s="1269">
        <f t="shared" si="129"/>
        <v>28.025325774904438</v>
      </c>
      <c r="BG45" s="1269">
        <f t="shared" si="130"/>
        <v>19.935954280015729</v>
      </c>
      <c r="BH45" s="1269">
        <f t="shared" si="131"/>
        <v>25.45623526711061</v>
      </c>
      <c r="BI45" s="1269">
        <f t="shared" si="132"/>
        <v>29.125953933097648</v>
      </c>
      <c r="BJ45" s="1269">
        <f t="shared" si="133"/>
        <v>19.599731548946224</v>
      </c>
      <c r="BK45" s="1273">
        <f t="shared" si="134"/>
        <v>17.033790458024765</v>
      </c>
      <c r="BL45" s="1273">
        <f t="shared" si="135"/>
        <v>20.507026329456323</v>
      </c>
      <c r="BM45" s="1273">
        <f t="shared" si="136"/>
        <v>22.970270400060386</v>
      </c>
      <c r="BN45" s="1273">
        <f t="shared" si="137"/>
        <v>21.055282500000004</v>
      </c>
      <c r="BO45" s="1273">
        <f t="shared" si="138"/>
        <v>21.0350914132</v>
      </c>
      <c r="BP45" s="1273">
        <f t="shared" si="139"/>
        <v>20.659643787699999</v>
      </c>
      <c r="BQ45" s="1205"/>
      <c r="BR45" s="1606"/>
      <c r="BS45" s="1605"/>
      <c r="BU45" s="1186"/>
      <c r="BV45" s="1223" t="s">
        <v>459</v>
      </c>
      <c r="BW45" s="1396"/>
      <c r="BX45" s="1396">
        <f>+BP227</f>
        <v>12041.10747540348</v>
      </c>
      <c r="BZ45" s="2042">
        <v>1</v>
      </c>
      <c r="CA45" s="2042" t="s">
        <v>1380</v>
      </c>
      <c r="CB45" s="2045">
        <f t="shared" ref="CB45:CI45" si="185">CC45-0.25</f>
        <v>0</v>
      </c>
      <c r="CC45" s="2045">
        <f t="shared" si="185"/>
        <v>0.25</v>
      </c>
      <c r="CD45" s="2045">
        <f t="shared" si="185"/>
        <v>0.5</v>
      </c>
      <c r="CE45" s="2045">
        <f t="shared" si="185"/>
        <v>0.75</v>
      </c>
      <c r="CF45" s="2045">
        <f t="shared" si="185"/>
        <v>1</v>
      </c>
      <c r="CG45" s="2045">
        <f t="shared" si="185"/>
        <v>1.25</v>
      </c>
      <c r="CH45" s="2045">
        <f t="shared" si="185"/>
        <v>1.5</v>
      </c>
      <c r="CI45" s="2045">
        <f t="shared" si="185"/>
        <v>1.75</v>
      </c>
      <c r="CJ45" s="2045">
        <v>2</v>
      </c>
      <c r="CK45" s="2045">
        <f t="shared" ref="CK45:CZ45" si="186">CJ45+0.25</f>
        <v>2.25</v>
      </c>
      <c r="CL45" s="2045">
        <f t="shared" si="186"/>
        <v>2.5</v>
      </c>
      <c r="CM45" s="2045">
        <f t="shared" si="186"/>
        <v>2.75</v>
      </c>
      <c r="CN45" s="2045">
        <f t="shared" si="186"/>
        <v>3</v>
      </c>
      <c r="CO45" s="2045">
        <f t="shared" si="186"/>
        <v>3.25</v>
      </c>
      <c r="CP45" s="2045">
        <f t="shared" si="186"/>
        <v>3.5</v>
      </c>
      <c r="CQ45" s="2045">
        <f t="shared" si="186"/>
        <v>3.75</v>
      </c>
      <c r="CR45" s="2045">
        <f t="shared" si="186"/>
        <v>4</v>
      </c>
      <c r="CS45" s="2045">
        <f t="shared" si="186"/>
        <v>4.25</v>
      </c>
      <c r="CT45" s="2045">
        <f t="shared" si="186"/>
        <v>4.5</v>
      </c>
      <c r="CU45" s="2045">
        <f t="shared" si="186"/>
        <v>4.75</v>
      </c>
      <c r="CV45" s="2045">
        <f t="shared" si="186"/>
        <v>5</v>
      </c>
      <c r="CW45" s="2045">
        <f t="shared" si="186"/>
        <v>5.25</v>
      </c>
      <c r="CX45" s="2045">
        <f t="shared" si="186"/>
        <v>5.5</v>
      </c>
      <c r="CY45" s="2045">
        <f t="shared" si="186"/>
        <v>5.75</v>
      </c>
      <c r="CZ45" s="2045">
        <f t="shared" si="186"/>
        <v>6</v>
      </c>
    </row>
    <row r="46" spans="1:104" ht="12.75" customHeight="1">
      <c r="A46" s="1187"/>
      <c r="B46" s="1619"/>
      <c r="C46" s="1621" t="str">
        <f t="shared" si="140"/>
        <v>Palo Verde</v>
      </c>
      <c r="D46" s="1621" t="str">
        <f t="shared" si="140"/>
        <v/>
      </c>
      <c r="E46" s="1621" t="str">
        <f t="shared" si="140"/>
        <v/>
      </c>
      <c r="F46" s="1222"/>
      <c r="G46" s="1562">
        <f t="shared" ref="G46:Z46" si="187">IF(ISBLANK(G189),"",G189)</f>
        <v>32.764399999999995</v>
      </c>
      <c r="H46" s="1560">
        <f t="shared" si="187"/>
        <v>26.094333333333331</v>
      </c>
      <c r="I46" s="1560">
        <f t="shared" si="187"/>
        <v>27.91</v>
      </c>
      <c r="J46" s="1561">
        <f t="shared" si="187"/>
        <v>25.807647058823527</v>
      </c>
      <c r="K46" s="1562">
        <f t="shared" si="187"/>
        <v>20.458235294117642</v>
      </c>
      <c r="L46" s="1560">
        <f t="shared" si="187"/>
        <v>15.988181818181818</v>
      </c>
      <c r="M46" s="1560">
        <f t="shared" si="187"/>
        <v>24.526097560975611</v>
      </c>
      <c r="N46" s="1561">
        <f t="shared" si="187"/>
        <v>24.08657894736842</v>
      </c>
      <c r="O46" s="1562">
        <f t="shared" si="187"/>
        <v>19.836734693877553</v>
      </c>
      <c r="P46" s="1560">
        <f t="shared" si="187"/>
        <v>16.344545454545454</v>
      </c>
      <c r="Q46" s="1560">
        <f t="shared" si="187"/>
        <v>20.018333333333338</v>
      </c>
      <c r="R46" s="1560">
        <f t="shared" si="187"/>
        <v>25.022727272727277</v>
      </c>
      <c r="S46" s="1208">
        <f t="shared" si="187"/>
        <v>27.013333333333335</v>
      </c>
      <c r="T46" s="1209">
        <f t="shared" si="187"/>
        <v>26.58642857142857</v>
      </c>
      <c r="U46" s="1209">
        <f t="shared" si="187"/>
        <v>24.336666666666662</v>
      </c>
      <c r="V46" s="1210">
        <f t="shared" si="187"/>
        <v>29.902142857142856</v>
      </c>
      <c r="W46" s="1209">
        <f t="shared" si="187"/>
        <v>37.216206896551725</v>
      </c>
      <c r="X46" s="1209">
        <f t="shared" si="187"/>
        <v>31.198387096774194</v>
      </c>
      <c r="Y46" s="1209">
        <f t="shared" si="187"/>
        <v>31.499310344827585</v>
      </c>
      <c r="Z46" s="1210">
        <f t="shared" si="187"/>
        <v>26.848387096774196</v>
      </c>
      <c r="AA46" s="1209">
        <f t="shared" si="120"/>
        <v>21.951388888888893</v>
      </c>
      <c r="AB46" s="1209">
        <f t="shared" si="120"/>
        <v>21.208409090909093</v>
      </c>
      <c r="AC46" s="1209">
        <f t="shared" si="120"/>
        <v>23.832173913043476</v>
      </c>
      <c r="AD46" s="1210">
        <f t="shared" si="120"/>
        <v>19.805555555555557</v>
      </c>
      <c r="AE46" s="1209">
        <f t="shared" si="172"/>
        <v>16.825681818181817</v>
      </c>
      <c r="AF46" s="1209">
        <f t="shared" si="172"/>
        <v>16.068333333333332</v>
      </c>
      <c r="AG46" s="1209">
        <f t="shared" si="172"/>
        <v>22.099565217391302</v>
      </c>
      <c r="AH46" s="1210">
        <f t="shared" si="172"/>
        <v>21.735135135135135</v>
      </c>
      <c r="AI46" s="1209">
        <f t="shared" si="172"/>
        <v>20.877073170731702</v>
      </c>
      <c r="AJ46" s="1209">
        <f t="shared" si="172"/>
        <v>21.894222222222222</v>
      </c>
      <c r="AK46" s="1209">
        <f t="shared" si="172"/>
        <v>23.702653061224492</v>
      </c>
      <c r="AL46" s="1210">
        <f t="shared" si="172"/>
        <v>23.66375</v>
      </c>
      <c r="AM46" s="1209">
        <f t="shared" si="98"/>
        <v>23.66375</v>
      </c>
      <c r="AN46" s="1209">
        <f t="shared" si="98"/>
        <v>21.866666666666664</v>
      </c>
      <c r="AO46" s="1209">
        <f t="shared" si="98"/>
        <v>25.5</v>
      </c>
      <c r="AP46" s="1210">
        <f t="shared" si="98"/>
        <v>21.55</v>
      </c>
      <c r="AQ46" s="1209">
        <f t="shared" ref="AQ46:AT46" si="188">IF(ISBLANK(AQ189),"",AQ189)</f>
        <v>24.836427915484958</v>
      </c>
      <c r="AR46" s="1209">
        <f t="shared" si="188"/>
        <v>21.765546372753509</v>
      </c>
      <c r="AS46" s="1209">
        <f t="shared" si="188"/>
        <v>25.429054178110412</v>
      </c>
      <c r="AT46" s="1210">
        <f t="shared" si="188"/>
        <v>25.75230486685113</v>
      </c>
      <c r="AU46" s="1209">
        <f t="shared" ref="AU46:AX46" si="189">IF(ISBLANK(AU189),"",AU189)</f>
        <v>28.091790633507216</v>
      </c>
      <c r="AV46" s="1209">
        <f t="shared" si="189"/>
        <v>24.61840220372709</v>
      </c>
      <c r="AW46" s="1209">
        <f t="shared" si="189"/>
        <v>28.762093663807821</v>
      </c>
      <c r="AX46" s="1210">
        <f t="shared" si="189"/>
        <v>29.127713498557874</v>
      </c>
      <c r="AY46" s="1209">
        <f t="shared" ref="AY46:BB46" si="190">IF(ISBLANK(AY189),"",AY189)</f>
        <v>30.585169880556695</v>
      </c>
      <c r="AZ46" s="1209">
        <f t="shared" si="190"/>
        <v>26.803489439749491</v>
      </c>
      <c r="BA46" s="1209">
        <f t="shared" si="190"/>
        <v>31.314967860353057</v>
      </c>
      <c r="BB46" s="1210">
        <f t="shared" si="190"/>
        <v>31.713039485740765</v>
      </c>
      <c r="BC46" s="1211"/>
      <c r="BD46" s="1211"/>
      <c r="BE46" s="1269">
        <f t="shared" si="128"/>
        <v>28.144095098039216</v>
      </c>
      <c r="BF46" s="1269">
        <f t="shared" si="129"/>
        <v>21.264773405160874</v>
      </c>
      <c r="BG46" s="1269">
        <f t="shared" si="130"/>
        <v>20.305585188620906</v>
      </c>
      <c r="BH46" s="1269">
        <f t="shared" si="131"/>
        <v>26.959642857142853</v>
      </c>
      <c r="BI46" s="1269">
        <f t="shared" si="132"/>
        <v>31.690572858731926</v>
      </c>
      <c r="BJ46" s="1269">
        <f t="shared" si="133"/>
        <v>21.699381862099255</v>
      </c>
      <c r="BK46" s="1273">
        <f t="shared" si="134"/>
        <v>19.182178876010397</v>
      </c>
      <c r="BL46" s="1273">
        <f t="shared" si="135"/>
        <v>22.534424613544601</v>
      </c>
      <c r="BM46" s="1273">
        <f t="shared" si="136"/>
        <v>23.145104166666666</v>
      </c>
      <c r="BN46" s="1273">
        <f t="shared" si="137"/>
        <v>24.445833333300005</v>
      </c>
      <c r="BO46" s="1273">
        <f t="shared" si="138"/>
        <v>27.649999999899997</v>
      </c>
      <c r="BP46" s="1273">
        <f t="shared" si="139"/>
        <v>30.104166666600005</v>
      </c>
      <c r="BQ46" s="1205"/>
      <c r="BR46" s="1606"/>
      <c r="BS46" s="1605"/>
      <c r="BU46" s="1186"/>
      <c r="BV46" s="1223" t="s">
        <v>202</v>
      </c>
      <c r="BW46" s="1396"/>
      <c r="BX46" s="1396">
        <f>+BP228</f>
        <v>11910.971532855161</v>
      </c>
      <c r="BZ46" s="2042">
        <v>2</v>
      </c>
      <c r="CA46" s="2046" t="s">
        <v>433</v>
      </c>
      <c r="CB46" s="2047">
        <v>0.3</v>
      </c>
      <c r="CC46" s="2047">
        <v>0.3</v>
      </c>
      <c r="CD46" s="2047">
        <v>0.3</v>
      </c>
      <c r="CE46" s="2047">
        <v>0.35</v>
      </c>
      <c r="CF46" s="2047">
        <v>0.35</v>
      </c>
      <c r="CG46" s="2047">
        <v>0.35</v>
      </c>
      <c r="CH46" s="2047">
        <v>0.4</v>
      </c>
      <c r="CI46" s="2047">
        <v>0.4</v>
      </c>
      <c r="CJ46" s="2047">
        <v>0.4</v>
      </c>
      <c r="CK46" s="2047">
        <v>0.45</v>
      </c>
      <c r="CL46" s="2047">
        <v>0.45</v>
      </c>
      <c r="CM46" s="2047">
        <v>0.5</v>
      </c>
      <c r="CN46" s="2047">
        <v>0.5</v>
      </c>
      <c r="CO46" s="2047">
        <v>0.5</v>
      </c>
      <c r="CP46" s="2047">
        <v>0.55000000000000004</v>
      </c>
      <c r="CQ46" s="2047">
        <v>0.6</v>
      </c>
      <c r="CR46" s="2047">
        <v>0.65</v>
      </c>
      <c r="CS46" s="2047">
        <v>0.65</v>
      </c>
      <c r="CT46" s="2047">
        <v>0.65</v>
      </c>
      <c r="CU46" s="2047">
        <v>0.65</v>
      </c>
      <c r="CV46" s="2047">
        <v>0.65</v>
      </c>
      <c r="CW46" s="2047">
        <v>0.65</v>
      </c>
      <c r="CX46" s="2047">
        <v>0.65</v>
      </c>
      <c r="CY46" s="2047">
        <v>0.65</v>
      </c>
      <c r="CZ46" s="2047">
        <v>0.65</v>
      </c>
    </row>
    <row r="47" spans="1:104" ht="12.75" customHeight="1">
      <c r="A47" s="1187"/>
      <c r="B47" s="1619"/>
      <c r="C47" s="1621" t="str">
        <f t="shared" si="140"/>
        <v>SP 15</v>
      </c>
      <c r="D47" s="1621" t="str">
        <f t="shared" si="140"/>
        <v/>
      </c>
      <c r="E47" s="1621" t="str">
        <f t="shared" si="140"/>
        <v/>
      </c>
      <c r="F47" s="1222"/>
      <c r="G47" s="1562">
        <f t="shared" ref="G47:Z47" si="191">IF(ISBLANK(G190),"",G190)</f>
        <v>38.363481000287337</v>
      </c>
      <c r="H47" s="1560">
        <f t="shared" si="191"/>
        <v>18.396992540064101</v>
      </c>
      <c r="I47" s="1560">
        <f t="shared" si="191"/>
        <v>24.471085883152178</v>
      </c>
      <c r="J47" s="1561">
        <f t="shared" si="191"/>
        <v>26.837953423097826</v>
      </c>
      <c r="K47" s="1562">
        <f t="shared" si="191"/>
        <v>18.974865649255229</v>
      </c>
      <c r="L47" s="1560">
        <f t="shared" si="191"/>
        <v>10.592114644001832</v>
      </c>
      <c r="M47" s="1560">
        <f t="shared" si="191"/>
        <v>23.428638822463746</v>
      </c>
      <c r="N47" s="1561">
        <f t="shared" si="191"/>
        <v>24.040611232563403</v>
      </c>
      <c r="O47" s="1562">
        <f t="shared" si="191"/>
        <v>19.574844206780533</v>
      </c>
      <c r="P47" s="1560">
        <f t="shared" si="191"/>
        <v>14.132461858974361</v>
      </c>
      <c r="Q47" s="1560">
        <f t="shared" si="191"/>
        <v>19.690949210824268</v>
      </c>
      <c r="R47" s="1560">
        <f t="shared" si="191"/>
        <v>27.320213811911241</v>
      </c>
      <c r="S47" s="1208">
        <f t="shared" si="191"/>
        <v>34.906394377365146</v>
      </c>
      <c r="T47" s="1209">
        <f t="shared" si="191"/>
        <v>29.51015124084249</v>
      </c>
      <c r="U47" s="1209">
        <f t="shared" si="191"/>
        <v>32.575099427083344</v>
      </c>
      <c r="V47" s="1210">
        <f t="shared" si="191"/>
        <v>37.361519796557985</v>
      </c>
      <c r="W47" s="1209">
        <f t="shared" si="191"/>
        <v>42.627117423409828</v>
      </c>
      <c r="X47" s="1209">
        <f t="shared" si="191"/>
        <v>21.235009505690744</v>
      </c>
      <c r="Y47" s="1209">
        <f t="shared" si="191"/>
        <v>33.125406867559512</v>
      </c>
      <c r="Z47" s="1210">
        <f t="shared" si="191"/>
        <v>32.544144284297367</v>
      </c>
      <c r="AA47" s="1209">
        <f t="shared" si="120"/>
        <v>24.552941132037905</v>
      </c>
      <c r="AB47" s="1209">
        <f t="shared" si="120"/>
        <v>25.405648776654878</v>
      </c>
      <c r="AC47" s="1209">
        <f t="shared" si="120"/>
        <v>28.41391110280798</v>
      </c>
      <c r="AD47" s="1210">
        <f t="shared" si="120"/>
        <v>25.53134713495729</v>
      </c>
      <c r="AE47" s="1209">
        <f t="shared" si="172"/>
        <v>20.780798292565343</v>
      </c>
      <c r="AF47" s="1209">
        <f t="shared" si="172"/>
        <v>18.439791219093404</v>
      </c>
      <c r="AG47" s="1209">
        <f t="shared" si="172"/>
        <v>27.717085095270448</v>
      </c>
      <c r="AH47" s="1210">
        <f t="shared" si="172"/>
        <v>27.225998677746944</v>
      </c>
      <c r="AI47" s="1209">
        <f t="shared" si="172"/>
        <v>23.502615202110384</v>
      </c>
      <c r="AJ47" s="1209">
        <f t="shared" si="172"/>
        <v>22.058978634484564</v>
      </c>
      <c r="AK47" s="1209">
        <f t="shared" si="172"/>
        <v>29.16276689554218</v>
      </c>
      <c r="AL47" s="1210">
        <f t="shared" si="172"/>
        <v>31.166413735261386</v>
      </c>
      <c r="AM47" s="1209">
        <f t="shared" si="98"/>
        <v>27.79077055530394</v>
      </c>
      <c r="AN47" s="1209">
        <f t="shared" si="98"/>
        <v>23.866666666666671</v>
      </c>
      <c r="AO47" s="1209">
        <f t="shared" si="98"/>
        <v>32.4</v>
      </c>
      <c r="AP47" s="1210">
        <f t="shared" si="98"/>
        <v>31.849999999999998</v>
      </c>
      <c r="AQ47" s="1209">
        <f t="shared" ref="AQ47:AT47" si="192">IF(ISBLANK(AQ190),"",AQ190)</f>
        <v>32.001911923859012</v>
      </c>
      <c r="AR47" s="1209">
        <f t="shared" si="192"/>
        <v>23.464576991634761</v>
      </c>
      <c r="AS47" s="1209">
        <f t="shared" si="192"/>
        <v>31.792406772147991</v>
      </c>
      <c r="AT47" s="1210">
        <f t="shared" si="192"/>
        <v>34.124437645558224</v>
      </c>
      <c r="AU47" s="1209">
        <f t="shared" ref="AU47:AX47" si="193">IF(ISBLANK(AU190),"",AU190)</f>
        <v>35.011840479141661</v>
      </c>
      <c r="AV47" s="1209">
        <f t="shared" si="193"/>
        <v>25.671529516621057</v>
      </c>
      <c r="AW47" s="1209">
        <f t="shared" si="193"/>
        <v>34.782630394171832</v>
      </c>
      <c r="AX47" s="1210">
        <f t="shared" si="193"/>
        <v>37.333999610065447</v>
      </c>
      <c r="AY47" s="1209">
        <f t="shared" ref="AY47:BB47" si="194">IF(ISBLANK(AY190),"",AY190)</f>
        <v>36.703552148808996</v>
      </c>
      <c r="AZ47" s="1209">
        <f t="shared" si="194"/>
        <v>26.911933490452423</v>
      </c>
      <c r="BA47" s="1209">
        <f t="shared" si="194"/>
        <v>36.46326702835853</v>
      </c>
      <c r="BB47" s="1210">
        <f t="shared" si="194"/>
        <v>39.137913998780029</v>
      </c>
      <c r="BC47" s="1211"/>
      <c r="BD47" s="1211"/>
      <c r="BE47" s="1269">
        <f t="shared" si="128"/>
        <v>27.017378211650364</v>
      </c>
      <c r="BF47" s="1269">
        <f t="shared" si="129"/>
        <v>19.259057587071052</v>
      </c>
      <c r="BG47" s="1269">
        <f t="shared" si="130"/>
        <v>20.179617272122602</v>
      </c>
      <c r="BH47" s="1269">
        <f t="shared" si="131"/>
        <v>33.588291210462245</v>
      </c>
      <c r="BI47" s="1269">
        <f t="shared" si="132"/>
        <v>32.382919520239362</v>
      </c>
      <c r="BJ47" s="1269">
        <f t="shared" si="133"/>
        <v>25.975962036614511</v>
      </c>
      <c r="BK47" s="1273">
        <f t="shared" si="134"/>
        <v>23.540918321169034</v>
      </c>
      <c r="BL47" s="1273">
        <f t="shared" si="135"/>
        <v>26.472693616849629</v>
      </c>
      <c r="BM47" s="1273">
        <f t="shared" si="136"/>
        <v>28.976859305492653</v>
      </c>
      <c r="BN47" s="1273">
        <f t="shared" si="137"/>
        <v>30.3458333333</v>
      </c>
      <c r="BO47" s="1273">
        <f t="shared" si="138"/>
        <v>33.200000000000003</v>
      </c>
      <c r="BP47" s="1273">
        <f t="shared" si="139"/>
        <v>34.804166666599997</v>
      </c>
      <c r="BQ47" s="1205"/>
      <c r="BR47" s="1606"/>
      <c r="BS47" s="1605"/>
      <c r="BU47" s="1186"/>
      <c r="BV47" s="1223" t="s">
        <v>479</v>
      </c>
      <c r="BW47" s="1396"/>
      <c r="BX47" s="1396">
        <f>+BP229</f>
        <v>10978.293662399825</v>
      </c>
      <c r="BZ47" s="2042">
        <v>3</v>
      </c>
      <c r="CA47" s="2046" t="s">
        <v>1207</v>
      </c>
      <c r="CB47" s="2047">
        <v>0.35</v>
      </c>
      <c r="CC47" s="2047">
        <v>0.35</v>
      </c>
      <c r="CD47" s="2047">
        <v>0.35</v>
      </c>
      <c r="CE47" s="2047">
        <v>0.35</v>
      </c>
      <c r="CF47" s="2047">
        <v>0.4</v>
      </c>
      <c r="CG47" s="2047">
        <v>0.45</v>
      </c>
      <c r="CH47" s="2047">
        <v>0.5</v>
      </c>
      <c r="CI47" s="2047">
        <v>0.5</v>
      </c>
      <c r="CJ47" s="2047">
        <v>0.55000000000000004</v>
      </c>
      <c r="CK47" s="2047">
        <v>0.6</v>
      </c>
      <c r="CL47" s="2047">
        <v>0.65</v>
      </c>
      <c r="CM47" s="2047">
        <v>0.65</v>
      </c>
      <c r="CN47" s="2047">
        <v>0.7</v>
      </c>
      <c r="CO47" s="2047">
        <v>0.75</v>
      </c>
      <c r="CP47" s="2047">
        <v>0.75</v>
      </c>
      <c r="CQ47" s="2047">
        <v>0.75</v>
      </c>
      <c r="CR47" s="2047">
        <v>0.75</v>
      </c>
      <c r="CS47" s="2047">
        <v>0.75</v>
      </c>
      <c r="CT47" s="2047">
        <v>0.8</v>
      </c>
      <c r="CU47" s="2047">
        <v>0.8</v>
      </c>
      <c r="CV47" s="2047">
        <v>0.8</v>
      </c>
      <c r="CW47" s="2047">
        <v>0.8</v>
      </c>
      <c r="CX47" s="2047">
        <v>0.8</v>
      </c>
      <c r="CY47" s="2047">
        <v>0.8</v>
      </c>
      <c r="CZ47" s="2047">
        <v>0.8</v>
      </c>
    </row>
    <row r="48" spans="1:104" ht="12.75" customHeight="1">
      <c r="A48" s="1187"/>
      <c r="B48" s="1619"/>
      <c r="C48" s="1621" t="str">
        <f t="shared" si="140"/>
        <v>NP 15</v>
      </c>
      <c r="D48" s="1621" t="str">
        <f t="shared" si="140"/>
        <v/>
      </c>
      <c r="E48" s="1621" t="str">
        <f t="shared" si="140"/>
        <v/>
      </c>
      <c r="F48" s="1222"/>
      <c r="G48" s="1562">
        <f t="shared" ref="G48:Z48" si="195">IF(ISBLANK(G191),"",G191)</f>
        <v>35.650621540673335</v>
      </c>
      <c r="H48" s="1560">
        <f t="shared" si="195"/>
        <v>19.113250432692308</v>
      </c>
      <c r="I48" s="1560">
        <f t="shared" si="195"/>
        <v>25.547545279664849</v>
      </c>
      <c r="J48" s="1561">
        <f t="shared" si="195"/>
        <v>27.749613651449284</v>
      </c>
      <c r="K48" s="1562">
        <f t="shared" si="195"/>
        <v>18.722317882447662</v>
      </c>
      <c r="L48" s="1560">
        <f t="shared" si="195"/>
        <v>9.3984892651098875</v>
      </c>
      <c r="M48" s="1560">
        <f t="shared" si="195"/>
        <v>23.640035421195652</v>
      </c>
      <c r="N48" s="1561">
        <f t="shared" si="195"/>
        <v>25.15623199827899</v>
      </c>
      <c r="O48" s="1562">
        <f t="shared" si="195"/>
        <v>20.248332309583525</v>
      </c>
      <c r="P48" s="1560">
        <f t="shared" si="195"/>
        <v>12.638521983745417</v>
      </c>
      <c r="Q48" s="1560">
        <f t="shared" si="195"/>
        <v>18.538177578124998</v>
      </c>
      <c r="R48" s="1560">
        <f t="shared" si="195"/>
        <v>27.611688596331518</v>
      </c>
      <c r="S48" s="1208">
        <f t="shared" si="195"/>
        <v>32.535625475191225</v>
      </c>
      <c r="T48" s="1209">
        <f t="shared" si="195"/>
        <v>29.389078711080582</v>
      </c>
      <c r="U48" s="1209">
        <f t="shared" si="195"/>
        <v>33.408651492300713</v>
      </c>
      <c r="V48" s="1210">
        <f t="shared" si="195"/>
        <v>39.111093514039872</v>
      </c>
      <c r="W48" s="1209">
        <f t="shared" si="195"/>
        <v>43.573062782256443</v>
      </c>
      <c r="X48" s="1209">
        <f t="shared" si="195"/>
        <v>25.133060753891947</v>
      </c>
      <c r="Y48" s="1209">
        <f t="shared" si="195"/>
        <v>33.672098231107654</v>
      </c>
      <c r="Z48" s="1210">
        <f t="shared" si="195"/>
        <v>32.79430912681805</v>
      </c>
      <c r="AA48" s="1209">
        <f t="shared" si="120"/>
        <v>25.992472138601332</v>
      </c>
      <c r="AB48" s="1209">
        <f t="shared" si="120"/>
        <v>27.16867147632129</v>
      </c>
      <c r="AC48" s="1209">
        <f t="shared" si="120"/>
        <v>27.614825502717384</v>
      </c>
      <c r="AD48" s="1210">
        <f t="shared" si="120"/>
        <v>26.110869571577393</v>
      </c>
      <c r="AE48" s="1209">
        <f t="shared" si="172"/>
        <v>20.11139374158903</v>
      </c>
      <c r="AF48" s="1209">
        <f t="shared" si="172"/>
        <v>21.2270874957483</v>
      </c>
      <c r="AG48" s="1209">
        <f t="shared" si="172"/>
        <v>29.189901377458604</v>
      </c>
      <c r="AH48" s="1210">
        <f t="shared" si="172"/>
        <v>28.44518337338728</v>
      </c>
      <c r="AI48" s="1209">
        <f t="shared" si="172"/>
        <v>24.123383839646465</v>
      </c>
      <c r="AJ48" s="1209">
        <f t="shared" si="172"/>
        <v>20.910626551641812</v>
      </c>
      <c r="AK48" s="1209">
        <f t="shared" si="172"/>
        <v>30.198757360248454</v>
      </c>
      <c r="AL48" s="1210">
        <f t="shared" si="172"/>
        <v>30.953927045121635</v>
      </c>
      <c r="AM48" s="1209">
        <f t="shared" si="98"/>
        <v>29.637675953200478</v>
      </c>
      <c r="AN48" s="1209">
        <f t="shared" si="98"/>
        <v>24.700000000000003</v>
      </c>
      <c r="AO48" s="1209">
        <f t="shared" si="98"/>
        <v>32.199999999999996</v>
      </c>
      <c r="AP48" s="1210">
        <f t="shared" si="98"/>
        <v>32.1</v>
      </c>
      <c r="AQ48" s="1209">
        <f t="shared" ref="AQ48:AT48" si="196">IF(ISBLANK(AQ191),"",AQ191)</f>
        <v>32.382642291161041</v>
      </c>
      <c r="AR48" s="1209">
        <f t="shared" si="196"/>
        <v>24.129274044874869</v>
      </c>
      <c r="AS48" s="1209">
        <f t="shared" si="196"/>
        <v>32.172365393166494</v>
      </c>
      <c r="AT48" s="1210">
        <f t="shared" si="196"/>
        <v>36.099051603997601</v>
      </c>
      <c r="AU48" s="1209">
        <f t="shared" ref="AU48:AX48" si="197">IF(ISBLANK(AU191),"",AU191)</f>
        <v>35.345392387291405</v>
      </c>
      <c r="AV48" s="1209">
        <f t="shared" si="197"/>
        <v>26.336907639231747</v>
      </c>
      <c r="AW48" s="1209">
        <f t="shared" si="197"/>
        <v>35.115876852309</v>
      </c>
      <c r="AX48" s="1210">
        <f t="shared" si="197"/>
        <v>39.401823121167837</v>
      </c>
      <c r="AY48" s="1209">
        <f t="shared" ref="AY48:BB48" si="198">IF(ISBLANK(AY191),"",AY191)</f>
        <v>37.010587696706686</v>
      </c>
      <c r="AZ48" s="1209">
        <f t="shared" si="198"/>
        <v>27.577694403877224</v>
      </c>
      <c r="BA48" s="1209">
        <f t="shared" si="198"/>
        <v>36.770259205169637</v>
      </c>
      <c r="BB48" s="1210">
        <f t="shared" si="198"/>
        <v>41.258125360646446</v>
      </c>
      <c r="BC48" s="1211"/>
      <c r="BD48" s="1211"/>
      <c r="BE48" s="1269">
        <f t="shared" si="128"/>
        <v>27.015257726119941</v>
      </c>
      <c r="BF48" s="1269">
        <f t="shared" si="129"/>
        <v>19.229268641758047</v>
      </c>
      <c r="BG48" s="1269">
        <f t="shared" si="130"/>
        <v>19.759180116946364</v>
      </c>
      <c r="BH48" s="1269">
        <f t="shared" si="131"/>
        <v>33.611112298153103</v>
      </c>
      <c r="BI48" s="1269">
        <f t="shared" si="132"/>
        <v>33.793132723518525</v>
      </c>
      <c r="BJ48" s="1269">
        <f t="shared" si="133"/>
        <v>26.72170967230435</v>
      </c>
      <c r="BK48" s="1273">
        <f t="shared" si="134"/>
        <v>24.743391497045803</v>
      </c>
      <c r="BL48" s="1273">
        <f t="shared" si="135"/>
        <v>26.54667369916459</v>
      </c>
      <c r="BM48" s="1273">
        <f t="shared" si="136"/>
        <v>29.659418988300118</v>
      </c>
      <c r="BN48" s="1273">
        <f t="shared" si="137"/>
        <v>31.195833333300001</v>
      </c>
      <c r="BO48" s="1273">
        <f t="shared" si="138"/>
        <v>34.049999999999997</v>
      </c>
      <c r="BP48" s="1273">
        <f t="shared" si="139"/>
        <v>35.654166666599998</v>
      </c>
      <c r="BQ48" s="1205"/>
      <c r="BR48" s="1606"/>
      <c r="BS48" s="1605"/>
      <c r="BU48" s="1186"/>
      <c r="BV48" s="1551"/>
      <c r="BW48" s="1551"/>
      <c r="BZ48" s="2042">
        <v>4</v>
      </c>
      <c r="CA48" s="2046" t="s">
        <v>459</v>
      </c>
      <c r="CB48" s="2047">
        <v>0.2</v>
      </c>
      <c r="CC48" s="2047">
        <v>0.2</v>
      </c>
      <c r="CD48" s="2047">
        <v>0.2</v>
      </c>
      <c r="CE48" s="2047">
        <v>0.2</v>
      </c>
      <c r="CF48" s="2047">
        <v>0.2</v>
      </c>
      <c r="CG48" s="2047">
        <v>0.2</v>
      </c>
      <c r="CH48" s="2047">
        <v>0.2</v>
      </c>
      <c r="CI48" s="2047">
        <v>0.2</v>
      </c>
      <c r="CJ48" s="2047">
        <v>0.25</v>
      </c>
      <c r="CK48" s="2047">
        <v>0.25</v>
      </c>
      <c r="CL48" s="2047">
        <v>0.25</v>
      </c>
      <c r="CM48" s="2047">
        <v>0.35</v>
      </c>
      <c r="CN48" s="2047">
        <v>0.35</v>
      </c>
      <c r="CO48" s="2047">
        <v>0.4</v>
      </c>
      <c r="CP48" s="2047">
        <v>0.4</v>
      </c>
      <c r="CQ48" s="2047">
        <v>0.45</v>
      </c>
      <c r="CR48" s="2047">
        <v>0.45</v>
      </c>
      <c r="CS48" s="2047">
        <v>0.5</v>
      </c>
      <c r="CT48" s="2047">
        <v>0.5</v>
      </c>
      <c r="CU48" s="2047">
        <v>0.5</v>
      </c>
      <c r="CV48" s="2047">
        <v>0.5</v>
      </c>
      <c r="CW48" s="2047">
        <v>0.55000000000000004</v>
      </c>
      <c r="CX48" s="2047">
        <v>0.55000000000000004</v>
      </c>
      <c r="CY48" s="2047">
        <v>0.55000000000000004</v>
      </c>
      <c r="CZ48" s="2047">
        <v>0.55000000000000004</v>
      </c>
    </row>
    <row r="49" spans="1:104" ht="13.5" customHeight="1">
      <c r="A49" s="1187"/>
      <c r="B49" s="1619"/>
      <c r="C49" s="1621" t="str">
        <f t="shared" si="140"/>
        <v>Mid C</v>
      </c>
      <c r="D49" s="1621" t="str">
        <f t="shared" si="140"/>
        <v/>
      </c>
      <c r="E49" s="1621" t="str">
        <f t="shared" si="140"/>
        <v/>
      </c>
      <c r="F49" s="1222"/>
      <c r="G49" s="1609">
        <f t="shared" ref="G49:Z49" si="199">IF(ISBLANK(G192),"",G192)</f>
        <v>37.191702127659582</v>
      </c>
      <c r="H49" s="1608">
        <f t="shared" si="199"/>
        <v>20.846551724137928</v>
      </c>
      <c r="I49" s="1608">
        <f t="shared" si="199"/>
        <v>25.973666666666677</v>
      </c>
      <c r="J49" s="1610">
        <f t="shared" si="199"/>
        <v>29.371206896551723</v>
      </c>
      <c r="K49" s="1609">
        <f t="shared" si="199"/>
        <v>16.248095238095239</v>
      </c>
      <c r="L49" s="1608">
        <f t="shared" si="199"/>
        <v>8.8706896551724146</v>
      </c>
      <c r="M49" s="1608">
        <f t="shared" si="199"/>
        <v>19.931132075471702</v>
      </c>
      <c r="N49" s="1610">
        <f t="shared" si="199"/>
        <v>27.305689655172419</v>
      </c>
      <c r="O49" s="1609">
        <f t="shared" si="199"/>
        <v>19.371833333333331</v>
      </c>
      <c r="P49" s="1608">
        <f t="shared" si="199"/>
        <v>7.370967741935433E-2</v>
      </c>
      <c r="Q49" s="1608">
        <f t="shared" si="199"/>
        <v>13.051400000000001</v>
      </c>
      <c r="R49" s="1608">
        <f t="shared" si="199"/>
        <v>25.025692307692317</v>
      </c>
      <c r="S49" s="1229">
        <f t="shared" si="199"/>
        <v>26.816410256410261</v>
      </c>
      <c r="T49" s="1230">
        <f t="shared" si="199"/>
        <v>17.528181818181817</v>
      </c>
      <c r="U49" s="1230">
        <f t="shared" si="199"/>
        <v>23.521739130434778</v>
      </c>
      <c r="V49" s="1231">
        <f t="shared" si="199"/>
        <v>37.909999999999997</v>
      </c>
      <c r="W49" s="1230">
        <f t="shared" si="199"/>
        <v>24.855277777777776</v>
      </c>
      <c r="X49" s="1230">
        <f t="shared" si="199"/>
        <v>13.964473684210526</v>
      </c>
      <c r="Y49" s="1230">
        <f t="shared" si="199"/>
        <v>27.640666666666668</v>
      </c>
      <c r="Z49" s="1231">
        <f t="shared" si="199"/>
        <v>27.14555555555555</v>
      </c>
      <c r="AA49" s="1230">
        <f t="shared" si="120"/>
        <v>15.056279069767442</v>
      </c>
      <c r="AB49" s="1230">
        <f t="shared" si="120"/>
        <v>22.67235294117647</v>
      </c>
      <c r="AC49" s="1230">
        <f t="shared" si="120"/>
        <v>22.541666666666668</v>
      </c>
      <c r="AD49" s="1231">
        <f t="shared" si="120"/>
        <v>19.292727272727276</v>
      </c>
      <c r="AE49" s="1230">
        <f t="shared" si="172"/>
        <v>14.811363636363636</v>
      </c>
      <c r="AF49" s="1230">
        <f t="shared" si="172"/>
        <v>10.678222222222219</v>
      </c>
      <c r="AG49" s="1230">
        <f t="shared" si="172"/>
        <v>23.4837037037037</v>
      </c>
      <c r="AH49" s="1231">
        <f t="shared" si="172"/>
        <v>18.550377358490564</v>
      </c>
      <c r="AI49" s="1230">
        <f t="shared" si="172"/>
        <v>17.034905660377362</v>
      </c>
      <c r="AJ49" s="1230">
        <f t="shared" si="172"/>
        <v>3.7259375000000001</v>
      </c>
      <c r="AK49" s="1230">
        <f t="shared" si="172"/>
        <v>23.68</v>
      </c>
      <c r="AL49" s="1231">
        <f t="shared" si="172"/>
        <v>22.81</v>
      </c>
      <c r="AM49" s="1230">
        <f t="shared" si="98"/>
        <v>17.439166666666669</v>
      </c>
      <c r="AN49" s="1230">
        <f t="shared" si="98"/>
        <v>5.3999999999999995</v>
      </c>
      <c r="AO49" s="1230">
        <f t="shared" si="98"/>
        <v>17.400000000000002</v>
      </c>
      <c r="AP49" s="1231">
        <f t="shared" si="98"/>
        <v>20.55</v>
      </c>
      <c r="AQ49" s="1230">
        <f t="shared" ref="AQ49:AT49" si="200">IF(ISBLANK(AQ192),"",AQ192)</f>
        <v>24.123736367380481</v>
      </c>
      <c r="AR49" s="1230">
        <f t="shared" si="200"/>
        <v>9.8099081391649516</v>
      </c>
      <c r="AS49" s="1230">
        <f t="shared" si="200"/>
        <v>22.519600445252877</v>
      </c>
      <c r="AT49" s="1231">
        <f t="shared" si="200"/>
        <v>19.730088381401686</v>
      </c>
      <c r="AU49" s="1230">
        <f t="shared" ref="AU49:AX49" si="201">IF(ISBLANK(AU192),"",AU192)</f>
        <v>28.308843114166567</v>
      </c>
      <c r="AV49" s="1230">
        <f t="shared" si="201"/>
        <v>11.511780192205842</v>
      </c>
      <c r="AW49" s="1230">
        <f t="shared" si="201"/>
        <v>26.426413648774417</v>
      </c>
      <c r="AX49" s="1231">
        <f t="shared" si="201"/>
        <v>23.152963044853177</v>
      </c>
      <c r="AY49" s="1230">
        <f t="shared" ref="AY49:BB49" si="202">IF(ISBLANK(AY192),"",AY192)</f>
        <v>30.974011975501607</v>
      </c>
      <c r="AZ49" s="1230">
        <f t="shared" si="202"/>
        <v>12.59557008722444</v>
      </c>
      <c r="BA49" s="1230">
        <f t="shared" si="202"/>
        <v>28.914359005263648</v>
      </c>
      <c r="BB49" s="1231">
        <f t="shared" si="202"/>
        <v>25.332725598410299</v>
      </c>
      <c r="BC49" s="1211"/>
      <c r="BD49" s="1211"/>
      <c r="BE49" s="1269">
        <f t="shared" si="128"/>
        <v>28.345781853753977</v>
      </c>
      <c r="BF49" s="1269">
        <f t="shared" si="129"/>
        <v>18.088901655977942</v>
      </c>
      <c r="BG49" s="1269">
        <f t="shared" si="130"/>
        <v>14.380658829611251</v>
      </c>
      <c r="BH49" s="1269">
        <f t="shared" si="131"/>
        <v>26.444082801256712</v>
      </c>
      <c r="BI49" s="1269">
        <f t="shared" si="132"/>
        <v>23.401493421052628</v>
      </c>
      <c r="BJ49" s="1269">
        <f t="shared" si="133"/>
        <v>19.890756487584465</v>
      </c>
      <c r="BK49" s="1273">
        <f t="shared" si="134"/>
        <v>16.880916730195029</v>
      </c>
      <c r="BL49" s="1273">
        <f t="shared" si="135"/>
        <v>16.812710790094339</v>
      </c>
      <c r="BM49" s="1273">
        <f t="shared" si="136"/>
        <v>15.197291666666668</v>
      </c>
      <c r="BN49" s="1273">
        <f t="shared" si="137"/>
        <v>19.045833333299999</v>
      </c>
      <c r="BO49" s="1273">
        <f t="shared" si="138"/>
        <v>22.35</v>
      </c>
      <c r="BP49" s="1273">
        <f t="shared" si="139"/>
        <v>24.454166666599995</v>
      </c>
      <c r="BQ49" s="1205"/>
      <c r="BR49" s="1606"/>
      <c r="BS49" s="1605"/>
      <c r="BU49" s="1186"/>
      <c r="BV49" s="1215" t="s">
        <v>942</v>
      </c>
      <c r="BW49" s="1215"/>
      <c r="BX49" s="1215">
        <v>2021</v>
      </c>
      <c r="BZ49" s="2042">
        <v>5</v>
      </c>
      <c r="CA49" s="2046" t="s">
        <v>202</v>
      </c>
      <c r="CB49" s="2047">
        <v>0.2</v>
      </c>
      <c r="CC49" s="2047">
        <v>0.2</v>
      </c>
      <c r="CD49" s="2047">
        <v>0.2</v>
      </c>
      <c r="CE49" s="2047">
        <v>0.2</v>
      </c>
      <c r="CF49" s="2047">
        <v>0.2</v>
      </c>
      <c r="CG49" s="2047">
        <v>0.2</v>
      </c>
      <c r="CH49" s="2047">
        <v>0.2</v>
      </c>
      <c r="CI49" s="2047">
        <v>0.2</v>
      </c>
      <c r="CJ49" s="2047">
        <v>0.25</v>
      </c>
      <c r="CK49" s="2047">
        <v>0.25</v>
      </c>
      <c r="CL49" s="2047">
        <v>0.25</v>
      </c>
      <c r="CM49" s="2047">
        <v>0.35</v>
      </c>
      <c r="CN49" s="2047">
        <v>0.35</v>
      </c>
      <c r="CO49" s="2047">
        <v>0.4</v>
      </c>
      <c r="CP49" s="2047">
        <v>0.4</v>
      </c>
      <c r="CQ49" s="2047">
        <v>0.45</v>
      </c>
      <c r="CR49" s="2047">
        <v>0.45</v>
      </c>
      <c r="CS49" s="2047">
        <v>0.5</v>
      </c>
      <c r="CT49" s="2047">
        <v>0.5</v>
      </c>
      <c r="CU49" s="2047">
        <v>0.5</v>
      </c>
      <c r="CV49" s="2047">
        <v>0.5</v>
      </c>
      <c r="CW49" s="2047">
        <v>0.55000000000000004</v>
      </c>
      <c r="CX49" s="2047">
        <v>0.55000000000000004</v>
      </c>
      <c r="CY49" s="2047">
        <v>0.55000000000000004</v>
      </c>
      <c r="CZ49" s="2047">
        <v>0.55000000000000004</v>
      </c>
    </row>
    <row r="50" spans="1:104" ht="13.5" customHeight="1">
      <c r="A50" s="1187"/>
      <c r="B50" s="1619"/>
      <c r="C50" s="2293" t="s">
        <v>1535</v>
      </c>
      <c r="D50" s="1621" t="str">
        <f t="shared" si="140"/>
        <v/>
      </c>
      <c r="E50" s="1621" t="str">
        <f t="shared" si="140"/>
        <v/>
      </c>
      <c r="F50" s="1563"/>
      <c r="G50" s="1562">
        <f t="shared" ref="G50:Z50" si="203">IF(ISBLANK(G193),"",G193)</f>
        <v>0</v>
      </c>
      <c r="H50" s="1560">
        <f t="shared" si="203"/>
        <v>0</v>
      </c>
      <c r="I50" s="1560">
        <f t="shared" si="203"/>
        <v>0</v>
      </c>
      <c r="J50" s="1561">
        <f t="shared" si="203"/>
        <v>18.965745967741935</v>
      </c>
      <c r="K50" s="1562">
        <f t="shared" si="203"/>
        <v>21.679500452898552</v>
      </c>
      <c r="L50" s="1560">
        <f t="shared" si="203"/>
        <v>15.42058035714286</v>
      </c>
      <c r="M50" s="1560">
        <f t="shared" si="203"/>
        <v>30.891255661231888</v>
      </c>
      <c r="N50" s="1561">
        <f t="shared" si="203"/>
        <v>16.763071376811602</v>
      </c>
      <c r="O50" s="1562">
        <f t="shared" si="203"/>
        <v>13.916985188724318</v>
      </c>
      <c r="P50" s="1560">
        <f t="shared" si="203"/>
        <v>13.258952609890109</v>
      </c>
      <c r="Q50" s="1560">
        <f t="shared" si="203"/>
        <v>19.372339221014496</v>
      </c>
      <c r="R50" s="1560">
        <f t="shared" si="203"/>
        <v>20.709261096014483</v>
      </c>
      <c r="S50" s="1208">
        <f t="shared" si="203"/>
        <v>20.440848782206118</v>
      </c>
      <c r="T50" s="1209">
        <f t="shared" si="203"/>
        <v>23.552954441391933</v>
      </c>
      <c r="U50" s="1209">
        <f t="shared" si="203"/>
        <v>25.64189198369565</v>
      </c>
      <c r="V50" s="1210">
        <f t="shared" si="203"/>
        <v>26.4882361865942</v>
      </c>
      <c r="W50" s="1208">
        <f t="shared" si="203"/>
        <v>32.272174315619957</v>
      </c>
      <c r="X50" s="1209">
        <f t="shared" si="203"/>
        <v>31.134892399267407</v>
      </c>
      <c r="Y50" s="1209">
        <f t="shared" si="203"/>
        <v>28.14129528985508</v>
      </c>
      <c r="Z50" s="1210">
        <f t="shared" si="203"/>
        <v>25.026826811594209</v>
      </c>
      <c r="AA50" s="1208">
        <f t="shared" si="120"/>
        <v>22.267231833735906</v>
      </c>
      <c r="AB50" s="1209">
        <f t="shared" si="120"/>
        <v>19.322938415750922</v>
      </c>
      <c r="AC50" s="1209">
        <f t="shared" si="120"/>
        <v>19.883229166666666</v>
      </c>
      <c r="AD50" s="1210">
        <f t="shared" si="120"/>
        <v>14.538071105072467</v>
      </c>
      <c r="AE50" s="1208">
        <f t="shared" si="172"/>
        <v>13.415166079391629</v>
      </c>
      <c r="AF50" s="1209">
        <f t="shared" si="172"/>
        <v>13.686976877289379</v>
      </c>
      <c r="AG50" s="1209">
        <f t="shared" si="172"/>
        <v>20.563768115942029</v>
      </c>
      <c r="AH50" s="1210">
        <f t="shared" si="172"/>
        <v>17.754754528985508</v>
      </c>
      <c r="AI50" s="1208">
        <f t="shared" si="172"/>
        <v>15.114614834943641</v>
      </c>
      <c r="AJ50" s="1209">
        <f t="shared" si="172"/>
        <v>18.580832188644688</v>
      </c>
      <c r="AK50" s="1209">
        <f t="shared" si="172"/>
        <v>21.66212522644927</v>
      </c>
      <c r="AL50" s="1210">
        <f t="shared" si="172"/>
        <v>17.263756521739129</v>
      </c>
      <c r="AM50" s="1208">
        <f t="shared" si="98"/>
        <v>17.088877969001611</v>
      </c>
      <c r="AN50" s="1209">
        <f t="shared" si="98"/>
        <v>18.510540000000002</v>
      </c>
      <c r="AO50" s="1209">
        <f t="shared" si="98"/>
        <v>27.807523333333336</v>
      </c>
      <c r="AP50" s="1210">
        <f t="shared" si="98"/>
        <v>17.338083333333334</v>
      </c>
      <c r="AQ50" s="1208">
        <f t="shared" ref="AQ50:AX56" si="204">IF(ISBLANK(AQ193),"",AQ193)</f>
        <v>16.957303958202534</v>
      </c>
      <c r="AR50" s="1209">
        <f t="shared" si="204"/>
        <v>14.649290816252094</v>
      </c>
      <c r="AS50" s="1209">
        <f t="shared" si="204"/>
        <v>20.911155316984395</v>
      </c>
      <c r="AT50" s="1210">
        <f t="shared" si="204"/>
        <v>16.626713241760964</v>
      </c>
      <c r="AU50" s="1208">
        <f t="shared" ref="AU50:AX50" si="205">IF(ISBLANK(AU193),"",AU193)</f>
        <v>16.447007807315547</v>
      </c>
      <c r="AV50" s="1209">
        <f t="shared" si="205"/>
        <v>14.208449705236832</v>
      </c>
      <c r="AW50" s="1209">
        <f t="shared" si="205"/>
        <v>20.281875916487753</v>
      </c>
      <c r="AX50" s="1210">
        <f t="shared" si="205"/>
        <v>16.126365557359861</v>
      </c>
      <c r="AY50" s="1208">
        <f t="shared" ref="AY50:BB51" si="206">IF(ISBLANK(AY193),"",AY193)</f>
        <v>15.71573988720429</v>
      </c>
      <c r="AZ50" s="1209">
        <f t="shared" si="206"/>
        <v>13.576712699595451</v>
      </c>
      <c r="BA50" s="1209">
        <f t="shared" si="206"/>
        <v>19.380101843588751</v>
      </c>
      <c r="BB50" s="1210">
        <f t="shared" si="206"/>
        <v>15.409354053611498</v>
      </c>
      <c r="BC50" s="1211"/>
      <c r="BD50" s="1211"/>
      <c r="BE50" s="1269"/>
      <c r="BF50" s="1269"/>
      <c r="BG50" s="1269"/>
      <c r="BH50" s="1269"/>
      <c r="BI50" s="1269"/>
      <c r="BJ50" s="1269"/>
      <c r="BK50" s="1269"/>
      <c r="BL50" s="1269"/>
      <c r="BM50" s="1269"/>
      <c r="BN50" s="1269"/>
      <c r="BO50" s="1269"/>
      <c r="BP50" s="1269"/>
      <c r="BQ50" s="1205"/>
      <c r="BR50" s="1206"/>
      <c r="BU50" s="1186"/>
      <c r="BV50" s="1223" t="s">
        <v>433</v>
      </c>
      <c r="BW50" s="1396"/>
      <c r="BX50" s="1396">
        <f>+BX36-BX43</f>
        <v>356.68412859678028</v>
      </c>
      <c r="BZ50" s="2042">
        <v>6</v>
      </c>
      <c r="CA50" s="2046" t="s">
        <v>479</v>
      </c>
      <c r="CB50" s="2047">
        <v>0.2</v>
      </c>
      <c r="CC50" s="2047">
        <v>0.2</v>
      </c>
      <c r="CD50" s="2047">
        <v>0.2</v>
      </c>
      <c r="CE50" s="2047">
        <v>0.2</v>
      </c>
      <c r="CF50" s="2047">
        <v>0.2</v>
      </c>
      <c r="CG50" s="2047">
        <v>0.2</v>
      </c>
      <c r="CH50" s="2047">
        <v>0.2</v>
      </c>
      <c r="CI50" s="2047">
        <v>0.2</v>
      </c>
      <c r="CJ50" s="2047">
        <v>0.25</v>
      </c>
      <c r="CK50" s="2047">
        <v>0.25</v>
      </c>
      <c r="CL50" s="2047">
        <v>0.3</v>
      </c>
      <c r="CM50" s="2047">
        <v>0.3</v>
      </c>
      <c r="CN50" s="2047">
        <v>0.3</v>
      </c>
      <c r="CO50" s="2047">
        <v>0.35</v>
      </c>
      <c r="CP50" s="2047">
        <v>0.35</v>
      </c>
      <c r="CQ50" s="2047">
        <v>0.4</v>
      </c>
      <c r="CR50" s="2047">
        <v>0.4</v>
      </c>
      <c r="CS50" s="2047">
        <v>0.4</v>
      </c>
      <c r="CT50" s="2047">
        <v>0.45</v>
      </c>
      <c r="CU50" s="2047">
        <v>0.5</v>
      </c>
      <c r="CV50" s="2047">
        <v>0.5</v>
      </c>
      <c r="CW50" s="2047">
        <v>0.5</v>
      </c>
      <c r="CX50" s="2047">
        <v>0.5</v>
      </c>
      <c r="CY50" s="2047">
        <v>0.5</v>
      </c>
      <c r="CZ50" s="2047">
        <v>0.5</v>
      </c>
    </row>
    <row r="51" spans="1:104" ht="12.75" customHeight="1">
      <c r="B51" s="1619"/>
      <c r="C51" s="1216" t="str">
        <f t="shared" si="140"/>
        <v>Natural Gas Basis/Coal Delivery Cost Assumptions</v>
      </c>
      <c r="D51" s="1625" t="str">
        <f t="shared" si="140"/>
        <v/>
      </c>
      <c r="E51" s="1625" t="str">
        <f t="shared" si="140"/>
        <v/>
      </c>
      <c r="F51" s="1350"/>
      <c r="G51" s="1562" t="str">
        <f t="shared" ref="G51:G82" si="207">IF(ISBLANK(G194),"",G194)</f>
        <v/>
      </c>
      <c r="H51" s="1594"/>
      <c r="I51" s="1594"/>
      <c r="J51" s="1596"/>
      <c r="K51" s="1595"/>
      <c r="L51" s="1594"/>
      <c r="M51" s="1594"/>
      <c r="N51" s="1596"/>
      <c r="O51" s="1595"/>
      <c r="P51" s="1594"/>
      <c r="Q51" s="1594"/>
      <c r="R51" s="1594"/>
      <c r="S51" s="1593"/>
      <c r="T51" s="1218"/>
      <c r="U51" s="1218"/>
      <c r="V51" s="1217"/>
      <c r="W51" s="1218"/>
      <c r="X51" s="1218"/>
      <c r="Y51" s="1218"/>
      <c r="Z51" s="1592"/>
      <c r="AA51" s="1591"/>
      <c r="AB51" s="1591"/>
      <c r="AC51" s="1591"/>
      <c r="AD51" s="1592"/>
      <c r="AE51" s="1591"/>
      <c r="AF51" s="1591"/>
      <c r="AG51" s="1591"/>
      <c r="AH51" s="1592"/>
      <c r="AI51" s="1591"/>
      <c r="AJ51" s="1591"/>
      <c r="AK51" s="1591"/>
      <c r="AL51" s="1592" t="str">
        <f t="shared" ref="AL51:AP82" si="208">IF(ISBLANK(AL194),"",AL194)</f>
        <v/>
      </c>
      <c r="AM51" s="1591"/>
      <c r="AN51" s="1591"/>
      <c r="AO51" s="1591"/>
      <c r="AP51" s="1210" t="str">
        <f t="shared" ref="AP51:AS56" si="209">IF(ISBLANK(AP194),"",AP194)</f>
        <v/>
      </c>
      <c r="AQ51" s="1591"/>
      <c r="AR51" s="1591"/>
      <c r="AS51" s="1591"/>
      <c r="AT51" s="1210" t="str">
        <f t="shared" si="204"/>
        <v/>
      </c>
      <c r="AU51" s="1591"/>
      <c r="AV51" s="1591"/>
      <c r="AW51" s="1591"/>
      <c r="AX51" s="1210" t="str">
        <f t="shared" ref="AX51" si="210">IF(ISBLANK(AX194),"",AX194)</f>
        <v/>
      </c>
      <c r="AY51" s="1591"/>
      <c r="AZ51" s="1591"/>
      <c r="BA51" s="1591"/>
      <c r="BB51" s="1210" t="str">
        <f t="shared" si="206"/>
        <v/>
      </c>
      <c r="BC51" s="1211"/>
      <c r="BD51" s="1219"/>
      <c r="BE51" s="1607"/>
      <c r="BF51" s="1607"/>
      <c r="BG51" s="1607"/>
      <c r="BH51" s="1607"/>
      <c r="BI51" s="1607"/>
      <c r="BJ51" s="1607"/>
      <c r="BK51" s="1607"/>
      <c r="BL51" s="1607"/>
      <c r="BM51" s="1607"/>
      <c r="BN51" s="1607"/>
      <c r="BO51" s="1607"/>
      <c r="BP51" s="1607"/>
      <c r="BQ51" s="1205"/>
      <c r="BR51" s="1226"/>
      <c r="BU51" s="1186"/>
      <c r="BV51" s="1223" t="s">
        <v>1207</v>
      </c>
      <c r="BW51" s="1396"/>
      <c r="BX51" s="1396">
        <f>+BX37-BX44</f>
        <v>-237.24481941584781</v>
      </c>
      <c r="BZ51" s="2042"/>
      <c r="CA51" s="2042"/>
      <c r="CB51" s="2042"/>
      <c r="CC51" s="2042"/>
      <c r="CD51" s="2042"/>
      <c r="CE51" s="2042"/>
      <c r="CF51" s="2042"/>
      <c r="CG51" s="2042"/>
      <c r="CH51" s="2042"/>
      <c r="CI51" s="2042"/>
      <c r="CJ51" s="2042"/>
      <c r="CK51" s="2042"/>
      <c r="CL51" s="2042"/>
      <c r="CM51" s="2042"/>
      <c r="CN51" s="2042"/>
      <c r="CO51" s="2042"/>
      <c r="CP51" s="2042"/>
      <c r="CQ51" s="2042"/>
      <c r="CR51" s="2042"/>
      <c r="CS51" s="2042"/>
      <c r="CT51" s="2042"/>
      <c r="CU51" s="2042"/>
      <c r="CV51" s="2042"/>
      <c r="CW51" s="2042"/>
      <c r="CX51" s="2042"/>
      <c r="CY51"/>
      <c r="CZ51"/>
    </row>
    <row r="52" spans="1:104" ht="13.5" customHeight="1">
      <c r="A52" s="1187"/>
      <c r="B52" s="1619"/>
      <c r="C52" s="1232" t="str">
        <f t="shared" si="140"/>
        <v>$ / mmbtu (Basis Differential to Henry Hub)</v>
      </c>
      <c r="D52" s="1621" t="str">
        <f t="shared" si="140"/>
        <v/>
      </c>
      <c r="E52" s="1621" t="str">
        <f t="shared" si="140"/>
        <v/>
      </c>
      <c r="F52" s="1563"/>
      <c r="G52" s="1562" t="str">
        <f t="shared" si="207"/>
        <v/>
      </c>
      <c r="H52" s="1560" t="str">
        <f t="shared" ref="H52:AK52" si="211">IF(ISBLANK(H195),"",H195)</f>
        <v/>
      </c>
      <c r="I52" s="1560" t="str">
        <f t="shared" si="211"/>
        <v/>
      </c>
      <c r="J52" s="1561" t="str">
        <f t="shared" si="211"/>
        <v/>
      </c>
      <c r="K52" s="1562" t="str">
        <f t="shared" si="211"/>
        <v/>
      </c>
      <c r="L52" s="1560" t="str">
        <f t="shared" si="211"/>
        <v/>
      </c>
      <c r="M52" s="1560" t="str">
        <f t="shared" si="211"/>
        <v/>
      </c>
      <c r="N52" s="1561" t="str">
        <f t="shared" si="211"/>
        <v/>
      </c>
      <c r="O52" s="1562" t="str">
        <f t="shared" si="211"/>
        <v/>
      </c>
      <c r="P52" s="1560" t="str">
        <f t="shared" si="211"/>
        <v/>
      </c>
      <c r="Q52" s="1560" t="str">
        <f t="shared" si="211"/>
        <v/>
      </c>
      <c r="R52" s="1560" t="str">
        <f t="shared" si="211"/>
        <v/>
      </c>
      <c r="S52" s="1208" t="str">
        <f t="shared" si="211"/>
        <v/>
      </c>
      <c r="T52" s="1209" t="str">
        <f t="shared" si="211"/>
        <v/>
      </c>
      <c r="U52" s="1209" t="str">
        <f t="shared" si="211"/>
        <v/>
      </c>
      <c r="V52" s="1210" t="str">
        <f t="shared" si="211"/>
        <v/>
      </c>
      <c r="W52" s="1209" t="str">
        <f t="shared" si="211"/>
        <v/>
      </c>
      <c r="X52" s="1209" t="str">
        <f t="shared" si="211"/>
        <v/>
      </c>
      <c r="Y52" s="1209" t="str">
        <f t="shared" si="211"/>
        <v/>
      </c>
      <c r="Z52" s="1210" t="str">
        <f t="shared" si="211"/>
        <v/>
      </c>
      <c r="AA52" s="1209" t="str">
        <f t="shared" si="211"/>
        <v/>
      </c>
      <c r="AB52" s="1209" t="str">
        <f t="shared" si="211"/>
        <v/>
      </c>
      <c r="AC52" s="1209" t="str">
        <f t="shared" si="211"/>
        <v/>
      </c>
      <c r="AD52" s="1210" t="str">
        <f t="shared" si="211"/>
        <v/>
      </c>
      <c r="AE52" s="1209" t="str">
        <f t="shared" si="211"/>
        <v/>
      </c>
      <c r="AF52" s="1209" t="str">
        <f t="shared" si="211"/>
        <v/>
      </c>
      <c r="AG52" s="1209" t="str">
        <f t="shared" si="211"/>
        <v/>
      </c>
      <c r="AH52" s="1210" t="str">
        <f t="shared" si="211"/>
        <v/>
      </c>
      <c r="AI52" s="1209" t="str">
        <f t="shared" si="211"/>
        <v/>
      </c>
      <c r="AJ52" s="1209" t="str">
        <f t="shared" si="211"/>
        <v/>
      </c>
      <c r="AK52" s="1209" t="str">
        <f t="shared" si="211"/>
        <v/>
      </c>
      <c r="AL52" s="1210" t="str">
        <f t="shared" si="208"/>
        <v/>
      </c>
      <c r="AM52" s="1209" t="str">
        <f t="shared" ref="AM52:AO56" si="212">IF(ISBLANK(AM195),"",AM195)</f>
        <v/>
      </c>
      <c r="AN52" s="1209" t="str">
        <f t="shared" si="212"/>
        <v/>
      </c>
      <c r="AO52" s="1209" t="str">
        <f t="shared" si="212"/>
        <v/>
      </c>
      <c r="AP52" s="1210" t="str">
        <f t="shared" si="209"/>
        <v/>
      </c>
      <c r="AQ52" s="1209" t="str">
        <f t="shared" si="209"/>
        <v/>
      </c>
      <c r="AR52" s="1209" t="str">
        <f t="shared" si="209"/>
        <v/>
      </c>
      <c r="AS52" s="1209" t="str">
        <f t="shared" si="209"/>
        <v/>
      </c>
      <c r="AT52" s="1210" t="str">
        <f t="shared" si="204"/>
        <v/>
      </c>
      <c r="AU52" s="1209" t="str">
        <f t="shared" si="204"/>
        <v/>
      </c>
      <c r="AV52" s="1209" t="str">
        <f t="shared" si="204"/>
        <v/>
      </c>
      <c r="AW52" s="1209" t="str">
        <f t="shared" si="204"/>
        <v/>
      </c>
      <c r="AX52" s="1210" t="str">
        <f t="shared" si="204"/>
        <v/>
      </c>
      <c r="AY52" s="1209" t="str">
        <f t="shared" ref="AY52:BB52" si="213">IF(ISBLANK(AY195),"",AY195)</f>
        <v/>
      </c>
      <c r="AZ52" s="1209" t="str">
        <f t="shared" si="213"/>
        <v/>
      </c>
      <c r="BA52" s="1209" t="str">
        <f t="shared" si="213"/>
        <v/>
      </c>
      <c r="BB52" s="1210" t="str">
        <f t="shared" si="213"/>
        <v/>
      </c>
      <c r="BC52" s="1211"/>
      <c r="BD52" s="1211"/>
      <c r="BE52" s="1269"/>
      <c r="BF52" s="1269"/>
      <c r="BG52" s="1269"/>
      <c r="BH52" s="1273"/>
      <c r="BI52" s="1273"/>
      <c r="BJ52" s="1273"/>
      <c r="BK52" s="1273"/>
      <c r="BL52" s="1273"/>
      <c r="BM52" s="1273"/>
      <c r="BN52" s="1273"/>
      <c r="BO52" s="1273"/>
      <c r="BP52" s="1273"/>
      <c r="BQ52" s="1205"/>
      <c r="BR52" s="1226"/>
      <c r="BU52" s="1186"/>
      <c r="BV52" s="1223" t="s">
        <v>459</v>
      </c>
      <c r="BW52" s="1396"/>
      <c r="BX52" s="1396">
        <f>+BX38-BX45</f>
        <v>2717.1068103108046</v>
      </c>
      <c r="BZ52" s="2042"/>
      <c r="CA52" s="2042"/>
      <c r="CB52" s="481"/>
      <c r="CC52" s="481"/>
      <c r="CD52" s="481"/>
      <c r="CE52" s="481"/>
      <c r="CF52" s="2045"/>
      <c r="CG52" s="2045"/>
      <c r="CH52" s="2045"/>
      <c r="CI52" s="2045"/>
      <c r="CJ52" s="2045"/>
      <c r="CK52" s="2045"/>
      <c r="CL52" s="2045"/>
      <c r="CM52" s="2045"/>
      <c r="CN52" s="2045"/>
      <c r="CO52" s="2045"/>
      <c r="CP52" s="2045"/>
      <c r="CQ52" s="2045"/>
      <c r="CR52" s="2045"/>
      <c r="CS52" s="2045"/>
      <c r="CT52" s="2045"/>
      <c r="CU52" s="2042"/>
      <c r="CV52" s="2042"/>
      <c r="CW52" s="2042"/>
      <c r="CX52" s="2042"/>
      <c r="CY52"/>
      <c r="CZ52"/>
    </row>
    <row r="53" spans="1:104" ht="13.5" customHeight="1">
      <c r="A53" s="1187"/>
      <c r="B53" s="1619"/>
      <c r="C53" s="1621" t="str">
        <f t="shared" si="140"/>
        <v>Mass Hub / Transco Z6</v>
      </c>
      <c r="D53" s="1621" t="str">
        <f t="shared" si="140"/>
        <v/>
      </c>
      <c r="E53" s="1621" t="str">
        <f t="shared" si="140"/>
        <v/>
      </c>
      <c r="F53" s="1563"/>
      <c r="G53" s="1562">
        <f t="shared" si="207"/>
        <v>0.92945833333333372</v>
      </c>
      <c r="H53" s="1560">
        <f t="shared" ref="H53:AK53" si="214">IF(ISBLANK(H196),"",H196)</f>
        <v>0.36958730158730102</v>
      </c>
      <c r="I53" s="1560">
        <f t="shared" si="214"/>
        <v>0.37103124999999881</v>
      </c>
      <c r="J53" s="1561">
        <f t="shared" si="214"/>
        <v>2.0107384615384656</v>
      </c>
      <c r="K53" s="1562">
        <f t="shared" si="214"/>
        <v>2.7836406250000012</v>
      </c>
      <c r="L53" s="1560">
        <f t="shared" si="214"/>
        <v>0.38664062500000007</v>
      </c>
      <c r="M53" s="1560">
        <f t="shared" si="214"/>
        <v>0.58382812500000192</v>
      </c>
      <c r="N53" s="1561">
        <f t="shared" si="214"/>
        <v>0.35206349206349286</v>
      </c>
      <c r="O53" s="1562">
        <f t="shared" si="214"/>
        <v>0.80777777777777793</v>
      </c>
      <c r="P53" s="1560">
        <f t="shared" si="214"/>
        <v>0.20609523809523767</v>
      </c>
      <c r="Q53" s="1560">
        <f t="shared" si="214"/>
        <v>0.18090476190476101</v>
      </c>
      <c r="R53" s="1560">
        <f t="shared" si="214"/>
        <v>0.52926562499999807</v>
      </c>
      <c r="S53" s="1208">
        <f t="shared" si="214"/>
        <v>4.3436166666666658</v>
      </c>
      <c r="T53" s="1209">
        <f t="shared" si="214"/>
        <v>0.30776562499999827</v>
      </c>
      <c r="U53" s="1209">
        <f t="shared" si="214"/>
        <v>0.20923437499999897</v>
      </c>
      <c r="V53" s="1210">
        <f t="shared" si="214"/>
        <v>0.48042187499999889</v>
      </c>
      <c r="W53" s="1209">
        <f t="shared" si="214"/>
        <v>11.865918032786885</v>
      </c>
      <c r="X53" s="1209">
        <f t="shared" si="214"/>
        <v>-0.87728124999999935</v>
      </c>
      <c r="Y53" s="1209">
        <f t="shared" si="214"/>
        <v>-1.3732187500000017</v>
      </c>
      <c r="Z53" s="1210">
        <f t="shared" si="214"/>
        <v>-0.57965624999999754</v>
      </c>
      <c r="AA53" s="1209">
        <f t="shared" si="214"/>
        <v>6.0189193548387117</v>
      </c>
      <c r="AB53" s="1209">
        <f t="shared" si="214"/>
        <v>-0.25368253968253818</v>
      </c>
      <c r="AC53" s="1209">
        <f t="shared" si="214"/>
        <v>-0.4931562499999993</v>
      </c>
      <c r="AD53" s="1210">
        <f t="shared" si="214"/>
        <v>-0.2235238095238099</v>
      </c>
      <c r="AE53" s="1209">
        <f t="shared" si="214"/>
        <v>0.49621311475409802</v>
      </c>
      <c r="AF53" s="1209">
        <f t="shared" si="214"/>
        <v>-0.43893749999999998</v>
      </c>
      <c r="AG53" s="1209">
        <f t="shared" si="214"/>
        <v>-0.95798437499999922</v>
      </c>
      <c r="AH53" s="1210">
        <f t="shared" si="214"/>
        <v>-0.3514999999999997</v>
      </c>
      <c r="AI53" s="1209">
        <f t="shared" si="214"/>
        <v>0.30054838709677556</v>
      </c>
      <c r="AJ53" s="1209">
        <f t="shared" si="214"/>
        <v>-0.38845312499999896</v>
      </c>
      <c r="AK53" s="1209">
        <f t="shared" si="214"/>
        <v>-0.54298412698412557</v>
      </c>
      <c r="AL53" s="1210">
        <f t="shared" si="208"/>
        <v>0.63106451612903358</v>
      </c>
      <c r="AM53" s="1209">
        <f t="shared" si="212"/>
        <v>4.698950819672131</v>
      </c>
      <c r="AN53" s="1209">
        <f t="shared" si="212"/>
        <v>-0.19166666666666643</v>
      </c>
      <c r="AO53" s="1209">
        <f t="shared" si="212"/>
        <v>-0.30999999999999961</v>
      </c>
      <c r="AP53" s="1210">
        <f t="shared" si="209"/>
        <v>0.25666666666666638</v>
      </c>
      <c r="AQ53" s="1209">
        <f t="shared" si="209"/>
        <v>1.637734667576852</v>
      </c>
      <c r="AR53" s="1209">
        <f t="shared" si="209"/>
        <v>-0.69677150590554215</v>
      </c>
      <c r="AS53" s="1209">
        <f t="shared" si="209"/>
        <v>-0.82532002718121711</v>
      </c>
      <c r="AT53" s="1210">
        <f t="shared" si="204"/>
        <v>1.5445568651099078</v>
      </c>
      <c r="AU53" s="1209">
        <f t="shared" si="204"/>
        <v>1.6691288195742207</v>
      </c>
      <c r="AV53" s="1209">
        <f t="shared" si="204"/>
        <v>-0.704374459769459</v>
      </c>
      <c r="AW53" s="1209">
        <f t="shared" si="204"/>
        <v>-0.83498911122825525</v>
      </c>
      <c r="AX53" s="1210">
        <f t="shared" ref="AX53" si="215">IF(ISBLANK(AX196),"",AX196)</f>
        <v>1.5745847514234943</v>
      </c>
      <c r="AY53" s="1209">
        <f t="shared" ref="AY53:BB53" si="216">IF(ISBLANK(AY196),"",AY196)</f>
        <v>1.7632770950378909</v>
      </c>
      <c r="AZ53" s="1209">
        <f t="shared" si="216"/>
        <v>-0.69298925565485447</v>
      </c>
      <c r="BA53" s="1209">
        <f t="shared" si="216"/>
        <v>-0.82743500086795607</v>
      </c>
      <c r="BB53" s="1210">
        <f t="shared" si="216"/>
        <v>1.6671304946849221</v>
      </c>
      <c r="BC53" s="1211"/>
      <c r="BD53" s="1211"/>
      <c r="BE53" s="1269">
        <f t="shared" ref="BE53:BE68" si="217">AVERAGE(G53:J53)</f>
        <v>0.92020383661477478</v>
      </c>
      <c r="BF53" s="1269">
        <f t="shared" ref="BF53:BF68" si="218">AVERAGE(K53:N53)</f>
        <v>1.0265432167658739</v>
      </c>
      <c r="BG53" s="1269">
        <f t="shared" ref="BG53:BG68" si="219">AVERAGE(O53:R53)</f>
        <v>0.43101085069444367</v>
      </c>
      <c r="BH53" s="1273">
        <f t="shared" ref="BH53:BH68" si="220">AVERAGE(S53:V53)</f>
        <v>1.3352596354166657</v>
      </c>
      <c r="BI53" s="1273">
        <f t="shared" ref="BI53:BI68" si="221">AVERAGE(W53:Z53)</f>
        <v>2.2589404456967217</v>
      </c>
      <c r="BJ53" s="1273">
        <f t="shared" ref="BJ53:BJ68" si="222">AVERAGE(AA53:AD53)</f>
        <v>1.2621391889080911</v>
      </c>
      <c r="BK53" s="1273">
        <f t="shared" ref="BK53:BK68" si="223">AVERAGE(AE53:AH53)</f>
        <v>-0.31305219006147522</v>
      </c>
      <c r="BL53" s="1273">
        <f t="shared" ref="BL53:BL68" si="224">AVERAGE(AI53:AL53)</f>
        <v>4.3912810421153914E-5</v>
      </c>
      <c r="BM53" s="1273">
        <f t="shared" ref="BM53:BM68" si="225">AVERAGE(AM53:AP53)</f>
        <v>1.113487704918033</v>
      </c>
      <c r="BN53" s="1273">
        <f t="shared" ref="BN53:BN68" si="226">AVERAGE(AQ53:AT53)</f>
        <v>0.41504999990000013</v>
      </c>
      <c r="BO53" s="1273">
        <f t="shared" ref="BO53:BO68" si="227">AVERAGE(AU53:AX53)</f>
        <v>0.42608750000000017</v>
      </c>
      <c r="BP53" s="1273">
        <f t="shared" ref="BP53:BP68" si="228">AVERAGE(AY53:BB53)</f>
        <v>0.47749583330000062</v>
      </c>
      <c r="BQ53" s="1205"/>
      <c r="BR53" s="1606"/>
      <c r="BS53" s="1605"/>
      <c r="BU53" s="1186"/>
      <c r="BV53" s="1223" t="s">
        <v>202</v>
      </c>
      <c r="BW53" s="1396"/>
      <c r="BX53" s="1396">
        <f>+BX39-BX46</f>
        <v>3156.5284671448389</v>
      </c>
      <c r="BZ53" s="2042">
        <v>1</v>
      </c>
      <c r="CA53" s="2042" t="s">
        <v>1380</v>
      </c>
      <c r="CB53" s="2045">
        <f t="shared" ref="CB53:CI53" si="229">CC53-0.25</f>
        <v>0</v>
      </c>
      <c r="CC53" s="2045">
        <f t="shared" si="229"/>
        <v>0.25</v>
      </c>
      <c r="CD53" s="2045">
        <f t="shared" si="229"/>
        <v>0.5</v>
      </c>
      <c r="CE53" s="2045">
        <f t="shared" si="229"/>
        <v>0.75</v>
      </c>
      <c r="CF53" s="2045">
        <f t="shared" si="229"/>
        <v>1</v>
      </c>
      <c r="CG53" s="2045">
        <f t="shared" si="229"/>
        <v>1.25</v>
      </c>
      <c r="CH53" s="2045">
        <f t="shared" si="229"/>
        <v>1.5</v>
      </c>
      <c r="CI53" s="2045">
        <f t="shared" si="229"/>
        <v>1.75</v>
      </c>
      <c r="CJ53" s="2045">
        <v>2</v>
      </c>
      <c r="CK53" s="2045">
        <f t="shared" ref="CK53:CZ53" si="230">CJ53+0.25</f>
        <v>2.25</v>
      </c>
      <c r="CL53" s="2045">
        <f t="shared" si="230"/>
        <v>2.5</v>
      </c>
      <c r="CM53" s="2045">
        <f t="shared" si="230"/>
        <v>2.75</v>
      </c>
      <c r="CN53" s="2045">
        <f t="shared" si="230"/>
        <v>3</v>
      </c>
      <c r="CO53" s="2045">
        <f t="shared" si="230"/>
        <v>3.25</v>
      </c>
      <c r="CP53" s="2045">
        <f t="shared" si="230"/>
        <v>3.5</v>
      </c>
      <c r="CQ53" s="2045">
        <f t="shared" si="230"/>
        <v>3.75</v>
      </c>
      <c r="CR53" s="2045">
        <f t="shared" si="230"/>
        <v>4</v>
      </c>
      <c r="CS53" s="2045">
        <f t="shared" si="230"/>
        <v>4.25</v>
      </c>
      <c r="CT53" s="2045">
        <f t="shared" si="230"/>
        <v>4.5</v>
      </c>
      <c r="CU53" s="2045">
        <f t="shared" si="230"/>
        <v>4.75</v>
      </c>
      <c r="CV53" s="2045">
        <f t="shared" si="230"/>
        <v>5</v>
      </c>
      <c r="CW53" s="2045">
        <f t="shared" si="230"/>
        <v>5.25</v>
      </c>
      <c r="CX53" s="2045">
        <f t="shared" si="230"/>
        <v>5.5</v>
      </c>
      <c r="CY53" s="2045">
        <f t="shared" si="230"/>
        <v>5.75</v>
      </c>
      <c r="CZ53" s="2045">
        <f t="shared" si="230"/>
        <v>6</v>
      </c>
    </row>
    <row r="54" spans="1:104" ht="13.5" customHeight="1">
      <c r="A54" s="1187"/>
      <c r="B54" s="1619"/>
      <c r="C54" s="1621" t="str">
        <f t="shared" si="140"/>
        <v>NY Zone A / Tetco M3</v>
      </c>
      <c r="D54" s="1621" t="str">
        <f t="shared" si="140"/>
        <v/>
      </c>
      <c r="E54" s="1621" t="str">
        <f t="shared" si="140"/>
        <v/>
      </c>
      <c r="F54" s="1563"/>
      <c r="G54" s="1562">
        <f t="shared" si="207"/>
        <v>0.61162500000000009</v>
      </c>
      <c r="H54" s="1560">
        <f t="shared" ref="H54:AK54" si="231">IF(ISBLANK(H197),"",H197)</f>
        <v>0.34730158730158944</v>
      </c>
      <c r="I54" s="1560">
        <f t="shared" si="231"/>
        <v>0.35659375000000004</v>
      </c>
      <c r="J54" s="1561">
        <f t="shared" si="231"/>
        <v>1.4691538461538483</v>
      </c>
      <c r="K54" s="1562">
        <f t="shared" si="231"/>
        <v>1.7646250000000014</v>
      </c>
      <c r="L54" s="1560">
        <f t="shared" si="231"/>
        <v>0.28798437500000063</v>
      </c>
      <c r="M54" s="1560">
        <f t="shared" si="231"/>
        <v>0.25414062500000068</v>
      </c>
      <c r="N54" s="1561">
        <f t="shared" si="231"/>
        <v>0.24365079365079412</v>
      </c>
      <c r="O54" s="1562">
        <f t="shared" si="231"/>
        <v>0.31452380952380965</v>
      </c>
      <c r="P54" s="1560">
        <f t="shared" si="231"/>
        <v>0.1599206349206348</v>
      </c>
      <c r="Q54" s="1560">
        <f t="shared" si="231"/>
        <v>0.16882539682539655</v>
      </c>
      <c r="R54" s="1560">
        <f t="shared" si="231"/>
        <v>0.26892187499999887</v>
      </c>
      <c r="S54" s="1208">
        <f t="shared" si="231"/>
        <v>0.819599999999999</v>
      </c>
      <c r="T54" s="1209">
        <f t="shared" si="231"/>
        <v>0.11882812499999851</v>
      </c>
      <c r="U54" s="1209">
        <f t="shared" si="231"/>
        <v>-1.3265625000001169E-2</v>
      </c>
      <c r="V54" s="1210">
        <f t="shared" si="231"/>
        <v>0.14118750000000091</v>
      </c>
      <c r="W54" s="1209">
        <f t="shared" si="231"/>
        <v>7.5181639344262283</v>
      </c>
      <c r="X54" s="1209">
        <f t="shared" si="231"/>
        <v>-0.89420312500000065</v>
      </c>
      <c r="Y54" s="1209">
        <f t="shared" si="231"/>
        <v>-1.4395156250000012</v>
      </c>
      <c r="Z54" s="1210">
        <f t="shared" si="231"/>
        <v>-1.017578125</v>
      </c>
      <c r="AA54" s="1209">
        <f t="shared" si="231"/>
        <v>3.554258064516127</v>
      </c>
      <c r="AB54" s="1209">
        <f t="shared" si="231"/>
        <v>-1.1179206349206339</v>
      </c>
      <c r="AC54" s="1209">
        <f t="shared" si="231"/>
        <v>-1.3916093749999998</v>
      </c>
      <c r="AD54" s="1210">
        <f t="shared" si="231"/>
        <v>-0.84366666666666723</v>
      </c>
      <c r="AE54" s="1209">
        <f t="shared" si="231"/>
        <v>-0.15401639344262286</v>
      </c>
      <c r="AF54" s="1209">
        <f t="shared" si="231"/>
        <v>-0.55339062499999958</v>
      </c>
      <c r="AG54" s="1209">
        <f t="shared" si="231"/>
        <v>-1.5273593749999999</v>
      </c>
      <c r="AH54" s="1210">
        <f t="shared" si="231"/>
        <v>-0.79788709677419334</v>
      </c>
      <c r="AI54" s="1209">
        <f t="shared" si="231"/>
        <v>-1.6838709677418517E-2</v>
      </c>
      <c r="AJ54" s="1209">
        <f t="shared" si="231"/>
        <v>-0.56160937500000019</v>
      </c>
      <c r="AK54" s="1209">
        <f t="shared" si="231"/>
        <v>-1.2109841269841268</v>
      </c>
      <c r="AL54" s="1210">
        <f t="shared" si="208"/>
        <v>-0.13975806451612982</v>
      </c>
      <c r="AM54" s="1209">
        <f t="shared" si="212"/>
        <v>3.4441967213114757</v>
      </c>
      <c r="AN54" s="1209">
        <f t="shared" si="212"/>
        <v>-0.46333333333333293</v>
      </c>
      <c r="AO54" s="1209">
        <f t="shared" si="212"/>
        <v>-0.59499999999999975</v>
      </c>
      <c r="AP54" s="1210">
        <f t="shared" si="209"/>
        <v>-0.21666666666666679</v>
      </c>
      <c r="AQ54" s="1209">
        <f t="shared" si="209"/>
        <v>0.74457975965344758</v>
      </c>
      <c r="AR54" s="1209">
        <f t="shared" si="209"/>
        <v>-0.76430483819771866</v>
      </c>
      <c r="AS54" s="1209">
        <f t="shared" si="209"/>
        <v>-0.78296558457066712</v>
      </c>
      <c r="AT54" s="1210">
        <f t="shared" si="204"/>
        <v>0.8235214539149398</v>
      </c>
      <c r="AU54" s="1209">
        <f t="shared" si="204"/>
        <v>0.64485745238273218</v>
      </c>
      <c r="AV54" s="1209">
        <f t="shared" si="204"/>
        <v>-0.82982612063011629</v>
      </c>
      <c r="AW54" s="1209">
        <f t="shared" si="204"/>
        <v>-0.84922019602346377</v>
      </c>
      <c r="AX54" s="1210">
        <f t="shared" ref="AX54" si="232">IF(ISBLANK(AX197),"",AX197)</f>
        <v>0.71921711267084909</v>
      </c>
      <c r="AY54" s="1209">
        <f t="shared" ref="AY54:BB54" si="233">IF(ISBLANK(AY197),"",AY197)</f>
        <v>0.64402689825038939</v>
      </c>
      <c r="AZ54" s="1209">
        <f t="shared" si="233"/>
        <v>-0.85250267876937125</v>
      </c>
      <c r="BA54" s="1209">
        <f t="shared" si="233"/>
        <v>-0.87232898455971686</v>
      </c>
      <c r="BB54" s="1210">
        <f t="shared" si="233"/>
        <v>0.71913809827870034</v>
      </c>
      <c r="BC54" s="1211"/>
      <c r="BD54" s="1211"/>
      <c r="BE54" s="1269">
        <f t="shared" si="217"/>
        <v>0.69616854586385946</v>
      </c>
      <c r="BF54" s="1269">
        <f t="shared" si="218"/>
        <v>0.63760019841269922</v>
      </c>
      <c r="BG54" s="1269">
        <f t="shared" si="219"/>
        <v>0.22804792906745996</v>
      </c>
      <c r="BH54" s="1273">
        <f t="shared" si="220"/>
        <v>0.26658749999999931</v>
      </c>
      <c r="BI54" s="1273">
        <f t="shared" si="221"/>
        <v>1.0417167648565566</v>
      </c>
      <c r="BJ54" s="1273">
        <f t="shared" si="222"/>
        <v>5.0265346982206582E-2</v>
      </c>
      <c r="BK54" s="1273">
        <f t="shared" si="223"/>
        <v>-0.75816337255420385</v>
      </c>
      <c r="BL54" s="1273">
        <f t="shared" si="224"/>
        <v>-0.48229756904441884</v>
      </c>
      <c r="BM54" s="1273">
        <f t="shared" si="225"/>
        <v>0.54229918032786906</v>
      </c>
      <c r="BN54" s="1273">
        <f t="shared" si="226"/>
        <v>5.2076977000004021E-3</v>
      </c>
      <c r="BO54" s="1273">
        <f t="shared" si="227"/>
        <v>-7.8742937899999699E-2</v>
      </c>
      <c r="BP54" s="1273">
        <f t="shared" si="228"/>
        <v>-9.0416666699999593E-2</v>
      </c>
      <c r="BQ54" s="1205"/>
      <c r="BR54" s="1206"/>
      <c r="BU54" s="1186"/>
      <c r="BV54" s="1223" t="s">
        <v>479</v>
      </c>
      <c r="BW54" s="1396"/>
      <c r="BX54" s="1396">
        <f>+BX40-BX47</f>
        <v>3621.7063376001752</v>
      </c>
      <c r="BZ54" s="2042">
        <v>2</v>
      </c>
      <c r="CA54" s="2046" t="s">
        <v>433</v>
      </c>
      <c r="CB54" s="2048">
        <f>AVERAGE(CB46:$CR46)</f>
        <v>0.43235294117647055</v>
      </c>
      <c r="CC54" s="2048">
        <f>AVERAGE(CC46:$CR46)</f>
        <v>0.44062499999999999</v>
      </c>
      <c r="CD54" s="2048">
        <f>AVERAGE(CD46:$CR46)</f>
        <v>0.45</v>
      </c>
      <c r="CE54" s="2048">
        <f>AVERAGE(CE46:$CR46)</f>
        <v>0.46071428571428574</v>
      </c>
      <c r="CF54" s="2048">
        <f>AVERAGE(CF46:$CR46)</f>
        <v>0.46923076923076928</v>
      </c>
      <c r="CG54" s="2048">
        <f>AVERAGE(CG46:$CR46)</f>
        <v>0.47916666666666669</v>
      </c>
      <c r="CH54" s="2048">
        <f>AVERAGE(CH46:$CR46)</f>
        <v>0.49090909090909096</v>
      </c>
      <c r="CI54" s="2048">
        <f>AVERAGE(CI46:$CR46)</f>
        <v>0.5</v>
      </c>
      <c r="CJ54" s="2048">
        <f>AVERAGE(CJ46:$CR46)</f>
        <v>0.51111111111111107</v>
      </c>
      <c r="CK54" s="2048">
        <f>AVERAGE(CK46:$CR46)</f>
        <v>0.52500000000000002</v>
      </c>
      <c r="CL54" s="2048">
        <f>AVERAGE(CL46:$CR46)</f>
        <v>0.5357142857142857</v>
      </c>
      <c r="CM54" s="2048">
        <f>AVERAGE(CM46:$CR46)</f>
        <v>0.54999999999999993</v>
      </c>
      <c r="CN54" s="2048">
        <f>AVERAGE(CN46:$CR46)</f>
        <v>0.55999999999999994</v>
      </c>
      <c r="CO54" s="2048">
        <f>AVERAGE(CO46:$CR46)</f>
        <v>0.57499999999999996</v>
      </c>
      <c r="CP54" s="2048">
        <f>AVERAGE(CP46:$CR46)</f>
        <v>0.6</v>
      </c>
      <c r="CQ54" s="2048">
        <f>AVERAGE(CQ46:$CR46)</f>
        <v>0.625</v>
      </c>
      <c r="CR54" s="2048">
        <f>AVERAGE($CR46:CR46)</f>
        <v>0.65</v>
      </c>
      <c r="CS54" s="2048">
        <f>AVERAGE($CR46:CS46)</f>
        <v>0.65</v>
      </c>
      <c r="CT54" s="2048">
        <f>AVERAGE($CR46:CT46)</f>
        <v>0.65</v>
      </c>
      <c r="CU54" s="2048">
        <f>AVERAGE($CR46:CU46)</f>
        <v>0.65</v>
      </c>
      <c r="CV54" s="2048">
        <f>AVERAGE($CR46:CV46)</f>
        <v>0.65</v>
      </c>
      <c r="CW54" s="2048">
        <f>AVERAGE($CR46:CW46)</f>
        <v>0.65</v>
      </c>
      <c r="CX54" s="2048">
        <f>AVERAGE($CR46:CX46)</f>
        <v>0.65</v>
      </c>
      <c r="CY54" s="2048">
        <f>AVERAGE($CR46:CY46)</f>
        <v>0.65</v>
      </c>
      <c r="CZ54" s="2048">
        <f>AVERAGE($CR46:CZ46)</f>
        <v>0.65</v>
      </c>
    </row>
    <row r="55" spans="1:104" ht="12.75" customHeight="1">
      <c r="A55" s="1187"/>
      <c r="B55" s="1619"/>
      <c r="C55" s="1621" t="str">
        <f t="shared" ref="C55:E58" si="234">IF(ISBLANK(C198),"",C198)</f>
        <v>NY Zone G / Transco Z6</v>
      </c>
      <c r="D55" s="1621" t="str">
        <f t="shared" si="234"/>
        <v/>
      </c>
      <c r="E55" s="1621" t="str">
        <f t="shared" si="234"/>
        <v/>
      </c>
      <c r="F55" s="1563"/>
      <c r="G55" s="1562">
        <f t="shared" si="207"/>
        <v>0.92945833333333372</v>
      </c>
      <c r="H55" s="1560">
        <f t="shared" ref="H55:AK55" si="235">IF(ISBLANK(H198),"",H198)</f>
        <v>0.36958730158730102</v>
      </c>
      <c r="I55" s="1560">
        <f t="shared" si="235"/>
        <v>0.37103124999999881</v>
      </c>
      <c r="J55" s="1561">
        <f t="shared" si="235"/>
        <v>2.0107384615384656</v>
      </c>
      <c r="K55" s="1562">
        <f t="shared" si="235"/>
        <v>2.7836406250000012</v>
      </c>
      <c r="L55" s="1560">
        <f t="shared" si="235"/>
        <v>0.38664062500000007</v>
      </c>
      <c r="M55" s="1560">
        <f t="shared" si="235"/>
        <v>0.58382812500000192</v>
      </c>
      <c r="N55" s="1561">
        <f t="shared" si="235"/>
        <v>0.35206349206349286</v>
      </c>
      <c r="O55" s="1562">
        <f t="shared" si="235"/>
        <v>0.80777777777777793</v>
      </c>
      <c r="P55" s="1560">
        <f t="shared" si="235"/>
        <v>0.20609523809523767</v>
      </c>
      <c r="Q55" s="1560">
        <f t="shared" si="235"/>
        <v>0.18090476190476101</v>
      </c>
      <c r="R55" s="1560">
        <f t="shared" si="235"/>
        <v>0.52926562499999807</v>
      </c>
      <c r="S55" s="1208">
        <f t="shared" si="235"/>
        <v>4.3436166666666658</v>
      </c>
      <c r="T55" s="1209">
        <f t="shared" si="235"/>
        <v>0.30776562499999827</v>
      </c>
      <c r="U55" s="1209">
        <f t="shared" si="235"/>
        <v>0.20923437499999897</v>
      </c>
      <c r="V55" s="1210">
        <f t="shared" si="235"/>
        <v>0.48042187499999889</v>
      </c>
      <c r="W55" s="1209">
        <f t="shared" si="235"/>
        <v>11.865918032786885</v>
      </c>
      <c r="X55" s="1209">
        <f t="shared" si="235"/>
        <v>-0.87728124999999935</v>
      </c>
      <c r="Y55" s="1209">
        <f t="shared" si="235"/>
        <v>-1.3732187500000017</v>
      </c>
      <c r="Z55" s="1210">
        <f t="shared" si="235"/>
        <v>-0.57965624999999754</v>
      </c>
      <c r="AA55" s="1209">
        <f t="shared" si="235"/>
        <v>6.0189193548387117</v>
      </c>
      <c r="AB55" s="1209">
        <f t="shared" si="235"/>
        <v>-0.25368253968253818</v>
      </c>
      <c r="AC55" s="1209">
        <f t="shared" si="235"/>
        <v>-0.4931562499999993</v>
      </c>
      <c r="AD55" s="1210">
        <f t="shared" si="235"/>
        <v>-0.2235238095238099</v>
      </c>
      <c r="AE55" s="1209">
        <f t="shared" si="235"/>
        <v>0.49621311475409802</v>
      </c>
      <c r="AF55" s="1209">
        <f t="shared" si="235"/>
        <v>-0.43893749999999998</v>
      </c>
      <c r="AG55" s="1209">
        <f t="shared" si="235"/>
        <v>-0.95798437499999922</v>
      </c>
      <c r="AH55" s="1210">
        <f t="shared" si="235"/>
        <v>-0.3514999999999997</v>
      </c>
      <c r="AI55" s="1209">
        <f t="shared" si="235"/>
        <v>0.30054838709677556</v>
      </c>
      <c r="AJ55" s="1209">
        <f t="shared" si="235"/>
        <v>-0.38845312499999896</v>
      </c>
      <c r="AK55" s="1209">
        <f t="shared" si="235"/>
        <v>-0.54298412698412557</v>
      </c>
      <c r="AL55" s="1210">
        <f t="shared" si="208"/>
        <v>0.63106451612903358</v>
      </c>
      <c r="AM55" s="1209">
        <f t="shared" si="212"/>
        <v>4.698950819672131</v>
      </c>
      <c r="AN55" s="1209">
        <f t="shared" si="212"/>
        <v>-0.19166666666666643</v>
      </c>
      <c r="AO55" s="1209">
        <f t="shared" si="212"/>
        <v>-0.30999999999999961</v>
      </c>
      <c r="AP55" s="1210">
        <f t="shared" si="209"/>
        <v>0.25666666666666638</v>
      </c>
      <c r="AQ55" s="1209">
        <f t="shared" si="209"/>
        <v>1.637734667576852</v>
      </c>
      <c r="AR55" s="1209">
        <f t="shared" si="209"/>
        <v>-0.69677150590554215</v>
      </c>
      <c r="AS55" s="1209">
        <f t="shared" si="209"/>
        <v>-0.82532002718121711</v>
      </c>
      <c r="AT55" s="1210">
        <f t="shared" si="204"/>
        <v>1.5445568651099078</v>
      </c>
      <c r="AU55" s="1209">
        <f t="shared" si="204"/>
        <v>1.6691288195742207</v>
      </c>
      <c r="AV55" s="1209">
        <f t="shared" si="204"/>
        <v>-0.704374459769459</v>
      </c>
      <c r="AW55" s="1209">
        <f t="shared" si="204"/>
        <v>-0.83498911122825525</v>
      </c>
      <c r="AX55" s="1210">
        <f t="shared" ref="AX55" si="236">IF(ISBLANK(AX198),"",AX198)</f>
        <v>1.5745847514234943</v>
      </c>
      <c r="AY55" s="1209">
        <f t="shared" ref="AY55:BB55" si="237">IF(ISBLANK(AY198),"",AY198)</f>
        <v>1.7632770950378909</v>
      </c>
      <c r="AZ55" s="1209">
        <f t="shared" si="237"/>
        <v>-0.69298925565485447</v>
      </c>
      <c r="BA55" s="1209">
        <f t="shared" si="237"/>
        <v>-0.82743500086795607</v>
      </c>
      <c r="BB55" s="1210">
        <f t="shared" si="237"/>
        <v>1.6671304946849221</v>
      </c>
      <c r="BC55" s="1211"/>
      <c r="BD55" s="1211"/>
      <c r="BE55" s="1269">
        <f t="shared" si="217"/>
        <v>0.92020383661477478</v>
      </c>
      <c r="BF55" s="1269">
        <f t="shared" si="218"/>
        <v>1.0265432167658739</v>
      </c>
      <c r="BG55" s="1269">
        <f t="shared" si="219"/>
        <v>0.43101085069444367</v>
      </c>
      <c r="BH55" s="1273">
        <f t="shared" si="220"/>
        <v>1.3352596354166657</v>
      </c>
      <c r="BI55" s="1273">
        <f t="shared" si="221"/>
        <v>2.2589404456967217</v>
      </c>
      <c r="BJ55" s="1273">
        <f t="shared" si="222"/>
        <v>1.2621391889080911</v>
      </c>
      <c r="BK55" s="1273">
        <f t="shared" si="223"/>
        <v>-0.31305219006147522</v>
      </c>
      <c r="BL55" s="1273">
        <f t="shared" si="224"/>
        <v>4.3912810421153914E-5</v>
      </c>
      <c r="BM55" s="1273">
        <f t="shared" si="225"/>
        <v>1.113487704918033</v>
      </c>
      <c r="BN55" s="1273">
        <f t="shared" si="226"/>
        <v>0.41504999990000013</v>
      </c>
      <c r="BO55" s="1273">
        <f t="shared" si="227"/>
        <v>0.42608750000000017</v>
      </c>
      <c r="BP55" s="1273">
        <f t="shared" si="228"/>
        <v>0.47749583330000062</v>
      </c>
      <c r="BQ55" s="1205"/>
      <c r="BR55" s="1206"/>
      <c r="BU55" s="1186"/>
      <c r="BV55" s="1551"/>
      <c r="BW55" s="1551"/>
      <c r="BX55" s="1551"/>
      <c r="BZ55" s="2042">
        <v>3</v>
      </c>
      <c r="CA55" s="2046" t="s">
        <v>1207</v>
      </c>
      <c r="CB55" s="2048">
        <f>AVERAGE(CB47:$CR47)</f>
        <v>0.55294117647058827</v>
      </c>
      <c r="CC55" s="2048">
        <f>AVERAGE(CC47:$CR47)</f>
        <v>0.56562500000000004</v>
      </c>
      <c r="CD55" s="2048">
        <f>AVERAGE(CD47:$CR47)</f>
        <v>0.57999999999999996</v>
      </c>
      <c r="CE55" s="2048">
        <f>AVERAGE(CE47:$CR47)</f>
        <v>0.59642857142857153</v>
      </c>
      <c r="CF55" s="2048">
        <f>AVERAGE(CF47:$CR47)</f>
        <v>0.61538461538461542</v>
      </c>
      <c r="CG55" s="2048">
        <f>AVERAGE(CG47:$CR47)</f>
        <v>0.6333333333333333</v>
      </c>
      <c r="CH55" s="2048">
        <f>AVERAGE(CH47:$CR47)</f>
        <v>0.64999999999999991</v>
      </c>
      <c r="CI55" s="2048">
        <f>AVERAGE(CI47:$CR47)</f>
        <v>0.66499999999999992</v>
      </c>
      <c r="CJ55" s="2048">
        <f>AVERAGE(CJ47:$CR47)</f>
        <v>0.68333333333333324</v>
      </c>
      <c r="CK55" s="2048">
        <f>AVERAGE(CK47:$CR47)</f>
        <v>0.7</v>
      </c>
      <c r="CL55" s="2048">
        <f>AVERAGE(CL47:$CR47)</f>
        <v>0.7142857142857143</v>
      </c>
      <c r="CM55" s="2048">
        <f>AVERAGE(CM47:$CR47)</f>
        <v>0.72499999999999998</v>
      </c>
      <c r="CN55" s="2048">
        <f>AVERAGE(CN47:$CR47)</f>
        <v>0.74</v>
      </c>
      <c r="CO55" s="2048">
        <f>AVERAGE(CO47:$CR47)</f>
        <v>0.75</v>
      </c>
      <c r="CP55" s="2048">
        <f>AVERAGE(CP47:$CR47)</f>
        <v>0.75</v>
      </c>
      <c r="CQ55" s="2048">
        <f>AVERAGE(CQ47:$CR47)</f>
        <v>0.75</v>
      </c>
      <c r="CR55" s="2048">
        <f>AVERAGE($CR47:CR47)</f>
        <v>0.75</v>
      </c>
      <c r="CS55" s="2048">
        <f>AVERAGE($CR47:CS47)</f>
        <v>0.75</v>
      </c>
      <c r="CT55" s="2048">
        <f>AVERAGE($CR47:CT47)</f>
        <v>0.76666666666666661</v>
      </c>
      <c r="CU55" s="2048">
        <f>AVERAGE($CR47:CU47)</f>
        <v>0.77499999999999991</v>
      </c>
      <c r="CV55" s="2048">
        <f>AVERAGE($CR47:CV47)</f>
        <v>0.77999999999999992</v>
      </c>
      <c r="CW55" s="2048">
        <f>AVERAGE($CR47:CW47)</f>
        <v>0.78333333333333321</v>
      </c>
      <c r="CX55" s="2048">
        <f>AVERAGE($CR47:CX47)</f>
        <v>0.78571428571428559</v>
      </c>
      <c r="CY55" s="2048">
        <f>AVERAGE($CR47:CY47)</f>
        <v>0.78749999999999987</v>
      </c>
      <c r="CZ55" s="2048">
        <f>AVERAGE($CR47:CZ47)</f>
        <v>0.78888888888888875</v>
      </c>
    </row>
    <row r="56" spans="1:104" ht="12.75" customHeight="1">
      <c r="A56" s="1187"/>
      <c r="B56" s="1619"/>
      <c r="C56" s="1621" t="str">
        <f t="shared" si="234"/>
        <v>NY Zone J / Transco Z6</v>
      </c>
      <c r="D56" s="1621" t="str">
        <f t="shared" si="234"/>
        <v/>
      </c>
      <c r="E56" s="1621" t="str">
        <f t="shared" si="234"/>
        <v/>
      </c>
      <c r="F56" s="1563"/>
      <c r="G56" s="1562">
        <f t="shared" si="207"/>
        <v>0.92945833333333372</v>
      </c>
      <c r="H56" s="1560">
        <f t="shared" ref="H56:AK56" si="238">IF(ISBLANK(H199),"",H199)</f>
        <v>0.36958730158730102</v>
      </c>
      <c r="I56" s="1560">
        <f t="shared" si="238"/>
        <v>0.37103124999999881</v>
      </c>
      <c r="J56" s="1561">
        <f t="shared" si="238"/>
        <v>2.0107384615384656</v>
      </c>
      <c r="K56" s="1562">
        <f t="shared" si="238"/>
        <v>2.7836406250000012</v>
      </c>
      <c r="L56" s="1560">
        <f t="shared" si="238"/>
        <v>0.38664062500000007</v>
      </c>
      <c r="M56" s="1560">
        <f t="shared" si="238"/>
        <v>0.58382812500000192</v>
      </c>
      <c r="N56" s="1561">
        <f t="shared" si="238"/>
        <v>0.35206349206349286</v>
      </c>
      <c r="O56" s="1562">
        <f t="shared" si="238"/>
        <v>0.80777777777777793</v>
      </c>
      <c r="P56" s="1560">
        <f t="shared" si="238"/>
        <v>0.20609523809523767</v>
      </c>
      <c r="Q56" s="1560">
        <f t="shared" si="238"/>
        <v>0.18090476190476101</v>
      </c>
      <c r="R56" s="1560">
        <f t="shared" si="238"/>
        <v>0.52926562499999807</v>
      </c>
      <c r="S56" s="1208">
        <f t="shared" si="238"/>
        <v>4.3436166666666658</v>
      </c>
      <c r="T56" s="1209">
        <f t="shared" si="238"/>
        <v>0.30776562499999827</v>
      </c>
      <c r="U56" s="1209">
        <f t="shared" si="238"/>
        <v>0.20923437499999897</v>
      </c>
      <c r="V56" s="1210">
        <f t="shared" si="238"/>
        <v>0.48042187499999889</v>
      </c>
      <c r="W56" s="1209">
        <f t="shared" si="238"/>
        <v>11.865918032786885</v>
      </c>
      <c r="X56" s="1209">
        <f t="shared" si="238"/>
        <v>-0.87728124999999935</v>
      </c>
      <c r="Y56" s="1209">
        <f t="shared" si="238"/>
        <v>-1.3732187500000017</v>
      </c>
      <c r="Z56" s="1210">
        <f t="shared" si="238"/>
        <v>-0.57965624999999754</v>
      </c>
      <c r="AA56" s="1209">
        <f t="shared" si="238"/>
        <v>6.0189193548387117</v>
      </c>
      <c r="AB56" s="1209">
        <f t="shared" si="238"/>
        <v>-0.25368253968253818</v>
      </c>
      <c r="AC56" s="1209">
        <f t="shared" si="238"/>
        <v>-0.4931562499999993</v>
      </c>
      <c r="AD56" s="1210">
        <f t="shared" si="238"/>
        <v>-0.2235238095238099</v>
      </c>
      <c r="AE56" s="1209">
        <f t="shared" si="238"/>
        <v>0.49621311475409802</v>
      </c>
      <c r="AF56" s="1209">
        <f t="shared" si="238"/>
        <v>-0.43893749999999998</v>
      </c>
      <c r="AG56" s="1209">
        <f t="shared" si="238"/>
        <v>-0.95798437499999922</v>
      </c>
      <c r="AH56" s="1210">
        <f t="shared" si="238"/>
        <v>-0.3514999999999997</v>
      </c>
      <c r="AI56" s="1209">
        <f t="shared" si="238"/>
        <v>0.30054838709677556</v>
      </c>
      <c r="AJ56" s="1209">
        <f t="shared" si="238"/>
        <v>-0.38845312499999896</v>
      </c>
      <c r="AK56" s="1209">
        <f t="shared" si="238"/>
        <v>-0.54298412698412557</v>
      </c>
      <c r="AL56" s="1210">
        <f t="shared" si="208"/>
        <v>0.63106451612903358</v>
      </c>
      <c r="AM56" s="1209">
        <f t="shared" si="212"/>
        <v>4.698950819672131</v>
      </c>
      <c r="AN56" s="1209">
        <f t="shared" si="212"/>
        <v>-0.19166666666666643</v>
      </c>
      <c r="AO56" s="1209">
        <f t="shared" si="212"/>
        <v>-0.30999999999999961</v>
      </c>
      <c r="AP56" s="1210">
        <f t="shared" si="209"/>
        <v>0.25666666666666638</v>
      </c>
      <c r="AQ56" s="1209">
        <f t="shared" si="209"/>
        <v>1.637734667576852</v>
      </c>
      <c r="AR56" s="1209">
        <f t="shared" si="209"/>
        <v>-0.69677150590554215</v>
      </c>
      <c r="AS56" s="1209">
        <f t="shared" si="209"/>
        <v>-0.82532002718121711</v>
      </c>
      <c r="AT56" s="1210">
        <f t="shared" si="204"/>
        <v>1.5445568651099078</v>
      </c>
      <c r="AU56" s="1209">
        <f t="shared" si="204"/>
        <v>1.6691288195742207</v>
      </c>
      <c r="AV56" s="1209">
        <f t="shared" si="204"/>
        <v>-0.704374459769459</v>
      </c>
      <c r="AW56" s="1209">
        <f t="shared" si="204"/>
        <v>-0.83498911122825525</v>
      </c>
      <c r="AX56" s="1210">
        <f t="shared" ref="AX56" si="239">IF(ISBLANK(AX199),"",AX199)</f>
        <v>1.5745847514234943</v>
      </c>
      <c r="AY56" s="1209">
        <f t="shared" ref="AY56:BB56" si="240">IF(ISBLANK(AY199),"",AY199)</f>
        <v>1.7632770950378909</v>
      </c>
      <c r="AZ56" s="1209">
        <f t="shared" si="240"/>
        <v>-0.69298925565485447</v>
      </c>
      <c r="BA56" s="1209">
        <f t="shared" si="240"/>
        <v>-0.82743500086795607</v>
      </c>
      <c r="BB56" s="1210">
        <f t="shared" si="240"/>
        <v>1.6671304946849221</v>
      </c>
      <c r="BC56" s="1211"/>
      <c r="BD56" s="1211"/>
      <c r="BE56" s="1269">
        <f t="shared" si="217"/>
        <v>0.92020383661477478</v>
      </c>
      <c r="BF56" s="1269">
        <f t="shared" si="218"/>
        <v>1.0265432167658739</v>
      </c>
      <c r="BG56" s="1269">
        <f t="shared" si="219"/>
        <v>0.43101085069444367</v>
      </c>
      <c r="BH56" s="1273">
        <f t="shared" si="220"/>
        <v>1.3352596354166657</v>
      </c>
      <c r="BI56" s="1273">
        <f t="shared" si="221"/>
        <v>2.2589404456967217</v>
      </c>
      <c r="BJ56" s="1273">
        <f t="shared" si="222"/>
        <v>1.2621391889080911</v>
      </c>
      <c r="BK56" s="1273">
        <f t="shared" si="223"/>
        <v>-0.31305219006147522</v>
      </c>
      <c r="BL56" s="1273">
        <f t="shared" si="224"/>
        <v>4.3912810421153914E-5</v>
      </c>
      <c r="BM56" s="1273">
        <f t="shared" si="225"/>
        <v>1.113487704918033</v>
      </c>
      <c r="BN56" s="1273">
        <f t="shared" si="226"/>
        <v>0.41504999990000013</v>
      </c>
      <c r="BO56" s="1273">
        <f t="shared" si="227"/>
        <v>0.42608750000000017</v>
      </c>
      <c r="BP56" s="1273">
        <f t="shared" si="228"/>
        <v>0.47749583330000062</v>
      </c>
      <c r="BQ56" s="1205"/>
      <c r="BR56" s="1206"/>
      <c r="BU56" s="1186"/>
      <c r="BV56" s="1551"/>
      <c r="BW56" s="1551"/>
      <c r="BX56" s="1551"/>
      <c r="BZ56" s="2042">
        <v>4</v>
      </c>
      <c r="CA56" s="2046" t="s">
        <v>459</v>
      </c>
      <c r="CB56" s="2048">
        <f>AVERAGE(CB48:$CR48)</f>
        <v>0.27941176470588236</v>
      </c>
      <c r="CC56" s="2048">
        <f>AVERAGE(CC48:$CR48)</f>
        <v>0.28437499999999999</v>
      </c>
      <c r="CD56" s="2048">
        <f>AVERAGE(CD48:$CR48)</f>
        <v>0.28999999999999998</v>
      </c>
      <c r="CE56" s="2048">
        <f>AVERAGE(CE48:$CR48)</f>
        <v>0.29642857142857143</v>
      </c>
      <c r="CF56" s="2048">
        <f>AVERAGE(CF48:$CR48)</f>
        <v>0.30384615384615388</v>
      </c>
      <c r="CG56" s="2048">
        <f>AVERAGE(CG48:$CR48)</f>
        <v>0.31250000000000006</v>
      </c>
      <c r="CH56" s="2048">
        <f>AVERAGE(CH48:$CR48)</f>
        <v>0.32272727272727275</v>
      </c>
      <c r="CI56" s="2048">
        <f>AVERAGE(CI48:$CR48)</f>
        <v>0.33500000000000002</v>
      </c>
      <c r="CJ56" s="2048">
        <f>AVERAGE(CJ48:$CR48)</f>
        <v>0.35000000000000003</v>
      </c>
      <c r="CK56" s="2048">
        <f>AVERAGE(CK48:$CR48)</f>
        <v>0.36250000000000004</v>
      </c>
      <c r="CL56" s="2048">
        <f>AVERAGE(CL48:$CR48)</f>
        <v>0.37857142857142861</v>
      </c>
      <c r="CM56" s="2048">
        <f>AVERAGE(CM48:$CR48)</f>
        <v>0.39999999999999997</v>
      </c>
      <c r="CN56" s="2048">
        <f>AVERAGE(CN48:$CR48)</f>
        <v>0.41</v>
      </c>
      <c r="CO56" s="2048">
        <f>AVERAGE(CO48:$CR48)</f>
        <v>0.42499999999999999</v>
      </c>
      <c r="CP56" s="2048">
        <f>AVERAGE(CP48:$CR48)</f>
        <v>0.43333333333333335</v>
      </c>
      <c r="CQ56" s="2048">
        <f>AVERAGE(CQ48:$CR48)</f>
        <v>0.45</v>
      </c>
      <c r="CR56" s="2048">
        <f>AVERAGE($CR48:CR48)</f>
        <v>0.45</v>
      </c>
      <c r="CS56" s="2048">
        <f>AVERAGE($CR48:CS48)</f>
        <v>0.47499999999999998</v>
      </c>
      <c r="CT56" s="2048">
        <f>AVERAGE($CR48:CT48)</f>
        <v>0.48333333333333334</v>
      </c>
      <c r="CU56" s="2048">
        <f>AVERAGE($CR48:CU48)</f>
        <v>0.48749999999999999</v>
      </c>
      <c r="CV56" s="2048">
        <f>AVERAGE($CR48:CV48)</f>
        <v>0.49000000000000005</v>
      </c>
      <c r="CW56" s="2048">
        <f>AVERAGE($CR48:CW48)</f>
        <v>0.5</v>
      </c>
      <c r="CX56" s="2048">
        <f>AVERAGE($CR48:CX48)</f>
        <v>0.50714285714285712</v>
      </c>
      <c r="CY56" s="2048">
        <f>AVERAGE($CR48:CY48)</f>
        <v>0.51249999999999996</v>
      </c>
      <c r="CZ56" s="2048">
        <f>AVERAGE($CR48:CZ48)</f>
        <v>0.51666666666666661</v>
      </c>
    </row>
    <row r="57" spans="1:104" ht="12.75" customHeight="1">
      <c r="A57" s="1187"/>
      <c r="B57" s="1619"/>
      <c r="C57" s="1223" t="str">
        <f t="shared" si="234"/>
        <v>PJM West / Tetco M3</v>
      </c>
      <c r="D57" s="1221" t="str">
        <f t="shared" si="234"/>
        <v/>
      </c>
      <c r="E57" s="1221" t="str">
        <f t="shared" si="234"/>
        <v/>
      </c>
      <c r="F57" s="1349"/>
      <c r="G57" s="1562">
        <f t="shared" si="207"/>
        <v>0.61162500000000009</v>
      </c>
      <c r="H57" s="1560">
        <f t="shared" ref="H57:AK57" si="241">IF(ISBLANK(H200),"",H200)</f>
        <v>0.34730158730158944</v>
      </c>
      <c r="I57" s="1560">
        <f t="shared" si="241"/>
        <v>0.35659375000000004</v>
      </c>
      <c r="J57" s="1561">
        <f t="shared" si="241"/>
        <v>1.4691538461538483</v>
      </c>
      <c r="K57" s="1562">
        <f t="shared" si="241"/>
        <v>1.7646250000000014</v>
      </c>
      <c r="L57" s="1560">
        <f t="shared" si="241"/>
        <v>0.28798437500000063</v>
      </c>
      <c r="M57" s="1560">
        <f t="shared" si="241"/>
        <v>0.25414062500000068</v>
      </c>
      <c r="N57" s="1561">
        <f t="shared" si="241"/>
        <v>0.24365079365079412</v>
      </c>
      <c r="O57" s="1562">
        <f t="shared" si="241"/>
        <v>0.31452380952380965</v>
      </c>
      <c r="P57" s="1560">
        <f t="shared" si="241"/>
        <v>0.1599206349206348</v>
      </c>
      <c r="Q57" s="1560">
        <f t="shared" si="241"/>
        <v>0.16882539682539655</v>
      </c>
      <c r="R57" s="1560">
        <f t="shared" si="241"/>
        <v>0.26892187499999887</v>
      </c>
      <c r="S57" s="1208">
        <f t="shared" si="241"/>
        <v>0.819599999999999</v>
      </c>
      <c r="T57" s="1209">
        <f t="shared" si="241"/>
        <v>0.11882812499999851</v>
      </c>
      <c r="U57" s="1209">
        <f t="shared" si="241"/>
        <v>-1.3265625000001169E-2</v>
      </c>
      <c r="V57" s="1210">
        <f t="shared" si="241"/>
        <v>0.14118750000000091</v>
      </c>
      <c r="W57" s="1209">
        <f t="shared" si="241"/>
        <v>7.5181639344262283</v>
      </c>
      <c r="X57" s="1209">
        <f t="shared" si="241"/>
        <v>-0.89420312500000065</v>
      </c>
      <c r="Y57" s="1209">
        <f t="shared" si="241"/>
        <v>-1.4395156250000012</v>
      </c>
      <c r="Z57" s="1210">
        <f t="shared" si="241"/>
        <v>-1.017578125</v>
      </c>
      <c r="AA57" s="1209">
        <f t="shared" si="241"/>
        <v>3.554258064516127</v>
      </c>
      <c r="AB57" s="1209">
        <f t="shared" si="241"/>
        <v>-1.1179206349206339</v>
      </c>
      <c r="AC57" s="1209">
        <f t="shared" si="241"/>
        <v>-1.3916093749999998</v>
      </c>
      <c r="AD57" s="1210">
        <f t="shared" si="241"/>
        <v>-0.84366666666666723</v>
      </c>
      <c r="AE57" s="1209">
        <f t="shared" si="241"/>
        <v>-0.15401639344262286</v>
      </c>
      <c r="AF57" s="1209">
        <f t="shared" si="241"/>
        <v>-0.55339062499999958</v>
      </c>
      <c r="AG57" s="1209">
        <f t="shared" si="241"/>
        <v>-1.5273593749999999</v>
      </c>
      <c r="AH57" s="1210">
        <f t="shared" si="241"/>
        <v>-0.79788709677419334</v>
      </c>
      <c r="AI57" s="1209">
        <f t="shared" si="241"/>
        <v>-1.6838709677418517E-2</v>
      </c>
      <c r="AJ57" s="1209">
        <f t="shared" si="241"/>
        <v>-0.56160937500000019</v>
      </c>
      <c r="AK57" s="1209">
        <f t="shared" si="241"/>
        <v>-1.2109841269841268</v>
      </c>
      <c r="AL57" s="1210">
        <f t="shared" si="208"/>
        <v>-0.13975806451612982</v>
      </c>
      <c r="AM57" s="1209">
        <f t="shared" si="208"/>
        <v>3.4441967213114757</v>
      </c>
      <c r="AN57" s="1209">
        <f t="shared" si="208"/>
        <v>-0.46333333333333293</v>
      </c>
      <c r="AO57" s="1209">
        <f t="shared" si="208"/>
        <v>-0.59499999999999975</v>
      </c>
      <c r="AP57" s="1210">
        <f t="shared" si="208"/>
        <v>-0.21666666666666679</v>
      </c>
      <c r="AQ57" s="1209">
        <f t="shared" ref="AQ57:AT57" si="242">IF(ISBLANK(AQ200),"",AQ200)</f>
        <v>0.74457975965344758</v>
      </c>
      <c r="AR57" s="1209">
        <f t="shared" si="242"/>
        <v>-0.76430483819771866</v>
      </c>
      <c r="AS57" s="1209">
        <f t="shared" si="242"/>
        <v>-0.78296558457066712</v>
      </c>
      <c r="AT57" s="1210">
        <f t="shared" si="242"/>
        <v>0.8235214539149398</v>
      </c>
      <c r="AU57" s="1209">
        <f t="shared" ref="AU57:AX57" si="243">IF(ISBLANK(AU200),"",AU200)</f>
        <v>0.64485745238273218</v>
      </c>
      <c r="AV57" s="1209">
        <f t="shared" si="243"/>
        <v>-0.82982612063011629</v>
      </c>
      <c r="AW57" s="1209">
        <f t="shared" si="243"/>
        <v>-0.84922019602346377</v>
      </c>
      <c r="AX57" s="1210">
        <f t="shared" si="243"/>
        <v>0.71921711267084909</v>
      </c>
      <c r="AY57" s="1340">
        <f>IF(ISBLANK(AY200),"",IF(Uplift="Yes",$BX$58,AY200))</f>
        <v>-0.25</v>
      </c>
      <c r="AZ57" s="1340">
        <f>IF(ISBLANK(AZ200),"",IF(Uplift="Yes",$BX$58,AZ200))</f>
        <v>-0.25</v>
      </c>
      <c r="BA57" s="1340">
        <f>IF(ISBLANK(BA200),"",IF(Uplift="Yes",$BX$58,BA200))</f>
        <v>-0.25</v>
      </c>
      <c r="BB57" s="1341">
        <f>IF(ISBLANK(BB200),"",IF(Uplift="Yes",$BX$58,BB200))</f>
        <v>-0.25</v>
      </c>
      <c r="BC57" s="1211"/>
      <c r="BD57" s="1211"/>
      <c r="BE57" s="1269">
        <f t="shared" si="217"/>
        <v>0.69616854586385946</v>
      </c>
      <c r="BF57" s="1269">
        <f t="shared" si="218"/>
        <v>0.63760019841269922</v>
      </c>
      <c r="BG57" s="1269">
        <f t="shared" si="219"/>
        <v>0.22804792906745996</v>
      </c>
      <c r="BH57" s="1273">
        <f t="shared" si="220"/>
        <v>0.26658749999999931</v>
      </c>
      <c r="BI57" s="1273">
        <f t="shared" si="221"/>
        <v>1.0417167648565566</v>
      </c>
      <c r="BJ57" s="1273">
        <f t="shared" si="222"/>
        <v>5.0265346982206582E-2</v>
      </c>
      <c r="BK57" s="1273">
        <f t="shared" si="223"/>
        <v>-0.75816337255420385</v>
      </c>
      <c r="BL57" s="1273">
        <f t="shared" si="224"/>
        <v>-0.48229756904441884</v>
      </c>
      <c r="BM57" s="1273">
        <f t="shared" si="225"/>
        <v>0.54229918032786906</v>
      </c>
      <c r="BN57" s="1273">
        <f t="shared" si="226"/>
        <v>5.2076977000004021E-3</v>
      </c>
      <c r="BO57" s="1273">
        <f t="shared" si="227"/>
        <v>-7.8742937899999699E-2</v>
      </c>
      <c r="BP57" s="1273">
        <f t="shared" si="228"/>
        <v>-0.25</v>
      </c>
      <c r="BQ57" s="1205"/>
      <c r="BR57" s="1206"/>
      <c r="BU57" s="1186"/>
      <c r="BV57" s="1395" t="s">
        <v>533</v>
      </c>
      <c r="BW57" s="1551"/>
      <c r="BX57" s="1551"/>
      <c r="BZ57" s="2042">
        <v>5</v>
      </c>
      <c r="CA57" s="2046" t="s">
        <v>202</v>
      </c>
      <c r="CB57" s="2048">
        <f>AVERAGE(CB49:$CR49)</f>
        <v>0.27941176470588236</v>
      </c>
      <c r="CC57" s="2048">
        <f>AVERAGE(CC49:$CR49)</f>
        <v>0.28437499999999999</v>
      </c>
      <c r="CD57" s="2048">
        <f>AVERAGE(CD49:$CR49)</f>
        <v>0.28999999999999998</v>
      </c>
      <c r="CE57" s="2048">
        <f>AVERAGE(CE49:$CR49)</f>
        <v>0.29642857142857143</v>
      </c>
      <c r="CF57" s="2048">
        <f>AVERAGE(CF49:$CR49)</f>
        <v>0.30384615384615388</v>
      </c>
      <c r="CG57" s="2048">
        <f>AVERAGE(CG49:$CR49)</f>
        <v>0.31250000000000006</v>
      </c>
      <c r="CH57" s="2048">
        <f>AVERAGE(CH49:$CR49)</f>
        <v>0.32272727272727275</v>
      </c>
      <c r="CI57" s="2048">
        <f>AVERAGE(CI49:$CR49)</f>
        <v>0.33500000000000002</v>
      </c>
      <c r="CJ57" s="2048">
        <f>AVERAGE(CJ49:$CR49)</f>
        <v>0.35000000000000003</v>
      </c>
      <c r="CK57" s="2048">
        <f>AVERAGE(CK49:$CR49)</f>
        <v>0.36250000000000004</v>
      </c>
      <c r="CL57" s="2048">
        <f>AVERAGE(CL49:$CR49)</f>
        <v>0.37857142857142861</v>
      </c>
      <c r="CM57" s="2048">
        <f>AVERAGE(CM49:$CR49)</f>
        <v>0.39999999999999997</v>
      </c>
      <c r="CN57" s="2048">
        <f>AVERAGE(CN49:$CR49)</f>
        <v>0.41</v>
      </c>
      <c r="CO57" s="2048">
        <f>AVERAGE(CO49:$CR49)</f>
        <v>0.42499999999999999</v>
      </c>
      <c r="CP57" s="2048">
        <f>AVERAGE(CP49:$CR49)</f>
        <v>0.43333333333333335</v>
      </c>
      <c r="CQ57" s="2048">
        <f>AVERAGE(CQ49:$CR49)</f>
        <v>0.45</v>
      </c>
      <c r="CR57" s="2048">
        <f>AVERAGE($CR49:CR49)</f>
        <v>0.45</v>
      </c>
      <c r="CS57" s="2048">
        <f>AVERAGE($CR49:CS49)</f>
        <v>0.47499999999999998</v>
      </c>
      <c r="CT57" s="2048">
        <f>AVERAGE($CR49:CT49)</f>
        <v>0.48333333333333334</v>
      </c>
      <c r="CU57" s="2048">
        <f>AVERAGE($CR49:CU49)</f>
        <v>0.48749999999999999</v>
      </c>
      <c r="CV57" s="2048">
        <f>AVERAGE($CR49:CV49)</f>
        <v>0.49000000000000005</v>
      </c>
      <c r="CW57" s="2048">
        <f>AVERAGE($CR49:CW49)</f>
        <v>0.5</v>
      </c>
      <c r="CX57" s="2048">
        <f>AVERAGE($CR49:CX49)</f>
        <v>0.50714285714285712</v>
      </c>
      <c r="CY57" s="2048">
        <f>AVERAGE($CR49:CY49)</f>
        <v>0.51249999999999996</v>
      </c>
      <c r="CZ57" s="2048">
        <f>AVERAGE($CR49:CZ49)</f>
        <v>0.51666666666666661</v>
      </c>
    </row>
    <row r="58" spans="1:104" ht="12.75" customHeight="1">
      <c r="A58" s="1187"/>
      <c r="B58" s="1619"/>
      <c r="C58" s="1223" t="str">
        <f t="shared" si="234"/>
        <v>PJM East / Tetco M3</v>
      </c>
      <c r="D58" s="1221" t="str">
        <f t="shared" si="234"/>
        <v/>
      </c>
      <c r="E58" s="1221" t="str">
        <f t="shared" si="234"/>
        <v/>
      </c>
      <c r="F58" s="1349"/>
      <c r="G58" s="1562">
        <f t="shared" si="207"/>
        <v>0.61162500000000009</v>
      </c>
      <c r="H58" s="1560">
        <f t="shared" ref="H58:AK58" si="244">IF(ISBLANK(H201),"",H201)</f>
        <v>0.34730158730158944</v>
      </c>
      <c r="I58" s="1560">
        <f t="shared" si="244"/>
        <v>0.35659375000000004</v>
      </c>
      <c r="J58" s="1561">
        <f t="shared" si="244"/>
        <v>1.4691538461538483</v>
      </c>
      <c r="K58" s="1562">
        <f t="shared" si="244"/>
        <v>1.7646250000000014</v>
      </c>
      <c r="L58" s="1560">
        <f t="shared" si="244"/>
        <v>0.28798437500000063</v>
      </c>
      <c r="M58" s="1560">
        <f t="shared" si="244"/>
        <v>0.25414062500000068</v>
      </c>
      <c r="N58" s="1561">
        <f t="shared" si="244"/>
        <v>0.24365079365079412</v>
      </c>
      <c r="O58" s="1562">
        <f t="shared" si="244"/>
        <v>0.31452380952380965</v>
      </c>
      <c r="P58" s="1560">
        <f t="shared" si="244"/>
        <v>0.1599206349206348</v>
      </c>
      <c r="Q58" s="1560">
        <f t="shared" si="244"/>
        <v>0.16882539682539655</v>
      </c>
      <c r="R58" s="1560">
        <f t="shared" si="244"/>
        <v>0.26892187499999887</v>
      </c>
      <c r="S58" s="1208">
        <f t="shared" si="244"/>
        <v>0.819599999999999</v>
      </c>
      <c r="T58" s="1209">
        <f t="shared" si="244"/>
        <v>0.11882812499999851</v>
      </c>
      <c r="U58" s="1209">
        <f t="shared" si="244"/>
        <v>-1.3265625000001169E-2</v>
      </c>
      <c r="V58" s="1210">
        <f t="shared" si="244"/>
        <v>0.14118750000000091</v>
      </c>
      <c r="W58" s="1209">
        <f t="shared" si="244"/>
        <v>7.5181639344262283</v>
      </c>
      <c r="X58" s="1209">
        <f t="shared" si="244"/>
        <v>-0.89420312500000065</v>
      </c>
      <c r="Y58" s="1209">
        <f t="shared" si="244"/>
        <v>-1.4395156250000012</v>
      </c>
      <c r="Z58" s="1210">
        <f t="shared" si="244"/>
        <v>-1.017578125</v>
      </c>
      <c r="AA58" s="1209">
        <f t="shared" si="244"/>
        <v>3.554258064516127</v>
      </c>
      <c r="AB58" s="1209">
        <f t="shared" si="244"/>
        <v>-1.1179206349206339</v>
      </c>
      <c r="AC58" s="1209">
        <f t="shared" si="244"/>
        <v>-1.3916093749999998</v>
      </c>
      <c r="AD58" s="1210">
        <f t="shared" si="244"/>
        <v>-0.84366666666666723</v>
      </c>
      <c r="AE58" s="1209">
        <f t="shared" si="244"/>
        <v>-0.15401639344262286</v>
      </c>
      <c r="AF58" s="1209">
        <f t="shared" si="244"/>
        <v>-0.55339062499999958</v>
      </c>
      <c r="AG58" s="1209">
        <f t="shared" si="244"/>
        <v>-1.5273593749999999</v>
      </c>
      <c r="AH58" s="1210">
        <f t="shared" si="244"/>
        <v>-0.79788709677419334</v>
      </c>
      <c r="AI58" s="1209">
        <f t="shared" si="244"/>
        <v>-1.6838709677418517E-2</v>
      </c>
      <c r="AJ58" s="1209">
        <f t="shared" si="244"/>
        <v>-0.56160937500000019</v>
      </c>
      <c r="AK58" s="1209">
        <f t="shared" si="244"/>
        <v>-1.2109841269841268</v>
      </c>
      <c r="AL58" s="1210">
        <f t="shared" si="208"/>
        <v>-0.13975806451612982</v>
      </c>
      <c r="AM58" s="1209">
        <f t="shared" si="208"/>
        <v>3.4441967213114757</v>
      </c>
      <c r="AN58" s="1209">
        <f t="shared" si="208"/>
        <v>-0.46333333333333293</v>
      </c>
      <c r="AO58" s="1209">
        <f t="shared" si="208"/>
        <v>-0.59499999999999975</v>
      </c>
      <c r="AP58" s="1210">
        <f t="shared" si="208"/>
        <v>-0.21666666666666679</v>
      </c>
      <c r="AQ58" s="1209">
        <f t="shared" ref="AQ58:AT58" si="245">IF(ISBLANK(AQ201),"",AQ201)</f>
        <v>0.74457975965344758</v>
      </c>
      <c r="AR58" s="1209">
        <f t="shared" si="245"/>
        <v>-0.76430483819771866</v>
      </c>
      <c r="AS58" s="1209">
        <f t="shared" si="245"/>
        <v>-0.78296558457066712</v>
      </c>
      <c r="AT58" s="1210">
        <f t="shared" si="245"/>
        <v>0.8235214539149398</v>
      </c>
      <c r="AU58" s="1209">
        <f t="shared" ref="AU58:AX58" si="246">IF(ISBLANK(AU201),"",AU201)</f>
        <v>0.64485745238273218</v>
      </c>
      <c r="AV58" s="1209">
        <f t="shared" si="246"/>
        <v>-0.82982612063011629</v>
      </c>
      <c r="AW58" s="1209">
        <f t="shared" si="246"/>
        <v>-0.84922019602346377</v>
      </c>
      <c r="AX58" s="1210">
        <f t="shared" si="246"/>
        <v>0.71921711267084909</v>
      </c>
      <c r="AY58" s="1340">
        <f>IF(ISBLANK(AY201),"",IF(Uplift="Yes",$BX$58,AY201))</f>
        <v>-0.25</v>
      </c>
      <c r="AZ58" s="1340">
        <f>IF(ISBLANK(AZ201),"",IF(Uplift="Yes",$BX$58,AZ201))</f>
        <v>-0.25</v>
      </c>
      <c r="BA58" s="1340">
        <f t="shared" ref="BA58" si="247">IF(ISBLANK(BA201),"",IF(Uplift="Yes",$BX$58,BA201))</f>
        <v>-0.25</v>
      </c>
      <c r="BB58" s="1341">
        <f>IF(ISBLANK(BB201),"",IF(Uplift="Yes",$BX$58,BB201))</f>
        <v>-0.25</v>
      </c>
      <c r="BC58" s="1211"/>
      <c r="BD58" s="1211"/>
      <c r="BE58" s="1269">
        <f t="shared" si="217"/>
        <v>0.69616854586385946</v>
      </c>
      <c r="BF58" s="1269">
        <f t="shared" si="218"/>
        <v>0.63760019841269922</v>
      </c>
      <c r="BG58" s="1269">
        <f t="shared" si="219"/>
        <v>0.22804792906745996</v>
      </c>
      <c r="BH58" s="1273">
        <f t="shared" si="220"/>
        <v>0.26658749999999931</v>
      </c>
      <c r="BI58" s="1273">
        <f t="shared" si="221"/>
        <v>1.0417167648565566</v>
      </c>
      <c r="BJ58" s="1273">
        <f t="shared" si="222"/>
        <v>5.0265346982206582E-2</v>
      </c>
      <c r="BK58" s="1273">
        <f t="shared" si="223"/>
        <v>-0.75816337255420385</v>
      </c>
      <c r="BL58" s="1273">
        <f t="shared" si="224"/>
        <v>-0.48229756904441884</v>
      </c>
      <c r="BM58" s="1273">
        <f t="shared" si="225"/>
        <v>0.54229918032786906</v>
      </c>
      <c r="BN58" s="1273">
        <f t="shared" si="226"/>
        <v>5.2076977000004021E-3</v>
      </c>
      <c r="BO58" s="1273">
        <f t="shared" si="227"/>
        <v>-7.8742937899999699E-2</v>
      </c>
      <c r="BP58" s="1273">
        <f t="shared" si="228"/>
        <v>-0.25</v>
      </c>
      <c r="BQ58" s="1205"/>
      <c r="BR58" s="1206"/>
      <c r="BU58" s="1186"/>
      <c r="BV58" s="1397" t="s">
        <v>534</v>
      </c>
      <c r="BW58" s="1215"/>
      <c r="BX58" s="1627">
        <f>Valuation!$BY$32</f>
        <v>-0.25</v>
      </c>
      <c r="BZ58" s="2042">
        <v>6</v>
      </c>
      <c r="CA58" s="2046" t="s">
        <v>479</v>
      </c>
      <c r="CB58" s="2048">
        <f>AVERAGE(CB50:$CR50)</f>
        <v>0.26470588235294118</v>
      </c>
      <c r="CC58" s="2048">
        <f>AVERAGE(CC50:$CR50)</f>
        <v>0.26874999999999999</v>
      </c>
      <c r="CD58" s="2048">
        <f>AVERAGE(CD50:$CR50)</f>
        <v>0.27333333333333332</v>
      </c>
      <c r="CE58" s="2048">
        <f>AVERAGE(CE50:$CR50)</f>
        <v>0.27857142857142858</v>
      </c>
      <c r="CF58" s="2048">
        <f>AVERAGE(CF50:$CR50)</f>
        <v>0.2846153846153846</v>
      </c>
      <c r="CG58" s="2048">
        <f>AVERAGE(CG50:$CR50)</f>
        <v>0.29166666666666669</v>
      </c>
      <c r="CH58" s="2048">
        <f>AVERAGE(CH50:$CR50)</f>
        <v>0.3</v>
      </c>
      <c r="CI58" s="2048">
        <f>AVERAGE(CI50:$CR50)</f>
        <v>0.31</v>
      </c>
      <c r="CJ58" s="2048">
        <f>AVERAGE(CJ50:$CR50)</f>
        <v>0.32222222222222219</v>
      </c>
      <c r="CK58" s="2048">
        <f>AVERAGE(CK50:$CR50)</f>
        <v>0.33124999999999999</v>
      </c>
      <c r="CL58" s="2048">
        <f>AVERAGE(CL50:$CR50)</f>
        <v>0.34285714285714286</v>
      </c>
      <c r="CM58" s="2048">
        <f>AVERAGE(CM50:$CR50)</f>
        <v>0.34999999999999992</v>
      </c>
      <c r="CN58" s="2048">
        <f>AVERAGE(CN50:$CR50)</f>
        <v>0.36</v>
      </c>
      <c r="CO58" s="2048">
        <f>AVERAGE(CO50:$CR50)</f>
        <v>0.375</v>
      </c>
      <c r="CP58" s="2048">
        <f>AVERAGE(CP50:$CR50)</f>
        <v>0.3833333333333333</v>
      </c>
      <c r="CQ58" s="2048">
        <f>AVERAGE(CQ50:$CR50)</f>
        <v>0.4</v>
      </c>
      <c r="CR58" s="2048">
        <f>AVERAGE($CR50:CR50)</f>
        <v>0.4</v>
      </c>
      <c r="CS58" s="2048">
        <f>AVERAGE($CR50:CS50)</f>
        <v>0.4</v>
      </c>
      <c r="CT58" s="2048">
        <f>AVERAGE($CR50:CT50)</f>
        <v>0.41666666666666669</v>
      </c>
      <c r="CU58" s="2048">
        <f>AVERAGE($CR50:CU50)</f>
        <v>0.4375</v>
      </c>
      <c r="CV58" s="2048">
        <f>AVERAGE($CR50:CV50)</f>
        <v>0.45</v>
      </c>
      <c r="CW58" s="2048">
        <f>AVERAGE($CR50:CW50)</f>
        <v>0.45833333333333331</v>
      </c>
      <c r="CX58" s="2048">
        <f>AVERAGE($CR50:CX50)</f>
        <v>0.4642857142857143</v>
      </c>
      <c r="CY58" s="2048">
        <f>AVERAGE($CR50:CY50)</f>
        <v>0.46875</v>
      </c>
      <c r="CZ58" s="2048">
        <f>AVERAGE($CR50:CZ50)</f>
        <v>0.47222222222222221</v>
      </c>
    </row>
    <row r="59" spans="1:104" ht="12.75" customHeight="1">
      <c r="A59" s="1187"/>
      <c r="B59" s="1619"/>
      <c r="C59" s="1626" t="s">
        <v>342</v>
      </c>
      <c r="D59" s="1621" t="str">
        <f t="shared" ref="D59:E69" si="248">IF(ISBLANK(D202),"",D202)</f>
        <v/>
      </c>
      <c r="E59" s="1621" t="str">
        <f t="shared" si="248"/>
        <v/>
      </c>
      <c r="F59" s="1563"/>
      <c r="G59" s="1562">
        <f t="shared" si="207"/>
        <v>0.61162500000000009</v>
      </c>
      <c r="H59" s="1560">
        <f t="shared" ref="H59:AK59" si="249">IF(ISBLANK(H202),"",H202)</f>
        <v>0.34730158730158944</v>
      </c>
      <c r="I59" s="1560">
        <f t="shared" si="249"/>
        <v>0.35659375000000004</v>
      </c>
      <c r="J59" s="1561">
        <f t="shared" si="249"/>
        <v>1.4691538461538483</v>
      </c>
      <c r="K59" s="1562">
        <f t="shared" si="249"/>
        <v>1.7646250000000014</v>
      </c>
      <c r="L59" s="1560">
        <f t="shared" si="249"/>
        <v>0.28798437500000063</v>
      </c>
      <c r="M59" s="1560">
        <f t="shared" si="249"/>
        <v>0.25414062500000068</v>
      </c>
      <c r="N59" s="1561">
        <f t="shared" si="249"/>
        <v>0.24365079365079412</v>
      </c>
      <c r="O59" s="1562">
        <f t="shared" si="249"/>
        <v>0.31452380952380965</v>
      </c>
      <c r="P59" s="1560">
        <f t="shared" si="249"/>
        <v>0.1599206349206348</v>
      </c>
      <c r="Q59" s="1560">
        <f t="shared" si="249"/>
        <v>0.16882539682539655</v>
      </c>
      <c r="R59" s="1560">
        <f t="shared" si="249"/>
        <v>0.26892187499999887</v>
      </c>
      <c r="S59" s="1208">
        <f t="shared" si="249"/>
        <v>0.819599999999999</v>
      </c>
      <c r="T59" s="1209">
        <f t="shared" si="249"/>
        <v>0.11882812499999851</v>
      </c>
      <c r="U59" s="1209">
        <f t="shared" si="249"/>
        <v>-1.3265625000001169E-2</v>
      </c>
      <c r="V59" s="1210">
        <f t="shared" si="249"/>
        <v>0.14118750000000091</v>
      </c>
      <c r="W59" s="1209">
        <f t="shared" si="249"/>
        <v>7.5181639344262283</v>
      </c>
      <c r="X59" s="1209">
        <f t="shared" si="249"/>
        <v>-0.89420312500000065</v>
      </c>
      <c r="Y59" s="1209">
        <f t="shared" si="249"/>
        <v>-1.4395156250000012</v>
      </c>
      <c r="Z59" s="1210">
        <f t="shared" si="249"/>
        <v>-1.017578125</v>
      </c>
      <c r="AA59" s="1209">
        <f t="shared" si="249"/>
        <v>3.554258064516127</v>
      </c>
      <c r="AB59" s="1209">
        <f t="shared" si="249"/>
        <v>-1.1179206349206339</v>
      </c>
      <c r="AC59" s="1209">
        <f t="shared" si="249"/>
        <v>-1.3916093749999998</v>
      </c>
      <c r="AD59" s="1210">
        <f t="shared" si="249"/>
        <v>-0.84366666666666723</v>
      </c>
      <c r="AE59" s="1209">
        <f t="shared" si="249"/>
        <v>-0.15401639344262286</v>
      </c>
      <c r="AF59" s="1209">
        <f t="shared" si="249"/>
        <v>-0.55339062499999958</v>
      </c>
      <c r="AG59" s="1209">
        <f t="shared" si="249"/>
        <v>-1.5273593749999999</v>
      </c>
      <c r="AH59" s="1210">
        <f t="shared" si="249"/>
        <v>-0.79788709677419334</v>
      </c>
      <c r="AI59" s="1209">
        <f t="shared" si="249"/>
        <v>-1.6838709677418517E-2</v>
      </c>
      <c r="AJ59" s="1209">
        <f t="shared" si="249"/>
        <v>-0.56160937500000019</v>
      </c>
      <c r="AK59" s="1209">
        <f t="shared" si="249"/>
        <v>-1.2109841269841268</v>
      </c>
      <c r="AL59" s="1210">
        <f t="shared" si="208"/>
        <v>-0.13975806451612982</v>
      </c>
      <c r="AM59" s="1209">
        <f t="shared" si="208"/>
        <v>3.4441967213114757</v>
      </c>
      <c r="AN59" s="1209">
        <f t="shared" si="208"/>
        <v>0</v>
      </c>
      <c r="AO59" s="1209">
        <f t="shared" si="208"/>
        <v>0</v>
      </c>
      <c r="AP59" s="1210">
        <f t="shared" si="208"/>
        <v>0</v>
      </c>
      <c r="AQ59" s="1209">
        <f t="shared" ref="AQ59:AT59" si="250">IF(ISBLANK(AQ202),"",AQ202)</f>
        <v>0</v>
      </c>
      <c r="AR59" s="1209">
        <f t="shared" si="250"/>
        <v>0</v>
      </c>
      <c r="AS59" s="1209">
        <f t="shared" si="250"/>
        <v>0</v>
      </c>
      <c r="AT59" s="1210">
        <f t="shared" si="250"/>
        <v>0</v>
      </c>
      <c r="AU59" s="1209">
        <f t="shared" ref="AU59:AX59" si="251">IF(ISBLANK(AU202),"",AU202)</f>
        <v>0</v>
      </c>
      <c r="AV59" s="1209">
        <f t="shared" si="251"/>
        <v>0</v>
      </c>
      <c r="AW59" s="1209">
        <f t="shared" si="251"/>
        <v>0</v>
      </c>
      <c r="AX59" s="1210">
        <f t="shared" si="251"/>
        <v>0</v>
      </c>
      <c r="AY59" s="1340">
        <f>IF(ISBLANK(AY202),"",IF(Uplift="Yes",$BX$58,AY202))</f>
        <v>-0.25</v>
      </c>
      <c r="AZ59" s="1340">
        <f>IF(ISBLANK(AZ202),"",IF(Uplift="Yes",$BX$58,AZ202))</f>
        <v>-0.25</v>
      </c>
      <c r="BA59" s="1340">
        <f>IF(ISBLANK(BA202),"",IF(Uplift="Yes",$BX$58,BA202))</f>
        <v>-0.25</v>
      </c>
      <c r="BB59" s="1341">
        <f>IF(ISBLANK(BB202),"",IF(Uplift="Yes",$BX$58,BB202))</f>
        <v>-0.25</v>
      </c>
      <c r="BC59" s="1211"/>
      <c r="BD59" s="1211"/>
      <c r="BE59" s="1269">
        <f t="shared" si="217"/>
        <v>0.69616854586385946</v>
      </c>
      <c r="BF59" s="1269">
        <f t="shared" si="218"/>
        <v>0.63760019841269922</v>
      </c>
      <c r="BG59" s="1269">
        <f t="shared" si="219"/>
        <v>0.22804792906745996</v>
      </c>
      <c r="BH59" s="1273">
        <f t="shared" si="220"/>
        <v>0.26658749999999931</v>
      </c>
      <c r="BI59" s="1273">
        <f t="shared" si="221"/>
        <v>1.0417167648565566</v>
      </c>
      <c r="BJ59" s="1273">
        <f t="shared" si="222"/>
        <v>5.0265346982206582E-2</v>
      </c>
      <c r="BK59" s="1273">
        <f t="shared" si="223"/>
        <v>-0.75816337255420385</v>
      </c>
      <c r="BL59" s="1273">
        <f t="shared" si="224"/>
        <v>-0.48229756904441884</v>
      </c>
      <c r="BM59" s="1273">
        <f t="shared" si="225"/>
        <v>0.86104918032786892</v>
      </c>
      <c r="BN59" s="1273">
        <f t="shared" si="226"/>
        <v>0</v>
      </c>
      <c r="BO59" s="1273">
        <f t="shared" si="227"/>
        <v>0</v>
      </c>
      <c r="BP59" s="1273">
        <f t="shared" si="228"/>
        <v>-0.25</v>
      </c>
      <c r="BQ59" s="1205"/>
      <c r="BR59" s="1206"/>
      <c r="BU59" s="1186"/>
      <c r="BV59" s="1985" t="s">
        <v>524</v>
      </c>
      <c r="BW59" s="1215"/>
      <c r="BX59" s="1627">
        <f>Valuation!$BY$33</f>
        <v>-0.25</v>
      </c>
    </row>
    <row r="60" spans="1:104" ht="12.75" customHeight="1">
      <c r="A60" s="1187"/>
      <c r="B60" s="1619"/>
      <c r="C60" s="1621" t="str">
        <f t="shared" ref="C60:C68" si="252">IF(ISBLANK(C203),"",C203)</f>
        <v>Cinergy / HH</v>
      </c>
      <c r="D60" s="1621" t="str">
        <f t="shared" si="248"/>
        <v/>
      </c>
      <c r="E60" s="1621" t="str">
        <f t="shared" si="248"/>
        <v/>
      </c>
      <c r="F60" s="1563"/>
      <c r="G60" s="1562">
        <f t="shared" si="207"/>
        <v>0</v>
      </c>
      <c r="H60" s="1560">
        <f t="shared" ref="H60:AK60" si="253">IF(ISBLANK(H203),"",H203)</f>
        <v>0</v>
      </c>
      <c r="I60" s="1560">
        <f t="shared" si="253"/>
        <v>0</v>
      </c>
      <c r="J60" s="1561">
        <f t="shared" si="253"/>
        <v>0</v>
      </c>
      <c r="K60" s="1562">
        <f t="shared" si="253"/>
        <v>0</v>
      </c>
      <c r="L60" s="1560">
        <f t="shared" si="253"/>
        <v>0</v>
      </c>
      <c r="M60" s="1560">
        <f t="shared" si="253"/>
        <v>0</v>
      </c>
      <c r="N60" s="1561">
        <f t="shared" si="253"/>
        <v>0</v>
      </c>
      <c r="O60" s="1562">
        <f t="shared" si="253"/>
        <v>0</v>
      </c>
      <c r="P60" s="1560">
        <f t="shared" si="253"/>
        <v>0</v>
      </c>
      <c r="Q60" s="1560">
        <f t="shared" si="253"/>
        <v>0</v>
      </c>
      <c r="R60" s="1560">
        <f t="shared" si="253"/>
        <v>0</v>
      </c>
      <c r="S60" s="1208">
        <f t="shared" si="253"/>
        <v>0</v>
      </c>
      <c r="T60" s="1209">
        <f t="shared" si="253"/>
        <v>0</v>
      </c>
      <c r="U60" s="1209">
        <f t="shared" si="253"/>
        <v>0</v>
      </c>
      <c r="V60" s="1210">
        <f t="shared" si="253"/>
        <v>0</v>
      </c>
      <c r="W60" s="1209">
        <f t="shared" si="253"/>
        <v>0</v>
      </c>
      <c r="X60" s="1209">
        <f t="shared" si="253"/>
        <v>0</v>
      </c>
      <c r="Y60" s="1209">
        <f t="shared" si="253"/>
        <v>0</v>
      </c>
      <c r="Z60" s="1210">
        <f t="shared" si="253"/>
        <v>0</v>
      </c>
      <c r="AA60" s="1209">
        <f t="shared" si="253"/>
        <v>0</v>
      </c>
      <c r="AB60" s="1209">
        <f t="shared" si="253"/>
        <v>0</v>
      </c>
      <c r="AC60" s="1209">
        <f t="shared" si="253"/>
        <v>0</v>
      </c>
      <c r="AD60" s="1210">
        <f t="shared" si="253"/>
        <v>0</v>
      </c>
      <c r="AE60" s="1209">
        <f t="shared" si="253"/>
        <v>0</v>
      </c>
      <c r="AF60" s="1209">
        <f t="shared" si="253"/>
        <v>0</v>
      </c>
      <c r="AG60" s="1209">
        <f t="shared" si="253"/>
        <v>0</v>
      </c>
      <c r="AH60" s="1210">
        <f t="shared" si="253"/>
        <v>0</v>
      </c>
      <c r="AI60" s="1209">
        <f t="shared" si="253"/>
        <v>0</v>
      </c>
      <c r="AJ60" s="1209">
        <f t="shared" si="253"/>
        <v>0</v>
      </c>
      <c r="AK60" s="1209">
        <f t="shared" si="253"/>
        <v>0</v>
      </c>
      <c r="AL60" s="1210">
        <f t="shared" si="208"/>
        <v>0</v>
      </c>
      <c r="AM60" s="1209">
        <f t="shared" si="208"/>
        <v>0</v>
      </c>
      <c r="AN60" s="1209">
        <f t="shared" si="208"/>
        <v>0</v>
      </c>
      <c r="AO60" s="1209">
        <f t="shared" si="208"/>
        <v>0</v>
      </c>
      <c r="AP60" s="1210">
        <f t="shared" si="208"/>
        <v>0</v>
      </c>
      <c r="AQ60" s="1209">
        <f t="shared" ref="AQ60:AT60" si="254">IF(ISBLANK(AQ203),"",AQ203)</f>
        <v>0</v>
      </c>
      <c r="AR60" s="1209">
        <f t="shared" si="254"/>
        <v>0</v>
      </c>
      <c r="AS60" s="1209">
        <f t="shared" si="254"/>
        <v>0</v>
      </c>
      <c r="AT60" s="1210">
        <f t="shared" si="254"/>
        <v>0</v>
      </c>
      <c r="AU60" s="1209">
        <f t="shared" ref="AU60:AX60" si="255">IF(ISBLANK(AU203),"",AU203)</f>
        <v>0</v>
      </c>
      <c r="AV60" s="1209">
        <f t="shared" si="255"/>
        <v>0</v>
      </c>
      <c r="AW60" s="1209">
        <f t="shared" si="255"/>
        <v>0</v>
      </c>
      <c r="AX60" s="1210">
        <f t="shared" si="255"/>
        <v>0</v>
      </c>
      <c r="AY60" s="1209">
        <f t="shared" ref="AY60:BB60" si="256">IF(ISBLANK(AY203),"",AY203)</f>
        <v>0</v>
      </c>
      <c r="AZ60" s="1209">
        <f t="shared" si="256"/>
        <v>0</v>
      </c>
      <c r="BA60" s="1209">
        <f t="shared" si="256"/>
        <v>0</v>
      </c>
      <c r="BB60" s="1210">
        <f t="shared" si="256"/>
        <v>0</v>
      </c>
      <c r="BC60" s="1211"/>
      <c r="BD60" s="1211"/>
      <c r="BE60" s="1269">
        <f t="shared" si="217"/>
        <v>0</v>
      </c>
      <c r="BF60" s="1269">
        <f t="shared" si="218"/>
        <v>0</v>
      </c>
      <c r="BG60" s="1269">
        <f t="shared" si="219"/>
        <v>0</v>
      </c>
      <c r="BH60" s="1273">
        <f t="shared" si="220"/>
        <v>0</v>
      </c>
      <c r="BI60" s="1273">
        <f t="shared" si="221"/>
        <v>0</v>
      </c>
      <c r="BJ60" s="1273">
        <f t="shared" si="222"/>
        <v>0</v>
      </c>
      <c r="BK60" s="1273">
        <f t="shared" si="223"/>
        <v>0</v>
      </c>
      <c r="BL60" s="1273">
        <f t="shared" si="224"/>
        <v>0</v>
      </c>
      <c r="BM60" s="1273">
        <f t="shared" si="225"/>
        <v>0</v>
      </c>
      <c r="BN60" s="1273">
        <f t="shared" si="226"/>
        <v>0</v>
      </c>
      <c r="BO60" s="1273">
        <f t="shared" si="227"/>
        <v>0</v>
      </c>
      <c r="BP60" s="1273">
        <f t="shared" si="228"/>
        <v>0</v>
      </c>
      <c r="BQ60" s="1205"/>
      <c r="BR60" s="1206"/>
      <c r="BU60" s="1186"/>
      <c r="BV60" s="31" t="s">
        <v>1381</v>
      </c>
      <c r="BW60"/>
      <c r="BX60" s="1627">
        <v>-0.25</v>
      </c>
    </row>
    <row r="61" spans="1:104" ht="12.75" customHeight="1">
      <c r="A61" s="1187"/>
      <c r="B61" s="1619"/>
      <c r="C61" s="1621" t="str">
        <f t="shared" si="252"/>
        <v>NI Hub / HH</v>
      </c>
      <c r="D61" s="1621" t="str">
        <f t="shared" si="248"/>
        <v/>
      </c>
      <c r="E61" s="1621" t="str">
        <f t="shared" si="248"/>
        <v/>
      </c>
      <c r="F61" s="1563"/>
      <c r="G61" s="1562">
        <f t="shared" si="207"/>
        <v>0</v>
      </c>
      <c r="H61" s="1560">
        <f t="shared" ref="H61:AK61" si="257">IF(ISBLANK(H204),"",H204)</f>
        <v>0</v>
      </c>
      <c r="I61" s="1560">
        <f t="shared" si="257"/>
        <v>0</v>
      </c>
      <c r="J61" s="1561">
        <f t="shared" si="257"/>
        <v>0</v>
      </c>
      <c r="K61" s="1562">
        <f t="shared" si="257"/>
        <v>0</v>
      </c>
      <c r="L61" s="1560">
        <f t="shared" si="257"/>
        <v>0</v>
      </c>
      <c r="M61" s="1560">
        <f t="shared" si="257"/>
        <v>0</v>
      </c>
      <c r="N61" s="1561">
        <f t="shared" si="257"/>
        <v>0</v>
      </c>
      <c r="O61" s="1562">
        <f t="shared" si="257"/>
        <v>0</v>
      </c>
      <c r="P61" s="1560">
        <f t="shared" si="257"/>
        <v>0</v>
      </c>
      <c r="Q61" s="1560">
        <f t="shared" si="257"/>
        <v>0</v>
      </c>
      <c r="R61" s="1560">
        <f t="shared" si="257"/>
        <v>0</v>
      </c>
      <c r="S61" s="1208">
        <f t="shared" si="257"/>
        <v>0</v>
      </c>
      <c r="T61" s="1209">
        <f t="shared" si="257"/>
        <v>0</v>
      </c>
      <c r="U61" s="1209">
        <f t="shared" si="257"/>
        <v>0</v>
      </c>
      <c r="V61" s="1210">
        <f t="shared" si="257"/>
        <v>0</v>
      </c>
      <c r="W61" s="1209">
        <f t="shared" si="257"/>
        <v>0</v>
      </c>
      <c r="X61" s="1209">
        <f t="shared" si="257"/>
        <v>0</v>
      </c>
      <c r="Y61" s="1209">
        <f t="shared" si="257"/>
        <v>0</v>
      </c>
      <c r="Z61" s="1210">
        <f t="shared" si="257"/>
        <v>0</v>
      </c>
      <c r="AA61" s="1209">
        <f t="shared" si="257"/>
        <v>0</v>
      </c>
      <c r="AB61" s="1209">
        <f t="shared" si="257"/>
        <v>0</v>
      </c>
      <c r="AC61" s="1209">
        <f t="shared" si="257"/>
        <v>0</v>
      </c>
      <c r="AD61" s="1210">
        <f t="shared" si="257"/>
        <v>0</v>
      </c>
      <c r="AE61" s="1209">
        <f t="shared" si="257"/>
        <v>0</v>
      </c>
      <c r="AF61" s="1209">
        <f t="shared" si="257"/>
        <v>0</v>
      </c>
      <c r="AG61" s="1209">
        <f t="shared" si="257"/>
        <v>0</v>
      </c>
      <c r="AH61" s="1210">
        <f t="shared" si="257"/>
        <v>0</v>
      </c>
      <c r="AI61" s="1209">
        <f t="shared" si="257"/>
        <v>0</v>
      </c>
      <c r="AJ61" s="1209">
        <f t="shared" si="257"/>
        <v>0</v>
      </c>
      <c r="AK61" s="1209">
        <f t="shared" si="257"/>
        <v>0</v>
      </c>
      <c r="AL61" s="1210">
        <f t="shared" si="208"/>
        <v>0</v>
      </c>
      <c r="AM61" s="1209">
        <f t="shared" si="208"/>
        <v>0</v>
      </c>
      <c r="AN61" s="1209">
        <f t="shared" si="208"/>
        <v>0</v>
      </c>
      <c r="AO61" s="1209">
        <f t="shared" si="208"/>
        <v>0</v>
      </c>
      <c r="AP61" s="1210">
        <f t="shared" si="208"/>
        <v>0</v>
      </c>
      <c r="AQ61" s="1209">
        <f t="shared" ref="AQ61:AT61" si="258">IF(ISBLANK(AQ204),"",AQ204)</f>
        <v>0</v>
      </c>
      <c r="AR61" s="1209">
        <f t="shared" si="258"/>
        <v>0</v>
      </c>
      <c r="AS61" s="1209">
        <f t="shared" si="258"/>
        <v>0</v>
      </c>
      <c r="AT61" s="1210">
        <f t="shared" si="258"/>
        <v>0</v>
      </c>
      <c r="AU61" s="1209">
        <f t="shared" ref="AU61:AX61" si="259">IF(ISBLANK(AU204),"",AU204)</f>
        <v>0</v>
      </c>
      <c r="AV61" s="1209">
        <f t="shared" si="259"/>
        <v>0</v>
      </c>
      <c r="AW61" s="1209">
        <f t="shared" si="259"/>
        <v>0</v>
      </c>
      <c r="AX61" s="1210">
        <f t="shared" si="259"/>
        <v>0</v>
      </c>
      <c r="AY61" s="1340">
        <f>IF(ISBLANK(AY204),"",IF(Uplift="Yes",Valuation!$BY$33,AY204))</f>
        <v>-0.25</v>
      </c>
      <c r="AZ61" s="1340">
        <f>IF(ISBLANK(AZ204),"",IF(Uplift="Yes",Valuation!$BY$33,AZ204))</f>
        <v>-0.25</v>
      </c>
      <c r="BA61" s="1340">
        <f>IF(ISBLANK(BA204),"",IF(Uplift="Yes",Valuation!$BY$33,BA204))</f>
        <v>-0.25</v>
      </c>
      <c r="BB61" s="1341">
        <f>IF(ISBLANK(BB204),"",IF(Uplift="Yes",Valuation!$BY$33,BB204))</f>
        <v>-0.25</v>
      </c>
      <c r="BC61" s="1211"/>
      <c r="BD61" s="1211"/>
      <c r="BE61" s="1269">
        <f t="shared" si="217"/>
        <v>0</v>
      </c>
      <c r="BF61" s="1269">
        <f t="shared" si="218"/>
        <v>0</v>
      </c>
      <c r="BG61" s="1269">
        <f t="shared" si="219"/>
        <v>0</v>
      </c>
      <c r="BH61" s="1273">
        <f t="shared" si="220"/>
        <v>0</v>
      </c>
      <c r="BI61" s="1273">
        <f t="shared" si="221"/>
        <v>0</v>
      </c>
      <c r="BJ61" s="1273">
        <f t="shared" si="222"/>
        <v>0</v>
      </c>
      <c r="BK61" s="1273">
        <f t="shared" si="223"/>
        <v>0</v>
      </c>
      <c r="BL61" s="1273">
        <f t="shared" si="224"/>
        <v>0</v>
      </c>
      <c r="BM61" s="1273">
        <f t="shared" si="225"/>
        <v>0</v>
      </c>
      <c r="BN61" s="1273">
        <f t="shared" si="226"/>
        <v>0</v>
      </c>
      <c r="BO61" s="1273">
        <f t="shared" si="227"/>
        <v>0</v>
      </c>
      <c r="BP61" s="1273">
        <f t="shared" si="228"/>
        <v>-0.25</v>
      </c>
      <c r="BQ61" s="1205"/>
      <c r="BR61" s="1206"/>
      <c r="BU61" s="1186"/>
      <c r="BV61" s="1397" t="s">
        <v>535</v>
      </c>
      <c r="BW61" s="1551"/>
      <c r="BX61" s="1398">
        <f>+BP200</f>
        <v>-9.0416666699999593E-2</v>
      </c>
    </row>
    <row r="62" spans="1:104" ht="12.75" customHeight="1">
      <c r="A62" s="1187"/>
      <c r="B62" s="1619"/>
      <c r="C62" s="1621" t="str">
        <f t="shared" si="252"/>
        <v>ERCOT Houston / HH</v>
      </c>
      <c r="D62" s="1621" t="str">
        <f t="shared" si="248"/>
        <v/>
      </c>
      <c r="E62" s="1621" t="str">
        <f t="shared" si="248"/>
        <v/>
      </c>
      <c r="F62" s="1563"/>
      <c r="G62" s="1562">
        <f t="shared" si="207"/>
        <v>0</v>
      </c>
      <c r="H62" s="1560">
        <f t="shared" ref="H62:AK62" si="260">IF(ISBLANK(H205),"",H205)</f>
        <v>0</v>
      </c>
      <c r="I62" s="1560">
        <f t="shared" si="260"/>
        <v>0</v>
      </c>
      <c r="J62" s="1561">
        <f t="shared" si="260"/>
        <v>0</v>
      </c>
      <c r="K62" s="1562">
        <f t="shared" si="260"/>
        <v>0</v>
      </c>
      <c r="L62" s="1560">
        <f t="shared" si="260"/>
        <v>0</v>
      </c>
      <c r="M62" s="1560">
        <f t="shared" si="260"/>
        <v>0</v>
      </c>
      <c r="N62" s="1561">
        <f t="shared" si="260"/>
        <v>0</v>
      </c>
      <c r="O62" s="1562">
        <f t="shared" si="260"/>
        <v>0</v>
      </c>
      <c r="P62" s="1560">
        <f t="shared" si="260"/>
        <v>0</v>
      </c>
      <c r="Q62" s="1560">
        <f t="shared" si="260"/>
        <v>0</v>
      </c>
      <c r="R62" s="1560">
        <f t="shared" si="260"/>
        <v>0</v>
      </c>
      <c r="S62" s="1208">
        <f t="shared" si="260"/>
        <v>0</v>
      </c>
      <c r="T62" s="1209">
        <f t="shared" si="260"/>
        <v>0</v>
      </c>
      <c r="U62" s="1209">
        <f t="shared" si="260"/>
        <v>0</v>
      </c>
      <c r="V62" s="1210">
        <f t="shared" si="260"/>
        <v>0</v>
      </c>
      <c r="W62" s="1209">
        <f t="shared" si="260"/>
        <v>0</v>
      </c>
      <c r="X62" s="1209">
        <f t="shared" si="260"/>
        <v>0</v>
      </c>
      <c r="Y62" s="1209">
        <f t="shared" si="260"/>
        <v>0</v>
      </c>
      <c r="Z62" s="1210">
        <f t="shared" si="260"/>
        <v>0</v>
      </c>
      <c r="AA62" s="1209">
        <f t="shared" si="260"/>
        <v>0</v>
      </c>
      <c r="AB62" s="1209">
        <f t="shared" si="260"/>
        <v>0</v>
      </c>
      <c r="AC62" s="1209">
        <f t="shared" si="260"/>
        <v>0</v>
      </c>
      <c r="AD62" s="1210">
        <f t="shared" si="260"/>
        <v>0</v>
      </c>
      <c r="AE62" s="1209">
        <f t="shared" si="260"/>
        <v>0</v>
      </c>
      <c r="AF62" s="1209">
        <f t="shared" si="260"/>
        <v>0</v>
      </c>
      <c r="AG62" s="1209">
        <f t="shared" si="260"/>
        <v>0</v>
      </c>
      <c r="AH62" s="1210">
        <f t="shared" si="260"/>
        <v>0</v>
      </c>
      <c r="AI62" s="1209">
        <f t="shared" si="260"/>
        <v>0</v>
      </c>
      <c r="AJ62" s="1209">
        <f t="shared" si="260"/>
        <v>0</v>
      </c>
      <c r="AK62" s="1209">
        <f t="shared" si="260"/>
        <v>0</v>
      </c>
      <c r="AL62" s="1210">
        <f t="shared" si="208"/>
        <v>0</v>
      </c>
      <c r="AM62" s="1209">
        <f t="shared" ref="AM62:AP81" si="261">IF(ISBLANK(AM205),"",AM205)</f>
        <v>0</v>
      </c>
      <c r="AN62" s="1209">
        <f t="shared" si="261"/>
        <v>0</v>
      </c>
      <c r="AO62" s="1209">
        <f t="shared" si="261"/>
        <v>0</v>
      </c>
      <c r="AP62" s="1210">
        <f t="shared" si="261"/>
        <v>0</v>
      </c>
      <c r="AQ62" s="1209">
        <f t="shared" ref="AQ62:AT62" si="262">IF(ISBLANK(AQ205),"",AQ205)</f>
        <v>0</v>
      </c>
      <c r="AR62" s="1209">
        <f t="shared" si="262"/>
        <v>0</v>
      </c>
      <c r="AS62" s="1209">
        <f t="shared" si="262"/>
        <v>0</v>
      </c>
      <c r="AT62" s="1210">
        <f t="shared" si="262"/>
        <v>0</v>
      </c>
      <c r="AU62" s="1209">
        <f t="shared" ref="AU62:AX62" si="263">IF(ISBLANK(AU205),"",AU205)</f>
        <v>0</v>
      </c>
      <c r="AV62" s="1209">
        <f t="shared" si="263"/>
        <v>0</v>
      </c>
      <c r="AW62" s="1209">
        <f t="shared" si="263"/>
        <v>0</v>
      </c>
      <c r="AX62" s="1210">
        <f t="shared" si="263"/>
        <v>0</v>
      </c>
      <c r="AY62" s="1209">
        <f t="shared" ref="AY62:BB62" si="264">IF(ISBLANK(AY205),"",AY205)</f>
        <v>0</v>
      </c>
      <c r="AZ62" s="1209">
        <f t="shared" si="264"/>
        <v>0</v>
      </c>
      <c r="BA62" s="1209">
        <f t="shared" si="264"/>
        <v>0</v>
      </c>
      <c r="BB62" s="1210">
        <f t="shared" si="264"/>
        <v>0</v>
      </c>
      <c r="BC62" s="1211"/>
      <c r="BD62" s="1211"/>
      <c r="BE62" s="1269">
        <f t="shared" si="217"/>
        <v>0</v>
      </c>
      <c r="BF62" s="1269">
        <f t="shared" si="218"/>
        <v>0</v>
      </c>
      <c r="BG62" s="1269">
        <f t="shared" si="219"/>
        <v>0</v>
      </c>
      <c r="BH62" s="1273">
        <f t="shared" si="220"/>
        <v>0</v>
      </c>
      <c r="BI62" s="1273">
        <f t="shared" si="221"/>
        <v>0</v>
      </c>
      <c r="BJ62" s="1273">
        <f t="shared" si="222"/>
        <v>0</v>
      </c>
      <c r="BK62" s="1273">
        <f t="shared" si="223"/>
        <v>0</v>
      </c>
      <c r="BL62" s="1273">
        <f t="shared" si="224"/>
        <v>0</v>
      </c>
      <c r="BM62" s="1273">
        <f t="shared" si="225"/>
        <v>0</v>
      </c>
      <c r="BN62" s="1273">
        <f t="shared" si="226"/>
        <v>0</v>
      </c>
      <c r="BO62" s="1273">
        <f t="shared" si="227"/>
        <v>0</v>
      </c>
      <c r="BP62" s="1273">
        <f t="shared" si="228"/>
        <v>0</v>
      </c>
      <c r="BQ62" s="1205"/>
      <c r="BR62" s="1206"/>
      <c r="BU62" s="1186"/>
      <c r="BV62" s="1215" t="s">
        <v>537</v>
      </c>
      <c r="BW62" s="1551"/>
      <c r="BX62" s="1399">
        <f>+BX58-BX61</f>
        <v>-0.15958333330000041</v>
      </c>
    </row>
    <row r="63" spans="1:104" ht="12.75" customHeight="1">
      <c r="A63" s="1187"/>
      <c r="B63" s="1619"/>
      <c r="C63" s="1621" t="str">
        <f t="shared" si="252"/>
        <v>ERCOT North / HH</v>
      </c>
      <c r="D63" s="1621" t="str">
        <f t="shared" si="248"/>
        <v/>
      </c>
      <c r="E63" s="1621" t="str">
        <f t="shared" si="248"/>
        <v/>
      </c>
      <c r="F63" s="1563"/>
      <c r="G63" s="1562">
        <f t="shared" si="207"/>
        <v>0</v>
      </c>
      <c r="H63" s="1560">
        <f t="shared" ref="H63:AK63" si="265">IF(ISBLANK(H206),"",H206)</f>
        <v>0</v>
      </c>
      <c r="I63" s="1560">
        <f t="shared" si="265"/>
        <v>0</v>
      </c>
      <c r="J63" s="1561">
        <f t="shared" si="265"/>
        <v>0</v>
      </c>
      <c r="K63" s="1562">
        <f t="shared" si="265"/>
        <v>0</v>
      </c>
      <c r="L63" s="1560">
        <f t="shared" si="265"/>
        <v>0</v>
      </c>
      <c r="M63" s="1560">
        <f t="shared" si="265"/>
        <v>0</v>
      </c>
      <c r="N63" s="1561">
        <f t="shared" si="265"/>
        <v>0</v>
      </c>
      <c r="O63" s="1562">
        <f t="shared" si="265"/>
        <v>0</v>
      </c>
      <c r="P63" s="1560">
        <f t="shared" si="265"/>
        <v>0</v>
      </c>
      <c r="Q63" s="1560">
        <f t="shared" si="265"/>
        <v>0</v>
      </c>
      <c r="R63" s="1560">
        <f t="shared" si="265"/>
        <v>0</v>
      </c>
      <c r="S63" s="1208">
        <f t="shared" si="265"/>
        <v>0</v>
      </c>
      <c r="T63" s="1209">
        <f t="shared" si="265"/>
        <v>0</v>
      </c>
      <c r="U63" s="1209">
        <f t="shared" si="265"/>
        <v>0</v>
      </c>
      <c r="V63" s="1210">
        <f t="shared" si="265"/>
        <v>0</v>
      </c>
      <c r="W63" s="1209">
        <f t="shared" si="265"/>
        <v>0</v>
      </c>
      <c r="X63" s="1209">
        <f t="shared" si="265"/>
        <v>0</v>
      </c>
      <c r="Y63" s="1209">
        <f t="shared" si="265"/>
        <v>0</v>
      </c>
      <c r="Z63" s="1210">
        <f t="shared" si="265"/>
        <v>0</v>
      </c>
      <c r="AA63" s="1209">
        <f t="shared" si="265"/>
        <v>0</v>
      </c>
      <c r="AB63" s="1209">
        <f t="shared" si="265"/>
        <v>0</v>
      </c>
      <c r="AC63" s="1209">
        <f t="shared" si="265"/>
        <v>0</v>
      </c>
      <c r="AD63" s="1210">
        <f t="shared" si="265"/>
        <v>0</v>
      </c>
      <c r="AE63" s="1209">
        <f t="shared" si="265"/>
        <v>0</v>
      </c>
      <c r="AF63" s="1209">
        <f t="shared" si="265"/>
        <v>0</v>
      </c>
      <c r="AG63" s="1209">
        <f t="shared" si="265"/>
        <v>0</v>
      </c>
      <c r="AH63" s="1210">
        <f t="shared" si="265"/>
        <v>0</v>
      </c>
      <c r="AI63" s="1209">
        <f t="shared" si="265"/>
        <v>0</v>
      </c>
      <c r="AJ63" s="1209">
        <f t="shared" si="265"/>
        <v>0</v>
      </c>
      <c r="AK63" s="1209">
        <f t="shared" si="265"/>
        <v>0</v>
      </c>
      <c r="AL63" s="1210">
        <f t="shared" si="208"/>
        <v>0</v>
      </c>
      <c r="AM63" s="1209">
        <f t="shared" si="261"/>
        <v>0</v>
      </c>
      <c r="AN63" s="1209">
        <f t="shared" si="261"/>
        <v>0</v>
      </c>
      <c r="AO63" s="1209">
        <f t="shared" si="261"/>
        <v>0</v>
      </c>
      <c r="AP63" s="1210">
        <f t="shared" si="261"/>
        <v>0</v>
      </c>
      <c r="AQ63" s="1209">
        <f t="shared" ref="AQ63:AT63" si="266">IF(ISBLANK(AQ206),"",AQ206)</f>
        <v>0</v>
      </c>
      <c r="AR63" s="1209">
        <f t="shared" si="266"/>
        <v>0</v>
      </c>
      <c r="AS63" s="1209">
        <f t="shared" si="266"/>
        <v>0</v>
      </c>
      <c r="AT63" s="1210">
        <f t="shared" si="266"/>
        <v>0</v>
      </c>
      <c r="AU63" s="1209">
        <f t="shared" ref="AU63:AX63" si="267">IF(ISBLANK(AU206),"",AU206)</f>
        <v>0</v>
      </c>
      <c r="AV63" s="1209">
        <f t="shared" si="267"/>
        <v>0</v>
      </c>
      <c r="AW63" s="1209">
        <f t="shared" si="267"/>
        <v>0</v>
      </c>
      <c r="AX63" s="1210">
        <f t="shared" si="267"/>
        <v>0</v>
      </c>
      <c r="AY63" s="1209">
        <f t="shared" ref="AY63:BB63" si="268">IF(ISBLANK(AY206),"",AY206)</f>
        <v>0</v>
      </c>
      <c r="AZ63" s="1209">
        <f t="shared" si="268"/>
        <v>0</v>
      </c>
      <c r="BA63" s="1209">
        <f t="shared" si="268"/>
        <v>0</v>
      </c>
      <c r="BB63" s="1210">
        <f t="shared" si="268"/>
        <v>0</v>
      </c>
      <c r="BC63" s="1211"/>
      <c r="BD63" s="1211"/>
      <c r="BE63" s="1269">
        <f t="shared" si="217"/>
        <v>0</v>
      </c>
      <c r="BF63" s="1269">
        <f t="shared" si="218"/>
        <v>0</v>
      </c>
      <c r="BG63" s="1269">
        <f t="shared" si="219"/>
        <v>0</v>
      </c>
      <c r="BH63" s="1273">
        <f t="shared" si="220"/>
        <v>0</v>
      </c>
      <c r="BI63" s="1273">
        <f t="shared" si="221"/>
        <v>0</v>
      </c>
      <c r="BJ63" s="1273">
        <f t="shared" si="222"/>
        <v>0</v>
      </c>
      <c r="BK63" s="1273">
        <f t="shared" si="223"/>
        <v>0</v>
      </c>
      <c r="BL63" s="1273">
        <f t="shared" si="224"/>
        <v>0</v>
      </c>
      <c r="BM63" s="1273">
        <f t="shared" si="225"/>
        <v>0</v>
      </c>
      <c r="BN63" s="1273">
        <f t="shared" si="226"/>
        <v>0</v>
      </c>
      <c r="BO63" s="1273">
        <f t="shared" si="227"/>
        <v>0</v>
      </c>
      <c r="BP63" s="1273">
        <f t="shared" si="228"/>
        <v>0</v>
      </c>
      <c r="BQ63" s="1205"/>
      <c r="BR63" s="1206"/>
      <c r="BU63" s="1186"/>
      <c r="BV63" s="1551"/>
      <c r="BW63" s="1551"/>
      <c r="BX63" s="1551"/>
      <c r="BZ63" s="1985"/>
    </row>
    <row r="64" spans="1:104" ht="12.75" customHeight="1">
      <c r="A64" s="1187"/>
      <c r="B64" s="1619"/>
      <c r="C64" s="1621" t="str">
        <f t="shared" si="252"/>
        <v>ERCOT South / HH</v>
      </c>
      <c r="D64" s="1621" t="str">
        <f t="shared" si="248"/>
        <v/>
      </c>
      <c r="E64" s="1621" t="str">
        <f t="shared" si="248"/>
        <v/>
      </c>
      <c r="F64" s="1563"/>
      <c r="G64" s="1562">
        <f t="shared" si="207"/>
        <v>0</v>
      </c>
      <c r="H64" s="1560">
        <f t="shared" ref="H64:AK64" si="269">IF(ISBLANK(H207),"",H207)</f>
        <v>0</v>
      </c>
      <c r="I64" s="1560">
        <f t="shared" si="269"/>
        <v>0</v>
      </c>
      <c r="J64" s="1561">
        <f t="shared" si="269"/>
        <v>0</v>
      </c>
      <c r="K64" s="1562">
        <f t="shared" si="269"/>
        <v>0</v>
      </c>
      <c r="L64" s="1560">
        <f t="shared" si="269"/>
        <v>0</v>
      </c>
      <c r="M64" s="1560">
        <f t="shared" si="269"/>
        <v>0</v>
      </c>
      <c r="N64" s="1561">
        <f t="shared" si="269"/>
        <v>0</v>
      </c>
      <c r="O64" s="1562">
        <f t="shared" si="269"/>
        <v>0</v>
      </c>
      <c r="P64" s="1560">
        <f t="shared" si="269"/>
        <v>0</v>
      </c>
      <c r="Q64" s="1560">
        <f t="shared" si="269"/>
        <v>0</v>
      </c>
      <c r="R64" s="1560">
        <f t="shared" si="269"/>
        <v>0</v>
      </c>
      <c r="S64" s="1208">
        <f t="shared" si="269"/>
        <v>0</v>
      </c>
      <c r="T64" s="1209">
        <f t="shared" si="269"/>
        <v>0</v>
      </c>
      <c r="U64" s="1209">
        <f t="shared" si="269"/>
        <v>0</v>
      </c>
      <c r="V64" s="1210">
        <f t="shared" si="269"/>
        <v>0</v>
      </c>
      <c r="W64" s="1209">
        <f t="shared" si="269"/>
        <v>0</v>
      </c>
      <c r="X64" s="1209">
        <f t="shared" si="269"/>
        <v>0</v>
      </c>
      <c r="Y64" s="1209">
        <f t="shared" si="269"/>
        <v>0</v>
      </c>
      <c r="Z64" s="1210">
        <f t="shared" si="269"/>
        <v>0</v>
      </c>
      <c r="AA64" s="1209">
        <f t="shared" si="269"/>
        <v>0</v>
      </c>
      <c r="AB64" s="1209">
        <f t="shared" si="269"/>
        <v>0</v>
      </c>
      <c r="AC64" s="1209">
        <f t="shared" si="269"/>
        <v>0</v>
      </c>
      <c r="AD64" s="1210">
        <f t="shared" si="269"/>
        <v>0</v>
      </c>
      <c r="AE64" s="1209">
        <f t="shared" si="269"/>
        <v>0</v>
      </c>
      <c r="AF64" s="1209">
        <f t="shared" si="269"/>
        <v>0</v>
      </c>
      <c r="AG64" s="1209">
        <f t="shared" si="269"/>
        <v>0</v>
      </c>
      <c r="AH64" s="1210">
        <f t="shared" si="269"/>
        <v>0</v>
      </c>
      <c r="AI64" s="1209">
        <f t="shared" si="269"/>
        <v>0</v>
      </c>
      <c r="AJ64" s="1209">
        <f t="shared" si="269"/>
        <v>0</v>
      </c>
      <c r="AK64" s="1209">
        <f t="shared" si="269"/>
        <v>0</v>
      </c>
      <c r="AL64" s="1210">
        <f t="shared" si="208"/>
        <v>0</v>
      </c>
      <c r="AM64" s="1209">
        <f t="shared" si="261"/>
        <v>0</v>
      </c>
      <c r="AN64" s="1209">
        <f t="shared" si="261"/>
        <v>0</v>
      </c>
      <c r="AO64" s="1209">
        <f t="shared" si="261"/>
        <v>0</v>
      </c>
      <c r="AP64" s="1210">
        <f t="shared" si="261"/>
        <v>0</v>
      </c>
      <c r="AQ64" s="1209">
        <f t="shared" ref="AQ64:AT64" si="270">IF(ISBLANK(AQ207),"",AQ207)</f>
        <v>0</v>
      </c>
      <c r="AR64" s="1209">
        <f t="shared" si="270"/>
        <v>0</v>
      </c>
      <c r="AS64" s="1209">
        <f t="shared" si="270"/>
        <v>0</v>
      </c>
      <c r="AT64" s="1210">
        <f t="shared" si="270"/>
        <v>0</v>
      </c>
      <c r="AU64" s="1209">
        <f t="shared" ref="AU64:AX64" si="271">IF(ISBLANK(AU207),"",AU207)</f>
        <v>0</v>
      </c>
      <c r="AV64" s="1209">
        <f t="shared" si="271"/>
        <v>0</v>
      </c>
      <c r="AW64" s="1209">
        <f t="shared" si="271"/>
        <v>0</v>
      </c>
      <c r="AX64" s="1210">
        <f t="shared" si="271"/>
        <v>0</v>
      </c>
      <c r="AY64" s="1209">
        <f t="shared" ref="AY64:BB64" si="272">IF(ISBLANK(AY207),"",AY207)</f>
        <v>0</v>
      </c>
      <c r="AZ64" s="1209">
        <f t="shared" si="272"/>
        <v>0</v>
      </c>
      <c r="BA64" s="1209">
        <f t="shared" si="272"/>
        <v>0</v>
      </c>
      <c r="BB64" s="1210">
        <f t="shared" si="272"/>
        <v>0</v>
      </c>
      <c r="BC64" s="1211"/>
      <c r="BD64" s="1211"/>
      <c r="BE64" s="1269">
        <f t="shared" si="217"/>
        <v>0</v>
      </c>
      <c r="BF64" s="1269">
        <f t="shared" si="218"/>
        <v>0</v>
      </c>
      <c r="BG64" s="1269">
        <f t="shared" si="219"/>
        <v>0</v>
      </c>
      <c r="BH64" s="1273">
        <f t="shared" si="220"/>
        <v>0</v>
      </c>
      <c r="BI64" s="1273">
        <f t="shared" si="221"/>
        <v>0</v>
      </c>
      <c r="BJ64" s="1273">
        <f t="shared" si="222"/>
        <v>0</v>
      </c>
      <c r="BK64" s="1273">
        <f t="shared" si="223"/>
        <v>0</v>
      </c>
      <c r="BL64" s="1273">
        <f t="shared" si="224"/>
        <v>0</v>
      </c>
      <c r="BM64" s="1273">
        <f t="shared" si="225"/>
        <v>0</v>
      </c>
      <c r="BN64" s="1273">
        <f t="shared" si="226"/>
        <v>0</v>
      </c>
      <c r="BO64" s="1273">
        <f t="shared" si="227"/>
        <v>0</v>
      </c>
      <c r="BP64" s="1273">
        <f t="shared" si="228"/>
        <v>0</v>
      </c>
      <c r="BQ64" s="1205"/>
      <c r="BR64" s="1206"/>
      <c r="BU64" s="1186"/>
      <c r="BV64" s="1397" t="s">
        <v>536</v>
      </c>
      <c r="BW64" s="1551"/>
      <c r="BX64" s="1398">
        <f>+BM202</f>
        <v>0.86104918032786892</v>
      </c>
      <c r="BZ64" s="1985"/>
    </row>
    <row r="65" spans="1:77" ht="12.75" customHeight="1">
      <c r="A65" s="1187"/>
      <c r="B65" s="1619"/>
      <c r="C65" s="1621" t="str">
        <f t="shared" si="252"/>
        <v>Palo Verde / SCAL</v>
      </c>
      <c r="D65" s="1621" t="str">
        <f t="shared" si="248"/>
        <v/>
      </c>
      <c r="E65" s="1621" t="str">
        <f t="shared" si="248"/>
        <v/>
      </c>
      <c r="F65" s="1563"/>
      <c r="G65" s="1562">
        <f t="shared" si="207"/>
        <v>0.12785416666666727</v>
      </c>
      <c r="H65" s="1560">
        <f t="shared" ref="H65:AK65" si="273">IF(ISBLANK(H208),"",H208)</f>
        <v>-0.1638730158730155</v>
      </c>
      <c r="I65" s="1560">
        <f t="shared" si="273"/>
        <v>-0.31553124999999982</v>
      </c>
      <c r="J65" s="1561">
        <f t="shared" si="273"/>
        <v>2.7430769230770924E-2</v>
      </c>
      <c r="K65" s="1562">
        <f t="shared" si="273"/>
        <v>-4.0562500000001833E-2</v>
      </c>
      <c r="L65" s="1560">
        <f t="shared" si="273"/>
        <v>2.5078125000001172E-2</v>
      </c>
      <c r="M65" s="1560">
        <f t="shared" si="273"/>
        <v>0.14203125000000227</v>
      </c>
      <c r="N65" s="1561">
        <f t="shared" si="273"/>
        <v>0.29906349206349114</v>
      </c>
      <c r="O65" s="1562">
        <f t="shared" si="273"/>
        <v>0.31830158730158775</v>
      </c>
      <c r="P65" s="1560">
        <f t="shared" si="273"/>
        <v>0.28319047619047666</v>
      </c>
      <c r="Q65" s="1560">
        <f t="shared" si="273"/>
        <v>0.20952380952380834</v>
      </c>
      <c r="R65" s="1560">
        <f t="shared" si="273"/>
        <v>0.32709374999999907</v>
      </c>
      <c r="S65" s="1208">
        <f t="shared" si="273"/>
        <v>0.26973333333333294</v>
      </c>
      <c r="T65" s="1209">
        <f t="shared" si="273"/>
        <v>0.15754687499999775</v>
      </c>
      <c r="U65" s="1209">
        <f t="shared" si="273"/>
        <v>0.23087499999999972</v>
      </c>
      <c r="V65" s="1210">
        <f t="shared" si="273"/>
        <v>0.29959375000000188</v>
      </c>
      <c r="W65" s="1209">
        <f t="shared" si="273"/>
        <v>0.30404918032786998</v>
      </c>
      <c r="X65" s="1209">
        <f t="shared" si="273"/>
        <v>0.30642187499999984</v>
      </c>
      <c r="Y65" s="1209">
        <f t="shared" si="273"/>
        <v>0.50754687499999829</v>
      </c>
      <c r="Z65" s="1210">
        <f t="shared" si="273"/>
        <v>0.25204687500000134</v>
      </c>
      <c r="AA65" s="1209">
        <f t="shared" si="273"/>
        <v>-3.7548387096775215E-2</v>
      </c>
      <c r="AB65" s="1209">
        <f t="shared" si="273"/>
        <v>6.8507936507938183E-2</v>
      </c>
      <c r="AC65" s="1209">
        <f t="shared" si="273"/>
        <v>0.26343749999999932</v>
      </c>
      <c r="AD65" s="1210">
        <f t="shared" si="273"/>
        <v>0.35907936507936444</v>
      </c>
      <c r="AE65" s="1209">
        <f t="shared" si="273"/>
        <v>0.10468852459016342</v>
      </c>
      <c r="AF65" s="1209">
        <f t="shared" si="273"/>
        <v>7.9562500000000203E-2</v>
      </c>
      <c r="AG65" s="1209">
        <f t="shared" si="273"/>
        <v>3.6515625000000718E-2</v>
      </c>
      <c r="AH65" s="1210">
        <f t="shared" si="273"/>
        <v>4.9693548387096609E-2</v>
      </c>
      <c r="AI65" s="1209">
        <f t="shared" si="273"/>
        <v>0.15672580645161371</v>
      </c>
      <c r="AJ65" s="1209">
        <f t="shared" si="273"/>
        <v>0.10859375000000027</v>
      </c>
      <c r="AK65" s="1209">
        <f t="shared" si="273"/>
        <v>0.25880952380952404</v>
      </c>
      <c r="AL65" s="1210">
        <f t="shared" si="208"/>
        <v>1.4901290322580647</v>
      </c>
      <c r="AM65" s="1209">
        <f t="shared" si="261"/>
        <v>0.7802950819672132</v>
      </c>
      <c r="AN65" s="1209">
        <f t="shared" si="261"/>
        <v>-0.66499999999999959</v>
      </c>
      <c r="AO65" s="1209">
        <f t="shared" si="261"/>
        <v>-0.37199999999999989</v>
      </c>
      <c r="AP65" s="1210">
        <f t="shared" si="261"/>
        <v>-0.49500000000000055</v>
      </c>
      <c r="AQ65" s="1209">
        <f t="shared" ref="AQ65:AT65" si="274">IF(ISBLANK(AQ208),"",AQ208)</f>
        <v>-0.30713417480557936</v>
      </c>
      <c r="AR65" s="1209">
        <f t="shared" si="274"/>
        <v>-0.75064523540322092</v>
      </c>
      <c r="AS65" s="1209">
        <f t="shared" si="274"/>
        <v>-0.53237727470099783</v>
      </c>
      <c r="AT65" s="1210">
        <f t="shared" si="274"/>
        <v>-0.20050998189020053</v>
      </c>
      <c r="AU65" s="1209">
        <f t="shared" ref="AU65:AX65" si="275">IF(ISBLANK(AU208),"",AU208)</f>
        <v>-0.26491667997570767</v>
      </c>
      <c r="AV65" s="1209">
        <f t="shared" si="275"/>
        <v>-0.72952134616272168</v>
      </c>
      <c r="AW65" s="1209">
        <f t="shared" si="275"/>
        <v>-0.50344822491097485</v>
      </c>
      <c r="AX65" s="1210">
        <f t="shared" si="275"/>
        <v>-0.15278041575059387</v>
      </c>
      <c r="AY65" s="1209">
        <f t="shared" ref="AY65:BB65" si="276">IF(ISBLANK(AY208),"",AY208)</f>
        <v>-0.18976284925876685</v>
      </c>
      <c r="AZ65" s="1209">
        <f t="shared" si="276"/>
        <v>-0.6882236801665047</v>
      </c>
      <c r="BA65" s="1209">
        <f t="shared" si="276"/>
        <v>-0.44995803943269674</v>
      </c>
      <c r="BB65" s="1210">
        <f t="shared" si="276"/>
        <v>-6.8722097942030214E-2</v>
      </c>
      <c r="BC65" s="1211"/>
      <c r="BD65" s="1211"/>
      <c r="BE65" s="1269">
        <f t="shared" si="217"/>
        <v>-8.1029832493894283E-2</v>
      </c>
      <c r="BF65" s="1269">
        <f t="shared" si="218"/>
        <v>0.10640259176587319</v>
      </c>
      <c r="BG65" s="1269">
        <f t="shared" si="219"/>
        <v>0.28452740575396795</v>
      </c>
      <c r="BH65" s="1273">
        <f t="shared" si="220"/>
        <v>0.23943723958333307</v>
      </c>
      <c r="BI65" s="1273">
        <f t="shared" si="221"/>
        <v>0.34251620133196736</v>
      </c>
      <c r="BJ65" s="1273">
        <f t="shared" si="222"/>
        <v>0.16336910362263168</v>
      </c>
      <c r="BK65" s="1273">
        <f t="shared" si="223"/>
        <v>6.7615049494315238E-2</v>
      </c>
      <c r="BL65" s="1273">
        <f t="shared" si="224"/>
        <v>0.50356452812980068</v>
      </c>
      <c r="BM65" s="1273">
        <f t="shared" si="225"/>
        <v>-0.18792622950819671</v>
      </c>
      <c r="BN65" s="1273">
        <f t="shared" si="226"/>
        <v>-0.44766666669999966</v>
      </c>
      <c r="BO65" s="1273">
        <f t="shared" si="227"/>
        <v>-0.41266666669999952</v>
      </c>
      <c r="BP65" s="1273">
        <f t="shared" si="228"/>
        <v>-0.34916666669999963</v>
      </c>
      <c r="BQ65" s="1205"/>
      <c r="BR65" s="1206"/>
      <c r="BU65" s="1186"/>
      <c r="BV65" s="1215" t="s">
        <v>538</v>
      </c>
      <c r="BW65" s="1551"/>
      <c r="BX65" s="1399">
        <f>+BX58-BX64</f>
        <v>-1.111049180327869</v>
      </c>
    </row>
    <row r="66" spans="1:77" ht="12.75" customHeight="1">
      <c r="A66" s="1187"/>
      <c r="B66" s="1619"/>
      <c r="C66" s="1621" t="str">
        <f t="shared" si="252"/>
        <v>SP 15 / SCAL</v>
      </c>
      <c r="D66" s="1621" t="str">
        <f t="shared" si="248"/>
        <v/>
      </c>
      <c r="E66" s="1621" t="str">
        <f t="shared" si="248"/>
        <v/>
      </c>
      <c r="F66" s="1563"/>
      <c r="G66" s="1562">
        <f t="shared" si="207"/>
        <v>0.12785416666666727</v>
      </c>
      <c r="H66" s="1560">
        <f t="shared" ref="H66:AK66" si="277">IF(ISBLANK(H209),"",H209)</f>
        <v>-0.1638730158730155</v>
      </c>
      <c r="I66" s="1560">
        <f t="shared" si="277"/>
        <v>-0.31553124999999982</v>
      </c>
      <c r="J66" s="1561">
        <f t="shared" si="277"/>
        <v>2.7430769230770924E-2</v>
      </c>
      <c r="K66" s="1562">
        <f t="shared" si="277"/>
        <v>-4.0562500000001833E-2</v>
      </c>
      <c r="L66" s="1560">
        <f t="shared" si="277"/>
        <v>2.5078125000001172E-2</v>
      </c>
      <c r="M66" s="1560">
        <f t="shared" si="277"/>
        <v>0.14203125000000227</v>
      </c>
      <c r="N66" s="1561">
        <f t="shared" si="277"/>
        <v>0.29906349206349114</v>
      </c>
      <c r="O66" s="1562">
        <f t="shared" si="277"/>
        <v>0.31830158730158775</v>
      </c>
      <c r="P66" s="1560">
        <f t="shared" si="277"/>
        <v>0.28319047619047666</v>
      </c>
      <c r="Q66" s="1560">
        <f t="shared" si="277"/>
        <v>0.20952380952380834</v>
      </c>
      <c r="R66" s="1560">
        <f t="shared" si="277"/>
        <v>0.32709374999999907</v>
      </c>
      <c r="S66" s="1208">
        <f t="shared" si="277"/>
        <v>0.26973333333333294</v>
      </c>
      <c r="T66" s="1209">
        <f t="shared" si="277"/>
        <v>0.15754687499999775</v>
      </c>
      <c r="U66" s="1209">
        <f t="shared" si="277"/>
        <v>0.23087499999999972</v>
      </c>
      <c r="V66" s="1210">
        <f t="shared" si="277"/>
        <v>0.29959375000000188</v>
      </c>
      <c r="W66" s="1209">
        <f t="shared" si="277"/>
        <v>0.30404918032786998</v>
      </c>
      <c r="X66" s="1209">
        <f t="shared" si="277"/>
        <v>0.30642187499999984</v>
      </c>
      <c r="Y66" s="1209">
        <f t="shared" si="277"/>
        <v>0.50754687499999829</v>
      </c>
      <c r="Z66" s="1210">
        <f t="shared" si="277"/>
        <v>0.25204687500000134</v>
      </c>
      <c r="AA66" s="1209">
        <f t="shared" si="277"/>
        <v>-3.7548387096775215E-2</v>
      </c>
      <c r="AB66" s="1209">
        <f t="shared" si="277"/>
        <v>6.8507936507938183E-2</v>
      </c>
      <c r="AC66" s="1209">
        <f t="shared" si="277"/>
        <v>0.26343749999999932</v>
      </c>
      <c r="AD66" s="1210">
        <f t="shared" si="277"/>
        <v>0.35907936507936444</v>
      </c>
      <c r="AE66" s="1209">
        <f t="shared" si="277"/>
        <v>0.10468852459016342</v>
      </c>
      <c r="AF66" s="1209">
        <f t="shared" si="277"/>
        <v>7.9562500000000203E-2</v>
      </c>
      <c r="AG66" s="1209">
        <f t="shared" si="277"/>
        <v>3.6515625000000718E-2</v>
      </c>
      <c r="AH66" s="1210">
        <f t="shared" si="277"/>
        <v>4.9693548387096609E-2</v>
      </c>
      <c r="AI66" s="1209">
        <f t="shared" si="277"/>
        <v>0.15672580645161371</v>
      </c>
      <c r="AJ66" s="1209">
        <f t="shared" si="277"/>
        <v>0.10859375000000027</v>
      </c>
      <c r="AK66" s="1209">
        <f t="shared" si="277"/>
        <v>0.25880952380952404</v>
      </c>
      <c r="AL66" s="1210">
        <f t="shared" si="208"/>
        <v>1.4901290322580647</v>
      </c>
      <c r="AM66" s="1209">
        <f t="shared" si="261"/>
        <v>0.7802950819672132</v>
      </c>
      <c r="AN66" s="1209">
        <f t="shared" si="261"/>
        <v>-0.66499999999999959</v>
      </c>
      <c r="AO66" s="1209">
        <f t="shared" si="261"/>
        <v>-0.37199999999999989</v>
      </c>
      <c r="AP66" s="1210">
        <f t="shared" si="261"/>
        <v>-0.49500000000000055</v>
      </c>
      <c r="AQ66" s="1209">
        <f t="shared" ref="AQ66:AT66" si="278">IF(ISBLANK(AQ209),"",AQ209)</f>
        <v>-0.30713417480557936</v>
      </c>
      <c r="AR66" s="1209">
        <f t="shared" si="278"/>
        <v>-0.75064523540322092</v>
      </c>
      <c r="AS66" s="1209">
        <f t="shared" si="278"/>
        <v>-0.53237727470099783</v>
      </c>
      <c r="AT66" s="1210">
        <f t="shared" si="278"/>
        <v>-0.20050998189020053</v>
      </c>
      <c r="AU66" s="1209">
        <f t="shared" ref="AU66:AX66" si="279">IF(ISBLANK(AU209),"",AU209)</f>
        <v>-0.26491667997570767</v>
      </c>
      <c r="AV66" s="1209">
        <f t="shared" si="279"/>
        <v>-0.72952134616272168</v>
      </c>
      <c r="AW66" s="1209">
        <f t="shared" si="279"/>
        <v>-0.50344822491097485</v>
      </c>
      <c r="AX66" s="1210">
        <f t="shared" si="279"/>
        <v>-0.15278041575059387</v>
      </c>
      <c r="AY66" s="1209">
        <f t="shared" ref="AY66:BB66" si="280">IF(ISBLANK(AY209),"",AY209)</f>
        <v>-0.18976284925876685</v>
      </c>
      <c r="AZ66" s="1209">
        <f t="shared" si="280"/>
        <v>-0.6882236801665047</v>
      </c>
      <c r="BA66" s="1209">
        <f t="shared" si="280"/>
        <v>-0.44995803943269674</v>
      </c>
      <c r="BB66" s="1210">
        <f t="shared" si="280"/>
        <v>-6.8722097942030214E-2</v>
      </c>
      <c r="BC66" s="1211"/>
      <c r="BD66" s="1211"/>
      <c r="BE66" s="1269">
        <f t="shared" si="217"/>
        <v>-8.1029832493894283E-2</v>
      </c>
      <c r="BF66" s="1269">
        <f t="shared" si="218"/>
        <v>0.10640259176587319</v>
      </c>
      <c r="BG66" s="1269">
        <f t="shared" si="219"/>
        <v>0.28452740575396795</v>
      </c>
      <c r="BH66" s="1273">
        <f t="shared" si="220"/>
        <v>0.23943723958333307</v>
      </c>
      <c r="BI66" s="1273">
        <f t="shared" si="221"/>
        <v>0.34251620133196736</v>
      </c>
      <c r="BJ66" s="1273">
        <f t="shared" si="222"/>
        <v>0.16336910362263168</v>
      </c>
      <c r="BK66" s="1273">
        <f t="shared" si="223"/>
        <v>6.7615049494315238E-2</v>
      </c>
      <c r="BL66" s="1273">
        <f t="shared" si="224"/>
        <v>0.50356452812980068</v>
      </c>
      <c r="BM66" s="1273">
        <f t="shared" si="225"/>
        <v>-0.18792622950819671</v>
      </c>
      <c r="BN66" s="1273">
        <f t="shared" si="226"/>
        <v>-0.44766666669999966</v>
      </c>
      <c r="BO66" s="1273">
        <f t="shared" si="227"/>
        <v>-0.41266666669999952</v>
      </c>
      <c r="BP66" s="1273">
        <f t="shared" si="228"/>
        <v>-0.34916666669999963</v>
      </c>
      <c r="BQ66" s="1205"/>
      <c r="BR66" s="1206"/>
      <c r="BU66" s="1186"/>
    </row>
    <row r="67" spans="1:77" ht="12.75" customHeight="1">
      <c r="A67" s="1187"/>
      <c r="B67" s="1619"/>
      <c r="C67" s="1621" t="str">
        <f t="shared" si="252"/>
        <v>NP 15 / SCAL</v>
      </c>
      <c r="D67" s="1621" t="str">
        <f t="shared" si="248"/>
        <v/>
      </c>
      <c r="E67" s="1621" t="str">
        <f t="shared" si="248"/>
        <v/>
      </c>
      <c r="F67" s="1563"/>
      <c r="G67" s="1562">
        <f t="shared" si="207"/>
        <v>0.12785416666666727</v>
      </c>
      <c r="H67" s="1560">
        <f t="shared" ref="H67:AK67" si="281">IF(ISBLANK(H210),"",H210)</f>
        <v>-0.1638730158730155</v>
      </c>
      <c r="I67" s="1560">
        <f t="shared" si="281"/>
        <v>-0.31553124999999982</v>
      </c>
      <c r="J67" s="1561">
        <f t="shared" si="281"/>
        <v>2.7430769230770924E-2</v>
      </c>
      <c r="K67" s="1562">
        <f t="shared" si="281"/>
        <v>-4.0562500000001833E-2</v>
      </c>
      <c r="L67" s="1560">
        <f t="shared" si="281"/>
        <v>2.5078125000001172E-2</v>
      </c>
      <c r="M67" s="1560">
        <f t="shared" si="281"/>
        <v>0.14203125000000227</v>
      </c>
      <c r="N67" s="1561">
        <f t="shared" si="281"/>
        <v>0.29906349206349114</v>
      </c>
      <c r="O67" s="1562">
        <f t="shared" si="281"/>
        <v>0.31830158730158775</v>
      </c>
      <c r="P67" s="1560">
        <f t="shared" si="281"/>
        <v>0.28319047619047666</v>
      </c>
      <c r="Q67" s="1560">
        <f t="shared" si="281"/>
        <v>0.20952380952380834</v>
      </c>
      <c r="R67" s="1560">
        <f t="shared" si="281"/>
        <v>0.32709374999999907</v>
      </c>
      <c r="S67" s="1208">
        <f t="shared" si="281"/>
        <v>0.26973333333333294</v>
      </c>
      <c r="T67" s="1209">
        <f t="shared" si="281"/>
        <v>0.15754687499999775</v>
      </c>
      <c r="U67" s="1209">
        <f t="shared" si="281"/>
        <v>0.23087499999999972</v>
      </c>
      <c r="V67" s="1210">
        <f t="shared" si="281"/>
        <v>0.29959375000000188</v>
      </c>
      <c r="W67" s="1209">
        <f t="shared" si="281"/>
        <v>0.30404918032786998</v>
      </c>
      <c r="X67" s="1209">
        <f t="shared" si="281"/>
        <v>0.30642187499999984</v>
      </c>
      <c r="Y67" s="1209">
        <f t="shared" si="281"/>
        <v>0.50754687499999829</v>
      </c>
      <c r="Z67" s="1210">
        <f t="shared" si="281"/>
        <v>0.25204687500000134</v>
      </c>
      <c r="AA67" s="1209">
        <f t="shared" si="281"/>
        <v>-3.7548387096775215E-2</v>
      </c>
      <c r="AB67" s="1209">
        <f t="shared" si="281"/>
        <v>6.8507936507938183E-2</v>
      </c>
      <c r="AC67" s="1209">
        <f t="shared" si="281"/>
        <v>0.26343749999999932</v>
      </c>
      <c r="AD67" s="1210">
        <f t="shared" si="281"/>
        <v>0.35907936507936444</v>
      </c>
      <c r="AE67" s="1209">
        <f t="shared" si="281"/>
        <v>0.10468852459016342</v>
      </c>
      <c r="AF67" s="1209">
        <f t="shared" si="281"/>
        <v>7.9562500000000203E-2</v>
      </c>
      <c r="AG67" s="1209">
        <f t="shared" si="281"/>
        <v>3.6515625000000718E-2</v>
      </c>
      <c r="AH67" s="1210">
        <f t="shared" si="281"/>
        <v>4.9693548387096609E-2</v>
      </c>
      <c r="AI67" s="1209">
        <f t="shared" si="281"/>
        <v>0.15672580645161371</v>
      </c>
      <c r="AJ67" s="1209">
        <f t="shared" si="281"/>
        <v>0.10859375000000027</v>
      </c>
      <c r="AK67" s="1209">
        <f t="shared" si="281"/>
        <v>0.25880952380952404</v>
      </c>
      <c r="AL67" s="1210">
        <f t="shared" si="208"/>
        <v>1.4901290322580647</v>
      </c>
      <c r="AM67" s="1209">
        <f t="shared" si="261"/>
        <v>0.7802950819672132</v>
      </c>
      <c r="AN67" s="1209">
        <f t="shared" si="261"/>
        <v>-0.66499999999999959</v>
      </c>
      <c r="AO67" s="1209">
        <f t="shared" si="261"/>
        <v>-0.37199999999999989</v>
      </c>
      <c r="AP67" s="1210">
        <f t="shared" si="261"/>
        <v>-0.49500000000000055</v>
      </c>
      <c r="AQ67" s="1209">
        <f t="shared" ref="AQ67:AT67" si="282">IF(ISBLANK(AQ210),"",AQ210)</f>
        <v>-0.30713417480557936</v>
      </c>
      <c r="AR67" s="1209">
        <f t="shared" si="282"/>
        <v>-0.75064523540322092</v>
      </c>
      <c r="AS67" s="1209">
        <f t="shared" si="282"/>
        <v>-0.53237727470099783</v>
      </c>
      <c r="AT67" s="1210">
        <f t="shared" si="282"/>
        <v>-0.20050998189020053</v>
      </c>
      <c r="AU67" s="1209">
        <f t="shared" ref="AU67:AX67" si="283">IF(ISBLANK(AU210),"",AU210)</f>
        <v>-0.26491667997570767</v>
      </c>
      <c r="AV67" s="1209">
        <f t="shared" si="283"/>
        <v>-0.72952134616272168</v>
      </c>
      <c r="AW67" s="1209">
        <f t="shared" si="283"/>
        <v>-0.50344822491097485</v>
      </c>
      <c r="AX67" s="1210">
        <f t="shared" si="283"/>
        <v>-0.15278041575059387</v>
      </c>
      <c r="AY67" s="1209">
        <f t="shared" ref="AY67:BB67" si="284">IF(ISBLANK(AY210),"",AY210)</f>
        <v>-0.18976284925876685</v>
      </c>
      <c r="AZ67" s="1209">
        <f t="shared" si="284"/>
        <v>-0.6882236801665047</v>
      </c>
      <c r="BA67" s="1209">
        <f t="shared" si="284"/>
        <v>-0.44995803943269674</v>
      </c>
      <c r="BB67" s="1210">
        <f t="shared" si="284"/>
        <v>-6.8722097942030214E-2</v>
      </c>
      <c r="BC67" s="1211"/>
      <c r="BD67" s="1211"/>
      <c r="BE67" s="1269">
        <f t="shared" si="217"/>
        <v>-8.1029832493894283E-2</v>
      </c>
      <c r="BF67" s="1269">
        <f t="shared" si="218"/>
        <v>0.10640259176587319</v>
      </c>
      <c r="BG67" s="1269">
        <f t="shared" si="219"/>
        <v>0.28452740575396795</v>
      </c>
      <c r="BH67" s="1273">
        <f t="shared" si="220"/>
        <v>0.23943723958333307</v>
      </c>
      <c r="BI67" s="1273">
        <f t="shared" si="221"/>
        <v>0.34251620133196736</v>
      </c>
      <c r="BJ67" s="1273">
        <f t="shared" si="222"/>
        <v>0.16336910362263168</v>
      </c>
      <c r="BK67" s="1273">
        <f t="shared" si="223"/>
        <v>6.7615049494315238E-2</v>
      </c>
      <c r="BL67" s="1273">
        <f t="shared" si="224"/>
        <v>0.50356452812980068</v>
      </c>
      <c r="BM67" s="1273">
        <f t="shared" si="225"/>
        <v>-0.18792622950819671</v>
      </c>
      <c r="BN67" s="1273">
        <f t="shared" si="226"/>
        <v>-0.44766666669999966</v>
      </c>
      <c r="BO67" s="1273">
        <f t="shared" si="227"/>
        <v>-0.41266666669999952</v>
      </c>
      <c r="BP67" s="1273">
        <f t="shared" si="228"/>
        <v>-0.34916666669999963</v>
      </c>
      <c r="BQ67" s="1205"/>
      <c r="BR67" s="1206"/>
      <c r="BU67" s="1186"/>
      <c r="BV67" s="1551"/>
      <c r="BW67" s="1551"/>
      <c r="BX67" s="1551"/>
    </row>
    <row r="68" spans="1:77" ht="12.75" customHeight="1">
      <c r="A68" s="1187"/>
      <c r="B68" s="1619"/>
      <c r="C68" s="1621" t="str">
        <f t="shared" si="252"/>
        <v>Mid C / SCAL</v>
      </c>
      <c r="D68" s="1621" t="str">
        <f t="shared" si="248"/>
        <v/>
      </c>
      <c r="E68" s="1621" t="str">
        <f t="shared" si="248"/>
        <v/>
      </c>
      <c r="F68" s="1563"/>
      <c r="G68" s="1562">
        <f t="shared" si="207"/>
        <v>0.12785416666666727</v>
      </c>
      <c r="H68" s="1560">
        <f t="shared" ref="H68:AK68" si="285">IF(ISBLANK(H211),"",H211)</f>
        <v>-0.1638730158730155</v>
      </c>
      <c r="I68" s="1560">
        <f t="shared" si="285"/>
        <v>-0.31553124999999982</v>
      </c>
      <c r="J68" s="1561">
        <f t="shared" si="285"/>
        <v>2.7430769230770924E-2</v>
      </c>
      <c r="K68" s="1562">
        <f t="shared" si="285"/>
        <v>-4.0562500000001833E-2</v>
      </c>
      <c r="L68" s="1560">
        <f t="shared" si="285"/>
        <v>2.5078125000001172E-2</v>
      </c>
      <c r="M68" s="1560">
        <f t="shared" si="285"/>
        <v>0.14203125000000227</v>
      </c>
      <c r="N68" s="1561">
        <f t="shared" si="285"/>
        <v>0.29906349206349114</v>
      </c>
      <c r="O68" s="1562">
        <f t="shared" si="285"/>
        <v>0.31830158730158775</v>
      </c>
      <c r="P68" s="1560">
        <f t="shared" si="285"/>
        <v>0.28319047619047666</v>
      </c>
      <c r="Q68" s="1560">
        <f t="shared" si="285"/>
        <v>0.20952380952380834</v>
      </c>
      <c r="R68" s="1560">
        <f t="shared" si="285"/>
        <v>0.32709374999999907</v>
      </c>
      <c r="S68" s="1208">
        <f t="shared" si="285"/>
        <v>0.26973333333333294</v>
      </c>
      <c r="T68" s="1209">
        <f t="shared" si="285"/>
        <v>0.15754687499999775</v>
      </c>
      <c r="U68" s="1209">
        <f t="shared" si="285"/>
        <v>0.23087499999999972</v>
      </c>
      <c r="V68" s="1210">
        <f t="shared" si="285"/>
        <v>0.29959375000000188</v>
      </c>
      <c r="W68" s="1209">
        <f t="shared" si="285"/>
        <v>0.30404918032786998</v>
      </c>
      <c r="X68" s="1209">
        <f t="shared" si="285"/>
        <v>0.30642187499999984</v>
      </c>
      <c r="Y68" s="1209">
        <f t="shared" si="285"/>
        <v>0.50754687499999829</v>
      </c>
      <c r="Z68" s="1210">
        <f t="shared" si="285"/>
        <v>0.25204687500000134</v>
      </c>
      <c r="AA68" s="1209">
        <f t="shared" si="285"/>
        <v>-3.7548387096775215E-2</v>
      </c>
      <c r="AB68" s="1209">
        <f t="shared" si="285"/>
        <v>6.8507936507938183E-2</v>
      </c>
      <c r="AC68" s="1209">
        <f t="shared" si="285"/>
        <v>0.26343749999999932</v>
      </c>
      <c r="AD68" s="1210">
        <f t="shared" si="285"/>
        <v>0.35907936507936444</v>
      </c>
      <c r="AE68" s="1209">
        <f t="shared" si="285"/>
        <v>0.10468852459016342</v>
      </c>
      <c r="AF68" s="1209">
        <f t="shared" si="285"/>
        <v>7.9562500000000203E-2</v>
      </c>
      <c r="AG68" s="1209">
        <f t="shared" si="285"/>
        <v>3.6515625000000718E-2</v>
      </c>
      <c r="AH68" s="1210">
        <f t="shared" si="285"/>
        <v>4.9693548387096609E-2</v>
      </c>
      <c r="AI68" s="1209">
        <f t="shared" si="285"/>
        <v>0.15672580645161371</v>
      </c>
      <c r="AJ68" s="1209">
        <f t="shared" si="285"/>
        <v>0.10859375000000027</v>
      </c>
      <c r="AK68" s="1209">
        <f t="shared" si="285"/>
        <v>0.25880952380952404</v>
      </c>
      <c r="AL68" s="1210">
        <f t="shared" si="208"/>
        <v>1.4901290322580647</v>
      </c>
      <c r="AM68" s="1209">
        <f t="shared" si="261"/>
        <v>0.7802950819672132</v>
      </c>
      <c r="AN68" s="1209">
        <f t="shared" si="261"/>
        <v>-0.66499999999999959</v>
      </c>
      <c r="AO68" s="1209">
        <f t="shared" si="261"/>
        <v>-0.37199999999999989</v>
      </c>
      <c r="AP68" s="1210">
        <f t="shared" si="261"/>
        <v>-0.49500000000000055</v>
      </c>
      <c r="AQ68" s="1209">
        <f t="shared" ref="AQ68:AT68" si="286">IF(ISBLANK(AQ211),"",AQ211)</f>
        <v>-0.30713417480557936</v>
      </c>
      <c r="AR68" s="1209">
        <f t="shared" si="286"/>
        <v>-0.75064523540322092</v>
      </c>
      <c r="AS68" s="1209">
        <f t="shared" si="286"/>
        <v>-0.53237727470099783</v>
      </c>
      <c r="AT68" s="1210">
        <f t="shared" si="286"/>
        <v>-0.20050998189020053</v>
      </c>
      <c r="AU68" s="1209">
        <f t="shared" ref="AU68:AX68" si="287">IF(ISBLANK(AU211),"",AU211)</f>
        <v>-0.26491667997570767</v>
      </c>
      <c r="AV68" s="1209">
        <f t="shared" si="287"/>
        <v>-0.72952134616272168</v>
      </c>
      <c r="AW68" s="1209">
        <f t="shared" si="287"/>
        <v>-0.50344822491097485</v>
      </c>
      <c r="AX68" s="1210">
        <f t="shared" si="287"/>
        <v>-0.15278041575059387</v>
      </c>
      <c r="AY68" s="1209">
        <f t="shared" ref="AY68:BB68" si="288">IF(ISBLANK(AY211),"",AY211)</f>
        <v>-0.18976284925876685</v>
      </c>
      <c r="AZ68" s="1209">
        <f t="shared" si="288"/>
        <v>-0.6882236801665047</v>
      </c>
      <c r="BA68" s="1209">
        <f t="shared" si="288"/>
        <v>-0.44995803943269674</v>
      </c>
      <c r="BB68" s="1210">
        <f t="shared" si="288"/>
        <v>-6.8722097942030214E-2</v>
      </c>
      <c r="BC68" s="1211"/>
      <c r="BD68" s="1211"/>
      <c r="BE68" s="1269">
        <f t="shared" si="217"/>
        <v>-8.1029832493894283E-2</v>
      </c>
      <c r="BF68" s="1269">
        <f t="shared" si="218"/>
        <v>0.10640259176587319</v>
      </c>
      <c r="BG68" s="1269">
        <f t="shared" si="219"/>
        <v>0.28452740575396795</v>
      </c>
      <c r="BH68" s="1273">
        <f t="shared" si="220"/>
        <v>0.23943723958333307</v>
      </c>
      <c r="BI68" s="1273">
        <f t="shared" si="221"/>
        <v>0.34251620133196736</v>
      </c>
      <c r="BJ68" s="1273">
        <f t="shared" si="222"/>
        <v>0.16336910362263168</v>
      </c>
      <c r="BK68" s="1273">
        <f t="shared" si="223"/>
        <v>6.7615049494315238E-2</v>
      </c>
      <c r="BL68" s="1273">
        <f t="shared" si="224"/>
        <v>0.50356452812980068</v>
      </c>
      <c r="BM68" s="1273">
        <f t="shared" si="225"/>
        <v>-0.18792622950819671</v>
      </c>
      <c r="BN68" s="1273">
        <f t="shared" si="226"/>
        <v>-0.44766666669999966</v>
      </c>
      <c r="BO68" s="1273">
        <f t="shared" si="227"/>
        <v>-0.41266666669999952</v>
      </c>
      <c r="BP68" s="1273">
        <f t="shared" si="228"/>
        <v>-0.34916666669999963</v>
      </c>
      <c r="BQ68" s="1205"/>
      <c r="BR68" s="1206"/>
      <c r="BU68" s="1186"/>
      <c r="BV68" s="1395" t="s">
        <v>85</v>
      </c>
      <c r="BW68" s="1405" t="s">
        <v>502</v>
      </c>
      <c r="BX68" s="1405" t="s">
        <v>539</v>
      </c>
      <c r="BY68" s="1405" t="s">
        <v>540</v>
      </c>
    </row>
    <row r="69" spans="1:77" ht="12.75" customHeight="1">
      <c r="A69" s="1187"/>
      <c r="B69" s="1619"/>
      <c r="C69" s="2293" t="s">
        <v>1535</v>
      </c>
      <c r="D69" s="1621" t="str">
        <f t="shared" si="248"/>
        <v/>
      </c>
      <c r="E69" s="1621" t="str">
        <f t="shared" si="248"/>
        <v/>
      </c>
      <c r="F69" s="1572"/>
      <c r="G69" s="1562">
        <f t="shared" si="207"/>
        <v>-8.8041666666665463E-2</v>
      </c>
      <c r="H69" s="1560">
        <f t="shared" ref="H69:AK69" si="289">IF(ISBLANK(H212),"",H212)</f>
        <v>-0.16344444444444317</v>
      </c>
      <c r="I69" s="1560">
        <f t="shared" si="289"/>
        <v>-0.26625000000000032</v>
      </c>
      <c r="J69" s="1561">
        <f t="shared" si="289"/>
        <v>-0.10644615384615275</v>
      </c>
      <c r="K69" s="1562">
        <f t="shared" si="289"/>
        <v>-3.8796875000000064E-2</v>
      </c>
      <c r="L69" s="1560">
        <f t="shared" si="289"/>
        <v>-0.11246874999999878</v>
      </c>
      <c r="M69" s="1560">
        <f t="shared" si="289"/>
        <v>-8.0437500000000384E-2</v>
      </c>
      <c r="N69" s="1561">
        <f t="shared" si="289"/>
        <v>-7.6968253968253908E-2</v>
      </c>
      <c r="O69" s="1562">
        <f t="shared" si="289"/>
        <v>-6.4174603174603106E-2</v>
      </c>
      <c r="P69" s="1560">
        <f t="shared" si="289"/>
        <v>-5.0873015873015071E-2</v>
      </c>
      <c r="Q69" s="1560">
        <f t="shared" si="289"/>
        <v>-6.5730158730158195E-2</v>
      </c>
      <c r="R69" s="1560">
        <f t="shared" si="289"/>
        <v>-7.0828125000001574E-2</v>
      </c>
      <c r="S69" s="1208">
        <f t="shared" si="289"/>
        <v>-6.5516666666667334E-2</v>
      </c>
      <c r="T69" s="1209">
        <f t="shared" si="289"/>
        <v>-0.10400000000000054</v>
      </c>
      <c r="U69" s="1209">
        <f t="shared" si="289"/>
        <v>-6.8781250000001126E-2</v>
      </c>
      <c r="V69" s="1210">
        <f t="shared" si="289"/>
        <v>-4.9484375000000469E-2</v>
      </c>
      <c r="W69" s="1209">
        <f t="shared" si="289"/>
        <v>0.13100000000000023</v>
      </c>
      <c r="X69" s="1209">
        <f t="shared" si="289"/>
        <v>-0.1406093749999977</v>
      </c>
      <c r="Y69" s="1209">
        <f t="shared" si="289"/>
        <v>-8.2046874999999631E-2</v>
      </c>
      <c r="Z69" s="1210">
        <f t="shared" si="289"/>
        <v>-0.13220312499999887</v>
      </c>
      <c r="AA69" s="1209">
        <f t="shared" si="289"/>
        <v>-0.18638709677419296</v>
      </c>
      <c r="AB69" s="1209">
        <f t="shared" si="289"/>
        <v>-0.1698571428571416</v>
      </c>
      <c r="AC69" s="1209">
        <f t="shared" si="289"/>
        <v>-9.4734374999999815E-2</v>
      </c>
      <c r="AD69" s="1210">
        <f t="shared" si="289"/>
        <v>-7.3825396825397682E-2</v>
      </c>
      <c r="AE69" s="1209">
        <f t="shared" si="289"/>
        <v>-0.13737704918032856</v>
      </c>
      <c r="AF69" s="1209">
        <f t="shared" si="289"/>
        <v>-0.15981249999999947</v>
      </c>
      <c r="AG69" s="1209">
        <f t="shared" si="289"/>
        <v>-0.16378125000000088</v>
      </c>
      <c r="AH69" s="1210">
        <f t="shared" si="289"/>
        <v>-0.1974516129032251</v>
      </c>
      <c r="AI69" s="1209">
        <f t="shared" si="289"/>
        <v>-0.2175806451612905</v>
      </c>
      <c r="AJ69" s="1209">
        <f t="shared" si="289"/>
        <v>-0.31395312499999983</v>
      </c>
      <c r="AK69" s="1209">
        <f t="shared" si="289"/>
        <v>-0.23814285714285521</v>
      </c>
      <c r="AL69" s="1210">
        <f t="shared" si="208"/>
        <v>-0.332435483870968</v>
      </c>
      <c r="AM69" s="1209">
        <f t="shared" si="261"/>
        <v>-0.44990163934426253</v>
      </c>
      <c r="AN69" s="1209">
        <f t="shared" si="261"/>
        <v>-0.37966666666666615</v>
      </c>
      <c r="AO69" s="1209">
        <f t="shared" si="261"/>
        <v>-0.39166666666666661</v>
      </c>
      <c r="AP69" s="1210">
        <f t="shared" si="261"/>
        <v>-0.37166666666666703</v>
      </c>
      <c r="AQ69" s="1209">
        <f t="shared" ref="AQ69:AT69" si="290">IF(ISBLANK(AQ212),"",AQ212)</f>
        <v>-0.19602769763382533</v>
      </c>
      <c r="AR69" s="1209">
        <f t="shared" si="290"/>
        <v>-0.300845626465994</v>
      </c>
      <c r="AS69" s="1209">
        <f t="shared" si="290"/>
        <v>-0.18112311230464595</v>
      </c>
      <c r="AT69" s="1210">
        <f t="shared" si="290"/>
        <v>-0.4933368969288674</v>
      </c>
      <c r="AU69" s="1209">
        <f t="shared" ref="AU69:AX69" si="291">IF(ISBLANK(AU212),"",AU212)</f>
        <v>-0.21941821857145705</v>
      </c>
      <c r="AV69" s="1209">
        <f t="shared" si="291"/>
        <v>-0.28887692999624326</v>
      </c>
      <c r="AW69" s="1209">
        <f t="shared" si="291"/>
        <v>-0.1563235091335029</v>
      </c>
      <c r="AX69" s="1210">
        <f t="shared" si="291"/>
        <v>-0.48504800896546163</v>
      </c>
      <c r="AY69" s="1209">
        <f t="shared" ref="AY69:BB69" si="292">IF(ISBLANK(AY212),"",AY212)</f>
        <v>-0.2167463007799646</v>
      </c>
      <c r="AZ69" s="1209">
        <f t="shared" si="292"/>
        <v>-0.28245768253923886</v>
      </c>
      <c r="BA69" s="1209">
        <f t="shared" si="292"/>
        <v>-0.14056807383264047</v>
      </c>
      <c r="BB69" s="1210">
        <f t="shared" si="292"/>
        <v>-0.47456127618148791</v>
      </c>
      <c r="BC69" s="1211"/>
      <c r="BD69" s="1211"/>
      <c r="BE69" s="1269"/>
      <c r="BF69" s="1269"/>
      <c r="BG69" s="1269"/>
      <c r="BH69" s="1273"/>
      <c r="BI69" s="1273"/>
      <c r="BJ69" s="1273"/>
      <c r="BK69" s="1273"/>
      <c r="BL69" s="1273"/>
      <c r="BM69" s="1273"/>
      <c r="BN69" s="1273"/>
      <c r="BO69" s="1273"/>
      <c r="BP69" s="1273"/>
      <c r="BQ69" s="1205"/>
      <c r="BR69" s="1226"/>
      <c r="BU69" s="1186"/>
      <c r="BV69" s="1397" t="str">
        <f t="shared" ref="BV69:BV76" si="293">+C82</f>
        <v>PJM West</v>
      </c>
      <c r="BW69" s="2077">
        <f t="shared" ref="BW69:BW76" si="294">+BP82</f>
        <v>14319.999999999998</v>
      </c>
      <c r="BX69" s="2078">
        <f>+BW36</f>
        <v>14319.999999999998</v>
      </c>
      <c r="BY69" s="2076">
        <f>+BW69-BX69</f>
        <v>0</v>
      </c>
    </row>
    <row r="70" spans="1:77" ht="12.75" customHeight="1">
      <c r="A70" s="1187"/>
      <c r="B70" s="1619"/>
      <c r="G70" s="1562" t="str">
        <f t="shared" si="207"/>
        <v/>
      </c>
      <c r="H70" s="1560" t="str">
        <f t="shared" ref="H70:AK70" si="295">IF(ISBLANK(H213),"",H213)</f>
        <v/>
      </c>
      <c r="I70" s="1560" t="str">
        <f t="shared" si="295"/>
        <v/>
      </c>
      <c r="J70" s="1561" t="str">
        <f t="shared" si="295"/>
        <v/>
      </c>
      <c r="K70" s="1562" t="str">
        <f t="shared" si="295"/>
        <v/>
      </c>
      <c r="L70" s="1560" t="str">
        <f t="shared" si="295"/>
        <v/>
      </c>
      <c r="M70" s="1560" t="str">
        <f t="shared" si="295"/>
        <v/>
      </c>
      <c r="N70" s="1561" t="str">
        <f t="shared" si="295"/>
        <v/>
      </c>
      <c r="O70" s="1562" t="str">
        <f t="shared" si="295"/>
        <v/>
      </c>
      <c r="P70" s="1560" t="str">
        <f t="shared" si="295"/>
        <v/>
      </c>
      <c r="Q70" s="1560" t="str">
        <f t="shared" si="295"/>
        <v/>
      </c>
      <c r="R70" s="1560" t="str">
        <f t="shared" si="295"/>
        <v/>
      </c>
      <c r="S70" s="1208" t="str">
        <f t="shared" si="295"/>
        <v/>
      </c>
      <c r="T70" s="1209" t="str">
        <f t="shared" si="295"/>
        <v/>
      </c>
      <c r="U70" s="1209" t="str">
        <f t="shared" si="295"/>
        <v/>
      </c>
      <c r="V70" s="1210" t="str">
        <f t="shared" si="295"/>
        <v/>
      </c>
      <c r="W70" s="1209" t="str">
        <f t="shared" si="295"/>
        <v/>
      </c>
      <c r="X70" s="1209" t="str">
        <f t="shared" si="295"/>
        <v/>
      </c>
      <c r="Y70" s="1209" t="str">
        <f t="shared" si="295"/>
        <v/>
      </c>
      <c r="Z70" s="1210" t="str">
        <f t="shared" si="295"/>
        <v/>
      </c>
      <c r="AA70" s="1209" t="str">
        <f t="shared" si="295"/>
        <v/>
      </c>
      <c r="AB70" s="1209" t="str">
        <f t="shared" si="295"/>
        <v/>
      </c>
      <c r="AC70" s="1209" t="str">
        <f t="shared" si="295"/>
        <v/>
      </c>
      <c r="AD70" s="1210" t="str">
        <f t="shared" si="295"/>
        <v/>
      </c>
      <c r="AE70" s="1209" t="str">
        <f t="shared" si="295"/>
        <v/>
      </c>
      <c r="AF70" s="1209" t="str">
        <f t="shared" si="295"/>
        <v/>
      </c>
      <c r="AG70" s="1209" t="str">
        <f t="shared" si="295"/>
        <v/>
      </c>
      <c r="AH70" s="1210" t="str">
        <f t="shared" si="295"/>
        <v/>
      </c>
      <c r="AI70" s="1209" t="str">
        <f t="shared" si="295"/>
        <v/>
      </c>
      <c r="AJ70" s="1209" t="str">
        <f t="shared" si="295"/>
        <v/>
      </c>
      <c r="AK70" s="1209" t="str">
        <f t="shared" si="295"/>
        <v/>
      </c>
      <c r="AL70" s="1210" t="str">
        <f t="shared" si="208"/>
        <v/>
      </c>
      <c r="AM70" s="1209" t="str">
        <f t="shared" si="261"/>
        <v/>
      </c>
      <c r="AN70" s="1209" t="str">
        <f t="shared" si="261"/>
        <v/>
      </c>
      <c r="AO70" s="1209" t="str">
        <f t="shared" si="261"/>
        <v/>
      </c>
      <c r="AP70" s="1210" t="str">
        <f t="shared" si="261"/>
        <v/>
      </c>
      <c r="AQ70" s="1209" t="str">
        <f t="shared" ref="AQ70:AT70" si="296">IF(ISBLANK(AQ213),"",AQ213)</f>
        <v/>
      </c>
      <c r="AR70" s="1209" t="str">
        <f t="shared" si="296"/>
        <v/>
      </c>
      <c r="AS70" s="1209" t="str">
        <f t="shared" si="296"/>
        <v/>
      </c>
      <c r="AT70" s="1210" t="str">
        <f t="shared" si="296"/>
        <v/>
      </c>
      <c r="AU70" s="1209" t="str">
        <f t="shared" ref="AU70:AX70" si="297">IF(ISBLANK(AU213),"",AU213)</f>
        <v/>
      </c>
      <c r="AV70" s="1209" t="str">
        <f t="shared" si="297"/>
        <v/>
      </c>
      <c r="AW70" s="1209" t="str">
        <f t="shared" si="297"/>
        <v/>
      </c>
      <c r="AX70" s="1210" t="str">
        <f t="shared" si="297"/>
        <v/>
      </c>
      <c r="AY70" s="1209" t="str">
        <f t="shared" ref="AY70:BB70" si="298">IF(ISBLANK(AY213),"",AY213)</f>
        <v/>
      </c>
      <c r="AZ70" s="1209" t="str">
        <f t="shared" si="298"/>
        <v/>
      </c>
      <c r="BA70" s="1209" t="str">
        <f t="shared" si="298"/>
        <v/>
      </c>
      <c r="BB70" s="1210" t="str">
        <f t="shared" si="298"/>
        <v/>
      </c>
      <c r="BC70" s="1211"/>
      <c r="BD70" s="1211"/>
      <c r="BE70" s="1269"/>
      <c r="BF70" s="1269"/>
      <c r="BG70" s="1269"/>
      <c r="BH70" s="1273"/>
      <c r="BI70" s="1273"/>
      <c r="BJ70" s="1273"/>
      <c r="BK70" s="1273"/>
      <c r="BL70" s="1273"/>
      <c r="BM70" s="1273"/>
      <c r="BN70" s="1273"/>
      <c r="BO70" s="1273"/>
      <c r="BP70" s="1273"/>
      <c r="BQ70" s="1205"/>
      <c r="BR70" s="1206"/>
      <c r="BU70" s="1186"/>
      <c r="BV70" s="1397" t="str">
        <f t="shared" si="293"/>
        <v>PJM East</v>
      </c>
      <c r="BW70" s="2077">
        <f t="shared" si="294"/>
        <v>14408.571428571429</v>
      </c>
      <c r="BX70" s="2078">
        <f t="shared" ref="BX70:BX73" si="299">+BW37</f>
        <v>14408.571428571429</v>
      </c>
      <c r="BY70" s="1400">
        <f t="shared" ref="BY70:BY76" si="300">+BW70-BX70</f>
        <v>0</v>
      </c>
    </row>
    <row r="71" spans="1:77" ht="12.75" customHeight="1">
      <c r="A71" s="1187"/>
      <c r="B71" s="1619"/>
      <c r="C71" s="1216" t="str">
        <f t="shared" ref="C71:E75" si="301">IF(ISBLANK(C214),"",C214)</f>
        <v>Coal Delivery Costs</v>
      </c>
      <c r="D71" s="1625" t="str">
        <f t="shared" si="301"/>
        <v/>
      </c>
      <c r="E71" s="1625" t="str">
        <f t="shared" si="301"/>
        <v/>
      </c>
      <c r="F71" s="1350"/>
      <c r="G71" s="1562" t="str">
        <f t="shared" si="207"/>
        <v/>
      </c>
      <c r="H71" s="1560" t="str">
        <f t="shared" ref="H71:AK71" si="302">IF(ISBLANK(H214),"",H214)</f>
        <v/>
      </c>
      <c r="I71" s="1560" t="str">
        <f t="shared" si="302"/>
        <v/>
      </c>
      <c r="J71" s="1561" t="str">
        <f t="shared" si="302"/>
        <v/>
      </c>
      <c r="K71" s="1562" t="str">
        <f t="shared" si="302"/>
        <v/>
      </c>
      <c r="L71" s="1560" t="str">
        <f t="shared" si="302"/>
        <v/>
      </c>
      <c r="M71" s="1560" t="str">
        <f t="shared" si="302"/>
        <v/>
      </c>
      <c r="N71" s="1561" t="str">
        <f t="shared" si="302"/>
        <v/>
      </c>
      <c r="O71" s="1562" t="str">
        <f t="shared" si="302"/>
        <v/>
      </c>
      <c r="P71" s="1560" t="str">
        <f t="shared" si="302"/>
        <v/>
      </c>
      <c r="Q71" s="1560" t="str">
        <f t="shared" si="302"/>
        <v/>
      </c>
      <c r="R71" s="1560" t="str">
        <f t="shared" si="302"/>
        <v/>
      </c>
      <c r="S71" s="1208" t="str">
        <f t="shared" si="302"/>
        <v/>
      </c>
      <c r="T71" s="1209" t="str">
        <f t="shared" si="302"/>
        <v/>
      </c>
      <c r="U71" s="1209" t="str">
        <f t="shared" si="302"/>
        <v/>
      </c>
      <c r="V71" s="1210" t="str">
        <f t="shared" si="302"/>
        <v/>
      </c>
      <c r="W71" s="1209" t="str">
        <f t="shared" si="302"/>
        <v/>
      </c>
      <c r="X71" s="1209" t="str">
        <f t="shared" si="302"/>
        <v/>
      </c>
      <c r="Y71" s="1209" t="str">
        <f t="shared" si="302"/>
        <v/>
      </c>
      <c r="Z71" s="1210" t="str">
        <f t="shared" si="302"/>
        <v/>
      </c>
      <c r="AA71" s="1209" t="str">
        <f t="shared" si="302"/>
        <v/>
      </c>
      <c r="AB71" s="1209" t="str">
        <f t="shared" si="302"/>
        <v/>
      </c>
      <c r="AC71" s="1209" t="str">
        <f t="shared" si="302"/>
        <v/>
      </c>
      <c r="AD71" s="1210" t="str">
        <f t="shared" si="302"/>
        <v/>
      </c>
      <c r="AE71" s="1209" t="str">
        <f t="shared" si="302"/>
        <v/>
      </c>
      <c r="AF71" s="1209" t="str">
        <f t="shared" si="302"/>
        <v/>
      </c>
      <c r="AG71" s="1209" t="str">
        <f t="shared" si="302"/>
        <v/>
      </c>
      <c r="AH71" s="1210" t="str">
        <f t="shared" si="302"/>
        <v/>
      </c>
      <c r="AI71" s="1209" t="str">
        <f t="shared" si="302"/>
        <v/>
      </c>
      <c r="AJ71" s="1209" t="str">
        <f t="shared" si="302"/>
        <v/>
      </c>
      <c r="AK71" s="1209" t="str">
        <f t="shared" si="302"/>
        <v/>
      </c>
      <c r="AL71" s="1210" t="str">
        <f t="shared" si="208"/>
        <v/>
      </c>
      <c r="AM71" s="1209" t="str">
        <f t="shared" si="261"/>
        <v/>
      </c>
      <c r="AN71" s="1209" t="str">
        <f t="shared" si="261"/>
        <v/>
      </c>
      <c r="AO71" s="1209" t="str">
        <f t="shared" si="261"/>
        <v/>
      </c>
      <c r="AP71" s="1210" t="str">
        <f t="shared" si="261"/>
        <v/>
      </c>
      <c r="AQ71" s="1209" t="str">
        <f t="shared" ref="AQ71:AT71" si="303">IF(ISBLANK(AQ214),"",AQ214)</f>
        <v/>
      </c>
      <c r="AR71" s="1209" t="str">
        <f t="shared" si="303"/>
        <v/>
      </c>
      <c r="AS71" s="1209" t="str">
        <f t="shared" si="303"/>
        <v/>
      </c>
      <c r="AT71" s="1210" t="str">
        <f t="shared" si="303"/>
        <v/>
      </c>
      <c r="AU71" s="1209" t="str">
        <f t="shared" ref="AU71:AX71" si="304">IF(ISBLANK(AU214),"",AU214)</f>
        <v/>
      </c>
      <c r="AV71" s="1209" t="str">
        <f t="shared" si="304"/>
        <v/>
      </c>
      <c r="AW71" s="1209" t="str">
        <f t="shared" si="304"/>
        <v/>
      </c>
      <c r="AX71" s="1210" t="str">
        <f t="shared" si="304"/>
        <v/>
      </c>
      <c r="AY71" s="1209" t="str">
        <f t="shared" ref="AY71:BB71" si="305">IF(ISBLANK(AY214),"",AY214)</f>
        <v/>
      </c>
      <c r="AZ71" s="1209" t="str">
        <f t="shared" si="305"/>
        <v/>
      </c>
      <c r="BA71" s="1209" t="str">
        <f t="shared" si="305"/>
        <v/>
      </c>
      <c r="BB71" s="1210" t="str">
        <f t="shared" si="305"/>
        <v/>
      </c>
      <c r="BC71" s="1211"/>
      <c r="BD71" s="1211"/>
      <c r="BE71" s="1269"/>
      <c r="BF71" s="1269"/>
      <c r="BG71" s="1269"/>
      <c r="BH71" s="1269"/>
      <c r="BI71" s="1269"/>
      <c r="BJ71" s="1269"/>
      <c r="BK71" s="1269"/>
      <c r="BL71" s="1269"/>
      <c r="BM71" s="1269"/>
      <c r="BN71" s="1269"/>
      <c r="BO71" s="1269"/>
      <c r="BP71" s="1269"/>
      <c r="BQ71" s="1205"/>
      <c r="BR71" s="1206"/>
      <c r="BU71" s="1186"/>
      <c r="BV71" s="1397" t="str">
        <f t="shared" si="293"/>
        <v>AEP Dayton</v>
      </c>
      <c r="BW71" s="2077">
        <f t="shared" si="294"/>
        <v>14758.214285714284</v>
      </c>
      <c r="BX71" s="2078">
        <f t="shared" si="299"/>
        <v>14758.214285714284</v>
      </c>
      <c r="BY71" s="1400">
        <f t="shared" si="300"/>
        <v>0</v>
      </c>
    </row>
    <row r="72" spans="1:77" ht="12.75" customHeight="1">
      <c r="A72" s="1187"/>
      <c r="B72" s="1619"/>
      <c r="C72" s="1621" t="str">
        <f t="shared" si="301"/>
        <v>Coal (Delivery Cost $/t)</v>
      </c>
      <c r="D72" s="1621" t="str">
        <f t="shared" si="301"/>
        <v/>
      </c>
      <c r="E72" s="1621" t="str">
        <f t="shared" si="301"/>
        <v/>
      </c>
      <c r="F72" s="1572"/>
      <c r="G72" s="1208">
        <f t="shared" si="207"/>
        <v>5</v>
      </c>
      <c r="H72" s="1209">
        <f t="shared" ref="H72:AK72" si="306">IF(ISBLANK(H215),"",H215)</f>
        <v>5</v>
      </c>
      <c r="I72" s="1209">
        <f t="shared" si="306"/>
        <v>5</v>
      </c>
      <c r="J72" s="1210">
        <f t="shared" si="306"/>
        <v>5</v>
      </c>
      <c r="K72" s="1208">
        <f t="shared" si="306"/>
        <v>5</v>
      </c>
      <c r="L72" s="1209">
        <f t="shared" si="306"/>
        <v>5</v>
      </c>
      <c r="M72" s="1209">
        <f t="shared" si="306"/>
        <v>5</v>
      </c>
      <c r="N72" s="1210">
        <f t="shared" si="306"/>
        <v>5</v>
      </c>
      <c r="O72" s="1208">
        <f t="shared" si="306"/>
        <v>5</v>
      </c>
      <c r="P72" s="1209">
        <f t="shared" si="306"/>
        <v>5</v>
      </c>
      <c r="Q72" s="1209">
        <f t="shared" si="306"/>
        <v>5</v>
      </c>
      <c r="R72" s="1209">
        <f t="shared" si="306"/>
        <v>5</v>
      </c>
      <c r="S72" s="1208">
        <f t="shared" si="306"/>
        <v>5</v>
      </c>
      <c r="T72" s="1209">
        <f t="shared" si="306"/>
        <v>5</v>
      </c>
      <c r="U72" s="1209">
        <f t="shared" si="306"/>
        <v>5</v>
      </c>
      <c r="V72" s="1210">
        <f t="shared" si="306"/>
        <v>5</v>
      </c>
      <c r="W72" s="1209">
        <f t="shared" si="306"/>
        <v>5</v>
      </c>
      <c r="X72" s="1209">
        <f t="shared" si="306"/>
        <v>5</v>
      </c>
      <c r="Y72" s="1209">
        <f t="shared" si="306"/>
        <v>5</v>
      </c>
      <c r="Z72" s="1210">
        <f t="shared" si="306"/>
        <v>5</v>
      </c>
      <c r="AA72" s="1209">
        <f t="shared" si="306"/>
        <v>5</v>
      </c>
      <c r="AB72" s="1209">
        <f t="shared" si="306"/>
        <v>5</v>
      </c>
      <c r="AC72" s="1209">
        <f t="shared" si="306"/>
        <v>5</v>
      </c>
      <c r="AD72" s="1210">
        <f t="shared" si="306"/>
        <v>5</v>
      </c>
      <c r="AE72" s="1209">
        <f t="shared" si="306"/>
        <v>5</v>
      </c>
      <c r="AF72" s="1209">
        <f t="shared" si="306"/>
        <v>5</v>
      </c>
      <c r="AG72" s="1209">
        <f t="shared" si="306"/>
        <v>5</v>
      </c>
      <c r="AH72" s="1210">
        <f t="shared" si="306"/>
        <v>5</v>
      </c>
      <c r="AI72" s="1209">
        <f t="shared" si="306"/>
        <v>5</v>
      </c>
      <c r="AJ72" s="1209">
        <f t="shared" si="306"/>
        <v>5</v>
      </c>
      <c r="AK72" s="1209">
        <f t="shared" si="306"/>
        <v>5</v>
      </c>
      <c r="AL72" s="1210">
        <f t="shared" si="208"/>
        <v>5</v>
      </c>
      <c r="AM72" s="1209">
        <f t="shared" si="261"/>
        <v>5</v>
      </c>
      <c r="AN72" s="1209">
        <f t="shared" si="261"/>
        <v>5</v>
      </c>
      <c r="AO72" s="1209">
        <f t="shared" si="261"/>
        <v>5</v>
      </c>
      <c r="AP72" s="1210">
        <f t="shared" si="261"/>
        <v>5</v>
      </c>
      <c r="AQ72" s="1209">
        <f t="shared" ref="AQ72:AT72" si="307">IF(ISBLANK(AQ215),"",AQ215)</f>
        <v>5</v>
      </c>
      <c r="AR72" s="1209">
        <f t="shared" si="307"/>
        <v>5</v>
      </c>
      <c r="AS72" s="1209">
        <f t="shared" si="307"/>
        <v>5</v>
      </c>
      <c r="AT72" s="1210">
        <f t="shared" si="307"/>
        <v>5</v>
      </c>
      <c r="AU72" s="1209">
        <f t="shared" ref="AU72:AX72" si="308">IF(ISBLANK(AU215),"",AU215)</f>
        <v>5</v>
      </c>
      <c r="AV72" s="1209">
        <f t="shared" si="308"/>
        <v>5</v>
      </c>
      <c r="AW72" s="1209">
        <f t="shared" si="308"/>
        <v>5</v>
      </c>
      <c r="AX72" s="1210">
        <f t="shared" si="308"/>
        <v>5</v>
      </c>
      <c r="AY72" s="1209">
        <f t="shared" ref="AY72:BB72" si="309">IF(ISBLANK(AY215),"",AY215)</f>
        <v>5</v>
      </c>
      <c r="AZ72" s="1209">
        <f t="shared" si="309"/>
        <v>5</v>
      </c>
      <c r="BA72" s="1209">
        <f t="shared" si="309"/>
        <v>5</v>
      </c>
      <c r="BB72" s="1210">
        <f t="shared" si="309"/>
        <v>5</v>
      </c>
      <c r="BC72" s="1211"/>
      <c r="BD72" s="1211"/>
      <c r="BE72" s="1269">
        <f>AVERAGE(G72:J72)</f>
        <v>5</v>
      </c>
      <c r="BF72" s="1269">
        <f>AVERAGE(K72:N72)</f>
        <v>5</v>
      </c>
      <c r="BG72" s="1269">
        <f>AVERAGE(O72:R72)</f>
        <v>5</v>
      </c>
      <c r="BH72" s="1269">
        <f>AVERAGE(S72:V72)</f>
        <v>5</v>
      </c>
      <c r="BI72" s="1269">
        <f>AVERAGE(W72:Z72)</f>
        <v>5</v>
      </c>
      <c r="BJ72" s="1269">
        <f>AVERAGE(AA72:AD72)</f>
        <v>5</v>
      </c>
      <c r="BK72" s="1269">
        <f>AVERAGE(AE72:AH72)</f>
        <v>5</v>
      </c>
      <c r="BL72" s="1269">
        <f>AVERAGE(AI72:AL72)</f>
        <v>5</v>
      </c>
      <c r="BM72" s="1273">
        <f>AVERAGE(AM72:AP72)</f>
        <v>5</v>
      </c>
      <c r="BN72" s="1273">
        <f t="shared" ref="BN72:BN74" si="310">AVERAGE(AQ72:AT72)</f>
        <v>5</v>
      </c>
      <c r="BO72" s="1273">
        <f t="shared" ref="BO72:BO74" si="311">AVERAGE(AU72:AX72)</f>
        <v>5</v>
      </c>
      <c r="BP72" s="1273">
        <f t="shared" ref="BP72:BP74" si="312">AVERAGE(AY72:BB72)</f>
        <v>5</v>
      </c>
      <c r="BQ72" s="1205"/>
      <c r="BR72" s="1206"/>
      <c r="BU72" s="1186"/>
      <c r="BV72" s="1397" t="str">
        <f t="shared" si="293"/>
        <v>Cinergy</v>
      </c>
      <c r="BW72" s="2077">
        <f t="shared" si="294"/>
        <v>15067.5</v>
      </c>
      <c r="BX72" s="2078">
        <f t="shared" si="299"/>
        <v>15067.5</v>
      </c>
      <c r="BY72" s="1400">
        <f t="shared" si="300"/>
        <v>0</v>
      </c>
    </row>
    <row r="73" spans="1:77" ht="12.75" customHeight="1">
      <c r="A73" s="1187"/>
      <c r="B73" s="1619"/>
      <c r="C73" s="1621" t="str">
        <f t="shared" si="301"/>
        <v>CAPP Coal (Delivery Cost $/t)</v>
      </c>
      <c r="D73" s="1621" t="str">
        <f t="shared" si="301"/>
        <v/>
      </c>
      <c r="E73" s="1621" t="str">
        <f t="shared" si="301"/>
        <v/>
      </c>
      <c r="F73" s="1572"/>
      <c r="G73" s="1208">
        <f t="shared" si="207"/>
        <v>15</v>
      </c>
      <c r="H73" s="1209">
        <f t="shared" ref="H73:AK73" si="313">IF(ISBLANK(H216),"",H216)</f>
        <v>15</v>
      </c>
      <c r="I73" s="1209">
        <f t="shared" si="313"/>
        <v>15</v>
      </c>
      <c r="J73" s="1210">
        <f t="shared" si="313"/>
        <v>15</v>
      </c>
      <c r="K73" s="1208">
        <f t="shared" si="313"/>
        <v>15</v>
      </c>
      <c r="L73" s="1209">
        <f t="shared" si="313"/>
        <v>15</v>
      </c>
      <c r="M73" s="1209">
        <f t="shared" si="313"/>
        <v>15</v>
      </c>
      <c r="N73" s="1210">
        <f t="shared" si="313"/>
        <v>15</v>
      </c>
      <c r="O73" s="1208">
        <f t="shared" si="313"/>
        <v>15</v>
      </c>
      <c r="P73" s="1209">
        <f t="shared" si="313"/>
        <v>15</v>
      </c>
      <c r="Q73" s="1209">
        <f t="shared" si="313"/>
        <v>15</v>
      </c>
      <c r="R73" s="1209">
        <f t="shared" si="313"/>
        <v>15</v>
      </c>
      <c r="S73" s="1208">
        <f t="shared" si="313"/>
        <v>15</v>
      </c>
      <c r="T73" s="1209">
        <f t="shared" si="313"/>
        <v>15</v>
      </c>
      <c r="U73" s="1209">
        <f t="shared" si="313"/>
        <v>15</v>
      </c>
      <c r="V73" s="1210">
        <f t="shared" si="313"/>
        <v>15</v>
      </c>
      <c r="W73" s="1209">
        <f t="shared" si="313"/>
        <v>15</v>
      </c>
      <c r="X73" s="1209">
        <f t="shared" si="313"/>
        <v>15</v>
      </c>
      <c r="Y73" s="1209">
        <f t="shared" si="313"/>
        <v>15</v>
      </c>
      <c r="Z73" s="1210">
        <f t="shared" si="313"/>
        <v>15</v>
      </c>
      <c r="AA73" s="1209">
        <f t="shared" si="313"/>
        <v>15</v>
      </c>
      <c r="AB73" s="1209">
        <f t="shared" si="313"/>
        <v>15</v>
      </c>
      <c r="AC73" s="1209">
        <f t="shared" si="313"/>
        <v>15</v>
      </c>
      <c r="AD73" s="1210">
        <f t="shared" si="313"/>
        <v>15</v>
      </c>
      <c r="AE73" s="1209">
        <f t="shared" si="313"/>
        <v>15</v>
      </c>
      <c r="AF73" s="1209">
        <f t="shared" si="313"/>
        <v>15</v>
      </c>
      <c r="AG73" s="1209">
        <f t="shared" si="313"/>
        <v>15</v>
      </c>
      <c r="AH73" s="1210">
        <f t="shared" si="313"/>
        <v>15</v>
      </c>
      <c r="AI73" s="1209">
        <f t="shared" si="313"/>
        <v>15</v>
      </c>
      <c r="AJ73" s="1209">
        <f t="shared" si="313"/>
        <v>15</v>
      </c>
      <c r="AK73" s="1209">
        <f t="shared" si="313"/>
        <v>15</v>
      </c>
      <c r="AL73" s="1210">
        <f t="shared" si="208"/>
        <v>15</v>
      </c>
      <c r="AM73" s="1209">
        <f t="shared" si="261"/>
        <v>15</v>
      </c>
      <c r="AN73" s="1209">
        <f t="shared" si="261"/>
        <v>15</v>
      </c>
      <c r="AO73" s="1209">
        <f t="shared" si="261"/>
        <v>15</v>
      </c>
      <c r="AP73" s="1210">
        <f t="shared" si="261"/>
        <v>15</v>
      </c>
      <c r="AQ73" s="1209">
        <f t="shared" ref="AQ73:AT73" si="314">IF(ISBLANK(AQ216),"",AQ216)</f>
        <v>15</v>
      </c>
      <c r="AR73" s="1209">
        <f t="shared" si="314"/>
        <v>15</v>
      </c>
      <c r="AS73" s="1209">
        <f t="shared" si="314"/>
        <v>15</v>
      </c>
      <c r="AT73" s="1210">
        <f t="shared" si="314"/>
        <v>15</v>
      </c>
      <c r="AU73" s="1209">
        <f t="shared" ref="AU73:AX73" si="315">IF(ISBLANK(AU216),"",AU216)</f>
        <v>15</v>
      </c>
      <c r="AV73" s="1209">
        <f t="shared" si="315"/>
        <v>15</v>
      </c>
      <c r="AW73" s="1209">
        <f t="shared" si="315"/>
        <v>15</v>
      </c>
      <c r="AX73" s="1210">
        <f t="shared" si="315"/>
        <v>15</v>
      </c>
      <c r="AY73" s="1209">
        <f t="shared" ref="AY73:BB73" si="316">IF(ISBLANK(AY216),"",AY216)</f>
        <v>15</v>
      </c>
      <c r="AZ73" s="1209">
        <f t="shared" si="316"/>
        <v>15</v>
      </c>
      <c r="BA73" s="1209">
        <f t="shared" si="316"/>
        <v>15</v>
      </c>
      <c r="BB73" s="1210">
        <f t="shared" si="316"/>
        <v>15</v>
      </c>
      <c r="BC73" s="1211"/>
      <c r="BD73" s="1211"/>
      <c r="BE73" s="1269">
        <f>AVERAGE(G73:J73)</f>
        <v>15</v>
      </c>
      <c r="BF73" s="1269">
        <f>AVERAGE(K73:N73)</f>
        <v>15</v>
      </c>
      <c r="BG73" s="1269">
        <f>AVERAGE(O73:R73)</f>
        <v>15</v>
      </c>
      <c r="BH73" s="1269">
        <f>AVERAGE(S73:V73)</f>
        <v>15</v>
      </c>
      <c r="BI73" s="1269">
        <f>AVERAGE(W73:Z73)</f>
        <v>15</v>
      </c>
      <c r="BJ73" s="1269">
        <f>AVERAGE(AA73:AD73)</f>
        <v>15</v>
      </c>
      <c r="BK73" s="1269">
        <f>AVERAGE(AE73:AH73)</f>
        <v>15</v>
      </c>
      <c r="BL73" s="1269">
        <f>AVERAGE(AI73:AL73)</f>
        <v>15</v>
      </c>
      <c r="BM73" s="1273">
        <f>AVERAGE(AM73:AP73)</f>
        <v>15</v>
      </c>
      <c r="BN73" s="1273">
        <f t="shared" si="310"/>
        <v>15</v>
      </c>
      <c r="BO73" s="1273">
        <f t="shared" si="311"/>
        <v>15</v>
      </c>
      <c r="BP73" s="1273">
        <f t="shared" si="312"/>
        <v>15</v>
      </c>
      <c r="BQ73" s="1205"/>
      <c r="BR73" s="1206"/>
      <c r="BU73" s="1186"/>
      <c r="BV73" s="1397" t="str">
        <f t="shared" si="293"/>
        <v>NI Hub</v>
      </c>
      <c r="BW73" s="2077">
        <f t="shared" si="294"/>
        <v>14600</v>
      </c>
      <c r="BX73" s="2078">
        <f t="shared" si="299"/>
        <v>14600</v>
      </c>
      <c r="BY73" s="1400">
        <f t="shared" si="300"/>
        <v>0</v>
      </c>
    </row>
    <row r="74" spans="1:77" ht="12.75" customHeight="1">
      <c r="A74" s="1187"/>
      <c r="B74" s="1619"/>
      <c r="C74" s="1621" t="str">
        <f t="shared" si="301"/>
        <v>PRB Coal (Delivery Cost $/t)</v>
      </c>
      <c r="D74" s="1621" t="str">
        <f t="shared" si="301"/>
        <v/>
      </c>
      <c r="E74" s="1621" t="str">
        <f t="shared" si="301"/>
        <v/>
      </c>
      <c r="F74" s="1572"/>
      <c r="G74" s="1208">
        <f t="shared" si="207"/>
        <v>25</v>
      </c>
      <c r="H74" s="1209">
        <f t="shared" ref="H74:AK74" si="317">IF(ISBLANK(H217),"",H217)</f>
        <v>25</v>
      </c>
      <c r="I74" s="1209">
        <f t="shared" si="317"/>
        <v>25</v>
      </c>
      <c r="J74" s="1210">
        <f t="shared" si="317"/>
        <v>25</v>
      </c>
      <c r="K74" s="1208">
        <f t="shared" si="317"/>
        <v>25</v>
      </c>
      <c r="L74" s="1209">
        <f t="shared" si="317"/>
        <v>25</v>
      </c>
      <c r="M74" s="1209">
        <f t="shared" si="317"/>
        <v>25</v>
      </c>
      <c r="N74" s="1210">
        <f t="shared" si="317"/>
        <v>25</v>
      </c>
      <c r="O74" s="1208">
        <f t="shared" si="317"/>
        <v>25</v>
      </c>
      <c r="P74" s="1209">
        <f t="shared" si="317"/>
        <v>25</v>
      </c>
      <c r="Q74" s="1209">
        <f t="shared" si="317"/>
        <v>25</v>
      </c>
      <c r="R74" s="1209">
        <f t="shared" si="317"/>
        <v>25</v>
      </c>
      <c r="S74" s="1208">
        <f t="shared" si="317"/>
        <v>25</v>
      </c>
      <c r="T74" s="1209">
        <f t="shared" si="317"/>
        <v>25</v>
      </c>
      <c r="U74" s="1209">
        <f t="shared" si="317"/>
        <v>25</v>
      </c>
      <c r="V74" s="1210">
        <f t="shared" si="317"/>
        <v>25</v>
      </c>
      <c r="W74" s="1209">
        <f t="shared" si="317"/>
        <v>25</v>
      </c>
      <c r="X74" s="1209">
        <f t="shared" si="317"/>
        <v>25</v>
      </c>
      <c r="Y74" s="1209">
        <f t="shared" si="317"/>
        <v>25</v>
      </c>
      <c r="Z74" s="1210">
        <f t="shared" si="317"/>
        <v>25</v>
      </c>
      <c r="AA74" s="1209">
        <f t="shared" si="317"/>
        <v>25</v>
      </c>
      <c r="AB74" s="1209">
        <f t="shared" si="317"/>
        <v>25</v>
      </c>
      <c r="AC74" s="1209">
        <f t="shared" si="317"/>
        <v>25</v>
      </c>
      <c r="AD74" s="1210">
        <f t="shared" si="317"/>
        <v>25</v>
      </c>
      <c r="AE74" s="1209">
        <f t="shared" si="317"/>
        <v>25</v>
      </c>
      <c r="AF74" s="1209">
        <f t="shared" si="317"/>
        <v>25</v>
      </c>
      <c r="AG74" s="1209">
        <f t="shared" si="317"/>
        <v>25</v>
      </c>
      <c r="AH74" s="1210">
        <f t="shared" si="317"/>
        <v>25</v>
      </c>
      <c r="AI74" s="1209">
        <f t="shared" si="317"/>
        <v>25</v>
      </c>
      <c r="AJ74" s="1209">
        <f t="shared" si="317"/>
        <v>25</v>
      </c>
      <c r="AK74" s="1209">
        <f t="shared" si="317"/>
        <v>25</v>
      </c>
      <c r="AL74" s="1210">
        <f t="shared" si="208"/>
        <v>25</v>
      </c>
      <c r="AM74" s="1209">
        <f t="shared" si="261"/>
        <v>25</v>
      </c>
      <c r="AN74" s="1209">
        <f t="shared" si="261"/>
        <v>25</v>
      </c>
      <c r="AO74" s="1209">
        <f t="shared" si="261"/>
        <v>25</v>
      </c>
      <c r="AP74" s="1210">
        <f t="shared" si="261"/>
        <v>25</v>
      </c>
      <c r="AQ74" s="1209">
        <f t="shared" ref="AQ74:AT74" si="318">IF(ISBLANK(AQ217),"",AQ217)</f>
        <v>25</v>
      </c>
      <c r="AR74" s="1209">
        <f t="shared" si="318"/>
        <v>25</v>
      </c>
      <c r="AS74" s="1209">
        <f t="shared" si="318"/>
        <v>25</v>
      </c>
      <c r="AT74" s="1210">
        <f t="shared" si="318"/>
        <v>25</v>
      </c>
      <c r="AU74" s="1209">
        <f t="shared" ref="AU74:AX74" si="319">IF(ISBLANK(AU217),"",AU217)</f>
        <v>25</v>
      </c>
      <c r="AV74" s="1209">
        <f t="shared" si="319"/>
        <v>25</v>
      </c>
      <c r="AW74" s="1209">
        <f t="shared" si="319"/>
        <v>25</v>
      </c>
      <c r="AX74" s="1210">
        <f t="shared" si="319"/>
        <v>25</v>
      </c>
      <c r="AY74" s="1209">
        <f t="shared" ref="AY74:BB74" si="320">IF(ISBLANK(AY217),"",AY217)</f>
        <v>25</v>
      </c>
      <c r="AZ74" s="1209">
        <f t="shared" si="320"/>
        <v>25</v>
      </c>
      <c r="BA74" s="1209">
        <f t="shared" si="320"/>
        <v>25</v>
      </c>
      <c r="BB74" s="1210">
        <f t="shared" si="320"/>
        <v>25</v>
      </c>
      <c r="BC74" s="1211"/>
      <c r="BD74" s="1211"/>
      <c r="BE74" s="1269">
        <f>AVERAGE(G74:J74)</f>
        <v>25</v>
      </c>
      <c r="BF74" s="1269">
        <f>AVERAGE(K74:N74)</f>
        <v>25</v>
      </c>
      <c r="BG74" s="1269">
        <f>AVERAGE(O74:R74)</f>
        <v>25</v>
      </c>
      <c r="BH74" s="1269">
        <f>AVERAGE(S74:V74)</f>
        <v>25</v>
      </c>
      <c r="BI74" s="1269">
        <f>AVERAGE(W74:Z74)</f>
        <v>25</v>
      </c>
      <c r="BJ74" s="1269">
        <f>AVERAGE(AA74:AD74)</f>
        <v>25</v>
      </c>
      <c r="BK74" s="1269">
        <f>AVERAGE(AE74:AH74)</f>
        <v>25</v>
      </c>
      <c r="BL74" s="1269">
        <f>AVERAGE(AI74:AL74)</f>
        <v>25</v>
      </c>
      <c r="BM74" s="1273">
        <f>AVERAGE(AM74:AP74)</f>
        <v>25</v>
      </c>
      <c r="BN74" s="1273">
        <f t="shared" si="310"/>
        <v>25</v>
      </c>
      <c r="BO74" s="1273">
        <f t="shared" si="311"/>
        <v>25</v>
      </c>
      <c r="BP74" s="1273">
        <f t="shared" si="312"/>
        <v>25</v>
      </c>
      <c r="BQ74" s="1205"/>
      <c r="BR74" s="1206"/>
      <c r="BU74" s="1186"/>
      <c r="BV74" s="1397" t="str">
        <f t="shared" si="293"/>
        <v>ERCOT Houston</v>
      </c>
      <c r="BW74" s="2077">
        <f t="shared" si="294"/>
        <v>14924.180004952612</v>
      </c>
      <c r="BX74" s="2078">
        <f>+BX15+BY111</f>
        <v>14924.180004952612</v>
      </c>
      <c r="BY74" s="1400">
        <f>+BW74-BX74</f>
        <v>0</v>
      </c>
    </row>
    <row r="75" spans="1:77" ht="12.75" customHeight="1">
      <c r="A75" s="1187"/>
      <c r="B75" s="1619"/>
      <c r="C75" s="1621" t="str">
        <f t="shared" si="301"/>
        <v/>
      </c>
      <c r="D75" s="1621" t="str">
        <f t="shared" si="301"/>
        <v/>
      </c>
      <c r="E75" s="1621" t="str">
        <f t="shared" si="301"/>
        <v/>
      </c>
      <c r="F75" s="1572"/>
      <c r="G75" s="1562" t="str">
        <f t="shared" si="207"/>
        <v/>
      </c>
      <c r="H75" s="1560" t="str">
        <f t="shared" ref="H75:AK75" si="321">IF(ISBLANK(H218),"",H218)</f>
        <v/>
      </c>
      <c r="I75" s="1560" t="str">
        <f t="shared" si="321"/>
        <v/>
      </c>
      <c r="J75" s="1561" t="str">
        <f t="shared" si="321"/>
        <v/>
      </c>
      <c r="K75" s="1562" t="str">
        <f t="shared" si="321"/>
        <v/>
      </c>
      <c r="L75" s="1560" t="str">
        <f t="shared" si="321"/>
        <v/>
      </c>
      <c r="M75" s="1560" t="str">
        <f t="shared" si="321"/>
        <v/>
      </c>
      <c r="N75" s="1561" t="str">
        <f t="shared" si="321"/>
        <v/>
      </c>
      <c r="O75" s="1562" t="str">
        <f t="shared" si="321"/>
        <v/>
      </c>
      <c r="P75" s="1560" t="str">
        <f t="shared" si="321"/>
        <v/>
      </c>
      <c r="Q75" s="1560" t="str">
        <f t="shared" si="321"/>
        <v/>
      </c>
      <c r="R75" s="1560" t="str">
        <f t="shared" si="321"/>
        <v/>
      </c>
      <c r="S75" s="1208" t="str">
        <f t="shared" si="321"/>
        <v/>
      </c>
      <c r="T75" s="1209" t="str">
        <f t="shared" si="321"/>
        <v/>
      </c>
      <c r="U75" s="1209" t="str">
        <f t="shared" si="321"/>
        <v/>
      </c>
      <c r="V75" s="1210" t="str">
        <f t="shared" si="321"/>
        <v/>
      </c>
      <c r="W75" s="1209" t="str">
        <f t="shared" si="321"/>
        <v/>
      </c>
      <c r="X75" s="1209" t="str">
        <f t="shared" si="321"/>
        <v/>
      </c>
      <c r="Y75" s="1209" t="str">
        <f t="shared" si="321"/>
        <v/>
      </c>
      <c r="Z75" s="1210" t="str">
        <f t="shared" si="321"/>
        <v/>
      </c>
      <c r="AA75" s="1209" t="str">
        <f t="shared" si="321"/>
        <v/>
      </c>
      <c r="AB75" s="1209" t="str">
        <f t="shared" si="321"/>
        <v/>
      </c>
      <c r="AC75" s="1209" t="str">
        <f t="shared" si="321"/>
        <v/>
      </c>
      <c r="AD75" s="1210" t="str">
        <f t="shared" si="321"/>
        <v/>
      </c>
      <c r="AE75" s="1209" t="str">
        <f t="shared" si="321"/>
        <v/>
      </c>
      <c r="AF75" s="1209" t="str">
        <f t="shared" si="321"/>
        <v/>
      </c>
      <c r="AG75" s="1209" t="str">
        <f t="shared" si="321"/>
        <v/>
      </c>
      <c r="AH75" s="1210" t="str">
        <f t="shared" si="321"/>
        <v/>
      </c>
      <c r="AI75" s="1209" t="str">
        <f t="shared" si="321"/>
        <v/>
      </c>
      <c r="AJ75" s="1209" t="str">
        <f t="shared" si="321"/>
        <v/>
      </c>
      <c r="AK75" s="1209" t="str">
        <f t="shared" si="321"/>
        <v/>
      </c>
      <c r="AL75" s="1210" t="str">
        <f t="shared" si="208"/>
        <v/>
      </c>
      <c r="AM75" s="1209" t="str">
        <f t="shared" si="261"/>
        <v/>
      </c>
      <c r="AN75" s="1209" t="str">
        <f t="shared" si="261"/>
        <v/>
      </c>
      <c r="AO75" s="1209" t="str">
        <f t="shared" si="261"/>
        <v/>
      </c>
      <c r="AP75" s="1210" t="str">
        <f t="shared" si="261"/>
        <v/>
      </c>
      <c r="AQ75" s="1209" t="str">
        <f t="shared" ref="AQ75:AT75" si="322">IF(ISBLANK(AQ218),"",AQ218)</f>
        <v/>
      </c>
      <c r="AR75" s="1209" t="str">
        <f t="shared" si="322"/>
        <v/>
      </c>
      <c r="AS75" s="1209" t="str">
        <f t="shared" si="322"/>
        <v/>
      </c>
      <c r="AT75" s="1210" t="str">
        <f t="shared" si="322"/>
        <v/>
      </c>
      <c r="AU75" s="1209" t="str">
        <f t="shared" ref="AU75:AX75" si="323">IF(ISBLANK(AU218),"",AU218)</f>
        <v/>
      </c>
      <c r="AV75" s="1209" t="str">
        <f t="shared" si="323"/>
        <v/>
      </c>
      <c r="AW75" s="1209" t="str">
        <f t="shared" si="323"/>
        <v/>
      </c>
      <c r="AX75" s="1210" t="str">
        <f t="shared" si="323"/>
        <v/>
      </c>
      <c r="AY75" s="1209" t="str">
        <f t="shared" ref="AY75:BB75" si="324">IF(ISBLANK(AY218),"",AY218)</f>
        <v/>
      </c>
      <c r="AZ75" s="1209" t="str">
        <f t="shared" si="324"/>
        <v/>
      </c>
      <c r="BA75" s="1209" t="str">
        <f t="shared" si="324"/>
        <v/>
      </c>
      <c r="BB75" s="1210" t="str">
        <f t="shared" si="324"/>
        <v/>
      </c>
      <c r="BC75" s="1211"/>
      <c r="BD75" s="1211"/>
      <c r="BE75" s="1269"/>
      <c r="BF75" s="1269"/>
      <c r="BG75" s="1269"/>
      <c r="BH75" s="1273"/>
      <c r="BI75" s="1273"/>
      <c r="BJ75" s="1273"/>
      <c r="BK75" s="1273"/>
      <c r="BL75" s="1273"/>
      <c r="BM75" s="1273"/>
      <c r="BN75" s="1273"/>
      <c r="BO75" s="1273"/>
      <c r="BP75" s="1273"/>
      <c r="BQ75" s="1205"/>
      <c r="BR75" s="1226"/>
      <c r="BU75" s="1186"/>
      <c r="BV75" s="1397" t="str">
        <f t="shared" si="293"/>
        <v>ERCOT North</v>
      </c>
      <c r="BW75" s="2077">
        <f t="shared" si="294"/>
        <v>14924.18000495261</v>
      </c>
      <c r="BX75" s="2078">
        <f>+BX23+BY111</f>
        <v>14924.180004952612</v>
      </c>
      <c r="BY75" s="1400">
        <f>+BW75-BX75</f>
        <v>0</v>
      </c>
    </row>
    <row r="76" spans="1:77" ht="12.75" customHeight="1">
      <c r="A76" s="1187"/>
      <c r="B76" s="1619"/>
      <c r="G76" s="1595" t="str">
        <f t="shared" si="207"/>
        <v/>
      </c>
      <c r="H76" s="1594" t="str">
        <f t="shared" ref="H76:AK76" si="325">IF(ISBLANK(H219),"",H219)</f>
        <v/>
      </c>
      <c r="I76" s="1594" t="str">
        <f t="shared" si="325"/>
        <v/>
      </c>
      <c r="J76" s="1596" t="str">
        <f t="shared" si="325"/>
        <v/>
      </c>
      <c r="K76" s="1595" t="str">
        <f t="shared" si="325"/>
        <v/>
      </c>
      <c r="L76" s="1594" t="str">
        <f t="shared" si="325"/>
        <v/>
      </c>
      <c r="M76" s="1594" t="str">
        <f t="shared" si="325"/>
        <v/>
      </c>
      <c r="N76" s="1596" t="str">
        <f t="shared" si="325"/>
        <v/>
      </c>
      <c r="O76" s="1595" t="str">
        <f t="shared" si="325"/>
        <v/>
      </c>
      <c r="P76" s="1594" t="str">
        <f t="shared" si="325"/>
        <v/>
      </c>
      <c r="Q76" s="1594" t="str">
        <f t="shared" si="325"/>
        <v/>
      </c>
      <c r="R76" s="1594" t="str">
        <f t="shared" si="325"/>
        <v/>
      </c>
      <c r="S76" s="1593" t="str">
        <f t="shared" si="325"/>
        <v/>
      </c>
      <c r="T76" s="1218" t="str">
        <f t="shared" si="325"/>
        <v/>
      </c>
      <c r="U76" s="1218" t="str">
        <f t="shared" si="325"/>
        <v/>
      </c>
      <c r="V76" s="1217" t="str">
        <f t="shared" si="325"/>
        <v/>
      </c>
      <c r="W76" s="1218" t="str">
        <f t="shared" si="325"/>
        <v/>
      </c>
      <c r="X76" s="1218" t="str">
        <f t="shared" si="325"/>
        <v/>
      </c>
      <c r="Y76" s="1218" t="str">
        <f t="shared" si="325"/>
        <v/>
      </c>
      <c r="Z76" s="1592" t="str">
        <f t="shared" si="325"/>
        <v/>
      </c>
      <c r="AA76" s="1591" t="str">
        <f t="shared" si="325"/>
        <v/>
      </c>
      <c r="AB76" s="1591" t="str">
        <f t="shared" si="325"/>
        <v/>
      </c>
      <c r="AC76" s="1591" t="str">
        <f t="shared" si="325"/>
        <v/>
      </c>
      <c r="AD76" s="1592" t="str">
        <f t="shared" si="325"/>
        <v/>
      </c>
      <c r="AE76" s="1591" t="str">
        <f t="shared" si="325"/>
        <v/>
      </c>
      <c r="AF76" s="1591" t="str">
        <f t="shared" si="325"/>
        <v/>
      </c>
      <c r="AG76" s="1591" t="str">
        <f t="shared" si="325"/>
        <v/>
      </c>
      <c r="AH76" s="1592" t="str">
        <f t="shared" si="325"/>
        <v/>
      </c>
      <c r="AI76" s="1591" t="str">
        <f t="shared" si="325"/>
        <v/>
      </c>
      <c r="AJ76" s="1591" t="str">
        <f t="shared" si="325"/>
        <v/>
      </c>
      <c r="AK76" s="1591" t="str">
        <f t="shared" si="325"/>
        <v/>
      </c>
      <c r="AL76" s="1592" t="str">
        <f t="shared" si="208"/>
        <v/>
      </c>
      <c r="AM76" s="1591" t="str">
        <f t="shared" si="261"/>
        <v/>
      </c>
      <c r="AN76" s="1591" t="str">
        <f t="shared" si="261"/>
        <v/>
      </c>
      <c r="AO76" s="1591" t="str">
        <f t="shared" si="261"/>
        <v/>
      </c>
      <c r="AP76" s="1592" t="str">
        <f t="shared" si="261"/>
        <v/>
      </c>
      <c r="AQ76" s="1591" t="str">
        <f t="shared" ref="AQ76:AT76" si="326">IF(ISBLANK(AQ219),"",AQ219)</f>
        <v/>
      </c>
      <c r="AR76" s="1591" t="str">
        <f t="shared" si="326"/>
        <v/>
      </c>
      <c r="AS76" s="1591" t="str">
        <f t="shared" si="326"/>
        <v/>
      </c>
      <c r="AT76" s="1592" t="str">
        <f t="shared" si="326"/>
        <v/>
      </c>
      <c r="AU76" s="1591" t="str">
        <f t="shared" ref="AU76:AX76" si="327">IF(ISBLANK(AU219),"",AU219)</f>
        <v/>
      </c>
      <c r="AV76" s="1591" t="str">
        <f t="shared" si="327"/>
        <v/>
      </c>
      <c r="AW76" s="1591" t="str">
        <f t="shared" si="327"/>
        <v/>
      </c>
      <c r="AX76" s="1592" t="str">
        <f t="shared" si="327"/>
        <v/>
      </c>
      <c r="AY76" s="1591" t="str">
        <f t="shared" ref="AY76:BB76" si="328">IF(ISBLANK(AY219),"",AY219)</f>
        <v/>
      </c>
      <c r="AZ76" s="1591" t="str">
        <f t="shared" si="328"/>
        <v/>
      </c>
      <c r="BA76" s="1591" t="str">
        <f t="shared" si="328"/>
        <v/>
      </c>
      <c r="BB76" s="1592" t="str">
        <f t="shared" si="328"/>
        <v/>
      </c>
      <c r="BC76" s="1600"/>
      <c r="BD76" s="1219"/>
      <c r="BE76" s="1270"/>
      <c r="BF76" s="1270"/>
      <c r="BG76" s="1270"/>
      <c r="BH76" s="1270"/>
      <c r="BI76" s="1270"/>
      <c r="BJ76" s="1270"/>
      <c r="BK76" s="1270"/>
      <c r="BL76" s="1270"/>
      <c r="BM76" s="1270"/>
      <c r="BN76" s="1270"/>
      <c r="BO76" s="1270"/>
      <c r="BP76" s="1270"/>
      <c r="BQ76" s="1205"/>
      <c r="BR76" s="1226"/>
      <c r="BU76" s="1186"/>
      <c r="BV76" s="1397" t="str">
        <f t="shared" si="293"/>
        <v>ERCOT South</v>
      </c>
      <c r="BW76" s="2077">
        <f t="shared" si="294"/>
        <v>14924.18000495261</v>
      </c>
      <c r="BX76" s="2078">
        <f>+BX29+BY111</f>
        <v>14924.180004952612</v>
      </c>
      <c r="BY76" s="1400">
        <f t="shared" si="300"/>
        <v>0</v>
      </c>
    </row>
    <row r="77" spans="1:77" ht="12.75" customHeight="1">
      <c r="A77" s="1187"/>
      <c r="B77" s="1619"/>
      <c r="C77" s="1216" t="str">
        <f t="shared" ref="C77:E96" si="329">IF(ISBLANK(C220),"",C220)</f>
        <v>On-Peak Regional Heat Rates (btu/kWh)</v>
      </c>
      <c r="D77" s="1624" t="str">
        <f t="shared" si="329"/>
        <v/>
      </c>
      <c r="E77" s="1624" t="str">
        <f t="shared" si="329"/>
        <v/>
      </c>
      <c r="F77" s="1602"/>
      <c r="G77" s="1562" t="str">
        <f t="shared" si="207"/>
        <v/>
      </c>
      <c r="H77" s="1560" t="str">
        <f t="shared" ref="H77:AK77" si="330">IF(ISBLANK(H220),"",H220)</f>
        <v/>
      </c>
      <c r="I77" s="1560" t="str">
        <f t="shared" si="330"/>
        <v/>
      </c>
      <c r="J77" s="1561" t="str">
        <f t="shared" si="330"/>
        <v/>
      </c>
      <c r="K77" s="1562" t="str">
        <f t="shared" si="330"/>
        <v/>
      </c>
      <c r="L77" s="1560" t="str">
        <f t="shared" si="330"/>
        <v/>
      </c>
      <c r="M77" s="1560" t="str">
        <f t="shared" si="330"/>
        <v/>
      </c>
      <c r="N77" s="1561" t="str">
        <f t="shared" si="330"/>
        <v/>
      </c>
      <c r="O77" s="1562" t="str">
        <f t="shared" si="330"/>
        <v/>
      </c>
      <c r="P77" s="1560" t="str">
        <f t="shared" si="330"/>
        <v/>
      </c>
      <c r="Q77" s="1560" t="str">
        <f t="shared" si="330"/>
        <v/>
      </c>
      <c r="R77" s="1560" t="str">
        <f t="shared" si="330"/>
        <v/>
      </c>
      <c r="S77" s="1208" t="str">
        <f t="shared" si="330"/>
        <v/>
      </c>
      <c r="T77" s="1209" t="str">
        <f t="shared" si="330"/>
        <v/>
      </c>
      <c r="U77" s="1209" t="str">
        <f t="shared" si="330"/>
        <v/>
      </c>
      <c r="V77" s="1210" t="str">
        <f t="shared" si="330"/>
        <v/>
      </c>
      <c r="W77" s="1209" t="str">
        <f t="shared" si="330"/>
        <v/>
      </c>
      <c r="X77" s="1209" t="str">
        <f t="shared" si="330"/>
        <v/>
      </c>
      <c r="Y77" s="1209" t="str">
        <f t="shared" si="330"/>
        <v/>
      </c>
      <c r="Z77" s="1210" t="str">
        <f t="shared" si="330"/>
        <v/>
      </c>
      <c r="AA77" s="1209" t="str">
        <f t="shared" si="330"/>
        <v/>
      </c>
      <c r="AB77" s="1209" t="str">
        <f t="shared" si="330"/>
        <v/>
      </c>
      <c r="AC77" s="1209" t="str">
        <f t="shared" si="330"/>
        <v/>
      </c>
      <c r="AD77" s="1210" t="str">
        <f t="shared" si="330"/>
        <v/>
      </c>
      <c r="AE77" s="1209" t="str">
        <f t="shared" si="330"/>
        <v/>
      </c>
      <c r="AF77" s="1209" t="str">
        <f t="shared" si="330"/>
        <v/>
      </c>
      <c r="AG77" s="1209" t="str">
        <f t="shared" si="330"/>
        <v/>
      </c>
      <c r="AH77" s="1210" t="str">
        <f t="shared" si="330"/>
        <v/>
      </c>
      <c r="AI77" s="1209" t="str">
        <f t="shared" si="330"/>
        <v/>
      </c>
      <c r="AJ77" s="1209" t="str">
        <f t="shared" si="330"/>
        <v/>
      </c>
      <c r="AK77" s="1209" t="str">
        <f t="shared" si="330"/>
        <v/>
      </c>
      <c r="AL77" s="1210" t="str">
        <f t="shared" si="208"/>
        <v/>
      </c>
      <c r="AM77" s="1209" t="str">
        <f t="shared" si="261"/>
        <v/>
      </c>
      <c r="AN77" s="1209" t="str">
        <f t="shared" si="261"/>
        <v/>
      </c>
      <c r="AO77" s="1209" t="str">
        <f t="shared" si="261"/>
        <v/>
      </c>
      <c r="AP77" s="1210" t="str">
        <f t="shared" si="261"/>
        <v/>
      </c>
      <c r="AQ77" s="1209" t="str">
        <f t="shared" ref="AQ77:AT77" si="331">IF(ISBLANK(AQ220),"",AQ220)</f>
        <v/>
      </c>
      <c r="AR77" s="1209" t="str">
        <f t="shared" si="331"/>
        <v/>
      </c>
      <c r="AS77" s="1209" t="str">
        <f t="shared" si="331"/>
        <v/>
      </c>
      <c r="AT77" s="1210" t="str">
        <f t="shared" si="331"/>
        <v/>
      </c>
      <c r="AU77" s="1209" t="str">
        <f t="shared" ref="AU77:AX77" si="332">IF(ISBLANK(AU220),"",AU220)</f>
        <v/>
      </c>
      <c r="AV77" s="1209" t="str">
        <f t="shared" si="332"/>
        <v/>
      </c>
      <c r="AW77" s="1209" t="str">
        <f t="shared" si="332"/>
        <v/>
      </c>
      <c r="AX77" s="1210" t="str">
        <f t="shared" si="332"/>
        <v/>
      </c>
      <c r="AY77" s="1209" t="str">
        <f t="shared" ref="AY77:BB77" si="333">IF(ISBLANK(AY220),"",AY220)</f>
        <v/>
      </c>
      <c r="AZ77" s="1209" t="str">
        <f t="shared" si="333"/>
        <v/>
      </c>
      <c r="BA77" s="1209" t="str">
        <f t="shared" si="333"/>
        <v/>
      </c>
      <c r="BB77" s="1210" t="str">
        <f t="shared" si="333"/>
        <v/>
      </c>
      <c r="BC77" s="1211"/>
      <c r="BD77" s="1211"/>
      <c r="BE77" s="1269"/>
      <c r="BF77" s="1269"/>
      <c r="BG77" s="1269"/>
      <c r="BH77" s="1269"/>
      <c r="BI77" s="1269"/>
      <c r="BJ77" s="1269"/>
      <c r="BK77" s="1269"/>
      <c r="BL77" s="1269"/>
      <c r="BM77" s="1269"/>
      <c r="BN77" s="1269"/>
      <c r="BO77" s="1269"/>
      <c r="BP77" s="1269"/>
      <c r="BQ77" s="1205"/>
      <c r="BR77" s="1226"/>
      <c r="BU77" s="1186"/>
      <c r="BV77" s="1397"/>
      <c r="BW77" s="1398"/>
      <c r="BX77" s="1398"/>
      <c r="BY77" s="1400"/>
    </row>
    <row r="78" spans="1:77" ht="12.75" customHeight="1">
      <c r="A78" s="1187"/>
      <c r="B78" s="1619"/>
      <c r="C78" s="1621" t="str">
        <f t="shared" si="329"/>
        <v>Mass Hub</v>
      </c>
      <c r="D78" s="1621" t="str">
        <f t="shared" si="329"/>
        <v/>
      </c>
      <c r="E78" s="1621" t="str">
        <f t="shared" si="329"/>
        <v/>
      </c>
      <c r="F78" s="1572"/>
      <c r="G78" s="1598">
        <f t="shared" si="207"/>
        <v>8801.5691509389981</v>
      </c>
      <c r="H78" s="1597">
        <f t="shared" ref="H78:AK78" si="334">IF(ISBLANK(H221),"",H221)</f>
        <v>10939.694023823055</v>
      </c>
      <c r="I78" s="1597">
        <f t="shared" si="334"/>
        <v>14421.989330928911</v>
      </c>
      <c r="J78" s="1599">
        <f t="shared" si="334"/>
        <v>8861.0131998359921</v>
      </c>
      <c r="K78" s="1598">
        <f t="shared" si="334"/>
        <v>9167.0595922106477</v>
      </c>
      <c r="L78" s="1597">
        <f t="shared" si="334"/>
        <v>10189.12960248709</v>
      </c>
      <c r="M78" s="1597">
        <f t="shared" si="334"/>
        <v>11710.045508691945</v>
      </c>
      <c r="N78" s="1599">
        <f t="shared" si="334"/>
        <v>11336.882768537926</v>
      </c>
      <c r="O78" s="1598">
        <f t="shared" si="334"/>
        <v>10207.718317800258</v>
      </c>
      <c r="P78" s="1597">
        <f t="shared" si="334"/>
        <v>13937.121379905617</v>
      </c>
      <c r="Q78" s="1597">
        <f t="shared" si="334"/>
        <v>15132.551384701612</v>
      </c>
      <c r="R78" s="1597">
        <f t="shared" si="334"/>
        <v>12963.880511989042</v>
      </c>
      <c r="S78" s="1234">
        <f t="shared" si="334"/>
        <v>11474.979818138521</v>
      </c>
      <c r="T78" s="1235">
        <f t="shared" si="334"/>
        <v>10402.131258701407</v>
      </c>
      <c r="U78" s="1235">
        <f t="shared" si="334"/>
        <v>14595.99188276675</v>
      </c>
      <c r="V78" s="1236">
        <f t="shared" si="334"/>
        <v>15599.608908418337</v>
      </c>
      <c r="W78" s="1235">
        <f t="shared" si="334"/>
        <v>9818.857351275652</v>
      </c>
      <c r="X78" s="1235">
        <f t="shared" si="334"/>
        <v>11887.120339338082</v>
      </c>
      <c r="Y78" s="1235">
        <f t="shared" si="334"/>
        <v>15922.771678283798</v>
      </c>
      <c r="Z78" s="1236">
        <f t="shared" si="334"/>
        <v>15026.318812665288</v>
      </c>
      <c r="AA78" s="1235">
        <f t="shared" si="334"/>
        <v>9835.9779023649571</v>
      </c>
      <c r="AB78" s="1235">
        <f t="shared" si="334"/>
        <v>11407.233144218615</v>
      </c>
      <c r="AC78" s="1235">
        <f t="shared" si="334"/>
        <v>18666.071155473397</v>
      </c>
      <c r="AD78" s="1236">
        <f t="shared" si="334"/>
        <v>17315.33127145606</v>
      </c>
      <c r="AE78" s="1235">
        <f t="shared" si="334"/>
        <v>12206.386279703562</v>
      </c>
      <c r="AF78" s="1235">
        <f t="shared" si="334"/>
        <v>16621.31367909328</v>
      </c>
      <c r="AG78" s="1235">
        <f t="shared" si="334"/>
        <v>22288.404958475618</v>
      </c>
      <c r="AH78" s="1236">
        <f t="shared" si="334"/>
        <v>14434.588536316558</v>
      </c>
      <c r="AI78" s="1235">
        <f t="shared" si="334"/>
        <v>10264.218099859183</v>
      </c>
      <c r="AJ78" s="1235">
        <f t="shared" si="334"/>
        <v>12389.285901147583</v>
      </c>
      <c r="AK78" s="1235">
        <f t="shared" si="334"/>
        <v>13153.218506204936</v>
      </c>
      <c r="AL78" s="1236">
        <f t="shared" si="208"/>
        <v>14925.254225358662</v>
      </c>
      <c r="AM78" s="1235">
        <f t="shared" si="261"/>
        <v>7994.7887216424933</v>
      </c>
      <c r="AN78" s="1235">
        <f t="shared" si="261"/>
        <v>13122.990353697749</v>
      </c>
      <c r="AO78" s="1235">
        <f t="shared" si="261"/>
        <v>14125.083166999331</v>
      </c>
      <c r="AP78" s="1236">
        <f t="shared" si="261"/>
        <v>13408.970976253298</v>
      </c>
      <c r="AQ78" s="1235">
        <f t="shared" ref="AQ78:AT78" si="335">IF(ISBLANK(AQ221),"",AQ221)</f>
        <v>16121.702235183328</v>
      </c>
      <c r="AR78" s="1235">
        <f t="shared" si="335"/>
        <v>17104.044129356756</v>
      </c>
      <c r="AS78" s="1235">
        <f t="shared" si="335"/>
        <v>21029.097168692006</v>
      </c>
      <c r="AT78" s="1236">
        <f t="shared" si="335"/>
        <v>8461.414086437906</v>
      </c>
      <c r="AU78" s="1235">
        <f t="shared" ref="AU78:AX78" si="336">IF(ISBLANK(AU221),"",AU221)</f>
        <v>15860.467045238278</v>
      </c>
      <c r="AV78" s="1235">
        <f t="shared" si="336"/>
        <v>16826.891124557431</v>
      </c>
      <c r="AW78" s="1235">
        <f t="shared" si="336"/>
        <v>20688.34281700529</v>
      </c>
      <c r="AX78" s="1236">
        <f t="shared" si="336"/>
        <v>8324.3057908107585</v>
      </c>
      <c r="AY78" s="1235">
        <f t="shared" ref="AY78:BB78" si="337">IF(ISBLANK(AY221),"",AY221)</f>
        <v>15390.53594374832</v>
      </c>
      <c r="AZ78" s="1235">
        <f t="shared" si="337"/>
        <v>16328.325763382341</v>
      </c>
      <c r="BA78" s="1235">
        <f t="shared" si="337"/>
        <v>20075.366181432888</v>
      </c>
      <c r="BB78" s="1236">
        <f t="shared" si="337"/>
        <v>8077.6642399499096</v>
      </c>
      <c r="BC78" s="1237"/>
      <c r="BD78" s="1237"/>
      <c r="BE78" s="1279">
        <f t="shared" ref="BE78:BE93" si="338">AVERAGE(G78:J78)</f>
        <v>10756.06642638174</v>
      </c>
      <c r="BF78" s="1279">
        <f t="shared" ref="BF78:BF93" si="339">AVERAGE(K78:N78)</f>
        <v>10600.779367981901</v>
      </c>
      <c r="BG78" s="1279">
        <f t="shared" ref="BG78:BG93" si="340">AVERAGE(O78:R78)</f>
        <v>13060.317898599133</v>
      </c>
      <c r="BH78" s="1279">
        <f t="shared" ref="BH78:BH93" si="341">AVERAGE(S78:V78)</f>
        <v>13018.177967006253</v>
      </c>
      <c r="BI78" s="1279">
        <f t="shared" ref="BI78:BI93" si="342">AVERAGE(W78:Z78)</f>
        <v>13163.767045390705</v>
      </c>
      <c r="BJ78" s="1279">
        <f t="shared" ref="BJ78:BJ93" si="343">AVERAGE(AA78:AD78)</f>
        <v>14306.153368378258</v>
      </c>
      <c r="BK78" s="1279">
        <f t="shared" ref="BK78:BK93" si="344">AVERAGE(AE78:AH78)</f>
        <v>16387.673363397254</v>
      </c>
      <c r="BL78" s="1279">
        <f t="shared" ref="BL78:BL93" si="345">AVERAGE(AI78:AL78)</f>
        <v>12682.994183142589</v>
      </c>
      <c r="BM78" s="1573">
        <f t="shared" ref="BM78:BM93" si="346">AVERAGE(AM78:AP78)</f>
        <v>12162.958304648218</v>
      </c>
      <c r="BN78" s="1573">
        <f t="shared" ref="BN78:BN93" si="347">AVERAGE(AQ78:AT78)</f>
        <v>15679.064404917501</v>
      </c>
      <c r="BO78" s="1573">
        <f t="shared" ref="BO78:BO93" si="348">AVERAGE(AU78:AX78)</f>
        <v>15425.001694402939</v>
      </c>
      <c r="BP78" s="1573">
        <f t="shared" ref="BP78:BP93" si="349">AVERAGE(AY78:BB78)</f>
        <v>14967.973032128364</v>
      </c>
      <c r="BQ78" s="1205"/>
      <c r="BR78" s="1601"/>
      <c r="BU78" s="1186"/>
      <c r="BV78" s="1397" t="str">
        <f>C57</f>
        <v>PJM West / Tetco M3</v>
      </c>
      <c r="BW78" s="2079">
        <f>BP57</f>
        <v>-0.25</v>
      </c>
      <c r="BX78" s="2079">
        <f>$BX$58</f>
        <v>-0.25</v>
      </c>
      <c r="BY78" s="2079">
        <f>+BW78-BX78</f>
        <v>0</v>
      </c>
    </row>
    <row r="79" spans="1:77" ht="12.75" customHeight="1">
      <c r="A79" s="1187"/>
      <c r="B79" s="1619"/>
      <c r="C79" s="1621" t="str">
        <f t="shared" si="329"/>
        <v>NY Zone A</v>
      </c>
      <c r="D79" s="1621" t="str">
        <f t="shared" si="329"/>
        <v/>
      </c>
      <c r="E79" s="1621" t="str">
        <f t="shared" si="329"/>
        <v/>
      </c>
      <c r="F79" s="1572"/>
      <c r="G79" s="1598">
        <f t="shared" si="207"/>
        <v>6412.1294171203144</v>
      </c>
      <c r="H79" s="1597">
        <f t="shared" ref="H79:AK79" si="350">IF(ISBLANK(H222),"",H222)</f>
        <v>9234.2721012697057</v>
      </c>
      <c r="I79" s="1597">
        <f t="shared" si="350"/>
        <v>11593.947010070106</v>
      </c>
      <c r="J79" s="1599">
        <f t="shared" si="350"/>
        <v>7986.3843661035107</v>
      </c>
      <c r="K79" s="1598">
        <f t="shared" si="350"/>
        <v>6840.1396780303039</v>
      </c>
      <c r="L79" s="1597">
        <f t="shared" si="350"/>
        <v>9130.7265133667552</v>
      </c>
      <c r="M79" s="1597">
        <f t="shared" si="350"/>
        <v>10816.593582639658</v>
      </c>
      <c r="N79" s="1599">
        <f t="shared" si="350"/>
        <v>10282.027240426369</v>
      </c>
      <c r="O79" s="1598">
        <f t="shared" si="350"/>
        <v>11040.263568617833</v>
      </c>
      <c r="P79" s="1597">
        <f t="shared" si="350"/>
        <v>14052.827281024129</v>
      </c>
      <c r="Q79" s="1597">
        <f t="shared" si="350"/>
        <v>13593.795584312746</v>
      </c>
      <c r="R79" s="1597">
        <f t="shared" si="350"/>
        <v>10650.641750476832</v>
      </c>
      <c r="S79" s="1234">
        <f t="shared" si="350"/>
        <v>10613.332343739214</v>
      </c>
      <c r="T79" s="1235">
        <f t="shared" si="350"/>
        <v>9814.6604717116315</v>
      </c>
      <c r="U79" s="1235">
        <f t="shared" si="350"/>
        <v>15217.027511328975</v>
      </c>
      <c r="V79" s="1236">
        <f t="shared" si="350"/>
        <v>11622.060695219723</v>
      </c>
      <c r="W79" s="1235">
        <f t="shared" si="350"/>
        <v>8339.8677320762581</v>
      </c>
      <c r="X79" s="1235">
        <f t="shared" si="350"/>
        <v>12089.696865123291</v>
      </c>
      <c r="Y79" s="1235">
        <f t="shared" si="350"/>
        <v>17008.913404698229</v>
      </c>
      <c r="Z79" s="1236">
        <f t="shared" si="350"/>
        <v>14242.244323975263</v>
      </c>
      <c r="AA79" s="1235">
        <f t="shared" si="350"/>
        <v>8245.126379457306</v>
      </c>
      <c r="AB79" s="1235">
        <f t="shared" si="350"/>
        <v>23636.495062483507</v>
      </c>
      <c r="AC79" s="1235">
        <f t="shared" si="350"/>
        <v>29559.964278835214</v>
      </c>
      <c r="AD79" s="1236">
        <f t="shared" si="350"/>
        <v>26840.274598772085</v>
      </c>
      <c r="AE79" s="1235">
        <f t="shared" si="350"/>
        <v>16770.720038090938</v>
      </c>
      <c r="AF79" s="1235">
        <f t="shared" si="350"/>
        <v>22601.852674604575</v>
      </c>
      <c r="AG79" s="1235">
        <f t="shared" si="350"/>
        <v>34191.352496551095</v>
      </c>
      <c r="AH79" s="1236">
        <f t="shared" si="350"/>
        <v>12233.948471734455</v>
      </c>
      <c r="AI79" s="1235">
        <f t="shared" si="350"/>
        <v>9237.5699548947559</v>
      </c>
      <c r="AJ79" s="1235">
        <f t="shared" si="350"/>
        <v>13374.181331245492</v>
      </c>
      <c r="AK79" s="1235">
        <f t="shared" si="350"/>
        <v>19942.594548815701</v>
      </c>
      <c r="AL79" s="1236">
        <f t="shared" si="208"/>
        <v>12811.212946664498</v>
      </c>
      <c r="AM79" s="1235">
        <f t="shared" si="261"/>
        <v>5561.1264063691815</v>
      </c>
      <c r="AN79" s="1235">
        <f t="shared" si="261"/>
        <v>16904.797713941942</v>
      </c>
      <c r="AO79" s="1235">
        <f t="shared" si="261"/>
        <v>15195.195195195192</v>
      </c>
      <c r="AP79" s="1236">
        <f t="shared" si="261"/>
        <v>14065.797641216635</v>
      </c>
      <c r="AQ79" s="1235">
        <f t="shared" ref="AQ79:AT79" si="351">IF(ISBLANK(AQ222),"",AQ222)</f>
        <v>14527.253857531297</v>
      </c>
      <c r="AR79" s="1235">
        <f t="shared" si="351"/>
        <v>19603.903225075555</v>
      </c>
      <c r="AS79" s="1235">
        <f t="shared" si="351"/>
        <v>17640.554959788038</v>
      </c>
      <c r="AT79" s="1236">
        <f t="shared" si="351"/>
        <v>7417.7739790369633</v>
      </c>
      <c r="AU79" s="1235">
        <f t="shared" ref="AU79:AX79" si="352">IF(ISBLANK(AU222),"",AU222)</f>
        <v>14642.155761170308</v>
      </c>
      <c r="AV79" s="1235">
        <f t="shared" si="352"/>
        <v>19758.958393891811</v>
      </c>
      <c r="AW79" s="1235">
        <f t="shared" si="352"/>
        <v>17780.081216161496</v>
      </c>
      <c r="AX79" s="1236">
        <f t="shared" si="352"/>
        <v>7476.4441419813102</v>
      </c>
      <c r="AY79" s="1235">
        <f t="shared" ref="AY79:BB79" si="353">IF(ISBLANK(AY222),"",AY222)</f>
        <v>14513.506709443927</v>
      </c>
      <c r="AZ79" s="1235">
        <f t="shared" si="353"/>
        <v>19585.352040979196</v>
      </c>
      <c r="BA79" s="1235">
        <f t="shared" si="353"/>
        <v>17623.861693204144</v>
      </c>
      <c r="BB79" s="1236">
        <f t="shared" si="353"/>
        <v>7410.7545355572447</v>
      </c>
      <c r="BC79" s="1237"/>
      <c r="BD79" s="1237"/>
      <c r="BE79" s="1279">
        <f t="shared" si="338"/>
        <v>8806.68322364091</v>
      </c>
      <c r="BF79" s="1279">
        <f t="shared" si="339"/>
        <v>9267.371753615771</v>
      </c>
      <c r="BG79" s="1279">
        <f t="shared" si="340"/>
        <v>12334.382046107885</v>
      </c>
      <c r="BH79" s="1279">
        <f t="shared" si="341"/>
        <v>11816.770255499887</v>
      </c>
      <c r="BI79" s="1279">
        <f t="shared" si="342"/>
        <v>12920.180581468259</v>
      </c>
      <c r="BJ79" s="1279">
        <f t="shared" si="343"/>
        <v>22070.465079887028</v>
      </c>
      <c r="BK79" s="1279">
        <f t="shared" si="344"/>
        <v>21449.468420245266</v>
      </c>
      <c r="BL79" s="1279">
        <f t="shared" si="345"/>
        <v>13841.389695405112</v>
      </c>
      <c r="BM79" s="1573">
        <f t="shared" si="346"/>
        <v>12931.729239180739</v>
      </c>
      <c r="BN79" s="1573">
        <f t="shared" si="347"/>
        <v>14797.371505357962</v>
      </c>
      <c r="BO79" s="1573">
        <f t="shared" si="348"/>
        <v>14914.40987830123</v>
      </c>
      <c r="BP79" s="1573">
        <f t="shared" si="349"/>
        <v>14783.368744796129</v>
      </c>
      <c r="BQ79" s="1205"/>
      <c r="BR79" s="1206"/>
      <c r="BU79" s="1186"/>
      <c r="BV79" s="1168" t="str">
        <f>C58</f>
        <v>PJM East / Tetco M3</v>
      </c>
      <c r="BW79" s="2079">
        <f>BP58</f>
        <v>-0.25</v>
      </c>
      <c r="BX79" s="1924">
        <f>$BX$58</f>
        <v>-0.25</v>
      </c>
      <c r="BY79" s="1924">
        <f>+BW79-BX79</f>
        <v>0</v>
      </c>
    </row>
    <row r="80" spans="1:77" ht="12.75" customHeight="1">
      <c r="A80" s="1187"/>
      <c r="B80" s="1619"/>
      <c r="C80" s="1621" t="str">
        <f t="shared" si="329"/>
        <v>NY Zone G</v>
      </c>
      <c r="D80" s="1621" t="str">
        <f t="shared" si="329"/>
        <v/>
      </c>
      <c r="E80" s="1621" t="str">
        <f t="shared" si="329"/>
        <v/>
      </c>
      <c r="F80" s="1572"/>
      <c r="G80" s="1598">
        <f t="shared" si="207"/>
        <v>8661.4231642287741</v>
      </c>
      <c r="H80" s="1597">
        <f t="shared" ref="H80:AK80" si="354">IF(ISBLANK(H223),"",H223)</f>
        <v>11733.472288175466</v>
      </c>
      <c r="I80" s="1597">
        <f t="shared" si="354"/>
        <v>15567.424976285371</v>
      </c>
      <c r="J80" s="1599">
        <f t="shared" si="354"/>
        <v>9467.1210998981551</v>
      </c>
      <c r="K80" s="1598">
        <f t="shared" si="354"/>
        <v>8811.5559963805918</v>
      </c>
      <c r="L80" s="1597">
        <f t="shared" si="354"/>
        <v>11833.163129494042</v>
      </c>
      <c r="M80" s="1597">
        <f t="shared" si="354"/>
        <v>13749.375769400505</v>
      </c>
      <c r="N80" s="1599">
        <f t="shared" si="354"/>
        <v>11401.789212415018</v>
      </c>
      <c r="O80" s="1598">
        <f t="shared" si="354"/>
        <v>10858.411061353236</v>
      </c>
      <c r="P80" s="1597">
        <f t="shared" si="354"/>
        <v>17096.327622236855</v>
      </c>
      <c r="Q80" s="1597">
        <f t="shared" si="354"/>
        <v>16321.388541509912</v>
      </c>
      <c r="R80" s="1597">
        <f t="shared" si="354"/>
        <v>11936.102955529621</v>
      </c>
      <c r="S80" s="1234">
        <f t="shared" si="354"/>
        <v>9200.0602031750641</v>
      </c>
      <c r="T80" s="1235">
        <f t="shared" si="354"/>
        <v>10943.30469533352</v>
      </c>
      <c r="U80" s="1235">
        <f t="shared" si="354"/>
        <v>16839.305638511436</v>
      </c>
      <c r="V80" s="1236">
        <f t="shared" si="354"/>
        <v>11507.281614895146</v>
      </c>
      <c r="W80" s="1235">
        <f t="shared" si="354"/>
        <v>8513.2984461369888</v>
      </c>
      <c r="X80" s="1235">
        <f t="shared" si="354"/>
        <v>12214.306661080853</v>
      </c>
      <c r="Y80" s="1235">
        <f t="shared" si="354"/>
        <v>15533.074957564382</v>
      </c>
      <c r="Z80" s="1236">
        <f t="shared" si="354"/>
        <v>13169.174296902111</v>
      </c>
      <c r="AA80" s="1235">
        <f t="shared" si="354"/>
        <v>8752.0153850948955</v>
      </c>
      <c r="AB80" s="1235">
        <f t="shared" si="354"/>
        <v>13044.571585464208</v>
      </c>
      <c r="AC80" s="1235">
        <f t="shared" si="354"/>
        <v>16897.690788927091</v>
      </c>
      <c r="AD80" s="1236">
        <f t="shared" si="354"/>
        <v>14276.849559241589</v>
      </c>
      <c r="AE80" s="1235">
        <f t="shared" si="354"/>
        <v>12408.032404772037</v>
      </c>
      <c r="AF80" s="1235">
        <f t="shared" si="354"/>
        <v>16600.643581221062</v>
      </c>
      <c r="AG80" s="1235">
        <f t="shared" si="354"/>
        <v>20653.382464404767</v>
      </c>
      <c r="AH80" s="1236">
        <f t="shared" si="354"/>
        <v>13059.678246218231</v>
      </c>
      <c r="AI80" s="1235">
        <f t="shared" si="354"/>
        <v>10564.639678870024</v>
      </c>
      <c r="AJ80" s="1235">
        <f t="shared" si="354"/>
        <v>12417.855523387629</v>
      </c>
      <c r="AK80" s="1235">
        <f t="shared" si="354"/>
        <v>13595.184996214484</v>
      </c>
      <c r="AL80" s="1236">
        <f t="shared" si="208"/>
        <v>11881.520868816107</v>
      </c>
      <c r="AM80" s="1235">
        <f t="shared" si="261"/>
        <v>6442.6306762573604</v>
      </c>
      <c r="AN80" s="1235">
        <f t="shared" si="261"/>
        <v>14924.97320471597</v>
      </c>
      <c r="AO80" s="1235">
        <f t="shared" si="261"/>
        <v>11663.33998669328</v>
      </c>
      <c r="AP80" s="1236">
        <f t="shared" si="261"/>
        <v>13240.105540897099</v>
      </c>
      <c r="AQ80" s="1235">
        <f t="shared" ref="AQ80:AT80" si="355">IF(ISBLANK(AQ223),"",AQ223)</f>
        <v>15902.941350771327</v>
      </c>
      <c r="AR80" s="1235">
        <f t="shared" si="355"/>
        <v>19127.171748689459</v>
      </c>
      <c r="AS80" s="1235">
        <f t="shared" si="355"/>
        <v>16072.965189791517</v>
      </c>
      <c r="AT80" s="1236">
        <f t="shared" si="355"/>
        <v>6473.9168195960674</v>
      </c>
      <c r="AU80" s="1235">
        <f t="shared" ref="AU80:AX80" si="356">IF(ISBLANK(AU223),"",AU223)</f>
        <v>15877.25457081885</v>
      </c>
      <c r="AV80" s="1235">
        <f t="shared" si="356"/>
        <v>19096.277121023737</v>
      </c>
      <c r="AW80" s="1235">
        <f t="shared" si="356"/>
        <v>16047.003783602089</v>
      </c>
      <c r="AX80" s="1236">
        <f t="shared" si="356"/>
        <v>6463.460007041228</v>
      </c>
      <c r="AY80" s="1235">
        <f t="shared" ref="AY80:BB80" si="357">IF(ISBLANK(AY223),"",AY223)</f>
        <v>15501.066136796249</v>
      </c>
      <c r="AZ80" s="1235">
        <f t="shared" si="357"/>
        <v>18643.818633709263</v>
      </c>
      <c r="BA80" s="1235">
        <f t="shared" si="357"/>
        <v>15666.79338909201</v>
      </c>
      <c r="BB80" s="1236">
        <f t="shared" si="357"/>
        <v>6310.3177312421476</v>
      </c>
      <c r="BC80" s="1237"/>
      <c r="BD80" s="1237"/>
      <c r="BE80" s="1279">
        <f t="shared" si="338"/>
        <v>11357.360382146942</v>
      </c>
      <c r="BF80" s="1279">
        <f t="shared" si="339"/>
        <v>11448.971026922538</v>
      </c>
      <c r="BG80" s="1279">
        <f t="shared" si="340"/>
        <v>14053.057545157406</v>
      </c>
      <c r="BH80" s="1279">
        <f t="shared" si="341"/>
        <v>12122.488037978792</v>
      </c>
      <c r="BI80" s="1279">
        <f t="shared" si="342"/>
        <v>12357.463590421085</v>
      </c>
      <c r="BJ80" s="1279">
        <f t="shared" si="343"/>
        <v>13242.781829681946</v>
      </c>
      <c r="BK80" s="1279">
        <f t="shared" si="344"/>
        <v>15680.434174154023</v>
      </c>
      <c r="BL80" s="1279">
        <f t="shared" si="345"/>
        <v>12114.800266822062</v>
      </c>
      <c r="BM80" s="1573">
        <f t="shared" si="346"/>
        <v>11567.762352140928</v>
      </c>
      <c r="BN80" s="1573">
        <f t="shared" si="347"/>
        <v>14394.248777212093</v>
      </c>
      <c r="BO80" s="1573">
        <f t="shared" si="348"/>
        <v>14370.998870621475</v>
      </c>
      <c r="BP80" s="1573">
        <f t="shared" si="349"/>
        <v>14030.498972709916</v>
      </c>
      <c r="BQ80" s="1205"/>
      <c r="BR80" s="1206"/>
      <c r="BU80" s="1186"/>
      <c r="BV80" s="1551" t="str">
        <f>C59</f>
        <v>AEP-Dayton / Tetco M3</v>
      </c>
      <c r="BW80" s="2080">
        <f>BP59</f>
        <v>-0.25</v>
      </c>
      <c r="BX80" s="2080">
        <f>$BX$58</f>
        <v>-0.25</v>
      </c>
      <c r="BY80" s="1924">
        <f>+BW80-BX80</f>
        <v>0</v>
      </c>
    </row>
    <row r="81" spans="1:99" ht="12.75" customHeight="1">
      <c r="A81" s="1187"/>
      <c r="B81" s="1619"/>
      <c r="C81" s="1621" t="str">
        <f t="shared" si="329"/>
        <v>NY Zone J</v>
      </c>
      <c r="D81" s="1621" t="str">
        <f t="shared" si="329"/>
        <v/>
      </c>
      <c r="E81" s="1621" t="str">
        <f t="shared" si="329"/>
        <v/>
      </c>
      <c r="F81" s="1572"/>
      <c r="G81" s="1598">
        <f t="shared" si="207"/>
        <v>9539.7438150189519</v>
      </c>
      <c r="H81" s="1597">
        <f t="shared" ref="H81:AK81" si="358">IF(ISBLANK(H224),"",H224)</f>
        <v>13697.35313631684</v>
      </c>
      <c r="I81" s="1597">
        <f t="shared" si="358"/>
        <v>17284.703810095227</v>
      </c>
      <c r="J81" s="1599">
        <f t="shared" si="358"/>
        <v>10274.047045908441</v>
      </c>
      <c r="K81" s="1598">
        <f t="shared" si="358"/>
        <v>10183.447113344422</v>
      </c>
      <c r="L81" s="1597">
        <f t="shared" si="358"/>
        <v>13001.009310136313</v>
      </c>
      <c r="M81" s="1597">
        <f t="shared" si="358"/>
        <v>14568.584070796462</v>
      </c>
      <c r="N81" s="1599">
        <f t="shared" si="358"/>
        <v>12436.247938794573</v>
      </c>
      <c r="O81" s="1598">
        <f t="shared" si="358"/>
        <v>12425.14553153737</v>
      </c>
      <c r="P81" s="1597">
        <f t="shared" si="358"/>
        <v>18031.971093165863</v>
      </c>
      <c r="Q81" s="1597">
        <f t="shared" si="358"/>
        <v>17146.378293109447</v>
      </c>
      <c r="R81" s="1597">
        <f t="shared" si="358"/>
        <v>12431.863270403677</v>
      </c>
      <c r="S81" s="1234">
        <f t="shared" si="358"/>
        <v>10578.39992459892</v>
      </c>
      <c r="T81" s="1235">
        <f t="shared" si="358"/>
        <v>11999.78855129232</v>
      </c>
      <c r="U81" s="1235">
        <f t="shared" si="358"/>
        <v>17812.227801005432</v>
      </c>
      <c r="V81" s="1236">
        <f t="shared" si="358"/>
        <v>11729.179938323001</v>
      </c>
      <c r="W81" s="1235">
        <f t="shared" si="358"/>
        <v>9203.1098350249158</v>
      </c>
      <c r="X81" s="1235">
        <f t="shared" si="358"/>
        <v>12626.733347297857</v>
      </c>
      <c r="Y81" s="1235">
        <f t="shared" si="358"/>
        <v>15897.562359300329</v>
      </c>
      <c r="Z81" s="1236">
        <f t="shared" si="358"/>
        <v>13240.978153002308</v>
      </c>
      <c r="AA81" s="1235">
        <f t="shared" si="358"/>
        <v>9018.8976375690818</v>
      </c>
      <c r="AB81" s="1235">
        <f t="shared" si="358"/>
        <v>13894.286417546622</v>
      </c>
      <c r="AC81" s="1235">
        <f t="shared" si="358"/>
        <v>18107.995319874713</v>
      </c>
      <c r="AD81" s="1236">
        <f t="shared" si="358"/>
        <v>14745.056501394383</v>
      </c>
      <c r="AE81" s="1235">
        <f t="shared" si="358"/>
        <v>13209.269974318235</v>
      </c>
      <c r="AF81" s="1235">
        <f t="shared" si="358"/>
        <v>17254.346935393285</v>
      </c>
      <c r="AG81" s="1235">
        <f t="shared" si="358"/>
        <v>22217.55576655066</v>
      </c>
      <c r="AH81" s="1236">
        <f t="shared" si="358"/>
        <v>13392.414325610831</v>
      </c>
      <c r="AI81" s="1235">
        <f t="shared" si="358"/>
        <v>10821.778932940791</v>
      </c>
      <c r="AJ81" s="1235">
        <f t="shared" si="358"/>
        <v>14506.809765484199</v>
      </c>
      <c r="AK81" s="1235">
        <f t="shared" si="358"/>
        <v>14815.14368478225</v>
      </c>
      <c r="AL81" s="1236">
        <f t="shared" si="208"/>
        <v>12173.228816928658</v>
      </c>
      <c r="AM81" s="1235">
        <f t="shared" si="261"/>
        <v>7815.56322828876</v>
      </c>
      <c r="AN81" s="1235">
        <f t="shared" si="261"/>
        <v>16606.377277599146</v>
      </c>
      <c r="AO81" s="1235">
        <f t="shared" si="261"/>
        <v>13626.081170991349</v>
      </c>
      <c r="AP81" s="1236">
        <f t="shared" si="261"/>
        <v>14369.39313984169</v>
      </c>
      <c r="AQ81" s="1235">
        <f t="shared" ref="AQ81:AT81" si="359">IF(ISBLANK(AQ224),"",AQ224)</f>
        <v>16741.315089166317</v>
      </c>
      <c r="AR81" s="1235">
        <f t="shared" si="359"/>
        <v>20687.340048570692</v>
      </c>
      <c r="AS81" s="1235">
        <f t="shared" si="359"/>
        <v>18591.892964046394</v>
      </c>
      <c r="AT81" s="1236">
        <f t="shared" si="359"/>
        <v>8151.6242564083632</v>
      </c>
      <c r="AU81" s="1235">
        <f t="shared" ref="AU81:AX81" si="360">IF(ISBLANK(AU224),"",AU224)</f>
        <v>16761.003464683836</v>
      </c>
      <c r="AV81" s="1235">
        <f t="shared" si="360"/>
        <v>20711.669088264731</v>
      </c>
      <c r="AW81" s="1235">
        <f t="shared" si="360"/>
        <v>18613.757684249551</v>
      </c>
      <c r="AX81" s="1236">
        <f t="shared" si="360"/>
        <v>8161.210853314461</v>
      </c>
      <c r="AY81" s="1235">
        <f t="shared" ref="AY81:BB81" si="361">IF(ISBLANK(AY224),"",AY224)</f>
        <v>16419.071657976107</v>
      </c>
      <c r="AZ81" s="1235">
        <f t="shared" si="361"/>
        <v>20289.14197369161</v>
      </c>
      <c r="BA81" s="1235">
        <f t="shared" si="361"/>
        <v>18234.028880541242</v>
      </c>
      <c r="BB81" s="1236">
        <f t="shared" si="361"/>
        <v>7994.7185798729333</v>
      </c>
      <c r="BC81" s="1237"/>
      <c r="BD81" s="1237"/>
      <c r="BE81" s="1279">
        <f t="shared" si="338"/>
        <v>12698.961951834865</v>
      </c>
      <c r="BF81" s="1279">
        <f t="shared" si="339"/>
        <v>12547.322108267941</v>
      </c>
      <c r="BG81" s="1279">
        <f t="shared" si="340"/>
        <v>15008.839547054089</v>
      </c>
      <c r="BH81" s="1279">
        <f t="shared" si="341"/>
        <v>13029.89905380492</v>
      </c>
      <c r="BI81" s="1279">
        <f t="shared" si="342"/>
        <v>12742.095923656352</v>
      </c>
      <c r="BJ81" s="1279">
        <f t="shared" si="343"/>
        <v>13941.558969096201</v>
      </c>
      <c r="BK81" s="1279">
        <f t="shared" si="344"/>
        <v>16518.396750468255</v>
      </c>
      <c r="BL81" s="1279">
        <f t="shared" si="345"/>
        <v>13079.240300033973</v>
      </c>
      <c r="BM81" s="1573">
        <f t="shared" si="346"/>
        <v>13104.353704180236</v>
      </c>
      <c r="BN81" s="1573">
        <f t="shared" si="347"/>
        <v>16043.04308954794</v>
      </c>
      <c r="BO81" s="1573">
        <f t="shared" si="348"/>
        <v>16061.910272628145</v>
      </c>
      <c r="BP81" s="1573">
        <f t="shared" si="349"/>
        <v>15734.240273020474</v>
      </c>
      <c r="BQ81" s="1205"/>
      <c r="BR81" s="1206"/>
      <c r="BU81" s="1186"/>
      <c r="BV81" s="1551"/>
      <c r="BW81" s="1551"/>
      <c r="BX81" s="1551"/>
    </row>
    <row r="82" spans="1:99" ht="12.75" customHeight="1">
      <c r="A82" s="1187"/>
      <c r="B82" s="1619"/>
      <c r="C82" s="1621" t="str">
        <f t="shared" si="329"/>
        <v>PJM West</v>
      </c>
      <c r="D82" s="1621" t="str">
        <f t="shared" si="329"/>
        <v/>
      </c>
      <c r="E82" s="1621" t="str">
        <f t="shared" si="329"/>
        <v/>
      </c>
      <c r="F82" s="1572"/>
      <c r="G82" s="1598">
        <f t="shared" si="207"/>
        <v>8231.2955131731214</v>
      </c>
      <c r="H82" s="1597">
        <f t="shared" ref="H82:AK82" si="362">IF(ISBLANK(H225),"",H225)</f>
        <v>11041.103779988538</v>
      </c>
      <c r="I82" s="1597">
        <f t="shared" si="362"/>
        <v>14228.587132037725</v>
      </c>
      <c r="J82" s="1599">
        <f t="shared" si="362"/>
        <v>9383.2805134876544</v>
      </c>
      <c r="K82" s="1598">
        <f t="shared" si="362"/>
        <v>8427.5939587936628</v>
      </c>
      <c r="L82" s="1597">
        <f t="shared" si="362"/>
        <v>12841.345055255759</v>
      </c>
      <c r="M82" s="1597">
        <f t="shared" si="362"/>
        <v>13053.181206760597</v>
      </c>
      <c r="N82" s="1599">
        <f t="shared" si="362"/>
        <v>10988.427298979313</v>
      </c>
      <c r="O82" s="1598">
        <f t="shared" si="362"/>
        <v>12399.269052277541</v>
      </c>
      <c r="P82" s="1597">
        <f t="shared" si="362"/>
        <v>15811.917941469588</v>
      </c>
      <c r="Q82" s="1597">
        <f t="shared" si="362"/>
        <v>16066.421494696588</v>
      </c>
      <c r="R82" s="1597">
        <f t="shared" si="362"/>
        <v>11326.798880136883</v>
      </c>
      <c r="S82" s="1234">
        <f t="shared" si="362"/>
        <v>9769.8876086014934</v>
      </c>
      <c r="T82" s="1235">
        <f t="shared" si="362"/>
        <v>10989.280048611789</v>
      </c>
      <c r="U82" s="1235">
        <f t="shared" si="362"/>
        <v>13580.3682962901</v>
      </c>
      <c r="V82" s="1236">
        <f t="shared" si="362"/>
        <v>10104.935635805112</v>
      </c>
      <c r="W82" s="1235">
        <f t="shared" si="362"/>
        <v>8947.0994834564881</v>
      </c>
      <c r="X82" s="1235">
        <f t="shared" si="362"/>
        <v>13598.639044134061</v>
      </c>
      <c r="Y82" s="1235">
        <f t="shared" si="362"/>
        <v>16362.499285784888</v>
      </c>
      <c r="Z82" s="1236">
        <f t="shared" si="362"/>
        <v>14636.185295017334</v>
      </c>
      <c r="AA82" s="1235">
        <f t="shared" si="362"/>
        <v>8819.9510291713868</v>
      </c>
      <c r="AB82" s="1235">
        <f t="shared" si="362"/>
        <v>24123.141529550368</v>
      </c>
      <c r="AC82" s="1235">
        <f t="shared" si="362"/>
        <v>28747.430408517044</v>
      </c>
      <c r="AD82" s="1236">
        <f t="shared" si="362"/>
        <v>24735.597244755765</v>
      </c>
      <c r="AE82" s="1235">
        <f t="shared" si="362"/>
        <v>16416.865442427312</v>
      </c>
      <c r="AF82" s="1235">
        <f t="shared" si="362"/>
        <v>20663.424419465664</v>
      </c>
      <c r="AG82" s="1235">
        <f t="shared" si="362"/>
        <v>28889.206582791372</v>
      </c>
      <c r="AH82" s="1236">
        <f t="shared" si="362"/>
        <v>14896.780177793647</v>
      </c>
      <c r="AI82" s="1235">
        <f t="shared" si="362"/>
        <v>10739.7501298603</v>
      </c>
      <c r="AJ82" s="1235">
        <f t="shared" si="362"/>
        <v>13045.335901964805</v>
      </c>
      <c r="AK82" s="1235">
        <f t="shared" si="362"/>
        <v>20361.658997618648</v>
      </c>
      <c r="AL82" s="1236">
        <f t="shared" si="208"/>
        <v>13616.365420376185</v>
      </c>
      <c r="AM82" s="1235">
        <f t="shared" si="208"/>
        <v>7345.4940065431902</v>
      </c>
      <c r="AN82" s="1235">
        <f t="shared" si="208"/>
        <v>15566.250563994585</v>
      </c>
      <c r="AO82" s="1235">
        <f t="shared" si="208"/>
        <v>16621.62162162162</v>
      </c>
      <c r="AP82" s="1236">
        <f t="shared" si="208"/>
        <v>12917.442582247049</v>
      </c>
      <c r="AQ82" s="1235">
        <f t="shared" ref="AQ82:AT82" si="363">IF(ISBLANK(AQ225),"",AQ225)</f>
        <v>11104.548723888633</v>
      </c>
      <c r="AR82" s="1235">
        <f t="shared" si="363"/>
        <v>16674.490418195121</v>
      </c>
      <c r="AS82" s="1235">
        <f t="shared" si="363"/>
        <v>17885.095700846545</v>
      </c>
      <c r="AT82" s="1236">
        <f t="shared" si="363"/>
        <v>10165.322792411107</v>
      </c>
      <c r="AU82" s="1235">
        <f t="shared" ref="AU82:AX82" si="364">IF(ISBLANK(AU225),"",AU225)</f>
        <v>11252.137629199777</v>
      </c>
      <c r="AV82" s="1235">
        <f t="shared" si="364"/>
        <v>16896.108590048279</v>
      </c>
      <c r="AW82" s="1235">
        <f t="shared" si="364"/>
        <v>18122.803847436458</v>
      </c>
      <c r="AX82" s="1236">
        <f t="shared" si="364"/>
        <v>10300.428585574848</v>
      </c>
      <c r="AY82" s="1342">
        <f t="shared" ref="AY82:BB86" si="365">IF(ISBLANK(AY225),"",IF(Uplift="Yes",$BW36,AY225))</f>
        <v>14319.999999999998</v>
      </c>
      <c r="AZ82" s="1342">
        <f t="shared" si="365"/>
        <v>14319.999999999998</v>
      </c>
      <c r="BA82" s="1342">
        <f t="shared" si="365"/>
        <v>14319.999999999998</v>
      </c>
      <c r="BB82" s="1343">
        <f t="shared" si="365"/>
        <v>14319.999999999998</v>
      </c>
      <c r="BC82" s="2084"/>
      <c r="BD82" s="1237"/>
      <c r="BE82" s="1279">
        <f t="shared" si="338"/>
        <v>10721.06673467176</v>
      </c>
      <c r="BF82" s="1279">
        <f t="shared" si="339"/>
        <v>11327.636879947331</v>
      </c>
      <c r="BG82" s="1279">
        <f t="shared" si="340"/>
        <v>13901.10184214515</v>
      </c>
      <c r="BH82" s="1279">
        <f t="shared" si="341"/>
        <v>11111.117897327124</v>
      </c>
      <c r="BI82" s="1279">
        <f t="shared" si="342"/>
        <v>13386.105777098193</v>
      </c>
      <c r="BJ82" s="1279">
        <f t="shared" si="343"/>
        <v>21606.530052998642</v>
      </c>
      <c r="BK82" s="1279">
        <f t="shared" si="344"/>
        <v>20216.569155619502</v>
      </c>
      <c r="BL82" s="1279">
        <f t="shared" si="345"/>
        <v>14440.777612454986</v>
      </c>
      <c r="BM82" s="1573">
        <f t="shared" si="346"/>
        <v>13112.702193601612</v>
      </c>
      <c r="BN82" s="1573">
        <f t="shared" si="347"/>
        <v>13957.364408835352</v>
      </c>
      <c r="BO82" s="1573">
        <f t="shared" si="348"/>
        <v>14142.869663064841</v>
      </c>
      <c r="BP82" s="1573">
        <f t="shared" si="349"/>
        <v>14319.999999999998</v>
      </c>
      <c r="BQ82" s="1205"/>
      <c r="BR82" s="1206"/>
      <c r="BU82" s="1186"/>
      <c r="BV82" s="2049" t="s">
        <v>1382</v>
      </c>
      <c r="BW82" s="2050"/>
      <c r="BX82" s="2050"/>
      <c r="BY82" s="2042"/>
      <c r="BZ82" s="2042"/>
      <c r="CA82" s="2042"/>
      <c r="CB82" s="2042"/>
      <c r="CC82" s="2042"/>
    </row>
    <row r="83" spans="1:99" ht="12.75" customHeight="1">
      <c r="A83" s="1187"/>
      <c r="B83" s="1619"/>
      <c r="C83" s="1621" t="str">
        <f t="shared" si="329"/>
        <v>PJM East</v>
      </c>
      <c r="D83" s="1621" t="str">
        <f t="shared" si="329"/>
        <v/>
      </c>
      <c r="E83" s="1621" t="str">
        <f t="shared" si="329"/>
        <v/>
      </c>
      <c r="F83" s="1572"/>
      <c r="G83" s="1598">
        <f t="shared" ref="G83:G114" si="366">IF(ISBLANK(G226),"",G226)</f>
        <v>8828.3235001232933</v>
      </c>
      <c r="H83" s="1597">
        <f t="shared" ref="H83:AK83" si="367">IF(ISBLANK(H226),"",H226)</f>
        <v>12152.629284719847</v>
      </c>
      <c r="I83" s="1597">
        <f t="shared" si="367"/>
        <v>17173.13306743103</v>
      </c>
      <c r="J83" s="1599">
        <f t="shared" si="367"/>
        <v>10120.881701897726</v>
      </c>
      <c r="K83" s="1598">
        <f t="shared" si="367"/>
        <v>9486.4861275515559</v>
      </c>
      <c r="L83" s="1597">
        <f t="shared" si="367"/>
        <v>14083.274067213015</v>
      </c>
      <c r="M83" s="1597">
        <f t="shared" si="367"/>
        <v>15184.902828423206</v>
      </c>
      <c r="N83" s="1599">
        <f t="shared" si="367"/>
        <v>11452.068410464995</v>
      </c>
      <c r="O83" s="1598">
        <f t="shared" si="367"/>
        <v>13882.378537887873</v>
      </c>
      <c r="P83" s="1597">
        <f t="shared" si="367"/>
        <v>15168.285590046735</v>
      </c>
      <c r="Q83" s="1597">
        <f t="shared" si="367"/>
        <v>18341.98697135222</v>
      </c>
      <c r="R83" s="1597">
        <f t="shared" si="367"/>
        <v>12596.345207299488</v>
      </c>
      <c r="S83" s="1234">
        <f t="shared" si="367"/>
        <v>9911.8076792134689</v>
      </c>
      <c r="T83" s="1235">
        <f t="shared" si="367"/>
        <v>11384.147247720264</v>
      </c>
      <c r="U83" s="1235">
        <f t="shared" si="367"/>
        <v>15573.185234756584</v>
      </c>
      <c r="V83" s="1236">
        <f t="shared" si="367"/>
        <v>10607.460008072527</v>
      </c>
      <c r="W83" s="1235">
        <f t="shared" si="367"/>
        <v>10425.452124530333</v>
      </c>
      <c r="X83" s="1235">
        <f t="shared" si="367"/>
        <v>14513.982866861383</v>
      </c>
      <c r="Y83" s="1235">
        <f t="shared" si="367"/>
        <v>17923.159637116962</v>
      </c>
      <c r="Z83" s="1236">
        <f t="shared" si="367"/>
        <v>17808.177795314739</v>
      </c>
      <c r="AA83" s="1235">
        <f t="shared" si="367"/>
        <v>10435.739406819961</v>
      </c>
      <c r="AB83" s="1235">
        <f t="shared" si="367"/>
        <v>22688.465601410513</v>
      </c>
      <c r="AC83" s="1235">
        <f t="shared" si="367"/>
        <v>29063.334258348081</v>
      </c>
      <c r="AD83" s="1236">
        <f t="shared" si="367"/>
        <v>23298.162468780309</v>
      </c>
      <c r="AE83" s="1235">
        <f t="shared" si="367"/>
        <v>17051.205582715174</v>
      </c>
      <c r="AF83" s="1235">
        <f t="shared" si="367"/>
        <v>18139.264256659353</v>
      </c>
      <c r="AG83" s="1235">
        <f t="shared" si="367"/>
        <v>30127.615946596885</v>
      </c>
      <c r="AH83" s="1236">
        <f t="shared" si="367"/>
        <v>12908.049102170644</v>
      </c>
      <c r="AI83" s="1235">
        <f t="shared" si="367"/>
        <v>11111.448318537523</v>
      </c>
      <c r="AJ83" s="1235">
        <f t="shared" si="367"/>
        <v>12879.867308086643</v>
      </c>
      <c r="AK83" s="1235">
        <f t="shared" si="367"/>
        <v>19709.573082387014</v>
      </c>
      <c r="AL83" s="1236">
        <f t="shared" ref="AL83:AP114" si="368">IF(ISBLANK(AL226),"",AL226)</f>
        <v>14197.025620468919</v>
      </c>
      <c r="AM83" s="1235">
        <f t="shared" si="368"/>
        <v>7552.144985638347</v>
      </c>
      <c r="AN83" s="1235">
        <f t="shared" si="368"/>
        <v>15508.196721311475</v>
      </c>
      <c r="AO83" s="1235">
        <f t="shared" si="368"/>
        <v>17145.420420420422</v>
      </c>
      <c r="AP83" s="1236">
        <f t="shared" si="368"/>
        <v>12891.744258224702</v>
      </c>
      <c r="AQ83" s="1235">
        <f t="shared" ref="AQ83:AT83" si="369">IF(ISBLANK(AQ226),"",AQ226)</f>
        <v>12752.248157113403</v>
      </c>
      <c r="AR83" s="1235">
        <f t="shared" si="369"/>
        <v>17021.585855808447</v>
      </c>
      <c r="AS83" s="1235">
        <f t="shared" si="369"/>
        <v>18914.044155281495</v>
      </c>
      <c r="AT83" s="1236">
        <f t="shared" si="369"/>
        <v>9489.5496195419528</v>
      </c>
      <c r="AU83" s="1235">
        <f t="shared" ref="AU83:AX83" si="370">IF(ISBLANK(AU226),"",AU226)</f>
        <v>12943.493840954505</v>
      </c>
      <c r="AV83" s="1235">
        <f t="shared" si="370"/>
        <v>17276.858870177937</v>
      </c>
      <c r="AW83" s="1235">
        <f t="shared" si="370"/>
        <v>19197.698399153764</v>
      </c>
      <c r="AX83" s="1236">
        <f t="shared" si="370"/>
        <v>9631.864557580624</v>
      </c>
      <c r="AY83" s="1342">
        <f t="shared" si="365"/>
        <v>14408.571428571429</v>
      </c>
      <c r="AZ83" s="1342">
        <f t="shared" si="365"/>
        <v>14408.571428571429</v>
      </c>
      <c r="BA83" s="1342">
        <f t="shared" si="365"/>
        <v>14408.571428571429</v>
      </c>
      <c r="BB83" s="1343">
        <f t="shared" si="365"/>
        <v>14408.571428571429</v>
      </c>
      <c r="BC83" s="2084"/>
      <c r="BD83" s="1237"/>
      <c r="BE83" s="1279">
        <f t="shared" si="338"/>
        <v>12068.741888542974</v>
      </c>
      <c r="BF83" s="1279">
        <f t="shared" si="339"/>
        <v>12551.682858413194</v>
      </c>
      <c r="BG83" s="1279">
        <f t="shared" si="340"/>
        <v>14997.249076646578</v>
      </c>
      <c r="BH83" s="1279">
        <f t="shared" si="341"/>
        <v>11869.150042440711</v>
      </c>
      <c r="BI83" s="1279">
        <f t="shared" si="342"/>
        <v>15167.693105955856</v>
      </c>
      <c r="BJ83" s="1279">
        <f t="shared" si="343"/>
        <v>21371.425433839719</v>
      </c>
      <c r="BK83" s="1279">
        <f t="shared" si="344"/>
        <v>19556.533722035514</v>
      </c>
      <c r="BL83" s="1279">
        <f t="shared" si="345"/>
        <v>14474.478582370026</v>
      </c>
      <c r="BM83" s="1573">
        <f t="shared" si="346"/>
        <v>13274.376596398735</v>
      </c>
      <c r="BN83" s="1573">
        <f t="shared" si="347"/>
        <v>14544.356946936325</v>
      </c>
      <c r="BO83" s="1573">
        <f t="shared" si="348"/>
        <v>14762.478916966707</v>
      </c>
      <c r="BP83" s="1573">
        <f t="shared" si="349"/>
        <v>14408.571428571429</v>
      </c>
      <c r="BQ83" s="1205"/>
      <c r="BR83" s="1206"/>
      <c r="BU83" s="1186"/>
      <c r="BV83" s="2051" t="s">
        <v>940</v>
      </c>
      <c r="BW83" s="2081" t="s">
        <v>1394</v>
      </c>
      <c r="BX83" s="2051">
        <v>2021</v>
      </c>
      <c r="BY83" s="2051" t="s">
        <v>1081</v>
      </c>
      <c r="BZ83" s="2051" t="s">
        <v>938</v>
      </c>
      <c r="CA83" s="2051" t="s">
        <v>1083</v>
      </c>
      <c r="CB83" s="2051" t="s">
        <v>1084</v>
      </c>
      <c r="CC83" s="2051" t="s">
        <v>1085</v>
      </c>
    </row>
    <row r="84" spans="1:99" ht="12.75" customHeight="1">
      <c r="A84" s="1187"/>
      <c r="B84" s="1619"/>
      <c r="C84" s="1621" t="str">
        <f t="shared" si="329"/>
        <v>AEP Dayton</v>
      </c>
      <c r="D84" s="1621" t="str">
        <f t="shared" si="329"/>
        <v/>
      </c>
      <c r="E84" s="1621" t="str">
        <f t="shared" si="329"/>
        <v/>
      </c>
      <c r="F84" s="1572"/>
      <c r="G84" s="1598">
        <f t="shared" si="366"/>
        <v>7234.2720452950425</v>
      </c>
      <c r="H84" s="1597">
        <f t="shared" ref="H84:AK84" si="371">IF(ISBLANK(H227),"",H227)</f>
        <v>9219.5630628076833</v>
      </c>
      <c r="I84" s="1597">
        <f t="shared" si="371"/>
        <v>11045.187830976916</v>
      </c>
      <c r="J84" s="1599">
        <f t="shared" si="371"/>
        <v>7381.5895861529834</v>
      </c>
      <c r="K84" s="1598">
        <f t="shared" si="371"/>
        <v>6978.2974668560619</v>
      </c>
      <c r="L84" s="1597">
        <f t="shared" si="371"/>
        <v>10974.737677781584</v>
      </c>
      <c r="M84" s="1597">
        <f t="shared" si="371"/>
        <v>11488.370939644137</v>
      </c>
      <c r="N84" s="1599">
        <f t="shared" si="371"/>
        <v>10454.753259779891</v>
      </c>
      <c r="O84" s="1598">
        <f t="shared" si="371"/>
        <v>11590.193568861898</v>
      </c>
      <c r="P84" s="1597">
        <f t="shared" si="371"/>
        <v>14239.168969349786</v>
      </c>
      <c r="Q84" s="1597">
        <f t="shared" si="371"/>
        <v>14649.640167203261</v>
      </c>
      <c r="R84" s="1597">
        <f t="shared" si="371"/>
        <v>10401.683528262198</v>
      </c>
      <c r="S84" s="1234">
        <f t="shared" si="371"/>
        <v>8843.8741816001238</v>
      </c>
      <c r="T84" s="1235">
        <f t="shared" si="371"/>
        <v>10090.605702834497</v>
      </c>
      <c r="U84" s="1235">
        <f t="shared" si="371"/>
        <v>11784.929103005486</v>
      </c>
      <c r="V84" s="1236">
        <f t="shared" si="371"/>
        <v>9055.3075246398785</v>
      </c>
      <c r="W84" s="1235">
        <f t="shared" si="371"/>
        <v>6250.8834115149521</v>
      </c>
      <c r="X84" s="1235">
        <f t="shared" si="371"/>
        <v>13598.445413206973</v>
      </c>
      <c r="Y84" s="1235">
        <f t="shared" si="371"/>
        <v>15115.206481521522</v>
      </c>
      <c r="Z84" s="1236">
        <f t="shared" si="371"/>
        <v>14526.341739741243</v>
      </c>
      <c r="AA84" s="1235">
        <f t="shared" si="371"/>
        <v>6685.8777350899572</v>
      </c>
      <c r="AB84" s="1235">
        <f t="shared" si="371"/>
        <v>22536.074157139941</v>
      </c>
      <c r="AC84" s="1235">
        <f t="shared" si="371"/>
        <v>26155.148246335953</v>
      </c>
      <c r="AD84" s="1236">
        <f t="shared" si="371"/>
        <v>23909.989823722273</v>
      </c>
      <c r="AE84" s="1235">
        <f t="shared" si="371"/>
        <v>14978.836309235272</v>
      </c>
      <c r="AF84" s="1235">
        <f t="shared" si="371"/>
        <v>19797.287168266088</v>
      </c>
      <c r="AG84" s="1235">
        <f t="shared" si="371"/>
        <v>28019.254671976272</v>
      </c>
      <c r="AH84" s="1236">
        <f t="shared" si="371"/>
        <v>14526.175995021027</v>
      </c>
      <c r="AI84" s="1235">
        <f t="shared" si="371"/>
        <v>10353.203493698842</v>
      </c>
      <c r="AJ84" s="1235">
        <f t="shared" si="371"/>
        <v>13146.418491195038</v>
      </c>
      <c r="AK84" s="1235">
        <f t="shared" si="371"/>
        <v>20992.620308985443</v>
      </c>
      <c r="AL84" s="1236">
        <f t="shared" si="368"/>
        <v>11673.338698911291</v>
      </c>
      <c r="AM84" s="1235">
        <f t="shared" si="368"/>
        <v>6038.4727262704982</v>
      </c>
      <c r="AN84" s="1235">
        <f t="shared" si="368"/>
        <v>13216.818012190572</v>
      </c>
      <c r="AO84" s="1235">
        <f t="shared" si="368"/>
        <v>13392.53996447602</v>
      </c>
      <c r="AP84" s="1236">
        <f t="shared" si="368"/>
        <v>11740.379092475589</v>
      </c>
      <c r="AQ84" s="1235">
        <f t="shared" ref="AQ84:AT84" si="372">IF(ISBLANK(AQ227),"",AQ227)</f>
        <v>12782.858661912423</v>
      </c>
      <c r="AR84" s="1235">
        <f t="shared" si="372"/>
        <v>12270.005904552587</v>
      </c>
      <c r="AS84" s="1235">
        <f t="shared" si="372"/>
        <v>13129.877577825491</v>
      </c>
      <c r="AT84" s="1236">
        <f t="shared" si="372"/>
        <v>11979.669391553554</v>
      </c>
      <c r="AU84" s="1235">
        <f t="shared" ref="AU84:AX84" si="373">IF(ISBLANK(AU227),"",AU227)</f>
        <v>12476.88178267494</v>
      </c>
      <c r="AV84" s="1235">
        <f t="shared" si="373"/>
        <v>11976.304924654652</v>
      </c>
      <c r="AW84" s="1235">
        <f t="shared" si="373"/>
        <v>12815.594280772109</v>
      </c>
      <c r="AX84" s="1236">
        <f t="shared" si="373"/>
        <v>11692.918051210097</v>
      </c>
      <c r="AY84" s="1342">
        <f t="shared" si="365"/>
        <v>14758.214285714284</v>
      </c>
      <c r="AZ84" s="1342">
        <f t="shared" si="365"/>
        <v>14758.214285714284</v>
      </c>
      <c r="BA84" s="1342">
        <f t="shared" si="365"/>
        <v>14758.214285714284</v>
      </c>
      <c r="BB84" s="1343">
        <f t="shared" si="365"/>
        <v>14758.214285714284</v>
      </c>
      <c r="BC84" s="2084"/>
      <c r="BD84" s="1237"/>
      <c r="BE84" s="1279">
        <f t="shared" si="338"/>
        <v>8720.1531313081559</v>
      </c>
      <c r="BF84" s="1279">
        <f t="shared" si="339"/>
        <v>9974.0398360154177</v>
      </c>
      <c r="BG84" s="1279">
        <f t="shared" si="340"/>
        <v>12720.171558419286</v>
      </c>
      <c r="BH84" s="1279">
        <f t="shared" si="341"/>
        <v>9943.6791280199977</v>
      </c>
      <c r="BI84" s="1279">
        <f t="shared" si="342"/>
        <v>12372.719261496171</v>
      </c>
      <c r="BJ84" s="1279">
        <f t="shared" si="343"/>
        <v>19821.772490572032</v>
      </c>
      <c r="BK84" s="1279">
        <f t="shared" si="344"/>
        <v>19330.388536124665</v>
      </c>
      <c r="BL84" s="1279">
        <f t="shared" si="345"/>
        <v>14041.395248197652</v>
      </c>
      <c r="BM84" s="1573">
        <f t="shared" si="346"/>
        <v>11097.05244885317</v>
      </c>
      <c r="BN84" s="1573">
        <f t="shared" si="347"/>
        <v>12540.602883961015</v>
      </c>
      <c r="BO84" s="1573">
        <f t="shared" si="348"/>
        <v>12240.424759827951</v>
      </c>
      <c r="BP84" s="1573">
        <f t="shared" si="349"/>
        <v>14758.214285714284</v>
      </c>
      <c r="BQ84" s="1205"/>
      <c r="BR84" s="1206"/>
      <c r="BU84" s="1186"/>
      <c r="BV84" s="2046" t="s">
        <v>433</v>
      </c>
      <c r="BW84" s="2082">
        <f>BX84+BY112</f>
        <v>10475.535039141012</v>
      </c>
      <c r="BX84" s="1023">
        <f>((BZ84*($BP$8+BP200)/1000)+CB84)/CA84*1000</f>
        <v>10475.535039141012</v>
      </c>
      <c r="BY84" s="2047">
        <f>HLOOKUP(CA84,$CA$53:$CY$58,BZ54,TRUE)</f>
        <v>0.5357142857142857</v>
      </c>
      <c r="BZ84" s="1023">
        <f>BP243</f>
        <v>9984.4657329060592</v>
      </c>
      <c r="CA84" s="1924">
        <f>$BW$8+$BX$58</f>
        <v>2.5</v>
      </c>
      <c r="CB84" s="2045">
        <f>BY84*(CA84-($BP$8+BP200))*BZ84/1000</f>
        <v>-1.4165460756777526</v>
      </c>
      <c r="CC84" s="2045">
        <f>(BX84*CA84-($BP$8+BP200)*BZ84)/1000</f>
        <v>-1.4165460756777575</v>
      </c>
    </row>
    <row r="85" spans="1:99" ht="12.75" customHeight="1">
      <c r="A85" s="1187"/>
      <c r="B85" s="1619"/>
      <c r="C85" s="1621" t="str">
        <f t="shared" si="329"/>
        <v>Cinergy</v>
      </c>
      <c r="D85" s="1621" t="str">
        <f t="shared" si="329"/>
        <v/>
      </c>
      <c r="E85" s="1621" t="str">
        <f t="shared" si="329"/>
        <v/>
      </c>
      <c r="F85" s="1572"/>
      <c r="G85" s="1598">
        <f t="shared" si="366"/>
        <v>8150.2244612524382</v>
      </c>
      <c r="H85" s="1597">
        <f t="shared" ref="H85:AK85" si="374">IF(ISBLANK(H228),"",H228)</f>
        <v>10003.549383125364</v>
      </c>
      <c r="I85" s="1597">
        <f t="shared" si="374"/>
        <v>12028.047815312115</v>
      </c>
      <c r="J85" s="1599">
        <f t="shared" si="374"/>
        <v>10227.868758263019</v>
      </c>
      <c r="K85" s="1598">
        <f t="shared" si="374"/>
        <v>9936.5439224208931</v>
      </c>
      <c r="L85" s="1597">
        <f t="shared" si="374"/>
        <v>11672.791950011986</v>
      </c>
      <c r="M85" s="1597">
        <f t="shared" si="374"/>
        <v>12186.105777662253</v>
      </c>
      <c r="N85" s="1599">
        <f t="shared" si="374"/>
        <v>11252.850685073325</v>
      </c>
      <c r="O85" s="1598">
        <f t="shared" si="374"/>
        <v>13099.854320578041</v>
      </c>
      <c r="P85" s="1597">
        <f t="shared" si="374"/>
        <v>15290.619466270606</v>
      </c>
      <c r="Q85" s="1597">
        <f t="shared" si="374"/>
        <v>15612.213249244409</v>
      </c>
      <c r="R85" s="1597">
        <f t="shared" si="374"/>
        <v>11258.478019599537</v>
      </c>
      <c r="S85" s="1234">
        <f t="shared" si="374"/>
        <v>10840.629181716851</v>
      </c>
      <c r="T85" s="1235">
        <f t="shared" si="374"/>
        <v>10433.524268414367</v>
      </c>
      <c r="U85" s="1235">
        <f t="shared" si="374"/>
        <v>11783.624476286885</v>
      </c>
      <c r="V85" s="1236">
        <f t="shared" si="374"/>
        <v>9410.7450433957438</v>
      </c>
      <c r="W85" s="1235">
        <f t="shared" si="374"/>
        <v>15318.186620328099</v>
      </c>
      <c r="X85" s="1235">
        <f t="shared" si="374"/>
        <v>10985.588769221897</v>
      </c>
      <c r="Y85" s="1235">
        <f t="shared" si="374"/>
        <v>9630.6910356468015</v>
      </c>
      <c r="Z85" s="1236">
        <f t="shared" si="374"/>
        <v>10341.789794005559</v>
      </c>
      <c r="AA85" s="1235">
        <f t="shared" si="374"/>
        <v>14856.332241024871</v>
      </c>
      <c r="AB85" s="1235">
        <f t="shared" si="374"/>
        <v>12927.939921820258</v>
      </c>
      <c r="AC85" s="1235">
        <f t="shared" si="374"/>
        <v>12745.79802165131</v>
      </c>
      <c r="AD85" s="1236">
        <f t="shared" si="374"/>
        <v>14436.141757625302</v>
      </c>
      <c r="AE85" s="1235">
        <f t="shared" si="374"/>
        <v>13712.372915511156</v>
      </c>
      <c r="AF85" s="1235">
        <f t="shared" si="374"/>
        <v>14788.269551509478</v>
      </c>
      <c r="AG85" s="1235">
        <f t="shared" si="374"/>
        <v>13349.72491644476</v>
      </c>
      <c r="AH85" s="1236">
        <f t="shared" si="374"/>
        <v>10706.4109123743</v>
      </c>
      <c r="AI85" s="1235">
        <f t="shared" si="374"/>
        <v>10324.076252256546</v>
      </c>
      <c r="AJ85" s="1235">
        <f t="shared" si="374"/>
        <v>10803.742971428574</v>
      </c>
      <c r="AK85" s="1235">
        <f t="shared" si="374"/>
        <v>12479.580188793305</v>
      </c>
      <c r="AL85" s="1236">
        <f t="shared" si="368"/>
        <v>11085.597339180495</v>
      </c>
      <c r="AM85" s="1235">
        <f t="shared" si="368"/>
        <v>12354.403745497164</v>
      </c>
      <c r="AN85" s="1235">
        <f t="shared" si="368"/>
        <v>12625.948501057348</v>
      </c>
      <c r="AO85" s="1235">
        <f t="shared" si="368"/>
        <v>12901.124925991713</v>
      </c>
      <c r="AP85" s="1236">
        <f t="shared" si="368"/>
        <v>11585.295807007466</v>
      </c>
      <c r="AQ85" s="1235">
        <f t="shared" ref="AQ85:AT85" si="375">IF(ISBLANK(AQ228),"",AQ228)</f>
        <v>11887.424379313399</v>
      </c>
      <c r="AR85" s="1235">
        <f t="shared" si="375"/>
        <v>11870.343784498289</v>
      </c>
      <c r="AS85" s="1235">
        <f t="shared" si="375"/>
        <v>12919.05721085627</v>
      </c>
      <c r="AT85" s="1236">
        <f t="shared" si="375"/>
        <v>12181.915144547824</v>
      </c>
      <c r="AU85" s="1235">
        <f t="shared" ref="AU85:AX85" si="376">IF(ISBLANK(AU228),"",AU228)</f>
        <v>11741.640116388797</v>
      </c>
      <c r="AV85" s="1235">
        <f t="shared" si="376"/>
        <v>11724.768993520336</v>
      </c>
      <c r="AW85" s="1235">
        <f t="shared" si="376"/>
        <v>12760.621272753231</v>
      </c>
      <c r="AX85" s="1236">
        <f t="shared" si="376"/>
        <v>12032.519323915016</v>
      </c>
      <c r="AY85" s="1342">
        <f t="shared" si="365"/>
        <v>15067.5</v>
      </c>
      <c r="AZ85" s="1342">
        <f t="shared" si="365"/>
        <v>15067.5</v>
      </c>
      <c r="BA85" s="1342">
        <f t="shared" si="365"/>
        <v>15067.5</v>
      </c>
      <c r="BB85" s="1343">
        <f t="shared" si="365"/>
        <v>15067.5</v>
      </c>
      <c r="BC85" s="2084"/>
      <c r="BD85" s="1237"/>
      <c r="BE85" s="1279">
        <f t="shared" si="338"/>
        <v>10102.422604488234</v>
      </c>
      <c r="BF85" s="1279">
        <f t="shared" si="339"/>
        <v>11262.073083792115</v>
      </c>
      <c r="BG85" s="1279">
        <f t="shared" si="340"/>
        <v>13815.291263923147</v>
      </c>
      <c r="BH85" s="1279">
        <f t="shared" si="341"/>
        <v>10617.130742453461</v>
      </c>
      <c r="BI85" s="1279">
        <f t="shared" si="342"/>
        <v>11569.06405480059</v>
      </c>
      <c r="BJ85" s="1279">
        <f t="shared" si="343"/>
        <v>13741.552985530434</v>
      </c>
      <c r="BK85" s="1279">
        <f t="shared" si="344"/>
        <v>13139.194573959921</v>
      </c>
      <c r="BL85" s="1279">
        <f t="shared" si="345"/>
        <v>11173.249187914729</v>
      </c>
      <c r="BM85" s="1573">
        <f t="shared" si="346"/>
        <v>12366.693244888422</v>
      </c>
      <c r="BN85" s="1573">
        <f t="shared" si="347"/>
        <v>12214.685129803944</v>
      </c>
      <c r="BO85" s="1573">
        <f t="shared" si="348"/>
        <v>12064.887426644345</v>
      </c>
      <c r="BP85" s="1573">
        <f t="shared" si="349"/>
        <v>15067.5</v>
      </c>
      <c r="BQ85" s="1205"/>
      <c r="BR85" s="1206"/>
      <c r="BU85" s="1186"/>
      <c r="BV85" s="2046" t="s">
        <v>1207</v>
      </c>
      <c r="BW85" s="2082">
        <f t="shared" ref="BW85:BW88" si="377">BX85+BY113</f>
        <v>10764.111330967613</v>
      </c>
      <c r="BX85" s="1023">
        <f>((BZ85*($BP$8+BP201)/1000)+CB85)/CA85*1000</f>
        <v>10764.111330967613</v>
      </c>
      <c r="BY85" s="2047">
        <f>HLOOKUP(CA85,$CA$53:$CY$58,BZ55,TRUE)</f>
        <v>0.7142857142857143</v>
      </c>
      <c r="BZ85" s="1023">
        <f>BP244</f>
        <v>10447.888570280264</v>
      </c>
      <c r="CA85" s="1924">
        <f>$BW$8+$BX$58</f>
        <v>2.5</v>
      </c>
      <c r="CB85" s="2045">
        <f>BY85*(CA85-($BP$8+BP201))*BZ85/1000</f>
        <v>-1.9763922542959234</v>
      </c>
      <c r="CC85" s="2045">
        <f>(BX85*CA85-($BP$8+BP201)*BZ85)/1000</f>
        <v>-1.9763922542959189</v>
      </c>
    </row>
    <row r="86" spans="1:99" ht="12.75" customHeight="1">
      <c r="A86" s="1187"/>
      <c r="B86" s="1619"/>
      <c r="C86" s="1621" t="str">
        <f t="shared" si="329"/>
        <v>NI Hub</v>
      </c>
      <c r="D86" s="1621" t="str">
        <f t="shared" si="329"/>
        <v/>
      </c>
      <c r="E86" s="1621" t="str">
        <f t="shared" si="329"/>
        <v/>
      </c>
      <c r="F86" s="1572"/>
      <c r="G86" s="1598">
        <f t="shared" si="366"/>
        <v>7779.6850119745413</v>
      </c>
      <c r="H86" s="1597">
        <f t="shared" ref="H86:AK86" si="378">IF(ISBLANK(H229),"",H229)</f>
        <v>9492.1346187852487</v>
      </c>
      <c r="I86" s="1597">
        <f t="shared" si="378"/>
        <v>11670.518647143224</v>
      </c>
      <c r="J86" s="1599">
        <f t="shared" si="378"/>
        <v>9043.648694139978</v>
      </c>
      <c r="K86" s="1598">
        <f t="shared" si="378"/>
        <v>9487.2668594512506</v>
      </c>
      <c r="L86" s="1597">
        <f t="shared" si="378"/>
        <v>10409.06834561809</v>
      </c>
      <c r="M86" s="1597">
        <f t="shared" si="378"/>
        <v>11468.42132683538</v>
      </c>
      <c r="N86" s="1599">
        <f t="shared" si="378"/>
        <v>9514.2850054382216</v>
      </c>
      <c r="O86" s="1598">
        <f t="shared" si="378"/>
        <v>12376.233457669894</v>
      </c>
      <c r="P86" s="1597">
        <f t="shared" si="378"/>
        <v>14387.401369304029</v>
      </c>
      <c r="Q86" s="1597">
        <f t="shared" si="378"/>
        <v>15593.259988776501</v>
      </c>
      <c r="R86" s="1597">
        <f t="shared" si="378"/>
        <v>10321.248406616682</v>
      </c>
      <c r="S86" s="1234">
        <f t="shared" si="378"/>
        <v>10013.535130755854</v>
      </c>
      <c r="T86" s="1235">
        <f t="shared" si="378"/>
        <v>9797.5059785309622</v>
      </c>
      <c r="U86" s="1235">
        <f t="shared" si="378"/>
        <v>11556.783290642117</v>
      </c>
      <c r="V86" s="1236">
        <f t="shared" si="378"/>
        <v>8955.14579243558</v>
      </c>
      <c r="W86" s="1235">
        <f t="shared" si="378"/>
        <v>14102.021173316958</v>
      </c>
      <c r="X86" s="1235">
        <f t="shared" si="378"/>
        <v>10515.051888952205</v>
      </c>
      <c r="Y86" s="1235">
        <f t="shared" si="378"/>
        <v>9329.8105397704876</v>
      </c>
      <c r="Z86" s="1236">
        <f t="shared" si="378"/>
        <v>10242.15556320529</v>
      </c>
      <c r="AA86" s="1235">
        <f t="shared" si="378"/>
        <v>13812.6485828859</v>
      </c>
      <c r="AB86" s="1235">
        <f t="shared" si="378"/>
        <v>11166.919578014331</v>
      </c>
      <c r="AC86" s="1235">
        <f t="shared" si="378"/>
        <v>12281.123997010438</v>
      </c>
      <c r="AD86" s="1236">
        <f t="shared" si="378"/>
        <v>14039.404430911989</v>
      </c>
      <c r="AE86" s="1235">
        <f t="shared" si="378"/>
        <v>13452.093034820135</v>
      </c>
      <c r="AF86" s="1235">
        <f t="shared" si="378"/>
        <v>13851.754927196182</v>
      </c>
      <c r="AG86" s="1235">
        <f t="shared" si="378"/>
        <v>13069.487986386619</v>
      </c>
      <c r="AH86" s="1236">
        <f t="shared" si="378"/>
        <v>10415.320938137747</v>
      </c>
      <c r="AI86" s="1235">
        <f t="shared" si="378"/>
        <v>9752.8895345008495</v>
      </c>
      <c r="AJ86" s="1235">
        <f t="shared" si="378"/>
        <v>10932.723139999998</v>
      </c>
      <c r="AK86" s="1235">
        <f t="shared" si="378"/>
        <v>11696.829462716889</v>
      </c>
      <c r="AL86" s="1236">
        <f t="shared" si="368"/>
        <v>10483.05478949106</v>
      </c>
      <c r="AM86" s="1235">
        <f t="shared" si="368"/>
        <v>10268.572478822029</v>
      </c>
      <c r="AN86" s="1235">
        <f t="shared" si="368"/>
        <v>11220.301032466725</v>
      </c>
      <c r="AO86" s="1235">
        <f t="shared" si="368"/>
        <v>12291.296625222027</v>
      </c>
      <c r="AP86" s="1236">
        <f t="shared" si="368"/>
        <v>10396.323951751867</v>
      </c>
      <c r="AQ86" s="1235">
        <f t="shared" ref="AQ86:AT86" si="379">IF(ISBLANK(AQ229),"",AQ229)</f>
        <v>11688.854504578794</v>
      </c>
      <c r="AR86" s="1235">
        <f t="shared" si="379"/>
        <v>11265.073570860448</v>
      </c>
      <c r="AS86" s="1235">
        <f t="shared" si="379"/>
        <v>12554.63520359593</v>
      </c>
      <c r="AT86" s="1236">
        <f t="shared" si="379"/>
        <v>9606.3783866369322</v>
      </c>
      <c r="AU86" s="1235">
        <f t="shared" ref="AU86:AX86" si="380">IF(ISBLANK(AU229),"",AU229)</f>
        <v>11517.869933034026</v>
      </c>
      <c r="AV86" s="1235">
        <f t="shared" si="380"/>
        <v>11100.28806709878</v>
      </c>
      <c r="AW86" s="1235">
        <f t="shared" si="380"/>
        <v>12370.985991404368</v>
      </c>
      <c r="AX86" s="1236">
        <f t="shared" si="380"/>
        <v>9465.8562771442867</v>
      </c>
      <c r="AY86" s="1342">
        <f t="shared" si="365"/>
        <v>14600</v>
      </c>
      <c r="AZ86" s="1342">
        <f t="shared" si="365"/>
        <v>14600</v>
      </c>
      <c r="BA86" s="1342">
        <f t="shared" si="365"/>
        <v>14600</v>
      </c>
      <c r="BB86" s="1343">
        <f t="shared" si="365"/>
        <v>14600</v>
      </c>
      <c r="BC86" s="2084"/>
      <c r="BD86" s="1237"/>
      <c r="BE86" s="1279">
        <f t="shared" si="338"/>
        <v>9496.4967430107481</v>
      </c>
      <c r="BF86" s="1279">
        <f t="shared" si="339"/>
        <v>10219.760384335736</v>
      </c>
      <c r="BG86" s="1279">
        <f t="shared" si="340"/>
        <v>13169.535805591777</v>
      </c>
      <c r="BH86" s="1279">
        <f t="shared" si="341"/>
        <v>10080.742548091128</v>
      </c>
      <c r="BI86" s="1279">
        <f t="shared" si="342"/>
        <v>11047.259791311235</v>
      </c>
      <c r="BJ86" s="1279">
        <f t="shared" si="343"/>
        <v>12825.024147205666</v>
      </c>
      <c r="BK86" s="1279">
        <f t="shared" si="344"/>
        <v>12697.16422163517</v>
      </c>
      <c r="BL86" s="1279">
        <f t="shared" si="345"/>
        <v>10716.3742316772</v>
      </c>
      <c r="BM86" s="1573">
        <f t="shared" si="346"/>
        <v>11044.123522065662</v>
      </c>
      <c r="BN86" s="1573">
        <f t="shared" si="347"/>
        <v>11278.735416418027</v>
      </c>
      <c r="BO86" s="1573">
        <f t="shared" si="348"/>
        <v>11113.750067170366</v>
      </c>
      <c r="BP86" s="1573">
        <f t="shared" si="349"/>
        <v>14600</v>
      </c>
      <c r="BQ86" s="1205"/>
      <c r="BR86" s="1206"/>
      <c r="BU86" s="1186"/>
      <c r="BV86" s="2046" t="s">
        <v>459</v>
      </c>
      <c r="BW86" s="2082">
        <f t="shared" si="377"/>
        <v>9555.9918808413258</v>
      </c>
      <c r="BX86" s="1023">
        <f>((BZ86*($BP$8+BP202)/1000)+CB86)/CA86*1000</f>
        <v>9555.9918808413258</v>
      </c>
      <c r="BY86" s="2047">
        <f>HLOOKUP(CA86,$CA$53:$CY$58,BZ56,TRUE)</f>
        <v>0.37857142857142861</v>
      </c>
      <c r="BZ86" s="1023">
        <f>BP245</f>
        <v>8780.6192940777873</v>
      </c>
      <c r="CA86" s="1924">
        <f>$BW$8+$BX$58</f>
        <v>2.5</v>
      </c>
      <c r="CB86" s="2045">
        <f>BY86*(CA86-($BP$8+BP202))*BZ86/1000</f>
        <v>-1.1808835373122846</v>
      </c>
      <c r="CC86" s="2045">
        <f>(BX86*CA86-($BP$8+BP202)*BZ86)/1000</f>
        <v>-1.1808835373122819</v>
      </c>
    </row>
    <row r="87" spans="1:99" ht="12.75" customHeight="1">
      <c r="A87" s="1187"/>
      <c r="B87" s="1619"/>
      <c r="C87" s="1621" t="str">
        <f t="shared" si="329"/>
        <v>ERCOT Houston</v>
      </c>
      <c r="D87" s="1621" t="str">
        <f t="shared" si="329"/>
        <v/>
      </c>
      <c r="E87" s="1621" t="str">
        <f t="shared" si="329"/>
        <v/>
      </c>
      <c r="F87" s="1572"/>
      <c r="G87" s="1598">
        <f t="shared" si="366"/>
        <v>8322.8273734562244</v>
      </c>
      <c r="H87" s="1597">
        <f t="shared" ref="H87:AK87" si="381">IF(ISBLANK(H230),"",H230)</f>
        <v>9108.0848492485366</v>
      </c>
      <c r="I87" s="1597">
        <f t="shared" si="381"/>
        <v>11390.781083275977</v>
      </c>
      <c r="J87" s="1599">
        <f t="shared" si="381"/>
        <v>8539.6099607496708</v>
      </c>
      <c r="K87" s="1598">
        <f t="shared" si="381"/>
        <v>11901.725588831843</v>
      </c>
      <c r="L87" s="1597">
        <f t="shared" si="381"/>
        <v>9599.6827009411682</v>
      </c>
      <c r="M87" s="1597">
        <f t="shared" si="381"/>
        <v>26908.502434603772</v>
      </c>
      <c r="N87" s="1599">
        <f t="shared" si="381"/>
        <v>8859.7893372745511</v>
      </c>
      <c r="O87" s="1598">
        <f t="shared" si="381"/>
        <v>10308.713276672239</v>
      </c>
      <c r="P87" s="1597">
        <f t="shared" si="381"/>
        <v>13533.712435401714</v>
      </c>
      <c r="Q87" s="1597">
        <f t="shared" si="381"/>
        <v>10986.165899589667</v>
      </c>
      <c r="R87" s="1597">
        <f t="shared" si="381"/>
        <v>8231.0646137657277</v>
      </c>
      <c r="S87" s="1234">
        <f t="shared" si="381"/>
        <v>8288.1335792918544</v>
      </c>
      <c r="T87" s="1235">
        <f t="shared" si="381"/>
        <v>9101.2420308902474</v>
      </c>
      <c r="U87" s="1235">
        <f t="shared" si="381"/>
        <v>12127.883029718798</v>
      </c>
      <c r="V87" s="1236">
        <f t="shared" si="381"/>
        <v>9584.0310133954554</v>
      </c>
      <c r="W87" s="1235">
        <f t="shared" si="381"/>
        <v>11152.119574375303</v>
      </c>
      <c r="X87" s="1235">
        <f t="shared" si="381"/>
        <v>9729.5722809534491</v>
      </c>
      <c r="Y87" s="1235">
        <f t="shared" si="381"/>
        <v>9717.3949147704898</v>
      </c>
      <c r="Z87" s="1236">
        <f t="shared" si="381"/>
        <v>8918.234962157112</v>
      </c>
      <c r="AA87" s="1235">
        <f t="shared" si="381"/>
        <v>9169.9242686486396</v>
      </c>
      <c r="AB87" s="1235">
        <f t="shared" si="381"/>
        <v>10170.713295240166</v>
      </c>
      <c r="AC87" s="1235">
        <f t="shared" si="381"/>
        <v>12578.254164458334</v>
      </c>
      <c r="AD87" s="1236">
        <f t="shared" si="381"/>
        <v>10933.409709833057</v>
      </c>
      <c r="AE87" s="1235">
        <f t="shared" si="381"/>
        <v>10328.87726941304</v>
      </c>
      <c r="AF87" s="1235">
        <f t="shared" si="381"/>
        <v>11427.537023693696</v>
      </c>
      <c r="AG87" s="1235">
        <f t="shared" si="381"/>
        <v>11549.861420574975</v>
      </c>
      <c r="AH87" s="1236">
        <f t="shared" si="381"/>
        <v>9815.8983124706374</v>
      </c>
      <c r="AI87" s="1235">
        <f t="shared" si="381"/>
        <v>9203.2418044317055</v>
      </c>
      <c r="AJ87" s="1235">
        <f t="shared" si="381"/>
        <v>15003.296031746037</v>
      </c>
      <c r="AK87" s="1235">
        <f t="shared" si="381"/>
        <v>11185.979672546924</v>
      </c>
      <c r="AL87" s="1236">
        <f t="shared" si="368"/>
        <v>10103.434985375012</v>
      </c>
      <c r="AM87" s="1235">
        <f t="shared" si="368"/>
        <v>10702.474722563386</v>
      </c>
      <c r="AN87" s="1235">
        <f t="shared" si="368"/>
        <v>13950.242567483521</v>
      </c>
      <c r="AO87" s="1235">
        <f t="shared" si="368"/>
        <v>42227.750148016574</v>
      </c>
      <c r="AP87" s="1236">
        <f t="shared" ref="AP87:AS87" si="382">IF(ISBLANK(AP230),"",AP230)</f>
        <v>9375.9103963239504</v>
      </c>
      <c r="AQ87" s="1235">
        <f t="shared" si="382"/>
        <v>8449.0783547043502</v>
      </c>
      <c r="AR87" s="1235">
        <f t="shared" si="382"/>
        <v>10350.829814619823</v>
      </c>
      <c r="AS87" s="1235">
        <f t="shared" si="382"/>
        <v>27931.411143747304</v>
      </c>
      <c r="AT87" s="1236">
        <f t="shared" ref="AT87:AW87" si="383">IF(ISBLANK(AT230),"",AT230)</f>
        <v>15077.400848592317</v>
      </c>
      <c r="AU87" s="1235">
        <f t="shared" si="383"/>
        <v>7649.6148048687883</v>
      </c>
      <c r="AV87" s="1235">
        <f t="shared" si="383"/>
        <v>9371.419895580284</v>
      </c>
      <c r="AW87" s="1235">
        <f t="shared" si="383"/>
        <v>25288.502158004081</v>
      </c>
      <c r="AX87" s="1236">
        <f t="shared" ref="AX87" si="384">IF(ISBLANK(AX230),"",AX230)</f>
        <v>13650.756201842432</v>
      </c>
      <c r="AY87" s="1342">
        <f>IF(ISBLANK(AY230),"",IF(Valuation!$BY$40="yes",AY230+$BX$17,AY230))</f>
        <v>9005.4597701048679</v>
      </c>
      <c r="AZ87" s="1342">
        <f>IF(ISBLANK(AZ230),"",IF(Valuation!$BY$40="yes",AZ230+$BX$17,AZ230))</f>
        <v>10612.738280770847</v>
      </c>
      <c r="BA87" s="1342">
        <f>IF(ISBLANK(BA230),"",IF(Valuation!$BY$40="yes",BA230+$BX$17,BA230))</f>
        <v>25471.08921195829</v>
      </c>
      <c r="BB87" s="1343">
        <f>IF(ISBLANK(BB230),"",IF(Valuation!$BY$40="yes",BB230+$BX$17,BB230))</f>
        <v>14607.432756976445</v>
      </c>
      <c r="BC87" s="1237"/>
      <c r="BD87" s="1237"/>
      <c r="BE87" s="1279">
        <f t="shared" si="338"/>
        <v>9340.3258166826035</v>
      </c>
      <c r="BF87" s="1279">
        <f t="shared" si="339"/>
        <v>14317.425015412833</v>
      </c>
      <c r="BG87" s="1279">
        <f t="shared" si="340"/>
        <v>10764.914056357338</v>
      </c>
      <c r="BH87" s="1279">
        <f t="shared" si="341"/>
        <v>9775.3224133240892</v>
      </c>
      <c r="BI87" s="1279">
        <f t="shared" si="342"/>
        <v>9879.3304330640894</v>
      </c>
      <c r="BJ87" s="1279">
        <f t="shared" si="343"/>
        <v>10713.075359545048</v>
      </c>
      <c r="BK87" s="1279">
        <f t="shared" si="344"/>
        <v>10780.543506538086</v>
      </c>
      <c r="BL87" s="1279">
        <f t="shared" si="345"/>
        <v>11373.988123524918</v>
      </c>
      <c r="BM87" s="1573">
        <f t="shared" si="346"/>
        <v>19064.094458596857</v>
      </c>
      <c r="BN87" s="1573">
        <f t="shared" si="347"/>
        <v>15452.180040415949</v>
      </c>
      <c r="BO87" s="1573">
        <f t="shared" si="348"/>
        <v>13990.073265073897</v>
      </c>
      <c r="BP87" s="1573">
        <f t="shared" si="349"/>
        <v>14924.180004952612</v>
      </c>
      <c r="BQ87" s="1205"/>
      <c r="BR87" s="1206"/>
      <c r="BU87" s="1186"/>
      <c r="BV87" s="2046" t="s">
        <v>202</v>
      </c>
      <c r="BW87" s="2082">
        <f t="shared" si="377"/>
        <v>9237.3939264286273</v>
      </c>
      <c r="BX87" s="1023">
        <f>((BZ87*($BP$8+BP203)/1000)+CB87)/CA87*1000</f>
        <v>9237.3939264286273</v>
      </c>
      <c r="BY87" s="2047">
        <f>HLOOKUP(CA87,$CA$53:$CY$58,BZ57,TRUE)</f>
        <v>0.37857142857142861</v>
      </c>
      <c r="BZ87" s="1023">
        <f>BP246</f>
        <v>8487.8723578671688</v>
      </c>
      <c r="CA87" s="1924">
        <f>$BW$8+$BX$60</f>
        <v>2.5</v>
      </c>
      <c r="CB87" s="2045">
        <f>BY87*(CA87-($BP$8+BP203))*BZ87/1000</f>
        <v>-1.141512733728659</v>
      </c>
      <c r="CC87" s="2045">
        <f>(BX87*CA87-($BP$8+BP203)*BZ87)/1000</f>
        <v>-1.1415127337286577</v>
      </c>
    </row>
    <row r="88" spans="1:99" ht="12.75" customHeight="1">
      <c r="A88" s="1187"/>
      <c r="B88" s="1619"/>
      <c r="C88" s="1621" t="str">
        <f t="shared" si="329"/>
        <v>ERCOT North</v>
      </c>
      <c r="D88" s="1621" t="str">
        <f t="shared" si="329"/>
        <v/>
      </c>
      <c r="E88" s="1621" t="str">
        <f t="shared" si="329"/>
        <v/>
      </c>
      <c r="F88" s="1572"/>
      <c r="G88" s="1598">
        <f t="shared" si="366"/>
        <v>8352.5716177795221</v>
      </c>
      <c r="H88" s="1597">
        <f t="shared" ref="H88:AK88" si="385">IF(ISBLANK(H231),"",H231)</f>
        <v>9071.6445094720693</v>
      </c>
      <c r="I88" s="1597">
        <f t="shared" si="385"/>
        <v>11366.418321843603</v>
      </c>
      <c r="J88" s="1599">
        <f t="shared" si="385"/>
        <v>8613.7018460944528</v>
      </c>
      <c r="K88" s="1598">
        <f t="shared" si="385"/>
        <v>12155.959864196333</v>
      </c>
      <c r="L88" s="1597">
        <f t="shared" si="385"/>
        <v>9203.9559760970442</v>
      </c>
      <c r="M88" s="1597">
        <f t="shared" si="385"/>
        <v>25900.934188048766</v>
      </c>
      <c r="N88" s="1599">
        <f t="shared" si="385"/>
        <v>8685.0849291008017</v>
      </c>
      <c r="O88" s="1598">
        <f t="shared" si="385"/>
        <v>10275.170594208994</v>
      </c>
      <c r="P88" s="1597">
        <f t="shared" si="385"/>
        <v>13744.748394706701</v>
      </c>
      <c r="Q88" s="1597">
        <f t="shared" si="385"/>
        <v>11197.401049824619</v>
      </c>
      <c r="R88" s="1597">
        <f t="shared" si="385"/>
        <v>8328.7852639674329</v>
      </c>
      <c r="S88" s="1234">
        <f t="shared" si="385"/>
        <v>8348.2723136297336</v>
      </c>
      <c r="T88" s="1235">
        <f t="shared" si="385"/>
        <v>8745.2844176240596</v>
      </c>
      <c r="U88" s="1235">
        <f t="shared" si="385"/>
        <v>10802.091476322017</v>
      </c>
      <c r="V88" s="1236">
        <f t="shared" si="385"/>
        <v>9346.0347165938329</v>
      </c>
      <c r="W88" s="1235">
        <f t="shared" si="385"/>
        <v>11627.729500479627</v>
      </c>
      <c r="X88" s="1235">
        <f t="shared" si="385"/>
        <v>8807.1484775102963</v>
      </c>
      <c r="Y88" s="1235">
        <f t="shared" si="385"/>
        <v>9558.6137410440133</v>
      </c>
      <c r="Z88" s="1236">
        <f t="shared" si="385"/>
        <v>9127.0058129911431</v>
      </c>
      <c r="AA88" s="1235">
        <f t="shared" si="385"/>
        <v>9202.2654654879479</v>
      </c>
      <c r="AB88" s="1235">
        <f t="shared" si="385"/>
        <v>10105.637756293225</v>
      </c>
      <c r="AC88" s="1235">
        <f t="shared" si="385"/>
        <v>12701.782913818659</v>
      </c>
      <c r="AD88" s="1236">
        <f t="shared" si="385"/>
        <v>9778.5805528245146</v>
      </c>
      <c r="AE88" s="1235">
        <f t="shared" si="385"/>
        <v>9897.4409429729876</v>
      </c>
      <c r="AF88" s="1235">
        <f t="shared" si="385"/>
        <v>10464.020312282828</v>
      </c>
      <c r="AG88" s="1235">
        <f t="shared" si="385"/>
        <v>10646.473017770773</v>
      </c>
      <c r="AH88" s="1236">
        <f t="shared" si="385"/>
        <v>8485.0446654235948</v>
      </c>
      <c r="AI88" s="1235">
        <f t="shared" si="385"/>
        <v>7557.3594798727981</v>
      </c>
      <c r="AJ88" s="1235">
        <f t="shared" si="385"/>
        <v>9066.5579365079357</v>
      </c>
      <c r="AK88" s="1235">
        <f t="shared" si="385"/>
        <v>9959.2555936766203</v>
      </c>
      <c r="AL88" s="1236">
        <f t="shared" si="368"/>
        <v>8152.0371878580636</v>
      </c>
      <c r="AM88" s="1235">
        <f t="shared" si="368"/>
        <v>10217.942265440148</v>
      </c>
      <c r="AN88" s="1235">
        <f t="shared" si="368"/>
        <v>13185.222042542606</v>
      </c>
      <c r="AO88" s="1235">
        <f t="shared" si="368"/>
        <v>42121.178211959741</v>
      </c>
      <c r="AP88" s="1236">
        <f t="shared" ref="AP88:AS88" si="386">IF(ISBLANK(AP231),"",AP231)</f>
        <v>9054.2561746122919</v>
      </c>
      <c r="AQ88" s="1235">
        <f t="shared" si="386"/>
        <v>8124.4846766764404</v>
      </c>
      <c r="AR88" s="1235">
        <f t="shared" si="386"/>
        <v>9664.2180564318169</v>
      </c>
      <c r="AS88" s="1235">
        <f t="shared" si="386"/>
        <v>27348.703499911488</v>
      </c>
      <c r="AT88" s="1236">
        <f t="shared" ref="AT88:AW88" si="387">IF(ISBLANK(AT231),"",AT231)</f>
        <v>14449.467045874115</v>
      </c>
      <c r="AU88" s="1235">
        <f t="shared" si="387"/>
        <v>7249.1447994286054</v>
      </c>
      <c r="AV88" s="1235">
        <f t="shared" si="387"/>
        <v>8622.9858080039758</v>
      </c>
      <c r="AW88" s="1235">
        <f t="shared" si="387"/>
        <v>24402.127597906943</v>
      </c>
      <c r="AX88" s="1236">
        <f t="shared" ref="AX88" si="388">IF(ISBLANK(AX231),"",AX231)</f>
        <v>12892.66741936461</v>
      </c>
      <c r="AY88" s="1342">
        <f>IF(ISBLANK(AY231),"",IF(Valuation!$BY$40="yes",AY231+$BX$25,AY231))</f>
        <v>9330.9178786553075</v>
      </c>
      <c r="AZ88" s="1342">
        <f>IF(ISBLANK(AZ231),"",IF(Valuation!$BY$40="yes",AZ231+$BX$25,AZ231))</f>
        <v>10602.600583581396</v>
      </c>
      <c r="BA88" s="1342">
        <f>IF(ISBLANK(BA231),"",IF(Valuation!$BY$40="yes",BA231+$BX$25,BA231))</f>
        <v>25208.411290603395</v>
      </c>
      <c r="BB88" s="1343">
        <f>IF(ISBLANK(BB231),"",IF(Valuation!$BY$40="yes",BB231+$BX$25,BB231))</f>
        <v>14554.790266970351</v>
      </c>
      <c r="BC88" s="1237"/>
      <c r="BD88" s="1237"/>
      <c r="BE88" s="1279">
        <f t="shared" si="338"/>
        <v>9351.0840737974122</v>
      </c>
      <c r="BF88" s="1279">
        <f t="shared" si="339"/>
        <v>13986.483739360738</v>
      </c>
      <c r="BG88" s="1279">
        <f t="shared" si="340"/>
        <v>10886.526325676936</v>
      </c>
      <c r="BH88" s="1279">
        <f t="shared" si="341"/>
        <v>9310.4207310424099</v>
      </c>
      <c r="BI88" s="1279">
        <f t="shared" si="342"/>
        <v>9780.1243830062704</v>
      </c>
      <c r="BJ88" s="1279">
        <f t="shared" si="343"/>
        <v>10447.066672106088</v>
      </c>
      <c r="BK88" s="1279">
        <f t="shared" si="344"/>
        <v>9873.2447346125464</v>
      </c>
      <c r="BL88" s="1279">
        <f t="shared" si="345"/>
        <v>8683.8025494788544</v>
      </c>
      <c r="BM88" s="1573">
        <f t="shared" si="346"/>
        <v>18644.649673638698</v>
      </c>
      <c r="BN88" s="1573">
        <f t="shared" si="347"/>
        <v>14896.718319723466</v>
      </c>
      <c r="BO88" s="1573">
        <f t="shared" si="348"/>
        <v>13291.731406176033</v>
      </c>
      <c r="BP88" s="1573">
        <f t="shared" si="349"/>
        <v>14924.18000495261</v>
      </c>
      <c r="BQ88" s="1205"/>
      <c r="BR88" s="1206"/>
      <c r="BU88" s="1186"/>
      <c r="BV88" s="2046" t="s">
        <v>479</v>
      </c>
      <c r="BW88" s="2082">
        <f t="shared" si="377"/>
        <v>8439.627676979424</v>
      </c>
      <c r="BX88" s="1023">
        <f>((BZ88*($BP$8+BP204)/1000)+CB88)/CA88*1000</f>
        <v>8439.627676979424</v>
      </c>
      <c r="BY88" s="2047">
        <f>HLOOKUP(CA88,$CA$53:$CY$58,BZ58,TRUE)</f>
        <v>0.34285714285714286</v>
      </c>
      <c r="BZ88" s="1023">
        <f>BP247</f>
        <v>7718.8421929973347</v>
      </c>
      <c r="CA88" s="1924">
        <f>$BW$8+$BX$59</f>
        <v>2.5</v>
      </c>
      <c r="CB88" s="2045">
        <f>BY88*(CA88-($BP$8+BP204))*BZ88/1000</f>
        <v>-0.9401549791070738</v>
      </c>
      <c r="CC88" s="2045">
        <f>(BX88*CA88-($BP$8+BP204)*BZ88)/1000</f>
        <v>-0.94015497910707568</v>
      </c>
    </row>
    <row r="89" spans="1:99" ht="12.75" customHeight="1">
      <c r="A89" s="1187"/>
      <c r="B89" s="1619"/>
      <c r="C89" s="1621" t="str">
        <f t="shared" si="329"/>
        <v>ERCOT South</v>
      </c>
      <c r="D89" s="1621" t="str">
        <f t="shared" si="329"/>
        <v/>
      </c>
      <c r="E89" s="1621" t="str">
        <f t="shared" si="329"/>
        <v/>
      </c>
      <c r="F89" s="1572"/>
      <c r="G89" s="1598">
        <f t="shared" si="366"/>
        <v>8291.2421236984901</v>
      </c>
      <c r="H89" s="1597">
        <f t="shared" ref="H89:AK89" si="389">IF(ISBLANK(H232),"",H232)</f>
        <v>9062.2667008499466</v>
      </c>
      <c r="I89" s="1597">
        <f t="shared" si="389"/>
        <v>11356.87806590117</v>
      </c>
      <c r="J89" s="1599">
        <f t="shared" si="389"/>
        <v>8347.9637882575953</v>
      </c>
      <c r="K89" s="1598">
        <f t="shared" si="389"/>
        <v>13250.060693463165</v>
      </c>
      <c r="L89" s="1597">
        <f t="shared" si="389"/>
        <v>9071.8879562291859</v>
      </c>
      <c r="M89" s="1597">
        <f t="shared" si="389"/>
        <v>25893.818464353088</v>
      </c>
      <c r="N89" s="1599">
        <f t="shared" si="389"/>
        <v>8802.8017856887855</v>
      </c>
      <c r="O89" s="1598">
        <f t="shared" si="389"/>
        <v>10427.411930587574</v>
      </c>
      <c r="P89" s="1597">
        <f t="shared" si="389"/>
        <v>13149.847473997354</v>
      </c>
      <c r="Q89" s="1597">
        <f t="shared" si="389"/>
        <v>10844.312381422489</v>
      </c>
      <c r="R89" s="1597">
        <f t="shared" si="389"/>
        <v>8425.2985003315698</v>
      </c>
      <c r="S89" s="1234">
        <f t="shared" si="389"/>
        <v>8251.6765077448854</v>
      </c>
      <c r="T89" s="1235">
        <f t="shared" si="389"/>
        <v>9002.9603883800482</v>
      </c>
      <c r="U89" s="1235">
        <f t="shared" si="389"/>
        <v>11341.851539958103</v>
      </c>
      <c r="V89" s="1236">
        <f t="shared" si="389"/>
        <v>9463.0903276979279</v>
      </c>
      <c r="W89" s="1235">
        <f t="shared" si="389"/>
        <v>11411.501790347942</v>
      </c>
      <c r="X89" s="1235">
        <f t="shared" si="389"/>
        <v>9045.8599574014897</v>
      </c>
      <c r="Y89" s="1235">
        <f t="shared" si="389"/>
        <v>9605.4610611369171</v>
      </c>
      <c r="Z89" s="1236">
        <f t="shared" si="389"/>
        <v>9120.4883109117491</v>
      </c>
      <c r="AA89" s="1235">
        <f t="shared" si="389"/>
        <v>9136.8775797345152</v>
      </c>
      <c r="AB89" s="1235">
        <f t="shared" si="389"/>
        <v>10167.155492757694</v>
      </c>
      <c r="AC89" s="1235">
        <f t="shared" si="389"/>
        <v>12511.457613677228</v>
      </c>
      <c r="AD89" s="1236">
        <f t="shared" si="389"/>
        <v>10876.683448674665</v>
      </c>
      <c r="AE89" s="1235">
        <f t="shared" si="389"/>
        <v>10196.657106772524</v>
      </c>
      <c r="AF89" s="1235">
        <f t="shared" si="389"/>
        <v>10689.109099653992</v>
      </c>
      <c r="AG89" s="1235">
        <f t="shared" si="389"/>
        <v>10773.277437367538</v>
      </c>
      <c r="AH89" s="1236">
        <f t="shared" si="389"/>
        <v>9535.7355641636423</v>
      </c>
      <c r="AI89" s="1235">
        <f t="shared" si="389"/>
        <v>8034.3920235132791</v>
      </c>
      <c r="AJ89" s="1235">
        <f t="shared" si="389"/>
        <v>11540.407142857141</v>
      </c>
      <c r="AK89" s="1235">
        <f t="shared" si="389"/>
        <v>10385.636582967496</v>
      </c>
      <c r="AL89" s="1236">
        <f t="shared" si="368"/>
        <v>9183.4832108958926</v>
      </c>
      <c r="AM89" s="1235">
        <f t="shared" si="368"/>
        <v>10634.225607691036</v>
      </c>
      <c r="AN89" s="1235">
        <f t="shared" si="368"/>
        <v>14236.347804453289</v>
      </c>
      <c r="AO89" s="1235">
        <f t="shared" si="368"/>
        <v>42547.465956187094</v>
      </c>
      <c r="AP89" s="1236">
        <f t="shared" ref="AP89:AS89" si="390">IF(ISBLANK(AP232),"",AP232)</f>
        <v>9496.5307294658251</v>
      </c>
      <c r="AQ89" s="1235">
        <f t="shared" si="390"/>
        <v>8720.1192578699338</v>
      </c>
      <c r="AR89" s="1235">
        <f t="shared" si="390"/>
        <v>10430.226716582347</v>
      </c>
      <c r="AS89" s="1235">
        <f t="shared" si="390"/>
        <v>28181.026283720643</v>
      </c>
      <c r="AT89" s="1236">
        <f t="shared" ref="AT89:AW89" si="391">IF(ISBLANK(AT232),"",AT232)</f>
        <v>14900.784624033387</v>
      </c>
      <c r="AU89" s="1235">
        <f t="shared" si="391"/>
        <v>7855.5760409850509</v>
      </c>
      <c r="AV89" s="1235">
        <f t="shared" si="391"/>
        <v>9396.1374465010304</v>
      </c>
      <c r="AW89" s="1235">
        <f t="shared" si="391"/>
        <v>25387.06046766177</v>
      </c>
      <c r="AX89" s="1236">
        <f t="shared" ref="AX89" si="392">IF(ISBLANK(AX232),"",AX232)</f>
        <v>13423.468558505469</v>
      </c>
      <c r="AY89" s="1342">
        <f>IF(ISBLANK(AY232),"",IF(Valuation!$BY$40="yes",AY232+$BX$31,AY232))</f>
        <v>9189.0945073852381</v>
      </c>
      <c r="AZ89" s="1342">
        <f>IF(ISBLANK(AZ232),"",IF(Valuation!$BY$40="yes",AZ232+$BX$31,AZ232))</f>
        <v>10623.392150421276</v>
      </c>
      <c r="BA89" s="1342">
        <f>IF(ISBLANK(BA232),"",IF(Valuation!$BY$40="yes",BA232+$BX$31,BA232))</f>
        <v>25511.30451606938</v>
      </c>
      <c r="BB89" s="1343">
        <f>IF(ISBLANK(BB232),"",IF(Valuation!$BY$40="yes",BB232+$BX$31,BB232))</f>
        <v>14372.928845934552</v>
      </c>
      <c r="BC89" s="1237"/>
      <c r="BD89" s="1237"/>
      <c r="BE89" s="1279">
        <f t="shared" si="338"/>
        <v>9264.5876696767991</v>
      </c>
      <c r="BF89" s="1279">
        <f t="shared" si="339"/>
        <v>14254.642224933556</v>
      </c>
      <c r="BG89" s="1279">
        <f t="shared" si="340"/>
        <v>10711.717571584746</v>
      </c>
      <c r="BH89" s="1279">
        <f t="shared" si="341"/>
        <v>9514.8946909452407</v>
      </c>
      <c r="BI89" s="1279">
        <f t="shared" si="342"/>
        <v>9795.8277799495245</v>
      </c>
      <c r="BJ89" s="1279">
        <f t="shared" si="343"/>
        <v>10673.043533711027</v>
      </c>
      <c r="BK89" s="1279">
        <f t="shared" si="344"/>
        <v>10298.694801989424</v>
      </c>
      <c r="BL89" s="1279">
        <f t="shared" si="345"/>
        <v>9785.9797400584521</v>
      </c>
      <c r="BM89" s="1573">
        <f t="shared" si="346"/>
        <v>19228.642524449311</v>
      </c>
      <c r="BN89" s="1573">
        <f t="shared" si="347"/>
        <v>15558.039220551578</v>
      </c>
      <c r="BO89" s="1573">
        <f t="shared" si="348"/>
        <v>14015.56062841333</v>
      </c>
      <c r="BP89" s="1573">
        <f t="shared" si="349"/>
        <v>14924.18000495261</v>
      </c>
      <c r="BQ89" s="1205"/>
      <c r="BR89" s="1206"/>
      <c r="BU89" s="1186"/>
      <c r="BX89" s="1023"/>
    </row>
    <row r="90" spans="1:99" ht="12.75" customHeight="1">
      <c r="A90" s="1187"/>
      <c r="B90" s="1619"/>
      <c r="C90" s="1621" t="str">
        <f t="shared" si="329"/>
        <v>Palo Verde</v>
      </c>
      <c r="D90" s="1621" t="str">
        <f t="shared" si="329"/>
        <v/>
      </c>
      <c r="E90" s="1621" t="str">
        <f t="shared" si="329"/>
        <v/>
      </c>
      <c r="F90" s="1572"/>
      <c r="G90" s="1598">
        <f t="shared" si="366"/>
        <v>8762.1583244586454</v>
      </c>
      <c r="H90" s="1597">
        <f t="shared" ref="H90:AK90" si="393">IF(ISBLANK(H233),"",H233)</f>
        <v>8621.9499063828898</v>
      </c>
      <c r="I90" s="1597">
        <f t="shared" si="393"/>
        <v>10207.705218967056</v>
      </c>
      <c r="J90" s="1599">
        <f t="shared" si="393"/>
        <v>8941.757526174677</v>
      </c>
      <c r="K90" s="1598">
        <f t="shared" si="393"/>
        <v>7843.2743322702108</v>
      </c>
      <c r="L90" s="1597">
        <f t="shared" si="393"/>
        <v>8392.0085932164784</v>
      </c>
      <c r="M90" s="1597">
        <f t="shared" si="393"/>
        <v>10046.833347980197</v>
      </c>
      <c r="N90" s="1599">
        <f t="shared" si="393"/>
        <v>9235.6105140044056</v>
      </c>
      <c r="O90" s="1598">
        <f t="shared" si="393"/>
        <v>9126.4511339092878</v>
      </c>
      <c r="P90" s="1597">
        <f t="shared" si="393"/>
        <v>10134.401783568745</v>
      </c>
      <c r="Q90" s="1597">
        <f t="shared" si="393"/>
        <v>11754.765674803102</v>
      </c>
      <c r="R90" s="1597">
        <f t="shared" si="393"/>
        <v>8337.2335194144489</v>
      </c>
      <c r="S90" s="1234">
        <f t="shared" si="393"/>
        <v>8672.5647979371352</v>
      </c>
      <c r="T90" s="1235">
        <f t="shared" si="393"/>
        <v>9118.2506926640854</v>
      </c>
      <c r="U90" s="1235">
        <f t="shared" si="393"/>
        <v>11096.928780874063</v>
      </c>
      <c r="V90" s="1236">
        <f t="shared" si="393"/>
        <v>9096.6925445307006</v>
      </c>
      <c r="W90" s="1235">
        <f t="shared" si="393"/>
        <v>8683.9376258463581</v>
      </c>
      <c r="X90" s="1235">
        <f t="shared" si="393"/>
        <v>8703.3115203962152</v>
      </c>
      <c r="Y90" s="1235">
        <f t="shared" si="393"/>
        <v>9652.6653325011466</v>
      </c>
      <c r="Z90" s="1236">
        <f t="shared" si="393"/>
        <v>8969.1141558179552</v>
      </c>
      <c r="AA90" s="1235">
        <f t="shared" si="393"/>
        <v>8901.1780605231725</v>
      </c>
      <c r="AB90" s="1235">
        <f t="shared" si="393"/>
        <v>9551.0277881366437</v>
      </c>
      <c r="AC90" s="1235">
        <f t="shared" si="393"/>
        <v>10951.734672288083</v>
      </c>
      <c r="AD90" s="1236">
        <f t="shared" si="393"/>
        <v>9622.1211658004722</v>
      </c>
      <c r="AE90" s="1235">
        <f t="shared" si="393"/>
        <v>9084.1070239354394</v>
      </c>
      <c r="AF90" s="1235">
        <f t="shared" si="393"/>
        <v>10170.034204309035</v>
      </c>
      <c r="AG90" s="1235">
        <f t="shared" si="393"/>
        <v>11984.899139776866</v>
      </c>
      <c r="AH90" s="1236">
        <f t="shared" si="393"/>
        <v>8184.3072380613366</v>
      </c>
      <c r="AI90" s="1235">
        <f t="shared" si="393"/>
        <v>7389.8139328772922</v>
      </c>
      <c r="AJ90" s="1235">
        <f t="shared" si="393"/>
        <v>10342.646878449652</v>
      </c>
      <c r="AK90" s="1235">
        <f t="shared" si="393"/>
        <v>13770.107900873485</v>
      </c>
      <c r="AL90" s="1236">
        <f t="shared" si="368"/>
        <v>7056.5902948086296</v>
      </c>
      <c r="AM90" s="1235">
        <f t="shared" ref="AM90:AP106" si="394">IF(ISBLANK(AM233),"",AM233)</f>
        <v>6781.1777196375069</v>
      </c>
      <c r="AN90" s="1235">
        <f t="shared" si="394"/>
        <v>13492.720052945069</v>
      </c>
      <c r="AO90" s="1235">
        <f t="shared" si="394"/>
        <v>17437.576749897667</v>
      </c>
      <c r="AP90" s="1236">
        <f t="shared" si="394"/>
        <v>10429.362880886429</v>
      </c>
      <c r="AQ90" s="1235">
        <f t="shared" ref="AQ90:AT90" si="395">IF(ISBLANK(AQ233),"",AQ233)</f>
        <v>10014.399767955705</v>
      </c>
      <c r="AR90" s="1235">
        <f t="shared" si="395"/>
        <v>14267.477999292238</v>
      </c>
      <c r="AS90" s="1235">
        <f t="shared" si="395"/>
        <v>19740.487786195776</v>
      </c>
      <c r="AT90" s="1236">
        <f t="shared" si="395"/>
        <v>10827.913239907981</v>
      </c>
      <c r="AU90" s="1235">
        <f t="shared" ref="AU90:AX90" si="396">IF(ISBLANK(AU233),"",AU233)</f>
        <v>10617.254547706931</v>
      </c>
      <c r="AV90" s="1235">
        <f t="shared" si="396"/>
        <v>15126.362955572005</v>
      </c>
      <c r="AW90" s="1235">
        <f t="shared" si="396"/>
        <v>20928.841326325935</v>
      </c>
      <c r="AX90" s="1236">
        <f t="shared" si="396"/>
        <v>11479.740548849391</v>
      </c>
      <c r="AY90" s="1235">
        <f t="shared" ref="AY90:BB90" si="397">IF(ISBLANK(AY233),"",AY233)</f>
        <v>10827.965041019528</v>
      </c>
      <c r="AZ90" s="1235">
        <f t="shared" si="397"/>
        <v>15426.561409520005</v>
      </c>
      <c r="BA90" s="1235">
        <f t="shared" si="397"/>
        <v>21344.196017175243</v>
      </c>
      <c r="BB90" s="1236">
        <f t="shared" si="397"/>
        <v>11707.567976672637</v>
      </c>
      <c r="BC90" s="1237"/>
      <c r="BD90" s="1237"/>
      <c r="BE90" s="1279">
        <f t="shared" si="338"/>
        <v>9133.392743995817</v>
      </c>
      <c r="BF90" s="1279">
        <f t="shared" si="339"/>
        <v>8879.4316968678213</v>
      </c>
      <c r="BG90" s="1279">
        <f t="shared" si="340"/>
        <v>9838.2130279238954</v>
      </c>
      <c r="BH90" s="1279">
        <f t="shared" si="341"/>
        <v>9496.1092040014955</v>
      </c>
      <c r="BI90" s="1279">
        <f t="shared" si="342"/>
        <v>9002.2571586404192</v>
      </c>
      <c r="BJ90" s="1279">
        <f t="shared" si="343"/>
        <v>9756.5154216870942</v>
      </c>
      <c r="BK90" s="1279">
        <f t="shared" si="344"/>
        <v>9855.8369015206681</v>
      </c>
      <c r="BL90" s="1279">
        <f t="shared" si="345"/>
        <v>9639.7897517522651</v>
      </c>
      <c r="BM90" s="1573">
        <f t="shared" si="346"/>
        <v>12035.209350841669</v>
      </c>
      <c r="BN90" s="1573">
        <f t="shared" si="347"/>
        <v>13712.569698337924</v>
      </c>
      <c r="BO90" s="1573">
        <f t="shared" si="348"/>
        <v>14538.049844613566</v>
      </c>
      <c r="BP90" s="1573">
        <f t="shared" si="349"/>
        <v>14826.572611096854</v>
      </c>
      <c r="BQ90" s="1205"/>
      <c r="BR90" s="1206"/>
      <c r="BU90" s="1186"/>
    </row>
    <row r="91" spans="1:99" ht="12.75" customHeight="1">
      <c r="A91" s="1187"/>
      <c r="B91" s="1619"/>
      <c r="C91" s="1621" t="str">
        <f t="shared" si="329"/>
        <v>SP 15</v>
      </c>
      <c r="D91" s="1621" t="str">
        <f t="shared" si="329"/>
        <v/>
      </c>
      <c r="E91" s="1621" t="str">
        <f t="shared" si="329"/>
        <v/>
      </c>
      <c r="F91" s="1572"/>
      <c r="G91" s="1598">
        <f t="shared" si="366"/>
        <v>11700.565161935485</v>
      </c>
      <c r="H91" s="1597">
        <f t="shared" ref="H91:AK91" si="398">IF(ISBLANK(H234),"",H234)</f>
        <v>7677.8064845469125</v>
      </c>
      <c r="I91" s="1597">
        <f t="shared" si="398"/>
        <v>9417.3479567810555</v>
      </c>
      <c r="J91" s="1599">
        <f t="shared" si="398"/>
        <v>8861.4285224737796</v>
      </c>
      <c r="K91" s="1598">
        <f t="shared" si="398"/>
        <v>7380.0484170231503</v>
      </c>
      <c r="L91" s="1597">
        <f t="shared" si="398"/>
        <v>7514.6167798312563</v>
      </c>
      <c r="M91" s="1597">
        <f t="shared" si="398"/>
        <v>9858.7607644940235</v>
      </c>
      <c r="N91" s="1599">
        <f t="shared" si="398"/>
        <v>9067.8163253889288</v>
      </c>
      <c r="O91" s="1598">
        <f t="shared" si="398"/>
        <v>9110.09482114807</v>
      </c>
      <c r="P91" s="1597">
        <f t="shared" si="398"/>
        <v>8904.2289277994641</v>
      </c>
      <c r="Q91" s="1597">
        <f t="shared" si="398"/>
        <v>11626.092314450982</v>
      </c>
      <c r="R91" s="1597">
        <f t="shared" si="398"/>
        <v>11418.003440809496</v>
      </c>
      <c r="S91" s="1234">
        <f t="shared" si="398"/>
        <v>11446.755519845941</v>
      </c>
      <c r="T91" s="1235">
        <f t="shared" si="398"/>
        <v>10899.370648108434</v>
      </c>
      <c r="U91" s="1235">
        <f t="shared" si="398"/>
        <v>12691.456396801643</v>
      </c>
      <c r="V91" s="1236">
        <f t="shared" si="398"/>
        <v>10961.734784397329</v>
      </c>
      <c r="W91" s="1235">
        <f t="shared" si="398"/>
        <v>9780.5118738082929</v>
      </c>
      <c r="X91" s="1235">
        <f t="shared" si="398"/>
        <v>8324.2136157281893</v>
      </c>
      <c r="Y91" s="1235">
        <f t="shared" si="398"/>
        <v>10316.639645621897</v>
      </c>
      <c r="Z91" s="1236">
        <f t="shared" si="398"/>
        <v>10289.620298252388</v>
      </c>
      <c r="AA91" s="1235">
        <f t="shared" si="398"/>
        <v>10095.511697752157</v>
      </c>
      <c r="AB91" s="1235">
        <f t="shared" si="398"/>
        <v>10336.636771049025</v>
      </c>
      <c r="AC91" s="1235">
        <f t="shared" si="398"/>
        <v>11870.802114159645</v>
      </c>
      <c r="AD91" s="1236">
        <f t="shared" si="398"/>
        <v>12988.979109047015</v>
      </c>
      <c r="AE91" s="1235">
        <f t="shared" si="398"/>
        <v>10470.96990745581</v>
      </c>
      <c r="AF91" s="1235">
        <f t="shared" si="398"/>
        <v>9544.9231897338559</v>
      </c>
      <c r="AG91" s="1235">
        <f t="shared" si="398"/>
        <v>12095.15192624512</v>
      </c>
      <c r="AH91" s="1236">
        <f t="shared" si="398"/>
        <v>10647.652335388861</v>
      </c>
      <c r="AI91" s="1235">
        <f t="shared" si="398"/>
        <v>8571.6422127332826</v>
      </c>
      <c r="AJ91" s="1235">
        <f t="shared" si="398"/>
        <v>10073.898611437213</v>
      </c>
      <c r="AK91" s="1235">
        <f t="shared" si="398"/>
        <v>13498.819391065657</v>
      </c>
      <c r="AL91" s="1236">
        <f t="shared" si="368"/>
        <v>11005.243762763848</v>
      </c>
      <c r="AM91" s="1235">
        <f t="shared" si="394"/>
        <v>8859.7525685270448</v>
      </c>
      <c r="AN91" s="1235">
        <f t="shared" si="394"/>
        <v>13716.08206485771</v>
      </c>
      <c r="AO91" s="1235">
        <f t="shared" si="394"/>
        <v>18972.574703233728</v>
      </c>
      <c r="AP91" s="1236">
        <f t="shared" si="394"/>
        <v>16516.620498614961</v>
      </c>
      <c r="AQ91" s="1235">
        <f t="shared" ref="AQ91:AT91" si="399">IF(ISBLANK(AQ234),"",AQ234)</f>
        <v>13499.713741880851</v>
      </c>
      <c r="AR91" s="1235">
        <f t="shared" si="399"/>
        <v>14061.965375588867</v>
      </c>
      <c r="AS91" s="1235">
        <f t="shared" si="399"/>
        <v>19672.051621639861</v>
      </c>
      <c r="AT91" s="1236">
        <f t="shared" si="399"/>
        <v>15045.105469581529</v>
      </c>
      <c r="AU91" s="1235">
        <f t="shared" ref="AU91:AX91" si="400">IF(ISBLANK(AU234),"",AU234)</f>
        <v>14061.523642976674</v>
      </c>
      <c r="AV91" s="1235">
        <f t="shared" si="400"/>
        <v>14647.174182821826</v>
      </c>
      <c r="AW91" s="1235">
        <f t="shared" si="400"/>
        <v>20490.732194222554</v>
      </c>
      <c r="AX91" s="1236">
        <f t="shared" si="400"/>
        <v>15671.229058381727</v>
      </c>
      <c r="AY91" s="1235">
        <f t="shared" ref="AY91:BB91" si="401">IF(ISBLANK(AY234),"",AY234)</f>
        <v>13906.632702001074</v>
      </c>
      <c r="AZ91" s="1235">
        <f t="shared" si="401"/>
        <v>14485.832165454884</v>
      </c>
      <c r="BA91" s="1235">
        <f t="shared" si="401"/>
        <v>20265.02203141047</v>
      </c>
      <c r="BB91" s="1236">
        <f t="shared" si="401"/>
        <v>15498.606839287475</v>
      </c>
      <c r="BC91" s="1237"/>
      <c r="BD91" s="1237"/>
      <c r="BE91" s="1279">
        <f t="shared" si="338"/>
        <v>9414.287031434309</v>
      </c>
      <c r="BF91" s="1279">
        <f t="shared" si="339"/>
        <v>8455.3105716843402</v>
      </c>
      <c r="BG91" s="1279">
        <f t="shared" si="340"/>
        <v>10264.604876052003</v>
      </c>
      <c r="BH91" s="1279">
        <f t="shared" si="341"/>
        <v>11499.829337288338</v>
      </c>
      <c r="BI91" s="1279">
        <f t="shared" si="342"/>
        <v>9677.7463583526915</v>
      </c>
      <c r="BJ91" s="1279">
        <f t="shared" si="343"/>
        <v>11322.982423001962</v>
      </c>
      <c r="BK91" s="1279">
        <f t="shared" si="344"/>
        <v>10689.674339705913</v>
      </c>
      <c r="BL91" s="1279">
        <f t="shared" si="345"/>
        <v>10787.4009945</v>
      </c>
      <c r="BM91" s="1573">
        <f t="shared" si="346"/>
        <v>14516.257458808361</v>
      </c>
      <c r="BN91" s="1573">
        <f t="shared" si="347"/>
        <v>15569.709052172777</v>
      </c>
      <c r="BO91" s="1573">
        <f t="shared" si="348"/>
        <v>16217.664769600695</v>
      </c>
      <c r="BP91" s="1573">
        <f t="shared" si="349"/>
        <v>16039.023434538474</v>
      </c>
      <c r="BQ91" s="1205"/>
      <c r="BR91" s="1206"/>
      <c r="BT91" s="2083"/>
      <c r="BU91" s="1186"/>
      <c r="BV91" s="2071" t="s">
        <v>1387</v>
      </c>
    </row>
    <row r="92" spans="1:99" ht="12.75" customHeight="1">
      <c r="A92" s="1187"/>
      <c r="B92" s="1619"/>
      <c r="C92" s="1621" t="str">
        <f t="shared" si="329"/>
        <v>NP 15</v>
      </c>
      <c r="D92" s="1621" t="str">
        <f t="shared" si="329"/>
        <v/>
      </c>
      <c r="E92" s="1621" t="str">
        <f t="shared" si="329"/>
        <v/>
      </c>
      <c r="F92" s="1572"/>
      <c r="G92" s="1598">
        <f t="shared" si="366"/>
        <v>8632.7440232942572</v>
      </c>
      <c r="H92" s="1597">
        <f t="shared" ref="H92:AK92" si="402">IF(ISBLANK(H235),"",H235)</f>
        <v>7516.769717405763</v>
      </c>
      <c r="I92" s="1597">
        <f t="shared" si="402"/>
        <v>9030.4493391427277</v>
      </c>
      <c r="J92" s="1599">
        <f t="shared" si="402"/>
        <v>8952.3408360904396</v>
      </c>
      <c r="K92" s="1598">
        <f t="shared" si="402"/>
        <v>7313.7886058323793</v>
      </c>
      <c r="L92" s="1597">
        <f t="shared" si="402"/>
        <v>7216.4963764112617</v>
      </c>
      <c r="M92" s="1597">
        <f t="shared" si="402"/>
        <v>9638.9175401523808</v>
      </c>
      <c r="N92" s="1599">
        <f t="shared" si="402"/>
        <v>9023.6993277436741</v>
      </c>
      <c r="O92" s="1598">
        <f t="shared" si="402"/>
        <v>9302.9595264683994</v>
      </c>
      <c r="P92" s="1597">
        <f t="shared" si="402"/>
        <v>10497.69497247698</v>
      </c>
      <c r="Q92" s="1597">
        <f t="shared" si="402"/>
        <v>10394.090269805383</v>
      </c>
      <c r="R92" s="1597">
        <f t="shared" si="402"/>
        <v>9503.8147240986618</v>
      </c>
      <c r="S92" s="1234">
        <f t="shared" si="402"/>
        <v>10227.558514001141</v>
      </c>
      <c r="T92" s="1235">
        <f t="shared" si="402"/>
        <v>12726.79042355791</v>
      </c>
      <c r="U92" s="1235">
        <f t="shared" si="402"/>
        <v>11380.821957728594</v>
      </c>
      <c r="V92" s="1236">
        <f t="shared" si="402"/>
        <v>11365.162652273772</v>
      </c>
      <c r="W92" s="1235">
        <f t="shared" si="402"/>
        <v>9936.1125151956894</v>
      </c>
      <c r="X92" s="1235">
        <f t="shared" si="402"/>
        <v>8914.437491759827</v>
      </c>
      <c r="Y92" s="1235">
        <f t="shared" si="402"/>
        <v>10324.753615972111</v>
      </c>
      <c r="Z92" s="1236">
        <f t="shared" si="402"/>
        <v>10613.533213405261</v>
      </c>
      <c r="AA92" s="1235">
        <f t="shared" si="402"/>
        <v>10794.686554329206</v>
      </c>
      <c r="AB92" s="1235">
        <f t="shared" si="402"/>
        <v>13050.491884183193</v>
      </c>
      <c r="AC92" s="1235">
        <f t="shared" si="402"/>
        <v>11947.399352794859</v>
      </c>
      <c r="AD92" s="1236">
        <f t="shared" si="402"/>
        <v>12563.163583983367</v>
      </c>
      <c r="AE92" s="1235">
        <f t="shared" si="402"/>
        <v>11106.232529645211</v>
      </c>
      <c r="AF92" s="1235">
        <f t="shared" si="402"/>
        <v>11716.347808318487</v>
      </c>
      <c r="AG92" s="1235">
        <f t="shared" si="402"/>
        <v>12357.27579637696</v>
      </c>
      <c r="AH92" s="1236">
        <f t="shared" si="402"/>
        <v>11990.682866775438</v>
      </c>
      <c r="AI92" s="1235">
        <f t="shared" si="402"/>
        <v>9449.9884488374046</v>
      </c>
      <c r="AJ92" s="1235">
        <f t="shared" si="402"/>
        <v>11403.16250934641</v>
      </c>
      <c r="AK92" s="1235">
        <f t="shared" si="402"/>
        <v>14923.468157166129</v>
      </c>
      <c r="AL92" s="1236">
        <f t="shared" si="368"/>
        <v>11110.096130842672</v>
      </c>
      <c r="AM92" s="1235">
        <f t="shared" si="394"/>
        <v>8835.3985409444631</v>
      </c>
      <c r="AN92" s="1235">
        <f t="shared" si="394"/>
        <v>14377.895433487756</v>
      </c>
      <c r="AO92" s="1235">
        <f t="shared" si="394"/>
        <v>18051.575931232092</v>
      </c>
      <c r="AP92" s="1236">
        <f t="shared" si="394"/>
        <v>16724.376731301942</v>
      </c>
      <c r="AQ92" s="1235">
        <f t="shared" ref="AQ92:AT92" si="403">IF(ISBLANK(AQ235),"",AQ235)</f>
        <v>14738.837139255675</v>
      </c>
      <c r="AR92" s="1235">
        <f t="shared" si="403"/>
        <v>16182.133515390124</v>
      </c>
      <c r="AS92" s="1235">
        <f t="shared" si="403"/>
        <v>20299.089540990994</v>
      </c>
      <c r="AT92" s="1236">
        <f t="shared" si="403"/>
        <v>14937.966413316562</v>
      </c>
      <c r="AU92" s="1235">
        <f t="shared" ref="AU92:AX92" si="404">IF(ISBLANK(AU235),"",AU235)</f>
        <v>15408.24352602746</v>
      </c>
      <c r="AV92" s="1235">
        <f t="shared" si="404"/>
        <v>16917.091329527619</v>
      </c>
      <c r="AW92" s="1235">
        <f t="shared" si="404"/>
        <v>21221.030672167504</v>
      </c>
      <c r="AX92" s="1236">
        <f t="shared" si="404"/>
        <v>15616.416824836715</v>
      </c>
      <c r="AY92" s="1235">
        <f t="shared" ref="AY92:BB92" si="405">IF(ISBLANK(AY235),"",AY235)</f>
        <v>15207.123389084334</v>
      </c>
      <c r="AZ92" s="1235">
        <f t="shared" si="405"/>
        <v>16696.27656117802</v>
      </c>
      <c r="BA92" s="1235">
        <f t="shared" si="405"/>
        <v>20944.037607536149</v>
      </c>
      <c r="BB92" s="1236">
        <f t="shared" si="405"/>
        <v>15412.579451351106</v>
      </c>
      <c r="BC92" s="1237"/>
      <c r="BD92" s="1237"/>
      <c r="BE92" s="1279">
        <f t="shared" si="338"/>
        <v>8533.0759789832955</v>
      </c>
      <c r="BF92" s="1279">
        <f t="shared" si="339"/>
        <v>8298.2254625349233</v>
      </c>
      <c r="BG92" s="1279">
        <f t="shared" si="340"/>
        <v>9924.6398732123562</v>
      </c>
      <c r="BH92" s="1279">
        <f t="shared" si="341"/>
        <v>11425.083386890354</v>
      </c>
      <c r="BI92" s="1279">
        <f t="shared" si="342"/>
        <v>9947.2092090832211</v>
      </c>
      <c r="BJ92" s="1279">
        <f t="shared" si="343"/>
        <v>12088.935343822655</v>
      </c>
      <c r="BK92" s="1279">
        <f t="shared" si="344"/>
        <v>11792.634750279025</v>
      </c>
      <c r="BL92" s="1279">
        <f t="shared" si="345"/>
        <v>11721.678811548154</v>
      </c>
      <c r="BM92" s="1573">
        <f t="shared" si="346"/>
        <v>14497.311659241563</v>
      </c>
      <c r="BN92" s="1573">
        <f t="shared" si="347"/>
        <v>16539.506652238339</v>
      </c>
      <c r="BO92" s="1573">
        <f t="shared" si="348"/>
        <v>17290.695588139824</v>
      </c>
      <c r="BP92" s="1573">
        <f t="shared" si="349"/>
        <v>17065.004252287403</v>
      </c>
      <c r="BQ92" s="1205"/>
      <c r="BR92" s="1206"/>
      <c r="BT92" s="2083"/>
      <c r="BU92" s="1186"/>
      <c r="BV92" s="2066" t="s">
        <v>1388</v>
      </c>
      <c r="BW92" s="2067">
        <f>Valuation!$BY$41</f>
        <v>0</v>
      </c>
    </row>
    <row r="93" spans="1:99" ht="12.75" customHeight="1">
      <c r="A93" s="1187"/>
      <c r="B93" s="1619"/>
      <c r="C93" s="1621" t="str">
        <f t="shared" si="329"/>
        <v>Mid C</v>
      </c>
      <c r="D93" s="1621" t="str">
        <f t="shared" si="329"/>
        <v/>
      </c>
      <c r="E93" s="1621" t="str">
        <f t="shared" si="329"/>
        <v/>
      </c>
      <c r="F93" s="1572"/>
      <c r="G93" s="1598">
        <f t="shared" si="366"/>
        <v>8546.5921192758251</v>
      </c>
      <c r="H93" s="1597">
        <f t="shared" ref="H93:AK93" si="406">IF(ISBLANK(H236),"",H236)</f>
        <v>6860.4941925393041</v>
      </c>
      <c r="I93" s="1597">
        <f t="shared" si="406"/>
        <v>9589.8568783682331</v>
      </c>
      <c r="J93" s="1599">
        <f t="shared" si="406"/>
        <v>8761.3924824907463</v>
      </c>
      <c r="K93" s="1598">
        <f t="shared" si="406"/>
        <v>6370.4143174569617</v>
      </c>
      <c r="L93" s="1597">
        <f t="shared" si="406"/>
        <v>6211.3020714773484</v>
      </c>
      <c r="M93" s="1597">
        <f t="shared" si="406"/>
        <v>7826.6983038931385</v>
      </c>
      <c r="N93" s="1599">
        <f t="shared" si="406"/>
        <v>8505.2239404965749</v>
      </c>
      <c r="O93" s="1598">
        <f t="shared" si="406"/>
        <v>8361.8498020158422</v>
      </c>
      <c r="P93" s="1597">
        <f t="shared" si="406"/>
        <v>4692.7816196299354</v>
      </c>
      <c r="Q93" s="1597">
        <f t="shared" si="406"/>
        <v>8714.24458656358</v>
      </c>
      <c r="R93" s="1597">
        <f t="shared" si="406"/>
        <v>7915.5249031846197</v>
      </c>
      <c r="S93" s="1234">
        <f t="shared" si="406"/>
        <v>8087.8495531943299</v>
      </c>
      <c r="T93" s="1235">
        <f t="shared" si="406"/>
        <v>7996.3027258199882</v>
      </c>
      <c r="U93" s="1235">
        <f t="shared" si="406"/>
        <v>11211.620071182011</v>
      </c>
      <c r="V93" s="1236">
        <f t="shared" si="406"/>
        <v>10542.452919287505</v>
      </c>
      <c r="W93" s="1235">
        <f t="shared" si="406"/>
        <v>8657.5971567442921</v>
      </c>
      <c r="X93" s="1235">
        <f t="shared" si="406"/>
        <v>6886.9565387563089</v>
      </c>
      <c r="Y93" s="1235">
        <f t="shared" si="406"/>
        <v>9018.6289233419629</v>
      </c>
      <c r="Z93" s="1236">
        <f t="shared" si="406"/>
        <v>8128.1906062345806</v>
      </c>
      <c r="AA93" s="1235">
        <f t="shared" si="406"/>
        <v>7254.6062172011279</v>
      </c>
      <c r="AB93" s="1235">
        <f t="shared" si="406"/>
        <v>10198.607768021606</v>
      </c>
      <c r="AC93" s="1235">
        <f t="shared" si="406"/>
        <v>11012.575922552551</v>
      </c>
      <c r="AD93" s="1236">
        <f t="shared" si="406"/>
        <v>8791.3991643737936</v>
      </c>
      <c r="AE93" s="1235">
        <f t="shared" si="406"/>
        <v>8374.7404708739778</v>
      </c>
      <c r="AF93" s="1235">
        <f t="shared" si="406"/>
        <v>7523.2554039282049</v>
      </c>
      <c r="AG93" s="1235">
        <f t="shared" si="406"/>
        <v>10999.855109017048</v>
      </c>
      <c r="AH93" s="1236">
        <f t="shared" si="406"/>
        <v>8339.4758609136315</v>
      </c>
      <c r="AI93" s="1235">
        <f t="shared" si="406"/>
        <v>7363.9896702949682</v>
      </c>
      <c r="AJ93" s="1235">
        <f t="shared" si="406"/>
        <v>5110.2170980007359</v>
      </c>
      <c r="AK93" s="1235">
        <f t="shared" si="406"/>
        <v>11913.659539148653</v>
      </c>
      <c r="AL93" s="1236">
        <f t="shared" si="368"/>
        <v>6198.0513024458141</v>
      </c>
      <c r="AM93" s="1235">
        <f t="shared" si="394"/>
        <v>5605.4382217503589</v>
      </c>
      <c r="AN93" s="1235">
        <f t="shared" si="394"/>
        <v>6543.6796823295826</v>
      </c>
      <c r="AO93" s="1235">
        <f t="shared" si="394"/>
        <v>11727.384363487512</v>
      </c>
      <c r="AP93" s="1236">
        <f t="shared" si="394"/>
        <v>9868.4210526315801</v>
      </c>
      <c r="AQ93" s="1235">
        <f t="shared" ref="AQ93:AT93" si="407">IF(ISBLANK(AQ236),"",AQ236)</f>
        <v>10559.234578577465</v>
      </c>
      <c r="AR93" s="1235">
        <f t="shared" si="407"/>
        <v>10219.421198025182</v>
      </c>
      <c r="AS93" s="1235">
        <f t="shared" si="407"/>
        <v>15787.035019442665</v>
      </c>
      <c r="AT93" s="1236">
        <f t="shared" si="407"/>
        <v>7959.8436172566526</v>
      </c>
      <c r="AU93" s="1235">
        <f t="shared" ref="AU93:AX93" si="408">IF(ISBLANK(AU236),"",AU236)</f>
        <v>11509.813054563114</v>
      </c>
      <c r="AV93" s="1235">
        <f t="shared" si="408"/>
        <v>11139.408509187173</v>
      </c>
      <c r="AW93" s="1235">
        <f t="shared" si="408"/>
        <v>17208.238003185412</v>
      </c>
      <c r="AX93" s="1236">
        <f t="shared" si="408"/>
        <v>8676.4160125822291</v>
      </c>
      <c r="AY93" s="1235">
        <f t="shared" ref="AY93:BB93" si="409">IF(ISBLANK(AY236),"",AY236)</f>
        <v>11745.513775169822</v>
      </c>
      <c r="AZ93" s="1235">
        <f t="shared" si="409"/>
        <v>11367.523996406751</v>
      </c>
      <c r="BA93" s="1235">
        <f t="shared" si="409"/>
        <v>17560.632440740112</v>
      </c>
      <c r="BB93" s="1236">
        <f t="shared" si="409"/>
        <v>8854.0937469428645</v>
      </c>
      <c r="BC93" s="1237"/>
      <c r="BD93" s="1237"/>
      <c r="BE93" s="1279">
        <f t="shared" si="338"/>
        <v>8439.583918168526</v>
      </c>
      <c r="BF93" s="1279">
        <f t="shared" si="339"/>
        <v>7228.4096583310056</v>
      </c>
      <c r="BG93" s="1279">
        <f t="shared" si="340"/>
        <v>7421.1002278484939</v>
      </c>
      <c r="BH93" s="1279">
        <f t="shared" si="341"/>
        <v>9459.5563173709579</v>
      </c>
      <c r="BI93" s="1279">
        <f t="shared" si="342"/>
        <v>8172.8433062692857</v>
      </c>
      <c r="BJ93" s="1279">
        <f t="shared" si="343"/>
        <v>9314.2972680372695</v>
      </c>
      <c r="BK93" s="1279">
        <f t="shared" si="344"/>
        <v>8809.3317111832148</v>
      </c>
      <c r="BL93" s="1279">
        <f t="shared" si="345"/>
        <v>7646.4794024725434</v>
      </c>
      <c r="BM93" s="1573">
        <f t="shared" si="346"/>
        <v>8436.2308300497589</v>
      </c>
      <c r="BN93" s="1573">
        <f t="shared" si="347"/>
        <v>11131.38360332549</v>
      </c>
      <c r="BO93" s="1573">
        <f t="shared" si="348"/>
        <v>12133.468894879483</v>
      </c>
      <c r="BP93" s="1573">
        <f t="shared" si="349"/>
        <v>12381.940989814888</v>
      </c>
      <c r="BQ93" s="1205"/>
      <c r="BR93" s="1206"/>
      <c r="BT93" s="2083"/>
      <c r="BU93" s="1186"/>
      <c r="BV93" s="2066" t="s">
        <v>1389</v>
      </c>
      <c r="BW93" s="2070">
        <v>1.1000000000000001</v>
      </c>
      <c r="BX93" s="1924">
        <f>BW92*BW93</f>
        <v>0</v>
      </c>
    </row>
    <row r="94" spans="1:99" ht="12.75" customHeight="1">
      <c r="A94" s="1187"/>
      <c r="B94" s="1619"/>
      <c r="C94" s="2293" t="s">
        <v>1535</v>
      </c>
      <c r="D94" s="1621" t="str">
        <f t="shared" si="329"/>
        <v/>
      </c>
      <c r="E94" s="1621" t="str">
        <f t="shared" si="329"/>
        <v/>
      </c>
      <c r="F94" s="1572"/>
      <c r="G94" s="1598">
        <f t="shared" si="366"/>
        <v>0</v>
      </c>
      <c r="H94" s="1597">
        <f t="shared" ref="H94:AK94" si="410">IF(ISBLANK(H237),"",H237)</f>
        <v>0</v>
      </c>
      <c r="I94" s="1597">
        <f t="shared" si="410"/>
        <v>0</v>
      </c>
      <c r="J94" s="1599">
        <f t="shared" si="410"/>
        <v>7045.0118387558323</v>
      </c>
      <c r="K94" s="1595">
        <f t="shared" si="410"/>
        <v>10647.814160821332</v>
      </c>
      <c r="L94" s="1597">
        <f t="shared" si="410"/>
        <v>7643.6811086143116</v>
      </c>
      <c r="M94" s="1597">
        <f t="shared" si="410"/>
        <v>26701.729930116137</v>
      </c>
      <c r="N94" s="1599">
        <f t="shared" si="410"/>
        <v>7717.4624704002181</v>
      </c>
      <c r="O94" s="1598">
        <f t="shared" si="410"/>
        <v>9345.1720004820509</v>
      </c>
      <c r="P94" s="1597">
        <f t="shared" si="410"/>
        <v>13807.306134001437</v>
      </c>
      <c r="Q94" s="1597">
        <f t="shared" si="410"/>
        <v>11418.664456046279</v>
      </c>
      <c r="R94" s="1597">
        <f t="shared" si="410"/>
        <v>8673.5340286433238</v>
      </c>
      <c r="S94" s="1234">
        <f t="shared" si="410"/>
        <v>7845.0122816990479</v>
      </c>
      <c r="T94" s="1235">
        <f t="shared" si="410"/>
        <v>8620.1610645234541</v>
      </c>
      <c r="U94" s="1235">
        <f t="shared" si="410"/>
        <v>11174.409787997261</v>
      </c>
      <c r="V94" s="1236">
        <f t="shared" si="410"/>
        <v>9641.3794179416109</v>
      </c>
      <c r="W94" s="1235">
        <f t="shared" si="410"/>
        <v>11434.96156525798</v>
      </c>
      <c r="X94" s="1235">
        <f t="shared" si="410"/>
        <v>9116.0759733353843</v>
      </c>
      <c r="Y94" s="1235">
        <f t="shared" si="410"/>
        <v>9563.9321770397437</v>
      </c>
      <c r="Z94" s="1236">
        <f t="shared" si="410"/>
        <v>9368.9160620250805</v>
      </c>
      <c r="AA94" s="1235">
        <f t="shared" si="410"/>
        <v>9823.1629948743193</v>
      </c>
      <c r="AB94" s="1235">
        <f t="shared" si="410"/>
        <v>10996.392826599309</v>
      </c>
      <c r="AC94" s="1235">
        <f t="shared" si="410"/>
        <v>13165.051909345491</v>
      </c>
      <c r="AD94" s="1236">
        <f t="shared" si="410"/>
        <v>9966.0748691142107</v>
      </c>
      <c r="AE94" s="1235">
        <f t="shared" si="410"/>
        <v>10081.840893466653</v>
      </c>
      <c r="AF94" s="1235">
        <f t="shared" si="410"/>
        <v>10532.235866772089</v>
      </c>
      <c r="AG94" s="1235">
        <f t="shared" si="410"/>
        <v>11115.580950912827</v>
      </c>
      <c r="AH94" s="1236">
        <f t="shared" si="410"/>
        <v>9206.0011555017081</v>
      </c>
      <c r="AI94" s="1235">
        <f t="shared" si="410"/>
        <v>7599.395244266987</v>
      </c>
      <c r="AJ94" s="1235">
        <f t="shared" si="410"/>
        <v>9658.4255255059925</v>
      </c>
      <c r="AK94" s="1235">
        <f t="shared" si="410"/>
        <v>10542.679719462296</v>
      </c>
      <c r="AL94" s="1236">
        <f t="shared" si="368"/>
        <v>9173.459524044767</v>
      </c>
      <c r="AM94" s="1235">
        <f t="shared" si="394"/>
        <v>11552.579721769785</v>
      </c>
      <c r="AN94" s="1235">
        <f t="shared" si="394"/>
        <v>14542.898550724636</v>
      </c>
      <c r="AO94" s="1235">
        <f t="shared" si="394"/>
        <v>48571.299862448417</v>
      </c>
      <c r="AP94" s="1236">
        <f t="shared" si="394"/>
        <v>9541.1462450592899</v>
      </c>
      <c r="AQ94" s="1235">
        <f t="shared" ref="AQ94:AT94" si="411">IF(ISBLANK(AQ237),"",AQ237)</f>
        <v>8001.7503919318342</v>
      </c>
      <c r="AR94" s="1235">
        <f t="shared" si="411"/>
        <v>10020.549611895432</v>
      </c>
      <c r="AS94" s="1235">
        <f t="shared" si="411"/>
        <v>28583.139290052815</v>
      </c>
      <c r="AT94" s="1236">
        <f t="shared" si="411"/>
        <v>16581.596089097558</v>
      </c>
      <c r="AU94" s="1235">
        <f t="shared" ref="AU94:AX94" si="412">IF(ISBLANK(AU237),"",AU237)</f>
        <v>7062.8307008244701</v>
      </c>
      <c r="AV94" s="1235">
        <f t="shared" si="412"/>
        <v>8715.8398035065438</v>
      </c>
      <c r="AW94" s="1235">
        <f t="shared" si="412"/>
        <v>24761.304736514343</v>
      </c>
      <c r="AX94" s="1236">
        <f t="shared" si="412"/>
        <v>14438.494039488984</v>
      </c>
      <c r="AY94" s="1235">
        <f t="shared" ref="AY94:BB94" si="413">IF(ISBLANK(AY237),"",AY237)</f>
        <v>6423.7196260689134</v>
      </c>
      <c r="AZ94" s="1235">
        <f t="shared" si="413"/>
        <v>7906.2276542927948</v>
      </c>
      <c r="BA94" s="1235">
        <f t="shared" si="413"/>
        <v>22408.946307746035</v>
      </c>
      <c r="BB94" s="1236">
        <f t="shared" si="413"/>
        <v>13065.522005420524</v>
      </c>
      <c r="BC94" s="1237"/>
      <c r="BD94" s="1237"/>
      <c r="BE94" s="1279"/>
      <c r="BF94" s="1279"/>
      <c r="BG94" s="1279"/>
      <c r="BH94" s="1279"/>
      <c r="BI94" s="1279"/>
      <c r="BJ94" s="1279"/>
      <c r="BK94" s="1279"/>
      <c r="BL94" s="1279"/>
      <c r="BM94" s="1279"/>
      <c r="BN94" s="1279"/>
      <c r="BO94" s="1279"/>
      <c r="BP94" s="1279"/>
      <c r="BQ94" s="1205"/>
      <c r="BR94" s="1206"/>
      <c r="BT94" s="2083"/>
      <c r="BU94" s="1186"/>
      <c r="BV94" s="2066" t="s">
        <v>1390</v>
      </c>
      <c r="BW94" s="2070">
        <v>0.5</v>
      </c>
      <c r="BX94" s="1924">
        <f>BW94*BW92</f>
        <v>0</v>
      </c>
    </row>
    <row r="95" spans="1:99" ht="12.75" customHeight="1">
      <c r="A95" s="1187"/>
      <c r="B95" s="1619"/>
      <c r="C95" s="1216" t="str">
        <f t="shared" si="329"/>
        <v>Off-Peak Regional Heat Rates (btu/kWh)</v>
      </c>
      <c r="D95" s="1227" t="str">
        <f t="shared" si="329"/>
        <v/>
      </c>
      <c r="E95" s="1227" t="str">
        <f t="shared" si="329"/>
        <v/>
      </c>
      <c r="F95" s="1348"/>
      <c r="G95" s="1595" t="str">
        <f t="shared" si="366"/>
        <v/>
      </c>
      <c r="H95" s="1594" t="str">
        <f t="shared" ref="H95:AK95" si="414">IF(ISBLANK(H238),"",H238)</f>
        <v/>
      </c>
      <c r="I95" s="1594" t="str">
        <f t="shared" si="414"/>
        <v/>
      </c>
      <c r="J95" s="1596" t="str">
        <f t="shared" si="414"/>
        <v/>
      </c>
      <c r="K95" s="1598" t="str">
        <f t="shared" si="414"/>
        <v/>
      </c>
      <c r="L95" s="1594" t="str">
        <f t="shared" si="414"/>
        <v/>
      </c>
      <c r="M95" s="1594" t="str">
        <f t="shared" si="414"/>
        <v/>
      </c>
      <c r="N95" s="1596" t="str">
        <f t="shared" si="414"/>
        <v/>
      </c>
      <c r="O95" s="1595" t="str">
        <f t="shared" si="414"/>
        <v/>
      </c>
      <c r="P95" s="1594" t="str">
        <f t="shared" si="414"/>
        <v/>
      </c>
      <c r="Q95" s="1594" t="str">
        <f t="shared" si="414"/>
        <v/>
      </c>
      <c r="R95" s="1594" t="str">
        <f t="shared" si="414"/>
        <v/>
      </c>
      <c r="S95" s="1593" t="str">
        <f t="shared" si="414"/>
        <v/>
      </c>
      <c r="T95" s="1218" t="str">
        <f t="shared" si="414"/>
        <v/>
      </c>
      <c r="U95" s="1218" t="str">
        <f t="shared" si="414"/>
        <v/>
      </c>
      <c r="V95" s="1217" t="str">
        <f t="shared" si="414"/>
        <v/>
      </c>
      <c r="W95" s="1218" t="str">
        <f t="shared" si="414"/>
        <v/>
      </c>
      <c r="X95" s="1218" t="str">
        <f t="shared" si="414"/>
        <v/>
      </c>
      <c r="Y95" s="1218" t="str">
        <f t="shared" si="414"/>
        <v/>
      </c>
      <c r="Z95" s="1592" t="str">
        <f t="shared" si="414"/>
        <v/>
      </c>
      <c r="AA95" s="1591" t="str">
        <f t="shared" si="414"/>
        <v/>
      </c>
      <c r="AB95" s="1591" t="str">
        <f t="shared" si="414"/>
        <v/>
      </c>
      <c r="AC95" s="1591" t="str">
        <f t="shared" si="414"/>
        <v/>
      </c>
      <c r="AD95" s="1592" t="str">
        <f t="shared" si="414"/>
        <v/>
      </c>
      <c r="AE95" s="1591" t="str">
        <f t="shared" si="414"/>
        <v/>
      </c>
      <c r="AF95" s="1591" t="str">
        <f t="shared" si="414"/>
        <v/>
      </c>
      <c r="AG95" s="1591" t="str">
        <f t="shared" si="414"/>
        <v/>
      </c>
      <c r="AH95" s="1592" t="str">
        <f t="shared" si="414"/>
        <v/>
      </c>
      <c r="AI95" s="1591" t="str">
        <f t="shared" si="414"/>
        <v/>
      </c>
      <c r="AJ95" s="1591" t="str">
        <f t="shared" si="414"/>
        <v/>
      </c>
      <c r="AK95" s="1591" t="str">
        <f t="shared" si="414"/>
        <v/>
      </c>
      <c r="AL95" s="1592" t="str">
        <f t="shared" si="368"/>
        <v/>
      </c>
      <c r="AM95" s="1591" t="str">
        <f t="shared" si="394"/>
        <v/>
      </c>
      <c r="AN95" s="1591" t="str">
        <f t="shared" si="394"/>
        <v/>
      </c>
      <c r="AO95" s="1591" t="str">
        <f t="shared" si="394"/>
        <v/>
      </c>
      <c r="AP95" s="1592" t="str">
        <f t="shared" si="394"/>
        <v/>
      </c>
      <c r="AQ95" s="1591" t="str">
        <f t="shared" ref="AQ95:AT95" si="415">IF(ISBLANK(AQ238),"",AQ238)</f>
        <v/>
      </c>
      <c r="AR95" s="1591" t="str">
        <f t="shared" si="415"/>
        <v/>
      </c>
      <c r="AS95" s="1591" t="str">
        <f t="shared" si="415"/>
        <v/>
      </c>
      <c r="AT95" s="1592" t="str">
        <f t="shared" si="415"/>
        <v/>
      </c>
      <c r="AU95" s="1591" t="str">
        <f t="shared" ref="AU95:AX95" si="416">IF(ISBLANK(AU238),"",AU238)</f>
        <v/>
      </c>
      <c r="AV95" s="1591" t="str">
        <f t="shared" si="416"/>
        <v/>
      </c>
      <c r="AW95" s="1591" t="str">
        <f t="shared" si="416"/>
        <v/>
      </c>
      <c r="AX95" s="1592" t="str">
        <f t="shared" si="416"/>
        <v/>
      </c>
      <c r="AY95" s="1591" t="str">
        <f t="shared" ref="AY95:BB95" si="417">IF(ISBLANK(AY238),"",AY238)</f>
        <v/>
      </c>
      <c r="AZ95" s="1591" t="str">
        <f t="shared" si="417"/>
        <v/>
      </c>
      <c r="BA95" s="1591" t="str">
        <f t="shared" si="417"/>
        <v/>
      </c>
      <c r="BB95" s="1592" t="str">
        <f t="shared" si="417"/>
        <v/>
      </c>
      <c r="BC95" s="1600"/>
      <c r="BD95" s="1219"/>
      <c r="BE95" s="1270"/>
      <c r="BF95" s="1270"/>
      <c r="BG95" s="1270"/>
      <c r="BH95" s="1270"/>
      <c r="BI95" s="1270"/>
      <c r="BJ95" s="1270"/>
      <c r="BK95" s="1270"/>
      <c r="BL95" s="1270"/>
      <c r="BM95" s="1582"/>
      <c r="BN95" s="1582"/>
      <c r="BO95" s="1582"/>
      <c r="BP95" s="1582"/>
      <c r="BQ95" s="1205"/>
      <c r="BR95" s="1206"/>
      <c r="BT95" s="2083"/>
      <c r="BU95" s="1186"/>
      <c r="BV95" s="2068" t="s">
        <v>1380</v>
      </c>
      <c r="BW95" s="2069">
        <f t="shared" ref="BW95" si="418">BX95-0.25</f>
        <v>0</v>
      </c>
      <c r="BX95" s="2069">
        <f t="shared" ref="BX95" si="419">BY95-0.25</f>
        <v>0.25</v>
      </c>
      <c r="BY95" s="2069">
        <f t="shared" ref="BY95" si="420">BZ95-0.25</f>
        <v>0.5</v>
      </c>
      <c r="BZ95" s="2069">
        <f t="shared" ref="BZ95" si="421">CA95-0.25</f>
        <v>0.75</v>
      </c>
      <c r="CA95" s="2069">
        <f t="shared" ref="CA95" si="422">CB95-0.25</f>
        <v>1</v>
      </c>
      <c r="CB95" s="2069">
        <f t="shared" ref="CB95" si="423">CC95-0.25</f>
        <v>1.25</v>
      </c>
      <c r="CC95" s="2069">
        <f t="shared" ref="CC95" si="424">CD95-0.25</f>
        <v>1.5</v>
      </c>
      <c r="CD95" s="2069">
        <f t="shared" ref="CD95" si="425">CE95-0.25</f>
        <v>1.75</v>
      </c>
      <c r="CE95" s="2069">
        <v>2</v>
      </c>
      <c r="CF95" s="2069">
        <f t="shared" ref="CF95" si="426">CE95+0.25</f>
        <v>2.25</v>
      </c>
      <c r="CG95" s="2069">
        <f t="shared" ref="CG95" si="427">CF95+0.25</f>
        <v>2.5</v>
      </c>
      <c r="CH95" s="2069">
        <f t="shared" ref="CH95" si="428">CG95+0.25</f>
        <v>2.75</v>
      </c>
      <c r="CI95" s="2069">
        <f t="shared" ref="CI95" si="429">CH95+0.25</f>
        <v>3</v>
      </c>
      <c r="CJ95" s="2069">
        <f t="shared" ref="CJ95" si="430">CI95+0.25</f>
        <v>3.25</v>
      </c>
      <c r="CK95" s="2069">
        <f t="shared" ref="CK95" si="431">CJ95+0.25</f>
        <v>3.5</v>
      </c>
      <c r="CL95" s="2069">
        <f t="shared" ref="CL95" si="432">CK95+0.25</f>
        <v>3.75</v>
      </c>
      <c r="CM95" s="2069">
        <f t="shared" ref="CM95" si="433">CL95+0.25</f>
        <v>4</v>
      </c>
      <c r="CN95" s="2069">
        <f t="shared" ref="CN95" si="434">CM95+0.25</f>
        <v>4.25</v>
      </c>
      <c r="CO95" s="2069">
        <f t="shared" ref="CO95" si="435">CN95+0.25</f>
        <v>4.5</v>
      </c>
      <c r="CP95" s="2069">
        <f t="shared" ref="CP95" si="436">CO95+0.25</f>
        <v>4.75</v>
      </c>
      <c r="CQ95" s="2069">
        <f t="shared" ref="CQ95" si="437">CP95+0.25</f>
        <v>5</v>
      </c>
      <c r="CR95" s="2069">
        <f t="shared" ref="CR95" si="438">CQ95+0.25</f>
        <v>5.25</v>
      </c>
      <c r="CS95" s="2069">
        <f t="shared" ref="CS95" si="439">CR95+0.25</f>
        <v>5.5</v>
      </c>
      <c r="CT95" s="2069">
        <f t="shared" ref="CT95" si="440">CS95+0.25</f>
        <v>5.75</v>
      </c>
      <c r="CU95" s="2069">
        <f t="shared" ref="CU95" si="441">CT95+0.25</f>
        <v>6</v>
      </c>
    </row>
    <row r="96" spans="1:99" ht="12.75" customHeight="1">
      <c r="A96" s="1187"/>
      <c r="B96" s="1619"/>
      <c r="C96" s="1621" t="str">
        <f t="shared" si="329"/>
        <v>Mass Hub</v>
      </c>
      <c r="D96" s="1621" t="str">
        <f t="shared" si="329"/>
        <v/>
      </c>
      <c r="E96" s="1621" t="str">
        <f t="shared" si="329"/>
        <v/>
      </c>
      <c r="F96" s="1572"/>
      <c r="G96" s="1598">
        <f t="shared" si="366"/>
        <v>6851.2172336847298</v>
      </c>
      <c r="H96" s="1597">
        <f t="shared" ref="H96:AK96" si="442">IF(ISBLANK(H239),"",H239)</f>
        <v>8182.0786967062631</v>
      </c>
      <c r="I96" s="1597">
        <f t="shared" si="442"/>
        <v>8843.0635104283465</v>
      </c>
      <c r="J96" s="1599">
        <f t="shared" si="442"/>
        <v>7237.1775828593409</v>
      </c>
      <c r="K96" s="1598">
        <f t="shared" si="442"/>
        <v>7371.9217492476137</v>
      </c>
      <c r="L96" s="1597">
        <f t="shared" si="442"/>
        <v>7960.8997122438159</v>
      </c>
      <c r="M96" s="1597">
        <f t="shared" si="442"/>
        <v>8379.919228064944</v>
      </c>
      <c r="N96" s="1599">
        <f t="shared" si="442"/>
        <v>8819.7944279269213</v>
      </c>
      <c r="O96" s="1598">
        <f t="shared" si="442"/>
        <v>8447.2140034917284</v>
      </c>
      <c r="P96" s="1597">
        <f t="shared" si="442"/>
        <v>9230.5387992588858</v>
      </c>
      <c r="Q96" s="1597">
        <f t="shared" si="442"/>
        <v>10110.347551066592</v>
      </c>
      <c r="R96" s="1597">
        <f t="shared" si="442"/>
        <v>9797.5546476884065</v>
      </c>
      <c r="S96" s="1234">
        <f t="shared" si="442"/>
        <v>9282.9445192863459</v>
      </c>
      <c r="T96" s="1235">
        <f t="shared" si="442"/>
        <v>7879.1357555234736</v>
      </c>
      <c r="U96" s="1235">
        <f t="shared" si="442"/>
        <v>8084.3226123072382</v>
      </c>
      <c r="V96" s="1236">
        <f t="shared" si="442"/>
        <v>11842.479560862408</v>
      </c>
      <c r="W96" s="1235">
        <f t="shared" si="442"/>
        <v>7345.0633802143266</v>
      </c>
      <c r="X96" s="1235">
        <f t="shared" si="442"/>
        <v>8666.8096880078447</v>
      </c>
      <c r="Y96" s="1235">
        <f t="shared" si="442"/>
        <v>10315.050379273025</v>
      </c>
      <c r="Z96" s="1236">
        <f t="shared" si="442"/>
        <v>9714.574534358846</v>
      </c>
      <c r="AA96" s="1235">
        <f t="shared" si="442"/>
        <v>8382.8453222230091</v>
      </c>
      <c r="AB96" s="1235">
        <f t="shared" si="442"/>
        <v>7537.8738784383268</v>
      </c>
      <c r="AC96" s="1235">
        <f t="shared" si="442"/>
        <v>9837.7064039165271</v>
      </c>
      <c r="AD96" s="1236">
        <f t="shared" si="442"/>
        <v>10577.262881497305</v>
      </c>
      <c r="AE96" s="1235">
        <f t="shared" si="442"/>
        <v>9019.4014549612002</v>
      </c>
      <c r="AF96" s="1235">
        <f t="shared" si="442"/>
        <v>10967.114786064982</v>
      </c>
      <c r="AG96" s="1235">
        <f t="shared" si="442"/>
        <v>11335.823461467095</v>
      </c>
      <c r="AH96" s="1236">
        <f t="shared" si="442"/>
        <v>10726.933653066462</v>
      </c>
      <c r="AI96" s="1235">
        <f t="shared" si="442"/>
        <v>9142.7185751590077</v>
      </c>
      <c r="AJ96" s="1235">
        <f t="shared" si="442"/>
        <v>8545.6610120881614</v>
      </c>
      <c r="AK96" s="1235">
        <f t="shared" si="442"/>
        <v>8055.4469835426908</v>
      </c>
      <c r="AL96" s="1236">
        <f t="shared" si="368"/>
        <v>11859.057936160812</v>
      </c>
      <c r="AM96" s="1235">
        <f t="shared" si="394"/>
        <v>7106.0534420152553</v>
      </c>
      <c r="AN96" s="1235">
        <f t="shared" si="394"/>
        <v>9713.2904608788867</v>
      </c>
      <c r="AO96" s="1235">
        <f t="shared" si="394"/>
        <v>9301.3972055888225</v>
      </c>
      <c r="AP96" s="1236">
        <f t="shared" si="394"/>
        <v>10670.184696569921</v>
      </c>
      <c r="AQ96" s="1235">
        <f t="shared" ref="AQ96:AT96" si="443">IF(ISBLANK(AQ239),"",AQ239)</f>
        <v>12523.856192309457</v>
      </c>
      <c r="AR96" s="1235">
        <f t="shared" si="443"/>
        <v>12126.37627431892</v>
      </c>
      <c r="AS96" s="1235">
        <f t="shared" si="443"/>
        <v>13524.643202910216</v>
      </c>
      <c r="AT96" s="1236">
        <f t="shared" si="443"/>
        <v>7225.3549785020023</v>
      </c>
      <c r="AU96" s="1235">
        <f t="shared" ref="AU96:AX96" si="444">IF(ISBLANK(AU239),"",AU239)</f>
        <v>12284.65865189438</v>
      </c>
      <c r="AV96" s="1235">
        <f t="shared" si="444"/>
        <v>11894.770342853019</v>
      </c>
      <c r="AW96" s="1235">
        <f t="shared" si="444"/>
        <v>13266.331278894815</v>
      </c>
      <c r="AX96" s="1236">
        <f t="shared" si="444"/>
        <v>7087.3553789421785</v>
      </c>
      <c r="AY96" s="1235">
        <f t="shared" ref="AY96:BB96" si="445">IF(ISBLANK(AY239),"",AY239)</f>
        <v>11964.479552774072</v>
      </c>
      <c r="AZ96" s="1235">
        <f t="shared" si="445"/>
        <v>11584.75303097351</v>
      </c>
      <c r="BA96" s="1235">
        <f t="shared" si="445"/>
        <v>12920.56652320475</v>
      </c>
      <c r="BB96" s="1236">
        <f t="shared" si="445"/>
        <v>6902.6353045243814</v>
      </c>
      <c r="BC96" s="1237"/>
      <c r="BD96" s="1237"/>
      <c r="BE96" s="1279">
        <f t="shared" ref="BE96:BE111" si="446">AVERAGE(G96:J96)</f>
        <v>7778.3842559196701</v>
      </c>
      <c r="BF96" s="1279">
        <f t="shared" ref="BF96:BF111" si="447">AVERAGE(K96:N96)</f>
        <v>8133.1337793708235</v>
      </c>
      <c r="BG96" s="1279">
        <f t="shared" ref="BG96:BG111" si="448">AVERAGE(O96:R96)</f>
        <v>9396.4137503764032</v>
      </c>
      <c r="BH96" s="1279">
        <f t="shared" ref="BH96:BH111" si="449">AVERAGE(S96:V96)</f>
        <v>9272.2206119948678</v>
      </c>
      <c r="BI96" s="1279">
        <f t="shared" ref="BI96:BI111" si="450">AVERAGE(W96:Z96)</f>
        <v>9010.3744954635113</v>
      </c>
      <c r="BJ96" s="1279">
        <f t="shared" ref="BJ96:BJ111" si="451">AVERAGE(AA96:AD96)</f>
        <v>9083.9221215187918</v>
      </c>
      <c r="BK96" s="1279">
        <f t="shared" ref="BK96:BK111" si="452">AVERAGE(AE96:AH96)</f>
        <v>10512.318338889934</v>
      </c>
      <c r="BL96" s="1279">
        <f t="shared" ref="BL96:BL111" si="453">AVERAGE(AI96:AL96)</f>
        <v>9400.7211267376679</v>
      </c>
      <c r="BM96" s="1573">
        <f t="shared" ref="BM96:BM111" si="454">AVERAGE(AM96:AP96)</f>
        <v>9197.731451263222</v>
      </c>
      <c r="BN96" s="1573">
        <f t="shared" ref="BN96:BN111" si="455">AVERAGE(AQ96:AT96)</f>
        <v>11350.057662010147</v>
      </c>
      <c r="BO96" s="1573">
        <f t="shared" ref="BO96:BO111" si="456">AVERAGE(AU96:AX96)</f>
        <v>11133.278913146098</v>
      </c>
      <c r="BP96" s="1573">
        <f t="shared" ref="BP96:BP111" si="457">AVERAGE(AY96:BB96)</f>
        <v>10843.108602869177</v>
      </c>
      <c r="BQ96" s="1205"/>
      <c r="BR96" s="1206"/>
      <c r="BT96" s="2083"/>
      <c r="BU96" s="1186"/>
      <c r="BV96" s="2046" t="s">
        <v>1386</v>
      </c>
      <c r="BW96" s="2047">
        <v>0.35</v>
      </c>
      <c r="BX96" s="2047">
        <v>0.35</v>
      </c>
      <c r="BY96" s="2047">
        <v>0.35</v>
      </c>
      <c r="BZ96" s="2047">
        <v>0.35</v>
      </c>
      <c r="CA96" s="2047">
        <v>0.35</v>
      </c>
      <c r="CB96" s="2047">
        <v>0.35</v>
      </c>
      <c r="CC96" s="2047">
        <v>0.35</v>
      </c>
      <c r="CD96" s="2047">
        <v>0.4</v>
      </c>
      <c r="CE96" s="2047">
        <v>0.45</v>
      </c>
      <c r="CF96" s="2047">
        <v>0.5</v>
      </c>
      <c r="CG96" s="2047">
        <v>0.55000000000000004</v>
      </c>
      <c r="CH96" s="2047">
        <v>0.65</v>
      </c>
      <c r="CI96" s="2047">
        <v>0.7</v>
      </c>
      <c r="CJ96" s="2047">
        <v>0.75</v>
      </c>
      <c r="CK96" s="2047">
        <v>0.75</v>
      </c>
      <c r="CL96" s="2047">
        <v>0.75</v>
      </c>
      <c r="CM96" s="2047">
        <v>0.75</v>
      </c>
      <c r="CN96" s="2047">
        <v>0.75</v>
      </c>
      <c r="CO96" s="2047">
        <v>0.75</v>
      </c>
      <c r="CP96" s="2047">
        <v>0.75</v>
      </c>
      <c r="CQ96" s="2047">
        <v>0.75</v>
      </c>
      <c r="CR96" s="2047">
        <v>0.75</v>
      </c>
      <c r="CS96" s="2047">
        <v>0.75</v>
      </c>
      <c r="CT96" s="2047">
        <v>0.75</v>
      </c>
      <c r="CU96" s="2047">
        <v>0.75</v>
      </c>
    </row>
    <row r="97" spans="1:99" ht="12.75" customHeight="1">
      <c r="A97" s="1187"/>
      <c r="B97" s="1619"/>
      <c r="C97" s="1621" t="str">
        <f t="shared" ref="C97:E116" si="458">IF(ISBLANK(C240),"",C240)</f>
        <v>NY Zone A</v>
      </c>
      <c r="D97" s="1621" t="str">
        <f t="shared" si="458"/>
        <v/>
      </c>
      <c r="E97" s="1621" t="str">
        <f t="shared" si="458"/>
        <v/>
      </c>
      <c r="F97" s="1572"/>
      <c r="G97" s="1598">
        <f t="shared" si="366"/>
        <v>5355.6961122030661</v>
      </c>
      <c r="H97" s="1597">
        <f t="shared" ref="H97:AK97" si="459">IF(ISBLANK(H240),"",H240)</f>
        <v>7028.1794383085698</v>
      </c>
      <c r="I97" s="1597">
        <f t="shared" si="459"/>
        <v>8292.7749177879778</v>
      </c>
      <c r="J97" s="1599">
        <f t="shared" si="459"/>
        <v>6485.8213553112255</v>
      </c>
      <c r="K97" s="1598">
        <f t="shared" si="459"/>
        <v>6023.4534353193767</v>
      </c>
      <c r="L97" s="1597">
        <f t="shared" si="459"/>
        <v>6697.9018560678951</v>
      </c>
      <c r="M97" s="1597">
        <f t="shared" si="459"/>
        <v>7684.5603729599397</v>
      </c>
      <c r="N97" s="1599">
        <f t="shared" si="459"/>
        <v>7744.4976746612501</v>
      </c>
      <c r="O97" s="1598">
        <f t="shared" si="459"/>
        <v>8639.8374439110084</v>
      </c>
      <c r="P97" s="1597">
        <f t="shared" si="459"/>
        <v>8438.5265301215695</v>
      </c>
      <c r="Q97" s="1597">
        <f t="shared" si="459"/>
        <v>8950.6358841748479</v>
      </c>
      <c r="R97" s="1597">
        <f t="shared" si="459"/>
        <v>8360.5518128974873</v>
      </c>
      <c r="S97" s="1234">
        <f t="shared" si="459"/>
        <v>8283.8886860413586</v>
      </c>
      <c r="T97" s="1235">
        <f t="shared" si="459"/>
        <v>6843.1719383213203</v>
      </c>
      <c r="U97" s="1235">
        <f t="shared" si="459"/>
        <v>7359.8377490323146</v>
      </c>
      <c r="V97" s="1236">
        <f t="shared" si="459"/>
        <v>7354.2240723278701</v>
      </c>
      <c r="W97" s="1235">
        <f t="shared" si="459"/>
        <v>5887.49512865822</v>
      </c>
      <c r="X97" s="1235">
        <f t="shared" si="459"/>
        <v>7342.5870896590586</v>
      </c>
      <c r="Y97" s="1235">
        <f t="shared" si="459"/>
        <v>9428.2420655372098</v>
      </c>
      <c r="Z97" s="1236">
        <f t="shared" si="459"/>
        <v>7903.1028409842911</v>
      </c>
      <c r="AA97" s="1235">
        <f t="shared" si="459"/>
        <v>5838.4228171684554</v>
      </c>
      <c r="AB97" s="1235">
        <f t="shared" si="459"/>
        <v>11231.838014387387</v>
      </c>
      <c r="AC97" s="1235">
        <f t="shared" si="459"/>
        <v>14895.865292939685</v>
      </c>
      <c r="AD97" s="1236">
        <f t="shared" si="459"/>
        <v>11088.680104153016</v>
      </c>
      <c r="AE97" s="1235">
        <f t="shared" si="459"/>
        <v>7430.0572431015753</v>
      </c>
      <c r="AF97" s="1235">
        <f t="shared" si="459"/>
        <v>9854.2125554743252</v>
      </c>
      <c r="AG97" s="1235">
        <f t="shared" si="459"/>
        <v>14312.880773121604</v>
      </c>
      <c r="AH97" s="1236">
        <f t="shared" si="459"/>
        <v>7721.1693236924348</v>
      </c>
      <c r="AI97" s="1235">
        <f t="shared" si="459"/>
        <v>6476.9106982314634</v>
      </c>
      <c r="AJ97" s="1235">
        <f t="shared" si="459"/>
        <v>5766.6546578633643</v>
      </c>
      <c r="AK97" s="1235">
        <f t="shared" si="459"/>
        <v>9936.1248110884608</v>
      </c>
      <c r="AL97" s="1236">
        <f t="shared" si="368"/>
        <v>7145.8747184646672</v>
      </c>
      <c r="AM97" s="1235">
        <f t="shared" si="394"/>
        <v>4993.9723459738043</v>
      </c>
      <c r="AN97" s="1235">
        <f t="shared" si="394"/>
        <v>14859.377349977438</v>
      </c>
      <c r="AO97" s="1235">
        <f t="shared" si="394"/>
        <v>13198.198198198197</v>
      </c>
      <c r="AP97" s="1236">
        <f t="shared" si="394"/>
        <v>12321.539416511485</v>
      </c>
      <c r="AQ97" s="1235">
        <f t="shared" ref="AQ97:AT97" si="460">IF(ISBLANK(AQ240),"",AQ240)</f>
        <v>13766.147964572425</v>
      </c>
      <c r="AR97" s="1235">
        <f t="shared" si="460"/>
        <v>17987.083179969206</v>
      </c>
      <c r="AS97" s="1235">
        <f t="shared" si="460"/>
        <v>15264.015012002199</v>
      </c>
      <c r="AT97" s="1236">
        <f t="shared" si="460"/>
        <v>6334.5447057720257</v>
      </c>
      <c r="AU97" s="1235">
        <f t="shared" ref="AU97:AX97" si="461">IF(ISBLANK(AU240),"",AU240)</f>
        <v>13835.817936941603</v>
      </c>
      <c r="AV97" s="1235">
        <f t="shared" si="461"/>
        <v>18078.115151394733</v>
      </c>
      <c r="AW97" s="1235">
        <f t="shared" si="461"/>
        <v>15341.265634824622</v>
      </c>
      <c r="AX97" s="1236">
        <f t="shared" si="461"/>
        <v>6366.603605310097</v>
      </c>
      <c r="AY97" s="1235">
        <f t="shared" ref="AY97:BB97" si="462">IF(ISBLANK(AY240),"",AY240)</f>
        <v>13642.039241588413</v>
      </c>
      <c r="AZ97" s="1235">
        <f t="shared" si="462"/>
        <v>17824.920610642024</v>
      </c>
      <c r="BA97" s="1235">
        <f t="shared" si="462"/>
        <v>15126.402266910129</v>
      </c>
      <c r="BB97" s="1236">
        <f t="shared" si="462"/>
        <v>6277.4356106103478</v>
      </c>
      <c r="BC97" s="1237"/>
      <c r="BD97" s="1237"/>
      <c r="BE97" s="1279">
        <f t="shared" si="446"/>
        <v>6790.6179559027096</v>
      </c>
      <c r="BF97" s="1279">
        <f t="shared" si="447"/>
        <v>7037.6033347521152</v>
      </c>
      <c r="BG97" s="1279">
        <f t="shared" si="448"/>
        <v>8597.3879177762283</v>
      </c>
      <c r="BH97" s="1279">
        <f t="shared" si="449"/>
        <v>7460.2806114307159</v>
      </c>
      <c r="BI97" s="1279">
        <f t="shared" si="450"/>
        <v>7640.3567812096953</v>
      </c>
      <c r="BJ97" s="1279">
        <f t="shared" si="451"/>
        <v>10763.701557162136</v>
      </c>
      <c r="BK97" s="1279">
        <f t="shared" si="452"/>
        <v>9829.5799738474852</v>
      </c>
      <c r="BL97" s="1279">
        <f t="shared" si="453"/>
        <v>7331.3912214119891</v>
      </c>
      <c r="BM97" s="1573">
        <f t="shared" si="454"/>
        <v>11343.27182766523</v>
      </c>
      <c r="BN97" s="1573">
        <f t="shared" si="455"/>
        <v>13337.947715578963</v>
      </c>
      <c r="BO97" s="1573">
        <f t="shared" si="456"/>
        <v>13405.450582117764</v>
      </c>
      <c r="BP97" s="1573">
        <f t="shared" si="457"/>
        <v>13217.69943243773</v>
      </c>
      <c r="BQ97" s="1205"/>
      <c r="BR97" s="1206"/>
      <c r="BT97" s="2083"/>
      <c r="BU97" s="1186"/>
      <c r="BV97" s="2046" t="s">
        <v>433</v>
      </c>
      <c r="BW97" s="2047">
        <v>0.3</v>
      </c>
      <c r="BX97" s="2047">
        <v>0.3</v>
      </c>
      <c r="BY97" s="2047">
        <v>0.3</v>
      </c>
      <c r="BZ97" s="2047">
        <v>0.35</v>
      </c>
      <c r="CA97" s="2047">
        <v>0.35</v>
      </c>
      <c r="CB97" s="2047">
        <v>0.35</v>
      </c>
      <c r="CC97" s="2047">
        <v>0.4</v>
      </c>
      <c r="CD97" s="2047">
        <v>0.4</v>
      </c>
      <c r="CE97" s="2047">
        <v>0.4</v>
      </c>
      <c r="CF97" s="2047">
        <v>0.45</v>
      </c>
      <c r="CG97" s="2047">
        <v>0.45</v>
      </c>
      <c r="CH97" s="2047">
        <v>0.5</v>
      </c>
      <c r="CI97" s="2047">
        <v>0.5</v>
      </c>
      <c r="CJ97" s="2047">
        <v>0.5</v>
      </c>
      <c r="CK97" s="2047">
        <v>0.55000000000000004</v>
      </c>
      <c r="CL97" s="2047">
        <v>0.6</v>
      </c>
      <c r="CM97" s="2047">
        <v>0.65</v>
      </c>
      <c r="CN97" s="2047">
        <v>0.65</v>
      </c>
      <c r="CO97" s="2047">
        <v>0.65</v>
      </c>
      <c r="CP97" s="2047">
        <v>0.65</v>
      </c>
      <c r="CQ97" s="2047">
        <v>0.65</v>
      </c>
      <c r="CR97" s="2047">
        <v>0.65</v>
      </c>
      <c r="CS97" s="2047">
        <v>0.65</v>
      </c>
      <c r="CT97" s="2047">
        <v>0.65</v>
      </c>
      <c r="CU97" s="2047">
        <v>0.65</v>
      </c>
    </row>
    <row r="98" spans="1:99" ht="12.75" customHeight="1">
      <c r="A98" s="1187"/>
      <c r="B98" s="1619"/>
      <c r="C98" s="1621" t="str">
        <f t="shared" si="458"/>
        <v>NY Zone G</v>
      </c>
      <c r="D98" s="1621" t="str">
        <f t="shared" si="458"/>
        <v/>
      </c>
      <c r="E98" s="1621" t="str">
        <f t="shared" si="458"/>
        <v/>
      </c>
      <c r="F98" s="1572"/>
      <c r="G98" s="1598">
        <f t="shared" si="366"/>
        <v>6852.579277756392</v>
      </c>
      <c r="H98" s="1597">
        <f t="shared" ref="H98:AK98" si="463">IF(ISBLANK(H241),"",H241)</f>
        <v>8306.5809607562096</v>
      </c>
      <c r="I98" s="1597">
        <f t="shared" si="463"/>
        <v>9423.2283467435736</v>
      </c>
      <c r="J98" s="1599">
        <f t="shared" si="463"/>
        <v>7028.9542841002922</v>
      </c>
      <c r="K98" s="1598">
        <f t="shared" si="463"/>
        <v>7074.1943976919974</v>
      </c>
      <c r="L98" s="1597">
        <f t="shared" si="463"/>
        <v>7547.8657501188482</v>
      </c>
      <c r="M98" s="1597">
        <f t="shared" si="463"/>
        <v>8439.3885162200022</v>
      </c>
      <c r="N98" s="1599">
        <f t="shared" si="463"/>
        <v>8268.6653113423945</v>
      </c>
      <c r="O98" s="1598">
        <f t="shared" si="463"/>
        <v>8437.495171565226</v>
      </c>
      <c r="P98" s="1597">
        <f t="shared" si="463"/>
        <v>8970.6692026012824</v>
      </c>
      <c r="Q98" s="1597">
        <f t="shared" si="463"/>
        <v>10076.119613780258</v>
      </c>
      <c r="R98" s="1597">
        <f t="shared" si="463"/>
        <v>9230.9471653996989</v>
      </c>
      <c r="S98" s="1234">
        <f t="shared" si="463"/>
        <v>7249.062381710246</v>
      </c>
      <c r="T98" s="1235">
        <f t="shared" si="463"/>
        <v>7720.0856088085848</v>
      </c>
      <c r="U98" s="1235">
        <f t="shared" si="463"/>
        <v>8293.4171259897885</v>
      </c>
      <c r="V98" s="1236">
        <f t="shared" si="463"/>
        <v>8457.6272733481783</v>
      </c>
      <c r="W98" s="1235">
        <f t="shared" si="463"/>
        <v>6117.7451995103747</v>
      </c>
      <c r="X98" s="1235">
        <f t="shared" si="463"/>
        <v>8147.412648795138</v>
      </c>
      <c r="Y98" s="1235">
        <f t="shared" si="463"/>
        <v>9952.2595955805282</v>
      </c>
      <c r="Z98" s="1236">
        <f t="shared" si="463"/>
        <v>8215.7123443567598</v>
      </c>
      <c r="AA98" s="1235">
        <f t="shared" si="463"/>
        <v>6590.0424387770508</v>
      </c>
      <c r="AB98" s="1235">
        <f t="shared" si="463"/>
        <v>7771.3067261298047</v>
      </c>
      <c r="AC98" s="1235">
        <f t="shared" si="463"/>
        <v>9737.8690075852119</v>
      </c>
      <c r="AD98" s="1236">
        <f t="shared" si="463"/>
        <v>9049.3951916015685</v>
      </c>
      <c r="AE98" s="1235">
        <f t="shared" si="463"/>
        <v>8212.0800442138498</v>
      </c>
      <c r="AF98" s="1235">
        <f t="shared" si="463"/>
        <v>11384.80330532701</v>
      </c>
      <c r="AG98" s="1235">
        <f t="shared" si="463"/>
        <v>11578.755646993332</v>
      </c>
      <c r="AH98" s="1236">
        <f t="shared" si="463"/>
        <v>9606.9455878853478</v>
      </c>
      <c r="AI98" s="1235">
        <f t="shared" si="463"/>
        <v>8859.0498337299687</v>
      </c>
      <c r="AJ98" s="1235">
        <f t="shared" si="463"/>
        <v>7917.1918496624576</v>
      </c>
      <c r="AK98" s="1235">
        <f t="shared" si="463"/>
        <v>7966.5045898410899</v>
      </c>
      <c r="AL98" s="1236">
        <f t="shared" si="368"/>
        <v>8139.7228227011701</v>
      </c>
      <c r="AM98" s="1235">
        <f t="shared" si="394"/>
        <v>5720.6374459995504</v>
      </c>
      <c r="AN98" s="1235">
        <f t="shared" si="394"/>
        <v>15353.697749196142</v>
      </c>
      <c r="AO98" s="1235">
        <f t="shared" si="394"/>
        <v>13013.972055888224</v>
      </c>
      <c r="AP98" s="1236">
        <f t="shared" si="394"/>
        <v>13234.828496042217</v>
      </c>
      <c r="AQ98" s="1235">
        <f t="shared" ref="AQ98:AT98" si="464">IF(ISBLANK(AQ241),"",AQ241)</f>
        <v>14914.155984907466</v>
      </c>
      <c r="AR98" s="1235">
        <f t="shared" si="464"/>
        <v>20592.143562519603</v>
      </c>
      <c r="AS98" s="1235">
        <f t="shared" si="464"/>
        <v>17789.229705526392</v>
      </c>
      <c r="AT98" s="1236">
        <f t="shared" si="464"/>
        <v>6358.814301275911</v>
      </c>
      <c r="AU98" s="1235">
        <f t="shared" ref="AU98:AX98" si="465">IF(ISBLANK(AU241),"",AU241)</f>
        <v>14783.03187245478</v>
      </c>
      <c r="AV98" s="1235">
        <f t="shared" si="465"/>
        <v>20411.099019947695</v>
      </c>
      <c r="AW98" s="1235">
        <f t="shared" si="465"/>
        <v>17632.828166028303</v>
      </c>
      <c r="AX98" s="1236">
        <f t="shared" si="465"/>
        <v>6302.9080949609152</v>
      </c>
      <c r="AY98" s="1235">
        <f t="shared" ref="AY98:BB98" si="466">IF(ISBLANK(AY241),"",AY241)</f>
        <v>14415.982411492447</v>
      </c>
      <c r="AZ98" s="1235">
        <f t="shared" si="466"/>
        <v>19904.309684880362</v>
      </c>
      <c r="BA98" s="1235">
        <f t="shared" si="466"/>
        <v>17195.020811662678</v>
      </c>
      <c r="BB98" s="1236">
        <f t="shared" si="466"/>
        <v>6146.4125236389573</v>
      </c>
      <c r="BC98" s="1237"/>
      <c r="BD98" s="1237"/>
      <c r="BE98" s="1279">
        <f t="shared" si="446"/>
        <v>7902.8357173391169</v>
      </c>
      <c r="BF98" s="1279">
        <f t="shared" si="447"/>
        <v>7832.5284938433106</v>
      </c>
      <c r="BG98" s="1279">
        <f t="shared" si="448"/>
        <v>9178.8077883366168</v>
      </c>
      <c r="BH98" s="1279">
        <f t="shared" si="449"/>
        <v>7930.0480974641996</v>
      </c>
      <c r="BI98" s="1279">
        <f t="shared" si="450"/>
        <v>8108.2824470607011</v>
      </c>
      <c r="BJ98" s="1279">
        <f t="shared" si="451"/>
        <v>8287.1533410234078</v>
      </c>
      <c r="BK98" s="1279">
        <f t="shared" si="452"/>
        <v>10195.646146104886</v>
      </c>
      <c r="BL98" s="1279">
        <f t="shared" si="453"/>
        <v>8220.6172739836711</v>
      </c>
      <c r="BM98" s="1573">
        <f t="shared" si="454"/>
        <v>11830.783936781534</v>
      </c>
      <c r="BN98" s="1573">
        <f t="shared" si="455"/>
        <v>14913.585888557343</v>
      </c>
      <c r="BO98" s="1573">
        <f t="shared" si="456"/>
        <v>14782.466788347923</v>
      </c>
      <c r="BP98" s="1573">
        <f t="shared" si="457"/>
        <v>14415.431357918611</v>
      </c>
      <c r="BQ98" s="1205"/>
      <c r="BR98" s="1206"/>
      <c r="BT98" s="2083"/>
      <c r="BU98" s="1186"/>
      <c r="BV98" s="2046" t="s">
        <v>1207</v>
      </c>
      <c r="BW98" s="2047">
        <v>0.35</v>
      </c>
      <c r="BX98" s="2047">
        <v>0.35</v>
      </c>
      <c r="BY98" s="2047">
        <v>0.35</v>
      </c>
      <c r="BZ98" s="2047">
        <v>0.35</v>
      </c>
      <c r="CA98" s="2047">
        <v>0.4</v>
      </c>
      <c r="CB98" s="2047">
        <v>0.45</v>
      </c>
      <c r="CC98" s="2047">
        <v>0.5</v>
      </c>
      <c r="CD98" s="2047">
        <v>0.5</v>
      </c>
      <c r="CE98" s="2047">
        <v>0.55000000000000004</v>
      </c>
      <c r="CF98" s="2047">
        <v>0.6</v>
      </c>
      <c r="CG98" s="2047">
        <v>0.65</v>
      </c>
      <c r="CH98" s="2047">
        <v>0.65</v>
      </c>
      <c r="CI98" s="2047">
        <v>0.7</v>
      </c>
      <c r="CJ98" s="2047">
        <v>0.75</v>
      </c>
      <c r="CK98" s="2047">
        <v>0.75</v>
      </c>
      <c r="CL98" s="2047">
        <v>0.75</v>
      </c>
      <c r="CM98" s="2047">
        <v>0.75</v>
      </c>
      <c r="CN98" s="2047">
        <v>0.75</v>
      </c>
      <c r="CO98" s="2047">
        <v>0.8</v>
      </c>
      <c r="CP98" s="2047">
        <v>0.8</v>
      </c>
      <c r="CQ98" s="2047">
        <v>0.8</v>
      </c>
      <c r="CR98" s="2047">
        <v>0.8</v>
      </c>
      <c r="CS98" s="2047">
        <v>0.8</v>
      </c>
      <c r="CT98" s="2047">
        <v>0.8</v>
      </c>
      <c r="CU98" s="2047">
        <v>0.8</v>
      </c>
    </row>
    <row r="99" spans="1:99" ht="12.75" customHeight="1">
      <c r="A99" s="1187"/>
      <c r="B99" s="1619"/>
      <c r="C99" s="1621" t="str">
        <f t="shared" si="458"/>
        <v>NY Zone J</v>
      </c>
      <c r="D99" s="1621" t="str">
        <f t="shared" si="458"/>
        <v/>
      </c>
      <c r="E99" s="1621" t="str">
        <f t="shared" si="458"/>
        <v/>
      </c>
      <c r="F99" s="1572"/>
      <c r="G99" s="1598">
        <f t="shared" si="366"/>
        <v>7004.3325492920585</v>
      </c>
      <c r="H99" s="1597">
        <f t="shared" ref="H99:AK99" si="467">IF(ISBLANK(H242),"",H242)</f>
        <v>8884.2082613828734</v>
      </c>
      <c r="I99" s="1597">
        <f t="shared" si="467"/>
        <v>10083.180834408246</v>
      </c>
      <c r="J99" s="1599">
        <f t="shared" si="467"/>
        <v>7087.3029977862207</v>
      </c>
      <c r="K99" s="1598">
        <f t="shared" si="467"/>
        <v>7340.2263410942887</v>
      </c>
      <c r="L99" s="1597">
        <f t="shared" si="467"/>
        <v>7798.9509690638888</v>
      </c>
      <c r="M99" s="1597">
        <f t="shared" si="467"/>
        <v>8927.1882569122845</v>
      </c>
      <c r="N99" s="1599">
        <f t="shared" si="467"/>
        <v>8345.6002027089799</v>
      </c>
      <c r="O99" s="1598">
        <f t="shared" si="467"/>
        <v>8645.3846646133316</v>
      </c>
      <c r="P99" s="1597">
        <f t="shared" si="467"/>
        <v>9156.0025011957878</v>
      </c>
      <c r="Q99" s="1597">
        <f t="shared" si="467"/>
        <v>10477.185224637948</v>
      </c>
      <c r="R99" s="1597">
        <f t="shared" si="467"/>
        <v>9423.1828285744832</v>
      </c>
      <c r="S99" s="1234">
        <f t="shared" si="467"/>
        <v>7423.784925032689</v>
      </c>
      <c r="T99" s="1235">
        <f t="shared" si="467"/>
        <v>7850.7305463093289</v>
      </c>
      <c r="U99" s="1235">
        <f t="shared" si="467"/>
        <v>8892.078482518069</v>
      </c>
      <c r="V99" s="1236">
        <f t="shared" si="467"/>
        <v>8316.9515771291517</v>
      </c>
      <c r="W99" s="1235">
        <f t="shared" si="467"/>
        <v>6133.6490987913385</v>
      </c>
      <c r="X99" s="1235">
        <f t="shared" si="467"/>
        <v>8213.4148493595476</v>
      </c>
      <c r="Y99" s="1235">
        <f t="shared" si="467"/>
        <v>10122.829083489969</v>
      </c>
      <c r="Z99" s="1236">
        <f t="shared" si="467"/>
        <v>8243.0500509012982</v>
      </c>
      <c r="AA99" s="1235">
        <f t="shared" si="467"/>
        <v>6629.8219138086515</v>
      </c>
      <c r="AB99" s="1235">
        <f t="shared" si="467"/>
        <v>7973.4326856799471</v>
      </c>
      <c r="AC99" s="1235">
        <f t="shared" si="467"/>
        <v>10477.845810963989</v>
      </c>
      <c r="AD99" s="1236">
        <f t="shared" si="467"/>
        <v>9160.039878142039</v>
      </c>
      <c r="AE99" s="1235">
        <f t="shared" si="467"/>
        <v>8558.8324115569685</v>
      </c>
      <c r="AF99" s="1235">
        <f t="shared" si="467"/>
        <v>12102.625348797468</v>
      </c>
      <c r="AG99" s="1235">
        <f t="shared" si="467"/>
        <v>12591.843997641919</v>
      </c>
      <c r="AH99" s="1236">
        <f t="shared" si="467"/>
        <v>9646.0234098480669</v>
      </c>
      <c r="AI99" s="1235">
        <f t="shared" si="467"/>
        <v>8902.6133060085667</v>
      </c>
      <c r="AJ99" s="1235">
        <f t="shared" si="467"/>
        <v>8502.4785656129588</v>
      </c>
      <c r="AK99" s="1235">
        <f t="shared" si="467"/>
        <v>8317.9199339646766</v>
      </c>
      <c r="AL99" s="1236">
        <f t="shared" si="368"/>
        <v>8247.7510387057664</v>
      </c>
      <c r="AM99" s="1235">
        <f t="shared" si="394"/>
        <v>6014.3501087297491</v>
      </c>
      <c r="AN99" s="1235">
        <f t="shared" si="394"/>
        <v>16016.881028938908</v>
      </c>
      <c r="AO99" s="1235">
        <f t="shared" si="394"/>
        <v>13685.961410512306</v>
      </c>
      <c r="AP99" s="1236">
        <f t="shared" si="394"/>
        <v>13635.883905013192</v>
      </c>
      <c r="AQ99" s="1235">
        <f t="shared" ref="AQ99:AT99" si="468">IF(ISBLANK(AQ242),"",AQ242)</f>
        <v>15581.860761896291</v>
      </c>
      <c r="AR99" s="1235">
        <f t="shared" si="468"/>
        <v>21684.767581360513</v>
      </c>
      <c r="AS99" s="1235">
        <f t="shared" si="468"/>
        <v>18977.134817803846</v>
      </c>
      <c r="AT99" s="1236">
        <f t="shared" si="468"/>
        <v>6534.6362240548142</v>
      </c>
      <c r="AU99" s="1235">
        <f t="shared" ref="AU99:AX99" si="469">IF(ISBLANK(AU242),"",AU242)</f>
        <v>15474.866268858676</v>
      </c>
      <c r="AV99" s="1235">
        <f t="shared" si="469"/>
        <v>21535.866833917054</v>
      </c>
      <c r="AW99" s="1235">
        <f t="shared" si="469"/>
        <v>18846.826316774066</v>
      </c>
      <c r="AX99" s="1236">
        <f t="shared" si="469"/>
        <v>6489.7654540831209</v>
      </c>
      <c r="AY99" s="1235">
        <f t="shared" ref="AY99:BB99" si="470">IF(ISBLANK(AY242),"",AY242)</f>
        <v>15153.832115448648</v>
      </c>
      <c r="AZ99" s="1235">
        <f t="shared" si="470"/>
        <v>21089.09406981953</v>
      </c>
      <c r="BA99" s="1235">
        <f t="shared" si="470"/>
        <v>18455.83909750179</v>
      </c>
      <c r="BB99" s="1236">
        <f t="shared" si="470"/>
        <v>6355.1318926562371</v>
      </c>
      <c r="BC99" s="1237"/>
      <c r="BD99" s="1237"/>
      <c r="BE99" s="1279">
        <f t="shared" si="446"/>
        <v>8264.7561607173484</v>
      </c>
      <c r="BF99" s="1279">
        <f t="shared" si="447"/>
        <v>8102.9914424448598</v>
      </c>
      <c r="BG99" s="1279">
        <f t="shared" si="448"/>
        <v>9425.4388047553875</v>
      </c>
      <c r="BH99" s="1279">
        <f t="shared" si="449"/>
        <v>8120.8863827473097</v>
      </c>
      <c r="BI99" s="1279">
        <f t="shared" si="450"/>
        <v>8178.2357706355378</v>
      </c>
      <c r="BJ99" s="1279">
        <f t="shared" si="451"/>
        <v>8560.2850721486557</v>
      </c>
      <c r="BK99" s="1279">
        <f t="shared" si="452"/>
        <v>10724.831291961105</v>
      </c>
      <c r="BL99" s="1279">
        <f t="shared" si="453"/>
        <v>8492.6907110729917</v>
      </c>
      <c r="BM99" s="1573">
        <f t="shared" si="454"/>
        <v>12338.269113298538</v>
      </c>
      <c r="BN99" s="1573">
        <f t="shared" si="455"/>
        <v>15694.599846278865</v>
      </c>
      <c r="BO99" s="1573">
        <f t="shared" si="456"/>
        <v>15586.83121840823</v>
      </c>
      <c r="BP99" s="1573">
        <f t="shared" si="457"/>
        <v>15263.474293856552</v>
      </c>
      <c r="BQ99" s="1205"/>
      <c r="BR99" s="1206"/>
      <c r="BT99" s="2083"/>
      <c r="BU99" s="1186"/>
      <c r="BV99" s="2046" t="s">
        <v>459</v>
      </c>
      <c r="BW99" s="2047">
        <v>0.2</v>
      </c>
      <c r="BX99" s="2047">
        <v>0.2</v>
      </c>
      <c r="BY99" s="2047">
        <v>0.2</v>
      </c>
      <c r="BZ99" s="2047">
        <v>0.2</v>
      </c>
      <c r="CA99" s="2047">
        <v>0.2</v>
      </c>
      <c r="CB99" s="2047">
        <v>0.2</v>
      </c>
      <c r="CC99" s="2047">
        <v>0.2</v>
      </c>
      <c r="CD99" s="2047">
        <v>0.2</v>
      </c>
      <c r="CE99" s="2047">
        <v>0.25</v>
      </c>
      <c r="CF99" s="2047">
        <v>0.25</v>
      </c>
      <c r="CG99" s="2047">
        <v>0.25</v>
      </c>
      <c r="CH99" s="2047">
        <v>0.35</v>
      </c>
      <c r="CI99" s="2047">
        <v>0.35</v>
      </c>
      <c r="CJ99" s="2047">
        <v>0.4</v>
      </c>
      <c r="CK99" s="2047">
        <v>0.4</v>
      </c>
      <c r="CL99" s="2047">
        <v>0.45</v>
      </c>
      <c r="CM99" s="2047">
        <v>0.45</v>
      </c>
      <c r="CN99" s="2047">
        <v>0.5</v>
      </c>
      <c r="CO99" s="2047">
        <v>0.5</v>
      </c>
      <c r="CP99" s="2047">
        <v>0.5</v>
      </c>
      <c r="CQ99" s="2047">
        <v>0.5</v>
      </c>
      <c r="CR99" s="2047">
        <v>0.55000000000000004</v>
      </c>
      <c r="CS99" s="2047">
        <v>0.55000000000000004</v>
      </c>
      <c r="CT99" s="2047">
        <v>0.55000000000000004</v>
      </c>
      <c r="CU99" s="2047">
        <v>0.55000000000000004</v>
      </c>
    </row>
    <row r="100" spans="1:99" ht="12.75" customHeight="1">
      <c r="A100" s="1187"/>
      <c r="B100" s="1619"/>
      <c r="C100" s="1621" t="str">
        <f t="shared" si="458"/>
        <v>PJM West</v>
      </c>
      <c r="D100" s="1621" t="str">
        <f t="shared" si="458"/>
        <v/>
      </c>
      <c r="E100" s="1621" t="str">
        <f t="shared" si="458"/>
        <v/>
      </c>
      <c r="F100" s="1572"/>
      <c r="G100" s="1598">
        <f t="shared" si="366"/>
        <v>6493.6656406734282</v>
      </c>
      <c r="H100" s="1597">
        <f t="shared" ref="H100:AK100" si="471">IF(ISBLANK(H243),"",H243)</f>
        <v>7054.57307272854</v>
      </c>
      <c r="I100" s="1597">
        <f t="shared" si="471"/>
        <v>8131.2298382658046</v>
      </c>
      <c r="J100" s="1599">
        <f t="shared" si="471"/>
        <v>7228.7968443687932</v>
      </c>
      <c r="K100" s="1598">
        <f t="shared" si="471"/>
        <v>6878.6075683160079</v>
      </c>
      <c r="L100" s="1597">
        <f t="shared" si="471"/>
        <v>7284.5320546195644</v>
      </c>
      <c r="M100" s="1597">
        <f t="shared" si="471"/>
        <v>7779.5784938790375</v>
      </c>
      <c r="N100" s="1599">
        <f t="shared" si="471"/>
        <v>8695.2045434184238</v>
      </c>
      <c r="O100" s="1598">
        <f t="shared" si="471"/>
        <v>9841.700334411802</v>
      </c>
      <c r="P100" s="1597">
        <f t="shared" si="471"/>
        <v>9039.2719380663311</v>
      </c>
      <c r="Q100" s="1597">
        <f t="shared" si="471"/>
        <v>8835.1893477360536</v>
      </c>
      <c r="R100" s="1597">
        <f t="shared" si="471"/>
        <v>8429.9253921288018</v>
      </c>
      <c r="S100" s="1234">
        <f t="shared" si="471"/>
        <v>7789.8114136442509</v>
      </c>
      <c r="T100" s="1235">
        <f t="shared" si="471"/>
        <v>7147.248796830625</v>
      </c>
      <c r="U100" s="1235">
        <f t="shared" si="471"/>
        <v>8031.1736003835267</v>
      </c>
      <c r="V100" s="1236">
        <f t="shared" si="471"/>
        <v>7795.107694833674</v>
      </c>
      <c r="W100" s="1235">
        <f t="shared" si="471"/>
        <v>6166.530696296164</v>
      </c>
      <c r="X100" s="1235">
        <f t="shared" si="471"/>
        <v>8263.5632022788723</v>
      </c>
      <c r="Y100" s="1235">
        <f t="shared" si="471"/>
        <v>10837.129084616699</v>
      </c>
      <c r="Z100" s="1236">
        <f t="shared" si="471"/>
        <v>10859.130824743526</v>
      </c>
      <c r="AA100" s="1235">
        <f t="shared" si="471"/>
        <v>6858.1083928038697</v>
      </c>
      <c r="AB100" s="1235">
        <f t="shared" si="471"/>
        <v>15422.985685691838</v>
      </c>
      <c r="AC100" s="1235">
        <f t="shared" si="471"/>
        <v>16917.689223633119</v>
      </c>
      <c r="AD100" s="1236">
        <f t="shared" si="471"/>
        <v>17146.191788467313</v>
      </c>
      <c r="AE100" s="1235">
        <f t="shared" si="471"/>
        <v>13082.44971352325</v>
      </c>
      <c r="AF100" s="1235">
        <f t="shared" si="471"/>
        <v>13437.831424583155</v>
      </c>
      <c r="AG100" s="1235">
        <f t="shared" si="471"/>
        <v>16998.184607495699</v>
      </c>
      <c r="AH100" s="1236">
        <f t="shared" si="471"/>
        <v>11310.225430871806</v>
      </c>
      <c r="AI100" s="1235">
        <f t="shared" si="471"/>
        <v>9046.2979187077945</v>
      </c>
      <c r="AJ100" s="1235">
        <f t="shared" si="471"/>
        <v>8797.2641070890259</v>
      </c>
      <c r="AK100" s="1235">
        <f t="shared" si="471"/>
        <v>12592.415236425988</v>
      </c>
      <c r="AL100" s="1236">
        <f t="shared" si="368"/>
        <v>10428.152314932511</v>
      </c>
      <c r="AM100" s="1235">
        <f t="shared" si="394"/>
        <v>6682.4698912828535</v>
      </c>
      <c r="AN100" s="1235">
        <f t="shared" si="394"/>
        <v>11257.331929613474</v>
      </c>
      <c r="AO100" s="1235">
        <f t="shared" si="394"/>
        <v>11163.663663663663</v>
      </c>
      <c r="AP100" s="1236">
        <f t="shared" si="394"/>
        <v>9565.4872749844817</v>
      </c>
      <c r="AQ100" s="1235">
        <f t="shared" ref="AQ100:AT100" si="472">IF(ISBLANK(AQ243),"",AQ243)</f>
        <v>8968.4071460360283</v>
      </c>
      <c r="AR100" s="1235">
        <f t="shared" si="472"/>
        <v>11591.660811253709</v>
      </c>
      <c r="AS100" s="1235">
        <f t="shared" si="472"/>
        <v>11437.093284386061</v>
      </c>
      <c r="AT100" s="1236">
        <f t="shared" si="472"/>
        <v>8324.117177218186</v>
      </c>
      <c r="AU100" s="1235">
        <f t="shared" ref="AU100:AX100" si="473">IF(ISBLANK(AU243),"",AU243)</f>
        <v>9005.6896599988304</v>
      </c>
      <c r="AV100" s="1235">
        <f t="shared" si="473"/>
        <v>11639.848437998402</v>
      </c>
      <c r="AW100" s="1235">
        <f t="shared" si="473"/>
        <v>11484.6383593504</v>
      </c>
      <c r="AX100" s="1236">
        <f t="shared" si="473"/>
        <v>8358.7213170430405</v>
      </c>
      <c r="AY100" s="1342">
        <f t="shared" ref="AY100:BB104" si="474">IF(ISBLANK(AY225),"",IF(Uplift="Yes",$BW84,AY225))</f>
        <v>10475.535039141012</v>
      </c>
      <c r="AZ100" s="1342">
        <f t="shared" si="474"/>
        <v>10475.535039141012</v>
      </c>
      <c r="BA100" s="1342">
        <f t="shared" si="474"/>
        <v>10475.535039141012</v>
      </c>
      <c r="BB100" s="1343">
        <f t="shared" si="474"/>
        <v>10475.535039141012</v>
      </c>
      <c r="BC100" s="2084"/>
      <c r="BD100" s="1237"/>
      <c r="BE100" s="1279">
        <f t="shared" si="446"/>
        <v>7227.066349009141</v>
      </c>
      <c r="BF100" s="1279">
        <f t="shared" si="447"/>
        <v>7659.4806650582577</v>
      </c>
      <c r="BG100" s="1279">
        <f t="shared" si="448"/>
        <v>9036.5217530857462</v>
      </c>
      <c r="BH100" s="1279">
        <f t="shared" si="449"/>
        <v>7690.8353764230187</v>
      </c>
      <c r="BI100" s="1279">
        <f t="shared" si="450"/>
        <v>9031.5884519838146</v>
      </c>
      <c r="BJ100" s="1279">
        <f t="shared" si="451"/>
        <v>14086.243772649035</v>
      </c>
      <c r="BK100" s="1279">
        <f t="shared" si="452"/>
        <v>13707.172794118478</v>
      </c>
      <c r="BL100" s="1279">
        <f t="shared" si="453"/>
        <v>10216.032394288828</v>
      </c>
      <c r="BM100" s="1573">
        <f t="shared" si="454"/>
        <v>9667.2381898861167</v>
      </c>
      <c r="BN100" s="1573">
        <f t="shared" si="455"/>
        <v>10080.319604723496</v>
      </c>
      <c r="BO100" s="1573">
        <f t="shared" si="456"/>
        <v>10122.224443597668</v>
      </c>
      <c r="BP100" s="1573">
        <f t="shared" si="457"/>
        <v>10475.535039141012</v>
      </c>
      <c r="BQ100" s="1205"/>
      <c r="BR100" s="1206"/>
      <c r="BT100" s="2083"/>
      <c r="BU100" s="1186"/>
      <c r="BV100" s="2046" t="s">
        <v>202</v>
      </c>
      <c r="BW100" s="2047">
        <v>0.2</v>
      </c>
      <c r="BX100" s="2047">
        <v>0.2</v>
      </c>
      <c r="BY100" s="2047">
        <v>0.2</v>
      </c>
      <c r="BZ100" s="2047">
        <v>0.2</v>
      </c>
      <c r="CA100" s="2047">
        <v>0.2</v>
      </c>
      <c r="CB100" s="2047">
        <v>0.2</v>
      </c>
      <c r="CC100" s="2047">
        <v>0.2</v>
      </c>
      <c r="CD100" s="2047">
        <v>0.2</v>
      </c>
      <c r="CE100" s="2047">
        <v>0.25</v>
      </c>
      <c r="CF100" s="2047">
        <v>0.25</v>
      </c>
      <c r="CG100" s="2047">
        <v>0.25</v>
      </c>
      <c r="CH100" s="2047">
        <v>0.35</v>
      </c>
      <c r="CI100" s="2047">
        <v>0.35</v>
      </c>
      <c r="CJ100" s="2047">
        <v>0.4</v>
      </c>
      <c r="CK100" s="2047">
        <v>0.4</v>
      </c>
      <c r="CL100" s="2047">
        <v>0.45</v>
      </c>
      <c r="CM100" s="2047">
        <v>0.45</v>
      </c>
      <c r="CN100" s="2047">
        <v>0.5</v>
      </c>
      <c r="CO100" s="2047">
        <v>0.5</v>
      </c>
      <c r="CP100" s="2047">
        <v>0.5</v>
      </c>
      <c r="CQ100" s="2047">
        <v>0.5</v>
      </c>
      <c r="CR100" s="2047">
        <v>0.55000000000000004</v>
      </c>
      <c r="CS100" s="2047">
        <v>0.55000000000000004</v>
      </c>
      <c r="CT100" s="2047">
        <v>0.55000000000000004</v>
      </c>
      <c r="CU100" s="2047">
        <v>0.55000000000000004</v>
      </c>
    </row>
    <row r="101" spans="1:99" ht="12.75" customHeight="1">
      <c r="A101" s="1187"/>
      <c r="B101" s="1619"/>
      <c r="C101" s="1621" t="str">
        <f t="shared" si="458"/>
        <v>PJM East</v>
      </c>
      <c r="D101" s="1621" t="str">
        <f t="shared" si="458"/>
        <v/>
      </c>
      <c r="E101" s="1621" t="str">
        <f t="shared" si="458"/>
        <v/>
      </c>
      <c r="F101" s="1572"/>
      <c r="G101" s="1598">
        <f t="shared" si="366"/>
        <v>7002.234954288876</v>
      </c>
      <c r="H101" s="1597">
        <f t="shared" ref="H101:AK101" si="475">IF(ISBLANK(H244),"",H244)</f>
        <v>7640.4485499059529</v>
      </c>
      <c r="I101" s="1597">
        <f t="shared" si="475"/>
        <v>9025.3869993302178</v>
      </c>
      <c r="J101" s="1599">
        <f t="shared" si="475"/>
        <v>7413.0740656652906</v>
      </c>
      <c r="K101" s="1598">
        <f t="shared" si="475"/>
        <v>7669.8052364764089</v>
      </c>
      <c r="L101" s="1597">
        <f t="shared" si="475"/>
        <v>7622.3652447041277</v>
      </c>
      <c r="M101" s="1597">
        <f t="shared" si="475"/>
        <v>8474.1679552486985</v>
      </c>
      <c r="N101" s="1599">
        <f t="shared" si="475"/>
        <v>8622.2045860397502</v>
      </c>
      <c r="O101" s="1598">
        <f t="shared" si="475"/>
        <v>10395.317989886589</v>
      </c>
      <c r="P101" s="1597">
        <f t="shared" si="475"/>
        <v>8857.6301713450721</v>
      </c>
      <c r="Q101" s="1597">
        <f t="shared" si="475"/>
        <v>9886.5109657382072</v>
      </c>
      <c r="R101" s="1597">
        <f t="shared" si="475"/>
        <v>8860.9682958716039</v>
      </c>
      <c r="S101" s="1234">
        <f t="shared" si="475"/>
        <v>8039.5762260747151</v>
      </c>
      <c r="T101" s="1235">
        <f t="shared" si="475"/>
        <v>7560.6867566728806</v>
      </c>
      <c r="U101" s="1235">
        <f t="shared" si="475"/>
        <v>8465.7345865797197</v>
      </c>
      <c r="V101" s="1236">
        <f t="shared" si="475"/>
        <v>8094.5011996556996</v>
      </c>
      <c r="W101" s="1235">
        <f t="shared" si="475"/>
        <v>7151.6799340099105</v>
      </c>
      <c r="X101" s="1235">
        <f t="shared" si="475"/>
        <v>8251.2040516581637</v>
      </c>
      <c r="Y101" s="1235">
        <f t="shared" si="475"/>
        <v>10479.170149283662</v>
      </c>
      <c r="Z101" s="1236">
        <f t="shared" si="475"/>
        <v>13653.53156496323</v>
      </c>
      <c r="AA101" s="1235">
        <f t="shared" si="475"/>
        <v>8207.0387690658226</v>
      </c>
      <c r="AB101" s="1235">
        <f t="shared" si="475"/>
        <v>15499.45605967582</v>
      </c>
      <c r="AC101" s="1235">
        <f t="shared" si="475"/>
        <v>15178.412461854665</v>
      </c>
      <c r="AD101" s="1236">
        <f t="shared" si="475"/>
        <v>19658.072019603624</v>
      </c>
      <c r="AE101" s="1235">
        <f t="shared" si="475"/>
        <v>13822.547494014379</v>
      </c>
      <c r="AF101" s="1235">
        <f t="shared" si="475"/>
        <v>12166.262278237393</v>
      </c>
      <c r="AG101" s="1235">
        <f t="shared" si="475"/>
        <v>15635.007649191331</v>
      </c>
      <c r="AH101" s="1236">
        <f t="shared" si="475"/>
        <v>9544.6541456185332</v>
      </c>
      <c r="AI101" s="1235">
        <f t="shared" si="475"/>
        <v>9801.7076446894607</v>
      </c>
      <c r="AJ101" s="1235">
        <f t="shared" si="475"/>
        <v>8644.1370259993801</v>
      </c>
      <c r="AK101" s="1235">
        <f t="shared" si="475"/>
        <v>11004.438339609598</v>
      </c>
      <c r="AL101" s="1236">
        <f t="shared" si="368"/>
        <v>12310.44340491018</v>
      </c>
      <c r="AM101" s="1235">
        <f t="shared" si="394"/>
        <v>7116.8692303849139</v>
      </c>
      <c r="AN101" s="1235">
        <f t="shared" si="394"/>
        <v>11351.481425778313</v>
      </c>
      <c r="AO101" s="1235">
        <f t="shared" si="394"/>
        <v>11381.381381381379</v>
      </c>
      <c r="AP101" s="1236">
        <f t="shared" si="394"/>
        <v>9497.1446306641828</v>
      </c>
      <c r="AQ101" s="1235">
        <f t="shared" ref="AQ101:AT101" si="476">IF(ISBLANK(AQ244),"",AQ244)</f>
        <v>10240.121890620401</v>
      </c>
      <c r="AR101" s="1235">
        <f t="shared" si="476"/>
        <v>11655.324608823219</v>
      </c>
      <c r="AS101" s="1235">
        <f t="shared" si="476"/>
        <v>11808.620980409776</v>
      </c>
      <c r="AT101" s="1236">
        <f t="shared" si="476"/>
        <v>8077.2747597348434</v>
      </c>
      <c r="AU101" s="1235">
        <f t="shared" ref="AU101:AX101" si="477">IF(ISBLANK(AU244),"",AU244)</f>
        <v>10309.484579678321</v>
      </c>
      <c r="AV101" s="1235">
        <f t="shared" si="477"/>
        <v>11734.273342573297</v>
      </c>
      <c r="AW101" s="1235">
        <f t="shared" si="477"/>
        <v>11888.608085447777</v>
      </c>
      <c r="AX101" s="1236">
        <f t="shared" si="477"/>
        <v>8131.9871453469759</v>
      </c>
      <c r="AY101" s="1342">
        <f>IF(ISBLANK(AY226),"",IF(Uplift="Yes",$BW85,AY226))</f>
        <v>10764.111330967613</v>
      </c>
      <c r="AZ101" s="1342">
        <f t="shared" si="474"/>
        <v>10764.111330967613</v>
      </c>
      <c r="BA101" s="1342">
        <f t="shared" si="474"/>
        <v>10764.111330967613</v>
      </c>
      <c r="BB101" s="1343">
        <f t="shared" si="474"/>
        <v>10764.111330967613</v>
      </c>
      <c r="BC101" s="2084"/>
      <c r="BD101" s="1237"/>
      <c r="BE101" s="1279">
        <f t="shared" si="446"/>
        <v>7770.2861422975839</v>
      </c>
      <c r="BF101" s="1279">
        <f t="shared" si="447"/>
        <v>8097.1357556172461</v>
      </c>
      <c r="BG101" s="1279">
        <f t="shared" si="448"/>
        <v>9500.1068557103681</v>
      </c>
      <c r="BH101" s="1279">
        <f t="shared" si="449"/>
        <v>8040.124692245754</v>
      </c>
      <c r="BI101" s="1279">
        <f t="shared" si="450"/>
        <v>9883.8964249787423</v>
      </c>
      <c r="BJ101" s="1279">
        <f t="shared" si="451"/>
        <v>14635.744827549981</v>
      </c>
      <c r="BK101" s="1279">
        <f t="shared" si="452"/>
        <v>12792.117891765411</v>
      </c>
      <c r="BL101" s="1279">
        <f t="shared" si="453"/>
        <v>10440.181603802155</v>
      </c>
      <c r="BM101" s="1573">
        <f t="shared" si="454"/>
        <v>9836.719167052197</v>
      </c>
      <c r="BN101" s="1573">
        <f t="shared" si="455"/>
        <v>10445.335559897059</v>
      </c>
      <c r="BO101" s="1573">
        <f t="shared" si="456"/>
        <v>10516.088288261593</v>
      </c>
      <c r="BP101" s="1573">
        <f t="shared" si="457"/>
        <v>10764.111330967613</v>
      </c>
      <c r="BQ101" s="1205"/>
      <c r="BR101" s="1206"/>
      <c r="BT101" s="2083"/>
      <c r="BU101" s="1186"/>
      <c r="BV101" s="2046" t="s">
        <v>479</v>
      </c>
      <c r="BW101" s="2047">
        <v>0.2</v>
      </c>
      <c r="BX101" s="2047">
        <v>0.2</v>
      </c>
      <c r="BY101" s="2047">
        <v>0.2</v>
      </c>
      <c r="BZ101" s="2047">
        <v>0.2</v>
      </c>
      <c r="CA101" s="2047">
        <v>0.2</v>
      </c>
      <c r="CB101" s="2047">
        <v>0.2</v>
      </c>
      <c r="CC101" s="2047">
        <v>0.2</v>
      </c>
      <c r="CD101" s="2047">
        <v>0.2</v>
      </c>
      <c r="CE101" s="2047">
        <v>0.25</v>
      </c>
      <c r="CF101" s="2047">
        <v>0.25</v>
      </c>
      <c r="CG101" s="2047">
        <v>0.3</v>
      </c>
      <c r="CH101" s="2047">
        <v>0.3</v>
      </c>
      <c r="CI101" s="2047">
        <v>0.3</v>
      </c>
      <c r="CJ101" s="2047">
        <v>0.35</v>
      </c>
      <c r="CK101" s="2047">
        <v>0.35</v>
      </c>
      <c r="CL101" s="2047">
        <v>0.4</v>
      </c>
      <c r="CM101" s="2047">
        <v>0.4</v>
      </c>
      <c r="CN101" s="2047">
        <v>0.4</v>
      </c>
      <c r="CO101" s="2047">
        <v>0.45</v>
      </c>
      <c r="CP101" s="2047">
        <v>0.5</v>
      </c>
      <c r="CQ101" s="2047">
        <v>0.5</v>
      </c>
      <c r="CR101" s="2047">
        <v>0.5</v>
      </c>
      <c r="CS101" s="2047">
        <v>0.5</v>
      </c>
      <c r="CT101" s="2047">
        <v>0.5</v>
      </c>
      <c r="CU101" s="2047">
        <v>0.5</v>
      </c>
    </row>
    <row r="102" spans="1:99" ht="12.75" customHeight="1">
      <c r="A102" s="1187"/>
      <c r="B102" s="1619"/>
      <c r="C102" s="1621" t="str">
        <f t="shared" si="458"/>
        <v>AEP Dayton</v>
      </c>
      <c r="D102" s="1621" t="str">
        <f t="shared" si="458"/>
        <v/>
      </c>
      <c r="E102" s="1621" t="str">
        <f t="shared" si="458"/>
        <v/>
      </c>
      <c r="F102" s="1572"/>
      <c r="G102" s="1598">
        <f t="shared" si="366"/>
        <v>5769.3305928748814</v>
      </c>
      <c r="H102" s="1597">
        <f t="shared" ref="H102:AK102" si="478">IF(ISBLANK(H245),"",H245)</f>
        <v>5980.4576806649147</v>
      </c>
      <c r="I102" s="1597">
        <f t="shared" si="478"/>
        <v>6684.7232199578648</v>
      </c>
      <c r="J102" s="1599">
        <f t="shared" si="478"/>
        <v>5911.4648985987124</v>
      </c>
      <c r="K102" s="1598">
        <f t="shared" si="478"/>
        <v>5617.3159739843395</v>
      </c>
      <c r="L102" s="1597">
        <f t="shared" si="478"/>
        <v>6655.7582528218209</v>
      </c>
      <c r="M102" s="1597">
        <f t="shared" si="478"/>
        <v>7303.4594565022162</v>
      </c>
      <c r="N102" s="1599">
        <f t="shared" si="478"/>
        <v>8538.4108780017341</v>
      </c>
      <c r="O102" s="1598">
        <f t="shared" si="478"/>
        <v>9256.1029733562991</v>
      </c>
      <c r="P102" s="1597">
        <f t="shared" si="478"/>
        <v>8884.5574896313938</v>
      </c>
      <c r="Q102" s="1597">
        <f t="shared" si="478"/>
        <v>8401.9636033328952</v>
      </c>
      <c r="R102" s="1597">
        <f t="shared" si="478"/>
        <v>8108.3969931427564</v>
      </c>
      <c r="S102" s="1234">
        <f t="shared" si="478"/>
        <v>7144.68170956227</v>
      </c>
      <c r="T102" s="1235">
        <f t="shared" si="478"/>
        <v>6923.1901425772967</v>
      </c>
      <c r="U102" s="1235">
        <f t="shared" si="478"/>
        <v>7416.937285038297</v>
      </c>
      <c r="V102" s="1236">
        <f t="shared" si="478"/>
        <v>7186.3638244491658</v>
      </c>
      <c r="W102" s="1235">
        <f t="shared" si="478"/>
        <v>4378.4476589144797</v>
      </c>
      <c r="X102" s="1235">
        <f t="shared" si="478"/>
        <v>8308.8842312669221</v>
      </c>
      <c r="Y102" s="1235">
        <f t="shared" si="478"/>
        <v>10465.996871575519</v>
      </c>
      <c r="Z102" s="1236">
        <f t="shared" si="478"/>
        <v>10914.824746114929</v>
      </c>
      <c r="AA102" s="1235">
        <f t="shared" si="478"/>
        <v>5222.5069289009616</v>
      </c>
      <c r="AB102" s="1235">
        <f t="shared" si="478"/>
        <v>15040.786920718157</v>
      </c>
      <c r="AC102" s="1235">
        <f t="shared" si="478"/>
        <v>16577.780229416356</v>
      </c>
      <c r="AD102" s="1236">
        <f t="shared" si="478"/>
        <v>17065.861366193356</v>
      </c>
      <c r="AE102" s="1235">
        <f t="shared" si="478"/>
        <v>11965.339455583016</v>
      </c>
      <c r="AF102" s="1235">
        <f t="shared" si="478"/>
        <v>13392.335283854029</v>
      </c>
      <c r="AG102" s="1235">
        <f t="shared" si="478"/>
        <v>16617.582565885587</v>
      </c>
      <c r="AH102" s="1236">
        <f t="shared" si="478"/>
        <v>11247.328225526811</v>
      </c>
      <c r="AI102" s="1235">
        <f t="shared" si="478"/>
        <v>8556.6131079873394</v>
      </c>
      <c r="AJ102" s="1235">
        <f t="shared" si="478"/>
        <v>8971.0519258287495</v>
      </c>
      <c r="AK102" s="1235">
        <f t="shared" si="478"/>
        <v>13054.147515117875</v>
      </c>
      <c r="AL102" s="1236">
        <f t="shared" si="368"/>
        <v>9524.2185088378228</v>
      </c>
      <c r="AM102" s="1235">
        <f t="shared" si="394"/>
        <v>5253.5008504221041</v>
      </c>
      <c r="AN102" s="1235">
        <f t="shared" si="394"/>
        <v>9534.7680059708928</v>
      </c>
      <c r="AO102" s="1235">
        <f t="shared" si="394"/>
        <v>8957.9632918886928</v>
      </c>
      <c r="AP102" s="1236">
        <f t="shared" si="394"/>
        <v>8724.870763928775</v>
      </c>
      <c r="AQ102" s="1235">
        <f t="shared" ref="AQ102:AT102" si="479">IF(ISBLANK(AQ245),"",AQ245)</f>
        <v>10357.798701457919</v>
      </c>
      <c r="AR102" s="1235">
        <f t="shared" si="479"/>
        <v>8488.7960907604192</v>
      </c>
      <c r="AS102" s="1235">
        <f t="shared" si="479"/>
        <v>8528.2593221072202</v>
      </c>
      <c r="AT102" s="1236">
        <f t="shared" si="479"/>
        <v>9517.0351924681836</v>
      </c>
      <c r="AU102" s="1235">
        <f t="shared" ref="AU102:AX102" si="480">IF(ISBLANK(AU245),"",AU245)</f>
        <v>10049.931204538312</v>
      </c>
      <c r="AV102" s="1235">
        <f t="shared" si="480"/>
        <v>8236.4814359143529</v>
      </c>
      <c r="AW102" s="1235">
        <f t="shared" si="480"/>
        <v>8274.7716915541296</v>
      </c>
      <c r="AX102" s="1236">
        <f t="shared" si="480"/>
        <v>9234.1579241168911</v>
      </c>
      <c r="AY102" s="1342">
        <f t="shared" si="474"/>
        <v>9555.9918808413258</v>
      </c>
      <c r="AZ102" s="1342">
        <f t="shared" si="474"/>
        <v>9555.9918808413258</v>
      </c>
      <c r="BA102" s="1342">
        <f t="shared" si="474"/>
        <v>9555.9918808413258</v>
      </c>
      <c r="BB102" s="1343">
        <f t="shared" si="474"/>
        <v>9555.9918808413258</v>
      </c>
      <c r="BC102" s="2084"/>
      <c r="BD102" s="1237"/>
      <c r="BE102" s="1279">
        <f t="shared" si="446"/>
        <v>6086.4940980240926</v>
      </c>
      <c r="BF102" s="1279">
        <f t="shared" si="447"/>
        <v>7028.7361403275281</v>
      </c>
      <c r="BG102" s="1279">
        <f t="shared" si="448"/>
        <v>8662.7552648658366</v>
      </c>
      <c r="BH102" s="1279">
        <f t="shared" si="449"/>
        <v>7167.7932404067578</v>
      </c>
      <c r="BI102" s="1279">
        <f t="shared" si="450"/>
        <v>8517.0383769679629</v>
      </c>
      <c r="BJ102" s="1279">
        <f t="shared" si="451"/>
        <v>13476.733861307208</v>
      </c>
      <c r="BK102" s="1279">
        <f t="shared" si="452"/>
        <v>13305.646382712363</v>
      </c>
      <c r="BL102" s="1279">
        <f t="shared" si="453"/>
        <v>10026.507764442948</v>
      </c>
      <c r="BM102" s="1573">
        <f t="shared" si="454"/>
        <v>8117.7757280526166</v>
      </c>
      <c r="BN102" s="1573">
        <f t="shared" si="455"/>
        <v>9222.9723266984365</v>
      </c>
      <c r="BO102" s="1573">
        <f t="shared" si="456"/>
        <v>8948.8355640309201</v>
      </c>
      <c r="BP102" s="1573">
        <f t="shared" si="457"/>
        <v>9555.9918808413258</v>
      </c>
      <c r="BQ102" s="1205"/>
      <c r="BR102" s="1206"/>
      <c r="BT102" s="2083"/>
      <c r="BU102" s="2072">
        <v>1</v>
      </c>
      <c r="BV102" s="1985" t="s">
        <v>1391</v>
      </c>
      <c r="BW102" s="2069">
        <f t="shared" ref="BW102" si="481">BX102-0.25</f>
        <v>0</v>
      </c>
      <c r="BX102" s="2069">
        <f t="shared" ref="BX102" si="482">BY102-0.25</f>
        <v>0.25</v>
      </c>
      <c r="BY102" s="2069">
        <f t="shared" ref="BY102" si="483">BZ102-0.25</f>
        <v>0.5</v>
      </c>
      <c r="BZ102" s="2069">
        <f t="shared" ref="BZ102" si="484">CA102-0.25</f>
        <v>0.75</v>
      </c>
      <c r="CA102" s="2069">
        <f t="shared" ref="CA102" si="485">CB102-0.25</f>
        <v>1</v>
      </c>
      <c r="CB102" s="2069">
        <f t="shared" ref="CB102" si="486">CC102-0.25</f>
        <v>1.25</v>
      </c>
      <c r="CC102" s="2069">
        <f t="shared" ref="CC102" si="487">CD102-0.25</f>
        <v>1.5</v>
      </c>
      <c r="CD102" s="2069">
        <f t="shared" ref="CD102" si="488">CE102-0.25</f>
        <v>1.75</v>
      </c>
      <c r="CE102" s="2069">
        <v>2</v>
      </c>
      <c r="CF102" s="2069">
        <f t="shared" ref="CF102" si="489">CE102+0.25</f>
        <v>2.25</v>
      </c>
      <c r="CG102" s="2069">
        <f t="shared" ref="CG102" si="490">CF102+0.25</f>
        <v>2.5</v>
      </c>
      <c r="CH102" s="2069">
        <f t="shared" ref="CH102" si="491">CG102+0.25</f>
        <v>2.75</v>
      </c>
      <c r="CI102" s="2069">
        <f t="shared" ref="CI102" si="492">CH102+0.25</f>
        <v>3</v>
      </c>
      <c r="CJ102" s="2069">
        <f t="shared" ref="CJ102" si="493">CI102+0.25</f>
        <v>3.25</v>
      </c>
      <c r="CK102" s="2069">
        <f t="shared" ref="CK102" si="494">CJ102+0.25</f>
        <v>3.5</v>
      </c>
      <c r="CL102" s="2069">
        <f t="shared" ref="CL102" si="495">CK102+0.25</f>
        <v>3.75</v>
      </c>
      <c r="CM102" s="2069">
        <f t="shared" ref="CM102" si="496">CL102+0.25</f>
        <v>4</v>
      </c>
      <c r="CN102" s="2069">
        <f t="shared" ref="CN102" si="497">CM102+0.25</f>
        <v>4.25</v>
      </c>
      <c r="CO102" s="2069">
        <f t="shared" ref="CO102" si="498">CN102+0.25</f>
        <v>4.5</v>
      </c>
      <c r="CP102" s="2069">
        <f t="shared" ref="CP102" si="499">CO102+0.25</f>
        <v>4.75</v>
      </c>
      <c r="CQ102" s="2069">
        <f t="shared" ref="CQ102" si="500">CP102+0.25</f>
        <v>5</v>
      </c>
      <c r="CR102" s="2069">
        <f t="shared" ref="CR102" si="501">CQ102+0.25</f>
        <v>5.25</v>
      </c>
      <c r="CS102" s="2069">
        <f t="shared" ref="CS102" si="502">CR102+0.25</f>
        <v>5.5</v>
      </c>
      <c r="CT102" s="2069">
        <f t="shared" ref="CT102" si="503">CS102+0.25</f>
        <v>5.75</v>
      </c>
      <c r="CU102" s="2069">
        <f t="shared" ref="CU102" si="504">CT102+0.25</f>
        <v>6</v>
      </c>
    </row>
    <row r="103" spans="1:99" ht="12.75" customHeight="1">
      <c r="A103" s="1187"/>
      <c r="B103" s="1619"/>
      <c r="C103" s="1621" t="str">
        <f t="shared" si="458"/>
        <v>Cinergy</v>
      </c>
      <c r="D103" s="1621" t="str">
        <f t="shared" si="458"/>
        <v/>
      </c>
      <c r="E103" s="1621" t="str">
        <f t="shared" si="458"/>
        <v/>
      </c>
      <c r="F103" s="1572"/>
      <c r="G103" s="1598">
        <f t="shared" si="366"/>
        <v>6500.5822596957805</v>
      </c>
      <c r="H103" s="1597">
        <f t="shared" ref="H103:AK103" si="505">IF(ISBLANK(H246),"",H246)</f>
        <v>6476.0723404537666</v>
      </c>
      <c r="I103" s="1597">
        <f t="shared" si="505"/>
        <v>7271.6763952678921</v>
      </c>
      <c r="J103" s="1599">
        <f t="shared" si="505"/>
        <v>8220.4093352115033</v>
      </c>
      <c r="K103" s="1598">
        <f t="shared" si="505"/>
        <v>7979.1747211275315</v>
      </c>
      <c r="L103" s="1597">
        <f t="shared" si="505"/>
        <v>7104.9821374667526</v>
      </c>
      <c r="M103" s="1597">
        <f t="shared" si="505"/>
        <v>7790.7372328055353</v>
      </c>
      <c r="N103" s="1599">
        <f t="shared" si="505"/>
        <v>9201.0167150006782</v>
      </c>
      <c r="O103" s="1598">
        <f t="shared" si="505"/>
        <v>10440.014917886665</v>
      </c>
      <c r="P103" s="1597">
        <f t="shared" si="505"/>
        <v>9560.11803419846</v>
      </c>
      <c r="Q103" s="1597">
        <f t="shared" si="505"/>
        <v>8935.6748974826023</v>
      </c>
      <c r="R103" s="1597">
        <f t="shared" si="505"/>
        <v>8777.6380248240494</v>
      </c>
      <c r="S103" s="1234">
        <f t="shared" si="505"/>
        <v>8794.3099226617105</v>
      </c>
      <c r="T103" s="1235">
        <f t="shared" si="505"/>
        <v>7170.3250164574647</v>
      </c>
      <c r="U103" s="1235">
        <f t="shared" si="505"/>
        <v>7427.6377278135369</v>
      </c>
      <c r="V103" s="1236">
        <f t="shared" si="505"/>
        <v>7463.0119522202085</v>
      </c>
      <c r="W103" s="1235">
        <f t="shared" si="505"/>
        <v>10672.862043942654</v>
      </c>
      <c r="X103" s="1235">
        <f t="shared" si="505"/>
        <v>6748.9575207808848</v>
      </c>
      <c r="Y103" s="1235">
        <f t="shared" si="505"/>
        <v>6693.0721564774667</v>
      </c>
      <c r="Z103" s="1236">
        <f t="shared" si="505"/>
        <v>7928.0928377524915</v>
      </c>
      <c r="AA103" s="1235">
        <f t="shared" si="505"/>
        <v>11594.576778630564</v>
      </c>
      <c r="AB103" s="1235">
        <f t="shared" si="505"/>
        <v>8884.7428686240874</v>
      </c>
      <c r="AC103" s="1235">
        <f t="shared" si="505"/>
        <v>8259.4626536542146</v>
      </c>
      <c r="AD103" s="1236">
        <f t="shared" si="505"/>
        <v>10311.27373307398</v>
      </c>
      <c r="AE103" s="1235">
        <f t="shared" si="505"/>
        <v>11099.393407137786</v>
      </c>
      <c r="AF103" s="1235">
        <f t="shared" si="505"/>
        <v>9992.6370455412834</v>
      </c>
      <c r="AG103" s="1235">
        <f t="shared" si="505"/>
        <v>7829.6864609595132</v>
      </c>
      <c r="AH103" s="1236">
        <f t="shared" si="505"/>
        <v>8265.1158346907469</v>
      </c>
      <c r="AI103" s="1235">
        <f t="shared" si="505"/>
        <v>8517.9614097697577</v>
      </c>
      <c r="AJ103" s="1235">
        <f t="shared" si="505"/>
        <v>7365.7185946531754</v>
      </c>
      <c r="AK103" s="1235">
        <f t="shared" si="505"/>
        <v>7744.3815502968346</v>
      </c>
      <c r="AL103" s="1236">
        <f t="shared" si="368"/>
        <v>9032.4298573449232</v>
      </c>
      <c r="AM103" s="1235">
        <f t="shared" si="394"/>
        <v>10767.751699666062</v>
      </c>
      <c r="AN103" s="1235">
        <f t="shared" si="394"/>
        <v>9068.2920761288733</v>
      </c>
      <c r="AO103" s="1235">
        <f t="shared" si="394"/>
        <v>8780.343398460629</v>
      </c>
      <c r="AP103" s="1236">
        <f t="shared" si="394"/>
        <v>8558.2998276852377</v>
      </c>
      <c r="AQ103" s="1235">
        <f t="shared" ref="AQ103:AT103" si="506">IF(ISBLANK(AQ246),"",AQ246)</f>
        <v>9141.5772569286164</v>
      </c>
      <c r="AR103" s="1235">
        <f t="shared" si="506"/>
        <v>8061.5434396640903</v>
      </c>
      <c r="AS103" s="1235">
        <f t="shared" si="506"/>
        <v>8098.0895888361283</v>
      </c>
      <c r="AT103" s="1236">
        <f t="shared" si="506"/>
        <v>9879.7162281589626</v>
      </c>
      <c r="AU103" s="1235">
        <f t="shared" ref="AU103:AX103" si="507">IF(ISBLANK(AU246),"",AU246)</f>
        <v>8972.5976330324702</v>
      </c>
      <c r="AV103" s="1235">
        <f t="shared" si="507"/>
        <v>7912.5279535865184</v>
      </c>
      <c r="AW103" s="1235">
        <f t="shared" si="507"/>
        <v>7948.3985569125425</v>
      </c>
      <c r="AX103" s="1236">
        <f t="shared" si="507"/>
        <v>9697.0923017277073</v>
      </c>
      <c r="AY103" s="1342">
        <f t="shared" si="474"/>
        <v>9237.3939264286273</v>
      </c>
      <c r="AZ103" s="1342">
        <f t="shared" si="474"/>
        <v>9237.3939264286273</v>
      </c>
      <c r="BA103" s="1342">
        <f t="shared" si="474"/>
        <v>9237.3939264286273</v>
      </c>
      <c r="BB103" s="1343">
        <f t="shared" si="474"/>
        <v>9237.3939264286273</v>
      </c>
      <c r="BC103" s="2084"/>
      <c r="BD103" s="1237"/>
      <c r="BE103" s="1279">
        <f t="shared" si="446"/>
        <v>7117.1850826572354</v>
      </c>
      <c r="BF103" s="1279">
        <f t="shared" si="447"/>
        <v>8018.9777016001244</v>
      </c>
      <c r="BG103" s="1279">
        <f t="shared" si="448"/>
        <v>9428.3614685979446</v>
      </c>
      <c r="BH103" s="1279">
        <f t="shared" si="449"/>
        <v>7713.8211547882302</v>
      </c>
      <c r="BI103" s="1279">
        <f t="shared" si="450"/>
        <v>8010.746139738374</v>
      </c>
      <c r="BJ103" s="1279">
        <f t="shared" si="451"/>
        <v>9762.5140084957129</v>
      </c>
      <c r="BK103" s="1279">
        <f t="shared" si="452"/>
        <v>9296.7081870823331</v>
      </c>
      <c r="BL103" s="1279">
        <f t="shared" si="453"/>
        <v>8165.1228530161725</v>
      </c>
      <c r="BM103" s="1573">
        <f t="shared" si="454"/>
        <v>9293.6717504852004</v>
      </c>
      <c r="BN103" s="1573">
        <f t="shared" si="455"/>
        <v>8795.2316283969485</v>
      </c>
      <c r="BO103" s="1573">
        <f t="shared" si="456"/>
        <v>8632.6541113148105</v>
      </c>
      <c r="BP103" s="1573">
        <f t="shared" si="457"/>
        <v>9237.3939264286273</v>
      </c>
      <c r="BQ103" s="1205"/>
      <c r="BR103" s="1206"/>
      <c r="BT103" s="2083"/>
      <c r="BU103" s="2072">
        <v>2</v>
      </c>
      <c r="BV103" s="2046" t="s">
        <v>1386</v>
      </c>
      <c r="BW103" s="1924">
        <f t="shared" ref="BW103:CU103" si="508">BW96*$BX$94+(1-BW96)*$BX$93</f>
        <v>0</v>
      </c>
      <c r="BX103" s="1924">
        <f t="shared" si="508"/>
        <v>0</v>
      </c>
      <c r="BY103" s="1924">
        <f t="shared" si="508"/>
        <v>0</v>
      </c>
      <c r="BZ103" s="1924">
        <f t="shared" si="508"/>
        <v>0</v>
      </c>
      <c r="CA103" s="1924">
        <f t="shared" si="508"/>
        <v>0</v>
      </c>
      <c r="CB103" s="1924">
        <f t="shared" si="508"/>
        <v>0</v>
      </c>
      <c r="CC103" s="1924">
        <f t="shared" si="508"/>
        <v>0</v>
      </c>
      <c r="CD103" s="1924">
        <f t="shared" si="508"/>
        <v>0</v>
      </c>
      <c r="CE103" s="1924">
        <f t="shared" si="508"/>
        <v>0</v>
      </c>
      <c r="CF103" s="1924">
        <f t="shared" si="508"/>
        <v>0</v>
      </c>
      <c r="CG103" s="1924">
        <f t="shared" si="508"/>
        <v>0</v>
      </c>
      <c r="CH103" s="1924">
        <f t="shared" si="508"/>
        <v>0</v>
      </c>
      <c r="CI103" s="1924">
        <f t="shared" si="508"/>
        <v>0</v>
      </c>
      <c r="CJ103" s="1924">
        <f t="shared" si="508"/>
        <v>0</v>
      </c>
      <c r="CK103" s="1924">
        <f t="shared" si="508"/>
        <v>0</v>
      </c>
      <c r="CL103" s="1924">
        <f t="shared" si="508"/>
        <v>0</v>
      </c>
      <c r="CM103" s="1924">
        <f t="shared" si="508"/>
        <v>0</v>
      </c>
      <c r="CN103" s="1924">
        <f t="shared" si="508"/>
        <v>0</v>
      </c>
      <c r="CO103" s="1924">
        <f t="shared" si="508"/>
        <v>0</v>
      </c>
      <c r="CP103" s="1924">
        <f t="shared" si="508"/>
        <v>0</v>
      </c>
      <c r="CQ103" s="1924">
        <f t="shared" si="508"/>
        <v>0</v>
      </c>
      <c r="CR103" s="1924">
        <f t="shared" si="508"/>
        <v>0</v>
      </c>
      <c r="CS103" s="1924">
        <f t="shared" si="508"/>
        <v>0</v>
      </c>
      <c r="CT103" s="1924">
        <f t="shared" si="508"/>
        <v>0</v>
      </c>
      <c r="CU103" s="1924">
        <f t="shared" si="508"/>
        <v>0</v>
      </c>
    </row>
    <row r="104" spans="1:99" ht="12.75" customHeight="1">
      <c r="A104" s="1187"/>
      <c r="B104" s="1619"/>
      <c r="C104" s="1621" t="str">
        <f t="shared" si="458"/>
        <v>NI Hub</v>
      </c>
      <c r="D104" s="1621" t="str">
        <f t="shared" si="458"/>
        <v/>
      </c>
      <c r="E104" s="1621" t="str">
        <f t="shared" si="458"/>
        <v/>
      </c>
      <c r="F104" s="1572"/>
      <c r="G104" s="1598">
        <f t="shared" si="366"/>
        <v>5339.309272481165</v>
      </c>
      <c r="H104" s="1597">
        <f t="shared" ref="H104:AK104" si="509">IF(ISBLANK(H247),"",H247)</f>
        <v>5100.5900565632073</v>
      </c>
      <c r="I104" s="1597">
        <f t="shared" si="509"/>
        <v>6006.74992147799</v>
      </c>
      <c r="J104" s="1599">
        <f t="shared" si="509"/>
        <v>5317.3518126357339</v>
      </c>
      <c r="K104" s="1598">
        <f t="shared" si="509"/>
        <v>6734.0496191414031</v>
      </c>
      <c r="L104" s="1597">
        <f t="shared" si="509"/>
        <v>5501.4743918965405</v>
      </c>
      <c r="M104" s="1597">
        <f t="shared" si="509"/>
        <v>6268.4758752189118</v>
      </c>
      <c r="N104" s="1599">
        <f t="shared" si="509"/>
        <v>5985.7267911888366</v>
      </c>
      <c r="O104" s="1598">
        <f t="shared" si="509"/>
        <v>9477.3896272805832</v>
      </c>
      <c r="P104" s="1597">
        <f t="shared" si="509"/>
        <v>8173.946883501706</v>
      </c>
      <c r="Q104" s="1597">
        <f t="shared" si="509"/>
        <v>8259.4192392880977</v>
      </c>
      <c r="R104" s="1597">
        <f t="shared" si="509"/>
        <v>6410.7661597259648</v>
      </c>
      <c r="S104" s="1234">
        <f t="shared" si="509"/>
        <v>7790.1968554542191</v>
      </c>
      <c r="T104" s="1235">
        <f t="shared" si="509"/>
        <v>5959.6264930636416</v>
      </c>
      <c r="U104" s="1235">
        <f t="shared" si="509"/>
        <v>6840.5607736665088</v>
      </c>
      <c r="V104" s="1236">
        <f t="shared" si="509"/>
        <v>6525.372318959221</v>
      </c>
      <c r="W104" s="1235">
        <f t="shared" si="509"/>
        <v>9013.981977331181</v>
      </c>
      <c r="X104" s="1235">
        <f t="shared" si="509"/>
        <v>5435.4274567969042</v>
      </c>
      <c r="Y104" s="1235">
        <f t="shared" si="509"/>
        <v>6191.277648456301</v>
      </c>
      <c r="Z104" s="1236">
        <f t="shared" si="509"/>
        <v>6850.9884407370319</v>
      </c>
      <c r="AA104" s="1235">
        <f t="shared" si="509"/>
        <v>10265.602875410354</v>
      </c>
      <c r="AB104" s="1235">
        <f t="shared" si="509"/>
        <v>6715.6093086897836</v>
      </c>
      <c r="AC104" s="1235">
        <f t="shared" si="509"/>
        <v>7664.0265319712089</v>
      </c>
      <c r="AD104" s="1236">
        <f t="shared" si="509"/>
        <v>9225.6308062235858</v>
      </c>
      <c r="AE104" s="1235">
        <f t="shared" si="509"/>
        <v>9673.625167828357</v>
      </c>
      <c r="AF104" s="1235">
        <f t="shared" si="509"/>
        <v>8570.6534203356659</v>
      </c>
      <c r="AG104" s="1235">
        <f t="shared" si="509"/>
        <v>7452.1855165401403</v>
      </c>
      <c r="AH104" s="1236">
        <f t="shared" si="509"/>
        <v>7408.3223776683062</v>
      </c>
      <c r="AI104" s="1235">
        <f t="shared" si="509"/>
        <v>7667.4563966200603</v>
      </c>
      <c r="AJ104" s="1235">
        <f t="shared" si="509"/>
        <v>6356.9074135752089</v>
      </c>
      <c r="AK104" s="1235">
        <f t="shared" si="509"/>
        <v>6365.0018649239109</v>
      </c>
      <c r="AL104" s="1236">
        <f t="shared" si="368"/>
        <v>7895.7944693923155</v>
      </c>
      <c r="AM104" s="1235">
        <f t="shared" si="394"/>
        <v>8227.0666796054647</v>
      </c>
      <c r="AN104" s="1235">
        <f t="shared" si="394"/>
        <v>7395.1984077621601</v>
      </c>
      <c r="AO104" s="1235">
        <f t="shared" si="394"/>
        <v>7619.8934280639423</v>
      </c>
      <c r="AP104" s="1236">
        <f t="shared" si="394"/>
        <v>7070.6490522688118</v>
      </c>
      <c r="AQ104" s="1235">
        <f t="shared" ref="AQ104:AT104" si="510">IF(ISBLANK(AQ247),"",AQ247)</f>
        <v>9417.0466461005399</v>
      </c>
      <c r="AR104" s="1235">
        <f t="shared" si="510"/>
        <v>7556.0461755771757</v>
      </c>
      <c r="AS104" s="1235">
        <f t="shared" si="510"/>
        <v>7734.2070510855065</v>
      </c>
      <c r="AT104" s="1236">
        <f t="shared" si="510"/>
        <v>6746.2524824277207</v>
      </c>
      <c r="AU104" s="1235">
        <f t="shared" ref="AU104:AX104" si="511">IF(ISBLANK(AU247),"",AU247)</f>
        <v>9420.6351919674853</v>
      </c>
      <c r="AV104" s="1235">
        <f t="shared" si="511"/>
        <v>7558.9255515952455</v>
      </c>
      <c r="AW104" s="1235">
        <f t="shared" si="511"/>
        <v>7737.1543187151901</v>
      </c>
      <c r="AX104" s="1236">
        <f t="shared" si="511"/>
        <v>6748.8232710595485</v>
      </c>
      <c r="AY104" s="1342">
        <f t="shared" si="474"/>
        <v>8439.627676979424</v>
      </c>
      <c r="AZ104" s="1342">
        <f t="shared" si="474"/>
        <v>8439.627676979424</v>
      </c>
      <c r="BA104" s="1342">
        <f t="shared" si="474"/>
        <v>8439.627676979424</v>
      </c>
      <c r="BB104" s="1343">
        <f t="shared" si="474"/>
        <v>8439.627676979424</v>
      </c>
      <c r="BC104" s="2084"/>
      <c r="BD104" s="1237"/>
      <c r="BE104" s="1279">
        <f t="shared" si="446"/>
        <v>5441.0002657895238</v>
      </c>
      <c r="BF104" s="1279">
        <f t="shared" si="447"/>
        <v>6122.4316693614228</v>
      </c>
      <c r="BG104" s="1279">
        <f t="shared" si="448"/>
        <v>8080.3804774490882</v>
      </c>
      <c r="BH104" s="1279">
        <f t="shared" si="449"/>
        <v>6778.9391102858972</v>
      </c>
      <c r="BI104" s="1279">
        <f t="shared" si="450"/>
        <v>6872.9188808303552</v>
      </c>
      <c r="BJ104" s="1279">
        <f t="shared" si="451"/>
        <v>8467.717380573733</v>
      </c>
      <c r="BK104" s="1279">
        <f t="shared" si="452"/>
        <v>8276.1966205931167</v>
      </c>
      <c r="BL104" s="1279">
        <f t="shared" si="453"/>
        <v>7071.2900361278744</v>
      </c>
      <c r="BM104" s="1573">
        <f t="shared" si="454"/>
        <v>7578.201891925095</v>
      </c>
      <c r="BN104" s="1573">
        <f t="shared" si="455"/>
        <v>7863.3880887977357</v>
      </c>
      <c r="BO104" s="1573">
        <f t="shared" si="456"/>
        <v>7866.3845833343676</v>
      </c>
      <c r="BP104" s="1573">
        <f t="shared" si="457"/>
        <v>8439.627676979424</v>
      </c>
      <c r="BQ104" s="1205"/>
      <c r="BR104" s="1206"/>
      <c r="BT104" s="2083"/>
      <c r="BU104" s="2072">
        <v>3</v>
      </c>
      <c r="BV104" s="2046" t="s">
        <v>433</v>
      </c>
      <c r="BW104" s="1924">
        <f t="shared" ref="BW104:CU104" si="512">BW97*$BX$94+(1-BW97)*$BX$93</f>
        <v>0</v>
      </c>
      <c r="BX104" s="1924">
        <f t="shared" si="512"/>
        <v>0</v>
      </c>
      <c r="BY104" s="1924">
        <f t="shared" si="512"/>
        <v>0</v>
      </c>
      <c r="BZ104" s="1924">
        <f t="shared" si="512"/>
        <v>0</v>
      </c>
      <c r="CA104" s="1924">
        <f t="shared" si="512"/>
        <v>0</v>
      </c>
      <c r="CB104" s="1924">
        <f t="shared" si="512"/>
        <v>0</v>
      </c>
      <c r="CC104" s="1924">
        <f t="shared" si="512"/>
        <v>0</v>
      </c>
      <c r="CD104" s="1924">
        <f t="shared" si="512"/>
        <v>0</v>
      </c>
      <c r="CE104" s="1924">
        <f t="shared" si="512"/>
        <v>0</v>
      </c>
      <c r="CF104" s="1924">
        <f t="shared" si="512"/>
        <v>0</v>
      </c>
      <c r="CG104" s="1924">
        <f t="shared" si="512"/>
        <v>0</v>
      </c>
      <c r="CH104" s="1924">
        <f t="shared" si="512"/>
        <v>0</v>
      </c>
      <c r="CI104" s="1924">
        <f t="shared" si="512"/>
        <v>0</v>
      </c>
      <c r="CJ104" s="1924">
        <f t="shared" si="512"/>
        <v>0</v>
      </c>
      <c r="CK104" s="1924">
        <f t="shared" si="512"/>
        <v>0</v>
      </c>
      <c r="CL104" s="1924">
        <f t="shared" si="512"/>
        <v>0</v>
      </c>
      <c r="CM104" s="1924">
        <f t="shared" si="512"/>
        <v>0</v>
      </c>
      <c r="CN104" s="1924">
        <f t="shared" si="512"/>
        <v>0</v>
      </c>
      <c r="CO104" s="1924">
        <f t="shared" si="512"/>
        <v>0</v>
      </c>
      <c r="CP104" s="1924">
        <f t="shared" si="512"/>
        <v>0</v>
      </c>
      <c r="CQ104" s="1924">
        <f t="shared" si="512"/>
        <v>0</v>
      </c>
      <c r="CR104" s="1924">
        <f t="shared" si="512"/>
        <v>0</v>
      </c>
      <c r="CS104" s="1924">
        <f t="shared" si="512"/>
        <v>0</v>
      </c>
      <c r="CT104" s="1924">
        <f t="shared" si="512"/>
        <v>0</v>
      </c>
      <c r="CU104" s="1924">
        <f t="shared" si="512"/>
        <v>0</v>
      </c>
    </row>
    <row r="105" spans="1:99" ht="12.75" customHeight="1">
      <c r="A105" s="1187"/>
      <c r="B105" s="1619"/>
      <c r="C105" s="1621" t="str">
        <f t="shared" si="458"/>
        <v>ERCOT Houston</v>
      </c>
      <c r="D105" s="1621" t="str">
        <f t="shared" si="458"/>
        <v/>
      </c>
      <c r="E105" s="1621" t="str">
        <f t="shared" si="458"/>
        <v/>
      </c>
      <c r="F105" s="1572"/>
      <c r="G105" s="1598">
        <f t="shared" si="366"/>
        <v>6911.9504373250129</v>
      </c>
      <c r="H105" s="1597">
        <f t="shared" ref="H105:AK105" si="513">IF(ISBLANK(H248),"",H248)</f>
        <v>6621.032095301849</v>
      </c>
      <c r="I105" s="1597">
        <f t="shared" si="513"/>
        <v>7456.0304454809211</v>
      </c>
      <c r="J105" s="1599">
        <f t="shared" si="513"/>
        <v>6786.9757708018869</v>
      </c>
      <c r="K105" s="1598">
        <f t="shared" si="513"/>
        <v>7103.6316586257462</v>
      </c>
      <c r="L105" s="1597">
        <f t="shared" si="513"/>
        <v>6489.3612351463817</v>
      </c>
      <c r="M105" s="1597">
        <f t="shared" si="513"/>
        <v>7652.9516182493453</v>
      </c>
      <c r="N105" s="1599">
        <f t="shared" si="513"/>
        <v>7018.4711655947503</v>
      </c>
      <c r="O105" s="1598">
        <f t="shared" si="513"/>
        <v>7952.8432404796031</v>
      </c>
      <c r="P105" s="1597">
        <f t="shared" si="513"/>
        <v>7515.6719478298664</v>
      </c>
      <c r="Q105" s="1597">
        <f t="shared" si="513"/>
        <v>7355.2985870752173</v>
      </c>
      <c r="R105" s="1597">
        <f t="shared" si="513"/>
        <v>6558.0613022094312</v>
      </c>
      <c r="S105" s="1234">
        <f t="shared" si="513"/>
        <v>6674.9226754832425</v>
      </c>
      <c r="T105" s="1235">
        <f t="shared" si="513"/>
        <v>6638.422412018157</v>
      </c>
      <c r="U105" s="1235">
        <f t="shared" si="513"/>
        <v>7223.9917476319215</v>
      </c>
      <c r="V105" s="1236">
        <f t="shared" si="513"/>
        <v>7084.8548714796698</v>
      </c>
      <c r="W105" s="1235">
        <f t="shared" si="513"/>
        <v>6140.4918444926798</v>
      </c>
      <c r="X105" s="1235">
        <f t="shared" si="513"/>
        <v>6818.4558455411725</v>
      </c>
      <c r="Y105" s="1235">
        <f t="shared" si="513"/>
        <v>7269.96105521761</v>
      </c>
      <c r="Z105" s="1236">
        <f t="shared" si="513"/>
        <v>6682.661837208123</v>
      </c>
      <c r="AA105" s="1235">
        <f t="shared" si="513"/>
        <v>7652.4945449900451</v>
      </c>
      <c r="AB105" s="1235">
        <f t="shared" si="513"/>
        <v>7888.8594888397292</v>
      </c>
      <c r="AC105" s="1235">
        <f t="shared" si="513"/>
        <v>7345.5237671149316</v>
      </c>
      <c r="AD105" s="1236">
        <f t="shared" si="513"/>
        <v>7529.6000602417816</v>
      </c>
      <c r="AE105" s="1235">
        <f t="shared" si="513"/>
        <v>6964.2929599013441</v>
      </c>
      <c r="AF105" s="1235">
        <f t="shared" si="513"/>
        <v>6980.8570592020815</v>
      </c>
      <c r="AG105" s="1235">
        <f t="shared" si="513"/>
        <v>8164.8402063845024</v>
      </c>
      <c r="AH105" s="1236">
        <f t="shared" si="513"/>
        <v>6140.7448147131954</v>
      </c>
      <c r="AI105" s="1235">
        <f t="shared" si="513"/>
        <v>6430.7867145184991</v>
      </c>
      <c r="AJ105" s="1235">
        <f t="shared" si="513"/>
        <v>7962.6791325077083</v>
      </c>
      <c r="AK105" s="1235">
        <f t="shared" si="513"/>
        <v>7713.7262070746765</v>
      </c>
      <c r="AL105" s="1236">
        <f t="shared" si="368"/>
        <v>6923.2312215922902</v>
      </c>
      <c r="AM105" s="1235">
        <f t="shared" si="394"/>
        <v>6480.3957229260004</v>
      </c>
      <c r="AN105" s="1235">
        <f t="shared" si="394"/>
        <v>8543.5526806816761</v>
      </c>
      <c r="AO105" s="1235">
        <f t="shared" si="394"/>
        <v>10269.102427471877</v>
      </c>
      <c r="AP105" s="1236">
        <f t="shared" si="394"/>
        <v>6963.1533601378515</v>
      </c>
      <c r="AQ105" s="1235">
        <f t="shared" ref="AQ105:AT105" si="514">IF(ISBLANK(AQ248),"",AQ248)</f>
        <v>7207.7953169845769</v>
      </c>
      <c r="AR105" s="1235">
        <f t="shared" si="514"/>
        <v>7543.9435635063273</v>
      </c>
      <c r="AS105" s="1235">
        <f t="shared" si="514"/>
        <v>9213.4837628008991</v>
      </c>
      <c r="AT105" s="1236">
        <f t="shared" si="514"/>
        <v>6685.4577110965065</v>
      </c>
      <c r="AU105" s="1235">
        <f t="shared" ref="AU105:AX105" si="515">IF(ISBLANK(AU248),"",AU248)</f>
        <v>7169.198552229147</v>
      </c>
      <c r="AV105" s="1235">
        <f t="shared" si="515"/>
        <v>7503.5467705559522</v>
      </c>
      <c r="AW105" s="1235">
        <f t="shared" si="515"/>
        <v>9164.1468088875699</v>
      </c>
      <c r="AX105" s="1236">
        <f t="shared" si="515"/>
        <v>6649.6579932619125</v>
      </c>
      <c r="AY105" s="1342">
        <f t="shared" ref="AY105:BB107" si="516">IF(ISBLANK(AY248),"",IF(Uplift="Yes",AY248+$BY$111,AY248))</f>
        <v>6934.3630362278864</v>
      </c>
      <c r="AZ105" s="1342">
        <f t="shared" si="516"/>
        <v>7257.7592861020321</v>
      </c>
      <c r="BA105" s="1342">
        <f t="shared" si="516"/>
        <v>8863.9644204520755</v>
      </c>
      <c r="BB105" s="1343">
        <f t="shared" si="516"/>
        <v>6431.8406382670464</v>
      </c>
      <c r="BC105" s="2084"/>
      <c r="BD105" s="1237"/>
      <c r="BE105" s="1279">
        <f t="shared" si="446"/>
        <v>6943.9971872274182</v>
      </c>
      <c r="BF105" s="1279">
        <f t="shared" si="447"/>
        <v>7066.1039194040559</v>
      </c>
      <c r="BG105" s="1279">
        <f t="shared" si="448"/>
        <v>7345.4687693985288</v>
      </c>
      <c r="BH105" s="1279">
        <f t="shared" si="449"/>
        <v>6905.5479266532475</v>
      </c>
      <c r="BI105" s="1279">
        <f t="shared" si="450"/>
        <v>6727.8926456148965</v>
      </c>
      <c r="BJ105" s="1279">
        <f t="shared" si="451"/>
        <v>7604.1194652966215</v>
      </c>
      <c r="BK105" s="1279">
        <f t="shared" si="452"/>
        <v>7062.6837600502804</v>
      </c>
      <c r="BL105" s="1279">
        <f t="shared" si="453"/>
        <v>7257.6058189232936</v>
      </c>
      <c r="BM105" s="1573">
        <f t="shared" si="454"/>
        <v>8064.0510478043507</v>
      </c>
      <c r="BN105" s="1573">
        <f t="shared" si="455"/>
        <v>7662.6700885970777</v>
      </c>
      <c r="BO105" s="1573">
        <f t="shared" si="456"/>
        <v>7621.6375312336459</v>
      </c>
      <c r="BP105" s="1573">
        <f t="shared" si="457"/>
        <v>7371.9818452622603</v>
      </c>
      <c r="BQ105" s="1205"/>
      <c r="BR105" s="1206"/>
      <c r="BT105" s="2083"/>
      <c r="BU105" s="2072">
        <v>4</v>
      </c>
      <c r="BV105" s="2046" t="s">
        <v>1207</v>
      </c>
      <c r="BW105" s="1924">
        <f t="shared" ref="BW105:CU105" si="517">BW98*$BX$94+(1-BW98)*$BX$93</f>
        <v>0</v>
      </c>
      <c r="BX105" s="1924">
        <f t="shared" si="517"/>
        <v>0</v>
      </c>
      <c r="BY105" s="1924">
        <f t="shared" si="517"/>
        <v>0</v>
      </c>
      <c r="BZ105" s="1924">
        <f t="shared" si="517"/>
        <v>0</v>
      </c>
      <c r="CA105" s="1924">
        <f t="shared" si="517"/>
        <v>0</v>
      </c>
      <c r="CB105" s="1924">
        <f t="shared" si="517"/>
        <v>0</v>
      </c>
      <c r="CC105" s="1924">
        <f t="shared" si="517"/>
        <v>0</v>
      </c>
      <c r="CD105" s="1924">
        <f t="shared" si="517"/>
        <v>0</v>
      </c>
      <c r="CE105" s="1924">
        <f t="shared" si="517"/>
        <v>0</v>
      </c>
      <c r="CF105" s="1924">
        <f t="shared" si="517"/>
        <v>0</v>
      </c>
      <c r="CG105" s="1924">
        <f t="shared" si="517"/>
        <v>0</v>
      </c>
      <c r="CH105" s="1924">
        <f t="shared" si="517"/>
        <v>0</v>
      </c>
      <c r="CI105" s="1924">
        <f t="shared" si="517"/>
        <v>0</v>
      </c>
      <c r="CJ105" s="1924">
        <f t="shared" si="517"/>
        <v>0</v>
      </c>
      <c r="CK105" s="1924">
        <f t="shared" si="517"/>
        <v>0</v>
      </c>
      <c r="CL105" s="1924">
        <f t="shared" si="517"/>
        <v>0</v>
      </c>
      <c r="CM105" s="1924">
        <f t="shared" si="517"/>
        <v>0</v>
      </c>
      <c r="CN105" s="1924">
        <f t="shared" si="517"/>
        <v>0</v>
      </c>
      <c r="CO105" s="1924">
        <f t="shared" si="517"/>
        <v>0</v>
      </c>
      <c r="CP105" s="1924">
        <f t="shared" si="517"/>
        <v>0</v>
      </c>
      <c r="CQ105" s="1924">
        <f t="shared" si="517"/>
        <v>0</v>
      </c>
      <c r="CR105" s="1924">
        <f t="shared" si="517"/>
        <v>0</v>
      </c>
      <c r="CS105" s="1924">
        <f t="shared" si="517"/>
        <v>0</v>
      </c>
      <c r="CT105" s="1924">
        <f t="shared" si="517"/>
        <v>0</v>
      </c>
      <c r="CU105" s="1924">
        <f t="shared" si="517"/>
        <v>0</v>
      </c>
    </row>
    <row r="106" spans="1:99" ht="12.75" customHeight="1">
      <c r="A106" s="1187"/>
      <c r="B106" s="1619"/>
      <c r="C106" s="1621" t="str">
        <f t="shared" si="458"/>
        <v>ERCOT North</v>
      </c>
      <c r="D106" s="1621" t="str">
        <f t="shared" si="458"/>
        <v/>
      </c>
      <c r="E106" s="1621" t="str">
        <f t="shared" si="458"/>
        <v/>
      </c>
      <c r="F106" s="1572"/>
      <c r="G106" s="1598">
        <f t="shared" si="366"/>
        <v>6956.775640795453</v>
      </c>
      <c r="H106" s="1597">
        <f t="shared" ref="H106:AK106" si="518">IF(ISBLANK(H249),"",H249)</f>
        <v>6579.7184516400084</v>
      </c>
      <c r="I106" s="1597">
        <f t="shared" si="518"/>
        <v>7383.37060324907</v>
      </c>
      <c r="J106" s="1599">
        <f t="shared" si="518"/>
        <v>6769.6404409553197</v>
      </c>
      <c r="K106" s="1598">
        <f t="shared" si="518"/>
        <v>7202.0850094799453</v>
      </c>
      <c r="L106" s="1597">
        <f t="shared" si="518"/>
        <v>6420.214829248016</v>
      </c>
      <c r="M106" s="1597">
        <f t="shared" si="518"/>
        <v>7575.5365463257504</v>
      </c>
      <c r="N106" s="1599">
        <f t="shared" si="518"/>
        <v>7086.1451129407897</v>
      </c>
      <c r="O106" s="1598">
        <f t="shared" si="518"/>
        <v>7943.4548333544453</v>
      </c>
      <c r="P106" s="1597">
        <f t="shared" si="518"/>
        <v>7525.8237354826097</v>
      </c>
      <c r="Q106" s="1597">
        <f t="shared" si="518"/>
        <v>7232.7025992394247</v>
      </c>
      <c r="R106" s="1597">
        <f t="shared" si="518"/>
        <v>6745.6184695244247</v>
      </c>
      <c r="S106" s="1234">
        <f t="shared" si="518"/>
        <v>6668.1229270336653</v>
      </c>
      <c r="T106" s="1235">
        <f t="shared" si="518"/>
        <v>6535.4293137657605</v>
      </c>
      <c r="U106" s="1235">
        <f t="shared" si="518"/>
        <v>7147.865663393176</v>
      </c>
      <c r="V106" s="1236">
        <f t="shared" si="518"/>
        <v>6981.8886000345046</v>
      </c>
      <c r="W106" s="1235">
        <f t="shared" si="518"/>
        <v>6182.9907384190228</v>
      </c>
      <c r="X106" s="1235">
        <f t="shared" si="518"/>
        <v>6785.8365945503001</v>
      </c>
      <c r="Y106" s="1235">
        <f t="shared" si="518"/>
        <v>7136.6442103725694</v>
      </c>
      <c r="Z106" s="1236">
        <f t="shared" si="518"/>
        <v>6702.3457070216837</v>
      </c>
      <c r="AA106" s="1235">
        <f t="shared" si="518"/>
        <v>7664.6160360806507</v>
      </c>
      <c r="AB106" s="1235">
        <f t="shared" si="518"/>
        <v>7048.9520285495655</v>
      </c>
      <c r="AC106" s="1235">
        <f t="shared" si="518"/>
        <v>7197.670615244313</v>
      </c>
      <c r="AD106" s="1236">
        <f t="shared" si="518"/>
        <v>7101.8354351902599</v>
      </c>
      <c r="AE106" s="1235">
        <f t="shared" si="518"/>
        <v>6945.1239071268637</v>
      </c>
      <c r="AF106" s="1235">
        <f t="shared" si="518"/>
        <v>6861.101172272105</v>
      </c>
      <c r="AG106" s="1235">
        <f t="shared" si="518"/>
        <v>7251.121749054284</v>
      </c>
      <c r="AH106" s="1236">
        <f t="shared" si="518"/>
        <v>6022.5093589603321</v>
      </c>
      <c r="AI106" s="1235">
        <f t="shared" si="518"/>
        <v>5878.8543969869743</v>
      </c>
      <c r="AJ106" s="1235">
        <f t="shared" si="518"/>
        <v>6363.7110064538647</v>
      </c>
      <c r="AK106" s="1235">
        <f t="shared" si="518"/>
        <v>7360.8455434858543</v>
      </c>
      <c r="AL106" s="1236">
        <f t="shared" si="368"/>
        <v>6251.0403871722756</v>
      </c>
      <c r="AM106" s="1235">
        <f t="shared" si="394"/>
        <v>6199.6866590289592</v>
      </c>
      <c r="AN106" s="1235">
        <f t="shared" si="394"/>
        <v>7716.3353650951622</v>
      </c>
      <c r="AO106" s="1235">
        <f t="shared" si="394"/>
        <v>10174.371817643576</v>
      </c>
      <c r="AP106" s="1236">
        <f t="shared" si="394"/>
        <v>6681.7059161401476</v>
      </c>
      <c r="AQ106" s="1235">
        <f t="shared" ref="AQ106:AT106" si="519">IF(ISBLANK(AQ249),"",AQ249)</f>
        <v>6960.4803932414106</v>
      </c>
      <c r="AR106" s="1235">
        <f t="shared" si="519"/>
        <v>7040.2791244410537</v>
      </c>
      <c r="AS106" s="1235">
        <f t="shared" si="519"/>
        <v>8992.7280873911477</v>
      </c>
      <c r="AT106" s="1236">
        <f t="shared" si="519"/>
        <v>6121.8589841224284</v>
      </c>
      <c r="AU106" s="1235">
        <f t="shared" ref="AU106:AX106" si="520">IF(ISBLANK(AU249),"",AU249)</f>
        <v>6833.8195343448451</v>
      </c>
      <c r="AV106" s="1235">
        <f t="shared" si="520"/>
        <v>6912.1661566006269</v>
      </c>
      <c r="AW106" s="1235">
        <f t="shared" si="520"/>
        <v>8829.0861260578167</v>
      </c>
      <c r="AX106" s="1236">
        <f t="shared" si="520"/>
        <v>6010.4586391511948</v>
      </c>
      <c r="AY106" s="1342">
        <f t="shared" si="516"/>
        <v>6536.1986425108153</v>
      </c>
      <c r="AZ106" s="1342">
        <f t="shared" si="516"/>
        <v>6611.1331770650186</v>
      </c>
      <c r="BA106" s="1342">
        <f t="shared" si="516"/>
        <v>8444.5690234754893</v>
      </c>
      <c r="BB106" s="1343">
        <f t="shared" si="516"/>
        <v>5748.6960843272727</v>
      </c>
      <c r="BC106" s="2084"/>
      <c r="BD106" s="1237"/>
      <c r="BE106" s="1279">
        <f t="shared" si="446"/>
        <v>6922.3762841599637</v>
      </c>
      <c r="BF106" s="1279">
        <f t="shared" si="447"/>
        <v>7070.995374498626</v>
      </c>
      <c r="BG106" s="1279">
        <f t="shared" si="448"/>
        <v>7361.8999094002265</v>
      </c>
      <c r="BH106" s="1279">
        <f t="shared" si="449"/>
        <v>6833.3266260567761</v>
      </c>
      <c r="BI106" s="1279">
        <f t="shared" si="450"/>
        <v>6701.9543125908931</v>
      </c>
      <c r="BJ106" s="1279">
        <f t="shared" si="451"/>
        <v>7253.2685287661971</v>
      </c>
      <c r="BK106" s="1279">
        <f t="shared" si="452"/>
        <v>6769.9640468533962</v>
      </c>
      <c r="BL106" s="1279">
        <f t="shared" si="453"/>
        <v>6463.6128335247431</v>
      </c>
      <c r="BM106" s="1573">
        <f t="shared" si="454"/>
        <v>7693.0249394769617</v>
      </c>
      <c r="BN106" s="1573">
        <f t="shared" si="455"/>
        <v>7278.8366472990101</v>
      </c>
      <c r="BO106" s="1573">
        <f t="shared" si="456"/>
        <v>7146.3826140386209</v>
      </c>
      <c r="BP106" s="1573">
        <f t="shared" si="457"/>
        <v>6835.1492318446481</v>
      </c>
      <c r="BQ106" s="1205"/>
      <c r="BR106" s="1206"/>
      <c r="BT106" s="2083"/>
      <c r="BU106" s="2072">
        <v>5</v>
      </c>
      <c r="BV106" s="2046" t="s">
        <v>459</v>
      </c>
      <c r="BW106" s="1924">
        <f t="shared" ref="BW106:CU106" si="521">BW99*$BX$94+(1-BW99)*$BX$93</f>
        <v>0</v>
      </c>
      <c r="BX106" s="1924">
        <f t="shared" si="521"/>
        <v>0</v>
      </c>
      <c r="BY106" s="1924">
        <f t="shared" si="521"/>
        <v>0</v>
      </c>
      <c r="BZ106" s="1924">
        <f t="shared" si="521"/>
        <v>0</v>
      </c>
      <c r="CA106" s="1924">
        <f t="shared" si="521"/>
        <v>0</v>
      </c>
      <c r="CB106" s="1924">
        <f t="shared" si="521"/>
        <v>0</v>
      </c>
      <c r="CC106" s="1924">
        <f t="shared" si="521"/>
        <v>0</v>
      </c>
      <c r="CD106" s="1924">
        <f t="shared" si="521"/>
        <v>0</v>
      </c>
      <c r="CE106" s="1924">
        <f t="shared" si="521"/>
        <v>0</v>
      </c>
      <c r="CF106" s="1924">
        <f t="shared" si="521"/>
        <v>0</v>
      </c>
      <c r="CG106" s="1924">
        <f t="shared" si="521"/>
        <v>0</v>
      </c>
      <c r="CH106" s="1924">
        <f t="shared" si="521"/>
        <v>0</v>
      </c>
      <c r="CI106" s="1924">
        <f t="shared" si="521"/>
        <v>0</v>
      </c>
      <c r="CJ106" s="1924">
        <f t="shared" si="521"/>
        <v>0</v>
      </c>
      <c r="CK106" s="1924">
        <f t="shared" si="521"/>
        <v>0</v>
      </c>
      <c r="CL106" s="1924">
        <f t="shared" si="521"/>
        <v>0</v>
      </c>
      <c r="CM106" s="1924">
        <f t="shared" si="521"/>
        <v>0</v>
      </c>
      <c r="CN106" s="1924">
        <f t="shared" si="521"/>
        <v>0</v>
      </c>
      <c r="CO106" s="1924">
        <f t="shared" si="521"/>
        <v>0</v>
      </c>
      <c r="CP106" s="1924">
        <f t="shared" si="521"/>
        <v>0</v>
      </c>
      <c r="CQ106" s="1924">
        <f t="shared" si="521"/>
        <v>0</v>
      </c>
      <c r="CR106" s="1924">
        <f t="shared" si="521"/>
        <v>0</v>
      </c>
      <c r="CS106" s="1924">
        <f t="shared" si="521"/>
        <v>0</v>
      </c>
      <c r="CT106" s="1924">
        <f t="shared" si="521"/>
        <v>0</v>
      </c>
      <c r="CU106" s="1924">
        <f t="shared" si="521"/>
        <v>0</v>
      </c>
    </row>
    <row r="107" spans="1:99" ht="12.75" customHeight="1">
      <c r="A107" s="1187"/>
      <c r="B107" s="1619"/>
      <c r="C107" s="1621" t="str">
        <f t="shared" si="458"/>
        <v>ERCOT South</v>
      </c>
      <c r="D107" s="1621" t="str">
        <f t="shared" si="458"/>
        <v/>
      </c>
      <c r="E107" s="1621" t="str">
        <f t="shared" si="458"/>
        <v/>
      </c>
      <c r="F107" s="1572"/>
      <c r="G107" s="1598">
        <f t="shared" si="366"/>
        <v>6864.4777044040256</v>
      </c>
      <c r="H107" s="1597">
        <f t="shared" ref="H107:AK107" si="522">IF(ISBLANK(H250),"",H250)</f>
        <v>6562.8970251557994</v>
      </c>
      <c r="I107" s="1597">
        <f t="shared" si="522"/>
        <v>7414.7110582687419</v>
      </c>
      <c r="J107" s="1599">
        <f t="shared" si="522"/>
        <v>6679.1141503791168</v>
      </c>
      <c r="K107" s="1598">
        <f t="shared" si="522"/>
        <v>7138.8046808257704</v>
      </c>
      <c r="L107" s="1597">
        <f t="shared" si="522"/>
        <v>6258.087014167384</v>
      </c>
      <c r="M107" s="1597">
        <f t="shared" si="522"/>
        <v>7523.249636289559</v>
      </c>
      <c r="N107" s="1599">
        <f t="shared" si="522"/>
        <v>7174.579060258885</v>
      </c>
      <c r="O107" s="1598">
        <f t="shared" si="522"/>
        <v>7873.2744080347829</v>
      </c>
      <c r="P107" s="1597">
        <f t="shared" si="522"/>
        <v>7431.2884796307553</v>
      </c>
      <c r="Q107" s="1597">
        <f t="shared" si="522"/>
        <v>7334.1288032927387</v>
      </c>
      <c r="R107" s="1597">
        <f t="shared" si="522"/>
        <v>6585.3989518402341</v>
      </c>
      <c r="S107" s="1234">
        <f t="shared" si="522"/>
        <v>6652.2606369130135</v>
      </c>
      <c r="T107" s="1235">
        <f t="shared" si="522"/>
        <v>6539.4547394260053</v>
      </c>
      <c r="U107" s="1235">
        <f t="shared" si="522"/>
        <v>7184.9101755550391</v>
      </c>
      <c r="V107" s="1236">
        <f t="shared" si="522"/>
        <v>6986.060144475985</v>
      </c>
      <c r="W107" s="1235">
        <f t="shared" si="522"/>
        <v>6142.7701878695543</v>
      </c>
      <c r="X107" s="1235">
        <f t="shared" si="522"/>
        <v>6706.9196289195888</v>
      </c>
      <c r="Y107" s="1235">
        <f t="shared" si="522"/>
        <v>7191.2801571027721</v>
      </c>
      <c r="Z107" s="1236">
        <f t="shared" si="522"/>
        <v>6691.3524756882343</v>
      </c>
      <c r="AA107" s="1235">
        <f t="shared" si="522"/>
        <v>7683.5517405383844</v>
      </c>
      <c r="AB107" s="1235">
        <f t="shared" si="522"/>
        <v>7477.9551606525392</v>
      </c>
      <c r="AC107" s="1235">
        <f t="shared" si="522"/>
        <v>7273.2045800322394</v>
      </c>
      <c r="AD107" s="1236">
        <f t="shared" si="522"/>
        <v>7297.8688266327545</v>
      </c>
      <c r="AE107" s="1235">
        <f t="shared" si="522"/>
        <v>6825.5682022125657</v>
      </c>
      <c r="AF107" s="1235">
        <f t="shared" si="522"/>
        <v>6812.7741649171348</v>
      </c>
      <c r="AG107" s="1235">
        <f t="shared" si="522"/>
        <v>7454.9666094076501</v>
      </c>
      <c r="AH107" s="1236">
        <f t="shared" si="522"/>
        <v>6130.1227783855711</v>
      </c>
      <c r="AI107" s="1235">
        <f t="shared" si="522"/>
        <v>5895.9354557555907</v>
      </c>
      <c r="AJ107" s="1235">
        <f t="shared" si="522"/>
        <v>7064.5603116460243</v>
      </c>
      <c r="AK107" s="1235">
        <f t="shared" si="522"/>
        <v>7856.3102926990641</v>
      </c>
      <c r="AL107" s="1236">
        <f t="shared" si="368"/>
        <v>6693.0932220303657</v>
      </c>
      <c r="AM107" s="1235">
        <f t="shared" ref="AM107:AP126" si="523">IF(ISBLANK(AM250),"",AM250)</f>
        <v>6308.6390155305817</v>
      </c>
      <c r="AN107" s="1235">
        <f t="shared" si="523"/>
        <v>8300.9851971638291</v>
      </c>
      <c r="AO107" s="1235">
        <f t="shared" si="523"/>
        <v>10559.214920071048</v>
      </c>
      <c r="AP107" s="1236">
        <f t="shared" si="523"/>
        <v>6991.8724870763926</v>
      </c>
      <c r="AQ107" s="1235">
        <f t="shared" ref="AQ107:AT107" si="524">IF(ISBLANK(AQ250),"",AQ250)</f>
        <v>7308.293740592273</v>
      </c>
      <c r="AR107" s="1235">
        <f t="shared" si="524"/>
        <v>7573.1759724842441</v>
      </c>
      <c r="AS107" s="1235">
        <f t="shared" si="524"/>
        <v>9344.5082187459211</v>
      </c>
      <c r="AT107" s="1236">
        <f t="shared" si="524"/>
        <v>6521.5722220472508</v>
      </c>
      <c r="AU107" s="1235">
        <f t="shared" ref="AU107:AX107" si="525">IF(ISBLANK(AU250),"",AU250)</f>
        <v>7193.750633657809</v>
      </c>
      <c r="AV107" s="1235">
        <f t="shared" si="525"/>
        <v>7454.4813583868809</v>
      </c>
      <c r="AW107" s="1235">
        <f t="shared" si="525"/>
        <v>9198.0514612397492</v>
      </c>
      <c r="AX107" s="1236">
        <f t="shared" si="525"/>
        <v>6419.3594250626784</v>
      </c>
      <c r="AY107" s="1342">
        <f t="shared" si="516"/>
        <v>6930.4910839990544</v>
      </c>
      <c r="AZ107" s="1342">
        <f t="shared" si="516"/>
        <v>7181.6802139926585</v>
      </c>
      <c r="BA107" s="1342">
        <f t="shared" si="516"/>
        <v>8861.4433400053931</v>
      </c>
      <c r="BB107" s="1343">
        <f t="shared" si="516"/>
        <v>6184.4391786709302</v>
      </c>
      <c r="BC107" s="2084"/>
      <c r="BD107" s="1237"/>
      <c r="BE107" s="1279">
        <f t="shared" si="446"/>
        <v>6880.2999845519207</v>
      </c>
      <c r="BF107" s="1279">
        <f t="shared" si="447"/>
        <v>7023.6800978853998</v>
      </c>
      <c r="BG107" s="1279">
        <f t="shared" si="448"/>
        <v>7306.0226606996284</v>
      </c>
      <c r="BH107" s="1279">
        <f t="shared" si="449"/>
        <v>6840.6714240925112</v>
      </c>
      <c r="BI107" s="1279">
        <f t="shared" si="450"/>
        <v>6683.080612395037</v>
      </c>
      <c r="BJ107" s="1279">
        <f t="shared" si="451"/>
        <v>7433.1450769639796</v>
      </c>
      <c r="BK107" s="1279">
        <f t="shared" si="452"/>
        <v>6805.8579387307309</v>
      </c>
      <c r="BL107" s="1279">
        <f t="shared" si="453"/>
        <v>6877.4748205327614</v>
      </c>
      <c r="BM107" s="1573">
        <f t="shared" si="454"/>
        <v>8040.1779049604629</v>
      </c>
      <c r="BN107" s="1573">
        <f t="shared" si="455"/>
        <v>7686.8875384674229</v>
      </c>
      <c r="BO107" s="1573">
        <f t="shared" si="456"/>
        <v>7566.4107195867791</v>
      </c>
      <c r="BP107" s="1573">
        <f t="shared" si="457"/>
        <v>7289.5134541670095</v>
      </c>
      <c r="BQ107" s="1205"/>
      <c r="BR107" s="1206"/>
      <c r="BT107" s="2083"/>
      <c r="BU107" s="2072">
        <v>6</v>
      </c>
      <c r="BV107" s="2046" t="s">
        <v>202</v>
      </c>
      <c r="BW107" s="1924">
        <f t="shared" ref="BW107:CU107" si="526">BW100*$BX$94+(1-BW100)*$BX$93</f>
        <v>0</v>
      </c>
      <c r="BX107" s="1924">
        <f t="shared" si="526"/>
        <v>0</v>
      </c>
      <c r="BY107" s="1924">
        <f t="shared" si="526"/>
        <v>0</v>
      </c>
      <c r="BZ107" s="1924">
        <f t="shared" si="526"/>
        <v>0</v>
      </c>
      <c r="CA107" s="1924">
        <f t="shared" si="526"/>
        <v>0</v>
      </c>
      <c r="CB107" s="1924">
        <f t="shared" si="526"/>
        <v>0</v>
      </c>
      <c r="CC107" s="1924">
        <f t="shared" si="526"/>
        <v>0</v>
      </c>
      <c r="CD107" s="1924">
        <f t="shared" si="526"/>
        <v>0</v>
      </c>
      <c r="CE107" s="1924">
        <f t="shared" si="526"/>
        <v>0</v>
      </c>
      <c r="CF107" s="1924">
        <f t="shared" si="526"/>
        <v>0</v>
      </c>
      <c r="CG107" s="1924">
        <f t="shared" si="526"/>
        <v>0</v>
      </c>
      <c r="CH107" s="1924">
        <f t="shared" si="526"/>
        <v>0</v>
      </c>
      <c r="CI107" s="1924">
        <f t="shared" si="526"/>
        <v>0</v>
      </c>
      <c r="CJ107" s="1924">
        <f t="shared" si="526"/>
        <v>0</v>
      </c>
      <c r="CK107" s="1924">
        <f t="shared" si="526"/>
        <v>0</v>
      </c>
      <c r="CL107" s="1924">
        <f t="shared" si="526"/>
        <v>0</v>
      </c>
      <c r="CM107" s="1924">
        <f t="shared" si="526"/>
        <v>0</v>
      </c>
      <c r="CN107" s="1924">
        <f t="shared" si="526"/>
        <v>0</v>
      </c>
      <c r="CO107" s="1924">
        <f t="shared" si="526"/>
        <v>0</v>
      </c>
      <c r="CP107" s="1924">
        <f t="shared" si="526"/>
        <v>0</v>
      </c>
      <c r="CQ107" s="1924">
        <f t="shared" si="526"/>
        <v>0</v>
      </c>
      <c r="CR107" s="1924">
        <f t="shared" si="526"/>
        <v>0</v>
      </c>
      <c r="CS107" s="1924">
        <f t="shared" si="526"/>
        <v>0</v>
      </c>
      <c r="CT107" s="1924">
        <f t="shared" si="526"/>
        <v>0</v>
      </c>
      <c r="CU107" s="1924">
        <f t="shared" si="526"/>
        <v>0</v>
      </c>
    </row>
    <row r="108" spans="1:99" ht="12.75" customHeight="1">
      <c r="A108" s="1187"/>
      <c r="B108" s="1619"/>
      <c r="C108" s="1621" t="str">
        <f t="shared" si="458"/>
        <v>Palo Verde</v>
      </c>
      <c r="D108" s="1621" t="str">
        <f t="shared" si="458"/>
        <v/>
      </c>
      <c r="E108" s="1621" t="str">
        <f t="shared" si="458"/>
        <v/>
      </c>
      <c r="F108" s="1572"/>
      <c r="G108" s="1598">
        <f t="shared" si="366"/>
        <v>6542.4121405750793</v>
      </c>
      <c r="H108" s="1597">
        <f t="shared" ref="H108:AK108" si="527">IF(ISBLANK(H251),"",H251)</f>
        <v>6271.3601770080304</v>
      </c>
      <c r="I108" s="1597">
        <f t="shared" si="527"/>
        <v>7021.4112476857217</v>
      </c>
      <c r="J108" s="1599">
        <f t="shared" si="527"/>
        <v>6733.6908270051736</v>
      </c>
      <c r="K108" s="1598">
        <f t="shared" si="527"/>
        <v>4947.8024200898235</v>
      </c>
      <c r="L108" s="1597">
        <f t="shared" si="527"/>
        <v>3639.4677482772172</v>
      </c>
      <c r="M108" s="1597">
        <f t="shared" si="527"/>
        <v>5747.6866885726586</v>
      </c>
      <c r="N108" s="1599">
        <f t="shared" si="527"/>
        <v>6628.5228267586781</v>
      </c>
      <c r="O108" s="1598">
        <f t="shared" si="527"/>
        <v>7140.6532375369161</v>
      </c>
      <c r="P108" s="1597">
        <f t="shared" si="527"/>
        <v>6382.371966804455</v>
      </c>
      <c r="Q108" s="1597">
        <f t="shared" si="527"/>
        <v>6483.5540521088269</v>
      </c>
      <c r="R108" s="1597">
        <f t="shared" si="527"/>
        <v>6726.4830833685282</v>
      </c>
      <c r="S108" s="1234">
        <f t="shared" si="527"/>
        <v>7205.7973591784121</v>
      </c>
      <c r="T108" s="1235">
        <f t="shared" si="527"/>
        <v>6357.537844012214</v>
      </c>
      <c r="U108" s="1235">
        <f t="shared" si="527"/>
        <v>6423.4820897102254</v>
      </c>
      <c r="V108" s="1236">
        <f t="shared" si="527"/>
        <v>7229.6977497861471</v>
      </c>
      <c r="W108" s="1235">
        <f t="shared" si="527"/>
        <v>6790.8520186587984</v>
      </c>
      <c r="X108" s="1235">
        <f t="shared" si="527"/>
        <v>6349.6655319918109</v>
      </c>
      <c r="Y108" s="1235">
        <f t="shared" si="527"/>
        <v>7036.4214757575519</v>
      </c>
      <c r="Z108" s="1236">
        <f t="shared" si="527"/>
        <v>6665.5421283905716</v>
      </c>
      <c r="AA108" s="1235">
        <f t="shared" si="527"/>
        <v>7686.8419302083648</v>
      </c>
      <c r="AB108" s="1235">
        <f t="shared" si="527"/>
        <v>7549.5235262753986</v>
      </c>
      <c r="AC108" s="1235">
        <f t="shared" si="527"/>
        <v>7870.964586340303</v>
      </c>
      <c r="AD108" s="1236">
        <f t="shared" si="527"/>
        <v>7947.0472842148192</v>
      </c>
      <c r="AE108" s="1235">
        <f t="shared" si="527"/>
        <v>8041.4196020612753</v>
      </c>
      <c r="AF108" s="1235">
        <f t="shared" si="527"/>
        <v>7252.5359380326045</v>
      </c>
      <c r="AG108" s="1235">
        <f t="shared" si="527"/>
        <v>7589.9916495196767</v>
      </c>
      <c r="AH108" s="1236">
        <f t="shared" si="527"/>
        <v>7054.7193373314476</v>
      </c>
      <c r="AI108" s="1235">
        <f t="shared" si="527"/>
        <v>6592.9726251884122</v>
      </c>
      <c r="AJ108" s="1235">
        <f t="shared" si="527"/>
        <v>6874.6729901740318</v>
      </c>
      <c r="AK108" s="1235">
        <f t="shared" si="527"/>
        <v>7377.5104880100744</v>
      </c>
      <c r="AL108" s="1236">
        <f t="shared" si="368"/>
        <v>5402.5632811176656</v>
      </c>
      <c r="AM108" s="1235">
        <f t="shared" si="523"/>
        <v>6081.509077044283</v>
      </c>
      <c r="AN108" s="1235">
        <f t="shared" si="523"/>
        <v>10853.739245532757</v>
      </c>
      <c r="AO108" s="1235">
        <f t="shared" si="523"/>
        <v>10437.986082685222</v>
      </c>
      <c r="AP108" s="1236">
        <f t="shared" si="523"/>
        <v>8954.2936288088658</v>
      </c>
      <c r="AQ108" s="1235">
        <f t="shared" ref="AQ108:AT108" si="528">IF(ISBLANK(AQ251),"",AQ251)</f>
        <v>9568.8121647134849</v>
      </c>
      <c r="AR108" s="1235">
        <f t="shared" si="528"/>
        <v>12135.565714038688</v>
      </c>
      <c r="AS108" s="1235">
        <f t="shared" si="528"/>
        <v>12432.237568226872</v>
      </c>
      <c r="AT108" s="1236">
        <f t="shared" si="528"/>
        <v>9155.3108828586155</v>
      </c>
      <c r="AU108" s="1235">
        <f t="shared" ref="AU108:AX108" si="529">IF(ISBLANK(AU251),"",AU251)</f>
        <v>10477.444338766418</v>
      </c>
      <c r="AV108" s="1235">
        <f t="shared" si="529"/>
        <v>13287.930842363825</v>
      </c>
      <c r="AW108" s="1235">
        <f t="shared" si="529"/>
        <v>13612.773966633513</v>
      </c>
      <c r="AX108" s="1236">
        <f t="shared" si="529"/>
        <v>10024.677935782822</v>
      </c>
      <c r="AY108" s="1235">
        <f t="shared" ref="AY108:BB108" si="530">IF(ISBLANK(AY251),"",AY251)</f>
        <v>10870.28187437005</v>
      </c>
      <c r="AZ108" s="1235">
        <f t="shared" si="530"/>
        <v>13786.143749691979</v>
      </c>
      <c r="BA108" s="1235">
        <f t="shared" si="530"/>
        <v>14123.166425412372</v>
      </c>
      <c r="BB108" s="1236">
        <f t="shared" si="530"/>
        <v>10400.539610460706</v>
      </c>
      <c r="BC108" s="1237"/>
      <c r="BD108" s="1237"/>
      <c r="BE108" s="1279">
        <f t="shared" si="446"/>
        <v>6642.2185980685008</v>
      </c>
      <c r="BF108" s="1279">
        <f t="shared" si="447"/>
        <v>5240.8699209245942</v>
      </c>
      <c r="BG108" s="1279">
        <f t="shared" si="448"/>
        <v>6683.2655849546809</v>
      </c>
      <c r="BH108" s="1279">
        <f t="shared" si="449"/>
        <v>6804.1287606717497</v>
      </c>
      <c r="BI108" s="1279">
        <f t="shared" si="450"/>
        <v>6710.6202886996825</v>
      </c>
      <c r="BJ108" s="1279">
        <f t="shared" si="451"/>
        <v>7763.5943317597212</v>
      </c>
      <c r="BK108" s="1279">
        <f t="shared" si="452"/>
        <v>7484.6666317362515</v>
      </c>
      <c r="BL108" s="1279">
        <f t="shared" si="453"/>
        <v>6561.9298461225462</v>
      </c>
      <c r="BM108" s="1573">
        <f t="shared" si="454"/>
        <v>9081.8820085177831</v>
      </c>
      <c r="BN108" s="1573">
        <f t="shared" si="455"/>
        <v>10822.981582459415</v>
      </c>
      <c r="BO108" s="1573">
        <f t="shared" si="456"/>
        <v>11850.706770886643</v>
      </c>
      <c r="BP108" s="1573">
        <f t="shared" si="457"/>
        <v>12295.032914983778</v>
      </c>
      <c r="BQ108" s="1205"/>
      <c r="BR108" s="1206"/>
      <c r="BT108" s="2083"/>
      <c r="BU108" s="2072">
        <v>7</v>
      </c>
      <c r="BV108" s="2046" t="s">
        <v>479</v>
      </c>
      <c r="BW108" s="1924">
        <f t="shared" ref="BW108:CU108" si="531">BW101*$BX$94+(1-BW101)*$BX$93</f>
        <v>0</v>
      </c>
      <c r="BX108" s="1924">
        <f t="shared" si="531"/>
        <v>0</v>
      </c>
      <c r="BY108" s="1924">
        <f t="shared" si="531"/>
        <v>0</v>
      </c>
      <c r="BZ108" s="1924">
        <f t="shared" si="531"/>
        <v>0</v>
      </c>
      <c r="CA108" s="1924">
        <f t="shared" si="531"/>
        <v>0</v>
      </c>
      <c r="CB108" s="1924">
        <f t="shared" si="531"/>
        <v>0</v>
      </c>
      <c r="CC108" s="1924">
        <f t="shared" si="531"/>
        <v>0</v>
      </c>
      <c r="CD108" s="1924">
        <f t="shared" si="531"/>
        <v>0</v>
      </c>
      <c r="CE108" s="1924">
        <f t="shared" si="531"/>
        <v>0</v>
      </c>
      <c r="CF108" s="1924">
        <f t="shared" si="531"/>
        <v>0</v>
      </c>
      <c r="CG108" s="1924">
        <f t="shared" si="531"/>
        <v>0</v>
      </c>
      <c r="CH108" s="1924">
        <f t="shared" si="531"/>
        <v>0</v>
      </c>
      <c r="CI108" s="1924">
        <f t="shared" si="531"/>
        <v>0</v>
      </c>
      <c r="CJ108" s="1924">
        <f t="shared" si="531"/>
        <v>0</v>
      </c>
      <c r="CK108" s="1924">
        <f t="shared" si="531"/>
        <v>0</v>
      </c>
      <c r="CL108" s="1924">
        <f t="shared" si="531"/>
        <v>0</v>
      </c>
      <c r="CM108" s="1924">
        <f t="shared" si="531"/>
        <v>0</v>
      </c>
      <c r="CN108" s="1924">
        <f t="shared" si="531"/>
        <v>0</v>
      </c>
      <c r="CO108" s="1924">
        <f t="shared" si="531"/>
        <v>0</v>
      </c>
      <c r="CP108" s="1924">
        <f t="shared" si="531"/>
        <v>0</v>
      </c>
      <c r="CQ108" s="1924">
        <f t="shared" si="531"/>
        <v>0</v>
      </c>
      <c r="CR108" s="1924">
        <f t="shared" si="531"/>
        <v>0</v>
      </c>
      <c r="CS108" s="1924">
        <f t="shared" si="531"/>
        <v>0</v>
      </c>
      <c r="CT108" s="1924">
        <f t="shared" si="531"/>
        <v>0</v>
      </c>
      <c r="CU108" s="1924">
        <f t="shared" si="531"/>
        <v>0</v>
      </c>
    </row>
    <row r="109" spans="1:99" ht="12.75" customHeight="1">
      <c r="A109" s="1187"/>
      <c r="B109" s="1619"/>
      <c r="C109" s="1621" t="str">
        <f t="shared" si="458"/>
        <v>SP 15</v>
      </c>
      <c r="D109" s="1621" t="str">
        <f t="shared" si="458"/>
        <v/>
      </c>
      <c r="E109" s="1621" t="str">
        <f t="shared" si="458"/>
        <v/>
      </c>
      <c r="F109" s="1572"/>
      <c r="G109" s="1598">
        <f t="shared" si="366"/>
        <v>7660.4394968624874</v>
      </c>
      <c r="H109" s="1597">
        <f t="shared" ref="H109:AK109" si="532">IF(ISBLANK(H252),"",H252)</f>
        <v>4421.426097331675</v>
      </c>
      <c r="I109" s="1597">
        <f t="shared" si="532"/>
        <v>6156.2722201020406</v>
      </c>
      <c r="J109" s="1599">
        <f t="shared" si="532"/>
        <v>7002.5167489617788</v>
      </c>
      <c r="K109" s="1598">
        <f t="shared" si="532"/>
        <v>4589.0510511069697</v>
      </c>
      <c r="L109" s="1597">
        <f t="shared" si="532"/>
        <v>2411.1346788076098</v>
      </c>
      <c r="M109" s="1597">
        <f t="shared" si="532"/>
        <v>5490.4974244869181</v>
      </c>
      <c r="N109" s="1599">
        <f t="shared" si="532"/>
        <v>6615.8727095483928</v>
      </c>
      <c r="O109" s="1598">
        <f t="shared" si="532"/>
        <v>7046.3802040246701</v>
      </c>
      <c r="P109" s="1597">
        <f t="shared" si="532"/>
        <v>5518.5767411822817</v>
      </c>
      <c r="Q109" s="1597">
        <f t="shared" si="532"/>
        <v>6377.5206167201122</v>
      </c>
      <c r="R109" s="1597">
        <f t="shared" si="532"/>
        <v>7344.081803590022</v>
      </c>
      <c r="S109" s="1234">
        <f t="shared" si="532"/>
        <v>9311.2686731067824</v>
      </c>
      <c r="T109" s="1235">
        <f t="shared" si="532"/>
        <v>7056.6794179267672</v>
      </c>
      <c r="U109" s="1235">
        <f t="shared" si="532"/>
        <v>8597.9551187672805</v>
      </c>
      <c r="V109" s="1236">
        <f t="shared" si="532"/>
        <v>9033.2153415300436</v>
      </c>
      <c r="W109" s="1235">
        <f t="shared" si="532"/>
        <v>7778.1824249044994</v>
      </c>
      <c r="X109" s="1235">
        <f t="shared" si="532"/>
        <v>4321.8647012602933</v>
      </c>
      <c r="Y109" s="1235">
        <f t="shared" si="532"/>
        <v>7399.6643648541531</v>
      </c>
      <c r="Z109" s="1236">
        <f t="shared" si="532"/>
        <v>8079.6050793482691</v>
      </c>
      <c r="AA109" s="1235">
        <f t="shared" si="532"/>
        <v>8597.8421847930604</v>
      </c>
      <c r="AB109" s="1235">
        <f t="shared" si="532"/>
        <v>9043.6082365961338</v>
      </c>
      <c r="AC109" s="1235">
        <f t="shared" si="532"/>
        <v>9384.1581076756538</v>
      </c>
      <c r="AD109" s="1236">
        <f t="shared" si="532"/>
        <v>10244.540848251741</v>
      </c>
      <c r="AE109" s="1235">
        <f t="shared" si="532"/>
        <v>9931.6699639321978</v>
      </c>
      <c r="AF109" s="1235">
        <f t="shared" si="532"/>
        <v>8322.9072817939832</v>
      </c>
      <c r="AG109" s="1235">
        <f t="shared" si="532"/>
        <v>9519.3024094689408</v>
      </c>
      <c r="AH109" s="1236">
        <f t="shared" si="532"/>
        <v>8836.9259337879703</v>
      </c>
      <c r="AI109" s="1235">
        <f t="shared" si="532"/>
        <v>7422.1179080352858</v>
      </c>
      <c r="AJ109" s="1235">
        <f t="shared" si="532"/>
        <v>6926.4056548853769</v>
      </c>
      <c r="AK109" s="1235">
        <f t="shared" si="532"/>
        <v>9076.9846765896473</v>
      </c>
      <c r="AL109" s="1236">
        <f t="shared" si="368"/>
        <v>7115.4623612168161</v>
      </c>
      <c r="AM109" s="1235">
        <f t="shared" si="523"/>
        <v>7142.1403365965198</v>
      </c>
      <c r="AN109" s="1235">
        <f t="shared" si="523"/>
        <v>11846.45929847783</v>
      </c>
      <c r="AO109" s="1235">
        <f t="shared" si="523"/>
        <v>13262.382316823576</v>
      </c>
      <c r="AP109" s="1236">
        <f t="shared" si="523"/>
        <v>13234.072022160666</v>
      </c>
      <c r="AQ109" s="1235">
        <f t="shared" ref="AQ109:AT109" si="533">IF(ISBLANK(AQ252),"",AQ252)</f>
        <v>12329.48172551779</v>
      </c>
      <c r="AR109" s="1235">
        <f t="shared" si="533"/>
        <v>13082.874702863712</v>
      </c>
      <c r="AS109" s="1235">
        <f t="shared" si="533"/>
        <v>15543.273890119144</v>
      </c>
      <c r="AT109" s="1236">
        <f t="shared" si="533"/>
        <v>12131.723236546579</v>
      </c>
      <c r="AU109" s="1235">
        <f t="shared" ref="AU109:AX109" si="534">IF(ISBLANK(AU252),"",AU252)</f>
        <v>13058.427446074731</v>
      </c>
      <c r="AV109" s="1235">
        <f t="shared" si="534"/>
        <v>13856.36265146884</v>
      </c>
      <c r="AW109" s="1235">
        <f t="shared" si="534"/>
        <v>16462.225978932187</v>
      </c>
      <c r="AX109" s="1236">
        <f t="shared" si="534"/>
        <v>12848.977046003884</v>
      </c>
      <c r="AY109" s="1235">
        <f t="shared" ref="AY109:BB109" si="535">IF(ISBLANK(AY252),"",AY252)</f>
        <v>13044.817446046907</v>
      </c>
      <c r="AZ109" s="1235">
        <f t="shared" si="535"/>
        <v>13841.92101239317</v>
      </c>
      <c r="BA109" s="1235">
        <f t="shared" si="535"/>
        <v>16445.068407933952</v>
      </c>
      <c r="BB109" s="1236">
        <f t="shared" si="535"/>
        <v>12835.585343314124</v>
      </c>
      <c r="BC109" s="1237"/>
      <c r="BD109" s="1237"/>
      <c r="BE109" s="1279">
        <f t="shared" si="446"/>
        <v>6310.163640814495</v>
      </c>
      <c r="BF109" s="1279">
        <f t="shared" si="447"/>
        <v>4776.6389659874721</v>
      </c>
      <c r="BG109" s="1279">
        <f t="shared" si="448"/>
        <v>6571.6398413792722</v>
      </c>
      <c r="BH109" s="1279">
        <f t="shared" si="449"/>
        <v>8499.7796378327184</v>
      </c>
      <c r="BI109" s="1279">
        <f t="shared" si="450"/>
        <v>6894.8291425918032</v>
      </c>
      <c r="BJ109" s="1279">
        <f t="shared" si="451"/>
        <v>9317.5373443291464</v>
      </c>
      <c r="BK109" s="1279">
        <f t="shared" si="452"/>
        <v>9152.7013972457735</v>
      </c>
      <c r="BL109" s="1279">
        <f t="shared" si="453"/>
        <v>7635.2426501817808</v>
      </c>
      <c r="BM109" s="1573">
        <f t="shared" si="454"/>
        <v>11371.263493514649</v>
      </c>
      <c r="BN109" s="1573">
        <f t="shared" si="455"/>
        <v>13271.838388761804</v>
      </c>
      <c r="BO109" s="1573">
        <f t="shared" si="456"/>
        <v>14056.498280619911</v>
      </c>
      <c r="BP109" s="1573">
        <f t="shared" si="457"/>
        <v>14041.848052422038</v>
      </c>
      <c r="BQ109" s="1205"/>
      <c r="BR109" s="1206"/>
      <c r="BT109" s="2083"/>
      <c r="BU109" s="1186"/>
    </row>
    <row r="110" spans="1:99" ht="12.75" customHeight="1">
      <c r="A110" s="1187"/>
      <c r="B110" s="1619"/>
      <c r="C110" s="1621" t="str">
        <f t="shared" si="458"/>
        <v>NP 15</v>
      </c>
      <c r="D110" s="1621" t="str">
        <f t="shared" si="458"/>
        <v/>
      </c>
      <c r="E110" s="1621" t="str">
        <f t="shared" si="458"/>
        <v/>
      </c>
      <c r="F110" s="1572"/>
      <c r="G110" s="1598">
        <f t="shared" si="366"/>
        <v>7118.7343332015444</v>
      </c>
      <c r="H110" s="1597">
        <f t="shared" ref="H110:AK110" si="536">IF(ISBLANK(H253),"",H253)</f>
        <v>4593.567349875505</v>
      </c>
      <c r="I110" s="1597">
        <f t="shared" si="536"/>
        <v>6427.0806799498041</v>
      </c>
      <c r="J110" s="1599">
        <f t="shared" si="536"/>
        <v>7240.3857070656832</v>
      </c>
      <c r="K110" s="1598">
        <f t="shared" si="536"/>
        <v>4527.9726426404268</v>
      </c>
      <c r="L110" s="1597">
        <f t="shared" si="536"/>
        <v>2139.4239164830151</v>
      </c>
      <c r="M110" s="1597">
        <f t="shared" si="536"/>
        <v>5540.0381805538027</v>
      </c>
      <c r="N110" s="1599">
        <f t="shared" si="536"/>
        <v>6922.8867412093605</v>
      </c>
      <c r="O110" s="1598">
        <f t="shared" si="536"/>
        <v>7288.8165261279782</v>
      </c>
      <c r="P110" s="1597">
        <f t="shared" si="536"/>
        <v>4935.209035652063</v>
      </c>
      <c r="Q110" s="1597">
        <f t="shared" si="536"/>
        <v>6004.1600044308707</v>
      </c>
      <c r="R110" s="1597">
        <f t="shared" si="536"/>
        <v>7422.4345820566759</v>
      </c>
      <c r="S110" s="1234">
        <f t="shared" si="536"/>
        <v>8678.8668853041981</v>
      </c>
      <c r="T110" s="1235">
        <f t="shared" si="536"/>
        <v>7027.7276846105133</v>
      </c>
      <c r="U110" s="1235">
        <f t="shared" si="536"/>
        <v>8817.9649843376701</v>
      </c>
      <c r="V110" s="1236">
        <f t="shared" si="536"/>
        <v>9456.2247970327371</v>
      </c>
      <c r="W110" s="1235">
        <f t="shared" si="536"/>
        <v>7950.7893476766221</v>
      </c>
      <c r="X110" s="1235">
        <f t="shared" si="536"/>
        <v>5115.2173055428402</v>
      </c>
      <c r="Y110" s="1235">
        <f t="shared" si="536"/>
        <v>7521.7861132026201</v>
      </c>
      <c r="Z110" s="1236">
        <f t="shared" si="536"/>
        <v>8141.7125084036306</v>
      </c>
      <c r="AA110" s="1235">
        <f t="shared" si="536"/>
        <v>9101.9308944914155</v>
      </c>
      <c r="AB110" s="1235">
        <f t="shared" si="536"/>
        <v>9671.1886124478242</v>
      </c>
      <c r="AC110" s="1235">
        <f t="shared" si="536"/>
        <v>9120.2470401114297</v>
      </c>
      <c r="AD110" s="1236">
        <f t="shared" si="536"/>
        <v>10477.07621910588</v>
      </c>
      <c r="AE110" s="1235">
        <f t="shared" si="536"/>
        <v>9611.7445703524172</v>
      </c>
      <c r="AF110" s="1235">
        <f t="shared" si="536"/>
        <v>9580.9697078732752</v>
      </c>
      <c r="AG110" s="1235">
        <f t="shared" si="536"/>
        <v>10025.134228924268</v>
      </c>
      <c r="AH110" s="1236">
        <f t="shared" si="536"/>
        <v>9232.644929535496</v>
      </c>
      <c r="AI110" s="1235">
        <f t="shared" si="536"/>
        <v>7618.1564331858617</v>
      </c>
      <c r="AJ110" s="1235">
        <f t="shared" si="536"/>
        <v>6565.829016583225</v>
      </c>
      <c r="AK110" s="1235">
        <f t="shared" si="536"/>
        <v>9399.4393190765804</v>
      </c>
      <c r="AL110" s="1236">
        <f t="shared" si="368"/>
        <v>7066.9504901112114</v>
      </c>
      <c r="AM110" s="1235">
        <f t="shared" si="523"/>
        <v>7616.7891957904303</v>
      </c>
      <c r="AN110" s="1235">
        <f t="shared" si="523"/>
        <v>12260.09265387161</v>
      </c>
      <c r="AO110" s="1235">
        <f t="shared" si="523"/>
        <v>13180.515759312319</v>
      </c>
      <c r="AP110" s="1236">
        <f t="shared" si="523"/>
        <v>13337.950138504159</v>
      </c>
      <c r="AQ110" s="1235">
        <f t="shared" ref="AQ110:AT110" si="537">IF(ISBLANK(AQ253),"",AQ253)</f>
        <v>12476.166964736271</v>
      </c>
      <c r="AR110" s="1235">
        <f t="shared" si="537"/>
        <v>13453.482204801772</v>
      </c>
      <c r="AS110" s="1235">
        <f t="shared" si="537"/>
        <v>15729.035256212897</v>
      </c>
      <c r="AT110" s="1236">
        <f t="shared" si="537"/>
        <v>12833.726601162503</v>
      </c>
      <c r="AU110" s="1235">
        <f t="shared" ref="AU110:AX110" si="538">IF(ISBLANK(AU253),"",AU253)</f>
        <v>13182.832885276595</v>
      </c>
      <c r="AV110" s="1235">
        <f t="shared" si="538"/>
        <v>14215.504500078907</v>
      </c>
      <c r="AW110" s="1235">
        <f t="shared" si="538"/>
        <v>16619.947762430536</v>
      </c>
      <c r="AX110" s="1236">
        <f t="shared" si="538"/>
        <v>13560.64515300677</v>
      </c>
      <c r="AY110" s="1235">
        <f t="shared" ref="AY110:BB110" si="539">IF(ISBLANK(AY253),"",AY253)</f>
        <v>13153.941016853727</v>
      </c>
      <c r="AZ110" s="1235">
        <f t="shared" si="539"/>
        <v>14184.349399414645</v>
      </c>
      <c r="BA110" s="1235">
        <f t="shared" si="539"/>
        <v>16583.523016086117</v>
      </c>
      <c r="BB110" s="1236">
        <f t="shared" si="539"/>
        <v>13530.925260560325</v>
      </c>
      <c r="BC110" s="1237"/>
      <c r="BD110" s="1237"/>
      <c r="BE110" s="1279">
        <f t="shared" si="446"/>
        <v>6344.9420175231335</v>
      </c>
      <c r="BF110" s="1279">
        <f t="shared" si="447"/>
        <v>4782.5803702216508</v>
      </c>
      <c r="BG110" s="1279">
        <f t="shared" si="448"/>
        <v>6412.6550370668974</v>
      </c>
      <c r="BH110" s="1279">
        <f t="shared" si="449"/>
        <v>8495.1960878212794</v>
      </c>
      <c r="BI110" s="1279">
        <f t="shared" si="450"/>
        <v>7182.3763187064278</v>
      </c>
      <c r="BJ110" s="1279">
        <f t="shared" si="451"/>
        <v>9592.6106915391374</v>
      </c>
      <c r="BK110" s="1279">
        <f t="shared" si="452"/>
        <v>9612.6233591713644</v>
      </c>
      <c r="BL110" s="1279">
        <f t="shared" si="453"/>
        <v>7662.5938147392199</v>
      </c>
      <c r="BM110" s="1573">
        <f t="shared" si="454"/>
        <v>11598.836936869629</v>
      </c>
      <c r="BN110" s="1573">
        <f t="shared" si="455"/>
        <v>13623.10275672836</v>
      </c>
      <c r="BO110" s="1573">
        <f t="shared" si="456"/>
        <v>14394.732575198203</v>
      </c>
      <c r="BP110" s="1573">
        <f t="shared" si="457"/>
        <v>14363.184673228703</v>
      </c>
      <c r="BQ110" s="1205"/>
      <c r="BR110" s="1206"/>
      <c r="BT110" s="2083"/>
      <c r="BU110" s="1186"/>
      <c r="BV110" s="2070" t="s">
        <v>1392</v>
      </c>
      <c r="BY110" s="1985" t="s">
        <v>1393</v>
      </c>
    </row>
    <row r="111" spans="1:99" ht="12.75" customHeight="1">
      <c r="A111" s="1187"/>
      <c r="B111" s="1619"/>
      <c r="C111" s="1621" t="str">
        <f t="shared" si="458"/>
        <v>Mid C</v>
      </c>
      <c r="D111" s="1621" t="str">
        <f t="shared" si="458"/>
        <v/>
      </c>
      <c r="E111" s="1621" t="str">
        <f t="shared" si="458"/>
        <v/>
      </c>
      <c r="F111" s="1572"/>
      <c r="G111" s="1598">
        <f t="shared" si="366"/>
        <v>7426.4580925837827</v>
      </c>
      <c r="H111" s="1597">
        <f t="shared" ref="H111:AK111" si="540">IF(ISBLANK(H254),"",H254)</f>
        <v>5010.1388926342906</v>
      </c>
      <c r="I111" s="1597">
        <f t="shared" si="540"/>
        <v>6534.2814502677575</v>
      </c>
      <c r="J111" s="1599">
        <f t="shared" si="540"/>
        <v>7663.4892753526874</v>
      </c>
      <c r="K111" s="1598">
        <f t="shared" si="540"/>
        <v>3929.5845308814478</v>
      </c>
      <c r="L111" s="1597">
        <f t="shared" si="540"/>
        <v>2019.2783189557053</v>
      </c>
      <c r="M111" s="1597">
        <f t="shared" si="540"/>
        <v>4670.8573279366547</v>
      </c>
      <c r="N111" s="1599">
        <f t="shared" si="540"/>
        <v>7514.4082343612945</v>
      </c>
      <c r="O111" s="1598">
        <f t="shared" si="540"/>
        <v>6973.3021358291335</v>
      </c>
      <c r="P111" s="1597">
        <f t="shared" si="540"/>
        <v>28.782848697248738</v>
      </c>
      <c r="Q111" s="1597">
        <f t="shared" si="540"/>
        <v>4227.0980279257255</v>
      </c>
      <c r="R111" s="1597">
        <f t="shared" si="540"/>
        <v>6727.2801290828729</v>
      </c>
      <c r="S111" s="1234">
        <f t="shared" si="540"/>
        <v>7153.2681962593506</v>
      </c>
      <c r="T111" s="1235">
        <f t="shared" si="540"/>
        <v>4191.4647898805733</v>
      </c>
      <c r="U111" s="1235">
        <f t="shared" si="540"/>
        <v>6208.3880299897546</v>
      </c>
      <c r="V111" s="1236">
        <f t="shared" si="540"/>
        <v>9165.8261083092457</v>
      </c>
      <c r="W111" s="1235">
        <f t="shared" si="540"/>
        <v>4535.3497131161557</v>
      </c>
      <c r="X111" s="1235">
        <f t="shared" si="540"/>
        <v>2842.1256826512813</v>
      </c>
      <c r="Y111" s="1235">
        <f t="shared" si="540"/>
        <v>6174.4647234642125</v>
      </c>
      <c r="Z111" s="1236">
        <f t="shared" si="540"/>
        <v>6739.3189580413173</v>
      </c>
      <c r="AA111" s="1235">
        <f t="shared" si="540"/>
        <v>5272.3423493712744</v>
      </c>
      <c r="AB111" s="1235">
        <f t="shared" si="540"/>
        <v>8070.6412815660206</v>
      </c>
      <c r="AC111" s="1235">
        <f t="shared" si="540"/>
        <v>7444.7534957486841</v>
      </c>
      <c r="AD111" s="1236">
        <f t="shared" si="540"/>
        <v>7741.2731719518661</v>
      </c>
      <c r="AE111" s="1235">
        <f t="shared" si="540"/>
        <v>7078.7259123138783</v>
      </c>
      <c r="AF111" s="1235">
        <f t="shared" si="540"/>
        <v>4819.6778604479841</v>
      </c>
      <c r="AG111" s="1235">
        <f t="shared" si="540"/>
        <v>8065.3674973948418</v>
      </c>
      <c r="AH111" s="1236">
        <f t="shared" si="540"/>
        <v>6021.0210358521981</v>
      </c>
      <c r="AI111" s="1235">
        <f t="shared" si="540"/>
        <v>5379.6174287968361</v>
      </c>
      <c r="AJ111" s="1235">
        <f t="shared" si="540"/>
        <v>1169.9251809150007</v>
      </c>
      <c r="AK111" s="1235">
        <f t="shared" si="540"/>
        <v>7370.4596656258645</v>
      </c>
      <c r="AL111" s="1236">
        <f t="shared" si="368"/>
        <v>5207.6474963728888</v>
      </c>
      <c r="AM111" s="1235">
        <f t="shared" si="523"/>
        <v>4481.8108025744623</v>
      </c>
      <c r="AN111" s="1235">
        <f t="shared" si="523"/>
        <v>2680.344142951687</v>
      </c>
      <c r="AO111" s="1235">
        <f t="shared" si="523"/>
        <v>7122.3905034793297</v>
      </c>
      <c r="AP111" s="1236">
        <f t="shared" si="523"/>
        <v>8538.7811634349055</v>
      </c>
      <c r="AQ111" s="1235">
        <f t="shared" ref="AQ111:AT111" si="541">IF(ISBLANK(AQ254),"",AQ254)</f>
        <v>9294.2311509543069</v>
      </c>
      <c r="AR111" s="1235">
        <f t="shared" si="541"/>
        <v>5469.5978144865967</v>
      </c>
      <c r="AS111" s="1235">
        <f t="shared" si="541"/>
        <v>11009.808729651124</v>
      </c>
      <c r="AT111" s="1236">
        <f t="shared" si="541"/>
        <v>7014.3272150574057</v>
      </c>
      <c r="AU111" s="1235">
        <f t="shared" ref="AU111:AX111" si="542">IF(ISBLANK(AU254),"",AU254)</f>
        <v>10558.398782517217</v>
      </c>
      <c r="AV111" s="1235">
        <f t="shared" si="542"/>
        <v>6213.5526830968138</v>
      </c>
      <c r="AW111" s="1235">
        <f t="shared" si="542"/>
        <v>12507.32300486846</v>
      </c>
      <c r="AX111" s="1236">
        <f t="shared" si="542"/>
        <v>7968.3905774212635</v>
      </c>
      <c r="AY111" s="1235">
        <f t="shared" ref="AY111:BB111" si="543">IF(ISBLANK(AY254),"",AY254)</f>
        <v>11008.480327842066</v>
      </c>
      <c r="AZ111" s="1235">
        <f t="shared" si="543"/>
        <v>6478.4229016943764</v>
      </c>
      <c r="BA111" s="1235">
        <f t="shared" si="543"/>
        <v>13040.482945297053</v>
      </c>
      <c r="BB111" s="1236">
        <f t="shared" si="543"/>
        <v>8308.0657136527334</v>
      </c>
      <c r="BC111" s="1237"/>
      <c r="BD111" s="1237"/>
      <c r="BE111" s="1279">
        <f t="shared" si="446"/>
        <v>6658.5919277096291</v>
      </c>
      <c r="BF111" s="1279">
        <f t="shared" si="447"/>
        <v>4533.5321030337755</v>
      </c>
      <c r="BG111" s="1279">
        <f t="shared" si="448"/>
        <v>4489.1157853837449</v>
      </c>
      <c r="BH111" s="1279">
        <f t="shared" si="449"/>
        <v>6679.7367811097301</v>
      </c>
      <c r="BI111" s="1279">
        <f t="shared" si="450"/>
        <v>5072.8147693182418</v>
      </c>
      <c r="BJ111" s="1279">
        <f t="shared" si="451"/>
        <v>7132.2525746594611</v>
      </c>
      <c r="BK111" s="1279">
        <f t="shared" si="452"/>
        <v>6496.1980765022263</v>
      </c>
      <c r="BL111" s="1279">
        <f t="shared" si="453"/>
        <v>4781.9124429276471</v>
      </c>
      <c r="BM111" s="1573">
        <f t="shared" si="454"/>
        <v>5705.8316531100963</v>
      </c>
      <c r="BN111" s="1573">
        <f t="shared" si="455"/>
        <v>8196.991227537359</v>
      </c>
      <c r="BO111" s="1573">
        <f t="shared" si="456"/>
        <v>9311.9162619759391</v>
      </c>
      <c r="BP111" s="1573">
        <f t="shared" si="457"/>
        <v>9708.8629721215584</v>
      </c>
      <c r="BQ111" s="1205"/>
      <c r="BR111" s="1206"/>
      <c r="BT111" s="2083"/>
      <c r="BU111" s="1186"/>
      <c r="BV111" s="2046" t="s">
        <v>1386</v>
      </c>
      <c r="BW111" s="2073">
        <f>HLOOKUP(BW8,$BW$102:$CU$108,BU103,TRUE)</f>
        <v>0</v>
      </c>
      <c r="BY111" s="502">
        <f>BW111/BW9*1000</f>
        <v>0</v>
      </c>
    </row>
    <row r="112" spans="1:99" ht="12.75" customHeight="1">
      <c r="A112" s="1187"/>
      <c r="B112" s="1619"/>
      <c r="C112" s="2293" t="s">
        <v>1535</v>
      </c>
      <c r="D112" s="1621" t="str">
        <f t="shared" si="458"/>
        <v/>
      </c>
      <c r="E112" s="1621" t="str">
        <f t="shared" si="458"/>
        <v/>
      </c>
      <c r="F112" s="1572"/>
      <c r="G112" s="1598">
        <f t="shared" si="366"/>
        <v>0</v>
      </c>
      <c r="H112" s="1597">
        <f t="shared" ref="H112:AK112" si="544">IF(ISBLANK(H255),"",H255)</f>
        <v>0</v>
      </c>
      <c r="I112" s="1597">
        <f t="shared" si="544"/>
        <v>0</v>
      </c>
      <c r="J112" s="1599">
        <f t="shared" si="544"/>
        <v>5127.6255850361686</v>
      </c>
      <c r="K112" s="1595">
        <f t="shared" si="544"/>
        <v>5240.9261466320195</v>
      </c>
      <c r="L112" s="1597">
        <f t="shared" si="544"/>
        <v>3623.7222932969935</v>
      </c>
      <c r="M112" s="1597">
        <f t="shared" si="544"/>
        <v>7637.5478537222789</v>
      </c>
      <c r="N112" s="1599">
        <f t="shared" si="544"/>
        <v>5145.6041120023128</v>
      </c>
      <c r="O112" s="1598">
        <f t="shared" si="544"/>
        <v>5809.5791548366151</v>
      </c>
      <c r="P112" s="1597">
        <f t="shared" si="544"/>
        <v>5954.1949848390959</v>
      </c>
      <c r="Q112" s="1597">
        <f t="shared" si="544"/>
        <v>6888.4287903141694</v>
      </c>
      <c r="R112" s="1236">
        <f t="shared" si="544"/>
        <v>6233.7685965003757</v>
      </c>
      <c r="S112" s="1234">
        <f t="shared" si="544"/>
        <v>5988.0913357535692</v>
      </c>
      <c r="T112" s="1235">
        <f t="shared" si="544"/>
        <v>6007.9038515154725</v>
      </c>
      <c r="U112" s="1235">
        <f t="shared" si="544"/>
        <v>7349.2540806565275</v>
      </c>
      <c r="V112" s="1236">
        <f t="shared" si="544"/>
        <v>6994.6325194419514</v>
      </c>
      <c r="W112" s="1235">
        <f t="shared" si="544"/>
        <v>6080.7198049477747</v>
      </c>
      <c r="X112" s="1235">
        <f t="shared" si="544"/>
        <v>6970.9778782114672</v>
      </c>
      <c r="Y112" s="1235">
        <f t="shared" si="544"/>
        <v>7239.820470198154</v>
      </c>
      <c r="Z112" s="1236">
        <f t="shared" si="544"/>
        <v>6868.5436968988715</v>
      </c>
      <c r="AA112" s="1235">
        <f t="shared" si="544"/>
        <v>8226.1888723536613</v>
      </c>
      <c r="AB112" s="1235">
        <f t="shared" si="544"/>
        <v>7516.0998993134817</v>
      </c>
      <c r="AC112" s="1235">
        <f t="shared" si="544"/>
        <v>7447.7740060088181</v>
      </c>
      <c r="AD112" s="1236">
        <f t="shared" si="544"/>
        <v>7059.7639774892332</v>
      </c>
      <c r="AE112" s="1235">
        <f t="shared" si="544"/>
        <v>7250.2204400046912</v>
      </c>
      <c r="AF112" s="1235">
        <f t="shared" si="544"/>
        <v>6926.0052986481123</v>
      </c>
      <c r="AG112" s="1235">
        <f t="shared" si="544"/>
        <v>7584.2582143532491</v>
      </c>
      <c r="AH112" s="1236">
        <f t="shared" si="544"/>
        <v>6265.3734073086953</v>
      </c>
      <c r="AI112" s="1235">
        <f t="shared" si="544"/>
        <v>5413.0436677824982</v>
      </c>
      <c r="AJ112" s="1235">
        <f t="shared" si="544"/>
        <v>6726.7779529208856</v>
      </c>
      <c r="AK112" s="1235">
        <f t="shared" si="544"/>
        <v>7976.1185813343263</v>
      </c>
      <c r="AL112" s="1236">
        <f t="shared" si="368"/>
        <v>6750.161788693903</v>
      </c>
      <c r="AM112" s="1235">
        <f t="shared" si="523"/>
        <v>6422.2133266124401</v>
      </c>
      <c r="AN112" s="1235">
        <f t="shared" si="523"/>
        <v>8048.0608695652172</v>
      </c>
      <c r="AO112" s="1235">
        <f t="shared" si="523"/>
        <v>11474.906464924346</v>
      </c>
      <c r="AP112" s="1236">
        <f t="shared" si="523"/>
        <v>6852.997364953887</v>
      </c>
      <c r="AQ112" s="1235">
        <f t="shared" ref="AQ112:AX112" si="545">IF(ISBLANK(AQ255),"",AQ255)</f>
        <v>6265.0137776610345</v>
      </c>
      <c r="AR112" s="1235">
        <f t="shared" si="545"/>
        <v>6530.144494614603</v>
      </c>
      <c r="AS112" s="1235">
        <f t="shared" si="545"/>
        <v>8725.0995759322941</v>
      </c>
      <c r="AT112" s="1236">
        <f t="shared" si="545"/>
        <v>6597.9020800638746</v>
      </c>
      <c r="AU112" s="1235">
        <f t="shared" si="545"/>
        <v>6031.9099537832089</v>
      </c>
      <c r="AV112" s="1235">
        <f t="shared" si="545"/>
        <v>6195.5449296090837</v>
      </c>
      <c r="AW112" s="1235">
        <f t="shared" si="545"/>
        <v>8244.6650067023384</v>
      </c>
      <c r="AX112" s="1236">
        <f t="shared" si="545"/>
        <v>6266.7223668496872</v>
      </c>
      <c r="AY112" s="1235">
        <f t="shared" ref="AY112:BB112" si="546">IF(ISBLANK(AY255),"",AY255)</f>
        <v>5639.6195767479512</v>
      </c>
      <c r="AZ112" s="1235">
        <f t="shared" si="546"/>
        <v>5777.3245530193408</v>
      </c>
      <c r="BA112" s="1235">
        <f t="shared" si="546"/>
        <v>7670.2250040588715</v>
      </c>
      <c r="BB112" s="1236">
        <f t="shared" si="546"/>
        <v>5829.5160354141863</v>
      </c>
      <c r="BC112" s="1237"/>
      <c r="BD112" s="1237"/>
      <c r="BE112" s="1279"/>
      <c r="BF112" s="1279"/>
      <c r="BG112" s="1279"/>
      <c r="BH112" s="1279"/>
      <c r="BI112" s="1279"/>
      <c r="BJ112" s="1279"/>
      <c r="BK112" s="1279"/>
      <c r="BL112" s="1279"/>
      <c r="BM112" s="1279"/>
      <c r="BN112" s="1279"/>
      <c r="BO112" s="1279"/>
      <c r="BP112" s="1279"/>
      <c r="BQ112" s="1205"/>
      <c r="BR112" s="1206"/>
      <c r="BT112" s="2083"/>
      <c r="BU112" s="1186"/>
      <c r="BV112" s="2046" t="s">
        <v>433</v>
      </c>
      <c r="BW112" s="2073">
        <f>HLOOKUP(CA36,$BW$102:$CU$108,BU104,TRUE)</f>
        <v>0</v>
      </c>
      <c r="BY112" s="502">
        <f>BW112/CA36*1000</f>
        <v>0</v>
      </c>
    </row>
    <row r="113" spans="1:77" ht="12.75" customHeight="1">
      <c r="A113" s="1187"/>
      <c r="B113" s="1619"/>
      <c r="C113" s="1216" t="str">
        <f t="shared" si="458"/>
        <v>Capacity Prices ($/MW-day)</v>
      </c>
      <c r="D113" s="1227" t="str">
        <f t="shared" si="458"/>
        <v/>
      </c>
      <c r="E113" s="1227" t="str">
        <f t="shared" si="458"/>
        <v/>
      </c>
      <c r="F113" s="1348"/>
      <c r="G113" s="1595" t="str">
        <f t="shared" si="366"/>
        <v/>
      </c>
      <c r="H113" s="1594" t="str">
        <f t="shared" ref="H113:AK113" si="547">IF(ISBLANK(H256),"",H256)</f>
        <v/>
      </c>
      <c r="I113" s="1594" t="str">
        <f t="shared" si="547"/>
        <v/>
      </c>
      <c r="J113" s="1596" t="str">
        <f t="shared" si="547"/>
        <v/>
      </c>
      <c r="K113" s="1595" t="str">
        <f t="shared" si="547"/>
        <v/>
      </c>
      <c r="L113" s="1594" t="str">
        <f t="shared" si="547"/>
        <v/>
      </c>
      <c r="M113" s="1594" t="str">
        <f t="shared" si="547"/>
        <v/>
      </c>
      <c r="N113" s="1596" t="str">
        <f t="shared" si="547"/>
        <v/>
      </c>
      <c r="O113" s="1595" t="str">
        <f t="shared" si="547"/>
        <v/>
      </c>
      <c r="P113" s="1594" t="str">
        <f t="shared" si="547"/>
        <v/>
      </c>
      <c r="Q113" s="1594" t="str">
        <f t="shared" si="547"/>
        <v/>
      </c>
      <c r="R113" s="1217" t="str">
        <f t="shared" si="547"/>
        <v/>
      </c>
      <c r="S113" s="1593" t="str">
        <f t="shared" si="547"/>
        <v/>
      </c>
      <c r="T113" s="1218" t="str">
        <f t="shared" si="547"/>
        <v/>
      </c>
      <c r="U113" s="1218" t="str">
        <f t="shared" si="547"/>
        <v/>
      </c>
      <c r="V113" s="1217" t="str">
        <f t="shared" si="547"/>
        <v/>
      </c>
      <c r="W113" s="1218" t="str">
        <f t="shared" si="547"/>
        <v/>
      </c>
      <c r="X113" s="1218" t="str">
        <f t="shared" si="547"/>
        <v/>
      </c>
      <c r="Y113" s="1218" t="str">
        <f t="shared" si="547"/>
        <v/>
      </c>
      <c r="Z113" s="1592" t="str">
        <f t="shared" si="547"/>
        <v/>
      </c>
      <c r="AA113" s="1591" t="str">
        <f t="shared" si="547"/>
        <v/>
      </c>
      <c r="AB113" s="1591" t="str">
        <f t="shared" si="547"/>
        <v/>
      </c>
      <c r="AC113" s="1591" t="str">
        <f t="shared" si="547"/>
        <v/>
      </c>
      <c r="AD113" s="1592" t="str">
        <f t="shared" si="547"/>
        <v/>
      </c>
      <c r="AE113" s="1591" t="str">
        <f t="shared" si="547"/>
        <v/>
      </c>
      <c r="AF113" s="1591" t="str">
        <f t="shared" si="547"/>
        <v/>
      </c>
      <c r="AG113" s="1591" t="str">
        <f t="shared" si="547"/>
        <v/>
      </c>
      <c r="AH113" s="1592" t="str">
        <f t="shared" si="547"/>
        <v/>
      </c>
      <c r="AI113" s="1591" t="str">
        <f t="shared" si="547"/>
        <v/>
      </c>
      <c r="AJ113" s="1591" t="str">
        <f t="shared" si="547"/>
        <v/>
      </c>
      <c r="AK113" s="1591" t="str">
        <f t="shared" si="547"/>
        <v/>
      </c>
      <c r="AL113" s="1592" t="str">
        <f t="shared" si="368"/>
        <v/>
      </c>
      <c r="AM113" s="1591" t="str">
        <f t="shared" si="523"/>
        <v/>
      </c>
      <c r="AN113" s="1591" t="str">
        <f t="shared" si="523"/>
        <v/>
      </c>
      <c r="AO113" s="1591" t="str">
        <f t="shared" si="523"/>
        <v/>
      </c>
      <c r="AP113" s="1592" t="str">
        <f t="shared" si="523"/>
        <v/>
      </c>
      <c r="AQ113" s="1591" t="str">
        <f t="shared" ref="AQ113:AX113" si="548">IF(ISBLANK(AQ256),"",AQ256)</f>
        <v/>
      </c>
      <c r="AR113" s="1591" t="str">
        <f t="shared" si="548"/>
        <v/>
      </c>
      <c r="AS113" s="1591" t="str">
        <f t="shared" si="548"/>
        <v/>
      </c>
      <c r="AT113" s="1592" t="str">
        <f t="shared" si="548"/>
        <v/>
      </c>
      <c r="AU113" s="1591" t="str">
        <f t="shared" si="548"/>
        <v/>
      </c>
      <c r="AV113" s="1591" t="str">
        <f t="shared" si="548"/>
        <v/>
      </c>
      <c r="AW113" s="1591" t="str">
        <f t="shared" si="548"/>
        <v/>
      </c>
      <c r="AX113" s="1592" t="str">
        <f t="shared" si="548"/>
        <v/>
      </c>
      <c r="AY113" s="1591" t="str">
        <f t="shared" ref="AY113:BB113" si="549">IF(ISBLANK(AY256),"",AY256)</f>
        <v/>
      </c>
      <c r="AZ113" s="1591" t="str">
        <f t="shared" si="549"/>
        <v/>
      </c>
      <c r="BA113" s="1591" t="str">
        <f t="shared" si="549"/>
        <v/>
      </c>
      <c r="BB113" s="1592" t="str">
        <f t="shared" si="549"/>
        <v/>
      </c>
      <c r="BC113" s="1600"/>
      <c r="BD113" s="1219"/>
      <c r="BE113" s="1270"/>
      <c r="BF113" s="1270"/>
      <c r="BG113" s="1270"/>
      <c r="BH113" s="1270"/>
      <c r="BI113" s="1270"/>
      <c r="BJ113" s="1270"/>
      <c r="BK113" s="1270"/>
      <c r="BL113" s="1270"/>
      <c r="BM113" s="1582"/>
      <c r="BN113" s="1582"/>
      <c r="BO113" s="1582"/>
      <c r="BP113" s="1582"/>
      <c r="BQ113" s="1205"/>
      <c r="BR113" s="1206"/>
      <c r="BT113" s="2083"/>
      <c r="BU113" s="1186"/>
      <c r="BV113" s="2046" t="s">
        <v>1207</v>
      </c>
      <c r="BW113" s="2073">
        <f t="shared" ref="BW113:BW115" si="550">HLOOKUP(CA37,$BW$102:$CU$108,BU105,TRUE)</f>
        <v>0</v>
      </c>
      <c r="BY113" s="502">
        <f t="shared" ref="BY113:BY116" si="551">BW113/CA37*1000</f>
        <v>0</v>
      </c>
    </row>
    <row r="114" spans="1:77" ht="12.75" customHeight="1">
      <c r="A114" s="1187"/>
      <c r="B114" s="1619"/>
      <c r="C114" s="1621" t="str">
        <f t="shared" si="458"/>
        <v>ISO-NE Maine</v>
      </c>
      <c r="D114" s="1621" t="str">
        <f t="shared" si="458"/>
        <v/>
      </c>
      <c r="E114" s="1621" t="str">
        <f t="shared" si="458"/>
        <v/>
      </c>
      <c r="F114" s="1572"/>
      <c r="G114" s="1598" t="str">
        <f t="shared" si="366"/>
        <v/>
      </c>
      <c r="H114" s="1597" t="str">
        <f t="shared" ref="H114:AK114" si="552">IF(ISBLANK(H257),"",H257)</f>
        <v/>
      </c>
      <c r="I114" s="1597" t="str">
        <f t="shared" si="552"/>
        <v/>
      </c>
      <c r="J114" s="1599" t="str">
        <f t="shared" si="552"/>
        <v/>
      </c>
      <c r="K114" s="1598" t="str">
        <f t="shared" si="552"/>
        <v/>
      </c>
      <c r="L114" s="1597" t="str">
        <f t="shared" si="552"/>
        <v/>
      </c>
      <c r="M114" s="1597" t="str">
        <f t="shared" si="552"/>
        <v/>
      </c>
      <c r="N114" s="1599" t="str">
        <f t="shared" si="552"/>
        <v/>
      </c>
      <c r="O114" s="1598">
        <f t="shared" si="552"/>
        <v>102.54</v>
      </c>
      <c r="P114" s="1597">
        <f t="shared" si="552"/>
        <v>95.373333333333335</v>
      </c>
      <c r="Q114" s="1597">
        <f t="shared" si="552"/>
        <v>81.040000000000006</v>
      </c>
      <c r="R114" s="1236">
        <f t="shared" si="552"/>
        <v>81.040000000000006</v>
      </c>
      <c r="S114" s="1234">
        <f t="shared" si="552"/>
        <v>81.040000000000006</v>
      </c>
      <c r="T114" s="1597">
        <f t="shared" si="552"/>
        <v>79.626666666666665</v>
      </c>
      <c r="U114" s="1235">
        <f t="shared" si="552"/>
        <v>76.8</v>
      </c>
      <c r="V114" s="1236">
        <f t="shared" si="552"/>
        <v>76.8</v>
      </c>
      <c r="W114" s="1235">
        <f t="shared" si="552"/>
        <v>76.8</v>
      </c>
      <c r="X114" s="1597">
        <f t="shared" si="552"/>
        <v>82.486666666666665</v>
      </c>
      <c r="Y114" s="1235">
        <f t="shared" si="552"/>
        <v>93.86</v>
      </c>
      <c r="Z114" s="1236">
        <f t="shared" si="552"/>
        <v>93.86</v>
      </c>
      <c r="AA114" s="1235">
        <f t="shared" si="552"/>
        <v>93.86</v>
      </c>
      <c r="AB114" s="1597">
        <f t="shared" si="552"/>
        <v>96.874703196347028</v>
      </c>
      <c r="AC114" s="1235">
        <f t="shared" si="552"/>
        <v>102.9041095890411</v>
      </c>
      <c r="AD114" s="1236">
        <f t="shared" si="552"/>
        <v>102.9041095890411</v>
      </c>
      <c r="AE114" s="1235">
        <f t="shared" si="552"/>
        <v>103</v>
      </c>
      <c r="AF114" s="1597">
        <f t="shared" si="552"/>
        <v>98.736666666666665</v>
      </c>
      <c r="AG114" s="1235">
        <f t="shared" si="552"/>
        <v>90.21</v>
      </c>
      <c r="AH114" s="1236">
        <f t="shared" si="552"/>
        <v>90.21</v>
      </c>
      <c r="AI114" s="1623">
        <f t="shared" si="552"/>
        <v>90.21</v>
      </c>
      <c r="AJ114" s="1623">
        <f t="shared" si="552"/>
        <v>137.126301369863</v>
      </c>
      <c r="AK114" s="1623">
        <f t="shared" si="552"/>
        <v>230.95890410958907</v>
      </c>
      <c r="AL114" s="1236">
        <f t="shared" si="368"/>
        <v>230.95890410958907</v>
      </c>
      <c r="AM114" s="1623">
        <f t="shared" si="523"/>
        <v>230.95890410958907</v>
      </c>
      <c r="AN114" s="1623">
        <f t="shared" si="523"/>
        <v>258.63013698630141</v>
      </c>
      <c r="AO114" s="1623">
        <f t="shared" si="523"/>
        <v>313.97260273972609</v>
      </c>
      <c r="AP114" s="1622">
        <f t="shared" si="523"/>
        <v>313.97260273972609</v>
      </c>
      <c r="AQ114" s="1623">
        <f t="shared" ref="AQ114:AX114" si="553">IF(ISBLANK(AQ257),"",AQ257)</f>
        <v>313.97260273972609</v>
      </c>
      <c r="AR114" s="1623">
        <f t="shared" si="553"/>
        <v>286.35616438356169</v>
      </c>
      <c r="AS114" s="1623">
        <f t="shared" si="553"/>
        <v>231.12328767123287</v>
      </c>
      <c r="AT114" s="1622">
        <f t="shared" si="553"/>
        <v>231.12328767123287</v>
      </c>
      <c r="AU114" s="1623">
        <f t="shared" si="553"/>
        <v>231.12328767123287</v>
      </c>
      <c r="AV114" s="1623">
        <f t="shared" si="553"/>
        <v>231.12328767123287</v>
      </c>
      <c r="AW114" s="1623">
        <f t="shared" si="553"/>
        <v>231.12328767123287</v>
      </c>
      <c r="AX114" s="1622">
        <f t="shared" si="553"/>
        <v>231.12328767123287</v>
      </c>
      <c r="AY114" s="1623">
        <f t="shared" ref="AY114:BB114" si="554">IF(ISBLANK(AY257),"",AY257)</f>
        <v>231.12328767123287</v>
      </c>
      <c r="AZ114" s="1623">
        <f t="shared" si="554"/>
        <v>231.12328767123287</v>
      </c>
      <c r="BA114" s="1623">
        <f t="shared" si="554"/>
        <v>231.12328767123287</v>
      </c>
      <c r="BB114" s="1622">
        <f t="shared" si="554"/>
        <v>231.12328767123287</v>
      </c>
      <c r="BC114" s="1600"/>
      <c r="BD114" s="1219"/>
      <c r="BE114" s="1279"/>
      <c r="BF114" s="1279"/>
      <c r="BG114" s="1279">
        <f t="shared" ref="BG114:BG129" si="555">AVERAGE(O114:R114)</f>
        <v>89.998333333333349</v>
      </c>
      <c r="BH114" s="1279">
        <f t="shared" ref="BH114:BH129" si="556">AVERAGE(S114:V114)</f>
        <v>78.566666666666677</v>
      </c>
      <c r="BI114" s="1279">
        <f t="shared" ref="BI114:BI129" si="557">AVERAGE(W114:Z114)</f>
        <v>86.751666666666665</v>
      </c>
      <c r="BJ114" s="1279">
        <f t="shared" ref="BJ114:BJ129" si="558">AVERAGE(AA114:AD114)</f>
        <v>99.13573059360732</v>
      </c>
      <c r="BK114" s="1279">
        <f t="shared" ref="BK114:BK129" si="559">AVERAGE(AE114:AH114)</f>
        <v>95.539166666666659</v>
      </c>
      <c r="BL114" s="1279">
        <f t="shared" ref="BL114:BL129" si="560">AVERAGE(AI114:AL114)</f>
        <v>172.31352739726029</v>
      </c>
      <c r="BM114" s="1573">
        <f t="shared" ref="BM114:BM129" si="561">AVERAGE(AM114:AP114)</f>
        <v>279.38356164383566</v>
      </c>
      <c r="BN114" s="1573">
        <f t="shared" ref="BN114:BN129" si="562">AVERAGE(AQ114:AT114)</f>
        <v>265.64383561643837</v>
      </c>
      <c r="BO114" s="1573">
        <f t="shared" ref="BO114:BO129" si="563">AVERAGE(AU114:AX114)</f>
        <v>231.12328767123287</v>
      </c>
      <c r="BP114" s="1573">
        <f t="shared" ref="BP114:BP129" si="564">AVERAGE(AY114:BB114)</f>
        <v>231.12328767123287</v>
      </c>
      <c r="BQ114" s="1205"/>
      <c r="BR114" s="1206"/>
      <c r="BT114" s="2083"/>
      <c r="BU114" s="1186"/>
      <c r="BV114" s="2046" t="s">
        <v>459</v>
      </c>
      <c r="BW114" s="2073">
        <f t="shared" si="550"/>
        <v>0</v>
      </c>
      <c r="BY114" s="502">
        <f t="shared" si="551"/>
        <v>0</v>
      </c>
    </row>
    <row r="115" spans="1:77" ht="12.75" customHeight="1">
      <c r="A115" s="1187"/>
      <c r="B115" s="1619"/>
      <c r="C115" s="1621" t="str">
        <f t="shared" si="458"/>
        <v>ISO-NE</v>
      </c>
      <c r="D115" s="1621" t="str">
        <f t="shared" si="458"/>
        <v/>
      </c>
      <c r="E115" s="1621" t="str">
        <f t="shared" si="458"/>
        <v/>
      </c>
      <c r="F115" s="1572"/>
      <c r="G115" s="1598" t="str">
        <f t="shared" ref="G115:G142" si="565">IF(ISBLANK(G258),"",G258)</f>
        <v/>
      </c>
      <c r="H115" s="1597" t="str">
        <f t="shared" ref="H115:AK115" si="566">IF(ISBLANK(H258),"",H258)</f>
        <v/>
      </c>
      <c r="I115" s="1597" t="str">
        <f t="shared" si="566"/>
        <v/>
      </c>
      <c r="J115" s="1599" t="str">
        <f t="shared" si="566"/>
        <v/>
      </c>
      <c r="K115" s="1598" t="str">
        <f t="shared" si="566"/>
        <v/>
      </c>
      <c r="L115" s="1597" t="str">
        <f t="shared" si="566"/>
        <v/>
      </c>
      <c r="M115" s="1597" t="str">
        <f t="shared" si="566"/>
        <v/>
      </c>
      <c r="N115" s="1599" t="str">
        <f t="shared" si="566"/>
        <v/>
      </c>
      <c r="O115" s="1598">
        <f t="shared" si="566"/>
        <v>102.54</v>
      </c>
      <c r="P115" s="1597">
        <f t="shared" si="566"/>
        <v>96.14</v>
      </c>
      <c r="Q115" s="1597">
        <f t="shared" si="566"/>
        <v>83.34</v>
      </c>
      <c r="R115" s="1236">
        <f t="shared" si="566"/>
        <v>83.34</v>
      </c>
      <c r="S115" s="1234">
        <f t="shared" si="566"/>
        <v>83.34</v>
      </c>
      <c r="T115" s="1597">
        <f t="shared" si="566"/>
        <v>83.13333333333334</v>
      </c>
      <c r="U115" s="1235">
        <f t="shared" si="566"/>
        <v>82.72</v>
      </c>
      <c r="V115" s="1236">
        <f t="shared" si="566"/>
        <v>82.72</v>
      </c>
      <c r="W115" s="1235">
        <f t="shared" si="566"/>
        <v>82.72</v>
      </c>
      <c r="X115" s="1597">
        <f t="shared" si="566"/>
        <v>86.433333333333337</v>
      </c>
      <c r="Y115" s="1235">
        <f t="shared" si="566"/>
        <v>93.86</v>
      </c>
      <c r="Z115" s="1236">
        <f t="shared" si="566"/>
        <v>93.86</v>
      </c>
      <c r="AA115" s="1235">
        <f t="shared" si="566"/>
        <v>93.86</v>
      </c>
      <c r="AB115" s="1597">
        <f t="shared" si="566"/>
        <v>96.874703196347028</v>
      </c>
      <c r="AC115" s="1235">
        <f t="shared" si="566"/>
        <v>102.9041095890411</v>
      </c>
      <c r="AD115" s="1236">
        <f t="shared" si="566"/>
        <v>102.9041095890411</v>
      </c>
      <c r="AE115" s="1235">
        <f t="shared" si="566"/>
        <v>103</v>
      </c>
      <c r="AF115" s="1597">
        <f t="shared" si="566"/>
        <v>98.736666666666665</v>
      </c>
      <c r="AG115" s="1235">
        <f t="shared" si="566"/>
        <v>90.21</v>
      </c>
      <c r="AH115" s="1236">
        <f t="shared" si="566"/>
        <v>90.21</v>
      </c>
      <c r="AI115" s="1623">
        <f t="shared" si="566"/>
        <v>90.21</v>
      </c>
      <c r="AJ115" s="1623">
        <f t="shared" si="566"/>
        <v>137.126301369863</v>
      </c>
      <c r="AK115" s="1623">
        <f t="shared" si="566"/>
        <v>230.95890410958907</v>
      </c>
      <c r="AL115" s="1236">
        <f t="shared" ref="AL115:AL128" si="567">IF(ISBLANK(AL258),"",AL258)</f>
        <v>230.95890410958907</v>
      </c>
      <c r="AM115" s="1623">
        <f t="shared" si="523"/>
        <v>230.95890410958907</v>
      </c>
      <c r="AN115" s="1623">
        <f t="shared" si="523"/>
        <v>258.63013698630141</v>
      </c>
      <c r="AO115" s="1623">
        <f t="shared" si="523"/>
        <v>313.97260273972609</v>
      </c>
      <c r="AP115" s="1622">
        <f t="shared" si="523"/>
        <v>313.97260273972609</v>
      </c>
      <c r="AQ115" s="1623">
        <f t="shared" ref="AQ115:AX115" si="568">IF(ISBLANK(AQ258),"",AQ258)</f>
        <v>313.97260273972609</v>
      </c>
      <c r="AR115" s="1623">
        <f t="shared" si="568"/>
        <v>286.35616438356169</v>
      </c>
      <c r="AS115" s="1623">
        <f t="shared" si="568"/>
        <v>231.12328767123287</v>
      </c>
      <c r="AT115" s="1622">
        <f t="shared" si="568"/>
        <v>231.12328767123287</v>
      </c>
      <c r="AU115" s="1623">
        <f t="shared" si="568"/>
        <v>231.12328767123287</v>
      </c>
      <c r="AV115" s="1623">
        <f t="shared" si="568"/>
        <v>231.12328767123287</v>
      </c>
      <c r="AW115" s="1623">
        <f t="shared" si="568"/>
        <v>231.12328767123287</v>
      </c>
      <c r="AX115" s="1622">
        <f t="shared" si="568"/>
        <v>231.12328767123287</v>
      </c>
      <c r="AY115" s="1623">
        <f t="shared" ref="AY115:BB115" si="569">IF(ISBLANK(AY258),"",AY258)</f>
        <v>231.12328767123287</v>
      </c>
      <c r="AZ115" s="1623">
        <f t="shared" si="569"/>
        <v>231.12328767123287</v>
      </c>
      <c r="BA115" s="1623">
        <f t="shared" si="569"/>
        <v>231.12328767123287</v>
      </c>
      <c r="BB115" s="1622">
        <f t="shared" si="569"/>
        <v>231.12328767123287</v>
      </c>
      <c r="BC115" s="1237"/>
      <c r="BD115" s="1237"/>
      <c r="BE115" s="1279"/>
      <c r="BF115" s="1279"/>
      <c r="BG115" s="1279">
        <f t="shared" si="555"/>
        <v>91.34</v>
      </c>
      <c r="BH115" s="1279">
        <f t="shared" si="556"/>
        <v>82.978333333333339</v>
      </c>
      <c r="BI115" s="1279">
        <f t="shared" si="557"/>
        <v>89.218333333333334</v>
      </c>
      <c r="BJ115" s="1279">
        <f t="shared" si="558"/>
        <v>99.13573059360732</v>
      </c>
      <c r="BK115" s="1279">
        <f t="shared" si="559"/>
        <v>95.539166666666659</v>
      </c>
      <c r="BL115" s="1279">
        <f t="shared" si="560"/>
        <v>172.31352739726029</v>
      </c>
      <c r="BM115" s="1573">
        <f t="shared" si="561"/>
        <v>279.38356164383566</v>
      </c>
      <c r="BN115" s="1573">
        <f t="shared" si="562"/>
        <v>265.64383561643837</v>
      </c>
      <c r="BO115" s="1573">
        <f t="shared" si="563"/>
        <v>231.12328767123287</v>
      </c>
      <c r="BP115" s="1573">
        <f t="shared" si="564"/>
        <v>231.12328767123287</v>
      </c>
      <c r="BQ115" s="1205"/>
      <c r="BR115" s="1206"/>
      <c r="BT115" s="2083"/>
      <c r="BU115" s="1186"/>
      <c r="BV115" s="2046" t="s">
        <v>202</v>
      </c>
      <c r="BW115" s="2073">
        <f t="shared" si="550"/>
        <v>0</v>
      </c>
      <c r="BY115" s="502">
        <f t="shared" si="551"/>
        <v>0</v>
      </c>
    </row>
    <row r="116" spans="1:77" ht="12.75" customHeight="1">
      <c r="A116" s="1187"/>
      <c r="B116" s="1619"/>
      <c r="C116" s="1621" t="str">
        <f t="shared" si="458"/>
        <v>PJM RTO</v>
      </c>
      <c r="D116" s="1621" t="str">
        <f t="shared" si="458"/>
        <v/>
      </c>
      <c r="E116" s="1621" t="str">
        <f t="shared" si="458"/>
        <v/>
      </c>
      <c r="F116" s="1572"/>
      <c r="G116" s="1598" t="str">
        <f t="shared" si="565"/>
        <v/>
      </c>
      <c r="H116" s="1597" t="str">
        <f t="shared" ref="H116:AK116" si="570">IF(ISBLANK(H259),"",H259)</f>
        <v/>
      </c>
      <c r="I116" s="1597" t="str">
        <f t="shared" si="570"/>
        <v/>
      </c>
      <c r="J116" s="1599" t="str">
        <f t="shared" si="570"/>
        <v/>
      </c>
      <c r="K116" s="1598" t="str">
        <f t="shared" si="570"/>
        <v/>
      </c>
      <c r="L116" s="1597" t="str">
        <f t="shared" si="570"/>
        <v/>
      </c>
      <c r="M116" s="1597" t="str">
        <f t="shared" si="570"/>
        <v/>
      </c>
      <c r="N116" s="1599" t="str">
        <f t="shared" si="570"/>
        <v/>
      </c>
      <c r="O116" s="1598">
        <f t="shared" si="570"/>
        <v>110</v>
      </c>
      <c r="P116" s="1597">
        <f t="shared" si="570"/>
        <v>78.819999999999993</v>
      </c>
      <c r="Q116" s="1597">
        <f t="shared" si="570"/>
        <v>16.46</v>
      </c>
      <c r="R116" s="1236">
        <f t="shared" si="570"/>
        <v>16.46</v>
      </c>
      <c r="S116" s="1234">
        <f t="shared" si="570"/>
        <v>16.46</v>
      </c>
      <c r="T116" s="1597">
        <f t="shared" si="570"/>
        <v>20.216666666666669</v>
      </c>
      <c r="U116" s="1235">
        <f t="shared" si="570"/>
        <v>27.73</v>
      </c>
      <c r="V116" s="1236">
        <f t="shared" si="570"/>
        <v>27.73</v>
      </c>
      <c r="W116" s="1235">
        <f t="shared" si="570"/>
        <v>27.73</v>
      </c>
      <c r="X116" s="1597">
        <f t="shared" si="570"/>
        <v>60.483333333333327</v>
      </c>
      <c r="Y116" s="1235">
        <f t="shared" si="570"/>
        <v>125.99</v>
      </c>
      <c r="Z116" s="1236">
        <f t="shared" si="570"/>
        <v>125.99</v>
      </c>
      <c r="AA116" s="1235">
        <f t="shared" si="570"/>
        <v>125.99</v>
      </c>
      <c r="AB116" s="1597">
        <f t="shared" si="570"/>
        <v>129.32666666666668</v>
      </c>
      <c r="AC116" s="1235">
        <f t="shared" si="570"/>
        <v>136</v>
      </c>
      <c r="AD116" s="1236">
        <f t="shared" si="570"/>
        <v>136</v>
      </c>
      <c r="AE116" s="1235">
        <f t="shared" si="570"/>
        <v>136</v>
      </c>
      <c r="AF116" s="1597">
        <f t="shared" si="570"/>
        <v>110.45666666666666</v>
      </c>
      <c r="AG116" s="1235">
        <f t="shared" si="570"/>
        <v>59.37</v>
      </c>
      <c r="AH116" s="1236">
        <f t="shared" si="570"/>
        <v>59.37</v>
      </c>
      <c r="AI116" s="1623">
        <f t="shared" si="570"/>
        <v>59.37</v>
      </c>
      <c r="AJ116" s="1623">
        <f t="shared" si="570"/>
        <v>79.58</v>
      </c>
      <c r="AK116" s="1623">
        <f t="shared" si="570"/>
        <v>120</v>
      </c>
      <c r="AL116" s="1236">
        <f t="shared" si="567"/>
        <v>120</v>
      </c>
      <c r="AM116" s="1623">
        <f t="shared" si="523"/>
        <v>120</v>
      </c>
      <c r="AN116" s="1623">
        <f t="shared" si="523"/>
        <v>134.92333333333335</v>
      </c>
      <c r="AO116" s="1623">
        <f t="shared" si="523"/>
        <v>164.77</v>
      </c>
      <c r="AP116" s="1622">
        <f t="shared" si="523"/>
        <v>164.77</v>
      </c>
      <c r="AQ116" s="1623">
        <f t="shared" ref="AQ116:AX116" si="571">IF(ISBLANK(AQ259),"",AQ259)</f>
        <v>164.77</v>
      </c>
      <c r="AR116" s="1623">
        <f t="shared" si="571"/>
        <v>143.18</v>
      </c>
      <c r="AS116" s="1623">
        <f t="shared" si="571"/>
        <v>100</v>
      </c>
      <c r="AT116" s="1622">
        <f t="shared" si="571"/>
        <v>100</v>
      </c>
      <c r="AU116" s="1623">
        <f t="shared" si="571"/>
        <v>100</v>
      </c>
      <c r="AV116" s="1623">
        <f t="shared" si="571"/>
        <v>100</v>
      </c>
      <c r="AW116" s="1623">
        <f t="shared" si="571"/>
        <v>76.53</v>
      </c>
      <c r="AX116" s="1622">
        <f t="shared" si="571"/>
        <v>76.53</v>
      </c>
      <c r="AY116" s="1623">
        <f t="shared" ref="AY116:BB116" si="572">IF(ISBLANK(AY259),"",AY259)</f>
        <v>76.53</v>
      </c>
      <c r="AZ116" s="1623">
        <f t="shared" si="572"/>
        <v>76.53</v>
      </c>
      <c r="BA116" s="1623">
        <f t="shared" si="572"/>
        <v>76.53</v>
      </c>
      <c r="BB116" s="1622">
        <f t="shared" si="572"/>
        <v>76.53</v>
      </c>
      <c r="BC116" s="1237"/>
      <c r="BD116" s="1237"/>
      <c r="BE116" s="1279"/>
      <c r="BF116" s="1279"/>
      <c r="BG116" s="1279">
        <f t="shared" si="555"/>
        <v>55.435000000000002</v>
      </c>
      <c r="BH116" s="1279">
        <f t="shared" si="556"/>
        <v>23.034166666666668</v>
      </c>
      <c r="BI116" s="1279">
        <f t="shared" si="557"/>
        <v>85.048333333333332</v>
      </c>
      <c r="BJ116" s="1279">
        <f t="shared" si="558"/>
        <v>131.82916666666665</v>
      </c>
      <c r="BK116" s="1279">
        <f t="shared" si="559"/>
        <v>91.299166666666665</v>
      </c>
      <c r="BL116" s="1279">
        <f t="shared" si="560"/>
        <v>94.737499999999997</v>
      </c>
      <c r="BM116" s="1573">
        <f t="shared" si="561"/>
        <v>146.11583333333334</v>
      </c>
      <c r="BN116" s="1573">
        <f t="shared" si="562"/>
        <v>126.98750000000001</v>
      </c>
      <c r="BO116" s="1573">
        <f t="shared" si="563"/>
        <v>88.264999999999986</v>
      </c>
      <c r="BP116" s="1573">
        <f t="shared" si="564"/>
        <v>76.53</v>
      </c>
      <c r="BQ116" s="1205"/>
      <c r="BR116" s="1206"/>
      <c r="BT116" s="2083"/>
      <c r="BU116" s="1186"/>
      <c r="BV116" s="2046" t="s">
        <v>479</v>
      </c>
      <c r="BW116" s="2086">
        <v>0</v>
      </c>
      <c r="BY116" s="502">
        <f t="shared" si="551"/>
        <v>0</v>
      </c>
    </row>
    <row r="117" spans="1:77" ht="12.75" customHeight="1">
      <c r="A117" s="1187"/>
      <c r="B117" s="1619"/>
      <c r="C117" s="1621" t="str">
        <f t="shared" ref="C117:E128" si="573">IF(ISBLANK(C260),"",C260)</f>
        <v>PJM MAAC</v>
      </c>
      <c r="D117" s="1621" t="str">
        <f t="shared" si="573"/>
        <v/>
      </c>
      <c r="E117" s="1621" t="str">
        <f t="shared" si="573"/>
        <v/>
      </c>
      <c r="F117" s="1572"/>
      <c r="G117" s="1598" t="str">
        <f t="shared" si="565"/>
        <v/>
      </c>
      <c r="H117" s="1597" t="str">
        <f t="shared" ref="H117:AK117" si="574">IF(ISBLANK(H260),"",H260)</f>
        <v/>
      </c>
      <c r="I117" s="1597" t="str">
        <f t="shared" si="574"/>
        <v/>
      </c>
      <c r="J117" s="1599" t="str">
        <f t="shared" si="574"/>
        <v/>
      </c>
      <c r="K117" s="1598" t="str">
        <f t="shared" si="574"/>
        <v/>
      </c>
      <c r="L117" s="1597" t="str">
        <f t="shared" si="574"/>
        <v/>
      </c>
      <c r="M117" s="1597" t="str">
        <f t="shared" si="574"/>
        <v/>
      </c>
      <c r="N117" s="1599" t="str">
        <f t="shared" si="574"/>
        <v/>
      </c>
      <c r="O117" s="1598">
        <f t="shared" si="574"/>
        <v>110</v>
      </c>
      <c r="P117" s="1597">
        <f t="shared" si="574"/>
        <v>117.79</v>
      </c>
      <c r="Q117" s="1597">
        <f t="shared" si="574"/>
        <v>133.37</v>
      </c>
      <c r="R117" s="1236">
        <f t="shared" si="574"/>
        <v>133.37</v>
      </c>
      <c r="S117" s="1234">
        <f t="shared" si="574"/>
        <v>133.37</v>
      </c>
      <c r="T117" s="1597">
        <f t="shared" si="574"/>
        <v>164.29666666666665</v>
      </c>
      <c r="U117" s="1235">
        <f t="shared" si="574"/>
        <v>226.15</v>
      </c>
      <c r="V117" s="1236">
        <f t="shared" si="574"/>
        <v>226.15</v>
      </c>
      <c r="W117" s="1235">
        <f t="shared" si="574"/>
        <v>226.15</v>
      </c>
      <c r="X117" s="1597">
        <f t="shared" si="574"/>
        <v>196.26666666666665</v>
      </c>
      <c r="Y117" s="1235">
        <f t="shared" si="574"/>
        <v>136.5</v>
      </c>
      <c r="Z117" s="1236">
        <f t="shared" si="574"/>
        <v>136.5</v>
      </c>
      <c r="AA117" s="1235">
        <f t="shared" si="574"/>
        <v>136.5</v>
      </c>
      <c r="AB117" s="1597">
        <f t="shared" si="574"/>
        <v>146.82</v>
      </c>
      <c r="AC117" s="1235">
        <f t="shared" si="574"/>
        <v>167.46</v>
      </c>
      <c r="AD117" s="1236">
        <f t="shared" si="574"/>
        <v>167.46</v>
      </c>
      <c r="AE117" s="1235">
        <f t="shared" si="574"/>
        <v>167.46</v>
      </c>
      <c r="AF117" s="1597">
        <f t="shared" si="574"/>
        <v>151.35</v>
      </c>
      <c r="AG117" s="1235">
        <f t="shared" si="574"/>
        <v>119.13</v>
      </c>
      <c r="AH117" s="1236">
        <f t="shared" si="574"/>
        <v>119.13</v>
      </c>
      <c r="AI117" s="1623">
        <f t="shared" si="574"/>
        <v>119.13</v>
      </c>
      <c r="AJ117" s="1623">
        <f t="shared" si="574"/>
        <v>119.41999999999999</v>
      </c>
      <c r="AK117" s="1623">
        <f t="shared" si="574"/>
        <v>120</v>
      </c>
      <c r="AL117" s="1236">
        <f t="shared" si="567"/>
        <v>120</v>
      </c>
      <c r="AM117" s="1623">
        <f t="shared" si="523"/>
        <v>120</v>
      </c>
      <c r="AN117" s="1623">
        <f t="shared" si="523"/>
        <v>134.92333333333335</v>
      </c>
      <c r="AO117" s="1623">
        <f t="shared" si="523"/>
        <v>164.77</v>
      </c>
      <c r="AP117" s="1622">
        <f t="shared" si="523"/>
        <v>164.77</v>
      </c>
      <c r="AQ117" s="1623">
        <f t="shared" ref="AQ117:AX117" si="575">IF(ISBLANK(AQ260),"",AQ260)</f>
        <v>164.77</v>
      </c>
      <c r="AR117" s="1623">
        <f t="shared" si="575"/>
        <v>143.18</v>
      </c>
      <c r="AS117" s="1623">
        <f t="shared" si="575"/>
        <v>100</v>
      </c>
      <c r="AT117" s="1622">
        <f t="shared" si="575"/>
        <v>100</v>
      </c>
      <c r="AU117" s="1623">
        <f t="shared" si="575"/>
        <v>100</v>
      </c>
      <c r="AV117" s="1623">
        <f t="shared" si="575"/>
        <v>100</v>
      </c>
      <c r="AW117" s="1623">
        <f t="shared" si="575"/>
        <v>86.04</v>
      </c>
      <c r="AX117" s="1622">
        <f t="shared" si="575"/>
        <v>86.04</v>
      </c>
      <c r="AY117" s="1623">
        <f t="shared" ref="AY117:BB117" si="576">IF(ISBLANK(AY260),"",AY260)</f>
        <v>86.04</v>
      </c>
      <c r="AZ117" s="1623">
        <f t="shared" si="576"/>
        <v>86.04</v>
      </c>
      <c r="BA117" s="1623">
        <f t="shared" si="576"/>
        <v>86.04</v>
      </c>
      <c r="BB117" s="1622">
        <f t="shared" si="576"/>
        <v>86.04</v>
      </c>
      <c r="BC117" s="1237"/>
      <c r="BD117" s="1237"/>
      <c r="BE117" s="1279"/>
      <c r="BF117" s="1279"/>
      <c r="BG117" s="1279">
        <f t="shared" si="555"/>
        <v>123.63250000000001</v>
      </c>
      <c r="BH117" s="1279">
        <f t="shared" si="556"/>
        <v>187.49166666666665</v>
      </c>
      <c r="BI117" s="1279">
        <f t="shared" si="557"/>
        <v>173.85416666666666</v>
      </c>
      <c r="BJ117" s="1279">
        <f t="shared" si="558"/>
        <v>154.56</v>
      </c>
      <c r="BK117" s="1279">
        <f t="shared" si="559"/>
        <v>139.26749999999998</v>
      </c>
      <c r="BL117" s="1279">
        <f t="shared" si="560"/>
        <v>119.63749999999999</v>
      </c>
      <c r="BM117" s="1573">
        <f t="shared" si="561"/>
        <v>146.11583333333334</v>
      </c>
      <c r="BN117" s="1573">
        <f t="shared" si="562"/>
        <v>126.98750000000001</v>
      </c>
      <c r="BO117" s="1573">
        <f t="shared" si="563"/>
        <v>93.02000000000001</v>
      </c>
      <c r="BP117" s="1573">
        <f t="shared" si="564"/>
        <v>86.04</v>
      </c>
      <c r="BQ117" s="1205"/>
      <c r="BR117" s="1206"/>
      <c r="BU117" s="1186"/>
    </row>
    <row r="118" spans="1:77" ht="12.75" customHeight="1">
      <c r="A118" s="1187"/>
      <c r="B118" s="1619"/>
      <c r="C118" s="1621" t="str">
        <f t="shared" si="573"/>
        <v>PJM SW MAAC</v>
      </c>
      <c r="D118" s="1621" t="str">
        <f t="shared" si="573"/>
        <v/>
      </c>
      <c r="E118" s="1621" t="str">
        <f t="shared" si="573"/>
        <v/>
      </c>
      <c r="F118" s="1572"/>
      <c r="G118" s="1598" t="str">
        <f t="shared" si="565"/>
        <v/>
      </c>
      <c r="H118" s="1597" t="str">
        <f t="shared" ref="H118:AK118" si="577">IF(ISBLANK(H261),"",H261)</f>
        <v/>
      </c>
      <c r="I118" s="1597" t="str">
        <f t="shared" si="577"/>
        <v/>
      </c>
      <c r="J118" s="1599" t="str">
        <f t="shared" si="577"/>
        <v/>
      </c>
      <c r="K118" s="1598" t="str">
        <f t="shared" si="577"/>
        <v/>
      </c>
      <c r="L118" s="1597" t="str">
        <f t="shared" si="577"/>
        <v/>
      </c>
      <c r="M118" s="1597" t="str">
        <f t="shared" si="577"/>
        <v/>
      </c>
      <c r="N118" s="1599" t="str">
        <f t="shared" si="577"/>
        <v/>
      </c>
      <c r="O118" s="1598">
        <f t="shared" si="577"/>
        <v>110</v>
      </c>
      <c r="P118" s="1597">
        <f t="shared" si="577"/>
        <v>117.79</v>
      </c>
      <c r="Q118" s="1597">
        <f t="shared" si="577"/>
        <v>133.37</v>
      </c>
      <c r="R118" s="1236">
        <f t="shared" si="577"/>
        <v>133.37</v>
      </c>
      <c r="S118" s="1234">
        <f t="shared" si="577"/>
        <v>133.37</v>
      </c>
      <c r="T118" s="1597">
        <f t="shared" si="577"/>
        <v>164.29666666666665</v>
      </c>
      <c r="U118" s="1235">
        <f t="shared" si="577"/>
        <v>226.15</v>
      </c>
      <c r="V118" s="1236">
        <f t="shared" si="577"/>
        <v>226.15</v>
      </c>
      <c r="W118" s="1235">
        <f t="shared" si="577"/>
        <v>226.15</v>
      </c>
      <c r="X118" s="1597">
        <f t="shared" si="577"/>
        <v>196.26666666666665</v>
      </c>
      <c r="Y118" s="1235">
        <f t="shared" si="577"/>
        <v>136.5</v>
      </c>
      <c r="Z118" s="1236">
        <f t="shared" si="577"/>
        <v>136.5</v>
      </c>
      <c r="AA118" s="1235">
        <f t="shared" si="577"/>
        <v>136.5</v>
      </c>
      <c r="AB118" s="1597">
        <f t="shared" si="577"/>
        <v>146.82</v>
      </c>
      <c r="AC118" s="1235">
        <f t="shared" si="577"/>
        <v>167.46</v>
      </c>
      <c r="AD118" s="1236">
        <f t="shared" si="577"/>
        <v>167.46</v>
      </c>
      <c r="AE118" s="1235">
        <f t="shared" si="577"/>
        <v>167.46</v>
      </c>
      <c r="AF118" s="1597">
        <f t="shared" si="577"/>
        <v>151.35</v>
      </c>
      <c r="AG118" s="1235">
        <f t="shared" si="577"/>
        <v>119.13</v>
      </c>
      <c r="AH118" s="1236">
        <f t="shared" si="577"/>
        <v>119.13</v>
      </c>
      <c r="AI118" s="1623">
        <f t="shared" si="577"/>
        <v>119.13</v>
      </c>
      <c r="AJ118" s="1623">
        <f t="shared" si="577"/>
        <v>119.41999999999999</v>
      </c>
      <c r="AK118" s="1623">
        <f t="shared" si="577"/>
        <v>120</v>
      </c>
      <c r="AL118" s="1236">
        <f t="shared" si="567"/>
        <v>120</v>
      </c>
      <c r="AM118" s="1623">
        <f t="shared" si="523"/>
        <v>120</v>
      </c>
      <c r="AN118" s="1623">
        <f t="shared" si="523"/>
        <v>134.92333333333335</v>
      </c>
      <c r="AO118" s="1623">
        <f t="shared" si="523"/>
        <v>164.77</v>
      </c>
      <c r="AP118" s="1622">
        <f t="shared" si="523"/>
        <v>164.77</v>
      </c>
      <c r="AQ118" s="1623">
        <f t="shared" ref="AQ118:AX118" si="578">IF(ISBLANK(AQ261),"",AQ261)</f>
        <v>164.77</v>
      </c>
      <c r="AR118" s="1623">
        <f t="shared" si="578"/>
        <v>143.18</v>
      </c>
      <c r="AS118" s="1623">
        <f t="shared" si="578"/>
        <v>100</v>
      </c>
      <c r="AT118" s="1622">
        <f t="shared" si="578"/>
        <v>100</v>
      </c>
      <c r="AU118" s="1623">
        <f t="shared" si="578"/>
        <v>100</v>
      </c>
      <c r="AV118" s="1623">
        <f t="shared" si="578"/>
        <v>100</v>
      </c>
      <c r="AW118" s="1623">
        <f t="shared" si="578"/>
        <v>86.04</v>
      </c>
      <c r="AX118" s="1622">
        <f t="shared" si="578"/>
        <v>86.04</v>
      </c>
      <c r="AY118" s="1623">
        <f t="shared" ref="AY118:BB118" si="579">IF(ISBLANK(AY261),"",AY261)</f>
        <v>86.04</v>
      </c>
      <c r="AZ118" s="1623">
        <f t="shared" si="579"/>
        <v>86.04</v>
      </c>
      <c r="BA118" s="1623">
        <f t="shared" si="579"/>
        <v>86.04</v>
      </c>
      <c r="BB118" s="1622">
        <f t="shared" si="579"/>
        <v>86.04</v>
      </c>
      <c r="BC118" s="1237"/>
      <c r="BD118" s="1237"/>
      <c r="BE118" s="1279"/>
      <c r="BF118" s="1279"/>
      <c r="BG118" s="1279">
        <f t="shared" si="555"/>
        <v>123.63250000000001</v>
      </c>
      <c r="BH118" s="1279">
        <f t="shared" si="556"/>
        <v>187.49166666666665</v>
      </c>
      <c r="BI118" s="1279">
        <f t="shared" si="557"/>
        <v>173.85416666666666</v>
      </c>
      <c r="BJ118" s="1279">
        <f t="shared" si="558"/>
        <v>154.56</v>
      </c>
      <c r="BK118" s="1279">
        <f t="shared" si="559"/>
        <v>139.26749999999998</v>
      </c>
      <c r="BL118" s="1279">
        <f t="shared" si="560"/>
        <v>119.63749999999999</v>
      </c>
      <c r="BM118" s="1573">
        <f t="shared" si="561"/>
        <v>146.11583333333334</v>
      </c>
      <c r="BN118" s="1573">
        <f t="shared" si="562"/>
        <v>126.98750000000001</v>
      </c>
      <c r="BO118" s="1573">
        <f t="shared" si="563"/>
        <v>93.02000000000001</v>
      </c>
      <c r="BP118" s="1573">
        <f t="shared" si="564"/>
        <v>86.04</v>
      </c>
      <c r="BQ118" s="1205"/>
      <c r="BR118" s="1206"/>
      <c r="BU118" s="1186"/>
      <c r="BV118" s="1551"/>
      <c r="BW118" s="1551"/>
      <c r="BX118" s="1551"/>
    </row>
    <row r="119" spans="1:77" ht="12.75" customHeight="1">
      <c r="A119" s="1187"/>
      <c r="B119" s="1619"/>
      <c r="C119" s="1621" t="str">
        <f t="shared" si="573"/>
        <v>PJM EMAAC</v>
      </c>
      <c r="D119" s="1621" t="str">
        <f t="shared" si="573"/>
        <v/>
      </c>
      <c r="E119" s="1621" t="str">
        <f t="shared" si="573"/>
        <v/>
      </c>
      <c r="F119" s="1572"/>
      <c r="G119" s="1598" t="str">
        <f t="shared" si="565"/>
        <v/>
      </c>
      <c r="H119" s="1597" t="str">
        <f t="shared" ref="H119:AK119" si="580">IF(ISBLANK(H262),"",H262)</f>
        <v/>
      </c>
      <c r="I119" s="1597" t="str">
        <f t="shared" si="580"/>
        <v/>
      </c>
      <c r="J119" s="1599" t="str">
        <f t="shared" si="580"/>
        <v/>
      </c>
      <c r="K119" s="1598" t="str">
        <f t="shared" si="580"/>
        <v/>
      </c>
      <c r="L119" s="1597" t="str">
        <f t="shared" si="580"/>
        <v/>
      </c>
      <c r="M119" s="1597" t="str">
        <f t="shared" si="580"/>
        <v/>
      </c>
      <c r="N119" s="1599" t="str">
        <f t="shared" si="580"/>
        <v/>
      </c>
      <c r="O119" s="1598">
        <f t="shared" si="580"/>
        <v>110</v>
      </c>
      <c r="P119" s="1597">
        <f t="shared" si="580"/>
        <v>119.91</v>
      </c>
      <c r="Q119" s="1597">
        <f t="shared" si="580"/>
        <v>139.72999999999999</v>
      </c>
      <c r="R119" s="1236">
        <f t="shared" si="580"/>
        <v>139.72999999999999</v>
      </c>
      <c r="S119" s="1234">
        <f t="shared" si="580"/>
        <v>139.72999999999999</v>
      </c>
      <c r="T119" s="1597">
        <f t="shared" si="580"/>
        <v>174.82</v>
      </c>
      <c r="U119" s="1235">
        <f t="shared" si="580"/>
        <v>245</v>
      </c>
      <c r="V119" s="1236">
        <f t="shared" si="580"/>
        <v>245</v>
      </c>
      <c r="W119" s="1235">
        <f t="shared" si="580"/>
        <v>245</v>
      </c>
      <c r="X119" s="1597">
        <f t="shared" si="580"/>
        <v>208.83333333333334</v>
      </c>
      <c r="Y119" s="1235">
        <f t="shared" si="580"/>
        <v>136.5</v>
      </c>
      <c r="Z119" s="1236">
        <f t="shared" si="580"/>
        <v>136.5</v>
      </c>
      <c r="AA119" s="1235">
        <f t="shared" si="580"/>
        <v>136.5</v>
      </c>
      <c r="AB119" s="1597">
        <f t="shared" si="580"/>
        <v>146.82</v>
      </c>
      <c r="AC119" s="1235">
        <f t="shared" si="580"/>
        <v>167.46</v>
      </c>
      <c r="AD119" s="1236">
        <f t="shared" si="580"/>
        <v>167.46</v>
      </c>
      <c r="AE119" s="1235">
        <f t="shared" si="580"/>
        <v>167.46</v>
      </c>
      <c r="AF119" s="1597">
        <f t="shared" si="580"/>
        <v>151.35</v>
      </c>
      <c r="AG119" s="1235">
        <f t="shared" si="580"/>
        <v>119.13</v>
      </c>
      <c r="AH119" s="1236">
        <f t="shared" si="580"/>
        <v>119.13</v>
      </c>
      <c r="AI119" s="1623">
        <f t="shared" si="580"/>
        <v>119.13</v>
      </c>
      <c r="AJ119" s="1623">
        <f t="shared" si="580"/>
        <v>119.41999999999999</v>
      </c>
      <c r="AK119" s="1623">
        <f t="shared" si="580"/>
        <v>120</v>
      </c>
      <c r="AL119" s="1236">
        <f t="shared" si="567"/>
        <v>120</v>
      </c>
      <c r="AM119" s="1623">
        <f t="shared" si="523"/>
        <v>120</v>
      </c>
      <c r="AN119" s="1623">
        <f t="shared" si="523"/>
        <v>155.13999999999999</v>
      </c>
      <c r="AO119" s="1623">
        <f t="shared" si="523"/>
        <v>225.42</v>
      </c>
      <c r="AP119" s="1622">
        <f t="shared" si="523"/>
        <v>225.42</v>
      </c>
      <c r="AQ119" s="1623">
        <f t="shared" ref="AQ119:AX119" si="581">IF(ISBLANK(AQ262),"",AQ262)</f>
        <v>225.42</v>
      </c>
      <c r="AR119" s="1623">
        <f t="shared" si="581"/>
        <v>190.27999999999997</v>
      </c>
      <c r="AS119" s="1623">
        <f t="shared" si="581"/>
        <v>120</v>
      </c>
      <c r="AT119" s="1622">
        <f t="shared" si="581"/>
        <v>120</v>
      </c>
      <c r="AU119" s="1623">
        <f t="shared" si="581"/>
        <v>120</v>
      </c>
      <c r="AV119" s="1623">
        <f t="shared" si="581"/>
        <v>142.62333333333333</v>
      </c>
      <c r="AW119" s="1623">
        <f t="shared" si="581"/>
        <v>187.87</v>
      </c>
      <c r="AX119" s="1622">
        <f t="shared" si="581"/>
        <v>187.87</v>
      </c>
      <c r="AY119" s="1623">
        <f t="shared" ref="AY119:BB119" si="582">IF(ISBLANK(AY262),"",AY262)</f>
        <v>187.87</v>
      </c>
      <c r="AZ119" s="1623">
        <f t="shared" si="582"/>
        <v>187.87</v>
      </c>
      <c r="BA119" s="1623">
        <f t="shared" si="582"/>
        <v>187.87</v>
      </c>
      <c r="BB119" s="1622">
        <f t="shared" si="582"/>
        <v>187.87</v>
      </c>
      <c r="BC119" s="1237"/>
      <c r="BD119" s="1237"/>
      <c r="BE119" s="1279"/>
      <c r="BF119" s="1279"/>
      <c r="BG119" s="1279">
        <f t="shared" si="555"/>
        <v>127.3425</v>
      </c>
      <c r="BH119" s="1279">
        <f t="shared" si="556"/>
        <v>201.13749999999999</v>
      </c>
      <c r="BI119" s="1279">
        <f t="shared" si="557"/>
        <v>181.70833333333334</v>
      </c>
      <c r="BJ119" s="1279">
        <f t="shared" si="558"/>
        <v>154.56</v>
      </c>
      <c r="BK119" s="1279">
        <f t="shared" si="559"/>
        <v>139.26749999999998</v>
      </c>
      <c r="BL119" s="1279">
        <f t="shared" si="560"/>
        <v>119.63749999999999</v>
      </c>
      <c r="BM119" s="1573">
        <f t="shared" si="561"/>
        <v>181.49499999999998</v>
      </c>
      <c r="BN119" s="1573">
        <f t="shared" si="562"/>
        <v>163.92499999999998</v>
      </c>
      <c r="BO119" s="1573">
        <f t="shared" si="563"/>
        <v>159.59083333333334</v>
      </c>
      <c r="BP119" s="1573">
        <f t="shared" si="564"/>
        <v>187.87</v>
      </c>
      <c r="BQ119" s="1205"/>
      <c r="BR119" s="1206"/>
      <c r="BU119" s="1186"/>
      <c r="BV119" s="1551"/>
      <c r="BW119" s="1551"/>
      <c r="BX119" s="1551"/>
    </row>
    <row r="120" spans="1:77" ht="12.75" customHeight="1">
      <c r="A120" s="1187"/>
      <c r="B120" s="1619"/>
      <c r="C120" s="1621" t="str">
        <f t="shared" si="573"/>
        <v>PJM DPL-South</v>
      </c>
      <c r="D120" s="1621" t="str">
        <f t="shared" si="573"/>
        <v/>
      </c>
      <c r="E120" s="1621" t="str">
        <f t="shared" si="573"/>
        <v/>
      </c>
      <c r="F120" s="1572"/>
      <c r="G120" s="1598" t="str">
        <f t="shared" si="565"/>
        <v/>
      </c>
      <c r="H120" s="1597" t="str">
        <f t="shared" ref="H120:AK120" si="583">IF(ISBLANK(H263),"",H263)</f>
        <v/>
      </c>
      <c r="I120" s="1597" t="str">
        <f t="shared" si="583"/>
        <v/>
      </c>
      <c r="J120" s="1599" t="str">
        <f t="shared" si="583"/>
        <v/>
      </c>
      <c r="K120" s="1598" t="str">
        <f t="shared" si="583"/>
        <v/>
      </c>
      <c r="L120" s="1597" t="str">
        <f t="shared" si="583"/>
        <v/>
      </c>
      <c r="M120" s="1597" t="str">
        <f t="shared" si="583"/>
        <v/>
      </c>
      <c r="N120" s="1599" t="str">
        <f t="shared" si="583"/>
        <v/>
      </c>
      <c r="O120" s="1598">
        <f t="shared" si="583"/>
        <v>110</v>
      </c>
      <c r="P120" s="1597">
        <f t="shared" si="583"/>
        <v>119.91</v>
      </c>
      <c r="Q120" s="1597">
        <f t="shared" si="583"/>
        <v>139.72999999999999</v>
      </c>
      <c r="R120" s="1236">
        <f t="shared" si="583"/>
        <v>139.72999999999999</v>
      </c>
      <c r="S120" s="1234">
        <f t="shared" si="583"/>
        <v>139.72999999999999</v>
      </c>
      <c r="T120" s="1597">
        <f t="shared" si="583"/>
        <v>174.82</v>
      </c>
      <c r="U120" s="1235">
        <f t="shared" si="583"/>
        <v>245</v>
      </c>
      <c r="V120" s="1236">
        <f t="shared" si="583"/>
        <v>245</v>
      </c>
      <c r="W120" s="1235">
        <f t="shared" si="583"/>
        <v>245</v>
      </c>
      <c r="X120" s="1597">
        <f t="shared" si="583"/>
        <v>208.83333333333334</v>
      </c>
      <c r="Y120" s="1235">
        <f t="shared" si="583"/>
        <v>136.5</v>
      </c>
      <c r="Z120" s="1236">
        <f t="shared" si="583"/>
        <v>136.5</v>
      </c>
      <c r="AA120" s="1235">
        <f t="shared" si="583"/>
        <v>136.5</v>
      </c>
      <c r="AB120" s="1597">
        <f t="shared" si="583"/>
        <v>146.82</v>
      </c>
      <c r="AC120" s="1235">
        <f t="shared" si="583"/>
        <v>167.46</v>
      </c>
      <c r="AD120" s="1236">
        <f t="shared" si="583"/>
        <v>167.46</v>
      </c>
      <c r="AE120" s="1235">
        <f t="shared" si="583"/>
        <v>167.46</v>
      </c>
      <c r="AF120" s="1597">
        <f t="shared" si="583"/>
        <v>151.35</v>
      </c>
      <c r="AG120" s="1235">
        <f t="shared" si="583"/>
        <v>119.13</v>
      </c>
      <c r="AH120" s="1236">
        <f t="shared" si="583"/>
        <v>119.13</v>
      </c>
      <c r="AI120" s="1623">
        <f t="shared" si="583"/>
        <v>119.13</v>
      </c>
      <c r="AJ120" s="1623">
        <f t="shared" si="583"/>
        <v>119.41999999999999</v>
      </c>
      <c r="AK120" s="1623">
        <f t="shared" si="583"/>
        <v>120</v>
      </c>
      <c r="AL120" s="1236">
        <f t="shared" si="567"/>
        <v>120</v>
      </c>
      <c r="AM120" s="1623">
        <f t="shared" si="523"/>
        <v>120</v>
      </c>
      <c r="AN120" s="1623">
        <f t="shared" si="523"/>
        <v>155.13999999999999</v>
      </c>
      <c r="AO120" s="1623">
        <f t="shared" si="523"/>
        <v>225.42</v>
      </c>
      <c r="AP120" s="1622">
        <f t="shared" si="523"/>
        <v>225.42</v>
      </c>
      <c r="AQ120" s="1623">
        <f t="shared" ref="AQ120:AX120" si="584">IF(ISBLANK(AQ263),"",AQ263)</f>
        <v>225.42</v>
      </c>
      <c r="AR120" s="1623">
        <f t="shared" si="584"/>
        <v>190.20333333333332</v>
      </c>
      <c r="AS120" s="1623">
        <f t="shared" si="584"/>
        <v>119.77</v>
      </c>
      <c r="AT120" s="1622">
        <f t="shared" si="584"/>
        <v>119.77</v>
      </c>
      <c r="AU120" s="1623">
        <f t="shared" si="584"/>
        <v>119.77</v>
      </c>
      <c r="AV120" s="1623">
        <f t="shared" si="584"/>
        <v>119.77</v>
      </c>
      <c r="AW120" s="1623">
        <f t="shared" si="584"/>
        <v>187.87</v>
      </c>
      <c r="AX120" s="1622">
        <f t="shared" si="584"/>
        <v>187.87</v>
      </c>
      <c r="AY120" s="1623">
        <f t="shared" ref="AY120:BB120" si="585">IF(ISBLANK(AY263),"",AY263)</f>
        <v>187.87</v>
      </c>
      <c r="AZ120" s="1623">
        <f t="shared" si="585"/>
        <v>187.87</v>
      </c>
      <c r="BA120" s="1623">
        <f t="shared" si="585"/>
        <v>187.87</v>
      </c>
      <c r="BB120" s="1622">
        <f t="shared" si="585"/>
        <v>187.87</v>
      </c>
      <c r="BC120" s="1237"/>
      <c r="BD120" s="1237"/>
      <c r="BE120" s="1279"/>
      <c r="BF120" s="1279"/>
      <c r="BG120" s="1279">
        <f t="shared" si="555"/>
        <v>127.3425</v>
      </c>
      <c r="BH120" s="1279">
        <f t="shared" si="556"/>
        <v>201.13749999999999</v>
      </c>
      <c r="BI120" s="1279">
        <f t="shared" si="557"/>
        <v>181.70833333333334</v>
      </c>
      <c r="BJ120" s="1279">
        <f t="shared" si="558"/>
        <v>154.56</v>
      </c>
      <c r="BK120" s="1279">
        <f t="shared" si="559"/>
        <v>139.26749999999998</v>
      </c>
      <c r="BL120" s="1279">
        <f t="shared" si="560"/>
        <v>119.63749999999999</v>
      </c>
      <c r="BM120" s="1573">
        <f t="shared" si="561"/>
        <v>181.49499999999998</v>
      </c>
      <c r="BN120" s="1573">
        <f t="shared" si="562"/>
        <v>163.79083333333332</v>
      </c>
      <c r="BO120" s="1573">
        <f t="shared" si="563"/>
        <v>153.82</v>
      </c>
      <c r="BP120" s="1573">
        <f t="shared" si="564"/>
        <v>187.87</v>
      </c>
      <c r="BQ120" s="1205"/>
      <c r="BR120" s="1206"/>
      <c r="BU120" s="1186"/>
      <c r="BV120" s="1551"/>
      <c r="BW120" s="1551"/>
      <c r="BX120" s="1551"/>
    </row>
    <row r="121" spans="1:77" ht="12.75" customHeight="1">
      <c r="A121" s="1187"/>
      <c r="B121" s="1619"/>
      <c r="C121" s="1621" t="str">
        <f t="shared" si="573"/>
        <v>ComEd</v>
      </c>
      <c r="D121" s="1621" t="str">
        <f t="shared" si="573"/>
        <v/>
      </c>
      <c r="E121" s="1621" t="str">
        <f t="shared" si="573"/>
        <v/>
      </c>
      <c r="F121" s="1572"/>
      <c r="G121" s="1598" t="str">
        <f t="shared" si="565"/>
        <v/>
      </c>
      <c r="H121" s="1597" t="str">
        <f t="shared" ref="H121:AK121" si="586">IF(ISBLANK(H264),"",H264)</f>
        <v/>
      </c>
      <c r="I121" s="1597" t="str">
        <f t="shared" si="586"/>
        <v/>
      </c>
      <c r="J121" s="1599" t="str">
        <f t="shared" si="586"/>
        <v/>
      </c>
      <c r="K121" s="1598" t="str">
        <f t="shared" si="586"/>
        <v/>
      </c>
      <c r="L121" s="1597" t="str">
        <f t="shared" si="586"/>
        <v/>
      </c>
      <c r="M121" s="1597" t="str">
        <f t="shared" si="586"/>
        <v/>
      </c>
      <c r="N121" s="1599" t="str">
        <f t="shared" si="586"/>
        <v/>
      </c>
      <c r="O121" s="1598">
        <f t="shared" si="586"/>
        <v>110</v>
      </c>
      <c r="P121" s="1597">
        <f t="shared" si="586"/>
        <v>78.819999999999993</v>
      </c>
      <c r="Q121" s="1597">
        <f t="shared" si="586"/>
        <v>16.46</v>
      </c>
      <c r="R121" s="1236">
        <f t="shared" si="586"/>
        <v>16.46</v>
      </c>
      <c r="S121" s="1234">
        <f t="shared" si="586"/>
        <v>16.46</v>
      </c>
      <c r="T121" s="1597">
        <f t="shared" si="586"/>
        <v>20.216666666666669</v>
      </c>
      <c r="U121" s="1235">
        <f t="shared" si="586"/>
        <v>27.73</v>
      </c>
      <c r="V121" s="1236">
        <f t="shared" si="586"/>
        <v>27.73</v>
      </c>
      <c r="W121" s="1235">
        <f t="shared" si="586"/>
        <v>27.73</v>
      </c>
      <c r="X121" s="1597">
        <f t="shared" si="586"/>
        <v>60.483333333333327</v>
      </c>
      <c r="Y121" s="1235">
        <f t="shared" si="586"/>
        <v>125.99</v>
      </c>
      <c r="Z121" s="1236">
        <f t="shared" si="586"/>
        <v>125.99</v>
      </c>
      <c r="AA121" s="1235">
        <f t="shared" si="586"/>
        <v>125.99</v>
      </c>
      <c r="AB121" s="1597">
        <f t="shared" si="586"/>
        <v>129.32666666666668</v>
      </c>
      <c r="AC121" s="1235">
        <f t="shared" si="586"/>
        <v>136</v>
      </c>
      <c r="AD121" s="1236">
        <f t="shared" si="586"/>
        <v>136</v>
      </c>
      <c r="AE121" s="1235">
        <f t="shared" si="586"/>
        <v>136</v>
      </c>
      <c r="AF121" s="1597">
        <f t="shared" si="586"/>
        <v>110.45666666666666</v>
      </c>
      <c r="AG121" s="1235">
        <f t="shared" si="586"/>
        <v>59.37</v>
      </c>
      <c r="AH121" s="1236">
        <f t="shared" si="586"/>
        <v>59.37</v>
      </c>
      <c r="AI121" s="1623">
        <f t="shared" si="586"/>
        <v>59.37</v>
      </c>
      <c r="AJ121" s="1623">
        <f t="shared" si="586"/>
        <v>79.58</v>
      </c>
      <c r="AK121" s="1623">
        <f t="shared" si="586"/>
        <v>120</v>
      </c>
      <c r="AL121" s="1236">
        <f t="shared" si="567"/>
        <v>120</v>
      </c>
      <c r="AM121" s="1623">
        <f t="shared" si="523"/>
        <v>120</v>
      </c>
      <c r="AN121" s="1623">
        <f t="shared" si="523"/>
        <v>151.66666666666666</v>
      </c>
      <c r="AO121" s="1623">
        <f t="shared" si="523"/>
        <v>215</v>
      </c>
      <c r="AP121" s="1622">
        <f t="shared" si="523"/>
        <v>215</v>
      </c>
      <c r="AQ121" s="1623">
        <f t="shared" ref="AQ121:AX121" si="587">IF(ISBLANK(AQ264),"",AQ264)</f>
        <v>215</v>
      </c>
      <c r="AR121" s="1623">
        <f t="shared" si="587"/>
        <v>210.92333333333332</v>
      </c>
      <c r="AS121" s="1623">
        <f t="shared" si="587"/>
        <v>202.77</v>
      </c>
      <c r="AT121" s="1622">
        <f t="shared" si="587"/>
        <v>202.77</v>
      </c>
      <c r="AU121" s="1623">
        <f t="shared" si="587"/>
        <v>202.77</v>
      </c>
      <c r="AV121" s="1623">
        <f t="shared" si="587"/>
        <v>202.77</v>
      </c>
      <c r="AW121" s="1623">
        <f t="shared" si="587"/>
        <v>188.12</v>
      </c>
      <c r="AX121" s="1622">
        <f t="shared" si="587"/>
        <v>188.12</v>
      </c>
      <c r="AY121" s="1623">
        <f t="shared" ref="AY121:BB121" si="588">IF(ISBLANK(AY264),"",AY264)</f>
        <v>188.12</v>
      </c>
      <c r="AZ121" s="1623">
        <f t="shared" si="588"/>
        <v>188.12</v>
      </c>
      <c r="BA121" s="1623">
        <f t="shared" si="588"/>
        <v>188.12</v>
      </c>
      <c r="BB121" s="1622">
        <f t="shared" si="588"/>
        <v>188.12</v>
      </c>
      <c r="BC121" s="1237"/>
      <c r="BD121" s="1237"/>
      <c r="BE121" s="1279"/>
      <c r="BF121" s="1279"/>
      <c r="BG121" s="1279">
        <f t="shared" si="555"/>
        <v>55.435000000000002</v>
      </c>
      <c r="BH121" s="1279">
        <f t="shared" si="556"/>
        <v>23.034166666666668</v>
      </c>
      <c r="BI121" s="1279">
        <f t="shared" si="557"/>
        <v>85.048333333333332</v>
      </c>
      <c r="BJ121" s="1279">
        <f t="shared" si="558"/>
        <v>131.82916666666665</v>
      </c>
      <c r="BK121" s="1279">
        <f t="shared" si="559"/>
        <v>91.299166666666665</v>
      </c>
      <c r="BL121" s="1279">
        <f t="shared" si="560"/>
        <v>94.737499999999997</v>
      </c>
      <c r="BM121" s="1573">
        <f t="shared" si="561"/>
        <v>175.41666666666666</v>
      </c>
      <c r="BN121" s="1573">
        <f t="shared" si="562"/>
        <v>207.86583333333331</v>
      </c>
      <c r="BO121" s="1573">
        <f t="shared" si="563"/>
        <v>195.44500000000002</v>
      </c>
      <c r="BP121" s="1573">
        <f t="shared" si="564"/>
        <v>188.12</v>
      </c>
      <c r="BQ121" s="1205"/>
      <c r="BR121" s="1206"/>
      <c r="BU121" s="1186"/>
      <c r="BV121" s="1551"/>
      <c r="BW121" s="1551"/>
      <c r="BX121" s="1551"/>
    </row>
    <row r="122" spans="1:77" ht="12.75" customHeight="1">
      <c r="A122" s="1187"/>
      <c r="B122" s="1619"/>
      <c r="C122" s="1621" t="str">
        <f t="shared" si="573"/>
        <v>PSEG North</v>
      </c>
      <c r="D122" s="1621" t="str">
        <f t="shared" si="573"/>
        <v/>
      </c>
      <c r="E122" s="1621" t="str">
        <f t="shared" si="573"/>
        <v/>
      </c>
      <c r="F122" s="1572"/>
      <c r="G122" s="1598" t="str">
        <f t="shared" si="565"/>
        <v/>
      </c>
      <c r="H122" s="1597" t="str">
        <f t="shared" ref="H122:AK122" si="589">IF(ISBLANK(H265),"",H265)</f>
        <v/>
      </c>
      <c r="I122" s="1597" t="str">
        <f t="shared" si="589"/>
        <v/>
      </c>
      <c r="J122" s="1599" t="str">
        <f t="shared" si="589"/>
        <v/>
      </c>
      <c r="K122" s="1598" t="str">
        <f t="shared" si="589"/>
        <v/>
      </c>
      <c r="L122" s="1597" t="str">
        <f t="shared" si="589"/>
        <v/>
      </c>
      <c r="M122" s="1597" t="str">
        <f t="shared" si="589"/>
        <v/>
      </c>
      <c r="N122" s="1599" t="str">
        <f t="shared" si="589"/>
        <v/>
      </c>
      <c r="O122" s="1598">
        <f t="shared" si="589"/>
        <v>110</v>
      </c>
      <c r="P122" s="1597">
        <f t="shared" si="589"/>
        <v>135</v>
      </c>
      <c r="Q122" s="1597">
        <f t="shared" si="589"/>
        <v>185</v>
      </c>
      <c r="R122" s="1236">
        <f t="shared" si="589"/>
        <v>185</v>
      </c>
      <c r="S122" s="1234">
        <f t="shared" si="589"/>
        <v>185</v>
      </c>
      <c r="T122" s="1597">
        <f t="shared" si="589"/>
        <v>205</v>
      </c>
      <c r="U122" s="1235">
        <f t="shared" si="589"/>
        <v>245</v>
      </c>
      <c r="V122" s="1236">
        <f t="shared" si="589"/>
        <v>245</v>
      </c>
      <c r="W122" s="1235">
        <f t="shared" si="589"/>
        <v>245</v>
      </c>
      <c r="X122" s="1597">
        <f t="shared" si="589"/>
        <v>238.33333333333334</v>
      </c>
      <c r="Y122" s="1235">
        <f t="shared" si="589"/>
        <v>225</v>
      </c>
      <c r="Z122" s="1236">
        <f t="shared" si="589"/>
        <v>225</v>
      </c>
      <c r="AA122" s="1235">
        <f t="shared" si="589"/>
        <v>225</v>
      </c>
      <c r="AB122" s="1597">
        <f t="shared" si="589"/>
        <v>205.82</v>
      </c>
      <c r="AC122" s="1235">
        <f t="shared" si="589"/>
        <v>167.46</v>
      </c>
      <c r="AD122" s="1236">
        <f t="shared" si="589"/>
        <v>167.46</v>
      </c>
      <c r="AE122" s="1235">
        <f t="shared" si="589"/>
        <v>167.46</v>
      </c>
      <c r="AF122" s="1597">
        <f t="shared" si="589"/>
        <v>184.64</v>
      </c>
      <c r="AG122" s="1235">
        <f t="shared" si="589"/>
        <v>219</v>
      </c>
      <c r="AH122" s="1236">
        <f t="shared" si="589"/>
        <v>219</v>
      </c>
      <c r="AI122" s="1623">
        <f t="shared" si="589"/>
        <v>219</v>
      </c>
      <c r="AJ122" s="1623">
        <f t="shared" si="589"/>
        <v>217.66666666666666</v>
      </c>
      <c r="AK122" s="1623">
        <f t="shared" si="589"/>
        <v>215</v>
      </c>
      <c r="AL122" s="1236">
        <f t="shared" si="567"/>
        <v>215</v>
      </c>
      <c r="AM122" s="1623">
        <f t="shared" si="523"/>
        <v>215</v>
      </c>
      <c r="AN122" s="1623">
        <f t="shared" si="523"/>
        <v>218.4733333333333</v>
      </c>
      <c r="AO122" s="1623">
        <f t="shared" si="523"/>
        <v>225.42</v>
      </c>
      <c r="AP122" s="1622">
        <f t="shared" si="523"/>
        <v>225.42</v>
      </c>
      <c r="AQ122" s="1623">
        <f t="shared" ref="AQ122:AX122" si="590">IF(ISBLANK(AQ265),"",AQ265)</f>
        <v>225.42</v>
      </c>
      <c r="AR122" s="1623">
        <f t="shared" si="590"/>
        <v>190.27999999999997</v>
      </c>
      <c r="AS122" s="1623">
        <f t="shared" si="590"/>
        <v>120</v>
      </c>
      <c r="AT122" s="1622">
        <f t="shared" si="590"/>
        <v>120</v>
      </c>
      <c r="AU122" s="1623">
        <f t="shared" si="590"/>
        <v>120</v>
      </c>
      <c r="AV122" s="1623">
        <f t="shared" si="590"/>
        <v>142.62333333333333</v>
      </c>
      <c r="AW122" s="1623">
        <f t="shared" si="590"/>
        <v>187.87</v>
      </c>
      <c r="AX122" s="1622">
        <f t="shared" si="590"/>
        <v>187.87</v>
      </c>
      <c r="AY122" s="1623">
        <f t="shared" ref="AY122:BB122" si="591">IF(ISBLANK(AY265),"",AY265)</f>
        <v>187.87</v>
      </c>
      <c r="AZ122" s="1623">
        <f t="shared" si="591"/>
        <v>187.87</v>
      </c>
      <c r="BA122" s="1623">
        <f t="shared" si="591"/>
        <v>187.87</v>
      </c>
      <c r="BB122" s="1622">
        <f t="shared" si="591"/>
        <v>187.87</v>
      </c>
      <c r="BC122" s="1237"/>
      <c r="BD122" s="1237"/>
      <c r="BE122" s="1279"/>
      <c r="BF122" s="1279"/>
      <c r="BG122" s="1279">
        <f t="shared" si="555"/>
        <v>153.75</v>
      </c>
      <c r="BH122" s="1279">
        <f t="shared" si="556"/>
        <v>220</v>
      </c>
      <c r="BI122" s="1279">
        <f t="shared" si="557"/>
        <v>233.33333333333334</v>
      </c>
      <c r="BJ122" s="1279">
        <f t="shared" si="558"/>
        <v>191.435</v>
      </c>
      <c r="BK122" s="1279">
        <f t="shared" si="559"/>
        <v>197.52500000000001</v>
      </c>
      <c r="BL122" s="1279">
        <f t="shared" si="560"/>
        <v>216.66666666666666</v>
      </c>
      <c r="BM122" s="1573">
        <f t="shared" si="561"/>
        <v>221.07833333333332</v>
      </c>
      <c r="BN122" s="1573">
        <f t="shared" si="562"/>
        <v>163.92499999999998</v>
      </c>
      <c r="BO122" s="1573">
        <f t="shared" si="563"/>
        <v>159.59083333333334</v>
      </c>
      <c r="BP122" s="1573">
        <f t="shared" si="564"/>
        <v>187.87</v>
      </c>
      <c r="BQ122" s="1205"/>
      <c r="BR122" s="1206"/>
      <c r="BU122" s="1186"/>
      <c r="BV122" s="1551"/>
      <c r="BW122" s="1551"/>
      <c r="BX122" s="1551"/>
    </row>
    <row r="123" spans="1:77" ht="12.75" customHeight="1">
      <c r="A123" s="1187"/>
      <c r="B123" s="1619"/>
      <c r="C123" s="1621" t="str">
        <f t="shared" si="573"/>
        <v>NY ROS</v>
      </c>
      <c r="D123" s="1621" t="str">
        <f t="shared" si="573"/>
        <v/>
      </c>
      <c r="E123" s="1621" t="str">
        <f t="shared" si="573"/>
        <v/>
      </c>
      <c r="F123" s="1572"/>
      <c r="G123" s="1598" t="str">
        <f t="shared" si="565"/>
        <v/>
      </c>
      <c r="H123" s="1597" t="str">
        <f t="shared" ref="H123:AK123" si="592">IF(ISBLANK(H266),"",H266)</f>
        <v/>
      </c>
      <c r="I123" s="1597" t="str">
        <f t="shared" si="592"/>
        <v/>
      </c>
      <c r="J123" s="1599" t="str">
        <f t="shared" si="592"/>
        <v/>
      </c>
      <c r="K123" s="1598" t="str">
        <f t="shared" si="592"/>
        <v/>
      </c>
      <c r="L123" s="1597" t="str">
        <f t="shared" si="592"/>
        <v/>
      </c>
      <c r="M123" s="1597" t="str">
        <f t="shared" si="592"/>
        <v/>
      </c>
      <c r="N123" s="1599" t="str">
        <f t="shared" si="592"/>
        <v/>
      </c>
      <c r="O123" s="1598">
        <f t="shared" si="592"/>
        <v>5</v>
      </c>
      <c r="P123" s="1597">
        <f t="shared" si="592"/>
        <v>29</v>
      </c>
      <c r="Q123" s="1597">
        <f t="shared" si="592"/>
        <v>41</v>
      </c>
      <c r="R123" s="1236">
        <f t="shared" si="592"/>
        <v>31.666666666666668</v>
      </c>
      <c r="S123" s="1234">
        <f t="shared" si="592"/>
        <v>27</v>
      </c>
      <c r="T123" s="1597">
        <f t="shared" si="592"/>
        <v>101</v>
      </c>
      <c r="U123" s="1235">
        <f t="shared" si="592"/>
        <v>138</v>
      </c>
      <c r="V123" s="1236">
        <f t="shared" si="592"/>
        <v>108.66666666666667</v>
      </c>
      <c r="W123" s="1235">
        <f t="shared" si="592"/>
        <v>94</v>
      </c>
      <c r="X123" s="1597">
        <f t="shared" si="592"/>
        <v>144</v>
      </c>
      <c r="Y123" s="1235">
        <f t="shared" si="592"/>
        <v>169</v>
      </c>
      <c r="Z123" s="1236">
        <f t="shared" si="592"/>
        <v>108.38812785388127</v>
      </c>
      <c r="AA123" s="1235">
        <f t="shared" si="592"/>
        <v>78.082191780821915</v>
      </c>
      <c r="AB123" s="1597">
        <f t="shared" si="592"/>
        <v>103.83561643835614</v>
      </c>
      <c r="AC123" s="1235">
        <f t="shared" si="592"/>
        <v>116.71232876712327</v>
      </c>
      <c r="AD123" s="1236">
        <f t="shared" si="592"/>
        <v>63.452054794520535</v>
      </c>
      <c r="AE123" s="1235">
        <f t="shared" si="592"/>
        <v>36.821917808219183</v>
      </c>
      <c r="AF123" s="1597">
        <f t="shared" si="592"/>
        <v>91.61643835616438</v>
      </c>
      <c r="AG123" s="1235">
        <f t="shared" si="592"/>
        <v>119.01369863013699</v>
      </c>
      <c r="AH123" s="1236">
        <f t="shared" si="592"/>
        <v>56.109589041095887</v>
      </c>
      <c r="AI123" s="1623">
        <f t="shared" si="592"/>
        <v>24.657534246575342</v>
      </c>
      <c r="AJ123" s="1623">
        <f t="shared" si="592"/>
        <v>101.36986301369862</v>
      </c>
      <c r="AK123" s="1623">
        <f t="shared" si="592"/>
        <v>139.72602739726028</v>
      </c>
      <c r="AL123" s="1236">
        <f t="shared" si="567"/>
        <v>75.06849315068493</v>
      </c>
      <c r="AM123" s="1623">
        <f t="shared" si="523"/>
        <v>42.739726027397268</v>
      </c>
      <c r="AN123" s="1623">
        <f t="shared" si="523"/>
        <v>123.83561643835615</v>
      </c>
      <c r="AO123" s="1623">
        <f t="shared" si="523"/>
        <v>164.38356164383561</v>
      </c>
      <c r="AP123" s="1622">
        <f t="shared" si="523"/>
        <v>83.287671232876704</v>
      </c>
      <c r="AQ123" s="1623">
        <f t="shared" ref="AQ123:AX123" si="593">IF(ISBLANK(AQ266),"",AQ266)</f>
        <v>42.739726027397268</v>
      </c>
      <c r="AR123" s="1623">
        <f t="shared" si="593"/>
        <v>123.83561643835615</v>
      </c>
      <c r="AS123" s="1623">
        <f t="shared" si="593"/>
        <v>164.38356164383561</v>
      </c>
      <c r="AT123" s="1622">
        <f t="shared" si="593"/>
        <v>83.287671232876704</v>
      </c>
      <c r="AU123" s="1623">
        <f t="shared" si="593"/>
        <v>42.739726027397268</v>
      </c>
      <c r="AV123" s="1623">
        <f t="shared" si="593"/>
        <v>123.83561643835615</v>
      </c>
      <c r="AW123" s="1623">
        <f t="shared" si="593"/>
        <v>164.38356164383561</v>
      </c>
      <c r="AX123" s="1622">
        <f t="shared" si="593"/>
        <v>83.287671232876704</v>
      </c>
      <c r="AY123" s="1623">
        <f t="shared" ref="AY123:BB123" si="594">IF(ISBLANK(AY266),"",AY266)</f>
        <v>42.739726027397268</v>
      </c>
      <c r="AZ123" s="1623">
        <f t="shared" si="594"/>
        <v>123.83561643835615</v>
      </c>
      <c r="BA123" s="1623">
        <f t="shared" si="594"/>
        <v>164.38356164383561</v>
      </c>
      <c r="BB123" s="1622">
        <f t="shared" si="594"/>
        <v>83.287671232876704</v>
      </c>
      <c r="BC123" s="1237"/>
      <c r="BD123" s="1237"/>
      <c r="BE123" s="1279"/>
      <c r="BF123" s="1279"/>
      <c r="BG123" s="1279">
        <f t="shared" si="555"/>
        <v>26.666666666666668</v>
      </c>
      <c r="BH123" s="1279">
        <f t="shared" si="556"/>
        <v>93.666666666666671</v>
      </c>
      <c r="BI123" s="1279">
        <f t="shared" si="557"/>
        <v>128.84703196347033</v>
      </c>
      <c r="BJ123" s="1279">
        <f t="shared" si="558"/>
        <v>90.520547945205465</v>
      </c>
      <c r="BK123" s="1279">
        <f t="shared" si="559"/>
        <v>75.890410958904113</v>
      </c>
      <c r="BL123" s="1279">
        <f t="shared" si="560"/>
        <v>85.205479452054789</v>
      </c>
      <c r="BM123" s="1573">
        <f t="shared" si="561"/>
        <v>103.56164383561642</v>
      </c>
      <c r="BN123" s="1573">
        <f t="shared" si="562"/>
        <v>103.56164383561642</v>
      </c>
      <c r="BO123" s="1573">
        <f t="shared" si="563"/>
        <v>103.56164383561642</v>
      </c>
      <c r="BP123" s="1573">
        <f t="shared" si="564"/>
        <v>103.56164383561642</v>
      </c>
      <c r="BQ123" s="1205"/>
      <c r="BR123" s="1206"/>
      <c r="BU123" s="1186"/>
      <c r="BV123" s="1551"/>
      <c r="BW123" s="1551"/>
      <c r="BX123" s="1551"/>
    </row>
    <row r="124" spans="1:77" ht="12.75" customHeight="1">
      <c r="A124" s="1187"/>
      <c r="B124" s="1619"/>
      <c r="C124" s="1621" t="str">
        <f t="shared" si="573"/>
        <v>NYC</v>
      </c>
      <c r="D124" s="1621" t="str">
        <f t="shared" si="573"/>
        <v/>
      </c>
      <c r="E124" s="1621" t="str">
        <f t="shared" si="573"/>
        <v/>
      </c>
      <c r="F124" s="1572"/>
      <c r="G124" s="1598" t="str">
        <f t="shared" si="565"/>
        <v/>
      </c>
      <c r="H124" s="1597" t="str">
        <f t="shared" ref="H124:AK124" si="595">IF(ISBLANK(H267),"",H267)</f>
        <v/>
      </c>
      <c r="I124" s="1597" t="str">
        <f t="shared" si="595"/>
        <v/>
      </c>
      <c r="J124" s="1599" t="str">
        <f t="shared" si="595"/>
        <v/>
      </c>
      <c r="K124" s="1598" t="str">
        <f t="shared" si="595"/>
        <v/>
      </c>
      <c r="L124" s="1597" t="str">
        <f t="shared" si="595"/>
        <v/>
      </c>
      <c r="M124" s="1597" t="str">
        <f t="shared" si="595"/>
        <v/>
      </c>
      <c r="N124" s="1599" t="str">
        <f t="shared" si="595"/>
        <v/>
      </c>
      <c r="O124" s="1598">
        <f t="shared" si="595"/>
        <v>89</v>
      </c>
      <c r="P124" s="1597">
        <f t="shared" si="595"/>
        <v>286.33333333333331</v>
      </c>
      <c r="Q124" s="1597">
        <f t="shared" si="595"/>
        <v>385</v>
      </c>
      <c r="R124" s="1236">
        <f t="shared" si="595"/>
        <v>227</v>
      </c>
      <c r="S124" s="1234">
        <f t="shared" si="595"/>
        <v>148</v>
      </c>
      <c r="T124" s="1597">
        <f t="shared" si="595"/>
        <v>374</v>
      </c>
      <c r="U124" s="1235">
        <f t="shared" si="595"/>
        <v>487</v>
      </c>
      <c r="V124" s="1236">
        <f t="shared" si="595"/>
        <v>326.33333333333331</v>
      </c>
      <c r="W124" s="1235">
        <f t="shared" si="595"/>
        <v>246</v>
      </c>
      <c r="X124" s="1597">
        <f t="shared" si="595"/>
        <v>437.33333333333331</v>
      </c>
      <c r="Y124" s="1235">
        <f t="shared" si="595"/>
        <v>533</v>
      </c>
      <c r="Z124" s="1236">
        <f t="shared" si="595"/>
        <v>374.05022831050229</v>
      </c>
      <c r="AA124" s="1235">
        <f t="shared" si="595"/>
        <v>294.57534246575347</v>
      </c>
      <c r="AB124" s="1597">
        <f t="shared" si="595"/>
        <v>441.20547945205482</v>
      </c>
      <c r="AC124" s="1235">
        <f t="shared" si="595"/>
        <v>514.52054794520552</v>
      </c>
      <c r="AD124" s="1236">
        <f t="shared" si="595"/>
        <v>299.28767123287673</v>
      </c>
      <c r="AE124" s="1235">
        <f t="shared" si="595"/>
        <v>191.67123287671237</v>
      </c>
      <c r="AF124" s="1597">
        <f t="shared" si="595"/>
        <v>304.76712328767127</v>
      </c>
      <c r="AG124" s="1235">
        <f t="shared" si="595"/>
        <v>361.3150684931507</v>
      </c>
      <c r="AH124" s="1236">
        <f t="shared" si="595"/>
        <v>197.15068493150685</v>
      </c>
      <c r="AI124" s="1623">
        <f t="shared" si="595"/>
        <v>115.06849315068493</v>
      </c>
      <c r="AJ124" s="1623">
        <f t="shared" si="595"/>
        <v>306.84931506849313</v>
      </c>
      <c r="AK124" s="1623">
        <f t="shared" si="595"/>
        <v>402.73972602739724</v>
      </c>
      <c r="AL124" s="1236">
        <f t="shared" si="567"/>
        <v>240.10958904109589</v>
      </c>
      <c r="AM124" s="1623">
        <f t="shared" si="523"/>
        <v>158.79452054794521</v>
      </c>
      <c r="AN124" s="1623">
        <f t="shared" si="523"/>
        <v>321.42465753424653</v>
      </c>
      <c r="AO124" s="1623">
        <f t="shared" si="523"/>
        <v>402.73972602739724</v>
      </c>
      <c r="AP124" s="1622">
        <f t="shared" si="523"/>
        <v>240.10958904109589</v>
      </c>
      <c r="AQ124" s="1623">
        <f t="shared" ref="AQ124:AX124" si="596">IF(ISBLANK(AQ267),"",AQ267)</f>
        <v>158.79452054794521</v>
      </c>
      <c r="AR124" s="1623">
        <f t="shared" si="596"/>
        <v>321.42465753424653</v>
      </c>
      <c r="AS124" s="1623">
        <f t="shared" si="596"/>
        <v>402.73972602739724</v>
      </c>
      <c r="AT124" s="1622">
        <f t="shared" si="596"/>
        <v>240.10958904109589</v>
      </c>
      <c r="AU124" s="1623">
        <f t="shared" si="596"/>
        <v>158.79452054794521</v>
      </c>
      <c r="AV124" s="1623">
        <f t="shared" si="596"/>
        <v>321.42465753424653</v>
      </c>
      <c r="AW124" s="1623">
        <f t="shared" si="596"/>
        <v>402.73972602739724</v>
      </c>
      <c r="AX124" s="1622">
        <f t="shared" si="596"/>
        <v>240.10958904109589</v>
      </c>
      <c r="AY124" s="1623">
        <f t="shared" ref="AY124:BB124" si="597">IF(ISBLANK(AY267),"",AY267)</f>
        <v>158.79452054794521</v>
      </c>
      <c r="AZ124" s="1623">
        <f t="shared" si="597"/>
        <v>321.42465753424653</v>
      </c>
      <c r="BA124" s="1623">
        <f t="shared" si="597"/>
        <v>402.73972602739724</v>
      </c>
      <c r="BB124" s="1622">
        <f t="shared" si="597"/>
        <v>240.10958904109589</v>
      </c>
      <c r="BC124" s="1237"/>
      <c r="BD124" s="1237"/>
      <c r="BE124" s="1279"/>
      <c r="BF124" s="1279"/>
      <c r="BG124" s="1279">
        <f t="shared" si="555"/>
        <v>246.83333333333331</v>
      </c>
      <c r="BH124" s="1279">
        <f t="shared" si="556"/>
        <v>333.83333333333331</v>
      </c>
      <c r="BI124" s="1279">
        <f t="shared" si="557"/>
        <v>397.59589041095887</v>
      </c>
      <c r="BJ124" s="1279">
        <f t="shared" si="558"/>
        <v>387.39726027397262</v>
      </c>
      <c r="BK124" s="1279">
        <f t="shared" si="559"/>
        <v>263.72602739726034</v>
      </c>
      <c r="BL124" s="1279">
        <f t="shared" si="560"/>
        <v>266.1917808219178</v>
      </c>
      <c r="BM124" s="1573">
        <f t="shared" si="561"/>
        <v>280.76712328767121</v>
      </c>
      <c r="BN124" s="1573">
        <f t="shared" si="562"/>
        <v>280.76712328767121</v>
      </c>
      <c r="BO124" s="1573">
        <f t="shared" si="563"/>
        <v>280.76712328767121</v>
      </c>
      <c r="BP124" s="1573">
        <f t="shared" si="564"/>
        <v>280.76712328767121</v>
      </c>
      <c r="BQ124" s="1205"/>
      <c r="BR124" s="1206"/>
      <c r="BU124" s="1186"/>
      <c r="BV124" s="1551"/>
      <c r="BW124" s="1551"/>
      <c r="BX124" s="1551"/>
    </row>
    <row r="125" spans="1:77" ht="12.75" customHeight="1">
      <c r="A125" s="1187"/>
      <c r="B125" s="1619"/>
      <c r="C125" s="1621" t="str">
        <f t="shared" si="573"/>
        <v>ATSI</v>
      </c>
      <c r="D125" s="1621" t="str">
        <f t="shared" si="573"/>
        <v/>
      </c>
      <c r="E125" s="1621" t="str">
        <f t="shared" si="573"/>
        <v/>
      </c>
      <c r="F125" s="1572"/>
      <c r="G125" s="1598" t="str">
        <f t="shared" si="565"/>
        <v/>
      </c>
      <c r="H125" s="1597" t="str">
        <f t="shared" ref="H125:AK125" si="598">IF(ISBLANK(H268),"",H268)</f>
        <v/>
      </c>
      <c r="I125" s="1597" t="str">
        <f t="shared" si="598"/>
        <v/>
      </c>
      <c r="J125" s="1599" t="str">
        <f t="shared" si="598"/>
        <v/>
      </c>
      <c r="K125" s="1598" t="str">
        <f t="shared" si="598"/>
        <v/>
      </c>
      <c r="L125" s="1597" t="str">
        <f t="shared" si="598"/>
        <v/>
      </c>
      <c r="M125" s="1597" t="str">
        <f t="shared" si="598"/>
        <v/>
      </c>
      <c r="N125" s="1599" t="str">
        <f t="shared" si="598"/>
        <v/>
      </c>
      <c r="O125" s="1598">
        <f t="shared" si="598"/>
        <v>110</v>
      </c>
      <c r="P125" s="1597">
        <f t="shared" si="598"/>
        <v>78.819999999999993</v>
      </c>
      <c r="Q125" s="1597">
        <f t="shared" si="598"/>
        <v>16.46</v>
      </c>
      <c r="R125" s="1236">
        <f t="shared" si="598"/>
        <v>16.46</v>
      </c>
      <c r="S125" s="1234">
        <f t="shared" si="598"/>
        <v>16.46</v>
      </c>
      <c r="T125" s="1235">
        <f t="shared" si="598"/>
        <v>20.216666666666669</v>
      </c>
      <c r="U125" s="1235">
        <f t="shared" si="598"/>
        <v>27.73</v>
      </c>
      <c r="V125" s="1236">
        <f t="shared" si="598"/>
        <v>27.73</v>
      </c>
      <c r="W125" s="1235">
        <f t="shared" si="598"/>
        <v>27.73</v>
      </c>
      <c r="X125" s="1235">
        <f t="shared" si="598"/>
        <v>60.483333333333327</v>
      </c>
      <c r="Y125" s="1235">
        <f t="shared" si="598"/>
        <v>125.99</v>
      </c>
      <c r="Z125" s="1236">
        <f t="shared" si="598"/>
        <v>125.99</v>
      </c>
      <c r="AA125" s="1235">
        <f t="shared" si="598"/>
        <v>125.99</v>
      </c>
      <c r="AB125" s="1235">
        <f t="shared" si="598"/>
        <v>129.32666666666668</v>
      </c>
      <c r="AC125" s="1235">
        <f t="shared" si="598"/>
        <v>357</v>
      </c>
      <c r="AD125" s="1236">
        <f t="shared" si="598"/>
        <v>357</v>
      </c>
      <c r="AE125" s="1235">
        <f t="shared" si="598"/>
        <v>357</v>
      </c>
      <c r="AF125" s="1597">
        <f t="shared" si="598"/>
        <v>276.07666666666665</v>
      </c>
      <c r="AG125" s="1235">
        <f t="shared" si="598"/>
        <v>114.23</v>
      </c>
      <c r="AH125" s="1236">
        <f t="shared" si="598"/>
        <v>114.23</v>
      </c>
      <c r="AI125" s="1623">
        <f t="shared" si="598"/>
        <v>114.23</v>
      </c>
      <c r="AJ125" s="1623">
        <f t="shared" si="598"/>
        <v>116.15333333333334</v>
      </c>
      <c r="AK125" s="1623">
        <f t="shared" si="598"/>
        <v>120</v>
      </c>
      <c r="AL125" s="1236">
        <f t="shared" si="567"/>
        <v>120</v>
      </c>
      <c r="AM125" s="1623">
        <f t="shared" si="523"/>
        <v>120</v>
      </c>
      <c r="AN125" s="1623">
        <f t="shared" si="523"/>
        <v>134.92333333333335</v>
      </c>
      <c r="AO125" s="1623">
        <f t="shared" si="523"/>
        <v>164.77</v>
      </c>
      <c r="AP125" s="1622">
        <f t="shared" si="523"/>
        <v>164.77</v>
      </c>
      <c r="AQ125" s="1623">
        <f t="shared" ref="AQ125:AX125" si="599">IF(ISBLANK(AQ268),"",AQ268)</f>
        <v>164.77</v>
      </c>
      <c r="AR125" s="1623">
        <f t="shared" si="599"/>
        <v>143.18</v>
      </c>
      <c r="AS125" s="1623">
        <f t="shared" si="599"/>
        <v>100</v>
      </c>
      <c r="AT125" s="1622">
        <f t="shared" si="599"/>
        <v>100</v>
      </c>
      <c r="AU125" s="1623">
        <f t="shared" si="599"/>
        <v>100</v>
      </c>
      <c r="AV125" s="1623">
        <f t="shared" si="599"/>
        <v>100</v>
      </c>
      <c r="AW125" s="1623">
        <f t="shared" si="599"/>
        <v>76.53</v>
      </c>
      <c r="AX125" s="1622">
        <f t="shared" si="599"/>
        <v>76.53</v>
      </c>
      <c r="AY125" s="1623">
        <f t="shared" ref="AY125:BB125" si="600">IF(ISBLANK(AY268),"",AY268)</f>
        <v>76.53</v>
      </c>
      <c r="AZ125" s="1623">
        <f t="shared" si="600"/>
        <v>76.53</v>
      </c>
      <c r="BA125" s="1623">
        <f t="shared" si="600"/>
        <v>76.53</v>
      </c>
      <c r="BB125" s="1622">
        <f t="shared" si="600"/>
        <v>76.53</v>
      </c>
      <c r="BC125" s="1237"/>
      <c r="BD125" s="1237"/>
      <c r="BE125" s="1279"/>
      <c r="BF125" s="1279"/>
      <c r="BG125" s="1279">
        <f t="shared" si="555"/>
        <v>55.435000000000002</v>
      </c>
      <c r="BH125" s="1279">
        <f t="shared" si="556"/>
        <v>23.034166666666668</v>
      </c>
      <c r="BI125" s="1279">
        <f t="shared" si="557"/>
        <v>85.048333333333332</v>
      </c>
      <c r="BJ125" s="1279">
        <f t="shared" si="558"/>
        <v>242.32916666666665</v>
      </c>
      <c r="BK125" s="1279">
        <f t="shared" si="559"/>
        <v>215.38416666666666</v>
      </c>
      <c r="BL125" s="1279">
        <f t="shared" si="560"/>
        <v>117.59583333333333</v>
      </c>
      <c r="BM125" s="1573">
        <f t="shared" si="561"/>
        <v>146.11583333333334</v>
      </c>
      <c r="BN125" s="1573">
        <f t="shared" si="562"/>
        <v>126.98750000000001</v>
      </c>
      <c r="BO125" s="1573">
        <f t="shared" si="563"/>
        <v>88.264999999999986</v>
      </c>
      <c r="BP125" s="1573">
        <f t="shared" si="564"/>
        <v>76.53</v>
      </c>
      <c r="BQ125" s="1205"/>
      <c r="BR125" s="1206"/>
      <c r="BU125" s="1186"/>
      <c r="BV125" s="1551"/>
      <c r="BW125" s="1551"/>
      <c r="BX125" s="1551"/>
    </row>
    <row r="126" spans="1:77" ht="12.75" customHeight="1">
      <c r="A126" s="1187"/>
      <c r="B126" s="1619"/>
      <c r="C126" s="1621" t="str">
        <f t="shared" si="573"/>
        <v>MISO</v>
      </c>
      <c r="D126" s="1621" t="str">
        <f t="shared" si="573"/>
        <v/>
      </c>
      <c r="E126" s="1621" t="str">
        <f t="shared" si="573"/>
        <v/>
      </c>
      <c r="F126" s="1572"/>
      <c r="G126" s="1598" t="str">
        <f t="shared" si="565"/>
        <v/>
      </c>
      <c r="H126" s="1597" t="str">
        <f t="shared" ref="H126:AK126" si="601">IF(ISBLANK(H269),"",H269)</f>
        <v/>
      </c>
      <c r="I126" s="1597" t="str">
        <f t="shared" si="601"/>
        <v/>
      </c>
      <c r="J126" s="1599" t="str">
        <f t="shared" si="601"/>
        <v/>
      </c>
      <c r="K126" s="1598" t="str">
        <f t="shared" si="601"/>
        <v/>
      </c>
      <c r="L126" s="1597" t="str">
        <f t="shared" si="601"/>
        <v/>
      </c>
      <c r="M126" s="1597" t="str">
        <f t="shared" si="601"/>
        <v/>
      </c>
      <c r="N126" s="1599" t="str">
        <f t="shared" si="601"/>
        <v/>
      </c>
      <c r="O126" s="1598">
        <f t="shared" si="601"/>
        <v>0</v>
      </c>
      <c r="P126" s="1597">
        <f t="shared" si="601"/>
        <v>0</v>
      </c>
      <c r="Q126" s="1597">
        <f t="shared" si="601"/>
        <v>0</v>
      </c>
      <c r="R126" s="1236">
        <f t="shared" si="601"/>
        <v>0</v>
      </c>
      <c r="S126" s="1234">
        <f t="shared" si="601"/>
        <v>0.1</v>
      </c>
      <c r="T126" s="1235">
        <f t="shared" si="601"/>
        <v>0.41666666666666669</v>
      </c>
      <c r="U126" s="1235">
        <f t="shared" si="601"/>
        <v>1.05</v>
      </c>
      <c r="V126" s="1236">
        <f t="shared" si="601"/>
        <v>1.05</v>
      </c>
      <c r="W126" s="1235">
        <f t="shared" si="601"/>
        <v>1.05</v>
      </c>
      <c r="X126" s="1235">
        <f t="shared" si="601"/>
        <v>11.516666666666666</v>
      </c>
      <c r="Y126" s="1235">
        <f t="shared" si="601"/>
        <v>16.75</v>
      </c>
      <c r="Z126" s="1236">
        <f t="shared" si="601"/>
        <v>16.75</v>
      </c>
      <c r="AA126" s="1235">
        <f t="shared" si="601"/>
        <v>16.75</v>
      </c>
      <c r="AB126" s="1235">
        <f t="shared" si="601"/>
        <v>105.58333333333333</v>
      </c>
      <c r="AC126" s="1235">
        <f t="shared" si="601"/>
        <v>150</v>
      </c>
      <c r="AD126" s="1236">
        <f t="shared" si="601"/>
        <v>150</v>
      </c>
      <c r="AE126" s="1235">
        <f t="shared" si="601"/>
        <v>150</v>
      </c>
      <c r="AF126" s="1235">
        <f t="shared" si="601"/>
        <v>150</v>
      </c>
      <c r="AG126" s="1235">
        <f t="shared" si="601"/>
        <v>150</v>
      </c>
      <c r="AH126" s="1236">
        <f t="shared" si="601"/>
        <v>150</v>
      </c>
      <c r="AI126" s="1623">
        <f t="shared" si="601"/>
        <v>150</v>
      </c>
      <c r="AJ126" s="1623">
        <f t="shared" si="601"/>
        <v>150</v>
      </c>
      <c r="AK126" s="1623">
        <f t="shared" si="601"/>
        <v>150</v>
      </c>
      <c r="AL126" s="1236">
        <f t="shared" si="567"/>
        <v>150</v>
      </c>
      <c r="AM126" s="1623">
        <f t="shared" si="523"/>
        <v>150</v>
      </c>
      <c r="AN126" s="1623">
        <f t="shared" si="523"/>
        <v>150</v>
      </c>
      <c r="AO126" s="1623">
        <f t="shared" si="523"/>
        <v>150</v>
      </c>
      <c r="AP126" s="1622">
        <f t="shared" si="523"/>
        <v>150</v>
      </c>
      <c r="AQ126" s="1623">
        <f t="shared" ref="AQ126:AX126" si="602">IF(ISBLANK(AQ269),"",AQ269)</f>
        <v>150</v>
      </c>
      <c r="AR126" s="1623">
        <f t="shared" si="602"/>
        <v>150</v>
      </c>
      <c r="AS126" s="1623">
        <f t="shared" si="602"/>
        <v>150</v>
      </c>
      <c r="AT126" s="1622">
        <f t="shared" si="602"/>
        <v>150</v>
      </c>
      <c r="AU126" s="1623">
        <f t="shared" si="602"/>
        <v>150</v>
      </c>
      <c r="AV126" s="1623">
        <f t="shared" si="602"/>
        <v>150</v>
      </c>
      <c r="AW126" s="1623">
        <f t="shared" si="602"/>
        <v>150</v>
      </c>
      <c r="AX126" s="1622">
        <f t="shared" si="602"/>
        <v>150</v>
      </c>
      <c r="AY126" s="1623">
        <f t="shared" ref="AY126:BB126" si="603">IF(ISBLANK(AY269),"",AY269)</f>
        <v>150</v>
      </c>
      <c r="AZ126" s="1623">
        <f t="shared" si="603"/>
        <v>150</v>
      </c>
      <c r="BA126" s="1623">
        <f t="shared" si="603"/>
        <v>150</v>
      </c>
      <c r="BB126" s="1622">
        <f t="shared" si="603"/>
        <v>150</v>
      </c>
      <c r="BC126" s="1237"/>
      <c r="BD126" s="1237"/>
      <c r="BE126" s="1279"/>
      <c r="BF126" s="1279"/>
      <c r="BG126" s="1279">
        <f t="shared" si="555"/>
        <v>0</v>
      </c>
      <c r="BH126" s="1279">
        <f t="shared" si="556"/>
        <v>0.65416666666666679</v>
      </c>
      <c r="BI126" s="1279">
        <f t="shared" si="557"/>
        <v>11.516666666666666</v>
      </c>
      <c r="BJ126" s="1279">
        <f t="shared" si="558"/>
        <v>105.58333333333333</v>
      </c>
      <c r="BK126" s="1279">
        <f t="shared" si="559"/>
        <v>150</v>
      </c>
      <c r="BL126" s="1279">
        <f t="shared" si="560"/>
        <v>150</v>
      </c>
      <c r="BM126" s="1573">
        <f t="shared" si="561"/>
        <v>150</v>
      </c>
      <c r="BN126" s="1573">
        <f t="shared" si="562"/>
        <v>150</v>
      </c>
      <c r="BO126" s="1573">
        <f t="shared" si="563"/>
        <v>150</v>
      </c>
      <c r="BP126" s="1573">
        <f t="shared" si="564"/>
        <v>150</v>
      </c>
      <c r="BQ126" s="1205"/>
      <c r="BR126" s="1206"/>
      <c r="BU126" s="1186"/>
      <c r="BV126" s="1551"/>
      <c r="BW126" s="1551"/>
      <c r="BX126" s="1551"/>
    </row>
    <row r="127" spans="1:77" ht="12.75" customHeight="1">
      <c r="A127" s="1187"/>
      <c r="B127" s="1619"/>
      <c r="C127" s="1621" t="str">
        <f t="shared" si="573"/>
        <v>ISO-NE Connecticut</v>
      </c>
      <c r="D127" s="1621" t="str">
        <f t="shared" si="573"/>
        <v/>
      </c>
      <c r="E127" s="1621" t="str">
        <f t="shared" si="573"/>
        <v/>
      </c>
      <c r="F127" s="1572"/>
      <c r="G127" s="1598" t="str">
        <f t="shared" si="565"/>
        <v/>
      </c>
      <c r="H127" s="1597" t="str">
        <f t="shared" ref="H127:AK127" si="604">IF(ISBLANK(H270),"",H270)</f>
        <v/>
      </c>
      <c r="I127" s="1597" t="str">
        <f t="shared" si="604"/>
        <v/>
      </c>
      <c r="J127" s="1599" t="str">
        <f t="shared" si="604"/>
        <v/>
      </c>
      <c r="K127" s="1598" t="str">
        <f t="shared" si="604"/>
        <v/>
      </c>
      <c r="L127" s="1597" t="str">
        <f t="shared" si="604"/>
        <v/>
      </c>
      <c r="M127" s="1597" t="str">
        <f t="shared" si="604"/>
        <v/>
      </c>
      <c r="N127" s="1599" t="str">
        <f t="shared" si="604"/>
        <v/>
      </c>
      <c r="O127" s="1598">
        <f t="shared" si="604"/>
        <v>102.54</v>
      </c>
      <c r="P127" s="1597">
        <f t="shared" si="604"/>
        <v>96.14</v>
      </c>
      <c r="Q127" s="1597">
        <f t="shared" si="604"/>
        <v>83.34</v>
      </c>
      <c r="R127" s="1236">
        <f t="shared" si="604"/>
        <v>83.34</v>
      </c>
      <c r="S127" s="1234">
        <f t="shared" si="604"/>
        <v>83.34</v>
      </c>
      <c r="T127" s="1235">
        <f t="shared" si="604"/>
        <v>83.13333333333334</v>
      </c>
      <c r="U127" s="1235">
        <f t="shared" si="604"/>
        <v>82.72</v>
      </c>
      <c r="V127" s="1236">
        <f t="shared" si="604"/>
        <v>82.72</v>
      </c>
      <c r="W127" s="1235">
        <f t="shared" si="604"/>
        <v>82.72</v>
      </c>
      <c r="X127" s="1235">
        <f t="shared" si="604"/>
        <v>86.433333333333337</v>
      </c>
      <c r="Y127" s="1235">
        <f t="shared" si="604"/>
        <v>93.86</v>
      </c>
      <c r="Z127" s="1236">
        <f t="shared" si="604"/>
        <v>93.86</v>
      </c>
      <c r="AA127" s="1235">
        <f t="shared" si="604"/>
        <v>93.86</v>
      </c>
      <c r="AB127" s="1235">
        <f t="shared" si="604"/>
        <v>96.874703196347028</v>
      </c>
      <c r="AC127" s="1235">
        <f t="shared" si="604"/>
        <v>102.9041095890411</v>
      </c>
      <c r="AD127" s="1236">
        <f t="shared" si="604"/>
        <v>102.9041095890411</v>
      </c>
      <c r="AE127" s="1235">
        <f t="shared" si="604"/>
        <v>103</v>
      </c>
      <c r="AF127" s="1235">
        <f t="shared" si="604"/>
        <v>98.89</v>
      </c>
      <c r="AG127" s="1235">
        <f t="shared" si="604"/>
        <v>94.78</v>
      </c>
      <c r="AH127" s="1236">
        <f t="shared" si="604"/>
        <v>94.78</v>
      </c>
      <c r="AI127" s="1623">
        <f t="shared" si="604"/>
        <v>94.78</v>
      </c>
      <c r="AJ127" s="1623">
        <f t="shared" si="604"/>
        <v>140.17296803652968</v>
      </c>
      <c r="AK127" s="1623">
        <f t="shared" si="604"/>
        <v>230.95890410958907</v>
      </c>
      <c r="AL127" s="1236">
        <f t="shared" si="567"/>
        <v>230.95890410958907</v>
      </c>
      <c r="AM127" s="1623">
        <f t="shared" ref="AM127:AP128" si="605">IF(ISBLANK(AM270),"",AM270)</f>
        <v>230.95890410958907</v>
      </c>
      <c r="AN127" s="1623">
        <f t="shared" si="605"/>
        <v>258.63013698630141</v>
      </c>
      <c r="AO127" s="1623">
        <f t="shared" si="605"/>
        <v>313.97260273972609</v>
      </c>
      <c r="AP127" s="1622">
        <f t="shared" si="605"/>
        <v>313.97260273972609</v>
      </c>
      <c r="AQ127" s="1623">
        <f t="shared" ref="AQ127:AX127" si="606">IF(ISBLANK(AQ270),"",AQ270)</f>
        <v>313.97260273972609</v>
      </c>
      <c r="AR127" s="1623">
        <f t="shared" si="606"/>
        <v>286.35616438356169</v>
      </c>
      <c r="AS127" s="1623">
        <f t="shared" si="606"/>
        <v>231.12328767123287</v>
      </c>
      <c r="AT127" s="1622">
        <f t="shared" si="606"/>
        <v>231.12328767123287</v>
      </c>
      <c r="AU127" s="1623">
        <f t="shared" si="606"/>
        <v>231.12328767123287</v>
      </c>
      <c r="AV127" s="1623">
        <f t="shared" si="606"/>
        <v>212.13150684931506</v>
      </c>
      <c r="AW127" s="1623">
        <f t="shared" si="606"/>
        <v>174.14794520547943</v>
      </c>
      <c r="AX127" s="1622">
        <f t="shared" si="606"/>
        <v>174.14794520547943</v>
      </c>
      <c r="AY127" s="1623">
        <f t="shared" ref="AY127:BB127" si="607">IF(ISBLANK(AY270),"",AY270)</f>
        <v>174.14794520547943</v>
      </c>
      <c r="AZ127" s="1623">
        <f t="shared" si="607"/>
        <v>174.14794520547943</v>
      </c>
      <c r="BA127" s="1623">
        <f t="shared" si="607"/>
        <v>174.14794520547943</v>
      </c>
      <c r="BB127" s="1622">
        <f t="shared" si="607"/>
        <v>174.14794520547943</v>
      </c>
      <c r="BC127" s="1237"/>
      <c r="BD127" s="1237"/>
      <c r="BE127" s="1279"/>
      <c r="BF127" s="1279"/>
      <c r="BG127" s="1279">
        <f t="shared" si="555"/>
        <v>91.34</v>
      </c>
      <c r="BH127" s="1279">
        <f t="shared" si="556"/>
        <v>82.978333333333339</v>
      </c>
      <c r="BI127" s="1279">
        <f t="shared" si="557"/>
        <v>89.218333333333334</v>
      </c>
      <c r="BJ127" s="1279">
        <f t="shared" si="558"/>
        <v>99.13573059360732</v>
      </c>
      <c r="BK127" s="1279">
        <f t="shared" si="559"/>
        <v>97.862499999999983</v>
      </c>
      <c r="BL127" s="1279">
        <f t="shared" si="560"/>
        <v>174.21769406392696</v>
      </c>
      <c r="BM127" s="1573">
        <f t="shared" si="561"/>
        <v>279.38356164383566</v>
      </c>
      <c r="BN127" s="1573">
        <f t="shared" si="562"/>
        <v>265.64383561643837</v>
      </c>
      <c r="BO127" s="1573">
        <f t="shared" si="563"/>
        <v>197.8876712328767</v>
      </c>
      <c r="BP127" s="1573">
        <f t="shared" si="564"/>
        <v>174.14794520547943</v>
      </c>
      <c r="BQ127" s="1205"/>
      <c r="BR127" s="1206"/>
      <c r="BU127" s="1186"/>
      <c r="BV127" s="1551"/>
      <c r="BW127" s="1551"/>
      <c r="BX127" s="1551"/>
    </row>
    <row r="128" spans="1:77" ht="12.75" customHeight="1">
      <c r="A128" s="1187"/>
      <c r="B128" s="1619"/>
      <c r="C128" s="1621" t="str">
        <f t="shared" si="573"/>
        <v>ISO-NE NEMA-Boston</v>
      </c>
      <c r="D128" s="1621" t="str">
        <f t="shared" si="573"/>
        <v/>
      </c>
      <c r="E128" s="1621" t="str">
        <f t="shared" si="573"/>
        <v/>
      </c>
      <c r="F128" s="1572"/>
      <c r="G128" s="1598" t="str">
        <f t="shared" si="565"/>
        <v/>
      </c>
      <c r="H128" s="1597" t="str">
        <f t="shared" ref="H128:AK128" si="608">IF(ISBLANK(H271),"",H271)</f>
        <v/>
      </c>
      <c r="I128" s="1597" t="str">
        <f t="shared" si="608"/>
        <v/>
      </c>
      <c r="J128" s="1599" t="str">
        <f t="shared" si="608"/>
        <v/>
      </c>
      <c r="K128" s="1598" t="str">
        <f t="shared" si="608"/>
        <v/>
      </c>
      <c r="L128" s="1597" t="str">
        <f t="shared" si="608"/>
        <v/>
      </c>
      <c r="M128" s="1597" t="str">
        <f t="shared" si="608"/>
        <v/>
      </c>
      <c r="N128" s="1599" t="str">
        <f t="shared" si="608"/>
        <v/>
      </c>
      <c r="O128" s="1598">
        <f t="shared" si="608"/>
        <v>102.54</v>
      </c>
      <c r="P128" s="1597">
        <f t="shared" si="608"/>
        <v>96.14</v>
      </c>
      <c r="Q128" s="1597">
        <f t="shared" si="608"/>
        <v>83.34</v>
      </c>
      <c r="R128" s="1236">
        <f t="shared" si="608"/>
        <v>83.34</v>
      </c>
      <c r="S128" s="1234">
        <f t="shared" si="608"/>
        <v>83.34</v>
      </c>
      <c r="T128" s="1235">
        <f t="shared" si="608"/>
        <v>83.13333333333334</v>
      </c>
      <c r="U128" s="1235">
        <f t="shared" si="608"/>
        <v>82.72</v>
      </c>
      <c r="V128" s="1236">
        <f t="shared" si="608"/>
        <v>82.72</v>
      </c>
      <c r="W128" s="1235">
        <f t="shared" si="608"/>
        <v>82.72</v>
      </c>
      <c r="X128" s="1235">
        <f t="shared" si="608"/>
        <v>86.433333333333337</v>
      </c>
      <c r="Y128" s="1235">
        <f t="shared" si="608"/>
        <v>93.86</v>
      </c>
      <c r="Z128" s="1236">
        <f t="shared" si="608"/>
        <v>93.86</v>
      </c>
      <c r="AA128" s="1235">
        <f t="shared" si="608"/>
        <v>93.86</v>
      </c>
      <c r="AB128" s="1235">
        <f t="shared" si="608"/>
        <v>96.874703196347028</v>
      </c>
      <c r="AC128" s="1235">
        <f t="shared" si="608"/>
        <v>102.9041095890411</v>
      </c>
      <c r="AD128" s="1236">
        <f t="shared" si="608"/>
        <v>102.9041095890411</v>
      </c>
      <c r="AE128" s="1235">
        <f t="shared" si="608"/>
        <v>103</v>
      </c>
      <c r="AF128" s="1235">
        <f t="shared" si="608"/>
        <v>161</v>
      </c>
      <c r="AG128" s="1235">
        <f t="shared" si="608"/>
        <v>219</v>
      </c>
      <c r="AH128" s="1236">
        <f t="shared" si="608"/>
        <v>219</v>
      </c>
      <c r="AI128" s="1623">
        <f t="shared" si="608"/>
        <v>219</v>
      </c>
      <c r="AJ128" s="1623">
        <f t="shared" si="608"/>
        <v>310.38356164383561</v>
      </c>
      <c r="AK128" s="1623">
        <f t="shared" si="608"/>
        <v>493.15068493150687</v>
      </c>
      <c r="AL128" s="1236">
        <f t="shared" si="567"/>
        <v>493.15068493150687</v>
      </c>
      <c r="AM128" s="1623">
        <f t="shared" si="605"/>
        <v>493.15068493150687</v>
      </c>
      <c r="AN128" s="1623">
        <f t="shared" si="605"/>
        <v>433.42465753424653</v>
      </c>
      <c r="AO128" s="1623">
        <f t="shared" si="605"/>
        <v>313.97260273972609</v>
      </c>
      <c r="AP128" s="1622">
        <f t="shared" si="605"/>
        <v>313.97260273972609</v>
      </c>
      <c r="AQ128" s="1623">
        <f t="shared" ref="AQ128:AX128" si="609">IF(ISBLANK(AQ271),"",AQ271)</f>
        <v>313.97260273972609</v>
      </c>
      <c r="AR128" s="1623">
        <f t="shared" si="609"/>
        <v>286.35616438356169</v>
      </c>
      <c r="AS128" s="1623">
        <f t="shared" si="609"/>
        <v>231.12328767123287</v>
      </c>
      <c r="AT128" s="1622">
        <f t="shared" si="609"/>
        <v>231.12328767123287</v>
      </c>
      <c r="AU128" s="1623">
        <f t="shared" si="609"/>
        <v>231.12328767123287</v>
      </c>
      <c r="AV128" s="1623">
        <f t="shared" si="609"/>
        <v>212.13150684931506</v>
      </c>
      <c r="AW128" s="1623">
        <f t="shared" si="609"/>
        <v>174.14794520547943</v>
      </c>
      <c r="AX128" s="1622">
        <f t="shared" si="609"/>
        <v>174.14794520547943</v>
      </c>
      <c r="AY128" s="1623">
        <f t="shared" ref="AY128:BB128" si="610">IF(ISBLANK(AY271),"",AY271)</f>
        <v>174.14794520547943</v>
      </c>
      <c r="AZ128" s="1623">
        <f t="shared" si="610"/>
        <v>174.14794520547943</v>
      </c>
      <c r="BA128" s="1623">
        <f t="shared" si="610"/>
        <v>174.14794520547943</v>
      </c>
      <c r="BB128" s="1622">
        <f t="shared" si="610"/>
        <v>174.14794520547943</v>
      </c>
      <c r="BC128" s="1237"/>
      <c r="BD128" s="1237"/>
      <c r="BE128" s="1279"/>
      <c r="BF128" s="1279"/>
      <c r="BG128" s="1279">
        <f t="shared" si="555"/>
        <v>91.34</v>
      </c>
      <c r="BH128" s="1279">
        <f t="shared" si="556"/>
        <v>82.978333333333339</v>
      </c>
      <c r="BI128" s="1279">
        <f t="shared" si="557"/>
        <v>89.218333333333334</v>
      </c>
      <c r="BJ128" s="1279">
        <f t="shared" si="558"/>
        <v>99.13573059360732</v>
      </c>
      <c r="BK128" s="1279">
        <f t="shared" si="559"/>
        <v>175.5</v>
      </c>
      <c r="BL128" s="1279">
        <f t="shared" si="560"/>
        <v>378.92123287671234</v>
      </c>
      <c r="BM128" s="1573">
        <f t="shared" si="561"/>
        <v>388.63013698630141</v>
      </c>
      <c r="BN128" s="1573">
        <f t="shared" si="562"/>
        <v>265.64383561643837</v>
      </c>
      <c r="BO128" s="1573">
        <f t="shared" si="563"/>
        <v>197.8876712328767</v>
      </c>
      <c r="BP128" s="1573">
        <f t="shared" si="564"/>
        <v>174.14794520547943</v>
      </c>
      <c r="BQ128" s="1205"/>
      <c r="BR128" s="1206"/>
      <c r="BU128" s="1186"/>
      <c r="BV128" s="1551"/>
      <c r="BW128" s="1551"/>
      <c r="BX128" s="1551"/>
    </row>
    <row r="129" spans="1:76" ht="12.75" customHeight="1">
      <c r="A129" s="1187"/>
      <c r="B129" s="1619"/>
      <c r="C129" s="1621" t="s">
        <v>943</v>
      </c>
      <c r="D129" s="1621" t="str">
        <f>IF(ISBLANK(D272),"",D272)</f>
        <v/>
      </c>
      <c r="E129" s="1621" t="str">
        <f>IF(ISBLANK(E272),"",E272)</f>
        <v/>
      </c>
      <c r="F129" s="1572" t="str">
        <f>IF(ISBLANK(F272),"",F272)</f>
        <v/>
      </c>
      <c r="G129" s="1598" t="str">
        <f t="shared" si="565"/>
        <v/>
      </c>
      <c r="H129" s="1597" t="str">
        <f t="shared" ref="H129:N142" si="611">IF(ISBLANK(H272),"",H272)</f>
        <v/>
      </c>
      <c r="I129" s="1597" t="str">
        <f t="shared" si="611"/>
        <v/>
      </c>
      <c r="J129" s="1599" t="str">
        <f t="shared" si="611"/>
        <v/>
      </c>
      <c r="K129" s="1595" t="str">
        <f t="shared" si="611"/>
        <v/>
      </c>
      <c r="L129" s="1597" t="str">
        <f t="shared" si="611"/>
        <v/>
      </c>
      <c r="M129" s="1597" t="str">
        <f t="shared" si="611"/>
        <v/>
      </c>
      <c r="N129" s="1599" t="str">
        <f t="shared" si="611"/>
        <v/>
      </c>
      <c r="O129" s="1234">
        <f t="shared" ref="O129:AX129" si="612">O123</f>
        <v>5</v>
      </c>
      <c r="P129" s="1235">
        <f t="shared" si="612"/>
        <v>29</v>
      </c>
      <c r="Q129" s="1235">
        <f t="shared" si="612"/>
        <v>41</v>
      </c>
      <c r="R129" s="1236">
        <f t="shared" si="612"/>
        <v>31.666666666666668</v>
      </c>
      <c r="S129" s="1234">
        <f t="shared" si="612"/>
        <v>27</v>
      </c>
      <c r="T129" s="1235">
        <f t="shared" si="612"/>
        <v>101</v>
      </c>
      <c r="U129" s="1235">
        <f t="shared" si="612"/>
        <v>138</v>
      </c>
      <c r="V129" s="1236">
        <f t="shared" si="612"/>
        <v>108.66666666666667</v>
      </c>
      <c r="W129" s="1235">
        <f t="shared" si="612"/>
        <v>94</v>
      </c>
      <c r="X129" s="1235">
        <f t="shared" si="612"/>
        <v>144</v>
      </c>
      <c r="Y129" s="1235">
        <f t="shared" si="612"/>
        <v>169</v>
      </c>
      <c r="Z129" s="1236">
        <f t="shared" si="612"/>
        <v>108.38812785388127</v>
      </c>
      <c r="AA129" s="1235">
        <f t="shared" si="612"/>
        <v>78.082191780821915</v>
      </c>
      <c r="AB129" s="1235">
        <f t="shared" si="612"/>
        <v>103.83561643835614</v>
      </c>
      <c r="AC129" s="1235">
        <f t="shared" si="612"/>
        <v>116.71232876712327</v>
      </c>
      <c r="AD129" s="1236">
        <f t="shared" si="612"/>
        <v>63.452054794520535</v>
      </c>
      <c r="AE129" s="1235">
        <f t="shared" si="612"/>
        <v>36.821917808219183</v>
      </c>
      <c r="AF129" s="1235">
        <f t="shared" si="612"/>
        <v>91.61643835616438</v>
      </c>
      <c r="AG129" s="1235">
        <f t="shared" si="612"/>
        <v>119.01369863013699</v>
      </c>
      <c r="AH129" s="1236">
        <f t="shared" si="612"/>
        <v>56.109589041095887</v>
      </c>
      <c r="AI129" s="1235">
        <f t="shared" si="612"/>
        <v>24.657534246575342</v>
      </c>
      <c r="AJ129" s="1235">
        <f t="shared" si="612"/>
        <v>101.36986301369862</v>
      </c>
      <c r="AK129" s="1235">
        <f t="shared" si="612"/>
        <v>139.72602739726028</v>
      </c>
      <c r="AL129" s="1236">
        <f t="shared" si="612"/>
        <v>75.06849315068493</v>
      </c>
      <c r="AM129" s="1235">
        <f t="shared" si="612"/>
        <v>42.739726027397268</v>
      </c>
      <c r="AN129" s="1235">
        <f t="shared" si="612"/>
        <v>123.83561643835615</v>
      </c>
      <c r="AO129" s="1235">
        <f t="shared" si="612"/>
        <v>164.38356164383561</v>
      </c>
      <c r="AP129" s="1236">
        <f t="shared" si="612"/>
        <v>83.287671232876704</v>
      </c>
      <c r="AQ129" s="1235">
        <f t="shared" si="612"/>
        <v>42.739726027397268</v>
      </c>
      <c r="AR129" s="1235">
        <f t="shared" si="612"/>
        <v>123.83561643835615</v>
      </c>
      <c r="AS129" s="1235">
        <f t="shared" si="612"/>
        <v>164.38356164383561</v>
      </c>
      <c r="AT129" s="1236">
        <f t="shared" si="612"/>
        <v>83.287671232876704</v>
      </c>
      <c r="AU129" s="1235">
        <f t="shared" si="612"/>
        <v>42.739726027397268</v>
      </c>
      <c r="AV129" s="1235">
        <f t="shared" si="612"/>
        <v>123.83561643835615</v>
      </c>
      <c r="AW129" s="1235">
        <f t="shared" si="612"/>
        <v>164.38356164383561</v>
      </c>
      <c r="AX129" s="1236">
        <f t="shared" si="612"/>
        <v>83.287671232876704</v>
      </c>
      <c r="AY129" s="1235">
        <f t="shared" ref="AY129:BB129" si="613">AY123</f>
        <v>42.739726027397268</v>
      </c>
      <c r="AZ129" s="1235">
        <f t="shared" si="613"/>
        <v>123.83561643835615</v>
      </c>
      <c r="BA129" s="1235">
        <f t="shared" si="613"/>
        <v>164.38356164383561</v>
      </c>
      <c r="BB129" s="1236">
        <f t="shared" si="613"/>
        <v>83.287671232876704</v>
      </c>
      <c r="BC129" s="1237"/>
      <c r="BD129" s="1237"/>
      <c r="BE129" s="1279"/>
      <c r="BF129" s="1279"/>
      <c r="BG129" s="1279">
        <f t="shared" si="555"/>
        <v>26.666666666666668</v>
      </c>
      <c r="BH129" s="1279">
        <f t="shared" si="556"/>
        <v>93.666666666666671</v>
      </c>
      <c r="BI129" s="1279">
        <f t="shared" si="557"/>
        <v>128.84703196347033</v>
      </c>
      <c r="BJ129" s="1279">
        <f t="shared" si="558"/>
        <v>90.520547945205465</v>
      </c>
      <c r="BK129" s="1279">
        <f t="shared" si="559"/>
        <v>75.890410958904113</v>
      </c>
      <c r="BL129" s="1279">
        <f t="shared" si="560"/>
        <v>85.205479452054789</v>
      </c>
      <c r="BM129" s="1573">
        <f t="shared" si="561"/>
        <v>103.56164383561642</v>
      </c>
      <c r="BN129" s="1573">
        <f t="shared" si="562"/>
        <v>103.56164383561642</v>
      </c>
      <c r="BO129" s="1573">
        <f t="shared" si="563"/>
        <v>103.56164383561642</v>
      </c>
      <c r="BP129" s="1573">
        <f t="shared" si="564"/>
        <v>103.56164383561642</v>
      </c>
      <c r="BQ129" s="1205"/>
      <c r="BR129" s="1206"/>
      <c r="BU129" s="1186"/>
      <c r="BV129" s="1551"/>
      <c r="BW129" s="1551"/>
      <c r="BX129" s="1551"/>
    </row>
    <row r="130" spans="1:76" ht="12.75" customHeight="1">
      <c r="A130" s="1187"/>
      <c r="B130" s="1619"/>
      <c r="G130" s="1598" t="str">
        <f t="shared" si="565"/>
        <v/>
      </c>
      <c r="H130" s="1597" t="str">
        <f t="shared" si="611"/>
        <v/>
      </c>
      <c r="I130" s="1597" t="str">
        <f t="shared" si="611"/>
        <v/>
      </c>
      <c r="J130" s="1599" t="str">
        <f t="shared" si="611"/>
        <v/>
      </c>
      <c r="K130" s="1598" t="str">
        <f t="shared" si="611"/>
        <v/>
      </c>
      <c r="L130" s="1597" t="str">
        <f t="shared" si="611"/>
        <v/>
      </c>
      <c r="M130" s="1597" t="str">
        <f t="shared" si="611"/>
        <v/>
      </c>
      <c r="N130" s="1599" t="str">
        <f t="shared" si="611"/>
        <v/>
      </c>
      <c r="O130" s="1598">
        <f t="shared" ref="O130:AD142" si="614">IF(ISBLANK(O273),"",O273)</f>
        <v>102.54</v>
      </c>
      <c r="P130" s="1597">
        <f t="shared" si="614"/>
        <v>96.14</v>
      </c>
      <c r="Q130" s="1597">
        <f t="shared" si="614"/>
        <v>83.34</v>
      </c>
      <c r="R130" s="1236">
        <f t="shared" si="614"/>
        <v>83.34</v>
      </c>
      <c r="S130" s="1234">
        <f t="shared" si="614"/>
        <v>83.34</v>
      </c>
      <c r="T130" s="1235">
        <f t="shared" si="614"/>
        <v>83.13333333333334</v>
      </c>
      <c r="U130" s="1235">
        <f t="shared" si="614"/>
        <v>82.72</v>
      </c>
      <c r="V130" s="1236">
        <f t="shared" si="614"/>
        <v>82.72</v>
      </c>
      <c r="W130" s="1235">
        <f t="shared" si="614"/>
        <v>82.72</v>
      </c>
      <c r="X130" s="1235">
        <f t="shared" si="614"/>
        <v>86.433333333333337</v>
      </c>
      <c r="Y130" s="1235">
        <f t="shared" si="614"/>
        <v>93.86</v>
      </c>
      <c r="Z130" s="1236">
        <f t="shared" si="614"/>
        <v>93.86</v>
      </c>
      <c r="AA130" s="1235">
        <f t="shared" si="614"/>
        <v>93.86</v>
      </c>
      <c r="AB130" s="1235">
        <f t="shared" si="614"/>
        <v>96.874703196347028</v>
      </c>
      <c r="AC130" s="1235">
        <f t="shared" si="614"/>
        <v>102.9041095890411</v>
      </c>
      <c r="AD130" s="1236">
        <f t="shared" si="614"/>
        <v>102.9041095890411</v>
      </c>
      <c r="AE130" s="1235">
        <f t="shared" ref="AE130:AW130" si="615">IF(ISBLANK(AE273),"",AE273)</f>
        <v>103</v>
      </c>
      <c r="AF130" s="1235">
        <f t="shared" si="615"/>
        <v>98.736666666666665</v>
      </c>
      <c r="AG130" s="1235">
        <f t="shared" si="615"/>
        <v>90.21</v>
      </c>
      <c r="AH130" s="1236">
        <f t="shared" si="615"/>
        <v>90.21</v>
      </c>
      <c r="AI130" s="1623">
        <f t="shared" si="615"/>
        <v>90.21</v>
      </c>
      <c r="AJ130" s="1623">
        <f t="shared" si="615"/>
        <v>137.126301369863</v>
      </c>
      <c r="AK130" s="1623">
        <f t="shared" si="615"/>
        <v>230.95890410958907</v>
      </c>
      <c r="AL130" s="1236">
        <f t="shared" si="615"/>
        <v>230.95890410958907</v>
      </c>
      <c r="AM130" s="1623">
        <f t="shared" si="615"/>
        <v>230.95890410958907</v>
      </c>
      <c r="AN130" s="1623">
        <f t="shared" si="615"/>
        <v>275.39726027397262</v>
      </c>
      <c r="AO130" s="1623">
        <f t="shared" si="615"/>
        <v>364.27397260273972</v>
      </c>
      <c r="AP130" s="1622">
        <f t="shared" si="615"/>
        <v>364.27397260273972</v>
      </c>
      <c r="AQ130" s="1623">
        <f t="shared" si="615"/>
        <v>364.27397260273972</v>
      </c>
      <c r="AR130" s="1623">
        <f t="shared" si="615"/>
        <v>319.89041095890411</v>
      </c>
      <c r="AS130" s="1623">
        <f t="shared" si="615"/>
        <v>231.12328767123287</v>
      </c>
      <c r="AT130" s="1622">
        <f t="shared" si="615"/>
        <v>231.12328767123287</v>
      </c>
      <c r="AU130" s="1623">
        <f t="shared" si="615"/>
        <v>231.12328767123287</v>
      </c>
      <c r="AV130" s="1623">
        <f t="shared" si="615"/>
        <v>212.13150684931506</v>
      </c>
      <c r="AW130" s="1623">
        <f t="shared" si="615"/>
        <v>174.14794520547943</v>
      </c>
      <c r="AX130" s="1622">
        <f>IF(ISBLANK(AX273),"",AX273)</f>
        <v>174.14794520547943</v>
      </c>
      <c r="AY130" s="1623">
        <f t="shared" ref="AY130:BA130" si="616">IF(ISBLANK(AY273),"",AY273)</f>
        <v>174.14794520547943</v>
      </c>
      <c r="AZ130" s="1623">
        <f t="shared" si="616"/>
        <v>174.14794520547943</v>
      </c>
      <c r="BA130" s="1623">
        <f t="shared" si="616"/>
        <v>174.14794520547943</v>
      </c>
      <c r="BB130" s="1622">
        <f>IF(ISBLANK(BB273),"",BB273)</f>
        <v>174.14794520547943</v>
      </c>
      <c r="BC130" s="1600"/>
      <c r="BD130" s="1219"/>
      <c r="BE130" s="1270"/>
      <c r="BF130" s="1270"/>
      <c r="BG130" s="1270"/>
      <c r="BH130" s="1270"/>
      <c r="BI130" s="1270"/>
      <c r="BJ130" s="1270"/>
      <c r="BK130" s="1270"/>
      <c r="BL130" s="1270"/>
      <c r="BM130" s="1582"/>
      <c r="BN130" s="1582"/>
      <c r="BO130" s="1582"/>
      <c r="BP130" s="1582"/>
      <c r="BQ130" s="1205"/>
      <c r="BR130" s="1206"/>
      <c r="BU130" s="1186"/>
      <c r="BV130" s="1551"/>
      <c r="BW130" s="1551"/>
      <c r="BX130" s="1551"/>
    </row>
    <row r="131" spans="1:76" ht="12.75" customHeight="1">
      <c r="A131" s="1187"/>
      <c r="B131" s="1619"/>
      <c r="C131" s="1216" t="str">
        <f t="shared" ref="C131:E142" si="617">IF(ISBLANK(C274),"",C274)</f>
        <v>Emissions Prices ($/ton)</v>
      </c>
      <c r="D131" s="1227" t="str">
        <f t="shared" si="617"/>
        <v/>
      </c>
      <c r="E131" s="1227" t="str">
        <f t="shared" si="617"/>
        <v/>
      </c>
      <c r="F131" s="1348"/>
      <c r="G131" s="1598" t="str">
        <f t="shared" si="565"/>
        <v/>
      </c>
      <c r="H131" s="1597" t="str">
        <f t="shared" si="611"/>
        <v/>
      </c>
      <c r="I131" s="1597" t="str">
        <f t="shared" si="611"/>
        <v/>
      </c>
      <c r="J131" s="1599" t="str">
        <f t="shared" si="611"/>
        <v/>
      </c>
      <c r="K131" s="1598" t="str">
        <f t="shared" si="611"/>
        <v/>
      </c>
      <c r="L131" s="1597" t="str">
        <f t="shared" si="611"/>
        <v/>
      </c>
      <c r="M131" s="1597" t="str">
        <f t="shared" si="611"/>
        <v/>
      </c>
      <c r="N131" s="1599" t="str">
        <f t="shared" si="611"/>
        <v/>
      </c>
      <c r="O131" s="1598" t="str">
        <f t="shared" si="614"/>
        <v/>
      </c>
      <c r="P131" s="1597" t="str">
        <f t="shared" si="614"/>
        <v/>
      </c>
      <c r="Q131" s="1597" t="str">
        <f t="shared" si="614"/>
        <v/>
      </c>
      <c r="R131" s="1236" t="str">
        <f t="shared" si="614"/>
        <v/>
      </c>
      <c r="S131" s="1234" t="str">
        <f t="shared" si="614"/>
        <v/>
      </c>
      <c r="T131" s="1235" t="str">
        <f t="shared" si="614"/>
        <v/>
      </c>
      <c r="U131" s="1235" t="str">
        <f t="shared" si="614"/>
        <v/>
      </c>
      <c r="V131" s="1236" t="str">
        <f t="shared" si="614"/>
        <v/>
      </c>
      <c r="W131" s="1235" t="str">
        <f t="shared" ref="W131:AP131" si="618">IF(ISBLANK(W274),"",W274)</f>
        <v/>
      </c>
      <c r="X131" s="1235" t="str">
        <f t="shared" si="618"/>
        <v/>
      </c>
      <c r="Y131" s="1235" t="str">
        <f t="shared" si="618"/>
        <v/>
      </c>
      <c r="Z131" s="1236" t="str">
        <f t="shared" si="618"/>
        <v/>
      </c>
      <c r="AA131" s="1235" t="str">
        <f t="shared" si="618"/>
        <v/>
      </c>
      <c r="AB131" s="1235" t="str">
        <f t="shared" si="618"/>
        <v/>
      </c>
      <c r="AC131" s="1235" t="str">
        <f t="shared" si="618"/>
        <v/>
      </c>
      <c r="AD131" s="1236" t="str">
        <f t="shared" si="618"/>
        <v/>
      </c>
      <c r="AE131" s="1235" t="str">
        <f t="shared" si="618"/>
        <v/>
      </c>
      <c r="AF131" s="1235" t="str">
        <f t="shared" si="618"/>
        <v/>
      </c>
      <c r="AG131" s="1235" t="str">
        <f t="shared" si="618"/>
        <v/>
      </c>
      <c r="AH131" s="1236" t="str">
        <f t="shared" si="618"/>
        <v/>
      </c>
      <c r="AI131" s="1623" t="str">
        <f t="shared" si="618"/>
        <v/>
      </c>
      <c r="AJ131" s="1623" t="str">
        <f t="shared" si="618"/>
        <v/>
      </c>
      <c r="AK131" s="1623" t="str">
        <f t="shared" si="618"/>
        <v/>
      </c>
      <c r="AL131" s="1236" t="str">
        <f t="shared" si="618"/>
        <v/>
      </c>
      <c r="AM131" s="1623" t="str">
        <f t="shared" si="618"/>
        <v/>
      </c>
      <c r="AN131" s="1623" t="str">
        <f t="shared" si="618"/>
        <v/>
      </c>
      <c r="AO131" s="1623" t="str">
        <f t="shared" si="618"/>
        <v/>
      </c>
      <c r="AP131" s="1622" t="str">
        <f t="shared" si="618"/>
        <v/>
      </c>
      <c r="AQ131" s="1623" t="str">
        <f t="shared" ref="AQ131:AX131" si="619">IF(ISBLANK(AQ274),"",AQ274)</f>
        <v/>
      </c>
      <c r="AR131" s="1623" t="str">
        <f t="shared" si="619"/>
        <v/>
      </c>
      <c r="AS131" s="1623" t="str">
        <f t="shared" si="619"/>
        <v/>
      </c>
      <c r="AT131" s="1622" t="str">
        <f t="shared" si="619"/>
        <v/>
      </c>
      <c r="AU131" s="1623" t="str">
        <f t="shared" si="619"/>
        <v/>
      </c>
      <c r="AV131" s="1623" t="str">
        <f t="shared" si="619"/>
        <v/>
      </c>
      <c r="AW131" s="1623" t="str">
        <f t="shared" si="619"/>
        <v/>
      </c>
      <c r="AX131" s="1622" t="str">
        <f t="shared" si="619"/>
        <v/>
      </c>
      <c r="AY131" s="1623" t="str">
        <f t="shared" ref="AY131:BB131" si="620">IF(ISBLANK(AY274),"",AY274)</f>
        <v/>
      </c>
      <c r="AZ131" s="1623" t="str">
        <f t="shared" si="620"/>
        <v/>
      </c>
      <c r="BA131" s="1623" t="str">
        <f t="shared" si="620"/>
        <v/>
      </c>
      <c r="BB131" s="1622" t="str">
        <f t="shared" si="620"/>
        <v/>
      </c>
      <c r="BC131" s="1237"/>
      <c r="BD131" s="1237"/>
      <c r="BE131" s="1279"/>
      <c r="BF131" s="1279"/>
      <c r="BG131" s="1279"/>
      <c r="BH131" s="1279"/>
      <c r="BI131" s="1279"/>
      <c r="BJ131" s="1279"/>
      <c r="BK131" s="1279"/>
      <c r="BL131" s="1279"/>
      <c r="BM131" s="1279"/>
      <c r="BN131" s="1279"/>
      <c r="BO131" s="1279"/>
      <c r="BP131" s="1279"/>
      <c r="BQ131" s="1205"/>
      <c r="BR131" s="1206"/>
      <c r="BU131" s="1186"/>
      <c r="BV131" s="1551"/>
      <c r="BW131" s="1551"/>
      <c r="BX131" s="1551"/>
    </row>
    <row r="132" spans="1:76" ht="12.75" customHeight="1">
      <c r="A132" s="1187"/>
      <c r="B132" s="1619"/>
      <c r="C132" s="1621" t="str">
        <f t="shared" si="617"/>
        <v>CO2</v>
      </c>
      <c r="D132" s="1621" t="str">
        <f t="shared" si="617"/>
        <v/>
      </c>
      <c r="E132" s="1621" t="str">
        <f t="shared" si="617"/>
        <v/>
      </c>
      <c r="F132" s="1572"/>
      <c r="G132" s="1598" t="str">
        <f t="shared" si="565"/>
        <v/>
      </c>
      <c r="H132" s="1597" t="str">
        <f t="shared" si="611"/>
        <v/>
      </c>
      <c r="I132" s="1597" t="str">
        <f t="shared" si="611"/>
        <v/>
      </c>
      <c r="J132" s="1599" t="str">
        <f t="shared" si="611"/>
        <v/>
      </c>
      <c r="K132" s="1598" t="str">
        <f t="shared" si="611"/>
        <v/>
      </c>
      <c r="L132" s="1597" t="str">
        <f t="shared" si="611"/>
        <v/>
      </c>
      <c r="M132" s="1597" t="str">
        <f t="shared" si="611"/>
        <v/>
      </c>
      <c r="N132" s="1599" t="str">
        <f t="shared" si="611"/>
        <v/>
      </c>
      <c r="O132" s="1598" t="str">
        <f t="shared" si="614"/>
        <v/>
      </c>
      <c r="P132" s="1597" t="str">
        <f t="shared" si="614"/>
        <v/>
      </c>
      <c r="Q132" s="1597" t="str">
        <f t="shared" si="614"/>
        <v/>
      </c>
      <c r="R132" s="1236" t="str">
        <f t="shared" si="614"/>
        <v/>
      </c>
      <c r="S132" s="1234">
        <f t="shared" si="614"/>
        <v>0</v>
      </c>
      <c r="T132" s="1235">
        <f t="shared" si="614"/>
        <v>0</v>
      </c>
      <c r="U132" s="1235">
        <f t="shared" si="614"/>
        <v>0</v>
      </c>
      <c r="V132" s="1236">
        <f t="shared" si="614"/>
        <v>0</v>
      </c>
      <c r="W132" s="1235">
        <f t="shared" ref="W132:AP132" si="621">IF(ISBLANK(W275),"",W275)</f>
        <v>0</v>
      </c>
      <c r="X132" s="1235">
        <f t="shared" si="621"/>
        <v>0</v>
      </c>
      <c r="Y132" s="1235">
        <f t="shared" si="621"/>
        <v>0</v>
      </c>
      <c r="Z132" s="1236">
        <f t="shared" si="621"/>
        <v>0</v>
      </c>
      <c r="AA132" s="1235">
        <f t="shared" si="621"/>
        <v>0</v>
      </c>
      <c r="AB132" s="1235">
        <f t="shared" si="621"/>
        <v>0</v>
      </c>
      <c r="AC132" s="1235">
        <f t="shared" si="621"/>
        <v>0</v>
      </c>
      <c r="AD132" s="1236">
        <f t="shared" si="621"/>
        <v>0</v>
      </c>
      <c r="AE132" s="1235">
        <f t="shared" si="621"/>
        <v>0</v>
      </c>
      <c r="AF132" s="1235">
        <f t="shared" si="621"/>
        <v>0</v>
      </c>
      <c r="AG132" s="1235">
        <f t="shared" si="621"/>
        <v>0</v>
      </c>
      <c r="AH132" s="1236">
        <f t="shared" si="621"/>
        <v>0</v>
      </c>
      <c r="AI132" s="1623">
        <f t="shared" si="621"/>
        <v>0</v>
      </c>
      <c r="AJ132" s="1623">
        <f t="shared" si="621"/>
        <v>0</v>
      </c>
      <c r="AK132" s="1623">
        <f t="shared" si="621"/>
        <v>0</v>
      </c>
      <c r="AL132" s="1236">
        <f t="shared" si="621"/>
        <v>0</v>
      </c>
      <c r="AM132" s="1623">
        <f t="shared" si="621"/>
        <v>0</v>
      </c>
      <c r="AN132" s="1623">
        <f t="shared" si="621"/>
        <v>0</v>
      </c>
      <c r="AO132" s="1623">
        <f t="shared" si="621"/>
        <v>0</v>
      </c>
      <c r="AP132" s="1622">
        <f t="shared" si="621"/>
        <v>0</v>
      </c>
      <c r="AQ132" s="1623">
        <f t="shared" ref="AQ132:AX132" si="622">IF(ISBLANK(AQ275),"",AQ275)</f>
        <v>0</v>
      </c>
      <c r="AR132" s="1623">
        <f t="shared" si="622"/>
        <v>0</v>
      </c>
      <c r="AS132" s="1623">
        <f t="shared" si="622"/>
        <v>0</v>
      </c>
      <c r="AT132" s="1622">
        <f t="shared" si="622"/>
        <v>0</v>
      </c>
      <c r="AU132" s="1623">
        <f t="shared" si="622"/>
        <v>0</v>
      </c>
      <c r="AV132" s="1623">
        <f t="shared" si="622"/>
        <v>0</v>
      </c>
      <c r="AW132" s="1623">
        <f t="shared" si="622"/>
        <v>0</v>
      </c>
      <c r="AX132" s="1622">
        <f t="shared" si="622"/>
        <v>0</v>
      </c>
      <c r="AY132" s="1623">
        <f t="shared" ref="AY132:BB132" si="623">IF(ISBLANK(AY275),"",AY275)</f>
        <v>0</v>
      </c>
      <c r="AZ132" s="1623">
        <f t="shared" si="623"/>
        <v>0</v>
      </c>
      <c r="BA132" s="1623">
        <f t="shared" si="623"/>
        <v>0</v>
      </c>
      <c r="BB132" s="1622">
        <f t="shared" si="623"/>
        <v>0</v>
      </c>
      <c r="BC132" s="1237"/>
      <c r="BD132" s="1237"/>
      <c r="BE132" s="1279"/>
      <c r="BF132" s="1279"/>
      <c r="BG132" s="1279"/>
      <c r="BH132" s="1279">
        <f t="shared" ref="BH132:BH138" si="624">AVERAGE(S132:V132)</f>
        <v>0</v>
      </c>
      <c r="BI132" s="1279">
        <f t="shared" ref="BI132:BI138" si="625">AVERAGE(W132:Z132)</f>
        <v>0</v>
      </c>
      <c r="BJ132" s="1279">
        <f t="shared" ref="BJ132:BJ138" si="626">AVERAGE(AA132:AD132)</f>
        <v>0</v>
      </c>
      <c r="BK132" s="1279">
        <f t="shared" ref="BK132:BK138" si="627">AVERAGE(AE132:AH132)</f>
        <v>0</v>
      </c>
      <c r="BL132" s="1279">
        <f t="shared" ref="BL132:BL138" si="628">AVERAGE(AI132:AL132)</f>
        <v>0</v>
      </c>
      <c r="BM132" s="1573">
        <f t="shared" ref="BM132:BM138" si="629">AVERAGE(AM132:AP132)</f>
        <v>0</v>
      </c>
      <c r="BN132" s="1573">
        <f t="shared" ref="BN132:BN138" si="630">AVERAGE(AQ132:AT132)</f>
        <v>0</v>
      </c>
      <c r="BO132" s="1573">
        <f t="shared" ref="BO132:BO138" si="631">AVERAGE(AU132:AX132)</f>
        <v>0</v>
      </c>
      <c r="BP132" s="1573">
        <f>AVERAGE(AY132:BB132)</f>
        <v>0</v>
      </c>
      <c r="BQ132" s="1205"/>
      <c r="BR132" s="1206"/>
      <c r="BU132" s="1186"/>
      <c r="BV132" s="1551"/>
      <c r="BW132" s="1551"/>
      <c r="BX132" s="1551"/>
    </row>
    <row r="133" spans="1:76" ht="12.75" customHeight="1">
      <c r="A133" s="1187"/>
      <c r="B133" s="1619"/>
      <c r="C133" s="1621" t="str">
        <f t="shared" si="617"/>
        <v>RGGI CO2</v>
      </c>
      <c r="D133" s="1621" t="str">
        <f t="shared" si="617"/>
        <v/>
      </c>
      <c r="E133" s="1621" t="str">
        <f t="shared" si="617"/>
        <v/>
      </c>
      <c r="F133" s="1572"/>
      <c r="G133" s="1598" t="str">
        <f t="shared" si="565"/>
        <v/>
      </c>
      <c r="H133" s="1597" t="str">
        <f t="shared" si="611"/>
        <v/>
      </c>
      <c r="I133" s="1597" t="str">
        <f t="shared" si="611"/>
        <v/>
      </c>
      <c r="J133" s="1599" t="str">
        <f t="shared" si="611"/>
        <v/>
      </c>
      <c r="K133" s="1598" t="str">
        <f t="shared" si="611"/>
        <v/>
      </c>
      <c r="L133" s="1597" t="str">
        <f t="shared" si="611"/>
        <v/>
      </c>
      <c r="M133" s="1597" t="str">
        <f t="shared" si="611"/>
        <v/>
      </c>
      <c r="N133" s="1599" t="str">
        <f t="shared" si="611"/>
        <v/>
      </c>
      <c r="O133" s="1598" t="str">
        <f t="shared" si="614"/>
        <v/>
      </c>
      <c r="P133" s="1597" t="str">
        <f t="shared" si="614"/>
        <v/>
      </c>
      <c r="Q133" s="1597" t="str">
        <f t="shared" si="614"/>
        <v/>
      </c>
      <c r="R133" s="1236" t="str">
        <f t="shared" si="614"/>
        <v/>
      </c>
      <c r="S133" s="1234">
        <f t="shared" si="614"/>
        <v>1.97</v>
      </c>
      <c r="T133" s="1235">
        <f t="shared" si="614"/>
        <v>1.97</v>
      </c>
      <c r="U133" s="1235">
        <f t="shared" si="614"/>
        <v>1.97</v>
      </c>
      <c r="V133" s="1236">
        <f t="shared" si="614"/>
        <v>1.97</v>
      </c>
      <c r="W133" s="1235">
        <f t="shared" ref="W133:AP133" si="632">IF(ISBLANK(W276),"",W276)</f>
        <v>4</v>
      </c>
      <c r="X133" s="1235">
        <f t="shared" si="632"/>
        <v>4</v>
      </c>
      <c r="Y133" s="1235">
        <f t="shared" si="632"/>
        <v>4</v>
      </c>
      <c r="Z133" s="1236">
        <f t="shared" si="632"/>
        <v>4</v>
      </c>
      <c r="AA133" s="1235">
        <f t="shared" si="632"/>
        <v>6</v>
      </c>
      <c r="AB133" s="1235">
        <f t="shared" si="632"/>
        <v>6</v>
      </c>
      <c r="AC133" s="1235">
        <f t="shared" si="632"/>
        <v>6</v>
      </c>
      <c r="AD133" s="1236">
        <f t="shared" si="632"/>
        <v>6</v>
      </c>
      <c r="AE133" s="1235">
        <f t="shared" si="632"/>
        <v>8</v>
      </c>
      <c r="AF133" s="1235">
        <f t="shared" si="632"/>
        <v>8</v>
      </c>
      <c r="AG133" s="1235">
        <f t="shared" si="632"/>
        <v>8</v>
      </c>
      <c r="AH133" s="1236">
        <f t="shared" si="632"/>
        <v>8</v>
      </c>
      <c r="AI133" s="1623">
        <f t="shared" si="632"/>
        <v>10</v>
      </c>
      <c r="AJ133" s="1623">
        <f t="shared" si="632"/>
        <v>10</v>
      </c>
      <c r="AK133" s="1623">
        <f t="shared" si="632"/>
        <v>10</v>
      </c>
      <c r="AL133" s="1236">
        <f t="shared" si="632"/>
        <v>10</v>
      </c>
      <c r="AM133" s="1623">
        <f t="shared" si="632"/>
        <v>10</v>
      </c>
      <c r="AN133" s="1623">
        <f t="shared" si="632"/>
        <v>10</v>
      </c>
      <c r="AO133" s="1623">
        <f t="shared" si="632"/>
        <v>10</v>
      </c>
      <c r="AP133" s="1622">
        <f t="shared" si="632"/>
        <v>10</v>
      </c>
      <c r="AQ133" s="1623">
        <f t="shared" ref="AQ133:AX133" si="633">IF(ISBLANK(AQ276),"",AQ276)</f>
        <v>10</v>
      </c>
      <c r="AR133" s="1623">
        <f t="shared" si="633"/>
        <v>10</v>
      </c>
      <c r="AS133" s="1623">
        <f t="shared" si="633"/>
        <v>10</v>
      </c>
      <c r="AT133" s="1622">
        <f t="shared" si="633"/>
        <v>10</v>
      </c>
      <c r="AU133" s="1623">
        <f t="shared" si="633"/>
        <v>10</v>
      </c>
      <c r="AV133" s="1623">
        <f t="shared" si="633"/>
        <v>10</v>
      </c>
      <c r="AW133" s="1623">
        <f t="shared" si="633"/>
        <v>10</v>
      </c>
      <c r="AX133" s="1622">
        <f t="shared" si="633"/>
        <v>10</v>
      </c>
      <c r="AY133" s="1623">
        <f t="shared" ref="AY133:BB133" si="634">IF(ISBLANK(AY276),"",AY276)</f>
        <v>10</v>
      </c>
      <c r="AZ133" s="1623">
        <f t="shared" si="634"/>
        <v>10</v>
      </c>
      <c r="BA133" s="1623">
        <f t="shared" si="634"/>
        <v>10</v>
      </c>
      <c r="BB133" s="1622">
        <f t="shared" si="634"/>
        <v>10</v>
      </c>
      <c r="BC133" s="1237"/>
      <c r="BD133" s="1237"/>
      <c r="BE133" s="1279"/>
      <c r="BF133" s="1279"/>
      <c r="BG133" s="1279"/>
      <c r="BH133" s="1279">
        <f t="shared" si="624"/>
        <v>1.97</v>
      </c>
      <c r="BI133" s="1279">
        <f t="shared" si="625"/>
        <v>4</v>
      </c>
      <c r="BJ133" s="1279">
        <f t="shared" si="626"/>
        <v>6</v>
      </c>
      <c r="BK133" s="1279">
        <f t="shared" si="627"/>
        <v>8</v>
      </c>
      <c r="BL133" s="1279">
        <f t="shared" si="628"/>
        <v>10</v>
      </c>
      <c r="BM133" s="1573">
        <f t="shared" si="629"/>
        <v>10</v>
      </c>
      <c r="BN133" s="1573">
        <f t="shared" si="630"/>
        <v>10</v>
      </c>
      <c r="BO133" s="1573">
        <f t="shared" si="631"/>
        <v>10</v>
      </c>
      <c r="BP133" s="1573">
        <f t="shared" ref="BP133:BP138" si="635">AVERAGE(AY133:BB133)</f>
        <v>10</v>
      </c>
      <c r="BQ133" s="1205"/>
      <c r="BR133" s="1206"/>
      <c r="BU133" s="1186"/>
      <c r="BV133" s="1551"/>
      <c r="BW133" s="1551"/>
      <c r="BX133" s="1551"/>
    </row>
    <row r="134" spans="1:76" ht="12.75" customHeight="1">
      <c r="A134" s="1187"/>
      <c r="B134" s="1619"/>
      <c r="C134" s="1621" t="str">
        <f t="shared" si="617"/>
        <v>CSAPR 1 SOX</v>
      </c>
      <c r="D134" s="1621" t="str">
        <f t="shared" si="617"/>
        <v/>
      </c>
      <c r="E134" s="1621" t="str">
        <f t="shared" si="617"/>
        <v/>
      </c>
      <c r="F134" s="1572"/>
      <c r="G134" s="1598" t="str">
        <f t="shared" si="565"/>
        <v/>
      </c>
      <c r="H134" s="1597" t="str">
        <f t="shared" si="611"/>
        <v/>
      </c>
      <c r="I134" s="1597" t="str">
        <f t="shared" si="611"/>
        <v/>
      </c>
      <c r="J134" s="1599" t="str">
        <f t="shared" si="611"/>
        <v/>
      </c>
      <c r="K134" s="1598" t="str">
        <f t="shared" si="611"/>
        <v/>
      </c>
      <c r="L134" s="1597" t="str">
        <f t="shared" si="611"/>
        <v/>
      </c>
      <c r="M134" s="1597" t="str">
        <f t="shared" si="611"/>
        <v/>
      </c>
      <c r="N134" s="1599" t="str">
        <f t="shared" si="611"/>
        <v/>
      </c>
      <c r="O134" s="1598" t="str">
        <f t="shared" si="614"/>
        <v/>
      </c>
      <c r="P134" s="1597" t="str">
        <f t="shared" si="614"/>
        <v/>
      </c>
      <c r="Q134" s="1597" t="str">
        <f t="shared" si="614"/>
        <v/>
      </c>
      <c r="R134" s="1236" t="str">
        <f t="shared" si="614"/>
        <v/>
      </c>
      <c r="S134" s="1234">
        <f t="shared" si="614"/>
        <v>0</v>
      </c>
      <c r="T134" s="1235">
        <f t="shared" si="614"/>
        <v>0</v>
      </c>
      <c r="U134" s="1235">
        <f t="shared" si="614"/>
        <v>0</v>
      </c>
      <c r="V134" s="1236">
        <f t="shared" si="614"/>
        <v>0</v>
      </c>
      <c r="W134" s="1235">
        <f t="shared" ref="W134:AP134" si="636">IF(ISBLANK(W277),"",W277)</f>
        <v>0</v>
      </c>
      <c r="X134" s="1235">
        <f t="shared" si="636"/>
        <v>0</v>
      </c>
      <c r="Y134" s="1235">
        <f t="shared" si="636"/>
        <v>0</v>
      </c>
      <c r="Z134" s="1236">
        <f t="shared" si="636"/>
        <v>0</v>
      </c>
      <c r="AA134" s="1235">
        <f t="shared" si="636"/>
        <v>0</v>
      </c>
      <c r="AB134" s="1235">
        <f t="shared" si="636"/>
        <v>0</v>
      </c>
      <c r="AC134" s="1235">
        <f t="shared" si="636"/>
        <v>0</v>
      </c>
      <c r="AD134" s="1236">
        <f t="shared" si="636"/>
        <v>0</v>
      </c>
      <c r="AE134" s="1235">
        <f t="shared" si="636"/>
        <v>0</v>
      </c>
      <c r="AF134" s="1235">
        <f t="shared" si="636"/>
        <v>0</v>
      </c>
      <c r="AG134" s="1235">
        <f t="shared" si="636"/>
        <v>0</v>
      </c>
      <c r="AH134" s="1236">
        <f t="shared" si="636"/>
        <v>0</v>
      </c>
      <c r="AI134" s="1623">
        <f t="shared" si="636"/>
        <v>0</v>
      </c>
      <c r="AJ134" s="1623">
        <f t="shared" si="636"/>
        <v>0</v>
      </c>
      <c r="AK134" s="1623">
        <f t="shared" si="636"/>
        <v>0</v>
      </c>
      <c r="AL134" s="1236">
        <f t="shared" si="636"/>
        <v>0</v>
      </c>
      <c r="AM134" s="1623">
        <f t="shared" si="636"/>
        <v>0</v>
      </c>
      <c r="AN134" s="1623">
        <f t="shared" si="636"/>
        <v>0</v>
      </c>
      <c r="AO134" s="1623">
        <f t="shared" si="636"/>
        <v>0</v>
      </c>
      <c r="AP134" s="1622">
        <f t="shared" si="636"/>
        <v>0</v>
      </c>
      <c r="AQ134" s="1623">
        <f t="shared" ref="AQ134:AX134" si="637">IF(ISBLANK(AQ277),"",AQ277)</f>
        <v>0</v>
      </c>
      <c r="AR134" s="1623">
        <f t="shared" si="637"/>
        <v>0</v>
      </c>
      <c r="AS134" s="1623">
        <f t="shared" si="637"/>
        <v>0</v>
      </c>
      <c r="AT134" s="1622">
        <f t="shared" si="637"/>
        <v>0</v>
      </c>
      <c r="AU134" s="1623">
        <f t="shared" si="637"/>
        <v>0</v>
      </c>
      <c r="AV134" s="1623">
        <f t="shared" si="637"/>
        <v>0</v>
      </c>
      <c r="AW134" s="1623">
        <f t="shared" si="637"/>
        <v>0</v>
      </c>
      <c r="AX134" s="1622">
        <f t="shared" si="637"/>
        <v>0</v>
      </c>
      <c r="AY134" s="1623">
        <f t="shared" ref="AY134:BB134" si="638">IF(ISBLANK(AY277),"",AY277)</f>
        <v>0</v>
      </c>
      <c r="AZ134" s="1623">
        <f t="shared" si="638"/>
        <v>0</v>
      </c>
      <c r="BA134" s="1623">
        <f t="shared" si="638"/>
        <v>0</v>
      </c>
      <c r="BB134" s="1622">
        <f t="shared" si="638"/>
        <v>0</v>
      </c>
      <c r="BC134" s="1237"/>
      <c r="BD134" s="1237"/>
      <c r="BE134" s="1279"/>
      <c r="BF134" s="1279"/>
      <c r="BG134" s="1279"/>
      <c r="BH134" s="1279">
        <f t="shared" si="624"/>
        <v>0</v>
      </c>
      <c r="BI134" s="1279">
        <f t="shared" si="625"/>
        <v>0</v>
      </c>
      <c r="BJ134" s="1279">
        <f t="shared" si="626"/>
        <v>0</v>
      </c>
      <c r="BK134" s="1279">
        <f t="shared" si="627"/>
        <v>0</v>
      </c>
      <c r="BL134" s="1279">
        <f t="shared" si="628"/>
        <v>0</v>
      </c>
      <c r="BM134" s="1573">
        <f t="shared" si="629"/>
        <v>0</v>
      </c>
      <c r="BN134" s="1573">
        <f t="shared" si="630"/>
        <v>0</v>
      </c>
      <c r="BO134" s="1573">
        <f t="shared" si="631"/>
        <v>0</v>
      </c>
      <c r="BP134" s="1573">
        <f t="shared" si="635"/>
        <v>0</v>
      </c>
      <c r="BQ134" s="1205"/>
      <c r="BR134" s="1206"/>
      <c r="BU134" s="1186"/>
      <c r="BV134" s="1551"/>
      <c r="BW134" s="1551"/>
      <c r="BX134" s="1551"/>
    </row>
    <row r="135" spans="1:76" ht="12.75" customHeight="1">
      <c r="A135" s="1187"/>
      <c r="B135" s="1619"/>
      <c r="C135" s="1621" t="str">
        <f t="shared" si="617"/>
        <v>CSAPR 2 SOX</v>
      </c>
      <c r="D135" s="1621" t="str">
        <f t="shared" si="617"/>
        <v/>
      </c>
      <c r="E135" s="1621" t="str">
        <f t="shared" si="617"/>
        <v/>
      </c>
      <c r="F135" s="1572"/>
      <c r="G135" s="1598" t="str">
        <f t="shared" si="565"/>
        <v/>
      </c>
      <c r="H135" s="1597" t="str">
        <f t="shared" si="611"/>
        <v/>
      </c>
      <c r="I135" s="1597" t="str">
        <f t="shared" si="611"/>
        <v/>
      </c>
      <c r="J135" s="1599" t="str">
        <f t="shared" si="611"/>
        <v/>
      </c>
      <c r="K135" s="1598" t="str">
        <f t="shared" si="611"/>
        <v/>
      </c>
      <c r="L135" s="1597" t="str">
        <f t="shared" si="611"/>
        <v/>
      </c>
      <c r="M135" s="1597" t="str">
        <f t="shared" si="611"/>
        <v/>
      </c>
      <c r="N135" s="1599" t="str">
        <f t="shared" si="611"/>
        <v/>
      </c>
      <c r="O135" s="1598" t="str">
        <f t="shared" si="614"/>
        <v/>
      </c>
      <c r="P135" s="1597" t="str">
        <f t="shared" si="614"/>
        <v/>
      </c>
      <c r="Q135" s="1597" t="str">
        <f t="shared" si="614"/>
        <v/>
      </c>
      <c r="R135" s="1236" t="str">
        <f t="shared" si="614"/>
        <v/>
      </c>
      <c r="S135" s="1234">
        <f t="shared" si="614"/>
        <v>0</v>
      </c>
      <c r="T135" s="1235">
        <f t="shared" si="614"/>
        <v>0</v>
      </c>
      <c r="U135" s="1235">
        <f t="shared" si="614"/>
        <v>0</v>
      </c>
      <c r="V135" s="1236">
        <f t="shared" si="614"/>
        <v>0</v>
      </c>
      <c r="W135" s="1235">
        <f t="shared" ref="W135:AP135" si="639">IF(ISBLANK(W278),"",W278)</f>
        <v>0</v>
      </c>
      <c r="X135" s="1235">
        <f t="shared" si="639"/>
        <v>0</v>
      </c>
      <c r="Y135" s="1235">
        <f t="shared" si="639"/>
        <v>0</v>
      </c>
      <c r="Z135" s="1236">
        <f t="shared" si="639"/>
        <v>0</v>
      </c>
      <c r="AA135" s="1235">
        <f t="shared" si="639"/>
        <v>0</v>
      </c>
      <c r="AB135" s="1235">
        <f t="shared" si="639"/>
        <v>0</v>
      </c>
      <c r="AC135" s="1235">
        <f t="shared" si="639"/>
        <v>0</v>
      </c>
      <c r="AD135" s="1236">
        <f t="shared" si="639"/>
        <v>0</v>
      </c>
      <c r="AE135" s="1235">
        <f t="shared" si="639"/>
        <v>0</v>
      </c>
      <c r="AF135" s="1235">
        <f t="shared" si="639"/>
        <v>0</v>
      </c>
      <c r="AG135" s="1235">
        <f t="shared" si="639"/>
        <v>0</v>
      </c>
      <c r="AH135" s="1236">
        <f t="shared" si="639"/>
        <v>0</v>
      </c>
      <c r="AI135" s="1623">
        <f t="shared" si="639"/>
        <v>0</v>
      </c>
      <c r="AJ135" s="1623">
        <f t="shared" si="639"/>
        <v>0</v>
      </c>
      <c r="AK135" s="1623">
        <f t="shared" si="639"/>
        <v>0</v>
      </c>
      <c r="AL135" s="1236">
        <f t="shared" si="639"/>
        <v>0</v>
      </c>
      <c r="AM135" s="1623">
        <f t="shared" si="639"/>
        <v>0</v>
      </c>
      <c r="AN135" s="1623">
        <f t="shared" si="639"/>
        <v>0</v>
      </c>
      <c r="AO135" s="1623">
        <f t="shared" si="639"/>
        <v>0</v>
      </c>
      <c r="AP135" s="1622">
        <f t="shared" si="639"/>
        <v>0</v>
      </c>
      <c r="AQ135" s="1623">
        <f t="shared" ref="AQ135:AX135" si="640">IF(ISBLANK(AQ278),"",AQ278)</f>
        <v>0</v>
      </c>
      <c r="AR135" s="1623">
        <f t="shared" si="640"/>
        <v>0</v>
      </c>
      <c r="AS135" s="1623">
        <f t="shared" si="640"/>
        <v>0</v>
      </c>
      <c r="AT135" s="1622">
        <f t="shared" si="640"/>
        <v>0</v>
      </c>
      <c r="AU135" s="1623">
        <f t="shared" si="640"/>
        <v>0</v>
      </c>
      <c r="AV135" s="1623">
        <f t="shared" si="640"/>
        <v>0</v>
      </c>
      <c r="AW135" s="1623">
        <f t="shared" si="640"/>
        <v>0</v>
      </c>
      <c r="AX135" s="1622">
        <f t="shared" si="640"/>
        <v>0</v>
      </c>
      <c r="AY135" s="1623">
        <f t="shared" ref="AY135:BB135" si="641">IF(ISBLANK(AY278),"",AY278)</f>
        <v>0</v>
      </c>
      <c r="AZ135" s="1623">
        <f t="shared" si="641"/>
        <v>0</v>
      </c>
      <c r="BA135" s="1623">
        <f t="shared" si="641"/>
        <v>0</v>
      </c>
      <c r="BB135" s="1622">
        <f t="shared" si="641"/>
        <v>0</v>
      </c>
      <c r="BC135" s="1237"/>
      <c r="BD135" s="1237"/>
      <c r="BE135" s="1279"/>
      <c r="BF135" s="1279"/>
      <c r="BG135" s="1279"/>
      <c r="BH135" s="1279">
        <f t="shared" si="624"/>
        <v>0</v>
      </c>
      <c r="BI135" s="1279">
        <f t="shared" si="625"/>
        <v>0</v>
      </c>
      <c r="BJ135" s="1279">
        <f t="shared" si="626"/>
        <v>0</v>
      </c>
      <c r="BK135" s="1279">
        <f t="shared" si="627"/>
        <v>0</v>
      </c>
      <c r="BL135" s="1279">
        <f t="shared" si="628"/>
        <v>0</v>
      </c>
      <c r="BM135" s="1573">
        <f t="shared" si="629"/>
        <v>0</v>
      </c>
      <c r="BN135" s="1573">
        <f t="shared" si="630"/>
        <v>0</v>
      </c>
      <c r="BO135" s="1573">
        <f t="shared" si="631"/>
        <v>0</v>
      </c>
      <c r="BP135" s="1573">
        <f t="shared" si="635"/>
        <v>0</v>
      </c>
      <c r="BQ135" s="1205"/>
      <c r="BR135" s="1206"/>
      <c r="BU135" s="1186"/>
      <c r="BV135" s="1551"/>
      <c r="BW135" s="1551"/>
      <c r="BX135" s="1551"/>
    </row>
    <row r="136" spans="1:76" ht="12.75" customHeight="1">
      <c r="A136" s="1187"/>
      <c r="B136" s="1619"/>
      <c r="C136" s="1621" t="str">
        <f t="shared" si="617"/>
        <v>CSAPR 1 NOX</v>
      </c>
      <c r="D136" s="1621" t="str">
        <f t="shared" si="617"/>
        <v/>
      </c>
      <c r="E136" s="1621" t="str">
        <f t="shared" si="617"/>
        <v/>
      </c>
      <c r="F136" s="1572"/>
      <c r="G136" s="1598" t="str">
        <f t="shared" si="565"/>
        <v/>
      </c>
      <c r="H136" s="1597" t="str">
        <f t="shared" si="611"/>
        <v/>
      </c>
      <c r="I136" s="1597" t="str">
        <f t="shared" si="611"/>
        <v/>
      </c>
      <c r="J136" s="1599" t="str">
        <f t="shared" si="611"/>
        <v/>
      </c>
      <c r="K136" s="1598" t="str">
        <f t="shared" si="611"/>
        <v/>
      </c>
      <c r="L136" s="1597" t="str">
        <f t="shared" si="611"/>
        <v/>
      </c>
      <c r="M136" s="1597" t="str">
        <f t="shared" si="611"/>
        <v/>
      </c>
      <c r="N136" s="1599" t="str">
        <f t="shared" si="611"/>
        <v/>
      </c>
      <c r="O136" s="1598" t="str">
        <f t="shared" si="614"/>
        <v/>
      </c>
      <c r="P136" s="1597" t="str">
        <f t="shared" si="614"/>
        <v/>
      </c>
      <c r="Q136" s="1597" t="str">
        <f t="shared" si="614"/>
        <v/>
      </c>
      <c r="R136" s="1236" t="str">
        <f t="shared" si="614"/>
        <v/>
      </c>
      <c r="S136" s="1234">
        <f t="shared" si="614"/>
        <v>0</v>
      </c>
      <c r="T136" s="1235">
        <f t="shared" si="614"/>
        <v>0</v>
      </c>
      <c r="U136" s="1235">
        <f t="shared" si="614"/>
        <v>0</v>
      </c>
      <c r="V136" s="1236">
        <f t="shared" si="614"/>
        <v>0</v>
      </c>
      <c r="W136" s="1235">
        <f t="shared" ref="W136:AP136" si="642">IF(ISBLANK(W279),"",W279)</f>
        <v>0</v>
      </c>
      <c r="X136" s="1235">
        <f t="shared" si="642"/>
        <v>0</v>
      </c>
      <c r="Y136" s="1235">
        <f t="shared" si="642"/>
        <v>0</v>
      </c>
      <c r="Z136" s="1236">
        <f t="shared" si="642"/>
        <v>0</v>
      </c>
      <c r="AA136" s="1235">
        <f t="shared" si="642"/>
        <v>0</v>
      </c>
      <c r="AB136" s="1235">
        <f t="shared" si="642"/>
        <v>0</v>
      </c>
      <c r="AC136" s="1235">
        <f t="shared" si="642"/>
        <v>0</v>
      </c>
      <c r="AD136" s="1236">
        <f t="shared" si="642"/>
        <v>0</v>
      </c>
      <c r="AE136" s="1235">
        <f t="shared" si="642"/>
        <v>0</v>
      </c>
      <c r="AF136" s="1235">
        <f t="shared" si="642"/>
        <v>0</v>
      </c>
      <c r="AG136" s="1235">
        <f t="shared" si="642"/>
        <v>0</v>
      </c>
      <c r="AH136" s="1236">
        <f t="shared" si="642"/>
        <v>0</v>
      </c>
      <c r="AI136" s="1623">
        <f t="shared" si="642"/>
        <v>0</v>
      </c>
      <c r="AJ136" s="1623">
        <f t="shared" si="642"/>
        <v>0</v>
      </c>
      <c r="AK136" s="1623">
        <f t="shared" si="642"/>
        <v>0</v>
      </c>
      <c r="AL136" s="1236">
        <f t="shared" si="642"/>
        <v>0</v>
      </c>
      <c r="AM136" s="1623">
        <f t="shared" si="642"/>
        <v>0</v>
      </c>
      <c r="AN136" s="1623">
        <f t="shared" si="642"/>
        <v>0</v>
      </c>
      <c r="AO136" s="1623">
        <f t="shared" si="642"/>
        <v>0</v>
      </c>
      <c r="AP136" s="1622">
        <f t="shared" si="642"/>
        <v>0</v>
      </c>
      <c r="AQ136" s="1623">
        <f t="shared" ref="AQ136:AX136" si="643">IF(ISBLANK(AQ279),"",AQ279)</f>
        <v>0</v>
      </c>
      <c r="AR136" s="1623">
        <f t="shared" si="643"/>
        <v>0</v>
      </c>
      <c r="AS136" s="1623">
        <f t="shared" si="643"/>
        <v>0</v>
      </c>
      <c r="AT136" s="1622">
        <f t="shared" si="643"/>
        <v>0</v>
      </c>
      <c r="AU136" s="1623">
        <f t="shared" si="643"/>
        <v>0</v>
      </c>
      <c r="AV136" s="1623">
        <f t="shared" si="643"/>
        <v>0</v>
      </c>
      <c r="AW136" s="1623">
        <f t="shared" si="643"/>
        <v>0</v>
      </c>
      <c r="AX136" s="1622">
        <f t="shared" si="643"/>
        <v>0</v>
      </c>
      <c r="AY136" s="1623">
        <f t="shared" ref="AY136:BB136" si="644">IF(ISBLANK(AY279),"",AY279)</f>
        <v>0</v>
      </c>
      <c r="AZ136" s="1623">
        <f t="shared" si="644"/>
        <v>0</v>
      </c>
      <c r="BA136" s="1623">
        <f t="shared" si="644"/>
        <v>0</v>
      </c>
      <c r="BB136" s="1622">
        <f t="shared" si="644"/>
        <v>0</v>
      </c>
      <c r="BC136" s="1237"/>
      <c r="BD136" s="1237"/>
      <c r="BE136" s="1279"/>
      <c r="BF136" s="1279"/>
      <c r="BG136" s="1279"/>
      <c r="BH136" s="1279">
        <f t="shared" si="624"/>
        <v>0</v>
      </c>
      <c r="BI136" s="1279">
        <f t="shared" si="625"/>
        <v>0</v>
      </c>
      <c r="BJ136" s="1279">
        <f t="shared" si="626"/>
        <v>0</v>
      </c>
      <c r="BK136" s="1279">
        <f t="shared" si="627"/>
        <v>0</v>
      </c>
      <c r="BL136" s="1279">
        <f t="shared" si="628"/>
        <v>0</v>
      </c>
      <c r="BM136" s="1573">
        <f t="shared" si="629"/>
        <v>0</v>
      </c>
      <c r="BN136" s="1573">
        <f t="shared" si="630"/>
        <v>0</v>
      </c>
      <c r="BO136" s="1573">
        <f t="shared" si="631"/>
        <v>0</v>
      </c>
      <c r="BP136" s="1573">
        <f t="shared" si="635"/>
        <v>0</v>
      </c>
      <c r="BQ136" s="1205"/>
      <c r="BR136" s="1206"/>
      <c r="BU136" s="1186"/>
      <c r="BV136" s="1551"/>
      <c r="BW136" s="1551"/>
      <c r="BX136" s="1551"/>
    </row>
    <row r="137" spans="1:76" ht="12.75" customHeight="1">
      <c r="A137" s="1187"/>
      <c r="B137" s="1619"/>
      <c r="C137" s="1621" t="str">
        <f t="shared" si="617"/>
        <v>CSAPR 2 NOX</v>
      </c>
      <c r="D137" s="1621" t="str">
        <f t="shared" si="617"/>
        <v/>
      </c>
      <c r="E137" s="1621" t="str">
        <f t="shared" si="617"/>
        <v/>
      </c>
      <c r="F137" s="1572"/>
      <c r="G137" s="1598" t="str">
        <f t="shared" si="565"/>
        <v/>
      </c>
      <c r="H137" s="1597" t="str">
        <f t="shared" si="611"/>
        <v/>
      </c>
      <c r="I137" s="1597" t="str">
        <f t="shared" si="611"/>
        <v/>
      </c>
      <c r="J137" s="1599" t="str">
        <f t="shared" si="611"/>
        <v/>
      </c>
      <c r="K137" s="1598" t="str">
        <f t="shared" si="611"/>
        <v/>
      </c>
      <c r="L137" s="1597" t="str">
        <f t="shared" si="611"/>
        <v/>
      </c>
      <c r="M137" s="1597" t="str">
        <f t="shared" si="611"/>
        <v/>
      </c>
      <c r="N137" s="1599" t="str">
        <f t="shared" si="611"/>
        <v/>
      </c>
      <c r="O137" s="1598" t="str">
        <f t="shared" si="614"/>
        <v/>
      </c>
      <c r="P137" s="1597" t="str">
        <f t="shared" si="614"/>
        <v/>
      </c>
      <c r="Q137" s="1597" t="str">
        <f t="shared" si="614"/>
        <v/>
      </c>
      <c r="R137" s="1236" t="str">
        <f t="shared" si="614"/>
        <v/>
      </c>
      <c r="S137" s="1234">
        <f t="shared" si="614"/>
        <v>0</v>
      </c>
      <c r="T137" s="1235">
        <f t="shared" si="614"/>
        <v>0</v>
      </c>
      <c r="U137" s="1235">
        <f t="shared" si="614"/>
        <v>0</v>
      </c>
      <c r="V137" s="1236">
        <f t="shared" si="614"/>
        <v>0</v>
      </c>
      <c r="W137" s="1235">
        <f t="shared" ref="W137:AP137" si="645">IF(ISBLANK(W280),"",W280)</f>
        <v>0</v>
      </c>
      <c r="X137" s="1235">
        <f t="shared" si="645"/>
        <v>0</v>
      </c>
      <c r="Y137" s="1235">
        <f t="shared" si="645"/>
        <v>0</v>
      </c>
      <c r="Z137" s="1236">
        <f t="shared" si="645"/>
        <v>0</v>
      </c>
      <c r="AA137" s="1235">
        <f t="shared" si="645"/>
        <v>0</v>
      </c>
      <c r="AB137" s="1235">
        <f t="shared" si="645"/>
        <v>0</v>
      </c>
      <c r="AC137" s="1235">
        <f t="shared" si="645"/>
        <v>0</v>
      </c>
      <c r="AD137" s="1236">
        <f t="shared" si="645"/>
        <v>0</v>
      </c>
      <c r="AE137" s="1235">
        <f t="shared" si="645"/>
        <v>0</v>
      </c>
      <c r="AF137" s="1235">
        <f t="shared" si="645"/>
        <v>0</v>
      </c>
      <c r="AG137" s="1235">
        <f t="shared" si="645"/>
        <v>0</v>
      </c>
      <c r="AH137" s="1236">
        <f t="shared" si="645"/>
        <v>0</v>
      </c>
      <c r="AI137" s="1623">
        <f t="shared" si="645"/>
        <v>0</v>
      </c>
      <c r="AJ137" s="1623">
        <f t="shared" si="645"/>
        <v>0</v>
      </c>
      <c r="AK137" s="1623">
        <f t="shared" si="645"/>
        <v>0</v>
      </c>
      <c r="AL137" s="1236">
        <f t="shared" si="645"/>
        <v>0</v>
      </c>
      <c r="AM137" s="1623">
        <f t="shared" si="645"/>
        <v>0</v>
      </c>
      <c r="AN137" s="1623">
        <f t="shared" si="645"/>
        <v>0</v>
      </c>
      <c r="AO137" s="1623">
        <f t="shared" si="645"/>
        <v>0</v>
      </c>
      <c r="AP137" s="1622">
        <f t="shared" si="645"/>
        <v>0</v>
      </c>
      <c r="AQ137" s="1623">
        <f t="shared" ref="AQ137:AX137" si="646">IF(ISBLANK(AQ280),"",AQ280)</f>
        <v>0</v>
      </c>
      <c r="AR137" s="1623">
        <f t="shared" si="646"/>
        <v>0</v>
      </c>
      <c r="AS137" s="1623">
        <f t="shared" si="646"/>
        <v>0</v>
      </c>
      <c r="AT137" s="1622">
        <f t="shared" si="646"/>
        <v>0</v>
      </c>
      <c r="AU137" s="1623">
        <f t="shared" si="646"/>
        <v>0</v>
      </c>
      <c r="AV137" s="1623">
        <f t="shared" si="646"/>
        <v>0</v>
      </c>
      <c r="AW137" s="1623">
        <f t="shared" si="646"/>
        <v>0</v>
      </c>
      <c r="AX137" s="1622">
        <f t="shared" si="646"/>
        <v>0</v>
      </c>
      <c r="AY137" s="1623">
        <f t="shared" ref="AY137:BB137" si="647">IF(ISBLANK(AY280),"",AY280)</f>
        <v>0</v>
      </c>
      <c r="AZ137" s="1623">
        <f t="shared" si="647"/>
        <v>0</v>
      </c>
      <c r="BA137" s="1623">
        <f t="shared" si="647"/>
        <v>0</v>
      </c>
      <c r="BB137" s="1622">
        <f t="shared" si="647"/>
        <v>0</v>
      </c>
      <c r="BC137" s="1237"/>
      <c r="BD137" s="1237"/>
      <c r="BE137" s="1279"/>
      <c r="BF137" s="1279"/>
      <c r="BG137" s="1279"/>
      <c r="BH137" s="1279">
        <f t="shared" si="624"/>
        <v>0</v>
      </c>
      <c r="BI137" s="1279">
        <f t="shared" si="625"/>
        <v>0</v>
      </c>
      <c r="BJ137" s="1279">
        <f t="shared" si="626"/>
        <v>0</v>
      </c>
      <c r="BK137" s="1279">
        <f t="shared" si="627"/>
        <v>0</v>
      </c>
      <c r="BL137" s="1279">
        <f t="shared" si="628"/>
        <v>0</v>
      </c>
      <c r="BM137" s="1573">
        <f t="shared" si="629"/>
        <v>0</v>
      </c>
      <c r="BN137" s="1573">
        <f t="shared" si="630"/>
        <v>0</v>
      </c>
      <c r="BO137" s="1573">
        <f t="shared" si="631"/>
        <v>0</v>
      </c>
      <c r="BP137" s="1573">
        <f t="shared" si="635"/>
        <v>0</v>
      </c>
      <c r="BQ137" s="1205"/>
      <c r="BR137" s="1206"/>
      <c r="BU137" s="1186"/>
      <c r="BV137" s="1551"/>
      <c r="BW137" s="1551"/>
      <c r="BX137" s="1551"/>
    </row>
    <row r="138" spans="1:76" ht="12.75" customHeight="1">
      <c r="A138" s="1187"/>
      <c r="B138" s="1619"/>
      <c r="C138" s="1621" t="str">
        <f t="shared" si="617"/>
        <v>NOX SEASONAL</v>
      </c>
      <c r="D138" s="1621" t="str">
        <f t="shared" si="617"/>
        <v/>
      </c>
      <c r="E138" s="1621" t="str">
        <f t="shared" si="617"/>
        <v/>
      </c>
      <c r="F138" s="1572"/>
      <c r="G138" s="1598" t="str">
        <f t="shared" si="565"/>
        <v/>
      </c>
      <c r="H138" s="1597" t="str">
        <f t="shared" si="611"/>
        <v/>
      </c>
      <c r="I138" s="1597" t="str">
        <f t="shared" si="611"/>
        <v/>
      </c>
      <c r="J138" s="1599" t="str">
        <f t="shared" si="611"/>
        <v/>
      </c>
      <c r="K138" s="1598" t="str">
        <f t="shared" si="611"/>
        <v/>
      </c>
      <c r="L138" s="1597" t="str">
        <f t="shared" si="611"/>
        <v/>
      </c>
      <c r="M138" s="1597" t="str">
        <f t="shared" si="611"/>
        <v/>
      </c>
      <c r="N138" s="1599" t="str">
        <f t="shared" si="611"/>
        <v/>
      </c>
      <c r="O138" s="1598" t="str">
        <f t="shared" si="614"/>
        <v/>
      </c>
      <c r="P138" s="1597" t="str">
        <f t="shared" si="614"/>
        <v/>
      </c>
      <c r="Q138" s="1597" t="str">
        <f t="shared" si="614"/>
        <v/>
      </c>
      <c r="R138" s="1236" t="str">
        <f t="shared" si="614"/>
        <v/>
      </c>
      <c r="S138" s="1234">
        <f t="shared" si="614"/>
        <v>0</v>
      </c>
      <c r="T138" s="1235">
        <f t="shared" si="614"/>
        <v>0</v>
      </c>
      <c r="U138" s="1235">
        <f t="shared" si="614"/>
        <v>0</v>
      </c>
      <c r="V138" s="1236">
        <f t="shared" si="614"/>
        <v>0</v>
      </c>
      <c r="W138" s="1235">
        <f t="shared" ref="W138:AP138" si="648">IF(ISBLANK(W281),"",W281)</f>
        <v>0</v>
      </c>
      <c r="X138" s="1235">
        <f t="shared" si="648"/>
        <v>0</v>
      </c>
      <c r="Y138" s="1235">
        <f t="shared" si="648"/>
        <v>0</v>
      </c>
      <c r="Z138" s="1236">
        <f t="shared" si="648"/>
        <v>0</v>
      </c>
      <c r="AA138" s="1235">
        <f t="shared" si="648"/>
        <v>0</v>
      </c>
      <c r="AB138" s="1235">
        <f t="shared" si="648"/>
        <v>0</v>
      </c>
      <c r="AC138" s="1235">
        <f t="shared" si="648"/>
        <v>0</v>
      </c>
      <c r="AD138" s="1236">
        <f t="shared" si="648"/>
        <v>0</v>
      </c>
      <c r="AE138" s="1235">
        <f t="shared" si="648"/>
        <v>0</v>
      </c>
      <c r="AF138" s="1235">
        <f t="shared" si="648"/>
        <v>0</v>
      </c>
      <c r="AG138" s="1235">
        <f t="shared" si="648"/>
        <v>0</v>
      </c>
      <c r="AH138" s="1236">
        <f t="shared" si="648"/>
        <v>0</v>
      </c>
      <c r="AI138" s="1623">
        <f t="shared" si="648"/>
        <v>0</v>
      </c>
      <c r="AJ138" s="1623">
        <f t="shared" si="648"/>
        <v>0</v>
      </c>
      <c r="AK138" s="1623">
        <f t="shared" si="648"/>
        <v>0</v>
      </c>
      <c r="AL138" s="1236">
        <f t="shared" si="648"/>
        <v>0</v>
      </c>
      <c r="AM138" s="1623">
        <f t="shared" si="648"/>
        <v>0</v>
      </c>
      <c r="AN138" s="1623">
        <f t="shared" si="648"/>
        <v>0</v>
      </c>
      <c r="AO138" s="1623">
        <f t="shared" si="648"/>
        <v>0</v>
      </c>
      <c r="AP138" s="1622">
        <f t="shared" si="648"/>
        <v>0</v>
      </c>
      <c r="AQ138" s="1623">
        <f t="shared" ref="AQ138:AX138" si="649">IF(ISBLANK(AQ281),"",AQ281)</f>
        <v>0</v>
      </c>
      <c r="AR138" s="1623">
        <f t="shared" si="649"/>
        <v>0</v>
      </c>
      <c r="AS138" s="1623">
        <f t="shared" si="649"/>
        <v>0</v>
      </c>
      <c r="AT138" s="1622">
        <f t="shared" si="649"/>
        <v>0</v>
      </c>
      <c r="AU138" s="1623">
        <f t="shared" si="649"/>
        <v>0</v>
      </c>
      <c r="AV138" s="1623">
        <f t="shared" si="649"/>
        <v>0</v>
      </c>
      <c r="AW138" s="1623">
        <f t="shared" si="649"/>
        <v>0</v>
      </c>
      <c r="AX138" s="1622">
        <f t="shared" si="649"/>
        <v>0</v>
      </c>
      <c r="AY138" s="1623">
        <f t="shared" ref="AY138:BB138" si="650">IF(ISBLANK(AY281),"",AY281)</f>
        <v>0</v>
      </c>
      <c r="AZ138" s="1623">
        <f t="shared" si="650"/>
        <v>0</v>
      </c>
      <c r="BA138" s="1623">
        <f t="shared" si="650"/>
        <v>0</v>
      </c>
      <c r="BB138" s="1622">
        <f t="shared" si="650"/>
        <v>0</v>
      </c>
      <c r="BC138" s="1237"/>
      <c r="BD138" s="1237"/>
      <c r="BE138" s="1279"/>
      <c r="BF138" s="1279"/>
      <c r="BG138" s="1279"/>
      <c r="BH138" s="1279">
        <f t="shared" si="624"/>
        <v>0</v>
      </c>
      <c r="BI138" s="1279">
        <f t="shared" si="625"/>
        <v>0</v>
      </c>
      <c r="BJ138" s="1279">
        <f t="shared" si="626"/>
        <v>0</v>
      </c>
      <c r="BK138" s="1279">
        <f t="shared" si="627"/>
        <v>0</v>
      </c>
      <c r="BL138" s="1279">
        <f t="shared" si="628"/>
        <v>0</v>
      </c>
      <c r="BM138" s="1573">
        <f t="shared" si="629"/>
        <v>0</v>
      </c>
      <c r="BN138" s="1573">
        <f t="shared" si="630"/>
        <v>0</v>
      </c>
      <c r="BO138" s="1573">
        <f t="shared" si="631"/>
        <v>0</v>
      </c>
      <c r="BP138" s="1573">
        <f t="shared" si="635"/>
        <v>0</v>
      </c>
      <c r="BQ138" s="1205"/>
      <c r="BR138" s="1206"/>
      <c r="BU138" s="1186"/>
      <c r="BV138" s="1551"/>
      <c r="BW138" s="1551"/>
      <c r="BX138" s="1551"/>
    </row>
    <row r="139" spans="1:76" ht="12.75" customHeight="1">
      <c r="A139" s="1187"/>
      <c r="B139" s="1619"/>
      <c r="C139" s="1621" t="str">
        <f t="shared" si="617"/>
        <v/>
      </c>
      <c r="D139" s="1621" t="str">
        <f t="shared" si="617"/>
        <v/>
      </c>
      <c r="E139" s="1621" t="str">
        <f t="shared" si="617"/>
        <v/>
      </c>
      <c r="F139" s="1572"/>
      <c r="G139" s="1598" t="str">
        <f t="shared" si="565"/>
        <v/>
      </c>
      <c r="H139" s="1597" t="str">
        <f t="shared" si="611"/>
        <v/>
      </c>
      <c r="I139" s="1597" t="str">
        <f t="shared" si="611"/>
        <v/>
      </c>
      <c r="J139" s="1599" t="str">
        <f t="shared" si="611"/>
        <v/>
      </c>
      <c r="K139" s="1562" t="str">
        <f t="shared" si="611"/>
        <v/>
      </c>
      <c r="L139" s="1597" t="str">
        <f t="shared" si="611"/>
        <v/>
      </c>
      <c r="M139" s="1597" t="str">
        <f t="shared" si="611"/>
        <v/>
      </c>
      <c r="N139" s="1599" t="str">
        <f t="shared" si="611"/>
        <v/>
      </c>
      <c r="O139" s="1598" t="str">
        <f t="shared" si="614"/>
        <v/>
      </c>
      <c r="P139" s="1597" t="str">
        <f t="shared" si="614"/>
        <v/>
      </c>
      <c r="Q139" s="1597" t="str">
        <f t="shared" si="614"/>
        <v/>
      </c>
      <c r="R139" s="1599" t="str">
        <f t="shared" si="614"/>
        <v/>
      </c>
      <c r="S139" s="1598" t="str">
        <f t="shared" si="614"/>
        <v/>
      </c>
      <c r="T139" s="1597" t="str">
        <f t="shared" si="614"/>
        <v/>
      </c>
      <c r="U139" s="1597" t="str">
        <f t="shared" si="614"/>
        <v/>
      </c>
      <c r="V139" s="1599" t="str">
        <f t="shared" si="614"/>
        <v/>
      </c>
      <c r="W139" s="1597" t="str">
        <f t="shared" ref="W139:AP139" si="651">IF(ISBLANK(W282),"",W282)</f>
        <v/>
      </c>
      <c r="X139" s="1597" t="str">
        <f t="shared" si="651"/>
        <v/>
      </c>
      <c r="Y139" s="1597" t="str">
        <f t="shared" si="651"/>
        <v/>
      </c>
      <c r="Z139" s="1599" t="str">
        <f t="shared" si="651"/>
        <v/>
      </c>
      <c r="AA139" s="1597" t="str">
        <f t="shared" si="651"/>
        <v/>
      </c>
      <c r="AB139" s="1597" t="str">
        <f t="shared" si="651"/>
        <v/>
      </c>
      <c r="AC139" s="1597" t="str">
        <f t="shared" si="651"/>
        <v/>
      </c>
      <c r="AD139" s="1599" t="str">
        <f t="shared" si="651"/>
        <v/>
      </c>
      <c r="AE139" s="1597" t="str">
        <f t="shared" si="651"/>
        <v/>
      </c>
      <c r="AF139" s="1597" t="str">
        <f t="shared" si="651"/>
        <v/>
      </c>
      <c r="AG139" s="1597" t="str">
        <f t="shared" si="651"/>
        <v/>
      </c>
      <c r="AH139" s="1599" t="str">
        <f t="shared" si="651"/>
        <v/>
      </c>
      <c r="AI139" s="1597" t="str">
        <f t="shared" si="651"/>
        <v/>
      </c>
      <c r="AJ139" s="1597" t="str">
        <f t="shared" si="651"/>
        <v/>
      </c>
      <c r="AK139" s="1597" t="str">
        <f t="shared" si="651"/>
        <v/>
      </c>
      <c r="AL139" s="1599" t="str">
        <f t="shared" si="651"/>
        <v/>
      </c>
      <c r="AM139" s="1597" t="str">
        <f t="shared" si="651"/>
        <v/>
      </c>
      <c r="AN139" s="1597" t="str">
        <f t="shared" si="651"/>
        <v/>
      </c>
      <c r="AO139" s="1597" t="str">
        <f t="shared" si="651"/>
        <v/>
      </c>
      <c r="AP139" s="1599" t="str">
        <f t="shared" si="651"/>
        <v/>
      </c>
      <c r="AQ139" s="1597"/>
      <c r="AR139" s="1597"/>
      <c r="AS139" s="1597"/>
      <c r="AT139" s="1599"/>
      <c r="AU139" s="1597"/>
      <c r="AV139" s="1597"/>
      <c r="AW139" s="1597"/>
      <c r="AX139" s="1599"/>
      <c r="AY139" s="1597"/>
      <c r="AZ139" s="1597"/>
      <c r="BA139" s="1597"/>
      <c r="BB139" s="1599"/>
      <c r="BC139" s="1620"/>
      <c r="BD139" s="1565"/>
      <c r="BE139" s="1565"/>
      <c r="BF139" s="1565"/>
      <c r="BG139" s="1565"/>
      <c r="BH139" s="1565"/>
      <c r="BI139" s="1565"/>
      <c r="BJ139" s="1565"/>
      <c r="BK139" s="1565"/>
      <c r="BL139" s="1565"/>
      <c r="BM139" s="1565"/>
      <c r="BN139" s="1565"/>
      <c r="BO139" s="1565"/>
      <c r="BP139" s="1565"/>
      <c r="BQ139" s="1205"/>
      <c r="BR139" s="1206"/>
      <c r="BU139" s="1186"/>
      <c r="BV139" s="1551"/>
      <c r="BW139" s="1551"/>
      <c r="BX139" s="1551"/>
    </row>
    <row r="140" spans="1:76" ht="12.75" customHeight="1">
      <c r="A140" s="1187"/>
      <c r="B140" s="1619"/>
      <c r="C140" s="1618" t="str">
        <f t="shared" si="617"/>
        <v/>
      </c>
      <c r="D140" s="1618" t="str">
        <f t="shared" si="617"/>
        <v/>
      </c>
      <c r="E140" s="1618" t="str">
        <f t="shared" si="617"/>
        <v/>
      </c>
      <c r="F140" s="1563"/>
      <c r="G140" s="1562" t="str">
        <f t="shared" si="565"/>
        <v/>
      </c>
      <c r="H140" s="1560" t="str">
        <f t="shared" si="611"/>
        <v/>
      </c>
      <c r="I140" s="1560" t="str">
        <f t="shared" si="611"/>
        <v/>
      </c>
      <c r="J140" s="1561" t="str">
        <f t="shared" si="611"/>
        <v/>
      </c>
      <c r="K140" s="1556" t="str">
        <f t="shared" si="611"/>
        <v/>
      </c>
      <c r="L140" s="1560" t="str">
        <f t="shared" si="611"/>
        <v/>
      </c>
      <c r="M140" s="1560" t="str">
        <f t="shared" si="611"/>
        <v/>
      </c>
      <c r="N140" s="1561" t="str">
        <f t="shared" si="611"/>
        <v/>
      </c>
      <c r="O140" s="1562" t="str">
        <f t="shared" si="614"/>
        <v/>
      </c>
      <c r="P140" s="1560" t="str">
        <f t="shared" si="614"/>
        <v/>
      </c>
      <c r="Q140" s="1560" t="str">
        <f t="shared" si="614"/>
        <v/>
      </c>
      <c r="R140" s="1561" t="str">
        <f t="shared" si="614"/>
        <v/>
      </c>
      <c r="S140" s="1562" t="str">
        <f t="shared" si="614"/>
        <v/>
      </c>
      <c r="T140" s="1560" t="str">
        <f t="shared" si="614"/>
        <v/>
      </c>
      <c r="U140" s="1560" t="str">
        <f t="shared" si="614"/>
        <v/>
      </c>
      <c r="V140" s="1561" t="str">
        <f t="shared" si="614"/>
        <v/>
      </c>
      <c r="W140" s="1560" t="str">
        <f t="shared" ref="W140:AP140" si="652">IF(ISBLANK(W283),"",W283)</f>
        <v/>
      </c>
      <c r="X140" s="1560" t="str">
        <f t="shared" si="652"/>
        <v/>
      </c>
      <c r="Y140" s="1560" t="str">
        <f t="shared" si="652"/>
        <v/>
      </c>
      <c r="Z140" s="1561" t="str">
        <f t="shared" si="652"/>
        <v/>
      </c>
      <c r="AA140" s="1560" t="str">
        <f t="shared" si="652"/>
        <v/>
      </c>
      <c r="AB140" s="1560" t="str">
        <f t="shared" si="652"/>
        <v/>
      </c>
      <c r="AC140" s="1560" t="str">
        <f t="shared" si="652"/>
        <v/>
      </c>
      <c r="AD140" s="1561" t="str">
        <f t="shared" si="652"/>
        <v/>
      </c>
      <c r="AE140" s="1560" t="str">
        <f t="shared" si="652"/>
        <v/>
      </c>
      <c r="AF140" s="1560" t="str">
        <f t="shared" si="652"/>
        <v/>
      </c>
      <c r="AG140" s="1560" t="str">
        <f t="shared" si="652"/>
        <v/>
      </c>
      <c r="AH140" s="1561" t="str">
        <f t="shared" si="652"/>
        <v/>
      </c>
      <c r="AI140" s="1560" t="str">
        <f t="shared" si="652"/>
        <v/>
      </c>
      <c r="AJ140" s="1560" t="str">
        <f t="shared" si="652"/>
        <v/>
      </c>
      <c r="AK140" s="1560" t="str">
        <f t="shared" si="652"/>
        <v/>
      </c>
      <c r="AL140" s="1561" t="str">
        <f t="shared" si="652"/>
        <v/>
      </c>
      <c r="AM140" s="1560" t="str">
        <f t="shared" si="652"/>
        <v/>
      </c>
      <c r="AN140" s="1560" t="str">
        <f t="shared" si="652"/>
        <v/>
      </c>
      <c r="AO140" s="1560" t="str">
        <f t="shared" si="652"/>
        <v/>
      </c>
      <c r="AP140" s="1561" t="str">
        <f t="shared" si="652"/>
        <v/>
      </c>
      <c r="AQ140" s="1560"/>
      <c r="AR140" s="1560"/>
      <c r="AS140" s="1560"/>
      <c r="AT140" s="1561"/>
      <c r="AU140" s="1560"/>
      <c r="AV140" s="1560"/>
      <c r="AW140" s="1560"/>
      <c r="AX140" s="1561"/>
      <c r="AY140" s="1560"/>
      <c r="AZ140" s="1560"/>
      <c r="BA140" s="1560"/>
      <c r="BB140" s="1561"/>
      <c r="BC140" s="1557"/>
      <c r="BD140" s="1557"/>
      <c r="BE140" s="1557"/>
      <c r="BF140" s="1557"/>
      <c r="BG140" s="1557"/>
      <c r="BH140" s="1557"/>
      <c r="BI140" s="1557"/>
      <c r="BJ140" s="1557"/>
      <c r="BK140" s="1557"/>
      <c r="BL140" s="1557"/>
      <c r="BM140" s="1557"/>
      <c r="BN140" s="1557"/>
      <c r="BO140" s="1557"/>
      <c r="BP140" s="1557"/>
      <c r="BQ140" s="1205"/>
      <c r="BR140" s="1226"/>
      <c r="BU140" s="1186"/>
      <c r="BV140" s="1551"/>
      <c r="BW140" s="1551"/>
      <c r="BX140" s="1551"/>
    </row>
    <row r="141" spans="1:76" ht="12.75" customHeight="1">
      <c r="A141" s="1238"/>
      <c r="B141" s="1268"/>
      <c r="C141" s="1280" t="str">
        <f t="shared" si="617"/>
        <v/>
      </c>
      <c r="D141" s="1280" t="str">
        <f t="shared" si="617"/>
        <v/>
      </c>
      <c r="E141" s="1280" t="str">
        <f t="shared" si="617"/>
        <v/>
      </c>
      <c r="F141" s="1351"/>
      <c r="G141" s="1556" t="str">
        <f t="shared" si="565"/>
        <v/>
      </c>
      <c r="H141" s="1554" t="str">
        <f t="shared" si="611"/>
        <v/>
      </c>
      <c r="I141" s="1554" t="str">
        <f t="shared" si="611"/>
        <v/>
      </c>
      <c r="J141" s="1555" t="str">
        <f t="shared" si="611"/>
        <v/>
      </c>
      <c r="K141" s="1554" t="str">
        <f t="shared" si="611"/>
        <v/>
      </c>
      <c r="L141" s="1554" t="str">
        <f t="shared" si="611"/>
        <v/>
      </c>
      <c r="M141" s="1554" t="str">
        <f t="shared" si="611"/>
        <v/>
      </c>
      <c r="N141" s="1555" t="str">
        <f t="shared" si="611"/>
        <v/>
      </c>
      <c r="O141" s="1556" t="str">
        <f t="shared" si="614"/>
        <v/>
      </c>
      <c r="P141" s="1554" t="str">
        <f t="shared" si="614"/>
        <v/>
      </c>
      <c r="Q141" s="1554" t="str">
        <f t="shared" si="614"/>
        <v/>
      </c>
      <c r="R141" s="1555" t="str">
        <f t="shared" si="614"/>
        <v/>
      </c>
      <c r="S141" s="1556" t="str">
        <f t="shared" si="614"/>
        <v/>
      </c>
      <c r="T141" s="1554" t="str">
        <f t="shared" si="614"/>
        <v/>
      </c>
      <c r="U141" s="1554" t="str">
        <f t="shared" si="614"/>
        <v/>
      </c>
      <c r="V141" s="1555" t="str">
        <f t="shared" si="614"/>
        <v/>
      </c>
      <c r="W141" s="1554" t="str">
        <f t="shared" ref="W141:AP141" si="653">IF(ISBLANK(W284),"",W284)</f>
        <v/>
      </c>
      <c r="X141" s="1554" t="str">
        <f t="shared" si="653"/>
        <v/>
      </c>
      <c r="Y141" s="1554" t="str">
        <f t="shared" si="653"/>
        <v/>
      </c>
      <c r="Z141" s="1555" t="str">
        <f t="shared" si="653"/>
        <v/>
      </c>
      <c r="AA141" s="1554" t="str">
        <f t="shared" si="653"/>
        <v/>
      </c>
      <c r="AB141" s="1554" t="str">
        <f t="shared" si="653"/>
        <v/>
      </c>
      <c r="AC141" s="1554" t="str">
        <f t="shared" si="653"/>
        <v/>
      </c>
      <c r="AD141" s="1555" t="str">
        <f t="shared" si="653"/>
        <v/>
      </c>
      <c r="AE141" s="1554" t="str">
        <f t="shared" si="653"/>
        <v/>
      </c>
      <c r="AF141" s="1554" t="str">
        <f t="shared" si="653"/>
        <v/>
      </c>
      <c r="AG141" s="1554" t="str">
        <f t="shared" si="653"/>
        <v/>
      </c>
      <c r="AH141" s="1555" t="str">
        <f t="shared" si="653"/>
        <v/>
      </c>
      <c r="AI141" s="1554" t="str">
        <f t="shared" si="653"/>
        <v/>
      </c>
      <c r="AJ141" s="1554" t="str">
        <f t="shared" si="653"/>
        <v/>
      </c>
      <c r="AK141" s="1554" t="str">
        <f t="shared" si="653"/>
        <v/>
      </c>
      <c r="AL141" s="1555" t="str">
        <f t="shared" si="653"/>
        <v/>
      </c>
      <c r="AM141" s="1554" t="str">
        <f t="shared" si="653"/>
        <v/>
      </c>
      <c r="AN141" s="1554" t="str">
        <f t="shared" si="653"/>
        <v/>
      </c>
      <c r="AO141" s="1554" t="str">
        <f t="shared" si="653"/>
        <v/>
      </c>
      <c r="AP141" s="1555" t="str">
        <f t="shared" si="653"/>
        <v/>
      </c>
      <c r="AQ141" s="1554"/>
      <c r="AR141" s="1554"/>
      <c r="AS141" s="1554"/>
      <c r="AT141" s="1555"/>
      <c r="AU141" s="1554"/>
      <c r="AV141" s="1554"/>
      <c r="AW141" s="1554"/>
      <c r="AX141" s="1555"/>
      <c r="AY141" s="1554"/>
      <c r="AZ141" s="1554"/>
      <c r="BA141" s="1554"/>
      <c r="BB141" s="1555"/>
      <c r="BC141" s="1552"/>
      <c r="BD141" s="1552"/>
      <c r="BE141" s="1552"/>
      <c r="BF141" s="1552"/>
      <c r="BG141" s="1552"/>
      <c r="BH141" s="1552"/>
      <c r="BI141" s="1552"/>
      <c r="BJ141" s="1552"/>
      <c r="BK141" s="1552"/>
      <c r="BL141" s="1552"/>
      <c r="BM141" s="1552"/>
      <c r="BN141" s="1552"/>
      <c r="BO141" s="1552"/>
      <c r="BP141" s="1552"/>
      <c r="BQ141" s="1205"/>
      <c r="BR141" s="1226"/>
      <c r="BU141" s="1186"/>
      <c r="BV141" s="1551"/>
      <c r="BW141" s="1551"/>
      <c r="BX141" s="1551"/>
    </row>
    <row r="142" spans="1:76" ht="12.75" customHeight="1">
      <c r="A142" s="1239"/>
      <c r="B142" s="1239"/>
      <c r="C142" s="1240" t="str">
        <f t="shared" si="617"/>
        <v/>
      </c>
      <c r="D142" s="1240" t="str">
        <f t="shared" si="617"/>
        <v/>
      </c>
      <c r="E142" s="1240" t="str">
        <f t="shared" si="617"/>
        <v/>
      </c>
      <c r="F142" s="1352"/>
      <c r="G142" s="1241" t="str">
        <f t="shared" si="565"/>
        <v/>
      </c>
      <c r="H142" s="1239" t="str">
        <f t="shared" si="611"/>
        <v/>
      </c>
      <c r="I142" s="1242" t="str">
        <f t="shared" si="611"/>
        <v/>
      </c>
      <c r="J142" s="1242" t="str">
        <f t="shared" si="611"/>
        <v/>
      </c>
      <c r="K142" s="1242" t="str">
        <f t="shared" si="611"/>
        <v/>
      </c>
      <c r="L142" s="1242" t="str">
        <f t="shared" si="611"/>
        <v/>
      </c>
      <c r="M142" s="1242" t="str">
        <f t="shared" si="611"/>
        <v/>
      </c>
      <c r="N142" s="1242" t="str">
        <f t="shared" si="611"/>
        <v/>
      </c>
      <c r="O142" s="1242" t="str">
        <f t="shared" si="614"/>
        <v/>
      </c>
      <c r="P142" s="1242" t="str">
        <f t="shared" si="614"/>
        <v/>
      </c>
      <c r="Q142" s="1242" t="str">
        <f t="shared" si="614"/>
        <v/>
      </c>
      <c r="R142" s="1242" t="str">
        <f t="shared" si="614"/>
        <v/>
      </c>
      <c r="S142" s="1241" t="str">
        <f t="shared" si="614"/>
        <v/>
      </c>
      <c r="T142" s="1242" t="str">
        <f t="shared" si="614"/>
        <v/>
      </c>
      <c r="U142" s="1242" t="str">
        <f t="shared" si="614"/>
        <v/>
      </c>
      <c r="V142" s="1242" t="str">
        <f t="shared" si="614"/>
        <v/>
      </c>
      <c r="W142" s="1242" t="str">
        <f t="shared" ref="W142:AP142" si="654">IF(ISBLANK(W285),"",W285)</f>
        <v/>
      </c>
      <c r="X142" s="1242" t="str">
        <f t="shared" si="654"/>
        <v/>
      </c>
      <c r="Y142" s="1242" t="str">
        <f t="shared" si="654"/>
        <v/>
      </c>
      <c r="Z142" s="1241" t="str">
        <f t="shared" si="654"/>
        <v/>
      </c>
      <c r="AA142" s="1242" t="str">
        <f t="shared" si="654"/>
        <v/>
      </c>
      <c r="AB142" s="1242" t="str">
        <f t="shared" si="654"/>
        <v/>
      </c>
      <c r="AC142" s="1242" t="str">
        <f t="shared" si="654"/>
        <v/>
      </c>
      <c r="AD142" s="1242" t="str">
        <f t="shared" si="654"/>
        <v/>
      </c>
      <c r="AE142" s="1242" t="str">
        <f t="shared" si="654"/>
        <v/>
      </c>
      <c r="AF142" s="1242" t="str">
        <f t="shared" si="654"/>
        <v/>
      </c>
      <c r="AG142" s="1242" t="str">
        <f t="shared" si="654"/>
        <v/>
      </c>
      <c r="AH142" s="1242" t="str">
        <f t="shared" si="654"/>
        <v/>
      </c>
      <c r="AI142" s="1242" t="str">
        <f t="shared" si="654"/>
        <v/>
      </c>
      <c r="AJ142" s="1242" t="str">
        <f t="shared" si="654"/>
        <v/>
      </c>
      <c r="AK142" s="1242" t="str">
        <f t="shared" si="654"/>
        <v/>
      </c>
      <c r="AL142" s="1242" t="str">
        <f t="shared" si="654"/>
        <v/>
      </c>
      <c r="AM142" s="1242" t="str">
        <f t="shared" si="654"/>
        <v/>
      </c>
      <c r="AN142" s="1242" t="str">
        <f t="shared" si="654"/>
        <v/>
      </c>
      <c r="AO142" s="1242" t="str">
        <f t="shared" si="654"/>
        <v/>
      </c>
      <c r="AP142" s="1242" t="str">
        <f t="shared" si="654"/>
        <v/>
      </c>
      <c r="AQ142" s="1242"/>
      <c r="AR142" s="1242"/>
      <c r="AS142" s="1242"/>
      <c r="AT142" s="1242"/>
      <c r="AU142" s="1242"/>
      <c r="AV142" s="1242"/>
      <c r="AW142" s="1242"/>
      <c r="AX142" s="1242"/>
      <c r="AY142" s="1242"/>
      <c r="AZ142" s="1242"/>
      <c r="BA142" s="1242"/>
      <c r="BB142" s="1242"/>
      <c r="BC142" s="1242"/>
      <c r="BD142" s="1242"/>
      <c r="BE142" s="1242"/>
      <c r="BF142" s="1242"/>
      <c r="BG142" s="1242"/>
      <c r="BH142" s="1242"/>
      <c r="BI142" s="1242"/>
      <c r="BJ142" s="1242"/>
      <c r="BK142" s="1242"/>
      <c r="BL142" s="1242"/>
      <c r="BM142" s="1242"/>
      <c r="BN142" s="1242"/>
      <c r="BO142" s="1242"/>
      <c r="BP142" s="1242"/>
      <c r="BQ142" s="1242"/>
      <c r="BR142" s="1226"/>
      <c r="BU142" s="1186"/>
      <c r="BV142" s="1551"/>
      <c r="BW142" s="1551"/>
      <c r="BX142" s="1551"/>
    </row>
    <row r="143" spans="1:76" ht="12.75" customHeight="1">
      <c r="G143" s="1168"/>
      <c r="H143" s="1168"/>
      <c r="I143" s="1168"/>
      <c r="J143" s="1168"/>
      <c r="L143" s="1205"/>
      <c r="M143" s="1205"/>
      <c r="N143" s="1205"/>
      <c r="O143" s="1205"/>
      <c r="BE143" s="1168"/>
      <c r="BF143" s="1168"/>
      <c r="BG143" s="1168"/>
      <c r="BH143" s="1168"/>
      <c r="BI143" s="1168"/>
      <c r="BJ143" s="1168"/>
      <c r="BK143" s="1168"/>
      <c r="BL143" s="1168"/>
      <c r="BM143" s="1168"/>
      <c r="BN143" s="1168"/>
      <c r="BO143" s="1168"/>
      <c r="BP143" s="1168"/>
      <c r="BQ143" s="1168"/>
      <c r="BR143" s="1206"/>
      <c r="BU143" s="1186"/>
      <c r="BV143" s="1551"/>
      <c r="BW143" s="1551"/>
      <c r="BX143" s="1551"/>
    </row>
    <row r="144" spans="1:76" ht="12.75" customHeight="1">
      <c r="G144" s="1168"/>
      <c r="H144" s="1168"/>
      <c r="I144" s="1168"/>
      <c r="J144" s="1168"/>
      <c r="L144" s="1205"/>
      <c r="M144" s="1205"/>
      <c r="N144" s="1205"/>
      <c r="O144" s="1205"/>
      <c r="BE144" s="1168"/>
      <c r="BF144" s="1168"/>
      <c r="BG144" s="1168"/>
      <c r="BH144" s="1168"/>
      <c r="BI144" s="1168"/>
      <c r="BJ144" s="1168"/>
      <c r="BK144" s="1168"/>
      <c r="BL144" s="1168"/>
      <c r="BM144" s="1168"/>
      <c r="BN144" s="1168"/>
      <c r="BO144" s="1168"/>
      <c r="BP144" s="1168"/>
      <c r="BQ144" s="1168"/>
      <c r="BR144" s="1206"/>
      <c r="BU144" s="1186"/>
      <c r="BV144" s="1551"/>
      <c r="BW144" s="1551"/>
      <c r="BX144" s="1551"/>
    </row>
    <row r="145" spans="3:76" ht="12.75" customHeight="1">
      <c r="G145" s="1168"/>
      <c r="H145" s="1168"/>
      <c r="I145" s="1168"/>
      <c r="J145" s="1168"/>
      <c r="L145" s="1205"/>
      <c r="M145" s="1205"/>
      <c r="N145" s="1205"/>
      <c r="O145" s="1205"/>
      <c r="BE145" s="1168"/>
      <c r="BF145" s="1168"/>
      <c r="BG145" s="1168"/>
      <c r="BH145" s="1168"/>
      <c r="BI145" s="1168"/>
      <c r="BJ145" s="1168"/>
      <c r="BK145" s="1168"/>
      <c r="BL145" s="1168"/>
      <c r="BM145" s="1168"/>
      <c r="BN145" s="1168"/>
      <c r="BO145" s="1168"/>
      <c r="BP145" s="1168"/>
      <c r="BQ145" s="1168"/>
      <c r="BR145" s="1206"/>
      <c r="BU145" s="1186"/>
      <c r="BV145" s="1551"/>
      <c r="BW145" s="1551"/>
      <c r="BX145" s="1551"/>
    </row>
    <row r="146" spans="3:76" ht="12.75" customHeight="1">
      <c r="G146" s="1168"/>
      <c r="H146" s="1168"/>
      <c r="I146" s="1168"/>
      <c r="J146" s="1168"/>
      <c r="L146" s="1205"/>
      <c r="M146" s="1205"/>
      <c r="N146" s="1205"/>
      <c r="O146" s="1205"/>
      <c r="BE146" s="1168"/>
      <c r="BF146" s="1168"/>
      <c r="BG146" s="1168"/>
      <c r="BH146" s="1168"/>
      <c r="BI146" s="1168"/>
      <c r="BJ146" s="1168"/>
      <c r="BK146" s="1168"/>
      <c r="BL146" s="1168"/>
      <c r="BM146" s="1168"/>
      <c r="BN146" s="1168"/>
      <c r="BO146" s="1168"/>
      <c r="BP146" s="1168"/>
      <c r="BQ146" s="1168"/>
      <c r="BR146" s="1206"/>
      <c r="BU146" s="1186"/>
      <c r="BV146" s="1551"/>
      <c r="BW146" s="1551"/>
      <c r="BX146" s="1551"/>
    </row>
    <row r="147" spans="3:76" ht="12.75" customHeight="1">
      <c r="G147" s="1168"/>
      <c r="H147" s="1168"/>
      <c r="I147" s="1168"/>
      <c r="J147" s="1168"/>
      <c r="L147" s="1205"/>
      <c r="M147" s="1205"/>
      <c r="N147" s="1205"/>
      <c r="O147" s="1205"/>
      <c r="BE147" s="1168"/>
      <c r="BF147" s="1168"/>
      <c r="BG147" s="1168"/>
      <c r="BH147" s="1168"/>
      <c r="BI147" s="1168"/>
      <c r="BJ147" s="1168"/>
      <c r="BK147" s="1168"/>
      <c r="BL147" s="1168"/>
      <c r="BM147" s="1168"/>
      <c r="BN147" s="1168"/>
      <c r="BO147" s="1168"/>
      <c r="BP147" s="1168"/>
      <c r="BQ147" s="1168"/>
      <c r="BR147" s="1206"/>
      <c r="BU147" s="1186"/>
      <c r="BV147" s="1551"/>
      <c r="BW147" s="1551"/>
      <c r="BX147" s="1551"/>
    </row>
    <row r="148" spans="3:76" ht="12.75" customHeight="1" thickBot="1">
      <c r="G148" s="1168"/>
      <c r="H148" s="1168"/>
      <c r="I148" s="1168"/>
      <c r="J148" s="1168"/>
      <c r="L148" s="1205"/>
      <c r="M148" s="1205"/>
      <c r="N148" s="1205"/>
      <c r="O148" s="1205"/>
      <c r="BE148" s="1168"/>
      <c r="BF148" s="1168"/>
      <c r="BG148" s="1168"/>
      <c r="BH148" s="1168"/>
      <c r="BI148" s="1168"/>
      <c r="BJ148" s="1168"/>
      <c r="BK148" s="1168"/>
      <c r="BL148" s="1168"/>
      <c r="BM148" s="1168"/>
      <c r="BN148" s="1168"/>
      <c r="BO148" s="1168"/>
      <c r="BP148" s="1168"/>
      <c r="BQ148" s="1168"/>
      <c r="BR148" s="1206"/>
      <c r="BU148" s="1186"/>
      <c r="BV148" s="1551"/>
      <c r="BW148" s="1551"/>
      <c r="BX148" s="1551"/>
    </row>
    <row r="149" spans="3:76" ht="12.75" customHeight="1">
      <c r="C149" s="1244" t="s">
        <v>458</v>
      </c>
      <c r="D149" s="1245"/>
      <c r="E149" s="1245"/>
      <c r="F149" s="1354"/>
      <c r="G149" s="1246"/>
      <c r="H149" s="1616"/>
      <c r="I149" s="1616"/>
      <c r="J149" s="1617"/>
      <c r="K149" s="1246"/>
      <c r="L149" s="1616"/>
      <c r="M149" s="1616"/>
      <c r="N149" s="1617"/>
      <c r="O149" s="1246"/>
      <c r="P149" s="1616"/>
      <c r="Q149" s="1616"/>
      <c r="R149" s="1617"/>
      <c r="S149" s="1246"/>
      <c r="T149" s="1616"/>
      <c r="U149" s="1616"/>
      <c r="V149" s="1617"/>
      <c r="W149" s="1616"/>
      <c r="X149" s="1616"/>
      <c r="Y149" s="1616"/>
      <c r="Z149" s="1247"/>
      <c r="AA149" s="1248"/>
      <c r="AB149" s="1248"/>
      <c r="AC149" s="1248"/>
      <c r="AD149" s="1247"/>
      <c r="AE149" s="1248"/>
      <c r="AF149" s="1248"/>
      <c r="AG149" s="1248"/>
      <c r="AH149" s="1247"/>
      <c r="AI149" s="1248"/>
      <c r="AJ149" s="1248"/>
      <c r="AK149" s="1248"/>
      <c r="AL149" s="1247"/>
      <c r="AM149" s="1248"/>
      <c r="AN149" s="1248"/>
      <c r="AO149" s="1248"/>
      <c r="AP149" s="1247"/>
      <c r="AQ149" s="1248"/>
      <c r="AR149" s="1248"/>
      <c r="AS149" s="1248"/>
      <c r="AT149" s="1247"/>
      <c r="AU149" s="1248"/>
      <c r="AV149" s="1248"/>
      <c r="AW149" s="1248"/>
      <c r="AX149" s="1247"/>
      <c r="AY149" s="1248"/>
      <c r="AZ149" s="1248"/>
      <c r="BA149" s="1248"/>
      <c r="BB149" s="1249"/>
      <c r="BC149" s="1196"/>
      <c r="BD149" s="1615"/>
      <c r="BE149" s="1615"/>
      <c r="BF149" s="1615"/>
      <c r="BG149" s="1615"/>
      <c r="BH149" s="1615"/>
      <c r="BI149" s="1615"/>
      <c r="BJ149" s="1615"/>
      <c r="BK149" s="1615"/>
      <c r="BL149" s="1615"/>
      <c r="BM149" s="1615"/>
      <c r="BN149" s="1615"/>
      <c r="BO149" s="1615"/>
      <c r="BP149" s="1615"/>
      <c r="BQ149" s="1197"/>
      <c r="BR149" s="1198"/>
      <c r="BS149" s="1199"/>
      <c r="BU149" s="1186"/>
      <c r="BV149" s="1551"/>
      <c r="BW149" s="1551"/>
      <c r="BX149" s="1551"/>
    </row>
    <row r="150" spans="3:76" ht="12.75" customHeight="1">
      <c r="C150" s="1250"/>
      <c r="D150" s="1552"/>
      <c r="E150" s="1552"/>
      <c r="F150" s="1347"/>
      <c r="G150" s="1613"/>
      <c r="H150" s="1612"/>
      <c r="I150" s="1612"/>
      <c r="J150" s="1614"/>
      <c r="K150" s="1613"/>
      <c r="L150" s="1612"/>
      <c r="M150" s="1612"/>
      <c r="N150" s="1614"/>
      <c r="O150" s="1613"/>
      <c r="P150" s="1612"/>
      <c r="Q150" s="1612"/>
      <c r="R150" s="1201"/>
      <c r="S150" s="1202"/>
      <c r="T150" s="1203"/>
      <c r="U150" s="1203"/>
      <c r="V150" s="1201"/>
      <c r="W150" s="1203"/>
      <c r="X150" s="1203"/>
      <c r="Y150" s="1203"/>
      <c r="Z150" s="1201"/>
      <c r="AA150" s="1203"/>
      <c r="AB150" s="1203"/>
      <c r="AC150" s="1203"/>
      <c r="AD150" s="1201"/>
      <c r="AE150" s="1203"/>
      <c r="AF150" s="1203"/>
      <c r="AG150" s="1203"/>
      <c r="AH150" s="1201"/>
      <c r="AI150" s="1203"/>
      <c r="AJ150" s="1203"/>
      <c r="AK150" s="1203"/>
      <c r="AL150" s="1201"/>
      <c r="AM150" s="1203"/>
      <c r="AN150" s="1203"/>
      <c r="AO150" s="1203"/>
      <c r="AP150" s="1201"/>
      <c r="AQ150" s="1203"/>
      <c r="AR150" s="1203"/>
      <c r="AS150" s="1203"/>
      <c r="AT150" s="1201"/>
      <c r="AU150" s="1203"/>
      <c r="AV150" s="1203"/>
      <c r="AW150" s="1203"/>
      <c r="AX150" s="1201"/>
      <c r="AY150" s="1203"/>
      <c r="AZ150" s="1203"/>
      <c r="BA150" s="1203"/>
      <c r="BB150" s="1251"/>
      <c r="BC150" s="1204"/>
      <c r="BD150" s="1204"/>
      <c r="BE150" s="1204"/>
      <c r="BF150" s="1204"/>
      <c r="BG150" s="1204"/>
      <c r="BH150" s="1204"/>
      <c r="BI150" s="1204"/>
      <c r="BJ150" s="1204"/>
      <c r="BK150" s="1204"/>
      <c r="BL150" s="1204"/>
      <c r="BM150" s="1204"/>
      <c r="BN150" s="1204"/>
      <c r="BO150" s="1204"/>
      <c r="BP150" s="1204"/>
      <c r="BQ150" s="1205"/>
      <c r="BR150" s="1206"/>
      <c r="BU150" s="1186"/>
      <c r="BV150" s="1551"/>
      <c r="BW150" s="1551"/>
      <c r="BX150" s="1551"/>
    </row>
    <row r="151" spans="3:76" ht="12.75" customHeight="1">
      <c r="C151" s="1250" t="s">
        <v>260</v>
      </c>
      <c r="D151" s="1552"/>
      <c r="E151" s="1552"/>
      <c r="F151" s="1207"/>
      <c r="G151" s="2199">
        <v>4.8801458333333327</v>
      </c>
      <c r="H151" s="2200">
        <v>4.3247460317460309</v>
      </c>
      <c r="I151" s="2200">
        <v>4.2905156250000003</v>
      </c>
      <c r="J151" s="2201">
        <v>3.8051846153846145</v>
      </c>
      <c r="K151" s="2199">
        <v>4.1753749999999998</v>
      </c>
      <c r="L151" s="2200">
        <v>4.3679218749999995</v>
      </c>
      <c r="M151" s="2200">
        <v>4.1250937499999987</v>
      </c>
      <c r="N151" s="2201">
        <v>3.3347142857142864</v>
      </c>
      <c r="O151" s="2199">
        <v>2.4596984126984123</v>
      </c>
      <c r="P151" s="2200">
        <v>2.2776984126984123</v>
      </c>
      <c r="Q151" s="2200">
        <v>2.8780317460317462</v>
      </c>
      <c r="R151" s="2200">
        <v>3.3929375000000004</v>
      </c>
      <c r="S151" s="2199">
        <v>3.4791000000000003</v>
      </c>
      <c r="T151" s="2200">
        <v>4.0243281250000011</v>
      </c>
      <c r="U151" s="2200">
        <v>3.5578281250000003</v>
      </c>
      <c r="V151" s="2200">
        <v>3.8364218749999996</v>
      </c>
      <c r="W151" s="2199">
        <v>5.1762950819672131</v>
      </c>
      <c r="X151" s="2200">
        <v>4.6069687499999992</v>
      </c>
      <c r="Y151" s="2200">
        <v>3.9690625000000006</v>
      </c>
      <c r="Z151" s="2201">
        <v>3.7758906249999988</v>
      </c>
      <c r="AA151" s="2199">
        <v>2.8932580645161292</v>
      </c>
      <c r="AB151" s="2200">
        <v>2.7407301587301576</v>
      </c>
      <c r="AC151" s="2200">
        <v>2.7644218749999996</v>
      </c>
      <c r="AD151" s="2201">
        <v>2.1331111111111114</v>
      </c>
      <c r="AE151" s="2199">
        <v>1.9876885245901643</v>
      </c>
      <c r="AF151" s="2200">
        <v>2.135984375</v>
      </c>
      <c r="AG151" s="2200">
        <v>2.8751562499999994</v>
      </c>
      <c r="AH151" s="2201">
        <v>3.0312419354838709</v>
      </c>
      <c r="AI151" s="2199">
        <v>3.0098387096774188</v>
      </c>
      <c r="AJ151" s="2203">
        <v>3.076171875</v>
      </c>
      <c r="AK151" s="2203">
        <v>2.9540158730158725</v>
      </c>
      <c r="AL151" s="2202">
        <v>2.8899677419354837</v>
      </c>
      <c r="AM151" s="2203">
        <v>3.1108032786885249</v>
      </c>
      <c r="AN151" s="2203">
        <v>2.6796666666666664</v>
      </c>
      <c r="AO151" s="2203">
        <v>2.8149999999999999</v>
      </c>
      <c r="AP151" s="2202">
        <v>2.9016666666666668</v>
      </c>
      <c r="AQ151" s="2203">
        <v>2.9026943643004919</v>
      </c>
      <c r="AR151" s="2203">
        <v>2.5441789597993276</v>
      </c>
      <c r="AS151" s="2203">
        <v>2.5777897789713125</v>
      </c>
      <c r="AT151" s="2202">
        <v>3.0133368969288674</v>
      </c>
      <c r="AU151" s="2203">
        <v>2.9460848852381236</v>
      </c>
      <c r="AV151" s="2203">
        <v>2.5822102633295767</v>
      </c>
      <c r="AW151" s="2203">
        <v>2.6163235091335033</v>
      </c>
      <c r="AX151" s="2202">
        <v>3.0583813422987949</v>
      </c>
      <c r="AY151" s="2203">
        <v>3.0034129674466312</v>
      </c>
      <c r="AZ151" s="2203">
        <v>2.632457682539239</v>
      </c>
      <c r="BA151" s="2203">
        <v>2.6672347404993073</v>
      </c>
      <c r="BB151" s="2262">
        <v>3.117894609514821</v>
      </c>
      <c r="BC151" s="1204"/>
      <c r="BD151" s="1204"/>
      <c r="BE151" s="1267">
        <f t="shared" ref="BE151" si="655">AVERAGE(G151:J151)</f>
        <v>4.3251480263659952</v>
      </c>
      <c r="BF151" s="1267">
        <f t="shared" ref="BF151" si="656">AVERAGE(K151:N151)</f>
        <v>4.0007762276785712</v>
      </c>
      <c r="BG151" s="1267">
        <f>AVERAGE(O151:R151)</f>
        <v>2.752091517857143</v>
      </c>
      <c r="BH151" s="1267">
        <f>AVERAGE(S151:V151)</f>
        <v>3.7244195312500001</v>
      </c>
      <c r="BI151" s="1267">
        <f>AVERAGE(W151:Z151)</f>
        <v>4.3820542392418025</v>
      </c>
      <c r="BJ151" s="1267">
        <f>AVERAGE(AA151:AD151)</f>
        <v>2.6328803023393492</v>
      </c>
      <c r="BK151" s="1267">
        <f>AVERAGE(AE151:AH151)</f>
        <v>2.5075177712685086</v>
      </c>
      <c r="BL151" s="1267">
        <f>AVERAGE(AI151:AL151)</f>
        <v>2.9824985499071941</v>
      </c>
      <c r="BM151" s="1267">
        <f>AVERAGE(AM151:AP151)</f>
        <v>2.8767841530054645</v>
      </c>
      <c r="BN151" s="1267">
        <f t="shared" ref="BN151:BN155" si="657">AVERAGE(AQ151:AT151)</f>
        <v>2.7594999999999996</v>
      </c>
      <c r="BO151" s="1267">
        <f t="shared" ref="BO151:BO155" si="658">AVERAGE(AU151:AX151)</f>
        <v>2.8007499999999994</v>
      </c>
      <c r="BP151" s="1267">
        <f>AVERAGE(AY151:BB151)</f>
        <v>2.8552499999999994</v>
      </c>
      <c r="BQ151" s="1205"/>
      <c r="BR151" s="1206"/>
      <c r="BU151" s="1186"/>
      <c r="BV151" s="1551"/>
      <c r="BW151" s="1551"/>
      <c r="BX151" s="1551"/>
    </row>
    <row r="152" spans="3:76" ht="12.75" customHeight="1">
      <c r="C152" s="1564" t="s">
        <v>441</v>
      </c>
      <c r="D152" s="1552"/>
      <c r="E152" s="1552"/>
      <c r="F152" s="1207"/>
      <c r="G152" s="2199">
        <v>57.876923076923077</v>
      </c>
      <c r="H152" s="2200">
        <v>62.742307692307698</v>
      </c>
      <c r="I152" s="2200">
        <v>67.830769230769235</v>
      </c>
      <c r="J152" s="2201">
        <v>70.910714285714263</v>
      </c>
      <c r="K152" s="2199">
        <v>77.237500000000026</v>
      </c>
      <c r="L152" s="2200">
        <v>78.430769230769243</v>
      </c>
      <c r="M152" s="2200">
        <v>80.007142857142853</v>
      </c>
      <c r="N152" s="2201">
        <v>78.934615384615398</v>
      </c>
      <c r="O152" s="2199">
        <v>70.069230769230771</v>
      </c>
      <c r="P152" s="2200">
        <v>59.92307692307692</v>
      </c>
      <c r="Q152" s="2200">
        <v>61.334615384615397</v>
      </c>
      <c r="R152" s="2200">
        <v>66.634615384615373</v>
      </c>
      <c r="S152" s="2199">
        <v>66.511538461538478</v>
      </c>
      <c r="T152" s="2200">
        <v>66.914615384615374</v>
      </c>
      <c r="U152" s="2200">
        <v>64.0053846153846</v>
      </c>
      <c r="V152" s="2200">
        <v>62.446153846153841</v>
      </c>
      <c r="W152" s="2199">
        <v>63.813846153846164</v>
      </c>
      <c r="X152" s="2200">
        <v>60.582307692307708</v>
      </c>
      <c r="Y152" s="2200">
        <v>57.336923076923085</v>
      </c>
      <c r="Z152" s="2201">
        <v>56.106923076923081</v>
      </c>
      <c r="AA152" s="2199">
        <v>53.513846153846139</v>
      </c>
      <c r="AB152" s="2200">
        <v>52.858461538461547</v>
      </c>
      <c r="AC152" s="2200">
        <v>50.784615384615385</v>
      </c>
      <c r="AD152" s="2201">
        <v>46.303846153846159</v>
      </c>
      <c r="AE152" s="2199">
        <v>42.380769230769232</v>
      </c>
      <c r="AF152" s="2200">
        <v>41.192307692307693</v>
      </c>
      <c r="AG152" s="2200">
        <v>40.928571428571438</v>
      </c>
      <c r="AH152" s="2201">
        <v>44.896153846153844</v>
      </c>
      <c r="AI152" s="2199">
        <v>50.057692307692314</v>
      </c>
      <c r="AJ152" s="2203">
        <v>52.46153846153846</v>
      </c>
      <c r="AK152" s="2203">
        <v>52.98846153846155</v>
      </c>
      <c r="AL152" s="2202">
        <v>58.261538461538478</v>
      </c>
      <c r="AM152" s="2203">
        <v>60.850000000000009</v>
      </c>
      <c r="AN152" s="2203">
        <v>49</v>
      </c>
      <c r="AO152" s="2203">
        <v>49</v>
      </c>
      <c r="AP152" s="2202">
        <v>49</v>
      </c>
      <c r="AQ152" s="2203">
        <v>48.154286333412259</v>
      </c>
      <c r="AR152" s="2203">
        <v>48.154286333412259</v>
      </c>
      <c r="AS152" s="2203">
        <v>48.154286333412259</v>
      </c>
      <c r="AT152" s="2202">
        <v>55.537140999763238</v>
      </c>
      <c r="AU152" s="2203">
        <v>48.154286333412259</v>
      </c>
      <c r="AV152" s="2203">
        <v>48.154286333412259</v>
      </c>
      <c r="AW152" s="2203">
        <v>48.154286333412259</v>
      </c>
      <c r="AX152" s="2202">
        <v>55.537140999763238</v>
      </c>
      <c r="AY152" s="2203">
        <v>48.154286333412259</v>
      </c>
      <c r="AZ152" s="2203">
        <v>48.154286333412259</v>
      </c>
      <c r="BA152" s="2203">
        <v>48.154286333412259</v>
      </c>
      <c r="BB152" s="2262">
        <v>55.537140999763238</v>
      </c>
      <c r="BC152" s="1204"/>
      <c r="BD152" s="1204"/>
      <c r="BE152" s="1267">
        <f t="shared" ref="BE152:BE155" si="659">AVERAGE(G152:J152)</f>
        <v>64.840178571428567</v>
      </c>
      <c r="BF152" s="1267">
        <f t="shared" ref="BF152:BF155" si="660">AVERAGE(K152:N152)</f>
        <v>78.652506868131894</v>
      </c>
      <c r="BG152" s="1267">
        <f>AVERAGE(O152:R152)</f>
        <v>64.490384615384613</v>
      </c>
      <c r="BH152" s="1267">
        <f>AVERAGE(S152:V152)</f>
        <v>64.969423076923078</v>
      </c>
      <c r="BI152" s="1267">
        <f>AVERAGE(W152:Z152)</f>
        <v>59.460000000000008</v>
      </c>
      <c r="BJ152" s="1267">
        <f>AVERAGE(AA152:AD152)</f>
        <v>50.865192307692311</v>
      </c>
      <c r="BK152" s="1267">
        <f>AVERAGE(AE152:AH152)</f>
        <v>42.349450549450552</v>
      </c>
      <c r="BL152" s="1267">
        <f>AVERAGE(AI152:AL152)</f>
        <v>53.442307692307693</v>
      </c>
      <c r="BM152" s="1267">
        <f>AVERAGE(AM152:AP152)</f>
        <v>51.962500000000006</v>
      </c>
      <c r="BN152" s="1267">
        <f t="shared" si="657"/>
        <v>50.000000000000007</v>
      </c>
      <c r="BO152" s="1267">
        <f t="shared" si="658"/>
        <v>50.000000000000007</v>
      </c>
      <c r="BP152" s="1267">
        <f>AVERAGE(AY152:BB152)</f>
        <v>50.000000000000007</v>
      </c>
      <c r="BQ152" s="1205"/>
      <c r="BR152" s="1206"/>
      <c r="BU152" s="1186"/>
      <c r="BV152" s="1551"/>
      <c r="BW152" s="1551"/>
      <c r="BX152" s="1551"/>
    </row>
    <row r="153" spans="3:76" ht="12.75" customHeight="1">
      <c r="C153" s="1564" t="s">
        <v>435</v>
      </c>
      <c r="D153" s="1552"/>
      <c r="E153" s="1552"/>
      <c r="F153" s="1207"/>
      <c r="G153" s="2199">
        <v>10.753846153846155</v>
      </c>
      <c r="H153" s="2200">
        <v>12.153846153846153</v>
      </c>
      <c r="I153" s="2200">
        <v>14.249999999999998</v>
      </c>
      <c r="J153" s="2201">
        <v>13.750000000000002</v>
      </c>
      <c r="K153" s="2199">
        <v>13.887499999999998</v>
      </c>
      <c r="L153" s="2200">
        <v>12.738461538461538</v>
      </c>
      <c r="M153" s="2200">
        <v>14.228571428571428</v>
      </c>
      <c r="N153" s="2201">
        <v>13.626923076923076</v>
      </c>
      <c r="O153" s="2199">
        <v>9.8423076923076955</v>
      </c>
      <c r="P153" s="2200">
        <v>9.1000000000000014</v>
      </c>
      <c r="Q153" s="2200">
        <v>8.8346153846153861</v>
      </c>
      <c r="R153" s="2200">
        <v>10.123076923076923</v>
      </c>
      <c r="S153" s="2199">
        <v>10.238461538461538</v>
      </c>
      <c r="T153" s="2200">
        <v>10.513846153846153</v>
      </c>
      <c r="U153" s="2200">
        <v>10.403846153846152</v>
      </c>
      <c r="V153" s="2200">
        <v>10.982307692307691</v>
      </c>
      <c r="W153" s="2199">
        <v>12.356153846153846</v>
      </c>
      <c r="X153" s="2200">
        <v>12.986153846153845</v>
      </c>
      <c r="Y153" s="2200">
        <v>11.965384615384615</v>
      </c>
      <c r="Z153" s="2201">
        <v>11.526923076923076</v>
      </c>
      <c r="AA153" s="2199">
        <v>11.592307692307692</v>
      </c>
      <c r="AB153" s="2200">
        <v>11.55</v>
      </c>
      <c r="AC153" s="2200">
        <v>11.592307692307692</v>
      </c>
      <c r="AD153" s="2201">
        <v>11.342307692307694</v>
      </c>
      <c r="AE153" s="2199">
        <v>9.7807692307692307</v>
      </c>
      <c r="AF153" s="2200">
        <v>9.1807692307692292</v>
      </c>
      <c r="AG153" s="2200">
        <v>8.6428571428571441</v>
      </c>
      <c r="AH153" s="2201">
        <v>9.3461538461538467</v>
      </c>
      <c r="AI153" s="2199">
        <v>11.473076923076921</v>
      </c>
      <c r="AJ153" s="2203">
        <v>11.597692307692309</v>
      </c>
      <c r="AK153" s="2203">
        <v>11.516153846153847</v>
      </c>
      <c r="AL153" s="2202">
        <v>11.923076923076922</v>
      </c>
      <c r="AM153" s="2203">
        <v>12.296153846153848</v>
      </c>
      <c r="AN153" s="2203">
        <v>11</v>
      </c>
      <c r="AO153" s="2203">
        <v>11.35</v>
      </c>
      <c r="AP153" s="2202">
        <v>11.65</v>
      </c>
      <c r="AQ153" s="2203">
        <v>11.728652443964354</v>
      </c>
      <c r="AR153" s="2203">
        <v>11.728652443964354</v>
      </c>
      <c r="AS153" s="2203">
        <v>11.728652443964354</v>
      </c>
      <c r="AT153" s="2202">
        <v>11.414042668106942</v>
      </c>
      <c r="AU153" s="2203">
        <v>11.728652443964354</v>
      </c>
      <c r="AV153" s="2203">
        <v>11.728652443964354</v>
      </c>
      <c r="AW153" s="2203">
        <v>11.728652443964354</v>
      </c>
      <c r="AX153" s="2202">
        <v>11.414042668106942</v>
      </c>
      <c r="AY153" s="2203">
        <v>11.728652443964354</v>
      </c>
      <c r="AZ153" s="2203">
        <v>11.728652443964354</v>
      </c>
      <c r="BA153" s="2203">
        <v>11.728652443964354</v>
      </c>
      <c r="BB153" s="2262">
        <v>11.414042668106942</v>
      </c>
      <c r="BC153" s="1204"/>
      <c r="BD153" s="1204"/>
      <c r="BE153" s="1267">
        <f t="shared" si="659"/>
        <v>12.726923076923077</v>
      </c>
      <c r="BF153" s="1267">
        <f t="shared" si="660"/>
        <v>13.620364010989011</v>
      </c>
      <c r="BG153" s="1267">
        <f>AVERAGE(O153:R153)</f>
        <v>9.4750000000000014</v>
      </c>
      <c r="BH153" s="1267">
        <f>AVERAGE(S153:V153)</f>
        <v>10.534615384615384</v>
      </c>
      <c r="BI153" s="1267">
        <f>AVERAGE(W153:Z153)</f>
        <v>12.208653846153846</v>
      </c>
      <c r="BJ153" s="1267">
        <f>AVERAGE(AA153:AD153)</f>
        <v>11.519230769230768</v>
      </c>
      <c r="BK153" s="1267">
        <f>AVERAGE(AE153:AH153)</f>
        <v>9.2376373626373631</v>
      </c>
      <c r="BL153" s="1267">
        <f>AVERAGE(AI153:AL153)</f>
        <v>11.6275</v>
      </c>
      <c r="BM153" s="1267">
        <f>AVERAGE(AM153:AP153)</f>
        <v>11.574038461538462</v>
      </c>
      <c r="BN153" s="1267">
        <f t="shared" si="657"/>
        <v>11.650000000000002</v>
      </c>
      <c r="BO153" s="1267">
        <f t="shared" si="658"/>
        <v>11.650000000000002</v>
      </c>
      <c r="BP153" s="1267">
        <f>AVERAGE(AY153:BB153)</f>
        <v>11.650000000000002</v>
      </c>
      <c r="BQ153" s="1205"/>
      <c r="BR153" s="1206"/>
      <c r="BU153" s="1186"/>
      <c r="BV153" s="1551"/>
      <c r="BW153" s="1551"/>
      <c r="BX153" s="1551"/>
    </row>
    <row r="154" spans="3:76" ht="12.75" customHeight="1">
      <c r="C154" s="1564" t="s">
        <v>1129</v>
      </c>
      <c r="D154" s="1552"/>
      <c r="E154" s="1552"/>
      <c r="F154" s="1207"/>
      <c r="G154" s="2199">
        <v>57.360769230769236</v>
      </c>
      <c r="H154" s="2200">
        <v>61.346153846153847</v>
      </c>
      <c r="I154" s="2200">
        <v>65.019230769230774</v>
      </c>
      <c r="J154" s="2201">
        <v>69.714285714285708</v>
      </c>
      <c r="K154" s="2199">
        <v>73.291666666666657</v>
      </c>
      <c r="L154" s="2200">
        <v>77.380769230769218</v>
      </c>
      <c r="M154" s="2200">
        <v>77.203571428571422</v>
      </c>
      <c r="N154" s="2201">
        <v>76.461538461538453</v>
      </c>
      <c r="O154" s="2199">
        <v>70.211538461538439</v>
      </c>
      <c r="P154" s="2200">
        <v>64.988461538461522</v>
      </c>
      <c r="Q154" s="2200">
        <v>64.992307692307705</v>
      </c>
      <c r="R154" s="2200">
        <v>64.276923076923083</v>
      </c>
      <c r="S154" s="2199">
        <v>62.246153846153859</v>
      </c>
      <c r="T154" s="2200">
        <v>64.961538461538467</v>
      </c>
      <c r="U154" s="2200">
        <v>68.230769230769226</v>
      </c>
      <c r="V154" s="2200">
        <v>68.615384615384613</v>
      </c>
      <c r="W154" s="2199">
        <v>68.453846153846143</v>
      </c>
      <c r="X154" s="2200">
        <v>67.120769230769227</v>
      </c>
      <c r="Y154" s="2200">
        <v>63.607692307692297</v>
      </c>
      <c r="Z154" s="2201">
        <v>53.301576923076922</v>
      </c>
      <c r="AA154" s="2199">
        <v>50.83815384615383</v>
      </c>
      <c r="AB154" s="2200">
        <v>50.215538461538465</v>
      </c>
      <c r="AC154" s="2200">
        <v>48.245384615384616</v>
      </c>
      <c r="AD154" s="2201">
        <v>43.988653846153852</v>
      </c>
      <c r="AE154" s="2199">
        <v>40.261730769230766</v>
      </c>
      <c r="AF154" s="2200">
        <v>39.132692307692309</v>
      </c>
      <c r="AG154" s="2200">
        <v>38.882142857142867</v>
      </c>
      <c r="AH154" s="2201">
        <v>42.651346153846148</v>
      </c>
      <c r="AI154" s="2199">
        <v>47.554807692307698</v>
      </c>
      <c r="AJ154" s="2203">
        <v>49.838461538461537</v>
      </c>
      <c r="AK154" s="2203">
        <v>50.339038461538472</v>
      </c>
      <c r="AL154" s="2202">
        <v>55.348461538461549</v>
      </c>
      <c r="AM154" s="2203">
        <v>57.807500000000005</v>
      </c>
      <c r="AN154" s="2203">
        <v>46.55</v>
      </c>
      <c r="AO154" s="2203">
        <v>46.55</v>
      </c>
      <c r="AP154" s="2202">
        <v>46.55</v>
      </c>
      <c r="AQ154" s="2203">
        <v>45.746572016741645</v>
      </c>
      <c r="AR154" s="2203">
        <v>45.746572016741645</v>
      </c>
      <c r="AS154" s="2203">
        <v>45.746572016741645</v>
      </c>
      <c r="AT154" s="2202">
        <v>52.760283949775072</v>
      </c>
      <c r="AU154" s="2203">
        <v>45.746572016741645</v>
      </c>
      <c r="AV154" s="2203">
        <v>45.746572016741645</v>
      </c>
      <c r="AW154" s="2203">
        <v>45.746572016741645</v>
      </c>
      <c r="AX154" s="2202">
        <v>52.760283949775072</v>
      </c>
      <c r="AY154" s="2203">
        <v>45.746572016741645</v>
      </c>
      <c r="AZ154" s="2203">
        <v>45.746572016741645</v>
      </c>
      <c r="BA154" s="2203">
        <v>45.746572016741645</v>
      </c>
      <c r="BB154" s="2262">
        <v>52.760283949775072</v>
      </c>
      <c r="BC154" s="1204"/>
      <c r="BD154" s="1204"/>
      <c r="BE154" s="1267">
        <f t="shared" si="659"/>
        <v>63.360109890109896</v>
      </c>
      <c r="BF154" s="1267">
        <f t="shared" si="660"/>
        <v>76.084386446886441</v>
      </c>
      <c r="BG154" s="1267">
        <f>AVERAGE(O154:R154)</f>
        <v>66.117307692307691</v>
      </c>
      <c r="BH154" s="1267">
        <f>AVERAGE(S154:V154)</f>
        <v>66.013461538461542</v>
      </c>
      <c r="BI154" s="1267">
        <f>AVERAGE(W154:Z154)</f>
        <v>63.120971153846142</v>
      </c>
      <c r="BJ154" s="1267">
        <f>AVERAGE(AA154:AD154)</f>
        <v>48.321932692307691</v>
      </c>
      <c r="BK154" s="1267">
        <f>AVERAGE(AE154:AH154)</f>
        <v>40.231978021978023</v>
      </c>
      <c r="BL154" s="1267">
        <f>AVERAGE(AI154:AL154)</f>
        <v>50.770192307692312</v>
      </c>
      <c r="BM154" s="1267">
        <f>AVERAGE(AM154:AP154)</f>
        <v>49.364374999999995</v>
      </c>
      <c r="BN154" s="1267">
        <f t="shared" si="657"/>
        <v>47.5</v>
      </c>
      <c r="BO154" s="1267">
        <f t="shared" si="658"/>
        <v>47.5</v>
      </c>
      <c r="BP154" s="1267">
        <f>AVERAGE(AY154:BB154)</f>
        <v>47.5</v>
      </c>
      <c r="BQ154" s="1205"/>
      <c r="BR154" s="1206"/>
      <c r="BU154" s="1186"/>
      <c r="BV154" s="1551"/>
      <c r="BW154" s="1551"/>
      <c r="BX154" s="1551"/>
    </row>
    <row r="155" spans="3:76" ht="12.75" customHeight="1">
      <c r="C155" s="1564" t="s">
        <v>1130</v>
      </c>
      <c r="D155" s="1552"/>
      <c r="E155" s="1552"/>
      <c r="F155" s="1207"/>
      <c r="G155" s="2199">
        <v>41.269230769230766</v>
      </c>
      <c r="H155" s="2200">
        <v>41.919230769230765</v>
      </c>
      <c r="I155" s="2200">
        <v>42.634615384615387</v>
      </c>
      <c r="J155" s="2201">
        <v>47.214285714285715</v>
      </c>
      <c r="K155" s="2199">
        <v>47.5</v>
      </c>
      <c r="L155" s="2200">
        <v>47.730769230769234</v>
      </c>
      <c r="M155" s="2200">
        <v>47.8</v>
      </c>
      <c r="N155" s="2201">
        <v>48.323076923076918</v>
      </c>
      <c r="O155" s="2199">
        <v>52.46153846153846</v>
      </c>
      <c r="P155" s="2200">
        <v>48.615384615384613</v>
      </c>
      <c r="Q155" s="2200">
        <v>47.42307692307692</v>
      </c>
      <c r="R155" s="2200">
        <v>47.888461538461527</v>
      </c>
      <c r="S155" s="2199">
        <v>46.630769230769218</v>
      </c>
      <c r="T155" s="2200">
        <v>45.149999999999984</v>
      </c>
      <c r="U155" s="2200">
        <v>45.534615384615371</v>
      </c>
      <c r="V155" s="2200">
        <v>46.149999999999984</v>
      </c>
      <c r="W155" s="2199">
        <v>46.578461538461518</v>
      </c>
      <c r="X155" s="2200">
        <v>46.272307692307692</v>
      </c>
      <c r="Y155" s="2200">
        <v>44.207692307692305</v>
      </c>
      <c r="Z155" s="2201">
        <v>39.274846153846156</v>
      </c>
      <c r="AA155" s="2199">
        <v>37.459692307692293</v>
      </c>
      <c r="AB155" s="2200">
        <v>37.00092307692308</v>
      </c>
      <c r="AC155" s="2200">
        <v>35.549230769230768</v>
      </c>
      <c r="AD155" s="2201">
        <v>32.412692307692311</v>
      </c>
      <c r="AE155" s="2199">
        <v>29.666538461538462</v>
      </c>
      <c r="AF155" s="2200">
        <v>28.834615384615383</v>
      </c>
      <c r="AG155" s="2200">
        <v>28.650000000000006</v>
      </c>
      <c r="AH155" s="2201">
        <v>31.427307692307689</v>
      </c>
      <c r="AI155" s="2199">
        <v>35.040384615384617</v>
      </c>
      <c r="AJ155" s="2203">
        <v>36.723076923076917</v>
      </c>
      <c r="AK155" s="2203">
        <v>37.091923076923081</v>
      </c>
      <c r="AL155" s="2202">
        <v>40.783076923076933</v>
      </c>
      <c r="AM155" s="2203">
        <v>42.595000000000006</v>
      </c>
      <c r="AN155" s="2203">
        <v>34.299999999999997</v>
      </c>
      <c r="AO155" s="2203">
        <v>34.299999999999997</v>
      </c>
      <c r="AP155" s="2202">
        <v>34.299999999999997</v>
      </c>
      <c r="AQ155" s="2203">
        <v>33.708000433388577</v>
      </c>
      <c r="AR155" s="2203">
        <v>33.708000433388577</v>
      </c>
      <c r="AS155" s="2203">
        <v>33.708000433388577</v>
      </c>
      <c r="AT155" s="2202">
        <v>38.875998699834263</v>
      </c>
      <c r="AU155" s="2203">
        <v>33.708000433388577</v>
      </c>
      <c r="AV155" s="2203">
        <v>33.708000433388577</v>
      </c>
      <c r="AW155" s="2203">
        <v>33.708000433388577</v>
      </c>
      <c r="AX155" s="2202">
        <v>38.875998699834263</v>
      </c>
      <c r="AY155" s="2203">
        <v>33.708000433388577</v>
      </c>
      <c r="AZ155" s="2203">
        <v>33.708000433388577</v>
      </c>
      <c r="BA155" s="2203">
        <v>33.708000433388577</v>
      </c>
      <c r="BB155" s="2262">
        <v>38.875998699834263</v>
      </c>
      <c r="BC155" s="1204"/>
      <c r="BD155" s="1204"/>
      <c r="BE155" s="1267">
        <f t="shared" si="659"/>
        <v>43.259340659340658</v>
      </c>
      <c r="BF155" s="1267">
        <f t="shared" si="660"/>
        <v>47.838461538461537</v>
      </c>
      <c r="BG155" s="1267">
        <f>AVERAGE(O155:R155)</f>
        <v>49.097115384615378</v>
      </c>
      <c r="BH155" s="1267">
        <f>AVERAGE(S155:V155)</f>
        <v>45.866346153846138</v>
      </c>
      <c r="BI155" s="1267">
        <f>AVERAGE(W155:Z155)</f>
        <v>44.08332692307691</v>
      </c>
      <c r="BJ155" s="1267">
        <f>AVERAGE(AA155:AD155)</f>
        <v>35.605634615384616</v>
      </c>
      <c r="BK155" s="1267">
        <f>AVERAGE(AE155:AH155)</f>
        <v>29.644615384615385</v>
      </c>
      <c r="BL155" s="1267">
        <f>AVERAGE(AI155:AL155)</f>
        <v>37.409615384615392</v>
      </c>
      <c r="BM155" s="1267">
        <f>AVERAGE(AM155:AP155)</f>
        <v>36.373750000000001</v>
      </c>
      <c r="BN155" s="1267">
        <f t="shared" si="657"/>
        <v>35</v>
      </c>
      <c r="BO155" s="1267">
        <f t="shared" si="658"/>
        <v>35</v>
      </c>
      <c r="BP155" s="1267">
        <f>AVERAGE(AY155:BB155)</f>
        <v>35</v>
      </c>
      <c r="BQ155" s="1205"/>
      <c r="BR155" s="1206"/>
      <c r="BU155" s="1186"/>
      <c r="BV155" s="1551"/>
      <c r="BW155" s="1551"/>
      <c r="BX155" s="1551"/>
    </row>
    <row r="156" spans="3:76" ht="12.75" customHeight="1">
      <c r="C156" s="1564"/>
      <c r="D156" s="1552"/>
      <c r="E156" s="1552"/>
      <c r="F156" s="1572"/>
      <c r="G156" s="2199"/>
      <c r="H156" s="2200"/>
      <c r="I156" s="2200"/>
      <c r="J156" s="2201"/>
      <c r="K156" s="2199"/>
      <c r="L156" s="2200"/>
      <c r="M156" s="2200"/>
      <c r="N156" s="2201"/>
      <c r="O156" s="2199"/>
      <c r="P156" s="2200"/>
      <c r="Q156" s="2200"/>
      <c r="R156" s="2203"/>
      <c r="S156" s="2204"/>
      <c r="T156" s="2203"/>
      <c r="U156" s="2203"/>
      <c r="V156" s="2202"/>
      <c r="W156" s="2203"/>
      <c r="X156" s="2203"/>
      <c r="Y156" s="2203"/>
      <c r="Z156" s="2202"/>
      <c r="AA156" s="2203"/>
      <c r="AB156" s="2203"/>
      <c r="AC156" s="2203"/>
      <c r="AD156" s="2202"/>
      <c r="AE156" s="2203"/>
      <c r="AF156" s="2203"/>
      <c r="AG156" s="2203"/>
      <c r="AH156" s="2202"/>
      <c r="AI156" s="2203"/>
      <c r="AJ156" s="2203"/>
      <c r="AK156" s="2203"/>
      <c r="AL156" s="2202"/>
      <c r="AM156" s="2203"/>
      <c r="AN156" s="2203"/>
      <c r="AO156" s="2203"/>
      <c r="AP156" s="2202"/>
      <c r="AQ156" s="2203"/>
      <c r="AR156" s="2203"/>
      <c r="AS156" s="2203"/>
      <c r="AT156" s="2202"/>
      <c r="AU156" s="2203"/>
      <c r="AV156" s="2203"/>
      <c r="AW156" s="2203"/>
      <c r="AX156" s="2202"/>
      <c r="AY156" s="2203"/>
      <c r="AZ156" s="2203"/>
      <c r="BA156" s="2203"/>
      <c r="BB156" s="2262"/>
      <c r="BC156" s="1204"/>
      <c r="BD156" s="1204"/>
      <c r="BE156" s="1269"/>
      <c r="BF156" s="1269"/>
      <c r="BG156" s="1269"/>
      <c r="BH156" s="1269"/>
      <c r="BI156" s="1269"/>
      <c r="BJ156" s="1269"/>
      <c r="BK156" s="1269"/>
      <c r="BL156" s="1269"/>
      <c r="BM156" s="1269"/>
      <c r="BN156" s="1269"/>
      <c r="BO156" s="1269"/>
      <c r="BP156" s="1269"/>
      <c r="BQ156" s="1213"/>
      <c r="BR156" s="1214"/>
      <c r="BU156" s="1186"/>
      <c r="BV156" s="1551"/>
      <c r="BW156" s="1551"/>
      <c r="BX156" s="1551"/>
    </row>
    <row r="157" spans="3:76" ht="12.75" customHeight="1">
      <c r="C157" s="1564"/>
      <c r="G157" s="2205"/>
      <c r="H157" s="2206"/>
      <c r="I157" s="2206"/>
      <c r="J157" s="2207"/>
      <c r="K157" s="2205"/>
      <c r="L157" s="2206"/>
      <c r="M157" s="2206"/>
      <c r="N157" s="2207"/>
      <c r="O157" s="2205"/>
      <c r="P157" s="2206"/>
      <c r="Q157" s="2206"/>
      <c r="R157" s="2208"/>
      <c r="S157" s="2209"/>
      <c r="T157" s="2208"/>
      <c r="U157" s="2208"/>
      <c r="V157" s="2210"/>
      <c r="W157" s="2208"/>
      <c r="X157" s="2208"/>
      <c r="Y157" s="2208"/>
      <c r="Z157" s="2210"/>
      <c r="AA157" s="2208"/>
      <c r="AB157" s="2211"/>
      <c r="AC157" s="2211"/>
      <c r="AD157" s="2212"/>
      <c r="AE157" s="2208"/>
      <c r="AF157" s="2211"/>
      <c r="AG157" s="2211"/>
      <c r="AH157" s="2212"/>
      <c r="AI157" s="2208"/>
      <c r="AJ157" s="2211"/>
      <c r="AK157" s="2211"/>
      <c r="AL157" s="2212"/>
      <c r="AM157" s="2211"/>
      <c r="AN157" s="2211"/>
      <c r="AO157" s="2211"/>
      <c r="AP157" s="2212"/>
      <c r="AQ157" s="2211"/>
      <c r="AR157" s="2211"/>
      <c r="AS157" s="2211"/>
      <c r="AT157" s="2212"/>
      <c r="AU157" s="2211"/>
      <c r="AV157" s="2211"/>
      <c r="AW157" s="2211"/>
      <c r="AX157" s="2212"/>
      <c r="AY157" s="2211"/>
      <c r="AZ157" s="2211"/>
      <c r="BA157" s="2211"/>
      <c r="BB157" s="2263"/>
      <c r="BC157" s="1204"/>
      <c r="BD157" s="1204"/>
      <c r="BE157" s="1270"/>
      <c r="BF157" s="1270"/>
      <c r="BG157" s="1270"/>
      <c r="BH157" s="1270"/>
      <c r="BI157" s="1270"/>
      <c r="BJ157" s="1270"/>
      <c r="BK157" s="1270"/>
      <c r="BL157" s="1270"/>
      <c r="BM157" s="1270"/>
      <c r="BN157" s="1270"/>
      <c r="BO157" s="1270"/>
      <c r="BP157" s="1270"/>
      <c r="BQ157" s="1213"/>
      <c r="BR157" s="1214"/>
      <c r="BU157" s="1186"/>
      <c r="BV157" s="1551"/>
      <c r="BW157" s="1551"/>
      <c r="BX157" s="1551"/>
    </row>
    <row r="158" spans="3:76" ht="12.75" customHeight="1">
      <c r="C158" s="1252" t="s">
        <v>568</v>
      </c>
      <c r="D158" s="1603"/>
      <c r="E158" s="1603"/>
      <c r="F158" s="1602"/>
      <c r="G158" s="2199"/>
      <c r="H158" s="2200"/>
      <c r="I158" s="2200"/>
      <c r="J158" s="2201"/>
      <c r="K158" s="2199"/>
      <c r="L158" s="2200"/>
      <c r="M158" s="2200"/>
      <c r="N158" s="2201"/>
      <c r="O158" s="2199"/>
      <c r="P158" s="2200"/>
      <c r="Q158" s="2200"/>
      <c r="R158" s="2203"/>
      <c r="S158" s="2204"/>
      <c r="T158" s="2203"/>
      <c r="U158" s="2203"/>
      <c r="V158" s="2202"/>
      <c r="W158" s="2200"/>
      <c r="X158" s="2203"/>
      <c r="Y158" s="2203"/>
      <c r="Z158" s="2202"/>
      <c r="AA158" s="2200"/>
      <c r="AB158" s="2203"/>
      <c r="AC158" s="2203"/>
      <c r="AD158" s="2202"/>
      <c r="AE158" s="2200"/>
      <c r="AF158" s="2203"/>
      <c r="AG158" s="2203"/>
      <c r="AH158" s="2202"/>
      <c r="AI158" s="2200"/>
      <c r="AJ158" s="2203"/>
      <c r="AK158" s="2203"/>
      <c r="AL158" s="2202"/>
      <c r="AM158" s="2203"/>
      <c r="AN158" s="2203"/>
      <c r="AO158" s="2203"/>
      <c r="AP158" s="2202"/>
      <c r="AQ158" s="2203"/>
      <c r="AR158" s="2203"/>
      <c r="AS158" s="2203"/>
      <c r="AT158" s="2202"/>
      <c r="AU158" s="2203"/>
      <c r="AV158" s="2203"/>
      <c r="AW158" s="2203"/>
      <c r="AX158" s="2202"/>
      <c r="AY158" s="2203"/>
      <c r="AZ158" s="2203"/>
      <c r="BA158" s="2203"/>
      <c r="BB158" s="2262"/>
      <c r="BC158" s="1204"/>
      <c r="BD158" s="1204"/>
      <c r="BE158" s="1269"/>
      <c r="BF158" s="1269"/>
      <c r="BG158" s="1269"/>
      <c r="BH158" s="1273"/>
      <c r="BI158" s="1303"/>
      <c r="BJ158" s="1273"/>
      <c r="BK158" s="1273"/>
      <c r="BL158" s="1273"/>
      <c r="BM158" s="1273"/>
      <c r="BN158" s="1273"/>
      <c r="BO158" s="1273"/>
      <c r="BP158" s="1273"/>
      <c r="BQ158" s="1213"/>
      <c r="BR158" s="1220"/>
      <c r="BS158" s="1220"/>
      <c r="BU158" s="1186"/>
      <c r="BV158" s="1551"/>
      <c r="BW158" s="1551"/>
      <c r="BX158" s="1551"/>
    </row>
    <row r="159" spans="3:76" ht="12.75" customHeight="1">
      <c r="C159" s="1564" t="s">
        <v>561</v>
      </c>
      <c r="D159" s="1552"/>
      <c r="E159" s="1253"/>
      <c r="F159" s="1222"/>
      <c r="G159" s="2199">
        <v>51.133632812499997</v>
      </c>
      <c r="H159" s="2200">
        <v>51.354570312500016</v>
      </c>
      <c r="I159" s="2200">
        <v>67.22877929687499</v>
      </c>
      <c r="J159" s="2201">
        <v>51.534971153846179</v>
      </c>
      <c r="K159" s="2199">
        <v>63.793710937500023</v>
      </c>
      <c r="L159" s="2200">
        <v>48.444853515625013</v>
      </c>
      <c r="M159" s="2200">
        <v>55.141689453125004</v>
      </c>
      <c r="N159" s="2201">
        <v>41.796567460317455</v>
      </c>
      <c r="O159" s="2199">
        <v>33.353476562500006</v>
      </c>
      <c r="P159" s="2200">
        <v>34.616933593750005</v>
      </c>
      <c r="Q159" s="2200">
        <v>46.289513888888905</v>
      </c>
      <c r="R159" s="2200">
        <v>50.846972656250003</v>
      </c>
      <c r="S159" s="2199">
        <v>89.765515873015843</v>
      </c>
      <c r="T159" s="2200">
        <v>45.063007812499997</v>
      </c>
      <c r="U159" s="2200">
        <v>54.984013671875012</v>
      </c>
      <c r="V159" s="2201">
        <v>67.341074218749995</v>
      </c>
      <c r="W159" s="2199">
        <v>167.3350595238096</v>
      </c>
      <c r="X159" s="2200">
        <v>44.335244140625001</v>
      </c>
      <c r="Y159" s="2200">
        <v>41.33302734374999</v>
      </c>
      <c r="Z159" s="2201">
        <v>48.027636718749996</v>
      </c>
      <c r="AA159" s="2199">
        <v>87.659980158730164</v>
      </c>
      <c r="AB159" s="2200">
        <v>28.370332031249998</v>
      </c>
      <c r="AC159" s="2200">
        <v>42.395605769230762</v>
      </c>
      <c r="AD159" s="2201">
        <v>33.065136718749997</v>
      </c>
      <c r="AE159" s="2199">
        <v>30.31946289062499</v>
      </c>
      <c r="AF159" s="2200">
        <v>28.207148437500003</v>
      </c>
      <c r="AG159" s="2200">
        <v>42.730703124999998</v>
      </c>
      <c r="AH159" s="2201">
        <v>38.680972222222231</v>
      </c>
      <c r="AI159" s="2199">
        <v>33.978535156249983</v>
      </c>
      <c r="AJ159" s="2203">
        <v>33.298916015625018</v>
      </c>
      <c r="AK159" s="2203">
        <v>31.712827380952376</v>
      </c>
      <c r="AL159" s="2202">
        <v>52.552301587301585</v>
      </c>
      <c r="AM159" s="2203">
        <v>62.437333984375016</v>
      </c>
      <c r="AN159" s="2203">
        <v>32.65</v>
      </c>
      <c r="AO159" s="2203">
        <v>35.383333333333333</v>
      </c>
      <c r="AP159" s="2202">
        <v>42.35</v>
      </c>
      <c r="AQ159" s="2203">
        <v>73.199444871908256</v>
      </c>
      <c r="AR159" s="2203">
        <v>31.598138616301913</v>
      </c>
      <c r="AS159" s="2203">
        <v>36.852856695587477</v>
      </c>
      <c r="AT159" s="2202">
        <v>38.566226482602346</v>
      </c>
      <c r="AU159" s="2203">
        <v>73.199444871908256</v>
      </c>
      <c r="AV159" s="2203">
        <v>31.598138616301913</v>
      </c>
      <c r="AW159" s="2203">
        <v>36.852856695587477</v>
      </c>
      <c r="AX159" s="2202">
        <v>38.566226482602346</v>
      </c>
      <c r="AY159" s="2203">
        <v>73.361914739375962</v>
      </c>
      <c r="AZ159" s="2203">
        <v>31.668272281962913</v>
      </c>
      <c r="BA159" s="2203">
        <v>36.934653473604257</v>
      </c>
      <c r="BB159" s="2262">
        <v>38.651826171456854</v>
      </c>
      <c r="BC159" s="1204"/>
      <c r="BD159" s="1204"/>
      <c r="BE159" s="1269">
        <f t="shared" ref="BE159:BE174" si="661">AVERAGE(G159:J159)</f>
        <v>55.312988393930297</v>
      </c>
      <c r="BF159" s="1269">
        <f t="shared" ref="BF159:BF174" si="662">AVERAGE(K159:N159)</f>
        <v>52.29420534164187</v>
      </c>
      <c r="BG159" s="1269">
        <f t="shared" ref="BG159:BG174" si="663">AVERAGE(O159:R159)</f>
        <v>41.276724175347226</v>
      </c>
      <c r="BH159" s="1273">
        <f t="shared" ref="BH159:BH174" si="664">AVERAGE(S159:V159)</f>
        <v>64.288402894035215</v>
      </c>
      <c r="BI159" s="1273">
        <f t="shared" ref="BI159:BI174" si="665">AVERAGE(W159:Z159)</f>
        <v>75.257741931733648</v>
      </c>
      <c r="BJ159" s="1273">
        <f t="shared" ref="BJ159:BJ174" si="666">AVERAGE(AA159:AD159)</f>
        <v>47.872763669490226</v>
      </c>
      <c r="BK159" s="1273">
        <f t="shared" ref="BK159:BK174" si="667">AVERAGE(AE159:AH159)</f>
        <v>34.984571668836807</v>
      </c>
      <c r="BL159" s="1273">
        <f t="shared" ref="BL159:BL174" si="668">AVERAGE(AI159:AL159)</f>
        <v>37.88564503503224</v>
      </c>
      <c r="BM159" s="1273">
        <f t="shared" ref="BM159:BM174" si="669">AVERAGE(AM159:AP159)</f>
        <v>43.205166829427085</v>
      </c>
      <c r="BN159" s="1273">
        <f t="shared" ref="BN159:BN174" si="670">AVERAGE(AQ159:AT159)</f>
        <v>45.054166666599997</v>
      </c>
      <c r="BO159" s="1273">
        <f t="shared" ref="BO159:BO174" si="671">AVERAGE(AU159:AX159)</f>
        <v>45.054166666599997</v>
      </c>
      <c r="BP159" s="1273">
        <f>AVERAGE(AY159:BB159)</f>
        <v>45.154166666599998</v>
      </c>
      <c r="BQ159" s="1205"/>
      <c r="BR159" s="1276"/>
      <c r="BS159" s="1273"/>
      <c r="BU159" s="1186"/>
      <c r="BV159" s="1551"/>
      <c r="BW159" s="1551"/>
      <c r="BX159" s="1551"/>
    </row>
    <row r="160" spans="3:76" ht="12.75" customHeight="1">
      <c r="C160" s="1564" t="s">
        <v>438</v>
      </c>
      <c r="D160" s="1552"/>
      <c r="E160" s="1253"/>
      <c r="F160" s="1222"/>
      <c r="G160" s="2199">
        <v>35.213945312500009</v>
      </c>
      <c r="H160" s="2200">
        <v>43.142958984374999</v>
      </c>
      <c r="I160" s="2200">
        <v>53.878339843750005</v>
      </c>
      <c r="J160" s="2201">
        <v>42.122894230769219</v>
      </c>
      <c r="K160" s="2199">
        <v>40.630429687500012</v>
      </c>
      <c r="L160" s="2200">
        <v>42.511806640624982</v>
      </c>
      <c r="M160" s="2200">
        <v>47.368398437499991</v>
      </c>
      <c r="N160" s="2201">
        <v>36.792847222222221</v>
      </c>
      <c r="O160" s="2199">
        <v>30.628144531250001</v>
      </c>
      <c r="P160" s="2200">
        <v>34.255439453125</v>
      </c>
      <c r="Q160" s="2200">
        <v>41.418353174603176</v>
      </c>
      <c r="R160" s="2200">
        <v>39.001152343749993</v>
      </c>
      <c r="S160" s="2199">
        <v>45.623531746031745</v>
      </c>
      <c r="T160" s="2200">
        <v>40.663671874999991</v>
      </c>
      <c r="U160" s="2200">
        <v>53.937705078124999</v>
      </c>
      <c r="V160" s="2201">
        <v>46.228017578124991</v>
      </c>
      <c r="W160" s="2199">
        <v>105.87010912698416</v>
      </c>
      <c r="X160" s="2200">
        <v>44.886210937499996</v>
      </c>
      <c r="Y160" s="2200">
        <v>43.024843750000009</v>
      </c>
      <c r="Z160" s="2201">
        <v>39.284560546874999</v>
      </c>
      <c r="AA160" s="2199">
        <v>53.16058531746031</v>
      </c>
      <c r="AB160" s="2200">
        <v>38.357529296875022</v>
      </c>
      <c r="AC160" s="2200">
        <v>40.580288461538458</v>
      </c>
      <c r="AD160" s="2201">
        <v>34.609042968749996</v>
      </c>
      <c r="AE160" s="2199">
        <v>30.752001953124992</v>
      </c>
      <c r="AF160" s="2200">
        <v>35.769550781249997</v>
      </c>
      <c r="AG160" s="2200">
        <v>46.082998046874998</v>
      </c>
      <c r="AH160" s="2201">
        <v>27.32274801587301</v>
      </c>
      <c r="AI160" s="2199">
        <v>27.648046875000006</v>
      </c>
      <c r="AJ160" s="2203">
        <v>33.630214843749989</v>
      </c>
      <c r="AK160" s="2203">
        <v>34.760575396825409</v>
      </c>
      <c r="AL160" s="2202">
        <v>35.233521825396821</v>
      </c>
      <c r="AM160" s="2203">
        <v>36.453183593749991</v>
      </c>
      <c r="AN160" s="2203">
        <v>37.466666666666661</v>
      </c>
      <c r="AO160" s="2203">
        <v>33.733333333333327</v>
      </c>
      <c r="AP160" s="2202">
        <v>37.766666666666666</v>
      </c>
      <c r="AQ160" s="2203">
        <v>52.984877086683952</v>
      </c>
      <c r="AR160" s="2203">
        <v>34.892480032694301</v>
      </c>
      <c r="AS160" s="2203">
        <v>31.661694844481872</v>
      </c>
      <c r="AT160" s="2202">
        <v>28.460948036139868</v>
      </c>
      <c r="AU160" s="2203">
        <v>52.579137036825585</v>
      </c>
      <c r="AV160" s="2203">
        <v>34.625285365714404</v>
      </c>
      <c r="AW160" s="2203">
        <v>31.419240424444556</v>
      </c>
      <c r="AX160" s="2202">
        <v>28.243003839415444</v>
      </c>
      <c r="AY160" s="2203">
        <v>52.937142963086963</v>
      </c>
      <c r="AZ160" s="2203">
        <v>34.861045365935311</v>
      </c>
      <c r="BA160" s="2203">
        <v>31.633170795015378</v>
      </c>
      <c r="BB160" s="2262">
        <v>28.435307542362334</v>
      </c>
      <c r="BC160" s="1204"/>
      <c r="BD160" s="1204"/>
      <c r="BE160" s="1269">
        <f t="shared" si="661"/>
        <v>43.589534592848558</v>
      </c>
      <c r="BF160" s="1269">
        <f t="shared" si="662"/>
        <v>41.825870496961798</v>
      </c>
      <c r="BG160" s="1269">
        <f t="shared" si="663"/>
        <v>36.325772375682043</v>
      </c>
      <c r="BH160" s="1273">
        <f t="shared" si="664"/>
        <v>46.613231569320433</v>
      </c>
      <c r="BI160" s="1273">
        <f t="shared" si="665"/>
        <v>58.266431090339793</v>
      </c>
      <c r="BJ160" s="1273">
        <f t="shared" si="666"/>
        <v>41.676861511155948</v>
      </c>
      <c r="BK160" s="1273">
        <f t="shared" si="667"/>
        <v>34.98182469928075</v>
      </c>
      <c r="BL160" s="1273">
        <f t="shared" si="668"/>
        <v>32.818089735243056</v>
      </c>
      <c r="BM160" s="1273">
        <f t="shared" si="669"/>
        <v>36.354962565104159</v>
      </c>
      <c r="BN160" s="1273">
        <f t="shared" si="670"/>
        <v>37</v>
      </c>
      <c r="BO160" s="1273">
        <f t="shared" si="671"/>
        <v>36.716666666599998</v>
      </c>
      <c r="BP160" s="1273">
        <f t="shared" ref="BP160:BP174" si="672">AVERAGE(AY160:BB160)</f>
        <v>36.966666666599998</v>
      </c>
      <c r="BQ160" s="1205"/>
      <c r="BR160" s="1276"/>
      <c r="BS160" s="1273"/>
      <c r="BU160" s="1186"/>
      <c r="BV160" s="1551"/>
      <c r="BW160" s="1551"/>
      <c r="BX160" s="1551"/>
    </row>
    <row r="161" spans="2:76" ht="12.75" customHeight="1">
      <c r="C161" s="1564" t="s">
        <v>436</v>
      </c>
      <c r="D161" s="1552"/>
      <c r="E161" s="1253"/>
      <c r="F161" s="1222"/>
      <c r="G161" s="2199">
        <v>50.319440104166667</v>
      </c>
      <c r="H161" s="2200">
        <v>55.080830078125018</v>
      </c>
      <c r="I161" s="2200">
        <v>72.568281249999998</v>
      </c>
      <c r="J161" s="2201">
        <v>55.060048076923088</v>
      </c>
      <c r="K161" s="2199">
        <v>61.319755859375</v>
      </c>
      <c r="L161" s="2200">
        <v>56.261513671875008</v>
      </c>
      <c r="M161" s="2200">
        <v>64.744736328125001</v>
      </c>
      <c r="N161" s="2201">
        <v>42.035863095238099</v>
      </c>
      <c r="O161" s="2199">
        <v>35.479599609374993</v>
      </c>
      <c r="P161" s="2200">
        <v>42.463750000000005</v>
      </c>
      <c r="Q161" s="2200">
        <v>49.926091269841251</v>
      </c>
      <c r="R161" s="2200">
        <v>46.815820312500001</v>
      </c>
      <c r="S161" s="2199">
        <v>71.969464285714295</v>
      </c>
      <c r="T161" s="2200">
        <v>47.40742187499999</v>
      </c>
      <c r="U161" s="2200">
        <v>63.43471679687498</v>
      </c>
      <c r="V161" s="2201">
        <v>49.675136718749997</v>
      </c>
      <c r="W161" s="2199">
        <v>145.08544642857149</v>
      </c>
      <c r="X161" s="2200">
        <v>45.55554687499999</v>
      </c>
      <c r="Y161" s="2200">
        <v>40.321435546875001</v>
      </c>
      <c r="Z161" s="2201">
        <v>42.091767578124994</v>
      </c>
      <c r="AA161" s="2199">
        <v>77.999513888888885</v>
      </c>
      <c r="AB161" s="2200">
        <v>32.442470703124989</v>
      </c>
      <c r="AC161" s="2200">
        <v>38.379144230769235</v>
      </c>
      <c r="AD161" s="2201">
        <v>27.262890625000001</v>
      </c>
      <c r="AE161" s="2199">
        <v>30.82033203124999</v>
      </c>
      <c r="AF161" s="2200">
        <v>28.172070312500008</v>
      </c>
      <c r="AG161" s="2200">
        <v>39.596083984375014</v>
      </c>
      <c r="AH161" s="2201">
        <v>34.996567460317451</v>
      </c>
      <c r="AI161" s="2199">
        <v>34.973046875000001</v>
      </c>
      <c r="AJ161" s="2203">
        <v>33.375703125000008</v>
      </c>
      <c r="AK161" s="2203">
        <v>32.778422619047618</v>
      </c>
      <c r="AL161" s="2202">
        <v>41.835218253968264</v>
      </c>
      <c r="AM161" s="2203">
        <v>50.315361328125007</v>
      </c>
      <c r="AN161" s="2203">
        <v>37.133333333333333</v>
      </c>
      <c r="AO161" s="2203">
        <v>29.216666666666669</v>
      </c>
      <c r="AP161" s="2202">
        <v>41.81666666666667</v>
      </c>
      <c r="AQ161" s="2203">
        <v>72.206176601284838</v>
      </c>
      <c r="AR161" s="2203">
        <v>35.335679660435538</v>
      </c>
      <c r="AS161" s="2203">
        <v>28.167385316684786</v>
      </c>
      <c r="AT161" s="2202">
        <v>29.507425087994822</v>
      </c>
      <c r="AU161" s="2203">
        <v>73.276922890037596</v>
      </c>
      <c r="AV161" s="2203">
        <v>35.859672892564298</v>
      </c>
      <c r="AW161" s="2203">
        <v>28.585079823046065</v>
      </c>
      <c r="AX161" s="2202">
        <v>29.944991060752034</v>
      </c>
      <c r="AY161" s="2203">
        <v>73.888777912182022</v>
      </c>
      <c r="AZ161" s="2203">
        <v>36.159097596637878</v>
      </c>
      <c r="BA161" s="2203">
        <v>28.823762398109654</v>
      </c>
      <c r="BB161" s="2262">
        <v>30.195028759470443</v>
      </c>
      <c r="BC161" s="1204"/>
      <c r="BD161" s="1204"/>
      <c r="BE161" s="1269">
        <f t="shared" si="661"/>
        <v>58.257149877303696</v>
      </c>
      <c r="BF161" s="1269">
        <f t="shared" si="662"/>
        <v>56.090467238653275</v>
      </c>
      <c r="BG161" s="1269">
        <f t="shared" si="663"/>
        <v>43.671315297929063</v>
      </c>
      <c r="BH161" s="1273">
        <f t="shared" si="664"/>
        <v>58.121684919084821</v>
      </c>
      <c r="BI161" s="1273">
        <f t="shared" si="665"/>
        <v>68.263549107142865</v>
      </c>
      <c r="BJ161" s="1273">
        <f t="shared" si="666"/>
        <v>44.021004861945784</v>
      </c>
      <c r="BK161" s="1273">
        <f t="shared" si="667"/>
        <v>33.396263447110613</v>
      </c>
      <c r="BL161" s="1273">
        <f t="shared" si="668"/>
        <v>35.740597718253973</v>
      </c>
      <c r="BM161" s="1273">
        <f t="shared" si="669"/>
        <v>39.62050699869792</v>
      </c>
      <c r="BN161" s="1273">
        <f t="shared" si="670"/>
        <v>41.304166666599997</v>
      </c>
      <c r="BO161" s="1273">
        <f t="shared" si="671"/>
        <v>41.916666666600001</v>
      </c>
      <c r="BP161" s="1273">
        <f t="shared" si="672"/>
        <v>42.266666666599995</v>
      </c>
      <c r="BQ161" s="1205"/>
      <c r="BR161" s="1276"/>
      <c r="BS161" s="1273"/>
      <c r="BU161" s="1186"/>
      <c r="BV161" s="1551"/>
      <c r="BW161" s="1551"/>
      <c r="BX161" s="1551"/>
    </row>
    <row r="162" spans="2:76" ht="12.75" customHeight="1">
      <c r="C162" s="1254" t="s">
        <v>437</v>
      </c>
      <c r="D162" s="1552"/>
      <c r="E162" s="1253"/>
      <c r="F162" s="1222"/>
      <c r="G162" s="2199">
        <v>55.422135416666663</v>
      </c>
      <c r="H162" s="2200">
        <v>64.299941406249999</v>
      </c>
      <c r="I162" s="2200">
        <v>80.573457031249987</v>
      </c>
      <c r="J162" s="2201">
        <v>59.753067307692298</v>
      </c>
      <c r="K162" s="2199">
        <v>70.866767578124993</v>
      </c>
      <c r="L162" s="2200">
        <v>61.81411132812498</v>
      </c>
      <c r="M162" s="2200">
        <v>68.602324218750013</v>
      </c>
      <c r="N162" s="2201">
        <v>45.84968253968254</v>
      </c>
      <c r="O162" s="2199">
        <v>40.598867187499984</v>
      </c>
      <c r="P162" s="2200">
        <v>44.787695312499999</v>
      </c>
      <c r="Q162" s="2200">
        <v>52.449682539682534</v>
      </c>
      <c r="R162" s="2200">
        <v>48.760292968750008</v>
      </c>
      <c r="S162" s="2199">
        <v>82.751825396825382</v>
      </c>
      <c r="T162" s="2200">
        <v>51.984208984375009</v>
      </c>
      <c r="U162" s="2200">
        <v>67.099775390625013</v>
      </c>
      <c r="V162" s="2201">
        <v>50.633037109375017</v>
      </c>
      <c r="W162" s="2199">
        <v>156.84135912698406</v>
      </c>
      <c r="X162" s="2200">
        <v>47.093769531249976</v>
      </c>
      <c r="Y162" s="2200">
        <v>41.267587890624995</v>
      </c>
      <c r="Z162" s="2201">
        <v>42.321269531250003</v>
      </c>
      <c r="AA162" s="2199">
        <v>80.378015873015883</v>
      </c>
      <c r="AB162" s="2200">
        <v>34.555751953125004</v>
      </c>
      <c r="AC162" s="2200">
        <v>41.128067307692319</v>
      </c>
      <c r="AD162" s="2201">
        <v>28.156972656249998</v>
      </c>
      <c r="AE162" s="2199">
        <v>32.810527343750003</v>
      </c>
      <c r="AF162" s="2200">
        <v>29.281435546875006</v>
      </c>
      <c r="AG162" s="2200">
        <v>42.594873046874994</v>
      </c>
      <c r="AH162" s="2201">
        <v>35.888214285714291</v>
      </c>
      <c r="AI162" s="2199">
        <v>35.824277343750005</v>
      </c>
      <c r="AJ162" s="2203">
        <v>38.990224609374998</v>
      </c>
      <c r="AK162" s="2203">
        <v>35.719781746031757</v>
      </c>
      <c r="AL162" s="2202">
        <v>42.862331349206364</v>
      </c>
      <c r="AM162" s="2203">
        <v>61.037626953124992</v>
      </c>
      <c r="AN162" s="2203">
        <v>41.31666666666667</v>
      </c>
      <c r="AO162" s="2203">
        <v>34.133333333333333</v>
      </c>
      <c r="AP162" s="2202">
        <v>45.383333333333333</v>
      </c>
      <c r="AQ162" s="2203">
        <v>76.012753062656998</v>
      </c>
      <c r="AR162" s="2203">
        <v>38.217946206964925</v>
      </c>
      <c r="AS162" s="2203">
        <v>32.581730048010407</v>
      </c>
      <c r="AT162" s="2202">
        <v>37.154237348767644</v>
      </c>
      <c r="AU162" s="2203">
        <v>77.355612896616023</v>
      </c>
      <c r="AV162" s="2203">
        <v>38.893113765432851</v>
      </c>
      <c r="AW162" s="2203">
        <v>33.157326837226861</v>
      </c>
      <c r="AX162" s="2202">
        <v>37.810613167124252</v>
      </c>
      <c r="AY162" s="2203">
        <v>78.264625707295977</v>
      </c>
      <c r="AZ162" s="2203">
        <v>39.350150266549605</v>
      </c>
      <c r="BA162" s="2203">
        <v>33.546961586850315</v>
      </c>
      <c r="BB162" s="2262">
        <v>38.254929105704107</v>
      </c>
      <c r="BC162" s="1204"/>
      <c r="BD162" s="1204"/>
      <c r="BE162" s="1269">
        <f t="shared" si="661"/>
        <v>65.012150290464731</v>
      </c>
      <c r="BF162" s="1269">
        <f t="shared" si="662"/>
        <v>61.783221416170633</v>
      </c>
      <c r="BG162" s="1269">
        <f t="shared" si="663"/>
        <v>46.649134502108133</v>
      </c>
      <c r="BH162" s="1273">
        <f t="shared" si="664"/>
        <v>63.117211720300105</v>
      </c>
      <c r="BI162" s="1273">
        <f t="shared" si="665"/>
        <v>71.880996520027253</v>
      </c>
      <c r="BJ162" s="1273">
        <f t="shared" si="666"/>
        <v>46.054701947520797</v>
      </c>
      <c r="BK162" s="1273">
        <f t="shared" si="667"/>
        <v>35.143762555803576</v>
      </c>
      <c r="BL162" s="1273">
        <f t="shared" si="668"/>
        <v>38.349153762090779</v>
      </c>
      <c r="BM162" s="1273">
        <f t="shared" si="669"/>
        <v>45.467740071614578</v>
      </c>
      <c r="BN162" s="1273">
        <f t="shared" si="670"/>
        <v>45.991666666599997</v>
      </c>
      <c r="BO162" s="1273">
        <f t="shared" si="671"/>
        <v>46.804166666599997</v>
      </c>
      <c r="BP162" s="1273">
        <f t="shared" si="672"/>
        <v>47.354166666599994</v>
      </c>
      <c r="BQ162" s="1205"/>
      <c r="BR162" s="1276"/>
      <c r="BS162" s="1273"/>
      <c r="BU162" s="1186"/>
      <c r="BV162" s="1551"/>
      <c r="BW162" s="1551"/>
      <c r="BX162" s="1551"/>
    </row>
    <row r="163" spans="2:76" ht="12.75" customHeight="1">
      <c r="C163" s="1254" t="s">
        <v>433</v>
      </c>
      <c r="D163" s="1255"/>
      <c r="E163" s="1253"/>
      <c r="F163" s="1222"/>
      <c r="G163" s="2199">
        <v>45.204388619791672</v>
      </c>
      <c r="H163" s="2200">
        <v>51.584562626953129</v>
      </c>
      <c r="I163" s="2200">
        <v>66.121800654296877</v>
      </c>
      <c r="J163" s="2201">
        <v>49.490597307692312</v>
      </c>
      <c r="K163" s="2199">
        <v>50.059908115234371</v>
      </c>
      <c r="L163" s="2200">
        <v>59.78809870117189</v>
      </c>
      <c r="M163" s="2200">
        <v>57.162939843749975</v>
      </c>
      <c r="N163" s="2201">
        <v>39.320604523809529</v>
      </c>
      <c r="O163" s="2199">
        <v>34.398327744140623</v>
      </c>
      <c r="P163" s="2200">
        <v>38.54343235351562</v>
      </c>
      <c r="Q163" s="2200">
        <v>48.952091091269828</v>
      </c>
      <c r="R163" s="2200">
        <v>41.477144667968737</v>
      </c>
      <c r="S163" s="2199">
        <v>41.997815863095234</v>
      </c>
      <c r="T163" s="2200">
        <v>45.530304316406237</v>
      </c>
      <c r="U163" s="2200">
        <v>48.136464199218764</v>
      </c>
      <c r="V163" s="2201">
        <v>40.193486718750002</v>
      </c>
      <c r="W163" s="2199">
        <v>113.57858770833333</v>
      </c>
      <c r="X163" s="2200">
        <v>50.488559589843774</v>
      </c>
      <c r="Y163" s="2200">
        <v>41.389708935546885</v>
      </c>
      <c r="Z163" s="2201">
        <v>40.371172851562484</v>
      </c>
      <c r="AA163" s="2199">
        <v>56.866776517857168</v>
      </c>
      <c r="AB163" s="2200">
        <v>39.147263818359377</v>
      </c>
      <c r="AC163" s="2200">
        <v>39.464831807692299</v>
      </c>
      <c r="AD163" s="2201">
        <v>31.895178447265625</v>
      </c>
      <c r="AE163" s="2199">
        <v>30.103148642578116</v>
      </c>
      <c r="AF163" s="2200">
        <v>32.701806339843749</v>
      </c>
      <c r="AG163" s="2200">
        <v>38.936782353515625</v>
      </c>
      <c r="AH163" s="2201">
        <v>33.269796091269853</v>
      </c>
      <c r="AI163" s="2199">
        <v>32.144072138671881</v>
      </c>
      <c r="AJ163" s="2203">
        <v>32.803312458984372</v>
      </c>
      <c r="AK163" s="2203">
        <v>35.491018034722238</v>
      </c>
      <c r="AL163" s="2202">
        <v>37.447859950396833</v>
      </c>
      <c r="AM163" s="2203">
        <v>48.149713212890617</v>
      </c>
      <c r="AN163" s="2203">
        <v>34.5</v>
      </c>
      <c r="AO163" s="2203">
        <v>36.9</v>
      </c>
      <c r="AP163" s="2202">
        <v>34.68333333333333</v>
      </c>
      <c r="AQ163" s="2203">
        <v>40.501333218824747</v>
      </c>
      <c r="AR163" s="2203">
        <v>29.678493986239484</v>
      </c>
      <c r="AS163" s="2203">
        <v>32.100602483050345</v>
      </c>
      <c r="AT163" s="2202">
        <v>39.002903645085446</v>
      </c>
      <c r="AU163" s="2203">
        <v>40.405777401430235</v>
      </c>
      <c r="AV163" s="2203">
        <v>29.608472766528742</v>
      </c>
      <c r="AW163" s="2203">
        <v>32.024866721648337</v>
      </c>
      <c r="AX163" s="2202">
        <v>38.910883110392696</v>
      </c>
      <c r="AY163" s="2203">
        <v>40.52044438234951</v>
      </c>
      <c r="AZ163" s="2203">
        <v>29.692498230215239</v>
      </c>
      <c r="BA163" s="2203">
        <v>32.115749635367095</v>
      </c>
      <c r="BB163" s="2262">
        <v>39.021307752068161</v>
      </c>
      <c r="BC163" s="1204"/>
      <c r="BD163" s="1204"/>
      <c r="BE163" s="1269">
        <f t="shared" si="661"/>
        <v>53.100337302183505</v>
      </c>
      <c r="BF163" s="1269">
        <f t="shared" si="662"/>
        <v>51.582887795991439</v>
      </c>
      <c r="BG163" s="1269">
        <f t="shared" si="663"/>
        <v>40.842748964223702</v>
      </c>
      <c r="BH163" s="1273">
        <f t="shared" si="664"/>
        <v>43.964517774367557</v>
      </c>
      <c r="BI163" s="1273">
        <f t="shared" si="665"/>
        <v>61.457007271321615</v>
      </c>
      <c r="BJ163" s="1273">
        <f t="shared" si="666"/>
        <v>41.843512647793617</v>
      </c>
      <c r="BK163" s="1273">
        <f t="shared" si="667"/>
        <v>33.752883356801831</v>
      </c>
      <c r="BL163" s="1273">
        <f t="shared" si="668"/>
        <v>34.471565645693829</v>
      </c>
      <c r="BM163" s="1273">
        <f t="shared" si="669"/>
        <v>38.55826163655599</v>
      </c>
      <c r="BN163" s="1273">
        <f t="shared" si="670"/>
        <v>35.320833333300001</v>
      </c>
      <c r="BO163" s="1273">
        <f t="shared" si="671"/>
        <v>35.237500000000004</v>
      </c>
      <c r="BP163" s="1273">
        <f t="shared" si="672"/>
        <v>35.337499999999999</v>
      </c>
      <c r="BQ163" s="1224"/>
      <c r="BR163" s="1276"/>
      <c r="BS163" s="1273"/>
      <c r="BU163" s="1186"/>
      <c r="BV163" s="1551"/>
      <c r="BW163" s="1551"/>
      <c r="BX163" s="1551"/>
    </row>
    <row r="164" spans="2:76" ht="12.75" customHeight="1">
      <c r="C164" s="1254" t="s">
        <v>1207</v>
      </c>
      <c r="D164" s="1255"/>
      <c r="E164" s="1253"/>
      <c r="F164" s="1222"/>
      <c r="G164" s="2199">
        <v>48.483129505208346</v>
      </c>
      <c r="H164" s="2200">
        <v>56.777662714843743</v>
      </c>
      <c r="I164" s="2200">
        <v>79.80542767578126</v>
      </c>
      <c r="J164" s="2201">
        <v>53.380955625000034</v>
      </c>
      <c r="K164" s="2199">
        <v>56.349727597656255</v>
      </c>
      <c r="L164" s="2200">
        <v>65.570403749999997</v>
      </c>
      <c r="M164" s="2200">
        <v>66.498248447265624</v>
      </c>
      <c r="N164" s="2201">
        <v>40.979681686507909</v>
      </c>
      <c r="O164" s="2199">
        <v>38.512803037109371</v>
      </c>
      <c r="P164" s="2200">
        <v>36.974501874023439</v>
      </c>
      <c r="Q164" s="2200">
        <v>55.885414017857158</v>
      </c>
      <c r="R164" s="2200">
        <v>46.126044788085935</v>
      </c>
      <c r="S164" s="2199">
        <v>42.607887670634931</v>
      </c>
      <c r="T164" s="2200">
        <v>47.166300820312507</v>
      </c>
      <c r="U164" s="2200">
        <v>55.200128388671871</v>
      </c>
      <c r="V164" s="2201">
        <v>42.192332373046867</v>
      </c>
      <c r="W164" s="2199">
        <v>132.34547472222224</v>
      </c>
      <c r="X164" s="2200">
        <v>53.88701666992187</v>
      </c>
      <c r="Y164" s="2200">
        <v>45.337472450195328</v>
      </c>
      <c r="Z164" s="2201">
        <v>49.12051941503907</v>
      </c>
      <c r="AA164" s="2199">
        <v>67.284598143849209</v>
      </c>
      <c r="AB164" s="2200">
        <v>36.819058058593754</v>
      </c>
      <c r="AC164" s="2200">
        <v>39.89850856153847</v>
      </c>
      <c r="AD164" s="2201">
        <v>30.041686161132823</v>
      </c>
      <c r="AE164" s="2199">
        <v>31.266320479492187</v>
      </c>
      <c r="AF164" s="2200">
        <v>28.707086242187497</v>
      </c>
      <c r="AG164" s="2200">
        <v>40.605906624023433</v>
      </c>
      <c r="AH164" s="2201">
        <v>28.828253920634918</v>
      </c>
      <c r="AI164" s="2199">
        <v>33.256564817382809</v>
      </c>
      <c r="AJ164" s="2203">
        <v>32.387231337890618</v>
      </c>
      <c r="AK164" s="2203">
        <v>34.354411583333331</v>
      </c>
      <c r="AL164" s="2202">
        <v>39.044797251984129</v>
      </c>
      <c r="AM164" s="2203">
        <v>49.504310380859373</v>
      </c>
      <c r="AN164" s="2203">
        <v>34.371333333333332</v>
      </c>
      <c r="AO164" s="2203">
        <v>38.062833333333337</v>
      </c>
      <c r="AP164" s="2202">
        <v>34.614333333333327</v>
      </c>
      <c r="AQ164" s="2203">
        <v>46.510944725679025</v>
      </c>
      <c r="AR164" s="2203">
        <v>30.296280173373429</v>
      </c>
      <c r="AS164" s="2203">
        <v>33.947384063861342</v>
      </c>
      <c r="AT164" s="2202">
        <v>36.41005770348621</v>
      </c>
      <c r="AU164" s="2203">
        <v>46.479340030218317</v>
      </c>
      <c r="AV164" s="2203">
        <v>30.275693519756327</v>
      </c>
      <c r="AW164" s="2203">
        <v>33.924316445231923</v>
      </c>
      <c r="AX164" s="2202">
        <v>36.385316671193436</v>
      </c>
      <c r="AY164" s="2203">
        <v>46.837526578857272</v>
      </c>
      <c r="AZ164" s="2203">
        <v>30.509008927471708</v>
      </c>
      <c r="BA164" s="2203">
        <v>34.185749456426855</v>
      </c>
      <c r="BB164" s="2262">
        <v>36.665715037244176</v>
      </c>
      <c r="BC164" s="1204"/>
      <c r="BD164" s="1204"/>
      <c r="BE164" s="1269">
        <f t="shared" si="661"/>
        <v>59.611793880208346</v>
      </c>
      <c r="BF164" s="1269">
        <f t="shared" si="662"/>
        <v>57.349515370357445</v>
      </c>
      <c r="BG164" s="1269">
        <f t="shared" si="663"/>
        <v>44.374690929268979</v>
      </c>
      <c r="BH164" s="1273">
        <f t="shared" si="664"/>
        <v>46.791662313166547</v>
      </c>
      <c r="BI164" s="1273">
        <f t="shared" si="665"/>
        <v>70.172620814344626</v>
      </c>
      <c r="BJ164" s="1273">
        <f t="shared" si="666"/>
        <v>43.510962731278561</v>
      </c>
      <c r="BK164" s="1273">
        <f t="shared" si="667"/>
        <v>32.351891816584505</v>
      </c>
      <c r="BL164" s="1273">
        <f t="shared" si="668"/>
        <v>34.760751247647725</v>
      </c>
      <c r="BM164" s="1273">
        <f t="shared" si="669"/>
        <v>39.138202595214842</v>
      </c>
      <c r="BN164" s="1273">
        <f t="shared" si="670"/>
        <v>36.791166666600006</v>
      </c>
      <c r="BO164" s="1273">
        <f t="shared" si="671"/>
        <v>36.7661666666</v>
      </c>
      <c r="BP164" s="1273">
        <f t="shared" si="672"/>
        <v>37.049500000000002</v>
      </c>
      <c r="BQ164" s="1224"/>
      <c r="BR164" s="1276"/>
      <c r="BS164" s="1273"/>
      <c r="BU164" s="1186"/>
      <c r="BV164" s="1551"/>
      <c r="BW164" s="1551"/>
      <c r="BX164" s="1551"/>
    </row>
    <row r="165" spans="2:76" ht="12.75" customHeight="1">
      <c r="C165" s="1254" t="s">
        <v>459</v>
      </c>
      <c r="D165" s="1552"/>
      <c r="E165" s="1253"/>
      <c r="F165" s="1222"/>
      <c r="G165" s="2199">
        <v>39.728964218749987</v>
      </c>
      <c r="H165" s="2200">
        <v>43.07423765625002</v>
      </c>
      <c r="I165" s="2200">
        <v>51.328195917968742</v>
      </c>
      <c r="J165" s="2201">
        <v>38.933001861538465</v>
      </c>
      <c r="K165" s="2199">
        <v>41.451086953125014</v>
      </c>
      <c r="L165" s="2200">
        <v>51.097349746093769</v>
      </c>
      <c r="M165" s="2200">
        <v>50.310268931640643</v>
      </c>
      <c r="N165" s="2201">
        <v>37.410923978174601</v>
      </c>
      <c r="O165" s="2199">
        <v>32.153772558593758</v>
      </c>
      <c r="P165" s="2200">
        <v>34.709669501953115</v>
      </c>
      <c r="Q165" s="2200">
        <v>44.635360783730164</v>
      </c>
      <c r="R165" s="2200">
        <v>38.089502343749999</v>
      </c>
      <c r="S165" s="2199">
        <v>38.017161944444446</v>
      </c>
      <c r="T165" s="2200">
        <v>41.806956083984382</v>
      </c>
      <c r="U165" s="2200">
        <v>41.772417763671875</v>
      </c>
      <c r="V165" s="2201">
        <v>36.018476103515631</v>
      </c>
      <c r="W165" s="2199">
        <v>79.351583283730179</v>
      </c>
      <c r="X165" s="2200">
        <v>50.487840683593745</v>
      </c>
      <c r="Y165" s="2200">
        <v>38.234623320312501</v>
      </c>
      <c r="Z165" s="2201">
        <v>40.068190000000001</v>
      </c>
      <c r="AA165" s="2199">
        <v>43.107304533730151</v>
      </c>
      <c r="AB165" s="2200">
        <v>36.571755771484384</v>
      </c>
      <c r="AC165" s="2200">
        <v>35.906114451923074</v>
      </c>
      <c r="AD165" s="2201">
        <v>30.830603544921882</v>
      </c>
      <c r="AE165" s="2199">
        <v>27.466274697265614</v>
      </c>
      <c r="AF165" s="2200">
        <v>31.331062939453119</v>
      </c>
      <c r="AG165" s="2200">
        <v>37.764263886718759</v>
      </c>
      <c r="AH165" s="2201">
        <v>32.442105446428577</v>
      </c>
      <c r="AI165" s="2199">
        <v>30.987138056640639</v>
      </c>
      <c r="AJ165" s="2203">
        <v>33.05749094726562</v>
      </c>
      <c r="AK165" s="2203">
        <v>36.590803630952387</v>
      </c>
      <c r="AL165" s="2202">
        <v>32.10412905753968</v>
      </c>
      <c r="AM165" s="2203">
        <v>39.582188720703122</v>
      </c>
      <c r="AN165" s="2203">
        <v>35.416666666666664</v>
      </c>
      <c r="AO165" s="2203">
        <v>37.699999999999996</v>
      </c>
      <c r="AP165" s="2202">
        <v>34.06666666666667</v>
      </c>
      <c r="AQ165" s="2203">
        <v>37.104731797582915</v>
      </c>
      <c r="AR165" s="2203">
        <v>31.21709085897621</v>
      </c>
      <c r="AS165" s="2203">
        <v>33.846064219263162</v>
      </c>
      <c r="AT165" s="2202">
        <v>36.098779790577716</v>
      </c>
      <c r="AU165" s="2203">
        <v>36.757952834841539</v>
      </c>
      <c r="AV165" s="2203">
        <v>30.925337493207795</v>
      </c>
      <c r="AW165" s="2203">
        <v>33.52974060030094</v>
      </c>
      <c r="AX165" s="2202">
        <v>35.761402404849747</v>
      </c>
      <c r="AY165" s="2203">
        <v>36.863032218779693</v>
      </c>
      <c r="AZ165" s="2203">
        <v>31.013743271039516</v>
      </c>
      <c r="BA165" s="2203">
        <v>33.625591544495691</v>
      </c>
      <c r="BB165" s="2262">
        <v>35.86363296568512</v>
      </c>
      <c r="BC165" s="1204"/>
      <c r="BD165" s="1204"/>
      <c r="BE165" s="1269">
        <f t="shared" si="661"/>
        <v>43.266099913626803</v>
      </c>
      <c r="BF165" s="1269">
        <f t="shared" si="662"/>
        <v>45.067407402258503</v>
      </c>
      <c r="BG165" s="1269">
        <f t="shared" si="663"/>
        <v>37.397076297006763</v>
      </c>
      <c r="BH165" s="1273">
        <f t="shared" si="664"/>
        <v>39.403752973904083</v>
      </c>
      <c r="BI165" s="1273">
        <f t="shared" si="665"/>
        <v>52.035559321909105</v>
      </c>
      <c r="BJ165" s="1273">
        <f t="shared" si="666"/>
        <v>36.603944575514873</v>
      </c>
      <c r="BK165" s="1273">
        <f t="shared" si="667"/>
        <v>32.250926742466518</v>
      </c>
      <c r="BL165" s="1273">
        <f t="shared" si="668"/>
        <v>33.184890423099588</v>
      </c>
      <c r="BM165" s="1273">
        <f t="shared" si="669"/>
        <v>36.69138051350911</v>
      </c>
      <c r="BN165" s="1273">
        <f t="shared" si="670"/>
        <v>34.5666666666</v>
      </c>
      <c r="BO165" s="1273">
        <f t="shared" si="671"/>
        <v>34.243608333300003</v>
      </c>
      <c r="BP165" s="1273">
        <f t="shared" si="672"/>
        <v>34.341500000000003</v>
      </c>
      <c r="BQ165" s="1205"/>
      <c r="BR165" s="1276"/>
      <c r="BS165" s="1273"/>
      <c r="BU165" s="1186"/>
      <c r="BV165" s="1551"/>
      <c r="BW165" s="1551"/>
      <c r="BX165" s="1551"/>
    </row>
    <row r="166" spans="2:76" ht="12.75" customHeight="1">
      <c r="C166" s="1254" t="s">
        <v>202</v>
      </c>
      <c r="D166" s="1552"/>
      <c r="E166" s="1253"/>
      <c r="F166" s="1222"/>
      <c r="G166" s="2199">
        <v>39.774283945312497</v>
      </c>
      <c r="H166" s="2200">
        <v>43.262810498046875</v>
      </c>
      <c r="I166" s="2200">
        <v>51.606527089843752</v>
      </c>
      <c r="J166" s="2201">
        <v>38.918928847115382</v>
      </c>
      <c r="K166" s="2199">
        <v>41.488797080078136</v>
      </c>
      <c r="L166" s="2200">
        <v>50.985843300781255</v>
      </c>
      <c r="M166" s="2200">
        <v>50.268828780273431</v>
      </c>
      <c r="N166" s="2201">
        <v>37.525041934523813</v>
      </c>
      <c r="O166" s="2199">
        <v>32.221690878906244</v>
      </c>
      <c r="P166" s="2200">
        <v>34.827419687500004</v>
      </c>
      <c r="Q166" s="2200">
        <v>44.932445357142846</v>
      </c>
      <c r="R166" s="2200">
        <v>38.199312265625004</v>
      </c>
      <c r="S166" s="2199">
        <v>37.715632986111103</v>
      </c>
      <c r="T166" s="2200">
        <v>41.987925156249993</v>
      </c>
      <c r="U166" s="2200">
        <v>41.924110576171877</v>
      </c>
      <c r="V166" s="2201">
        <v>36.103588144531251</v>
      </c>
      <c r="W166" s="2199">
        <v>79.291454067460307</v>
      </c>
      <c r="X166" s="2200">
        <v>50.610264160156234</v>
      </c>
      <c r="Y166" s="2200">
        <v>38.224814638671887</v>
      </c>
      <c r="Z166" s="2201">
        <v>39.049467128906258</v>
      </c>
      <c r="AA166" s="2199">
        <v>42.983203065476189</v>
      </c>
      <c r="AB166" s="2200">
        <v>35.431994833984376</v>
      </c>
      <c r="AC166" s="2200">
        <v>35.234762865384596</v>
      </c>
      <c r="AD166" s="2201">
        <v>30.793894384765622</v>
      </c>
      <c r="AE166" s="2199">
        <v>27.255926289062497</v>
      </c>
      <c r="AF166" s="2200">
        <v>31.587512695312501</v>
      </c>
      <c r="AG166" s="2200">
        <v>38.382545029296871</v>
      </c>
      <c r="AH166" s="2201">
        <v>32.453721736111113</v>
      </c>
      <c r="AI166" s="2199">
        <v>31.073804345703124</v>
      </c>
      <c r="AJ166" s="2203">
        <v>33.234170273437506</v>
      </c>
      <c r="AK166" s="2203">
        <v>36.864877966269844</v>
      </c>
      <c r="AL166" s="2202">
        <v>32.037018710317462</v>
      </c>
      <c r="AM166" s="2203">
        <v>38.43211967773437</v>
      </c>
      <c r="AN166" s="2203">
        <v>33.833333333333336</v>
      </c>
      <c r="AO166" s="2203">
        <v>36.31666666666667</v>
      </c>
      <c r="AP166" s="2202">
        <v>33.616666666666667</v>
      </c>
      <c r="AQ166" s="2203">
        <v>34.505559751881279</v>
      </c>
      <c r="AR166" s="2203">
        <v>30.200278902105268</v>
      </c>
      <c r="AS166" s="2203">
        <v>33.302613632090925</v>
      </c>
      <c r="AT166" s="2202">
        <v>36.708214380322516</v>
      </c>
      <c r="AU166" s="2203">
        <v>34.591868474798638</v>
      </c>
      <c r="AV166" s="2203">
        <v>30.275818830236602</v>
      </c>
      <c r="AW166" s="2203">
        <v>33.385913427053367</v>
      </c>
      <c r="AX166" s="2202">
        <v>36.800032601111397</v>
      </c>
      <c r="AY166" s="2203">
        <v>34.815106597023615</v>
      </c>
      <c r="AZ166" s="2203">
        <v>30.471203388587639</v>
      </c>
      <c r="BA166" s="2203">
        <v>33.601368935842977</v>
      </c>
      <c r="BB166" s="2262">
        <v>37.037521078545765</v>
      </c>
      <c r="BC166" s="1204"/>
      <c r="BD166" s="1204"/>
      <c r="BE166" s="1269">
        <f t="shared" si="661"/>
        <v>43.390637595079625</v>
      </c>
      <c r="BF166" s="1269">
        <f t="shared" si="662"/>
        <v>45.067127773914159</v>
      </c>
      <c r="BG166" s="1269">
        <f t="shared" si="663"/>
        <v>37.545217047293526</v>
      </c>
      <c r="BH166" s="1273">
        <f t="shared" si="664"/>
        <v>39.432814215766051</v>
      </c>
      <c r="BI166" s="1273">
        <f t="shared" si="665"/>
        <v>51.793999998798668</v>
      </c>
      <c r="BJ166" s="1273">
        <f t="shared" si="666"/>
        <v>36.110963787402696</v>
      </c>
      <c r="BK166" s="1273">
        <f t="shared" si="667"/>
        <v>32.419926437445746</v>
      </c>
      <c r="BL166" s="1273">
        <f t="shared" si="668"/>
        <v>33.302467823931984</v>
      </c>
      <c r="BM166" s="1273">
        <f t="shared" si="669"/>
        <v>35.549696586100261</v>
      </c>
      <c r="BN166" s="1273">
        <f t="shared" si="670"/>
        <v>33.679166666599997</v>
      </c>
      <c r="BO166" s="1273">
        <f t="shared" si="671"/>
        <v>33.763408333300006</v>
      </c>
      <c r="BP166" s="1273">
        <f t="shared" si="672"/>
        <v>33.981300000000005</v>
      </c>
      <c r="BQ166" s="1205"/>
      <c r="BR166" s="1276"/>
      <c r="BS166" s="1273"/>
      <c r="BU166" s="1186"/>
      <c r="BV166" s="1551"/>
      <c r="BW166" s="1551"/>
      <c r="BX166" s="1551"/>
    </row>
    <row r="167" spans="2:76" ht="12.75" customHeight="1">
      <c r="C167" s="1254" t="s">
        <v>479</v>
      </c>
      <c r="D167" s="1552"/>
      <c r="E167" s="1253"/>
      <c r="F167" s="1222"/>
      <c r="G167" s="2199">
        <v>37.965997395833334</v>
      </c>
      <c r="H167" s="2200">
        <v>41.051071525390626</v>
      </c>
      <c r="I167" s="2200">
        <v>50.072542607421866</v>
      </c>
      <c r="J167" s="2201">
        <v>34.412752877884607</v>
      </c>
      <c r="K167" s="2199">
        <v>39.612896863281264</v>
      </c>
      <c r="L167" s="2200">
        <v>45.46599732519531</v>
      </c>
      <c r="M167" s="2200">
        <v>47.308313137695315</v>
      </c>
      <c r="N167" s="2201">
        <v>31.727422125992067</v>
      </c>
      <c r="O167" s="2199">
        <v>30.441801791015621</v>
      </c>
      <c r="P167" s="2200">
        <v>32.770161261718748</v>
      </c>
      <c r="Q167" s="2200">
        <v>44.877897271825397</v>
      </c>
      <c r="R167" s="2200">
        <v>35.019350765624992</v>
      </c>
      <c r="S167" s="2199">
        <v>34.838090073412694</v>
      </c>
      <c r="T167" s="2200">
        <v>39.428378864257809</v>
      </c>
      <c r="U167" s="2200">
        <v>41.11704862597658</v>
      </c>
      <c r="V167" s="2201">
        <v>34.355717211914069</v>
      </c>
      <c r="W167" s="2199">
        <v>72.99622284523808</v>
      </c>
      <c r="X167" s="2200">
        <v>48.442515457031263</v>
      </c>
      <c r="Y167" s="2200">
        <v>37.030601145507809</v>
      </c>
      <c r="Z167" s="2201">
        <v>38.673259170898433</v>
      </c>
      <c r="AA167" s="2199">
        <v>39.963556904761916</v>
      </c>
      <c r="AB167" s="2200">
        <v>30.605513267578125</v>
      </c>
      <c r="AC167" s="2200">
        <v>33.950207826923084</v>
      </c>
      <c r="AD167" s="2201">
        <v>29.947609584960937</v>
      </c>
      <c r="AE167" s="2199">
        <v>26.738570957031257</v>
      </c>
      <c r="AF167" s="2200">
        <v>29.587132090820305</v>
      </c>
      <c r="AG167" s="2200">
        <v>37.576820068359396</v>
      </c>
      <c r="AH167" s="2201">
        <v>31.571357599206348</v>
      </c>
      <c r="AI167" s="2199">
        <v>29.354624452148443</v>
      </c>
      <c r="AJ167" s="2203">
        <v>33.630935440429681</v>
      </c>
      <c r="AK167" s="2203">
        <v>34.552619896825405</v>
      </c>
      <c r="AL167" s="2202">
        <v>30.295690178571437</v>
      </c>
      <c r="AM167" s="2203">
        <v>31.943508934570318</v>
      </c>
      <c r="AN167" s="2203">
        <v>30.066666666666666</v>
      </c>
      <c r="AO167" s="2203">
        <v>34.6</v>
      </c>
      <c r="AP167" s="2202">
        <v>30.166666666666668</v>
      </c>
      <c r="AQ167" s="2203">
        <v>33.929172095569285</v>
      </c>
      <c r="AR167" s="2203">
        <v>28.660363159574629</v>
      </c>
      <c r="AS167" s="2203">
        <v>32.36321030654301</v>
      </c>
      <c r="AT167" s="2202">
        <v>28.947254438313074</v>
      </c>
      <c r="AU167" s="2203">
        <v>33.932622519850185</v>
      </c>
      <c r="AV167" s="2203">
        <v>28.663277772777295</v>
      </c>
      <c r="AW167" s="2203">
        <v>32.366501480472486</v>
      </c>
      <c r="AX167" s="2202">
        <v>28.950198226900017</v>
      </c>
      <c r="AY167" s="2203">
        <v>34.171295122086242</v>
      </c>
      <c r="AZ167" s="2203">
        <v>28.864887273800733</v>
      </c>
      <c r="BA167" s="2203">
        <v>32.594158424143806</v>
      </c>
      <c r="BB167" s="2262">
        <v>29.153825846369212</v>
      </c>
      <c r="BC167" s="1204"/>
      <c r="BD167" s="1204"/>
      <c r="BE167" s="1269">
        <f t="shared" si="661"/>
        <v>40.875591101632608</v>
      </c>
      <c r="BF167" s="1269">
        <f t="shared" si="662"/>
        <v>41.028657363040985</v>
      </c>
      <c r="BG167" s="1269">
        <f t="shared" si="663"/>
        <v>35.777302772546193</v>
      </c>
      <c r="BH167" s="1273">
        <f t="shared" si="664"/>
        <v>37.43480869389029</v>
      </c>
      <c r="BI167" s="1273">
        <f t="shared" si="665"/>
        <v>49.285649654668894</v>
      </c>
      <c r="BJ167" s="1273">
        <f t="shared" si="666"/>
        <v>33.616721896056013</v>
      </c>
      <c r="BK167" s="1273">
        <f t="shared" si="667"/>
        <v>31.368470178854327</v>
      </c>
      <c r="BL167" s="1273">
        <f t="shared" si="668"/>
        <v>31.958467491993741</v>
      </c>
      <c r="BM167" s="1273">
        <f t="shared" si="669"/>
        <v>31.694210566975915</v>
      </c>
      <c r="BN167" s="1273">
        <f t="shared" si="670"/>
        <v>30.975000000000001</v>
      </c>
      <c r="BO167" s="1273">
        <f t="shared" si="671"/>
        <v>30.978149999999996</v>
      </c>
      <c r="BP167" s="1273">
        <f t="shared" si="672"/>
        <v>31.196041666599999</v>
      </c>
      <c r="BQ167" s="1205"/>
      <c r="BR167" s="1276"/>
      <c r="BS167" s="1273"/>
      <c r="BU167" s="1186"/>
      <c r="BV167" s="1551"/>
      <c r="BW167" s="1551"/>
      <c r="BX167" s="1551"/>
    </row>
    <row r="168" spans="2:76" ht="12.75" customHeight="1">
      <c r="C168" s="1254" t="s">
        <v>439</v>
      </c>
      <c r="D168" s="1552"/>
      <c r="E168" s="1253"/>
      <c r="F168" s="1222"/>
      <c r="G168" s="2199">
        <v>40.616611328124996</v>
      </c>
      <c r="H168" s="2200">
        <v>39.390153808593752</v>
      </c>
      <c r="I168" s="2200">
        <v>48.872324218750009</v>
      </c>
      <c r="J168" s="2201">
        <v>32.494792444029855</v>
      </c>
      <c r="K168" s="2199">
        <v>49.694167480468757</v>
      </c>
      <c r="L168" s="2200">
        <v>41.930664062500007</v>
      </c>
      <c r="M168" s="2200">
        <v>111.00009521484377</v>
      </c>
      <c r="N168" s="2201">
        <v>29.544866071428554</v>
      </c>
      <c r="O168" s="2199">
        <v>25.356325683593752</v>
      </c>
      <c r="P168" s="2200">
        <v>30.825715332031248</v>
      </c>
      <c r="Q168" s="2200">
        <v>31.618534226190476</v>
      </c>
      <c r="R168" s="2200">
        <v>27.927487792968755</v>
      </c>
      <c r="S168" s="2199">
        <v>28.835245535714289</v>
      </c>
      <c r="T168" s="2200">
        <v>36.626384277343753</v>
      </c>
      <c r="U168" s="2200">
        <v>43.148923339843755</v>
      </c>
      <c r="V168" s="2201">
        <v>36.768386230468735</v>
      </c>
      <c r="W168" s="2199">
        <v>57.726661706349176</v>
      </c>
      <c r="X168" s="2200">
        <v>44.823835449218755</v>
      </c>
      <c r="Y168" s="2200">
        <v>38.568947753906251</v>
      </c>
      <c r="Z168" s="2201">
        <v>33.674279785156259</v>
      </c>
      <c r="AA168" s="2199">
        <v>26.530957341269843</v>
      </c>
      <c r="AB168" s="2200">
        <v>27.875180664062505</v>
      </c>
      <c r="AC168" s="2200">
        <v>34.771600961538461</v>
      </c>
      <c r="AD168" s="2201">
        <v>23.322177734375007</v>
      </c>
      <c r="AE168" s="2199">
        <v>20.53059082031249</v>
      </c>
      <c r="AF168" s="2200">
        <v>24.409040527343741</v>
      </c>
      <c r="AG168" s="2200">
        <v>33.207656250000007</v>
      </c>
      <c r="AH168" s="2201">
        <v>29.754362599206353</v>
      </c>
      <c r="AI168" s="2199">
        <v>27.700273437500005</v>
      </c>
      <c r="AJ168" s="2203">
        <v>46.152717285156264</v>
      </c>
      <c r="AK168" s="2203">
        <v>33.043561507936509</v>
      </c>
      <c r="AL168" s="2202">
        <v>29.19860119047619</v>
      </c>
      <c r="AM168" s="2203">
        <v>33.29329345703124</v>
      </c>
      <c r="AN168" s="2203">
        <v>37.382000000000005</v>
      </c>
      <c r="AO168" s="2203">
        <v>118.87111666666665</v>
      </c>
      <c r="AP168" s="2202">
        <v>27.205766666666666</v>
      </c>
      <c r="AQ168" s="2203">
        <v>24.525092123733586</v>
      </c>
      <c r="AR168" s="2203">
        <v>26.33436343081933</v>
      </c>
      <c r="AS168" s="2203">
        <v>72.001306158597217</v>
      </c>
      <c r="AT168" s="2202">
        <v>45.433288286849844</v>
      </c>
      <c r="AU168" s="2203">
        <v>22.536414554517716</v>
      </c>
      <c r="AV168" s="2203">
        <v>24.198976636338397</v>
      </c>
      <c r="AW168" s="2203">
        <v>66.162902706759411</v>
      </c>
      <c r="AX168" s="2202">
        <v>41.749218075984459</v>
      </c>
      <c r="AY168" s="2203">
        <v>21.446763815512227</v>
      </c>
      <c r="AZ168" s="2203">
        <v>23.028939907062984</v>
      </c>
      <c r="BA168" s="2203">
        <v>62.96388204378902</v>
      </c>
      <c r="BB168" s="2262">
        <v>39.730615417635761</v>
      </c>
      <c r="BC168" s="1204"/>
      <c r="BD168" s="1204"/>
      <c r="BE168" s="1269">
        <f t="shared" si="661"/>
        <v>40.343470449874651</v>
      </c>
      <c r="BF168" s="1269">
        <f t="shared" si="662"/>
        <v>58.042448207310272</v>
      </c>
      <c r="BG168" s="1269">
        <f t="shared" si="663"/>
        <v>28.93201575869606</v>
      </c>
      <c r="BH168" s="1273">
        <f t="shared" si="664"/>
        <v>36.34473484584263</v>
      </c>
      <c r="BI168" s="1273">
        <f t="shared" si="665"/>
        <v>43.69843117365761</v>
      </c>
      <c r="BJ168" s="1273">
        <f t="shared" si="666"/>
        <v>28.124979175311452</v>
      </c>
      <c r="BK168" s="1273">
        <f t="shared" si="667"/>
        <v>26.975412549215648</v>
      </c>
      <c r="BL168" s="1273">
        <f t="shared" si="668"/>
        <v>34.023788355267243</v>
      </c>
      <c r="BM168" s="1273">
        <f t="shared" si="669"/>
        <v>54.188044197591147</v>
      </c>
      <c r="BN168" s="1273">
        <f t="shared" si="670"/>
        <v>42.073512499999993</v>
      </c>
      <c r="BO168" s="1273">
        <f t="shared" si="671"/>
        <v>38.661877993399997</v>
      </c>
      <c r="BP168" s="1273">
        <f t="shared" si="672"/>
        <v>36.792550296000002</v>
      </c>
      <c r="BQ168" s="1205"/>
      <c r="BR168" s="1276"/>
      <c r="BS168" s="1273"/>
      <c r="BU168" s="1186"/>
      <c r="BV168" s="1551"/>
      <c r="BW168" s="1551"/>
      <c r="BX168" s="1551"/>
    </row>
    <row r="169" spans="2:76" ht="12.75" customHeight="1">
      <c r="C169" s="1564" t="s">
        <v>480</v>
      </c>
      <c r="D169" s="1552"/>
      <c r="E169" s="1253"/>
      <c r="F169" s="1222"/>
      <c r="G169" s="2199">
        <v>40.761767578124989</v>
      </c>
      <c r="H169" s="2200">
        <v>39.232558593749999</v>
      </c>
      <c r="I169" s="2200">
        <v>48.767795410156261</v>
      </c>
      <c r="J169" s="2201">
        <v>32.77672574626866</v>
      </c>
      <c r="K169" s="2199">
        <v>50.755690917968764</v>
      </c>
      <c r="L169" s="2200">
        <v>40.202160644531247</v>
      </c>
      <c r="M169" s="2200">
        <v>106.84378173828125</v>
      </c>
      <c r="N169" s="2201">
        <v>28.962276785714291</v>
      </c>
      <c r="O169" s="2199">
        <v>25.273820800781262</v>
      </c>
      <c r="P169" s="2200">
        <v>31.306391601562503</v>
      </c>
      <c r="Q169" s="2200">
        <v>32.226475694444453</v>
      </c>
      <c r="R169" s="2200">
        <v>28.259047851562507</v>
      </c>
      <c r="S169" s="2199">
        <v>29.044474206349211</v>
      </c>
      <c r="T169" s="2200">
        <v>35.193894042968758</v>
      </c>
      <c r="U169" s="2200">
        <v>38.431984863281251</v>
      </c>
      <c r="V169" s="2201">
        <v>35.855332031250001</v>
      </c>
      <c r="W169" s="2199">
        <v>60.188559027777771</v>
      </c>
      <c r="X169" s="2200">
        <v>40.574257812500001</v>
      </c>
      <c r="Y169" s="2200">
        <v>37.938735351562507</v>
      </c>
      <c r="Z169" s="2201">
        <v>34.462575683593748</v>
      </c>
      <c r="AA169" s="2199">
        <v>26.624528769841273</v>
      </c>
      <c r="AB169" s="2200">
        <v>27.696826171875006</v>
      </c>
      <c r="AC169" s="2200">
        <v>35.113086538461538</v>
      </c>
      <c r="AD169" s="2201">
        <v>20.858798828125007</v>
      </c>
      <c r="AE169" s="2199">
        <v>19.673029785156263</v>
      </c>
      <c r="AF169" s="2200">
        <v>22.350983886718744</v>
      </c>
      <c r="AG169" s="2200">
        <v>30.610273437499995</v>
      </c>
      <c r="AH169" s="2201">
        <v>25.720223214285713</v>
      </c>
      <c r="AI169" s="2199">
        <v>22.746433105468753</v>
      </c>
      <c r="AJ169" s="2203">
        <v>27.890290527343748</v>
      </c>
      <c r="AK169" s="2203">
        <v>29.419799107142854</v>
      </c>
      <c r="AL169" s="2202">
        <v>23.559124503968256</v>
      </c>
      <c r="AM169" s="2203">
        <v>31.786008300781262</v>
      </c>
      <c r="AN169" s="2203">
        <v>35.332000000000001</v>
      </c>
      <c r="AO169" s="2203">
        <v>118.57111666666667</v>
      </c>
      <c r="AP169" s="2202">
        <v>26.272433333333336</v>
      </c>
      <c r="AQ169" s="2203">
        <v>23.582895883834407</v>
      </c>
      <c r="AR169" s="2203">
        <v>24.58750024208658</v>
      </c>
      <c r="AS169" s="2203">
        <v>70.499208350188795</v>
      </c>
      <c r="AT169" s="2202">
        <v>43.541112190290235</v>
      </c>
      <c r="AU169" s="2203">
        <v>21.356595924499164</v>
      </c>
      <c r="AV169" s="2203">
        <v>22.266362453973152</v>
      </c>
      <c r="AW169" s="2203">
        <v>63.843860107279404</v>
      </c>
      <c r="AX169" s="2202">
        <v>39.430693487848274</v>
      </c>
      <c r="AY169" s="2203">
        <v>20.153204665518864</v>
      </c>
      <c r="AZ169" s="2203">
        <v>21.011708105446548</v>
      </c>
      <c r="BA169" s="2203">
        <v>60.246416794484098</v>
      </c>
      <c r="BB169" s="2262">
        <v>37.208871618550496</v>
      </c>
      <c r="BC169" s="1204"/>
      <c r="BD169" s="1204"/>
      <c r="BE169" s="1269">
        <f t="shared" si="661"/>
        <v>40.384711832074977</v>
      </c>
      <c r="BF169" s="1269">
        <f t="shared" si="662"/>
        <v>56.690977521623886</v>
      </c>
      <c r="BG169" s="1269">
        <f t="shared" si="663"/>
        <v>29.26643398708768</v>
      </c>
      <c r="BH169" s="1273">
        <f t="shared" si="664"/>
        <v>34.631421285962304</v>
      </c>
      <c r="BI169" s="1273">
        <f t="shared" si="665"/>
        <v>43.291031968858505</v>
      </c>
      <c r="BJ169" s="1273">
        <f t="shared" si="666"/>
        <v>27.573310077075703</v>
      </c>
      <c r="BK169" s="1273">
        <f t="shared" si="667"/>
        <v>24.58862758091518</v>
      </c>
      <c r="BL169" s="1273">
        <f t="shared" si="668"/>
        <v>25.903911810980901</v>
      </c>
      <c r="BM169" s="1273">
        <f t="shared" si="669"/>
        <v>52.990389575195316</v>
      </c>
      <c r="BN169" s="1273">
        <f t="shared" si="670"/>
        <v>40.552679166600001</v>
      </c>
      <c r="BO169" s="1273">
        <f t="shared" si="671"/>
        <v>36.724377993399997</v>
      </c>
      <c r="BP169" s="1273">
        <f t="shared" si="672"/>
        <v>34.655050295999999</v>
      </c>
      <c r="BQ169" s="1205"/>
      <c r="BR169" s="1276"/>
      <c r="BS169" s="1273"/>
      <c r="BU169" s="1186"/>
      <c r="BV169" s="1551"/>
      <c r="BW169" s="1551"/>
      <c r="BX169" s="1551"/>
    </row>
    <row r="170" spans="2:76" ht="12.75" customHeight="1">
      <c r="C170" s="1564" t="s">
        <v>440</v>
      </c>
      <c r="D170" s="1552"/>
      <c r="E170" s="1253"/>
      <c r="F170" s="1222"/>
      <c r="G170" s="2199">
        <v>40.462470703125</v>
      </c>
      <c r="H170" s="2200">
        <v>39.192001953125001</v>
      </c>
      <c r="I170" s="2200">
        <v>48.72686279296876</v>
      </c>
      <c r="J170" s="2201">
        <v>31.765543376865669</v>
      </c>
      <c r="K170" s="2199">
        <v>55.323972167968762</v>
      </c>
      <c r="L170" s="2200">
        <v>39.6252978515625</v>
      </c>
      <c r="M170" s="2200">
        <v>106.81442871093749</v>
      </c>
      <c r="N170" s="2201">
        <v>29.354828869047626</v>
      </c>
      <c r="O170" s="2199">
        <v>25.648288574218743</v>
      </c>
      <c r="P170" s="2200">
        <v>29.951386718749998</v>
      </c>
      <c r="Q170" s="2200">
        <v>31.210275297619049</v>
      </c>
      <c r="R170" s="2200">
        <v>28.586511230468751</v>
      </c>
      <c r="S170" s="2199">
        <v>28.708407738095232</v>
      </c>
      <c r="T170" s="2200">
        <v>36.230866699218758</v>
      </c>
      <c r="U170" s="2200">
        <v>40.352358398437502</v>
      </c>
      <c r="V170" s="2201">
        <v>36.304406738281251</v>
      </c>
      <c r="W170" s="2199">
        <v>59.069300595238097</v>
      </c>
      <c r="X170" s="2200">
        <v>41.673994140624984</v>
      </c>
      <c r="Y170" s="2200">
        <v>38.124675292968753</v>
      </c>
      <c r="Z170" s="2201">
        <v>34.437966308593751</v>
      </c>
      <c r="AA170" s="2199">
        <v>26.435344742063496</v>
      </c>
      <c r="AB170" s="2200">
        <v>27.865429687499994</v>
      </c>
      <c r="AC170" s="2200">
        <v>34.586947115384625</v>
      </c>
      <c r="AD170" s="2201">
        <v>23.201174316406249</v>
      </c>
      <c r="AE170" s="2199">
        <v>20.267778320312491</v>
      </c>
      <c r="AF170" s="2200">
        <v>22.831770019531245</v>
      </c>
      <c r="AG170" s="2200">
        <v>30.974855957031252</v>
      </c>
      <c r="AH170" s="2201">
        <v>28.905121527777784</v>
      </c>
      <c r="AI170" s="2199">
        <v>24.182224121093753</v>
      </c>
      <c r="AJ170" s="2203">
        <v>35.500275878906244</v>
      </c>
      <c r="AK170" s="2203">
        <v>30.679335317460314</v>
      </c>
      <c r="AL170" s="2202">
        <v>26.539970238095233</v>
      </c>
      <c r="AM170" s="2203">
        <v>33.080983886718748</v>
      </c>
      <c r="AN170" s="2203">
        <v>38.148666666666664</v>
      </c>
      <c r="AO170" s="2203">
        <v>119.77111666666667</v>
      </c>
      <c r="AP170" s="2202">
        <v>27.555766666666667</v>
      </c>
      <c r="AQ170" s="2203">
        <v>25.311841025847244</v>
      </c>
      <c r="AR170" s="2203">
        <v>26.536363358265632</v>
      </c>
      <c r="AS170" s="2203">
        <v>72.644761515096988</v>
      </c>
      <c r="AT170" s="2202">
        <v>44.901084100790143</v>
      </c>
      <c r="AU170" s="2203">
        <v>23.143193839184796</v>
      </c>
      <c r="AV170" s="2203">
        <v>24.262802550010321</v>
      </c>
      <c r="AW170" s="2203">
        <v>66.420763129337274</v>
      </c>
      <c r="AX170" s="2202">
        <v>41.054085788267628</v>
      </c>
      <c r="AY170" s="2203">
        <v>21.966120391696254</v>
      </c>
      <c r="AZ170" s="2203">
        <v>23.028785290261158</v>
      </c>
      <c r="BA170" s="2203">
        <v>63.042572669337098</v>
      </c>
      <c r="BB170" s="2262">
        <v>38.966056165905499</v>
      </c>
      <c r="BC170" s="1204"/>
      <c r="BD170" s="1204"/>
      <c r="BE170" s="1269">
        <f t="shared" si="661"/>
        <v>40.036719706521104</v>
      </c>
      <c r="BF170" s="1269">
        <f t="shared" si="662"/>
        <v>57.779631899879099</v>
      </c>
      <c r="BG170" s="1269">
        <f t="shared" si="663"/>
        <v>28.849115455264133</v>
      </c>
      <c r="BH170" s="1273">
        <f t="shared" si="664"/>
        <v>35.399009893508186</v>
      </c>
      <c r="BI170" s="1273">
        <f t="shared" si="665"/>
        <v>43.326484084356402</v>
      </c>
      <c r="BJ170" s="1273">
        <f t="shared" si="666"/>
        <v>28.02222396533859</v>
      </c>
      <c r="BK170" s="1273">
        <f t="shared" si="667"/>
        <v>25.744881456163192</v>
      </c>
      <c r="BL170" s="1273">
        <f t="shared" si="668"/>
        <v>29.225451388888885</v>
      </c>
      <c r="BM170" s="1273">
        <f t="shared" si="669"/>
        <v>54.639133471679685</v>
      </c>
      <c r="BN170" s="1273">
        <f t="shared" si="670"/>
        <v>42.348512499999998</v>
      </c>
      <c r="BO170" s="1273">
        <f t="shared" si="671"/>
        <v>38.720211326700003</v>
      </c>
      <c r="BP170" s="1273">
        <f t="shared" si="672"/>
        <v>36.750883629300006</v>
      </c>
      <c r="BQ170" s="1205"/>
      <c r="BR170" s="1276"/>
      <c r="BS170" s="1273"/>
      <c r="BU170" s="1186"/>
      <c r="BV170" s="1551"/>
      <c r="BW170" s="1551"/>
      <c r="BX170" s="1551"/>
    </row>
    <row r="171" spans="2:76" ht="12.75" customHeight="1">
      <c r="C171" s="1564" t="s">
        <v>481</v>
      </c>
      <c r="D171" s="1552"/>
      <c r="E171" s="1233"/>
      <c r="F171" s="1222"/>
      <c r="G171" s="2199">
        <v>43.880888888888897</v>
      </c>
      <c r="H171" s="2200">
        <v>35.874838709677434</v>
      </c>
      <c r="I171" s="2200">
        <v>40.575468749999999</v>
      </c>
      <c r="J171" s="2201">
        <v>34.270317460317472</v>
      </c>
      <c r="K171" s="2199">
        <v>32.430468750000003</v>
      </c>
      <c r="L171" s="2200">
        <v>36.866093749999997</v>
      </c>
      <c r="M171" s="2200">
        <v>42.871093750000007</v>
      </c>
      <c r="N171" s="2201">
        <v>33.560156250000006</v>
      </c>
      <c r="O171" s="2199">
        <v>25.353281250000002</v>
      </c>
      <c r="P171" s="2200">
        <v>25.953076923076935</v>
      </c>
      <c r="Q171" s="2200">
        <v>36.29349206349206</v>
      </c>
      <c r="R171" s="2200">
        <v>31.014769230769229</v>
      </c>
      <c r="S171" s="2199">
        <v>32.511999999999993</v>
      </c>
      <c r="T171" s="2200">
        <v>38.131384615384611</v>
      </c>
      <c r="U171" s="2200">
        <v>42.04296875</v>
      </c>
      <c r="V171" s="2201">
        <v>37.624062500000001</v>
      </c>
      <c r="W171" s="2199">
        <v>47.590967741935479</v>
      </c>
      <c r="X171" s="2200">
        <v>42.762769230769244</v>
      </c>
      <c r="Y171" s="2200">
        <v>43.211212121212121</v>
      </c>
      <c r="Z171" s="2201">
        <v>36.127031249999987</v>
      </c>
      <c r="AA171" s="2199">
        <v>25.419180327868858</v>
      </c>
      <c r="AB171" s="2200">
        <v>26.831111111111106</v>
      </c>
      <c r="AC171" s="2200">
        <v>33.160312500000011</v>
      </c>
      <c r="AD171" s="2201">
        <v>23.980158730158735</v>
      </c>
      <c r="AE171" s="2199">
        <v>19.007377049180324</v>
      </c>
      <c r="AF171" s="2200">
        <v>22.532187499999996</v>
      </c>
      <c r="AG171" s="2200">
        <v>34.896093749999999</v>
      </c>
      <c r="AH171" s="2201">
        <v>25.215322580645164</v>
      </c>
      <c r="AI171" s="2199">
        <v>23.400322580645167</v>
      </c>
      <c r="AJ171" s="2203">
        <v>32.938906250000002</v>
      </c>
      <c r="AK171" s="2203">
        <v>44.240952380952386</v>
      </c>
      <c r="AL171" s="2202">
        <v>30.908548387096779</v>
      </c>
      <c r="AM171" s="2203">
        <v>26.38622950819672</v>
      </c>
      <c r="AN171" s="2203">
        <v>27.183333333333334</v>
      </c>
      <c r="AO171" s="2203">
        <v>42.599999999999994</v>
      </c>
      <c r="AP171" s="2202">
        <v>25.099999999999998</v>
      </c>
      <c r="AQ171" s="2203">
        <v>25.992977359392921</v>
      </c>
      <c r="AR171" s="2203">
        <v>25.589202953810119</v>
      </c>
      <c r="AS171" s="2203">
        <v>40.377440558280256</v>
      </c>
      <c r="AT171" s="2202">
        <v>30.457045794916699</v>
      </c>
      <c r="AU171" s="2203">
        <v>28.466645320489615</v>
      </c>
      <c r="AV171" s="2203">
        <v>28.024445004831527</v>
      </c>
      <c r="AW171" s="2203">
        <v>44.220031565809109</v>
      </c>
      <c r="AX171" s="2202">
        <v>33.355544775269749</v>
      </c>
      <c r="AY171" s="2203">
        <v>30.466105117398659</v>
      </c>
      <c r="AZ171" s="2203">
        <v>29.992845232079848</v>
      </c>
      <c r="BA171" s="2203">
        <v>47.325988531881407</v>
      </c>
      <c r="BB171" s="2262">
        <v>35.69839445184008</v>
      </c>
      <c r="BC171" s="1204"/>
      <c r="BD171" s="1204"/>
      <c r="BE171" s="1269">
        <f t="shared" si="661"/>
        <v>38.650378452220949</v>
      </c>
      <c r="BF171" s="1269">
        <f t="shared" si="662"/>
        <v>36.431953125</v>
      </c>
      <c r="BG171" s="1269">
        <f t="shared" si="663"/>
        <v>29.653654866834557</v>
      </c>
      <c r="BH171" s="1273">
        <f t="shared" si="664"/>
        <v>37.577603966346153</v>
      </c>
      <c r="BI171" s="1273">
        <f t="shared" si="665"/>
        <v>42.42299508597921</v>
      </c>
      <c r="BJ171" s="1273">
        <f t="shared" si="666"/>
        <v>27.347690667284677</v>
      </c>
      <c r="BK171" s="1273">
        <f t="shared" si="667"/>
        <v>25.412745219956371</v>
      </c>
      <c r="BL171" s="1273">
        <f t="shared" si="668"/>
        <v>32.872182399673584</v>
      </c>
      <c r="BM171" s="1273">
        <f t="shared" si="669"/>
        <v>30.317390710382512</v>
      </c>
      <c r="BN171" s="1273">
        <f t="shared" si="670"/>
        <v>30.604166666599998</v>
      </c>
      <c r="BO171" s="1273">
        <f t="shared" si="671"/>
        <v>33.516666666600003</v>
      </c>
      <c r="BP171" s="1273">
        <f t="shared" si="672"/>
        <v>35.870833333299998</v>
      </c>
      <c r="BQ171" s="1205"/>
      <c r="BR171" s="1276"/>
      <c r="BS171" s="1273"/>
      <c r="BU171" s="1186"/>
      <c r="BV171" s="1551"/>
      <c r="BW171" s="1551"/>
      <c r="BX171" s="1551"/>
    </row>
    <row r="172" spans="2:76" ht="12.75" customHeight="1">
      <c r="C172" s="1564" t="s">
        <v>482</v>
      </c>
      <c r="D172" s="1552"/>
      <c r="E172" s="1253"/>
      <c r="F172" s="1222"/>
      <c r="G172" s="2199">
        <v>58.596430330972908</v>
      </c>
      <c r="H172" s="2200">
        <v>31.946377822646106</v>
      </c>
      <c r="I172" s="2200">
        <v>37.433810982142873</v>
      </c>
      <c r="J172" s="2201">
        <v>33.962447284902595</v>
      </c>
      <c r="K172" s="2199">
        <v>30.515116445312522</v>
      </c>
      <c r="L172" s="2200">
        <v>33.011711513798716</v>
      </c>
      <c r="M172" s="2200">
        <v>42.068564527191569</v>
      </c>
      <c r="N172" s="2201">
        <v>32.950429456168834</v>
      </c>
      <c r="O172" s="2199">
        <v>25.307843413149342</v>
      </c>
      <c r="P172" s="2200">
        <v>22.80274092532467</v>
      </c>
      <c r="Q172" s="2200">
        <v>35.896205914884867</v>
      </c>
      <c r="R172" s="2200">
        <v>42.475329612418847</v>
      </c>
      <c r="S172" s="2199">
        <v>42.911978651315792</v>
      </c>
      <c r="T172" s="2200">
        <v>45.579805629058441</v>
      </c>
      <c r="U172" s="2200">
        <v>48.084160511363628</v>
      </c>
      <c r="V172" s="2201">
        <v>45.337906345373376</v>
      </c>
      <c r="W172" s="2199">
        <v>53.600572129934207</v>
      </c>
      <c r="X172" s="2200">
        <v>40.900113140016224</v>
      </c>
      <c r="Y172" s="2200">
        <v>46.183565756087653</v>
      </c>
      <c r="Z172" s="2201">
        <v>41.445947460091979</v>
      </c>
      <c r="AA172" s="2199">
        <v>28.829850453771133</v>
      </c>
      <c r="AB172" s="2200">
        <v>29.03807379386982</v>
      </c>
      <c r="AC172" s="2200">
        <v>35.943119470128089</v>
      </c>
      <c r="AD172" s="2201">
        <v>32.371010031004026</v>
      </c>
      <c r="AE172" s="2199">
        <v>21.909217117018397</v>
      </c>
      <c r="AF172" s="2200">
        <v>21.147224745129879</v>
      </c>
      <c r="AG172" s="2200">
        <v>35.217113687499996</v>
      </c>
      <c r="AH172" s="2201">
        <v>32.804729900021115</v>
      </c>
      <c r="AI172" s="2199">
        <v>27.142658075794955</v>
      </c>
      <c r="AJ172" s="2203">
        <v>32.083006007440474</v>
      </c>
      <c r="AK172" s="2203">
        <v>43.369349766774882</v>
      </c>
      <c r="AL172" s="2202">
        <v>48.204032704495603</v>
      </c>
      <c r="AM172" s="2203">
        <v>34.474168695211048</v>
      </c>
      <c r="AN172" s="2203">
        <v>27.633333333333336</v>
      </c>
      <c r="AO172" s="2203">
        <v>46.35</v>
      </c>
      <c r="AP172" s="2202">
        <v>39.75</v>
      </c>
      <c r="AQ172" s="2203">
        <v>35.039319558003335</v>
      </c>
      <c r="AR172" s="2203">
        <v>25.220609132408999</v>
      </c>
      <c r="AS172" s="2203">
        <v>40.23746037155329</v>
      </c>
      <c r="AT172" s="2202">
        <v>42.319277604434383</v>
      </c>
      <c r="AU172" s="2203">
        <v>37.701310109094798</v>
      </c>
      <c r="AV172" s="2203">
        <v>27.136657276326481</v>
      </c>
      <c r="AW172" s="2203">
        <v>43.29436160879569</v>
      </c>
      <c r="AX172" s="2202">
        <v>45.534337672183035</v>
      </c>
      <c r="AY172" s="2203">
        <v>39.12839874558054</v>
      </c>
      <c r="AZ172" s="2203">
        <v>28.16384744874204</v>
      </c>
      <c r="BA172" s="2203">
        <v>44.93316119684799</v>
      </c>
      <c r="BB172" s="2262">
        <v>47.257925942029424</v>
      </c>
      <c r="BC172" s="1204"/>
      <c r="BD172" s="1204"/>
      <c r="BE172" s="1269">
        <f t="shared" si="661"/>
        <v>40.484766605166115</v>
      </c>
      <c r="BF172" s="1269">
        <f t="shared" si="662"/>
        <v>34.636455485617915</v>
      </c>
      <c r="BG172" s="1269">
        <f t="shared" si="663"/>
        <v>31.62052996644443</v>
      </c>
      <c r="BH172" s="1273">
        <f t="shared" si="664"/>
        <v>45.478462784277809</v>
      </c>
      <c r="BI172" s="1273">
        <f t="shared" si="665"/>
        <v>45.532549621532517</v>
      </c>
      <c r="BJ172" s="1273">
        <f t="shared" si="666"/>
        <v>31.545513437193271</v>
      </c>
      <c r="BK172" s="1273">
        <f t="shared" si="667"/>
        <v>27.769571362417349</v>
      </c>
      <c r="BL172" s="1273">
        <f t="shared" si="668"/>
        <v>37.699761638626477</v>
      </c>
      <c r="BM172" s="1273">
        <f t="shared" si="669"/>
        <v>37.051875507136096</v>
      </c>
      <c r="BN172" s="1273">
        <f t="shared" si="670"/>
        <v>35.704166666600003</v>
      </c>
      <c r="BO172" s="1273">
        <f t="shared" si="671"/>
        <v>38.416666666600001</v>
      </c>
      <c r="BP172" s="1273">
        <f t="shared" si="672"/>
        <v>39.870833333299998</v>
      </c>
      <c r="BQ172" s="1205"/>
      <c r="BR172" s="1276"/>
      <c r="BS172" s="1273"/>
      <c r="BU172" s="1186"/>
      <c r="BV172" s="1551"/>
      <c r="BW172" s="1551"/>
      <c r="BX172" s="1551"/>
    </row>
    <row r="173" spans="2:76" ht="12.75" customHeight="1">
      <c r="C173" s="1564" t="s">
        <v>483</v>
      </c>
      <c r="D173" s="1552"/>
      <c r="E173" s="1253"/>
      <c r="F173" s="1222"/>
      <c r="G173" s="2199">
        <v>43.232782068657642</v>
      </c>
      <c r="H173" s="2200">
        <v>31.276324283685071</v>
      </c>
      <c r="I173" s="2200">
        <v>35.895895022321419</v>
      </c>
      <c r="J173" s="2201">
        <v>34.310879216720778</v>
      </c>
      <c r="K173" s="2199">
        <v>30.24114454975328</v>
      </c>
      <c r="L173" s="2200">
        <v>31.702068581574675</v>
      </c>
      <c r="M173" s="2200">
        <v>41.130466008522738</v>
      </c>
      <c r="N173" s="2201">
        <v>32.790118090503235</v>
      </c>
      <c r="O173" s="2199">
        <v>25.843621564529215</v>
      </c>
      <c r="P173" s="2200">
        <v>26.883430413961047</v>
      </c>
      <c r="Q173" s="2200">
        <v>32.092331157483542</v>
      </c>
      <c r="R173" s="2200">
        <v>35.354487767857144</v>
      </c>
      <c r="S173" s="2199">
        <v>38.341412275904609</v>
      </c>
      <c r="T173" s="2200">
        <v>53.221846702516224</v>
      </c>
      <c r="U173" s="2200">
        <v>43.118555716314944</v>
      </c>
      <c r="V173" s="2201">
        <v>47.006490310470774</v>
      </c>
      <c r="W173" s="2199">
        <v>54.453317212171072</v>
      </c>
      <c r="X173" s="2200">
        <v>43.800113599161243</v>
      </c>
      <c r="Y173" s="2200">
        <v>46.219888831825891</v>
      </c>
      <c r="Z173" s="2201">
        <v>42.75064843777055</v>
      </c>
      <c r="AA173" s="2199">
        <v>30.826490857906492</v>
      </c>
      <c r="AB173" s="2200">
        <v>36.661938962643021</v>
      </c>
      <c r="AC173" s="2200">
        <v>36.175045137228835</v>
      </c>
      <c r="AD173" s="2201">
        <v>31.309796634826355</v>
      </c>
      <c r="AE173" s="2199">
        <v>23.238426047889615</v>
      </c>
      <c r="AF173" s="2200">
        <v>25.958117773133125</v>
      </c>
      <c r="AG173" s="2200">
        <v>35.980332387929025</v>
      </c>
      <c r="AH173" s="2201">
        <v>36.942520320092108</v>
      </c>
      <c r="AI173" s="2199">
        <v>29.92399809991776</v>
      </c>
      <c r="AJ173" s="2203">
        <v>36.316399976055195</v>
      </c>
      <c r="AK173" s="2203">
        <v>47.946497504058435</v>
      </c>
      <c r="AL173" s="2202">
        <v>48.663296223684213</v>
      </c>
      <c r="AM173" s="2203">
        <v>34.379404778409103</v>
      </c>
      <c r="AN173" s="2203">
        <v>28.966666666666669</v>
      </c>
      <c r="AO173" s="2203">
        <v>44.1</v>
      </c>
      <c r="AP173" s="2202">
        <v>40.25</v>
      </c>
      <c r="AQ173" s="2203">
        <v>38.255538918101109</v>
      </c>
      <c r="AR173" s="2203">
        <v>29.023202192532711</v>
      </c>
      <c r="AS173" s="2203">
        <v>41.520011572445739</v>
      </c>
      <c r="AT173" s="2202">
        <v>42.017913983320447</v>
      </c>
      <c r="AU173" s="2203">
        <v>41.312092640925286</v>
      </c>
      <c r="AV173" s="2203">
        <v>31.342107616915317</v>
      </c>
      <c r="AW173" s="2203">
        <v>44.837391212950912</v>
      </c>
      <c r="AX173" s="2202">
        <v>45.375075195608474</v>
      </c>
      <c r="AY173" s="2203">
        <v>42.787524520994573</v>
      </c>
      <c r="AZ173" s="2203">
        <v>32.461468603261217</v>
      </c>
      <c r="BA173" s="2203">
        <v>46.438726613452779</v>
      </c>
      <c r="BB173" s="2262">
        <v>46.995613595491442</v>
      </c>
      <c r="BC173" s="1204"/>
      <c r="BD173" s="1204"/>
      <c r="BE173" s="1269">
        <f t="shared" si="661"/>
        <v>36.178970147846229</v>
      </c>
      <c r="BF173" s="1269">
        <f t="shared" si="662"/>
        <v>33.965949307588481</v>
      </c>
      <c r="BG173" s="1269">
        <f t="shared" si="663"/>
        <v>30.04346772595774</v>
      </c>
      <c r="BH173" s="1273">
        <f t="shared" si="664"/>
        <v>45.42207625130164</v>
      </c>
      <c r="BI173" s="1273">
        <f t="shared" si="665"/>
        <v>46.805992020232196</v>
      </c>
      <c r="BJ173" s="1273">
        <f t="shared" si="666"/>
        <v>33.743317898151176</v>
      </c>
      <c r="BK173" s="1273">
        <f t="shared" si="667"/>
        <v>30.529849132260971</v>
      </c>
      <c r="BL173" s="1273">
        <f t="shared" si="668"/>
        <v>40.712547950928908</v>
      </c>
      <c r="BM173" s="1273">
        <f t="shared" si="669"/>
        <v>36.924017861268943</v>
      </c>
      <c r="BN173" s="1273">
        <f t="shared" si="670"/>
        <v>37.704166666600003</v>
      </c>
      <c r="BO173" s="1273">
        <f t="shared" si="671"/>
        <v>40.716666666599998</v>
      </c>
      <c r="BP173" s="1273">
        <f t="shared" si="672"/>
        <v>42.170833333300003</v>
      </c>
      <c r="BQ173" s="1205"/>
      <c r="BR173" s="1276"/>
      <c r="BS173" s="1273"/>
      <c r="BU173" s="1186"/>
      <c r="BV173" s="1551"/>
      <c r="BW173" s="1551"/>
      <c r="BX173" s="1551"/>
    </row>
    <row r="174" spans="2:76" ht="12.75" customHeight="1">
      <c r="C174" s="1564" t="s">
        <v>484</v>
      </c>
      <c r="D174" s="1552"/>
      <c r="E174" s="1552"/>
      <c r="F174" s="1222"/>
      <c r="G174" s="2199">
        <v>42.801333333333332</v>
      </c>
      <c r="H174" s="2200">
        <v>28.54564516129032</v>
      </c>
      <c r="I174" s="2200">
        <v>38.119531250000001</v>
      </c>
      <c r="J174" s="2201">
        <v>33.579047619047621</v>
      </c>
      <c r="K174" s="2199">
        <v>26.340468749999999</v>
      </c>
      <c r="L174" s="2200">
        <v>27.286249999999995</v>
      </c>
      <c r="M174" s="2200">
        <v>33.397500000000015</v>
      </c>
      <c r="N174" s="2201">
        <v>30.906093749999997</v>
      </c>
      <c r="O174" s="2199">
        <v>23.229218750000008</v>
      </c>
      <c r="P174" s="2200">
        <v>12.017692307692307</v>
      </c>
      <c r="Q174" s="2200">
        <v>26.9057142857143</v>
      </c>
      <c r="R174" s="2200">
        <v>29.446000000000005</v>
      </c>
      <c r="S174" s="2199">
        <v>30.320000000000007</v>
      </c>
      <c r="T174" s="2200">
        <v>33.439538461538454</v>
      </c>
      <c r="U174" s="2200">
        <v>42.477500000000006</v>
      </c>
      <c r="V174" s="2201">
        <v>43.603750000000005</v>
      </c>
      <c r="W174" s="2199">
        <v>47.446612903225798</v>
      </c>
      <c r="X174" s="2200">
        <v>33.838307692307687</v>
      </c>
      <c r="Y174" s="2200">
        <v>40.372878787878776</v>
      </c>
      <c r="Z174" s="2201">
        <v>32.739843750000006</v>
      </c>
      <c r="AA174" s="2199">
        <v>20.717049180327873</v>
      </c>
      <c r="AB174" s="2200">
        <v>28.650317460317464</v>
      </c>
      <c r="AC174" s="2200">
        <v>33.344531250000003</v>
      </c>
      <c r="AD174" s="2201">
        <v>21.909841269841273</v>
      </c>
      <c r="AE174" s="2199">
        <v>17.523114754098362</v>
      </c>
      <c r="AF174" s="2200">
        <v>16.668125</v>
      </c>
      <c r="AG174" s="2200">
        <v>32.027968749999999</v>
      </c>
      <c r="AH174" s="2201">
        <v>25.693387096774195</v>
      </c>
      <c r="AI174" s="2199">
        <v>23.318548387096779</v>
      </c>
      <c r="AJ174" s="2203">
        <v>16.274843750000002</v>
      </c>
      <c r="AK174" s="2203">
        <v>38.276507936507947</v>
      </c>
      <c r="AL174" s="2202">
        <v>27.148064516129033</v>
      </c>
      <c r="AM174" s="2203">
        <v>21.811311475409838</v>
      </c>
      <c r="AN174" s="2203">
        <v>13.183333333333332</v>
      </c>
      <c r="AO174" s="2203">
        <v>28.649999999999995</v>
      </c>
      <c r="AP174" s="2202">
        <v>23.75</v>
      </c>
      <c r="AQ174" s="2203">
        <v>27.40712890369376</v>
      </c>
      <c r="AR174" s="2203">
        <v>18.328876562466629</v>
      </c>
      <c r="AS174" s="2203">
        <v>32.290998834121375</v>
      </c>
      <c r="AT174" s="2202">
        <v>22.389662366118252</v>
      </c>
      <c r="AU174" s="2203">
        <v>30.859744810408912</v>
      </c>
      <c r="AV174" s="2203">
        <v>20.637858688765235</v>
      </c>
      <c r="AW174" s="2203">
        <v>36.358860761949288</v>
      </c>
      <c r="AX174" s="2202">
        <v>25.210202405276569</v>
      </c>
      <c r="AY174" s="2203">
        <v>33.047766221683759</v>
      </c>
      <c r="AZ174" s="2203">
        <v>22.101126676601996</v>
      </c>
      <c r="BA174" s="2203">
        <v>38.936781166847538</v>
      </c>
      <c r="BB174" s="2262">
        <v>26.997659268066712</v>
      </c>
      <c r="BC174" s="1204"/>
      <c r="BD174" s="1204"/>
      <c r="BE174" s="1269">
        <f t="shared" si="661"/>
        <v>35.761389340917823</v>
      </c>
      <c r="BF174" s="1269">
        <f t="shared" si="662"/>
        <v>29.482578125000003</v>
      </c>
      <c r="BG174" s="1269">
        <f t="shared" si="663"/>
        <v>22.899656335851652</v>
      </c>
      <c r="BH174" s="1273">
        <f t="shared" si="664"/>
        <v>37.460197115384616</v>
      </c>
      <c r="BI174" s="1273">
        <f t="shared" si="665"/>
        <v>38.599410783353065</v>
      </c>
      <c r="BJ174" s="1273">
        <f t="shared" si="666"/>
        <v>26.155434790121653</v>
      </c>
      <c r="BK174" s="1273">
        <f t="shared" si="667"/>
        <v>22.978148900218137</v>
      </c>
      <c r="BL174" s="1273">
        <f t="shared" si="668"/>
        <v>26.254491147433441</v>
      </c>
      <c r="BM174" s="1273">
        <f t="shared" si="669"/>
        <v>21.848661202185792</v>
      </c>
      <c r="BN174" s="1273">
        <f t="shared" si="670"/>
        <v>25.104166666600001</v>
      </c>
      <c r="BO174" s="1273">
        <f t="shared" si="671"/>
        <v>28.266666666600003</v>
      </c>
      <c r="BP174" s="1273">
        <f t="shared" si="672"/>
        <v>30.270833333300001</v>
      </c>
      <c r="BQ174" s="1205"/>
      <c r="BR174" s="1276"/>
      <c r="BS174" s="1273"/>
      <c r="BU174" s="1186"/>
      <c r="BV174" s="1551"/>
      <c r="BW174" s="1551"/>
      <c r="BX174" s="1551"/>
    </row>
    <row r="175" spans="2:76" ht="12.75" customHeight="1">
      <c r="C175" s="2293" t="s">
        <v>1535</v>
      </c>
      <c r="D175" s="1552"/>
      <c r="E175" s="1552"/>
      <c r="F175" s="1563"/>
      <c r="G175" s="2199">
        <v>0</v>
      </c>
      <c r="H175" s="2200">
        <v>0</v>
      </c>
      <c r="I175" s="2200">
        <v>0</v>
      </c>
      <c r="J175" s="2201">
        <v>26.057656249999997</v>
      </c>
      <c r="K175" s="2199">
        <v>44.045515136718748</v>
      </c>
      <c r="L175" s="2200">
        <v>32.527326660156241</v>
      </c>
      <c r="M175" s="2200">
        <v>107.99931884765626</v>
      </c>
      <c r="N175" s="2201">
        <v>25.141532738095243</v>
      </c>
      <c r="O175" s="2199">
        <v>22.386582031250001</v>
      </c>
      <c r="P175" s="2200">
        <v>30.746459960937493</v>
      </c>
      <c r="Q175" s="2200">
        <v>32.112728174603177</v>
      </c>
      <c r="R175" s="2200">
        <v>28.814428710937499</v>
      </c>
      <c r="S175" s="2199">
        <v>26.779603174603171</v>
      </c>
      <c r="T175" s="2203">
        <v>33.793859863281241</v>
      </c>
      <c r="U175" s="2203">
        <v>38.988039550781245</v>
      </c>
      <c r="V175" s="2202">
        <v>36.511301269531252</v>
      </c>
      <c r="W175" s="2203">
        <v>60.688715277777789</v>
      </c>
      <c r="X175" s="2203">
        <v>40.715671386718761</v>
      </c>
      <c r="Y175" s="2203">
        <v>37.175153808593763</v>
      </c>
      <c r="Z175" s="2202">
        <v>34.137402343750011</v>
      </c>
      <c r="AA175" s="2203">
        <v>26.590034722222224</v>
      </c>
      <c r="AB175" s="2203">
        <v>28.270329589843762</v>
      </c>
      <c r="AC175" s="2203">
        <v>35.146574519230789</v>
      </c>
      <c r="AD175" s="2202">
        <v>20.522995605468758</v>
      </c>
      <c r="AE175" s="2203">
        <v>18.654545898437501</v>
      </c>
      <c r="AF175" s="2203">
        <v>20.813508300781255</v>
      </c>
      <c r="AG175" s="2203">
        <v>30.13850830078125</v>
      </c>
      <c r="AH175" s="2202">
        <v>26.087876984126982</v>
      </c>
      <c r="AI175" s="2203">
        <v>21.219472656250005</v>
      </c>
      <c r="AJ175" s="2203">
        <v>26.678684082031253</v>
      </c>
      <c r="AK175" s="2203">
        <v>28.632579365079362</v>
      </c>
      <c r="AL175" s="2202">
        <v>23.46141865079365</v>
      </c>
      <c r="AM175" s="2203">
        <v>30.740278320312502</v>
      </c>
      <c r="AN175" s="2203">
        <v>33.448666666666668</v>
      </c>
      <c r="AO175" s="2203">
        <v>117.70445000000001</v>
      </c>
      <c r="AP175" s="2202">
        <v>24.139100000000003</v>
      </c>
      <c r="AQ175" s="2203">
        <v>21.658071060828828</v>
      </c>
      <c r="AR175" s="2203">
        <v>22.479432962685426</v>
      </c>
      <c r="AS175" s="2203">
        <v>68.504257165159913</v>
      </c>
      <c r="AT175" s="2202">
        <v>41.785622144525846</v>
      </c>
      <c r="AU175" s="2203">
        <v>19.257985044248056</v>
      </c>
      <c r="AV175" s="2203">
        <v>19.988325949375007</v>
      </c>
      <c r="AW175" s="2203">
        <v>60.912809651825292</v>
      </c>
      <c r="AX175" s="2202">
        <v>37.155057994951648</v>
      </c>
      <c r="AY175" s="2203">
        <v>17.900765357978706</v>
      </c>
      <c r="AZ175" s="2203">
        <v>18.579634987588069</v>
      </c>
      <c r="BA175" s="2203">
        <v>56.619937670904982</v>
      </c>
      <c r="BB175" s="2262">
        <v>34.536529834328249</v>
      </c>
      <c r="BC175" s="1204"/>
      <c r="BD175" s="1204"/>
      <c r="BE175" s="1269"/>
      <c r="BF175" s="1269"/>
      <c r="BG175" s="1269"/>
      <c r="BH175" s="1273"/>
      <c r="BI175" s="1273"/>
      <c r="BJ175" s="1273"/>
      <c r="BK175" s="1273"/>
      <c r="BL175" s="1273"/>
      <c r="BM175" s="1273"/>
      <c r="BN175" s="1273"/>
      <c r="BO175" s="1273"/>
      <c r="BP175" s="1273"/>
      <c r="BQ175" s="1205"/>
      <c r="BR175" s="1226"/>
      <c r="BU175" s="1186"/>
      <c r="BV175" s="1551"/>
      <c r="BW175" s="1551"/>
      <c r="BX175" s="1551"/>
    </row>
    <row r="176" spans="2:76" ht="12.75" customHeight="1">
      <c r="B176" s="1579"/>
      <c r="C176" s="1252" t="s">
        <v>569</v>
      </c>
      <c r="D176" s="1228"/>
      <c r="E176" s="1228"/>
      <c r="F176" s="1348"/>
      <c r="G176" s="2205"/>
      <c r="H176" s="2206"/>
      <c r="I176" s="2206"/>
      <c r="J176" s="2207"/>
      <c r="K176" s="2205"/>
      <c r="L176" s="2206"/>
      <c r="M176" s="2206"/>
      <c r="N176" s="2207"/>
      <c r="O176" s="2205"/>
      <c r="P176" s="2206"/>
      <c r="Q176" s="2206"/>
      <c r="R176" s="2206"/>
      <c r="S176" s="2213"/>
      <c r="T176" s="2208"/>
      <c r="U176" s="2208"/>
      <c r="V176" s="2210"/>
      <c r="W176" s="2208"/>
      <c r="X176" s="2208"/>
      <c r="Y176" s="2208"/>
      <c r="Z176" s="2210"/>
      <c r="AA176" s="2208"/>
      <c r="AB176" s="2211"/>
      <c r="AC176" s="2211"/>
      <c r="AD176" s="2212"/>
      <c r="AE176" s="2208"/>
      <c r="AF176" s="2211"/>
      <c r="AG176" s="2211"/>
      <c r="AH176" s="2212"/>
      <c r="AI176" s="2208"/>
      <c r="AJ176" s="2211"/>
      <c r="AK176" s="2211"/>
      <c r="AL176" s="2212"/>
      <c r="AM176" s="2211"/>
      <c r="AN176" s="2211"/>
      <c r="AO176" s="2211"/>
      <c r="AP176" s="2212"/>
      <c r="AQ176" s="2211"/>
      <c r="AR176" s="2211"/>
      <c r="AS176" s="2211"/>
      <c r="AT176" s="2212"/>
      <c r="AU176" s="2211"/>
      <c r="AV176" s="2211"/>
      <c r="AW176" s="2211"/>
      <c r="AX176" s="2212"/>
      <c r="AY176" s="2211"/>
      <c r="AZ176" s="2211"/>
      <c r="BA176" s="2211"/>
      <c r="BB176" s="2263"/>
      <c r="BC176" s="1204"/>
      <c r="BD176" s="1204"/>
      <c r="BE176" s="1270"/>
      <c r="BF176" s="1270"/>
      <c r="BG176" s="1270"/>
      <c r="BH176" s="1270"/>
      <c r="BI176" s="1270"/>
      <c r="BJ176" s="1386"/>
      <c r="BK176" s="1270"/>
      <c r="BL176" s="1270"/>
      <c r="BM176" s="1270"/>
      <c r="BN176" s="1270"/>
      <c r="BO176" s="1270"/>
      <c r="BP176" s="1270"/>
      <c r="BQ176" s="1205"/>
      <c r="BR176" s="1226"/>
      <c r="BU176" s="1186"/>
      <c r="BV176" s="1551"/>
      <c r="BW176" s="1551"/>
      <c r="BX176" s="1551"/>
    </row>
    <row r="177" spans="2:76" ht="12.75" customHeight="1">
      <c r="B177" s="1579"/>
      <c r="C177" s="1564" t="s">
        <v>561</v>
      </c>
      <c r="D177" s="1552"/>
      <c r="E177" s="1552"/>
      <c r="F177" s="1222"/>
      <c r="G177" s="2199">
        <v>39.802860187553279</v>
      </c>
      <c r="H177" s="2200">
        <v>38.409404761904753</v>
      </c>
      <c r="I177" s="2200">
        <v>41.222355072463778</v>
      </c>
      <c r="J177" s="2201">
        <v>42.090868115942037</v>
      </c>
      <c r="K177" s="2199">
        <v>51.30131863929148</v>
      </c>
      <c r="L177" s="2200">
        <v>37.850595238095231</v>
      </c>
      <c r="M177" s="2200">
        <v>39.460384963768135</v>
      </c>
      <c r="N177" s="2201">
        <v>32.516622101449258</v>
      </c>
      <c r="O177" s="2199">
        <v>27.601070632266282</v>
      </c>
      <c r="P177" s="2200">
        <v>22.926753663003662</v>
      </c>
      <c r="Q177" s="2200">
        <v>30.926911231884059</v>
      </c>
      <c r="R177" s="2200">
        <v>38.427999456521725</v>
      </c>
      <c r="S177" s="2199">
        <v>72.617844806763287</v>
      </c>
      <c r="T177" s="2200">
        <v>34.133154761904763</v>
      </c>
      <c r="U177" s="2200">
        <v>30.454148550724629</v>
      </c>
      <c r="V177" s="2201">
        <v>51.12213387681161</v>
      </c>
      <c r="W177" s="2200">
        <v>125.17613546698865</v>
      </c>
      <c r="X177" s="2200">
        <v>32.324491758241756</v>
      </c>
      <c r="Y177" s="2200">
        <v>26.776259057971</v>
      </c>
      <c r="Z177" s="2201">
        <v>31.050057065217377</v>
      </c>
      <c r="AA177" s="2200">
        <v>74.709404790660244</v>
      </c>
      <c r="AB177" s="2200">
        <v>18.747051282051284</v>
      </c>
      <c r="AC177" s="2200">
        <v>22.344044384057977</v>
      </c>
      <c r="AD177" s="2201">
        <v>20.198206884057964</v>
      </c>
      <c r="AE177" s="2200">
        <v>22.403306059882148</v>
      </c>
      <c r="AF177" s="2200">
        <v>18.611707875457874</v>
      </c>
      <c r="AG177" s="2200">
        <v>21.732721920289862</v>
      </c>
      <c r="AH177" s="2201">
        <v>28.745413949275392</v>
      </c>
      <c r="AI177" s="2200">
        <v>30.265937600644122</v>
      </c>
      <c r="AJ177" s="2203">
        <v>22.968333333333337</v>
      </c>
      <c r="AK177" s="2203">
        <v>19.421938405797103</v>
      </c>
      <c r="AL177" s="2202">
        <v>41.756125543478241</v>
      </c>
      <c r="AM177" s="2203">
        <v>55.496529991948492</v>
      </c>
      <c r="AN177" s="2203">
        <v>24.166666666666668</v>
      </c>
      <c r="AO177" s="2203">
        <v>23.3</v>
      </c>
      <c r="AP177" s="2202">
        <v>33.699999999999996</v>
      </c>
      <c r="AQ177" s="2203">
        <v>56.863680246618699</v>
      </c>
      <c r="AR177" s="2203">
        <v>22.402357917897525</v>
      </c>
      <c r="AS177" s="2203">
        <v>23.701528116853666</v>
      </c>
      <c r="AT177" s="2202">
        <v>32.932400385030085</v>
      </c>
      <c r="AU177" s="2203">
        <v>56.696324969164479</v>
      </c>
      <c r="AV177" s="2203">
        <v>22.336425624934453</v>
      </c>
      <c r="AW177" s="2203">
        <v>23.631772241101658</v>
      </c>
      <c r="AX177" s="2202">
        <v>32.8354771647994</v>
      </c>
      <c r="AY177" s="2203">
        <v>57.030965787007425</v>
      </c>
      <c r="AZ177" s="2203">
        <v>22.468262736826301</v>
      </c>
      <c r="BA177" s="2203">
        <v>23.771254925281653</v>
      </c>
      <c r="BB177" s="2262">
        <v>33.0292832172846</v>
      </c>
      <c r="BC177" s="1204"/>
      <c r="BD177" s="1204"/>
      <c r="BE177" s="1269">
        <f t="shared" ref="BE177:BE192" si="673">AVERAGE(G177:J177)</f>
        <v>40.381372034465961</v>
      </c>
      <c r="BF177" s="1269">
        <f t="shared" ref="BF177:BF192" si="674">AVERAGE(K177:N177)</f>
        <v>40.282230235651021</v>
      </c>
      <c r="BG177" s="1269">
        <f t="shared" ref="BG177:BG192" si="675">AVERAGE(O177:R177)</f>
        <v>29.970683745918933</v>
      </c>
      <c r="BH177" s="1269">
        <f t="shared" ref="BH177:BH192" si="676">AVERAGE(S177:V177)</f>
        <v>47.081820499051069</v>
      </c>
      <c r="BI177" s="1269">
        <f t="shared" ref="BI177:BI192" si="677">AVERAGE(W177:Z177)</f>
        <v>53.831735837104695</v>
      </c>
      <c r="BJ177" s="1269">
        <f t="shared" ref="BJ177:BJ192" si="678">AVERAGE(AA177:AD177)</f>
        <v>33.99967683520687</v>
      </c>
      <c r="BK177" s="1273">
        <f t="shared" ref="BK177:BK192" si="679">AVERAGE(AE177:AH177)</f>
        <v>22.873287451226318</v>
      </c>
      <c r="BL177" s="1273">
        <f t="shared" ref="BL177:BL192" si="680">AVERAGE(AI177:AL177)</f>
        <v>28.603083720813203</v>
      </c>
      <c r="BM177" s="1273">
        <f t="shared" ref="BM177:BM192" si="681">AVERAGE(AM177:AP177)</f>
        <v>34.165799164653791</v>
      </c>
      <c r="BN177" s="1273">
        <f t="shared" ref="BN177:BN192" si="682">AVERAGE(AQ177:AT177)</f>
        <v>33.974991666599998</v>
      </c>
      <c r="BO177" s="1273">
        <f t="shared" ref="BO177:BO192" si="683">AVERAGE(AU177:AX177)</f>
        <v>33.875</v>
      </c>
      <c r="BP177" s="1273">
        <f t="shared" ref="BP177:BP192" si="684">AVERAGE(AY177:BB177)</f>
        <v>34.074941666599997</v>
      </c>
      <c r="BQ177" s="1205"/>
      <c r="BR177" s="1606"/>
      <c r="BS177" s="1605"/>
      <c r="BU177" s="1186"/>
      <c r="BV177" s="1551"/>
      <c r="BW177" s="1551"/>
      <c r="BX177" s="1551"/>
    </row>
    <row r="178" spans="2:76" ht="12.75" customHeight="1">
      <c r="B178" s="1579"/>
      <c r="C178" s="1564" t="s">
        <v>438</v>
      </c>
      <c r="D178" s="1552"/>
      <c r="E178" s="1552"/>
      <c r="F178" s="1222"/>
      <c r="G178" s="2199">
        <v>29.412255701193526</v>
      </c>
      <c r="H178" s="2200">
        <v>32.835989010988996</v>
      </c>
      <c r="I178" s="2200">
        <v>38.537432065217374</v>
      </c>
      <c r="J178" s="2201">
        <v>34.208417028985515</v>
      </c>
      <c r="K178" s="2199">
        <v>35.779313405797105</v>
      </c>
      <c r="L178" s="2200">
        <v>31.184803113553112</v>
      </c>
      <c r="M178" s="2200">
        <v>33.652490942028983</v>
      </c>
      <c r="N178" s="2201">
        <v>27.712640036231885</v>
      </c>
      <c r="O178" s="2199">
        <v>23.968829033285562</v>
      </c>
      <c r="P178" s="2200">
        <v>20.569913003663</v>
      </c>
      <c r="Q178" s="2200">
        <v>27.271308876811592</v>
      </c>
      <c r="R178" s="2200">
        <v>30.6151650362319</v>
      </c>
      <c r="S178" s="2199">
        <v>35.609952294685982</v>
      </c>
      <c r="T178" s="2200">
        <v>28.352330586080591</v>
      </c>
      <c r="U178" s="2200">
        <v>26.087404891304349</v>
      </c>
      <c r="V178" s="2201">
        <v>29.252230615942018</v>
      </c>
      <c r="W178" s="2200">
        <v>74.738565619967801</v>
      </c>
      <c r="X178" s="2200">
        <v>27.261304945054935</v>
      </c>
      <c r="Y178" s="2200">
        <v>23.849180253623189</v>
      </c>
      <c r="Z178" s="2201">
        <v>21.799227355072471</v>
      </c>
      <c r="AA178" s="2200">
        <v>37.643325281803556</v>
      </c>
      <c r="AB178" s="2200">
        <v>18.227133699633701</v>
      </c>
      <c r="AC178" s="2200">
        <v>20.449230072463759</v>
      </c>
      <c r="AD178" s="2201">
        <v>14.298236956521748</v>
      </c>
      <c r="AE178" s="2200">
        <v>13.624288899506292</v>
      </c>
      <c r="AF178" s="2200">
        <v>15.5952152014652</v>
      </c>
      <c r="AG178" s="2200">
        <v>19.290855978260876</v>
      </c>
      <c r="AH178" s="2201">
        <v>17.244110869565226</v>
      </c>
      <c r="AI178" s="2200">
        <v>19.385393719806771</v>
      </c>
      <c r="AJ178" s="2203">
        <v>14.500613553113546</v>
      </c>
      <c r="AK178" s="2203">
        <v>17.318980978260868</v>
      </c>
      <c r="AL178" s="2202">
        <v>19.652653804347828</v>
      </c>
      <c r="AM178" s="2203">
        <v>32.735488727858289</v>
      </c>
      <c r="AN178" s="2203">
        <v>32.93333333333333</v>
      </c>
      <c r="AO178" s="2203">
        <v>29.3</v>
      </c>
      <c r="AP178" s="2202">
        <v>33.083333333333336</v>
      </c>
      <c r="AQ178" s="2203">
        <v>50.208915257706202</v>
      </c>
      <c r="AR178" s="2203">
        <v>32.014743875122768</v>
      </c>
      <c r="AS178" s="2203">
        <v>27.396223447236203</v>
      </c>
      <c r="AT178" s="2202">
        <v>24.304750753134826</v>
      </c>
      <c r="AU178" s="2203">
        <v>49.683624405377643</v>
      </c>
      <c r="AV178" s="2203">
        <v>31.679802321198988</v>
      </c>
      <c r="AW178" s="2203">
        <v>27.109601330599784</v>
      </c>
      <c r="AX178" s="2202">
        <v>24.050471942823588</v>
      </c>
      <c r="AY178" s="2203">
        <v>49.75851777917272</v>
      </c>
      <c r="AZ178" s="2203">
        <v>31.727556632712918</v>
      </c>
      <c r="BA178" s="2203">
        <v>27.150466495534658</v>
      </c>
      <c r="BB178" s="2262">
        <v>24.0867257589797</v>
      </c>
      <c r="BC178" s="1204"/>
      <c r="BD178" s="1204"/>
      <c r="BE178" s="1269">
        <f t="shared" si="673"/>
        <v>33.748523451596355</v>
      </c>
      <c r="BF178" s="1269">
        <f t="shared" si="674"/>
        <v>32.08231187440277</v>
      </c>
      <c r="BG178" s="1269">
        <f t="shared" si="675"/>
        <v>25.606303987498013</v>
      </c>
      <c r="BH178" s="1269">
        <f t="shared" si="676"/>
        <v>29.825479597003238</v>
      </c>
      <c r="BI178" s="1269">
        <f t="shared" si="677"/>
        <v>36.912069543429595</v>
      </c>
      <c r="BJ178" s="1269">
        <f t="shared" si="678"/>
        <v>22.654481502605691</v>
      </c>
      <c r="BK178" s="1273">
        <f t="shared" si="679"/>
        <v>16.438617737199401</v>
      </c>
      <c r="BL178" s="1273">
        <f t="shared" si="680"/>
        <v>17.714410513882253</v>
      </c>
      <c r="BM178" s="1273">
        <f t="shared" si="681"/>
        <v>32.01303884863124</v>
      </c>
      <c r="BN178" s="1273">
        <f t="shared" si="682"/>
        <v>33.481158333300002</v>
      </c>
      <c r="BO178" s="1273">
        <f t="shared" si="683"/>
        <v>33.130875000000003</v>
      </c>
      <c r="BP178" s="1273">
        <f t="shared" si="684"/>
        <v>33.180816666600002</v>
      </c>
      <c r="BQ178" s="1205"/>
      <c r="BR178" s="1606"/>
      <c r="BS178" s="1605"/>
      <c r="BU178" s="1186"/>
      <c r="BV178" s="1551"/>
      <c r="BW178" s="1551"/>
      <c r="BX178" s="1551"/>
    </row>
    <row r="179" spans="2:76" ht="12.75" customHeight="1">
      <c r="B179" s="1579"/>
      <c r="C179" s="1564" t="s">
        <v>436</v>
      </c>
      <c r="D179" s="1552"/>
      <c r="E179" s="1552"/>
      <c r="F179" s="1222"/>
      <c r="G179" s="2199">
        <v>39.81077312446719</v>
      </c>
      <c r="H179" s="2200">
        <v>38.993859890109889</v>
      </c>
      <c r="I179" s="2200">
        <v>43.926820652173916</v>
      </c>
      <c r="J179" s="2201">
        <v>40.879857427536237</v>
      </c>
      <c r="K179" s="2199">
        <v>49.229429347826084</v>
      </c>
      <c r="L179" s="2200">
        <v>35.886799450549439</v>
      </c>
      <c r="M179" s="2200">
        <v>39.740421195652168</v>
      </c>
      <c r="N179" s="2201">
        <v>30.484731521739121</v>
      </c>
      <c r="O179" s="2199">
        <v>27.569314580347193</v>
      </c>
      <c r="P179" s="2200">
        <v>22.281291208791199</v>
      </c>
      <c r="Q179" s="2200">
        <v>30.822210144927531</v>
      </c>
      <c r="R179" s="2200">
        <v>36.205649818840577</v>
      </c>
      <c r="S179" s="2199">
        <v>56.707361111111105</v>
      </c>
      <c r="T179" s="2200">
        <v>33.444134615384613</v>
      </c>
      <c r="U179" s="2200">
        <v>31.241820652173907</v>
      </c>
      <c r="V179" s="2201">
        <v>36.510255434782614</v>
      </c>
      <c r="W179" s="2200">
        <v>104.25991747181963</v>
      </c>
      <c r="X179" s="2200">
        <v>30.387303113553116</v>
      </c>
      <c r="Y179" s="2200">
        <v>25.834510869565232</v>
      </c>
      <c r="Z179" s="2201">
        <v>26.259342210144922</v>
      </c>
      <c r="AA179" s="2200">
        <v>58.731627415458931</v>
      </c>
      <c r="AB179" s="2200">
        <v>19.32760989010988</v>
      </c>
      <c r="AC179" s="2200">
        <v>22.11728713768116</v>
      </c>
      <c r="AD179" s="2201">
        <v>17.28061014492754</v>
      </c>
      <c r="AE179" s="2200">
        <v>20.397999084249086</v>
      </c>
      <c r="AF179" s="2200">
        <v>19.320544871794873</v>
      </c>
      <c r="AG179" s="2200">
        <v>22.198464673913044</v>
      </c>
      <c r="AH179" s="2201">
        <v>25.744134963768118</v>
      </c>
      <c r="AI179" s="2200">
        <v>29.326884259259263</v>
      </c>
      <c r="AJ179" s="2203">
        <v>21.279184981684978</v>
      </c>
      <c r="AK179" s="2203">
        <v>19.207495471014489</v>
      </c>
      <c r="AL179" s="2202">
        <v>28.660226630434785</v>
      </c>
      <c r="AM179" s="2203">
        <v>44.676771739130423</v>
      </c>
      <c r="AN179" s="2203">
        <v>38.200000000000003</v>
      </c>
      <c r="AO179" s="2203">
        <v>32.6</v>
      </c>
      <c r="AP179" s="2202">
        <v>41.800000000000004</v>
      </c>
      <c r="AQ179" s="2203">
        <v>67.7166668198211</v>
      </c>
      <c r="AR179" s="2203">
        <v>38.042079509049643</v>
      </c>
      <c r="AS179" s="2203">
        <v>31.175086966580828</v>
      </c>
      <c r="AT179" s="2202">
        <v>28.982800037748426</v>
      </c>
      <c r="AU179" s="2203">
        <v>68.226851296430993</v>
      </c>
      <c r="AV179" s="2203">
        <v>38.328692529668608</v>
      </c>
      <c r="AW179" s="2203">
        <v>31.409963344498731</v>
      </c>
      <c r="AX179" s="2202">
        <v>29.201159495801665</v>
      </c>
      <c r="AY179" s="2203">
        <v>68.716520101812705</v>
      </c>
      <c r="AZ179" s="2203">
        <v>38.603780192754527</v>
      </c>
      <c r="BA179" s="2203">
        <v>31.635394812252667</v>
      </c>
      <c r="BB179" s="2262">
        <v>29.410738226380104</v>
      </c>
      <c r="BC179" s="1204"/>
      <c r="BD179" s="1204"/>
      <c r="BE179" s="1269">
        <f t="shared" si="673"/>
        <v>40.902827773571808</v>
      </c>
      <c r="BF179" s="1269">
        <f t="shared" si="674"/>
        <v>38.835345378941703</v>
      </c>
      <c r="BG179" s="1269">
        <f t="shared" si="675"/>
        <v>29.219616438226623</v>
      </c>
      <c r="BH179" s="1269">
        <f t="shared" si="676"/>
        <v>39.475892953363058</v>
      </c>
      <c r="BI179" s="1269">
        <f t="shared" si="677"/>
        <v>46.685268416270723</v>
      </c>
      <c r="BJ179" s="1269">
        <f t="shared" si="678"/>
        <v>29.364283647044378</v>
      </c>
      <c r="BK179" s="1273">
        <f t="shared" si="679"/>
        <v>21.915285898431279</v>
      </c>
      <c r="BL179" s="1273">
        <f t="shared" si="680"/>
        <v>24.618447835598374</v>
      </c>
      <c r="BM179" s="1273">
        <f t="shared" si="681"/>
        <v>39.319192934782606</v>
      </c>
      <c r="BN179" s="1273">
        <f t="shared" si="682"/>
        <v>41.479158333299999</v>
      </c>
      <c r="BO179" s="1273">
        <f t="shared" si="683"/>
        <v>41.791666666600001</v>
      </c>
      <c r="BP179" s="1273">
        <f t="shared" si="684"/>
        <v>42.091608333300002</v>
      </c>
      <c r="BQ179" s="1205"/>
      <c r="BR179" s="1606"/>
      <c r="BS179" s="1605"/>
      <c r="BU179" s="1186"/>
      <c r="BV179" s="1551"/>
      <c r="BW179" s="1551"/>
      <c r="BX179" s="1551"/>
    </row>
    <row r="180" spans="2:76" ht="12.75" customHeight="1">
      <c r="B180" s="1579"/>
      <c r="C180" s="1254" t="s">
        <v>437</v>
      </c>
      <c r="D180" s="1552"/>
      <c r="E180" s="1552"/>
      <c r="F180" s="1222"/>
      <c r="G180" s="2199">
        <v>40.692399563086099</v>
      </c>
      <c r="H180" s="2200">
        <v>41.705434981684988</v>
      </c>
      <c r="I180" s="2200">
        <v>47.003220108695643</v>
      </c>
      <c r="J180" s="2201">
        <v>41.219209057971007</v>
      </c>
      <c r="K180" s="2199">
        <v>51.080749798711743</v>
      </c>
      <c r="L180" s="2200">
        <v>37.080599816849826</v>
      </c>
      <c r="M180" s="2200">
        <v>42.037432065217381</v>
      </c>
      <c r="N180" s="2201">
        <v>30.768373369565197</v>
      </c>
      <c r="O180" s="2199">
        <v>28.248588549132045</v>
      </c>
      <c r="P180" s="2200">
        <v>22.741620879120877</v>
      </c>
      <c r="Q180" s="2200">
        <v>32.049044384057972</v>
      </c>
      <c r="R180" s="2200">
        <v>36.959637137681163</v>
      </c>
      <c r="S180" s="2199">
        <v>58.074166062801964</v>
      </c>
      <c r="T180" s="2200">
        <v>34.010100732600726</v>
      </c>
      <c r="U180" s="2200">
        <v>33.497015398550722</v>
      </c>
      <c r="V180" s="2201">
        <v>35.902980434782606</v>
      </c>
      <c r="W180" s="2200">
        <v>104.53095511272141</v>
      </c>
      <c r="X180" s="2200">
        <v>30.633470695970686</v>
      </c>
      <c r="Y180" s="2200">
        <v>26.27728260869565</v>
      </c>
      <c r="Z180" s="2201">
        <v>26.346719927536238</v>
      </c>
      <c r="AA180" s="2200">
        <v>59.086149154589357</v>
      </c>
      <c r="AB180" s="2200">
        <v>19.830306776556778</v>
      </c>
      <c r="AC180" s="2200">
        <v>23.797971014492759</v>
      </c>
      <c r="AD180" s="2201">
        <v>17.491895833333331</v>
      </c>
      <c r="AE180" s="2200">
        <v>21.25929785793916</v>
      </c>
      <c r="AF180" s="2200">
        <v>20.53872252747253</v>
      </c>
      <c r="AG180" s="2200">
        <v>24.140729166666659</v>
      </c>
      <c r="AH180" s="2201">
        <v>25.848853442028986</v>
      </c>
      <c r="AI180" s="2200">
        <v>29.471096215781014</v>
      </c>
      <c r="AJ180" s="2203">
        <v>22.852271062271065</v>
      </c>
      <c r="AK180" s="2203">
        <v>20.054769021739126</v>
      </c>
      <c r="AL180" s="2202">
        <v>29.040597463768133</v>
      </c>
      <c r="AM180" s="2203">
        <v>46.970595410628015</v>
      </c>
      <c r="AN180" s="2203">
        <v>39.85</v>
      </c>
      <c r="AO180" s="2203">
        <v>34.283333333333331</v>
      </c>
      <c r="AP180" s="2202">
        <v>43.066666666666663</v>
      </c>
      <c r="AQ180" s="2203">
        <v>70.748332973984347</v>
      </c>
      <c r="AR180" s="2203">
        <v>40.060601265759729</v>
      </c>
      <c r="AS180" s="2203">
        <v>33.256854743843881</v>
      </c>
      <c r="AT180" s="2202">
        <v>29.784177682812054</v>
      </c>
      <c r="AU180" s="2203">
        <v>71.419814884174826</v>
      </c>
      <c r="AV180" s="2203">
        <v>40.440821801432321</v>
      </c>
      <c r="AW180" s="2203">
        <v>33.572500009415513</v>
      </c>
      <c r="AX180" s="2202">
        <v>30.066863304977336</v>
      </c>
      <c r="AY180" s="2203">
        <v>72.233620953267874</v>
      </c>
      <c r="AZ180" s="2203">
        <v>40.901632100009685</v>
      </c>
      <c r="BA180" s="2203">
        <v>33.955047966261908</v>
      </c>
      <c r="BB180" s="2262">
        <v>30.409465646860522</v>
      </c>
      <c r="BC180" s="1204"/>
      <c r="BD180" s="1204"/>
      <c r="BE180" s="1269">
        <f t="shared" si="673"/>
        <v>42.655065927859432</v>
      </c>
      <c r="BF180" s="1269">
        <f t="shared" si="674"/>
        <v>40.24178876258604</v>
      </c>
      <c r="BG180" s="1269">
        <f t="shared" si="675"/>
        <v>29.999722737498018</v>
      </c>
      <c r="BH180" s="1269">
        <f t="shared" si="676"/>
        <v>40.371065657184005</v>
      </c>
      <c r="BI180" s="1269">
        <f t="shared" si="677"/>
        <v>46.947107086231</v>
      </c>
      <c r="BJ180" s="1269">
        <f t="shared" si="678"/>
        <v>30.051580694743055</v>
      </c>
      <c r="BK180" s="1273">
        <f t="shared" si="679"/>
        <v>22.946900748526833</v>
      </c>
      <c r="BL180" s="1273">
        <f t="shared" si="680"/>
        <v>25.354683440889836</v>
      </c>
      <c r="BM180" s="1273">
        <f t="shared" si="681"/>
        <v>41.042648852657003</v>
      </c>
      <c r="BN180" s="1273">
        <f t="shared" si="682"/>
        <v>43.462491666600002</v>
      </c>
      <c r="BO180" s="1273">
        <f t="shared" si="683"/>
        <v>43.875</v>
      </c>
      <c r="BP180" s="1273">
        <f t="shared" si="684"/>
        <v>44.374941666599995</v>
      </c>
      <c r="BQ180" s="1205"/>
      <c r="BR180" s="1606"/>
      <c r="BS180" s="1605"/>
      <c r="BU180" s="1186"/>
      <c r="BV180" s="1551"/>
      <c r="BW180" s="1551"/>
      <c r="BX180" s="1551"/>
    </row>
    <row r="181" spans="2:76" ht="12.75" customHeight="1">
      <c r="B181" s="1579"/>
      <c r="C181" s="1254" t="s">
        <v>433</v>
      </c>
      <c r="D181" s="1552"/>
      <c r="E181" s="1552"/>
      <c r="F181" s="1222"/>
      <c r="G181" s="2199">
        <v>35.661723566869142</v>
      </c>
      <c r="H181" s="2200">
        <v>32.95930132783883</v>
      </c>
      <c r="I181" s="2200">
        <v>37.786714411684756</v>
      </c>
      <c r="J181" s="2201">
        <v>38.127121226902197</v>
      </c>
      <c r="K181" s="2199">
        <v>40.858928955797097</v>
      </c>
      <c r="L181" s="2200">
        <v>33.916098321428571</v>
      </c>
      <c r="M181" s="2200">
        <v>34.068597563405802</v>
      </c>
      <c r="N181" s="2201">
        <v>31.114616296105076</v>
      </c>
      <c r="O181" s="2199">
        <v>27.303063772177097</v>
      </c>
      <c r="P181" s="2200">
        <v>22.034301452838829</v>
      </c>
      <c r="Q181" s="2200">
        <v>26.919559772644931</v>
      </c>
      <c r="R181" s="2200">
        <v>30.869201327717395</v>
      </c>
      <c r="S181" s="2199">
        <v>33.486062323832535</v>
      </c>
      <c r="T181" s="2200">
        <v>29.612168522893782</v>
      </c>
      <c r="U181" s="2200">
        <v>28.466996774909425</v>
      </c>
      <c r="V181" s="2201">
        <v>31.005893446105066</v>
      </c>
      <c r="W181" s="2200">
        <v>78.280771197463764</v>
      </c>
      <c r="X181" s="2200">
        <v>30.680673397435903</v>
      </c>
      <c r="Y181" s="2200">
        <v>27.413026009963772</v>
      </c>
      <c r="Z181" s="2201">
        <v>29.952876293025369</v>
      </c>
      <c r="AA181" s="2200">
        <v>44.217764477254434</v>
      </c>
      <c r="AB181" s="2200">
        <v>25.028568056318672</v>
      </c>
      <c r="AC181" s="2200">
        <v>23.224815237318836</v>
      </c>
      <c r="AD181" s="2201">
        <v>22.109061745018124</v>
      </c>
      <c r="AE181" s="2200">
        <v>23.988923446826721</v>
      </c>
      <c r="AF181" s="2200">
        <v>21.266628026098903</v>
      </c>
      <c r="AG181" s="2200">
        <v>22.910100094655796</v>
      </c>
      <c r="AH181" s="2201">
        <v>25.259746692934794</v>
      </c>
      <c r="AI181" s="2200">
        <v>27.075569670692435</v>
      </c>
      <c r="AJ181" s="2203">
        <v>22.121270426282045</v>
      </c>
      <c r="AK181" s="2203">
        <v>21.948979516304348</v>
      </c>
      <c r="AL181" s="2202">
        <v>28.679605414130428</v>
      </c>
      <c r="AM181" s="2203">
        <v>43.803590137359109</v>
      </c>
      <c r="AN181" s="2203">
        <v>24.95</v>
      </c>
      <c r="AO181" s="2203">
        <v>24.783333333333331</v>
      </c>
      <c r="AP181" s="2202">
        <v>25.683333333333334</v>
      </c>
      <c r="AQ181" s="2203">
        <v>32.710239316820804</v>
      </c>
      <c r="AR181" s="2203">
        <v>20.631697104333988</v>
      </c>
      <c r="AS181" s="2203">
        <v>20.527571740433242</v>
      </c>
      <c r="AT181" s="2202">
        <v>31.93845850481198</v>
      </c>
      <c r="AU181" s="2203">
        <v>32.33891227956417</v>
      </c>
      <c r="AV181" s="2203">
        <v>20.397485826173483</v>
      </c>
      <c r="AW181" s="2203">
        <v>20.29454249467874</v>
      </c>
      <c r="AX181" s="2202">
        <v>31.575892732783615</v>
      </c>
      <c r="AY181" s="2203">
        <v>32.400669590326544</v>
      </c>
      <c r="AZ181" s="2203">
        <v>20.436438709314643</v>
      </c>
      <c r="BA181" s="2203">
        <v>20.333298787926616</v>
      </c>
      <c r="BB181" s="2262">
        <v>31.636192912432207</v>
      </c>
      <c r="BC181" s="1204"/>
      <c r="BD181" s="1204"/>
      <c r="BE181" s="1269">
        <f t="shared" si="673"/>
        <v>36.133715133323733</v>
      </c>
      <c r="BF181" s="1269">
        <f t="shared" si="674"/>
        <v>34.989560284184137</v>
      </c>
      <c r="BG181" s="1269">
        <f t="shared" si="675"/>
        <v>26.781531581344563</v>
      </c>
      <c r="BH181" s="1269">
        <f t="shared" si="676"/>
        <v>30.642780266935201</v>
      </c>
      <c r="BI181" s="1269">
        <f t="shared" si="677"/>
        <v>41.581836724472197</v>
      </c>
      <c r="BJ181" s="1269">
        <f t="shared" si="678"/>
        <v>28.645052378977518</v>
      </c>
      <c r="BK181" s="1273">
        <f t="shared" si="679"/>
        <v>23.356349565129054</v>
      </c>
      <c r="BL181" s="1273">
        <f t="shared" si="680"/>
        <v>24.956356256852317</v>
      </c>
      <c r="BM181" s="1273">
        <f t="shared" si="681"/>
        <v>29.805064201006445</v>
      </c>
      <c r="BN181" s="1273">
        <f t="shared" si="682"/>
        <v>26.451991666600001</v>
      </c>
      <c r="BO181" s="1273">
        <f t="shared" si="683"/>
        <v>26.1517083333</v>
      </c>
      <c r="BP181" s="1273">
        <f t="shared" si="684"/>
        <v>26.201650000000004</v>
      </c>
      <c r="BQ181" s="1205"/>
      <c r="BR181" s="1606"/>
      <c r="BS181" s="1605"/>
      <c r="BU181" s="1186"/>
      <c r="BV181" s="1551"/>
      <c r="BW181" s="1551"/>
      <c r="BX181" s="1551"/>
    </row>
    <row r="182" spans="2:76" ht="12.75" customHeight="1">
      <c r="B182" s="1579"/>
      <c r="C182" s="1254" t="s">
        <v>1207</v>
      </c>
      <c r="D182" s="1552"/>
      <c r="E182" s="1552"/>
      <c r="F182" s="1222"/>
      <c r="G182" s="2199">
        <v>38.454669690110812</v>
      </c>
      <c r="H182" s="2200">
        <v>35.696539456043951</v>
      </c>
      <c r="I182" s="2200">
        <v>41.941960537590575</v>
      </c>
      <c r="J182" s="2201">
        <v>39.099061662771746</v>
      </c>
      <c r="K182" s="2199">
        <v>45.558643104669883</v>
      </c>
      <c r="L182" s="2200">
        <v>35.489017982600728</v>
      </c>
      <c r="M182" s="2200">
        <v>37.110367609148561</v>
      </c>
      <c r="N182" s="2201">
        <v>30.853395797826089</v>
      </c>
      <c r="O182" s="2199">
        <v>28.838922174609813</v>
      </c>
      <c r="P182" s="2200">
        <v>21.591528022435909</v>
      </c>
      <c r="Q182" s="2200">
        <v>30.122786553894926</v>
      </c>
      <c r="R182" s="2200">
        <v>32.447619825815202</v>
      </c>
      <c r="S182" s="2199">
        <v>34.55972632302737</v>
      </c>
      <c r="T182" s="2200">
        <v>31.325106590201472</v>
      </c>
      <c r="U182" s="2200">
        <v>30.007325350543471</v>
      </c>
      <c r="V182" s="2201">
        <v>32.19676385769926</v>
      </c>
      <c r="W182" s="2200">
        <v>90.786707820652168</v>
      </c>
      <c r="X182" s="2200">
        <v>30.634786767857143</v>
      </c>
      <c r="Y182" s="2200">
        <v>26.507552103713767</v>
      </c>
      <c r="Z182" s="2201">
        <v>37.660706784782626</v>
      </c>
      <c r="AA182" s="2200">
        <v>52.91501483514493</v>
      </c>
      <c r="AB182" s="2200">
        <v>25.152664907509156</v>
      </c>
      <c r="AC182" s="2200">
        <v>20.837114357789854</v>
      </c>
      <c r="AD182" s="2201">
        <v>25.347991754166664</v>
      </c>
      <c r="AE182" s="2200">
        <v>25.346020121237455</v>
      </c>
      <c r="AF182" s="2200">
        <v>19.254250642399267</v>
      </c>
      <c r="AG182" s="2200">
        <v>21.072814450181166</v>
      </c>
      <c r="AH182" s="2201">
        <v>21.316599519927536</v>
      </c>
      <c r="AI182" s="2200">
        <v>29.336510980555559</v>
      </c>
      <c r="AJ182" s="2203">
        <v>21.736222810439564</v>
      </c>
      <c r="AK182" s="2203">
        <v>19.181085373188402</v>
      </c>
      <c r="AL182" s="2202">
        <v>33.856300585507235</v>
      </c>
      <c r="AM182" s="2203">
        <v>46.651077805173117</v>
      </c>
      <c r="AN182" s="2203">
        <v>25.158666666666665</v>
      </c>
      <c r="AO182" s="2203">
        <v>25.266666666666666</v>
      </c>
      <c r="AP182" s="2202">
        <v>25.499833333333331</v>
      </c>
      <c r="AQ182" s="2203">
        <v>37.348531597794079</v>
      </c>
      <c r="AR182" s="2203">
        <v>20.745010650110846</v>
      </c>
      <c r="AS182" s="2203">
        <v>21.194398638146534</v>
      </c>
      <c r="AT182" s="2202">
        <v>30.991359113948537</v>
      </c>
      <c r="AU182" s="2203">
        <v>37.020764656216237</v>
      </c>
      <c r="AV182" s="2203">
        <v>20.562954531626438</v>
      </c>
      <c r="AW182" s="2203">
        <v>21.008398736061569</v>
      </c>
      <c r="AX182" s="2202">
        <v>30.719382076095741</v>
      </c>
      <c r="AY182" s="2203">
        <v>37.359357818581813</v>
      </c>
      <c r="AZ182" s="2203">
        <v>20.751024007421933</v>
      </c>
      <c r="BA182" s="2203">
        <v>21.200542259576977</v>
      </c>
      <c r="BB182" s="2262">
        <v>31.000342580819272</v>
      </c>
      <c r="BC182" s="1204"/>
      <c r="BD182" s="1204"/>
      <c r="BE182" s="1269">
        <f t="shared" si="673"/>
        <v>38.798057836629269</v>
      </c>
      <c r="BF182" s="1269">
        <f t="shared" si="674"/>
        <v>37.252856123561315</v>
      </c>
      <c r="BG182" s="1269">
        <f t="shared" si="675"/>
        <v>28.250214144188959</v>
      </c>
      <c r="BH182" s="1269">
        <f t="shared" si="676"/>
        <v>32.022230530367892</v>
      </c>
      <c r="BI182" s="1269">
        <f t="shared" si="677"/>
        <v>46.397438369251432</v>
      </c>
      <c r="BJ182" s="1269">
        <f t="shared" si="678"/>
        <v>31.063196463652652</v>
      </c>
      <c r="BK182" s="1273">
        <f t="shared" si="679"/>
        <v>21.747421183436355</v>
      </c>
      <c r="BL182" s="1273">
        <f t="shared" si="680"/>
        <v>26.027529937422692</v>
      </c>
      <c r="BM182" s="1273">
        <f t="shared" si="681"/>
        <v>30.644061117959943</v>
      </c>
      <c r="BN182" s="1273">
        <f t="shared" si="682"/>
        <v>27.569824999999998</v>
      </c>
      <c r="BO182" s="1273">
        <f t="shared" si="683"/>
        <v>27.327874999999995</v>
      </c>
      <c r="BP182" s="1273">
        <f t="shared" si="684"/>
        <v>27.5778166666</v>
      </c>
      <c r="BQ182" s="1205"/>
      <c r="BR182" s="1606"/>
      <c r="BS182" s="1605"/>
      <c r="BU182" s="1186"/>
      <c r="BV182" s="1551"/>
      <c r="BW182" s="1551"/>
      <c r="BX182" s="1551"/>
    </row>
    <row r="183" spans="2:76" ht="12.75" customHeight="1">
      <c r="B183" s="1579"/>
      <c r="C183" s="1254" t="s">
        <v>459</v>
      </c>
      <c r="D183" s="1552"/>
      <c r="E183" s="1552"/>
      <c r="F183" s="1222"/>
      <c r="G183" s="2199">
        <v>31.683841477807981</v>
      </c>
      <c r="H183" s="2200">
        <v>27.940983067765572</v>
      </c>
      <c r="I183" s="2200">
        <v>31.064639944746379</v>
      </c>
      <c r="J183" s="2201">
        <v>31.179066678713756</v>
      </c>
      <c r="K183" s="2199">
        <v>33.366856885466987</v>
      </c>
      <c r="L183" s="2200">
        <v>30.988586447802195</v>
      </c>
      <c r="M183" s="2200">
        <v>31.983560708333318</v>
      </c>
      <c r="N183" s="2201">
        <v>30.553551319112341</v>
      </c>
      <c r="O183" s="2199">
        <v>25.678486559862229</v>
      </c>
      <c r="P183" s="2200">
        <v>21.65716656639195</v>
      </c>
      <c r="Q183" s="2200">
        <v>25.59958281884057</v>
      </c>
      <c r="R183" s="2200">
        <v>29.691809545561608</v>
      </c>
      <c r="S183" s="2199">
        <v>30.712843264895323</v>
      </c>
      <c r="T183" s="2200">
        <v>28.683858509157513</v>
      </c>
      <c r="U183" s="2200">
        <v>26.289797765398554</v>
      </c>
      <c r="V183" s="2201">
        <v>28.58454812028986</v>
      </c>
      <c r="W183" s="2200">
        <v>55.582024361513675</v>
      </c>
      <c r="X183" s="2200">
        <v>30.848939755952369</v>
      </c>
      <c r="Y183" s="2200">
        <v>26.474229680253622</v>
      </c>
      <c r="Z183" s="2201">
        <v>30.106497532518123</v>
      </c>
      <c r="AA183" s="2200">
        <v>33.672197658071667</v>
      </c>
      <c r="AB183" s="2200">
        <v>24.408332260531143</v>
      </c>
      <c r="AC183" s="2200">
        <v>22.758183921195638</v>
      </c>
      <c r="AD183" s="2201">
        <v>22.005480128297094</v>
      </c>
      <c r="AE183" s="2200">
        <v>21.940509499422674</v>
      </c>
      <c r="AF183" s="2200">
        <v>21.194626118131868</v>
      </c>
      <c r="AG183" s="2200">
        <v>22.397125852355067</v>
      </c>
      <c r="AH183" s="2201">
        <v>25.119274915036236</v>
      </c>
      <c r="AI183" s="2200">
        <v>25.609943032206107</v>
      </c>
      <c r="AJ183" s="2203">
        <v>22.558270758241754</v>
      </c>
      <c r="AK183" s="2203">
        <v>22.753793536231882</v>
      </c>
      <c r="AL183" s="2202">
        <v>26.193597912862309</v>
      </c>
      <c r="AM183" s="2203">
        <v>34.436698074516897</v>
      </c>
      <c r="AN183" s="2203">
        <v>25.55</v>
      </c>
      <c r="AO183" s="2203">
        <v>25.216666666666669</v>
      </c>
      <c r="AP183" s="2202">
        <v>25.316666666666663</v>
      </c>
      <c r="AQ183" s="2203">
        <v>30.065523917280856</v>
      </c>
      <c r="AR183" s="2203">
        <v>21.597016408139439</v>
      </c>
      <c r="AS183" s="2203">
        <v>21.984059712944806</v>
      </c>
      <c r="AT183" s="2202">
        <v>28.678033294834901</v>
      </c>
      <c r="AU183" s="2203">
        <v>29.607950419373292</v>
      </c>
      <c r="AV183" s="2203">
        <v>21.268326897541574</v>
      </c>
      <c r="AW183" s="2203">
        <v>21.649479709325476</v>
      </c>
      <c r="AX183" s="2202">
        <v>28.241576306959669</v>
      </c>
      <c r="AY183" s="2203">
        <v>29.616706401032346</v>
      </c>
      <c r="AZ183" s="2203">
        <v>21.274616596004179</v>
      </c>
      <c r="BA183" s="2203">
        <v>21.65588212639852</v>
      </c>
      <c r="BB183" s="2262">
        <v>28.24992820976496</v>
      </c>
      <c r="BC183" s="1204"/>
      <c r="BD183" s="1204"/>
      <c r="BE183" s="1269">
        <f t="shared" si="673"/>
        <v>30.467132792258422</v>
      </c>
      <c r="BF183" s="1269">
        <f t="shared" si="674"/>
        <v>31.723138840178709</v>
      </c>
      <c r="BG183" s="1269">
        <f t="shared" si="675"/>
        <v>25.656761372664089</v>
      </c>
      <c r="BH183" s="1269">
        <f t="shared" si="676"/>
        <v>28.567761914935311</v>
      </c>
      <c r="BI183" s="1269">
        <f t="shared" si="677"/>
        <v>35.752922832559449</v>
      </c>
      <c r="BJ183" s="1269">
        <f t="shared" si="678"/>
        <v>25.711048492023885</v>
      </c>
      <c r="BK183" s="1273">
        <f t="shared" si="679"/>
        <v>22.662884096236461</v>
      </c>
      <c r="BL183" s="1273">
        <f t="shared" si="680"/>
        <v>24.278901309885512</v>
      </c>
      <c r="BM183" s="1273">
        <f t="shared" si="681"/>
        <v>27.630007851962556</v>
      </c>
      <c r="BN183" s="1273">
        <f t="shared" si="682"/>
        <v>25.581158333300003</v>
      </c>
      <c r="BO183" s="1273">
        <f t="shared" si="683"/>
        <v>25.191833333300004</v>
      </c>
      <c r="BP183" s="1273">
        <f t="shared" si="684"/>
        <v>25.199283333300002</v>
      </c>
      <c r="BQ183" s="1205"/>
      <c r="BR183" s="1606"/>
      <c r="BS183" s="1605"/>
      <c r="BU183" s="1186"/>
      <c r="BV183" s="1551"/>
      <c r="BW183" s="1551"/>
      <c r="BX183" s="1551"/>
    </row>
    <row r="184" spans="2:76" ht="12.75" customHeight="1">
      <c r="B184" s="1579"/>
      <c r="C184" s="1254" t="s">
        <v>202</v>
      </c>
      <c r="D184" s="1552"/>
      <c r="E184" s="1552"/>
      <c r="F184" s="1222"/>
      <c r="G184" s="2199">
        <v>31.723789428894943</v>
      </c>
      <c r="H184" s="2200">
        <v>28.007368155677657</v>
      </c>
      <c r="I184" s="2200">
        <v>31.199241193840571</v>
      </c>
      <c r="J184" s="2201">
        <v>31.280175134510877</v>
      </c>
      <c r="K184" s="2199">
        <v>33.316046651227865</v>
      </c>
      <c r="L184" s="2200">
        <v>31.034006899725281</v>
      </c>
      <c r="M184" s="2200">
        <v>32.137521466938395</v>
      </c>
      <c r="N184" s="2201">
        <v>30.682761882608698</v>
      </c>
      <c r="O184" s="2199">
        <v>25.679288122073572</v>
      </c>
      <c r="P184" s="2200">
        <v>21.775065671703299</v>
      </c>
      <c r="Q184" s="2200">
        <v>25.7171560271739</v>
      </c>
      <c r="R184" s="2200">
        <v>29.781977215851452</v>
      </c>
      <c r="S184" s="2199">
        <v>30.59628365193236</v>
      </c>
      <c r="T184" s="2200">
        <v>28.85574062912087</v>
      </c>
      <c r="U184" s="2200">
        <v>26.426258410326099</v>
      </c>
      <c r="V184" s="2201">
        <v>28.631262306884061</v>
      </c>
      <c r="W184" s="2200">
        <v>55.245883308574896</v>
      </c>
      <c r="X184" s="2200">
        <v>31.092236393315009</v>
      </c>
      <c r="Y184" s="2200">
        <v>26.565221706068847</v>
      </c>
      <c r="Z184" s="2201">
        <v>29.935611420199269</v>
      </c>
      <c r="AA184" s="2200">
        <v>33.546102769424323</v>
      </c>
      <c r="AB184" s="2200">
        <v>24.350682732600731</v>
      </c>
      <c r="AC184" s="2200">
        <v>22.832639235507255</v>
      </c>
      <c r="AD184" s="2201">
        <v>21.995092569728257</v>
      </c>
      <c r="AE184" s="2200">
        <v>22.062136905279502</v>
      </c>
      <c r="AF184" s="2200">
        <v>21.344116594322344</v>
      </c>
      <c r="AG184" s="2200">
        <v>22.51157196376812</v>
      </c>
      <c r="AH184" s="2201">
        <v>25.05356571974637</v>
      </c>
      <c r="AI184" s="2200">
        <v>25.637689978663452</v>
      </c>
      <c r="AJ184" s="2203">
        <v>22.658216380036624</v>
      </c>
      <c r="AK184" s="2203">
        <v>22.877026026268119</v>
      </c>
      <c r="AL184" s="2202">
        <v>26.103430919021747</v>
      </c>
      <c r="AM184" s="2203">
        <v>33.49635729142512</v>
      </c>
      <c r="AN184" s="2203">
        <v>24.3</v>
      </c>
      <c r="AO184" s="2203">
        <v>24.716666666666669</v>
      </c>
      <c r="AP184" s="2202">
        <v>24.833333333333332</v>
      </c>
      <c r="AQ184" s="2203">
        <v>26.535204784504245</v>
      </c>
      <c r="AR184" s="2203">
        <v>20.510009202701678</v>
      </c>
      <c r="AS184" s="2203">
        <v>20.875172571295771</v>
      </c>
      <c r="AT184" s="2202">
        <v>29.770913441498301</v>
      </c>
      <c r="AU184" s="2203">
        <v>26.434034268000321</v>
      </c>
      <c r="AV184" s="2203">
        <v>20.43181089063328</v>
      </c>
      <c r="AW184" s="2203">
        <v>20.795582004413099</v>
      </c>
      <c r="AX184" s="2202">
        <v>29.657406170153298</v>
      </c>
      <c r="AY184" s="2203">
        <v>26.496453235293</v>
      </c>
      <c r="AZ184" s="2203">
        <v>20.480056743792986</v>
      </c>
      <c r="BA184" s="2203">
        <v>20.844686834186923</v>
      </c>
      <c r="BB184" s="2262">
        <v>29.727436519927089</v>
      </c>
      <c r="BC184" s="1204"/>
      <c r="BD184" s="1204"/>
      <c r="BE184" s="1269">
        <f t="shared" si="673"/>
        <v>30.552643478231012</v>
      </c>
      <c r="BF184" s="1269">
        <f t="shared" si="674"/>
        <v>31.792584225125061</v>
      </c>
      <c r="BG184" s="1269">
        <f t="shared" si="675"/>
        <v>25.738371759200557</v>
      </c>
      <c r="BH184" s="1269">
        <f t="shared" si="676"/>
        <v>28.627386249565845</v>
      </c>
      <c r="BI184" s="1269">
        <f t="shared" si="677"/>
        <v>35.709738207039507</v>
      </c>
      <c r="BJ184" s="1269">
        <f t="shared" si="678"/>
        <v>25.681129326815142</v>
      </c>
      <c r="BK184" s="1273">
        <f t="shared" si="679"/>
        <v>22.742847795779085</v>
      </c>
      <c r="BL184" s="1273">
        <f t="shared" si="680"/>
        <v>24.319090825997485</v>
      </c>
      <c r="BM184" s="1273">
        <f t="shared" si="681"/>
        <v>26.83658932285628</v>
      </c>
      <c r="BN184" s="1273">
        <f t="shared" si="682"/>
        <v>24.422824999999996</v>
      </c>
      <c r="BO184" s="1273">
        <f t="shared" si="683"/>
        <v>24.329708333300001</v>
      </c>
      <c r="BP184" s="1273">
        <f t="shared" si="684"/>
        <v>24.3871583333</v>
      </c>
      <c r="BQ184" s="1205"/>
      <c r="BR184" s="1606"/>
      <c r="BS184" s="1605"/>
      <c r="BU184" s="1186"/>
      <c r="BV184" s="1551"/>
      <c r="BW184" s="1551"/>
      <c r="BX184" s="1551"/>
    </row>
    <row r="185" spans="2:76" ht="12.75" customHeight="1">
      <c r="B185" s="1579"/>
      <c r="C185" s="1254" t="s">
        <v>479</v>
      </c>
      <c r="D185" s="1552"/>
      <c r="E185" s="1552"/>
      <c r="F185" s="1222"/>
      <c r="G185" s="2199">
        <v>26.056607898976985</v>
      </c>
      <c r="H185" s="2200">
        <v>22.058756606684991</v>
      </c>
      <c r="I185" s="2200">
        <v>25.77205439356884</v>
      </c>
      <c r="J185" s="2201">
        <v>20.233505312028988</v>
      </c>
      <c r="K185" s="2199">
        <v>28.117182428522533</v>
      </c>
      <c r="L185" s="2200">
        <v>24.030010341117219</v>
      </c>
      <c r="M185" s="2200">
        <v>25.858050654891304</v>
      </c>
      <c r="N185" s="2201">
        <v>19.96068864096015</v>
      </c>
      <c r="O185" s="2199">
        <v>23.311520222746449</v>
      </c>
      <c r="P185" s="2200">
        <v>18.617785842032969</v>
      </c>
      <c r="Q185" s="2200">
        <v>23.770870774456522</v>
      </c>
      <c r="R185" s="2200">
        <v>21.751328907065218</v>
      </c>
      <c r="S185" s="2199">
        <v>27.102873879810776</v>
      </c>
      <c r="T185" s="2200">
        <v>23.983492510531136</v>
      </c>
      <c r="U185" s="2200">
        <v>24.337539511322465</v>
      </c>
      <c r="V185" s="2201">
        <v>25.034081106974629</v>
      </c>
      <c r="W185" s="2200">
        <v>46.659030578200486</v>
      </c>
      <c r="X185" s="2200">
        <v>25.040844436355307</v>
      </c>
      <c r="Y185" s="2200">
        <v>24.573567941576091</v>
      </c>
      <c r="Z185" s="2201">
        <v>25.868583025362319</v>
      </c>
      <c r="AA185" s="2200">
        <v>29.701038306400971</v>
      </c>
      <c r="AB185" s="2200">
        <v>18.405672966575075</v>
      </c>
      <c r="AC185" s="2200">
        <v>21.186602595561595</v>
      </c>
      <c r="AD185" s="2201">
        <v>19.679295579764492</v>
      </c>
      <c r="AE185" s="2200">
        <v>19.228153737279026</v>
      </c>
      <c r="AF185" s="2200">
        <v>18.306781789377293</v>
      </c>
      <c r="AG185" s="2200">
        <v>21.426197764039859</v>
      </c>
      <c r="AH185" s="2201">
        <v>22.45641746277175</v>
      </c>
      <c r="AI185" s="2200">
        <v>23.077807067310793</v>
      </c>
      <c r="AJ185" s="2203">
        <v>19.554939797619053</v>
      </c>
      <c r="AK185" s="2203">
        <v>18.802316540760863</v>
      </c>
      <c r="AL185" s="2202">
        <v>22.818591313496391</v>
      </c>
      <c r="AM185" s="2203">
        <v>25.592786000905793</v>
      </c>
      <c r="AN185" s="2203">
        <v>19.816666666666666</v>
      </c>
      <c r="AO185" s="2203">
        <v>21.45</v>
      </c>
      <c r="AP185" s="2202">
        <v>20.516666666666669</v>
      </c>
      <c r="AQ185" s="2203">
        <v>27.334808227990884</v>
      </c>
      <c r="AR185" s="2203">
        <v>19.223933699175628</v>
      </c>
      <c r="AS185" s="2203">
        <v>19.937159884736072</v>
      </c>
      <c r="AT185" s="2202">
        <v>20.328731521297417</v>
      </c>
      <c r="AU185" s="2203">
        <v>27.753990948397757</v>
      </c>
      <c r="AV185" s="2203">
        <v>19.518735139073424</v>
      </c>
      <c r="AW185" s="2203">
        <v>20.242898737848368</v>
      </c>
      <c r="AX185" s="2202">
        <v>20.640475174680446</v>
      </c>
      <c r="AY185" s="2203">
        <v>27.7633728168137</v>
      </c>
      <c r="AZ185" s="2203">
        <v>19.52533318852371</v>
      </c>
      <c r="BA185" s="2203">
        <v>20.24974158119543</v>
      </c>
      <c r="BB185" s="2262">
        <v>20.647452413467164</v>
      </c>
      <c r="BC185" s="1204"/>
      <c r="BD185" s="1204"/>
      <c r="BE185" s="1269">
        <f t="shared" si="673"/>
        <v>23.530231052814948</v>
      </c>
      <c r="BF185" s="1269">
        <f t="shared" si="674"/>
        <v>24.491483016372804</v>
      </c>
      <c r="BG185" s="1269">
        <f t="shared" si="675"/>
        <v>21.862876436575288</v>
      </c>
      <c r="BH185" s="1269">
        <f t="shared" si="676"/>
        <v>25.114496752159749</v>
      </c>
      <c r="BI185" s="1269">
        <f t="shared" si="677"/>
        <v>30.535506495373554</v>
      </c>
      <c r="BJ185" s="1269">
        <f t="shared" si="678"/>
        <v>22.243152362075534</v>
      </c>
      <c r="BK185" s="1273">
        <f t="shared" si="679"/>
        <v>20.354387688366984</v>
      </c>
      <c r="BL185" s="1273">
        <f t="shared" si="680"/>
        <v>21.063413679796774</v>
      </c>
      <c r="BM185" s="1273">
        <f t="shared" si="681"/>
        <v>21.84402983355978</v>
      </c>
      <c r="BN185" s="1273">
        <f t="shared" si="682"/>
        <v>21.706158333299999</v>
      </c>
      <c r="BO185" s="1273">
        <f t="shared" si="683"/>
        <v>22.039024999999999</v>
      </c>
      <c r="BP185" s="1273">
        <f t="shared" si="684"/>
        <v>22.046475000000001</v>
      </c>
      <c r="BQ185" s="1205"/>
      <c r="BR185" s="1606"/>
      <c r="BS185" s="1605"/>
      <c r="BU185" s="1186"/>
      <c r="BV185" s="1551"/>
      <c r="BW185" s="1551"/>
      <c r="BX185" s="1551"/>
    </row>
    <row r="186" spans="2:76" ht="12.75" customHeight="1">
      <c r="B186" s="1579"/>
      <c r="C186" s="1254" t="s">
        <v>439</v>
      </c>
      <c r="D186" s="1552"/>
      <c r="E186" s="1552"/>
      <c r="F186" s="1222"/>
      <c r="G186" s="2199">
        <v>33.731326126918169</v>
      </c>
      <c r="H186" s="2200">
        <v>28.634282280219779</v>
      </c>
      <c r="I186" s="2200">
        <v>31.990215126811602</v>
      </c>
      <c r="J186" s="2201">
        <v>25.825695788043475</v>
      </c>
      <c r="K186" s="2199">
        <v>29.660326036634473</v>
      </c>
      <c r="L186" s="2200">
        <v>28.345022893772899</v>
      </c>
      <c r="M186" s="2200">
        <v>31.569142889492749</v>
      </c>
      <c r="N186" s="2201">
        <v>23.404596059782612</v>
      </c>
      <c r="O186" s="2199">
        <v>19.561595895046977</v>
      </c>
      <c r="P186" s="2200">
        <v>17.118434065934071</v>
      </c>
      <c r="Q186" s="2200">
        <v>21.168782835144924</v>
      </c>
      <c r="R186" s="2200">
        <v>22.251092119565214</v>
      </c>
      <c r="S186" s="2199">
        <v>23.22272348027375</v>
      </c>
      <c r="T186" s="2200">
        <v>26.715190018315013</v>
      </c>
      <c r="U186" s="2200">
        <v>25.701721014492755</v>
      </c>
      <c r="V186" s="2201">
        <v>27.180492210144916</v>
      </c>
      <c r="W186" s="2200">
        <v>31.78499773550724</v>
      </c>
      <c r="X186" s="2200">
        <v>31.412413003663001</v>
      </c>
      <c r="Y186" s="2200">
        <v>28.854929800724651</v>
      </c>
      <c r="Z186" s="2201">
        <v>25.233000181159419</v>
      </c>
      <c r="AA186" s="2200">
        <v>22.140641555958133</v>
      </c>
      <c r="AB186" s="2200">
        <v>21.621235119047622</v>
      </c>
      <c r="AC186" s="2200">
        <v>20.30612658514492</v>
      </c>
      <c r="AD186" s="2201">
        <v>16.061473550724639</v>
      </c>
      <c r="AE186" s="2200">
        <v>13.842845198279973</v>
      </c>
      <c r="AF186" s="2200">
        <v>14.911001602564097</v>
      </c>
      <c r="AG186" s="2200">
        <v>23.475191349637686</v>
      </c>
      <c r="AH186" s="2201">
        <v>18.614083197463771</v>
      </c>
      <c r="AI186" s="2200">
        <v>19.355630787037047</v>
      </c>
      <c r="AJ186" s="2203">
        <v>24.49456959706961</v>
      </c>
      <c r="AK186" s="2203">
        <v>22.786469655797116</v>
      </c>
      <c r="AL186" s="2202">
        <v>20.007914900362312</v>
      </c>
      <c r="AM186" s="2203">
        <v>20.159236262077297</v>
      </c>
      <c r="AN186" s="2203">
        <v>22.893873333333332</v>
      </c>
      <c r="AO186" s="2203">
        <v>28.907523333333334</v>
      </c>
      <c r="AP186" s="2202">
        <v>20.204750000000001</v>
      </c>
      <c r="AQ186" s="2203">
        <v>20.922026845642609</v>
      </c>
      <c r="AR186" s="2203">
        <v>19.193142488186361</v>
      </c>
      <c r="AS186" s="2203">
        <v>23.750424272466308</v>
      </c>
      <c r="AT186" s="2202">
        <v>20.145536393704717</v>
      </c>
      <c r="AU186" s="2203">
        <v>21.12106749399333</v>
      </c>
      <c r="AV186" s="2203">
        <v>19.375735482303082</v>
      </c>
      <c r="AW186" s="2203">
        <v>23.97637273724332</v>
      </c>
      <c r="AX186" s="2202">
        <v>20.337189939260277</v>
      </c>
      <c r="AY186" s="2203">
        <v>20.82675586398943</v>
      </c>
      <c r="AZ186" s="2203">
        <v>19.105744190719797</v>
      </c>
      <c r="BA186" s="2203">
        <v>23.642273840779588</v>
      </c>
      <c r="BB186" s="2262">
        <v>20.053801255311189</v>
      </c>
      <c r="BC186" s="1204"/>
      <c r="BD186" s="1204"/>
      <c r="BE186" s="1269">
        <f t="shared" si="673"/>
        <v>30.045379830498256</v>
      </c>
      <c r="BF186" s="1269">
        <f t="shared" si="674"/>
        <v>28.244771969920684</v>
      </c>
      <c r="BG186" s="1269">
        <f t="shared" si="675"/>
        <v>20.024976228922796</v>
      </c>
      <c r="BH186" s="1269">
        <f t="shared" si="676"/>
        <v>25.705031680806609</v>
      </c>
      <c r="BI186" s="1269">
        <f t="shared" si="677"/>
        <v>29.321335180263574</v>
      </c>
      <c r="BJ186" s="1269">
        <f t="shared" si="678"/>
        <v>20.032369202718829</v>
      </c>
      <c r="BK186" s="1273">
        <f t="shared" si="679"/>
        <v>17.710780336986382</v>
      </c>
      <c r="BL186" s="1273">
        <f t="shared" si="680"/>
        <v>21.661146235066521</v>
      </c>
      <c r="BM186" s="1273">
        <f t="shared" si="681"/>
        <v>23.041345732185992</v>
      </c>
      <c r="BN186" s="1273">
        <f t="shared" si="682"/>
        <v>21.002782499999999</v>
      </c>
      <c r="BO186" s="1273">
        <f t="shared" si="683"/>
        <v>21.202591413200004</v>
      </c>
      <c r="BP186" s="1273">
        <f t="shared" si="684"/>
        <v>20.907143787700001</v>
      </c>
      <c r="BQ186" s="1205"/>
      <c r="BR186" s="1606"/>
      <c r="BS186" s="1605"/>
      <c r="BU186" s="1186"/>
      <c r="BV186" s="1551"/>
      <c r="BW186" s="1551"/>
      <c r="BX186" s="1551"/>
    </row>
    <row r="187" spans="2:76" ht="12.75" customHeight="1">
      <c r="B187" s="1579"/>
      <c r="C187" s="1564" t="s">
        <v>480</v>
      </c>
      <c r="D187" s="1552"/>
      <c r="E187" s="1552"/>
      <c r="F187" s="1222"/>
      <c r="G187" s="2199">
        <v>33.950079656862755</v>
      </c>
      <c r="H187" s="2200">
        <v>28.455611263736266</v>
      </c>
      <c r="I187" s="2200">
        <v>31.678466938405812</v>
      </c>
      <c r="J187" s="2201">
        <v>25.7597316576087</v>
      </c>
      <c r="K187" s="2199">
        <v>30.071405696457326</v>
      </c>
      <c r="L187" s="2200">
        <v>28.042996794871794</v>
      </c>
      <c r="M187" s="2200">
        <v>31.24979846014493</v>
      </c>
      <c r="N187" s="2201">
        <v>23.630269338768127</v>
      </c>
      <c r="O187" s="2199">
        <v>19.53850324494346</v>
      </c>
      <c r="P187" s="2200">
        <v>17.141556776556776</v>
      </c>
      <c r="Q187" s="2200">
        <v>20.815947690217392</v>
      </c>
      <c r="R187" s="2200">
        <v>22.887461865942033</v>
      </c>
      <c r="S187" s="2199">
        <v>23.199066475442827</v>
      </c>
      <c r="T187" s="2200">
        <v>26.300711996337007</v>
      </c>
      <c r="U187" s="2200">
        <v>25.430877490942027</v>
      </c>
      <c r="V187" s="2201">
        <v>26.785470153985496</v>
      </c>
      <c r="W187" s="2200">
        <v>32.004984551127215</v>
      </c>
      <c r="X187" s="2200">
        <v>31.26213713369965</v>
      </c>
      <c r="Y187" s="2200">
        <v>28.32578691123188</v>
      </c>
      <c r="Z187" s="2201">
        <v>25.307324320652167</v>
      </c>
      <c r="AA187" s="2200">
        <v>22.17571215780999</v>
      </c>
      <c r="AB187" s="2200">
        <v>19.319275412087915</v>
      </c>
      <c r="AC187" s="2200">
        <v>19.897398097826084</v>
      </c>
      <c r="AD187" s="2201">
        <v>15.149004076086959</v>
      </c>
      <c r="AE187" s="2200">
        <v>13.804743092052874</v>
      </c>
      <c r="AF187" s="2200">
        <v>14.6552048992674</v>
      </c>
      <c r="AG187" s="2200">
        <v>20.848108016304352</v>
      </c>
      <c r="AH187" s="2201">
        <v>18.255682925724642</v>
      </c>
      <c r="AI187" s="2200">
        <v>17.694403532608696</v>
      </c>
      <c r="AJ187" s="2203">
        <v>19.575868818681322</v>
      </c>
      <c r="AK187" s="2203">
        <v>21.74405457427536</v>
      </c>
      <c r="AL187" s="2202">
        <v>18.065305072463772</v>
      </c>
      <c r="AM187" s="2203">
        <v>19.286005585748793</v>
      </c>
      <c r="AN187" s="2203">
        <v>20.677206666666667</v>
      </c>
      <c r="AO187" s="2203">
        <v>28.640856666666668</v>
      </c>
      <c r="AP187" s="2202">
        <v>19.388083333333331</v>
      </c>
      <c r="AQ187" s="2203">
        <v>20.204147210285914</v>
      </c>
      <c r="AR187" s="2203">
        <v>17.911730019517361</v>
      </c>
      <c r="AS187" s="2203">
        <v>23.181362548745142</v>
      </c>
      <c r="AT187" s="2202">
        <v>18.447223554651586</v>
      </c>
      <c r="AU187" s="2203">
        <v>20.13301243857838</v>
      </c>
      <c r="AV187" s="2203">
        <v>17.848666391413492</v>
      </c>
      <c r="AW187" s="2203">
        <v>23.099745595769516</v>
      </c>
      <c r="AX187" s="2202">
        <v>18.382274560638621</v>
      </c>
      <c r="AY187" s="2203">
        <v>19.630903760724049</v>
      </c>
      <c r="AZ187" s="2203">
        <v>17.403528322254854</v>
      </c>
      <c r="BA187" s="2203">
        <v>22.523647867958136</v>
      </c>
      <c r="BB187" s="2262">
        <v>17.923828533062963</v>
      </c>
      <c r="BC187" s="1204"/>
      <c r="BD187" s="1204"/>
      <c r="BE187" s="1269">
        <f t="shared" si="673"/>
        <v>29.960972379153382</v>
      </c>
      <c r="BF187" s="1269">
        <f t="shared" si="674"/>
        <v>28.248617572560544</v>
      </c>
      <c r="BG187" s="1269">
        <f t="shared" si="675"/>
        <v>20.095867394414917</v>
      </c>
      <c r="BH187" s="1269">
        <f t="shared" si="676"/>
        <v>25.429031529176839</v>
      </c>
      <c r="BI187" s="1269">
        <f t="shared" si="677"/>
        <v>29.22505822917773</v>
      </c>
      <c r="BJ187" s="1269">
        <f t="shared" si="678"/>
        <v>19.135347435952735</v>
      </c>
      <c r="BK187" s="1273">
        <f t="shared" si="679"/>
        <v>16.890934733337318</v>
      </c>
      <c r="BL187" s="1273">
        <f t="shared" si="680"/>
        <v>19.269907999507289</v>
      </c>
      <c r="BM187" s="1273">
        <f t="shared" si="681"/>
        <v>21.998038063103863</v>
      </c>
      <c r="BN187" s="1273">
        <f t="shared" si="682"/>
        <v>19.936115833300001</v>
      </c>
      <c r="BO187" s="1273">
        <f t="shared" si="683"/>
        <v>19.865924746600001</v>
      </c>
      <c r="BP187" s="1273">
        <f t="shared" si="684"/>
        <v>19.370477121</v>
      </c>
      <c r="BQ187" s="1205"/>
      <c r="BR187" s="1606"/>
      <c r="BS187" s="1605"/>
      <c r="BU187" s="1186"/>
      <c r="BV187" s="1551"/>
      <c r="BW187" s="1551"/>
      <c r="BX187" s="1551"/>
    </row>
    <row r="188" spans="2:76" ht="12.75" customHeight="1">
      <c r="B188" s="1579"/>
      <c r="C188" s="1564" t="s">
        <v>440</v>
      </c>
      <c r="D188" s="1552"/>
      <c r="E188" s="1552"/>
      <c r="F188" s="1222"/>
      <c r="G188" s="2199">
        <v>33.499652267156868</v>
      </c>
      <c r="H188" s="2200">
        <v>28.382862866300375</v>
      </c>
      <c r="I188" s="2200">
        <v>31.812933650362325</v>
      </c>
      <c r="J188" s="2201">
        <v>25.415262409420293</v>
      </c>
      <c r="K188" s="2199">
        <v>29.8071865942029</v>
      </c>
      <c r="L188" s="2200">
        <v>27.334835164835152</v>
      </c>
      <c r="M188" s="2200">
        <v>31.034110054347821</v>
      </c>
      <c r="N188" s="2201">
        <v>23.925171286231883</v>
      </c>
      <c r="O188" s="2199">
        <v>19.365880564182188</v>
      </c>
      <c r="P188" s="2200">
        <v>16.926233974358968</v>
      </c>
      <c r="Q188" s="2200">
        <v>21.107855525362321</v>
      </c>
      <c r="R188" s="2200">
        <v>22.343847056159426</v>
      </c>
      <c r="S188" s="2199">
        <v>23.143879981884069</v>
      </c>
      <c r="T188" s="2200">
        <v>26.316911630036625</v>
      </c>
      <c r="U188" s="2200">
        <v>25.562675498188408</v>
      </c>
      <c r="V188" s="2201">
        <v>26.801473958333329</v>
      </c>
      <c r="W188" s="2200">
        <v>31.796791113123987</v>
      </c>
      <c r="X188" s="2200">
        <v>30.898569139194134</v>
      </c>
      <c r="Y188" s="2200">
        <v>28.542640398550727</v>
      </c>
      <c r="Z188" s="2201">
        <v>25.265815081521733</v>
      </c>
      <c r="AA188" s="2200">
        <v>22.23049803743962</v>
      </c>
      <c r="AB188" s="2200">
        <v>20.495057234432235</v>
      </c>
      <c r="AC188" s="2200">
        <v>20.106205842391308</v>
      </c>
      <c r="AD188" s="2201">
        <v>15.567165081521738</v>
      </c>
      <c r="AE188" s="2200">
        <v>13.567103589345434</v>
      </c>
      <c r="AF188" s="2200">
        <v>14.551979166666674</v>
      </c>
      <c r="AG188" s="2200">
        <v>21.434193840579709</v>
      </c>
      <c r="AH188" s="2201">
        <v>18.581885235507244</v>
      </c>
      <c r="AI188" s="2200">
        <v>17.745814764492753</v>
      </c>
      <c r="AJ188" s="2203">
        <v>21.731801739926734</v>
      </c>
      <c r="AK188" s="2203">
        <v>23.207665307971009</v>
      </c>
      <c r="AL188" s="2202">
        <v>19.342823505434787</v>
      </c>
      <c r="AM188" s="2203">
        <v>19.624934933574881</v>
      </c>
      <c r="AN188" s="2203">
        <v>22.243873333333337</v>
      </c>
      <c r="AO188" s="2203">
        <v>29.724189999999997</v>
      </c>
      <c r="AP188" s="2202">
        <v>20.288083333333333</v>
      </c>
      <c r="AQ188" s="2203">
        <v>21.213743053469752</v>
      </c>
      <c r="AR188" s="2203">
        <v>19.267514968052225</v>
      </c>
      <c r="AS188" s="2203">
        <v>24.088177775796659</v>
      </c>
      <c r="AT188" s="2202">
        <v>19.651694202681362</v>
      </c>
      <c r="AU188" s="2203">
        <v>21.193400009991446</v>
      </c>
      <c r="AV188" s="2203">
        <v>19.249038271425608</v>
      </c>
      <c r="AW188" s="2203">
        <v>24.065078276261332</v>
      </c>
      <c r="AX188" s="2202">
        <v>19.632849095121614</v>
      </c>
      <c r="AY188" s="2203">
        <v>20.81512679245602</v>
      </c>
      <c r="AZ188" s="2203">
        <v>18.905469252865018</v>
      </c>
      <c r="BA188" s="2203">
        <v>23.635549527428598</v>
      </c>
      <c r="BB188" s="2262">
        <v>19.282429578050358</v>
      </c>
      <c r="BC188" s="1204"/>
      <c r="BD188" s="1204"/>
      <c r="BE188" s="1269">
        <f t="shared" si="673"/>
        <v>29.777677798309966</v>
      </c>
      <c r="BF188" s="1269">
        <f t="shared" si="674"/>
        <v>28.025325774904438</v>
      </c>
      <c r="BG188" s="1269">
        <f t="shared" si="675"/>
        <v>19.935954280015729</v>
      </c>
      <c r="BH188" s="1269">
        <f t="shared" si="676"/>
        <v>25.45623526711061</v>
      </c>
      <c r="BI188" s="1269">
        <f t="shared" si="677"/>
        <v>29.125953933097648</v>
      </c>
      <c r="BJ188" s="1269">
        <f t="shared" si="678"/>
        <v>19.599731548946224</v>
      </c>
      <c r="BK188" s="1273">
        <f t="shared" si="679"/>
        <v>17.033790458024765</v>
      </c>
      <c r="BL188" s="1273">
        <f t="shared" si="680"/>
        <v>20.507026329456323</v>
      </c>
      <c r="BM188" s="1273">
        <f t="shared" si="681"/>
        <v>22.970270400060386</v>
      </c>
      <c r="BN188" s="1273">
        <f t="shared" si="682"/>
        <v>21.055282500000004</v>
      </c>
      <c r="BO188" s="1273">
        <f t="shared" si="683"/>
        <v>21.0350914132</v>
      </c>
      <c r="BP188" s="1273">
        <f t="shared" si="684"/>
        <v>20.659643787699999</v>
      </c>
      <c r="BQ188" s="1205"/>
      <c r="BR188" s="1606"/>
      <c r="BS188" s="1605"/>
      <c r="BU188" s="1186"/>
      <c r="BV188" s="1551"/>
      <c r="BW188" s="1551"/>
      <c r="BX188" s="1551"/>
    </row>
    <row r="189" spans="2:76" ht="12.75" customHeight="1">
      <c r="B189" s="1579"/>
      <c r="C189" s="1564" t="s">
        <v>481</v>
      </c>
      <c r="D189" s="1552"/>
      <c r="E189" s="1552"/>
      <c r="F189" s="1222"/>
      <c r="G189" s="2199">
        <v>32.764399999999995</v>
      </c>
      <c r="H189" s="2200">
        <v>26.094333333333331</v>
      </c>
      <c r="I189" s="2200">
        <v>27.91</v>
      </c>
      <c r="J189" s="2201">
        <v>25.807647058823527</v>
      </c>
      <c r="K189" s="2199">
        <v>20.458235294117642</v>
      </c>
      <c r="L189" s="2200">
        <v>15.988181818181818</v>
      </c>
      <c r="M189" s="2200">
        <v>24.526097560975611</v>
      </c>
      <c r="N189" s="2201">
        <v>24.08657894736842</v>
      </c>
      <c r="O189" s="2199">
        <v>19.836734693877553</v>
      </c>
      <c r="P189" s="2200">
        <v>16.344545454545454</v>
      </c>
      <c r="Q189" s="2200">
        <v>20.018333333333338</v>
      </c>
      <c r="R189" s="2200">
        <v>25.022727272727277</v>
      </c>
      <c r="S189" s="2199">
        <v>27.013333333333335</v>
      </c>
      <c r="T189" s="2200">
        <v>26.58642857142857</v>
      </c>
      <c r="U189" s="2200">
        <v>24.336666666666662</v>
      </c>
      <c r="V189" s="2201">
        <v>29.902142857142856</v>
      </c>
      <c r="W189" s="2200">
        <v>37.216206896551725</v>
      </c>
      <c r="X189" s="2200">
        <v>31.198387096774194</v>
      </c>
      <c r="Y189" s="2200">
        <v>31.499310344827585</v>
      </c>
      <c r="Z189" s="2201">
        <v>26.848387096774196</v>
      </c>
      <c r="AA189" s="2200">
        <v>21.951388888888893</v>
      </c>
      <c r="AB189" s="2200">
        <v>21.208409090909093</v>
      </c>
      <c r="AC189" s="2200">
        <v>23.832173913043476</v>
      </c>
      <c r="AD189" s="2201">
        <v>19.805555555555557</v>
      </c>
      <c r="AE189" s="2200">
        <v>16.825681818181817</v>
      </c>
      <c r="AF189" s="2200">
        <v>16.068333333333332</v>
      </c>
      <c r="AG189" s="2200">
        <v>22.099565217391302</v>
      </c>
      <c r="AH189" s="2201">
        <v>21.735135135135135</v>
      </c>
      <c r="AI189" s="2200">
        <v>20.877073170731702</v>
      </c>
      <c r="AJ189" s="2203">
        <v>21.894222222222222</v>
      </c>
      <c r="AK189" s="2203">
        <v>23.702653061224492</v>
      </c>
      <c r="AL189" s="2202">
        <v>23.66375</v>
      </c>
      <c r="AM189" s="2203">
        <v>23.66375</v>
      </c>
      <c r="AN189" s="2203">
        <v>21.866666666666664</v>
      </c>
      <c r="AO189" s="2203">
        <v>25.5</v>
      </c>
      <c r="AP189" s="2202">
        <v>21.55</v>
      </c>
      <c r="AQ189" s="2203">
        <v>24.836427915484958</v>
      </c>
      <c r="AR189" s="2203">
        <v>21.765546372753509</v>
      </c>
      <c r="AS189" s="2203">
        <v>25.429054178110412</v>
      </c>
      <c r="AT189" s="2202">
        <v>25.75230486685113</v>
      </c>
      <c r="AU189" s="2203">
        <v>28.091790633507216</v>
      </c>
      <c r="AV189" s="2203">
        <v>24.61840220372709</v>
      </c>
      <c r="AW189" s="2203">
        <v>28.762093663807821</v>
      </c>
      <c r="AX189" s="2202">
        <v>29.127713498557874</v>
      </c>
      <c r="AY189" s="2203">
        <v>30.585169880556695</v>
      </c>
      <c r="AZ189" s="2203">
        <v>26.803489439749491</v>
      </c>
      <c r="BA189" s="2203">
        <v>31.314967860353057</v>
      </c>
      <c r="BB189" s="2262">
        <v>31.713039485740765</v>
      </c>
      <c r="BC189" s="1204"/>
      <c r="BD189" s="1204"/>
      <c r="BE189" s="1269">
        <f t="shared" si="673"/>
        <v>28.144095098039216</v>
      </c>
      <c r="BF189" s="1269">
        <f t="shared" si="674"/>
        <v>21.264773405160874</v>
      </c>
      <c r="BG189" s="1269">
        <f t="shared" si="675"/>
        <v>20.305585188620906</v>
      </c>
      <c r="BH189" s="1269">
        <f t="shared" si="676"/>
        <v>26.959642857142853</v>
      </c>
      <c r="BI189" s="1269">
        <f t="shared" si="677"/>
        <v>31.690572858731926</v>
      </c>
      <c r="BJ189" s="1269">
        <f t="shared" si="678"/>
        <v>21.699381862099255</v>
      </c>
      <c r="BK189" s="1273">
        <f t="shared" si="679"/>
        <v>19.182178876010397</v>
      </c>
      <c r="BL189" s="1273">
        <f t="shared" si="680"/>
        <v>22.534424613544601</v>
      </c>
      <c r="BM189" s="1273">
        <f t="shared" si="681"/>
        <v>23.145104166666666</v>
      </c>
      <c r="BN189" s="1273">
        <f t="shared" si="682"/>
        <v>24.445833333300005</v>
      </c>
      <c r="BO189" s="1273">
        <f t="shared" si="683"/>
        <v>27.649999999899997</v>
      </c>
      <c r="BP189" s="1273">
        <f t="shared" si="684"/>
        <v>30.104166666600005</v>
      </c>
      <c r="BQ189" s="1205"/>
      <c r="BR189" s="1606"/>
      <c r="BS189" s="1605"/>
      <c r="BU189" s="1186"/>
      <c r="BV189" s="1551"/>
      <c r="BW189" s="1551"/>
      <c r="BX189" s="1551"/>
    </row>
    <row r="190" spans="2:76" ht="12.75" customHeight="1">
      <c r="B190" s="1579"/>
      <c r="C190" s="1564" t="s">
        <v>482</v>
      </c>
      <c r="D190" s="1552"/>
      <c r="E190" s="1552"/>
      <c r="F190" s="1222"/>
      <c r="G190" s="2199">
        <v>38.363481000287337</v>
      </c>
      <c r="H190" s="2200">
        <v>18.396992540064101</v>
      </c>
      <c r="I190" s="2200">
        <v>24.471085883152178</v>
      </c>
      <c r="J190" s="2201">
        <v>26.837953423097826</v>
      </c>
      <c r="K190" s="2199">
        <v>18.974865649255229</v>
      </c>
      <c r="L190" s="2200">
        <v>10.592114644001832</v>
      </c>
      <c r="M190" s="2200">
        <v>23.428638822463746</v>
      </c>
      <c r="N190" s="2201">
        <v>24.040611232563403</v>
      </c>
      <c r="O190" s="2199">
        <v>19.574844206780533</v>
      </c>
      <c r="P190" s="2200">
        <v>14.132461858974361</v>
      </c>
      <c r="Q190" s="2200">
        <v>19.690949210824268</v>
      </c>
      <c r="R190" s="2200">
        <v>27.320213811911241</v>
      </c>
      <c r="S190" s="2199">
        <v>34.906394377365146</v>
      </c>
      <c r="T190" s="2200">
        <v>29.51015124084249</v>
      </c>
      <c r="U190" s="2200">
        <v>32.575099427083344</v>
      </c>
      <c r="V190" s="2201">
        <v>37.361519796557985</v>
      </c>
      <c r="W190" s="2200">
        <v>42.627117423409828</v>
      </c>
      <c r="X190" s="2200">
        <v>21.235009505690744</v>
      </c>
      <c r="Y190" s="2200">
        <v>33.125406867559512</v>
      </c>
      <c r="Z190" s="2201">
        <v>32.544144284297367</v>
      </c>
      <c r="AA190" s="2200">
        <v>24.552941132037905</v>
      </c>
      <c r="AB190" s="2200">
        <v>25.405648776654878</v>
      </c>
      <c r="AC190" s="2200">
        <v>28.41391110280798</v>
      </c>
      <c r="AD190" s="2201">
        <v>25.53134713495729</v>
      </c>
      <c r="AE190" s="2200">
        <v>20.780798292565343</v>
      </c>
      <c r="AF190" s="2200">
        <v>18.439791219093404</v>
      </c>
      <c r="AG190" s="2200">
        <v>27.717085095270448</v>
      </c>
      <c r="AH190" s="2201">
        <v>27.225998677746944</v>
      </c>
      <c r="AI190" s="2200">
        <v>23.502615202110384</v>
      </c>
      <c r="AJ190" s="2203">
        <v>22.058978634484564</v>
      </c>
      <c r="AK190" s="2203">
        <v>29.16276689554218</v>
      </c>
      <c r="AL190" s="2202">
        <v>31.166413735261386</v>
      </c>
      <c r="AM190" s="2203">
        <v>27.79077055530394</v>
      </c>
      <c r="AN190" s="2203">
        <v>23.866666666666671</v>
      </c>
      <c r="AO190" s="2203">
        <v>32.4</v>
      </c>
      <c r="AP190" s="2202">
        <v>31.849999999999998</v>
      </c>
      <c r="AQ190" s="2203">
        <v>32.001911923859012</v>
      </c>
      <c r="AR190" s="2203">
        <v>23.464576991634761</v>
      </c>
      <c r="AS190" s="2203">
        <v>31.792406772147991</v>
      </c>
      <c r="AT190" s="2202">
        <v>34.124437645558224</v>
      </c>
      <c r="AU190" s="2203">
        <v>35.011840479141661</v>
      </c>
      <c r="AV190" s="2203">
        <v>25.671529516621057</v>
      </c>
      <c r="AW190" s="2203">
        <v>34.782630394171832</v>
      </c>
      <c r="AX190" s="2202">
        <v>37.333999610065447</v>
      </c>
      <c r="AY190" s="2203">
        <v>36.703552148808996</v>
      </c>
      <c r="AZ190" s="2203">
        <v>26.911933490452423</v>
      </c>
      <c r="BA190" s="2203">
        <v>36.46326702835853</v>
      </c>
      <c r="BB190" s="2262">
        <v>39.137913998780029</v>
      </c>
      <c r="BC190" s="1204"/>
      <c r="BD190" s="1204"/>
      <c r="BE190" s="1269">
        <f t="shared" si="673"/>
        <v>27.017378211650364</v>
      </c>
      <c r="BF190" s="1269">
        <f t="shared" si="674"/>
        <v>19.259057587071052</v>
      </c>
      <c r="BG190" s="1269">
        <f t="shared" si="675"/>
        <v>20.179617272122602</v>
      </c>
      <c r="BH190" s="1269">
        <f t="shared" si="676"/>
        <v>33.588291210462245</v>
      </c>
      <c r="BI190" s="1269">
        <f t="shared" si="677"/>
        <v>32.382919520239362</v>
      </c>
      <c r="BJ190" s="1269">
        <f t="shared" si="678"/>
        <v>25.975962036614511</v>
      </c>
      <c r="BK190" s="1273">
        <f t="shared" si="679"/>
        <v>23.540918321169034</v>
      </c>
      <c r="BL190" s="1273">
        <f t="shared" si="680"/>
        <v>26.472693616849629</v>
      </c>
      <c r="BM190" s="1273">
        <f t="shared" si="681"/>
        <v>28.976859305492653</v>
      </c>
      <c r="BN190" s="1273">
        <f t="shared" si="682"/>
        <v>30.3458333333</v>
      </c>
      <c r="BO190" s="1273">
        <f t="shared" si="683"/>
        <v>33.200000000000003</v>
      </c>
      <c r="BP190" s="1273">
        <f t="shared" si="684"/>
        <v>34.804166666599997</v>
      </c>
      <c r="BQ190" s="1205"/>
      <c r="BR190" s="1606"/>
      <c r="BS190" s="1605"/>
      <c r="BU190" s="1186"/>
      <c r="BV190" s="1551"/>
      <c r="BW190" s="1551"/>
      <c r="BX190" s="1551"/>
    </row>
    <row r="191" spans="2:76" ht="12.75" customHeight="1">
      <c r="B191" s="1579"/>
      <c r="C191" s="1564" t="s">
        <v>483</v>
      </c>
      <c r="D191" s="1552"/>
      <c r="E191" s="1552"/>
      <c r="F191" s="1222"/>
      <c r="G191" s="2199">
        <v>35.650621540673335</v>
      </c>
      <c r="H191" s="2200">
        <v>19.113250432692308</v>
      </c>
      <c r="I191" s="2200">
        <v>25.547545279664849</v>
      </c>
      <c r="J191" s="2201">
        <v>27.749613651449284</v>
      </c>
      <c r="K191" s="2199">
        <v>18.722317882447662</v>
      </c>
      <c r="L191" s="2200">
        <v>9.3984892651098875</v>
      </c>
      <c r="M191" s="2200">
        <v>23.640035421195652</v>
      </c>
      <c r="N191" s="2201">
        <v>25.15623199827899</v>
      </c>
      <c r="O191" s="2199">
        <v>20.248332309583525</v>
      </c>
      <c r="P191" s="2200">
        <v>12.638521983745417</v>
      </c>
      <c r="Q191" s="2200">
        <v>18.538177578124998</v>
      </c>
      <c r="R191" s="2200">
        <v>27.611688596331518</v>
      </c>
      <c r="S191" s="2199">
        <v>32.535625475191225</v>
      </c>
      <c r="T191" s="2200">
        <v>29.389078711080582</v>
      </c>
      <c r="U191" s="2200">
        <v>33.408651492300713</v>
      </c>
      <c r="V191" s="2201">
        <v>39.111093514039872</v>
      </c>
      <c r="W191" s="2200">
        <v>43.573062782256443</v>
      </c>
      <c r="X191" s="2200">
        <v>25.133060753891947</v>
      </c>
      <c r="Y191" s="2200">
        <v>33.672098231107654</v>
      </c>
      <c r="Z191" s="2201">
        <v>32.79430912681805</v>
      </c>
      <c r="AA191" s="2200">
        <v>25.992472138601332</v>
      </c>
      <c r="AB191" s="2200">
        <v>27.16867147632129</v>
      </c>
      <c r="AC191" s="2200">
        <v>27.614825502717384</v>
      </c>
      <c r="AD191" s="2201">
        <v>26.110869571577393</v>
      </c>
      <c r="AE191" s="2200">
        <v>20.11139374158903</v>
      </c>
      <c r="AF191" s="2200">
        <v>21.2270874957483</v>
      </c>
      <c r="AG191" s="2200">
        <v>29.189901377458604</v>
      </c>
      <c r="AH191" s="2201">
        <v>28.44518337338728</v>
      </c>
      <c r="AI191" s="2200">
        <v>24.123383839646465</v>
      </c>
      <c r="AJ191" s="2203">
        <v>20.910626551641812</v>
      </c>
      <c r="AK191" s="2203">
        <v>30.198757360248454</v>
      </c>
      <c r="AL191" s="2202">
        <v>30.953927045121635</v>
      </c>
      <c r="AM191" s="2203">
        <v>29.637675953200478</v>
      </c>
      <c r="AN191" s="2203">
        <v>24.700000000000003</v>
      </c>
      <c r="AO191" s="2203">
        <v>32.199999999999996</v>
      </c>
      <c r="AP191" s="2202">
        <v>32.1</v>
      </c>
      <c r="AQ191" s="2203">
        <v>32.382642291161041</v>
      </c>
      <c r="AR191" s="2203">
        <v>24.129274044874869</v>
      </c>
      <c r="AS191" s="2203">
        <v>32.172365393166494</v>
      </c>
      <c r="AT191" s="2202">
        <v>36.099051603997601</v>
      </c>
      <c r="AU191" s="2203">
        <v>35.345392387291405</v>
      </c>
      <c r="AV191" s="2203">
        <v>26.336907639231747</v>
      </c>
      <c r="AW191" s="2203">
        <v>35.115876852309</v>
      </c>
      <c r="AX191" s="2202">
        <v>39.401823121167837</v>
      </c>
      <c r="AY191" s="2203">
        <v>37.010587696706686</v>
      </c>
      <c r="AZ191" s="2203">
        <v>27.577694403877224</v>
      </c>
      <c r="BA191" s="2203">
        <v>36.770259205169637</v>
      </c>
      <c r="BB191" s="2262">
        <v>41.258125360646446</v>
      </c>
      <c r="BC191" s="1204"/>
      <c r="BD191" s="1204"/>
      <c r="BE191" s="1269">
        <f t="shared" si="673"/>
        <v>27.015257726119941</v>
      </c>
      <c r="BF191" s="1269">
        <f t="shared" si="674"/>
        <v>19.229268641758047</v>
      </c>
      <c r="BG191" s="1269">
        <f t="shared" si="675"/>
        <v>19.759180116946364</v>
      </c>
      <c r="BH191" s="1269">
        <f t="shared" si="676"/>
        <v>33.611112298153103</v>
      </c>
      <c r="BI191" s="1269">
        <f t="shared" si="677"/>
        <v>33.793132723518525</v>
      </c>
      <c r="BJ191" s="1269">
        <f t="shared" si="678"/>
        <v>26.72170967230435</v>
      </c>
      <c r="BK191" s="1273">
        <f t="shared" si="679"/>
        <v>24.743391497045803</v>
      </c>
      <c r="BL191" s="1273">
        <f t="shared" si="680"/>
        <v>26.54667369916459</v>
      </c>
      <c r="BM191" s="1273">
        <f t="shared" si="681"/>
        <v>29.659418988300118</v>
      </c>
      <c r="BN191" s="1273">
        <f t="shared" si="682"/>
        <v>31.195833333300001</v>
      </c>
      <c r="BO191" s="1273">
        <f t="shared" si="683"/>
        <v>34.049999999999997</v>
      </c>
      <c r="BP191" s="1273">
        <f t="shared" si="684"/>
        <v>35.654166666599998</v>
      </c>
      <c r="BQ191" s="1205"/>
      <c r="BR191" s="1606"/>
      <c r="BS191" s="1605"/>
      <c r="BU191" s="1186"/>
      <c r="BV191" s="1551"/>
      <c r="BW191" s="1551"/>
      <c r="BX191" s="1551"/>
    </row>
    <row r="192" spans="2:76" ht="12.75" customHeight="1">
      <c r="B192" s="1579"/>
      <c r="C192" s="1564" t="s">
        <v>484</v>
      </c>
      <c r="D192" s="1552"/>
      <c r="E192" s="1552"/>
      <c r="F192" s="1222"/>
      <c r="G192" s="2214">
        <v>37.191702127659582</v>
      </c>
      <c r="H192" s="2215">
        <v>20.846551724137928</v>
      </c>
      <c r="I192" s="2215">
        <v>25.973666666666677</v>
      </c>
      <c r="J192" s="2216">
        <v>29.371206896551723</v>
      </c>
      <c r="K192" s="2214">
        <v>16.248095238095239</v>
      </c>
      <c r="L192" s="2215">
        <v>8.8706896551724146</v>
      </c>
      <c r="M192" s="2215">
        <v>19.931132075471702</v>
      </c>
      <c r="N192" s="2216">
        <v>27.305689655172419</v>
      </c>
      <c r="O192" s="2214">
        <v>19.371833333333331</v>
      </c>
      <c r="P192" s="2215">
        <v>7.370967741935433E-2</v>
      </c>
      <c r="Q192" s="2215">
        <v>13.051400000000001</v>
      </c>
      <c r="R192" s="2215">
        <v>25.025692307692317</v>
      </c>
      <c r="S192" s="2214">
        <v>26.816410256410261</v>
      </c>
      <c r="T192" s="2215">
        <v>17.528181818181817</v>
      </c>
      <c r="U192" s="2215">
        <v>23.521739130434778</v>
      </c>
      <c r="V192" s="2216">
        <v>37.909999999999997</v>
      </c>
      <c r="W192" s="2215">
        <v>24.855277777777776</v>
      </c>
      <c r="X192" s="2215">
        <v>13.964473684210526</v>
      </c>
      <c r="Y192" s="2215">
        <v>27.640666666666668</v>
      </c>
      <c r="Z192" s="2216">
        <v>27.14555555555555</v>
      </c>
      <c r="AA192" s="2215">
        <v>15.056279069767442</v>
      </c>
      <c r="AB192" s="2215">
        <v>22.67235294117647</v>
      </c>
      <c r="AC192" s="2215">
        <v>22.541666666666668</v>
      </c>
      <c r="AD192" s="2216">
        <v>19.292727272727276</v>
      </c>
      <c r="AE192" s="2215">
        <v>14.811363636363636</v>
      </c>
      <c r="AF192" s="2215">
        <v>10.678222222222219</v>
      </c>
      <c r="AG192" s="2215">
        <v>23.4837037037037</v>
      </c>
      <c r="AH192" s="2216">
        <v>18.550377358490564</v>
      </c>
      <c r="AI192" s="2215">
        <v>17.034905660377362</v>
      </c>
      <c r="AJ192" s="2218">
        <v>3.7259375000000001</v>
      </c>
      <c r="AK192" s="2218">
        <v>23.68</v>
      </c>
      <c r="AL192" s="2217">
        <v>22.81</v>
      </c>
      <c r="AM192" s="2218">
        <v>17.439166666666669</v>
      </c>
      <c r="AN192" s="2218">
        <v>5.3999999999999995</v>
      </c>
      <c r="AO192" s="2218">
        <v>17.400000000000002</v>
      </c>
      <c r="AP192" s="2217">
        <v>20.55</v>
      </c>
      <c r="AQ192" s="2218">
        <v>24.123736367380481</v>
      </c>
      <c r="AR192" s="2218">
        <v>9.8099081391649516</v>
      </c>
      <c r="AS192" s="2218">
        <v>22.519600445252877</v>
      </c>
      <c r="AT192" s="2217">
        <v>19.730088381401686</v>
      </c>
      <c r="AU192" s="2218">
        <v>28.308843114166567</v>
      </c>
      <c r="AV192" s="2218">
        <v>11.511780192205842</v>
      </c>
      <c r="AW192" s="2218">
        <v>26.426413648774417</v>
      </c>
      <c r="AX192" s="2217">
        <v>23.152963044853177</v>
      </c>
      <c r="AY192" s="2218">
        <v>30.974011975501607</v>
      </c>
      <c r="AZ192" s="2218">
        <v>12.59557008722444</v>
      </c>
      <c r="BA192" s="2218">
        <v>28.914359005263648</v>
      </c>
      <c r="BB192" s="2264">
        <v>25.332725598410299</v>
      </c>
      <c r="BC192" s="1204"/>
      <c r="BD192" s="1204"/>
      <c r="BE192" s="1269">
        <f t="shared" si="673"/>
        <v>28.345781853753977</v>
      </c>
      <c r="BF192" s="1269">
        <f t="shared" si="674"/>
        <v>18.088901655977942</v>
      </c>
      <c r="BG192" s="1269">
        <f t="shared" si="675"/>
        <v>14.380658829611251</v>
      </c>
      <c r="BH192" s="1269">
        <f t="shared" si="676"/>
        <v>26.444082801256712</v>
      </c>
      <c r="BI192" s="1269">
        <f t="shared" si="677"/>
        <v>23.401493421052628</v>
      </c>
      <c r="BJ192" s="1269">
        <f t="shared" si="678"/>
        <v>19.890756487584465</v>
      </c>
      <c r="BK192" s="1273">
        <f t="shared" si="679"/>
        <v>16.880916730195029</v>
      </c>
      <c r="BL192" s="1273">
        <f t="shared" si="680"/>
        <v>16.812710790094339</v>
      </c>
      <c r="BM192" s="1273">
        <f t="shared" si="681"/>
        <v>15.197291666666668</v>
      </c>
      <c r="BN192" s="1273">
        <f t="shared" si="682"/>
        <v>19.045833333299999</v>
      </c>
      <c r="BO192" s="1273">
        <f t="shared" si="683"/>
        <v>22.35</v>
      </c>
      <c r="BP192" s="1273">
        <f t="shared" si="684"/>
        <v>24.454166666599995</v>
      </c>
      <c r="BQ192" s="1205"/>
      <c r="BR192" s="1606"/>
      <c r="BS192" s="1605"/>
      <c r="BU192" s="1186"/>
      <c r="BV192" s="1551"/>
      <c r="BW192" s="1551"/>
      <c r="BX192" s="1551"/>
    </row>
    <row r="193" spans="2:76" ht="12.75" customHeight="1">
      <c r="B193" s="1579"/>
      <c r="C193" s="2293" t="s">
        <v>1535</v>
      </c>
      <c r="D193" s="1552"/>
      <c r="E193" s="1552"/>
      <c r="F193" s="1563"/>
      <c r="G193" s="2199">
        <v>0</v>
      </c>
      <c r="H193" s="2200">
        <v>0</v>
      </c>
      <c r="I193" s="2200">
        <v>0</v>
      </c>
      <c r="J193" s="2201">
        <v>18.965745967741935</v>
      </c>
      <c r="K193" s="2199">
        <v>21.679500452898552</v>
      </c>
      <c r="L193" s="2200">
        <v>15.42058035714286</v>
      </c>
      <c r="M193" s="2200">
        <v>30.891255661231888</v>
      </c>
      <c r="N193" s="2201">
        <v>16.763071376811602</v>
      </c>
      <c r="O193" s="2199">
        <v>13.916985188724318</v>
      </c>
      <c r="P193" s="2200">
        <v>13.258952609890109</v>
      </c>
      <c r="Q193" s="2200">
        <v>19.372339221014496</v>
      </c>
      <c r="R193" s="2200">
        <v>20.709261096014483</v>
      </c>
      <c r="S193" s="2199">
        <v>20.440848782206118</v>
      </c>
      <c r="T193" s="2203">
        <v>23.552954441391933</v>
      </c>
      <c r="U193" s="2203">
        <v>25.64189198369565</v>
      </c>
      <c r="V193" s="2202">
        <v>26.4882361865942</v>
      </c>
      <c r="W193" s="2203">
        <v>32.272174315619957</v>
      </c>
      <c r="X193" s="2203">
        <v>31.134892399267407</v>
      </c>
      <c r="Y193" s="2203">
        <v>28.14129528985508</v>
      </c>
      <c r="Z193" s="2202">
        <v>25.026826811594209</v>
      </c>
      <c r="AA193" s="2203">
        <v>22.267231833735906</v>
      </c>
      <c r="AB193" s="2203">
        <v>19.322938415750922</v>
      </c>
      <c r="AC193" s="2203">
        <v>19.883229166666666</v>
      </c>
      <c r="AD193" s="2202">
        <v>14.538071105072467</v>
      </c>
      <c r="AE193" s="2203">
        <v>13.415166079391629</v>
      </c>
      <c r="AF193" s="2203">
        <v>13.686976877289379</v>
      </c>
      <c r="AG193" s="2203">
        <v>20.563768115942029</v>
      </c>
      <c r="AH193" s="2202">
        <v>17.754754528985508</v>
      </c>
      <c r="AI193" s="2203">
        <v>15.114614834943641</v>
      </c>
      <c r="AJ193" s="2203">
        <v>18.580832188644688</v>
      </c>
      <c r="AK193" s="2203">
        <v>21.66212522644927</v>
      </c>
      <c r="AL193" s="2202">
        <v>17.263756521739129</v>
      </c>
      <c r="AM193" s="2203">
        <v>17.088877969001611</v>
      </c>
      <c r="AN193" s="2203">
        <v>18.510540000000002</v>
      </c>
      <c r="AO193" s="2203">
        <v>27.807523333333336</v>
      </c>
      <c r="AP193" s="2202">
        <v>17.338083333333334</v>
      </c>
      <c r="AQ193" s="2203">
        <v>16.957303958202534</v>
      </c>
      <c r="AR193" s="2203">
        <v>14.649290816252094</v>
      </c>
      <c r="AS193" s="2203">
        <v>20.911155316984395</v>
      </c>
      <c r="AT193" s="2202">
        <v>16.626713241760964</v>
      </c>
      <c r="AU193" s="2203">
        <v>16.447007807315547</v>
      </c>
      <c r="AV193" s="2203">
        <v>14.208449705236832</v>
      </c>
      <c r="AW193" s="2203">
        <v>20.281875916487753</v>
      </c>
      <c r="AX193" s="2202">
        <v>16.126365557359861</v>
      </c>
      <c r="AY193" s="2203">
        <v>15.71573988720429</v>
      </c>
      <c r="AZ193" s="2203">
        <v>13.576712699595451</v>
      </c>
      <c r="BA193" s="2203">
        <v>19.380101843588751</v>
      </c>
      <c r="BB193" s="2262">
        <v>15.409354053611498</v>
      </c>
      <c r="BC193" s="1204"/>
      <c r="BD193" s="1204"/>
      <c r="BE193" s="1269"/>
      <c r="BF193" s="1269"/>
      <c r="BG193" s="1269"/>
      <c r="BH193" s="1269"/>
      <c r="BI193" s="1269"/>
      <c r="BJ193" s="1269"/>
      <c r="BK193" s="1269"/>
      <c r="BL193" s="1269"/>
      <c r="BM193" s="1269"/>
      <c r="BN193" s="1269"/>
      <c r="BO193" s="1269"/>
      <c r="BP193" s="1269"/>
      <c r="BQ193" s="1205"/>
      <c r="BR193" s="1206"/>
      <c r="BU193" s="1186"/>
      <c r="BV193" s="1551"/>
      <c r="BW193" s="1551"/>
      <c r="BX193" s="1551"/>
    </row>
    <row r="194" spans="2:76" ht="12.75" customHeight="1">
      <c r="B194" s="1579"/>
      <c r="C194" s="1252" t="s">
        <v>295</v>
      </c>
      <c r="D194" s="1603"/>
      <c r="E194" s="1603"/>
      <c r="F194" s="1602"/>
      <c r="G194" s="2205"/>
      <c r="H194" s="2206"/>
      <c r="I194" s="2206"/>
      <c r="J194" s="2207"/>
      <c r="K194" s="2205"/>
      <c r="L194" s="2206"/>
      <c r="M194" s="2206"/>
      <c r="N194" s="2207"/>
      <c r="O194" s="2205"/>
      <c r="P194" s="2206"/>
      <c r="Q194" s="2206"/>
      <c r="R194" s="2206"/>
      <c r="S194" s="2213"/>
      <c r="T194" s="2208"/>
      <c r="U194" s="2208"/>
      <c r="V194" s="2210"/>
      <c r="W194" s="2208"/>
      <c r="X194" s="2208"/>
      <c r="Y194" s="2208"/>
      <c r="Z194" s="2210"/>
      <c r="AA194" s="2208"/>
      <c r="AB194" s="2211"/>
      <c r="AC194" s="2211"/>
      <c r="AD194" s="2212"/>
      <c r="AE194" s="2208"/>
      <c r="AF194" s="2211"/>
      <c r="AG194" s="2211"/>
      <c r="AH194" s="2212"/>
      <c r="AI194" s="2208"/>
      <c r="AJ194" s="2211"/>
      <c r="AK194" s="2211"/>
      <c r="AL194" s="2212"/>
      <c r="AM194" s="2211"/>
      <c r="AN194" s="2211"/>
      <c r="AO194" s="2211"/>
      <c r="AP194" s="2212"/>
      <c r="AQ194" s="2211"/>
      <c r="AR194" s="2211"/>
      <c r="AS194" s="2211"/>
      <c r="AT194" s="2212"/>
      <c r="AU194" s="2211"/>
      <c r="AV194" s="2211"/>
      <c r="AW194" s="2211"/>
      <c r="AX194" s="2212"/>
      <c r="AY194" s="2211"/>
      <c r="AZ194" s="2211"/>
      <c r="BA194" s="2211"/>
      <c r="BB194" s="2263"/>
      <c r="BC194" s="1204"/>
      <c r="BD194" s="1204"/>
      <c r="BE194" s="1607"/>
      <c r="BF194" s="1607"/>
      <c r="BG194" s="1607"/>
      <c r="BH194" s="1607"/>
      <c r="BI194" s="1607"/>
      <c r="BJ194" s="1607"/>
      <c r="BK194" s="1607"/>
      <c r="BL194" s="1607"/>
      <c r="BM194" s="1607"/>
      <c r="BN194" s="1607"/>
      <c r="BO194" s="1607"/>
      <c r="BP194" s="1607"/>
      <c r="BQ194" s="1205"/>
      <c r="BR194" s="1226"/>
      <c r="BU194" s="1186"/>
      <c r="BV194" s="1551"/>
      <c r="BW194" s="1551"/>
      <c r="BX194" s="1551"/>
    </row>
    <row r="195" spans="2:76" ht="12.75" customHeight="1">
      <c r="B195" s="1579"/>
      <c r="C195" s="1256" t="s">
        <v>460</v>
      </c>
      <c r="D195" s="1552"/>
      <c r="E195" s="1552"/>
      <c r="F195" s="1563"/>
      <c r="G195" s="2199"/>
      <c r="H195" s="2200"/>
      <c r="I195" s="2200"/>
      <c r="J195" s="2201"/>
      <c r="K195" s="2199"/>
      <c r="L195" s="2200"/>
      <c r="M195" s="2200"/>
      <c r="N195" s="2201"/>
      <c r="O195" s="2199"/>
      <c r="P195" s="2200"/>
      <c r="Q195" s="2200"/>
      <c r="R195" s="2200"/>
      <c r="S195" s="2199"/>
      <c r="T195" s="2203"/>
      <c r="U195" s="2203"/>
      <c r="V195" s="2202"/>
      <c r="W195" s="2203"/>
      <c r="X195" s="2203"/>
      <c r="Y195" s="2203"/>
      <c r="Z195" s="2202"/>
      <c r="AA195" s="2203"/>
      <c r="AB195" s="2203"/>
      <c r="AC195" s="2203"/>
      <c r="AD195" s="2202"/>
      <c r="AE195" s="2203"/>
      <c r="AF195" s="2203"/>
      <c r="AG195" s="2203"/>
      <c r="AH195" s="2202"/>
      <c r="AI195" s="2203"/>
      <c r="AJ195" s="2203"/>
      <c r="AK195" s="2203"/>
      <c r="AL195" s="2202"/>
      <c r="AM195" s="2203"/>
      <c r="AN195" s="2203"/>
      <c r="AO195" s="2203"/>
      <c r="AP195" s="2202"/>
      <c r="AQ195" s="2203"/>
      <c r="AR195" s="2203"/>
      <c r="AS195" s="2203"/>
      <c r="AT195" s="2202"/>
      <c r="AU195" s="2203"/>
      <c r="AV195" s="2203"/>
      <c r="AW195" s="2203"/>
      <c r="AX195" s="2202"/>
      <c r="AY195" s="2203"/>
      <c r="AZ195" s="2203"/>
      <c r="BA195" s="2203"/>
      <c r="BB195" s="2262"/>
      <c r="BC195" s="1204"/>
      <c r="BD195" s="1204"/>
      <c r="BE195" s="1269"/>
      <c r="BF195" s="1269"/>
      <c r="BG195" s="1269"/>
      <c r="BH195" s="1273"/>
      <c r="BI195" s="1273"/>
      <c r="BJ195" s="1273"/>
      <c r="BK195" s="1273"/>
      <c r="BL195" s="1273"/>
      <c r="BM195" s="1273"/>
      <c r="BN195" s="1273"/>
      <c r="BO195" s="1273"/>
      <c r="BP195" s="1273"/>
      <c r="BQ195" s="1205"/>
      <c r="BR195" s="1226"/>
      <c r="BU195" s="1186"/>
      <c r="BV195" s="1551"/>
      <c r="BW195" s="1551"/>
      <c r="BX195" s="1551"/>
    </row>
    <row r="196" spans="2:76" ht="12.75" customHeight="1">
      <c r="B196" s="1579"/>
      <c r="C196" s="1564" t="s">
        <v>719</v>
      </c>
      <c r="D196" s="1552"/>
      <c r="E196" s="1552"/>
      <c r="F196" s="1563"/>
      <c r="G196" s="2199">
        <v>0.92945833333333372</v>
      </c>
      <c r="H196" s="2200">
        <v>0.36958730158730102</v>
      </c>
      <c r="I196" s="2200">
        <v>0.37103124999999881</v>
      </c>
      <c r="J196" s="2201">
        <v>2.0107384615384656</v>
      </c>
      <c r="K196" s="2199">
        <v>2.7836406250000012</v>
      </c>
      <c r="L196" s="2200">
        <v>0.38664062500000007</v>
      </c>
      <c r="M196" s="2200">
        <v>0.58382812500000192</v>
      </c>
      <c r="N196" s="2201">
        <v>0.35206349206349286</v>
      </c>
      <c r="O196" s="2199">
        <v>0.80777777777777793</v>
      </c>
      <c r="P196" s="2200">
        <v>0.20609523809523767</v>
      </c>
      <c r="Q196" s="2200">
        <v>0.18090476190476101</v>
      </c>
      <c r="R196" s="2200">
        <v>0.52926562499999807</v>
      </c>
      <c r="S196" s="2199">
        <v>4.3436166666666658</v>
      </c>
      <c r="T196" s="2200">
        <v>0.30776562499999827</v>
      </c>
      <c r="U196" s="2200">
        <v>0.20923437499999897</v>
      </c>
      <c r="V196" s="2201">
        <v>0.48042187499999889</v>
      </c>
      <c r="W196" s="2199">
        <v>11.865918032786885</v>
      </c>
      <c r="X196" s="2200">
        <v>-0.87728124999999935</v>
      </c>
      <c r="Y196" s="2200">
        <v>-1.3732187500000017</v>
      </c>
      <c r="Z196" s="2201">
        <v>-0.57965624999999754</v>
      </c>
      <c r="AA196" s="2199">
        <v>6.0189193548387117</v>
      </c>
      <c r="AB196" s="2200">
        <v>-0.25368253968253818</v>
      </c>
      <c r="AC196" s="2200">
        <v>-0.4931562499999993</v>
      </c>
      <c r="AD196" s="2201">
        <v>-0.2235238095238099</v>
      </c>
      <c r="AE196" s="2199">
        <v>0.49621311475409802</v>
      </c>
      <c r="AF196" s="2200">
        <v>-0.43893749999999998</v>
      </c>
      <c r="AG196" s="2200">
        <v>-0.95798437499999922</v>
      </c>
      <c r="AH196" s="2201">
        <v>-0.3514999999999997</v>
      </c>
      <c r="AI196" s="2199">
        <v>0.30054838709677556</v>
      </c>
      <c r="AJ196" s="2203">
        <v>-0.38845312499999896</v>
      </c>
      <c r="AK196" s="2203">
        <v>-0.54298412698412557</v>
      </c>
      <c r="AL196" s="2202">
        <v>0.63106451612903358</v>
      </c>
      <c r="AM196" s="2203">
        <v>4.698950819672131</v>
      </c>
      <c r="AN196" s="2203">
        <v>-0.19166666666666643</v>
      </c>
      <c r="AO196" s="2203">
        <v>-0.30999999999999961</v>
      </c>
      <c r="AP196" s="2202">
        <v>0.25666666666666638</v>
      </c>
      <c r="AQ196" s="2203">
        <v>1.637734667576852</v>
      </c>
      <c r="AR196" s="2203">
        <v>-0.69677150590554215</v>
      </c>
      <c r="AS196" s="2203">
        <v>-0.82532002718121711</v>
      </c>
      <c r="AT196" s="2202">
        <v>1.5445568651099078</v>
      </c>
      <c r="AU196" s="2203">
        <v>1.6691288195742207</v>
      </c>
      <c r="AV196" s="2203">
        <v>-0.704374459769459</v>
      </c>
      <c r="AW196" s="2203">
        <v>-0.83498911122825525</v>
      </c>
      <c r="AX196" s="2202">
        <v>1.5745847514234943</v>
      </c>
      <c r="AY196" s="2203">
        <v>1.7632770950378909</v>
      </c>
      <c r="AZ196" s="2203">
        <v>-0.69298925565485447</v>
      </c>
      <c r="BA196" s="2203">
        <v>-0.82743500086795607</v>
      </c>
      <c r="BB196" s="2262">
        <v>1.6671304946849221</v>
      </c>
      <c r="BC196" s="1204"/>
      <c r="BD196" s="1204"/>
      <c r="BE196" s="1269">
        <f t="shared" ref="BE196:BE211" si="685">AVERAGE(G196:J196)</f>
        <v>0.92020383661477478</v>
      </c>
      <c r="BF196" s="1269">
        <f t="shared" ref="BF196:BF211" si="686">AVERAGE(K196:N196)</f>
        <v>1.0265432167658739</v>
      </c>
      <c r="BG196" s="1269">
        <f t="shared" ref="BG196:BG211" si="687">AVERAGE(O196:R196)</f>
        <v>0.43101085069444367</v>
      </c>
      <c r="BH196" s="1273">
        <f t="shared" ref="BH196:BH211" si="688">AVERAGE(S196:V196)</f>
        <v>1.3352596354166657</v>
      </c>
      <c r="BI196" s="1273">
        <f t="shared" ref="BI196:BI211" si="689">AVERAGE(W196:Z196)</f>
        <v>2.2589404456967217</v>
      </c>
      <c r="BJ196" s="1273">
        <f t="shared" ref="BJ196:BJ211" si="690">AVERAGE(AA196:AD196)</f>
        <v>1.2621391889080911</v>
      </c>
      <c r="BK196" s="1273">
        <f t="shared" ref="BK196:BK211" si="691">AVERAGE(AE196:AH196)</f>
        <v>-0.31305219006147522</v>
      </c>
      <c r="BL196" s="1273">
        <f t="shared" ref="BL196:BL211" si="692">AVERAGE(AI196:AL196)</f>
        <v>4.3912810421153914E-5</v>
      </c>
      <c r="BM196" s="1273">
        <f t="shared" ref="BM196:BM211" si="693">AVERAGE(AM196:AP196)</f>
        <v>1.113487704918033</v>
      </c>
      <c r="BN196" s="1273">
        <f t="shared" ref="BN196:BN211" si="694">AVERAGE(AQ196:AT196)</f>
        <v>0.41504999990000013</v>
      </c>
      <c r="BO196" s="1273">
        <f t="shared" ref="BO196:BO211" si="695">AVERAGE(AU196:AX196)</f>
        <v>0.42608750000000017</v>
      </c>
      <c r="BP196" s="1273">
        <f t="shared" ref="BP196:BP211" si="696">AVERAGE(AY196:BB196)</f>
        <v>0.47749583330000062</v>
      </c>
      <c r="BQ196" s="1205"/>
      <c r="BR196" s="1606"/>
      <c r="BS196" s="1605"/>
      <c r="BU196" s="1186"/>
      <c r="BV196" s="1551"/>
      <c r="BW196" s="1551"/>
      <c r="BX196" s="1551"/>
    </row>
    <row r="197" spans="2:76" ht="12.75" customHeight="1">
      <c r="B197" s="1579"/>
      <c r="C197" s="1564" t="s">
        <v>461</v>
      </c>
      <c r="D197" s="1552"/>
      <c r="E197" s="1552"/>
      <c r="F197" s="1563"/>
      <c r="G197" s="2199">
        <v>0.61162500000000009</v>
      </c>
      <c r="H197" s="2200">
        <v>0.34730158730158944</v>
      </c>
      <c r="I197" s="2200">
        <v>0.35659375000000004</v>
      </c>
      <c r="J197" s="2201">
        <v>1.4691538461538483</v>
      </c>
      <c r="K197" s="2199">
        <v>1.7646250000000014</v>
      </c>
      <c r="L197" s="2200">
        <v>0.28798437500000063</v>
      </c>
      <c r="M197" s="2200">
        <v>0.25414062500000068</v>
      </c>
      <c r="N197" s="2201">
        <v>0.24365079365079412</v>
      </c>
      <c r="O197" s="2199">
        <v>0.31452380952380965</v>
      </c>
      <c r="P197" s="2200">
        <v>0.1599206349206348</v>
      </c>
      <c r="Q197" s="2200">
        <v>0.16882539682539655</v>
      </c>
      <c r="R197" s="2200">
        <v>0.26892187499999887</v>
      </c>
      <c r="S197" s="2199">
        <v>0.819599999999999</v>
      </c>
      <c r="T197" s="2200">
        <v>0.11882812499999851</v>
      </c>
      <c r="U197" s="2200">
        <v>-1.3265625000001169E-2</v>
      </c>
      <c r="V197" s="2201">
        <v>0.14118750000000091</v>
      </c>
      <c r="W197" s="2199">
        <v>7.5181639344262283</v>
      </c>
      <c r="X197" s="2200">
        <v>-0.89420312500000065</v>
      </c>
      <c r="Y197" s="2200">
        <v>-1.4395156250000012</v>
      </c>
      <c r="Z197" s="2201">
        <v>-1.017578125</v>
      </c>
      <c r="AA197" s="2199">
        <v>3.554258064516127</v>
      </c>
      <c r="AB197" s="2200">
        <v>-1.1179206349206339</v>
      </c>
      <c r="AC197" s="2200">
        <v>-1.3916093749999998</v>
      </c>
      <c r="AD197" s="2201">
        <v>-0.84366666666666723</v>
      </c>
      <c r="AE197" s="2199">
        <v>-0.15401639344262286</v>
      </c>
      <c r="AF197" s="2200">
        <v>-0.55339062499999958</v>
      </c>
      <c r="AG197" s="2200">
        <v>-1.5273593749999999</v>
      </c>
      <c r="AH197" s="2201">
        <v>-0.79788709677419334</v>
      </c>
      <c r="AI197" s="2199">
        <v>-1.6838709677418517E-2</v>
      </c>
      <c r="AJ197" s="2203">
        <v>-0.56160937500000019</v>
      </c>
      <c r="AK197" s="2203">
        <v>-1.2109841269841268</v>
      </c>
      <c r="AL197" s="2202">
        <v>-0.13975806451612982</v>
      </c>
      <c r="AM197" s="2203">
        <v>3.4441967213114757</v>
      </c>
      <c r="AN197" s="2203">
        <v>-0.46333333333333293</v>
      </c>
      <c r="AO197" s="2203">
        <v>-0.59499999999999975</v>
      </c>
      <c r="AP197" s="2202">
        <v>-0.21666666666666679</v>
      </c>
      <c r="AQ197" s="2203">
        <v>0.74457975965344758</v>
      </c>
      <c r="AR197" s="2203">
        <v>-0.76430483819771866</v>
      </c>
      <c r="AS197" s="2203">
        <v>-0.78296558457066712</v>
      </c>
      <c r="AT197" s="2202">
        <v>0.8235214539149398</v>
      </c>
      <c r="AU197" s="2203">
        <v>0.64485745238273218</v>
      </c>
      <c r="AV197" s="2203">
        <v>-0.82982612063011629</v>
      </c>
      <c r="AW197" s="2203">
        <v>-0.84922019602346377</v>
      </c>
      <c r="AX197" s="2202">
        <v>0.71921711267084909</v>
      </c>
      <c r="AY197" s="2203">
        <v>0.64402689825038939</v>
      </c>
      <c r="AZ197" s="2203">
        <v>-0.85250267876937125</v>
      </c>
      <c r="BA197" s="2203">
        <v>-0.87232898455971686</v>
      </c>
      <c r="BB197" s="2262">
        <v>0.71913809827870034</v>
      </c>
      <c r="BC197" s="1204"/>
      <c r="BD197" s="1204"/>
      <c r="BE197" s="1269">
        <f t="shared" si="685"/>
        <v>0.69616854586385946</v>
      </c>
      <c r="BF197" s="1269">
        <f t="shared" si="686"/>
        <v>0.63760019841269922</v>
      </c>
      <c r="BG197" s="1269">
        <f t="shared" si="687"/>
        <v>0.22804792906745996</v>
      </c>
      <c r="BH197" s="1273">
        <f t="shared" si="688"/>
        <v>0.26658749999999931</v>
      </c>
      <c r="BI197" s="1273">
        <f t="shared" si="689"/>
        <v>1.0417167648565566</v>
      </c>
      <c r="BJ197" s="1273">
        <f t="shared" si="690"/>
        <v>5.0265346982206582E-2</v>
      </c>
      <c r="BK197" s="1273">
        <f t="shared" si="691"/>
        <v>-0.75816337255420385</v>
      </c>
      <c r="BL197" s="1273">
        <f t="shared" si="692"/>
        <v>-0.48229756904441884</v>
      </c>
      <c r="BM197" s="1273">
        <f t="shared" si="693"/>
        <v>0.54229918032786906</v>
      </c>
      <c r="BN197" s="1273">
        <f t="shared" si="694"/>
        <v>5.2076977000004021E-3</v>
      </c>
      <c r="BO197" s="1273">
        <f t="shared" si="695"/>
        <v>-7.8742937899999699E-2</v>
      </c>
      <c r="BP197" s="1273">
        <f t="shared" si="696"/>
        <v>-9.0416666699999593E-2</v>
      </c>
      <c r="BQ197" s="1205"/>
      <c r="BR197" s="1206"/>
      <c r="BU197" s="1186"/>
      <c r="BV197" s="1551"/>
      <c r="BW197" s="1551"/>
      <c r="BX197" s="1551"/>
    </row>
    <row r="198" spans="2:76" ht="12.75" customHeight="1">
      <c r="B198" s="1579"/>
      <c r="C198" s="1564" t="s">
        <v>378</v>
      </c>
      <c r="D198" s="1552"/>
      <c r="E198" s="1552"/>
      <c r="F198" s="1563"/>
      <c r="G198" s="2199">
        <v>0.92945833333333372</v>
      </c>
      <c r="H198" s="2200">
        <v>0.36958730158730102</v>
      </c>
      <c r="I198" s="2200">
        <v>0.37103124999999881</v>
      </c>
      <c r="J198" s="2201">
        <v>2.0107384615384656</v>
      </c>
      <c r="K198" s="2199">
        <v>2.7836406250000012</v>
      </c>
      <c r="L198" s="2200">
        <v>0.38664062500000007</v>
      </c>
      <c r="M198" s="2200">
        <v>0.58382812500000192</v>
      </c>
      <c r="N198" s="2201">
        <v>0.35206349206349286</v>
      </c>
      <c r="O198" s="2199">
        <v>0.80777777777777793</v>
      </c>
      <c r="P198" s="2200">
        <v>0.20609523809523767</v>
      </c>
      <c r="Q198" s="2200">
        <v>0.18090476190476101</v>
      </c>
      <c r="R198" s="2200">
        <v>0.52926562499999807</v>
      </c>
      <c r="S198" s="2199">
        <v>4.3436166666666658</v>
      </c>
      <c r="T198" s="2200">
        <v>0.30776562499999827</v>
      </c>
      <c r="U198" s="2200">
        <v>0.20923437499999897</v>
      </c>
      <c r="V198" s="2201">
        <v>0.48042187499999889</v>
      </c>
      <c r="W198" s="2199">
        <v>11.865918032786885</v>
      </c>
      <c r="X198" s="2200">
        <v>-0.87728124999999935</v>
      </c>
      <c r="Y198" s="2200">
        <v>-1.3732187500000017</v>
      </c>
      <c r="Z198" s="2201">
        <v>-0.57965624999999754</v>
      </c>
      <c r="AA198" s="2199">
        <v>6.0189193548387117</v>
      </c>
      <c r="AB198" s="2200">
        <v>-0.25368253968253818</v>
      </c>
      <c r="AC198" s="2200">
        <v>-0.4931562499999993</v>
      </c>
      <c r="AD198" s="2201">
        <v>-0.2235238095238099</v>
      </c>
      <c r="AE198" s="2199">
        <v>0.49621311475409802</v>
      </c>
      <c r="AF198" s="2200">
        <v>-0.43893749999999998</v>
      </c>
      <c r="AG198" s="2200">
        <v>-0.95798437499999922</v>
      </c>
      <c r="AH198" s="2201">
        <v>-0.3514999999999997</v>
      </c>
      <c r="AI198" s="2199">
        <v>0.30054838709677556</v>
      </c>
      <c r="AJ198" s="2203">
        <v>-0.38845312499999896</v>
      </c>
      <c r="AK198" s="2203">
        <v>-0.54298412698412557</v>
      </c>
      <c r="AL198" s="2202">
        <v>0.63106451612903358</v>
      </c>
      <c r="AM198" s="2203">
        <v>4.698950819672131</v>
      </c>
      <c r="AN198" s="2203">
        <v>-0.19166666666666643</v>
      </c>
      <c r="AO198" s="2203">
        <v>-0.30999999999999961</v>
      </c>
      <c r="AP198" s="2202">
        <v>0.25666666666666638</v>
      </c>
      <c r="AQ198" s="2203">
        <v>1.637734667576852</v>
      </c>
      <c r="AR198" s="2203">
        <v>-0.69677150590554215</v>
      </c>
      <c r="AS198" s="2203">
        <v>-0.82532002718121711</v>
      </c>
      <c r="AT198" s="2202">
        <v>1.5445568651099078</v>
      </c>
      <c r="AU198" s="2203">
        <v>1.6691288195742207</v>
      </c>
      <c r="AV198" s="2203">
        <v>-0.704374459769459</v>
      </c>
      <c r="AW198" s="2203">
        <v>-0.83498911122825525</v>
      </c>
      <c r="AX198" s="2202">
        <v>1.5745847514234943</v>
      </c>
      <c r="AY198" s="2203">
        <v>1.7632770950378909</v>
      </c>
      <c r="AZ198" s="2203">
        <v>-0.69298925565485447</v>
      </c>
      <c r="BA198" s="2203">
        <v>-0.82743500086795607</v>
      </c>
      <c r="BB198" s="2262">
        <v>1.6671304946849221</v>
      </c>
      <c r="BC198" s="1204"/>
      <c r="BD198" s="1204"/>
      <c r="BE198" s="1269">
        <f t="shared" si="685"/>
        <v>0.92020383661477478</v>
      </c>
      <c r="BF198" s="1269">
        <f t="shared" si="686"/>
        <v>1.0265432167658739</v>
      </c>
      <c r="BG198" s="1269">
        <f t="shared" si="687"/>
        <v>0.43101085069444367</v>
      </c>
      <c r="BH198" s="1273">
        <f t="shared" si="688"/>
        <v>1.3352596354166657</v>
      </c>
      <c r="BI198" s="1273">
        <f t="shared" si="689"/>
        <v>2.2589404456967217</v>
      </c>
      <c r="BJ198" s="1273">
        <f t="shared" si="690"/>
        <v>1.2621391889080911</v>
      </c>
      <c r="BK198" s="1273">
        <f t="shared" si="691"/>
        <v>-0.31305219006147522</v>
      </c>
      <c r="BL198" s="1273">
        <f t="shared" si="692"/>
        <v>4.3912810421153914E-5</v>
      </c>
      <c r="BM198" s="1273">
        <f t="shared" si="693"/>
        <v>1.113487704918033</v>
      </c>
      <c r="BN198" s="1273">
        <f t="shared" si="694"/>
        <v>0.41504999990000013</v>
      </c>
      <c r="BO198" s="1273">
        <f t="shared" si="695"/>
        <v>0.42608750000000017</v>
      </c>
      <c r="BP198" s="1273">
        <f t="shared" si="696"/>
        <v>0.47749583330000062</v>
      </c>
      <c r="BQ198" s="1205"/>
      <c r="BR198" s="1206"/>
      <c r="BU198" s="1186"/>
      <c r="BV198" s="1551"/>
      <c r="BW198" s="1551"/>
      <c r="BX198" s="1551"/>
    </row>
    <row r="199" spans="2:76" ht="12.75" customHeight="1">
      <c r="B199" s="1579"/>
      <c r="C199" s="1564" t="s">
        <v>379</v>
      </c>
      <c r="D199" s="1552"/>
      <c r="E199" s="1552"/>
      <c r="F199" s="1563"/>
      <c r="G199" s="2199">
        <v>0.92945833333333372</v>
      </c>
      <c r="H199" s="2200">
        <v>0.36958730158730102</v>
      </c>
      <c r="I199" s="2200">
        <v>0.37103124999999881</v>
      </c>
      <c r="J199" s="2201">
        <v>2.0107384615384656</v>
      </c>
      <c r="K199" s="2199">
        <v>2.7836406250000012</v>
      </c>
      <c r="L199" s="2200">
        <v>0.38664062500000007</v>
      </c>
      <c r="M199" s="2200">
        <v>0.58382812500000192</v>
      </c>
      <c r="N199" s="2201">
        <v>0.35206349206349286</v>
      </c>
      <c r="O199" s="2199">
        <v>0.80777777777777793</v>
      </c>
      <c r="P199" s="2200">
        <v>0.20609523809523767</v>
      </c>
      <c r="Q199" s="2200">
        <v>0.18090476190476101</v>
      </c>
      <c r="R199" s="2200">
        <v>0.52926562499999807</v>
      </c>
      <c r="S199" s="2199">
        <v>4.3436166666666658</v>
      </c>
      <c r="T199" s="2200">
        <v>0.30776562499999827</v>
      </c>
      <c r="U199" s="2200">
        <v>0.20923437499999897</v>
      </c>
      <c r="V199" s="2201">
        <v>0.48042187499999889</v>
      </c>
      <c r="W199" s="2199">
        <v>11.865918032786885</v>
      </c>
      <c r="X199" s="2200">
        <v>-0.87728124999999935</v>
      </c>
      <c r="Y199" s="2200">
        <v>-1.3732187500000017</v>
      </c>
      <c r="Z199" s="2201">
        <v>-0.57965624999999754</v>
      </c>
      <c r="AA199" s="2199">
        <v>6.0189193548387117</v>
      </c>
      <c r="AB199" s="2200">
        <v>-0.25368253968253818</v>
      </c>
      <c r="AC199" s="2200">
        <v>-0.4931562499999993</v>
      </c>
      <c r="AD199" s="2201">
        <v>-0.2235238095238099</v>
      </c>
      <c r="AE199" s="2199">
        <v>0.49621311475409802</v>
      </c>
      <c r="AF199" s="2200">
        <v>-0.43893749999999998</v>
      </c>
      <c r="AG199" s="2200">
        <v>-0.95798437499999922</v>
      </c>
      <c r="AH199" s="2201">
        <v>-0.3514999999999997</v>
      </c>
      <c r="AI199" s="2199">
        <v>0.30054838709677556</v>
      </c>
      <c r="AJ199" s="2203">
        <v>-0.38845312499999896</v>
      </c>
      <c r="AK199" s="2203">
        <v>-0.54298412698412557</v>
      </c>
      <c r="AL199" s="2202">
        <v>0.63106451612903358</v>
      </c>
      <c r="AM199" s="2203">
        <v>4.698950819672131</v>
      </c>
      <c r="AN199" s="2203">
        <v>-0.19166666666666643</v>
      </c>
      <c r="AO199" s="2203">
        <v>-0.30999999999999961</v>
      </c>
      <c r="AP199" s="2202">
        <v>0.25666666666666638</v>
      </c>
      <c r="AQ199" s="2203">
        <v>1.637734667576852</v>
      </c>
      <c r="AR199" s="2203">
        <v>-0.69677150590554215</v>
      </c>
      <c r="AS199" s="2203">
        <v>-0.82532002718121711</v>
      </c>
      <c r="AT199" s="2202">
        <v>1.5445568651099078</v>
      </c>
      <c r="AU199" s="2203">
        <v>1.6691288195742207</v>
      </c>
      <c r="AV199" s="2203">
        <v>-0.704374459769459</v>
      </c>
      <c r="AW199" s="2203">
        <v>-0.83498911122825525</v>
      </c>
      <c r="AX199" s="2202">
        <v>1.5745847514234943</v>
      </c>
      <c r="AY199" s="2203">
        <v>1.7632770950378909</v>
      </c>
      <c r="AZ199" s="2203">
        <v>-0.69298925565485447</v>
      </c>
      <c r="BA199" s="2203">
        <v>-0.82743500086795607</v>
      </c>
      <c r="BB199" s="2262">
        <v>1.6671304946849221</v>
      </c>
      <c r="BC199" s="1204"/>
      <c r="BD199" s="1204"/>
      <c r="BE199" s="1269">
        <f t="shared" si="685"/>
        <v>0.92020383661477478</v>
      </c>
      <c r="BF199" s="1269">
        <f t="shared" si="686"/>
        <v>1.0265432167658739</v>
      </c>
      <c r="BG199" s="1269">
        <f t="shared" si="687"/>
        <v>0.43101085069444367</v>
      </c>
      <c r="BH199" s="1273">
        <f t="shared" si="688"/>
        <v>1.3352596354166657</v>
      </c>
      <c r="BI199" s="1273">
        <f t="shared" si="689"/>
        <v>2.2589404456967217</v>
      </c>
      <c r="BJ199" s="1273">
        <f t="shared" si="690"/>
        <v>1.2621391889080911</v>
      </c>
      <c r="BK199" s="1273">
        <f t="shared" si="691"/>
        <v>-0.31305219006147522</v>
      </c>
      <c r="BL199" s="1273">
        <f t="shared" si="692"/>
        <v>4.3912810421153914E-5</v>
      </c>
      <c r="BM199" s="1273">
        <f t="shared" si="693"/>
        <v>1.113487704918033</v>
      </c>
      <c r="BN199" s="1273">
        <f t="shared" si="694"/>
        <v>0.41504999990000013</v>
      </c>
      <c r="BO199" s="1273">
        <f t="shared" si="695"/>
        <v>0.42608750000000017</v>
      </c>
      <c r="BP199" s="1273">
        <f t="shared" si="696"/>
        <v>0.47749583330000062</v>
      </c>
      <c r="BQ199" s="1205"/>
      <c r="BR199" s="1206"/>
      <c r="BU199" s="1186"/>
      <c r="BV199" s="1551"/>
      <c r="BW199" s="1551"/>
      <c r="BX199" s="1551"/>
    </row>
    <row r="200" spans="2:76" ht="12.75" customHeight="1">
      <c r="B200" s="1579"/>
      <c r="C200" s="1254" t="s">
        <v>462</v>
      </c>
      <c r="D200" s="1233"/>
      <c r="E200" s="1233"/>
      <c r="F200" s="1349"/>
      <c r="G200" s="2199">
        <v>0.61162500000000009</v>
      </c>
      <c r="H200" s="2200">
        <v>0.34730158730158944</v>
      </c>
      <c r="I200" s="2200">
        <v>0.35659375000000004</v>
      </c>
      <c r="J200" s="2201">
        <v>1.4691538461538483</v>
      </c>
      <c r="K200" s="2199">
        <v>1.7646250000000014</v>
      </c>
      <c r="L200" s="2200">
        <v>0.28798437500000063</v>
      </c>
      <c r="M200" s="2200">
        <v>0.25414062500000068</v>
      </c>
      <c r="N200" s="2201">
        <v>0.24365079365079412</v>
      </c>
      <c r="O200" s="2199">
        <v>0.31452380952380965</v>
      </c>
      <c r="P200" s="2200">
        <v>0.1599206349206348</v>
      </c>
      <c r="Q200" s="2200">
        <v>0.16882539682539655</v>
      </c>
      <c r="R200" s="2200">
        <v>0.26892187499999887</v>
      </c>
      <c r="S200" s="2199">
        <v>0.819599999999999</v>
      </c>
      <c r="T200" s="2200">
        <v>0.11882812499999851</v>
      </c>
      <c r="U200" s="2200">
        <v>-1.3265625000001169E-2</v>
      </c>
      <c r="V200" s="2201">
        <v>0.14118750000000091</v>
      </c>
      <c r="W200" s="2199">
        <v>7.5181639344262283</v>
      </c>
      <c r="X200" s="2200">
        <v>-0.89420312500000065</v>
      </c>
      <c r="Y200" s="2200">
        <v>-1.4395156250000012</v>
      </c>
      <c r="Z200" s="2201">
        <v>-1.017578125</v>
      </c>
      <c r="AA200" s="2199">
        <v>3.554258064516127</v>
      </c>
      <c r="AB200" s="2200">
        <v>-1.1179206349206339</v>
      </c>
      <c r="AC200" s="2200">
        <v>-1.3916093749999998</v>
      </c>
      <c r="AD200" s="2201">
        <v>-0.84366666666666723</v>
      </c>
      <c r="AE200" s="2199">
        <v>-0.15401639344262286</v>
      </c>
      <c r="AF200" s="2200">
        <v>-0.55339062499999958</v>
      </c>
      <c r="AG200" s="2200">
        <v>-1.5273593749999999</v>
      </c>
      <c r="AH200" s="2201">
        <v>-0.79788709677419334</v>
      </c>
      <c r="AI200" s="2199">
        <v>-1.6838709677418517E-2</v>
      </c>
      <c r="AJ200" s="2203">
        <v>-0.56160937500000019</v>
      </c>
      <c r="AK200" s="2203">
        <v>-1.2109841269841268</v>
      </c>
      <c r="AL200" s="2202">
        <v>-0.13975806451612982</v>
      </c>
      <c r="AM200" s="2203">
        <v>3.4441967213114757</v>
      </c>
      <c r="AN200" s="2203">
        <v>-0.46333333333333293</v>
      </c>
      <c r="AO200" s="2203">
        <v>-0.59499999999999975</v>
      </c>
      <c r="AP200" s="2202">
        <v>-0.21666666666666679</v>
      </c>
      <c r="AQ200" s="2203">
        <v>0.74457975965344758</v>
      </c>
      <c r="AR200" s="2203">
        <v>-0.76430483819771866</v>
      </c>
      <c r="AS200" s="2203">
        <v>-0.78296558457066712</v>
      </c>
      <c r="AT200" s="2202">
        <v>0.8235214539149398</v>
      </c>
      <c r="AU200" s="2203">
        <v>0.64485745238273218</v>
      </c>
      <c r="AV200" s="2203">
        <v>-0.82982612063011629</v>
      </c>
      <c r="AW200" s="2203">
        <v>-0.84922019602346377</v>
      </c>
      <c r="AX200" s="2202">
        <v>0.71921711267084909</v>
      </c>
      <c r="AY200" s="2203">
        <v>0.64402689825038939</v>
      </c>
      <c r="AZ200" s="2203">
        <v>-0.85250267876937125</v>
      </c>
      <c r="BA200" s="2203">
        <v>-0.87232898455971686</v>
      </c>
      <c r="BB200" s="2262">
        <v>0.71913809827870034</v>
      </c>
      <c r="BC200" s="1204"/>
      <c r="BD200" s="1204"/>
      <c r="BE200" s="1269">
        <f t="shared" si="685"/>
        <v>0.69616854586385946</v>
      </c>
      <c r="BF200" s="1269">
        <f t="shared" si="686"/>
        <v>0.63760019841269922</v>
      </c>
      <c r="BG200" s="1269">
        <f t="shared" si="687"/>
        <v>0.22804792906745996</v>
      </c>
      <c r="BH200" s="1273">
        <f t="shared" si="688"/>
        <v>0.26658749999999931</v>
      </c>
      <c r="BI200" s="1273">
        <f t="shared" si="689"/>
        <v>1.0417167648565566</v>
      </c>
      <c r="BJ200" s="1273">
        <f t="shared" si="690"/>
        <v>5.0265346982206582E-2</v>
      </c>
      <c r="BK200" s="1273">
        <f t="shared" si="691"/>
        <v>-0.75816337255420385</v>
      </c>
      <c r="BL200" s="1273">
        <f t="shared" si="692"/>
        <v>-0.48229756904441884</v>
      </c>
      <c r="BM200" s="1273">
        <f t="shared" si="693"/>
        <v>0.54229918032786906</v>
      </c>
      <c r="BN200" s="1273">
        <f t="shared" si="694"/>
        <v>5.2076977000004021E-3</v>
      </c>
      <c r="BO200" s="1273">
        <f t="shared" si="695"/>
        <v>-7.8742937899999699E-2</v>
      </c>
      <c r="BP200" s="1273">
        <f t="shared" si="696"/>
        <v>-9.0416666699999593E-2</v>
      </c>
      <c r="BQ200" s="1205"/>
      <c r="BR200" s="1206"/>
      <c r="BU200" s="1186"/>
      <c r="BV200" s="1551"/>
      <c r="BW200" s="1551"/>
      <c r="BX200" s="1551"/>
    </row>
    <row r="201" spans="2:76" ht="12.75" customHeight="1">
      <c r="B201" s="1579"/>
      <c r="C201" s="1254" t="s">
        <v>720</v>
      </c>
      <c r="D201" s="1233"/>
      <c r="E201" s="1233"/>
      <c r="F201" s="1349"/>
      <c r="G201" s="2199">
        <v>0.61162500000000009</v>
      </c>
      <c r="H201" s="2200">
        <v>0.34730158730158944</v>
      </c>
      <c r="I201" s="2200">
        <v>0.35659375000000004</v>
      </c>
      <c r="J201" s="2201">
        <v>1.4691538461538483</v>
      </c>
      <c r="K201" s="2199">
        <v>1.7646250000000014</v>
      </c>
      <c r="L201" s="2200">
        <v>0.28798437500000063</v>
      </c>
      <c r="M201" s="2200">
        <v>0.25414062500000068</v>
      </c>
      <c r="N201" s="2201">
        <v>0.24365079365079412</v>
      </c>
      <c r="O201" s="2199">
        <v>0.31452380952380965</v>
      </c>
      <c r="P201" s="2200">
        <v>0.1599206349206348</v>
      </c>
      <c r="Q201" s="2200">
        <v>0.16882539682539655</v>
      </c>
      <c r="R201" s="2200">
        <v>0.26892187499999887</v>
      </c>
      <c r="S201" s="2199">
        <v>0.819599999999999</v>
      </c>
      <c r="T201" s="2200">
        <v>0.11882812499999851</v>
      </c>
      <c r="U201" s="2200">
        <v>-1.3265625000001169E-2</v>
      </c>
      <c r="V201" s="2201">
        <v>0.14118750000000091</v>
      </c>
      <c r="W201" s="2199">
        <v>7.5181639344262283</v>
      </c>
      <c r="X201" s="2200">
        <v>-0.89420312500000065</v>
      </c>
      <c r="Y201" s="2200">
        <v>-1.4395156250000012</v>
      </c>
      <c r="Z201" s="2201">
        <v>-1.017578125</v>
      </c>
      <c r="AA201" s="2199">
        <v>3.554258064516127</v>
      </c>
      <c r="AB201" s="2200">
        <v>-1.1179206349206339</v>
      </c>
      <c r="AC201" s="2200">
        <v>-1.3916093749999998</v>
      </c>
      <c r="AD201" s="2201">
        <v>-0.84366666666666723</v>
      </c>
      <c r="AE201" s="2199">
        <v>-0.15401639344262286</v>
      </c>
      <c r="AF201" s="2200">
        <v>-0.55339062499999958</v>
      </c>
      <c r="AG201" s="2200">
        <v>-1.5273593749999999</v>
      </c>
      <c r="AH201" s="2201">
        <v>-0.79788709677419334</v>
      </c>
      <c r="AI201" s="2199">
        <v>-1.6838709677418517E-2</v>
      </c>
      <c r="AJ201" s="2203">
        <v>-0.56160937500000019</v>
      </c>
      <c r="AK201" s="2203">
        <v>-1.2109841269841268</v>
      </c>
      <c r="AL201" s="2202">
        <v>-0.13975806451612982</v>
      </c>
      <c r="AM201" s="2203">
        <v>3.4441967213114757</v>
      </c>
      <c r="AN201" s="2203">
        <v>-0.46333333333333293</v>
      </c>
      <c r="AO201" s="2203">
        <v>-0.59499999999999975</v>
      </c>
      <c r="AP201" s="2202">
        <v>-0.21666666666666679</v>
      </c>
      <c r="AQ201" s="2203">
        <v>0.74457975965344758</v>
      </c>
      <c r="AR201" s="2203">
        <v>-0.76430483819771866</v>
      </c>
      <c r="AS201" s="2203">
        <v>-0.78296558457066712</v>
      </c>
      <c r="AT201" s="2202">
        <v>0.8235214539149398</v>
      </c>
      <c r="AU201" s="2203">
        <v>0.64485745238273218</v>
      </c>
      <c r="AV201" s="2203">
        <v>-0.82982612063011629</v>
      </c>
      <c r="AW201" s="2203">
        <v>-0.84922019602346377</v>
      </c>
      <c r="AX201" s="2202">
        <v>0.71921711267084909</v>
      </c>
      <c r="AY201" s="2203">
        <v>0.64402689825038939</v>
      </c>
      <c r="AZ201" s="2203">
        <v>-0.85250267876937125</v>
      </c>
      <c r="BA201" s="2203">
        <v>-0.87232898455971686</v>
      </c>
      <c r="BB201" s="2262">
        <v>0.71913809827870034</v>
      </c>
      <c r="BC201" s="1204"/>
      <c r="BD201" s="1204"/>
      <c r="BE201" s="1269">
        <f t="shared" si="685"/>
        <v>0.69616854586385946</v>
      </c>
      <c r="BF201" s="1269">
        <f t="shared" si="686"/>
        <v>0.63760019841269922</v>
      </c>
      <c r="BG201" s="1269">
        <f t="shared" si="687"/>
        <v>0.22804792906745996</v>
      </c>
      <c r="BH201" s="1273">
        <f t="shared" si="688"/>
        <v>0.26658749999999931</v>
      </c>
      <c r="BI201" s="1273">
        <f t="shared" si="689"/>
        <v>1.0417167648565566</v>
      </c>
      <c r="BJ201" s="1273">
        <f t="shared" si="690"/>
        <v>5.0265346982206582E-2</v>
      </c>
      <c r="BK201" s="1273">
        <f t="shared" si="691"/>
        <v>-0.75816337255420385</v>
      </c>
      <c r="BL201" s="1273">
        <f t="shared" si="692"/>
        <v>-0.48229756904441884</v>
      </c>
      <c r="BM201" s="1273">
        <f t="shared" si="693"/>
        <v>0.54229918032786906</v>
      </c>
      <c r="BN201" s="1273">
        <f t="shared" si="694"/>
        <v>5.2076977000004021E-3</v>
      </c>
      <c r="BO201" s="1273">
        <f t="shared" si="695"/>
        <v>-7.8742937899999699E-2</v>
      </c>
      <c r="BP201" s="1273">
        <f t="shared" si="696"/>
        <v>-9.0416666699999593E-2</v>
      </c>
      <c r="BQ201" s="1205"/>
      <c r="BR201" s="1206"/>
      <c r="BU201" s="1186"/>
      <c r="BV201" s="1551"/>
      <c r="BW201" s="1551"/>
      <c r="BX201" s="1551"/>
    </row>
    <row r="202" spans="2:76" ht="12.75" customHeight="1">
      <c r="B202" s="1579"/>
      <c r="C202" s="1254" t="s">
        <v>342</v>
      </c>
      <c r="D202" s="1552"/>
      <c r="E202" s="1552"/>
      <c r="F202" s="1563"/>
      <c r="G202" s="2199">
        <v>0.61162500000000009</v>
      </c>
      <c r="H202" s="2200">
        <v>0.34730158730158944</v>
      </c>
      <c r="I202" s="2200">
        <v>0.35659375000000004</v>
      </c>
      <c r="J202" s="2201">
        <v>1.4691538461538483</v>
      </c>
      <c r="K202" s="2199">
        <v>1.7646250000000014</v>
      </c>
      <c r="L202" s="2200">
        <v>0.28798437500000063</v>
      </c>
      <c r="M202" s="2200">
        <v>0.25414062500000068</v>
      </c>
      <c r="N202" s="2201">
        <v>0.24365079365079412</v>
      </c>
      <c r="O202" s="2199">
        <v>0.31452380952380965</v>
      </c>
      <c r="P202" s="2200">
        <v>0.1599206349206348</v>
      </c>
      <c r="Q202" s="2200">
        <v>0.16882539682539655</v>
      </c>
      <c r="R202" s="2200">
        <v>0.26892187499999887</v>
      </c>
      <c r="S202" s="2199">
        <v>0.819599999999999</v>
      </c>
      <c r="T202" s="2200">
        <v>0.11882812499999851</v>
      </c>
      <c r="U202" s="2200">
        <v>-1.3265625000001169E-2</v>
      </c>
      <c r="V202" s="2201">
        <v>0.14118750000000091</v>
      </c>
      <c r="W202" s="2199">
        <v>7.5181639344262283</v>
      </c>
      <c r="X202" s="2200">
        <v>-0.89420312500000065</v>
      </c>
      <c r="Y202" s="2200">
        <v>-1.4395156250000012</v>
      </c>
      <c r="Z202" s="2201">
        <v>-1.017578125</v>
      </c>
      <c r="AA202" s="2199">
        <v>3.554258064516127</v>
      </c>
      <c r="AB202" s="2200">
        <v>-1.1179206349206339</v>
      </c>
      <c r="AC202" s="2200">
        <v>-1.3916093749999998</v>
      </c>
      <c r="AD202" s="2201">
        <v>-0.84366666666666723</v>
      </c>
      <c r="AE202" s="2199">
        <v>-0.15401639344262286</v>
      </c>
      <c r="AF202" s="2200">
        <v>-0.55339062499999958</v>
      </c>
      <c r="AG202" s="2200">
        <v>-1.5273593749999999</v>
      </c>
      <c r="AH202" s="2201">
        <v>-0.79788709677419334</v>
      </c>
      <c r="AI202" s="2199">
        <v>-1.6838709677418517E-2</v>
      </c>
      <c r="AJ202" s="2203">
        <v>-0.56160937500000019</v>
      </c>
      <c r="AK202" s="2203">
        <v>-1.2109841269841268</v>
      </c>
      <c r="AL202" s="2202">
        <v>-0.13975806451612982</v>
      </c>
      <c r="AM202" s="2203">
        <v>3.4441967213114757</v>
      </c>
      <c r="AN202" s="2203">
        <v>0</v>
      </c>
      <c r="AO202" s="2203">
        <v>0</v>
      </c>
      <c r="AP202" s="2202">
        <v>0</v>
      </c>
      <c r="AQ202" s="2203">
        <v>0</v>
      </c>
      <c r="AR202" s="2203">
        <v>0</v>
      </c>
      <c r="AS202" s="2203">
        <v>0</v>
      </c>
      <c r="AT202" s="2202">
        <v>0</v>
      </c>
      <c r="AU202" s="2203">
        <v>0</v>
      </c>
      <c r="AV202" s="2203">
        <v>0</v>
      </c>
      <c r="AW202" s="2203">
        <v>0</v>
      </c>
      <c r="AX202" s="2202">
        <v>0</v>
      </c>
      <c r="AY202" s="2203">
        <v>0</v>
      </c>
      <c r="AZ202" s="2203">
        <v>0</v>
      </c>
      <c r="BA202" s="2203">
        <v>0</v>
      </c>
      <c r="BB202" s="2262">
        <v>0</v>
      </c>
      <c r="BC202" s="1204"/>
      <c r="BD202" s="1204"/>
      <c r="BE202" s="1269">
        <f t="shared" si="685"/>
        <v>0.69616854586385946</v>
      </c>
      <c r="BF202" s="1269">
        <f t="shared" si="686"/>
        <v>0.63760019841269922</v>
      </c>
      <c r="BG202" s="1269">
        <f t="shared" si="687"/>
        <v>0.22804792906745996</v>
      </c>
      <c r="BH202" s="1273">
        <f t="shared" si="688"/>
        <v>0.26658749999999931</v>
      </c>
      <c r="BI202" s="1273">
        <f t="shared" si="689"/>
        <v>1.0417167648565566</v>
      </c>
      <c r="BJ202" s="1273">
        <f t="shared" si="690"/>
        <v>5.0265346982206582E-2</v>
      </c>
      <c r="BK202" s="1273">
        <f t="shared" si="691"/>
        <v>-0.75816337255420385</v>
      </c>
      <c r="BL202" s="1273">
        <f t="shared" si="692"/>
        <v>-0.48229756904441884</v>
      </c>
      <c r="BM202" s="1273">
        <f t="shared" si="693"/>
        <v>0.86104918032786892</v>
      </c>
      <c r="BN202" s="1273">
        <f t="shared" si="694"/>
        <v>0</v>
      </c>
      <c r="BO202" s="1273">
        <f t="shared" si="695"/>
        <v>0</v>
      </c>
      <c r="BP202" s="1273">
        <f t="shared" si="696"/>
        <v>0</v>
      </c>
      <c r="BQ202" s="1205"/>
      <c r="BR202" s="1206"/>
      <c r="BU202" s="1186"/>
      <c r="BV202" s="1551"/>
      <c r="BW202" s="1551"/>
      <c r="BX202" s="1551"/>
    </row>
    <row r="203" spans="2:76" ht="12.75" customHeight="1">
      <c r="B203" s="1579"/>
      <c r="C203" s="1564" t="s">
        <v>380</v>
      </c>
      <c r="D203" s="1552"/>
      <c r="E203" s="1552"/>
      <c r="F203" s="1563"/>
      <c r="G203" s="2199">
        <v>0</v>
      </c>
      <c r="H203" s="2200">
        <v>0</v>
      </c>
      <c r="I203" s="2200">
        <v>0</v>
      </c>
      <c r="J203" s="2201">
        <v>0</v>
      </c>
      <c r="K203" s="2199">
        <v>0</v>
      </c>
      <c r="L203" s="2200">
        <v>0</v>
      </c>
      <c r="M203" s="2200">
        <v>0</v>
      </c>
      <c r="N203" s="2201">
        <v>0</v>
      </c>
      <c r="O203" s="2199">
        <v>0</v>
      </c>
      <c r="P203" s="2200">
        <v>0</v>
      </c>
      <c r="Q203" s="2200">
        <v>0</v>
      </c>
      <c r="R203" s="2200">
        <v>0</v>
      </c>
      <c r="S203" s="2199">
        <v>0</v>
      </c>
      <c r="T203" s="2200">
        <v>0</v>
      </c>
      <c r="U203" s="2200">
        <v>0</v>
      </c>
      <c r="V203" s="2201">
        <v>0</v>
      </c>
      <c r="W203" s="2199">
        <v>0</v>
      </c>
      <c r="X203" s="2200">
        <v>0</v>
      </c>
      <c r="Y203" s="2200">
        <v>0</v>
      </c>
      <c r="Z203" s="2201">
        <v>0</v>
      </c>
      <c r="AA203" s="2199">
        <v>0</v>
      </c>
      <c r="AB203" s="2200">
        <v>0</v>
      </c>
      <c r="AC203" s="2200">
        <v>0</v>
      </c>
      <c r="AD203" s="2201">
        <v>0</v>
      </c>
      <c r="AE203" s="2199">
        <v>0</v>
      </c>
      <c r="AF203" s="2200">
        <v>0</v>
      </c>
      <c r="AG203" s="2200">
        <v>0</v>
      </c>
      <c r="AH203" s="2201">
        <v>0</v>
      </c>
      <c r="AI203" s="2199">
        <v>0</v>
      </c>
      <c r="AJ203" s="2203">
        <v>0</v>
      </c>
      <c r="AK203" s="2203">
        <v>0</v>
      </c>
      <c r="AL203" s="2202">
        <v>0</v>
      </c>
      <c r="AM203" s="2203">
        <v>0</v>
      </c>
      <c r="AN203" s="2203">
        <v>0</v>
      </c>
      <c r="AO203" s="2203">
        <v>0</v>
      </c>
      <c r="AP203" s="2202">
        <v>0</v>
      </c>
      <c r="AQ203" s="2203">
        <v>0</v>
      </c>
      <c r="AR203" s="2203">
        <v>0</v>
      </c>
      <c r="AS203" s="2203">
        <v>0</v>
      </c>
      <c r="AT203" s="2202">
        <v>0</v>
      </c>
      <c r="AU203" s="2203">
        <v>0</v>
      </c>
      <c r="AV203" s="2203">
        <v>0</v>
      </c>
      <c r="AW203" s="2203">
        <v>0</v>
      </c>
      <c r="AX203" s="2202">
        <v>0</v>
      </c>
      <c r="AY203" s="2203">
        <v>0</v>
      </c>
      <c r="AZ203" s="2203">
        <v>0</v>
      </c>
      <c r="BA203" s="2203">
        <v>0</v>
      </c>
      <c r="BB203" s="2262">
        <v>0</v>
      </c>
      <c r="BC203" s="1204"/>
      <c r="BD203" s="1204"/>
      <c r="BE203" s="1269">
        <f t="shared" si="685"/>
        <v>0</v>
      </c>
      <c r="BF203" s="1269">
        <f t="shared" si="686"/>
        <v>0</v>
      </c>
      <c r="BG203" s="1269">
        <f t="shared" si="687"/>
        <v>0</v>
      </c>
      <c r="BH203" s="1273">
        <f t="shared" si="688"/>
        <v>0</v>
      </c>
      <c r="BI203" s="1273">
        <f t="shared" si="689"/>
        <v>0</v>
      </c>
      <c r="BJ203" s="1273">
        <f t="shared" si="690"/>
        <v>0</v>
      </c>
      <c r="BK203" s="1273">
        <f t="shared" si="691"/>
        <v>0</v>
      </c>
      <c r="BL203" s="1273">
        <f t="shared" si="692"/>
        <v>0</v>
      </c>
      <c r="BM203" s="1273">
        <f t="shared" si="693"/>
        <v>0</v>
      </c>
      <c r="BN203" s="1273">
        <f t="shared" si="694"/>
        <v>0</v>
      </c>
      <c r="BO203" s="1273">
        <f t="shared" si="695"/>
        <v>0</v>
      </c>
      <c r="BP203" s="1273">
        <f t="shared" si="696"/>
        <v>0</v>
      </c>
      <c r="BQ203" s="1205"/>
      <c r="BR203" s="1206"/>
      <c r="BU203" s="1186"/>
      <c r="BV203" s="1551"/>
      <c r="BW203" s="1551"/>
      <c r="BX203" s="1551"/>
    </row>
    <row r="204" spans="2:76" ht="12.75" customHeight="1">
      <c r="B204" s="1579"/>
      <c r="C204" s="1564" t="s">
        <v>381</v>
      </c>
      <c r="D204" s="1552"/>
      <c r="E204" s="1552"/>
      <c r="F204" s="1563"/>
      <c r="G204" s="2199">
        <v>0</v>
      </c>
      <c r="H204" s="2200">
        <v>0</v>
      </c>
      <c r="I204" s="2200">
        <v>0</v>
      </c>
      <c r="J204" s="2201">
        <v>0</v>
      </c>
      <c r="K204" s="2199">
        <v>0</v>
      </c>
      <c r="L204" s="2200">
        <v>0</v>
      </c>
      <c r="M204" s="2200">
        <v>0</v>
      </c>
      <c r="N204" s="2201">
        <v>0</v>
      </c>
      <c r="O204" s="2199">
        <v>0</v>
      </c>
      <c r="P204" s="2200">
        <v>0</v>
      </c>
      <c r="Q204" s="2200">
        <v>0</v>
      </c>
      <c r="R204" s="2200">
        <v>0</v>
      </c>
      <c r="S204" s="2199">
        <v>0</v>
      </c>
      <c r="T204" s="2200">
        <v>0</v>
      </c>
      <c r="U204" s="2200">
        <v>0</v>
      </c>
      <c r="V204" s="2201">
        <v>0</v>
      </c>
      <c r="W204" s="2199">
        <v>0</v>
      </c>
      <c r="X204" s="2200">
        <v>0</v>
      </c>
      <c r="Y204" s="2200">
        <v>0</v>
      </c>
      <c r="Z204" s="2201">
        <v>0</v>
      </c>
      <c r="AA204" s="2199">
        <v>0</v>
      </c>
      <c r="AB204" s="2200">
        <v>0</v>
      </c>
      <c r="AC204" s="2200">
        <v>0</v>
      </c>
      <c r="AD204" s="2201">
        <v>0</v>
      </c>
      <c r="AE204" s="2199">
        <v>0</v>
      </c>
      <c r="AF204" s="2200">
        <v>0</v>
      </c>
      <c r="AG204" s="2200">
        <v>0</v>
      </c>
      <c r="AH204" s="2201">
        <v>0</v>
      </c>
      <c r="AI204" s="2199">
        <v>0</v>
      </c>
      <c r="AJ204" s="2203">
        <v>0</v>
      </c>
      <c r="AK204" s="2203">
        <v>0</v>
      </c>
      <c r="AL204" s="2202">
        <v>0</v>
      </c>
      <c r="AM204" s="2203">
        <v>0</v>
      </c>
      <c r="AN204" s="2203">
        <v>0</v>
      </c>
      <c r="AO204" s="2203">
        <v>0</v>
      </c>
      <c r="AP204" s="2202">
        <v>0</v>
      </c>
      <c r="AQ204" s="2203">
        <v>0</v>
      </c>
      <c r="AR204" s="2203">
        <v>0</v>
      </c>
      <c r="AS204" s="2203">
        <v>0</v>
      </c>
      <c r="AT204" s="2202">
        <v>0</v>
      </c>
      <c r="AU204" s="2203">
        <v>0</v>
      </c>
      <c r="AV204" s="2203">
        <v>0</v>
      </c>
      <c r="AW204" s="2203">
        <v>0</v>
      </c>
      <c r="AX204" s="2202">
        <v>0</v>
      </c>
      <c r="AY204" s="2203">
        <v>0</v>
      </c>
      <c r="AZ204" s="2203">
        <v>0</v>
      </c>
      <c r="BA204" s="2203">
        <v>0</v>
      </c>
      <c r="BB204" s="2262">
        <v>0</v>
      </c>
      <c r="BC204" s="1204"/>
      <c r="BD204" s="1204"/>
      <c r="BE204" s="1269">
        <f t="shared" si="685"/>
        <v>0</v>
      </c>
      <c r="BF204" s="1269">
        <f t="shared" si="686"/>
        <v>0</v>
      </c>
      <c r="BG204" s="1269">
        <f t="shared" si="687"/>
        <v>0</v>
      </c>
      <c r="BH204" s="1273">
        <f t="shared" si="688"/>
        <v>0</v>
      </c>
      <c r="BI204" s="1273">
        <f t="shared" si="689"/>
        <v>0</v>
      </c>
      <c r="BJ204" s="1273">
        <f t="shared" si="690"/>
        <v>0</v>
      </c>
      <c r="BK204" s="1273">
        <f t="shared" si="691"/>
        <v>0</v>
      </c>
      <c r="BL204" s="1273">
        <f t="shared" si="692"/>
        <v>0</v>
      </c>
      <c r="BM204" s="1273">
        <f t="shared" si="693"/>
        <v>0</v>
      </c>
      <c r="BN204" s="1273">
        <f t="shared" si="694"/>
        <v>0</v>
      </c>
      <c r="BO204" s="1273">
        <f t="shared" si="695"/>
        <v>0</v>
      </c>
      <c r="BP204" s="1273">
        <f t="shared" si="696"/>
        <v>0</v>
      </c>
      <c r="BQ204" s="1205"/>
      <c r="BR204" s="1206"/>
      <c r="BU204" s="1186"/>
      <c r="BV204" s="1551"/>
      <c r="BW204" s="1551"/>
      <c r="BX204" s="1551"/>
    </row>
    <row r="205" spans="2:76" ht="12.75" customHeight="1">
      <c r="B205" s="1579"/>
      <c r="C205" s="1564" t="s">
        <v>382</v>
      </c>
      <c r="D205" s="1552"/>
      <c r="E205" s="1552"/>
      <c r="F205" s="1563"/>
      <c r="G205" s="2199">
        <v>0</v>
      </c>
      <c r="H205" s="2200">
        <v>0</v>
      </c>
      <c r="I205" s="2200">
        <v>0</v>
      </c>
      <c r="J205" s="2201">
        <v>0</v>
      </c>
      <c r="K205" s="2199">
        <v>0</v>
      </c>
      <c r="L205" s="2200">
        <v>0</v>
      </c>
      <c r="M205" s="2200">
        <v>0</v>
      </c>
      <c r="N205" s="2201">
        <v>0</v>
      </c>
      <c r="O205" s="2199">
        <v>0</v>
      </c>
      <c r="P205" s="2200">
        <v>0</v>
      </c>
      <c r="Q205" s="2200">
        <v>0</v>
      </c>
      <c r="R205" s="2200">
        <v>0</v>
      </c>
      <c r="S205" s="2199">
        <v>0</v>
      </c>
      <c r="T205" s="2200">
        <v>0</v>
      </c>
      <c r="U205" s="2200">
        <v>0</v>
      </c>
      <c r="V205" s="2201">
        <v>0</v>
      </c>
      <c r="W205" s="2199">
        <v>0</v>
      </c>
      <c r="X205" s="2200">
        <v>0</v>
      </c>
      <c r="Y205" s="2200">
        <v>0</v>
      </c>
      <c r="Z205" s="2201">
        <v>0</v>
      </c>
      <c r="AA205" s="2199">
        <v>0</v>
      </c>
      <c r="AB205" s="2200">
        <v>0</v>
      </c>
      <c r="AC205" s="2200">
        <v>0</v>
      </c>
      <c r="AD205" s="2201">
        <v>0</v>
      </c>
      <c r="AE205" s="2199">
        <v>0</v>
      </c>
      <c r="AF205" s="2200">
        <v>0</v>
      </c>
      <c r="AG205" s="2200">
        <v>0</v>
      </c>
      <c r="AH205" s="2201">
        <v>0</v>
      </c>
      <c r="AI205" s="2199">
        <v>0</v>
      </c>
      <c r="AJ205" s="2203">
        <v>0</v>
      </c>
      <c r="AK205" s="2203">
        <v>0</v>
      </c>
      <c r="AL205" s="2202">
        <v>0</v>
      </c>
      <c r="AM205" s="2203">
        <v>0</v>
      </c>
      <c r="AN205" s="2203">
        <v>0</v>
      </c>
      <c r="AO205" s="2203">
        <v>0</v>
      </c>
      <c r="AP205" s="2202">
        <v>0</v>
      </c>
      <c r="AQ205" s="2203">
        <v>0</v>
      </c>
      <c r="AR205" s="2203">
        <v>0</v>
      </c>
      <c r="AS205" s="2203">
        <v>0</v>
      </c>
      <c r="AT205" s="2202">
        <v>0</v>
      </c>
      <c r="AU205" s="2203">
        <v>0</v>
      </c>
      <c r="AV205" s="2203">
        <v>0</v>
      </c>
      <c r="AW205" s="2203">
        <v>0</v>
      </c>
      <c r="AX205" s="2202">
        <v>0</v>
      </c>
      <c r="AY205" s="2203">
        <v>0</v>
      </c>
      <c r="AZ205" s="2203">
        <v>0</v>
      </c>
      <c r="BA205" s="2203">
        <v>0</v>
      </c>
      <c r="BB205" s="2262">
        <v>0</v>
      </c>
      <c r="BC205" s="1204"/>
      <c r="BD205" s="1204"/>
      <c r="BE205" s="1269">
        <f t="shared" si="685"/>
        <v>0</v>
      </c>
      <c r="BF205" s="1269">
        <f t="shared" si="686"/>
        <v>0</v>
      </c>
      <c r="BG205" s="1269">
        <f t="shared" si="687"/>
        <v>0</v>
      </c>
      <c r="BH205" s="1273">
        <f t="shared" si="688"/>
        <v>0</v>
      </c>
      <c r="BI205" s="1273">
        <f t="shared" si="689"/>
        <v>0</v>
      </c>
      <c r="BJ205" s="1273">
        <f t="shared" si="690"/>
        <v>0</v>
      </c>
      <c r="BK205" s="1273">
        <f t="shared" si="691"/>
        <v>0</v>
      </c>
      <c r="BL205" s="1273">
        <f t="shared" si="692"/>
        <v>0</v>
      </c>
      <c r="BM205" s="1273">
        <f t="shared" si="693"/>
        <v>0</v>
      </c>
      <c r="BN205" s="1273">
        <f t="shared" si="694"/>
        <v>0</v>
      </c>
      <c r="BO205" s="1273">
        <f t="shared" si="695"/>
        <v>0</v>
      </c>
      <c r="BP205" s="1273">
        <f t="shared" si="696"/>
        <v>0</v>
      </c>
      <c r="BQ205" s="1205"/>
      <c r="BR205" s="1206"/>
      <c r="BU205" s="1186"/>
      <c r="BV205" s="1551"/>
      <c r="BW205" s="1551"/>
      <c r="BX205" s="1551"/>
    </row>
    <row r="206" spans="2:76" ht="12.75" customHeight="1">
      <c r="B206" s="1579"/>
      <c r="C206" s="1564" t="s">
        <v>383</v>
      </c>
      <c r="D206" s="1552"/>
      <c r="E206" s="1552"/>
      <c r="F206" s="1563"/>
      <c r="G206" s="2199">
        <v>0</v>
      </c>
      <c r="H206" s="2200">
        <v>0</v>
      </c>
      <c r="I206" s="2200">
        <v>0</v>
      </c>
      <c r="J206" s="2201">
        <v>0</v>
      </c>
      <c r="K206" s="2199">
        <v>0</v>
      </c>
      <c r="L206" s="2200">
        <v>0</v>
      </c>
      <c r="M206" s="2200">
        <v>0</v>
      </c>
      <c r="N206" s="2201">
        <v>0</v>
      </c>
      <c r="O206" s="2199">
        <v>0</v>
      </c>
      <c r="P206" s="2200">
        <v>0</v>
      </c>
      <c r="Q206" s="2200">
        <v>0</v>
      </c>
      <c r="R206" s="2200">
        <v>0</v>
      </c>
      <c r="S206" s="2199">
        <v>0</v>
      </c>
      <c r="T206" s="2200">
        <v>0</v>
      </c>
      <c r="U206" s="2200">
        <v>0</v>
      </c>
      <c r="V206" s="2201">
        <v>0</v>
      </c>
      <c r="W206" s="2199">
        <v>0</v>
      </c>
      <c r="X206" s="2200">
        <v>0</v>
      </c>
      <c r="Y206" s="2200">
        <v>0</v>
      </c>
      <c r="Z206" s="2201">
        <v>0</v>
      </c>
      <c r="AA206" s="2199">
        <v>0</v>
      </c>
      <c r="AB206" s="2200">
        <v>0</v>
      </c>
      <c r="AC206" s="2200">
        <v>0</v>
      </c>
      <c r="AD206" s="2201">
        <v>0</v>
      </c>
      <c r="AE206" s="2199">
        <v>0</v>
      </c>
      <c r="AF206" s="2200">
        <v>0</v>
      </c>
      <c r="AG206" s="2200">
        <v>0</v>
      </c>
      <c r="AH206" s="2201">
        <v>0</v>
      </c>
      <c r="AI206" s="2199">
        <v>0</v>
      </c>
      <c r="AJ206" s="2203">
        <v>0</v>
      </c>
      <c r="AK206" s="2203">
        <v>0</v>
      </c>
      <c r="AL206" s="2202">
        <v>0</v>
      </c>
      <c r="AM206" s="2203">
        <v>0</v>
      </c>
      <c r="AN206" s="2203">
        <v>0</v>
      </c>
      <c r="AO206" s="2203">
        <v>0</v>
      </c>
      <c r="AP206" s="2202">
        <v>0</v>
      </c>
      <c r="AQ206" s="2203">
        <v>0</v>
      </c>
      <c r="AR206" s="2203">
        <v>0</v>
      </c>
      <c r="AS206" s="2203">
        <v>0</v>
      </c>
      <c r="AT206" s="2202">
        <v>0</v>
      </c>
      <c r="AU206" s="2203">
        <v>0</v>
      </c>
      <c r="AV206" s="2203">
        <v>0</v>
      </c>
      <c r="AW206" s="2203">
        <v>0</v>
      </c>
      <c r="AX206" s="2202">
        <v>0</v>
      </c>
      <c r="AY206" s="2203">
        <v>0</v>
      </c>
      <c r="AZ206" s="2203">
        <v>0</v>
      </c>
      <c r="BA206" s="2203">
        <v>0</v>
      </c>
      <c r="BB206" s="2262">
        <v>0</v>
      </c>
      <c r="BC206" s="1204"/>
      <c r="BD206" s="1204"/>
      <c r="BE206" s="1269">
        <f t="shared" si="685"/>
        <v>0</v>
      </c>
      <c r="BF206" s="1269">
        <f t="shared" si="686"/>
        <v>0</v>
      </c>
      <c r="BG206" s="1269">
        <f t="shared" si="687"/>
        <v>0</v>
      </c>
      <c r="BH206" s="1273">
        <f t="shared" si="688"/>
        <v>0</v>
      </c>
      <c r="BI206" s="1273">
        <f t="shared" si="689"/>
        <v>0</v>
      </c>
      <c r="BJ206" s="1273">
        <f t="shared" si="690"/>
        <v>0</v>
      </c>
      <c r="BK206" s="1273">
        <f t="shared" si="691"/>
        <v>0</v>
      </c>
      <c r="BL206" s="1273">
        <f t="shared" si="692"/>
        <v>0</v>
      </c>
      <c r="BM206" s="1273">
        <f t="shared" si="693"/>
        <v>0</v>
      </c>
      <c r="BN206" s="1273">
        <f t="shared" si="694"/>
        <v>0</v>
      </c>
      <c r="BO206" s="1273">
        <f t="shared" si="695"/>
        <v>0</v>
      </c>
      <c r="BP206" s="1273">
        <f t="shared" si="696"/>
        <v>0</v>
      </c>
      <c r="BQ206" s="1205"/>
      <c r="BR206" s="1206"/>
      <c r="BU206" s="1186"/>
      <c r="BV206" s="1551"/>
      <c r="BW206" s="1551"/>
      <c r="BX206" s="1551"/>
    </row>
    <row r="207" spans="2:76" ht="12.75" customHeight="1">
      <c r="B207" s="1579"/>
      <c r="C207" s="1564" t="s">
        <v>384</v>
      </c>
      <c r="D207" s="1552"/>
      <c r="E207" s="1552"/>
      <c r="F207" s="1563"/>
      <c r="G207" s="2199">
        <v>0</v>
      </c>
      <c r="H207" s="2200">
        <v>0</v>
      </c>
      <c r="I207" s="2200">
        <v>0</v>
      </c>
      <c r="J207" s="2201">
        <v>0</v>
      </c>
      <c r="K207" s="2199">
        <v>0</v>
      </c>
      <c r="L207" s="2200">
        <v>0</v>
      </c>
      <c r="M207" s="2200">
        <v>0</v>
      </c>
      <c r="N207" s="2201">
        <v>0</v>
      </c>
      <c r="O207" s="2199">
        <v>0</v>
      </c>
      <c r="P207" s="2200">
        <v>0</v>
      </c>
      <c r="Q207" s="2200">
        <v>0</v>
      </c>
      <c r="R207" s="2200">
        <v>0</v>
      </c>
      <c r="S207" s="2199">
        <v>0</v>
      </c>
      <c r="T207" s="2200">
        <v>0</v>
      </c>
      <c r="U207" s="2200">
        <v>0</v>
      </c>
      <c r="V207" s="2201">
        <v>0</v>
      </c>
      <c r="W207" s="2199">
        <v>0</v>
      </c>
      <c r="X207" s="2200">
        <v>0</v>
      </c>
      <c r="Y207" s="2200">
        <v>0</v>
      </c>
      <c r="Z207" s="2201">
        <v>0</v>
      </c>
      <c r="AA207" s="2199">
        <v>0</v>
      </c>
      <c r="AB207" s="2200">
        <v>0</v>
      </c>
      <c r="AC207" s="2200">
        <v>0</v>
      </c>
      <c r="AD207" s="2201">
        <v>0</v>
      </c>
      <c r="AE207" s="2199">
        <v>0</v>
      </c>
      <c r="AF207" s="2200">
        <v>0</v>
      </c>
      <c r="AG207" s="2200">
        <v>0</v>
      </c>
      <c r="AH207" s="2201">
        <v>0</v>
      </c>
      <c r="AI207" s="2199">
        <v>0</v>
      </c>
      <c r="AJ207" s="2203">
        <v>0</v>
      </c>
      <c r="AK207" s="2203">
        <v>0</v>
      </c>
      <c r="AL207" s="2202">
        <v>0</v>
      </c>
      <c r="AM207" s="2203">
        <v>0</v>
      </c>
      <c r="AN207" s="2203">
        <v>0</v>
      </c>
      <c r="AO207" s="2203">
        <v>0</v>
      </c>
      <c r="AP207" s="2202">
        <v>0</v>
      </c>
      <c r="AQ207" s="2203">
        <v>0</v>
      </c>
      <c r="AR207" s="2203">
        <v>0</v>
      </c>
      <c r="AS207" s="2203">
        <v>0</v>
      </c>
      <c r="AT207" s="2202">
        <v>0</v>
      </c>
      <c r="AU207" s="2203">
        <v>0</v>
      </c>
      <c r="AV207" s="2203">
        <v>0</v>
      </c>
      <c r="AW207" s="2203">
        <v>0</v>
      </c>
      <c r="AX207" s="2202">
        <v>0</v>
      </c>
      <c r="AY207" s="2203">
        <v>0</v>
      </c>
      <c r="AZ207" s="2203">
        <v>0</v>
      </c>
      <c r="BA207" s="2203">
        <v>0</v>
      </c>
      <c r="BB207" s="2262">
        <v>0</v>
      </c>
      <c r="BC207" s="1204"/>
      <c r="BD207" s="1204"/>
      <c r="BE207" s="1269">
        <f t="shared" si="685"/>
        <v>0</v>
      </c>
      <c r="BF207" s="1269">
        <f t="shared" si="686"/>
        <v>0</v>
      </c>
      <c r="BG207" s="1269">
        <f t="shared" si="687"/>
        <v>0</v>
      </c>
      <c r="BH207" s="1273">
        <f t="shared" si="688"/>
        <v>0</v>
      </c>
      <c r="BI207" s="1273">
        <f t="shared" si="689"/>
        <v>0</v>
      </c>
      <c r="BJ207" s="1273">
        <f t="shared" si="690"/>
        <v>0</v>
      </c>
      <c r="BK207" s="1273">
        <f t="shared" si="691"/>
        <v>0</v>
      </c>
      <c r="BL207" s="1273">
        <f t="shared" si="692"/>
        <v>0</v>
      </c>
      <c r="BM207" s="1273">
        <f t="shared" si="693"/>
        <v>0</v>
      </c>
      <c r="BN207" s="1273">
        <f t="shared" si="694"/>
        <v>0</v>
      </c>
      <c r="BO207" s="1273">
        <f t="shared" si="695"/>
        <v>0</v>
      </c>
      <c r="BP207" s="1273">
        <f t="shared" si="696"/>
        <v>0</v>
      </c>
      <c r="BQ207" s="1205"/>
      <c r="BR207" s="1206"/>
      <c r="BU207" s="1186"/>
      <c r="BV207" s="1551"/>
      <c r="BW207" s="1551"/>
      <c r="BX207" s="1551"/>
    </row>
    <row r="208" spans="2:76" ht="12.75" customHeight="1">
      <c r="B208" s="1579"/>
      <c r="C208" s="1564" t="s">
        <v>385</v>
      </c>
      <c r="D208" s="1552"/>
      <c r="E208" s="1552"/>
      <c r="F208" s="1563"/>
      <c r="G208" s="2199">
        <v>0.12785416666666727</v>
      </c>
      <c r="H208" s="2200">
        <v>-0.1638730158730155</v>
      </c>
      <c r="I208" s="2200">
        <v>-0.31553124999999982</v>
      </c>
      <c r="J208" s="2201">
        <v>2.7430769230770924E-2</v>
      </c>
      <c r="K208" s="2199">
        <v>-4.0562500000001833E-2</v>
      </c>
      <c r="L208" s="2200">
        <v>2.5078125000001172E-2</v>
      </c>
      <c r="M208" s="2200">
        <v>0.14203125000000227</v>
      </c>
      <c r="N208" s="2201">
        <v>0.29906349206349114</v>
      </c>
      <c r="O208" s="2199">
        <v>0.31830158730158775</v>
      </c>
      <c r="P208" s="2200">
        <v>0.28319047619047666</v>
      </c>
      <c r="Q208" s="2200">
        <v>0.20952380952380834</v>
      </c>
      <c r="R208" s="2200">
        <v>0.32709374999999907</v>
      </c>
      <c r="S208" s="2199">
        <v>0.26973333333333294</v>
      </c>
      <c r="T208" s="2200">
        <v>0.15754687499999775</v>
      </c>
      <c r="U208" s="2200">
        <v>0.23087499999999972</v>
      </c>
      <c r="V208" s="2201">
        <v>0.29959375000000188</v>
      </c>
      <c r="W208" s="2199">
        <v>0.30404918032786998</v>
      </c>
      <c r="X208" s="2200">
        <v>0.30642187499999984</v>
      </c>
      <c r="Y208" s="2200">
        <v>0.50754687499999829</v>
      </c>
      <c r="Z208" s="2201">
        <v>0.25204687500000134</v>
      </c>
      <c r="AA208" s="2199">
        <v>-3.7548387096775215E-2</v>
      </c>
      <c r="AB208" s="2200">
        <v>6.8507936507938183E-2</v>
      </c>
      <c r="AC208" s="2200">
        <v>0.26343749999999932</v>
      </c>
      <c r="AD208" s="2201">
        <v>0.35907936507936444</v>
      </c>
      <c r="AE208" s="2199">
        <v>0.10468852459016342</v>
      </c>
      <c r="AF208" s="2200">
        <v>7.9562500000000203E-2</v>
      </c>
      <c r="AG208" s="2200">
        <v>3.6515625000000718E-2</v>
      </c>
      <c r="AH208" s="2201">
        <v>4.9693548387096609E-2</v>
      </c>
      <c r="AI208" s="2199">
        <v>0.15672580645161371</v>
      </c>
      <c r="AJ208" s="2203">
        <v>0.10859375000000027</v>
      </c>
      <c r="AK208" s="2203">
        <v>0.25880952380952404</v>
      </c>
      <c r="AL208" s="2202">
        <v>1.4901290322580647</v>
      </c>
      <c r="AM208" s="2203">
        <v>0.7802950819672132</v>
      </c>
      <c r="AN208" s="2203">
        <v>-0.66499999999999959</v>
      </c>
      <c r="AO208" s="2203">
        <v>-0.37199999999999989</v>
      </c>
      <c r="AP208" s="2202">
        <v>-0.49500000000000055</v>
      </c>
      <c r="AQ208" s="2203">
        <v>-0.30713417480557936</v>
      </c>
      <c r="AR208" s="2203">
        <v>-0.75064523540322092</v>
      </c>
      <c r="AS208" s="2203">
        <v>-0.53237727470099783</v>
      </c>
      <c r="AT208" s="2202">
        <v>-0.20050998189020053</v>
      </c>
      <c r="AU208" s="2203">
        <v>-0.26491667997570767</v>
      </c>
      <c r="AV208" s="2203">
        <v>-0.72952134616272168</v>
      </c>
      <c r="AW208" s="2203">
        <v>-0.50344822491097485</v>
      </c>
      <c r="AX208" s="2202">
        <v>-0.15278041575059387</v>
      </c>
      <c r="AY208" s="2203">
        <v>-0.18976284925876685</v>
      </c>
      <c r="AZ208" s="2203">
        <v>-0.6882236801665047</v>
      </c>
      <c r="BA208" s="2203">
        <v>-0.44995803943269674</v>
      </c>
      <c r="BB208" s="2262">
        <v>-6.8722097942030214E-2</v>
      </c>
      <c r="BC208" s="1204"/>
      <c r="BD208" s="1204"/>
      <c r="BE208" s="1269">
        <f t="shared" si="685"/>
        <v>-8.1029832493894283E-2</v>
      </c>
      <c r="BF208" s="1269">
        <f t="shared" si="686"/>
        <v>0.10640259176587319</v>
      </c>
      <c r="BG208" s="1269">
        <f t="shared" si="687"/>
        <v>0.28452740575396795</v>
      </c>
      <c r="BH208" s="1273">
        <f t="shared" si="688"/>
        <v>0.23943723958333307</v>
      </c>
      <c r="BI208" s="1273">
        <f t="shared" si="689"/>
        <v>0.34251620133196736</v>
      </c>
      <c r="BJ208" s="1273">
        <f t="shared" si="690"/>
        <v>0.16336910362263168</v>
      </c>
      <c r="BK208" s="1273">
        <f t="shared" si="691"/>
        <v>6.7615049494315238E-2</v>
      </c>
      <c r="BL208" s="1273">
        <f t="shared" si="692"/>
        <v>0.50356452812980068</v>
      </c>
      <c r="BM208" s="1273">
        <f t="shared" si="693"/>
        <v>-0.18792622950819671</v>
      </c>
      <c r="BN208" s="1273">
        <f t="shared" si="694"/>
        <v>-0.44766666669999966</v>
      </c>
      <c r="BO208" s="1273">
        <f t="shared" si="695"/>
        <v>-0.41266666669999952</v>
      </c>
      <c r="BP208" s="1273">
        <f t="shared" si="696"/>
        <v>-0.34916666669999963</v>
      </c>
      <c r="BQ208" s="1205"/>
      <c r="BR208" s="1206"/>
      <c r="BU208" s="1186"/>
      <c r="BV208" s="1551"/>
      <c r="BW208" s="1551"/>
      <c r="BX208" s="1551"/>
    </row>
    <row r="209" spans="2:76" ht="12.75" customHeight="1">
      <c r="B209" s="1579"/>
      <c r="C209" s="1564" t="s">
        <v>386</v>
      </c>
      <c r="D209" s="1552"/>
      <c r="E209" s="1552"/>
      <c r="F209" s="1563"/>
      <c r="G209" s="2199">
        <v>0.12785416666666727</v>
      </c>
      <c r="H209" s="2200">
        <v>-0.1638730158730155</v>
      </c>
      <c r="I209" s="2200">
        <v>-0.31553124999999982</v>
      </c>
      <c r="J209" s="2201">
        <v>2.7430769230770924E-2</v>
      </c>
      <c r="K209" s="2199">
        <v>-4.0562500000001833E-2</v>
      </c>
      <c r="L209" s="2200">
        <v>2.5078125000001172E-2</v>
      </c>
      <c r="M209" s="2200">
        <v>0.14203125000000227</v>
      </c>
      <c r="N209" s="2201">
        <v>0.29906349206349114</v>
      </c>
      <c r="O209" s="2199">
        <v>0.31830158730158775</v>
      </c>
      <c r="P209" s="2200">
        <v>0.28319047619047666</v>
      </c>
      <c r="Q209" s="2200">
        <v>0.20952380952380834</v>
      </c>
      <c r="R209" s="2200">
        <v>0.32709374999999907</v>
      </c>
      <c r="S209" s="2199">
        <v>0.26973333333333294</v>
      </c>
      <c r="T209" s="2200">
        <v>0.15754687499999775</v>
      </c>
      <c r="U209" s="2200">
        <v>0.23087499999999972</v>
      </c>
      <c r="V209" s="2201">
        <v>0.29959375000000188</v>
      </c>
      <c r="W209" s="2199">
        <v>0.30404918032786998</v>
      </c>
      <c r="X209" s="2200">
        <v>0.30642187499999984</v>
      </c>
      <c r="Y209" s="2200">
        <v>0.50754687499999829</v>
      </c>
      <c r="Z209" s="2201">
        <v>0.25204687500000134</v>
      </c>
      <c r="AA209" s="2199">
        <v>-3.7548387096775215E-2</v>
      </c>
      <c r="AB209" s="2200">
        <v>6.8507936507938183E-2</v>
      </c>
      <c r="AC209" s="2200">
        <v>0.26343749999999932</v>
      </c>
      <c r="AD209" s="2201">
        <v>0.35907936507936444</v>
      </c>
      <c r="AE209" s="2199">
        <v>0.10468852459016342</v>
      </c>
      <c r="AF209" s="2200">
        <v>7.9562500000000203E-2</v>
      </c>
      <c r="AG209" s="2200">
        <v>3.6515625000000718E-2</v>
      </c>
      <c r="AH209" s="2201">
        <v>4.9693548387096609E-2</v>
      </c>
      <c r="AI209" s="2199">
        <v>0.15672580645161371</v>
      </c>
      <c r="AJ209" s="2203">
        <v>0.10859375000000027</v>
      </c>
      <c r="AK209" s="2203">
        <v>0.25880952380952404</v>
      </c>
      <c r="AL209" s="2202">
        <v>1.4901290322580647</v>
      </c>
      <c r="AM209" s="2203">
        <v>0.7802950819672132</v>
      </c>
      <c r="AN209" s="2203">
        <v>-0.66499999999999959</v>
      </c>
      <c r="AO209" s="2203">
        <v>-0.37199999999999989</v>
      </c>
      <c r="AP209" s="2202">
        <v>-0.49500000000000055</v>
      </c>
      <c r="AQ209" s="2203">
        <v>-0.30713417480557936</v>
      </c>
      <c r="AR209" s="2203">
        <v>-0.75064523540322092</v>
      </c>
      <c r="AS209" s="2203">
        <v>-0.53237727470099783</v>
      </c>
      <c r="AT209" s="2202">
        <v>-0.20050998189020053</v>
      </c>
      <c r="AU209" s="2203">
        <v>-0.26491667997570767</v>
      </c>
      <c r="AV209" s="2203">
        <v>-0.72952134616272168</v>
      </c>
      <c r="AW209" s="2203">
        <v>-0.50344822491097485</v>
      </c>
      <c r="AX209" s="2202">
        <v>-0.15278041575059387</v>
      </c>
      <c r="AY209" s="2203">
        <v>-0.18976284925876685</v>
      </c>
      <c r="AZ209" s="2203">
        <v>-0.6882236801665047</v>
      </c>
      <c r="BA209" s="2203">
        <v>-0.44995803943269674</v>
      </c>
      <c r="BB209" s="2262">
        <v>-6.8722097942030214E-2</v>
      </c>
      <c r="BC209" s="1204"/>
      <c r="BD209" s="1204"/>
      <c r="BE209" s="1269">
        <f t="shared" si="685"/>
        <v>-8.1029832493894283E-2</v>
      </c>
      <c r="BF209" s="1269">
        <f t="shared" si="686"/>
        <v>0.10640259176587319</v>
      </c>
      <c r="BG209" s="1269">
        <f t="shared" si="687"/>
        <v>0.28452740575396795</v>
      </c>
      <c r="BH209" s="1273">
        <f t="shared" si="688"/>
        <v>0.23943723958333307</v>
      </c>
      <c r="BI209" s="1273">
        <f t="shared" si="689"/>
        <v>0.34251620133196736</v>
      </c>
      <c r="BJ209" s="1273">
        <f t="shared" si="690"/>
        <v>0.16336910362263168</v>
      </c>
      <c r="BK209" s="1273">
        <f t="shared" si="691"/>
        <v>6.7615049494315238E-2</v>
      </c>
      <c r="BL209" s="1273">
        <f t="shared" si="692"/>
        <v>0.50356452812980068</v>
      </c>
      <c r="BM209" s="1273">
        <f t="shared" si="693"/>
        <v>-0.18792622950819671</v>
      </c>
      <c r="BN209" s="1273">
        <f t="shared" si="694"/>
        <v>-0.44766666669999966</v>
      </c>
      <c r="BO209" s="1273">
        <f t="shared" si="695"/>
        <v>-0.41266666669999952</v>
      </c>
      <c r="BP209" s="1273">
        <f t="shared" si="696"/>
        <v>-0.34916666669999963</v>
      </c>
      <c r="BQ209" s="1205"/>
      <c r="BR209" s="1206"/>
      <c r="BU209" s="1186"/>
      <c r="BV209" s="1551"/>
      <c r="BW209" s="1551"/>
      <c r="BX209" s="1551"/>
    </row>
    <row r="210" spans="2:76" ht="12.75" customHeight="1">
      <c r="B210" s="1579"/>
      <c r="C210" s="1564" t="s">
        <v>387</v>
      </c>
      <c r="D210" s="1552"/>
      <c r="E210" s="1552"/>
      <c r="F210" s="1563"/>
      <c r="G210" s="2199">
        <v>0.12785416666666727</v>
      </c>
      <c r="H210" s="2200">
        <v>-0.1638730158730155</v>
      </c>
      <c r="I210" s="2200">
        <v>-0.31553124999999982</v>
      </c>
      <c r="J210" s="2201">
        <v>2.7430769230770924E-2</v>
      </c>
      <c r="K210" s="2199">
        <v>-4.0562500000001833E-2</v>
      </c>
      <c r="L210" s="2200">
        <v>2.5078125000001172E-2</v>
      </c>
      <c r="M210" s="2200">
        <v>0.14203125000000227</v>
      </c>
      <c r="N210" s="2201">
        <v>0.29906349206349114</v>
      </c>
      <c r="O210" s="2199">
        <v>0.31830158730158775</v>
      </c>
      <c r="P210" s="2200">
        <v>0.28319047619047666</v>
      </c>
      <c r="Q210" s="2200">
        <v>0.20952380952380834</v>
      </c>
      <c r="R210" s="2200">
        <v>0.32709374999999907</v>
      </c>
      <c r="S210" s="2199">
        <v>0.26973333333333294</v>
      </c>
      <c r="T210" s="2200">
        <v>0.15754687499999775</v>
      </c>
      <c r="U210" s="2200">
        <v>0.23087499999999972</v>
      </c>
      <c r="V210" s="2201">
        <v>0.29959375000000188</v>
      </c>
      <c r="W210" s="2199">
        <v>0.30404918032786998</v>
      </c>
      <c r="X210" s="2200">
        <v>0.30642187499999984</v>
      </c>
      <c r="Y210" s="2200">
        <v>0.50754687499999829</v>
      </c>
      <c r="Z210" s="2201">
        <v>0.25204687500000134</v>
      </c>
      <c r="AA210" s="2199">
        <v>-3.7548387096775215E-2</v>
      </c>
      <c r="AB210" s="2200">
        <v>6.8507936507938183E-2</v>
      </c>
      <c r="AC210" s="2200">
        <v>0.26343749999999932</v>
      </c>
      <c r="AD210" s="2201">
        <v>0.35907936507936444</v>
      </c>
      <c r="AE210" s="2199">
        <v>0.10468852459016342</v>
      </c>
      <c r="AF210" s="2200">
        <v>7.9562500000000203E-2</v>
      </c>
      <c r="AG210" s="2200">
        <v>3.6515625000000718E-2</v>
      </c>
      <c r="AH210" s="2201">
        <v>4.9693548387096609E-2</v>
      </c>
      <c r="AI210" s="2199">
        <v>0.15672580645161371</v>
      </c>
      <c r="AJ210" s="2203">
        <v>0.10859375000000027</v>
      </c>
      <c r="AK210" s="2203">
        <v>0.25880952380952404</v>
      </c>
      <c r="AL210" s="2202">
        <v>1.4901290322580647</v>
      </c>
      <c r="AM210" s="2203">
        <v>0.7802950819672132</v>
      </c>
      <c r="AN210" s="2203">
        <v>-0.66499999999999959</v>
      </c>
      <c r="AO210" s="2203">
        <v>-0.37199999999999989</v>
      </c>
      <c r="AP210" s="2202">
        <v>-0.49500000000000055</v>
      </c>
      <c r="AQ210" s="2203">
        <v>-0.30713417480557936</v>
      </c>
      <c r="AR210" s="2203">
        <v>-0.75064523540322092</v>
      </c>
      <c r="AS210" s="2203">
        <v>-0.53237727470099783</v>
      </c>
      <c r="AT210" s="2202">
        <v>-0.20050998189020053</v>
      </c>
      <c r="AU210" s="2203">
        <v>-0.26491667997570767</v>
      </c>
      <c r="AV210" s="2203">
        <v>-0.72952134616272168</v>
      </c>
      <c r="AW210" s="2203">
        <v>-0.50344822491097485</v>
      </c>
      <c r="AX210" s="2202">
        <v>-0.15278041575059387</v>
      </c>
      <c r="AY210" s="2203">
        <v>-0.18976284925876685</v>
      </c>
      <c r="AZ210" s="2203">
        <v>-0.6882236801665047</v>
      </c>
      <c r="BA210" s="2203">
        <v>-0.44995803943269674</v>
      </c>
      <c r="BB210" s="2262">
        <v>-6.8722097942030214E-2</v>
      </c>
      <c r="BC210" s="1204"/>
      <c r="BD210" s="1204"/>
      <c r="BE210" s="1269">
        <f t="shared" si="685"/>
        <v>-8.1029832493894283E-2</v>
      </c>
      <c r="BF210" s="1269">
        <f t="shared" si="686"/>
        <v>0.10640259176587319</v>
      </c>
      <c r="BG210" s="1269">
        <f t="shared" si="687"/>
        <v>0.28452740575396795</v>
      </c>
      <c r="BH210" s="1273">
        <f t="shared" si="688"/>
        <v>0.23943723958333307</v>
      </c>
      <c r="BI210" s="1273">
        <f t="shared" si="689"/>
        <v>0.34251620133196736</v>
      </c>
      <c r="BJ210" s="1273">
        <f t="shared" si="690"/>
        <v>0.16336910362263168</v>
      </c>
      <c r="BK210" s="1273">
        <f t="shared" si="691"/>
        <v>6.7615049494315238E-2</v>
      </c>
      <c r="BL210" s="1273">
        <f t="shared" si="692"/>
        <v>0.50356452812980068</v>
      </c>
      <c r="BM210" s="1273">
        <f t="shared" si="693"/>
        <v>-0.18792622950819671</v>
      </c>
      <c r="BN210" s="1273">
        <f t="shared" si="694"/>
        <v>-0.44766666669999966</v>
      </c>
      <c r="BO210" s="1273">
        <f t="shared" si="695"/>
        <v>-0.41266666669999952</v>
      </c>
      <c r="BP210" s="1273">
        <f t="shared" si="696"/>
        <v>-0.34916666669999963</v>
      </c>
      <c r="BQ210" s="1205"/>
      <c r="BR210" s="1206"/>
      <c r="BU210" s="1186"/>
      <c r="BV210" s="1551"/>
      <c r="BW210" s="1551"/>
      <c r="BX210" s="1551"/>
    </row>
    <row r="211" spans="2:76" ht="12.75" customHeight="1">
      <c r="B211" s="1579"/>
      <c r="C211" s="1564" t="s">
        <v>388</v>
      </c>
      <c r="D211" s="1552"/>
      <c r="E211" s="1552"/>
      <c r="F211" s="1563"/>
      <c r="G211" s="2199">
        <v>0.12785416666666727</v>
      </c>
      <c r="H211" s="2200">
        <v>-0.1638730158730155</v>
      </c>
      <c r="I211" s="2200">
        <v>-0.31553124999999982</v>
      </c>
      <c r="J211" s="2201">
        <v>2.7430769230770924E-2</v>
      </c>
      <c r="K211" s="2199">
        <v>-4.0562500000001833E-2</v>
      </c>
      <c r="L211" s="2200">
        <v>2.5078125000001172E-2</v>
      </c>
      <c r="M211" s="2200">
        <v>0.14203125000000227</v>
      </c>
      <c r="N211" s="2201">
        <v>0.29906349206349114</v>
      </c>
      <c r="O211" s="2199">
        <v>0.31830158730158775</v>
      </c>
      <c r="P211" s="2200">
        <v>0.28319047619047666</v>
      </c>
      <c r="Q211" s="2200">
        <v>0.20952380952380834</v>
      </c>
      <c r="R211" s="2200">
        <v>0.32709374999999907</v>
      </c>
      <c r="S211" s="2199">
        <v>0.26973333333333294</v>
      </c>
      <c r="T211" s="2200">
        <v>0.15754687499999775</v>
      </c>
      <c r="U211" s="2200">
        <v>0.23087499999999972</v>
      </c>
      <c r="V211" s="2201">
        <v>0.29959375000000188</v>
      </c>
      <c r="W211" s="2199">
        <v>0.30404918032786998</v>
      </c>
      <c r="X211" s="2200">
        <v>0.30642187499999984</v>
      </c>
      <c r="Y211" s="2200">
        <v>0.50754687499999829</v>
      </c>
      <c r="Z211" s="2201">
        <v>0.25204687500000134</v>
      </c>
      <c r="AA211" s="2199">
        <v>-3.7548387096775215E-2</v>
      </c>
      <c r="AB211" s="2200">
        <v>6.8507936507938183E-2</v>
      </c>
      <c r="AC211" s="2200">
        <v>0.26343749999999932</v>
      </c>
      <c r="AD211" s="2201">
        <v>0.35907936507936444</v>
      </c>
      <c r="AE211" s="2199">
        <v>0.10468852459016342</v>
      </c>
      <c r="AF211" s="2200">
        <v>7.9562500000000203E-2</v>
      </c>
      <c r="AG211" s="2200">
        <v>3.6515625000000718E-2</v>
      </c>
      <c r="AH211" s="2201">
        <v>4.9693548387096609E-2</v>
      </c>
      <c r="AI211" s="2199">
        <v>0.15672580645161371</v>
      </c>
      <c r="AJ211" s="2203">
        <v>0.10859375000000027</v>
      </c>
      <c r="AK211" s="2203">
        <v>0.25880952380952404</v>
      </c>
      <c r="AL211" s="2202">
        <v>1.4901290322580647</v>
      </c>
      <c r="AM211" s="2203">
        <v>0.7802950819672132</v>
      </c>
      <c r="AN211" s="2203">
        <v>-0.66499999999999959</v>
      </c>
      <c r="AO211" s="2203">
        <v>-0.37199999999999989</v>
      </c>
      <c r="AP211" s="2202">
        <v>-0.49500000000000055</v>
      </c>
      <c r="AQ211" s="2203">
        <v>-0.30713417480557936</v>
      </c>
      <c r="AR211" s="2203">
        <v>-0.75064523540322092</v>
      </c>
      <c r="AS211" s="2203">
        <v>-0.53237727470099783</v>
      </c>
      <c r="AT211" s="2202">
        <v>-0.20050998189020053</v>
      </c>
      <c r="AU211" s="2203">
        <v>-0.26491667997570767</v>
      </c>
      <c r="AV211" s="2203">
        <v>-0.72952134616272168</v>
      </c>
      <c r="AW211" s="2203">
        <v>-0.50344822491097485</v>
      </c>
      <c r="AX211" s="2202">
        <v>-0.15278041575059387</v>
      </c>
      <c r="AY211" s="2203">
        <v>-0.18976284925876685</v>
      </c>
      <c r="AZ211" s="2203">
        <v>-0.6882236801665047</v>
      </c>
      <c r="BA211" s="2203">
        <v>-0.44995803943269674</v>
      </c>
      <c r="BB211" s="2262">
        <v>-6.8722097942030214E-2</v>
      </c>
      <c r="BC211" s="1204"/>
      <c r="BD211" s="1204"/>
      <c r="BE211" s="1269">
        <f t="shared" si="685"/>
        <v>-8.1029832493894283E-2</v>
      </c>
      <c r="BF211" s="1269">
        <f t="shared" si="686"/>
        <v>0.10640259176587319</v>
      </c>
      <c r="BG211" s="1269">
        <f t="shared" si="687"/>
        <v>0.28452740575396795</v>
      </c>
      <c r="BH211" s="1273">
        <f t="shared" si="688"/>
        <v>0.23943723958333307</v>
      </c>
      <c r="BI211" s="1273">
        <f t="shared" si="689"/>
        <v>0.34251620133196736</v>
      </c>
      <c r="BJ211" s="1273">
        <f t="shared" si="690"/>
        <v>0.16336910362263168</v>
      </c>
      <c r="BK211" s="1273">
        <f t="shared" si="691"/>
        <v>6.7615049494315238E-2</v>
      </c>
      <c r="BL211" s="1273">
        <f t="shared" si="692"/>
        <v>0.50356452812980068</v>
      </c>
      <c r="BM211" s="1273">
        <f t="shared" si="693"/>
        <v>-0.18792622950819671</v>
      </c>
      <c r="BN211" s="1273">
        <f t="shared" si="694"/>
        <v>-0.44766666669999966</v>
      </c>
      <c r="BO211" s="1273">
        <f t="shared" si="695"/>
        <v>-0.41266666669999952</v>
      </c>
      <c r="BP211" s="1273">
        <f t="shared" si="696"/>
        <v>-0.34916666669999963</v>
      </c>
      <c r="BQ211" s="1205"/>
      <c r="BR211" s="1206"/>
      <c r="BU211" s="1186"/>
      <c r="BV211" s="1551"/>
      <c r="BW211" s="1551"/>
      <c r="BX211" s="1551"/>
    </row>
    <row r="212" spans="2:76" ht="12.75" customHeight="1">
      <c r="B212" s="1579"/>
      <c r="C212" s="2293" t="s">
        <v>1535</v>
      </c>
      <c r="D212" s="1552"/>
      <c r="E212" s="1552"/>
      <c r="F212" s="1572"/>
      <c r="G212" s="2199">
        <v>-8.8041666666665463E-2</v>
      </c>
      <c r="H212" s="2200">
        <v>-0.16344444444444317</v>
      </c>
      <c r="I212" s="2200">
        <v>-0.26625000000000032</v>
      </c>
      <c r="J212" s="2201">
        <v>-0.10644615384615275</v>
      </c>
      <c r="K212" s="2199">
        <v>-3.8796875000000064E-2</v>
      </c>
      <c r="L212" s="2200">
        <v>-0.11246874999999878</v>
      </c>
      <c r="M212" s="2200">
        <v>-8.0437500000000384E-2</v>
      </c>
      <c r="N212" s="2201">
        <v>-7.6968253968253908E-2</v>
      </c>
      <c r="O212" s="2199">
        <v>-6.4174603174603106E-2</v>
      </c>
      <c r="P212" s="2200">
        <v>-5.0873015873015071E-2</v>
      </c>
      <c r="Q212" s="2200">
        <v>-6.5730158730158195E-2</v>
      </c>
      <c r="R212" s="2200">
        <v>-7.0828125000001574E-2</v>
      </c>
      <c r="S212" s="2199">
        <v>-6.5516666666667334E-2</v>
      </c>
      <c r="T212" s="2203">
        <v>-0.10400000000000054</v>
      </c>
      <c r="U212" s="2203">
        <v>-6.8781250000001126E-2</v>
      </c>
      <c r="V212" s="2202">
        <v>-4.9484375000000469E-2</v>
      </c>
      <c r="W212" s="2203">
        <v>0.13100000000000023</v>
      </c>
      <c r="X212" s="2203">
        <v>-0.1406093749999977</v>
      </c>
      <c r="Y212" s="2203">
        <v>-8.2046874999999631E-2</v>
      </c>
      <c r="Z212" s="2202">
        <v>-0.13220312499999887</v>
      </c>
      <c r="AA212" s="2203">
        <v>-0.18638709677419296</v>
      </c>
      <c r="AB212" s="2203">
        <v>-0.1698571428571416</v>
      </c>
      <c r="AC212" s="2203">
        <v>-9.4734374999999815E-2</v>
      </c>
      <c r="AD212" s="2202">
        <v>-7.3825396825397682E-2</v>
      </c>
      <c r="AE212" s="2203">
        <v>-0.13737704918032856</v>
      </c>
      <c r="AF212" s="2203">
        <v>-0.15981249999999947</v>
      </c>
      <c r="AG212" s="2203">
        <v>-0.16378125000000088</v>
      </c>
      <c r="AH212" s="2202">
        <v>-0.1974516129032251</v>
      </c>
      <c r="AI212" s="2203">
        <v>-0.2175806451612905</v>
      </c>
      <c r="AJ212" s="2203">
        <v>-0.31395312499999983</v>
      </c>
      <c r="AK212" s="2203">
        <v>-0.23814285714285521</v>
      </c>
      <c r="AL212" s="2202">
        <v>-0.332435483870968</v>
      </c>
      <c r="AM212" s="2203">
        <v>-0.44990163934426253</v>
      </c>
      <c r="AN212" s="2203">
        <v>-0.37966666666666615</v>
      </c>
      <c r="AO212" s="2203">
        <v>-0.39166666666666661</v>
      </c>
      <c r="AP212" s="2202">
        <v>-0.37166666666666703</v>
      </c>
      <c r="AQ212" s="2203">
        <v>-0.19602769763382533</v>
      </c>
      <c r="AR212" s="2203">
        <v>-0.300845626465994</v>
      </c>
      <c r="AS212" s="2203">
        <v>-0.18112311230464595</v>
      </c>
      <c r="AT212" s="2202">
        <v>-0.4933368969288674</v>
      </c>
      <c r="AU212" s="2203">
        <v>-0.21941821857145705</v>
      </c>
      <c r="AV212" s="2203">
        <v>-0.28887692999624326</v>
      </c>
      <c r="AW212" s="2203">
        <v>-0.1563235091335029</v>
      </c>
      <c r="AX212" s="2202">
        <v>-0.48504800896546163</v>
      </c>
      <c r="AY212" s="2203">
        <v>-0.2167463007799646</v>
      </c>
      <c r="AZ212" s="2203">
        <v>-0.28245768253923886</v>
      </c>
      <c r="BA212" s="2203">
        <v>-0.14056807383264047</v>
      </c>
      <c r="BB212" s="2262">
        <v>-0.47456127618148791</v>
      </c>
      <c r="BC212" s="1204"/>
      <c r="BD212" s="1204"/>
      <c r="BE212" s="1269"/>
      <c r="BF212" s="1269"/>
      <c r="BG212" s="1269"/>
      <c r="BH212" s="1273"/>
      <c r="BI212" s="1273"/>
      <c r="BJ212" s="1273"/>
      <c r="BK212" s="1273"/>
      <c r="BL212" s="1273"/>
      <c r="BM212" s="1273"/>
      <c r="BN212" s="1273"/>
      <c r="BO212" s="1273"/>
      <c r="BP212" s="1273"/>
      <c r="BQ212" s="1205"/>
      <c r="BR212" s="1226"/>
      <c r="BU212" s="1186"/>
      <c r="BV212" s="1551"/>
      <c r="BW212" s="1551"/>
      <c r="BX212" s="1551"/>
    </row>
    <row r="213" spans="2:76" ht="12.75" customHeight="1">
      <c r="B213" s="1579"/>
      <c r="C213" s="1564"/>
      <c r="G213" s="2199"/>
      <c r="H213" s="2200"/>
      <c r="I213" s="2200"/>
      <c r="J213" s="2201"/>
      <c r="K213" s="2199"/>
      <c r="L213" s="2200"/>
      <c r="M213" s="2200"/>
      <c r="N213" s="2201"/>
      <c r="O213" s="2199"/>
      <c r="P213" s="2200"/>
      <c r="Q213" s="2200"/>
      <c r="R213" s="2200"/>
      <c r="S213" s="2199"/>
      <c r="T213" s="2203"/>
      <c r="U213" s="2203"/>
      <c r="V213" s="2202"/>
      <c r="W213" s="2203"/>
      <c r="X213" s="2203"/>
      <c r="Y213" s="2203"/>
      <c r="Z213" s="2202"/>
      <c r="AA213" s="2203"/>
      <c r="AB213" s="2203"/>
      <c r="AC213" s="2203"/>
      <c r="AD213" s="2202"/>
      <c r="AE213" s="2203"/>
      <c r="AF213" s="2203"/>
      <c r="AG213" s="2203"/>
      <c r="AH213" s="2202"/>
      <c r="AI213" s="2203"/>
      <c r="AJ213" s="2203"/>
      <c r="AK213" s="2203"/>
      <c r="AL213" s="2202"/>
      <c r="AM213" s="2203"/>
      <c r="AN213" s="2203"/>
      <c r="AO213" s="2203"/>
      <c r="AP213" s="2202"/>
      <c r="AQ213" s="2203"/>
      <c r="AR213" s="2203"/>
      <c r="AS213" s="2203"/>
      <c r="AT213" s="2202"/>
      <c r="AU213" s="2203"/>
      <c r="AV213" s="2203"/>
      <c r="AW213" s="2203"/>
      <c r="AX213" s="2202"/>
      <c r="AY213" s="2203"/>
      <c r="AZ213" s="2203"/>
      <c r="BA213" s="2203"/>
      <c r="BB213" s="2262"/>
      <c r="BC213" s="1204"/>
      <c r="BD213" s="1204"/>
      <c r="BE213" s="1269"/>
      <c r="BF213" s="1269"/>
      <c r="BG213" s="1269"/>
      <c r="BH213" s="1273"/>
      <c r="BI213" s="1273"/>
      <c r="BJ213" s="1273"/>
      <c r="BK213" s="1273"/>
      <c r="BL213" s="1273"/>
      <c r="BM213" s="1273"/>
      <c r="BN213" s="1273"/>
      <c r="BO213" s="1273"/>
      <c r="BP213" s="1273"/>
      <c r="BQ213" s="1205"/>
      <c r="BR213" s="1206"/>
      <c r="BU213" s="1186"/>
      <c r="BV213" s="1551"/>
      <c r="BW213" s="1551"/>
      <c r="BX213" s="1551"/>
    </row>
    <row r="214" spans="2:76" ht="12.75" customHeight="1">
      <c r="B214" s="1579"/>
      <c r="C214" s="1252" t="s">
        <v>570</v>
      </c>
      <c r="D214" s="1604"/>
      <c r="E214" s="1604"/>
      <c r="F214" s="1350"/>
      <c r="G214" s="2199"/>
      <c r="H214" s="2200"/>
      <c r="I214" s="2200"/>
      <c r="J214" s="2201"/>
      <c r="K214" s="2199"/>
      <c r="L214" s="2200"/>
      <c r="M214" s="2200"/>
      <c r="N214" s="2201"/>
      <c r="O214" s="2199"/>
      <c r="P214" s="2200"/>
      <c r="Q214" s="2200"/>
      <c r="R214" s="2200"/>
      <c r="S214" s="2199"/>
      <c r="T214" s="2203"/>
      <c r="U214" s="2203"/>
      <c r="V214" s="2202"/>
      <c r="W214" s="2203"/>
      <c r="X214" s="2203"/>
      <c r="Y214" s="2203"/>
      <c r="Z214" s="2202"/>
      <c r="AA214" s="2203"/>
      <c r="AB214" s="2203"/>
      <c r="AC214" s="2203"/>
      <c r="AD214" s="2202"/>
      <c r="AE214" s="2203"/>
      <c r="AF214" s="2203"/>
      <c r="AG214" s="2203"/>
      <c r="AH214" s="2202"/>
      <c r="AI214" s="2203"/>
      <c r="AJ214" s="2203"/>
      <c r="AK214" s="2203"/>
      <c r="AL214" s="2202"/>
      <c r="AM214" s="2203"/>
      <c r="AN214" s="2203"/>
      <c r="AO214" s="2203"/>
      <c r="AP214" s="2202"/>
      <c r="AQ214" s="2203"/>
      <c r="AR214" s="2203"/>
      <c r="AS214" s="2203"/>
      <c r="AT214" s="2202"/>
      <c r="AU214" s="2203"/>
      <c r="AV214" s="2203"/>
      <c r="AW214" s="2203"/>
      <c r="AX214" s="2202"/>
      <c r="AY214" s="2203"/>
      <c r="AZ214" s="2203"/>
      <c r="BA214" s="2203"/>
      <c r="BB214" s="2262"/>
      <c r="BC214" s="1204"/>
      <c r="BD214" s="1204"/>
      <c r="BE214" s="1269"/>
      <c r="BF214" s="1269"/>
      <c r="BG214" s="1269"/>
      <c r="BH214" s="1269"/>
      <c r="BI214" s="1269"/>
      <c r="BJ214" s="1269"/>
      <c r="BK214" s="1269"/>
      <c r="BL214" s="1269"/>
      <c r="BM214" s="1269"/>
      <c r="BN214" s="1269"/>
      <c r="BO214" s="1269"/>
      <c r="BP214" s="1269"/>
      <c r="BQ214" s="1205"/>
      <c r="BR214" s="1206"/>
      <c r="BU214" s="1186"/>
      <c r="BV214" s="1551"/>
      <c r="BW214" s="1551"/>
      <c r="BX214" s="1551"/>
    </row>
    <row r="215" spans="2:76" ht="12.75" customHeight="1">
      <c r="B215" s="1579"/>
      <c r="C215" s="1564" t="s">
        <v>1131</v>
      </c>
      <c r="D215" s="1552"/>
      <c r="E215" s="1552"/>
      <c r="F215" s="1572"/>
      <c r="G215" s="2204">
        <v>5</v>
      </c>
      <c r="H215" s="2203">
        <v>5</v>
      </c>
      <c r="I215" s="2203">
        <v>5</v>
      </c>
      <c r="J215" s="2202">
        <v>5</v>
      </c>
      <c r="K215" s="2204">
        <v>5</v>
      </c>
      <c r="L215" s="2203">
        <v>5</v>
      </c>
      <c r="M215" s="2203">
        <v>5</v>
      </c>
      <c r="N215" s="2202">
        <v>5</v>
      </c>
      <c r="O215" s="2204">
        <v>5</v>
      </c>
      <c r="P215" s="2203">
        <v>5</v>
      </c>
      <c r="Q215" s="2203">
        <v>5</v>
      </c>
      <c r="R215" s="2203">
        <v>5</v>
      </c>
      <c r="S215" s="2204">
        <v>5</v>
      </c>
      <c r="T215" s="2203">
        <v>5</v>
      </c>
      <c r="U215" s="2203">
        <v>5</v>
      </c>
      <c r="V215" s="2202">
        <v>5</v>
      </c>
      <c r="W215" s="2203">
        <v>5</v>
      </c>
      <c r="X215" s="2203">
        <v>5</v>
      </c>
      <c r="Y215" s="2203">
        <v>5</v>
      </c>
      <c r="Z215" s="2202">
        <v>5</v>
      </c>
      <c r="AA215" s="2203">
        <v>5</v>
      </c>
      <c r="AB215" s="2203">
        <v>5</v>
      </c>
      <c r="AC215" s="2203">
        <v>5</v>
      </c>
      <c r="AD215" s="2202">
        <v>5</v>
      </c>
      <c r="AE215" s="2203">
        <v>5</v>
      </c>
      <c r="AF215" s="2203">
        <v>5</v>
      </c>
      <c r="AG215" s="2203">
        <v>5</v>
      </c>
      <c r="AH215" s="2202">
        <v>5</v>
      </c>
      <c r="AI215" s="2203">
        <v>5</v>
      </c>
      <c r="AJ215" s="2203">
        <v>5</v>
      </c>
      <c r="AK215" s="2203">
        <v>5</v>
      </c>
      <c r="AL215" s="2202">
        <v>5</v>
      </c>
      <c r="AM215" s="2203">
        <v>5</v>
      </c>
      <c r="AN215" s="2203">
        <v>5</v>
      </c>
      <c r="AO215" s="2203">
        <v>5</v>
      </c>
      <c r="AP215" s="2202">
        <v>5</v>
      </c>
      <c r="AQ215" s="2203">
        <v>5</v>
      </c>
      <c r="AR215" s="2203">
        <v>5</v>
      </c>
      <c r="AS215" s="2203">
        <v>5</v>
      </c>
      <c r="AT215" s="2202">
        <v>5</v>
      </c>
      <c r="AU215" s="2203">
        <v>5</v>
      </c>
      <c r="AV215" s="2203">
        <v>5</v>
      </c>
      <c r="AW215" s="2203">
        <v>5</v>
      </c>
      <c r="AX215" s="2202">
        <v>5</v>
      </c>
      <c r="AY215" s="2203">
        <v>5</v>
      </c>
      <c r="AZ215" s="2203">
        <v>5</v>
      </c>
      <c r="BA215" s="2203">
        <v>5</v>
      </c>
      <c r="BB215" s="2262">
        <v>5</v>
      </c>
      <c r="BC215" s="1204"/>
      <c r="BD215" s="1204"/>
      <c r="BE215" s="1269">
        <f t="shared" ref="BE215:BE217" si="697">AVERAGE(G215:J215)</f>
        <v>5</v>
      </c>
      <c r="BF215" s="1269">
        <f t="shared" ref="BF215:BF217" si="698">AVERAGE(K215:N215)</f>
        <v>5</v>
      </c>
      <c r="BG215" s="1269">
        <f>AVERAGE(O215:R215)</f>
        <v>5</v>
      </c>
      <c r="BH215" s="1269">
        <f>AVERAGE(S215:V215)</f>
        <v>5</v>
      </c>
      <c r="BI215" s="1269">
        <f>AVERAGE(W215:Z215)</f>
        <v>5</v>
      </c>
      <c r="BJ215" s="1269">
        <f>AVERAGE(AA215:AD215)</f>
        <v>5</v>
      </c>
      <c r="BK215" s="1269">
        <f>AVERAGE(AE215:AH215)</f>
        <v>5</v>
      </c>
      <c r="BL215" s="1269">
        <f>AVERAGE(AI215:AL215)</f>
        <v>5</v>
      </c>
      <c r="BM215" s="1273">
        <f>AVERAGE(AM215:AP215)</f>
        <v>5</v>
      </c>
      <c r="BN215" s="1273">
        <f t="shared" ref="BN215:BN217" si="699">AVERAGE(AQ215:AT215)</f>
        <v>5</v>
      </c>
      <c r="BO215" s="1273">
        <f t="shared" ref="BO215:BO217" si="700">AVERAGE(AU215:AX215)</f>
        <v>5</v>
      </c>
      <c r="BP215" s="1273">
        <f t="shared" ref="BP215:BP217" si="701">AVERAGE(AY215:BB215)</f>
        <v>5</v>
      </c>
      <c r="BQ215" s="1205"/>
      <c r="BR215" s="1206"/>
      <c r="BU215" s="1186"/>
      <c r="BV215" s="1551"/>
      <c r="BW215" s="1551"/>
      <c r="BX215" s="1551"/>
    </row>
    <row r="216" spans="2:76" ht="12.75" customHeight="1">
      <c r="B216" s="1579"/>
      <c r="C216" s="1564" t="s">
        <v>463</v>
      </c>
      <c r="D216" s="1552"/>
      <c r="E216" s="1552"/>
      <c r="F216" s="1572"/>
      <c r="G216" s="2204">
        <v>15</v>
      </c>
      <c r="H216" s="2203">
        <v>15</v>
      </c>
      <c r="I216" s="2203">
        <v>15</v>
      </c>
      <c r="J216" s="2202">
        <v>15</v>
      </c>
      <c r="K216" s="2204">
        <v>15</v>
      </c>
      <c r="L216" s="2203">
        <v>15</v>
      </c>
      <c r="M216" s="2203">
        <v>15</v>
      </c>
      <c r="N216" s="2202">
        <v>15</v>
      </c>
      <c r="O216" s="2204">
        <v>15</v>
      </c>
      <c r="P216" s="2203">
        <v>15</v>
      </c>
      <c r="Q216" s="2203">
        <v>15</v>
      </c>
      <c r="R216" s="2203">
        <v>15</v>
      </c>
      <c r="S216" s="2204">
        <v>15</v>
      </c>
      <c r="T216" s="2203">
        <v>15</v>
      </c>
      <c r="U216" s="2203">
        <v>15</v>
      </c>
      <c r="V216" s="2202">
        <v>15</v>
      </c>
      <c r="W216" s="2203">
        <v>15</v>
      </c>
      <c r="X216" s="2203">
        <v>15</v>
      </c>
      <c r="Y216" s="2203">
        <v>15</v>
      </c>
      <c r="Z216" s="2202">
        <v>15</v>
      </c>
      <c r="AA216" s="2203">
        <v>15</v>
      </c>
      <c r="AB216" s="2203">
        <v>15</v>
      </c>
      <c r="AC216" s="2203">
        <v>15</v>
      </c>
      <c r="AD216" s="2202">
        <v>15</v>
      </c>
      <c r="AE216" s="2203">
        <v>15</v>
      </c>
      <c r="AF216" s="2203">
        <v>15</v>
      </c>
      <c r="AG216" s="2203">
        <v>15</v>
      </c>
      <c r="AH216" s="2202">
        <v>15</v>
      </c>
      <c r="AI216" s="2203">
        <v>15</v>
      </c>
      <c r="AJ216" s="2203">
        <v>15</v>
      </c>
      <c r="AK216" s="2203">
        <v>15</v>
      </c>
      <c r="AL216" s="2202">
        <v>15</v>
      </c>
      <c r="AM216" s="2203">
        <v>15</v>
      </c>
      <c r="AN216" s="2203">
        <v>15</v>
      </c>
      <c r="AO216" s="2203">
        <v>15</v>
      </c>
      <c r="AP216" s="2202">
        <v>15</v>
      </c>
      <c r="AQ216" s="2203">
        <v>15</v>
      </c>
      <c r="AR216" s="2203">
        <v>15</v>
      </c>
      <c r="AS216" s="2203">
        <v>15</v>
      </c>
      <c r="AT216" s="2202">
        <v>15</v>
      </c>
      <c r="AU216" s="2203">
        <v>15</v>
      </c>
      <c r="AV216" s="2203">
        <v>15</v>
      </c>
      <c r="AW216" s="2203">
        <v>15</v>
      </c>
      <c r="AX216" s="2202">
        <v>15</v>
      </c>
      <c r="AY216" s="2203">
        <v>15</v>
      </c>
      <c r="AZ216" s="2203">
        <v>15</v>
      </c>
      <c r="BA216" s="2203">
        <v>15</v>
      </c>
      <c r="BB216" s="2262">
        <v>15</v>
      </c>
      <c r="BC216" s="1204"/>
      <c r="BD216" s="1204"/>
      <c r="BE216" s="1269">
        <f t="shared" si="697"/>
        <v>15</v>
      </c>
      <c r="BF216" s="1269">
        <f t="shared" si="698"/>
        <v>15</v>
      </c>
      <c r="BG216" s="1269">
        <f>AVERAGE(O216:R216)</f>
        <v>15</v>
      </c>
      <c r="BH216" s="1269">
        <f>AVERAGE(S216:V216)</f>
        <v>15</v>
      </c>
      <c r="BI216" s="1269">
        <f>AVERAGE(W216:Z216)</f>
        <v>15</v>
      </c>
      <c r="BJ216" s="1269">
        <f>AVERAGE(AA216:AD216)</f>
        <v>15</v>
      </c>
      <c r="BK216" s="1269">
        <f>AVERAGE(AE216:AH216)</f>
        <v>15</v>
      </c>
      <c r="BL216" s="1269">
        <f>AVERAGE(AI216:AL216)</f>
        <v>15</v>
      </c>
      <c r="BM216" s="1273">
        <f>AVERAGE(AM216:AP216)</f>
        <v>15</v>
      </c>
      <c r="BN216" s="1273">
        <f t="shared" si="699"/>
        <v>15</v>
      </c>
      <c r="BO216" s="1273">
        <f t="shared" si="700"/>
        <v>15</v>
      </c>
      <c r="BP216" s="1273">
        <f t="shared" si="701"/>
        <v>15</v>
      </c>
      <c r="BQ216" s="1205"/>
      <c r="BR216" s="1206"/>
      <c r="BU216" s="1186"/>
      <c r="BV216" s="1551"/>
      <c r="BW216" s="1551"/>
      <c r="BX216" s="1551"/>
    </row>
    <row r="217" spans="2:76" ht="12.75" customHeight="1">
      <c r="B217" s="1579"/>
      <c r="C217" s="1564" t="s">
        <v>464</v>
      </c>
      <c r="D217" s="1552"/>
      <c r="E217" s="1552"/>
      <c r="F217" s="1572"/>
      <c r="G217" s="2204">
        <v>25</v>
      </c>
      <c r="H217" s="2203">
        <v>25</v>
      </c>
      <c r="I217" s="2203">
        <v>25</v>
      </c>
      <c r="J217" s="2202">
        <v>25</v>
      </c>
      <c r="K217" s="2204">
        <v>25</v>
      </c>
      <c r="L217" s="2203">
        <v>25</v>
      </c>
      <c r="M217" s="2203">
        <v>25</v>
      </c>
      <c r="N217" s="2202">
        <v>25</v>
      </c>
      <c r="O217" s="2204">
        <v>25</v>
      </c>
      <c r="P217" s="2203">
        <v>25</v>
      </c>
      <c r="Q217" s="2203">
        <v>25</v>
      </c>
      <c r="R217" s="2203">
        <v>25</v>
      </c>
      <c r="S217" s="2204">
        <v>25</v>
      </c>
      <c r="T217" s="2203">
        <v>25</v>
      </c>
      <c r="U217" s="2203">
        <v>25</v>
      </c>
      <c r="V217" s="2202">
        <v>25</v>
      </c>
      <c r="W217" s="2203">
        <v>25</v>
      </c>
      <c r="X217" s="2203">
        <v>25</v>
      </c>
      <c r="Y217" s="2203">
        <v>25</v>
      </c>
      <c r="Z217" s="2202">
        <v>25</v>
      </c>
      <c r="AA217" s="2203">
        <v>25</v>
      </c>
      <c r="AB217" s="2203">
        <v>25</v>
      </c>
      <c r="AC217" s="2203">
        <v>25</v>
      </c>
      <c r="AD217" s="2202">
        <v>25</v>
      </c>
      <c r="AE217" s="2203">
        <v>25</v>
      </c>
      <c r="AF217" s="2203">
        <v>25</v>
      </c>
      <c r="AG217" s="2203">
        <v>25</v>
      </c>
      <c r="AH217" s="2202">
        <v>25</v>
      </c>
      <c r="AI217" s="2203">
        <v>25</v>
      </c>
      <c r="AJ217" s="2203">
        <v>25</v>
      </c>
      <c r="AK217" s="2203">
        <v>25</v>
      </c>
      <c r="AL217" s="2202">
        <v>25</v>
      </c>
      <c r="AM217" s="2203">
        <v>25</v>
      </c>
      <c r="AN217" s="2203">
        <v>25</v>
      </c>
      <c r="AO217" s="2203">
        <v>25</v>
      </c>
      <c r="AP217" s="2202">
        <v>25</v>
      </c>
      <c r="AQ217" s="2203">
        <v>25</v>
      </c>
      <c r="AR217" s="2203">
        <v>25</v>
      </c>
      <c r="AS217" s="2203">
        <v>25</v>
      </c>
      <c r="AT217" s="2202">
        <v>25</v>
      </c>
      <c r="AU217" s="2203">
        <v>25</v>
      </c>
      <c r="AV217" s="2203">
        <v>25</v>
      </c>
      <c r="AW217" s="2203">
        <v>25</v>
      </c>
      <c r="AX217" s="2202">
        <v>25</v>
      </c>
      <c r="AY217" s="2203">
        <v>25</v>
      </c>
      <c r="AZ217" s="2203">
        <v>25</v>
      </c>
      <c r="BA217" s="2203">
        <v>25</v>
      </c>
      <c r="BB217" s="2262">
        <v>25</v>
      </c>
      <c r="BC217" s="1204"/>
      <c r="BD217" s="1204"/>
      <c r="BE217" s="1269">
        <f t="shared" si="697"/>
        <v>25</v>
      </c>
      <c r="BF217" s="1269">
        <f t="shared" si="698"/>
        <v>25</v>
      </c>
      <c r="BG217" s="1269">
        <f>AVERAGE(O217:R217)</f>
        <v>25</v>
      </c>
      <c r="BH217" s="1269">
        <f>AVERAGE(S217:V217)</f>
        <v>25</v>
      </c>
      <c r="BI217" s="1269">
        <f>AVERAGE(W217:Z217)</f>
        <v>25</v>
      </c>
      <c r="BJ217" s="1269">
        <f>AVERAGE(AA217:AD217)</f>
        <v>25</v>
      </c>
      <c r="BK217" s="1269">
        <f>AVERAGE(AE217:AH217)</f>
        <v>25</v>
      </c>
      <c r="BL217" s="1269">
        <f>AVERAGE(AI217:AL217)</f>
        <v>25</v>
      </c>
      <c r="BM217" s="1273">
        <f>AVERAGE(AM217:AP217)</f>
        <v>25</v>
      </c>
      <c r="BN217" s="1273">
        <f t="shared" si="699"/>
        <v>25</v>
      </c>
      <c r="BO217" s="1273">
        <f t="shared" si="700"/>
        <v>25</v>
      </c>
      <c r="BP217" s="1273">
        <f t="shared" si="701"/>
        <v>25</v>
      </c>
      <c r="BQ217" s="1205"/>
      <c r="BR217" s="1206"/>
      <c r="BU217" s="1186"/>
      <c r="BV217" s="1551"/>
      <c r="BW217" s="1551"/>
      <c r="BX217" s="1551"/>
    </row>
    <row r="218" spans="2:76" ht="12.75" customHeight="1">
      <c r="B218" s="1579"/>
      <c r="C218" s="1564"/>
      <c r="D218" s="1552"/>
      <c r="E218" s="1552"/>
      <c r="F218" s="1572"/>
      <c r="G218" s="2199"/>
      <c r="H218" s="2200"/>
      <c r="I218" s="2200"/>
      <c r="J218" s="2201"/>
      <c r="K218" s="2199"/>
      <c r="L218" s="2200"/>
      <c r="M218" s="2200"/>
      <c r="N218" s="2201"/>
      <c r="O218" s="2199"/>
      <c r="P218" s="2200"/>
      <c r="Q218" s="2200"/>
      <c r="R218" s="2200"/>
      <c r="S218" s="2199"/>
      <c r="T218" s="2203"/>
      <c r="U218" s="2203"/>
      <c r="V218" s="2202"/>
      <c r="W218" s="2203"/>
      <c r="X218" s="2203"/>
      <c r="Y218" s="2203"/>
      <c r="Z218" s="2202"/>
      <c r="AA218" s="2203"/>
      <c r="AB218" s="2203"/>
      <c r="AC218" s="2203"/>
      <c r="AD218" s="2202"/>
      <c r="AE218" s="2203"/>
      <c r="AF218" s="2203"/>
      <c r="AG218" s="2203"/>
      <c r="AH218" s="2202"/>
      <c r="AI218" s="2203"/>
      <c r="AJ218" s="2203"/>
      <c r="AK218" s="2203"/>
      <c r="AL218" s="2202"/>
      <c r="AM218" s="2203"/>
      <c r="AN218" s="2203"/>
      <c r="AO218" s="2203"/>
      <c r="AP218" s="2202"/>
      <c r="AQ218" s="2203"/>
      <c r="AR218" s="2203"/>
      <c r="AS218" s="2203"/>
      <c r="AT218" s="2202"/>
      <c r="AU218" s="2203"/>
      <c r="AV218" s="2203"/>
      <c r="AW218" s="2203"/>
      <c r="AX218" s="2202"/>
      <c r="AY218" s="2203"/>
      <c r="AZ218" s="2203"/>
      <c r="BA218" s="2203"/>
      <c r="BB218" s="2262"/>
      <c r="BC218" s="1204"/>
      <c r="BD218" s="1204"/>
      <c r="BE218" s="1269"/>
      <c r="BF218" s="1269"/>
      <c r="BG218" s="1269"/>
      <c r="BH218" s="1273"/>
      <c r="BI218" s="1273"/>
      <c r="BJ218" s="1273"/>
      <c r="BK218" s="1273"/>
      <c r="BL218" s="1273"/>
      <c r="BM218" s="1273"/>
      <c r="BN218" s="1273"/>
      <c r="BO218" s="1273"/>
      <c r="BP218" s="1273"/>
      <c r="BQ218" s="1205"/>
      <c r="BR218" s="1226"/>
      <c r="BU218" s="1186"/>
      <c r="BV218" s="1551"/>
      <c r="BW218" s="1551"/>
      <c r="BX218" s="1551"/>
    </row>
    <row r="219" spans="2:76" ht="12.75" customHeight="1">
      <c r="B219" s="1579"/>
      <c r="C219" s="1564"/>
      <c r="G219" s="2205"/>
      <c r="H219" s="2206"/>
      <c r="I219" s="2206"/>
      <c r="J219" s="2207"/>
      <c r="K219" s="2205"/>
      <c r="L219" s="2206"/>
      <c r="M219" s="2206"/>
      <c r="N219" s="2207"/>
      <c r="O219" s="2205"/>
      <c r="P219" s="2206"/>
      <c r="Q219" s="2206"/>
      <c r="R219" s="2206"/>
      <c r="S219" s="2213"/>
      <c r="T219" s="2208"/>
      <c r="U219" s="2208"/>
      <c r="V219" s="2210"/>
      <c r="W219" s="2208"/>
      <c r="X219" s="2208"/>
      <c r="Y219" s="2208"/>
      <c r="Z219" s="2212"/>
      <c r="AA219" s="2211"/>
      <c r="AB219" s="2211"/>
      <c r="AC219" s="2211"/>
      <c r="AD219" s="2212"/>
      <c r="AE219" s="2211"/>
      <c r="AF219" s="2211"/>
      <c r="AG219" s="2211"/>
      <c r="AH219" s="2212"/>
      <c r="AI219" s="2211"/>
      <c r="AJ219" s="2211"/>
      <c r="AK219" s="2211"/>
      <c r="AL219" s="2212"/>
      <c r="AM219" s="2211"/>
      <c r="AN219" s="2211"/>
      <c r="AO219" s="2211"/>
      <c r="AP219" s="2212"/>
      <c r="AQ219" s="2211"/>
      <c r="AR219" s="2211"/>
      <c r="AS219" s="2211"/>
      <c r="AT219" s="2212"/>
      <c r="AU219" s="2211"/>
      <c r="AV219" s="2211"/>
      <c r="AW219" s="2211"/>
      <c r="AX219" s="2212"/>
      <c r="AY219" s="2211"/>
      <c r="AZ219" s="2211"/>
      <c r="BA219" s="2211"/>
      <c r="BB219" s="2263"/>
      <c r="BC219" s="1204"/>
      <c r="BD219" s="1204"/>
      <c r="BE219" s="1270"/>
      <c r="BF219" s="1270"/>
      <c r="BG219" s="1270"/>
      <c r="BH219" s="1270"/>
      <c r="BI219" s="1270"/>
      <c r="BJ219" s="1270"/>
      <c r="BK219" s="1270"/>
      <c r="BL219" s="1270"/>
      <c r="BM219" s="1270"/>
      <c r="BN219" s="1270"/>
      <c r="BO219" s="1270"/>
      <c r="BP219" s="1270"/>
      <c r="BQ219" s="1205"/>
      <c r="BR219" s="1226"/>
      <c r="BU219" s="1186"/>
      <c r="BV219" s="1551"/>
      <c r="BW219" s="1551"/>
      <c r="BX219" s="1551"/>
    </row>
    <row r="220" spans="2:76" ht="12.75" customHeight="1">
      <c r="B220" s="1579"/>
      <c r="C220" s="1252" t="s">
        <v>571</v>
      </c>
      <c r="D220" s="1603"/>
      <c r="E220" s="1603"/>
      <c r="F220" s="1602"/>
      <c r="G220" s="2199"/>
      <c r="H220" s="2200"/>
      <c r="I220" s="2200"/>
      <c r="J220" s="2201"/>
      <c r="K220" s="2199"/>
      <c r="L220" s="2200"/>
      <c r="M220" s="2200"/>
      <c r="N220" s="2201"/>
      <c r="O220" s="2199"/>
      <c r="P220" s="2200"/>
      <c r="Q220" s="2200"/>
      <c r="R220" s="2200"/>
      <c r="S220" s="2199"/>
      <c r="T220" s="2203"/>
      <c r="U220" s="2203"/>
      <c r="V220" s="2202"/>
      <c r="W220" s="2203"/>
      <c r="X220" s="2203"/>
      <c r="Y220" s="2203"/>
      <c r="Z220" s="2202"/>
      <c r="AA220" s="2203"/>
      <c r="AB220" s="2203"/>
      <c r="AC220" s="2203"/>
      <c r="AD220" s="2202"/>
      <c r="AE220" s="2203"/>
      <c r="AF220" s="2203"/>
      <c r="AG220" s="2203"/>
      <c r="AH220" s="2202"/>
      <c r="AI220" s="2203"/>
      <c r="AJ220" s="2203"/>
      <c r="AK220" s="2203"/>
      <c r="AL220" s="2202"/>
      <c r="AM220" s="2203"/>
      <c r="AN220" s="2203"/>
      <c r="AO220" s="2203"/>
      <c r="AP220" s="2202"/>
      <c r="AQ220" s="2203"/>
      <c r="AR220" s="2203"/>
      <c r="AS220" s="2203"/>
      <c r="AT220" s="2202"/>
      <c r="AU220" s="2203"/>
      <c r="AV220" s="2203"/>
      <c r="AW220" s="2203"/>
      <c r="AX220" s="2202"/>
      <c r="AY220" s="2203"/>
      <c r="AZ220" s="2203"/>
      <c r="BA220" s="2203"/>
      <c r="BB220" s="2262"/>
      <c r="BC220" s="1204"/>
      <c r="BD220" s="1204"/>
      <c r="BE220" s="1269"/>
      <c r="BF220" s="1269"/>
      <c r="BG220" s="1269"/>
      <c r="BH220" s="1269"/>
      <c r="BI220" s="1269"/>
      <c r="BJ220" s="1269"/>
      <c r="BK220" s="1269"/>
      <c r="BL220" s="1269"/>
      <c r="BM220" s="1269"/>
      <c r="BN220" s="1269"/>
      <c r="BO220" s="1269"/>
      <c r="BP220" s="1269"/>
      <c r="BQ220" s="1205"/>
      <c r="BR220" s="1226"/>
      <c r="BU220" s="1186"/>
      <c r="BV220" s="1551"/>
      <c r="BW220" s="1551"/>
      <c r="BX220" s="1551"/>
    </row>
    <row r="221" spans="2:76" ht="12.75" customHeight="1">
      <c r="B221" s="1579"/>
      <c r="C221" s="1564" t="s">
        <v>561</v>
      </c>
      <c r="D221" s="1552"/>
      <c r="E221" s="1552"/>
      <c r="F221" s="1572"/>
      <c r="G221" s="2219">
        <v>8801.5691509389981</v>
      </c>
      <c r="H221" s="2220">
        <v>10939.694023823055</v>
      </c>
      <c r="I221" s="2220">
        <v>14421.989330928911</v>
      </c>
      <c r="J221" s="2221">
        <v>8861.0131998359921</v>
      </c>
      <c r="K221" s="2219">
        <v>9167.0595922106477</v>
      </c>
      <c r="L221" s="2220">
        <v>10189.12960248709</v>
      </c>
      <c r="M221" s="2220">
        <v>11710.045508691945</v>
      </c>
      <c r="N221" s="2221">
        <v>11336.882768537926</v>
      </c>
      <c r="O221" s="2219">
        <v>10207.718317800258</v>
      </c>
      <c r="P221" s="2220">
        <v>13937.121379905617</v>
      </c>
      <c r="Q221" s="2220">
        <v>15132.551384701612</v>
      </c>
      <c r="R221" s="2220">
        <v>12963.880511989042</v>
      </c>
      <c r="S221" s="2219">
        <v>11474.979818138521</v>
      </c>
      <c r="T221" s="2220">
        <v>10402.131258701407</v>
      </c>
      <c r="U221" s="2220">
        <v>14595.99188276675</v>
      </c>
      <c r="V221" s="2220">
        <v>15599.608908418337</v>
      </c>
      <c r="W221" s="2219">
        <v>9818.857351275652</v>
      </c>
      <c r="X221" s="2220">
        <v>11887.120339338082</v>
      </c>
      <c r="Y221" s="2220">
        <v>15922.771678283798</v>
      </c>
      <c r="Z221" s="2221">
        <v>15026.318812665288</v>
      </c>
      <c r="AA221" s="2219">
        <v>9835.9779023649571</v>
      </c>
      <c r="AB221" s="2220">
        <v>11407.233144218615</v>
      </c>
      <c r="AC221" s="2220">
        <v>18666.071155473397</v>
      </c>
      <c r="AD221" s="2221">
        <v>17315.33127145606</v>
      </c>
      <c r="AE221" s="2219">
        <v>12206.386279703562</v>
      </c>
      <c r="AF221" s="2220">
        <v>16621.31367909328</v>
      </c>
      <c r="AG221" s="2220">
        <v>22288.404958475618</v>
      </c>
      <c r="AH221" s="2221">
        <v>14434.588536316558</v>
      </c>
      <c r="AI221" s="2219">
        <v>10264.218099859183</v>
      </c>
      <c r="AJ221" s="2223">
        <v>12389.285901147583</v>
      </c>
      <c r="AK221" s="2223">
        <v>13153.218506204936</v>
      </c>
      <c r="AL221" s="2222">
        <v>14925.254225358662</v>
      </c>
      <c r="AM221" s="2223">
        <v>7994.7887216424933</v>
      </c>
      <c r="AN221" s="2223">
        <v>13122.990353697749</v>
      </c>
      <c r="AO221" s="2223">
        <v>14125.083166999331</v>
      </c>
      <c r="AP221" s="2222">
        <v>13408.970976253298</v>
      </c>
      <c r="AQ221" s="2223">
        <v>16121.702235183328</v>
      </c>
      <c r="AR221" s="2223">
        <v>17104.044129356756</v>
      </c>
      <c r="AS221" s="2223">
        <v>21029.097168692006</v>
      </c>
      <c r="AT221" s="2222">
        <v>8461.414086437906</v>
      </c>
      <c r="AU221" s="2223">
        <v>15860.467045238278</v>
      </c>
      <c r="AV221" s="2223">
        <v>16826.891124557431</v>
      </c>
      <c r="AW221" s="2223">
        <v>20688.34281700529</v>
      </c>
      <c r="AX221" s="2222">
        <v>8324.3057908107585</v>
      </c>
      <c r="AY221" s="2223">
        <v>15390.53594374832</v>
      </c>
      <c r="AZ221" s="2223">
        <v>16328.325763382341</v>
      </c>
      <c r="BA221" s="2223">
        <v>20075.366181432888</v>
      </c>
      <c r="BB221" s="2265">
        <v>8077.6642399499096</v>
      </c>
      <c r="BC221" s="1204"/>
      <c r="BD221" s="1204"/>
      <c r="BE221" s="1279">
        <f t="shared" ref="BE221:BE236" si="702">AVERAGE(G221:J221)</f>
        <v>10756.06642638174</v>
      </c>
      <c r="BF221" s="1279">
        <f t="shared" ref="BF221:BF236" si="703">AVERAGE(K221:N221)</f>
        <v>10600.779367981901</v>
      </c>
      <c r="BG221" s="1279">
        <f t="shared" ref="BG221:BG236" si="704">AVERAGE(O221:R221)</f>
        <v>13060.317898599133</v>
      </c>
      <c r="BH221" s="1279">
        <f t="shared" ref="BH221:BH236" si="705">AVERAGE(S221:V221)</f>
        <v>13018.177967006253</v>
      </c>
      <c r="BI221" s="1279">
        <f t="shared" ref="BI221:BI236" si="706">AVERAGE(W221:Z221)</f>
        <v>13163.767045390705</v>
      </c>
      <c r="BJ221" s="1279">
        <f t="shared" ref="BJ221:BJ236" si="707">AVERAGE(AA221:AD221)</f>
        <v>14306.153368378258</v>
      </c>
      <c r="BK221" s="1279">
        <f t="shared" ref="BK221:BK236" si="708">AVERAGE(AE221:AH221)</f>
        <v>16387.673363397254</v>
      </c>
      <c r="BL221" s="1279">
        <f t="shared" ref="BL221:BL236" si="709">AVERAGE(AI221:AL221)</f>
        <v>12682.994183142589</v>
      </c>
      <c r="BM221" s="1573">
        <f t="shared" ref="BM221:BM236" si="710">AVERAGE(AM221:AP221)</f>
        <v>12162.958304648218</v>
      </c>
      <c r="BN221" s="1573">
        <f t="shared" ref="BN221:BN236" si="711">AVERAGE(AQ221:AT221)</f>
        <v>15679.064404917501</v>
      </c>
      <c r="BO221" s="1573">
        <f t="shared" ref="BO221:BO236" si="712">AVERAGE(AU221:AX221)</f>
        <v>15425.001694402939</v>
      </c>
      <c r="BP221" s="1573">
        <f t="shared" ref="BP221:BP236" si="713">AVERAGE(AY221:BB221)</f>
        <v>14967.973032128364</v>
      </c>
      <c r="BQ221" s="1205"/>
      <c r="BR221" s="1601"/>
      <c r="BU221" s="1186"/>
      <c r="BV221" s="1551"/>
      <c r="BW221" s="1551"/>
      <c r="BX221" s="1551"/>
    </row>
    <row r="222" spans="2:76" ht="12.75" customHeight="1">
      <c r="B222" s="1579"/>
      <c r="C222" s="1564" t="s">
        <v>438</v>
      </c>
      <c r="D222" s="1552"/>
      <c r="E222" s="1552"/>
      <c r="F222" s="1572"/>
      <c r="G222" s="2219">
        <v>6412.1294171203144</v>
      </c>
      <c r="H222" s="2220">
        <v>9234.2721012697057</v>
      </c>
      <c r="I222" s="2220">
        <v>11593.947010070106</v>
      </c>
      <c r="J222" s="2221">
        <v>7986.3843661035107</v>
      </c>
      <c r="K222" s="2219">
        <v>6840.1396780303039</v>
      </c>
      <c r="L222" s="2220">
        <v>9130.7265133667552</v>
      </c>
      <c r="M222" s="2220">
        <v>10816.593582639658</v>
      </c>
      <c r="N222" s="2221">
        <v>10282.027240426369</v>
      </c>
      <c r="O222" s="2219">
        <v>11040.263568617833</v>
      </c>
      <c r="P222" s="2220">
        <v>14052.827281024129</v>
      </c>
      <c r="Q222" s="2220">
        <v>13593.795584312746</v>
      </c>
      <c r="R222" s="2220">
        <v>10650.641750476832</v>
      </c>
      <c r="S222" s="2219">
        <v>10613.332343739214</v>
      </c>
      <c r="T222" s="2220">
        <v>9814.6604717116315</v>
      </c>
      <c r="U222" s="2220">
        <v>15217.027511328975</v>
      </c>
      <c r="V222" s="2220">
        <v>11622.060695219723</v>
      </c>
      <c r="W222" s="2219">
        <v>8339.8677320762581</v>
      </c>
      <c r="X222" s="2220">
        <v>12089.696865123291</v>
      </c>
      <c r="Y222" s="2220">
        <v>17008.913404698229</v>
      </c>
      <c r="Z222" s="2221">
        <v>14242.244323975263</v>
      </c>
      <c r="AA222" s="2219">
        <v>8245.126379457306</v>
      </c>
      <c r="AB222" s="2220">
        <v>23636.495062483507</v>
      </c>
      <c r="AC222" s="2220">
        <v>29559.964278835214</v>
      </c>
      <c r="AD222" s="2221">
        <v>26840.274598772085</v>
      </c>
      <c r="AE222" s="2219">
        <v>16770.720038090938</v>
      </c>
      <c r="AF222" s="2220">
        <v>22601.852674604575</v>
      </c>
      <c r="AG222" s="2220">
        <v>34191.352496551095</v>
      </c>
      <c r="AH222" s="2221">
        <v>12233.948471734455</v>
      </c>
      <c r="AI222" s="2219">
        <v>9237.5699548947559</v>
      </c>
      <c r="AJ222" s="2223">
        <v>13374.181331245492</v>
      </c>
      <c r="AK222" s="2223">
        <v>19942.594548815701</v>
      </c>
      <c r="AL222" s="2222">
        <v>12811.212946664498</v>
      </c>
      <c r="AM222" s="2223">
        <v>5561.1264063691815</v>
      </c>
      <c r="AN222" s="2223">
        <v>16904.797713941942</v>
      </c>
      <c r="AO222" s="2223">
        <v>15195.195195195192</v>
      </c>
      <c r="AP222" s="2222">
        <v>14065.797641216635</v>
      </c>
      <c r="AQ222" s="2223">
        <v>14527.253857531297</v>
      </c>
      <c r="AR222" s="2223">
        <v>19603.903225075555</v>
      </c>
      <c r="AS222" s="2223">
        <v>17640.554959788038</v>
      </c>
      <c r="AT222" s="2222">
        <v>7417.7739790369633</v>
      </c>
      <c r="AU222" s="2223">
        <v>14642.155761170308</v>
      </c>
      <c r="AV222" s="2223">
        <v>19758.958393891811</v>
      </c>
      <c r="AW222" s="2223">
        <v>17780.081216161496</v>
      </c>
      <c r="AX222" s="2222">
        <v>7476.4441419813102</v>
      </c>
      <c r="AY222" s="2223">
        <v>14513.506709443927</v>
      </c>
      <c r="AZ222" s="2223">
        <v>19585.352040979196</v>
      </c>
      <c r="BA222" s="2223">
        <v>17623.861693204144</v>
      </c>
      <c r="BB222" s="2265">
        <v>7410.7545355572447</v>
      </c>
      <c r="BC222" s="1204"/>
      <c r="BD222" s="1204"/>
      <c r="BE222" s="1279">
        <f t="shared" si="702"/>
        <v>8806.68322364091</v>
      </c>
      <c r="BF222" s="1279">
        <f t="shared" si="703"/>
        <v>9267.371753615771</v>
      </c>
      <c r="BG222" s="1279">
        <f t="shared" si="704"/>
        <v>12334.382046107885</v>
      </c>
      <c r="BH222" s="1279">
        <f t="shared" si="705"/>
        <v>11816.770255499887</v>
      </c>
      <c r="BI222" s="1279">
        <f t="shared" si="706"/>
        <v>12920.180581468259</v>
      </c>
      <c r="BJ222" s="1279">
        <f t="shared" si="707"/>
        <v>22070.465079887028</v>
      </c>
      <c r="BK222" s="1279">
        <f t="shared" si="708"/>
        <v>21449.468420245266</v>
      </c>
      <c r="BL222" s="1279">
        <f t="shared" si="709"/>
        <v>13841.389695405112</v>
      </c>
      <c r="BM222" s="1573">
        <f t="shared" si="710"/>
        <v>12931.729239180739</v>
      </c>
      <c r="BN222" s="1573">
        <f t="shared" si="711"/>
        <v>14797.371505357962</v>
      </c>
      <c r="BO222" s="1573">
        <f t="shared" si="712"/>
        <v>14914.40987830123</v>
      </c>
      <c r="BP222" s="1573">
        <f t="shared" si="713"/>
        <v>14783.368744796129</v>
      </c>
      <c r="BQ222" s="1205"/>
      <c r="BR222" s="1206"/>
      <c r="BU222" s="1186"/>
      <c r="BV222" s="1551"/>
      <c r="BW222" s="1551"/>
      <c r="BX222" s="1551"/>
    </row>
    <row r="223" spans="2:76" ht="12.75" customHeight="1">
      <c r="B223" s="1579"/>
      <c r="C223" s="1564" t="s">
        <v>436</v>
      </c>
      <c r="D223" s="1552"/>
      <c r="E223" s="1552"/>
      <c r="F223" s="1572"/>
      <c r="G223" s="2219">
        <v>8661.4231642287741</v>
      </c>
      <c r="H223" s="2220">
        <v>11733.472288175466</v>
      </c>
      <c r="I223" s="2220">
        <v>15567.424976285371</v>
      </c>
      <c r="J223" s="2221">
        <v>9467.1210998981551</v>
      </c>
      <c r="K223" s="2219">
        <v>8811.5559963805918</v>
      </c>
      <c r="L223" s="2220">
        <v>11833.163129494042</v>
      </c>
      <c r="M223" s="2220">
        <v>13749.375769400505</v>
      </c>
      <c r="N223" s="2221">
        <v>11401.789212415018</v>
      </c>
      <c r="O223" s="2219">
        <v>10858.411061353236</v>
      </c>
      <c r="P223" s="2220">
        <v>17096.327622236855</v>
      </c>
      <c r="Q223" s="2220">
        <v>16321.388541509912</v>
      </c>
      <c r="R223" s="2220">
        <v>11936.102955529621</v>
      </c>
      <c r="S223" s="2219">
        <v>9200.0602031750641</v>
      </c>
      <c r="T223" s="2220">
        <v>10943.30469533352</v>
      </c>
      <c r="U223" s="2220">
        <v>16839.305638511436</v>
      </c>
      <c r="V223" s="2220">
        <v>11507.281614895146</v>
      </c>
      <c r="W223" s="2219">
        <v>8513.2984461369888</v>
      </c>
      <c r="X223" s="2220">
        <v>12214.306661080853</v>
      </c>
      <c r="Y223" s="2220">
        <v>15533.074957564382</v>
      </c>
      <c r="Z223" s="2221">
        <v>13169.174296902111</v>
      </c>
      <c r="AA223" s="2219">
        <v>8752.0153850948955</v>
      </c>
      <c r="AB223" s="2220">
        <v>13044.571585464208</v>
      </c>
      <c r="AC223" s="2220">
        <v>16897.690788927091</v>
      </c>
      <c r="AD223" s="2221">
        <v>14276.849559241589</v>
      </c>
      <c r="AE223" s="2219">
        <v>12408.032404772037</v>
      </c>
      <c r="AF223" s="2220">
        <v>16600.643581221062</v>
      </c>
      <c r="AG223" s="2220">
        <v>20653.382464404767</v>
      </c>
      <c r="AH223" s="2221">
        <v>13059.678246218231</v>
      </c>
      <c r="AI223" s="2219">
        <v>10564.639678870024</v>
      </c>
      <c r="AJ223" s="2223">
        <v>12417.855523387629</v>
      </c>
      <c r="AK223" s="2223">
        <v>13595.184996214484</v>
      </c>
      <c r="AL223" s="2222">
        <v>11881.520868816107</v>
      </c>
      <c r="AM223" s="2223">
        <v>6442.6306762573604</v>
      </c>
      <c r="AN223" s="2223">
        <v>14924.97320471597</v>
      </c>
      <c r="AO223" s="2223">
        <v>11663.33998669328</v>
      </c>
      <c r="AP223" s="2222">
        <v>13240.105540897099</v>
      </c>
      <c r="AQ223" s="2223">
        <v>15902.941350771327</v>
      </c>
      <c r="AR223" s="2223">
        <v>19127.171748689459</v>
      </c>
      <c r="AS223" s="2223">
        <v>16072.965189791517</v>
      </c>
      <c r="AT223" s="2222">
        <v>6473.9168195960674</v>
      </c>
      <c r="AU223" s="2223">
        <v>15877.25457081885</v>
      </c>
      <c r="AV223" s="2223">
        <v>19096.277121023737</v>
      </c>
      <c r="AW223" s="2223">
        <v>16047.003783602089</v>
      </c>
      <c r="AX223" s="2222">
        <v>6463.460007041228</v>
      </c>
      <c r="AY223" s="2223">
        <v>15501.066136796249</v>
      </c>
      <c r="AZ223" s="2223">
        <v>18643.818633709263</v>
      </c>
      <c r="BA223" s="2223">
        <v>15666.79338909201</v>
      </c>
      <c r="BB223" s="2265">
        <v>6310.3177312421476</v>
      </c>
      <c r="BC223" s="1204"/>
      <c r="BD223" s="1204"/>
      <c r="BE223" s="1279">
        <f t="shared" si="702"/>
        <v>11357.360382146942</v>
      </c>
      <c r="BF223" s="1279">
        <f t="shared" si="703"/>
        <v>11448.971026922538</v>
      </c>
      <c r="BG223" s="1279">
        <f t="shared" si="704"/>
        <v>14053.057545157406</v>
      </c>
      <c r="BH223" s="1279">
        <f t="shared" si="705"/>
        <v>12122.488037978792</v>
      </c>
      <c r="BI223" s="1279">
        <f t="shared" si="706"/>
        <v>12357.463590421085</v>
      </c>
      <c r="BJ223" s="1279">
        <f t="shared" si="707"/>
        <v>13242.781829681946</v>
      </c>
      <c r="BK223" s="1279">
        <f t="shared" si="708"/>
        <v>15680.434174154023</v>
      </c>
      <c r="BL223" s="1279">
        <f t="shared" si="709"/>
        <v>12114.800266822062</v>
      </c>
      <c r="BM223" s="1573">
        <f t="shared" si="710"/>
        <v>11567.762352140928</v>
      </c>
      <c r="BN223" s="1573">
        <f t="shared" si="711"/>
        <v>14394.248777212093</v>
      </c>
      <c r="BO223" s="1573">
        <f t="shared" si="712"/>
        <v>14370.998870621475</v>
      </c>
      <c r="BP223" s="1573">
        <f t="shared" si="713"/>
        <v>14030.498972709916</v>
      </c>
      <c r="BQ223" s="1205"/>
      <c r="BR223" s="1206"/>
      <c r="BU223" s="1186"/>
      <c r="BV223" s="1551"/>
      <c r="BW223" s="1551"/>
      <c r="BX223" s="1551"/>
    </row>
    <row r="224" spans="2:76" ht="12.75" customHeight="1">
      <c r="B224" s="1579"/>
      <c r="C224" s="1564" t="s">
        <v>437</v>
      </c>
      <c r="D224" s="1552"/>
      <c r="E224" s="1552"/>
      <c r="F224" s="1572"/>
      <c r="G224" s="2219">
        <v>9539.7438150189519</v>
      </c>
      <c r="H224" s="2220">
        <v>13697.35313631684</v>
      </c>
      <c r="I224" s="2220">
        <v>17284.703810095227</v>
      </c>
      <c r="J224" s="2221">
        <v>10274.047045908441</v>
      </c>
      <c r="K224" s="2219">
        <v>10183.447113344422</v>
      </c>
      <c r="L224" s="2220">
        <v>13001.009310136313</v>
      </c>
      <c r="M224" s="2220">
        <v>14568.584070796462</v>
      </c>
      <c r="N224" s="2221">
        <v>12436.247938794573</v>
      </c>
      <c r="O224" s="2219">
        <v>12425.14553153737</v>
      </c>
      <c r="P224" s="2220">
        <v>18031.971093165863</v>
      </c>
      <c r="Q224" s="2220">
        <v>17146.378293109447</v>
      </c>
      <c r="R224" s="2220">
        <v>12431.863270403677</v>
      </c>
      <c r="S224" s="2219">
        <v>10578.39992459892</v>
      </c>
      <c r="T224" s="2220">
        <v>11999.78855129232</v>
      </c>
      <c r="U224" s="2220">
        <v>17812.227801005432</v>
      </c>
      <c r="V224" s="2220">
        <v>11729.179938323001</v>
      </c>
      <c r="W224" s="2219">
        <v>9203.1098350249158</v>
      </c>
      <c r="X224" s="2220">
        <v>12626.733347297857</v>
      </c>
      <c r="Y224" s="2220">
        <v>15897.562359300329</v>
      </c>
      <c r="Z224" s="2221">
        <v>13240.978153002308</v>
      </c>
      <c r="AA224" s="2219">
        <v>9018.8976375690818</v>
      </c>
      <c r="AB224" s="2220">
        <v>13894.286417546622</v>
      </c>
      <c r="AC224" s="2220">
        <v>18107.995319874713</v>
      </c>
      <c r="AD224" s="2221">
        <v>14745.056501394383</v>
      </c>
      <c r="AE224" s="2219">
        <v>13209.269974318235</v>
      </c>
      <c r="AF224" s="2220">
        <v>17254.346935393285</v>
      </c>
      <c r="AG224" s="2220">
        <v>22217.55576655066</v>
      </c>
      <c r="AH224" s="2221">
        <v>13392.414325610831</v>
      </c>
      <c r="AI224" s="2219">
        <v>10821.778932940791</v>
      </c>
      <c r="AJ224" s="2223">
        <v>14506.809765484199</v>
      </c>
      <c r="AK224" s="2223">
        <v>14815.14368478225</v>
      </c>
      <c r="AL224" s="2222">
        <v>12173.228816928658</v>
      </c>
      <c r="AM224" s="2223">
        <v>7815.56322828876</v>
      </c>
      <c r="AN224" s="2223">
        <v>16606.377277599146</v>
      </c>
      <c r="AO224" s="2223">
        <v>13626.081170991349</v>
      </c>
      <c r="AP224" s="2222">
        <v>14369.39313984169</v>
      </c>
      <c r="AQ224" s="2223">
        <v>16741.315089166317</v>
      </c>
      <c r="AR224" s="2223">
        <v>20687.340048570692</v>
      </c>
      <c r="AS224" s="2223">
        <v>18591.892964046394</v>
      </c>
      <c r="AT224" s="2222">
        <v>8151.6242564083632</v>
      </c>
      <c r="AU224" s="2223">
        <v>16761.003464683836</v>
      </c>
      <c r="AV224" s="2223">
        <v>20711.669088264731</v>
      </c>
      <c r="AW224" s="2223">
        <v>18613.757684249551</v>
      </c>
      <c r="AX224" s="2222">
        <v>8161.210853314461</v>
      </c>
      <c r="AY224" s="2223">
        <v>16419.071657976107</v>
      </c>
      <c r="AZ224" s="2223">
        <v>20289.14197369161</v>
      </c>
      <c r="BA224" s="2223">
        <v>18234.028880541242</v>
      </c>
      <c r="BB224" s="2265">
        <v>7994.7185798729333</v>
      </c>
      <c r="BC224" s="1204"/>
      <c r="BD224" s="1204"/>
      <c r="BE224" s="1279">
        <f t="shared" si="702"/>
        <v>12698.961951834865</v>
      </c>
      <c r="BF224" s="1279">
        <f t="shared" si="703"/>
        <v>12547.322108267941</v>
      </c>
      <c r="BG224" s="1279">
        <f t="shared" si="704"/>
        <v>15008.839547054089</v>
      </c>
      <c r="BH224" s="1279">
        <f t="shared" si="705"/>
        <v>13029.89905380492</v>
      </c>
      <c r="BI224" s="1279">
        <f t="shared" si="706"/>
        <v>12742.095923656352</v>
      </c>
      <c r="BJ224" s="1279">
        <f t="shared" si="707"/>
        <v>13941.558969096201</v>
      </c>
      <c r="BK224" s="1279">
        <f t="shared" si="708"/>
        <v>16518.396750468255</v>
      </c>
      <c r="BL224" s="1279">
        <f t="shared" si="709"/>
        <v>13079.240300033973</v>
      </c>
      <c r="BM224" s="1573">
        <f t="shared" si="710"/>
        <v>13104.353704180236</v>
      </c>
      <c r="BN224" s="1573">
        <f t="shared" si="711"/>
        <v>16043.04308954794</v>
      </c>
      <c r="BO224" s="1573">
        <f t="shared" si="712"/>
        <v>16061.910272628145</v>
      </c>
      <c r="BP224" s="1573">
        <f t="shared" si="713"/>
        <v>15734.240273020474</v>
      </c>
      <c r="BQ224" s="1205"/>
      <c r="BR224" s="1206"/>
      <c r="BU224" s="1186"/>
      <c r="BV224" s="1551"/>
      <c r="BW224" s="1551"/>
      <c r="BX224" s="1551"/>
    </row>
    <row r="225" spans="2:76" ht="12.75" customHeight="1">
      <c r="B225" s="1579"/>
      <c r="C225" s="1564" t="s">
        <v>433</v>
      </c>
      <c r="D225" s="1552"/>
      <c r="E225" s="1552"/>
      <c r="F225" s="1572"/>
      <c r="G225" s="2219">
        <v>8231.2955131731214</v>
      </c>
      <c r="H225" s="2220">
        <v>11041.103779988538</v>
      </c>
      <c r="I225" s="2220">
        <v>14228.587132037725</v>
      </c>
      <c r="J225" s="2221">
        <v>9383.2805134876544</v>
      </c>
      <c r="K225" s="2219">
        <v>8427.5939587936628</v>
      </c>
      <c r="L225" s="2220">
        <v>12841.345055255759</v>
      </c>
      <c r="M225" s="2220">
        <v>13053.181206760597</v>
      </c>
      <c r="N225" s="2221">
        <v>10988.427298979313</v>
      </c>
      <c r="O225" s="2219">
        <v>12399.269052277541</v>
      </c>
      <c r="P225" s="2220">
        <v>15811.917941469588</v>
      </c>
      <c r="Q225" s="2220">
        <v>16066.421494696588</v>
      </c>
      <c r="R225" s="2220">
        <v>11326.798880136883</v>
      </c>
      <c r="S225" s="2219">
        <v>9769.8876086014934</v>
      </c>
      <c r="T225" s="2220">
        <v>10989.280048611789</v>
      </c>
      <c r="U225" s="2220">
        <v>13580.3682962901</v>
      </c>
      <c r="V225" s="2220">
        <v>10104.935635805112</v>
      </c>
      <c r="W225" s="2219">
        <v>8947.0994834564881</v>
      </c>
      <c r="X225" s="2220">
        <v>13598.639044134061</v>
      </c>
      <c r="Y225" s="2220">
        <v>16362.499285784888</v>
      </c>
      <c r="Z225" s="2221">
        <v>14636.185295017334</v>
      </c>
      <c r="AA225" s="2219">
        <v>8819.9510291713868</v>
      </c>
      <c r="AB225" s="2220">
        <v>24123.141529550368</v>
      </c>
      <c r="AC225" s="2220">
        <v>28747.430408517044</v>
      </c>
      <c r="AD225" s="2221">
        <v>24735.597244755765</v>
      </c>
      <c r="AE225" s="2219">
        <v>16416.865442427312</v>
      </c>
      <c r="AF225" s="2220">
        <v>20663.424419465664</v>
      </c>
      <c r="AG225" s="2220">
        <v>28889.206582791372</v>
      </c>
      <c r="AH225" s="2221">
        <v>14896.780177793647</v>
      </c>
      <c r="AI225" s="2219">
        <v>10739.7501298603</v>
      </c>
      <c r="AJ225" s="2223">
        <v>13045.335901964805</v>
      </c>
      <c r="AK225" s="2223">
        <v>20361.658997618648</v>
      </c>
      <c r="AL225" s="2222">
        <v>13616.365420376185</v>
      </c>
      <c r="AM225" s="2223">
        <v>7345.4940065431902</v>
      </c>
      <c r="AN225" s="2223">
        <v>15566.250563994585</v>
      </c>
      <c r="AO225" s="2223">
        <v>16621.62162162162</v>
      </c>
      <c r="AP225" s="2222">
        <v>12917.442582247049</v>
      </c>
      <c r="AQ225" s="2223">
        <v>11104.548723888633</v>
      </c>
      <c r="AR225" s="2223">
        <v>16674.490418195121</v>
      </c>
      <c r="AS225" s="2223">
        <v>17885.095700846545</v>
      </c>
      <c r="AT225" s="2222">
        <v>10165.322792411107</v>
      </c>
      <c r="AU225" s="2223">
        <v>11252.137629199777</v>
      </c>
      <c r="AV225" s="2223">
        <v>16896.108590048279</v>
      </c>
      <c r="AW225" s="2223">
        <v>18122.803847436458</v>
      </c>
      <c r="AX225" s="2222">
        <v>10300.428585574848</v>
      </c>
      <c r="AY225" s="2223">
        <v>11109.283737185371</v>
      </c>
      <c r="AZ225" s="2223">
        <v>16681.6004715444</v>
      </c>
      <c r="BA225" s="2223">
        <v>17892.721959964558</v>
      </c>
      <c r="BB225" s="2265">
        <v>10169.657316918545</v>
      </c>
      <c r="BC225" s="1204"/>
      <c r="BD225" s="1204"/>
      <c r="BE225" s="1279">
        <f t="shared" si="702"/>
        <v>10721.06673467176</v>
      </c>
      <c r="BF225" s="1279">
        <f t="shared" si="703"/>
        <v>11327.636879947331</v>
      </c>
      <c r="BG225" s="1279">
        <f t="shared" si="704"/>
        <v>13901.10184214515</v>
      </c>
      <c r="BH225" s="1279">
        <f t="shared" si="705"/>
        <v>11111.117897327124</v>
      </c>
      <c r="BI225" s="1279">
        <f t="shared" si="706"/>
        <v>13386.105777098193</v>
      </c>
      <c r="BJ225" s="1279">
        <f t="shared" si="707"/>
        <v>21606.530052998642</v>
      </c>
      <c r="BK225" s="1279">
        <f t="shared" si="708"/>
        <v>20216.569155619502</v>
      </c>
      <c r="BL225" s="1279">
        <f t="shared" si="709"/>
        <v>14440.777612454986</v>
      </c>
      <c r="BM225" s="1573">
        <f t="shared" si="710"/>
        <v>13112.702193601612</v>
      </c>
      <c r="BN225" s="1573">
        <f t="shared" si="711"/>
        <v>13957.364408835352</v>
      </c>
      <c r="BO225" s="1573">
        <f t="shared" si="712"/>
        <v>14142.869663064841</v>
      </c>
      <c r="BP225" s="1573">
        <f t="shared" si="713"/>
        <v>13963.315871403218</v>
      </c>
      <c r="BQ225" s="1205"/>
      <c r="BR225" s="1206"/>
      <c r="BU225" s="1186"/>
      <c r="BV225" s="1551"/>
      <c r="BW225" s="1551"/>
      <c r="BX225" s="1551"/>
    </row>
    <row r="226" spans="2:76" ht="12.75" customHeight="1">
      <c r="B226" s="1579"/>
      <c r="C226" s="1564" t="s">
        <v>1207</v>
      </c>
      <c r="D226" s="1552"/>
      <c r="E226" s="1552"/>
      <c r="F226" s="1572"/>
      <c r="G226" s="2219">
        <v>8828.3235001232933</v>
      </c>
      <c r="H226" s="2220">
        <v>12152.629284719847</v>
      </c>
      <c r="I226" s="2220">
        <v>17173.13306743103</v>
      </c>
      <c r="J226" s="2221">
        <v>10120.881701897726</v>
      </c>
      <c r="K226" s="2219">
        <v>9486.4861275515559</v>
      </c>
      <c r="L226" s="2220">
        <v>14083.274067213015</v>
      </c>
      <c r="M226" s="2220">
        <v>15184.902828423206</v>
      </c>
      <c r="N226" s="2221">
        <v>11452.068410464995</v>
      </c>
      <c r="O226" s="2219">
        <v>13882.378537887873</v>
      </c>
      <c r="P226" s="2220">
        <v>15168.285590046735</v>
      </c>
      <c r="Q226" s="2220">
        <v>18341.98697135222</v>
      </c>
      <c r="R226" s="2220">
        <v>12596.345207299488</v>
      </c>
      <c r="S226" s="2219">
        <v>9911.8076792134689</v>
      </c>
      <c r="T226" s="2220">
        <v>11384.147247720264</v>
      </c>
      <c r="U226" s="2220">
        <v>15573.185234756584</v>
      </c>
      <c r="V226" s="2220">
        <v>10607.460008072527</v>
      </c>
      <c r="W226" s="2219">
        <v>10425.452124530333</v>
      </c>
      <c r="X226" s="2220">
        <v>14513.982866861383</v>
      </c>
      <c r="Y226" s="2220">
        <v>17923.159637116962</v>
      </c>
      <c r="Z226" s="2221">
        <v>17808.177795314739</v>
      </c>
      <c r="AA226" s="2219">
        <v>10435.739406819961</v>
      </c>
      <c r="AB226" s="2220">
        <v>22688.465601410513</v>
      </c>
      <c r="AC226" s="2220">
        <v>29063.334258348081</v>
      </c>
      <c r="AD226" s="2221">
        <v>23298.162468780309</v>
      </c>
      <c r="AE226" s="2219">
        <v>17051.205582715174</v>
      </c>
      <c r="AF226" s="2220">
        <v>18139.264256659353</v>
      </c>
      <c r="AG226" s="2220">
        <v>30127.615946596885</v>
      </c>
      <c r="AH226" s="2221">
        <v>12908.049102170644</v>
      </c>
      <c r="AI226" s="2219">
        <v>11111.448318537523</v>
      </c>
      <c r="AJ226" s="2223">
        <v>12879.867308086643</v>
      </c>
      <c r="AK226" s="2223">
        <v>19709.573082387014</v>
      </c>
      <c r="AL226" s="2222">
        <v>14197.025620468919</v>
      </c>
      <c r="AM226" s="2223">
        <v>7552.144985638347</v>
      </c>
      <c r="AN226" s="2223">
        <v>15508.196721311475</v>
      </c>
      <c r="AO226" s="2223">
        <v>17145.420420420422</v>
      </c>
      <c r="AP226" s="2222">
        <v>12891.744258224702</v>
      </c>
      <c r="AQ226" s="2223">
        <v>12752.248157113403</v>
      </c>
      <c r="AR226" s="2223">
        <v>17021.585855808447</v>
      </c>
      <c r="AS226" s="2223">
        <v>18914.044155281495</v>
      </c>
      <c r="AT226" s="2222">
        <v>9489.5496195419528</v>
      </c>
      <c r="AU226" s="2223">
        <v>12943.493840954505</v>
      </c>
      <c r="AV226" s="2223">
        <v>17276.858870177937</v>
      </c>
      <c r="AW226" s="2223">
        <v>19197.698399153764</v>
      </c>
      <c r="AX226" s="2222">
        <v>9631.864557580624</v>
      </c>
      <c r="AY226" s="2223">
        <v>12841.205970069279</v>
      </c>
      <c r="AZ226" s="2223">
        <v>17140.325942428291</v>
      </c>
      <c r="BA226" s="2223">
        <v>19045.985753458921</v>
      </c>
      <c r="BB226" s="2265">
        <v>9555.7473259926228</v>
      </c>
      <c r="BC226" s="1204"/>
      <c r="BD226" s="1204"/>
      <c r="BE226" s="1279">
        <f t="shared" si="702"/>
        <v>12068.741888542974</v>
      </c>
      <c r="BF226" s="1279">
        <f t="shared" si="703"/>
        <v>12551.682858413194</v>
      </c>
      <c r="BG226" s="1279">
        <f t="shared" si="704"/>
        <v>14997.249076646578</v>
      </c>
      <c r="BH226" s="1279">
        <f t="shared" si="705"/>
        <v>11869.150042440711</v>
      </c>
      <c r="BI226" s="1279">
        <f t="shared" si="706"/>
        <v>15167.693105955856</v>
      </c>
      <c r="BJ226" s="1279">
        <f t="shared" si="707"/>
        <v>21371.425433839719</v>
      </c>
      <c r="BK226" s="1279">
        <f t="shared" si="708"/>
        <v>19556.533722035514</v>
      </c>
      <c r="BL226" s="1279">
        <f t="shared" si="709"/>
        <v>14474.478582370026</v>
      </c>
      <c r="BM226" s="1573">
        <f t="shared" si="710"/>
        <v>13274.376596398735</v>
      </c>
      <c r="BN226" s="1573">
        <f t="shared" si="711"/>
        <v>14544.356946936325</v>
      </c>
      <c r="BO226" s="1573">
        <f t="shared" si="712"/>
        <v>14762.478916966707</v>
      </c>
      <c r="BP226" s="1573">
        <f t="shared" si="713"/>
        <v>14645.816247987277</v>
      </c>
      <c r="BQ226" s="1205"/>
      <c r="BR226" s="1206"/>
      <c r="BU226" s="1186"/>
      <c r="BV226" s="1551"/>
      <c r="BW226" s="1551"/>
      <c r="BX226" s="1551"/>
    </row>
    <row r="227" spans="2:76" ht="12.75" customHeight="1">
      <c r="B227" s="1579"/>
      <c r="C227" s="1564" t="s">
        <v>459</v>
      </c>
      <c r="D227" s="1552"/>
      <c r="E227" s="1552"/>
      <c r="F227" s="1572"/>
      <c r="G227" s="2219">
        <v>7234.2720452950425</v>
      </c>
      <c r="H227" s="2220">
        <v>9219.5630628076833</v>
      </c>
      <c r="I227" s="2220">
        <v>11045.187830976916</v>
      </c>
      <c r="J227" s="2221">
        <v>7381.5895861529834</v>
      </c>
      <c r="K227" s="2219">
        <v>6978.2974668560619</v>
      </c>
      <c r="L227" s="2220">
        <v>10974.737677781584</v>
      </c>
      <c r="M227" s="2220">
        <v>11488.370939644137</v>
      </c>
      <c r="N227" s="2221">
        <v>10454.753259779891</v>
      </c>
      <c r="O227" s="2219">
        <v>11590.193568861898</v>
      </c>
      <c r="P227" s="2220">
        <v>14239.168969349786</v>
      </c>
      <c r="Q227" s="2220">
        <v>14649.640167203261</v>
      </c>
      <c r="R227" s="2220">
        <v>10401.683528262198</v>
      </c>
      <c r="S227" s="2219">
        <v>8843.8741816001238</v>
      </c>
      <c r="T227" s="2220">
        <v>10090.605702834497</v>
      </c>
      <c r="U227" s="2220">
        <v>11784.929103005486</v>
      </c>
      <c r="V227" s="2220">
        <v>9055.3075246398785</v>
      </c>
      <c r="W227" s="2219">
        <v>6250.8834115149521</v>
      </c>
      <c r="X227" s="2220">
        <v>13598.445413206973</v>
      </c>
      <c r="Y227" s="2220">
        <v>15115.206481521522</v>
      </c>
      <c r="Z227" s="2221">
        <v>14526.341739741243</v>
      </c>
      <c r="AA227" s="2219">
        <v>6685.8777350899572</v>
      </c>
      <c r="AB227" s="2220">
        <v>22536.074157139941</v>
      </c>
      <c r="AC227" s="2220">
        <v>26155.148246335953</v>
      </c>
      <c r="AD227" s="2221">
        <v>23909.989823722273</v>
      </c>
      <c r="AE227" s="2219">
        <v>14978.836309235272</v>
      </c>
      <c r="AF227" s="2220">
        <v>19797.287168266088</v>
      </c>
      <c r="AG227" s="2220">
        <v>28019.254671976272</v>
      </c>
      <c r="AH227" s="2221">
        <v>14526.175995021027</v>
      </c>
      <c r="AI227" s="2219">
        <v>10353.203493698842</v>
      </c>
      <c r="AJ227" s="2223">
        <v>13146.418491195038</v>
      </c>
      <c r="AK227" s="2223">
        <v>20992.620308985443</v>
      </c>
      <c r="AL227" s="2222">
        <v>11673.338698911291</v>
      </c>
      <c r="AM227" s="2223">
        <v>6038.4727262704982</v>
      </c>
      <c r="AN227" s="2223">
        <v>13216.818012190572</v>
      </c>
      <c r="AO227" s="2223">
        <v>13392.53996447602</v>
      </c>
      <c r="AP227" s="2222">
        <v>11740.379092475589</v>
      </c>
      <c r="AQ227" s="2223">
        <v>12782.858661912423</v>
      </c>
      <c r="AR227" s="2223">
        <v>12270.005904552587</v>
      </c>
      <c r="AS227" s="2223">
        <v>13129.877577825491</v>
      </c>
      <c r="AT227" s="2222">
        <v>11979.669391553554</v>
      </c>
      <c r="AU227" s="2223">
        <v>12476.88178267494</v>
      </c>
      <c r="AV227" s="2223">
        <v>11976.304924654652</v>
      </c>
      <c r="AW227" s="2223">
        <v>12815.594280772109</v>
      </c>
      <c r="AX227" s="2222">
        <v>11692.918051210097</v>
      </c>
      <c r="AY227" s="2223">
        <v>12273.714143985671</v>
      </c>
      <c r="AZ227" s="2223">
        <v>11781.288442640418</v>
      </c>
      <c r="BA227" s="2223">
        <v>12606.911208047992</v>
      </c>
      <c r="BB227" s="2265">
        <v>11502.516106939836</v>
      </c>
      <c r="BC227" s="1204"/>
      <c r="BD227" s="1204"/>
      <c r="BE227" s="1279">
        <f t="shared" si="702"/>
        <v>8720.1531313081559</v>
      </c>
      <c r="BF227" s="1279">
        <f t="shared" si="703"/>
        <v>9974.0398360154177</v>
      </c>
      <c r="BG227" s="1279">
        <f t="shared" si="704"/>
        <v>12720.171558419286</v>
      </c>
      <c r="BH227" s="1279">
        <f t="shared" si="705"/>
        <v>9943.6791280199977</v>
      </c>
      <c r="BI227" s="1279">
        <f t="shared" si="706"/>
        <v>12372.719261496171</v>
      </c>
      <c r="BJ227" s="1279">
        <f t="shared" si="707"/>
        <v>19821.772490572032</v>
      </c>
      <c r="BK227" s="1279">
        <f t="shared" si="708"/>
        <v>19330.388536124665</v>
      </c>
      <c r="BL227" s="1279">
        <f t="shared" si="709"/>
        <v>14041.395248197652</v>
      </c>
      <c r="BM227" s="1573">
        <f t="shared" si="710"/>
        <v>11097.05244885317</v>
      </c>
      <c r="BN227" s="1573">
        <f t="shared" si="711"/>
        <v>12540.602883961015</v>
      </c>
      <c r="BO227" s="1573">
        <f t="shared" si="712"/>
        <v>12240.424759827951</v>
      </c>
      <c r="BP227" s="1573">
        <f t="shared" si="713"/>
        <v>12041.10747540348</v>
      </c>
      <c r="BQ227" s="1205"/>
      <c r="BR227" s="1206"/>
      <c r="BU227" s="1186"/>
      <c r="BV227" s="1551"/>
      <c r="BW227" s="1551"/>
      <c r="BX227" s="1551"/>
    </row>
    <row r="228" spans="2:76" ht="12.75" customHeight="1">
      <c r="B228" s="1579"/>
      <c r="C228" s="1564" t="s">
        <v>202</v>
      </c>
      <c r="D228" s="1552"/>
      <c r="E228" s="1552"/>
      <c r="F228" s="1572"/>
      <c r="G228" s="2219">
        <v>8150.2244612524382</v>
      </c>
      <c r="H228" s="2220">
        <v>10003.549383125364</v>
      </c>
      <c r="I228" s="2220">
        <v>12028.047815312115</v>
      </c>
      <c r="J228" s="2221">
        <v>10227.868758263019</v>
      </c>
      <c r="K228" s="2219">
        <v>9936.5439224208931</v>
      </c>
      <c r="L228" s="2220">
        <v>11672.791950011986</v>
      </c>
      <c r="M228" s="2220">
        <v>12186.105777662253</v>
      </c>
      <c r="N228" s="2221">
        <v>11252.850685073325</v>
      </c>
      <c r="O228" s="2219">
        <v>13099.854320578041</v>
      </c>
      <c r="P228" s="2220">
        <v>15290.619466270606</v>
      </c>
      <c r="Q228" s="2220">
        <v>15612.213249244409</v>
      </c>
      <c r="R228" s="2220">
        <v>11258.478019599537</v>
      </c>
      <c r="S228" s="2219">
        <v>10840.629181716851</v>
      </c>
      <c r="T228" s="2220">
        <v>10433.524268414367</v>
      </c>
      <c r="U228" s="2220">
        <v>11783.624476286885</v>
      </c>
      <c r="V228" s="2220">
        <v>9410.7450433957438</v>
      </c>
      <c r="W228" s="2219">
        <v>15318.186620328099</v>
      </c>
      <c r="X228" s="2220">
        <v>10985.588769221897</v>
      </c>
      <c r="Y228" s="2220">
        <v>9630.6910356468015</v>
      </c>
      <c r="Z228" s="2221">
        <v>10341.789794005559</v>
      </c>
      <c r="AA228" s="2219">
        <v>14856.332241024871</v>
      </c>
      <c r="AB228" s="2220">
        <v>12927.939921820258</v>
      </c>
      <c r="AC228" s="2220">
        <v>12745.79802165131</v>
      </c>
      <c r="AD228" s="2221">
        <v>14436.141757625302</v>
      </c>
      <c r="AE228" s="2219">
        <v>13712.372915511156</v>
      </c>
      <c r="AF228" s="2220">
        <v>14788.269551509478</v>
      </c>
      <c r="AG228" s="2220">
        <v>13349.72491644476</v>
      </c>
      <c r="AH228" s="2221">
        <v>10706.4109123743</v>
      </c>
      <c r="AI228" s="2219">
        <v>10324.076252256546</v>
      </c>
      <c r="AJ228" s="2223">
        <v>10803.742971428574</v>
      </c>
      <c r="AK228" s="2223">
        <v>12479.580188793305</v>
      </c>
      <c r="AL228" s="2222">
        <v>11085.597339180495</v>
      </c>
      <c r="AM228" s="2223">
        <v>12354.403745497164</v>
      </c>
      <c r="AN228" s="2223">
        <v>12625.948501057348</v>
      </c>
      <c r="AO228" s="2223">
        <v>12901.124925991713</v>
      </c>
      <c r="AP228" s="2222">
        <v>11585.295807007466</v>
      </c>
      <c r="AQ228" s="2223">
        <v>11887.424379313399</v>
      </c>
      <c r="AR228" s="2223">
        <v>11870.343784498289</v>
      </c>
      <c r="AS228" s="2223">
        <v>12919.05721085627</v>
      </c>
      <c r="AT228" s="2222">
        <v>12181.915144547824</v>
      </c>
      <c r="AU228" s="2223">
        <v>11741.640116388797</v>
      </c>
      <c r="AV228" s="2223">
        <v>11724.768993520336</v>
      </c>
      <c r="AW228" s="2223">
        <v>12760.621272753231</v>
      </c>
      <c r="AX228" s="2222">
        <v>12032.519323915016</v>
      </c>
      <c r="AY228" s="2223">
        <v>11591.847999052185</v>
      </c>
      <c r="AZ228" s="2223">
        <v>11575.192106866258</v>
      </c>
      <c r="BA228" s="2223">
        <v>12597.829664423458</v>
      </c>
      <c r="BB228" s="2265">
        <v>11879.016361078739</v>
      </c>
      <c r="BC228" s="1204"/>
      <c r="BD228" s="1204"/>
      <c r="BE228" s="1279">
        <f t="shared" si="702"/>
        <v>10102.422604488234</v>
      </c>
      <c r="BF228" s="1279">
        <f t="shared" si="703"/>
        <v>11262.073083792115</v>
      </c>
      <c r="BG228" s="1279">
        <f t="shared" si="704"/>
        <v>13815.291263923147</v>
      </c>
      <c r="BH228" s="1279">
        <f t="shared" si="705"/>
        <v>10617.130742453461</v>
      </c>
      <c r="BI228" s="1279">
        <f t="shared" si="706"/>
        <v>11569.06405480059</v>
      </c>
      <c r="BJ228" s="1279">
        <f t="shared" si="707"/>
        <v>13741.552985530434</v>
      </c>
      <c r="BK228" s="1279">
        <f t="shared" si="708"/>
        <v>13139.194573959921</v>
      </c>
      <c r="BL228" s="1279">
        <f t="shared" si="709"/>
        <v>11173.249187914729</v>
      </c>
      <c r="BM228" s="1573">
        <f t="shared" si="710"/>
        <v>12366.693244888422</v>
      </c>
      <c r="BN228" s="1573">
        <f t="shared" si="711"/>
        <v>12214.685129803944</v>
      </c>
      <c r="BO228" s="1573">
        <f t="shared" si="712"/>
        <v>12064.887426644345</v>
      </c>
      <c r="BP228" s="1573">
        <f t="shared" si="713"/>
        <v>11910.971532855161</v>
      </c>
      <c r="BQ228" s="1205"/>
      <c r="BR228" s="1206"/>
      <c r="BU228" s="1186"/>
      <c r="BV228" s="1551"/>
      <c r="BW228" s="1551"/>
      <c r="BX228" s="1551"/>
    </row>
    <row r="229" spans="2:76" ht="12.75" customHeight="1">
      <c r="B229" s="1579"/>
      <c r="C229" s="1564" t="s">
        <v>479</v>
      </c>
      <c r="D229" s="1552"/>
      <c r="E229" s="1552"/>
      <c r="F229" s="1572"/>
      <c r="G229" s="2219">
        <v>7779.6850119745413</v>
      </c>
      <c r="H229" s="2220">
        <v>9492.1346187852487</v>
      </c>
      <c r="I229" s="2220">
        <v>11670.518647143224</v>
      </c>
      <c r="J229" s="2221">
        <v>9043.648694139978</v>
      </c>
      <c r="K229" s="2219">
        <v>9487.2668594512506</v>
      </c>
      <c r="L229" s="2220">
        <v>10409.06834561809</v>
      </c>
      <c r="M229" s="2220">
        <v>11468.42132683538</v>
      </c>
      <c r="N229" s="2221">
        <v>9514.2850054382216</v>
      </c>
      <c r="O229" s="2219">
        <v>12376.233457669894</v>
      </c>
      <c r="P229" s="2220">
        <v>14387.401369304029</v>
      </c>
      <c r="Q229" s="2220">
        <v>15593.259988776501</v>
      </c>
      <c r="R229" s="2220">
        <v>10321.248406616682</v>
      </c>
      <c r="S229" s="2219">
        <v>10013.535130755854</v>
      </c>
      <c r="T229" s="2220">
        <v>9797.5059785309622</v>
      </c>
      <c r="U229" s="2220">
        <v>11556.783290642117</v>
      </c>
      <c r="V229" s="2220">
        <v>8955.14579243558</v>
      </c>
      <c r="W229" s="2219">
        <v>14102.021173316958</v>
      </c>
      <c r="X229" s="2220">
        <v>10515.051888952205</v>
      </c>
      <c r="Y229" s="2220">
        <v>9329.8105397704876</v>
      </c>
      <c r="Z229" s="2221">
        <v>10242.15556320529</v>
      </c>
      <c r="AA229" s="2219">
        <v>13812.6485828859</v>
      </c>
      <c r="AB229" s="2220">
        <v>11166.919578014331</v>
      </c>
      <c r="AC229" s="2220">
        <v>12281.123997010438</v>
      </c>
      <c r="AD229" s="2221">
        <v>14039.404430911989</v>
      </c>
      <c r="AE229" s="2219">
        <v>13452.093034820135</v>
      </c>
      <c r="AF229" s="2220">
        <v>13851.754927196182</v>
      </c>
      <c r="AG229" s="2220">
        <v>13069.487986386619</v>
      </c>
      <c r="AH229" s="2221">
        <v>10415.320938137747</v>
      </c>
      <c r="AI229" s="2219">
        <v>9752.8895345008495</v>
      </c>
      <c r="AJ229" s="2223">
        <v>10932.723139999998</v>
      </c>
      <c r="AK229" s="2223">
        <v>11696.829462716889</v>
      </c>
      <c r="AL229" s="2222">
        <v>10483.05478949106</v>
      </c>
      <c r="AM229" s="2223">
        <v>10268.572478822029</v>
      </c>
      <c r="AN229" s="2223">
        <v>11220.301032466725</v>
      </c>
      <c r="AO229" s="2223">
        <v>12291.296625222027</v>
      </c>
      <c r="AP229" s="2222">
        <v>10396.323951751867</v>
      </c>
      <c r="AQ229" s="2223">
        <v>11688.854504578794</v>
      </c>
      <c r="AR229" s="2223">
        <v>11265.073570860448</v>
      </c>
      <c r="AS229" s="2223">
        <v>12554.63520359593</v>
      </c>
      <c r="AT229" s="2222">
        <v>9606.3783866369322</v>
      </c>
      <c r="AU229" s="2223">
        <v>11517.869933034026</v>
      </c>
      <c r="AV229" s="2223">
        <v>11100.28806709878</v>
      </c>
      <c r="AW229" s="2223">
        <v>12370.985991404368</v>
      </c>
      <c r="AX229" s="2222">
        <v>9465.8562771442867</v>
      </c>
      <c r="AY229" s="2223">
        <v>11377.488041924906</v>
      </c>
      <c r="AZ229" s="2223">
        <v>10964.995739630653</v>
      </c>
      <c r="BA229" s="2223">
        <v>12220.206166796617</v>
      </c>
      <c r="BB229" s="2265">
        <v>9350.4847012471237</v>
      </c>
      <c r="BC229" s="1204"/>
      <c r="BD229" s="1204"/>
      <c r="BE229" s="1279">
        <f t="shared" si="702"/>
        <v>9496.4967430107481</v>
      </c>
      <c r="BF229" s="1279">
        <f t="shared" si="703"/>
        <v>10219.760384335736</v>
      </c>
      <c r="BG229" s="1279">
        <f t="shared" si="704"/>
        <v>13169.535805591777</v>
      </c>
      <c r="BH229" s="1279">
        <f t="shared" si="705"/>
        <v>10080.742548091128</v>
      </c>
      <c r="BI229" s="1279">
        <f t="shared" si="706"/>
        <v>11047.259791311235</v>
      </c>
      <c r="BJ229" s="1279">
        <f t="shared" si="707"/>
        <v>12825.024147205666</v>
      </c>
      <c r="BK229" s="1279">
        <f t="shared" si="708"/>
        <v>12697.16422163517</v>
      </c>
      <c r="BL229" s="1279">
        <f t="shared" si="709"/>
        <v>10716.3742316772</v>
      </c>
      <c r="BM229" s="1573">
        <f t="shared" si="710"/>
        <v>11044.123522065662</v>
      </c>
      <c r="BN229" s="1573">
        <f t="shared" si="711"/>
        <v>11278.735416418027</v>
      </c>
      <c r="BO229" s="1573">
        <f t="shared" si="712"/>
        <v>11113.750067170366</v>
      </c>
      <c r="BP229" s="1573">
        <f t="shared" si="713"/>
        <v>10978.293662399825</v>
      </c>
      <c r="BQ229" s="1205"/>
      <c r="BR229" s="1206"/>
      <c r="BU229" s="1186"/>
      <c r="BV229" s="1551"/>
      <c r="BW229" s="1551"/>
      <c r="BX229" s="1551"/>
    </row>
    <row r="230" spans="2:76" ht="12.75" customHeight="1">
      <c r="B230" s="1579"/>
      <c r="C230" s="1564" t="s">
        <v>439</v>
      </c>
      <c r="D230" s="1552"/>
      <c r="E230" s="1552"/>
      <c r="F230" s="1572"/>
      <c r="G230" s="2219">
        <v>8322.8273734562244</v>
      </c>
      <c r="H230" s="2220">
        <v>9108.0848492485366</v>
      </c>
      <c r="I230" s="2220">
        <v>11390.781083275977</v>
      </c>
      <c r="J230" s="2221">
        <v>8539.6099607496708</v>
      </c>
      <c r="K230" s="2219">
        <v>11901.725588831843</v>
      </c>
      <c r="L230" s="2220">
        <v>9599.6827009411682</v>
      </c>
      <c r="M230" s="2220">
        <v>26908.502434603772</v>
      </c>
      <c r="N230" s="2221">
        <v>8859.7893372745511</v>
      </c>
      <c r="O230" s="2219">
        <v>10308.713276672239</v>
      </c>
      <c r="P230" s="2220">
        <v>13533.712435401714</v>
      </c>
      <c r="Q230" s="2220">
        <v>10986.165899589667</v>
      </c>
      <c r="R230" s="2220">
        <v>8231.0646137657277</v>
      </c>
      <c r="S230" s="2219">
        <v>8288.1335792918544</v>
      </c>
      <c r="T230" s="2220">
        <v>9101.2420308902474</v>
      </c>
      <c r="U230" s="2220">
        <v>12127.883029718798</v>
      </c>
      <c r="V230" s="2220">
        <v>9584.0310133954554</v>
      </c>
      <c r="W230" s="2219">
        <v>11152.119574375303</v>
      </c>
      <c r="X230" s="2220">
        <v>9729.5722809534491</v>
      </c>
      <c r="Y230" s="2220">
        <v>9717.3949147704898</v>
      </c>
      <c r="Z230" s="2221">
        <v>8918.234962157112</v>
      </c>
      <c r="AA230" s="2219">
        <v>9169.9242686486396</v>
      </c>
      <c r="AB230" s="2220">
        <v>10170.713295240166</v>
      </c>
      <c r="AC230" s="2220">
        <v>12578.254164458334</v>
      </c>
      <c r="AD230" s="2221">
        <v>10933.409709833057</v>
      </c>
      <c r="AE230" s="2219">
        <v>10328.87726941304</v>
      </c>
      <c r="AF230" s="2220">
        <v>11427.537023693696</v>
      </c>
      <c r="AG230" s="2220">
        <v>11549.861420574975</v>
      </c>
      <c r="AH230" s="2221">
        <v>9815.8983124706374</v>
      </c>
      <c r="AI230" s="2219">
        <v>9203.2418044317055</v>
      </c>
      <c r="AJ230" s="2223">
        <v>15003.296031746037</v>
      </c>
      <c r="AK230" s="2223">
        <v>11185.979672546924</v>
      </c>
      <c r="AL230" s="2222">
        <v>10103.434985375012</v>
      </c>
      <c r="AM230" s="2223">
        <v>10702.474722563386</v>
      </c>
      <c r="AN230" s="2223">
        <v>13950.242567483521</v>
      </c>
      <c r="AO230" s="2223">
        <v>42227.750148016574</v>
      </c>
      <c r="AP230" s="2222">
        <v>9375.9103963239504</v>
      </c>
      <c r="AQ230" s="2223">
        <v>8449.0783547043502</v>
      </c>
      <c r="AR230" s="2223">
        <v>10350.829814619823</v>
      </c>
      <c r="AS230" s="2223">
        <v>27931.411143747304</v>
      </c>
      <c r="AT230" s="2222">
        <v>15077.400848592317</v>
      </c>
      <c r="AU230" s="2223">
        <v>7649.6148048687883</v>
      </c>
      <c r="AV230" s="2223">
        <v>9371.419895580284</v>
      </c>
      <c r="AW230" s="2223">
        <v>25288.502158004081</v>
      </c>
      <c r="AX230" s="2222">
        <v>13650.756201842432</v>
      </c>
      <c r="AY230" s="2223">
        <v>7140.7975020316026</v>
      </c>
      <c r="AZ230" s="2223">
        <v>8748.076012697582</v>
      </c>
      <c r="BA230" s="2223">
        <v>23606.426943885024</v>
      </c>
      <c r="BB230" s="2265">
        <v>12742.770488903179</v>
      </c>
      <c r="BC230" s="1204"/>
      <c r="BD230" s="1204"/>
      <c r="BE230" s="1279">
        <f t="shared" si="702"/>
        <v>9340.3258166826035</v>
      </c>
      <c r="BF230" s="1279">
        <f t="shared" si="703"/>
        <v>14317.425015412833</v>
      </c>
      <c r="BG230" s="1279">
        <f t="shared" si="704"/>
        <v>10764.914056357338</v>
      </c>
      <c r="BH230" s="1279">
        <f t="shared" si="705"/>
        <v>9775.3224133240892</v>
      </c>
      <c r="BI230" s="1279">
        <f t="shared" si="706"/>
        <v>9879.3304330640894</v>
      </c>
      <c r="BJ230" s="1279">
        <f t="shared" si="707"/>
        <v>10713.075359545048</v>
      </c>
      <c r="BK230" s="1279">
        <f t="shared" si="708"/>
        <v>10780.543506538086</v>
      </c>
      <c r="BL230" s="1279">
        <f t="shared" si="709"/>
        <v>11373.988123524918</v>
      </c>
      <c r="BM230" s="1573">
        <f t="shared" si="710"/>
        <v>19064.094458596857</v>
      </c>
      <c r="BN230" s="1573">
        <f t="shared" si="711"/>
        <v>15452.180040415949</v>
      </c>
      <c r="BO230" s="1573">
        <f t="shared" si="712"/>
        <v>13990.073265073897</v>
      </c>
      <c r="BP230" s="1573">
        <f t="shared" si="713"/>
        <v>13059.517736879347</v>
      </c>
      <c r="BQ230" s="1205"/>
      <c r="BR230" s="1206"/>
      <c r="BU230" s="1186"/>
      <c r="BV230" s="1551"/>
      <c r="BW230" s="1551"/>
      <c r="BX230" s="1551"/>
    </row>
    <row r="231" spans="2:76" ht="12.75" customHeight="1">
      <c r="B231" s="1579"/>
      <c r="C231" s="1564" t="s">
        <v>480</v>
      </c>
      <c r="D231" s="1552"/>
      <c r="E231" s="1552"/>
      <c r="F231" s="1572"/>
      <c r="G231" s="2219">
        <v>8352.5716177795221</v>
      </c>
      <c r="H231" s="2220">
        <v>9071.6445094720693</v>
      </c>
      <c r="I231" s="2220">
        <v>11366.418321843603</v>
      </c>
      <c r="J231" s="2221">
        <v>8613.7018460944528</v>
      </c>
      <c r="K231" s="2219">
        <v>12155.959864196333</v>
      </c>
      <c r="L231" s="2220">
        <v>9203.9559760970442</v>
      </c>
      <c r="M231" s="2220">
        <v>25900.934188048766</v>
      </c>
      <c r="N231" s="2221">
        <v>8685.0849291008017</v>
      </c>
      <c r="O231" s="2219">
        <v>10275.170594208994</v>
      </c>
      <c r="P231" s="2220">
        <v>13744.748394706701</v>
      </c>
      <c r="Q231" s="2220">
        <v>11197.401049824619</v>
      </c>
      <c r="R231" s="2220">
        <v>8328.7852639674329</v>
      </c>
      <c r="S231" s="2219">
        <v>8348.2723136297336</v>
      </c>
      <c r="T231" s="2220">
        <v>8745.2844176240596</v>
      </c>
      <c r="U231" s="2220">
        <v>10802.091476322017</v>
      </c>
      <c r="V231" s="2220">
        <v>9346.0347165938329</v>
      </c>
      <c r="W231" s="2219">
        <v>11627.729500479627</v>
      </c>
      <c r="X231" s="2220">
        <v>8807.1484775102963</v>
      </c>
      <c r="Y231" s="2220">
        <v>9558.6137410440133</v>
      </c>
      <c r="Z231" s="2221">
        <v>9127.0058129911431</v>
      </c>
      <c r="AA231" s="2219">
        <v>9202.2654654879479</v>
      </c>
      <c r="AB231" s="2220">
        <v>10105.637756293225</v>
      </c>
      <c r="AC231" s="2220">
        <v>12701.782913818659</v>
      </c>
      <c r="AD231" s="2221">
        <v>9778.5805528245146</v>
      </c>
      <c r="AE231" s="2219">
        <v>9897.4409429729876</v>
      </c>
      <c r="AF231" s="2220">
        <v>10464.020312282828</v>
      </c>
      <c r="AG231" s="2220">
        <v>10646.473017770773</v>
      </c>
      <c r="AH231" s="2221">
        <v>8485.0446654235948</v>
      </c>
      <c r="AI231" s="2219">
        <v>7557.3594798727981</v>
      </c>
      <c r="AJ231" s="2223">
        <v>9066.5579365079357</v>
      </c>
      <c r="AK231" s="2223">
        <v>9959.2555936766203</v>
      </c>
      <c r="AL231" s="2222">
        <v>8152.0371878580636</v>
      </c>
      <c r="AM231" s="2223">
        <v>10217.942265440148</v>
      </c>
      <c r="AN231" s="2223">
        <v>13185.222042542606</v>
      </c>
      <c r="AO231" s="2223">
        <v>42121.178211959741</v>
      </c>
      <c r="AP231" s="2222">
        <v>9054.2561746122919</v>
      </c>
      <c r="AQ231" s="2223">
        <v>8124.4846766764404</v>
      </c>
      <c r="AR231" s="2223">
        <v>9664.2180564318169</v>
      </c>
      <c r="AS231" s="2223">
        <v>27348.703499911488</v>
      </c>
      <c r="AT231" s="2222">
        <v>14449.467045874115</v>
      </c>
      <c r="AU231" s="2223">
        <v>7249.1447994286054</v>
      </c>
      <c r="AV231" s="2223">
        <v>8622.9858080039758</v>
      </c>
      <c r="AW231" s="2223">
        <v>24402.127597906943</v>
      </c>
      <c r="AX231" s="2222">
        <v>12892.66741936461</v>
      </c>
      <c r="AY231" s="2223">
        <v>6710.1011029636156</v>
      </c>
      <c r="AZ231" s="2223">
        <v>7981.783807889703</v>
      </c>
      <c r="BA231" s="2223">
        <v>22587.594514911703</v>
      </c>
      <c r="BB231" s="2265">
        <v>11933.973491278659</v>
      </c>
      <c r="BC231" s="1204"/>
      <c r="BD231" s="1204"/>
      <c r="BE231" s="1279">
        <f t="shared" si="702"/>
        <v>9351.0840737974122</v>
      </c>
      <c r="BF231" s="1279">
        <f t="shared" si="703"/>
        <v>13986.483739360738</v>
      </c>
      <c r="BG231" s="1279">
        <f t="shared" si="704"/>
        <v>10886.526325676936</v>
      </c>
      <c r="BH231" s="1279">
        <f t="shared" si="705"/>
        <v>9310.4207310424099</v>
      </c>
      <c r="BI231" s="1279">
        <f t="shared" si="706"/>
        <v>9780.1243830062704</v>
      </c>
      <c r="BJ231" s="1279">
        <f t="shared" si="707"/>
        <v>10447.066672106088</v>
      </c>
      <c r="BK231" s="1279">
        <f t="shared" si="708"/>
        <v>9873.2447346125464</v>
      </c>
      <c r="BL231" s="1279">
        <f t="shared" si="709"/>
        <v>8683.8025494788544</v>
      </c>
      <c r="BM231" s="1573">
        <f t="shared" si="710"/>
        <v>18644.649673638698</v>
      </c>
      <c r="BN231" s="1573">
        <f t="shared" si="711"/>
        <v>14896.718319723466</v>
      </c>
      <c r="BO231" s="1573">
        <f t="shared" si="712"/>
        <v>13291.731406176033</v>
      </c>
      <c r="BP231" s="1573">
        <f t="shared" si="713"/>
        <v>12303.36322926092</v>
      </c>
      <c r="BQ231" s="1205"/>
      <c r="BR231" s="1206"/>
      <c r="BU231" s="1186"/>
      <c r="BV231" s="1551"/>
      <c r="BW231" s="1551"/>
      <c r="BX231" s="1551"/>
    </row>
    <row r="232" spans="2:76" ht="12.75" customHeight="1">
      <c r="B232" s="1579"/>
      <c r="C232" s="1564" t="s">
        <v>440</v>
      </c>
      <c r="D232" s="1552"/>
      <c r="E232" s="1552"/>
      <c r="F232" s="1572"/>
      <c r="G232" s="2219">
        <v>8291.2421236984901</v>
      </c>
      <c r="H232" s="2220">
        <v>9062.2667008499466</v>
      </c>
      <c r="I232" s="2220">
        <v>11356.87806590117</v>
      </c>
      <c r="J232" s="2221">
        <v>8347.9637882575953</v>
      </c>
      <c r="K232" s="2219">
        <v>13250.060693463165</v>
      </c>
      <c r="L232" s="2220">
        <v>9071.8879562291859</v>
      </c>
      <c r="M232" s="2220">
        <v>25893.818464353088</v>
      </c>
      <c r="N232" s="2221">
        <v>8802.8017856887855</v>
      </c>
      <c r="O232" s="2219">
        <v>10427.411930587574</v>
      </c>
      <c r="P232" s="2220">
        <v>13149.847473997354</v>
      </c>
      <c r="Q232" s="2220">
        <v>10844.312381422489</v>
      </c>
      <c r="R232" s="2220">
        <v>8425.2985003315698</v>
      </c>
      <c r="S232" s="2219">
        <v>8251.6765077448854</v>
      </c>
      <c r="T232" s="2220">
        <v>9002.9603883800482</v>
      </c>
      <c r="U232" s="2220">
        <v>11341.851539958103</v>
      </c>
      <c r="V232" s="2220">
        <v>9463.0903276979279</v>
      </c>
      <c r="W232" s="2219">
        <v>11411.501790347942</v>
      </c>
      <c r="X232" s="2220">
        <v>9045.8599574014897</v>
      </c>
      <c r="Y232" s="2220">
        <v>9605.4610611369171</v>
      </c>
      <c r="Z232" s="2221">
        <v>9120.4883109117491</v>
      </c>
      <c r="AA232" s="2219">
        <v>9136.8775797345152</v>
      </c>
      <c r="AB232" s="2220">
        <v>10167.155492757694</v>
      </c>
      <c r="AC232" s="2220">
        <v>12511.457613677228</v>
      </c>
      <c r="AD232" s="2221">
        <v>10876.683448674665</v>
      </c>
      <c r="AE232" s="2219">
        <v>10196.657106772524</v>
      </c>
      <c r="AF232" s="2220">
        <v>10689.109099653992</v>
      </c>
      <c r="AG232" s="2220">
        <v>10773.277437367538</v>
      </c>
      <c r="AH232" s="2221">
        <v>9535.7355641636423</v>
      </c>
      <c r="AI232" s="2219">
        <v>8034.3920235132791</v>
      </c>
      <c r="AJ232" s="2223">
        <v>11540.407142857141</v>
      </c>
      <c r="AK232" s="2223">
        <v>10385.636582967496</v>
      </c>
      <c r="AL232" s="2222">
        <v>9183.4832108958926</v>
      </c>
      <c r="AM232" s="2223">
        <v>10634.225607691036</v>
      </c>
      <c r="AN232" s="2223">
        <v>14236.347804453289</v>
      </c>
      <c r="AO232" s="2223">
        <v>42547.465956187094</v>
      </c>
      <c r="AP232" s="2222">
        <v>9496.5307294658251</v>
      </c>
      <c r="AQ232" s="2223">
        <v>8720.1192578699338</v>
      </c>
      <c r="AR232" s="2223">
        <v>10430.226716582347</v>
      </c>
      <c r="AS232" s="2223">
        <v>28181.026283720643</v>
      </c>
      <c r="AT232" s="2222">
        <v>14900.784624033387</v>
      </c>
      <c r="AU232" s="2223">
        <v>7855.5760409850509</v>
      </c>
      <c r="AV232" s="2223">
        <v>9396.1374465010304</v>
      </c>
      <c r="AW232" s="2223">
        <v>25387.06046766177</v>
      </c>
      <c r="AX232" s="2222">
        <v>13423.468558505469</v>
      </c>
      <c r="AY232" s="2223">
        <v>7313.7196348895295</v>
      </c>
      <c r="AZ232" s="2223">
        <v>8748.0172779255663</v>
      </c>
      <c r="BA232" s="2223">
        <v>23635.929643573669</v>
      </c>
      <c r="BB232" s="2265">
        <v>12497.553973438842</v>
      </c>
      <c r="BC232" s="1204"/>
      <c r="BD232" s="1204"/>
      <c r="BE232" s="1279">
        <f t="shared" si="702"/>
        <v>9264.5876696767991</v>
      </c>
      <c r="BF232" s="1279">
        <f t="shared" si="703"/>
        <v>14254.642224933556</v>
      </c>
      <c r="BG232" s="1279">
        <f t="shared" si="704"/>
        <v>10711.717571584746</v>
      </c>
      <c r="BH232" s="1279">
        <f t="shared" si="705"/>
        <v>9514.8946909452407</v>
      </c>
      <c r="BI232" s="1279">
        <f t="shared" si="706"/>
        <v>9795.8277799495245</v>
      </c>
      <c r="BJ232" s="1279">
        <f t="shared" si="707"/>
        <v>10673.043533711027</v>
      </c>
      <c r="BK232" s="1279">
        <f t="shared" si="708"/>
        <v>10298.694801989424</v>
      </c>
      <c r="BL232" s="1279">
        <f t="shared" si="709"/>
        <v>9785.9797400584521</v>
      </c>
      <c r="BM232" s="1573">
        <f t="shared" si="710"/>
        <v>19228.642524449311</v>
      </c>
      <c r="BN232" s="1573">
        <f t="shared" si="711"/>
        <v>15558.039220551578</v>
      </c>
      <c r="BO232" s="1573">
        <f t="shared" si="712"/>
        <v>14015.56062841333</v>
      </c>
      <c r="BP232" s="1573">
        <f t="shared" si="713"/>
        <v>13048.805132456902</v>
      </c>
      <c r="BQ232" s="1205"/>
      <c r="BR232" s="1206"/>
      <c r="BU232" s="1186"/>
      <c r="BV232" s="1551"/>
      <c r="BW232" s="1551"/>
      <c r="BX232" s="1551"/>
    </row>
    <row r="233" spans="2:76" ht="12.75" customHeight="1">
      <c r="B233" s="1579"/>
      <c r="C233" s="1564" t="s">
        <v>481</v>
      </c>
      <c r="D233" s="1552"/>
      <c r="E233" s="1552"/>
      <c r="F233" s="1572"/>
      <c r="G233" s="2219">
        <v>8762.1583244586454</v>
      </c>
      <c r="H233" s="2220">
        <v>8621.9499063828898</v>
      </c>
      <c r="I233" s="2220">
        <v>10207.705218967056</v>
      </c>
      <c r="J233" s="2221">
        <v>8941.757526174677</v>
      </c>
      <c r="K233" s="2219">
        <v>7843.2743322702108</v>
      </c>
      <c r="L233" s="2220">
        <v>8392.0085932164784</v>
      </c>
      <c r="M233" s="2220">
        <v>10046.833347980197</v>
      </c>
      <c r="N233" s="2221">
        <v>9235.6105140044056</v>
      </c>
      <c r="O233" s="2219">
        <v>9126.4511339092878</v>
      </c>
      <c r="P233" s="2220">
        <v>10134.401783568745</v>
      </c>
      <c r="Q233" s="2220">
        <v>11754.765674803102</v>
      </c>
      <c r="R233" s="2220">
        <v>8337.2335194144489</v>
      </c>
      <c r="S233" s="2219">
        <v>8672.5647979371352</v>
      </c>
      <c r="T233" s="2220">
        <v>9118.2506926640854</v>
      </c>
      <c r="U233" s="2220">
        <v>11096.928780874063</v>
      </c>
      <c r="V233" s="2220">
        <v>9096.6925445307006</v>
      </c>
      <c r="W233" s="2219">
        <v>8683.9376258463581</v>
      </c>
      <c r="X233" s="2220">
        <v>8703.3115203962152</v>
      </c>
      <c r="Y233" s="2220">
        <v>9652.6653325011466</v>
      </c>
      <c r="Z233" s="2221">
        <v>8969.1141558179552</v>
      </c>
      <c r="AA233" s="2219">
        <v>8901.1780605231725</v>
      </c>
      <c r="AB233" s="2220">
        <v>9551.0277881366437</v>
      </c>
      <c r="AC233" s="2220">
        <v>10951.734672288083</v>
      </c>
      <c r="AD233" s="2221">
        <v>9622.1211658004722</v>
      </c>
      <c r="AE233" s="2219">
        <v>9084.1070239354394</v>
      </c>
      <c r="AF233" s="2220">
        <v>10170.034204309035</v>
      </c>
      <c r="AG233" s="2220">
        <v>11984.899139776866</v>
      </c>
      <c r="AH233" s="2221">
        <v>8184.3072380613366</v>
      </c>
      <c r="AI233" s="2219">
        <v>7389.8139328772922</v>
      </c>
      <c r="AJ233" s="2223">
        <v>10342.646878449652</v>
      </c>
      <c r="AK233" s="2223">
        <v>13770.107900873485</v>
      </c>
      <c r="AL233" s="2222">
        <v>7056.5902948086296</v>
      </c>
      <c r="AM233" s="2223">
        <v>6781.1777196375069</v>
      </c>
      <c r="AN233" s="2223">
        <v>13492.720052945069</v>
      </c>
      <c r="AO233" s="2223">
        <v>17437.576749897667</v>
      </c>
      <c r="AP233" s="2222">
        <v>10429.362880886429</v>
      </c>
      <c r="AQ233" s="2223">
        <v>10014.399767955705</v>
      </c>
      <c r="AR233" s="2223">
        <v>14267.477999292238</v>
      </c>
      <c r="AS233" s="2223">
        <v>19740.487786195776</v>
      </c>
      <c r="AT233" s="2222">
        <v>10827.913239907981</v>
      </c>
      <c r="AU233" s="2223">
        <v>10617.254547706931</v>
      </c>
      <c r="AV233" s="2223">
        <v>15126.362955572005</v>
      </c>
      <c r="AW233" s="2223">
        <v>20928.841326325935</v>
      </c>
      <c r="AX233" s="2222">
        <v>11479.740548849391</v>
      </c>
      <c r="AY233" s="2223">
        <v>10827.965041019528</v>
      </c>
      <c r="AZ233" s="2223">
        <v>15426.561409520005</v>
      </c>
      <c r="BA233" s="2223">
        <v>21344.196017175243</v>
      </c>
      <c r="BB233" s="2265">
        <v>11707.567976672637</v>
      </c>
      <c r="BC233" s="1204"/>
      <c r="BD233" s="1204"/>
      <c r="BE233" s="1279">
        <f t="shared" si="702"/>
        <v>9133.392743995817</v>
      </c>
      <c r="BF233" s="1279">
        <f t="shared" si="703"/>
        <v>8879.4316968678213</v>
      </c>
      <c r="BG233" s="1279">
        <f t="shared" si="704"/>
        <v>9838.2130279238954</v>
      </c>
      <c r="BH233" s="1279">
        <f t="shared" si="705"/>
        <v>9496.1092040014955</v>
      </c>
      <c r="BI233" s="1279">
        <f t="shared" si="706"/>
        <v>9002.2571586404192</v>
      </c>
      <c r="BJ233" s="1279">
        <f t="shared" si="707"/>
        <v>9756.5154216870942</v>
      </c>
      <c r="BK233" s="1279">
        <f t="shared" si="708"/>
        <v>9855.8369015206681</v>
      </c>
      <c r="BL233" s="1279">
        <f t="shared" si="709"/>
        <v>9639.7897517522651</v>
      </c>
      <c r="BM233" s="1573">
        <f t="shared" si="710"/>
        <v>12035.209350841669</v>
      </c>
      <c r="BN233" s="1573">
        <f t="shared" si="711"/>
        <v>13712.569698337924</v>
      </c>
      <c r="BO233" s="1573">
        <f t="shared" si="712"/>
        <v>14538.049844613566</v>
      </c>
      <c r="BP233" s="1573">
        <f t="shared" si="713"/>
        <v>14826.572611096854</v>
      </c>
      <c r="BQ233" s="1205"/>
      <c r="BR233" s="1206"/>
      <c r="BU233" s="1186"/>
      <c r="BV233" s="1551"/>
      <c r="BW233" s="1551"/>
      <c r="BX233" s="1551"/>
    </row>
    <row r="234" spans="2:76" ht="12.75" customHeight="1">
      <c r="B234" s="1579"/>
      <c r="C234" s="1564" t="s">
        <v>482</v>
      </c>
      <c r="D234" s="1552"/>
      <c r="E234" s="1552"/>
      <c r="F234" s="1572"/>
      <c r="G234" s="2219">
        <v>11700.565161935485</v>
      </c>
      <c r="H234" s="2220">
        <v>7677.8064845469125</v>
      </c>
      <c r="I234" s="2220">
        <v>9417.3479567810555</v>
      </c>
      <c r="J234" s="2221">
        <v>8861.4285224737796</v>
      </c>
      <c r="K234" s="2219">
        <v>7380.0484170231503</v>
      </c>
      <c r="L234" s="2220">
        <v>7514.6167798312563</v>
      </c>
      <c r="M234" s="2220">
        <v>9858.7607644940235</v>
      </c>
      <c r="N234" s="2221">
        <v>9067.8163253889288</v>
      </c>
      <c r="O234" s="2219">
        <v>9110.09482114807</v>
      </c>
      <c r="P234" s="2220">
        <v>8904.2289277994641</v>
      </c>
      <c r="Q234" s="2220">
        <v>11626.092314450982</v>
      </c>
      <c r="R234" s="2220">
        <v>11418.003440809496</v>
      </c>
      <c r="S234" s="2219">
        <v>11446.755519845941</v>
      </c>
      <c r="T234" s="2220">
        <v>10899.370648108434</v>
      </c>
      <c r="U234" s="2220">
        <v>12691.456396801643</v>
      </c>
      <c r="V234" s="2220">
        <v>10961.734784397329</v>
      </c>
      <c r="W234" s="2219">
        <v>9780.5118738082929</v>
      </c>
      <c r="X234" s="2220">
        <v>8324.2136157281893</v>
      </c>
      <c r="Y234" s="2220">
        <v>10316.639645621897</v>
      </c>
      <c r="Z234" s="2221">
        <v>10289.620298252388</v>
      </c>
      <c r="AA234" s="2219">
        <v>10095.511697752157</v>
      </c>
      <c r="AB234" s="2220">
        <v>10336.636771049025</v>
      </c>
      <c r="AC234" s="2220">
        <v>11870.802114159645</v>
      </c>
      <c r="AD234" s="2221">
        <v>12988.979109047015</v>
      </c>
      <c r="AE234" s="2219">
        <v>10470.96990745581</v>
      </c>
      <c r="AF234" s="2220">
        <v>9544.9231897338559</v>
      </c>
      <c r="AG234" s="2220">
        <v>12095.15192624512</v>
      </c>
      <c r="AH234" s="2221">
        <v>10647.652335388861</v>
      </c>
      <c r="AI234" s="2219">
        <v>8571.6422127332826</v>
      </c>
      <c r="AJ234" s="2223">
        <v>10073.898611437213</v>
      </c>
      <c r="AK234" s="2223">
        <v>13498.819391065657</v>
      </c>
      <c r="AL234" s="2222">
        <v>11005.243762763848</v>
      </c>
      <c r="AM234" s="2223">
        <v>8859.7525685270448</v>
      </c>
      <c r="AN234" s="2223">
        <v>13716.08206485771</v>
      </c>
      <c r="AO234" s="2223">
        <v>18972.574703233728</v>
      </c>
      <c r="AP234" s="2222">
        <v>16516.620498614961</v>
      </c>
      <c r="AQ234" s="2223">
        <v>13499.713741880851</v>
      </c>
      <c r="AR234" s="2223">
        <v>14061.965375588867</v>
      </c>
      <c r="AS234" s="2223">
        <v>19672.051621639861</v>
      </c>
      <c r="AT234" s="2222">
        <v>15045.105469581529</v>
      </c>
      <c r="AU234" s="2223">
        <v>14061.523642976674</v>
      </c>
      <c r="AV234" s="2223">
        <v>14647.174182821826</v>
      </c>
      <c r="AW234" s="2223">
        <v>20490.732194222554</v>
      </c>
      <c r="AX234" s="2222">
        <v>15671.229058381727</v>
      </c>
      <c r="AY234" s="2223">
        <v>13906.632702001074</v>
      </c>
      <c r="AZ234" s="2223">
        <v>14485.832165454884</v>
      </c>
      <c r="BA234" s="2223">
        <v>20265.02203141047</v>
      </c>
      <c r="BB234" s="2265">
        <v>15498.606839287475</v>
      </c>
      <c r="BC234" s="1204"/>
      <c r="BD234" s="1204"/>
      <c r="BE234" s="1279">
        <f t="shared" si="702"/>
        <v>9414.287031434309</v>
      </c>
      <c r="BF234" s="1279">
        <f t="shared" si="703"/>
        <v>8455.3105716843402</v>
      </c>
      <c r="BG234" s="1279">
        <f t="shared" si="704"/>
        <v>10264.604876052003</v>
      </c>
      <c r="BH234" s="1279">
        <f t="shared" si="705"/>
        <v>11499.829337288338</v>
      </c>
      <c r="BI234" s="1279">
        <f t="shared" si="706"/>
        <v>9677.7463583526915</v>
      </c>
      <c r="BJ234" s="1279">
        <f t="shared" si="707"/>
        <v>11322.982423001962</v>
      </c>
      <c r="BK234" s="1279">
        <f t="shared" si="708"/>
        <v>10689.674339705913</v>
      </c>
      <c r="BL234" s="1279">
        <f t="shared" si="709"/>
        <v>10787.4009945</v>
      </c>
      <c r="BM234" s="1573">
        <f t="shared" si="710"/>
        <v>14516.257458808361</v>
      </c>
      <c r="BN234" s="1573">
        <f t="shared" si="711"/>
        <v>15569.709052172777</v>
      </c>
      <c r="BO234" s="1573">
        <f t="shared" si="712"/>
        <v>16217.664769600695</v>
      </c>
      <c r="BP234" s="1573">
        <f t="shared" si="713"/>
        <v>16039.023434538474</v>
      </c>
      <c r="BQ234" s="1205"/>
      <c r="BR234" s="1206"/>
      <c r="BU234" s="1186"/>
      <c r="BV234" s="1551"/>
      <c r="BW234" s="1551"/>
      <c r="BX234" s="1551"/>
    </row>
    <row r="235" spans="2:76" ht="12.75" customHeight="1">
      <c r="B235" s="1579"/>
      <c r="C235" s="1564" t="s">
        <v>483</v>
      </c>
      <c r="D235" s="1552"/>
      <c r="E235" s="1552"/>
      <c r="F235" s="1572"/>
      <c r="G235" s="2219">
        <v>8632.7440232942572</v>
      </c>
      <c r="H235" s="2220">
        <v>7516.769717405763</v>
      </c>
      <c r="I235" s="2220">
        <v>9030.4493391427277</v>
      </c>
      <c r="J235" s="2221">
        <v>8952.3408360904396</v>
      </c>
      <c r="K235" s="2219">
        <v>7313.7886058323793</v>
      </c>
      <c r="L235" s="2220">
        <v>7216.4963764112617</v>
      </c>
      <c r="M235" s="2220">
        <v>9638.9175401523808</v>
      </c>
      <c r="N235" s="2221">
        <v>9023.6993277436741</v>
      </c>
      <c r="O235" s="2219">
        <v>9302.9595264683994</v>
      </c>
      <c r="P235" s="2220">
        <v>10497.69497247698</v>
      </c>
      <c r="Q235" s="2220">
        <v>10394.090269805383</v>
      </c>
      <c r="R235" s="2220">
        <v>9503.8147240986618</v>
      </c>
      <c r="S235" s="2219">
        <v>10227.558514001141</v>
      </c>
      <c r="T235" s="2220">
        <v>12726.79042355791</v>
      </c>
      <c r="U235" s="2220">
        <v>11380.821957728594</v>
      </c>
      <c r="V235" s="2220">
        <v>11365.162652273772</v>
      </c>
      <c r="W235" s="2219">
        <v>9936.1125151956894</v>
      </c>
      <c r="X235" s="2220">
        <v>8914.437491759827</v>
      </c>
      <c r="Y235" s="2220">
        <v>10324.753615972111</v>
      </c>
      <c r="Z235" s="2221">
        <v>10613.533213405261</v>
      </c>
      <c r="AA235" s="2219">
        <v>10794.686554329206</v>
      </c>
      <c r="AB235" s="2220">
        <v>13050.491884183193</v>
      </c>
      <c r="AC235" s="2220">
        <v>11947.399352794859</v>
      </c>
      <c r="AD235" s="2221">
        <v>12563.163583983367</v>
      </c>
      <c r="AE235" s="2219">
        <v>11106.232529645211</v>
      </c>
      <c r="AF235" s="2220">
        <v>11716.347808318487</v>
      </c>
      <c r="AG235" s="2220">
        <v>12357.27579637696</v>
      </c>
      <c r="AH235" s="2221">
        <v>11990.682866775438</v>
      </c>
      <c r="AI235" s="2219">
        <v>9449.9884488374046</v>
      </c>
      <c r="AJ235" s="2223">
        <v>11403.16250934641</v>
      </c>
      <c r="AK235" s="2223">
        <v>14923.468157166129</v>
      </c>
      <c r="AL235" s="2222">
        <v>11110.096130842672</v>
      </c>
      <c r="AM235" s="2223">
        <v>8835.3985409444631</v>
      </c>
      <c r="AN235" s="2223">
        <v>14377.895433487756</v>
      </c>
      <c r="AO235" s="2223">
        <v>18051.575931232092</v>
      </c>
      <c r="AP235" s="2222">
        <v>16724.376731301942</v>
      </c>
      <c r="AQ235" s="2223">
        <v>14738.837139255675</v>
      </c>
      <c r="AR235" s="2223">
        <v>16182.133515390124</v>
      </c>
      <c r="AS235" s="2223">
        <v>20299.089540990994</v>
      </c>
      <c r="AT235" s="2222">
        <v>14937.966413316562</v>
      </c>
      <c r="AU235" s="2223">
        <v>15408.24352602746</v>
      </c>
      <c r="AV235" s="2223">
        <v>16917.091329527619</v>
      </c>
      <c r="AW235" s="2223">
        <v>21221.030672167504</v>
      </c>
      <c r="AX235" s="2222">
        <v>15616.416824836715</v>
      </c>
      <c r="AY235" s="2223">
        <v>15207.123389084334</v>
      </c>
      <c r="AZ235" s="2223">
        <v>16696.27656117802</v>
      </c>
      <c r="BA235" s="2223">
        <v>20944.037607536149</v>
      </c>
      <c r="BB235" s="2265">
        <v>15412.579451351106</v>
      </c>
      <c r="BC235" s="1204"/>
      <c r="BD235" s="1204"/>
      <c r="BE235" s="1279">
        <f t="shared" si="702"/>
        <v>8533.0759789832955</v>
      </c>
      <c r="BF235" s="1279">
        <f t="shared" si="703"/>
        <v>8298.2254625349233</v>
      </c>
      <c r="BG235" s="1279">
        <f t="shared" si="704"/>
        <v>9924.6398732123562</v>
      </c>
      <c r="BH235" s="1279">
        <f t="shared" si="705"/>
        <v>11425.083386890354</v>
      </c>
      <c r="BI235" s="1279">
        <f t="shared" si="706"/>
        <v>9947.2092090832211</v>
      </c>
      <c r="BJ235" s="1279">
        <f t="shared" si="707"/>
        <v>12088.935343822655</v>
      </c>
      <c r="BK235" s="1279">
        <f t="shared" si="708"/>
        <v>11792.634750279025</v>
      </c>
      <c r="BL235" s="1279">
        <f t="shared" si="709"/>
        <v>11721.678811548154</v>
      </c>
      <c r="BM235" s="1573">
        <f t="shared" si="710"/>
        <v>14497.311659241563</v>
      </c>
      <c r="BN235" s="1573">
        <f t="shared" si="711"/>
        <v>16539.506652238339</v>
      </c>
      <c r="BO235" s="1573">
        <f t="shared" si="712"/>
        <v>17290.695588139824</v>
      </c>
      <c r="BP235" s="1573">
        <f t="shared" si="713"/>
        <v>17065.004252287403</v>
      </c>
      <c r="BQ235" s="1205"/>
      <c r="BR235" s="1206"/>
      <c r="BU235" s="1186"/>
      <c r="BV235" s="1551"/>
      <c r="BW235" s="1551"/>
      <c r="BX235" s="1551"/>
    </row>
    <row r="236" spans="2:76" ht="12.75" customHeight="1">
      <c r="B236" s="1579"/>
      <c r="C236" s="1564" t="s">
        <v>484</v>
      </c>
      <c r="D236" s="1552"/>
      <c r="E236" s="1552"/>
      <c r="F236" s="1572"/>
      <c r="G236" s="2219">
        <v>8546.5921192758251</v>
      </c>
      <c r="H236" s="2220">
        <v>6860.4941925393041</v>
      </c>
      <c r="I236" s="2220">
        <v>9589.8568783682331</v>
      </c>
      <c r="J236" s="2221">
        <v>8761.3924824907463</v>
      </c>
      <c r="K236" s="2219">
        <v>6370.4143174569617</v>
      </c>
      <c r="L236" s="2220">
        <v>6211.3020714773484</v>
      </c>
      <c r="M236" s="2220">
        <v>7826.6983038931385</v>
      </c>
      <c r="N236" s="2221">
        <v>8505.2239404965749</v>
      </c>
      <c r="O236" s="2219">
        <v>8361.8498020158422</v>
      </c>
      <c r="P236" s="2220">
        <v>4692.7816196299354</v>
      </c>
      <c r="Q236" s="2220">
        <v>8714.24458656358</v>
      </c>
      <c r="R236" s="2220">
        <v>7915.5249031846197</v>
      </c>
      <c r="S236" s="2219">
        <v>8087.8495531943299</v>
      </c>
      <c r="T236" s="2220">
        <v>7996.3027258199882</v>
      </c>
      <c r="U236" s="2220">
        <v>11211.620071182011</v>
      </c>
      <c r="V236" s="2220">
        <v>10542.452919287505</v>
      </c>
      <c r="W236" s="2219">
        <v>8657.5971567442921</v>
      </c>
      <c r="X236" s="2220">
        <v>6886.9565387563089</v>
      </c>
      <c r="Y236" s="2220">
        <v>9018.6289233419629</v>
      </c>
      <c r="Z236" s="2221">
        <v>8128.1906062345806</v>
      </c>
      <c r="AA236" s="2219">
        <v>7254.6062172011279</v>
      </c>
      <c r="AB236" s="2220">
        <v>10198.607768021606</v>
      </c>
      <c r="AC236" s="2220">
        <v>11012.575922552551</v>
      </c>
      <c r="AD236" s="2221">
        <v>8791.3991643737936</v>
      </c>
      <c r="AE236" s="2219">
        <v>8374.7404708739778</v>
      </c>
      <c r="AF236" s="2220">
        <v>7523.2554039282049</v>
      </c>
      <c r="AG236" s="2220">
        <v>10999.855109017048</v>
      </c>
      <c r="AH236" s="2221">
        <v>8339.4758609136315</v>
      </c>
      <c r="AI236" s="2219">
        <v>7363.9896702949682</v>
      </c>
      <c r="AJ236" s="2223">
        <v>5110.2170980007359</v>
      </c>
      <c r="AK236" s="2223">
        <v>11913.659539148653</v>
      </c>
      <c r="AL236" s="2222">
        <v>6198.0513024458141</v>
      </c>
      <c r="AM236" s="2223">
        <v>5605.4382217503589</v>
      </c>
      <c r="AN236" s="2223">
        <v>6543.6796823295826</v>
      </c>
      <c r="AO236" s="2223">
        <v>11727.384363487512</v>
      </c>
      <c r="AP236" s="2222">
        <v>9868.4210526315801</v>
      </c>
      <c r="AQ236" s="2223">
        <v>10559.234578577465</v>
      </c>
      <c r="AR236" s="2223">
        <v>10219.421198025182</v>
      </c>
      <c r="AS236" s="2223">
        <v>15787.035019442665</v>
      </c>
      <c r="AT236" s="2222">
        <v>7959.8436172566526</v>
      </c>
      <c r="AU236" s="2223">
        <v>11509.813054563114</v>
      </c>
      <c r="AV236" s="2223">
        <v>11139.408509187173</v>
      </c>
      <c r="AW236" s="2223">
        <v>17208.238003185412</v>
      </c>
      <c r="AX236" s="2222">
        <v>8676.4160125822291</v>
      </c>
      <c r="AY236" s="2223">
        <v>11745.513775169822</v>
      </c>
      <c r="AZ236" s="2223">
        <v>11367.523996406751</v>
      </c>
      <c r="BA236" s="2223">
        <v>17560.632440740112</v>
      </c>
      <c r="BB236" s="2265">
        <v>8854.0937469428645</v>
      </c>
      <c r="BC236" s="1204"/>
      <c r="BD236" s="1204"/>
      <c r="BE236" s="1279">
        <f t="shared" si="702"/>
        <v>8439.583918168526</v>
      </c>
      <c r="BF236" s="1279">
        <f t="shared" si="703"/>
        <v>7228.4096583310056</v>
      </c>
      <c r="BG236" s="1279">
        <f t="shared" si="704"/>
        <v>7421.1002278484939</v>
      </c>
      <c r="BH236" s="1279">
        <f t="shared" si="705"/>
        <v>9459.5563173709579</v>
      </c>
      <c r="BI236" s="1279">
        <f t="shared" si="706"/>
        <v>8172.8433062692857</v>
      </c>
      <c r="BJ236" s="1279">
        <f t="shared" si="707"/>
        <v>9314.2972680372695</v>
      </c>
      <c r="BK236" s="1279">
        <f t="shared" si="708"/>
        <v>8809.3317111832148</v>
      </c>
      <c r="BL236" s="1279">
        <f t="shared" si="709"/>
        <v>7646.4794024725434</v>
      </c>
      <c r="BM236" s="1573">
        <f t="shared" si="710"/>
        <v>8436.2308300497589</v>
      </c>
      <c r="BN236" s="1573">
        <f t="shared" si="711"/>
        <v>11131.38360332549</v>
      </c>
      <c r="BO236" s="1573">
        <f t="shared" si="712"/>
        <v>12133.468894879483</v>
      </c>
      <c r="BP236" s="1573">
        <f t="shared" si="713"/>
        <v>12381.940989814888</v>
      </c>
      <c r="BQ236" s="1205"/>
      <c r="BR236" s="1206"/>
      <c r="BU236" s="1186"/>
      <c r="BV236" s="1551"/>
      <c r="BW236" s="1551"/>
      <c r="BX236" s="1551"/>
    </row>
    <row r="237" spans="2:76" ht="12.75" customHeight="1">
      <c r="B237" s="1579"/>
      <c r="C237" s="2293" t="s">
        <v>1535</v>
      </c>
      <c r="D237" s="1552"/>
      <c r="E237" s="1552"/>
      <c r="F237" s="1572"/>
      <c r="G237" s="2219">
        <v>0</v>
      </c>
      <c r="H237" s="2220">
        <v>0</v>
      </c>
      <c r="I237" s="2220">
        <v>0</v>
      </c>
      <c r="J237" s="2221">
        <v>7045.0118387558323</v>
      </c>
      <c r="K237" s="2205">
        <v>10647.814160821332</v>
      </c>
      <c r="L237" s="2220">
        <v>7643.6811086143116</v>
      </c>
      <c r="M237" s="2220">
        <v>26701.729930116137</v>
      </c>
      <c r="N237" s="2221">
        <v>7717.4624704002181</v>
      </c>
      <c r="O237" s="2219">
        <v>9345.1720004820509</v>
      </c>
      <c r="P237" s="2220">
        <v>13807.306134001437</v>
      </c>
      <c r="Q237" s="2220">
        <v>11418.664456046279</v>
      </c>
      <c r="R237" s="2220">
        <v>8673.5340286433238</v>
      </c>
      <c r="S237" s="2219">
        <v>7845.0122816990479</v>
      </c>
      <c r="T237" s="2220">
        <v>8620.1610645234541</v>
      </c>
      <c r="U237" s="2223">
        <v>11174.409787997261</v>
      </c>
      <c r="V237" s="2222">
        <v>9641.3794179416109</v>
      </c>
      <c r="W237" s="2223">
        <v>11434.96156525798</v>
      </c>
      <c r="X237" s="2223">
        <v>9116.0759733353843</v>
      </c>
      <c r="Y237" s="2223">
        <v>9563.9321770397437</v>
      </c>
      <c r="Z237" s="2222">
        <v>9368.9160620250805</v>
      </c>
      <c r="AA237" s="2223">
        <v>9823.1629948743193</v>
      </c>
      <c r="AB237" s="2223">
        <v>10996.392826599309</v>
      </c>
      <c r="AC237" s="2223">
        <v>13165.051909345491</v>
      </c>
      <c r="AD237" s="2222">
        <v>9966.0748691142107</v>
      </c>
      <c r="AE237" s="2223">
        <v>10081.840893466653</v>
      </c>
      <c r="AF237" s="2223">
        <v>10532.235866772089</v>
      </c>
      <c r="AG237" s="2223">
        <v>11115.580950912827</v>
      </c>
      <c r="AH237" s="2222">
        <v>9206.0011555017081</v>
      </c>
      <c r="AI237" s="2223">
        <v>7599.395244266987</v>
      </c>
      <c r="AJ237" s="2223">
        <v>9658.4255255059925</v>
      </c>
      <c r="AK237" s="2223">
        <v>10542.679719462296</v>
      </c>
      <c r="AL237" s="2222">
        <v>9173.459524044767</v>
      </c>
      <c r="AM237" s="2223">
        <v>11552.579721769785</v>
      </c>
      <c r="AN237" s="2223">
        <v>14542.898550724636</v>
      </c>
      <c r="AO237" s="2223">
        <v>48571.299862448417</v>
      </c>
      <c r="AP237" s="2222">
        <v>9541.1462450592899</v>
      </c>
      <c r="AQ237" s="2223">
        <v>8001.7503919318342</v>
      </c>
      <c r="AR237" s="2223">
        <v>10020.549611895432</v>
      </c>
      <c r="AS237" s="2223">
        <v>28583.139290052815</v>
      </c>
      <c r="AT237" s="2222">
        <v>16581.596089097558</v>
      </c>
      <c r="AU237" s="2223">
        <v>7062.8307008244701</v>
      </c>
      <c r="AV237" s="2223">
        <v>8715.8398035065438</v>
      </c>
      <c r="AW237" s="2223">
        <v>24761.304736514343</v>
      </c>
      <c r="AX237" s="2222">
        <v>14438.494039488984</v>
      </c>
      <c r="AY237" s="2223">
        <v>6423.7196260689134</v>
      </c>
      <c r="AZ237" s="2223">
        <v>7906.2276542927948</v>
      </c>
      <c r="BA237" s="2223">
        <v>22408.946307746035</v>
      </c>
      <c r="BB237" s="2265">
        <v>13065.522005420524</v>
      </c>
      <c r="BC237" s="1204"/>
      <c r="BD237" s="1204"/>
      <c r="BE237" s="1279"/>
      <c r="BF237" s="1279"/>
      <c r="BG237" s="1279"/>
      <c r="BH237" s="1279"/>
      <c r="BI237" s="1279"/>
      <c r="BJ237" s="1279"/>
      <c r="BK237" s="1279"/>
      <c r="BL237" s="1279"/>
      <c r="BM237" s="1279"/>
      <c r="BN237" s="1279"/>
      <c r="BO237" s="1279"/>
      <c r="BP237" s="1279"/>
      <c r="BQ237" s="1205"/>
      <c r="BR237" s="1206"/>
      <c r="BU237" s="1186"/>
      <c r="BV237" s="1551"/>
      <c r="BW237" s="1551"/>
      <c r="BX237" s="1551"/>
    </row>
    <row r="238" spans="2:76" ht="12.75" customHeight="1">
      <c r="B238" s="1579"/>
      <c r="C238" s="1252" t="s">
        <v>572</v>
      </c>
      <c r="D238" s="1228"/>
      <c r="E238" s="1228"/>
      <c r="F238" s="1348"/>
      <c r="G238" s="2205"/>
      <c r="H238" s="2206"/>
      <c r="I238" s="2206"/>
      <c r="J238" s="2207"/>
      <c r="K238" s="2219"/>
      <c r="L238" s="2206"/>
      <c r="M238" s="2206"/>
      <c r="N238" s="2207"/>
      <c r="O238" s="2205"/>
      <c r="P238" s="2206"/>
      <c r="Q238" s="2206"/>
      <c r="R238" s="2206"/>
      <c r="S238" s="2213"/>
      <c r="T238" s="2206"/>
      <c r="U238" s="2208"/>
      <c r="V238" s="2210"/>
      <c r="W238" s="2208"/>
      <c r="X238" s="2206"/>
      <c r="Y238" s="2206"/>
      <c r="Z238" s="2210"/>
      <c r="AA238" s="2211"/>
      <c r="AB238" s="2206"/>
      <c r="AC238" s="2206"/>
      <c r="AD238" s="2212"/>
      <c r="AE238" s="2211"/>
      <c r="AF238" s="2206"/>
      <c r="AG238" s="2206"/>
      <c r="AH238" s="2212"/>
      <c r="AI238" s="2211"/>
      <c r="AJ238" s="2211"/>
      <c r="AK238" s="2211"/>
      <c r="AL238" s="2212"/>
      <c r="AM238" s="2211"/>
      <c r="AN238" s="2211"/>
      <c r="AO238" s="2211"/>
      <c r="AP238" s="2212"/>
      <c r="AQ238" s="2211"/>
      <c r="AR238" s="2211"/>
      <c r="AS238" s="2211"/>
      <c r="AT238" s="2212"/>
      <c r="AU238" s="2211"/>
      <c r="AV238" s="2211"/>
      <c r="AW238" s="2211"/>
      <c r="AX238" s="2212"/>
      <c r="AY238" s="2211"/>
      <c r="AZ238" s="2211"/>
      <c r="BA238" s="2211"/>
      <c r="BB238" s="2263"/>
      <c r="BC238" s="1204"/>
      <c r="BD238" s="1204"/>
      <c r="BE238" s="1270"/>
      <c r="BF238" s="1270"/>
      <c r="BG238" s="1270"/>
      <c r="BH238" s="1270"/>
      <c r="BI238" s="1270"/>
      <c r="BJ238" s="1270"/>
      <c r="BK238" s="1270"/>
      <c r="BL238" s="1270"/>
      <c r="BM238" s="1582"/>
      <c r="BN238" s="1582"/>
      <c r="BO238" s="1582"/>
      <c r="BP238" s="1582"/>
      <c r="BQ238" s="1205"/>
      <c r="BR238" s="1206"/>
      <c r="BU238" s="1186"/>
      <c r="BV238" s="1551"/>
      <c r="BW238" s="1551"/>
      <c r="BX238" s="1551"/>
    </row>
    <row r="239" spans="2:76" ht="12.75" customHeight="1">
      <c r="B239" s="1579"/>
      <c r="C239" s="1564" t="s">
        <v>561</v>
      </c>
      <c r="D239" s="1552"/>
      <c r="E239" s="1552"/>
      <c r="F239" s="1572"/>
      <c r="G239" s="2219">
        <v>6851.2172336847298</v>
      </c>
      <c r="H239" s="2220">
        <v>8182.0786967062631</v>
      </c>
      <c r="I239" s="2220">
        <v>8843.0635104283465</v>
      </c>
      <c r="J239" s="2221">
        <v>7237.1775828593409</v>
      </c>
      <c r="K239" s="2219">
        <v>7371.9217492476137</v>
      </c>
      <c r="L239" s="2220">
        <v>7960.8997122438159</v>
      </c>
      <c r="M239" s="2220">
        <v>8379.919228064944</v>
      </c>
      <c r="N239" s="2221">
        <v>8819.7944279269213</v>
      </c>
      <c r="O239" s="2219">
        <v>8447.2140034917284</v>
      </c>
      <c r="P239" s="2220">
        <v>9230.5387992588858</v>
      </c>
      <c r="Q239" s="2220">
        <v>10110.347551066592</v>
      </c>
      <c r="R239" s="2220">
        <v>9797.5546476884065</v>
      </c>
      <c r="S239" s="2219">
        <v>9282.9445192863459</v>
      </c>
      <c r="T239" s="2220">
        <v>7879.1357555234736</v>
      </c>
      <c r="U239" s="2220">
        <v>8084.3226123072382</v>
      </c>
      <c r="V239" s="2220">
        <v>11842.479560862408</v>
      </c>
      <c r="W239" s="2219">
        <v>7345.0633802143266</v>
      </c>
      <c r="X239" s="2220">
        <v>8666.8096880078447</v>
      </c>
      <c r="Y239" s="2220">
        <v>10315.050379273025</v>
      </c>
      <c r="Z239" s="2221">
        <v>9714.574534358846</v>
      </c>
      <c r="AA239" s="2219">
        <v>8382.8453222230091</v>
      </c>
      <c r="AB239" s="2220">
        <v>7537.8738784383268</v>
      </c>
      <c r="AC239" s="2220">
        <v>9837.7064039165271</v>
      </c>
      <c r="AD239" s="2221">
        <v>10577.262881497305</v>
      </c>
      <c r="AE239" s="2219">
        <v>9019.4014549612002</v>
      </c>
      <c r="AF239" s="2220">
        <v>10967.114786064982</v>
      </c>
      <c r="AG239" s="2220">
        <v>11335.823461467095</v>
      </c>
      <c r="AH239" s="2221">
        <v>10726.933653066462</v>
      </c>
      <c r="AI239" s="2219">
        <v>9142.7185751590077</v>
      </c>
      <c r="AJ239" s="2223">
        <v>8545.6610120881614</v>
      </c>
      <c r="AK239" s="2223">
        <v>8055.4469835426908</v>
      </c>
      <c r="AL239" s="2222">
        <v>11859.057936160812</v>
      </c>
      <c r="AM239" s="2223">
        <v>7106.0534420152553</v>
      </c>
      <c r="AN239" s="2223">
        <v>9713.2904608788867</v>
      </c>
      <c r="AO239" s="2223">
        <v>9301.3972055888225</v>
      </c>
      <c r="AP239" s="2222">
        <v>10670.184696569921</v>
      </c>
      <c r="AQ239" s="2223">
        <v>12523.856192309457</v>
      </c>
      <c r="AR239" s="2223">
        <v>12126.37627431892</v>
      </c>
      <c r="AS239" s="2223">
        <v>13524.643202910216</v>
      </c>
      <c r="AT239" s="2222">
        <v>7225.3549785020023</v>
      </c>
      <c r="AU239" s="2223">
        <v>12284.65865189438</v>
      </c>
      <c r="AV239" s="2223">
        <v>11894.770342853019</v>
      </c>
      <c r="AW239" s="2223">
        <v>13266.331278894815</v>
      </c>
      <c r="AX239" s="2222">
        <v>7087.3553789421785</v>
      </c>
      <c r="AY239" s="2223">
        <v>11964.479552774072</v>
      </c>
      <c r="AZ239" s="2223">
        <v>11584.75303097351</v>
      </c>
      <c r="BA239" s="2223">
        <v>12920.56652320475</v>
      </c>
      <c r="BB239" s="2265">
        <v>6902.6353045243814</v>
      </c>
      <c r="BC239" s="1204"/>
      <c r="BD239" s="1204"/>
      <c r="BE239" s="1279">
        <f t="shared" ref="BE239:BE254" si="714">AVERAGE(G239:J239)</f>
        <v>7778.3842559196701</v>
      </c>
      <c r="BF239" s="1279">
        <f t="shared" ref="BF239:BF254" si="715">AVERAGE(K239:N239)</f>
        <v>8133.1337793708235</v>
      </c>
      <c r="BG239" s="1279">
        <f t="shared" ref="BG239:BG254" si="716">AVERAGE(O239:R239)</f>
        <v>9396.4137503764032</v>
      </c>
      <c r="BH239" s="1279">
        <f t="shared" ref="BH239:BH254" si="717">AVERAGE(S239:V239)</f>
        <v>9272.2206119948678</v>
      </c>
      <c r="BI239" s="1279">
        <f t="shared" ref="BI239:BI254" si="718">AVERAGE(W239:Z239)</f>
        <v>9010.3744954635113</v>
      </c>
      <c r="BJ239" s="1279">
        <f t="shared" ref="BJ239:BJ254" si="719">AVERAGE(AA239:AD239)</f>
        <v>9083.9221215187918</v>
      </c>
      <c r="BK239" s="1279">
        <f t="shared" ref="BK239:BK254" si="720">AVERAGE(AE239:AH239)</f>
        <v>10512.318338889934</v>
      </c>
      <c r="BL239" s="1279">
        <f t="shared" ref="BL239:BL254" si="721">AVERAGE(AI239:AL239)</f>
        <v>9400.7211267376679</v>
      </c>
      <c r="BM239" s="1573">
        <f t="shared" ref="BM239:BM254" si="722">AVERAGE(AM239:AP239)</f>
        <v>9197.731451263222</v>
      </c>
      <c r="BN239" s="1573">
        <f t="shared" ref="BN239:BN254" si="723">AVERAGE(AQ239:AT239)</f>
        <v>11350.057662010147</v>
      </c>
      <c r="BO239" s="1573">
        <f t="shared" ref="BO239:BO254" si="724">AVERAGE(AU239:AX239)</f>
        <v>11133.278913146098</v>
      </c>
      <c r="BP239" s="1573">
        <f t="shared" ref="BP239:BP254" si="725">AVERAGE(AY239:BB239)</f>
        <v>10843.108602869177</v>
      </c>
      <c r="BQ239" s="1205"/>
      <c r="BR239" s="1206"/>
      <c r="BU239" s="1186"/>
      <c r="BV239" s="1551"/>
      <c r="BW239" s="1551"/>
      <c r="BX239" s="1551"/>
    </row>
    <row r="240" spans="2:76" ht="12.75" customHeight="1">
      <c r="B240" s="1579"/>
      <c r="C240" s="1564" t="s">
        <v>438</v>
      </c>
      <c r="D240" s="1552"/>
      <c r="E240" s="1552"/>
      <c r="F240" s="1572"/>
      <c r="G240" s="2219">
        <v>5355.6961122030661</v>
      </c>
      <c r="H240" s="2220">
        <v>7028.1794383085698</v>
      </c>
      <c r="I240" s="2220">
        <v>8292.7749177879778</v>
      </c>
      <c r="J240" s="2221">
        <v>6485.8213553112255</v>
      </c>
      <c r="K240" s="2219">
        <v>6023.4534353193767</v>
      </c>
      <c r="L240" s="2220">
        <v>6697.9018560678951</v>
      </c>
      <c r="M240" s="2220">
        <v>7684.5603729599397</v>
      </c>
      <c r="N240" s="2221">
        <v>7744.4976746612501</v>
      </c>
      <c r="O240" s="2219">
        <v>8639.8374439110084</v>
      </c>
      <c r="P240" s="2220">
        <v>8438.5265301215695</v>
      </c>
      <c r="Q240" s="2220">
        <v>8950.6358841748479</v>
      </c>
      <c r="R240" s="2220">
        <v>8360.5518128974873</v>
      </c>
      <c r="S240" s="2219">
        <v>8283.8886860413586</v>
      </c>
      <c r="T240" s="2220">
        <v>6843.1719383213203</v>
      </c>
      <c r="U240" s="2220">
        <v>7359.8377490323146</v>
      </c>
      <c r="V240" s="2220">
        <v>7354.2240723278701</v>
      </c>
      <c r="W240" s="2219">
        <v>5887.49512865822</v>
      </c>
      <c r="X240" s="2220">
        <v>7342.5870896590586</v>
      </c>
      <c r="Y240" s="2220">
        <v>9428.2420655372098</v>
      </c>
      <c r="Z240" s="2221">
        <v>7903.1028409842911</v>
      </c>
      <c r="AA240" s="2219">
        <v>5838.4228171684554</v>
      </c>
      <c r="AB240" s="2220">
        <v>11231.838014387387</v>
      </c>
      <c r="AC240" s="2220">
        <v>14895.865292939685</v>
      </c>
      <c r="AD240" s="2221">
        <v>11088.680104153016</v>
      </c>
      <c r="AE240" s="2219">
        <v>7430.0572431015753</v>
      </c>
      <c r="AF240" s="2220">
        <v>9854.2125554743252</v>
      </c>
      <c r="AG240" s="2220">
        <v>14312.880773121604</v>
      </c>
      <c r="AH240" s="2221">
        <v>7721.1693236924348</v>
      </c>
      <c r="AI240" s="2219">
        <v>6476.9106982314634</v>
      </c>
      <c r="AJ240" s="2223">
        <v>5766.6546578633643</v>
      </c>
      <c r="AK240" s="2223">
        <v>9936.1248110884608</v>
      </c>
      <c r="AL240" s="2222">
        <v>7145.8747184646672</v>
      </c>
      <c r="AM240" s="2223">
        <v>4993.9723459738043</v>
      </c>
      <c r="AN240" s="2223">
        <v>14859.377349977438</v>
      </c>
      <c r="AO240" s="2223">
        <v>13198.198198198197</v>
      </c>
      <c r="AP240" s="2222">
        <v>12321.539416511485</v>
      </c>
      <c r="AQ240" s="2223">
        <v>13766.147964572425</v>
      </c>
      <c r="AR240" s="2223">
        <v>17987.083179969206</v>
      </c>
      <c r="AS240" s="2223">
        <v>15264.015012002199</v>
      </c>
      <c r="AT240" s="2222">
        <v>6334.5447057720257</v>
      </c>
      <c r="AU240" s="2223">
        <v>13835.817936941603</v>
      </c>
      <c r="AV240" s="2223">
        <v>18078.115151394733</v>
      </c>
      <c r="AW240" s="2223">
        <v>15341.265634824622</v>
      </c>
      <c r="AX240" s="2222">
        <v>6366.603605310097</v>
      </c>
      <c r="AY240" s="2223">
        <v>13642.039241588413</v>
      </c>
      <c r="AZ240" s="2223">
        <v>17824.920610642024</v>
      </c>
      <c r="BA240" s="2223">
        <v>15126.402266910129</v>
      </c>
      <c r="BB240" s="2265">
        <v>6277.4356106103478</v>
      </c>
      <c r="BC240" s="1204"/>
      <c r="BD240" s="1204"/>
      <c r="BE240" s="1279">
        <f t="shared" si="714"/>
        <v>6790.6179559027096</v>
      </c>
      <c r="BF240" s="1279">
        <f t="shared" si="715"/>
        <v>7037.6033347521152</v>
      </c>
      <c r="BG240" s="1279">
        <f t="shared" si="716"/>
        <v>8597.3879177762283</v>
      </c>
      <c r="BH240" s="1279">
        <f t="shared" si="717"/>
        <v>7460.2806114307159</v>
      </c>
      <c r="BI240" s="1279">
        <f t="shared" si="718"/>
        <v>7640.3567812096953</v>
      </c>
      <c r="BJ240" s="1279">
        <f t="shared" si="719"/>
        <v>10763.701557162136</v>
      </c>
      <c r="BK240" s="1279">
        <f t="shared" si="720"/>
        <v>9829.5799738474852</v>
      </c>
      <c r="BL240" s="1279">
        <f t="shared" si="721"/>
        <v>7331.3912214119891</v>
      </c>
      <c r="BM240" s="1573">
        <f t="shared" si="722"/>
        <v>11343.27182766523</v>
      </c>
      <c r="BN240" s="1573">
        <f t="shared" si="723"/>
        <v>13337.947715578963</v>
      </c>
      <c r="BO240" s="1573">
        <f t="shared" si="724"/>
        <v>13405.450582117764</v>
      </c>
      <c r="BP240" s="1573">
        <f t="shared" si="725"/>
        <v>13217.69943243773</v>
      </c>
      <c r="BQ240" s="1205"/>
      <c r="BR240" s="1206"/>
      <c r="BU240" s="1186"/>
      <c r="BV240" s="1551"/>
      <c r="BW240" s="1551"/>
      <c r="BX240" s="1551"/>
    </row>
    <row r="241" spans="2:76" ht="12.75" customHeight="1">
      <c r="B241" s="1579"/>
      <c r="C241" s="1564" t="s">
        <v>436</v>
      </c>
      <c r="D241" s="1552"/>
      <c r="E241" s="1552"/>
      <c r="F241" s="1572"/>
      <c r="G241" s="2219">
        <v>6852.579277756392</v>
      </c>
      <c r="H241" s="2220">
        <v>8306.5809607562096</v>
      </c>
      <c r="I241" s="2220">
        <v>9423.2283467435736</v>
      </c>
      <c r="J241" s="2221">
        <v>7028.9542841002922</v>
      </c>
      <c r="K241" s="2219">
        <v>7074.1943976919974</v>
      </c>
      <c r="L241" s="2220">
        <v>7547.8657501188482</v>
      </c>
      <c r="M241" s="2220">
        <v>8439.3885162200022</v>
      </c>
      <c r="N241" s="2221">
        <v>8268.6653113423945</v>
      </c>
      <c r="O241" s="2219">
        <v>8437.495171565226</v>
      </c>
      <c r="P241" s="2220">
        <v>8970.6692026012824</v>
      </c>
      <c r="Q241" s="2220">
        <v>10076.119613780258</v>
      </c>
      <c r="R241" s="2220">
        <v>9230.9471653996989</v>
      </c>
      <c r="S241" s="2219">
        <v>7249.062381710246</v>
      </c>
      <c r="T241" s="2220">
        <v>7720.0856088085848</v>
      </c>
      <c r="U241" s="2220">
        <v>8293.4171259897885</v>
      </c>
      <c r="V241" s="2220">
        <v>8457.6272733481783</v>
      </c>
      <c r="W241" s="2219">
        <v>6117.7451995103747</v>
      </c>
      <c r="X241" s="2220">
        <v>8147.412648795138</v>
      </c>
      <c r="Y241" s="2220">
        <v>9952.2595955805282</v>
      </c>
      <c r="Z241" s="2221">
        <v>8215.7123443567598</v>
      </c>
      <c r="AA241" s="2219">
        <v>6590.0424387770508</v>
      </c>
      <c r="AB241" s="2220">
        <v>7771.3067261298047</v>
      </c>
      <c r="AC241" s="2220">
        <v>9737.8690075852119</v>
      </c>
      <c r="AD241" s="2221">
        <v>9049.3951916015685</v>
      </c>
      <c r="AE241" s="2219">
        <v>8212.0800442138498</v>
      </c>
      <c r="AF241" s="2220">
        <v>11384.80330532701</v>
      </c>
      <c r="AG241" s="2220">
        <v>11578.755646993332</v>
      </c>
      <c r="AH241" s="2221">
        <v>9606.9455878853478</v>
      </c>
      <c r="AI241" s="2219">
        <v>8859.0498337299687</v>
      </c>
      <c r="AJ241" s="2223">
        <v>7917.1918496624576</v>
      </c>
      <c r="AK241" s="2223">
        <v>7966.5045898410899</v>
      </c>
      <c r="AL241" s="2222">
        <v>8139.7228227011701</v>
      </c>
      <c r="AM241" s="2223">
        <v>5720.6374459995504</v>
      </c>
      <c r="AN241" s="2223">
        <v>15353.697749196142</v>
      </c>
      <c r="AO241" s="2223">
        <v>13013.972055888224</v>
      </c>
      <c r="AP241" s="2222">
        <v>13234.828496042217</v>
      </c>
      <c r="AQ241" s="2223">
        <v>14914.155984907466</v>
      </c>
      <c r="AR241" s="2223">
        <v>20592.143562519603</v>
      </c>
      <c r="AS241" s="2223">
        <v>17789.229705526392</v>
      </c>
      <c r="AT241" s="2222">
        <v>6358.814301275911</v>
      </c>
      <c r="AU241" s="2223">
        <v>14783.03187245478</v>
      </c>
      <c r="AV241" s="2223">
        <v>20411.099019947695</v>
      </c>
      <c r="AW241" s="2223">
        <v>17632.828166028303</v>
      </c>
      <c r="AX241" s="2222">
        <v>6302.9080949609152</v>
      </c>
      <c r="AY241" s="2223">
        <v>14415.982411492447</v>
      </c>
      <c r="AZ241" s="2223">
        <v>19904.309684880362</v>
      </c>
      <c r="BA241" s="2223">
        <v>17195.020811662678</v>
      </c>
      <c r="BB241" s="2265">
        <v>6146.4125236389573</v>
      </c>
      <c r="BC241" s="1204"/>
      <c r="BD241" s="1204"/>
      <c r="BE241" s="1279">
        <f t="shared" si="714"/>
        <v>7902.8357173391169</v>
      </c>
      <c r="BF241" s="1279">
        <f t="shared" si="715"/>
        <v>7832.5284938433106</v>
      </c>
      <c r="BG241" s="1279">
        <f t="shared" si="716"/>
        <v>9178.8077883366168</v>
      </c>
      <c r="BH241" s="1279">
        <f t="shared" si="717"/>
        <v>7930.0480974641996</v>
      </c>
      <c r="BI241" s="1279">
        <f t="shared" si="718"/>
        <v>8108.2824470607011</v>
      </c>
      <c r="BJ241" s="1279">
        <f t="shared" si="719"/>
        <v>8287.1533410234078</v>
      </c>
      <c r="BK241" s="1279">
        <f t="shared" si="720"/>
        <v>10195.646146104886</v>
      </c>
      <c r="BL241" s="1279">
        <f t="shared" si="721"/>
        <v>8220.6172739836711</v>
      </c>
      <c r="BM241" s="1573">
        <f t="shared" si="722"/>
        <v>11830.783936781534</v>
      </c>
      <c r="BN241" s="1573">
        <f t="shared" si="723"/>
        <v>14913.585888557343</v>
      </c>
      <c r="BO241" s="1573">
        <f t="shared" si="724"/>
        <v>14782.466788347923</v>
      </c>
      <c r="BP241" s="1573">
        <f t="shared" si="725"/>
        <v>14415.431357918611</v>
      </c>
      <c r="BQ241" s="1205"/>
      <c r="BR241" s="1206"/>
      <c r="BU241" s="1186"/>
      <c r="BV241" s="1551"/>
      <c r="BW241" s="1551"/>
      <c r="BX241" s="1551"/>
    </row>
    <row r="242" spans="2:76" ht="12.75" customHeight="1">
      <c r="B242" s="1579"/>
      <c r="C242" s="1564" t="s">
        <v>437</v>
      </c>
      <c r="D242" s="1552"/>
      <c r="E242" s="1552"/>
      <c r="F242" s="1572"/>
      <c r="G242" s="2219">
        <v>7004.3325492920585</v>
      </c>
      <c r="H242" s="2220">
        <v>8884.2082613828734</v>
      </c>
      <c r="I242" s="2220">
        <v>10083.180834408246</v>
      </c>
      <c r="J242" s="2221">
        <v>7087.3029977862207</v>
      </c>
      <c r="K242" s="2219">
        <v>7340.2263410942887</v>
      </c>
      <c r="L242" s="2220">
        <v>7798.9509690638888</v>
      </c>
      <c r="M242" s="2220">
        <v>8927.1882569122845</v>
      </c>
      <c r="N242" s="2221">
        <v>8345.6002027089799</v>
      </c>
      <c r="O242" s="2219">
        <v>8645.3846646133316</v>
      </c>
      <c r="P242" s="2220">
        <v>9156.0025011957878</v>
      </c>
      <c r="Q242" s="2220">
        <v>10477.185224637948</v>
      </c>
      <c r="R242" s="2220">
        <v>9423.1828285744832</v>
      </c>
      <c r="S242" s="2219">
        <v>7423.784925032689</v>
      </c>
      <c r="T242" s="2220">
        <v>7850.7305463093289</v>
      </c>
      <c r="U242" s="2220">
        <v>8892.078482518069</v>
      </c>
      <c r="V242" s="2220">
        <v>8316.9515771291517</v>
      </c>
      <c r="W242" s="2219">
        <v>6133.6490987913385</v>
      </c>
      <c r="X242" s="2220">
        <v>8213.4148493595476</v>
      </c>
      <c r="Y242" s="2220">
        <v>10122.829083489969</v>
      </c>
      <c r="Z242" s="2221">
        <v>8243.0500509012982</v>
      </c>
      <c r="AA242" s="2219">
        <v>6629.8219138086515</v>
      </c>
      <c r="AB242" s="2220">
        <v>7973.4326856799471</v>
      </c>
      <c r="AC242" s="2220">
        <v>10477.845810963989</v>
      </c>
      <c r="AD242" s="2221">
        <v>9160.039878142039</v>
      </c>
      <c r="AE242" s="2219">
        <v>8558.8324115569685</v>
      </c>
      <c r="AF242" s="2220">
        <v>12102.625348797468</v>
      </c>
      <c r="AG242" s="2220">
        <v>12591.843997641919</v>
      </c>
      <c r="AH242" s="2221">
        <v>9646.0234098480669</v>
      </c>
      <c r="AI242" s="2219">
        <v>8902.6133060085667</v>
      </c>
      <c r="AJ242" s="2223">
        <v>8502.4785656129588</v>
      </c>
      <c r="AK242" s="2223">
        <v>8317.9199339646766</v>
      </c>
      <c r="AL242" s="2222">
        <v>8247.7510387057664</v>
      </c>
      <c r="AM242" s="2223">
        <v>6014.3501087297491</v>
      </c>
      <c r="AN242" s="2223">
        <v>16016.881028938908</v>
      </c>
      <c r="AO242" s="2223">
        <v>13685.961410512306</v>
      </c>
      <c r="AP242" s="2222">
        <v>13635.883905013192</v>
      </c>
      <c r="AQ242" s="2223">
        <v>15581.860761896291</v>
      </c>
      <c r="AR242" s="2223">
        <v>21684.767581360513</v>
      </c>
      <c r="AS242" s="2223">
        <v>18977.134817803846</v>
      </c>
      <c r="AT242" s="2222">
        <v>6534.6362240548142</v>
      </c>
      <c r="AU242" s="2223">
        <v>15474.866268858676</v>
      </c>
      <c r="AV242" s="2223">
        <v>21535.866833917054</v>
      </c>
      <c r="AW242" s="2223">
        <v>18846.826316774066</v>
      </c>
      <c r="AX242" s="2222">
        <v>6489.7654540831209</v>
      </c>
      <c r="AY242" s="2223">
        <v>15153.832115448648</v>
      </c>
      <c r="AZ242" s="2223">
        <v>21089.09406981953</v>
      </c>
      <c r="BA242" s="2223">
        <v>18455.83909750179</v>
      </c>
      <c r="BB242" s="2265">
        <v>6355.1318926562371</v>
      </c>
      <c r="BC242" s="1204"/>
      <c r="BD242" s="1204"/>
      <c r="BE242" s="1279">
        <f t="shared" si="714"/>
        <v>8264.7561607173484</v>
      </c>
      <c r="BF242" s="1279">
        <f t="shared" si="715"/>
        <v>8102.9914424448598</v>
      </c>
      <c r="BG242" s="1279">
        <f t="shared" si="716"/>
        <v>9425.4388047553875</v>
      </c>
      <c r="BH242" s="1279">
        <f t="shared" si="717"/>
        <v>8120.8863827473097</v>
      </c>
      <c r="BI242" s="1279">
        <f t="shared" si="718"/>
        <v>8178.2357706355378</v>
      </c>
      <c r="BJ242" s="1279">
        <f t="shared" si="719"/>
        <v>8560.2850721486557</v>
      </c>
      <c r="BK242" s="1279">
        <f t="shared" si="720"/>
        <v>10724.831291961105</v>
      </c>
      <c r="BL242" s="1279">
        <f t="shared" si="721"/>
        <v>8492.6907110729917</v>
      </c>
      <c r="BM242" s="1573">
        <f t="shared" si="722"/>
        <v>12338.269113298538</v>
      </c>
      <c r="BN242" s="1573">
        <f t="shared" si="723"/>
        <v>15694.599846278865</v>
      </c>
      <c r="BO242" s="1573">
        <f t="shared" si="724"/>
        <v>15586.83121840823</v>
      </c>
      <c r="BP242" s="1573">
        <f t="shared" si="725"/>
        <v>15263.474293856552</v>
      </c>
      <c r="BQ242" s="1205"/>
      <c r="BR242" s="1206"/>
      <c r="BU242" s="1186"/>
      <c r="BV242" s="1551"/>
      <c r="BW242" s="1551"/>
      <c r="BX242" s="1551"/>
    </row>
    <row r="243" spans="2:76" ht="12.75" customHeight="1">
      <c r="B243" s="1579"/>
      <c r="C243" s="1564" t="s">
        <v>433</v>
      </c>
      <c r="D243" s="1552"/>
      <c r="E243" s="1552"/>
      <c r="F243" s="1572"/>
      <c r="G243" s="2219">
        <v>6493.6656406734282</v>
      </c>
      <c r="H243" s="2220">
        <v>7054.57307272854</v>
      </c>
      <c r="I243" s="2220">
        <v>8131.2298382658046</v>
      </c>
      <c r="J243" s="2221">
        <v>7228.7968443687932</v>
      </c>
      <c r="K243" s="2219">
        <v>6878.6075683160079</v>
      </c>
      <c r="L243" s="2220">
        <v>7284.5320546195644</v>
      </c>
      <c r="M243" s="2220">
        <v>7779.5784938790375</v>
      </c>
      <c r="N243" s="2221">
        <v>8695.2045434184238</v>
      </c>
      <c r="O243" s="2219">
        <v>9841.700334411802</v>
      </c>
      <c r="P243" s="2220">
        <v>9039.2719380663311</v>
      </c>
      <c r="Q243" s="2220">
        <v>8835.1893477360536</v>
      </c>
      <c r="R243" s="2220">
        <v>8429.9253921288018</v>
      </c>
      <c r="S243" s="2219">
        <v>7789.8114136442509</v>
      </c>
      <c r="T243" s="2220">
        <v>7147.248796830625</v>
      </c>
      <c r="U243" s="2220">
        <v>8031.1736003835267</v>
      </c>
      <c r="V243" s="2220">
        <v>7795.107694833674</v>
      </c>
      <c r="W243" s="2219">
        <v>6166.530696296164</v>
      </c>
      <c r="X243" s="2220">
        <v>8263.5632022788723</v>
      </c>
      <c r="Y243" s="2220">
        <v>10837.129084616699</v>
      </c>
      <c r="Z243" s="2221">
        <v>10859.130824743526</v>
      </c>
      <c r="AA243" s="2219">
        <v>6858.1083928038697</v>
      </c>
      <c r="AB243" s="2220">
        <v>15422.985685691838</v>
      </c>
      <c r="AC243" s="2220">
        <v>16917.689223633119</v>
      </c>
      <c r="AD243" s="2221">
        <v>17146.191788467313</v>
      </c>
      <c r="AE243" s="2219">
        <v>13082.44971352325</v>
      </c>
      <c r="AF243" s="2220">
        <v>13437.831424583155</v>
      </c>
      <c r="AG243" s="2220">
        <v>16998.184607495699</v>
      </c>
      <c r="AH243" s="2221">
        <v>11310.225430871806</v>
      </c>
      <c r="AI243" s="2219">
        <v>9046.2979187077945</v>
      </c>
      <c r="AJ243" s="2223">
        <v>8797.2641070890259</v>
      </c>
      <c r="AK243" s="2223">
        <v>12592.415236425988</v>
      </c>
      <c r="AL243" s="2222">
        <v>10428.152314932511</v>
      </c>
      <c r="AM243" s="2223">
        <v>6682.4698912828535</v>
      </c>
      <c r="AN243" s="2223">
        <v>11257.331929613474</v>
      </c>
      <c r="AO243" s="2223">
        <v>11163.663663663663</v>
      </c>
      <c r="AP243" s="2222">
        <v>9565.4872749844817</v>
      </c>
      <c r="AQ243" s="2223">
        <v>8968.4071460360283</v>
      </c>
      <c r="AR243" s="2223">
        <v>11591.660811253709</v>
      </c>
      <c r="AS243" s="2223">
        <v>11437.093284386061</v>
      </c>
      <c r="AT243" s="2222">
        <v>8324.117177218186</v>
      </c>
      <c r="AU243" s="2223">
        <v>9005.6896599988304</v>
      </c>
      <c r="AV243" s="2223">
        <v>11639.848437998402</v>
      </c>
      <c r="AW243" s="2223">
        <v>11484.6383593504</v>
      </c>
      <c r="AX243" s="2222">
        <v>8358.7213170430405</v>
      </c>
      <c r="AY243" s="2223">
        <v>8883.1264622192248</v>
      </c>
      <c r="AZ243" s="2223">
        <v>11481.435579006858</v>
      </c>
      <c r="BA243" s="2223">
        <v>11328.337836480232</v>
      </c>
      <c r="BB243" s="2265">
        <v>8244.9630539179179</v>
      </c>
      <c r="BC243" s="1204"/>
      <c r="BD243" s="1204"/>
      <c r="BE243" s="1279">
        <f t="shared" si="714"/>
        <v>7227.066349009141</v>
      </c>
      <c r="BF243" s="1279">
        <f t="shared" si="715"/>
        <v>7659.4806650582577</v>
      </c>
      <c r="BG243" s="1279">
        <f t="shared" si="716"/>
        <v>9036.5217530857462</v>
      </c>
      <c r="BH243" s="1279">
        <f t="shared" si="717"/>
        <v>7690.8353764230187</v>
      </c>
      <c r="BI243" s="1279">
        <f t="shared" si="718"/>
        <v>9031.5884519838146</v>
      </c>
      <c r="BJ243" s="1279">
        <f t="shared" si="719"/>
        <v>14086.243772649035</v>
      </c>
      <c r="BK243" s="1279">
        <f t="shared" si="720"/>
        <v>13707.172794118478</v>
      </c>
      <c r="BL243" s="1279">
        <f t="shared" si="721"/>
        <v>10216.032394288828</v>
      </c>
      <c r="BM243" s="1573">
        <f t="shared" si="722"/>
        <v>9667.2381898861167</v>
      </c>
      <c r="BN243" s="1573">
        <f t="shared" si="723"/>
        <v>10080.319604723496</v>
      </c>
      <c r="BO243" s="1573">
        <f t="shared" si="724"/>
        <v>10122.224443597668</v>
      </c>
      <c r="BP243" s="1573">
        <f t="shared" si="725"/>
        <v>9984.4657329060592</v>
      </c>
      <c r="BQ243" s="1205"/>
      <c r="BR243" s="1206"/>
      <c r="BU243" s="1186"/>
      <c r="BV243" s="1551"/>
      <c r="BW243" s="1551"/>
      <c r="BX243" s="1551"/>
    </row>
    <row r="244" spans="2:76" ht="12.75" customHeight="1">
      <c r="B244" s="1579"/>
      <c r="C244" s="1564" t="s">
        <v>1207</v>
      </c>
      <c r="D244" s="1552"/>
      <c r="E244" s="1552"/>
      <c r="F244" s="1572"/>
      <c r="G244" s="2219">
        <v>7002.234954288876</v>
      </c>
      <c r="H244" s="2220">
        <v>7640.4485499059529</v>
      </c>
      <c r="I244" s="2220">
        <v>9025.3869993302178</v>
      </c>
      <c r="J244" s="2221">
        <v>7413.0740656652906</v>
      </c>
      <c r="K244" s="2219">
        <v>7669.8052364764089</v>
      </c>
      <c r="L244" s="2220">
        <v>7622.3652447041277</v>
      </c>
      <c r="M244" s="2220">
        <v>8474.1679552486985</v>
      </c>
      <c r="N244" s="2221">
        <v>8622.2045860397502</v>
      </c>
      <c r="O244" s="2219">
        <v>10395.317989886589</v>
      </c>
      <c r="P244" s="2220">
        <v>8857.6301713450721</v>
      </c>
      <c r="Q244" s="2220">
        <v>9886.5109657382072</v>
      </c>
      <c r="R244" s="2220">
        <v>8860.9682958716039</v>
      </c>
      <c r="S244" s="2219">
        <v>8039.5762260747151</v>
      </c>
      <c r="T244" s="2220">
        <v>7560.6867566728806</v>
      </c>
      <c r="U244" s="2220">
        <v>8465.7345865797197</v>
      </c>
      <c r="V244" s="2220">
        <v>8094.5011996556996</v>
      </c>
      <c r="W244" s="2219">
        <v>7151.6799340099105</v>
      </c>
      <c r="X244" s="2220">
        <v>8251.2040516581637</v>
      </c>
      <c r="Y244" s="2220">
        <v>10479.170149283662</v>
      </c>
      <c r="Z244" s="2221">
        <v>13653.53156496323</v>
      </c>
      <c r="AA244" s="2219">
        <v>8207.0387690658226</v>
      </c>
      <c r="AB244" s="2220">
        <v>15499.45605967582</v>
      </c>
      <c r="AC244" s="2220">
        <v>15178.412461854665</v>
      </c>
      <c r="AD244" s="2221">
        <v>19658.072019603624</v>
      </c>
      <c r="AE244" s="2219">
        <v>13822.547494014379</v>
      </c>
      <c r="AF244" s="2220">
        <v>12166.262278237393</v>
      </c>
      <c r="AG244" s="2220">
        <v>15635.007649191331</v>
      </c>
      <c r="AH244" s="2221">
        <v>9544.6541456185332</v>
      </c>
      <c r="AI244" s="2219">
        <v>9801.7076446894607</v>
      </c>
      <c r="AJ244" s="2223">
        <v>8644.1370259993801</v>
      </c>
      <c r="AK244" s="2223">
        <v>11004.438339609598</v>
      </c>
      <c r="AL244" s="2222">
        <v>12310.44340491018</v>
      </c>
      <c r="AM244" s="2223">
        <v>7116.8692303849139</v>
      </c>
      <c r="AN244" s="2223">
        <v>11351.481425778313</v>
      </c>
      <c r="AO244" s="2223">
        <v>11381.381381381379</v>
      </c>
      <c r="AP244" s="2222">
        <v>9497.1446306641828</v>
      </c>
      <c r="AQ244" s="2223">
        <v>10240.121890620401</v>
      </c>
      <c r="AR244" s="2223">
        <v>11655.324608823219</v>
      </c>
      <c r="AS244" s="2223">
        <v>11808.620980409776</v>
      </c>
      <c r="AT244" s="2222">
        <v>8077.2747597348434</v>
      </c>
      <c r="AU244" s="2223">
        <v>10309.484579678321</v>
      </c>
      <c r="AV244" s="2223">
        <v>11734.273342573297</v>
      </c>
      <c r="AW244" s="2223">
        <v>11888.608085447777</v>
      </c>
      <c r="AX244" s="2222">
        <v>8131.9871453469759</v>
      </c>
      <c r="AY244" s="2223">
        <v>10242.624743435623</v>
      </c>
      <c r="AZ244" s="2223">
        <v>11658.173360265939</v>
      </c>
      <c r="BA244" s="2223">
        <v>11811.507199986107</v>
      </c>
      <c r="BB244" s="2265">
        <v>8079.2489774333872</v>
      </c>
      <c r="BC244" s="1204"/>
      <c r="BD244" s="1204"/>
      <c r="BE244" s="1279">
        <f t="shared" si="714"/>
        <v>7770.2861422975839</v>
      </c>
      <c r="BF244" s="1279">
        <f t="shared" si="715"/>
        <v>8097.1357556172461</v>
      </c>
      <c r="BG244" s="1279">
        <f t="shared" si="716"/>
        <v>9500.1068557103681</v>
      </c>
      <c r="BH244" s="1279">
        <f t="shared" si="717"/>
        <v>8040.124692245754</v>
      </c>
      <c r="BI244" s="1279">
        <f t="shared" si="718"/>
        <v>9883.8964249787423</v>
      </c>
      <c r="BJ244" s="1279">
        <f t="shared" si="719"/>
        <v>14635.744827549981</v>
      </c>
      <c r="BK244" s="1279">
        <f t="shared" si="720"/>
        <v>12792.117891765411</v>
      </c>
      <c r="BL244" s="1279">
        <f t="shared" si="721"/>
        <v>10440.181603802155</v>
      </c>
      <c r="BM244" s="1573">
        <f t="shared" si="722"/>
        <v>9836.719167052197</v>
      </c>
      <c r="BN244" s="1573">
        <f t="shared" si="723"/>
        <v>10445.335559897059</v>
      </c>
      <c r="BO244" s="1573">
        <f t="shared" si="724"/>
        <v>10516.088288261593</v>
      </c>
      <c r="BP244" s="1573">
        <f t="shared" si="725"/>
        <v>10447.888570280264</v>
      </c>
      <c r="BQ244" s="1205"/>
      <c r="BR244" s="1206"/>
      <c r="BU244" s="1186"/>
      <c r="BV244" s="1551"/>
      <c r="BW244" s="1551"/>
      <c r="BX244" s="1551"/>
    </row>
    <row r="245" spans="2:76" ht="12.75" customHeight="1">
      <c r="B245" s="1579"/>
      <c r="C245" s="1564" t="s">
        <v>459</v>
      </c>
      <c r="D245" s="1552"/>
      <c r="E245" s="1552"/>
      <c r="F245" s="1572"/>
      <c r="G245" s="2219">
        <v>5769.3305928748814</v>
      </c>
      <c r="H245" s="2220">
        <v>5980.4576806649147</v>
      </c>
      <c r="I245" s="2220">
        <v>6684.7232199578648</v>
      </c>
      <c r="J245" s="2221">
        <v>5911.4648985987124</v>
      </c>
      <c r="K245" s="2219">
        <v>5617.3159739843395</v>
      </c>
      <c r="L245" s="2220">
        <v>6655.7582528218209</v>
      </c>
      <c r="M245" s="2220">
        <v>7303.4594565022162</v>
      </c>
      <c r="N245" s="2221">
        <v>8538.4108780017341</v>
      </c>
      <c r="O245" s="2219">
        <v>9256.1029733562991</v>
      </c>
      <c r="P245" s="2220">
        <v>8884.5574896313938</v>
      </c>
      <c r="Q245" s="2220">
        <v>8401.9636033328952</v>
      </c>
      <c r="R245" s="2220">
        <v>8108.3969931427564</v>
      </c>
      <c r="S245" s="2219">
        <v>7144.68170956227</v>
      </c>
      <c r="T245" s="2220">
        <v>6923.1901425772967</v>
      </c>
      <c r="U245" s="2220">
        <v>7416.937285038297</v>
      </c>
      <c r="V245" s="2220">
        <v>7186.3638244491658</v>
      </c>
      <c r="W245" s="2219">
        <v>4378.4476589144797</v>
      </c>
      <c r="X245" s="2220">
        <v>8308.8842312669221</v>
      </c>
      <c r="Y245" s="2220">
        <v>10465.996871575519</v>
      </c>
      <c r="Z245" s="2221">
        <v>10914.824746114929</v>
      </c>
      <c r="AA245" s="2219">
        <v>5222.5069289009616</v>
      </c>
      <c r="AB245" s="2220">
        <v>15040.786920718157</v>
      </c>
      <c r="AC245" s="2220">
        <v>16577.780229416356</v>
      </c>
      <c r="AD245" s="2221">
        <v>17065.861366193356</v>
      </c>
      <c r="AE245" s="2219">
        <v>11965.339455583016</v>
      </c>
      <c r="AF245" s="2220">
        <v>13392.335283854029</v>
      </c>
      <c r="AG245" s="2220">
        <v>16617.582565885587</v>
      </c>
      <c r="AH245" s="2221">
        <v>11247.328225526811</v>
      </c>
      <c r="AI245" s="2219">
        <v>8556.6131079873394</v>
      </c>
      <c r="AJ245" s="2223">
        <v>8971.0519258287495</v>
      </c>
      <c r="AK245" s="2223">
        <v>13054.147515117875</v>
      </c>
      <c r="AL245" s="2222">
        <v>9524.2185088378228</v>
      </c>
      <c r="AM245" s="2223">
        <v>5253.5008504221041</v>
      </c>
      <c r="AN245" s="2223">
        <v>9534.7680059708928</v>
      </c>
      <c r="AO245" s="2223">
        <v>8957.9632918886928</v>
      </c>
      <c r="AP245" s="2222">
        <v>8724.870763928775</v>
      </c>
      <c r="AQ245" s="2223">
        <v>10357.798701457919</v>
      </c>
      <c r="AR245" s="2223">
        <v>8488.7960907604192</v>
      </c>
      <c r="AS245" s="2223">
        <v>8528.2593221072202</v>
      </c>
      <c r="AT245" s="2222">
        <v>9517.0351924681836</v>
      </c>
      <c r="AU245" s="2223">
        <v>10049.931204538312</v>
      </c>
      <c r="AV245" s="2223">
        <v>8236.4814359143529</v>
      </c>
      <c r="AW245" s="2223">
        <v>8274.7716915541296</v>
      </c>
      <c r="AX245" s="2222">
        <v>9234.1579241168911</v>
      </c>
      <c r="AY245" s="2223">
        <v>9861.0170236466547</v>
      </c>
      <c r="AZ245" s="2223">
        <v>8081.6556851477762</v>
      </c>
      <c r="BA245" s="2223">
        <v>8119.2261774246881</v>
      </c>
      <c r="BB245" s="2265">
        <v>9060.5782900920312</v>
      </c>
      <c r="BC245" s="1204"/>
      <c r="BD245" s="1204"/>
      <c r="BE245" s="1279">
        <f t="shared" si="714"/>
        <v>6086.4940980240926</v>
      </c>
      <c r="BF245" s="1279">
        <f t="shared" si="715"/>
        <v>7028.7361403275281</v>
      </c>
      <c r="BG245" s="1279">
        <f t="shared" si="716"/>
        <v>8662.7552648658366</v>
      </c>
      <c r="BH245" s="1279">
        <f t="shared" si="717"/>
        <v>7167.7932404067578</v>
      </c>
      <c r="BI245" s="1279">
        <f t="shared" si="718"/>
        <v>8517.0383769679629</v>
      </c>
      <c r="BJ245" s="1279">
        <f t="shared" si="719"/>
        <v>13476.733861307208</v>
      </c>
      <c r="BK245" s="1279">
        <f t="shared" si="720"/>
        <v>13305.646382712363</v>
      </c>
      <c r="BL245" s="1279">
        <f t="shared" si="721"/>
        <v>10026.507764442948</v>
      </c>
      <c r="BM245" s="1573">
        <f t="shared" si="722"/>
        <v>8117.7757280526166</v>
      </c>
      <c r="BN245" s="1573">
        <f t="shared" si="723"/>
        <v>9222.9723266984365</v>
      </c>
      <c r="BO245" s="1573">
        <f t="shared" si="724"/>
        <v>8948.8355640309201</v>
      </c>
      <c r="BP245" s="1573">
        <f t="shared" si="725"/>
        <v>8780.6192940777873</v>
      </c>
      <c r="BQ245" s="1205"/>
      <c r="BR245" s="1206"/>
      <c r="BU245" s="1186"/>
      <c r="BV245" s="1551"/>
      <c r="BW245" s="1551"/>
      <c r="BX245" s="1551"/>
    </row>
    <row r="246" spans="2:76" ht="12.75" customHeight="1">
      <c r="B246" s="1579"/>
      <c r="C246" s="1564" t="s">
        <v>202</v>
      </c>
      <c r="D246" s="1552"/>
      <c r="E246" s="1552"/>
      <c r="F246" s="1572"/>
      <c r="G246" s="2219">
        <v>6500.5822596957805</v>
      </c>
      <c r="H246" s="2220">
        <v>6476.0723404537666</v>
      </c>
      <c r="I246" s="2220">
        <v>7271.6763952678921</v>
      </c>
      <c r="J246" s="2221">
        <v>8220.4093352115033</v>
      </c>
      <c r="K246" s="2219">
        <v>7979.1747211275315</v>
      </c>
      <c r="L246" s="2220">
        <v>7104.9821374667526</v>
      </c>
      <c r="M246" s="2220">
        <v>7790.7372328055353</v>
      </c>
      <c r="N246" s="2221">
        <v>9201.0167150006782</v>
      </c>
      <c r="O246" s="2219">
        <v>10440.014917886665</v>
      </c>
      <c r="P246" s="2220">
        <v>9560.11803419846</v>
      </c>
      <c r="Q246" s="2220">
        <v>8935.6748974826023</v>
      </c>
      <c r="R246" s="2220">
        <v>8777.6380248240494</v>
      </c>
      <c r="S246" s="2219">
        <v>8794.3099226617105</v>
      </c>
      <c r="T246" s="2220">
        <v>7170.3250164574647</v>
      </c>
      <c r="U246" s="2220">
        <v>7427.6377278135369</v>
      </c>
      <c r="V246" s="2220">
        <v>7463.0119522202085</v>
      </c>
      <c r="W246" s="2219">
        <v>10672.862043942654</v>
      </c>
      <c r="X246" s="2220">
        <v>6748.9575207808848</v>
      </c>
      <c r="Y246" s="2220">
        <v>6693.0721564774667</v>
      </c>
      <c r="Z246" s="2221">
        <v>7928.0928377524915</v>
      </c>
      <c r="AA246" s="2219">
        <v>11594.576778630564</v>
      </c>
      <c r="AB246" s="2220">
        <v>8884.7428686240874</v>
      </c>
      <c r="AC246" s="2220">
        <v>8259.4626536542146</v>
      </c>
      <c r="AD246" s="2221">
        <v>10311.27373307398</v>
      </c>
      <c r="AE246" s="2219">
        <v>11099.393407137786</v>
      </c>
      <c r="AF246" s="2220">
        <v>9992.6370455412834</v>
      </c>
      <c r="AG246" s="2220">
        <v>7829.6864609595132</v>
      </c>
      <c r="AH246" s="2221">
        <v>8265.1158346907469</v>
      </c>
      <c r="AI246" s="2219">
        <v>8517.9614097697577</v>
      </c>
      <c r="AJ246" s="2223">
        <v>7365.7185946531754</v>
      </c>
      <c r="AK246" s="2223">
        <v>7744.3815502968346</v>
      </c>
      <c r="AL246" s="2222">
        <v>9032.4298573449232</v>
      </c>
      <c r="AM246" s="2223">
        <v>10767.751699666062</v>
      </c>
      <c r="AN246" s="2223">
        <v>9068.2920761288733</v>
      </c>
      <c r="AO246" s="2223">
        <v>8780.343398460629</v>
      </c>
      <c r="AP246" s="2222">
        <v>8558.2998276852377</v>
      </c>
      <c r="AQ246" s="2223">
        <v>9141.5772569286164</v>
      </c>
      <c r="AR246" s="2223">
        <v>8061.5434396640903</v>
      </c>
      <c r="AS246" s="2223">
        <v>8098.0895888361283</v>
      </c>
      <c r="AT246" s="2222">
        <v>9879.7162281589626</v>
      </c>
      <c r="AU246" s="2223">
        <v>8972.5976330324702</v>
      </c>
      <c r="AV246" s="2223">
        <v>7912.5279535865184</v>
      </c>
      <c r="AW246" s="2223">
        <v>7948.3985569125425</v>
      </c>
      <c r="AX246" s="2222">
        <v>9697.0923017277073</v>
      </c>
      <c r="AY246" s="2223">
        <v>8822.1145485094949</v>
      </c>
      <c r="AZ246" s="2223">
        <v>7779.8237288426817</v>
      </c>
      <c r="BA246" s="2223">
        <v>7815.092731689896</v>
      </c>
      <c r="BB246" s="2265">
        <v>9534.4584224266036</v>
      </c>
      <c r="BC246" s="1204"/>
      <c r="BD246" s="1204"/>
      <c r="BE246" s="1279">
        <f t="shared" si="714"/>
        <v>7117.1850826572354</v>
      </c>
      <c r="BF246" s="1279">
        <f t="shared" si="715"/>
        <v>8018.9777016001244</v>
      </c>
      <c r="BG246" s="1279">
        <f t="shared" si="716"/>
        <v>9428.3614685979446</v>
      </c>
      <c r="BH246" s="1279">
        <f t="shared" si="717"/>
        <v>7713.8211547882302</v>
      </c>
      <c r="BI246" s="1279">
        <f t="shared" si="718"/>
        <v>8010.746139738374</v>
      </c>
      <c r="BJ246" s="1279">
        <f t="shared" si="719"/>
        <v>9762.5140084957129</v>
      </c>
      <c r="BK246" s="1279">
        <f t="shared" si="720"/>
        <v>9296.7081870823331</v>
      </c>
      <c r="BL246" s="1279">
        <f t="shared" si="721"/>
        <v>8165.1228530161725</v>
      </c>
      <c r="BM246" s="1573">
        <f t="shared" si="722"/>
        <v>9293.6717504852004</v>
      </c>
      <c r="BN246" s="1573">
        <f t="shared" si="723"/>
        <v>8795.2316283969485</v>
      </c>
      <c r="BO246" s="1573">
        <f t="shared" si="724"/>
        <v>8632.6541113148105</v>
      </c>
      <c r="BP246" s="1573">
        <f t="shared" si="725"/>
        <v>8487.8723578671688</v>
      </c>
      <c r="BQ246" s="1205"/>
      <c r="BR246" s="1206"/>
      <c r="BU246" s="1186"/>
      <c r="BV246" s="1551"/>
      <c r="BW246" s="1551"/>
      <c r="BX246" s="1551"/>
    </row>
    <row r="247" spans="2:76" ht="12.75" customHeight="1">
      <c r="B247" s="1579"/>
      <c r="C247" s="1564" t="s">
        <v>479</v>
      </c>
      <c r="D247" s="1552"/>
      <c r="E247" s="1552"/>
      <c r="F247" s="1572"/>
      <c r="G247" s="2219">
        <v>5339.309272481165</v>
      </c>
      <c r="H247" s="2220">
        <v>5100.5900565632073</v>
      </c>
      <c r="I247" s="2220">
        <v>6006.74992147799</v>
      </c>
      <c r="J247" s="2221">
        <v>5317.3518126357339</v>
      </c>
      <c r="K247" s="2219">
        <v>6734.0496191414031</v>
      </c>
      <c r="L247" s="2220">
        <v>5501.4743918965405</v>
      </c>
      <c r="M247" s="2220">
        <v>6268.4758752189118</v>
      </c>
      <c r="N247" s="2221">
        <v>5985.7267911888366</v>
      </c>
      <c r="O247" s="2219">
        <v>9477.3896272805832</v>
      </c>
      <c r="P247" s="2220">
        <v>8173.946883501706</v>
      </c>
      <c r="Q247" s="2220">
        <v>8259.4192392880977</v>
      </c>
      <c r="R247" s="2220">
        <v>6410.7661597259648</v>
      </c>
      <c r="S247" s="2219">
        <v>7790.1968554542191</v>
      </c>
      <c r="T247" s="2220">
        <v>5959.6264930636416</v>
      </c>
      <c r="U247" s="2220">
        <v>6840.5607736665088</v>
      </c>
      <c r="V247" s="2220">
        <v>6525.372318959221</v>
      </c>
      <c r="W247" s="2219">
        <v>9013.981977331181</v>
      </c>
      <c r="X247" s="2220">
        <v>5435.4274567969042</v>
      </c>
      <c r="Y247" s="2220">
        <v>6191.277648456301</v>
      </c>
      <c r="Z247" s="2221">
        <v>6850.9884407370319</v>
      </c>
      <c r="AA247" s="2219">
        <v>10265.602875410354</v>
      </c>
      <c r="AB247" s="2220">
        <v>6715.6093086897836</v>
      </c>
      <c r="AC247" s="2220">
        <v>7664.0265319712089</v>
      </c>
      <c r="AD247" s="2221">
        <v>9225.6308062235858</v>
      </c>
      <c r="AE247" s="2219">
        <v>9673.625167828357</v>
      </c>
      <c r="AF247" s="2220">
        <v>8570.6534203356659</v>
      </c>
      <c r="AG247" s="2220">
        <v>7452.1855165401403</v>
      </c>
      <c r="AH247" s="2221">
        <v>7408.3223776683062</v>
      </c>
      <c r="AI247" s="2219">
        <v>7667.4563966200603</v>
      </c>
      <c r="AJ247" s="2223">
        <v>6356.9074135752089</v>
      </c>
      <c r="AK247" s="2223">
        <v>6365.0018649239109</v>
      </c>
      <c r="AL247" s="2222">
        <v>7895.7944693923155</v>
      </c>
      <c r="AM247" s="2223">
        <v>8227.0666796054647</v>
      </c>
      <c r="AN247" s="2223">
        <v>7395.1984077621601</v>
      </c>
      <c r="AO247" s="2223">
        <v>7619.8934280639423</v>
      </c>
      <c r="AP247" s="2222">
        <v>7070.6490522688118</v>
      </c>
      <c r="AQ247" s="2223">
        <v>9417.0466461005399</v>
      </c>
      <c r="AR247" s="2223">
        <v>7556.0461755771757</v>
      </c>
      <c r="AS247" s="2223">
        <v>7734.2070510855065</v>
      </c>
      <c r="AT247" s="2222">
        <v>6746.2524824277207</v>
      </c>
      <c r="AU247" s="2223">
        <v>9420.6351919674853</v>
      </c>
      <c r="AV247" s="2223">
        <v>7558.9255515952455</v>
      </c>
      <c r="AW247" s="2223">
        <v>7737.1543187151901</v>
      </c>
      <c r="AX247" s="2222">
        <v>6748.8232710595485</v>
      </c>
      <c r="AY247" s="2223">
        <v>9243.941182160137</v>
      </c>
      <c r="AZ247" s="2223">
        <v>7417.1498816610774</v>
      </c>
      <c r="BA247" s="2223">
        <v>7592.0357791248134</v>
      </c>
      <c r="BB247" s="2265">
        <v>6622.2419290433099</v>
      </c>
      <c r="BC247" s="1204"/>
      <c r="BD247" s="1204"/>
      <c r="BE247" s="1279">
        <f t="shared" si="714"/>
        <v>5441.0002657895238</v>
      </c>
      <c r="BF247" s="1279">
        <f t="shared" si="715"/>
        <v>6122.4316693614228</v>
      </c>
      <c r="BG247" s="1279">
        <f t="shared" si="716"/>
        <v>8080.3804774490882</v>
      </c>
      <c r="BH247" s="1279">
        <f t="shared" si="717"/>
        <v>6778.9391102858972</v>
      </c>
      <c r="BI247" s="1279">
        <f t="shared" si="718"/>
        <v>6872.9188808303552</v>
      </c>
      <c r="BJ247" s="1279">
        <f t="shared" si="719"/>
        <v>8467.717380573733</v>
      </c>
      <c r="BK247" s="1279">
        <f t="shared" si="720"/>
        <v>8276.1966205931167</v>
      </c>
      <c r="BL247" s="1279">
        <f t="shared" si="721"/>
        <v>7071.2900361278744</v>
      </c>
      <c r="BM247" s="1573">
        <f t="shared" si="722"/>
        <v>7578.201891925095</v>
      </c>
      <c r="BN247" s="1573">
        <f t="shared" si="723"/>
        <v>7863.3880887977357</v>
      </c>
      <c r="BO247" s="1573">
        <f t="shared" si="724"/>
        <v>7866.3845833343676</v>
      </c>
      <c r="BP247" s="1573">
        <f t="shared" si="725"/>
        <v>7718.8421929973347</v>
      </c>
      <c r="BQ247" s="1205"/>
      <c r="BR247" s="1206"/>
      <c r="BU247" s="1186"/>
      <c r="BV247" s="1551"/>
      <c r="BW247" s="1551"/>
      <c r="BX247" s="1551"/>
    </row>
    <row r="248" spans="2:76" ht="12.75" customHeight="1">
      <c r="B248" s="1579"/>
      <c r="C248" s="1564" t="s">
        <v>439</v>
      </c>
      <c r="D248" s="1552"/>
      <c r="E248" s="1552"/>
      <c r="F248" s="1572"/>
      <c r="G248" s="2219">
        <v>6911.9504373250129</v>
      </c>
      <c r="H248" s="2220">
        <v>6621.032095301849</v>
      </c>
      <c r="I248" s="2220">
        <v>7456.0304454809211</v>
      </c>
      <c r="J248" s="2221">
        <v>6786.9757708018869</v>
      </c>
      <c r="K248" s="2219">
        <v>7103.6316586257462</v>
      </c>
      <c r="L248" s="2220">
        <v>6489.3612351463817</v>
      </c>
      <c r="M248" s="2220">
        <v>7652.9516182493453</v>
      </c>
      <c r="N248" s="2221">
        <v>7018.4711655947503</v>
      </c>
      <c r="O248" s="2219">
        <v>7952.8432404796031</v>
      </c>
      <c r="P248" s="2220">
        <v>7515.6719478298664</v>
      </c>
      <c r="Q248" s="2220">
        <v>7355.2985870752173</v>
      </c>
      <c r="R248" s="2220">
        <v>6558.0613022094312</v>
      </c>
      <c r="S248" s="2219">
        <v>6674.9226754832425</v>
      </c>
      <c r="T248" s="2220">
        <v>6638.422412018157</v>
      </c>
      <c r="U248" s="2220">
        <v>7223.9917476319215</v>
      </c>
      <c r="V248" s="2220">
        <v>7084.8548714796698</v>
      </c>
      <c r="W248" s="2219">
        <v>6140.4918444926798</v>
      </c>
      <c r="X248" s="2220">
        <v>6818.4558455411725</v>
      </c>
      <c r="Y248" s="2220">
        <v>7269.96105521761</v>
      </c>
      <c r="Z248" s="2221">
        <v>6682.661837208123</v>
      </c>
      <c r="AA248" s="2219">
        <v>7652.4945449900451</v>
      </c>
      <c r="AB248" s="2220">
        <v>7888.8594888397292</v>
      </c>
      <c r="AC248" s="2220">
        <v>7345.5237671149316</v>
      </c>
      <c r="AD248" s="2221">
        <v>7529.6000602417816</v>
      </c>
      <c r="AE248" s="2219">
        <v>6964.2929599013441</v>
      </c>
      <c r="AF248" s="2220">
        <v>6980.8570592020815</v>
      </c>
      <c r="AG248" s="2220">
        <v>8164.8402063845024</v>
      </c>
      <c r="AH248" s="2221">
        <v>6140.7448147131954</v>
      </c>
      <c r="AI248" s="2219">
        <v>6430.7867145184991</v>
      </c>
      <c r="AJ248" s="2223">
        <v>7962.6791325077083</v>
      </c>
      <c r="AK248" s="2223">
        <v>7713.7262070746765</v>
      </c>
      <c r="AL248" s="2222">
        <v>6923.2312215922902</v>
      </c>
      <c r="AM248" s="2223">
        <v>6480.3957229260004</v>
      </c>
      <c r="AN248" s="2223">
        <v>8543.5526806816761</v>
      </c>
      <c r="AO248" s="2223">
        <v>10269.102427471877</v>
      </c>
      <c r="AP248" s="2222">
        <v>6963.1533601378515</v>
      </c>
      <c r="AQ248" s="2223">
        <v>7207.7953169845769</v>
      </c>
      <c r="AR248" s="2223">
        <v>7543.9435635063273</v>
      </c>
      <c r="AS248" s="2223">
        <v>9213.4837628008991</v>
      </c>
      <c r="AT248" s="2222">
        <v>6685.4577110965065</v>
      </c>
      <c r="AU248" s="2223">
        <v>7169.198552229147</v>
      </c>
      <c r="AV248" s="2223">
        <v>7503.5467705559522</v>
      </c>
      <c r="AW248" s="2223">
        <v>9164.1468088875699</v>
      </c>
      <c r="AX248" s="2222">
        <v>6649.6579932619125</v>
      </c>
      <c r="AY248" s="2223">
        <v>6934.3630362278864</v>
      </c>
      <c r="AZ248" s="2223">
        <v>7257.7592861020321</v>
      </c>
      <c r="BA248" s="2223">
        <v>8863.9644204520755</v>
      </c>
      <c r="BB248" s="2265">
        <v>6431.8406382670464</v>
      </c>
      <c r="BC248" s="1204"/>
      <c r="BD248" s="1204"/>
      <c r="BE248" s="1279">
        <f t="shared" si="714"/>
        <v>6943.9971872274182</v>
      </c>
      <c r="BF248" s="1279">
        <f t="shared" si="715"/>
        <v>7066.1039194040559</v>
      </c>
      <c r="BG248" s="1279">
        <f t="shared" si="716"/>
        <v>7345.4687693985288</v>
      </c>
      <c r="BH248" s="1279">
        <f t="shared" si="717"/>
        <v>6905.5479266532475</v>
      </c>
      <c r="BI248" s="1279">
        <f t="shared" si="718"/>
        <v>6727.8926456148965</v>
      </c>
      <c r="BJ248" s="1279">
        <f t="shared" si="719"/>
        <v>7604.1194652966215</v>
      </c>
      <c r="BK248" s="1279">
        <f t="shared" si="720"/>
        <v>7062.6837600502804</v>
      </c>
      <c r="BL248" s="1279">
        <f t="shared" si="721"/>
        <v>7257.6058189232936</v>
      </c>
      <c r="BM248" s="1573">
        <f t="shared" si="722"/>
        <v>8064.0510478043507</v>
      </c>
      <c r="BN248" s="1573">
        <f t="shared" si="723"/>
        <v>7662.6700885970777</v>
      </c>
      <c r="BO248" s="1573">
        <f t="shared" si="724"/>
        <v>7621.6375312336459</v>
      </c>
      <c r="BP248" s="1573">
        <f t="shared" si="725"/>
        <v>7371.9818452622603</v>
      </c>
      <c r="BQ248" s="1205"/>
      <c r="BR248" s="1206"/>
      <c r="BU248" s="1186"/>
      <c r="BV248" s="1551"/>
      <c r="BW248" s="1551"/>
      <c r="BX248" s="1551"/>
    </row>
    <row r="249" spans="2:76" ht="12.75" customHeight="1">
      <c r="B249" s="1579"/>
      <c r="C249" s="1564" t="s">
        <v>480</v>
      </c>
      <c r="D249" s="1552"/>
      <c r="E249" s="1552"/>
      <c r="F249" s="1572"/>
      <c r="G249" s="2219">
        <v>6956.775640795453</v>
      </c>
      <c r="H249" s="2220">
        <v>6579.7184516400084</v>
      </c>
      <c r="I249" s="2220">
        <v>7383.37060324907</v>
      </c>
      <c r="J249" s="2221">
        <v>6769.6404409553197</v>
      </c>
      <c r="K249" s="2219">
        <v>7202.0850094799453</v>
      </c>
      <c r="L249" s="2220">
        <v>6420.214829248016</v>
      </c>
      <c r="M249" s="2220">
        <v>7575.5365463257504</v>
      </c>
      <c r="N249" s="2221">
        <v>7086.1451129407897</v>
      </c>
      <c r="O249" s="2219">
        <v>7943.4548333544453</v>
      </c>
      <c r="P249" s="2220">
        <v>7525.8237354826097</v>
      </c>
      <c r="Q249" s="2220">
        <v>7232.7025992394247</v>
      </c>
      <c r="R249" s="2220">
        <v>6745.6184695244247</v>
      </c>
      <c r="S249" s="2219">
        <v>6668.1229270336653</v>
      </c>
      <c r="T249" s="2220">
        <v>6535.4293137657605</v>
      </c>
      <c r="U249" s="2220">
        <v>7147.865663393176</v>
      </c>
      <c r="V249" s="2220">
        <v>6981.8886000345046</v>
      </c>
      <c r="W249" s="2219">
        <v>6182.9907384190228</v>
      </c>
      <c r="X249" s="2220">
        <v>6785.8365945503001</v>
      </c>
      <c r="Y249" s="2220">
        <v>7136.6442103725694</v>
      </c>
      <c r="Z249" s="2221">
        <v>6702.3457070216837</v>
      </c>
      <c r="AA249" s="2219">
        <v>7664.6160360806507</v>
      </c>
      <c r="AB249" s="2220">
        <v>7048.9520285495655</v>
      </c>
      <c r="AC249" s="2220">
        <v>7197.670615244313</v>
      </c>
      <c r="AD249" s="2221">
        <v>7101.8354351902599</v>
      </c>
      <c r="AE249" s="2219">
        <v>6945.1239071268637</v>
      </c>
      <c r="AF249" s="2220">
        <v>6861.101172272105</v>
      </c>
      <c r="AG249" s="2220">
        <v>7251.121749054284</v>
      </c>
      <c r="AH249" s="2221">
        <v>6022.5093589603321</v>
      </c>
      <c r="AI249" s="2219">
        <v>5878.8543969869743</v>
      </c>
      <c r="AJ249" s="2223">
        <v>6363.7110064538647</v>
      </c>
      <c r="AK249" s="2223">
        <v>7360.8455434858543</v>
      </c>
      <c r="AL249" s="2222">
        <v>6251.0403871722756</v>
      </c>
      <c r="AM249" s="2223">
        <v>6199.6866590289592</v>
      </c>
      <c r="AN249" s="2223">
        <v>7716.3353650951622</v>
      </c>
      <c r="AO249" s="2223">
        <v>10174.371817643576</v>
      </c>
      <c r="AP249" s="2222">
        <v>6681.7059161401476</v>
      </c>
      <c r="AQ249" s="2223">
        <v>6960.4803932414106</v>
      </c>
      <c r="AR249" s="2223">
        <v>7040.2791244410537</v>
      </c>
      <c r="AS249" s="2223">
        <v>8992.7280873911477</v>
      </c>
      <c r="AT249" s="2222">
        <v>6121.8589841224284</v>
      </c>
      <c r="AU249" s="2223">
        <v>6833.8195343448451</v>
      </c>
      <c r="AV249" s="2223">
        <v>6912.1661566006269</v>
      </c>
      <c r="AW249" s="2223">
        <v>8829.0861260578167</v>
      </c>
      <c r="AX249" s="2222">
        <v>6010.4586391511948</v>
      </c>
      <c r="AY249" s="2223">
        <v>6536.1986425108153</v>
      </c>
      <c r="AZ249" s="2223">
        <v>6611.1331770650186</v>
      </c>
      <c r="BA249" s="2223">
        <v>8444.5690234754893</v>
      </c>
      <c r="BB249" s="2265">
        <v>5748.6960843272727</v>
      </c>
      <c r="BC249" s="1204"/>
      <c r="BD249" s="1204"/>
      <c r="BE249" s="1279">
        <f t="shared" si="714"/>
        <v>6922.3762841599637</v>
      </c>
      <c r="BF249" s="1279">
        <f t="shared" si="715"/>
        <v>7070.995374498626</v>
      </c>
      <c r="BG249" s="1279">
        <f t="shared" si="716"/>
        <v>7361.8999094002265</v>
      </c>
      <c r="BH249" s="1279">
        <f t="shared" si="717"/>
        <v>6833.3266260567761</v>
      </c>
      <c r="BI249" s="1279">
        <f t="shared" si="718"/>
        <v>6701.9543125908931</v>
      </c>
      <c r="BJ249" s="1279">
        <f t="shared" si="719"/>
        <v>7253.2685287661971</v>
      </c>
      <c r="BK249" s="1279">
        <f t="shared" si="720"/>
        <v>6769.9640468533962</v>
      </c>
      <c r="BL249" s="1279">
        <f t="shared" si="721"/>
        <v>6463.6128335247431</v>
      </c>
      <c r="BM249" s="1573">
        <f t="shared" si="722"/>
        <v>7693.0249394769617</v>
      </c>
      <c r="BN249" s="1573">
        <f t="shared" si="723"/>
        <v>7278.8366472990101</v>
      </c>
      <c r="BO249" s="1573">
        <f t="shared" si="724"/>
        <v>7146.3826140386209</v>
      </c>
      <c r="BP249" s="1573">
        <f t="shared" si="725"/>
        <v>6835.1492318446481</v>
      </c>
      <c r="BQ249" s="1205"/>
      <c r="BR249" s="1206"/>
      <c r="BU249" s="1186"/>
      <c r="BV249" s="1551"/>
      <c r="BW249" s="1551"/>
      <c r="BX249" s="1551"/>
    </row>
    <row r="250" spans="2:76" ht="12.75" customHeight="1">
      <c r="B250" s="1579"/>
      <c r="C250" s="1564" t="s">
        <v>440</v>
      </c>
      <c r="D250" s="1552"/>
      <c r="E250" s="1552"/>
      <c r="F250" s="1572"/>
      <c r="G250" s="2219">
        <v>6864.4777044040256</v>
      </c>
      <c r="H250" s="2220">
        <v>6562.8970251557994</v>
      </c>
      <c r="I250" s="2220">
        <v>7414.7110582687419</v>
      </c>
      <c r="J250" s="2221">
        <v>6679.1141503791168</v>
      </c>
      <c r="K250" s="2219">
        <v>7138.8046808257704</v>
      </c>
      <c r="L250" s="2220">
        <v>6258.087014167384</v>
      </c>
      <c r="M250" s="2220">
        <v>7523.249636289559</v>
      </c>
      <c r="N250" s="2221">
        <v>7174.579060258885</v>
      </c>
      <c r="O250" s="2219">
        <v>7873.2744080347829</v>
      </c>
      <c r="P250" s="2220">
        <v>7431.2884796307553</v>
      </c>
      <c r="Q250" s="2220">
        <v>7334.1288032927387</v>
      </c>
      <c r="R250" s="2220">
        <v>6585.3989518402341</v>
      </c>
      <c r="S250" s="2219">
        <v>6652.2606369130135</v>
      </c>
      <c r="T250" s="2220">
        <v>6539.4547394260053</v>
      </c>
      <c r="U250" s="2220">
        <v>7184.9101755550391</v>
      </c>
      <c r="V250" s="2220">
        <v>6986.060144475985</v>
      </c>
      <c r="W250" s="2219">
        <v>6142.7701878695543</v>
      </c>
      <c r="X250" s="2220">
        <v>6706.9196289195888</v>
      </c>
      <c r="Y250" s="2220">
        <v>7191.2801571027721</v>
      </c>
      <c r="Z250" s="2221">
        <v>6691.3524756882343</v>
      </c>
      <c r="AA250" s="2219">
        <v>7683.5517405383844</v>
      </c>
      <c r="AB250" s="2220">
        <v>7477.9551606525392</v>
      </c>
      <c r="AC250" s="2220">
        <v>7273.2045800322394</v>
      </c>
      <c r="AD250" s="2221">
        <v>7297.8688266327545</v>
      </c>
      <c r="AE250" s="2219">
        <v>6825.5682022125657</v>
      </c>
      <c r="AF250" s="2220">
        <v>6812.7741649171348</v>
      </c>
      <c r="AG250" s="2220">
        <v>7454.9666094076501</v>
      </c>
      <c r="AH250" s="2221">
        <v>6130.1227783855711</v>
      </c>
      <c r="AI250" s="2219">
        <v>5895.9354557555907</v>
      </c>
      <c r="AJ250" s="2223">
        <v>7064.5603116460243</v>
      </c>
      <c r="AK250" s="2223">
        <v>7856.3102926990641</v>
      </c>
      <c r="AL250" s="2222">
        <v>6693.0932220303657</v>
      </c>
      <c r="AM250" s="2223">
        <v>6308.6390155305817</v>
      </c>
      <c r="AN250" s="2223">
        <v>8300.9851971638291</v>
      </c>
      <c r="AO250" s="2223">
        <v>10559.214920071048</v>
      </c>
      <c r="AP250" s="2222">
        <v>6991.8724870763926</v>
      </c>
      <c r="AQ250" s="2223">
        <v>7308.293740592273</v>
      </c>
      <c r="AR250" s="2223">
        <v>7573.1759724842441</v>
      </c>
      <c r="AS250" s="2223">
        <v>9344.5082187459211</v>
      </c>
      <c r="AT250" s="2222">
        <v>6521.5722220472508</v>
      </c>
      <c r="AU250" s="2223">
        <v>7193.750633657809</v>
      </c>
      <c r="AV250" s="2223">
        <v>7454.4813583868809</v>
      </c>
      <c r="AW250" s="2223">
        <v>9198.0514612397492</v>
      </c>
      <c r="AX250" s="2222">
        <v>6419.3594250626784</v>
      </c>
      <c r="AY250" s="2223">
        <v>6930.4910839990544</v>
      </c>
      <c r="AZ250" s="2223">
        <v>7181.6802139926585</v>
      </c>
      <c r="BA250" s="2223">
        <v>8861.4433400053931</v>
      </c>
      <c r="BB250" s="2265">
        <v>6184.4391786709302</v>
      </c>
      <c r="BC250" s="1204"/>
      <c r="BD250" s="1204"/>
      <c r="BE250" s="1279">
        <f t="shared" si="714"/>
        <v>6880.2999845519207</v>
      </c>
      <c r="BF250" s="1279">
        <f t="shared" si="715"/>
        <v>7023.6800978853998</v>
      </c>
      <c r="BG250" s="1279">
        <f t="shared" si="716"/>
        <v>7306.0226606996284</v>
      </c>
      <c r="BH250" s="1279">
        <f t="shared" si="717"/>
        <v>6840.6714240925112</v>
      </c>
      <c r="BI250" s="1279">
        <f t="shared" si="718"/>
        <v>6683.080612395037</v>
      </c>
      <c r="BJ250" s="1279">
        <f t="shared" si="719"/>
        <v>7433.1450769639796</v>
      </c>
      <c r="BK250" s="1279">
        <f t="shared" si="720"/>
        <v>6805.8579387307309</v>
      </c>
      <c r="BL250" s="1279">
        <f t="shared" si="721"/>
        <v>6877.4748205327614</v>
      </c>
      <c r="BM250" s="1573">
        <f t="shared" si="722"/>
        <v>8040.1779049604629</v>
      </c>
      <c r="BN250" s="1573">
        <f t="shared" si="723"/>
        <v>7686.8875384674229</v>
      </c>
      <c r="BO250" s="1573">
        <f t="shared" si="724"/>
        <v>7566.4107195867791</v>
      </c>
      <c r="BP250" s="1573">
        <f t="shared" si="725"/>
        <v>7289.5134541670095</v>
      </c>
      <c r="BQ250" s="1205"/>
      <c r="BR250" s="1206"/>
      <c r="BU250" s="1186"/>
      <c r="BV250" s="1551"/>
      <c r="BW250" s="1551"/>
      <c r="BX250" s="1551"/>
    </row>
    <row r="251" spans="2:76" ht="12.75" customHeight="1">
      <c r="B251" s="1579"/>
      <c r="C251" s="1564" t="s">
        <v>481</v>
      </c>
      <c r="D251" s="1552"/>
      <c r="E251" s="1552"/>
      <c r="F251" s="1572"/>
      <c r="G251" s="2219">
        <v>6542.4121405750793</v>
      </c>
      <c r="H251" s="2220">
        <v>6271.3601770080304</v>
      </c>
      <c r="I251" s="2220">
        <v>7021.4112476857217</v>
      </c>
      <c r="J251" s="2221">
        <v>6733.6908270051736</v>
      </c>
      <c r="K251" s="2219">
        <v>4947.8024200898235</v>
      </c>
      <c r="L251" s="2220">
        <v>3639.4677482772172</v>
      </c>
      <c r="M251" s="2220">
        <v>5747.6866885726586</v>
      </c>
      <c r="N251" s="2221">
        <v>6628.5228267586781</v>
      </c>
      <c r="O251" s="2219">
        <v>7140.6532375369161</v>
      </c>
      <c r="P251" s="2220">
        <v>6382.371966804455</v>
      </c>
      <c r="Q251" s="2220">
        <v>6483.5540521088269</v>
      </c>
      <c r="R251" s="2220">
        <v>6726.4830833685282</v>
      </c>
      <c r="S251" s="2219">
        <v>7205.7973591784121</v>
      </c>
      <c r="T251" s="2220">
        <v>6357.537844012214</v>
      </c>
      <c r="U251" s="2220">
        <v>6423.4820897102254</v>
      </c>
      <c r="V251" s="2220">
        <v>7229.6977497861471</v>
      </c>
      <c r="W251" s="2219">
        <v>6790.8520186587984</v>
      </c>
      <c r="X251" s="2220">
        <v>6349.6655319918109</v>
      </c>
      <c r="Y251" s="2220">
        <v>7036.4214757575519</v>
      </c>
      <c r="Z251" s="2221">
        <v>6665.5421283905716</v>
      </c>
      <c r="AA251" s="2219">
        <v>7686.8419302083648</v>
      </c>
      <c r="AB251" s="2220">
        <v>7549.5235262753986</v>
      </c>
      <c r="AC251" s="2220">
        <v>7870.964586340303</v>
      </c>
      <c r="AD251" s="2221">
        <v>7947.0472842148192</v>
      </c>
      <c r="AE251" s="2219">
        <v>8041.4196020612753</v>
      </c>
      <c r="AF251" s="2220">
        <v>7252.5359380326045</v>
      </c>
      <c r="AG251" s="2220">
        <v>7589.9916495196767</v>
      </c>
      <c r="AH251" s="2221">
        <v>7054.7193373314476</v>
      </c>
      <c r="AI251" s="2219">
        <v>6592.9726251884122</v>
      </c>
      <c r="AJ251" s="2223">
        <v>6874.6729901740318</v>
      </c>
      <c r="AK251" s="2223">
        <v>7377.5104880100744</v>
      </c>
      <c r="AL251" s="2222">
        <v>5402.5632811176656</v>
      </c>
      <c r="AM251" s="2223">
        <v>6081.509077044283</v>
      </c>
      <c r="AN251" s="2223">
        <v>10853.739245532757</v>
      </c>
      <c r="AO251" s="2223">
        <v>10437.986082685222</v>
      </c>
      <c r="AP251" s="2222">
        <v>8954.2936288088658</v>
      </c>
      <c r="AQ251" s="2223">
        <v>9568.8121647134849</v>
      </c>
      <c r="AR251" s="2223">
        <v>12135.565714038688</v>
      </c>
      <c r="AS251" s="2223">
        <v>12432.237568226872</v>
      </c>
      <c r="AT251" s="2222">
        <v>9155.3108828586155</v>
      </c>
      <c r="AU251" s="2223">
        <v>10477.444338766418</v>
      </c>
      <c r="AV251" s="2223">
        <v>13287.930842363825</v>
      </c>
      <c r="AW251" s="2223">
        <v>13612.773966633513</v>
      </c>
      <c r="AX251" s="2222">
        <v>10024.677935782822</v>
      </c>
      <c r="AY251" s="2223">
        <v>10870.28187437005</v>
      </c>
      <c r="AZ251" s="2223">
        <v>13786.143749691979</v>
      </c>
      <c r="BA251" s="2223">
        <v>14123.166425412372</v>
      </c>
      <c r="BB251" s="2265">
        <v>10400.539610460706</v>
      </c>
      <c r="BC251" s="1204"/>
      <c r="BD251" s="1204"/>
      <c r="BE251" s="1279">
        <f t="shared" si="714"/>
        <v>6642.2185980685008</v>
      </c>
      <c r="BF251" s="1279">
        <f t="shared" si="715"/>
        <v>5240.8699209245942</v>
      </c>
      <c r="BG251" s="1279">
        <f t="shared" si="716"/>
        <v>6683.2655849546809</v>
      </c>
      <c r="BH251" s="1279">
        <f t="shared" si="717"/>
        <v>6804.1287606717497</v>
      </c>
      <c r="BI251" s="1279">
        <f t="shared" si="718"/>
        <v>6710.6202886996825</v>
      </c>
      <c r="BJ251" s="1279">
        <f t="shared" si="719"/>
        <v>7763.5943317597212</v>
      </c>
      <c r="BK251" s="1279">
        <f t="shared" si="720"/>
        <v>7484.6666317362515</v>
      </c>
      <c r="BL251" s="1279">
        <f t="shared" si="721"/>
        <v>6561.9298461225462</v>
      </c>
      <c r="BM251" s="1573">
        <f t="shared" si="722"/>
        <v>9081.8820085177831</v>
      </c>
      <c r="BN251" s="1573">
        <f t="shared" si="723"/>
        <v>10822.981582459415</v>
      </c>
      <c r="BO251" s="1573">
        <f t="shared" si="724"/>
        <v>11850.706770886643</v>
      </c>
      <c r="BP251" s="1573">
        <f t="shared" si="725"/>
        <v>12295.032914983778</v>
      </c>
      <c r="BQ251" s="1205"/>
      <c r="BR251" s="1206"/>
      <c r="BU251" s="1186"/>
      <c r="BV251" s="1551"/>
      <c r="BW251" s="1551"/>
      <c r="BX251" s="1551"/>
    </row>
    <row r="252" spans="2:76" ht="12.75" customHeight="1">
      <c r="B252" s="1579"/>
      <c r="C252" s="1564" t="s">
        <v>482</v>
      </c>
      <c r="D252" s="1552"/>
      <c r="E252" s="1552"/>
      <c r="F252" s="1572"/>
      <c r="G252" s="2219">
        <v>7660.4394968624874</v>
      </c>
      <c r="H252" s="2220">
        <v>4421.426097331675</v>
      </c>
      <c r="I252" s="2220">
        <v>6156.2722201020406</v>
      </c>
      <c r="J252" s="2221">
        <v>7002.5167489617788</v>
      </c>
      <c r="K252" s="2219">
        <v>4589.0510511069697</v>
      </c>
      <c r="L252" s="2220">
        <v>2411.1346788076098</v>
      </c>
      <c r="M252" s="2220">
        <v>5490.4974244869181</v>
      </c>
      <c r="N252" s="2221">
        <v>6615.8727095483928</v>
      </c>
      <c r="O252" s="2219">
        <v>7046.3802040246701</v>
      </c>
      <c r="P252" s="2220">
        <v>5518.5767411822817</v>
      </c>
      <c r="Q252" s="2220">
        <v>6377.5206167201122</v>
      </c>
      <c r="R252" s="2220">
        <v>7344.081803590022</v>
      </c>
      <c r="S252" s="2219">
        <v>9311.2686731067824</v>
      </c>
      <c r="T252" s="2220">
        <v>7056.6794179267672</v>
      </c>
      <c r="U252" s="2220">
        <v>8597.9551187672805</v>
      </c>
      <c r="V252" s="2220">
        <v>9033.2153415300436</v>
      </c>
      <c r="W252" s="2219">
        <v>7778.1824249044994</v>
      </c>
      <c r="X252" s="2220">
        <v>4321.8647012602933</v>
      </c>
      <c r="Y252" s="2220">
        <v>7399.6643648541531</v>
      </c>
      <c r="Z252" s="2221">
        <v>8079.6050793482691</v>
      </c>
      <c r="AA252" s="2219">
        <v>8597.8421847930604</v>
      </c>
      <c r="AB252" s="2220">
        <v>9043.6082365961338</v>
      </c>
      <c r="AC252" s="2220">
        <v>9384.1581076756538</v>
      </c>
      <c r="AD252" s="2221">
        <v>10244.540848251741</v>
      </c>
      <c r="AE252" s="2219">
        <v>9931.6699639321978</v>
      </c>
      <c r="AF252" s="2220">
        <v>8322.9072817939832</v>
      </c>
      <c r="AG252" s="2220">
        <v>9519.3024094689408</v>
      </c>
      <c r="AH252" s="2221">
        <v>8836.9259337879703</v>
      </c>
      <c r="AI252" s="2219">
        <v>7422.1179080352858</v>
      </c>
      <c r="AJ252" s="2223">
        <v>6926.4056548853769</v>
      </c>
      <c r="AK252" s="2223">
        <v>9076.9846765896473</v>
      </c>
      <c r="AL252" s="2222">
        <v>7115.4623612168161</v>
      </c>
      <c r="AM252" s="2223">
        <v>7142.1403365965198</v>
      </c>
      <c r="AN252" s="2223">
        <v>11846.45929847783</v>
      </c>
      <c r="AO252" s="2223">
        <v>13262.382316823576</v>
      </c>
      <c r="AP252" s="2222">
        <v>13234.072022160666</v>
      </c>
      <c r="AQ252" s="2223">
        <v>12329.48172551779</v>
      </c>
      <c r="AR252" s="2223">
        <v>13082.874702863712</v>
      </c>
      <c r="AS252" s="2223">
        <v>15543.273890119144</v>
      </c>
      <c r="AT252" s="2222">
        <v>12131.723236546579</v>
      </c>
      <c r="AU252" s="2223">
        <v>13058.427446074731</v>
      </c>
      <c r="AV252" s="2223">
        <v>13856.36265146884</v>
      </c>
      <c r="AW252" s="2223">
        <v>16462.225978932187</v>
      </c>
      <c r="AX252" s="2222">
        <v>12848.977046003884</v>
      </c>
      <c r="AY252" s="2223">
        <v>13044.817446046907</v>
      </c>
      <c r="AZ252" s="2223">
        <v>13841.92101239317</v>
      </c>
      <c r="BA252" s="2223">
        <v>16445.068407933952</v>
      </c>
      <c r="BB252" s="2265">
        <v>12835.585343314124</v>
      </c>
      <c r="BC252" s="1204"/>
      <c r="BD252" s="1204"/>
      <c r="BE252" s="1279">
        <f t="shared" si="714"/>
        <v>6310.163640814495</v>
      </c>
      <c r="BF252" s="1279">
        <f t="shared" si="715"/>
        <v>4776.6389659874721</v>
      </c>
      <c r="BG252" s="1279">
        <f t="shared" si="716"/>
        <v>6571.6398413792722</v>
      </c>
      <c r="BH252" s="1279">
        <f t="shared" si="717"/>
        <v>8499.7796378327184</v>
      </c>
      <c r="BI252" s="1279">
        <f t="shared" si="718"/>
        <v>6894.8291425918032</v>
      </c>
      <c r="BJ252" s="1279">
        <f t="shared" si="719"/>
        <v>9317.5373443291464</v>
      </c>
      <c r="BK252" s="1279">
        <f t="shared" si="720"/>
        <v>9152.7013972457735</v>
      </c>
      <c r="BL252" s="1279">
        <f t="shared" si="721"/>
        <v>7635.2426501817808</v>
      </c>
      <c r="BM252" s="1573">
        <f t="shared" si="722"/>
        <v>11371.263493514649</v>
      </c>
      <c r="BN252" s="1573">
        <f t="shared" si="723"/>
        <v>13271.838388761804</v>
      </c>
      <c r="BO252" s="1573">
        <f t="shared" si="724"/>
        <v>14056.498280619911</v>
      </c>
      <c r="BP252" s="1573">
        <f t="shared" si="725"/>
        <v>14041.848052422038</v>
      </c>
      <c r="BQ252" s="1205"/>
      <c r="BR252" s="1206"/>
      <c r="BU252" s="1186"/>
      <c r="BV252" s="1551"/>
      <c r="BW252" s="1551"/>
      <c r="BX252" s="1551"/>
    </row>
    <row r="253" spans="2:76" ht="12.75" customHeight="1">
      <c r="B253" s="1579"/>
      <c r="C253" s="1564" t="s">
        <v>483</v>
      </c>
      <c r="D253" s="1552"/>
      <c r="E253" s="1552"/>
      <c r="F253" s="1572"/>
      <c r="G253" s="2219">
        <v>7118.7343332015444</v>
      </c>
      <c r="H253" s="2220">
        <v>4593.567349875505</v>
      </c>
      <c r="I253" s="2220">
        <v>6427.0806799498041</v>
      </c>
      <c r="J253" s="2221">
        <v>7240.3857070656832</v>
      </c>
      <c r="K253" s="2219">
        <v>4527.9726426404268</v>
      </c>
      <c r="L253" s="2220">
        <v>2139.4239164830151</v>
      </c>
      <c r="M253" s="2220">
        <v>5540.0381805538027</v>
      </c>
      <c r="N253" s="2221">
        <v>6922.8867412093605</v>
      </c>
      <c r="O253" s="2219">
        <v>7288.8165261279782</v>
      </c>
      <c r="P253" s="2220">
        <v>4935.209035652063</v>
      </c>
      <c r="Q253" s="2220">
        <v>6004.1600044308707</v>
      </c>
      <c r="R253" s="2220">
        <v>7422.4345820566759</v>
      </c>
      <c r="S253" s="2219">
        <v>8678.8668853041981</v>
      </c>
      <c r="T253" s="2220">
        <v>7027.7276846105133</v>
      </c>
      <c r="U253" s="2220">
        <v>8817.9649843376701</v>
      </c>
      <c r="V253" s="2220">
        <v>9456.2247970327371</v>
      </c>
      <c r="W253" s="2219">
        <v>7950.7893476766221</v>
      </c>
      <c r="X253" s="2220">
        <v>5115.2173055428402</v>
      </c>
      <c r="Y253" s="2220">
        <v>7521.7861132026201</v>
      </c>
      <c r="Z253" s="2221">
        <v>8141.7125084036306</v>
      </c>
      <c r="AA253" s="2219">
        <v>9101.9308944914155</v>
      </c>
      <c r="AB253" s="2220">
        <v>9671.1886124478242</v>
      </c>
      <c r="AC253" s="2220">
        <v>9120.2470401114297</v>
      </c>
      <c r="AD253" s="2221">
        <v>10477.07621910588</v>
      </c>
      <c r="AE253" s="2219">
        <v>9611.7445703524172</v>
      </c>
      <c r="AF253" s="2220">
        <v>9580.9697078732752</v>
      </c>
      <c r="AG253" s="2220">
        <v>10025.134228924268</v>
      </c>
      <c r="AH253" s="2221">
        <v>9232.644929535496</v>
      </c>
      <c r="AI253" s="2219">
        <v>7618.1564331858617</v>
      </c>
      <c r="AJ253" s="2223">
        <v>6565.829016583225</v>
      </c>
      <c r="AK253" s="2223">
        <v>9399.4393190765804</v>
      </c>
      <c r="AL253" s="2222">
        <v>7066.9504901112114</v>
      </c>
      <c r="AM253" s="2223">
        <v>7616.7891957904303</v>
      </c>
      <c r="AN253" s="2223">
        <v>12260.09265387161</v>
      </c>
      <c r="AO253" s="2223">
        <v>13180.515759312319</v>
      </c>
      <c r="AP253" s="2222">
        <v>13337.950138504159</v>
      </c>
      <c r="AQ253" s="2223">
        <v>12476.166964736271</v>
      </c>
      <c r="AR253" s="2223">
        <v>13453.482204801772</v>
      </c>
      <c r="AS253" s="2223">
        <v>15729.035256212897</v>
      </c>
      <c r="AT253" s="2222">
        <v>12833.726601162503</v>
      </c>
      <c r="AU253" s="2223">
        <v>13182.832885276595</v>
      </c>
      <c r="AV253" s="2223">
        <v>14215.504500078907</v>
      </c>
      <c r="AW253" s="2223">
        <v>16619.947762430536</v>
      </c>
      <c r="AX253" s="2222">
        <v>13560.64515300677</v>
      </c>
      <c r="AY253" s="2223">
        <v>13153.941016853727</v>
      </c>
      <c r="AZ253" s="2223">
        <v>14184.349399414645</v>
      </c>
      <c r="BA253" s="2223">
        <v>16583.523016086117</v>
      </c>
      <c r="BB253" s="2265">
        <v>13530.925260560325</v>
      </c>
      <c r="BC253" s="1204"/>
      <c r="BD253" s="1204"/>
      <c r="BE253" s="1279">
        <f t="shared" si="714"/>
        <v>6344.9420175231335</v>
      </c>
      <c r="BF253" s="1279">
        <f t="shared" si="715"/>
        <v>4782.5803702216508</v>
      </c>
      <c r="BG253" s="1279">
        <f t="shared" si="716"/>
        <v>6412.6550370668974</v>
      </c>
      <c r="BH253" s="1279">
        <f t="shared" si="717"/>
        <v>8495.1960878212794</v>
      </c>
      <c r="BI253" s="1279">
        <f t="shared" si="718"/>
        <v>7182.3763187064278</v>
      </c>
      <c r="BJ253" s="1279">
        <f t="shared" si="719"/>
        <v>9592.6106915391374</v>
      </c>
      <c r="BK253" s="1279">
        <f t="shared" si="720"/>
        <v>9612.6233591713644</v>
      </c>
      <c r="BL253" s="1279">
        <f t="shared" si="721"/>
        <v>7662.5938147392199</v>
      </c>
      <c r="BM253" s="1573">
        <f t="shared" si="722"/>
        <v>11598.836936869629</v>
      </c>
      <c r="BN253" s="1573">
        <f t="shared" si="723"/>
        <v>13623.10275672836</v>
      </c>
      <c r="BO253" s="1573">
        <f t="shared" si="724"/>
        <v>14394.732575198203</v>
      </c>
      <c r="BP253" s="1573">
        <f t="shared" si="725"/>
        <v>14363.184673228703</v>
      </c>
      <c r="BQ253" s="1205"/>
      <c r="BR253" s="1206"/>
      <c r="BU253" s="1186"/>
      <c r="BV253" s="1551"/>
      <c r="BW253" s="1551"/>
      <c r="BX253" s="1551"/>
    </row>
    <row r="254" spans="2:76" ht="12.75" customHeight="1">
      <c r="B254" s="1579"/>
      <c r="C254" s="1564" t="s">
        <v>484</v>
      </c>
      <c r="D254" s="1552"/>
      <c r="E254" s="1552"/>
      <c r="F254" s="1572"/>
      <c r="G254" s="2219">
        <v>7426.4580925837827</v>
      </c>
      <c r="H254" s="2220">
        <v>5010.1388926342906</v>
      </c>
      <c r="I254" s="2220">
        <v>6534.2814502677575</v>
      </c>
      <c r="J254" s="2221">
        <v>7663.4892753526874</v>
      </c>
      <c r="K254" s="2219">
        <v>3929.5845308814478</v>
      </c>
      <c r="L254" s="2220">
        <v>2019.2783189557053</v>
      </c>
      <c r="M254" s="2220">
        <v>4670.8573279366547</v>
      </c>
      <c r="N254" s="2221">
        <v>7514.4082343612945</v>
      </c>
      <c r="O254" s="2219">
        <v>6973.3021358291335</v>
      </c>
      <c r="P254" s="2220">
        <v>28.782848697248738</v>
      </c>
      <c r="Q254" s="2220">
        <v>4227.0980279257255</v>
      </c>
      <c r="R254" s="2220">
        <v>6727.2801290828729</v>
      </c>
      <c r="S254" s="2219">
        <v>7153.2681962593506</v>
      </c>
      <c r="T254" s="2220">
        <v>4191.4647898805733</v>
      </c>
      <c r="U254" s="2220">
        <v>6208.3880299897546</v>
      </c>
      <c r="V254" s="2220">
        <v>9165.8261083092457</v>
      </c>
      <c r="W254" s="2219">
        <v>4535.3497131161557</v>
      </c>
      <c r="X254" s="2220">
        <v>2842.1256826512813</v>
      </c>
      <c r="Y254" s="2220">
        <v>6174.4647234642125</v>
      </c>
      <c r="Z254" s="2221">
        <v>6739.3189580413173</v>
      </c>
      <c r="AA254" s="2219">
        <v>5272.3423493712744</v>
      </c>
      <c r="AB254" s="2220">
        <v>8070.6412815660206</v>
      </c>
      <c r="AC254" s="2220">
        <v>7444.7534957486841</v>
      </c>
      <c r="AD254" s="2221">
        <v>7741.2731719518661</v>
      </c>
      <c r="AE254" s="2219">
        <v>7078.7259123138783</v>
      </c>
      <c r="AF254" s="2220">
        <v>4819.6778604479841</v>
      </c>
      <c r="AG254" s="2220">
        <v>8065.3674973948418</v>
      </c>
      <c r="AH254" s="2221">
        <v>6021.0210358521981</v>
      </c>
      <c r="AI254" s="2219">
        <v>5379.6174287968361</v>
      </c>
      <c r="AJ254" s="2223">
        <v>1169.9251809150007</v>
      </c>
      <c r="AK254" s="2223">
        <v>7370.4596656258645</v>
      </c>
      <c r="AL254" s="2222">
        <v>5207.6474963728888</v>
      </c>
      <c r="AM254" s="2223">
        <v>4481.8108025744623</v>
      </c>
      <c r="AN254" s="2223">
        <v>2680.344142951687</v>
      </c>
      <c r="AO254" s="2223">
        <v>7122.3905034793297</v>
      </c>
      <c r="AP254" s="2222">
        <v>8538.7811634349055</v>
      </c>
      <c r="AQ254" s="2223">
        <v>9294.2311509543069</v>
      </c>
      <c r="AR254" s="2223">
        <v>5469.5978144865967</v>
      </c>
      <c r="AS254" s="2223">
        <v>11009.808729651124</v>
      </c>
      <c r="AT254" s="2222">
        <v>7014.3272150574057</v>
      </c>
      <c r="AU254" s="2223">
        <v>10558.398782517217</v>
      </c>
      <c r="AV254" s="2223">
        <v>6213.5526830968138</v>
      </c>
      <c r="AW254" s="2223">
        <v>12507.32300486846</v>
      </c>
      <c r="AX254" s="2222">
        <v>7968.3905774212635</v>
      </c>
      <c r="AY254" s="2223">
        <v>11008.480327842066</v>
      </c>
      <c r="AZ254" s="2223">
        <v>6478.4229016943764</v>
      </c>
      <c r="BA254" s="2223">
        <v>13040.482945297053</v>
      </c>
      <c r="BB254" s="2265">
        <v>8308.0657136527334</v>
      </c>
      <c r="BC254" s="1204"/>
      <c r="BD254" s="1204"/>
      <c r="BE254" s="1279">
        <f t="shared" si="714"/>
        <v>6658.5919277096291</v>
      </c>
      <c r="BF254" s="1279">
        <f t="shared" si="715"/>
        <v>4533.5321030337755</v>
      </c>
      <c r="BG254" s="1279">
        <f t="shared" si="716"/>
        <v>4489.1157853837449</v>
      </c>
      <c r="BH254" s="1279">
        <f t="shared" si="717"/>
        <v>6679.7367811097301</v>
      </c>
      <c r="BI254" s="1279">
        <f t="shared" si="718"/>
        <v>5072.8147693182418</v>
      </c>
      <c r="BJ254" s="1279">
        <f t="shared" si="719"/>
        <v>7132.2525746594611</v>
      </c>
      <c r="BK254" s="1279">
        <f t="shared" si="720"/>
        <v>6496.1980765022263</v>
      </c>
      <c r="BL254" s="1279">
        <f t="shared" si="721"/>
        <v>4781.9124429276471</v>
      </c>
      <c r="BM254" s="1573">
        <f t="shared" si="722"/>
        <v>5705.8316531100963</v>
      </c>
      <c r="BN254" s="1573">
        <f t="shared" si="723"/>
        <v>8196.991227537359</v>
      </c>
      <c r="BO254" s="1573">
        <f t="shared" si="724"/>
        <v>9311.9162619759391</v>
      </c>
      <c r="BP254" s="1573">
        <f t="shared" si="725"/>
        <v>9708.8629721215584</v>
      </c>
      <c r="BQ254" s="1205"/>
      <c r="BR254" s="1206"/>
      <c r="BU254" s="1186"/>
      <c r="BV254" s="1551"/>
      <c r="BW254" s="1551"/>
      <c r="BX254" s="1551"/>
    </row>
    <row r="255" spans="2:76" ht="12.75" customHeight="1">
      <c r="B255" s="1579"/>
      <c r="C255" s="2293" t="s">
        <v>1535</v>
      </c>
      <c r="D255" s="1552"/>
      <c r="E255" s="1552"/>
      <c r="F255" s="1572"/>
      <c r="G255" s="1598">
        <v>0</v>
      </c>
      <c r="H255" s="1597">
        <v>0</v>
      </c>
      <c r="I255" s="1597">
        <v>0</v>
      </c>
      <c r="J255" s="1599">
        <v>5127.6255850361686</v>
      </c>
      <c r="K255" s="1595">
        <v>5240.9261466320195</v>
      </c>
      <c r="L255" s="1597">
        <v>3623.7222932969935</v>
      </c>
      <c r="M255" s="1597">
        <v>7637.5478537222789</v>
      </c>
      <c r="N255" s="1599">
        <v>5145.6041120023128</v>
      </c>
      <c r="O255" s="1598">
        <v>5809.5791548366151</v>
      </c>
      <c r="P255" s="1597">
        <v>5954.1949848390959</v>
      </c>
      <c r="Q255" s="1597">
        <v>6888.4287903141694</v>
      </c>
      <c r="R255" s="1236">
        <v>6233.7685965003757</v>
      </c>
      <c r="S255" s="1234">
        <v>5988.0913357535692</v>
      </c>
      <c r="T255" s="1235">
        <v>6007.9038515154725</v>
      </c>
      <c r="U255" s="1235">
        <v>7349.2540806565275</v>
      </c>
      <c r="V255" s="1236">
        <v>6994.6325194419514</v>
      </c>
      <c r="W255" s="1235">
        <v>6080.7198049477747</v>
      </c>
      <c r="X255" s="1235">
        <v>6970.9778782114672</v>
      </c>
      <c r="Y255" s="1235">
        <v>7239.820470198154</v>
      </c>
      <c r="Z255" s="1236">
        <v>6868.5436968988715</v>
      </c>
      <c r="AA255" s="1235">
        <v>8226.1888723536613</v>
      </c>
      <c r="AB255" s="1235">
        <v>7516.0998993134817</v>
      </c>
      <c r="AC255" s="1235">
        <v>7447.7740060088181</v>
      </c>
      <c r="AD255" s="1236">
        <v>7059.7639774892332</v>
      </c>
      <c r="AE255" s="1235">
        <v>7250.2204400046912</v>
      </c>
      <c r="AF255" s="1235">
        <v>6926.0052986481123</v>
      </c>
      <c r="AG255" s="1235">
        <v>7584.2582143532491</v>
      </c>
      <c r="AH255" s="1236">
        <v>6265.3734073086953</v>
      </c>
      <c r="AI255" s="1235">
        <v>5413.0436677824982</v>
      </c>
      <c r="AJ255" s="1235">
        <v>6726.7779529208856</v>
      </c>
      <c r="AK255" s="1235">
        <v>7976.1185813343263</v>
      </c>
      <c r="AL255" s="1236">
        <v>6750.161788693903</v>
      </c>
      <c r="AM255" s="1235">
        <v>6422.2133266124401</v>
      </c>
      <c r="AN255" s="1235">
        <v>8048.0608695652172</v>
      </c>
      <c r="AO255" s="1235">
        <v>11474.906464924346</v>
      </c>
      <c r="AP255" s="1236">
        <v>6852.997364953887</v>
      </c>
      <c r="AQ255" s="1235">
        <v>6265.0137776610345</v>
      </c>
      <c r="AR255" s="1235">
        <v>6530.144494614603</v>
      </c>
      <c r="AS255" s="1235">
        <v>8725.0995759322941</v>
      </c>
      <c r="AT255" s="1236">
        <v>6597.9020800638746</v>
      </c>
      <c r="AU255" s="1235">
        <v>6031.9099537832089</v>
      </c>
      <c r="AV255" s="1235">
        <v>6195.5449296090837</v>
      </c>
      <c r="AW255" s="1235">
        <v>8244.6650067023384</v>
      </c>
      <c r="AX255" s="1236">
        <v>6266.7223668496872</v>
      </c>
      <c r="AY255" s="1235">
        <v>5639.6195767479512</v>
      </c>
      <c r="AZ255" s="1235">
        <v>5777.3245530193408</v>
      </c>
      <c r="BA255" s="1235">
        <v>7670.2250040588715</v>
      </c>
      <c r="BB255" s="2266">
        <v>5829.5160354141863</v>
      </c>
      <c r="BC255" s="1204"/>
      <c r="BD255" s="1204"/>
      <c r="BE255" s="1279"/>
      <c r="BF255" s="1279"/>
      <c r="BG255" s="1279"/>
      <c r="BH255" s="1279"/>
      <c r="BI255" s="1279"/>
      <c r="BJ255" s="1279"/>
      <c r="BK255" s="1279"/>
      <c r="BL255" s="1279"/>
      <c r="BM255" s="1279"/>
      <c r="BN255" s="1279"/>
      <c r="BO255" s="1279"/>
      <c r="BP255" s="1279"/>
      <c r="BQ255" s="1205"/>
      <c r="BR255" s="1206"/>
      <c r="BU255" s="1186"/>
      <c r="BV255" s="1551"/>
      <c r="BW255" s="1551"/>
      <c r="BX255" s="1551"/>
    </row>
    <row r="256" spans="2:76" ht="12.75" customHeight="1">
      <c r="B256" s="1579"/>
      <c r="C256" s="1252" t="s">
        <v>282</v>
      </c>
      <c r="D256" s="1228"/>
      <c r="E256" s="1228"/>
      <c r="F256" s="1348"/>
      <c r="G256" s="1595"/>
      <c r="H256" s="1594"/>
      <c r="I256" s="1594"/>
      <c r="J256" s="1596"/>
      <c r="K256" s="1595"/>
      <c r="L256" s="1594"/>
      <c r="M256" s="1594"/>
      <c r="N256" s="1596"/>
      <c r="O256" s="1595"/>
      <c r="P256" s="1594"/>
      <c r="Q256" s="1594"/>
      <c r="R256" s="1217"/>
      <c r="S256" s="1593"/>
      <c r="T256" s="1218"/>
      <c r="U256" s="1218"/>
      <c r="V256" s="1217"/>
      <c r="W256" s="1218"/>
      <c r="X256" s="1218"/>
      <c r="Y256" s="1218"/>
      <c r="Z256" s="1592"/>
      <c r="AA256" s="1591"/>
      <c r="AB256" s="1591"/>
      <c r="AC256" s="1591"/>
      <c r="AD256" s="1592"/>
      <c r="AE256" s="1591"/>
      <c r="AF256" s="1591"/>
      <c r="AG256" s="1591"/>
      <c r="AH256" s="1592"/>
      <c r="AI256" s="1591"/>
      <c r="AJ256" s="1591"/>
      <c r="AK256" s="1591"/>
      <c r="AL256" s="1592"/>
      <c r="AM256" s="1591"/>
      <c r="AN256" s="1591"/>
      <c r="AO256" s="1591"/>
      <c r="AP256" s="1592"/>
      <c r="AQ256" s="1591"/>
      <c r="AR256" s="1591"/>
      <c r="AS256" s="1591"/>
      <c r="AT256" s="1592"/>
      <c r="AU256" s="1591"/>
      <c r="AV256" s="1591"/>
      <c r="AW256" s="1591"/>
      <c r="AX256" s="1592"/>
      <c r="AY256" s="1591"/>
      <c r="AZ256" s="1591"/>
      <c r="BA256" s="1591"/>
      <c r="BB256" s="2249"/>
      <c r="BC256" s="1600"/>
      <c r="BD256" s="1219"/>
      <c r="BE256" s="1270"/>
      <c r="BF256" s="1270"/>
      <c r="BG256" s="1270"/>
      <c r="BH256" s="1270"/>
      <c r="BI256" s="1270"/>
      <c r="BJ256" s="1270"/>
      <c r="BK256" s="1270"/>
      <c r="BL256" s="1270"/>
      <c r="BM256" s="1582"/>
      <c r="BN256" s="1582"/>
      <c r="BO256" s="1582"/>
      <c r="BP256" s="1582"/>
      <c r="BQ256" s="1205"/>
      <c r="BR256" s="1206"/>
      <c r="BU256" s="1186"/>
      <c r="BV256" s="1551"/>
      <c r="BW256" s="1551"/>
      <c r="BX256" s="1551"/>
    </row>
    <row r="257" spans="2:76" ht="12.75" customHeight="1">
      <c r="B257" s="1579"/>
      <c r="C257" s="1564" t="s">
        <v>244</v>
      </c>
      <c r="D257" s="1552"/>
      <c r="E257" s="1552"/>
      <c r="F257" s="1563"/>
      <c r="G257" s="1586"/>
      <c r="H257" s="1585"/>
      <c r="I257" s="1585"/>
      <c r="J257" s="1587"/>
      <c r="K257" s="1570"/>
      <c r="L257" s="1585"/>
      <c r="M257" s="1585"/>
      <c r="N257" s="1587"/>
      <c r="O257" s="1590">
        <v>102.54</v>
      </c>
      <c r="P257" s="1588">
        <v>95.373333333333335</v>
      </c>
      <c r="Q257" s="1588">
        <v>81.040000000000006</v>
      </c>
      <c r="R257" s="1589">
        <v>81.040000000000006</v>
      </c>
      <c r="S257" s="1590">
        <v>81.040000000000006</v>
      </c>
      <c r="T257" s="1588">
        <v>79.626666666666665</v>
      </c>
      <c r="U257" s="1588">
        <v>76.8</v>
      </c>
      <c r="V257" s="1589">
        <v>76.8</v>
      </c>
      <c r="W257" s="1588">
        <v>76.8</v>
      </c>
      <c r="X257" s="1588">
        <v>82.486666666666665</v>
      </c>
      <c r="Y257" s="1588">
        <v>93.86</v>
      </c>
      <c r="Z257" s="1589">
        <v>93.86</v>
      </c>
      <c r="AA257" s="1588">
        <v>93.86</v>
      </c>
      <c r="AB257" s="1588">
        <v>96.874703196347028</v>
      </c>
      <c r="AC257" s="1588">
        <v>102.9041095890411</v>
      </c>
      <c r="AD257" s="1589">
        <v>102.9041095890411</v>
      </c>
      <c r="AE257" s="1588">
        <v>103</v>
      </c>
      <c r="AF257" s="1588">
        <v>98.736666666666665</v>
      </c>
      <c r="AG257" s="1588">
        <v>90.21</v>
      </c>
      <c r="AH257" s="1589">
        <v>90.21</v>
      </c>
      <c r="AI257" s="1588">
        <v>90.21</v>
      </c>
      <c r="AJ257" s="1575">
        <v>137.126301369863</v>
      </c>
      <c r="AK257" s="1575">
        <v>230.95890410958907</v>
      </c>
      <c r="AL257" s="1589">
        <v>230.95890410958907</v>
      </c>
      <c r="AM257" s="1588">
        <v>230.95890410958907</v>
      </c>
      <c r="AN257" s="1575">
        <v>258.63013698630141</v>
      </c>
      <c r="AO257" s="1575">
        <v>313.97260273972609</v>
      </c>
      <c r="AP257" s="1589">
        <v>313.97260273972609</v>
      </c>
      <c r="AQ257" s="1588">
        <v>313.97260273972609</v>
      </c>
      <c r="AR257" s="1575">
        <v>286.35616438356169</v>
      </c>
      <c r="AS257" s="1575">
        <v>231.12328767123287</v>
      </c>
      <c r="AT257" s="1589">
        <v>231.12328767123287</v>
      </c>
      <c r="AU257" s="1588">
        <v>231.12328767123287</v>
      </c>
      <c r="AV257" s="1575">
        <v>231.12328767123287</v>
      </c>
      <c r="AW257" s="1575">
        <v>231.12328767123287</v>
      </c>
      <c r="AX257" s="1589">
        <v>231.12328767123287</v>
      </c>
      <c r="AY257" s="1588">
        <v>231.12328767123287</v>
      </c>
      <c r="AZ257" s="1575">
        <v>231.12328767123287</v>
      </c>
      <c r="BA257" s="1575">
        <v>231.12328767123287</v>
      </c>
      <c r="BB257" s="2250">
        <v>231.12328767123287</v>
      </c>
      <c r="BC257" s="1600"/>
      <c r="BD257" s="1219"/>
      <c r="BE257" s="1279"/>
      <c r="BF257" s="1279"/>
      <c r="BG257" s="1279">
        <f t="shared" ref="BG257:BG271" si="726">AVERAGE(O257:R257)</f>
        <v>89.998333333333349</v>
      </c>
      <c r="BH257" s="1279">
        <f t="shared" ref="BH257:BH271" si="727">AVERAGE(S257:V257)</f>
        <v>78.566666666666677</v>
      </c>
      <c r="BI257" s="1279">
        <f t="shared" ref="BI257:BI271" si="728">AVERAGE(W257:Z257)</f>
        <v>86.751666666666665</v>
      </c>
      <c r="BJ257" s="1279">
        <f t="shared" ref="BJ257:BJ271" si="729">AVERAGE(AA257:AD257)</f>
        <v>99.13573059360732</v>
      </c>
      <c r="BK257" s="1279">
        <f t="shared" ref="BK257:BK271" si="730">AVERAGE(AE257:AH257)</f>
        <v>95.539166666666659</v>
      </c>
      <c r="BL257" s="1279">
        <f t="shared" ref="BL257:BL271" si="731">AVERAGE(AI257:AL257)</f>
        <v>172.31352739726029</v>
      </c>
      <c r="BM257" s="1573">
        <f t="shared" ref="BM257:BM271" si="732">AVERAGE(AM257:AP257)</f>
        <v>279.38356164383566</v>
      </c>
      <c r="BN257" s="1573">
        <f t="shared" ref="BN257:BN271" si="733">AVERAGE(AQ257:AT257)</f>
        <v>265.64383561643837</v>
      </c>
      <c r="BO257" s="1573">
        <f t="shared" ref="BO257:BO271" si="734">AVERAGE(AU257:AX257)</f>
        <v>231.12328767123287</v>
      </c>
      <c r="BP257" s="1573">
        <f t="shared" ref="BP257:BP271" si="735">AVERAGE(AY257:BB257)</f>
        <v>231.12328767123287</v>
      </c>
      <c r="BQ257" s="1205"/>
      <c r="BR257" s="1206"/>
      <c r="BU257" s="1186"/>
      <c r="BV257" s="1551"/>
      <c r="BW257" s="1551"/>
      <c r="BX257" s="1551"/>
    </row>
    <row r="258" spans="2:76" ht="12.75" customHeight="1">
      <c r="B258" s="1579"/>
      <c r="C258" s="1564" t="s">
        <v>302</v>
      </c>
      <c r="D258" s="1552"/>
      <c r="E258" s="1552"/>
      <c r="F258" s="1572"/>
      <c r="G258" s="1570"/>
      <c r="H258" s="1568"/>
      <c r="I258" s="1568"/>
      <c r="J258" s="1569"/>
      <c r="K258" s="1570"/>
      <c r="L258" s="1568"/>
      <c r="M258" s="1568"/>
      <c r="N258" s="1569"/>
      <c r="O258" s="1590">
        <v>102.54</v>
      </c>
      <c r="P258" s="1588">
        <v>96.14</v>
      </c>
      <c r="Q258" s="1588">
        <v>83.34</v>
      </c>
      <c r="R258" s="1589">
        <v>83.34</v>
      </c>
      <c r="S258" s="1590">
        <v>83.34</v>
      </c>
      <c r="T258" s="1588">
        <v>83.13333333333334</v>
      </c>
      <c r="U258" s="1588">
        <v>82.72</v>
      </c>
      <c r="V258" s="1589">
        <v>82.72</v>
      </c>
      <c r="W258" s="1588">
        <v>82.72</v>
      </c>
      <c r="X258" s="1588">
        <v>86.433333333333337</v>
      </c>
      <c r="Y258" s="1588">
        <v>93.86</v>
      </c>
      <c r="Z258" s="1589">
        <v>93.86</v>
      </c>
      <c r="AA258" s="1588">
        <v>93.86</v>
      </c>
      <c r="AB258" s="1588">
        <v>96.874703196347028</v>
      </c>
      <c r="AC258" s="1588">
        <v>102.9041095890411</v>
      </c>
      <c r="AD258" s="1589">
        <v>102.9041095890411</v>
      </c>
      <c r="AE258" s="1588">
        <v>103</v>
      </c>
      <c r="AF258" s="1588">
        <v>98.736666666666665</v>
      </c>
      <c r="AG258" s="1588">
        <v>90.21</v>
      </c>
      <c r="AH258" s="1589">
        <v>90.21</v>
      </c>
      <c r="AI258" s="1588">
        <v>90.21</v>
      </c>
      <c r="AJ258" s="1575">
        <v>137.126301369863</v>
      </c>
      <c r="AK258" s="1575">
        <v>230.95890410958907</v>
      </c>
      <c r="AL258" s="1589">
        <v>230.95890410958907</v>
      </c>
      <c r="AM258" s="1588">
        <v>230.95890410958907</v>
      </c>
      <c r="AN258" s="1575">
        <v>258.63013698630141</v>
      </c>
      <c r="AO258" s="1575">
        <v>313.97260273972609</v>
      </c>
      <c r="AP258" s="1589">
        <v>313.97260273972609</v>
      </c>
      <c r="AQ258" s="1588">
        <v>313.97260273972609</v>
      </c>
      <c r="AR258" s="1575">
        <v>286.35616438356169</v>
      </c>
      <c r="AS258" s="1575">
        <v>231.12328767123287</v>
      </c>
      <c r="AT258" s="1589">
        <v>231.12328767123287</v>
      </c>
      <c r="AU258" s="1588">
        <v>231.12328767123287</v>
      </c>
      <c r="AV258" s="1575">
        <v>231.12328767123287</v>
      </c>
      <c r="AW258" s="1575">
        <v>231.12328767123287</v>
      </c>
      <c r="AX258" s="1589">
        <v>231.12328767123287</v>
      </c>
      <c r="AY258" s="1588">
        <v>231.12328767123287</v>
      </c>
      <c r="AZ258" s="1575">
        <v>231.12328767123287</v>
      </c>
      <c r="BA258" s="1575">
        <v>231.12328767123287</v>
      </c>
      <c r="BB258" s="1574">
        <v>231.12328767123287</v>
      </c>
      <c r="BC258" s="1583"/>
      <c r="BD258" s="1237"/>
      <c r="BE258" s="1279"/>
      <c r="BF258" s="1279"/>
      <c r="BG258" s="1279">
        <f t="shared" si="726"/>
        <v>91.34</v>
      </c>
      <c r="BH258" s="1279">
        <f t="shared" si="727"/>
        <v>82.978333333333339</v>
      </c>
      <c r="BI258" s="1279">
        <f t="shared" si="728"/>
        <v>89.218333333333334</v>
      </c>
      <c r="BJ258" s="1279">
        <f t="shared" si="729"/>
        <v>99.13573059360732</v>
      </c>
      <c r="BK258" s="1279">
        <f t="shared" si="730"/>
        <v>95.539166666666659</v>
      </c>
      <c r="BL258" s="1279">
        <f t="shared" si="731"/>
        <v>172.31352739726029</v>
      </c>
      <c r="BM258" s="1573">
        <f t="shared" si="732"/>
        <v>279.38356164383566</v>
      </c>
      <c r="BN258" s="1573">
        <f t="shared" si="733"/>
        <v>265.64383561643837</v>
      </c>
      <c r="BO258" s="1573">
        <f t="shared" si="734"/>
        <v>231.12328767123287</v>
      </c>
      <c r="BP258" s="1573">
        <f t="shared" si="735"/>
        <v>231.12328767123287</v>
      </c>
      <c r="BQ258" s="1205"/>
      <c r="BR258" s="1206"/>
      <c r="BU258" s="1186"/>
      <c r="BV258" s="1551"/>
      <c r="BW258" s="1551"/>
      <c r="BX258" s="1551"/>
    </row>
    <row r="259" spans="2:76" ht="12.75" customHeight="1">
      <c r="B259" s="1579"/>
      <c r="C259" s="1564" t="s">
        <v>288</v>
      </c>
      <c r="D259" s="1552"/>
      <c r="E259" s="1552"/>
      <c r="F259" s="1572"/>
      <c r="G259" s="1570"/>
      <c r="H259" s="1568"/>
      <c r="I259" s="1568"/>
      <c r="J259" s="1569"/>
      <c r="K259" s="1570"/>
      <c r="L259" s="1568"/>
      <c r="M259" s="1568"/>
      <c r="N259" s="1569"/>
      <c r="O259" s="1590">
        <v>110</v>
      </c>
      <c r="P259" s="1588">
        <v>78.819999999999993</v>
      </c>
      <c r="Q259" s="1588">
        <v>16.46</v>
      </c>
      <c r="R259" s="1589">
        <v>16.46</v>
      </c>
      <c r="S259" s="1590">
        <v>16.46</v>
      </c>
      <c r="T259" s="1588">
        <v>20.216666666666669</v>
      </c>
      <c r="U259" s="1588">
        <v>27.73</v>
      </c>
      <c r="V259" s="1589">
        <v>27.73</v>
      </c>
      <c r="W259" s="1588">
        <v>27.73</v>
      </c>
      <c r="X259" s="1588">
        <v>60.483333333333327</v>
      </c>
      <c r="Y259" s="1588">
        <v>125.99</v>
      </c>
      <c r="Z259" s="1589">
        <v>125.99</v>
      </c>
      <c r="AA259" s="1588">
        <v>125.99</v>
      </c>
      <c r="AB259" s="1588">
        <v>129.32666666666668</v>
      </c>
      <c r="AC259" s="1588">
        <v>136</v>
      </c>
      <c r="AD259" s="1589">
        <v>136</v>
      </c>
      <c r="AE259" s="1588">
        <v>136</v>
      </c>
      <c r="AF259" s="1588">
        <v>110.45666666666666</v>
      </c>
      <c r="AG259" s="1588">
        <v>59.37</v>
      </c>
      <c r="AH259" s="1589">
        <v>59.37</v>
      </c>
      <c r="AI259" s="1588">
        <v>59.37</v>
      </c>
      <c r="AJ259" s="1575">
        <v>79.58</v>
      </c>
      <c r="AK259" s="1575">
        <v>120</v>
      </c>
      <c r="AL259" s="1589">
        <v>120</v>
      </c>
      <c r="AM259" s="1588">
        <v>120</v>
      </c>
      <c r="AN259" s="1575">
        <v>134.92333333333335</v>
      </c>
      <c r="AO259" s="1575">
        <v>164.77</v>
      </c>
      <c r="AP259" s="1589">
        <v>164.77</v>
      </c>
      <c r="AQ259" s="1588">
        <v>164.77</v>
      </c>
      <c r="AR259" s="1575">
        <v>143.18</v>
      </c>
      <c r="AS259" s="1575">
        <v>100</v>
      </c>
      <c r="AT259" s="1589">
        <v>100</v>
      </c>
      <c r="AU259" s="1588">
        <v>100</v>
      </c>
      <c r="AV259" s="1575">
        <v>100</v>
      </c>
      <c r="AW259" s="1575">
        <v>76.53</v>
      </c>
      <c r="AX259" s="1589">
        <v>76.53</v>
      </c>
      <c r="AY259" s="1588">
        <v>76.53</v>
      </c>
      <c r="AZ259" s="1575">
        <v>76.53</v>
      </c>
      <c r="BA259" s="1575">
        <v>76.53</v>
      </c>
      <c r="BB259" s="1574">
        <v>76.53</v>
      </c>
      <c r="BC259" s="1583"/>
      <c r="BD259" s="1237"/>
      <c r="BE259" s="1279"/>
      <c r="BF259" s="1279"/>
      <c r="BG259" s="1279">
        <f t="shared" si="726"/>
        <v>55.435000000000002</v>
      </c>
      <c r="BH259" s="1279">
        <f t="shared" si="727"/>
        <v>23.034166666666668</v>
      </c>
      <c r="BI259" s="1279">
        <f t="shared" si="728"/>
        <v>85.048333333333332</v>
      </c>
      <c r="BJ259" s="1279">
        <f t="shared" si="729"/>
        <v>131.82916666666665</v>
      </c>
      <c r="BK259" s="1279">
        <f t="shared" si="730"/>
        <v>91.299166666666665</v>
      </c>
      <c r="BL259" s="1279">
        <f t="shared" si="731"/>
        <v>94.737499999999997</v>
      </c>
      <c r="BM259" s="1573">
        <f t="shared" si="732"/>
        <v>146.11583333333334</v>
      </c>
      <c r="BN259" s="1573">
        <f t="shared" si="733"/>
        <v>126.98750000000001</v>
      </c>
      <c r="BO259" s="1573">
        <f t="shared" si="734"/>
        <v>88.264999999999986</v>
      </c>
      <c r="BP259" s="1573">
        <f t="shared" si="735"/>
        <v>76.53</v>
      </c>
      <c r="BQ259" s="1205"/>
      <c r="BR259" s="1206"/>
      <c r="BU259" s="1186"/>
      <c r="BV259" s="1551"/>
      <c r="BW259" s="1551"/>
      <c r="BX259" s="1551"/>
    </row>
    <row r="260" spans="2:76" ht="12.75" customHeight="1">
      <c r="B260" s="1579"/>
      <c r="C260" s="1564" t="s">
        <v>289</v>
      </c>
      <c r="D260" s="1552"/>
      <c r="E260" s="1552"/>
      <c r="F260" s="1572"/>
      <c r="G260" s="1570"/>
      <c r="H260" s="1568"/>
      <c r="I260" s="1568"/>
      <c r="J260" s="1569"/>
      <c r="K260" s="1570"/>
      <c r="L260" s="1568"/>
      <c r="M260" s="1568"/>
      <c r="N260" s="1569"/>
      <c r="O260" s="1590">
        <v>110</v>
      </c>
      <c r="P260" s="1588">
        <v>117.79</v>
      </c>
      <c r="Q260" s="1588">
        <v>133.37</v>
      </c>
      <c r="R260" s="1589">
        <v>133.37</v>
      </c>
      <c r="S260" s="1590">
        <v>133.37</v>
      </c>
      <c r="T260" s="1588">
        <v>164.29666666666665</v>
      </c>
      <c r="U260" s="1588">
        <v>226.15</v>
      </c>
      <c r="V260" s="1589">
        <v>226.15</v>
      </c>
      <c r="W260" s="1588">
        <v>226.15</v>
      </c>
      <c r="X260" s="1588">
        <v>196.26666666666665</v>
      </c>
      <c r="Y260" s="1588">
        <v>136.5</v>
      </c>
      <c r="Z260" s="1589">
        <v>136.5</v>
      </c>
      <c r="AA260" s="1588">
        <v>136.5</v>
      </c>
      <c r="AB260" s="1588">
        <v>146.82</v>
      </c>
      <c r="AC260" s="1588">
        <v>167.46</v>
      </c>
      <c r="AD260" s="1589">
        <v>167.46</v>
      </c>
      <c r="AE260" s="1588">
        <v>167.46</v>
      </c>
      <c r="AF260" s="1588">
        <v>151.35</v>
      </c>
      <c r="AG260" s="1588">
        <v>119.13</v>
      </c>
      <c r="AH260" s="1589">
        <v>119.13</v>
      </c>
      <c r="AI260" s="1588">
        <v>119.13</v>
      </c>
      <c r="AJ260" s="1575">
        <v>119.41999999999999</v>
      </c>
      <c r="AK260" s="1575">
        <v>120</v>
      </c>
      <c r="AL260" s="1589">
        <v>120</v>
      </c>
      <c r="AM260" s="1588">
        <v>120</v>
      </c>
      <c r="AN260" s="1575">
        <v>134.92333333333335</v>
      </c>
      <c r="AO260" s="1575">
        <v>164.77</v>
      </c>
      <c r="AP260" s="1589">
        <v>164.77</v>
      </c>
      <c r="AQ260" s="1588">
        <v>164.77</v>
      </c>
      <c r="AR260" s="1575">
        <v>143.18</v>
      </c>
      <c r="AS260" s="1575">
        <v>100</v>
      </c>
      <c r="AT260" s="1589">
        <v>100</v>
      </c>
      <c r="AU260" s="1588">
        <v>100</v>
      </c>
      <c r="AV260" s="1575">
        <v>100</v>
      </c>
      <c r="AW260" s="1575">
        <v>86.04</v>
      </c>
      <c r="AX260" s="1589">
        <v>86.04</v>
      </c>
      <c r="AY260" s="1588">
        <v>86.04</v>
      </c>
      <c r="AZ260" s="1575">
        <v>86.04</v>
      </c>
      <c r="BA260" s="1575">
        <v>86.04</v>
      </c>
      <c r="BB260" s="1574">
        <v>86.04</v>
      </c>
      <c r="BC260" s="1583"/>
      <c r="BD260" s="1237"/>
      <c r="BE260" s="1279"/>
      <c r="BF260" s="1279"/>
      <c r="BG260" s="1279">
        <f t="shared" si="726"/>
        <v>123.63250000000001</v>
      </c>
      <c r="BH260" s="1279">
        <f t="shared" si="727"/>
        <v>187.49166666666665</v>
      </c>
      <c r="BI260" s="1279">
        <f t="shared" si="728"/>
        <v>173.85416666666666</v>
      </c>
      <c r="BJ260" s="1279">
        <f t="shared" si="729"/>
        <v>154.56</v>
      </c>
      <c r="BK260" s="1279">
        <f t="shared" si="730"/>
        <v>139.26749999999998</v>
      </c>
      <c r="BL260" s="1279">
        <f t="shared" si="731"/>
        <v>119.63749999999999</v>
      </c>
      <c r="BM260" s="1573">
        <f t="shared" si="732"/>
        <v>146.11583333333334</v>
      </c>
      <c r="BN260" s="1573">
        <f t="shared" si="733"/>
        <v>126.98750000000001</v>
      </c>
      <c r="BO260" s="1573">
        <f t="shared" si="734"/>
        <v>93.02000000000001</v>
      </c>
      <c r="BP260" s="1573">
        <f t="shared" si="735"/>
        <v>86.04</v>
      </c>
      <c r="BQ260" s="1205"/>
      <c r="BR260" s="1206"/>
      <c r="BU260" s="1186"/>
      <c r="BV260" s="1551"/>
      <c r="BW260" s="1551"/>
      <c r="BX260" s="1551"/>
    </row>
    <row r="261" spans="2:76" ht="12.75" customHeight="1">
      <c r="B261" s="1579"/>
      <c r="C261" s="1564" t="s">
        <v>290</v>
      </c>
      <c r="D261" s="1552"/>
      <c r="E261" s="1552"/>
      <c r="F261" s="1572"/>
      <c r="G261" s="1570"/>
      <c r="H261" s="1568"/>
      <c r="I261" s="1568"/>
      <c r="J261" s="1569"/>
      <c r="K261" s="1570"/>
      <c r="L261" s="1568"/>
      <c r="M261" s="1568"/>
      <c r="N261" s="1569"/>
      <c r="O261" s="1590">
        <v>110</v>
      </c>
      <c r="P261" s="1588">
        <v>117.79</v>
      </c>
      <c r="Q261" s="1588">
        <v>133.37</v>
      </c>
      <c r="R261" s="1589">
        <v>133.37</v>
      </c>
      <c r="S261" s="1590">
        <v>133.37</v>
      </c>
      <c r="T261" s="1588">
        <v>164.29666666666665</v>
      </c>
      <c r="U261" s="1588">
        <v>226.15</v>
      </c>
      <c r="V261" s="1589">
        <v>226.15</v>
      </c>
      <c r="W261" s="1588">
        <v>226.15</v>
      </c>
      <c r="X261" s="1588">
        <v>196.26666666666665</v>
      </c>
      <c r="Y261" s="1588">
        <v>136.5</v>
      </c>
      <c r="Z261" s="1589">
        <v>136.5</v>
      </c>
      <c r="AA261" s="1588">
        <v>136.5</v>
      </c>
      <c r="AB261" s="1588">
        <v>146.82</v>
      </c>
      <c r="AC261" s="1588">
        <v>167.46</v>
      </c>
      <c r="AD261" s="1589">
        <v>167.46</v>
      </c>
      <c r="AE261" s="1588">
        <v>167.46</v>
      </c>
      <c r="AF261" s="1588">
        <v>151.35</v>
      </c>
      <c r="AG261" s="1588">
        <v>119.13</v>
      </c>
      <c r="AH261" s="1589">
        <v>119.13</v>
      </c>
      <c r="AI261" s="1588">
        <v>119.13</v>
      </c>
      <c r="AJ261" s="1575">
        <v>119.41999999999999</v>
      </c>
      <c r="AK261" s="1575">
        <v>120</v>
      </c>
      <c r="AL261" s="1589">
        <v>120</v>
      </c>
      <c r="AM261" s="1588">
        <v>120</v>
      </c>
      <c r="AN261" s="1575">
        <v>134.92333333333335</v>
      </c>
      <c r="AO261" s="1575">
        <v>164.77</v>
      </c>
      <c r="AP261" s="1589">
        <v>164.77</v>
      </c>
      <c r="AQ261" s="1588">
        <v>164.77</v>
      </c>
      <c r="AR261" s="1575">
        <v>143.18</v>
      </c>
      <c r="AS261" s="1575">
        <v>100</v>
      </c>
      <c r="AT261" s="1589">
        <v>100</v>
      </c>
      <c r="AU261" s="1588">
        <v>100</v>
      </c>
      <c r="AV261" s="1575">
        <v>100</v>
      </c>
      <c r="AW261" s="1575">
        <v>86.04</v>
      </c>
      <c r="AX261" s="1589">
        <v>86.04</v>
      </c>
      <c r="AY261" s="1588">
        <v>86.04</v>
      </c>
      <c r="AZ261" s="1575">
        <v>86.04</v>
      </c>
      <c r="BA261" s="1575">
        <v>86.04</v>
      </c>
      <c r="BB261" s="1574">
        <v>86.04</v>
      </c>
      <c r="BC261" s="1583"/>
      <c r="BD261" s="1237"/>
      <c r="BE261" s="1279"/>
      <c r="BF261" s="1279"/>
      <c r="BG261" s="1279">
        <f t="shared" si="726"/>
        <v>123.63250000000001</v>
      </c>
      <c r="BH261" s="1279">
        <f t="shared" si="727"/>
        <v>187.49166666666665</v>
      </c>
      <c r="BI261" s="1279">
        <f t="shared" si="728"/>
        <v>173.85416666666666</v>
      </c>
      <c r="BJ261" s="1279">
        <f t="shared" si="729"/>
        <v>154.56</v>
      </c>
      <c r="BK261" s="1279">
        <f t="shared" si="730"/>
        <v>139.26749999999998</v>
      </c>
      <c r="BL261" s="1279">
        <f t="shared" si="731"/>
        <v>119.63749999999999</v>
      </c>
      <c r="BM261" s="1573">
        <f t="shared" si="732"/>
        <v>146.11583333333334</v>
      </c>
      <c r="BN261" s="1573">
        <f t="shared" si="733"/>
        <v>126.98750000000001</v>
      </c>
      <c r="BO261" s="1573">
        <f t="shared" si="734"/>
        <v>93.02000000000001</v>
      </c>
      <c r="BP261" s="1573">
        <f t="shared" si="735"/>
        <v>86.04</v>
      </c>
      <c r="BQ261" s="1205"/>
      <c r="BR261" s="1206"/>
      <c r="BU261" s="1186"/>
      <c r="BV261" s="1551"/>
      <c r="BW261" s="1551"/>
      <c r="BX261" s="1551"/>
    </row>
    <row r="262" spans="2:76" ht="12.75" customHeight="1">
      <c r="B262" s="1579"/>
      <c r="C262" s="1564" t="s">
        <v>291</v>
      </c>
      <c r="D262" s="1552"/>
      <c r="E262" s="1552"/>
      <c r="F262" s="1572"/>
      <c r="G262" s="1570"/>
      <c r="H262" s="1568"/>
      <c r="I262" s="1568"/>
      <c r="J262" s="1569"/>
      <c r="K262" s="1570"/>
      <c r="L262" s="1568"/>
      <c r="M262" s="1568"/>
      <c r="N262" s="1569"/>
      <c r="O262" s="1590">
        <v>110</v>
      </c>
      <c r="P262" s="1588">
        <v>119.91</v>
      </c>
      <c r="Q262" s="1588">
        <v>139.72999999999999</v>
      </c>
      <c r="R262" s="1589">
        <v>139.72999999999999</v>
      </c>
      <c r="S262" s="1590">
        <v>139.72999999999999</v>
      </c>
      <c r="T262" s="1588">
        <v>174.82</v>
      </c>
      <c r="U262" s="1588">
        <v>245</v>
      </c>
      <c r="V262" s="1589">
        <v>245</v>
      </c>
      <c r="W262" s="1588">
        <v>245</v>
      </c>
      <c r="X262" s="1588">
        <v>208.83333333333334</v>
      </c>
      <c r="Y262" s="1588">
        <v>136.5</v>
      </c>
      <c r="Z262" s="1589">
        <v>136.5</v>
      </c>
      <c r="AA262" s="1588">
        <v>136.5</v>
      </c>
      <c r="AB262" s="1588">
        <v>146.82</v>
      </c>
      <c r="AC262" s="1588">
        <v>167.46</v>
      </c>
      <c r="AD262" s="1589">
        <v>167.46</v>
      </c>
      <c r="AE262" s="1588">
        <v>167.46</v>
      </c>
      <c r="AF262" s="1588">
        <v>151.35</v>
      </c>
      <c r="AG262" s="1588">
        <v>119.13</v>
      </c>
      <c r="AH262" s="1589">
        <v>119.13</v>
      </c>
      <c r="AI262" s="1588">
        <v>119.13</v>
      </c>
      <c r="AJ262" s="1575">
        <v>119.41999999999999</v>
      </c>
      <c r="AK262" s="1575">
        <v>120</v>
      </c>
      <c r="AL262" s="1589">
        <v>120</v>
      </c>
      <c r="AM262" s="1588">
        <v>120</v>
      </c>
      <c r="AN262" s="1575">
        <v>155.13999999999999</v>
      </c>
      <c r="AO262" s="1575">
        <v>225.42</v>
      </c>
      <c r="AP262" s="1589">
        <v>225.42</v>
      </c>
      <c r="AQ262" s="1588">
        <v>225.42</v>
      </c>
      <c r="AR262" s="1575">
        <v>190.27999999999997</v>
      </c>
      <c r="AS262" s="1575">
        <v>120</v>
      </c>
      <c r="AT262" s="1589">
        <v>120</v>
      </c>
      <c r="AU262" s="1588">
        <v>120</v>
      </c>
      <c r="AV262" s="1575">
        <v>142.62333333333333</v>
      </c>
      <c r="AW262" s="1575">
        <v>187.87</v>
      </c>
      <c r="AX262" s="1589">
        <v>187.87</v>
      </c>
      <c r="AY262" s="1588">
        <v>187.87</v>
      </c>
      <c r="AZ262" s="1575">
        <v>187.87</v>
      </c>
      <c r="BA262" s="1575">
        <v>187.87</v>
      </c>
      <c r="BB262" s="1574">
        <v>187.87</v>
      </c>
      <c r="BC262" s="1394"/>
      <c r="BD262" s="1237"/>
      <c r="BE262" s="1279"/>
      <c r="BF262" s="1279"/>
      <c r="BG262" s="1279">
        <f t="shared" si="726"/>
        <v>127.3425</v>
      </c>
      <c r="BH262" s="1279">
        <f t="shared" si="727"/>
        <v>201.13749999999999</v>
      </c>
      <c r="BI262" s="1279">
        <f t="shared" si="728"/>
        <v>181.70833333333334</v>
      </c>
      <c r="BJ262" s="1279">
        <f t="shared" si="729"/>
        <v>154.56</v>
      </c>
      <c r="BK262" s="1279">
        <f t="shared" si="730"/>
        <v>139.26749999999998</v>
      </c>
      <c r="BL262" s="1279">
        <f t="shared" si="731"/>
        <v>119.63749999999999</v>
      </c>
      <c r="BM262" s="1573">
        <f t="shared" si="732"/>
        <v>181.49499999999998</v>
      </c>
      <c r="BN262" s="1573">
        <f t="shared" si="733"/>
        <v>163.92499999999998</v>
      </c>
      <c r="BO262" s="1573">
        <f t="shared" si="734"/>
        <v>159.59083333333334</v>
      </c>
      <c r="BP262" s="1573">
        <f t="shared" si="735"/>
        <v>187.87</v>
      </c>
      <c r="BQ262" s="1205"/>
      <c r="BR262" s="1206"/>
      <c r="BU262" s="1186"/>
      <c r="BV262" s="1551"/>
      <c r="BW262" s="1551"/>
      <c r="BX262" s="1551"/>
    </row>
    <row r="263" spans="2:76" ht="12.75" customHeight="1">
      <c r="B263" s="1579"/>
      <c r="C263" s="1564" t="s">
        <v>292</v>
      </c>
      <c r="D263" s="1552"/>
      <c r="E263" s="1552"/>
      <c r="F263" s="1572"/>
      <c r="G263" s="1570"/>
      <c r="H263" s="1568"/>
      <c r="I263" s="1568"/>
      <c r="J263" s="1569"/>
      <c r="K263" s="1570"/>
      <c r="L263" s="1568"/>
      <c r="M263" s="1568"/>
      <c r="N263" s="1569"/>
      <c r="O263" s="1590">
        <v>110</v>
      </c>
      <c r="P263" s="1588">
        <v>119.91</v>
      </c>
      <c r="Q263" s="1588">
        <v>139.72999999999999</v>
      </c>
      <c r="R263" s="1589">
        <v>139.72999999999999</v>
      </c>
      <c r="S263" s="1590">
        <v>139.72999999999999</v>
      </c>
      <c r="T263" s="1588">
        <v>174.82</v>
      </c>
      <c r="U263" s="1588">
        <v>245</v>
      </c>
      <c r="V263" s="1589">
        <v>245</v>
      </c>
      <c r="W263" s="1588">
        <v>245</v>
      </c>
      <c r="X263" s="1588">
        <v>208.83333333333334</v>
      </c>
      <c r="Y263" s="1588">
        <v>136.5</v>
      </c>
      <c r="Z263" s="1589">
        <v>136.5</v>
      </c>
      <c r="AA263" s="1588">
        <v>136.5</v>
      </c>
      <c r="AB263" s="1588">
        <v>146.82</v>
      </c>
      <c r="AC263" s="1588">
        <v>167.46</v>
      </c>
      <c r="AD263" s="1589">
        <v>167.46</v>
      </c>
      <c r="AE263" s="1588">
        <v>167.46</v>
      </c>
      <c r="AF263" s="1588">
        <v>151.35</v>
      </c>
      <c r="AG263" s="1588">
        <v>119.13</v>
      </c>
      <c r="AH263" s="1589">
        <v>119.13</v>
      </c>
      <c r="AI263" s="1588">
        <v>119.13</v>
      </c>
      <c r="AJ263" s="1575">
        <v>119.41999999999999</v>
      </c>
      <c r="AK263" s="1575">
        <v>120</v>
      </c>
      <c r="AL263" s="1589">
        <v>120</v>
      </c>
      <c r="AM263" s="1588">
        <v>120</v>
      </c>
      <c r="AN263" s="1575">
        <v>155.13999999999999</v>
      </c>
      <c r="AO263" s="1575">
        <v>225.42</v>
      </c>
      <c r="AP263" s="1589">
        <v>225.42</v>
      </c>
      <c r="AQ263" s="1588">
        <v>225.42</v>
      </c>
      <c r="AR263" s="1575">
        <v>190.20333333333332</v>
      </c>
      <c r="AS263" s="1575">
        <v>119.77</v>
      </c>
      <c r="AT263" s="1589">
        <v>119.77</v>
      </c>
      <c r="AU263" s="1588">
        <v>119.77</v>
      </c>
      <c r="AV263" s="1575">
        <v>119.77</v>
      </c>
      <c r="AW263" s="1575">
        <v>187.87</v>
      </c>
      <c r="AX263" s="1589">
        <v>187.87</v>
      </c>
      <c r="AY263" s="1588">
        <v>187.87</v>
      </c>
      <c r="AZ263" s="1575">
        <v>187.87</v>
      </c>
      <c r="BA263" s="1575">
        <v>187.87</v>
      </c>
      <c r="BB263" s="1574">
        <v>187.87</v>
      </c>
      <c r="BC263" s="1394"/>
      <c r="BD263" s="1237"/>
      <c r="BE263" s="1279"/>
      <c r="BF263" s="1279"/>
      <c r="BG263" s="1279">
        <f t="shared" si="726"/>
        <v>127.3425</v>
      </c>
      <c r="BH263" s="1279">
        <f t="shared" si="727"/>
        <v>201.13749999999999</v>
      </c>
      <c r="BI263" s="1279">
        <f t="shared" si="728"/>
        <v>181.70833333333334</v>
      </c>
      <c r="BJ263" s="1279">
        <f t="shared" si="729"/>
        <v>154.56</v>
      </c>
      <c r="BK263" s="1279">
        <f t="shared" si="730"/>
        <v>139.26749999999998</v>
      </c>
      <c r="BL263" s="1279">
        <f t="shared" si="731"/>
        <v>119.63749999999999</v>
      </c>
      <c r="BM263" s="1573">
        <f t="shared" si="732"/>
        <v>181.49499999999998</v>
      </c>
      <c r="BN263" s="1573">
        <f t="shared" si="733"/>
        <v>163.79083333333332</v>
      </c>
      <c r="BO263" s="1573">
        <f t="shared" si="734"/>
        <v>153.82</v>
      </c>
      <c r="BP263" s="1573">
        <f t="shared" si="735"/>
        <v>187.87</v>
      </c>
      <c r="BQ263" s="1205"/>
      <c r="BR263" s="1206"/>
      <c r="BU263" s="1186"/>
      <c r="BV263" s="1551"/>
      <c r="BW263" s="1551"/>
      <c r="BX263" s="1551"/>
    </row>
    <row r="264" spans="2:76" ht="12.75" customHeight="1">
      <c r="B264" s="1579"/>
      <c r="C264" s="1564" t="s">
        <v>1305</v>
      </c>
      <c r="D264" s="1552"/>
      <c r="E264" s="1552"/>
      <c r="F264" s="1572"/>
      <c r="G264" s="1570"/>
      <c r="H264" s="1568"/>
      <c r="I264" s="1568"/>
      <c r="J264" s="1569"/>
      <c r="K264" s="1570"/>
      <c r="L264" s="1568"/>
      <c r="M264" s="1568"/>
      <c r="N264" s="1569"/>
      <c r="O264" s="1590">
        <v>110</v>
      </c>
      <c r="P264" s="1588">
        <v>78.819999999999993</v>
      </c>
      <c r="Q264" s="1588">
        <v>16.46</v>
      </c>
      <c r="R264" s="1589">
        <v>16.46</v>
      </c>
      <c r="S264" s="1590">
        <v>16.46</v>
      </c>
      <c r="T264" s="1588">
        <v>20.216666666666669</v>
      </c>
      <c r="U264" s="1588">
        <v>27.73</v>
      </c>
      <c r="V264" s="1589">
        <v>27.73</v>
      </c>
      <c r="W264" s="1588">
        <v>27.73</v>
      </c>
      <c r="X264" s="1588">
        <v>60.483333333333327</v>
      </c>
      <c r="Y264" s="1588">
        <v>125.99</v>
      </c>
      <c r="Z264" s="1589">
        <v>125.99</v>
      </c>
      <c r="AA264" s="1588">
        <v>125.99</v>
      </c>
      <c r="AB264" s="1588">
        <v>129.32666666666668</v>
      </c>
      <c r="AC264" s="1588">
        <v>136</v>
      </c>
      <c r="AD264" s="1589">
        <v>136</v>
      </c>
      <c r="AE264" s="1588">
        <v>136</v>
      </c>
      <c r="AF264" s="1588">
        <v>110.45666666666666</v>
      </c>
      <c r="AG264" s="1588">
        <v>59.37</v>
      </c>
      <c r="AH264" s="1589">
        <v>59.37</v>
      </c>
      <c r="AI264" s="1588">
        <v>59.37</v>
      </c>
      <c r="AJ264" s="1575">
        <v>79.58</v>
      </c>
      <c r="AK264" s="1575">
        <v>120</v>
      </c>
      <c r="AL264" s="1589">
        <v>120</v>
      </c>
      <c r="AM264" s="1588">
        <v>120</v>
      </c>
      <c r="AN264" s="1575">
        <v>151.66666666666666</v>
      </c>
      <c r="AO264" s="1575">
        <v>215</v>
      </c>
      <c r="AP264" s="1589">
        <v>215</v>
      </c>
      <c r="AQ264" s="1588">
        <v>215</v>
      </c>
      <c r="AR264" s="1575">
        <v>210.92333333333332</v>
      </c>
      <c r="AS264" s="1575">
        <v>202.77</v>
      </c>
      <c r="AT264" s="1589">
        <v>202.77</v>
      </c>
      <c r="AU264" s="1588">
        <v>202.77</v>
      </c>
      <c r="AV264" s="1575">
        <v>202.77</v>
      </c>
      <c r="AW264" s="1575">
        <v>188.12</v>
      </c>
      <c r="AX264" s="1589">
        <v>188.12</v>
      </c>
      <c r="AY264" s="1588">
        <v>188.12</v>
      </c>
      <c r="AZ264" s="1575">
        <v>188.12</v>
      </c>
      <c r="BA264" s="1575">
        <v>188.12</v>
      </c>
      <c r="BB264" s="1574">
        <v>188.12</v>
      </c>
      <c r="BC264" s="1394"/>
      <c r="BD264" s="1237"/>
      <c r="BE264" s="1279"/>
      <c r="BF264" s="1279"/>
      <c r="BG264" s="1279">
        <f t="shared" si="726"/>
        <v>55.435000000000002</v>
      </c>
      <c r="BH264" s="1279">
        <f t="shared" si="727"/>
        <v>23.034166666666668</v>
      </c>
      <c r="BI264" s="1279">
        <f t="shared" si="728"/>
        <v>85.048333333333332</v>
      </c>
      <c r="BJ264" s="1279">
        <f t="shared" si="729"/>
        <v>131.82916666666665</v>
      </c>
      <c r="BK264" s="1279">
        <f t="shared" si="730"/>
        <v>91.299166666666665</v>
      </c>
      <c r="BL264" s="1279">
        <f t="shared" si="731"/>
        <v>94.737499999999997</v>
      </c>
      <c r="BM264" s="1573">
        <f t="shared" si="732"/>
        <v>175.41666666666666</v>
      </c>
      <c r="BN264" s="1573">
        <f t="shared" si="733"/>
        <v>207.86583333333331</v>
      </c>
      <c r="BO264" s="1573">
        <f t="shared" si="734"/>
        <v>195.44500000000002</v>
      </c>
      <c r="BP264" s="1573">
        <f t="shared" si="735"/>
        <v>188.12</v>
      </c>
      <c r="BQ264" s="1205"/>
      <c r="BR264" s="1206"/>
      <c r="BU264" s="1186"/>
      <c r="BV264" s="1551"/>
      <c r="BW264" s="1551"/>
      <c r="BX264" s="1551"/>
    </row>
    <row r="265" spans="2:76" ht="12.75" customHeight="1">
      <c r="B265" s="1579"/>
      <c r="C265" s="1564" t="s">
        <v>408</v>
      </c>
      <c r="D265" s="1552"/>
      <c r="E265" s="1552"/>
      <c r="F265" s="1572"/>
      <c r="G265" s="1570"/>
      <c r="H265" s="1568"/>
      <c r="I265" s="1568"/>
      <c r="J265" s="1569"/>
      <c r="K265" s="1570"/>
      <c r="L265" s="1568"/>
      <c r="M265" s="1568"/>
      <c r="N265" s="1569"/>
      <c r="O265" s="1590">
        <v>110</v>
      </c>
      <c r="P265" s="1588">
        <v>135</v>
      </c>
      <c r="Q265" s="1588">
        <v>185</v>
      </c>
      <c r="R265" s="1589">
        <v>185</v>
      </c>
      <c r="S265" s="1590">
        <v>185</v>
      </c>
      <c r="T265" s="1588">
        <v>205</v>
      </c>
      <c r="U265" s="1588">
        <v>245</v>
      </c>
      <c r="V265" s="1589">
        <v>245</v>
      </c>
      <c r="W265" s="1588">
        <v>245</v>
      </c>
      <c r="X265" s="1588">
        <v>238.33333333333334</v>
      </c>
      <c r="Y265" s="1588">
        <v>225</v>
      </c>
      <c r="Z265" s="1589">
        <v>225</v>
      </c>
      <c r="AA265" s="1588">
        <v>225</v>
      </c>
      <c r="AB265" s="1588">
        <v>205.82</v>
      </c>
      <c r="AC265" s="1588">
        <v>167.46</v>
      </c>
      <c r="AD265" s="1589">
        <v>167.46</v>
      </c>
      <c r="AE265" s="1588">
        <v>167.46</v>
      </c>
      <c r="AF265" s="1588">
        <v>184.64</v>
      </c>
      <c r="AG265" s="1588">
        <v>219</v>
      </c>
      <c r="AH265" s="1589">
        <v>219</v>
      </c>
      <c r="AI265" s="1588">
        <v>219</v>
      </c>
      <c r="AJ265" s="1575">
        <v>217.66666666666666</v>
      </c>
      <c r="AK265" s="1575">
        <v>215</v>
      </c>
      <c r="AL265" s="1589">
        <v>215</v>
      </c>
      <c r="AM265" s="1588">
        <v>215</v>
      </c>
      <c r="AN265" s="1575">
        <v>218.4733333333333</v>
      </c>
      <c r="AO265" s="1575">
        <v>225.42</v>
      </c>
      <c r="AP265" s="1589">
        <v>225.42</v>
      </c>
      <c r="AQ265" s="1588">
        <v>225.42</v>
      </c>
      <c r="AR265" s="1575">
        <v>190.27999999999997</v>
      </c>
      <c r="AS265" s="1575">
        <v>120</v>
      </c>
      <c r="AT265" s="1589">
        <v>120</v>
      </c>
      <c r="AU265" s="1588">
        <v>120</v>
      </c>
      <c r="AV265" s="1575">
        <v>142.62333333333333</v>
      </c>
      <c r="AW265" s="1575">
        <v>187.87</v>
      </c>
      <c r="AX265" s="1589">
        <v>187.87</v>
      </c>
      <c r="AY265" s="1588">
        <v>187.87</v>
      </c>
      <c r="AZ265" s="1575">
        <v>187.87</v>
      </c>
      <c r="BA265" s="1575">
        <v>187.87</v>
      </c>
      <c r="BB265" s="1574">
        <v>187.87</v>
      </c>
      <c r="BC265" s="1394"/>
      <c r="BD265" s="1237"/>
      <c r="BE265" s="1279"/>
      <c r="BF265" s="1279"/>
      <c r="BG265" s="1279">
        <f t="shared" si="726"/>
        <v>153.75</v>
      </c>
      <c r="BH265" s="1279">
        <f t="shared" si="727"/>
        <v>220</v>
      </c>
      <c r="BI265" s="1279">
        <f t="shared" si="728"/>
        <v>233.33333333333334</v>
      </c>
      <c r="BJ265" s="1279">
        <f t="shared" si="729"/>
        <v>191.435</v>
      </c>
      <c r="BK265" s="1279">
        <f t="shared" si="730"/>
        <v>197.52500000000001</v>
      </c>
      <c r="BL265" s="1279">
        <f t="shared" si="731"/>
        <v>216.66666666666666</v>
      </c>
      <c r="BM265" s="1573">
        <f t="shared" si="732"/>
        <v>221.07833333333332</v>
      </c>
      <c r="BN265" s="1573">
        <f t="shared" si="733"/>
        <v>163.92499999999998</v>
      </c>
      <c r="BO265" s="1573">
        <f t="shared" si="734"/>
        <v>159.59083333333334</v>
      </c>
      <c r="BP265" s="1573">
        <f t="shared" si="735"/>
        <v>187.87</v>
      </c>
      <c r="BQ265" s="1205"/>
      <c r="BR265" s="1206"/>
      <c r="BU265" s="1186"/>
      <c r="BV265" s="1551"/>
      <c r="BW265" s="1551"/>
      <c r="BX265" s="1551"/>
    </row>
    <row r="266" spans="2:76" ht="12.75" customHeight="1">
      <c r="B266" s="1579"/>
      <c r="C266" s="1564" t="s">
        <v>303</v>
      </c>
      <c r="D266" s="1552"/>
      <c r="E266" s="1552"/>
      <c r="F266" s="1572"/>
      <c r="G266" s="1570"/>
      <c r="H266" s="1568"/>
      <c r="I266" s="1568"/>
      <c r="J266" s="1569"/>
      <c r="K266" s="1570"/>
      <c r="L266" s="1568"/>
      <c r="M266" s="1568"/>
      <c r="N266" s="1569"/>
      <c r="O266" s="1590">
        <v>5</v>
      </c>
      <c r="P266" s="1588">
        <v>29</v>
      </c>
      <c r="Q266" s="1588">
        <v>41</v>
      </c>
      <c r="R266" s="1589">
        <v>31.666666666666668</v>
      </c>
      <c r="S266" s="1590">
        <v>27</v>
      </c>
      <c r="T266" s="1588">
        <v>101</v>
      </c>
      <c r="U266" s="1588">
        <v>138</v>
      </c>
      <c r="V266" s="1589">
        <v>108.66666666666667</v>
      </c>
      <c r="W266" s="1588">
        <v>94</v>
      </c>
      <c r="X266" s="1575">
        <v>144</v>
      </c>
      <c r="Y266" s="1575">
        <v>169</v>
      </c>
      <c r="Z266" s="1576">
        <v>108.38812785388127</v>
      </c>
      <c r="AA266" s="1575">
        <v>78.082191780821915</v>
      </c>
      <c r="AB266" s="1575">
        <v>103.83561643835614</v>
      </c>
      <c r="AC266" s="1575">
        <v>116.71232876712327</v>
      </c>
      <c r="AD266" s="1576">
        <v>63.452054794520535</v>
      </c>
      <c r="AE266" s="1575">
        <v>36.821917808219183</v>
      </c>
      <c r="AF266" s="1575">
        <v>91.61643835616438</v>
      </c>
      <c r="AG266" s="1575">
        <v>119.01369863013699</v>
      </c>
      <c r="AH266" s="1576">
        <v>56.109589041095887</v>
      </c>
      <c r="AI266" s="1575">
        <v>24.657534246575342</v>
      </c>
      <c r="AJ266" s="1575">
        <v>101.36986301369862</v>
      </c>
      <c r="AK266" s="1575">
        <v>139.72602739726028</v>
      </c>
      <c r="AL266" s="1576">
        <v>75.06849315068493</v>
      </c>
      <c r="AM266" s="1575">
        <v>42.739726027397268</v>
      </c>
      <c r="AN266" s="1575">
        <v>123.83561643835615</v>
      </c>
      <c r="AO266" s="1575">
        <v>164.38356164383561</v>
      </c>
      <c r="AP266" s="1576">
        <v>83.287671232876704</v>
      </c>
      <c r="AQ266" s="1575">
        <v>42.739726027397268</v>
      </c>
      <c r="AR266" s="1575">
        <v>123.83561643835615</v>
      </c>
      <c r="AS266" s="1575">
        <v>164.38356164383561</v>
      </c>
      <c r="AT266" s="1576">
        <v>83.287671232876704</v>
      </c>
      <c r="AU266" s="1575">
        <v>42.739726027397268</v>
      </c>
      <c r="AV266" s="1575">
        <v>123.83561643835615</v>
      </c>
      <c r="AW266" s="1575">
        <v>164.38356164383561</v>
      </c>
      <c r="AX266" s="1576">
        <v>83.287671232876704</v>
      </c>
      <c r="AY266" s="1575">
        <v>42.739726027397268</v>
      </c>
      <c r="AZ266" s="1575">
        <v>123.83561643835615</v>
      </c>
      <c r="BA266" s="1575">
        <v>164.38356164383561</v>
      </c>
      <c r="BB266" s="1574">
        <v>83.287671232876704</v>
      </c>
      <c r="BC266" s="1394"/>
      <c r="BD266" s="1237"/>
      <c r="BE266" s="1279"/>
      <c r="BF266" s="1279"/>
      <c r="BG266" s="1279">
        <f t="shared" si="726"/>
        <v>26.666666666666668</v>
      </c>
      <c r="BH266" s="1279">
        <f t="shared" si="727"/>
        <v>93.666666666666671</v>
      </c>
      <c r="BI266" s="1279">
        <f t="shared" si="728"/>
        <v>128.84703196347033</v>
      </c>
      <c r="BJ266" s="1279">
        <f t="shared" si="729"/>
        <v>90.520547945205465</v>
      </c>
      <c r="BK266" s="1279">
        <f t="shared" si="730"/>
        <v>75.890410958904113</v>
      </c>
      <c r="BL266" s="1279">
        <f t="shared" si="731"/>
        <v>85.205479452054789</v>
      </c>
      <c r="BM266" s="1573">
        <f t="shared" si="732"/>
        <v>103.56164383561642</v>
      </c>
      <c r="BN266" s="1573">
        <f t="shared" si="733"/>
        <v>103.56164383561642</v>
      </c>
      <c r="BO266" s="1573">
        <f t="shared" si="734"/>
        <v>103.56164383561642</v>
      </c>
      <c r="BP266" s="1573">
        <f t="shared" si="735"/>
        <v>103.56164383561642</v>
      </c>
      <c r="BQ266" s="1205"/>
      <c r="BR266" s="1206"/>
      <c r="BU266" s="1186"/>
      <c r="BV266" s="1551"/>
      <c r="BW266" s="1551"/>
      <c r="BX266" s="1551"/>
    </row>
    <row r="267" spans="2:76" ht="12.75" customHeight="1">
      <c r="B267" s="1579"/>
      <c r="C267" s="1564" t="s">
        <v>301</v>
      </c>
      <c r="D267" s="1552"/>
      <c r="E267" s="1552"/>
      <c r="F267" s="1572"/>
      <c r="G267" s="1570"/>
      <c r="H267" s="1568"/>
      <c r="I267" s="1568"/>
      <c r="J267" s="1569"/>
      <c r="K267" s="1570"/>
      <c r="L267" s="1568"/>
      <c r="M267" s="1568"/>
      <c r="N267" s="1569"/>
      <c r="O267" s="1590">
        <v>89</v>
      </c>
      <c r="P267" s="1588">
        <v>286.33333333333331</v>
      </c>
      <c r="Q267" s="1588">
        <v>385</v>
      </c>
      <c r="R267" s="1589">
        <v>227</v>
      </c>
      <c r="S267" s="1590">
        <v>148</v>
      </c>
      <c r="T267" s="1588">
        <v>374</v>
      </c>
      <c r="U267" s="1588">
        <v>487</v>
      </c>
      <c r="V267" s="1589">
        <v>326.33333333333331</v>
      </c>
      <c r="W267" s="1588">
        <v>246</v>
      </c>
      <c r="X267" s="1575">
        <v>437.33333333333331</v>
      </c>
      <c r="Y267" s="1575">
        <v>533</v>
      </c>
      <c r="Z267" s="1576">
        <v>374.05022831050229</v>
      </c>
      <c r="AA267" s="1575">
        <v>294.57534246575347</v>
      </c>
      <c r="AB267" s="1575">
        <v>441.20547945205482</v>
      </c>
      <c r="AC267" s="1575">
        <v>514.52054794520552</v>
      </c>
      <c r="AD267" s="1576">
        <v>299.28767123287673</v>
      </c>
      <c r="AE267" s="1575">
        <v>191.67123287671237</v>
      </c>
      <c r="AF267" s="1575">
        <v>304.76712328767127</v>
      </c>
      <c r="AG267" s="1575">
        <v>361.3150684931507</v>
      </c>
      <c r="AH267" s="1576">
        <v>197.15068493150685</v>
      </c>
      <c r="AI267" s="1575">
        <v>115.06849315068493</v>
      </c>
      <c r="AJ267" s="1575">
        <v>306.84931506849313</v>
      </c>
      <c r="AK267" s="1575">
        <v>402.73972602739724</v>
      </c>
      <c r="AL267" s="1576">
        <v>240.10958904109589</v>
      </c>
      <c r="AM267" s="1575">
        <v>158.79452054794521</v>
      </c>
      <c r="AN267" s="1575">
        <v>321.42465753424653</v>
      </c>
      <c r="AO267" s="1575">
        <v>402.73972602739724</v>
      </c>
      <c r="AP267" s="1576">
        <v>240.10958904109589</v>
      </c>
      <c r="AQ267" s="1575">
        <v>158.79452054794521</v>
      </c>
      <c r="AR267" s="1575">
        <v>321.42465753424653</v>
      </c>
      <c r="AS267" s="1575">
        <v>402.73972602739724</v>
      </c>
      <c r="AT267" s="1576">
        <v>240.10958904109589</v>
      </c>
      <c r="AU267" s="1575">
        <v>158.79452054794521</v>
      </c>
      <c r="AV267" s="1575">
        <v>321.42465753424653</v>
      </c>
      <c r="AW267" s="1575">
        <v>402.73972602739724</v>
      </c>
      <c r="AX267" s="1576">
        <v>240.10958904109589</v>
      </c>
      <c r="AY267" s="1575">
        <v>158.79452054794521</v>
      </c>
      <c r="AZ267" s="1575">
        <v>321.42465753424653</v>
      </c>
      <c r="BA267" s="1575">
        <v>402.73972602739724</v>
      </c>
      <c r="BB267" s="1574">
        <v>240.10958904109589</v>
      </c>
      <c r="BC267" s="1394"/>
      <c r="BD267" s="1237"/>
      <c r="BE267" s="1279"/>
      <c r="BF267" s="1279"/>
      <c r="BG267" s="1279">
        <f t="shared" si="726"/>
        <v>246.83333333333331</v>
      </c>
      <c r="BH267" s="1279">
        <f t="shared" si="727"/>
        <v>333.83333333333331</v>
      </c>
      <c r="BI267" s="1279">
        <f t="shared" si="728"/>
        <v>397.59589041095887</v>
      </c>
      <c r="BJ267" s="1279">
        <f t="shared" si="729"/>
        <v>387.39726027397262</v>
      </c>
      <c r="BK267" s="1279">
        <f t="shared" si="730"/>
        <v>263.72602739726034</v>
      </c>
      <c r="BL267" s="1279">
        <f t="shared" si="731"/>
        <v>266.1917808219178</v>
      </c>
      <c r="BM267" s="1573">
        <f t="shared" si="732"/>
        <v>280.76712328767121</v>
      </c>
      <c r="BN267" s="1573">
        <f t="shared" si="733"/>
        <v>280.76712328767121</v>
      </c>
      <c r="BO267" s="1573">
        <f t="shared" si="734"/>
        <v>280.76712328767121</v>
      </c>
      <c r="BP267" s="1573">
        <f t="shared" si="735"/>
        <v>280.76712328767121</v>
      </c>
      <c r="BQ267" s="1205"/>
      <c r="BR267" s="1206"/>
      <c r="BU267" s="1186"/>
      <c r="BV267" s="1551"/>
      <c r="BW267" s="1551"/>
      <c r="BX267" s="1551"/>
    </row>
    <row r="268" spans="2:76" ht="12.75" customHeight="1">
      <c r="B268" s="1579"/>
      <c r="C268" s="1564" t="s">
        <v>1132</v>
      </c>
      <c r="D268" s="1552"/>
      <c r="E268" s="1552"/>
      <c r="F268" s="1572"/>
      <c r="G268" s="1570"/>
      <c r="H268" s="1568"/>
      <c r="I268" s="1568"/>
      <c r="J268" s="1569"/>
      <c r="K268" s="1570"/>
      <c r="L268" s="1568"/>
      <c r="M268" s="1568"/>
      <c r="N268" s="1569"/>
      <c r="O268" s="1590">
        <v>110</v>
      </c>
      <c r="P268" s="1588">
        <v>78.819999999999993</v>
      </c>
      <c r="Q268" s="1588">
        <v>16.46</v>
      </c>
      <c r="R268" s="1589">
        <v>16.46</v>
      </c>
      <c r="S268" s="1590">
        <v>16.46</v>
      </c>
      <c r="T268" s="1588">
        <v>20.216666666666669</v>
      </c>
      <c r="U268" s="1588">
        <v>27.73</v>
      </c>
      <c r="V268" s="1589">
        <v>27.73</v>
      </c>
      <c r="W268" s="1588">
        <v>27.73</v>
      </c>
      <c r="X268" s="1588">
        <v>60.483333333333327</v>
      </c>
      <c r="Y268" s="1588">
        <v>125.99</v>
      </c>
      <c r="Z268" s="1589">
        <v>125.99</v>
      </c>
      <c r="AA268" s="1588">
        <v>125.99</v>
      </c>
      <c r="AB268" s="1588">
        <v>129.32666666666668</v>
      </c>
      <c r="AC268" s="1588">
        <v>357</v>
      </c>
      <c r="AD268" s="1589">
        <v>357</v>
      </c>
      <c r="AE268" s="1588">
        <v>357</v>
      </c>
      <c r="AF268" s="1588">
        <v>276.07666666666665</v>
      </c>
      <c r="AG268" s="1588">
        <v>114.23</v>
      </c>
      <c r="AH268" s="1589">
        <v>114.23</v>
      </c>
      <c r="AI268" s="1588">
        <v>114.23</v>
      </c>
      <c r="AJ268" s="1575">
        <v>116.15333333333334</v>
      </c>
      <c r="AK268" s="1575">
        <v>120</v>
      </c>
      <c r="AL268" s="1589">
        <v>120</v>
      </c>
      <c r="AM268" s="1588">
        <v>120</v>
      </c>
      <c r="AN268" s="1575">
        <v>134.92333333333335</v>
      </c>
      <c r="AO268" s="1575">
        <v>164.77</v>
      </c>
      <c r="AP268" s="1589">
        <v>164.77</v>
      </c>
      <c r="AQ268" s="1588">
        <v>164.77</v>
      </c>
      <c r="AR268" s="1575">
        <v>143.18</v>
      </c>
      <c r="AS268" s="1575">
        <v>100</v>
      </c>
      <c r="AT268" s="1589">
        <v>100</v>
      </c>
      <c r="AU268" s="1588">
        <v>100</v>
      </c>
      <c r="AV268" s="1575">
        <v>100</v>
      </c>
      <c r="AW268" s="1575">
        <v>76.53</v>
      </c>
      <c r="AX268" s="1589">
        <v>76.53</v>
      </c>
      <c r="AY268" s="1588">
        <v>76.53</v>
      </c>
      <c r="AZ268" s="1575">
        <v>76.53</v>
      </c>
      <c r="BA268" s="1575">
        <v>76.53</v>
      </c>
      <c r="BB268" s="1574">
        <v>76.53</v>
      </c>
      <c r="BC268" s="1394"/>
      <c r="BD268" s="1237"/>
      <c r="BE268" s="1279"/>
      <c r="BF268" s="1279"/>
      <c r="BG268" s="1279">
        <f t="shared" si="726"/>
        <v>55.435000000000002</v>
      </c>
      <c r="BH268" s="1279">
        <f t="shared" si="727"/>
        <v>23.034166666666668</v>
      </c>
      <c r="BI268" s="1279">
        <f t="shared" si="728"/>
        <v>85.048333333333332</v>
      </c>
      <c r="BJ268" s="1279">
        <f t="shared" si="729"/>
        <v>242.32916666666665</v>
      </c>
      <c r="BK268" s="1279">
        <f t="shared" si="730"/>
        <v>215.38416666666666</v>
      </c>
      <c r="BL268" s="1279">
        <f t="shared" si="731"/>
        <v>117.59583333333333</v>
      </c>
      <c r="BM268" s="1573">
        <f t="shared" si="732"/>
        <v>146.11583333333334</v>
      </c>
      <c r="BN268" s="1573">
        <f t="shared" si="733"/>
        <v>126.98750000000001</v>
      </c>
      <c r="BO268" s="1573">
        <f t="shared" si="734"/>
        <v>88.264999999999986</v>
      </c>
      <c r="BP268" s="1573">
        <f t="shared" si="735"/>
        <v>76.53</v>
      </c>
      <c r="BQ268" s="1205"/>
      <c r="BR268" s="1206"/>
      <c r="BU268" s="1186"/>
      <c r="BV268" s="1551"/>
      <c r="BW268" s="1551"/>
      <c r="BX268" s="1551"/>
    </row>
    <row r="269" spans="2:76" ht="12.75" customHeight="1">
      <c r="B269" s="1579"/>
      <c r="C269" s="1564" t="s">
        <v>1118</v>
      </c>
      <c r="D269" s="1552"/>
      <c r="E269" s="1552"/>
      <c r="F269" s="1572"/>
      <c r="G269" s="1570"/>
      <c r="H269" s="1568"/>
      <c r="I269" s="1568"/>
      <c r="J269" s="1569"/>
      <c r="K269" s="1570"/>
      <c r="L269" s="1568"/>
      <c r="M269" s="1568"/>
      <c r="N269" s="1569"/>
      <c r="O269" s="1590">
        <v>0</v>
      </c>
      <c r="P269" s="1588">
        <v>0</v>
      </c>
      <c r="Q269" s="1588">
        <v>0</v>
      </c>
      <c r="R269" s="1589">
        <v>0</v>
      </c>
      <c r="S269" s="1590">
        <v>0.1</v>
      </c>
      <c r="T269" s="1588">
        <v>0.41666666666666669</v>
      </c>
      <c r="U269" s="1588">
        <v>1.05</v>
      </c>
      <c r="V269" s="1589">
        <v>1.05</v>
      </c>
      <c r="W269" s="1588">
        <v>1.05</v>
      </c>
      <c r="X269" s="1588">
        <v>11.516666666666666</v>
      </c>
      <c r="Y269" s="1575">
        <v>16.75</v>
      </c>
      <c r="Z269" s="1576">
        <v>16.75</v>
      </c>
      <c r="AA269" s="1575">
        <v>16.75</v>
      </c>
      <c r="AB269" s="1575">
        <v>105.58333333333333</v>
      </c>
      <c r="AC269" s="1575">
        <v>150</v>
      </c>
      <c r="AD269" s="1576">
        <v>150</v>
      </c>
      <c r="AE269" s="1575">
        <v>150</v>
      </c>
      <c r="AF269" s="1575">
        <v>150</v>
      </c>
      <c r="AG269" s="1575">
        <v>150</v>
      </c>
      <c r="AH269" s="1576">
        <v>150</v>
      </c>
      <c r="AI269" s="1575">
        <v>150</v>
      </c>
      <c r="AJ269" s="1575">
        <v>150</v>
      </c>
      <c r="AK269" s="1575">
        <v>150</v>
      </c>
      <c r="AL269" s="1576">
        <v>150</v>
      </c>
      <c r="AM269" s="1575">
        <v>150</v>
      </c>
      <c r="AN269" s="1575">
        <v>150</v>
      </c>
      <c r="AO269" s="1575">
        <v>150</v>
      </c>
      <c r="AP269" s="1576">
        <v>150</v>
      </c>
      <c r="AQ269" s="1575">
        <v>150</v>
      </c>
      <c r="AR269" s="1575">
        <v>150</v>
      </c>
      <c r="AS269" s="1575">
        <v>150</v>
      </c>
      <c r="AT269" s="1576">
        <v>150</v>
      </c>
      <c r="AU269" s="1575">
        <v>150</v>
      </c>
      <c r="AV269" s="1575">
        <v>150</v>
      </c>
      <c r="AW269" s="1575">
        <v>150</v>
      </c>
      <c r="AX269" s="1576">
        <v>150</v>
      </c>
      <c r="AY269" s="1575">
        <v>150</v>
      </c>
      <c r="AZ269" s="1575">
        <v>150</v>
      </c>
      <c r="BA269" s="1575">
        <v>150</v>
      </c>
      <c r="BB269" s="1574">
        <v>150</v>
      </c>
      <c r="BC269" s="1394"/>
      <c r="BD269" s="1237"/>
      <c r="BE269" s="1279"/>
      <c r="BF269" s="1279"/>
      <c r="BG269" s="1279">
        <f t="shared" si="726"/>
        <v>0</v>
      </c>
      <c r="BH269" s="1279">
        <f t="shared" si="727"/>
        <v>0.65416666666666679</v>
      </c>
      <c r="BI269" s="1279">
        <f t="shared" si="728"/>
        <v>11.516666666666666</v>
      </c>
      <c r="BJ269" s="1279">
        <f t="shared" si="729"/>
        <v>105.58333333333333</v>
      </c>
      <c r="BK269" s="1279">
        <f t="shared" si="730"/>
        <v>150</v>
      </c>
      <c r="BL269" s="1279">
        <f t="shared" si="731"/>
        <v>150</v>
      </c>
      <c r="BM269" s="1573">
        <f t="shared" si="732"/>
        <v>150</v>
      </c>
      <c r="BN269" s="1573">
        <f t="shared" si="733"/>
        <v>150</v>
      </c>
      <c r="BO269" s="1573">
        <f t="shared" si="734"/>
        <v>150</v>
      </c>
      <c r="BP269" s="1573">
        <f t="shared" si="735"/>
        <v>150</v>
      </c>
      <c r="BQ269" s="1205"/>
      <c r="BR269" s="1206"/>
      <c r="BU269" s="1186"/>
      <c r="BV269" s="1551"/>
      <c r="BW269" s="1551"/>
      <c r="BX269" s="1551"/>
    </row>
    <row r="270" spans="2:76" ht="12.75" customHeight="1">
      <c r="B270" s="1579"/>
      <c r="C270" s="1564" t="s">
        <v>245</v>
      </c>
      <c r="D270" s="1552"/>
      <c r="E270" s="1552"/>
      <c r="F270" s="1572"/>
      <c r="G270" s="1570"/>
      <c r="H270" s="1568"/>
      <c r="I270" s="1568"/>
      <c r="J270" s="1569"/>
      <c r="K270" s="1570"/>
      <c r="L270" s="1568"/>
      <c r="M270" s="1568"/>
      <c r="N270" s="1569"/>
      <c r="O270" s="1590">
        <v>102.54</v>
      </c>
      <c r="P270" s="1588">
        <v>96.14</v>
      </c>
      <c r="Q270" s="1588">
        <v>83.34</v>
      </c>
      <c r="R270" s="1589">
        <v>83.34</v>
      </c>
      <c r="S270" s="1590">
        <v>83.34</v>
      </c>
      <c r="T270" s="1588">
        <v>83.13333333333334</v>
      </c>
      <c r="U270" s="1588">
        <v>82.72</v>
      </c>
      <c r="V270" s="1589">
        <v>82.72</v>
      </c>
      <c r="W270" s="1588">
        <v>82.72</v>
      </c>
      <c r="X270" s="1588">
        <v>86.433333333333337</v>
      </c>
      <c r="Y270" s="1588">
        <v>93.86</v>
      </c>
      <c r="Z270" s="1589">
        <v>93.86</v>
      </c>
      <c r="AA270" s="1588">
        <v>93.86</v>
      </c>
      <c r="AB270" s="1588">
        <v>96.874703196347028</v>
      </c>
      <c r="AC270" s="1588">
        <v>102.9041095890411</v>
      </c>
      <c r="AD270" s="1589">
        <v>102.9041095890411</v>
      </c>
      <c r="AE270" s="1588">
        <v>103</v>
      </c>
      <c r="AF270" s="1588">
        <v>98.89</v>
      </c>
      <c r="AG270" s="1588">
        <v>94.78</v>
      </c>
      <c r="AH270" s="1589">
        <v>94.78</v>
      </c>
      <c r="AI270" s="1588">
        <v>94.78</v>
      </c>
      <c r="AJ270" s="1575">
        <v>140.17296803652968</v>
      </c>
      <c r="AK270" s="1575">
        <v>230.95890410958907</v>
      </c>
      <c r="AL270" s="1589">
        <v>230.95890410958907</v>
      </c>
      <c r="AM270" s="1588">
        <v>230.95890410958907</v>
      </c>
      <c r="AN270" s="1575">
        <v>258.63013698630141</v>
      </c>
      <c r="AO270" s="1575">
        <v>313.97260273972609</v>
      </c>
      <c r="AP270" s="1589">
        <v>313.97260273972609</v>
      </c>
      <c r="AQ270" s="1588">
        <v>313.97260273972609</v>
      </c>
      <c r="AR270" s="1575">
        <v>286.35616438356169</v>
      </c>
      <c r="AS270" s="1575">
        <v>231.12328767123287</v>
      </c>
      <c r="AT270" s="1589">
        <v>231.12328767123287</v>
      </c>
      <c r="AU270" s="1588">
        <v>231.12328767123287</v>
      </c>
      <c r="AV270" s="1575">
        <v>212.13150684931506</v>
      </c>
      <c r="AW270" s="1575">
        <v>174.14794520547943</v>
      </c>
      <c r="AX270" s="1589">
        <v>174.14794520547943</v>
      </c>
      <c r="AY270" s="1588">
        <v>174.14794520547943</v>
      </c>
      <c r="AZ270" s="1575">
        <v>174.14794520547943</v>
      </c>
      <c r="BA270" s="1575">
        <v>174.14794520547943</v>
      </c>
      <c r="BB270" s="1574">
        <v>174.14794520547943</v>
      </c>
      <c r="BC270" s="1394"/>
      <c r="BD270" s="1237"/>
      <c r="BE270" s="1279"/>
      <c r="BF270" s="1279"/>
      <c r="BG270" s="1279">
        <f t="shared" si="726"/>
        <v>91.34</v>
      </c>
      <c r="BH270" s="1279">
        <f t="shared" si="727"/>
        <v>82.978333333333339</v>
      </c>
      <c r="BI270" s="1279">
        <f t="shared" si="728"/>
        <v>89.218333333333334</v>
      </c>
      <c r="BJ270" s="1279">
        <f t="shared" si="729"/>
        <v>99.13573059360732</v>
      </c>
      <c r="BK270" s="1279">
        <f t="shared" si="730"/>
        <v>97.862499999999983</v>
      </c>
      <c r="BL270" s="1279">
        <f t="shared" si="731"/>
        <v>174.21769406392696</v>
      </c>
      <c r="BM270" s="1573">
        <f t="shared" si="732"/>
        <v>279.38356164383566</v>
      </c>
      <c r="BN270" s="1573">
        <f t="shared" si="733"/>
        <v>265.64383561643837</v>
      </c>
      <c r="BO270" s="1573">
        <f t="shared" si="734"/>
        <v>197.8876712328767</v>
      </c>
      <c r="BP270" s="1573">
        <f t="shared" si="735"/>
        <v>174.14794520547943</v>
      </c>
      <c r="BQ270" s="1205"/>
      <c r="BR270" s="1206"/>
      <c r="BU270" s="1186"/>
      <c r="BV270" s="1551"/>
      <c r="BW270" s="1551"/>
      <c r="BX270" s="1551"/>
    </row>
    <row r="271" spans="2:76" ht="12.75" customHeight="1">
      <c r="B271" s="1579"/>
      <c r="C271" s="1564" t="s">
        <v>246</v>
      </c>
      <c r="D271" s="1552"/>
      <c r="E271" s="1552"/>
      <c r="F271" s="1572"/>
      <c r="G271" s="1570"/>
      <c r="H271" s="1568"/>
      <c r="I271" s="1568"/>
      <c r="J271" s="1569"/>
      <c r="K271" s="1570"/>
      <c r="L271" s="1568"/>
      <c r="M271" s="1568"/>
      <c r="N271" s="1569"/>
      <c r="O271" s="1590">
        <v>102.54</v>
      </c>
      <c r="P271" s="1588">
        <v>96.14</v>
      </c>
      <c r="Q271" s="1588">
        <v>83.34</v>
      </c>
      <c r="R271" s="1589">
        <v>83.34</v>
      </c>
      <c r="S271" s="1590">
        <v>83.34</v>
      </c>
      <c r="T271" s="1588">
        <v>83.13333333333334</v>
      </c>
      <c r="U271" s="1588">
        <v>82.72</v>
      </c>
      <c r="V271" s="1589">
        <v>82.72</v>
      </c>
      <c r="W271" s="1588">
        <v>82.72</v>
      </c>
      <c r="X271" s="1588">
        <v>86.433333333333337</v>
      </c>
      <c r="Y271" s="1588">
        <v>93.86</v>
      </c>
      <c r="Z271" s="1589">
        <v>93.86</v>
      </c>
      <c r="AA271" s="1588">
        <v>93.86</v>
      </c>
      <c r="AB271" s="1588">
        <v>96.874703196347028</v>
      </c>
      <c r="AC271" s="1588">
        <v>102.9041095890411</v>
      </c>
      <c r="AD271" s="1589">
        <v>102.9041095890411</v>
      </c>
      <c r="AE271" s="1588">
        <v>103</v>
      </c>
      <c r="AF271" s="1588">
        <v>161</v>
      </c>
      <c r="AG271" s="1588">
        <v>219</v>
      </c>
      <c r="AH271" s="1589">
        <v>219</v>
      </c>
      <c r="AI271" s="1588">
        <v>219</v>
      </c>
      <c r="AJ271" s="1575">
        <v>310.38356164383561</v>
      </c>
      <c r="AK271" s="1575">
        <v>493.15068493150687</v>
      </c>
      <c r="AL271" s="1589">
        <v>493.15068493150687</v>
      </c>
      <c r="AM271" s="1588">
        <v>493.15068493150687</v>
      </c>
      <c r="AN271" s="1575">
        <v>433.42465753424653</v>
      </c>
      <c r="AO271" s="1575">
        <v>313.97260273972609</v>
      </c>
      <c r="AP271" s="1589">
        <v>313.97260273972609</v>
      </c>
      <c r="AQ271" s="1588">
        <v>313.97260273972609</v>
      </c>
      <c r="AR271" s="1575">
        <v>286.35616438356169</v>
      </c>
      <c r="AS271" s="1575">
        <v>231.12328767123287</v>
      </c>
      <c r="AT271" s="1589">
        <v>231.12328767123287</v>
      </c>
      <c r="AU271" s="1588">
        <v>231.12328767123287</v>
      </c>
      <c r="AV271" s="1575">
        <v>212.13150684931506</v>
      </c>
      <c r="AW271" s="1575">
        <v>174.14794520547943</v>
      </c>
      <c r="AX271" s="1589">
        <v>174.14794520547943</v>
      </c>
      <c r="AY271" s="1588">
        <v>174.14794520547943</v>
      </c>
      <c r="AZ271" s="1575">
        <v>174.14794520547943</v>
      </c>
      <c r="BA271" s="1575">
        <v>174.14794520547943</v>
      </c>
      <c r="BB271" s="1574">
        <v>174.14794520547943</v>
      </c>
      <c r="BC271" s="1394"/>
      <c r="BD271" s="1237"/>
      <c r="BE271" s="1279"/>
      <c r="BF271" s="1279"/>
      <c r="BG271" s="1279">
        <f t="shared" si="726"/>
        <v>91.34</v>
      </c>
      <c r="BH271" s="1279">
        <f t="shared" si="727"/>
        <v>82.978333333333339</v>
      </c>
      <c r="BI271" s="1279">
        <f t="shared" si="728"/>
        <v>89.218333333333334</v>
      </c>
      <c r="BJ271" s="1279">
        <f t="shared" si="729"/>
        <v>99.13573059360732</v>
      </c>
      <c r="BK271" s="1279">
        <f t="shared" si="730"/>
        <v>175.5</v>
      </c>
      <c r="BL271" s="1279">
        <f t="shared" si="731"/>
        <v>378.92123287671234</v>
      </c>
      <c r="BM271" s="1573">
        <f t="shared" si="732"/>
        <v>388.63013698630141</v>
      </c>
      <c r="BN271" s="1573">
        <f t="shared" si="733"/>
        <v>265.64383561643837</v>
      </c>
      <c r="BO271" s="1573">
        <f t="shared" si="734"/>
        <v>197.8876712328767</v>
      </c>
      <c r="BP271" s="1573">
        <f t="shared" si="735"/>
        <v>174.14794520547943</v>
      </c>
      <c r="BQ271" s="1205"/>
      <c r="BR271" s="1206"/>
      <c r="BU271" s="1186"/>
      <c r="BV271" s="1551"/>
      <c r="BW271" s="1551"/>
      <c r="BX271" s="1551"/>
    </row>
    <row r="272" spans="2:76" ht="12.75" customHeight="1">
      <c r="B272" s="1579"/>
      <c r="C272" s="1564" t="s">
        <v>943</v>
      </c>
      <c r="D272" s="1552"/>
      <c r="E272" s="1552"/>
      <c r="F272" s="1572"/>
      <c r="G272" s="1570"/>
      <c r="H272" s="1568"/>
      <c r="I272" s="1568"/>
      <c r="J272" s="1569"/>
      <c r="K272" s="1586"/>
      <c r="L272" s="1568"/>
      <c r="M272" s="1568"/>
      <c r="N272" s="1569"/>
      <c r="O272" s="1570">
        <v>5</v>
      </c>
      <c r="P272" s="1568">
        <v>29</v>
      </c>
      <c r="Q272" s="1568">
        <v>41</v>
      </c>
      <c r="R272" s="1576">
        <v>31.666666666666668</v>
      </c>
      <c r="S272" s="1577">
        <v>27</v>
      </c>
      <c r="T272" s="1575">
        <v>101</v>
      </c>
      <c r="U272" s="1575">
        <v>138</v>
      </c>
      <c r="V272" s="1576">
        <v>108.66666666666667</v>
      </c>
      <c r="W272" s="1575">
        <v>246</v>
      </c>
      <c r="X272" s="1575">
        <v>300.30136986301369</v>
      </c>
      <c r="Y272" s="1575">
        <v>327.45205479452056</v>
      </c>
      <c r="Z272" s="1576">
        <v>238.46575342465755</v>
      </c>
      <c r="AA272" s="1575">
        <v>193.97260273972606</v>
      </c>
      <c r="AB272" s="1575">
        <v>250.95890410958904</v>
      </c>
      <c r="AC272" s="1575">
        <v>279.45205479452056</v>
      </c>
      <c r="AD272" s="1576">
        <v>174.90410958904107</v>
      </c>
      <c r="AE272" s="1575">
        <v>122.63013698630137</v>
      </c>
      <c r="AF272" s="1575">
        <v>221.69863013698631</v>
      </c>
      <c r="AG272" s="1575">
        <v>271.23287671232879</v>
      </c>
      <c r="AH272" s="1576">
        <v>167.12328767123287</v>
      </c>
      <c r="AI272" s="1581">
        <v>115.06849315068493</v>
      </c>
      <c r="AJ272" s="1581">
        <v>219.17808219178082</v>
      </c>
      <c r="AK272" s="1581">
        <v>271.23287671232879</v>
      </c>
      <c r="AL272" s="1576">
        <v>167.12328767123287</v>
      </c>
      <c r="AM272" s="1581">
        <v>115.06849315068493</v>
      </c>
      <c r="AN272" s="1581">
        <v>219.17808219178082</v>
      </c>
      <c r="AO272" s="1581">
        <v>271.23287671232879</v>
      </c>
      <c r="AP272" s="1576">
        <v>167.12328767123287</v>
      </c>
      <c r="AQ272" s="1581">
        <v>115.06849315068493</v>
      </c>
      <c r="AR272" s="1581">
        <v>219.17808219178082</v>
      </c>
      <c r="AS272" s="1581">
        <v>271.23287671232879</v>
      </c>
      <c r="AT272" s="1576">
        <v>167.12328767123287</v>
      </c>
      <c r="AU272" s="1581">
        <v>115.06849315068493</v>
      </c>
      <c r="AV272" s="1581">
        <v>219.17808219178082</v>
      </c>
      <c r="AW272" s="1581">
        <v>271.23287671232879</v>
      </c>
      <c r="AX272" s="1576">
        <v>167.12328767123287</v>
      </c>
      <c r="AY272" s="1581">
        <v>115.06849315068493</v>
      </c>
      <c r="AZ272" s="1581">
        <v>219.17808219178082</v>
      </c>
      <c r="BA272" s="1581">
        <v>271.23287671232879</v>
      </c>
      <c r="BB272" s="1580">
        <v>167.12328767123287</v>
      </c>
      <c r="BC272" s="1394"/>
      <c r="BD272" s="1237"/>
      <c r="BE272" s="1279"/>
      <c r="BF272" s="1279"/>
      <c r="BG272" s="1279"/>
      <c r="BH272" s="1279"/>
      <c r="BI272" s="1279"/>
      <c r="BJ272" s="1279"/>
      <c r="BK272" s="1279"/>
      <c r="BL272" s="1279"/>
      <c r="BM272" s="1573"/>
      <c r="BN272" s="1573"/>
      <c r="BO272" s="1573"/>
      <c r="BP272" s="1573"/>
      <c r="BQ272" s="1205"/>
      <c r="BR272" s="1206"/>
      <c r="BU272" s="1186"/>
      <c r="BV272" s="1551"/>
      <c r="BW272" s="1551"/>
      <c r="BX272" s="1551"/>
    </row>
    <row r="273" spans="2:78" ht="12.75" customHeight="1">
      <c r="B273" s="1579"/>
      <c r="C273" s="1564" t="s">
        <v>1342</v>
      </c>
      <c r="G273" s="1586"/>
      <c r="H273" s="1585"/>
      <c r="I273" s="1585"/>
      <c r="J273" s="1587"/>
      <c r="K273" s="1570"/>
      <c r="L273" s="1585"/>
      <c r="M273" s="1585"/>
      <c r="N273" s="1587"/>
      <c r="O273" s="1586">
        <v>102.54</v>
      </c>
      <c r="P273" s="1585">
        <v>96.14</v>
      </c>
      <c r="Q273" s="1585">
        <v>83.34</v>
      </c>
      <c r="R273" s="1584">
        <v>83.34</v>
      </c>
      <c r="S273" s="2064">
        <v>83.34</v>
      </c>
      <c r="T273" s="2062">
        <v>83.13333333333334</v>
      </c>
      <c r="U273" s="2062">
        <v>82.72</v>
      </c>
      <c r="V273" s="2063">
        <v>82.72</v>
      </c>
      <c r="W273" s="2062">
        <v>82.72</v>
      </c>
      <c r="X273" s="2062">
        <v>86.433333333333337</v>
      </c>
      <c r="Y273" s="2062">
        <v>93.86</v>
      </c>
      <c r="Z273" s="2063">
        <v>93.86</v>
      </c>
      <c r="AA273" s="2062">
        <v>93.86</v>
      </c>
      <c r="AB273" s="2062">
        <v>96.874703196347028</v>
      </c>
      <c r="AC273" s="2062">
        <v>102.9041095890411</v>
      </c>
      <c r="AD273" s="2063">
        <v>102.9041095890411</v>
      </c>
      <c r="AE273" s="2062">
        <v>103</v>
      </c>
      <c r="AF273" s="2062">
        <v>98.736666666666665</v>
      </c>
      <c r="AG273" s="2062">
        <v>90.21</v>
      </c>
      <c r="AH273" s="2063">
        <v>90.21</v>
      </c>
      <c r="AI273" s="2065">
        <v>90.21</v>
      </c>
      <c r="AJ273" s="2065">
        <v>137.126301369863</v>
      </c>
      <c r="AK273" s="2065">
        <v>230.95890410958907</v>
      </c>
      <c r="AL273" s="2063">
        <v>230.95890410958907</v>
      </c>
      <c r="AM273" s="1581">
        <v>230.95890410958907</v>
      </c>
      <c r="AN273" s="1581">
        <v>275.39726027397262</v>
      </c>
      <c r="AO273" s="1581">
        <v>364.27397260273972</v>
      </c>
      <c r="AP273" s="1576">
        <v>364.27397260273972</v>
      </c>
      <c r="AQ273" s="1581">
        <v>364.27397260273972</v>
      </c>
      <c r="AR273" s="1581">
        <v>319.89041095890411</v>
      </c>
      <c r="AS273" s="1581">
        <v>231.12328767123287</v>
      </c>
      <c r="AT273" s="1576">
        <v>231.12328767123287</v>
      </c>
      <c r="AU273" s="1581">
        <v>231.12328767123287</v>
      </c>
      <c r="AV273" s="1581">
        <v>212.13150684931506</v>
      </c>
      <c r="AW273" s="1581">
        <v>174.14794520547943</v>
      </c>
      <c r="AX273" s="1576">
        <v>174.14794520547943</v>
      </c>
      <c r="AY273" s="1581">
        <v>174.14794520547943</v>
      </c>
      <c r="AZ273" s="1581">
        <v>174.14794520547943</v>
      </c>
      <c r="BA273" s="1581">
        <v>174.14794520547943</v>
      </c>
      <c r="BB273" s="1580">
        <v>174.14794520547943</v>
      </c>
      <c r="BC273" s="1583"/>
      <c r="BD273" s="1219"/>
      <c r="BE273" s="1270"/>
      <c r="BF273" s="1270"/>
      <c r="BG273" s="1270"/>
      <c r="BH273" s="1270"/>
      <c r="BI273" s="1270"/>
      <c r="BJ273" s="1270"/>
      <c r="BK273" s="1270"/>
      <c r="BL273" s="1270"/>
      <c r="BM273" s="1582"/>
      <c r="BN273" s="1582"/>
      <c r="BO273" s="1582"/>
      <c r="BP273" s="1582"/>
      <c r="BQ273" s="1205"/>
      <c r="BR273" s="1206"/>
      <c r="BU273" s="1186"/>
      <c r="BV273" s="1551"/>
      <c r="BW273" s="1551"/>
      <c r="BX273" s="1551"/>
    </row>
    <row r="274" spans="2:78" ht="12.75" customHeight="1">
      <c r="B274" s="1579"/>
      <c r="C274" s="1252" t="s">
        <v>573</v>
      </c>
      <c r="D274" s="1228"/>
      <c r="E274" s="1228"/>
      <c r="F274" s="1348"/>
      <c r="G274" s="1570"/>
      <c r="H274" s="1568"/>
      <c r="I274" s="1568"/>
      <c r="J274" s="1569"/>
      <c r="K274" s="1570"/>
      <c r="L274" s="1568"/>
      <c r="M274" s="1568"/>
      <c r="N274" s="1569"/>
      <c r="O274" s="1570"/>
      <c r="P274" s="1568"/>
      <c r="Q274" s="1568"/>
      <c r="R274" s="1576"/>
      <c r="S274" s="1577"/>
      <c r="T274" s="1575"/>
      <c r="U274" s="1575"/>
      <c r="V274" s="1576"/>
      <c r="W274" s="1575"/>
      <c r="X274" s="1575"/>
      <c r="Y274" s="1575"/>
      <c r="Z274" s="1576"/>
      <c r="AA274" s="1575"/>
      <c r="AB274" s="1575"/>
      <c r="AC274" s="1575"/>
      <c r="AD274" s="1576"/>
      <c r="AE274" s="1575"/>
      <c r="AF274" s="1575"/>
      <c r="AG274" s="1575"/>
      <c r="AH274" s="1576"/>
      <c r="AI274" s="1581"/>
      <c r="AJ274" s="1581"/>
      <c r="AK274" s="1581"/>
      <c r="AL274" s="1576"/>
      <c r="AM274" s="1581"/>
      <c r="AN274" s="1581"/>
      <c r="AO274" s="1581"/>
      <c r="AP274" s="1576"/>
      <c r="AQ274" s="1581"/>
      <c r="AR274" s="1581"/>
      <c r="AS274" s="1581"/>
      <c r="AT274" s="1576"/>
      <c r="AU274" s="1581"/>
      <c r="AV274" s="1581"/>
      <c r="AW274" s="1581"/>
      <c r="AX274" s="1576"/>
      <c r="AY274" s="1581"/>
      <c r="AZ274" s="1581"/>
      <c r="BA274" s="1581"/>
      <c r="BB274" s="1580"/>
      <c r="BC274" s="1394"/>
      <c r="BD274" s="1237"/>
      <c r="BE274" s="1279"/>
      <c r="BF274" s="1279"/>
      <c r="BG274" s="1279"/>
      <c r="BH274" s="1279"/>
      <c r="BI274" s="1279"/>
      <c r="BJ274" s="1279"/>
      <c r="BK274" s="1279"/>
      <c r="BL274" s="1279"/>
      <c r="BM274" s="1279"/>
      <c r="BN274" s="1279"/>
      <c r="BO274" s="1279"/>
      <c r="BP274" s="1279"/>
      <c r="BQ274" s="1205"/>
      <c r="BR274" s="1206"/>
      <c r="BU274" s="1186"/>
      <c r="BV274" s="1551"/>
      <c r="BW274" s="1551"/>
      <c r="BX274" s="1551"/>
    </row>
    <row r="275" spans="2:78" ht="12.75" customHeight="1">
      <c r="B275" s="1579"/>
      <c r="C275" s="1564" t="s">
        <v>293</v>
      </c>
      <c r="D275" s="1552"/>
      <c r="E275" s="1552"/>
      <c r="F275" s="1572"/>
      <c r="G275" s="1570"/>
      <c r="H275" s="1568"/>
      <c r="I275" s="1568"/>
      <c r="J275" s="1569"/>
      <c r="K275" s="1570"/>
      <c r="L275" s="1575"/>
      <c r="M275" s="1575"/>
      <c r="N275" s="1576"/>
      <c r="O275" s="1577"/>
      <c r="P275" s="1575"/>
      <c r="Q275" s="1575"/>
      <c r="R275" s="1576"/>
      <c r="S275" s="1577">
        <v>0</v>
      </c>
      <c r="T275" s="1575">
        <v>0</v>
      </c>
      <c r="U275" s="1575">
        <v>0</v>
      </c>
      <c r="V275" s="1576">
        <v>0</v>
      </c>
      <c r="W275" s="1575">
        <v>0</v>
      </c>
      <c r="X275" s="1575">
        <v>0</v>
      </c>
      <c r="Y275" s="1575">
        <v>0</v>
      </c>
      <c r="Z275" s="1576">
        <v>0</v>
      </c>
      <c r="AA275" s="1575">
        <v>0</v>
      </c>
      <c r="AB275" s="1575">
        <v>0</v>
      </c>
      <c r="AC275" s="1575">
        <v>0</v>
      </c>
      <c r="AD275" s="1576">
        <v>0</v>
      </c>
      <c r="AE275" s="1575">
        <v>0</v>
      </c>
      <c r="AF275" s="1575">
        <v>0</v>
      </c>
      <c r="AG275" s="1575">
        <v>0</v>
      </c>
      <c r="AH275" s="1576">
        <v>0</v>
      </c>
      <c r="AI275" s="1575">
        <v>0</v>
      </c>
      <c r="AJ275" s="1575">
        <v>0</v>
      </c>
      <c r="AK275" s="1575">
        <v>0</v>
      </c>
      <c r="AL275" s="1576">
        <v>0</v>
      </c>
      <c r="AM275" s="1575">
        <v>0</v>
      </c>
      <c r="AN275" s="1575">
        <v>0</v>
      </c>
      <c r="AO275" s="1575">
        <v>0</v>
      </c>
      <c r="AP275" s="1576">
        <v>0</v>
      </c>
      <c r="AQ275" s="1575">
        <v>0</v>
      </c>
      <c r="AR275" s="1575">
        <v>0</v>
      </c>
      <c r="AS275" s="1575">
        <v>0</v>
      </c>
      <c r="AT275" s="1576">
        <v>0</v>
      </c>
      <c r="AU275" s="1575">
        <v>0</v>
      </c>
      <c r="AV275" s="1575">
        <v>0</v>
      </c>
      <c r="AW275" s="1575">
        <v>0</v>
      </c>
      <c r="AX275" s="1576">
        <v>0</v>
      </c>
      <c r="AY275" s="1575">
        <v>0</v>
      </c>
      <c r="AZ275" s="1575">
        <v>0</v>
      </c>
      <c r="BA275" s="1575">
        <v>0</v>
      </c>
      <c r="BB275" s="1574">
        <v>0</v>
      </c>
      <c r="BC275" s="1394"/>
      <c r="BD275" s="1237"/>
      <c r="BE275" s="1279"/>
      <c r="BF275" s="1279"/>
      <c r="BG275" s="1279"/>
      <c r="BH275" s="1279">
        <f t="shared" ref="BH275:BH281" si="736">AVERAGE(S275:V275)</f>
        <v>0</v>
      </c>
      <c r="BI275" s="1279">
        <f t="shared" ref="BI275:BI281" si="737">AVERAGE(W275:Z275)</f>
        <v>0</v>
      </c>
      <c r="BJ275" s="1279">
        <f t="shared" ref="BJ275:BJ281" si="738">AVERAGE(AA275:AD275)</f>
        <v>0</v>
      </c>
      <c r="BK275" s="1279">
        <f t="shared" ref="BK275:BK281" si="739">AVERAGE(AE275:AH275)</f>
        <v>0</v>
      </c>
      <c r="BL275" s="1279">
        <f t="shared" ref="BL275:BL281" si="740">AVERAGE(AI275:AL275)</f>
        <v>0</v>
      </c>
      <c r="BM275" s="1573">
        <f t="shared" ref="BM275:BM281" si="741">AVERAGE(AM275:AP275)</f>
        <v>0</v>
      </c>
      <c r="BN275" s="1573">
        <f t="shared" ref="BN275:BN281" si="742">AVERAGE(AQ275:AT275)</f>
        <v>0</v>
      </c>
      <c r="BO275" s="1573">
        <f t="shared" ref="BO275:BO281" si="743">AVERAGE(AU275:AX275)</f>
        <v>0</v>
      </c>
      <c r="BP275" s="1573">
        <f t="shared" ref="BP275:BP281" si="744">AVERAGE(AY275:BB275)</f>
        <v>0</v>
      </c>
      <c r="BQ275" s="1205"/>
      <c r="BR275" s="1206"/>
      <c r="BU275" s="1186"/>
      <c r="BV275" s="1551"/>
      <c r="BW275" s="1551"/>
      <c r="BX275" s="1551"/>
    </row>
    <row r="276" spans="2:78" ht="12.75" customHeight="1">
      <c r="B276" s="1579"/>
      <c r="C276" s="1564" t="s">
        <v>296</v>
      </c>
      <c r="D276" s="1552"/>
      <c r="E276" s="1552"/>
      <c r="F276" s="1572"/>
      <c r="G276" s="1570"/>
      <c r="H276" s="1568"/>
      <c r="I276" s="1568"/>
      <c r="J276" s="1569"/>
      <c r="K276" s="1570"/>
      <c r="L276" s="1575"/>
      <c r="M276" s="1575"/>
      <c r="N276" s="1576"/>
      <c r="O276" s="1577"/>
      <c r="P276" s="1575"/>
      <c r="Q276" s="1575"/>
      <c r="R276" s="1576"/>
      <c r="S276" s="1577">
        <v>1.97</v>
      </c>
      <c r="T276" s="1575">
        <v>1.97</v>
      </c>
      <c r="U276" s="1575">
        <v>1.97</v>
      </c>
      <c r="V276" s="1576">
        <v>1.97</v>
      </c>
      <c r="W276" s="1575">
        <v>4</v>
      </c>
      <c r="X276" s="1575">
        <v>4</v>
      </c>
      <c r="Y276" s="1575">
        <v>4</v>
      </c>
      <c r="Z276" s="1576">
        <v>4</v>
      </c>
      <c r="AA276" s="1575">
        <v>6</v>
      </c>
      <c r="AB276" s="1575">
        <v>6</v>
      </c>
      <c r="AC276" s="1575">
        <v>6</v>
      </c>
      <c r="AD276" s="1576">
        <v>6</v>
      </c>
      <c r="AE276" s="1575">
        <v>8</v>
      </c>
      <c r="AF276" s="1575">
        <v>8</v>
      </c>
      <c r="AG276" s="1575">
        <v>8</v>
      </c>
      <c r="AH276" s="1576">
        <v>8</v>
      </c>
      <c r="AI276" s="1575">
        <v>10</v>
      </c>
      <c r="AJ276" s="1575">
        <v>10</v>
      </c>
      <c r="AK276" s="1575">
        <v>10</v>
      </c>
      <c r="AL276" s="1576">
        <v>10</v>
      </c>
      <c r="AM276" s="1575">
        <v>10</v>
      </c>
      <c r="AN276" s="1575">
        <v>10</v>
      </c>
      <c r="AO276" s="1575">
        <v>10</v>
      </c>
      <c r="AP276" s="1576">
        <v>10</v>
      </c>
      <c r="AQ276" s="1575">
        <v>10</v>
      </c>
      <c r="AR276" s="1575">
        <v>10</v>
      </c>
      <c r="AS276" s="1575">
        <v>10</v>
      </c>
      <c r="AT276" s="1576">
        <v>10</v>
      </c>
      <c r="AU276" s="1575">
        <v>10</v>
      </c>
      <c r="AV276" s="1575">
        <v>10</v>
      </c>
      <c r="AW276" s="1575">
        <v>10</v>
      </c>
      <c r="AX276" s="1576">
        <v>10</v>
      </c>
      <c r="AY276" s="1575">
        <v>10</v>
      </c>
      <c r="AZ276" s="1575">
        <v>10</v>
      </c>
      <c r="BA276" s="1575">
        <v>10</v>
      </c>
      <c r="BB276" s="1574">
        <v>10</v>
      </c>
      <c r="BC276" s="1394"/>
      <c r="BD276" s="1237"/>
      <c r="BE276" s="1279"/>
      <c r="BF276" s="1279"/>
      <c r="BG276" s="1279"/>
      <c r="BH276" s="1279">
        <f t="shared" si="736"/>
        <v>1.97</v>
      </c>
      <c r="BI276" s="1279">
        <f t="shared" si="737"/>
        <v>4</v>
      </c>
      <c r="BJ276" s="1279">
        <f t="shared" si="738"/>
        <v>6</v>
      </c>
      <c r="BK276" s="1279">
        <f t="shared" si="739"/>
        <v>8</v>
      </c>
      <c r="BL276" s="1279">
        <f t="shared" si="740"/>
        <v>10</v>
      </c>
      <c r="BM276" s="1573">
        <f t="shared" si="741"/>
        <v>10</v>
      </c>
      <c r="BN276" s="1573">
        <f t="shared" si="742"/>
        <v>10</v>
      </c>
      <c r="BO276" s="1573">
        <f t="shared" si="743"/>
        <v>10</v>
      </c>
      <c r="BP276" s="1573">
        <f t="shared" si="744"/>
        <v>10</v>
      </c>
      <c r="BQ276" s="1205"/>
      <c r="BR276" s="1206"/>
      <c r="BU276" s="1186"/>
      <c r="BV276" s="1551"/>
      <c r="BW276" s="1551"/>
      <c r="BX276" s="1551"/>
    </row>
    <row r="277" spans="2:78" ht="12.75" customHeight="1">
      <c r="B277" s="1578"/>
      <c r="C277" s="1564" t="s">
        <v>297</v>
      </c>
      <c r="D277" s="1552"/>
      <c r="E277" s="1552"/>
      <c r="F277" s="1572"/>
      <c r="G277" s="1570"/>
      <c r="H277" s="1568"/>
      <c r="I277" s="1568"/>
      <c r="J277" s="1569"/>
      <c r="K277" s="1570"/>
      <c r="L277" s="1575"/>
      <c r="M277" s="1575"/>
      <c r="N277" s="1576"/>
      <c r="O277" s="1577"/>
      <c r="P277" s="1575"/>
      <c r="Q277" s="1575"/>
      <c r="R277" s="1576"/>
      <c r="S277" s="1577">
        <v>0</v>
      </c>
      <c r="T277" s="1575">
        <v>0</v>
      </c>
      <c r="U277" s="1575">
        <v>0</v>
      </c>
      <c r="V277" s="1576">
        <v>0</v>
      </c>
      <c r="W277" s="1575">
        <v>0</v>
      </c>
      <c r="X277" s="1575">
        <v>0</v>
      </c>
      <c r="Y277" s="1575">
        <v>0</v>
      </c>
      <c r="Z277" s="1576">
        <v>0</v>
      </c>
      <c r="AA277" s="1575">
        <v>0</v>
      </c>
      <c r="AB277" s="1575">
        <v>0</v>
      </c>
      <c r="AC277" s="1575">
        <v>0</v>
      </c>
      <c r="AD277" s="1576">
        <v>0</v>
      </c>
      <c r="AE277" s="1575">
        <v>0</v>
      </c>
      <c r="AF277" s="1575">
        <v>0</v>
      </c>
      <c r="AG277" s="1575">
        <v>0</v>
      </c>
      <c r="AH277" s="1576">
        <v>0</v>
      </c>
      <c r="AI277" s="1575">
        <v>0</v>
      </c>
      <c r="AJ277" s="1575">
        <v>0</v>
      </c>
      <c r="AK277" s="1575">
        <v>0</v>
      </c>
      <c r="AL277" s="1576">
        <v>0</v>
      </c>
      <c r="AM277" s="1575">
        <v>0</v>
      </c>
      <c r="AN277" s="1575">
        <v>0</v>
      </c>
      <c r="AO277" s="1575">
        <v>0</v>
      </c>
      <c r="AP277" s="1576">
        <v>0</v>
      </c>
      <c r="AQ277" s="1575">
        <v>0</v>
      </c>
      <c r="AR277" s="1575">
        <v>0</v>
      </c>
      <c r="AS277" s="1575">
        <v>0</v>
      </c>
      <c r="AT277" s="1576">
        <v>0</v>
      </c>
      <c r="AU277" s="1575">
        <v>0</v>
      </c>
      <c r="AV277" s="1575">
        <v>0</v>
      </c>
      <c r="AW277" s="1575">
        <v>0</v>
      </c>
      <c r="AX277" s="1576">
        <v>0</v>
      </c>
      <c r="AY277" s="1575">
        <v>0</v>
      </c>
      <c r="AZ277" s="1575">
        <v>0</v>
      </c>
      <c r="BA277" s="1575">
        <v>0</v>
      </c>
      <c r="BB277" s="1574">
        <v>0</v>
      </c>
      <c r="BC277" s="1394"/>
      <c r="BD277" s="1237"/>
      <c r="BE277" s="1279"/>
      <c r="BF277" s="1279"/>
      <c r="BG277" s="1279"/>
      <c r="BH277" s="1279">
        <f t="shared" si="736"/>
        <v>0</v>
      </c>
      <c r="BI277" s="1279">
        <f t="shared" si="737"/>
        <v>0</v>
      </c>
      <c r="BJ277" s="1279">
        <f t="shared" si="738"/>
        <v>0</v>
      </c>
      <c r="BK277" s="1279">
        <f t="shared" si="739"/>
        <v>0</v>
      </c>
      <c r="BL277" s="1279">
        <f t="shared" si="740"/>
        <v>0</v>
      </c>
      <c r="BM277" s="1573">
        <f t="shared" si="741"/>
        <v>0</v>
      </c>
      <c r="BN277" s="1573">
        <f t="shared" si="742"/>
        <v>0</v>
      </c>
      <c r="BO277" s="1573">
        <f t="shared" si="743"/>
        <v>0</v>
      </c>
      <c r="BP277" s="1573">
        <f t="shared" si="744"/>
        <v>0</v>
      </c>
      <c r="BQ277" s="1205"/>
      <c r="BR277" s="1206"/>
      <c r="BU277" s="1186"/>
      <c r="BV277" s="1551"/>
      <c r="BW277" s="1551"/>
      <c r="BX277" s="1551"/>
    </row>
    <row r="278" spans="2:78" ht="12.75" customHeight="1">
      <c r="B278" s="1281"/>
      <c r="C278" s="1564" t="s">
        <v>298</v>
      </c>
      <c r="D278" s="1552"/>
      <c r="E278" s="1552"/>
      <c r="F278" s="1572"/>
      <c r="G278" s="1570"/>
      <c r="H278" s="1568"/>
      <c r="I278" s="1568"/>
      <c r="J278" s="1569"/>
      <c r="K278" s="1570"/>
      <c r="L278" s="1575"/>
      <c r="M278" s="1575"/>
      <c r="N278" s="1576"/>
      <c r="O278" s="1577"/>
      <c r="P278" s="1575"/>
      <c r="Q278" s="1575"/>
      <c r="R278" s="1576"/>
      <c r="S278" s="1577">
        <v>0</v>
      </c>
      <c r="T278" s="1575">
        <v>0</v>
      </c>
      <c r="U278" s="1575">
        <v>0</v>
      </c>
      <c r="V278" s="1576">
        <v>0</v>
      </c>
      <c r="W278" s="1575">
        <v>0</v>
      </c>
      <c r="X278" s="1575">
        <v>0</v>
      </c>
      <c r="Y278" s="1575">
        <v>0</v>
      </c>
      <c r="Z278" s="1576">
        <v>0</v>
      </c>
      <c r="AA278" s="1575">
        <v>0</v>
      </c>
      <c r="AB278" s="1575">
        <v>0</v>
      </c>
      <c r="AC278" s="1575">
        <v>0</v>
      </c>
      <c r="AD278" s="1576">
        <v>0</v>
      </c>
      <c r="AE278" s="1575">
        <v>0</v>
      </c>
      <c r="AF278" s="1575">
        <v>0</v>
      </c>
      <c r="AG278" s="1575">
        <v>0</v>
      </c>
      <c r="AH278" s="1576">
        <v>0</v>
      </c>
      <c r="AI278" s="1575">
        <v>0</v>
      </c>
      <c r="AJ278" s="1575">
        <v>0</v>
      </c>
      <c r="AK278" s="1575">
        <v>0</v>
      </c>
      <c r="AL278" s="1576">
        <v>0</v>
      </c>
      <c r="AM278" s="1575">
        <v>0</v>
      </c>
      <c r="AN278" s="1575">
        <v>0</v>
      </c>
      <c r="AO278" s="1575">
        <v>0</v>
      </c>
      <c r="AP278" s="1576">
        <v>0</v>
      </c>
      <c r="AQ278" s="1575">
        <v>0</v>
      </c>
      <c r="AR278" s="1575">
        <v>0</v>
      </c>
      <c r="AS278" s="1575">
        <v>0</v>
      </c>
      <c r="AT278" s="1576">
        <v>0</v>
      </c>
      <c r="AU278" s="1575">
        <v>0</v>
      </c>
      <c r="AV278" s="1575">
        <v>0</v>
      </c>
      <c r="AW278" s="1575">
        <v>0</v>
      </c>
      <c r="AX278" s="1576">
        <v>0</v>
      </c>
      <c r="AY278" s="1575">
        <v>0</v>
      </c>
      <c r="AZ278" s="1575">
        <v>0</v>
      </c>
      <c r="BA278" s="1575">
        <v>0</v>
      </c>
      <c r="BB278" s="1574">
        <v>0</v>
      </c>
      <c r="BC278" s="1394"/>
      <c r="BD278" s="1237"/>
      <c r="BE278" s="1279"/>
      <c r="BF278" s="1279"/>
      <c r="BG278" s="1279"/>
      <c r="BH278" s="1279">
        <f t="shared" si="736"/>
        <v>0</v>
      </c>
      <c r="BI278" s="1279">
        <f t="shared" si="737"/>
        <v>0</v>
      </c>
      <c r="BJ278" s="1279">
        <f t="shared" si="738"/>
        <v>0</v>
      </c>
      <c r="BK278" s="1279">
        <f t="shared" si="739"/>
        <v>0</v>
      </c>
      <c r="BL278" s="1279">
        <f t="shared" si="740"/>
        <v>0</v>
      </c>
      <c r="BM278" s="1573">
        <f t="shared" si="741"/>
        <v>0</v>
      </c>
      <c r="BN278" s="1573">
        <f t="shared" si="742"/>
        <v>0</v>
      </c>
      <c r="BO278" s="1573">
        <f t="shared" si="743"/>
        <v>0</v>
      </c>
      <c r="BP278" s="1573">
        <f t="shared" si="744"/>
        <v>0</v>
      </c>
      <c r="BQ278" s="1205"/>
      <c r="BR278" s="1206"/>
      <c r="BU278" s="1186"/>
      <c r="BV278" s="1551"/>
      <c r="BW278" s="1551"/>
      <c r="BX278" s="1551"/>
    </row>
    <row r="279" spans="2:78" ht="12.75" customHeight="1">
      <c r="B279" s="1281"/>
      <c r="C279" s="1564" t="s">
        <v>299</v>
      </c>
      <c r="D279" s="1552"/>
      <c r="E279" s="1552"/>
      <c r="F279" s="1572"/>
      <c r="G279" s="1570"/>
      <c r="H279" s="1568"/>
      <c r="I279" s="1568"/>
      <c r="J279" s="1569"/>
      <c r="K279" s="1570"/>
      <c r="L279" s="1575"/>
      <c r="M279" s="1575"/>
      <c r="N279" s="1576"/>
      <c r="O279" s="1577"/>
      <c r="P279" s="1575"/>
      <c r="Q279" s="1575"/>
      <c r="R279" s="1576"/>
      <c r="S279" s="1577">
        <v>0</v>
      </c>
      <c r="T279" s="1575">
        <v>0</v>
      </c>
      <c r="U279" s="1575">
        <v>0</v>
      </c>
      <c r="V279" s="1576">
        <v>0</v>
      </c>
      <c r="W279" s="1575">
        <v>0</v>
      </c>
      <c r="X279" s="1575">
        <v>0</v>
      </c>
      <c r="Y279" s="1575">
        <v>0</v>
      </c>
      <c r="Z279" s="1576">
        <v>0</v>
      </c>
      <c r="AA279" s="1575">
        <v>0</v>
      </c>
      <c r="AB279" s="1575">
        <v>0</v>
      </c>
      <c r="AC279" s="1575">
        <v>0</v>
      </c>
      <c r="AD279" s="1576">
        <v>0</v>
      </c>
      <c r="AE279" s="1575">
        <v>0</v>
      </c>
      <c r="AF279" s="1575">
        <v>0</v>
      </c>
      <c r="AG279" s="1575">
        <v>0</v>
      </c>
      <c r="AH279" s="1576">
        <v>0</v>
      </c>
      <c r="AI279" s="1575">
        <v>0</v>
      </c>
      <c r="AJ279" s="1575">
        <v>0</v>
      </c>
      <c r="AK279" s="1575">
        <v>0</v>
      </c>
      <c r="AL279" s="1576">
        <v>0</v>
      </c>
      <c r="AM279" s="1575">
        <v>0</v>
      </c>
      <c r="AN279" s="1575">
        <v>0</v>
      </c>
      <c r="AO279" s="1575">
        <v>0</v>
      </c>
      <c r="AP279" s="1576">
        <v>0</v>
      </c>
      <c r="AQ279" s="1575">
        <v>0</v>
      </c>
      <c r="AR279" s="1575">
        <v>0</v>
      </c>
      <c r="AS279" s="1575">
        <v>0</v>
      </c>
      <c r="AT279" s="1576">
        <v>0</v>
      </c>
      <c r="AU279" s="1575">
        <v>0</v>
      </c>
      <c r="AV279" s="1575">
        <v>0</v>
      </c>
      <c r="AW279" s="1575">
        <v>0</v>
      </c>
      <c r="AX279" s="1576">
        <v>0</v>
      </c>
      <c r="AY279" s="1575">
        <v>0</v>
      </c>
      <c r="AZ279" s="1575">
        <v>0</v>
      </c>
      <c r="BA279" s="1575">
        <v>0</v>
      </c>
      <c r="BB279" s="1574">
        <v>0</v>
      </c>
      <c r="BC279" s="1394"/>
      <c r="BD279" s="1237"/>
      <c r="BE279" s="1279"/>
      <c r="BF279" s="1279"/>
      <c r="BG279" s="1279"/>
      <c r="BH279" s="1279">
        <f t="shared" si="736"/>
        <v>0</v>
      </c>
      <c r="BI279" s="1279">
        <f t="shared" si="737"/>
        <v>0</v>
      </c>
      <c r="BJ279" s="1279">
        <f t="shared" si="738"/>
        <v>0</v>
      </c>
      <c r="BK279" s="1279">
        <f t="shared" si="739"/>
        <v>0</v>
      </c>
      <c r="BL279" s="1279">
        <f t="shared" si="740"/>
        <v>0</v>
      </c>
      <c r="BM279" s="1573">
        <f t="shared" si="741"/>
        <v>0</v>
      </c>
      <c r="BN279" s="1573">
        <f t="shared" si="742"/>
        <v>0</v>
      </c>
      <c r="BO279" s="1573">
        <f t="shared" si="743"/>
        <v>0</v>
      </c>
      <c r="BP279" s="1573">
        <f t="shared" si="744"/>
        <v>0</v>
      </c>
      <c r="BQ279" s="1205"/>
      <c r="BR279" s="1206"/>
      <c r="BU279" s="1186"/>
      <c r="BV279" s="1551"/>
      <c r="BW279" s="1551"/>
      <c r="BX279" s="1551"/>
    </row>
    <row r="280" spans="2:78" ht="12.75" customHeight="1">
      <c r="B280" s="1281"/>
      <c r="C280" s="1564" t="s">
        <v>300</v>
      </c>
      <c r="D280" s="1552"/>
      <c r="E280" s="1552"/>
      <c r="F280" s="1572"/>
      <c r="G280" s="1570"/>
      <c r="H280" s="1568"/>
      <c r="I280" s="1568"/>
      <c r="J280" s="1569"/>
      <c r="K280" s="1570"/>
      <c r="L280" s="1575"/>
      <c r="M280" s="1575"/>
      <c r="N280" s="1576"/>
      <c r="O280" s="1577"/>
      <c r="P280" s="1575"/>
      <c r="Q280" s="1575"/>
      <c r="R280" s="1576"/>
      <c r="S280" s="1577">
        <v>0</v>
      </c>
      <c r="T280" s="1575">
        <v>0</v>
      </c>
      <c r="U280" s="1575">
        <v>0</v>
      </c>
      <c r="V280" s="1576">
        <v>0</v>
      </c>
      <c r="W280" s="1575">
        <v>0</v>
      </c>
      <c r="X280" s="1575">
        <v>0</v>
      </c>
      <c r="Y280" s="1575">
        <v>0</v>
      </c>
      <c r="Z280" s="1576">
        <v>0</v>
      </c>
      <c r="AA280" s="1575">
        <v>0</v>
      </c>
      <c r="AB280" s="1575">
        <v>0</v>
      </c>
      <c r="AC280" s="1575">
        <v>0</v>
      </c>
      <c r="AD280" s="1576">
        <v>0</v>
      </c>
      <c r="AE280" s="1575">
        <v>0</v>
      </c>
      <c r="AF280" s="1575">
        <v>0</v>
      </c>
      <c r="AG280" s="1575">
        <v>0</v>
      </c>
      <c r="AH280" s="1576">
        <v>0</v>
      </c>
      <c r="AI280" s="1575">
        <v>0</v>
      </c>
      <c r="AJ280" s="1575">
        <v>0</v>
      </c>
      <c r="AK280" s="1575">
        <v>0</v>
      </c>
      <c r="AL280" s="1576">
        <v>0</v>
      </c>
      <c r="AM280" s="1575">
        <v>0</v>
      </c>
      <c r="AN280" s="1575">
        <v>0</v>
      </c>
      <c r="AO280" s="1575">
        <v>0</v>
      </c>
      <c r="AP280" s="1576">
        <v>0</v>
      </c>
      <c r="AQ280" s="1575">
        <v>0</v>
      </c>
      <c r="AR280" s="1575">
        <v>0</v>
      </c>
      <c r="AS280" s="1575">
        <v>0</v>
      </c>
      <c r="AT280" s="1576">
        <v>0</v>
      </c>
      <c r="AU280" s="1575">
        <v>0</v>
      </c>
      <c r="AV280" s="1575">
        <v>0</v>
      </c>
      <c r="AW280" s="1575">
        <v>0</v>
      </c>
      <c r="AX280" s="1576">
        <v>0</v>
      </c>
      <c r="AY280" s="1575">
        <v>0</v>
      </c>
      <c r="AZ280" s="1575">
        <v>0</v>
      </c>
      <c r="BA280" s="1575">
        <v>0</v>
      </c>
      <c r="BB280" s="1574">
        <v>0</v>
      </c>
      <c r="BC280" s="1394"/>
      <c r="BD280" s="1237"/>
      <c r="BE280" s="1279"/>
      <c r="BF280" s="1279"/>
      <c r="BG280" s="1279"/>
      <c r="BH280" s="1279">
        <f t="shared" si="736"/>
        <v>0</v>
      </c>
      <c r="BI280" s="1279">
        <f t="shared" si="737"/>
        <v>0</v>
      </c>
      <c r="BJ280" s="1279">
        <f t="shared" si="738"/>
        <v>0</v>
      </c>
      <c r="BK280" s="1279">
        <f t="shared" si="739"/>
        <v>0</v>
      </c>
      <c r="BL280" s="1279">
        <f t="shared" si="740"/>
        <v>0</v>
      </c>
      <c r="BM280" s="1573">
        <f t="shared" si="741"/>
        <v>0</v>
      </c>
      <c r="BN280" s="1573">
        <f t="shared" si="742"/>
        <v>0</v>
      </c>
      <c r="BO280" s="1573">
        <f t="shared" si="743"/>
        <v>0</v>
      </c>
      <c r="BP280" s="1573">
        <f t="shared" si="744"/>
        <v>0</v>
      </c>
      <c r="BQ280" s="1205"/>
      <c r="BR280" s="1206"/>
      <c r="BU280" s="1186"/>
      <c r="BV280" s="1551"/>
      <c r="BW280" s="1551"/>
      <c r="BX280" s="1551"/>
    </row>
    <row r="281" spans="2:78" ht="12.75" customHeight="1">
      <c r="B281" s="1281"/>
      <c r="C281" s="1564" t="s">
        <v>294</v>
      </c>
      <c r="D281" s="1552"/>
      <c r="E281" s="1552"/>
      <c r="F281" s="1572"/>
      <c r="G281" s="1570"/>
      <c r="H281" s="1568"/>
      <c r="I281" s="1568"/>
      <c r="J281" s="1569"/>
      <c r="K281" s="1570"/>
      <c r="L281" s="1575"/>
      <c r="M281" s="1575"/>
      <c r="N281" s="1576"/>
      <c r="O281" s="1577"/>
      <c r="P281" s="1575"/>
      <c r="Q281" s="1575"/>
      <c r="R281" s="1576"/>
      <c r="S281" s="1577">
        <v>0</v>
      </c>
      <c r="T281" s="1575">
        <v>0</v>
      </c>
      <c r="U281" s="1575">
        <v>0</v>
      </c>
      <c r="V281" s="1576">
        <v>0</v>
      </c>
      <c r="W281" s="1575">
        <v>0</v>
      </c>
      <c r="X281" s="1575">
        <v>0</v>
      </c>
      <c r="Y281" s="1575">
        <v>0</v>
      </c>
      <c r="Z281" s="1576">
        <v>0</v>
      </c>
      <c r="AA281" s="1575">
        <v>0</v>
      </c>
      <c r="AB281" s="1575">
        <v>0</v>
      </c>
      <c r="AC281" s="1575">
        <v>0</v>
      </c>
      <c r="AD281" s="1576">
        <v>0</v>
      </c>
      <c r="AE281" s="1575">
        <v>0</v>
      </c>
      <c r="AF281" s="1575">
        <v>0</v>
      </c>
      <c r="AG281" s="1575">
        <v>0</v>
      </c>
      <c r="AH281" s="1576">
        <v>0</v>
      </c>
      <c r="AI281" s="1575">
        <v>0</v>
      </c>
      <c r="AJ281" s="1575">
        <v>0</v>
      </c>
      <c r="AK281" s="1575">
        <v>0</v>
      </c>
      <c r="AL281" s="1576">
        <v>0</v>
      </c>
      <c r="AM281" s="1575">
        <v>0</v>
      </c>
      <c r="AN281" s="1575">
        <v>0</v>
      </c>
      <c r="AO281" s="1575">
        <v>0</v>
      </c>
      <c r="AP281" s="1576">
        <v>0</v>
      </c>
      <c r="AQ281" s="1575">
        <v>0</v>
      </c>
      <c r="AR281" s="1575">
        <v>0</v>
      </c>
      <c r="AS281" s="1575">
        <v>0</v>
      </c>
      <c r="AT281" s="1576">
        <v>0</v>
      </c>
      <c r="AU281" s="1575">
        <v>0</v>
      </c>
      <c r="AV281" s="1575">
        <v>0</v>
      </c>
      <c r="AW281" s="1575">
        <v>0</v>
      </c>
      <c r="AX281" s="1576">
        <v>0</v>
      </c>
      <c r="AY281" s="1575">
        <v>0</v>
      </c>
      <c r="AZ281" s="1575">
        <v>0</v>
      </c>
      <c r="BA281" s="1575">
        <v>0</v>
      </c>
      <c r="BB281" s="1574">
        <v>0</v>
      </c>
      <c r="BC281" s="1394"/>
      <c r="BD281" s="1237"/>
      <c r="BE281" s="1279"/>
      <c r="BF281" s="1279"/>
      <c r="BG281" s="1279"/>
      <c r="BH281" s="1279">
        <f t="shared" si="736"/>
        <v>0</v>
      </c>
      <c r="BI281" s="1279">
        <f t="shared" si="737"/>
        <v>0</v>
      </c>
      <c r="BJ281" s="1279">
        <f t="shared" si="738"/>
        <v>0</v>
      </c>
      <c r="BK281" s="1279">
        <f t="shared" si="739"/>
        <v>0</v>
      </c>
      <c r="BL281" s="1279">
        <f t="shared" si="740"/>
        <v>0</v>
      </c>
      <c r="BM281" s="1573">
        <f t="shared" si="741"/>
        <v>0</v>
      </c>
      <c r="BN281" s="1573">
        <f t="shared" si="742"/>
        <v>0</v>
      </c>
      <c r="BO281" s="1573">
        <f t="shared" si="743"/>
        <v>0</v>
      </c>
      <c r="BP281" s="1573">
        <f t="shared" si="744"/>
        <v>0</v>
      </c>
      <c r="BQ281" s="1205"/>
      <c r="BR281" s="1206"/>
      <c r="BU281" s="1186"/>
      <c r="BV281" s="1551"/>
      <c r="BW281" s="1551"/>
      <c r="BX281" s="1551"/>
    </row>
    <row r="282" spans="2:78" ht="12.75" customHeight="1">
      <c r="B282" s="1281"/>
      <c r="C282" s="1564"/>
      <c r="D282" s="1552"/>
      <c r="E282" s="1552"/>
      <c r="F282" s="1572"/>
      <c r="G282" s="1570"/>
      <c r="H282" s="1568"/>
      <c r="I282" s="1568"/>
      <c r="J282" s="1569"/>
      <c r="K282" s="1571"/>
      <c r="L282" s="1568"/>
      <c r="M282" s="1568"/>
      <c r="N282" s="1569"/>
      <c r="O282" s="1570"/>
      <c r="P282" s="1568"/>
      <c r="Q282" s="1568"/>
      <c r="R282" s="1569"/>
      <c r="S282" s="1570"/>
      <c r="T282" s="1568"/>
      <c r="U282" s="1568"/>
      <c r="V282" s="1569"/>
      <c r="W282" s="1568"/>
      <c r="X282" s="1568"/>
      <c r="Y282" s="1568"/>
      <c r="Z282" s="1569"/>
      <c r="AA282" s="1568"/>
      <c r="AB282" s="1568"/>
      <c r="AC282" s="1568"/>
      <c r="AD282" s="1569"/>
      <c r="AE282" s="1568"/>
      <c r="AF282" s="1568"/>
      <c r="AG282" s="1568"/>
      <c r="AH282" s="1569"/>
      <c r="AI282" s="1568"/>
      <c r="AJ282" s="1568"/>
      <c r="AK282" s="1568"/>
      <c r="AL282" s="1569"/>
      <c r="AM282" s="1568"/>
      <c r="AN282" s="1568"/>
      <c r="AO282" s="1568"/>
      <c r="AP282" s="1569"/>
      <c r="AQ282" s="1568"/>
      <c r="AR282" s="1568"/>
      <c r="AS282" s="1568"/>
      <c r="AT282" s="1569"/>
      <c r="AU282" s="1568"/>
      <c r="AV282" s="1568"/>
      <c r="AW282" s="1568"/>
      <c r="AX282" s="1569"/>
      <c r="AY282" s="1568"/>
      <c r="AZ282" s="1568"/>
      <c r="BA282" s="1568"/>
      <c r="BB282" s="1567"/>
      <c r="BC282" s="1566"/>
      <c r="BD282" s="1565"/>
      <c r="BE282" s="1565"/>
      <c r="BF282" s="1565"/>
      <c r="BG282" s="1565"/>
      <c r="BH282" s="1565"/>
      <c r="BI282" s="1565"/>
      <c r="BJ282" s="1565"/>
      <c r="BK282" s="1565"/>
      <c r="BL282" s="1565"/>
      <c r="BM282" s="1565"/>
      <c r="BN282" s="1565"/>
      <c r="BO282" s="1565"/>
      <c r="BP282" s="1565"/>
      <c r="BQ282" s="1205"/>
      <c r="BR282" s="1206"/>
      <c r="BU282" s="1186"/>
      <c r="BV282" s="1551"/>
      <c r="BW282" s="1551"/>
      <c r="BX282" s="1551"/>
    </row>
    <row r="283" spans="2:78" ht="12.75" customHeight="1">
      <c r="B283" s="1282"/>
      <c r="C283" s="1564"/>
      <c r="D283" s="1552"/>
      <c r="E283" s="1552"/>
      <c r="F283" s="1563"/>
      <c r="G283" s="1562"/>
      <c r="H283" s="1560"/>
      <c r="I283" s="1560"/>
      <c r="J283" s="1561"/>
      <c r="K283" s="1556"/>
      <c r="L283" s="1560"/>
      <c r="M283" s="1560"/>
      <c r="N283" s="1561"/>
      <c r="O283" s="1562"/>
      <c r="P283" s="1560"/>
      <c r="Q283" s="1560"/>
      <c r="R283" s="1561"/>
      <c r="S283" s="1562"/>
      <c r="T283" s="1560"/>
      <c r="U283" s="1560"/>
      <c r="V283" s="1561"/>
      <c r="W283" s="1560"/>
      <c r="X283" s="1560"/>
      <c r="Y283" s="1560"/>
      <c r="Z283" s="1561"/>
      <c r="AA283" s="1560"/>
      <c r="AB283" s="1560"/>
      <c r="AC283" s="1560"/>
      <c r="AD283" s="1561"/>
      <c r="AE283" s="1560"/>
      <c r="AF283" s="1560"/>
      <c r="AG283" s="1560"/>
      <c r="AH283" s="1561"/>
      <c r="AI283" s="1560"/>
      <c r="AJ283" s="1560"/>
      <c r="AK283" s="1560"/>
      <c r="AL283" s="1561"/>
      <c r="AM283" s="1560"/>
      <c r="AN283" s="1560"/>
      <c r="AO283" s="1560"/>
      <c r="AP283" s="1561"/>
      <c r="AQ283" s="1560"/>
      <c r="AR283" s="1560"/>
      <c r="AS283" s="1560"/>
      <c r="AT283" s="1561"/>
      <c r="AU283" s="1560"/>
      <c r="AV283" s="1560"/>
      <c r="AW283" s="1560"/>
      <c r="AX283" s="1561"/>
      <c r="AY283" s="1560"/>
      <c r="AZ283" s="1560"/>
      <c r="BA283" s="1560"/>
      <c r="BB283" s="1559"/>
      <c r="BC283" s="1558"/>
      <c r="BD283" s="1557"/>
      <c r="BE283" s="1557"/>
      <c r="BF283" s="1557"/>
      <c r="BG283" s="1557"/>
      <c r="BH283" s="1557"/>
      <c r="BI283" s="1557"/>
      <c r="BJ283" s="1557"/>
      <c r="BK283" s="1557"/>
      <c r="BL283" s="1557"/>
      <c r="BM283" s="1557"/>
      <c r="BN283" s="1557"/>
      <c r="BO283" s="1557"/>
      <c r="BP283" s="1557"/>
      <c r="BQ283" s="1205"/>
      <c r="BR283" s="1226"/>
      <c r="BU283" s="1186"/>
      <c r="BV283" s="1551"/>
      <c r="BW283" s="1551"/>
      <c r="BX283" s="1551"/>
    </row>
    <row r="284" spans="2:78" ht="12.75" customHeight="1">
      <c r="B284" s="1283"/>
      <c r="C284" s="1284"/>
      <c r="D284" s="1268"/>
      <c r="E284" s="1268"/>
      <c r="F284" s="1351"/>
      <c r="G284" s="1556"/>
      <c r="H284" s="1554"/>
      <c r="I284" s="1554"/>
      <c r="J284" s="1555"/>
      <c r="K284" s="1554"/>
      <c r="L284" s="1554"/>
      <c r="M284" s="1554"/>
      <c r="N284" s="1555"/>
      <c r="O284" s="1556"/>
      <c r="P284" s="1554"/>
      <c r="Q284" s="1554"/>
      <c r="R284" s="1555"/>
      <c r="S284" s="1556"/>
      <c r="T284" s="1554"/>
      <c r="U284" s="1554"/>
      <c r="V284" s="1555"/>
      <c r="W284" s="1554"/>
      <c r="X284" s="1554"/>
      <c r="Y284" s="1554"/>
      <c r="Z284" s="1555"/>
      <c r="AA284" s="1554"/>
      <c r="AB284" s="1554"/>
      <c r="AC284" s="1554"/>
      <c r="AD284" s="1555"/>
      <c r="AE284" s="1554"/>
      <c r="AF284" s="1554"/>
      <c r="AG284" s="1554"/>
      <c r="AH284" s="1555"/>
      <c r="AI284" s="1554"/>
      <c r="AJ284" s="1554"/>
      <c r="AK284" s="1554"/>
      <c r="AL284" s="1555"/>
      <c r="AM284" s="1554"/>
      <c r="AN284" s="1554"/>
      <c r="AO284" s="1554"/>
      <c r="AP284" s="1555"/>
      <c r="AQ284" s="1554"/>
      <c r="AR284" s="1554"/>
      <c r="AS284" s="1554"/>
      <c r="AT284" s="1555"/>
      <c r="AU284" s="1554"/>
      <c r="AV284" s="1554"/>
      <c r="AW284" s="1554"/>
      <c r="AX284" s="1555"/>
      <c r="AY284" s="1554"/>
      <c r="AZ284" s="1554"/>
      <c r="BA284" s="1554"/>
      <c r="BB284" s="1553"/>
      <c r="BC284" s="1552"/>
      <c r="BD284" s="1552"/>
      <c r="BE284" s="1552"/>
      <c r="BF284" s="1552"/>
      <c r="BG284" s="1552"/>
      <c r="BH284" s="1552"/>
      <c r="BI284" s="1552"/>
      <c r="BJ284" s="1552"/>
      <c r="BK284" s="1552"/>
      <c r="BL284" s="1552"/>
      <c r="BM284" s="1552"/>
      <c r="BN284" s="1552"/>
      <c r="BO284" s="1552"/>
      <c r="BP284" s="1552"/>
      <c r="BQ284" s="1205"/>
      <c r="BR284" s="1226"/>
      <c r="BU284" s="1186"/>
      <c r="BV284" s="1551"/>
      <c r="BW284" s="1551"/>
      <c r="BX284" s="1551"/>
    </row>
    <row r="285" spans="2:78" ht="12.75" customHeight="1" thickBot="1">
      <c r="B285" s="1285"/>
      <c r="C285" s="1257"/>
      <c r="D285" s="1258"/>
      <c r="E285" s="1258"/>
      <c r="F285" s="1355"/>
      <c r="G285" s="1259"/>
      <c r="H285" s="1258"/>
      <c r="I285" s="1260"/>
      <c r="J285" s="1260"/>
      <c r="K285" s="1260"/>
      <c r="L285" s="1260"/>
      <c r="M285" s="1260"/>
      <c r="N285" s="1260"/>
      <c r="O285" s="1260"/>
      <c r="P285" s="1260"/>
      <c r="Q285" s="1260"/>
      <c r="R285" s="1260"/>
      <c r="S285" s="1259"/>
      <c r="T285" s="1260"/>
      <c r="U285" s="1260"/>
      <c r="V285" s="1260"/>
      <c r="W285" s="1260"/>
      <c r="X285" s="1260"/>
      <c r="Y285" s="1260"/>
      <c r="Z285" s="1259"/>
      <c r="AA285" s="1260"/>
      <c r="AB285" s="1260"/>
      <c r="AC285" s="1260"/>
      <c r="AD285" s="1260"/>
      <c r="AE285" s="1260"/>
      <c r="AF285" s="1260"/>
      <c r="AG285" s="1260"/>
      <c r="AH285" s="1260"/>
      <c r="AI285" s="1260"/>
      <c r="AJ285" s="1260"/>
      <c r="AK285" s="1260"/>
      <c r="AL285" s="1260"/>
      <c r="AM285" s="1260"/>
      <c r="AN285" s="1260"/>
      <c r="AO285" s="1260"/>
      <c r="AP285" s="1260"/>
      <c r="AQ285" s="1260"/>
      <c r="AR285" s="1260"/>
      <c r="AS285" s="1260"/>
      <c r="AT285" s="1260"/>
      <c r="AU285" s="1260"/>
      <c r="AV285" s="1260"/>
      <c r="AW285" s="1260"/>
      <c r="AX285" s="1260"/>
      <c r="AY285" s="1260"/>
      <c r="AZ285" s="1260"/>
      <c r="BA285" s="1260"/>
      <c r="BB285" s="1261"/>
      <c r="BC285" s="1242"/>
      <c r="BD285" s="1242"/>
      <c r="BE285" s="1242"/>
      <c r="BF285" s="1242"/>
      <c r="BG285" s="1242"/>
      <c r="BH285" s="1242"/>
      <c r="BI285" s="1242"/>
      <c r="BJ285" s="1242"/>
      <c r="BK285" s="1242"/>
      <c r="BL285" s="1242"/>
      <c r="BM285" s="1242"/>
      <c r="BN285" s="1242"/>
      <c r="BO285" s="1242"/>
      <c r="BP285" s="1242"/>
      <c r="BQ285" s="1243"/>
      <c r="BR285" s="1226"/>
      <c r="BU285" s="1186"/>
      <c r="BV285" s="1551"/>
      <c r="BW285" s="1551"/>
      <c r="BX285" s="1551"/>
    </row>
    <row r="286" spans="2:78" ht="12.75" customHeight="1">
      <c r="G286" s="1168"/>
      <c r="H286" s="1168"/>
      <c r="I286" s="1168"/>
      <c r="J286" s="1168"/>
      <c r="BE286" s="1168"/>
      <c r="BF286" s="1168"/>
      <c r="BG286" s="1168"/>
      <c r="BH286" s="1168"/>
      <c r="BI286" s="1168"/>
      <c r="BJ286" s="1168"/>
      <c r="BK286" s="1168"/>
      <c r="BL286" s="1168"/>
      <c r="BM286" s="1168"/>
      <c r="BN286" s="1168"/>
      <c r="BO286" s="1168"/>
      <c r="BP286" s="1168"/>
      <c r="BQ286" s="1168"/>
      <c r="BU286" s="1186"/>
      <c r="BV286" s="1551"/>
      <c r="BW286" s="1551"/>
      <c r="BX286" s="1551"/>
    </row>
    <row r="287" spans="2:78" ht="12.75" customHeight="1">
      <c r="B287" s="1281"/>
      <c r="C287" s="1266"/>
      <c r="D287" s="1266"/>
      <c r="E287" s="1266"/>
      <c r="F287" s="1356"/>
      <c r="G287" s="1286"/>
      <c r="H287" s="1286"/>
      <c r="I287" s="1286"/>
      <c r="J287" s="1286"/>
      <c r="K287" s="1266"/>
      <c r="L287" s="1266"/>
      <c r="M287" s="1266"/>
      <c r="N287" s="1266"/>
      <c r="O287" s="1266"/>
      <c r="P287" s="1266"/>
      <c r="Q287" s="1266"/>
      <c r="R287" s="1266"/>
      <c r="S287" s="1266"/>
      <c r="T287" s="1266"/>
      <c r="U287" s="1266"/>
      <c r="V287" s="1266"/>
      <c r="W287" s="1266"/>
      <c r="X287" s="1266"/>
      <c r="Y287" s="1266"/>
      <c r="Z287" s="1266"/>
      <c r="AA287" s="1266"/>
      <c r="AB287" s="1266"/>
      <c r="AC287" s="1266"/>
      <c r="AD287" s="1266"/>
      <c r="AE287" s="1266"/>
      <c r="AF287" s="1266"/>
      <c r="AG287" s="1266"/>
      <c r="AH287" s="1266"/>
      <c r="AI287" s="1266"/>
      <c r="AJ287" s="1266"/>
      <c r="AK287" s="1266"/>
      <c r="AL287" s="1266"/>
      <c r="AM287" s="1266"/>
      <c r="AN287" s="1266"/>
      <c r="AO287" s="1266"/>
      <c r="AP287" s="1266"/>
      <c r="AQ287" s="1266"/>
      <c r="AR287" s="1266"/>
      <c r="AS287" s="1266"/>
      <c r="AT287" s="1266"/>
      <c r="AU287" s="1266"/>
      <c r="AV287" s="1266"/>
      <c r="AW287" s="1266"/>
      <c r="AX287" s="1266"/>
      <c r="AY287" s="1266"/>
      <c r="AZ287" s="1266"/>
      <c r="BA287" s="1266"/>
      <c r="BB287" s="1266"/>
      <c r="BC287" s="1266"/>
      <c r="BD287" s="1266"/>
      <c r="BR287" s="1266"/>
      <c r="BS287" s="1266"/>
      <c r="BT287" s="1266"/>
      <c r="BU287" s="1186"/>
      <c r="BV287" s="1551"/>
      <c r="BW287" s="1551"/>
      <c r="BX287" s="1551"/>
      <c r="BZ287" s="1266"/>
    </row>
    <row r="288" spans="2:78" ht="12.75" customHeight="1">
      <c r="B288" s="1281"/>
      <c r="C288" s="1266"/>
      <c r="D288" s="1266"/>
      <c r="E288" s="1266"/>
      <c r="F288" s="1356"/>
      <c r="G288" s="1286"/>
      <c r="H288" s="1286"/>
      <c r="I288" s="1286"/>
      <c r="J288" s="1286"/>
      <c r="K288" s="1266"/>
      <c r="L288" s="1266"/>
      <c r="M288" s="1266"/>
      <c r="N288" s="1266"/>
      <c r="O288" s="1266"/>
      <c r="P288" s="1266"/>
      <c r="Q288" s="1266"/>
      <c r="R288" s="1266"/>
      <c r="S288" s="1266"/>
      <c r="T288" s="1266"/>
      <c r="U288" s="1266"/>
      <c r="V288" s="1266"/>
      <c r="W288" s="1266"/>
      <c r="X288" s="1266"/>
      <c r="Y288" s="1266"/>
      <c r="Z288" s="1266"/>
      <c r="AA288" s="1266"/>
      <c r="AB288" s="1266"/>
      <c r="AC288" s="1266"/>
      <c r="AD288" s="1266"/>
      <c r="AE288" s="1266"/>
      <c r="AF288" s="1266"/>
      <c r="AG288" s="1266"/>
      <c r="AH288" s="1266"/>
      <c r="AI288" s="1266"/>
      <c r="AJ288" s="1266"/>
      <c r="AK288" s="1266"/>
      <c r="AL288" s="1266"/>
      <c r="AM288" s="1266"/>
      <c r="AN288" s="1266"/>
      <c r="AO288" s="1266"/>
      <c r="AP288" s="1266"/>
      <c r="AQ288" s="1266"/>
      <c r="AR288" s="1266"/>
      <c r="AS288" s="1266"/>
      <c r="AT288" s="1266"/>
      <c r="AU288" s="1266"/>
      <c r="AV288" s="1266"/>
      <c r="AW288" s="1266"/>
      <c r="AX288" s="1266"/>
      <c r="AY288" s="1266"/>
      <c r="AZ288" s="1266"/>
      <c r="BA288" s="1266"/>
      <c r="BB288" s="1266"/>
      <c r="BC288" s="1266"/>
      <c r="BD288" s="1266"/>
      <c r="BR288" s="1266"/>
      <c r="BS288" s="1266"/>
      <c r="BT288" s="1266"/>
      <c r="BU288" s="1186"/>
      <c r="BV288" s="1551"/>
      <c r="BW288" s="1551"/>
      <c r="BX288" s="1551"/>
      <c r="BY288" s="1266"/>
      <c r="BZ288" s="1266"/>
    </row>
    <row r="289" spans="2:78" ht="12.75" customHeight="1">
      <c r="B289" s="1281"/>
      <c r="C289" s="1266"/>
      <c r="D289" s="1266"/>
      <c r="E289" s="1266"/>
      <c r="F289" s="1356"/>
      <c r="G289" s="1286"/>
      <c r="H289" s="1286"/>
      <c r="I289" s="1286"/>
      <c r="J289" s="1286"/>
      <c r="K289" s="1266"/>
      <c r="L289" s="1266"/>
      <c r="M289" s="1266"/>
      <c r="N289" s="1266"/>
      <c r="O289" s="1266"/>
      <c r="P289" s="1266"/>
      <c r="Q289" s="1266"/>
      <c r="R289" s="1266"/>
      <c r="S289" s="1266"/>
      <c r="T289" s="1266"/>
      <c r="U289" s="1266"/>
      <c r="V289" s="1266"/>
      <c r="W289" s="1266"/>
      <c r="X289" s="1266"/>
      <c r="Y289" s="1266"/>
      <c r="Z289" s="1266"/>
      <c r="AA289" s="1266"/>
      <c r="AB289" s="1266"/>
      <c r="AC289" s="1266"/>
      <c r="AD289" s="1266"/>
      <c r="AE289" s="1266"/>
      <c r="AF289" s="1266"/>
      <c r="AG289" s="1266"/>
      <c r="AH289" s="1266"/>
      <c r="AI289" s="1266"/>
      <c r="AJ289" s="1266"/>
      <c r="AK289" s="1266"/>
      <c r="AL289" s="1266"/>
      <c r="AM289" s="1266"/>
      <c r="AN289" s="1266"/>
      <c r="AO289" s="1266"/>
      <c r="AP289" s="1266"/>
      <c r="AQ289" s="1266"/>
      <c r="AR289" s="1266"/>
      <c r="AS289" s="1266"/>
      <c r="AT289" s="1266"/>
      <c r="AU289" s="1266"/>
      <c r="AV289" s="1266"/>
      <c r="AW289" s="1266"/>
      <c r="AX289" s="1266"/>
      <c r="AY289" s="1266"/>
      <c r="AZ289" s="1266"/>
      <c r="BA289" s="1266"/>
      <c r="BB289" s="1266"/>
      <c r="BC289" s="1266"/>
      <c r="BD289" s="1266"/>
      <c r="BR289" s="1266"/>
      <c r="BS289" s="1266"/>
      <c r="BT289" s="1266"/>
      <c r="BU289" s="1186"/>
      <c r="BV289" s="1551"/>
      <c r="BW289" s="1551"/>
      <c r="BX289" s="1551"/>
      <c r="BY289" s="1266"/>
      <c r="BZ289" s="1266"/>
    </row>
    <row r="290" spans="2:78" ht="12.75" customHeight="1">
      <c r="B290" s="1281"/>
      <c r="C290" s="1266"/>
      <c r="D290" s="1266"/>
      <c r="E290" s="1266"/>
      <c r="F290" s="1356"/>
      <c r="G290" s="1286"/>
      <c r="H290" s="1286"/>
      <c r="I290" s="1286"/>
      <c r="J290" s="1286"/>
      <c r="K290" s="1266"/>
      <c r="L290" s="1266"/>
      <c r="M290" s="1266"/>
      <c r="N290" s="1266"/>
      <c r="O290" s="1266"/>
      <c r="P290" s="1266"/>
      <c r="Q290" s="1266"/>
      <c r="R290" s="1266"/>
      <c r="S290" s="1266"/>
      <c r="T290" s="1266"/>
      <c r="U290" s="1266"/>
      <c r="V290" s="1266"/>
      <c r="W290" s="1266"/>
      <c r="X290" s="1266"/>
      <c r="Y290" s="1266"/>
      <c r="Z290" s="1266"/>
      <c r="AA290" s="1266"/>
      <c r="AB290" s="1266"/>
      <c r="AC290" s="1266"/>
      <c r="AD290" s="1266"/>
      <c r="AE290" s="1266"/>
      <c r="AF290" s="1266"/>
      <c r="AG290" s="1266"/>
      <c r="AH290" s="1266"/>
      <c r="AI290" s="1266"/>
      <c r="AJ290" s="1266"/>
      <c r="AK290" s="1266"/>
      <c r="AL290" s="1266"/>
      <c r="AM290" s="1266"/>
      <c r="AN290" s="1266"/>
      <c r="AO290" s="1266"/>
      <c r="AP290" s="1266"/>
      <c r="AQ290" s="1266"/>
      <c r="AR290" s="1266"/>
      <c r="AS290" s="1266"/>
      <c r="AT290" s="1266"/>
      <c r="AU290" s="1266"/>
      <c r="AV290" s="1266"/>
      <c r="AW290" s="1266"/>
      <c r="AX290" s="1266"/>
      <c r="AY290" s="1266"/>
      <c r="AZ290" s="1266"/>
      <c r="BA290" s="1266"/>
      <c r="BB290" s="1266"/>
      <c r="BC290" s="1266"/>
      <c r="BD290" s="1266"/>
      <c r="BR290" s="1266"/>
      <c r="BS290" s="1266"/>
      <c r="BT290" s="1266"/>
      <c r="BU290" s="1186"/>
      <c r="BV290" s="1551"/>
      <c r="BW290" s="1551"/>
      <c r="BX290" s="1551"/>
      <c r="BY290" s="1266"/>
      <c r="BZ290" s="1266"/>
    </row>
    <row r="291" spans="2:78" ht="12.75" customHeight="1">
      <c r="B291" s="1281"/>
      <c r="C291" s="1266"/>
      <c r="D291" s="1266"/>
      <c r="E291" s="1266"/>
      <c r="F291" s="1356"/>
      <c r="G291" s="1286"/>
      <c r="H291" s="1286"/>
      <c r="I291" s="1286"/>
      <c r="J291" s="1286"/>
      <c r="K291" s="1266"/>
      <c r="L291" s="1266"/>
      <c r="M291" s="1266"/>
      <c r="N291" s="1266"/>
      <c r="O291" s="1266"/>
      <c r="P291" s="1266"/>
      <c r="Q291" s="1266"/>
      <c r="R291" s="1266"/>
      <c r="S291" s="1266"/>
      <c r="T291" s="1266"/>
      <c r="U291" s="1266"/>
      <c r="V291" s="1266"/>
      <c r="W291" s="1266"/>
      <c r="X291" s="1266"/>
      <c r="Y291" s="1266"/>
      <c r="Z291" s="1266"/>
      <c r="AA291" s="1266"/>
      <c r="AB291" s="1266"/>
      <c r="AC291" s="1266"/>
      <c r="AD291" s="1266"/>
      <c r="AE291" s="1266"/>
      <c r="AF291" s="1266"/>
      <c r="AG291" s="1266"/>
      <c r="AH291" s="1266"/>
      <c r="AI291" s="1266"/>
      <c r="AJ291" s="1266"/>
      <c r="AK291" s="1266"/>
      <c r="AL291" s="1266"/>
      <c r="AM291" s="1266"/>
      <c r="AN291" s="1266"/>
      <c r="AO291" s="1266"/>
      <c r="AP291" s="1266"/>
      <c r="AQ291" s="1266"/>
      <c r="AR291" s="1266"/>
      <c r="AS291" s="1266"/>
      <c r="AT291" s="1266"/>
      <c r="AU291" s="1266"/>
      <c r="AV291" s="1266"/>
      <c r="AW291" s="1266"/>
      <c r="AX291" s="1266"/>
      <c r="AY291" s="1266"/>
      <c r="AZ291" s="1266"/>
      <c r="BA291" s="1266"/>
      <c r="BB291" s="1266"/>
      <c r="BC291" s="1266"/>
      <c r="BD291" s="1266"/>
      <c r="BR291" s="1266"/>
      <c r="BS291" s="1266"/>
      <c r="BT291" s="1266"/>
      <c r="BU291" s="1186"/>
      <c r="BV291" s="1551"/>
      <c r="BW291" s="1551"/>
      <c r="BX291" s="1551"/>
      <c r="BY291" s="1266"/>
      <c r="BZ291" s="1266"/>
    </row>
    <row r="292" spans="2:78" ht="12.75" customHeight="1">
      <c r="B292" s="1281"/>
      <c r="C292" s="1266"/>
      <c r="D292" s="1266"/>
      <c r="E292" s="1266"/>
      <c r="F292" s="1356"/>
      <c r="G292" s="1286"/>
      <c r="H292" s="1286"/>
      <c r="I292" s="1286"/>
      <c r="J292" s="1286"/>
      <c r="K292" s="1266"/>
      <c r="L292" s="1266"/>
      <c r="M292" s="1266"/>
      <c r="N292" s="1266"/>
      <c r="O292" s="1266"/>
      <c r="P292" s="1266"/>
      <c r="Q292" s="1266"/>
      <c r="R292" s="1266"/>
      <c r="S292" s="1266"/>
      <c r="T292" s="1266"/>
      <c r="U292" s="1266"/>
      <c r="V292" s="1266"/>
      <c r="W292" s="1266"/>
      <c r="X292" s="1266"/>
      <c r="Y292" s="1266"/>
      <c r="Z292" s="1266"/>
      <c r="AA292" s="1266"/>
      <c r="AB292" s="1266"/>
      <c r="AC292" s="1266"/>
      <c r="AD292" s="1266"/>
      <c r="AE292" s="1266"/>
      <c r="AF292" s="1266"/>
      <c r="AG292" s="1266"/>
      <c r="AH292" s="1266"/>
      <c r="AI292" s="1266"/>
      <c r="AJ292" s="1266"/>
      <c r="AK292" s="1266"/>
      <c r="AL292" s="1266"/>
      <c r="AM292" s="1266"/>
      <c r="AN292" s="1266"/>
      <c r="AO292" s="1266"/>
      <c r="AP292" s="1266"/>
      <c r="AQ292" s="1266"/>
      <c r="AR292" s="1266"/>
      <c r="AS292" s="1266"/>
      <c r="AT292" s="1266"/>
      <c r="AU292" s="1266"/>
      <c r="AV292" s="1266"/>
      <c r="AW292" s="1266"/>
      <c r="AX292" s="1266"/>
      <c r="AY292" s="1266"/>
      <c r="AZ292" s="1266"/>
      <c r="BA292" s="1266"/>
      <c r="BB292" s="1266"/>
      <c r="BC292" s="1266"/>
      <c r="BD292" s="1266"/>
      <c r="BR292" s="1266"/>
      <c r="BS292" s="1266"/>
      <c r="BT292" s="1266"/>
      <c r="BU292" s="1186"/>
      <c r="BV292" s="1551"/>
      <c r="BW292" s="1551"/>
      <c r="BX292" s="1551"/>
      <c r="BY292" s="1266"/>
      <c r="BZ292" s="1266"/>
    </row>
    <row r="293" spans="2:78" ht="12.75" customHeight="1">
      <c r="B293" s="1281"/>
      <c r="C293" s="1266"/>
      <c r="D293" s="1266"/>
      <c r="E293" s="1266"/>
      <c r="F293" s="1356"/>
      <c r="G293" s="1286"/>
      <c r="H293" s="1286"/>
      <c r="I293" s="1286"/>
      <c r="J293" s="1286"/>
      <c r="K293" s="1266"/>
      <c r="L293" s="1266"/>
      <c r="M293" s="1266"/>
      <c r="N293" s="1266"/>
      <c r="O293" s="1266"/>
      <c r="P293" s="1266"/>
      <c r="Q293" s="1266"/>
      <c r="R293" s="1266"/>
      <c r="S293" s="1266"/>
      <c r="T293" s="1266"/>
      <c r="U293" s="1266"/>
      <c r="V293" s="1266"/>
      <c r="W293" s="1266"/>
      <c r="X293" s="1266"/>
      <c r="Y293" s="1266"/>
      <c r="Z293" s="1266"/>
      <c r="AA293" s="1266"/>
      <c r="AB293" s="1266"/>
      <c r="AC293" s="1266"/>
      <c r="AD293" s="1266"/>
      <c r="AE293" s="1266"/>
      <c r="AF293" s="1266"/>
      <c r="AG293" s="1266"/>
      <c r="AH293" s="1266"/>
      <c r="AI293" s="1266"/>
      <c r="AJ293" s="1266"/>
      <c r="AK293" s="1266"/>
      <c r="AL293" s="1266"/>
      <c r="AM293" s="1266"/>
      <c r="AN293" s="1266"/>
      <c r="AO293" s="1266"/>
      <c r="AP293" s="1266"/>
      <c r="AQ293" s="1266"/>
      <c r="AR293" s="1266"/>
      <c r="AS293" s="1266"/>
      <c r="AT293" s="1266"/>
      <c r="AU293" s="1266"/>
      <c r="AV293" s="1266"/>
      <c r="AW293" s="1266"/>
      <c r="AX293" s="1266"/>
      <c r="AY293" s="1266"/>
      <c r="AZ293" s="1266"/>
      <c r="BA293" s="1266"/>
      <c r="BB293" s="1266"/>
      <c r="BC293" s="1266"/>
      <c r="BD293" s="1266"/>
      <c r="BR293" s="1266"/>
      <c r="BS293" s="1266"/>
      <c r="BT293" s="1266"/>
      <c r="BU293" s="1186"/>
      <c r="BV293" s="1551"/>
      <c r="BW293" s="1551"/>
      <c r="BX293" s="1551"/>
      <c r="BY293" s="1266"/>
      <c r="BZ293" s="1266"/>
    </row>
    <row r="294" spans="2:78" ht="12.75" customHeight="1">
      <c r="B294" s="1281"/>
      <c r="C294" s="1266"/>
      <c r="D294" s="1266"/>
      <c r="E294" s="1266"/>
      <c r="F294" s="1356"/>
      <c r="G294" s="1286"/>
      <c r="H294" s="1286"/>
      <c r="I294" s="1286"/>
      <c r="J294" s="1286"/>
      <c r="K294" s="1266"/>
      <c r="L294" s="1266"/>
      <c r="M294" s="1266"/>
      <c r="N294" s="1266"/>
      <c r="O294" s="1266"/>
      <c r="P294" s="1266"/>
      <c r="Q294" s="1266"/>
      <c r="R294" s="1266"/>
      <c r="S294" s="1266"/>
      <c r="T294" s="1266"/>
      <c r="U294" s="1266"/>
      <c r="V294" s="1266"/>
      <c r="W294" s="1266"/>
      <c r="X294" s="1266"/>
      <c r="Y294" s="1266"/>
      <c r="Z294" s="1266"/>
      <c r="AA294" s="1266"/>
      <c r="AB294" s="1266"/>
      <c r="AC294" s="1266"/>
      <c r="AD294" s="1266"/>
      <c r="AE294" s="1266"/>
      <c r="AF294" s="1266"/>
      <c r="AG294" s="1266"/>
      <c r="AH294" s="1266"/>
      <c r="AI294" s="1266"/>
      <c r="AJ294" s="1266"/>
      <c r="AK294" s="1266"/>
      <c r="AL294" s="1266"/>
      <c r="AM294" s="1266"/>
      <c r="AN294" s="1266"/>
      <c r="AO294" s="1266"/>
      <c r="AP294" s="1266"/>
      <c r="AQ294" s="1266"/>
      <c r="AR294" s="1266"/>
      <c r="AS294" s="1266"/>
      <c r="AT294" s="1266"/>
      <c r="AU294" s="1266"/>
      <c r="AV294" s="1266"/>
      <c r="AW294" s="1266"/>
      <c r="AX294" s="1266"/>
      <c r="AY294" s="1266"/>
      <c r="AZ294" s="1266"/>
      <c r="BA294" s="1266"/>
      <c r="BB294" s="1266"/>
      <c r="BC294" s="1266"/>
      <c r="BD294" s="1266"/>
      <c r="BR294" s="1266"/>
      <c r="BS294" s="1266"/>
      <c r="BT294" s="1266"/>
      <c r="BU294" s="1186"/>
      <c r="BV294" s="1551"/>
      <c r="BW294" s="1551"/>
      <c r="BX294" s="1551"/>
      <c r="BY294" s="1266"/>
      <c r="BZ294" s="1266"/>
    </row>
    <row r="295" spans="2:78" ht="12.75" customHeight="1">
      <c r="B295" s="1281"/>
      <c r="C295" s="1266"/>
      <c r="D295" s="1266"/>
      <c r="E295" s="1266"/>
      <c r="F295" s="1356"/>
      <c r="G295" s="1286"/>
      <c r="H295" s="1286"/>
      <c r="I295" s="1286"/>
      <c r="J295" s="1286"/>
      <c r="K295" s="1266"/>
      <c r="L295" s="1266"/>
      <c r="M295" s="1266"/>
      <c r="N295" s="1266"/>
      <c r="O295" s="1266"/>
      <c r="P295" s="1266"/>
      <c r="Q295" s="1266"/>
      <c r="R295" s="1266"/>
      <c r="S295" s="1266"/>
      <c r="T295" s="1266"/>
      <c r="U295" s="1266"/>
      <c r="V295" s="1266"/>
      <c r="W295" s="1266"/>
      <c r="X295" s="1266"/>
      <c r="Y295" s="1266"/>
      <c r="Z295" s="1266"/>
      <c r="AA295" s="1266"/>
      <c r="AB295" s="1266"/>
      <c r="AC295" s="1266"/>
      <c r="AD295" s="1266"/>
      <c r="AE295" s="1266"/>
      <c r="AF295" s="1266"/>
      <c r="AG295" s="1266"/>
      <c r="AH295" s="1266"/>
      <c r="AI295" s="1266"/>
      <c r="AJ295" s="1266"/>
      <c r="AK295" s="1266"/>
      <c r="AL295" s="1266"/>
      <c r="AM295" s="1266"/>
      <c r="AN295" s="1266"/>
      <c r="AO295" s="1266"/>
      <c r="AP295" s="1266"/>
      <c r="AQ295" s="1266"/>
      <c r="AR295" s="1266"/>
      <c r="AS295" s="1266"/>
      <c r="AT295" s="1266"/>
      <c r="AU295" s="1266"/>
      <c r="AV295" s="1266"/>
      <c r="AW295" s="1266"/>
      <c r="AX295" s="1266"/>
      <c r="AY295" s="1266"/>
      <c r="AZ295" s="1266"/>
      <c r="BA295" s="1266"/>
      <c r="BB295" s="1266"/>
      <c r="BC295" s="1266"/>
      <c r="BD295" s="1266"/>
      <c r="BR295" s="1266"/>
      <c r="BS295" s="1266"/>
      <c r="BT295" s="1266"/>
      <c r="BU295" s="1186"/>
      <c r="BV295" s="1551"/>
      <c r="BW295" s="1551"/>
      <c r="BX295" s="1551"/>
      <c r="BY295" s="1266"/>
      <c r="BZ295" s="1266"/>
    </row>
    <row r="296" spans="2:78" ht="12.75" customHeight="1">
      <c r="B296" s="1281"/>
      <c r="C296" s="1266"/>
      <c r="D296" s="1266"/>
      <c r="E296" s="1266"/>
      <c r="F296" s="1356"/>
      <c r="G296" s="1286"/>
      <c r="H296" s="1286"/>
      <c r="I296" s="1286"/>
      <c r="J296" s="1286"/>
      <c r="K296" s="1266"/>
      <c r="L296" s="1266"/>
      <c r="M296" s="1266"/>
      <c r="N296" s="1266"/>
      <c r="O296" s="1266"/>
      <c r="P296" s="1266"/>
      <c r="Q296" s="1266"/>
      <c r="R296" s="1266"/>
      <c r="S296" s="1266"/>
      <c r="T296" s="1266"/>
      <c r="U296" s="1266"/>
      <c r="V296" s="1266"/>
      <c r="W296" s="1266"/>
      <c r="X296" s="1266"/>
      <c r="Y296" s="1266"/>
      <c r="Z296" s="1266"/>
      <c r="AA296" s="1266"/>
      <c r="AB296" s="1266"/>
      <c r="AC296" s="1266"/>
      <c r="AD296" s="1266"/>
      <c r="AE296" s="1266"/>
      <c r="AF296" s="1266"/>
      <c r="AG296" s="1266"/>
      <c r="AH296" s="1266"/>
      <c r="AI296" s="1266"/>
      <c r="AJ296" s="1266"/>
      <c r="AK296" s="1266"/>
      <c r="AL296" s="1266"/>
      <c r="AM296" s="1266"/>
      <c r="AN296" s="1266"/>
      <c r="AO296" s="1266"/>
      <c r="AP296" s="1266"/>
      <c r="AQ296" s="1266"/>
      <c r="AR296" s="1266"/>
      <c r="AS296" s="1266"/>
      <c r="AT296" s="1266"/>
      <c r="AU296" s="1266"/>
      <c r="AV296" s="1266"/>
      <c r="AW296" s="1266"/>
      <c r="AX296" s="1266"/>
      <c r="AY296" s="1266"/>
      <c r="AZ296" s="1266"/>
      <c r="BA296" s="1266"/>
      <c r="BB296" s="1266"/>
      <c r="BC296" s="1266"/>
      <c r="BD296" s="1266"/>
      <c r="BR296" s="1266"/>
      <c r="BS296" s="1266"/>
      <c r="BT296" s="1266"/>
      <c r="BU296" s="1186"/>
      <c r="BV296" s="1551"/>
      <c r="BW296" s="1551"/>
      <c r="BX296" s="1551"/>
      <c r="BY296" s="1266"/>
      <c r="BZ296" s="1266"/>
    </row>
    <row r="297" spans="2:78" ht="12.75" customHeight="1">
      <c r="B297" s="1281"/>
      <c r="C297" s="1266"/>
      <c r="D297" s="1266"/>
      <c r="E297" s="1266"/>
      <c r="F297" s="1356"/>
      <c r="G297" s="1286"/>
      <c r="H297" s="1286"/>
      <c r="I297" s="1286"/>
      <c r="J297" s="1286"/>
      <c r="K297" s="1266"/>
      <c r="L297" s="1266"/>
      <c r="M297" s="1266"/>
      <c r="N297" s="1266"/>
      <c r="O297" s="1266"/>
      <c r="P297" s="1266"/>
      <c r="Q297" s="1266"/>
      <c r="R297" s="1266"/>
      <c r="S297" s="1266"/>
      <c r="T297" s="1266"/>
      <c r="U297" s="1266"/>
      <c r="V297" s="1266"/>
      <c r="W297" s="1266"/>
      <c r="X297" s="1266"/>
      <c r="Y297" s="1266"/>
      <c r="Z297" s="1266"/>
      <c r="AA297" s="1266"/>
      <c r="AB297" s="1266"/>
      <c r="AC297" s="1266"/>
      <c r="AD297" s="1266"/>
      <c r="AE297" s="1266"/>
      <c r="AF297" s="1266"/>
      <c r="AG297" s="1266"/>
      <c r="AH297" s="1266"/>
      <c r="AI297" s="1266"/>
      <c r="AJ297" s="1266"/>
      <c r="AK297" s="1266"/>
      <c r="AL297" s="1266"/>
      <c r="AM297" s="1266"/>
      <c r="AN297" s="1266"/>
      <c r="AO297" s="1266"/>
      <c r="AP297" s="1266"/>
      <c r="AQ297" s="1266"/>
      <c r="AR297" s="1266"/>
      <c r="AS297" s="1266"/>
      <c r="AT297" s="1266"/>
      <c r="AU297" s="1266"/>
      <c r="AV297" s="1266"/>
      <c r="AW297" s="1266"/>
      <c r="AX297" s="1266"/>
      <c r="AY297" s="1266"/>
      <c r="AZ297" s="1266"/>
      <c r="BA297" s="1266"/>
      <c r="BB297" s="1266"/>
      <c r="BC297" s="1266"/>
      <c r="BD297" s="1266"/>
      <c r="BR297" s="1266"/>
      <c r="BS297" s="1266"/>
      <c r="BT297" s="1266"/>
      <c r="BU297" s="1186"/>
      <c r="BV297" s="1551"/>
      <c r="BW297" s="1551"/>
      <c r="BX297" s="1551"/>
      <c r="BY297" s="1266"/>
      <c r="BZ297" s="1266"/>
    </row>
    <row r="298" spans="2:78" ht="12.75" customHeight="1">
      <c r="B298" s="1281"/>
      <c r="C298" s="1266"/>
      <c r="D298" s="1266"/>
      <c r="E298" s="1266"/>
      <c r="F298" s="1356"/>
      <c r="G298" s="1286"/>
      <c r="H298" s="1286"/>
      <c r="I298" s="1286"/>
      <c r="J298" s="1286"/>
      <c r="K298" s="1266"/>
      <c r="L298" s="1266"/>
      <c r="M298" s="1266"/>
      <c r="N298" s="1266"/>
      <c r="O298" s="1266"/>
      <c r="P298" s="1266"/>
      <c r="Q298" s="1266"/>
      <c r="R298" s="1266"/>
      <c r="S298" s="1266"/>
      <c r="T298" s="1266"/>
      <c r="U298" s="1266"/>
      <c r="V298" s="1266"/>
      <c r="W298" s="1266"/>
      <c r="X298" s="1266"/>
      <c r="Y298" s="1266"/>
      <c r="Z298" s="1266"/>
      <c r="AA298" s="1266"/>
      <c r="AB298" s="1266"/>
      <c r="AC298" s="1266"/>
      <c r="AD298" s="1266"/>
      <c r="AE298" s="1266"/>
      <c r="AF298" s="1266"/>
      <c r="AG298" s="1266"/>
      <c r="AH298" s="1266"/>
      <c r="AI298" s="1266"/>
      <c r="AJ298" s="1266"/>
      <c r="AK298" s="1266"/>
      <c r="AL298" s="1266"/>
      <c r="AM298" s="1266"/>
      <c r="AN298" s="1266"/>
      <c r="AO298" s="1266"/>
      <c r="AP298" s="1266"/>
      <c r="AQ298" s="1266"/>
      <c r="AR298" s="1266"/>
      <c r="AS298" s="1266"/>
      <c r="AT298" s="1266"/>
      <c r="AU298" s="1266"/>
      <c r="AV298" s="1266"/>
      <c r="AW298" s="1266"/>
      <c r="AX298" s="1266"/>
      <c r="AY298" s="1266"/>
      <c r="AZ298" s="1266"/>
      <c r="BA298" s="1266"/>
      <c r="BB298" s="1266"/>
      <c r="BC298" s="1266"/>
      <c r="BD298" s="1266"/>
      <c r="BR298" s="1266"/>
      <c r="BS298" s="1266"/>
      <c r="BT298" s="1266"/>
      <c r="BU298" s="1186"/>
      <c r="BV298" s="1551"/>
      <c r="BW298" s="1551"/>
      <c r="BX298" s="1551"/>
      <c r="BY298" s="1266"/>
      <c r="BZ298" s="1266"/>
    </row>
    <row r="299" spans="2:78" ht="12.75" customHeight="1">
      <c r="B299" s="1281"/>
      <c r="C299" s="1266"/>
      <c r="D299" s="1266"/>
      <c r="E299" s="1266"/>
      <c r="F299" s="1356"/>
      <c r="G299" s="1286"/>
      <c r="H299" s="1286"/>
      <c r="I299" s="1286"/>
      <c r="J299" s="1286"/>
      <c r="K299" s="1266"/>
      <c r="L299" s="1266"/>
      <c r="M299" s="1266"/>
      <c r="N299" s="1266"/>
      <c r="O299" s="1266"/>
      <c r="P299" s="1266"/>
      <c r="Q299" s="1266"/>
      <c r="R299" s="1266"/>
      <c r="S299" s="1266"/>
      <c r="T299" s="1266"/>
      <c r="U299" s="1266"/>
      <c r="V299" s="1266"/>
      <c r="W299" s="1266"/>
      <c r="X299" s="1266"/>
      <c r="Y299" s="1266"/>
      <c r="Z299" s="1266"/>
      <c r="AA299" s="1266"/>
      <c r="AB299" s="1266"/>
      <c r="AC299" s="1266"/>
      <c r="AD299" s="1266"/>
      <c r="AE299" s="1266"/>
      <c r="AF299" s="1266"/>
      <c r="AG299" s="1266"/>
      <c r="AH299" s="1266"/>
      <c r="AI299" s="1266"/>
      <c r="AJ299" s="1266"/>
      <c r="AK299" s="1266"/>
      <c r="AL299" s="1266"/>
      <c r="AM299" s="1266"/>
      <c r="AN299" s="1266"/>
      <c r="AO299" s="1266"/>
      <c r="AP299" s="1266"/>
      <c r="AQ299" s="1266"/>
      <c r="AR299" s="1266"/>
      <c r="AS299" s="1266"/>
      <c r="AT299" s="1266"/>
      <c r="AU299" s="1266"/>
      <c r="AV299" s="1266"/>
      <c r="AW299" s="1266"/>
      <c r="AX299" s="1266"/>
      <c r="AY299" s="1266"/>
      <c r="AZ299" s="1266"/>
      <c r="BA299" s="1266"/>
      <c r="BB299" s="1266"/>
      <c r="BC299" s="1266"/>
      <c r="BD299" s="1266"/>
      <c r="BR299" s="1266"/>
      <c r="BS299" s="1266"/>
      <c r="BT299" s="1266"/>
      <c r="BU299" s="1186"/>
      <c r="BV299" s="1551"/>
      <c r="BW299" s="1551"/>
      <c r="BX299" s="1551"/>
      <c r="BY299" s="1266"/>
      <c r="BZ299" s="1266"/>
    </row>
    <row r="300" spans="2:78" ht="12.75" customHeight="1">
      <c r="B300" s="1281"/>
      <c r="C300" s="1266"/>
      <c r="D300" s="1266"/>
      <c r="E300" s="1266"/>
      <c r="F300" s="1356"/>
      <c r="G300" s="1286"/>
      <c r="H300" s="1286"/>
      <c r="I300" s="1286"/>
      <c r="J300" s="1286"/>
      <c r="K300" s="1266"/>
      <c r="L300" s="1266"/>
      <c r="M300" s="1266"/>
      <c r="N300" s="1266"/>
      <c r="O300" s="1266"/>
      <c r="P300" s="1266"/>
      <c r="Q300" s="1266"/>
      <c r="R300" s="1266"/>
      <c r="S300" s="1266"/>
      <c r="T300" s="1266"/>
      <c r="U300" s="1266"/>
      <c r="V300" s="1266"/>
      <c r="W300" s="1266"/>
      <c r="X300" s="1266"/>
      <c r="Y300" s="1266"/>
      <c r="Z300" s="1266"/>
      <c r="AA300" s="1266"/>
      <c r="AB300" s="1266"/>
      <c r="AC300" s="1266"/>
      <c r="AD300" s="1266"/>
      <c r="AE300" s="1266"/>
      <c r="AF300" s="1266"/>
      <c r="AG300" s="1266"/>
      <c r="AH300" s="1266"/>
      <c r="AI300" s="1266"/>
      <c r="AJ300" s="1266"/>
      <c r="AK300" s="1266"/>
      <c r="AL300" s="1266"/>
      <c r="AM300" s="1266"/>
      <c r="AN300" s="1266"/>
      <c r="AO300" s="1266"/>
      <c r="AP300" s="1266"/>
      <c r="AQ300" s="1266"/>
      <c r="AR300" s="1266"/>
      <c r="AS300" s="1266"/>
      <c r="AT300" s="1266"/>
      <c r="AU300" s="1266"/>
      <c r="AV300" s="1266"/>
      <c r="AW300" s="1266"/>
      <c r="AX300" s="1266"/>
      <c r="AY300" s="1266"/>
      <c r="AZ300" s="1266"/>
      <c r="BA300" s="1266"/>
      <c r="BB300" s="1266"/>
      <c r="BC300" s="1266"/>
      <c r="BD300" s="1266"/>
      <c r="BR300" s="1266"/>
      <c r="BS300" s="1266"/>
      <c r="BT300" s="1266"/>
      <c r="BU300" s="1186"/>
      <c r="BV300" s="1551"/>
      <c r="BW300" s="1551"/>
      <c r="BX300" s="1551"/>
      <c r="BY300" s="1266"/>
      <c r="BZ300" s="1266"/>
    </row>
    <row r="301" spans="2:78" ht="12.75" customHeight="1">
      <c r="B301" s="1281"/>
      <c r="C301" s="1266"/>
      <c r="D301" s="1266"/>
      <c r="E301" s="1266"/>
      <c r="F301" s="1356"/>
      <c r="G301" s="1286"/>
      <c r="H301" s="1286"/>
      <c r="I301" s="1286"/>
      <c r="J301" s="1286"/>
      <c r="K301" s="1266"/>
      <c r="L301" s="1266"/>
      <c r="M301" s="1266"/>
      <c r="N301" s="1266"/>
      <c r="O301" s="1266"/>
      <c r="P301" s="1266"/>
      <c r="Q301" s="1266"/>
      <c r="R301" s="1266"/>
      <c r="S301" s="1266"/>
      <c r="T301" s="1266"/>
      <c r="U301" s="1266"/>
      <c r="V301" s="1266"/>
      <c r="W301" s="1266"/>
      <c r="X301" s="1266"/>
      <c r="Y301" s="1266"/>
      <c r="Z301" s="1266"/>
      <c r="AA301" s="1266"/>
      <c r="AB301" s="1266"/>
      <c r="AC301" s="1266"/>
      <c r="AD301" s="1266"/>
      <c r="AE301" s="1266"/>
      <c r="AF301" s="1266"/>
      <c r="AG301" s="1266"/>
      <c r="AH301" s="1266"/>
      <c r="AI301" s="1266"/>
      <c r="AJ301" s="1266"/>
      <c r="AK301" s="1266"/>
      <c r="AL301" s="1266"/>
      <c r="AM301" s="1266"/>
      <c r="AN301" s="1266"/>
      <c r="AO301" s="1266"/>
      <c r="AP301" s="1266"/>
      <c r="AQ301" s="1266"/>
      <c r="AR301" s="1266"/>
      <c r="AS301" s="1266"/>
      <c r="AT301" s="1266"/>
      <c r="AU301" s="1266"/>
      <c r="AV301" s="1266"/>
      <c r="AW301" s="1266"/>
      <c r="AX301" s="1266"/>
      <c r="AY301" s="1266"/>
      <c r="AZ301" s="1266"/>
      <c r="BA301" s="1266"/>
      <c r="BB301" s="1266"/>
      <c r="BC301" s="1266"/>
      <c r="BD301" s="1266"/>
      <c r="BR301" s="1266"/>
      <c r="BS301" s="1266"/>
      <c r="BT301" s="1266"/>
      <c r="BU301" s="1186"/>
      <c r="BV301" s="1551"/>
      <c r="BW301" s="1551"/>
      <c r="BX301" s="1551"/>
      <c r="BY301" s="1266"/>
      <c r="BZ301" s="1266"/>
    </row>
    <row r="302" spans="2:78" ht="12.75" customHeight="1">
      <c r="B302" s="1281"/>
      <c r="C302" s="1266"/>
      <c r="D302" s="1266"/>
      <c r="E302" s="1266"/>
      <c r="F302" s="1356"/>
      <c r="G302" s="1286"/>
      <c r="H302" s="1286"/>
      <c r="I302" s="1286"/>
      <c r="J302" s="1286"/>
      <c r="K302" s="1266"/>
      <c r="L302" s="1266"/>
      <c r="M302" s="1266"/>
      <c r="N302" s="1266"/>
      <c r="O302" s="1266"/>
      <c r="P302" s="1266"/>
      <c r="Q302" s="1266"/>
      <c r="R302" s="1266"/>
      <c r="S302" s="1266"/>
      <c r="T302" s="1266"/>
      <c r="U302" s="1266"/>
      <c r="V302" s="1266"/>
      <c r="W302" s="1266"/>
      <c r="X302" s="1266"/>
      <c r="Y302" s="1266"/>
      <c r="Z302" s="1266"/>
      <c r="AA302" s="1266"/>
      <c r="AB302" s="1266"/>
      <c r="AC302" s="1266"/>
      <c r="AD302" s="1266"/>
      <c r="AE302" s="1266"/>
      <c r="AF302" s="1266"/>
      <c r="AG302" s="1266"/>
      <c r="AH302" s="1266"/>
      <c r="AI302" s="1266"/>
      <c r="AJ302" s="1266"/>
      <c r="AK302" s="1266"/>
      <c r="AL302" s="1266"/>
      <c r="AM302" s="1266"/>
      <c r="AN302" s="1266"/>
      <c r="AO302" s="1266"/>
      <c r="AP302" s="1266"/>
      <c r="AQ302" s="1266"/>
      <c r="AR302" s="1266"/>
      <c r="AS302" s="1266"/>
      <c r="AT302" s="1266"/>
      <c r="AU302" s="1266"/>
      <c r="AV302" s="1266"/>
      <c r="AW302" s="1266"/>
      <c r="AX302" s="1266"/>
      <c r="AY302" s="1266"/>
      <c r="AZ302" s="1266"/>
      <c r="BA302" s="1266"/>
      <c r="BB302" s="1266"/>
      <c r="BC302" s="1266"/>
      <c r="BD302" s="1266"/>
      <c r="BR302" s="1266"/>
      <c r="BS302" s="1266"/>
      <c r="BT302" s="1266"/>
      <c r="BU302" s="1186"/>
      <c r="BV302" s="1551"/>
      <c r="BW302" s="1551"/>
      <c r="BX302" s="1551"/>
      <c r="BY302" s="1266"/>
      <c r="BZ302" s="1266"/>
    </row>
    <row r="303" spans="2:78" ht="12.75" customHeight="1">
      <c r="B303" s="1281"/>
      <c r="C303" s="1266"/>
      <c r="D303" s="1266"/>
      <c r="E303" s="1266"/>
      <c r="F303" s="1356"/>
      <c r="G303" s="1286"/>
      <c r="H303" s="1286"/>
      <c r="I303" s="1286"/>
      <c r="J303" s="1286"/>
      <c r="K303" s="1266"/>
      <c r="L303" s="1266"/>
      <c r="M303" s="1266"/>
      <c r="N303" s="1266"/>
      <c r="O303" s="1266"/>
      <c r="P303" s="1266"/>
      <c r="Q303" s="1266"/>
      <c r="R303" s="1266"/>
      <c r="S303" s="1266"/>
      <c r="T303" s="1266"/>
      <c r="U303" s="1266"/>
      <c r="V303" s="1266"/>
      <c r="W303" s="1266"/>
      <c r="X303" s="1266"/>
      <c r="Y303" s="1266"/>
      <c r="Z303" s="1266"/>
      <c r="AA303" s="1266"/>
      <c r="AB303" s="1266"/>
      <c r="AC303" s="1266"/>
      <c r="AD303" s="1266"/>
      <c r="AE303" s="1266"/>
      <c r="AF303" s="1266"/>
      <c r="AG303" s="1266"/>
      <c r="AH303" s="1266"/>
      <c r="AI303" s="1266"/>
      <c r="AJ303" s="1266"/>
      <c r="AK303" s="1266"/>
      <c r="AL303" s="1266"/>
      <c r="AM303" s="1266"/>
      <c r="AN303" s="1266"/>
      <c r="AO303" s="1266"/>
      <c r="AP303" s="1266"/>
      <c r="AQ303" s="1266"/>
      <c r="AR303" s="1266"/>
      <c r="AS303" s="1266"/>
      <c r="AT303" s="1266"/>
      <c r="AU303" s="1266"/>
      <c r="AV303" s="1266"/>
      <c r="AW303" s="1266"/>
      <c r="AX303" s="1266"/>
      <c r="AY303" s="1266"/>
      <c r="AZ303" s="1266"/>
      <c r="BA303" s="1266"/>
      <c r="BB303" s="1266"/>
      <c r="BC303" s="1266"/>
      <c r="BD303" s="1266"/>
      <c r="BR303" s="1266"/>
      <c r="BS303" s="1266"/>
      <c r="BT303" s="1266"/>
      <c r="BU303" s="1186"/>
      <c r="BV303" s="1551"/>
      <c r="BW303" s="1551"/>
      <c r="BX303" s="1551"/>
      <c r="BY303" s="1266"/>
      <c r="BZ303" s="1266"/>
    </row>
    <row r="304" spans="2:78" ht="12.75" customHeight="1">
      <c r="B304" s="1281"/>
      <c r="C304" s="1266"/>
      <c r="D304" s="1266"/>
      <c r="E304" s="1266"/>
      <c r="F304" s="1356"/>
      <c r="G304" s="1286"/>
      <c r="H304" s="1286"/>
      <c r="I304" s="1286"/>
      <c r="J304" s="1286"/>
      <c r="K304" s="1266"/>
      <c r="L304" s="1266"/>
      <c r="M304" s="1266"/>
      <c r="N304" s="1266"/>
      <c r="O304" s="1266"/>
      <c r="P304" s="1266"/>
      <c r="Q304" s="1266"/>
      <c r="R304" s="1266"/>
      <c r="S304" s="1266"/>
      <c r="T304" s="1266"/>
      <c r="U304" s="1266"/>
      <c r="V304" s="1266"/>
      <c r="W304" s="1266"/>
      <c r="X304" s="1266"/>
      <c r="Y304" s="1266"/>
      <c r="Z304" s="1266"/>
      <c r="AA304" s="1266"/>
      <c r="AB304" s="1266"/>
      <c r="AC304" s="1266"/>
      <c r="AD304" s="1266"/>
      <c r="AE304" s="1266"/>
      <c r="AF304" s="1266"/>
      <c r="AG304" s="1266"/>
      <c r="AH304" s="1266"/>
      <c r="AI304" s="1266"/>
      <c r="AJ304" s="1266"/>
      <c r="AK304" s="1266"/>
      <c r="AL304" s="1266"/>
      <c r="AM304" s="1266"/>
      <c r="AN304" s="1266"/>
      <c r="AO304" s="1266"/>
      <c r="AP304" s="1266"/>
      <c r="AQ304" s="1266"/>
      <c r="AR304" s="1266"/>
      <c r="AS304" s="1266"/>
      <c r="AT304" s="1266"/>
      <c r="AU304" s="1266"/>
      <c r="AV304" s="1266"/>
      <c r="AW304" s="1266"/>
      <c r="AX304" s="1266"/>
      <c r="AY304" s="1266"/>
      <c r="AZ304" s="1266"/>
      <c r="BA304" s="1266"/>
      <c r="BB304" s="1266"/>
      <c r="BC304" s="1266"/>
      <c r="BD304" s="1266"/>
      <c r="BR304" s="1266"/>
      <c r="BS304" s="1266"/>
      <c r="BT304" s="1266"/>
      <c r="BU304" s="1186"/>
      <c r="BV304" s="1551"/>
      <c r="BW304" s="1551"/>
      <c r="BX304" s="1551"/>
      <c r="BY304" s="1266"/>
      <c r="BZ304" s="1266"/>
    </row>
    <row r="305" spans="2:78" ht="12.75" customHeight="1">
      <c r="B305" s="1281"/>
      <c r="C305" s="1266"/>
      <c r="D305" s="1266"/>
      <c r="E305" s="1266"/>
      <c r="F305" s="1356"/>
      <c r="G305" s="1286"/>
      <c r="H305" s="1286"/>
      <c r="I305" s="1286"/>
      <c r="J305" s="1286"/>
      <c r="K305" s="1266"/>
      <c r="L305" s="1266"/>
      <c r="M305" s="1266"/>
      <c r="N305" s="1266"/>
      <c r="O305" s="1266"/>
      <c r="P305" s="1266"/>
      <c r="Q305" s="1266"/>
      <c r="R305" s="1266"/>
      <c r="S305" s="1266"/>
      <c r="T305" s="1266"/>
      <c r="U305" s="1266"/>
      <c r="V305" s="1266"/>
      <c r="W305" s="1266"/>
      <c r="X305" s="1266"/>
      <c r="Y305" s="1266"/>
      <c r="Z305" s="1266"/>
      <c r="AA305" s="1266"/>
      <c r="AB305" s="1266"/>
      <c r="AC305" s="1266"/>
      <c r="AD305" s="1266"/>
      <c r="AE305" s="1266"/>
      <c r="AF305" s="1266"/>
      <c r="AG305" s="1266"/>
      <c r="AH305" s="1266"/>
      <c r="AI305" s="1266"/>
      <c r="AJ305" s="1266"/>
      <c r="AK305" s="1266"/>
      <c r="AL305" s="1266"/>
      <c r="AM305" s="1266"/>
      <c r="AN305" s="1266"/>
      <c r="AO305" s="1266"/>
      <c r="AP305" s="1266"/>
      <c r="AQ305" s="1266"/>
      <c r="AR305" s="1266"/>
      <c r="AS305" s="1266"/>
      <c r="AT305" s="1266"/>
      <c r="AU305" s="1266"/>
      <c r="AV305" s="1266"/>
      <c r="AW305" s="1266"/>
      <c r="AX305" s="1266"/>
      <c r="AY305" s="1266"/>
      <c r="AZ305" s="1266"/>
      <c r="BA305" s="1266"/>
      <c r="BB305" s="1266"/>
      <c r="BC305" s="1266"/>
      <c r="BD305" s="1266"/>
      <c r="BR305" s="1266"/>
      <c r="BS305" s="1266"/>
      <c r="BT305" s="1266"/>
      <c r="BU305" s="1186"/>
      <c r="BV305" s="1551"/>
      <c r="BW305" s="1551"/>
      <c r="BX305" s="1551"/>
      <c r="BY305" s="1266"/>
      <c r="BZ305" s="1266"/>
    </row>
    <row r="306" spans="2:78" ht="12.75" customHeight="1">
      <c r="B306" s="1281"/>
      <c r="C306" s="1266"/>
      <c r="D306" s="1266"/>
      <c r="E306" s="1266"/>
      <c r="F306" s="1356"/>
      <c r="G306" s="1286"/>
      <c r="H306" s="1286"/>
      <c r="I306" s="1286"/>
      <c r="J306" s="1286"/>
      <c r="K306" s="1266"/>
      <c r="L306" s="1266"/>
      <c r="M306" s="1266"/>
      <c r="N306" s="1266"/>
      <c r="O306" s="1266"/>
      <c r="P306" s="1266"/>
      <c r="Q306" s="1266"/>
      <c r="R306" s="1266"/>
      <c r="S306" s="1266"/>
      <c r="T306" s="1266"/>
      <c r="U306" s="1266"/>
      <c r="V306" s="1266"/>
      <c r="W306" s="1266"/>
      <c r="X306" s="1266"/>
      <c r="Y306" s="1266"/>
      <c r="Z306" s="1266"/>
      <c r="AA306" s="1266"/>
      <c r="AB306" s="1266"/>
      <c r="AC306" s="1266"/>
      <c r="AD306" s="1266"/>
      <c r="AE306" s="1266"/>
      <c r="AF306" s="1266"/>
      <c r="AG306" s="1266"/>
      <c r="AH306" s="1266"/>
      <c r="AI306" s="1266"/>
      <c r="AJ306" s="1266"/>
      <c r="AK306" s="1266"/>
      <c r="AL306" s="1266"/>
      <c r="AM306" s="1266"/>
      <c r="AN306" s="1266"/>
      <c r="AO306" s="1266"/>
      <c r="AP306" s="1266"/>
      <c r="AQ306" s="1266"/>
      <c r="AR306" s="1266"/>
      <c r="AS306" s="1266"/>
      <c r="AT306" s="1266"/>
      <c r="AU306" s="1266"/>
      <c r="AV306" s="1266"/>
      <c r="AW306" s="1266"/>
      <c r="AX306" s="1266"/>
      <c r="AY306" s="1266"/>
      <c r="AZ306" s="1266"/>
      <c r="BA306" s="1266"/>
      <c r="BB306" s="1266"/>
      <c r="BC306" s="1266"/>
      <c r="BD306" s="1266"/>
      <c r="BR306" s="1266"/>
      <c r="BS306" s="1266"/>
      <c r="BT306" s="1266"/>
      <c r="BU306" s="1186"/>
      <c r="BV306" s="1551"/>
      <c r="BW306" s="1551"/>
      <c r="BX306" s="1551"/>
      <c r="BY306" s="1266"/>
      <c r="BZ306" s="1266"/>
    </row>
    <row r="307" spans="2:78" ht="12.75" customHeight="1">
      <c r="B307" s="1281"/>
      <c r="C307" s="1266"/>
      <c r="D307" s="1266"/>
      <c r="E307" s="1266"/>
      <c r="F307" s="1356"/>
      <c r="G307" s="1286"/>
      <c r="H307" s="1286"/>
      <c r="I307" s="1286"/>
      <c r="J307" s="1286"/>
      <c r="K307" s="1266"/>
      <c r="L307" s="1266"/>
      <c r="M307" s="1266"/>
      <c r="N307" s="1266"/>
      <c r="O307" s="1266"/>
      <c r="P307" s="1266"/>
      <c r="Q307" s="1266"/>
      <c r="R307" s="1266"/>
      <c r="S307" s="1266"/>
      <c r="T307" s="1266"/>
      <c r="U307" s="1266"/>
      <c r="V307" s="1266"/>
      <c r="W307" s="1266"/>
      <c r="X307" s="1266"/>
      <c r="Y307" s="1266"/>
      <c r="Z307" s="1266"/>
      <c r="AA307" s="1266"/>
      <c r="AB307" s="1266"/>
      <c r="AC307" s="1266"/>
      <c r="AD307" s="1266"/>
      <c r="AE307" s="1266"/>
      <c r="AF307" s="1266"/>
      <c r="AG307" s="1266"/>
      <c r="AH307" s="1266"/>
      <c r="AI307" s="1266"/>
      <c r="AJ307" s="1266"/>
      <c r="AK307" s="1266"/>
      <c r="AL307" s="1266"/>
      <c r="AM307" s="1266"/>
      <c r="AN307" s="1266"/>
      <c r="AO307" s="1266"/>
      <c r="AP307" s="1266"/>
      <c r="AQ307" s="1266"/>
      <c r="AR307" s="1266"/>
      <c r="AS307" s="1266"/>
      <c r="AT307" s="1266"/>
      <c r="AU307" s="1266"/>
      <c r="AV307" s="1266"/>
      <c r="AW307" s="1266"/>
      <c r="AX307" s="1266"/>
      <c r="AY307" s="1266"/>
      <c r="AZ307" s="1266"/>
      <c r="BA307" s="1266"/>
      <c r="BB307" s="1266"/>
      <c r="BC307" s="1266"/>
      <c r="BD307" s="1266"/>
      <c r="BR307" s="1266"/>
      <c r="BS307" s="1266"/>
      <c r="BT307" s="1266"/>
      <c r="BU307" s="1186"/>
      <c r="BV307" s="1551"/>
      <c r="BW307" s="1551"/>
      <c r="BX307" s="1551"/>
      <c r="BY307" s="1266"/>
      <c r="BZ307" s="1266"/>
    </row>
    <row r="308" spans="2:78" ht="12.75" customHeight="1">
      <c r="B308" s="1281"/>
      <c r="C308" s="1266"/>
      <c r="D308" s="1266"/>
      <c r="E308" s="1266"/>
      <c r="F308" s="1356"/>
      <c r="G308" s="1286"/>
      <c r="H308" s="1286"/>
      <c r="I308" s="1286"/>
      <c r="J308" s="1286"/>
      <c r="K308" s="1266"/>
      <c r="L308" s="1266"/>
      <c r="M308" s="1266"/>
      <c r="N308" s="1266"/>
      <c r="O308" s="1266"/>
      <c r="P308" s="1266"/>
      <c r="Q308" s="1266"/>
      <c r="R308" s="1266"/>
      <c r="S308" s="1266"/>
      <c r="T308" s="1266"/>
      <c r="U308" s="1266"/>
      <c r="V308" s="1266"/>
      <c r="W308" s="1266"/>
      <c r="X308" s="1266"/>
      <c r="Y308" s="1266"/>
      <c r="Z308" s="1266"/>
      <c r="AA308" s="1266"/>
      <c r="AB308" s="1266"/>
      <c r="AC308" s="1266"/>
      <c r="AD308" s="1266"/>
      <c r="AE308" s="1266"/>
      <c r="AF308" s="1266"/>
      <c r="AG308" s="1266"/>
      <c r="AH308" s="1266"/>
      <c r="AI308" s="1266"/>
      <c r="AJ308" s="1266"/>
      <c r="AK308" s="1266"/>
      <c r="AL308" s="1266"/>
      <c r="AM308" s="1266"/>
      <c r="AN308" s="1266"/>
      <c r="AO308" s="1266"/>
      <c r="AP308" s="1266"/>
      <c r="AQ308" s="1266"/>
      <c r="AR308" s="1266"/>
      <c r="AS308" s="1266"/>
      <c r="AT308" s="1266"/>
      <c r="AU308" s="1266"/>
      <c r="AV308" s="1266"/>
      <c r="AW308" s="1266"/>
      <c r="AX308" s="1266"/>
      <c r="AY308" s="1266"/>
      <c r="AZ308" s="1266"/>
      <c r="BA308" s="1266"/>
      <c r="BB308" s="1266"/>
      <c r="BC308" s="1266"/>
      <c r="BD308" s="1266"/>
      <c r="BR308" s="1266"/>
      <c r="BS308" s="1266"/>
      <c r="BT308" s="1266"/>
      <c r="BU308" s="1186"/>
      <c r="BV308" s="1551"/>
      <c r="BW308" s="1551"/>
      <c r="BX308" s="1551"/>
      <c r="BY308" s="1266"/>
      <c r="BZ308" s="1266"/>
    </row>
    <row r="309" spans="2:78" ht="12.75" customHeight="1">
      <c r="B309" s="1281"/>
      <c r="C309" s="1266"/>
      <c r="D309" s="1266"/>
      <c r="E309" s="1266"/>
      <c r="F309" s="1356"/>
      <c r="G309" s="1286"/>
      <c r="H309" s="1286"/>
      <c r="I309" s="1286"/>
      <c r="J309" s="1286"/>
      <c r="K309" s="1266"/>
      <c r="L309" s="1266"/>
      <c r="M309" s="1266"/>
      <c r="N309" s="1266"/>
      <c r="O309" s="1266"/>
      <c r="P309" s="1266"/>
      <c r="Q309" s="1266"/>
      <c r="R309" s="1266"/>
      <c r="S309" s="1266"/>
      <c r="T309" s="1266"/>
      <c r="U309" s="1266"/>
      <c r="V309" s="1266"/>
      <c r="W309" s="1266"/>
      <c r="X309" s="1266"/>
      <c r="Y309" s="1266"/>
      <c r="Z309" s="1266"/>
      <c r="AA309" s="1266"/>
      <c r="AB309" s="1266"/>
      <c r="AC309" s="1266"/>
      <c r="AD309" s="1266"/>
      <c r="AE309" s="1266"/>
      <c r="AF309" s="1266"/>
      <c r="AG309" s="1266"/>
      <c r="AH309" s="1266"/>
      <c r="AI309" s="1266"/>
      <c r="AJ309" s="1266"/>
      <c r="AK309" s="1266"/>
      <c r="AL309" s="1266"/>
      <c r="AM309" s="1266"/>
      <c r="AN309" s="1266"/>
      <c r="AO309" s="1266"/>
      <c r="AP309" s="1266"/>
      <c r="AQ309" s="1266"/>
      <c r="AR309" s="1266"/>
      <c r="AS309" s="1266"/>
      <c r="AT309" s="1266"/>
      <c r="AU309" s="1266"/>
      <c r="AV309" s="1266"/>
      <c r="AW309" s="1266"/>
      <c r="AX309" s="1266"/>
      <c r="AY309" s="1266"/>
      <c r="AZ309" s="1266"/>
      <c r="BA309" s="1266"/>
      <c r="BB309" s="1266"/>
      <c r="BC309" s="1266"/>
      <c r="BD309" s="1266"/>
      <c r="BR309" s="1266"/>
      <c r="BS309" s="1266"/>
      <c r="BT309" s="1266"/>
      <c r="BU309" s="1186"/>
      <c r="BV309" s="1551"/>
      <c r="BW309" s="1551"/>
      <c r="BX309" s="1551"/>
      <c r="BY309" s="1266"/>
      <c r="BZ309" s="1266"/>
    </row>
    <row r="310" spans="2:78" ht="12.75" customHeight="1">
      <c r="B310" s="1281"/>
      <c r="C310" s="1266"/>
      <c r="D310" s="1266"/>
      <c r="E310" s="1266"/>
      <c r="F310" s="1356"/>
      <c r="G310" s="1286"/>
      <c r="H310" s="1286"/>
      <c r="I310" s="1286"/>
      <c r="J310" s="1286"/>
      <c r="K310" s="1266"/>
      <c r="L310" s="1266"/>
      <c r="M310" s="1266"/>
      <c r="N310" s="1266"/>
      <c r="O310" s="1266"/>
      <c r="P310" s="1266"/>
      <c r="Q310" s="1266"/>
      <c r="R310" s="1266"/>
      <c r="S310" s="1266"/>
      <c r="T310" s="1266"/>
      <c r="U310" s="1266"/>
      <c r="V310" s="1266"/>
      <c r="W310" s="1266"/>
      <c r="X310" s="1266"/>
      <c r="Y310" s="1266"/>
      <c r="Z310" s="1266"/>
      <c r="AA310" s="1266"/>
      <c r="AB310" s="1266"/>
      <c r="AC310" s="1266"/>
      <c r="AD310" s="1266"/>
      <c r="AE310" s="1266"/>
      <c r="AF310" s="1266"/>
      <c r="AG310" s="1266"/>
      <c r="AH310" s="1266"/>
      <c r="AI310" s="1266"/>
      <c r="AJ310" s="1266"/>
      <c r="AK310" s="1266"/>
      <c r="AL310" s="1266"/>
      <c r="AM310" s="1266"/>
      <c r="AN310" s="1266"/>
      <c r="AO310" s="1266"/>
      <c r="AP310" s="1266"/>
      <c r="AQ310" s="1266"/>
      <c r="AR310" s="1266"/>
      <c r="AS310" s="1266"/>
      <c r="AT310" s="1266"/>
      <c r="AU310" s="1266"/>
      <c r="AV310" s="1266"/>
      <c r="AW310" s="1266"/>
      <c r="AX310" s="1266"/>
      <c r="AY310" s="1266"/>
      <c r="AZ310" s="1266"/>
      <c r="BA310" s="1266"/>
      <c r="BB310" s="1266"/>
      <c r="BC310" s="1266"/>
      <c r="BD310" s="1266"/>
      <c r="BR310" s="1266"/>
      <c r="BS310" s="1266"/>
      <c r="BT310" s="1266"/>
      <c r="BU310" s="1186"/>
      <c r="BV310" s="1551"/>
      <c r="BW310" s="1551"/>
      <c r="BX310" s="1551"/>
      <c r="BY310" s="1266"/>
      <c r="BZ310" s="1266"/>
    </row>
    <row r="311" spans="2:78" ht="12.75" customHeight="1">
      <c r="B311" s="1281"/>
      <c r="C311" s="1266"/>
      <c r="D311" s="1266"/>
      <c r="E311" s="1266"/>
      <c r="F311" s="1356"/>
      <c r="G311" s="1286"/>
      <c r="H311" s="1286"/>
      <c r="I311" s="1286"/>
      <c r="J311" s="1286"/>
      <c r="K311" s="1266"/>
      <c r="L311" s="1266"/>
      <c r="M311" s="1266"/>
      <c r="N311" s="1266"/>
      <c r="O311" s="1266"/>
      <c r="P311" s="1266"/>
      <c r="Q311" s="1266"/>
      <c r="R311" s="1266"/>
      <c r="S311" s="1266"/>
      <c r="T311" s="1266"/>
      <c r="U311" s="1266"/>
      <c r="V311" s="1266"/>
      <c r="W311" s="1266"/>
      <c r="X311" s="1266"/>
      <c r="Y311" s="1266"/>
      <c r="Z311" s="1266"/>
      <c r="AA311" s="1266"/>
      <c r="AB311" s="1266"/>
      <c r="AC311" s="1266"/>
      <c r="AD311" s="1266"/>
      <c r="AE311" s="1266"/>
      <c r="AF311" s="1266"/>
      <c r="AG311" s="1266"/>
      <c r="AH311" s="1266"/>
      <c r="AI311" s="1266"/>
      <c r="AJ311" s="1266"/>
      <c r="AK311" s="1266"/>
      <c r="AL311" s="1266"/>
      <c r="AM311" s="1266"/>
      <c r="AN311" s="1266"/>
      <c r="AO311" s="1266"/>
      <c r="AP311" s="1266"/>
      <c r="AQ311" s="1266"/>
      <c r="AR311" s="1266"/>
      <c r="AS311" s="1266"/>
      <c r="AT311" s="1266"/>
      <c r="AU311" s="1266"/>
      <c r="AV311" s="1266"/>
      <c r="AW311" s="1266"/>
      <c r="AX311" s="1266"/>
      <c r="AY311" s="1266"/>
      <c r="AZ311" s="1266"/>
      <c r="BA311" s="1266"/>
      <c r="BB311" s="1266"/>
      <c r="BC311" s="1266"/>
      <c r="BD311" s="1266"/>
      <c r="BR311" s="1266"/>
      <c r="BS311" s="1266"/>
      <c r="BT311" s="1266"/>
      <c r="BU311" s="1186"/>
      <c r="BV311" s="1551"/>
      <c r="BW311" s="1551"/>
      <c r="BX311" s="1551"/>
      <c r="BY311" s="1266"/>
      <c r="BZ311" s="1266"/>
    </row>
    <row r="312" spans="2:78" ht="12.75" customHeight="1">
      <c r="B312" s="1281"/>
      <c r="C312" s="1266"/>
      <c r="D312" s="1266"/>
      <c r="E312" s="1266"/>
      <c r="F312" s="1356"/>
      <c r="G312" s="1286"/>
      <c r="H312" s="1286"/>
      <c r="I312" s="1286"/>
      <c r="J312" s="1286"/>
      <c r="K312" s="1266"/>
      <c r="L312" s="1266"/>
      <c r="M312" s="1266"/>
      <c r="N312" s="1266"/>
      <c r="O312" s="1266"/>
      <c r="P312" s="1266"/>
      <c r="Q312" s="1266"/>
      <c r="R312" s="1266"/>
      <c r="S312" s="1266"/>
      <c r="T312" s="1266"/>
      <c r="U312" s="1266"/>
      <c r="V312" s="1266"/>
      <c r="W312" s="1266"/>
      <c r="X312" s="1266"/>
      <c r="Y312" s="1266"/>
      <c r="Z312" s="1266"/>
      <c r="AA312" s="1266"/>
      <c r="AB312" s="1266"/>
      <c r="AC312" s="1266"/>
      <c r="AD312" s="1266"/>
      <c r="AE312" s="1266"/>
      <c r="AF312" s="1266"/>
      <c r="AG312" s="1266"/>
      <c r="AH312" s="1266"/>
      <c r="AI312" s="1266"/>
      <c r="AJ312" s="1266"/>
      <c r="AK312" s="1266"/>
      <c r="AL312" s="1266"/>
      <c r="AM312" s="1266"/>
      <c r="AN312" s="1266"/>
      <c r="AO312" s="1266"/>
      <c r="AP312" s="1266"/>
      <c r="AQ312" s="1266"/>
      <c r="AR312" s="1266"/>
      <c r="AS312" s="1266"/>
      <c r="AT312" s="1266"/>
      <c r="AU312" s="1266"/>
      <c r="AV312" s="1266"/>
      <c r="AW312" s="1266"/>
      <c r="AX312" s="1266"/>
      <c r="AY312" s="1266"/>
      <c r="AZ312" s="1266"/>
      <c r="BA312" s="1266"/>
      <c r="BB312" s="1266"/>
      <c r="BC312" s="1266"/>
      <c r="BD312" s="1266"/>
      <c r="BR312" s="1266"/>
      <c r="BS312" s="1266"/>
      <c r="BT312" s="1266"/>
      <c r="BU312" s="1186"/>
      <c r="BV312" s="1551"/>
      <c r="BW312" s="1551"/>
      <c r="BX312" s="1551"/>
      <c r="BY312" s="1266"/>
      <c r="BZ312" s="1266"/>
    </row>
    <row r="313" spans="2:78" ht="12.75" customHeight="1">
      <c r="B313" s="1281"/>
      <c r="C313" s="1266"/>
      <c r="D313" s="1266"/>
      <c r="E313" s="1266"/>
      <c r="F313" s="1356"/>
      <c r="G313" s="1286"/>
      <c r="H313" s="1286"/>
      <c r="I313" s="1286"/>
      <c r="J313" s="1286"/>
      <c r="K313" s="1266"/>
      <c r="L313" s="1266"/>
      <c r="M313" s="1266"/>
      <c r="N313" s="1266"/>
      <c r="O313" s="1266"/>
      <c r="P313" s="1266"/>
      <c r="Q313" s="1266"/>
      <c r="R313" s="1266"/>
      <c r="S313" s="1266"/>
      <c r="T313" s="1266"/>
      <c r="U313" s="1266"/>
      <c r="V313" s="1266"/>
      <c r="W313" s="1266"/>
      <c r="X313" s="1266"/>
      <c r="Y313" s="1266"/>
      <c r="Z313" s="1266"/>
      <c r="AA313" s="1266"/>
      <c r="AB313" s="1266"/>
      <c r="AC313" s="1266"/>
      <c r="AD313" s="1266"/>
      <c r="AE313" s="1266"/>
      <c r="AF313" s="1266"/>
      <c r="AG313" s="1266"/>
      <c r="AH313" s="1266"/>
      <c r="AI313" s="1266"/>
      <c r="AJ313" s="1266"/>
      <c r="AK313" s="1266"/>
      <c r="AL313" s="1266"/>
      <c r="AM313" s="1266"/>
      <c r="AN313" s="1266"/>
      <c r="AO313" s="1266"/>
      <c r="AP313" s="1266"/>
      <c r="AQ313" s="1266"/>
      <c r="AR313" s="1266"/>
      <c r="AS313" s="1266"/>
      <c r="AT313" s="1266"/>
      <c r="AU313" s="1266"/>
      <c r="AV313" s="1266"/>
      <c r="AW313" s="1266"/>
      <c r="AX313" s="1266"/>
      <c r="AY313" s="1266"/>
      <c r="AZ313" s="1266"/>
      <c r="BA313" s="1266"/>
      <c r="BB313" s="1266"/>
      <c r="BC313" s="1266"/>
      <c r="BD313" s="1266"/>
      <c r="BR313" s="1266"/>
      <c r="BS313" s="1266"/>
      <c r="BT313" s="1266"/>
      <c r="BU313" s="1186"/>
      <c r="BV313" s="1551"/>
      <c r="BW313" s="1551"/>
      <c r="BX313" s="1551"/>
      <c r="BY313" s="1266"/>
      <c r="BZ313" s="1266"/>
    </row>
    <row r="314" spans="2:78" ht="12.75" customHeight="1">
      <c r="B314" s="1281"/>
      <c r="C314" s="1266"/>
      <c r="D314" s="1266"/>
      <c r="E314" s="1266"/>
      <c r="F314" s="1356"/>
      <c r="G314" s="1286"/>
      <c r="H314" s="1286"/>
      <c r="I314" s="1286"/>
      <c r="J314" s="1286"/>
      <c r="K314" s="1266"/>
      <c r="L314" s="1266"/>
      <c r="M314" s="1266"/>
      <c r="N314" s="1266"/>
      <c r="O314" s="1266"/>
      <c r="P314" s="1266"/>
      <c r="Q314" s="1266"/>
      <c r="R314" s="1266"/>
      <c r="S314" s="1266"/>
      <c r="T314" s="1266"/>
      <c r="U314" s="1266"/>
      <c r="V314" s="1266"/>
      <c r="W314" s="1266"/>
      <c r="X314" s="1266"/>
      <c r="Y314" s="1266"/>
      <c r="Z314" s="1266"/>
      <c r="AA314" s="1266"/>
      <c r="AB314" s="1266"/>
      <c r="AC314" s="1266"/>
      <c r="AD314" s="1266"/>
      <c r="AE314" s="1266"/>
      <c r="AF314" s="1266"/>
      <c r="AG314" s="1266"/>
      <c r="AH314" s="1266"/>
      <c r="AI314" s="1266"/>
      <c r="AJ314" s="1266"/>
      <c r="AK314" s="1266"/>
      <c r="AL314" s="1266"/>
      <c r="AM314" s="1266"/>
      <c r="AN314" s="1266"/>
      <c r="AO314" s="1266"/>
      <c r="AP314" s="1266"/>
      <c r="AQ314" s="1266"/>
      <c r="AR314" s="1266"/>
      <c r="AS314" s="1266"/>
      <c r="AT314" s="1266"/>
      <c r="AU314" s="1266"/>
      <c r="AV314" s="1266"/>
      <c r="AW314" s="1266"/>
      <c r="AX314" s="1266"/>
      <c r="AY314" s="1266"/>
      <c r="AZ314" s="1266"/>
      <c r="BA314" s="1266"/>
      <c r="BB314" s="1266"/>
      <c r="BC314" s="1266"/>
      <c r="BD314" s="1266"/>
      <c r="BR314" s="1266"/>
      <c r="BS314" s="1266"/>
      <c r="BT314" s="1266"/>
      <c r="BU314" s="1186"/>
      <c r="BV314" s="1551"/>
      <c r="BW314" s="1551"/>
      <c r="BX314" s="1551"/>
      <c r="BY314" s="1266"/>
      <c r="BZ314" s="1266"/>
    </row>
    <row r="315" spans="2:78" ht="12.75" customHeight="1">
      <c r="B315" s="1281"/>
      <c r="C315" s="1266"/>
      <c r="D315" s="1266"/>
      <c r="E315" s="1266"/>
      <c r="F315" s="1356"/>
      <c r="G315" s="1286"/>
      <c r="H315" s="1286"/>
      <c r="I315" s="1286"/>
      <c r="J315" s="1286"/>
      <c r="K315" s="1266"/>
      <c r="L315" s="1266"/>
      <c r="M315" s="1266"/>
      <c r="N315" s="1266"/>
      <c r="O315" s="1266"/>
      <c r="P315" s="1266"/>
      <c r="Q315" s="1266"/>
      <c r="R315" s="1266"/>
      <c r="S315" s="1266"/>
      <c r="T315" s="1266"/>
      <c r="U315" s="1266"/>
      <c r="V315" s="1266"/>
      <c r="W315" s="1266"/>
      <c r="X315" s="1266"/>
      <c r="Y315" s="1266"/>
      <c r="Z315" s="1266"/>
      <c r="AA315" s="1266"/>
      <c r="AB315" s="1266"/>
      <c r="AC315" s="1266"/>
      <c r="AD315" s="1266"/>
      <c r="AE315" s="1266"/>
      <c r="AF315" s="1266"/>
      <c r="AG315" s="1266"/>
      <c r="AH315" s="1266"/>
      <c r="AI315" s="1266"/>
      <c r="AJ315" s="1266"/>
      <c r="AK315" s="1266"/>
      <c r="AL315" s="1266"/>
      <c r="AM315" s="1266"/>
      <c r="AN315" s="1266"/>
      <c r="AO315" s="1266"/>
      <c r="AP315" s="1266"/>
      <c r="AQ315" s="1266"/>
      <c r="AR315" s="1266"/>
      <c r="AS315" s="1266"/>
      <c r="AT315" s="1266"/>
      <c r="AU315" s="1266"/>
      <c r="AV315" s="1266"/>
      <c r="AW315" s="1266"/>
      <c r="AX315" s="1266"/>
      <c r="AY315" s="1266"/>
      <c r="AZ315" s="1266"/>
      <c r="BA315" s="1266"/>
      <c r="BB315" s="1266"/>
      <c r="BC315" s="1266"/>
      <c r="BD315" s="1266"/>
      <c r="BR315" s="1266"/>
      <c r="BS315" s="1266"/>
      <c r="BT315" s="1266"/>
      <c r="BU315" s="1186"/>
      <c r="BV315" s="1551"/>
      <c r="BW315" s="1551"/>
      <c r="BX315" s="1551"/>
      <c r="BY315" s="1266"/>
      <c r="BZ315" s="1266"/>
    </row>
    <row r="316" spans="2:78" ht="12.75" customHeight="1">
      <c r="B316" s="1281"/>
      <c r="C316" s="1266"/>
      <c r="D316" s="1266"/>
      <c r="E316" s="1266"/>
      <c r="F316" s="1356"/>
      <c r="G316" s="1286"/>
      <c r="H316" s="1286"/>
      <c r="I316" s="1286"/>
      <c r="J316" s="1286"/>
      <c r="K316" s="1266"/>
      <c r="L316" s="1266"/>
      <c r="M316" s="1266"/>
      <c r="N316" s="1266"/>
      <c r="O316" s="1266"/>
      <c r="P316" s="1266"/>
      <c r="Q316" s="1266"/>
      <c r="R316" s="1266"/>
      <c r="S316" s="1266"/>
      <c r="T316" s="1266"/>
      <c r="U316" s="1266"/>
      <c r="V316" s="1266"/>
      <c r="W316" s="1266"/>
      <c r="X316" s="1266"/>
      <c r="Y316" s="1266"/>
      <c r="Z316" s="1266"/>
      <c r="AA316" s="1266"/>
      <c r="AB316" s="1266"/>
      <c r="AC316" s="1266"/>
      <c r="AD316" s="1266"/>
      <c r="AE316" s="1266"/>
      <c r="AF316" s="1266"/>
      <c r="AG316" s="1266"/>
      <c r="AH316" s="1266"/>
      <c r="AI316" s="1266"/>
      <c r="AJ316" s="1266"/>
      <c r="AK316" s="1266"/>
      <c r="AL316" s="1266"/>
      <c r="AM316" s="1266"/>
      <c r="AN316" s="1266"/>
      <c r="AO316" s="1266"/>
      <c r="AP316" s="1266"/>
      <c r="AQ316" s="1266"/>
      <c r="AR316" s="1266"/>
      <c r="AS316" s="1266"/>
      <c r="AT316" s="1266"/>
      <c r="AU316" s="1266"/>
      <c r="AV316" s="1266"/>
      <c r="AW316" s="1266"/>
      <c r="AX316" s="1266"/>
      <c r="AY316" s="1266"/>
      <c r="AZ316" s="1266"/>
      <c r="BA316" s="1266"/>
      <c r="BB316" s="1266"/>
      <c r="BC316" s="1266"/>
      <c r="BD316" s="1266"/>
      <c r="BR316" s="1266"/>
      <c r="BS316" s="1266"/>
      <c r="BT316" s="1266"/>
      <c r="BU316" s="1186"/>
      <c r="BV316" s="1551"/>
      <c r="BW316" s="1551"/>
      <c r="BX316" s="1551"/>
      <c r="BY316" s="1266"/>
      <c r="BZ316" s="1266"/>
    </row>
    <row r="317" spans="2:78" ht="12.75" customHeight="1">
      <c r="B317" s="1281"/>
      <c r="C317" s="1266"/>
      <c r="D317" s="1266"/>
      <c r="E317" s="1266"/>
      <c r="F317" s="1356"/>
      <c r="G317" s="1286"/>
      <c r="H317" s="1286"/>
      <c r="I317" s="1286"/>
      <c r="J317" s="1286"/>
      <c r="K317" s="1266"/>
      <c r="L317" s="1266"/>
      <c r="M317" s="1266"/>
      <c r="N317" s="1266"/>
      <c r="O317" s="1266"/>
      <c r="P317" s="1266"/>
      <c r="Q317" s="1266"/>
      <c r="R317" s="1266"/>
      <c r="S317" s="1266"/>
      <c r="T317" s="1266"/>
      <c r="U317" s="1266"/>
      <c r="V317" s="1266"/>
      <c r="W317" s="1266"/>
      <c r="X317" s="1266"/>
      <c r="Y317" s="1266"/>
      <c r="Z317" s="1266"/>
      <c r="AA317" s="1266"/>
      <c r="AB317" s="1266"/>
      <c r="AC317" s="1266"/>
      <c r="AD317" s="1266"/>
      <c r="AE317" s="1266"/>
      <c r="AF317" s="1266"/>
      <c r="AG317" s="1266"/>
      <c r="AH317" s="1266"/>
      <c r="AI317" s="1266"/>
      <c r="AJ317" s="1266"/>
      <c r="AK317" s="1266"/>
      <c r="AL317" s="1266"/>
      <c r="AM317" s="1266"/>
      <c r="AN317" s="1266"/>
      <c r="AO317" s="1266"/>
      <c r="AP317" s="1266"/>
      <c r="AQ317" s="1266"/>
      <c r="AR317" s="1266"/>
      <c r="AS317" s="1266"/>
      <c r="AT317" s="1266"/>
      <c r="AU317" s="1266"/>
      <c r="AV317" s="1266"/>
      <c r="AW317" s="1266"/>
      <c r="AX317" s="1266"/>
      <c r="AY317" s="1266"/>
      <c r="AZ317" s="1266"/>
      <c r="BA317" s="1266"/>
      <c r="BB317" s="1266"/>
      <c r="BC317" s="1266"/>
      <c r="BD317" s="1266"/>
      <c r="BR317" s="1266"/>
      <c r="BS317" s="1266"/>
      <c r="BT317" s="1266"/>
      <c r="BU317" s="1186"/>
      <c r="BV317" s="1551"/>
      <c r="BW317" s="1551"/>
      <c r="BX317" s="1551"/>
      <c r="BY317" s="1266"/>
      <c r="BZ317" s="1266"/>
    </row>
    <row r="318" spans="2:78" ht="12.75" customHeight="1">
      <c r="B318" s="1281"/>
      <c r="C318" s="1266"/>
      <c r="D318" s="1266"/>
      <c r="E318" s="1266"/>
      <c r="F318" s="1356"/>
      <c r="G318" s="1286"/>
      <c r="H318" s="1286"/>
      <c r="I318" s="1286"/>
      <c r="J318" s="1286"/>
      <c r="K318" s="1266"/>
      <c r="L318" s="1266"/>
      <c r="M318" s="1266"/>
      <c r="N318" s="1266"/>
      <c r="O318" s="1266"/>
      <c r="P318" s="1266"/>
      <c r="Q318" s="1266"/>
      <c r="R318" s="1266"/>
      <c r="S318" s="1266"/>
      <c r="T318" s="1266"/>
      <c r="U318" s="1266"/>
      <c r="V318" s="1266"/>
      <c r="W318" s="1266"/>
      <c r="X318" s="1266"/>
      <c r="Y318" s="1266"/>
      <c r="Z318" s="1266"/>
      <c r="AA318" s="1266"/>
      <c r="AB318" s="1266"/>
      <c r="AC318" s="1266"/>
      <c r="AD318" s="1266"/>
      <c r="AE318" s="1266"/>
      <c r="AF318" s="1266"/>
      <c r="AG318" s="1266"/>
      <c r="AH318" s="1266"/>
      <c r="AI318" s="1266"/>
      <c r="AJ318" s="1266"/>
      <c r="AK318" s="1266"/>
      <c r="AL318" s="1266"/>
      <c r="AM318" s="1266"/>
      <c r="AN318" s="1266"/>
      <c r="AO318" s="1266"/>
      <c r="AP318" s="1266"/>
      <c r="AQ318" s="1266"/>
      <c r="AR318" s="1266"/>
      <c r="AS318" s="1266"/>
      <c r="AT318" s="1266"/>
      <c r="AU318" s="1266"/>
      <c r="AV318" s="1266"/>
      <c r="AW318" s="1266"/>
      <c r="AX318" s="1266"/>
      <c r="AY318" s="1266"/>
      <c r="AZ318" s="1266"/>
      <c r="BA318" s="1266"/>
      <c r="BB318" s="1266"/>
      <c r="BC318" s="1266"/>
      <c r="BD318" s="1266"/>
      <c r="BR318" s="1266"/>
      <c r="BS318" s="1266"/>
      <c r="BT318" s="1266"/>
      <c r="BU318" s="1186"/>
      <c r="BV318" s="1551"/>
      <c r="BW318" s="1551"/>
      <c r="BX318" s="1551"/>
      <c r="BY318" s="1266"/>
      <c r="BZ318" s="1266"/>
    </row>
    <row r="319" spans="2:78" ht="12.75" customHeight="1">
      <c r="B319" s="1281"/>
      <c r="C319" s="1266"/>
      <c r="D319" s="1266"/>
      <c r="E319" s="1266"/>
      <c r="F319" s="1356"/>
      <c r="G319" s="1286"/>
      <c r="H319" s="1286"/>
      <c r="I319" s="1286"/>
      <c r="J319" s="1286"/>
      <c r="K319" s="1266"/>
      <c r="L319" s="1266"/>
      <c r="M319" s="1266"/>
      <c r="N319" s="1266"/>
      <c r="O319" s="1266"/>
      <c r="P319" s="1266"/>
      <c r="Q319" s="1266"/>
      <c r="R319" s="1266"/>
      <c r="S319" s="1266"/>
      <c r="T319" s="1266"/>
      <c r="U319" s="1266"/>
      <c r="V319" s="1266"/>
      <c r="W319" s="1266"/>
      <c r="X319" s="1266"/>
      <c r="Y319" s="1266"/>
      <c r="Z319" s="1266"/>
      <c r="AA319" s="1266"/>
      <c r="AB319" s="1266"/>
      <c r="AC319" s="1266"/>
      <c r="AD319" s="1266"/>
      <c r="AE319" s="1266"/>
      <c r="AF319" s="1266"/>
      <c r="AG319" s="1266"/>
      <c r="AH319" s="1266"/>
      <c r="AI319" s="1266"/>
      <c r="AJ319" s="1266"/>
      <c r="AK319" s="1266"/>
      <c r="AL319" s="1266"/>
      <c r="AM319" s="1266"/>
      <c r="AN319" s="1266"/>
      <c r="AO319" s="1266"/>
      <c r="AP319" s="1266"/>
      <c r="AQ319" s="1266"/>
      <c r="AR319" s="1266"/>
      <c r="AS319" s="1266"/>
      <c r="AT319" s="1266"/>
      <c r="AU319" s="1266"/>
      <c r="AV319" s="1266"/>
      <c r="AW319" s="1266"/>
      <c r="AX319" s="1266"/>
      <c r="AY319" s="1266"/>
      <c r="AZ319" s="1266"/>
      <c r="BA319" s="1266"/>
      <c r="BB319" s="1266"/>
      <c r="BC319" s="1266"/>
      <c r="BD319" s="1266"/>
      <c r="BR319" s="1266"/>
      <c r="BS319" s="1266"/>
      <c r="BT319" s="1266"/>
      <c r="BU319" s="1186"/>
      <c r="BV319" s="1551"/>
      <c r="BW319" s="1551"/>
      <c r="BX319" s="1551"/>
      <c r="BY319" s="1266"/>
      <c r="BZ319" s="1266"/>
    </row>
    <row r="320" spans="2:78" ht="12.75" customHeight="1">
      <c r="B320" s="1281"/>
      <c r="C320" s="1266"/>
      <c r="D320" s="1266"/>
      <c r="E320" s="1266"/>
      <c r="F320" s="1356"/>
      <c r="G320" s="1286"/>
      <c r="H320" s="1286"/>
      <c r="I320" s="1286"/>
      <c r="J320" s="1286"/>
      <c r="K320" s="1266"/>
      <c r="L320" s="1266"/>
      <c r="M320" s="1266"/>
      <c r="N320" s="1266"/>
      <c r="O320" s="1266"/>
      <c r="P320" s="1266"/>
      <c r="Q320" s="1266"/>
      <c r="R320" s="1266"/>
      <c r="S320" s="1266"/>
      <c r="T320" s="1266"/>
      <c r="U320" s="1266"/>
      <c r="V320" s="1266"/>
      <c r="W320" s="1266"/>
      <c r="X320" s="1266"/>
      <c r="Y320" s="1266"/>
      <c r="Z320" s="1266"/>
      <c r="AA320" s="1266"/>
      <c r="AB320" s="1266"/>
      <c r="AC320" s="1266"/>
      <c r="AD320" s="1266"/>
      <c r="AE320" s="1266"/>
      <c r="AF320" s="1266"/>
      <c r="AG320" s="1266"/>
      <c r="AH320" s="1266"/>
      <c r="AI320" s="1266"/>
      <c r="AJ320" s="1266"/>
      <c r="AK320" s="1266"/>
      <c r="AL320" s="1266"/>
      <c r="AM320" s="1266"/>
      <c r="AN320" s="1266"/>
      <c r="AO320" s="1266"/>
      <c r="AP320" s="1266"/>
      <c r="AQ320" s="1266"/>
      <c r="AR320" s="1266"/>
      <c r="AS320" s="1266"/>
      <c r="AT320" s="1266"/>
      <c r="AU320" s="1266"/>
      <c r="AV320" s="1266"/>
      <c r="AW320" s="1266"/>
      <c r="AX320" s="1266"/>
      <c r="AY320" s="1266"/>
      <c r="AZ320" s="1266"/>
      <c r="BA320" s="1266"/>
      <c r="BB320" s="1266"/>
      <c r="BC320" s="1266"/>
      <c r="BD320" s="1266"/>
      <c r="BR320" s="1266"/>
      <c r="BS320" s="1266"/>
      <c r="BT320" s="1266"/>
      <c r="BU320" s="1186"/>
      <c r="BV320" s="1551"/>
      <c r="BW320" s="1551"/>
      <c r="BX320" s="1551"/>
      <c r="BY320" s="1266"/>
      <c r="BZ320" s="1266"/>
    </row>
    <row r="321" spans="2:78" ht="12.75" customHeight="1">
      <c r="B321" s="1281"/>
      <c r="C321" s="1266"/>
      <c r="D321" s="1266"/>
      <c r="E321" s="1266"/>
      <c r="F321" s="1356"/>
      <c r="G321" s="1286"/>
      <c r="H321" s="1286"/>
      <c r="I321" s="1286"/>
      <c r="J321" s="1286"/>
      <c r="K321" s="1266"/>
      <c r="L321" s="1266"/>
      <c r="M321" s="1266"/>
      <c r="N321" s="1266"/>
      <c r="O321" s="1266"/>
      <c r="P321" s="1266"/>
      <c r="Q321" s="1266"/>
      <c r="R321" s="1266"/>
      <c r="S321" s="1266"/>
      <c r="T321" s="1266"/>
      <c r="U321" s="1266"/>
      <c r="V321" s="1266"/>
      <c r="W321" s="1266"/>
      <c r="X321" s="1266"/>
      <c r="Y321" s="1266"/>
      <c r="Z321" s="1266"/>
      <c r="AA321" s="1266"/>
      <c r="AB321" s="1266"/>
      <c r="AC321" s="1266"/>
      <c r="AD321" s="1266"/>
      <c r="AE321" s="1266"/>
      <c r="AF321" s="1266"/>
      <c r="AG321" s="1266"/>
      <c r="AH321" s="1266"/>
      <c r="AI321" s="1266"/>
      <c r="AJ321" s="1266"/>
      <c r="AK321" s="1266"/>
      <c r="AL321" s="1266"/>
      <c r="AM321" s="1266"/>
      <c r="AN321" s="1266"/>
      <c r="AO321" s="1266"/>
      <c r="AP321" s="1266"/>
      <c r="AQ321" s="1266"/>
      <c r="AR321" s="1266"/>
      <c r="AS321" s="1266"/>
      <c r="AT321" s="1266"/>
      <c r="AU321" s="1266"/>
      <c r="AV321" s="1266"/>
      <c r="AW321" s="1266"/>
      <c r="AX321" s="1266"/>
      <c r="AY321" s="1266"/>
      <c r="AZ321" s="1266"/>
      <c r="BA321" s="1266"/>
      <c r="BB321" s="1266"/>
      <c r="BC321" s="1266"/>
      <c r="BD321" s="1266"/>
      <c r="BR321" s="1266"/>
      <c r="BS321" s="1266"/>
      <c r="BT321" s="1266"/>
      <c r="BU321" s="1186"/>
      <c r="BV321" s="1551"/>
      <c r="BW321" s="1551"/>
      <c r="BX321" s="1551"/>
      <c r="BY321" s="1266"/>
      <c r="BZ321" s="1266"/>
    </row>
    <row r="322" spans="2:78" ht="12.75" customHeight="1">
      <c r="B322" s="1281"/>
      <c r="C322" s="1266"/>
      <c r="D322" s="1266"/>
      <c r="E322" s="1266"/>
      <c r="F322" s="1356"/>
      <c r="G322" s="1286"/>
      <c r="H322" s="1286"/>
      <c r="I322" s="1286"/>
      <c r="J322" s="1286"/>
      <c r="K322" s="1266"/>
      <c r="L322" s="1266"/>
      <c r="M322" s="1266"/>
      <c r="N322" s="1266"/>
      <c r="O322" s="1266"/>
      <c r="P322" s="1266"/>
      <c r="Q322" s="1266"/>
      <c r="R322" s="1266"/>
      <c r="S322" s="1266"/>
      <c r="T322" s="1266"/>
      <c r="U322" s="1266"/>
      <c r="V322" s="1266"/>
      <c r="W322" s="1266"/>
      <c r="X322" s="1266"/>
      <c r="Y322" s="1266"/>
      <c r="Z322" s="1266"/>
      <c r="AA322" s="1266"/>
      <c r="AB322" s="1266"/>
      <c r="AC322" s="1266"/>
      <c r="AD322" s="1266"/>
      <c r="AE322" s="1266"/>
      <c r="AF322" s="1266"/>
      <c r="AG322" s="1266"/>
      <c r="AH322" s="1266"/>
      <c r="AI322" s="1266"/>
      <c r="AJ322" s="1266"/>
      <c r="AK322" s="1266"/>
      <c r="AL322" s="1266"/>
      <c r="AM322" s="1266"/>
      <c r="AN322" s="1266"/>
      <c r="AO322" s="1266"/>
      <c r="AP322" s="1266"/>
      <c r="AQ322" s="1266"/>
      <c r="AR322" s="1266"/>
      <c r="AS322" s="1266"/>
      <c r="AT322" s="1266"/>
      <c r="AU322" s="1266"/>
      <c r="AV322" s="1266"/>
      <c r="AW322" s="1266"/>
      <c r="AX322" s="1266"/>
      <c r="AY322" s="1266"/>
      <c r="AZ322" s="1266"/>
      <c r="BA322" s="1266"/>
      <c r="BB322" s="1266"/>
      <c r="BC322" s="1266"/>
      <c r="BD322" s="1266"/>
      <c r="BR322" s="1266"/>
      <c r="BS322" s="1266"/>
      <c r="BT322" s="1266"/>
      <c r="BU322" s="1186"/>
      <c r="BV322" s="1551"/>
      <c r="BW322" s="1551"/>
      <c r="BX322" s="1551"/>
      <c r="BY322" s="1266"/>
      <c r="BZ322" s="1266"/>
    </row>
    <row r="323" spans="2:78" ht="12.75" customHeight="1">
      <c r="B323" s="1281"/>
      <c r="C323" s="1266"/>
      <c r="D323" s="1266"/>
      <c r="E323" s="1266"/>
      <c r="F323" s="1356"/>
      <c r="G323" s="1286"/>
      <c r="H323" s="1286"/>
      <c r="I323" s="1286"/>
      <c r="J323" s="1286"/>
      <c r="K323" s="1266"/>
      <c r="L323" s="1266"/>
      <c r="M323" s="1266"/>
      <c r="N323" s="1266"/>
      <c r="O323" s="1266"/>
      <c r="P323" s="1266"/>
      <c r="Q323" s="1266"/>
      <c r="R323" s="1266"/>
      <c r="S323" s="1266"/>
      <c r="T323" s="1266"/>
      <c r="U323" s="1266"/>
      <c r="V323" s="1266"/>
      <c r="W323" s="1266"/>
      <c r="X323" s="1266"/>
      <c r="Y323" s="1266"/>
      <c r="Z323" s="1266"/>
      <c r="AA323" s="1266"/>
      <c r="AB323" s="1266"/>
      <c r="AC323" s="1266"/>
      <c r="AD323" s="1266"/>
      <c r="AE323" s="1266"/>
      <c r="AF323" s="1266"/>
      <c r="AG323" s="1266"/>
      <c r="AH323" s="1266"/>
      <c r="AI323" s="1266"/>
      <c r="AJ323" s="1266"/>
      <c r="AK323" s="1266"/>
      <c r="AL323" s="1266"/>
      <c r="AM323" s="1266"/>
      <c r="AN323" s="1266"/>
      <c r="AO323" s="1266"/>
      <c r="AP323" s="1266"/>
      <c r="AQ323" s="1266"/>
      <c r="AR323" s="1266"/>
      <c r="AS323" s="1266"/>
      <c r="AT323" s="1266"/>
      <c r="AU323" s="1266"/>
      <c r="AV323" s="1266"/>
      <c r="AW323" s="1266"/>
      <c r="AX323" s="1266"/>
      <c r="AY323" s="1266"/>
      <c r="AZ323" s="1266"/>
      <c r="BA323" s="1266"/>
      <c r="BB323" s="1266"/>
      <c r="BC323" s="1266"/>
      <c r="BD323" s="1266"/>
      <c r="BR323" s="1266"/>
      <c r="BS323" s="1266"/>
      <c r="BT323" s="1266"/>
      <c r="BU323" s="1186"/>
      <c r="BV323" s="1551"/>
      <c r="BW323" s="1551"/>
      <c r="BX323" s="1551"/>
      <c r="BY323" s="1266"/>
      <c r="BZ323" s="1266"/>
    </row>
    <row r="324" spans="2:78" ht="12.75" customHeight="1">
      <c r="B324" s="1281"/>
      <c r="C324" s="1266"/>
      <c r="D324" s="1266"/>
      <c r="E324" s="1266"/>
      <c r="F324" s="1356"/>
      <c r="G324" s="1286"/>
      <c r="H324" s="1286"/>
      <c r="I324" s="1286"/>
      <c r="J324" s="1286"/>
      <c r="K324" s="1266"/>
      <c r="L324" s="1266"/>
      <c r="M324" s="1266"/>
      <c r="N324" s="1266"/>
      <c r="O324" s="1266"/>
      <c r="P324" s="1266"/>
      <c r="Q324" s="1266"/>
      <c r="R324" s="1266"/>
      <c r="S324" s="1266"/>
      <c r="T324" s="1266"/>
      <c r="U324" s="1266"/>
      <c r="V324" s="1266"/>
      <c r="W324" s="1266"/>
      <c r="X324" s="1266"/>
      <c r="Y324" s="1266"/>
      <c r="Z324" s="1266"/>
      <c r="AA324" s="1266"/>
      <c r="AB324" s="1266"/>
      <c r="AC324" s="1266"/>
      <c r="AD324" s="1266"/>
      <c r="AE324" s="1266"/>
      <c r="AF324" s="1266"/>
      <c r="AG324" s="1266"/>
      <c r="AH324" s="1266"/>
      <c r="AI324" s="1266"/>
      <c r="AJ324" s="1266"/>
      <c r="AK324" s="1266"/>
      <c r="AL324" s="1266"/>
      <c r="AM324" s="1266"/>
      <c r="AN324" s="1266"/>
      <c r="AO324" s="1266"/>
      <c r="AP324" s="1266"/>
      <c r="AQ324" s="1266"/>
      <c r="AR324" s="1266"/>
      <c r="AS324" s="1266"/>
      <c r="AT324" s="1266"/>
      <c r="AU324" s="1266"/>
      <c r="AV324" s="1266"/>
      <c r="AW324" s="1266"/>
      <c r="AX324" s="1266"/>
      <c r="AY324" s="1266"/>
      <c r="AZ324" s="1266"/>
      <c r="BA324" s="1266"/>
      <c r="BB324" s="1266"/>
      <c r="BC324" s="1266"/>
      <c r="BD324" s="1266"/>
      <c r="BR324" s="1266"/>
      <c r="BS324" s="1266"/>
      <c r="BT324" s="1266"/>
      <c r="BU324" s="1186"/>
      <c r="BV324" s="1551"/>
      <c r="BW324" s="1551"/>
      <c r="BX324" s="1551"/>
      <c r="BY324" s="1266"/>
      <c r="BZ324" s="1266"/>
    </row>
    <row r="325" spans="2:78" ht="12.75" customHeight="1">
      <c r="B325" s="1281"/>
      <c r="C325" s="1266"/>
      <c r="D325" s="1266"/>
      <c r="E325" s="1266"/>
      <c r="F325" s="1356"/>
      <c r="G325" s="1286"/>
      <c r="H325" s="1286"/>
      <c r="I325" s="1286"/>
      <c r="J325" s="1286"/>
      <c r="K325" s="1266"/>
      <c r="L325" s="1266"/>
      <c r="M325" s="1266"/>
      <c r="N325" s="1266"/>
      <c r="O325" s="1266"/>
      <c r="P325" s="1266"/>
      <c r="Q325" s="1266"/>
      <c r="R325" s="1266"/>
      <c r="S325" s="1266"/>
      <c r="T325" s="1266"/>
      <c r="U325" s="1266"/>
      <c r="V325" s="1266"/>
      <c r="W325" s="1266"/>
      <c r="X325" s="1266"/>
      <c r="Y325" s="1266"/>
      <c r="Z325" s="1266"/>
      <c r="AA325" s="1266"/>
      <c r="AB325" s="1266"/>
      <c r="AC325" s="1266"/>
      <c r="AD325" s="1266"/>
      <c r="AE325" s="1266"/>
      <c r="AF325" s="1266"/>
      <c r="AG325" s="1266"/>
      <c r="AH325" s="1266"/>
      <c r="AI325" s="1266"/>
      <c r="AJ325" s="1266"/>
      <c r="AK325" s="1266"/>
      <c r="AL325" s="1266"/>
      <c r="AM325" s="1266"/>
      <c r="AN325" s="1266"/>
      <c r="AO325" s="1266"/>
      <c r="AP325" s="1266"/>
      <c r="AQ325" s="1266"/>
      <c r="AR325" s="1266"/>
      <c r="AS325" s="1266"/>
      <c r="AT325" s="1266"/>
      <c r="AU325" s="1266"/>
      <c r="AV325" s="1266"/>
      <c r="AW325" s="1266"/>
      <c r="AX325" s="1266"/>
      <c r="AY325" s="1266"/>
      <c r="AZ325" s="1266"/>
      <c r="BA325" s="1266"/>
      <c r="BB325" s="1266"/>
      <c r="BC325" s="1266"/>
      <c r="BD325" s="1266"/>
      <c r="BR325" s="1266"/>
      <c r="BS325" s="1266"/>
      <c r="BT325" s="1266"/>
      <c r="BU325" s="1186"/>
      <c r="BV325" s="1551"/>
      <c r="BW325" s="1551"/>
      <c r="BX325" s="1551"/>
      <c r="BY325" s="1266"/>
      <c r="BZ325" s="1266"/>
    </row>
    <row r="326" spans="2:78" ht="12.75" customHeight="1">
      <c r="B326" s="1281"/>
      <c r="C326" s="1266"/>
      <c r="D326" s="1266"/>
      <c r="E326" s="1266"/>
      <c r="F326" s="1356"/>
      <c r="G326" s="1286"/>
      <c r="H326" s="1286"/>
      <c r="I326" s="1286"/>
      <c r="J326" s="1286"/>
      <c r="K326" s="1266"/>
      <c r="L326" s="1266"/>
      <c r="M326" s="1266"/>
      <c r="N326" s="1266"/>
      <c r="O326" s="1266"/>
      <c r="P326" s="1266"/>
      <c r="Q326" s="1266"/>
      <c r="R326" s="1266"/>
      <c r="S326" s="1266"/>
      <c r="T326" s="1266"/>
      <c r="U326" s="1266"/>
      <c r="V326" s="1266"/>
      <c r="W326" s="1266"/>
      <c r="X326" s="1266"/>
      <c r="Y326" s="1266"/>
      <c r="Z326" s="1266"/>
      <c r="AA326" s="1266"/>
      <c r="AB326" s="1266"/>
      <c r="AC326" s="1266"/>
      <c r="AD326" s="1266"/>
      <c r="AE326" s="1266"/>
      <c r="AF326" s="1266"/>
      <c r="AG326" s="1266"/>
      <c r="AH326" s="1266"/>
      <c r="AI326" s="1266"/>
      <c r="AJ326" s="1266"/>
      <c r="AK326" s="1266"/>
      <c r="AL326" s="1266"/>
      <c r="AM326" s="1266"/>
      <c r="AN326" s="1266"/>
      <c r="AO326" s="1266"/>
      <c r="AP326" s="1266"/>
      <c r="AQ326" s="1266"/>
      <c r="AR326" s="1266"/>
      <c r="AS326" s="1266"/>
      <c r="AT326" s="1266"/>
      <c r="AU326" s="1266"/>
      <c r="AV326" s="1266"/>
      <c r="AW326" s="1266"/>
      <c r="AX326" s="1266"/>
      <c r="AY326" s="1266"/>
      <c r="AZ326" s="1266"/>
      <c r="BA326" s="1266"/>
      <c r="BB326" s="1266"/>
      <c r="BC326" s="1266"/>
      <c r="BD326" s="1266"/>
      <c r="BR326" s="1266"/>
      <c r="BS326" s="1266"/>
      <c r="BT326" s="1266"/>
      <c r="BU326" s="1186"/>
      <c r="BV326" s="1551"/>
      <c r="BW326" s="1551"/>
      <c r="BX326" s="1551"/>
      <c r="BY326" s="1266"/>
      <c r="BZ326" s="1266"/>
    </row>
    <row r="327" spans="2:78" ht="12.75" customHeight="1">
      <c r="B327" s="1281"/>
      <c r="C327" s="1266"/>
      <c r="D327" s="1266"/>
      <c r="E327" s="1266"/>
      <c r="F327" s="1356"/>
      <c r="G327" s="1286"/>
      <c r="H327" s="1286"/>
      <c r="I327" s="1286"/>
      <c r="J327" s="1286"/>
      <c r="K327" s="1266"/>
      <c r="L327" s="1266"/>
      <c r="M327" s="1266"/>
      <c r="N327" s="1266"/>
      <c r="O327" s="1266"/>
      <c r="P327" s="1266"/>
      <c r="Q327" s="1266"/>
      <c r="R327" s="1266"/>
      <c r="S327" s="1266"/>
      <c r="T327" s="1266"/>
      <c r="U327" s="1266"/>
      <c r="V327" s="1266"/>
      <c r="W327" s="1266"/>
      <c r="X327" s="1266"/>
      <c r="Y327" s="1266"/>
      <c r="Z327" s="1266"/>
      <c r="AA327" s="1266"/>
      <c r="AB327" s="1266"/>
      <c r="AC327" s="1266"/>
      <c r="AD327" s="1266"/>
      <c r="AE327" s="1266"/>
      <c r="AF327" s="1266"/>
      <c r="AG327" s="1266"/>
      <c r="AH327" s="1266"/>
      <c r="AI327" s="1266"/>
      <c r="AJ327" s="1266"/>
      <c r="AK327" s="1266"/>
      <c r="AL327" s="1266"/>
      <c r="AM327" s="1266"/>
      <c r="AN327" s="1266"/>
      <c r="AO327" s="1266"/>
      <c r="AP327" s="1266"/>
      <c r="AQ327" s="1266"/>
      <c r="AR327" s="1266"/>
      <c r="AS327" s="1266"/>
      <c r="AT327" s="1266"/>
      <c r="AU327" s="1266"/>
      <c r="AV327" s="1266"/>
      <c r="AW327" s="1266"/>
      <c r="AX327" s="1266"/>
      <c r="AY327" s="1266"/>
      <c r="AZ327" s="1266"/>
      <c r="BA327" s="1266"/>
      <c r="BB327" s="1266"/>
      <c r="BC327" s="1266"/>
      <c r="BD327" s="1266"/>
      <c r="BR327" s="1266"/>
      <c r="BS327" s="1266"/>
      <c r="BT327" s="1266"/>
      <c r="BU327" s="1186"/>
      <c r="BV327" s="1551"/>
      <c r="BW327" s="1551"/>
      <c r="BX327" s="1551"/>
      <c r="BY327" s="1266"/>
      <c r="BZ327" s="1266"/>
    </row>
    <row r="328" spans="2:78" ht="12.75" customHeight="1">
      <c r="B328" s="1281"/>
      <c r="C328" s="1266"/>
      <c r="D328" s="1266"/>
      <c r="E328" s="1266"/>
      <c r="F328" s="1356"/>
      <c r="G328" s="1286"/>
      <c r="H328" s="1286"/>
      <c r="I328" s="1286"/>
      <c r="J328" s="1286"/>
      <c r="K328" s="1266"/>
      <c r="L328" s="1266"/>
      <c r="M328" s="1266"/>
      <c r="N328" s="1266"/>
      <c r="O328" s="1266"/>
      <c r="P328" s="1266"/>
      <c r="Q328" s="1266"/>
      <c r="R328" s="1266"/>
      <c r="S328" s="1266"/>
      <c r="T328" s="1266"/>
      <c r="U328" s="1266"/>
      <c r="V328" s="1266"/>
      <c r="W328" s="1266"/>
      <c r="X328" s="1266"/>
      <c r="Y328" s="1266"/>
      <c r="Z328" s="1266"/>
      <c r="AA328" s="1266"/>
      <c r="AB328" s="1266"/>
      <c r="AC328" s="1266"/>
      <c r="AD328" s="1266"/>
      <c r="AE328" s="1266"/>
      <c r="AF328" s="1266"/>
      <c r="AG328" s="1266"/>
      <c r="AH328" s="1266"/>
      <c r="AI328" s="1266"/>
      <c r="AJ328" s="1266"/>
      <c r="AK328" s="1266"/>
      <c r="AL328" s="1266"/>
      <c r="AM328" s="1266"/>
      <c r="AN328" s="1266"/>
      <c r="AO328" s="1266"/>
      <c r="AP328" s="1266"/>
      <c r="AQ328" s="1266"/>
      <c r="AR328" s="1266"/>
      <c r="AS328" s="1266"/>
      <c r="AT328" s="1266"/>
      <c r="AU328" s="1266"/>
      <c r="AV328" s="1266"/>
      <c r="AW328" s="1266"/>
      <c r="AX328" s="1266"/>
      <c r="AY328" s="1266"/>
      <c r="AZ328" s="1266"/>
      <c r="BA328" s="1266"/>
      <c r="BB328" s="1266"/>
      <c r="BC328" s="1266"/>
      <c r="BD328" s="1266"/>
      <c r="BR328" s="1266"/>
      <c r="BS328" s="1266"/>
      <c r="BT328" s="1266"/>
      <c r="BU328" s="1186"/>
      <c r="BV328" s="1551"/>
      <c r="BW328" s="1551"/>
      <c r="BX328" s="1551"/>
      <c r="BY328" s="1266"/>
      <c r="BZ328" s="1266"/>
    </row>
    <row r="329" spans="2:78" ht="12.75" customHeight="1">
      <c r="B329" s="1281"/>
      <c r="C329" s="1266"/>
      <c r="D329" s="1266"/>
      <c r="E329" s="1266"/>
      <c r="F329" s="1356"/>
      <c r="G329" s="1286"/>
      <c r="H329" s="1286"/>
      <c r="I329" s="1286"/>
      <c r="J329" s="1286"/>
      <c r="K329" s="1266"/>
      <c r="L329" s="1266"/>
      <c r="M329" s="1266"/>
      <c r="N329" s="1266"/>
      <c r="O329" s="1266"/>
      <c r="P329" s="1266"/>
      <c r="Q329" s="1266"/>
      <c r="R329" s="1266"/>
      <c r="S329" s="1266"/>
      <c r="T329" s="1266"/>
      <c r="U329" s="1266"/>
      <c r="V329" s="1266"/>
      <c r="W329" s="1266"/>
      <c r="X329" s="1266"/>
      <c r="Y329" s="1266"/>
      <c r="Z329" s="1266"/>
      <c r="AA329" s="1266"/>
      <c r="AB329" s="1266"/>
      <c r="AC329" s="1266"/>
      <c r="AD329" s="1266"/>
      <c r="AE329" s="1266"/>
      <c r="AF329" s="1266"/>
      <c r="AG329" s="1266"/>
      <c r="AH329" s="1266"/>
      <c r="AI329" s="1266"/>
      <c r="AJ329" s="1266"/>
      <c r="AK329" s="1266"/>
      <c r="AL329" s="1266"/>
      <c r="AM329" s="1266"/>
      <c r="AN329" s="1266"/>
      <c r="AO329" s="1266"/>
      <c r="AP329" s="1266"/>
      <c r="AQ329" s="1266"/>
      <c r="AR329" s="1266"/>
      <c r="AS329" s="1266"/>
      <c r="AT329" s="1266"/>
      <c r="AU329" s="1266"/>
      <c r="AV329" s="1266"/>
      <c r="AW329" s="1266"/>
      <c r="AX329" s="1266"/>
      <c r="AY329" s="1266"/>
      <c r="AZ329" s="1266"/>
      <c r="BA329" s="1266"/>
      <c r="BB329" s="1266"/>
      <c r="BC329" s="1266"/>
      <c r="BD329" s="1266"/>
      <c r="BR329" s="1266"/>
      <c r="BS329" s="1266"/>
      <c r="BT329" s="1266"/>
      <c r="BU329" s="1186"/>
      <c r="BV329" s="1551"/>
      <c r="BW329" s="1551"/>
      <c r="BX329" s="1551"/>
      <c r="BY329" s="1266"/>
      <c r="BZ329" s="1266"/>
    </row>
    <row r="330" spans="2:78" ht="12.75" customHeight="1">
      <c r="B330" s="1281"/>
      <c r="C330" s="1266"/>
      <c r="D330" s="1266"/>
      <c r="E330" s="1266"/>
      <c r="F330" s="1356"/>
      <c r="G330" s="1286"/>
      <c r="H330" s="1286"/>
      <c r="I330" s="1286"/>
      <c r="J330" s="1286"/>
      <c r="K330" s="1266"/>
      <c r="L330" s="1266"/>
      <c r="M330" s="1266"/>
      <c r="N330" s="1266"/>
      <c r="O330" s="1266"/>
      <c r="P330" s="1266"/>
      <c r="Q330" s="1266"/>
      <c r="R330" s="1266"/>
      <c r="S330" s="1266"/>
      <c r="T330" s="1266"/>
      <c r="U330" s="1266"/>
      <c r="V330" s="1266"/>
      <c r="W330" s="1266"/>
      <c r="X330" s="1266"/>
      <c r="Y330" s="1266"/>
      <c r="Z330" s="1266"/>
      <c r="AA330" s="1266"/>
      <c r="AB330" s="1266"/>
      <c r="AC330" s="1266"/>
      <c r="AD330" s="1266"/>
      <c r="AE330" s="1266"/>
      <c r="AF330" s="1266"/>
      <c r="AG330" s="1266"/>
      <c r="AH330" s="1266"/>
      <c r="AI330" s="1266"/>
      <c r="AJ330" s="1266"/>
      <c r="AK330" s="1266"/>
      <c r="AL330" s="1266"/>
      <c r="AM330" s="1266"/>
      <c r="AN330" s="1266"/>
      <c r="AO330" s="1266"/>
      <c r="AP330" s="1266"/>
      <c r="AQ330" s="1266"/>
      <c r="AR330" s="1266"/>
      <c r="AS330" s="1266"/>
      <c r="AT330" s="1266"/>
      <c r="AU330" s="1266"/>
      <c r="AV330" s="1266"/>
      <c r="AW330" s="1266"/>
      <c r="AX330" s="1266"/>
      <c r="AY330" s="1266"/>
      <c r="AZ330" s="1266"/>
      <c r="BA330" s="1266"/>
      <c r="BB330" s="1266"/>
      <c r="BC330" s="1266"/>
      <c r="BD330" s="1266"/>
      <c r="BR330" s="1266"/>
      <c r="BS330" s="1266"/>
      <c r="BT330" s="1266"/>
      <c r="BU330" s="1186"/>
      <c r="BV330" s="1551"/>
      <c r="BW330" s="1551"/>
      <c r="BX330" s="1551"/>
      <c r="BY330" s="1266"/>
      <c r="BZ330" s="1266"/>
    </row>
    <row r="331" spans="2:78" ht="12.75" customHeight="1">
      <c r="B331" s="1281"/>
      <c r="C331" s="1266"/>
      <c r="D331" s="1266"/>
      <c r="E331" s="1266"/>
      <c r="F331" s="1356"/>
      <c r="G331" s="1286"/>
      <c r="H331" s="1286"/>
      <c r="I331" s="1286"/>
      <c r="J331" s="1286"/>
      <c r="K331" s="1266"/>
      <c r="L331" s="1266"/>
      <c r="M331" s="1266"/>
      <c r="N331" s="1266"/>
      <c r="O331" s="1266"/>
      <c r="P331" s="1266"/>
      <c r="Q331" s="1266"/>
      <c r="R331" s="1266"/>
      <c r="S331" s="1266"/>
      <c r="T331" s="1266"/>
      <c r="U331" s="1266"/>
      <c r="V331" s="1266"/>
      <c r="W331" s="1266"/>
      <c r="X331" s="1266"/>
      <c r="Y331" s="1266"/>
      <c r="Z331" s="1266"/>
      <c r="AA331" s="1266"/>
      <c r="AB331" s="1266"/>
      <c r="AC331" s="1266"/>
      <c r="AD331" s="1266"/>
      <c r="AE331" s="1266"/>
      <c r="AF331" s="1266"/>
      <c r="AG331" s="1266"/>
      <c r="AH331" s="1266"/>
      <c r="AI331" s="1266"/>
      <c r="AJ331" s="1266"/>
      <c r="AK331" s="1266"/>
      <c r="AL331" s="1266"/>
      <c r="AM331" s="1266"/>
      <c r="AN331" s="1266"/>
      <c r="AO331" s="1266"/>
      <c r="AP331" s="1266"/>
      <c r="AQ331" s="1266"/>
      <c r="AR331" s="1266"/>
      <c r="AS331" s="1266"/>
      <c r="AT331" s="1266"/>
      <c r="AU331" s="1266"/>
      <c r="AV331" s="1266"/>
      <c r="AW331" s="1266"/>
      <c r="AX331" s="1266"/>
      <c r="AY331" s="1266"/>
      <c r="AZ331" s="1266"/>
      <c r="BA331" s="1266"/>
      <c r="BB331" s="1266"/>
      <c r="BC331" s="1266"/>
      <c r="BD331" s="1266"/>
      <c r="BR331" s="1266"/>
      <c r="BS331" s="1266"/>
      <c r="BT331" s="1266"/>
      <c r="BU331" s="1186"/>
      <c r="BV331" s="1551"/>
      <c r="BW331" s="1551"/>
      <c r="BX331" s="1551"/>
      <c r="BY331" s="1266"/>
      <c r="BZ331" s="1266"/>
    </row>
    <row r="332" spans="2:78" ht="12.75" customHeight="1">
      <c r="B332" s="1281"/>
      <c r="C332" s="1266"/>
      <c r="D332" s="1266"/>
      <c r="E332" s="1266"/>
      <c r="F332" s="1356"/>
      <c r="G332" s="1286"/>
      <c r="H332" s="1286"/>
      <c r="I332" s="1286"/>
      <c r="J332" s="1286"/>
      <c r="K332" s="1266"/>
      <c r="L332" s="1266"/>
      <c r="M332" s="1266"/>
      <c r="N332" s="1266"/>
      <c r="O332" s="1266"/>
      <c r="P332" s="1266"/>
      <c r="Q332" s="1266"/>
      <c r="R332" s="1266"/>
      <c r="S332" s="1266"/>
      <c r="T332" s="1266"/>
      <c r="U332" s="1266"/>
      <c r="V332" s="1266"/>
      <c r="W332" s="1266"/>
      <c r="X332" s="1266"/>
      <c r="Y332" s="1266"/>
      <c r="Z332" s="1266"/>
      <c r="AA332" s="1266"/>
      <c r="AB332" s="1266"/>
      <c r="AC332" s="1266"/>
      <c r="AD332" s="1266"/>
      <c r="AE332" s="1266"/>
      <c r="AF332" s="1266"/>
      <c r="AG332" s="1266"/>
      <c r="AH332" s="1266"/>
      <c r="AI332" s="1266"/>
      <c r="AJ332" s="1266"/>
      <c r="AK332" s="1266"/>
      <c r="AL332" s="1266"/>
      <c r="AM332" s="1266"/>
      <c r="AN332" s="1266"/>
      <c r="AO332" s="1266"/>
      <c r="AP332" s="1266"/>
      <c r="AQ332" s="1266"/>
      <c r="AR332" s="1266"/>
      <c r="AS332" s="1266"/>
      <c r="AT332" s="1266"/>
      <c r="AU332" s="1266"/>
      <c r="AV332" s="1266"/>
      <c r="AW332" s="1266"/>
      <c r="AX332" s="1266"/>
      <c r="AY332" s="1266"/>
      <c r="AZ332" s="1266"/>
      <c r="BA332" s="1266"/>
      <c r="BB332" s="1266"/>
      <c r="BC332" s="1266"/>
      <c r="BD332" s="1266"/>
      <c r="BR332" s="1266"/>
      <c r="BS332" s="1266"/>
      <c r="BT332" s="1266"/>
      <c r="BU332" s="1186"/>
      <c r="BV332" s="1551"/>
      <c r="BW332" s="1551"/>
      <c r="BX332" s="1551"/>
      <c r="BY332" s="1266"/>
      <c r="BZ332" s="1266"/>
    </row>
    <row r="333" spans="2:78" ht="12.75" customHeight="1">
      <c r="B333" s="1281"/>
      <c r="C333" s="1266"/>
      <c r="D333" s="1266"/>
      <c r="E333" s="1266"/>
      <c r="F333" s="1356"/>
      <c r="G333" s="1286"/>
      <c r="H333" s="1286"/>
      <c r="I333" s="1286"/>
      <c r="J333" s="1286"/>
      <c r="K333" s="1266"/>
      <c r="L333" s="1266"/>
      <c r="M333" s="1266"/>
      <c r="N333" s="1266"/>
      <c r="O333" s="1266"/>
      <c r="P333" s="1266"/>
      <c r="Q333" s="1266"/>
      <c r="R333" s="1266"/>
      <c r="S333" s="1266"/>
      <c r="T333" s="1266"/>
      <c r="U333" s="1266"/>
      <c r="V333" s="1266"/>
      <c r="W333" s="1266"/>
      <c r="X333" s="1266"/>
      <c r="Y333" s="1266"/>
      <c r="Z333" s="1266"/>
      <c r="AA333" s="1266"/>
      <c r="AB333" s="1266"/>
      <c r="AC333" s="1266"/>
      <c r="AD333" s="1266"/>
      <c r="AE333" s="1266"/>
      <c r="AF333" s="1266"/>
      <c r="AG333" s="1266"/>
      <c r="AH333" s="1266"/>
      <c r="AI333" s="1266"/>
      <c r="AJ333" s="1266"/>
      <c r="AK333" s="1266"/>
      <c r="AL333" s="1266"/>
      <c r="AM333" s="1266"/>
      <c r="AN333" s="1266"/>
      <c r="AO333" s="1266"/>
      <c r="AP333" s="1266"/>
      <c r="AQ333" s="1266"/>
      <c r="AR333" s="1266"/>
      <c r="AS333" s="1266"/>
      <c r="AT333" s="1266"/>
      <c r="AU333" s="1266"/>
      <c r="AV333" s="1266"/>
      <c r="AW333" s="1266"/>
      <c r="AX333" s="1266"/>
      <c r="AY333" s="1266"/>
      <c r="AZ333" s="1266"/>
      <c r="BA333" s="1266"/>
      <c r="BB333" s="1266"/>
      <c r="BC333" s="1266"/>
      <c r="BD333" s="1266"/>
      <c r="BR333" s="1266"/>
      <c r="BS333" s="1266"/>
      <c r="BT333" s="1266"/>
      <c r="BU333" s="1186"/>
      <c r="BV333" s="1551"/>
      <c r="BW333" s="1551"/>
      <c r="BX333" s="1551"/>
      <c r="BY333" s="1266"/>
      <c r="BZ333" s="1266"/>
    </row>
    <row r="334" spans="2:78" ht="12.75" customHeight="1">
      <c r="B334" s="1281"/>
      <c r="C334" s="1266"/>
      <c r="D334" s="1266"/>
      <c r="E334" s="1266"/>
      <c r="F334" s="1356"/>
      <c r="G334" s="1286"/>
      <c r="H334" s="1286"/>
      <c r="I334" s="1286"/>
      <c r="J334" s="1286"/>
      <c r="K334" s="1266"/>
      <c r="L334" s="1266"/>
      <c r="M334" s="1266"/>
      <c r="N334" s="1266"/>
      <c r="O334" s="1266"/>
      <c r="P334" s="1266"/>
      <c r="Q334" s="1266"/>
      <c r="R334" s="1266"/>
      <c r="S334" s="1266"/>
      <c r="T334" s="1266"/>
      <c r="U334" s="1266"/>
      <c r="V334" s="1266"/>
      <c r="W334" s="1266"/>
      <c r="X334" s="1266"/>
      <c r="Y334" s="1266"/>
      <c r="Z334" s="1266"/>
      <c r="AA334" s="1266"/>
      <c r="AB334" s="1266"/>
      <c r="AC334" s="1266"/>
      <c r="AD334" s="1266"/>
      <c r="AE334" s="1266"/>
      <c r="AF334" s="1266"/>
      <c r="AG334" s="1266"/>
      <c r="AH334" s="1266"/>
      <c r="AI334" s="1266"/>
      <c r="AJ334" s="1266"/>
      <c r="AK334" s="1266"/>
      <c r="AL334" s="1266"/>
      <c r="AM334" s="1266"/>
      <c r="AN334" s="1266"/>
      <c r="AO334" s="1266"/>
      <c r="AP334" s="1266"/>
      <c r="AQ334" s="1266"/>
      <c r="AR334" s="1266"/>
      <c r="AS334" s="1266"/>
      <c r="AT334" s="1266"/>
      <c r="AU334" s="1266"/>
      <c r="AV334" s="1266"/>
      <c r="AW334" s="1266"/>
      <c r="AX334" s="1266"/>
      <c r="AY334" s="1266"/>
      <c r="AZ334" s="1266"/>
      <c r="BA334" s="1266"/>
      <c r="BB334" s="1266"/>
      <c r="BC334" s="1266"/>
      <c r="BD334" s="1266"/>
      <c r="BR334" s="1266"/>
      <c r="BS334" s="1266"/>
      <c r="BT334" s="1266"/>
      <c r="BU334" s="1186"/>
      <c r="BV334" s="1551"/>
      <c r="BW334" s="1551"/>
      <c r="BX334" s="1551"/>
      <c r="BY334" s="1266"/>
      <c r="BZ334" s="1266"/>
    </row>
    <row r="335" spans="2:78" ht="12.75" customHeight="1">
      <c r="B335" s="1281"/>
      <c r="C335" s="1266"/>
      <c r="D335" s="1266"/>
      <c r="E335" s="1266"/>
      <c r="F335" s="1356"/>
      <c r="G335" s="1286"/>
      <c r="H335" s="1286"/>
      <c r="I335" s="1286"/>
      <c r="J335" s="1286"/>
      <c r="K335" s="1266"/>
      <c r="L335" s="1266"/>
      <c r="M335" s="1266"/>
      <c r="N335" s="1266"/>
      <c r="O335" s="1266"/>
      <c r="P335" s="1266"/>
      <c r="Q335" s="1266"/>
      <c r="R335" s="1266"/>
      <c r="S335" s="1266"/>
      <c r="T335" s="1266"/>
      <c r="U335" s="1266"/>
      <c r="V335" s="1266"/>
      <c r="W335" s="1266"/>
      <c r="X335" s="1266"/>
      <c r="Y335" s="1266"/>
      <c r="Z335" s="1266"/>
      <c r="AA335" s="1266"/>
      <c r="AB335" s="1266"/>
      <c r="AC335" s="1266"/>
      <c r="AD335" s="1266"/>
      <c r="AE335" s="1266"/>
      <c r="AF335" s="1266"/>
      <c r="AG335" s="1266"/>
      <c r="AH335" s="1266"/>
      <c r="AI335" s="1266"/>
      <c r="AJ335" s="1266"/>
      <c r="AK335" s="1266"/>
      <c r="AL335" s="1266"/>
      <c r="AM335" s="1266"/>
      <c r="AN335" s="1266"/>
      <c r="AO335" s="1266"/>
      <c r="AP335" s="1266"/>
      <c r="AQ335" s="1266"/>
      <c r="AR335" s="1266"/>
      <c r="AS335" s="1266"/>
      <c r="AT335" s="1266"/>
      <c r="AU335" s="1266"/>
      <c r="AV335" s="1266"/>
      <c r="AW335" s="1266"/>
      <c r="AX335" s="1266"/>
      <c r="AY335" s="1266"/>
      <c r="AZ335" s="1266"/>
      <c r="BA335" s="1266"/>
      <c r="BB335" s="1266"/>
      <c r="BC335" s="1266"/>
      <c r="BD335" s="1266"/>
      <c r="BR335" s="1266"/>
      <c r="BS335" s="1266"/>
      <c r="BT335" s="1266"/>
      <c r="BU335" s="1186"/>
      <c r="BV335" s="1551"/>
      <c r="BW335" s="1551"/>
      <c r="BX335" s="1551"/>
      <c r="BY335" s="1266"/>
      <c r="BZ335" s="1266"/>
    </row>
    <row r="336" spans="2:78" ht="12.75" customHeight="1">
      <c r="B336" s="1281"/>
      <c r="C336" s="1266"/>
      <c r="D336" s="1266"/>
      <c r="E336" s="1266"/>
      <c r="F336" s="1356"/>
      <c r="G336" s="1286"/>
      <c r="H336" s="1286"/>
      <c r="I336" s="1286"/>
      <c r="J336" s="1286"/>
      <c r="K336" s="1266"/>
      <c r="L336" s="1266"/>
      <c r="M336" s="1266"/>
      <c r="N336" s="1266"/>
      <c r="O336" s="1266"/>
      <c r="P336" s="1266"/>
      <c r="Q336" s="1266"/>
      <c r="R336" s="1266"/>
      <c r="S336" s="1266"/>
      <c r="T336" s="1266"/>
      <c r="U336" s="1266"/>
      <c r="V336" s="1266"/>
      <c r="W336" s="1266"/>
      <c r="X336" s="1266"/>
      <c r="Y336" s="1266"/>
      <c r="Z336" s="1266"/>
      <c r="AA336" s="1266"/>
      <c r="AB336" s="1266"/>
      <c r="AC336" s="1266"/>
      <c r="AD336" s="1266"/>
      <c r="AE336" s="1266"/>
      <c r="AF336" s="1266"/>
      <c r="AG336" s="1266"/>
      <c r="AH336" s="1266"/>
      <c r="AI336" s="1266"/>
      <c r="AJ336" s="1266"/>
      <c r="AK336" s="1266"/>
      <c r="AL336" s="1266"/>
      <c r="AM336" s="1266"/>
      <c r="AN336" s="1266"/>
      <c r="AO336" s="1266"/>
      <c r="AP336" s="1266"/>
      <c r="AQ336" s="1266"/>
      <c r="AR336" s="1266"/>
      <c r="AS336" s="1266"/>
      <c r="AT336" s="1266"/>
      <c r="AU336" s="1266"/>
      <c r="AV336" s="1266"/>
      <c r="AW336" s="1266"/>
      <c r="AX336" s="1266"/>
      <c r="AY336" s="1266"/>
      <c r="AZ336" s="1266"/>
      <c r="BA336" s="1266"/>
      <c r="BB336" s="1266"/>
      <c r="BC336" s="1266"/>
      <c r="BD336" s="1266"/>
      <c r="BR336" s="1266"/>
      <c r="BS336" s="1266"/>
      <c r="BT336" s="1266"/>
      <c r="BU336" s="1186"/>
      <c r="BV336" s="1551"/>
      <c r="BW336" s="1551"/>
      <c r="BX336" s="1551"/>
      <c r="BY336" s="1266"/>
      <c r="BZ336" s="1266"/>
    </row>
    <row r="337" spans="2:78" ht="12.75" customHeight="1">
      <c r="B337" s="1281"/>
      <c r="C337" s="1266"/>
      <c r="D337" s="1266"/>
      <c r="E337" s="1266"/>
      <c r="F337" s="1356"/>
      <c r="G337" s="1286"/>
      <c r="H337" s="1286"/>
      <c r="I337" s="1286"/>
      <c r="J337" s="1286"/>
      <c r="K337" s="1266"/>
      <c r="L337" s="1266"/>
      <c r="M337" s="1266"/>
      <c r="N337" s="1266"/>
      <c r="O337" s="1266"/>
      <c r="P337" s="1266"/>
      <c r="Q337" s="1266"/>
      <c r="R337" s="1266"/>
      <c r="S337" s="1266"/>
      <c r="T337" s="1266"/>
      <c r="U337" s="1266"/>
      <c r="V337" s="1266"/>
      <c r="W337" s="1266"/>
      <c r="X337" s="1266"/>
      <c r="Y337" s="1266"/>
      <c r="Z337" s="1266"/>
      <c r="AA337" s="1266"/>
      <c r="AB337" s="1266"/>
      <c r="AC337" s="1266"/>
      <c r="AD337" s="1266"/>
      <c r="AE337" s="1266"/>
      <c r="AF337" s="1266"/>
      <c r="AG337" s="1266"/>
      <c r="AH337" s="1266"/>
      <c r="AI337" s="1266"/>
      <c r="AJ337" s="1266"/>
      <c r="AK337" s="1266"/>
      <c r="AL337" s="1266"/>
      <c r="AM337" s="1266"/>
      <c r="AN337" s="1266"/>
      <c r="AO337" s="1266"/>
      <c r="AP337" s="1266"/>
      <c r="AQ337" s="1266"/>
      <c r="AR337" s="1266"/>
      <c r="AS337" s="1266"/>
      <c r="AT337" s="1266"/>
      <c r="AU337" s="1266"/>
      <c r="AV337" s="1266"/>
      <c r="AW337" s="1266"/>
      <c r="AX337" s="1266"/>
      <c r="AY337" s="1266"/>
      <c r="AZ337" s="1266"/>
      <c r="BA337" s="1266"/>
      <c r="BB337" s="1266"/>
      <c r="BC337" s="1266"/>
      <c r="BD337" s="1266"/>
      <c r="BR337" s="1266"/>
      <c r="BS337" s="1266"/>
      <c r="BT337" s="1266"/>
      <c r="BU337" s="1186"/>
      <c r="BV337" s="1551"/>
      <c r="BW337" s="1551"/>
      <c r="BX337" s="1551"/>
      <c r="BY337" s="1266"/>
      <c r="BZ337" s="1266"/>
    </row>
    <row r="338" spans="2:78" ht="12.75" customHeight="1">
      <c r="B338" s="1281"/>
      <c r="C338" s="1266"/>
      <c r="D338" s="1266"/>
      <c r="E338" s="1266"/>
      <c r="F338" s="1356"/>
      <c r="G338" s="1286"/>
      <c r="H338" s="1286"/>
      <c r="I338" s="1286"/>
      <c r="J338" s="1286"/>
      <c r="K338" s="1266"/>
      <c r="L338" s="1266"/>
      <c r="M338" s="1266"/>
      <c r="N338" s="1266"/>
      <c r="O338" s="1266"/>
      <c r="P338" s="1266"/>
      <c r="Q338" s="1266"/>
      <c r="R338" s="1266"/>
      <c r="S338" s="1266"/>
      <c r="T338" s="1266"/>
      <c r="U338" s="1266"/>
      <c r="V338" s="1266"/>
      <c r="W338" s="1266"/>
      <c r="X338" s="1266"/>
      <c r="Y338" s="1266"/>
      <c r="Z338" s="1266"/>
      <c r="AA338" s="1266"/>
      <c r="AB338" s="1266"/>
      <c r="AC338" s="1266"/>
      <c r="AD338" s="1266"/>
      <c r="AE338" s="1266"/>
      <c r="AF338" s="1266"/>
      <c r="AG338" s="1266"/>
      <c r="AH338" s="1266"/>
      <c r="AI338" s="1266"/>
      <c r="AJ338" s="1266"/>
      <c r="AK338" s="1266"/>
      <c r="AL338" s="1266"/>
      <c r="AM338" s="1266"/>
      <c r="AN338" s="1266"/>
      <c r="AO338" s="1266"/>
      <c r="AP338" s="1266"/>
      <c r="AQ338" s="1266"/>
      <c r="AR338" s="1266"/>
      <c r="AS338" s="1266"/>
      <c r="AT338" s="1266"/>
      <c r="AU338" s="1266"/>
      <c r="AV338" s="1266"/>
      <c r="AW338" s="1266"/>
      <c r="AX338" s="1266"/>
      <c r="AY338" s="1266"/>
      <c r="AZ338" s="1266"/>
      <c r="BA338" s="1266"/>
      <c r="BB338" s="1266"/>
      <c r="BC338" s="1266"/>
      <c r="BD338" s="1266"/>
      <c r="BR338" s="1266"/>
      <c r="BS338" s="1266"/>
      <c r="BT338" s="1266"/>
      <c r="BU338" s="1186"/>
      <c r="BV338" s="1551"/>
      <c r="BW338" s="1551"/>
      <c r="BX338" s="1551"/>
      <c r="BY338" s="1266"/>
      <c r="BZ338" s="1266"/>
    </row>
    <row r="339" spans="2:78" ht="12.75" customHeight="1">
      <c r="B339" s="1281"/>
      <c r="C339" s="1266"/>
      <c r="D339" s="1266"/>
      <c r="E339" s="1266"/>
      <c r="F339" s="1356"/>
      <c r="G339" s="1286"/>
      <c r="H339" s="1286"/>
      <c r="I339" s="1286"/>
      <c r="J339" s="1286"/>
      <c r="K339" s="1266"/>
      <c r="L339" s="1266"/>
      <c r="M339" s="1266"/>
      <c r="N339" s="1266"/>
      <c r="O339" s="1266"/>
      <c r="P339" s="1266"/>
      <c r="Q339" s="1266"/>
      <c r="R339" s="1266"/>
      <c r="S339" s="1266"/>
      <c r="T339" s="1266"/>
      <c r="U339" s="1266"/>
      <c r="V339" s="1266"/>
      <c r="W339" s="1266"/>
      <c r="X339" s="1266"/>
      <c r="Y339" s="1266"/>
      <c r="Z339" s="1266"/>
      <c r="AA339" s="1266"/>
      <c r="AB339" s="1266"/>
      <c r="AC339" s="1266"/>
      <c r="AD339" s="1266"/>
      <c r="AE339" s="1266"/>
      <c r="AF339" s="1266"/>
      <c r="AG339" s="1266"/>
      <c r="AH339" s="1266"/>
      <c r="AI339" s="1266"/>
      <c r="AJ339" s="1266"/>
      <c r="AK339" s="1266"/>
      <c r="AL339" s="1266"/>
      <c r="AM339" s="1266"/>
      <c r="AN339" s="1266"/>
      <c r="AO339" s="1266"/>
      <c r="AP339" s="1266"/>
      <c r="AQ339" s="1266"/>
      <c r="AR339" s="1266"/>
      <c r="AS339" s="1266"/>
      <c r="AT339" s="1266"/>
      <c r="AU339" s="1266"/>
      <c r="AV339" s="1266"/>
      <c r="AW339" s="1266"/>
      <c r="AX339" s="1266"/>
      <c r="AY339" s="1266"/>
      <c r="AZ339" s="1266"/>
      <c r="BA339" s="1266"/>
      <c r="BB339" s="1266"/>
      <c r="BC339" s="1266"/>
      <c r="BD339" s="1266"/>
      <c r="BR339" s="1266"/>
      <c r="BS339" s="1266"/>
      <c r="BT339" s="1266"/>
      <c r="BU339" s="1186"/>
      <c r="BV339" s="1551"/>
      <c r="BW339" s="1551"/>
      <c r="BX339" s="1551"/>
      <c r="BY339" s="1266"/>
      <c r="BZ339" s="1266"/>
    </row>
    <row r="340" spans="2:78" ht="12.75" customHeight="1">
      <c r="B340" s="1281"/>
      <c r="C340" s="1266"/>
      <c r="D340" s="1266"/>
      <c r="E340" s="1266"/>
      <c r="F340" s="1356"/>
      <c r="G340" s="1286"/>
      <c r="H340" s="1286"/>
      <c r="I340" s="1286"/>
      <c r="J340" s="1286"/>
      <c r="K340" s="1266"/>
      <c r="L340" s="1266"/>
      <c r="M340" s="1266"/>
      <c r="N340" s="1266"/>
      <c r="O340" s="1266"/>
      <c r="P340" s="1266"/>
      <c r="Q340" s="1266"/>
      <c r="R340" s="1266"/>
      <c r="S340" s="1266"/>
      <c r="T340" s="1266"/>
      <c r="U340" s="1266"/>
      <c r="V340" s="1266"/>
      <c r="W340" s="1266"/>
      <c r="X340" s="1266"/>
      <c r="Y340" s="1266"/>
      <c r="Z340" s="1266"/>
      <c r="AA340" s="1266"/>
      <c r="AB340" s="1266"/>
      <c r="AC340" s="1266"/>
      <c r="AD340" s="1266"/>
      <c r="AE340" s="1266"/>
      <c r="AF340" s="1266"/>
      <c r="AG340" s="1266"/>
      <c r="AH340" s="1266"/>
      <c r="AI340" s="1266"/>
      <c r="AJ340" s="1266"/>
      <c r="AK340" s="1266"/>
      <c r="AL340" s="1266"/>
      <c r="AM340" s="1266"/>
      <c r="AN340" s="1266"/>
      <c r="AO340" s="1266"/>
      <c r="AP340" s="1266"/>
      <c r="AQ340" s="1266"/>
      <c r="AR340" s="1266"/>
      <c r="AS340" s="1266"/>
      <c r="AT340" s="1266"/>
      <c r="AU340" s="1266"/>
      <c r="AV340" s="1266"/>
      <c r="AW340" s="1266"/>
      <c r="AX340" s="1266"/>
      <c r="AY340" s="1266"/>
      <c r="AZ340" s="1266"/>
      <c r="BA340" s="1266"/>
      <c r="BB340" s="1266"/>
      <c r="BC340" s="1266"/>
      <c r="BD340" s="1266"/>
      <c r="BR340" s="1266"/>
      <c r="BS340" s="1266"/>
      <c r="BT340" s="1266"/>
      <c r="BU340" s="1186"/>
      <c r="BV340" s="1551"/>
      <c r="BW340" s="1551"/>
      <c r="BX340" s="1551"/>
      <c r="BY340" s="1266"/>
      <c r="BZ340" s="1266"/>
    </row>
    <row r="341" spans="2:78" ht="12.75" customHeight="1">
      <c r="B341" s="1281"/>
      <c r="C341" s="1266"/>
      <c r="D341" s="1266"/>
      <c r="E341" s="1266"/>
      <c r="F341" s="1356"/>
      <c r="G341" s="1286"/>
      <c r="H341" s="1286"/>
      <c r="I341" s="1286"/>
      <c r="J341" s="1286"/>
      <c r="K341" s="1266"/>
      <c r="L341" s="1266"/>
      <c r="M341" s="1266"/>
      <c r="N341" s="1266"/>
      <c r="O341" s="1266"/>
      <c r="P341" s="1266"/>
      <c r="Q341" s="1266"/>
      <c r="R341" s="1266"/>
      <c r="S341" s="1266"/>
      <c r="T341" s="1266"/>
      <c r="U341" s="1266"/>
      <c r="V341" s="1266"/>
      <c r="W341" s="1266"/>
      <c r="X341" s="1266"/>
      <c r="Y341" s="1266"/>
      <c r="Z341" s="1266"/>
      <c r="AA341" s="1266"/>
      <c r="AB341" s="1266"/>
      <c r="AC341" s="1266"/>
      <c r="AD341" s="1266"/>
      <c r="AE341" s="1266"/>
      <c r="AF341" s="1266"/>
      <c r="AG341" s="1266"/>
      <c r="AH341" s="1266"/>
      <c r="AI341" s="1266"/>
      <c r="AJ341" s="1266"/>
      <c r="AK341" s="1266"/>
      <c r="AL341" s="1266"/>
      <c r="AM341" s="1266"/>
      <c r="AN341" s="1266"/>
      <c r="AO341" s="1266"/>
      <c r="AP341" s="1266"/>
      <c r="AQ341" s="1266"/>
      <c r="AR341" s="1266"/>
      <c r="AS341" s="1266"/>
      <c r="AT341" s="1266"/>
      <c r="AU341" s="1266"/>
      <c r="AV341" s="1266"/>
      <c r="AW341" s="1266"/>
      <c r="AX341" s="1266"/>
      <c r="AY341" s="1266"/>
      <c r="AZ341" s="1266"/>
      <c r="BA341" s="1266"/>
      <c r="BB341" s="1266"/>
      <c r="BC341" s="1266"/>
      <c r="BD341" s="1266"/>
      <c r="BR341" s="1266"/>
      <c r="BS341" s="1266"/>
      <c r="BT341" s="1266"/>
      <c r="BU341" s="1186"/>
      <c r="BV341" s="1551"/>
      <c r="BW341" s="1551"/>
      <c r="BX341" s="1551"/>
      <c r="BY341" s="1266"/>
      <c r="BZ341" s="1266"/>
    </row>
    <row r="342" spans="2:78" ht="12.75" customHeight="1">
      <c r="B342" s="1281"/>
      <c r="C342" s="1266"/>
      <c r="D342" s="1266"/>
      <c r="E342" s="1266"/>
      <c r="F342" s="1356"/>
      <c r="G342" s="1286"/>
      <c r="H342" s="1286"/>
      <c r="I342" s="1286"/>
      <c r="J342" s="1286"/>
      <c r="K342" s="1266"/>
      <c r="L342" s="1266"/>
      <c r="M342" s="1266"/>
      <c r="N342" s="1266"/>
      <c r="O342" s="1266"/>
      <c r="P342" s="1266"/>
      <c r="Q342" s="1266"/>
      <c r="R342" s="1266"/>
      <c r="S342" s="1266"/>
      <c r="T342" s="1266"/>
      <c r="U342" s="1266"/>
      <c r="V342" s="1266"/>
      <c r="W342" s="1266"/>
      <c r="X342" s="1266"/>
      <c r="Y342" s="1266"/>
      <c r="Z342" s="1266"/>
      <c r="AA342" s="1266"/>
      <c r="AB342" s="1266"/>
      <c r="AC342" s="1266"/>
      <c r="AD342" s="1266"/>
      <c r="AE342" s="1266"/>
      <c r="AF342" s="1266"/>
      <c r="AG342" s="1266"/>
      <c r="AH342" s="1266"/>
      <c r="AI342" s="1266"/>
      <c r="AJ342" s="1266"/>
      <c r="AK342" s="1266"/>
      <c r="AL342" s="1266"/>
      <c r="AM342" s="1266"/>
      <c r="AN342" s="1266"/>
      <c r="AO342" s="1266"/>
      <c r="AP342" s="1266"/>
      <c r="AQ342" s="1266"/>
      <c r="AR342" s="1266"/>
      <c r="AS342" s="1266"/>
      <c r="AT342" s="1266"/>
      <c r="AU342" s="1266"/>
      <c r="AV342" s="1266"/>
      <c r="AW342" s="1266"/>
      <c r="AX342" s="1266"/>
      <c r="AY342" s="1266"/>
      <c r="AZ342" s="1266"/>
      <c r="BA342" s="1266"/>
      <c r="BB342" s="1266"/>
      <c r="BC342" s="1266"/>
      <c r="BD342" s="1266"/>
      <c r="BR342" s="1266"/>
      <c r="BS342" s="1266"/>
      <c r="BT342" s="1266"/>
      <c r="BU342" s="1186"/>
      <c r="BV342" s="1551"/>
      <c r="BW342" s="1551"/>
      <c r="BX342" s="1551"/>
      <c r="BY342" s="1266"/>
      <c r="BZ342" s="1266"/>
    </row>
    <row r="343" spans="2:78" ht="12.75" customHeight="1">
      <c r="B343" s="1281"/>
      <c r="C343" s="1266"/>
      <c r="D343" s="1266"/>
      <c r="E343" s="1266"/>
      <c r="F343" s="1356"/>
      <c r="G343" s="1286"/>
      <c r="H343" s="1286"/>
      <c r="I343" s="1286"/>
      <c r="J343" s="1286"/>
      <c r="K343" s="1266"/>
      <c r="L343" s="1266"/>
      <c r="M343" s="1266"/>
      <c r="N343" s="1266"/>
      <c r="O343" s="1266"/>
      <c r="P343" s="1266"/>
      <c r="Q343" s="1266"/>
      <c r="R343" s="1266"/>
      <c r="S343" s="1266"/>
      <c r="T343" s="1266"/>
      <c r="U343" s="1266"/>
      <c r="V343" s="1266"/>
      <c r="W343" s="1266"/>
      <c r="X343" s="1266"/>
      <c r="Y343" s="1266"/>
      <c r="Z343" s="1266"/>
      <c r="AA343" s="1266"/>
      <c r="AB343" s="1266"/>
      <c r="AC343" s="1266"/>
      <c r="AD343" s="1266"/>
      <c r="AE343" s="1266"/>
      <c r="AF343" s="1266"/>
      <c r="AG343" s="1266"/>
      <c r="AH343" s="1266"/>
      <c r="AI343" s="1266"/>
      <c r="AJ343" s="1266"/>
      <c r="AK343" s="1266"/>
      <c r="AL343" s="1266"/>
      <c r="AM343" s="1266"/>
      <c r="AN343" s="1266"/>
      <c r="AO343" s="1266"/>
      <c r="AP343" s="1266"/>
      <c r="AQ343" s="1266"/>
      <c r="AR343" s="1266"/>
      <c r="AS343" s="1266"/>
      <c r="AT343" s="1266"/>
      <c r="AU343" s="1266"/>
      <c r="AV343" s="1266"/>
      <c r="AW343" s="1266"/>
      <c r="AX343" s="1266"/>
      <c r="AY343" s="1266"/>
      <c r="AZ343" s="1266"/>
      <c r="BA343" s="1266"/>
      <c r="BB343" s="1266"/>
      <c r="BC343" s="1266"/>
      <c r="BD343" s="1266"/>
      <c r="BR343" s="1266"/>
      <c r="BS343" s="1266"/>
      <c r="BT343" s="1266"/>
      <c r="BU343" s="1186"/>
      <c r="BV343" s="1551"/>
      <c r="BW343" s="1551"/>
      <c r="BX343" s="1551"/>
      <c r="BY343" s="1266"/>
      <c r="BZ343" s="1266"/>
    </row>
    <row r="344" spans="2:78" ht="12.75" customHeight="1">
      <c r="B344" s="1281"/>
      <c r="C344" s="1266"/>
      <c r="D344" s="1266"/>
      <c r="E344" s="1266"/>
      <c r="F344" s="1356"/>
      <c r="G344" s="1286"/>
      <c r="H344" s="1286"/>
      <c r="I344" s="1286"/>
      <c r="J344" s="1286"/>
      <c r="K344" s="1266"/>
      <c r="L344" s="1266"/>
      <c r="M344" s="1266"/>
      <c r="N344" s="1266"/>
      <c r="O344" s="1266"/>
      <c r="P344" s="1266"/>
      <c r="Q344" s="1266"/>
      <c r="R344" s="1266"/>
      <c r="S344" s="1266"/>
      <c r="T344" s="1266"/>
      <c r="U344" s="1266"/>
      <c r="V344" s="1266"/>
      <c r="W344" s="1266"/>
      <c r="X344" s="1266"/>
      <c r="Y344" s="1266"/>
      <c r="Z344" s="1266"/>
      <c r="AA344" s="1266"/>
      <c r="AB344" s="1266"/>
      <c r="AC344" s="1266"/>
      <c r="AD344" s="1266"/>
      <c r="AE344" s="1266"/>
      <c r="AF344" s="1266"/>
      <c r="AG344" s="1266"/>
      <c r="AH344" s="1266"/>
      <c r="AI344" s="1266"/>
      <c r="AJ344" s="1266"/>
      <c r="AK344" s="1266"/>
      <c r="AL344" s="1266"/>
      <c r="AM344" s="1266"/>
      <c r="AN344" s="1266"/>
      <c r="AO344" s="1266"/>
      <c r="AP344" s="1266"/>
      <c r="AQ344" s="1266"/>
      <c r="AR344" s="1266"/>
      <c r="AS344" s="1266"/>
      <c r="AT344" s="1266"/>
      <c r="AU344" s="1266"/>
      <c r="AV344" s="1266"/>
      <c r="AW344" s="1266"/>
      <c r="AX344" s="1266"/>
      <c r="AY344" s="1266"/>
      <c r="AZ344" s="1266"/>
      <c r="BA344" s="1266"/>
      <c r="BB344" s="1266"/>
      <c r="BC344" s="1266"/>
      <c r="BD344" s="1266"/>
      <c r="BR344" s="1266"/>
      <c r="BS344" s="1266"/>
      <c r="BT344" s="1266"/>
      <c r="BU344" s="1186"/>
      <c r="BV344" s="1551"/>
      <c r="BW344" s="1551"/>
      <c r="BX344" s="1551"/>
      <c r="BY344" s="1266"/>
      <c r="BZ344" s="1266"/>
    </row>
    <row r="345" spans="2:78" ht="12.75" customHeight="1">
      <c r="B345" s="1281"/>
      <c r="C345" s="1266"/>
      <c r="D345" s="1266"/>
      <c r="E345" s="1266"/>
      <c r="F345" s="1356"/>
      <c r="G345" s="1286"/>
      <c r="H345" s="1286"/>
      <c r="I345" s="1286"/>
      <c r="J345" s="1286"/>
      <c r="K345" s="1266"/>
      <c r="L345" s="1266"/>
      <c r="M345" s="1266"/>
      <c r="N345" s="1266"/>
      <c r="O345" s="1266"/>
      <c r="P345" s="1266"/>
      <c r="Q345" s="1266"/>
      <c r="R345" s="1266"/>
      <c r="S345" s="1266"/>
      <c r="T345" s="1266"/>
      <c r="U345" s="1266"/>
      <c r="V345" s="1266"/>
      <c r="W345" s="1266"/>
      <c r="X345" s="1266"/>
      <c r="Y345" s="1266"/>
      <c r="Z345" s="1266"/>
      <c r="AA345" s="1266"/>
      <c r="AB345" s="1266"/>
      <c r="AC345" s="1266"/>
      <c r="AD345" s="1266"/>
      <c r="AE345" s="1266"/>
      <c r="AF345" s="1266"/>
      <c r="AG345" s="1266"/>
      <c r="AH345" s="1266"/>
      <c r="AI345" s="1266"/>
      <c r="AJ345" s="1266"/>
      <c r="AK345" s="1266"/>
      <c r="AL345" s="1266"/>
      <c r="AM345" s="1266"/>
      <c r="AN345" s="1266"/>
      <c r="AO345" s="1266"/>
      <c r="AP345" s="1266"/>
      <c r="AQ345" s="1266"/>
      <c r="AR345" s="1266"/>
      <c r="AS345" s="1266"/>
      <c r="AT345" s="1266"/>
      <c r="AU345" s="1266"/>
      <c r="AV345" s="1266"/>
      <c r="AW345" s="1266"/>
      <c r="AX345" s="1266"/>
      <c r="AY345" s="1266"/>
      <c r="AZ345" s="1266"/>
      <c r="BA345" s="1266"/>
      <c r="BB345" s="1266"/>
      <c r="BC345" s="1266"/>
      <c r="BD345" s="1266"/>
      <c r="BR345" s="1266"/>
      <c r="BS345" s="1266"/>
      <c r="BT345" s="1266"/>
      <c r="BU345" s="1186"/>
      <c r="BV345" s="1551"/>
      <c r="BW345" s="1551"/>
      <c r="BX345" s="1551"/>
      <c r="BY345" s="1266"/>
      <c r="BZ345" s="1266"/>
    </row>
    <row r="346" spans="2:78" ht="12.75" customHeight="1">
      <c r="B346" s="1281"/>
      <c r="C346" s="1266"/>
      <c r="D346" s="1266"/>
      <c r="E346" s="1266"/>
      <c r="F346" s="1356"/>
      <c r="G346" s="1286"/>
      <c r="H346" s="1286"/>
      <c r="I346" s="1286"/>
      <c r="J346" s="1286"/>
      <c r="K346" s="1266"/>
      <c r="L346" s="1266"/>
      <c r="M346" s="1266"/>
      <c r="N346" s="1266"/>
      <c r="O346" s="1266"/>
      <c r="P346" s="1266"/>
      <c r="Q346" s="1266"/>
      <c r="R346" s="1266"/>
      <c r="S346" s="1266"/>
      <c r="T346" s="1266"/>
      <c r="U346" s="1266"/>
      <c r="V346" s="1266"/>
      <c r="W346" s="1266"/>
      <c r="X346" s="1266"/>
      <c r="Y346" s="1266"/>
      <c r="Z346" s="1266"/>
      <c r="AA346" s="1266"/>
      <c r="AB346" s="1266"/>
      <c r="AC346" s="1266"/>
      <c r="AD346" s="1266"/>
      <c r="AE346" s="1266"/>
      <c r="AF346" s="1266"/>
      <c r="AG346" s="1266"/>
      <c r="AH346" s="1266"/>
      <c r="AI346" s="1266"/>
      <c r="AJ346" s="1266"/>
      <c r="AK346" s="1266"/>
      <c r="AL346" s="1266"/>
      <c r="AM346" s="1266"/>
      <c r="AN346" s="1266"/>
      <c r="AO346" s="1266"/>
      <c r="AP346" s="1266"/>
      <c r="AQ346" s="1266"/>
      <c r="AR346" s="1266"/>
      <c r="AS346" s="1266"/>
      <c r="AT346" s="1266"/>
      <c r="AU346" s="1266"/>
      <c r="AV346" s="1266"/>
      <c r="AW346" s="1266"/>
      <c r="AX346" s="1266"/>
      <c r="AY346" s="1266"/>
      <c r="AZ346" s="1266"/>
      <c r="BA346" s="1266"/>
      <c r="BB346" s="1266"/>
      <c r="BC346" s="1266"/>
      <c r="BD346" s="1266"/>
      <c r="BR346" s="1266"/>
      <c r="BS346" s="1266"/>
      <c r="BT346" s="1266"/>
      <c r="BU346" s="1186"/>
      <c r="BV346" s="1551"/>
      <c r="BW346" s="1551"/>
      <c r="BX346" s="1551"/>
      <c r="BY346" s="1266"/>
      <c r="BZ346" s="1266"/>
    </row>
    <row r="347" spans="2:78" ht="12.75" customHeight="1">
      <c r="B347" s="1281"/>
      <c r="C347" s="1266"/>
      <c r="D347" s="1266"/>
      <c r="E347" s="1266"/>
      <c r="F347" s="1356"/>
      <c r="G347" s="1286"/>
      <c r="H347" s="1286"/>
      <c r="I347" s="1286"/>
      <c r="J347" s="1286"/>
      <c r="K347" s="1266"/>
      <c r="L347" s="1266"/>
      <c r="M347" s="1266"/>
      <c r="N347" s="1266"/>
      <c r="O347" s="1266"/>
      <c r="P347" s="1266"/>
      <c r="Q347" s="1266"/>
      <c r="R347" s="1266"/>
      <c r="S347" s="1266"/>
      <c r="T347" s="1266"/>
      <c r="U347" s="1266"/>
      <c r="V347" s="1266"/>
      <c r="W347" s="1266"/>
      <c r="X347" s="1266"/>
      <c r="Y347" s="1266"/>
      <c r="Z347" s="1266"/>
      <c r="AA347" s="1266"/>
      <c r="AB347" s="1266"/>
      <c r="AC347" s="1266"/>
      <c r="AD347" s="1266"/>
      <c r="AE347" s="1266"/>
      <c r="AF347" s="1266"/>
      <c r="AG347" s="1266"/>
      <c r="AH347" s="1266"/>
      <c r="AI347" s="1266"/>
      <c r="AJ347" s="1266"/>
      <c r="AK347" s="1266"/>
      <c r="AL347" s="1266"/>
      <c r="AM347" s="1266"/>
      <c r="AN347" s="1266"/>
      <c r="AO347" s="1266"/>
      <c r="AP347" s="1266"/>
      <c r="AQ347" s="1266"/>
      <c r="AR347" s="1266"/>
      <c r="AS347" s="1266"/>
      <c r="AT347" s="1266"/>
      <c r="AU347" s="1266"/>
      <c r="AV347" s="1266"/>
      <c r="AW347" s="1266"/>
      <c r="AX347" s="1266"/>
      <c r="AY347" s="1266"/>
      <c r="AZ347" s="1266"/>
      <c r="BA347" s="1266"/>
      <c r="BB347" s="1266"/>
      <c r="BC347" s="1266"/>
      <c r="BD347" s="1266"/>
      <c r="BR347" s="1266"/>
      <c r="BS347" s="1266"/>
      <c r="BT347" s="1266"/>
      <c r="BU347" s="1186"/>
      <c r="BV347" s="1551"/>
      <c r="BW347" s="1551"/>
      <c r="BX347" s="1551"/>
      <c r="BY347" s="1266"/>
      <c r="BZ347" s="1266"/>
    </row>
    <row r="348" spans="2:78" ht="12.75" customHeight="1">
      <c r="B348" s="1281"/>
      <c r="C348" s="1266"/>
      <c r="D348" s="1266"/>
      <c r="E348" s="1266"/>
      <c r="F348" s="1356"/>
      <c r="G348" s="1286"/>
      <c r="H348" s="1286"/>
      <c r="I348" s="1286"/>
      <c r="J348" s="1286"/>
      <c r="K348" s="1266"/>
      <c r="L348" s="1266"/>
      <c r="M348" s="1266"/>
      <c r="N348" s="1266"/>
      <c r="O348" s="1266"/>
      <c r="P348" s="1266"/>
      <c r="Q348" s="1266"/>
      <c r="R348" s="1266"/>
      <c r="S348" s="1266"/>
      <c r="T348" s="1266"/>
      <c r="U348" s="1266"/>
      <c r="V348" s="1266"/>
      <c r="W348" s="1266"/>
      <c r="X348" s="1266"/>
      <c r="Y348" s="1266"/>
      <c r="Z348" s="1266"/>
      <c r="AA348" s="1266"/>
      <c r="AB348" s="1266"/>
      <c r="AC348" s="1266"/>
      <c r="AD348" s="1266"/>
      <c r="AE348" s="1266"/>
      <c r="AF348" s="1266"/>
      <c r="AG348" s="1266"/>
      <c r="AH348" s="1266"/>
      <c r="AI348" s="1266"/>
      <c r="AJ348" s="1266"/>
      <c r="AK348" s="1266"/>
      <c r="AL348" s="1266"/>
      <c r="AM348" s="1266"/>
      <c r="AN348" s="1266"/>
      <c r="AO348" s="1266"/>
      <c r="AP348" s="1266"/>
      <c r="AQ348" s="1266"/>
      <c r="AR348" s="1266"/>
      <c r="AS348" s="1266"/>
      <c r="AT348" s="1266"/>
      <c r="AU348" s="1266"/>
      <c r="AV348" s="1266"/>
      <c r="AW348" s="1266"/>
      <c r="AX348" s="1266"/>
      <c r="AY348" s="1266"/>
      <c r="AZ348" s="1266"/>
      <c r="BA348" s="1266"/>
      <c r="BB348" s="1266"/>
      <c r="BC348" s="1266"/>
      <c r="BD348" s="1266"/>
      <c r="BR348" s="1266"/>
      <c r="BS348" s="1266"/>
      <c r="BT348" s="1266"/>
      <c r="BU348" s="1186"/>
      <c r="BV348" s="1551"/>
      <c r="BW348" s="1551"/>
      <c r="BX348" s="1551"/>
      <c r="BY348" s="1266"/>
      <c r="BZ348" s="1266"/>
    </row>
    <row r="349" spans="2:78" ht="12.75" customHeight="1">
      <c r="B349" s="1281"/>
      <c r="C349" s="1266"/>
      <c r="D349" s="1266"/>
      <c r="E349" s="1266"/>
      <c r="F349" s="1356"/>
      <c r="G349" s="1286"/>
      <c r="H349" s="1286"/>
      <c r="I349" s="1286"/>
      <c r="J349" s="1286"/>
      <c r="K349" s="1266"/>
      <c r="L349" s="1266"/>
      <c r="M349" s="1266"/>
      <c r="N349" s="1266"/>
      <c r="O349" s="1266"/>
      <c r="P349" s="1266"/>
      <c r="Q349" s="1266"/>
      <c r="R349" s="1266"/>
      <c r="S349" s="1266"/>
      <c r="T349" s="1266"/>
      <c r="U349" s="1266"/>
      <c r="V349" s="1266"/>
      <c r="W349" s="1266"/>
      <c r="X349" s="1266"/>
      <c r="Y349" s="1266"/>
      <c r="Z349" s="1266"/>
      <c r="AA349" s="1266"/>
      <c r="AB349" s="1266"/>
      <c r="AC349" s="1266"/>
      <c r="AD349" s="1266"/>
      <c r="AE349" s="1266"/>
      <c r="AF349" s="1266"/>
      <c r="AG349" s="1266"/>
      <c r="AH349" s="1266"/>
      <c r="AI349" s="1266"/>
      <c r="AJ349" s="1266"/>
      <c r="AK349" s="1266"/>
      <c r="AL349" s="1266"/>
      <c r="AM349" s="1266"/>
      <c r="AN349" s="1266"/>
      <c r="AO349" s="1266"/>
      <c r="AP349" s="1266"/>
      <c r="AQ349" s="1266"/>
      <c r="AR349" s="1266"/>
      <c r="AS349" s="1266"/>
      <c r="AT349" s="1266"/>
      <c r="AU349" s="1266"/>
      <c r="AV349" s="1266"/>
      <c r="AW349" s="1266"/>
      <c r="AX349" s="1266"/>
      <c r="AY349" s="1266"/>
      <c r="AZ349" s="1266"/>
      <c r="BA349" s="1266"/>
      <c r="BB349" s="1266"/>
      <c r="BC349" s="1266"/>
      <c r="BD349" s="1266"/>
      <c r="BR349" s="1266"/>
      <c r="BS349" s="1266"/>
      <c r="BT349" s="1266"/>
      <c r="BU349" s="1186"/>
      <c r="BV349" s="1551"/>
      <c r="BW349" s="1551"/>
      <c r="BX349" s="1551"/>
      <c r="BY349" s="1266"/>
      <c r="BZ349" s="1266"/>
    </row>
    <row r="350" spans="2:78" ht="12.75" customHeight="1">
      <c r="B350" s="1281"/>
      <c r="C350" s="1266"/>
      <c r="D350" s="1266"/>
      <c r="E350" s="1266"/>
      <c r="F350" s="1356"/>
      <c r="G350" s="1286"/>
      <c r="H350" s="1286"/>
      <c r="I350" s="1286"/>
      <c r="J350" s="1286"/>
      <c r="K350" s="1266"/>
      <c r="L350" s="1266"/>
      <c r="M350" s="1266"/>
      <c r="N350" s="1266"/>
      <c r="O350" s="1266"/>
      <c r="P350" s="1266"/>
      <c r="Q350" s="1266"/>
      <c r="R350" s="1266"/>
      <c r="S350" s="1266"/>
      <c r="T350" s="1266"/>
      <c r="U350" s="1266"/>
      <c r="V350" s="1266"/>
      <c r="W350" s="1266"/>
      <c r="X350" s="1266"/>
      <c r="Y350" s="1266"/>
      <c r="Z350" s="1266"/>
      <c r="AA350" s="1266"/>
      <c r="AB350" s="1266"/>
      <c r="AC350" s="1266"/>
      <c r="AD350" s="1266"/>
      <c r="AE350" s="1266"/>
      <c r="AF350" s="1266"/>
      <c r="AG350" s="1266"/>
      <c r="AH350" s="1266"/>
      <c r="AI350" s="1266"/>
      <c r="AJ350" s="1266"/>
      <c r="AK350" s="1266"/>
      <c r="AL350" s="1266"/>
      <c r="AM350" s="1266"/>
      <c r="AN350" s="1266"/>
      <c r="AO350" s="1266"/>
      <c r="AP350" s="1266"/>
      <c r="AQ350" s="1266"/>
      <c r="AR350" s="1266"/>
      <c r="AS350" s="1266"/>
      <c r="AT350" s="1266"/>
      <c r="AU350" s="1266"/>
      <c r="AV350" s="1266"/>
      <c r="AW350" s="1266"/>
      <c r="AX350" s="1266"/>
      <c r="AY350" s="1266"/>
      <c r="AZ350" s="1266"/>
      <c r="BA350" s="1266"/>
      <c r="BB350" s="1266"/>
      <c r="BC350" s="1266"/>
      <c r="BD350" s="1266"/>
      <c r="BR350" s="1266"/>
      <c r="BS350" s="1266"/>
      <c r="BT350" s="1266"/>
      <c r="BU350" s="1186"/>
      <c r="BV350" s="1551"/>
      <c r="BW350" s="1551"/>
      <c r="BX350" s="1551"/>
      <c r="BY350" s="1266"/>
      <c r="BZ350" s="1266"/>
    </row>
    <row r="351" spans="2:78" ht="12.75" customHeight="1">
      <c r="B351" s="1281"/>
      <c r="C351" s="1266"/>
      <c r="D351" s="1266"/>
      <c r="E351" s="1266"/>
      <c r="F351" s="1356"/>
      <c r="G351" s="1286"/>
      <c r="H351" s="1286"/>
      <c r="I351" s="1286"/>
      <c r="J351" s="1286"/>
      <c r="K351" s="1266"/>
      <c r="L351" s="1266"/>
      <c r="M351" s="1266"/>
      <c r="N351" s="1266"/>
      <c r="O351" s="1266"/>
      <c r="P351" s="1266"/>
      <c r="Q351" s="1266"/>
      <c r="R351" s="1266"/>
      <c r="S351" s="1266"/>
      <c r="T351" s="1266"/>
      <c r="U351" s="1266"/>
      <c r="V351" s="1266"/>
      <c r="W351" s="1266"/>
      <c r="X351" s="1266"/>
      <c r="Y351" s="1266"/>
      <c r="Z351" s="1266"/>
      <c r="AA351" s="1266"/>
      <c r="AB351" s="1266"/>
      <c r="AC351" s="1266"/>
      <c r="AD351" s="1266"/>
      <c r="AE351" s="1266"/>
      <c r="AF351" s="1266"/>
      <c r="AG351" s="1266"/>
      <c r="AH351" s="1266"/>
      <c r="AI351" s="1266"/>
      <c r="AJ351" s="1266"/>
      <c r="AK351" s="1266"/>
      <c r="AL351" s="1266"/>
      <c r="AM351" s="1266"/>
      <c r="AN351" s="1266"/>
      <c r="AO351" s="1266"/>
      <c r="AP351" s="1266"/>
      <c r="AQ351" s="1266"/>
      <c r="AR351" s="1266"/>
      <c r="AS351" s="1266"/>
      <c r="AT351" s="1266"/>
      <c r="AU351" s="1266"/>
      <c r="AV351" s="1266"/>
      <c r="AW351" s="1266"/>
      <c r="AX351" s="1266"/>
      <c r="AY351" s="1266"/>
      <c r="AZ351" s="1266"/>
      <c r="BA351" s="1266"/>
      <c r="BB351" s="1266"/>
      <c r="BC351" s="1266"/>
      <c r="BD351" s="1266"/>
      <c r="BR351" s="1266"/>
      <c r="BS351" s="1266"/>
      <c r="BT351" s="1266"/>
      <c r="BU351" s="1186"/>
      <c r="BV351" s="1551"/>
      <c r="BW351" s="1551"/>
      <c r="BX351" s="1551"/>
      <c r="BY351" s="1266"/>
      <c r="BZ351" s="1266"/>
    </row>
    <row r="352" spans="2:78" ht="12.75" customHeight="1">
      <c r="B352" s="1281"/>
      <c r="C352" s="1266"/>
      <c r="D352" s="1266"/>
      <c r="E352" s="1266"/>
      <c r="F352" s="1356"/>
      <c r="G352" s="1286"/>
      <c r="H352" s="1286"/>
      <c r="I352" s="1286"/>
      <c r="J352" s="1286"/>
      <c r="K352" s="1266"/>
      <c r="L352" s="1266"/>
      <c r="M352" s="1266"/>
      <c r="N352" s="1266"/>
      <c r="O352" s="1266"/>
      <c r="P352" s="1266"/>
      <c r="Q352" s="1266"/>
      <c r="R352" s="1266"/>
      <c r="S352" s="1266"/>
      <c r="T352" s="1266"/>
      <c r="U352" s="1266"/>
      <c r="V352" s="1266"/>
      <c r="W352" s="1266"/>
      <c r="X352" s="1266"/>
      <c r="Y352" s="1266"/>
      <c r="Z352" s="1266"/>
      <c r="AA352" s="1266"/>
      <c r="AB352" s="1266"/>
      <c r="AC352" s="1266"/>
      <c r="AD352" s="1266"/>
      <c r="AE352" s="1266"/>
      <c r="AF352" s="1266"/>
      <c r="AG352" s="1266"/>
      <c r="AH352" s="1266"/>
      <c r="AI352" s="1266"/>
      <c r="AJ352" s="1266"/>
      <c r="AK352" s="1266"/>
      <c r="AL352" s="1266"/>
      <c r="AM352" s="1266"/>
      <c r="AN352" s="1266"/>
      <c r="AO352" s="1266"/>
      <c r="AP352" s="1266"/>
      <c r="AQ352" s="1266"/>
      <c r="AR352" s="1266"/>
      <c r="AS352" s="1266"/>
      <c r="AT352" s="1266"/>
      <c r="AU352" s="1266"/>
      <c r="AV352" s="1266"/>
      <c r="AW352" s="1266"/>
      <c r="AX352" s="1266"/>
      <c r="AY352" s="1266"/>
      <c r="AZ352" s="1266"/>
      <c r="BA352" s="1266"/>
      <c r="BB352" s="1266"/>
      <c r="BC352" s="1266"/>
      <c r="BD352" s="1266"/>
      <c r="BR352" s="1266"/>
      <c r="BS352" s="1266"/>
      <c r="BT352" s="1266"/>
      <c r="BU352" s="1186"/>
      <c r="BV352" s="1551"/>
      <c r="BW352" s="1551"/>
      <c r="BX352" s="1551"/>
      <c r="BY352" s="1266"/>
      <c r="BZ352" s="1266"/>
    </row>
    <row r="353" spans="2:78" ht="12.75" customHeight="1">
      <c r="B353" s="1281"/>
      <c r="C353" s="1266"/>
      <c r="D353" s="1266"/>
      <c r="E353" s="1266"/>
      <c r="F353" s="1356"/>
      <c r="G353" s="1286"/>
      <c r="H353" s="1286"/>
      <c r="I353" s="1286"/>
      <c r="J353" s="1286"/>
      <c r="K353" s="1266"/>
      <c r="L353" s="1266"/>
      <c r="M353" s="1266"/>
      <c r="N353" s="1266"/>
      <c r="O353" s="1266"/>
      <c r="P353" s="1266"/>
      <c r="Q353" s="1266"/>
      <c r="R353" s="1266"/>
      <c r="S353" s="1266"/>
      <c r="T353" s="1266"/>
      <c r="U353" s="1266"/>
      <c r="V353" s="1266"/>
      <c r="W353" s="1266"/>
      <c r="X353" s="1266"/>
      <c r="Y353" s="1266"/>
      <c r="Z353" s="1266"/>
      <c r="AA353" s="1266"/>
      <c r="AB353" s="1266"/>
      <c r="AC353" s="1266"/>
      <c r="AD353" s="1266"/>
      <c r="AE353" s="1266"/>
      <c r="AF353" s="1266"/>
      <c r="AG353" s="1266"/>
      <c r="AH353" s="1266"/>
      <c r="AI353" s="1266"/>
      <c r="AJ353" s="1266"/>
      <c r="AK353" s="1266"/>
      <c r="AL353" s="1266"/>
      <c r="AM353" s="1266"/>
      <c r="AN353" s="1266"/>
      <c r="AO353" s="1266"/>
      <c r="AP353" s="1266"/>
      <c r="AQ353" s="1266"/>
      <c r="AR353" s="1266"/>
      <c r="AS353" s="1266"/>
      <c r="AT353" s="1266"/>
      <c r="AU353" s="1266"/>
      <c r="AV353" s="1266"/>
      <c r="AW353" s="1266"/>
      <c r="AX353" s="1266"/>
      <c r="AY353" s="1266"/>
      <c r="AZ353" s="1266"/>
      <c r="BA353" s="1266"/>
      <c r="BB353" s="1266"/>
      <c r="BC353" s="1266"/>
      <c r="BD353" s="1266"/>
      <c r="BR353" s="1266"/>
      <c r="BS353" s="1266"/>
      <c r="BT353" s="1266"/>
      <c r="BU353" s="1186"/>
      <c r="BV353" s="1551"/>
      <c r="BW353" s="1551"/>
      <c r="BX353" s="1551"/>
      <c r="BY353" s="1266"/>
      <c r="BZ353" s="1266"/>
    </row>
    <row r="354" spans="2:78" ht="12.75" customHeight="1">
      <c r="B354" s="1281"/>
      <c r="C354" s="1266"/>
      <c r="D354" s="1266"/>
      <c r="E354" s="1266"/>
      <c r="F354" s="1356"/>
      <c r="G354" s="1286"/>
      <c r="H354" s="1286"/>
      <c r="I354" s="1286"/>
      <c r="J354" s="1286"/>
      <c r="K354" s="1266"/>
      <c r="L354" s="1266"/>
      <c r="M354" s="1266"/>
      <c r="N354" s="1266"/>
      <c r="O354" s="1266"/>
      <c r="P354" s="1266"/>
      <c r="Q354" s="1266"/>
      <c r="R354" s="1266"/>
      <c r="S354" s="1266"/>
      <c r="T354" s="1266"/>
      <c r="U354" s="1266"/>
      <c r="V354" s="1266"/>
      <c r="W354" s="1266"/>
      <c r="X354" s="1266"/>
      <c r="Y354" s="1266"/>
      <c r="Z354" s="1266"/>
      <c r="AA354" s="1266"/>
      <c r="AB354" s="1266"/>
      <c r="AC354" s="1266"/>
      <c r="AD354" s="1266"/>
      <c r="AE354" s="1266"/>
      <c r="AF354" s="1266"/>
      <c r="AG354" s="1266"/>
      <c r="AH354" s="1266"/>
      <c r="AI354" s="1266"/>
      <c r="AJ354" s="1266"/>
      <c r="AK354" s="1266"/>
      <c r="AL354" s="1266"/>
      <c r="AM354" s="1266"/>
      <c r="AN354" s="1266"/>
      <c r="AO354" s="1266"/>
      <c r="AP354" s="1266"/>
      <c r="AQ354" s="1266"/>
      <c r="AR354" s="1266"/>
      <c r="AS354" s="1266"/>
      <c r="AT354" s="1266"/>
      <c r="AU354" s="1266"/>
      <c r="AV354" s="1266"/>
      <c r="AW354" s="1266"/>
      <c r="AX354" s="1266"/>
      <c r="AY354" s="1266"/>
      <c r="AZ354" s="1266"/>
      <c r="BA354" s="1266"/>
      <c r="BB354" s="1266"/>
      <c r="BC354" s="1266"/>
      <c r="BD354" s="1266"/>
      <c r="BR354" s="1266"/>
      <c r="BS354" s="1266"/>
      <c r="BT354" s="1266"/>
      <c r="BU354" s="1186"/>
      <c r="BV354" s="1551"/>
      <c r="BW354" s="1551"/>
      <c r="BX354" s="1551"/>
      <c r="BY354" s="1266"/>
      <c r="BZ354" s="1266"/>
    </row>
    <row r="355" spans="2:78" ht="12.75" customHeight="1">
      <c r="B355" s="1281"/>
      <c r="C355" s="1266"/>
      <c r="D355" s="1266"/>
      <c r="E355" s="1266"/>
      <c r="F355" s="1356"/>
      <c r="G355" s="1286"/>
      <c r="H355" s="1286"/>
      <c r="I355" s="1286"/>
      <c r="J355" s="1286"/>
      <c r="K355" s="1266"/>
      <c r="L355" s="1266"/>
      <c r="M355" s="1266"/>
      <c r="N355" s="1266"/>
      <c r="O355" s="1266"/>
      <c r="P355" s="1266"/>
      <c r="Q355" s="1266"/>
      <c r="R355" s="1266"/>
      <c r="S355" s="1266"/>
      <c r="T355" s="1266"/>
      <c r="U355" s="1266"/>
      <c r="V355" s="1266"/>
      <c r="W355" s="1266"/>
      <c r="X355" s="1266"/>
      <c r="Y355" s="1266"/>
      <c r="Z355" s="1266"/>
      <c r="AA355" s="1266"/>
      <c r="AB355" s="1266"/>
      <c r="AC355" s="1266"/>
      <c r="AD355" s="1266"/>
      <c r="AE355" s="1266"/>
      <c r="AF355" s="1266"/>
      <c r="AG355" s="1266"/>
      <c r="AH355" s="1266"/>
      <c r="AI355" s="1266"/>
      <c r="AJ355" s="1266"/>
      <c r="AK355" s="1266"/>
      <c r="AL355" s="1266"/>
      <c r="AM355" s="1266"/>
      <c r="AN355" s="1266"/>
      <c r="AO355" s="1266"/>
      <c r="AP355" s="1266"/>
      <c r="AQ355" s="1266"/>
      <c r="AR355" s="1266"/>
      <c r="AS355" s="1266"/>
      <c r="AT355" s="1266"/>
      <c r="AU355" s="1266"/>
      <c r="AV355" s="1266"/>
      <c r="AW355" s="1266"/>
      <c r="AX355" s="1266"/>
      <c r="AY355" s="1266"/>
      <c r="AZ355" s="1266"/>
      <c r="BA355" s="1266"/>
      <c r="BB355" s="1266"/>
      <c r="BC355" s="1266"/>
      <c r="BD355" s="1266"/>
      <c r="BR355" s="1266"/>
      <c r="BS355" s="1266"/>
      <c r="BT355" s="1266"/>
      <c r="BU355" s="1186"/>
      <c r="BV355" s="1551"/>
      <c r="BW355" s="1551"/>
      <c r="BX355" s="1551"/>
      <c r="BY355" s="1266"/>
      <c r="BZ355" s="1266"/>
    </row>
    <row r="356" spans="2:78" ht="12.75" customHeight="1">
      <c r="B356" s="1281"/>
      <c r="C356" s="1266"/>
      <c r="D356" s="1266"/>
      <c r="E356" s="1266"/>
      <c r="F356" s="1356"/>
      <c r="G356" s="1286"/>
      <c r="H356" s="1286"/>
      <c r="I356" s="1286"/>
      <c r="J356" s="1286"/>
      <c r="K356" s="1266"/>
      <c r="L356" s="1266"/>
      <c r="M356" s="1266"/>
      <c r="N356" s="1266"/>
      <c r="O356" s="1266"/>
      <c r="P356" s="1266"/>
      <c r="Q356" s="1266"/>
      <c r="R356" s="1266"/>
      <c r="S356" s="1266"/>
      <c r="T356" s="1266"/>
      <c r="U356" s="1266"/>
      <c r="V356" s="1266"/>
      <c r="W356" s="1266"/>
      <c r="X356" s="1266"/>
      <c r="Y356" s="1266"/>
      <c r="Z356" s="1266"/>
      <c r="AA356" s="1266"/>
      <c r="AB356" s="1266"/>
      <c r="AC356" s="1266"/>
      <c r="AD356" s="1266"/>
      <c r="AE356" s="1266"/>
      <c r="AF356" s="1266"/>
      <c r="AG356" s="1266"/>
      <c r="AH356" s="1266"/>
      <c r="AI356" s="1266"/>
      <c r="AJ356" s="1266"/>
      <c r="AK356" s="1266"/>
      <c r="AL356" s="1266"/>
      <c r="AM356" s="1266"/>
      <c r="AN356" s="1266"/>
      <c r="AO356" s="1266"/>
      <c r="AP356" s="1266"/>
      <c r="AQ356" s="1266"/>
      <c r="AR356" s="1266"/>
      <c r="AS356" s="1266"/>
      <c r="AT356" s="1266"/>
      <c r="AU356" s="1266"/>
      <c r="AV356" s="1266"/>
      <c r="AW356" s="1266"/>
      <c r="AX356" s="1266"/>
      <c r="AY356" s="1266"/>
      <c r="AZ356" s="1266"/>
      <c r="BA356" s="1266"/>
      <c r="BB356" s="1266"/>
      <c r="BC356" s="1266"/>
      <c r="BD356" s="1266"/>
      <c r="BR356" s="1266"/>
      <c r="BS356" s="1266"/>
      <c r="BT356" s="1266"/>
      <c r="BU356" s="1186"/>
      <c r="BV356" s="1551"/>
      <c r="BW356" s="1551"/>
      <c r="BX356" s="1551"/>
      <c r="BY356" s="1266"/>
      <c r="BZ356" s="1266"/>
    </row>
    <row r="357" spans="2:78" ht="12.75" customHeight="1">
      <c r="B357" s="1281"/>
      <c r="C357" s="1266"/>
      <c r="D357" s="1266"/>
      <c r="E357" s="1266"/>
      <c r="F357" s="1356"/>
      <c r="G357" s="1286"/>
      <c r="H357" s="1286"/>
      <c r="I357" s="1286"/>
      <c r="J357" s="1286"/>
      <c r="K357" s="1266"/>
      <c r="L357" s="1266"/>
      <c r="M357" s="1266"/>
      <c r="N357" s="1266"/>
      <c r="O357" s="1266"/>
      <c r="P357" s="1266"/>
      <c r="Q357" s="1266"/>
      <c r="R357" s="1266"/>
      <c r="S357" s="1266"/>
      <c r="T357" s="1266"/>
      <c r="U357" s="1266"/>
      <c r="V357" s="1266"/>
      <c r="W357" s="1266"/>
      <c r="X357" s="1266"/>
      <c r="Y357" s="1266"/>
      <c r="Z357" s="1266"/>
      <c r="AA357" s="1266"/>
      <c r="AB357" s="1266"/>
      <c r="AC357" s="1266"/>
      <c r="AD357" s="1266"/>
      <c r="AE357" s="1266"/>
      <c r="AF357" s="1266"/>
      <c r="AG357" s="1266"/>
      <c r="AH357" s="1266"/>
      <c r="AI357" s="1266"/>
      <c r="AJ357" s="1266"/>
      <c r="AK357" s="1266"/>
      <c r="AL357" s="1266"/>
      <c r="AM357" s="1266"/>
      <c r="AN357" s="1266"/>
      <c r="AO357" s="1266"/>
      <c r="AP357" s="1266"/>
      <c r="AQ357" s="1266"/>
      <c r="AR357" s="1266"/>
      <c r="AS357" s="1266"/>
      <c r="AT357" s="1266"/>
      <c r="AU357" s="1266"/>
      <c r="AV357" s="1266"/>
      <c r="AW357" s="1266"/>
      <c r="AX357" s="1266"/>
      <c r="AY357" s="1266"/>
      <c r="AZ357" s="1266"/>
      <c r="BA357" s="1266"/>
      <c r="BB357" s="1266"/>
      <c r="BC357" s="1266"/>
      <c r="BD357" s="1266"/>
      <c r="BR357" s="1266"/>
      <c r="BS357" s="1266"/>
      <c r="BT357" s="1266"/>
      <c r="BU357" s="1186"/>
      <c r="BV357" s="1551"/>
      <c r="BW357" s="1551"/>
      <c r="BX357" s="1551"/>
      <c r="BY357" s="1266"/>
      <c r="BZ357" s="1266"/>
    </row>
    <row r="358" spans="2:78" ht="12.75" customHeight="1">
      <c r="B358" s="1281"/>
      <c r="C358" s="1266"/>
      <c r="D358" s="1266"/>
      <c r="E358" s="1266"/>
      <c r="F358" s="1356"/>
      <c r="G358" s="1286"/>
      <c r="H358" s="1286"/>
      <c r="I358" s="1286"/>
      <c r="J358" s="1286"/>
      <c r="K358" s="1266"/>
      <c r="L358" s="1266"/>
      <c r="M358" s="1266"/>
      <c r="N358" s="1266"/>
      <c r="O358" s="1266"/>
      <c r="P358" s="1266"/>
      <c r="Q358" s="1266"/>
      <c r="R358" s="1266"/>
      <c r="S358" s="1266"/>
      <c r="T358" s="1266"/>
      <c r="U358" s="1266"/>
      <c r="V358" s="1266"/>
      <c r="W358" s="1266"/>
      <c r="X358" s="1266"/>
      <c r="Y358" s="1266"/>
      <c r="Z358" s="1266"/>
      <c r="AA358" s="1266"/>
      <c r="AB358" s="1266"/>
      <c r="AC358" s="1266"/>
      <c r="AD358" s="1266"/>
      <c r="AE358" s="1266"/>
      <c r="AF358" s="1266"/>
      <c r="AG358" s="1266"/>
      <c r="AH358" s="1266"/>
      <c r="AI358" s="1266"/>
      <c r="AJ358" s="1266"/>
      <c r="AK358" s="1266"/>
      <c r="AL358" s="1266"/>
      <c r="AM358" s="1266"/>
      <c r="AN358" s="1266"/>
      <c r="AO358" s="1266"/>
      <c r="AP358" s="1266"/>
      <c r="AQ358" s="1266"/>
      <c r="AR358" s="1266"/>
      <c r="AS358" s="1266"/>
      <c r="AT358" s="1266"/>
      <c r="AU358" s="1266"/>
      <c r="AV358" s="1266"/>
      <c r="AW358" s="1266"/>
      <c r="AX358" s="1266"/>
      <c r="AY358" s="1266"/>
      <c r="AZ358" s="1266"/>
      <c r="BA358" s="1266"/>
      <c r="BB358" s="1266"/>
      <c r="BC358" s="1266"/>
      <c r="BD358" s="1266"/>
      <c r="BR358" s="1266"/>
      <c r="BS358" s="1266"/>
      <c r="BT358" s="1266"/>
      <c r="BU358" s="1186"/>
      <c r="BV358" s="1551"/>
      <c r="BW358" s="1551"/>
      <c r="BX358" s="1551"/>
      <c r="BY358" s="1266"/>
      <c r="BZ358" s="1266"/>
    </row>
    <row r="359" spans="2:78" ht="12.75" customHeight="1">
      <c r="B359" s="1281"/>
      <c r="C359" s="1266"/>
      <c r="D359" s="1266"/>
      <c r="E359" s="1266"/>
      <c r="F359" s="1356"/>
      <c r="G359" s="1286"/>
      <c r="H359" s="1286"/>
      <c r="I359" s="1286"/>
      <c r="J359" s="1286"/>
      <c r="K359" s="1266"/>
      <c r="L359" s="1266"/>
      <c r="M359" s="1266"/>
      <c r="N359" s="1266"/>
      <c r="O359" s="1266"/>
      <c r="P359" s="1266"/>
      <c r="Q359" s="1266"/>
      <c r="R359" s="1266"/>
      <c r="S359" s="1266"/>
      <c r="T359" s="1266"/>
      <c r="U359" s="1266"/>
      <c r="V359" s="1266"/>
      <c r="W359" s="1266"/>
      <c r="X359" s="1266"/>
      <c r="Y359" s="1266"/>
      <c r="Z359" s="1266"/>
      <c r="AA359" s="1266"/>
      <c r="AB359" s="1266"/>
      <c r="AC359" s="1266"/>
      <c r="AD359" s="1266"/>
      <c r="AE359" s="1266"/>
      <c r="AF359" s="1266"/>
      <c r="AG359" s="1266"/>
      <c r="AH359" s="1266"/>
      <c r="AI359" s="1266"/>
      <c r="AJ359" s="1266"/>
      <c r="AK359" s="1266"/>
      <c r="AL359" s="1266"/>
      <c r="AM359" s="1266"/>
      <c r="AN359" s="1266"/>
      <c r="AO359" s="1266"/>
      <c r="AP359" s="1266"/>
      <c r="AQ359" s="1266"/>
      <c r="AR359" s="1266"/>
      <c r="AS359" s="1266"/>
      <c r="AT359" s="1266"/>
      <c r="AU359" s="1266"/>
      <c r="AV359" s="1266"/>
      <c r="AW359" s="1266"/>
      <c r="AX359" s="1266"/>
      <c r="AY359" s="1266"/>
      <c r="AZ359" s="1266"/>
      <c r="BA359" s="1266"/>
      <c r="BB359" s="1266"/>
      <c r="BC359" s="1266"/>
      <c r="BD359" s="1266"/>
      <c r="BR359" s="1266"/>
      <c r="BS359" s="1266"/>
      <c r="BT359" s="1266"/>
      <c r="BU359" s="1186"/>
      <c r="BV359" s="1551"/>
      <c r="BW359" s="1551"/>
      <c r="BX359" s="1551"/>
      <c r="BY359" s="1266"/>
      <c r="BZ359" s="1266"/>
    </row>
    <row r="360" spans="2:78" ht="12.75" customHeight="1">
      <c r="B360" s="1281"/>
      <c r="C360" s="1266"/>
      <c r="D360" s="1266"/>
      <c r="E360" s="1266"/>
      <c r="F360" s="1356"/>
      <c r="G360" s="1286"/>
      <c r="H360" s="1286"/>
      <c r="I360" s="1286"/>
      <c r="J360" s="1286"/>
      <c r="K360" s="1266"/>
      <c r="L360" s="1266"/>
      <c r="M360" s="1266"/>
      <c r="N360" s="1266"/>
      <c r="O360" s="1266"/>
      <c r="P360" s="1266"/>
      <c r="Q360" s="1266"/>
      <c r="R360" s="1266"/>
      <c r="S360" s="1266"/>
      <c r="T360" s="1266"/>
      <c r="U360" s="1266"/>
      <c r="V360" s="1266"/>
      <c r="W360" s="1266"/>
      <c r="X360" s="1266"/>
      <c r="Y360" s="1266"/>
      <c r="Z360" s="1266"/>
      <c r="AA360" s="1266"/>
      <c r="AB360" s="1266"/>
      <c r="AC360" s="1266"/>
      <c r="AD360" s="1266"/>
      <c r="AE360" s="1266"/>
      <c r="AF360" s="1266"/>
      <c r="AG360" s="1266"/>
      <c r="AH360" s="1266"/>
      <c r="AI360" s="1266"/>
      <c r="AJ360" s="1266"/>
      <c r="AK360" s="1266"/>
      <c r="AL360" s="1266"/>
      <c r="AM360" s="1266"/>
      <c r="AN360" s="1266"/>
      <c r="AO360" s="1266"/>
      <c r="AP360" s="1266"/>
      <c r="AQ360" s="1266"/>
      <c r="AR360" s="1266"/>
      <c r="AS360" s="1266"/>
      <c r="AT360" s="1266"/>
      <c r="AU360" s="1266"/>
      <c r="AV360" s="1266"/>
      <c r="AW360" s="1266"/>
      <c r="AX360" s="1266"/>
      <c r="AY360" s="1266"/>
      <c r="AZ360" s="1266"/>
      <c r="BA360" s="1266"/>
      <c r="BB360" s="1266"/>
      <c r="BC360" s="1266"/>
      <c r="BD360" s="1266"/>
      <c r="BR360" s="1266"/>
      <c r="BS360" s="1266"/>
      <c r="BT360" s="1266"/>
      <c r="BU360" s="1186"/>
      <c r="BV360" s="1266"/>
      <c r="BW360" s="1266"/>
      <c r="BX360" s="1266"/>
      <c r="BY360" s="1266"/>
      <c r="BZ360" s="1266"/>
    </row>
    <row r="361" spans="2:78" ht="12.75" customHeight="1">
      <c r="B361" s="1281"/>
      <c r="C361" s="1266"/>
      <c r="D361" s="1266"/>
      <c r="E361" s="1266"/>
      <c r="F361" s="1356"/>
      <c r="G361" s="1286"/>
      <c r="H361" s="1286"/>
      <c r="I361" s="1286"/>
      <c r="J361" s="1286"/>
      <c r="K361" s="1266"/>
      <c r="L361" s="1266"/>
      <c r="M361" s="1266"/>
      <c r="N361" s="1266"/>
      <c r="O361" s="1266"/>
      <c r="P361" s="1266"/>
      <c r="Q361" s="1266"/>
      <c r="R361" s="1266"/>
      <c r="S361" s="1266"/>
      <c r="T361" s="1266"/>
      <c r="U361" s="1266"/>
      <c r="V361" s="1266"/>
      <c r="W361" s="1266"/>
      <c r="X361" s="1266"/>
      <c r="Y361" s="1266"/>
      <c r="Z361" s="1266"/>
      <c r="AA361" s="1266"/>
      <c r="AB361" s="1266"/>
      <c r="AC361" s="1266"/>
      <c r="AD361" s="1266"/>
      <c r="AE361" s="1266"/>
      <c r="AF361" s="1266"/>
      <c r="AG361" s="1266"/>
      <c r="AH361" s="1266"/>
      <c r="AI361" s="1266"/>
      <c r="AJ361" s="1266"/>
      <c r="AK361" s="1266"/>
      <c r="AL361" s="1266"/>
      <c r="AM361" s="1266"/>
      <c r="AN361" s="1266"/>
      <c r="AO361" s="1266"/>
      <c r="AP361" s="1266"/>
      <c r="AQ361" s="1266"/>
      <c r="AR361" s="1266"/>
      <c r="AS361" s="1266"/>
      <c r="AT361" s="1266"/>
      <c r="AU361" s="1266"/>
      <c r="AV361" s="1266"/>
      <c r="AW361" s="1266"/>
      <c r="AX361" s="1266"/>
      <c r="AY361" s="1266"/>
      <c r="AZ361" s="1266"/>
      <c r="BA361" s="1266"/>
      <c r="BB361" s="1266"/>
      <c r="BC361" s="1266"/>
      <c r="BD361" s="1266"/>
      <c r="BR361" s="1266"/>
      <c r="BS361" s="1266"/>
      <c r="BT361" s="1266"/>
      <c r="BU361" s="1186"/>
      <c r="BV361" s="1266"/>
      <c r="BW361" s="1266"/>
      <c r="BX361" s="1266"/>
      <c r="BY361" s="1266"/>
      <c r="BZ361" s="1266"/>
    </row>
    <row r="362" spans="2:78" ht="12.75" customHeight="1">
      <c r="B362" s="1281"/>
      <c r="C362" s="1266"/>
      <c r="D362" s="1266"/>
      <c r="E362" s="1266"/>
      <c r="F362" s="1356"/>
      <c r="G362" s="1286"/>
      <c r="H362" s="1286"/>
      <c r="I362" s="1286"/>
      <c r="J362" s="1286"/>
      <c r="K362" s="1266"/>
      <c r="L362" s="1266"/>
      <c r="M362" s="1266"/>
      <c r="N362" s="1266"/>
      <c r="O362" s="1266"/>
      <c r="P362" s="1266"/>
      <c r="Q362" s="1266"/>
      <c r="R362" s="1266"/>
      <c r="S362" s="1266"/>
      <c r="T362" s="1266"/>
      <c r="U362" s="1266"/>
      <c r="V362" s="1266"/>
      <c r="W362" s="1266"/>
      <c r="X362" s="1266"/>
      <c r="Y362" s="1266"/>
      <c r="Z362" s="1266"/>
      <c r="AA362" s="1266"/>
      <c r="AB362" s="1266"/>
      <c r="AC362" s="1266"/>
      <c r="AD362" s="1266"/>
      <c r="AE362" s="1266"/>
      <c r="AF362" s="1266"/>
      <c r="AG362" s="1266"/>
      <c r="AH362" s="1266"/>
      <c r="AI362" s="1266"/>
      <c r="AJ362" s="1266"/>
      <c r="AK362" s="1266"/>
      <c r="AL362" s="1266"/>
      <c r="AM362" s="1266"/>
      <c r="AN362" s="1266"/>
      <c r="AO362" s="1266"/>
      <c r="AP362" s="1266"/>
      <c r="AQ362" s="1266"/>
      <c r="AR362" s="1266"/>
      <c r="AS362" s="1266"/>
      <c r="AT362" s="1266"/>
      <c r="AU362" s="1266"/>
      <c r="AV362" s="1266"/>
      <c r="AW362" s="1266"/>
      <c r="AX362" s="1266"/>
      <c r="AY362" s="1266"/>
      <c r="AZ362" s="1266"/>
      <c r="BA362" s="1266"/>
      <c r="BB362" s="1266"/>
      <c r="BC362" s="1266"/>
      <c r="BD362" s="1266"/>
      <c r="BR362" s="1266"/>
      <c r="BS362" s="1266"/>
      <c r="BT362" s="1266"/>
      <c r="BU362" s="1186"/>
      <c r="BV362" s="1266"/>
      <c r="BW362" s="1266"/>
      <c r="BX362" s="1266"/>
      <c r="BY362" s="1266"/>
      <c r="BZ362" s="1266"/>
    </row>
    <row r="363" spans="2:78" ht="12.75" customHeight="1">
      <c r="B363" s="1281"/>
      <c r="C363" s="1266"/>
      <c r="D363" s="1266"/>
      <c r="E363" s="1266"/>
      <c r="F363" s="1356"/>
      <c r="G363" s="1286"/>
      <c r="H363" s="1286"/>
      <c r="I363" s="1286"/>
      <c r="J363" s="1286"/>
      <c r="K363" s="1266"/>
      <c r="L363" s="1266"/>
      <c r="M363" s="1266"/>
      <c r="N363" s="1266"/>
      <c r="O363" s="1266"/>
      <c r="P363" s="1266"/>
      <c r="Q363" s="1266"/>
      <c r="R363" s="1266"/>
      <c r="S363" s="1266"/>
      <c r="T363" s="1266"/>
      <c r="U363" s="1266"/>
      <c r="V363" s="1266"/>
      <c r="W363" s="1266"/>
      <c r="X363" s="1266"/>
      <c r="Y363" s="1266"/>
      <c r="Z363" s="1266"/>
      <c r="AA363" s="1266"/>
      <c r="AB363" s="1266"/>
      <c r="AC363" s="1266"/>
      <c r="AD363" s="1266"/>
      <c r="AE363" s="1266"/>
      <c r="AF363" s="1266"/>
      <c r="AG363" s="1266"/>
      <c r="AH363" s="1266"/>
      <c r="AI363" s="1266"/>
      <c r="AJ363" s="1266"/>
      <c r="AK363" s="1266"/>
      <c r="AL363" s="1266"/>
      <c r="AM363" s="1266"/>
      <c r="AN363" s="1266"/>
      <c r="AO363" s="1266"/>
      <c r="AP363" s="1266"/>
      <c r="AQ363" s="1266"/>
      <c r="AR363" s="1266"/>
      <c r="AS363" s="1266"/>
      <c r="AT363" s="1266"/>
      <c r="AU363" s="1266"/>
      <c r="AV363" s="1266"/>
      <c r="AW363" s="1266"/>
      <c r="AX363" s="1266"/>
      <c r="AY363" s="1266"/>
      <c r="AZ363" s="1266"/>
      <c r="BA363" s="1266"/>
      <c r="BB363" s="1266"/>
      <c r="BC363" s="1266"/>
      <c r="BD363" s="1266"/>
      <c r="BR363" s="1266"/>
      <c r="BS363" s="1266"/>
      <c r="BT363" s="1266"/>
      <c r="BU363" s="1186"/>
      <c r="BV363" s="1266"/>
      <c r="BW363" s="1266"/>
      <c r="BX363" s="1266"/>
      <c r="BY363" s="1266"/>
      <c r="BZ363" s="1266"/>
    </row>
    <row r="364" spans="2:78" ht="12.75" customHeight="1">
      <c r="B364" s="1281"/>
      <c r="C364" s="1266"/>
      <c r="D364" s="1266"/>
      <c r="E364" s="1266"/>
      <c r="F364" s="1356"/>
      <c r="G364" s="1286"/>
      <c r="H364" s="1286"/>
      <c r="I364" s="1286"/>
      <c r="J364" s="1286"/>
      <c r="K364" s="1266"/>
      <c r="L364" s="1266"/>
      <c r="M364" s="1266"/>
      <c r="N364" s="1266"/>
      <c r="O364" s="1266"/>
      <c r="P364" s="1266"/>
      <c r="Q364" s="1266"/>
      <c r="R364" s="1266"/>
      <c r="S364" s="1266"/>
      <c r="T364" s="1266"/>
      <c r="U364" s="1266"/>
      <c r="V364" s="1266"/>
      <c r="W364" s="1266"/>
      <c r="X364" s="1266"/>
      <c r="Y364" s="1266"/>
      <c r="Z364" s="1266"/>
      <c r="AA364" s="1266"/>
      <c r="AB364" s="1266"/>
      <c r="AC364" s="1266"/>
      <c r="AD364" s="1266"/>
      <c r="AE364" s="1266"/>
      <c r="AF364" s="1266"/>
      <c r="AG364" s="1266"/>
      <c r="AH364" s="1266"/>
      <c r="AI364" s="1266"/>
      <c r="AJ364" s="1266"/>
      <c r="AK364" s="1266"/>
      <c r="AL364" s="1266"/>
      <c r="AM364" s="1266"/>
      <c r="AN364" s="1266"/>
      <c r="AO364" s="1266"/>
      <c r="AP364" s="1266"/>
      <c r="AQ364" s="1266"/>
      <c r="AR364" s="1266"/>
      <c r="AS364" s="1266"/>
      <c r="AT364" s="1266"/>
      <c r="AU364" s="1266"/>
      <c r="AV364" s="1266"/>
      <c r="AW364" s="1266"/>
      <c r="AX364" s="1266"/>
      <c r="AY364" s="1266"/>
      <c r="AZ364" s="1266"/>
      <c r="BA364" s="1266"/>
      <c r="BB364" s="1266"/>
      <c r="BC364" s="1266"/>
      <c r="BD364" s="1266"/>
      <c r="BR364" s="1266"/>
      <c r="BS364" s="1266"/>
      <c r="BT364" s="1266"/>
      <c r="BU364" s="1186"/>
      <c r="BV364" s="1266"/>
      <c r="BW364" s="1266"/>
      <c r="BX364" s="1266"/>
      <c r="BY364" s="1266"/>
      <c r="BZ364" s="1266"/>
    </row>
    <row r="365" spans="2:78" ht="12.75" customHeight="1">
      <c r="B365" s="1281"/>
      <c r="C365" s="1266"/>
      <c r="D365" s="1266"/>
      <c r="E365" s="1266"/>
      <c r="F365" s="1356"/>
      <c r="G365" s="1286"/>
      <c r="H365" s="1286"/>
      <c r="I365" s="1286"/>
      <c r="J365" s="1286"/>
      <c r="K365" s="1266"/>
      <c r="L365" s="1266"/>
      <c r="M365" s="1266"/>
      <c r="N365" s="1266"/>
      <c r="O365" s="1266"/>
      <c r="P365" s="1266"/>
      <c r="Q365" s="1266"/>
      <c r="R365" s="1266"/>
      <c r="S365" s="1266"/>
      <c r="T365" s="1266"/>
      <c r="U365" s="1266"/>
      <c r="V365" s="1266"/>
      <c r="W365" s="1266"/>
      <c r="X365" s="1266"/>
      <c r="Y365" s="1266"/>
      <c r="Z365" s="1266"/>
      <c r="AA365" s="1266"/>
      <c r="AB365" s="1266"/>
      <c r="AC365" s="1266"/>
      <c r="AD365" s="1266"/>
      <c r="AE365" s="1266"/>
      <c r="AF365" s="1266"/>
      <c r="AG365" s="1266"/>
      <c r="AH365" s="1266"/>
      <c r="AI365" s="1266"/>
      <c r="AJ365" s="1266"/>
      <c r="AK365" s="1266"/>
      <c r="AL365" s="1266"/>
      <c r="AM365" s="1266"/>
      <c r="AN365" s="1266"/>
      <c r="AO365" s="1266"/>
      <c r="AP365" s="1266"/>
      <c r="AQ365" s="1266"/>
      <c r="AR365" s="1266"/>
      <c r="AS365" s="1266"/>
      <c r="AT365" s="1266"/>
      <c r="AU365" s="1266"/>
      <c r="AV365" s="1266"/>
      <c r="AW365" s="1266"/>
      <c r="AX365" s="1266"/>
      <c r="AY365" s="1266"/>
      <c r="AZ365" s="1266"/>
      <c r="BA365" s="1266"/>
      <c r="BB365" s="1266"/>
      <c r="BC365" s="1266"/>
      <c r="BD365" s="1266"/>
      <c r="BR365" s="1266"/>
      <c r="BS365" s="1266"/>
      <c r="BT365" s="1266"/>
      <c r="BU365" s="1186"/>
      <c r="BV365" s="1266"/>
      <c r="BW365" s="1266"/>
      <c r="BX365" s="1266"/>
      <c r="BY365" s="1266"/>
      <c r="BZ365" s="1266"/>
    </row>
    <row r="366" spans="2:78" ht="12.75" customHeight="1">
      <c r="B366" s="1281"/>
      <c r="C366" s="1266"/>
      <c r="D366" s="1266"/>
      <c r="E366" s="1266"/>
      <c r="F366" s="1356"/>
      <c r="G366" s="1286"/>
      <c r="H366" s="1286"/>
      <c r="I366" s="1286"/>
      <c r="J366" s="1286"/>
      <c r="K366" s="1266"/>
      <c r="L366" s="1266"/>
      <c r="M366" s="1266"/>
      <c r="N366" s="1266"/>
      <c r="O366" s="1266"/>
      <c r="P366" s="1266"/>
      <c r="Q366" s="1266"/>
      <c r="R366" s="1266"/>
      <c r="S366" s="1266"/>
      <c r="T366" s="1266"/>
      <c r="U366" s="1266"/>
      <c r="V366" s="1266"/>
      <c r="W366" s="1266"/>
      <c r="X366" s="1266"/>
      <c r="Y366" s="1266"/>
      <c r="Z366" s="1266"/>
      <c r="AA366" s="1266"/>
      <c r="AB366" s="1266"/>
      <c r="AC366" s="1266"/>
      <c r="AD366" s="1266"/>
      <c r="AE366" s="1266"/>
      <c r="AF366" s="1266"/>
      <c r="AG366" s="1266"/>
      <c r="AH366" s="1266"/>
      <c r="AI366" s="1266"/>
      <c r="AJ366" s="1266"/>
      <c r="AK366" s="1266"/>
      <c r="AL366" s="1266"/>
      <c r="AM366" s="1266"/>
      <c r="AN366" s="1266"/>
      <c r="AO366" s="1266"/>
      <c r="AP366" s="1266"/>
      <c r="AQ366" s="1266"/>
      <c r="AR366" s="1266"/>
      <c r="AS366" s="1266"/>
      <c r="AT366" s="1266"/>
      <c r="AU366" s="1266"/>
      <c r="AV366" s="1266"/>
      <c r="AW366" s="1266"/>
      <c r="AX366" s="1266"/>
      <c r="AY366" s="1266"/>
      <c r="AZ366" s="1266"/>
      <c r="BA366" s="1266"/>
      <c r="BB366" s="1266"/>
      <c r="BC366" s="1266"/>
      <c r="BD366" s="1266"/>
      <c r="BR366" s="1266"/>
      <c r="BS366" s="1266"/>
      <c r="BT366" s="1266"/>
      <c r="BU366" s="1186"/>
      <c r="BV366" s="1266"/>
      <c r="BW366" s="1266"/>
      <c r="BX366" s="1266"/>
      <c r="BY366" s="1266"/>
      <c r="BZ366" s="1266"/>
    </row>
    <row r="367" spans="2:78" ht="12.75" customHeight="1">
      <c r="B367" s="1281"/>
      <c r="C367" s="1266"/>
      <c r="D367" s="1266"/>
      <c r="E367" s="1266"/>
      <c r="F367" s="1356"/>
      <c r="G367" s="1286"/>
      <c r="H367" s="1286"/>
      <c r="I367" s="1286"/>
      <c r="J367" s="1286"/>
      <c r="K367" s="1266"/>
      <c r="L367" s="1266"/>
      <c r="M367" s="1266"/>
      <c r="N367" s="1266"/>
      <c r="O367" s="1266"/>
      <c r="P367" s="1266"/>
      <c r="Q367" s="1266"/>
      <c r="R367" s="1266"/>
      <c r="S367" s="1266"/>
      <c r="T367" s="1266"/>
      <c r="U367" s="1266"/>
      <c r="V367" s="1266"/>
      <c r="W367" s="1266"/>
      <c r="X367" s="1266"/>
      <c r="Y367" s="1266"/>
      <c r="Z367" s="1266"/>
      <c r="AA367" s="1266"/>
      <c r="AB367" s="1266"/>
      <c r="AC367" s="1266"/>
      <c r="AD367" s="1266"/>
      <c r="AE367" s="1266"/>
      <c r="AF367" s="1266"/>
      <c r="AG367" s="1266"/>
      <c r="AH367" s="1266"/>
      <c r="AI367" s="1266"/>
      <c r="AJ367" s="1266"/>
      <c r="AK367" s="1266"/>
      <c r="AL367" s="1266"/>
      <c r="AM367" s="1266"/>
      <c r="AN367" s="1266"/>
      <c r="AO367" s="1266"/>
      <c r="AP367" s="1266"/>
      <c r="AQ367" s="1266"/>
      <c r="AR367" s="1266"/>
      <c r="AS367" s="1266"/>
      <c r="AT367" s="1266"/>
      <c r="AU367" s="1266"/>
      <c r="AV367" s="1266"/>
      <c r="AW367" s="1266"/>
      <c r="AX367" s="1266"/>
      <c r="AY367" s="1266"/>
      <c r="AZ367" s="1266"/>
      <c r="BA367" s="1266"/>
      <c r="BB367" s="1266"/>
      <c r="BC367" s="1266"/>
      <c r="BD367" s="1266"/>
      <c r="BR367" s="1266"/>
      <c r="BS367" s="1266"/>
      <c r="BT367" s="1266"/>
      <c r="BU367" s="1186"/>
      <c r="BV367" s="1266"/>
      <c r="BW367" s="1266"/>
      <c r="BX367" s="1266"/>
      <c r="BY367" s="1266"/>
      <c r="BZ367" s="1266"/>
    </row>
    <row r="368" spans="2:78" ht="12.75" customHeight="1">
      <c r="B368" s="1281"/>
      <c r="C368" s="1266"/>
      <c r="D368" s="1266"/>
      <c r="E368" s="1266"/>
      <c r="F368" s="1356"/>
      <c r="G368" s="1286"/>
      <c r="H368" s="1286"/>
      <c r="I368" s="1286"/>
      <c r="J368" s="1286"/>
      <c r="K368" s="1266"/>
      <c r="L368" s="1266"/>
      <c r="M368" s="1266"/>
      <c r="N368" s="1266"/>
      <c r="O368" s="1266"/>
      <c r="P368" s="1266"/>
      <c r="Q368" s="1266"/>
      <c r="R368" s="1266"/>
      <c r="S368" s="1266"/>
      <c r="T368" s="1266"/>
      <c r="U368" s="1266"/>
      <c r="V368" s="1266"/>
      <c r="W368" s="1266"/>
      <c r="X368" s="1266"/>
      <c r="Y368" s="1266"/>
      <c r="Z368" s="1266"/>
      <c r="AA368" s="1266"/>
      <c r="AB368" s="1266"/>
      <c r="AC368" s="1266"/>
      <c r="AD368" s="1266"/>
      <c r="AE368" s="1266"/>
      <c r="AF368" s="1266"/>
      <c r="AG368" s="1266"/>
      <c r="AH368" s="1266"/>
      <c r="AI368" s="1266"/>
      <c r="AJ368" s="1266"/>
      <c r="AK368" s="1266"/>
      <c r="AL368" s="1266"/>
      <c r="AM368" s="1266"/>
      <c r="AN368" s="1266"/>
      <c r="AO368" s="1266"/>
      <c r="AP368" s="1266"/>
      <c r="AQ368" s="1266"/>
      <c r="AR368" s="1266"/>
      <c r="AS368" s="1266"/>
      <c r="AT368" s="1266"/>
      <c r="AU368" s="1266"/>
      <c r="AV368" s="1266"/>
      <c r="AW368" s="1266"/>
      <c r="AX368" s="1266"/>
      <c r="AY368" s="1266"/>
      <c r="AZ368" s="1266"/>
      <c r="BA368" s="1266"/>
      <c r="BB368" s="1266"/>
      <c r="BC368" s="1266"/>
      <c r="BD368" s="1266"/>
      <c r="BR368" s="1266"/>
      <c r="BS368" s="1266"/>
      <c r="BT368" s="1266"/>
      <c r="BU368" s="1186"/>
      <c r="BV368" s="1266"/>
      <c r="BW368" s="1266"/>
      <c r="BX368" s="1266"/>
      <c r="BY368" s="1266"/>
      <c r="BZ368" s="1266"/>
    </row>
    <row r="369" spans="2:78" ht="12.75" customHeight="1">
      <c r="B369" s="1281"/>
      <c r="C369" s="1266"/>
      <c r="D369" s="1266"/>
      <c r="E369" s="1266"/>
      <c r="F369" s="1356"/>
      <c r="G369" s="1286"/>
      <c r="H369" s="1286"/>
      <c r="I369" s="1286"/>
      <c r="J369" s="1286"/>
      <c r="K369" s="1266"/>
      <c r="L369" s="1266"/>
      <c r="M369" s="1266"/>
      <c r="N369" s="1266"/>
      <c r="O369" s="1266"/>
      <c r="P369" s="1266"/>
      <c r="Q369" s="1266"/>
      <c r="R369" s="1266"/>
      <c r="S369" s="1266"/>
      <c r="T369" s="1266"/>
      <c r="U369" s="1266"/>
      <c r="V369" s="1266"/>
      <c r="W369" s="1266"/>
      <c r="X369" s="1266"/>
      <c r="Y369" s="1266"/>
      <c r="Z369" s="1266"/>
      <c r="AA369" s="1266"/>
      <c r="AB369" s="1266"/>
      <c r="AC369" s="1266"/>
      <c r="AD369" s="1266"/>
      <c r="AE369" s="1266"/>
      <c r="AF369" s="1266"/>
      <c r="AG369" s="1266"/>
      <c r="AH369" s="1266"/>
      <c r="AI369" s="1266"/>
      <c r="AJ369" s="1266"/>
      <c r="AK369" s="1266"/>
      <c r="AL369" s="1266"/>
      <c r="AM369" s="1266"/>
      <c r="AN369" s="1266"/>
      <c r="AO369" s="1266"/>
      <c r="AP369" s="1266"/>
      <c r="AQ369" s="1266"/>
      <c r="AR369" s="1266"/>
      <c r="AS369" s="1266"/>
      <c r="AT369" s="1266"/>
      <c r="AU369" s="1266"/>
      <c r="AV369" s="1266"/>
      <c r="AW369" s="1266"/>
      <c r="AX369" s="1266"/>
      <c r="AY369" s="1266"/>
      <c r="AZ369" s="1266"/>
      <c r="BA369" s="1266"/>
      <c r="BB369" s="1266"/>
      <c r="BC369" s="1266"/>
      <c r="BD369" s="1266"/>
      <c r="BR369" s="1266"/>
      <c r="BS369" s="1266"/>
      <c r="BT369" s="1266"/>
      <c r="BU369" s="1186"/>
      <c r="BV369" s="1266"/>
      <c r="BW369" s="1266"/>
      <c r="BX369" s="1266"/>
      <c r="BY369" s="1266"/>
      <c r="BZ369" s="1266"/>
    </row>
    <row r="370" spans="2:78" ht="12.75" customHeight="1">
      <c r="B370" s="1281"/>
      <c r="C370" s="1266"/>
      <c r="D370" s="1266"/>
      <c r="E370" s="1266"/>
      <c r="F370" s="1356"/>
      <c r="G370" s="1286"/>
      <c r="H370" s="1286"/>
      <c r="I370" s="1286"/>
      <c r="J370" s="1286"/>
      <c r="K370" s="1266"/>
      <c r="L370" s="1266"/>
      <c r="M370" s="1266"/>
      <c r="N370" s="1266"/>
      <c r="O370" s="1266"/>
      <c r="P370" s="1266"/>
      <c r="Q370" s="1266"/>
      <c r="R370" s="1266"/>
      <c r="S370" s="1266"/>
      <c r="T370" s="1266"/>
      <c r="U370" s="1266"/>
      <c r="V370" s="1266"/>
      <c r="W370" s="1266"/>
      <c r="X370" s="1266"/>
      <c r="Y370" s="1266"/>
      <c r="Z370" s="1266"/>
      <c r="AA370" s="1266"/>
      <c r="AB370" s="1266"/>
      <c r="AC370" s="1266"/>
      <c r="AD370" s="1266"/>
      <c r="AE370" s="1266"/>
      <c r="AF370" s="1266"/>
      <c r="AG370" s="1266"/>
      <c r="AH370" s="1266"/>
      <c r="AI370" s="1266"/>
      <c r="AJ370" s="1266"/>
      <c r="AK370" s="1266"/>
      <c r="AL370" s="1266"/>
      <c r="AM370" s="1266"/>
      <c r="AN370" s="1266"/>
      <c r="AO370" s="1266"/>
      <c r="AP370" s="1266"/>
      <c r="AQ370" s="1266"/>
      <c r="AR370" s="1266"/>
      <c r="AS370" s="1266"/>
      <c r="AT370" s="1266"/>
      <c r="AU370" s="1266"/>
      <c r="AV370" s="1266"/>
      <c r="AW370" s="1266"/>
      <c r="AX370" s="1266"/>
      <c r="AY370" s="1266"/>
      <c r="AZ370" s="1266"/>
      <c r="BA370" s="1266"/>
      <c r="BB370" s="1266"/>
      <c r="BC370" s="1266"/>
      <c r="BD370" s="1266"/>
      <c r="BR370" s="1266"/>
      <c r="BS370" s="1266"/>
      <c r="BT370" s="1266"/>
      <c r="BU370" s="1186"/>
      <c r="BV370" s="1266"/>
      <c r="BW370" s="1266"/>
      <c r="BX370" s="1266"/>
      <c r="BY370" s="1266"/>
      <c r="BZ370" s="1266"/>
    </row>
    <row r="371" spans="2:78" ht="12.75" customHeight="1">
      <c r="B371" s="1281"/>
      <c r="C371" s="1266"/>
      <c r="D371" s="1266"/>
      <c r="E371" s="1266"/>
      <c r="F371" s="1356"/>
      <c r="G371" s="1286"/>
      <c r="H371" s="1286"/>
      <c r="I371" s="1286"/>
      <c r="J371" s="1286"/>
      <c r="K371" s="1266"/>
      <c r="L371" s="1266"/>
      <c r="M371" s="1266"/>
      <c r="N371" s="1266"/>
      <c r="O371" s="1266"/>
      <c r="P371" s="1266"/>
      <c r="Q371" s="1266"/>
      <c r="R371" s="1266"/>
      <c r="S371" s="1266"/>
      <c r="T371" s="1266"/>
      <c r="U371" s="1266"/>
      <c r="V371" s="1266"/>
      <c r="W371" s="1266"/>
      <c r="X371" s="1266"/>
      <c r="Y371" s="1266"/>
      <c r="Z371" s="1266"/>
      <c r="AA371" s="1266"/>
      <c r="AB371" s="1266"/>
      <c r="AC371" s="1266"/>
      <c r="AD371" s="1266"/>
      <c r="AE371" s="1266"/>
      <c r="AF371" s="1266"/>
      <c r="AG371" s="1266"/>
      <c r="AH371" s="1266"/>
      <c r="AI371" s="1266"/>
      <c r="AJ371" s="1266"/>
      <c r="AK371" s="1266"/>
      <c r="AL371" s="1266"/>
      <c r="AM371" s="1266"/>
      <c r="AN371" s="1266"/>
      <c r="AO371" s="1266"/>
      <c r="AP371" s="1266"/>
      <c r="AQ371" s="1266"/>
      <c r="AR371" s="1266"/>
      <c r="AS371" s="1266"/>
      <c r="AT371" s="1266"/>
      <c r="AU371" s="1266"/>
      <c r="AV371" s="1266"/>
      <c r="AW371" s="1266"/>
      <c r="AX371" s="1266"/>
      <c r="AY371" s="1266"/>
      <c r="AZ371" s="1266"/>
      <c r="BA371" s="1266"/>
      <c r="BB371" s="1266"/>
      <c r="BC371" s="1266"/>
      <c r="BD371" s="1266"/>
      <c r="BR371" s="1266"/>
      <c r="BS371" s="1266"/>
      <c r="BT371" s="1266"/>
      <c r="BU371" s="1186"/>
      <c r="BV371" s="1266"/>
      <c r="BW371" s="1266"/>
      <c r="BX371" s="1266"/>
      <c r="BY371" s="1266"/>
      <c r="BZ371" s="1266"/>
    </row>
    <row r="372" spans="2:78" ht="12.75" customHeight="1">
      <c r="B372" s="1281"/>
      <c r="C372" s="1266"/>
      <c r="D372" s="1266"/>
      <c r="E372" s="1266"/>
      <c r="F372" s="1356"/>
      <c r="G372" s="1286"/>
      <c r="H372" s="1286"/>
      <c r="I372" s="1286"/>
      <c r="J372" s="1286"/>
      <c r="K372" s="1266"/>
      <c r="L372" s="1266"/>
      <c r="M372" s="1266"/>
      <c r="N372" s="1266"/>
      <c r="O372" s="1266"/>
      <c r="P372" s="1266"/>
      <c r="Q372" s="1266"/>
      <c r="R372" s="1266"/>
      <c r="S372" s="1266"/>
      <c r="T372" s="1266"/>
      <c r="U372" s="1266"/>
      <c r="V372" s="1266"/>
      <c r="W372" s="1266"/>
      <c r="X372" s="1266"/>
      <c r="Y372" s="1266"/>
      <c r="Z372" s="1266"/>
      <c r="AA372" s="1266"/>
      <c r="AB372" s="1266"/>
      <c r="AC372" s="1266"/>
      <c r="AD372" s="1266"/>
      <c r="AE372" s="1266"/>
      <c r="AF372" s="1266"/>
      <c r="AG372" s="1266"/>
      <c r="AH372" s="1266"/>
      <c r="AI372" s="1266"/>
      <c r="AJ372" s="1266"/>
      <c r="AK372" s="1266"/>
      <c r="AL372" s="1266"/>
      <c r="AM372" s="1266"/>
      <c r="AN372" s="1266"/>
      <c r="AO372" s="1266"/>
      <c r="AP372" s="1266"/>
      <c r="AQ372" s="1266"/>
      <c r="AR372" s="1266"/>
      <c r="AS372" s="1266"/>
      <c r="AT372" s="1266"/>
      <c r="AU372" s="1266"/>
      <c r="AV372" s="1266"/>
      <c r="AW372" s="1266"/>
      <c r="AX372" s="1266"/>
      <c r="AY372" s="1266"/>
      <c r="AZ372" s="1266"/>
      <c r="BA372" s="1266"/>
      <c r="BB372" s="1266"/>
      <c r="BC372" s="1266"/>
      <c r="BD372" s="1266"/>
      <c r="BR372" s="1266"/>
      <c r="BS372" s="1266"/>
      <c r="BT372" s="1266"/>
      <c r="BU372" s="1186"/>
      <c r="BV372" s="1266"/>
      <c r="BW372" s="1266"/>
      <c r="BX372" s="1266"/>
      <c r="BY372" s="1266"/>
      <c r="BZ372" s="1266"/>
    </row>
    <row r="373" spans="2:78" ht="12.75" customHeight="1">
      <c r="B373" s="1281"/>
      <c r="C373" s="1266"/>
      <c r="D373" s="1266"/>
      <c r="E373" s="1266"/>
      <c r="F373" s="1356"/>
      <c r="G373" s="1286"/>
      <c r="H373" s="1286"/>
      <c r="I373" s="1286"/>
      <c r="J373" s="1286"/>
      <c r="K373" s="1266"/>
      <c r="L373" s="1266"/>
      <c r="M373" s="1266"/>
      <c r="N373" s="1266"/>
      <c r="O373" s="1266"/>
      <c r="P373" s="1266"/>
      <c r="Q373" s="1266"/>
      <c r="R373" s="1266"/>
      <c r="S373" s="1266"/>
      <c r="T373" s="1266"/>
      <c r="U373" s="1266"/>
      <c r="V373" s="1266"/>
      <c r="W373" s="1266"/>
      <c r="X373" s="1266"/>
      <c r="Y373" s="1266"/>
      <c r="Z373" s="1266"/>
      <c r="AA373" s="1266"/>
      <c r="AB373" s="1266"/>
      <c r="AC373" s="1266"/>
      <c r="AD373" s="1266"/>
      <c r="AE373" s="1266"/>
      <c r="AF373" s="1266"/>
      <c r="AG373" s="1266"/>
      <c r="AH373" s="1266"/>
      <c r="AI373" s="1266"/>
      <c r="AJ373" s="1266"/>
      <c r="AK373" s="1266"/>
      <c r="AL373" s="1266"/>
      <c r="AM373" s="1266"/>
      <c r="AN373" s="1266"/>
      <c r="AO373" s="1266"/>
      <c r="AP373" s="1266"/>
      <c r="AQ373" s="1266"/>
      <c r="AR373" s="1266"/>
      <c r="AS373" s="1266"/>
      <c r="AT373" s="1266"/>
      <c r="AU373" s="1266"/>
      <c r="AV373" s="1266"/>
      <c r="AW373" s="1266"/>
      <c r="AX373" s="1266"/>
      <c r="AY373" s="1266"/>
      <c r="AZ373" s="1266"/>
      <c r="BA373" s="1266"/>
      <c r="BB373" s="1266"/>
      <c r="BC373" s="1266"/>
      <c r="BD373" s="1266"/>
      <c r="BR373" s="1266"/>
      <c r="BS373" s="1266"/>
      <c r="BT373" s="1266"/>
      <c r="BU373" s="1186"/>
      <c r="BV373" s="1266"/>
      <c r="BW373" s="1266"/>
      <c r="BX373" s="1266"/>
      <c r="BY373" s="1266"/>
      <c r="BZ373" s="1266"/>
    </row>
    <row r="374" spans="2:78" ht="12.75" customHeight="1">
      <c r="B374" s="1281"/>
      <c r="C374" s="1266"/>
      <c r="D374" s="1266"/>
      <c r="E374" s="1266"/>
      <c r="F374" s="1356"/>
      <c r="G374" s="1286"/>
      <c r="H374" s="1286"/>
      <c r="I374" s="1286"/>
      <c r="J374" s="1286"/>
      <c r="K374" s="1266"/>
      <c r="L374" s="1266"/>
      <c r="M374" s="1266"/>
      <c r="N374" s="1266"/>
      <c r="O374" s="1266"/>
      <c r="P374" s="1266"/>
      <c r="Q374" s="1266"/>
      <c r="R374" s="1266"/>
      <c r="S374" s="1266"/>
      <c r="T374" s="1266"/>
      <c r="U374" s="1266"/>
      <c r="V374" s="1266"/>
      <c r="W374" s="1266"/>
      <c r="X374" s="1266"/>
      <c r="Y374" s="1266"/>
      <c r="Z374" s="1266"/>
      <c r="AA374" s="1266"/>
      <c r="AB374" s="1266"/>
      <c r="AC374" s="1266"/>
      <c r="AD374" s="1266"/>
      <c r="AE374" s="1266"/>
      <c r="AF374" s="1266"/>
      <c r="AG374" s="1266"/>
      <c r="AH374" s="1266"/>
      <c r="AI374" s="1266"/>
      <c r="AJ374" s="1266"/>
      <c r="AK374" s="1266"/>
      <c r="AL374" s="1266"/>
      <c r="AM374" s="1266"/>
      <c r="AN374" s="1266"/>
      <c r="AO374" s="1266"/>
      <c r="AP374" s="1266"/>
      <c r="AQ374" s="1266"/>
      <c r="AR374" s="1266"/>
      <c r="AS374" s="1266"/>
      <c r="AT374" s="1266"/>
      <c r="AU374" s="1266"/>
      <c r="AV374" s="1266"/>
      <c r="AW374" s="1266"/>
      <c r="AX374" s="1266"/>
      <c r="AY374" s="1266"/>
      <c r="AZ374" s="1266"/>
      <c r="BA374" s="1266"/>
      <c r="BB374" s="1266"/>
      <c r="BC374" s="1266"/>
      <c r="BD374" s="1266"/>
      <c r="BR374" s="1266"/>
      <c r="BS374" s="1266"/>
      <c r="BT374" s="1266"/>
      <c r="BU374" s="1186"/>
      <c r="BV374" s="1266"/>
      <c r="BW374" s="1266"/>
      <c r="BX374" s="1266"/>
      <c r="BY374" s="1266"/>
      <c r="BZ374" s="1266"/>
    </row>
    <row r="375" spans="2:78" ht="12.75" customHeight="1">
      <c r="B375" s="1281"/>
      <c r="C375" s="1266"/>
      <c r="D375" s="1266"/>
      <c r="E375" s="1266"/>
      <c r="F375" s="1356"/>
      <c r="G375" s="1286"/>
      <c r="H375" s="1286"/>
      <c r="I375" s="1286"/>
      <c r="J375" s="1286"/>
      <c r="K375" s="1266"/>
      <c r="L375" s="1266"/>
      <c r="M375" s="1266"/>
      <c r="N375" s="1266"/>
      <c r="O375" s="1266"/>
      <c r="P375" s="1266"/>
      <c r="Q375" s="1266"/>
      <c r="R375" s="1266"/>
      <c r="S375" s="1266"/>
      <c r="T375" s="1266"/>
      <c r="U375" s="1266"/>
      <c r="V375" s="1266"/>
      <c r="W375" s="1266"/>
      <c r="X375" s="1266"/>
      <c r="Y375" s="1266"/>
      <c r="Z375" s="1266"/>
      <c r="AA375" s="1266"/>
      <c r="AB375" s="1266"/>
      <c r="AC375" s="1266"/>
      <c r="AD375" s="1266"/>
      <c r="AE375" s="1266"/>
      <c r="AF375" s="1266"/>
      <c r="AG375" s="1266"/>
      <c r="AH375" s="1266"/>
      <c r="AI375" s="1266"/>
      <c r="AJ375" s="1266"/>
      <c r="AK375" s="1266"/>
      <c r="AL375" s="1266"/>
      <c r="AM375" s="1266"/>
      <c r="AN375" s="1266"/>
      <c r="AO375" s="1266"/>
      <c r="AP375" s="1266"/>
      <c r="AQ375" s="1266"/>
      <c r="AR375" s="1266"/>
      <c r="AS375" s="1266"/>
      <c r="AT375" s="1266"/>
      <c r="AU375" s="1266"/>
      <c r="AV375" s="1266"/>
      <c r="AW375" s="1266"/>
      <c r="AX375" s="1266"/>
      <c r="AY375" s="1266"/>
      <c r="AZ375" s="1266"/>
      <c r="BA375" s="1266"/>
      <c r="BB375" s="1266"/>
      <c r="BC375" s="1266"/>
      <c r="BD375" s="1266"/>
      <c r="BR375" s="1266"/>
      <c r="BS375" s="1266"/>
      <c r="BT375" s="1266"/>
      <c r="BU375" s="1186"/>
      <c r="BV375" s="1266"/>
      <c r="BW375" s="1266"/>
      <c r="BX375" s="1266"/>
      <c r="BY375" s="1266"/>
      <c r="BZ375" s="1266"/>
    </row>
    <row r="376" spans="2:78" ht="12.75" customHeight="1">
      <c r="B376" s="1281"/>
      <c r="C376" s="1266"/>
      <c r="D376" s="1266"/>
      <c r="E376" s="1266"/>
      <c r="F376" s="1356"/>
      <c r="G376" s="1286"/>
      <c r="H376" s="1286"/>
      <c r="I376" s="1286"/>
      <c r="J376" s="1286"/>
      <c r="K376" s="1266"/>
      <c r="L376" s="1266"/>
      <c r="M376" s="1266"/>
      <c r="N376" s="1266"/>
      <c r="O376" s="1266"/>
      <c r="P376" s="1266"/>
      <c r="Q376" s="1266"/>
      <c r="R376" s="1266"/>
      <c r="S376" s="1266"/>
      <c r="T376" s="1266"/>
      <c r="U376" s="1266"/>
      <c r="V376" s="1266"/>
      <c r="W376" s="1266"/>
      <c r="X376" s="1266"/>
      <c r="Y376" s="1266"/>
      <c r="Z376" s="1266"/>
      <c r="AA376" s="1266"/>
      <c r="AB376" s="1266"/>
      <c r="AC376" s="1266"/>
      <c r="AD376" s="1266"/>
      <c r="AE376" s="1266"/>
      <c r="AF376" s="1266"/>
      <c r="AG376" s="1266"/>
      <c r="AH376" s="1266"/>
      <c r="AI376" s="1266"/>
      <c r="AJ376" s="1266"/>
      <c r="AK376" s="1266"/>
      <c r="AL376" s="1266"/>
      <c r="AM376" s="1266"/>
      <c r="AN376" s="1266"/>
      <c r="AO376" s="1266"/>
      <c r="AP376" s="1266"/>
      <c r="AQ376" s="1266"/>
      <c r="AR376" s="1266"/>
      <c r="AS376" s="1266"/>
      <c r="AT376" s="1266"/>
      <c r="AU376" s="1266"/>
      <c r="AV376" s="1266"/>
      <c r="AW376" s="1266"/>
      <c r="AX376" s="1266"/>
      <c r="AY376" s="1266"/>
      <c r="AZ376" s="1266"/>
      <c r="BA376" s="1266"/>
      <c r="BB376" s="1266"/>
      <c r="BC376" s="1266"/>
      <c r="BD376" s="1266"/>
      <c r="BR376" s="1266"/>
      <c r="BS376" s="1266"/>
      <c r="BT376" s="1266"/>
      <c r="BU376" s="1186"/>
      <c r="BV376" s="1266"/>
      <c r="BW376" s="1266"/>
      <c r="BX376" s="1266"/>
      <c r="BY376" s="1266"/>
      <c r="BZ376" s="1266"/>
    </row>
    <row r="377" spans="2:78" ht="12.75" customHeight="1">
      <c r="B377" s="1281"/>
      <c r="C377" s="1266"/>
      <c r="D377" s="1266"/>
      <c r="E377" s="1266"/>
      <c r="F377" s="1356"/>
      <c r="G377" s="1286"/>
      <c r="H377" s="1286"/>
      <c r="I377" s="1286"/>
      <c r="J377" s="1286"/>
      <c r="K377" s="1266"/>
      <c r="L377" s="1266"/>
      <c r="M377" s="1266"/>
      <c r="N377" s="1266"/>
      <c r="O377" s="1266"/>
      <c r="P377" s="1266"/>
      <c r="Q377" s="1266"/>
      <c r="R377" s="1266"/>
      <c r="S377" s="1266"/>
      <c r="T377" s="1266"/>
      <c r="U377" s="1266"/>
      <c r="V377" s="1266"/>
      <c r="W377" s="1266"/>
      <c r="X377" s="1266"/>
      <c r="Y377" s="1266"/>
      <c r="Z377" s="1266"/>
      <c r="AA377" s="1266"/>
      <c r="AB377" s="1266"/>
      <c r="AC377" s="1266"/>
      <c r="AD377" s="1266"/>
      <c r="AE377" s="1266"/>
      <c r="AF377" s="1266"/>
      <c r="AG377" s="1266"/>
      <c r="AH377" s="1266"/>
      <c r="AI377" s="1266"/>
      <c r="AJ377" s="1266"/>
      <c r="AK377" s="1266"/>
      <c r="AL377" s="1266"/>
      <c r="AM377" s="1266"/>
      <c r="AN377" s="1266"/>
      <c r="AO377" s="1266"/>
      <c r="AP377" s="1266"/>
      <c r="AQ377" s="1266"/>
      <c r="AR377" s="1266"/>
      <c r="AS377" s="1266"/>
      <c r="AT377" s="1266"/>
      <c r="AU377" s="1266"/>
      <c r="AV377" s="1266"/>
      <c r="AW377" s="1266"/>
      <c r="AX377" s="1266"/>
      <c r="AY377" s="1266"/>
      <c r="AZ377" s="1266"/>
      <c r="BA377" s="1266"/>
      <c r="BB377" s="1266"/>
      <c r="BC377" s="1266"/>
      <c r="BD377" s="1266"/>
      <c r="BR377" s="1266"/>
      <c r="BS377" s="1266"/>
      <c r="BT377" s="1266"/>
      <c r="BU377" s="1186"/>
      <c r="BV377" s="1266"/>
      <c r="BW377" s="1266"/>
      <c r="BX377" s="1266"/>
      <c r="BY377" s="1266"/>
      <c r="BZ377" s="1266"/>
    </row>
    <row r="378" spans="2:78" ht="12.75" customHeight="1">
      <c r="B378" s="1281"/>
      <c r="C378" s="1266"/>
      <c r="D378" s="1266"/>
      <c r="E378" s="1266"/>
      <c r="F378" s="1356"/>
      <c r="G378" s="1286"/>
      <c r="H378" s="1286"/>
      <c r="I378" s="1286"/>
      <c r="J378" s="1286"/>
      <c r="K378" s="1266"/>
      <c r="L378" s="1266"/>
      <c r="M378" s="1266"/>
      <c r="N378" s="1266"/>
      <c r="O378" s="1266"/>
      <c r="P378" s="1266"/>
      <c r="Q378" s="1266"/>
      <c r="R378" s="1266"/>
      <c r="S378" s="1266"/>
      <c r="T378" s="1266"/>
      <c r="U378" s="1266"/>
      <c r="V378" s="1266"/>
      <c r="W378" s="1266"/>
      <c r="X378" s="1266"/>
      <c r="Y378" s="1266"/>
      <c r="Z378" s="1266"/>
      <c r="AA378" s="1266"/>
      <c r="AB378" s="1266"/>
      <c r="AC378" s="1266"/>
      <c r="AD378" s="1266"/>
      <c r="AE378" s="1266"/>
      <c r="AF378" s="1266"/>
      <c r="AG378" s="1266"/>
      <c r="AH378" s="1266"/>
      <c r="AI378" s="1266"/>
      <c r="AJ378" s="1266"/>
      <c r="AK378" s="1266"/>
      <c r="AL378" s="1266"/>
      <c r="AM378" s="1266"/>
      <c r="AN378" s="1266"/>
      <c r="AO378" s="1266"/>
      <c r="AP378" s="1266"/>
      <c r="AQ378" s="1266"/>
      <c r="AR378" s="1266"/>
      <c r="AS378" s="1266"/>
      <c r="AT378" s="1266"/>
      <c r="AU378" s="1266"/>
      <c r="AV378" s="1266"/>
      <c r="AW378" s="1266"/>
      <c r="AX378" s="1266"/>
      <c r="AY378" s="1266"/>
      <c r="AZ378" s="1266"/>
      <c r="BA378" s="1266"/>
      <c r="BB378" s="1266"/>
      <c r="BC378" s="1266"/>
      <c r="BD378" s="1266"/>
      <c r="BR378" s="1266"/>
      <c r="BS378" s="1266"/>
      <c r="BT378" s="1266"/>
      <c r="BU378" s="1186"/>
      <c r="BV378" s="1266"/>
      <c r="BW378" s="1266"/>
      <c r="BX378" s="1266"/>
      <c r="BY378" s="1266"/>
      <c r="BZ378" s="1266"/>
    </row>
    <row r="379" spans="2:78" ht="12.75" customHeight="1">
      <c r="B379" s="1281"/>
      <c r="C379" s="1266"/>
      <c r="D379" s="1266"/>
      <c r="E379" s="1266"/>
      <c r="F379" s="1356"/>
      <c r="G379" s="1286"/>
      <c r="H379" s="1286"/>
      <c r="I379" s="1286"/>
      <c r="J379" s="1286"/>
      <c r="K379" s="1266"/>
      <c r="L379" s="1266"/>
      <c r="M379" s="1266"/>
      <c r="N379" s="1266"/>
      <c r="O379" s="1266"/>
      <c r="P379" s="1266"/>
      <c r="Q379" s="1266"/>
      <c r="R379" s="1266"/>
      <c r="S379" s="1266"/>
      <c r="T379" s="1266"/>
      <c r="U379" s="1266"/>
      <c r="V379" s="1266"/>
      <c r="W379" s="1266"/>
      <c r="X379" s="1266"/>
      <c r="Y379" s="1266"/>
      <c r="Z379" s="1266"/>
      <c r="AA379" s="1266"/>
      <c r="AB379" s="1266"/>
      <c r="AC379" s="1266"/>
      <c r="AD379" s="1266"/>
      <c r="AE379" s="1266"/>
      <c r="AF379" s="1266"/>
      <c r="AG379" s="1266"/>
      <c r="AH379" s="1266"/>
      <c r="AI379" s="1266"/>
      <c r="AJ379" s="1266"/>
      <c r="AK379" s="1266"/>
      <c r="AL379" s="1266"/>
      <c r="AM379" s="1266"/>
      <c r="AN379" s="1266"/>
      <c r="AO379" s="1266"/>
      <c r="AP379" s="1266"/>
      <c r="AQ379" s="1266"/>
      <c r="AR379" s="1266"/>
      <c r="AS379" s="1266"/>
      <c r="AT379" s="1266"/>
      <c r="AU379" s="1266"/>
      <c r="AV379" s="1266"/>
      <c r="AW379" s="1266"/>
      <c r="AX379" s="1266"/>
      <c r="AY379" s="1266"/>
      <c r="AZ379" s="1266"/>
      <c r="BA379" s="1266"/>
      <c r="BB379" s="1266"/>
      <c r="BC379" s="1266"/>
      <c r="BD379" s="1266"/>
      <c r="BR379" s="1266"/>
      <c r="BS379" s="1266"/>
      <c r="BT379" s="1266"/>
      <c r="BU379" s="1186"/>
      <c r="BV379" s="1266"/>
      <c r="BW379" s="1266"/>
      <c r="BX379" s="1266"/>
      <c r="BY379" s="1266"/>
      <c r="BZ379" s="1266"/>
    </row>
    <row r="380" spans="2:78" ht="12.75" customHeight="1">
      <c r="B380" s="1281"/>
      <c r="C380" s="1266"/>
      <c r="D380" s="1266"/>
      <c r="E380" s="1266"/>
      <c r="F380" s="1356"/>
      <c r="G380" s="1286"/>
      <c r="H380" s="1286"/>
      <c r="I380" s="1286"/>
      <c r="J380" s="1286"/>
      <c r="K380" s="1266"/>
      <c r="L380" s="1266"/>
      <c r="M380" s="1266"/>
      <c r="N380" s="1266"/>
      <c r="O380" s="1266"/>
      <c r="P380" s="1266"/>
      <c r="Q380" s="1266"/>
      <c r="R380" s="1266"/>
      <c r="S380" s="1266"/>
      <c r="T380" s="1266"/>
      <c r="U380" s="1266"/>
      <c r="V380" s="1266"/>
      <c r="W380" s="1266"/>
      <c r="X380" s="1266"/>
      <c r="Y380" s="1266"/>
      <c r="Z380" s="1266"/>
      <c r="AA380" s="1266"/>
      <c r="AB380" s="1266"/>
      <c r="AC380" s="1266"/>
      <c r="AD380" s="1266"/>
      <c r="AE380" s="1266"/>
      <c r="AF380" s="1266"/>
      <c r="AG380" s="1266"/>
      <c r="AH380" s="1266"/>
      <c r="AI380" s="1266"/>
      <c r="AJ380" s="1266"/>
      <c r="AK380" s="1266"/>
      <c r="AL380" s="1266"/>
      <c r="AM380" s="1266"/>
      <c r="AN380" s="1266"/>
      <c r="AO380" s="1266"/>
      <c r="AP380" s="1266"/>
      <c r="AQ380" s="1266"/>
      <c r="AR380" s="1266"/>
      <c r="AS380" s="1266"/>
      <c r="AT380" s="1266"/>
      <c r="AU380" s="1266"/>
      <c r="AV380" s="1266"/>
      <c r="AW380" s="1266"/>
      <c r="AX380" s="1266"/>
      <c r="AY380" s="1266"/>
      <c r="AZ380" s="1266"/>
      <c r="BA380" s="1266"/>
      <c r="BB380" s="1266"/>
      <c r="BC380" s="1266"/>
      <c r="BD380" s="1266"/>
      <c r="BR380" s="1266"/>
      <c r="BS380" s="1266"/>
      <c r="BT380" s="1266"/>
      <c r="BU380" s="1186"/>
      <c r="BV380" s="1266"/>
      <c r="BW380" s="1266"/>
      <c r="BX380" s="1266"/>
      <c r="BY380" s="1266"/>
      <c r="BZ380" s="1266"/>
    </row>
    <row r="381" spans="2:78" ht="12.75" customHeight="1">
      <c r="B381" s="1281"/>
      <c r="C381" s="1266"/>
      <c r="D381" s="1266"/>
      <c r="E381" s="1266"/>
      <c r="F381" s="1356"/>
      <c r="G381" s="1286"/>
      <c r="H381" s="1286"/>
      <c r="I381" s="1286"/>
      <c r="J381" s="1286"/>
      <c r="K381" s="1266"/>
      <c r="L381" s="1266"/>
      <c r="M381" s="1266"/>
      <c r="N381" s="1266"/>
      <c r="O381" s="1266"/>
      <c r="P381" s="1266"/>
      <c r="Q381" s="1266"/>
      <c r="R381" s="1266"/>
      <c r="S381" s="1266"/>
      <c r="T381" s="1266"/>
      <c r="U381" s="1266"/>
      <c r="V381" s="1266"/>
      <c r="W381" s="1266"/>
      <c r="X381" s="1266"/>
      <c r="Y381" s="1266"/>
      <c r="Z381" s="1266"/>
      <c r="AA381" s="1266"/>
      <c r="AB381" s="1266"/>
      <c r="AC381" s="1266"/>
      <c r="AD381" s="1266"/>
      <c r="AE381" s="1266"/>
      <c r="AF381" s="1266"/>
      <c r="AG381" s="1266"/>
      <c r="AH381" s="1266"/>
      <c r="AI381" s="1266"/>
      <c r="AJ381" s="1266"/>
      <c r="AK381" s="1266"/>
      <c r="AL381" s="1266"/>
      <c r="AM381" s="1266"/>
      <c r="AN381" s="1266"/>
      <c r="AO381" s="1266"/>
      <c r="AP381" s="1266"/>
      <c r="AQ381" s="1266"/>
      <c r="AR381" s="1266"/>
      <c r="AS381" s="1266"/>
      <c r="AT381" s="1266"/>
      <c r="AU381" s="1266"/>
      <c r="AV381" s="1266"/>
      <c r="AW381" s="1266"/>
      <c r="AX381" s="1266"/>
      <c r="AY381" s="1266"/>
      <c r="AZ381" s="1266"/>
      <c r="BA381" s="1266"/>
      <c r="BB381" s="1266"/>
      <c r="BC381" s="1266"/>
      <c r="BD381" s="1266"/>
      <c r="BR381" s="1266"/>
      <c r="BS381" s="1266"/>
      <c r="BT381" s="1266"/>
      <c r="BU381" s="1186"/>
      <c r="BV381" s="1266"/>
      <c r="BW381" s="1266"/>
      <c r="BX381" s="1266"/>
      <c r="BY381" s="1266"/>
      <c r="BZ381" s="1266"/>
    </row>
    <row r="382" spans="2:78" ht="12.75" customHeight="1">
      <c r="B382" s="1281"/>
      <c r="C382" s="1266"/>
      <c r="D382" s="1266"/>
      <c r="E382" s="1266"/>
      <c r="F382" s="1356"/>
      <c r="G382" s="1286"/>
      <c r="H382" s="1286"/>
      <c r="I382" s="1286"/>
      <c r="J382" s="1286"/>
      <c r="K382" s="1266"/>
      <c r="L382" s="1266"/>
      <c r="M382" s="1266"/>
      <c r="N382" s="1266"/>
      <c r="O382" s="1266"/>
      <c r="P382" s="1266"/>
      <c r="Q382" s="1266"/>
      <c r="R382" s="1266"/>
      <c r="S382" s="1266"/>
      <c r="T382" s="1266"/>
      <c r="U382" s="1266"/>
      <c r="V382" s="1266"/>
      <c r="W382" s="1266"/>
      <c r="X382" s="1266"/>
      <c r="Y382" s="1266"/>
      <c r="Z382" s="1266"/>
      <c r="AA382" s="1266"/>
      <c r="AB382" s="1266"/>
      <c r="AC382" s="1266"/>
      <c r="AD382" s="1266"/>
      <c r="AE382" s="1266"/>
      <c r="AF382" s="1266"/>
      <c r="AG382" s="1266"/>
      <c r="AH382" s="1266"/>
      <c r="AI382" s="1266"/>
      <c r="AJ382" s="1266"/>
      <c r="AK382" s="1266"/>
      <c r="AL382" s="1266"/>
      <c r="AM382" s="1266"/>
      <c r="AN382" s="1266"/>
      <c r="AO382" s="1266"/>
      <c r="AP382" s="1266"/>
      <c r="AQ382" s="1266"/>
      <c r="AR382" s="1266"/>
      <c r="AS382" s="1266"/>
      <c r="AT382" s="1266"/>
      <c r="AU382" s="1266"/>
      <c r="AV382" s="1266"/>
      <c r="AW382" s="1266"/>
      <c r="AX382" s="1266"/>
      <c r="AY382" s="1266"/>
      <c r="AZ382" s="1266"/>
      <c r="BA382" s="1266"/>
      <c r="BB382" s="1266"/>
      <c r="BC382" s="1266"/>
      <c r="BD382" s="1266"/>
      <c r="BR382" s="1266"/>
      <c r="BS382" s="1266"/>
      <c r="BT382" s="1266"/>
      <c r="BU382" s="1186"/>
      <c r="BV382" s="1266"/>
      <c r="BW382" s="1266"/>
      <c r="BX382" s="1266"/>
      <c r="BY382" s="1266"/>
      <c r="BZ382" s="1266"/>
    </row>
    <row r="383" spans="2:78" ht="12.75" customHeight="1">
      <c r="B383" s="1281"/>
      <c r="C383" s="1266"/>
      <c r="D383" s="1266"/>
      <c r="E383" s="1266"/>
      <c r="F383" s="1356"/>
      <c r="G383" s="1286"/>
      <c r="H383" s="1286"/>
      <c r="I383" s="1286"/>
      <c r="J383" s="1286"/>
      <c r="K383" s="1266"/>
      <c r="L383" s="1266"/>
      <c r="M383" s="1266"/>
      <c r="N383" s="1266"/>
      <c r="O383" s="1266"/>
      <c r="P383" s="1266"/>
      <c r="Q383" s="1266"/>
      <c r="R383" s="1266"/>
      <c r="S383" s="1266"/>
      <c r="T383" s="1266"/>
      <c r="U383" s="1266"/>
      <c r="V383" s="1266"/>
      <c r="W383" s="1266"/>
      <c r="X383" s="1266"/>
      <c r="Y383" s="1266"/>
      <c r="Z383" s="1266"/>
      <c r="AA383" s="1266"/>
      <c r="AB383" s="1266"/>
      <c r="AC383" s="1266"/>
      <c r="AD383" s="1266"/>
      <c r="AE383" s="1266"/>
      <c r="AF383" s="1266"/>
      <c r="AG383" s="1266"/>
      <c r="AH383" s="1266"/>
      <c r="AI383" s="1266"/>
      <c r="AJ383" s="1266"/>
      <c r="AK383" s="1266"/>
      <c r="AL383" s="1266"/>
      <c r="AM383" s="1266"/>
      <c r="AN383" s="1266"/>
      <c r="AO383" s="1266"/>
      <c r="AP383" s="1266"/>
      <c r="AQ383" s="1266"/>
      <c r="AR383" s="1266"/>
      <c r="AS383" s="1266"/>
      <c r="AT383" s="1266"/>
      <c r="AU383" s="1266"/>
      <c r="AV383" s="1266"/>
      <c r="AW383" s="1266"/>
      <c r="AX383" s="1266"/>
      <c r="AY383" s="1266"/>
      <c r="AZ383" s="1266"/>
      <c r="BA383" s="1266"/>
      <c r="BB383" s="1266"/>
      <c r="BC383" s="1266"/>
      <c r="BD383" s="1266"/>
      <c r="BR383" s="1266"/>
      <c r="BS383" s="1266"/>
      <c r="BT383" s="1266"/>
      <c r="BU383" s="1186"/>
      <c r="BV383" s="1266"/>
      <c r="BW383" s="1266"/>
      <c r="BX383" s="1266"/>
      <c r="BY383" s="1266"/>
      <c r="BZ383" s="1266"/>
    </row>
    <row r="384" spans="2:78" ht="12.75" customHeight="1">
      <c r="B384" s="1281"/>
      <c r="C384" s="1266"/>
      <c r="D384" s="1266"/>
      <c r="E384" s="1266"/>
      <c r="F384" s="1356"/>
      <c r="G384" s="1286"/>
      <c r="H384" s="1286"/>
      <c r="I384" s="1286"/>
      <c r="J384" s="1286"/>
      <c r="K384" s="1266"/>
      <c r="L384" s="1266"/>
      <c r="M384" s="1266"/>
      <c r="N384" s="1266"/>
      <c r="O384" s="1266"/>
      <c r="P384" s="1266"/>
      <c r="Q384" s="1266"/>
      <c r="R384" s="1266"/>
      <c r="S384" s="1266"/>
      <c r="T384" s="1266"/>
      <c r="U384" s="1266"/>
      <c r="V384" s="1266"/>
      <c r="W384" s="1266"/>
      <c r="X384" s="1266"/>
      <c r="Y384" s="1266"/>
      <c r="Z384" s="1266"/>
      <c r="AA384" s="1266"/>
      <c r="AB384" s="1266"/>
      <c r="AC384" s="1266"/>
      <c r="AD384" s="1266"/>
      <c r="AE384" s="1266"/>
      <c r="AF384" s="1266"/>
      <c r="AG384" s="1266"/>
      <c r="AH384" s="1266"/>
      <c r="AI384" s="1266"/>
      <c r="AJ384" s="1266"/>
      <c r="AK384" s="1266"/>
      <c r="AL384" s="1266"/>
      <c r="AM384" s="1266"/>
      <c r="AN384" s="1266"/>
      <c r="AO384" s="1266"/>
      <c r="AP384" s="1266"/>
      <c r="AQ384" s="1266"/>
      <c r="AR384" s="1266"/>
      <c r="AS384" s="1266"/>
      <c r="AT384" s="1266"/>
      <c r="AU384" s="1266"/>
      <c r="AV384" s="1266"/>
      <c r="AW384" s="1266"/>
      <c r="AX384" s="1266"/>
      <c r="AY384" s="1266"/>
      <c r="AZ384" s="1266"/>
      <c r="BA384" s="1266"/>
      <c r="BB384" s="1266"/>
      <c r="BC384" s="1266"/>
      <c r="BD384" s="1266"/>
      <c r="BR384" s="1266"/>
      <c r="BS384" s="1266"/>
      <c r="BT384" s="1266"/>
      <c r="BU384" s="1186"/>
      <c r="BV384" s="1266"/>
      <c r="BW384" s="1266"/>
      <c r="BX384" s="1266"/>
      <c r="BY384" s="1266"/>
      <c r="BZ384" s="1266"/>
    </row>
    <row r="385" spans="2:78" ht="12.75" customHeight="1">
      <c r="B385" s="1281"/>
      <c r="C385" s="1266"/>
      <c r="D385" s="1266"/>
      <c r="E385" s="1266"/>
      <c r="F385" s="1356"/>
      <c r="G385" s="1286"/>
      <c r="H385" s="1286"/>
      <c r="I385" s="1286"/>
      <c r="J385" s="1286"/>
      <c r="K385" s="1266"/>
      <c r="L385" s="1266"/>
      <c r="M385" s="1266"/>
      <c r="N385" s="1266"/>
      <c r="O385" s="1266"/>
      <c r="P385" s="1266"/>
      <c r="Q385" s="1266"/>
      <c r="R385" s="1266"/>
      <c r="S385" s="1266"/>
      <c r="T385" s="1266"/>
      <c r="U385" s="1266"/>
      <c r="V385" s="1266"/>
      <c r="W385" s="1266"/>
      <c r="X385" s="1266"/>
      <c r="Y385" s="1266"/>
      <c r="Z385" s="1266"/>
      <c r="AA385" s="1266"/>
      <c r="AB385" s="1266"/>
      <c r="AC385" s="1266"/>
      <c r="AD385" s="1266"/>
      <c r="AE385" s="1266"/>
      <c r="AF385" s="1266"/>
      <c r="AG385" s="1266"/>
      <c r="AH385" s="1266"/>
      <c r="AI385" s="1266"/>
      <c r="AJ385" s="1266"/>
      <c r="AK385" s="1266"/>
      <c r="AL385" s="1266"/>
      <c r="AM385" s="1266"/>
      <c r="AN385" s="1266"/>
      <c r="AO385" s="1266"/>
      <c r="AP385" s="1266"/>
      <c r="AQ385" s="1266"/>
      <c r="AR385" s="1266"/>
      <c r="AS385" s="1266"/>
      <c r="AT385" s="1266"/>
      <c r="AU385" s="1266"/>
      <c r="AV385" s="1266"/>
      <c r="AW385" s="1266"/>
      <c r="AX385" s="1266"/>
      <c r="AY385" s="1266"/>
      <c r="AZ385" s="1266"/>
      <c r="BA385" s="1266"/>
      <c r="BB385" s="1266"/>
      <c r="BC385" s="1266"/>
      <c r="BD385" s="1266"/>
      <c r="BR385" s="1266"/>
      <c r="BS385" s="1266"/>
      <c r="BT385" s="1266"/>
      <c r="BU385" s="1186"/>
      <c r="BV385" s="1266"/>
      <c r="BW385" s="1266"/>
      <c r="BX385" s="1266"/>
      <c r="BY385" s="1266"/>
      <c r="BZ385" s="1266"/>
    </row>
    <row r="386" spans="2:78" ht="12.75" customHeight="1">
      <c r="B386" s="1281"/>
      <c r="C386" s="1266"/>
      <c r="D386" s="1266"/>
      <c r="E386" s="1266"/>
      <c r="F386" s="1356"/>
      <c r="G386" s="1286"/>
      <c r="H386" s="1286"/>
      <c r="I386" s="1286"/>
      <c r="J386" s="1286"/>
      <c r="K386" s="1266"/>
      <c r="L386" s="1266"/>
      <c r="M386" s="1266"/>
      <c r="N386" s="1266"/>
      <c r="O386" s="1266"/>
      <c r="P386" s="1266"/>
      <c r="Q386" s="1266"/>
      <c r="R386" s="1266"/>
      <c r="S386" s="1266"/>
      <c r="T386" s="1266"/>
      <c r="U386" s="1266"/>
      <c r="V386" s="1266"/>
      <c r="W386" s="1266"/>
      <c r="X386" s="1266"/>
      <c r="Y386" s="1266"/>
      <c r="Z386" s="1266"/>
      <c r="AA386" s="1266"/>
      <c r="AB386" s="1266"/>
      <c r="AC386" s="1266"/>
      <c r="AD386" s="1266"/>
      <c r="AE386" s="1266"/>
      <c r="AF386" s="1266"/>
      <c r="AG386" s="1266"/>
      <c r="AH386" s="1266"/>
      <c r="AI386" s="1266"/>
      <c r="AJ386" s="1266"/>
      <c r="AK386" s="1266"/>
      <c r="AL386" s="1266"/>
      <c r="AM386" s="1266"/>
      <c r="AN386" s="1266"/>
      <c r="AO386" s="1266"/>
      <c r="AP386" s="1266"/>
      <c r="AQ386" s="1266"/>
      <c r="AR386" s="1266"/>
      <c r="AS386" s="1266"/>
      <c r="AT386" s="1266"/>
      <c r="AU386" s="1266"/>
      <c r="AV386" s="1266"/>
      <c r="AW386" s="1266"/>
      <c r="AX386" s="1266"/>
      <c r="AY386" s="1266"/>
      <c r="AZ386" s="1266"/>
      <c r="BA386" s="1266"/>
      <c r="BB386" s="1266"/>
      <c r="BC386" s="1266"/>
      <c r="BD386" s="1266"/>
      <c r="BR386" s="1266"/>
      <c r="BS386" s="1266"/>
      <c r="BT386" s="1266"/>
      <c r="BU386" s="1186"/>
      <c r="BV386" s="1266"/>
      <c r="BW386" s="1266"/>
      <c r="BX386" s="1266"/>
      <c r="BY386" s="1266"/>
      <c r="BZ386" s="1266"/>
    </row>
    <row r="387" spans="2:78" ht="12.75" customHeight="1">
      <c r="B387" s="1281"/>
      <c r="C387" s="1266"/>
      <c r="D387" s="1266"/>
      <c r="E387" s="1266"/>
      <c r="F387" s="1356"/>
      <c r="G387" s="1286"/>
      <c r="H387" s="1286"/>
      <c r="I387" s="1286"/>
      <c r="J387" s="1286"/>
      <c r="K387" s="1266"/>
      <c r="L387" s="1266"/>
      <c r="M387" s="1266"/>
      <c r="N387" s="1266"/>
      <c r="O387" s="1266"/>
      <c r="P387" s="1266"/>
      <c r="Q387" s="1266"/>
      <c r="R387" s="1266"/>
      <c r="S387" s="1266"/>
      <c r="T387" s="1266"/>
      <c r="U387" s="1266"/>
      <c r="V387" s="1266"/>
      <c r="W387" s="1266"/>
      <c r="X387" s="1266"/>
      <c r="Y387" s="1266"/>
      <c r="Z387" s="1266"/>
      <c r="AA387" s="1266"/>
      <c r="AB387" s="1266"/>
      <c r="AC387" s="1266"/>
      <c r="AD387" s="1266"/>
      <c r="AE387" s="1266"/>
      <c r="AF387" s="1266"/>
      <c r="AG387" s="1266"/>
      <c r="AH387" s="1266"/>
      <c r="AI387" s="1266"/>
      <c r="AJ387" s="1266"/>
      <c r="AK387" s="1266"/>
      <c r="AL387" s="1266"/>
      <c r="AM387" s="1266"/>
      <c r="AN387" s="1266"/>
      <c r="AO387" s="1266"/>
      <c r="AP387" s="1266"/>
      <c r="AQ387" s="1266"/>
      <c r="AR387" s="1266"/>
      <c r="AS387" s="1266"/>
      <c r="AT387" s="1266"/>
      <c r="AU387" s="1266"/>
      <c r="AV387" s="1266"/>
      <c r="AW387" s="1266"/>
      <c r="AX387" s="1266"/>
      <c r="AY387" s="1266"/>
      <c r="AZ387" s="1266"/>
      <c r="BA387" s="1266"/>
      <c r="BB387" s="1266"/>
      <c r="BC387" s="1266"/>
      <c r="BD387" s="1266"/>
      <c r="BR387" s="1266"/>
      <c r="BS387" s="1266"/>
      <c r="BT387" s="1266"/>
      <c r="BU387" s="1186"/>
      <c r="BV387" s="1266"/>
      <c r="BW387" s="1266"/>
      <c r="BX387" s="1266"/>
      <c r="BY387" s="1266"/>
      <c r="BZ387" s="1266"/>
    </row>
    <row r="388" spans="2:78" ht="12.75" customHeight="1">
      <c r="B388" s="1281"/>
      <c r="C388" s="1266"/>
      <c r="D388" s="1266"/>
      <c r="E388" s="1266"/>
      <c r="F388" s="1356"/>
      <c r="G388" s="1286"/>
      <c r="H388" s="1286"/>
      <c r="I388" s="1286"/>
      <c r="J388" s="1286"/>
      <c r="K388" s="1266"/>
      <c r="L388" s="1266"/>
      <c r="M388" s="1266"/>
      <c r="N388" s="1266"/>
      <c r="O388" s="1266"/>
      <c r="P388" s="1266"/>
      <c r="Q388" s="1266"/>
      <c r="R388" s="1266"/>
      <c r="S388" s="1266"/>
      <c r="T388" s="1266"/>
      <c r="U388" s="1266"/>
      <c r="V388" s="1266"/>
      <c r="W388" s="1266"/>
      <c r="X388" s="1266"/>
      <c r="Y388" s="1266"/>
      <c r="Z388" s="1266"/>
      <c r="AA388" s="1266"/>
      <c r="AB388" s="1266"/>
      <c r="AC388" s="1266"/>
      <c r="AD388" s="1266"/>
      <c r="AE388" s="1266"/>
      <c r="AF388" s="1266"/>
      <c r="AG388" s="1266"/>
      <c r="AH388" s="1266"/>
      <c r="AI388" s="1266"/>
      <c r="AJ388" s="1266"/>
      <c r="AK388" s="1266"/>
      <c r="AL388" s="1266"/>
      <c r="AM388" s="1266"/>
      <c r="AN388" s="1266"/>
      <c r="AO388" s="1266"/>
      <c r="AP388" s="1266"/>
      <c r="AQ388" s="1266"/>
      <c r="AR388" s="1266"/>
      <c r="AS388" s="1266"/>
      <c r="AT388" s="1266"/>
      <c r="AU388" s="1266"/>
      <c r="AV388" s="1266"/>
      <c r="AW388" s="1266"/>
      <c r="AX388" s="1266"/>
      <c r="AY388" s="1266"/>
      <c r="AZ388" s="1266"/>
      <c r="BA388" s="1266"/>
      <c r="BB388" s="1266"/>
      <c r="BC388" s="1266"/>
      <c r="BD388" s="1266"/>
      <c r="BR388" s="1266"/>
      <c r="BS388" s="1266"/>
      <c r="BT388" s="1266"/>
      <c r="BU388" s="1186"/>
      <c r="BV388" s="1266"/>
      <c r="BW388" s="1266"/>
      <c r="BX388" s="1266"/>
      <c r="BY388" s="1266"/>
      <c r="BZ388" s="1266"/>
    </row>
    <row r="389" spans="2:78" ht="12.75" customHeight="1">
      <c r="B389" s="1281"/>
      <c r="C389" s="1266"/>
      <c r="D389" s="1266"/>
      <c r="E389" s="1266"/>
      <c r="F389" s="1356"/>
      <c r="G389" s="1286"/>
      <c r="H389" s="1286"/>
      <c r="I389" s="1286"/>
      <c r="J389" s="1286"/>
      <c r="K389" s="1266"/>
      <c r="L389" s="1266"/>
      <c r="M389" s="1266"/>
      <c r="N389" s="1266"/>
      <c r="O389" s="1266"/>
      <c r="P389" s="1266"/>
      <c r="Q389" s="1266"/>
      <c r="R389" s="1266"/>
      <c r="S389" s="1266"/>
      <c r="T389" s="1266"/>
      <c r="U389" s="1266"/>
      <c r="V389" s="1266"/>
      <c r="W389" s="1266"/>
      <c r="X389" s="1266"/>
      <c r="Y389" s="1266"/>
      <c r="Z389" s="1266"/>
      <c r="AA389" s="1266"/>
      <c r="AB389" s="1266"/>
      <c r="AC389" s="1266"/>
      <c r="AD389" s="1266"/>
      <c r="AE389" s="1266"/>
      <c r="AF389" s="1266"/>
      <c r="AG389" s="1266"/>
      <c r="AH389" s="1266"/>
      <c r="AI389" s="1266"/>
      <c r="AJ389" s="1266"/>
      <c r="AK389" s="1266"/>
      <c r="AL389" s="1266"/>
      <c r="AM389" s="1266"/>
      <c r="AN389" s="1266"/>
      <c r="AO389" s="1266"/>
      <c r="AP389" s="1266"/>
      <c r="AQ389" s="1266"/>
      <c r="AR389" s="1266"/>
      <c r="AS389" s="1266"/>
      <c r="AT389" s="1266"/>
      <c r="AU389" s="1266"/>
      <c r="AV389" s="1266"/>
      <c r="AW389" s="1266"/>
      <c r="AX389" s="1266"/>
      <c r="AY389" s="1266"/>
      <c r="AZ389" s="1266"/>
      <c r="BA389" s="1266"/>
      <c r="BB389" s="1266"/>
      <c r="BC389" s="1266"/>
      <c r="BD389" s="1266"/>
      <c r="BR389" s="1266"/>
      <c r="BS389" s="1266"/>
      <c r="BT389" s="1266"/>
      <c r="BU389" s="1186"/>
      <c r="BV389" s="1266"/>
      <c r="BW389" s="1266"/>
      <c r="BX389" s="1266"/>
      <c r="BY389" s="1266"/>
      <c r="BZ389" s="1266"/>
    </row>
    <row r="390" spans="2:78" ht="12.75" customHeight="1">
      <c r="B390" s="1281"/>
      <c r="C390" s="1266"/>
      <c r="D390" s="1266"/>
      <c r="E390" s="1266"/>
      <c r="F390" s="1356"/>
      <c r="G390" s="1286"/>
      <c r="H390" s="1286"/>
      <c r="I390" s="1286"/>
      <c r="J390" s="1286"/>
      <c r="K390" s="1266"/>
      <c r="L390" s="1266"/>
      <c r="M390" s="1266"/>
      <c r="N390" s="1266"/>
      <c r="O390" s="1266"/>
      <c r="P390" s="1266"/>
      <c r="Q390" s="1266"/>
      <c r="R390" s="1266"/>
      <c r="S390" s="1266"/>
      <c r="T390" s="1266"/>
      <c r="U390" s="1266"/>
      <c r="V390" s="1266"/>
      <c r="W390" s="1266"/>
      <c r="X390" s="1266"/>
      <c r="Y390" s="1266"/>
      <c r="Z390" s="1266"/>
      <c r="AA390" s="1266"/>
      <c r="AB390" s="1266"/>
      <c r="AC390" s="1266"/>
      <c r="AD390" s="1266"/>
      <c r="AE390" s="1266"/>
      <c r="AF390" s="1266"/>
      <c r="AG390" s="1266"/>
      <c r="AH390" s="1266"/>
      <c r="AI390" s="1266"/>
      <c r="AJ390" s="1266"/>
      <c r="AK390" s="1266"/>
      <c r="AL390" s="1266"/>
      <c r="AM390" s="1266"/>
      <c r="AN390" s="1266"/>
      <c r="AO390" s="1266"/>
      <c r="AP390" s="1266"/>
      <c r="AQ390" s="1266"/>
      <c r="AR390" s="1266"/>
      <c r="AS390" s="1266"/>
      <c r="AT390" s="1266"/>
      <c r="AU390" s="1266"/>
      <c r="AV390" s="1266"/>
      <c r="AW390" s="1266"/>
      <c r="AX390" s="1266"/>
      <c r="AY390" s="1266"/>
      <c r="AZ390" s="1266"/>
      <c r="BA390" s="1266"/>
      <c r="BB390" s="1266"/>
      <c r="BC390" s="1266"/>
      <c r="BD390" s="1266"/>
      <c r="BR390" s="1266"/>
      <c r="BS390" s="1266"/>
      <c r="BT390" s="1266"/>
      <c r="BU390" s="1186"/>
      <c r="BV390" s="1266"/>
      <c r="BW390" s="1266"/>
      <c r="BX390" s="1266"/>
      <c r="BY390" s="1266"/>
      <c r="BZ390" s="1266"/>
    </row>
    <row r="391" spans="2:78" ht="12.75" customHeight="1">
      <c r="B391" s="1281"/>
      <c r="C391" s="1266"/>
      <c r="D391" s="1266"/>
      <c r="E391" s="1266"/>
      <c r="F391" s="1356"/>
      <c r="G391" s="1286"/>
      <c r="H391" s="1286"/>
      <c r="I391" s="1286"/>
      <c r="J391" s="1286"/>
      <c r="K391" s="1266"/>
      <c r="L391" s="1266"/>
      <c r="M391" s="1266"/>
      <c r="N391" s="1266"/>
      <c r="O391" s="1266"/>
      <c r="P391" s="1266"/>
      <c r="Q391" s="1266"/>
      <c r="R391" s="1266"/>
      <c r="S391" s="1266"/>
      <c r="T391" s="1266"/>
      <c r="U391" s="1266"/>
      <c r="V391" s="1266"/>
      <c r="W391" s="1266"/>
      <c r="X391" s="1266"/>
      <c r="Y391" s="1266"/>
      <c r="Z391" s="1266"/>
      <c r="AA391" s="1266"/>
      <c r="AB391" s="1266"/>
      <c r="AC391" s="1266"/>
      <c r="AD391" s="1266"/>
      <c r="AE391" s="1266"/>
      <c r="AF391" s="1266"/>
      <c r="AG391" s="1266"/>
      <c r="AH391" s="1266"/>
      <c r="AI391" s="1266"/>
      <c r="AJ391" s="1266"/>
      <c r="AK391" s="1266"/>
      <c r="AL391" s="1266"/>
      <c r="AM391" s="1266"/>
      <c r="AN391" s="1266"/>
      <c r="AO391" s="1266"/>
      <c r="AP391" s="1266"/>
      <c r="AQ391" s="1266"/>
      <c r="AR391" s="1266"/>
      <c r="AS391" s="1266"/>
      <c r="AT391" s="1266"/>
      <c r="AU391" s="1266"/>
      <c r="AV391" s="1266"/>
      <c r="AW391" s="1266"/>
      <c r="AX391" s="1266"/>
      <c r="AY391" s="1266"/>
      <c r="AZ391" s="1266"/>
      <c r="BA391" s="1266"/>
      <c r="BB391" s="1266"/>
      <c r="BC391" s="1266"/>
      <c r="BD391" s="1266"/>
      <c r="BR391" s="1266"/>
      <c r="BS391" s="1266"/>
      <c r="BT391" s="1266"/>
      <c r="BU391" s="1186"/>
      <c r="BV391" s="1266"/>
      <c r="BW391" s="1266"/>
      <c r="BX391" s="1266"/>
      <c r="BY391" s="1266"/>
      <c r="BZ391" s="1266"/>
    </row>
    <row r="392" spans="2:78" ht="12.75" customHeight="1">
      <c r="BR392" s="1266"/>
      <c r="BU392" s="1186"/>
      <c r="BV392" s="1266"/>
      <c r="BW392" s="1266"/>
      <c r="BX392" s="1266"/>
      <c r="BY392" s="1266"/>
    </row>
    <row r="393" spans="2:78" ht="12.75" customHeight="1">
      <c r="BR393" s="1266"/>
      <c r="BU393" s="1186"/>
    </row>
    <row r="394" spans="2:78" ht="12.75" customHeight="1">
      <c r="BR394" s="1266"/>
      <c r="BU394" s="1186"/>
    </row>
    <row r="395" spans="2:78" ht="12.75" customHeight="1">
      <c r="BR395" s="1266"/>
      <c r="BU395" s="1186"/>
    </row>
    <row r="396" spans="2:78" ht="12.75" customHeight="1">
      <c r="BR396" s="1266"/>
      <c r="BU396" s="1186"/>
    </row>
    <row r="397" spans="2:78" ht="12.75" customHeight="1">
      <c r="BR397" s="1266"/>
      <c r="BU397" s="1186"/>
    </row>
    <row r="398" spans="2:78" ht="12.75" customHeight="1">
      <c r="BR398" s="1266"/>
      <c r="BU398" s="1186"/>
    </row>
    <row r="399" spans="2:78" ht="12.75" customHeight="1">
      <c r="BR399" s="1266"/>
      <c r="BU399" s="1186"/>
    </row>
    <row r="400" spans="2:78" ht="12.75" customHeight="1">
      <c r="BR400" s="1266"/>
      <c r="BU400" s="1186"/>
    </row>
    <row r="401" spans="70:73" ht="12.75" customHeight="1">
      <c r="BR401" s="1266"/>
      <c r="BU401" s="1186"/>
    </row>
    <row r="402" spans="70:73" ht="12.75" customHeight="1">
      <c r="BR402" s="1266"/>
      <c r="BU402" s="1186"/>
    </row>
    <row r="403" spans="70:73" ht="12.75" customHeight="1">
      <c r="BR403" s="1266"/>
      <c r="BU403" s="1186"/>
    </row>
    <row r="404" spans="70:73" ht="12.75" customHeight="1">
      <c r="BR404" s="1266"/>
      <c r="BU404" s="1186"/>
    </row>
    <row r="405" spans="70:73" ht="12.75" customHeight="1">
      <c r="BR405" s="1266"/>
      <c r="BU405" s="1186"/>
    </row>
    <row r="406" spans="70:73" ht="12.75" customHeight="1">
      <c r="BR406" s="1266"/>
      <c r="BU406" s="1186"/>
    </row>
    <row r="407" spans="70:73" ht="12.75" customHeight="1">
      <c r="BR407" s="1266"/>
      <c r="BU407" s="1186"/>
    </row>
    <row r="408" spans="70:73" ht="12.75" customHeight="1">
      <c r="BU408" s="1186"/>
    </row>
    <row r="409" spans="70:73" ht="12.75" customHeight="1">
      <c r="BU409" s="1186"/>
    </row>
    <row r="410" spans="70:73" ht="12.75" customHeight="1">
      <c r="BU410" s="1186"/>
    </row>
    <row r="411" spans="70:73" ht="12.75" customHeight="1">
      <c r="BU411" s="1186"/>
    </row>
    <row r="412" spans="70:73" ht="12.75" customHeight="1">
      <c r="BU412" s="1186"/>
    </row>
    <row r="413" spans="70:73" ht="12.75" customHeight="1">
      <c r="BU413" s="1186"/>
    </row>
    <row r="414" spans="70:73" ht="12.75" customHeight="1">
      <c r="BU414" s="1186"/>
    </row>
    <row r="415" spans="70:73" ht="12.75" customHeight="1">
      <c r="BU415" s="1186"/>
    </row>
    <row r="416" spans="70:73" ht="12.75" customHeight="1">
      <c r="BU416" s="1186"/>
    </row>
    <row r="417" spans="73:73" ht="12.75" customHeight="1">
      <c r="BU417" s="1186"/>
    </row>
    <row r="418" spans="73:73" ht="12.75" customHeight="1">
      <c r="BU418" s="1186"/>
    </row>
    <row r="419" spans="73:73" ht="12.75" customHeight="1">
      <c r="BU419" s="1186"/>
    </row>
    <row r="420" spans="73:73" ht="12.75" customHeight="1">
      <c r="BU420" s="1186"/>
    </row>
    <row r="421" spans="73:73" ht="12.75" customHeight="1">
      <c r="BU421" s="1186"/>
    </row>
    <row r="422" spans="73:73" ht="12.75" customHeight="1">
      <c r="BU422" s="1186"/>
    </row>
    <row r="423" spans="73:73" ht="12.75" customHeight="1">
      <c r="BU423" s="1186"/>
    </row>
    <row r="424" spans="73:73" ht="12.75" customHeight="1">
      <c r="BU424" s="1186"/>
    </row>
    <row r="425" spans="73:73" ht="12.75" customHeight="1">
      <c r="BU425" s="1186"/>
    </row>
    <row r="426" spans="73:73" ht="12.75" customHeight="1">
      <c r="BU426" s="1186"/>
    </row>
    <row r="427" spans="73:73" ht="12.75" customHeight="1">
      <c r="BU427" s="1186"/>
    </row>
    <row r="428" spans="73:73" ht="12.75" customHeight="1">
      <c r="BU428" s="1186"/>
    </row>
    <row r="429" spans="73:73" ht="12.75" customHeight="1">
      <c r="BU429" s="1186"/>
    </row>
    <row r="430" spans="73:73" ht="12.75" customHeight="1">
      <c r="BU430" s="1186"/>
    </row>
    <row r="431" spans="73:73" ht="12.75" customHeight="1">
      <c r="BU431" s="1186"/>
    </row>
    <row r="432" spans="73:73" ht="12.75" customHeight="1">
      <c r="BU432" s="1186"/>
    </row>
    <row r="433" spans="73:73" ht="12.75" customHeight="1">
      <c r="BU433" s="1186"/>
    </row>
    <row r="434" spans="73:73" ht="12.75" customHeight="1">
      <c r="BU434" s="1186"/>
    </row>
    <row r="435" spans="73:73" ht="12.75" customHeight="1">
      <c r="BU435" s="1186"/>
    </row>
    <row r="436" spans="73:73" ht="12.75" customHeight="1">
      <c r="BU436" s="1186"/>
    </row>
    <row r="437" spans="73:73" ht="12.75" customHeight="1">
      <c r="BU437" s="1186"/>
    </row>
    <row r="438" spans="73:73" ht="12.75" customHeight="1">
      <c r="BU438" s="1186"/>
    </row>
    <row r="439" spans="73:73" ht="12.75" customHeight="1">
      <c r="BU439" s="1186"/>
    </row>
    <row r="440" spans="73:73" ht="12.75" customHeight="1">
      <c r="BU440" s="1186"/>
    </row>
    <row r="441" spans="73:73" ht="12.75" customHeight="1">
      <c r="BU441" s="1186"/>
    </row>
    <row r="442" spans="73:73" ht="12.75" customHeight="1">
      <c r="BU442" s="1186"/>
    </row>
    <row r="443" spans="73:73" ht="12.75" customHeight="1">
      <c r="BU443" s="1186"/>
    </row>
    <row r="444" spans="73:73" ht="12.75" customHeight="1">
      <c r="BU444" s="1186"/>
    </row>
    <row r="445" spans="73:73" ht="12.75" customHeight="1">
      <c r="BU445" s="1186"/>
    </row>
    <row r="446" spans="73:73" ht="12.75" customHeight="1">
      <c r="BU446" s="1186"/>
    </row>
    <row r="447" spans="73:73" ht="12.75" customHeight="1">
      <c r="BU447" s="1186"/>
    </row>
    <row r="448" spans="73:73" ht="12.75" customHeight="1">
      <c r="BU448" s="1186"/>
    </row>
    <row r="449" spans="73:73" ht="12.75" customHeight="1">
      <c r="BU449" s="1186"/>
    </row>
    <row r="450" spans="73:73" ht="12.75" customHeight="1">
      <c r="BU450" s="1186"/>
    </row>
    <row r="451" spans="73:73" ht="12.75" customHeight="1"/>
    <row r="452" spans="73:73" ht="12.75" customHeight="1"/>
    <row r="453" spans="73:73" ht="12.75" customHeight="1"/>
    <row r="454" spans="73:73" ht="12.75" customHeight="1"/>
    <row r="455" spans="73:73" ht="12.75" customHeight="1"/>
    <row r="456" spans="73:73" ht="12.75" customHeight="1"/>
    <row r="457" spans="73:73" ht="12.75" customHeight="1"/>
    <row r="458" spans="73:73" ht="12.75" customHeight="1"/>
    <row r="459" spans="73:73" ht="12.75" customHeight="1"/>
    <row r="460" spans="73:73" ht="12.75" customHeight="1"/>
    <row r="461" spans="73:73" ht="12.75" customHeight="1"/>
    <row r="462" spans="73:73" ht="12.75" customHeight="1"/>
    <row r="463" spans="73:73" ht="12.75" customHeight="1"/>
    <row r="464" spans="73:73"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sheetData>
  <phoneticPr fontId="0" type="noConversion"/>
  <pageMargins left="0.75" right="0.75" top="1" bottom="1" header="0.5" footer="0.5"/>
  <pageSetup orientation="portrait"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cols>
    <col min="1" max="1" width="29.5703125" style="1988" bestFit="1" customWidth="1"/>
    <col min="2" max="2" width="19.85546875" style="2341" customWidth="1"/>
    <col min="3" max="3" width="12" style="1988" bestFit="1" customWidth="1"/>
    <col min="4" max="256" width="9.140625" style="1988"/>
    <col min="257" max="257" width="29.5703125" style="1988" bestFit="1" customWidth="1"/>
    <col min="258" max="258" width="19.85546875" style="1988" customWidth="1"/>
    <col min="259" max="259" width="12" style="1988" bestFit="1" customWidth="1"/>
    <col min="260" max="512" width="9.140625" style="1988"/>
    <col min="513" max="513" width="29.5703125" style="1988" bestFit="1" customWidth="1"/>
    <col min="514" max="514" width="19.85546875" style="1988" customWidth="1"/>
    <col min="515" max="515" width="12" style="1988" bestFit="1" customWidth="1"/>
    <col min="516" max="768" width="9.140625" style="1988"/>
    <col min="769" max="769" width="29.5703125" style="1988" bestFit="1" customWidth="1"/>
    <col min="770" max="770" width="19.85546875" style="1988" customWidth="1"/>
    <col min="771" max="771" width="12" style="1988" bestFit="1" customWidth="1"/>
    <col min="772" max="1024" width="9.140625" style="1988"/>
    <col min="1025" max="1025" width="29.5703125" style="1988" bestFit="1" customWidth="1"/>
    <col min="1026" max="1026" width="19.85546875" style="1988" customWidth="1"/>
    <col min="1027" max="1027" width="12" style="1988" bestFit="1" customWidth="1"/>
    <col min="1028" max="1280" width="9.140625" style="1988"/>
    <col min="1281" max="1281" width="29.5703125" style="1988" bestFit="1" customWidth="1"/>
    <col min="1282" max="1282" width="19.85546875" style="1988" customWidth="1"/>
    <col min="1283" max="1283" width="12" style="1988" bestFit="1" customWidth="1"/>
    <col min="1284" max="1536" width="9.140625" style="1988"/>
    <col min="1537" max="1537" width="29.5703125" style="1988" bestFit="1" customWidth="1"/>
    <col min="1538" max="1538" width="19.85546875" style="1988" customWidth="1"/>
    <col min="1539" max="1539" width="12" style="1988" bestFit="1" customWidth="1"/>
    <col min="1540" max="1792" width="9.140625" style="1988"/>
    <col min="1793" max="1793" width="29.5703125" style="1988" bestFit="1" customWidth="1"/>
    <col min="1794" max="1794" width="19.85546875" style="1988" customWidth="1"/>
    <col min="1795" max="1795" width="12" style="1988" bestFit="1" customWidth="1"/>
    <col min="1796" max="2048" width="9.140625" style="1988"/>
    <col min="2049" max="2049" width="29.5703125" style="1988" bestFit="1" customWidth="1"/>
    <col min="2050" max="2050" width="19.85546875" style="1988" customWidth="1"/>
    <col min="2051" max="2051" width="12" style="1988" bestFit="1" customWidth="1"/>
    <col min="2052" max="2304" width="9.140625" style="1988"/>
    <col min="2305" max="2305" width="29.5703125" style="1988" bestFit="1" customWidth="1"/>
    <col min="2306" max="2306" width="19.85546875" style="1988" customWidth="1"/>
    <col min="2307" max="2307" width="12" style="1988" bestFit="1" customWidth="1"/>
    <col min="2308" max="2560" width="9.140625" style="1988"/>
    <col min="2561" max="2561" width="29.5703125" style="1988" bestFit="1" customWidth="1"/>
    <col min="2562" max="2562" width="19.85546875" style="1988" customWidth="1"/>
    <col min="2563" max="2563" width="12" style="1988" bestFit="1" customWidth="1"/>
    <col min="2564" max="2816" width="9.140625" style="1988"/>
    <col min="2817" max="2817" width="29.5703125" style="1988" bestFit="1" customWidth="1"/>
    <col min="2818" max="2818" width="19.85546875" style="1988" customWidth="1"/>
    <col min="2819" max="2819" width="12" style="1988" bestFit="1" customWidth="1"/>
    <col min="2820" max="3072" width="9.140625" style="1988"/>
    <col min="3073" max="3073" width="29.5703125" style="1988" bestFit="1" customWidth="1"/>
    <col min="3074" max="3074" width="19.85546875" style="1988" customWidth="1"/>
    <col min="3075" max="3075" width="12" style="1988" bestFit="1" customWidth="1"/>
    <col min="3076" max="3328" width="9.140625" style="1988"/>
    <col min="3329" max="3329" width="29.5703125" style="1988" bestFit="1" customWidth="1"/>
    <col min="3330" max="3330" width="19.85546875" style="1988" customWidth="1"/>
    <col min="3331" max="3331" width="12" style="1988" bestFit="1" customWidth="1"/>
    <col min="3332" max="3584" width="9.140625" style="1988"/>
    <col min="3585" max="3585" width="29.5703125" style="1988" bestFit="1" customWidth="1"/>
    <col min="3586" max="3586" width="19.85546875" style="1988" customWidth="1"/>
    <col min="3587" max="3587" width="12" style="1988" bestFit="1" customWidth="1"/>
    <col min="3588" max="3840" width="9.140625" style="1988"/>
    <col min="3841" max="3841" width="29.5703125" style="1988" bestFit="1" customWidth="1"/>
    <col min="3842" max="3842" width="19.85546875" style="1988" customWidth="1"/>
    <col min="3843" max="3843" width="12" style="1988" bestFit="1" customWidth="1"/>
    <col min="3844" max="4096" width="9.140625" style="1988"/>
    <col min="4097" max="4097" width="29.5703125" style="1988" bestFit="1" customWidth="1"/>
    <col min="4098" max="4098" width="19.85546875" style="1988" customWidth="1"/>
    <col min="4099" max="4099" width="12" style="1988" bestFit="1" customWidth="1"/>
    <col min="4100" max="4352" width="9.140625" style="1988"/>
    <col min="4353" max="4353" width="29.5703125" style="1988" bestFit="1" customWidth="1"/>
    <col min="4354" max="4354" width="19.85546875" style="1988" customWidth="1"/>
    <col min="4355" max="4355" width="12" style="1988" bestFit="1" customWidth="1"/>
    <col min="4356" max="4608" width="9.140625" style="1988"/>
    <col min="4609" max="4609" width="29.5703125" style="1988" bestFit="1" customWidth="1"/>
    <col min="4610" max="4610" width="19.85546875" style="1988" customWidth="1"/>
    <col min="4611" max="4611" width="12" style="1988" bestFit="1" customWidth="1"/>
    <col min="4612" max="4864" width="9.140625" style="1988"/>
    <col min="4865" max="4865" width="29.5703125" style="1988" bestFit="1" customWidth="1"/>
    <col min="4866" max="4866" width="19.85546875" style="1988" customWidth="1"/>
    <col min="4867" max="4867" width="12" style="1988" bestFit="1" customWidth="1"/>
    <col min="4868" max="5120" width="9.140625" style="1988"/>
    <col min="5121" max="5121" width="29.5703125" style="1988" bestFit="1" customWidth="1"/>
    <col min="5122" max="5122" width="19.85546875" style="1988" customWidth="1"/>
    <col min="5123" max="5123" width="12" style="1988" bestFit="1" customWidth="1"/>
    <col min="5124" max="5376" width="9.140625" style="1988"/>
    <col min="5377" max="5377" width="29.5703125" style="1988" bestFit="1" customWidth="1"/>
    <col min="5378" max="5378" width="19.85546875" style="1988" customWidth="1"/>
    <col min="5379" max="5379" width="12" style="1988" bestFit="1" customWidth="1"/>
    <col min="5380" max="5632" width="9.140625" style="1988"/>
    <col min="5633" max="5633" width="29.5703125" style="1988" bestFit="1" customWidth="1"/>
    <col min="5634" max="5634" width="19.85546875" style="1988" customWidth="1"/>
    <col min="5635" max="5635" width="12" style="1988" bestFit="1" customWidth="1"/>
    <col min="5636" max="5888" width="9.140625" style="1988"/>
    <col min="5889" max="5889" width="29.5703125" style="1988" bestFit="1" customWidth="1"/>
    <col min="5890" max="5890" width="19.85546875" style="1988" customWidth="1"/>
    <col min="5891" max="5891" width="12" style="1988" bestFit="1" customWidth="1"/>
    <col min="5892" max="6144" width="9.140625" style="1988"/>
    <col min="6145" max="6145" width="29.5703125" style="1988" bestFit="1" customWidth="1"/>
    <col min="6146" max="6146" width="19.85546875" style="1988" customWidth="1"/>
    <col min="6147" max="6147" width="12" style="1988" bestFit="1" customWidth="1"/>
    <col min="6148" max="6400" width="9.140625" style="1988"/>
    <col min="6401" max="6401" width="29.5703125" style="1988" bestFit="1" customWidth="1"/>
    <col min="6402" max="6402" width="19.85546875" style="1988" customWidth="1"/>
    <col min="6403" max="6403" width="12" style="1988" bestFit="1" customWidth="1"/>
    <col min="6404" max="6656" width="9.140625" style="1988"/>
    <col min="6657" max="6657" width="29.5703125" style="1988" bestFit="1" customWidth="1"/>
    <col min="6658" max="6658" width="19.85546875" style="1988" customWidth="1"/>
    <col min="6659" max="6659" width="12" style="1988" bestFit="1" customWidth="1"/>
    <col min="6660" max="6912" width="9.140625" style="1988"/>
    <col min="6913" max="6913" width="29.5703125" style="1988" bestFit="1" customWidth="1"/>
    <col min="6914" max="6914" width="19.85546875" style="1988" customWidth="1"/>
    <col min="6915" max="6915" width="12" style="1988" bestFit="1" customWidth="1"/>
    <col min="6916" max="7168" width="9.140625" style="1988"/>
    <col min="7169" max="7169" width="29.5703125" style="1988" bestFit="1" customWidth="1"/>
    <col min="7170" max="7170" width="19.85546875" style="1988" customWidth="1"/>
    <col min="7171" max="7171" width="12" style="1988" bestFit="1" customWidth="1"/>
    <col min="7172" max="7424" width="9.140625" style="1988"/>
    <col min="7425" max="7425" width="29.5703125" style="1988" bestFit="1" customWidth="1"/>
    <col min="7426" max="7426" width="19.85546875" style="1988" customWidth="1"/>
    <col min="7427" max="7427" width="12" style="1988" bestFit="1" customWidth="1"/>
    <col min="7428" max="7680" width="9.140625" style="1988"/>
    <col min="7681" max="7681" width="29.5703125" style="1988" bestFit="1" customWidth="1"/>
    <col min="7682" max="7682" width="19.85546875" style="1988" customWidth="1"/>
    <col min="7683" max="7683" width="12" style="1988" bestFit="1" customWidth="1"/>
    <col min="7684" max="7936" width="9.140625" style="1988"/>
    <col min="7937" max="7937" width="29.5703125" style="1988" bestFit="1" customWidth="1"/>
    <col min="7938" max="7938" width="19.85546875" style="1988" customWidth="1"/>
    <col min="7939" max="7939" width="12" style="1988" bestFit="1" customWidth="1"/>
    <col min="7940" max="8192" width="9.140625" style="1988"/>
    <col min="8193" max="8193" width="29.5703125" style="1988" bestFit="1" customWidth="1"/>
    <col min="8194" max="8194" width="19.85546875" style="1988" customWidth="1"/>
    <col min="8195" max="8195" width="12" style="1988" bestFit="1" customWidth="1"/>
    <col min="8196" max="8448" width="9.140625" style="1988"/>
    <col min="8449" max="8449" width="29.5703125" style="1988" bestFit="1" customWidth="1"/>
    <col min="8450" max="8450" width="19.85546875" style="1988" customWidth="1"/>
    <col min="8451" max="8451" width="12" style="1988" bestFit="1" customWidth="1"/>
    <col min="8452" max="8704" width="9.140625" style="1988"/>
    <col min="8705" max="8705" width="29.5703125" style="1988" bestFit="1" customWidth="1"/>
    <col min="8706" max="8706" width="19.85546875" style="1988" customWidth="1"/>
    <col min="8707" max="8707" width="12" style="1988" bestFit="1" customWidth="1"/>
    <col min="8708" max="8960" width="9.140625" style="1988"/>
    <col min="8961" max="8961" width="29.5703125" style="1988" bestFit="1" customWidth="1"/>
    <col min="8962" max="8962" width="19.85546875" style="1988" customWidth="1"/>
    <col min="8963" max="8963" width="12" style="1988" bestFit="1" customWidth="1"/>
    <col min="8964" max="9216" width="9.140625" style="1988"/>
    <col min="9217" max="9217" width="29.5703125" style="1988" bestFit="1" customWidth="1"/>
    <col min="9218" max="9218" width="19.85546875" style="1988" customWidth="1"/>
    <col min="9219" max="9219" width="12" style="1988" bestFit="1" customWidth="1"/>
    <col min="9220" max="9472" width="9.140625" style="1988"/>
    <col min="9473" max="9473" width="29.5703125" style="1988" bestFit="1" customWidth="1"/>
    <col min="9474" max="9474" width="19.85546875" style="1988" customWidth="1"/>
    <col min="9475" max="9475" width="12" style="1988" bestFit="1" customWidth="1"/>
    <col min="9476" max="9728" width="9.140625" style="1988"/>
    <col min="9729" max="9729" width="29.5703125" style="1988" bestFit="1" customWidth="1"/>
    <col min="9730" max="9730" width="19.85546875" style="1988" customWidth="1"/>
    <col min="9731" max="9731" width="12" style="1988" bestFit="1" customWidth="1"/>
    <col min="9732" max="9984" width="9.140625" style="1988"/>
    <col min="9985" max="9985" width="29.5703125" style="1988" bestFit="1" customWidth="1"/>
    <col min="9986" max="9986" width="19.85546875" style="1988" customWidth="1"/>
    <col min="9987" max="9987" width="12" style="1988" bestFit="1" customWidth="1"/>
    <col min="9988" max="10240" width="9.140625" style="1988"/>
    <col min="10241" max="10241" width="29.5703125" style="1988" bestFit="1" customWidth="1"/>
    <col min="10242" max="10242" width="19.85546875" style="1988" customWidth="1"/>
    <col min="10243" max="10243" width="12" style="1988" bestFit="1" customWidth="1"/>
    <col min="10244" max="10496" width="9.140625" style="1988"/>
    <col min="10497" max="10497" width="29.5703125" style="1988" bestFit="1" customWidth="1"/>
    <col min="10498" max="10498" width="19.85546875" style="1988" customWidth="1"/>
    <col min="10499" max="10499" width="12" style="1988" bestFit="1" customWidth="1"/>
    <col min="10500" max="10752" width="9.140625" style="1988"/>
    <col min="10753" max="10753" width="29.5703125" style="1988" bestFit="1" customWidth="1"/>
    <col min="10754" max="10754" width="19.85546875" style="1988" customWidth="1"/>
    <col min="10755" max="10755" width="12" style="1988" bestFit="1" customWidth="1"/>
    <col min="10756" max="11008" width="9.140625" style="1988"/>
    <col min="11009" max="11009" width="29.5703125" style="1988" bestFit="1" customWidth="1"/>
    <col min="11010" max="11010" width="19.85546875" style="1988" customWidth="1"/>
    <col min="11011" max="11011" width="12" style="1988" bestFit="1" customWidth="1"/>
    <col min="11012" max="11264" width="9.140625" style="1988"/>
    <col min="11265" max="11265" width="29.5703125" style="1988" bestFit="1" customWidth="1"/>
    <col min="11266" max="11266" width="19.85546875" style="1988" customWidth="1"/>
    <col min="11267" max="11267" width="12" style="1988" bestFit="1" customWidth="1"/>
    <col min="11268" max="11520" width="9.140625" style="1988"/>
    <col min="11521" max="11521" width="29.5703125" style="1988" bestFit="1" customWidth="1"/>
    <col min="11522" max="11522" width="19.85546875" style="1988" customWidth="1"/>
    <col min="11523" max="11523" width="12" style="1988" bestFit="1" customWidth="1"/>
    <col min="11524" max="11776" width="9.140625" style="1988"/>
    <col min="11777" max="11777" width="29.5703125" style="1988" bestFit="1" customWidth="1"/>
    <col min="11778" max="11778" width="19.85546875" style="1988" customWidth="1"/>
    <col min="11779" max="11779" width="12" style="1988" bestFit="1" customWidth="1"/>
    <col min="11780" max="12032" width="9.140625" style="1988"/>
    <col min="12033" max="12033" width="29.5703125" style="1988" bestFit="1" customWidth="1"/>
    <col min="12034" max="12034" width="19.85546875" style="1988" customWidth="1"/>
    <col min="12035" max="12035" width="12" style="1988" bestFit="1" customWidth="1"/>
    <col min="12036" max="12288" width="9.140625" style="1988"/>
    <col min="12289" max="12289" width="29.5703125" style="1988" bestFit="1" customWidth="1"/>
    <col min="12290" max="12290" width="19.85546875" style="1988" customWidth="1"/>
    <col min="12291" max="12291" width="12" style="1988" bestFit="1" customWidth="1"/>
    <col min="12292" max="12544" width="9.140625" style="1988"/>
    <col min="12545" max="12545" width="29.5703125" style="1988" bestFit="1" customWidth="1"/>
    <col min="12546" max="12546" width="19.85546875" style="1988" customWidth="1"/>
    <col min="12547" max="12547" width="12" style="1988" bestFit="1" customWidth="1"/>
    <col min="12548" max="12800" width="9.140625" style="1988"/>
    <col min="12801" max="12801" width="29.5703125" style="1988" bestFit="1" customWidth="1"/>
    <col min="12802" max="12802" width="19.85546875" style="1988" customWidth="1"/>
    <col min="12803" max="12803" width="12" style="1988" bestFit="1" customWidth="1"/>
    <col min="12804" max="13056" width="9.140625" style="1988"/>
    <col min="13057" max="13057" width="29.5703125" style="1988" bestFit="1" customWidth="1"/>
    <col min="13058" max="13058" width="19.85546875" style="1988" customWidth="1"/>
    <col min="13059" max="13059" width="12" style="1988" bestFit="1" customWidth="1"/>
    <col min="13060" max="13312" width="9.140625" style="1988"/>
    <col min="13313" max="13313" width="29.5703125" style="1988" bestFit="1" customWidth="1"/>
    <col min="13314" max="13314" width="19.85546875" style="1988" customWidth="1"/>
    <col min="13315" max="13315" width="12" style="1988" bestFit="1" customWidth="1"/>
    <col min="13316" max="13568" width="9.140625" style="1988"/>
    <col min="13569" max="13569" width="29.5703125" style="1988" bestFit="1" customWidth="1"/>
    <col min="13570" max="13570" width="19.85546875" style="1988" customWidth="1"/>
    <col min="13571" max="13571" width="12" style="1988" bestFit="1" customWidth="1"/>
    <col min="13572" max="13824" width="9.140625" style="1988"/>
    <col min="13825" max="13825" width="29.5703125" style="1988" bestFit="1" customWidth="1"/>
    <col min="13826" max="13826" width="19.85546875" style="1988" customWidth="1"/>
    <col min="13827" max="13827" width="12" style="1988" bestFit="1" customWidth="1"/>
    <col min="13828" max="14080" width="9.140625" style="1988"/>
    <col min="14081" max="14081" width="29.5703125" style="1988" bestFit="1" customWidth="1"/>
    <col min="14082" max="14082" width="19.85546875" style="1988" customWidth="1"/>
    <col min="14083" max="14083" width="12" style="1988" bestFit="1" customWidth="1"/>
    <col min="14084" max="14336" width="9.140625" style="1988"/>
    <col min="14337" max="14337" width="29.5703125" style="1988" bestFit="1" customWidth="1"/>
    <col min="14338" max="14338" width="19.85546875" style="1988" customWidth="1"/>
    <col min="14339" max="14339" width="12" style="1988" bestFit="1" customWidth="1"/>
    <col min="14340" max="14592" width="9.140625" style="1988"/>
    <col min="14593" max="14593" width="29.5703125" style="1988" bestFit="1" customWidth="1"/>
    <col min="14594" max="14594" width="19.85546875" style="1988" customWidth="1"/>
    <col min="14595" max="14595" width="12" style="1988" bestFit="1" customWidth="1"/>
    <col min="14596" max="14848" width="9.140625" style="1988"/>
    <col min="14849" max="14849" width="29.5703125" style="1988" bestFit="1" customWidth="1"/>
    <col min="14850" max="14850" width="19.85546875" style="1988" customWidth="1"/>
    <col min="14851" max="14851" width="12" style="1988" bestFit="1" customWidth="1"/>
    <col min="14852" max="15104" width="9.140625" style="1988"/>
    <col min="15105" max="15105" width="29.5703125" style="1988" bestFit="1" customWidth="1"/>
    <col min="15106" max="15106" width="19.85546875" style="1988" customWidth="1"/>
    <col min="15107" max="15107" width="12" style="1988" bestFit="1" customWidth="1"/>
    <col min="15108" max="15360" width="9.140625" style="1988"/>
    <col min="15361" max="15361" width="29.5703125" style="1988" bestFit="1" customWidth="1"/>
    <col min="15362" max="15362" width="19.85546875" style="1988" customWidth="1"/>
    <col min="15363" max="15363" width="12" style="1988" bestFit="1" customWidth="1"/>
    <col min="15364" max="15616" width="9.140625" style="1988"/>
    <col min="15617" max="15617" width="29.5703125" style="1988" bestFit="1" customWidth="1"/>
    <col min="15618" max="15618" width="19.85546875" style="1988" customWidth="1"/>
    <col min="15619" max="15619" width="12" style="1988" bestFit="1" customWidth="1"/>
    <col min="15620" max="15872" width="9.140625" style="1988"/>
    <col min="15873" max="15873" width="29.5703125" style="1988" bestFit="1" customWidth="1"/>
    <col min="15874" max="15874" width="19.85546875" style="1988" customWidth="1"/>
    <col min="15875" max="15875" width="12" style="1988" bestFit="1" customWidth="1"/>
    <col min="15876" max="16128" width="9.140625" style="1988"/>
    <col min="16129" max="16129" width="29.5703125" style="1988" bestFit="1" customWidth="1"/>
    <col min="16130" max="16130" width="19.85546875" style="1988" customWidth="1"/>
    <col min="16131" max="16131" width="12" style="1988" bestFit="1" customWidth="1"/>
    <col min="16132" max="16384" width="9.140625" style="1988"/>
  </cols>
  <sheetData>
    <row r="1" spans="1:2">
      <c r="A1" s="1988" t="s">
        <v>861</v>
      </c>
      <c r="B1" s="2340">
        <v>6.1</v>
      </c>
    </row>
    <row r="2" spans="1:2">
      <c r="A2" s="1988" t="s">
        <v>862</v>
      </c>
      <c r="B2" s="2344">
        <v>43203.405393518522</v>
      </c>
    </row>
    <row r="3" spans="1:2">
      <c r="A3" s="1988" t="s">
        <v>863</v>
      </c>
      <c r="B3" s="2341" t="s">
        <v>1222</v>
      </c>
    </row>
    <row r="4" spans="1:2">
      <c r="A4" s="1988" t="s">
        <v>864</v>
      </c>
      <c r="B4" s="2341" t="s">
        <v>865</v>
      </c>
    </row>
    <row r="5" spans="1:2">
      <c r="A5" s="1988" t="s">
        <v>866</v>
      </c>
      <c r="B5" s="2341" t="s">
        <v>502</v>
      </c>
    </row>
    <row r="6" spans="1:2">
      <c r="A6" s="1988" t="s">
        <v>867</v>
      </c>
    </row>
    <row r="7" spans="1:2">
      <c r="A7" s="1988" t="s">
        <v>868</v>
      </c>
      <c r="B7" s="2341" t="s">
        <v>639</v>
      </c>
    </row>
    <row r="8" spans="1:2">
      <c r="A8" s="1988" t="s">
        <v>869</v>
      </c>
      <c r="B8" s="2341" t="s">
        <v>870</v>
      </c>
    </row>
    <row r="9" spans="1:2">
      <c r="A9" s="1988" t="s">
        <v>871</v>
      </c>
      <c r="B9" s="2341" t="s">
        <v>1847</v>
      </c>
    </row>
    <row r="10" spans="1:2">
      <c r="A10" s="1988" t="s">
        <v>872</v>
      </c>
    </row>
    <row r="11" spans="1:2">
      <c r="A11" s="1988" t="s">
        <v>873</v>
      </c>
    </row>
    <row r="12" spans="1:2">
      <c r="A12" s="1988" t="s">
        <v>874</v>
      </c>
    </row>
    <row r="13" spans="1:2">
      <c r="A13" s="1988" t="s">
        <v>875</v>
      </c>
    </row>
    <row r="14" spans="1:2">
      <c r="A14" s="1988" t="s">
        <v>876</v>
      </c>
    </row>
    <row r="15" spans="1:2">
      <c r="A15" s="1988" t="s">
        <v>877</v>
      </c>
    </row>
    <row r="16" spans="1:2">
      <c r="A16" s="1988" t="s">
        <v>878</v>
      </c>
    </row>
    <row r="17" spans="1:4">
      <c r="A17" s="1988" t="s">
        <v>879</v>
      </c>
      <c r="B17" s="2341" t="s">
        <v>907</v>
      </c>
    </row>
    <row r="18" spans="1:4">
      <c r="A18" s="1988" t="s">
        <v>880</v>
      </c>
      <c r="B18" s="2341" t="s">
        <v>1546</v>
      </c>
    </row>
    <row r="19" spans="1:4">
      <c r="A19" s="1988" t="s">
        <v>881</v>
      </c>
      <c r="B19" s="2341" t="s">
        <v>638</v>
      </c>
    </row>
    <row r="20" spans="1:4">
      <c r="A20" s="1988" t="s">
        <v>882</v>
      </c>
      <c r="B20" s="2342" t="s">
        <v>909</v>
      </c>
    </row>
    <row r="21" spans="1:4">
      <c r="A21" s="1988" t="s">
        <v>883</v>
      </c>
      <c r="B21" s="2341" t="s">
        <v>638</v>
      </c>
    </row>
    <row r="22" spans="1:4">
      <c r="A22" s="1988" t="s">
        <v>884</v>
      </c>
      <c r="B22" s="2342">
        <v>2670519</v>
      </c>
    </row>
    <row r="23" spans="1:4">
      <c r="A23" s="1988" t="s">
        <v>558</v>
      </c>
      <c r="B23" s="2340">
        <v>38.44</v>
      </c>
    </row>
    <row r="24" spans="1:4">
      <c r="A24" s="1988" t="s">
        <v>836</v>
      </c>
      <c r="B24" s="2341" t="s">
        <v>549</v>
      </c>
      <c r="D24" s="1988" t="s">
        <v>68</v>
      </c>
    </row>
    <row r="25" spans="1:4">
      <c r="A25" s="1988" t="s">
        <v>885</v>
      </c>
      <c r="B25" s="2341" t="s">
        <v>1849</v>
      </c>
    </row>
    <row r="26" spans="1:4">
      <c r="A26" s="1988" t="s">
        <v>886</v>
      </c>
      <c r="B26" s="2341">
        <v>0</v>
      </c>
    </row>
    <row r="27" spans="1:4">
      <c r="A27" s="1988" t="s">
        <v>887</v>
      </c>
      <c r="B27" s="2341" t="s">
        <v>888</v>
      </c>
    </row>
    <row r="28" spans="1:4">
      <c r="A28" s="1988" t="s">
        <v>889</v>
      </c>
      <c r="B28" s="2341" t="s">
        <v>890</v>
      </c>
    </row>
    <row r="29" spans="1:4">
      <c r="A29" s="1988" t="s">
        <v>891</v>
      </c>
    </row>
    <row r="30" spans="1:4">
      <c r="A30" s="1988" t="s">
        <v>892</v>
      </c>
    </row>
    <row r="31" spans="1:4">
      <c r="A31" s="1988" t="s">
        <v>893</v>
      </c>
    </row>
    <row r="32" spans="1:4">
      <c r="A32" s="1988" t="s">
        <v>894</v>
      </c>
      <c r="B32" s="2340"/>
    </row>
    <row r="33" spans="1:2">
      <c r="A33" s="1988" t="s">
        <v>895</v>
      </c>
      <c r="B33" s="2340"/>
    </row>
    <row r="34" spans="1:2">
      <c r="A34" s="1988" t="s">
        <v>896</v>
      </c>
      <c r="B34" s="2340"/>
    </row>
    <row r="35" spans="1:2">
      <c r="A35" s="1988" t="s">
        <v>897</v>
      </c>
      <c r="B35" s="2341">
        <v>1000000</v>
      </c>
    </row>
    <row r="36" spans="1:2">
      <c r="A36" s="1988" t="s">
        <v>898</v>
      </c>
      <c r="B36" s="2341" t="s">
        <v>908</v>
      </c>
    </row>
    <row r="37" spans="1:2">
      <c r="A37" s="1988" t="s">
        <v>899</v>
      </c>
      <c r="B37" s="2341" t="s">
        <v>900</v>
      </c>
    </row>
    <row r="38" spans="1:2">
      <c r="A38" s="1988" t="s">
        <v>901</v>
      </c>
      <c r="B38" s="2341" t="s">
        <v>902</v>
      </c>
    </row>
    <row r="39" spans="1:2">
      <c r="A39" s="1988" t="s">
        <v>903</v>
      </c>
      <c r="B39" s="2341" t="s">
        <v>1848</v>
      </c>
    </row>
    <row r="40" spans="1:2">
      <c r="A40" s="1988" t="s">
        <v>904</v>
      </c>
      <c r="B40" s="2341">
        <v>1500005508</v>
      </c>
    </row>
    <row r="41" spans="1:2">
      <c r="A41" s="1988" t="s">
        <v>905</v>
      </c>
      <c r="B41" s="2341">
        <v>1</v>
      </c>
    </row>
    <row r="42" spans="1:2">
      <c r="A42" s="2343" t="s">
        <v>1846</v>
      </c>
    </row>
    <row r="43" spans="1:2">
      <c r="A43" s="1988" t="s">
        <v>906</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988" bestFit="1" customWidth="1"/>
    <col min="2" max="256" width="9.140625" style="1988"/>
    <col min="257" max="257" width="28.5703125" style="1988" bestFit="1" customWidth="1"/>
    <col min="258" max="512" width="9.140625" style="1988"/>
    <col min="513" max="513" width="28.5703125" style="1988" bestFit="1" customWidth="1"/>
    <col min="514" max="768" width="9.140625" style="1988"/>
    <col min="769" max="769" width="28.5703125" style="1988" bestFit="1" customWidth="1"/>
    <col min="770" max="1024" width="9.140625" style="1988"/>
    <col min="1025" max="1025" width="28.5703125" style="1988" bestFit="1" customWidth="1"/>
    <col min="1026" max="1280" width="9.140625" style="1988"/>
    <col min="1281" max="1281" width="28.5703125" style="1988" bestFit="1" customWidth="1"/>
    <col min="1282" max="1536" width="9.140625" style="1988"/>
    <col min="1537" max="1537" width="28.5703125" style="1988" bestFit="1" customWidth="1"/>
    <col min="1538" max="1792" width="9.140625" style="1988"/>
    <col min="1793" max="1793" width="28.5703125" style="1988" bestFit="1" customWidth="1"/>
    <col min="1794" max="2048" width="9.140625" style="1988"/>
    <col min="2049" max="2049" width="28.5703125" style="1988" bestFit="1" customWidth="1"/>
    <col min="2050" max="2304" width="9.140625" style="1988"/>
    <col min="2305" max="2305" width="28.5703125" style="1988" bestFit="1" customWidth="1"/>
    <col min="2306" max="2560" width="9.140625" style="1988"/>
    <col min="2561" max="2561" width="28.5703125" style="1988" bestFit="1" customWidth="1"/>
    <col min="2562" max="2816" width="9.140625" style="1988"/>
    <col min="2817" max="2817" width="28.5703125" style="1988" bestFit="1" customWidth="1"/>
    <col min="2818" max="3072" width="9.140625" style="1988"/>
    <col min="3073" max="3073" width="28.5703125" style="1988" bestFit="1" customWidth="1"/>
    <col min="3074" max="3328" width="9.140625" style="1988"/>
    <col min="3329" max="3329" width="28.5703125" style="1988" bestFit="1" customWidth="1"/>
    <col min="3330" max="3584" width="9.140625" style="1988"/>
    <col min="3585" max="3585" width="28.5703125" style="1988" bestFit="1" customWidth="1"/>
    <col min="3586" max="3840" width="9.140625" style="1988"/>
    <col min="3841" max="3841" width="28.5703125" style="1988" bestFit="1" customWidth="1"/>
    <col min="3842" max="4096" width="9.140625" style="1988"/>
    <col min="4097" max="4097" width="28.5703125" style="1988" bestFit="1" customWidth="1"/>
    <col min="4098" max="4352" width="9.140625" style="1988"/>
    <col min="4353" max="4353" width="28.5703125" style="1988" bestFit="1" customWidth="1"/>
    <col min="4354" max="4608" width="9.140625" style="1988"/>
    <col min="4609" max="4609" width="28.5703125" style="1988" bestFit="1" customWidth="1"/>
    <col min="4610" max="4864" width="9.140625" style="1988"/>
    <col min="4865" max="4865" width="28.5703125" style="1988" bestFit="1" customWidth="1"/>
    <col min="4866" max="5120" width="9.140625" style="1988"/>
    <col min="5121" max="5121" width="28.5703125" style="1988" bestFit="1" customWidth="1"/>
    <col min="5122" max="5376" width="9.140625" style="1988"/>
    <col min="5377" max="5377" width="28.5703125" style="1988" bestFit="1" customWidth="1"/>
    <col min="5378" max="5632" width="9.140625" style="1988"/>
    <col min="5633" max="5633" width="28.5703125" style="1988" bestFit="1" customWidth="1"/>
    <col min="5634" max="5888" width="9.140625" style="1988"/>
    <col min="5889" max="5889" width="28.5703125" style="1988" bestFit="1" customWidth="1"/>
    <col min="5890" max="6144" width="9.140625" style="1988"/>
    <col min="6145" max="6145" width="28.5703125" style="1988" bestFit="1" customWidth="1"/>
    <col min="6146" max="6400" width="9.140625" style="1988"/>
    <col min="6401" max="6401" width="28.5703125" style="1988" bestFit="1" customWidth="1"/>
    <col min="6402" max="6656" width="9.140625" style="1988"/>
    <col min="6657" max="6657" width="28.5703125" style="1988" bestFit="1" customWidth="1"/>
    <col min="6658" max="6912" width="9.140625" style="1988"/>
    <col min="6913" max="6913" width="28.5703125" style="1988" bestFit="1" customWidth="1"/>
    <col min="6914" max="7168" width="9.140625" style="1988"/>
    <col min="7169" max="7169" width="28.5703125" style="1988" bestFit="1" customWidth="1"/>
    <col min="7170" max="7424" width="9.140625" style="1988"/>
    <col min="7425" max="7425" width="28.5703125" style="1988" bestFit="1" customWidth="1"/>
    <col min="7426" max="7680" width="9.140625" style="1988"/>
    <col min="7681" max="7681" width="28.5703125" style="1988" bestFit="1" customWidth="1"/>
    <col min="7682" max="7936" width="9.140625" style="1988"/>
    <col min="7937" max="7937" width="28.5703125" style="1988" bestFit="1" customWidth="1"/>
    <col min="7938" max="8192" width="9.140625" style="1988"/>
    <col min="8193" max="8193" width="28.5703125" style="1988" bestFit="1" customWidth="1"/>
    <col min="8194" max="8448" width="9.140625" style="1988"/>
    <col min="8449" max="8449" width="28.5703125" style="1988" bestFit="1" customWidth="1"/>
    <col min="8450" max="8704" width="9.140625" style="1988"/>
    <col min="8705" max="8705" width="28.5703125" style="1988" bestFit="1" customWidth="1"/>
    <col min="8706" max="8960" width="9.140625" style="1988"/>
    <col min="8961" max="8961" width="28.5703125" style="1988" bestFit="1" customWidth="1"/>
    <col min="8962" max="9216" width="9.140625" style="1988"/>
    <col min="9217" max="9217" width="28.5703125" style="1988" bestFit="1" customWidth="1"/>
    <col min="9218" max="9472" width="9.140625" style="1988"/>
    <col min="9473" max="9473" width="28.5703125" style="1988" bestFit="1" customWidth="1"/>
    <col min="9474" max="9728" width="9.140625" style="1988"/>
    <col min="9729" max="9729" width="28.5703125" style="1988" bestFit="1" customWidth="1"/>
    <col min="9730" max="9984" width="9.140625" style="1988"/>
    <col min="9985" max="9985" width="28.5703125" style="1988" bestFit="1" customWidth="1"/>
    <col min="9986" max="10240" width="9.140625" style="1988"/>
    <col min="10241" max="10241" width="28.5703125" style="1988" bestFit="1" customWidth="1"/>
    <col min="10242" max="10496" width="9.140625" style="1988"/>
    <col min="10497" max="10497" width="28.5703125" style="1988" bestFit="1" customWidth="1"/>
    <col min="10498" max="10752" width="9.140625" style="1988"/>
    <col min="10753" max="10753" width="28.5703125" style="1988" bestFit="1" customWidth="1"/>
    <col min="10754" max="11008" width="9.140625" style="1988"/>
    <col min="11009" max="11009" width="28.5703125" style="1988" bestFit="1" customWidth="1"/>
    <col min="11010" max="11264" width="9.140625" style="1988"/>
    <col min="11265" max="11265" width="28.5703125" style="1988" bestFit="1" customWidth="1"/>
    <col min="11266" max="11520" width="9.140625" style="1988"/>
    <col min="11521" max="11521" width="28.5703125" style="1988" bestFit="1" customWidth="1"/>
    <col min="11522" max="11776" width="9.140625" style="1988"/>
    <col min="11777" max="11777" width="28.5703125" style="1988" bestFit="1" customWidth="1"/>
    <col min="11778" max="12032" width="9.140625" style="1988"/>
    <col min="12033" max="12033" width="28.5703125" style="1988" bestFit="1" customWidth="1"/>
    <col min="12034" max="12288" width="9.140625" style="1988"/>
    <col min="12289" max="12289" width="28.5703125" style="1988" bestFit="1" customWidth="1"/>
    <col min="12290" max="12544" width="9.140625" style="1988"/>
    <col min="12545" max="12545" width="28.5703125" style="1988" bestFit="1" customWidth="1"/>
    <col min="12546" max="12800" width="9.140625" style="1988"/>
    <col min="12801" max="12801" width="28.5703125" style="1988" bestFit="1" customWidth="1"/>
    <col min="12802" max="13056" width="9.140625" style="1988"/>
    <col min="13057" max="13057" width="28.5703125" style="1988" bestFit="1" customWidth="1"/>
    <col min="13058" max="13312" width="9.140625" style="1988"/>
    <col min="13313" max="13313" width="28.5703125" style="1988" bestFit="1" customWidth="1"/>
    <col min="13314" max="13568" width="9.140625" style="1988"/>
    <col min="13569" max="13569" width="28.5703125" style="1988" bestFit="1" customWidth="1"/>
    <col min="13570" max="13824" width="9.140625" style="1988"/>
    <col min="13825" max="13825" width="28.5703125" style="1988" bestFit="1" customWidth="1"/>
    <col min="13826" max="14080" width="9.140625" style="1988"/>
    <col min="14081" max="14081" width="28.5703125" style="1988" bestFit="1" customWidth="1"/>
    <col min="14082" max="14336" width="9.140625" style="1988"/>
    <col min="14337" max="14337" width="28.5703125" style="1988" bestFit="1" customWidth="1"/>
    <col min="14338" max="14592" width="9.140625" style="1988"/>
    <col min="14593" max="14593" width="28.5703125" style="1988" bestFit="1" customWidth="1"/>
    <col min="14594" max="14848" width="9.140625" style="1988"/>
    <col min="14849" max="14849" width="28.5703125" style="1988" bestFit="1" customWidth="1"/>
    <col min="14850" max="15104" width="9.140625" style="1988"/>
    <col min="15105" max="15105" width="28.5703125" style="1988" bestFit="1" customWidth="1"/>
    <col min="15106" max="15360" width="9.140625" style="1988"/>
    <col min="15361" max="15361" width="28.5703125" style="1988" bestFit="1" customWidth="1"/>
    <col min="15362" max="15616" width="9.140625" style="1988"/>
    <col min="15617" max="15617" width="28.5703125" style="1988" bestFit="1" customWidth="1"/>
    <col min="15618" max="15872" width="9.140625" style="1988"/>
    <col min="15873" max="15873" width="28.5703125" style="1988" bestFit="1" customWidth="1"/>
    <col min="15874" max="16128" width="9.140625" style="1988"/>
    <col min="16129" max="16129" width="28.5703125" style="1988" bestFit="1" customWidth="1"/>
    <col min="16130" max="16384" width="9.140625" style="1988"/>
  </cols>
  <sheetData>
    <row r="1" spans="1:1">
      <c r="A1" s="2345" t="s">
        <v>910</v>
      </c>
    </row>
    <row r="2" spans="1:1">
      <c r="A2" s="2345" t="s">
        <v>1850</v>
      </c>
    </row>
    <row r="3" spans="1:1">
      <c r="A3" s="2345" t="s">
        <v>1851</v>
      </c>
    </row>
    <row r="4" spans="1:1">
      <c r="A4" s="2345" t="s">
        <v>915</v>
      </c>
    </row>
    <row r="5" spans="1:1">
      <c r="A5" s="2345" t="s">
        <v>916</v>
      </c>
    </row>
    <row r="6" spans="1:1">
      <c r="A6" s="2345" t="s">
        <v>911</v>
      </c>
    </row>
    <row r="7" spans="1:1">
      <c r="A7" s="2345" t="s">
        <v>1852</v>
      </c>
    </row>
    <row r="8" spans="1:1">
      <c r="A8" s="2345" t="s">
        <v>917</v>
      </c>
    </row>
    <row r="9" spans="1:1">
      <c r="A9" s="2345" t="s">
        <v>918</v>
      </c>
    </row>
    <row r="10" spans="1:1">
      <c r="A10" s="2345" t="s">
        <v>912</v>
      </c>
    </row>
    <row r="11" spans="1:1">
      <c r="A11" s="2345" t="s">
        <v>997</v>
      </c>
    </row>
    <row r="12" spans="1:1">
      <c r="A12" s="2345" t="s">
        <v>913</v>
      </c>
    </row>
    <row r="13" spans="1:1">
      <c r="A13" s="2345" t="s">
        <v>914</v>
      </c>
    </row>
  </sheetData>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2"/>
  <sheetViews>
    <sheetView workbookViewId="0"/>
  </sheetViews>
  <sheetFormatPr defaultRowHeight="12.75"/>
  <sheetData>
    <row r="1" spans="1:34">
      <c r="A1" t="s">
        <v>1263</v>
      </c>
    </row>
    <row r="2" spans="1:34">
      <c r="A2" s="41" t="s">
        <v>1260</v>
      </c>
      <c r="B2" s="41" t="s">
        <v>1537</v>
      </c>
      <c r="C2" s="41" t="s">
        <v>285</v>
      </c>
      <c r="D2" s="41" t="s">
        <v>286</v>
      </c>
      <c r="E2" s="41" t="s">
        <v>472</v>
      </c>
      <c r="F2" s="41" t="s">
        <v>286</v>
      </c>
      <c r="G2" s="41" t="s">
        <v>473</v>
      </c>
      <c r="H2" s="41" t="s">
        <v>286</v>
      </c>
      <c r="I2" s="41" t="s">
        <v>1259</v>
      </c>
      <c r="J2" s="41" t="s">
        <v>286</v>
      </c>
      <c r="K2" s="41" t="s">
        <v>454</v>
      </c>
      <c r="L2" s="41" t="s">
        <v>456</v>
      </c>
      <c r="M2" s="41" t="s">
        <v>455</v>
      </c>
      <c r="N2" s="41" t="s">
        <v>434</v>
      </c>
      <c r="O2" s="41" t="s">
        <v>1261</v>
      </c>
      <c r="P2" s="41" t="s">
        <v>549</v>
      </c>
      <c r="Q2" s="41" t="s">
        <v>471</v>
      </c>
      <c r="R2" s="41" t="s">
        <v>286</v>
      </c>
      <c r="S2" s="41" t="s">
        <v>553</v>
      </c>
      <c r="T2" s="41" t="s">
        <v>287</v>
      </c>
      <c r="U2" s="41" t="s">
        <v>552</v>
      </c>
      <c r="V2" s="41" t="s">
        <v>287</v>
      </c>
      <c r="W2" s="41" t="s">
        <v>1262</v>
      </c>
      <c r="X2" s="41" t="s">
        <v>81</v>
      </c>
      <c r="Y2" s="41" t="s">
        <v>554</v>
      </c>
      <c r="Z2" s="41" t="s">
        <v>287</v>
      </c>
      <c r="AA2" s="41" t="s">
        <v>453</v>
      </c>
      <c r="AB2" s="41" t="s">
        <v>549</v>
      </c>
      <c r="AC2" s="41" t="s">
        <v>474</v>
      </c>
      <c r="AD2" s="41" t="s">
        <v>286</v>
      </c>
      <c r="AE2" s="41" t="s">
        <v>40</v>
      </c>
      <c r="AF2" s="41" t="s">
        <v>286</v>
      </c>
      <c r="AG2" s="41" t="s">
        <v>39</v>
      </c>
      <c r="AH2" s="41" t="s">
        <v>286</v>
      </c>
    </row>
  </sheetData>
  <phoneticPr fontId="2" type="noConversion"/>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944"/>
  <sheetViews>
    <sheetView zoomScale="85" workbookViewId="0"/>
  </sheetViews>
  <sheetFormatPr defaultRowHeight="12.75"/>
  <cols>
    <col min="1" max="2" width="2.7109375" customWidth="1"/>
    <col min="3" max="3" width="39.7109375" customWidth="1"/>
    <col min="7" max="7" width="2.85546875" customWidth="1"/>
    <col min="8" max="8" width="31.5703125" customWidth="1"/>
    <col min="14" max="14" width="43" bestFit="1" customWidth="1"/>
    <col min="15" max="15" width="9.5703125" bestFit="1" customWidth="1"/>
    <col min="21" max="21" width="12.140625" customWidth="1"/>
    <col min="22" max="24" width="16.5703125" customWidth="1"/>
  </cols>
  <sheetData>
    <row r="1" spans="1:37" ht="15" customHeight="1">
      <c r="A1" s="469"/>
      <c r="B1" s="469"/>
      <c r="C1" s="469"/>
      <c r="D1" s="470"/>
      <c r="E1" s="471"/>
      <c r="F1" s="471"/>
      <c r="G1" s="471"/>
      <c r="H1" s="471"/>
      <c r="I1" s="471"/>
      <c r="J1" s="471"/>
      <c r="K1" s="471"/>
      <c r="L1" s="471"/>
      <c r="M1" s="471"/>
      <c r="N1" s="471"/>
      <c r="O1" s="471"/>
      <c r="P1" s="471"/>
      <c r="Q1" s="471"/>
      <c r="R1" s="471"/>
      <c r="S1" s="471"/>
      <c r="T1" s="471"/>
      <c r="U1" s="471"/>
      <c r="V1" s="5"/>
      <c r="W1" s="5"/>
      <c r="X1" s="5"/>
      <c r="Y1" s="5"/>
      <c r="Z1" s="5"/>
      <c r="AA1" s="5"/>
      <c r="AB1" s="5"/>
      <c r="AC1" s="5"/>
      <c r="AD1" s="5"/>
      <c r="AE1" s="5"/>
      <c r="AF1" s="5"/>
      <c r="AG1" s="5"/>
      <c r="AH1" s="5"/>
      <c r="AI1" s="5"/>
      <c r="AJ1" s="5"/>
      <c r="AK1" s="5"/>
    </row>
    <row r="2" spans="1:37" ht="15" customHeight="1">
      <c r="A2" s="469"/>
      <c r="B2" s="469" t="str">
        <f>Cover!$B$2</f>
        <v>Exelon Corporation</v>
      </c>
      <c r="C2" s="470"/>
      <c r="D2" s="470"/>
      <c r="E2" s="471"/>
      <c r="F2" s="471"/>
      <c r="G2" s="471"/>
      <c r="H2" s="471"/>
      <c r="I2" s="471"/>
      <c r="J2" s="471"/>
      <c r="K2" s="471"/>
      <c r="L2" s="471"/>
      <c r="M2" s="471"/>
      <c r="N2" s="471"/>
      <c r="O2" s="471"/>
      <c r="P2" s="471"/>
      <c r="Q2" s="471"/>
      <c r="R2" s="471"/>
      <c r="S2" s="471"/>
      <c r="T2" s="471"/>
      <c r="U2" s="471"/>
      <c r="V2" s="5"/>
      <c r="W2" s="5"/>
      <c r="X2" s="5"/>
      <c r="Y2" s="5"/>
      <c r="Z2" s="5"/>
      <c r="AA2" s="5"/>
      <c r="AB2" s="5"/>
      <c r="AC2" s="5"/>
      <c r="AD2" s="5"/>
      <c r="AE2" s="5"/>
      <c r="AF2" s="5"/>
      <c r="AG2" s="5"/>
      <c r="AH2" s="5"/>
      <c r="AI2" s="5"/>
      <c r="AJ2" s="5"/>
      <c r="AK2" s="5"/>
    </row>
    <row r="3" spans="1:37" ht="15" customHeight="1">
      <c r="A3" s="472"/>
      <c r="B3" s="472" t="s">
        <v>1125</v>
      </c>
      <c r="C3" s="471"/>
      <c r="D3" s="471"/>
      <c r="E3" s="471"/>
      <c r="F3" s="471"/>
      <c r="G3" s="471"/>
      <c r="H3" s="471"/>
      <c r="I3" s="471"/>
      <c r="J3" s="471"/>
      <c r="K3" s="471"/>
      <c r="L3" s="471"/>
      <c r="M3" s="471"/>
      <c r="N3" s="471"/>
      <c r="O3" s="471"/>
      <c r="P3" s="471"/>
      <c r="Q3" s="471"/>
      <c r="R3" s="471"/>
      <c r="S3" s="471"/>
      <c r="T3" s="471"/>
      <c r="U3" s="471"/>
      <c r="V3" s="5"/>
      <c r="W3" s="5"/>
      <c r="X3" s="5"/>
      <c r="Y3" s="5"/>
      <c r="Z3" s="5"/>
      <c r="AA3" s="5"/>
      <c r="AB3" s="5"/>
      <c r="AC3" s="5"/>
      <c r="AD3" s="5"/>
      <c r="AE3" s="5"/>
      <c r="AF3" s="5"/>
      <c r="AG3" s="5"/>
      <c r="AH3" s="5"/>
      <c r="AI3" s="5"/>
      <c r="AJ3" s="5"/>
      <c r="AK3" s="5"/>
    </row>
    <row r="4" spans="1:37">
      <c r="A4" s="12"/>
      <c r="B4" s="12" t="s">
        <v>69</v>
      </c>
      <c r="C4" s="549"/>
      <c r="D4" s="549"/>
      <c r="E4" s="473"/>
      <c r="F4" s="473"/>
      <c r="G4" s="473"/>
      <c r="H4" s="473"/>
      <c r="I4" s="473"/>
      <c r="J4" s="473"/>
      <c r="K4" s="473"/>
      <c r="L4" s="473"/>
      <c r="M4" s="473"/>
      <c r="N4" s="473"/>
      <c r="O4" s="473"/>
      <c r="P4" s="473"/>
      <c r="Q4" s="473"/>
      <c r="R4" s="473"/>
      <c r="S4" s="473"/>
      <c r="T4" s="473"/>
      <c r="U4" s="473"/>
      <c r="V4" s="551"/>
      <c r="W4" s="551"/>
      <c r="X4" s="551"/>
      <c r="Y4" s="551"/>
      <c r="Z4" s="551"/>
      <c r="AA4" s="551"/>
      <c r="AB4" s="551"/>
      <c r="AC4" s="551"/>
      <c r="AD4" s="551"/>
      <c r="AE4" s="551"/>
      <c r="AF4" s="551"/>
      <c r="AG4" s="551"/>
      <c r="AH4" s="551"/>
      <c r="AI4" s="551"/>
      <c r="AJ4" s="551"/>
      <c r="AK4" s="551"/>
    </row>
    <row r="5" spans="1:37" s="4" customFormat="1">
      <c r="C5" s="1089"/>
    </row>
    <row r="6" spans="1:37" s="4" customFormat="1">
      <c r="C6" s="73" t="s">
        <v>1065</v>
      </c>
      <c r="D6" s="246"/>
      <c r="E6" s="156"/>
      <c r="H6" s="231" t="s">
        <v>446</v>
      </c>
      <c r="I6" s="231"/>
      <c r="J6" s="14"/>
      <c r="K6" s="14"/>
      <c r="L6" s="14"/>
      <c r="N6" s="231" t="s">
        <v>11</v>
      </c>
      <c r="O6" s="231"/>
      <c r="P6" s="14"/>
      <c r="Q6" s="14"/>
      <c r="R6" s="14"/>
    </row>
    <row r="7" spans="1:37" s="4" customFormat="1">
      <c r="C7" s="4" t="s">
        <v>1062</v>
      </c>
      <c r="D7" s="924">
        <f>+Financial!AC17+Financial!AC10</f>
        <v>1.3255813953488373</v>
      </c>
      <c r="E7" s="729">
        <f>+D7/$D$11</f>
        <v>0.53047929269427641</v>
      </c>
      <c r="G7"/>
      <c r="H7" s="14"/>
      <c r="I7" s="1093">
        <v>2012</v>
      </c>
      <c r="J7" s="1093">
        <v>2013</v>
      </c>
      <c r="K7" s="1093">
        <v>2014</v>
      </c>
      <c r="L7" s="1093" t="s">
        <v>1410</v>
      </c>
      <c r="N7" s="311" t="s">
        <v>691</v>
      </c>
      <c r="O7" s="1093">
        <v>2012</v>
      </c>
      <c r="P7" s="1093">
        <v>2013</v>
      </c>
      <c r="Q7" s="1093">
        <v>2014</v>
      </c>
      <c r="R7" s="1093" t="s">
        <v>1410</v>
      </c>
    </row>
    <row r="8" spans="1:37" s="4" customFormat="1">
      <c r="C8" s="4" t="s">
        <v>1305</v>
      </c>
      <c r="D8" s="924">
        <f>Financial!AC11</f>
        <v>0.48953488372093024</v>
      </c>
      <c r="E8" s="729">
        <f>+D8/$D$11</f>
        <v>0.19590507212657049</v>
      </c>
      <c r="G8"/>
      <c r="H8" s="4" t="s">
        <v>604</v>
      </c>
      <c r="I8" s="924">
        <f>+Valuation!X10</f>
        <v>2.8449328449328442</v>
      </c>
      <c r="J8" s="924">
        <f>+Valuation!AC10</f>
        <v>2.4988372093023257</v>
      </c>
      <c r="K8" s="924">
        <f>+Valuation!AH10</f>
        <v>2.393518518518519</v>
      </c>
      <c r="L8" s="924">
        <f>+Valuation!AM10</f>
        <v>2.4938409854423291</v>
      </c>
      <c r="N8" s="4" t="s">
        <v>321</v>
      </c>
      <c r="O8" s="1094">
        <f>+ExGen!X819</f>
        <v>558</v>
      </c>
      <c r="P8" s="1094">
        <f>+ExGen!AC819</f>
        <v>1060</v>
      </c>
      <c r="Q8" s="1094">
        <f>+ExGen!AH819</f>
        <v>1019</v>
      </c>
      <c r="R8" s="1094">
        <f>+ExGen!AM819</f>
        <v>1340</v>
      </c>
    </row>
    <row r="9" spans="1:37" s="4" customFormat="1">
      <c r="C9" s="4" t="s">
        <v>1306</v>
      </c>
      <c r="D9" s="924">
        <f>Financial!AC12</f>
        <v>0.4569767441860465</v>
      </c>
      <c r="E9" s="729">
        <f>+D9/$D$11</f>
        <v>0.18287575616565843</v>
      </c>
      <c r="G9"/>
      <c r="H9" s="4" t="s">
        <v>692</v>
      </c>
      <c r="I9" s="1092">
        <f>+Valuation!X27</f>
        <v>0</v>
      </c>
      <c r="J9" s="1092">
        <f>+Valuation!AC27</f>
        <v>3.7244195312500001</v>
      </c>
      <c r="K9" s="1092">
        <f>+Valuation!AH27</f>
        <v>4.2225776767418033</v>
      </c>
      <c r="L9" s="1092">
        <f>+Valuation!AM27</f>
        <v>2.6328803023393492</v>
      </c>
      <c r="N9" s="4" t="s">
        <v>6</v>
      </c>
      <c r="O9" s="1094">
        <f>+ExGen!X820</f>
        <v>768</v>
      </c>
      <c r="P9" s="1094">
        <f>+ExGen!AC820</f>
        <v>856</v>
      </c>
      <c r="Q9" s="1094">
        <f>+ExGen!AH820</f>
        <v>967</v>
      </c>
      <c r="R9" s="1094">
        <f>+ExGen!AM820</f>
        <v>1054</v>
      </c>
    </row>
    <row r="10" spans="1:37" s="4" customFormat="1">
      <c r="C10" s="4" t="s">
        <v>1063</v>
      </c>
      <c r="D10" s="924">
        <f>Financial!AC13</f>
        <v>0.22674418604651161</v>
      </c>
      <c r="E10" s="729">
        <f>+D10/$D$11</f>
        <v>9.0739879013494645E-2</v>
      </c>
      <c r="G10"/>
      <c r="H10" s="4" t="s">
        <v>605</v>
      </c>
      <c r="I10" s="729">
        <f>+Valuation!$X$23</f>
        <v>0</v>
      </c>
      <c r="J10" s="729">
        <f>+Valuation!$AC$23</f>
        <v>0</v>
      </c>
      <c r="K10" s="729">
        <f>+Valuation!$AH$23</f>
        <v>0.92500000000000004</v>
      </c>
      <c r="L10" s="729">
        <f>+Valuation!$AM$23</f>
        <v>0.98</v>
      </c>
      <c r="N10" s="4" t="s">
        <v>4</v>
      </c>
      <c r="O10" s="1094">
        <f>+ExGen!X822+ExGen!X823</f>
        <v>449</v>
      </c>
      <c r="P10" s="1094">
        <f>+ExGen!AC822+ExGen!AC823</f>
        <v>111</v>
      </c>
      <c r="Q10" s="1094">
        <f>+ExGen!AH822+ExGen!AH823</f>
        <v>503</v>
      </c>
      <c r="R10" s="1094">
        <f>+ExGen!AM822+ExGen!AM823</f>
        <v>199</v>
      </c>
    </row>
    <row r="11" spans="1:37" s="4" customFormat="1">
      <c r="C11" s="156" t="s">
        <v>1064</v>
      </c>
      <c r="D11" s="1090">
        <f>SUM(D7:D10)</f>
        <v>2.4988372093023257</v>
      </c>
      <c r="E11" s="1088">
        <f>SUM(E7:E10)</f>
        <v>1</v>
      </c>
      <c r="G11"/>
      <c r="L11" s="1"/>
      <c r="N11" s="156" t="s">
        <v>148</v>
      </c>
      <c r="O11" s="989">
        <f>SUM(O8:O10)</f>
        <v>1775</v>
      </c>
      <c r="P11" s="989">
        <f>SUM(P8:P10)</f>
        <v>2027</v>
      </c>
      <c r="Q11" s="989">
        <f>SUM(Q8:Q10)</f>
        <v>2489</v>
      </c>
      <c r="R11" s="989">
        <f>SUM(R8:R10)</f>
        <v>2593</v>
      </c>
    </row>
    <row r="12" spans="1:37" s="4" customFormat="1">
      <c r="G12"/>
      <c r="H12" s="4" t="s">
        <v>389</v>
      </c>
      <c r="I12" s="924">
        <v>2.8789364543393936</v>
      </c>
      <c r="J12" s="1092">
        <v>2.8035651565021795</v>
      </c>
      <c r="K12" s="202">
        <v>2.7999008683729554</v>
      </c>
      <c r="L12" s="1125">
        <v>2.6575919681845517</v>
      </c>
      <c r="O12" s="1094"/>
      <c r="P12" s="1094"/>
      <c r="Q12" s="1094"/>
      <c r="R12" s="1094"/>
    </row>
    <row r="13" spans="1:37" s="4" customFormat="1">
      <c r="G13"/>
      <c r="H13" s="4" t="s">
        <v>390</v>
      </c>
      <c r="I13" s="924">
        <v>2.8789364543393936</v>
      </c>
      <c r="J13" s="1092">
        <v>2.7304129573453335</v>
      </c>
      <c r="K13" s="202">
        <v>2.5777205321530836</v>
      </c>
      <c r="L13" s="1124">
        <v>2.2358842109713977</v>
      </c>
      <c r="N13" s="4" t="s">
        <v>5</v>
      </c>
      <c r="O13" s="1094">
        <f>+ExGen!X790+ExGen!X786</f>
        <v>0</v>
      </c>
      <c r="P13" s="1094">
        <f>+ExGen!AC790+ExGen!AC786</f>
        <v>0</v>
      </c>
      <c r="Q13" s="1094">
        <f>+ExGen!AH790+ExGen!AH786</f>
        <v>0</v>
      </c>
      <c r="R13" s="1094">
        <f>+ExGen!AM790+ExGen!AM786</f>
        <v>0</v>
      </c>
    </row>
    <row r="14" spans="1:37" s="4" customFormat="1">
      <c r="H14" s="4" t="s">
        <v>391</v>
      </c>
      <c r="I14" s="924">
        <v>2.8789364543393936</v>
      </c>
      <c r="J14" s="1092">
        <v>2.6572607581884844</v>
      </c>
      <c r="K14" s="1126">
        <v>2.3555401959332127</v>
      </c>
      <c r="L14" s="1095">
        <v>1.8141764537582414</v>
      </c>
      <c r="N14" s="248" t="s">
        <v>10</v>
      </c>
      <c r="O14" s="509">
        <f>+O11-O13</f>
        <v>1775</v>
      </c>
      <c r="P14" s="509">
        <f>+P11-P13</f>
        <v>2027</v>
      </c>
      <c r="Q14" s="509">
        <f>+Q11-Q13</f>
        <v>2489</v>
      </c>
      <c r="R14" s="510">
        <f>+R11-R13</f>
        <v>2593</v>
      </c>
    </row>
    <row r="15" spans="1:37" s="4" customFormat="1">
      <c r="C15" s="231" t="str">
        <f>Valuation!BT83</f>
        <v>EXGEN EV / EBITDA VALUATION</v>
      </c>
      <c r="D15" s="14"/>
      <c r="O15" s="1094"/>
      <c r="P15" s="1094"/>
      <c r="Q15" s="1094"/>
      <c r="R15" s="1094"/>
    </row>
    <row r="16" spans="1:37" s="4" customFormat="1">
      <c r="C16" s="74" t="s">
        <v>685</v>
      </c>
      <c r="D16" s="1122" t="s">
        <v>1410</v>
      </c>
      <c r="H16" s="4" t="s">
        <v>693</v>
      </c>
      <c r="I16" s="1092">
        <f>Financial!X45</f>
        <v>2.1</v>
      </c>
      <c r="J16" s="1092">
        <f>+I16</f>
        <v>2.1</v>
      </c>
      <c r="K16" s="1092">
        <f>+J16</f>
        <v>2.1</v>
      </c>
      <c r="L16" s="1092">
        <f>+K16</f>
        <v>2.1</v>
      </c>
      <c r="N16" s="4" t="s">
        <v>7</v>
      </c>
      <c r="O16" s="1094">
        <f>+ExGen!X782+ExGen!X783+ExGen!X784+ExGen!X785</f>
        <v>0</v>
      </c>
      <c r="P16" s="1094">
        <f>+ExGen!AC782+ExGen!AC783+ExGen!AC784+ExGen!AC785</f>
        <v>0</v>
      </c>
      <c r="Q16" s="1094">
        <f>+ExGen!AH782+ExGen!AH783+ExGen!AH784+ExGen!AH785</f>
        <v>0</v>
      </c>
      <c r="R16" s="1094">
        <f>+ExGen!AM782+ExGen!AM783+ExGen!AM784+ExGen!AM785</f>
        <v>0</v>
      </c>
    </row>
    <row r="17" spans="3:18" s="4" customFormat="1">
      <c r="C17" t="str">
        <f>Valuation!BU84</f>
        <v>ExGen EBITDA</v>
      </c>
      <c r="D17" s="535">
        <f>Valuation!BY84</f>
        <v>3261</v>
      </c>
      <c r="N17" s="4" t="s">
        <v>8</v>
      </c>
      <c r="O17" s="1094">
        <f>+ExGen!X828</f>
        <v>840</v>
      </c>
      <c r="P17" s="1094">
        <f>+ExGen!AC828</f>
        <v>-201</v>
      </c>
      <c r="Q17" s="1094">
        <f>+ExGen!AH828</f>
        <v>1178</v>
      </c>
      <c r="R17" s="1094">
        <f>+ExGen!AM828</f>
        <v>-145</v>
      </c>
    </row>
    <row r="18" spans="3:18" s="4" customFormat="1">
      <c r="C18" t="str">
        <f>Valuation!BU85</f>
        <v>Hedge Benefit</v>
      </c>
      <c r="D18" s="732">
        <f>Valuation!BY85</f>
        <v>1668.5718454456851</v>
      </c>
      <c r="K18" s="1092"/>
      <c r="N18" s="248" t="s">
        <v>9</v>
      </c>
      <c r="O18" s="509">
        <f>+O14-O16+O17</f>
        <v>2615</v>
      </c>
      <c r="P18" s="509">
        <f>+P14-P16+P17</f>
        <v>1826</v>
      </c>
      <c r="Q18" s="509">
        <f>+Q14-Q16+Q17</f>
        <v>3667</v>
      </c>
      <c r="R18" s="510">
        <f>+R14-R16+R17</f>
        <v>2448</v>
      </c>
    </row>
    <row r="19" spans="3:18" s="4" customFormat="1">
      <c r="C19" s="34" t="str">
        <f>Valuation!BU86</f>
        <v>Open EBITDA</v>
      </c>
      <c r="D19" s="534">
        <f>Valuation!BY86</f>
        <v>1592.4281545543149</v>
      </c>
    </row>
    <row r="20" spans="3:18" s="4" customFormat="1">
      <c r="C20" t="str">
        <f>Valuation!BU87</f>
        <v>DCF-Driven EV/EBITDA Multiple</v>
      </c>
      <c r="D20" s="990">
        <f>Valuation!BY87</f>
        <v>6.5</v>
      </c>
      <c r="N20" s="4" t="s">
        <v>237</v>
      </c>
      <c r="O20" s="1094">
        <f>+Financial!CP50</f>
        <v>1716</v>
      </c>
      <c r="P20" s="1094">
        <f>+Financial!CU50</f>
        <v>1249</v>
      </c>
      <c r="Q20" s="1094">
        <f>+Financial!CZ50</f>
        <v>1065</v>
      </c>
      <c r="R20" s="1094">
        <f>+Financial!DE50</f>
        <v>1105</v>
      </c>
    </row>
    <row r="21" spans="3:18" s="4" customFormat="1">
      <c r="C21" s="34" t="str">
        <f>Valuation!BU91</f>
        <v>Adjusted EV</v>
      </c>
      <c r="D21" s="534">
        <f>Valuation!BY91</f>
        <v>15774.869463278515</v>
      </c>
      <c r="H21" s="231" t="s">
        <v>1</v>
      </c>
      <c r="I21" s="231"/>
      <c r="J21" s="14"/>
      <c r="K21" s="14"/>
      <c r="L21" s="14"/>
    </row>
    <row r="22" spans="3:18" s="4" customFormat="1">
      <c r="C22" s="232" t="str">
        <f>Valuation!BU92</f>
        <v>Forecasted Debt (includes Parent)</v>
      </c>
      <c r="D22" s="754">
        <f>Valuation!BY92</f>
        <v>10240</v>
      </c>
      <c r="H22" s="1143" t="s">
        <v>618</v>
      </c>
      <c r="I22" s="1093">
        <v>2012</v>
      </c>
      <c r="J22" s="1093">
        <v>2013</v>
      </c>
      <c r="K22" s="1093">
        <v>2014</v>
      </c>
      <c r="L22" s="1093" t="s">
        <v>1410</v>
      </c>
    </row>
    <row r="23" spans="3:18" s="4" customFormat="1">
      <c r="C23" s="34" t="str">
        <f>Valuation!BU93</f>
        <v>Equity Value</v>
      </c>
      <c r="D23" s="534">
        <f>Valuation!BY93</f>
        <v>5534.8694632785155</v>
      </c>
      <c r="H23" s="4" t="s">
        <v>1111</v>
      </c>
      <c r="I23" s="924">
        <f>+I8</f>
        <v>2.8449328449328442</v>
      </c>
      <c r="J23" s="924">
        <f>+J8</f>
        <v>2.4988372093023257</v>
      </c>
      <c r="K23" s="924">
        <f>+K8</f>
        <v>2.393518518518519</v>
      </c>
      <c r="L23" s="924">
        <f>+L8</f>
        <v>2.4938409854423291</v>
      </c>
      <c r="N23" s="231" t="s">
        <v>1217</v>
      </c>
      <c r="O23" s="231"/>
      <c r="P23" s="14"/>
      <c r="Q23" s="14"/>
      <c r="R23" s="14"/>
    </row>
    <row r="24" spans="3:18" s="4" customFormat="1">
      <c r="C24" s="232" t="str">
        <f>Valuation!BU94</f>
        <v>Shares Outstanding (mil)</v>
      </c>
      <c r="D24" s="527">
        <f>Valuation!BY94</f>
        <v>893</v>
      </c>
      <c r="H24" s="4" t="s">
        <v>1</v>
      </c>
      <c r="I24" s="924" t="e">
        <f>_xll.ThomsonONEAddinShim.SpreadsheetFormulas.TF($H$22,"Tf.es.eps.mean(period=fy2012,sdate=0d)")</f>
        <v>#VALUE!</v>
      </c>
      <c r="J24" s="924" t="e">
        <f>_xll.ThomsonONEAddinShim.SpreadsheetFormulas.TF($H$22,"Tf.es.eps.mean(period=fY2013,sdate=0d)")</f>
        <v>#VALUE!</v>
      </c>
      <c r="K24" s="924" t="e">
        <f>_xll.ThomsonONEAddinShim.SpreadsheetFormulas.TF($H$22,"Tf.es.eps.mean(period=fY2014,sdate=0d)")</f>
        <v>#VALUE!</v>
      </c>
      <c r="L24" s="924" t="e">
        <f>_xll.ThomsonONEAddinShim.SpreadsheetFormulas.TF($H$22,"Tf.es.eps.mean(period=fY2015,sdate=0d)")</f>
        <v>#VALUE!</v>
      </c>
      <c r="N24" s="14"/>
      <c r="O24" s="1093">
        <v>2012</v>
      </c>
      <c r="P24" s="1093">
        <v>2013</v>
      </c>
      <c r="Q24" s="1093">
        <v>2014</v>
      </c>
      <c r="R24" s="1093" t="s">
        <v>1410</v>
      </c>
    </row>
    <row r="25" spans="3:18" s="4" customFormat="1">
      <c r="C25" s="34" t="str">
        <f>Valuation!BU95</f>
        <v>Per Share Value</v>
      </c>
      <c r="D25" s="1161">
        <f>Valuation!BY95</f>
        <v>6.1980621089345078</v>
      </c>
      <c r="H25" s="4" t="s">
        <v>2</v>
      </c>
      <c r="I25" s="924" t="e">
        <f>_xll.ThomsonONEAddinShim.SpreadsheetFormulas.TF($H$22,"Tf.es.eps.highest(period=fy2012,sdate=0d)")</f>
        <v>#VALUE!</v>
      </c>
      <c r="J25" s="924" t="e">
        <f>_xll.ThomsonONEAddinShim.SpreadsheetFormulas.TF($H$22,"Tf.es.eps.highest(period=fY2013,sdate=0d)")</f>
        <v>#VALUE!</v>
      </c>
      <c r="K25" s="924" t="e">
        <f>_xll.ThomsonONEAddinShim.SpreadsheetFormulas.TF($H$22,"Tf.es.eps.highest(period=fY2014,sdate=0d)")</f>
        <v>#VALUE!</v>
      </c>
      <c r="L25" s="924" t="e">
        <f>_xll.ThomsonONEAddinShim.SpreadsheetFormulas.TF($H$22,"Tf.es.eps.highest(period=fY2015,sdate=0d)")</f>
        <v>#VALUE!</v>
      </c>
      <c r="N25" s="232" t="s">
        <v>837</v>
      </c>
      <c r="O25" s="1105">
        <f>+Valuation!X99</f>
        <v>7426</v>
      </c>
      <c r="P25" s="1105">
        <f>+Valuation!AC99</f>
        <v>8019.5</v>
      </c>
      <c r="Q25" s="1105">
        <f>+Valuation!AH99</f>
        <v>8714.5</v>
      </c>
      <c r="R25" s="1105">
        <f>+Valuation!AM99</f>
        <v>9799.5</v>
      </c>
    </row>
    <row r="26" spans="3:18" s="4" customFormat="1">
      <c r="H26" s="4" t="s">
        <v>3</v>
      </c>
      <c r="I26" s="924" t="e">
        <f>_xll.ThomsonONEAddinShim.SpreadsheetFormulas.TF($H$22,"Tf.es.eps.lowest(period=fy2012,sdate=0d)")</f>
        <v>#VALUE!</v>
      </c>
      <c r="J26" s="924" t="e">
        <f>_xll.ThomsonONEAddinShim.SpreadsheetFormulas.TF($H$22,"Tf.es.eps.lowest(period=fY2013,sdate=0d)")</f>
        <v>#VALUE!</v>
      </c>
      <c r="K26" s="924" t="e">
        <f>_xll.ThomsonONEAddinShim.SpreadsheetFormulas.TF($H$22,"Tf.es.eps.lowest(period=fY2014,sdate=0d)")</f>
        <v>#VALUE!</v>
      </c>
      <c r="L26" s="924" t="e">
        <f>_xll.ThomsonONEAddinShim.SpreadsheetFormulas.TF($H$22,"Tf.es.eps.lowest(period=fY2015,sdate=0d)")</f>
        <v>#VALUE!</v>
      </c>
      <c r="N26" t="s">
        <v>838</v>
      </c>
      <c r="O26" s="1105">
        <f>+Valuation!X100</f>
        <v>5013</v>
      </c>
      <c r="P26" s="1105">
        <f>+Valuation!AC100</f>
        <v>5241.5</v>
      </c>
      <c r="Q26" s="1105">
        <f>+Valuation!AH100</f>
        <v>5554.5</v>
      </c>
      <c r="R26" s="1105">
        <f>+Valuation!AM100</f>
        <v>5858.5</v>
      </c>
    </row>
    <row r="27" spans="3:18" s="4" customFormat="1">
      <c r="I27" s="924"/>
      <c r="J27" s="924"/>
      <c r="K27" s="924"/>
      <c r="L27" s="924"/>
      <c r="N27" t="s">
        <v>1216</v>
      </c>
      <c r="O27" s="1105">
        <f>+Valuation!X101</f>
        <v>4267.6000000000004</v>
      </c>
      <c r="P27" s="1105">
        <f>+Valuation!AC101</f>
        <v>4483.1000000000004</v>
      </c>
      <c r="Q27" s="1105">
        <f>+Valuation!AH101</f>
        <v>4690.1000000000004</v>
      </c>
      <c r="R27" s="1105">
        <f>+Valuation!AM101</f>
        <v>4880.6000000000004</v>
      </c>
    </row>
    <row r="28" spans="3:18" s="4" customFormat="1">
      <c r="C28" s="231" t="s">
        <v>12</v>
      </c>
      <c r="D28" s="231"/>
      <c r="E28" s="231"/>
      <c r="F28" s="231"/>
      <c r="I28" s="1144"/>
      <c r="N28" s="34" t="s">
        <v>839</v>
      </c>
      <c r="O28" s="1106">
        <f>SUM(O25:O27)</f>
        <v>16706.599999999999</v>
      </c>
      <c r="P28" s="1106">
        <f>SUM(P25:P27)</f>
        <v>17744.099999999999</v>
      </c>
      <c r="Q28" s="1106">
        <f>SUM(Q25:Q27)</f>
        <v>18959.099999999999</v>
      </c>
      <c r="R28" s="1106">
        <f>SUM(R25:R27)</f>
        <v>20538.599999999999</v>
      </c>
    </row>
    <row r="29" spans="3:18" s="4" customFormat="1">
      <c r="C29" s="231"/>
      <c r="D29" s="1096" t="s">
        <v>18</v>
      </c>
      <c r="E29" s="1096" t="s">
        <v>17</v>
      </c>
      <c r="F29" s="1096" t="s">
        <v>19</v>
      </c>
      <c r="H29" s="231" t="s">
        <v>1239</v>
      </c>
      <c r="I29" s="14"/>
      <c r="J29" s="14"/>
      <c r="K29" s="14"/>
      <c r="N29" s="1107"/>
      <c r="O29" s="1108"/>
      <c r="P29" s="1109">
        <f>+P28/O28-1</f>
        <v>6.2101205511594149E-2</v>
      </c>
      <c r="Q29" s="1109">
        <f>+Q28/P28-1</f>
        <v>6.8473464419159136E-2</v>
      </c>
      <c r="R29" s="1109">
        <f>+R28/Q28-1</f>
        <v>8.3310916657436174E-2</v>
      </c>
    </row>
    <row r="30" spans="3:18" s="4" customFormat="1">
      <c r="C30" s="4" t="s">
        <v>13</v>
      </c>
      <c r="D30" s="1097" t="s">
        <v>20</v>
      </c>
      <c r="E30" s="1097" t="s">
        <v>21</v>
      </c>
      <c r="F30" s="1097" t="s">
        <v>22</v>
      </c>
      <c r="H30" s="14"/>
      <c r="I30" s="1121">
        <v>2012</v>
      </c>
      <c r="J30" s="1121">
        <v>2013</v>
      </c>
      <c r="K30" s="1121">
        <v>2014</v>
      </c>
    </row>
    <row r="31" spans="3:18" s="4" customFormat="1">
      <c r="C31" s="4" t="s">
        <v>14</v>
      </c>
      <c r="D31" s="1097" t="s">
        <v>23</v>
      </c>
      <c r="E31" s="1097" t="s">
        <v>24</v>
      </c>
      <c r="F31" s="1097" t="s">
        <v>22</v>
      </c>
      <c r="H31" s="4" t="s">
        <v>63</v>
      </c>
      <c r="I31" s="1094">
        <f>+ExGen!BW724</f>
        <v>0</v>
      </c>
      <c r="J31" s="1094">
        <f>+ExGen!AC753</f>
        <v>0</v>
      </c>
      <c r="K31" s="1094">
        <f>+ExGen!AH753</f>
        <v>0</v>
      </c>
    </row>
    <row r="32" spans="3:18" s="4" customFormat="1">
      <c r="C32" s="4" t="s">
        <v>25</v>
      </c>
      <c r="D32" s="1097" t="s">
        <v>26</v>
      </c>
      <c r="E32" s="1097" t="s">
        <v>28</v>
      </c>
      <c r="F32" s="1097" t="s">
        <v>22</v>
      </c>
      <c r="N32" s="231" t="s">
        <v>1214</v>
      </c>
      <c r="O32" s="231"/>
      <c r="P32" s="14"/>
      <c r="Q32" s="14"/>
      <c r="R32" s="14"/>
    </row>
    <row r="33" spans="3:18" s="4" customFormat="1">
      <c r="C33" s="4" t="s">
        <v>15</v>
      </c>
      <c r="D33" s="1097" t="s">
        <v>27</v>
      </c>
      <c r="E33" s="1097" t="s">
        <v>28</v>
      </c>
      <c r="F33" s="1097" t="s">
        <v>265</v>
      </c>
      <c r="H33" s="231" t="s">
        <v>1239</v>
      </c>
      <c r="I33" s="14"/>
      <c r="J33" s="14"/>
      <c r="K33" s="14"/>
      <c r="L33" s="14"/>
      <c r="N33" s="14"/>
      <c r="O33" s="1093">
        <v>2012</v>
      </c>
      <c r="P33" s="1093">
        <v>2013</v>
      </c>
      <c r="Q33" s="1093">
        <v>2014</v>
      </c>
      <c r="R33" s="1093" t="s">
        <v>1410</v>
      </c>
    </row>
    <row r="34" spans="3:18" s="4" customFormat="1">
      <c r="C34" s="4" t="s">
        <v>16</v>
      </c>
      <c r="D34" s="1097" t="s">
        <v>23</v>
      </c>
      <c r="E34" s="1097" t="s">
        <v>22</v>
      </c>
      <c r="F34" s="1097" t="s">
        <v>22</v>
      </c>
      <c r="H34" s="14"/>
      <c r="I34" s="1121" t="s">
        <v>1242</v>
      </c>
      <c r="J34" s="1093">
        <v>2012</v>
      </c>
      <c r="K34" s="1093">
        <v>2013</v>
      </c>
      <c r="L34" s="1093">
        <v>2014</v>
      </c>
      <c r="N34" s="232" t="s">
        <v>1212</v>
      </c>
      <c r="O34" s="718">
        <f>+Valuation!X37</f>
        <v>0.11435237209775877</v>
      </c>
      <c r="P34" s="718">
        <f>+Valuation!AC37</f>
        <v>0.11546564610377542</v>
      </c>
      <c r="Q34" s="718">
        <f>+Valuation!AH37</f>
        <v>0.10195222944763249</v>
      </c>
      <c r="R34" s="718">
        <f>+Valuation!AM37</f>
        <v>9.6767965599192263E-2</v>
      </c>
    </row>
    <row r="35" spans="3:18" s="4" customFormat="1">
      <c r="H35" s="4" t="s">
        <v>1240</v>
      </c>
      <c r="I35" s="731">
        <v>170</v>
      </c>
      <c r="J35" s="731">
        <v>170</v>
      </c>
      <c r="K35" s="731">
        <v>180</v>
      </c>
      <c r="L35" s="731">
        <v>200</v>
      </c>
      <c r="N35" t="s">
        <v>1213</v>
      </c>
      <c r="O35" s="718">
        <f>+Valuation!X48</f>
        <v>0.13461980741420379</v>
      </c>
      <c r="P35" s="718">
        <f>+Valuation!AC48</f>
        <v>0.13322450595456423</v>
      </c>
      <c r="Q35" s="718">
        <f>+Valuation!AH48</f>
        <v>0.11303350456195776</v>
      </c>
      <c r="R35" s="718">
        <f>+Valuation!AM48</f>
        <v>0.12026517838860064</v>
      </c>
    </row>
    <row r="36" spans="3:18" s="4" customFormat="1">
      <c r="H36" s="4" t="s">
        <v>1241</v>
      </c>
      <c r="I36" s="731">
        <v>385</v>
      </c>
      <c r="J36" s="731">
        <v>465</v>
      </c>
      <c r="K36" s="731">
        <v>505</v>
      </c>
      <c r="L36" s="731">
        <v>530</v>
      </c>
      <c r="N36" t="s">
        <v>1215</v>
      </c>
      <c r="O36" s="718">
        <f>+Valuation!X59</f>
        <v>0</v>
      </c>
      <c r="P36" s="718">
        <f>+Valuation!AC59</f>
        <v>9.1205105120413923E-2</v>
      </c>
      <c r="Q36" s="718">
        <f>+Valuation!AH59</f>
        <v>8.3982196649798099E-2</v>
      </c>
      <c r="R36" s="718">
        <f>+Valuation!AM59</f>
        <v>0.109772006806499</v>
      </c>
    </row>
    <row r="37" spans="3:18" s="4" customFormat="1" ht="13.5" thickBot="1">
      <c r="C37" s="1103" t="s">
        <v>686</v>
      </c>
      <c r="D37" s="1104">
        <v>2014</v>
      </c>
      <c r="N37" s="4" t="s">
        <v>1220</v>
      </c>
      <c r="O37" s="718">
        <f>+Valuation!X108</f>
        <v>8.7540782391765937E-2</v>
      </c>
      <c r="P37" s="718">
        <f>+Valuation!AC108</f>
        <v>0.10685694047310464</v>
      </c>
      <c r="Q37" s="718">
        <f>+Valuation!AH108</f>
        <v>9.7647362750817979E-2</v>
      </c>
      <c r="R37" s="718">
        <f>+Valuation!AM108</f>
        <v>9.8999067882015443E-2</v>
      </c>
    </row>
    <row r="38" spans="3:18" s="4" customFormat="1">
      <c r="C38" t="s">
        <v>33</v>
      </c>
      <c r="D38" s="1101">
        <f>Valuation!$AH$105</f>
        <v>26288.19875</v>
      </c>
    </row>
    <row r="39" spans="3:18" s="4" customFormat="1">
      <c r="C39" t="s">
        <v>281</v>
      </c>
      <c r="D39" s="1102">
        <v>0.53</v>
      </c>
      <c r="N39" s="231" t="s">
        <v>1219</v>
      </c>
      <c r="O39" s="231"/>
      <c r="P39" s="14"/>
      <c r="Q39" s="14"/>
      <c r="R39" s="14"/>
    </row>
    <row r="40" spans="3:18" s="4" customFormat="1">
      <c r="C40" t="s">
        <v>32</v>
      </c>
      <c r="D40" s="1102">
        <f ca="1">(D42*D41)/(D38*D39)</f>
        <v>0.1286459079534549</v>
      </c>
      <c r="N40" s="14"/>
      <c r="O40" s="1093">
        <v>2012</v>
      </c>
      <c r="P40" s="1093">
        <v>2013</v>
      </c>
      <c r="Q40" s="1093">
        <v>2014</v>
      </c>
      <c r="R40" s="1093" t="s">
        <v>1410</v>
      </c>
    </row>
    <row r="41" spans="3:18" s="4" customFormat="1">
      <c r="C41" t="s">
        <v>31</v>
      </c>
      <c r="D41" s="1101">
        <f>Financial!$AH$52</f>
        <v>864</v>
      </c>
    </row>
    <row r="42" spans="3:18" s="4" customFormat="1">
      <c r="C42" s="232" t="str">
        <f>Valuation!BU8</f>
        <v>Utilities EPS</v>
      </c>
      <c r="D42" s="991">
        <f ca="1">Valuation!BZ8</f>
        <v>2.0745262433182328</v>
      </c>
      <c r="N42" t="s">
        <v>1216</v>
      </c>
      <c r="O42" s="1105">
        <f>+O27</f>
        <v>4267.6000000000004</v>
      </c>
      <c r="P42" s="1105">
        <f>+P27</f>
        <v>4483.1000000000004</v>
      </c>
      <c r="Q42" s="1105">
        <f>+Q27</f>
        <v>4690.1000000000004</v>
      </c>
      <c r="R42" s="1105">
        <f>+R27</f>
        <v>4880.6000000000004</v>
      </c>
    </row>
    <row r="43" spans="3:18" s="4" customFormat="1">
      <c r="C43" t="str">
        <f>Valuation!BU12</f>
        <v>Group Average P/E</v>
      </c>
      <c r="D43" s="701">
        <f>Valuation!BZ14</f>
        <v>18.480000000000004</v>
      </c>
      <c r="N43" t="s">
        <v>1215</v>
      </c>
      <c r="O43" s="718">
        <f>+O36</f>
        <v>0</v>
      </c>
      <c r="P43" s="718">
        <f>+P36</f>
        <v>9.1205105120413923E-2</v>
      </c>
      <c r="Q43" s="718">
        <f>+Q36</f>
        <v>8.3982196649798099E-2</v>
      </c>
      <c r="R43" s="718">
        <f>+R36</f>
        <v>0.109772006806499</v>
      </c>
    </row>
    <row r="44" spans="3:18" s="4" customFormat="1">
      <c r="C44" s="953" t="str">
        <f>Valuation!BU15</f>
        <v>Utilities / Parent Valuation</v>
      </c>
      <c r="D44" s="1141">
        <f ca="1">Valuation!BZ15</f>
        <v>35.191006028619171</v>
      </c>
      <c r="N44" s="1107"/>
      <c r="O44" s="1108"/>
      <c r="P44" s="1109"/>
      <c r="Q44" s="1109"/>
      <c r="R44" s="1109"/>
    </row>
    <row r="45" spans="3:18" s="4" customFormat="1">
      <c r="C45" s="599"/>
      <c r="D45" s="1062"/>
      <c r="N45" s="231" t="s">
        <v>1221</v>
      </c>
      <c r="O45" s="231"/>
      <c r="P45" s="14"/>
      <c r="Q45" s="14"/>
      <c r="R45" s="14"/>
    </row>
    <row r="46" spans="3:18" s="4" customFormat="1" ht="13.5" thickBot="1">
      <c r="C46" s="1103" t="s">
        <v>687</v>
      </c>
      <c r="D46" s="1104" t="s">
        <v>34</v>
      </c>
      <c r="I46" s="1147">
        <v>2012</v>
      </c>
      <c r="J46" s="1147">
        <v>2013</v>
      </c>
      <c r="K46" s="1147">
        <v>2014</v>
      </c>
      <c r="N46" s="14"/>
      <c r="O46" s="1093">
        <v>2012</v>
      </c>
      <c r="P46" s="1093">
        <v>2013</v>
      </c>
      <c r="Q46" s="1093">
        <v>2014</v>
      </c>
      <c r="R46" s="1093" t="s">
        <v>1410</v>
      </c>
    </row>
    <row r="47" spans="3:18" s="4" customFormat="1">
      <c r="C47" s="232" t="s">
        <v>690</v>
      </c>
      <c r="D47" s="526">
        <f>Valuation!BZ31</f>
        <v>3.5</v>
      </c>
      <c r="H47" s="4" t="s">
        <v>667</v>
      </c>
      <c r="I47" s="4">
        <v>2300</v>
      </c>
      <c r="J47" s="4">
        <v>2875</v>
      </c>
      <c r="K47" s="4">
        <v>2950</v>
      </c>
    </row>
    <row r="48" spans="3:18" s="4" customFormat="1">
      <c r="C48" s="232" t="s">
        <v>688</v>
      </c>
      <c r="D48" s="1123">
        <f>Valuation!BZ34</f>
        <v>242</v>
      </c>
      <c r="H48" s="4" t="s">
        <v>666</v>
      </c>
      <c r="I48" s="4">
        <v>3925</v>
      </c>
      <c r="J48" s="4">
        <v>3200</v>
      </c>
      <c r="K48" s="4">
        <v>3325</v>
      </c>
      <c r="N48" t="s">
        <v>838</v>
      </c>
      <c r="O48" s="1105">
        <f>+O26</f>
        <v>5013</v>
      </c>
      <c r="P48" s="1105">
        <f>+P26</f>
        <v>5241.5</v>
      </c>
      <c r="Q48" s="1105">
        <f>+Q26</f>
        <v>5554.5</v>
      </c>
      <c r="R48" s="1105">
        <f>+R26</f>
        <v>5858.5</v>
      </c>
    </row>
    <row r="49" spans="3:18" s="4" customFormat="1">
      <c r="C49" s="232" t="s">
        <v>689</v>
      </c>
      <c r="D49" s="1123">
        <f>Valuation!BZ35</f>
        <v>247.50000000000003</v>
      </c>
      <c r="H49" s="156" t="s">
        <v>668</v>
      </c>
      <c r="I49" s="156">
        <f>SUM(I47:I48)</f>
        <v>6225</v>
      </c>
      <c r="J49" s="156">
        <f>SUM(J47:J48)</f>
        <v>6075</v>
      </c>
      <c r="K49" s="156">
        <f>SUM(K47:K48)</f>
        <v>6275</v>
      </c>
      <c r="N49" t="s">
        <v>1225</v>
      </c>
      <c r="O49" s="1092">
        <f>+O55</f>
        <v>0.47252747252747196</v>
      </c>
      <c r="P49" s="1092">
        <f>+P55</f>
        <v>0.4569767441860465</v>
      </c>
      <c r="Q49" s="1092">
        <f>+Q55</f>
        <v>0.40856481481481483</v>
      </c>
      <c r="R49" s="1092">
        <f>+R55</f>
        <v>0.42553191489361702</v>
      </c>
    </row>
    <row r="50" spans="3:18" s="4" customFormat="1">
      <c r="C50" s="232" t="s">
        <v>30</v>
      </c>
      <c r="D50" s="502">
        <v>5850</v>
      </c>
      <c r="O50" s="718"/>
      <c r="P50" s="718"/>
      <c r="Q50" s="718"/>
      <c r="R50" s="718"/>
    </row>
    <row r="51" spans="3:18" s="4" customFormat="1">
      <c r="C51" s="232" t="s">
        <v>29</v>
      </c>
      <c r="D51" s="1100">
        <v>7.5</v>
      </c>
      <c r="H51" s="4" t="s">
        <v>669</v>
      </c>
      <c r="I51" s="4">
        <f>Financial!CP39</f>
        <v>2250</v>
      </c>
      <c r="J51" s="4">
        <f>Financial!CU39</f>
        <v>2557</v>
      </c>
      <c r="K51" s="4">
        <f>Financial!CZ39</f>
        <v>2970</v>
      </c>
    </row>
    <row r="52" spans="3:18" s="4" customFormat="1">
      <c r="C52" s="34" t="str">
        <f>Valuation!BU17</f>
        <v>ExGen Valuation (ex-ZECs Benefit)</v>
      </c>
      <c r="D52" s="1142">
        <f>Valuation!BZ17</f>
        <v>15.869176799326969</v>
      </c>
      <c r="F52" s="1092"/>
      <c r="H52" s="4" t="s">
        <v>670</v>
      </c>
      <c r="I52" s="1145">
        <f>Financial!CP40</f>
        <v>3539</v>
      </c>
      <c r="J52" s="1145">
        <f>Financial!CU40</f>
        <v>2838</v>
      </c>
      <c r="K52" s="1145">
        <f>Financial!CZ40</f>
        <v>3107</v>
      </c>
      <c r="N52" s="231" t="s">
        <v>264</v>
      </c>
      <c r="O52" s="1093">
        <v>2012</v>
      </c>
      <c r="P52" s="1093">
        <v>2013</v>
      </c>
      <c r="Q52" s="1093">
        <v>2014</v>
      </c>
      <c r="R52" s="1093" t="s">
        <v>1410</v>
      </c>
    </row>
    <row r="53" spans="3:18" s="4" customFormat="1">
      <c r="C53" s="232"/>
      <c r="D53" s="1099"/>
      <c r="H53" s="156" t="s">
        <v>671</v>
      </c>
      <c r="I53" s="1146">
        <f>SUM(I51:I52)</f>
        <v>5789</v>
      </c>
      <c r="J53" s="1146">
        <f>SUM(J51:J52)</f>
        <v>5395</v>
      </c>
      <c r="K53" s="1146">
        <f>SUM(K51:K52)</f>
        <v>6077</v>
      </c>
    </row>
    <row r="54" spans="3:18" s="4" customFormat="1">
      <c r="C54" s="248" t="s">
        <v>238</v>
      </c>
      <c r="D54" s="706">
        <f ca="1">[0]!bullpt</f>
        <v>56</v>
      </c>
      <c r="N54" s="232" t="s">
        <v>1226</v>
      </c>
      <c r="O54" s="1092">
        <f>+Financial!X11</f>
        <v>0.46520146520146521</v>
      </c>
      <c r="P54" s="1092">
        <f>+Financial!AC11</f>
        <v>0.48953488372093024</v>
      </c>
      <c r="Q54" s="1092">
        <f>+Financial!AH11</f>
        <v>0.47453703703703703</v>
      </c>
      <c r="R54" s="1092">
        <f>+Financial!AM11</f>
        <v>0.48376259798432253</v>
      </c>
    </row>
    <row r="55" spans="3:18" s="4" customFormat="1">
      <c r="C55" t="str">
        <f>Valuation!BU24</f>
        <v>Current Stock Price</v>
      </c>
      <c r="D55" s="481">
        <f>Valuation!BZ24</f>
        <v>38.380000000000003</v>
      </c>
      <c r="H55" s="1148" t="s">
        <v>672</v>
      </c>
      <c r="I55" s="1149">
        <f>(I53-I49)/I53</f>
        <v>-7.5315253066159965E-2</v>
      </c>
      <c r="J55" s="1149">
        <f>(J53-J49)/J53</f>
        <v>-0.12604263206672844</v>
      </c>
      <c r="K55" s="1149">
        <f>(K53-K49)/K53</f>
        <v>-3.2581866052328448E-2</v>
      </c>
      <c r="N55" t="s">
        <v>1225</v>
      </c>
      <c r="O55" s="1092">
        <f>+Financial!X12</f>
        <v>0.47252747252747196</v>
      </c>
      <c r="P55" s="1092">
        <f>+Financial!AC12</f>
        <v>0.4569767441860465</v>
      </c>
      <c r="Q55" s="1092">
        <f>+Financial!AH12</f>
        <v>0.40856481481481483</v>
      </c>
      <c r="R55" s="1092">
        <f>+Financial!AM12</f>
        <v>0.42553191489361702</v>
      </c>
    </row>
    <row r="56" spans="3:18" s="4" customFormat="1">
      <c r="C56" t="str">
        <f>Valuation!BU25</f>
        <v>Price Return Potential</v>
      </c>
      <c r="D56" s="497">
        <f ca="1">Valuation!BZ25</f>
        <v>0.45909327774882747</v>
      </c>
      <c r="N56" t="s">
        <v>1227</v>
      </c>
      <c r="O56" s="1092">
        <f>+Financial!X13</f>
        <v>9.6459096459096463E-2</v>
      </c>
      <c r="P56" s="1092">
        <f>+Financial!AC13</f>
        <v>0.22674418604651161</v>
      </c>
      <c r="Q56" s="1092">
        <f>+Financial!AH13</f>
        <v>0.23032407407407407</v>
      </c>
      <c r="R56" s="1092">
        <f>+Financial!AM13</f>
        <v>0.31019036954087348</v>
      </c>
    </row>
    <row r="57" spans="3:18" s="4" customFormat="1">
      <c r="C57" t="str">
        <f>Valuation!BU26</f>
        <v>Dividend</v>
      </c>
      <c r="D57" s="718">
        <f>Valuation!BZ26</f>
        <v>3.0140982012639764E-2</v>
      </c>
      <c r="N57" s="156" t="s">
        <v>1228</v>
      </c>
      <c r="O57" s="1087">
        <f>SUM(O54:O56)</f>
        <v>1.0341880341880336</v>
      </c>
      <c r="P57" s="1087">
        <f>SUM(P54:P56)</f>
        <v>1.1732558139534883</v>
      </c>
      <c r="Q57" s="1087">
        <f>SUM(Q54:Q56)</f>
        <v>1.113425925925926</v>
      </c>
      <c r="R57" s="1087">
        <f>SUM(R54:R56)</f>
        <v>1.2194848824188129</v>
      </c>
    </row>
    <row r="58" spans="3:18" s="4" customFormat="1">
      <c r="C58" s="248" t="str">
        <f>Valuation!BU27</f>
        <v>Total Return Potential</v>
      </c>
      <c r="D58" s="1098">
        <f ca="1">Valuation!BZ27</f>
        <v>0.48923425976146723</v>
      </c>
    </row>
    <row r="59" spans="3:18" s="4" customFormat="1">
      <c r="N59" s="156" t="s">
        <v>261</v>
      </c>
      <c r="O59" s="1087">
        <f>+Financial!X10</f>
        <v>1.8901098901098901</v>
      </c>
      <c r="P59" s="1087">
        <f>+Financial!AC10</f>
        <v>1.3976744186046512</v>
      </c>
      <c r="Q59" s="1087">
        <f>+Financial!AH10</f>
        <v>1.3368055555555556</v>
      </c>
      <c r="R59" s="1087">
        <f>+Financial!AM10</f>
        <v>1.4031354983202688</v>
      </c>
    </row>
    <row r="60" spans="3:18" s="4" customFormat="1">
      <c r="N60" s="156"/>
      <c r="O60" s="156"/>
      <c r="P60" s="156"/>
      <c r="Q60" s="156"/>
      <c r="R60" s="156"/>
    </row>
    <row r="61" spans="3:18" s="4" customFormat="1">
      <c r="C61" s="156" t="s">
        <v>1237</v>
      </c>
      <c r="N61" s="156" t="s">
        <v>262</v>
      </c>
      <c r="O61" s="1090">
        <f>+Financial!X17</f>
        <v>-7.9365079365079361E-2</v>
      </c>
      <c r="P61" s="1090">
        <f>+Financial!AC17</f>
        <v>-7.2093023255813959E-2</v>
      </c>
      <c r="Q61" s="1090">
        <f>+Financial!AH17</f>
        <v>-5.6712962962962965E-2</v>
      </c>
      <c r="R61" s="1090">
        <f>+Financial!AM17</f>
        <v>-0.12877939529675264</v>
      </c>
    </row>
    <row r="62" spans="3:18" s="4" customFormat="1">
      <c r="C62" s="4" t="s">
        <v>1229</v>
      </c>
      <c r="D62" s="731">
        <f>500*4*0.1</f>
        <v>200</v>
      </c>
    </row>
    <row r="63" spans="3:18" s="4" customFormat="1">
      <c r="C63" s="4" t="s">
        <v>1230</v>
      </c>
      <c r="D63" s="731">
        <f>2*100*0.365</f>
        <v>73</v>
      </c>
      <c r="N63" s="248" t="s">
        <v>263</v>
      </c>
      <c r="O63" s="592">
        <f>+Financial!X18</f>
        <v>2.8449328449328446</v>
      </c>
      <c r="P63" s="592">
        <f>+Financial!AC18</f>
        <v>2.4988372093023257</v>
      </c>
      <c r="Q63" s="592">
        <f>+Financial!AH18</f>
        <v>2.3935185185185186</v>
      </c>
      <c r="R63" s="593">
        <f>+Financial!AM18</f>
        <v>2.4938409854423291</v>
      </c>
    </row>
    <row r="64" spans="3:18" s="4" customFormat="1">
      <c r="C64" s="4" t="s">
        <v>1231</v>
      </c>
      <c r="D64" s="731">
        <f>0.01*5500</f>
        <v>55</v>
      </c>
    </row>
    <row r="65" spans="3:6" s="4" customFormat="1">
      <c r="C65" s="4" t="s">
        <v>1232</v>
      </c>
      <c r="D65" s="731">
        <f>60*8.76*0.2*0.25</f>
        <v>26.28</v>
      </c>
    </row>
    <row r="66" spans="3:6" s="4" customFormat="1">
      <c r="C66" s="4" t="s">
        <v>1233</v>
      </c>
      <c r="D66" s="731">
        <v>10</v>
      </c>
    </row>
    <row r="67" spans="3:6" s="4" customFormat="1">
      <c r="C67" s="4" t="s">
        <v>1234</v>
      </c>
      <c r="D67" s="1120">
        <f>600-D68-D69-SUM(D62:D66)</f>
        <v>83.412307692307763</v>
      </c>
    </row>
    <row r="68" spans="3:6" s="4" customFormat="1">
      <c r="C68" s="4" t="s">
        <v>1235</v>
      </c>
      <c r="D68" s="1119">
        <f>0.04/0.65*850</f>
        <v>52.307692307692307</v>
      </c>
    </row>
    <row r="69" spans="3:6" s="4" customFormat="1">
      <c r="C69" s="4" t="s">
        <v>1236</v>
      </c>
      <c r="D69" s="1118">
        <v>100</v>
      </c>
    </row>
    <row r="70" spans="3:6" s="4" customFormat="1"/>
    <row r="71" spans="3:6" s="4" customFormat="1"/>
    <row r="72" spans="3:6" s="4" customFormat="1"/>
    <row r="73" spans="3:6" s="4" customFormat="1"/>
    <row r="74" spans="3:6" s="4" customFormat="1"/>
    <row r="75" spans="3:6" s="4" customFormat="1">
      <c r="C75" s="1089"/>
    </row>
    <row r="76" spans="3:6" s="4" customFormat="1">
      <c r="C76" s="1089" t="s">
        <v>68</v>
      </c>
    </row>
    <row r="77" spans="3:6" s="4" customFormat="1">
      <c r="C77"/>
      <c r="D77" s="713"/>
      <c r="E77" s="713"/>
      <c r="F77" s="713"/>
    </row>
    <row r="78" spans="3:6" s="4" customFormat="1">
      <c r="C78"/>
      <c r="D78" s="713"/>
      <c r="E78" s="713"/>
      <c r="F78" s="713"/>
    </row>
    <row r="79" spans="3:6" s="4" customFormat="1"/>
    <row r="80" spans="3:6" s="4" customFormat="1"/>
    <row r="81" s="4" customFormat="1"/>
    <row r="82" s="4" customFormat="1"/>
    <row r="83" s="4" customFormat="1"/>
    <row r="84" s="4" customFormat="1"/>
    <row r="85" s="4" customFormat="1"/>
    <row r="86" s="4" customFormat="1"/>
    <row r="87" s="4" customFormat="1"/>
    <row r="88" s="4" customFormat="1"/>
    <row r="89" s="4" customFormat="1"/>
    <row r="90" s="4" customFormat="1"/>
    <row r="91" s="4" customFormat="1"/>
    <row r="92" s="4" customFormat="1"/>
    <row r="93" s="4" customFormat="1"/>
    <row r="94" s="4" customFormat="1"/>
    <row r="95" s="4" customFormat="1"/>
    <row r="96" s="4" customFormat="1"/>
    <row r="97" s="4" customFormat="1"/>
    <row r="98" s="4" customFormat="1"/>
    <row r="99" s="4" customFormat="1"/>
    <row r="100" s="4" customFormat="1"/>
    <row r="101" s="4" customFormat="1"/>
    <row r="102" s="4" customFormat="1"/>
    <row r="103" s="4" customFormat="1"/>
    <row r="104" s="4" customFormat="1"/>
    <row r="105" s="4" customFormat="1"/>
    <row r="106" s="4" customFormat="1"/>
    <row r="107" s="4" customFormat="1"/>
    <row r="108" s="4" customFormat="1"/>
    <row r="109" s="4" customFormat="1"/>
    <row r="110" s="4" customFormat="1"/>
    <row r="111" s="4" customFormat="1"/>
    <row r="112" s="4" customFormat="1"/>
    <row r="113" s="4" customFormat="1"/>
    <row r="114" s="4" customFormat="1"/>
    <row r="115" s="4" customFormat="1"/>
    <row r="116" s="4" customFormat="1"/>
    <row r="117" s="4" customFormat="1"/>
    <row r="118" s="4" customFormat="1"/>
    <row r="119" s="4" customFormat="1"/>
    <row r="120" s="4" customFormat="1"/>
    <row r="121" s="4" customFormat="1"/>
    <row r="122" s="4" customFormat="1"/>
    <row r="123" s="4" customFormat="1"/>
    <row r="124" s="4" customFormat="1"/>
    <row r="125" s="4" customFormat="1"/>
    <row r="126" s="4" customFormat="1"/>
    <row r="127" s="4" customFormat="1"/>
    <row r="128" s="4" customFormat="1"/>
    <row r="129" s="4" customFormat="1"/>
    <row r="130" s="4" customFormat="1"/>
    <row r="131" s="4" customFormat="1"/>
    <row r="132" s="4" customFormat="1"/>
    <row r="133" s="4" customFormat="1"/>
    <row r="134" s="4" customFormat="1"/>
    <row r="135" s="4" customFormat="1"/>
    <row r="136" s="4" customFormat="1"/>
    <row r="137" s="4" customFormat="1"/>
    <row r="138" s="4" customFormat="1"/>
    <row r="139" s="4" customFormat="1"/>
    <row r="140" s="4" customFormat="1"/>
    <row r="141" s="4" customFormat="1"/>
    <row r="142" s="4" customFormat="1"/>
    <row r="143" s="4" customFormat="1"/>
    <row r="144" s="4" customFormat="1"/>
    <row r="145" s="4" customFormat="1"/>
    <row r="146" s="4" customFormat="1"/>
    <row r="147" s="4" customFormat="1"/>
    <row r="148" s="4" customFormat="1"/>
    <row r="149" s="4" customFormat="1"/>
    <row r="150" s="4" customFormat="1"/>
    <row r="151" s="4" customFormat="1"/>
    <row r="152" s="4" customFormat="1"/>
    <row r="153" s="4" customFormat="1"/>
    <row r="154" s="4" customFormat="1"/>
    <row r="155" s="4" customFormat="1"/>
    <row r="156" s="4" customFormat="1"/>
    <row r="157" s="4" customFormat="1"/>
    <row r="158" s="4" customFormat="1"/>
    <row r="159" s="4" customFormat="1"/>
    <row r="160" s="4" customFormat="1"/>
    <row r="161" s="4" customFormat="1"/>
    <row r="162" s="4" customFormat="1"/>
    <row r="163" s="4" customFormat="1"/>
    <row r="164" s="4" customFormat="1"/>
    <row r="165" s="4" customFormat="1"/>
    <row r="166" s="4" customFormat="1"/>
    <row r="167" s="4" customFormat="1"/>
    <row r="168" s="4" customFormat="1"/>
    <row r="169" s="4" customFormat="1"/>
    <row r="170" s="4" customFormat="1"/>
    <row r="171" s="4" customFormat="1"/>
    <row r="172" s="4" customFormat="1"/>
    <row r="173" s="4" customFormat="1"/>
    <row r="174" s="4" customFormat="1"/>
    <row r="175" s="4" customFormat="1"/>
    <row r="176" s="4" customFormat="1"/>
    <row r="177" s="4" customFormat="1"/>
    <row r="178" s="4" customFormat="1"/>
    <row r="179" s="4" customFormat="1"/>
    <row r="180" s="4" customFormat="1"/>
    <row r="181" s="4" customFormat="1"/>
    <row r="182" s="4" customFormat="1"/>
    <row r="183" s="4" customFormat="1"/>
    <row r="184" s="4" customFormat="1"/>
    <row r="185" s="4" customFormat="1"/>
    <row r="186" s="4" customFormat="1"/>
    <row r="187" s="4" customFormat="1"/>
    <row r="188" s="4" customFormat="1"/>
    <row r="189" s="4" customFormat="1"/>
    <row r="190" s="4" customFormat="1"/>
    <row r="191" s="4" customFormat="1"/>
    <row r="192" s="4" customFormat="1"/>
    <row r="193" s="4" customFormat="1"/>
    <row r="194" s="4" customFormat="1"/>
    <row r="195" s="4" customFormat="1"/>
    <row r="196" s="4" customFormat="1"/>
    <row r="197" s="4" customFormat="1"/>
    <row r="198" s="4" customFormat="1"/>
    <row r="199" s="4" customFormat="1"/>
    <row r="200" s="4" customFormat="1"/>
    <row r="201" s="4" customFormat="1"/>
    <row r="202" s="4" customFormat="1"/>
    <row r="203" s="4" customFormat="1"/>
    <row r="204" s="4" customFormat="1"/>
    <row r="205" s="4" customFormat="1"/>
    <row r="206" s="4" customFormat="1"/>
    <row r="207" s="4" customFormat="1"/>
    <row r="208" s="4" customFormat="1"/>
    <row r="209" s="4" customFormat="1"/>
    <row r="210" s="4" customFormat="1"/>
    <row r="211" s="4" customFormat="1"/>
    <row r="212" s="4" customFormat="1"/>
    <row r="213" s="4" customFormat="1"/>
    <row r="214" s="4" customFormat="1"/>
    <row r="215" s="4" customFormat="1"/>
    <row r="216" s="4" customFormat="1"/>
    <row r="217" s="4" customFormat="1"/>
    <row r="218" s="4" customFormat="1"/>
    <row r="219" s="4" customFormat="1"/>
    <row r="220" s="4" customFormat="1"/>
    <row r="221" s="4" customFormat="1"/>
    <row r="222" s="4" customFormat="1"/>
    <row r="223" s="4" customFormat="1"/>
    <row r="224" s="4" customFormat="1"/>
    <row r="225" s="4" customFormat="1"/>
    <row r="226" s="4" customFormat="1"/>
    <row r="227" s="4" customFormat="1"/>
    <row r="228" s="4" customFormat="1"/>
    <row r="229" s="4" customFormat="1"/>
    <row r="230" s="4" customFormat="1"/>
    <row r="231" s="4" customFormat="1"/>
    <row r="232" s="4" customFormat="1"/>
    <row r="233" s="4" customFormat="1"/>
    <row r="234" s="4" customFormat="1"/>
    <row r="235" s="4" customFormat="1"/>
    <row r="236" s="4" customFormat="1"/>
    <row r="237" s="4" customFormat="1"/>
    <row r="238" s="4" customFormat="1"/>
    <row r="239" s="4" customFormat="1"/>
    <row r="240" s="4" customFormat="1"/>
    <row r="241" s="4" customFormat="1"/>
    <row r="242" s="4" customFormat="1"/>
    <row r="243" s="4" customFormat="1"/>
    <row r="244" s="4" customFormat="1"/>
    <row r="245" s="4" customFormat="1"/>
    <row r="246" s="4" customFormat="1"/>
    <row r="247" s="4" customFormat="1"/>
    <row r="248" s="4" customFormat="1"/>
    <row r="249" s="4" customFormat="1"/>
    <row r="250" s="4" customFormat="1"/>
    <row r="251" s="4" customFormat="1"/>
    <row r="252" s="4" customFormat="1"/>
    <row r="253" s="4" customFormat="1"/>
    <row r="254" s="4" customFormat="1"/>
    <row r="255" s="4" customFormat="1"/>
    <row r="256" s="4" customFormat="1"/>
    <row r="257" s="4" customFormat="1"/>
    <row r="258" s="4" customFormat="1"/>
    <row r="259" s="4" customFormat="1"/>
    <row r="260" s="4" customFormat="1"/>
    <row r="261" s="4" customFormat="1"/>
    <row r="262" s="4" customFormat="1"/>
    <row r="263" s="4" customFormat="1"/>
    <row r="264" s="4" customFormat="1"/>
    <row r="265" s="4" customFormat="1"/>
    <row r="266" s="4" customFormat="1"/>
    <row r="267" s="4" customFormat="1"/>
    <row r="268" s="4" customFormat="1"/>
    <row r="269" s="4" customFormat="1"/>
    <row r="270" s="4" customFormat="1"/>
    <row r="271" s="4" customFormat="1"/>
    <row r="272" s="4" customFormat="1"/>
    <row r="273" s="4" customFormat="1"/>
    <row r="274" s="4" customFormat="1"/>
    <row r="275" s="4" customFormat="1"/>
    <row r="276" s="4" customFormat="1"/>
    <row r="277" s="4" customFormat="1"/>
    <row r="278" s="4" customFormat="1"/>
    <row r="279" s="4" customFormat="1"/>
    <row r="280" s="4" customFormat="1"/>
    <row r="281" s="4" customFormat="1"/>
    <row r="282" s="4" customFormat="1"/>
    <row r="283" s="4" customFormat="1"/>
    <row r="284" s="4" customFormat="1"/>
    <row r="285" s="4" customFormat="1"/>
    <row r="286" s="4" customFormat="1"/>
    <row r="287" s="4" customFormat="1"/>
    <row r="288" s="4" customFormat="1"/>
    <row r="289" s="4" customFormat="1"/>
    <row r="290" s="4" customFormat="1"/>
    <row r="291" s="4" customFormat="1"/>
    <row r="292" s="4" customFormat="1"/>
    <row r="293" s="4" customFormat="1"/>
    <row r="294" s="4" customFormat="1"/>
    <row r="295" s="4" customFormat="1"/>
    <row r="296" s="4" customFormat="1"/>
    <row r="297" s="4" customFormat="1"/>
    <row r="298" s="4" customFormat="1"/>
    <row r="299" s="4" customFormat="1"/>
    <row r="300" s="4" customFormat="1"/>
    <row r="301" s="4" customFormat="1"/>
    <row r="302" s="4" customFormat="1"/>
    <row r="303" s="4" customFormat="1"/>
    <row r="304" s="4" customFormat="1"/>
    <row r="305" s="4" customFormat="1"/>
    <row r="306" s="4" customFormat="1"/>
    <row r="307" s="4" customFormat="1"/>
    <row r="308" s="4" customFormat="1"/>
    <row r="309" s="4" customFormat="1"/>
    <row r="310" s="4" customFormat="1"/>
    <row r="311" s="4" customFormat="1"/>
    <row r="312" s="4" customFormat="1"/>
    <row r="313" s="4" customFormat="1"/>
    <row r="314" s="4" customFormat="1"/>
    <row r="315" s="4" customFormat="1"/>
    <row r="316" s="4" customFormat="1"/>
    <row r="317" s="4" customFormat="1"/>
    <row r="318" s="4" customFormat="1"/>
    <row r="319" s="4" customFormat="1"/>
    <row r="320" s="4" customFormat="1"/>
    <row r="321" s="4" customFormat="1"/>
    <row r="322" s="4" customFormat="1"/>
    <row r="323" s="4" customFormat="1"/>
    <row r="324" s="4" customFormat="1"/>
    <row r="325" s="4" customFormat="1"/>
    <row r="326" s="4" customFormat="1"/>
    <row r="327" s="4" customFormat="1"/>
    <row r="328" s="4" customFormat="1"/>
    <row r="329" s="4" customFormat="1"/>
    <row r="330" s="4" customFormat="1"/>
    <row r="331" s="4" customFormat="1"/>
    <row r="332" s="4" customFormat="1"/>
    <row r="333" s="4" customFormat="1"/>
    <row r="334" s="4" customFormat="1"/>
    <row r="335" s="4" customFormat="1"/>
    <row r="336" s="4" customFormat="1"/>
    <row r="337" s="4" customFormat="1"/>
    <row r="338" s="4" customFormat="1"/>
    <row r="339" s="4" customFormat="1"/>
    <row r="340" s="4" customFormat="1"/>
    <row r="341" s="4" customFormat="1"/>
    <row r="342" s="4" customFormat="1"/>
    <row r="343" s="4" customFormat="1"/>
    <row r="344" s="4" customFormat="1"/>
    <row r="345" s="4" customFormat="1"/>
    <row r="346" s="4" customFormat="1"/>
    <row r="347" s="4" customFormat="1"/>
    <row r="348" s="4" customFormat="1"/>
    <row r="349" s="4" customFormat="1"/>
    <row r="350" s="4" customFormat="1"/>
    <row r="351" s="4" customFormat="1"/>
    <row r="352" s="4" customFormat="1"/>
    <row r="353" s="4" customFormat="1"/>
    <row r="354" s="4" customFormat="1"/>
    <row r="355" s="4" customFormat="1"/>
    <row r="356" s="4" customFormat="1"/>
    <row r="357" s="4" customFormat="1"/>
    <row r="358" s="4" customFormat="1"/>
    <row r="359" s="4" customFormat="1"/>
    <row r="360" s="4" customFormat="1"/>
    <row r="361" s="4" customFormat="1"/>
    <row r="362" s="4" customFormat="1"/>
    <row r="363" s="4" customFormat="1"/>
    <row r="364" s="4" customFormat="1"/>
    <row r="365" s="4" customFormat="1"/>
    <row r="366" s="4" customFormat="1"/>
    <row r="367" s="4" customFormat="1"/>
    <row r="368" s="4" customFormat="1"/>
    <row r="369" s="4" customFormat="1"/>
    <row r="370" s="4" customFormat="1"/>
    <row r="371" s="4" customFormat="1"/>
    <row r="372" s="4" customFormat="1"/>
    <row r="373" s="4" customFormat="1"/>
    <row r="374" s="4" customFormat="1"/>
    <row r="375" s="4" customFormat="1"/>
    <row r="376" s="4" customFormat="1"/>
    <row r="377" s="4" customFormat="1"/>
    <row r="378" s="4" customFormat="1"/>
    <row r="379" s="4" customFormat="1"/>
    <row r="380" s="4" customFormat="1"/>
    <row r="381" s="4" customFormat="1"/>
    <row r="382" s="4" customFormat="1"/>
    <row r="383" s="4" customFormat="1"/>
    <row r="384" s="4" customFormat="1"/>
    <row r="385" s="4" customFormat="1"/>
    <row r="386" s="4" customFormat="1"/>
    <row r="387" s="4" customFormat="1"/>
    <row r="388" s="4" customFormat="1"/>
    <row r="389" s="4" customFormat="1"/>
    <row r="390" s="4" customFormat="1"/>
    <row r="391" s="4" customFormat="1"/>
    <row r="392" s="4" customFormat="1"/>
    <row r="393" s="4" customFormat="1"/>
    <row r="394" s="4" customFormat="1"/>
    <row r="395" s="4" customFormat="1"/>
    <row r="396" s="4" customFormat="1"/>
    <row r="397" s="4" customFormat="1"/>
    <row r="398" s="4" customFormat="1"/>
    <row r="399" s="4" customFormat="1"/>
    <row r="400" s="4" customFormat="1"/>
    <row r="401" s="4" customFormat="1"/>
    <row r="402" s="4" customFormat="1"/>
    <row r="403" s="4" customFormat="1"/>
    <row r="404" s="4" customFormat="1"/>
    <row r="405" s="4" customFormat="1"/>
    <row r="406" s="4" customFormat="1"/>
    <row r="407" s="4" customFormat="1"/>
    <row r="408" s="4" customFormat="1"/>
    <row r="409" s="4" customFormat="1"/>
    <row r="410" s="4" customFormat="1"/>
    <row r="411" s="4" customFormat="1"/>
    <row r="412" s="4" customFormat="1"/>
    <row r="413" s="4" customFormat="1"/>
    <row r="414" s="4" customFormat="1"/>
    <row r="415" s="4" customFormat="1"/>
    <row r="416" s="4" customFormat="1"/>
    <row r="417" s="4" customFormat="1"/>
    <row r="418" s="4" customFormat="1"/>
    <row r="419" s="4" customFormat="1"/>
    <row r="420" s="4" customFormat="1"/>
    <row r="421" s="4" customFormat="1"/>
    <row r="422" s="4" customFormat="1"/>
    <row r="423" s="4" customFormat="1"/>
    <row r="424" s="4" customFormat="1"/>
    <row r="425" s="4" customFormat="1"/>
    <row r="426" s="4" customFormat="1"/>
    <row r="427" s="4" customFormat="1"/>
    <row r="428" s="4" customFormat="1"/>
    <row r="429" s="4" customFormat="1"/>
    <row r="430" s="4" customFormat="1"/>
    <row r="431" s="4" customFormat="1"/>
    <row r="432" s="4" customFormat="1"/>
    <row r="433" s="4" customFormat="1"/>
    <row r="434" s="4" customFormat="1"/>
    <row r="435" s="4" customFormat="1"/>
    <row r="436" s="4" customFormat="1"/>
    <row r="437" s="4" customFormat="1"/>
    <row r="438" s="4" customFormat="1"/>
    <row r="439" s="4" customFormat="1"/>
    <row r="440" s="4" customFormat="1"/>
    <row r="441" s="4" customFormat="1"/>
    <row r="442" s="4" customFormat="1"/>
    <row r="443" s="4" customFormat="1"/>
    <row r="444" s="4" customFormat="1"/>
    <row r="445" s="4" customFormat="1"/>
    <row r="446" s="4" customFormat="1"/>
    <row r="447" s="4" customFormat="1"/>
    <row r="448" s="4" customFormat="1"/>
    <row r="449" s="4" customFormat="1"/>
    <row r="450" s="4" customFormat="1"/>
    <row r="451" s="4" customFormat="1"/>
    <row r="452" s="4" customFormat="1"/>
    <row r="453" s="4" customFormat="1"/>
    <row r="454" s="4" customFormat="1"/>
    <row r="455" s="4" customFormat="1"/>
    <row r="456" s="4" customFormat="1"/>
    <row r="457" s="4" customFormat="1"/>
    <row r="458" s="4" customFormat="1"/>
    <row r="459" s="4" customFormat="1"/>
    <row r="460" s="4" customFormat="1"/>
    <row r="461" s="4" customFormat="1"/>
    <row r="462" s="4" customFormat="1"/>
    <row r="463" s="4" customFormat="1"/>
    <row r="464" s="4" customFormat="1"/>
    <row r="465" s="4" customFormat="1"/>
    <row r="466" s="4" customFormat="1"/>
    <row r="467" s="4" customFormat="1"/>
    <row r="468" s="4" customFormat="1"/>
    <row r="469" s="4" customFormat="1"/>
    <row r="470" s="4" customFormat="1"/>
    <row r="471" s="4" customFormat="1"/>
    <row r="472" s="4" customFormat="1"/>
    <row r="473" s="4" customFormat="1"/>
    <row r="474" s="4" customFormat="1"/>
    <row r="475" s="4" customFormat="1"/>
    <row r="476" s="4" customFormat="1"/>
    <row r="477" s="4" customFormat="1"/>
    <row r="478" s="4" customFormat="1"/>
    <row r="479" s="4" customFormat="1"/>
    <row r="480" s="4" customFormat="1"/>
    <row r="481" s="4" customFormat="1"/>
    <row r="482" s="4" customFormat="1"/>
    <row r="483" s="4" customFormat="1"/>
    <row r="484" s="4" customFormat="1"/>
    <row r="485" s="4" customFormat="1"/>
    <row r="486" s="4" customFormat="1"/>
    <row r="487" s="4" customFormat="1"/>
    <row r="488" s="4" customFormat="1"/>
    <row r="489" s="4" customFormat="1"/>
    <row r="490" s="4" customFormat="1"/>
    <row r="491" s="4" customFormat="1"/>
    <row r="492" s="4" customFormat="1"/>
    <row r="493" s="4" customFormat="1"/>
    <row r="494" s="4" customFormat="1"/>
    <row r="495" s="4" customFormat="1"/>
    <row r="496" s="4" customFormat="1"/>
    <row r="497" s="4" customFormat="1"/>
    <row r="498" s="4" customFormat="1"/>
    <row r="499" s="4" customFormat="1"/>
    <row r="500" s="4" customFormat="1"/>
    <row r="501" s="4" customFormat="1"/>
    <row r="502" s="4" customFormat="1"/>
    <row r="503" s="4" customFormat="1"/>
    <row r="504" s="4" customFormat="1"/>
    <row r="505" s="4" customFormat="1"/>
    <row r="506" s="4" customFormat="1"/>
    <row r="507" s="4" customFormat="1"/>
    <row r="508" s="4" customFormat="1"/>
    <row r="509" s="4" customFormat="1"/>
    <row r="510" s="4" customFormat="1"/>
    <row r="511" s="4" customFormat="1"/>
    <row r="512" s="4" customFormat="1"/>
    <row r="513" s="4" customFormat="1"/>
    <row r="514" s="4" customFormat="1"/>
    <row r="515" s="4" customFormat="1"/>
    <row r="516" s="4" customFormat="1"/>
    <row r="517" s="4" customFormat="1"/>
    <row r="518" s="4" customFormat="1"/>
    <row r="519" s="4" customFormat="1"/>
    <row r="520" s="4" customFormat="1"/>
    <row r="521" s="4" customFormat="1"/>
    <row r="522" s="4" customFormat="1"/>
    <row r="523" s="4" customFormat="1"/>
    <row r="524" s="4" customFormat="1"/>
    <row r="525" s="4" customFormat="1"/>
    <row r="526" s="4" customFormat="1"/>
    <row r="527" s="4" customFormat="1"/>
    <row r="528" s="4" customFormat="1"/>
    <row r="529" s="4" customFormat="1"/>
    <row r="530" s="4" customFormat="1"/>
    <row r="531" s="4" customFormat="1"/>
    <row r="532" s="4" customFormat="1"/>
    <row r="533" s="4" customFormat="1"/>
    <row r="534" s="4" customFormat="1"/>
    <row r="535" s="4" customFormat="1"/>
    <row r="536" s="4" customFormat="1"/>
    <row r="537" s="4" customFormat="1"/>
    <row r="538" s="4" customFormat="1"/>
    <row r="539" s="4" customFormat="1"/>
    <row r="540" s="4" customFormat="1"/>
    <row r="541" s="4" customFormat="1"/>
    <row r="542" s="4" customFormat="1"/>
    <row r="543" s="4" customFormat="1"/>
    <row r="544" s="4" customFormat="1"/>
    <row r="545" s="4" customFormat="1"/>
    <row r="546" s="4" customFormat="1"/>
    <row r="547" s="4" customFormat="1"/>
    <row r="548" s="4" customFormat="1"/>
    <row r="549" s="4" customFormat="1"/>
    <row r="550" s="4" customFormat="1"/>
    <row r="551" s="4" customFormat="1"/>
    <row r="552" s="4" customFormat="1"/>
    <row r="553" s="4" customFormat="1"/>
    <row r="554" s="4" customFormat="1"/>
    <row r="555" s="4" customFormat="1"/>
    <row r="556" s="4" customFormat="1"/>
    <row r="557" s="4" customFormat="1"/>
    <row r="558" s="4" customFormat="1"/>
    <row r="559" s="4" customFormat="1"/>
    <row r="560" s="4" customFormat="1"/>
    <row r="561" s="4" customFormat="1"/>
    <row r="562" s="4" customFormat="1"/>
    <row r="563" s="4" customFormat="1"/>
    <row r="564" s="4" customFormat="1"/>
    <row r="565" s="4" customFormat="1"/>
    <row r="566" s="4" customFormat="1"/>
    <row r="567" s="4" customFormat="1"/>
    <row r="568" s="4" customFormat="1"/>
    <row r="569" s="4" customFormat="1"/>
    <row r="570" s="4" customFormat="1"/>
    <row r="571" s="4" customFormat="1"/>
    <row r="572" s="4" customFormat="1"/>
    <row r="573" s="4" customFormat="1"/>
    <row r="574" s="4" customFormat="1"/>
    <row r="575" s="4" customFormat="1"/>
    <row r="576" s="4" customFormat="1"/>
    <row r="577" s="4" customFormat="1"/>
    <row r="578" s="4" customFormat="1"/>
    <row r="579" s="4" customFormat="1"/>
    <row r="580" s="4" customFormat="1"/>
    <row r="581" s="4" customFormat="1"/>
    <row r="582" s="4" customFormat="1"/>
    <row r="583" s="4" customFormat="1"/>
    <row r="584" s="4" customFormat="1"/>
    <row r="585" s="4" customFormat="1"/>
    <row r="586" s="4" customFormat="1"/>
    <row r="587" s="4" customFormat="1"/>
    <row r="588" s="4" customFormat="1"/>
    <row r="589" s="4" customFormat="1"/>
    <row r="590" s="4" customFormat="1"/>
    <row r="591" s="4" customFormat="1"/>
    <row r="592" s="4" customFormat="1"/>
    <row r="593" s="4" customFormat="1"/>
    <row r="594" s="4" customFormat="1"/>
    <row r="595" s="4" customFormat="1"/>
    <row r="596" s="4" customFormat="1"/>
    <row r="597" s="4" customFormat="1"/>
    <row r="598" s="4" customFormat="1"/>
    <row r="599" s="4" customFormat="1"/>
    <row r="600" s="4" customFormat="1"/>
    <row r="601" s="4" customFormat="1"/>
    <row r="602" s="4" customFormat="1"/>
    <row r="603" s="4" customFormat="1"/>
    <row r="604" s="4" customFormat="1"/>
    <row r="605" s="4" customFormat="1"/>
    <row r="606" s="4" customFormat="1"/>
    <row r="607" s="4" customFormat="1"/>
    <row r="608" s="4" customFormat="1"/>
    <row r="609" s="4" customFormat="1"/>
    <row r="610" s="4" customFormat="1"/>
    <row r="611" s="4" customFormat="1"/>
    <row r="612" s="4" customFormat="1"/>
    <row r="613" s="4" customFormat="1"/>
    <row r="614" s="4" customFormat="1"/>
    <row r="615" s="4" customFormat="1"/>
    <row r="616" s="4" customFormat="1"/>
    <row r="617" s="4" customFormat="1"/>
    <row r="618" s="4" customFormat="1"/>
    <row r="619" s="4" customFormat="1"/>
    <row r="620" s="4" customFormat="1"/>
    <row r="621" s="4" customFormat="1"/>
    <row r="622" s="4" customFormat="1"/>
    <row r="623" s="4" customFormat="1"/>
    <row r="624" s="4" customFormat="1"/>
    <row r="625" s="4" customFormat="1"/>
    <row r="626" s="4" customFormat="1"/>
    <row r="627" s="4" customFormat="1"/>
    <row r="628" s="4" customFormat="1"/>
    <row r="629" s="4" customFormat="1"/>
    <row r="630" s="4" customFormat="1"/>
    <row r="631" s="4" customFormat="1"/>
    <row r="632" s="4" customFormat="1"/>
    <row r="633" s="4" customFormat="1"/>
    <row r="634" s="4" customFormat="1"/>
    <row r="635" s="4" customFormat="1"/>
    <row r="636" s="4" customFormat="1"/>
    <row r="637" s="4" customFormat="1"/>
    <row r="638" s="4" customFormat="1"/>
    <row r="639" s="4" customFormat="1"/>
    <row r="640" s="4" customFormat="1"/>
    <row r="641" s="4" customFormat="1"/>
    <row r="642" s="4" customFormat="1"/>
    <row r="643" s="4" customFormat="1"/>
    <row r="644" s="4" customFormat="1"/>
    <row r="645" s="4" customFormat="1"/>
    <row r="646" s="4" customFormat="1"/>
    <row r="647" s="4" customFormat="1"/>
    <row r="648" s="4" customFormat="1"/>
    <row r="649" s="4" customFormat="1"/>
    <row r="650" s="4" customFormat="1"/>
    <row r="651" s="4" customFormat="1"/>
    <row r="652" s="4" customFormat="1"/>
    <row r="653" s="4" customFormat="1"/>
    <row r="654" s="4" customFormat="1"/>
    <row r="655" s="4" customFormat="1"/>
    <row r="656" s="4" customFormat="1"/>
    <row r="657" s="4" customFormat="1"/>
    <row r="658" s="4" customFormat="1"/>
    <row r="659" s="4" customFormat="1"/>
    <row r="660" s="4" customFormat="1"/>
    <row r="661" s="4" customFormat="1"/>
    <row r="662" s="4" customFormat="1"/>
    <row r="663" s="4" customFormat="1"/>
    <row r="664" s="4" customFormat="1"/>
    <row r="665" s="4" customFormat="1"/>
    <row r="666" s="4" customFormat="1"/>
    <row r="667" s="4" customFormat="1"/>
    <row r="668" s="4" customFormat="1"/>
    <row r="669" s="4" customFormat="1"/>
    <row r="670" s="4" customFormat="1"/>
    <row r="671" s="4" customFormat="1"/>
    <row r="672" s="4" customFormat="1"/>
    <row r="673" s="4" customFormat="1"/>
    <row r="674" s="4" customFormat="1"/>
    <row r="675" s="4" customFormat="1"/>
    <row r="676" s="4" customFormat="1"/>
    <row r="677" s="4" customFormat="1"/>
    <row r="678" s="4" customFormat="1"/>
    <row r="679" s="4" customFormat="1"/>
    <row r="680" s="4" customFormat="1"/>
    <row r="681" s="4" customFormat="1"/>
    <row r="682" s="4" customFormat="1"/>
    <row r="683" s="4" customFormat="1"/>
    <row r="684" s="4" customFormat="1"/>
    <row r="685" s="4" customFormat="1"/>
    <row r="686" s="4" customFormat="1"/>
    <row r="687" s="4" customFormat="1"/>
    <row r="688" s="4" customFormat="1"/>
    <row r="689" s="4" customFormat="1"/>
    <row r="690" s="4" customFormat="1"/>
    <row r="691" s="4" customFormat="1"/>
    <row r="692" s="4" customFormat="1"/>
    <row r="693" s="4" customFormat="1"/>
    <row r="694" s="4" customFormat="1"/>
    <row r="695" s="4" customFormat="1"/>
    <row r="696" s="4" customFormat="1"/>
    <row r="697" s="4" customFormat="1"/>
    <row r="698" s="4" customFormat="1"/>
    <row r="699" s="4" customFormat="1"/>
    <row r="700" s="4" customFormat="1"/>
    <row r="701" s="4" customFormat="1"/>
    <row r="702" s="4" customFormat="1"/>
    <row r="703" s="4" customFormat="1"/>
    <row r="704" s="4" customFormat="1"/>
    <row r="705" s="4" customFormat="1"/>
    <row r="706" s="4" customFormat="1"/>
    <row r="707" s="4" customFormat="1"/>
    <row r="708" s="4" customFormat="1"/>
    <row r="709" s="4" customFormat="1"/>
    <row r="710" s="4" customFormat="1"/>
    <row r="711" s="4" customFormat="1"/>
    <row r="712" s="4" customFormat="1"/>
    <row r="713" s="4" customFormat="1"/>
    <row r="714" s="4" customFormat="1"/>
    <row r="715" s="4" customFormat="1"/>
    <row r="716" s="4" customFormat="1"/>
    <row r="717" s="4" customFormat="1"/>
    <row r="718" s="4" customFormat="1"/>
    <row r="719" s="4" customFormat="1"/>
    <row r="720" s="4" customFormat="1"/>
    <row r="721" s="4" customFormat="1"/>
    <row r="722" s="4" customFormat="1"/>
    <row r="723" s="4" customFormat="1"/>
    <row r="724" s="4" customFormat="1"/>
    <row r="725" s="4" customFormat="1"/>
    <row r="726" s="4" customFormat="1"/>
    <row r="727" s="4" customFormat="1"/>
    <row r="728" s="4" customFormat="1"/>
    <row r="729" s="4" customFormat="1"/>
    <row r="730" s="4" customFormat="1"/>
    <row r="731" s="4" customFormat="1"/>
    <row r="732" s="4" customFormat="1"/>
    <row r="733" s="4" customFormat="1"/>
    <row r="734" s="4" customFormat="1"/>
    <row r="735" s="4" customFormat="1"/>
    <row r="736" s="4" customFormat="1"/>
    <row r="737" s="4" customFormat="1"/>
    <row r="738" s="4" customFormat="1"/>
    <row r="739" s="4" customFormat="1"/>
    <row r="740" s="4" customFormat="1"/>
    <row r="741" s="4" customFormat="1"/>
    <row r="742" s="4" customFormat="1"/>
    <row r="743" s="4" customFormat="1"/>
    <row r="744" s="4" customFormat="1"/>
    <row r="745" s="4" customFormat="1"/>
    <row r="746" s="4" customFormat="1"/>
    <row r="747" s="4" customFormat="1"/>
    <row r="748" s="4" customFormat="1"/>
    <row r="749" s="4" customFormat="1"/>
    <row r="750" s="4" customFormat="1"/>
    <row r="751" s="4" customFormat="1"/>
    <row r="752" s="4" customFormat="1"/>
    <row r="753" s="4" customFormat="1"/>
    <row r="754" s="4" customFormat="1"/>
    <row r="755" s="4" customFormat="1"/>
    <row r="756" s="4" customFormat="1"/>
    <row r="757" s="4" customFormat="1"/>
    <row r="758" s="4" customFormat="1"/>
    <row r="759" s="4" customFormat="1"/>
    <row r="760" s="4" customFormat="1"/>
    <row r="761" s="4" customFormat="1"/>
    <row r="762" s="4" customFormat="1"/>
    <row r="763" s="4" customFormat="1"/>
    <row r="764" s="4" customFormat="1"/>
    <row r="765" s="4" customFormat="1"/>
    <row r="766" s="4" customFormat="1"/>
    <row r="767" s="4" customFormat="1"/>
    <row r="768" s="4" customFormat="1"/>
    <row r="769" s="4" customFormat="1"/>
    <row r="770" s="4" customFormat="1"/>
    <row r="771" s="4" customFormat="1"/>
    <row r="772" s="4" customFormat="1"/>
    <row r="773" s="4" customFormat="1"/>
    <row r="774" s="4" customFormat="1"/>
    <row r="775" s="4" customFormat="1"/>
    <row r="776" s="4" customFormat="1"/>
    <row r="777" s="4" customFormat="1"/>
    <row r="778" s="4" customFormat="1"/>
    <row r="779" s="4" customFormat="1"/>
    <row r="780" s="4" customFormat="1"/>
    <row r="781" s="4" customFormat="1"/>
    <row r="782" s="4" customFormat="1"/>
    <row r="783" s="4" customFormat="1"/>
    <row r="784" s="4" customFormat="1"/>
    <row r="785" s="4" customFormat="1"/>
    <row r="786" s="4" customFormat="1"/>
    <row r="787" s="4" customFormat="1"/>
    <row r="788" s="4" customFormat="1"/>
    <row r="789" s="4" customFormat="1"/>
    <row r="790" s="4" customFormat="1"/>
    <row r="791" s="4" customFormat="1"/>
    <row r="792" s="4" customFormat="1"/>
    <row r="793" s="4" customFormat="1"/>
    <row r="794" s="4" customFormat="1"/>
    <row r="795" s="4" customFormat="1"/>
    <row r="796" s="4" customFormat="1"/>
    <row r="797" s="4" customFormat="1"/>
    <row r="798" s="4" customFormat="1"/>
    <row r="799" s="4" customFormat="1"/>
    <row r="800" s="4" customFormat="1"/>
    <row r="801" s="4" customFormat="1"/>
    <row r="802" s="4" customFormat="1"/>
    <row r="803" s="4" customFormat="1"/>
    <row r="804" s="4" customFormat="1"/>
    <row r="805" s="4" customFormat="1"/>
    <row r="806" s="4" customFormat="1"/>
    <row r="807" s="4" customFormat="1"/>
    <row r="808" s="4" customFormat="1"/>
    <row r="809" s="4" customFormat="1"/>
    <row r="810" s="4" customFormat="1"/>
    <row r="811" s="4" customFormat="1"/>
    <row r="812" s="4" customFormat="1"/>
    <row r="813" s="4" customFormat="1"/>
    <row r="814" s="4" customFormat="1"/>
    <row r="815" s="4" customFormat="1"/>
    <row r="816" s="4" customFormat="1"/>
    <row r="817" s="4" customFormat="1"/>
    <row r="818" s="4" customFormat="1"/>
    <row r="819" s="4" customFormat="1"/>
    <row r="820" s="4" customFormat="1"/>
    <row r="821" s="4" customFormat="1"/>
    <row r="822" s="4" customFormat="1"/>
    <row r="823" s="4" customFormat="1"/>
    <row r="824" s="4" customFormat="1"/>
    <row r="825" s="4" customFormat="1"/>
    <row r="826" s="4" customFormat="1"/>
    <row r="827" s="4" customFormat="1"/>
    <row r="828" s="4" customFormat="1"/>
    <row r="829" s="4" customFormat="1"/>
    <row r="830" s="4" customFormat="1"/>
    <row r="831" s="4" customFormat="1"/>
    <row r="832" s="4" customFormat="1"/>
    <row r="833" s="4" customFormat="1"/>
    <row r="834" s="4" customFormat="1"/>
    <row r="835" s="4" customFormat="1"/>
    <row r="836" s="4" customFormat="1"/>
    <row r="837" s="4" customFormat="1"/>
    <row r="838" s="4" customFormat="1"/>
    <row r="839" s="4" customFormat="1"/>
    <row r="840" s="4" customFormat="1"/>
    <row r="841" s="4" customFormat="1"/>
    <row r="842" s="4" customFormat="1"/>
    <row r="843" s="4" customFormat="1"/>
    <row r="844" s="4" customFormat="1"/>
    <row r="845" s="4" customFormat="1"/>
    <row r="846" s="4" customFormat="1"/>
    <row r="847" s="4" customFormat="1"/>
    <row r="848" s="4" customFormat="1"/>
    <row r="849" s="4" customFormat="1"/>
    <row r="850" s="4" customFormat="1"/>
    <row r="851" s="4" customFormat="1"/>
    <row r="852" s="4" customFormat="1"/>
    <row r="853" s="4" customFormat="1"/>
    <row r="854" s="4" customFormat="1"/>
    <row r="855" s="4" customFormat="1"/>
    <row r="856" s="4" customFormat="1"/>
    <row r="857" s="4" customFormat="1"/>
    <row r="858" s="4" customFormat="1"/>
    <row r="859" s="4" customFormat="1"/>
    <row r="860" s="4" customFormat="1"/>
    <row r="861" s="4" customFormat="1"/>
    <row r="862" s="4" customFormat="1"/>
    <row r="863" s="4" customFormat="1"/>
    <row r="864" s="4" customFormat="1"/>
    <row r="865" s="4" customFormat="1"/>
    <row r="866" s="4" customFormat="1"/>
    <row r="867" s="4" customFormat="1"/>
    <row r="868" s="4" customFormat="1"/>
    <row r="869" s="4" customFormat="1"/>
    <row r="870" s="4" customFormat="1"/>
    <row r="871" s="4" customFormat="1"/>
    <row r="872" s="4" customFormat="1"/>
    <row r="873" s="4" customFormat="1"/>
    <row r="874" s="4" customFormat="1"/>
    <row r="875" s="4" customFormat="1"/>
    <row r="876" s="4" customFormat="1"/>
    <row r="877" s="4" customFormat="1"/>
    <row r="878" s="4" customFormat="1"/>
    <row r="879" s="4" customFormat="1"/>
    <row r="880" s="4" customFormat="1"/>
    <row r="881" s="4" customFormat="1"/>
    <row r="882" s="4" customFormat="1"/>
    <row r="883" s="4" customFormat="1"/>
    <row r="884" s="4" customFormat="1"/>
    <row r="885" s="4" customFormat="1"/>
    <row r="886" s="4" customFormat="1"/>
    <row r="887" s="4" customFormat="1"/>
    <row r="888" s="4" customFormat="1"/>
    <row r="889" s="4" customFormat="1"/>
    <row r="890" s="4" customFormat="1"/>
    <row r="891" s="4" customFormat="1"/>
    <row r="892" s="4" customFormat="1"/>
    <row r="893" s="4" customFormat="1"/>
    <row r="894" s="4" customFormat="1"/>
    <row r="895" s="4" customFormat="1"/>
    <row r="896" s="4" customFormat="1"/>
    <row r="897" spans="7:12" s="4" customFormat="1"/>
    <row r="898" spans="7:12" s="4" customFormat="1"/>
    <row r="899" spans="7:12" s="4" customFormat="1"/>
    <row r="900" spans="7:12" s="4" customFormat="1"/>
    <row r="901" spans="7:12" s="4" customFormat="1"/>
    <row r="902" spans="7:12" s="4" customFormat="1"/>
    <row r="903" spans="7:12" s="4" customFormat="1"/>
    <row r="904" spans="7:12" s="4" customFormat="1"/>
    <row r="905" spans="7:12" s="4" customFormat="1"/>
    <row r="906" spans="7:12" s="4" customFormat="1"/>
    <row r="907" spans="7:12" s="4" customFormat="1"/>
    <row r="908" spans="7:12" s="4" customFormat="1">
      <c r="G908"/>
    </row>
    <row r="909" spans="7:12" s="4" customFormat="1">
      <c r="G909"/>
    </row>
    <row r="910" spans="7:12" s="4" customFormat="1">
      <c r="G910"/>
      <c r="H910"/>
      <c r="I910"/>
      <c r="J910"/>
      <c r="K910"/>
      <c r="L910"/>
    </row>
    <row r="911" spans="7:12" s="4" customFormat="1">
      <c r="G911"/>
      <c r="H911"/>
      <c r="I911"/>
      <c r="J911"/>
      <c r="K911"/>
      <c r="L911"/>
    </row>
    <row r="912" spans="7:12" s="4" customFormat="1">
      <c r="G912"/>
      <c r="H912"/>
      <c r="I912"/>
      <c r="J912"/>
      <c r="K912"/>
      <c r="L912"/>
    </row>
    <row r="913" spans="1:16" s="4" customFormat="1">
      <c r="G913"/>
      <c r="H913"/>
      <c r="I913"/>
      <c r="J913"/>
      <c r="K913"/>
      <c r="L913"/>
      <c r="M913"/>
      <c r="N913"/>
      <c r="O913"/>
      <c r="P913"/>
    </row>
    <row r="914" spans="1:16" s="4" customFormat="1">
      <c r="G914"/>
      <c r="H914"/>
      <c r="I914"/>
      <c r="J914"/>
      <c r="K914"/>
      <c r="L914"/>
      <c r="M914"/>
      <c r="N914"/>
      <c r="O914"/>
      <c r="P914"/>
    </row>
    <row r="915" spans="1:16" s="4" customFormat="1">
      <c r="G915"/>
      <c r="H915"/>
      <c r="I915"/>
      <c r="J915"/>
      <c r="K915"/>
      <c r="L915"/>
      <c r="M915"/>
      <c r="N915"/>
      <c r="O915"/>
      <c r="P915"/>
    </row>
    <row r="916" spans="1:16" s="4" customFormat="1">
      <c r="G916"/>
      <c r="H916"/>
      <c r="I916"/>
      <c r="J916"/>
      <c r="K916"/>
      <c r="L916"/>
      <c r="M916"/>
      <c r="N916"/>
      <c r="O916"/>
      <c r="P916"/>
    </row>
    <row r="917" spans="1:16" s="4" customFormat="1">
      <c r="G917"/>
      <c r="H917"/>
      <c r="I917"/>
      <c r="J917"/>
      <c r="K917"/>
      <c r="L917"/>
      <c r="M917"/>
      <c r="N917"/>
      <c r="O917"/>
      <c r="P917"/>
    </row>
    <row r="918" spans="1:16" s="4" customFormat="1">
      <c r="G918"/>
      <c r="H918"/>
      <c r="I918"/>
      <c r="J918"/>
      <c r="K918"/>
      <c r="L918"/>
      <c r="M918"/>
      <c r="N918"/>
      <c r="O918"/>
      <c r="P918"/>
    </row>
    <row r="919" spans="1:16" s="4" customFormat="1">
      <c r="G919"/>
      <c r="H919"/>
      <c r="I919"/>
      <c r="J919"/>
      <c r="K919"/>
      <c r="L919"/>
      <c r="M919"/>
      <c r="N919"/>
      <c r="O919"/>
      <c r="P919"/>
    </row>
    <row r="920" spans="1:16" s="4" customFormat="1">
      <c r="G920"/>
      <c r="H920"/>
      <c r="I920"/>
      <c r="J920"/>
      <c r="K920"/>
      <c r="L920"/>
      <c r="M920"/>
      <c r="N920"/>
      <c r="O920"/>
      <c r="P920"/>
    </row>
    <row r="921" spans="1:16" s="4" customFormat="1">
      <c r="B921" s="4" t="s">
        <v>1126</v>
      </c>
      <c r="C921" s="4" t="s">
        <v>1126</v>
      </c>
      <c r="G921"/>
      <c r="H921"/>
      <c r="I921"/>
      <c r="J921"/>
      <c r="K921"/>
      <c r="L921"/>
      <c r="M921"/>
      <c r="N921"/>
      <c r="O921"/>
      <c r="P921"/>
    </row>
    <row r="922" spans="1:16" s="4" customFormat="1">
      <c r="G922"/>
      <c r="H922"/>
      <c r="I922"/>
      <c r="J922"/>
      <c r="K922"/>
      <c r="L922"/>
      <c r="M922"/>
      <c r="N922"/>
      <c r="O922"/>
      <c r="P922"/>
    </row>
    <row r="923" spans="1:16" s="4" customFormat="1">
      <c r="G923"/>
      <c r="H923"/>
      <c r="I923"/>
      <c r="J923"/>
      <c r="K923"/>
      <c r="L923"/>
      <c r="M923"/>
      <c r="N923"/>
      <c r="O923"/>
      <c r="P923"/>
    </row>
    <row r="924" spans="1:16" s="4" customFormat="1">
      <c r="G924"/>
      <c r="H924"/>
      <c r="I924"/>
      <c r="J924"/>
      <c r="K924"/>
      <c r="L924"/>
      <c r="M924"/>
      <c r="N924"/>
      <c r="O924"/>
      <c r="P924"/>
    </row>
    <row r="925" spans="1:16" s="4" customFormat="1">
      <c r="G925"/>
      <c r="H925"/>
      <c r="I925"/>
      <c r="J925"/>
      <c r="K925"/>
      <c r="L925"/>
      <c r="M925"/>
      <c r="N925"/>
      <c r="O925"/>
      <c r="P925"/>
    </row>
    <row r="926" spans="1:16" s="4" customFormat="1">
      <c r="G926"/>
      <c r="H926"/>
      <c r="I926"/>
      <c r="J926"/>
      <c r="K926"/>
      <c r="L926"/>
      <c r="M926"/>
      <c r="N926"/>
      <c r="O926"/>
      <c r="P926"/>
    </row>
    <row r="927" spans="1:16" s="4" customFormat="1">
      <c r="A927"/>
      <c r="B927"/>
      <c r="C927"/>
      <c r="D927"/>
      <c r="E927"/>
      <c r="F927"/>
      <c r="G927"/>
      <c r="H927"/>
      <c r="I927"/>
      <c r="J927"/>
      <c r="K927"/>
      <c r="L927"/>
      <c r="M927"/>
      <c r="N927"/>
      <c r="O927"/>
      <c r="P927"/>
    </row>
    <row r="928" spans="1:16" s="4" customFormat="1">
      <c r="A928"/>
      <c r="B928"/>
      <c r="C928"/>
      <c r="D928"/>
      <c r="E928"/>
      <c r="F928"/>
      <c r="G928"/>
      <c r="H928"/>
      <c r="I928"/>
      <c r="J928"/>
      <c r="K928"/>
      <c r="L928"/>
      <c r="M928"/>
      <c r="N928"/>
      <c r="O928"/>
      <c r="P928"/>
    </row>
    <row r="929" spans="1:17" s="4" customFormat="1">
      <c r="A929"/>
      <c r="B929"/>
      <c r="C929"/>
      <c r="D929"/>
      <c r="E929"/>
      <c r="F929"/>
      <c r="G929"/>
      <c r="H929"/>
      <c r="I929"/>
      <c r="J929"/>
      <c r="K929"/>
      <c r="L929"/>
      <c r="M929"/>
      <c r="N929"/>
      <c r="O929"/>
      <c r="P929"/>
    </row>
    <row r="930" spans="1:17" s="4" customFormat="1">
      <c r="A930"/>
      <c r="B930"/>
      <c r="C930"/>
      <c r="D930"/>
      <c r="E930"/>
      <c r="F930"/>
      <c r="G930"/>
      <c r="H930"/>
      <c r="I930"/>
      <c r="J930"/>
      <c r="K930"/>
      <c r="L930"/>
      <c r="M930"/>
      <c r="N930"/>
      <c r="O930"/>
      <c r="P930"/>
    </row>
    <row r="931" spans="1:17" s="4" customFormat="1">
      <c r="A931"/>
      <c r="B931"/>
      <c r="C931"/>
      <c r="D931"/>
      <c r="E931"/>
      <c r="F931"/>
      <c r="G931"/>
      <c r="H931"/>
      <c r="I931"/>
      <c r="J931"/>
      <c r="K931"/>
      <c r="L931"/>
      <c r="M931"/>
      <c r="N931"/>
      <c r="O931"/>
      <c r="P931"/>
    </row>
    <row r="932" spans="1:17" s="4" customFormat="1">
      <c r="A932"/>
      <c r="B932"/>
      <c r="C932"/>
      <c r="D932"/>
      <c r="E932"/>
      <c r="F932"/>
      <c r="G932"/>
      <c r="H932"/>
      <c r="I932"/>
      <c r="J932"/>
      <c r="K932"/>
      <c r="L932"/>
      <c r="M932"/>
      <c r="N932"/>
      <c r="O932"/>
      <c r="P932"/>
      <c r="Q932"/>
    </row>
    <row r="933" spans="1:17" s="4" customFormat="1">
      <c r="A933"/>
      <c r="B933"/>
      <c r="C933"/>
      <c r="D933"/>
      <c r="E933"/>
      <c r="F933"/>
      <c r="G933"/>
      <c r="H933"/>
      <c r="I933"/>
      <c r="J933"/>
      <c r="K933"/>
      <c r="L933"/>
      <c r="M933"/>
      <c r="N933"/>
      <c r="O933"/>
      <c r="P933"/>
      <c r="Q933"/>
    </row>
    <row r="934" spans="1:17" s="4" customFormat="1">
      <c r="A934"/>
      <c r="B934"/>
      <c r="C934"/>
      <c r="D934"/>
      <c r="E934"/>
      <c r="F934"/>
      <c r="G934"/>
      <c r="H934"/>
      <c r="I934"/>
      <c r="J934"/>
      <c r="K934"/>
      <c r="L934"/>
      <c r="M934"/>
      <c r="N934"/>
      <c r="O934"/>
      <c r="P934"/>
      <c r="Q934"/>
    </row>
    <row r="935" spans="1:17" s="4" customFormat="1">
      <c r="A935"/>
      <c r="B935"/>
      <c r="C935"/>
      <c r="D935"/>
      <c r="E935"/>
      <c r="F935"/>
      <c r="G935"/>
      <c r="H935"/>
      <c r="I935"/>
      <c r="J935"/>
      <c r="K935"/>
      <c r="L935"/>
      <c r="M935"/>
      <c r="N935"/>
      <c r="O935"/>
      <c r="P935"/>
      <c r="Q935"/>
    </row>
    <row r="936" spans="1:17" s="4" customFormat="1">
      <c r="A936"/>
      <c r="B936"/>
      <c r="C936"/>
      <c r="D936"/>
      <c r="E936"/>
      <c r="F936"/>
      <c r="G936"/>
      <c r="H936"/>
      <c r="I936"/>
      <c r="J936"/>
      <c r="K936"/>
      <c r="L936"/>
      <c r="M936"/>
      <c r="N936"/>
      <c r="O936"/>
      <c r="P936"/>
      <c r="Q936"/>
    </row>
    <row r="937" spans="1:17" s="4" customFormat="1">
      <c r="A937"/>
      <c r="B937"/>
      <c r="C937"/>
      <c r="D937"/>
      <c r="E937"/>
      <c r="F937"/>
      <c r="G937"/>
      <c r="H937"/>
      <c r="I937"/>
      <c r="J937"/>
      <c r="K937"/>
      <c r="L937"/>
      <c r="M937"/>
      <c r="N937"/>
      <c r="O937"/>
      <c r="P937"/>
      <c r="Q937"/>
    </row>
    <row r="938" spans="1:17" s="4" customFormat="1">
      <c r="A938"/>
      <c r="B938"/>
      <c r="C938"/>
      <c r="D938"/>
      <c r="E938"/>
      <c r="F938"/>
      <c r="G938"/>
      <c r="H938"/>
      <c r="I938"/>
      <c r="J938"/>
      <c r="K938"/>
      <c r="L938"/>
      <c r="M938"/>
      <c r="N938"/>
      <c r="O938"/>
      <c r="P938"/>
      <c r="Q938"/>
    </row>
    <row r="939" spans="1:17" s="4" customFormat="1">
      <c r="A939"/>
      <c r="B939"/>
      <c r="C939"/>
      <c r="D939"/>
      <c r="E939"/>
      <c r="F939"/>
      <c r="G939"/>
      <c r="H939"/>
      <c r="I939"/>
      <c r="J939"/>
      <c r="K939"/>
      <c r="L939"/>
      <c r="M939"/>
      <c r="N939"/>
      <c r="O939"/>
      <c r="P939"/>
      <c r="Q939"/>
    </row>
    <row r="940" spans="1:17" s="4" customFormat="1">
      <c r="A940"/>
      <c r="B940"/>
      <c r="C940"/>
      <c r="D940"/>
      <c r="E940"/>
      <c r="F940"/>
      <c r="G940"/>
      <c r="H940"/>
      <c r="I940"/>
      <c r="J940"/>
      <c r="K940"/>
      <c r="L940"/>
      <c r="M940"/>
      <c r="N940"/>
      <c r="O940"/>
      <c r="P940"/>
      <c r="Q940"/>
    </row>
    <row r="941" spans="1:17" s="4" customFormat="1">
      <c r="A941"/>
      <c r="B941"/>
      <c r="C941"/>
      <c r="D941"/>
      <c r="E941"/>
      <c r="F941"/>
      <c r="G941"/>
      <c r="H941"/>
      <c r="I941"/>
      <c r="J941"/>
      <c r="K941"/>
      <c r="L941"/>
      <c r="M941"/>
      <c r="N941"/>
      <c r="O941"/>
      <c r="P941"/>
      <c r="Q941"/>
    </row>
    <row r="942" spans="1:17" s="4" customFormat="1">
      <c r="A942"/>
      <c r="B942"/>
      <c r="C942"/>
      <c r="D942"/>
      <c r="E942"/>
      <c r="F942"/>
      <c r="G942"/>
      <c r="H942"/>
      <c r="I942"/>
      <c r="J942"/>
      <c r="K942"/>
      <c r="L942"/>
      <c r="M942"/>
      <c r="N942"/>
      <c r="O942"/>
      <c r="P942"/>
      <c r="Q942"/>
    </row>
    <row r="943" spans="1:17" s="4" customFormat="1">
      <c r="A943"/>
      <c r="B943"/>
      <c r="C943"/>
      <c r="D943"/>
      <c r="E943"/>
      <c r="F943"/>
      <c r="G943"/>
      <c r="H943"/>
      <c r="I943"/>
      <c r="J943"/>
      <c r="K943"/>
      <c r="L943"/>
      <c r="M943"/>
      <c r="N943"/>
      <c r="O943"/>
      <c r="P943"/>
      <c r="Q943"/>
    </row>
    <row r="944" spans="1:17" s="4" customFormat="1">
      <c r="A944"/>
      <c r="B944"/>
      <c r="C944"/>
      <c r="D944"/>
      <c r="E944"/>
      <c r="F944"/>
      <c r="G944"/>
      <c r="H944"/>
      <c r="I944"/>
      <c r="J944"/>
      <c r="K944"/>
      <c r="L944"/>
      <c r="M944"/>
      <c r="N944"/>
      <c r="O944"/>
      <c r="P944"/>
      <c r="Q944"/>
    </row>
  </sheetData>
  <phoneticPr fontId="2"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92A40697-BB31-4D78-BBBD-C2AECE515AFA}">
  <ds:schemaRefs>
    <ds:schemaRef ds:uri="thomsonreuters.linking.metadatachange"/>
  </ds:schemaRefs>
</ds:datastoreItem>
</file>

<file path=customXml/itemProps2.xml><?xml version="1.0" encoding="utf-8"?>
<ds:datastoreItem xmlns:ds="http://schemas.openxmlformats.org/officeDocument/2006/customXml" ds:itemID="{6A9C20B1-25D8-4F1E-9FE3-BBBB8FD8CE3F}">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112</vt:i4>
      </vt:variant>
    </vt:vector>
  </HeadingPairs>
  <TitlesOfParts>
    <vt:vector size="114" baseType="lpstr">
      <vt:lpstr>ImportantDisclosures</vt:lpstr>
      <vt:lpstr>CircularReferenceAlert</vt:lpstr>
      <vt:lpstr>Financial!_bdm.48BD514DC04A4AB4891E926213491EC9.edm</vt:lpstr>
      <vt:lpstr>Financial!_bdm.530488839E8A407C8F1C1B550BFC2836.edm</vt:lpstr>
      <vt:lpstr>Financial!_bdm.7264DC3258CD40029D96B7569D540AD9.edm</vt:lpstr>
      <vt:lpstr>Financial!_bdm.E967D92EDBF846E2B7B774FBF88F28E1.edm</vt:lpstr>
      <vt:lpstr>AdditionalInstructions</vt:lpstr>
      <vt:lpstr>ImportantDisclosures!Address</vt:lpstr>
      <vt:lpstr>ModPubIndex!ANA</vt:lpstr>
      <vt:lpstr>ImportantDisclosures!Authors</vt:lpstr>
      <vt:lpstr>IndexInformation!Authors</vt:lpstr>
      <vt:lpstr>basept</vt:lpstr>
      <vt:lpstr>bearpt</vt:lpstr>
      <vt:lpstr>ModPubIndex!BRO</vt:lpstr>
      <vt:lpstr>bullpt</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EPS</vt:lpstr>
      <vt:lpstr>IndexInformation!FiveYearGrowthRate</vt:lpstr>
      <vt:lpstr>IndexInformation!FollowingYearEPS</vt:lpstr>
      <vt:lpstr>IndexInformation!FollowingYearTotalRevenue</vt:lpstr>
      <vt:lpstr>IndexInformation!FollowingYearTotalRevenueActual</vt:lpstr>
      <vt:lpstr>GenCo</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vt:lpstr>
      <vt:lpstr>Financial!Linking_Range_1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Linking_Range_20</vt:lpstr>
      <vt:lpstr>Linking_Range_21</vt:lpstr>
      <vt:lpstr>Linking_Range_7</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IndexInformation!ObjectType</vt:lpstr>
      <vt:lpstr>ModPubIndex!PANA</vt:lpstr>
      <vt:lpstr>IndexInformation!PathName</vt:lpstr>
      <vt:lpstr>Premium</vt:lpstr>
      <vt:lpstr>Debt!Print_Area</vt:lpstr>
      <vt:lpstr>EXC!Print_Area</vt:lpstr>
      <vt:lpstr>ExGen!Print_Area</vt:lpstr>
      <vt:lpstr>Financial!Print_Area</vt:lpstr>
      <vt:lpstr>Parent!Print_Area</vt:lpstr>
      <vt:lpstr>Valuation!Print_Area</vt:lpstr>
      <vt:lpstr>ModPubIndex!PRODUCT</vt:lpstr>
      <vt:lpstr>ModPubIndex!PSYM</vt:lpstr>
      <vt:lpstr>IndexInformation!PublishDate</vt:lpstr>
      <vt:lpstr>IndexInformation!Rating</vt:lpstr>
      <vt:lpstr>ImportantDisclosures!RatingsDefined</vt:lpstr>
      <vt:lpstr>Financial!RegPct</vt:lpstr>
      <vt:lpstr>IndexInformation!ResearchTopic</vt:lpstr>
      <vt:lpstr>IndexInformation!RIC</vt:lpstr>
      <vt:lpstr>IndexInformation!SEDOL</vt:lpstr>
      <vt:lpstr>Financial!SO</vt:lpstr>
      <vt:lpstr>ImportantDisclosures!SourceDefined</vt:lpstr>
      <vt:lpstr>ImportantDisclosures!StockRating</vt:lpstr>
      <vt:lpstr>IndexInformation!SubjectCode</vt:lpstr>
      <vt:lpstr>IndexInformation!SubmitterUserId</vt:lpstr>
      <vt:lpstr>Financial!Subs</vt:lpstr>
      <vt:lpstr>ModPubIndex!SUPPRESSED</vt:lpstr>
      <vt:lpstr>ImportantDisclosures!TargetPrice</vt:lpstr>
      <vt:lpstr>IndexInformation!TemplateRegion</vt:lpstr>
      <vt:lpstr>ImportantDisclosures!Ticker</vt:lpstr>
      <vt:lpstr>Valuation!ticker</vt:lpstr>
      <vt:lpstr>IndexInformation!TickerRegion</vt:lpstr>
      <vt:lpstr>IndexInformation!Tickers</vt:lpstr>
      <vt:lpstr>IndexInformation!UpdateReason</vt:lpstr>
      <vt:lpstr>'Market Prices'!Uplift</vt:lpstr>
      <vt:lpstr>UtilityEPS</vt:lpstr>
      <vt:lpstr>UtilityPE</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2009-06-05T15:21:31Z</dcterms:created>
  <dc:creator>Devin McDermott ...</dc:creator>
  <cp:lastModifiedBy>Badhautiya, Son Prakash (Research)</cp:lastModifiedBy>
  <cp:lastPrinted>2016-07-21T15:28:12Z</cp:lastPrinted>
  <dcterms:modified xsi:type="dcterms:W3CDTF">2018-04-13T14:46:32Z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21</vt:lpwstr>
  </property>
  <property fmtid="{D5CDD505-2E9C-101B-9397-08002B2CF9AE}" name="{A44787D4-0540-4523-9961-78E4036D8C6D}" pid="3">
    <vt:lpwstr>{42098C56-4DA0-49F1-8437-8F6E9EB92CBA}</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761535</vt:lpwstr>
  </property>
  <property fmtid="{D5CDD505-2E9C-101B-9397-08002B2CF9AE}" name="ERModPubCompanyName" pid="7">
    <vt:lpwstr>Exelon Corp</vt:lpwstr>
  </property>
  <property fmtid="{D5CDD505-2E9C-101B-9397-08002B2CF9AE}" name="ERModPubMaxIterations" pid="8">
    <vt:i4>1000</vt:i4>
  </property>
  <property fmtid="{D5CDD505-2E9C-101B-9397-08002B2CF9AE}" name="ERModPubMaxChange" pid="9">
    <vt:r8>0.001</vt:r8>
  </property>
  <property fmtid="{D5CDD505-2E9C-101B-9397-08002B2CF9AE}" name="MSDH34TAG" pid="10">
    <vt:lpwstr>.TEZUF76X5TAHATHESADREYAK-00-INB160+*94600-06=b5fa944e/-3f20/-11e8/-b3f7/-7a79cfe26848,MD=20180413104846/-0400,ZZ=000Z-9066.</vt:lpwstr>
  </property>
</Properties>
</file>